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omments1.xml" ContentType="application/vnd.openxmlformats-officedocument.spreadsheetml.comments+xml"/>
  <Override PartName="/xl/drawings/drawing5.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charts/chart23.xml" ContentType="application/vnd.openxmlformats-officedocument.drawingml.chart+xml"/>
  <Override PartName="/xl/charts/style22.xml" ContentType="application/vnd.ms-office.chartstyle+xml"/>
  <Override PartName="/xl/charts/colors22.xml" ContentType="application/vnd.ms-office.chartcolorstyle+xml"/>
  <Override PartName="/xl/charts/chart24.xml" ContentType="application/vnd.openxmlformats-officedocument.drawingml.chart+xml"/>
  <Override PartName="/xl/charts/style23.xml" ContentType="application/vnd.ms-office.chartstyle+xml"/>
  <Override PartName="/xl/charts/colors23.xml" ContentType="application/vnd.ms-office.chartcolorstyle+xml"/>
  <Override PartName="/xl/charts/chart25.xml" ContentType="application/vnd.openxmlformats-officedocument.drawingml.chart+xml"/>
  <Override PartName="/xl/charts/style24.xml" ContentType="application/vnd.ms-office.chartstyle+xml"/>
  <Override PartName="/xl/charts/colors24.xml" ContentType="application/vnd.ms-office.chartcolorstyle+xml"/>
  <Override PartName="/xl/charts/chart26.xml" ContentType="application/vnd.openxmlformats-officedocument.drawingml.chart+xml"/>
  <Override PartName="/xl/charts/style25.xml" ContentType="application/vnd.ms-office.chartstyle+xml"/>
  <Override PartName="/xl/charts/colors25.xml" ContentType="application/vnd.ms-office.chartcolorstyle+xml"/>
  <Override PartName="/xl/charts/chart27.xml" ContentType="application/vnd.openxmlformats-officedocument.drawingml.chart+xml"/>
  <Override PartName="/xl/charts/style26.xml" ContentType="application/vnd.ms-office.chartstyle+xml"/>
  <Override PartName="/xl/charts/colors26.xml" ContentType="application/vnd.ms-office.chartcolorstyle+xml"/>
  <Override PartName="/xl/charts/chart28.xml" ContentType="application/vnd.openxmlformats-officedocument.drawingml.chart+xml"/>
  <Override PartName="/xl/charts/style27.xml" ContentType="application/vnd.ms-office.chartstyle+xml"/>
  <Override PartName="/xl/charts/colors27.xml" ContentType="application/vnd.ms-office.chartcolorstyle+xml"/>
  <Override PartName="/xl/charts/chart29.xml" ContentType="application/vnd.openxmlformats-officedocument.drawingml.chart+xml"/>
  <Override PartName="/xl/charts/style28.xml" ContentType="application/vnd.ms-office.chartstyle+xml"/>
  <Override PartName="/xl/charts/colors28.xml" ContentType="application/vnd.ms-office.chartcolorstyle+xml"/>
  <Override PartName="/xl/charts/chart30.xml" ContentType="application/vnd.openxmlformats-officedocument.drawingml.chart+xml"/>
  <Override PartName="/xl/charts/style29.xml" ContentType="application/vnd.ms-office.chartstyle+xml"/>
  <Override PartName="/xl/charts/colors29.xml" ContentType="application/vnd.ms-office.chartcolorstyle+xml"/>
  <Override PartName="/xl/charts/chart31.xml" ContentType="application/vnd.openxmlformats-officedocument.drawingml.chart+xml"/>
  <Override PartName="/xl/charts/style30.xml" ContentType="application/vnd.ms-office.chartstyle+xml"/>
  <Override PartName="/xl/charts/colors30.xml" ContentType="application/vnd.ms-office.chartcolorstyle+xml"/>
  <Override PartName="/xl/charts/chart32.xml" ContentType="application/vnd.openxmlformats-officedocument.drawingml.chart+xml"/>
  <Override PartName="/xl/charts/style31.xml" ContentType="application/vnd.ms-office.chartstyle+xml"/>
  <Override PartName="/xl/charts/colors31.xml" ContentType="application/vnd.ms-office.chartcolorstyle+xml"/>
  <Override PartName="/xl/charts/chart33.xml" ContentType="application/vnd.openxmlformats-officedocument.drawingml.chart+xml"/>
  <Override PartName="/xl/charts/style32.xml" ContentType="application/vnd.ms-office.chartstyle+xml"/>
  <Override PartName="/xl/charts/colors32.xml" ContentType="application/vnd.ms-office.chartcolorstyle+xml"/>
  <Override PartName="/xl/charts/chart34.xml" ContentType="application/vnd.openxmlformats-officedocument.drawingml.chart+xml"/>
  <Override PartName="/xl/charts/style33.xml" ContentType="application/vnd.ms-office.chartstyle+xml"/>
  <Override PartName="/xl/charts/colors33.xml" ContentType="application/vnd.ms-office.chartcolorstyle+xml"/>
  <Override PartName="/xl/charts/chart35.xml" ContentType="application/vnd.openxmlformats-officedocument.drawingml.chart+xml"/>
  <Override PartName="/xl/charts/style34.xml" ContentType="application/vnd.ms-office.chartstyle+xml"/>
  <Override PartName="/xl/charts/colors34.xml" ContentType="application/vnd.ms-office.chartcolorstyle+xml"/>
  <Override PartName="/xl/charts/chart36.xml" ContentType="application/vnd.openxmlformats-officedocument.drawingml.chart+xml"/>
  <Override PartName="/xl/charts/style35.xml" ContentType="application/vnd.ms-office.chartstyle+xml"/>
  <Override PartName="/xl/charts/colors35.xml" ContentType="application/vnd.ms-office.chartcolorstyle+xml"/>
  <Override PartName="/xl/charts/chart37.xml" ContentType="application/vnd.openxmlformats-officedocument.drawingml.chart+xml"/>
  <Override PartName="/xl/charts/style36.xml" ContentType="application/vnd.ms-office.chartstyle+xml"/>
  <Override PartName="/xl/charts/colors36.xml" ContentType="application/vnd.ms-office.chartcolorstyle+xml"/>
  <Override PartName="/xl/charts/chart38.xml" ContentType="application/vnd.openxmlformats-officedocument.drawingml.chart+xml"/>
  <Override PartName="/xl/charts/style37.xml" ContentType="application/vnd.ms-office.chartstyle+xml"/>
  <Override PartName="/xl/charts/colors37.xml" ContentType="application/vnd.ms-office.chartcolorstyle+xml"/>
  <Override PartName="/xl/charts/chart39.xml" ContentType="application/vnd.openxmlformats-officedocument.drawingml.chart+xml"/>
  <Override PartName="/xl/charts/style38.xml" ContentType="application/vnd.ms-office.chartstyle+xml"/>
  <Override PartName="/xl/charts/colors38.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40.xml" ContentType="application/vnd.openxmlformats-officedocument.drawingml.chart+xml"/>
  <Override PartName="/xl/charts/style39.xml" ContentType="application/vnd.ms-office.chartstyle+xml"/>
  <Override PartName="/xl/charts/colors39.xml" ContentType="application/vnd.ms-office.chartcolorstyle+xml"/>
  <Override PartName="/xl/drawings/drawing8.xml" ContentType="application/vnd.openxmlformats-officedocument.drawingml.chartshapes+xml"/>
  <Override PartName="/xl/charts/chart41.xml" ContentType="application/vnd.openxmlformats-officedocument.drawingml.chart+xml"/>
  <Override PartName="/xl/charts/style40.xml" ContentType="application/vnd.ms-office.chartstyle+xml"/>
  <Override PartName="/xl/charts/colors40.xml" ContentType="application/vnd.ms-office.chartcolorstyle+xml"/>
  <Override PartName="/xl/charts/chart42.xml" ContentType="application/vnd.openxmlformats-officedocument.drawingml.chart+xml"/>
  <Override PartName="/xl/charts/style41.xml" ContentType="application/vnd.ms-office.chartstyle+xml"/>
  <Override PartName="/xl/charts/colors41.xml" ContentType="application/vnd.ms-office.chartcolorstyle+xml"/>
  <Override PartName="/xl/charts/chart43.xml" ContentType="application/vnd.openxmlformats-officedocument.drawingml.chart+xml"/>
  <Override PartName="/xl/charts/style42.xml" ContentType="application/vnd.ms-office.chartstyle+xml"/>
  <Override PartName="/xl/charts/colors42.xml" ContentType="application/vnd.ms-office.chartcolorstyle+xml"/>
  <Override PartName="/xl/charts/chart44.xml" ContentType="application/vnd.openxmlformats-officedocument.drawingml.chart+xml"/>
  <Override PartName="/xl/charts/style43.xml" ContentType="application/vnd.ms-office.chartstyle+xml"/>
  <Override PartName="/xl/charts/colors43.xml" ContentType="application/vnd.ms-office.chartcolorstyle+xml"/>
  <Override PartName="/xl/charts/chart45.xml" ContentType="application/vnd.openxmlformats-officedocument.drawingml.chart+xml"/>
  <Override PartName="/xl/charts/style44.xml" ContentType="application/vnd.ms-office.chartstyle+xml"/>
  <Override PartName="/xl/charts/colors44.xml" ContentType="application/vnd.ms-office.chartcolorstyle+xml"/>
  <Override PartName="/xl/charts/chart46.xml" ContentType="application/vnd.openxmlformats-officedocument.drawingml.chart+xml"/>
  <Override PartName="/xl/charts/style45.xml" ContentType="application/vnd.ms-office.chartstyle+xml"/>
  <Override PartName="/xl/charts/colors45.xml" ContentType="application/vnd.ms-office.chartcolorstyle+xml"/>
  <Override PartName="/xl/charts/chart47.xml" ContentType="application/vnd.openxmlformats-officedocument.drawingml.chart+xml"/>
  <Override PartName="/xl/charts/style46.xml" ContentType="application/vnd.ms-office.chartstyle+xml"/>
  <Override PartName="/xl/charts/colors46.xml" ContentType="application/vnd.ms-office.chartcolorstyle+xml"/>
  <Override PartName="/xl/charts/chart48.xml" ContentType="application/vnd.openxmlformats-officedocument.drawingml.chart+xml"/>
  <Override PartName="/xl/charts/style47.xml" ContentType="application/vnd.ms-office.chartstyle+xml"/>
  <Override PartName="/xl/charts/colors47.xml" ContentType="application/vnd.ms-office.chartcolorstyle+xml"/>
  <Override PartName="/xl/charts/chart49.xml" ContentType="application/vnd.openxmlformats-officedocument.drawingml.chart+xml"/>
  <Override PartName="/xl/charts/style48.xml" ContentType="application/vnd.ms-office.chartstyle+xml"/>
  <Override PartName="/xl/charts/colors48.xml" ContentType="application/vnd.ms-office.chartcolorstyle+xml"/>
  <Override PartName="/xl/charts/chart50.xml" ContentType="application/vnd.openxmlformats-officedocument.drawingml.chart+xml"/>
  <Override PartName="/xl/charts/style49.xml" ContentType="application/vnd.ms-office.chartstyle+xml"/>
  <Override PartName="/xl/charts/colors49.xml" ContentType="application/vnd.ms-office.chartcolorstyle+xml"/>
  <Override PartName="/xl/drawings/drawing9.xml" ContentType="application/vnd.openxmlformats-officedocument.drawingml.chartshapes+xml"/>
  <Override PartName="/xl/drawings/drawing10.xml" ContentType="application/vnd.openxmlformats-officedocument.drawing+xml"/>
  <Override PartName="/xl/charts/chart51.xml" ContentType="application/vnd.openxmlformats-officedocument.drawingml.chart+xml"/>
  <Override PartName="/xl/charts/style50.xml" ContentType="application/vnd.ms-office.chartstyle+xml"/>
  <Override PartName="/xl/charts/colors50.xml" ContentType="application/vnd.ms-office.chartcolorstyle+xml"/>
  <Override PartName="/xl/drawings/drawing11.xml" ContentType="application/vnd.openxmlformats-officedocument.drawing+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charts/chart57.xml" ContentType="application/vnd.openxmlformats-officedocument.drawingml.chart+xml"/>
  <Override PartName="/xl/charts/style51.xml" ContentType="application/vnd.ms-office.chartstyle+xml"/>
  <Override PartName="/xl/charts/colors51.xml" ContentType="application/vnd.ms-office.chartcolorstyle+xml"/>
  <Override PartName="/xl/drawings/drawing1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updateLinks="never" codeName="ThisWorkbook" hidePivotFieldList="1" defaultThemeVersion="202300"/>
  <mc:AlternateContent xmlns:mc="http://schemas.openxmlformats.org/markup-compatibility/2006">
    <mc:Choice Requires="x15">
      <x15ac:absPath xmlns:x15ac="http://schemas.microsoft.com/office/spreadsheetml/2010/11/ac" url="https://d.docs.live.net/58c6644054d92bd9/Teton Trader/My Earnings Strategy/"/>
    </mc:Choice>
  </mc:AlternateContent>
  <xr:revisionPtr revIDLastSave="162" documentId="13_ncr:1_{A852B01C-678A-4E0D-B7F8-84BD510B4023}" xr6:coauthVersionLast="47" xr6:coauthVersionMax="47" xr10:uidLastSave="{81DD7DDB-6E51-4258-ADB3-63169CC1224C}"/>
  <bookViews>
    <workbookView xWindow="-120" yWindow="-120" windowWidth="29040" windowHeight="15720" tabRatio="835" firstSheet="3" activeTab="8" xr2:uid="{661FE685-64FB-4CD4-A430-77F3EBAD4EEF}"/>
  </bookViews>
  <sheets>
    <sheet name="Indices" sheetId="2" r:id="rId1"/>
    <sheet name="Industries" sheetId="19" r:id="rId2"/>
    <sheet name="Pivot" sheetId="20" r:id="rId3"/>
    <sheet name="Charts" sheetId="3" r:id="rId4"/>
    <sheet name="SPDR Chart" sheetId="9" r:id="rId5"/>
    <sheet name="Summary Data" sheetId="18" r:id="rId6"/>
    <sheet name="Summary" sheetId="17" r:id="rId7"/>
    <sheet name="Earnings" sheetId="1" r:id="rId8"/>
    <sheet name="2025-Q2" sheetId="4" r:id="rId9"/>
    <sheet name="MGMT" sheetId="21" r:id="rId10"/>
    <sheet name="Rev Curves" sheetId="11" r:id="rId11"/>
    <sheet name="Expectancy" sheetId="15" r:id="rId12"/>
    <sheet name="Q1-STATS" sheetId="5" r:id="rId13"/>
    <sheet name="Stats Roll Up" sheetId="13" r:id="rId14"/>
    <sheet name="Symbols" sheetId="16" r:id="rId15"/>
  </sheets>
  <externalReferences>
    <externalReference r:id="rId16"/>
    <externalReference r:id="rId17"/>
  </externalReferences>
  <definedNames>
    <definedName name="_xlnm._FilterDatabase" localSheetId="8" hidden="1">'2025-Q2'!$A$3:$AL$422</definedName>
    <definedName name="_xlnm._FilterDatabase" localSheetId="7" hidden="1">Earnings!$A$1:$D$4734</definedName>
    <definedName name="_xlnm._FilterDatabase" localSheetId="0" hidden="1">Indices!$A$1:$D$2676</definedName>
    <definedName name="_xlnm._FilterDatabase" localSheetId="14" hidden="1">Symbols!$A$1:$F$1</definedName>
  </definedNames>
  <calcPr calcId="191029"/>
  <pivotCaches>
    <pivotCache cacheId="6" r:id="rId1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426" i="4" l="1"/>
  <c r="AE427" i="4"/>
  <c r="AE425" i="4"/>
  <c r="AE424" i="4"/>
  <c r="AM5" i="4"/>
  <c r="AM6" i="4"/>
  <c r="AM7" i="4"/>
  <c r="AM8" i="4"/>
  <c r="AM9" i="4"/>
  <c r="AM10" i="4"/>
  <c r="AM11" i="4"/>
  <c r="AM12" i="4"/>
  <c r="AM13" i="4"/>
  <c r="AM14" i="4"/>
  <c r="AM15" i="4"/>
  <c r="AM16" i="4"/>
  <c r="AM17" i="4"/>
  <c r="AM18" i="4"/>
  <c r="AM19" i="4"/>
  <c r="AM20" i="4"/>
  <c r="AM21" i="4"/>
  <c r="AM22" i="4"/>
  <c r="AM23" i="4"/>
  <c r="AM24" i="4"/>
  <c r="AM25" i="4"/>
  <c r="AM26" i="4"/>
  <c r="AM27" i="4"/>
  <c r="AM28" i="4"/>
  <c r="AM29" i="4"/>
  <c r="AM30" i="4"/>
  <c r="AM31" i="4"/>
  <c r="AM32" i="4"/>
  <c r="AM33" i="4"/>
  <c r="AM34" i="4"/>
  <c r="AM35" i="4"/>
  <c r="AM36" i="4"/>
  <c r="AM37" i="4"/>
  <c r="AM38" i="4"/>
  <c r="AM39" i="4"/>
  <c r="AM40" i="4"/>
  <c r="AM41" i="4"/>
  <c r="AM42" i="4"/>
  <c r="AM43" i="4"/>
  <c r="AM44" i="4"/>
  <c r="AM45" i="4"/>
  <c r="AM46" i="4"/>
  <c r="AM47" i="4"/>
  <c r="AM48" i="4"/>
  <c r="AM49" i="4"/>
  <c r="AM50" i="4"/>
  <c r="AM51" i="4"/>
  <c r="AM52" i="4"/>
  <c r="AM53" i="4"/>
  <c r="AM54" i="4"/>
  <c r="AM55" i="4"/>
  <c r="AM56" i="4"/>
  <c r="AM57" i="4"/>
  <c r="AM58" i="4"/>
  <c r="AM59" i="4"/>
  <c r="AM60" i="4"/>
  <c r="AM61" i="4"/>
  <c r="AM62" i="4"/>
  <c r="AM63" i="4"/>
  <c r="AM64" i="4"/>
  <c r="AM65" i="4"/>
  <c r="AM66" i="4"/>
  <c r="AM67" i="4"/>
  <c r="AM68" i="4"/>
  <c r="AM69" i="4"/>
  <c r="AM70" i="4"/>
  <c r="AM71" i="4"/>
  <c r="AM72" i="4"/>
  <c r="AM73" i="4"/>
  <c r="AM74" i="4"/>
  <c r="AM75" i="4"/>
  <c r="AM76" i="4"/>
  <c r="AM77" i="4"/>
  <c r="AM78" i="4"/>
  <c r="AM79" i="4"/>
  <c r="AM80" i="4"/>
  <c r="AM81" i="4"/>
  <c r="AM82" i="4"/>
  <c r="AM83" i="4"/>
  <c r="AM84" i="4"/>
  <c r="AM85" i="4"/>
  <c r="AM86" i="4"/>
  <c r="AM87" i="4"/>
  <c r="AM88" i="4"/>
  <c r="AM89" i="4"/>
  <c r="AM90" i="4"/>
  <c r="AM91" i="4"/>
  <c r="AM92" i="4"/>
  <c r="AM93" i="4"/>
  <c r="AM94" i="4"/>
  <c r="AM95" i="4"/>
  <c r="AM96" i="4"/>
  <c r="AM97" i="4"/>
  <c r="AM98" i="4"/>
  <c r="AM99" i="4"/>
  <c r="AM100" i="4"/>
  <c r="AM101" i="4"/>
  <c r="AM102" i="4"/>
  <c r="AM103" i="4"/>
  <c r="AM104" i="4"/>
  <c r="AM105" i="4"/>
  <c r="AM106" i="4"/>
  <c r="AM107" i="4"/>
  <c r="AM108" i="4"/>
  <c r="AM109" i="4"/>
  <c r="AM110" i="4"/>
  <c r="AM111" i="4"/>
  <c r="AM112" i="4"/>
  <c r="AM113" i="4"/>
  <c r="AM114" i="4"/>
  <c r="AM115" i="4"/>
  <c r="AM116" i="4"/>
  <c r="AM117" i="4"/>
  <c r="AM118" i="4"/>
  <c r="AM119" i="4"/>
  <c r="AM120" i="4"/>
  <c r="AM121" i="4"/>
  <c r="AM122" i="4"/>
  <c r="AM123" i="4"/>
  <c r="AM124" i="4"/>
  <c r="AM125" i="4"/>
  <c r="AM126" i="4"/>
  <c r="AM127" i="4"/>
  <c r="AM128" i="4"/>
  <c r="AM129" i="4"/>
  <c r="AM130" i="4"/>
  <c r="AM131" i="4"/>
  <c r="AM132" i="4"/>
  <c r="AM133" i="4"/>
  <c r="AM134" i="4"/>
  <c r="AM135" i="4"/>
  <c r="AM136" i="4"/>
  <c r="AM137" i="4"/>
  <c r="AM138" i="4"/>
  <c r="AM139" i="4"/>
  <c r="AM140" i="4"/>
  <c r="AM141" i="4"/>
  <c r="AM142" i="4"/>
  <c r="AM143" i="4"/>
  <c r="AM144" i="4"/>
  <c r="AM145" i="4"/>
  <c r="AM146" i="4"/>
  <c r="AM147" i="4"/>
  <c r="AM148" i="4"/>
  <c r="AM149" i="4"/>
  <c r="AM150" i="4"/>
  <c r="AM151" i="4"/>
  <c r="AM152" i="4"/>
  <c r="AM153" i="4"/>
  <c r="AM154" i="4"/>
  <c r="AM155" i="4"/>
  <c r="AM156" i="4"/>
  <c r="AM157" i="4"/>
  <c r="AM158" i="4"/>
  <c r="AM159" i="4"/>
  <c r="AM160" i="4"/>
  <c r="AM161" i="4"/>
  <c r="AM162" i="4"/>
  <c r="AM163" i="4"/>
  <c r="AM164" i="4"/>
  <c r="AM165" i="4"/>
  <c r="AM166" i="4"/>
  <c r="AM167" i="4"/>
  <c r="AM168" i="4"/>
  <c r="AM169" i="4"/>
  <c r="AM170" i="4"/>
  <c r="AM171" i="4"/>
  <c r="AM172" i="4"/>
  <c r="AM173" i="4"/>
  <c r="AM174" i="4"/>
  <c r="AM175" i="4"/>
  <c r="AM176" i="4"/>
  <c r="AM177" i="4"/>
  <c r="AM178" i="4"/>
  <c r="AM179" i="4"/>
  <c r="AM180" i="4"/>
  <c r="AM181" i="4"/>
  <c r="AM182" i="4"/>
  <c r="AM183" i="4"/>
  <c r="AM184" i="4"/>
  <c r="AM185" i="4"/>
  <c r="AM186" i="4"/>
  <c r="AM187" i="4"/>
  <c r="AM188" i="4"/>
  <c r="AM189" i="4"/>
  <c r="AM190" i="4"/>
  <c r="AM191" i="4"/>
  <c r="AM192" i="4"/>
  <c r="AM193" i="4"/>
  <c r="AM194" i="4"/>
  <c r="AM195" i="4"/>
  <c r="AM196" i="4"/>
  <c r="AM197" i="4"/>
  <c r="AM198" i="4"/>
  <c r="AM199" i="4"/>
  <c r="AM200" i="4"/>
  <c r="AM201" i="4"/>
  <c r="AM202" i="4"/>
  <c r="AM203" i="4"/>
  <c r="AM204" i="4"/>
  <c r="AM205" i="4"/>
  <c r="AM206" i="4"/>
  <c r="AM207" i="4"/>
  <c r="AM208" i="4"/>
  <c r="AM209" i="4"/>
  <c r="AM210" i="4"/>
  <c r="AM211" i="4"/>
  <c r="AM212" i="4"/>
  <c r="AM213" i="4"/>
  <c r="AM214" i="4"/>
  <c r="AM215" i="4"/>
  <c r="AM216" i="4"/>
  <c r="AM217" i="4"/>
  <c r="AM218" i="4"/>
  <c r="AM219" i="4"/>
  <c r="AM220" i="4"/>
  <c r="AM221" i="4"/>
  <c r="AM222" i="4"/>
  <c r="AM223" i="4"/>
  <c r="AM224" i="4"/>
  <c r="AM225" i="4"/>
  <c r="AM226" i="4"/>
  <c r="AM227" i="4"/>
  <c r="AM228" i="4"/>
  <c r="AM229" i="4"/>
  <c r="AM230" i="4"/>
  <c r="AM231" i="4"/>
  <c r="AM232" i="4"/>
  <c r="AM233" i="4"/>
  <c r="AM234" i="4"/>
  <c r="AM235" i="4"/>
  <c r="AM236" i="4"/>
  <c r="AM237" i="4"/>
  <c r="AM238" i="4"/>
  <c r="AM239" i="4"/>
  <c r="AM240" i="4"/>
  <c r="AM241" i="4"/>
  <c r="AM242" i="4"/>
  <c r="AM243" i="4"/>
  <c r="AM244" i="4"/>
  <c r="AM245" i="4"/>
  <c r="AM246" i="4"/>
  <c r="AM247" i="4"/>
  <c r="AM248" i="4"/>
  <c r="AM249" i="4"/>
  <c r="AM250" i="4"/>
  <c r="AM251" i="4"/>
  <c r="AM252" i="4"/>
  <c r="AM253" i="4"/>
  <c r="AM254" i="4"/>
  <c r="AM255" i="4"/>
  <c r="AM256" i="4"/>
  <c r="AM257" i="4"/>
  <c r="AM258" i="4"/>
  <c r="AM259" i="4"/>
  <c r="AM260" i="4"/>
  <c r="AM261" i="4"/>
  <c r="AM262" i="4"/>
  <c r="AM263" i="4"/>
  <c r="AM264" i="4"/>
  <c r="AM265" i="4"/>
  <c r="AM266" i="4"/>
  <c r="AM267" i="4"/>
  <c r="AM268" i="4"/>
  <c r="AM269" i="4"/>
  <c r="AM270" i="4"/>
  <c r="AM271" i="4"/>
  <c r="AM272" i="4"/>
  <c r="AM273" i="4"/>
  <c r="AM274" i="4"/>
  <c r="AM275" i="4"/>
  <c r="AM276" i="4"/>
  <c r="AM277" i="4"/>
  <c r="AM278" i="4"/>
  <c r="AM279" i="4"/>
  <c r="AM280" i="4"/>
  <c r="AM281" i="4"/>
  <c r="AM282" i="4"/>
  <c r="AM283" i="4"/>
  <c r="AM284" i="4"/>
  <c r="AM285" i="4"/>
  <c r="AM286" i="4"/>
  <c r="AM287" i="4"/>
  <c r="AM288" i="4"/>
  <c r="AM289" i="4"/>
  <c r="AM290" i="4"/>
  <c r="AM291" i="4"/>
  <c r="AM292" i="4"/>
  <c r="AM293" i="4"/>
  <c r="AM294" i="4"/>
  <c r="AM295" i="4"/>
  <c r="AM296" i="4"/>
  <c r="AM297" i="4"/>
  <c r="AM298" i="4"/>
  <c r="AM299" i="4"/>
  <c r="AM300" i="4"/>
  <c r="AM301" i="4"/>
  <c r="AM302" i="4"/>
  <c r="AM303" i="4"/>
  <c r="AM304" i="4"/>
  <c r="AM305" i="4"/>
  <c r="AM306" i="4"/>
  <c r="AM307" i="4"/>
  <c r="AM308" i="4"/>
  <c r="AM309" i="4"/>
  <c r="AM310" i="4"/>
  <c r="AM311" i="4"/>
  <c r="AM312" i="4"/>
  <c r="AM313" i="4"/>
  <c r="AM314" i="4"/>
  <c r="AM315" i="4"/>
  <c r="AM316" i="4"/>
  <c r="AM317" i="4"/>
  <c r="AM318" i="4"/>
  <c r="AM319" i="4"/>
  <c r="AM320" i="4"/>
  <c r="AM321" i="4"/>
  <c r="AM322" i="4"/>
  <c r="AM323" i="4"/>
  <c r="AM324" i="4"/>
  <c r="AM325" i="4"/>
  <c r="AM326" i="4"/>
  <c r="AM327" i="4"/>
  <c r="AM328" i="4"/>
  <c r="AM329" i="4"/>
  <c r="AM330" i="4"/>
  <c r="AM331" i="4"/>
  <c r="AM332" i="4"/>
  <c r="AM333" i="4"/>
  <c r="AM334" i="4"/>
  <c r="AM335" i="4"/>
  <c r="AM336" i="4"/>
  <c r="AM337" i="4"/>
  <c r="AM338" i="4"/>
  <c r="AM339" i="4"/>
  <c r="AM340" i="4"/>
  <c r="AM341" i="4"/>
  <c r="AM342" i="4"/>
  <c r="AM343" i="4"/>
  <c r="AM344" i="4"/>
  <c r="AM345" i="4"/>
  <c r="AM346" i="4"/>
  <c r="AM347" i="4"/>
  <c r="AM348" i="4"/>
  <c r="AM349" i="4"/>
  <c r="AM350" i="4"/>
  <c r="AM351" i="4"/>
  <c r="AM352" i="4"/>
  <c r="AM353" i="4"/>
  <c r="AM354" i="4"/>
  <c r="AM355" i="4"/>
  <c r="AM356" i="4"/>
  <c r="AM357" i="4"/>
  <c r="AM358" i="4"/>
  <c r="AM359" i="4"/>
  <c r="AM360" i="4"/>
  <c r="AM361" i="4"/>
  <c r="AM362" i="4"/>
  <c r="AM363" i="4"/>
  <c r="AM364" i="4"/>
  <c r="AM365" i="4"/>
  <c r="AM366" i="4"/>
  <c r="AM367" i="4"/>
  <c r="AM368" i="4"/>
  <c r="AM369" i="4"/>
  <c r="AM370" i="4"/>
  <c r="AM371" i="4"/>
  <c r="AM372" i="4"/>
  <c r="AM373" i="4"/>
  <c r="AM374" i="4"/>
  <c r="AM375" i="4"/>
  <c r="AM376" i="4"/>
  <c r="AM377" i="4"/>
  <c r="AM378" i="4"/>
  <c r="AM379" i="4"/>
  <c r="AM380" i="4"/>
  <c r="AM381" i="4"/>
  <c r="AM382" i="4"/>
  <c r="AM383" i="4"/>
  <c r="AM384" i="4"/>
  <c r="AM385" i="4"/>
  <c r="AM386" i="4"/>
  <c r="AM387" i="4"/>
  <c r="AM388" i="4"/>
  <c r="AM389" i="4"/>
  <c r="AM390" i="4"/>
  <c r="AM391" i="4"/>
  <c r="AM392" i="4"/>
  <c r="AM393" i="4"/>
  <c r="AM394" i="4"/>
  <c r="AM395" i="4"/>
  <c r="AM396" i="4"/>
  <c r="AM397" i="4"/>
  <c r="AM398" i="4"/>
  <c r="AM399" i="4"/>
  <c r="AM400" i="4"/>
  <c r="AM401" i="4"/>
  <c r="AM402" i="4"/>
  <c r="AM403" i="4"/>
  <c r="AM404" i="4"/>
  <c r="AM405" i="4"/>
  <c r="AM406" i="4"/>
  <c r="AM407" i="4"/>
  <c r="AM408" i="4"/>
  <c r="AM409" i="4"/>
  <c r="AM410" i="4"/>
  <c r="AM411" i="4"/>
  <c r="AM412" i="4"/>
  <c r="AM413" i="4"/>
  <c r="AM414" i="4"/>
  <c r="AM415" i="4"/>
  <c r="AM416" i="4"/>
  <c r="AM417" i="4"/>
  <c r="AM418" i="4"/>
  <c r="AM419" i="4"/>
  <c r="AM420" i="4"/>
  <c r="AM421" i="4"/>
  <c r="AM422" i="4"/>
  <c r="AM4" i="4"/>
  <c r="F10" i="21"/>
  <c r="E10" i="21"/>
  <c r="F6" i="21"/>
  <c r="E6" i="21"/>
  <c r="Z416" i="4"/>
  <c r="BS13" i="4"/>
  <c r="BT13" i="4"/>
  <c r="BU13" i="4"/>
  <c r="BV13" i="4"/>
  <c r="BS24" i="4"/>
  <c r="BT24" i="4"/>
  <c r="BU24" i="4"/>
  <c r="BV24" i="4"/>
  <c r="BS25" i="4"/>
  <c r="BT25" i="4"/>
  <c r="BU25" i="4"/>
  <c r="BV25" i="4"/>
  <c r="BS27" i="4"/>
  <c r="BT27" i="4"/>
  <c r="BU27" i="4"/>
  <c r="BV27" i="4"/>
  <c r="B36" i="16"/>
  <c r="Z397" i="4"/>
  <c r="Z385" i="4" l="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B35" i="16"/>
  <c r="B34" i="16"/>
  <c r="W385" i="4" l="1"/>
  <c r="W416"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72" i="4"/>
  <c r="E356" i="4"/>
  <c r="E357" i="4"/>
  <c r="E358" i="4"/>
  <c r="E360" i="4"/>
  <c r="E361" i="4"/>
  <c r="E362" i="4"/>
  <c r="E363" i="4"/>
  <c r="E364" i="4"/>
  <c r="E365" i="4"/>
  <c r="E366" i="4"/>
  <c r="E367" i="4"/>
  <c r="E368" i="4"/>
  <c r="E369" i="4"/>
  <c r="E370" i="4"/>
  <c r="E371" i="4"/>
  <c r="E359" i="4"/>
  <c r="E373" i="4"/>
  <c r="E374" i="4"/>
  <c r="E375" i="4"/>
  <c r="E376" i="4"/>
  <c r="E377" i="4"/>
  <c r="E378" i="4"/>
  <c r="E379" i="4"/>
  <c r="E380" i="4"/>
  <c r="E381" i="4"/>
  <c r="E382" i="4"/>
  <c r="E383" i="4"/>
  <c r="E384" i="4"/>
  <c r="E385" i="4"/>
  <c r="E386" i="4"/>
  <c r="E387" i="4"/>
  <c r="E388" i="4"/>
  <c r="E389" i="4"/>
  <c r="E390" i="4"/>
  <c r="E391" i="4"/>
  <c r="E392" i="4"/>
  <c r="E393" i="4"/>
  <c r="E394" i="4"/>
  <c r="E395" i="4"/>
  <c r="E410" i="4"/>
  <c r="E396" i="4"/>
  <c r="E398" i="4"/>
  <c r="E399" i="4"/>
  <c r="E400" i="4"/>
  <c r="E401" i="4"/>
  <c r="E402" i="4"/>
  <c r="E397" i="4"/>
  <c r="E404" i="4"/>
  <c r="E405" i="4"/>
  <c r="E406" i="4"/>
  <c r="E407" i="4"/>
  <c r="E412" i="4"/>
  <c r="E409" i="4"/>
  <c r="E415" i="4"/>
  <c r="E408" i="4"/>
  <c r="E411" i="4"/>
  <c r="E403" i="4"/>
  <c r="E413" i="4"/>
  <c r="E417" i="4"/>
  <c r="E414" i="4"/>
  <c r="E419" i="4"/>
  <c r="E418" i="4"/>
  <c r="E420" i="4"/>
  <c r="E421" i="4"/>
  <c r="E422" i="4"/>
  <c r="E416" i="4"/>
  <c r="E4" i="4"/>
  <c r="Z342" i="4"/>
  <c r="Z343" i="4"/>
  <c r="B33" i="16" l="1"/>
  <c r="L14" i="16"/>
  <c r="B32" i="16"/>
  <c r="L12" i="16"/>
  <c r="D4448" i="1" l="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B31" i="16"/>
  <c r="B30" i="16"/>
  <c r="Y323" i="4"/>
  <c r="Z312" i="4"/>
  <c r="W312" i="4"/>
  <c r="Y312" i="4" s="1"/>
  <c r="Y305" i="4"/>
  <c r="L2" i="16"/>
  <c r="U4" i="16"/>
  <c r="W322" i="4"/>
  <c r="Z277" i="4" l="1"/>
  <c r="D1649"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Z261" i="4"/>
  <c r="W261" i="4"/>
  <c r="W277" i="4"/>
  <c r="Y372" i="4"/>
  <c r="Y417" i="4"/>
  <c r="Z235" i="4"/>
  <c r="B22" i="16"/>
  <c r="W235" i="4"/>
  <c r="Y235" i="4" s="1"/>
  <c r="Y415" i="4"/>
  <c r="Z216" i="4"/>
  <c r="G341" i="4"/>
  <c r="D341" i="4"/>
  <c r="GS341" i="4" s="1"/>
  <c r="GT341" i="4" s="1"/>
  <c r="K341" i="4"/>
  <c r="U341" i="4"/>
  <c r="X341" i="4" s="1"/>
  <c r="G345" i="4"/>
  <c r="D345" i="4"/>
  <c r="GS345" i="4" s="1"/>
  <c r="GT345" i="4" s="1"/>
  <c r="D16" i="16"/>
  <c r="K345" i="4"/>
  <c r="U345" i="4"/>
  <c r="X345" i="4" s="1"/>
  <c r="G346" i="4"/>
  <c r="D346" i="4"/>
  <c r="GS346" i="4" s="1"/>
  <c r="GT346" i="4" s="1"/>
  <c r="K346" i="4"/>
  <c r="U346" i="4"/>
  <c r="X346" i="4" s="1"/>
  <c r="G348" i="4"/>
  <c r="D348" i="4"/>
  <c r="GS348" i="4" s="1"/>
  <c r="GT348" i="4" s="1"/>
  <c r="K348" i="4"/>
  <c r="U348" i="4"/>
  <c r="X348" i="4" s="1"/>
  <c r="G372" i="4"/>
  <c r="D372" i="4"/>
  <c r="K372" i="4"/>
  <c r="U372" i="4"/>
  <c r="G364" i="4"/>
  <c r="D364" i="4"/>
  <c r="HA364" i="4" s="1"/>
  <c r="HB364" i="4" s="1"/>
  <c r="K364" i="4"/>
  <c r="U364" i="4"/>
  <c r="X364" i="4" s="1"/>
  <c r="Y364" i="4"/>
  <c r="G380" i="4"/>
  <c r="D380" i="4"/>
  <c r="GS380" i="4" s="1"/>
  <c r="GT380" i="4" s="1"/>
  <c r="K380" i="4"/>
  <c r="U380" i="4"/>
  <c r="X380" i="4" s="1"/>
  <c r="B415" i="4" a="1"/>
  <c r="B415" i="4" s="1"/>
  <c r="G415" i="4" s="1"/>
  <c r="D415" i="4"/>
  <c r="HA415" i="4" s="1"/>
  <c r="HB415" i="4" s="1"/>
  <c r="K415" i="4"/>
  <c r="U415" i="4"/>
  <c r="G408" i="4"/>
  <c r="D408" i="4"/>
  <c r="K408" i="4"/>
  <c r="U408" i="4"/>
  <c r="X408" i="4" s="1"/>
  <c r="Y408" i="4"/>
  <c r="B417" i="4" a="1"/>
  <c r="B417" i="4" s="1"/>
  <c r="G417" i="4" s="1"/>
  <c r="D417" i="4"/>
  <c r="K417" i="4"/>
  <c r="U417" i="4"/>
  <c r="G338" i="4"/>
  <c r="D338" i="4"/>
  <c r="GS338" i="4" s="1"/>
  <c r="GT338" i="4" s="1"/>
  <c r="K338" i="4"/>
  <c r="U338" i="4"/>
  <c r="X338" i="4" s="1"/>
  <c r="Y338" i="4"/>
  <c r="B416" i="4" a="1"/>
  <c r="B416" i="4" s="1"/>
  <c r="G416" i="4" s="1"/>
  <c r="D416" i="4"/>
  <c r="K416" i="4"/>
  <c r="U416" i="4"/>
  <c r="X416" i="4" s="1"/>
  <c r="AI416" i="4"/>
  <c r="AK4" i="13"/>
  <c r="AA408" i="4" l="1"/>
  <c r="AK408" i="4" s="1"/>
  <c r="AI408" i="4" s="1"/>
  <c r="S416" i="4"/>
  <c r="AB338" i="4"/>
  <c r="AA364" i="4"/>
  <c r="AK364" i="4" s="1"/>
  <c r="AI364" i="4" s="1"/>
  <c r="AB408" i="4"/>
  <c r="S408" i="4"/>
  <c r="C408" i="4" s="1"/>
  <c r="BD380" i="4"/>
  <c r="AB364" i="4"/>
  <c r="BI364" i="4"/>
  <c r="O4" i="16"/>
  <c r="R5" i="16"/>
  <c r="BH348" i="4"/>
  <c r="BC346" i="4"/>
  <c r="BI345" i="4"/>
  <c r="L338" i="4"/>
  <c r="BV338" i="4" s="1"/>
  <c r="AA338" i="4"/>
  <c r="AK338" i="4" s="1"/>
  <c r="AI338" i="4" s="1"/>
  <c r="BI338" i="4"/>
  <c r="BE341" i="4"/>
  <c r="O13" i="16"/>
  <c r="S345" i="4"/>
  <c r="BD341" i="4"/>
  <c r="BH345" i="4"/>
  <c r="BC341" i="4"/>
  <c r="S346" i="4"/>
  <c r="BG341" i="4"/>
  <c r="X415" i="4"/>
  <c r="AA415" i="4" s="1"/>
  <c r="AK415" i="4" s="1"/>
  <c r="AI415" i="4" s="1"/>
  <c r="S341" i="4"/>
  <c r="BI346" i="4"/>
  <c r="BG345" i="4"/>
  <c r="BH346" i="4"/>
  <c r="BE345" i="4"/>
  <c r="BI380" i="4"/>
  <c r="BE346" i="4"/>
  <c r="BD345" i="4"/>
  <c r="BH380" i="4"/>
  <c r="BD346" i="4"/>
  <c r="BC345" i="4"/>
  <c r="BG380" i="4"/>
  <c r="BI348" i="4"/>
  <c r="BG348" i="4"/>
  <c r="BI341" i="4"/>
  <c r="BH341" i="4"/>
  <c r="X417" i="4"/>
  <c r="AA417" i="4" s="1"/>
  <c r="AK417" i="4" s="1"/>
  <c r="AI417" i="4" s="1"/>
  <c r="BH364" i="4"/>
  <c r="BH338" i="4"/>
  <c r="BE364" i="4"/>
  <c r="Y345" i="4"/>
  <c r="AB345" i="4" s="1"/>
  <c r="BG364" i="4"/>
  <c r="BD364" i="4"/>
  <c r="S364" i="4"/>
  <c r="BC364" i="4"/>
  <c r="S415" i="4"/>
  <c r="BG346" i="4"/>
  <c r="L415" i="4"/>
  <c r="BE380" i="4"/>
  <c r="BC338" i="4"/>
  <c r="L408" i="4"/>
  <c r="M408" i="4" s="1"/>
  <c r="S338" i="4"/>
  <c r="BC380" i="4"/>
  <c r="Y416" i="4"/>
  <c r="S380" i="4"/>
  <c r="BE348" i="4"/>
  <c r="BD348" i="4"/>
  <c r="Y346" i="4"/>
  <c r="AB346" i="4" s="1"/>
  <c r="Y380" i="4"/>
  <c r="L364" i="4"/>
  <c r="S372" i="4"/>
  <c r="S348" i="4"/>
  <c r="BE338" i="4"/>
  <c r="BD338" i="4"/>
  <c r="S417" i="4"/>
  <c r="BG338" i="4"/>
  <c r="X372" i="4"/>
  <c r="AA372" i="4" s="1"/>
  <c r="AK372" i="4" s="1"/>
  <c r="AI372" i="4" s="1"/>
  <c r="Y341" i="4"/>
  <c r="AB341" i="4" s="1"/>
  <c r="C416" i="4"/>
  <c r="H416" i="4"/>
  <c r="BC348" i="4"/>
  <c r="Y348" i="4"/>
  <c r="W216" i="4"/>
  <c r="AB416" i="4" l="1"/>
  <c r="AA416" i="4"/>
  <c r="AK416" i="4" s="1"/>
  <c r="AB417" i="4"/>
  <c r="HI415" i="4"/>
  <c r="HK415" i="4"/>
  <c r="HO415" i="4"/>
  <c r="HQ415" i="4"/>
  <c r="HS415" i="4"/>
  <c r="H408" i="4"/>
  <c r="L417" i="4"/>
  <c r="M417" i="4" s="1"/>
  <c r="AB415" i="4"/>
  <c r="BQ417" i="4"/>
  <c r="BP417" i="4"/>
  <c r="BO416" i="4"/>
  <c r="BP416" i="4"/>
  <c r="M415" i="4"/>
  <c r="BT415" i="4"/>
  <c r="BU415" i="4"/>
  <c r="BV415" i="4"/>
  <c r="H415" i="4"/>
  <c r="BO415" i="4"/>
  <c r="BP415" i="4"/>
  <c r="BP408" i="4"/>
  <c r="BQ408" i="4"/>
  <c r="HO380" i="4"/>
  <c r="HI380" i="4"/>
  <c r="HQ380" i="4"/>
  <c r="HK380" i="4"/>
  <c r="HM380" i="4"/>
  <c r="L372" i="4"/>
  <c r="M372" i="4" s="1"/>
  <c r="AB380" i="4"/>
  <c r="AA380" i="4"/>
  <c r="AK380" i="4" s="1"/>
  <c r="AI380" i="4" s="1"/>
  <c r="AB372" i="4"/>
  <c r="C380" i="4"/>
  <c r="BP380" i="4"/>
  <c r="BQ380" i="4"/>
  <c r="H372" i="4"/>
  <c r="BP372" i="4"/>
  <c r="BQ372" i="4"/>
  <c r="HI364" i="4"/>
  <c r="HK364" i="4"/>
  <c r="HM364" i="4"/>
  <c r="HO364" i="4"/>
  <c r="HQ364" i="4"/>
  <c r="C364" i="4"/>
  <c r="BQ364" i="4"/>
  <c r="BP364" i="4"/>
  <c r="M364" i="4"/>
  <c r="BV364" i="4"/>
  <c r="BS364" i="4"/>
  <c r="BU364" i="4"/>
  <c r="AB348" i="4"/>
  <c r="AA348" i="4"/>
  <c r="AK348" i="4" s="1"/>
  <c r="AI348" i="4" s="1"/>
  <c r="HI348" i="4"/>
  <c r="HK348" i="4"/>
  <c r="HM348" i="4"/>
  <c r="HO348" i="4"/>
  <c r="HQ348" i="4"/>
  <c r="L416" i="4"/>
  <c r="M416" i="4" s="1"/>
  <c r="H348" i="4"/>
  <c r="BQ348" i="4"/>
  <c r="BP348" i="4"/>
  <c r="HK346" i="4"/>
  <c r="HO346" i="4"/>
  <c r="HM346" i="4"/>
  <c r="HQ346" i="4"/>
  <c r="HS346" i="4"/>
  <c r="L345" i="4"/>
  <c r="BU345" i="4" s="1"/>
  <c r="AA345" i="4"/>
  <c r="AK345" i="4" s="1"/>
  <c r="AI345" i="4" s="1"/>
  <c r="HI345" i="4"/>
  <c r="HK345" i="4"/>
  <c r="HM345" i="4"/>
  <c r="HQ345" i="4"/>
  <c r="HS345" i="4"/>
  <c r="AA346" i="4"/>
  <c r="AK346" i="4" s="1"/>
  <c r="AI346" i="4" s="1"/>
  <c r="C346" i="4"/>
  <c r="BO346" i="4"/>
  <c r="BQ346" i="4"/>
  <c r="H345" i="4"/>
  <c r="BO345" i="4"/>
  <c r="BP345" i="4"/>
  <c r="H346" i="4"/>
  <c r="BT338" i="4"/>
  <c r="HQ341" i="4"/>
  <c r="HS341" i="4"/>
  <c r="HK341" i="4"/>
  <c r="HM341" i="4"/>
  <c r="HO341" i="4"/>
  <c r="BU338" i="4"/>
  <c r="HI338" i="4"/>
  <c r="HK338" i="4"/>
  <c r="HQ338" i="4"/>
  <c r="HS338" i="4"/>
  <c r="HO338" i="4"/>
  <c r="M338" i="4"/>
  <c r="AA341" i="4"/>
  <c r="AK341" i="4" s="1"/>
  <c r="AI341" i="4" s="1"/>
  <c r="BF345" i="4"/>
  <c r="GC345" i="4" s="1"/>
  <c r="C345" i="4"/>
  <c r="C341" i="4"/>
  <c r="BO341" i="4"/>
  <c r="BQ341" i="4"/>
  <c r="C338" i="4"/>
  <c r="BO338" i="4"/>
  <c r="BP338" i="4"/>
  <c r="H341" i="4"/>
  <c r="BF341" i="4"/>
  <c r="GL341" i="4" s="1"/>
  <c r="C372" i="4"/>
  <c r="BF346" i="4"/>
  <c r="CI346" i="4" s="1"/>
  <c r="H364" i="4"/>
  <c r="BF364" i="4"/>
  <c r="B24" i="16"/>
  <c r="B23" i="16"/>
  <c r="B26" i="16"/>
  <c r="B25" i="16"/>
  <c r="H417" i="4"/>
  <c r="H338" i="4"/>
  <c r="BF338" i="4"/>
  <c r="HU338" i="4" s="1"/>
  <c r="C417" i="4"/>
  <c r="L341" i="4"/>
  <c r="C348" i="4"/>
  <c r="C415" i="4"/>
  <c r="L346" i="4"/>
  <c r="BF380" i="4"/>
  <c r="FA380" i="4" s="1"/>
  <c r="H380" i="4"/>
  <c r="BF348" i="4"/>
  <c r="GY348" i="4" s="1"/>
  <c r="GZ348" i="4" s="1"/>
  <c r="L380" i="4"/>
  <c r="L348" i="4"/>
  <c r="HU380" i="4" l="1"/>
  <c r="M380" i="4"/>
  <c r="BU380" i="4"/>
  <c r="BV380" i="4"/>
  <c r="BS380" i="4"/>
  <c r="AQ364" i="4"/>
  <c r="HU364" i="4"/>
  <c r="N364" i="4"/>
  <c r="CA364" i="4" s="1"/>
  <c r="P364" i="4"/>
  <c r="CG364" i="4" s="1"/>
  <c r="HU348" i="4"/>
  <c r="AO348" i="4" s="1"/>
  <c r="M348" i="4"/>
  <c r="BS348" i="4"/>
  <c r="BU348" i="4"/>
  <c r="BV348" i="4"/>
  <c r="EF345" i="4"/>
  <c r="CK345" i="4"/>
  <c r="AY345" i="4"/>
  <c r="EO345" i="4"/>
  <c r="AO345" i="4"/>
  <c r="P345" i="4"/>
  <c r="CC345" i="4" s="1"/>
  <c r="N345" i="4"/>
  <c r="BW345" i="4" s="1"/>
  <c r="FV345" i="4"/>
  <c r="EC345" i="4"/>
  <c r="CW345" i="4"/>
  <c r="BY345" i="4"/>
  <c r="GN345" i="4"/>
  <c r="CG345" i="4"/>
  <c r="ET345" i="4"/>
  <c r="FA345" i="4"/>
  <c r="BV345" i="4"/>
  <c r="AS345" i="4"/>
  <c r="FQ345" i="4"/>
  <c r="GU345" i="4"/>
  <c r="GV345" i="4" s="1"/>
  <c r="FE345" i="4"/>
  <c r="DV345" i="4"/>
  <c r="BS345" i="4"/>
  <c r="HU346" i="4"/>
  <c r="AS346" i="4" s="1"/>
  <c r="FA341" i="4"/>
  <c r="HC341" i="4"/>
  <c r="HD341" i="4" s="1"/>
  <c r="CI341" i="4"/>
  <c r="FS341" i="4"/>
  <c r="GG341" i="4"/>
  <c r="AO341" i="4"/>
  <c r="GW341" i="4"/>
  <c r="GX341" i="4" s="1"/>
  <c r="FC341" i="4"/>
  <c r="DK341" i="4"/>
  <c r="GC341" i="4"/>
  <c r="EX341" i="4"/>
  <c r="DH341" i="4"/>
  <c r="DV341" i="4"/>
  <c r="CP341" i="4"/>
  <c r="FJ341" i="4"/>
  <c r="FH341" i="4"/>
  <c r="DF341" i="4"/>
  <c r="FO341" i="4"/>
  <c r="GN341" i="4"/>
  <c r="AQ341" i="4"/>
  <c r="EM341" i="4"/>
  <c r="DA341" i="4"/>
  <c r="ET341" i="4"/>
  <c r="AW341" i="4"/>
  <c r="DM341" i="4"/>
  <c r="GJ341" i="4"/>
  <c r="FQ341" i="4"/>
  <c r="GE341" i="4"/>
  <c r="DR341" i="4"/>
  <c r="FZ341" i="4"/>
  <c r="EO341" i="4"/>
  <c r="EC341" i="4"/>
  <c r="HE341" i="4"/>
  <c r="HF341" i="4" s="1"/>
  <c r="EJ341" i="4"/>
  <c r="AU341" i="4"/>
  <c r="BW341" i="4"/>
  <c r="DT341" i="4"/>
  <c r="FL341" i="4"/>
  <c r="CT341" i="4"/>
  <c r="CK341" i="4"/>
  <c r="CC341" i="4"/>
  <c r="GU341" i="4"/>
  <c r="GV341" i="4" s="1"/>
  <c r="DO341" i="4"/>
  <c r="CM341" i="4"/>
  <c r="CY341" i="4"/>
  <c r="EQ341" i="4"/>
  <c r="CG341" i="4"/>
  <c r="CT345" i="4"/>
  <c r="EJ345" i="4"/>
  <c r="HU341" i="4"/>
  <c r="AS341" i="4" s="1"/>
  <c r="M345" i="4"/>
  <c r="EV345" i="4"/>
  <c r="CI345" i="4"/>
  <c r="HU345" i="4"/>
  <c r="AQ345" i="4" s="1"/>
  <c r="GW345" i="4"/>
  <c r="GX345" i="4" s="1"/>
  <c r="DA345" i="4"/>
  <c r="EX345" i="4"/>
  <c r="HE345" i="4"/>
  <c r="HF345" i="4" s="1"/>
  <c r="CP345" i="4"/>
  <c r="DR345" i="4"/>
  <c r="DT345" i="4"/>
  <c r="DO345" i="4"/>
  <c r="FH345" i="4"/>
  <c r="EQ345" i="4"/>
  <c r="HG345" i="4"/>
  <c r="HH345" i="4" s="1"/>
  <c r="M346" i="4"/>
  <c r="BS346" i="4"/>
  <c r="BT346" i="4"/>
  <c r="BV346" i="4"/>
  <c r="EM345" i="4"/>
  <c r="EA345" i="4"/>
  <c r="CR345" i="4"/>
  <c r="CA345" i="4"/>
  <c r="FJ345" i="4"/>
  <c r="DF345" i="4"/>
  <c r="DK345" i="4"/>
  <c r="FS345" i="4"/>
  <c r="EH345" i="4"/>
  <c r="FC345" i="4"/>
  <c r="DH345" i="4"/>
  <c r="FX345" i="4"/>
  <c r="DD345" i="4"/>
  <c r="GG345" i="4"/>
  <c r="GL345" i="4"/>
  <c r="AU345" i="4"/>
  <c r="CE345" i="4"/>
  <c r="GY345" i="4"/>
  <c r="GZ345" i="4" s="1"/>
  <c r="GE345" i="4"/>
  <c r="FZ345" i="4"/>
  <c r="CM345" i="4"/>
  <c r="DM345" i="4"/>
  <c r="GJ345" i="4"/>
  <c r="FL345" i="4"/>
  <c r="FO345" i="4"/>
  <c r="CY345" i="4"/>
  <c r="EF341" i="4"/>
  <c r="CR341" i="4"/>
  <c r="EH341" i="4"/>
  <c r="P341" i="4"/>
  <c r="BU341" i="4" s="1"/>
  <c r="BS341" i="4"/>
  <c r="BT341" i="4"/>
  <c r="BV341" i="4"/>
  <c r="FX341" i="4"/>
  <c r="DY341" i="4"/>
  <c r="CW341" i="4"/>
  <c r="FE341" i="4"/>
  <c r="FV341" i="4"/>
  <c r="GY341" i="4"/>
  <c r="GZ341" i="4" s="1"/>
  <c r="DD341" i="4"/>
  <c r="EV341" i="4"/>
  <c r="EM338" i="4"/>
  <c r="N338" i="4"/>
  <c r="P338" i="4"/>
  <c r="HM338" i="4" s="1"/>
  <c r="EX364" i="4"/>
  <c r="ET364" i="4"/>
  <c r="DM364" i="4"/>
  <c r="EF364" i="4"/>
  <c r="EJ364" i="4"/>
  <c r="FX364" i="4"/>
  <c r="EO364" i="4"/>
  <c r="CM346" i="4"/>
  <c r="DT364" i="4"/>
  <c r="GL364" i="4"/>
  <c r="CP364" i="4"/>
  <c r="FC364" i="4"/>
  <c r="AY364" i="4"/>
  <c r="DO364" i="4"/>
  <c r="FS364" i="4"/>
  <c r="GC364" i="4"/>
  <c r="EH364" i="4"/>
  <c r="CR364" i="4"/>
  <c r="CK364" i="4"/>
  <c r="DV364" i="4"/>
  <c r="GN364" i="4"/>
  <c r="AS364" i="4"/>
  <c r="AO364" i="4"/>
  <c r="DY364" i="4"/>
  <c r="CM364" i="4"/>
  <c r="FE364" i="4"/>
  <c r="GU364" i="4"/>
  <c r="GV364" i="4" s="1"/>
  <c r="EQ364" i="4"/>
  <c r="FJ364" i="4"/>
  <c r="CE364" i="4"/>
  <c r="FZ364" i="4"/>
  <c r="CC364" i="4"/>
  <c r="HG364" i="4"/>
  <c r="HH364" i="4" s="1"/>
  <c r="GY364" i="4"/>
  <c r="GZ364" i="4" s="1"/>
  <c r="AW364" i="4"/>
  <c r="DR364" i="4"/>
  <c r="BY364" i="4"/>
  <c r="CW364" i="4"/>
  <c r="FV364" i="4"/>
  <c r="HC364" i="4"/>
  <c r="HD364" i="4" s="1"/>
  <c r="CI364" i="4"/>
  <c r="DF364" i="4"/>
  <c r="BW364" i="4"/>
  <c r="GG364" i="4"/>
  <c r="FH364" i="4"/>
  <c r="HE364" i="4"/>
  <c r="HF364" i="4" s="1"/>
  <c r="EC364" i="4"/>
  <c r="CY364" i="4"/>
  <c r="DK364" i="4"/>
  <c r="GE364" i="4"/>
  <c r="DA364" i="4"/>
  <c r="DH364" i="4"/>
  <c r="EA364" i="4"/>
  <c r="EV364" i="4"/>
  <c r="FQ364" i="4"/>
  <c r="FA364" i="4"/>
  <c r="FO364" i="4"/>
  <c r="FL364" i="4"/>
  <c r="DD364" i="4"/>
  <c r="GJ364" i="4"/>
  <c r="EM364" i="4"/>
  <c r="GG346" i="4"/>
  <c r="ET346" i="4"/>
  <c r="HC346" i="4"/>
  <c r="HD346" i="4" s="1"/>
  <c r="CC346" i="4"/>
  <c r="EJ346" i="4"/>
  <c r="GJ346" i="4"/>
  <c r="GW346" i="4"/>
  <c r="GX346" i="4" s="1"/>
  <c r="FJ346" i="4"/>
  <c r="DM346" i="4"/>
  <c r="HC380" i="4"/>
  <c r="HD380" i="4" s="1"/>
  <c r="CT346" i="4"/>
  <c r="EA346" i="4"/>
  <c r="FE346" i="4"/>
  <c r="FL346" i="4"/>
  <c r="BW346" i="4"/>
  <c r="EM346" i="4"/>
  <c r="FC346" i="4"/>
  <c r="FV346" i="4"/>
  <c r="FQ346" i="4"/>
  <c r="DY346" i="4"/>
  <c r="HE346" i="4"/>
  <c r="HF346" i="4" s="1"/>
  <c r="DA346" i="4"/>
  <c r="CR346" i="4"/>
  <c r="FA346" i="4"/>
  <c r="GU346" i="4"/>
  <c r="GV346" i="4" s="1"/>
  <c r="AO346" i="4"/>
  <c r="GE346" i="4"/>
  <c r="GC346" i="4"/>
  <c r="EV346" i="4"/>
  <c r="DO346" i="4"/>
  <c r="CW346" i="4"/>
  <c r="DD380" i="4"/>
  <c r="AU346" i="4"/>
  <c r="DR346" i="4"/>
  <c r="EC346" i="4"/>
  <c r="ET380" i="4"/>
  <c r="AW346" i="4"/>
  <c r="DT346" i="4"/>
  <c r="CG346" i="4"/>
  <c r="FH346" i="4"/>
  <c r="EO346" i="4"/>
  <c r="DR380" i="4"/>
  <c r="EQ380" i="4"/>
  <c r="EQ346" i="4"/>
  <c r="EH346" i="4"/>
  <c r="GJ338" i="4"/>
  <c r="CP346" i="4"/>
  <c r="GY346" i="4"/>
  <c r="GZ346" i="4" s="1"/>
  <c r="DV346" i="4"/>
  <c r="CI380" i="4"/>
  <c r="DD346" i="4"/>
  <c r="GL346" i="4"/>
  <c r="DK346" i="4"/>
  <c r="GN346" i="4"/>
  <c r="CA346" i="4"/>
  <c r="FX346" i="4"/>
  <c r="FS346" i="4"/>
  <c r="FZ346" i="4"/>
  <c r="GY380" i="4"/>
  <c r="GZ380" i="4" s="1"/>
  <c r="DT338" i="4"/>
  <c r="EO338" i="4"/>
  <c r="CE338" i="4"/>
  <c r="FA338" i="4"/>
  <c r="FJ338" i="4"/>
  <c r="FH338" i="4"/>
  <c r="FZ338" i="4"/>
  <c r="DA338" i="4"/>
  <c r="GW338" i="4"/>
  <c r="GX338" i="4" s="1"/>
  <c r="GG338" i="4"/>
  <c r="AS338" i="4"/>
  <c r="DO338" i="4"/>
  <c r="CE380" i="4"/>
  <c r="GY338" i="4"/>
  <c r="GZ338" i="4" s="1"/>
  <c r="AQ346" i="4"/>
  <c r="EF346" i="4"/>
  <c r="GN380" i="4"/>
  <c r="FS380" i="4"/>
  <c r="GJ380" i="4"/>
  <c r="BY380" i="4"/>
  <c r="FE338" i="4"/>
  <c r="CY346" i="4"/>
  <c r="DH346" i="4"/>
  <c r="EX346" i="4"/>
  <c r="CK346" i="4"/>
  <c r="FO346" i="4"/>
  <c r="FS338" i="4"/>
  <c r="FL338" i="4"/>
  <c r="DF380" i="4"/>
  <c r="DK338" i="4"/>
  <c r="CY338" i="4"/>
  <c r="DO380" i="4"/>
  <c r="BW380" i="4"/>
  <c r="GL338" i="4"/>
  <c r="CT338" i="4"/>
  <c r="EF338" i="4"/>
  <c r="GC380" i="4"/>
  <c r="FJ380" i="4"/>
  <c r="FO338" i="4"/>
  <c r="FX338" i="4"/>
  <c r="CI338" i="4"/>
  <c r="AQ380" i="4"/>
  <c r="CK380" i="4"/>
  <c r="DD338" i="4"/>
  <c r="GL380" i="4"/>
  <c r="CW380" i="4"/>
  <c r="DR338" i="4"/>
  <c r="AY338" i="4"/>
  <c r="DH338" i="4"/>
  <c r="FH380" i="4"/>
  <c r="AQ338" i="4"/>
  <c r="DV338" i="4"/>
  <c r="AW380" i="4"/>
  <c r="AO380" i="4"/>
  <c r="FQ380" i="4"/>
  <c r="EX338" i="4"/>
  <c r="EM380" i="4"/>
  <c r="EJ338" i="4"/>
  <c r="CG338" i="4"/>
  <c r="GC338" i="4"/>
  <c r="DM380" i="4"/>
  <c r="FX380" i="4"/>
  <c r="CR338" i="4"/>
  <c r="CM338" i="4"/>
  <c r="EJ380" i="4"/>
  <c r="GU338" i="4"/>
  <c r="GV338" i="4" s="1"/>
  <c r="FQ338" i="4"/>
  <c r="CP380" i="4"/>
  <c r="EA338" i="4"/>
  <c r="DF338" i="4"/>
  <c r="EC338" i="4"/>
  <c r="CW338" i="4"/>
  <c r="FZ380" i="4"/>
  <c r="EH338" i="4"/>
  <c r="GE380" i="4"/>
  <c r="AO338" i="4"/>
  <c r="DM338" i="4"/>
  <c r="CK338" i="4"/>
  <c r="EH380" i="4"/>
  <c r="GE338" i="4"/>
  <c r="EQ338" i="4"/>
  <c r="CY380" i="4"/>
  <c r="GG380" i="4"/>
  <c r="CC380" i="4"/>
  <c r="HG338" i="4"/>
  <c r="HH338" i="4" s="1"/>
  <c r="BY338" i="4"/>
  <c r="DY380" i="4"/>
  <c r="CP338" i="4"/>
  <c r="HE338" i="4"/>
  <c r="HF338" i="4" s="1"/>
  <c r="FE380" i="4"/>
  <c r="FL380" i="4"/>
  <c r="EV338" i="4"/>
  <c r="EV380" i="4"/>
  <c r="GN338" i="4"/>
  <c r="FV338" i="4"/>
  <c r="AU338" i="4"/>
  <c r="FC338" i="4"/>
  <c r="EX380" i="4"/>
  <c r="EC380" i="4"/>
  <c r="FC380" i="4"/>
  <c r="GW380" i="4"/>
  <c r="GX380" i="4" s="1"/>
  <c r="CA338" i="4"/>
  <c r="ET338" i="4"/>
  <c r="P346" i="4"/>
  <c r="BU346" i="4" s="1"/>
  <c r="N341" i="4"/>
  <c r="M341" i="4"/>
  <c r="AS380" i="4"/>
  <c r="N380" i="4"/>
  <c r="DV380" i="4"/>
  <c r="FZ348" i="4"/>
  <c r="EX348" i="4"/>
  <c r="DA380" i="4"/>
  <c r="DT380" i="4"/>
  <c r="EO380" i="4"/>
  <c r="EF380" i="4"/>
  <c r="DK380" i="4"/>
  <c r="HG380" i="4"/>
  <c r="HH380" i="4" s="1"/>
  <c r="AY380" i="4"/>
  <c r="FV380" i="4"/>
  <c r="CM380" i="4"/>
  <c r="GU380" i="4"/>
  <c r="GV380" i="4" s="1"/>
  <c r="FA348" i="4"/>
  <c r="DR348" i="4"/>
  <c r="P380" i="4"/>
  <c r="HS380" i="4" s="1"/>
  <c r="DH380" i="4"/>
  <c r="GC348" i="4"/>
  <c r="DK348" i="4"/>
  <c r="CP348" i="4"/>
  <c r="CT348" i="4"/>
  <c r="BY348" i="4"/>
  <c r="GE348" i="4"/>
  <c r="FJ348" i="4"/>
  <c r="AQ348" i="4"/>
  <c r="EM348" i="4"/>
  <c r="CK348" i="4"/>
  <c r="DD348" i="4"/>
  <c r="EF348" i="4"/>
  <c r="GN348" i="4"/>
  <c r="CW348" i="4"/>
  <c r="EJ348" i="4"/>
  <c r="FL348" i="4"/>
  <c r="ET348" i="4"/>
  <c r="FE348" i="4"/>
  <c r="CC348" i="4"/>
  <c r="FX348" i="4"/>
  <c r="GU348" i="4"/>
  <c r="GV348" i="4" s="1"/>
  <c r="CE348" i="4"/>
  <c r="FQ348" i="4"/>
  <c r="DA348" i="4"/>
  <c r="GJ348" i="4"/>
  <c r="DF348" i="4"/>
  <c r="EA348" i="4"/>
  <c r="AS348" i="4"/>
  <c r="DM348" i="4"/>
  <c r="DT348" i="4"/>
  <c r="HG348" i="4"/>
  <c r="HH348" i="4" s="1"/>
  <c r="FO348" i="4"/>
  <c r="DY348" i="4"/>
  <c r="BW348" i="4"/>
  <c r="AY348" i="4"/>
  <c r="GG348" i="4"/>
  <c r="CI348" i="4"/>
  <c r="EH348" i="4"/>
  <c r="DO348" i="4"/>
  <c r="CM348" i="4"/>
  <c r="HC348" i="4"/>
  <c r="HD348" i="4" s="1"/>
  <c r="DH348" i="4"/>
  <c r="EO348" i="4"/>
  <c r="EC348" i="4"/>
  <c r="CY348" i="4"/>
  <c r="AW348" i="4"/>
  <c r="FC348" i="4"/>
  <c r="DV348" i="4"/>
  <c r="FH348" i="4"/>
  <c r="CR348" i="4"/>
  <c r="EV348" i="4"/>
  <c r="FV348" i="4"/>
  <c r="CR380" i="4"/>
  <c r="FO380" i="4"/>
  <c r="N346" i="4"/>
  <c r="GW348" i="4"/>
  <c r="GX348" i="4" s="1"/>
  <c r="GL348" i="4"/>
  <c r="EA380" i="4"/>
  <c r="FS348" i="4"/>
  <c r="N348" i="4"/>
  <c r="CA348" i="4" s="1"/>
  <c r="P348" i="4"/>
  <c r="W121" i="4"/>
  <c r="CT364" i="4" l="1"/>
  <c r="BT345" i="4"/>
  <c r="HA345" i="4"/>
  <c r="HC345" i="4" s="1"/>
  <c r="DY345" i="4"/>
  <c r="CT380" i="4"/>
  <c r="HA380" i="4"/>
  <c r="BT380" i="4"/>
  <c r="GS364" i="4"/>
  <c r="GW364" i="4" s="1"/>
  <c r="BT364" i="4"/>
  <c r="HS364" i="4"/>
  <c r="HS348" i="4"/>
  <c r="CA380" i="4"/>
  <c r="CG380" i="4"/>
  <c r="CG348" i="4"/>
  <c r="HA348" i="4"/>
  <c r="BT348" i="4"/>
  <c r="EQ348" i="4"/>
  <c r="HO345" i="4"/>
  <c r="BY346" i="4"/>
  <c r="HI346" i="4"/>
  <c r="HI341" i="4"/>
  <c r="CE346" i="4"/>
  <c r="HA346" i="4"/>
  <c r="DY338" i="4"/>
  <c r="CC338" i="4"/>
  <c r="BW338" i="4"/>
  <c r="EA341" i="4"/>
  <c r="HA341" i="4"/>
  <c r="CE341" i="4"/>
  <c r="HA338" i="4"/>
  <c r="BS338" i="4"/>
  <c r="BY341" i="4"/>
  <c r="CA341" i="4"/>
  <c r="DF346" i="4"/>
  <c r="Y116" i="4"/>
  <c r="Y115" i="4"/>
  <c r="Z97" i="4"/>
  <c r="Z83" i="4"/>
  <c r="BS53" i="4"/>
  <c r="BT53" i="4"/>
  <c r="BU53" i="4"/>
  <c r="BV53" i="4"/>
  <c r="BS54" i="4"/>
  <c r="BT54" i="4"/>
  <c r="BU54" i="4"/>
  <c r="BV54" i="4"/>
  <c r="BS83" i="4"/>
  <c r="BT83" i="4"/>
  <c r="BU83" i="4"/>
  <c r="BV83" i="4"/>
  <c r="BS97" i="4"/>
  <c r="BT97" i="4"/>
  <c r="BU97" i="4"/>
  <c r="BV97" i="4"/>
  <c r="BS216" i="4"/>
  <c r="BT216" i="4"/>
  <c r="BU216" i="4"/>
  <c r="BV216" i="4"/>
  <c r="BS235" i="4"/>
  <c r="BT235" i="4"/>
  <c r="BU235" i="4"/>
  <c r="BV235" i="4"/>
  <c r="BS261" i="4"/>
  <c r="BT261" i="4"/>
  <c r="BU261" i="4"/>
  <c r="BV261" i="4"/>
  <c r="BT372" i="4"/>
  <c r="BU372" i="4"/>
  <c r="BV372" i="4"/>
  <c r="BS385" i="4"/>
  <c r="BT385" i="4"/>
  <c r="BU385" i="4"/>
  <c r="BV385" i="4"/>
  <c r="BT408" i="4"/>
  <c r="BU408" i="4"/>
  <c r="BV408" i="4"/>
  <c r="BT417" i="4"/>
  <c r="BU417" i="4"/>
  <c r="BV417" i="4"/>
  <c r="BS416" i="4"/>
  <c r="BT416" i="4"/>
  <c r="BU416" i="4"/>
  <c r="BV416" i="4"/>
  <c r="BS312" i="4"/>
  <c r="BT312" i="4"/>
  <c r="BU312" i="4"/>
  <c r="BV312" i="4"/>
  <c r="G180" i="4"/>
  <c r="D180" i="4"/>
  <c r="HA180" i="4" s="1"/>
  <c r="HB180" i="4" s="1"/>
  <c r="K180" i="4"/>
  <c r="BI180" i="4" s="1"/>
  <c r="U180" i="4"/>
  <c r="Y180" i="4"/>
  <c r="W117" i="4"/>
  <c r="HE380" i="4" l="1"/>
  <c r="HE348" i="4"/>
  <c r="HG346" i="4"/>
  <c r="HG341" i="4"/>
  <c r="HC338" i="4"/>
  <c r="X180" i="4"/>
  <c r="AB180" i="4" s="1"/>
  <c r="BH180" i="4"/>
  <c r="BG180" i="4"/>
  <c r="BE180" i="4"/>
  <c r="BD180" i="4"/>
  <c r="BC180" i="4"/>
  <c r="S180" i="4"/>
  <c r="BQ180" i="4" s="1"/>
  <c r="W83" i="4"/>
  <c r="W97" i="4"/>
  <c r="BO180" i="4" l="1"/>
  <c r="AA180" i="4"/>
  <c r="AK180" i="4" s="1"/>
  <c r="AI180" i="4" s="1"/>
  <c r="C180" i="4"/>
  <c r="HM180" i="4"/>
  <c r="HO180" i="4"/>
  <c r="HQ180" i="4"/>
  <c r="HS180" i="4"/>
  <c r="HK180" i="4"/>
  <c r="L180" i="4"/>
  <c r="BF180" i="4"/>
  <c r="H180" i="4"/>
  <c r="Z54" i="4"/>
  <c r="Z53" i="4"/>
  <c r="W53" i="4"/>
  <c r="W54" i="4"/>
  <c r="M180" i="4" l="1"/>
  <c r="P180" i="4"/>
  <c r="FX180" i="4" s="1"/>
  <c r="N180" i="4"/>
  <c r="BY180" i="4" s="1"/>
  <c r="BT180" i="4"/>
  <c r="HG180" i="4"/>
  <c r="HH180" i="4" s="1"/>
  <c r="HU180" i="4"/>
  <c r="BS180" i="4"/>
  <c r="BV180" i="4"/>
  <c r="GS180" i="4"/>
  <c r="GY180" i="4" s="1"/>
  <c r="BU180" i="4"/>
  <c r="DM180" i="4"/>
  <c r="FL180" i="4"/>
  <c r="AU180" i="4"/>
  <c r="GE180" i="4"/>
  <c r="CW180" i="4"/>
  <c r="FZ180" i="4"/>
  <c r="AW180" i="4"/>
  <c r="GW180" i="4"/>
  <c r="GX180" i="4" s="1"/>
  <c r="CI180" i="4"/>
  <c r="GJ180" i="4"/>
  <c r="CR180" i="4"/>
  <c r="GG180" i="4"/>
  <c r="DD180" i="4"/>
  <c r="CT180" i="4"/>
  <c r="FS180" i="4"/>
  <c r="EH180" i="4"/>
  <c r="GC180" i="4"/>
  <c r="FQ180" i="4"/>
  <c r="EJ180" i="4"/>
  <c r="FC180" i="4"/>
  <c r="EQ180" i="4"/>
  <c r="EM180" i="4"/>
  <c r="EC180" i="4"/>
  <c r="CG180" i="4"/>
  <c r="FO180" i="4"/>
  <c r="GU180" i="4"/>
  <c r="GV180" i="4" s="1"/>
  <c r="FA180" i="4"/>
  <c r="CM180" i="4"/>
  <c r="BW180" i="4"/>
  <c r="DT180" i="4"/>
  <c r="FV180" i="4"/>
  <c r="DO180" i="4"/>
  <c r="GL180" i="4"/>
  <c r="ET180" i="4"/>
  <c r="GN180" i="4"/>
  <c r="DA180" i="4"/>
  <c r="FJ180" i="4"/>
  <c r="DY180" i="4"/>
  <c r="EX180" i="4"/>
  <c r="DK180" i="4"/>
  <c r="HC180" i="4"/>
  <c r="HD180" i="4" s="1"/>
  <c r="HE180" i="4"/>
  <c r="HF180" i="4" s="1"/>
  <c r="EO180" i="4"/>
  <c r="CA180" i="4"/>
  <c r="EA180" i="4"/>
  <c r="DH180" i="4"/>
  <c r="EV180" i="4"/>
  <c r="CE180" i="4"/>
  <c r="AO180" i="4"/>
  <c r="CY180" i="4"/>
  <c r="EF180" i="4"/>
  <c r="CC180" i="4"/>
  <c r="FH180" i="4"/>
  <c r="DV180" i="4"/>
  <c r="CP180" i="4"/>
  <c r="AQ180" i="4"/>
  <c r="CK180" i="4"/>
  <c r="DR180" i="4"/>
  <c r="DF180" i="4"/>
  <c r="FE180" i="4"/>
  <c r="Z27" i="4"/>
  <c r="HI180" i="4" l="1"/>
  <c r="AS180" i="4"/>
  <c r="AK13" i="4"/>
  <c r="AI312" i="4"/>
  <c r="AI385" i="4"/>
  <c r="AI261" i="4"/>
  <c r="AI235" i="4"/>
  <c r="AI216" i="4"/>
  <c r="AI97" i="4"/>
  <c r="AI83" i="4"/>
  <c r="AI27" i="4"/>
  <c r="AI54" i="4"/>
  <c r="AI53" i="4"/>
  <c r="H25" i="4"/>
  <c r="H24" i="4"/>
  <c r="H13" i="4"/>
  <c r="Z25" i="4" l="1"/>
  <c r="AI25" i="4" s="1"/>
  <c r="Z24" i="4"/>
  <c r="AI24" i="4" s="1"/>
  <c r="W24" i="4"/>
  <c r="W25" i="4"/>
  <c r="W27" i="4"/>
  <c r="Z13" i="4" l="1"/>
  <c r="AI13" i="4" s="1"/>
  <c r="W13" i="4"/>
  <c r="Y13" i="4" s="1"/>
  <c r="Y26" i="4" l="1"/>
  <c r="Y28" i="4"/>
  <c r="Y29" i="4"/>
  <c r="Y30" i="4"/>
  <c r="Y31" i="4"/>
  <c r="Y32" i="4"/>
  <c r="Y33" i="4"/>
  <c r="Y34" i="4"/>
  <c r="Y35" i="4"/>
  <c r="Y36" i="4"/>
  <c r="Y37" i="4"/>
  <c r="Y38" i="4"/>
  <c r="Y39" i="4"/>
  <c r="Y40" i="4"/>
  <c r="Y41" i="4"/>
  <c r="Y42" i="4"/>
  <c r="Y153" i="4"/>
  <c r="Y43" i="4"/>
  <c r="Y44" i="4"/>
  <c r="Y45" i="4"/>
  <c r="Y46" i="4"/>
  <c r="Y47" i="4"/>
  <c r="Y48" i="4"/>
  <c r="Y49" i="4"/>
  <c r="Y50" i="4"/>
  <c r="Y51" i="4"/>
  <c r="Y52" i="4"/>
  <c r="Y88" i="4"/>
  <c r="Y53" i="4"/>
  <c r="Y54" i="4"/>
  <c r="Y57" i="4"/>
  <c r="Y58" i="4"/>
  <c r="Y59" i="4"/>
  <c r="Y179" i="4"/>
  <c r="Y60" i="4"/>
  <c r="Y198" i="4"/>
  <c r="Y61" i="4"/>
  <c r="Y62" i="4"/>
  <c r="Y63" i="4"/>
  <c r="Y64" i="4"/>
  <c r="Y65" i="4"/>
  <c r="Y66" i="4"/>
  <c r="Y67" i="4"/>
  <c r="Y68" i="4"/>
  <c r="Y69" i="4"/>
  <c r="Y70" i="4"/>
  <c r="Y71" i="4"/>
  <c r="Y72" i="4"/>
  <c r="Y293" i="4"/>
  <c r="Y73" i="4"/>
  <c r="Y74" i="4"/>
  <c r="Y75" i="4"/>
  <c r="Y76" i="4"/>
  <c r="Y77" i="4"/>
  <c r="Y78" i="4"/>
  <c r="Y80" i="4"/>
  <c r="Y27" i="4"/>
  <c r="Y81" i="4"/>
  <c r="Y82" i="4"/>
  <c r="Y83" i="4"/>
  <c r="Y121" i="4"/>
  <c r="Y84" i="4"/>
  <c r="Y154" i="4"/>
  <c r="Y85" i="4"/>
  <c r="Y86" i="4"/>
  <c r="Y89" i="4"/>
  <c r="Y90" i="4"/>
  <c r="Y91" i="4"/>
  <c r="Y92" i="4"/>
  <c r="Y130" i="4"/>
  <c r="Y93" i="4"/>
  <c r="Y166" i="4"/>
  <c r="Y94" i="4"/>
  <c r="Y95" i="4"/>
  <c r="Y96" i="4"/>
  <c r="Y97" i="4"/>
  <c r="Y98" i="4"/>
  <c r="Y87" i="4"/>
  <c r="Y99" i="4"/>
  <c r="Y100" i="4"/>
  <c r="Y101" i="4"/>
  <c r="Y102" i="4"/>
  <c r="Y103" i="4"/>
  <c r="Y104" i="4"/>
  <c r="Y105" i="4"/>
  <c r="Y106" i="4"/>
  <c r="Y107" i="4"/>
  <c r="Y167" i="4"/>
  <c r="Y108" i="4"/>
  <c r="Y109" i="4"/>
  <c r="Y122" i="4"/>
  <c r="Y123" i="4"/>
  <c r="Y110" i="4"/>
  <c r="Y111" i="4"/>
  <c r="Y114" i="4"/>
  <c r="Y117" i="4"/>
  <c r="Y118" i="4"/>
  <c r="Y119" i="4"/>
  <c r="Y120" i="4"/>
  <c r="Y268" i="4"/>
  <c r="Y124" i="4"/>
  <c r="Y125" i="4"/>
  <c r="Y126" i="4"/>
  <c r="Y127" i="4"/>
  <c r="Y128" i="4"/>
  <c r="Y129" i="4"/>
  <c r="Y131" i="4"/>
  <c r="Y132" i="4"/>
  <c r="Y133" i="4"/>
  <c r="Y134" i="4"/>
  <c r="Y135" i="4"/>
  <c r="Y55" i="4"/>
  <c r="Y136" i="4"/>
  <c r="Y137" i="4"/>
  <c r="Y138" i="4"/>
  <c r="Y139" i="4"/>
  <c r="Y168" i="4"/>
  <c r="Y140" i="4"/>
  <c r="Y141" i="4"/>
  <c r="Y169" i="4"/>
  <c r="Y249" i="4"/>
  <c r="Y142" i="4"/>
  <c r="Y264" i="4"/>
  <c r="Y265" i="4"/>
  <c r="Y199" i="4"/>
  <c r="Y56" i="4"/>
  <c r="Y143" i="4"/>
  <c r="Y170" i="4"/>
  <c r="Y144" i="4"/>
  <c r="Y145" i="4"/>
  <c r="Y269" i="4"/>
  <c r="Y165" i="4"/>
  <c r="Y146" i="4"/>
  <c r="Y147" i="4"/>
  <c r="Y148" i="4"/>
  <c r="Y149" i="4"/>
  <c r="Y150" i="4"/>
  <c r="Y151" i="4"/>
  <c r="Y152" i="4"/>
  <c r="Y155" i="4"/>
  <c r="Y156" i="4"/>
  <c r="Y157" i="4"/>
  <c r="Y158" i="4"/>
  <c r="Y112" i="4"/>
  <c r="Y306" i="4"/>
  <c r="Y159" i="4"/>
  <c r="Y160" i="4"/>
  <c r="Y161" i="4"/>
  <c r="Y162" i="4"/>
  <c r="Y171" i="4"/>
  <c r="Y79" i="4"/>
  <c r="Y200" i="4"/>
  <c r="Y172" i="4"/>
  <c r="Y294" i="4"/>
  <c r="Y291" i="4"/>
  <c r="Y295" i="4"/>
  <c r="Y296" i="4"/>
  <c r="Y173" i="4"/>
  <c r="Y270" i="4"/>
  <c r="Y201" i="4"/>
  <c r="Y174" i="4"/>
  <c r="Y271" i="4"/>
  <c r="Y175" i="4"/>
  <c r="Y176" i="4"/>
  <c r="Y181" i="4"/>
  <c r="Y182" i="4"/>
  <c r="Y259" i="4"/>
  <c r="Y183" i="4"/>
  <c r="Y184" i="4"/>
  <c r="Y185" i="4"/>
  <c r="Y186" i="4"/>
  <c r="Y187" i="4"/>
  <c r="Y188" i="4"/>
  <c r="Y163" i="4"/>
  <c r="Y228" i="4"/>
  <c r="Y189" i="4"/>
  <c r="Y229" i="4"/>
  <c r="Y190" i="4"/>
  <c r="Y191" i="4"/>
  <c r="Y192" i="4"/>
  <c r="Y193" i="4"/>
  <c r="Y194" i="4"/>
  <c r="Y195" i="4"/>
  <c r="Y202" i="4"/>
  <c r="Y203" i="4"/>
  <c r="Y204" i="4"/>
  <c r="Y205" i="4"/>
  <c r="Y206" i="4"/>
  <c r="Y207" i="4"/>
  <c r="Y208" i="4"/>
  <c r="Y209" i="4"/>
  <c r="Y210" i="4"/>
  <c r="Y211" i="4"/>
  <c r="Y212" i="4"/>
  <c r="Y213" i="4"/>
  <c r="Y214" i="4"/>
  <c r="Y215" i="4"/>
  <c r="Y216" i="4"/>
  <c r="Y217" i="4"/>
  <c r="Y266" i="4"/>
  <c r="Y254" i="4"/>
  <c r="Y218" i="4"/>
  <c r="Y219" i="4"/>
  <c r="Y220" i="4"/>
  <c r="Y221" i="4"/>
  <c r="Y177" i="4"/>
  <c r="Y222" i="4"/>
  <c r="Y223" i="4"/>
  <c r="Y224" i="4"/>
  <c r="Y178" i="4"/>
  <c r="Y230" i="4"/>
  <c r="Y231" i="4"/>
  <c r="Y232" i="4"/>
  <c r="Y233" i="4"/>
  <c r="Y234" i="4"/>
  <c r="Y196" i="4"/>
  <c r="Y236" i="4"/>
  <c r="Y237" i="4"/>
  <c r="Y238" i="4"/>
  <c r="Y239" i="4"/>
  <c r="Y240" i="4"/>
  <c r="Y113" i="4"/>
  <c r="Y241" i="4"/>
  <c r="Y242" i="4"/>
  <c r="Y331" i="4"/>
  <c r="Y243" i="4"/>
  <c r="Y244" i="4"/>
  <c r="Y245" i="4"/>
  <c r="Y250" i="4"/>
  <c r="Y251" i="4"/>
  <c r="Y252" i="4"/>
  <c r="Y253" i="4"/>
  <c r="Y255" i="4"/>
  <c r="Y256" i="4"/>
  <c r="Y257" i="4"/>
  <c r="Y267" i="4"/>
  <c r="Y260" i="4"/>
  <c r="Y261" i="4"/>
  <c r="Y278" i="4"/>
  <c r="Y262" i="4"/>
  <c r="Y279" i="4"/>
  <c r="Y263" i="4"/>
  <c r="Y272" i="4"/>
  <c r="Y273" i="4"/>
  <c r="Y313" i="4"/>
  <c r="Y292" i="4"/>
  <c r="Y297" i="4"/>
  <c r="Y274" i="4"/>
  <c r="Y275" i="4"/>
  <c r="Y276" i="4"/>
  <c r="Y258" i="4"/>
  <c r="Y280" i="4"/>
  <c r="Y164" i="4"/>
  <c r="Y281" i="4"/>
  <c r="Y314" i="4"/>
  <c r="Y282" i="4"/>
  <c r="Y336" i="4"/>
  <c r="Y283" i="4"/>
  <c r="Y246" i="4"/>
  <c r="Y284" i="4"/>
  <c r="Y285" i="4"/>
  <c r="Y227" i="4"/>
  <c r="Y298" i="4"/>
  <c r="Y299" i="4"/>
  <c r="Y300" i="4"/>
  <c r="Y301" i="4"/>
  <c r="Y302" i="4"/>
  <c r="Y277" i="4"/>
  <c r="Y307" i="4"/>
  <c r="Y286" i="4"/>
  <c r="Y308" i="4"/>
  <c r="Y197" i="4"/>
  <c r="Y309" i="4"/>
  <c r="Y310" i="4"/>
  <c r="Y247" i="4"/>
  <c r="Y290" i="4"/>
  <c r="Y311" i="4"/>
  <c r="Y287" i="4"/>
  <c r="Y288" i="4"/>
  <c r="Y315" i="4"/>
  <c r="Y329" i="4"/>
  <c r="Y316" i="4"/>
  <c r="Y317" i="4"/>
  <c r="Y225" i="4"/>
  <c r="Y226" i="4"/>
  <c r="Y303" i="4"/>
  <c r="Y318" i="4"/>
  <c r="Y319" i="4"/>
  <c r="Y289" i="4"/>
  <c r="Y320" i="4"/>
  <c r="Y321" i="4"/>
  <c r="Y322" i="4"/>
  <c r="Y248" i="4"/>
  <c r="Y324" i="4"/>
  <c r="Y325" i="4"/>
  <c r="Y326" i="4"/>
  <c r="Y330" i="4"/>
  <c r="Y327" i="4"/>
  <c r="Y304" i="4"/>
  <c r="Y332" i="4"/>
  <c r="Y349" i="4"/>
  <c r="Y335" i="4"/>
  <c r="Y337" i="4"/>
  <c r="Y339" i="4"/>
  <c r="Y340" i="4"/>
  <c r="Y328" i="4"/>
  <c r="Y342" i="4"/>
  <c r="Y343" i="4"/>
  <c r="Y344" i="4"/>
  <c r="Y360" i="4"/>
  <c r="Y355" i="4"/>
  <c r="Y347" i="4"/>
  <c r="Y350" i="4"/>
  <c r="Y351" i="4"/>
  <c r="Y356" i="4"/>
  <c r="Y352" i="4"/>
  <c r="Y353" i="4"/>
  <c r="Y354" i="4"/>
  <c r="Y369" i="4"/>
  <c r="Y373" i="4"/>
  <c r="Y357" i="4"/>
  <c r="Y358" i="4"/>
  <c r="Y361" i="4"/>
  <c r="Y362" i="4"/>
  <c r="Y363" i="4"/>
  <c r="Y366" i="4"/>
  <c r="Y370" i="4"/>
  <c r="Y371" i="4"/>
  <c r="Y359" i="4"/>
  <c r="Y367" i="4"/>
  <c r="Y374" i="4"/>
  <c r="Y375" i="4"/>
  <c r="Y376" i="4"/>
  <c r="Y377" i="4"/>
  <c r="Y378" i="4"/>
  <c r="Y379" i="4"/>
  <c r="Y386" i="4"/>
  <c r="Y387" i="4"/>
  <c r="Y383" i="4"/>
  <c r="Y384" i="4"/>
  <c r="Y385" i="4"/>
  <c r="Y396" i="4"/>
  <c r="Y381" i="4"/>
  <c r="Y388" i="4"/>
  <c r="Y389" i="4"/>
  <c r="Y390" i="4"/>
  <c r="Y391" i="4"/>
  <c r="Y392" i="4"/>
  <c r="Y393" i="4"/>
  <c r="Y399" i="4"/>
  <c r="Y382" i="4"/>
  <c r="Y394" i="4"/>
  <c r="Y410" i="4"/>
  <c r="Y398" i="4"/>
  <c r="Y400" i="4"/>
  <c r="Y401" i="4"/>
  <c r="Y402" i="4"/>
  <c r="Y395" i="4"/>
  <c r="Y397" i="4"/>
  <c r="Y411" i="4"/>
  <c r="Y404" i="4"/>
  <c r="Y368" i="4"/>
  <c r="Y406" i="4"/>
  <c r="Y365" i="4"/>
  <c r="Y412" i="4"/>
  <c r="Y409" i="4"/>
  <c r="Y403" i="4"/>
  <c r="Y407" i="4"/>
  <c r="Y405" i="4"/>
  <c r="Y413" i="4"/>
  <c r="Y421" i="4"/>
  <c r="Y419" i="4"/>
  <c r="Y420" i="4"/>
  <c r="Y422" i="4"/>
  <c r="Y414" i="4"/>
  <c r="Y418" i="4"/>
  <c r="Y333" i="4"/>
  <c r="Y334" i="4"/>
  <c r="Y4" i="4"/>
  <c r="G152" i="4" l="1"/>
  <c r="D152" i="4"/>
  <c r="GS152" i="4" s="1"/>
  <c r="GT152" i="4" s="1"/>
  <c r="K152" i="4"/>
  <c r="BC152" i="4" s="1"/>
  <c r="U152" i="4"/>
  <c r="X152" i="4" s="1"/>
  <c r="AB152" i="4" s="1"/>
  <c r="G41" i="4"/>
  <c r="D41" i="4"/>
  <c r="GS41" i="4" s="1"/>
  <c r="GT41" i="4" s="1"/>
  <c r="K41" i="4"/>
  <c r="U41" i="4"/>
  <c r="X41" i="4" s="1"/>
  <c r="AB41" i="4" s="1"/>
  <c r="G245" i="4"/>
  <c r="D245" i="4"/>
  <c r="K245" i="4"/>
  <c r="BH245" i="4" s="1"/>
  <c r="U245" i="4"/>
  <c r="X245" i="4" s="1"/>
  <c r="AB245" i="4" s="1"/>
  <c r="G312" i="4"/>
  <c r="D312" i="4"/>
  <c r="GS312" i="4" s="1"/>
  <c r="GT312" i="4" s="1"/>
  <c r="K312" i="4"/>
  <c r="U312" i="4"/>
  <c r="X312" i="4" s="1"/>
  <c r="AB312" i="4" s="1"/>
  <c r="AK312" i="4"/>
  <c r="D333" i="4"/>
  <c r="GS333" i="4" s="1"/>
  <c r="GT333" i="4" s="1"/>
  <c r="D15" i="16"/>
  <c r="K333" i="4"/>
  <c r="U333" i="4"/>
  <c r="X333" i="4" s="1"/>
  <c r="AA333" i="4" s="1"/>
  <c r="AK333" i="4" s="1"/>
  <c r="AI333" i="4" s="1"/>
  <c r="G334" i="4"/>
  <c r="D334" i="4"/>
  <c r="GS334" i="4" s="1"/>
  <c r="GT334" i="4" s="1"/>
  <c r="D14" i="16"/>
  <c r="K334" i="4"/>
  <c r="U334" i="4"/>
  <c r="X334" i="4" s="1"/>
  <c r="AA334" i="4" s="1"/>
  <c r="AK334" i="4" s="1"/>
  <c r="AI334" i="4" s="1"/>
  <c r="Y5" i="4"/>
  <c r="Y6" i="4"/>
  <c r="Y7" i="4"/>
  <c r="Y8" i="4"/>
  <c r="Y9" i="4"/>
  <c r="Y10" i="4"/>
  <c r="Y11" i="4"/>
  <c r="Y12" i="4"/>
  <c r="Y14" i="4"/>
  <c r="Y15" i="4"/>
  <c r="Y16" i="4"/>
  <c r="Y17" i="4"/>
  <c r="Y18" i="4"/>
  <c r="Y19" i="4"/>
  <c r="Y20" i="4"/>
  <c r="Y21" i="4"/>
  <c r="Y22" i="4"/>
  <c r="Y23" i="4"/>
  <c r="Y24" i="4"/>
  <c r="Y25" i="4"/>
  <c r="D283" i="4"/>
  <c r="GS283" i="4" s="1"/>
  <c r="GT283" i="4" s="1"/>
  <c r="K283" i="4"/>
  <c r="U283" i="4"/>
  <c r="X283" i="4" s="1"/>
  <c r="AA283" i="4" s="1"/>
  <c r="AK283" i="4" s="1"/>
  <c r="AI283" i="4" s="1"/>
  <c r="G283" i="4"/>
  <c r="U4" i="4"/>
  <c r="U5" i="4"/>
  <c r="U6" i="4"/>
  <c r="U7" i="4"/>
  <c r="U8" i="4"/>
  <c r="U9" i="4"/>
  <c r="U10" i="4"/>
  <c r="U11" i="4"/>
  <c r="U28" i="4"/>
  <c r="U12" i="4"/>
  <c r="U13" i="4"/>
  <c r="U14" i="4"/>
  <c r="U29" i="4"/>
  <c r="U15" i="4"/>
  <c r="U16" i="4"/>
  <c r="U17" i="4"/>
  <c r="U18" i="4"/>
  <c r="U19" i="4"/>
  <c r="U20" i="4"/>
  <c r="U21" i="4"/>
  <c r="U22" i="4"/>
  <c r="U23" i="4"/>
  <c r="U24" i="4"/>
  <c r="U25" i="4"/>
  <c r="U44" i="4"/>
  <c r="U26" i="4"/>
  <c r="U30" i="4"/>
  <c r="U31" i="4"/>
  <c r="U32" i="4"/>
  <c r="U33" i="4"/>
  <c r="U34" i="4"/>
  <c r="U35" i="4"/>
  <c r="U36" i="4"/>
  <c r="U37" i="4"/>
  <c r="U38" i="4"/>
  <c r="U39" i="4"/>
  <c r="U45" i="4"/>
  <c r="U42" i="4"/>
  <c r="U153" i="4"/>
  <c r="U114" i="4"/>
  <c r="U124" i="4"/>
  <c r="U46" i="4"/>
  <c r="U47" i="4"/>
  <c r="U48" i="4"/>
  <c r="U49" i="4"/>
  <c r="U50" i="4"/>
  <c r="U131" i="4"/>
  <c r="U51" i="4"/>
  <c r="U52" i="4"/>
  <c r="U88" i="4"/>
  <c r="U57" i="4"/>
  <c r="U58" i="4"/>
  <c r="U80" i="4"/>
  <c r="U59" i="4"/>
  <c r="U179" i="4"/>
  <c r="U60" i="4"/>
  <c r="U198" i="4"/>
  <c r="U61" i="4"/>
  <c r="U65" i="4"/>
  <c r="U66" i="4"/>
  <c r="U67" i="4"/>
  <c r="U89" i="4"/>
  <c r="U68" i="4"/>
  <c r="U69" i="4"/>
  <c r="U70" i="4"/>
  <c r="U71" i="4"/>
  <c r="U72" i="4"/>
  <c r="U293" i="4"/>
  <c r="U73" i="4"/>
  <c r="U132" i="4"/>
  <c r="U74" i="4"/>
  <c r="U75" i="4"/>
  <c r="U76" i="4"/>
  <c r="U202" i="4"/>
  <c r="U155" i="4"/>
  <c r="U27" i="4"/>
  <c r="U81" i="4"/>
  <c r="U43" i="4"/>
  <c r="U82" i="4"/>
  <c r="U83" i="4"/>
  <c r="U121" i="4"/>
  <c r="U84" i="4"/>
  <c r="U154" i="4"/>
  <c r="U90" i="4"/>
  <c r="U91" i="4"/>
  <c r="U92" i="4"/>
  <c r="U130" i="4"/>
  <c r="U93" i="4"/>
  <c r="U166" i="4"/>
  <c r="U40" i="4"/>
  <c r="U94" i="4"/>
  <c r="U95" i="4"/>
  <c r="U96" i="4"/>
  <c r="U97" i="4"/>
  <c r="U98" i="4"/>
  <c r="U87" i="4"/>
  <c r="U133" i="4"/>
  <c r="U115" i="4"/>
  <c r="U99" i="4"/>
  <c r="U100" i="4"/>
  <c r="U101" i="4"/>
  <c r="U134" i="4"/>
  <c r="U135" i="4"/>
  <c r="U102" i="4"/>
  <c r="U103" i="4"/>
  <c r="U104" i="4"/>
  <c r="U105" i="4"/>
  <c r="U62" i="4"/>
  <c r="U107" i="4"/>
  <c r="U125" i="4"/>
  <c r="U167" i="4"/>
  <c r="U108" i="4"/>
  <c r="U109" i="4"/>
  <c r="U230" i="4"/>
  <c r="U156" i="4"/>
  <c r="U231" i="4"/>
  <c r="U122" i="4"/>
  <c r="U85" i="4"/>
  <c r="U123" i="4"/>
  <c r="U116" i="4"/>
  <c r="U250" i="4"/>
  <c r="U117" i="4"/>
  <c r="U251" i="4"/>
  <c r="U118" i="4"/>
  <c r="U119" i="4"/>
  <c r="U120" i="4"/>
  <c r="U268" i="4"/>
  <c r="U252" i="4"/>
  <c r="U253" i="4"/>
  <c r="U126" i="4"/>
  <c r="U127" i="4"/>
  <c r="U128" i="4"/>
  <c r="U260" i="4"/>
  <c r="U129" i="4"/>
  <c r="U55" i="4"/>
  <c r="U53" i="4"/>
  <c r="U136" i="4"/>
  <c r="U137" i="4"/>
  <c r="U54" i="4"/>
  <c r="U138" i="4"/>
  <c r="U139" i="4"/>
  <c r="U168" i="4"/>
  <c r="U140" i="4"/>
  <c r="U141" i="4"/>
  <c r="U169" i="4"/>
  <c r="U249" i="4"/>
  <c r="U142" i="4"/>
  <c r="U264" i="4"/>
  <c r="U265" i="4"/>
  <c r="U199" i="4"/>
  <c r="U56" i="4"/>
  <c r="U143" i="4"/>
  <c r="U170" i="4"/>
  <c r="U203" i="4"/>
  <c r="U204" i="4"/>
  <c r="U144" i="4"/>
  <c r="U145" i="4"/>
  <c r="U269" i="4"/>
  <c r="U165" i="4"/>
  <c r="U146" i="4"/>
  <c r="U315" i="4"/>
  <c r="U232" i="4"/>
  <c r="U157" i="4"/>
  <c r="U63" i="4"/>
  <c r="U158" i="4"/>
  <c r="U112" i="4"/>
  <c r="U306" i="4"/>
  <c r="U159" i="4"/>
  <c r="U64" i="4"/>
  <c r="U171" i="4"/>
  <c r="U77" i="4"/>
  <c r="U79" i="4"/>
  <c r="U200" i="4"/>
  <c r="U106" i="4"/>
  <c r="U172" i="4"/>
  <c r="U147" i="4"/>
  <c r="U78" i="4"/>
  <c r="U294" i="4"/>
  <c r="U291" i="4"/>
  <c r="U295" i="4"/>
  <c r="U296" i="4"/>
  <c r="U173" i="4"/>
  <c r="U205" i="4"/>
  <c r="U270" i="4"/>
  <c r="U148" i="4"/>
  <c r="U201" i="4"/>
  <c r="U174" i="4"/>
  <c r="U271" i="4"/>
  <c r="U175" i="4"/>
  <c r="U181" i="4"/>
  <c r="U86" i="4"/>
  <c r="U182" i="4"/>
  <c r="U259" i="4"/>
  <c r="U183" i="4"/>
  <c r="U184" i="4"/>
  <c r="U185" i="4"/>
  <c r="U186" i="4"/>
  <c r="U187" i="4"/>
  <c r="U188" i="4"/>
  <c r="U163" i="4"/>
  <c r="U228" i="4"/>
  <c r="U233" i="4"/>
  <c r="U189" i="4"/>
  <c r="U277" i="4"/>
  <c r="U110" i="4"/>
  <c r="U229" i="4"/>
  <c r="U190" i="4"/>
  <c r="U160" i="4"/>
  <c r="U191" i="4"/>
  <c r="U421" i="4"/>
  <c r="U234" i="4"/>
  <c r="U206" i="4"/>
  <c r="U207" i="4"/>
  <c r="U335" i="4"/>
  <c r="U235" i="4"/>
  <c r="U111" i="4"/>
  <c r="U196" i="4"/>
  <c r="U236" i="4"/>
  <c r="U361" i="4"/>
  <c r="U289" i="4"/>
  <c r="U208" i="4"/>
  <c r="U209" i="4"/>
  <c r="U227" i="4"/>
  <c r="U210" i="4"/>
  <c r="U255" i="4"/>
  <c r="U261" i="4"/>
  <c r="U211" i="4"/>
  <c r="U149" i="4"/>
  <c r="U272" i="4"/>
  <c r="U256" i="4"/>
  <c r="U212" i="4"/>
  <c r="U150" i="4"/>
  <c r="U213" i="4"/>
  <c r="U329" i="4"/>
  <c r="U273" i="4"/>
  <c r="U280" i="4"/>
  <c r="U237" i="4"/>
  <c r="U164" i="4"/>
  <c r="U281" i="4"/>
  <c r="U314" i="4"/>
  <c r="U278" i="4"/>
  <c r="U282" i="4"/>
  <c r="U298" i="4"/>
  <c r="U299" i="4"/>
  <c r="U300" i="4"/>
  <c r="U301" i="4"/>
  <c r="U176" i="4"/>
  <c r="U192" i="4"/>
  <c r="U320" i="4"/>
  <c r="U193" i="4"/>
  <c r="U307" i="4"/>
  <c r="U286" i="4"/>
  <c r="U336" i="4"/>
  <c r="U238" i="4"/>
  <c r="U321" i="4"/>
  <c r="U214" i="4"/>
  <c r="U215" i="4"/>
  <c r="U151" i="4"/>
  <c r="U316" i="4"/>
  <c r="U216" i="4"/>
  <c r="U313" i="4"/>
  <c r="U217" i="4"/>
  <c r="U266" i="4"/>
  <c r="U292" i="4"/>
  <c r="U254" i="4"/>
  <c r="U317" i="4"/>
  <c r="U357" i="4"/>
  <c r="U218" i="4"/>
  <c r="U297" i="4"/>
  <c r="U225" i="4"/>
  <c r="U302" i="4"/>
  <c r="U246" i="4"/>
  <c r="U308" i="4"/>
  <c r="U328" i="4"/>
  <c r="U342" i="4"/>
  <c r="U239" i="4"/>
  <c r="U322" i="4"/>
  <c r="U257" i="4"/>
  <c r="U240" i="4"/>
  <c r="U381" i="4"/>
  <c r="U219" i="4"/>
  <c r="U267" i="4"/>
  <c r="U367" i="4"/>
  <c r="U194" i="4"/>
  <c r="U113" i="4"/>
  <c r="U284" i="4"/>
  <c r="U197" i="4"/>
  <c r="U161" i="4"/>
  <c r="U220" i="4"/>
  <c r="U274" i="4"/>
  <c r="U337" i="4"/>
  <c r="U262" i="4"/>
  <c r="U195" i="4"/>
  <c r="U309" i="4"/>
  <c r="U310" i="4"/>
  <c r="U339" i="4"/>
  <c r="U275" i="4"/>
  <c r="U221" i="4"/>
  <c r="U276" i="4"/>
  <c r="U248" i="4"/>
  <c r="U247" i="4"/>
  <c r="U343" i="4"/>
  <c r="U241" i="4"/>
  <c r="U242" i="4"/>
  <c r="U331" i="4"/>
  <c r="U290" i="4"/>
  <c r="U349" i="4"/>
  <c r="U355" i="4"/>
  <c r="U351" i="4"/>
  <c r="U177" i="4"/>
  <c r="U344" i="4"/>
  <c r="U350" i="4"/>
  <c r="U285" i="4"/>
  <c r="U279" i="4"/>
  <c r="U263" i="4"/>
  <c r="U304" i="4"/>
  <c r="U356" i="4"/>
  <c r="U311" i="4"/>
  <c r="U287" i="4"/>
  <c r="U222" i="4"/>
  <c r="U340" i="4"/>
  <c r="U223" i="4"/>
  <c r="U226" i="4"/>
  <c r="U224" i="4"/>
  <c r="U303" i="4"/>
  <c r="U243" i="4"/>
  <c r="U323" i="4"/>
  <c r="U324" i="4"/>
  <c r="U325" i="4"/>
  <c r="U360" i="4"/>
  <c r="U347" i="4"/>
  <c r="U178" i="4"/>
  <c r="U258" i="4"/>
  <c r="U362" i="4"/>
  <c r="U305" i="4"/>
  <c r="U162" i="4"/>
  <c r="U352" i="4"/>
  <c r="U353" i="4"/>
  <c r="U374" i="4"/>
  <c r="U373" i="4"/>
  <c r="U375" i="4"/>
  <c r="U376" i="4"/>
  <c r="U377" i="4"/>
  <c r="U378" i="4"/>
  <c r="U318" i="4"/>
  <c r="U319" i="4"/>
  <c r="U383" i="4"/>
  <c r="U288" i="4"/>
  <c r="U388" i="4"/>
  <c r="U365" i="4"/>
  <c r="U379" i="4"/>
  <c r="U389" i="4"/>
  <c r="U326" i="4"/>
  <c r="U390" i="4"/>
  <c r="U244" i="4"/>
  <c r="U410" i="4"/>
  <c r="U330" i="4"/>
  <c r="U332" i="4"/>
  <c r="U384" i="4"/>
  <c r="U354" i="4"/>
  <c r="U366" i="4"/>
  <c r="U400" i="4"/>
  <c r="U363" i="4"/>
  <c r="U370" i="4"/>
  <c r="U402" i="4"/>
  <c r="U395" i="4"/>
  <c r="U404" i="4"/>
  <c r="U391" i="4"/>
  <c r="U369" i="4"/>
  <c r="U385" i="4"/>
  <c r="U358" i="4"/>
  <c r="U392" i="4"/>
  <c r="U407" i="4"/>
  <c r="U393" i="4"/>
  <c r="U401" i="4"/>
  <c r="U399" i="4"/>
  <c r="U412" i="4"/>
  <c r="U371" i="4"/>
  <c r="U405" i="4"/>
  <c r="U386" i="4"/>
  <c r="U413" i="4"/>
  <c r="U382" i="4"/>
  <c r="U387" i="4"/>
  <c r="U396" i="4"/>
  <c r="U406" i="4"/>
  <c r="U394" i="4"/>
  <c r="U368" i="4"/>
  <c r="U327" i="4"/>
  <c r="U398" i="4"/>
  <c r="U359" i="4"/>
  <c r="U397" i="4"/>
  <c r="U419" i="4"/>
  <c r="U420" i="4"/>
  <c r="U422" i="4"/>
  <c r="U414" i="4"/>
  <c r="U418" i="4"/>
  <c r="U409" i="4"/>
  <c r="U411" i="4"/>
  <c r="U403" i="4"/>
  <c r="AB333" i="4" l="1"/>
  <c r="AB334" i="4"/>
  <c r="AB283" i="4"/>
  <c r="L333" i="4"/>
  <c r="M333" i="4" s="1"/>
  <c r="L334" i="4"/>
  <c r="BV334" i="4" s="1"/>
  <c r="BG334" i="4"/>
  <c r="AA312" i="4"/>
  <c r="L283" i="4"/>
  <c r="BV283" i="4" s="1"/>
  <c r="L4" i="16"/>
  <c r="L3" i="16"/>
  <c r="AA245" i="4"/>
  <c r="AK245" i="4" s="1"/>
  <c r="AI245" i="4" s="1"/>
  <c r="L245" i="4"/>
  <c r="BV245" i="4" s="1"/>
  <c r="G333" i="4"/>
  <c r="AA152" i="4"/>
  <c r="AK152" i="4" s="1"/>
  <c r="AI152" i="4" s="1"/>
  <c r="L152" i="4"/>
  <c r="BG152" i="4"/>
  <c r="AA41" i="4"/>
  <c r="AK41" i="4" s="1"/>
  <c r="AI41" i="4" s="1"/>
  <c r="L41" i="4"/>
  <c r="BG333" i="4"/>
  <c r="S333" i="4"/>
  <c r="BH152" i="4"/>
  <c r="S152" i="4"/>
  <c r="BQ152" i="4" s="1"/>
  <c r="BG312" i="4"/>
  <c r="S312" i="4"/>
  <c r="BC245" i="4"/>
  <c r="S245" i="4"/>
  <c r="BQ245" i="4" s="1"/>
  <c r="BC283" i="4"/>
  <c r="S283" i="4"/>
  <c r="BQ283" i="4" s="1"/>
  <c r="BC334" i="4"/>
  <c r="S334" i="4"/>
  <c r="BC41" i="4"/>
  <c r="S41" i="4"/>
  <c r="BQ41" i="4" s="1"/>
  <c r="BI41" i="4"/>
  <c r="BH41" i="4"/>
  <c r="BE41" i="4"/>
  <c r="BD41" i="4"/>
  <c r="BE152" i="4"/>
  <c r="BI334" i="4"/>
  <c r="BD152" i="4"/>
  <c r="BH334" i="4"/>
  <c r="BE283" i="4"/>
  <c r="BE334" i="4"/>
  <c r="BH312" i="4"/>
  <c r="BD333" i="4"/>
  <c r="BE333" i="4"/>
  <c r="BD312" i="4"/>
  <c r="BI245" i="4"/>
  <c r="BC333" i="4"/>
  <c r="BE245" i="4"/>
  <c r="BD245" i="4"/>
  <c r="BG245" i="4"/>
  <c r="BI333" i="4"/>
  <c r="BH333" i="4"/>
  <c r="BI152" i="4"/>
  <c r="BC312" i="4"/>
  <c r="BE312" i="4"/>
  <c r="BD334" i="4"/>
  <c r="BI312" i="4"/>
  <c r="BG41" i="4"/>
  <c r="BG283" i="4"/>
  <c r="BD283" i="4"/>
  <c r="BI283" i="4"/>
  <c r="BH283" i="4"/>
  <c r="B421" i="4" a="1"/>
  <c r="B421" i="4" s="1"/>
  <c r="B277" i="4" a="1"/>
  <c r="B277" i="4" s="1"/>
  <c r="B419" i="4" a="1"/>
  <c r="B419" i="4" s="1"/>
  <c r="B420" i="4" a="1"/>
  <c r="B420" i="4" s="1"/>
  <c r="B422" i="4" a="1"/>
  <c r="B422" i="4" s="1"/>
  <c r="B414" i="4" a="1"/>
  <c r="B414" i="4" s="1"/>
  <c r="B418" i="4" a="1"/>
  <c r="B418" i="4" s="1"/>
  <c r="B1" i="4" a="1"/>
  <c r="B1" i="4" s="1"/>
  <c r="F1" i="4" s="1"/>
  <c r="BU334" i="4" l="1"/>
  <c r="BS334" i="4"/>
  <c r="M334" i="4"/>
  <c r="BU283" i="4"/>
  <c r="BS283" i="4"/>
  <c r="M283" i="4"/>
  <c r="BU333" i="4"/>
  <c r="HI333" i="4"/>
  <c r="HK333" i="4"/>
  <c r="HO333" i="4"/>
  <c r="HQ333" i="4"/>
  <c r="HS333" i="4"/>
  <c r="BT333" i="4"/>
  <c r="HO334" i="4"/>
  <c r="HQ334" i="4"/>
  <c r="HS334" i="4"/>
  <c r="HK334" i="4"/>
  <c r="HM334" i="4"/>
  <c r="BV333" i="4"/>
  <c r="BP333" i="4"/>
  <c r="BO333" i="4"/>
  <c r="BQ334" i="4"/>
  <c r="BO334" i="4"/>
  <c r="HK312" i="4"/>
  <c r="HO312" i="4"/>
  <c r="HQ312" i="4"/>
  <c r="HS312" i="4"/>
  <c r="HM312" i="4"/>
  <c r="BQ312" i="4"/>
  <c r="BO312" i="4"/>
  <c r="L312" i="4"/>
  <c r="BO283" i="4"/>
  <c r="BO245" i="4"/>
  <c r="BP152" i="4"/>
  <c r="BP41" i="4"/>
  <c r="HO283" i="4"/>
  <c r="HQ283" i="4"/>
  <c r="HS283" i="4"/>
  <c r="HK283" i="4"/>
  <c r="HM283" i="4"/>
  <c r="M41" i="4"/>
  <c r="M245" i="4"/>
  <c r="BT245" i="4"/>
  <c r="HQ245" i="4"/>
  <c r="HO245" i="4"/>
  <c r="HK245" i="4"/>
  <c r="HM245" i="4"/>
  <c r="HS245" i="4"/>
  <c r="BS245" i="4"/>
  <c r="BT152" i="4"/>
  <c r="M152" i="4"/>
  <c r="BV152" i="4"/>
  <c r="BU152" i="4"/>
  <c r="HS152" i="4"/>
  <c r="HM152" i="4"/>
  <c r="HI152" i="4"/>
  <c r="HK152" i="4"/>
  <c r="HO152" i="4"/>
  <c r="BT41" i="4"/>
  <c r="BU41" i="4"/>
  <c r="BV41" i="4"/>
  <c r="HM41" i="4"/>
  <c r="HO41" i="4"/>
  <c r="HS41" i="4"/>
  <c r="HI41" i="4"/>
  <c r="HK41" i="4"/>
  <c r="H152" i="4"/>
  <c r="C152" i="4"/>
  <c r="BF152" i="4"/>
  <c r="HU152" i="4" s="1"/>
  <c r="H245" i="4"/>
  <c r="BF245" i="4"/>
  <c r="HU245" i="4" s="1"/>
  <c r="C245" i="4"/>
  <c r="H312" i="4"/>
  <c r="C312" i="4"/>
  <c r="BF312" i="4"/>
  <c r="HU312" i="4" s="1"/>
  <c r="H333" i="4"/>
  <c r="C333" i="4"/>
  <c r="BF333" i="4"/>
  <c r="HU333" i="4" s="1"/>
  <c r="H334" i="4"/>
  <c r="BF334" i="4"/>
  <c r="HU334" i="4" s="1"/>
  <c r="C334" i="4"/>
  <c r="H283" i="4"/>
  <c r="BF283" i="4"/>
  <c r="HU283" i="4" s="1"/>
  <c r="C283" i="4"/>
  <c r="H41" i="4"/>
  <c r="C41" i="4"/>
  <c r="BF41" i="4"/>
  <c r="HU41" i="4" s="1"/>
  <c r="B16" i="16"/>
  <c r="B28" i="16"/>
  <c r="B5" i="16"/>
  <c r="B17" i="16"/>
  <c r="B18" i="16"/>
  <c r="B19" i="16"/>
  <c r="B20" i="16"/>
  <c r="B21" i="16"/>
  <c r="B29" i="16"/>
  <c r="B27" i="16"/>
  <c r="B5" i="17"/>
  <c r="B24" i="17"/>
  <c r="O24" i="17"/>
  <c r="HA416" i="4"/>
  <c r="HB416" i="4" s="1"/>
  <c r="AU333" i="4" l="1"/>
  <c r="N333" i="4"/>
  <c r="P333" i="4"/>
  <c r="B15" i="16" s="1"/>
  <c r="AU334" i="4"/>
  <c r="N334" i="4"/>
  <c r="P334" i="4"/>
  <c r="HI334" i="4" s="1"/>
  <c r="M312" i="4"/>
  <c r="N312" i="4"/>
  <c r="BY312" i="4" s="1"/>
  <c r="P312" i="4"/>
  <c r="HA312" i="4" s="1"/>
  <c r="HG312" i="4" s="1"/>
  <c r="P283" i="4"/>
  <c r="HI283" i="4" s="1"/>
  <c r="N283" i="4"/>
  <c r="GW245" i="4"/>
  <c r="GX245" i="4" s="1"/>
  <c r="P245" i="4"/>
  <c r="N245" i="4"/>
  <c r="AY152" i="4"/>
  <c r="P152" i="4"/>
  <c r="HQ152" i="4" s="1"/>
  <c r="N152" i="4"/>
  <c r="CC152" i="4"/>
  <c r="DH245" i="4"/>
  <c r="DF245" i="4"/>
  <c r="AU245" i="4"/>
  <c r="EX245" i="4"/>
  <c r="EJ334" i="4"/>
  <c r="GU245" i="4"/>
  <c r="GV245" i="4" s="1"/>
  <c r="ET245" i="4"/>
  <c r="FA245" i="4"/>
  <c r="EC245" i="4"/>
  <c r="FC245" i="4"/>
  <c r="DR245" i="4"/>
  <c r="AQ245" i="4"/>
  <c r="FJ245" i="4"/>
  <c r="CP245" i="4"/>
  <c r="CR245" i="4"/>
  <c r="EH245" i="4"/>
  <c r="CT245" i="4"/>
  <c r="DK245" i="4"/>
  <c r="FV245" i="4"/>
  <c r="FO245" i="4"/>
  <c r="DO245" i="4"/>
  <c r="DY245" i="4"/>
  <c r="AO245" i="4"/>
  <c r="BW245" i="4"/>
  <c r="EV245" i="4"/>
  <c r="CW245" i="4"/>
  <c r="DA245" i="4"/>
  <c r="CY245" i="4"/>
  <c r="GL245" i="4"/>
  <c r="FL245" i="4"/>
  <c r="BW152" i="4"/>
  <c r="EQ152" i="4"/>
  <c r="GU152" i="4"/>
  <c r="GV152" i="4" s="1"/>
  <c r="CR152" i="4"/>
  <c r="EV152" i="4"/>
  <c r="FE152" i="4"/>
  <c r="GL152" i="4"/>
  <c r="FA152" i="4"/>
  <c r="AO152" i="4"/>
  <c r="AW152" i="4"/>
  <c r="CK152" i="4"/>
  <c r="FZ152" i="4"/>
  <c r="EO152" i="4"/>
  <c r="GE152" i="4"/>
  <c r="GG152" i="4"/>
  <c r="DA152" i="4"/>
  <c r="DR152" i="4"/>
  <c r="EC152" i="4"/>
  <c r="EM152" i="4"/>
  <c r="FS152" i="4"/>
  <c r="FC152" i="4"/>
  <c r="GN152" i="4"/>
  <c r="DF152" i="4"/>
  <c r="EA152" i="4"/>
  <c r="DK152" i="4"/>
  <c r="HC152" i="4"/>
  <c r="HD152" i="4" s="1"/>
  <c r="CI152" i="4"/>
  <c r="EF152" i="4"/>
  <c r="CT152" i="4"/>
  <c r="DO152" i="4"/>
  <c r="CY152" i="4"/>
  <c r="CW152" i="4"/>
  <c r="FQ152" i="4"/>
  <c r="DT152" i="4"/>
  <c r="CE152" i="4"/>
  <c r="CM152" i="4"/>
  <c r="GW152" i="4"/>
  <c r="GX152" i="4" s="1"/>
  <c r="BY152" i="4"/>
  <c r="FO152" i="4"/>
  <c r="DH152" i="4"/>
  <c r="FV152" i="4"/>
  <c r="EJ152" i="4"/>
  <c r="DM152" i="4"/>
  <c r="GJ152" i="4"/>
  <c r="FJ152" i="4"/>
  <c r="ET152" i="4"/>
  <c r="FX152" i="4"/>
  <c r="EX152" i="4"/>
  <c r="EH152" i="4"/>
  <c r="DY152" i="4"/>
  <c r="AQ152" i="4"/>
  <c r="FL152" i="4"/>
  <c r="CP152" i="4"/>
  <c r="GC152" i="4"/>
  <c r="GY152" i="4"/>
  <c r="GZ152" i="4" s="1"/>
  <c r="HG152" i="4"/>
  <c r="HH152" i="4" s="1"/>
  <c r="DD152" i="4"/>
  <c r="FH152" i="4"/>
  <c r="CM245" i="4"/>
  <c r="CC245" i="4"/>
  <c r="GG245" i="4"/>
  <c r="EF245" i="4"/>
  <c r="EJ245" i="4"/>
  <c r="CA283" i="4"/>
  <c r="GU283" i="4"/>
  <c r="GV283" i="4" s="1"/>
  <c r="AU283" i="4"/>
  <c r="EH283" i="4"/>
  <c r="EQ283" i="4"/>
  <c r="EC283" i="4"/>
  <c r="CM283" i="4"/>
  <c r="EJ283" i="4"/>
  <c r="DV283" i="4"/>
  <c r="CI283" i="4"/>
  <c r="GC283" i="4"/>
  <c r="FV283" i="4"/>
  <c r="FQ283" i="4"/>
  <c r="GL283" i="4"/>
  <c r="GJ283" i="4"/>
  <c r="FJ283" i="4"/>
  <c r="CW283" i="4"/>
  <c r="DM283" i="4"/>
  <c r="FE283" i="4"/>
  <c r="FZ283" i="4"/>
  <c r="FX283" i="4"/>
  <c r="EX283" i="4"/>
  <c r="AS283" i="4"/>
  <c r="HC283" i="4"/>
  <c r="HD283" i="4" s="1"/>
  <c r="GN283" i="4"/>
  <c r="DR283" i="4"/>
  <c r="FL283" i="4"/>
  <c r="CP283" i="4"/>
  <c r="CC283" i="4"/>
  <c r="DY283" i="4"/>
  <c r="EF283" i="4"/>
  <c r="DF283" i="4"/>
  <c r="DD283" i="4"/>
  <c r="FH283" i="4"/>
  <c r="AQ283" i="4"/>
  <c r="GG283" i="4"/>
  <c r="DT283" i="4"/>
  <c r="CT283" i="4"/>
  <c r="CR283" i="4"/>
  <c r="EV283" i="4"/>
  <c r="GY283" i="4"/>
  <c r="GZ283" i="4" s="1"/>
  <c r="DH283" i="4"/>
  <c r="AO283" i="4"/>
  <c r="AW283" i="4"/>
  <c r="DA283" i="4"/>
  <c r="CK283" i="4"/>
  <c r="HE283" i="4"/>
  <c r="HF283" i="4" s="1"/>
  <c r="GE283" i="4"/>
  <c r="BW283" i="4"/>
  <c r="GW283" i="4"/>
  <c r="GX283" i="4" s="1"/>
  <c r="EM283" i="4"/>
  <c r="FS283" i="4"/>
  <c r="FO283" i="4"/>
  <c r="FA283" i="4"/>
  <c r="EA283" i="4"/>
  <c r="DK283" i="4"/>
  <c r="CG283" i="4"/>
  <c r="ET283" i="4"/>
  <c r="FC283" i="4"/>
  <c r="EO283" i="4"/>
  <c r="DO283" i="4"/>
  <c r="AW245" i="4"/>
  <c r="CA245" i="4"/>
  <c r="GC245" i="4"/>
  <c r="EO245" i="4"/>
  <c r="EQ245" i="4"/>
  <c r="FH245" i="4"/>
  <c r="GN245" i="4"/>
  <c r="DV245" i="4"/>
  <c r="FE245" i="4"/>
  <c r="GJ245" i="4"/>
  <c r="DM245" i="4"/>
  <c r="FQ245" i="4"/>
  <c r="FS245" i="4"/>
  <c r="GE245" i="4"/>
  <c r="EA245" i="4"/>
  <c r="CI245" i="4"/>
  <c r="FZ245" i="4"/>
  <c r="HC245" i="4"/>
  <c r="HD245" i="4" s="1"/>
  <c r="AS152" i="4"/>
  <c r="CK245" i="4"/>
  <c r="AW334" i="4"/>
  <c r="FJ334" i="4"/>
  <c r="HC334" i="4"/>
  <c r="HD334" i="4" s="1"/>
  <c r="GY334" i="4"/>
  <c r="GZ334" i="4" s="1"/>
  <c r="CI334" i="4"/>
  <c r="EF334" i="4"/>
  <c r="EQ334" i="4"/>
  <c r="FC334" i="4"/>
  <c r="CE334" i="4"/>
  <c r="EC334" i="4"/>
  <c r="DO334" i="4"/>
  <c r="CY334" i="4"/>
  <c r="CG334" i="4"/>
  <c r="DF334" i="4"/>
  <c r="DK334" i="4"/>
  <c r="GJ334" i="4"/>
  <c r="DV334" i="4"/>
  <c r="EA334" i="4"/>
  <c r="CM334" i="4"/>
  <c r="FE334" i="4"/>
  <c r="CT334" i="4"/>
  <c r="EH334" i="4"/>
  <c r="EM334" i="4"/>
  <c r="GW334" i="4"/>
  <c r="GX334" i="4" s="1"/>
  <c r="GL334" i="4"/>
  <c r="FS334" i="4"/>
  <c r="CR334" i="4"/>
  <c r="EX334" i="4"/>
  <c r="FV334" i="4"/>
  <c r="ET334" i="4"/>
  <c r="FZ334" i="4"/>
  <c r="FA334" i="4"/>
  <c r="DR334" i="4"/>
  <c r="CC334" i="4"/>
  <c r="AO334" i="4"/>
  <c r="EO334" i="4"/>
  <c r="GE334" i="4"/>
  <c r="GC334" i="4"/>
  <c r="DA334" i="4"/>
  <c r="CA334" i="4"/>
  <c r="CW334" i="4"/>
  <c r="GU334" i="4"/>
  <c r="GV334" i="4" s="1"/>
  <c r="CP334" i="4"/>
  <c r="FO334" i="4"/>
  <c r="DM334" i="4"/>
  <c r="CK334" i="4"/>
  <c r="FX334" i="4"/>
  <c r="AS334" i="4"/>
  <c r="DD334" i="4"/>
  <c r="DT334" i="4"/>
  <c r="FH334" i="4"/>
  <c r="DY334" i="4"/>
  <c r="AQ334" i="4"/>
  <c r="BW334" i="4"/>
  <c r="FL334" i="4"/>
  <c r="FQ334" i="4"/>
  <c r="GN334" i="4"/>
  <c r="GG334" i="4"/>
  <c r="DH334" i="4"/>
  <c r="HE245" i="4"/>
  <c r="HF245" i="4" s="1"/>
  <c r="EM245" i="4"/>
  <c r="CA312" i="4"/>
  <c r="FJ312" i="4"/>
  <c r="GU312" i="4"/>
  <c r="GV312" i="4" s="1"/>
  <c r="FC312" i="4"/>
  <c r="DT312" i="4"/>
  <c r="CM312" i="4"/>
  <c r="FV312" i="4"/>
  <c r="GJ312" i="4"/>
  <c r="FE312" i="4"/>
  <c r="DF312" i="4"/>
  <c r="CY312" i="4"/>
  <c r="AQ312" i="4"/>
  <c r="DA312" i="4"/>
  <c r="DY312" i="4"/>
  <c r="DV312" i="4"/>
  <c r="HC312" i="4"/>
  <c r="HD312" i="4" s="1"/>
  <c r="CC312" i="4"/>
  <c r="DK312" i="4"/>
  <c r="DO312" i="4"/>
  <c r="GW312" i="4"/>
  <c r="GX312" i="4" s="1"/>
  <c r="BW312" i="4"/>
  <c r="DH312" i="4"/>
  <c r="GC312" i="4"/>
  <c r="FS312" i="4"/>
  <c r="EA312" i="4"/>
  <c r="FX312" i="4"/>
  <c r="FO312" i="4"/>
  <c r="GE312" i="4"/>
  <c r="EM312" i="4"/>
  <c r="CT312" i="4"/>
  <c r="GY312" i="4"/>
  <c r="GZ312" i="4" s="1"/>
  <c r="AW312" i="4"/>
  <c r="HE312" i="4"/>
  <c r="HF312" i="4" s="1"/>
  <c r="AS312" i="4"/>
  <c r="GL312" i="4"/>
  <c r="FZ312" i="4"/>
  <c r="EJ312" i="4"/>
  <c r="AO312" i="4"/>
  <c r="EQ312" i="4"/>
  <c r="GG312" i="4"/>
  <c r="FL312" i="4"/>
  <c r="EV312" i="4"/>
  <c r="CG312" i="4"/>
  <c r="DM312" i="4"/>
  <c r="CW312" i="4"/>
  <c r="GN312" i="4"/>
  <c r="EF312" i="4"/>
  <c r="FH312" i="4"/>
  <c r="EC312" i="4"/>
  <c r="CK312" i="4"/>
  <c r="CI312" i="4"/>
  <c r="CR312" i="4"/>
  <c r="ET312" i="4"/>
  <c r="DD312" i="4"/>
  <c r="DR312" i="4"/>
  <c r="CP312" i="4"/>
  <c r="EX312" i="4"/>
  <c r="FA312" i="4"/>
  <c r="FQ312" i="4"/>
  <c r="EH312" i="4"/>
  <c r="FX245" i="4"/>
  <c r="DD245" i="4"/>
  <c r="BY333" i="4"/>
  <c r="HE333" i="4"/>
  <c r="HF333" i="4" s="1"/>
  <c r="DF333" i="4"/>
  <c r="DK333" i="4"/>
  <c r="EX333" i="4"/>
  <c r="FE333" i="4"/>
  <c r="CT333" i="4"/>
  <c r="FS333" i="4"/>
  <c r="FJ333" i="4"/>
  <c r="EQ333" i="4"/>
  <c r="GU333" i="4"/>
  <c r="GV333" i="4" s="1"/>
  <c r="GE333" i="4"/>
  <c r="FV333" i="4"/>
  <c r="FQ333" i="4"/>
  <c r="EM333" i="4"/>
  <c r="CR333" i="4"/>
  <c r="FC333" i="4"/>
  <c r="EJ333" i="4"/>
  <c r="CK333" i="4"/>
  <c r="DD333" i="4"/>
  <c r="EO333" i="4"/>
  <c r="GC333" i="4"/>
  <c r="GL333" i="4"/>
  <c r="CG333" i="4"/>
  <c r="GN333" i="4"/>
  <c r="DA333" i="4"/>
  <c r="FL333" i="4"/>
  <c r="CW333" i="4"/>
  <c r="FA333" i="4"/>
  <c r="FH333" i="4"/>
  <c r="DV333" i="4"/>
  <c r="DM333" i="4"/>
  <c r="FX333" i="4"/>
  <c r="AS333" i="4"/>
  <c r="BW333" i="4"/>
  <c r="FO333" i="4"/>
  <c r="EH333" i="4"/>
  <c r="GJ333" i="4"/>
  <c r="AO333" i="4"/>
  <c r="HG333" i="4"/>
  <c r="HH333" i="4" s="1"/>
  <c r="EA333" i="4"/>
  <c r="ET333" i="4"/>
  <c r="GG333" i="4"/>
  <c r="GY333" i="4"/>
  <c r="GZ333" i="4" s="1"/>
  <c r="EC333" i="4"/>
  <c r="DH333" i="4"/>
  <c r="FZ333" i="4"/>
  <c r="CA333" i="4"/>
  <c r="EF333" i="4"/>
  <c r="DO333" i="4"/>
  <c r="CE333" i="4"/>
  <c r="EV333" i="4"/>
  <c r="CM333" i="4"/>
  <c r="AY333" i="4"/>
  <c r="DR333" i="4"/>
  <c r="CI333" i="4"/>
  <c r="AQ333" i="4"/>
  <c r="DT333" i="4"/>
  <c r="CY333" i="4"/>
  <c r="CP333" i="4"/>
  <c r="GW333" i="4"/>
  <c r="GX333" i="4" s="1"/>
  <c r="AS245" i="4"/>
  <c r="AU312" i="4"/>
  <c r="CG245" i="4"/>
  <c r="P41" i="4"/>
  <c r="N41" i="4"/>
  <c r="DM41" i="4"/>
  <c r="EM41" i="4"/>
  <c r="GU41" i="4"/>
  <c r="GV41" i="4" s="1"/>
  <c r="DF41" i="4"/>
  <c r="FH41" i="4"/>
  <c r="CM41" i="4"/>
  <c r="DY41" i="4"/>
  <c r="HG41" i="4"/>
  <c r="HH41" i="4" s="1"/>
  <c r="CY41" i="4"/>
  <c r="GG41" i="4"/>
  <c r="AO41" i="4"/>
  <c r="AQ41" i="4"/>
  <c r="GC41" i="4"/>
  <c r="EO41" i="4"/>
  <c r="DK41" i="4"/>
  <c r="HC41" i="4"/>
  <c r="HD41" i="4" s="1"/>
  <c r="CR41" i="4"/>
  <c r="BW41" i="4"/>
  <c r="CT41" i="4"/>
  <c r="EH41" i="4"/>
  <c r="FS41" i="4"/>
  <c r="AY41" i="4"/>
  <c r="DD41" i="4"/>
  <c r="CI41" i="4"/>
  <c r="DH41" i="4"/>
  <c r="AS41" i="4"/>
  <c r="EF41" i="4"/>
  <c r="GE41" i="4"/>
  <c r="CP41" i="4"/>
  <c r="FL41" i="4"/>
  <c r="EQ41" i="4"/>
  <c r="BY41" i="4"/>
  <c r="EC41" i="4"/>
  <c r="CC41" i="4"/>
  <c r="AW41" i="4"/>
  <c r="EX41" i="4"/>
  <c r="FX41" i="4"/>
  <c r="FC41" i="4"/>
  <c r="CK41" i="4"/>
  <c r="EJ41" i="4"/>
  <c r="FJ41" i="4"/>
  <c r="GJ41" i="4"/>
  <c r="FO41" i="4"/>
  <c r="GY41" i="4"/>
  <c r="GZ41" i="4" s="1"/>
  <c r="DR41" i="4"/>
  <c r="CE41" i="4"/>
  <c r="DO41" i="4"/>
  <c r="GN41" i="4"/>
  <c r="GL41" i="4"/>
  <c r="EV41" i="4"/>
  <c r="FV41" i="4"/>
  <c r="GW41" i="4"/>
  <c r="GX41" i="4" s="1"/>
  <c r="FE41" i="4"/>
  <c r="FQ41" i="4"/>
  <c r="CW41" i="4"/>
  <c r="ET41" i="4"/>
  <c r="DA41" i="4"/>
  <c r="EA41" i="4"/>
  <c r="FA41" i="4"/>
  <c r="FZ41" i="4"/>
  <c r="DT41" i="4"/>
  <c r="B17" i="17"/>
  <c r="O17" i="17"/>
  <c r="B10" i="17"/>
  <c r="K281" i="4"/>
  <c r="CE245" i="4" l="1"/>
  <c r="GS245" i="4"/>
  <c r="GY245" i="4" s="1"/>
  <c r="DY333" i="4"/>
  <c r="EV334" i="4"/>
  <c r="CC333" i="4"/>
  <c r="CA152" i="4"/>
  <c r="DV152" i="4"/>
  <c r="CY283" i="4"/>
  <c r="BY334" i="4"/>
  <c r="CG152" i="4"/>
  <c r="HM333" i="4"/>
  <c r="BY283" i="4"/>
  <c r="CE312" i="4"/>
  <c r="EO312" i="4"/>
  <c r="CE283" i="4"/>
  <c r="HA333" i="4"/>
  <c r="BS333" i="4"/>
  <c r="HA334" i="4"/>
  <c r="HG334" i="4" s="1"/>
  <c r="BT334" i="4"/>
  <c r="B14" i="16"/>
  <c r="HI312" i="4"/>
  <c r="HA283" i="4"/>
  <c r="BT283" i="4"/>
  <c r="HI245" i="4"/>
  <c r="DT245" i="4"/>
  <c r="HA245" i="4"/>
  <c r="BU245" i="4"/>
  <c r="BY245" i="4"/>
  <c r="HA152" i="4"/>
  <c r="BS152" i="4"/>
  <c r="HA41" i="4"/>
  <c r="HE41" i="4" s="1"/>
  <c r="BS41" i="4"/>
  <c r="DV41" i="4"/>
  <c r="CG41" i="4"/>
  <c r="CA41" i="4"/>
  <c r="HQ41" i="4"/>
  <c r="BG281" i="4"/>
  <c r="S281" i="4"/>
  <c r="BE281" i="4"/>
  <c r="BD281" i="4"/>
  <c r="BC281" i="4"/>
  <c r="X281" i="4"/>
  <c r="AB281" i="4" s="1"/>
  <c r="BI281" i="4"/>
  <c r="BH281" i="4"/>
  <c r="HC333" i="4" l="1"/>
  <c r="HE334" i="4"/>
  <c r="HF334" i="4" s="1"/>
  <c r="BP281" i="4"/>
  <c r="H281" i="4"/>
  <c r="BO281" i="4"/>
  <c r="AA281" i="4"/>
  <c r="AK281" i="4" s="1"/>
  <c r="AI281" i="4" s="1"/>
  <c r="HG283" i="4"/>
  <c r="HG245" i="4"/>
  <c r="HE152" i="4"/>
  <c r="BF281" i="4"/>
  <c r="HO281" i="4"/>
  <c r="HS281" i="4"/>
  <c r="HI281" i="4"/>
  <c r="HQ281" i="4"/>
  <c r="L281" i="4"/>
  <c r="M281" i="4" l="1"/>
  <c r="BT281" i="4"/>
  <c r="BS281" i="4"/>
  <c r="BU281" i="4"/>
  <c r="P281" i="4"/>
  <c r="CG281" i="4" s="1"/>
  <c r="HU281" i="4"/>
  <c r="HM281" i="4" s="1"/>
  <c r="CE281" i="4"/>
  <c r="N281" i="4"/>
  <c r="CA281" i="4" s="1"/>
  <c r="BV281" i="4" l="1"/>
  <c r="CC281" i="4"/>
  <c r="BW281" i="4"/>
  <c r="HK281" i="4"/>
  <c r="BY281" i="4"/>
  <c r="X418" i="4" l="1"/>
  <c r="X368" i="4"/>
  <c r="X414" i="4"/>
  <c r="X422" i="4"/>
  <c r="X420" i="4"/>
  <c r="X403" i="4"/>
  <c r="X419" i="4"/>
  <c r="X411" i="4"/>
  <c r="X397" i="4"/>
  <c r="X398" i="4"/>
  <c r="X409" i="4"/>
  <c r="X394" i="4"/>
  <c r="X327" i="4"/>
  <c r="AB327" i="4" s="1"/>
  <c r="X406" i="4"/>
  <c r="X396" i="4"/>
  <c r="X387" i="4"/>
  <c r="X382" i="4"/>
  <c r="X413" i="4"/>
  <c r="X386" i="4"/>
  <c r="X359" i="4"/>
  <c r="X405" i="4"/>
  <c r="X371" i="4"/>
  <c r="X399" i="4"/>
  <c r="X392" i="4"/>
  <c r="X358" i="4"/>
  <c r="X385" i="4"/>
  <c r="X369" i="4"/>
  <c r="X404" i="4"/>
  <c r="AA422" i="4" l="1"/>
  <c r="AB422" i="4"/>
  <c r="AB419" i="4"/>
  <c r="AA419" i="4"/>
  <c r="AA413" i="4"/>
  <c r="AB413" i="4"/>
  <c r="AA420" i="4"/>
  <c r="AB420" i="4"/>
  <c r="AA414" i="4"/>
  <c r="AB414" i="4"/>
  <c r="AB418" i="4"/>
  <c r="AA418" i="4"/>
  <c r="AB409" i="4"/>
  <c r="AA409" i="4"/>
  <c r="AB411" i="4"/>
  <c r="AA411" i="4"/>
  <c r="AB392" i="4"/>
  <c r="AA392" i="4"/>
  <c r="AA387" i="4"/>
  <c r="AB387" i="4"/>
  <c r="AA369" i="4"/>
  <c r="AB369" i="4"/>
  <c r="AB386" i="4"/>
  <c r="AA386" i="4"/>
  <c r="AA385" i="4"/>
  <c r="AB385" i="4"/>
  <c r="AA371" i="4"/>
  <c r="AB371" i="4"/>
  <c r="AA406" i="4"/>
  <c r="AB406" i="4"/>
  <c r="AA398" i="4"/>
  <c r="AB398" i="4"/>
  <c r="AA403" i="4"/>
  <c r="AB403" i="4"/>
  <c r="AA368" i="4"/>
  <c r="AB368" i="4"/>
  <c r="AB404" i="4"/>
  <c r="AA404" i="4"/>
  <c r="AA394" i="4"/>
  <c r="AB394" i="4"/>
  <c r="AA399" i="4"/>
  <c r="AB399" i="4"/>
  <c r="AA396" i="4"/>
  <c r="AB396" i="4"/>
  <c r="AA382" i="4"/>
  <c r="AB382" i="4"/>
  <c r="AA397" i="4"/>
  <c r="AB397" i="4"/>
  <c r="AA405" i="4"/>
  <c r="AB405" i="4"/>
  <c r="AA359" i="4"/>
  <c r="AB359" i="4"/>
  <c r="AA358" i="4"/>
  <c r="AB358" i="4"/>
  <c r="AA327" i="4"/>
  <c r="X370" i="4"/>
  <c r="X402" i="4"/>
  <c r="X366" i="4"/>
  <c r="AA370" i="4" l="1"/>
  <c r="AB370" i="4"/>
  <c r="AA366" i="4"/>
  <c r="AB366" i="4"/>
  <c r="AA402" i="4"/>
  <c r="AB402" i="4"/>
  <c r="X332" i="4"/>
  <c r="AB332" i="4" s="1"/>
  <c r="X330" i="4"/>
  <c r="AB330" i="4" s="1"/>
  <c r="C281" i="4"/>
  <c r="AA330" i="4" l="1"/>
  <c r="AA332" i="4"/>
  <c r="D4" i="4"/>
  <c r="D6" i="4"/>
  <c r="HA6" i="4" s="1"/>
  <c r="HB6" i="4" s="1"/>
  <c r="D7" i="4"/>
  <c r="HA7" i="4" s="1"/>
  <c r="HB7" i="4" s="1"/>
  <c r="D12" i="4"/>
  <c r="HA12" i="4" s="1"/>
  <c r="HB12" i="4" s="1"/>
  <c r="D8" i="4"/>
  <c r="HA8" i="4" s="1"/>
  <c r="HB8" i="4" s="1"/>
  <c r="D14" i="4"/>
  <c r="HA14" i="4" s="1"/>
  <c r="HB14" i="4" s="1"/>
  <c r="D9" i="4"/>
  <c r="HA9" i="4" s="1"/>
  <c r="HB9" i="4" s="1"/>
  <c r="D29" i="4"/>
  <c r="HA29" i="4" s="1"/>
  <c r="HB29" i="4" s="1"/>
  <c r="D15" i="4"/>
  <c r="HA15" i="4" s="1"/>
  <c r="HB15" i="4" s="1"/>
  <c r="D10" i="4"/>
  <c r="HA10" i="4" s="1"/>
  <c r="HB10" i="4" s="1"/>
  <c r="D16" i="4"/>
  <c r="HA16" i="4" s="1"/>
  <c r="HB16" i="4" s="1"/>
  <c r="D21" i="4"/>
  <c r="HA21" i="4" s="1"/>
  <c r="HB21" i="4" s="1"/>
  <c r="D13" i="4"/>
  <c r="HA13" i="4" s="1"/>
  <c r="HB13" i="4" s="1"/>
  <c r="D18" i="4"/>
  <c r="HA18" i="4" s="1"/>
  <c r="HB18" i="4" s="1"/>
  <c r="D30" i="4"/>
  <c r="HA30" i="4" s="1"/>
  <c r="HB30" i="4" s="1"/>
  <c r="D114" i="4"/>
  <c r="HA114" i="4" s="1"/>
  <c r="HB114" i="4" s="1"/>
  <c r="D11" i="4"/>
  <c r="HA11" i="4" s="1"/>
  <c r="HB11" i="4" s="1"/>
  <c r="D28" i="4"/>
  <c r="HA28" i="4" s="1"/>
  <c r="HB28" i="4" s="1"/>
  <c r="D31" i="4"/>
  <c r="HA31" i="4" s="1"/>
  <c r="HB31" i="4" s="1"/>
  <c r="D32" i="4"/>
  <c r="HA32" i="4" s="1"/>
  <c r="HB32" i="4" s="1"/>
  <c r="D22" i="4"/>
  <c r="HA22" i="4" s="1"/>
  <c r="HB22" i="4" s="1"/>
  <c r="D33" i="4"/>
  <c r="HA33" i="4" s="1"/>
  <c r="HB33" i="4" s="1"/>
  <c r="D55" i="4"/>
  <c r="HA55" i="4" s="1"/>
  <c r="HB55" i="4" s="1"/>
  <c r="D34" i="4"/>
  <c r="HA34" i="4" s="1"/>
  <c r="HB34" i="4" s="1"/>
  <c r="D35" i="4"/>
  <c r="HA35" i="4" s="1"/>
  <c r="HB35" i="4" s="1"/>
  <c r="D36" i="4"/>
  <c r="HA36" i="4" s="1"/>
  <c r="HB36" i="4" s="1"/>
  <c r="D42" i="4"/>
  <c r="HA42" i="4" s="1"/>
  <c r="HB42" i="4" s="1"/>
  <c r="D62" i="4"/>
  <c r="HA62" i="4" s="1"/>
  <c r="HB62" i="4" s="1"/>
  <c r="D19" i="4"/>
  <c r="HA19" i="4" s="1"/>
  <c r="HB19" i="4" s="1"/>
  <c r="D155" i="4"/>
  <c r="HA155" i="4" s="1"/>
  <c r="HB155" i="4" s="1"/>
  <c r="D90" i="4"/>
  <c r="HA90" i="4" s="1"/>
  <c r="HB90" i="4" s="1"/>
  <c r="D17" i="4"/>
  <c r="HA17" i="4" s="1"/>
  <c r="HB17" i="4" s="1"/>
  <c r="D23" i="4"/>
  <c r="HA23" i="4" s="1"/>
  <c r="HB23" i="4" s="1"/>
  <c r="D65" i="4"/>
  <c r="HA65" i="4" s="1"/>
  <c r="HB65" i="4" s="1"/>
  <c r="D66" i="4"/>
  <c r="HA66" i="4" s="1"/>
  <c r="HB66" i="4" s="1"/>
  <c r="D24" i="4"/>
  <c r="HA24" i="4" s="1"/>
  <c r="HB24" i="4" s="1"/>
  <c r="D67" i="4"/>
  <c r="HA67" i="4" s="1"/>
  <c r="HB67" i="4" s="1"/>
  <c r="D46" i="4"/>
  <c r="HA46" i="4" s="1"/>
  <c r="HB46" i="4" s="1"/>
  <c r="D91" i="4"/>
  <c r="HA91" i="4" s="1"/>
  <c r="HB91" i="4" s="1"/>
  <c r="D27" i="4"/>
  <c r="HA27" i="4" s="1"/>
  <c r="HB27" i="4" s="1"/>
  <c r="D81" i="4"/>
  <c r="HA81" i="4" s="1"/>
  <c r="HB81" i="4" s="1"/>
  <c r="D57" i="4"/>
  <c r="HA57" i="4" s="1"/>
  <c r="HB57" i="4" s="1"/>
  <c r="D47" i="4"/>
  <c r="HA47" i="4" s="1"/>
  <c r="HB47" i="4" s="1"/>
  <c r="D92" i="4"/>
  <c r="HA92" i="4" s="1"/>
  <c r="HB92" i="4" s="1"/>
  <c r="D89" i="4"/>
  <c r="HA89" i="4" s="1"/>
  <c r="HB89" i="4" s="1"/>
  <c r="D421" i="4"/>
  <c r="D58" i="4"/>
  <c r="HA58" i="4" s="1"/>
  <c r="HB58" i="4" s="1"/>
  <c r="D80" i="4"/>
  <c r="HA80" i="4" s="1"/>
  <c r="HB80" i="4" s="1"/>
  <c r="D26" i="4"/>
  <c r="HA26" i="4" s="1"/>
  <c r="D37" i="4"/>
  <c r="HA37" i="4" s="1"/>
  <c r="HB37" i="4" s="1"/>
  <c r="D48" i="4"/>
  <c r="HA48" i="4" s="1"/>
  <c r="HB48" i="4" s="1"/>
  <c r="D116" i="4"/>
  <c r="HA116" i="4" s="1"/>
  <c r="HB116" i="4" s="1"/>
  <c r="D68" i="4"/>
  <c r="HA68" i="4" s="1"/>
  <c r="HB68" i="4" s="1"/>
  <c r="D124" i="4"/>
  <c r="HA124" i="4" s="1"/>
  <c r="HB124" i="4" s="1"/>
  <c r="D126" i="4"/>
  <c r="HA126" i="4" s="1"/>
  <c r="HB126" i="4" s="1"/>
  <c r="D43" i="4"/>
  <c r="HA43" i="4" s="1"/>
  <c r="HB43" i="4" s="1"/>
  <c r="D53" i="4"/>
  <c r="HA53" i="4" s="1"/>
  <c r="HB53" i="4" s="1"/>
  <c r="D49" i="4"/>
  <c r="HA49" i="4" s="1"/>
  <c r="HB49" i="4" s="1"/>
  <c r="D69" i="4"/>
  <c r="HA69" i="4" s="1"/>
  <c r="HB69" i="4" s="1"/>
  <c r="D130" i="4"/>
  <c r="HA130" i="4" s="1"/>
  <c r="HB130" i="4" s="1"/>
  <c r="D136" i="4"/>
  <c r="HA136" i="4" s="1"/>
  <c r="HB136" i="4" s="1"/>
  <c r="D137" i="4"/>
  <c r="HA137" i="4" s="1"/>
  <c r="HB137" i="4" s="1"/>
  <c r="D54" i="4"/>
  <c r="HA54" i="4" s="1"/>
  <c r="HB54" i="4" s="1"/>
  <c r="D138" i="4"/>
  <c r="HA138" i="4" s="1"/>
  <c r="HB138" i="4" s="1"/>
  <c r="D232" i="4"/>
  <c r="HA232" i="4" s="1"/>
  <c r="HB232" i="4" s="1"/>
  <c r="D157" i="4"/>
  <c r="HA157" i="4" s="1"/>
  <c r="HB157" i="4" s="1"/>
  <c r="D59" i="4"/>
  <c r="HA59" i="4" s="1"/>
  <c r="HB59" i="4" s="1"/>
  <c r="D127" i="4"/>
  <c r="HA127" i="4" s="1"/>
  <c r="HB127" i="4" s="1"/>
  <c r="D107" i="4"/>
  <c r="HA107" i="4" s="1"/>
  <c r="HB107" i="4" s="1"/>
  <c r="D50" i="4"/>
  <c r="HA50" i="4" s="1"/>
  <c r="HB50" i="4" s="1"/>
  <c r="D25" i="4"/>
  <c r="HA25" i="4" s="1"/>
  <c r="HB25" i="4" s="1"/>
  <c r="D171" i="4"/>
  <c r="HA171" i="4" s="1"/>
  <c r="HB171" i="4" s="1"/>
  <c r="D77" i="4"/>
  <c r="HA77" i="4" s="1"/>
  <c r="HB77" i="4" s="1"/>
  <c r="D70" i="4"/>
  <c r="HA70" i="4" s="1"/>
  <c r="HB70" i="4" s="1"/>
  <c r="D93" i="4"/>
  <c r="HA93" i="4" s="1"/>
  <c r="HB93" i="4" s="1"/>
  <c r="D166" i="4"/>
  <c r="D139" i="4"/>
  <c r="HA139" i="4" s="1"/>
  <c r="HB139" i="4" s="1"/>
  <c r="D79" i="4"/>
  <c r="HA79" i="4" s="1"/>
  <c r="HB79" i="4" s="1"/>
  <c r="D179" i="4"/>
  <c r="HA179" i="4" s="1"/>
  <c r="HB179" i="4" s="1"/>
  <c r="D181" i="4"/>
  <c r="HA181" i="4" s="1"/>
  <c r="HB181" i="4" s="1"/>
  <c r="D63" i="4"/>
  <c r="HA63" i="4" s="1"/>
  <c r="HB63" i="4" s="1"/>
  <c r="D82" i="4"/>
  <c r="HA82" i="4" s="1"/>
  <c r="HB82" i="4" s="1"/>
  <c r="D86" i="4"/>
  <c r="HA86" i="4" s="1"/>
  <c r="HB86" i="4" s="1"/>
  <c r="D125" i="4"/>
  <c r="HA125" i="4" s="1"/>
  <c r="HB125" i="4" s="1"/>
  <c r="D83" i="4"/>
  <c r="HA83" i="4" s="1"/>
  <c r="HB83" i="4" s="1"/>
  <c r="D167" i="4"/>
  <c r="HA167" i="4" s="1"/>
  <c r="HB167" i="4" s="1"/>
  <c r="D121" i="4"/>
  <c r="HA121" i="4" s="1"/>
  <c r="HB121" i="4" s="1"/>
  <c r="D182" i="4"/>
  <c r="HA182" i="4" s="1"/>
  <c r="HB182" i="4" s="1"/>
  <c r="D234" i="4"/>
  <c r="D200" i="4"/>
  <c r="HA200" i="4" s="1"/>
  <c r="HB200" i="4" s="1"/>
  <c r="D40" i="4"/>
  <c r="HA40" i="4" s="1"/>
  <c r="HB40" i="4" s="1"/>
  <c r="D71" i="4"/>
  <c r="HA71" i="4" s="1"/>
  <c r="HB71" i="4" s="1"/>
  <c r="D168" i="4"/>
  <c r="HA168" i="4" s="1"/>
  <c r="HB168" i="4" s="1"/>
  <c r="D94" i="4"/>
  <c r="HA94" i="4" s="1"/>
  <c r="HB94" i="4" s="1"/>
  <c r="D140" i="4"/>
  <c r="HA140" i="4" s="1"/>
  <c r="HB140" i="4" s="1"/>
  <c r="D38" i="4"/>
  <c r="HA38" i="4" s="1"/>
  <c r="HB38" i="4" s="1"/>
  <c r="D141" i="4"/>
  <c r="HA141" i="4" s="1"/>
  <c r="HB141" i="4" s="1"/>
  <c r="D131" i="4"/>
  <c r="HA131" i="4" s="1"/>
  <c r="HB131" i="4" s="1"/>
  <c r="D169" i="4"/>
  <c r="HA169" i="4" s="1"/>
  <c r="HB169" i="4" s="1"/>
  <c r="D206" i="4"/>
  <c r="HA206" i="4" s="1"/>
  <c r="HB206" i="4" s="1"/>
  <c r="D51" i="4"/>
  <c r="HA51" i="4" s="1"/>
  <c r="HB51" i="4" s="1"/>
  <c r="D106" i="4"/>
  <c r="HA106" i="4" s="1"/>
  <c r="HB106" i="4" s="1"/>
  <c r="D95" i="4"/>
  <c r="HA95" i="4" s="1"/>
  <c r="HB95" i="4" s="1"/>
  <c r="D96" i="4"/>
  <c r="D207" i="4"/>
  <c r="HA207" i="4" s="1"/>
  <c r="HB207" i="4" s="1"/>
  <c r="D97" i="4"/>
  <c r="HA97" i="4" s="1"/>
  <c r="HB97" i="4" s="1"/>
  <c r="D98" i="4"/>
  <c r="HA98" i="4" s="1"/>
  <c r="HB98" i="4" s="1"/>
  <c r="D52" i="4"/>
  <c r="HA52" i="4" s="1"/>
  <c r="HB52" i="4" s="1"/>
  <c r="D172" i="4"/>
  <c r="HA172" i="4" s="1"/>
  <c r="HB172" i="4" s="1"/>
  <c r="D87" i="4"/>
  <c r="HA87" i="4" s="1"/>
  <c r="HB87" i="4" s="1"/>
  <c r="D72" i="4"/>
  <c r="HA72" i="4" s="1"/>
  <c r="HB72" i="4" s="1"/>
  <c r="D133" i="4"/>
  <c r="HA133" i="4" s="1"/>
  <c r="HB133" i="4" s="1"/>
  <c r="D335" i="4"/>
  <c r="D235" i="4"/>
  <c r="HA235" i="4" s="1"/>
  <c r="HB235" i="4" s="1"/>
  <c r="D158" i="4"/>
  <c r="HA158" i="4" s="1"/>
  <c r="HB158" i="4" s="1"/>
  <c r="D111" i="4"/>
  <c r="HA111" i="4" s="1"/>
  <c r="HB111" i="4" s="1"/>
  <c r="D196" i="4"/>
  <c r="HA196" i="4" s="1"/>
  <c r="HB196" i="4" s="1"/>
  <c r="D236" i="4"/>
  <c r="HA236" i="4" s="1"/>
  <c r="HB236" i="4" s="1"/>
  <c r="D60" i="4"/>
  <c r="HA60" i="4" s="1"/>
  <c r="HB60" i="4" s="1"/>
  <c r="D108" i="4"/>
  <c r="HA108" i="4" s="1"/>
  <c r="HB108" i="4" s="1"/>
  <c r="D153" i="4"/>
  <c r="HA153" i="4" s="1"/>
  <c r="HB153" i="4" s="1"/>
  <c r="D361" i="4"/>
  <c r="HA361" i="4" s="1"/>
  <c r="HB361" i="4" s="1"/>
  <c r="D289" i="4"/>
  <c r="HA289" i="4" s="1"/>
  <c r="HB289" i="4" s="1"/>
  <c r="D109" i="4"/>
  <c r="HA109" i="4" s="1"/>
  <c r="HB109" i="4" s="1"/>
  <c r="D230" i="4"/>
  <c r="D250" i="4"/>
  <c r="HA250" i="4" s="1"/>
  <c r="HB250" i="4" s="1"/>
  <c r="D117" i="4"/>
  <c r="HA117" i="4" s="1"/>
  <c r="HB117" i="4" s="1"/>
  <c r="D251" i="4"/>
  <c r="HA251" i="4" s="1"/>
  <c r="HB251" i="4" s="1"/>
  <c r="D249" i="4"/>
  <c r="HA249" i="4" s="1"/>
  <c r="HB249" i="4" s="1"/>
  <c r="D118" i="4"/>
  <c r="HA118" i="4" s="1"/>
  <c r="HB118" i="4" s="1"/>
  <c r="D119" i="4"/>
  <c r="HA119" i="4" s="1"/>
  <c r="HB119" i="4" s="1"/>
  <c r="D208" i="4"/>
  <c r="HA208" i="4" s="1"/>
  <c r="HB208" i="4" s="1"/>
  <c r="D115" i="4"/>
  <c r="HA115" i="4" s="1"/>
  <c r="HB115" i="4" s="1"/>
  <c r="D209" i="4"/>
  <c r="HA209" i="4" s="1"/>
  <c r="HB209" i="4" s="1"/>
  <c r="D120" i="4"/>
  <c r="HA120" i="4" s="1"/>
  <c r="HB120" i="4" s="1"/>
  <c r="D227" i="4"/>
  <c r="HA227" i="4" s="1"/>
  <c r="HB227" i="4" s="1"/>
  <c r="D253" i="4"/>
  <c r="HA253" i="4" s="1"/>
  <c r="HB253" i="4" s="1"/>
  <c r="D210" i="4"/>
  <c r="HA210" i="4" s="1"/>
  <c r="HB210" i="4" s="1"/>
  <c r="D255" i="4"/>
  <c r="HA255" i="4" s="1"/>
  <c r="HB255" i="4" s="1"/>
  <c r="D261" i="4"/>
  <c r="HA261" i="4" s="1"/>
  <c r="HB261" i="4" s="1"/>
  <c r="D128" i="4"/>
  <c r="HA128" i="4" s="1"/>
  <c r="HB128" i="4" s="1"/>
  <c r="D259" i="4"/>
  <c r="HA259" i="4" s="1"/>
  <c r="HB259" i="4" s="1"/>
  <c r="D99" i="4"/>
  <c r="HA99" i="4" s="1"/>
  <c r="HB99" i="4" s="1"/>
  <c r="D100" i="4"/>
  <c r="HA100" i="4" s="1"/>
  <c r="HB100" i="4" s="1"/>
  <c r="D142" i="4"/>
  <c r="HA142" i="4" s="1"/>
  <c r="HB142" i="4" s="1"/>
  <c r="D211" i="4"/>
  <c r="HA211" i="4" s="1"/>
  <c r="HB211" i="4" s="1"/>
  <c r="D147" i="4"/>
  <c r="HA147" i="4" s="1"/>
  <c r="HB147" i="4" s="1"/>
  <c r="D149" i="4"/>
  <c r="HA149" i="4" s="1"/>
  <c r="HB149" i="4" s="1"/>
  <c r="D272" i="4"/>
  <c r="HA272" i="4" s="1"/>
  <c r="HB272" i="4" s="1"/>
  <c r="D256" i="4"/>
  <c r="HA256" i="4" s="1"/>
  <c r="HB256" i="4" s="1"/>
  <c r="D212" i="4"/>
  <c r="HA212" i="4" s="1"/>
  <c r="HB212" i="4" s="1"/>
  <c r="D264" i="4"/>
  <c r="HA264" i="4" s="1"/>
  <c r="HB264" i="4" s="1"/>
  <c r="D150" i="4"/>
  <c r="HA150" i="4" s="1"/>
  <c r="HB150" i="4" s="1"/>
  <c r="D265" i="4"/>
  <c r="HA265" i="4" s="1"/>
  <c r="HB265" i="4" s="1"/>
  <c r="D199" i="4"/>
  <c r="HA199" i="4" s="1"/>
  <c r="HB199" i="4" s="1"/>
  <c r="D213" i="4"/>
  <c r="HA213" i="4" s="1"/>
  <c r="HB213" i="4" s="1"/>
  <c r="D329" i="4"/>
  <c r="HA329" i="4" s="1"/>
  <c r="HB329" i="4" s="1"/>
  <c r="D268" i="4"/>
  <c r="HA268" i="4" s="1"/>
  <c r="HB268" i="4" s="1"/>
  <c r="D56" i="4"/>
  <c r="HA56" i="4" s="1"/>
  <c r="HB56" i="4" s="1"/>
  <c r="D273" i="4"/>
  <c r="HA273" i="4" s="1"/>
  <c r="HB273" i="4" s="1"/>
  <c r="D143" i="4"/>
  <c r="HA143" i="4" s="1"/>
  <c r="HB143" i="4" s="1"/>
  <c r="D112" i="4"/>
  <c r="HA112" i="4" s="1"/>
  <c r="HB112" i="4" s="1"/>
  <c r="D280" i="4"/>
  <c r="HA280" i="4" s="1"/>
  <c r="HB280" i="4" s="1"/>
  <c r="D237" i="4"/>
  <c r="HA237" i="4" s="1"/>
  <c r="HB237" i="4" s="1"/>
  <c r="D164" i="4"/>
  <c r="HA164" i="4" s="1"/>
  <c r="HB164" i="4" s="1"/>
  <c r="D84" i="4"/>
  <c r="HA84" i="4" s="1"/>
  <c r="HB84" i="4" s="1"/>
  <c r="D281" i="4"/>
  <c r="D154" i="4"/>
  <c r="HA154" i="4" s="1"/>
  <c r="HB154" i="4" s="1"/>
  <c r="D20" i="4"/>
  <c r="HA20" i="4" s="1"/>
  <c r="HB20" i="4" s="1"/>
  <c r="D198" i="4"/>
  <c r="HA198" i="4" s="1"/>
  <c r="HB198" i="4" s="1"/>
  <c r="D61" i="4"/>
  <c r="HA61" i="4" s="1"/>
  <c r="HB61" i="4" s="1"/>
  <c r="D314" i="4"/>
  <c r="HA314" i="4" s="1"/>
  <c r="HB314" i="4" s="1"/>
  <c r="D183" i="4"/>
  <c r="D156" i="4"/>
  <c r="D278" i="4"/>
  <c r="D282" i="4"/>
  <c r="D298" i="4"/>
  <c r="HA298" i="4" s="1"/>
  <c r="HB298" i="4" s="1"/>
  <c r="D299" i="4"/>
  <c r="HA299" i="4" s="1"/>
  <c r="HB299" i="4" s="1"/>
  <c r="D78" i="4"/>
  <c r="HA78" i="4" s="1"/>
  <c r="HB78" i="4" s="1"/>
  <c r="D88" i="4"/>
  <c r="HA88" i="4" s="1"/>
  <c r="HB88" i="4" s="1"/>
  <c r="D170" i="4"/>
  <c r="HA170" i="4" s="1"/>
  <c r="HB170" i="4" s="1"/>
  <c r="D300" i="4"/>
  <c r="HA300" i="4" s="1"/>
  <c r="HB300" i="4" s="1"/>
  <c r="D294" i="4"/>
  <c r="HA294" i="4" s="1"/>
  <c r="HB294" i="4" s="1"/>
  <c r="D301" i="4"/>
  <c r="HA301" i="4" s="1"/>
  <c r="HB301" i="4" s="1"/>
  <c r="D252" i="4"/>
  <c r="HA252" i="4" s="1"/>
  <c r="HB252" i="4" s="1"/>
  <c r="D291" i="4"/>
  <c r="HA291" i="4" s="1"/>
  <c r="HB291" i="4" s="1"/>
  <c r="D176" i="4"/>
  <c r="HA176" i="4" s="1"/>
  <c r="HB176" i="4" s="1"/>
  <c r="D293" i="4"/>
  <c r="HA293" i="4" s="1"/>
  <c r="HB293" i="4" s="1"/>
  <c r="D295" i="4"/>
  <c r="HA295" i="4" s="1"/>
  <c r="HB295" i="4" s="1"/>
  <c r="D296" i="4"/>
  <c r="HA296" i="4" s="1"/>
  <c r="HB296" i="4" s="1"/>
  <c r="D192" i="4"/>
  <c r="HA192" i="4" s="1"/>
  <c r="HB192" i="4" s="1"/>
  <c r="D320" i="4"/>
  <c r="HA320" i="4" s="1"/>
  <c r="HB320" i="4" s="1"/>
  <c r="D184" i="4"/>
  <c r="HA184" i="4" s="1"/>
  <c r="HB184" i="4" s="1"/>
  <c r="D193" i="4"/>
  <c r="HA193" i="4" s="1"/>
  <c r="HB193" i="4" s="1"/>
  <c r="D185" i="4"/>
  <c r="HA185" i="4" s="1"/>
  <c r="HB185" i="4" s="1"/>
  <c r="D260" i="4"/>
  <c r="D307" i="4"/>
  <c r="HA307" i="4" s="1"/>
  <c r="HB307" i="4" s="1"/>
  <c r="D186" i="4"/>
  <c r="HA186" i="4" s="1"/>
  <c r="HB186" i="4" s="1"/>
  <c r="D286" i="4"/>
  <c r="HA286" i="4" s="1"/>
  <c r="HB286" i="4" s="1"/>
  <c r="D187" i="4"/>
  <c r="HA187" i="4" s="1"/>
  <c r="HB187" i="4" s="1"/>
  <c r="D336" i="4"/>
  <c r="HA336" i="4" s="1"/>
  <c r="HB336" i="4" s="1"/>
  <c r="D238" i="4"/>
  <c r="HA238" i="4" s="1"/>
  <c r="HB238" i="4" s="1"/>
  <c r="D321" i="4"/>
  <c r="HA321" i="4" s="1"/>
  <c r="HB321" i="4" s="1"/>
  <c r="D188" i="4"/>
  <c r="HA188" i="4" s="1"/>
  <c r="HB188" i="4" s="1"/>
  <c r="D306" i="4"/>
  <c r="HA306" i="4" s="1"/>
  <c r="HB306" i="4" s="1"/>
  <c r="D163" i="4"/>
  <c r="D214" i="4"/>
  <c r="HA214" i="4" s="1"/>
  <c r="HB214" i="4" s="1"/>
  <c r="D215" i="4"/>
  <c r="HA215" i="4" s="1"/>
  <c r="HB215" i="4" s="1"/>
  <c r="D73" i="4"/>
  <c r="HA73" i="4" s="1"/>
  <c r="HB73" i="4" s="1"/>
  <c r="D151" i="4"/>
  <c r="HA151" i="4" s="1"/>
  <c r="D316" i="4"/>
  <c r="HA316" i="4" s="1"/>
  <c r="HB316" i="4" s="1"/>
  <c r="D101" i="4"/>
  <c r="HA101" i="4" s="1"/>
  <c r="HB101" i="4" s="1"/>
  <c r="D216" i="4"/>
  <c r="HA216" i="4" s="1"/>
  <c r="HB216" i="4" s="1"/>
  <c r="D203" i="4"/>
  <c r="HA203" i="4" s="1"/>
  <c r="HB203" i="4" s="1"/>
  <c r="D132" i="4"/>
  <c r="HA132" i="4" s="1"/>
  <c r="HB132" i="4" s="1"/>
  <c r="D313" i="4"/>
  <c r="HA313" i="4" s="1"/>
  <c r="HB313" i="4" s="1"/>
  <c r="D173" i="4"/>
  <c r="HA173" i="4" s="1"/>
  <c r="HB173" i="4" s="1"/>
  <c r="D217" i="4"/>
  <c r="HA217" i="4" s="1"/>
  <c r="HB217" i="4" s="1"/>
  <c r="D266" i="4"/>
  <c r="HA266" i="4" s="1"/>
  <c r="HB266" i="4" s="1"/>
  <c r="D292" i="4"/>
  <c r="HA292" i="4" s="1"/>
  <c r="HB292" i="4" s="1"/>
  <c r="D44" i="4"/>
  <c r="HA44" i="4" s="1"/>
  <c r="HB44" i="4" s="1"/>
  <c r="D254" i="4"/>
  <c r="HA254" i="4" s="1"/>
  <c r="HB254" i="4" s="1"/>
  <c r="D134" i="4"/>
  <c r="HA134" i="4" s="1"/>
  <c r="HB134" i="4" s="1"/>
  <c r="D39" i="4"/>
  <c r="HA39" i="4" s="1"/>
  <c r="HB39" i="4" s="1"/>
  <c r="D317" i="4"/>
  <c r="HA317" i="4" s="1"/>
  <c r="HB317" i="4" s="1"/>
  <c r="D357" i="4"/>
  <c r="D218" i="4"/>
  <c r="HA218" i="4" s="1"/>
  <c r="HB218" i="4" s="1"/>
  <c r="D297" i="4"/>
  <c r="HA297" i="4" s="1"/>
  <c r="HB297" i="4" s="1"/>
  <c r="D225" i="4"/>
  <c r="HA225" i="4" s="1"/>
  <c r="HB225" i="4" s="1"/>
  <c r="D302" i="4"/>
  <c r="D246" i="4"/>
  <c r="HA246" i="4" s="1"/>
  <c r="HB246" i="4" s="1"/>
  <c r="D308" i="4"/>
  <c r="HA308" i="4" s="1"/>
  <c r="HB308" i="4" s="1"/>
  <c r="D328" i="4"/>
  <c r="HA328" i="4" s="1"/>
  <c r="HB328" i="4" s="1"/>
  <c r="D342" i="4"/>
  <c r="HA342" i="4" s="1"/>
  <c r="D228" i="4"/>
  <c r="HA228" i="4" s="1"/>
  <c r="HB228" i="4" s="1"/>
  <c r="D239" i="4"/>
  <c r="HA239" i="4" s="1"/>
  <c r="HB239" i="4" s="1"/>
  <c r="D322" i="4"/>
  <c r="HA322" i="4" s="1"/>
  <c r="HB322" i="4" s="1"/>
  <c r="D231" i="4"/>
  <c r="HA231" i="4" s="1"/>
  <c r="HB231" i="4" s="1"/>
  <c r="D205" i="4"/>
  <c r="HA205" i="4" s="1"/>
  <c r="HB205" i="4" s="1"/>
  <c r="D204" i="4"/>
  <c r="HA204" i="4" s="1"/>
  <c r="HB204" i="4" s="1"/>
  <c r="D257" i="4"/>
  <c r="HA257" i="4" s="1"/>
  <c r="HB257" i="4" s="1"/>
  <c r="D240" i="4"/>
  <c r="D381" i="4"/>
  <c r="D159" i="4"/>
  <c r="HA159" i="4" s="1"/>
  <c r="HB159" i="4" s="1"/>
  <c r="D122" i="4"/>
  <c r="HA122" i="4" s="1"/>
  <c r="HB122" i="4" s="1"/>
  <c r="D144" i="4"/>
  <c r="HA144" i="4" s="1"/>
  <c r="HB144" i="4" s="1"/>
  <c r="D135" i="4"/>
  <c r="HA135" i="4" s="1"/>
  <c r="HB135" i="4" s="1"/>
  <c r="D270" i="4"/>
  <c r="HA270" i="4" s="1"/>
  <c r="HB270" i="4" s="1"/>
  <c r="D145" i="4"/>
  <c r="HA145" i="4" s="1"/>
  <c r="HB145" i="4" s="1"/>
  <c r="D219" i="4"/>
  <c r="HA219" i="4" s="1"/>
  <c r="HB219" i="4" s="1"/>
  <c r="D267" i="4"/>
  <c r="HA267" i="4" s="1"/>
  <c r="HB267" i="4" s="1"/>
  <c r="D367" i="4"/>
  <c r="D194" i="4"/>
  <c r="D269" i="4"/>
  <c r="HA269" i="4" s="1"/>
  <c r="HB269" i="4" s="1"/>
  <c r="D74" i="4"/>
  <c r="HA74" i="4" s="1"/>
  <c r="HB74" i="4" s="1"/>
  <c r="D113" i="4"/>
  <c r="HA113" i="4" s="1"/>
  <c r="HB113" i="4" s="1"/>
  <c r="D233" i="4"/>
  <c r="HA233" i="4" s="1"/>
  <c r="HB233" i="4" s="1"/>
  <c r="D85" i="4"/>
  <c r="HA85" i="4" s="1"/>
  <c r="HB85" i="4" s="1"/>
  <c r="D284" i="4"/>
  <c r="HA284" i="4" s="1"/>
  <c r="HB284" i="4" s="1"/>
  <c r="D197" i="4"/>
  <c r="D161" i="4"/>
  <c r="D75" i="4"/>
  <c r="HA75" i="4" s="1"/>
  <c r="HB75" i="4" s="1"/>
  <c r="D220" i="4"/>
  <c r="HA220" i="4" s="1"/>
  <c r="HB220" i="4" s="1"/>
  <c r="D102" i="4"/>
  <c r="HA102" i="4" s="1"/>
  <c r="HB102" i="4" s="1"/>
  <c r="D148" i="4"/>
  <c r="D76" i="4"/>
  <c r="HA76" i="4" s="1"/>
  <c r="HB76" i="4" s="1"/>
  <c r="D201" i="4"/>
  <c r="HA201" i="4" s="1"/>
  <c r="HB201" i="4" s="1"/>
  <c r="D202" i="4"/>
  <c r="HA202" i="4" s="1"/>
  <c r="HB202" i="4" s="1"/>
  <c r="D274" i="4"/>
  <c r="HA274" i="4" s="1"/>
  <c r="HB274" i="4" s="1"/>
  <c r="D174" i="4"/>
  <c r="HA174" i="4" s="1"/>
  <c r="HB174" i="4" s="1"/>
  <c r="D337" i="4"/>
  <c r="HA337" i="4" s="1"/>
  <c r="HB337" i="4" s="1"/>
  <c r="D262" i="4"/>
  <c r="HA262" i="4" s="1"/>
  <c r="HB262" i="4" s="1"/>
  <c r="D195" i="4"/>
  <c r="HA195" i="4" s="1"/>
  <c r="HB195" i="4" s="1"/>
  <c r="D309" i="4"/>
  <c r="HA309" i="4" s="1"/>
  <c r="HB309" i="4" s="1"/>
  <c r="D189" i="4"/>
  <c r="HA189" i="4" s="1"/>
  <c r="HB189" i="4" s="1"/>
  <c r="D310" i="4"/>
  <c r="D339" i="4"/>
  <c r="HA339" i="4" s="1"/>
  <c r="HB339" i="4" s="1"/>
  <c r="D275" i="4"/>
  <c r="HA275" i="4" s="1"/>
  <c r="HB275" i="4" s="1"/>
  <c r="D221" i="4"/>
  <c r="HA221" i="4" s="1"/>
  <c r="HB221" i="4" s="1"/>
  <c r="D165" i="4"/>
  <c r="HA165" i="4" s="1"/>
  <c r="HB165" i="4" s="1"/>
  <c r="D271" i="4"/>
  <c r="HA271" i="4" s="1"/>
  <c r="HB271" i="4" s="1"/>
  <c r="D277" i="4"/>
  <c r="HA277" i="4" s="1"/>
  <c r="HB277" i="4" s="1"/>
  <c r="D146" i="4"/>
  <c r="HA146" i="4" s="1"/>
  <c r="HB146" i="4" s="1"/>
  <c r="D315" i="4"/>
  <c r="HA315" i="4" s="1"/>
  <c r="HB315" i="4" s="1"/>
  <c r="D276" i="4"/>
  <c r="D248" i="4"/>
  <c r="HA248" i="4" s="1"/>
  <c r="HB248" i="4" s="1"/>
  <c r="D247" i="4"/>
  <c r="HA247" i="4" s="1"/>
  <c r="HB247" i="4" s="1"/>
  <c r="D343" i="4"/>
  <c r="HA343" i="4" s="1"/>
  <c r="HB343" i="4" s="1"/>
  <c r="D110" i="4"/>
  <c r="HA110" i="4" s="1"/>
  <c r="HB110" i="4" s="1"/>
  <c r="D241" i="4"/>
  <c r="HA241" i="4" s="1"/>
  <c r="HB241" i="4" s="1"/>
  <c r="D242" i="4"/>
  <c r="HA242" i="4" s="1"/>
  <c r="HB242" i="4" s="1"/>
  <c r="D331" i="4"/>
  <c r="HA331" i="4" s="1"/>
  <c r="HB331" i="4" s="1"/>
  <c r="D290" i="4"/>
  <c r="HA290" i="4" s="1"/>
  <c r="HB290" i="4" s="1"/>
  <c r="D349" i="4"/>
  <c r="HA349" i="4" s="1"/>
  <c r="HB349" i="4" s="1"/>
  <c r="D229" i="4"/>
  <c r="D355" i="4"/>
  <c r="D45" i="4"/>
  <c r="HA45" i="4" s="1"/>
  <c r="HB45" i="4" s="1"/>
  <c r="D351" i="4"/>
  <c r="HA351" i="4" s="1"/>
  <c r="HB351" i="4" s="1"/>
  <c r="D177" i="4"/>
  <c r="HA177" i="4" s="1"/>
  <c r="HB177" i="4" s="1"/>
  <c r="D344" i="4"/>
  <c r="D350" i="4"/>
  <c r="D285" i="4"/>
  <c r="HA285" i="4" s="1"/>
  <c r="HB285" i="4" s="1"/>
  <c r="D129" i="4"/>
  <c r="HA129" i="4" s="1"/>
  <c r="HB129" i="4" s="1"/>
  <c r="D64" i="4"/>
  <c r="HA64" i="4" s="1"/>
  <c r="HB64" i="4" s="1"/>
  <c r="D279" i="4"/>
  <c r="HA279" i="4" s="1"/>
  <c r="HB279" i="4" s="1"/>
  <c r="D263" i="4"/>
  <c r="D304" i="4"/>
  <c r="HA304" i="4" s="1"/>
  <c r="HB304" i="4" s="1"/>
  <c r="D356" i="4"/>
  <c r="D175" i="4"/>
  <c r="HA175" i="4" s="1"/>
  <c r="HB175" i="4" s="1"/>
  <c r="D311" i="4"/>
  <c r="HA311" i="4" s="1"/>
  <c r="HB311" i="4" s="1"/>
  <c r="D190" i="4"/>
  <c r="D287" i="4"/>
  <c r="D222" i="4"/>
  <c r="HA222" i="4" s="1"/>
  <c r="HB222" i="4" s="1"/>
  <c r="D340" i="4"/>
  <c r="HA340" i="4" s="1"/>
  <c r="HB340" i="4" s="1"/>
  <c r="D223" i="4"/>
  <c r="HA223" i="4" s="1"/>
  <c r="HB223" i="4" s="1"/>
  <c r="D226" i="4"/>
  <c r="HA226" i="4" s="1"/>
  <c r="HB226" i="4" s="1"/>
  <c r="D224" i="4"/>
  <c r="HA224" i="4" s="1"/>
  <c r="HB224" i="4" s="1"/>
  <c r="D103" i="4"/>
  <c r="HA103" i="4" s="1"/>
  <c r="HB103" i="4" s="1"/>
  <c r="D104" i="4"/>
  <c r="HA104" i="4" s="1"/>
  <c r="HB104" i="4" s="1"/>
  <c r="D303" i="4"/>
  <c r="D243" i="4"/>
  <c r="HA243" i="4" s="1"/>
  <c r="HB243" i="4" s="1"/>
  <c r="D323" i="4"/>
  <c r="HA323" i="4" s="1"/>
  <c r="HB323" i="4" s="1"/>
  <c r="D324" i="4"/>
  <c r="HA324" i="4" s="1"/>
  <c r="HB324" i="4" s="1"/>
  <c r="D325" i="4"/>
  <c r="D360" i="4"/>
  <c r="HA360" i="4" s="1"/>
  <c r="HB360" i="4" s="1"/>
  <c r="D347" i="4"/>
  <c r="HA347" i="4" s="1"/>
  <c r="HB347" i="4" s="1"/>
  <c r="D105" i="4"/>
  <c r="HA105" i="4" s="1"/>
  <c r="HB105" i="4" s="1"/>
  <c r="D178" i="4"/>
  <c r="HA178" i="4" s="1"/>
  <c r="HB178" i="4" s="1"/>
  <c r="D258" i="4"/>
  <c r="HA258" i="4" s="1"/>
  <c r="HB258" i="4" s="1"/>
  <c r="D362" i="4"/>
  <c r="HA362" i="4" s="1"/>
  <c r="HB362" i="4" s="1"/>
  <c r="D305" i="4"/>
  <c r="HA305" i="4" s="1"/>
  <c r="HB305" i="4" s="1"/>
  <c r="D160" i="4"/>
  <c r="HA160" i="4" s="1"/>
  <c r="HB160" i="4" s="1"/>
  <c r="D162" i="4"/>
  <c r="HA162" i="4" s="1"/>
  <c r="HB162" i="4" s="1"/>
  <c r="D352" i="4"/>
  <c r="HA352" i="4" s="1"/>
  <c r="HB352" i="4" s="1"/>
  <c r="D353" i="4"/>
  <c r="HA353" i="4" s="1"/>
  <c r="HB353" i="4" s="1"/>
  <c r="D374" i="4"/>
  <c r="D373" i="4"/>
  <c r="HA373" i="4" s="1"/>
  <c r="HB373" i="4" s="1"/>
  <c r="D375" i="4"/>
  <c r="HA375" i="4" s="1"/>
  <c r="HB375" i="4" s="1"/>
  <c r="D376" i="4"/>
  <c r="HA376" i="4" s="1"/>
  <c r="HB376" i="4" s="1"/>
  <c r="D377" i="4"/>
  <c r="HA377" i="4" s="1"/>
  <c r="HB377" i="4" s="1"/>
  <c r="D191" i="4"/>
  <c r="HA191" i="4" s="1"/>
  <c r="HB191" i="4" s="1"/>
  <c r="D123" i="4"/>
  <c r="HA123" i="4" s="1"/>
  <c r="HB123" i="4" s="1"/>
  <c r="D378" i="4"/>
  <c r="D318" i="4"/>
  <c r="HA318" i="4" s="1"/>
  <c r="HB318" i="4" s="1"/>
  <c r="D319" i="4"/>
  <c r="HA319" i="4" s="1"/>
  <c r="HB319" i="4" s="1"/>
  <c r="D383" i="4"/>
  <c r="HA383" i="4" s="1"/>
  <c r="HB383" i="4" s="1"/>
  <c r="D288" i="4"/>
  <c r="HA288" i="4" s="1"/>
  <c r="HB288" i="4" s="1"/>
  <c r="D388" i="4"/>
  <c r="HA388" i="4" s="1"/>
  <c r="HB388" i="4" s="1"/>
  <c r="D365" i="4"/>
  <c r="HA365" i="4" s="1"/>
  <c r="HB365" i="4" s="1"/>
  <c r="D379" i="4"/>
  <c r="HA379" i="4" s="1"/>
  <c r="HB379" i="4" s="1"/>
  <c r="D389" i="4"/>
  <c r="HA389" i="4" s="1"/>
  <c r="HB389" i="4" s="1"/>
  <c r="D326" i="4"/>
  <c r="HA326" i="4" s="1"/>
  <c r="HB326" i="4" s="1"/>
  <c r="D390" i="4"/>
  <c r="D244" i="4"/>
  <c r="HA244" i="4" s="1"/>
  <c r="D410" i="4"/>
  <c r="GS410" i="4" s="1"/>
  <c r="GT410" i="4" s="1"/>
  <c r="D330" i="4"/>
  <c r="D332" i="4"/>
  <c r="D384" i="4"/>
  <c r="HA384" i="4" s="1"/>
  <c r="HB384" i="4" s="1"/>
  <c r="D354" i="4"/>
  <c r="HA354" i="4" s="1"/>
  <c r="HB354" i="4" s="1"/>
  <c r="D366" i="4"/>
  <c r="D400" i="4"/>
  <c r="HA400" i="4" s="1"/>
  <c r="HB400" i="4" s="1"/>
  <c r="D363" i="4"/>
  <c r="HA363" i="4" s="1"/>
  <c r="HB363" i="4" s="1"/>
  <c r="D370" i="4"/>
  <c r="D402" i="4"/>
  <c r="D395" i="4"/>
  <c r="HA395" i="4" s="1"/>
  <c r="HB395" i="4" s="1"/>
  <c r="D404" i="4"/>
  <c r="D391" i="4"/>
  <c r="D369" i="4"/>
  <c r="D385" i="4"/>
  <c r="D358" i="4"/>
  <c r="D392" i="4"/>
  <c r="D407" i="4"/>
  <c r="HA407" i="4" s="1"/>
  <c r="HB407" i="4" s="1"/>
  <c r="D393" i="4"/>
  <c r="HA393" i="4" s="1"/>
  <c r="HB393" i="4" s="1"/>
  <c r="D401" i="4"/>
  <c r="HA401" i="4" s="1"/>
  <c r="HB401" i="4" s="1"/>
  <c r="D399" i="4"/>
  <c r="D412" i="4"/>
  <c r="HA412" i="4" s="1"/>
  <c r="HB412" i="4" s="1"/>
  <c r="D371" i="4"/>
  <c r="D405" i="4"/>
  <c r="D359" i="4"/>
  <c r="D386" i="4"/>
  <c r="D413" i="4"/>
  <c r="D382" i="4"/>
  <c r="D387" i="4"/>
  <c r="D396" i="4"/>
  <c r="D406" i="4"/>
  <c r="D327" i="4"/>
  <c r="GS327" i="4" s="1"/>
  <c r="GT327" i="4" s="1"/>
  <c r="D394" i="4"/>
  <c r="HA394" i="4" s="1"/>
  <c r="HB394" i="4" s="1"/>
  <c r="D409" i="4"/>
  <c r="GS409" i="4" s="1"/>
  <c r="GT409" i="4" s="1"/>
  <c r="D398" i="4"/>
  <c r="GS398" i="4" s="1"/>
  <c r="GT398" i="4" s="1"/>
  <c r="D397" i="4"/>
  <c r="D411" i="4"/>
  <c r="GS411" i="4" s="1"/>
  <c r="GT411" i="4" s="1"/>
  <c r="D419" i="4"/>
  <c r="HA419" i="4" s="1"/>
  <c r="HB419" i="4" s="1"/>
  <c r="D403" i="4"/>
  <c r="D420" i="4"/>
  <c r="D422" i="4"/>
  <c r="HA422" i="4" s="1"/>
  <c r="HB422" i="4" s="1"/>
  <c r="D414" i="4"/>
  <c r="D368" i="4"/>
  <c r="D418" i="4"/>
  <c r="HA418" i="4" s="1"/>
  <c r="HB418" i="4" s="1"/>
  <c r="D5" i="4"/>
  <c r="E1" i="4"/>
  <c r="D3" i="16"/>
  <c r="D2" i="16"/>
  <c r="D4" i="16"/>
  <c r="D12" i="16"/>
  <c r="D8" i="16"/>
  <c r="D7" i="16"/>
  <c r="D5" i="16"/>
  <c r="D10" i="16"/>
  <c r="D6" i="16"/>
  <c r="D11" i="16"/>
  <c r="D13" i="16"/>
  <c r="AK330" i="4"/>
  <c r="AI330" i="4" s="1"/>
  <c r="AK332" i="4"/>
  <c r="AI332" i="4" s="1"/>
  <c r="AK366" i="4"/>
  <c r="AK370" i="4"/>
  <c r="AI370" i="4" s="1"/>
  <c r="AK402" i="4"/>
  <c r="AI402" i="4" s="1"/>
  <c r="AK404" i="4"/>
  <c r="AI404" i="4" s="1"/>
  <c r="AK369" i="4"/>
  <c r="AI369" i="4" s="1"/>
  <c r="AK385" i="4"/>
  <c r="AK358" i="4"/>
  <c r="AI358" i="4" s="1"/>
  <c r="AK392" i="4"/>
  <c r="AI392" i="4" s="1"/>
  <c r="AK399" i="4"/>
  <c r="AI399" i="4" s="1"/>
  <c r="AK371" i="4"/>
  <c r="AI371" i="4" s="1"/>
  <c r="AK405" i="4"/>
  <c r="AI405" i="4" s="1"/>
  <c r="AK359" i="4"/>
  <c r="AK386" i="4"/>
  <c r="AI386" i="4" s="1"/>
  <c r="AK413" i="4"/>
  <c r="AI413" i="4" s="1"/>
  <c r="AK382" i="4"/>
  <c r="AI382" i="4" s="1"/>
  <c r="AK387" i="4"/>
  <c r="AI387" i="4" s="1"/>
  <c r="AK396" i="4"/>
  <c r="AI396" i="4" s="1"/>
  <c r="AK406" i="4"/>
  <c r="AI406" i="4" s="1"/>
  <c r="AK327" i="4"/>
  <c r="AI327" i="4" s="1"/>
  <c r="AK394" i="4"/>
  <c r="AI394" i="4" s="1"/>
  <c r="AK409" i="4"/>
  <c r="AI409" i="4" s="1"/>
  <c r="AK398" i="4"/>
  <c r="AI398" i="4" s="1"/>
  <c r="AK397" i="4"/>
  <c r="AK411" i="4"/>
  <c r="AI411" i="4" s="1"/>
  <c r="AK419" i="4"/>
  <c r="AI419" i="4" s="1"/>
  <c r="AK403" i="4"/>
  <c r="AI403" i="4" s="1"/>
  <c r="AK420" i="4"/>
  <c r="AI420" i="4" s="1"/>
  <c r="AK422" i="4"/>
  <c r="AI422" i="4" s="1"/>
  <c r="AK414" i="4"/>
  <c r="AK368" i="4"/>
  <c r="AI368" i="4" s="1"/>
  <c r="AK418" i="4"/>
  <c r="AI418" i="4" s="1"/>
  <c r="K389" i="4"/>
  <c r="K326" i="4"/>
  <c r="K390" i="4"/>
  <c r="K244" i="4"/>
  <c r="S244" i="4" s="1"/>
  <c r="K410" i="4"/>
  <c r="K330" i="4"/>
  <c r="L330" i="4"/>
  <c r="K332" i="4"/>
  <c r="L332" i="4"/>
  <c r="K384" i="4"/>
  <c r="K354" i="4"/>
  <c r="K366" i="4"/>
  <c r="L366" i="4"/>
  <c r="K400" i="4"/>
  <c r="K363" i="4"/>
  <c r="K370" i="4"/>
  <c r="L370" i="4"/>
  <c r="K402" i="4"/>
  <c r="L402" i="4"/>
  <c r="K395" i="4"/>
  <c r="K404" i="4"/>
  <c r="L404" i="4"/>
  <c r="K391" i="4"/>
  <c r="K369" i="4"/>
  <c r="L369" i="4"/>
  <c r="K385" i="4"/>
  <c r="L385" i="4"/>
  <c r="K358" i="4"/>
  <c r="L358" i="4"/>
  <c r="K392" i="4"/>
  <c r="L392" i="4"/>
  <c r="K407" i="4"/>
  <c r="K393" i="4"/>
  <c r="K401" i="4"/>
  <c r="K399" i="4"/>
  <c r="L399" i="4"/>
  <c r="K412" i="4"/>
  <c r="K371" i="4"/>
  <c r="L371" i="4"/>
  <c r="K405" i="4"/>
  <c r="L405" i="4"/>
  <c r="K359" i="4"/>
  <c r="L359" i="4"/>
  <c r="K386" i="4"/>
  <c r="L386" i="4"/>
  <c r="K413" i="4"/>
  <c r="L413" i="4"/>
  <c r="K382" i="4"/>
  <c r="L382" i="4"/>
  <c r="K387" i="4"/>
  <c r="L387" i="4"/>
  <c r="K396" i="4"/>
  <c r="L396" i="4"/>
  <c r="K406" i="4"/>
  <c r="L406" i="4"/>
  <c r="K327" i="4"/>
  <c r="L327" i="4"/>
  <c r="K394" i="4"/>
  <c r="L394" i="4"/>
  <c r="K409" i="4"/>
  <c r="L409" i="4"/>
  <c r="K398" i="4"/>
  <c r="L398" i="4"/>
  <c r="K397" i="4"/>
  <c r="L397" i="4"/>
  <c r="K411" i="4"/>
  <c r="L411" i="4"/>
  <c r="K419" i="4"/>
  <c r="L419" i="4"/>
  <c r="K403" i="4"/>
  <c r="L403" i="4"/>
  <c r="K420" i="4"/>
  <c r="L420" i="4"/>
  <c r="K422" i="4"/>
  <c r="L422" i="4"/>
  <c r="K414" i="4"/>
  <c r="L414" i="4"/>
  <c r="HI416" i="4"/>
  <c r="HK416" i="4"/>
  <c r="HO416" i="4"/>
  <c r="HQ416" i="4"/>
  <c r="HS416" i="4"/>
  <c r="K368" i="4"/>
  <c r="L368" i="4"/>
  <c r="K418" i="4"/>
  <c r="L418" i="4"/>
  <c r="G330" i="4"/>
  <c r="G332" i="4"/>
  <c r="G366" i="4"/>
  <c r="G370" i="4"/>
  <c r="G402" i="4"/>
  <c r="G404" i="4"/>
  <c r="G369" i="4"/>
  <c r="G385" i="4"/>
  <c r="G358" i="4"/>
  <c r="G392" i="4"/>
  <c r="G399" i="4"/>
  <c r="G371" i="4"/>
  <c r="G405" i="4"/>
  <c r="G359" i="4"/>
  <c r="G386" i="4"/>
  <c r="G406" i="4"/>
  <c r="G327" i="4"/>
  <c r="G409" i="4"/>
  <c r="G398" i="4"/>
  <c r="G397" i="4"/>
  <c r="G411" i="4"/>
  <c r="G368" i="4"/>
  <c r="M422" i="4" l="1"/>
  <c r="BT422" i="4"/>
  <c r="BU422" i="4"/>
  <c r="BV422" i="4"/>
  <c r="HA420" i="4"/>
  <c r="HB420" i="4" s="1"/>
  <c r="HA421" i="4"/>
  <c r="HB421" i="4" s="1"/>
  <c r="M420" i="4"/>
  <c r="BU420" i="4"/>
  <c r="BV420" i="4"/>
  <c r="BT420" i="4"/>
  <c r="S420" i="4"/>
  <c r="S419" i="4"/>
  <c r="M419" i="4"/>
  <c r="BT419" i="4"/>
  <c r="BS419" i="4"/>
  <c r="BV419" i="4"/>
  <c r="M418" i="4"/>
  <c r="BT418" i="4"/>
  <c r="BV418" i="4"/>
  <c r="BU418" i="4"/>
  <c r="S418" i="4"/>
  <c r="AI414" i="4"/>
  <c r="M414" i="4"/>
  <c r="BT414" i="4"/>
  <c r="BU414" i="4"/>
  <c r="BV414" i="4"/>
  <c r="S422" i="4"/>
  <c r="BH422" i="4"/>
  <c r="BD422" i="4"/>
  <c r="BI422" i="4"/>
  <c r="BG422" i="4"/>
  <c r="BC422" i="4"/>
  <c r="BE422" i="4"/>
  <c r="HA414" i="4"/>
  <c r="HB414" i="4" s="1"/>
  <c r="HA413" i="4"/>
  <c r="HB413" i="4" s="1"/>
  <c r="M413" i="4"/>
  <c r="BS413" i="4"/>
  <c r="BT413" i="4"/>
  <c r="BV413" i="4"/>
  <c r="S413" i="4"/>
  <c r="S412" i="4"/>
  <c r="M411" i="4"/>
  <c r="BT411" i="4"/>
  <c r="BV411" i="4"/>
  <c r="BS411" i="4"/>
  <c r="S410" i="4"/>
  <c r="M409" i="4"/>
  <c r="BV409" i="4"/>
  <c r="BS409" i="4"/>
  <c r="BT409" i="4"/>
  <c r="S407" i="4"/>
  <c r="M406" i="4"/>
  <c r="BV406" i="4"/>
  <c r="BS406" i="4"/>
  <c r="BU406" i="4"/>
  <c r="S406" i="4"/>
  <c r="M404" i="4"/>
  <c r="BU404" i="4"/>
  <c r="BS404" i="4"/>
  <c r="BT404" i="4"/>
  <c r="S404" i="4"/>
  <c r="S405" i="4"/>
  <c r="M405" i="4"/>
  <c r="BV405" i="4"/>
  <c r="BS405" i="4"/>
  <c r="BU405" i="4"/>
  <c r="S403" i="4"/>
  <c r="M403" i="4"/>
  <c r="BV403" i="4"/>
  <c r="BS403" i="4"/>
  <c r="BU403" i="4"/>
  <c r="M402" i="4"/>
  <c r="BV402" i="4"/>
  <c r="BT402" i="4"/>
  <c r="BU402" i="4"/>
  <c r="S402" i="4"/>
  <c r="S401" i="4"/>
  <c r="S399" i="4"/>
  <c r="M399" i="4"/>
  <c r="BV399" i="4"/>
  <c r="BS399" i="4"/>
  <c r="BU399" i="4"/>
  <c r="M398" i="4"/>
  <c r="BV398" i="4"/>
  <c r="BT398" i="4"/>
  <c r="BU398" i="4"/>
  <c r="S398" i="4"/>
  <c r="AI397" i="4"/>
  <c r="S397" i="4"/>
  <c r="M397" i="4"/>
  <c r="BV397" i="4"/>
  <c r="BS397" i="4"/>
  <c r="BU397" i="4"/>
  <c r="M396" i="4"/>
  <c r="BV396" i="4"/>
  <c r="BT396" i="4"/>
  <c r="BU396" i="4"/>
  <c r="S396" i="4"/>
  <c r="S395" i="4"/>
  <c r="M394" i="4"/>
  <c r="BV394" i="4"/>
  <c r="BT394" i="4"/>
  <c r="BU394" i="4"/>
  <c r="S394" i="4"/>
  <c r="S393" i="4"/>
  <c r="M392" i="4"/>
  <c r="BV392" i="4"/>
  <c r="BS392" i="4"/>
  <c r="BT392" i="4"/>
  <c r="S392" i="4"/>
  <c r="BF392" i="4" s="1"/>
  <c r="S390" i="4"/>
  <c r="S389" i="4"/>
  <c r="S387" i="4"/>
  <c r="M387" i="4"/>
  <c r="BV387" i="4"/>
  <c r="BT387" i="4"/>
  <c r="BU387" i="4"/>
  <c r="M386" i="4"/>
  <c r="BV386" i="4"/>
  <c r="BS386" i="4"/>
  <c r="BT386" i="4"/>
  <c r="S386" i="4"/>
  <c r="C386" i="4" s="1"/>
  <c r="M385" i="4"/>
  <c r="AI366" i="4"/>
  <c r="S385" i="4"/>
  <c r="BF385" i="4" s="1"/>
  <c r="DR385" i="4" s="1"/>
  <c r="S384" i="4"/>
  <c r="M382" i="4"/>
  <c r="BV382" i="4"/>
  <c r="BU382" i="4"/>
  <c r="BS382" i="4"/>
  <c r="S382" i="4"/>
  <c r="U13" i="16"/>
  <c r="S371" i="4"/>
  <c r="M371" i="4"/>
  <c r="BU371" i="4"/>
  <c r="BS371" i="4"/>
  <c r="BT371" i="4"/>
  <c r="M370" i="4"/>
  <c r="BS370" i="4"/>
  <c r="BT370" i="4"/>
  <c r="BU370" i="4"/>
  <c r="S370" i="4"/>
  <c r="M369" i="4"/>
  <c r="BS369" i="4"/>
  <c r="BT369" i="4"/>
  <c r="S369" i="4"/>
  <c r="HS369" i="4" s="1"/>
  <c r="M368" i="4"/>
  <c r="BV368" i="4"/>
  <c r="BU368" i="4"/>
  <c r="BS368" i="4"/>
  <c r="S368" i="4"/>
  <c r="M366" i="4"/>
  <c r="BV366" i="4"/>
  <c r="BU366" i="4"/>
  <c r="BT366" i="4"/>
  <c r="S366" i="4"/>
  <c r="HA357" i="4"/>
  <c r="HB357" i="4" s="1"/>
  <c r="HA356" i="4"/>
  <c r="HB356" i="4" s="1"/>
  <c r="S363" i="4"/>
  <c r="AI359" i="4"/>
  <c r="M359" i="4"/>
  <c r="BU359" i="4"/>
  <c r="BV359" i="4"/>
  <c r="BS359" i="4"/>
  <c r="S359" i="4"/>
  <c r="HO359" i="4" s="1"/>
  <c r="M358" i="4"/>
  <c r="BU358" i="4"/>
  <c r="BV358" i="4"/>
  <c r="BT358" i="4"/>
  <c r="S358" i="4"/>
  <c r="S409" i="4"/>
  <c r="BH410" i="4"/>
  <c r="BC410" i="4"/>
  <c r="BI410" i="4"/>
  <c r="BE410" i="4"/>
  <c r="BG410" i="4"/>
  <c r="BD410" i="4"/>
  <c r="S354" i="4"/>
  <c r="S411" i="4"/>
  <c r="BD411" i="4"/>
  <c r="BG411" i="4"/>
  <c r="BH411" i="4"/>
  <c r="BC411" i="4"/>
  <c r="BE411" i="4"/>
  <c r="BI411" i="4"/>
  <c r="S414" i="4"/>
  <c r="BD415" i="4"/>
  <c r="BE415" i="4"/>
  <c r="BH415" i="4"/>
  <c r="BC415" i="4"/>
  <c r="BG415" i="4"/>
  <c r="BI415" i="4"/>
  <c r="HB342" i="4"/>
  <c r="M332" i="4"/>
  <c r="BS332" i="4"/>
  <c r="BU332" i="4"/>
  <c r="BV332" i="4"/>
  <c r="S332" i="4"/>
  <c r="M330" i="4"/>
  <c r="BS330" i="4"/>
  <c r="BT330" i="4"/>
  <c r="BU330" i="4"/>
  <c r="S330" i="4"/>
  <c r="HS330" i="4" s="1"/>
  <c r="S327" i="4"/>
  <c r="M327" i="4"/>
  <c r="BS327" i="4"/>
  <c r="BU327" i="4"/>
  <c r="BV327" i="4"/>
  <c r="S326" i="4"/>
  <c r="BP244" i="4"/>
  <c r="H244" i="4"/>
  <c r="BO244" i="4"/>
  <c r="S400" i="4"/>
  <c r="U11" i="16"/>
  <c r="S391" i="4"/>
  <c r="U10" i="16"/>
  <c r="AF3" i="5"/>
  <c r="AH86" i="9"/>
  <c r="V86" i="9"/>
  <c r="Y85" i="9"/>
  <c r="AB84" i="9"/>
  <c r="AE83" i="9"/>
  <c r="AH82" i="9"/>
  <c r="V82" i="9"/>
  <c r="Y81" i="9"/>
  <c r="AB80" i="9"/>
  <c r="AE79" i="9"/>
  <c r="AH78" i="9"/>
  <c r="V78" i="9"/>
  <c r="Y77" i="9"/>
  <c r="AB76" i="9"/>
  <c r="AE75" i="9"/>
  <c r="AH74" i="9"/>
  <c r="V74" i="9"/>
  <c r="Y73" i="9"/>
  <c r="AB72" i="9"/>
  <c r="AE71" i="9"/>
  <c r="AH70" i="9"/>
  <c r="V70" i="9"/>
  <c r="Y69" i="9"/>
  <c r="AB68" i="9"/>
  <c r="AE67" i="9"/>
  <c r="AH66" i="9"/>
  <c r="V66" i="9"/>
  <c r="Y65" i="9"/>
  <c r="AB64" i="9"/>
  <c r="AE63" i="9"/>
  <c r="AH62" i="9"/>
  <c r="V62" i="9"/>
  <c r="Y61" i="9"/>
  <c r="AB60" i="9"/>
  <c r="AE59" i="9"/>
  <c r="AH58" i="9"/>
  <c r="V58" i="9"/>
  <c r="Y57" i="9"/>
  <c r="AB56" i="9"/>
  <c r="AE55" i="9"/>
  <c r="AH54" i="9"/>
  <c r="V54" i="9"/>
  <c r="Y53" i="9"/>
  <c r="AB52" i="9"/>
  <c r="AE51" i="9"/>
  <c r="AH50" i="9"/>
  <c r="V50" i="9"/>
  <c r="Y49" i="9"/>
  <c r="AB48" i="9"/>
  <c r="AE47" i="9"/>
  <c r="AH46" i="9"/>
  <c r="V46" i="9"/>
  <c r="Y45" i="9"/>
  <c r="AB44" i="9"/>
  <c r="AE43" i="9"/>
  <c r="AH42" i="9"/>
  <c r="V42" i="9"/>
  <c r="Y41" i="9"/>
  <c r="AB40" i="9"/>
  <c r="AE39" i="9"/>
  <c r="AH38" i="9"/>
  <c r="V38" i="9"/>
  <c r="Y37" i="9"/>
  <c r="AB36" i="9"/>
  <c r="AE35" i="9"/>
  <c r="AH34" i="9"/>
  <c r="V34" i="9"/>
  <c r="Y33" i="9"/>
  <c r="AB32" i="9"/>
  <c r="AE31" i="9"/>
  <c r="AH30" i="9"/>
  <c r="AG86" i="9"/>
  <c r="AJ85" i="9"/>
  <c r="X85" i="9"/>
  <c r="AA84" i="9"/>
  <c r="AD83" i="9"/>
  <c r="AG82" i="9"/>
  <c r="AJ81" i="9"/>
  <c r="X81" i="9"/>
  <c r="AA80" i="9"/>
  <c r="AD79" i="9"/>
  <c r="AG78" i="9"/>
  <c r="AJ77" i="9"/>
  <c r="X77" i="9"/>
  <c r="AA76" i="9"/>
  <c r="AD75" i="9"/>
  <c r="AG74" i="9"/>
  <c r="AJ73" i="9"/>
  <c r="X73" i="9"/>
  <c r="AA72" i="9"/>
  <c r="AD71" i="9"/>
  <c r="AG70" i="9"/>
  <c r="AJ69" i="9"/>
  <c r="X69" i="9"/>
  <c r="AA68" i="9"/>
  <c r="AD67" i="9"/>
  <c r="AG66" i="9"/>
  <c r="AJ65" i="9"/>
  <c r="X65" i="9"/>
  <c r="AA64" i="9"/>
  <c r="AD63" i="9"/>
  <c r="AG62" i="9"/>
  <c r="AJ61" i="9"/>
  <c r="X61" i="9"/>
  <c r="AA60" i="9"/>
  <c r="AD59" i="9"/>
  <c r="AG58" i="9"/>
  <c r="AJ57" i="9"/>
  <c r="X57" i="9"/>
  <c r="AA56" i="9"/>
  <c r="AD55" i="9"/>
  <c r="AG54" i="9"/>
  <c r="AF86" i="9"/>
  <c r="AI85" i="9"/>
  <c r="W85" i="9"/>
  <c r="Z84" i="9"/>
  <c r="AC83" i="9"/>
  <c r="AF82" i="9"/>
  <c r="AI81" i="9"/>
  <c r="W81" i="9"/>
  <c r="Z80" i="9"/>
  <c r="AC79" i="9"/>
  <c r="AF78" i="9"/>
  <c r="AI77" i="9"/>
  <c r="W77" i="9"/>
  <c r="Z76" i="9"/>
  <c r="AC75" i="9"/>
  <c r="AF74" i="9"/>
  <c r="AI73" i="9"/>
  <c r="W73" i="9"/>
  <c r="Z72" i="9"/>
  <c r="AC71" i="9"/>
  <c r="AF70" i="9"/>
  <c r="AI69" i="9"/>
  <c r="W69" i="9"/>
  <c r="Z68" i="9"/>
  <c r="AC67" i="9"/>
  <c r="AF66" i="9"/>
  <c r="AI65" i="9"/>
  <c r="W65" i="9"/>
  <c r="Z64" i="9"/>
  <c r="AC63" i="9"/>
  <c r="AF62" i="9"/>
  <c r="AI61" i="9"/>
  <c r="W61" i="9"/>
  <c r="Z60" i="9"/>
  <c r="AC59" i="9"/>
  <c r="AF58" i="9"/>
  <c r="AI57" i="9"/>
  <c r="W57" i="9"/>
  <c r="Z56" i="9"/>
  <c r="AC55" i="9"/>
  <c r="AF54" i="9"/>
  <c r="AI53" i="9"/>
  <c r="W53" i="9"/>
  <c r="Z52" i="9"/>
  <c r="AC51" i="9"/>
  <c r="AF50" i="9"/>
  <c r="AI49" i="9"/>
  <c r="W49" i="9"/>
  <c r="Z48" i="9"/>
  <c r="AC47" i="9"/>
  <c r="AF46" i="9"/>
  <c r="AE86" i="9"/>
  <c r="AH85" i="9"/>
  <c r="V85" i="9"/>
  <c r="Y84" i="9"/>
  <c r="AB83" i="9"/>
  <c r="AE82" i="9"/>
  <c r="AH81" i="9"/>
  <c r="V81" i="9"/>
  <c r="Y80" i="9"/>
  <c r="AB79" i="9"/>
  <c r="AE78" i="9"/>
  <c r="AH77" i="9"/>
  <c r="V77" i="9"/>
  <c r="Y76" i="9"/>
  <c r="AB75" i="9"/>
  <c r="AE74" i="9"/>
  <c r="AH73" i="9"/>
  <c r="V73" i="9"/>
  <c r="Y72" i="9"/>
  <c r="AB71" i="9"/>
  <c r="AE70" i="9"/>
  <c r="AH69" i="9"/>
  <c r="V69" i="9"/>
  <c r="Y68" i="9"/>
  <c r="AB67" i="9"/>
  <c r="AE66" i="9"/>
  <c r="AH65" i="9"/>
  <c r="V65" i="9"/>
  <c r="Y64" i="9"/>
  <c r="AB63" i="9"/>
  <c r="AE62" i="9"/>
  <c r="AH61" i="9"/>
  <c r="V61" i="9"/>
  <c r="Y60" i="9"/>
  <c r="AB59" i="9"/>
  <c r="AE58" i="9"/>
  <c r="AH57" i="9"/>
  <c r="V57" i="9"/>
  <c r="Y56" i="9"/>
  <c r="AB55" i="9"/>
  <c r="AE54" i="9"/>
  <c r="AH53" i="9"/>
  <c r="V53" i="9"/>
  <c r="Y52" i="9"/>
  <c r="AB51" i="9"/>
  <c r="AE50" i="9"/>
  <c r="AH49" i="9"/>
  <c r="V49" i="9"/>
  <c r="Y48" i="9"/>
  <c r="AB47" i="9"/>
  <c r="AE46" i="9"/>
  <c r="AH45" i="9"/>
  <c r="V45" i="9"/>
  <c r="Y44" i="9"/>
  <c r="AB43" i="9"/>
  <c r="AE42" i="9"/>
  <c r="AH41" i="9"/>
  <c r="V41" i="9"/>
  <c r="Y40" i="9"/>
  <c r="AB39" i="9"/>
  <c r="AE38" i="9"/>
  <c r="AH37" i="9"/>
  <c r="V37" i="9"/>
  <c r="Y36" i="9"/>
  <c r="AB35" i="9"/>
  <c r="AE34" i="9"/>
  <c r="AH33" i="9"/>
  <c r="V33" i="9"/>
  <c r="Y32" i="9"/>
  <c r="AB31" i="9"/>
  <c r="AE30" i="9"/>
  <c r="AD86" i="9"/>
  <c r="AG85" i="9"/>
  <c r="AJ84" i="9"/>
  <c r="X84" i="9"/>
  <c r="AA83" i="9"/>
  <c r="AD82" i="9"/>
  <c r="AG81" i="9"/>
  <c r="AJ80" i="9"/>
  <c r="X80" i="9"/>
  <c r="AA79" i="9"/>
  <c r="AD78" i="9"/>
  <c r="AG77" i="9"/>
  <c r="AJ76" i="9"/>
  <c r="X76" i="9"/>
  <c r="AA75" i="9"/>
  <c r="AD74" i="9"/>
  <c r="AG73" i="9"/>
  <c r="AJ72" i="9"/>
  <c r="X72" i="9"/>
  <c r="AA71" i="9"/>
  <c r="AD70" i="9"/>
  <c r="AG69" i="9"/>
  <c r="AJ68" i="9"/>
  <c r="X68" i="9"/>
  <c r="AA67" i="9"/>
  <c r="AD66" i="9"/>
  <c r="AG65" i="9"/>
  <c r="AJ64" i="9"/>
  <c r="X64" i="9"/>
  <c r="AA63" i="9"/>
  <c r="AD62" i="9"/>
  <c r="AG61" i="9"/>
  <c r="AJ60" i="9"/>
  <c r="X60" i="9"/>
  <c r="AA59" i="9"/>
  <c r="AD58" i="9"/>
  <c r="AG57" i="9"/>
  <c r="AJ56" i="9"/>
  <c r="X56" i="9"/>
  <c r="AA55" i="9"/>
  <c r="AD54" i="9"/>
  <c r="AG53" i="9"/>
  <c r="AJ52" i="9"/>
  <c r="X52" i="9"/>
  <c r="AA51" i="9"/>
  <c r="AD50" i="9"/>
  <c r="AG49" i="9"/>
  <c r="AJ48" i="9"/>
  <c r="X48" i="9"/>
  <c r="AA47" i="9"/>
  <c r="AD46" i="9"/>
  <c r="AG45" i="9"/>
  <c r="AJ44" i="9"/>
  <c r="X44" i="9"/>
  <c r="AA43" i="9"/>
  <c r="AD42" i="9"/>
  <c r="AG41" i="9"/>
  <c r="AJ40" i="9"/>
  <c r="X40" i="9"/>
  <c r="AA39" i="9"/>
  <c r="AD38" i="9"/>
  <c r="AG37" i="9"/>
  <c r="AJ36" i="9"/>
  <c r="X36" i="9"/>
  <c r="AA35" i="9"/>
  <c r="AD34" i="9"/>
  <c r="AG33" i="9"/>
  <c r="AJ32" i="9"/>
  <c r="X32" i="9"/>
  <c r="AA31" i="9"/>
  <c r="AD30" i="9"/>
  <c r="AB86" i="9"/>
  <c r="AE85" i="9"/>
  <c r="AH84" i="9"/>
  <c r="V84" i="9"/>
  <c r="Y83" i="9"/>
  <c r="AB82" i="9"/>
  <c r="AE81" i="9"/>
  <c r="AH80" i="9"/>
  <c r="V80" i="9"/>
  <c r="Y79" i="9"/>
  <c r="AB78" i="9"/>
  <c r="AE77" i="9"/>
  <c r="AH76" i="9"/>
  <c r="V76" i="9"/>
  <c r="Y75" i="9"/>
  <c r="AB74" i="9"/>
  <c r="AE73" i="9"/>
  <c r="AH72" i="9"/>
  <c r="V72" i="9"/>
  <c r="Y71" i="9"/>
  <c r="AB70" i="9"/>
  <c r="AE69" i="9"/>
  <c r="AH68" i="9"/>
  <c r="V68" i="9"/>
  <c r="Y67" i="9"/>
  <c r="AB66" i="9"/>
  <c r="AE65" i="9"/>
  <c r="AH64" i="9"/>
  <c r="V64" i="9"/>
  <c r="Y63" i="9"/>
  <c r="AB62" i="9"/>
  <c r="AE61" i="9"/>
  <c r="AH60" i="9"/>
  <c r="V60" i="9"/>
  <c r="Y59" i="9"/>
  <c r="AB58" i="9"/>
  <c r="AE57" i="9"/>
  <c r="AH56" i="9"/>
  <c r="V56" i="9"/>
  <c r="Y55" i="9"/>
  <c r="AB54" i="9"/>
  <c r="AE53" i="9"/>
  <c r="AH52" i="9"/>
  <c r="V52" i="9"/>
  <c r="Y51" i="9"/>
  <c r="AB50" i="9"/>
  <c r="AE49" i="9"/>
  <c r="AH48" i="9"/>
  <c r="V48" i="9"/>
  <c r="Y47" i="9"/>
  <c r="AB46" i="9"/>
  <c r="AA86" i="9"/>
  <c r="AD85" i="9"/>
  <c r="AG84" i="9"/>
  <c r="AJ83" i="9"/>
  <c r="X83" i="9"/>
  <c r="AA82" i="9"/>
  <c r="AD81" i="9"/>
  <c r="AG80" i="9"/>
  <c r="AJ79" i="9"/>
  <c r="X79" i="9"/>
  <c r="AA78" i="9"/>
  <c r="AD77" i="9"/>
  <c r="AG76" i="9"/>
  <c r="AJ75" i="9"/>
  <c r="X75" i="9"/>
  <c r="AA74" i="9"/>
  <c r="AD73" i="9"/>
  <c r="AG72" i="9"/>
  <c r="AJ71" i="9"/>
  <c r="X71" i="9"/>
  <c r="AA70" i="9"/>
  <c r="AD69" i="9"/>
  <c r="AG68" i="9"/>
  <c r="AJ67" i="9"/>
  <c r="X67" i="9"/>
  <c r="AA66" i="9"/>
  <c r="AD65" i="9"/>
  <c r="AG64" i="9"/>
  <c r="AJ63" i="9"/>
  <c r="X63" i="9"/>
  <c r="AA62" i="9"/>
  <c r="AD61" i="9"/>
  <c r="AG60" i="9"/>
  <c r="AJ59" i="9"/>
  <c r="X59" i="9"/>
  <c r="AA58" i="9"/>
  <c r="AD57" i="9"/>
  <c r="Z86" i="9"/>
  <c r="AC85" i="9"/>
  <c r="AF84" i="9"/>
  <c r="AI83" i="9"/>
  <c r="W83" i="9"/>
  <c r="Z82" i="9"/>
  <c r="AC81" i="9"/>
  <c r="AF80" i="9"/>
  <c r="AI79" i="9"/>
  <c r="W79" i="9"/>
  <c r="Z78" i="9"/>
  <c r="AC77" i="9"/>
  <c r="AF76" i="9"/>
  <c r="AI75" i="9"/>
  <c r="W75" i="9"/>
  <c r="Z74" i="9"/>
  <c r="AC73" i="9"/>
  <c r="AF72" i="9"/>
  <c r="AI71" i="9"/>
  <c r="W71" i="9"/>
  <c r="Z70" i="9"/>
  <c r="AC69" i="9"/>
  <c r="AF68" i="9"/>
  <c r="AI67" i="9"/>
  <c r="W67" i="9"/>
  <c r="Z66" i="9"/>
  <c r="AC65" i="9"/>
  <c r="AF64" i="9"/>
  <c r="AI63" i="9"/>
  <c r="W63" i="9"/>
  <c r="Z62" i="9"/>
  <c r="AC61" i="9"/>
  <c r="AF60" i="9"/>
  <c r="AI59" i="9"/>
  <c r="W59" i="9"/>
  <c r="Z58" i="9"/>
  <c r="AC57" i="9"/>
  <c r="AF56" i="9"/>
  <c r="AI55" i="9"/>
  <c r="Y86" i="9"/>
  <c r="AB85" i="9"/>
  <c r="AE84" i="9"/>
  <c r="AH83" i="9"/>
  <c r="V83" i="9"/>
  <c r="Y82" i="9"/>
  <c r="AB81" i="9"/>
  <c r="AE80" i="9"/>
  <c r="AH79" i="9"/>
  <c r="V79" i="9"/>
  <c r="Y78" i="9"/>
  <c r="AB77" i="9"/>
  <c r="AE76" i="9"/>
  <c r="AH75" i="9"/>
  <c r="V75" i="9"/>
  <c r="Y74" i="9"/>
  <c r="AB73" i="9"/>
  <c r="AE72" i="9"/>
  <c r="AH71" i="9"/>
  <c r="V71" i="9"/>
  <c r="Y70" i="9"/>
  <c r="AB69" i="9"/>
  <c r="AE68" i="9"/>
  <c r="AH67" i="9"/>
  <c r="V67" i="9"/>
  <c r="Y66" i="9"/>
  <c r="AB65" i="9"/>
  <c r="AE64" i="9"/>
  <c r="AH63" i="9"/>
  <c r="V63" i="9"/>
  <c r="Y62" i="9"/>
  <c r="AB61" i="9"/>
  <c r="AE60" i="9"/>
  <c r="AH59" i="9"/>
  <c r="V59" i="9"/>
  <c r="Y58" i="9"/>
  <c r="AB57" i="9"/>
  <c r="AE56" i="9"/>
  <c r="AH55" i="9"/>
  <c r="V55" i="9"/>
  <c r="Y54" i="9"/>
  <c r="AB53" i="9"/>
  <c r="AE52" i="9"/>
  <c r="AH51" i="9"/>
  <c r="V51" i="9"/>
  <c r="Y50" i="9"/>
  <c r="AB49" i="9"/>
  <c r="AE48" i="9"/>
  <c r="AH47" i="9"/>
  <c r="V47" i="9"/>
  <c r="Y46" i="9"/>
  <c r="AB45" i="9"/>
  <c r="AE44" i="9"/>
  <c r="AH43" i="9"/>
  <c r="V43" i="9"/>
  <c r="Y42" i="9"/>
  <c r="AB41" i="9"/>
  <c r="AE40" i="9"/>
  <c r="AH39" i="9"/>
  <c r="V39" i="9"/>
  <c r="Y38" i="9"/>
  <c r="AB37" i="9"/>
  <c r="AE36" i="9"/>
  <c r="AH35" i="9"/>
  <c r="V35" i="9"/>
  <c r="Y34" i="9"/>
  <c r="AB33" i="9"/>
  <c r="AE32" i="9"/>
  <c r="AJ86" i="9"/>
  <c r="X86" i="9"/>
  <c r="AA85" i="9"/>
  <c r="AD84" i="9"/>
  <c r="AG83" i="9"/>
  <c r="AJ82" i="9"/>
  <c r="X82" i="9"/>
  <c r="AA81" i="9"/>
  <c r="AD80" i="9"/>
  <c r="AG79" i="9"/>
  <c r="AJ78" i="9"/>
  <c r="X78" i="9"/>
  <c r="AA77" i="9"/>
  <c r="AD76" i="9"/>
  <c r="AG75" i="9"/>
  <c r="AJ74" i="9"/>
  <c r="X74" i="9"/>
  <c r="AA73" i="9"/>
  <c r="AD72" i="9"/>
  <c r="AG71" i="9"/>
  <c r="AJ70" i="9"/>
  <c r="X70" i="9"/>
  <c r="AA69" i="9"/>
  <c r="AD68" i="9"/>
  <c r="AG67" i="9"/>
  <c r="AJ66" i="9"/>
  <c r="X66" i="9"/>
  <c r="AA65" i="9"/>
  <c r="AD64" i="9"/>
  <c r="AG63" i="9"/>
  <c r="AJ62" i="9"/>
  <c r="X62" i="9"/>
  <c r="AA61" i="9"/>
  <c r="AD60" i="9"/>
  <c r="AG59" i="9"/>
  <c r="AJ58" i="9"/>
  <c r="X58" i="9"/>
  <c r="AA57" i="9"/>
  <c r="AD56" i="9"/>
  <c r="AG55" i="9"/>
  <c r="AJ54" i="9"/>
  <c r="X54" i="9"/>
  <c r="AA53" i="9"/>
  <c r="AD52" i="9"/>
  <c r="AG51" i="9"/>
  <c r="AJ50" i="9"/>
  <c r="X50" i="9"/>
  <c r="AA49" i="9"/>
  <c r="AD48" i="9"/>
  <c r="AG47" i="9"/>
  <c r="AJ46" i="9"/>
  <c r="X46" i="9"/>
  <c r="AA45" i="9"/>
  <c r="AD44" i="9"/>
  <c r="AG43" i="9"/>
  <c r="AJ42" i="9"/>
  <c r="X42" i="9"/>
  <c r="AA41" i="9"/>
  <c r="AD40" i="9"/>
  <c r="AG39" i="9"/>
  <c r="AJ38" i="9"/>
  <c r="X38" i="9"/>
  <c r="AA37" i="9"/>
  <c r="AD36" i="9"/>
  <c r="AG35" i="9"/>
  <c r="AJ34" i="9"/>
  <c r="AI86" i="9"/>
  <c r="W86" i="9"/>
  <c r="Z85" i="9"/>
  <c r="AC84" i="9"/>
  <c r="AF83" i="9"/>
  <c r="AI82" i="9"/>
  <c r="W82" i="9"/>
  <c r="Z81" i="9"/>
  <c r="AC80" i="9"/>
  <c r="AF79" i="9"/>
  <c r="AI78" i="9"/>
  <c r="W78" i="9"/>
  <c r="Z77" i="9"/>
  <c r="AC76" i="9"/>
  <c r="AF75" i="9"/>
  <c r="AI74" i="9"/>
  <c r="W74" i="9"/>
  <c r="Z73" i="9"/>
  <c r="AC72" i="9"/>
  <c r="AF71" i="9"/>
  <c r="AI70" i="9"/>
  <c r="W70" i="9"/>
  <c r="Z69" i="9"/>
  <c r="AC68" i="9"/>
  <c r="AF67" i="9"/>
  <c r="AI66" i="9"/>
  <c r="W66" i="9"/>
  <c r="Z65" i="9"/>
  <c r="AC64" i="9"/>
  <c r="AF63" i="9"/>
  <c r="AI62" i="9"/>
  <c r="W62" i="9"/>
  <c r="Z61" i="9"/>
  <c r="AC60" i="9"/>
  <c r="AF59" i="9"/>
  <c r="AI58" i="9"/>
  <c r="W58" i="9"/>
  <c r="Z57" i="9"/>
  <c r="AC56" i="9"/>
  <c r="AF55" i="9"/>
  <c r="AI54" i="9"/>
  <c r="W54" i="9"/>
  <c r="Z53" i="9"/>
  <c r="AC52" i="9"/>
  <c r="AF51" i="9"/>
  <c r="AI50" i="9"/>
  <c r="W50" i="9"/>
  <c r="Z49" i="9"/>
  <c r="AC48" i="9"/>
  <c r="AF47" i="9"/>
  <c r="AI46" i="9"/>
  <c r="W46" i="9"/>
  <c r="Z45" i="9"/>
  <c r="AC44" i="9"/>
  <c r="AF43" i="9"/>
  <c r="AI42" i="9"/>
  <c r="W42" i="9"/>
  <c r="Z41" i="9"/>
  <c r="AC40" i="9"/>
  <c r="AF39" i="9"/>
  <c r="AI38" i="9"/>
  <c r="W38" i="9"/>
  <c r="Z37" i="9"/>
  <c r="AC36" i="9"/>
  <c r="AF35" i="9"/>
  <c r="AI34" i="9"/>
  <c r="AC78" i="9"/>
  <c r="AI68" i="9"/>
  <c r="Z59" i="9"/>
  <c r="Z54" i="9"/>
  <c r="AI51" i="9"/>
  <c r="AC49" i="9"/>
  <c r="W47" i="9"/>
  <c r="W45" i="9"/>
  <c r="AC43" i="9"/>
  <c r="AI41" i="9"/>
  <c r="Z40" i="9"/>
  <c r="AF38" i="9"/>
  <c r="W37" i="9"/>
  <c r="AC35" i="9"/>
  <c r="W34" i="9"/>
  <c r="AH32" i="9"/>
  <c r="AG31" i="9"/>
  <c r="AF30" i="9"/>
  <c r="AG29" i="9"/>
  <c r="AJ28" i="9"/>
  <c r="X28" i="9"/>
  <c r="AA27" i="9"/>
  <c r="AD26" i="9"/>
  <c r="AG25" i="9"/>
  <c r="AJ24" i="9"/>
  <c r="X24" i="9"/>
  <c r="AA23" i="9"/>
  <c r="AD22" i="9"/>
  <c r="AG21" i="9"/>
  <c r="AJ20" i="9"/>
  <c r="X20" i="9"/>
  <c r="AA19" i="9"/>
  <c r="AD18" i="9"/>
  <c r="AG17" i="9"/>
  <c r="AJ16" i="9"/>
  <c r="X16" i="9"/>
  <c r="AA15" i="9"/>
  <c r="AD14" i="9"/>
  <c r="AG13" i="9"/>
  <c r="AJ12" i="9"/>
  <c r="X12" i="9"/>
  <c r="AA11" i="9"/>
  <c r="AD10" i="9"/>
  <c r="AG9" i="9"/>
  <c r="AJ8" i="9"/>
  <c r="X8" i="9"/>
  <c r="AA7" i="9"/>
  <c r="AD6" i="9"/>
  <c r="AG5" i="9"/>
  <c r="AJ4" i="9"/>
  <c r="X4" i="9"/>
  <c r="AF77" i="9"/>
  <c r="W68" i="9"/>
  <c r="AC58" i="9"/>
  <c r="AJ53" i="9"/>
  <c r="AD51" i="9"/>
  <c r="X49" i="9"/>
  <c r="AG46" i="9"/>
  <c r="AI44" i="9"/>
  <c r="Z43" i="9"/>
  <c r="AF41" i="9"/>
  <c r="W40" i="9"/>
  <c r="AC38" i="9"/>
  <c r="AI36" i="9"/>
  <c r="Z35" i="9"/>
  <c r="AJ33" i="9"/>
  <c r="AG32" i="9"/>
  <c r="AF31" i="9"/>
  <c r="AC30" i="9"/>
  <c r="AF29" i="9"/>
  <c r="AI28" i="9"/>
  <c r="W28" i="9"/>
  <c r="Z27" i="9"/>
  <c r="AC26" i="9"/>
  <c r="AF25" i="9"/>
  <c r="AI24" i="9"/>
  <c r="W24" i="9"/>
  <c r="Z23" i="9"/>
  <c r="AC22" i="9"/>
  <c r="AF21" i="9"/>
  <c r="AI20" i="9"/>
  <c r="W20" i="9"/>
  <c r="Z19" i="9"/>
  <c r="AC18" i="9"/>
  <c r="AF17" i="9"/>
  <c r="AI16" i="9"/>
  <c r="W16" i="9"/>
  <c r="Z15" i="9"/>
  <c r="AC14" i="9"/>
  <c r="AF13" i="9"/>
  <c r="AI12" i="9"/>
  <c r="W12" i="9"/>
  <c r="Z11" i="9"/>
  <c r="AC10" i="9"/>
  <c r="AF9" i="9"/>
  <c r="AI8" i="9"/>
  <c r="W8" i="9"/>
  <c r="Z7" i="9"/>
  <c r="AC6" i="9"/>
  <c r="AF5" i="9"/>
  <c r="AI4" i="9"/>
  <c r="W4" i="9"/>
  <c r="AC86" i="9"/>
  <c r="AI76" i="9"/>
  <c r="Z67" i="9"/>
  <c r="AF57" i="9"/>
  <c r="AF53" i="9"/>
  <c r="Z51" i="9"/>
  <c r="AI48" i="9"/>
  <c r="AC46" i="9"/>
  <c r="AH44" i="9"/>
  <c r="Y43" i="9"/>
  <c r="AE41" i="9"/>
  <c r="V40" i="9"/>
  <c r="AB38" i="9"/>
  <c r="AH36" i="9"/>
  <c r="Y35" i="9"/>
  <c r="AI33" i="9"/>
  <c r="AF32" i="9"/>
  <c r="AD31" i="9"/>
  <c r="AB30" i="9"/>
  <c r="AE29" i="9"/>
  <c r="AH28" i="9"/>
  <c r="V28" i="9"/>
  <c r="Y27" i="9"/>
  <c r="AB26" i="9"/>
  <c r="AE25" i="9"/>
  <c r="AH24" i="9"/>
  <c r="V24" i="9"/>
  <c r="Y23" i="9"/>
  <c r="AB22" i="9"/>
  <c r="AE21" i="9"/>
  <c r="AH20" i="9"/>
  <c r="V20" i="9"/>
  <c r="Y19" i="9"/>
  <c r="AB18" i="9"/>
  <c r="AE17" i="9"/>
  <c r="AH16" i="9"/>
  <c r="V16" i="9"/>
  <c r="Y15" i="9"/>
  <c r="AB14" i="9"/>
  <c r="AE13" i="9"/>
  <c r="AH12" i="9"/>
  <c r="V12" i="9"/>
  <c r="Y11" i="9"/>
  <c r="AB10" i="9"/>
  <c r="AE9" i="9"/>
  <c r="AH8" i="9"/>
  <c r="V8" i="9"/>
  <c r="Y7" i="9"/>
  <c r="AB6" i="9"/>
  <c r="AE5" i="9"/>
  <c r="AH4" i="9"/>
  <c r="V4" i="9"/>
  <c r="AF85" i="9"/>
  <c r="W76" i="9"/>
  <c r="AC66" i="9"/>
  <c r="AI56" i="9"/>
  <c r="AD53" i="9"/>
  <c r="X51" i="9"/>
  <c r="AG48" i="9"/>
  <c r="AA46" i="9"/>
  <c r="AG44" i="9"/>
  <c r="X43" i="9"/>
  <c r="AD41" i="9"/>
  <c r="AJ39" i="9"/>
  <c r="AA38" i="9"/>
  <c r="AG36" i="9"/>
  <c r="X35" i="9"/>
  <c r="AF33" i="9"/>
  <c r="AD32" i="9"/>
  <c r="AC31" i="9"/>
  <c r="AA30" i="9"/>
  <c r="AD29" i="9"/>
  <c r="AG28" i="9"/>
  <c r="AJ27" i="9"/>
  <c r="X27" i="9"/>
  <c r="AA26" i="9"/>
  <c r="AD25" i="9"/>
  <c r="AG24" i="9"/>
  <c r="AJ23" i="9"/>
  <c r="X23" i="9"/>
  <c r="AA22" i="9"/>
  <c r="AD21" i="9"/>
  <c r="AG20" i="9"/>
  <c r="AJ19" i="9"/>
  <c r="X19" i="9"/>
  <c r="AA18" i="9"/>
  <c r="AD17" i="9"/>
  <c r="AG16" i="9"/>
  <c r="AJ15" i="9"/>
  <c r="X15" i="9"/>
  <c r="AA14" i="9"/>
  <c r="AD13" i="9"/>
  <c r="AG12" i="9"/>
  <c r="AJ11" i="9"/>
  <c r="X11" i="9"/>
  <c r="AA10" i="9"/>
  <c r="AD9" i="9"/>
  <c r="AG8" i="9"/>
  <c r="AJ7" i="9"/>
  <c r="X7" i="9"/>
  <c r="AA6" i="9"/>
  <c r="AD5" i="9"/>
  <c r="AG4" i="9"/>
  <c r="AI84" i="9"/>
  <c r="Z75" i="9"/>
  <c r="AF65" i="9"/>
  <c r="AG56" i="9"/>
  <c r="AC53" i="9"/>
  <c r="W51" i="9"/>
  <c r="AF48" i="9"/>
  <c r="Z46" i="9"/>
  <c r="AF44" i="9"/>
  <c r="W43" i="9"/>
  <c r="AC41" i="9"/>
  <c r="AI39" i="9"/>
  <c r="Z38" i="9"/>
  <c r="AF36" i="9"/>
  <c r="W35" i="9"/>
  <c r="AE33" i="9"/>
  <c r="AC32" i="9"/>
  <c r="Z31" i="9"/>
  <c r="Z30" i="9"/>
  <c r="AC29" i="9"/>
  <c r="AF28" i="9"/>
  <c r="AI27" i="9"/>
  <c r="W27" i="9"/>
  <c r="Z26" i="9"/>
  <c r="AC25" i="9"/>
  <c r="AF24" i="9"/>
  <c r="AI23" i="9"/>
  <c r="W23" i="9"/>
  <c r="Z22" i="9"/>
  <c r="AC21" i="9"/>
  <c r="AF20" i="9"/>
  <c r="AI19" i="9"/>
  <c r="W19" i="9"/>
  <c r="Z18" i="9"/>
  <c r="AC17" i="9"/>
  <c r="AF16" i="9"/>
  <c r="AI15" i="9"/>
  <c r="W15" i="9"/>
  <c r="Z14" i="9"/>
  <c r="AC13" i="9"/>
  <c r="AF12" i="9"/>
  <c r="AI11" i="9"/>
  <c r="W11" i="9"/>
  <c r="Z10" i="9"/>
  <c r="AC9" i="9"/>
  <c r="AF8" i="9"/>
  <c r="AI7" i="9"/>
  <c r="W7" i="9"/>
  <c r="Z6" i="9"/>
  <c r="AC5" i="9"/>
  <c r="AF4" i="9"/>
  <c r="W84" i="9"/>
  <c r="AC74" i="9"/>
  <c r="AI64" i="9"/>
  <c r="W56" i="9"/>
  <c r="X53" i="9"/>
  <c r="AG50" i="9"/>
  <c r="AA48" i="9"/>
  <c r="AJ45" i="9"/>
  <c r="AA44" i="9"/>
  <c r="AG42" i="9"/>
  <c r="X41" i="9"/>
  <c r="AD39" i="9"/>
  <c r="AJ37" i="9"/>
  <c r="AA36" i="9"/>
  <c r="AG34" i="9"/>
  <c r="AD33" i="9"/>
  <c r="AA32" i="9"/>
  <c r="Y31" i="9"/>
  <c r="Y30" i="9"/>
  <c r="AB29" i="9"/>
  <c r="AE28" i="9"/>
  <c r="AH27" i="9"/>
  <c r="V27" i="9"/>
  <c r="Y26" i="9"/>
  <c r="AB25" i="9"/>
  <c r="AE24" i="9"/>
  <c r="AH23" i="9"/>
  <c r="V23" i="9"/>
  <c r="Y22" i="9"/>
  <c r="AB21" i="9"/>
  <c r="AE20" i="9"/>
  <c r="AH19" i="9"/>
  <c r="V19" i="9"/>
  <c r="Y18" i="9"/>
  <c r="AB17" i="9"/>
  <c r="AE16" i="9"/>
  <c r="AH15" i="9"/>
  <c r="V15" i="9"/>
  <c r="Y14" i="9"/>
  <c r="AB13" i="9"/>
  <c r="AE12" i="9"/>
  <c r="AH11" i="9"/>
  <c r="V11" i="9"/>
  <c r="Y10" i="9"/>
  <c r="AB9" i="9"/>
  <c r="AE8" i="9"/>
  <c r="AH7" i="9"/>
  <c r="V7" i="9"/>
  <c r="Y6" i="9"/>
  <c r="AB5" i="9"/>
  <c r="AE4" i="9"/>
  <c r="Z83" i="9"/>
  <c r="AF73" i="9"/>
  <c r="W64" i="9"/>
  <c r="AJ55" i="9"/>
  <c r="AI52" i="9"/>
  <c r="AC50" i="9"/>
  <c r="W48" i="9"/>
  <c r="AI45" i="9"/>
  <c r="Z44" i="9"/>
  <c r="AF42" i="9"/>
  <c r="W41" i="9"/>
  <c r="AC39" i="9"/>
  <c r="AI37" i="9"/>
  <c r="Z36" i="9"/>
  <c r="AF34" i="9"/>
  <c r="AC33" i="9"/>
  <c r="Z32" i="9"/>
  <c r="X31" i="9"/>
  <c r="X30" i="9"/>
  <c r="AA29" i="9"/>
  <c r="AD28" i="9"/>
  <c r="AG27" i="9"/>
  <c r="AJ26" i="9"/>
  <c r="X26" i="9"/>
  <c r="AA25" i="9"/>
  <c r="AD24" i="9"/>
  <c r="AG23" i="9"/>
  <c r="AJ22" i="9"/>
  <c r="X22" i="9"/>
  <c r="AA21" i="9"/>
  <c r="AD20" i="9"/>
  <c r="AG19" i="9"/>
  <c r="AJ18" i="9"/>
  <c r="X18" i="9"/>
  <c r="AA17" i="9"/>
  <c r="AD16" i="9"/>
  <c r="AG15" i="9"/>
  <c r="AJ14" i="9"/>
  <c r="X14" i="9"/>
  <c r="AA13" i="9"/>
  <c r="AD12" i="9"/>
  <c r="AG11" i="9"/>
  <c r="AJ10" i="9"/>
  <c r="X10" i="9"/>
  <c r="AA9" i="9"/>
  <c r="AD8" i="9"/>
  <c r="AG7" i="9"/>
  <c r="AJ6" i="9"/>
  <c r="X6" i="9"/>
  <c r="AA5" i="9"/>
  <c r="AD4" i="9"/>
  <c r="AC82" i="9"/>
  <c r="AI72" i="9"/>
  <c r="Z63" i="9"/>
  <c r="Z55" i="9"/>
  <c r="AG52" i="9"/>
  <c r="AA50" i="9"/>
  <c r="AJ47" i="9"/>
  <c r="AF45" i="9"/>
  <c r="W44" i="9"/>
  <c r="AC42" i="9"/>
  <c r="AI40" i="9"/>
  <c r="Z39" i="9"/>
  <c r="AF37" i="9"/>
  <c r="W36" i="9"/>
  <c r="AC34" i="9"/>
  <c r="AA33" i="9"/>
  <c r="W32" i="9"/>
  <c r="W31" i="9"/>
  <c r="W30" i="9"/>
  <c r="Z29" i="9"/>
  <c r="AC28" i="9"/>
  <c r="AF27" i="9"/>
  <c r="AI26" i="9"/>
  <c r="W26" i="9"/>
  <c r="Z25" i="9"/>
  <c r="AC24" i="9"/>
  <c r="AF23" i="9"/>
  <c r="AI22" i="9"/>
  <c r="W22" i="9"/>
  <c r="Z21" i="9"/>
  <c r="AC20" i="9"/>
  <c r="AF19" i="9"/>
  <c r="AI18" i="9"/>
  <c r="W18" i="9"/>
  <c r="Z17" i="9"/>
  <c r="AC16" i="9"/>
  <c r="AF15" i="9"/>
  <c r="AI14" i="9"/>
  <c r="W14" i="9"/>
  <c r="Z13" i="9"/>
  <c r="AC12" i="9"/>
  <c r="AF11" i="9"/>
  <c r="AI10" i="9"/>
  <c r="W10" i="9"/>
  <c r="Z9" i="9"/>
  <c r="AC8" i="9"/>
  <c r="AF7" i="9"/>
  <c r="AI6" i="9"/>
  <c r="W6" i="9"/>
  <c r="Z5" i="9"/>
  <c r="AC4" i="9"/>
  <c r="AF81" i="9"/>
  <c r="W72" i="9"/>
  <c r="AC62" i="9"/>
  <c r="X55" i="9"/>
  <c r="AF52" i="9"/>
  <c r="Z50" i="9"/>
  <c r="AI47" i="9"/>
  <c r="AE45" i="9"/>
  <c r="V44" i="9"/>
  <c r="AB42" i="9"/>
  <c r="AH40" i="9"/>
  <c r="Y39" i="9"/>
  <c r="AE37" i="9"/>
  <c r="V36" i="9"/>
  <c r="AB34" i="9"/>
  <c r="Z33" i="9"/>
  <c r="V32" i="9"/>
  <c r="V31" i="9"/>
  <c r="V30" i="9"/>
  <c r="Y29" i="9"/>
  <c r="AB28" i="9"/>
  <c r="AE27" i="9"/>
  <c r="AH26" i="9"/>
  <c r="V26" i="9"/>
  <c r="Y25" i="9"/>
  <c r="AB24" i="9"/>
  <c r="AE23" i="9"/>
  <c r="AH22" i="9"/>
  <c r="V22" i="9"/>
  <c r="Y21" i="9"/>
  <c r="AB20" i="9"/>
  <c r="AE19" i="9"/>
  <c r="AH18" i="9"/>
  <c r="V18" i="9"/>
  <c r="Y17" i="9"/>
  <c r="AB16" i="9"/>
  <c r="AE15" i="9"/>
  <c r="AH14" i="9"/>
  <c r="V14" i="9"/>
  <c r="Y13" i="9"/>
  <c r="AB12" i="9"/>
  <c r="AE11" i="9"/>
  <c r="AH10" i="9"/>
  <c r="V10" i="9"/>
  <c r="Y9" i="9"/>
  <c r="AB8" i="9"/>
  <c r="AE7" i="9"/>
  <c r="AH6" i="9"/>
  <c r="V6" i="9"/>
  <c r="Y5" i="9"/>
  <c r="AB4" i="9"/>
  <c r="AI80" i="9"/>
  <c r="Z71" i="9"/>
  <c r="AF61" i="9"/>
  <c r="W55" i="9"/>
  <c r="AA52" i="9"/>
  <c r="AJ49" i="9"/>
  <c r="AD47" i="9"/>
  <c r="AD45" i="9"/>
  <c r="AJ43" i="9"/>
  <c r="AA42" i="9"/>
  <c r="AG40" i="9"/>
  <c r="X39" i="9"/>
  <c r="AD37" i="9"/>
  <c r="AJ35" i="9"/>
  <c r="AA34" i="9"/>
  <c r="X33" i="9"/>
  <c r="AJ31" i="9"/>
  <c r="AJ30" i="9"/>
  <c r="AJ29" i="9"/>
  <c r="X29" i="9"/>
  <c r="AA28" i="9"/>
  <c r="AD27" i="9"/>
  <c r="AG26" i="9"/>
  <c r="AJ25" i="9"/>
  <c r="X25" i="9"/>
  <c r="AA24" i="9"/>
  <c r="AD23" i="9"/>
  <c r="AG22" i="9"/>
  <c r="AJ21" i="9"/>
  <c r="X21" i="9"/>
  <c r="AA20" i="9"/>
  <c r="AD19" i="9"/>
  <c r="AG18" i="9"/>
  <c r="AJ17" i="9"/>
  <c r="X17" i="9"/>
  <c r="AA16" i="9"/>
  <c r="AD15" i="9"/>
  <c r="AG14" i="9"/>
  <c r="AJ13" i="9"/>
  <c r="X13" i="9"/>
  <c r="AA12" i="9"/>
  <c r="AD11" i="9"/>
  <c r="AG10" i="9"/>
  <c r="AJ9" i="9"/>
  <c r="X9" i="9"/>
  <c r="AA8" i="9"/>
  <c r="AD7" i="9"/>
  <c r="AG6" i="9"/>
  <c r="AJ5" i="9"/>
  <c r="X5" i="9"/>
  <c r="AA4" i="9"/>
  <c r="W80" i="9"/>
  <c r="AC70" i="9"/>
  <c r="AI60" i="9"/>
  <c r="AC54" i="9"/>
  <c r="W52" i="9"/>
  <c r="AF49" i="9"/>
  <c r="Z47" i="9"/>
  <c r="AC45" i="9"/>
  <c r="AI43" i="9"/>
  <c r="Z42" i="9"/>
  <c r="AF40" i="9"/>
  <c r="W39" i="9"/>
  <c r="AC37" i="9"/>
  <c r="AI35" i="9"/>
  <c r="Z34" i="9"/>
  <c r="W33" i="9"/>
  <c r="AI31" i="9"/>
  <c r="AI30" i="9"/>
  <c r="AI29" i="9"/>
  <c r="W29" i="9"/>
  <c r="Z28" i="9"/>
  <c r="AC27" i="9"/>
  <c r="AF26" i="9"/>
  <c r="AI25" i="9"/>
  <c r="W25" i="9"/>
  <c r="Z24" i="9"/>
  <c r="AC23" i="9"/>
  <c r="AF22" i="9"/>
  <c r="AI21" i="9"/>
  <c r="W21" i="9"/>
  <c r="Z20" i="9"/>
  <c r="AC19" i="9"/>
  <c r="AF18" i="9"/>
  <c r="AI17" i="9"/>
  <c r="W17" i="9"/>
  <c r="Z16" i="9"/>
  <c r="AC15" i="9"/>
  <c r="AF14" i="9"/>
  <c r="AI13" i="9"/>
  <c r="W13" i="9"/>
  <c r="Z12" i="9"/>
  <c r="AC11" i="9"/>
  <c r="AF10" i="9"/>
  <c r="AI9" i="9"/>
  <c r="W9" i="9"/>
  <c r="Z8" i="9"/>
  <c r="AC7" i="9"/>
  <c r="AF6" i="9"/>
  <c r="AI5" i="9"/>
  <c r="W5" i="9"/>
  <c r="Z4" i="9"/>
  <c r="Z79" i="9"/>
  <c r="AF69" i="9"/>
  <c r="W60" i="9"/>
  <c r="AA54" i="9"/>
  <c r="AJ51" i="9"/>
  <c r="AD49" i="9"/>
  <c r="X47" i="9"/>
  <c r="X45" i="9"/>
  <c r="AD43" i="9"/>
  <c r="AJ41" i="9"/>
  <c r="AA40" i="9"/>
  <c r="AG38" i="9"/>
  <c r="X37" i="9"/>
  <c r="AD35" i="9"/>
  <c r="X34" i="9"/>
  <c r="AI32" i="9"/>
  <c r="AH31" i="9"/>
  <c r="AG30" i="9"/>
  <c r="AH29" i="9"/>
  <c r="V29" i="9"/>
  <c r="Y28" i="9"/>
  <c r="AB27" i="9"/>
  <c r="AE26" i="9"/>
  <c r="AH25" i="9"/>
  <c r="V25" i="9"/>
  <c r="Y24" i="9"/>
  <c r="AB23" i="9"/>
  <c r="AE22" i="9"/>
  <c r="AH21" i="9"/>
  <c r="V21" i="9"/>
  <c r="Y20" i="9"/>
  <c r="AB19" i="9"/>
  <c r="AE18" i="9"/>
  <c r="AH17" i="9"/>
  <c r="V17" i="9"/>
  <c r="Y16" i="9"/>
  <c r="AB15" i="9"/>
  <c r="AE14" i="9"/>
  <c r="AH13" i="9"/>
  <c r="V13" i="9"/>
  <c r="Y12" i="9"/>
  <c r="AB11" i="9"/>
  <c r="AE10" i="9"/>
  <c r="AH9" i="9"/>
  <c r="V9" i="9"/>
  <c r="Y8" i="9"/>
  <c r="AB7" i="9"/>
  <c r="AE6" i="9"/>
  <c r="AH5" i="9"/>
  <c r="V5" i="9"/>
  <c r="Y4" i="9"/>
  <c r="C5" i="9"/>
  <c r="O5" i="9"/>
  <c r="L6" i="9"/>
  <c r="I7" i="9"/>
  <c r="F8" i="9"/>
  <c r="C9" i="9"/>
  <c r="O9" i="9"/>
  <c r="L10" i="9"/>
  <c r="I11" i="9"/>
  <c r="F12" i="9"/>
  <c r="C13" i="9"/>
  <c r="O13" i="9"/>
  <c r="L14" i="9"/>
  <c r="I15" i="9"/>
  <c r="F16" i="9"/>
  <c r="C17" i="9"/>
  <c r="O17" i="9"/>
  <c r="L18" i="9"/>
  <c r="I19" i="9"/>
  <c r="F20" i="9"/>
  <c r="C21" i="9"/>
  <c r="O21" i="9"/>
  <c r="L22" i="9"/>
  <c r="I23" i="9"/>
  <c r="F24" i="9"/>
  <c r="C25" i="9"/>
  <c r="O25" i="9"/>
  <c r="L26" i="9"/>
  <c r="I27" i="9"/>
  <c r="F28" i="9"/>
  <c r="C29" i="9"/>
  <c r="O29" i="9"/>
  <c r="L30" i="9"/>
  <c r="I31" i="9"/>
  <c r="F32" i="9"/>
  <c r="C33" i="9"/>
  <c r="O33" i="9"/>
  <c r="L34" i="9"/>
  <c r="I35" i="9"/>
  <c r="F36" i="9"/>
  <c r="C37" i="9"/>
  <c r="O37" i="9"/>
  <c r="L38" i="9"/>
  <c r="I39" i="9"/>
  <c r="F40" i="9"/>
  <c r="C41" i="9"/>
  <c r="O41" i="9"/>
  <c r="L42" i="9"/>
  <c r="I43" i="9"/>
  <c r="F44" i="9"/>
  <c r="C45" i="9"/>
  <c r="O45" i="9"/>
  <c r="L46" i="9"/>
  <c r="I47" i="9"/>
  <c r="F48" i="9"/>
  <c r="C49" i="9"/>
  <c r="O49" i="9"/>
  <c r="L50" i="9"/>
  <c r="I51" i="9"/>
  <c r="F52" i="9"/>
  <c r="C53" i="9"/>
  <c r="O53" i="9"/>
  <c r="L54" i="9"/>
  <c r="I55" i="9"/>
  <c r="F56" i="9"/>
  <c r="C57" i="9"/>
  <c r="O57" i="9"/>
  <c r="L58" i="9"/>
  <c r="I59" i="9"/>
  <c r="F60" i="9"/>
  <c r="C61" i="9"/>
  <c r="O61" i="9"/>
  <c r="L62" i="9"/>
  <c r="I63" i="9"/>
  <c r="F64" i="9"/>
  <c r="C65" i="9"/>
  <c r="O65" i="9"/>
  <c r="L66" i="9"/>
  <c r="I67" i="9"/>
  <c r="F68" i="9"/>
  <c r="C69" i="9"/>
  <c r="O69" i="9"/>
  <c r="L70" i="9"/>
  <c r="D5" i="9"/>
  <c r="P5" i="9"/>
  <c r="M6" i="9"/>
  <c r="J7" i="9"/>
  <c r="G8" i="9"/>
  <c r="D9" i="9"/>
  <c r="P9" i="9"/>
  <c r="M10" i="9"/>
  <c r="J11" i="9"/>
  <c r="G12" i="9"/>
  <c r="D13" i="9"/>
  <c r="P13" i="9"/>
  <c r="M14" i="9"/>
  <c r="J15" i="9"/>
  <c r="G16" i="9"/>
  <c r="D17" i="9"/>
  <c r="P17" i="9"/>
  <c r="M18" i="9"/>
  <c r="J19" i="9"/>
  <c r="G20" i="9"/>
  <c r="D21" i="9"/>
  <c r="P21" i="9"/>
  <c r="M22" i="9"/>
  <c r="J23" i="9"/>
  <c r="G24" i="9"/>
  <c r="D25" i="9"/>
  <c r="P25" i="9"/>
  <c r="M26" i="9"/>
  <c r="J27" i="9"/>
  <c r="G28" i="9"/>
  <c r="D29" i="9"/>
  <c r="P29" i="9"/>
  <c r="M30" i="9"/>
  <c r="J31" i="9"/>
  <c r="G32" i="9"/>
  <c r="D33" i="9"/>
  <c r="P33" i="9"/>
  <c r="M34" i="9"/>
  <c r="J35" i="9"/>
  <c r="G36" i="9"/>
  <c r="D37" i="9"/>
  <c r="P37" i="9"/>
  <c r="M38" i="9"/>
  <c r="J39" i="9"/>
  <c r="G40" i="9"/>
  <c r="D41" i="9"/>
  <c r="P41" i="9"/>
  <c r="M42" i="9"/>
  <c r="J43" i="9"/>
  <c r="G44" i="9"/>
  <c r="D45" i="9"/>
  <c r="P45" i="9"/>
  <c r="M46" i="9"/>
  <c r="J47" i="9"/>
  <c r="G48" i="9"/>
  <c r="D49" i="9"/>
  <c r="E5" i="9"/>
  <c r="Q5" i="9"/>
  <c r="N6" i="9"/>
  <c r="K7" i="9"/>
  <c r="H8" i="9"/>
  <c r="E9" i="9"/>
  <c r="Q9" i="9"/>
  <c r="N10" i="9"/>
  <c r="K11" i="9"/>
  <c r="H12" i="9"/>
  <c r="E13" i="9"/>
  <c r="Q13" i="9"/>
  <c r="N14" i="9"/>
  <c r="K15" i="9"/>
  <c r="H16" i="9"/>
  <c r="E17" i="9"/>
  <c r="Q17" i="9"/>
  <c r="N18" i="9"/>
  <c r="K19" i="9"/>
  <c r="H20" i="9"/>
  <c r="E21" i="9"/>
  <c r="Q21" i="9"/>
  <c r="N22" i="9"/>
  <c r="K23" i="9"/>
  <c r="H24" i="9"/>
  <c r="E25" i="9"/>
  <c r="Q25" i="9"/>
  <c r="N26" i="9"/>
  <c r="K27" i="9"/>
  <c r="H28" i="9"/>
  <c r="E29" i="9"/>
  <c r="Q29" i="9"/>
  <c r="N30" i="9"/>
  <c r="K31" i="9"/>
  <c r="H32" i="9"/>
  <c r="E33" i="9"/>
  <c r="Q33" i="9"/>
  <c r="N34" i="9"/>
  <c r="K35" i="9"/>
  <c r="H36" i="9"/>
  <c r="E37" i="9"/>
  <c r="Q37" i="9"/>
  <c r="N38" i="9"/>
  <c r="K39" i="9"/>
  <c r="H40" i="9"/>
  <c r="E41" i="9"/>
  <c r="Q41" i="9"/>
  <c r="N42" i="9"/>
  <c r="K43" i="9"/>
  <c r="H44" i="9"/>
  <c r="E45" i="9"/>
  <c r="Q45" i="9"/>
  <c r="N46" i="9"/>
  <c r="K47" i="9"/>
  <c r="H48" i="9"/>
  <c r="E49" i="9"/>
  <c r="Q49" i="9"/>
  <c r="N50" i="9"/>
  <c r="K51" i="9"/>
  <c r="H52" i="9"/>
  <c r="E53" i="9"/>
  <c r="Q53" i="9"/>
  <c r="N54" i="9"/>
  <c r="K55" i="9"/>
  <c r="H56" i="9"/>
  <c r="E57" i="9"/>
  <c r="Q57" i="9"/>
  <c r="N58" i="9"/>
  <c r="K59" i="9"/>
  <c r="H60" i="9"/>
  <c r="E61" i="9"/>
  <c r="Q61" i="9"/>
  <c r="N62" i="9"/>
  <c r="K63" i="9"/>
  <c r="H64" i="9"/>
  <c r="E65" i="9"/>
  <c r="Q65" i="9"/>
  <c r="N66" i="9"/>
  <c r="K67" i="9"/>
  <c r="H68" i="9"/>
  <c r="E69" i="9"/>
  <c r="Q69" i="9"/>
  <c r="N70" i="9"/>
  <c r="K71" i="9"/>
  <c r="H72" i="9"/>
  <c r="F5" i="9"/>
  <c r="C6" i="9"/>
  <c r="O6" i="9"/>
  <c r="L7" i="9"/>
  <c r="I8" i="9"/>
  <c r="F9" i="9"/>
  <c r="C10" i="9"/>
  <c r="O10" i="9"/>
  <c r="L11" i="9"/>
  <c r="I12" i="9"/>
  <c r="F13" i="9"/>
  <c r="C14" i="9"/>
  <c r="O14" i="9"/>
  <c r="L15" i="9"/>
  <c r="I16" i="9"/>
  <c r="F17" i="9"/>
  <c r="C18" i="9"/>
  <c r="O18" i="9"/>
  <c r="L19" i="9"/>
  <c r="I20" i="9"/>
  <c r="F21" i="9"/>
  <c r="C22" i="9"/>
  <c r="O22" i="9"/>
  <c r="L23" i="9"/>
  <c r="I24" i="9"/>
  <c r="F25" i="9"/>
  <c r="C26" i="9"/>
  <c r="O26" i="9"/>
  <c r="L27" i="9"/>
  <c r="I28" i="9"/>
  <c r="F29" i="9"/>
  <c r="C30" i="9"/>
  <c r="O30" i="9"/>
  <c r="L31" i="9"/>
  <c r="I32" i="9"/>
  <c r="F33" i="9"/>
  <c r="C34" i="9"/>
  <c r="O34" i="9"/>
  <c r="L35" i="9"/>
  <c r="I36" i="9"/>
  <c r="F37" i="9"/>
  <c r="C38" i="9"/>
  <c r="O38" i="9"/>
  <c r="L39" i="9"/>
  <c r="I40" i="9"/>
  <c r="F41" i="9"/>
  <c r="C42" i="9"/>
  <c r="O42" i="9"/>
  <c r="L43" i="9"/>
  <c r="I44" i="9"/>
  <c r="F45" i="9"/>
  <c r="C46" i="9"/>
  <c r="O46" i="9"/>
  <c r="L47" i="9"/>
  <c r="I48" i="9"/>
  <c r="F49" i="9"/>
  <c r="G5" i="9"/>
  <c r="D6" i="9"/>
  <c r="P6" i="9"/>
  <c r="M7" i="9"/>
  <c r="J8" i="9"/>
  <c r="G9" i="9"/>
  <c r="D10" i="9"/>
  <c r="P10" i="9"/>
  <c r="M11" i="9"/>
  <c r="J12" i="9"/>
  <c r="G13" i="9"/>
  <c r="D14" i="9"/>
  <c r="P14" i="9"/>
  <c r="M15" i="9"/>
  <c r="J16" i="9"/>
  <c r="G17" i="9"/>
  <c r="D18" i="9"/>
  <c r="P18" i="9"/>
  <c r="M19" i="9"/>
  <c r="J20" i="9"/>
  <c r="G21" i="9"/>
  <c r="D22" i="9"/>
  <c r="P22" i="9"/>
  <c r="M23" i="9"/>
  <c r="J24" i="9"/>
  <c r="G25" i="9"/>
  <c r="D26" i="9"/>
  <c r="P26" i="9"/>
  <c r="M27" i="9"/>
  <c r="J28" i="9"/>
  <c r="G29" i="9"/>
  <c r="D30" i="9"/>
  <c r="P30" i="9"/>
  <c r="M31" i="9"/>
  <c r="J32" i="9"/>
  <c r="G33" i="9"/>
  <c r="D34" i="9"/>
  <c r="P34" i="9"/>
  <c r="M35" i="9"/>
  <c r="J36" i="9"/>
  <c r="G37" i="9"/>
  <c r="D38" i="9"/>
  <c r="P38" i="9"/>
  <c r="M39" i="9"/>
  <c r="J40" i="9"/>
  <c r="G41" i="9"/>
  <c r="D42" i="9"/>
  <c r="P42" i="9"/>
  <c r="M43" i="9"/>
  <c r="J44" i="9"/>
  <c r="G45" i="9"/>
  <c r="D46" i="9"/>
  <c r="P46" i="9"/>
  <c r="M47" i="9"/>
  <c r="J48" i="9"/>
  <c r="G49" i="9"/>
  <c r="D50" i="9"/>
  <c r="P50" i="9"/>
  <c r="M51" i="9"/>
  <c r="J52" i="9"/>
  <c r="G53" i="9"/>
  <c r="D54" i="9"/>
  <c r="P54" i="9"/>
  <c r="M55" i="9"/>
  <c r="J56" i="9"/>
  <c r="G57" i="9"/>
  <c r="D58" i="9"/>
  <c r="P58" i="9"/>
  <c r="M59" i="9"/>
  <c r="J60" i="9"/>
  <c r="G61" i="9"/>
  <c r="D62" i="9"/>
  <c r="P62" i="9"/>
  <c r="M63" i="9"/>
  <c r="J64" i="9"/>
  <c r="H5" i="9"/>
  <c r="E6" i="9"/>
  <c r="Q6" i="9"/>
  <c r="N7" i="9"/>
  <c r="K8" i="9"/>
  <c r="H9" i="9"/>
  <c r="E10" i="9"/>
  <c r="Q10" i="9"/>
  <c r="N11" i="9"/>
  <c r="K12" i="9"/>
  <c r="H13" i="9"/>
  <c r="E14" i="9"/>
  <c r="Q14" i="9"/>
  <c r="N15" i="9"/>
  <c r="K16" i="9"/>
  <c r="H17" i="9"/>
  <c r="E18" i="9"/>
  <c r="Q18" i="9"/>
  <c r="N19" i="9"/>
  <c r="K20" i="9"/>
  <c r="H21" i="9"/>
  <c r="E22" i="9"/>
  <c r="Q22" i="9"/>
  <c r="N23" i="9"/>
  <c r="K24" i="9"/>
  <c r="H25" i="9"/>
  <c r="E26" i="9"/>
  <c r="Q26" i="9"/>
  <c r="N27" i="9"/>
  <c r="K28" i="9"/>
  <c r="H29" i="9"/>
  <c r="E30" i="9"/>
  <c r="Q30" i="9"/>
  <c r="N31" i="9"/>
  <c r="K32" i="9"/>
  <c r="H33" i="9"/>
  <c r="E34" i="9"/>
  <c r="Q34" i="9"/>
  <c r="N35" i="9"/>
  <c r="K36" i="9"/>
  <c r="H37" i="9"/>
  <c r="E38" i="9"/>
  <c r="Q38" i="9"/>
  <c r="N39" i="9"/>
  <c r="K40" i="9"/>
  <c r="H41" i="9"/>
  <c r="E42" i="9"/>
  <c r="Q42" i="9"/>
  <c r="N43" i="9"/>
  <c r="K44" i="9"/>
  <c r="H45" i="9"/>
  <c r="E46" i="9"/>
  <c r="Q46" i="9"/>
  <c r="N47" i="9"/>
  <c r="K48" i="9"/>
  <c r="H49" i="9"/>
  <c r="E50" i="9"/>
  <c r="Q50" i="9"/>
  <c r="N51" i="9"/>
  <c r="K52" i="9"/>
  <c r="H53" i="9"/>
  <c r="E54" i="9"/>
  <c r="Q54" i="9"/>
  <c r="N55" i="9"/>
  <c r="K56" i="9"/>
  <c r="H57" i="9"/>
  <c r="E58" i="9"/>
  <c r="Q58" i="9"/>
  <c r="N59" i="9"/>
  <c r="K60" i="9"/>
  <c r="H61" i="9"/>
  <c r="E62" i="9"/>
  <c r="Q62" i="9"/>
  <c r="N63" i="9"/>
  <c r="K64" i="9"/>
  <c r="H65" i="9"/>
  <c r="E66" i="9"/>
  <c r="Q66" i="9"/>
  <c r="N67" i="9"/>
  <c r="K68" i="9"/>
  <c r="H69" i="9"/>
  <c r="E70" i="9"/>
  <c r="Q70" i="9"/>
  <c r="N71" i="9"/>
  <c r="K72" i="9"/>
  <c r="I5" i="9"/>
  <c r="F6" i="9"/>
  <c r="C7" i="9"/>
  <c r="O7" i="9"/>
  <c r="L8" i="9"/>
  <c r="I9" i="9"/>
  <c r="F10" i="9"/>
  <c r="C11" i="9"/>
  <c r="O11" i="9"/>
  <c r="L12" i="9"/>
  <c r="I13" i="9"/>
  <c r="F14" i="9"/>
  <c r="C15" i="9"/>
  <c r="O15" i="9"/>
  <c r="L16" i="9"/>
  <c r="I17" i="9"/>
  <c r="F18" i="9"/>
  <c r="C19" i="9"/>
  <c r="O19" i="9"/>
  <c r="L20" i="9"/>
  <c r="I21" i="9"/>
  <c r="F22" i="9"/>
  <c r="C23" i="9"/>
  <c r="O23" i="9"/>
  <c r="L24" i="9"/>
  <c r="I25" i="9"/>
  <c r="F26" i="9"/>
  <c r="C27" i="9"/>
  <c r="O27" i="9"/>
  <c r="L28" i="9"/>
  <c r="I29" i="9"/>
  <c r="F30" i="9"/>
  <c r="C31" i="9"/>
  <c r="O31" i="9"/>
  <c r="L32" i="9"/>
  <c r="I33" i="9"/>
  <c r="F34" i="9"/>
  <c r="C35" i="9"/>
  <c r="O35" i="9"/>
  <c r="L36" i="9"/>
  <c r="I37" i="9"/>
  <c r="F38" i="9"/>
  <c r="C39" i="9"/>
  <c r="O39" i="9"/>
  <c r="L40" i="9"/>
  <c r="I41" i="9"/>
  <c r="F42" i="9"/>
  <c r="C43" i="9"/>
  <c r="O43" i="9"/>
  <c r="L44" i="9"/>
  <c r="I45" i="9"/>
  <c r="F46" i="9"/>
  <c r="C47" i="9"/>
  <c r="O47" i="9"/>
  <c r="L48" i="9"/>
  <c r="I49" i="9"/>
  <c r="F50" i="9"/>
  <c r="C51" i="9"/>
  <c r="O51" i="9"/>
  <c r="L52" i="9"/>
  <c r="I53" i="9"/>
  <c r="F54" i="9"/>
  <c r="C55" i="9"/>
  <c r="O55" i="9"/>
  <c r="L56" i="9"/>
  <c r="I57" i="9"/>
  <c r="F58" i="9"/>
  <c r="C59" i="9"/>
  <c r="O59" i="9"/>
  <c r="L60" i="9"/>
  <c r="I61" i="9"/>
  <c r="F62" i="9"/>
  <c r="C63" i="9"/>
  <c r="O63" i="9"/>
  <c r="L64" i="9"/>
  <c r="I65" i="9"/>
  <c r="F66" i="9"/>
  <c r="C67" i="9"/>
  <c r="J5" i="9"/>
  <c r="G6" i="9"/>
  <c r="D7" i="9"/>
  <c r="P7" i="9"/>
  <c r="M8" i="9"/>
  <c r="J9" i="9"/>
  <c r="G10" i="9"/>
  <c r="D11" i="9"/>
  <c r="P11" i="9"/>
  <c r="M12" i="9"/>
  <c r="J13" i="9"/>
  <c r="G14" i="9"/>
  <c r="D15" i="9"/>
  <c r="P15" i="9"/>
  <c r="M16" i="9"/>
  <c r="J17" i="9"/>
  <c r="G18" i="9"/>
  <c r="D19" i="9"/>
  <c r="P19" i="9"/>
  <c r="M20" i="9"/>
  <c r="J21" i="9"/>
  <c r="G22" i="9"/>
  <c r="D23" i="9"/>
  <c r="P23" i="9"/>
  <c r="M24" i="9"/>
  <c r="J25" i="9"/>
  <c r="G26" i="9"/>
  <c r="D27" i="9"/>
  <c r="P27" i="9"/>
  <c r="M28" i="9"/>
  <c r="J29" i="9"/>
  <c r="G30" i="9"/>
  <c r="D31" i="9"/>
  <c r="P31" i="9"/>
  <c r="M32" i="9"/>
  <c r="J33" i="9"/>
  <c r="G34" i="9"/>
  <c r="D35" i="9"/>
  <c r="P35" i="9"/>
  <c r="M36" i="9"/>
  <c r="J37" i="9"/>
  <c r="G38" i="9"/>
  <c r="D39" i="9"/>
  <c r="P39" i="9"/>
  <c r="M40" i="9"/>
  <c r="J41" i="9"/>
  <c r="G42" i="9"/>
  <c r="D43" i="9"/>
  <c r="P43" i="9"/>
  <c r="M44" i="9"/>
  <c r="J45" i="9"/>
  <c r="G46" i="9"/>
  <c r="D47" i="9"/>
  <c r="P47" i="9"/>
  <c r="M48" i="9"/>
  <c r="J49" i="9"/>
  <c r="G50" i="9"/>
  <c r="D51" i="9"/>
  <c r="P51" i="9"/>
  <c r="M52" i="9"/>
  <c r="J53" i="9"/>
  <c r="G54" i="9"/>
  <c r="D55" i="9"/>
  <c r="K5" i="9"/>
  <c r="H6" i="9"/>
  <c r="E7" i="9"/>
  <c r="Q7" i="9"/>
  <c r="N8" i="9"/>
  <c r="K9" i="9"/>
  <c r="H10" i="9"/>
  <c r="E11" i="9"/>
  <c r="Q11" i="9"/>
  <c r="N12" i="9"/>
  <c r="K13" i="9"/>
  <c r="H14" i="9"/>
  <c r="E15" i="9"/>
  <c r="Q15" i="9"/>
  <c r="N16" i="9"/>
  <c r="K17" i="9"/>
  <c r="H18" i="9"/>
  <c r="E19" i="9"/>
  <c r="Q19" i="9"/>
  <c r="N20" i="9"/>
  <c r="K21" i="9"/>
  <c r="H22" i="9"/>
  <c r="E23" i="9"/>
  <c r="Q23" i="9"/>
  <c r="N24" i="9"/>
  <c r="K25" i="9"/>
  <c r="H26" i="9"/>
  <c r="E27" i="9"/>
  <c r="Q27" i="9"/>
  <c r="N28" i="9"/>
  <c r="K29" i="9"/>
  <c r="H30" i="9"/>
  <c r="E31" i="9"/>
  <c r="Q31" i="9"/>
  <c r="N32" i="9"/>
  <c r="K33" i="9"/>
  <c r="H34" i="9"/>
  <c r="E35" i="9"/>
  <c r="Q35" i="9"/>
  <c r="N36" i="9"/>
  <c r="K37" i="9"/>
  <c r="H38" i="9"/>
  <c r="L5" i="9"/>
  <c r="I6" i="9"/>
  <c r="F7" i="9"/>
  <c r="C8" i="9"/>
  <c r="O8" i="9"/>
  <c r="L9" i="9"/>
  <c r="I10" i="9"/>
  <c r="F11" i="9"/>
  <c r="C12" i="9"/>
  <c r="O12" i="9"/>
  <c r="L13" i="9"/>
  <c r="I14" i="9"/>
  <c r="F15" i="9"/>
  <c r="C16" i="9"/>
  <c r="O16" i="9"/>
  <c r="L17" i="9"/>
  <c r="I18" i="9"/>
  <c r="F19" i="9"/>
  <c r="C20" i="9"/>
  <c r="O20" i="9"/>
  <c r="L21" i="9"/>
  <c r="I22" i="9"/>
  <c r="F23" i="9"/>
  <c r="C24" i="9"/>
  <c r="O24" i="9"/>
  <c r="L25" i="9"/>
  <c r="I26" i="9"/>
  <c r="F27" i="9"/>
  <c r="C28" i="9"/>
  <c r="O28" i="9"/>
  <c r="L29" i="9"/>
  <c r="I30" i="9"/>
  <c r="F31" i="9"/>
  <c r="C32" i="9"/>
  <c r="O32" i="9"/>
  <c r="L33" i="9"/>
  <c r="I34" i="9"/>
  <c r="F35" i="9"/>
  <c r="C36" i="9"/>
  <c r="O36" i="9"/>
  <c r="L37" i="9"/>
  <c r="I38" i="9"/>
  <c r="F39" i="9"/>
  <c r="C40" i="9"/>
  <c r="O40" i="9"/>
  <c r="L41" i="9"/>
  <c r="I42" i="9"/>
  <c r="F43" i="9"/>
  <c r="C44" i="9"/>
  <c r="O44" i="9"/>
  <c r="L45" i="9"/>
  <c r="I46" i="9"/>
  <c r="F47" i="9"/>
  <c r="C48" i="9"/>
  <c r="O48" i="9"/>
  <c r="L49" i="9"/>
  <c r="I50" i="9"/>
  <c r="F51" i="9"/>
  <c r="M5" i="9"/>
  <c r="J6" i="9"/>
  <c r="G7" i="9"/>
  <c r="D8" i="9"/>
  <c r="P8" i="9"/>
  <c r="M9" i="9"/>
  <c r="J10" i="9"/>
  <c r="G11" i="9"/>
  <c r="D12" i="9"/>
  <c r="P12" i="9"/>
  <c r="M13" i="9"/>
  <c r="J14" i="9"/>
  <c r="G15" i="9"/>
  <c r="D16" i="9"/>
  <c r="P16" i="9"/>
  <c r="M17" i="9"/>
  <c r="J18" i="9"/>
  <c r="G19" i="9"/>
  <c r="D20" i="9"/>
  <c r="P20" i="9"/>
  <c r="M21" i="9"/>
  <c r="J22" i="9"/>
  <c r="G23" i="9"/>
  <c r="D24" i="9"/>
  <c r="P24" i="9"/>
  <c r="M25" i="9"/>
  <c r="J26" i="9"/>
  <c r="G27" i="9"/>
  <c r="D28" i="9"/>
  <c r="P28" i="9"/>
  <c r="M29" i="9"/>
  <c r="J30" i="9"/>
  <c r="G31" i="9"/>
  <c r="D32" i="9"/>
  <c r="P32" i="9"/>
  <c r="M33" i="9"/>
  <c r="J34" i="9"/>
  <c r="G35" i="9"/>
  <c r="D36" i="9"/>
  <c r="P36" i="9"/>
  <c r="M37" i="9"/>
  <c r="J38" i="9"/>
  <c r="G39" i="9"/>
  <c r="D40" i="9"/>
  <c r="P40" i="9"/>
  <c r="M41" i="9"/>
  <c r="J42" i="9"/>
  <c r="G43" i="9"/>
  <c r="D44" i="9"/>
  <c r="P44" i="9"/>
  <c r="M45" i="9"/>
  <c r="J46" i="9"/>
  <c r="G47" i="9"/>
  <c r="D48" i="9"/>
  <c r="P48" i="9"/>
  <c r="M49" i="9"/>
  <c r="J50" i="9"/>
  <c r="G51" i="9"/>
  <c r="D52" i="9"/>
  <c r="P52" i="9"/>
  <c r="M53" i="9"/>
  <c r="J54" i="9"/>
  <c r="G55" i="9"/>
  <c r="D56" i="9"/>
  <c r="P56" i="9"/>
  <c r="M57" i="9"/>
  <c r="J58" i="9"/>
  <c r="G59" i="9"/>
  <c r="D60" i="9"/>
  <c r="P60" i="9"/>
  <c r="M61" i="9"/>
  <c r="J62" i="9"/>
  <c r="G63" i="9"/>
  <c r="D64" i="9"/>
  <c r="P64" i="9"/>
  <c r="M65" i="9"/>
  <c r="J66" i="9"/>
  <c r="G67" i="9"/>
  <c r="D68" i="9"/>
  <c r="P68" i="9"/>
  <c r="M69" i="9"/>
  <c r="J70" i="9"/>
  <c r="G71" i="9"/>
  <c r="N5" i="9"/>
  <c r="H15" i="9"/>
  <c r="Q24" i="9"/>
  <c r="K34" i="9"/>
  <c r="K41" i="9"/>
  <c r="H46" i="9"/>
  <c r="H50" i="9"/>
  <c r="I52" i="9"/>
  <c r="I54" i="9"/>
  <c r="E56" i="9"/>
  <c r="N57" i="9"/>
  <c r="H59" i="9"/>
  <c r="Q60" i="9"/>
  <c r="K62" i="9"/>
  <c r="E64" i="9"/>
  <c r="L65" i="9"/>
  <c r="D67" i="9"/>
  <c r="G68" i="9"/>
  <c r="J69" i="9"/>
  <c r="M70" i="9"/>
  <c r="O71" i="9"/>
  <c r="N72" i="9"/>
  <c r="K73" i="9"/>
  <c r="H74" i="9"/>
  <c r="E75" i="9"/>
  <c r="Q75" i="9"/>
  <c r="N76" i="9"/>
  <c r="K77" i="9"/>
  <c r="H78" i="9"/>
  <c r="E79" i="9"/>
  <c r="Q79" i="9"/>
  <c r="N80" i="9"/>
  <c r="K81" i="9"/>
  <c r="H82" i="9"/>
  <c r="E83" i="9"/>
  <c r="Q83" i="9"/>
  <c r="N84" i="9"/>
  <c r="K85" i="9"/>
  <c r="H86" i="9"/>
  <c r="F4" i="9"/>
  <c r="C4" i="9"/>
  <c r="K6" i="9"/>
  <c r="E16" i="9"/>
  <c r="N25" i="9"/>
  <c r="H35" i="9"/>
  <c r="N41" i="9"/>
  <c r="K46" i="9"/>
  <c r="K50" i="9"/>
  <c r="N52" i="9"/>
  <c r="K54" i="9"/>
  <c r="G56" i="9"/>
  <c r="P57" i="9"/>
  <c r="J59" i="9"/>
  <c r="D61" i="9"/>
  <c r="M62" i="9"/>
  <c r="G64" i="9"/>
  <c r="N65" i="9"/>
  <c r="E67" i="9"/>
  <c r="I68" i="9"/>
  <c r="K69" i="9"/>
  <c r="O70" i="9"/>
  <c r="P71" i="9"/>
  <c r="O72" i="9"/>
  <c r="L73" i="9"/>
  <c r="I74" i="9"/>
  <c r="F75" i="9"/>
  <c r="C76" i="9"/>
  <c r="O76" i="9"/>
  <c r="L77" i="9"/>
  <c r="I78" i="9"/>
  <c r="F79" i="9"/>
  <c r="C80" i="9"/>
  <c r="O80" i="9"/>
  <c r="L81" i="9"/>
  <c r="I82" i="9"/>
  <c r="F83" i="9"/>
  <c r="C84" i="9"/>
  <c r="O84" i="9"/>
  <c r="L85" i="9"/>
  <c r="I86" i="9"/>
  <c r="G4" i="9"/>
  <c r="H7" i="9"/>
  <c r="Q16" i="9"/>
  <c r="K26" i="9"/>
  <c r="E36" i="9"/>
  <c r="H42" i="9"/>
  <c r="E47" i="9"/>
  <c r="M50" i="9"/>
  <c r="O52" i="9"/>
  <c r="M54" i="9"/>
  <c r="I56" i="9"/>
  <c r="C58" i="9"/>
  <c r="L59" i="9"/>
  <c r="F61" i="9"/>
  <c r="O62" i="9"/>
  <c r="I64" i="9"/>
  <c r="P65" i="9"/>
  <c r="F67" i="9"/>
  <c r="J68" i="9"/>
  <c r="L69" i="9"/>
  <c r="P70" i="9"/>
  <c r="Q71" i="9"/>
  <c r="P72" i="9"/>
  <c r="M73" i="9"/>
  <c r="J74" i="9"/>
  <c r="G75" i="9"/>
  <c r="D76" i="9"/>
  <c r="P76" i="9"/>
  <c r="M77" i="9"/>
  <c r="J78" i="9"/>
  <c r="G79" i="9"/>
  <c r="D80" i="9"/>
  <c r="P80" i="9"/>
  <c r="M81" i="9"/>
  <c r="J82" i="9"/>
  <c r="G83" i="9"/>
  <c r="D84" i="9"/>
  <c r="P84" i="9"/>
  <c r="M85" i="9"/>
  <c r="J86" i="9"/>
  <c r="H4" i="9"/>
  <c r="E8" i="9"/>
  <c r="N17" i="9"/>
  <c r="H27" i="9"/>
  <c r="Q36" i="9"/>
  <c r="K42" i="9"/>
  <c r="H47" i="9"/>
  <c r="O50" i="9"/>
  <c r="Q52" i="9"/>
  <c r="O54" i="9"/>
  <c r="M56" i="9"/>
  <c r="G58" i="9"/>
  <c r="P59" i="9"/>
  <c r="J61" i="9"/>
  <c r="D63" i="9"/>
  <c r="M64" i="9"/>
  <c r="C66" i="9"/>
  <c r="H67" i="9"/>
  <c r="L68" i="9"/>
  <c r="N69" i="9"/>
  <c r="C71" i="9"/>
  <c r="C72" i="9"/>
  <c r="Q72" i="9"/>
  <c r="N73" i="9"/>
  <c r="K74" i="9"/>
  <c r="H75" i="9"/>
  <c r="E76" i="9"/>
  <c r="Q76" i="9"/>
  <c r="N77" i="9"/>
  <c r="K78" i="9"/>
  <c r="H79" i="9"/>
  <c r="E80" i="9"/>
  <c r="Q80" i="9"/>
  <c r="N81" i="9"/>
  <c r="K82" i="9"/>
  <c r="H83" i="9"/>
  <c r="E84" i="9"/>
  <c r="Q84" i="9"/>
  <c r="N85" i="9"/>
  <c r="K86" i="9"/>
  <c r="I4" i="9"/>
  <c r="Q8" i="9"/>
  <c r="K18" i="9"/>
  <c r="E28" i="9"/>
  <c r="N37" i="9"/>
  <c r="E43" i="9"/>
  <c r="Q47" i="9"/>
  <c r="E51" i="9"/>
  <c r="D53" i="9"/>
  <c r="E55" i="9"/>
  <c r="N56" i="9"/>
  <c r="H58" i="9"/>
  <c r="Q59" i="9"/>
  <c r="K61" i="9"/>
  <c r="E63" i="9"/>
  <c r="N64" i="9"/>
  <c r="D66" i="9"/>
  <c r="J67" i="9"/>
  <c r="M68" i="9"/>
  <c r="P69" i="9"/>
  <c r="D71" i="9"/>
  <c r="D72" i="9"/>
  <c r="C73" i="9"/>
  <c r="O73" i="9"/>
  <c r="L74" i="9"/>
  <c r="I75" i="9"/>
  <c r="F76" i="9"/>
  <c r="C77" i="9"/>
  <c r="O77" i="9"/>
  <c r="L78" i="9"/>
  <c r="I79" i="9"/>
  <c r="F80" i="9"/>
  <c r="C81" i="9"/>
  <c r="O81" i="9"/>
  <c r="L82" i="9"/>
  <c r="I83" i="9"/>
  <c r="F84" i="9"/>
  <c r="C85" i="9"/>
  <c r="O85" i="9"/>
  <c r="L86" i="9"/>
  <c r="J4" i="9"/>
  <c r="N9" i="9"/>
  <c r="H19" i="9"/>
  <c r="Q28" i="9"/>
  <c r="K38" i="9"/>
  <c r="H43" i="9"/>
  <c r="E48" i="9"/>
  <c r="H51" i="9"/>
  <c r="F53" i="9"/>
  <c r="F55" i="9"/>
  <c r="O56" i="9"/>
  <c r="I58" i="9"/>
  <c r="C60" i="9"/>
  <c r="L61" i="9"/>
  <c r="F63" i="9"/>
  <c r="O64" i="9"/>
  <c r="G66" i="9"/>
  <c r="L67" i="9"/>
  <c r="N68" i="9"/>
  <c r="C70" i="9"/>
  <c r="E71" i="9"/>
  <c r="E72" i="9"/>
  <c r="D73" i="9"/>
  <c r="P73" i="9"/>
  <c r="M74" i="9"/>
  <c r="J75" i="9"/>
  <c r="G76" i="9"/>
  <c r="D77" i="9"/>
  <c r="P77" i="9"/>
  <c r="M78" i="9"/>
  <c r="J79" i="9"/>
  <c r="G80" i="9"/>
  <c r="D81" i="9"/>
  <c r="P81" i="9"/>
  <c r="M82" i="9"/>
  <c r="J83" i="9"/>
  <c r="G84" i="9"/>
  <c r="D85" i="9"/>
  <c r="P85" i="9"/>
  <c r="M86" i="9"/>
  <c r="K4" i="9"/>
  <c r="K10" i="9"/>
  <c r="E20" i="9"/>
  <c r="N29" i="9"/>
  <c r="E39" i="9"/>
  <c r="Q43" i="9"/>
  <c r="N48" i="9"/>
  <c r="J51" i="9"/>
  <c r="K53" i="9"/>
  <c r="H55" i="9"/>
  <c r="Q56" i="9"/>
  <c r="K58" i="9"/>
  <c r="E60" i="9"/>
  <c r="N61" i="9"/>
  <c r="H63" i="9"/>
  <c r="Q64" i="9"/>
  <c r="H66" i="9"/>
  <c r="M67" i="9"/>
  <c r="O68" i="9"/>
  <c r="D70" i="9"/>
  <c r="F71" i="9"/>
  <c r="F72" i="9"/>
  <c r="E73" i="9"/>
  <c r="Q73" i="9"/>
  <c r="N74" i="9"/>
  <c r="K75" i="9"/>
  <c r="H76" i="9"/>
  <c r="E77" i="9"/>
  <c r="Q77" i="9"/>
  <c r="N78" i="9"/>
  <c r="K79" i="9"/>
  <c r="H80" i="9"/>
  <c r="E81" i="9"/>
  <c r="Q81" i="9"/>
  <c r="N82" i="9"/>
  <c r="K83" i="9"/>
  <c r="H84" i="9"/>
  <c r="E85" i="9"/>
  <c r="Q85" i="9"/>
  <c r="N86" i="9"/>
  <c r="L4" i="9"/>
  <c r="H11" i="9"/>
  <c r="Q20" i="9"/>
  <c r="K30" i="9"/>
  <c r="H39" i="9"/>
  <c r="E44" i="9"/>
  <c r="Q48" i="9"/>
  <c r="L51" i="9"/>
  <c r="L53" i="9"/>
  <c r="J55" i="9"/>
  <c r="D57" i="9"/>
  <c r="M58" i="9"/>
  <c r="G60" i="9"/>
  <c r="P61" i="9"/>
  <c r="J63" i="9"/>
  <c r="D65" i="9"/>
  <c r="I66" i="9"/>
  <c r="O67" i="9"/>
  <c r="Q68" i="9"/>
  <c r="F70" i="9"/>
  <c r="H71" i="9"/>
  <c r="G72" i="9"/>
  <c r="F73" i="9"/>
  <c r="C74" i="9"/>
  <c r="O74" i="9"/>
  <c r="L75" i="9"/>
  <c r="I76" i="9"/>
  <c r="F77" i="9"/>
  <c r="C78" i="9"/>
  <c r="O78" i="9"/>
  <c r="L79" i="9"/>
  <c r="I80" i="9"/>
  <c r="F81" i="9"/>
  <c r="C82" i="9"/>
  <c r="O82" i="9"/>
  <c r="L83" i="9"/>
  <c r="I84" i="9"/>
  <c r="F85" i="9"/>
  <c r="C86" i="9"/>
  <c r="O86" i="9"/>
  <c r="M4" i="9"/>
  <c r="E12" i="9"/>
  <c r="N21" i="9"/>
  <c r="H31" i="9"/>
  <c r="Q39" i="9"/>
  <c r="N44" i="9"/>
  <c r="K49" i="9"/>
  <c r="Q51" i="9"/>
  <c r="N53" i="9"/>
  <c r="L55" i="9"/>
  <c r="F57" i="9"/>
  <c r="O58" i="9"/>
  <c r="I60" i="9"/>
  <c r="C62" i="9"/>
  <c r="L63" i="9"/>
  <c r="F65" i="9"/>
  <c r="K66" i="9"/>
  <c r="P67" i="9"/>
  <c r="D69" i="9"/>
  <c r="G70" i="9"/>
  <c r="I71" i="9"/>
  <c r="I72" i="9"/>
  <c r="G73" i="9"/>
  <c r="D74" i="9"/>
  <c r="P74" i="9"/>
  <c r="M75" i="9"/>
  <c r="J76" i="9"/>
  <c r="G77" i="9"/>
  <c r="D78" i="9"/>
  <c r="P78" i="9"/>
  <c r="M79" i="9"/>
  <c r="J80" i="9"/>
  <c r="G81" i="9"/>
  <c r="D82" i="9"/>
  <c r="P82" i="9"/>
  <c r="M83" i="9"/>
  <c r="J84" i="9"/>
  <c r="G85" i="9"/>
  <c r="D86" i="9"/>
  <c r="P86" i="9"/>
  <c r="N4" i="9"/>
  <c r="Q12" i="9"/>
  <c r="K22" i="9"/>
  <c r="E32" i="9"/>
  <c r="E40" i="9"/>
  <c r="Q44" i="9"/>
  <c r="N49" i="9"/>
  <c r="C52" i="9"/>
  <c r="P53" i="9"/>
  <c r="P55" i="9"/>
  <c r="J57" i="9"/>
  <c r="D59" i="9"/>
  <c r="M60" i="9"/>
  <c r="G62" i="9"/>
  <c r="P63" i="9"/>
  <c r="G65" i="9"/>
  <c r="M66" i="9"/>
  <c r="Q67" i="9"/>
  <c r="F69" i="9"/>
  <c r="H70" i="9"/>
  <c r="J71" i="9"/>
  <c r="J72" i="9"/>
  <c r="H73" i="9"/>
  <c r="E74" i="9"/>
  <c r="Q74" i="9"/>
  <c r="N75" i="9"/>
  <c r="K76" i="9"/>
  <c r="H77" i="9"/>
  <c r="E78" i="9"/>
  <c r="Q78" i="9"/>
  <c r="N79" i="9"/>
  <c r="K80" i="9"/>
  <c r="H81" i="9"/>
  <c r="E82" i="9"/>
  <c r="Q82" i="9"/>
  <c r="N83" i="9"/>
  <c r="K84" i="9"/>
  <c r="H85" i="9"/>
  <c r="E86" i="9"/>
  <c r="Q86" i="9"/>
  <c r="O4" i="9"/>
  <c r="N13" i="9"/>
  <c r="H23" i="9"/>
  <c r="Q32" i="9"/>
  <c r="N40" i="9"/>
  <c r="K45" i="9"/>
  <c r="P49" i="9"/>
  <c r="E52" i="9"/>
  <c r="C54" i="9"/>
  <c r="Q55" i="9"/>
  <c r="K57" i="9"/>
  <c r="E59" i="9"/>
  <c r="N60" i="9"/>
  <c r="H62" i="9"/>
  <c r="Q63" i="9"/>
  <c r="J65" i="9"/>
  <c r="O66" i="9"/>
  <c r="C68" i="9"/>
  <c r="G69" i="9"/>
  <c r="I70" i="9"/>
  <c r="L71" i="9"/>
  <c r="L72" i="9"/>
  <c r="I73" i="9"/>
  <c r="F74" i="9"/>
  <c r="C75" i="9"/>
  <c r="O75" i="9"/>
  <c r="L76" i="9"/>
  <c r="I77" i="9"/>
  <c r="F78" i="9"/>
  <c r="C79" i="9"/>
  <c r="O79" i="9"/>
  <c r="L80" i="9"/>
  <c r="I81" i="9"/>
  <c r="F82" i="9"/>
  <c r="C83" i="9"/>
  <c r="O83" i="9"/>
  <c r="L84" i="9"/>
  <c r="I85" i="9"/>
  <c r="F86" i="9"/>
  <c r="D4" i="9"/>
  <c r="P4" i="9"/>
  <c r="K14" i="9"/>
  <c r="E24" i="9"/>
  <c r="N33" i="9"/>
  <c r="Q40" i="9"/>
  <c r="N45" i="9"/>
  <c r="C50" i="9"/>
  <c r="G52" i="9"/>
  <c r="H54" i="9"/>
  <c r="C56" i="9"/>
  <c r="L57" i="9"/>
  <c r="F59" i="9"/>
  <c r="O60" i="9"/>
  <c r="I62" i="9"/>
  <c r="C64" i="9"/>
  <c r="K65" i="9"/>
  <c r="P66" i="9"/>
  <c r="E68" i="9"/>
  <c r="I69" i="9"/>
  <c r="K70" i="9"/>
  <c r="M71" i="9"/>
  <c r="M72" i="9"/>
  <c r="J73" i="9"/>
  <c r="G74" i="9"/>
  <c r="D75" i="9"/>
  <c r="P75" i="9"/>
  <c r="M76" i="9"/>
  <c r="J77" i="9"/>
  <c r="G78" i="9"/>
  <c r="D79" i="9"/>
  <c r="P79" i="9"/>
  <c r="M80" i="9"/>
  <c r="J81" i="9"/>
  <c r="G82" i="9"/>
  <c r="D83" i="9"/>
  <c r="P83" i="9"/>
  <c r="M84" i="9"/>
  <c r="J85" i="9"/>
  <c r="G86" i="9"/>
  <c r="E4" i="9"/>
  <c r="Q4" i="9"/>
  <c r="HB244" i="4"/>
  <c r="AK6" i="13"/>
  <c r="AK5" i="13"/>
  <c r="AK7" i="13"/>
  <c r="AK8" i="13"/>
  <c r="AK9" i="13"/>
  <c r="AK10" i="13"/>
  <c r="AK11" i="13"/>
  <c r="AK12" i="13"/>
  <c r="AK13" i="13"/>
  <c r="AK14" i="13"/>
  <c r="AK15" i="13"/>
  <c r="AK16" i="13"/>
  <c r="AK17" i="13"/>
  <c r="HB151" i="4"/>
  <c r="HA4" i="4"/>
  <c r="AE3" i="5"/>
  <c r="HB26" i="4"/>
  <c r="BG409" i="4"/>
  <c r="BH409" i="4"/>
  <c r="BI409" i="4"/>
  <c r="BC409" i="4"/>
  <c r="BD409" i="4"/>
  <c r="BE409" i="4"/>
  <c r="BD412" i="4"/>
  <c r="BC412" i="4"/>
  <c r="BE412" i="4"/>
  <c r="BG412" i="4"/>
  <c r="BH412" i="4"/>
  <c r="BI412" i="4"/>
  <c r="HG281" i="4"/>
  <c r="HH281" i="4" s="1"/>
  <c r="HC281" i="4"/>
  <c r="HD281" i="4" s="1"/>
  <c r="HE281" i="4"/>
  <c r="HF281" i="4" s="1"/>
  <c r="HK385" i="4"/>
  <c r="HQ392" i="4"/>
  <c r="GS387" i="4"/>
  <c r="GT387" i="4" s="1"/>
  <c r="GS370" i="4"/>
  <c r="GT370" i="4" s="1"/>
  <c r="GS287" i="4"/>
  <c r="GT287" i="4" s="1"/>
  <c r="GS382" i="4"/>
  <c r="GT382" i="4" s="1"/>
  <c r="GS392" i="4"/>
  <c r="GT392" i="4" s="1"/>
  <c r="GS190" i="4"/>
  <c r="GT190" i="4" s="1"/>
  <c r="GS303" i="4"/>
  <c r="GT303" i="4" s="1"/>
  <c r="GS281" i="4"/>
  <c r="GY281" i="4" s="1"/>
  <c r="HA281" i="4"/>
  <c r="HB281" i="4" s="1"/>
  <c r="GS386" i="4"/>
  <c r="GT386" i="4" s="1"/>
  <c r="GS385" i="4"/>
  <c r="GT385" i="4" s="1"/>
  <c r="GS366" i="4"/>
  <c r="GT366" i="4" s="1"/>
  <c r="GS310" i="4"/>
  <c r="GT310" i="4" s="1"/>
  <c r="GS282" i="4"/>
  <c r="GT282" i="4" s="1"/>
  <c r="GS230" i="4"/>
  <c r="GT230" i="4" s="1"/>
  <c r="GS96" i="4"/>
  <c r="GT96" i="4" s="1"/>
  <c r="GS368" i="4"/>
  <c r="GT368" i="4" s="1"/>
  <c r="GS405" i="4"/>
  <c r="GT405" i="4" s="1"/>
  <c r="GS369" i="4"/>
  <c r="GT369" i="4" s="1"/>
  <c r="GS148" i="4"/>
  <c r="GT148" i="4" s="1"/>
  <c r="GS278" i="4"/>
  <c r="GT278" i="4" s="1"/>
  <c r="GS371" i="4"/>
  <c r="GT371" i="4" s="1"/>
  <c r="GS391" i="4"/>
  <c r="GT391" i="4" s="1"/>
  <c r="GS302" i="4"/>
  <c r="GT302" i="4" s="1"/>
  <c r="GS156" i="4"/>
  <c r="GT156" i="4" s="1"/>
  <c r="GS335" i="4"/>
  <c r="GT335" i="4" s="1"/>
  <c r="GS332" i="4"/>
  <c r="GT332" i="4" s="1"/>
  <c r="GS374" i="4"/>
  <c r="GT374" i="4" s="1"/>
  <c r="GS229" i="4"/>
  <c r="GT229" i="4" s="1"/>
  <c r="GS163" i="4"/>
  <c r="GT163" i="4" s="1"/>
  <c r="GS183" i="4"/>
  <c r="GT183" i="4" s="1"/>
  <c r="HA5" i="4"/>
  <c r="HB5" i="4" s="1"/>
  <c r="GS399" i="4"/>
  <c r="GT399" i="4" s="1"/>
  <c r="GS404" i="4"/>
  <c r="GT404" i="4" s="1"/>
  <c r="GS330" i="4"/>
  <c r="GT330" i="4" s="1"/>
  <c r="GS263" i="4"/>
  <c r="GT263" i="4" s="1"/>
  <c r="GS260" i="4"/>
  <c r="GT260" i="4" s="1"/>
  <c r="GS161" i="4"/>
  <c r="GT161" i="4" s="1"/>
  <c r="GS234" i="4"/>
  <c r="GT234" i="4" s="1"/>
  <c r="GS406" i="4"/>
  <c r="GT406" i="4" s="1"/>
  <c r="GS325" i="4"/>
  <c r="GT325" i="4" s="1"/>
  <c r="GS197" i="4"/>
  <c r="GT197" i="4" s="1"/>
  <c r="GS402" i="4"/>
  <c r="GT402" i="4" s="1"/>
  <c r="GS390" i="4"/>
  <c r="GT390" i="4" s="1"/>
  <c r="GS378" i="4"/>
  <c r="GT378" i="4" s="1"/>
  <c r="HO386" i="4"/>
  <c r="BC368" i="4"/>
  <c r="BD368" i="4"/>
  <c r="BE368" i="4"/>
  <c r="BH368" i="4"/>
  <c r="BI368" i="4"/>
  <c r="BG368" i="4"/>
  <c r="BC403" i="4"/>
  <c r="BD403" i="4"/>
  <c r="BE403" i="4"/>
  <c r="BG403" i="4"/>
  <c r="BH403" i="4"/>
  <c r="BI403" i="4"/>
  <c r="HS386" i="4"/>
  <c r="HQ386" i="4"/>
  <c r="BH398" i="4"/>
  <c r="BI398" i="4"/>
  <c r="BD398" i="4"/>
  <c r="BE398" i="4"/>
  <c r="BG398" i="4"/>
  <c r="BC398" i="4"/>
  <c r="BE327" i="4"/>
  <c r="BD327" i="4"/>
  <c r="BG327" i="4"/>
  <c r="BH327" i="4"/>
  <c r="BI327" i="4"/>
  <c r="BC327" i="4"/>
  <c r="BC406" i="4"/>
  <c r="BE406" i="4"/>
  <c r="BD406" i="4"/>
  <c r="BG406" i="4"/>
  <c r="BH406" i="4"/>
  <c r="BI406" i="4"/>
  <c r="HS392" i="4"/>
  <c r="C2" i="18"/>
  <c r="B2" i="18" s="1"/>
  <c r="CK281" i="4"/>
  <c r="EX281" i="4"/>
  <c r="DR281" i="4"/>
  <c r="GJ281" i="4"/>
  <c r="EQ281" i="4"/>
  <c r="DY281" i="4"/>
  <c r="DV281" i="4"/>
  <c r="DF281" i="4"/>
  <c r="DH281" i="4"/>
  <c r="DD281" i="4"/>
  <c r="EF281" i="4"/>
  <c r="FJ281" i="4"/>
  <c r="GG281" i="4"/>
  <c r="DA281" i="4"/>
  <c r="FS281" i="4"/>
  <c r="DM281" i="4"/>
  <c r="EJ281" i="4"/>
  <c r="GC281" i="4"/>
  <c r="CP281" i="4"/>
  <c r="DT281" i="4"/>
  <c r="FL281" i="4"/>
  <c r="CY281" i="4"/>
  <c r="FZ281" i="4"/>
  <c r="ET281" i="4"/>
  <c r="EV281" i="4"/>
  <c r="CW281" i="4"/>
  <c r="EC281" i="4"/>
  <c r="DO281" i="4"/>
  <c r="CT281" i="4"/>
  <c r="EA281" i="4"/>
  <c r="FA281" i="4"/>
  <c r="FE281" i="4"/>
  <c r="EH281" i="4"/>
  <c r="FC281" i="4"/>
  <c r="FV281" i="4"/>
  <c r="GN281" i="4"/>
  <c r="DK281" i="4"/>
  <c r="CM281" i="4"/>
  <c r="EO281" i="4"/>
  <c r="GE281" i="4"/>
  <c r="CI281" i="4"/>
  <c r="FH281" i="4"/>
  <c r="FO281" i="4"/>
  <c r="GL281" i="4"/>
  <c r="FX281" i="4"/>
  <c r="CR281" i="4"/>
  <c r="FQ281" i="4"/>
  <c r="EM281" i="4"/>
  <c r="HM392" i="4"/>
  <c r="C392" i="4"/>
  <c r="BC386" i="4"/>
  <c r="BD386" i="4"/>
  <c r="BH386" i="4"/>
  <c r="BE386" i="4"/>
  <c r="BG386" i="4"/>
  <c r="BI386" i="4"/>
  <c r="BC372" i="4"/>
  <c r="BD372" i="4"/>
  <c r="BE372" i="4"/>
  <c r="BG372" i="4"/>
  <c r="BH372" i="4"/>
  <c r="BI372" i="4"/>
  <c r="BG405" i="4"/>
  <c r="BH405" i="4"/>
  <c r="BI405" i="4"/>
  <c r="BC405" i="4"/>
  <c r="BD405" i="4"/>
  <c r="BE405" i="4"/>
  <c r="BH399" i="4"/>
  <c r="BG399" i="4"/>
  <c r="BI399" i="4"/>
  <c r="BC399" i="4"/>
  <c r="BD399" i="4"/>
  <c r="BE399" i="4"/>
  <c r="BE371" i="4"/>
  <c r="BC371" i="4"/>
  <c r="BD371" i="4"/>
  <c r="BG371" i="4"/>
  <c r="BH371" i="4"/>
  <c r="BI371" i="4"/>
  <c r="HI359" i="4"/>
  <c r="HQ359" i="4"/>
  <c r="HS404" i="4"/>
  <c r="HO404" i="4"/>
  <c r="HI385" i="4"/>
  <c r="HQ404" i="4"/>
  <c r="HQ369" i="4"/>
  <c r="HO369" i="4"/>
  <c r="BH392" i="4"/>
  <c r="BC392" i="4"/>
  <c r="BD392" i="4"/>
  <c r="BE392" i="4"/>
  <c r="BG392" i="4"/>
  <c r="BI392" i="4"/>
  <c r="C358" i="4"/>
  <c r="BF369" i="4"/>
  <c r="CM369" i="4" s="1"/>
  <c r="HQ370" i="4"/>
  <c r="HS370" i="4"/>
  <c r="BF370" i="4"/>
  <c r="P370" i="4" s="1"/>
  <c r="BV370" i="4" s="1"/>
  <c r="C370" i="4"/>
  <c r="HO370" i="4"/>
  <c r="BE359" i="4"/>
  <c r="BI359" i="4"/>
  <c r="BC359" i="4"/>
  <c r="BD359" i="4"/>
  <c r="BG359" i="4"/>
  <c r="BH359" i="4"/>
  <c r="BG385" i="4"/>
  <c r="BH385" i="4"/>
  <c r="BI385" i="4"/>
  <c r="BC385" i="4"/>
  <c r="BD385" i="4"/>
  <c r="BE385" i="4"/>
  <c r="BE369" i="4"/>
  <c r="BC369" i="4"/>
  <c r="BD369" i="4"/>
  <c r="BG369" i="4"/>
  <c r="BH369" i="4"/>
  <c r="BI369" i="4"/>
  <c r="BF404" i="4"/>
  <c r="EM404" i="4" s="1"/>
  <c r="C404" i="4"/>
  <c r="BC404" i="4"/>
  <c r="BD404" i="4"/>
  <c r="BE404" i="4"/>
  <c r="BG404" i="4"/>
  <c r="BH404" i="4"/>
  <c r="BI404" i="4"/>
  <c r="BC402" i="4"/>
  <c r="BD402" i="4"/>
  <c r="BE402" i="4"/>
  <c r="BG402" i="4"/>
  <c r="BH402" i="4"/>
  <c r="BI402" i="4"/>
  <c r="BG370" i="4"/>
  <c r="BH370" i="4"/>
  <c r="BI370" i="4"/>
  <c r="BE370" i="4"/>
  <c r="BC370" i="4"/>
  <c r="BD370" i="4"/>
  <c r="BC366" i="4"/>
  <c r="BD366" i="4"/>
  <c r="BE366" i="4"/>
  <c r="BG366" i="4"/>
  <c r="BH366" i="4"/>
  <c r="BI366" i="4"/>
  <c r="BC332" i="4"/>
  <c r="BD332" i="4"/>
  <c r="BE332" i="4"/>
  <c r="BG332" i="4"/>
  <c r="BH332" i="4"/>
  <c r="BI332" i="4"/>
  <c r="BH330" i="4"/>
  <c r="BI330" i="4"/>
  <c r="BC330" i="4"/>
  <c r="BD330" i="4"/>
  <c r="BE330" i="4"/>
  <c r="BG330" i="4"/>
  <c r="HA403" i="4"/>
  <c r="HK422" i="4" l="1"/>
  <c r="HM422" i="4"/>
  <c r="HS422" i="4"/>
  <c r="HI422" i="4"/>
  <c r="HO422" i="4"/>
  <c r="BP422" i="4"/>
  <c r="BQ422" i="4"/>
  <c r="HQ419" i="4"/>
  <c r="HS419" i="4"/>
  <c r="HM419" i="4"/>
  <c r="HK419" i="4"/>
  <c r="HO419" i="4"/>
  <c r="HI418" i="4"/>
  <c r="HK418" i="4"/>
  <c r="HO418" i="4"/>
  <c r="HS418" i="4"/>
  <c r="HM418" i="4"/>
  <c r="HK413" i="4"/>
  <c r="HM413" i="4"/>
  <c r="HQ413" i="4"/>
  <c r="HO413" i="4"/>
  <c r="HS413" i="4"/>
  <c r="H420" i="4"/>
  <c r="BP420" i="4"/>
  <c r="BO420" i="4"/>
  <c r="H419" i="4"/>
  <c r="BQ419" i="4"/>
  <c r="BO419" i="4"/>
  <c r="H418" i="4"/>
  <c r="BP418" i="4"/>
  <c r="BQ418" i="4"/>
  <c r="BP414" i="4"/>
  <c r="BQ414" i="4"/>
  <c r="HK386" i="4"/>
  <c r="C369" i="4"/>
  <c r="HI392" i="4"/>
  <c r="H422" i="4"/>
  <c r="BF422" i="4"/>
  <c r="HU422" i="4" s="1"/>
  <c r="BF359" i="4"/>
  <c r="HU359" i="4" s="1"/>
  <c r="HK359" i="4"/>
  <c r="HS385" i="4"/>
  <c r="HS409" i="4"/>
  <c r="HK409" i="4"/>
  <c r="HM409" i="4"/>
  <c r="HI409" i="4"/>
  <c r="HQ409" i="4"/>
  <c r="HI411" i="4"/>
  <c r="HK411" i="4"/>
  <c r="HM411" i="4"/>
  <c r="HQ411" i="4"/>
  <c r="HS411" i="4"/>
  <c r="HM385" i="4"/>
  <c r="HI410" i="4"/>
  <c r="HK410" i="4"/>
  <c r="HM410" i="4"/>
  <c r="HO410" i="4"/>
  <c r="HQ410" i="4"/>
  <c r="C385" i="4"/>
  <c r="HO385" i="4"/>
  <c r="H413" i="4"/>
  <c r="BQ413" i="4"/>
  <c r="BO413" i="4"/>
  <c r="H412" i="4"/>
  <c r="BO412" i="4"/>
  <c r="BP412" i="4"/>
  <c r="HS412" i="4"/>
  <c r="HO412" i="4"/>
  <c r="HI412" i="4"/>
  <c r="HQ412" i="4"/>
  <c r="BP411" i="4"/>
  <c r="BO411" i="4"/>
  <c r="H410" i="4"/>
  <c r="BP410" i="4"/>
  <c r="BQ410" i="4"/>
  <c r="BO409" i="4"/>
  <c r="BP409" i="4"/>
  <c r="H407" i="4"/>
  <c r="BP407" i="4"/>
  <c r="BO407" i="4"/>
  <c r="H406" i="4"/>
  <c r="BP406" i="4"/>
  <c r="BQ406" i="4"/>
  <c r="P404" i="4"/>
  <c r="BV404" i="4" s="1"/>
  <c r="H404" i="4"/>
  <c r="BQ404" i="4"/>
  <c r="BO404" i="4"/>
  <c r="H405" i="4"/>
  <c r="BP405" i="4"/>
  <c r="BQ405" i="4"/>
  <c r="H403" i="4"/>
  <c r="BP403" i="4"/>
  <c r="BO403" i="4"/>
  <c r="H402" i="4"/>
  <c r="BO402" i="4"/>
  <c r="BP402" i="4"/>
  <c r="H401" i="4"/>
  <c r="BQ401" i="4"/>
  <c r="BP401" i="4"/>
  <c r="H400" i="4"/>
  <c r="BP400" i="4"/>
  <c r="BO400" i="4"/>
  <c r="H399" i="4"/>
  <c r="BQ399" i="4"/>
  <c r="BP399" i="4"/>
  <c r="H398" i="4"/>
  <c r="BQ398" i="4"/>
  <c r="BP398" i="4"/>
  <c r="H397" i="4"/>
  <c r="BP397" i="4"/>
  <c r="BQ397" i="4"/>
  <c r="H396" i="4"/>
  <c r="BP396" i="4"/>
  <c r="BO396" i="4"/>
  <c r="H395" i="4"/>
  <c r="BO395" i="4"/>
  <c r="BQ395" i="4"/>
  <c r="P392" i="4"/>
  <c r="BU392" i="4" s="1"/>
  <c r="H394" i="4"/>
  <c r="BP394" i="4"/>
  <c r="BQ394" i="4"/>
  <c r="H393" i="4"/>
  <c r="BO393" i="4"/>
  <c r="BP393" i="4"/>
  <c r="H392" i="4"/>
  <c r="BO392" i="4"/>
  <c r="BP392" i="4"/>
  <c r="H391" i="4"/>
  <c r="BP391" i="4"/>
  <c r="BO391" i="4"/>
  <c r="H390" i="4"/>
  <c r="BQ390" i="4"/>
  <c r="BP390" i="4"/>
  <c r="H389" i="4"/>
  <c r="BQ389" i="4"/>
  <c r="BO389" i="4"/>
  <c r="H387" i="4"/>
  <c r="BQ387" i="4"/>
  <c r="BP387" i="4"/>
  <c r="H386" i="4"/>
  <c r="BO386" i="4"/>
  <c r="BQ386" i="4"/>
  <c r="BF386" i="4"/>
  <c r="P386" i="4" s="1"/>
  <c r="BU386" i="4" s="1"/>
  <c r="P385" i="4"/>
  <c r="H385" i="4"/>
  <c r="BP385" i="4"/>
  <c r="BQ385" i="4"/>
  <c r="H384" i="4"/>
  <c r="BP384" i="4"/>
  <c r="BQ384" i="4"/>
  <c r="H382" i="4"/>
  <c r="BQ382" i="4"/>
  <c r="BP382" i="4"/>
  <c r="H371" i="4"/>
  <c r="BQ371" i="4"/>
  <c r="BO371" i="4"/>
  <c r="H370" i="4"/>
  <c r="BQ370" i="4"/>
  <c r="BO370" i="4"/>
  <c r="P369" i="4"/>
  <c r="H369" i="4"/>
  <c r="BQ369" i="4"/>
  <c r="BO369" i="4"/>
  <c r="H368" i="4"/>
  <c r="BP368" i="4"/>
  <c r="BQ368" i="4"/>
  <c r="H366" i="4"/>
  <c r="BQ366" i="4"/>
  <c r="BP366" i="4"/>
  <c r="H363" i="4"/>
  <c r="BP363" i="4"/>
  <c r="BO363" i="4"/>
  <c r="H359" i="4"/>
  <c r="BP359" i="4"/>
  <c r="BQ359" i="4"/>
  <c r="H358" i="4"/>
  <c r="BP358" i="4"/>
  <c r="BO358" i="4"/>
  <c r="H409" i="4"/>
  <c r="BF410" i="4"/>
  <c r="H354" i="4"/>
  <c r="BO354" i="4"/>
  <c r="BQ354" i="4"/>
  <c r="H414" i="4"/>
  <c r="BF415" i="4"/>
  <c r="HU415" i="4" s="1"/>
  <c r="H411" i="4"/>
  <c r="BF411" i="4"/>
  <c r="HU411" i="4" s="1"/>
  <c r="HQ330" i="4"/>
  <c r="C330" i="4"/>
  <c r="BF330" i="4"/>
  <c r="DT330" i="4" s="1"/>
  <c r="HO330" i="4"/>
  <c r="H332" i="4"/>
  <c r="BP332" i="4"/>
  <c r="BQ332" i="4"/>
  <c r="H330" i="4"/>
  <c r="BO330" i="4"/>
  <c r="BQ330" i="4"/>
  <c r="H327" i="4"/>
  <c r="BQ327" i="4"/>
  <c r="BP327" i="4"/>
  <c r="H326" i="4"/>
  <c r="BP326" i="4"/>
  <c r="BQ326" i="4"/>
  <c r="HB4" i="4"/>
  <c r="GU281" i="4"/>
  <c r="GW281" i="4"/>
  <c r="GX281" i="4" s="1"/>
  <c r="AK36" i="9"/>
  <c r="AK25" i="9"/>
  <c r="Y2" i="9"/>
  <c r="AK44" i="9"/>
  <c r="AK17" i="9"/>
  <c r="AK9" i="9"/>
  <c r="AK29" i="9"/>
  <c r="AK21" i="9"/>
  <c r="AB2" i="9"/>
  <c r="AK14" i="9"/>
  <c r="AK7" i="9"/>
  <c r="AF2" i="9"/>
  <c r="AK28" i="9"/>
  <c r="AK39" i="9"/>
  <c r="AK72" i="9"/>
  <c r="AK45" i="9"/>
  <c r="AK78" i="9"/>
  <c r="AK27" i="9"/>
  <c r="X2" i="9"/>
  <c r="AK59" i="9"/>
  <c r="AK65" i="9"/>
  <c r="AK50" i="9"/>
  <c r="AK13" i="9"/>
  <c r="AK6" i="9"/>
  <c r="AK20" i="9"/>
  <c r="AJ2" i="9"/>
  <c r="AK79" i="9"/>
  <c r="AK64" i="9"/>
  <c r="AK37" i="9"/>
  <c r="AK85" i="9"/>
  <c r="AK70" i="9"/>
  <c r="AK26" i="9"/>
  <c r="AC2" i="9"/>
  <c r="AK19" i="9"/>
  <c r="AG2" i="9"/>
  <c r="AK51" i="9"/>
  <c r="AK84" i="9"/>
  <c r="AK57" i="9"/>
  <c r="AK42" i="9"/>
  <c r="AK5" i="9"/>
  <c r="AI2" i="9"/>
  <c r="AK12" i="9"/>
  <c r="AD2" i="9"/>
  <c r="AK71" i="9"/>
  <c r="AK56" i="9"/>
  <c r="AK77" i="9"/>
  <c r="AK62" i="9"/>
  <c r="AK18" i="9"/>
  <c r="AK11" i="9"/>
  <c r="AK43" i="9"/>
  <c r="AK76" i="9"/>
  <c r="AK49" i="9"/>
  <c r="AK34" i="9"/>
  <c r="AK82" i="9"/>
  <c r="Z2" i="9"/>
  <c r="V2" i="9"/>
  <c r="AK4" i="9"/>
  <c r="AK63" i="9"/>
  <c r="AK48" i="9"/>
  <c r="AK69" i="9"/>
  <c r="AK54" i="9"/>
  <c r="AK10" i="9"/>
  <c r="AH2" i="9"/>
  <c r="AK24" i="9"/>
  <c r="AK35" i="9"/>
  <c r="AK83" i="9"/>
  <c r="AK68" i="9"/>
  <c r="AK41" i="9"/>
  <c r="AK74" i="9"/>
  <c r="AK30" i="9"/>
  <c r="AK23" i="9"/>
  <c r="AE2" i="9"/>
  <c r="AK55" i="9"/>
  <c r="AK61" i="9"/>
  <c r="AK46" i="9"/>
  <c r="AA2" i="9"/>
  <c r="AK31" i="9"/>
  <c r="AK16" i="9"/>
  <c r="AK75" i="9"/>
  <c r="AK60" i="9"/>
  <c r="AK33" i="9"/>
  <c r="AK81" i="9"/>
  <c r="AK66" i="9"/>
  <c r="AK22" i="9"/>
  <c r="AK32" i="9"/>
  <c r="AK15" i="9"/>
  <c r="AK40" i="9"/>
  <c r="W2" i="9"/>
  <c r="AK47" i="9"/>
  <c r="AK80" i="9"/>
  <c r="AK53" i="9"/>
  <c r="AK38" i="9"/>
  <c r="AK86" i="9"/>
  <c r="AK8" i="9"/>
  <c r="AK67" i="9"/>
  <c r="AK52" i="9"/>
  <c r="AK73" i="9"/>
  <c r="AK58" i="9"/>
  <c r="R84" i="9"/>
  <c r="R82" i="9"/>
  <c r="R59" i="9"/>
  <c r="R83" i="9"/>
  <c r="R52" i="9"/>
  <c r="R67" i="9"/>
  <c r="R72" i="9"/>
  <c r="R70" i="9"/>
  <c r="R57" i="9"/>
  <c r="R71" i="9"/>
  <c r="R75" i="9"/>
  <c r="R5" i="9"/>
  <c r="R4" i="9"/>
  <c r="R65" i="9"/>
  <c r="R80" i="9"/>
  <c r="R85" i="9"/>
  <c r="R55" i="9"/>
  <c r="R53" i="9"/>
  <c r="R54" i="9"/>
  <c r="R58" i="9"/>
  <c r="R68" i="9"/>
  <c r="R62" i="9"/>
  <c r="R73" i="9"/>
  <c r="R78" i="9"/>
  <c r="R76" i="9"/>
  <c r="R77" i="9"/>
  <c r="R81" i="9"/>
  <c r="R66" i="9"/>
  <c r="R86" i="9"/>
  <c r="R56" i="9"/>
  <c r="R61" i="9"/>
  <c r="R69" i="9"/>
  <c r="R60" i="9"/>
  <c r="R64" i="9"/>
  <c r="R63" i="9"/>
  <c r="R74" i="9"/>
  <c r="R79" i="9"/>
  <c r="HB41" i="4"/>
  <c r="E2" i="9"/>
  <c r="HK398" i="4"/>
  <c r="HM398" i="4"/>
  <c r="HO398" i="4"/>
  <c r="HI398" i="4"/>
  <c r="HS403" i="4"/>
  <c r="HK403" i="4"/>
  <c r="HI403" i="4"/>
  <c r="HM403" i="4"/>
  <c r="HI372" i="4"/>
  <c r="HK372" i="4"/>
  <c r="HM372" i="4"/>
  <c r="HO372" i="4"/>
  <c r="EM385" i="4"/>
  <c r="DK385" i="4"/>
  <c r="CY385" i="4"/>
  <c r="CR385" i="4"/>
  <c r="FQ385" i="4"/>
  <c r="CT385" i="4"/>
  <c r="BF412" i="4"/>
  <c r="C411" i="4"/>
  <c r="BF409" i="4"/>
  <c r="HU409" i="4" s="1"/>
  <c r="C409" i="4"/>
  <c r="HI327" i="4"/>
  <c r="HK327" i="4"/>
  <c r="HM327" i="4"/>
  <c r="HO327" i="4"/>
  <c r="N385" i="4"/>
  <c r="CA385" i="4" s="1"/>
  <c r="GE385" i="4"/>
  <c r="DD385" i="4"/>
  <c r="FS385" i="4"/>
  <c r="DF385" i="4"/>
  <c r="GL385" i="4"/>
  <c r="EA385" i="4"/>
  <c r="CM385" i="4"/>
  <c r="FJ385" i="4"/>
  <c r="DO385" i="4"/>
  <c r="ET385" i="4"/>
  <c r="FZ385" i="4"/>
  <c r="GC385" i="4"/>
  <c r="EH385" i="4"/>
  <c r="DH385" i="4"/>
  <c r="DY385" i="4"/>
  <c r="DV385" i="4"/>
  <c r="CW385" i="4"/>
  <c r="FC385" i="4"/>
  <c r="EX385" i="4"/>
  <c r="CP385" i="4"/>
  <c r="EF385" i="4"/>
  <c r="FH385" i="4"/>
  <c r="EO385" i="4"/>
  <c r="EV385" i="4"/>
  <c r="CK385" i="4"/>
  <c r="GG385" i="4"/>
  <c r="DM385" i="4"/>
  <c r="FO385" i="4"/>
  <c r="GN385" i="4"/>
  <c r="GJ385" i="4"/>
  <c r="EQ385" i="4"/>
  <c r="FE385" i="4"/>
  <c r="FX385" i="4"/>
  <c r="EJ385" i="4"/>
  <c r="CI385" i="4"/>
  <c r="DT385" i="4"/>
  <c r="FL385" i="4"/>
  <c r="HE369" i="4"/>
  <c r="HF369" i="4" s="1"/>
  <c r="HG359" i="4"/>
  <c r="HH359" i="4" s="1"/>
  <c r="HE359" i="4"/>
  <c r="HF359" i="4" s="1"/>
  <c r="HE392" i="4"/>
  <c r="HF392" i="4" s="1"/>
  <c r="HE370" i="4"/>
  <c r="HF370" i="4" s="1"/>
  <c r="HC385" i="4"/>
  <c r="HD385" i="4" s="1"/>
  <c r="HG385" i="4"/>
  <c r="HH385" i="4" s="1"/>
  <c r="HE386" i="4"/>
  <c r="HF386" i="4" s="1"/>
  <c r="GY392" i="4"/>
  <c r="GZ392" i="4" s="1"/>
  <c r="GY359" i="4"/>
  <c r="GZ359" i="4" s="1"/>
  <c r="GY385" i="4"/>
  <c r="GZ385" i="4" s="1"/>
  <c r="DK386" i="4"/>
  <c r="GY370" i="4"/>
  <c r="GZ370" i="4" s="1"/>
  <c r="GY369" i="4"/>
  <c r="GZ369" i="4" s="1"/>
  <c r="GY404" i="4"/>
  <c r="GZ404" i="4" s="1"/>
  <c r="GY386" i="4"/>
  <c r="GZ386" i="4" s="1"/>
  <c r="GW369" i="4"/>
  <c r="GX369" i="4" s="1"/>
  <c r="GU369" i="4"/>
  <c r="GV369" i="4" s="1"/>
  <c r="GU404" i="4"/>
  <c r="GV404" i="4" s="1"/>
  <c r="GW404" i="4"/>
  <c r="GX404" i="4" s="1"/>
  <c r="GU359" i="4"/>
  <c r="GV359" i="4" s="1"/>
  <c r="GU392" i="4"/>
  <c r="GV392" i="4" s="1"/>
  <c r="GU370" i="4"/>
  <c r="GV370" i="4" s="1"/>
  <c r="GW385" i="4"/>
  <c r="GX385" i="4" s="1"/>
  <c r="GU386" i="4"/>
  <c r="GV386" i="4" s="1"/>
  <c r="GW392" i="4"/>
  <c r="GX392" i="4" s="1"/>
  <c r="GW370" i="4"/>
  <c r="GX370" i="4" s="1"/>
  <c r="GU385" i="4"/>
  <c r="GV385" i="4" s="1"/>
  <c r="GW386" i="4"/>
  <c r="GX386" i="4" s="1"/>
  <c r="DM386" i="4"/>
  <c r="GJ386" i="4"/>
  <c r="EX392" i="4"/>
  <c r="EH392" i="4"/>
  <c r="GE392" i="4"/>
  <c r="DV392" i="4"/>
  <c r="EF392" i="4"/>
  <c r="FA392" i="4"/>
  <c r="DA392" i="4"/>
  <c r="FE392" i="4"/>
  <c r="DR392" i="4"/>
  <c r="DM392" i="4"/>
  <c r="FX392" i="4"/>
  <c r="FH392" i="4"/>
  <c r="DY392" i="4"/>
  <c r="FA386" i="4"/>
  <c r="EC386" i="4"/>
  <c r="CM386" i="4"/>
  <c r="GC386" i="4"/>
  <c r="EV386" i="4"/>
  <c r="CR386" i="4"/>
  <c r="FO386" i="4"/>
  <c r="FE386" i="4"/>
  <c r="FS386" i="4"/>
  <c r="FV386" i="4"/>
  <c r="CP386" i="4"/>
  <c r="DD386" i="4"/>
  <c r="FC386" i="4"/>
  <c r="DH386" i="4"/>
  <c r="EJ386" i="4"/>
  <c r="CI386" i="4"/>
  <c r="EM386" i="4"/>
  <c r="EO386" i="4"/>
  <c r="FX386" i="4"/>
  <c r="EF386" i="4"/>
  <c r="EA386" i="4"/>
  <c r="DV386" i="4"/>
  <c r="FZ386" i="4"/>
  <c r="GN386" i="4"/>
  <c r="ET386" i="4"/>
  <c r="EX386" i="4"/>
  <c r="CK386" i="4"/>
  <c r="CW386" i="4"/>
  <c r="FJ386" i="4"/>
  <c r="EH386" i="4"/>
  <c r="GL386" i="4"/>
  <c r="CT386" i="4"/>
  <c r="FL386" i="4"/>
  <c r="FH386" i="4"/>
  <c r="DF386" i="4"/>
  <c r="DA386" i="4"/>
  <c r="GE386" i="4"/>
  <c r="GG386" i="4"/>
  <c r="DR386" i="4"/>
  <c r="DT386" i="4"/>
  <c r="DO386" i="4"/>
  <c r="EQ386" i="4"/>
  <c r="FQ386" i="4"/>
  <c r="DY386" i="4"/>
  <c r="HI368" i="4"/>
  <c r="HM368" i="4"/>
  <c r="HO368" i="4"/>
  <c r="HQ368" i="4"/>
  <c r="BF368" i="4"/>
  <c r="P368" i="4" s="1"/>
  <c r="BT368" i="4" s="1"/>
  <c r="C368" i="4"/>
  <c r="HO406" i="4"/>
  <c r="HI406" i="4"/>
  <c r="HM406" i="4"/>
  <c r="HQ406" i="4"/>
  <c r="BF398" i="4"/>
  <c r="C398" i="4"/>
  <c r="BF327" i="4"/>
  <c r="C327" i="4"/>
  <c r="HU386" i="4"/>
  <c r="BF403" i="4"/>
  <c r="C397" i="4"/>
  <c r="DF392" i="4"/>
  <c r="CI392" i="4"/>
  <c r="FS392" i="4"/>
  <c r="EV392" i="4"/>
  <c r="ET392" i="4"/>
  <c r="FQ392" i="4"/>
  <c r="CM392" i="4"/>
  <c r="EM392" i="4"/>
  <c r="CP392" i="4"/>
  <c r="GN392" i="4"/>
  <c r="EJ392" i="4"/>
  <c r="GC392" i="4"/>
  <c r="DK392" i="4"/>
  <c r="FL392" i="4"/>
  <c r="EA392" i="4"/>
  <c r="EQ392" i="4"/>
  <c r="EO404" i="4"/>
  <c r="FJ392" i="4"/>
  <c r="GJ392" i="4"/>
  <c r="FO392" i="4"/>
  <c r="FC392" i="4"/>
  <c r="EO392" i="4"/>
  <c r="ET404" i="4"/>
  <c r="GG392" i="4"/>
  <c r="DK404" i="4"/>
  <c r="GL392" i="4"/>
  <c r="CR392" i="4"/>
  <c r="EC392" i="4"/>
  <c r="FV392" i="4"/>
  <c r="FZ392" i="4"/>
  <c r="DH392" i="4"/>
  <c r="CK392" i="4"/>
  <c r="N392" i="4"/>
  <c r="BW392" i="4" s="1"/>
  <c r="DD392" i="4"/>
  <c r="AU386" i="4"/>
  <c r="CT392" i="4"/>
  <c r="DT392" i="4"/>
  <c r="DO392" i="4"/>
  <c r="N386" i="4"/>
  <c r="BW386" i="4" s="1"/>
  <c r="CA386" i="4"/>
  <c r="CG386" i="4"/>
  <c r="AO386" i="4"/>
  <c r="CC392" i="4"/>
  <c r="EH370" i="4"/>
  <c r="DY370" i="4"/>
  <c r="CA392" i="4"/>
  <c r="HI371" i="4"/>
  <c r="HM371" i="4"/>
  <c r="HO371" i="4"/>
  <c r="HO405" i="4"/>
  <c r="HQ405" i="4"/>
  <c r="HK405" i="4"/>
  <c r="HK399" i="4"/>
  <c r="HO399" i="4"/>
  <c r="HQ399" i="4"/>
  <c r="CG392" i="4"/>
  <c r="BF406" i="4"/>
  <c r="P406" i="4" s="1"/>
  <c r="BT406" i="4" s="1"/>
  <c r="C406" i="4"/>
  <c r="FX369" i="4"/>
  <c r="AU392" i="4"/>
  <c r="AO392" i="4"/>
  <c r="GE369" i="4"/>
  <c r="DT369" i="4"/>
  <c r="DD369" i="4"/>
  <c r="FJ369" i="4"/>
  <c r="DM369" i="4"/>
  <c r="FL369" i="4"/>
  <c r="GJ369" i="4"/>
  <c r="CT369" i="4"/>
  <c r="DY369" i="4"/>
  <c r="FV369" i="4"/>
  <c r="N369" i="4"/>
  <c r="DA369" i="4"/>
  <c r="DF369" i="4"/>
  <c r="CK369" i="4"/>
  <c r="CR369" i="4"/>
  <c r="DK369" i="4"/>
  <c r="DR369" i="4"/>
  <c r="EM369" i="4"/>
  <c r="EF369" i="4"/>
  <c r="FA369" i="4"/>
  <c r="EQ369" i="4"/>
  <c r="EJ369" i="4"/>
  <c r="ET369" i="4"/>
  <c r="CP369" i="4"/>
  <c r="FC369" i="4"/>
  <c r="EA369" i="4"/>
  <c r="FE369" i="4"/>
  <c r="DV369" i="4"/>
  <c r="FO369" i="4"/>
  <c r="DO369" i="4"/>
  <c r="FQ369" i="4"/>
  <c r="EV369" i="4"/>
  <c r="EC369" i="4"/>
  <c r="EO369" i="4"/>
  <c r="GC369" i="4"/>
  <c r="DH369" i="4"/>
  <c r="FH369" i="4"/>
  <c r="FZ369" i="4"/>
  <c r="GG369" i="4"/>
  <c r="EX369" i="4"/>
  <c r="EH369" i="4"/>
  <c r="GL369" i="4"/>
  <c r="CI369" i="4"/>
  <c r="FS369" i="4"/>
  <c r="GN369" i="4"/>
  <c r="FH404" i="4"/>
  <c r="CI404" i="4"/>
  <c r="EH404" i="4"/>
  <c r="FV404" i="4"/>
  <c r="DY404" i="4"/>
  <c r="EF404" i="4"/>
  <c r="EC404" i="4"/>
  <c r="EV404" i="4"/>
  <c r="FL404" i="4"/>
  <c r="GE404" i="4"/>
  <c r="GJ404" i="4"/>
  <c r="GL404" i="4"/>
  <c r="CR404" i="4"/>
  <c r="FJ404" i="4"/>
  <c r="FC404" i="4"/>
  <c r="EJ404" i="4"/>
  <c r="N404" i="4"/>
  <c r="BY404" i="4" s="1"/>
  <c r="GG404" i="4"/>
  <c r="GN404" i="4"/>
  <c r="CT404" i="4"/>
  <c r="DD404" i="4"/>
  <c r="CP404" i="4"/>
  <c r="FX404" i="4"/>
  <c r="DF404" i="4"/>
  <c r="DT404" i="4"/>
  <c r="FS404" i="4"/>
  <c r="EA404" i="4"/>
  <c r="DR404" i="4"/>
  <c r="DH404" i="4"/>
  <c r="FE404" i="4"/>
  <c r="CK404" i="4"/>
  <c r="EQ404" i="4"/>
  <c r="DO404" i="4"/>
  <c r="FQ404" i="4"/>
  <c r="FO404" i="4"/>
  <c r="EX404" i="4"/>
  <c r="DV404" i="4"/>
  <c r="GC404" i="4"/>
  <c r="DA404" i="4"/>
  <c r="FA404" i="4"/>
  <c r="FZ404" i="4"/>
  <c r="DM404" i="4"/>
  <c r="HU392" i="4"/>
  <c r="CM404" i="4"/>
  <c r="ET370" i="4"/>
  <c r="GE370" i="4"/>
  <c r="GJ370" i="4"/>
  <c r="EF370" i="4"/>
  <c r="GN370" i="4"/>
  <c r="EO370" i="4"/>
  <c r="GG370" i="4"/>
  <c r="FA370" i="4"/>
  <c r="FS370" i="4"/>
  <c r="DR370" i="4"/>
  <c r="CW370" i="4"/>
  <c r="CM370" i="4"/>
  <c r="DF370" i="4"/>
  <c r="DH370" i="4"/>
  <c r="BF405" i="4"/>
  <c r="C405" i="4"/>
  <c r="CT370" i="4"/>
  <c r="BF372" i="4"/>
  <c r="C359" i="4"/>
  <c r="BF371" i="4"/>
  <c r="C371" i="4"/>
  <c r="BF399" i="4"/>
  <c r="C399" i="4"/>
  <c r="CW359" i="4"/>
  <c r="GJ359" i="4"/>
  <c r="CT359" i="4"/>
  <c r="FZ359" i="4"/>
  <c r="EA359" i="4"/>
  <c r="HU369" i="4"/>
  <c r="HK369" i="4" s="1"/>
  <c r="AS385" i="4"/>
  <c r="HU385" i="4"/>
  <c r="CC404" i="4"/>
  <c r="HU404" i="4"/>
  <c r="AU369" i="4"/>
  <c r="AQ369" i="4"/>
  <c r="DV370" i="4"/>
  <c r="FH370" i="4"/>
  <c r="EM370" i="4"/>
  <c r="EC370" i="4"/>
  <c r="DD370" i="4"/>
  <c r="FZ370" i="4"/>
  <c r="GC370" i="4"/>
  <c r="DM370" i="4"/>
  <c r="N370" i="4"/>
  <c r="BY370" i="4" s="1"/>
  <c r="EX370" i="4"/>
  <c r="DO370" i="4"/>
  <c r="FJ370" i="4"/>
  <c r="FL370" i="4"/>
  <c r="FE370" i="4"/>
  <c r="EQ370" i="4"/>
  <c r="FV370" i="4"/>
  <c r="FX370" i="4"/>
  <c r="FQ370" i="4"/>
  <c r="CK370" i="4"/>
  <c r="DK370" i="4"/>
  <c r="EJ370" i="4"/>
  <c r="DA370" i="4"/>
  <c r="CR370" i="4"/>
  <c r="CI370" i="4"/>
  <c r="EV370" i="4"/>
  <c r="EA370" i="4"/>
  <c r="CP370" i="4"/>
  <c r="GL370" i="4"/>
  <c r="FC370" i="4"/>
  <c r="DT370" i="4"/>
  <c r="FO370" i="4"/>
  <c r="AO369" i="4"/>
  <c r="FV385" i="4"/>
  <c r="FA385" i="4"/>
  <c r="AY359" i="4"/>
  <c r="CR359" i="4"/>
  <c r="GE359" i="4"/>
  <c r="DR359" i="4"/>
  <c r="CE359" i="4"/>
  <c r="AO359" i="4"/>
  <c r="DV359" i="4"/>
  <c r="EJ359" i="4"/>
  <c r="FQ359" i="4"/>
  <c r="EC359" i="4"/>
  <c r="FC359" i="4"/>
  <c r="FX359" i="4"/>
  <c r="EH359" i="4"/>
  <c r="DH359" i="4"/>
  <c r="GN359" i="4"/>
  <c r="GG359" i="4"/>
  <c r="EQ359" i="4"/>
  <c r="ET359" i="4"/>
  <c r="EX359" i="4"/>
  <c r="CP359" i="4"/>
  <c r="EO359" i="4"/>
  <c r="FH359" i="4"/>
  <c r="CM359" i="4"/>
  <c r="CY359" i="4"/>
  <c r="FL359" i="4"/>
  <c r="FA359" i="4"/>
  <c r="CA369" i="4"/>
  <c r="CG369" i="4"/>
  <c r="DK359" i="4"/>
  <c r="EM359" i="4"/>
  <c r="GC359" i="4"/>
  <c r="CI359" i="4"/>
  <c r="FE359" i="4"/>
  <c r="HA369" i="4"/>
  <c r="HG369" i="4" s="1"/>
  <c r="GL359" i="4"/>
  <c r="FV359" i="4"/>
  <c r="DM359" i="4"/>
  <c r="FO359" i="4"/>
  <c r="DO359" i="4"/>
  <c r="FS359" i="4"/>
  <c r="DY359" i="4"/>
  <c r="EV359" i="4"/>
  <c r="BW369" i="4"/>
  <c r="AQ359" i="4"/>
  <c r="EF359" i="4"/>
  <c r="FJ359" i="4"/>
  <c r="CK359" i="4"/>
  <c r="AS359" i="4"/>
  <c r="DF359" i="4"/>
  <c r="DT359" i="4"/>
  <c r="BY359" i="4"/>
  <c r="AY385" i="4"/>
  <c r="AW385" i="4"/>
  <c r="CE385" i="4"/>
  <c r="BW385" i="4"/>
  <c r="EC385" i="4"/>
  <c r="HU370" i="4"/>
  <c r="HK370" i="4" s="1"/>
  <c r="BW370" i="4"/>
  <c r="CA370" i="4"/>
  <c r="CC370" i="4"/>
  <c r="CG370" i="4"/>
  <c r="AO404" i="4"/>
  <c r="CC385" i="4"/>
  <c r="AU370" i="4"/>
  <c r="AQ404" i="4"/>
  <c r="C366" i="4"/>
  <c r="HI366" i="4"/>
  <c r="HK366" i="4"/>
  <c r="HM366" i="4"/>
  <c r="HO366" i="4"/>
  <c r="AU404" i="4"/>
  <c r="AO370" i="4"/>
  <c r="C402" i="4"/>
  <c r="HI402" i="4"/>
  <c r="HK402" i="4"/>
  <c r="HO402" i="4"/>
  <c r="HS402" i="4"/>
  <c r="AQ385" i="4"/>
  <c r="BY385" i="4"/>
  <c r="DY330" i="4"/>
  <c r="GJ330" i="4"/>
  <c r="C332" i="4"/>
  <c r="HM332" i="4"/>
  <c r="HI332" i="4"/>
  <c r="HK332" i="4"/>
  <c r="HO332" i="4"/>
  <c r="CG404" i="4"/>
  <c r="CW404" i="4"/>
  <c r="BW404" i="4"/>
  <c r="BF402" i="4"/>
  <c r="BF366" i="4"/>
  <c r="P366" i="4" s="1"/>
  <c r="BS366" i="4" s="1"/>
  <c r="BF332" i="4"/>
  <c r="P422" i="4" l="1"/>
  <c r="HQ422" i="4" s="1"/>
  <c r="N422" i="4"/>
  <c r="GE422" i="4"/>
  <c r="EA422" i="4"/>
  <c r="FH422" i="4"/>
  <c r="CP422" i="4"/>
  <c r="CG422" i="4"/>
  <c r="FL422" i="4"/>
  <c r="CY422" i="4"/>
  <c r="DH422" i="4"/>
  <c r="DT422" i="4"/>
  <c r="CI422" i="4"/>
  <c r="EX422" i="4"/>
  <c r="ET422" i="4"/>
  <c r="AS422" i="4"/>
  <c r="AQ415" i="4"/>
  <c r="N415" i="4"/>
  <c r="P415" i="4"/>
  <c r="HM415" i="4" s="1"/>
  <c r="EJ422" i="4"/>
  <c r="CA422" i="4"/>
  <c r="AY422" i="4"/>
  <c r="CE422" i="4"/>
  <c r="DR422" i="4"/>
  <c r="CC422" i="4"/>
  <c r="FE422" i="4"/>
  <c r="CK422" i="4"/>
  <c r="EM422" i="4"/>
  <c r="HC422" i="4"/>
  <c r="HD422" i="4" s="1"/>
  <c r="DM422" i="4"/>
  <c r="CT422" i="4"/>
  <c r="FC422" i="4"/>
  <c r="EF422" i="4"/>
  <c r="GL330" i="4"/>
  <c r="FA422" i="4"/>
  <c r="DK422" i="4"/>
  <c r="DO422" i="4"/>
  <c r="DV422" i="4"/>
  <c r="DY422" i="4"/>
  <c r="CR422" i="4"/>
  <c r="DF422" i="4"/>
  <c r="EC422" i="4"/>
  <c r="DD422" i="4"/>
  <c r="AW422" i="4"/>
  <c r="FJ422" i="4"/>
  <c r="GN422" i="4"/>
  <c r="GG422" i="4"/>
  <c r="CM422" i="4"/>
  <c r="AO422" i="4"/>
  <c r="AQ422" i="4"/>
  <c r="EQ422" i="4"/>
  <c r="GU422" i="4"/>
  <c r="GV422" i="4" s="1"/>
  <c r="FS422" i="4"/>
  <c r="EV422" i="4"/>
  <c r="FX422" i="4"/>
  <c r="P359" i="4"/>
  <c r="BT359" i="4" s="1"/>
  <c r="GJ422" i="4"/>
  <c r="EH422" i="4"/>
  <c r="BW422" i="4"/>
  <c r="HE422" i="4"/>
  <c r="HF422" i="4" s="1"/>
  <c r="FO422" i="4"/>
  <c r="FQ422" i="4"/>
  <c r="FV422" i="4"/>
  <c r="HG422" i="4"/>
  <c r="HH422" i="4" s="1"/>
  <c r="BY422" i="4"/>
  <c r="GC422" i="4"/>
  <c r="CW422" i="4"/>
  <c r="FZ422" i="4"/>
  <c r="EO422" i="4"/>
  <c r="GY422" i="4"/>
  <c r="GZ422" i="4" s="1"/>
  <c r="GL422" i="4"/>
  <c r="HO392" i="4"/>
  <c r="CW392" i="4"/>
  <c r="AU411" i="4"/>
  <c r="P411" i="4"/>
  <c r="HO411" i="4" s="1"/>
  <c r="N411" i="4"/>
  <c r="AY409" i="4"/>
  <c r="P409" i="4"/>
  <c r="CC409" i="4" s="1"/>
  <c r="N409" i="4"/>
  <c r="HE330" i="4"/>
  <c r="HF330" i="4" s="1"/>
  <c r="HC410" i="4"/>
  <c r="HD410" i="4" s="1"/>
  <c r="AS410" i="4"/>
  <c r="EA410" i="4"/>
  <c r="BW410" i="4"/>
  <c r="GW410" i="4"/>
  <c r="GX410" i="4" s="1"/>
  <c r="EF410" i="4"/>
  <c r="EQ410" i="4"/>
  <c r="HG410" i="4"/>
  <c r="HH410" i="4" s="1"/>
  <c r="FH410" i="4"/>
  <c r="EJ410" i="4"/>
  <c r="DR410" i="4"/>
  <c r="EV410" i="4"/>
  <c r="EH410" i="4"/>
  <c r="FL410" i="4"/>
  <c r="CY410" i="4"/>
  <c r="AW410" i="4"/>
  <c r="DO410" i="4"/>
  <c r="DF410" i="4"/>
  <c r="FZ410" i="4"/>
  <c r="CW410" i="4"/>
  <c r="GG410" i="4"/>
  <c r="EO410" i="4"/>
  <c r="FX410" i="4"/>
  <c r="DK410" i="4"/>
  <c r="GJ410" i="4"/>
  <c r="DV410" i="4"/>
  <c r="CK410" i="4"/>
  <c r="AQ410" i="4"/>
  <c r="EC410" i="4"/>
  <c r="DY410" i="4"/>
  <c r="GC410" i="4"/>
  <c r="GN410" i="4"/>
  <c r="FE410" i="4"/>
  <c r="GY410" i="4"/>
  <c r="GZ410" i="4" s="1"/>
  <c r="DA410" i="4"/>
  <c r="CM410" i="4"/>
  <c r="GU410" i="4"/>
  <c r="GV410" i="4" s="1"/>
  <c r="FO410" i="4"/>
  <c r="FJ410" i="4"/>
  <c r="GE410" i="4"/>
  <c r="FQ410" i="4"/>
  <c r="DD410" i="4"/>
  <c r="FC410" i="4"/>
  <c r="CI410" i="4"/>
  <c r="DH410" i="4"/>
  <c r="AY410" i="4"/>
  <c r="DM410" i="4"/>
  <c r="FS410" i="4"/>
  <c r="EM410" i="4"/>
  <c r="CP410" i="4"/>
  <c r="CC410" i="4"/>
  <c r="FA410" i="4"/>
  <c r="FV410" i="4"/>
  <c r="EX410" i="4"/>
  <c r="DT410" i="4"/>
  <c r="ET410" i="4"/>
  <c r="GL410" i="4"/>
  <c r="HK404" i="4"/>
  <c r="HU405" i="4"/>
  <c r="P405" i="4"/>
  <c r="BT405" i="4" s="1"/>
  <c r="CA404" i="4"/>
  <c r="P403" i="4"/>
  <c r="N403" i="4"/>
  <c r="BW403" i="4" s="1"/>
  <c r="AY402" i="4"/>
  <c r="P402" i="4"/>
  <c r="BS402" i="4" s="1"/>
  <c r="HU399" i="4"/>
  <c r="P399" i="4"/>
  <c r="BT399" i="4" s="1"/>
  <c r="HU398" i="4"/>
  <c r="P398" i="4"/>
  <c r="BS398" i="4" s="1"/>
  <c r="AQ392" i="4"/>
  <c r="HM386" i="4"/>
  <c r="AO385" i="4"/>
  <c r="HU372" i="4"/>
  <c r="AO372" i="4" s="1"/>
  <c r="P372" i="4"/>
  <c r="N372" i="4"/>
  <c r="BV369" i="4"/>
  <c r="BU369" i="4"/>
  <c r="HU371" i="4"/>
  <c r="P371" i="4"/>
  <c r="BV371" i="4" s="1"/>
  <c r="HM370" i="4"/>
  <c r="FV415" i="4"/>
  <c r="DF415" i="4"/>
  <c r="AO415" i="4"/>
  <c r="CA415" i="4"/>
  <c r="DO415" i="4"/>
  <c r="CT415" i="4"/>
  <c r="EO415" i="4"/>
  <c r="FO415" i="4"/>
  <c r="ET415" i="4"/>
  <c r="DK415" i="4"/>
  <c r="GJ415" i="4"/>
  <c r="HC415" i="4"/>
  <c r="HD415" i="4" s="1"/>
  <c r="EQ415" i="4"/>
  <c r="CE415" i="4"/>
  <c r="CG415" i="4"/>
  <c r="FH415" i="4"/>
  <c r="BW415" i="4"/>
  <c r="CC415" i="4"/>
  <c r="CR415" i="4"/>
  <c r="GL415" i="4"/>
  <c r="FO330" i="4"/>
  <c r="EQ330" i="4"/>
  <c r="FH330" i="4"/>
  <c r="FC415" i="4"/>
  <c r="EH415" i="4"/>
  <c r="HG415" i="4"/>
  <c r="HH415" i="4" s="1"/>
  <c r="N330" i="4"/>
  <c r="BY330" i="4" s="1"/>
  <c r="GW415" i="4"/>
  <c r="GX415" i="4" s="1"/>
  <c r="FZ415" i="4"/>
  <c r="CI330" i="4"/>
  <c r="EC330" i="4"/>
  <c r="EX415" i="4"/>
  <c r="DV415" i="4"/>
  <c r="GC415" i="4"/>
  <c r="DH330" i="4"/>
  <c r="FL415" i="4"/>
  <c r="AY415" i="4"/>
  <c r="FE415" i="4"/>
  <c r="CP330" i="4"/>
  <c r="EM330" i="4"/>
  <c r="FA415" i="4"/>
  <c r="AU415" i="4"/>
  <c r="CY415" i="4"/>
  <c r="CG330" i="4"/>
  <c r="GC330" i="4"/>
  <c r="EF330" i="4"/>
  <c r="FZ330" i="4"/>
  <c r="GN330" i="4"/>
  <c r="CA330" i="4"/>
  <c r="FJ330" i="4"/>
  <c r="CT330" i="4"/>
  <c r="DM330" i="4"/>
  <c r="FS330" i="4"/>
  <c r="EJ330" i="4"/>
  <c r="GW330" i="4"/>
  <c r="GX330" i="4" s="1"/>
  <c r="GY330" i="4"/>
  <c r="GZ330" i="4" s="1"/>
  <c r="GU330" i="4"/>
  <c r="GV330" i="4" s="1"/>
  <c r="AO330" i="4"/>
  <c r="HU330" i="4"/>
  <c r="FA330" i="4"/>
  <c r="CW330" i="4"/>
  <c r="EO330" i="4"/>
  <c r="DA330" i="4"/>
  <c r="AU330" i="4"/>
  <c r="DD330" i="4"/>
  <c r="EX330" i="4"/>
  <c r="EA330" i="4"/>
  <c r="GG330" i="4"/>
  <c r="AQ330" i="4"/>
  <c r="FC330" i="4"/>
  <c r="FQ330" i="4"/>
  <c r="CY330" i="4"/>
  <c r="ET330" i="4"/>
  <c r="EV330" i="4"/>
  <c r="FL330" i="4"/>
  <c r="FE330" i="4"/>
  <c r="CI415" i="4"/>
  <c r="EC415" i="4"/>
  <c r="CM415" i="4"/>
  <c r="EV415" i="4"/>
  <c r="FV330" i="4"/>
  <c r="EH330" i="4"/>
  <c r="DR330" i="4"/>
  <c r="CR330" i="4"/>
  <c r="FJ415" i="4"/>
  <c r="DT415" i="4"/>
  <c r="GG415" i="4"/>
  <c r="EF415" i="4"/>
  <c r="CM330" i="4"/>
  <c r="DF330" i="4"/>
  <c r="DO330" i="4"/>
  <c r="BW330" i="4"/>
  <c r="FX330" i="4"/>
  <c r="GE330" i="4"/>
  <c r="DK330" i="4"/>
  <c r="DV330" i="4"/>
  <c r="DD415" i="4"/>
  <c r="GN415" i="4"/>
  <c r="CK415" i="4"/>
  <c r="GY415" i="4"/>
  <c r="GZ415" i="4" s="1"/>
  <c r="GC411" i="4"/>
  <c r="GJ411" i="4"/>
  <c r="GW411" i="4"/>
  <c r="GX411" i="4" s="1"/>
  <c r="FE411" i="4"/>
  <c r="FX411" i="4"/>
  <c r="DO411" i="4"/>
  <c r="CT411" i="4"/>
  <c r="ET411" i="4"/>
  <c r="GN411" i="4"/>
  <c r="BW411" i="4"/>
  <c r="CW411" i="4"/>
  <c r="GL411" i="4"/>
  <c r="FV411" i="4"/>
  <c r="FL411" i="4"/>
  <c r="AY411" i="4"/>
  <c r="EA411" i="4"/>
  <c r="FA411" i="4"/>
  <c r="DK411" i="4"/>
  <c r="HG411" i="4"/>
  <c r="HH411" i="4" s="1"/>
  <c r="FH411" i="4"/>
  <c r="DH411" i="4"/>
  <c r="CY411" i="4"/>
  <c r="GE411" i="4"/>
  <c r="DD411" i="4"/>
  <c r="EH411" i="4"/>
  <c r="DT411" i="4"/>
  <c r="FS411" i="4"/>
  <c r="FC411" i="4"/>
  <c r="CA411" i="4"/>
  <c r="EJ415" i="4"/>
  <c r="CK411" i="4"/>
  <c r="AS411" i="4"/>
  <c r="EC411" i="4"/>
  <c r="CI411" i="4"/>
  <c r="FO411" i="4"/>
  <c r="DH415" i="4"/>
  <c r="GY411" i="4"/>
  <c r="GZ411" i="4" s="1"/>
  <c r="EJ411" i="4"/>
  <c r="EO411" i="4"/>
  <c r="DF411" i="4"/>
  <c r="FZ411" i="4"/>
  <c r="GU411" i="4"/>
  <c r="GV411" i="4" s="1"/>
  <c r="AO411" i="4"/>
  <c r="DR411" i="4"/>
  <c r="DY411" i="4"/>
  <c r="CM411" i="4"/>
  <c r="DA411" i="4"/>
  <c r="FJ411" i="4"/>
  <c r="DM411" i="4"/>
  <c r="EV411" i="4"/>
  <c r="DM415" i="4"/>
  <c r="FX415" i="4"/>
  <c r="BY415" i="4"/>
  <c r="HE415" i="4"/>
  <c r="HF415" i="4" s="1"/>
  <c r="FQ415" i="4"/>
  <c r="CC411" i="4"/>
  <c r="CG411" i="4"/>
  <c r="AQ411" i="4"/>
  <c r="GG411" i="4"/>
  <c r="HE411" i="4"/>
  <c r="HF411" i="4" s="1"/>
  <c r="CP411" i="4"/>
  <c r="GE415" i="4"/>
  <c r="DY415" i="4"/>
  <c r="DR415" i="4"/>
  <c r="FS415" i="4"/>
  <c r="EA415" i="4"/>
  <c r="EQ411" i="4"/>
  <c r="DV411" i="4"/>
  <c r="EF411" i="4"/>
  <c r="EM411" i="4"/>
  <c r="FQ411" i="4"/>
  <c r="EX411" i="4"/>
  <c r="CP415" i="4"/>
  <c r="DA415" i="4"/>
  <c r="AS415" i="4"/>
  <c r="EM415" i="4"/>
  <c r="CW415" i="4"/>
  <c r="P330" i="4"/>
  <c r="BV330" i="4" s="1"/>
  <c r="HM330" i="4"/>
  <c r="HU332" i="4"/>
  <c r="P332" i="4"/>
  <c r="BT332" i="4" s="1"/>
  <c r="HU327" i="4"/>
  <c r="AO327" i="4" s="1"/>
  <c r="P327" i="4"/>
  <c r="HA327" i="4" s="1"/>
  <c r="HE327" i="4" s="1"/>
  <c r="AL5" i="9"/>
  <c r="AL17" i="9"/>
  <c r="AL29" i="9"/>
  <c r="AL41" i="9"/>
  <c r="AL53" i="9"/>
  <c r="AL65" i="9"/>
  <c r="AL77" i="9"/>
  <c r="AL6" i="9"/>
  <c r="AL18" i="9"/>
  <c r="AL30" i="9"/>
  <c r="AL42" i="9"/>
  <c r="AL54" i="9"/>
  <c r="AL66" i="9"/>
  <c r="AL78" i="9"/>
  <c r="AL7" i="9"/>
  <c r="AL19" i="9"/>
  <c r="AL31" i="9"/>
  <c r="AL43" i="9"/>
  <c r="AL55" i="9"/>
  <c r="AL67" i="9"/>
  <c r="AL79" i="9"/>
  <c r="AL8" i="9"/>
  <c r="AL20" i="9"/>
  <c r="AL32" i="9"/>
  <c r="AL44" i="9"/>
  <c r="AL56" i="9"/>
  <c r="AL68" i="9"/>
  <c r="AL80" i="9"/>
  <c r="AL9" i="9"/>
  <c r="AL21" i="9"/>
  <c r="AL33" i="9"/>
  <c r="AL45" i="9"/>
  <c r="AL57" i="9"/>
  <c r="AL69" i="9"/>
  <c r="AL81" i="9"/>
  <c r="AL11" i="9"/>
  <c r="AL23" i="9"/>
  <c r="AL35" i="9"/>
  <c r="AL47" i="9"/>
  <c r="AL59" i="9"/>
  <c r="AL71" i="9"/>
  <c r="AL83" i="9"/>
  <c r="AL12" i="9"/>
  <c r="AL24" i="9"/>
  <c r="AL36" i="9"/>
  <c r="AL48" i="9"/>
  <c r="AL60" i="9"/>
  <c r="AL72" i="9"/>
  <c r="AL84" i="9"/>
  <c r="AL13" i="9"/>
  <c r="AL25" i="9"/>
  <c r="AL37" i="9"/>
  <c r="AL49" i="9"/>
  <c r="AL61" i="9"/>
  <c r="AL73" i="9"/>
  <c r="AL85" i="9"/>
  <c r="AL14" i="9"/>
  <c r="AL26" i="9"/>
  <c r="AL38" i="9"/>
  <c r="AL50" i="9"/>
  <c r="AL62" i="9"/>
  <c r="AL74" i="9"/>
  <c r="AL86" i="9"/>
  <c r="AL15" i="9"/>
  <c r="AL27" i="9"/>
  <c r="AL39" i="9"/>
  <c r="AL51" i="9"/>
  <c r="AL63" i="9"/>
  <c r="AL75" i="9"/>
  <c r="AL4" i="9"/>
  <c r="AL16" i="9"/>
  <c r="AL28" i="9"/>
  <c r="AL40" i="9"/>
  <c r="AL52" i="9"/>
  <c r="AL64" i="9"/>
  <c r="AL76" i="9"/>
  <c r="AL10" i="9"/>
  <c r="AL22" i="9"/>
  <c r="AL34" i="9"/>
  <c r="AL46" i="9"/>
  <c r="AL58" i="9"/>
  <c r="AL70" i="9"/>
  <c r="AL82" i="9"/>
  <c r="CC386" i="4"/>
  <c r="CW369" i="4"/>
  <c r="HS398" i="4"/>
  <c r="AS404" i="4"/>
  <c r="HM404" i="4"/>
  <c r="HS372" i="4"/>
  <c r="HU403" i="4"/>
  <c r="HC369" i="4"/>
  <c r="HD369" i="4" s="1"/>
  <c r="AQ386" i="4"/>
  <c r="HQ398" i="4"/>
  <c r="AS369" i="4"/>
  <c r="HM369" i="4"/>
  <c r="CC369" i="4"/>
  <c r="AQ370" i="4"/>
  <c r="AS372" i="4"/>
  <c r="N359" i="4"/>
  <c r="N398" i="4"/>
  <c r="BY409" i="4"/>
  <c r="AQ409" i="4"/>
  <c r="CG412" i="4"/>
  <c r="GW412" i="4"/>
  <c r="GX412" i="4" s="1"/>
  <c r="AU412" i="4"/>
  <c r="CA412" i="4"/>
  <c r="CA409" i="4"/>
  <c r="AS409" i="4"/>
  <c r="EC409" i="4"/>
  <c r="EJ412" i="4"/>
  <c r="DY412" i="4"/>
  <c r="CY412" i="4"/>
  <c r="EH412" i="4"/>
  <c r="CW412" i="4"/>
  <c r="FO412" i="4"/>
  <c r="DM412" i="4"/>
  <c r="CM412" i="4"/>
  <c r="DV412" i="4"/>
  <c r="CK412" i="4"/>
  <c r="GE412" i="4"/>
  <c r="FE412" i="4"/>
  <c r="CI412" i="4"/>
  <c r="FS412" i="4"/>
  <c r="GC412" i="4"/>
  <c r="GN412" i="4"/>
  <c r="EQ412" i="4"/>
  <c r="EF412" i="4"/>
  <c r="FC412" i="4"/>
  <c r="DT412" i="4"/>
  <c r="FQ412" i="4"/>
  <c r="DR412" i="4"/>
  <c r="AO412" i="4"/>
  <c r="GL412" i="4"/>
  <c r="DF412" i="4"/>
  <c r="EO412" i="4"/>
  <c r="FA412" i="4"/>
  <c r="FZ412" i="4"/>
  <c r="CT412" i="4"/>
  <c r="EC412" i="4"/>
  <c r="DD412" i="4"/>
  <c r="EM412" i="4"/>
  <c r="DH412" i="4"/>
  <c r="HG412" i="4"/>
  <c r="HH412" i="4" s="1"/>
  <c r="EA412" i="4"/>
  <c r="ET412" i="4"/>
  <c r="HC412" i="4"/>
  <c r="HD412" i="4" s="1"/>
  <c r="FJ412" i="4"/>
  <c r="GJ412" i="4"/>
  <c r="FV412" i="4"/>
  <c r="DO412" i="4"/>
  <c r="FL412" i="4"/>
  <c r="FH412" i="4"/>
  <c r="HE412" i="4"/>
  <c r="HF412" i="4" s="1"/>
  <c r="DA412" i="4"/>
  <c r="FX412" i="4"/>
  <c r="EV412" i="4"/>
  <c r="GG412" i="4"/>
  <c r="EX412" i="4"/>
  <c r="DK412" i="4"/>
  <c r="FQ409" i="4"/>
  <c r="FL409" i="4"/>
  <c r="CY409" i="4"/>
  <c r="CI409" i="4"/>
  <c r="DD409" i="4"/>
  <c r="DM409" i="4"/>
  <c r="CT409" i="4"/>
  <c r="GN409" i="4"/>
  <c r="CM409" i="4"/>
  <c r="FV409" i="4"/>
  <c r="GG409" i="4"/>
  <c r="GC409" i="4"/>
  <c r="FJ409" i="4"/>
  <c r="EM409" i="4"/>
  <c r="EV409" i="4"/>
  <c r="ET409" i="4"/>
  <c r="GL409" i="4"/>
  <c r="EA409" i="4"/>
  <c r="GJ409" i="4"/>
  <c r="CW409" i="4"/>
  <c r="DH409" i="4"/>
  <c r="FE409" i="4"/>
  <c r="DT409" i="4"/>
  <c r="DA409" i="4"/>
  <c r="GY409" i="4"/>
  <c r="GZ409" i="4" s="1"/>
  <c r="FS409" i="4"/>
  <c r="EO409" i="4"/>
  <c r="EJ409" i="4"/>
  <c r="FZ409" i="4"/>
  <c r="EF409" i="4"/>
  <c r="CP409" i="4"/>
  <c r="DK409" i="4"/>
  <c r="DR409" i="4"/>
  <c r="HG409" i="4"/>
  <c r="HH409" i="4" s="1"/>
  <c r="CR409" i="4"/>
  <c r="FA409" i="4"/>
  <c r="CK409" i="4"/>
  <c r="FH409" i="4"/>
  <c r="DF409" i="4"/>
  <c r="AO409" i="4"/>
  <c r="GW409" i="4"/>
  <c r="GX409" i="4" s="1"/>
  <c r="GE409" i="4"/>
  <c r="DO409" i="4"/>
  <c r="FX409" i="4"/>
  <c r="EH409" i="4"/>
  <c r="FO409" i="4"/>
  <c r="HE409" i="4"/>
  <c r="HF409" i="4" s="1"/>
  <c r="GU409" i="4"/>
  <c r="GV409" i="4" s="1"/>
  <c r="EX409" i="4"/>
  <c r="DV409" i="4"/>
  <c r="FC409" i="4"/>
  <c r="EQ409" i="4"/>
  <c r="CG409" i="4"/>
  <c r="CE409" i="4"/>
  <c r="AU409" i="4"/>
  <c r="AW327" i="4"/>
  <c r="N327" i="4"/>
  <c r="HC366" i="4"/>
  <c r="HD366" i="4" s="1"/>
  <c r="HC332" i="4"/>
  <c r="HD332" i="4" s="1"/>
  <c r="HG366" i="4"/>
  <c r="HH366" i="4" s="1"/>
  <c r="HC327" i="4"/>
  <c r="HD327" i="4" s="1"/>
  <c r="HC403" i="4"/>
  <c r="HD403" i="4" s="1"/>
  <c r="HG332" i="4"/>
  <c r="HH332" i="4" s="1"/>
  <c r="HG403" i="4"/>
  <c r="HH403" i="4" s="1"/>
  <c r="HG327" i="4"/>
  <c r="HH327" i="4" s="1"/>
  <c r="HE403" i="4"/>
  <c r="HC372" i="4"/>
  <c r="HD372" i="4" s="1"/>
  <c r="HG372" i="4"/>
  <c r="HH372" i="4" s="1"/>
  <c r="HG402" i="4"/>
  <c r="HH402" i="4" s="1"/>
  <c r="HC371" i="4"/>
  <c r="HD371" i="4" s="1"/>
  <c r="HG398" i="4"/>
  <c r="HH398" i="4" s="1"/>
  <c r="HC406" i="4"/>
  <c r="HD406" i="4" s="1"/>
  <c r="HC398" i="4"/>
  <c r="HD398" i="4" s="1"/>
  <c r="GY368" i="4"/>
  <c r="GZ368" i="4" s="1"/>
  <c r="GY398" i="4"/>
  <c r="GZ398" i="4" s="1"/>
  <c r="GY405" i="4"/>
  <c r="GZ405" i="4" s="1"/>
  <c r="GY332" i="4"/>
  <c r="GZ332" i="4" s="1"/>
  <c r="GY371" i="4"/>
  <c r="GZ371" i="4" s="1"/>
  <c r="GY403" i="4"/>
  <c r="GZ403" i="4" s="1"/>
  <c r="GY399" i="4"/>
  <c r="GZ399" i="4" s="1"/>
  <c r="GY327" i="4"/>
  <c r="GZ327" i="4" s="1"/>
  <c r="GY406" i="4"/>
  <c r="GZ406" i="4" s="1"/>
  <c r="GY402" i="4"/>
  <c r="GZ402" i="4" s="1"/>
  <c r="GY366" i="4"/>
  <c r="GZ366" i="4" s="1"/>
  <c r="GY372" i="4"/>
  <c r="GZ372" i="4" s="1"/>
  <c r="GW403" i="4"/>
  <c r="GX403" i="4" s="1"/>
  <c r="GU332" i="4"/>
  <c r="GV332" i="4" s="1"/>
  <c r="GU399" i="4"/>
  <c r="GV399" i="4" s="1"/>
  <c r="GU368" i="4"/>
  <c r="GV368" i="4" s="1"/>
  <c r="GW399" i="4"/>
  <c r="GX399" i="4" s="1"/>
  <c r="GW368" i="4"/>
  <c r="GX368" i="4" s="1"/>
  <c r="GW402" i="4"/>
  <c r="GX402" i="4" s="1"/>
  <c r="GU366" i="4"/>
  <c r="GV366" i="4" s="1"/>
  <c r="GU405" i="4"/>
  <c r="GV405" i="4" s="1"/>
  <c r="GU402" i="4"/>
  <c r="GV402" i="4" s="1"/>
  <c r="GW366" i="4"/>
  <c r="GX366" i="4" s="1"/>
  <c r="GW327" i="4"/>
  <c r="GX327" i="4" s="1"/>
  <c r="GW405" i="4"/>
  <c r="GX405" i="4" s="1"/>
  <c r="GU406" i="4"/>
  <c r="GV406" i="4" s="1"/>
  <c r="GU327" i="4"/>
  <c r="GV327" i="4" s="1"/>
  <c r="GW406" i="4"/>
  <c r="GX406" i="4" s="1"/>
  <c r="GU398" i="4"/>
  <c r="GV398" i="4" s="1"/>
  <c r="GU372" i="4"/>
  <c r="GV372" i="4" s="1"/>
  <c r="GW398" i="4"/>
  <c r="GX398" i="4" s="1"/>
  <c r="GU371" i="4"/>
  <c r="GV371" i="4" s="1"/>
  <c r="GW371" i="4"/>
  <c r="GX371" i="4" s="1"/>
  <c r="GW332" i="4"/>
  <c r="GX332" i="4" s="1"/>
  <c r="DA385" i="4"/>
  <c r="HA385" i="4"/>
  <c r="HE385" i="4" s="1"/>
  <c r="CE386" i="4"/>
  <c r="HA386" i="4"/>
  <c r="CY404" i="4"/>
  <c r="HA404" i="4"/>
  <c r="HE404" i="4" s="1"/>
  <c r="HF404" i="4" s="1"/>
  <c r="CE370" i="4"/>
  <c r="HA370" i="4"/>
  <c r="CC359" i="4"/>
  <c r="HA359" i="4"/>
  <c r="HC359" i="4" s="1"/>
  <c r="CC330" i="4"/>
  <c r="CE392" i="4"/>
  <c r="HA392" i="4"/>
  <c r="AY398" i="4"/>
  <c r="CY386" i="4"/>
  <c r="AQ398" i="4"/>
  <c r="AS398" i="4"/>
  <c r="CC368" i="4"/>
  <c r="AW368" i="4"/>
  <c r="HU368" i="4"/>
  <c r="HS368" i="4" s="1"/>
  <c r="N368" i="4"/>
  <c r="CA368" i="4" s="1"/>
  <c r="HA368" i="4"/>
  <c r="HG368" i="4" s="1"/>
  <c r="AW398" i="4"/>
  <c r="AY327" i="4"/>
  <c r="AS327" i="4"/>
  <c r="BW368" i="4"/>
  <c r="AQ327" i="4"/>
  <c r="CG368" i="4"/>
  <c r="AQ368" i="4"/>
  <c r="CK368" i="4"/>
  <c r="FO368" i="4"/>
  <c r="EM368" i="4"/>
  <c r="CP368" i="4"/>
  <c r="DH368" i="4"/>
  <c r="EH368" i="4"/>
  <c r="EO368" i="4"/>
  <c r="GG368" i="4"/>
  <c r="CM368" i="4"/>
  <c r="FC368" i="4"/>
  <c r="EA368" i="4"/>
  <c r="GL368" i="4"/>
  <c r="DO368" i="4"/>
  <c r="GE368" i="4"/>
  <c r="DK368" i="4"/>
  <c r="EJ368" i="4"/>
  <c r="EQ368" i="4"/>
  <c r="ET368" i="4"/>
  <c r="DV368" i="4"/>
  <c r="CI368" i="4"/>
  <c r="FZ368" i="4"/>
  <c r="GJ368" i="4"/>
  <c r="DT368" i="4"/>
  <c r="FV368" i="4"/>
  <c r="FH368" i="4"/>
  <c r="EC368" i="4"/>
  <c r="DR368" i="4"/>
  <c r="FX368" i="4"/>
  <c r="CR368" i="4"/>
  <c r="GC368" i="4"/>
  <c r="EX368" i="4"/>
  <c r="CY368" i="4"/>
  <c r="DM368" i="4"/>
  <c r="GN368" i="4"/>
  <c r="DF368" i="4"/>
  <c r="FL368" i="4"/>
  <c r="FA368" i="4"/>
  <c r="FJ368" i="4"/>
  <c r="FS368" i="4"/>
  <c r="EF368" i="4"/>
  <c r="CT368" i="4"/>
  <c r="DD368" i="4"/>
  <c r="DY368" i="4"/>
  <c r="FE368" i="4"/>
  <c r="CW368" i="4"/>
  <c r="FQ368" i="4"/>
  <c r="DA368" i="4"/>
  <c r="DH403" i="4"/>
  <c r="FE403" i="4"/>
  <c r="FV403" i="4"/>
  <c r="FH403" i="4"/>
  <c r="CR403" i="4"/>
  <c r="CW403" i="4"/>
  <c r="EM403" i="4"/>
  <c r="FJ403" i="4"/>
  <c r="EV403" i="4"/>
  <c r="EH403" i="4"/>
  <c r="FS403" i="4"/>
  <c r="CK403" i="4"/>
  <c r="EA403" i="4"/>
  <c r="EX403" i="4"/>
  <c r="EC403" i="4"/>
  <c r="DT403" i="4"/>
  <c r="EF403" i="4"/>
  <c r="FC403" i="4"/>
  <c r="DO403" i="4"/>
  <c r="CP403" i="4"/>
  <c r="DV403" i="4"/>
  <c r="DA403" i="4"/>
  <c r="FX403" i="4"/>
  <c r="EO403" i="4"/>
  <c r="AO403" i="4"/>
  <c r="EJ403" i="4"/>
  <c r="CM403" i="4"/>
  <c r="CY403" i="4"/>
  <c r="FL403" i="4"/>
  <c r="GJ403" i="4"/>
  <c r="FO403" i="4"/>
  <c r="CI403" i="4"/>
  <c r="DD403" i="4"/>
  <c r="GL403" i="4"/>
  <c r="CA403" i="4"/>
  <c r="DM403" i="4"/>
  <c r="FZ403" i="4"/>
  <c r="EQ403" i="4"/>
  <c r="GE403" i="4"/>
  <c r="GG403" i="4"/>
  <c r="DR403" i="4"/>
  <c r="ET403" i="4"/>
  <c r="DY403" i="4"/>
  <c r="GC403" i="4"/>
  <c r="DF403" i="4"/>
  <c r="GN403" i="4"/>
  <c r="DK403" i="4"/>
  <c r="FA403" i="4"/>
  <c r="FQ403" i="4"/>
  <c r="CT403" i="4"/>
  <c r="HI386" i="4"/>
  <c r="AS386" i="4"/>
  <c r="CE403" i="4"/>
  <c r="BY386" i="4"/>
  <c r="CC403" i="4"/>
  <c r="DM327" i="4"/>
  <c r="FV327" i="4"/>
  <c r="GJ327" i="4"/>
  <c r="CK327" i="4"/>
  <c r="CR327" i="4"/>
  <c r="FX327" i="4"/>
  <c r="FJ327" i="4"/>
  <c r="FH327" i="4"/>
  <c r="DA327" i="4"/>
  <c r="EX327" i="4"/>
  <c r="DR327" i="4"/>
  <c r="EQ327" i="4"/>
  <c r="DY327" i="4"/>
  <c r="DK327" i="4"/>
  <c r="FA327" i="4"/>
  <c r="CY327" i="4"/>
  <c r="GE327" i="4"/>
  <c r="ET327" i="4"/>
  <c r="FQ327" i="4"/>
  <c r="FC327" i="4"/>
  <c r="GL327" i="4"/>
  <c r="EO327" i="4"/>
  <c r="CM327" i="4"/>
  <c r="FS327" i="4"/>
  <c r="EH327" i="4"/>
  <c r="DH327" i="4"/>
  <c r="CW327" i="4"/>
  <c r="EM327" i="4"/>
  <c r="EV327" i="4"/>
  <c r="DO327" i="4"/>
  <c r="DV327" i="4"/>
  <c r="CI327" i="4"/>
  <c r="GG327" i="4"/>
  <c r="CT327" i="4"/>
  <c r="GC327" i="4"/>
  <c r="CP327" i="4"/>
  <c r="FO327" i="4"/>
  <c r="FZ327" i="4"/>
  <c r="DF327" i="4"/>
  <c r="FL327" i="4"/>
  <c r="GN327" i="4"/>
  <c r="EA327" i="4"/>
  <c r="FE327" i="4"/>
  <c r="EJ327" i="4"/>
  <c r="EF327" i="4"/>
  <c r="DD327" i="4"/>
  <c r="DT327" i="4"/>
  <c r="AO398" i="4"/>
  <c r="DO398" i="4"/>
  <c r="EQ398" i="4"/>
  <c r="DY398" i="4"/>
  <c r="DA398" i="4"/>
  <c r="CY398" i="4"/>
  <c r="FJ398" i="4"/>
  <c r="CM398" i="4"/>
  <c r="EX398" i="4"/>
  <c r="EF398" i="4"/>
  <c r="DV398" i="4"/>
  <c r="EM398" i="4"/>
  <c r="FE398" i="4"/>
  <c r="EC398" i="4"/>
  <c r="FH398" i="4"/>
  <c r="EA398" i="4"/>
  <c r="ET398" i="4"/>
  <c r="GL398" i="4"/>
  <c r="EV398" i="4"/>
  <c r="DR398" i="4"/>
  <c r="CR398" i="4"/>
  <c r="FX398" i="4"/>
  <c r="DT398" i="4"/>
  <c r="FQ398" i="4"/>
  <c r="GC398" i="4"/>
  <c r="CW398" i="4"/>
  <c r="DF398" i="4"/>
  <c r="GE398" i="4"/>
  <c r="CP398" i="4"/>
  <c r="GN398" i="4"/>
  <c r="CK398" i="4"/>
  <c r="CT398" i="4"/>
  <c r="GG398" i="4"/>
  <c r="FS398" i="4"/>
  <c r="DD398" i="4"/>
  <c r="DM398" i="4"/>
  <c r="FZ398" i="4"/>
  <c r="FL398" i="4"/>
  <c r="GJ398" i="4"/>
  <c r="EJ398" i="4"/>
  <c r="EH398" i="4"/>
  <c r="FO398" i="4"/>
  <c r="FA398" i="4"/>
  <c r="DK398" i="4"/>
  <c r="FV398" i="4"/>
  <c r="DH398" i="4"/>
  <c r="CG398" i="4"/>
  <c r="FC398" i="4"/>
  <c r="EO398" i="4"/>
  <c r="CI398" i="4"/>
  <c r="CG403" i="4"/>
  <c r="BY403" i="4"/>
  <c r="HU406" i="4"/>
  <c r="HS406" i="4" s="1"/>
  <c r="N406" i="4"/>
  <c r="BY406" i="4" s="1"/>
  <c r="BY327" i="4"/>
  <c r="BY398" i="4"/>
  <c r="AY403" i="4"/>
  <c r="CC327" i="4"/>
  <c r="BW398" i="4"/>
  <c r="BW327" i="4"/>
  <c r="CE398" i="4"/>
  <c r="AS403" i="4"/>
  <c r="CE327" i="4"/>
  <c r="CC398" i="4"/>
  <c r="BY392" i="4"/>
  <c r="CY392" i="4"/>
  <c r="CY370" i="4"/>
  <c r="BW359" i="4"/>
  <c r="DH406" i="4"/>
  <c r="DT406" i="4"/>
  <c r="DF406" i="4"/>
  <c r="ET406" i="4"/>
  <c r="CP406" i="4"/>
  <c r="CM406" i="4"/>
  <c r="DD406" i="4"/>
  <c r="EF406" i="4"/>
  <c r="CY406" i="4"/>
  <c r="FL406" i="4"/>
  <c r="EM406" i="4"/>
  <c r="GL406" i="4"/>
  <c r="DK406" i="4"/>
  <c r="FX406" i="4"/>
  <c r="FV406" i="4"/>
  <c r="EO406" i="4"/>
  <c r="FS406" i="4"/>
  <c r="GJ406" i="4"/>
  <c r="EJ406" i="4"/>
  <c r="EH406" i="4"/>
  <c r="FE406" i="4"/>
  <c r="DY406" i="4"/>
  <c r="GE406" i="4"/>
  <c r="DR406" i="4"/>
  <c r="FQ406" i="4"/>
  <c r="CI406" i="4"/>
  <c r="GC406" i="4"/>
  <c r="FA406" i="4"/>
  <c r="DA406" i="4"/>
  <c r="EQ406" i="4"/>
  <c r="EV406" i="4"/>
  <c r="FJ406" i="4"/>
  <c r="CK406" i="4"/>
  <c r="EX406" i="4"/>
  <c r="GN406" i="4"/>
  <c r="FC406" i="4"/>
  <c r="FH406" i="4"/>
  <c r="CW406" i="4"/>
  <c r="FZ406" i="4"/>
  <c r="FO406" i="4"/>
  <c r="DO406" i="4"/>
  <c r="DM406" i="4"/>
  <c r="GG406" i="4"/>
  <c r="DV406" i="4"/>
  <c r="EA406" i="4"/>
  <c r="CC406" i="4"/>
  <c r="BW406" i="4"/>
  <c r="CG406" i="4"/>
  <c r="CT406" i="4"/>
  <c r="AW406" i="4"/>
  <c r="AQ406" i="4"/>
  <c r="EC406" i="4"/>
  <c r="N399" i="4"/>
  <c r="CA399" i="4" s="1"/>
  <c r="HM399" i="4"/>
  <c r="AS405" i="4"/>
  <c r="HM405" i="4"/>
  <c r="N405" i="4"/>
  <c r="CA405" i="4" s="1"/>
  <c r="N371" i="4"/>
  <c r="BY371" i="4" s="1"/>
  <c r="DA371" i="4"/>
  <c r="AQ372" i="4"/>
  <c r="BY369" i="4"/>
  <c r="AQ371" i="4"/>
  <c r="CC371" i="4"/>
  <c r="AY372" i="4"/>
  <c r="AW372" i="4"/>
  <c r="CC399" i="4"/>
  <c r="CE372" i="4"/>
  <c r="CC372" i="4"/>
  <c r="BY372" i="4"/>
  <c r="CG372" i="4"/>
  <c r="HK392" i="4"/>
  <c r="AS392" i="4"/>
  <c r="AQ399" i="4"/>
  <c r="AS399" i="4"/>
  <c r="DA372" i="4"/>
  <c r="CT399" i="4"/>
  <c r="BW372" i="4"/>
  <c r="EJ405" i="4"/>
  <c r="DT405" i="4"/>
  <c r="FX405" i="4"/>
  <c r="CT405" i="4"/>
  <c r="FH405" i="4"/>
  <c r="ET405" i="4"/>
  <c r="GG405" i="4"/>
  <c r="EV405" i="4"/>
  <c r="EF405" i="4"/>
  <c r="DK405" i="4"/>
  <c r="EX405" i="4"/>
  <c r="DF405" i="4"/>
  <c r="CY405" i="4"/>
  <c r="DR405" i="4"/>
  <c r="FQ405" i="4"/>
  <c r="GN405" i="4"/>
  <c r="GE405" i="4"/>
  <c r="GL405" i="4"/>
  <c r="CR405" i="4"/>
  <c r="FE405" i="4"/>
  <c r="EQ405" i="4"/>
  <c r="FZ405" i="4"/>
  <c r="FS405" i="4"/>
  <c r="DD405" i="4"/>
  <c r="EC405" i="4"/>
  <c r="GC405" i="4"/>
  <c r="EM405" i="4"/>
  <c r="EH405" i="4"/>
  <c r="DH405" i="4"/>
  <c r="FL405" i="4"/>
  <c r="CP405" i="4"/>
  <c r="FC405" i="4"/>
  <c r="FO405" i="4"/>
  <c r="DY405" i="4"/>
  <c r="DV405" i="4"/>
  <c r="CW405" i="4"/>
  <c r="GJ405" i="4"/>
  <c r="EA405" i="4"/>
  <c r="CI405" i="4"/>
  <c r="FJ405" i="4"/>
  <c r="DO405" i="4"/>
  <c r="EO405" i="4"/>
  <c r="FA405" i="4"/>
  <c r="FV405" i="4"/>
  <c r="DA405" i="4"/>
  <c r="DM405" i="4"/>
  <c r="BW405" i="4"/>
  <c r="AW371" i="4"/>
  <c r="CC405" i="4"/>
  <c r="AO371" i="4"/>
  <c r="CG399" i="4"/>
  <c r="BW399" i="4"/>
  <c r="BW371" i="4"/>
  <c r="FZ372" i="4"/>
  <c r="DH372" i="4"/>
  <c r="CK372" i="4"/>
  <c r="DR372" i="4"/>
  <c r="FV372" i="4"/>
  <c r="FA372" i="4"/>
  <c r="CT372" i="4"/>
  <c r="FJ372" i="4"/>
  <c r="EA372" i="4"/>
  <c r="GG372" i="4"/>
  <c r="GJ372" i="4"/>
  <c r="EJ372" i="4"/>
  <c r="FQ372" i="4"/>
  <c r="DV372" i="4"/>
  <c r="FX372" i="4"/>
  <c r="DK372" i="4"/>
  <c r="EC372" i="4"/>
  <c r="FH372" i="4"/>
  <c r="EX372" i="4"/>
  <c r="FC372" i="4"/>
  <c r="DF372" i="4"/>
  <c r="EM372" i="4"/>
  <c r="FL372" i="4"/>
  <c r="CY372" i="4"/>
  <c r="EF372" i="4"/>
  <c r="GC372" i="4"/>
  <c r="GL372" i="4"/>
  <c r="CR372" i="4"/>
  <c r="CP372" i="4"/>
  <c r="DY372" i="4"/>
  <c r="CM372" i="4"/>
  <c r="ET372" i="4"/>
  <c r="DO372" i="4"/>
  <c r="EH372" i="4"/>
  <c r="CW372" i="4"/>
  <c r="GE372" i="4"/>
  <c r="GN372" i="4"/>
  <c r="DM372" i="4"/>
  <c r="DD372" i="4"/>
  <c r="CI372" i="4"/>
  <c r="FO372" i="4"/>
  <c r="FS372" i="4"/>
  <c r="EQ372" i="4"/>
  <c r="EV372" i="4"/>
  <c r="FE372" i="4"/>
  <c r="DT372" i="4"/>
  <c r="EO372" i="4"/>
  <c r="AQ405" i="4"/>
  <c r="FQ399" i="4"/>
  <c r="EF399" i="4"/>
  <c r="FV399" i="4"/>
  <c r="DV399" i="4"/>
  <c r="GC399" i="4"/>
  <c r="CK399" i="4"/>
  <c r="CP399" i="4"/>
  <c r="DM399" i="4"/>
  <c r="DH399" i="4"/>
  <c r="CW399" i="4"/>
  <c r="CI399" i="4"/>
  <c r="EQ399" i="4"/>
  <c r="DY399" i="4"/>
  <c r="GN399" i="4"/>
  <c r="DK399" i="4"/>
  <c r="EX399" i="4"/>
  <c r="FA399" i="4"/>
  <c r="EH399" i="4"/>
  <c r="FJ399" i="4"/>
  <c r="EO399" i="4"/>
  <c r="GL399" i="4"/>
  <c r="GG399" i="4"/>
  <c r="DT399" i="4"/>
  <c r="ET399" i="4"/>
  <c r="FH399" i="4"/>
  <c r="EC399" i="4"/>
  <c r="EM399" i="4"/>
  <c r="FS399" i="4"/>
  <c r="DA399" i="4"/>
  <c r="EV399" i="4"/>
  <c r="GE399" i="4"/>
  <c r="EA399" i="4"/>
  <c r="FC399" i="4"/>
  <c r="EJ399" i="4"/>
  <c r="FE399" i="4"/>
  <c r="DO399" i="4"/>
  <c r="DD399" i="4"/>
  <c r="CY399" i="4"/>
  <c r="FO399" i="4"/>
  <c r="CM399" i="4"/>
  <c r="FL399" i="4"/>
  <c r="DR399" i="4"/>
  <c r="FX399" i="4"/>
  <c r="FZ399" i="4"/>
  <c r="DF399" i="4"/>
  <c r="GJ399" i="4"/>
  <c r="CI371" i="4"/>
  <c r="FE371" i="4"/>
  <c r="EQ371" i="4"/>
  <c r="FZ371" i="4"/>
  <c r="EX371" i="4"/>
  <c r="DT371" i="4"/>
  <c r="DR371" i="4"/>
  <c r="DD371" i="4"/>
  <c r="ET371" i="4"/>
  <c r="CT371" i="4"/>
  <c r="CR371" i="4"/>
  <c r="DK371" i="4"/>
  <c r="GJ371" i="4"/>
  <c r="EH371" i="4"/>
  <c r="EM371" i="4"/>
  <c r="DH371" i="4"/>
  <c r="FX371" i="4"/>
  <c r="FJ371" i="4"/>
  <c r="EA371" i="4"/>
  <c r="FL371" i="4"/>
  <c r="CM371" i="4"/>
  <c r="DO371" i="4"/>
  <c r="DM371" i="4"/>
  <c r="GL371" i="4"/>
  <c r="FV371" i="4"/>
  <c r="FH371" i="4"/>
  <c r="DY371" i="4"/>
  <c r="FA371" i="4"/>
  <c r="EV371" i="4"/>
  <c r="GG371" i="4"/>
  <c r="GE371" i="4"/>
  <c r="GN371" i="4"/>
  <c r="EO371" i="4"/>
  <c r="CW371" i="4"/>
  <c r="EJ371" i="4"/>
  <c r="FS371" i="4"/>
  <c r="GC371" i="4"/>
  <c r="EF371" i="4"/>
  <c r="FO371" i="4"/>
  <c r="EC371" i="4"/>
  <c r="CP371" i="4"/>
  <c r="DV371" i="4"/>
  <c r="CK371" i="4"/>
  <c r="FQ371" i="4"/>
  <c r="DF371" i="4"/>
  <c r="FC371" i="4"/>
  <c r="CE404" i="4"/>
  <c r="CG385" i="4"/>
  <c r="DD359" i="4"/>
  <c r="HI404" i="4"/>
  <c r="HQ385" i="4"/>
  <c r="HM359" i="4"/>
  <c r="HI369" i="4"/>
  <c r="CE369" i="4"/>
  <c r="CY369" i="4"/>
  <c r="AS402" i="4"/>
  <c r="HU366" i="4"/>
  <c r="N366" i="4"/>
  <c r="AS370" i="4"/>
  <c r="HI370" i="4"/>
  <c r="HU402" i="4"/>
  <c r="N402" i="4"/>
  <c r="BW402" i="4" s="1"/>
  <c r="AS330" i="4"/>
  <c r="HI330" i="4"/>
  <c r="AW332" i="4"/>
  <c r="HQ332" i="4"/>
  <c r="N332" i="4"/>
  <c r="CE402" i="4"/>
  <c r="BY366" i="4"/>
  <c r="AS366" i="4"/>
  <c r="BW366" i="4"/>
  <c r="CE366" i="4"/>
  <c r="AY366" i="4"/>
  <c r="FJ402" i="4"/>
  <c r="CI402" i="4"/>
  <c r="ET402" i="4"/>
  <c r="EQ402" i="4"/>
  <c r="FL402" i="4"/>
  <c r="EA402" i="4"/>
  <c r="CR402" i="4"/>
  <c r="FV402" i="4"/>
  <c r="DF402" i="4"/>
  <c r="FC402" i="4"/>
  <c r="FE402" i="4"/>
  <c r="FX402" i="4"/>
  <c r="GC402" i="4"/>
  <c r="GJ402" i="4"/>
  <c r="DR402" i="4"/>
  <c r="DK402" i="4"/>
  <c r="CK402" i="4"/>
  <c r="FZ402" i="4"/>
  <c r="DH402" i="4"/>
  <c r="DT402" i="4"/>
  <c r="EV402" i="4"/>
  <c r="GE402" i="4"/>
  <c r="EF402" i="4"/>
  <c r="FH402" i="4"/>
  <c r="GG402" i="4"/>
  <c r="FQ402" i="4"/>
  <c r="GN402" i="4"/>
  <c r="CM402" i="4"/>
  <c r="EH402" i="4"/>
  <c r="FS402" i="4"/>
  <c r="EO402" i="4"/>
  <c r="EM402" i="4"/>
  <c r="CT402" i="4"/>
  <c r="DO402" i="4"/>
  <c r="FO402" i="4"/>
  <c r="DM402" i="4"/>
  <c r="EX402" i="4"/>
  <c r="DA402" i="4"/>
  <c r="FA402" i="4"/>
  <c r="CY402" i="4"/>
  <c r="EJ402" i="4"/>
  <c r="CW402" i="4"/>
  <c r="CP402" i="4"/>
  <c r="DV402" i="4"/>
  <c r="DD402" i="4"/>
  <c r="CC366" i="4"/>
  <c r="AW366" i="4"/>
  <c r="BY402" i="4"/>
  <c r="GL402" i="4"/>
  <c r="FX366" i="4"/>
  <c r="GN366" i="4"/>
  <c r="FS366" i="4"/>
  <c r="CK366" i="4"/>
  <c r="GE366" i="4"/>
  <c r="EX366" i="4"/>
  <c r="GJ366" i="4"/>
  <c r="DY366" i="4"/>
  <c r="DO366" i="4"/>
  <c r="GL366" i="4"/>
  <c r="EC366" i="4"/>
  <c r="CW366" i="4"/>
  <c r="DA366" i="4"/>
  <c r="FQ366" i="4"/>
  <c r="EJ366" i="4"/>
  <c r="EO366" i="4"/>
  <c r="FE366" i="4"/>
  <c r="DM366" i="4"/>
  <c r="FA366" i="4"/>
  <c r="EH366" i="4"/>
  <c r="EF366" i="4"/>
  <c r="FZ366" i="4"/>
  <c r="EM366" i="4"/>
  <c r="EA366" i="4"/>
  <c r="CI366" i="4"/>
  <c r="GC366" i="4"/>
  <c r="GG366" i="4"/>
  <c r="DV366" i="4"/>
  <c r="CP366" i="4"/>
  <c r="EQ366" i="4"/>
  <c r="FL366" i="4"/>
  <c r="FH366" i="4"/>
  <c r="FC366" i="4"/>
  <c r="DR366" i="4"/>
  <c r="FO366" i="4"/>
  <c r="ET366" i="4"/>
  <c r="FJ366" i="4"/>
  <c r="DF366" i="4"/>
  <c r="CR366" i="4"/>
  <c r="DH366" i="4"/>
  <c r="CM366" i="4"/>
  <c r="FV366" i="4"/>
  <c r="EV366" i="4"/>
  <c r="DD366" i="4"/>
  <c r="DT366" i="4"/>
  <c r="CY366" i="4"/>
  <c r="DK366" i="4"/>
  <c r="AQ366" i="4"/>
  <c r="AS332" i="4"/>
  <c r="CC332" i="4"/>
  <c r="AQ332" i="4"/>
  <c r="BW332" i="4"/>
  <c r="GJ332" i="4"/>
  <c r="AY332" i="4"/>
  <c r="CE332" i="4"/>
  <c r="FH332" i="4"/>
  <c r="FX332" i="4"/>
  <c r="GN332" i="4"/>
  <c r="GC332" i="4"/>
  <c r="FC332" i="4"/>
  <c r="EH332" i="4"/>
  <c r="EJ332" i="4"/>
  <c r="EF332" i="4"/>
  <c r="FE332" i="4"/>
  <c r="GE332" i="4"/>
  <c r="FV332" i="4"/>
  <c r="FQ332" i="4"/>
  <c r="EA332" i="4"/>
  <c r="DT332" i="4"/>
  <c r="CK332" i="4"/>
  <c r="FO332" i="4"/>
  <c r="DK332" i="4"/>
  <c r="FS332" i="4"/>
  <c r="FJ332" i="4"/>
  <c r="EQ332" i="4"/>
  <c r="CY332" i="4"/>
  <c r="DR332" i="4"/>
  <c r="DV332" i="4"/>
  <c r="EV332" i="4"/>
  <c r="GL332" i="4"/>
  <c r="DA332" i="4"/>
  <c r="CT332" i="4"/>
  <c r="DD332" i="4"/>
  <c r="FL332" i="4"/>
  <c r="DH332" i="4"/>
  <c r="DF332" i="4"/>
  <c r="CI332" i="4"/>
  <c r="DM332" i="4"/>
  <c r="DO332" i="4"/>
  <c r="CP332" i="4"/>
  <c r="CR332" i="4"/>
  <c r="DY332" i="4"/>
  <c r="FZ332" i="4"/>
  <c r="GG332" i="4"/>
  <c r="EX332" i="4"/>
  <c r="EM332" i="4"/>
  <c r="EC332" i="4"/>
  <c r="ET332" i="4"/>
  <c r="CW332" i="4"/>
  <c r="EO332" i="4"/>
  <c r="AO332" i="4"/>
  <c r="FA332" i="4"/>
  <c r="BY332" i="4"/>
  <c r="HM402" i="4" l="1"/>
  <c r="CC402" i="4"/>
  <c r="GS422" i="4"/>
  <c r="BS422" i="4"/>
  <c r="DA422" i="4"/>
  <c r="GS359" i="4"/>
  <c r="GW359" i="4" s="1"/>
  <c r="GS415" i="4"/>
  <c r="BS415" i="4"/>
  <c r="HS359" i="4"/>
  <c r="DA359" i="4"/>
  <c r="CG359" i="4"/>
  <c r="HQ372" i="4"/>
  <c r="HA330" i="4"/>
  <c r="HG330" i="4" s="1"/>
  <c r="HO409" i="4"/>
  <c r="AS412" i="4"/>
  <c r="HA411" i="4"/>
  <c r="BU411" i="4"/>
  <c r="DY409" i="4"/>
  <c r="BW409" i="4"/>
  <c r="HA409" i="4"/>
  <c r="BU409" i="4"/>
  <c r="CY371" i="4"/>
  <c r="HK371" i="4"/>
  <c r="CE371" i="4"/>
  <c r="HS399" i="4"/>
  <c r="CM405" i="4"/>
  <c r="CG405" i="4"/>
  <c r="HS405" i="4"/>
  <c r="AO405" i="4"/>
  <c r="AO406" i="4"/>
  <c r="AQ403" i="4"/>
  <c r="HO403" i="4"/>
  <c r="AO399" i="4"/>
  <c r="DY402" i="4"/>
  <c r="GS403" i="4"/>
  <c r="BT403" i="4"/>
  <c r="AO402" i="4"/>
  <c r="AS371" i="4"/>
  <c r="BS372" i="4"/>
  <c r="HA372" i="4"/>
  <c r="AS368" i="4"/>
  <c r="HE368" i="4"/>
  <c r="AO368" i="4"/>
  <c r="HC368" i="4"/>
  <c r="HD368" i="4" s="1"/>
  <c r="CA372" i="4"/>
  <c r="CA359" i="4"/>
  <c r="CE330" i="4"/>
  <c r="CK330" i="4"/>
  <c r="CA406" i="4"/>
  <c r="AQ402" i="4"/>
  <c r="HG392" i="4"/>
  <c r="HC392" i="4"/>
  <c r="HK330" i="4"/>
  <c r="HS327" i="4"/>
  <c r="CA327" i="4"/>
  <c r="BT327" i="4"/>
  <c r="B13" i="16"/>
  <c r="HG386" i="4"/>
  <c r="HC386" i="4"/>
  <c r="HD386" i="4" s="1"/>
  <c r="AO366" i="4"/>
  <c r="HQ366" i="4"/>
  <c r="HG370" i="4"/>
  <c r="HC370" i="4"/>
  <c r="HD370" i="4" s="1"/>
  <c r="HC330" i="4"/>
  <c r="HD330" i="4" s="1"/>
  <c r="HQ403" i="4"/>
  <c r="HQ371" i="4"/>
  <c r="HG404" i="4"/>
  <c r="HC404" i="4"/>
  <c r="HD404" i="4" s="1"/>
  <c r="GS372" i="4"/>
  <c r="HA398" i="4"/>
  <c r="CA398" i="4"/>
  <c r="CG327" i="4"/>
  <c r="EC327" i="4"/>
  <c r="HQ327" i="4"/>
  <c r="EV368" i="4"/>
  <c r="CK405" i="4"/>
  <c r="HA405" i="4"/>
  <c r="HE405" i="4" s="1"/>
  <c r="CT366" i="4"/>
  <c r="HA366" i="4"/>
  <c r="HE366" i="4" s="1"/>
  <c r="CG402" i="4"/>
  <c r="HA402" i="4"/>
  <c r="CE399" i="4"/>
  <c r="HA399" i="4"/>
  <c r="HE399" i="4" s="1"/>
  <c r="CM332" i="4"/>
  <c r="HA332" i="4"/>
  <c r="HE332" i="4" s="1"/>
  <c r="HS371" i="4"/>
  <c r="HA371" i="4"/>
  <c r="CE406" i="4"/>
  <c r="HA406" i="4"/>
  <c r="HK368" i="4"/>
  <c r="CE368" i="4"/>
  <c r="CR406" i="4"/>
  <c r="BY368" i="4"/>
  <c r="HK406" i="4"/>
  <c r="AS406" i="4"/>
  <c r="CE405" i="4"/>
  <c r="CR399" i="4"/>
  <c r="CG332" i="4"/>
  <c r="BY405" i="4"/>
  <c r="EC402" i="4"/>
  <c r="CG371" i="4"/>
  <c r="HI399" i="4"/>
  <c r="BY399" i="4"/>
  <c r="CA371" i="4"/>
  <c r="HI405" i="4"/>
  <c r="CA402" i="4"/>
  <c r="CG366" i="4"/>
  <c r="HQ402" i="4"/>
  <c r="HS366" i="4"/>
  <c r="CA366" i="4"/>
  <c r="CA332" i="4"/>
  <c r="HS332" i="4"/>
  <c r="GW422" i="4" l="1"/>
  <c r="GU415" i="4"/>
  <c r="HC411" i="4"/>
  <c r="HC409" i="4"/>
  <c r="GU403" i="4"/>
  <c r="HE372" i="4"/>
  <c r="HG406" i="4"/>
  <c r="HE406" i="4"/>
  <c r="HE402" i="4"/>
  <c r="HC402" i="4"/>
  <c r="HE371" i="4"/>
  <c r="HG371" i="4"/>
  <c r="HG405" i="4"/>
  <c r="HC405" i="4"/>
  <c r="HD405" i="4" s="1"/>
  <c r="AU403" i="4"/>
  <c r="HG399" i="4"/>
  <c r="HC399" i="4"/>
  <c r="HD399" i="4" s="1"/>
  <c r="GT372" i="4"/>
  <c r="GW372" i="4"/>
  <c r="GX372" i="4" s="1"/>
  <c r="HB403" i="4"/>
  <c r="HE398" i="4"/>
  <c r="AO281" i="4"/>
  <c r="AQ281" i="4"/>
  <c r="HF403" i="4" l="1"/>
  <c r="AS281" i="4" l="1"/>
  <c r="K310" i="4"/>
  <c r="X310" i="4"/>
  <c r="AB310" i="4" s="1"/>
  <c r="K230" i="4"/>
  <c r="S230" i="4" s="1"/>
  <c r="BQ230" i="4" s="1"/>
  <c r="K276" i="4"/>
  <c r="S276" i="4" s="1"/>
  <c r="BQ276" i="4" s="1"/>
  <c r="X276" i="4"/>
  <c r="AB276" i="4" s="1"/>
  <c r="BE391" i="4"/>
  <c r="X391" i="4"/>
  <c r="K335" i="4"/>
  <c r="K374" i="4"/>
  <c r="X374" i="4"/>
  <c r="K156" i="4"/>
  <c r="BC390" i="4"/>
  <c r="X390" i="4"/>
  <c r="BD396" i="4"/>
  <c r="X410" i="4"/>
  <c r="K229" i="4"/>
  <c r="S229" i="4" s="1"/>
  <c r="BQ229" i="4" s="1"/>
  <c r="X229" i="4"/>
  <c r="AB229" i="4" s="1"/>
  <c r="K197" i="4"/>
  <c r="K325" i="4"/>
  <c r="X325" i="4"/>
  <c r="AB325" i="4" s="1"/>
  <c r="K303" i="4"/>
  <c r="S303" i="4" s="1"/>
  <c r="BQ303" i="4" s="1"/>
  <c r="X303" i="4"/>
  <c r="AB303" i="4" s="1"/>
  <c r="BD387" i="4"/>
  <c r="K190" i="4"/>
  <c r="X190" i="4"/>
  <c r="AB190" i="4" s="1"/>
  <c r="K234" i="4"/>
  <c r="S234" i="4" s="1"/>
  <c r="BQ234" i="4" s="1"/>
  <c r="K163" i="4"/>
  <c r="U2" i="16" s="1"/>
  <c r="K278" i="4"/>
  <c r="U3" i="16" s="1"/>
  <c r="K378" i="4"/>
  <c r="X378" i="4"/>
  <c r="K287" i="4"/>
  <c r="S287" i="4" s="1"/>
  <c r="BQ287" i="4" s="1"/>
  <c r="X287" i="4"/>
  <c r="AB287" i="4" s="1"/>
  <c r="K282" i="4"/>
  <c r="K161" i="4"/>
  <c r="G310" i="4"/>
  <c r="G230" i="4"/>
  <c r="G276" i="4"/>
  <c r="G391" i="4"/>
  <c r="G335" i="4"/>
  <c r="G374" i="4"/>
  <c r="G156" i="4"/>
  <c r="G390" i="4"/>
  <c r="G410" i="4"/>
  <c r="G229" i="4"/>
  <c r="G197" i="4"/>
  <c r="G325" i="4"/>
  <c r="G382" i="4"/>
  <c r="G303" i="4"/>
  <c r="G387" i="4"/>
  <c r="G190" i="4"/>
  <c r="G234" i="4"/>
  <c r="G163" i="4"/>
  <c r="G278" i="4"/>
  <c r="G378" i="4"/>
  <c r="G287" i="4"/>
  <c r="G282" i="4"/>
  <c r="G161" i="4"/>
  <c r="A335" i="5"/>
  <c r="A331" i="5"/>
  <c r="A326" i="5"/>
  <c r="AK277" i="4"/>
  <c r="AI277" i="4" s="1"/>
  <c r="AK235" i="4"/>
  <c r="AK27" i="4"/>
  <c r="AK24" i="4"/>
  <c r="K74" i="4"/>
  <c r="S74" i="4" s="1"/>
  <c r="BQ74" i="4" s="1"/>
  <c r="K159" i="4"/>
  <c r="AA410" i="4" l="1"/>
  <c r="AK410" i="4" s="1"/>
  <c r="AI410" i="4" s="1"/>
  <c r="AB410" i="4"/>
  <c r="HU410" i="4"/>
  <c r="AA391" i="4"/>
  <c r="AB391" i="4"/>
  <c r="L378" i="4"/>
  <c r="BU378" i="4" s="1"/>
  <c r="AA378" i="4"/>
  <c r="AK378" i="4" s="1"/>
  <c r="AI378" i="4" s="1"/>
  <c r="AB378" i="4"/>
  <c r="L374" i="4"/>
  <c r="BU374" i="4" s="1"/>
  <c r="AA374" i="4"/>
  <c r="AK374" i="4" s="1"/>
  <c r="AI374" i="4" s="1"/>
  <c r="AB374" i="4"/>
  <c r="L390" i="4"/>
  <c r="BV390" i="4" s="1"/>
  <c r="AA390" i="4"/>
  <c r="AB390" i="4"/>
  <c r="S378" i="4"/>
  <c r="HM378" i="4" s="1"/>
  <c r="U7" i="16"/>
  <c r="L325" i="4"/>
  <c r="BT325" i="4" s="1"/>
  <c r="AA325" i="4"/>
  <c r="AK325" i="4" s="1"/>
  <c r="AI325" i="4" s="1"/>
  <c r="BP303" i="4"/>
  <c r="BP230" i="4"/>
  <c r="BO74" i="4"/>
  <c r="H303" i="4"/>
  <c r="H229" i="4"/>
  <c r="BO229" i="4"/>
  <c r="H276" i="4"/>
  <c r="BO276" i="4"/>
  <c r="H287" i="4"/>
  <c r="BO287" i="4"/>
  <c r="H234" i="4"/>
  <c r="BO234" i="4"/>
  <c r="H230" i="4"/>
  <c r="L310" i="4"/>
  <c r="AA310" i="4"/>
  <c r="AK310" i="4" s="1"/>
  <c r="AI310" i="4" s="1"/>
  <c r="L287" i="4"/>
  <c r="BS287" i="4" s="1"/>
  <c r="AA287" i="4"/>
  <c r="AK287" i="4" s="1"/>
  <c r="AI287" i="4" s="1"/>
  <c r="AA303" i="4"/>
  <c r="AK303" i="4" s="1"/>
  <c r="AI303" i="4" s="1"/>
  <c r="L276" i="4"/>
  <c r="BT276" i="4" s="1"/>
  <c r="AA276" i="4"/>
  <c r="AK276" i="4" s="1"/>
  <c r="AI276" i="4" s="1"/>
  <c r="L229" i="4"/>
  <c r="BS229" i="4" s="1"/>
  <c r="AA229" i="4"/>
  <c r="AK229" i="4" s="1"/>
  <c r="AI229" i="4" s="1"/>
  <c r="AA190" i="4"/>
  <c r="AK190" i="4" s="1"/>
  <c r="AI190" i="4" s="1"/>
  <c r="BH278" i="4"/>
  <c r="S278" i="4"/>
  <c r="BQ278" i="4" s="1"/>
  <c r="BG374" i="4"/>
  <c r="S374" i="4"/>
  <c r="BD310" i="4"/>
  <c r="S310" i="4"/>
  <c r="BC325" i="4"/>
  <c r="S325" i="4"/>
  <c r="BC159" i="4"/>
  <c r="S159" i="4"/>
  <c r="BQ159" i="4" s="1"/>
  <c r="BC161" i="4"/>
  <c r="S161" i="4"/>
  <c r="BQ161" i="4" s="1"/>
  <c r="BD163" i="4"/>
  <c r="S163" i="4"/>
  <c r="BQ163" i="4" s="1"/>
  <c r="BC197" i="4"/>
  <c r="S197" i="4"/>
  <c r="BQ197" i="4" s="1"/>
  <c r="BD335" i="4"/>
  <c r="S335" i="4"/>
  <c r="H74" i="4"/>
  <c r="C74" i="4"/>
  <c r="BD282" i="4"/>
  <c r="S282" i="4"/>
  <c r="BQ282" i="4" s="1"/>
  <c r="BF74" i="4"/>
  <c r="DO74" i="4" s="1"/>
  <c r="BE190" i="4"/>
  <c r="S190" i="4"/>
  <c r="BQ190" i="4" s="1"/>
  <c r="BD156" i="4"/>
  <c r="S156" i="4"/>
  <c r="BQ156" i="4" s="1"/>
  <c r="C230" i="4"/>
  <c r="C303" i="4"/>
  <c r="HQ382" i="4"/>
  <c r="HK382" i="4"/>
  <c r="HO382" i="4"/>
  <c r="AK391" i="4"/>
  <c r="AI391" i="4" s="1"/>
  <c r="L391" i="4"/>
  <c r="C382" i="4"/>
  <c r="L410" i="4"/>
  <c r="AK390" i="4"/>
  <c r="AI390" i="4" s="1"/>
  <c r="HI378" i="4"/>
  <c r="HK378" i="4"/>
  <c r="HM74" i="4"/>
  <c r="HO74" i="4"/>
  <c r="HS74" i="4"/>
  <c r="HO230" i="4"/>
  <c r="HQ230" i="4"/>
  <c r="HM303" i="4"/>
  <c r="HO303" i="4"/>
  <c r="HS303" i="4"/>
  <c r="L303" i="4"/>
  <c r="HI303" i="4"/>
  <c r="HK303" i="4"/>
  <c r="L190" i="4"/>
  <c r="HK230" i="4"/>
  <c r="HI230" i="4"/>
  <c r="BC74" i="4"/>
  <c r="HK74" i="4"/>
  <c r="X197" i="4"/>
  <c r="AB197" i="4" s="1"/>
  <c r="X161" i="4"/>
  <c r="AB161" i="4" s="1"/>
  <c r="X163" i="4"/>
  <c r="AB163" i="4" s="1"/>
  <c r="X282" i="4"/>
  <c r="AB282" i="4" s="1"/>
  <c r="X234" i="4"/>
  <c r="AB234" i="4" s="1"/>
  <c r="BC387" i="4"/>
  <c r="X278" i="4"/>
  <c r="AB278" i="4" s="1"/>
  <c r="BD278" i="4"/>
  <c r="BD382" i="4"/>
  <c r="BC382" i="4"/>
  <c r="BI391" i="4"/>
  <c r="BH391" i="4"/>
  <c r="X230" i="4"/>
  <c r="AB230" i="4" s="1"/>
  <c r="BH163" i="4"/>
  <c r="BI310" i="4"/>
  <c r="BH310" i="4"/>
  <c r="BG310" i="4"/>
  <c r="X156" i="4"/>
  <c r="AB156" i="4" s="1"/>
  <c r="BC190" i="4"/>
  <c r="BE197" i="4"/>
  <c r="BE163" i="4"/>
  <c r="BG391" i="4"/>
  <c r="BC310" i="4"/>
  <c r="BD391" i="4"/>
  <c r="BC391" i="4"/>
  <c r="BH374" i="4"/>
  <c r="BE374" i="4"/>
  <c r="X335" i="4"/>
  <c r="AB335" i="4" s="1"/>
  <c r="BD378" i="4"/>
  <c r="R12" i="13"/>
  <c r="S12" i="13" s="1"/>
  <c r="BC396" i="4"/>
  <c r="R5" i="13"/>
  <c r="S5" i="13" s="1"/>
  <c r="R13" i="13"/>
  <c r="S13" i="13" s="1"/>
  <c r="BD374" i="4"/>
  <c r="BE310" i="4"/>
  <c r="R6" i="13"/>
  <c r="S6" i="13" s="1"/>
  <c r="R14" i="13"/>
  <c r="S14" i="13" s="1"/>
  <c r="BI197" i="4"/>
  <c r="R7" i="13"/>
  <c r="S7" i="13" s="1"/>
  <c r="R15" i="13"/>
  <c r="S15" i="13" s="1"/>
  <c r="BI282" i="4"/>
  <c r="BG278" i="4"/>
  <c r="BI387" i="4"/>
  <c r="BH197" i="4"/>
  <c r="BI390" i="4"/>
  <c r="BE335" i="4"/>
  <c r="R8" i="13"/>
  <c r="S8" i="13" s="1"/>
  <c r="BE278" i="4"/>
  <c r="BH387" i="4"/>
  <c r="BG197" i="4"/>
  <c r="BH390" i="4"/>
  <c r="R9" i="13"/>
  <c r="S9" i="13" s="1"/>
  <c r="R16" i="13"/>
  <c r="S16" i="13" s="1"/>
  <c r="BG387" i="4"/>
  <c r="R17" i="13"/>
  <c r="S17" i="13" s="1"/>
  <c r="BD161" i="4"/>
  <c r="BE387" i="4"/>
  <c r="BD197" i="4"/>
  <c r="R10" i="13"/>
  <c r="S10" i="13" s="1"/>
  <c r="R11" i="13"/>
  <c r="S11" i="13" s="1"/>
  <c r="BI156" i="4"/>
  <c r="BI335" i="4"/>
  <c r="BD234" i="4"/>
  <c r="BI234" i="4"/>
  <c r="BC234" i="4"/>
  <c r="BD190" i="4"/>
  <c r="BC156" i="4"/>
  <c r="BH282" i="4"/>
  <c r="BI382" i="4"/>
  <c r="BG390" i="4"/>
  <c r="BH382" i="4"/>
  <c r="BE390" i="4"/>
  <c r="BH230" i="4"/>
  <c r="BC282" i="4"/>
  <c r="BG382" i="4"/>
  <c r="BD390" i="4"/>
  <c r="BD230" i="4"/>
  <c r="BE382" i="4"/>
  <c r="BH156" i="4"/>
  <c r="BG156" i="4"/>
  <c r="BI190" i="4"/>
  <c r="BE156" i="4"/>
  <c r="BG190" i="4"/>
  <c r="BF378" i="4"/>
  <c r="N378" i="4" s="1"/>
  <c r="BG161" i="4"/>
  <c r="BI161" i="4"/>
  <c r="BH161" i="4"/>
  <c r="BE161" i="4"/>
  <c r="BI287" i="4"/>
  <c r="BC287" i="4"/>
  <c r="BD287" i="4"/>
  <c r="BH287" i="4"/>
  <c r="BG287" i="4"/>
  <c r="BE287" i="4"/>
  <c r="BH276" i="4"/>
  <c r="BI276" i="4"/>
  <c r="BD276" i="4"/>
  <c r="BE276" i="4"/>
  <c r="BG276" i="4"/>
  <c r="BC276" i="4"/>
  <c r="BI378" i="4"/>
  <c r="BC278" i="4"/>
  <c r="BH378" i="4"/>
  <c r="BG378" i="4"/>
  <c r="BG282" i="4"/>
  <c r="BE378" i="4"/>
  <c r="BC163" i="4"/>
  <c r="BG163" i="4"/>
  <c r="BI163" i="4"/>
  <c r="BE234" i="4"/>
  <c r="BG234" i="4"/>
  <c r="BH234" i="4"/>
  <c r="BE282" i="4"/>
  <c r="BC378" i="4"/>
  <c r="BI278" i="4"/>
  <c r="BF303" i="4"/>
  <c r="BC303" i="4"/>
  <c r="BD303" i="4"/>
  <c r="BH303" i="4"/>
  <c r="BI303" i="4"/>
  <c r="BH190" i="4"/>
  <c r="BG303" i="4"/>
  <c r="BD325" i="4"/>
  <c r="BE325" i="4"/>
  <c r="BG325" i="4"/>
  <c r="BH325" i="4"/>
  <c r="BI325" i="4"/>
  <c r="BE303" i="4"/>
  <c r="BH229" i="4"/>
  <c r="BI229" i="4"/>
  <c r="BC229" i="4"/>
  <c r="BG229" i="4"/>
  <c r="BE229" i="4"/>
  <c r="BD229" i="4"/>
  <c r="BF382" i="4"/>
  <c r="BE396" i="4"/>
  <c r="BG396" i="4"/>
  <c r="BH396" i="4"/>
  <c r="BI396" i="4"/>
  <c r="BF230" i="4"/>
  <c r="GL230" i="4" s="1"/>
  <c r="BC335" i="4"/>
  <c r="BG335" i="4"/>
  <c r="BH335" i="4"/>
  <c r="BI374" i="4"/>
  <c r="BC374" i="4"/>
  <c r="BI230" i="4"/>
  <c r="BG230" i="4"/>
  <c r="BE230" i="4"/>
  <c r="BC230" i="4"/>
  <c r="X42" i="4"/>
  <c r="AB42" i="4" s="1"/>
  <c r="X114" i="4"/>
  <c r="AB114" i="4" s="1"/>
  <c r="X12" i="4"/>
  <c r="AB12" i="4" s="1"/>
  <c r="X67" i="4"/>
  <c r="AB67" i="4" s="1"/>
  <c r="X14" i="4"/>
  <c r="AB14" i="4" s="1"/>
  <c r="X46" i="4"/>
  <c r="AB46" i="4" s="1"/>
  <c r="X27" i="4"/>
  <c r="AB27" i="4" s="1"/>
  <c r="X8" i="4"/>
  <c r="AB8" i="4" s="1"/>
  <c r="X13" i="4"/>
  <c r="AB13" i="4" s="1"/>
  <c r="X19" i="4"/>
  <c r="AB19" i="4" s="1"/>
  <c r="BE159" i="4"/>
  <c r="X89" i="4"/>
  <c r="AB89" i="4" s="1"/>
  <c r="X55" i="4"/>
  <c r="AB55" i="4" s="1"/>
  <c r="X21" i="4"/>
  <c r="AB21" i="4" s="1"/>
  <c r="X4" i="4"/>
  <c r="AB4" i="4" s="1"/>
  <c r="X28" i="4"/>
  <c r="AB28" i="4" s="1"/>
  <c r="X6" i="4"/>
  <c r="AB6" i="4" s="1"/>
  <c r="X159" i="4"/>
  <c r="AB159" i="4" s="1"/>
  <c r="X5" i="4"/>
  <c r="AB5" i="4" s="1"/>
  <c r="X58" i="4"/>
  <c r="AB58" i="4" s="1"/>
  <c r="X36" i="4"/>
  <c r="AB36" i="4" s="1"/>
  <c r="X30" i="4"/>
  <c r="AB30" i="4" s="1"/>
  <c r="X7" i="4"/>
  <c r="AB7" i="4" s="1"/>
  <c r="X74" i="4"/>
  <c r="AB74" i="4" s="1"/>
  <c r="X35" i="4"/>
  <c r="AB35" i="4" s="1"/>
  <c r="X66" i="4"/>
  <c r="AB66" i="4" s="1"/>
  <c r="X18" i="4"/>
  <c r="AB18" i="4" s="1"/>
  <c r="X24" i="4"/>
  <c r="AB24" i="4" s="1"/>
  <c r="X62" i="4"/>
  <c r="AB62" i="4" s="1"/>
  <c r="X421" i="4"/>
  <c r="X80" i="4"/>
  <c r="AB80" i="4" s="1"/>
  <c r="X37" i="4"/>
  <c r="AB37" i="4" s="1"/>
  <c r="X11" i="4"/>
  <c r="AB11" i="4" s="1"/>
  <c r="X91" i="4"/>
  <c r="AB91" i="4" s="1"/>
  <c r="X26" i="4"/>
  <c r="AB26" i="4" s="1"/>
  <c r="X34" i="4"/>
  <c r="AB34" i="4" s="1"/>
  <c r="X65" i="4"/>
  <c r="AB65" i="4" s="1"/>
  <c r="X16" i="4"/>
  <c r="AB16" i="4" s="1"/>
  <c r="X68" i="4"/>
  <c r="AB68" i="4" s="1"/>
  <c r="X92" i="4"/>
  <c r="AB92" i="4" s="1"/>
  <c r="X23" i="4"/>
  <c r="AB23" i="4" s="1"/>
  <c r="X33" i="4"/>
  <c r="AB33" i="4" s="1"/>
  <c r="X10" i="4"/>
  <c r="AB10" i="4" s="1"/>
  <c r="X116" i="4"/>
  <c r="AB116" i="4" s="1"/>
  <c r="X47" i="4"/>
  <c r="AB47" i="4" s="1"/>
  <c r="X17" i="4"/>
  <c r="AB17" i="4" s="1"/>
  <c r="X22" i="4"/>
  <c r="AB22" i="4" s="1"/>
  <c r="X15" i="4"/>
  <c r="AB15" i="4" s="1"/>
  <c r="X57" i="4"/>
  <c r="AB57" i="4" s="1"/>
  <c r="X90" i="4"/>
  <c r="AB90" i="4" s="1"/>
  <c r="X32" i="4"/>
  <c r="AB32" i="4" s="1"/>
  <c r="X29" i="4"/>
  <c r="AB29" i="4" s="1"/>
  <c r="X48" i="4"/>
  <c r="AB48" i="4" s="1"/>
  <c r="X81" i="4"/>
  <c r="AB81" i="4" s="1"/>
  <c r="X155" i="4"/>
  <c r="AB155" i="4" s="1"/>
  <c r="X31" i="4"/>
  <c r="AB31" i="4" s="1"/>
  <c r="X9" i="4"/>
  <c r="AB9" i="4" s="1"/>
  <c r="BI159" i="4"/>
  <c r="BH159" i="4"/>
  <c r="BI74" i="4"/>
  <c r="BG159" i="4"/>
  <c r="BH74" i="4"/>
  <c r="BG74" i="4"/>
  <c r="BE74" i="4"/>
  <c r="BD159" i="4"/>
  <c r="BD74" i="4"/>
  <c r="AB421" i="4" l="1"/>
  <c r="AA421" i="4"/>
  <c r="AK421" i="4" s="1"/>
  <c r="AI421" i="4" s="1"/>
  <c r="BT378" i="4"/>
  <c r="BT374" i="4"/>
  <c r="BV374" i="4"/>
  <c r="BV378" i="4"/>
  <c r="HO378" i="4"/>
  <c r="C378" i="4"/>
  <c r="BU390" i="4"/>
  <c r="BS390" i="4"/>
  <c r="BV325" i="4"/>
  <c r="AO410" i="4"/>
  <c r="M410" i="4"/>
  <c r="BV410" i="4"/>
  <c r="BU410" i="4"/>
  <c r="BS410" i="4"/>
  <c r="M390" i="4"/>
  <c r="M391" i="4"/>
  <c r="BV391" i="4"/>
  <c r="BU391" i="4"/>
  <c r="BT391" i="4"/>
  <c r="HU382" i="4"/>
  <c r="AO382" i="4" s="1"/>
  <c r="P382" i="4"/>
  <c r="BT382" i="4" s="1"/>
  <c r="M378" i="4"/>
  <c r="H378" i="4"/>
  <c r="BQ378" i="4"/>
  <c r="BP378" i="4"/>
  <c r="P378" i="4"/>
  <c r="BS378" i="4" s="1"/>
  <c r="M374" i="4"/>
  <c r="H374" i="4"/>
  <c r="BO374" i="4"/>
  <c r="BP374" i="4"/>
  <c r="BU325" i="4"/>
  <c r="AA335" i="4"/>
  <c r="AK335" i="4" s="1"/>
  <c r="AI335" i="4" s="1"/>
  <c r="H335" i="4"/>
  <c r="BQ335" i="4"/>
  <c r="BP335" i="4"/>
  <c r="BU287" i="4"/>
  <c r="M325" i="4"/>
  <c r="BT287" i="4"/>
  <c r="H325" i="4"/>
  <c r="BQ325" i="4"/>
  <c r="BP325" i="4"/>
  <c r="H310" i="4"/>
  <c r="BQ310" i="4"/>
  <c r="BP310" i="4"/>
  <c r="M310" i="4"/>
  <c r="BV310" i="4"/>
  <c r="BU310" i="4"/>
  <c r="BT310" i="4"/>
  <c r="BP159" i="4"/>
  <c r="BP163" i="4"/>
  <c r="BP161" i="4"/>
  <c r="H282" i="4"/>
  <c r="BO282" i="4"/>
  <c r="H197" i="4"/>
  <c r="BO197" i="4"/>
  <c r="H156" i="4"/>
  <c r="BO156" i="4"/>
  <c r="H159" i="4"/>
  <c r="H163" i="4"/>
  <c r="H278" i="4"/>
  <c r="BO278" i="4"/>
  <c r="H190" i="4"/>
  <c r="BO190" i="4"/>
  <c r="H161" i="4"/>
  <c r="BU229" i="4"/>
  <c r="AA282" i="4"/>
  <c r="AK282" i="4" s="1"/>
  <c r="AI282" i="4" s="1"/>
  <c r="BV276" i="4"/>
  <c r="L278" i="4"/>
  <c r="AA278" i="4"/>
  <c r="AK278" i="4" s="1"/>
  <c r="AI278" i="4" s="1"/>
  <c r="M287" i="4"/>
  <c r="M303" i="4"/>
  <c r="BS303" i="4"/>
  <c r="BT303" i="4"/>
  <c r="BU303" i="4"/>
  <c r="BV303" i="4"/>
  <c r="BS276" i="4"/>
  <c r="M276" i="4"/>
  <c r="AA234" i="4"/>
  <c r="AK234" i="4" s="1"/>
  <c r="AI234" i="4" s="1"/>
  <c r="AA230" i="4"/>
  <c r="AK230" i="4" s="1"/>
  <c r="AI230" i="4" s="1"/>
  <c r="BT229" i="4"/>
  <c r="AA197" i="4"/>
  <c r="AK197" i="4" s="1"/>
  <c r="AI197" i="4" s="1"/>
  <c r="M229" i="4"/>
  <c r="M190" i="4"/>
  <c r="BT190" i="4"/>
  <c r="BU190" i="4"/>
  <c r="BS190" i="4"/>
  <c r="AA163" i="4"/>
  <c r="AK163" i="4" s="1"/>
  <c r="AI163" i="4" s="1"/>
  <c r="AA161" i="4"/>
  <c r="AK161" i="4" s="1"/>
  <c r="AI161" i="4" s="1"/>
  <c r="AA155" i="4"/>
  <c r="AK155" i="4" s="1"/>
  <c r="AI155" i="4" s="1"/>
  <c r="AA156" i="4"/>
  <c r="AK156" i="4" s="1"/>
  <c r="AI156" i="4" s="1"/>
  <c r="R36" i="9"/>
  <c r="R48" i="9"/>
  <c r="R30" i="9"/>
  <c r="R42" i="9"/>
  <c r="R24" i="9"/>
  <c r="R7" i="9"/>
  <c r="R38" i="9"/>
  <c r="R10" i="9"/>
  <c r="R41" i="9"/>
  <c r="R9" i="9"/>
  <c r="R49" i="9"/>
  <c r="R8" i="9"/>
  <c r="R11" i="9"/>
  <c r="R18" i="9"/>
  <c r="R19" i="9"/>
  <c r="R50" i="9"/>
  <c r="R22" i="9"/>
  <c r="R20" i="9"/>
  <c r="R23" i="9"/>
  <c r="R31" i="9"/>
  <c r="R34" i="9"/>
  <c r="R32" i="9"/>
  <c r="R35" i="9"/>
  <c r="R43" i="9"/>
  <c r="R46" i="9"/>
  <c r="R33" i="9"/>
  <c r="R12" i="9"/>
  <c r="R13" i="9"/>
  <c r="R44" i="9"/>
  <c r="R16" i="9"/>
  <c r="R47" i="9"/>
  <c r="R27" i="9"/>
  <c r="R21" i="9"/>
  <c r="R14" i="9"/>
  <c r="R6" i="9"/>
  <c r="R17" i="9"/>
  <c r="R25" i="9"/>
  <c r="R28" i="9"/>
  <c r="R51" i="9"/>
  <c r="R26" i="9"/>
  <c r="R29" i="9"/>
  <c r="R37" i="9"/>
  <c r="R40" i="9"/>
  <c r="R45" i="9"/>
  <c r="R15" i="9"/>
  <c r="R39" i="9"/>
  <c r="L159" i="4"/>
  <c r="AA159" i="4"/>
  <c r="AA114" i="4"/>
  <c r="AK114" i="4" s="1"/>
  <c r="AI114" i="4" s="1"/>
  <c r="AA116" i="4"/>
  <c r="AK116" i="4" s="1"/>
  <c r="AI116" i="4" s="1"/>
  <c r="AA89" i="4"/>
  <c r="AK89" i="4" s="1"/>
  <c r="AI89" i="4" s="1"/>
  <c r="AA91" i="4"/>
  <c r="AK91" i="4" s="1"/>
  <c r="AI91" i="4" s="1"/>
  <c r="AA81" i="4"/>
  <c r="AK81" i="4" s="1"/>
  <c r="AI81" i="4" s="1"/>
  <c r="AA80" i="4"/>
  <c r="AK80" i="4" s="1"/>
  <c r="AI80" i="4" s="1"/>
  <c r="AA92" i="4"/>
  <c r="AK92" i="4" s="1"/>
  <c r="AI92" i="4" s="1"/>
  <c r="AA90" i="4"/>
  <c r="AK90" i="4" s="1"/>
  <c r="AI90" i="4" s="1"/>
  <c r="AA68" i="4"/>
  <c r="AK68" i="4" s="1"/>
  <c r="AI68" i="4" s="1"/>
  <c r="AA62" i="4"/>
  <c r="AK62" i="4" s="1"/>
  <c r="AI62" i="4" s="1"/>
  <c r="AA67" i="4"/>
  <c r="AK67" i="4" s="1"/>
  <c r="AI67" i="4" s="1"/>
  <c r="AA66" i="4"/>
  <c r="AK66" i="4" s="1"/>
  <c r="AI66" i="4" s="1"/>
  <c r="AA65" i="4"/>
  <c r="AK65" i="4" s="1"/>
  <c r="AI65" i="4" s="1"/>
  <c r="AA74" i="4"/>
  <c r="AK74" i="4" s="1"/>
  <c r="AI74" i="4" s="1"/>
  <c r="AA58" i="4"/>
  <c r="AK58" i="4" s="1"/>
  <c r="AI58" i="4" s="1"/>
  <c r="AA57" i="4"/>
  <c r="AK57" i="4" s="1"/>
  <c r="AI57" i="4" s="1"/>
  <c r="AA47" i="4"/>
  <c r="AK47" i="4" s="1"/>
  <c r="AI47" i="4" s="1"/>
  <c r="AA55" i="4"/>
  <c r="AK55" i="4" s="1"/>
  <c r="AI55" i="4" s="1"/>
  <c r="AA42" i="4"/>
  <c r="AK42" i="4" s="1"/>
  <c r="AI42" i="4" s="1"/>
  <c r="AA48" i="4"/>
  <c r="AK48" i="4" s="1"/>
  <c r="AI48" i="4" s="1"/>
  <c r="AA46" i="4"/>
  <c r="AK46" i="4" s="1"/>
  <c r="AI46" i="4" s="1"/>
  <c r="DT74" i="4"/>
  <c r="AA31" i="4"/>
  <c r="AK31" i="4" s="1"/>
  <c r="AI31" i="4" s="1"/>
  <c r="AA26" i="4"/>
  <c r="AK26" i="4" s="1"/>
  <c r="AI26" i="4" s="1"/>
  <c r="AA28" i="4"/>
  <c r="AK28" i="4" s="1"/>
  <c r="AI28" i="4" s="1"/>
  <c r="AA33" i="4"/>
  <c r="AK33" i="4" s="1"/>
  <c r="AI33" i="4" s="1"/>
  <c r="AA35" i="4"/>
  <c r="AK35" i="4" s="1"/>
  <c r="AI35" i="4" s="1"/>
  <c r="EH74" i="4"/>
  <c r="AA32" i="4"/>
  <c r="AK32" i="4" s="1"/>
  <c r="AI32" i="4" s="1"/>
  <c r="AA30" i="4"/>
  <c r="AK30" i="4" s="1"/>
  <c r="AI30" i="4" s="1"/>
  <c r="AA36" i="4"/>
  <c r="AK36" i="4" s="1"/>
  <c r="AI36" i="4" s="1"/>
  <c r="AA29" i="4"/>
  <c r="AK29" i="4" s="1"/>
  <c r="AI29" i="4" s="1"/>
  <c r="AA37" i="4"/>
  <c r="AK37" i="4" s="1"/>
  <c r="AI37" i="4" s="1"/>
  <c r="AA34" i="4"/>
  <c r="AK34" i="4" s="1"/>
  <c r="AI34" i="4" s="1"/>
  <c r="AA27" i="4"/>
  <c r="CC74" i="4"/>
  <c r="DR74" i="4"/>
  <c r="FH74" i="4"/>
  <c r="AQ74" i="4"/>
  <c r="CR74" i="4"/>
  <c r="DY74" i="4"/>
  <c r="EJ74" i="4"/>
  <c r="FC74" i="4"/>
  <c r="EA74" i="4"/>
  <c r="FL74" i="4"/>
  <c r="BW74" i="4"/>
  <c r="FX74" i="4"/>
  <c r="ET74" i="4"/>
  <c r="CI74" i="4"/>
  <c r="FA74" i="4"/>
  <c r="CT74" i="4"/>
  <c r="DK74" i="4"/>
  <c r="GU74" i="4"/>
  <c r="GV74" i="4" s="1"/>
  <c r="CP74" i="4"/>
  <c r="DV74" i="4"/>
  <c r="EM74" i="4"/>
  <c r="FV74" i="4"/>
  <c r="EC74" i="4"/>
  <c r="FO74" i="4"/>
  <c r="HC74" i="4"/>
  <c r="HD74" i="4" s="1"/>
  <c r="CW74" i="4"/>
  <c r="FE74" i="4"/>
  <c r="EQ74" i="4"/>
  <c r="HE74" i="4"/>
  <c r="HF74" i="4" s="1"/>
  <c r="GC74" i="4"/>
  <c r="GG74" i="4"/>
  <c r="FS74" i="4"/>
  <c r="CY74" i="4"/>
  <c r="DD74" i="4"/>
  <c r="GE74" i="4"/>
  <c r="EF74" i="4"/>
  <c r="AA12" i="4"/>
  <c r="AK12" i="4" s="1"/>
  <c r="AA18" i="4"/>
  <c r="AK18" i="4" s="1"/>
  <c r="AI18" i="4" s="1"/>
  <c r="AA23" i="4"/>
  <c r="AK23" i="4" s="1"/>
  <c r="AI23" i="4" s="1"/>
  <c r="AA11" i="4"/>
  <c r="AK11" i="4" s="1"/>
  <c r="AI11" i="4" s="1"/>
  <c r="AA4" i="4"/>
  <c r="AK4" i="4" s="1"/>
  <c r="AA21" i="4"/>
  <c r="AK21" i="4" s="1"/>
  <c r="AI21" i="4" s="1"/>
  <c r="AA16" i="4"/>
  <c r="AK16" i="4" s="1"/>
  <c r="AI16" i="4" s="1"/>
  <c r="AA7" i="4"/>
  <c r="AK7" i="4" s="1"/>
  <c r="AI7" i="4" s="1"/>
  <c r="AA15" i="4"/>
  <c r="AK15" i="4" s="1"/>
  <c r="AI15" i="4" s="1"/>
  <c r="AA19" i="4"/>
  <c r="AK19" i="4" s="1"/>
  <c r="AI19" i="4" s="1"/>
  <c r="HG74" i="4"/>
  <c r="HH74" i="4" s="1"/>
  <c r="AA22" i="4"/>
  <c r="AK22" i="4" s="1"/>
  <c r="AI22" i="4" s="1"/>
  <c r="AA13" i="4"/>
  <c r="EV74" i="4"/>
  <c r="GJ74" i="4"/>
  <c r="CK74" i="4"/>
  <c r="AW74" i="4"/>
  <c r="AA17" i="4"/>
  <c r="AK17" i="4" s="1"/>
  <c r="AI17" i="4" s="1"/>
  <c r="AA5" i="4"/>
  <c r="AK5" i="4" s="1"/>
  <c r="AI5" i="4" s="1"/>
  <c r="AA8" i="4"/>
  <c r="AK8" i="4" s="1"/>
  <c r="AI8" i="4" s="1"/>
  <c r="AA9" i="4"/>
  <c r="AK9" i="4" s="1"/>
  <c r="DF74" i="4"/>
  <c r="DM74" i="4"/>
  <c r="EO74" i="4"/>
  <c r="AA10" i="4"/>
  <c r="AK10" i="4" s="1"/>
  <c r="AI10" i="4" s="1"/>
  <c r="AA24" i="4"/>
  <c r="AA6" i="4"/>
  <c r="AK6" i="4" s="1"/>
  <c r="AA14" i="4"/>
  <c r="AK14" i="4" s="1"/>
  <c r="EX74" i="4"/>
  <c r="FJ74" i="4"/>
  <c r="FQ74" i="4"/>
  <c r="FZ74" i="4"/>
  <c r="CM74" i="4"/>
  <c r="DA74" i="4"/>
  <c r="DH74" i="4"/>
  <c r="L2" i="9"/>
  <c r="G2" i="9"/>
  <c r="O2" i="9"/>
  <c r="D2" i="9"/>
  <c r="N2" i="9"/>
  <c r="Q2" i="9"/>
  <c r="K2" i="9"/>
  <c r="I2" i="9"/>
  <c r="J2" i="9"/>
  <c r="M2" i="9"/>
  <c r="P2" i="9"/>
  <c r="F2" i="9"/>
  <c r="C2" i="9"/>
  <c r="H2" i="9"/>
  <c r="P410" i="4"/>
  <c r="HA410" i="4" s="1"/>
  <c r="P303" i="4"/>
  <c r="HC303" i="4"/>
  <c r="HD303" i="4" s="1"/>
  <c r="HG303" i="4"/>
  <c r="HH303" i="4" s="1"/>
  <c r="HG230" i="4"/>
  <c r="HH230" i="4" s="1"/>
  <c r="HC378" i="4"/>
  <c r="HD378" i="4" s="1"/>
  <c r="GY382" i="4"/>
  <c r="GZ382" i="4" s="1"/>
  <c r="GY303" i="4"/>
  <c r="GZ303" i="4" s="1"/>
  <c r="GY230" i="4"/>
  <c r="GZ230" i="4" s="1"/>
  <c r="GY378" i="4"/>
  <c r="GZ378" i="4" s="1"/>
  <c r="GU303" i="4"/>
  <c r="GV303" i="4" s="1"/>
  <c r="GW303" i="4"/>
  <c r="GX303" i="4" s="1"/>
  <c r="GW230" i="4"/>
  <c r="GX230" i="4" s="1"/>
  <c r="GU230" i="4"/>
  <c r="GV230" i="4" s="1"/>
  <c r="GU382" i="4"/>
  <c r="GV382" i="4" s="1"/>
  <c r="GU378" i="4"/>
  <c r="GV378" i="4" s="1"/>
  <c r="GW382" i="4"/>
  <c r="GX382" i="4" s="1"/>
  <c r="GW378" i="4"/>
  <c r="GX378" i="4" s="1"/>
  <c r="C310" i="4"/>
  <c r="C159" i="4"/>
  <c r="C287" i="4"/>
  <c r="C156" i="4"/>
  <c r="C161" i="4"/>
  <c r="C335" i="4"/>
  <c r="C163" i="4"/>
  <c r="C197" i="4"/>
  <c r="C278" i="4"/>
  <c r="C282" i="4"/>
  <c r="C276" i="4"/>
  <c r="C190" i="4"/>
  <c r="C229" i="4"/>
  <c r="C234" i="4"/>
  <c r="C390" i="4"/>
  <c r="C374" i="4"/>
  <c r="C325" i="4"/>
  <c r="HK387" i="4"/>
  <c r="HO387" i="4"/>
  <c r="HS387" i="4"/>
  <c r="N303" i="4"/>
  <c r="CE382" i="4"/>
  <c r="N382" i="4"/>
  <c r="C391" i="4"/>
  <c r="HI391" i="4"/>
  <c r="HK391" i="4"/>
  <c r="HO391" i="4"/>
  <c r="HS391" i="4"/>
  <c r="AQ382" i="4"/>
  <c r="C387" i="4"/>
  <c r="AS382" i="4"/>
  <c r="C410" i="4"/>
  <c r="HI396" i="4"/>
  <c r="HK396" i="4"/>
  <c r="HO396" i="4"/>
  <c r="HI390" i="4"/>
  <c r="HK390" i="4"/>
  <c r="HM390" i="4"/>
  <c r="HO390" i="4"/>
  <c r="FZ378" i="4"/>
  <c r="HU378" i="4"/>
  <c r="HO374" i="4"/>
  <c r="HS374" i="4"/>
  <c r="HK374" i="4"/>
  <c r="HI374" i="4"/>
  <c r="CI382" i="4"/>
  <c r="DT382" i="4"/>
  <c r="EO382" i="4"/>
  <c r="FV382" i="4"/>
  <c r="DY382" i="4"/>
  <c r="GE382" i="4"/>
  <c r="FE382" i="4"/>
  <c r="FA382" i="4"/>
  <c r="GJ382" i="4"/>
  <c r="GG382" i="4"/>
  <c r="EH382" i="4"/>
  <c r="EC382" i="4"/>
  <c r="FJ382" i="4"/>
  <c r="DM382" i="4"/>
  <c r="GC382" i="4"/>
  <c r="DO382" i="4"/>
  <c r="EX382" i="4"/>
  <c r="DA382" i="4"/>
  <c r="FH382" i="4"/>
  <c r="EF382" i="4"/>
  <c r="CM382" i="4"/>
  <c r="DK382" i="4"/>
  <c r="CC382" i="4"/>
  <c r="EV382" i="4"/>
  <c r="DD382" i="4"/>
  <c r="FX382" i="4"/>
  <c r="CW382" i="4"/>
  <c r="EJ382" i="4"/>
  <c r="CP382" i="4"/>
  <c r="FL382" i="4"/>
  <c r="BW382" i="4"/>
  <c r="FS382" i="4"/>
  <c r="FO382" i="4"/>
  <c r="CY382" i="4"/>
  <c r="GL382" i="4"/>
  <c r="DV382" i="4"/>
  <c r="FC382" i="4"/>
  <c r="FZ382" i="4"/>
  <c r="DH382" i="4"/>
  <c r="EQ382" i="4"/>
  <c r="EM382" i="4"/>
  <c r="DR382" i="4"/>
  <c r="CA382" i="4"/>
  <c r="EA382" i="4"/>
  <c r="DF382" i="4"/>
  <c r="ET382" i="4"/>
  <c r="FQ382" i="4"/>
  <c r="GN382" i="4"/>
  <c r="CK382" i="4"/>
  <c r="HM190" i="4"/>
  <c r="HO190" i="4"/>
  <c r="HS190" i="4"/>
  <c r="HM287" i="4"/>
  <c r="HQ287" i="4"/>
  <c r="HS287" i="4"/>
  <c r="HO278" i="4"/>
  <c r="HQ278" i="4"/>
  <c r="HS278" i="4"/>
  <c r="HM229" i="4"/>
  <c r="HO229" i="4"/>
  <c r="HS229" i="4"/>
  <c r="HO197" i="4"/>
  <c r="HM197" i="4"/>
  <c r="HS197" i="4"/>
  <c r="HO161" i="4"/>
  <c r="HS161" i="4"/>
  <c r="HM282" i="4"/>
  <c r="HQ282" i="4"/>
  <c r="HS282" i="4"/>
  <c r="HM276" i="4"/>
  <c r="HO276" i="4"/>
  <c r="HO234" i="4"/>
  <c r="HQ234" i="4"/>
  <c r="HS234" i="4"/>
  <c r="HO159" i="4"/>
  <c r="HQ159" i="4"/>
  <c r="HM325" i="4"/>
  <c r="HS325" i="4"/>
  <c r="HQ156" i="4"/>
  <c r="HO156" i="4"/>
  <c r="HS156" i="4"/>
  <c r="HO335" i="4"/>
  <c r="HS335" i="4"/>
  <c r="HM163" i="4"/>
  <c r="HO163" i="4"/>
  <c r="HO310" i="4"/>
  <c r="HS310" i="4"/>
  <c r="HI325" i="4"/>
  <c r="HI287" i="4"/>
  <c r="HI190" i="4"/>
  <c r="FO303" i="4"/>
  <c r="HU303" i="4"/>
  <c r="AO303" i="4" s="1"/>
  <c r="HK310" i="4"/>
  <c r="HI310" i="4"/>
  <c r="L163" i="4"/>
  <c r="HK276" i="4"/>
  <c r="HK156" i="4"/>
  <c r="HI229" i="4"/>
  <c r="HK161" i="4"/>
  <c r="HI161" i="4"/>
  <c r="HK234" i="4"/>
  <c r="HI335" i="4"/>
  <c r="HK335" i="4"/>
  <c r="HK163" i="4"/>
  <c r="HI163" i="4"/>
  <c r="HK197" i="4"/>
  <c r="HK159" i="4"/>
  <c r="AS303" i="4"/>
  <c r="AQ303" i="4"/>
  <c r="AY378" i="4"/>
  <c r="AW378" i="4"/>
  <c r="AY303" i="4"/>
  <c r="AW303" i="4"/>
  <c r="AQ378" i="4"/>
  <c r="FA378" i="4"/>
  <c r="DH378" i="4"/>
  <c r="CI378" i="4"/>
  <c r="CP378" i="4"/>
  <c r="ET303" i="4"/>
  <c r="CR303" i="4"/>
  <c r="CY303" i="4"/>
  <c r="DF303" i="4"/>
  <c r="CI230" i="4"/>
  <c r="CM230" i="4"/>
  <c r="DA230" i="4"/>
  <c r="L161" i="4"/>
  <c r="CY378" i="4"/>
  <c r="FL378" i="4"/>
  <c r="DK378" i="4"/>
  <c r="DR378" i="4"/>
  <c r="FS303" i="4"/>
  <c r="DT303" i="4"/>
  <c r="EA303" i="4"/>
  <c r="EH303" i="4"/>
  <c r="DK230" i="4"/>
  <c r="DO230" i="4"/>
  <c r="DV230" i="4"/>
  <c r="EC230" i="4"/>
  <c r="L197" i="4"/>
  <c r="FC378" i="4"/>
  <c r="DY378" i="4"/>
  <c r="EM378" i="4"/>
  <c r="ET378" i="4"/>
  <c r="EQ303" i="4"/>
  <c r="EV303" i="4"/>
  <c r="FC303" i="4"/>
  <c r="FJ303" i="4"/>
  <c r="EM230" i="4"/>
  <c r="EQ230" i="4"/>
  <c r="EX230" i="4"/>
  <c r="FE230" i="4"/>
  <c r="CW378" i="4"/>
  <c r="GC378" i="4"/>
  <c r="FO378" i="4"/>
  <c r="FV378" i="4"/>
  <c r="FV303" i="4"/>
  <c r="FX303" i="4"/>
  <c r="GE303" i="4"/>
  <c r="GL303" i="4"/>
  <c r="FO230" i="4"/>
  <c r="FS230" i="4"/>
  <c r="FZ230" i="4"/>
  <c r="GG230" i="4"/>
  <c r="EJ378" i="4"/>
  <c r="EA378" i="4"/>
  <c r="CK378" i="4"/>
  <c r="CR378" i="4"/>
  <c r="CM303" i="4"/>
  <c r="DA303" i="4"/>
  <c r="DH303" i="4"/>
  <c r="DH230" i="4"/>
  <c r="CW230" i="4"/>
  <c r="DD230" i="4"/>
  <c r="GN378" i="4"/>
  <c r="GE378" i="4"/>
  <c r="DM378" i="4"/>
  <c r="DT378" i="4"/>
  <c r="CP303" i="4"/>
  <c r="DV303" i="4"/>
  <c r="EC303" i="4"/>
  <c r="EJ303" i="4"/>
  <c r="EJ230" i="4"/>
  <c r="DR230" i="4"/>
  <c r="DY230" i="4"/>
  <c r="EF230" i="4"/>
  <c r="DA378" i="4"/>
  <c r="EC378" i="4"/>
  <c r="EO378" i="4"/>
  <c r="EV378" i="4"/>
  <c r="DO303" i="4"/>
  <c r="EX303" i="4"/>
  <c r="FE303" i="4"/>
  <c r="FL303" i="4"/>
  <c r="FL230" i="4"/>
  <c r="ET230" i="4"/>
  <c r="FA230" i="4"/>
  <c r="FH230" i="4"/>
  <c r="FE378" i="4"/>
  <c r="GG378" i="4"/>
  <c r="FQ378" i="4"/>
  <c r="FX378" i="4"/>
  <c r="DR303" i="4"/>
  <c r="FZ303" i="4"/>
  <c r="GG303" i="4"/>
  <c r="GN303" i="4"/>
  <c r="GN230" i="4"/>
  <c r="FV230" i="4"/>
  <c r="GC230" i="4"/>
  <c r="GJ230" i="4"/>
  <c r="DD378" i="4"/>
  <c r="EF378" i="4"/>
  <c r="CM378" i="4"/>
  <c r="CK303" i="4"/>
  <c r="CW303" i="4"/>
  <c r="DD303" i="4"/>
  <c r="CI303" i="4"/>
  <c r="CK230" i="4"/>
  <c r="CR230" i="4"/>
  <c r="CY230" i="4"/>
  <c r="DF230" i="4"/>
  <c r="FH378" i="4"/>
  <c r="GJ378" i="4"/>
  <c r="DO378" i="4"/>
  <c r="DV378" i="4"/>
  <c r="DM303" i="4"/>
  <c r="DY303" i="4"/>
  <c r="EF303" i="4"/>
  <c r="DK303" i="4"/>
  <c r="DM230" i="4"/>
  <c r="DT230" i="4"/>
  <c r="EA230" i="4"/>
  <c r="EH230" i="4"/>
  <c r="DF378" i="4"/>
  <c r="EH378" i="4"/>
  <c r="EQ378" i="4"/>
  <c r="EX378" i="4"/>
  <c r="EO303" i="4"/>
  <c r="FA303" i="4"/>
  <c r="FH303" i="4"/>
  <c r="EM303" i="4"/>
  <c r="EO230" i="4"/>
  <c r="EV230" i="4"/>
  <c r="FC230" i="4"/>
  <c r="FJ230" i="4"/>
  <c r="FJ378" i="4"/>
  <c r="GL378" i="4"/>
  <c r="FS378" i="4"/>
  <c r="FQ303" i="4"/>
  <c r="GC303" i="4"/>
  <c r="GJ303" i="4"/>
  <c r="FQ230" i="4"/>
  <c r="FX230" i="4"/>
  <c r="GE230" i="4"/>
  <c r="HU230" i="4"/>
  <c r="HU74" i="4"/>
  <c r="AS230" i="4"/>
  <c r="CE230" i="4"/>
  <c r="CC303" i="4"/>
  <c r="CE303" i="4"/>
  <c r="CC378" i="4"/>
  <c r="CE378" i="4"/>
  <c r="L74" i="4"/>
  <c r="L234" i="4"/>
  <c r="BF282" i="4"/>
  <c r="EM282" i="4" s="1"/>
  <c r="BF387" i="4"/>
  <c r="AY230" i="4"/>
  <c r="BF310" i="4"/>
  <c r="BF197" i="4"/>
  <c r="AQ197" i="4" s="1"/>
  <c r="BF391" i="4"/>
  <c r="GW391" i="4" s="1"/>
  <c r="GX391" i="4" s="1"/>
  <c r="BF156" i="4"/>
  <c r="EX156" i="4" s="1"/>
  <c r="BF234" i="4"/>
  <c r="CG234" i="4" s="1"/>
  <c r="BF390" i="4"/>
  <c r="L282" i="4"/>
  <c r="L156" i="4"/>
  <c r="CA378" i="4"/>
  <c r="L230" i="4"/>
  <c r="BY378" i="4"/>
  <c r="L335" i="4"/>
  <c r="BW303" i="4"/>
  <c r="BY303" i="4"/>
  <c r="BW378" i="4"/>
  <c r="BF335" i="4"/>
  <c r="DF335" i="4" s="1"/>
  <c r="BF325" i="4"/>
  <c r="BF374" i="4"/>
  <c r="BF229" i="4"/>
  <c r="BF287" i="4"/>
  <c r="BY230" i="4"/>
  <c r="BF190" i="4"/>
  <c r="HU190" i="4" s="1"/>
  <c r="BF163" i="4"/>
  <c r="BF396" i="4"/>
  <c r="P396" i="4" s="1"/>
  <c r="BF276" i="4"/>
  <c r="P276" i="4" s="1"/>
  <c r="BF278" i="4"/>
  <c r="AO278" i="4" s="1"/>
  <c r="BF161" i="4"/>
  <c r="BF159" i="4"/>
  <c r="CR159" i="4" s="1"/>
  <c r="A315" i="5"/>
  <c r="A311" i="5"/>
  <c r="A306" i="5"/>
  <c r="BU276" i="4" l="1"/>
  <c r="GS276" i="4"/>
  <c r="CG382" i="4"/>
  <c r="CT382" i="4"/>
  <c r="HS410" i="4"/>
  <c r="HS382" i="4"/>
  <c r="HE410" i="4"/>
  <c r="BT410" i="4"/>
  <c r="CG410" i="4"/>
  <c r="CT410" i="4"/>
  <c r="CE410" i="4"/>
  <c r="CR410" i="4"/>
  <c r="GS396" i="4"/>
  <c r="GU396" i="4" s="1"/>
  <c r="BS396" i="4"/>
  <c r="P391" i="4"/>
  <c r="BS391" i="4" s="1"/>
  <c r="GU390" i="4"/>
  <c r="GV390" i="4" s="1"/>
  <c r="P390" i="4"/>
  <c r="BT390" i="4" s="1"/>
  <c r="HU387" i="4"/>
  <c r="P387" i="4"/>
  <c r="BS387" i="4" s="1"/>
  <c r="AS378" i="4"/>
  <c r="HU374" i="4"/>
  <c r="P374" i="4"/>
  <c r="BS374" i="4" s="1"/>
  <c r="CR411" i="4"/>
  <c r="CE411" i="4"/>
  <c r="M163" i="4"/>
  <c r="M335" i="4"/>
  <c r="BT335" i="4"/>
  <c r="BU335" i="4"/>
  <c r="BV335" i="4"/>
  <c r="HU325" i="4"/>
  <c r="AO325" i="4" s="1"/>
  <c r="P325" i="4"/>
  <c r="BS325" i="4" s="1"/>
  <c r="HU310" i="4"/>
  <c r="AO310" i="4" s="1"/>
  <c r="P310" i="4"/>
  <c r="BS310" i="4" s="1"/>
  <c r="M278" i="4"/>
  <c r="BU278" i="4"/>
  <c r="BS278" i="4"/>
  <c r="BT278" i="4"/>
  <c r="M156" i="4"/>
  <c r="HU287" i="4"/>
  <c r="P287" i="4"/>
  <c r="BV287" i="4" s="1"/>
  <c r="M282" i="4"/>
  <c r="BS282" i="4"/>
  <c r="BT282" i="4"/>
  <c r="BV282" i="4"/>
  <c r="P278" i="4"/>
  <c r="BV278" i="4" s="1"/>
  <c r="M74" i="4"/>
  <c r="AO230" i="4"/>
  <c r="Y1" i="9"/>
  <c r="X1" i="9"/>
  <c r="AD1" i="9"/>
  <c r="AI1" i="9"/>
  <c r="W1" i="9"/>
  <c r="AA1" i="9"/>
  <c r="AH1" i="9"/>
  <c r="AJ1" i="9"/>
  <c r="AE1" i="9"/>
  <c r="AG1" i="9"/>
  <c r="AF1" i="9"/>
  <c r="AC1" i="9"/>
  <c r="V1" i="9"/>
  <c r="AB1" i="9"/>
  <c r="Z1" i="9"/>
  <c r="M161" i="4"/>
  <c r="M234" i="4"/>
  <c r="BV234" i="4"/>
  <c r="BS234" i="4"/>
  <c r="BT234" i="4"/>
  <c r="M230" i="4"/>
  <c r="BV230" i="4"/>
  <c r="BS230" i="4"/>
  <c r="BU230" i="4"/>
  <c r="HU229" i="4"/>
  <c r="AS229" i="4" s="1"/>
  <c r="P229" i="4"/>
  <c r="BV229" i="4" s="1"/>
  <c r="BS159" i="4"/>
  <c r="M197" i="4"/>
  <c r="BT197" i="4"/>
  <c r="BV197" i="4"/>
  <c r="BS197" i="4"/>
  <c r="P190" i="4"/>
  <c r="BV190" i="4" s="1"/>
  <c r="BU159" i="4"/>
  <c r="BV159" i="4"/>
  <c r="S5" i="9"/>
  <c r="S44" i="9"/>
  <c r="S18" i="9"/>
  <c r="S80" i="9"/>
  <c r="S45" i="9"/>
  <c r="S35" i="9"/>
  <c r="S24" i="9"/>
  <c r="S17" i="9"/>
  <c r="S68" i="9"/>
  <c r="S30" i="9"/>
  <c r="S69" i="9"/>
  <c r="S57" i="9"/>
  <c r="S47" i="9"/>
  <c r="S36" i="9"/>
  <c r="S29" i="9"/>
  <c r="S22" i="9"/>
  <c r="S42" i="9"/>
  <c r="S34" i="9"/>
  <c r="S81" i="9"/>
  <c r="S59" i="9"/>
  <c r="S48" i="9"/>
  <c r="S41" i="9"/>
  <c r="S58" i="9"/>
  <c r="S54" i="9"/>
  <c r="S70" i="9"/>
  <c r="S46" i="9"/>
  <c r="S71" i="9"/>
  <c r="S60" i="9"/>
  <c r="S53" i="9"/>
  <c r="S82" i="9"/>
  <c r="S66" i="9"/>
  <c r="S13" i="9"/>
  <c r="S37" i="9"/>
  <c r="S83" i="9"/>
  <c r="S72" i="9"/>
  <c r="S65" i="9"/>
  <c r="S25" i="9"/>
  <c r="S78" i="9"/>
  <c r="S73" i="9"/>
  <c r="S50" i="9"/>
  <c r="S49" i="9"/>
  <c r="S84" i="9"/>
  <c r="S77" i="9"/>
  <c r="S85" i="9"/>
  <c r="S7" i="9"/>
  <c r="S38" i="9"/>
  <c r="S86" i="9"/>
  <c r="S14" i="9"/>
  <c r="S61" i="9"/>
  <c r="S19" i="9"/>
  <c r="S62" i="9"/>
  <c r="S43" i="9"/>
  <c r="S39" i="9"/>
  <c r="S75" i="9"/>
  <c r="S74" i="9"/>
  <c r="S26" i="9"/>
  <c r="S31" i="9"/>
  <c r="S15" i="9"/>
  <c r="S67" i="9"/>
  <c r="S40" i="9"/>
  <c r="S10" i="9"/>
  <c r="S63" i="9"/>
  <c r="S51" i="9"/>
  <c r="S55" i="9"/>
  <c r="S16" i="9"/>
  <c r="S8" i="9"/>
  <c r="S9" i="9"/>
  <c r="S27" i="9"/>
  <c r="S28" i="9"/>
  <c r="S4" i="9"/>
  <c r="S79" i="9"/>
  <c r="S64" i="9"/>
  <c r="S32" i="9"/>
  <c r="S21" i="9"/>
  <c r="S11" i="9"/>
  <c r="S76" i="9"/>
  <c r="S52" i="9"/>
  <c r="S20" i="9"/>
  <c r="S6" i="9"/>
  <c r="S56" i="9"/>
  <c r="S33" i="9"/>
  <c r="S23" i="9"/>
  <c r="S12" i="9"/>
  <c r="P159" i="4"/>
  <c r="BT159" i="4" s="1"/>
  <c r="BS163" i="4"/>
  <c r="BU163" i="4"/>
  <c r="BV163" i="4"/>
  <c r="BT161" i="4"/>
  <c r="BU161" i="4"/>
  <c r="BV161" i="4"/>
  <c r="BS156" i="4"/>
  <c r="BT156" i="4"/>
  <c r="BV156" i="4"/>
  <c r="BS74" i="4"/>
  <c r="BT74" i="4"/>
  <c r="BV74" i="4"/>
  <c r="AS74" i="4"/>
  <c r="AL10" i="4"/>
  <c r="AL18" i="4"/>
  <c r="AL19" i="4"/>
  <c r="AI14" i="4"/>
  <c r="AI9" i="4"/>
  <c r="AL9" i="4" s="1"/>
  <c r="AI6" i="4"/>
  <c r="AL6" i="4" s="1"/>
  <c r="AL8" i="4"/>
  <c r="AL5" i="4"/>
  <c r="AI12" i="4"/>
  <c r="AL12" i="4" s="1"/>
  <c r="AL7" i="4"/>
  <c r="AI4" i="4"/>
  <c r="AL13" i="4"/>
  <c r="AL11" i="4"/>
  <c r="P1" i="9"/>
  <c r="F1" i="9"/>
  <c r="M1" i="9"/>
  <c r="J1" i="9"/>
  <c r="I1" i="9"/>
  <c r="K1" i="9"/>
  <c r="Q1" i="9"/>
  <c r="N1" i="9"/>
  <c r="D1" i="9"/>
  <c r="O1" i="9"/>
  <c r="H1" i="9"/>
  <c r="G1" i="9"/>
  <c r="C1" i="9"/>
  <c r="E1" i="9"/>
  <c r="L1" i="9"/>
  <c r="P74" i="4"/>
  <c r="HI74" i="4" s="1"/>
  <c r="P230" i="4"/>
  <c r="BT230" i="4" s="1"/>
  <c r="P234" i="4"/>
  <c r="BU234" i="4" s="1"/>
  <c r="P163" i="4"/>
  <c r="BT163" i="4" s="1"/>
  <c r="P156" i="4"/>
  <c r="BU156" i="4" s="1"/>
  <c r="P335" i="4"/>
  <c r="BS335" i="4" s="1"/>
  <c r="P197" i="4"/>
  <c r="BU197" i="4" s="1"/>
  <c r="P282" i="4"/>
  <c r="CR282" i="4" s="1"/>
  <c r="P161" i="4"/>
  <c r="CT161" i="4" s="1"/>
  <c r="AO378" i="4"/>
  <c r="HQ378" i="4"/>
  <c r="HM382" i="4"/>
  <c r="HC163" i="4"/>
  <c r="HD163" i="4" s="1"/>
  <c r="HG391" i="4"/>
  <c r="HH391" i="4" s="1"/>
  <c r="HC229" i="4"/>
  <c r="HD229" i="4" s="1"/>
  <c r="HE282" i="4"/>
  <c r="HF282" i="4" s="1"/>
  <c r="HC159" i="4"/>
  <c r="HD159" i="4" s="1"/>
  <c r="HE278" i="4"/>
  <c r="HF278" i="4" s="1"/>
  <c r="HC197" i="4"/>
  <c r="HD197" i="4" s="1"/>
  <c r="HG335" i="4"/>
  <c r="HH335" i="4" s="1"/>
  <c r="HG374" i="4"/>
  <c r="HH374" i="4" s="1"/>
  <c r="HE159" i="4"/>
  <c r="HF159" i="4" s="1"/>
  <c r="CR382" i="4"/>
  <c r="HG159" i="4"/>
  <c r="HH159" i="4" s="1"/>
  <c r="HC390" i="4"/>
  <c r="HD390" i="4" s="1"/>
  <c r="HC190" i="4"/>
  <c r="HD190" i="4" s="1"/>
  <c r="HE156" i="4"/>
  <c r="HF156" i="4" s="1"/>
  <c r="HG390" i="4"/>
  <c r="HH390" i="4" s="1"/>
  <c r="HE234" i="4"/>
  <c r="HF234" i="4" s="1"/>
  <c r="HC276" i="4"/>
  <c r="HD276" i="4" s="1"/>
  <c r="HE287" i="4"/>
  <c r="HF287" i="4" s="1"/>
  <c r="HG310" i="4"/>
  <c r="HH310" i="4" s="1"/>
  <c r="HC396" i="4"/>
  <c r="HD396" i="4" s="1"/>
  <c r="GY278" i="4"/>
  <c r="GZ278" i="4" s="1"/>
  <c r="GY234" i="4"/>
  <c r="GZ234" i="4" s="1"/>
  <c r="GY335" i="4"/>
  <c r="GZ335" i="4" s="1"/>
  <c r="GY161" i="4"/>
  <c r="GZ161" i="4" s="1"/>
  <c r="GY156" i="4"/>
  <c r="GZ156" i="4" s="1"/>
  <c r="GY276" i="4"/>
  <c r="GY197" i="4"/>
  <c r="GZ197" i="4" s="1"/>
  <c r="GY287" i="4"/>
  <c r="GZ287" i="4" s="1"/>
  <c r="GY229" i="4"/>
  <c r="GZ229" i="4" s="1"/>
  <c r="GY163" i="4"/>
  <c r="GZ163" i="4" s="1"/>
  <c r="GY396" i="4"/>
  <c r="GZ396" i="4" s="1"/>
  <c r="GY325" i="4"/>
  <c r="GZ325" i="4" s="1"/>
  <c r="GY387" i="4"/>
  <c r="GZ387" i="4" s="1"/>
  <c r="GY391" i="4"/>
  <c r="GZ391" i="4" s="1"/>
  <c r="GY390" i="4"/>
  <c r="GZ390" i="4" s="1"/>
  <c r="GY282" i="4"/>
  <c r="GZ282" i="4" s="1"/>
  <c r="GY310" i="4"/>
  <c r="GZ310" i="4" s="1"/>
  <c r="GY374" i="4"/>
  <c r="GZ374" i="4" s="1"/>
  <c r="GY190" i="4"/>
  <c r="GZ190" i="4" s="1"/>
  <c r="GW335" i="4"/>
  <c r="GX335" i="4" s="1"/>
  <c r="GU391" i="4"/>
  <c r="GV391" i="4" s="1"/>
  <c r="GW282" i="4"/>
  <c r="GX282" i="4" s="1"/>
  <c r="GW229" i="4"/>
  <c r="GX229" i="4" s="1"/>
  <c r="GU161" i="4"/>
  <c r="GV161" i="4" s="1"/>
  <c r="GW374" i="4"/>
  <c r="GX374" i="4" s="1"/>
  <c r="GU282" i="4"/>
  <c r="GV282" i="4" s="1"/>
  <c r="GU229" i="4"/>
  <c r="GV229" i="4" s="1"/>
  <c r="GU190" i="4"/>
  <c r="GV190" i="4" s="1"/>
  <c r="GW161" i="4"/>
  <c r="GX161" i="4" s="1"/>
  <c r="GU156" i="4"/>
  <c r="GV156" i="4" s="1"/>
  <c r="GU374" i="4"/>
  <c r="GV374" i="4" s="1"/>
  <c r="GU310" i="4"/>
  <c r="GV310" i="4" s="1"/>
  <c r="GW190" i="4"/>
  <c r="GX190" i="4" s="1"/>
  <c r="GW156" i="4"/>
  <c r="GX156" i="4" s="1"/>
  <c r="GW310" i="4"/>
  <c r="GX310" i="4" s="1"/>
  <c r="GW278" i="4"/>
  <c r="GX278" i="4" s="1"/>
  <c r="GW276" i="4"/>
  <c r="GX276" i="4" s="1"/>
  <c r="GU287" i="4"/>
  <c r="GV287" i="4" s="1"/>
  <c r="GU325" i="4"/>
  <c r="GV325" i="4" s="1"/>
  <c r="GU278" i="4"/>
  <c r="GW163" i="4"/>
  <c r="GX163" i="4" s="1"/>
  <c r="GU276" i="4"/>
  <c r="GV276" i="4" s="1"/>
  <c r="GW287" i="4"/>
  <c r="GX287" i="4" s="1"/>
  <c r="GW325" i="4"/>
  <c r="GX325" i="4" s="1"/>
  <c r="GU163" i="4"/>
  <c r="GV163" i="4" s="1"/>
  <c r="GU197" i="4"/>
  <c r="GV197" i="4" s="1"/>
  <c r="GU234" i="4"/>
  <c r="GV234" i="4" s="1"/>
  <c r="GW197" i="4"/>
  <c r="GX197" i="4" s="1"/>
  <c r="GW234" i="4"/>
  <c r="GX234" i="4" s="1"/>
  <c r="GW396" i="4"/>
  <c r="GX396" i="4" s="1"/>
  <c r="GU387" i="4"/>
  <c r="GV387" i="4" s="1"/>
  <c r="GW390" i="4"/>
  <c r="GX390" i="4" s="1"/>
  <c r="GW387" i="4"/>
  <c r="GX387" i="4" s="1"/>
  <c r="GU335" i="4"/>
  <c r="GV335" i="4" s="1"/>
  <c r="CA303" i="4"/>
  <c r="CT378" i="4"/>
  <c r="HA378" i="4"/>
  <c r="CT303" i="4"/>
  <c r="HA303" i="4"/>
  <c r="HE303" i="4" s="1"/>
  <c r="HI382" i="4"/>
  <c r="HA382" i="4"/>
  <c r="HE382" i="4" s="1"/>
  <c r="BY382" i="4"/>
  <c r="FZ387" i="4"/>
  <c r="HM387" i="4"/>
  <c r="N387" i="4"/>
  <c r="CA387" i="4" s="1"/>
  <c r="CG378" i="4"/>
  <c r="FQ391" i="4"/>
  <c r="HU391" i="4"/>
  <c r="HM391" i="4" s="1"/>
  <c r="N391" i="4"/>
  <c r="BW391" i="4" s="1"/>
  <c r="AQ387" i="4"/>
  <c r="AS387" i="4"/>
  <c r="AO387" i="4"/>
  <c r="GJ396" i="4"/>
  <c r="HU396" i="4"/>
  <c r="HM396" i="4" s="1"/>
  <c r="CG396" i="4"/>
  <c r="N410" i="4"/>
  <c r="HU390" i="4"/>
  <c r="HS390" i="4" s="1"/>
  <c r="N390" i="4"/>
  <c r="CG390" i="4"/>
  <c r="HS378" i="4"/>
  <c r="GG374" i="4"/>
  <c r="N374" i="4"/>
  <c r="BW374" i="4" s="1"/>
  <c r="GE396" i="4"/>
  <c r="FH387" i="4"/>
  <c r="GL390" i="4"/>
  <c r="DM391" i="4"/>
  <c r="FE396" i="4"/>
  <c r="EV387" i="4"/>
  <c r="AY391" i="4"/>
  <c r="EA390" i="4"/>
  <c r="DA391" i="4"/>
  <c r="CW396" i="4"/>
  <c r="DO390" i="4"/>
  <c r="CW391" i="4"/>
  <c r="EF387" i="4"/>
  <c r="FH390" i="4"/>
  <c r="CK391" i="4"/>
  <c r="GL396" i="4"/>
  <c r="DF387" i="4"/>
  <c r="EV390" i="4"/>
  <c r="FL396" i="4"/>
  <c r="CT387" i="4"/>
  <c r="AQ390" i="4"/>
  <c r="GC390" i="4"/>
  <c r="DD396" i="4"/>
  <c r="AS390" i="4"/>
  <c r="AS396" i="4"/>
  <c r="FQ390" i="4"/>
  <c r="EQ387" i="4"/>
  <c r="AY390" i="4"/>
  <c r="EQ390" i="4"/>
  <c r="EQ391" i="4"/>
  <c r="DD387" i="4"/>
  <c r="AW390" i="4"/>
  <c r="CI390" i="4"/>
  <c r="CY391" i="4"/>
  <c r="CI391" i="4"/>
  <c r="FJ396" i="4"/>
  <c r="EM387" i="4"/>
  <c r="AS391" i="4"/>
  <c r="AY396" i="4"/>
  <c r="EC391" i="4"/>
  <c r="EJ396" i="4"/>
  <c r="EA387" i="4"/>
  <c r="FZ390" i="4"/>
  <c r="EM390" i="4"/>
  <c r="CC390" i="4"/>
  <c r="DV390" i="4"/>
  <c r="FC390" i="4"/>
  <c r="FC391" i="4"/>
  <c r="EO391" i="4"/>
  <c r="DY391" i="4"/>
  <c r="FE391" i="4"/>
  <c r="EV396" i="4"/>
  <c r="FQ396" i="4"/>
  <c r="CI396" i="4"/>
  <c r="FX396" i="4"/>
  <c r="CP387" i="4"/>
  <c r="FX387" i="4"/>
  <c r="CI387" i="4"/>
  <c r="DR387" i="4"/>
  <c r="FA390" i="4"/>
  <c r="CE390" i="4"/>
  <c r="EJ390" i="4"/>
  <c r="FE390" i="4"/>
  <c r="BW390" i="4"/>
  <c r="FX391" i="4"/>
  <c r="GE391" i="4"/>
  <c r="EM391" i="4"/>
  <c r="CC391" i="4"/>
  <c r="BY391" i="4"/>
  <c r="FV396" i="4"/>
  <c r="FS396" i="4"/>
  <c r="CK396" i="4"/>
  <c r="FZ396" i="4"/>
  <c r="CR396" i="4"/>
  <c r="GN387" i="4"/>
  <c r="CK387" i="4"/>
  <c r="EJ387" i="4"/>
  <c r="DT387" i="4"/>
  <c r="EO390" i="4"/>
  <c r="FV390" i="4"/>
  <c r="GE390" i="4"/>
  <c r="CW390" i="4"/>
  <c r="FL391" i="4"/>
  <c r="FO391" i="4"/>
  <c r="EA391" i="4"/>
  <c r="FH391" i="4"/>
  <c r="GN391" i="4"/>
  <c r="CP396" i="4"/>
  <c r="DK396" i="4"/>
  <c r="DR396" i="4"/>
  <c r="EM396" i="4"/>
  <c r="DA387" i="4"/>
  <c r="FJ387" i="4"/>
  <c r="CG387" i="4"/>
  <c r="GE387" i="4"/>
  <c r="EC390" i="4"/>
  <c r="FJ390" i="4"/>
  <c r="FS390" i="4"/>
  <c r="CK390" i="4"/>
  <c r="CR391" i="4"/>
  <c r="DK391" i="4"/>
  <c r="DO391" i="4"/>
  <c r="EV391" i="4"/>
  <c r="EF391" i="4"/>
  <c r="EX396" i="4"/>
  <c r="CY396" i="4"/>
  <c r="GN396" i="4"/>
  <c r="DF396" i="4"/>
  <c r="EA396" i="4"/>
  <c r="FC387" i="4"/>
  <c r="EX387" i="4"/>
  <c r="GG387" i="4"/>
  <c r="FS387" i="4"/>
  <c r="EX390" i="4"/>
  <c r="DK390" i="4"/>
  <c r="BY390" i="4"/>
  <c r="GL391" i="4"/>
  <c r="CE391" i="4"/>
  <c r="EJ391" i="4"/>
  <c r="DT391" i="4"/>
  <c r="GG396" i="4"/>
  <c r="CM396" i="4"/>
  <c r="EF396" i="4"/>
  <c r="DO396" i="4"/>
  <c r="DO387" i="4"/>
  <c r="DM387" i="4"/>
  <c r="ET387" i="4"/>
  <c r="DK387" i="4"/>
  <c r="GJ390" i="4"/>
  <c r="CP390" i="4"/>
  <c r="CY390" i="4"/>
  <c r="GN390" i="4"/>
  <c r="DD391" i="4"/>
  <c r="FZ391" i="4"/>
  <c r="FV391" i="4"/>
  <c r="ET391" i="4"/>
  <c r="DH391" i="4"/>
  <c r="DY396" i="4"/>
  <c r="DT396" i="4"/>
  <c r="FA396" i="4"/>
  <c r="CE396" i="4"/>
  <c r="BW387" i="4"/>
  <c r="EH387" i="4"/>
  <c r="CY387" i="4"/>
  <c r="FX390" i="4"/>
  <c r="GG390" i="4"/>
  <c r="CM390" i="4"/>
  <c r="EF390" i="4"/>
  <c r="DR391" i="4"/>
  <c r="FJ391" i="4"/>
  <c r="EH391" i="4"/>
  <c r="DM396" i="4"/>
  <c r="ET396" i="4"/>
  <c r="DH396" i="4"/>
  <c r="EO396" i="4"/>
  <c r="FO387" i="4"/>
  <c r="CC387" i="4"/>
  <c r="GJ387" i="4"/>
  <c r="DV387" i="4"/>
  <c r="CM387" i="4"/>
  <c r="FL390" i="4"/>
  <c r="DY390" i="4"/>
  <c r="DT390" i="4"/>
  <c r="CM391" i="4"/>
  <c r="DF391" i="4"/>
  <c r="EX391" i="4"/>
  <c r="DV391" i="4"/>
  <c r="DA396" i="4"/>
  <c r="EH396" i="4"/>
  <c r="FO396" i="4"/>
  <c r="EC396" i="4"/>
  <c r="FA387" i="4"/>
  <c r="FV387" i="4"/>
  <c r="DH387" i="4"/>
  <c r="DF390" i="4"/>
  <c r="DD390" i="4"/>
  <c r="DM390" i="4"/>
  <c r="ET390" i="4"/>
  <c r="DH390" i="4"/>
  <c r="GJ391" i="4"/>
  <c r="CP391" i="4"/>
  <c r="GC391" i="4"/>
  <c r="CC396" i="4"/>
  <c r="DV396" i="4"/>
  <c r="FC396" i="4"/>
  <c r="GC387" i="4"/>
  <c r="EO387" i="4"/>
  <c r="DY387" i="4"/>
  <c r="FQ387" i="4"/>
  <c r="GL387" i="4"/>
  <c r="DR390" i="4"/>
  <c r="CR390" i="4"/>
  <c r="DA390" i="4"/>
  <c r="EH390" i="4"/>
  <c r="FO390" i="4"/>
  <c r="FS391" i="4"/>
  <c r="FA391" i="4"/>
  <c r="GG391" i="4"/>
  <c r="FH396" i="4"/>
  <c r="GC396" i="4"/>
  <c r="EQ396" i="4"/>
  <c r="FL387" i="4"/>
  <c r="EC387" i="4"/>
  <c r="CW387" i="4"/>
  <c r="FE387" i="4"/>
  <c r="HQ303" i="4"/>
  <c r="CG303" i="4"/>
  <c r="DH325" i="4"/>
  <c r="HK325" i="4"/>
  <c r="N325" i="4"/>
  <c r="CA325" i="4" s="1"/>
  <c r="AQ287" i="4"/>
  <c r="N287" i="4"/>
  <c r="BY287" i="4" s="1"/>
  <c r="EO190" i="4"/>
  <c r="N190" i="4"/>
  <c r="AO74" i="4"/>
  <c r="AQ230" i="4"/>
  <c r="AQ163" i="4"/>
  <c r="AQ190" i="4"/>
  <c r="AQ276" i="4"/>
  <c r="AO282" i="4"/>
  <c r="AW229" i="4"/>
  <c r="AO190" i="4"/>
  <c r="AY374" i="4"/>
  <c r="AO156" i="4"/>
  <c r="AO374" i="4"/>
  <c r="AU278" i="4"/>
  <c r="AY310" i="4"/>
  <c r="AU156" i="4"/>
  <c r="AO287" i="4"/>
  <c r="AS374" i="4"/>
  <c r="AW197" i="4"/>
  <c r="AQ374" i="4"/>
  <c r="AO229" i="4"/>
  <c r="AS310" i="4"/>
  <c r="AW276" i="4"/>
  <c r="AS325" i="4"/>
  <c r="AU282" i="4"/>
  <c r="AW163" i="4"/>
  <c r="AW190" i="4"/>
  <c r="AQ310" i="4"/>
  <c r="AU287" i="4"/>
  <c r="AQ325" i="4"/>
  <c r="AQ229" i="4"/>
  <c r="AS190" i="4"/>
  <c r="FO161" i="4"/>
  <c r="HU161" i="4"/>
  <c r="HU197" i="4"/>
  <c r="EQ229" i="4"/>
  <c r="N229" i="4"/>
  <c r="GL276" i="4"/>
  <c r="HU276" i="4"/>
  <c r="N276" i="4"/>
  <c r="N310" i="4"/>
  <c r="CA310" i="4" s="1"/>
  <c r="CG278" i="4"/>
  <c r="GL278" i="4"/>
  <c r="GE278" i="4"/>
  <c r="FX278" i="4"/>
  <c r="DO278" i="4"/>
  <c r="FJ278" i="4"/>
  <c r="FC278" i="4"/>
  <c r="EV278" i="4"/>
  <c r="DM278" i="4"/>
  <c r="EH278" i="4"/>
  <c r="EA278" i="4"/>
  <c r="DT278" i="4"/>
  <c r="CM278" i="4"/>
  <c r="DF278" i="4"/>
  <c r="CY278" i="4"/>
  <c r="FO278" i="4"/>
  <c r="GJ278" i="4"/>
  <c r="GC278" i="4"/>
  <c r="CK278" i="4"/>
  <c r="EM278" i="4"/>
  <c r="FH278" i="4"/>
  <c r="FA278" i="4"/>
  <c r="FV278" i="4"/>
  <c r="DK278" i="4"/>
  <c r="EF278" i="4"/>
  <c r="DY278" i="4"/>
  <c r="FS278" i="4"/>
  <c r="GN278" i="4"/>
  <c r="GG278" i="4"/>
  <c r="FZ278" i="4"/>
  <c r="ET278" i="4"/>
  <c r="FL278" i="4"/>
  <c r="FE278" i="4"/>
  <c r="EX278" i="4"/>
  <c r="EQ278" i="4"/>
  <c r="EJ278" i="4"/>
  <c r="EC278" i="4"/>
  <c r="DV278" i="4"/>
  <c r="EO278" i="4"/>
  <c r="GL287" i="4"/>
  <c r="CK287" i="4"/>
  <c r="DD287" i="4"/>
  <c r="FV287" i="4"/>
  <c r="FJ287" i="4"/>
  <c r="GJ287" i="4"/>
  <c r="FZ287" i="4"/>
  <c r="EC287" i="4"/>
  <c r="EH287" i="4"/>
  <c r="FA287" i="4"/>
  <c r="EQ287" i="4"/>
  <c r="FS287" i="4"/>
  <c r="DF287" i="4"/>
  <c r="DR287" i="4"/>
  <c r="DA287" i="4"/>
  <c r="EF287" i="4"/>
  <c r="FO287" i="4"/>
  <c r="FH287" i="4"/>
  <c r="GG287" i="4"/>
  <c r="FX287" i="4"/>
  <c r="EM287" i="4"/>
  <c r="DY287" i="4"/>
  <c r="EX287" i="4"/>
  <c r="EO287" i="4"/>
  <c r="DK287" i="4"/>
  <c r="CP287" i="4"/>
  <c r="DO287" i="4"/>
  <c r="CY287" i="4"/>
  <c r="FL287" i="4"/>
  <c r="CM287" i="4"/>
  <c r="DM287" i="4"/>
  <c r="EJ287" i="4"/>
  <c r="FC287" i="4"/>
  <c r="GC287" i="4"/>
  <c r="CW287" i="4"/>
  <c r="DV234" i="4"/>
  <c r="CY234" i="4"/>
  <c r="DF234" i="4"/>
  <c r="CK234" i="4"/>
  <c r="GC161" i="4"/>
  <c r="DF161" i="4"/>
  <c r="CK161" i="4"/>
  <c r="EQ276" i="4"/>
  <c r="DA276" i="4"/>
  <c r="DH276" i="4"/>
  <c r="CK374" i="4"/>
  <c r="DO374" i="4"/>
  <c r="CW374" i="4"/>
  <c r="DD374" i="4"/>
  <c r="FA197" i="4"/>
  <c r="DF197" i="4"/>
  <c r="CK197" i="4"/>
  <c r="ET282" i="4"/>
  <c r="CW282" i="4"/>
  <c r="EF282" i="4"/>
  <c r="DR156" i="4"/>
  <c r="FE156" i="4"/>
  <c r="DA159" i="4"/>
  <c r="GE287" i="4"/>
  <c r="DT190" i="4"/>
  <c r="CI278" i="4"/>
  <c r="FO229" i="4"/>
  <c r="FO310" i="4"/>
  <c r="GJ310" i="4"/>
  <c r="GC310" i="4"/>
  <c r="DR310" i="4"/>
  <c r="EM310" i="4"/>
  <c r="FH310" i="4"/>
  <c r="FA310" i="4"/>
  <c r="DO310" i="4"/>
  <c r="DK310" i="4"/>
  <c r="EF310" i="4"/>
  <c r="DY310" i="4"/>
  <c r="CI310" i="4"/>
  <c r="DD310" i="4"/>
  <c r="CW310" i="4"/>
  <c r="GN310" i="4"/>
  <c r="GG310" i="4"/>
  <c r="FX310" i="4"/>
  <c r="CM310" i="4"/>
  <c r="FL310" i="4"/>
  <c r="FE310" i="4"/>
  <c r="EV310" i="4"/>
  <c r="FZ310" i="4"/>
  <c r="EJ310" i="4"/>
  <c r="EC310" i="4"/>
  <c r="DT310" i="4"/>
  <c r="FV310" i="4"/>
  <c r="DH310" i="4"/>
  <c r="DA310" i="4"/>
  <c r="CR310" i="4"/>
  <c r="EX310" i="4"/>
  <c r="GL310" i="4"/>
  <c r="GE310" i="4"/>
  <c r="FQ310" i="4"/>
  <c r="ET310" i="4"/>
  <c r="FJ310" i="4"/>
  <c r="FC310" i="4"/>
  <c r="EO310" i="4"/>
  <c r="FS310" i="4"/>
  <c r="EH310" i="4"/>
  <c r="EA310" i="4"/>
  <c r="DM310" i="4"/>
  <c r="EQ310" i="4"/>
  <c r="CG282" i="4"/>
  <c r="FO282" i="4"/>
  <c r="GJ282" i="4"/>
  <c r="GC282" i="4"/>
  <c r="CK282" i="4"/>
  <c r="EV234" i="4"/>
  <c r="EA234" i="4"/>
  <c r="EH234" i="4"/>
  <c r="DM234" i="4"/>
  <c r="DR161" i="4"/>
  <c r="DV161" i="4"/>
  <c r="EH161" i="4"/>
  <c r="DM161" i="4"/>
  <c r="ET276" i="4"/>
  <c r="DV276" i="4"/>
  <c r="EC276" i="4"/>
  <c r="EJ276" i="4"/>
  <c r="ET374" i="4"/>
  <c r="GN374" i="4"/>
  <c r="DY374" i="4"/>
  <c r="EF374" i="4"/>
  <c r="FC197" i="4"/>
  <c r="DV197" i="4"/>
  <c r="EH197" i="4"/>
  <c r="DM197" i="4"/>
  <c r="FQ282" i="4"/>
  <c r="DY282" i="4"/>
  <c r="FH282" i="4"/>
  <c r="EO156" i="4"/>
  <c r="GG156" i="4"/>
  <c r="DF159" i="4"/>
  <c r="DT287" i="4"/>
  <c r="DY190" i="4"/>
  <c r="CR335" i="4"/>
  <c r="EC229" i="4"/>
  <c r="DV229" i="4"/>
  <c r="DO229" i="4"/>
  <c r="CK229" i="4"/>
  <c r="DA229" i="4"/>
  <c r="CM229" i="4"/>
  <c r="CI229" i="4"/>
  <c r="GL229" i="4"/>
  <c r="GE229" i="4"/>
  <c r="FX229" i="4"/>
  <c r="GN229" i="4"/>
  <c r="FJ229" i="4"/>
  <c r="FC229" i="4"/>
  <c r="EV229" i="4"/>
  <c r="FL229" i="4"/>
  <c r="EH229" i="4"/>
  <c r="EA229" i="4"/>
  <c r="DT229" i="4"/>
  <c r="EJ229" i="4"/>
  <c r="DF229" i="4"/>
  <c r="CY229" i="4"/>
  <c r="DH229" i="4"/>
  <c r="GJ229" i="4"/>
  <c r="GC229" i="4"/>
  <c r="FV229" i="4"/>
  <c r="FQ229" i="4"/>
  <c r="FH229" i="4"/>
  <c r="EF229" i="4"/>
  <c r="DY229" i="4"/>
  <c r="DR229" i="4"/>
  <c r="EO229" i="4"/>
  <c r="DD229" i="4"/>
  <c r="CW229" i="4"/>
  <c r="CP229" i="4"/>
  <c r="EM229" i="4"/>
  <c r="GG229" i="4"/>
  <c r="FZ229" i="4"/>
  <c r="FS229" i="4"/>
  <c r="DM229" i="4"/>
  <c r="EX234" i="4"/>
  <c r="FC234" i="4"/>
  <c r="FJ234" i="4"/>
  <c r="EO234" i="4"/>
  <c r="DY161" i="4"/>
  <c r="EX161" i="4"/>
  <c r="FJ161" i="4"/>
  <c r="EO161" i="4"/>
  <c r="FS276" i="4"/>
  <c r="EX276" i="4"/>
  <c r="FE276" i="4"/>
  <c r="FL276" i="4"/>
  <c r="CM374" i="4"/>
  <c r="DR374" i="4"/>
  <c r="FA374" i="4"/>
  <c r="FH374" i="4"/>
  <c r="CP197" i="4"/>
  <c r="EX197" i="4"/>
  <c r="FJ197" i="4"/>
  <c r="EO197" i="4"/>
  <c r="FS282" i="4"/>
  <c r="FA282" i="4"/>
  <c r="DF282" i="4"/>
  <c r="EQ156" i="4"/>
  <c r="DD156" i="4"/>
  <c r="GL159" i="4"/>
  <c r="DV287" i="4"/>
  <c r="CY190" i="4"/>
  <c r="GG325" i="4"/>
  <c r="CW335" i="4"/>
  <c r="ET229" i="4"/>
  <c r="FX234" i="4"/>
  <c r="GE234" i="4"/>
  <c r="GL234" i="4"/>
  <c r="FQ234" i="4"/>
  <c r="EA161" i="4"/>
  <c r="FZ161" i="4"/>
  <c r="GL161" i="4"/>
  <c r="FQ161" i="4"/>
  <c r="FV276" i="4"/>
  <c r="FZ276" i="4"/>
  <c r="GG276" i="4"/>
  <c r="GN276" i="4"/>
  <c r="FL374" i="4"/>
  <c r="EJ374" i="4"/>
  <c r="GC374" i="4"/>
  <c r="GJ374" i="4"/>
  <c r="FV197" i="4"/>
  <c r="FZ197" i="4"/>
  <c r="GL197" i="4"/>
  <c r="FQ197" i="4"/>
  <c r="FV282" i="4"/>
  <c r="CY282" i="4"/>
  <c r="EH282" i="4"/>
  <c r="ET156" i="4"/>
  <c r="DH156" i="4"/>
  <c r="DH159" i="4"/>
  <c r="FE287" i="4"/>
  <c r="EA190" i="4"/>
  <c r="GE325" i="4"/>
  <c r="CY335" i="4"/>
  <c r="EX229" i="4"/>
  <c r="FQ163" i="4"/>
  <c r="GL163" i="4"/>
  <c r="GE163" i="4"/>
  <c r="FX163" i="4"/>
  <c r="EO163" i="4"/>
  <c r="FJ163" i="4"/>
  <c r="FC163" i="4"/>
  <c r="EV163" i="4"/>
  <c r="DM163" i="4"/>
  <c r="EH163" i="4"/>
  <c r="EA163" i="4"/>
  <c r="DT163" i="4"/>
  <c r="CK163" i="4"/>
  <c r="DF163" i="4"/>
  <c r="CY163" i="4"/>
  <c r="CR163" i="4"/>
  <c r="FO163" i="4"/>
  <c r="GJ163" i="4"/>
  <c r="GC163" i="4"/>
  <c r="FV163" i="4"/>
  <c r="EM163" i="4"/>
  <c r="FH163" i="4"/>
  <c r="FA163" i="4"/>
  <c r="FS163" i="4"/>
  <c r="DK163" i="4"/>
  <c r="EF163" i="4"/>
  <c r="DY163" i="4"/>
  <c r="ET163" i="4"/>
  <c r="CI163" i="4"/>
  <c r="DD163" i="4"/>
  <c r="CW163" i="4"/>
  <c r="EQ163" i="4"/>
  <c r="GN163" i="4"/>
  <c r="GG163" i="4"/>
  <c r="FZ163" i="4"/>
  <c r="DR163" i="4"/>
  <c r="FL163" i="4"/>
  <c r="FE163" i="4"/>
  <c r="EX163" i="4"/>
  <c r="DO163" i="4"/>
  <c r="EJ163" i="4"/>
  <c r="EC163" i="4"/>
  <c r="DV163" i="4"/>
  <c r="CP163" i="4"/>
  <c r="DA234" i="4"/>
  <c r="DH234" i="4"/>
  <c r="CM234" i="4"/>
  <c r="ET161" i="4"/>
  <c r="DA161" i="4"/>
  <c r="DH161" i="4"/>
  <c r="CM161" i="4"/>
  <c r="CK276" i="4"/>
  <c r="CW276" i="4"/>
  <c r="DD276" i="4"/>
  <c r="CI276" i="4"/>
  <c r="CR374" i="4"/>
  <c r="CY374" i="4"/>
  <c r="DF374" i="4"/>
  <c r="DA197" i="4"/>
  <c r="DH197" i="4"/>
  <c r="CM197" i="4"/>
  <c r="EA282" i="4"/>
  <c r="FJ282" i="4"/>
  <c r="FQ156" i="4"/>
  <c r="FL156" i="4"/>
  <c r="CK159" i="4"/>
  <c r="DH287" i="4"/>
  <c r="FJ190" i="4"/>
  <c r="FE325" i="4"/>
  <c r="DD335" i="4"/>
  <c r="FA229" i="4"/>
  <c r="CM163" i="4"/>
  <c r="DR234" i="4"/>
  <c r="EC234" i="4"/>
  <c r="EJ234" i="4"/>
  <c r="DO234" i="4"/>
  <c r="EV161" i="4"/>
  <c r="EC161" i="4"/>
  <c r="EJ161" i="4"/>
  <c r="DO161" i="4"/>
  <c r="DM276" i="4"/>
  <c r="DY276" i="4"/>
  <c r="EF276" i="4"/>
  <c r="DK276" i="4"/>
  <c r="FO374" i="4"/>
  <c r="DT374" i="4"/>
  <c r="EA374" i="4"/>
  <c r="EH374" i="4"/>
  <c r="FX197" i="4"/>
  <c r="EC197" i="4"/>
  <c r="EJ197" i="4"/>
  <c r="DO197" i="4"/>
  <c r="DT282" i="4"/>
  <c r="FC282" i="4"/>
  <c r="GL282" i="4"/>
  <c r="CT156" i="4"/>
  <c r="GN156" i="4"/>
  <c r="FQ159" i="4"/>
  <c r="GN287" i="4"/>
  <c r="EJ190" i="4"/>
  <c r="FV325" i="4"/>
  <c r="DR278" i="4"/>
  <c r="FE229" i="4"/>
  <c r="ET234" i="4"/>
  <c r="FE234" i="4"/>
  <c r="FL234" i="4"/>
  <c r="EQ234" i="4"/>
  <c r="FA161" i="4"/>
  <c r="FE161" i="4"/>
  <c r="FL161" i="4"/>
  <c r="EQ161" i="4"/>
  <c r="EO276" i="4"/>
  <c r="FA276" i="4"/>
  <c r="FH276" i="4"/>
  <c r="EM276" i="4"/>
  <c r="DH374" i="4"/>
  <c r="EV374" i="4"/>
  <c r="FC374" i="4"/>
  <c r="FJ374" i="4"/>
  <c r="CW197" i="4"/>
  <c r="FE197" i="4"/>
  <c r="FL197" i="4"/>
  <c r="EQ197" i="4"/>
  <c r="CM282" i="4"/>
  <c r="EV282" i="4"/>
  <c r="GE282" i="4"/>
  <c r="DH282" i="4"/>
  <c r="DV156" i="4"/>
  <c r="CI156" i="4"/>
  <c r="CM159" i="4"/>
  <c r="CI287" i="4"/>
  <c r="DF325" i="4"/>
  <c r="FQ278" i="4"/>
  <c r="DA163" i="4"/>
  <c r="FV234" i="4"/>
  <c r="GG234" i="4"/>
  <c r="GN234" i="4"/>
  <c r="FS234" i="4"/>
  <c r="FC161" i="4"/>
  <c r="GG161" i="4"/>
  <c r="GN161" i="4"/>
  <c r="FS161" i="4"/>
  <c r="FQ276" i="4"/>
  <c r="GC276" i="4"/>
  <c r="GJ276" i="4"/>
  <c r="FO276" i="4"/>
  <c r="FQ374" i="4"/>
  <c r="FX374" i="4"/>
  <c r="GE374" i="4"/>
  <c r="GL374" i="4"/>
  <c r="GC197" i="4"/>
  <c r="GG197" i="4"/>
  <c r="GN197" i="4"/>
  <c r="FS197" i="4"/>
  <c r="DM282" i="4"/>
  <c r="FX282" i="4"/>
  <c r="DA282" i="4"/>
  <c r="EJ282" i="4"/>
  <c r="FA159" i="4"/>
  <c r="CT287" i="4"/>
  <c r="CT278" i="4"/>
  <c r="DH163" i="4"/>
  <c r="EF190" i="4"/>
  <c r="CW190" i="4"/>
  <c r="CP190" i="4"/>
  <c r="DM190" i="4"/>
  <c r="DD190" i="4"/>
  <c r="GG190" i="4"/>
  <c r="FZ190" i="4"/>
  <c r="DK190" i="4"/>
  <c r="FH190" i="4"/>
  <c r="FA190" i="4"/>
  <c r="ET190" i="4"/>
  <c r="CK190" i="4"/>
  <c r="EC190" i="4"/>
  <c r="DV190" i="4"/>
  <c r="DO190" i="4"/>
  <c r="CI190" i="4"/>
  <c r="FO190" i="4"/>
  <c r="DA190" i="4"/>
  <c r="CM190" i="4"/>
  <c r="GN190" i="4"/>
  <c r="GL190" i="4"/>
  <c r="GE190" i="4"/>
  <c r="FS190" i="4"/>
  <c r="FL190" i="4"/>
  <c r="FE190" i="4"/>
  <c r="EX190" i="4"/>
  <c r="EM190" i="4"/>
  <c r="FQ190" i="4"/>
  <c r="EH190" i="4"/>
  <c r="GJ190" i="4"/>
  <c r="GC190" i="4"/>
  <c r="FV190" i="4"/>
  <c r="DF190" i="4"/>
  <c r="FC190" i="4"/>
  <c r="EV190" i="4"/>
  <c r="EQ190" i="4"/>
  <c r="FO325" i="4"/>
  <c r="GC325" i="4"/>
  <c r="DR325" i="4"/>
  <c r="EV325" i="4"/>
  <c r="EM325" i="4"/>
  <c r="EC325" i="4"/>
  <c r="FC325" i="4"/>
  <c r="ET325" i="4"/>
  <c r="DK325" i="4"/>
  <c r="DD325" i="4"/>
  <c r="CW325" i="4"/>
  <c r="CI325" i="4"/>
  <c r="FZ325" i="4"/>
  <c r="FA325" i="4"/>
  <c r="CT325" i="4"/>
  <c r="FS325" i="4"/>
  <c r="GN325" i="4"/>
  <c r="EA325" i="4"/>
  <c r="DA325" i="4"/>
  <c r="EQ325" i="4"/>
  <c r="FL325" i="4"/>
  <c r="FX325" i="4"/>
  <c r="EX325" i="4"/>
  <c r="DO325" i="4"/>
  <c r="EJ325" i="4"/>
  <c r="DY325" i="4"/>
  <c r="CY325" i="4"/>
  <c r="FQ325" i="4"/>
  <c r="GL325" i="4"/>
  <c r="DV325" i="4"/>
  <c r="EF325" i="4"/>
  <c r="EO325" i="4"/>
  <c r="FJ325" i="4"/>
  <c r="FH325" i="4"/>
  <c r="CR325" i="4"/>
  <c r="DM325" i="4"/>
  <c r="EH325" i="4"/>
  <c r="DT325" i="4"/>
  <c r="GJ325" i="4"/>
  <c r="GL156" i="4"/>
  <c r="GE156" i="4"/>
  <c r="FX156" i="4"/>
  <c r="DO156" i="4"/>
  <c r="FJ156" i="4"/>
  <c r="FC156" i="4"/>
  <c r="EV156" i="4"/>
  <c r="DM156" i="4"/>
  <c r="EH156" i="4"/>
  <c r="EA156" i="4"/>
  <c r="DT156" i="4"/>
  <c r="CM156" i="4"/>
  <c r="DF156" i="4"/>
  <c r="CY156" i="4"/>
  <c r="FO156" i="4"/>
  <c r="GJ156" i="4"/>
  <c r="GC156" i="4"/>
  <c r="CK156" i="4"/>
  <c r="EM156" i="4"/>
  <c r="FH156" i="4"/>
  <c r="FA156" i="4"/>
  <c r="FV156" i="4"/>
  <c r="DK156" i="4"/>
  <c r="EF156" i="4"/>
  <c r="DY156" i="4"/>
  <c r="FS156" i="4"/>
  <c r="EJ156" i="4"/>
  <c r="FZ234" i="4"/>
  <c r="CW234" i="4"/>
  <c r="DD234" i="4"/>
  <c r="CI234" i="4"/>
  <c r="CY161" i="4"/>
  <c r="DD161" i="4"/>
  <c r="CI161" i="4"/>
  <c r="CM276" i="4"/>
  <c r="CR276" i="4"/>
  <c r="CY276" i="4"/>
  <c r="DF276" i="4"/>
  <c r="EO374" i="4"/>
  <c r="DK374" i="4"/>
  <c r="DA374" i="4"/>
  <c r="EA197" i="4"/>
  <c r="CY197" i="4"/>
  <c r="DD197" i="4"/>
  <c r="CI197" i="4"/>
  <c r="DO282" i="4"/>
  <c r="CT282" i="4"/>
  <c r="EC282" i="4"/>
  <c r="FL282" i="4"/>
  <c r="FZ156" i="4"/>
  <c r="EA287" i="4"/>
  <c r="FX190" i="4"/>
  <c r="CK325" i="4"/>
  <c r="CW278" i="4"/>
  <c r="DV310" i="4"/>
  <c r="GG335" i="4"/>
  <c r="FZ335" i="4"/>
  <c r="FS335" i="4"/>
  <c r="FO335" i="4"/>
  <c r="FE335" i="4"/>
  <c r="EX335" i="4"/>
  <c r="EQ335" i="4"/>
  <c r="EM335" i="4"/>
  <c r="EC335" i="4"/>
  <c r="DV335" i="4"/>
  <c r="DO335" i="4"/>
  <c r="DK335" i="4"/>
  <c r="DA335" i="4"/>
  <c r="CM335" i="4"/>
  <c r="CI335" i="4"/>
  <c r="GL335" i="4"/>
  <c r="GE335" i="4"/>
  <c r="FX335" i="4"/>
  <c r="FQ335" i="4"/>
  <c r="FJ335" i="4"/>
  <c r="FC335" i="4"/>
  <c r="EV335" i="4"/>
  <c r="EO335" i="4"/>
  <c r="EH335" i="4"/>
  <c r="EA335" i="4"/>
  <c r="DT335" i="4"/>
  <c r="DM335" i="4"/>
  <c r="GJ335" i="4"/>
  <c r="GC335" i="4"/>
  <c r="FV335" i="4"/>
  <c r="GN335" i="4"/>
  <c r="FH335" i="4"/>
  <c r="FA335" i="4"/>
  <c r="ET335" i="4"/>
  <c r="FL335" i="4"/>
  <c r="EF335" i="4"/>
  <c r="DY335" i="4"/>
  <c r="DR335" i="4"/>
  <c r="EJ335" i="4"/>
  <c r="CR234" i="4"/>
  <c r="DY234" i="4"/>
  <c r="EF234" i="4"/>
  <c r="DK234" i="4"/>
  <c r="DT161" i="4"/>
  <c r="FV161" i="4"/>
  <c r="EF161" i="4"/>
  <c r="DK161" i="4"/>
  <c r="CP276" i="4"/>
  <c r="DT276" i="4"/>
  <c r="EA276" i="4"/>
  <c r="EH276" i="4"/>
  <c r="EM374" i="4"/>
  <c r="FS374" i="4"/>
  <c r="DV374" i="4"/>
  <c r="EC374" i="4"/>
  <c r="EV197" i="4"/>
  <c r="GE197" i="4"/>
  <c r="EF197" i="4"/>
  <c r="DK197" i="4"/>
  <c r="DR282" i="4"/>
  <c r="DV282" i="4"/>
  <c r="FE282" i="4"/>
  <c r="GN282" i="4"/>
  <c r="CW156" i="4"/>
  <c r="FQ287" i="4"/>
  <c r="DH190" i="4"/>
  <c r="CM325" i="4"/>
  <c r="DA278" i="4"/>
  <c r="CK310" i="4"/>
  <c r="FO159" i="4"/>
  <c r="GJ159" i="4"/>
  <c r="DT159" i="4"/>
  <c r="ET159" i="4"/>
  <c r="EM159" i="4"/>
  <c r="FH159" i="4"/>
  <c r="DR159" i="4"/>
  <c r="DY159" i="4"/>
  <c r="DK159" i="4"/>
  <c r="EF159" i="4"/>
  <c r="GE159" i="4"/>
  <c r="EV159" i="4"/>
  <c r="CI159" i="4"/>
  <c r="DD159" i="4"/>
  <c r="CY159" i="4"/>
  <c r="EA159" i="4"/>
  <c r="FS159" i="4"/>
  <c r="GN159" i="4"/>
  <c r="GG159" i="4"/>
  <c r="GC159" i="4"/>
  <c r="EQ159" i="4"/>
  <c r="FL159" i="4"/>
  <c r="FE159" i="4"/>
  <c r="CW159" i="4"/>
  <c r="DO159" i="4"/>
  <c r="EJ159" i="4"/>
  <c r="EC159" i="4"/>
  <c r="EO159" i="4"/>
  <c r="FJ159" i="4"/>
  <c r="EX159" i="4"/>
  <c r="CP159" i="4"/>
  <c r="DM159" i="4"/>
  <c r="EH159" i="4"/>
  <c r="DV159" i="4"/>
  <c r="FC159" i="4"/>
  <c r="CT234" i="4"/>
  <c r="FA234" i="4"/>
  <c r="FH234" i="4"/>
  <c r="EM234" i="4"/>
  <c r="GE161" i="4"/>
  <c r="CR161" i="4"/>
  <c r="FH161" i="4"/>
  <c r="EM161" i="4"/>
  <c r="DO276" i="4"/>
  <c r="EV276" i="4"/>
  <c r="FC276" i="4"/>
  <c r="FJ276" i="4"/>
  <c r="CI374" i="4"/>
  <c r="DM374" i="4"/>
  <c r="EX374" i="4"/>
  <c r="FE374" i="4"/>
  <c r="DY197" i="4"/>
  <c r="DR197" i="4"/>
  <c r="FH197" i="4"/>
  <c r="EM197" i="4"/>
  <c r="EO282" i="4"/>
  <c r="EX282" i="4"/>
  <c r="GG282" i="4"/>
  <c r="CI282" i="4"/>
  <c r="DA156" i="4"/>
  <c r="CT159" i="4"/>
  <c r="ET287" i="4"/>
  <c r="DR190" i="4"/>
  <c r="DH335" i="4"/>
  <c r="DD278" i="4"/>
  <c r="CY310" i="4"/>
  <c r="DT234" i="4"/>
  <c r="GC234" i="4"/>
  <c r="GJ234" i="4"/>
  <c r="FO234" i="4"/>
  <c r="CW161" i="4"/>
  <c r="FX161" i="4"/>
  <c r="GJ161" i="4"/>
  <c r="DR276" i="4"/>
  <c r="FX276" i="4"/>
  <c r="GE276" i="4"/>
  <c r="EQ374" i="4"/>
  <c r="FV374" i="4"/>
  <c r="FZ374" i="4"/>
  <c r="ET197" i="4"/>
  <c r="DT197" i="4"/>
  <c r="GJ197" i="4"/>
  <c r="FO197" i="4"/>
  <c r="EQ282" i="4"/>
  <c r="FZ282" i="4"/>
  <c r="DD282" i="4"/>
  <c r="DK282" i="4"/>
  <c r="EC156" i="4"/>
  <c r="EV287" i="4"/>
  <c r="CK335" i="4"/>
  <c r="DH278" i="4"/>
  <c r="DK229" i="4"/>
  <c r="DF310" i="4"/>
  <c r="N197" i="4"/>
  <c r="BY197" i="4" s="1"/>
  <c r="N161" i="4"/>
  <c r="BY161" i="4" s="1"/>
  <c r="HU159" i="4"/>
  <c r="AS335" i="4"/>
  <c r="AO234" i="4"/>
  <c r="CE325" i="4"/>
  <c r="CE234" i="4"/>
  <c r="CG325" i="4"/>
  <c r="CC229" i="4"/>
  <c r="CE335" i="4"/>
  <c r="CC163" i="4"/>
  <c r="CE163" i="4"/>
  <c r="CE161" i="4"/>
  <c r="CG156" i="4"/>
  <c r="CC276" i="4"/>
  <c r="CE310" i="4"/>
  <c r="CG287" i="4"/>
  <c r="CE276" i="4"/>
  <c r="CC190" i="4"/>
  <c r="CC197" i="4"/>
  <c r="CE374" i="4"/>
  <c r="HU163" i="4"/>
  <c r="HU282" i="4"/>
  <c r="HU234" i="4"/>
  <c r="HU278" i="4"/>
  <c r="HU156" i="4"/>
  <c r="AQ156" i="4" s="1"/>
  <c r="HU335" i="4"/>
  <c r="N74" i="4"/>
  <c r="BY74" i="4" s="1"/>
  <c r="FV159" i="4"/>
  <c r="N159" i="4"/>
  <c r="CA159" i="4" s="1"/>
  <c r="CC156" i="4"/>
  <c r="CC278" i="4"/>
  <c r="CA234" i="4"/>
  <c r="N234" i="4"/>
  <c r="BY234" i="4" s="1"/>
  <c r="AU234" i="4"/>
  <c r="N282" i="4"/>
  <c r="CA156" i="4"/>
  <c r="N156" i="4"/>
  <c r="BW156" i="4" s="1"/>
  <c r="BY310" i="4"/>
  <c r="CA282" i="4"/>
  <c r="BW197" i="4"/>
  <c r="AY335" i="4"/>
  <c r="N230" i="4"/>
  <c r="CA230" i="4" s="1"/>
  <c r="BY325" i="4"/>
  <c r="BW276" i="4"/>
  <c r="N163" i="4"/>
  <c r="N278" i="4"/>
  <c r="CA287" i="4"/>
  <c r="BY335" i="4"/>
  <c r="N335" i="4"/>
  <c r="BY374" i="4"/>
  <c r="BW229" i="4"/>
  <c r="BY163" i="4"/>
  <c r="BW163" i="4"/>
  <c r="BW190" i="4"/>
  <c r="CA278" i="4"/>
  <c r="BW278" i="4"/>
  <c r="BW159" i="4"/>
  <c r="CE287" i="4" l="1"/>
  <c r="CR287" i="4"/>
  <c r="BY410" i="4"/>
  <c r="CA410" i="4"/>
  <c r="CC374" i="4"/>
  <c r="CP374" i="4"/>
  <c r="HM374" i="4"/>
  <c r="AQ396" i="4"/>
  <c r="HQ387" i="4"/>
  <c r="AO391" i="4"/>
  <c r="AO390" i="4"/>
  <c r="BY396" i="4"/>
  <c r="BY411" i="4"/>
  <c r="AQ391" i="4"/>
  <c r="HE378" i="4"/>
  <c r="HG378" i="4"/>
  <c r="HH378" i="4" s="1"/>
  <c r="CG310" i="4"/>
  <c r="CT335" i="4"/>
  <c r="CT310" i="4"/>
  <c r="AO335" i="4"/>
  <c r="HQ335" i="4"/>
  <c r="HQ325" i="4"/>
  <c r="HK287" i="4"/>
  <c r="CG335" i="4"/>
  <c r="AS287" i="4"/>
  <c r="HQ310" i="4"/>
  <c r="AS282" i="4"/>
  <c r="HI282" i="4"/>
  <c r="AQ278" i="4"/>
  <c r="HK278" i="4"/>
  <c r="BU282" i="4"/>
  <c r="BY282" i="4"/>
  <c r="GV278" i="4"/>
  <c r="CA276" i="4"/>
  <c r="FZ159" i="4"/>
  <c r="CG159" i="4"/>
  <c r="HQ276" i="4"/>
  <c r="HI276" i="4"/>
  <c r="CE190" i="4"/>
  <c r="CE197" i="4"/>
  <c r="BY190" i="4"/>
  <c r="CR190" i="4"/>
  <c r="BY229" i="4"/>
  <c r="HK229" i="4"/>
  <c r="HS230" i="4"/>
  <c r="BY276" i="4"/>
  <c r="AS276" i="4"/>
  <c r="AS234" i="4"/>
  <c r="HI234" i="4"/>
  <c r="HK190" i="4"/>
  <c r="AS197" i="4"/>
  <c r="HI197" i="4"/>
  <c r="CE229" i="4"/>
  <c r="CR229" i="4"/>
  <c r="CT230" i="4"/>
  <c r="CG230" i="4"/>
  <c r="CR197" i="4"/>
  <c r="BY159" i="4"/>
  <c r="AS163" i="4"/>
  <c r="HS163" i="4"/>
  <c r="AS161" i="4"/>
  <c r="HQ161" i="4"/>
  <c r="AO159" i="4"/>
  <c r="HS159" i="4"/>
  <c r="CG161" i="4"/>
  <c r="BS161" i="4"/>
  <c r="AO161" i="4"/>
  <c r="CA161" i="4"/>
  <c r="BU74" i="4"/>
  <c r="CE74" i="4"/>
  <c r="GL74" i="4"/>
  <c r="AJ6" i="4"/>
  <c r="AJ5" i="4"/>
  <c r="AJ11" i="4"/>
  <c r="AJ9" i="4"/>
  <c r="AJ12" i="4"/>
  <c r="AL4" i="4"/>
  <c r="AJ13" i="4"/>
  <c r="AJ4" i="4"/>
  <c r="AJ18" i="4"/>
  <c r="AJ19" i="4"/>
  <c r="AJ10" i="4"/>
  <c r="AJ7" i="4"/>
  <c r="AJ8" i="4"/>
  <c r="HG382" i="4"/>
  <c r="HC382" i="4"/>
  <c r="HD382" i="4" s="1"/>
  <c r="CE282" i="4"/>
  <c r="HM159" i="4"/>
  <c r="CP278" i="4"/>
  <c r="CC159" i="4"/>
  <c r="CP156" i="4"/>
  <c r="HM156" i="4"/>
  <c r="AO396" i="4"/>
  <c r="HQ396" i="4"/>
  <c r="HM278" i="4"/>
  <c r="AQ159" i="4"/>
  <c r="HK282" i="4"/>
  <c r="BY387" i="4"/>
  <c r="CA391" i="4"/>
  <c r="HM230" i="4"/>
  <c r="HA230" i="4"/>
  <c r="CP161" i="4"/>
  <c r="HA161" i="4"/>
  <c r="HE161" i="4" s="1"/>
  <c r="HO325" i="4"/>
  <c r="HA325" i="4"/>
  <c r="HE325" i="4" s="1"/>
  <c r="CE387" i="4"/>
  <c r="HA387" i="4"/>
  <c r="HE387" i="4" s="1"/>
  <c r="CE156" i="4"/>
  <c r="HA156" i="4"/>
  <c r="CT197" i="4"/>
  <c r="HA197" i="4"/>
  <c r="CC310" i="4"/>
  <c r="HA310" i="4"/>
  <c r="HQ374" i="4"/>
  <c r="HA374" i="4"/>
  <c r="CG163" i="4"/>
  <c r="HA163" i="4"/>
  <c r="CG276" i="4"/>
  <c r="HA276" i="4"/>
  <c r="CC335" i="4"/>
  <c r="HA335" i="4"/>
  <c r="HQ190" i="4"/>
  <c r="HA190" i="4"/>
  <c r="CT390" i="4"/>
  <c r="HA390" i="4"/>
  <c r="HE390" i="4" s="1"/>
  <c r="CC282" i="4"/>
  <c r="HA282" i="4"/>
  <c r="HO287" i="4"/>
  <c r="HA287" i="4"/>
  <c r="CG391" i="4"/>
  <c r="HA391" i="4"/>
  <c r="CC234" i="4"/>
  <c r="HA234" i="4"/>
  <c r="HQ229" i="4"/>
  <c r="HA229" i="4"/>
  <c r="CE278" i="4"/>
  <c r="HA278" i="4"/>
  <c r="CR387" i="4"/>
  <c r="CT396" i="4"/>
  <c r="HA396" i="4"/>
  <c r="CE159" i="4"/>
  <c r="GS159" i="4"/>
  <c r="HQ74" i="4"/>
  <c r="GS74" i="4"/>
  <c r="GY74" i="4" s="1"/>
  <c r="CT391" i="4"/>
  <c r="HI387" i="4"/>
  <c r="CA190" i="4"/>
  <c r="HQ391" i="4"/>
  <c r="CA396" i="4"/>
  <c r="CA390" i="4"/>
  <c r="CA374" i="4"/>
  <c r="CG374" i="4"/>
  <c r="CT374" i="4"/>
  <c r="HS396" i="4"/>
  <c r="CA197" i="4"/>
  <c r="CC287" i="4"/>
  <c r="HQ390" i="4"/>
  <c r="BW325" i="4"/>
  <c r="CT190" i="4"/>
  <c r="CG190" i="4"/>
  <c r="HS276" i="4"/>
  <c r="HM234" i="4"/>
  <c r="HQ197" i="4"/>
  <c r="HO282" i="4"/>
  <c r="HM161" i="4"/>
  <c r="HQ163" i="4"/>
  <c r="HM335" i="4"/>
  <c r="HM310" i="4"/>
  <c r="CC325" i="4"/>
  <c r="CP325" i="4"/>
  <c r="BW287" i="4"/>
  <c r="CA229" i="4"/>
  <c r="CG229" i="4"/>
  <c r="CT229" i="4"/>
  <c r="AO197" i="4"/>
  <c r="AQ161" i="4"/>
  <c r="AQ234" i="4"/>
  <c r="AQ282" i="4"/>
  <c r="AO163" i="4"/>
  <c r="AO276" i="4"/>
  <c r="AQ335" i="4"/>
  <c r="AS159" i="4"/>
  <c r="HI159" i="4"/>
  <c r="AS156" i="4"/>
  <c r="HI156" i="4"/>
  <c r="AS278" i="4"/>
  <c r="HI278" i="4"/>
  <c r="BW310" i="4"/>
  <c r="CC161" i="4"/>
  <c r="CP310" i="4"/>
  <c r="BW161" i="4"/>
  <c r="CT276" i="4"/>
  <c r="CG74" i="4"/>
  <c r="GN74" i="4"/>
  <c r="CP282" i="4"/>
  <c r="CG197" i="4"/>
  <c r="CT163" i="4"/>
  <c r="CP234" i="4"/>
  <c r="CP335" i="4"/>
  <c r="CR156" i="4"/>
  <c r="CC230" i="4"/>
  <c r="CP230" i="4"/>
  <c r="CR278" i="4"/>
  <c r="FX159" i="4"/>
  <c r="CA74" i="4"/>
  <c r="BW234" i="4"/>
  <c r="BW282" i="4"/>
  <c r="BY156" i="4"/>
  <c r="CA163" i="4"/>
  <c r="BW230" i="4"/>
  <c r="BY278" i="4"/>
  <c r="BW335" i="4"/>
  <c r="CA335" i="4"/>
  <c r="A295" i="5"/>
  <c r="A291" i="5"/>
  <c r="A286" i="5"/>
  <c r="A275" i="5"/>
  <c r="A271" i="5"/>
  <c r="A266" i="5"/>
  <c r="A255" i="5"/>
  <c r="A251" i="5"/>
  <c r="A246" i="5"/>
  <c r="HE396" i="4" l="1"/>
  <c r="HG396" i="4"/>
  <c r="HH396" i="4" s="1"/>
  <c r="HE391" i="4"/>
  <c r="HC391" i="4"/>
  <c r="HE374" i="4"/>
  <c r="HC374" i="4"/>
  <c r="HC335" i="4"/>
  <c r="HE335" i="4"/>
  <c r="HC310" i="4"/>
  <c r="HE310" i="4"/>
  <c r="HE276" i="4"/>
  <c r="HG276" i="4"/>
  <c r="HC234" i="4"/>
  <c r="HG234" i="4"/>
  <c r="HC230" i="4"/>
  <c r="HE230" i="4"/>
  <c r="HE229" i="4"/>
  <c r="HG229" i="4"/>
  <c r="HE197" i="4"/>
  <c r="HG197" i="4"/>
  <c r="HE190" i="4"/>
  <c r="HG190" i="4"/>
  <c r="HE163" i="4"/>
  <c r="HG163" i="4"/>
  <c r="HH163" i="4" s="1"/>
  <c r="HC161" i="4"/>
  <c r="HG161" i="4"/>
  <c r="HH161" i="4" s="1"/>
  <c r="GU159" i="4"/>
  <c r="GV159" i="4" s="1"/>
  <c r="GW159" i="4"/>
  <c r="HG278" i="4"/>
  <c r="HC278" i="4"/>
  <c r="HD278" i="4" s="1"/>
  <c r="HC287" i="4"/>
  <c r="HG287" i="4"/>
  <c r="HG387" i="4"/>
  <c r="HC387" i="4"/>
  <c r="HD387" i="4" s="1"/>
  <c r="HC325" i="4"/>
  <c r="HG325" i="4"/>
  <c r="HH325" i="4" s="1"/>
  <c r="HC282" i="4"/>
  <c r="HG282" i="4"/>
  <c r="HG156" i="4"/>
  <c r="HC156" i="4"/>
  <c r="HD156" i="4" s="1"/>
  <c r="GY159" i="4"/>
  <c r="GW74" i="4"/>
  <c r="X208" i="4" l="1"/>
  <c r="AB208" i="4" s="1"/>
  <c r="AA208" i="4" l="1"/>
  <c r="AK208" i="4" s="1"/>
  <c r="AI208" i="4" s="1"/>
  <c r="L208" i="4"/>
  <c r="M208" i="4" l="1"/>
  <c r="BT208" i="4"/>
  <c r="BU208" i="4"/>
  <c r="BV208" i="4"/>
  <c r="G122" i="4"/>
  <c r="K122" i="4"/>
  <c r="S122" i="4" s="1"/>
  <c r="BQ122" i="4" s="1"/>
  <c r="X122" i="4"/>
  <c r="AB122" i="4" s="1"/>
  <c r="BP122" i="4" l="1"/>
  <c r="H122" i="4"/>
  <c r="L122" i="4"/>
  <c r="AA122" i="4"/>
  <c r="BT122" i="4"/>
  <c r="BU122" i="4"/>
  <c r="BV122" i="4"/>
  <c r="AK122" i="4"/>
  <c r="AI122" i="4" s="1"/>
  <c r="BC122" i="4"/>
  <c r="BE122" i="4"/>
  <c r="BI122" i="4"/>
  <c r="BG122" i="4"/>
  <c r="BD122" i="4"/>
  <c r="BH122" i="4"/>
  <c r="X168" i="4"/>
  <c r="AB168" i="4" s="1"/>
  <c r="X94" i="4"/>
  <c r="AB94" i="4" s="1"/>
  <c r="X38" i="4"/>
  <c r="AB38" i="4" s="1"/>
  <c r="X141" i="4"/>
  <c r="AB141" i="4" s="1"/>
  <c r="X131" i="4"/>
  <c r="AB131" i="4" s="1"/>
  <c r="X106" i="4"/>
  <c r="AB106" i="4" s="1"/>
  <c r="X95" i="4"/>
  <c r="AB95" i="4" s="1"/>
  <c r="X96" i="4"/>
  <c r="AB96" i="4" s="1"/>
  <c r="X98" i="4"/>
  <c r="AB98" i="4" s="1"/>
  <c r="X52" i="4"/>
  <c r="AB52" i="4" s="1"/>
  <c r="X172" i="4"/>
  <c r="AB172" i="4" s="1"/>
  <c r="X158" i="4"/>
  <c r="AB158" i="4" s="1"/>
  <c r="K87" i="4"/>
  <c r="S87" i="4" s="1"/>
  <c r="BQ87" i="4" s="1"/>
  <c r="K207" i="4"/>
  <c r="S207" i="4" s="1"/>
  <c r="K51" i="4"/>
  <c r="K206" i="4"/>
  <c r="S206" i="4" s="1"/>
  <c r="BQ206" i="4" s="1"/>
  <c r="K169" i="4"/>
  <c r="S169" i="4" s="1"/>
  <c r="BQ169" i="4" s="1"/>
  <c r="K71" i="4"/>
  <c r="S71" i="4" s="1"/>
  <c r="BQ71" i="4" s="1"/>
  <c r="BP169" i="4" l="1"/>
  <c r="BP206" i="4"/>
  <c r="BP207" i="4"/>
  <c r="BP87" i="4"/>
  <c r="H206" i="4"/>
  <c r="H207" i="4"/>
  <c r="BO207" i="4"/>
  <c r="H71" i="4"/>
  <c r="BO71" i="4"/>
  <c r="H87" i="4"/>
  <c r="H169" i="4"/>
  <c r="S51" i="4"/>
  <c r="I4" i="16"/>
  <c r="M122" i="4"/>
  <c r="AA158" i="4"/>
  <c r="L168" i="4"/>
  <c r="AA168" i="4"/>
  <c r="L172" i="4"/>
  <c r="BS172" i="4" s="1"/>
  <c r="AA172" i="4"/>
  <c r="BT172" i="4"/>
  <c r="BV172" i="4"/>
  <c r="L141" i="4"/>
  <c r="AA141" i="4"/>
  <c r="L131" i="4"/>
  <c r="BS131" i="4" s="1"/>
  <c r="AA131" i="4"/>
  <c r="L98" i="4"/>
  <c r="AA98" i="4"/>
  <c r="L96" i="4"/>
  <c r="AA96" i="4"/>
  <c r="L95" i="4"/>
  <c r="AA95" i="4"/>
  <c r="L106" i="4"/>
  <c r="AA106" i="4"/>
  <c r="L94" i="4"/>
  <c r="AA94" i="4"/>
  <c r="L52" i="4"/>
  <c r="AA52" i="4"/>
  <c r="L38" i="4"/>
  <c r="AA38" i="4"/>
  <c r="C169" i="4"/>
  <c r="C207" i="4"/>
  <c r="C206" i="4"/>
  <c r="C71" i="4"/>
  <c r="C122" i="4"/>
  <c r="C87" i="4"/>
  <c r="HM207" i="4"/>
  <c r="HQ207" i="4"/>
  <c r="HS207" i="4"/>
  <c r="HM71" i="4"/>
  <c r="HO71" i="4"/>
  <c r="HS71" i="4"/>
  <c r="HM122" i="4"/>
  <c r="HS122" i="4"/>
  <c r="HO122" i="4"/>
  <c r="HM87" i="4"/>
  <c r="HO87" i="4"/>
  <c r="HM206" i="4"/>
  <c r="HO206" i="4"/>
  <c r="HS206" i="4"/>
  <c r="HM169" i="4"/>
  <c r="HO169" i="4"/>
  <c r="HI71" i="4"/>
  <c r="HI122" i="4"/>
  <c r="HK87" i="4"/>
  <c r="HI87" i="4"/>
  <c r="HK206" i="4"/>
  <c r="HI206" i="4"/>
  <c r="HI207" i="4"/>
  <c r="HK169" i="4"/>
  <c r="HI169" i="4"/>
  <c r="X51" i="4"/>
  <c r="AB51" i="4" s="1"/>
  <c r="BF87" i="4"/>
  <c r="AY87" i="4" s="1"/>
  <c r="BF71" i="4"/>
  <c r="BF206" i="4"/>
  <c r="AQ206" i="4" s="1"/>
  <c r="BF207" i="4"/>
  <c r="CA207" i="4" s="1"/>
  <c r="BF169" i="4"/>
  <c r="AW169" i="4" s="1"/>
  <c r="BF122" i="4"/>
  <c r="L158" i="4"/>
  <c r="X63" i="4"/>
  <c r="AB63" i="4" s="1"/>
  <c r="X235" i="4"/>
  <c r="AB235" i="4" s="1"/>
  <c r="X181" i="4"/>
  <c r="AB181" i="4" s="1"/>
  <c r="X169" i="4"/>
  <c r="AB169" i="4" s="1"/>
  <c r="X87" i="4"/>
  <c r="AB87" i="4" s="1"/>
  <c r="X206" i="4"/>
  <c r="AB206" i="4" s="1"/>
  <c r="X207" i="4"/>
  <c r="AB207" i="4" s="1"/>
  <c r="X71" i="4"/>
  <c r="AB71" i="4" s="1"/>
  <c r="K63" i="4"/>
  <c r="K181" i="4"/>
  <c r="S181" i="4" s="1"/>
  <c r="BQ181" i="4" s="1"/>
  <c r="BU131" i="4" l="1"/>
  <c r="HQ51" i="4"/>
  <c r="BP51" i="4"/>
  <c r="BP181" i="4"/>
  <c r="HK51" i="4"/>
  <c r="HS51" i="4"/>
  <c r="C51" i="4"/>
  <c r="H181" i="4"/>
  <c r="H51" i="4"/>
  <c r="BO51" i="4"/>
  <c r="BT131" i="4"/>
  <c r="BF51" i="4"/>
  <c r="HG51" i="4" s="1"/>
  <c r="HH51" i="4" s="1"/>
  <c r="S63" i="4"/>
  <c r="BQ63" i="4" s="1"/>
  <c r="I13" i="16"/>
  <c r="AA235" i="4"/>
  <c r="AA181" i="4"/>
  <c r="AK181" i="4" s="1"/>
  <c r="AI181" i="4" s="1"/>
  <c r="AA206" i="4"/>
  <c r="AK206" i="4" s="1"/>
  <c r="AI206" i="4" s="1"/>
  <c r="BS141" i="4"/>
  <c r="L207" i="4"/>
  <c r="P207" i="4" s="1"/>
  <c r="BT207" i="4" s="1"/>
  <c r="AA207" i="4"/>
  <c r="AK207" i="4" s="1"/>
  <c r="AI207" i="4" s="1"/>
  <c r="BU98" i="4"/>
  <c r="BV168" i="4"/>
  <c r="BS98" i="4"/>
  <c r="AA169" i="4"/>
  <c r="AK169" i="4" s="1"/>
  <c r="AI169" i="4" s="1"/>
  <c r="BU168" i="4"/>
  <c r="BT168" i="4"/>
  <c r="BV98" i="4"/>
  <c r="BV141" i="4"/>
  <c r="BU141" i="4"/>
  <c r="BS106" i="4"/>
  <c r="BT95" i="4"/>
  <c r="BS96" i="4"/>
  <c r="BV94" i="4"/>
  <c r="BV158" i="4"/>
  <c r="BS158" i="4"/>
  <c r="BT158" i="4"/>
  <c r="BV96" i="4"/>
  <c r="FS122" i="4"/>
  <c r="P122" i="4"/>
  <c r="BS122" i="4" s="1"/>
  <c r="BS95" i="4"/>
  <c r="BT96" i="4"/>
  <c r="BT94" i="4"/>
  <c r="BV106" i="4"/>
  <c r="BU106" i="4"/>
  <c r="BU95" i="4"/>
  <c r="BS94" i="4"/>
  <c r="L87" i="4"/>
  <c r="N87" i="4" s="1"/>
  <c r="AA87" i="4"/>
  <c r="AK87" i="4" s="1"/>
  <c r="AI87" i="4" s="1"/>
  <c r="BS38" i="4"/>
  <c r="BU38" i="4"/>
  <c r="BV38" i="4"/>
  <c r="BS52" i="4"/>
  <c r="BT52" i="4"/>
  <c r="BU52" i="4"/>
  <c r="AA71" i="4"/>
  <c r="AK71" i="4" s="1"/>
  <c r="AI71" i="4" s="1"/>
  <c r="AA51" i="4"/>
  <c r="AK51" i="4" s="1"/>
  <c r="AI51" i="4" s="1"/>
  <c r="L63" i="4"/>
  <c r="AA63" i="4"/>
  <c r="AK63" i="4" s="1"/>
  <c r="AI63" i="4" s="1"/>
  <c r="HC87" i="4"/>
  <c r="HD87" i="4" s="1"/>
  <c r="HG87" i="4"/>
  <c r="HH87" i="4" s="1"/>
  <c r="HE87" i="4"/>
  <c r="HF87" i="4" s="1"/>
  <c r="HC71" i="4"/>
  <c r="HD71" i="4" s="1"/>
  <c r="HG71" i="4"/>
  <c r="HH71" i="4" s="1"/>
  <c r="HE71" i="4"/>
  <c r="HF71" i="4" s="1"/>
  <c r="HE169" i="4"/>
  <c r="HF169" i="4" s="1"/>
  <c r="HG169" i="4"/>
  <c r="HH169" i="4" s="1"/>
  <c r="HC169" i="4"/>
  <c r="HD169" i="4" s="1"/>
  <c r="HC206" i="4"/>
  <c r="HD206" i="4" s="1"/>
  <c r="HC207" i="4"/>
  <c r="HD207" i="4" s="1"/>
  <c r="HE206" i="4"/>
  <c r="HF206" i="4" s="1"/>
  <c r="HG207" i="4"/>
  <c r="HH207" i="4" s="1"/>
  <c r="HG206" i="4"/>
  <c r="HH206" i="4" s="1"/>
  <c r="HE207" i="4"/>
  <c r="HF207" i="4" s="1"/>
  <c r="HC122" i="4"/>
  <c r="HD122" i="4" s="1"/>
  <c r="HE122" i="4"/>
  <c r="HF122" i="4" s="1"/>
  <c r="HG122" i="4"/>
  <c r="HH122" i="4" s="1"/>
  <c r="GU71" i="4"/>
  <c r="GV71" i="4" s="1"/>
  <c r="GY169" i="4"/>
  <c r="GZ169" i="4" s="1"/>
  <c r="GY206" i="4"/>
  <c r="GZ206" i="4" s="1"/>
  <c r="GU87" i="4"/>
  <c r="GV87" i="4" s="1"/>
  <c r="GY87" i="4"/>
  <c r="GZ87" i="4" s="1"/>
  <c r="GU122" i="4"/>
  <c r="GV122" i="4" s="1"/>
  <c r="GU169" i="4"/>
  <c r="GV169" i="4" s="1"/>
  <c r="GU206" i="4"/>
  <c r="GV206" i="4" s="1"/>
  <c r="GW207" i="4"/>
  <c r="GX207" i="4" s="1"/>
  <c r="C181" i="4"/>
  <c r="HO181" i="4"/>
  <c r="HS181" i="4"/>
  <c r="HK181" i="4"/>
  <c r="HI181" i="4"/>
  <c r="AQ122" i="4"/>
  <c r="AW122" i="4"/>
  <c r="FZ71" i="4"/>
  <c r="CR71" i="4"/>
  <c r="CT71" i="4"/>
  <c r="CW71" i="4"/>
  <c r="DY71" i="4"/>
  <c r="FA71" i="4"/>
  <c r="CI169" i="4"/>
  <c r="DD71" i="4"/>
  <c r="FV169" i="4"/>
  <c r="EF71" i="4"/>
  <c r="DH169" i="4"/>
  <c r="FH71" i="4"/>
  <c r="FA169" i="4"/>
  <c r="CI71" i="4"/>
  <c r="DK71" i="4"/>
  <c r="EO206" i="4"/>
  <c r="DH206" i="4"/>
  <c r="CT206" i="4"/>
  <c r="DA206" i="4"/>
  <c r="CY122" i="4"/>
  <c r="CP122" i="4"/>
  <c r="DD122" i="4"/>
  <c r="CI122" i="4"/>
  <c r="CI207" i="4"/>
  <c r="CK207" i="4"/>
  <c r="CT207" i="4"/>
  <c r="DA207" i="4"/>
  <c r="CI87" i="4"/>
  <c r="CM87" i="4"/>
  <c r="CT87" i="4"/>
  <c r="DA87" i="4"/>
  <c r="EQ206" i="4"/>
  <c r="EJ206" i="4"/>
  <c r="DV206" i="4"/>
  <c r="DT122" i="4"/>
  <c r="FV122" i="4"/>
  <c r="EF122" i="4"/>
  <c r="DK122" i="4"/>
  <c r="CM207" i="4"/>
  <c r="DM207" i="4"/>
  <c r="DV207" i="4"/>
  <c r="EC207" i="4"/>
  <c r="DK87" i="4"/>
  <c r="DO87" i="4"/>
  <c r="DV87" i="4"/>
  <c r="GC169" i="4"/>
  <c r="DV169" i="4"/>
  <c r="CY169" i="4"/>
  <c r="EM71" i="4"/>
  <c r="EM206" i="4"/>
  <c r="FL206" i="4"/>
  <c r="EX206" i="4"/>
  <c r="FE206" i="4"/>
  <c r="GE122" i="4"/>
  <c r="CR122" i="4"/>
  <c r="FH122" i="4"/>
  <c r="EM122" i="4"/>
  <c r="DK207" i="4"/>
  <c r="EO207" i="4"/>
  <c r="EX207" i="4"/>
  <c r="FE207" i="4"/>
  <c r="EM87" i="4"/>
  <c r="EQ87" i="4"/>
  <c r="EX87" i="4"/>
  <c r="FE87" i="4"/>
  <c r="EX169" i="4"/>
  <c r="DT71" i="4"/>
  <c r="GC71" i="4"/>
  <c r="GJ71" i="4"/>
  <c r="FO71" i="4"/>
  <c r="FO206" i="4"/>
  <c r="GN206" i="4"/>
  <c r="FZ206" i="4"/>
  <c r="GG206" i="4"/>
  <c r="CW122" i="4"/>
  <c r="GJ122" i="4"/>
  <c r="FO122" i="4"/>
  <c r="DO207" i="4"/>
  <c r="FQ207" i="4"/>
  <c r="FZ207" i="4"/>
  <c r="GG207" i="4"/>
  <c r="FO87" i="4"/>
  <c r="FS87" i="4"/>
  <c r="FZ87" i="4"/>
  <c r="GG87" i="4"/>
  <c r="FZ169" i="4"/>
  <c r="CT169" i="4"/>
  <c r="DM169" i="4"/>
  <c r="FC169" i="4"/>
  <c r="DV71" i="4"/>
  <c r="CY71" i="4"/>
  <c r="DF71" i="4"/>
  <c r="CK71" i="4"/>
  <c r="FQ206" i="4"/>
  <c r="CP206" i="4"/>
  <c r="CW206" i="4"/>
  <c r="DD206" i="4"/>
  <c r="GC122" i="4"/>
  <c r="CT122" i="4"/>
  <c r="DF122" i="4"/>
  <c r="CK122" i="4"/>
  <c r="EM207" i="4"/>
  <c r="CP207" i="4"/>
  <c r="CW207" i="4"/>
  <c r="DD207" i="4"/>
  <c r="DH87" i="4"/>
  <c r="CP87" i="4"/>
  <c r="CW87" i="4"/>
  <c r="DD87" i="4"/>
  <c r="DR169" i="4"/>
  <c r="ET169" i="4"/>
  <c r="DO169" i="4"/>
  <c r="GE169" i="4"/>
  <c r="EV71" i="4"/>
  <c r="EA71" i="4"/>
  <c r="DM71" i="4"/>
  <c r="FS206" i="4"/>
  <c r="DR206" i="4"/>
  <c r="DY206" i="4"/>
  <c r="EF206" i="4"/>
  <c r="DR122" i="4"/>
  <c r="DV122" i="4"/>
  <c r="EH122" i="4"/>
  <c r="DM122" i="4"/>
  <c r="EQ207" i="4"/>
  <c r="DR207" i="4"/>
  <c r="DY207" i="4"/>
  <c r="EJ87" i="4"/>
  <c r="DR87" i="4"/>
  <c r="DY87" i="4"/>
  <c r="EF87" i="4"/>
  <c r="FO169" i="4"/>
  <c r="GG169" i="4"/>
  <c r="CR169" i="4"/>
  <c r="EX71" i="4"/>
  <c r="FC71" i="4"/>
  <c r="FJ71" i="4"/>
  <c r="EO71" i="4"/>
  <c r="CI206" i="4"/>
  <c r="ET206" i="4"/>
  <c r="FA206" i="4"/>
  <c r="FH206" i="4"/>
  <c r="DY122" i="4"/>
  <c r="EX122" i="4"/>
  <c r="FJ122" i="4"/>
  <c r="EO122" i="4"/>
  <c r="FO207" i="4"/>
  <c r="ET207" i="4"/>
  <c r="FA207" i="4"/>
  <c r="FH207" i="4"/>
  <c r="FL87" i="4"/>
  <c r="ET87" i="4"/>
  <c r="FA87" i="4"/>
  <c r="FH87" i="4"/>
  <c r="FE169" i="4"/>
  <c r="CK169" i="4"/>
  <c r="DA169" i="4"/>
  <c r="DT169" i="4"/>
  <c r="GJ169" i="4"/>
  <c r="FX71" i="4"/>
  <c r="GE71" i="4"/>
  <c r="GL71" i="4"/>
  <c r="FQ71" i="4"/>
  <c r="CK206" i="4"/>
  <c r="FV206" i="4"/>
  <c r="GC206" i="4"/>
  <c r="GJ206" i="4"/>
  <c r="EA122" i="4"/>
  <c r="FZ122" i="4"/>
  <c r="GL122" i="4"/>
  <c r="FQ122" i="4"/>
  <c r="FS207" i="4"/>
  <c r="FV207" i="4"/>
  <c r="GC207" i="4"/>
  <c r="GJ207" i="4"/>
  <c r="GN87" i="4"/>
  <c r="FV87" i="4"/>
  <c r="GC87" i="4"/>
  <c r="GJ87" i="4"/>
  <c r="EA169" i="4"/>
  <c r="FQ169" i="4"/>
  <c r="FL169" i="4"/>
  <c r="FH169" i="4"/>
  <c r="EO169" i="4"/>
  <c r="EV169" i="4"/>
  <c r="DF169" i="4"/>
  <c r="CP71" i="4"/>
  <c r="DA71" i="4"/>
  <c r="DH71" i="4"/>
  <c r="CM71" i="4"/>
  <c r="CM206" i="4"/>
  <c r="CR206" i="4"/>
  <c r="CY206" i="4"/>
  <c r="DF206" i="4"/>
  <c r="ET122" i="4"/>
  <c r="DA122" i="4"/>
  <c r="DH122" i="4"/>
  <c r="CM122" i="4"/>
  <c r="DH207" i="4"/>
  <c r="CR207" i="4"/>
  <c r="CY207" i="4"/>
  <c r="DF207" i="4"/>
  <c r="CK87" i="4"/>
  <c r="CR87" i="4"/>
  <c r="CY87" i="4"/>
  <c r="DF87" i="4"/>
  <c r="FS169" i="4"/>
  <c r="GN169" i="4"/>
  <c r="FX169" i="4"/>
  <c r="EH169" i="4"/>
  <c r="DR71" i="4"/>
  <c r="EC71" i="4"/>
  <c r="DO71" i="4"/>
  <c r="DK206" i="4"/>
  <c r="DT206" i="4"/>
  <c r="EA206" i="4"/>
  <c r="EH206" i="4"/>
  <c r="EV122" i="4"/>
  <c r="EC122" i="4"/>
  <c r="EJ122" i="4"/>
  <c r="DO122" i="4"/>
  <c r="EJ207" i="4"/>
  <c r="DT207" i="4"/>
  <c r="EA207" i="4"/>
  <c r="DM87" i="4"/>
  <c r="DT87" i="4"/>
  <c r="EA87" i="4"/>
  <c r="EH87" i="4"/>
  <c r="CP169" i="4"/>
  <c r="CM169" i="4"/>
  <c r="DD169" i="4"/>
  <c r="CW169" i="4"/>
  <c r="FJ169" i="4"/>
  <c r="ET71" i="4"/>
  <c r="FE71" i="4"/>
  <c r="FL71" i="4"/>
  <c r="EQ71" i="4"/>
  <c r="DM206" i="4"/>
  <c r="EV206" i="4"/>
  <c r="FC206" i="4"/>
  <c r="FJ206" i="4"/>
  <c r="FA122" i="4"/>
  <c r="FE122" i="4"/>
  <c r="FL122" i="4"/>
  <c r="EQ122" i="4"/>
  <c r="FL207" i="4"/>
  <c r="EV207" i="4"/>
  <c r="FC207" i="4"/>
  <c r="FJ207" i="4"/>
  <c r="EO87" i="4"/>
  <c r="EV87" i="4"/>
  <c r="FC87" i="4"/>
  <c r="FJ87" i="4"/>
  <c r="EJ169" i="4"/>
  <c r="DK169" i="4"/>
  <c r="EM169" i="4"/>
  <c r="EF169" i="4"/>
  <c r="EQ169" i="4"/>
  <c r="DY169" i="4"/>
  <c r="GL169" i="4"/>
  <c r="FV71" i="4"/>
  <c r="GG71" i="4"/>
  <c r="GN71" i="4"/>
  <c r="FS71" i="4"/>
  <c r="DO206" i="4"/>
  <c r="FX206" i="4"/>
  <c r="GE206" i="4"/>
  <c r="GL206" i="4"/>
  <c r="FC122" i="4"/>
  <c r="GG122" i="4"/>
  <c r="GN122" i="4"/>
  <c r="GN207" i="4"/>
  <c r="FX207" i="4"/>
  <c r="GE207" i="4"/>
  <c r="GL207" i="4"/>
  <c r="FQ87" i="4"/>
  <c r="FX87" i="4"/>
  <c r="GE87" i="4"/>
  <c r="GL87" i="4"/>
  <c r="AS169" i="4"/>
  <c r="AQ169" i="4"/>
  <c r="AQ71" i="4"/>
  <c r="AS206" i="4"/>
  <c r="HU122" i="4"/>
  <c r="AO207" i="4"/>
  <c r="CC169" i="4"/>
  <c r="CE169" i="4"/>
  <c r="CC122" i="4"/>
  <c r="AQ87" i="4"/>
  <c r="CG122" i="4"/>
  <c r="AS87" i="4"/>
  <c r="CG207" i="4"/>
  <c r="HU87" i="4"/>
  <c r="CC71" i="4"/>
  <c r="HU169" i="4"/>
  <c r="CC87" i="4"/>
  <c r="HU71" i="4"/>
  <c r="CE206" i="4"/>
  <c r="CE87" i="4"/>
  <c r="CE207" i="4"/>
  <c r="CC206" i="4"/>
  <c r="HU206" i="4"/>
  <c r="HU207" i="4"/>
  <c r="HK207" i="4" s="1"/>
  <c r="N122" i="4"/>
  <c r="L51" i="4"/>
  <c r="AW87" i="4"/>
  <c r="AW71" i="4"/>
  <c r="AY206" i="4"/>
  <c r="AW206" i="4"/>
  <c r="AU207" i="4"/>
  <c r="AY169" i="4"/>
  <c r="AK158" i="4"/>
  <c r="AI158" i="4" s="1"/>
  <c r="BW87" i="4"/>
  <c r="BW71" i="4"/>
  <c r="BY87" i="4"/>
  <c r="BY169" i="4"/>
  <c r="BW169" i="4"/>
  <c r="BW206" i="4"/>
  <c r="BW122" i="4"/>
  <c r="BY206" i="4"/>
  <c r="BF181" i="4"/>
  <c r="BY181" i="4" s="1"/>
  <c r="L181" i="4"/>
  <c r="L235" i="4"/>
  <c r="M235" i="4" s="1"/>
  <c r="L71" i="4"/>
  <c r="L206" i="4"/>
  <c r="L169" i="4"/>
  <c r="BI63" i="4"/>
  <c r="BI87" i="4"/>
  <c r="BI207" i="4"/>
  <c r="BE51" i="4"/>
  <c r="BI51" i="4"/>
  <c r="BI169" i="4"/>
  <c r="AK159" i="4"/>
  <c r="M159" i="4" s="1"/>
  <c r="BI206" i="4"/>
  <c r="BI181" i="4"/>
  <c r="BI71" i="4"/>
  <c r="X97" i="4"/>
  <c r="AB97" i="4" s="1"/>
  <c r="X140" i="4"/>
  <c r="AB140" i="4" s="1"/>
  <c r="M169" i="4" l="1"/>
  <c r="HM63" i="4"/>
  <c r="GE51" i="4"/>
  <c r="ET51" i="4"/>
  <c r="EF51" i="4"/>
  <c r="FX51" i="4"/>
  <c r="CI51" i="4"/>
  <c r="DR51" i="4"/>
  <c r="FA51" i="4"/>
  <c r="DO51" i="4"/>
  <c r="FE51" i="4"/>
  <c r="CY51" i="4"/>
  <c r="HU51" i="4"/>
  <c r="AQ51" i="4" s="1"/>
  <c r="CR51" i="4"/>
  <c r="HC51" i="4"/>
  <c r="HD51" i="4" s="1"/>
  <c r="CM51" i="4"/>
  <c r="EQ51" i="4"/>
  <c r="HE51" i="4"/>
  <c r="HF51" i="4" s="1"/>
  <c r="HI63" i="4"/>
  <c r="BP63" i="4"/>
  <c r="DV51" i="4"/>
  <c r="C63" i="4"/>
  <c r="GL51" i="4"/>
  <c r="DK51" i="4"/>
  <c r="DF51" i="4"/>
  <c r="FH51" i="4"/>
  <c r="HO63" i="4"/>
  <c r="BF63" i="4"/>
  <c r="CM63" i="4" s="1"/>
  <c r="FS51" i="4"/>
  <c r="DD51" i="4"/>
  <c r="EM51" i="4"/>
  <c r="CW51" i="4"/>
  <c r="EC51" i="4"/>
  <c r="FJ51" i="4"/>
  <c r="CP51" i="4"/>
  <c r="DH51" i="4"/>
  <c r="AO51" i="4"/>
  <c r="FC51" i="4"/>
  <c r="GJ51" i="4"/>
  <c r="FQ51" i="4"/>
  <c r="CT51" i="4"/>
  <c r="H63" i="4"/>
  <c r="CA51" i="4"/>
  <c r="CG51" i="4"/>
  <c r="EV51" i="4"/>
  <c r="GC51" i="4"/>
  <c r="GG51" i="4"/>
  <c r="DA51" i="4"/>
  <c r="HK63" i="4"/>
  <c r="DM51" i="4"/>
  <c r="FV51" i="4"/>
  <c r="FZ51" i="4"/>
  <c r="FL51" i="4"/>
  <c r="AU51" i="4"/>
  <c r="EH51" i="4"/>
  <c r="CK51" i="4"/>
  <c r="GN51" i="4"/>
  <c r="EJ51" i="4"/>
  <c r="DT51" i="4"/>
  <c r="FO51" i="4"/>
  <c r="EX51" i="4"/>
  <c r="EO51" i="4"/>
  <c r="HS63" i="4"/>
  <c r="GW51" i="4"/>
  <c r="GX51" i="4" s="1"/>
  <c r="N207" i="4"/>
  <c r="BY207" i="4" s="1"/>
  <c r="M207" i="4"/>
  <c r="BS207" i="4"/>
  <c r="BU207" i="4"/>
  <c r="M51" i="4"/>
  <c r="M63" i="4"/>
  <c r="M87" i="4"/>
  <c r="M71" i="4"/>
  <c r="BV207" i="4"/>
  <c r="M158" i="4"/>
  <c r="M206" i="4"/>
  <c r="BT206" i="4"/>
  <c r="BU206" i="4"/>
  <c r="BV206" i="4"/>
  <c r="M181" i="4"/>
  <c r="BT181" i="4"/>
  <c r="BU181" i="4"/>
  <c r="BV181" i="4"/>
  <c r="AA140" i="4"/>
  <c r="CA122" i="4"/>
  <c r="BV87" i="4"/>
  <c r="BU169" i="4"/>
  <c r="BT169" i="4"/>
  <c r="BV169" i="4"/>
  <c r="AI159" i="4"/>
  <c r="AO122" i="4"/>
  <c r="HQ122" i="4"/>
  <c r="P87" i="4"/>
  <c r="BT87" i="4" s="1"/>
  <c r="BU87" i="4"/>
  <c r="AA97" i="4"/>
  <c r="BS87" i="4"/>
  <c r="BV63" i="4"/>
  <c r="BT63" i="4"/>
  <c r="BU63" i="4"/>
  <c r="BS71" i="4"/>
  <c r="BT71" i="4"/>
  <c r="BU71" i="4"/>
  <c r="BV51" i="4"/>
  <c r="BS51" i="4"/>
  <c r="BU51" i="4"/>
  <c r="AS71" i="4"/>
  <c r="P169" i="4"/>
  <c r="BS169" i="4" s="1"/>
  <c r="P206" i="4"/>
  <c r="EC206" i="4" s="1"/>
  <c r="P51" i="4"/>
  <c r="P181" i="4"/>
  <c r="DO181" i="4" s="1"/>
  <c r="P71" i="4"/>
  <c r="HK71" i="4" s="1"/>
  <c r="AS207" i="4"/>
  <c r="EH207" i="4"/>
  <c r="HQ87" i="4"/>
  <c r="HC181" i="4"/>
  <c r="HD181" i="4" s="1"/>
  <c r="HG181" i="4"/>
  <c r="HH181" i="4" s="1"/>
  <c r="HE181" i="4"/>
  <c r="HF181" i="4" s="1"/>
  <c r="GY181" i="4"/>
  <c r="GZ181" i="4" s="1"/>
  <c r="HQ71" i="4"/>
  <c r="CC207" i="4"/>
  <c r="GS207" i="4"/>
  <c r="GY207" i="4" s="1"/>
  <c r="GZ207" i="4" s="1"/>
  <c r="CE122" i="4"/>
  <c r="GS122" i="4"/>
  <c r="GW122" i="4" s="1"/>
  <c r="HO207" i="4"/>
  <c r="AO87" i="4"/>
  <c r="AO71" i="4"/>
  <c r="AQ207" i="4"/>
  <c r="AO206" i="4"/>
  <c r="AO169" i="4"/>
  <c r="AS51" i="4"/>
  <c r="AS122" i="4"/>
  <c r="HK122" i="4"/>
  <c r="FX181" i="4"/>
  <c r="GC181" i="4"/>
  <c r="GJ181" i="4"/>
  <c r="FO181" i="4"/>
  <c r="EX181" i="4"/>
  <c r="FA181" i="4"/>
  <c r="FH181" i="4"/>
  <c r="EM181" i="4"/>
  <c r="FZ181" i="4"/>
  <c r="CY181" i="4"/>
  <c r="DF181" i="4"/>
  <c r="CK181" i="4"/>
  <c r="CR181" i="4"/>
  <c r="EA181" i="4"/>
  <c r="EH181" i="4"/>
  <c r="DM181" i="4"/>
  <c r="EF207" i="4"/>
  <c r="CT181" i="4"/>
  <c r="FC181" i="4"/>
  <c r="FJ181" i="4"/>
  <c r="EO181" i="4"/>
  <c r="DT181" i="4"/>
  <c r="GE181" i="4"/>
  <c r="GL181" i="4"/>
  <c r="FQ181" i="4"/>
  <c r="CP181" i="4"/>
  <c r="DA181" i="4"/>
  <c r="DH181" i="4"/>
  <c r="CM181" i="4"/>
  <c r="DR181" i="4"/>
  <c r="EC181" i="4"/>
  <c r="EJ181" i="4"/>
  <c r="ET181" i="4"/>
  <c r="FE181" i="4"/>
  <c r="FL181" i="4"/>
  <c r="EQ181" i="4"/>
  <c r="FV181" i="4"/>
  <c r="GG181" i="4"/>
  <c r="GN181" i="4"/>
  <c r="FS181" i="4"/>
  <c r="FX122" i="4"/>
  <c r="DV181" i="4"/>
  <c r="CW181" i="4"/>
  <c r="DD181" i="4"/>
  <c r="CI181" i="4"/>
  <c r="EV181" i="4"/>
  <c r="DY181" i="4"/>
  <c r="EF181" i="4"/>
  <c r="AS181" i="4"/>
  <c r="CE181" i="4"/>
  <c r="BY122" i="4"/>
  <c r="HU181" i="4"/>
  <c r="N51" i="4"/>
  <c r="CA87" i="4"/>
  <c r="AY181" i="4"/>
  <c r="N181" i="4"/>
  <c r="CA181" i="4" s="1"/>
  <c r="N169" i="4"/>
  <c r="N206" i="4"/>
  <c r="N71" i="4"/>
  <c r="BY71" i="4" s="1"/>
  <c r="L97" i="4"/>
  <c r="L140" i="4"/>
  <c r="BC169" i="4"/>
  <c r="BH169" i="4"/>
  <c r="BC51" i="4"/>
  <c r="BD51" i="4"/>
  <c r="BC63" i="4"/>
  <c r="BD63" i="4"/>
  <c r="BE63" i="4"/>
  <c r="BG63" i="4"/>
  <c r="BH63" i="4"/>
  <c r="BC87" i="4"/>
  <c r="BD87" i="4"/>
  <c r="BE87" i="4"/>
  <c r="BG87" i="4"/>
  <c r="BH87" i="4"/>
  <c r="BC207" i="4"/>
  <c r="BD207" i="4"/>
  <c r="BE207" i="4"/>
  <c r="BG207" i="4"/>
  <c r="BH207" i="4"/>
  <c r="BG51" i="4"/>
  <c r="BH51" i="4"/>
  <c r="BD169" i="4"/>
  <c r="BE169" i="4"/>
  <c r="BG169" i="4"/>
  <c r="BC206" i="4"/>
  <c r="BD206" i="4"/>
  <c r="BE206" i="4"/>
  <c r="BG206" i="4"/>
  <c r="BH206" i="4"/>
  <c r="BC181" i="4"/>
  <c r="BD181" i="4"/>
  <c r="BE181" i="4"/>
  <c r="BG181" i="4"/>
  <c r="BH181" i="4"/>
  <c r="BC71" i="4"/>
  <c r="BD71" i="4"/>
  <c r="BE71" i="4"/>
  <c r="BG71" i="4"/>
  <c r="BH71" i="4"/>
  <c r="HO51" i="4" l="1"/>
  <c r="DO63" i="4"/>
  <c r="N63" i="4"/>
  <c r="CA63" i="4" s="1"/>
  <c r="CK63" i="4"/>
  <c r="EM63" i="4"/>
  <c r="DD63" i="4"/>
  <c r="DR63" i="4"/>
  <c r="DF63" i="4"/>
  <c r="CW63" i="4"/>
  <c r="BW63" i="4"/>
  <c r="FJ63" i="4"/>
  <c r="FZ63" i="4"/>
  <c r="FC63" i="4"/>
  <c r="HE63" i="4"/>
  <c r="HF63" i="4" s="1"/>
  <c r="EX63" i="4"/>
  <c r="DK63" i="4"/>
  <c r="GC63" i="4"/>
  <c r="EF63" i="4"/>
  <c r="FQ63" i="4"/>
  <c r="DT63" i="4"/>
  <c r="CE63" i="4"/>
  <c r="GL63" i="4"/>
  <c r="GS87" i="4"/>
  <c r="GW87" i="4" s="1"/>
  <c r="CG181" i="4"/>
  <c r="CG87" i="4"/>
  <c r="EO63" i="4"/>
  <c r="GJ63" i="4"/>
  <c r="CI63" i="4"/>
  <c r="ET63" i="4"/>
  <c r="GU63" i="4"/>
  <c r="GV63" i="4" s="1"/>
  <c r="BW207" i="4"/>
  <c r="AQ63" i="4"/>
  <c r="GE63" i="4"/>
  <c r="CY63" i="4"/>
  <c r="DY63" i="4"/>
  <c r="EJ63" i="4"/>
  <c r="HG63" i="4"/>
  <c r="HH63" i="4" s="1"/>
  <c r="P63" i="4"/>
  <c r="BS63" i="4" s="1"/>
  <c r="AW63" i="4"/>
  <c r="FX63" i="4"/>
  <c r="DV63" i="4"/>
  <c r="CR63" i="4"/>
  <c r="EC63" i="4"/>
  <c r="HC63" i="4"/>
  <c r="HD63" i="4" s="1"/>
  <c r="DM63" i="4"/>
  <c r="FH63" i="4"/>
  <c r="FS63" i="4"/>
  <c r="EQ63" i="4"/>
  <c r="DH63" i="4"/>
  <c r="EH63" i="4"/>
  <c r="FA63" i="4"/>
  <c r="GN63" i="4"/>
  <c r="FL63" i="4"/>
  <c r="HU63" i="4"/>
  <c r="AS63" i="4" s="1"/>
  <c r="CP63" i="4"/>
  <c r="EA63" i="4"/>
  <c r="CT63" i="4"/>
  <c r="GG63" i="4"/>
  <c r="FE63" i="4"/>
  <c r="CC63" i="4"/>
  <c r="EV63" i="4"/>
  <c r="FO63" i="4"/>
  <c r="FV63" i="4"/>
  <c r="EC87" i="4"/>
  <c r="BS181" i="4"/>
  <c r="AO181" i="4"/>
  <c r="HQ181" i="4"/>
  <c r="BS206" i="4"/>
  <c r="HQ169" i="4"/>
  <c r="HS87" i="4"/>
  <c r="BS140" i="4"/>
  <c r="BT140" i="4"/>
  <c r="BV140" i="4"/>
  <c r="BV71" i="4"/>
  <c r="BT51" i="4"/>
  <c r="BY63" i="4"/>
  <c r="CE71" i="4"/>
  <c r="EH71" i="4"/>
  <c r="CC51" i="4"/>
  <c r="DY51" i="4"/>
  <c r="HM51" i="4"/>
  <c r="BY51" i="4"/>
  <c r="BW51" i="4"/>
  <c r="EJ71" i="4"/>
  <c r="GY122" i="4"/>
  <c r="GU207" i="4"/>
  <c r="HQ206" i="4"/>
  <c r="HS169" i="4"/>
  <c r="GS169" i="4"/>
  <c r="HI51" i="4"/>
  <c r="GS51" i="4"/>
  <c r="GU51" i="4" s="1"/>
  <c r="CC181" i="4"/>
  <c r="GS181" i="4"/>
  <c r="GW181" i="4" s="1"/>
  <c r="CG71" i="4"/>
  <c r="GS71" i="4"/>
  <c r="GY71" i="4" s="1"/>
  <c r="CG206" i="4"/>
  <c r="GS206" i="4"/>
  <c r="HM181" i="4"/>
  <c r="AQ181" i="4"/>
  <c r="DK181" i="4"/>
  <c r="CG169" i="4"/>
  <c r="EC169" i="4"/>
  <c r="DA63" i="4"/>
  <c r="CE51" i="4"/>
  <c r="EA51" i="4"/>
  <c r="BW181" i="4"/>
  <c r="CA71" i="4"/>
  <c r="CA206" i="4"/>
  <c r="CA169" i="4"/>
  <c r="A235" i="5"/>
  <c r="A231" i="5"/>
  <c r="A226" i="5"/>
  <c r="A215" i="5"/>
  <c r="A211" i="5"/>
  <c r="A206" i="5"/>
  <c r="A195" i="5"/>
  <c r="A191" i="5"/>
  <c r="A186" i="5"/>
  <c r="A175" i="5"/>
  <c r="A171" i="5"/>
  <c r="A166" i="5"/>
  <c r="A155" i="5"/>
  <c r="A151" i="5"/>
  <c r="A146" i="5"/>
  <c r="A135" i="5"/>
  <c r="A131" i="5"/>
  <c r="A126" i="5"/>
  <c r="A115" i="5"/>
  <c r="A111" i="5"/>
  <c r="A106" i="5"/>
  <c r="A95" i="5"/>
  <c r="A91" i="5"/>
  <c r="A86" i="5"/>
  <c r="A75" i="5"/>
  <c r="A71" i="5"/>
  <c r="A66" i="5"/>
  <c r="A55" i="5"/>
  <c r="A51" i="5"/>
  <c r="A46" i="5"/>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010" i="1"/>
  <c r="D1011" i="1"/>
  <c r="D1012" i="1"/>
  <c r="X363" i="4"/>
  <c r="X412" i="4"/>
  <c r="X401" i="4"/>
  <c r="X393" i="4"/>
  <c r="X407" i="4"/>
  <c r="X395" i="4"/>
  <c r="X145" i="4"/>
  <c r="AB145" i="4" s="1"/>
  <c r="X246" i="4"/>
  <c r="AB246" i="4" s="1"/>
  <c r="K379" i="4"/>
  <c r="K360" i="4"/>
  <c r="K365" i="4"/>
  <c r="K388" i="4"/>
  <c r="K383" i="4"/>
  <c r="K319" i="4"/>
  <c r="K123" i="4"/>
  <c r="K191" i="4"/>
  <c r="S191" i="4" s="1"/>
  <c r="BQ191" i="4" s="1"/>
  <c r="K377" i="4"/>
  <c r="K376" i="4"/>
  <c r="K375" i="4"/>
  <c r="K288" i="4"/>
  <c r="S288" i="4" s="1"/>
  <c r="BQ288" i="4" s="1"/>
  <c r="K318" i="4"/>
  <c r="K353" i="4"/>
  <c r="K352" i="4"/>
  <c r="K162" i="4"/>
  <c r="S162" i="4" s="1"/>
  <c r="BQ162" i="4" s="1"/>
  <c r="K160" i="4"/>
  <c r="S160" i="4" s="1"/>
  <c r="BQ160" i="4" s="1"/>
  <c r="K305" i="4"/>
  <c r="K258" i="4"/>
  <c r="S258" i="4" s="1"/>
  <c r="BQ258" i="4" s="1"/>
  <c r="K178" i="4"/>
  <c r="S178" i="4" s="1"/>
  <c r="BQ178" i="4" s="1"/>
  <c r="K105" i="4"/>
  <c r="S105" i="4" s="1"/>
  <c r="BQ105" i="4" s="1"/>
  <c r="K347" i="4"/>
  <c r="K324" i="4"/>
  <c r="K323" i="4"/>
  <c r="K243" i="4"/>
  <c r="S243" i="4" s="1"/>
  <c r="BQ243" i="4" s="1"/>
  <c r="K349" i="4"/>
  <c r="K362" i="4"/>
  <c r="K104" i="4"/>
  <c r="S104" i="4" s="1"/>
  <c r="BQ104" i="4" s="1"/>
  <c r="K103" i="4"/>
  <c r="S103" i="4" s="1"/>
  <c r="BQ103" i="4" s="1"/>
  <c r="K224" i="4"/>
  <c r="S224" i="4" s="1"/>
  <c r="BQ224" i="4" s="1"/>
  <c r="K226" i="4"/>
  <c r="S226" i="4" s="1"/>
  <c r="BQ226" i="4" s="1"/>
  <c r="K223" i="4"/>
  <c r="S223" i="4" s="1"/>
  <c r="BQ223" i="4" s="1"/>
  <c r="K340" i="4"/>
  <c r="K311" i="4"/>
  <c r="K373" i="4"/>
  <c r="K175" i="4"/>
  <c r="S175" i="4" s="1"/>
  <c r="BQ175" i="4" s="1"/>
  <c r="K356" i="4"/>
  <c r="K263" i="4"/>
  <c r="S263" i="4" s="1"/>
  <c r="BQ263" i="4" s="1"/>
  <c r="K279" i="4"/>
  <c r="S279" i="4" s="1"/>
  <c r="BQ279" i="4" s="1"/>
  <c r="K64" i="4"/>
  <c r="S64" i="4" s="1"/>
  <c r="BQ64" i="4" s="1"/>
  <c r="K129" i="4"/>
  <c r="S129" i="4" s="1"/>
  <c r="BQ129" i="4" s="1"/>
  <c r="K285" i="4"/>
  <c r="S285" i="4" s="1"/>
  <c r="BQ285" i="4" s="1"/>
  <c r="K350" i="4"/>
  <c r="K344" i="4"/>
  <c r="K177" i="4"/>
  <c r="S177" i="4" s="1"/>
  <c r="BQ177" i="4" s="1"/>
  <c r="K351" i="4"/>
  <c r="K304" i="4"/>
  <c r="S304" i="4" s="1"/>
  <c r="BQ304" i="4" s="1"/>
  <c r="K355" i="4"/>
  <c r="K290" i="4"/>
  <c r="S290" i="4" s="1"/>
  <c r="BQ290" i="4" s="1"/>
  <c r="K331" i="4"/>
  <c r="K242" i="4"/>
  <c r="S242" i="4" s="1"/>
  <c r="BQ242" i="4" s="1"/>
  <c r="K241" i="4"/>
  <c r="S241" i="4" s="1"/>
  <c r="BQ241" i="4" s="1"/>
  <c r="K110" i="4"/>
  <c r="S110" i="4" s="1"/>
  <c r="K343" i="4"/>
  <c r="K315" i="4"/>
  <c r="K222" i="4"/>
  <c r="S222" i="4" s="1"/>
  <c r="BQ222" i="4" s="1"/>
  <c r="K45" i="4"/>
  <c r="S45" i="4" s="1"/>
  <c r="BQ45" i="4" s="1"/>
  <c r="K146" i="4"/>
  <c r="S146" i="4" s="1"/>
  <c r="BQ146" i="4" s="1"/>
  <c r="K277" i="4"/>
  <c r="S277" i="4" s="1"/>
  <c r="K271" i="4"/>
  <c r="S271" i="4" s="1"/>
  <c r="BQ271" i="4" s="1"/>
  <c r="K165" i="4"/>
  <c r="S165" i="4" s="1"/>
  <c r="BQ165" i="4" s="1"/>
  <c r="K221" i="4"/>
  <c r="S221" i="4" s="1"/>
  <c r="K275" i="4"/>
  <c r="S275" i="4" s="1"/>
  <c r="BQ275" i="4" s="1"/>
  <c r="K339" i="4"/>
  <c r="K189" i="4"/>
  <c r="S189" i="4" s="1"/>
  <c r="BQ189" i="4" s="1"/>
  <c r="K309" i="4"/>
  <c r="K195" i="4"/>
  <c r="S195" i="4" s="1"/>
  <c r="BQ195" i="4" s="1"/>
  <c r="K262" i="4"/>
  <c r="S262" i="4" s="1"/>
  <c r="K337" i="4"/>
  <c r="K174" i="4"/>
  <c r="S174" i="4" s="1"/>
  <c r="BQ174" i="4" s="1"/>
  <c r="K274" i="4"/>
  <c r="S274" i="4" s="1"/>
  <c r="BQ274" i="4" s="1"/>
  <c r="K202" i="4"/>
  <c r="S202" i="4" s="1"/>
  <c r="BQ202" i="4" s="1"/>
  <c r="K201" i="4"/>
  <c r="S201" i="4" s="1"/>
  <c r="BQ201" i="4" s="1"/>
  <c r="K76" i="4"/>
  <c r="S76" i="4" s="1"/>
  <c r="BQ76" i="4" s="1"/>
  <c r="K148" i="4"/>
  <c r="S148" i="4" s="1"/>
  <c r="BQ148" i="4" s="1"/>
  <c r="K220" i="4"/>
  <c r="S220" i="4" s="1"/>
  <c r="BQ220" i="4" s="1"/>
  <c r="K75" i="4"/>
  <c r="S75" i="4" s="1"/>
  <c r="K284" i="4"/>
  <c r="S284" i="4" s="1"/>
  <c r="BQ284" i="4" s="1"/>
  <c r="K85" i="4"/>
  <c r="S85" i="4" s="1"/>
  <c r="BQ85" i="4" s="1"/>
  <c r="K233" i="4"/>
  <c r="S233" i="4" s="1"/>
  <c r="BQ233" i="4" s="1"/>
  <c r="K247" i="4"/>
  <c r="S247" i="4" s="1"/>
  <c r="BQ247" i="4" s="1"/>
  <c r="K113" i="4"/>
  <c r="S113" i="4" s="1"/>
  <c r="BQ113" i="4" s="1"/>
  <c r="K269" i="4"/>
  <c r="S269" i="4" s="1"/>
  <c r="BQ269" i="4" s="1"/>
  <c r="K194" i="4"/>
  <c r="S194" i="4" s="1"/>
  <c r="BQ194" i="4" s="1"/>
  <c r="K367" i="4"/>
  <c r="K267" i="4"/>
  <c r="S267" i="4" s="1"/>
  <c r="BQ267" i="4" s="1"/>
  <c r="K219" i="4"/>
  <c r="S219" i="4" s="1"/>
  <c r="BQ219" i="4" s="1"/>
  <c r="K145" i="4"/>
  <c r="S145" i="4" s="1"/>
  <c r="BQ145" i="4" s="1"/>
  <c r="K270" i="4"/>
  <c r="S270" i="4" s="1"/>
  <c r="BQ270" i="4" s="1"/>
  <c r="K135" i="4"/>
  <c r="S135" i="4" s="1"/>
  <c r="BQ135" i="4" s="1"/>
  <c r="K144" i="4"/>
  <c r="S144" i="4" s="1"/>
  <c r="BQ144" i="4" s="1"/>
  <c r="K381" i="4"/>
  <c r="K240" i="4"/>
  <c r="S240" i="4" s="1"/>
  <c r="BQ240" i="4" s="1"/>
  <c r="K257" i="4"/>
  <c r="S257" i="4" s="1"/>
  <c r="BQ257" i="4" s="1"/>
  <c r="K204" i="4"/>
  <c r="S204" i="4" s="1"/>
  <c r="K205" i="4"/>
  <c r="S205" i="4" s="1"/>
  <c r="BQ205" i="4" s="1"/>
  <c r="K231" i="4"/>
  <c r="S231" i="4" s="1"/>
  <c r="BQ231" i="4" s="1"/>
  <c r="K322" i="4"/>
  <c r="K239" i="4"/>
  <c r="S239" i="4" s="1"/>
  <c r="BQ239" i="4" s="1"/>
  <c r="K228" i="4"/>
  <c r="S228" i="4" s="1"/>
  <c r="BQ228" i="4" s="1"/>
  <c r="K342" i="4"/>
  <c r="K328" i="4"/>
  <c r="K308" i="4"/>
  <c r="K248" i="4"/>
  <c r="S248" i="4" s="1"/>
  <c r="BQ248" i="4" s="1"/>
  <c r="K246" i="4"/>
  <c r="K302" i="4"/>
  <c r="S302" i="4" s="1"/>
  <c r="BQ302" i="4" s="1"/>
  <c r="K225" i="4"/>
  <c r="K297" i="4"/>
  <c r="S297" i="4" s="1"/>
  <c r="BQ297" i="4" s="1"/>
  <c r="K102" i="4"/>
  <c r="S102" i="4" s="1"/>
  <c r="BQ102" i="4" s="1"/>
  <c r="K218" i="4"/>
  <c r="S218" i="4" s="1"/>
  <c r="BQ218" i="4" s="1"/>
  <c r="K357" i="4"/>
  <c r="K317" i="4"/>
  <c r="K39" i="4"/>
  <c r="S39" i="4" s="1"/>
  <c r="BQ39" i="4" s="1"/>
  <c r="K134" i="4"/>
  <c r="S134" i="4" s="1"/>
  <c r="BQ134" i="4" s="1"/>
  <c r="K254" i="4"/>
  <c r="S254" i="4" s="1"/>
  <c r="BQ254" i="4" s="1"/>
  <c r="K44" i="4"/>
  <c r="S44" i="4" s="1"/>
  <c r="BQ44" i="4" s="1"/>
  <c r="K292" i="4"/>
  <c r="S292" i="4" s="1"/>
  <c r="BQ292" i="4" s="1"/>
  <c r="K266" i="4"/>
  <c r="S266" i="4" s="1"/>
  <c r="BQ266" i="4" s="1"/>
  <c r="K217" i="4"/>
  <c r="S217" i="4" s="1"/>
  <c r="BQ217" i="4" s="1"/>
  <c r="K173" i="4"/>
  <c r="S173" i="4" s="1"/>
  <c r="BQ173" i="4" s="1"/>
  <c r="K313" i="4"/>
  <c r="K132" i="4"/>
  <c r="S132" i="4" s="1"/>
  <c r="BQ132" i="4" s="1"/>
  <c r="K203" i="4"/>
  <c r="S203" i="4" s="1"/>
  <c r="BQ203" i="4" s="1"/>
  <c r="K216" i="4"/>
  <c r="S216" i="4" s="1"/>
  <c r="BQ216" i="4" s="1"/>
  <c r="K101" i="4"/>
  <c r="S101" i="4" s="1"/>
  <c r="BQ101" i="4" s="1"/>
  <c r="K316" i="4"/>
  <c r="K151" i="4"/>
  <c r="K73" i="4"/>
  <c r="S73" i="4" s="1"/>
  <c r="K215" i="4"/>
  <c r="S215" i="4" s="1"/>
  <c r="BQ215" i="4" s="1"/>
  <c r="K214" i="4"/>
  <c r="S214" i="4" s="1"/>
  <c r="BQ214" i="4" s="1"/>
  <c r="K306" i="4"/>
  <c r="K188" i="4"/>
  <c r="S188" i="4" s="1"/>
  <c r="BQ188" i="4" s="1"/>
  <c r="K321" i="4"/>
  <c r="K238" i="4"/>
  <c r="S238" i="4" s="1"/>
  <c r="BQ238" i="4" s="1"/>
  <c r="K336" i="4"/>
  <c r="K187" i="4"/>
  <c r="S187" i="4" s="1"/>
  <c r="BQ187" i="4" s="1"/>
  <c r="K286" i="4"/>
  <c r="S286" i="4" s="1"/>
  <c r="BQ286" i="4" s="1"/>
  <c r="K186" i="4"/>
  <c r="S186" i="4" s="1"/>
  <c r="BQ186" i="4" s="1"/>
  <c r="K307" i="4"/>
  <c r="K260" i="4"/>
  <c r="S260" i="4" s="1"/>
  <c r="BQ260" i="4" s="1"/>
  <c r="K185" i="4"/>
  <c r="S185" i="4" s="1"/>
  <c r="BQ185" i="4" s="1"/>
  <c r="K193" i="4"/>
  <c r="S193" i="4" s="1"/>
  <c r="BQ193" i="4" s="1"/>
  <c r="K184" i="4"/>
  <c r="S184" i="4" s="1"/>
  <c r="BQ184" i="4" s="1"/>
  <c r="K320" i="4"/>
  <c r="K192" i="4"/>
  <c r="S192" i="4" s="1"/>
  <c r="BQ192" i="4" s="1"/>
  <c r="K296" i="4"/>
  <c r="S296" i="4" s="1"/>
  <c r="BQ296" i="4" s="1"/>
  <c r="K295" i="4"/>
  <c r="S295" i="4" s="1"/>
  <c r="BQ295" i="4" s="1"/>
  <c r="K293" i="4"/>
  <c r="S293" i="4" s="1"/>
  <c r="BQ293" i="4" s="1"/>
  <c r="K176" i="4"/>
  <c r="S176" i="4" s="1"/>
  <c r="BQ176" i="4" s="1"/>
  <c r="K291" i="4"/>
  <c r="S291" i="4" s="1"/>
  <c r="BQ291" i="4" s="1"/>
  <c r="K252" i="4"/>
  <c r="S252" i="4" s="1"/>
  <c r="BQ252" i="4" s="1"/>
  <c r="K301" i="4"/>
  <c r="S301" i="4" s="1"/>
  <c r="K294" i="4"/>
  <c r="S294" i="4" s="1"/>
  <c r="K300" i="4"/>
  <c r="S300" i="4" s="1"/>
  <c r="BQ300" i="4" s="1"/>
  <c r="K170" i="4"/>
  <c r="S170" i="4" s="1"/>
  <c r="BQ170" i="4" s="1"/>
  <c r="K88" i="4"/>
  <c r="S88" i="4" s="1"/>
  <c r="BQ88" i="4" s="1"/>
  <c r="K78" i="4"/>
  <c r="S78" i="4" s="1"/>
  <c r="BQ78" i="4" s="1"/>
  <c r="K299" i="4"/>
  <c r="S299" i="4" s="1"/>
  <c r="K298" i="4"/>
  <c r="S298" i="4" s="1"/>
  <c r="BQ298" i="4" s="1"/>
  <c r="K183" i="4"/>
  <c r="S183" i="4" s="1"/>
  <c r="BQ183" i="4" s="1"/>
  <c r="K314" i="4"/>
  <c r="K61" i="4"/>
  <c r="S61" i="4" s="1"/>
  <c r="BQ61" i="4" s="1"/>
  <c r="K198" i="4"/>
  <c r="S198" i="4" s="1"/>
  <c r="BQ198" i="4" s="1"/>
  <c r="K20" i="4"/>
  <c r="S20" i="4" s="1"/>
  <c r="BQ20" i="4" s="1"/>
  <c r="K154" i="4"/>
  <c r="S154" i="4" s="1"/>
  <c r="BQ154" i="4" s="1"/>
  <c r="K84" i="4"/>
  <c r="S84" i="4" s="1"/>
  <c r="BQ84" i="4" s="1"/>
  <c r="K164" i="4"/>
  <c r="K237" i="4"/>
  <c r="S237" i="4" s="1"/>
  <c r="BQ237" i="4" s="1"/>
  <c r="K280" i="4"/>
  <c r="S280" i="4" s="1"/>
  <c r="BQ280" i="4" s="1"/>
  <c r="K112" i="4"/>
  <c r="K143" i="4"/>
  <c r="S143" i="4" s="1"/>
  <c r="BQ143" i="4" s="1"/>
  <c r="K273" i="4"/>
  <c r="S273" i="4" s="1"/>
  <c r="BQ273" i="4" s="1"/>
  <c r="K56" i="4"/>
  <c r="S56" i="4" s="1"/>
  <c r="BQ56" i="4" s="1"/>
  <c r="K268" i="4"/>
  <c r="S268" i="4" s="1"/>
  <c r="BQ268" i="4" s="1"/>
  <c r="K329" i="4"/>
  <c r="K213" i="4"/>
  <c r="S213" i="4" s="1"/>
  <c r="BQ213" i="4" s="1"/>
  <c r="K199" i="4"/>
  <c r="S199" i="4" s="1"/>
  <c r="BQ199" i="4" s="1"/>
  <c r="K265" i="4"/>
  <c r="S265" i="4" s="1"/>
  <c r="BQ265" i="4" s="1"/>
  <c r="K150" i="4"/>
  <c r="S150" i="4" s="1"/>
  <c r="BQ150" i="4" s="1"/>
  <c r="K264" i="4"/>
  <c r="S264" i="4" s="1"/>
  <c r="BQ264" i="4" s="1"/>
  <c r="K212" i="4"/>
  <c r="S212" i="4" s="1"/>
  <c r="BQ212" i="4" s="1"/>
  <c r="K256" i="4"/>
  <c r="S256" i="4" s="1"/>
  <c r="BQ256" i="4" s="1"/>
  <c r="K272" i="4"/>
  <c r="S272" i="4" s="1"/>
  <c r="BQ272" i="4" s="1"/>
  <c r="K149" i="4"/>
  <c r="S149" i="4" s="1"/>
  <c r="BQ149" i="4" s="1"/>
  <c r="K147" i="4"/>
  <c r="S147" i="4" s="1"/>
  <c r="BQ147" i="4" s="1"/>
  <c r="K211" i="4"/>
  <c r="S211" i="4" s="1"/>
  <c r="BQ211" i="4" s="1"/>
  <c r="K142" i="4"/>
  <c r="S142" i="4" s="1"/>
  <c r="BQ142" i="4" s="1"/>
  <c r="K100" i="4"/>
  <c r="S100" i="4" s="1"/>
  <c r="BQ100" i="4" s="1"/>
  <c r="K99" i="4"/>
  <c r="S99" i="4" s="1"/>
  <c r="BQ99" i="4" s="1"/>
  <c r="K259" i="4"/>
  <c r="S259" i="4" s="1"/>
  <c r="BQ259" i="4" s="1"/>
  <c r="K128" i="4"/>
  <c r="S128" i="4" s="1"/>
  <c r="BQ128" i="4" s="1"/>
  <c r="K261" i="4"/>
  <c r="S261" i="4" s="1"/>
  <c r="K255" i="4"/>
  <c r="S255" i="4" s="1"/>
  <c r="BQ255" i="4" s="1"/>
  <c r="K210" i="4"/>
  <c r="S210" i="4" s="1"/>
  <c r="BQ210" i="4" s="1"/>
  <c r="K253" i="4"/>
  <c r="S253" i="4" s="1"/>
  <c r="BQ253" i="4" s="1"/>
  <c r="K227" i="4"/>
  <c r="S227" i="4" s="1"/>
  <c r="K120" i="4"/>
  <c r="S120" i="4" s="1"/>
  <c r="BQ120" i="4" s="1"/>
  <c r="K209" i="4"/>
  <c r="S209" i="4" s="1"/>
  <c r="BQ209" i="4" s="1"/>
  <c r="K115" i="4"/>
  <c r="S115" i="4" s="1"/>
  <c r="BQ115" i="4" s="1"/>
  <c r="K208" i="4"/>
  <c r="S208" i="4" s="1"/>
  <c r="BQ208" i="4" s="1"/>
  <c r="K119" i="4"/>
  <c r="S119" i="4" s="1"/>
  <c r="BQ119" i="4" s="1"/>
  <c r="K118" i="4"/>
  <c r="S118" i="4" s="1"/>
  <c r="BQ118" i="4" s="1"/>
  <c r="K249" i="4"/>
  <c r="S249" i="4" s="1"/>
  <c r="BQ249" i="4" s="1"/>
  <c r="K251" i="4"/>
  <c r="S251" i="4" s="1"/>
  <c r="BQ251" i="4" s="1"/>
  <c r="K117" i="4"/>
  <c r="S117" i="4" s="1"/>
  <c r="BQ117" i="4" s="1"/>
  <c r="K250" i="4"/>
  <c r="S250" i="4" s="1"/>
  <c r="BQ250" i="4" s="1"/>
  <c r="K109" i="4"/>
  <c r="S109" i="4" s="1"/>
  <c r="BQ109" i="4" s="1"/>
  <c r="K289" i="4"/>
  <c r="K361" i="4"/>
  <c r="K153" i="4"/>
  <c r="S153" i="4" s="1"/>
  <c r="BQ153" i="4" s="1"/>
  <c r="K108" i="4"/>
  <c r="S108" i="4" s="1"/>
  <c r="BQ108" i="4" s="1"/>
  <c r="K60" i="4"/>
  <c r="S60" i="4" s="1"/>
  <c r="BQ60" i="4" s="1"/>
  <c r="K236" i="4"/>
  <c r="S236" i="4" s="1"/>
  <c r="BQ236" i="4" s="1"/>
  <c r="K196" i="4"/>
  <c r="S196" i="4" s="1"/>
  <c r="BQ196" i="4" s="1"/>
  <c r="K111" i="4"/>
  <c r="S111" i="4" s="1"/>
  <c r="BQ111" i="4" s="1"/>
  <c r="K158" i="4"/>
  <c r="S158" i="4" s="1"/>
  <c r="BQ158" i="4" s="1"/>
  <c r="K235" i="4"/>
  <c r="K133" i="4"/>
  <c r="S133" i="4" s="1"/>
  <c r="BQ133" i="4" s="1"/>
  <c r="K72" i="4"/>
  <c r="S72" i="4" s="1"/>
  <c r="BQ72" i="4" s="1"/>
  <c r="K172" i="4"/>
  <c r="S172" i="4" s="1"/>
  <c r="BQ172" i="4" s="1"/>
  <c r="K52" i="4"/>
  <c r="S52" i="4" s="1"/>
  <c r="BQ52" i="4" s="1"/>
  <c r="K98" i="4"/>
  <c r="S98" i="4" s="1"/>
  <c r="BQ98" i="4" s="1"/>
  <c r="K97" i="4"/>
  <c r="S97" i="4" s="1"/>
  <c r="BQ97" i="4" s="1"/>
  <c r="K96" i="4"/>
  <c r="S96" i="4" s="1"/>
  <c r="BQ96" i="4" s="1"/>
  <c r="K95" i="4"/>
  <c r="S95" i="4" s="1"/>
  <c r="BQ95" i="4" s="1"/>
  <c r="K106" i="4"/>
  <c r="K131" i="4"/>
  <c r="S131" i="4" s="1"/>
  <c r="BQ131" i="4" s="1"/>
  <c r="K141" i="4"/>
  <c r="S141" i="4" s="1"/>
  <c r="K38" i="4"/>
  <c r="S38" i="4" s="1"/>
  <c r="BQ38" i="4" s="1"/>
  <c r="K140" i="4"/>
  <c r="S140" i="4" s="1"/>
  <c r="BQ140" i="4" s="1"/>
  <c r="K94" i="4"/>
  <c r="S94" i="4" s="1"/>
  <c r="BQ94" i="4" s="1"/>
  <c r="K168" i="4"/>
  <c r="S168" i="4" s="1"/>
  <c r="BQ168" i="4" s="1"/>
  <c r="K40" i="4"/>
  <c r="S40" i="4" s="1"/>
  <c r="BQ40" i="4" s="1"/>
  <c r="K200" i="4"/>
  <c r="S200" i="4" s="1"/>
  <c r="BQ200" i="4" s="1"/>
  <c r="K182" i="4"/>
  <c r="S182" i="4" s="1"/>
  <c r="BQ182" i="4" s="1"/>
  <c r="K121" i="4"/>
  <c r="S121" i="4" s="1"/>
  <c r="BQ121" i="4" s="1"/>
  <c r="K167" i="4"/>
  <c r="K83" i="4"/>
  <c r="S83" i="4" s="1"/>
  <c r="BQ83" i="4" s="1"/>
  <c r="K125" i="4"/>
  <c r="S125" i="4" s="1"/>
  <c r="K86" i="4"/>
  <c r="K82" i="4"/>
  <c r="S82" i="4" s="1"/>
  <c r="BQ82" i="4" s="1"/>
  <c r="K179" i="4"/>
  <c r="K79" i="4"/>
  <c r="S79" i="4" s="1"/>
  <c r="BQ79" i="4" s="1"/>
  <c r="K139" i="4"/>
  <c r="S139" i="4" s="1"/>
  <c r="BQ139" i="4" s="1"/>
  <c r="K166" i="4"/>
  <c r="S166" i="4" s="1"/>
  <c r="BQ166" i="4" s="1"/>
  <c r="K93" i="4"/>
  <c r="S93" i="4" s="1"/>
  <c r="BQ93" i="4" s="1"/>
  <c r="K70" i="4"/>
  <c r="S70" i="4" s="1"/>
  <c r="BQ70" i="4" s="1"/>
  <c r="K77" i="4"/>
  <c r="K171" i="4"/>
  <c r="S171" i="4" s="1"/>
  <c r="BQ171" i="4" s="1"/>
  <c r="K25" i="4"/>
  <c r="S25" i="4" s="1"/>
  <c r="BQ25" i="4" s="1"/>
  <c r="K50" i="4"/>
  <c r="S50" i="4" s="1"/>
  <c r="BQ50" i="4" s="1"/>
  <c r="K107" i="4"/>
  <c r="S107" i="4" s="1"/>
  <c r="K127" i="4"/>
  <c r="S127" i="4" s="1"/>
  <c r="BQ127" i="4" s="1"/>
  <c r="K59" i="4"/>
  <c r="S59" i="4" s="1"/>
  <c r="BQ59" i="4" s="1"/>
  <c r="K157" i="4"/>
  <c r="S157" i="4" s="1"/>
  <c r="BQ157" i="4" s="1"/>
  <c r="K232" i="4"/>
  <c r="S232" i="4" s="1"/>
  <c r="BQ232" i="4" s="1"/>
  <c r="K138" i="4"/>
  <c r="S138" i="4" s="1"/>
  <c r="BQ138" i="4" s="1"/>
  <c r="K54" i="4"/>
  <c r="S54" i="4" s="1"/>
  <c r="BQ54" i="4" s="1"/>
  <c r="K137" i="4"/>
  <c r="S137" i="4" s="1"/>
  <c r="BQ137" i="4" s="1"/>
  <c r="K136" i="4"/>
  <c r="S136" i="4" s="1"/>
  <c r="BQ136" i="4" s="1"/>
  <c r="K130" i="4"/>
  <c r="S130" i="4" s="1"/>
  <c r="BQ130" i="4" s="1"/>
  <c r="K69" i="4"/>
  <c r="S69" i="4" s="1"/>
  <c r="BQ69" i="4" s="1"/>
  <c r="K49" i="4"/>
  <c r="K53" i="4"/>
  <c r="S53" i="4" s="1"/>
  <c r="BQ53" i="4" s="1"/>
  <c r="K43" i="4"/>
  <c r="S43" i="4" s="1"/>
  <c r="K126" i="4"/>
  <c r="S126" i="4" s="1"/>
  <c r="BQ126" i="4" s="1"/>
  <c r="K124" i="4"/>
  <c r="K68" i="4"/>
  <c r="S68" i="4" s="1"/>
  <c r="BQ68" i="4" s="1"/>
  <c r="K116" i="4"/>
  <c r="K48" i="4"/>
  <c r="S48" i="4" s="1"/>
  <c r="BQ48" i="4" s="1"/>
  <c r="K37" i="4"/>
  <c r="S37" i="4" s="1"/>
  <c r="BQ37" i="4" s="1"/>
  <c r="K26" i="4"/>
  <c r="S26" i="4" s="1"/>
  <c r="BQ26" i="4" s="1"/>
  <c r="K80" i="4"/>
  <c r="S80" i="4" s="1"/>
  <c r="BQ80" i="4" s="1"/>
  <c r="K58" i="4"/>
  <c r="S58" i="4" s="1"/>
  <c r="BQ58" i="4" s="1"/>
  <c r="K421" i="4"/>
  <c r="K89" i="4"/>
  <c r="S89" i="4" s="1"/>
  <c r="BQ89" i="4" s="1"/>
  <c r="K92" i="4"/>
  <c r="S92" i="4" s="1"/>
  <c r="BQ92" i="4" s="1"/>
  <c r="K47" i="4"/>
  <c r="S47" i="4" s="1"/>
  <c r="BQ47" i="4" s="1"/>
  <c r="K57" i="4"/>
  <c r="K81" i="4"/>
  <c r="S81" i="4" s="1"/>
  <c r="BQ81" i="4" s="1"/>
  <c r="K27" i="4"/>
  <c r="S27" i="4" s="1"/>
  <c r="BQ27" i="4" s="1"/>
  <c r="K91" i="4"/>
  <c r="K46" i="4"/>
  <c r="S46" i="4" s="1"/>
  <c r="BQ46" i="4" s="1"/>
  <c r="K67" i="4"/>
  <c r="S67" i="4" s="1"/>
  <c r="BQ67" i="4" s="1"/>
  <c r="K24" i="4"/>
  <c r="S24" i="4" s="1"/>
  <c r="BQ24" i="4" s="1"/>
  <c r="K66" i="4"/>
  <c r="S66" i="4" s="1"/>
  <c r="BQ66" i="4" s="1"/>
  <c r="K65" i="4"/>
  <c r="S65" i="4" s="1"/>
  <c r="BQ65" i="4" s="1"/>
  <c r="K23" i="4"/>
  <c r="S23" i="4" s="1"/>
  <c r="BQ23" i="4" s="1"/>
  <c r="K17" i="4"/>
  <c r="S17" i="4" s="1"/>
  <c r="BQ17" i="4" s="1"/>
  <c r="K90" i="4"/>
  <c r="S90" i="4" s="1"/>
  <c r="BQ90" i="4" s="1"/>
  <c r="K155" i="4"/>
  <c r="K19" i="4"/>
  <c r="K62" i="4"/>
  <c r="S62" i="4" s="1"/>
  <c r="BQ62" i="4" s="1"/>
  <c r="K42" i="4"/>
  <c r="K36" i="4"/>
  <c r="S36" i="4" s="1"/>
  <c r="BQ36" i="4" s="1"/>
  <c r="K35" i="4"/>
  <c r="S35" i="4" s="1"/>
  <c r="BQ35" i="4" s="1"/>
  <c r="K34" i="4"/>
  <c r="S34" i="4" s="1"/>
  <c r="BQ34" i="4" s="1"/>
  <c r="K55" i="4"/>
  <c r="S55" i="4" s="1"/>
  <c r="BQ55" i="4" s="1"/>
  <c r="K33" i="4"/>
  <c r="S33" i="4" s="1"/>
  <c r="BQ33" i="4" s="1"/>
  <c r="K22" i="4"/>
  <c r="K32" i="4"/>
  <c r="S32" i="4" s="1"/>
  <c r="BQ32" i="4" s="1"/>
  <c r="K31" i="4"/>
  <c r="S31" i="4" s="1"/>
  <c r="BQ31" i="4" s="1"/>
  <c r="K28" i="4"/>
  <c r="S28" i="4" s="1"/>
  <c r="BQ28" i="4" s="1"/>
  <c r="K11" i="4"/>
  <c r="K114" i="4"/>
  <c r="S114" i="4" s="1"/>
  <c r="BQ114" i="4" s="1"/>
  <c r="K30" i="4"/>
  <c r="S30" i="4" s="1"/>
  <c r="BQ30" i="4" s="1"/>
  <c r="K18" i="4"/>
  <c r="S18" i="4" s="1"/>
  <c r="BQ18" i="4" s="1"/>
  <c r="K13" i="4"/>
  <c r="S13" i="4" s="1"/>
  <c r="BQ13" i="4" s="1"/>
  <c r="K21" i="4"/>
  <c r="S21" i="4" s="1"/>
  <c r="BQ21" i="4" s="1"/>
  <c r="K16" i="4"/>
  <c r="S16" i="4" s="1"/>
  <c r="BQ16" i="4" s="1"/>
  <c r="K10" i="4"/>
  <c r="K15" i="4"/>
  <c r="S15" i="4" s="1"/>
  <c r="BQ15" i="4" s="1"/>
  <c r="K29" i="4"/>
  <c r="S29" i="4" s="1"/>
  <c r="BQ29" i="4" s="1"/>
  <c r="K9" i="4"/>
  <c r="K14" i="4"/>
  <c r="K8" i="4"/>
  <c r="K12" i="4"/>
  <c r="K7" i="4"/>
  <c r="K6" i="4"/>
  <c r="S6" i="4" s="1"/>
  <c r="BQ6" i="4" s="1"/>
  <c r="K4" i="4"/>
  <c r="K5" i="4"/>
  <c r="BR422" i="4" l="1"/>
  <c r="BR415" i="4"/>
  <c r="BR417" i="4"/>
  <c r="BR416" i="4"/>
  <c r="BR420" i="4"/>
  <c r="BR418" i="4"/>
  <c r="BR414" i="4"/>
  <c r="BR419" i="4"/>
  <c r="S421" i="4"/>
  <c r="BR421" i="4"/>
  <c r="S106" i="4"/>
  <c r="BQ106" i="4" s="1"/>
  <c r="I8" i="16"/>
  <c r="AB412" i="4"/>
  <c r="AA412" i="4"/>
  <c r="HU412" i="4"/>
  <c r="AQ412" i="4" s="1"/>
  <c r="BR408" i="4"/>
  <c r="BR411" i="4"/>
  <c r="BR410" i="4"/>
  <c r="BR409" i="4"/>
  <c r="BR413" i="4"/>
  <c r="BR412" i="4"/>
  <c r="AB395" i="4"/>
  <c r="AA395" i="4"/>
  <c r="AK395" i="4" s="1"/>
  <c r="BR367" i="4"/>
  <c r="AB407" i="4"/>
  <c r="AA407" i="4"/>
  <c r="AA393" i="4"/>
  <c r="AB393" i="4"/>
  <c r="BR372" i="4"/>
  <c r="BR380" i="4"/>
  <c r="BR382" i="4"/>
  <c r="BR400" i="4"/>
  <c r="BR402" i="4"/>
  <c r="BR399" i="4"/>
  <c r="BR394" i="4"/>
  <c r="BR392" i="4"/>
  <c r="BR389" i="4"/>
  <c r="BR386" i="4"/>
  <c r="BR385" i="4"/>
  <c r="BR370" i="4"/>
  <c r="BR407" i="4"/>
  <c r="BR404" i="4"/>
  <c r="BR397" i="4"/>
  <c r="BR369" i="4"/>
  <c r="BR366" i="4"/>
  <c r="BR403" i="4"/>
  <c r="BR401" i="4"/>
  <c r="BR398" i="4"/>
  <c r="BR395" i="4"/>
  <c r="BR393" i="4"/>
  <c r="BR390" i="4"/>
  <c r="BR387" i="4"/>
  <c r="BR384" i="4"/>
  <c r="BR371" i="4"/>
  <c r="BR391" i="4"/>
  <c r="BR406" i="4"/>
  <c r="BR405" i="4"/>
  <c r="BR396" i="4"/>
  <c r="BR368" i="4"/>
  <c r="BR374" i="4"/>
  <c r="BR378" i="4"/>
  <c r="BR375" i="4"/>
  <c r="AB401" i="4"/>
  <c r="AA401" i="4"/>
  <c r="AK401" i="4" s="1"/>
  <c r="AI401" i="4" s="1"/>
  <c r="S388" i="4"/>
  <c r="BR388" i="4"/>
  <c r="S383" i="4"/>
  <c r="BR383" i="4"/>
  <c r="S381" i="4"/>
  <c r="BR381" i="4"/>
  <c r="S379" i="4"/>
  <c r="BR379" i="4"/>
  <c r="S377" i="4"/>
  <c r="BR377" i="4"/>
  <c r="S376" i="4"/>
  <c r="BR376" i="4"/>
  <c r="S373" i="4"/>
  <c r="BF373" i="4" s="1"/>
  <c r="BR373" i="4"/>
  <c r="AA363" i="4"/>
  <c r="AB363" i="4"/>
  <c r="BR356" i="4"/>
  <c r="BR358" i="4"/>
  <c r="BR359" i="4"/>
  <c r="S362" i="4"/>
  <c r="BR362" i="4"/>
  <c r="BR364" i="4"/>
  <c r="BR363" i="4"/>
  <c r="S365" i="4"/>
  <c r="BR365" i="4"/>
  <c r="S361" i="4"/>
  <c r="HM361" i="4" s="1"/>
  <c r="BR361" i="4"/>
  <c r="S360" i="4"/>
  <c r="BR360" i="4"/>
  <c r="S357" i="4"/>
  <c r="HK357" i="4" s="1"/>
  <c r="BR357" i="4"/>
  <c r="S355" i="4"/>
  <c r="HQ355" i="4" s="1"/>
  <c r="BR355" i="4"/>
  <c r="S356" i="4"/>
  <c r="BC356" i="4"/>
  <c r="BG356" i="4"/>
  <c r="BH356" i="4"/>
  <c r="BD356" i="4"/>
  <c r="BE356" i="4"/>
  <c r="BI356" i="4"/>
  <c r="BR349" i="4"/>
  <c r="BR354" i="4"/>
  <c r="S353" i="4"/>
  <c r="C353" i="4" s="1"/>
  <c r="BR353" i="4"/>
  <c r="S352" i="4"/>
  <c r="C352" i="4" s="1"/>
  <c r="BR352" i="4"/>
  <c r="S351" i="4"/>
  <c r="BR351" i="4"/>
  <c r="S350" i="4"/>
  <c r="C350" i="4" s="1"/>
  <c r="BR350" i="4"/>
  <c r="BR348" i="4"/>
  <c r="S347" i="4"/>
  <c r="BR347" i="4"/>
  <c r="AO63" i="4"/>
  <c r="CG63" i="4"/>
  <c r="S86" i="4"/>
  <c r="BQ86" i="4" s="1"/>
  <c r="L15" i="16"/>
  <c r="BR345" i="4"/>
  <c r="BR346" i="4"/>
  <c r="BR343" i="4"/>
  <c r="S344" i="4"/>
  <c r="BR344" i="4"/>
  <c r="S342" i="4"/>
  <c r="HS342" i="4" s="1"/>
  <c r="BR342" i="4"/>
  <c r="HQ63" i="4"/>
  <c r="S343" i="4"/>
  <c r="C343" i="4" s="1"/>
  <c r="L13" i="16"/>
  <c r="BR341" i="4"/>
  <c r="BR338" i="4"/>
  <c r="BR337" i="4"/>
  <c r="S340" i="4"/>
  <c r="BR340" i="4"/>
  <c r="S339" i="4"/>
  <c r="C339" i="4" s="1"/>
  <c r="BR339" i="4"/>
  <c r="S336" i="4"/>
  <c r="HO336" i="4" s="1"/>
  <c r="BR336" i="4"/>
  <c r="R22" i="15"/>
  <c r="R21" i="15"/>
  <c r="BR333" i="4"/>
  <c r="BR334" i="4"/>
  <c r="BR335" i="4"/>
  <c r="BR327" i="4"/>
  <c r="BR326" i="4"/>
  <c r="BR325" i="4"/>
  <c r="BR329" i="4"/>
  <c r="GS63" i="4"/>
  <c r="GY63" i="4" s="1"/>
  <c r="GZ63" i="4" s="1"/>
  <c r="S329" i="4"/>
  <c r="HK329" i="4" s="1"/>
  <c r="BR332" i="4"/>
  <c r="BR330" i="4"/>
  <c r="S331" i="4"/>
  <c r="HI331" i="4" s="1"/>
  <c r="BR331" i="4"/>
  <c r="S328" i="4"/>
  <c r="C328" i="4" s="1"/>
  <c r="BR328" i="4"/>
  <c r="S324" i="4"/>
  <c r="BR324" i="4"/>
  <c r="S323" i="4"/>
  <c r="C323" i="4" s="1"/>
  <c r="BR323" i="4"/>
  <c r="S322" i="4"/>
  <c r="HK322" i="4" s="1"/>
  <c r="BR322" i="4"/>
  <c r="S321" i="4"/>
  <c r="C321" i="4" s="1"/>
  <c r="BR321" i="4"/>
  <c r="S320" i="4"/>
  <c r="HO320" i="4" s="1"/>
  <c r="BR320" i="4"/>
  <c r="BR312" i="4"/>
  <c r="BR310" i="4"/>
  <c r="BR315" i="4"/>
  <c r="S319" i="4"/>
  <c r="BR319" i="4"/>
  <c r="S318" i="4"/>
  <c r="BR318" i="4"/>
  <c r="S317" i="4"/>
  <c r="HO317" i="4" s="1"/>
  <c r="BR317" i="4"/>
  <c r="S316" i="4"/>
  <c r="C316" i="4" s="1"/>
  <c r="BR316" i="4"/>
  <c r="S314" i="4"/>
  <c r="BF314" i="4" s="1"/>
  <c r="BR314" i="4"/>
  <c r="S313" i="4"/>
  <c r="BF313" i="4" s="1"/>
  <c r="BR313" i="4"/>
  <c r="S311" i="4"/>
  <c r="BR311" i="4"/>
  <c r="S309" i="4"/>
  <c r="HM309" i="4" s="1"/>
  <c r="BR309" i="4"/>
  <c r="U6" i="16"/>
  <c r="BR308" i="4"/>
  <c r="S307" i="4"/>
  <c r="BF307" i="4" s="1"/>
  <c r="BR307" i="4"/>
  <c r="S306" i="4"/>
  <c r="C306" i="4" s="1"/>
  <c r="BR306" i="4"/>
  <c r="S305" i="4"/>
  <c r="BR305" i="4"/>
  <c r="BP55" i="4"/>
  <c r="BP24" i="4"/>
  <c r="BP80" i="4"/>
  <c r="BP130" i="4"/>
  <c r="BP171" i="4"/>
  <c r="BP236" i="4"/>
  <c r="BP119" i="4"/>
  <c r="BP199" i="4"/>
  <c r="BP154" i="4"/>
  <c r="BP294" i="4"/>
  <c r="BP185" i="4"/>
  <c r="BP215" i="4"/>
  <c r="BP292" i="4"/>
  <c r="BP177" i="4"/>
  <c r="BP105" i="4"/>
  <c r="BO13" i="4"/>
  <c r="BP67" i="4"/>
  <c r="BP136" i="4"/>
  <c r="BP60" i="4"/>
  <c r="BP208" i="4"/>
  <c r="BP301" i="4"/>
  <c r="BP260" i="4"/>
  <c r="BP73" i="4"/>
  <c r="BP248" i="4"/>
  <c r="BP233" i="4"/>
  <c r="BP262" i="4"/>
  <c r="BP223" i="4"/>
  <c r="BP191" i="4"/>
  <c r="BP144" i="4"/>
  <c r="BP48" i="4"/>
  <c r="BP54" i="4"/>
  <c r="BP93" i="4"/>
  <c r="BP200" i="4"/>
  <c r="BP98" i="4"/>
  <c r="BP153" i="4"/>
  <c r="BP209" i="4"/>
  <c r="BP186" i="4"/>
  <c r="BP134" i="4"/>
  <c r="BP284" i="4"/>
  <c r="BP285" i="4"/>
  <c r="BP37" i="4"/>
  <c r="BP62" i="4"/>
  <c r="BP27" i="4"/>
  <c r="BP39" i="4"/>
  <c r="BP270" i="4"/>
  <c r="BP75" i="4"/>
  <c r="BP110" i="4"/>
  <c r="BP129" i="4"/>
  <c r="BP103" i="4"/>
  <c r="BP97" i="4"/>
  <c r="BP81" i="4"/>
  <c r="BP68" i="4"/>
  <c r="BP232" i="4"/>
  <c r="BP168" i="4"/>
  <c r="BP227" i="4"/>
  <c r="BP187" i="4"/>
  <c r="BP216" i="4"/>
  <c r="BP228" i="4"/>
  <c r="BP220" i="4"/>
  <c r="BP241" i="4"/>
  <c r="BP64" i="4"/>
  <c r="BP162" i="4"/>
  <c r="BP6" i="4"/>
  <c r="BP108" i="4"/>
  <c r="BP28" i="4"/>
  <c r="BP157" i="4"/>
  <c r="BP79" i="4"/>
  <c r="BP242" i="4"/>
  <c r="BP90" i="4"/>
  <c r="BP47" i="4"/>
  <c r="BP126" i="4"/>
  <c r="BP210" i="4"/>
  <c r="BP256" i="4"/>
  <c r="BP299" i="4"/>
  <c r="BP132" i="4"/>
  <c r="BP267" i="4"/>
  <c r="BP76" i="4"/>
  <c r="BP221" i="4"/>
  <c r="BP17" i="4"/>
  <c r="BP43" i="4"/>
  <c r="BP127" i="4"/>
  <c r="BP82" i="4"/>
  <c r="BP38" i="4"/>
  <c r="BP117" i="4"/>
  <c r="BP255" i="4"/>
  <c r="BP212" i="4"/>
  <c r="BP78" i="4"/>
  <c r="BP165" i="4"/>
  <c r="BP290" i="4"/>
  <c r="BP243" i="4"/>
  <c r="BP23" i="4"/>
  <c r="BP53" i="4"/>
  <c r="BP107" i="4"/>
  <c r="BP141" i="4"/>
  <c r="BP158" i="4"/>
  <c r="BP261" i="4"/>
  <c r="BP237" i="4"/>
  <c r="BP88" i="4"/>
  <c r="BP173" i="4"/>
  <c r="BP297" i="4"/>
  <c r="BP194" i="4"/>
  <c r="BP175" i="4"/>
  <c r="BP288" i="4"/>
  <c r="BP29" i="4"/>
  <c r="BP15" i="4"/>
  <c r="BP33" i="4"/>
  <c r="BP65" i="4"/>
  <c r="BP125" i="4"/>
  <c r="BP111" i="4"/>
  <c r="BP170" i="4"/>
  <c r="BP184" i="4"/>
  <c r="BP204" i="4"/>
  <c r="BP277" i="4"/>
  <c r="BP304" i="4"/>
  <c r="BP66" i="4"/>
  <c r="BP58" i="4"/>
  <c r="BP69" i="4"/>
  <c r="BP25" i="4"/>
  <c r="BP196" i="4"/>
  <c r="BP118" i="4"/>
  <c r="BP84" i="4"/>
  <c r="BP214" i="4"/>
  <c r="BP113" i="4"/>
  <c r="H171" i="4"/>
  <c r="H294" i="4"/>
  <c r="BO294" i="4"/>
  <c r="H26" i="4"/>
  <c r="BO26" i="4"/>
  <c r="H213" i="4"/>
  <c r="BO213" i="4"/>
  <c r="H233" i="4"/>
  <c r="H115" i="4"/>
  <c r="BO115" i="4"/>
  <c r="H236" i="4"/>
  <c r="H292" i="4"/>
  <c r="H121" i="4"/>
  <c r="BO121" i="4"/>
  <c r="H260" i="4"/>
  <c r="H222" i="4"/>
  <c r="BO222" i="4"/>
  <c r="H46" i="4"/>
  <c r="BO46" i="4"/>
  <c r="H108" i="4"/>
  <c r="H144" i="4"/>
  <c r="H98" i="4"/>
  <c r="H291" i="4"/>
  <c r="BO291" i="4"/>
  <c r="H135" i="4"/>
  <c r="BO135" i="4"/>
  <c r="H285" i="4"/>
  <c r="H114" i="4"/>
  <c r="BO114" i="4"/>
  <c r="H62" i="4"/>
  <c r="H27" i="4"/>
  <c r="H138" i="4"/>
  <c r="BO138" i="4"/>
  <c r="H166" i="4"/>
  <c r="BO166" i="4"/>
  <c r="H40" i="4"/>
  <c r="BO40" i="4"/>
  <c r="H52" i="4"/>
  <c r="BO52" i="4"/>
  <c r="H120" i="4"/>
  <c r="BO120" i="4"/>
  <c r="H147" i="4"/>
  <c r="BO147" i="4"/>
  <c r="H56" i="4"/>
  <c r="BO56" i="4"/>
  <c r="H176" i="4"/>
  <c r="BO176" i="4"/>
  <c r="H286" i="4"/>
  <c r="BO286" i="4"/>
  <c r="H101" i="4"/>
  <c r="BO101" i="4"/>
  <c r="H39" i="4"/>
  <c r="H270" i="4"/>
  <c r="H75" i="4"/>
  <c r="BO75" i="4"/>
  <c r="H189" i="4"/>
  <c r="BO189" i="4"/>
  <c r="H110" i="4"/>
  <c r="BO110" i="4"/>
  <c r="H129" i="4"/>
  <c r="H103" i="4"/>
  <c r="H160" i="4"/>
  <c r="BO160" i="4"/>
  <c r="H21" i="4"/>
  <c r="BO21" i="4"/>
  <c r="H247" i="4"/>
  <c r="BO247" i="4"/>
  <c r="H54" i="4"/>
  <c r="H211" i="4"/>
  <c r="BO211" i="4"/>
  <c r="H81" i="4"/>
  <c r="H68" i="4"/>
  <c r="H232" i="4"/>
  <c r="H139" i="4"/>
  <c r="BO139" i="4"/>
  <c r="H168" i="4"/>
  <c r="H172" i="4"/>
  <c r="BO172" i="4"/>
  <c r="H227" i="4"/>
  <c r="BO227" i="4"/>
  <c r="H149" i="4"/>
  <c r="BO149" i="4"/>
  <c r="H273" i="4"/>
  <c r="BO273" i="4"/>
  <c r="H183" i="4"/>
  <c r="BO183" i="4"/>
  <c r="H293" i="4"/>
  <c r="BO293" i="4"/>
  <c r="H187" i="4"/>
  <c r="H216" i="4"/>
  <c r="H228" i="4"/>
  <c r="H145" i="4"/>
  <c r="BO145" i="4"/>
  <c r="H220" i="4"/>
  <c r="H241" i="4"/>
  <c r="H64" i="4"/>
  <c r="H104" i="4"/>
  <c r="BO104" i="4"/>
  <c r="H162" i="4"/>
  <c r="H119" i="4"/>
  <c r="H105" i="4"/>
  <c r="H60" i="4"/>
  <c r="H248" i="4"/>
  <c r="H191" i="4"/>
  <c r="H137" i="4"/>
  <c r="BO137" i="4"/>
  <c r="H142" i="4"/>
  <c r="BO142" i="4"/>
  <c r="H195" i="4"/>
  <c r="BO195" i="4"/>
  <c r="H200" i="4"/>
  <c r="H61" i="4"/>
  <c r="BO61" i="4"/>
  <c r="H28" i="4"/>
  <c r="H157" i="4"/>
  <c r="H79" i="4"/>
  <c r="H94" i="4"/>
  <c r="BO94" i="4"/>
  <c r="H72" i="4"/>
  <c r="BO72" i="4"/>
  <c r="H109" i="4"/>
  <c r="BO109" i="4"/>
  <c r="H253" i="4"/>
  <c r="BO253" i="4"/>
  <c r="H272" i="4"/>
  <c r="BO272" i="4"/>
  <c r="H143" i="4"/>
  <c r="BO143" i="4"/>
  <c r="H298" i="4"/>
  <c r="BO298" i="4"/>
  <c r="H295" i="4"/>
  <c r="BO295" i="4"/>
  <c r="H203" i="4"/>
  <c r="BO203" i="4"/>
  <c r="H239" i="4"/>
  <c r="BO239" i="4"/>
  <c r="H219" i="4"/>
  <c r="BO219" i="4"/>
  <c r="H148" i="4"/>
  <c r="BO148" i="4"/>
  <c r="H275" i="4"/>
  <c r="BO275" i="4"/>
  <c r="H242" i="4"/>
  <c r="H279" i="4"/>
  <c r="BO279" i="4"/>
  <c r="H95" i="4"/>
  <c r="BO95" i="4"/>
  <c r="H215" i="4"/>
  <c r="H100" i="4"/>
  <c r="BO100" i="4"/>
  <c r="H262" i="4"/>
  <c r="BO262" i="4"/>
  <c r="H198" i="4"/>
  <c r="BO198" i="4"/>
  <c r="H30" i="4"/>
  <c r="BO30" i="4"/>
  <c r="H210" i="4"/>
  <c r="H299" i="4"/>
  <c r="BO299" i="4"/>
  <c r="H296" i="4"/>
  <c r="BO296" i="4"/>
  <c r="H238" i="4"/>
  <c r="BO238" i="4"/>
  <c r="H132" i="4"/>
  <c r="H218" i="4"/>
  <c r="BO218" i="4"/>
  <c r="H267" i="4"/>
  <c r="H76" i="4"/>
  <c r="H221" i="4"/>
  <c r="BO221" i="4"/>
  <c r="H263" i="4"/>
  <c r="BO263" i="4"/>
  <c r="H34" i="4"/>
  <c r="BO34" i="4"/>
  <c r="H154" i="4"/>
  <c r="H45" i="4"/>
  <c r="BO45" i="4"/>
  <c r="H136" i="4"/>
  <c r="H301" i="4"/>
  <c r="BO301" i="4"/>
  <c r="H223" i="4"/>
  <c r="H37" i="4"/>
  <c r="H226" i="4"/>
  <c r="BO226" i="4"/>
  <c r="H153" i="4"/>
  <c r="H31" i="4"/>
  <c r="BO31" i="4"/>
  <c r="H59" i="4"/>
  <c r="BO59" i="4"/>
  <c r="H250" i="4"/>
  <c r="BO250" i="4"/>
  <c r="H29" i="4"/>
  <c r="H32" i="4"/>
  <c r="BO32" i="4"/>
  <c r="H17" i="4"/>
  <c r="H92" i="4"/>
  <c r="BO92" i="4"/>
  <c r="H43" i="4"/>
  <c r="BO43" i="4"/>
  <c r="H127" i="4"/>
  <c r="H82" i="4"/>
  <c r="H38" i="4"/>
  <c r="H117" i="4"/>
  <c r="H255" i="4"/>
  <c r="H212" i="4"/>
  <c r="H280" i="4"/>
  <c r="BO280" i="4"/>
  <c r="H78" i="4"/>
  <c r="H192" i="4"/>
  <c r="BO192" i="4"/>
  <c r="H102" i="4"/>
  <c r="BO102" i="4"/>
  <c r="H231" i="4"/>
  <c r="BO231" i="4"/>
  <c r="H201" i="4"/>
  <c r="BO201" i="4"/>
  <c r="H165" i="4"/>
  <c r="H290" i="4"/>
  <c r="H243" i="4"/>
  <c r="H99" i="4"/>
  <c r="BO99" i="4"/>
  <c r="H177" i="4"/>
  <c r="H96" i="4"/>
  <c r="BO96" i="4"/>
  <c r="H73" i="4"/>
  <c r="BO73" i="4"/>
  <c r="H6" i="4"/>
  <c r="H97" i="4"/>
  <c r="H258" i="4"/>
  <c r="BO258" i="4"/>
  <c r="H209" i="4"/>
  <c r="H134" i="4"/>
  <c r="H224" i="4"/>
  <c r="BO224" i="4"/>
  <c r="H90" i="4"/>
  <c r="H140" i="4"/>
  <c r="BO140" i="4"/>
  <c r="H256" i="4"/>
  <c r="H15" i="4"/>
  <c r="H23" i="4"/>
  <c r="H89" i="4"/>
  <c r="BO89" i="4"/>
  <c r="H53" i="4"/>
  <c r="H107" i="4"/>
  <c r="BO107" i="4"/>
  <c r="H86" i="4"/>
  <c r="H141" i="4"/>
  <c r="BO141" i="4"/>
  <c r="H158" i="4"/>
  <c r="H251" i="4"/>
  <c r="BO251" i="4"/>
  <c r="H261" i="4"/>
  <c r="BO261" i="4"/>
  <c r="H264" i="4"/>
  <c r="BO264" i="4"/>
  <c r="H237" i="4"/>
  <c r="H88" i="4"/>
  <c r="H188" i="4"/>
  <c r="BO188" i="4"/>
  <c r="H173" i="4"/>
  <c r="H297" i="4"/>
  <c r="H205" i="4"/>
  <c r="BO205" i="4"/>
  <c r="H194" i="4"/>
  <c r="H202" i="4"/>
  <c r="BO202" i="4"/>
  <c r="H271" i="4"/>
  <c r="BO271" i="4"/>
  <c r="H175" i="4"/>
  <c r="H288" i="4"/>
  <c r="H80" i="4"/>
  <c r="H185" i="4"/>
  <c r="H67" i="4"/>
  <c r="H20" i="4"/>
  <c r="BO20" i="4"/>
  <c r="H18" i="4"/>
  <c r="BO18" i="4"/>
  <c r="H70" i="4"/>
  <c r="BO70" i="4"/>
  <c r="H252" i="4"/>
  <c r="BO252" i="4"/>
  <c r="H254" i="4"/>
  <c r="BO254" i="4"/>
  <c r="H48" i="4"/>
  <c r="H268" i="4"/>
  <c r="BO268" i="4"/>
  <c r="H284" i="4"/>
  <c r="H126" i="4"/>
  <c r="H133" i="4"/>
  <c r="BO133" i="4"/>
  <c r="H33" i="4"/>
  <c r="H65" i="4"/>
  <c r="H50" i="4"/>
  <c r="BO50" i="4"/>
  <c r="H125" i="4"/>
  <c r="BO125" i="4"/>
  <c r="H131" i="4"/>
  <c r="BO131" i="4"/>
  <c r="H111" i="4"/>
  <c r="H249" i="4"/>
  <c r="BO249" i="4"/>
  <c r="H128" i="4"/>
  <c r="BO128" i="4"/>
  <c r="H150" i="4"/>
  <c r="BO150" i="4"/>
  <c r="H170" i="4"/>
  <c r="H184" i="4"/>
  <c r="H217" i="4"/>
  <c r="BO217" i="4"/>
  <c r="H204" i="4"/>
  <c r="BO204" i="4"/>
  <c r="H269" i="4"/>
  <c r="BO269" i="4"/>
  <c r="H274" i="4"/>
  <c r="BO274" i="4"/>
  <c r="H277" i="4"/>
  <c r="BO277" i="4"/>
  <c r="H304" i="4"/>
  <c r="H130" i="4"/>
  <c r="H199" i="4"/>
  <c r="H240" i="4"/>
  <c r="BO240" i="4"/>
  <c r="H35" i="4"/>
  <c r="BO35" i="4"/>
  <c r="H208" i="4"/>
  <c r="H44" i="4"/>
  <c r="BO44" i="4"/>
  <c r="H178" i="4"/>
  <c r="BO178" i="4"/>
  <c r="H36" i="4"/>
  <c r="BO36" i="4"/>
  <c r="H182" i="4"/>
  <c r="BO182" i="4"/>
  <c r="H85" i="4"/>
  <c r="BO85" i="4"/>
  <c r="H93" i="4"/>
  <c r="H186" i="4"/>
  <c r="H16" i="4"/>
  <c r="BO16" i="4"/>
  <c r="H55" i="4"/>
  <c r="H66" i="4"/>
  <c r="H58" i="4"/>
  <c r="H69" i="4"/>
  <c r="H83" i="4"/>
  <c r="BO83" i="4"/>
  <c r="H196" i="4"/>
  <c r="H118" i="4"/>
  <c r="H259" i="4"/>
  <c r="BO259" i="4"/>
  <c r="H265" i="4"/>
  <c r="BO265" i="4"/>
  <c r="H84" i="4"/>
  <c r="H300" i="4"/>
  <c r="BO300" i="4"/>
  <c r="H193" i="4"/>
  <c r="BO193" i="4"/>
  <c r="H214" i="4"/>
  <c r="H266" i="4"/>
  <c r="BO266" i="4"/>
  <c r="H302" i="4"/>
  <c r="BO302" i="4"/>
  <c r="H257" i="4"/>
  <c r="BO257" i="4"/>
  <c r="H113" i="4"/>
  <c r="H174" i="4"/>
  <c r="BO174" i="4"/>
  <c r="H146" i="4"/>
  <c r="BO146" i="4"/>
  <c r="BR5" i="4"/>
  <c r="BR17" i="4"/>
  <c r="BR29" i="4"/>
  <c r="BR41" i="4"/>
  <c r="BR53" i="4"/>
  <c r="BR65" i="4"/>
  <c r="BR77" i="4"/>
  <c r="BR89" i="4"/>
  <c r="BR101" i="4"/>
  <c r="BR113" i="4"/>
  <c r="BR125" i="4"/>
  <c r="BR137" i="4"/>
  <c r="BR149" i="4"/>
  <c r="BR161" i="4"/>
  <c r="BR173" i="4"/>
  <c r="BR185" i="4"/>
  <c r="BR197" i="4"/>
  <c r="BR209" i="4"/>
  <c r="BR221" i="4"/>
  <c r="BR233" i="4"/>
  <c r="BR245" i="4"/>
  <c r="BR257" i="4"/>
  <c r="BR269" i="4"/>
  <c r="BR281" i="4"/>
  <c r="BR293" i="4"/>
  <c r="BR224" i="4"/>
  <c r="BR284" i="4"/>
  <c r="BR37" i="4"/>
  <c r="BR85" i="4"/>
  <c r="BR133" i="4"/>
  <c r="BR205" i="4"/>
  <c r="BR289" i="4"/>
  <c r="BR6" i="4"/>
  <c r="BR18" i="4"/>
  <c r="BR30" i="4"/>
  <c r="BR42" i="4"/>
  <c r="BR54" i="4"/>
  <c r="BR66" i="4"/>
  <c r="BR78" i="4"/>
  <c r="BR90" i="4"/>
  <c r="BR102" i="4"/>
  <c r="BR114" i="4"/>
  <c r="BR126" i="4"/>
  <c r="BR138" i="4"/>
  <c r="BR150" i="4"/>
  <c r="BR162" i="4"/>
  <c r="BR174" i="4"/>
  <c r="BR186" i="4"/>
  <c r="BR198" i="4"/>
  <c r="BR210" i="4"/>
  <c r="BR222" i="4"/>
  <c r="BR234" i="4"/>
  <c r="BR246" i="4"/>
  <c r="BR258" i="4"/>
  <c r="BR270" i="4"/>
  <c r="BR282" i="4"/>
  <c r="BR294" i="4"/>
  <c r="BR212" i="4"/>
  <c r="BR272" i="4"/>
  <c r="BR49" i="4"/>
  <c r="BR97" i="4"/>
  <c r="BR157" i="4"/>
  <c r="BR217" i="4"/>
  <c r="BR277" i="4"/>
  <c r="BR7" i="4"/>
  <c r="BR19" i="4"/>
  <c r="BR31" i="4"/>
  <c r="BR43" i="4"/>
  <c r="BR55" i="4"/>
  <c r="BR67" i="4"/>
  <c r="BR79" i="4"/>
  <c r="BR91" i="4"/>
  <c r="BR103" i="4"/>
  <c r="BR115" i="4"/>
  <c r="BR127" i="4"/>
  <c r="BR139" i="4"/>
  <c r="BR151" i="4"/>
  <c r="BR163" i="4"/>
  <c r="BR175" i="4"/>
  <c r="BR187" i="4"/>
  <c r="BR199" i="4"/>
  <c r="BR211" i="4"/>
  <c r="BR223" i="4"/>
  <c r="BR235" i="4"/>
  <c r="BR247" i="4"/>
  <c r="BR259" i="4"/>
  <c r="BR271" i="4"/>
  <c r="BR283" i="4"/>
  <c r="BR295" i="4"/>
  <c r="BR260" i="4"/>
  <c r="BR61" i="4"/>
  <c r="BR109" i="4"/>
  <c r="BR169" i="4"/>
  <c r="BR241" i="4"/>
  <c r="BR301" i="4"/>
  <c r="BR8" i="4"/>
  <c r="BR20" i="4"/>
  <c r="BR32" i="4"/>
  <c r="BR44" i="4"/>
  <c r="BR56" i="4"/>
  <c r="BR68" i="4"/>
  <c r="BR80" i="4"/>
  <c r="BR92" i="4"/>
  <c r="BR104" i="4"/>
  <c r="BR116" i="4"/>
  <c r="BR128" i="4"/>
  <c r="BR140" i="4"/>
  <c r="BR152" i="4"/>
  <c r="BR164" i="4"/>
  <c r="BR176" i="4"/>
  <c r="BR188" i="4"/>
  <c r="BR200" i="4"/>
  <c r="BR236" i="4"/>
  <c r="BR248" i="4"/>
  <c r="BR296" i="4"/>
  <c r="BR25" i="4"/>
  <c r="BR145" i="4"/>
  <c r="BR253" i="4"/>
  <c r="BR9" i="4"/>
  <c r="BR21" i="4"/>
  <c r="BR33" i="4"/>
  <c r="BR45" i="4"/>
  <c r="BR57" i="4"/>
  <c r="BR69" i="4"/>
  <c r="BR81" i="4"/>
  <c r="BR93" i="4"/>
  <c r="BR105" i="4"/>
  <c r="BR117" i="4"/>
  <c r="BR129" i="4"/>
  <c r="BR141" i="4"/>
  <c r="BR153" i="4"/>
  <c r="BR165" i="4"/>
  <c r="BR177" i="4"/>
  <c r="BR189" i="4"/>
  <c r="BR201" i="4"/>
  <c r="BR213" i="4"/>
  <c r="BR225" i="4"/>
  <c r="BR237" i="4"/>
  <c r="BR249" i="4"/>
  <c r="BR261" i="4"/>
  <c r="BR273" i="4"/>
  <c r="BR285" i="4"/>
  <c r="BR297" i="4"/>
  <c r="BR10" i="4"/>
  <c r="BR22" i="4"/>
  <c r="BR34" i="4"/>
  <c r="BR46" i="4"/>
  <c r="BR58" i="4"/>
  <c r="BR70" i="4"/>
  <c r="BR82" i="4"/>
  <c r="BR94" i="4"/>
  <c r="BR106" i="4"/>
  <c r="BR118" i="4"/>
  <c r="BR130" i="4"/>
  <c r="BR142" i="4"/>
  <c r="BR154" i="4"/>
  <c r="BR166" i="4"/>
  <c r="BR178" i="4"/>
  <c r="BR190" i="4"/>
  <c r="BR202" i="4"/>
  <c r="BR214" i="4"/>
  <c r="BR226" i="4"/>
  <c r="BR238" i="4"/>
  <c r="BR250" i="4"/>
  <c r="BR262" i="4"/>
  <c r="BR274" i="4"/>
  <c r="BR286" i="4"/>
  <c r="BR298" i="4"/>
  <c r="BR11" i="4"/>
  <c r="BR23" i="4"/>
  <c r="BR35" i="4"/>
  <c r="BR47" i="4"/>
  <c r="BR59" i="4"/>
  <c r="BR71" i="4"/>
  <c r="BR83" i="4"/>
  <c r="BR95" i="4"/>
  <c r="BR107" i="4"/>
  <c r="BR119" i="4"/>
  <c r="BR131" i="4"/>
  <c r="BR143" i="4"/>
  <c r="BR155" i="4"/>
  <c r="BR167" i="4"/>
  <c r="BR179" i="4"/>
  <c r="BR191" i="4"/>
  <c r="BR203" i="4"/>
  <c r="BR215" i="4"/>
  <c r="BR227" i="4"/>
  <c r="BR239" i="4"/>
  <c r="BR251" i="4"/>
  <c r="BR263" i="4"/>
  <c r="BR275" i="4"/>
  <c r="BR287" i="4"/>
  <c r="BR299" i="4"/>
  <c r="BR12" i="4"/>
  <c r="BR24" i="4"/>
  <c r="BR36" i="4"/>
  <c r="BR48" i="4"/>
  <c r="BR60" i="4"/>
  <c r="BR72" i="4"/>
  <c r="BR84" i="4"/>
  <c r="BR96" i="4"/>
  <c r="BR108" i="4"/>
  <c r="BR120" i="4"/>
  <c r="BR132" i="4"/>
  <c r="BR144" i="4"/>
  <c r="BR156" i="4"/>
  <c r="BR168" i="4"/>
  <c r="BR180" i="4"/>
  <c r="BR192" i="4"/>
  <c r="BR204" i="4"/>
  <c r="BR216" i="4"/>
  <c r="BR228" i="4"/>
  <c r="BR240" i="4"/>
  <c r="BR252" i="4"/>
  <c r="BR264" i="4"/>
  <c r="BR276" i="4"/>
  <c r="BR288" i="4"/>
  <c r="BR300" i="4"/>
  <c r="BR14" i="4"/>
  <c r="BR26" i="4"/>
  <c r="BR38" i="4"/>
  <c r="BR50" i="4"/>
  <c r="BR62" i="4"/>
  <c r="BR74" i="4"/>
  <c r="BR86" i="4"/>
  <c r="BR98" i="4"/>
  <c r="BR110" i="4"/>
  <c r="BR122" i="4"/>
  <c r="BR134" i="4"/>
  <c r="BR146" i="4"/>
  <c r="BR158" i="4"/>
  <c r="BR170" i="4"/>
  <c r="BR182" i="4"/>
  <c r="BR194" i="4"/>
  <c r="BR206" i="4"/>
  <c r="BR218" i="4"/>
  <c r="BR230" i="4"/>
  <c r="BR242" i="4"/>
  <c r="BR254" i="4"/>
  <c r="BR266" i="4"/>
  <c r="BR278" i="4"/>
  <c r="BR290" i="4"/>
  <c r="BR302" i="4"/>
  <c r="BR181" i="4"/>
  <c r="BR15" i="4"/>
  <c r="BR27" i="4"/>
  <c r="BR39" i="4"/>
  <c r="BR51" i="4"/>
  <c r="BR63" i="4"/>
  <c r="BR75" i="4"/>
  <c r="BR87" i="4"/>
  <c r="BR99" i="4"/>
  <c r="BR111" i="4"/>
  <c r="BR123" i="4"/>
  <c r="BR135" i="4"/>
  <c r="BR147" i="4"/>
  <c r="BR159" i="4"/>
  <c r="BR171" i="4"/>
  <c r="BR183" i="4"/>
  <c r="BR195" i="4"/>
  <c r="BR207" i="4"/>
  <c r="BR219" i="4"/>
  <c r="BR231" i="4"/>
  <c r="BR243" i="4"/>
  <c r="BR255" i="4"/>
  <c r="BR267" i="4"/>
  <c r="BR279" i="4"/>
  <c r="BR291" i="4"/>
  <c r="BR303" i="4"/>
  <c r="BR229" i="4"/>
  <c r="BR16" i="4"/>
  <c r="BR28" i="4"/>
  <c r="BR40" i="4"/>
  <c r="BR52" i="4"/>
  <c r="BR64" i="4"/>
  <c r="BR76" i="4"/>
  <c r="BR88" i="4"/>
  <c r="BR100" i="4"/>
  <c r="BR112" i="4"/>
  <c r="BR124" i="4"/>
  <c r="BR136" i="4"/>
  <c r="BR148" i="4"/>
  <c r="BR160" i="4"/>
  <c r="BR172" i="4"/>
  <c r="BR184" i="4"/>
  <c r="BR196" i="4"/>
  <c r="BR208" i="4"/>
  <c r="BR220" i="4"/>
  <c r="BR232" i="4"/>
  <c r="BR244" i="4"/>
  <c r="BR256" i="4"/>
  <c r="BR268" i="4"/>
  <c r="BR280" i="4"/>
  <c r="BR292" i="4"/>
  <c r="BR304" i="4"/>
  <c r="BR4" i="4"/>
  <c r="BR13" i="4"/>
  <c r="BR73" i="4"/>
  <c r="BR121" i="4"/>
  <c r="BR193" i="4"/>
  <c r="BR265" i="4"/>
  <c r="S235" i="4"/>
  <c r="BQ235" i="4" s="1"/>
  <c r="I17" i="16"/>
  <c r="S367" i="4"/>
  <c r="HS367" i="4" s="1"/>
  <c r="U9" i="16"/>
  <c r="S49" i="4"/>
  <c r="BQ49" i="4" s="1"/>
  <c r="I2" i="16"/>
  <c r="S164" i="4"/>
  <c r="BQ164" i="4" s="1"/>
  <c r="R3" i="16"/>
  <c r="S225" i="4"/>
  <c r="BQ225" i="4" s="1"/>
  <c r="I7" i="16"/>
  <c r="S375" i="4"/>
  <c r="I18" i="16"/>
  <c r="S167" i="4"/>
  <c r="BQ167" i="4" s="1"/>
  <c r="L8" i="16"/>
  <c r="S246" i="4"/>
  <c r="BQ246" i="4" s="1"/>
  <c r="I16" i="16"/>
  <c r="S337" i="4"/>
  <c r="HO337" i="4" s="1"/>
  <c r="U12" i="16"/>
  <c r="S5" i="4"/>
  <c r="BQ5" i="4" s="1"/>
  <c r="R2" i="16"/>
  <c r="S77" i="4"/>
  <c r="BQ77" i="4" s="1"/>
  <c r="I3" i="16"/>
  <c r="S151" i="4"/>
  <c r="BQ151" i="4" s="1"/>
  <c r="I6" i="16"/>
  <c r="S123" i="4"/>
  <c r="BQ123" i="4" s="1"/>
  <c r="O8" i="16"/>
  <c r="S91" i="4"/>
  <c r="BQ91" i="4" s="1"/>
  <c r="I5" i="16"/>
  <c r="S116" i="4"/>
  <c r="BQ116" i="4" s="1"/>
  <c r="O7" i="16"/>
  <c r="S42" i="4"/>
  <c r="BQ42" i="4" s="1"/>
  <c r="I12" i="16"/>
  <c r="S155" i="4"/>
  <c r="BQ155" i="4" s="1"/>
  <c r="L7" i="16"/>
  <c r="S179" i="4"/>
  <c r="BQ179" i="4" s="1"/>
  <c r="I15" i="16"/>
  <c r="S112" i="4"/>
  <c r="BQ112" i="4" s="1"/>
  <c r="I14" i="16"/>
  <c r="S349" i="4"/>
  <c r="U8" i="16"/>
  <c r="S315" i="4"/>
  <c r="R4" i="16"/>
  <c r="S57" i="4"/>
  <c r="BQ57" i="4" s="1"/>
  <c r="O2" i="16"/>
  <c r="S124" i="4"/>
  <c r="BQ124" i="4" s="1"/>
  <c r="O3" i="16"/>
  <c r="S308" i="4"/>
  <c r="HI308" i="4" s="1"/>
  <c r="S289" i="4"/>
  <c r="BQ289" i="4" s="1"/>
  <c r="U5" i="16"/>
  <c r="AA246" i="4"/>
  <c r="S4" i="4"/>
  <c r="Q22" i="15"/>
  <c r="P22" i="15"/>
  <c r="Q21" i="15"/>
  <c r="P21" i="15"/>
  <c r="AA145" i="4"/>
  <c r="AK145" i="4" s="1"/>
  <c r="AI145" i="4" s="1"/>
  <c r="H47" i="4"/>
  <c r="S22" i="4"/>
  <c r="BQ22" i="4" s="1"/>
  <c r="S19" i="4"/>
  <c r="BQ19" i="4" s="1"/>
  <c r="S14" i="4"/>
  <c r="BQ14" i="4" s="1"/>
  <c r="S12" i="4"/>
  <c r="BQ12" i="4" s="1"/>
  <c r="S11" i="4"/>
  <c r="BQ11" i="4" s="1"/>
  <c r="S10" i="4"/>
  <c r="BQ10" i="4" s="1"/>
  <c r="S9" i="4"/>
  <c r="BQ9" i="4" s="1"/>
  <c r="S7" i="4"/>
  <c r="BQ7" i="4" s="1"/>
  <c r="S8" i="4"/>
  <c r="BQ8" i="4" s="1"/>
  <c r="C76" i="5"/>
  <c r="C56" i="5"/>
  <c r="E4" i="5"/>
  <c r="C36" i="5"/>
  <c r="D4" i="5"/>
  <c r="E16" i="5"/>
  <c r="B64" i="5"/>
  <c r="C16" i="5"/>
  <c r="B24" i="5"/>
  <c r="C4" i="5"/>
  <c r="B4" i="5"/>
  <c r="B29" i="5"/>
  <c r="V5" i="13" s="1"/>
  <c r="E9" i="5"/>
  <c r="D9" i="5"/>
  <c r="C9" i="5"/>
  <c r="B9" i="5"/>
  <c r="B44" i="5"/>
  <c r="B49" i="5"/>
  <c r="B69" i="5"/>
  <c r="GY51" i="4"/>
  <c r="GU181" i="4"/>
  <c r="GW206" i="4"/>
  <c r="GW169" i="4"/>
  <c r="GW71" i="4"/>
  <c r="C81" i="4"/>
  <c r="C32" i="4"/>
  <c r="C47" i="4"/>
  <c r="C68" i="4"/>
  <c r="C70" i="4"/>
  <c r="C158" i="4"/>
  <c r="C250" i="4"/>
  <c r="C147" i="4"/>
  <c r="C154" i="4"/>
  <c r="C300" i="4"/>
  <c r="C193" i="4"/>
  <c r="C102" i="4"/>
  <c r="C145" i="4"/>
  <c r="C195" i="4"/>
  <c r="C311" i="4"/>
  <c r="C243" i="4"/>
  <c r="C92" i="4"/>
  <c r="C93" i="4"/>
  <c r="C121" i="4"/>
  <c r="C111" i="4"/>
  <c r="C117" i="4"/>
  <c r="C253" i="4"/>
  <c r="C149" i="4"/>
  <c r="C268" i="4"/>
  <c r="C20" i="4"/>
  <c r="C294" i="4"/>
  <c r="C185" i="4"/>
  <c r="C173" i="4"/>
  <c r="C297" i="4"/>
  <c r="C33" i="4"/>
  <c r="C65" i="4"/>
  <c r="C126" i="4"/>
  <c r="C232" i="4"/>
  <c r="C166" i="4"/>
  <c r="C182" i="4"/>
  <c r="C95" i="4"/>
  <c r="C196" i="4"/>
  <c r="C251" i="4"/>
  <c r="C210" i="4"/>
  <c r="C272" i="4"/>
  <c r="C56" i="4"/>
  <c r="C198" i="4"/>
  <c r="C301" i="4"/>
  <c r="C260" i="4"/>
  <c r="C214" i="4"/>
  <c r="C217" i="4"/>
  <c r="C231" i="4"/>
  <c r="C285" i="4"/>
  <c r="C340" i="4"/>
  <c r="C288" i="4"/>
  <c r="C16" i="4"/>
  <c r="C55" i="4"/>
  <c r="C66" i="4"/>
  <c r="C89" i="4"/>
  <c r="C43" i="4"/>
  <c r="C139" i="4"/>
  <c r="C200" i="4"/>
  <c r="C96" i="4"/>
  <c r="C236" i="4"/>
  <c r="C249" i="4"/>
  <c r="C255" i="4"/>
  <c r="C256" i="4"/>
  <c r="C273" i="4"/>
  <c r="C252" i="4"/>
  <c r="C215" i="4"/>
  <c r="C266" i="4"/>
  <c r="C302" i="4"/>
  <c r="C205" i="4"/>
  <c r="C76" i="4"/>
  <c r="C129" i="4"/>
  <c r="C223" i="4"/>
  <c r="C53" i="4"/>
  <c r="C79" i="4"/>
  <c r="C40" i="4"/>
  <c r="C97" i="4"/>
  <c r="C60" i="4"/>
  <c r="C212" i="4"/>
  <c r="C143" i="4"/>
  <c r="C61" i="4"/>
  <c r="C291" i="4"/>
  <c r="C186" i="4"/>
  <c r="C73" i="4"/>
  <c r="C292" i="4"/>
  <c r="C201" i="4"/>
  <c r="C275" i="4"/>
  <c r="C105" i="4"/>
  <c r="C13" i="4"/>
  <c r="C35" i="4"/>
  <c r="C67" i="4"/>
  <c r="C421" i="4"/>
  <c r="C59" i="4"/>
  <c r="C168" i="4"/>
  <c r="C98" i="4"/>
  <c r="C118" i="4"/>
  <c r="C264" i="4"/>
  <c r="C176" i="4"/>
  <c r="C286" i="4"/>
  <c r="C44" i="4"/>
  <c r="C257" i="4"/>
  <c r="C269" i="4"/>
  <c r="C242" i="4"/>
  <c r="C64" i="4"/>
  <c r="C224" i="4"/>
  <c r="C326" i="4"/>
  <c r="C36" i="4"/>
  <c r="C46" i="4"/>
  <c r="C69" i="4"/>
  <c r="C127" i="4"/>
  <c r="C82" i="4"/>
  <c r="C94" i="4"/>
  <c r="C52" i="4"/>
  <c r="C108" i="4"/>
  <c r="C119" i="4"/>
  <c r="C259" i="4"/>
  <c r="C183" i="4"/>
  <c r="C293" i="4"/>
  <c r="C187" i="4"/>
  <c r="C254" i="4"/>
  <c r="C240" i="4"/>
  <c r="C165" i="4"/>
  <c r="C30" i="4"/>
  <c r="C107" i="4"/>
  <c r="C140" i="4"/>
  <c r="C172" i="4"/>
  <c r="C153" i="4"/>
  <c r="C208" i="4"/>
  <c r="C237" i="4"/>
  <c r="C298" i="4"/>
  <c r="C295" i="4"/>
  <c r="C101" i="4"/>
  <c r="C134" i="4"/>
  <c r="C174" i="4"/>
  <c r="C271" i="4"/>
  <c r="C290" i="4"/>
  <c r="C263" i="4"/>
  <c r="C191" i="4"/>
  <c r="C21" i="4"/>
  <c r="C62" i="4"/>
  <c r="C26" i="4"/>
  <c r="C50" i="4"/>
  <c r="C125" i="4"/>
  <c r="C38" i="4"/>
  <c r="C115" i="4"/>
  <c r="C99" i="4"/>
  <c r="C150" i="4"/>
  <c r="C299" i="4"/>
  <c r="C296" i="4"/>
  <c r="C238" i="4"/>
  <c r="C216" i="4"/>
  <c r="C39" i="4"/>
  <c r="C144" i="4"/>
  <c r="C233" i="4"/>
  <c r="C277" i="4"/>
  <c r="C356" i="4"/>
  <c r="C103" i="4"/>
  <c r="C37" i="4"/>
  <c r="C137" i="4"/>
  <c r="C25" i="4"/>
  <c r="C141" i="4"/>
  <c r="C72" i="4"/>
  <c r="C209" i="4"/>
  <c r="C100" i="4"/>
  <c r="C265" i="4"/>
  <c r="C84" i="4"/>
  <c r="C78" i="4"/>
  <c r="C192" i="4"/>
  <c r="C203" i="4"/>
  <c r="C228" i="4"/>
  <c r="C135" i="4"/>
  <c r="C85" i="4"/>
  <c r="C146" i="4"/>
  <c r="C28" i="4"/>
  <c r="C171" i="4"/>
  <c r="C83" i="4"/>
  <c r="C131" i="4"/>
  <c r="C133" i="4"/>
  <c r="C120" i="4"/>
  <c r="C142" i="4"/>
  <c r="C199" i="4"/>
  <c r="C88" i="4"/>
  <c r="C284" i="4"/>
  <c r="C45" i="4"/>
  <c r="C175" i="4"/>
  <c r="C162" i="4"/>
  <c r="C383" i="4"/>
  <c r="C31" i="4"/>
  <c r="C90" i="4"/>
  <c r="C138" i="4"/>
  <c r="C109" i="4"/>
  <c r="C227" i="4"/>
  <c r="C211" i="4"/>
  <c r="C213" i="4"/>
  <c r="C170" i="4"/>
  <c r="C184" i="4"/>
  <c r="C188" i="4"/>
  <c r="C132" i="4"/>
  <c r="C218" i="4"/>
  <c r="C270" i="4"/>
  <c r="C177" i="4"/>
  <c r="AK412" i="4"/>
  <c r="AI412" i="4" s="1"/>
  <c r="L412" i="4"/>
  <c r="AK407" i="4"/>
  <c r="AI407" i="4" s="1"/>
  <c r="L407" i="4"/>
  <c r="AK393" i="4"/>
  <c r="AI393" i="4" s="1"/>
  <c r="L393" i="4"/>
  <c r="L401" i="4"/>
  <c r="B89" i="5"/>
  <c r="C400" i="4"/>
  <c r="HI400" i="4"/>
  <c r="HK400" i="4"/>
  <c r="HM400" i="4"/>
  <c r="L363" i="4"/>
  <c r="AK363" i="4"/>
  <c r="AI363" i="4" s="1"/>
  <c r="L395" i="4"/>
  <c r="HI326" i="4"/>
  <c r="HM326" i="4"/>
  <c r="HS326" i="4"/>
  <c r="HO288" i="4"/>
  <c r="HQ288" i="4"/>
  <c r="HK288" i="4"/>
  <c r="HO383" i="4"/>
  <c r="HQ383" i="4"/>
  <c r="HK383" i="4"/>
  <c r="HM191" i="4"/>
  <c r="HS191" i="4"/>
  <c r="HI191" i="4"/>
  <c r="HM352" i="4"/>
  <c r="HS352" i="4"/>
  <c r="HO352" i="4"/>
  <c r="HI352" i="4"/>
  <c r="HS162" i="4"/>
  <c r="HM162" i="4"/>
  <c r="HO162" i="4"/>
  <c r="HK162" i="4"/>
  <c r="HI162" i="4"/>
  <c r="HM59" i="4"/>
  <c r="HO59" i="4"/>
  <c r="HM79" i="4"/>
  <c r="HO79" i="4"/>
  <c r="HO200" i="4"/>
  <c r="HS200" i="4"/>
  <c r="HO96" i="4"/>
  <c r="HQ96" i="4"/>
  <c r="HS96" i="4"/>
  <c r="HM236" i="4"/>
  <c r="HO236" i="4"/>
  <c r="HM251" i="4"/>
  <c r="HO251" i="4"/>
  <c r="HM210" i="4"/>
  <c r="HO210" i="4"/>
  <c r="HS210" i="4"/>
  <c r="HM147" i="4"/>
  <c r="HQ147" i="4"/>
  <c r="HS147" i="4"/>
  <c r="HO213" i="4"/>
  <c r="HQ213" i="4"/>
  <c r="HS213" i="4"/>
  <c r="HO88" i="4"/>
  <c r="HQ88" i="4"/>
  <c r="HM228" i="4"/>
  <c r="HO228" i="4"/>
  <c r="HS228" i="4"/>
  <c r="HM76" i="4"/>
  <c r="HS76" i="4"/>
  <c r="HM339" i="4"/>
  <c r="HM285" i="4"/>
  <c r="HO285" i="4"/>
  <c r="HM340" i="4"/>
  <c r="HQ340" i="4"/>
  <c r="HM26" i="4"/>
  <c r="HO26" i="4"/>
  <c r="HM69" i="4"/>
  <c r="HO69" i="4"/>
  <c r="HS69" i="4"/>
  <c r="HO127" i="4"/>
  <c r="HQ127" i="4"/>
  <c r="HO40" i="4"/>
  <c r="HQ40" i="4"/>
  <c r="HS40" i="4"/>
  <c r="HM97" i="4"/>
  <c r="HO97" i="4"/>
  <c r="HO60" i="4"/>
  <c r="HQ60" i="4"/>
  <c r="HM249" i="4"/>
  <c r="HO249" i="4"/>
  <c r="HO255" i="4"/>
  <c r="HQ255" i="4"/>
  <c r="HM255" i="4"/>
  <c r="HQ149" i="4"/>
  <c r="HS149" i="4"/>
  <c r="HO149" i="4"/>
  <c r="HO154" i="4"/>
  <c r="HQ154" i="4"/>
  <c r="HO170" i="4"/>
  <c r="HM170" i="4"/>
  <c r="HM184" i="4"/>
  <c r="HO184" i="4"/>
  <c r="HM188" i="4"/>
  <c r="HO188" i="4"/>
  <c r="HQ188" i="4"/>
  <c r="HS188" i="4"/>
  <c r="HM132" i="4"/>
  <c r="HS132" i="4"/>
  <c r="HO358" i="4"/>
  <c r="HQ358" i="4"/>
  <c r="HS358" i="4"/>
  <c r="HO144" i="4"/>
  <c r="HM144" i="4"/>
  <c r="HM201" i="4"/>
  <c r="HO201" i="4"/>
  <c r="HM275" i="4"/>
  <c r="HO275" i="4"/>
  <c r="HM129" i="4"/>
  <c r="HO129" i="4"/>
  <c r="HO223" i="4"/>
  <c r="HM223" i="4"/>
  <c r="HS223" i="4"/>
  <c r="HQ28" i="4"/>
  <c r="HM28" i="4"/>
  <c r="HM37" i="4"/>
  <c r="HS37" i="4"/>
  <c r="HO82" i="4"/>
  <c r="HM82" i="4"/>
  <c r="HM168" i="4"/>
  <c r="HO168" i="4"/>
  <c r="HM98" i="4"/>
  <c r="HO98" i="4"/>
  <c r="HM272" i="4"/>
  <c r="HO272" i="4"/>
  <c r="HQ272" i="4"/>
  <c r="HS272" i="4"/>
  <c r="HO268" i="4"/>
  <c r="HQ268" i="4"/>
  <c r="HS268" i="4"/>
  <c r="HM300" i="4"/>
  <c r="HO300" i="4"/>
  <c r="HM193" i="4"/>
  <c r="HO193" i="4"/>
  <c r="HO218" i="4"/>
  <c r="HM218" i="4"/>
  <c r="HS218" i="4"/>
  <c r="HM135" i="4"/>
  <c r="HO135" i="4"/>
  <c r="HS135" i="4"/>
  <c r="HM233" i="4"/>
  <c r="HO233" i="4"/>
  <c r="HQ242" i="4"/>
  <c r="HM242" i="4"/>
  <c r="HM31" i="4"/>
  <c r="HO31" i="4"/>
  <c r="HS31" i="4"/>
  <c r="HQ81" i="4"/>
  <c r="HO81" i="4"/>
  <c r="HM107" i="4"/>
  <c r="HS107" i="4"/>
  <c r="HO94" i="4"/>
  <c r="HQ94" i="4"/>
  <c r="HS94" i="4"/>
  <c r="HM52" i="4"/>
  <c r="HO52" i="4"/>
  <c r="HQ52" i="4"/>
  <c r="HS52" i="4"/>
  <c r="HM108" i="4"/>
  <c r="HO108" i="4"/>
  <c r="HO118" i="4"/>
  <c r="HS118" i="4"/>
  <c r="HM256" i="4"/>
  <c r="HO256" i="4"/>
  <c r="HM56" i="4"/>
  <c r="HO56" i="4"/>
  <c r="HM20" i="4"/>
  <c r="HO20" i="4"/>
  <c r="HQ20" i="4"/>
  <c r="HS20" i="4"/>
  <c r="HM294" i="4"/>
  <c r="HS294" i="4"/>
  <c r="HM185" i="4"/>
  <c r="HO185" i="4"/>
  <c r="HO102" i="4"/>
  <c r="HQ102" i="4"/>
  <c r="HS102" i="4"/>
  <c r="HO85" i="4"/>
  <c r="HM85" i="4"/>
  <c r="HS85" i="4"/>
  <c r="HO165" i="4"/>
  <c r="HM165" i="4"/>
  <c r="HS165" i="4"/>
  <c r="HO64" i="4"/>
  <c r="HS64" i="4"/>
  <c r="HM224" i="4"/>
  <c r="HO224" i="4"/>
  <c r="HQ224" i="4"/>
  <c r="HS224" i="4"/>
  <c r="HM105" i="4"/>
  <c r="HO105" i="4"/>
  <c r="HM32" i="4"/>
  <c r="HO32" i="4"/>
  <c r="HS32" i="4"/>
  <c r="HO90" i="4"/>
  <c r="HM90" i="4"/>
  <c r="HM137" i="4"/>
  <c r="HQ137" i="4"/>
  <c r="HS137" i="4"/>
  <c r="HM50" i="4"/>
  <c r="HO50" i="4"/>
  <c r="HM125" i="4"/>
  <c r="HS125" i="4"/>
  <c r="HM140" i="4"/>
  <c r="HO140" i="4"/>
  <c r="HM172" i="4"/>
  <c r="HO172" i="4"/>
  <c r="HO153" i="4"/>
  <c r="HS153" i="4"/>
  <c r="HS119" i="4"/>
  <c r="HM119" i="4"/>
  <c r="HO119" i="4"/>
  <c r="HO212" i="4"/>
  <c r="HM212" i="4"/>
  <c r="HO273" i="4"/>
  <c r="HM273" i="4"/>
  <c r="HS273" i="4"/>
  <c r="HO198" i="4"/>
  <c r="HM198" i="4"/>
  <c r="HQ301" i="4"/>
  <c r="HO301" i="4"/>
  <c r="HS301" i="4"/>
  <c r="HO260" i="4"/>
  <c r="HQ260" i="4"/>
  <c r="HM214" i="4"/>
  <c r="HO214" i="4"/>
  <c r="HM173" i="4"/>
  <c r="HO173" i="4"/>
  <c r="HM297" i="4"/>
  <c r="HO297" i="4"/>
  <c r="HQ297" i="4"/>
  <c r="HM270" i="4"/>
  <c r="HS270" i="4"/>
  <c r="HM174" i="4"/>
  <c r="HO174" i="4"/>
  <c r="HS174" i="4"/>
  <c r="HQ174" i="4"/>
  <c r="HM271" i="4"/>
  <c r="HO271" i="4"/>
  <c r="HM290" i="4"/>
  <c r="HO290" i="4"/>
  <c r="HS290" i="4"/>
  <c r="HO62" i="4"/>
  <c r="HS62" i="4"/>
  <c r="HO47" i="4"/>
  <c r="HS47" i="4"/>
  <c r="HM25" i="4"/>
  <c r="HO25" i="4"/>
  <c r="HO38" i="4"/>
  <c r="HM38" i="4"/>
  <c r="HM208" i="4"/>
  <c r="HO208" i="4"/>
  <c r="HM259" i="4"/>
  <c r="HO259" i="4"/>
  <c r="HO264" i="4"/>
  <c r="HQ264" i="4"/>
  <c r="HS264" i="4"/>
  <c r="HM143" i="4"/>
  <c r="HO143" i="4"/>
  <c r="HQ143" i="4"/>
  <c r="HS143" i="4"/>
  <c r="HM252" i="4"/>
  <c r="HO252" i="4"/>
  <c r="HM215" i="4"/>
  <c r="HO215" i="4"/>
  <c r="HM217" i="4"/>
  <c r="HO217" i="4"/>
  <c r="HQ217" i="4"/>
  <c r="HS217" i="4"/>
  <c r="HS145" i="4"/>
  <c r="HM145" i="4"/>
  <c r="HO145" i="4"/>
  <c r="HM284" i="4"/>
  <c r="HO284" i="4"/>
  <c r="HM277" i="4"/>
  <c r="HO263" i="4"/>
  <c r="HQ263" i="4"/>
  <c r="HS263" i="4"/>
  <c r="HM33" i="4"/>
  <c r="HO33" i="4"/>
  <c r="HS33" i="4"/>
  <c r="HM92" i="4"/>
  <c r="HO92" i="4"/>
  <c r="HS92" i="4"/>
  <c r="HO68" i="4"/>
  <c r="HQ68" i="4"/>
  <c r="HM138" i="4"/>
  <c r="HO138" i="4"/>
  <c r="HO171" i="4"/>
  <c r="HQ171" i="4"/>
  <c r="HM141" i="4"/>
  <c r="HO72" i="4"/>
  <c r="HS72" i="4"/>
  <c r="HQ72" i="4"/>
  <c r="HO115" i="4"/>
  <c r="HQ115" i="4"/>
  <c r="HS115" i="4"/>
  <c r="HQ61" i="4"/>
  <c r="HO61" i="4"/>
  <c r="HM61" i="4"/>
  <c r="HS61" i="4"/>
  <c r="HM291" i="4"/>
  <c r="HO291" i="4"/>
  <c r="HS291" i="4"/>
  <c r="HO186" i="4"/>
  <c r="HS186" i="4"/>
  <c r="HO73" i="4"/>
  <c r="HQ73" i="4"/>
  <c r="HS73" i="4"/>
  <c r="HM266" i="4"/>
  <c r="HO266" i="4"/>
  <c r="HS266" i="4"/>
  <c r="HM302" i="4"/>
  <c r="HO302" i="4"/>
  <c r="HQ302" i="4"/>
  <c r="HS302" i="4"/>
  <c r="HM231" i="4"/>
  <c r="HO231" i="4"/>
  <c r="HQ231" i="4"/>
  <c r="HS231" i="4"/>
  <c r="HO146" i="4"/>
  <c r="HM146" i="4"/>
  <c r="HM103" i="4"/>
  <c r="HO103" i="4"/>
  <c r="HM16" i="4"/>
  <c r="HQ16" i="4"/>
  <c r="HS16" i="4"/>
  <c r="HO65" i="4"/>
  <c r="HS65" i="4"/>
  <c r="HO83" i="4"/>
  <c r="HQ83" i="4"/>
  <c r="HM83" i="4"/>
  <c r="HS83" i="4"/>
  <c r="HM131" i="4"/>
  <c r="HO131" i="4"/>
  <c r="HS131" i="4"/>
  <c r="HQ133" i="4"/>
  <c r="HO133" i="4"/>
  <c r="HS133" i="4"/>
  <c r="HO209" i="4"/>
  <c r="HM209" i="4"/>
  <c r="HO176" i="4"/>
  <c r="HQ176" i="4"/>
  <c r="HS176" i="4"/>
  <c r="HM286" i="4"/>
  <c r="HQ286" i="4"/>
  <c r="HS286" i="4"/>
  <c r="HO292" i="4"/>
  <c r="HM292" i="4"/>
  <c r="HS292" i="4"/>
  <c r="HO205" i="4"/>
  <c r="HQ205" i="4"/>
  <c r="HS205" i="4"/>
  <c r="HO45" i="4"/>
  <c r="HM45" i="4"/>
  <c r="HQ21" i="4"/>
  <c r="HM21" i="4"/>
  <c r="HS21" i="4"/>
  <c r="HO55" i="4"/>
  <c r="HS55" i="4"/>
  <c r="HO66" i="4"/>
  <c r="HS66" i="4"/>
  <c r="HO89" i="4"/>
  <c r="HQ89" i="4"/>
  <c r="HS89" i="4"/>
  <c r="HM126" i="4"/>
  <c r="HO126" i="4"/>
  <c r="HM70" i="4"/>
  <c r="HO70" i="4"/>
  <c r="HS70" i="4"/>
  <c r="HM120" i="4"/>
  <c r="HO120" i="4"/>
  <c r="HQ120" i="4"/>
  <c r="HS120" i="4"/>
  <c r="HO99" i="4"/>
  <c r="HQ99" i="4"/>
  <c r="HS99" i="4"/>
  <c r="HM237" i="4"/>
  <c r="HO237" i="4"/>
  <c r="HS237" i="4"/>
  <c r="HO183" i="4"/>
  <c r="HQ183" i="4"/>
  <c r="HS183" i="4"/>
  <c r="HO293" i="4"/>
  <c r="HQ293" i="4"/>
  <c r="HS293" i="4"/>
  <c r="HM187" i="4"/>
  <c r="HO187" i="4"/>
  <c r="HM44" i="4"/>
  <c r="HO44" i="4"/>
  <c r="HM177" i="4"/>
  <c r="HO177" i="4"/>
  <c r="HS177" i="4"/>
  <c r="HM175" i="4"/>
  <c r="HO175" i="4"/>
  <c r="HM13" i="4"/>
  <c r="HQ13" i="4"/>
  <c r="HS13" i="4"/>
  <c r="HO43" i="4"/>
  <c r="HS43" i="4"/>
  <c r="HM232" i="4"/>
  <c r="HO232" i="4"/>
  <c r="HM93" i="4"/>
  <c r="HQ93" i="4"/>
  <c r="HQ158" i="4"/>
  <c r="HO158" i="4"/>
  <c r="HM109" i="4"/>
  <c r="HS109" i="4"/>
  <c r="HO109" i="4"/>
  <c r="HQ109" i="4"/>
  <c r="HM227" i="4"/>
  <c r="HQ227" i="4"/>
  <c r="HS227" i="4"/>
  <c r="HO100" i="4"/>
  <c r="HQ100" i="4"/>
  <c r="HS100" i="4"/>
  <c r="HM150" i="4"/>
  <c r="HO150" i="4"/>
  <c r="HS150" i="4"/>
  <c r="HM298" i="4"/>
  <c r="HS298" i="4"/>
  <c r="HO298" i="4"/>
  <c r="HM295" i="4"/>
  <c r="HO295" i="4"/>
  <c r="HQ101" i="4"/>
  <c r="HM101" i="4"/>
  <c r="HS101" i="4"/>
  <c r="HM254" i="4"/>
  <c r="HO254" i="4"/>
  <c r="HM195" i="4"/>
  <c r="HO195" i="4"/>
  <c r="HQ195" i="4"/>
  <c r="HS195" i="4"/>
  <c r="HM35" i="4"/>
  <c r="HO35" i="4"/>
  <c r="HS35" i="4"/>
  <c r="HM67" i="4"/>
  <c r="HO67" i="4"/>
  <c r="HS67" i="4"/>
  <c r="HO420" i="4"/>
  <c r="HO166" i="4"/>
  <c r="HM166" i="4"/>
  <c r="HO121" i="4"/>
  <c r="HM121" i="4"/>
  <c r="HM111" i="4"/>
  <c r="HO111" i="4"/>
  <c r="HQ250" i="4"/>
  <c r="HM250" i="4"/>
  <c r="HS250" i="4"/>
  <c r="HO250" i="4"/>
  <c r="HM142" i="4"/>
  <c r="HO142" i="4"/>
  <c r="HO265" i="4"/>
  <c r="HQ265" i="4"/>
  <c r="HS265" i="4"/>
  <c r="HO84" i="4"/>
  <c r="HM84" i="4"/>
  <c r="HM299" i="4"/>
  <c r="HM296" i="4"/>
  <c r="HO296" i="4"/>
  <c r="HS296" i="4"/>
  <c r="HO238" i="4"/>
  <c r="HQ238" i="4"/>
  <c r="HS238" i="4"/>
  <c r="HO216" i="4"/>
  <c r="HQ216" i="4"/>
  <c r="HO134" i="4"/>
  <c r="HQ134" i="4"/>
  <c r="HO257" i="4"/>
  <c r="HQ257" i="4"/>
  <c r="HS257" i="4"/>
  <c r="HM269" i="4"/>
  <c r="HO269" i="4"/>
  <c r="HQ269" i="4"/>
  <c r="HS269" i="4"/>
  <c r="HO311" i="4"/>
  <c r="HM311" i="4"/>
  <c r="HO30" i="4"/>
  <c r="HS30" i="4"/>
  <c r="HM30" i="4"/>
  <c r="HM36" i="4"/>
  <c r="HO36" i="4"/>
  <c r="HQ46" i="4"/>
  <c r="HO46" i="4"/>
  <c r="HS46" i="4"/>
  <c r="HO53" i="4"/>
  <c r="HM53" i="4"/>
  <c r="HO139" i="4"/>
  <c r="HQ139" i="4"/>
  <c r="HS139" i="4"/>
  <c r="HM182" i="4"/>
  <c r="HO182" i="4"/>
  <c r="HM95" i="4"/>
  <c r="HS95" i="4"/>
  <c r="HO95" i="4"/>
  <c r="HM196" i="4"/>
  <c r="HO196" i="4"/>
  <c r="HM117" i="4"/>
  <c r="HO117" i="4"/>
  <c r="HS117" i="4"/>
  <c r="HM253" i="4"/>
  <c r="HO253" i="4"/>
  <c r="HQ253" i="4"/>
  <c r="HS253" i="4"/>
  <c r="HM211" i="4"/>
  <c r="HQ211" i="4"/>
  <c r="HS211" i="4"/>
  <c r="HM199" i="4"/>
  <c r="HO199" i="4"/>
  <c r="HS199" i="4"/>
  <c r="HM78" i="4"/>
  <c r="HS78" i="4"/>
  <c r="HO192" i="4"/>
  <c r="HM192" i="4"/>
  <c r="HM203" i="4"/>
  <c r="HQ203" i="4"/>
  <c r="HS203" i="4"/>
  <c r="HM39" i="4"/>
  <c r="HO39" i="4"/>
  <c r="HQ240" i="4"/>
  <c r="HM240" i="4"/>
  <c r="HS240" i="4"/>
  <c r="HM350" i="4"/>
  <c r="HO243" i="4"/>
  <c r="HS243" i="4"/>
  <c r="HI105" i="4"/>
  <c r="HK105" i="4"/>
  <c r="HK243" i="4"/>
  <c r="HI243" i="4"/>
  <c r="HK103" i="4"/>
  <c r="HI103" i="4"/>
  <c r="HK311" i="4"/>
  <c r="HI311" i="4"/>
  <c r="HI340" i="4"/>
  <c r="HK223" i="4"/>
  <c r="HI223" i="4"/>
  <c r="HI64" i="4"/>
  <c r="HK64" i="4"/>
  <c r="HI285" i="4"/>
  <c r="HK285" i="4"/>
  <c r="HK175" i="4"/>
  <c r="HI175" i="4"/>
  <c r="HI129" i="4"/>
  <c r="HK129" i="4"/>
  <c r="HI177" i="4"/>
  <c r="HK177" i="4"/>
  <c r="HI45" i="4"/>
  <c r="HI55" i="4"/>
  <c r="HK55" i="4"/>
  <c r="HI66" i="4"/>
  <c r="HK66" i="4"/>
  <c r="HK126" i="4"/>
  <c r="HI126" i="4"/>
  <c r="HI70" i="4"/>
  <c r="HK99" i="4"/>
  <c r="HI237" i="4"/>
  <c r="HK237" i="4"/>
  <c r="HK291" i="4"/>
  <c r="HK186" i="4"/>
  <c r="HI186" i="4"/>
  <c r="HK358" i="4"/>
  <c r="HI358" i="4"/>
  <c r="HI195" i="4"/>
  <c r="HK271" i="4"/>
  <c r="HI242" i="4"/>
  <c r="HK43" i="4"/>
  <c r="HI43" i="4"/>
  <c r="HK232" i="4"/>
  <c r="HI232" i="4"/>
  <c r="HI93" i="4"/>
  <c r="HK158" i="4"/>
  <c r="HI158" i="4"/>
  <c r="HI227" i="4"/>
  <c r="HK100" i="4"/>
  <c r="HI150" i="4"/>
  <c r="HI214" i="4"/>
  <c r="HK214" i="4"/>
  <c r="HI173" i="4"/>
  <c r="HK173" i="4"/>
  <c r="HK218" i="4"/>
  <c r="HI76" i="4"/>
  <c r="HK35" i="4"/>
  <c r="HI67" i="4"/>
  <c r="HK67" i="4"/>
  <c r="HK420" i="4"/>
  <c r="HI420" i="4"/>
  <c r="HK166" i="4"/>
  <c r="HK121" i="4"/>
  <c r="HI111" i="4"/>
  <c r="HK111" i="4"/>
  <c r="HI250" i="4"/>
  <c r="HK142" i="4"/>
  <c r="HK84" i="4"/>
  <c r="HI84" i="4"/>
  <c r="HK183" i="4"/>
  <c r="HI215" i="4"/>
  <c r="HK215" i="4"/>
  <c r="HI144" i="4"/>
  <c r="HK144" i="4"/>
  <c r="HK201" i="4"/>
  <c r="HK277" i="4"/>
  <c r="HI277" i="4"/>
  <c r="HK30" i="4"/>
  <c r="HI36" i="4"/>
  <c r="HK46" i="4"/>
  <c r="HI53" i="4"/>
  <c r="HK53" i="4"/>
  <c r="HK139" i="4"/>
  <c r="HK182" i="4"/>
  <c r="HI95" i="4"/>
  <c r="HK196" i="4"/>
  <c r="HI196" i="4"/>
  <c r="HI117" i="4"/>
  <c r="HI253" i="4"/>
  <c r="HI211" i="4"/>
  <c r="HI199" i="4"/>
  <c r="HK199" i="4"/>
  <c r="HI298" i="4"/>
  <c r="HK295" i="4"/>
  <c r="HI187" i="4"/>
  <c r="HK187" i="4"/>
  <c r="HK73" i="4"/>
  <c r="HI73" i="4"/>
  <c r="HK266" i="4"/>
  <c r="HI297" i="4"/>
  <c r="HI135" i="4"/>
  <c r="HK233" i="4"/>
  <c r="HI233" i="4"/>
  <c r="HI146" i="4"/>
  <c r="HI290" i="4"/>
  <c r="HK59" i="4"/>
  <c r="HK79" i="4"/>
  <c r="HI79" i="4"/>
  <c r="HK200" i="4"/>
  <c r="HI200" i="4"/>
  <c r="HK96" i="4"/>
  <c r="HK236" i="4"/>
  <c r="HI236" i="4"/>
  <c r="HI251" i="4"/>
  <c r="HK210" i="4"/>
  <c r="HI210" i="4"/>
  <c r="HI147" i="4"/>
  <c r="HK213" i="4"/>
  <c r="HI299" i="4"/>
  <c r="HK299" i="4"/>
  <c r="HI296" i="4"/>
  <c r="HI292" i="4"/>
  <c r="HI85" i="4"/>
  <c r="HI62" i="4"/>
  <c r="HK62" i="4"/>
  <c r="HK26" i="4"/>
  <c r="HK69" i="4"/>
  <c r="HI69" i="4"/>
  <c r="HI127" i="4"/>
  <c r="HK127" i="4"/>
  <c r="HI40" i="4"/>
  <c r="HK97" i="4"/>
  <c r="HI97" i="4"/>
  <c r="HK60" i="4"/>
  <c r="HI60" i="4"/>
  <c r="HK249" i="4"/>
  <c r="HI255" i="4"/>
  <c r="HK149" i="4"/>
  <c r="HI78" i="4"/>
  <c r="HK192" i="4"/>
  <c r="HI44" i="4"/>
  <c r="HI302" i="4"/>
  <c r="HI270" i="4"/>
  <c r="HI275" i="4"/>
  <c r="HI28" i="4"/>
  <c r="HI37" i="4"/>
  <c r="HK82" i="4"/>
  <c r="HI82" i="4"/>
  <c r="HI168" i="4"/>
  <c r="HK168" i="4"/>
  <c r="HK98" i="4"/>
  <c r="HI98" i="4"/>
  <c r="HI272" i="4"/>
  <c r="HK154" i="4"/>
  <c r="HK88" i="4"/>
  <c r="HI88" i="4"/>
  <c r="HK238" i="4"/>
  <c r="HI145" i="4"/>
  <c r="HK284" i="4"/>
  <c r="HI284" i="4"/>
  <c r="HI31" i="4"/>
  <c r="HK81" i="4"/>
  <c r="HI81" i="4"/>
  <c r="HI107" i="4"/>
  <c r="HK107" i="4"/>
  <c r="HK94" i="4"/>
  <c r="HI52" i="4"/>
  <c r="HK108" i="4"/>
  <c r="HI108" i="4"/>
  <c r="HK118" i="4"/>
  <c r="HI256" i="4"/>
  <c r="HK256" i="4"/>
  <c r="HI56" i="4"/>
  <c r="HK170" i="4"/>
  <c r="HI170" i="4"/>
  <c r="HK184" i="4"/>
  <c r="HI184" i="4"/>
  <c r="HK216" i="4"/>
  <c r="HI216" i="4"/>
  <c r="HK254" i="4"/>
  <c r="HI32" i="4"/>
  <c r="HI90" i="4"/>
  <c r="HK90" i="4"/>
  <c r="HI50" i="4"/>
  <c r="HI125" i="4"/>
  <c r="HK125" i="4"/>
  <c r="HK140" i="4"/>
  <c r="HK172" i="4"/>
  <c r="HK153" i="4"/>
  <c r="HI119" i="4"/>
  <c r="HK212" i="4"/>
  <c r="HI212" i="4"/>
  <c r="HK273" i="4"/>
  <c r="HI300" i="4"/>
  <c r="HI193" i="4"/>
  <c r="HK205" i="4"/>
  <c r="HI47" i="4"/>
  <c r="HK47" i="4"/>
  <c r="HK25" i="4"/>
  <c r="HI25" i="4"/>
  <c r="HK38" i="4"/>
  <c r="HI38" i="4"/>
  <c r="HI208" i="4"/>
  <c r="HK208" i="4"/>
  <c r="HK259" i="4"/>
  <c r="HK264" i="4"/>
  <c r="HK294" i="4"/>
  <c r="HI294" i="4"/>
  <c r="HK185" i="4"/>
  <c r="HI185" i="4"/>
  <c r="HI188" i="4"/>
  <c r="HK134" i="4"/>
  <c r="HI134" i="4"/>
  <c r="HI33" i="4"/>
  <c r="HK33" i="4"/>
  <c r="HK92" i="4"/>
  <c r="HK68" i="4"/>
  <c r="HI68" i="4"/>
  <c r="HK138" i="4"/>
  <c r="HK171" i="4"/>
  <c r="HI171" i="4"/>
  <c r="HK141" i="4"/>
  <c r="HI141" i="4"/>
  <c r="HK72" i="4"/>
  <c r="HK115" i="4"/>
  <c r="HI198" i="4"/>
  <c r="HK301" i="4"/>
  <c r="HI301" i="4"/>
  <c r="HK260" i="4"/>
  <c r="HI132" i="4"/>
  <c r="HK39" i="4"/>
  <c r="HI39" i="4"/>
  <c r="HK165" i="4"/>
  <c r="HI165" i="4"/>
  <c r="HK65" i="4"/>
  <c r="HI65" i="4"/>
  <c r="HI83" i="4"/>
  <c r="HI131" i="4"/>
  <c r="HK209" i="4"/>
  <c r="HI209" i="4"/>
  <c r="HI252" i="4"/>
  <c r="HI228" i="4"/>
  <c r="HK228" i="4"/>
  <c r="HK257" i="4"/>
  <c r="L145" i="4"/>
  <c r="D284" i="5"/>
  <c r="M6" i="13" s="1"/>
  <c r="D324" i="5"/>
  <c r="M12" i="13" s="1"/>
  <c r="C316" i="5"/>
  <c r="E196" i="5"/>
  <c r="B207" i="5"/>
  <c r="E204" i="5"/>
  <c r="Q7" i="13" s="1"/>
  <c r="E216" i="5"/>
  <c r="B204" i="5"/>
  <c r="C209" i="5"/>
  <c r="AA7" i="13" s="1"/>
  <c r="B202" i="5"/>
  <c r="B209" i="5"/>
  <c r="D204" i="5"/>
  <c r="M7" i="13" s="1"/>
  <c r="E209" i="5"/>
  <c r="AI7" i="13" s="1"/>
  <c r="C204" i="5"/>
  <c r="I7" i="13" s="1"/>
  <c r="C329" i="5"/>
  <c r="C324" i="5"/>
  <c r="D249" i="5"/>
  <c r="AE11" i="13" s="1"/>
  <c r="D244" i="5"/>
  <c r="M11" i="13" s="1"/>
  <c r="E269" i="5"/>
  <c r="B264" i="5"/>
  <c r="D264" i="5"/>
  <c r="E264" i="5"/>
  <c r="E276" i="5"/>
  <c r="D269" i="5"/>
  <c r="C264" i="5"/>
  <c r="B262" i="5"/>
  <c r="B269" i="5"/>
  <c r="C269" i="5"/>
  <c r="B267" i="5"/>
  <c r="D164" i="5"/>
  <c r="M16" i="13" s="1"/>
  <c r="C176" i="5"/>
  <c r="B162" i="5"/>
  <c r="B169" i="5"/>
  <c r="E164" i="5"/>
  <c r="Q16" i="13" s="1"/>
  <c r="C169" i="5"/>
  <c r="AA16" i="13" s="1"/>
  <c r="B167" i="5"/>
  <c r="C164" i="5"/>
  <c r="I16" i="13" s="1"/>
  <c r="E176" i="5"/>
  <c r="B164" i="5"/>
  <c r="D169" i="5"/>
  <c r="AE16" i="13" s="1"/>
  <c r="E169" i="5"/>
  <c r="AI16" i="13" s="1"/>
  <c r="C89" i="5"/>
  <c r="C96" i="5"/>
  <c r="B84" i="5"/>
  <c r="D89" i="5"/>
  <c r="E96" i="5"/>
  <c r="D84" i="5"/>
  <c r="C84" i="5"/>
  <c r="B82" i="5"/>
  <c r="E84" i="5"/>
  <c r="B87" i="5"/>
  <c r="E89" i="5"/>
  <c r="D109" i="5"/>
  <c r="AE13" i="13" s="1"/>
  <c r="D29" i="5"/>
  <c r="AE5" i="13" s="1"/>
  <c r="E229" i="5"/>
  <c r="AI15" i="13" s="1"/>
  <c r="C224" i="5"/>
  <c r="I15" i="13" s="1"/>
  <c r="B227" i="5"/>
  <c r="B224" i="5"/>
  <c r="D229" i="5"/>
  <c r="AE15" i="13" s="1"/>
  <c r="B222" i="5"/>
  <c r="B229" i="5"/>
  <c r="C229" i="5"/>
  <c r="AA15" i="13" s="1"/>
  <c r="D44" i="5"/>
  <c r="M9" i="13" s="1"/>
  <c r="E236" i="5"/>
  <c r="E224" i="5"/>
  <c r="Q15" i="13" s="1"/>
  <c r="C236" i="5"/>
  <c r="E144" i="5"/>
  <c r="E156" i="5"/>
  <c r="C149" i="5"/>
  <c r="C144" i="5"/>
  <c r="B142" i="5"/>
  <c r="D144" i="5"/>
  <c r="C156" i="5"/>
  <c r="B149" i="5"/>
  <c r="B144" i="5"/>
  <c r="D149" i="5"/>
  <c r="B147" i="5"/>
  <c r="E149" i="5"/>
  <c r="C249" i="5"/>
  <c r="C276" i="5"/>
  <c r="D49" i="5"/>
  <c r="AE9" i="13" s="1"/>
  <c r="B47" i="5"/>
  <c r="C44" i="5"/>
  <c r="I9" i="13" s="1"/>
  <c r="B2" i="5"/>
  <c r="B7" i="5"/>
  <c r="B42" i="5"/>
  <c r="E49" i="5"/>
  <c r="AI9" i="13" s="1"/>
  <c r="E44" i="5"/>
  <c r="Q9" i="13" s="1"/>
  <c r="C49" i="5"/>
  <c r="AA9" i="13" s="1"/>
  <c r="E56" i="5"/>
  <c r="B302" i="5"/>
  <c r="B307" i="5"/>
  <c r="E309" i="5"/>
  <c r="AI8" i="13" s="1"/>
  <c r="B309" i="5"/>
  <c r="C304" i="5"/>
  <c r="C309" i="5"/>
  <c r="AA8" i="13" s="1"/>
  <c r="D309" i="5"/>
  <c r="AE8" i="13" s="1"/>
  <c r="B304" i="5"/>
  <c r="E304" i="5"/>
  <c r="Q8" i="13" s="1"/>
  <c r="E316" i="5"/>
  <c r="D304" i="5"/>
  <c r="M8" i="13" s="1"/>
  <c r="D289" i="5"/>
  <c r="C284" i="5"/>
  <c r="I6" i="13" s="1"/>
  <c r="B284" i="5"/>
  <c r="E284" i="5"/>
  <c r="Q6" i="13" s="1"/>
  <c r="C296" i="5"/>
  <c r="E296" i="5"/>
  <c r="B287" i="5"/>
  <c r="B282" i="5"/>
  <c r="E289" i="5"/>
  <c r="AI6" i="13" s="1"/>
  <c r="B289" i="5"/>
  <c r="E336" i="5"/>
  <c r="B324" i="5"/>
  <c r="E324" i="5"/>
  <c r="Q12" i="13" s="1"/>
  <c r="C336" i="5"/>
  <c r="E329" i="5"/>
  <c r="AI12" i="13" s="1"/>
  <c r="B327" i="5"/>
  <c r="D329" i="5"/>
  <c r="AE12" i="13" s="1"/>
  <c r="B322" i="5"/>
  <c r="B329" i="5"/>
  <c r="V12" i="13" s="1"/>
  <c r="D209" i="5"/>
  <c r="AE7" i="13" s="1"/>
  <c r="B27" i="5"/>
  <c r="E36" i="5"/>
  <c r="C29" i="5"/>
  <c r="AA5" i="13" s="1"/>
  <c r="C24" i="5"/>
  <c r="I5" i="13" s="1"/>
  <c r="E29" i="5"/>
  <c r="AI5" i="13" s="1"/>
  <c r="B22" i="5"/>
  <c r="D24" i="5"/>
  <c r="M5" i="13" s="1"/>
  <c r="E24" i="5"/>
  <c r="Q5" i="13" s="1"/>
  <c r="E136" i="5"/>
  <c r="C289" i="5"/>
  <c r="D224" i="5"/>
  <c r="M15" i="13" s="1"/>
  <c r="C216" i="5"/>
  <c r="E129" i="5"/>
  <c r="AI14" i="13" s="1"/>
  <c r="C136" i="5"/>
  <c r="E124" i="5"/>
  <c r="Q14" i="13" s="1"/>
  <c r="D124" i="5"/>
  <c r="M14" i="13" s="1"/>
  <c r="C129" i="5"/>
  <c r="AA14" i="13" s="1"/>
  <c r="D129" i="5"/>
  <c r="AE14" i="13" s="1"/>
  <c r="B127" i="5"/>
  <c r="B122" i="5"/>
  <c r="C124" i="5"/>
  <c r="I14" i="13" s="1"/>
  <c r="B124" i="5"/>
  <c r="B129" i="5"/>
  <c r="C196" i="5"/>
  <c r="D189" i="5"/>
  <c r="AE17" i="13" s="1"/>
  <c r="C184" i="5"/>
  <c r="I17" i="13" s="1"/>
  <c r="E184" i="5"/>
  <c r="Q17" i="13" s="1"/>
  <c r="B182" i="5"/>
  <c r="B184" i="5"/>
  <c r="B189" i="5"/>
  <c r="B187" i="5"/>
  <c r="D184" i="5"/>
  <c r="M17" i="13" s="1"/>
  <c r="E189" i="5"/>
  <c r="AI17" i="13" s="1"/>
  <c r="C189" i="5"/>
  <c r="AA17" i="13" s="1"/>
  <c r="B109" i="5"/>
  <c r="D104" i="5"/>
  <c r="M13" i="13" s="1"/>
  <c r="C109" i="5"/>
  <c r="AA13" i="13" s="1"/>
  <c r="C104" i="5"/>
  <c r="I13" i="13" s="1"/>
  <c r="C116" i="5"/>
  <c r="E104" i="5"/>
  <c r="Q13" i="13" s="1"/>
  <c r="B107" i="5"/>
  <c r="B104" i="5"/>
  <c r="E109" i="5"/>
  <c r="AI13" i="13" s="1"/>
  <c r="E116" i="5"/>
  <c r="B102" i="5"/>
  <c r="C244" i="5"/>
  <c r="B244" i="5"/>
  <c r="E249" i="5"/>
  <c r="AI11" i="13" s="1"/>
  <c r="E244" i="5"/>
  <c r="Q11" i="13" s="1"/>
  <c r="B242" i="5"/>
  <c r="B249" i="5"/>
  <c r="B247" i="5"/>
  <c r="E256" i="5"/>
  <c r="C256" i="5"/>
  <c r="D69" i="5"/>
  <c r="AE10" i="13" s="1"/>
  <c r="B67" i="5"/>
  <c r="D64" i="5"/>
  <c r="M10" i="13" s="1"/>
  <c r="E76" i="5"/>
  <c r="E64" i="5"/>
  <c r="Q10" i="13" s="1"/>
  <c r="E69" i="5"/>
  <c r="AI10" i="13" s="1"/>
  <c r="C64" i="5"/>
  <c r="I10" i="13" s="1"/>
  <c r="B62" i="5"/>
  <c r="C69" i="5"/>
  <c r="AA10" i="13" s="1"/>
  <c r="BF30" i="4"/>
  <c r="BF36" i="4"/>
  <c r="FC36" i="4" s="1"/>
  <c r="BF46" i="4"/>
  <c r="BF62" i="4"/>
  <c r="BF26" i="4"/>
  <c r="BF28" i="4"/>
  <c r="FH28" i="4" s="1"/>
  <c r="BF37" i="4"/>
  <c r="BF31" i="4"/>
  <c r="BF81" i="4"/>
  <c r="BF32" i="4"/>
  <c r="BF90" i="4"/>
  <c r="BF68" i="4"/>
  <c r="DY68" i="4" s="1"/>
  <c r="BF33" i="4"/>
  <c r="BF16" i="4"/>
  <c r="BF65" i="4"/>
  <c r="BF47" i="4"/>
  <c r="BF92" i="4"/>
  <c r="HG92" i="4" s="1"/>
  <c r="BF21" i="4"/>
  <c r="BF55" i="4"/>
  <c r="BF66" i="4"/>
  <c r="BF89" i="4"/>
  <c r="BF13" i="4"/>
  <c r="HC13" i="4" s="1"/>
  <c r="BF35" i="4"/>
  <c r="BF67" i="4"/>
  <c r="BF420" i="4"/>
  <c r="BF172" i="4"/>
  <c r="BF53" i="4"/>
  <c r="BF139" i="4"/>
  <c r="BF95" i="4"/>
  <c r="P95" i="4" s="1"/>
  <c r="BV95" i="4" s="1"/>
  <c r="BF117" i="4"/>
  <c r="BF211" i="4"/>
  <c r="BF298" i="4"/>
  <c r="BF187" i="4"/>
  <c r="BF217" i="4"/>
  <c r="BF162" i="4"/>
  <c r="BF59" i="4"/>
  <c r="BF79" i="4"/>
  <c r="CK79" i="4" s="1"/>
  <c r="BF200" i="4"/>
  <c r="BF96" i="4"/>
  <c r="P96" i="4" s="1"/>
  <c r="BU96" i="4" s="1"/>
  <c r="BF236" i="4"/>
  <c r="BF251" i="4"/>
  <c r="BF210" i="4"/>
  <c r="BF147" i="4"/>
  <c r="AU147" i="4" s="1"/>
  <c r="BF213" i="4"/>
  <c r="BF299" i="4"/>
  <c r="BF296" i="4"/>
  <c r="GU296" i="4" s="1"/>
  <c r="BF266" i="4"/>
  <c r="BF297" i="4"/>
  <c r="BF352" i="4"/>
  <c r="BF285" i="4"/>
  <c r="HG285" i="4" s="1"/>
  <c r="BF82" i="4"/>
  <c r="BF168" i="4"/>
  <c r="P168" i="4" s="1"/>
  <c r="BS168" i="4" s="1"/>
  <c r="BF98" i="4"/>
  <c r="P98" i="4" s="1"/>
  <c r="BT98" i="4" s="1"/>
  <c r="BF272" i="4"/>
  <c r="HC272" i="4" s="1"/>
  <c r="BF268" i="4"/>
  <c r="BF154" i="4"/>
  <c r="BF88" i="4"/>
  <c r="BF238" i="4"/>
  <c r="BF101" i="4"/>
  <c r="HG101" i="4" s="1"/>
  <c r="BF44" i="4"/>
  <c r="BF302" i="4"/>
  <c r="BF135" i="4"/>
  <c r="BF201" i="4"/>
  <c r="BF129" i="4"/>
  <c r="HG129" i="4" s="1"/>
  <c r="BF243" i="4"/>
  <c r="BF326" i="4"/>
  <c r="BF107" i="4"/>
  <c r="BF94" i="4"/>
  <c r="P94" i="4" s="1"/>
  <c r="BU94" i="4" s="1"/>
  <c r="BF52" i="4"/>
  <c r="P52" i="4" s="1"/>
  <c r="BV52" i="4" s="1"/>
  <c r="BF108" i="4"/>
  <c r="BF118" i="4"/>
  <c r="BF256" i="4"/>
  <c r="BF56" i="4"/>
  <c r="BF170" i="4"/>
  <c r="BF184" i="4"/>
  <c r="BF216" i="4"/>
  <c r="BF233" i="4"/>
  <c r="GY233" i="4" s="1"/>
  <c r="GZ233" i="4" s="1"/>
  <c r="BF277" i="4"/>
  <c r="BF97" i="4"/>
  <c r="P97" i="4" s="1"/>
  <c r="BF192" i="4"/>
  <c r="BF144" i="4"/>
  <c r="BF271" i="4"/>
  <c r="BF50" i="4"/>
  <c r="BF231" i="4"/>
  <c r="BF78" i="4"/>
  <c r="HG78" i="4" s="1"/>
  <c r="BF140" i="4"/>
  <c r="P140" i="4" s="1"/>
  <c r="BU140" i="4" s="1"/>
  <c r="BF300" i="4"/>
  <c r="BF85" i="4"/>
  <c r="BF25" i="4"/>
  <c r="BF38" i="4"/>
  <c r="BF208" i="4"/>
  <c r="P208" i="4" s="1"/>
  <c r="BS208" i="4" s="1"/>
  <c r="BF259" i="4"/>
  <c r="BF264" i="4"/>
  <c r="BF143" i="4"/>
  <c r="AU143" i="4" s="1"/>
  <c r="BF20" i="4"/>
  <c r="BF294" i="4"/>
  <c r="BF185" i="4"/>
  <c r="BF188" i="4"/>
  <c r="BF203" i="4"/>
  <c r="BF205" i="4"/>
  <c r="BF145" i="4"/>
  <c r="BF174" i="4"/>
  <c r="BF45" i="4"/>
  <c r="BF311" i="4"/>
  <c r="BF175" i="4"/>
  <c r="BF137" i="4"/>
  <c r="BF273" i="4"/>
  <c r="BF103" i="4"/>
  <c r="HG103" i="4" s="1"/>
  <c r="BF383" i="4"/>
  <c r="BF138" i="4"/>
  <c r="BF115" i="4"/>
  <c r="BF198" i="4"/>
  <c r="BF301" i="4"/>
  <c r="HG301" i="4" s="1"/>
  <c r="BF260" i="4"/>
  <c r="BF134" i="4"/>
  <c r="BF328" i="4"/>
  <c r="BF284" i="4"/>
  <c r="BF275" i="4"/>
  <c r="HG275" i="4" s="1"/>
  <c r="BF355" i="4"/>
  <c r="BF288" i="4"/>
  <c r="BF400" i="4"/>
  <c r="BF125" i="4"/>
  <c r="BF119" i="4"/>
  <c r="HG119" i="4" s="1"/>
  <c r="BF254" i="4"/>
  <c r="BF270" i="4"/>
  <c r="BF290" i="4"/>
  <c r="BF105" i="4"/>
  <c r="BF171" i="4"/>
  <c r="BF141" i="4"/>
  <c r="P141" i="4" s="1"/>
  <c r="BT141" i="4" s="1"/>
  <c r="BF72" i="4"/>
  <c r="BF83" i="4"/>
  <c r="HG83" i="4" s="1"/>
  <c r="BF131" i="4"/>
  <c r="P131" i="4" s="1"/>
  <c r="BV131" i="4" s="1"/>
  <c r="BF133" i="4"/>
  <c r="BF209" i="4"/>
  <c r="BF252" i="4"/>
  <c r="BF132" i="4"/>
  <c r="BF39" i="4"/>
  <c r="BF64" i="4"/>
  <c r="BF249" i="4"/>
  <c r="BF126" i="4"/>
  <c r="BF40" i="4"/>
  <c r="DF40" i="4" s="1"/>
  <c r="BF149" i="4"/>
  <c r="BF195" i="4"/>
  <c r="BF224" i="4"/>
  <c r="BF153" i="4"/>
  <c r="BF193" i="4"/>
  <c r="HE193" i="4" s="1"/>
  <c r="BF146" i="4"/>
  <c r="BF120" i="4"/>
  <c r="BF99" i="4"/>
  <c r="AU99" i="4" s="1"/>
  <c r="BF237" i="4"/>
  <c r="BF291" i="4"/>
  <c r="BF228" i="4"/>
  <c r="AQ228" i="4" s="1"/>
  <c r="BF340" i="4"/>
  <c r="BF43" i="4"/>
  <c r="BF232" i="4"/>
  <c r="BF93" i="4"/>
  <c r="BF158" i="4"/>
  <c r="P158" i="4" s="1"/>
  <c r="BU158" i="4" s="1"/>
  <c r="BF109" i="4"/>
  <c r="BF227" i="4"/>
  <c r="BF100" i="4"/>
  <c r="BF150" i="4"/>
  <c r="HE150" i="4" s="1"/>
  <c r="BF176" i="4"/>
  <c r="BF214" i="4"/>
  <c r="BF358" i="4"/>
  <c r="BF257" i="4"/>
  <c r="HG257" i="4" s="1"/>
  <c r="BF177" i="4"/>
  <c r="BF127" i="4"/>
  <c r="BF255" i="4"/>
  <c r="BF76" i="4"/>
  <c r="BF212" i="4"/>
  <c r="GY212" i="4" s="1"/>
  <c r="GZ212" i="4" s="1"/>
  <c r="BF70" i="4"/>
  <c r="BF61" i="4"/>
  <c r="BF186" i="4"/>
  <c r="BF166" i="4"/>
  <c r="CK166" i="4" s="1"/>
  <c r="BF121" i="4"/>
  <c r="BF111" i="4"/>
  <c r="BF250" i="4"/>
  <c r="DD250" i="4" s="1"/>
  <c r="BF142" i="4"/>
  <c r="BF265" i="4"/>
  <c r="BF84" i="4"/>
  <c r="BF183" i="4"/>
  <c r="BF293" i="4"/>
  <c r="BF286" i="4"/>
  <c r="BF215" i="4"/>
  <c r="GY215" i="4" s="1"/>
  <c r="GZ215" i="4" s="1"/>
  <c r="BF173" i="4"/>
  <c r="BF218" i="4"/>
  <c r="BF240" i="4"/>
  <c r="BF269" i="4"/>
  <c r="BF263" i="4"/>
  <c r="BF223" i="4"/>
  <c r="HC223" i="4" s="1"/>
  <c r="BF69" i="4"/>
  <c r="BF60" i="4"/>
  <c r="BF292" i="4"/>
  <c r="BF242" i="4"/>
  <c r="BF182" i="4"/>
  <c r="HC182" i="4" s="1"/>
  <c r="BF196" i="4"/>
  <c r="BF253" i="4"/>
  <c r="BF199" i="4"/>
  <c r="BF295" i="4"/>
  <c r="BF73" i="4"/>
  <c r="BF102" i="4"/>
  <c r="HE102" i="4" s="1"/>
  <c r="BF165" i="4"/>
  <c r="BF191" i="4"/>
  <c r="L246" i="4"/>
  <c r="BI202" i="4"/>
  <c r="BH318" i="4"/>
  <c r="BH384" i="4"/>
  <c r="BC397" i="4"/>
  <c r="BE416" i="4"/>
  <c r="BH319" i="4"/>
  <c r="BI219" i="4"/>
  <c r="BI222" i="4"/>
  <c r="BI104" i="4"/>
  <c r="BC324" i="4"/>
  <c r="BC178" i="4"/>
  <c r="BC388" i="4"/>
  <c r="BI247" i="4"/>
  <c r="BD244" i="4"/>
  <c r="BD267" i="4"/>
  <c r="BI75" i="4"/>
  <c r="BD315" i="4"/>
  <c r="BI304" i="4"/>
  <c r="BD362" i="4"/>
  <c r="BI258" i="4"/>
  <c r="BD363" i="4"/>
  <c r="BE421" i="4"/>
  <c r="BG248" i="4"/>
  <c r="BC414" i="4"/>
  <c r="BH220" i="4"/>
  <c r="BH221" i="4"/>
  <c r="BH351" i="4"/>
  <c r="BC305" i="4"/>
  <c r="BC375" i="4"/>
  <c r="BE365" i="4"/>
  <c r="BC395" i="4"/>
  <c r="BH394" i="4"/>
  <c r="BE110" i="4"/>
  <c r="BD189" i="4"/>
  <c r="BE194" i="4"/>
  <c r="BE262" i="4"/>
  <c r="BH376" i="4"/>
  <c r="BE418" i="4"/>
  <c r="BC407" i="4"/>
  <c r="BC408" i="4"/>
  <c r="BD279" i="4"/>
  <c r="BD349" i="4"/>
  <c r="BD360" i="4"/>
  <c r="BE417" i="4"/>
  <c r="BE160" i="4"/>
  <c r="BC379" i="4"/>
  <c r="BH381" i="4"/>
  <c r="BD148" i="4"/>
  <c r="BI241" i="4"/>
  <c r="BD344" i="4"/>
  <c r="BG226" i="4"/>
  <c r="BH389" i="4"/>
  <c r="BD393" i="4"/>
  <c r="BE419" i="4"/>
  <c r="BC377" i="4"/>
  <c r="BC413" i="4"/>
  <c r="BH113" i="4"/>
  <c r="BC347" i="4"/>
  <c r="BE401" i="4"/>
  <c r="BH274" i="4"/>
  <c r="BC354" i="4"/>
  <c r="BC239" i="4"/>
  <c r="BG218" i="4"/>
  <c r="BG217" i="4"/>
  <c r="BC173" i="4"/>
  <c r="BG203" i="4"/>
  <c r="BG73" i="4"/>
  <c r="BC215" i="4"/>
  <c r="BG336" i="4"/>
  <c r="BC185" i="4"/>
  <c r="BG192" i="4"/>
  <c r="BG143" i="4"/>
  <c r="BG213" i="4"/>
  <c r="BC273" i="4"/>
  <c r="BE89" i="4"/>
  <c r="BG252" i="4"/>
  <c r="BC264" i="4"/>
  <c r="BE253" i="4"/>
  <c r="BD251" i="4"/>
  <c r="BC164" i="4"/>
  <c r="BC299" i="4"/>
  <c r="BG78" i="4"/>
  <c r="BG61" i="4"/>
  <c r="BD94" i="4"/>
  <c r="BD121" i="4"/>
  <c r="BC296" i="4"/>
  <c r="BE204" i="4"/>
  <c r="BE5" i="4"/>
  <c r="BH208" i="4"/>
  <c r="BE208" i="4"/>
  <c r="BD208" i="4"/>
  <c r="BG208" i="4"/>
  <c r="BC208" i="4"/>
  <c r="BI208" i="4"/>
  <c r="BI235" i="4"/>
  <c r="BH235" i="4"/>
  <c r="BG235" i="4"/>
  <c r="BE235" i="4"/>
  <c r="BD235" i="4"/>
  <c r="BC235" i="4"/>
  <c r="BD158" i="4"/>
  <c r="BI158" i="4"/>
  <c r="BG158" i="4"/>
  <c r="BE158" i="4"/>
  <c r="BC158" i="4"/>
  <c r="BH158" i="4"/>
  <c r="BC417" i="4"/>
  <c r="BH5" i="4"/>
  <c r="BC244" i="4"/>
  <c r="BI5" i="4"/>
  <c r="BC363" i="4"/>
  <c r="BE379" i="4"/>
  <c r="BD418" i="4"/>
  <c r="BE414" i="4"/>
  <c r="BG349" i="4"/>
  <c r="BC418" i="4"/>
  <c r="BD416" i="4"/>
  <c r="BE407" i="4"/>
  <c r="BD377" i="4"/>
  <c r="BC416" i="4"/>
  <c r="BD421" i="4"/>
  <c r="BG384" i="4"/>
  <c r="BE384" i="4"/>
  <c r="BD417" i="4"/>
  <c r="BE305" i="4"/>
  <c r="BC109" i="4"/>
  <c r="BD109" i="4"/>
  <c r="BG109" i="4"/>
  <c r="BH109" i="4"/>
  <c r="BE109" i="4"/>
  <c r="BI109" i="4"/>
  <c r="BI413" i="4"/>
  <c r="BI394" i="4"/>
  <c r="BD414" i="4"/>
  <c r="BH408" i="4"/>
  <c r="BD407" i="4"/>
  <c r="BD384" i="4"/>
  <c r="BD379" i="4"/>
  <c r="BE388" i="4"/>
  <c r="BI376" i="4"/>
  <c r="BC24" i="4"/>
  <c r="BD24" i="4"/>
  <c r="BE24" i="4"/>
  <c r="BG24" i="4"/>
  <c r="BH24" i="4"/>
  <c r="BI24" i="4"/>
  <c r="BC70" i="4"/>
  <c r="BD70" i="4"/>
  <c r="BE70" i="4"/>
  <c r="BG70" i="4"/>
  <c r="BH70" i="4"/>
  <c r="BI70" i="4"/>
  <c r="BC95" i="4"/>
  <c r="BD95" i="4"/>
  <c r="BE95" i="4"/>
  <c r="BG95" i="4"/>
  <c r="BH95" i="4"/>
  <c r="BI95" i="4"/>
  <c r="BC99" i="4"/>
  <c r="BD99" i="4"/>
  <c r="BI99" i="4"/>
  <c r="BE99" i="4"/>
  <c r="BG99" i="4"/>
  <c r="BH99" i="4"/>
  <c r="BC170" i="4"/>
  <c r="BD170" i="4"/>
  <c r="BI170" i="4"/>
  <c r="BE170" i="4"/>
  <c r="BG170" i="4"/>
  <c r="BH170" i="4"/>
  <c r="BC292" i="4"/>
  <c r="BD292" i="4"/>
  <c r="BI292" i="4"/>
  <c r="BE292" i="4"/>
  <c r="BG292" i="4"/>
  <c r="BH292" i="4"/>
  <c r="BC241" i="4"/>
  <c r="BD241" i="4"/>
  <c r="BE241" i="4"/>
  <c r="BG241" i="4"/>
  <c r="BH241" i="4"/>
  <c r="BC191" i="4"/>
  <c r="BD191" i="4"/>
  <c r="BE191" i="4"/>
  <c r="BG191" i="4"/>
  <c r="BD419" i="4"/>
  <c r="BG18" i="4"/>
  <c r="BH18" i="4"/>
  <c r="BI18" i="4"/>
  <c r="BC18" i="4"/>
  <c r="BD18" i="4"/>
  <c r="BE18" i="4"/>
  <c r="BG232" i="4"/>
  <c r="BH232" i="4"/>
  <c r="BI232" i="4"/>
  <c r="BC232" i="4"/>
  <c r="BD232" i="4"/>
  <c r="BE232" i="4"/>
  <c r="BG250" i="4"/>
  <c r="BH250" i="4"/>
  <c r="BI250" i="4"/>
  <c r="BC250" i="4"/>
  <c r="BD250" i="4"/>
  <c r="BE250" i="4"/>
  <c r="BD198" i="4"/>
  <c r="BE198" i="4"/>
  <c r="BG198" i="4"/>
  <c r="BH198" i="4"/>
  <c r="BI198" i="4"/>
  <c r="BC198" i="4"/>
  <c r="BD225" i="4"/>
  <c r="BE225" i="4"/>
  <c r="BG225" i="4"/>
  <c r="BH225" i="4"/>
  <c r="BI225" i="4"/>
  <c r="BC225" i="4"/>
  <c r="BC421" i="4"/>
  <c r="BC419" i="4"/>
  <c r="BI408" i="4"/>
  <c r="BC7" i="4"/>
  <c r="BD7" i="4"/>
  <c r="BE7" i="4"/>
  <c r="BG7" i="4"/>
  <c r="BH7" i="4"/>
  <c r="BI7" i="4"/>
  <c r="BC30" i="4"/>
  <c r="BD30" i="4"/>
  <c r="BE30" i="4"/>
  <c r="BG30" i="4"/>
  <c r="BH30" i="4"/>
  <c r="BI30" i="4"/>
  <c r="BC36" i="4"/>
  <c r="BD36" i="4"/>
  <c r="BE36" i="4"/>
  <c r="BG36" i="4"/>
  <c r="BH36" i="4"/>
  <c r="BI36" i="4"/>
  <c r="BC46" i="4"/>
  <c r="BD46" i="4"/>
  <c r="BE46" i="4"/>
  <c r="BG46" i="4"/>
  <c r="BH46" i="4"/>
  <c r="BI46" i="4"/>
  <c r="BC58" i="4"/>
  <c r="BD58" i="4"/>
  <c r="BE58" i="4"/>
  <c r="BG58" i="4"/>
  <c r="BH58" i="4"/>
  <c r="BI58" i="4"/>
  <c r="BC53" i="4"/>
  <c r="BD53" i="4"/>
  <c r="BE53" i="4"/>
  <c r="BG53" i="4"/>
  <c r="BH53" i="4"/>
  <c r="BI53" i="4"/>
  <c r="BC140" i="4"/>
  <c r="BD140" i="4"/>
  <c r="BE140" i="4"/>
  <c r="BG140" i="4"/>
  <c r="BH140" i="4"/>
  <c r="BI140" i="4"/>
  <c r="BC196" i="4"/>
  <c r="BD196" i="4"/>
  <c r="BG196" i="4"/>
  <c r="BH196" i="4"/>
  <c r="BI196" i="4"/>
  <c r="BE196" i="4"/>
  <c r="BC117" i="4"/>
  <c r="BD117" i="4"/>
  <c r="BG117" i="4"/>
  <c r="BH117" i="4"/>
  <c r="BE117" i="4"/>
  <c r="BI117" i="4"/>
  <c r="BC253" i="4"/>
  <c r="BD253" i="4"/>
  <c r="BG253" i="4"/>
  <c r="BH253" i="4"/>
  <c r="BI253" i="4"/>
  <c r="BC142" i="4"/>
  <c r="BD142" i="4"/>
  <c r="BI142" i="4"/>
  <c r="BE142" i="4"/>
  <c r="BG142" i="4"/>
  <c r="BH142" i="4"/>
  <c r="BC265" i="4"/>
  <c r="BD265" i="4"/>
  <c r="BI265" i="4"/>
  <c r="BE265" i="4"/>
  <c r="BG265" i="4"/>
  <c r="BH265" i="4"/>
  <c r="BC237" i="4"/>
  <c r="BD237" i="4"/>
  <c r="BI237" i="4"/>
  <c r="BE237" i="4"/>
  <c r="BG237" i="4"/>
  <c r="BH237" i="4"/>
  <c r="BC294" i="4"/>
  <c r="BD294" i="4"/>
  <c r="BI294" i="4"/>
  <c r="BE294" i="4"/>
  <c r="BG294" i="4"/>
  <c r="BH294" i="4"/>
  <c r="BC193" i="4"/>
  <c r="BD193" i="4"/>
  <c r="BI193" i="4"/>
  <c r="BE193" i="4"/>
  <c r="BG193" i="4"/>
  <c r="BH193" i="4"/>
  <c r="BC216" i="4"/>
  <c r="BD216" i="4"/>
  <c r="BI216" i="4"/>
  <c r="BE216" i="4"/>
  <c r="BG216" i="4"/>
  <c r="BH216" i="4"/>
  <c r="BC302" i="4"/>
  <c r="BD302" i="4"/>
  <c r="BI302" i="4"/>
  <c r="BE302" i="4"/>
  <c r="BG302" i="4"/>
  <c r="BH302" i="4"/>
  <c r="BI144" i="4"/>
  <c r="BC144" i="4"/>
  <c r="BD144" i="4"/>
  <c r="BG144" i="4"/>
  <c r="BI76" i="4"/>
  <c r="BC76" i="4"/>
  <c r="BD76" i="4"/>
  <c r="BG76" i="4"/>
  <c r="BC195" i="4"/>
  <c r="BD195" i="4"/>
  <c r="BE195" i="4"/>
  <c r="BG195" i="4"/>
  <c r="BH195" i="4"/>
  <c r="BI195" i="4"/>
  <c r="BI271" i="4"/>
  <c r="BC271" i="4"/>
  <c r="BD271" i="4"/>
  <c r="BG271" i="4"/>
  <c r="BC242" i="4"/>
  <c r="BD242" i="4"/>
  <c r="BE242" i="4"/>
  <c r="BG242" i="4"/>
  <c r="BH242" i="4"/>
  <c r="BI242" i="4"/>
  <c r="BI285" i="4"/>
  <c r="BC285" i="4"/>
  <c r="BD285" i="4"/>
  <c r="BG285" i="4"/>
  <c r="BC175" i="4"/>
  <c r="BD175" i="4"/>
  <c r="BE175" i="4"/>
  <c r="BG175" i="4"/>
  <c r="BH175" i="4"/>
  <c r="BC224" i="4"/>
  <c r="BD224" i="4"/>
  <c r="BE224" i="4"/>
  <c r="BG224" i="4"/>
  <c r="BH224" i="4"/>
  <c r="BC353" i="4"/>
  <c r="BD353" i="4"/>
  <c r="BE353" i="4"/>
  <c r="BG353" i="4"/>
  <c r="BH353" i="4"/>
  <c r="BC123" i="4"/>
  <c r="BD123" i="4"/>
  <c r="BE123" i="4"/>
  <c r="BG123" i="4"/>
  <c r="BG12" i="4"/>
  <c r="BH12" i="4"/>
  <c r="BI12" i="4"/>
  <c r="BC12" i="4"/>
  <c r="BD12" i="4"/>
  <c r="BE12" i="4"/>
  <c r="BG114" i="4"/>
  <c r="BH114" i="4"/>
  <c r="BI114" i="4"/>
  <c r="BC114" i="4"/>
  <c r="BD114" i="4"/>
  <c r="BE114" i="4"/>
  <c r="BG42" i="4"/>
  <c r="BH42" i="4"/>
  <c r="BI42" i="4"/>
  <c r="BC42" i="4"/>
  <c r="BD42" i="4"/>
  <c r="BE42" i="4"/>
  <c r="BG80" i="4"/>
  <c r="BH80" i="4"/>
  <c r="BI80" i="4"/>
  <c r="BC80" i="4"/>
  <c r="BD80" i="4"/>
  <c r="BE80" i="4"/>
  <c r="BG49" i="4"/>
  <c r="BH49" i="4"/>
  <c r="BI49" i="4"/>
  <c r="BC49" i="4"/>
  <c r="BD49" i="4"/>
  <c r="BE49" i="4"/>
  <c r="BG157" i="4"/>
  <c r="BH157" i="4"/>
  <c r="BI157" i="4"/>
  <c r="BC157" i="4"/>
  <c r="BD157" i="4"/>
  <c r="BE157" i="4"/>
  <c r="BG166" i="4"/>
  <c r="BH166" i="4"/>
  <c r="BI166" i="4"/>
  <c r="BC166" i="4"/>
  <c r="BD166" i="4"/>
  <c r="BE166" i="4"/>
  <c r="BG38" i="4"/>
  <c r="BH38" i="4"/>
  <c r="BI38" i="4"/>
  <c r="BE38" i="4"/>
  <c r="BC38" i="4"/>
  <c r="BD38" i="4"/>
  <c r="BG97" i="4"/>
  <c r="BH97" i="4"/>
  <c r="BI97" i="4"/>
  <c r="BC97" i="4"/>
  <c r="BD97" i="4"/>
  <c r="BE97" i="4"/>
  <c r="BG236" i="4"/>
  <c r="BH236" i="4"/>
  <c r="BI236" i="4"/>
  <c r="BC236" i="4"/>
  <c r="BD236" i="4"/>
  <c r="BE236" i="4"/>
  <c r="BG251" i="4"/>
  <c r="BH251" i="4"/>
  <c r="BI251" i="4"/>
  <c r="BE251" i="4"/>
  <c r="BC251" i="4"/>
  <c r="BG210" i="4"/>
  <c r="BH210" i="4"/>
  <c r="BI210" i="4"/>
  <c r="BC210" i="4"/>
  <c r="BD210" i="4"/>
  <c r="BE210" i="4"/>
  <c r="BD211" i="4"/>
  <c r="BE211" i="4"/>
  <c r="BG211" i="4"/>
  <c r="BH211" i="4"/>
  <c r="BI211" i="4"/>
  <c r="BD199" i="4"/>
  <c r="BE199" i="4"/>
  <c r="BG199" i="4"/>
  <c r="BH199" i="4"/>
  <c r="BI199" i="4"/>
  <c r="BD164" i="4"/>
  <c r="BE164" i="4"/>
  <c r="BG164" i="4"/>
  <c r="BH164" i="4"/>
  <c r="BI164" i="4"/>
  <c r="BD301" i="4"/>
  <c r="BE301" i="4"/>
  <c r="BG301" i="4"/>
  <c r="BH301" i="4"/>
  <c r="BI301" i="4"/>
  <c r="BD185" i="4"/>
  <c r="BE185" i="4"/>
  <c r="BG185" i="4"/>
  <c r="BH185" i="4"/>
  <c r="BI185" i="4"/>
  <c r="BD188" i="4"/>
  <c r="BE188" i="4"/>
  <c r="BG188" i="4"/>
  <c r="BH188" i="4"/>
  <c r="BI188" i="4"/>
  <c r="BD246" i="4"/>
  <c r="BE246" i="4"/>
  <c r="BG246" i="4"/>
  <c r="BH246" i="4"/>
  <c r="BI246" i="4"/>
  <c r="BD135" i="4"/>
  <c r="BE135" i="4"/>
  <c r="BG135" i="4"/>
  <c r="BC135" i="4"/>
  <c r="BH135" i="4"/>
  <c r="BI135" i="4"/>
  <c r="BD247" i="4"/>
  <c r="BE247" i="4"/>
  <c r="BG247" i="4"/>
  <c r="BC247" i="4"/>
  <c r="BH247" i="4"/>
  <c r="BD201" i="4"/>
  <c r="BE201" i="4"/>
  <c r="BG201" i="4"/>
  <c r="BC201" i="4"/>
  <c r="BH201" i="4"/>
  <c r="BI201" i="4"/>
  <c r="BD309" i="4"/>
  <c r="BE309" i="4"/>
  <c r="BG309" i="4"/>
  <c r="BC309" i="4"/>
  <c r="BH309" i="4"/>
  <c r="BD129" i="4"/>
  <c r="BE129" i="4"/>
  <c r="BG129" i="4"/>
  <c r="BC129" i="4"/>
  <c r="BH129" i="4"/>
  <c r="BI129" i="4"/>
  <c r="BD373" i="4"/>
  <c r="BE373" i="4"/>
  <c r="BH373" i="4"/>
  <c r="BI373" i="4"/>
  <c r="BC373" i="4"/>
  <c r="BD243" i="4"/>
  <c r="BG243" i="4"/>
  <c r="BH243" i="4"/>
  <c r="BI243" i="4"/>
  <c r="BC243" i="4"/>
  <c r="BG244" i="4"/>
  <c r="BH244" i="4"/>
  <c r="BI244" i="4"/>
  <c r="BG326" i="4"/>
  <c r="BH326" i="4"/>
  <c r="BI326" i="4"/>
  <c r="BH413" i="4"/>
  <c r="BG394" i="4"/>
  <c r="BG408" i="4"/>
  <c r="BC384" i="4"/>
  <c r="BD388" i="4"/>
  <c r="BH285" i="4"/>
  <c r="BH110" i="4"/>
  <c r="BH76" i="4"/>
  <c r="BH194" i="4"/>
  <c r="BG413" i="4"/>
  <c r="BE394" i="4"/>
  <c r="BI397" i="4"/>
  <c r="BE408" i="4"/>
  <c r="BI360" i="4"/>
  <c r="BI123" i="4"/>
  <c r="BE375" i="4"/>
  <c r="BE178" i="4"/>
  <c r="BE285" i="4"/>
  <c r="BE76" i="4"/>
  <c r="BC301" i="4"/>
  <c r="BC199" i="4"/>
  <c r="BC125" i="4"/>
  <c r="BD125" i="4"/>
  <c r="BE125" i="4"/>
  <c r="BG125" i="4"/>
  <c r="BH125" i="4"/>
  <c r="BI125" i="4"/>
  <c r="BC227" i="4"/>
  <c r="BD227" i="4"/>
  <c r="BG227" i="4"/>
  <c r="BH227" i="4"/>
  <c r="BE227" i="4"/>
  <c r="BI227" i="4"/>
  <c r="BC20" i="4"/>
  <c r="BD20" i="4"/>
  <c r="BI20" i="4"/>
  <c r="BE20" i="4"/>
  <c r="BG20" i="4"/>
  <c r="BH20" i="4"/>
  <c r="BC316" i="4"/>
  <c r="BD316" i="4"/>
  <c r="BI316" i="4"/>
  <c r="BE316" i="4"/>
  <c r="BG316" i="4"/>
  <c r="BH316" i="4"/>
  <c r="BE165" i="4"/>
  <c r="BG165" i="4"/>
  <c r="BH165" i="4"/>
  <c r="BI165" i="4"/>
  <c r="BC165" i="4"/>
  <c r="BC357" i="4"/>
  <c r="BD357" i="4"/>
  <c r="BE357" i="4"/>
  <c r="BH357" i="4"/>
  <c r="BC162" i="4"/>
  <c r="BD162" i="4"/>
  <c r="BE162" i="4"/>
  <c r="BG162" i="4"/>
  <c r="BH162" i="4"/>
  <c r="BG6" i="4"/>
  <c r="BH6" i="4"/>
  <c r="BI6" i="4"/>
  <c r="BC6" i="4"/>
  <c r="BD6" i="4"/>
  <c r="BE6" i="4"/>
  <c r="BG96" i="4"/>
  <c r="BH96" i="4"/>
  <c r="BI96" i="4"/>
  <c r="BC96" i="4"/>
  <c r="BD96" i="4"/>
  <c r="BE96" i="4"/>
  <c r="BD150" i="4"/>
  <c r="BE150" i="4"/>
  <c r="BG150" i="4"/>
  <c r="BH150" i="4"/>
  <c r="BI150" i="4"/>
  <c r="BC150" i="4"/>
  <c r="BD184" i="4"/>
  <c r="BE184" i="4"/>
  <c r="BG184" i="4"/>
  <c r="BH184" i="4"/>
  <c r="BI184" i="4"/>
  <c r="BC184" i="4"/>
  <c r="BG352" i="4"/>
  <c r="BH352" i="4"/>
  <c r="BI352" i="4"/>
  <c r="BD352" i="4"/>
  <c r="BG401" i="4"/>
  <c r="BH401" i="4"/>
  <c r="BI401" i="4"/>
  <c r="BC91" i="4"/>
  <c r="BD91" i="4"/>
  <c r="BE91" i="4"/>
  <c r="BG91" i="4"/>
  <c r="BH91" i="4"/>
  <c r="BI91" i="4"/>
  <c r="BC69" i="4"/>
  <c r="BD69" i="4"/>
  <c r="BE69" i="4"/>
  <c r="BG69" i="4"/>
  <c r="BH69" i="4"/>
  <c r="BI69" i="4"/>
  <c r="BC98" i="4"/>
  <c r="BD98" i="4"/>
  <c r="BE98" i="4"/>
  <c r="BG98" i="4"/>
  <c r="BH98" i="4"/>
  <c r="BI98" i="4"/>
  <c r="BC84" i="4"/>
  <c r="BD84" i="4"/>
  <c r="BI84" i="4"/>
  <c r="BH84" i="4"/>
  <c r="BE84" i="4"/>
  <c r="BC254" i="4"/>
  <c r="BD254" i="4"/>
  <c r="BI254" i="4"/>
  <c r="BH254" i="4"/>
  <c r="BE254" i="4"/>
  <c r="BC277" i="4"/>
  <c r="BD277" i="4"/>
  <c r="BE277" i="4"/>
  <c r="BG277" i="4"/>
  <c r="BH277" i="4"/>
  <c r="BG14" i="4"/>
  <c r="BH14" i="4"/>
  <c r="BI14" i="4"/>
  <c r="BC14" i="4"/>
  <c r="BD14" i="4"/>
  <c r="BE14" i="4"/>
  <c r="BG28" i="4"/>
  <c r="BH28" i="4"/>
  <c r="BI28" i="4"/>
  <c r="BC28" i="4"/>
  <c r="BD28" i="4"/>
  <c r="BE28" i="4"/>
  <c r="BG19" i="4"/>
  <c r="BH19" i="4"/>
  <c r="BI19" i="4"/>
  <c r="BC19" i="4"/>
  <c r="BD19" i="4"/>
  <c r="BE19" i="4"/>
  <c r="BG27" i="4"/>
  <c r="BH27" i="4"/>
  <c r="BI27" i="4"/>
  <c r="BC27" i="4"/>
  <c r="BD27" i="4"/>
  <c r="BE27" i="4"/>
  <c r="BG37" i="4"/>
  <c r="BH37" i="4"/>
  <c r="BI37" i="4"/>
  <c r="BC37" i="4"/>
  <c r="BD37" i="4"/>
  <c r="BE37" i="4"/>
  <c r="BG130" i="4"/>
  <c r="BH130" i="4"/>
  <c r="BI130" i="4"/>
  <c r="BC130" i="4"/>
  <c r="BD130" i="4"/>
  <c r="BE130" i="4"/>
  <c r="BG127" i="4"/>
  <c r="BH127" i="4"/>
  <c r="BI127" i="4"/>
  <c r="BC127" i="4"/>
  <c r="BD127" i="4"/>
  <c r="BE127" i="4"/>
  <c r="BG79" i="4"/>
  <c r="BH79" i="4"/>
  <c r="BI79" i="4"/>
  <c r="BC79" i="4"/>
  <c r="BD79" i="4"/>
  <c r="BE79" i="4"/>
  <c r="BG131" i="4"/>
  <c r="BH131" i="4"/>
  <c r="BI131" i="4"/>
  <c r="BC131" i="4"/>
  <c r="BD131" i="4"/>
  <c r="BE131" i="4"/>
  <c r="BG52" i="4"/>
  <c r="BH52" i="4"/>
  <c r="BI52" i="4"/>
  <c r="BC52" i="4"/>
  <c r="BD52" i="4"/>
  <c r="BE52" i="4"/>
  <c r="BD261" i="4"/>
  <c r="BE261" i="4"/>
  <c r="BG261" i="4"/>
  <c r="BH261" i="4"/>
  <c r="BI261" i="4"/>
  <c r="BC261" i="4"/>
  <c r="BD149" i="4"/>
  <c r="BE149" i="4"/>
  <c r="BG149" i="4"/>
  <c r="BH149" i="4"/>
  <c r="BI149" i="4"/>
  <c r="BC149" i="4"/>
  <c r="BD314" i="4"/>
  <c r="BE314" i="4"/>
  <c r="BG314" i="4"/>
  <c r="BH314" i="4"/>
  <c r="BI314" i="4"/>
  <c r="BC314" i="4"/>
  <c r="BD291" i="4"/>
  <c r="BE291" i="4"/>
  <c r="BG291" i="4"/>
  <c r="BH291" i="4"/>
  <c r="BI291" i="4"/>
  <c r="BC291" i="4"/>
  <c r="BD307" i="4"/>
  <c r="BE307" i="4"/>
  <c r="BG307" i="4"/>
  <c r="BH307" i="4"/>
  <c r="BI307" i="4"/>
  <c r="BC307" i="4"/>
  <c r="BD308" i="4"/>
  <c r="BE308" i="4"/>
  <c r="BG308" i="4"/>
  <c r="BH308" i="4"/>
  <c r="BI308" i="4"/>
  <c r="BC308" i="4"/>
  <c r="BD205" i="4"/>
  <c r="BE205" i="4"/>
  <c r="BG205" i="4"/>
  <c r="BH205" i="4"/>
  <c r="BC205" i="4"/>
  <c r="BI205" i="4"/>
  <c r="BD270" i="4"/>
  <c r="BE270" i="4"/>
  <c r="BG270" i="4"/>
  <c r="BI270" i="4"/>
  <c r="BC270" i="4"/>
  <c r="BD85" i="4"/>
  <c r="BE85" i="4"/>
  <c r="BG85" i="4"/>
  <c r="BC85" i="4"/>
  <c r="BH85" i="4"/>
  <c r="BI85" i="4"/>
  <c r="BD274" i="4"/>
  <c r="BE274" i="4"/>
  <c r="BG274" i="4"/>
  <c r="BI274" i="4"/>
  <c r="BC274" i="4"/>
  <c r="BD339" i="4"/>
  <c r="BE339" i="4"/>
  <c r="BG339" i="4"/>
  <c r="BC339" i="4"/>
  <c r="BH339" i="4"/>
  <c r="BI339" i="4"/>
  <c r="BD146" i="4"/>
  <c r="BE146" i="4"/>
  <c r="BG146" i="4"/>
  <c r="BI146" i="4"/>
  <c r="BC146" i="4"/>
  <c r="BD290" i="4"/>
  <c r="BE290" i="4"/>
  <c r="BG290" i="4"/>
  <c r="BC290" i="4"/>
  <c r="BH290" i="4"/>
  <c r="BI290" i="4"/>
  <c r="BD103" i="4"/>
  <c r="BE103" i="4"/>
  <c r="BC103" i="4"/>
  <c r="BH103" i="4"/>
  <c r="BG323" i="4"/>
  <c r="BH323" i="4"/>
  <c r="BI323" i="4"/>
  <c r="BD323" i="4"/>
  <c r="BG105" i="4"/>
  <c r="BH105" i="4"/>
  <c r="BI105" i="4"/>
  <c r="BD105" i="4"/>
  <c r="BG383" i="4"/>
  <c r="BH383" i="4"/>
  <c r="BI383" i="4"/>
  <c r="BG354" i="4"/>
  <c r="BH354" i="4"/>
  <c r="BI354" i="4"/>
  <c r="BE413" i="4"/>
  <c r="BD394" i="4"/>
  <c r="BH397" i="4"/>
  <c r="BD408" i="4"/>
  <c r="BD401" i="4"/>
  <c r="BH360" i="4"/>
  <c r="BH123" i="4"/>
  <c r="BD375" i="4"/>
  <c r="BE324" i="4"/>
  <c r="BI103" i="4"/>
  <c r="BG373" i="4"/>
  <c r="BC318" i="4"/>
  <c r="BD318" i="4"/>
  <c r="BE318" i="4"/>
  <c r="BG318" i="4"/>
  <c r="BD413" i="4"/>
  <c r="BC394" i="4"/>
  <c r="BG397" i="4"/>
  <c r="BC401" i="4"/>
  <c r="BG360" i="4"/>
  <c r="BI353" i="4"/>
  <c r="BG103" i="4"/>
  <c r="BI175" i="4"/>
  <c r="BI309" i="4"/>
  <c r="BD389" i="4"/>
  <c r="BG420" i="4"/>
  <c r="BH420" i="4"/>
  <c r="BI420" i="4"/>
  <c r="BC420" i="4"/>
  <c r="BD420" i="4"/>
  <c r="BE420" i="4"/>
  <c r="BG94" i="4"/>
  <c r="BH94" i="4"/>
  <c r="BI94" i="4"/>
  <c r="BE94" i="4"/>
  <c r="BC94" i="4"/>
  <c r="BD300" i="4"/>
  <c r="BE300" i="4"/>
  <c r="BG300" i="4"/>
  <c r="BH300" i="4"/>
  <c r="BI300" i="4"/>
  <c r="BC300" i="4"/>
  <c r="BD44" i="4"/>
  <c r="BE44" i="4"/>
  <c r="BG44" i="4"/>
  <c r="BH44" i="4"/>
  <c r="BI44" i="4"/>
  <c r="BC44" i="4"/>
  <c r="BD113" i="4"/>
  <c r="BE113" i="4"/>
  <c r="BG113" i="4"/>
  <c r="BI113" i="4"/>
  <c r="BC113" i="4"/>
  <c r="BC8" i="4"/>
  <c r="BD8" i="4"/>
  <c r="BE8" i="4"/>
  <c r="BG8" i="4"/>
  <c r="BH8" i="4"/>
  <c r="BI8" i="4"/>
  <c r="BC59" i="4"/>
  <c r="BD59" i="4"/>
  <c r="BE59" i="4"/>
  <c r="BG59" i="4"/>
  <c r="BH59" i="4"/>
  <c r="BI59" i="4"/>
  <c r="BC147" i="4"/>
  <c r="BD147" i="4"/>
  <c r="BI147" i="4"/>
  <c r="BH147" i="4"/>
  <c r="BE147" i="4"/>
  <c r="BE233" i="4"/>
  <c r="BG233" i="4"/>
  <c r="BH233" i="4"/>
  <c r="BI233" i="4"/>
  <c r="BC233" i="4"/>
  <c r="BC9" i="4"/>
  <c r="BD9" i="4"/>
  <c r="BE9" i="4"/>
  <c r="BG9" i="4"/>
  <c r="BH9" i="4"/>
  <c r="BI9" i="4"/>
  <c r="BC31" i="4"/>
  <c r="BD31" i="4"/>
  <c r="BE31" i="4"/>
  <c r="BG31" i="4"/>
  <c r="BH31" i="4"/>
  <c r="BI31" i="4"/>
  <c r="BC155" i="4"/>
  <c r="BD155" i="4"/>
  <c r="BE155" i="4"/>
  <c r="BG155" i="4"/>
  <c r="BH155" i="4"/>
  <c r="BI155" i="4"/>
  <c r="BC81" i="4"/>
  <c r="BD81" i="4"/>
  <c r="BE81" i="4"/>
  <c r="BG81" i="4"/>
  <c r="BH81" i="4"/>
  <c r="BI81" i="4"/>
  <c r="BC48" i="4"/>
  <c r="BD48" i="4"/>
  <c r="BE48" i="4"/>
  <c r="BG48" i="4"/>
  <c r="BH48" i="4"/>
  <c r="BI48" i="4"/>
  <c r="BC136" i="4"/>
  <c r="BD136" i="4"/>
  <c r="BE136" i="4"/>
  <c r="BG136" i="4"/>
  <c r="BH136" i="4"/>
  <c r="BI136" i="4"/>
  <c r="BC179" i="4"/>
  <c r="BD179" i="4"/>
  <c r="BE179" i="4"/>
  <c r="BG179" i="4"/>
  <c r="BH179" i="4"/>
  <c r="BI179" i="4"/>
  <c r="BC167" i="4"/>
  <c r="BD167" i="4"/>
  <c r="BE167" i="4"/>
  <c r="BG167" i="4"/>
  <c r="BH167" i="4"/>
  <c r="BI167" i="4"/>
  <c r="BC172" i="4"/>
  <c r="BD172" i="4"/>
  <c r="BE172" i="4"/>
  <c r="BG172" i="4"/>
  <c r="BH172" i="4"/>
  <c r="BI172" i="4"/>
  <c r="BC108" i="4"/>
  <c r="BD108" i="4"/>
  <c r="BG108" i="4"/>
  <c r="BH108" i="4"/>
  <c r="BI108" i="4"/>
  <c r="BE108" i="4"/>
  <c r="BC118" i="4"/>
  <c r="BD118" i="4"/>
  <c r="BG118" i="4"/>
  <c r="BH118" i="4"/>
  <c r="BE118" i="4"/>
  <c r="BI118" i="4"/>
  <c r="BC272" i="4"/>
  <c r="BD272" i="4"/>
  <c r="BI272" i="4"/>
  <c r="BE272" i="4"/>
  <c r="BG272" i="4"/>
  <c r="BH272" i="4"/>
  <c r="BC329" i="4"/>
  <c r="BD329" i="4"/>
  <c r="BI329" i="4"/>
  <c r="BE329" i="4"/>
  <c r="BG329" i="4"/>
  <c r="BH329" i="4"/>
  <c r="BC183" i="4"/>
  <c r="BD183" i="4"/>
  <c r="BI183" i="4"/>
  <c r="BE183" i="4"/>
  <c r="BG183" i="4"/>
  <c r="BH183" i="4"/>
  <c r="BC176" i="4"/>
  <c r="BD176" i="4"/>
  <c r="BI176" i="4"/>
  <c r="BE176" i="4"/>
  <c r="BG176" i="4"/>
  <c r="BH176" i="4"/>
  <c r="BC186" i="4"/>
  <c r="BD186" i="4"/>
  <c r="BI186" i="4"/>
  <c r="BE186" i="4"/>
  <c r="BG186" i="4"/>
  <c r="BH186" i="4"/>
  <c r="BC306" i="4"/>
  <c r="BD306" i="4"/>
  <c r="BI306" i="4"/>
  <c r="BE306" i="4"/>
  <c r="BG306" i="4"/>
  <c r="BH306" i="4"/>
  <c r="BC132" i="4"/>
  <c r="BD132" i="4"/>
  <c r="BI132" i="4"/>
  <c r="BE132" i="4"/>
  <c r="BG132" i="4"/>
  <c r="BH132" i="4"/>
  <c r="BC134" i="4"/>
  <c r="BD134" i="4"/>
  <c r="BI134" i="4"/>
  <c r="BE134" i="4"/>
  <c r="BG134" i="4"/>
  <c r="BH134" i="4"/>
  <c r="BC328" i="4"/>
  <c r="BD328" i="4"/>
  <c r="BI328" i="4"/>
  <c r="BE328" i="4"/>
  <c r="BG328" i="4"/>
  <c r="BH328" i="4"/>
  <c r="BC145" i="4"/>
  <c r="BD145" i="4"/>
  <c r="BE145" i="4"/>
  <c r="BG145" i="4"/>
  <c r="BH145" i="4"/>
  <c r="BI145" i="4"/>
  <c r="BC174" i="4"/>
  <c r="BD174" i="4"/>
  <c r="BE174" i="4"/>
  <c r="BG174" i="4"/>
  <c r="BH174" i="4"/>
  <c r="BI174" i="4"/>
  <c r="BC45" i="4"/>
  <c r="BD45" i="4"/>
  <c r="BE45" i="4"/>
  <c r="BG45" i="4"/>
  <c r="BH45" i="4"/>
  <c r="BI45" i="4"/>
  <c r="BC311" i="4"/>
  <c r="BD311" i="4"/>
  <c r="BE311" i="4"/>
  <c r="BG311" i="4"/>
  <c r="BH311" i="4"/>
  <c r="BI311" i="4"/>
  <c r="BG29" i="4"/>
  <c r="BH29" i="4"/>
  <c r="BI29" i="4"/>
  <c r="BC29" i="4"/>
  <c r="BD29" i="4"/>
  <c r="BE29" i="4"/>
  <c r="BG32" i="4"/>
  <c r="BH32" i="4"/>
  <c r="BI32" i="4"/>
  <c r="BC32" i="4"/>
  <c r="BD32" i="4"/>
  <c r="BE32" i="4"/>
  <c r="BG90" i="4"/>
  <c r="BH90" i="4"/>
  <c r="BI90" i="4"/>
  <c r="BC90" i="4"/>
  <c r="BD90" i="4"/>
  <c r="BE90" i="4"/>
  <c r="BG57" i="4"/>
  <c r="BH57" i="4"/>
  <c r="BI57" i="4"/>
  <c r="BC57" i="4"/>
  <c r="BD57" i="4"/>
  <c r="BE57" i="4"/>
  <c r="BG137" i="4"/>
  <c r="BH137" i="4"/>
  <c r="BI137" i="4"/>
  <c r="BC137" i="4"/>
  <c r="BD137" i="4"/>
  <c r="BE137" i="4"/>
  <c r="BG107" i="4"/>
  <c r="BH107" i="4"/>
  <c r="BI107" i="4"/>
  <c r="BC107" i="4"/>
  <c r="BD107" i="4"/>
  <c r="BE107" i="4"/>
  <c r="BG121" i="4"/>
  <c r="BH121" i="4"/>
  <c r="BI121" i="4"/>
  <c r="BE121" i="4"/>
  <c r="BC121" i="4"/>
  <c r="BG153" i="4"/>
  <c r="BH153" i="4"/>
  <c r="BI153" i="4"/>
  <c r="BD153" i="4"/>
  <c r="BE153" i="4"/>
  <c r="BC153" i="4"/>
  <c r="BG119" i="4"/>
  <c r="BH119" i="4"/>
  <c r="BI119" i="4"/>
  <c r="BC119" i="4"/>
  <c r="BD119" i="4"/>
  <c r="BE119" i="4"/>
  <c r="BD128" i="4"/>
  <c r="BE128" i="4"/>
  <c r="BG128" i="4"/>
  <c r="BH128" i="4"/>
  <c r="BI128" i="4"/>
  <c r="BC128" i="4"/>
  <c r="BD256" i="4"/>
  <c r="BE256" i="4"/>
  <c r="BG256" i="4"/>
  <c r="BH256" i="4"/>
  <c r="BI256" i="4"/>
  <c r="BC256" i="4"/>
  <c r="BD268" i="4"/>
  <c r="BE268" i="4"/>
  <c r="BG268" i="4"/>
  <c r="BH268" i="4"/>
  <c r="BI268" i="4"/>
  <c r="BC268" i="4"/>
  <c r="BD293" i="4"/>
  <c r="BE293" i="4"/>
  <c r="BG293" i="4"/>
  <c r="BH293" i="4"/>
  <c r="BI293" i="4"/>
  <c r="BC293" i="4"/>
  <c r="BD313" i="4"/>
  <c r="BE313" i="4"/>
  <c r="BG313" i="4"/>
  <c r="BH313" i="4"/>
  <c r="BI313" i="4"/>
  <c r="BC313" i="4"/>
  <c r="BD39" i="4"/>
  <c r="BE39" i="4"/>
  <c r="BG39" i="4"/>
  <c r="BH39" i="4"/>
  <c r="BI39" i="4"/>
  <c r="BC39" i="4"/>
  <c r="BD342" i="4"/>
  <c r="BE342" i="4"/>
  <c r="BG342" i="4"/>
  <c r="BH342" i="4"/>
  <c r="BI342" i="4"/>
  <c r="BC342" i="4"/>
  <c r="BD219" i="4"/>
  <c r="BE219" i="4"/>
  <c r="BG219" i="4"/>
  <c r="BC219" i="4"/>
  <c r="BH219" i="4"/>
  <c r="BD284" i="4"/>
  <c r="BE284" i="4"/>
  <c r="BG284" i="4"/>
  <c r="BC284" i="4"/>
  <c r="BH284" i="4"/>
  <c r="BI284" i="4"/>
  <c r="BD275" i="4"/>
  <c r="BE275" i="4"/>
  <c r="BG275" i="4"/>
  <c r="BC275" i="4"/>
  <c r="BH275" i="4"/>
  <c r="BI275" i="4"/>
  <c r="BD222" i="4"/>
  <c r="BE222" i="4"/>
  <c r="BG222" i="4"/>
  <c r="BC222" i="4"/>
  <c r="BH222" i="4"/>
  <c r="BD355" i="4"/>
  <c r="BE355" i="4"/>
  <c r="BG355" i="4"/>
  <c r="BC355" i="4"/>
  <c r="BH355" i="4"/>
  <c r="BI355" i="4"/>
  <c r="BD104" i="4"/>
  <c r="BE104" i="4"/>
  <c r="BC104" i="4"/>
  <c r="BG104" i="4"/>
  <c r="BH104" i="4"/>
  <c r="BG324" i="4"/>
  <c r="BH324" i="4"/>
  <c r="BI324" i="4"/>
  <c r="BD324" i="4"/>
  <c r="BG178" i="4"/>
  <c r="BH178" i="4"/>
  <c r="BI178" i="4"/>
  <c r="BD178" i="4"/>
  <c r="BG288" i="4"/>
  <c r="BH288" i="4"/>
  <c r="BI288" i="4"/>
  <c r="BD288" i="4"/>
  <c r="BG388" i="4"/>
  <c r="BH388" i="4"/>
  <c r="BI388" i="4"/>
  <c r="BG400" i="4"/>
  <c r="BH400" i="4"/>
  <c r="BI400" i="4"/>
  <c r="BG414" i="4"/>
  <c r="BH414" i="4"/>
  <c r="BI414" i="4"/>
  <c r="BI363" i="4"/>
  <c r="BE397" i="4"/>
  <c r="BE326" i="4"/>
  <c r="BI393" i="4"/>
  <c r="BE400" i="4"/>
  <c r="BE352" i="4"/>
  <c r="BE105" i="4"/>
  <c r="BE323" i="4"/>
  <c r="BI357" i="4"/>
  <c r="BH146" i="4"/>
  <c r="BH270" i="4"/>
  <c r="BG147" i="4"/>
  <c r="BC5" i="4"/>
  <c r="BI418" i="4"/>
  <c r="BI416" i="4"/>
  <c r="BI421" i="4"/>
  <c r="BI419" i="4"/>
  <c r="BI417" i="4"/>
  <c r="BH363" i="4"/>
  <c r="BD397" i="4"/>
  <c r="BD326" i="4"/>
  <c r="BH393" i="4"/>
  <c r="BD400" i="4"/>
  <c r="BE383" i="4"/>
  <c r="BC352" i="4"/>
  <c r="BC105" i="4"/>
  <c r="BC323" i="4"/>
  <c r="BI224" i="4"/>
  <c r="BG357" i="4"/>
  <c r="BI277" i="4"/>
  <c r="BC246" i="4"/>
  <c r="BC188" i="4"/>
  <c r="BC211" i="4"/>
  <c r="BC13" i="4"/>
  <c r="BD13" i="4"/>
  <c r="BE13" i="4"/>
  <c r="BG13" i="4"/>
  <c r="BH13" i="4"/>
  <c r="BI13" i="4"/>
  <c r="BC43" i="4"/>
  <c r="BD43" i="4"/>
  <c r="BE43" i="4"/>
  <c r="BG43" i="4"/>
  <c r="BH43" i="4"/>
  <c r="BI43" i="4"/>
  <c r="BC168" i="4"/>
  <c r="BD168" i="4"/>
  <c r="BE168" i="4"/>
  <c r="BG168" i="4"/>
  <c r="BH168" i="4"/>
  <c r="BI168" i="4"/>
  <c r="BC297" i="4"/>
  <c r="BD297" i="4"/>
  <c r="BI297" i="4"/>
  <c r="BE297" i="4"/>
  <c r="BG297" i="4"/>
  <c r="BH297" i="4"/>
  <c r="BE148" i="4"/>
  <c r="BG148" i="4"/>
  <c r="BH148" i="4"/>
  <c r="BI148" i="4"/>
  <c r="BC148" i="4"/>
  <c r="BE344" i="4"/>
  <c r="BG344" i="4"/>
  <c r="BH344" i="4"/>
  <c r="BI344" i="4"/>
  <c r="BC344" i="4"/>
  <c r="BC393" i="4"/>
  <c r="BG35" i="4"/>
  <c r="BH35" i="4"/>
  <c r="BI35" i="4"/>
  <c r="BC35" i="4"/>
  <c r="BD35" i="4"/>
  <c r="BE35" i="4"/>
  <c r="BD321" i="4"/>
  <c r="BE321" i="4"/>
  <c r="BG321" i="4"/>
  <c r="BH321" i="4"/>
  <c r="BI321" i="4"/>
  <c r="BC321" i="4"/>
  <c r="BC11" i="4"/>
  <c r="BD11" i="4"/>
  <c r="BE11" i="4"/>
  <c r="BG11" i="4"/>
  <c r="BH11" i="4"/>
  <c r="BI11" i="4"/>
  <c r="BC139" i="4"/>
  <c r="BD139" i="4"/>
  <c r="BE139" i="4"/>
  <c r="BG139" i="4"/>
  <c r="BH139" i="4"/>
  <c r="BI139" i="4"/>
  <c r="BC255" i="4"/>
  <c r="BD255" i="4"/>
  <c r="BI255" i="4"/>
  <c r="BH255" i="4"/>
  <c r="BE255" i="4"/>
  <c r="BC252" i="4"/>
  <c r="BD252" i="4"/>
  <c r="BI252" i="4"/>
  <c r="BH252" i="4"/>
  <c r="BE252" i="4"/>
  <c r="BC248" i="4"/>
  <c r="BD248" i="4"/>
  <c r="BI248" i="4"/>
  <c r="BH248" i="4"/>
  <c r="BE248" i="4"/>
  <c r="BC202" i="4"/>
  <c r="BD202" i="4"/>
  <c r="BE202" i="4"/>
  <c r="BG202" i="4"/>
  <c r="BH202" i="4"/>
  <c r="BC15" i="4"/>
  <c r="BD15" i="4"/>
  <c r="BE15" i="4"/>
  <c r="BG15" i="4"/>
  <c r="BH15" i="4"/>
  <c r="BI15" i="4"/>
  <c r="BC22" i="4"/>
  <c r="BD22" i="4"/>
  <c r="BE22" i="4"/>
  <c r="BG22" i="4"/>
  <c r="BH22" i="4"/>
  <c r="BI22" i="4"/>
  <c r="BC17" i="4"/>
  <c r="BD17" i="4"/>
  <c r="BE17" i="4"/>
  <c r="BG17" i="4"/>
  <c r="BH17" i="4"/>
  <c r="BI17" i="4"/>
  <c r="BC47" i="4"/>
  <c r="BD47" i="4"/>
  <c r="BE47" i="4"/>
  <c r="BG47" i="4"/>
  <c r="BH47" i="4"/>
  <c r="BI47" i="4"/>
  <c r="BC116" i="4"/>
  <c r="BD116" i="4"/>
  <c r="BE116" i="4"/>
  <c r="BG116" i="4"/>
  <c r="BH116" i="4"/>
  <c r="BI116" i="4"/>
  <c r="BC54" i="4"/>
  <c r="BD54" i="4"/>
  <c r="BE54" i="4"/>
  <c r="BG54" i="4"/>
  <c r="BH54" i="4"/>
  <c r="BI54" i="4"/>
  <c r="BC50" i="4"/>
  <c r="BD50" i="4"/>
  <c r="BE50" i="4"/>
  <c r="BG50" i="4"/>
  <c r="BH50" i="4"/>
  <c r="BI50" i="4"/>
  <c r="BC182" i="4"/>
  <c r="BD182" i="4"/>
  <c r="BE182" i="4"/>
  <c r="BG182" i="4"/>
  <c r="BH182" i="4"/>
  <c r="BI182" i="4"/>
  <c r="BC361" i="4"/>
  <c r="BD361" i="4"/>
  <c r="BG361" i="4"/>
  <c r="BH361" i="4"/>
  <c r="BE361" i="4"/>
  <c r="BI361" i="4"/>
  <c r="BC212" i="4"/>
  <c r="BD212" i="4"/>
  <c r="BI212" i="4"/>
  <c r="BE212" i="4"/>
  <c r="BG212" i="4"/>
  <c r="BH212" i="4"/>
  <c r="BC56" i="4"/>
  <c r="BD56" i="4"/>
  <c r="BI56" i="4"/>
  <c r="BE56" i="4"/>
  <c r="BG56" i="4"/>
  <c r="BH56" i="4"/>
  <c r="BC298" i="4"/>
  <c r="BD298" i="4"/>
  <c r="BI298" i="4"/>
  <c r="BE298" i="4"/>
  <c r="BG298" i="4"/>
  <c r="BH298" i="4"/>
  <c r="BC295" i="4"/>
  <c r="BD295" i="4"/>
  <c r="BI295" i="4"/>
  <c r="BE295" i="4"/>
  <c r="BG295" i="4"/>
  <c r="BH295" i="4"/>
  <c r="BC286" i="4"/>
  <c r="BD286" i="4"/>
  <c r="BI286" i="4"/>
  <c r="BE286" i="4"/>
  <c r="BG286" i="4"/>
  <c r="BH286" i="4"/>
  <c r="BC214" i="4"/>
  <c r="BD214" i="4"/>
  <c r="BI214" i="4"/>
  <c r="BE214" i="4"/>
  <c r="BG214" i="4"/>
  <c r="BH214" i="4"/>
  <c r="BC317" i="4"/>
  <c r="BD317" i="4"/>
  <c r="BI317" i="4"/>
  <c r="BE317" i="4"/>
  <c r="BG317" i="4"/>
  <c r="BH317" i="4"/>
  <c r="BC228" i="4"/>
  <c r="BD228" i="4"/>
  <c r="BI228" i="4"/>
  <c r="BE228" i="4"/>
  <c r="BG228" i="4"/>
  <c r="BH228" i="4"/>
  <c r="BC204" i="4"/>
  <c r="BD204" i="4"/>
  <c r="BI204" i="4"/>
  <c r="BG204" i="4"/>
  <c r="BH204" i="4"/>
  <c r="BE267" i="4"/>
  <c r="BG267" i="4"/>
  <c r="BH267" i="4"/>
  <c r="BI267" i="4"/>
  <c r="BC267" i="4"/>
  <c r="BC75" i="4"/>
  <c r="BD75" i="4"/>
  <c r="BE75" i="4"/>
  <c r="BG75" i="4"/>
  <c r="BH75" i="4"/>
  <c r="BE337" i="4"/>
  <c r="BG337" i="4"/>
  <c r="BH337" i="4"/>
  <c r="BI337" i="4"/>
  <c r="BC337" i="4"/>
  <c r="BE315" i="4"/>
  <c r="BG315" i="4"/>
  <c r="BH315" i="4"/>
  <c r="BI315" i="4"/>
  <c r="BC315" i="4"/>
  <c r="BC304" i="4"/>
  <c r="BD304" i="4"/>
  <c r="BE304" i="4"/>
  <c r="BG304" i="4"/>
  <c r="BH304" i="4"/>
  <c r="BE64" i="4"/>
  <c r="BG64" i="4"/>
  <c r="BH64" i="4"/>
  <c r="BI64" i="4"/>
  <c r="BC64" i="4"/>
  <c r="BE362" i="4"/>
  <c r="BG362" i="4"/>
  <c r="BH362" i="4"/>
  <c r="BI362" i="4"/>
  <c r="BC362" i="4"/>
  <c r="BC258" i="4"/>
  <c r="BD258" i="4"/>
  <c r="BE258" i="4"/>
  <c r="BG258" i="4"/>
  <c r="BH258" i="4"/>
  <c r="BG10" i="4"/>
  <c r="BH10" i="4"/>
  <c r="BI10" i="4"/>
  <c r="BC10" i="4"/>
  <c r="BD10" i="4"/>
  <c r="BE10" i="4"/>
  <c r="BG33" i="4"/>
  <c r="BH33" i="4"/>
  <c r="BI33" i="4"/>
  <c r="BC33" i="4"/>
  <c r="BD33" i="4"/>
  <c r="BE33" i="4"/>
  <c r="BG23" i="4"/>
  <c r="BH23" i="4"/>
  <c r="BI23" i="4"/>
  <c r="BC23" i="4"/>
  <c r="BD23" i="4"/>
  <c r="BE23" i="4"/>
  <c r="BG92" i="4"/>
  <c r="BH92" i="4"/>
  <c r="BI92" i="4"/>
  <c r="BC92" i="4"/>
  <c r="BD92" i="4"/>
  <c r="BE92" i="4"/>
  <c r="BG68" i="4"/>
  <c r="BH68" i="4"/>
  <c r="BI68" i="4"/>
  <c r="BC68" i="4"/>
  <c r="BD68" i="4"/>
  <c r="BE68" i="4"/>
  <c r="BG138" i="4"/>
  <c r="BH138" i="4"/>
  <c r="BI138" i="4"/>
  <c r="BC138" i="4"/>
  <c r="BD138" i="4"/>
  <c r="BE138" i="4"/>
  <c r="BG25" i="4"/>
  <c r="BH25" i="4"/>
  <c r="BI25" i="4"/>
  <c r="BC25" i="4"/>
  <c r="BD25" i="4"/>
  <c r="BE25" i="4"/>
  <c r="BG200" i="4"/>
  <c r="BH200" i="4"/>
  <c r="BI200" i="4"/>
  <c r="BC200" i="4"/>
  <c r="BD200" i="4"/>
  <c r="BE200" i="4"/>
  <c r="BG72" i="4"/>
  <c r="BH72" i="4"/>
  <c r="BI72" i="4"/>
  <c r="BC72" i="4"/>
  <c r="BD72" i="4"/>
  <c r="BE72" i="4"/>
  <c r="BG115" i="4"/>
  <c r="BH115" i="4"/>
  <c r="BI115" i="4"/>
  <c r="BE115" i="4"/>
  <c r="BC115" i="4"/>
  <c r="BD115" i="4"/>
  <c r="BD259" i="4"/>
  <c r="BE259" i="4"/>
  <c r="BG259" i="4"/>
  <c r="BH259" i="4"/>
  <c r="BI259" i="4"/>
  <c r="BD264" i="4"/>
  <c r="BE264" i="4"/>
  <c r="BG264" i="4"/>
  <c r="BH264" i="4"/>
  <c r="BI264" i="4"/>
  <c r="BD273" i="4"/>
  <c r="BE273" i="4"/>
  <c r="BG273" i="4"/>
  <c r="BH273" i="4"/>
  <c r="BI273" i="4"/>
  <c r="BD154" i="4"/>
  <c r="BE154" i="4"/>
  <c r="BG154" i="4"/>
  <c r="BH154" i="4"/>
  <c r="BI154" i="4"/>
  <c r="BD299" i="4"/>
  <c r="BE299" i="4"/>
  <c r="BG299" i="4"/>
  <c r="BH299" i="4"/>
  <c r="BI299" i="4"/>
  <c r="BD296" i="4"/>
  <c r="BE296" i="4"/>
  <c r="BG296" i="4"/>
  <c r="BH296" i="4"/>
  <c r="BI296" i="4"/>
  <c r="BD187" i="4"/>
  <c r="BE187" i="4"/>
  <c r="BG187" i="4"/>
  <c r="BH187" i="4"/>
  <c r="BI187" i="4"/>
  <c r="BD215" i="4"/>
  <c r="BE215" i="4"/>
  <c r="BG215" i="4"/>
  <c r="BH215" i="4"/>
  <c r="BI215" i="4"/>
  <c r="BD173" i="4"/>
  <c r="BE173" i="4"/>
  <c r="BG173" i="4"/>
  <c r="BH173" i="4"/>
  <c r="BI173" i="4"/>
  <c r="BD358" i="4"/>
  <c r="BE358" i="4"/>
  <c r="BG358" i="4"/>
  <c r="BH358" i="4"/>
  <c r="BI358" i="4"/>
  <c r="BD239" i="4"/>
  <c r="BE239" i="4"/>
  <c r="BG239" i="4"/>
  <c r="BH239" i="4"/>
  <c r="BI239" i="4"/>
  <c r="BD257" i="4"/>
  <c r="BE257" i="4"/>
  <c r="BG257" i="4"/>
  <c r="BC257" i="4"/>
  <c r="BH257" i="4"/>
  <c r="BI257" i="4"/>
  <c r="BD367" i="4"/>
  <c r="BE367" i="4"/>
  <c r="BG367" i="4"/>
  <c r="BC367" i="4"/>
  <c r="BH367" i="4"/>
  <c r="BI367" i="4"/>
  <c r="BD220" i="4"/>
  <c r="BE220" i="4"/>
  <c r="BG220" i="4"/>
  <c r="BI220" i="4"/>
  <c r="BC220" i="4"/>
  <c r="BD221" i="4"/>
  <c r="BE221" i="4"/>
  <c r="BG221" i="4"/>
  <c r="BI221" i="4"/>
  <c r="BC221" i="4"/>
  <c r="BD343" i="4"/>
  <c r="BE343" i="4"/>
  <c r="BG343" i="4"/>
  <c r="BC343" i="4"/>
  <c r="BH343" i="4"/>
  <c r="BI343" i="4"/>
  <c r="BD351" i="4"/>
  <c r="BE351" i="4"/>
  <c r="BG351" i="4"/>
  <c r="BI351" i="4"/>
  <c r="BC351" i="4"/>
  <c r="BD340" i="4"/>
  <c r="BE340" i="4"/>
  <c r="BC340" i="4"/>
  <c r="BG340" i="4"/>
  <c r="BH340" i="4"/>
  <c r="BI340" i="4"/>
  <c r="BG305" i="4"/>
  <c r="BH305" i="4"/>
  <c r="BI305" i="4"/>
  <c r="BD305" i="4"/>
  <c r="BG375" i="4"/>
  <c r="BH375" i="4"/>
  <c r="BI375" i="4"/>
  <c r="BG365" i="4"/>
  <c r="BH365" i="4"/>
  <c r="BI365" i="4"/>
  <c r="BG395" i="4"/>
  <c r="BH395" i="4"/>
  <c r="BI395" i="4"/>
  <c r="BD5" i="4"/>
  <c r="BH418" i="4"/>
  <c r="BH416" i="4"/>
  <c r="BH421" i="4"/>
  <c r="BH419" i="4"/>
  <c r="BH417" i="4"/>
  <c r="BG363" i="4"/>
  <c r="BC326" i="4"/>
  <c r="BG393" i="4"/>
  <c r="BC400" i="4"/>
  <c r="BI389" i="4"/>
  <c r="BD365" i="4"/>
  <c r="BD383" i="4"/>
  <c r="BI191" i="4"/>
  <c r="BE288" i="4"/>
  <c r="BI162" i="4"/>
  <c r="BE243" i="4"/>
  <c r="BI226" i="4"/>
  <c r="BG279" i="4"/>
  <c r="BH271" i="4"/>
  <c r="BH262" i="4"/>
  <c r="BH144" i="4"/>
  <c r="BC26" i="4"/>
  <c r="BD26" i="4"/>
  <c r="BE26" i="4"/>
  <c r="BG26" i="4"/>
  <c r="BH26" i="4"/>
  <c r="BI26" i="4"/>
  <c r="BC141" i="4"/>
  <c r="BD141" i="4"/>
  <c r="BE141" i="4"/>
  <c r="BG141" i="4"/>
  <c r="BH141" i="4"/>
  <c r="BI141" i="4"/>
  <c r="BC60" i="4"/>
  <c r="BD60" i="4"/>
  <c r="BG60" i="4"/>
  <c r="BH60" i="4"/>
  <c r="BE60" i="4"/>
  <c r="BI60" i="4"/>
  <c r="BC213" i="4"/>
  <c r="BD213" i="4"/>
  <c r="BI213" i="4"/>
  <c r="BH213" i="4"/>
  <c r="BE213" i="4"/>
  <c r="BC260" i="4"/>
  <c r="BD260" i="4"/>
  <c r="BI260" i="4"/>
  <c r="BH260" i="4"/>
  <c r="BE260" i="4"/>
  <c r="BC231" i="4"/>
  <c r="BD231" i="4"/>
  <c r="BI231" i="4"/>
  <c r="BE231" i="4"/>
  <c r="BG231" i="4"/>
  <c r="BH231" i="4"/>
  <c r="BE189" i="4"/>
  <c r="BG189" i="4"/>
  <c r="BH189" i="4"/>
  <c r="BI189" i="4"/>
  <c r="BC189" i="4"/>
  <c r="BC319" i="4"/>
  <c r="BD319" i="4"/>
  <c r="BE319" i="4"/>
  <c r="BG319" i="4"/>
  <c r="BG418" i="4"/>
  <c r="BG416" i="4"/>
  <c r="BG421" i="4"/>
  <c r="BG419" i="4"/>
  <c r="BG417" i="4"/>
  <c r="BE363" i="4"/>
  <c r="BE354" i="4"/>
  <c r="BE393" i="4"/>
  <c r="BE395" i="4"/>
  <c r="BI384" i="4"/>
  <c r="BC365" i="4"/>
  <c r="BC383" i="4"/>
  <c r="BH191" i="4"/>
  <c r="BC288" i="4"/>
  <c r="BE271" i="4"/>
  <c r="BE144" i="4"/>
  <c r="BC358" i="4"/>
  <c r="BC187" i="4"/>
  <c r="BC154" i="4"/>
  <c r="BC259" i="4"/>
  <c r="BC34" i="4"/>
  <c r="BD34" i="4"/>
  <c r="BE34" i="4"/>
  <c r="BG34" i="4"/>
  <c r="BH34" i="4"/>
  <c r="BI34" i="4"/>
  <c r="BC238" i="4"/>
  <c r="BD238" i="4"/>
  <c r="BI238" i="4"/>
  <c r="BE238" i="4"/>
  <c r="BG238" i="4"/>
  <c r="BH238" i="4"/>
  <c r="BC226" i="4"/>
  <c r="BD226" i="4"/>
  <c r="BE226" i="4"/>
  <c r="BH226" i="4"/>
  <c r="BC389" i="4"/>
  <c r="BE389" i="4"/>
  <c r="BG67" i="4"/>
  <c r="BH67" i="4"/>
  <c r="BI67" i="4"/>
  <c r="BC67" i="4"/>
  <c r="BD67" i="4"/>
  <c r="BE67" i="4"/>
  <c r="BG93" i="4"/>
  <c r="BH93" i="4"/>
  <c r="BI93" i="4"/>
  <c r="BC93" i="4"/>
  <c r="BD93" i="4"/>
  <c r="BE93" i="4"/>
  <c r="BG111" i="4"/>
  <c r="BH111" i="4"/>
  <c r="BI111" i="4"/>
  <c r="BD111" i="4"/>
  <c r="BC111" i="4"/>
  <c r="BE111" i="4"/>
  <c r="BD100" i="4"/>
  <c r="BE100" i="4"/>
  <c r="BG100" i="4"/>
  <c r="BH100" i="4"/>
  <c r="BI100" i="4"/>
  <c r="BC100" i="4"/>
  <c r="BD280" i="4"/>
  <c r="BE280" i="4"/>
  <c r="BG280" i="4"/>
  <c r="BH280" i="4"/>
  <c r="BI280" i="4"/>
  <c r="BC280" i="4"/>
  <c r="BD101" i="4"/>
  <c r="BE101" i="4"/>
  <c r="BG101" i="4"/>
  <c r="BH101" i="4"/>
  <c r="BI101" i="4"/>
  <c r="BC101" i="4"/>
  <c r="BD350" i="4"/>
  <c r="BE350" i="4"/>
  <c r="BG350" i="4"/>
  <c r="BC350" i="4"/>
  <c r="BH350" i="4"/>
  <c r="BI350" i="4"/>
  <c r="BG347" i="4"/>
  <c r="BH347" i="4"/>
  <c r="BI347" i="4"/>
  <c r="BD347" i="4"/>
  <c r="BC62" i="4"/>
  <c r="BD62" i="4"/>
  <c r="BE62" i="4"/>
  <c r="BG62" i="4"/>
  <c r="BH62" i="4"/>
  <c r="BI62" i="4"/>
  <c r="BC83" i="4"/>
  <c r="BD83" i="4"/>
  <c r="BE83" i="4"/>
  <c r="BG83" i="4"/>
  <c r="BH83" i="4"/>
  <c r="BI83" i="4"/>
  <c r="BC249" i="4"/>
  <c r="BD249" i="4"/>
  <c r="BG249" i="4"/>
  <c r="BH249" i="4"/>
  <c r="BE249" i="4"/>
  <c r="BI249" i="4"/>
  <c r="BC61" i="4"/>
  <c r="BD61" i="4"/>
  <c r="BI61" i="4"/>
  <c r="BH61" i="4"/>
  <c r="BE61" i="4"/>
  <c r="BC203" i="4"/>
  <c r="BD203" i="4"/>
  <c r="BI203" i="4"/>
  <c r="BH203" i="4"/>
  <c r="BE203" i="4"/>
  <c r="BE331" i="4"/>
  <c r="BG331" i="4"/>
  <c r="BH331" i="4"/>
  <c r="BI331" i="4"/>
  <c r="BC331" i="4"/>
  <c r="BC16" i="4"/>
  <c r="BD16" i="4"/>
  <c r="BE16" i="4"/>
  <c r="BG16" i="4"/>
  <c r="BH16" i="4"/>
  <c r="BI16" i="4"/>
  <c r="BC65" i="4"/>
  <c r="BD65" i="4"/>
  <c r="BE65" i="4"/>
  <c r="BG65" i="4"/>
  <c r="BH65" i="4"/>
  <c r="BI65" i="4"/>
  <c r="BC124" i="4"/>
  <c r="BD124" i="4"/>
  <c r="BE124" i="4"/>
  <c r="BG124" i="4"/>
  <c r="BH124" i="4"/>
  <c r="BI124" i="4"/>
  <c r="BC171" i="4"/>
  <c r="BD171" i="4"/>
  <c r="BE171" i="4"/>
  <c r="BG171" i="4"/>
  <c r="BH171" i="4"/>
  <c r="BI171" i="4"/>
  <c r="BC82" i="4"/>
  <c r="BD82" i="4"/>
  <c r="BE82" i="4"/>
  <c r="BG82" i="4"/>
  <c r="BH82" i="4"/>
  <c r="BI82" i="4"/>
  <c r="BC40" i="4"/>
  <c r="BD40" i="4"/>
  <c r="BE40" i="4"/>
  <c r="BG40" i="4"/>
  <c r="BH40" i="4"/>
  <c r="BI40" i="4"/>
  <c r="BC133" i="4"/>
  <c r="BD133" i="4"/>
  <c r="BG133" i="4"/>
  <c r="BH133" i="4"/>
  <c r="BI133" i="4"/>
  <c r="BE133" i="4"/>
  <c r="BC289" i="4"/>
  <c r="BD289" i="4"/>
  <c r="BG289" i="4"/>
  <c r="BH289" i="4"/>
  <c r="BE289" i="4"/>
  <c r="BI289" i="4"/>
  <c r="BC209" i="4"/>
  <c r="BD209" i="4"/>
  <c r="BG209" i="4"/>
  <c r="BH209" i="4"/>
  <c r="BE209" i="4"/>
  <c r="BI209" i="4"/>
  <c r="BC143" i="4"/>
  <c r="BD143" i="4"/>
  <c r="BI143" i="4"/>
  <c r="BH143" i="4"/>
  <c r="BE143" i="4"/>
  <c r="BC78" i="4"/>
  <c r="BD78" i="4"/>
  <c r="BI78" i="4"/>
  <c r="BH78" i="4"/>
  <c r="BE78" i="4"/>
  <c r="BC192" i="4"/>
  <c r="BD192" i="4"/>
  <c r="BI192" i="4"/>
  <c r="BH192" i="4"/>
  <c r="BE192" i="4"/>
  <c r="BC336" i="4"/>
  <c r="BD336" i="4"/>
  <c r="BI336" i="4"/>
  <c r="BH336" i="4"/>
  <c r="BE336" i="4"/>
  <c r="BC73" i="4"/>
  <c r="BD73" i="4"/>
  <c r="BI73" i="4"/>
  <c r="BH73" i="4"/>
  <c r="BE73" i="4"/>
  <c r="BC217" i="4"/>
  <c r="BD217" i="4"/>
  <c r="BI217" i="4"/>
  <c r="BH217" i="4"/>
  <c r="BE217" i="4"/>
  <c r="BC218" i="4"/>
  <c r="BD218" i="4"/>
  <c r="BI218" i="4"/>
  <c r="BH218" i="4"/>
  <c r="BE218" i="4"/>
  <c r="BC240" i="4"/>
  <c r="BD240" i="4"/>
  <c r="BI240" i="4"/>
  <c r="BE240" i="4"/>
  <c r="BG240" i="4"/>
  <c r="BH240" i="4"/>
  <c r="BI194" i="4"/>
  <c r="BC194" i="4"/>
  <c r="BD194" i="4"/>
  <c r="BG194" i="4"/>
  <c r="BI262" i="4"/>
  <c r="BC262" i="4"/>
  <c r="BD262" i="4"/>
  <c r="BG262" i="4"/>
  <c r="BI110" i="4"/>
  <c r="BC110" i="4"/>
  <c r="BD110" i="4"/>
  <c r="BG110" i="4"/>
  <c r="BC177" i="4"/>
  <c r="BD177" i="4"/>
  <c r="BE177" i="4"/>
  <c r="BG177" i="4"/>
  <c r="BH177" i="4"/>
  <c r="BI177" i="4"/>
  <c r="BH279" i="4"/>
  <c r="BI279" i="4"/>
  <c r="BC279" i="4"/>
  <c r="BE279" i="4"/>
  <c r="BH349" i="4"/>
  <c r="BI349" i="4"/>
  <c r="BC349" i="4"/>
  <c r="BE349" i="4"/>
  <c r="BC376" i="4"/>
  <c r="BD376" i="4"/>
  <c r="BE376" i="4"/>
  <c r="BG376" i="4"/>
  <c r="BC360" i="4"/>
  <c r="BE360" i="4"/>
  <c r="BG4" i="4"/>
  <c r="BH4" i="4"/>
  <c r="BI4" i="4"/>
  <c r="BC4" i="4"/>
  <c r="BD4" i="4"/>
  <c r="BE4" i="4"/>
  <c r="BG21" i="4"/>
  <c r="BH21" i="4"/>
  <c r="BI21" i="4"/>
  <c r="BC21" i="4"/>
  <c r="BD21" i="4"/>
  <c r="BE21" i="4"/>
  <c r="BG55" i="4"/>
  <c r="BH55" i="4"/>
  <c r="BI55" i="4"/>
  <c r="BC55" i="4"/>
  <c r="BD55" i="4"/>
  <c r="BE55" i="4"/>
  <c r="BG66" i="4"/>
  <c r="BH66" i="4"/>
  <c r="BI66" i="4"/>
  <c r="BC66" i="4"/>
  <c r="BD66" i="4"/>
  <c r="BE66" i="4"/>
  <c r="BG89" i="4"/>
  <c r="BH89" i="4"/>
  <c r="BI89" i="4"/>
  <c r="BC89" i="4"/>
  <c r="BD89" i="4"/>
  <c r="BG126" i="4"/>
  <c r="BH126" i="4"/>
  <c r="BI126" i="4"/>
  <c r="BC126" i="4"/>
  <c r="BD126" i="4"/>
  <c r="BE126" i="4"/>
  <c r="BG77" i="4"/>
  <c r="BH77" i="4"/>
  <c r="BI77" i="4"/>
  <c r="BC77" i="4"/>
  <c r="BD77" i="4"/>
  <c r="BE77" i="4"/>
  <c r="BG86" i="4"/>
  <c r="BH86" i="4"/>
  <c r="BI86" i="4"/>
  <c r="BC86" i="4"/>
  <c r="BD86" i="4"/>
  <c r="BE86" i="4"/>
  <c r="BG106" i="4"/>
  <c r="BH106" i="4"/>
  <c r="BI106" i="4"/>
  <c r="BE106" i="4"/>
  <c r="BC106" i="4"/>
  <c r="BD106" i="4"/>
  <c r="BG120" i="4"/>
  <c r="BH120" i="4"/>
  <c r="BI120" i="4"/>
  <c r="BC120" i="4"/>
  <c r="BD120" i="4"/>
  <c r="BE120" i="4"/>
  <c r="BD112" i="4"/>
  <c r="BE112" i="4"/>
  <c r="BG112" i="4"/>
  <c r="BH112" i="4"/>
  <c r="BI112" i="4"/>
  <c r="BC112" i="4"/>
  <c r="BD88" i="4"/>
  <c r="BE88" i="4"/>
  <c r="BG88" i="4"/>
  <c r="BH88" i="4"/>
  <c r="BI88" i="4"/>
  <c r="BC88" i="4"/>
  <c r="BD320" i="4"/>
  <c r="BE320" i="4"/>
  <c r="BG320" i="4"/>
  <c r="BH320" i="4"/>
  <c r="BI320" i="4"/>
  <c r="BC320" i="4"/>
  <c r="BD151" i="4"/>
  <c r="BE151" i="4"/>
  <c r="BG151" i="4"/>
  <c r="BH151" i="4"/>
  <c r="BI151" i="4"/>
  <c r="BC151" i="4"/>
  <c r="BD266" i="4"/>
  <c r="BE266" i="4"/>
  <c r="BG266" i="4"/>
  <c r="BH266" i="4"/>
  <c r="BI266" i="4"/>
  <c r="BC266" i="4"/>
  <c r="BD102" i="4"/>
  <c r="BE102" i="4"/>
  <c r="BG102" i="4"/>
  <c r="BH102" i="4"/>
  <c r="BI102" i="4"/>
  <c r="BC102" i="4"/>
  <c r="BD322" i="4"/>
  <c r="BE322" i="4"/>
  <c r="BG322" i="4"/>
  <c r="BH322" i="4"/>
  <c r="BC322" i="4"/>
  <c r="BI322" i="4"/>
  <c r="BD381" i="4"/>
  <c r="BE381" i="4"/>
  <c r="BG381" i="4"/>
  <c r="BC381" i="4"/>
  <c r="BI381" i="4"/>
  <c r="BD269" i="4"/>
  <c r="BE269" i="4"/>
  <c r="BG269" i="4"/>
  <c r="BC269" i="4"/>
  <c r="BH269" i="4"/>
  <c r="BI269" i="4"/>
  <c r="BD263" i="4"/>
  <c r="BE263" i="4"/>
  <c r="BC263" i="4"/>
  <c r="BG263" i="4"/>
  <c r="BH263" i="4"/>
  <c r="BI263" i="4"/>
  <c r="BD223" i="4"/>
  <c r="BE223" i="4"/>
  <c r="BC223" i="4"/>
  <c r="BG223" i="4"/>
  <c r="BH223" i="4"/>
  <c r="BI223" i="4"/>
  <c r="BG160" i="4"/>
  <c r="BH160" i="4"/>
  <c r="BI160" i="4"/>
  <c r="BD160" i="4"/>
  <c r="BG377" i="4"/>
  <c r="BH377" i="4"/>
  <c r="BI377" i="4"/>
  <c r="BG379" i="4"/>
  <c r="BH379" i="4"/>
  <c r="BI379" i="4"/>
  <c r="BG407" i="4"/>
  <c r="BH407" i="4"/>
  <c r="BI407" i="4"/>
  <c r="BG5" i="4"/>
  <c r="BD354" i="4"/>
  <c r="BD395" i="4"/>
  <c r="BE244" i="4"/>
  <c r="BG389" i="4"/>
  <c r="BI319" i="4"/>
  <c r="BE377" i="4"/>
  <c r="BI318" i="4"/>
  <c r="BC160" i="4"/>
  <c r="BE347" i="4"/>
  <c r="BD64" i="4"/>
  <c r="BD331" i="4"/>
  <c r="BD165" i="4"/>
  <c r="BD337" i="4"/>
  <c r="BD233" i="4"/>
  <c r="BG254" i="4"/>
  <c r="BG260" i="4"/>
  <c r="BG84" i="4"/>
  <c r="BG255" i="4"/>
  <c r="X53" i="4"/>
  <c r="AB53" i="4" s="1"/>
  <c r="X124" i="4"/>
  <c r="AB124" i="4" s="1"/>
  <c r="L13" i="4"/>
  <c r="M13" i="4" s="1"/>
  <c r="L32" i="4"/>
  <c r="M32" i="4" s="1"/>
  <c r="L34" i="4"/>
  <c r="M34" i="4" s="1"/>
  <c r="L62" i="4"/>
  <c r="M62" i="4" s="1"/>
  <c r="L90" i="4"/>
  <c r="M90" i="4" s="1"/>
  <c r="L65" i="4"/>
  <c r="M65" i="4" s="1"/>
  <c r="L57" i="4"/>
  <c r="M57" i="4" s="1"/>
  <c r="X126" i="4"/>
  <c r="AB126" i="4" s="1"/>
  <c r="X43" i="4"/>
  <c r="AB43" i="4" s="1"/>
  <c r="X232" i="4"/>
  <c r="AB232" i="4" s="1"/>
  <c r="X49" i="4"/>
  <c r="AB49" i="4" s="1"/>
  <c r="X157" i="4"/>
  <c r="AB157" i="4" s="1"/>
  <c r="X69" i="4"/>
  <c r="AB69" i="4" s="1"/>
  <c r="X130" i="4"/>
  <c r="AB130" i="4" s="1"/>
  <c r="X136" i="4"/>
  <c r="AB136" i="4" s="1"/>
  <c r="X137" i="4"/>
  <c r="AB137" i="4" s="1"/>
  <c r="X54" i="4"/>
  <c r="AB54" i="4" s="1"/>
  <c r="X138" i="4"/>
  <c r="AB138" i="4" s="1"/>
  <c r="X59" i="4"/>
  <c r="AB59" i="4" s="1"/>
  <c r="X127" i="4"/>
  <c r="AB127" i="4" s="1"/>
  <c r="X179" i="4"/>
  <c r="AB179" i="4" s="1"/>
  <c r="X107" i="4"/>
  <c r="AB107" i="4" s="1"/>
  <c r="X82" i="4"/>
  <c r="AB82" i="4" s="1"/>
  <c r="X50" i="4"/>
  <c r="AB50" i="4" s="1"/>
  <c r="X25" i="4"/>
  <c r="AB25" i="4" s="1"/>
  <c r="X171" i="4"/>
  <c r="AB171" i="4" s="1"/>
  <c r="X86" i="4"/>
  <c r="AB86" i="4" s="1"/>
  <c r="X125" i="4"/>
  <c r="AB125" i="4" s="1"/>
  <c r="X77" i="4"/>
  <c r="AB77" i="4" s="1"/>
  <c r="X70" i="4"/>
  <c r="AB70" i="4" s="1"/>
  <c r="X93" i="4"/>
  <c r="AB93" i="4" s="1"/>
  <c r="X166" i="4"/>
  <c r="AB166" i="4" s="1"/>
  <c r="X139" i="4"/>
  <c r="AB139" i="4" s="1"/>
  <c r="X79" i="4"/>
  <c r="AB79" i="4" s="1"/>
  <c r="X83" i="4"/>
  <c r="AB83" i="4" s="1"/>
  <c r="X167" i="4"/>
  <c r="AB167" i="4" s="1"/>
  <c r="X121" i="4"/>
  <c r="AB121" i="4" s="1"/>
  <c r="X182" i="4"/>
  <c r="AB182" i="4" s="1"/>
  <c r="X200" i="4"/>
  <c r="AB200" i="4" s="1"/>
  <c r="X40" i="4"/>
  <c r="AB40" i="4" s="1"/>
  <c r="X111" i="4"/>
  <c r="AB111" i="4" s="1"/>
  <c r="X196" i="4"/>
  <c r="AB196" i="4" s="1"/>
  <c r="X236" i="4"/>
  <c r="AB236" i="4" s="1"/>
  <c r="X60" i="4"/>
  <c r="AB60" i="4" s="1"/>
  <c r="X108" i="4"/>
  <c r="AB108" i="4" s="1"/>
  <c r="X153" i="4"/>
  <c r="AB153" i="4" s="1"/>
  <c r="X361" i="4"/>
  <c r="X289" i="4"/>
  <c r="AB289" i="4" s="1"/>
  <c r="X72" i="4"/>
  <c r="AB72" i="4" s="1"/>
  <c r="X109" i="4"/>
  <c r="AB109" i="4" s="1"/>
  <c r="X133" i="4"/>
  <c r="AB133" i="4" s="1"/>
  <c r="X250" i="4"/>
  <c r="AB250" i="4" s="1"/>
  <c r="X117" i="4"/>
  <c r="AB117" i="4" s="1"/>
  <c r="X251" i="4"/>
  <c r="AB251" i="4" s="1"/>
  <c r="X249" i="4"/>
  <c r="AB249" i="4" s="1"/>
  <c r="X118" i="4"/>
  <c r="AB118" i="4" s="1"/>
  <c r="X119" i="4"/>
  <c r="AB119" i="4" s="1"/>
  <c r="X115" i="4"/>
  <c r="AB115" i="4" s="1"/>
  <c r="X209" i="4"/>
  <c r="AB209" i="4" s="1"/>
  <c r="X120" i="4"/>
  <c r="AB120" i="4" s="1"/>
  <c r="X227" i="4"/>
  <c r="AB227" i="4" s="1"/>
  <c r="X253" i="4"/>
  <c r="AB253" i="4" s="1"/>
  <c r="X204" i="4"/>
  <c r="AB204" i="4" s="1"/>
  <c r="X257" i="4"/>
  <c r="AB257" i="4" s="1"/>
  <c r="X240" i="4"/>
  <c r="AB240" i="4" s="1"/>
  <c r="X381" i="4"/>
  <c r="X144" i="4"/>
  <c r="AB144" i="4" s="1"/>
  <c r="X135" i="4"/>
  <c r="AB135" i="4" s="1"/>
  <c r="X113" i="4"/>
  <c r="AB113" i="4" s="1"/>
  <c r="X247" i="4"/>
  <c r="AB247" i="4" s="1"/>
  <c r="X270" i="4"/>
  <c r="AB270" i="4" s="1"/>
  <c r="X219" i="4"/>
  <c r="AB219" i="4" s="1"/>
  <c r="X233" i="4"/>
  <c r="AB233" i="4" s="1"/>
  <c r="X267" i="4"/>
  <c r="AB267" i="4" s="1"/>
  <c r="X85" i="4"/>
  <c r="AB85" i="4" s="1"/>
  <c r="X367" i="4"/>
  <c r="X194" i="4"/>
  <c r="AB194" i="4" s="1"/>
  <c r="X269" i="4"/>
  <c r="AB269" i="4" s="1"/>
  <c r="X284" i="4"/>
  <c r="AB284" i="4" s="1"/>
  <c r="X337" i="4"/>
  <c r="AB337" i="4" s="1"/>
  <c r="X75" i="4"/>
  <c r="AB75" i="4" s="1"/>
  <c r="X220" i="4"/>
  <c r="AB220" i="4" s="1"/>
  <c r="X262" i="4"/>
  <c r="AB262" i="4" s="1"/>
  <c r="X148" i="4"/>
  <c r="AB148" i="4" s="1"/>
  <c r="X76" i="4"/>
  <c r="AB76" i="4" s="1"/>
  <c r="X201" i="4"/>
  <c r="AB201" i="4" s="1"/>
  <c r="X202" i="4"/>
  <c r="AB202" i="4" s="1"/>
  <c r="X274" i="4"/>
  <c r="AB274" i="4" s="1"/>
  <c r="X195" i="4"/>
  <c r="AB195" i="4" s="1"/>
  <c r="X309" i="4"/>
  <c r="AB309" i="4" s="1"/>
  <c r="X189" i="4"/>
  <c r="AB189" i="4" s="1"/>
  <c r="X174" i="4"/>
  <c r="AB174" i="4" s="1"/>
  <c r="X343" i="4"/>
  <c r="AB343" i="4" s="1"/>
  <c r="X339" i="4"/>
  <c r="AB339" i="4" s="1"/>
  <c r="X275" i="4"/>
  <c r="AB275" i="4" s="1"/>
  <c r="X110" i="4"/>
  <c r="AB110" i="4" s="1"/>
  <c r="X221" i="4"/>
  <c r="AB221" i="4" s="1"/>
  <c r="X241" i="4"/>
  <c r="AB241" i="4" s="1"/>
  <c r="X165" i="4"/>
  <c r="AB165" i="4" s="1"/>
  <c r="X271" i="4"/>
  <c r="AB271" i="4" s="1"/>
  <c r="X242" i="4"/>
  <c r="AB242" i="4" s="1"/>
  <c r="X277" i="4"/>
  <c r="AB277" i="4" s="1"/>
  <c r="X146" i="4"/>
  <c r="AB146" i="4" s="1"/>
  <c r="X45" i="4"/>
  <c r="AB45" i="4" s="1"/>
  <c r="X222" i="4"/>
  <c r="AB222" i="4" s="1"/>
  <c r="X331" i="4"/>
  <c r="AB331" i="4" s="1"/>
  <c r="X315" i="4"/>
  <c r="AB315" i="4" s="1"/>
  <c r="X290" i="4"/>
  <c r="AB290" i="4" s="1"/>
  <c r="X355" i="4"/>
  <c r="X304" i="4"/>
  <c r="AB304" i="4" s="1"/>
  <c r="X285" i="4"/>
  <c r="AB285" i="4" s="1"/>
  <c r="X351" i="4"/>
  <c r="X129" i="4"/>
  <c r="AB129" i="4" s="1"/>
  <c r="X177" i="4"/>
  <c r="AB177" i="4" s="1"/>
  <c r="X64" i="4"/>
  <c r="AB64" i="4" s="1"/>
  <c r="X279" i="4"/>
  <c r="AB279" i="4" s="1"/>
  <c r="X344" i="4"/>
  <c r="AB344" i="4" s="1"/>
  <c r="X350" i="4"/>
  <c r="X263" i="4"/>
  <c r="AB263" i="4" s="1"/>
  <c r="X356" i="4"/>
  <c r="X373" i="4"/>
  <c r="X175" i="4"/>
  <c r="AB175" i="4" s="1"/>
  <c r="X311" i="4"/>
  <c r="AB311" i="4" s="1"/>
  <c r="X340" i="4"/>
  <c r="AB340" i="4" s="1"/>
  <c r="X362" i="4"/>
  <c r="X349" i="4"/>
  <c r="X223" i="4"/>
  <c r="AB223" i="4" s="1"/>
  <c r="X226" i="4"/>
  <c r="AB226" i="4" s="1"/>
  <c r="X243" i="4"/>
  <c r="AB243" i="4" s="1"/>
  <c r="X224" i="4"/>
  <c r="AB224" i="4" s="1"/>
  <c r="X323" i="4"/>
  <c r="AB323" i="4" s="1"/>
  <c r="X324" i="4"/>
  <c r="AB324" i="4" s="1"/>
  <c r="X103" i="4"/>
  <c r="AB103" i="4" s="1"/>
  <c r="X104" i="4"/>
  <c r="AB104" i="4" s="1"/>
  <c r="X347" i="4"/>
  <c r="X305" i="4"/>
  <c r="AB305" i="4" s="1"/>
  <c r="X105" i="4"/>
  <c r="AB105" i="4" s="1"/>
  <c r="X160" i="4"/>
  <c r="AB160" i="4" s="1"/>
  <c r="X178" i="4"/>
  <c r="AB178" i="4" s="1"/>
  <c r="X258" i="4"/>
  <c r="AB258" i="4" s="1"/>
  <c r="X162" i="4"/>
  <c r="AB162" i="4" s="1"/>
  <c r="X375" i="4"/>
  <c r="X376" i="4"/>
  <c r="X352" i="4"/>
  <c r="X353" i="4"/>
  <c r="X377" i="4"/>
  <c r="X191" i="4"/>
  <c r="AB191" i="4" s="1"/>
  <c r="X318" i="4"/>
  <c r="AB318" i="4" s="1"/>
  <c r="X123" i="4"/>
  <c r="AB123" i="4" s="1"/>
  <c r="X288" i="4"/>
  <c r="AB288" i="4" s="1"/>
  <c r="X388" i="4"/>
  <c r="X365" i="4"/>
  <c r="X360" i="4"/>
  <c r="X379" i="4"/>
  <c r="X389" i="4"/>
  <c r="X319" i="4"/>
  <c r="AB319" i="4" s="1"/>
  <c r="X383" i="4"/>
  <c r="X261" i="4"/>
  <c r="AB261" i="4" s="1"/>
  <c r="X128" i="4"/>
  <c r="AB128" i="4" s="1"/>
  <c r="X210" i="4"/>
  <c r="AB210" i="4" s="1"/>
  <c r="X255" i="4"/>
  <c r="AB255" i="4" s="1"/>
  <c r="X259" i="4"/>
  <c r="AB259" i="4" s="1"/>
  <c r="X112" i="4"/>
  <c r="AB112" i="4" s="1"/>
  <c r="X99" i="4"/>
  <c r="AB99" i="4" s="1"/>
  <c r="X280" i="4"/>
  <c r="AB280" i="4" s="1"/>
  <c r="X100" i="4"/>
  <c r="AB100" i="4" s="1"/>
  <c r="X237" i="4"/>
  <c r="AB237" i="4" s="1"/>
  <c r="X142" i="4"/>
  <c r="AB142" i="4" s="1"/>
  <c r="X211" i="4"/>
  <c r="AB211" i="4" s="1"/>
  <c r="X164" i="4"/>
  <c r="AB164" i="4" s="1"/>
  <c r="X147" i="4"/>
  <c r="AB147" i="4" s="1"/>
  <c r="X84" i="4"/>
  <c r="AB84" i="4" s="1"/>
  <c r="X149" i="4"/>
  <c r="AB149" i="4" s="1"/>
  <c r="X272" i="4"/>
  <c r="AB272" i="4" s="1"/>
  <c r="X256" i="4"/>
  <c r="AB256" i="4" s="1"/>
  <c r="X212" i="4"/>
  <c r="AB212" i="4" s="1"/>
  <c r="X264" i="4"/>
  <c r="AB264" i="4" s="1"/>
  <c r="X150" i="4"/>
  <c r="AB150" i="4" s="1"/>
  <c r="X154" i="4"/>
  <c r="AB154" i="4" s="1"/>
  <c r="X265" i="4"/>
  <c r="AB265" i="4" s="1"/>
  <c r="X199" i="4"/>
  <c r="AB199" i="4" s="1"/>
  <c r="X213" i="4"/>
  <c r="AB213" i="4" s="1"/>
  <c r="X329" i="4"/>
  <c r="AB329" i="4" s="1"/>
  <c r="X20" i="4"/>
  <c r="AB20" i="4" s="1"/>
  <c r="X268" i="4"/>
  <c r="AB268" i="4" s="1"/>
  <c r="X56" i="4"/>
  <c r="AB56" i="4" s="1"/>
  <c r="X198" i="4"/>
  <c r="AB198" i="4" s="1"/>
  <c r="X273" i="4"/>
  <c r="AB273" i="4" s="1"/>
  <c r="X143" i="4"/>
  <c r="AB143" i="4" s="1"/>
  <c r="X61" i="4"/>
  <c r="AB61" i="4" s="1"/>
  <c r="X314" i="4"/>
  <c r="AB314" i="4" s="1"/>
  <c r="X183" i="4"/>
  <c r="AB183" i="4" s="1"/>
  <c r="X298" i="4"/>
  <c r="AB298" i="4" s="1"/>
  <c r="X192" i="4"/>
  <c r="AB192" i="4" s="1"/>
  <c r="X299" i="4"/>
  <c r="AB299" i="4" s="1"/>
  <c r="X78" i="4"/>
  <c r="AB78" i="4" s="1"/>
  <c r="X88" i="4"/>
  <c r="AB88" i="4" s="1"/>
  <c r="X320" i="4"/>
  <c r="AB320" i="4" s="1"/>
  <c r="X170" i="4"/>
  <c r="AB170" i="4" s="1"/>
  <c r="X300" i="4"/>
  <c r="AB300" i="4" s="1"/>
  <c r="X184" i="4"/>
  <c r="AB184" i="4" s="1"/>
  <c r="X193" i="4"/>
  <c r="AB193" i="4" s="1"/>
  <c r="X294" i="4"/>
  <c r="AB294" i="4" s="1"/>
  <c r="X185" i="4"/>
  <c r="AB185" i="4" s="1"/>
  <c r="X301" i="4"/>
  <c r="AB301" i="4" s="1"/>
  <c r="X260" i="4"/>
  <c r="AB260" i="4" s="1"/>
  <c r="X307" i="4"/>
  <c r="AB307" i="4" s="1"/>
  <c r="X186" i="4"/>
  <c r="AB186" i="4" s="1"/>
  <c r="X252" i="4"/>
  <c r="AB252" i="4" s="1"/>
  <c r="X286" i="4"/>
  <c r="AB286" i="4" s="1"/>
  <c r="X291" i="4"/>
  <c r="AB291" i="4" s="1"/>
  <c r="X187" i="4"/>
  <c r="AB187" i="4" s="1"/>
  <c r="X336" i="4"/>
  <c r="AB336" i="4" s="1"/>
  <c r="X238" i="4"/>
  <c r="AB238" i="4" s="1"/>
  <c r="X321" i="4"/>
  <c r="AB321" i="4" s="1"/>
  <c r="X188" i="4"/>
  <c r="AB188" i="4" s="1"/>
  <c r="X306" i="4"/>
  <c r="AB306" i="4" s="1"/>
  <c r="X176" i="4"/>
  <c r="AB176" i="4" s="1"/>
  <c r="X293" i="4"/>
  <c r="AB293" i="4" s="1"/>
  <c r="X295" i="4"/>
  <c r="AB295" i="4" s="1"/>
  <c r="X296" i="4"/>
  <c r="AB296" i="4" s="1"/>
  <c r="X214" i="4"/>
  <c r="AB214" i="4" s="1"/>
  <c r="X215" i="4"/>
  <c r="AB215" i="4" s="1"/>
  <c r="X73" i="4"/>
  <c r="AB73" i="4" s="1"/>
  <c r="X151" i="4"/>
  <c r="AB151" i="4" s="1"/>
  <c r="X316" i="4"/>
  <c r="AB316" i="4" s="1"/>
  <c r="X101" i="4"/>
  <c r="AB101" i="4" s="1"/>
  <c r="X216" i="4"/>
  <c r="AB216" i="4" s="1"/>
  <c r="X248" i="4"/>
  <c r="AB248" i="4" s="1"/>
  <c r="X203" i="4"/>
  <c r="AB203" i="4" s="1"/>
  <c r="X308" i="4"/>
  <c r="AB308" i="4" s="1"/>
  <c r="X132" i="4"/>
  <c r="AB132" i="4" s="1"/>
  <c r="X313" i="4"/>
  <c r="AB313" i="4" s="1"/>
  <c r="X173" i="4"/>
  <c r="AB173" i="4" s="1"/>
  <c r="X217" i="4"/>
  <c r="AB217" i="4" s="1"/>
  <c r="X266" i="4"/>
  <c r="AB266" i="4" s="1"/>
  <c r="X328" i="4"/>
  <c r="AB328" i="4" s="1"/>
  <c r="X342" i="4"/>
  <c r="AB342" i="4" s="1"/>
  <c r="X292" i="4"/>
  <c r="AB292" i="4" s="1"/>
  <c r="X44" i="4"/>
  <c r="AB44" i="4" s="1"/>
  <c r="X228" i="4"/>
  <c r="AB228" i="4" s="1"/>
  <c r="X239" i="4"/>
  <c r="AB239" i="4" s="1"/>
  <c r="X322" i="4"/>
  <c r="AB322" i="4" s="1"/>
  <c r="X254" i="4"/>
  <c r="AB254" i="4" s="1"/>
  <c r="X134" i="4"/>
  <c r="AB134" i="4" s="1"/>
  <c r="X39" i="4"/>
  <c r="AB39" i="4" s="1"/>
  <c r="X317" i="4"/>
  <c r="AB317" i="4" s="1"/>
  <c r="X357" i="4"/>
  <c r="X218" i="4"/>
  <c r="AB218" i="4" s="1"/>
  <c r="X102" i="4"/>
  <c r="AB102" i="4" s="1"/>
  <c r="X297" i="4"/>
  <c r="AB297" i="4" s="1"/>
  <c r="X231" i="4"/>
  <c r="AB231" i="4" s="1"/>
  <c r="X225" i="4"/>
  <c r="AB225" i="4" s="1"/>
  <c r="X302" i="4"/>
  <c r="AB302" i="4" s="1"/>
  <c r="X205" i="4"/>
  <c r="AB205" i="4" s="1"/>
  <c r="X354" i="4"/>
  <c r="X244" i="4"/>
  <c r="AB244" i="4" s="1"/>
  <c r="X400" i="4"/>
  <c r="X384" i="4"/>
  <c r="X326" i="4"/>
  <c r="AB326" i="4" s="1"/>
  <c r="BF225" i="4" l="1"/>
  <c r="BF77" i="4"/>
  <c r="BF106" i="4"/>
  <c r="P106" i="4" s="1"/>
  <c r="BT106" i="4" s="1"/>
  <c r="BF124" i="4"/>
  <c r="HO77" i="4"/>
  <c r="HQ124" i="4"/>
  <c r="HS225" i="4"/>
  <c r="HS306" i="4"/>
  <c r="BF353" i="4"/>
  <c r="HQ306" i="4"/>
  <c r="HO306" i="4"/>
  <c r="HK353" i="4"/>
  <c r="C106" i="4"/>
  <c r="HO314" i="4"/>
  <c r="HI353" i="4"/>
  <c r="HK106" i="4"/>
  <c r="HM314" i="4"/>
  <c r="HM353" i="4"/>
  <c r="HS353" i="4"/>
  <c r="H106" i="4"/>
  <c r="HI314" i="4"/>
  <c r="HQ106" i="4"/>
  <c r="HO106" i="4"/>
  <c r="BP106" i="4"/>
  <c r="BF86" i="4"/>
  <c r="HO355" i="4"/>
  <c r="C355" i="4"/>
  <c r="HQ328" i="4"/>
  <c r="Y430" i="4"/>
  <c r="HO86" i="4"/>
  <c r="Z427" i="4"/>
  <c r="BO422" i="4"/>
  <c r="Y425" i="4"/>
  <c r="Y427" i="4"/>
  <c r="Y426" i="4"/>
  <c r="Z430" i="4"/>
  <c r="BO414" i="4"/>
  <c r="Z426" i="4"/>
  <c r="Z425" i="4"/>
  <c r="BQ420" i="4"/>
  <c r="BO418" i="4"/>
  <c r="BF322" i="4"/>
  <c r="BQ416" i="4"/>
  <c r="BQ415" i="4"/>
  <c r="BO417" i="4"/>
  <c r="HQ361" i="4"/>
  <c r="HI421" i="4"/>
  <c r="HM421" i="4"/>
  <c r="HO421" i="4"/>
  <c r="HQ421" i="4"/>
  <c r="HS421" i="4"/>
  <c r="BP419" i="4"/>
  <c r="P420" i="4"/>
  <c r="BS420" i="4" s="1"/>
  <c r="N420" i="4"/>
  <c r="H421" i="4"/>
  <c r="BP421" i="4"/>
  <c r="BO421" i="4"/>
  <c r="BQ421" i="4"/>
  <c r="HI367" i="4"/>
  <c r="HQ367" i="4"/>
  <c r="BQ411" i="4"/>
  <c r="HS357" i="4"/>
  <c r="C357" i="4"/>
  <c r="HI357" i="4"/>
  <c r="HM357" i="4"/>
  <c r="BF357" i="4"/>
  <c r="HO350" i="4"/>
  <c r="BQ412" i="4"/>
  <c r="HK373" i="4"/>
  <c r="HI373" i="4"/>
  <c r="BF350" i="4"/>
  <c r="AW350" i="4" s="1"/>
  <c r="HO373" i="4"/>
  <c r="HS373" i="4"/>
  <c r="C373" i="4"/>
  <c r="HM373" i="4"/>
  <c r="BO410" i="4"/>
  <c r="BO408" i="4"/>
  <c r="BF339" i="4"/>
  <c r="BP413" i="4"/>
  <c r="HI350" i="4"/>
  <c r="BO405" i="4"/>
  <c r="BQ409" i="4"/>
  <c r="M412" i="4"/>
  <c r="BU412" i="4"/>
  <c r="BT412" i="4"/>
  <c r="BS412" i="4"/>
  <c r="BQ374" i="4"/>
  <c r="BO385" i="4"/>
  <c r="BQ403" i="4"/>
  <c r="BP389" i="4"/>
  <c r="BQ393" i="4"/>
  <c r="BP395" i="4"/>
  <c r="BO368" i="4"/>
  <c r="BQ396" i="4"/>
  <c r="AA383" i="4"/>
  <c r="AB383" i="4"/>
  <c r="HI86" i="4"/>
  <c r="HO328" i="4"/>
  <c r="HM367" i="4"/>
  <c r="HM86" i="4"/>
  <c r="C86" i="4"/>
  <c r="BO394" i="4"/>
  <c r="BO406" i="4"/>
  <c r="BO390" i="4"/>
  <c r="BO397" i="4"/>
  <c r="BO399" i="4"/>
  <c r="BP369" i="4"/>
  <c r="BO401" i="4"/>
  <c r="BO372" i="4"/>
  <c r="AA373" i="4"/>
  <c r="AB373" i="4"/>
  <c r="AA367" i="4"/>
  <c r="AB367" i="4"/>
  <c r="AA384" i="4"/>
  <c r="AB384" i="4"/>
  <c r="AB389" i="4"/>
  <c r="AA389" i="4"/>
  <c r="AK389" i="4" s="1"/>
  <c r="AI389" i="4" s="1"/>
  <c r="AA388" i="4"/>
  <c r="AK388" i="4" s="1"/>
  <c r="AB388" i="4"/>
  <c r="AA376" i="4"/>
  <c r="AK376" i="4" s="1"/>
  <c r="AI376" i="4" s="1"/>
  <c r="AB376" i="4"/>
  <c r="BO398" i="4"/>
  <c r="BP371" i="4"/>
  <c r="BQ391" i="4"/>
  <c r="BQ407" i="4"/>
  <c r="BP404" i="4"/>
  <c r="BP386" i="4"/>
  <c r="BQ402" i="4"/>
  <c r="BO380" i="4"/>
  <c r="AA400" i="4"/>
  <c r="AK400" i="4" s="1"/>
  <c r="AB400" i="4"/>
  <c r="AB379" i="4"/>
  <c r="AA379" i="4"/>
  <c r="AA377" i="4"/>
  <c r="AB377" i="4"/>
  <c r="AB375" i="4"/>
  <c r="AA375" i="4"/>
  <c r="AA381" i="4"/>
  <c r="AB381" i="4"/>
  <c r="HK355" i="4"/>
  <c r="HS328" i="4"/>
  <c r="HS86" i="4"/>
  <c r="BO86" i="4"/>
  <c r="BO378" i="4"/>
  <c r="BO384" i="4"/>
  <c r="BQ400" i="4"/>
  <c r="BO382" i="4"/>
  <c r="BQ392" i="4"/>
  <c r="BP370" i="4"/>
  <c r="BO366" i="4"/>
  <c r="BO387" i="4"/>
  <c r="M407" i="4"/>
  <c r="BV407" i="4"/>
  <c r="BS407" i="4"/>
  <c r="BT407" i="4"/>
  <c r="M401" i="4"/>
  <c r="BV401" i="4"/>
  <c r="BT401" i="4"/>
  <c r="BU401" i="4"/>
  <c r="AI395" i="4"/>
  <c r="M395" i="4"/>
  <c r="BS395" i="4"/>
  <c r="BT395" i="4"/>
  <c r="BU395" i="4"/>
  <c r="M393" i="4"/>
  <c r="BV393" i="4"/>
  <c r="BS393" i="4"/>
  <c r="BU393" i="4"/>
  <c r="H388" i="4"/>
  <c r="BQ388" i="4"/>
  <c r="BO388" i="4"/>
  <c r="BP388" i="4"/>
  <c r="H383" i="4"/>
  <c r="BQ383" i="4"/>
  <c r="BP383" i="4"/>
  <c r="BO383" i="4"/>
  <c r="H381" i="4"/>
  <c r="BP381" i="4"/>
  <c r="BQ381" i="4"/>
  <c r="BO381" i="4"/>
  <c r="H379" i="4"/>
  <c r="BQ379" i="4"/>
  <c r="BP379" i="4"/>
  <c r="BO379" i="4"/>
  <c r="H377" i="4"/>
  <c r="BQ377" i="4"/>
  <c r="BO377" i="4"/>
  <c r="BP377" i="4"/>
  <c r="H376" i="4"/>
  <c r="BQ376" i="4"/>
  <c r="BO376" i="4"/>
  <c r="BP376" i="4"/>
  <c r="H375" i="4"/>
  <c r="BQ375" i="4"/>
  <c r="BP375" i="4"/>
  <c r="BO375" i="4"/>
  <c r="H373" i="4"/>
  <c r="BQ373" i="4"/>
  <c r="BO373" i="4"/>
  <c r="BP373" i="4"/>
  <c r="H367" i="4"/>
  <c r="BQ367" i="4"/>
  <c r="BP367" i="4"/>
  <c r="BO367" i="4"/>
  <c r="AA353" i="4"/>
  <c r="AB353" i="4"/>
  <c r="AB355" i="4"/>
  <c r="AA355" i="4"/>
  <c r="AA352" i="4"/>
  <c r="AB352" i="4"/>
  <c r="AA356" i="4"/>
  <c r="AK356" i="4" s="1"/>
  <c r="AI356" i="4" s="1"/>
  <c r="AB356" i="4"/>
  <c r="HO322" i="4"/>
  <c r="HM322" i="4"/>
  <c r="HM356" i="4"/>
  <c r="HO356" i="4"/>
  <c r="HQ356" i="4"/>
  <c r="HI356" i="4"/>
  <c r="HK356" i="4"/>
  <c r="AA360" i="4"/>
  <c r="AK360" i="4" s="1"/>
  <c r="AI360" i="4" s="1"/>
  <c r="AB360" i="4"/>
  <c r="AA357" i="4"/>
  <c r="AB357" i="4"/>
  <c r="AA365" i="4"/>
  <c r="AB365" i="4"/>
  <c r="BO364" i="4"/>
  <c r="AA350" i="4"/>
  <c r="AK350" i="4" s="1"/>
  <c r="AI350" i="4" s="1"/>
  <c r="AB350" i="4"/>
  <c r="AA349" i="4"/>
  <c r="AB349" i="4"/>
  <c r="L361" i="4"/>
  <c r="BT361" i="4" s="1"/>
  <c r="AB361" i="4"/>
  <c r="AA361" i="4"/>
  <c r="AA362" i="4"/>
  <c r="AK362" i="4" s="1"/>
  <c r="AI362" i="4" s="1"/>
  <c r="AB362" i="4"/>
  <c r="AA354" i="4"/>
  <c r="AB354" i="4"/>
  <c r="AA351" i="4"/>
  <c r="AK351" i="4" s="1"/>
  <c r="AI351" i="4" s="1"/>
  <c r="AB351" i="4"/>
  <c r="BF167" i="4"/>
  <c r="GG167" i="4" s="1"/>
  <c r="BF361" i="4"/>
  <c r="HS361" i="4"/>
  <c r="C361" i="4"/>
  <c r="BQ363" i="4"/>
  <c r="H362" i="4"/>
  <c r="BO362" i="4"/>
  <c r="BP362" i="4"/>
  <c r="BQ362" i="4"/>
  <c r="H365" i="4"/>
  <c r="BP365" i="4"/>
  <c r="BQ365" i="4"/>
  <c r="BO365" i="4"/>
  <c r="M363" i="4"/>
  <c r="BU363" i="4"/>
  <c r="BV363" i="4"/>
  <c r="BS363" i="4"/>
  <c r="H361" i="4"/>
  <c r="BP361" i="4"/>
  <c r="BQ361" i="4"/>
  <c r="BO361" i="4"/>
  <c r="H360" i="4"/>
  <c r="BQ360" i="4"/>
  <c r="BP360" i="4"/>
  <c r="BO360" i="4"/>
  <c r="BQ358" i="4"/>
  <c r="BO359" i="4"/>
  <c r="P358" i="4"/>
  <c r="N358" i="4"/>
  <c r="H357" i="4"/>
  <c r="BQ357" i="4"/>
  <c r="BO357" i="4"/>
  <c r="BP357" i="4"/>
  <c r="BP356" i="4"/>
  <c r="BQ356" i="4"/>
  <c r="BO356" i="4"/>
  <c r="H355" i="4"/>
  <c r="BQ355" i="4"/>
  <c r="BO355" i="4"/>
  <c r="BP355" i="4"/>
  <c r="HK313" i="4"/>
  <c r="HS313" i="4"/>
  <c r="C313" i="4"/>
  <c r="HQ313" i="4"/>
  <c r="HO313" i="4"/>
  <c r="H356" i="4"/>
  <c r="BF356" i="4"/>
  <c r="EQ356" i="4" s="1"/>
  <c r="HI317" i="4"/>
  <c r="HK342" i="4"/>
  <c r="HO342" i="4"/>
  <c r="BO348" i="4"/>
  <c r="BP354" i="4"/>
  <c r="BF336" i="4"/>
  <c r="AW336" i="4" s="1"/>
  <c r="BF317" i="4"/>
  <c r="C342" i="4"/>
  <c r="C336" i="4"/>
  <c r="BF329" i="4"/>
  <c r="HG329" i="4" s="1"/>
  <c r="HH329" i="4" s="1"/>
  <c r="HK336" i="4"/>
  <c r="BF342" i="4"/>
  <c r="FZ342" i="4" s="1"/>
  <c r="HI342" i="4"/>
  <c r="H353" i="4"/>
  <c r="BO353" i="4"/>
  <c r="BP353" i="4"/>
  <c r="BQ353" i="4"/>
  <c r="H352" i="4"/>
  <c r="BP352" i="4"/>
  <c r="BQ352" i="4"/>
  <c r="BO352" i="4"/>
  <c r="H351" i="4"/>
  <c r="BQ351" i="4"/>
  <c r="BP351" i="4"/>
  <c r="BO351" i="4"/>
  <c r="H350" i="4"/>
  <c r="BO350" i="4"/>
  <c r="BQ350" i="4"/>
  <c r="BP350" i="4"/>
  <c r="H349" i="4"/>
  <c r="BP349" i="4"/>
  <c r="BO349" i="4"/>
  <c r="BQ349" i="4"/>
  <c r="BF323" i="4"/>
  <c r="HE323" i="4" s="1"/>
  <c r="HF323" i="4" s="1"/>
  <c r="AB347" i="4"/>
  <c r="AA347" i="4"/>
  <c r="AK347" i="4" s="1"/>
  <c r="HS323" i="4"/>
  <c r="HI323" i="4"/>
  <c r="HM323" i="4"/>
  <c r="HK308" i="4"/>
  <c r="H347" i="4"/>
  <c r="BQ347" i="4"/>
  <c r="BP347" i="4"/>
  <c r="BO347" i="4"/>
  <c r="HQ77" i="4"/>
  <c r="HO225" i="4"/>
  <c r="HO124" i="4"/>
  <c r="C225" i="4"/>
  <c r="HM124" i="4"/>
  <c r="HK77" i="4"/>
  <c r="HS124" i="4"/>
  <c r="HK225" i="4"/>
  <c r="C77" i="4"/>
  <c r="HS308" i="4"/>
  <c r="HQ308" i="4"/>
  <c r="BE2" i="4"/>
  <c r="BD2" i="4"/>
  <c r="BI2" i="4"/>
  <c r="BC2" i="4"/>
  <c r="BH2" i="4"/>
  <c r="BG2" i="4"/>
  <c r="C124" i="4"/>
  <c r="HQ321" i="4"/>
  <c r="HK321" i="4"/>
  <c r="BF246" i="4"/>
  <c r="HG246" i="4" s="1"/>
  <c r="HH246" i="4" s="1"/>
  <c r="HI321" i="4"/>
  <c r="HS321" i="4"/>
  <c r="BF321" i="4"/>
  <c r="FC321" i="4" s="1"/>
  <c r="HO321" i="4"/>
  <c r="BF19" i="4"/>
  <c r="CI19" i="4" s="1"/>
  <c r="BF367" i="4"/>
  <c r="AU367" i="4" s="1"/>
  <c r="BF91" i="4"/>
  <c r="HC91" i="4" s="1"/>
  <c r="HD91" i="4" s="1"/>
  <c r="HQ331" i="4"/>
  <c r="BF343" i="4"/>
  <c r="HE343" i="4" s="1"/>
  <c r="HF343" i="4" s="1"/>
  <c r="HK320" i="4"/>
  <c r="HM316" i="4"/>
  <c r="AA344" i="4"/>
  <c r="AK344" i="4" s="1"/>
  <c r="AI344" i="4" s="1"/>
  <c r="AA343" i="4"/>
  <c r="HM331" i="4"/>
  <c r="C320" i="4"/>
  <c r="AA342" i="4"/>
  <c r="BF331" i="4"/>
  <c r="EM331" i="4" s="1"/>
  <c r="HI343" i="4"/>
  <c r="BF320" i="4"/>
  <c r="HC320" i="4" s="1"/>
  <c r="HD320" i="4" s="1"/>
  <c r="HK343" i="4"/>
  <c r="HI337" i="4"/>
  <c r="HK337" i="4"/>
  <c r="HO343" i="4"/>
  <c r="HM343" i="4"/>
  <c r="HS337" i="4"/>
  <c r="C331" i="4"/>
  <c r="HI320" i="4"/>
  <c r="BP346" i="4"/>
  <c r="BQ345" i="4"/>
  <c r="H344" i="4"/>
  <c r="BP344" i="4"/>
  <c r="BQ344" i="4"/>
  <c r="BO344" i="4"/>
  <c r="H343" i="4"/>
  <c r="BQ343" i="4"/>
  <c r="BP343" i="4"/>
  <c r="BO343" i="4"/>
  <c r="H342" i="4"/>
  <c r="BO342" i="4"/>
  <c r="BP342" i="4"/>
  <c r="BQ342" i="4"/>
  <c r="HI339" i="4"/>
  <c r="HS339" i="4"/>
  <c r="HK317" i="4"/>
  <c r="HI309" i="4"/>
  <c r="C91" i="4"/>
  <c r="C246" i="4"/>
  <c r="GW63" i="4"/>
  <c r="HI336" i="4"/>
  <c r="HK309" i="4"/>
  <c r="C309" i="4"/>
  <c r="HS329" i="4"/>
  <c r="HO91" i="4"/>
  <c r="C317" i="4"/>
  <c r="BF309" i="4"/>
  <c r="ET309" i="4" s="1"/>
  <c r="HI329" i="4"/>
  <c r="HS309" i="4"/>
  <c r="HS246" i="4"/>
  <c r="HO329" i="4"/>
  <c r="HM91" i="4"/>
  <c r="C329" i="4"/>
  <c r="AA339" i="4"/>
  <c r="AK339" i="4" s="1"/>
  <c r="AI339" i="4" s="1"/>
  <c r="HI246" i="4"/>
  <c r="HO309" i="4"/>
  <c r="HM246" i="4"/>
  <c r="C322" i="4"/>
  <c r="AA336" i="4"/>
  <c r="HI322" i="4"/>
  <c r="HS336" i="4"/>
  <c r="HS317" i="4"/>
  <c r="C367" i="4"/>
  <c r="AA340" i="4"/>
  <c r="AK340" i="4" s="1"/>
  <c r="AI340" i="4" s="1"/>
  <c r="AA337" i="4"/>
  <c r="AK337" i="4" s="1"/>
  <c r="AI337" i="4" s="1"/>
  <c r="HK91" i="4"/>
  <c r="HM336" i="4"/>
  <c r="HQ317" i="4"/>
  <c r="BQ338" i="4"/>
  <c r="BP341" i="4"/>
  <c r="H340" i="4"/>
  <c r="BO340" i="4"/>
  <c r="BQ340" i="4"/>
  <c r="BP340" i="4"/>
  <c r="H339" i="4"/>
  <c r="BQ339" i="4"/>
  <c r="BP339" i="4"/>
  <c r="BO339" i="4"/>
  <c r="H337" i="4"/>
  <c r="BQ337" i="4"/>
  <c r="BP337" i="4"/>
  <c r="BO337" i="4"/>
  <c r="H336" i="4"/>
  <c r="BP336" i="4"/>
  <c r="BQ336" i="4"/>
  <c r="BO336" i="4"/>
  <c r="HI307" i="4"/>
  <c r="HI316" i="4"/>
  <c r="HO316" i="4"/>
  <c r="HS307" i="4"/>
  <c r="HM307" i="4"/>
  <c r="BQ333" i="4"/>
  <c r="AA328" i="4"/>
  <c r="AA326" i="4"/>
  <c r="AK326" i="4" s="1"/>
  <c r="AI326" i="4" s="1"/>
  <c r="AA320" i="4"/>
  <c r="AK320" i="4" s="1"/>
  <c r="AI320" i="4" s="1"/>
  <c r="AA329" i="4"/>
  <c r="BO335" i="4"/>
  <c r="AA322" i="4"/>
  <c r="BP334" i="4"/>
  <c r="AA324" i="4"/>
  <c r="AK324" i="4" s="1"/>
  <c r="AI324" i="4" s="1"/>
  <c r="AA321" i="4"/>
  <c r="AA323" i="4"/>
  <c r="AK323" i="4" s="1"/>
  <c r="AI323" i="4" s="1"/>
  <c r="AA331" i="4"/>
  <c r="AK331" i="4" s="1"/>
  <c r="AI331" i="4" s="1"/>
  <c r="AA319" i="4"/>
  <c r="AK319" i="4" s="1"/>
  <c r="AI319" i="4" s="1"/>
  <c r="AA317" i="4"/>
  <c r="AA309" i="4"/>
  <c r="AK309" i="4" s="1"/>
  <c r="AI309" i="4" s="1"/>
  <c r="AA318" i="4"/>
  <c r="AK318" i="4" s="1"/>
  <c r="AI318" i="4" s="1"/>
  <c r="AA305" i="4"/>
  <c r="AK305" i="4" s="1"/>
  <c r="AA313" i="4"/>
  <c r="AA308" i="4"/>
  <c r="AA307" i="4"/>
  <c r="AA311" i="4"/>
  <c r="AK311" i="4" s="1"/>
  <c r="AI311" i="4" s="1"/>
  <c r="AA306" i="4"/>
  <c r="AA315" i="4"/>
  <c r="AK315" i="4" s="1"/>
  <c r="AI315" i="4" s="1"/>
  <c r="AA314" i="4"/>
  <c r="AA316" i="4"/>
  <c r="AK316" i="4" s="1"/>
  <c r="AI316" i="4" s="1"/>
  <c r="BP330" i="4"/>
  <c r="BO332" i="4"/>
  <c r="BO326" i="4"/>
  <c r="BO327" i="4"/>
  <c r="BO325" i="4"/>
  <c r="H329" i="4"/>
  <c r="BO329" i="4"/>
  <c r="BP329" i="4"/>
  <c r="BQ329" i="4"/>
  <c r="H331" i="4"/>
  <c r="BO331" i="4"/>
  <c r="BP331" i="4"/>
  <c r="BQ331" i="4"/>
  <c r="H328" i="4"/>
  <c r="BQ328" i="4"/>
  <c r="BP328" i="4"/>
  <c r="BO328" i="4"/>
  <c r="H324" i="4"/>
  <c r="BO324" i="4"/>
  <c r="BQ324" i="4"/>
  <c r="BP324" i="4"/>
  <c r="H323" i="4"/>
  <c r="BO323" i="4"/>
  <c r="BQ323" i="4"/>
  <c r="BP323" i="4"/>
  <c r="H322" i="4"/>
  <c r="BP322" i="4"/>
  <c r="BQ322" i="4"/>
  <c r="BO322" i="4"/>
  <c r="H321" i="4"/>
  <c r="BP321" i="4"/>
  <c r="BQ321" i="4"/>
  <c r="BO321" i="4"/>
  <c r="H320" i="4"/>
  <c r="BP320" i="4"/>
  <c r="BO320" i="4"/>
  <c r="BQ320" i="4"/>
  <c r="HM123" i="4"/>
  <c r="C337" i="4"/>
  <c r="HI116" i="4"/>
  <c r="BF316" i="4"/>
  <c r="HG316" i="4" s="1"/>
  <c r="HH316" i="4" s="1"/>
  <c r="HK116" i="4"/>
  <c r="C307" i="4"/>
  <c r="HQ49" i="4"/>
  <c r="C116" i="4"/>
  <c r="BF337" i="4"/>
  <c r="HG337" i="4" s="1"/>
  <c r="HH337" i="4" s="1"/>
  <c r="BF49" i="4"/>
  <c r="CY49" i="4" s="1"/>
  <c r="HO49" i="4"/>
  <c r="BF116" i="4"/>
  <c r="GY116" i="4" s="1"/>
  <c r="GZ116" i="4" s="1"/>
  <c r="HO116" i="4"/>
  <c r="C49" i="4"/>
  <c r="HK49" i="4"/>
  <c r="HM116" i="4"/>
  <c r="HO123" i="4"/>
  <c r="BQ51" i="4"/>
  <c r="BQ204" i="4"/>
  <c r="BQ262" i="4"/>
  <c r="BQ125" i="4"/>
  <c r="BQ261" i="4"/>
  <c r="HK164" i="4"/>
  <c r="BQ141" i="4"/>
  <c r="BQ294" i="4"/>
  <c r="BO169" i="4"/>
  <c r="BQ4" i="4"/>
  <c r="BQ107" i="4"/>
  <c r="BQ207" i="4"/>
  <c r="C314" i="4"/>
  <c r="BQ43" i="4"/>
  <c r="BO310" i="4"/>
  <c r="BQ221" i="4"/>
  <c r="BF11" i="4"/>
  <c r="HG11" i="4" s="1"/>
  <c r="HH11" i="4" s="1"/>
  <c r="BQ299" i="4"/>
  <c r="BQ244" i="4"/>
  <c r="BF164" i="4"/>
  <c r="HE164" i="4" s="1"/>
  <c r="HF164" i="4" s="1"/>
  <c r="BF306" i="4"/>
  <c r="HE306" i="4" s="1"/>
  <c r="HF306" i="4" s="1"/>
  <c r="BQ301" i="4"/>
  <c r="BQ281" i="4"/>
  <c r="BQ227" i="4"/>
  <c r="BP312" i="4"/>
  <c r="BQ110" i="4"/>
  <c r="BQ277" i="4"/>
  <c r="BQ75" i="4"/>
  <c r="BQ73" i="4"/>
  <c r="H319" i="4"/>
  <c r="BP319" i="4"/>
  <c r="BO319" i="4"/>
  <c r="BQ319" i="4"/>
  <c r="H318" i="4"/>
  <c r="BO318" i="4"/>
  <c r="BP318" i="4"/>
  <c r="BQ318" i="4"/>
  <c r="H317" i="4"/>
  <c r="BO317" i="4"/>
  <c r="BQ317" i="4"/>
  <c r="BP317" i="4"/>
  <c r="H316" i="4"/>
  <c r="BQ316" i="4"/>
  <c r="BP316" i="4"/>
  <c r="BO316" i="4"/>
  <c r="H315" i="4"/>
  <c r="BQ315" i="4"/>
  <c r="BP315" i="4"/>
  <c r="BO315" i="4"/>
  <c r="H314" i="4"/>
  <c r="BQ314" i="4"/>
  <c r="BO314" i="4"/>
  <c r="BP314" i="4"/>
  <c r="H313" i="4"/>
  <c r="BQ313" i="4"/>
  <c r="BP313" i="4"/>
  <c r="BO313" i="4"/>
  <c r="H311" i="4"/>
  <c r="BO311" i="4"/>
  <c r="BQ311" i="4"/>
  <c r="BP311" i="4"/>
  <c r="H309" i="4"/>
  <c r="BQ309" i="4"/>
  <c r="BO309" i="4"/>
  <c r="BP309" i="4"/>
  <c r="H308" i="4"/>
  <c r="BQ308" i="4"/>
  <c r="BO308" i="4"/>
  <c r="BP308" i="4"/>
  <c r="H307" i="4"/>
  <c r="BQ307" i="4"/>
  <c r="BO307" i="4"/>
  <c r="BP307" i="4"/>
  <c r="H306" i="4"/>
  <c r="BQ306" i="4"/>
  <c r="BO306" i="4"/>
  <c r="BP306" i="4"/>
  <c r="H305" i="4"/>
  <c r="BQ305" i="4"/>
  <c r="BP305" i="4"/>
  <c r="BO305" i="4"/>
  <c r="BP8" i="4"/>
  <c r="BO158" i="4"/>
  <c r="BP257" i="4"/>
  <c r="BP31" i="4"/>
  <c r="BP293" i="4"/>
  <c r="BP56" i="4"/>
  <c r="BP138" i="4"/>
  <c r="BP224" i="4"/>
  <c r="BP18" i="4"/>
  <c r="BP213" i="4"/>
  <c r="BP34" i="4"/>
  <c r="BP190" i="4"/>
  <c r="BP7" i="4"/>
  <c r="BP124" i="4"/>
  <c r="BP155" i="4"/>
  <c r="BP77" i="4"/>
  <c r="BP225" i="4"/>
  <c r="BP302" i="4"/>
  <c r="BP265" i="4"/>
  <c r="BP131" i="4"/>
  <c r="BP205" i="4"/>
  <c r="BP264" i="4"/>
  <c r="BP279" i="4"/>
  <c r="BP203" i="4"/>
  <c r="BP109" i="4"/>
  <c r="BP183" i="4"/>
  <c r="BP147" i="4"/>
  <c r="BP61" i="4"/>
  <c r="BP252" i="4"/>
  <c r="BP178" i="4"/>
  <c r="BP26" i="4"/>
  <c r="BP9" i="4"/>
  <c r="BO58" i="4"/>
  <c r="BP296" i="4"/>
  <c r="BP140" i="4"/>
  <c r="BP139" i="4"/>
  <c r="BP160" i="4"/>
  <c r="BP258" i="4"/>
  <c r="BP44" i="4"/>
  <c r="BP100" i="4"/>
  <c r="BP95" i="4"/>
  <c r="BP10" i="4"/>
  <c r="BP57" i="4"/>
  <c r="BP42" i="4"/>
  <c r="BP5" i="4"/>
  <c r="BP164" i="4"/>
  <c r="BP266" i="4"/>
  <c r="BP59" i="4"/>
  <c r="BP72" i="4"/>
  <c r="BP145" i="4"/>
  <c r="BP120" i="4"/>
  <c r="BP268" i="4"/>
  <c r="BP226" i="4"/>
  <c r="BP45" i="4"/>
  <c r="BP21" i="4"/>
  <c r="BP282" i="4"/>
  <c r="BP245" i="4"/>
  <c r="BP11" i="4"/>
  <c r="BO220" i="4"/>
  <c r="BP259" i="4"/>
  <c r="BP280" i="4"/>
  <c r="BP295" i="4"/>
  <c r="BP273" i="4"/>
  <c r="BP198" i="4"/>
  <c r="BP71" i="4"/>
  <c r="BP12" i="4"/>
  <c r="BP116" i="4"/>
  <c r="BP49" i="4"/>
  <c r="BP146" i="4"/>
  <c r="BP274" i="4"/>
  <c r="BP50" i="4"/>
  <c r="BP251" i="4"/>
  <c r="BP275" i="4"/>
  <c r="BP298" i="4"/>
  <c r="BP94" i="4"/>
  <c r="BP135" i="4"/>
  <c r="BP195" i="4"/>
  <c r="BP142" i="4"/>
  <c r="BP35" i="4"/>
  <c r="BP247" i="4"/>
  <c r="BP234" i="4"/>
  <c r="BP283" i="4"/>
  <c r="BP14" i="4"/>
  <c r="BO230" i="4"/>
  <c r="BO4" i="4"/>
  <c r="BP4" i="4"/>
  <c r="BO87" i="4"/>
  <c r="BP150" i="4"/>
  <c r="BP89" i="4"/>
  <c r="BP201" i="4"/>
  <c r="BP149" i="4"/>
  <c r="BP101" i="4"/>
  <c r="BP52" i="4"/>
  <c r="BP114" i="4"/>
  <c r="BP211" i="4"/>
  <c r="BP222" i="4"/>
  <c r="BP240" i="4"/>
  <c r="BP278" i="4"/>
  <c r="BP276" i="4"/>
  <c r="BP180" i="4"/>
  <c r="BP19" i="4"/>
  <c r="BP91" i="4"/>
  <c r="BP246" i="4"/>
  <c r="BP193" i="4"/>
  <c r="BP231" i="4"/>
  <c r="BP218" i="4"/>
  <c r="BP148" i="4"/>
  <c r="BP143" i="4"/>
  <c r="BP286" i="4"/>
  <c r="BP85" i="4"/>
  <c r="BP182" i="4"/>
  <c r="BP96" i="4"/>
  <c r="BP13" i="4"/>
  <c r="BP22" i="4"/>
  <c r="BO134" i="4"/>
  <c r="BO105" i="4"/>
  <c r="BP174" i="4"/>
  <c r="BP269" i="4"/>
  <c r="BP128" i="4"/>
  <c r="BP271" i="4"/>
  <c r="BP188" i="4"/>
  <c r="BP92" i="4"/>
  <c r="BP104" i="4"/>
  <c r="BP40" i="4"/>
  <c r="BP115" i="4"/>
  <c r="BP99" i="4"/>
  <c r="BP156" i="4"/>
  <c r="BP229" i="4"/>
  <c r="BP112" i="4"/>
  <c r="BP123" i="4"/>
  <c r="BP167" i="4"/>
  <c r="BP235" i="4"/>
  <c r="BP300" i="4"/>
  <c r="BP16" i="4"/>
  <c r="BP202" i="4"/>
  <c r="BP250" i="4"/>
  <c r="BP219" i="4"/>
  <c r="BP172" i="4"/>
  <c r="BP166" i="4"/>
  <c r="BP70" i="4"/>
  <c r="BP121" i="4"/>
  <c r="BP289" i="4"/>
  <c r="BP249" i="4"/>
  <c r="BP32" i="4"/>
  <c r="BP102" i="4"/>
  <c r="BP272" i="4"/>
  <c r="BP30" i="4"/>
  <c r="BP189" i="4"/>
  <c r="BP176" i="4"/>
  <c r="BP137" i="4"/>
  <c r="BP20" i="4"/>
  <c r="BP287" i="4"/>
  <c r="BP36" i="4"/>
  <c r="BP179" i="4"/>
  <c r="BP151" i="4"/>
  <c r="BO23" i="4"/>
  <c r="BP83" i="4"/>
  <c r="BP46" i="4"/>
  <c r="BP217" i="4"/>
  <c r="BP86" i="4"/>
  <c r="BP192" i="4"/>
  <c r="BP263" i="4"/>
  <c r="BP238" i="4"/>
  <c r="BP133" i="4"/>
  <c r="BP239" i="4"/>
  <c r="BP253" i="4"/>
  <c r="BP291" i="4"/>
  <c r="BP254" i="4"/>
  <c r="BP197" i="4"/>
  <c r="BP74" i="4"/>
  <c r="H112" i="4"/>
  <c r="BO112" i="4"/>
  <c r="H123" i="4"/>
  <c r="BO123" i="4"/>
  <c r="H167" i="4"/>
  <c r="BO167" i="4"/>
  <c r="H235" i="4"/>
  <c r="BO235" i="4"/>
  <c r="BO165" i="4"/>
  <c r="BO127" i="4"/>
  <c r="BO223" i="4"/>
  <c r="BO181" i="4"/>
  <c r="H179" i="4"/>
  <c r="BO179" i="4"/>
  <c r="H151" i="4"/>
  <c r="BO151" i="4"/>
  <c r="BO214" i="4"/>
  <c r="BO118" i="4"/>
  <c r="BO212" i="4"/>
  <c r="BO233" i="4"/>
  <c r="HI235" i="4"/>
  <c r="HS167" i="4"/>
  <c r="H8" i="4"/>
  <c r="BO8" i="4"/>
  <c r="BO66" i="4"/>
  <c r="BO65" i="4"/>
  <c r="BO48" i="4"/>
  <c r="BO67" i="4"/>
  <c r="BO88" i="4"/>
  <c r="BO15" i="4"/>
  <c r="BO209" i="4"/>
  <c r="BO177" i="4"/>
  <c r="BO79" i="4"/>
  <c r="BO119" i="4"/>
  <c r="BO232" i="4"/>
  <c r="BO260" i="4"/>
  <c r="BO206" i="4"/>
  <c r="BF123" i="4"/>
  <c r="DO123" i="4" s="1"/>
  <c r="HO167" i="4"/>
  <c r="H7" i="4"/>
  <c r="BO7" i="4"/>
  <c r="H124" i="4"/>
  <c r="BO124" i="4"/>
  <c r="H155" i="4"/>
  <c r="BO155" i="4"/>
  <c r="H77" i="4"/>
  <c r="BO77" i="4"/>
  <c r="H225" i="4"/>
  <c r="BO225" i="4"/>
  <c r="BO196" i="4"/>
  <c r="BO255" i="4"/>
  <c r="BO136" i="4"/>
  <c r="BO76" i="4"/>
  <c r="BO122" i="4"/>
  <c r="HK235" i="4"/>
  <c r="BF235" i="4"/>
  <c r="P235" i="4" s="1"/>
  <c r="HM167" i="4"/>
  <c r="HS112" i="4"/>
  <c r="C235" i="4"/>
  <c r="H9" i="4"/>
  <c r="BO9" i="4"/>
  <c r="BO55" i="4"/>
  <c r="BO199" i="4"/>
  <c r="BO33" i="4"/>
  <c r="BO185" i="4"/>
  <c r="BO194" i="4"/>
  <c r="BO237" i="4"/>
  <c r="BO256" i="4"/>
  <c r="BO215" i="4"/>
  <c r="BO157" i="4"/>
  <c r="BO162" i="4"/>
  <c r="BO228" i="4"/>
  <c r="BO68" i="4"/>
  <c r="BO270" i="4"/>
  <c r="BO27" i="4"/>
  <c r="BO98" i="4"/>
  <c r="BO163" i="4"/>
  <c r="HM112" i="4"/>
  <c r="H10" i="4"/>
  <c r="BO10" i="4"/>
  <c r="H57" i="4"/>
  <c r="BO57" i="4"/>
  <c r="H42" i="4"/>
  <c r="BO42" i="4"/>
  <c r="H5" i="4"/>
  <c r="BO5" i="4"/>
  <c r="H164" i="4"/>
  <c r="BO164" i="4"/>
  <c r="BO113" i="4"/>
  <c r="BO106" i="4"/>
  <c r="BO117" i="4"/>
  <c r="BO17" i="4"/>
  <c r="BO153" i="4"/>
  <c r="BO267" i="4"/>
  <c r="BO210" i="4"/>
  <c r="BO159" i="4"/>
  <c r="HI112" i="4"/>
  <c r="H11" i="4"/>
  <c r="BO11" i="4"/>
  <c r="BO130" i="4"/>
  <c r="BO111" i="4"/>
  <c r="BO80" i="4"/>
  <c r="BO97" i="4"/>
  <c r="BO24" i="4"/>
  <c r="BO28" i="4"/>
  <c r="BO191" i="4"/>
  <c r="BO216" i="4"/>
  <c r="BO81" i="4"/>
  <c r="BO103" i="4"/>
  <c r="BO39" i="4"/>
  <c r="BO62" i="4"/>
  <c r="BO144" i="4"/>
  <c r="BO292" i="4"/>
  <c r="BO161" i="4"/>
  <c r="C167" i="4"/>
  <c r="H12" i="4"/>
  <c r="BO12" i="4"/>
  <c r="H116" i="4"/>
  <c r="BO116" i="4"/>
  <c r="H49" i="4"/>
  <c r="BO49" i="4"/>
  <c r="BO84" i="4"/>
  <c r="BO243" i="4"/>
  <c r="BO38" i="4"/>
  <c r="BO154" i="4"/>
  <c r="BO47" i="4"/>
  <c r="HI167" i="4"/>
  <c r="C112" i="4"/>
  <c r="H14" i="4"/>
  <c r="BO14" i="4"/>
  <c r="H4" i="4"/>
  <c r="BO186" i="4"/>
  <c r="BO304" i="4"/>
  <c r="BO184" i="4"/>
  <c r="BO126" i="4"/>
  <c r="BO288" i="4"/>
  <c r="BO297" i="4"/>
  <c r="BO53" i="4"/>
  <c r="BO90" i="4"/>
  <c r="BO6" i="4"/>
  <c r="BO248" i="4"/>
  <c r="BO64" i="4"/>
  <c r="BO187" i="4"/>
  <c r="BO129" i="4"/>
  <c r="BO108" i="4"/>
  <c r="BO236" i="4"/>
  <c r="BO303" i="4"/>
  <c r="H289" i="4"/>
  <c r="BO289" i="4"/>
  <c r="HO235" i="4"/>
  <c r="HI123" i="4"/>
  <c r="C123" i="4"/>
  <c r="H19" i="4"/>
  <c r="BO19" i="4"/>
  <c r="H91" i="4"/>
  <c r="BO91" i="4"/>
  <c r="H246" i="4"/>
  <c r="BO246" i="4"/>
  <c r="BO25" i="4"/>
  <c r="BO290" i="4"/>
  <c r="BO78" i="4"/>
  <c r="BO82" i="4"/>
  <c r="BO29" i="4"/>
  <c r="BO37" i="4"/>
  <c r="BO132" i="4"/>
  <c r="BO41" i="4"/>
  <c r="BO171" i="4"/>
  <c r="BF112" i="4"/>
  <c r="HE112" i="4" s="1"/>
  <c r="HF112" i="4" s="1"/>
  <c r="HM235" i="4"/>
  <c r="HQ123" i="4"/>
  <c r="H22" i="4"/>
  <c r="BO22" i="4"/>
  <c r="BO69" i="4"/>
  <c r="BO93" i="4"/>
  <c r="BO208" i="4"/>
  <c r="BO170" i="4"/>
  <c r="BO284" i="4"/>
  <c r="BO175" i="4"/>
  <c r="BO173" i="4"/>
  <c r="BO242" i="4"/>
  <c r="BO200" i="4"/>
  <c r="BO60" i="4"/>
  <c r="BO241" i="4"/>
  <c r="BO168" i="4"/>
  <c r="BO54" i="4"/>
  <c r="BO285" i="4"/>
  <c r="BO63" i="4"/>
  <c r="BO152" i="4"/>
  <c r="HS164" i="4"/>
  <c r="HO164" i="4"/>
  <c r="C164" i="4"/>
  <c r="C289" i="4"/>
  <c r="HI289" i="4"/>
  <c r="HM289" i="4"/>
  <c r="HK179" i="4"/>
  <c r="HI151" i="4"/>
  <c r="HO151" i="4"/>
  <c r="HO289" i="4"/>
  <c r="BF289" i="4"/>
  <c r="GL289" i="4" s="1"/>
  <c r="HI179" i="4"/>
  <c r="C179" i="4"/>
  <c r="HM151" i="4"/>
  <c r="HM179" i="4"/>
  <c r="C151" i="4"/>
  <c r="BF308" i="4"/>
  <c r="AO308" i="4" s="1"/>
  <c r="BF179" i="4"/>
  <c r="HE179" i="4" s="1"/>
  <c r="HF179" i="4" s="1"/>
  <c r="HO179" i="4"/>
  <c r="C308" i="4"/>
  <c r="BF151" i="4"/>
  <c r="HE151" i="4" s="1"/>
  <c r="HF151" i="4" s="1"/>
  <c r="AA295" i="4"/>
  <c r="AA301" i="4"/>
  <c r="AA290" i="4"/>
  <c r="AK290" i="4" s="1"/>
  <c r="AI290" i="4" s="1"/>
  <c r="AA297" i="4"/>
  <c r="AK297" i="4" s="1"/>
  <c r="AI297" i="4" s="1"/>
  <c r="AA292" i="4"/>
  <c r="AA294" i="4"/>
  <c r="AA300" i="4"/>
  <c r="AA279" i="4"/>
  <c r="AK279" i="4" s="1"/>
  <c r="AI279" i="4" s="1"/>
  <c r="AA291" i="4"/>
  <c r="AA284" i="4"/>
  <c r="AK284" i="4" s="1"/>
  <c r="AI284" i="4" s="1"/>
  <c r="AA286" i="4"/>
  <c r="AA288" i="4"/>
  <c r="AK288" i="4" s="1"/>
  <c r="AA296" i="4"/>
  <c r="AA299" i="4"/>
  <c r="AA285" i="4"/>
  <c r="AK285" i="4" s="1"/>
  <c r="AI285" i="4" s="1"/>
  <c r="AA280" i="4"/>
  <c r="AA293" i="4"/>
  <c r="AA302" i="4"/>
  <c r="AA304" i="4"/>
  <c r="AK304" i="4" s="1"/>
  <c r="AI304" i="4" s="1"/>
  <c r="AA298" i="4"/>
  <c r="BF14" i="4"/>
  <c r="FV14" i="4" s="1"/>
  <c r="HK14" i="4"/>
  <c r="HI14" i="4"/>
  <c r="HS14" i="4"/>
  <c r="HO14" i="4"/>
  <c r="C14" i="4"/>
  <c r="L289" i="4"/>
  <c r="BS289" i="4" s="1"/>
  <c r="AA289" i="4"/>
  <c r="AK289" i="4" s="1"/>
  <c r="AI289" i="4" s="1"/>
  <c r="Z11" i="15" s="1"/>
  <c r="HO12" i="4"/>
  <c r="AA260" i="4"/>
  <c r="AA261" i="4"/>
  <c r="AA267" i="4"/>
  <c r="AK267" i="4" s="1"/>
  <c r="AI267" i="4" s="1"/>
  <c r="AA274" i="4"/>
  <c r="AK274" i="4" s="1"/>
  <c r="AI274" i="4" s="1"/>
  <c r="AA265" i="4"/>
  <c r="AA271" i="4"/>
  <c r="AK271" i="4" s="1"/>
  <c r="AI271" i="4" s="1"/>
  <c r="AA263" i="4"/>
  <c r="AK263" i="4" s="1"/>
  <c r="AI263" i="4" s="1"/>
  <c r="AA275" i="4"/>
  <c r="AK275" i="4" s="1"/>
  <c r="AI275" i="4" s="1"/>
  <c r="AA262" i="4"/>
  <c r="AK262" i="4" s="1"/>
  <c r="AI262" i="4" s="1"/>
  <c r="AA270" i="4"/>
  <c r="AK270" i="4" s="1"/>
  <c r="AI270" i="4" s="1"/>
  <c r="AA264" i="4"/>
  <c r="AA266" i="4"/>
  <c r="AK266" i="4" s="1"/>
  <c r="AI266" i="4" s="1"/>
  <c r="AA273" i="4"/>
  <c r="AA272" i="4"/>
  <c r="AA259" i="4"/>
  <c r="AA277" i="4"/>
  <c r="AA269" i="4"/>
  <c r="AA268" i="4"/>
  <c r="AA254" i="4"/>
  <c r="AA258" i="4"/>
  <c r="AK258" i="4" s="1"/>
  <c r="AI258" i="4" s="1"/>
  <c r="AA256" i="4"/>
  <c r="AA255" i="4"/>
  <c r="AA257" i="4"/>
  <c r="AK257" i="4" s="1"/>
  <c r="AI257" i="4" s="1"/>
  <c r="AA239" i="4"/>
  <c r="AK239" i="4" s="1"/>
  <c r="AI239" i="4" s="1"/>
  <c r="AA231" i="4"/>
  <c r="AA237" i="4"/>
  <c r="AA238" i="4"/>
  <c r="AA247" i="4"/>
  <c r="AK247" i="4" s="1"/>
  <c r="AI247" i="4" s="1"/>
  <c r="AA232" i="4"/>
  <c r="AK232" i="4" s="1"/>
  <c r="AI232" i="4" s="1"/>
  <c r="AA244" i="4"/>
  <c r="AK244" i="4" s="1"/>
  <c r="AI244" i="4" s="1"/>
  <c r="AA252" i="4"/>
  <c r="AA242" i="4"/>
  <c r="AK242" i="4" s="1"/>
  <c r="AI242" i="4" s="1"/>
  <c r="AA240" i="4"/>
  <c r="AK240" i="4" s="1"/>
  <c r="AI240" i="4" s="1"/>
  <c r="AA243" i="4"/>
  <c r="AK243" i="4" s="1"/>
  <c r="AI243" i="4" s="1"/>
  <c r="AA241" i="4"/>
  <c r="AK241" i="4" s="1"/>
  <c r="AI241" i="4" s="1"/>
  <c r="AA228" i="4"/>
  <c r="AA248" i="4"/>
  <c r="AK248" i="4" s="1"/>
  <c r="AI248" i="4" s="1"/>
  <c r="AA233" i="4"/>
  <c r="AK233" i="4" s="1"/>
  <c r="AI233" i="4" s="1"/>
  <c r="HM22" i="4"/>
  <c r="C19" i="4"/>
  <c r="HK19" i="4"/>
  <c r="HS19" i="4"/>
  <c r="HI19" i="4"/>
  <c r="HO19" i="4"/>
  <c r="HI22" i="4"/>
  <c r="HO22" i="4"/>
  <c r="BF22" i="4"/>
  <c r="HE22" i="4" s="1"/>
  <c r="HF22" i="4" s="1"/>
  <c r="HK22" i="4"/>
  <c r="AA225" i="4"/>
  <c r="AA213" i="4"/>
  <c r="AA223" i="4"/>
  <c r="L249" i="4"/>
  <c r="BS249" i="4" s="1"/>
  <c r="AA249" i="4"/>
  <c r="AA205" i="4"/>
  <c r="AK205" i="4" s="1"/>
  <c r="AI205" i="4" s="1"/>
  <c r="AA210" i="4"/>
  <c r="L250" i="4"/>
  <c r="BS250" i="4" s="1"/>
  <c r="AA250" i="4"/>
  <c r="AK250" i="4" s="1"/>
  <c r="AI250" i="4" s="1"/>
  <c r="AA214" i="4"/>
  <c r="AK214" i="4" s="1"/>
  <c r="AI214" i="4" s="1"/>
  <c r="AA203" i="4"/>
  <c r="AA192" i="4"/>
  <c r="AA191" i="4"/>
  <c r="AK191" i="4" s="1"/>
  <c r="AI191" i="4" s="1"/>
  <c r="AA202" i="4"/>
  <c r="AK202" i="4" s="1"/>
  <c r="AI202" i="4" s="1"/>
  <c r="AA204" i="4"/>
  <c r="AA200" i="4"/>
  <c r="AA182" i="4"/>
  <c r="AA188" i="4"/>
  <c r="AA201" i="4"/>
  <c r="AK201" i="4" s="1"/>
  <c r="AI201" i="4" s="1"/>
  <c r="AA211" i="4"/>
  <c r="C22" i="4"/>
  <c r="AA216" i="4"/>
  <c r="AA193" i="4"/>
  <c r="AA218" i="4"/>
  <c r="AK218" i="4" s="1"/>
  <c r="AI218" i="4" s="1"/>
  <c r="AA184" i="4"/>
  <c r="AA224" i="4"/>
  <c r="AK224" i="4" s="1"/>
  <c r="AI224" i="4" s="1"/>
  <c r="AA220" i="4"/>
  <c r="AK220" i="4" s="1"/>
  <c r="AI220" i="4" s="1"/>
  <c r="AA219" i="4"/>
  <c r="AK219" i="4" s="1"/>
  <c r="AI219" i="4" s="1"/>
  <c r="AA187" i="4"/>
  <c r="AA222" i="4"/>
  <c r="AK222" i="4" s="1"/>
  <c r="AI222" i="4" s="1"/>
  <c r="L253" i="4"/>
  <c r="BS253" i="4" s="1"/>
  <c r="AA253" i="4"/>
  <c r="AK253" i="4" s="1"/>
  <c r="AI253" i="4" s="1"/>
  <c r="AA185" i="4"/>
  <c r="AA212" i="4"/>
  <c r="AA183" i="4"/>
  <c r="AA199" i="4"/>
  <c r="AA221" i="4"/>
  <c r="AK221" i="4" s="1"/>
  <c r="AI221" i="4" s="1"/>
  <c r="AA217" i="4"/>
  <c r="AK217" i="4" s="1"/>
  <c r="AI217" i="4" s="1"/>
  <c r="AA198" i="4"/>
  <c r="AA189" i="4"/>
  <c r="AK189" i="4" s="1"/>
  <c r="AI189" i="4" s="1"/>
  <c r="AA215" i="4"/>
  <c r="AA226" i="4"/>
  <c r="AK226" i="4" s="1"/>
  <c r="AI226" i="4" s="1"/>
  <c r="L236" i="4"/>
  <c r="BU236" i="4" s="1"/>
  <c r="AA236" i="4"/>
  <c r="AK236" i="4" s="1"/>
  <c r="AI236" i="4" s="1"/>
  <c r="L251" i="4"/>
  <c r="BU251" i="4" s="1"/>
  <c r="AA251" i="4"/>
  <c r="AK251" i="4" s="1"/>
  <c r="AI251" i="4" s="1"/>
  <c r="AA186" i="4"/>
  <c r="AA195" i="4"/>
  <c r="AK195" i="4" s="1"/>
  <c r="AI195" i="4" s="1"/>
  <c r="AA194" i="4"/>
  <c r="AK194" i="4" s="1"/>
  <c r="AI194" i="4" s="1"/>
  <c r="BT246" i="4"/>
  <c r="BU246" i="4"/>
  <c r="BV246" i="4"/>
  <c r="M145" i="4"/>
  <c r="L227" i="4"/>
  <c r="BS227" i="4" s="1"/>
  <c r="AA227" i="4"/>
  <c r="AK227" i="4" s="1"/>
  <c r="AI227" i="4" s="1"/>
  <c r="L209" i="4"/>
  <c r="BS209" i="4" s="1"/>
  <c r="AA209" i="4"/>
  <c r="AK209" i="4" s="1"/>
  <c r="AI209" i="4" s="1"/>
  <c r="L196" i="4"/>
  <c r="BU196" i="4" s="1"/>
  <c r="AA196" i="4"/>
  <c r="AK196" i="4" s="1"/>
  <c r="AI196" i="4" s="1"/>
  <c r="HI11" i="4"/>
  <c r="C11" i="4"/>
  <c r="HQ11" i="4"/>
  <c r="HS12" i="4"/>
  <c r="BF12" i="4"/>
  <c r="GY12" i="4" s="1"/>
  <c r="GZ12" i="4" s="1"/>
  <c r="HK12" i="4"/>
  <c r="HI12" i="4"/>
  <c r="AA176" i="4"/>
  <c r="AA171" i="4"/>
  <c r="AK171" i="4" s="1"/>
  <c r="AI171" i="4" s="1"/>
  <c r="AA165" i="4"/>
  <c r="AK165" i="4" s="1"/>
  <c r="AI165" i="4" s="1"/>
  <c r="AA157" i="4"/>
  <c r="AA162" i="4"/>
  <c r="AK162" i="4" s="1"/>
  <c r="AI162" i="4" s="1"/>
  <c r="AA175" i="4"/>
  <c r="AK175" i="4" s="1"/>
  <c r="AI175" i="4" s="1"/>
  <c r="AA170" i="4"/>
  <c r="L179" i="4"/>
  <c r="BT179" i="4" s="1"/>
  <c r="AA179" i="4"/>
  <c r="AK179" i="4" s="1"/>
  <c r="AA173" i="4"/>
  <c r="AA178" i="4"/>
  <c r="AK178" i="4" s="1"/>
  <c r="AI178" i="4" s="1"/>
  <c r="AA174" i="4"/>
  <c r="AK174" i="4" s="1"/>
  <c r="AI174" i="4" s="1"/>
  <c r="AA166" i="4"/>
  <c r="AK166" i="4" s="1"/>
  <c r="AI166" i="4" s="1"/>
  <c r="AA164" i="4"/>
  <c r="AA160" i="4"/>
  <c r="AK160" i="4" s="1"/>
  <c r="AI160" i="4" s="1"/>
  <c r="AA177" i="4"/>
  <c r="AK177" i="4" s="1"/>
  <c r="AI177" i="4" s="1"/>
  <c r="AA167" i="4"/>
  <c r="AA154" i="4"/>
  <c r="AA147" i="4"/>
  <c r="AA142" i="4"/>
  <c r="AA121" i="4"/>
  <c r="AA150" i="4"/>
  <c r="AA148" i="4"/>
  <c r="AK148" i="4" s="1"/>
  <c r="AI148" i="4" s="1"/>
  <c r="AA143" i="4"/>
  <c r="AA128" i="4"/>
  <c r="AA151" i="4"/>
  <c r="L153" i="4"/>
  <c r="AA153" i="4"/>
  <c r="AK153" i="4" s="1"/>
  <c r="AI153" i="4" s="1"/>
  <c r="AA139" i="4"/>
  <c r="AK139" i="4" s="1"/>
  <c r="AI139" i="4" s="1"/>
  <c r="AA134" i="4"/>
  <c r="AA146" i="4"/>
  <c r="AK146" i="4" s="1"/>
  <c r="AI146" i="4" s="1"/>
  <c r="AA135" i="4"/>
  <c r="AK135" i="4" s="1"/>
  <c r="AI135" i="4" s="1"/>
  <c r="AA127" i="4"/>
  <c r="AA132" i="4"/>
  <c r="AA144" i="4"/>
  <c r="AA149" i="4"/>
  <c r="AA123" i="4"/>
  <c r="AK123" i="4" s="1"/>
  <c r="AI123" i="4" s="1"/>
  <c r="AA129" i="4"/>
  <c r="AK129" i="4" s="1"/>
  <c r="AI129" i="4" s="1"/>
  <c r="GU172" i="4"/>
  <c r="GV172" i="4" s="1"/>
  <c r="P172" i="4"/>
  <c r="BU172" i="4" s="1"/>
  <c r="L138" i="4"/>
  <c r="P138" i="4" s="1"/>
  <c r="BU138" i="4" s="1"/>
  <c r="AA138" i="4"/>
  <c r="L125" i="4"/>
  <c r="P125" i="4" s="1"/>
  <c r="AA125" i="4"/>
  <c r="AK125" i="4" s="1"/>
  <c r="AI125" i="4" s="1"/>
  <c r="L137" i="4"/>
  <c r="N137" i="4" s="1"/>
  <c r="BY137" i="4" s="1"/>
  <c r="AA137" i="4"/>
  <c r="L133" i="4"/>
  <c r="P133" i="4" s="1"/>
  <c r="BV133" i="4" s="1"/>
  <c r="AA133" i="4"/>
  <c r="AK133" i="4" s="1"/>
  <c r="AI133" i="4" s="1"/>
  <c r="L136" i="4"/>
  <c r="AA136" i="4"/>
  <c r="L130" i="4"/>
  <c r="AA130" i="4"/>
  <c r="L124" i="4"/>
  <c r="P124" i="4" s="1"/>
  <c r="AA124" i="4"/>
  <c r="AK124" i="4" s="1"/>
  <c r="AI124" i="4" s="1"/>
  <c r="L126" i="4"/>
  <c r="P126" i="4" s="1"/>
  <c r="AA126" i="4"/>
  <c r="BS145" i="4"/>
  <c r="BT145" i="4"/>
  <c r="BU145" i="4"/>
  <c r="AA110" i="4"/>
  <c r="AK110" i="4" s="1"/>
  <c r="AI110" i="4" s="1"/>
  <c r="AA112" i="4"/>
  <c r="AK112" i="4" s="1"/>
  <c r="AI112" i="4" s="1"/>
  <c r="AA113" i="4"/>
  <c r="AK113" i="4" s="1"/>
  <c r="AI113" i="4" s="1"/>
  <c r="AA107" i="4"/>
  <c r="AK107" i="4" s="1"/>
  <c r="AI107" i="4" s="1"/>
  <c r="AA88" i="4"/>
  <c r="AK88" i="4" s="1"/>
  <c r="AI88" i="4" s="1"/>
  <c r="L115" i="4"/>
  <c r="N115" i="4" s="1"/>
  <c r="AA115" i="4"/>
  <c r="AK115" i="4" s="1"/>
  <c r="AI115" i="4" s="1"/>
  <c r="AA83" i="4"/>
  <c r="L118" i="4"/>
  <c r="AA118" i="4"/>
  <c r="AK118" i="4" s="1"/>
  <c r="AI118" i="4" s="1"/>
  <c r="L108" i="4"/>
  <c r="P108" i="4" s="1"/>
  <c r="GS108" i="4" s="1"/>
  <c r="AA108" i="4"/>
  <c r="AK108" i="4" s="1"/>
  <c r="AI108" i="4" s="1"/>
  <c r="L119" i="4"/>
  <c r="N119" i="4" s="1"/>
  <c r="CA119" i="4" s="1"/>
  <c r="AA119" i="4"/>
  <c r="AA84" i="4"/>
  <c r="AA105" i="4"/>
  <c r="AK105" i="4" s="1"/>
  <c r="AI105" i="4" s="1"/>
  <c r="AA93" i="4"/>
  <c r="AK93" i="4" s="1"/>
  <c r="AI93" i="4" s="1"/>
  <c r="L117" i="4"/>
  <c r="AA117" i="4"/>
  <c r="AK117" i="4" s="1"/>
  <c r="AI117" i="4" s="1"/>
  <c r="AA101" i="4"/>
  <c r="AA104" i="4"/>
  <c r="AK104" i="4" s="1"/>
  <c r="AI104" i="4" s="1"/>
  <c r="L111" i="4"/>
  <c r="N111" i="4" s="1"/>
  <c r="CA111" i="4" s="1"/>
  <c r="AA111" i="4"/>
  <c r="AK111" i="4" s="1"/>
  <c r="AA103" i="4"/>
  <c r="AK103" i="4" s="1"/>
  <c r="AI103" i="4" s="1"/>
  <c r="AA85" i="4"/>
  <c r="AK85" i="4" s="1"/>
  <c r="AI85" i="4" s="1"/>
  <c r="L109" i="4"/>
  <c r="AA109" i="4"/>
  <c r="AK109" i="4" s="1"/>
  <c r="AI109" i="4" s="1"/>
  <c r="AA100" i="4"/>
  <c r="AA102" i="4"/>
  <c r="AK102" i="4" s="1"/>
  <c r="AI102" i="4" s="1"/>
  <c r="L120" i="4"/>
  <c r="P120" i="4" s="1"/>
  <c r="BU120" i="4" s="1"/>
  <c r="AA120" i="4"/>
  <c r="AK120" i="4" s="1"/>
  <c r="AI120" i="4" s="1"/>
  <c r="AA99" i="4"/>
  <c r="BV57" i="4"/>
  <c r="BT57" i="4"/>
  <c r="BU57" i="4"/>
  <c r="BT65" i="4"/>
  <c r="BU65" i="4"/>
  <c r="BV65" i="4"/>
  <c r="BT62" i="4"/>
  <c r="BU62" i="4"/>
  <c r="BV62" i="4"/>
  <c r="L86" i="4"/>
  <c r="N86" i="4" s="1"/>
  <c r="CA86" i="4" s="1"/>
  <c r="AA86" i="4"/>
  <c r="AK86" i="4" s="1"/>
  <c r="AI86" i="4" s="1"/>
  <c r="BS34" i="4"/>
  <c r="BT34" i="4"/>
  <c r="BU34" i="4"/>
  <c r="BS32" i="4"/>
  <c r="BT32" i="4"/>
  <c r="BU32" i="4"/>
  <c r="L82" i="4"/>
  <c r="N82" i="4" s="1"/>
  <c r="AA82" i="4"/>
  <c r="AK82" i="4" s="1"/>
  <c r="AI82" i="4" s="1"/>
  <c r="BU90" i="4"/>
  <c r="BV90" i="4"/>
  <c r="BS90" i="4"/>
  <c r="BF10" i="4"/>
  <c r="HC10" i="4" s="1"/>
  <c r="HD10" i="4" s="1"/>
  <c r="HI10" i="4"/>
  <c r="AA70" i="4"/>
  <c r="AK70" i="4" s="1"/>
  <c r="AI70" i="4" s="1"/>
  <c r="AA77" i="4"/>
  <c r="AK77" i="4" s="1"/>
  <c r="AI77" i="4" s="1"/>
  <c r="AA78" i="4"/>
  <c r="AA64" i="4"/>
  <c r="AK64" i="4" s="1"/>
  <c r="AI64" i="4" s="1"/>
  <c r="AA75" i="4"/>
  <c r="AK75" i="4" s="1"/>
  <c r="AI75" i="4" s="1"/>
  <c r="AA79" i="4"/>
  <c r="AK79" i="4" s="1"/>
  <c r="AI79" i="4" s="1"/>
  <c r="AA76" i="4"/>
  <c r="AK76" i="4" s="1"/>
  <c r="AI76" i="4" s="1"/>
  <c r="AA61" i="4"/>
  <c r="AA73" i="4"/>
  <c r="AA59" i="4"/>
  <c r="HK10" i="4"/>
  <c r="HO11" i="4"/>
  <c r="HM11" i="4"/>
  <c r="HO10" i="4"/>
  <c r="HM10" i="4"/>
  <c r="AA56" i="4"/>
  <c r="AA44" i="4"/>
  <c r="AA45" i="4"/>
  <c r="AK45" i="4" s="1"/>
  <c r="AI45" i="4" s="1"/>
  <c r="L72" i="4"/>
  <c r="N72" i="4" s="1"/>
  <c r="BY72" i="4" s="1"/>
  <c r="AA72" i="4"/>
  <c r="AK72" i="4" s="1"/>
  <c r="AI72" i="4" s="1"/>
  <c r="L69" i="4"/>
  <c r="N69" i="4" s="1"/>
  <c r="CA69" i="4" s="1"/>
  <c r="AA69" i="4"/>
  <c r="AA50" i="4"/>
  <c r="AK50" i="4" s="1"/>
  <c r="AI50" i="4" s="1"/>
  <c r="L60" i="4"/>
  <c r="AA60" i="4"/>
  <c r="AK60" i="4" s="1"/>
  <c r="AI60" i="4" s="1"/>
  <c r="L49" i="4"/>
  <c r="AA49" i="4"/>
  <c r="L53" i="4"/>
  <c r="N53" i="4" s="1"/>
  <c r="CA53" i="4" s="1"/>
  <c r="AA53" i="4"/>
  <c r="L43" i="4"/>
  <c r="N43" i="4" s="1"/>
  <c r="CA43" i="4" s="1"/>
  <c r="AA43" i="4"/>
  <c r="L54" i="4"/>
  <c r="AA54" i="4"/>
  <c r="HI9" i="4"/>
  <c r="C12" i="4"/>
  <c r="HK9" i="4"/>
  <c r="C10" i="4"/>
  <c r="Y10" i="15"/>
  <c r="AA7" i="15"/>
  <c r="AA40" i="4"/>
  <c r="Y9" i="15"/>
  <c r="Y7" i="15"/>
  <c r="AA39" i="4"/>
  <c r="AK39" i="4" s="1"/>
  <c r="AI39" i="4" s="1"/>
  <c r="Y15" i="15"/>
  <c r="HI8" i="4"/>
  <c r="BF8" i="4"/>
  <c r="GU8" i="4" s="1"/>
  <c r="GV8" i="4" s="1"/>
  <c r="HO8" i="4"/>
  <c r="HM8" i="4"/>
  <c r="HO9" i="4"/>
  <c r="C8" i="4"/>
  <c r="HK7" i="4"/>
  <c r="HM9" i="4"/>
  <c r="C7" i="4"/>
  <c r="HI7" i="4"/>
  <c r="HQ7" i="4"/>
  <c r="HK8" i="4"/>
  <c r="HO7" i="4"/>
  <c r="AA20" i="4"/>
  <c r="AA25" i="4"/>
  <c r="GY38" i="4"/>
  <c r="GZ38" i="4" s="1"/>
  <c r="P38" i="4"/>
  <c r="BT38" i="4" s="1"/>
  <c r="BF9" i="4"/>
  <c r="HG9" i="4" s="1"/>
  <c r="HH9" i="4" s="1"/>
  <c r="C9" i="4"/>
  <c r="BF7" i="4"/>
  <c r="HG7" i="4" s="1"/>
  <c r="HH7" i="4" s="1"/>
  <c r="P145" i="4"/>
  <c r="CE145" i="4" s="1"/>
  <c r="P412" i="4"/>
  <c r="HM412" i="4" s="1"/>
  <c r="P13" i="4"/>
  <c r="CE13" i="4" s="1"/>
  <c r="P65" i="4"/>
  <c r="EC65" i="4" s="1"/>
  <c r="P32" i="4"/>
  <c r="B4" i="16" s="1"/>
  <c r="P90" i="4"/>
  <c r="BT90" i="4" s="1"/>
  <c r="P62" i="4"/>
  <c r="DV62" i="4" s="1"/>
  <c r="HS417" i="4"/>
  <c r="HI417" i="4"/>
  <c r="HK417" i="4"/>
  <c r="HO417" i="4"/>
  <c r="CP111" i="4"/>
  <c r="HG111" i="4"/>
  <c r="HH111" i="4" s="1"/>
  <c r="HE111" i="4"/>
  <c r="HF111" i="4" s="1"/>
  <c r="HC111" i="4"/>
  <c r="HD111" i="4" s="1"/>
  <c r="HG109" i="4"/>
  <c r="HH109" i="4" s="1"/>
  <c r="HC109" i="4"/>
  <c r="HD109" i="4" s="1"/>
  <c r="HE109" i="4"/>
  <c r="HF109" i="4" s="1"/>
  <c r="HG400" i="4"/>
  <c r="HH400" i="4" s="1"/>
  <c r="HE400" i="4"/>
  <c r="HF400" i="4" s="1"/>
  <c r="HC400" i="4"/>
  <c r="HG208" i="4"/>
  <c r="HH208" i="4" s="1"/>
  <c r="HC208" i="4"/>
  <c r="HD208" i="4" s="1"/>
  <c r="HE208" i="4"/>
  <c r="HF208" i="4" s="1"/>
  <c r="HG243" i="4"/>
  <c r="HH243" i="4" s="1"/>
  <c r="HE243" i="4"/>
  <c r="HF243" i="4" s="1"/>
  <c r="HC243" i="4"/>
  <c r="HD243" i="4" s="1"/>
  <c r="HG31" i="4"/>
  <c r="HH31" i="4" s="1"/>
  <c r="HC31" i="4"/>
  <c r="HD31" i="4" s="1"/>
  <c r="HE31" i="4"/>
  <c r="HF31" i="4" s="1"/>
  <c r="HG253" i="4"/>
  <c r="HH253" i="4" s="1"/>
  <c r="HE253" i="4"/>
  <c r="HF253" i="4" s="1"/>
  <c r="HC253" i="4"/>
  <c r="HD253" i="4" s="1"/>
  <c r="HG218" i="4"/>
  <c r="HH218" i="4" s="1"/>
  <c r="HC218" i="4"/>
  <c r="HD218" i="4" s="1"/>
  <c r="HE218" i="4"/>
  <c r="HF218" i="4" s="1"/>
  <c r="HE106" i="4"/>
  <c r="HF106" i="4" s="1"/>
  <c r="HG106" i="4"/>
  <c r="HH106" i="4" s="1"/>
  <c r="HC106" i="4"/>
  <c r="HD106" i="4" s="1"/>
  <c r="CK127" i="4"/>
  <c r="HC127" i="4"/>
  <c r="HD127" i="4" s="1"/>
  <c r="HE127" i="4"/>
  <c r="HF127" i="4" s="1"/>
  <c r="HG127" i="4"/>
  <c r="HH127" i="4" s="1"/>
  <c r="HG158" i="4"/>
  <c r="HH158" i="4" s="1"/>
  <c r="HE158" i="4"/>
  <c r="HF158" i="4" s="1"/>
  <c r="HC158" i="4"/>
  <c r="HD158" i="4" s="1"/>
  <c r="HE291" i="4"/>
  <c r="HF291" i="4" s="1"/>
  <c r="HG291" i="4"/>
  <c r="HH291" i="4" s="1"/>
  <c r="HC291" i="4"/>
  <c r="HD291" i="4" s="1"/>
  <c r="HE225" i="4"/>
  <c r="HF225" i="4" s="1"/>
  <c r="HG225" i="4"/>
  <c r="HH225" i="4" s="1"/>
  <c r="HC225" i="4"/>
  <c r="HD225" i="4" s="1"/>
  <c r="HC307" i="4"/>
  <c r="HD307" i="4" s="1"/>
  <c r="HG307" i="4"/>
  <c r="HH307" i="4" s="1"/>
  <c r="HE307" i="4"/>
  <c r="HF307" i="4" s="1"/>
  <c r="HE288" i="4"/>
  <c r="HF288" i="4" s="1"/>
  <c r="HG288" i="4"/>
  <c r="HH288" i="4" s="1"/>
  <c r="HC288" i="4"/>
  <c r="HD288" i="4" s="1"/>
  <c r="HG138" i="4"/>
  <c r="HH138" i="4" s="1"/>
  <c r="HE138" i="4"/>
  <c r="HF138" i="4" s="1"/>
  <c r="HC138" i="4"/>
  <c r="HD138" i="4" s="1"/>
  <c r="HG145" i="4"/>
  <c r="HH145" i="4" s="1"/>
  <c r="HC145" i="4"/>
  <c r="HD145" i="4" s="1"/>
  <c r="HE145" i="4"/>
  <c r="HF145" i="4" s="1"/>
  <c r="HG361" i="4"/>
  <c r="HH361" i="4" s="1"/>
  <c r="HC361" i="4"/>
  <c r="HD361" i="4" s="1"/>
  <c r="HE361" i="4"/>
  <c r="HF361" i="4" s="1"/>
  <c r="GU271" i="4"/>
  <c r="GV271" i="4" s="1"/>
  <c r="HE271" i="4"/>
  <c r="HF271" i="4" s="1"/>
  <c r="HG271" i="4"/>
  <c r="HH271" i="4" s="1"/>
  <c r="HC271" i="4"/>
  <c r="HD271" i="4" s="1"/>
  <c r="GU184" i="4"/>
  <c r="GV184" i="4" s="1"/>
  <c r="HC184" i="4"/>
  <c r="HD184" i="4" s="1"/>
  <c r="HE184" i="4"/>
  <c r="HF184" i="4" s="1"/>
  <c r="HG184" i="4"/>
  <c r="HH184" i="4" s="1"/>
  <c r="HG154" i="4"/>
  <c r="HH154" i="4" s="1"/>
  <c r="HE154" i="4"/>
  <c r="HF154" i="4" s="1"/>
  <c r="HC154" i="4"/>
  <c r="HD154" i="4" s="1"/>
  <c r="HE352" i="4"/>
  <c r="HF352" i="4" s="1"/>
  <c r="HG352" i="4"/>
  <c r="HH352" i="4" s="1"/>
  <c r="HC352" i="4"/>
  <c r="HD352" i="4" s="1"/>
  <c r="GY357" i="4"/>
  <c r="GZ357" i="4" s="1"/>
  <c r="HG357" i="4"/>
  <c r="HH357" i="4" s="1"/>
  <c r="HE357" i="4"/>
  <c r="HF357" i="4" s="1"/>
  <c r="HC357" i="4"/>
  <c r="HD357" i="4" s="1"/>
  <c r="FC67" i="4"/>
  <c r="HG67" i="4"/>
  <c r="HH67" i="4" s="1"/>
  <c r="HC67" i="4"/>
  <c r="HD67" i="4" s="1"/>
  <c r="HE67" i="4"/>
  <c r="HF67" i="4" s="1"/>
  <c r="HC16" i="4"/>
  <c r="HD16" i="4" s="1"/>
  <c r="HG16" i="4"/>
  <c r="HH16" i="4" s="1"/>
  <c r="HE16" i="4"/>
  <c r="HF16" i="4" s="1"/>
  <c r="CK420" i="4"/>
  <c r="HG420" i="4"/>
  <c r="HH420" i="4" s="1"/>
  <c r="HE420" i="4"/>
  <c r="HF420" i="4" s="1"/>
  <c r="HC420" i="4"/>
  <c r="HD420" i="4" s="1"/>
  <c r="DD196" i="4"/>
  <c r="HG196" i="4"/>
  <c r="HH196" i="4" s="1"/>
  <c r="HE196" i="4"/>
  <c r="HF196" i="4" s="1"/>
  <c r="HC196" i="4"/>
  <c r="HD196" i="4" s="1"/>
  <c r="GY173" i="4"/>
  <c r="GZ173" i="4" s="1"/>
  <c r="HE173" i="4"/>
  <c r="HF173" i="4" s="1"/>
  <c r="HG173" i="4"/>
  <c r="HH173" i="4" s="1"/>
  <c r="HC173" i="4"/>
  <c r="HD173" i="4" s="1"/>
  <c r="CK121" i="4"/>
  <c r="HG121" i="4"/>
  <c r="HH121" i="4" s="1"/>
  <c r="HC121" i="4"/>
  <c r="HD121" i="4" s="1"/>
  <c r="HE121" i="4"/>
  <c r="HF121" i="4" s="1"/>
  <c r="CW177" i="4"/>
  <c r="HE177" i="4"/>
  <c r="HF177" i="4" s="1"/>
  <c r="HG177" i="4"/>
  <c r="HH177" i="4" s="1"/>
  <c r="HC177" i="4"/>
  <c r="HD177" i="4" s="1"/>
  <c r="HE237" i="4"/>
  <c r="HF237" i="4" s="1"/>
  <c r="HG237" i="4"/>
  <c r="HH237" i="4" s="1"/>
  <c r="HC237" i="4"/>
  <c r="HD237" i="4" s="1"/>
  <c r="HG149" i="4"/>
  <c r="HH149" i="4" s="1"/>
  <c r="HE149" i="4"/>
  <c r="HF149" i="4" s="1"/>
  <c r="HC149" i="4"/>
  <c r="HD149" i="4" s="1"/>
  <c r="HG252" i="4"/>
  <c r="HH252" i="4" s="1"/>
  <c r="HE252" i="4"/>
  <c r="HF252" i="4" s="1"/>
  <c r="HC252" i="4"/>
  <c r="HD252" i="4" s="1"/>
  <c r="HG72" i="4"/>
  <c r="HH72" i="4" s="1"/>
  <c r="HE72" i="4"/>
  <c r="HF72" i="4" s="1"/>
  <c r="HC72" i="4"/>
  <c r="HD72" i="4" s="1"/>
  <c r="GW355" i="4"/>
  <c r="GX355" i="4" s="1"/>
  <c r="HG355" i="4"/>
  <c r="HH355" i="4" s="1"/>
  <c r="HC355" i="4"/>
  <c r="HD355" i="4" s="1"/>
  <c r="HE383" i="4"/>
  <c r="HF383" i="4" s="1"/>
  <c r="HG383" i="4"/>
  <c r="HH383" i="4" s="1"/>
  <c r="HC383" i="4"/>
  <c r="HD383" i="4" s="1"/>
  <c r="HG205" i="4"/>
  <c r="HH205" i="4" s="1"/>
  <c r="HE205" i="4"/>
  <c r="HF205" i="4" s="1"/>
  <c r="HC205" i="4"/>
  <c r="HD205" i="4" s="1"/>
  <c r="HG144" i="4"/>
  <c r="HH144" i="4" s="1"/>
  <c r="HC144" i="4"/>
  <c r="HD144" i="4" s="1"/>
  <c r="HE144" i="4"/>
  <c r="HF144" i="4" s="1"/>
  <c r="AY170" i="4"/>
  <c r="HC170" i="4"/>
  <c r="HD170" i="4" s="1"/>
  <c r="HE170" i="4"/>
  <c r="HF170" i="4" s="1"/>
  <c r="HG170" i="4"/>
  <c r="HH170" i="4" s="1"/>
  <c r="HG373" i="4"/>
  <c r="HH373" i="4" s="1"/>
  <c r="HE373" i="4"/>
  <c r="HF373" i="4" s="1"/>
  <c r="HC373" i="4"/>
  <c r="HD373" i="4" s="1"/>
  <c r="HG268" i="4"/>
  <c r="HH268" i="4" s="1"/>
  <c r="HE268" i="4"/>
  <c r="HF268" i="4" s="1"/>
  <c r="HC268" i="4"/>
  <c r="HD268" i="4" s="1"/>
  <c r="HG213" i="4"/>
  <c r="HH213" i="4" s="1"/>
  <c r="HE213" i="4"/>
  <c r="HF213" i="4" s="1"/>
  <c r="HC213" i="4"/>
  <c r="HD213" i="4" s="1"/>
  <c r="HG322" i="4"/>
  <c r="HH322" i="4" s="1"/>
  <c r="HE322" i="4"/>
  <c r="HF322" i="4" s="1"/>
  <c r="HC322" i="4"/>
  <c r="HD322" i="4" s="1"/>
  <c r="HG35" i="4"/>
  <c r="HH35" i="4" s="1"/>
  <c r="HC35" i="4"/>
  <c r="HD35" i="4" s="1"/>
  <c r="HE35" i="4"/>
  <c r="HF35" i="4" s="1"/>
  <c r="GY33" i="4"/>
  <c r="GZ33" i="4" s="1"/>
  <c r="HG33" i="4"/>
  <c r="HH33" i="4" s="1"/>
  <c r="HC33" i="4"/>
  <c r="HD33" i="4" s="1"/>
  <c r="HE33" i="4"/>
  <c r="HF33" i="4" s="1"/>
  <c r="CY37" i="4"/>
  <c r="HG37" i="4"/>
  <c r="HH37" i="4" s="1"/>
  <c r="HE37" i="4"/>
  <c r="HF37" i="4" s="1"/>
  <c r="HC37" i="4"/>
  <c r="HD37" i="4" s="1"/>
  <c r="GY199" i="4"/>
  <c r="GZ199" i="4" s="1"/>
  <c r="HG199" i="4"/>
  <c r="HH199" i="4" s="1"/>
  <c r="HE199" i="4"/>
  <c r="HF199" i="4" s="1"/>
  <c r="HC199" i="4"/>
  <c r="HD199" i="4" s="1"/>
  <c r="DD255" i="4"/>
  <c r="HE255" i="4"/>
  <c r="HF255" i="4" s="1"/>
  <c r="HC255" i="4"/>
  <c r="HD255" i="4" s="1"/>
  <c r="HG255" i="4"/>
  <c r="HH255" i="4" s="1"/>
  <c r="GW195" i="4"/>
  <c r="GX195" i="4" s="1"/>
  <c r="HG195" i="4"/>
  <c r="HH195" i="4" s="1"/>
  <c r="HC195" i="4"/>
  <c r="HD195" i="4" s="1"/>
  <c r="HE195" i="4"/>
  <c r="HF195" i="4" s="1"/>
  <c r="HG124" i="4"/>
  <c r="HH124" i="4" s="1"/>
  <c r="HE124" i="4"/>
  <c r="HF124" i="4" s="1"/>
  <c r="HC124" i="4"/>
  <c r="HD124" i="4" s="1"/>
  <c r="HE174" i="4"/>
  <c r="HF174" i="4" s="1"/>
  <c r="HC174" i="4"/>
  <c r="HD174" i="4" s="1"/>
  <c r="HG174" i="4"/>
  <c r="HH174" i="4" s="1"/>
  <c r="DF50" i="4"/>
  <c r="HE50" i="4"/>
  <c r="HF50" i="4" s="1"/>
  <c r="HC50" i="4"/>
  <c r="HD50" i="4" s="1"/>
  <c r="HG50" i="4"/>
  <c r="HH50" i="4" s="1"/>
  <c r="HC88" i="4"/>
  <c r="HD88" i="4" s="1"/>
  <c r="HE88" i="4"/>
  <c r="HF88" i="4" s="1"/>
  <c r="HG88" i="4"/>
  <c r="HH88" i="4" s="1"/>
  <c r="HG299" i="4"/>
  <c r="HH299" i="4" s="1"/>
  <c r="HE299" i="4"/>
  <c r="HF299" i="4" s="1"/>
  <c r="HC299" i="4"/>
  <c r="HD299" i="4" s="1"/>
  <c r="HE162" i="4"/>
  <c r="HF162" i="4" s="1"/>
  <c r="HG162" i="4"/>
  <c r="HH162" i="4" s="1"/>
  <c r="HC162" i="4"/>
  <c r="HD162" i="4" s="1"/>
  <c r="HG65" i="4"/>
  <c r="HH65" i="4" s="1"/>
  <c r="HE65" i="4"/>
  <c r="HF65" i="4" s="1"/>
  <c r="HC65" i="4"/>
  <c r="HD65" i="4" s="1"/>
  <c r="HG286" i="4"/>
  <c r="HC286" i="4"/>
  <c r="HD286" i="4" s="1"/>
  <c r="HE286" i="4"/>
  <c r="HF286" i="4" s="1"/>
  <c r="HE186" i="4"/>
  <c r="HF186" i="4" s="1"/>
  <c r="HG186" i="4"/>
  <c r="HH186" i="4" s="1"/>
  <c r="HC186" i="4"/>
  <c r="HD186" i="4" s="1"/>
  <c r="GW358" i="4"/>
  <c r="GX358" i="4" s="1"/>
  <c r="HE358" i="4"/>
  <c r="HF358" i="4" s="1"/>
  <c r="HG358" i="4"/>
  <c r="HH358" i="4" s="1"/>
  <c r="HC232" i="4"/>
  <c r="HD232" i="4" s="1"/>
  <c r="HG232" i="4"/>
  <c r="HH232" i="4" s="1"/>
  <c r="HE232" i="4"/>
  <c r="HF232" i="4" s="1"/>
  <c r="DV120" i="4"/>
  <c r="HG120" i="4"/>
  <c r="HH120" i="4" s="1"/>
  <c r="HE120" i="4"/>
  <c r="HF120" i="4" s="1"/>
  <c r="HC120" i="4"/>
  <c r="HD120" i="4" s="1"/>
  <c r="GY126" i="4"/>
  <c r="GZ126" i="4" s="1"/>
  <c r="HE126" i="4"/>
  <c r="HF126" i="4" s="1"/>
  <c r="HG126" i="4"/>
  <c r="HH126" i="4" s="1"/>
  <c r="HC126" i="4"/>
  <c r="HD126" i="4" s="1"/>
  <c r="HE171" i="4"/>
  <c r="HF171" i="4" s="1"/>
  <c r="HG171" i="4"/>
  <c r="HH171" i="4" s="1"/>
  <c r="HC171" i="4"/>
  <c r="HD171" i="4" s="1"/>
  <c r="HG284" i="4"/>
  <c r="HH284" i="4" s="1"/>
  <c r="HE284" i="4"/>
  <c r="HF284" i="4" s="1"/>
  <c r="HC284" i="4"/>
  <c r="HD284" i="4" s="1"/>
  <c r="HG339" i="4"/>
  <c r="HH339" i="4" s="1"/>
  <c r="HE339" i="4"/>
  <c r="HF339" i="4" s="1"/>
  <c r="HC339" i="4"/>
  <c r="HD339" i="4" s="1"/>
  <c r="GW203" i="4"/>
  <c r="GX203" i="4" s="1"/>
  <c r="HG203" i="4"/>
  <c r="HH203" i="4" s="1"/>
  <c r="HC203" i="4"/>
  <c r="HD203" i="4" s="1"/>
  <c r="HE203" i="4"/>
  <c r="HF203" i="4" s="1"/>
  <c r="CP97" i="4"/>
  <c r="HG97" i="4"/>
  <c r="HH97" i="4" s="1"/>
  <c r="HE97" i="4"/>
  <c r="HF97" i="4" s="1"/>
  <c r="HC97" i="4"/>
  <c r="HD97" i="4" s="1"/>
  <c r="HC256" i="4"/>
  <c r="HD256" i="4" s="1"/>
  <c r="HG256" i="4"/>
  <c r="HH256" i="4" s="1"/>
  <c r="HE256" i="4"/>
  <c r="HF256" i="4" s="1"/>
  <c r="GY210" i="4"/>
  <c r="GZ210" i="4" s="1"/>
  <c r="HE210" i="4"/>
  <c r="HF210" i="4" s="1"/>
  <c r="HC210" i="4"/>
  <c r="HD210" i="4" s="1"/>
  <c r="HG210" i="4"/>
  <c r="HH210" i="4" s="1"/>
  <c r="HG187" i="4"/>
  <c r="HH187" i="4" s="1"/>
  <c r="HC187" i="4"/>
  <c r="HD187" i="4" s="1"/>
  <c r="HE187" i="4"/>
  <c r="HF187" i="4" s="1"/>
  <c r="HC89" i="4"/>
  <c r="HD89" i="4" s="1"/>
  <c r="HE89" i="4"/>
  <c r="HF89" i="4" s="1"/>
  <c r="HG89" i="4"/>
  <c r="HH89" i="4" s="1"/>
  <c r="HE26" i="4"/>
  <c r="HG26" i="4"/>
  <c r="HH26" i="4" s="1"/>
  <c r="HC26" i="4"/>
  <c r="HD26" i="4" s="1"/>
  <c r="HG242" i="4"/>
  <c r="HH242" i="4" s="1"/>
  <c r="HC242" i="4"/>
  <c r="HD242" i="4" s="1"/>
  <c r="HE242" i="4"/>
  <c r="HF242" i="4" s="1"/>
  <c r="HG293" i="4"/>
  <c r="HH293" i="4" s="1"/>
  <c r="HE293" i="4"/>
  <c r="HF293" i="4" s="1"/>
  <c r="HC293" i="4"/>
  <c r="HD293" i="4" s="1"/>
  <c r="HG61" i="4"/>
  <c r="HH61" i="4" s="1"/>
  <c r="HC61" i="4"/>
  <c r="HD61" i="4" s="1"/>
  <c r="HE61" i="4"/>
  <c r="HF61" i="4" s="1"/>
  <c r="GU214" i="4"/>
  <c r="GV214" i="4" s="1"/>
  <c r="HE214" i="4"/>
  <c r="HF214" i="4" s="1"/>
  <c r="HG214" i="4"/>
  <c r="HH214" i="4" s="1"/>
  <c r="HC214" i="4"/>
  <c r="HD214" i="4" s="1"/>
  <c r="GY43" i="4"/>
  <c r="GZ43" i="4" s="1"/>
  <c r="HC43" i="4"/>
  <c r="HD43" i="4" s="1"/>
  <c r="HE43" i="4"/>
  <c r="HF43" i="4" s="1"/>
  <c r="HG43" i="4"/>
  <c r="HH43" i="4" s="1"/>
  <c r="HG353" i="4"/>
  <c r="HH353" i="4" s="1"/>
  <c r="HE353" i="4"/>
  <c r="HF353" i="4" s="1"/>
  <c r="HC353" i="4"/>
  <c r="HD353" i="4" s="1"/>
  <c r="HG209" i="4"/>
  <c r="HH209" i="4" s="1"/>
  <c r="HE209" i="4"/>
  <c r="HF209" i="4" s="1"/>
  <c r="HC209" i="4"/>
  <c r="HD209" i="4" s="1"/>
  <c r="HE105" i="4"/>
  <c r="HF105" i="4" s="1"/>
  <c r="HG105" i="4"/>
  <c r="HH105" i="4" s="1"/>
  <c r="HC105" i="4"/>
  <c r="HD105" i="4" s="1"/>
  <c r="HE328" i="4"/>
  <c r="HF328" i="4" s="1"/>
  <c r="HG328" i="4"/>
  <c r="HH328" i="4" s="1"/>
  <c r="HC328" i="4"/>
  <c r="HD328" i="4" s="1"/>
  <c r="AO188" i="4"/>
  <c r="HE188" i="4"/>
  <c r="HF188" i="4" s="1"/>
  <c r="HC188" i="4"/>
  <c r="HD188" i="4" s="1"/>
  <c r="HG188" i="4"/>
  <c r="GU25" i="4"/>
  <c r="GV25" i="4" s="1"/>
  <c r="HE25" i="4"/>
  <c r="HF25" i="4" s="1"/>
  <c r="HC25" i="4"/>
  <c r="HD25" i="4" s="1"/>
  <c r="HG25" i="4"/>
  <c r="HH25" i="4" s="1"/>
  <c r="HG118" i="4"/>
  <c r="HH118" i="4" s="1"/>
  <c r="HE118" i="4"/>
  <c r="HF118" i="4" s="1"/>
  <c r="HC118" i="4"/>
  <c r="HD118" i="4" s="1"/>
  <c r="HG201" i="4"/>
  <c r="HH201" i="4" s="1"/>
  <c r="HC201" i="4"/>
  <c r="HD201" i="4" s="1"/>
  <c r="HE201" i="4"/>
  <c r="HF201" i="4" s="1"/>
  <c r="DD251" i="4"/>
  <c r="HC251" i="4"/>
  <c r="HD251" i="4" s="1"/>
  <c r="HE251" i="4"/>
  <c r="HF251" i="4" s="1"/>
  <c r="HG251" i="4"/>
  <c r="HH251" i="4" s="1"/>
  <c r="AW298" i="4"/>
  <c r="HE298" i="4"/>
  <c r="HF298" i="4" s="1"/>
  <c r="HG298" i="4"/>
  <c r="HH298" i="4" s="1"/>
  <c r="HC298" i="4"/>
  <c r="HD298" i="4" s="1"/>
  <c r="HC66" i="4"/>
  <c r="HD66" i="4" s="1"/>
  <c r="HG66" i="4"/>
  <c r="HH66" i="4" s="1"/>
  <c r="HE66" i="4"/>
  <c r="HF66" i="4" s="1"/>
  <c r="HE292" i="4"/>
  <c r="HF292" i="4" s="1"/>
  <c r="HG292" i="4"/>
  <c r="HH292" i="4" s="1"/>
  <c r="HC292" i="4"/>
  <c r="HD292" i="4" s="1"/>
  <c r="HE183" i="4"/>
  <c r="HF183" i="4" s="1"/>
  <c r="HG176" i="4"/>
  <c r="HH176" i="4" s="1"/>
  <c r="HE176" i="4"/>
  <c r="HF176" i="4" s="1"/>
  <c r="HC176" i="4"/>
  <c r="HD176" i="4" s="1"/>
  <c r="HE340" i="4"/>
  <c r="HF340" i="4" s="1"/>
  <c r="HG340" i="4"/>
  <c r="HH340" i="4" s="1"/>
  <c r="HC340" i="4"/>
  <c r="HD340" i="4" s="1"/>
  <c r="CW249" i="4"/>
  <c r="HG249" i="4"/>
  <c r="HH249" i="4" s="1"/>
  <c r="HC249" i="4"/>
  <c r="HD249" i="4" s="1"/>
  <c r="HE249" i="4"/>
  <c r="HF249" i="4" s="1"/>
  <c r="HG290" i="4"/>
  <c r="HH290" i="4" s="1"/>
  <c r="HC290" i="4"/>
  <c r="HD290" i="4" s="1"/>
  <c r="HE290" i="4"/>
  <c r="HF290" i="4" s="1"/>
  <c r="HG134" i="4"/>
  <c r="HH134" i="4" s="1"/>
  <c r="HC134" i="4"/>
  <c r="HD134" i="4" s="1"/>
  <c r="HE134" i="4"/>
  <c r="HF134" i="4" s="1"/>
  <c r="HC273" i="4"/>
  <c r="HD273" i="4" s="1"/>
  <c r="HG273" i="4"/>
  <c r="HH273" i="4" s="1"/>
  <c r="HE273" i="4"/>
  <c r="HF273" i="4" s="1"/>
  <c r="HE185" i="4"/>
  <c r="HF185" i="4" s="1"/>
  <c r="HG185" i="4"/>
  <c r="HH185" i="4" s="1"/>
  <c r="HC185" i="4"/>
  <c r="HD185" i="4" s="1"/>
  <c r="HE85" i="4"/>
  <c r="HF85" i="4" s="1"/>
  <c r="HG85" i="4"/>
  <c r="HH85" i="4" s="1"/>
  <c r="HC85" i="4"/>
  <c r="HD85" i="4" s="1"/>
  <c r="HE108" i="4"/>
  <c r="HF108" i="4" s="1"/>
  <c r="HG108" i="4"/>
  <c r="HH108" i="4" s="1"/>
  <c r="HC108" i="4"/>
  <c r="HD108" i="4" s="1"/>
  <c r="HG135" i="4"/>
  <c r="HH135" i="4" s="1"/>
  <c r="HE135" i="4"/>
  <c r="HF135" i="4" s="1"/>
  <c r="HC135" i="4"/>
  <c r="HD135" i="4" s="1"/>
  <c r="CP98" i="4"/>
  <c r="HG98" i="4"/>
  <c r="HH98" i="4" s="1"/>
  <c r="HE98" i="4"/>
  <c r="HF98" i="4" s="1"/>
  <c r="HC98" i="4"/>
  <c r="HD98" i="4" s="1"/>
  <c r="CW236" i="4"/>
  <c r="HG236" i="4"/>
  <c r="HH236" i="4" s="1"/>
  <c r="HE236" i="4"/>
  <c r="HF236" i="4" s="1"/>
  <c r="HC236" i="4"/>
  <c r="HD236" i="4" s="1"/>
  <c r="GW211" i="4"/>
  <c r="GX211" i="4" s="1"/>
  <c r="HG211" i="4"/>
  <c r="HH211" i="4" s="1"/>
  <c r="HC211" i="4"/>
  <c r="HD211" i="4" s="1"/>
  <c r="HE211" i="4"/>
  <c r="HF211" i="4" s="1"/>
  <c r="HC55" i="4"/>
  <c r="HD55" i="4" s="1"/>
  <c r="HG55" i="4"/>
  <c r="HH55" i="4" s="1"/>
  <c r="HE55" i="4"/>
  <c r="HF55" i="4" s="1"/>
  <c r="EV90" i="4"/>
  <c r="HC90" i="4"/>
  <c r="HD90" i="4" s="1"/>
  <c r="HE90" i="4"/>
  <c r="HF90" i="4" s="1"/>
  <c r="HG90" i="4"/>
  <c r="HH90" i="4" s="1"/>
  <c r="EH62" i="4"/>
  <c r="HE62" i="4"/>
  <c r="HF62" i="4" s="1"/>
  <c r="HG62" i="4"/>
  <c r="HH62" i="4" s="1"/>
  <c r="HC62" i="4"/>
  <c r="HD62" i="4" s="1"/>
  <c r="HE240" i="4"/>
  <c r="HF240" i="4" s="1"/>
  <c r="HC240" i="4"/>
  <c r="HD240" i="4" s="1"/>
  <c r="GW115" i="4"/>
  <c r="GX115" i="4" s="1"/>
  <c r="HE115" i="4"/>
  <c r="HF115" i="4" s="1"/>
  <c r="HG115" i="4"/>
  <c r="HH115" i="4" s="1"/>
  <c r="HC115" i="4"/>
  <c r="HD115" i="4" s="1"/>
  <c r="HC30" i="4"/>
  <c r="HD30" i="4" s="1"/>
  <c r="HE30" i="4"/>
  <c r="HF30" i="4" s="1"/>
  <c r="HG30" i="4"/>
  <c r="HH30" i="4" s="1"/>
  <c r="HG191" i="4"/>
  <c r="HH191" i="4" s="1"/>
  <c r="HC191" i="4"/>
  <c r="HD191" i="4" s="1"/>
  <c r="HE191" i="4"/>
  <c r="HF191" i="4" s="1"/>
  <c r="CP60" i="4"/>
  <c r="HC60" i="4"/>
  <c r="HD60" i="4" s="1"/>
  <c r="HG60" i="4"/>
  <c r="HH60" i="4" s="1"/>
  <c r="HE60" i="4"/>
  <c r="HF60" i="4" s="1"/>
  <c r="HG84" i="4"/>
  <c r="HH84" i="4" s="1"/>
  <c r="HE84" i="4"/>
  <c r="HF84" i="4" s="1"/>
  <c r="HC84" i="4"/>
  <c r="HD84" i="4" s="1"/>
  <c r="AW314" i="4"/>
  <c r="HG314" i="4"/>
  <c r="HH314" i="4" s="1"/>
  <c r="HC314" i="4"/>
  <c r="HD314" i="4" s="1"/>
  <c r="HE314" i="4"/>
  <c r="HF314" i="4" s="1"/>
  <c r="HE64" i="4"/>
  <c r="HF64" i="4" s="1"/>
  <c r="HG64" i="4"/>
  <c r="HH64" i="4" s="1"/>
  <c r="HC64" i="4"/>
  <c r="HD64" i="4" s="1"/>
  <c r="HG133" i="4"/>
  <c r="HH133" i="4" s="1"/>
  <c r="HE133" i="4"/>
  <c r="HF133" i="4" s="1"/>
  <c r="HC133" i="4"/>
  <c r="HD133" i="4" s="1"/>
  <c r="HE270" i="4"/>
  <c r="HF270" i="4" s="1"/>
  <c r="HG270" i="4"/>
  <c r="HH270" i="4" s="1"/>
  <c r="HC270" i="4"/>
  <c r="HD270" i="4" s="1"/>
  <c r="DF137" i="4"/>
  <c r="HG137" i="4"/>
  <c r="HH137" i="4" s="1"/>
  <c r="HC137" i="4"/>
  <c r="HD137" i="4" s="1"/>
  <c r="HE137" i="4"/>
  <c r="HF137" i="4" s="1"/>
  <c r="HG294" i="4"/>
  <c r="HH294" i="4" s="1"/>
  <c r="HC294" i="4"/>
  <c r="HD294" i="4" s="1"/>
  <c r="HE294" i="4"/>
  <c r="HF294" i="4" s="1"/>
  <c r="AW300" i="4"/>
  <c r="HE300" i="4"/>
  <c r="HF300" i="4" s="1"/>
  <c r="HG300" i="4"/>
  <c r="HH300" i="4" s="1"/>
  <c r="HC300" i="4"/>
  <c r="HD300" i="4" s="1"/>
  <c r="HC52" i="4"/>
  <c r="HD52" i="4" s="1"/>
  <c r="HG52" i="4"/>
  <c r="HH52" i="4" s="1"/>
  <c r="HE52" i="4"/>
  <c r="HF52" i="4" s="1"/>
  <c r="GU302" i="4"/>
  <c r="GV302" i="4" s="1"/>
  <c r="HE302" i="4"/>
  <c r="HF302" i="4" s="1"/>
  <c r="HC302" i="4"/>
  <c r="HD302" i="4" s="1"/>
  <c r="DF168" i="4"/>
  <c r="HG168" i="4"/>
  <c r="HH168" i="4" s="1"/>
  <c r="HE168" i="4"/>
  <c r="HF168" i="4" s="1"/>
  <c r="HC168" i="4"/>
  <c r="HD168" i="4" s="1"/>
  <c r="HG297" i="4"/>
  <c r="HH297" i="4" s="1"/>
  <c r="HE297" i="4"/>
  <c r="HF297" i="4" s="1"/>
  <c r="HC297" i="4"/>
  <c r="HD297" i="4" s="1"/>
  <c r="GW96" i="4"/>
  <c r="GX96" i="4" s="1"/>
  <c r="HE96" i="4"/>
  <c r="HF96" i="4" s="1"/>
  <c r="CW117" i="4"/>
  <c r="HG117" i="4"/>
  <c r="HH117" i="4" s="1"/>
  <c r="HE117" i="4"/>
  <c r="HF117" i="4" s="1"/>
  <c r="HC117" i="4"/>
  <c r="HD117" i="4" s="1"/>
  <c r="HG21" i="4"/>
  <c r="HH21" i="4" s="1"/>
  <c r="HE21" i="4"/>
  <c r="HF21" i="4" s="1"/>
  <c r="HC21" i="4"/>
  <c r="HD21" i="4" s="1"/>
  <c r="EH32" i="4"/>
  <c r="HE32" i="4"/>
  <c r="HF32" i="4" s="1"/>
  <c r="HG32" i="4"/>
  <c r="HH32" i="4" s="1"/>
  <c r="HC32" i="4"/>
  <c r="HD32" i="4" s="1"/>
  <c r="HG165" i="4"/>
  <c r="HH165" i="4" s="1"/>
  <c r="HE165" i="4"/>
  <c r="HF165" i="4" s="1"/>
  <c r="HC165" i="4"/>
  <c r="HD165" i="4" s="1"/>
  <c r="CK69" i="4"/>
  <c r="HC69" i="4"/>
  <c r="HD69" i="4" s="1"/>
  <c r="HE69" i="4"/>
  <c r="HF69" i="4" s="1"/>
  <c r="HG69" i="4"/>
  <c r="HH69" i="4" s="1"/>
  <c r="HG265" i="4"/>
  <c r="HH265" i="4" s="1"/>
  <c r="HE265" i="4"/>
  <c r="HF265" i="4" s="1"/>
  <c r="HC265" i="4"/>
  <c r="HD265" i="4" s="1"/>
  <c r="HG70" i="4"/>
  <c r="HH70" i="4" s="1"/>
  <c r="HE70" i="4"/>
  <c r="HF70" i="4" s="1"/>
  <c r="HC70" i="4"/>
  <c r="HD70" i="4" s="1"/>
  <c r="HE146" i="4"/>
  <c r="HF146" i="4" s="1"/>
  <c r="HC146" i="4"/>
  <c r="HD146" i="4" s="1"/>
  <c r="HG146" i="4"/>
  <c r="HH146" i="4" s="1"/>
  <c r="HC131" i="4"/>
  <c r="HD131" i="4" s="1"/>
  <c r="HG131" i="4"/>
  <c r="HH131" i="4" s="1"/>
  <c r="HE131" i="4"/>
  <c r="HF131" i="4" s="1"/>
  <c r="HG254" i="4"/>
  <c r="HH254" i="4" s="1"/>
  <c r="HC254" i="4"/>
  <c r="HD254" i="4" s="1"/>
  <c r="HE254" i="4"/>
  <c r="HF254" i="4" s="1"/>
  <c r="GY175" i="4"/>
  <c r="GZ175" i="4" s="1"/>
  <c r="HE175" i="4"/>
  <c r="HF175" i="4" s="1"/>
  <c r="HG175" i="4"/>
  <c r="HH175" i="4" s="1"/>
  <c r="HC175" i="4"/>
  <c r="HD175" i="4" s="1"/>
  <c r="AQ20" i="4"/>
  <c r="HC20" i="4"/>
  <c r="HD20" i="4" s="1"/>
  <c r="HG20" i="4"/>
  <c r="HH20" i="4" s="1"/>
  <c r="HE20" i="4"/>
  <c r="HF20" i="4" s="1"/>
  <c r="HE140" i="4"/>
  <c r="HF140" i="4" s="1"/>
  <c r="HG140" i="4"/>
  <c r="HH140" i="4" s="1"/>
  <c r="HC140" i="4"/>
  <c r="HD140" i="4" s="1"/>
  <c r="GY277" i="4"/>
  <c r="GZ277" i="4" s="1"/>
  <c r="HE277" i="4"/>
  <c r="HF277" i="4" s="1"/>
  <c r="HG277" i="4"/>
  <c r="HH277" i="4" s="1"/>
  <c r="HC277" i="4"/>
  <c r="HD277" i="4" s="1"/>
  <c r="GW94" i="4"/>
  <c r="GX94" i="4" s="1"/>
  <c r="HE94" i="4"/>
  <c r="HF94" i="4" s="1"/>
  <c r="HG94" i="4"/>
  <c r="HH94" i="4" s="1"/>
  <c r="HC94" i="4"/>
  <c r="HD94" i="4" s="1"/>
  <c r="HE44" i="4"/>
  <c r="HF44" i="4" s="1"/>
  <c r="HC44" i="4"/>
  <c r="HD44" i="4" s="1"/>
  <c r="HG44" i="4"/>
  <c r="HH44" i="4" s="1"/>
  <c r="GY82" i="4"/>
  <c r="GZ82" i="4" s="1"/>
  <c r="HE82" i="4"/>
  <c r="HF82" i="4" s="1"/>
  <c r="HG82" i="4"/>
  <c r="HH82" i="4" s="1"/>
  <c r="HC82" i="4"/>
  <c r="HD82" i="4" s="1"/>
  <c r="AQ266" i="4"/>
  <c r="HG266" i="4"/>
  <c r="HH266" i="4" s="1"/>
  <c r="HE266" i="4"/>
  <c r="HF266" i="4" s="1"/>
  <c r="HC266" i="4"/>
  <c r="HD266" i="4" s="1"/>
  <c r="CK200" i="4"/>
  <c r="HE200" i="4"/>
  <c r="HF200" i="4" s="1"/>
  <c r="HG200" i="4"/>
  <c r="HH200" i="4" s="1"/>
  <c r="HC200" i="4"/>
  <c r="HD200" i="4" s="1"/>
  <c r="GU95" i="4"/>
  <c r="GV95" i="4" s="1"/>
  <c r="HG95" i="4"/>
  <c r="HH95" i="4" s="1"/>
  <c r="HE95" i="4"/>
  <c r="HF95" i="4" s="1"/>
  <c r="HC95" i="4"/>
  <c r="HD95" i="4" s="1"/>
  <c r="HC73" i="4"/>
  <c r="HD73" i="4" s="1"/>
  <c r="HG73" i="4"/>
  <c r="HH73" i="4" s="1"/>
  <c r="HE73" i="4"/>
  <c r="HF73" i="4" s="1"/>
  <c r="HE263" i="4"/>
  <c r="HF263" i="4" s="1"/>
  <c r="HG76" i="4"/>
  <c r="HH76" i="4" s="1"/>
  <c r="HE76" i="4"/>
  <c r="HF76" i="4" s="1"/>
  <c r="HC76" i="4"/>
  <c r="HD76" i="4" s="1"/>
  <c r="HG100" i="4"/>
  <c r="HH100" i="4" s="1"/>
  <c r="HE100" i="4"/>
  <c r="HF100" i="4" s="1"/>
  <c r="HC100" i="4"/>
  <c r="HD100" i="4" s="1"/>
  <c r="GY317" i="4"/>
  <c r="GZ317" i="4" s="1"/>
  <c r="HC317" i="4"/>
  <c r="HD317" i="4" s="1"/>
  <c r="HE317" i="4"/>
  <c r="HF317" i="4" s="1"/>
  <c r="HG317" i="4"/>
  <c r="HH317" i="4" s="1"/>
  <c r="HG153" i="4"/>
  <c r="HH153" i="4" s="1"/>
  <c r="HC153" i="4"/>
  <c r="HD153" i="4" s="1"/>
  <c r="HE153" i="4"/>
  <c r="HF153" i="4" s="1"/>
  <c r="AW39" i="4"/>
  <c r="HC39" i="4"/>
  <c r="HD39" i="4" s="1"/>
  <c r="HG39" i="4"/>
  <c r="HH39" i="4" s="1"/>
  <c r="HE39" i="4"/>
  <c r="HF39" i="4" s="1"/>
  <c r="HG77" i="4"/>
  <c r="HH77" i="4" s="1"/>
  <c r="HE77" i="4"/>
  <c r="HF77" i="4" s="1"/>
  <c r="HC77" i="4"/>
  <c r="HD77" i="4" s="1"/>
  <c r="GY125" i="4"/>
  <c r="GZ125" i="4" s="1"/>
  <c r="HG125" i="4"/>
  <c r="HH125" i="4" s="1"/>
  <c r="HE125" i="4"/>
  <c r="HF125" i="4" s="1"/>
  <c r="HC125" i="4"/>
  <c r="HD125" i="4" s="1"/>
  <c r="GU198" i="4"/>
  <c r="GV198" i="4" s="1"/>
  <c r="HG198" i="4"/>
  <c r="HH198" i="4" s="1"/>
  <c r="HC198" i="4"/>
  <c r="HD198" i="4" s="1"/>
  <c r="HE198" i="4"/>
  <c r="HF198" i="4" s="1"/>
  <c r="HE311" i="4"/>
  <c r="HF311" i="4" s="1"/>
  <c r="HG311" i="4"/>
  <c r="HH311" i="4" s="1"/>
  <c r="HC311" i="4"/>
  <c r="HD311" i="4" s="1"/>
  <c r="AU264" i="4"/>
  <c r="HE264" i="4"/>
  <c r="HF264" i="4" s="1"/>
  <c r="HG264" i="4"/>
  <c r="HH264" i="4" s="1"/>
  <c r="HC264" i="4"/>
  <c r="HD264" i="4" s="1"/>
  <c r="HE107" i="4"/>
  <c r="HF107" i="4" s="1"/>
  <c r="HG107" i="4"/>
  <c r="HH107" i="4" s="1"/>
  <c r="HC107" i="4"/>
  <c r="HD107" i="4" s="1"/>
  <c r="HG238" i="4"/>
  <c r="HH238" i="4" s="1"/>
  <c r="HC238" i="4"/>
  <c r="HD238" i="4" s="1"/>
  <c r="HE238" i="4"/>
  <c r="HF238" i="4" s="1"/>
  <c r="DF59" i="4"/>
  <c r="HC59" i="4"/>
  <c r="HD59" i="4" s="1"/>
  <c r="HE59" i="4"/>
  <c r="HF59" i="4" s="1"/>
  <c r="HG59" i="4"/>
  <c r="HH59" i="4" s="1"/>
  <c r="HG53" i="4"/>
  <c r="HH53" i="4" s="1"/>
  <c r="HC53" i="4"/>
  <c r="HD53" i="4" s="1"/>
  <c r="HE53" i="4"/>
  <c r="HF53" i="4" s="1"/>
  <c r="HG46" i="4"/>
  <c r="HH46" i="4" s="1"/>
  <c r="HE46" i="4"/>
  <c r="HF46" i="4" s="1"/>
  <c r="HC46" i="4"/>
  <c r="HD46" i="4" s="1"/>
  <c r="HC119" i="4"/>
  <c r="HD119" i="4" s="1"/>
  <c r="HC36" i="4"/>
  <c r="HD36" i="4" s="1"/>
  <c r="HC224" i="4"/>
  <c r="HD224" i="4" s="1"/>
  <c r="HC257" i="4"/>
  <c r="HD257" i="4" s="1"/>
  <c r="HC275" i="4"/>
  <c r="HD275" i="4" s="1"/>
  <c r="HC143" i="4"/>
  <c r="HD143" i="4" s="1"/>
  <c r="HC129" i="4"/>
  <c r="HD129" i="4" s="1"/>
  <c r="HC231" i="4"/>
  <c r="HD231" i="4" s="1"/>
  <c r="HE272" i="4"/>
  <c r="HF272" i="4" s="1"/>
  <c r="HC193" i="4"/>
  <c r="HD193" i="4" s="1"/>
  <c r="HE147" i="4"/>
  <c r="HF147" i="4" s="1"/>
  <c r="HC47" i="4"/>
  <c r="HD47" i="4" s="1"/>
  <c r="HC83" i="4"/>
  <c r="HD83" i="4" s="1"/>
  <c r="HC78" i="4"/>
  <c r="HD78" i="4" s="1"/>
  <c r="HE103" i="4"/>
  <c r="HF103" i="4" s="1"/>
  <c r="HC233" i="4"/>
  <c r="HD233" i="4" s="1"/>
  <c r="HE216" i="4"/>
  <c r="HF216" i="4" s="1"/>
  <c r="HE119" i="4"/>
  <c r="HF119" i="4" s="1"/>
  <c r="HE36" i="4"/>
  <c r="HF36" i="4" s="1"/>
  <c r="HE224" i="4"/>
  <c r="HF224" i="4" s="1"/>
  <c r="HE257" i="4"/>
  <c r="HF257" i="4" s="1"/>
  <c r="HE275" i="4"/>
  <c r="HF275" i="4" s="1"/>
  <c r="HG143" i="4"/>
  <c r="HH143" i="4" s="1"/>
  <c r="HE129" i="4"/>
  <c r="HF129" i="4" s="1"/>
  <c r="HE231" i="4"/>
  <c r="HF231" i="4" s="1"/>
  <c r="HG272" i="4"/>
  <c r="HH272" i="4" s="1"/>
  <c r="HG193" i="4"/>
  <c r="HH193" i="4" s="1"/>
  <c r="HC147" i="4"/>
  <c r="HD147" i="4" s="1"/>
  <c r="HG47" i="4"/>
  <c r="HH47" i="4" s="1"/>
  <c r="HE83" i="4"/>
  <c r="HF83" i="4" s="1"/>
  <c r="HE78" i="4"/>
  <c r="HF78" i="4" s="1"/>
  <c r="HC103" i="4"/>
  <c r="HD103" i="4" s="1"/>
  <c r="HE233" i="4"/>
  <c r="HF233" i="4" s="1"/>
  <c r="HG216" i="4"/>
  <c r="HH216" i="4" s="1"/>
  <c r="HG36" i="4"/>
  <c r="HH36" i="4" s="1"/>
  <c r="HG224" i="4"/>
  <c r="HH224" i="4" s="1"/>
  <c r="HE143" i="4"/>
  <c r="HF143" i="4" s="1"/>
  <c r="HG231" i="4"/>
  <c r="HG147" i="4"/>
  <c r="HH147" i="4" s="1"/>
  <c r="HE47" i="4"/>
  <c r="HF47" i="4" s="1"/>
  <c r="HG233" i="4"/>
  <c r="HH233" i="4" s="1"/>
  <c r="HC216" i="4"/>
  <c r="HD216" i="4" s="1"/>
  <c r="HC212" i="4"/>
  <c r="HD212" i="4" s="1"/>
  <c r="HC40" i="4"/>
  <c r="HD40" i="4" s="1"/>
  <c r="HC301" i="4"/>
  <c r="HD301" i="4" s="1"/>
  <c r="HE92" i="4"/>
  <c r="HF92" i="4" s="1"/>
  <c r="HC102" i="4"/>
  <c r="HD102" i="4" s="1"/>
  <c r="HC227" i="4"/>
  <c r="HD227" i="4" s="1"/>
  <c r="HC150" i="4"/>
  <c r="HD150" i="4" s="1"/>
  <c r="HC101" i="4"/>
  <c r="HD101" i="4" s="1"/>
  <c r="HE172" i="4"/>
  <c r="HF172" i="4" s="1"/>
  <c r="HD182" i="4"/>
  <c r="HH275" i="4"/>
  <c r="HG212" i="4"/>
  <c r="HH212" i="4" s="1"/>
  <c r="HG40" i="4"/>
  <c r="HH40" i="4" s="1"/>
  <c r="HE301" i="4"/>
  <c r="HF301" i="4" s="1"/>
  <c r="HG182" i="4"/>
  <c r="HH182" i="4" s="1"/>
  <c r="HC92" i="4"/>
  <c r="HD92" i="4" s="1"/>
  <c r="HG102" i="4"/>
  <c r="HH102" i="4" s="1"/>
  <c r="HE227" i="4"/>
  <c r="HF227" i="4" s="1"/>
  <c r="HE13" i="4"/>
  <c r="HF13" i="4" s="1"/>
  <c r="HG150" i="4"/>
  <c r="HH150" i="4" s="1"/>
  <c r="HE101" i="4"/>
  <c r="HF101" i="4" s="1"/>
  <c r="HG172" i="4"/>
  <c r="HH172" i="4" s="1"/>
  <c r="HE212" i="4"/>
  <c r="HF212" i="4" s="1"/>
  <c r="HE40" i="4"/>
  <c r="HF40" i="4" s="1"/>
  <c r="HE182" i="4"/>
  <c r="HF182" i="4" s="1"/>
  <c r="HG227" i="4"/>
  <c r="HH227" i="4" s="1"/>
  <c r="HG13" i="4"/>
  <c r="HH13" i="4" s="1"/>
  <c r="HC172" i="4"/>
  <c r="HD172" i="4" s="1"/>
  <c r="HC326" i="4"/>
  <c r="HD326" i="4" s="1"/>
  <c r="HG79" i="4"/>
  <c r="HH79" i="4" s="1"/>
  <c r="HG139" i="4"/>
  <c r="HH139" i="4" s="1"/>
  <c r="HC285" i="4"/>
  <c r="HD285" i="4" s="1"/>
  <c r="HC217" i="4"/>
  <c r="HD217" i="4" s="1"/>
  <c r="HC166" i="4"/>
  <c r="HD166" i="4" s="1"/>
  <c r="HC93" i="4"/>
  <c r="HD93" i="4" s="1"/>
  <c r="HC313" i="4"/>
  <c r="HD313" i="4" s="1"/>
  <c r="HC250" i="4"/>
  <c r="HD250" i="4" s="1"/>
  <c r="HC132" i="4"/>
  <c r="HD132" i="4" s="1"/>
  <c r="HC45" i="4"/>
  <c r="HD45" i="4" s="1"/>
  <c r="HC81" i="4"/>
  <c r="HD81" i="4" s="1"/>
  <c r="HC296" i="4"/>
  <c r="HD296" i="4" s="1"/>
  <c r="HC99" i="4"/>
  <c r="HD99" i="4" s="1"/>
  <c r="HE38" i="4"/>
  <c r="HF38" i="4" s="1"/>
  <c r="HE326" i="4"/>
  <c r="HF326" i="4" s="1"/>
  <c r="HC79" i="4"/>
  <c r="HD79" i="4" s="1"/>
  <c r="HC139" i="4"/>
  <c r="HD139" i="4" s="1"/>
  <c r="HE285" i="4"/>
  <c r="HF285" i="4" s="1"/>
  <c r="HG217" i="4"/>
  <c r="HH217" i="4" s="1"/>
  <c r="HE166" i="4"/>
  <c r="HF166" i="4" s="1"/>
  <c r="HE93" i="4"/>
  <c r="HF93" i="4" s="1"/>
  <c r="HG313" i="4"/>
  <c r="HH313" i="4" s="1"/>
  <c r="HE250" i="4"/>
  <c r="HF250" i="4" s="1"/>
  <c r="HG132" i="4"/>
  <c r="HH132" i="4" s="1"/>
  <c r="HE45" i="4"/>
  <c r="HF45" i="4" s="1"/>
  <c r="HE81" i="4"/>
  <c r="HF81" i="4" s="1"/>
  <c r="HE296" i="4"/>
  <c r="HF296" i="4" s="1"/>
  <c r="HG99" i="4"/>
  <c r="HH99" i="4" s="1"/>
  <c r="HC38" i="4"/>
  <c r="HD38" i="4" s="1"/>
  <c r="HG326" i="4"/>
  <c r="HH326" i="4" s="1"/>
  <c r="HE79" i="4"/>
  <c r="HF79" i="4" s="1"/>
  <c r="HE139" i="4"/>
  <c r="HF139" i="4" s="1"/>
  <c r="HE217" i="4"/>
  <c r="HF217" i="4" s="1"/>
  <c r="HG93" i="4"/>
  <c r="HH93" i="4" s="1"/>
  <c r="HE313" i="4"/>
  <c r="HF313" i="4" s="1"/>
  <c r="HG250" i="4"/>
  <c r="HH250" i="4" s="1"/>
  <c r="HE132" i="4"/>
  <c r="HF132" i="4" s="1"/>
  <c r="HG45" i="4"/>
  <c r="HH45" i="4" s="1"/>
  <c r="HG81" i="4"/>
  <c r="HH81" i="4" s="1"/>
  <c r="HG296" i="4"/>
  <c r="HH296" i="4" s="1"/>
  <c r="HE99" i="4"/>
  <c r="HF99" i="4" s="1"/>
  <c r="HG38" i="4"/>
  <c r="HH38" i="4" s="1"/>
  <c r="HC259" i="4"/>
  <c r="HD259" i="4" s="1"/>
  <c r="HG269" i="4"/>
  <c r="HH269" i="4" s="1"/>
  <c r="HC215" i="4"/>
  <c r="HD215" i="4" s="1"/>
  <c r="HE56" i="4"/>
  <c r="HF56" i="4" s="1"/>
  <c r="HC68" i="4"/>
  <c r="HD68" i="4" s="1"/>
  <c r="HE142" i="4"/>
  <c r="HF142" i="4" s="1"/>
  <c r="HE28" i="4"/>
  <c r="HF28" i="4" s="1"/>
  <c r="HC228" i="4"/>
  <c r="HD228" i="4" s="1"/>
  <c r="HC192" i="4"/>
  <c r="HD192" i="4" s="1"/>
  <c r="HC141" i="4"/>
  <c r="HD141" i="4" s="1"/>
  <c r="HC295" i="4"/>
  <c r="HD295" i="4" s="1"/>
  <c r="HC86" i="4"/>
  <c r="HD86" i="4" s="1"/>
  <c r="HF102" i="4"/>
  <c r="HH83" i="4"/>
  <c r="HH301" i="4"/>
  <c r="HH101" i="4"/>
  <c r="HH285" i="4"/>
  <c r="HE259" i="4"/>
  <c r="HF259" i="4" s="1"/>
  <c r="HC269" i="4"/>
  <c r="HD269" i="4" s="1"/>
  <c r="HE223" i="4"/>
  <c r="HF223" i="4" s="1"/>
  <c r="HE215" i="4"/>
  <c r="HF215" i="4" s="1"/>
  <c r="HG56" i="4"/>
  <c r="HH56" i="4" s="1"/>
  <c r="HG68" i="4"/>
  <c r="HH68" i="4" s="1"/>
  <c r="HC142" i="4"/>
  <c r="HD142" i="4" s="1"/>
  <c r="HC28" i="4"/>
  <c r="HD28" i="4" s="1"/>
  <c r="HE228" i="4"/>
  <c r="HF228" i="4" s="1"/>
  <c r="HE192" i="4"/>
  <c r="HF192" i="4" s="1"/>
  <c r="HE141" i="4"/>
  <c r="HF141" i="4" s="1"/>
  <c r="HE295" i="4"/>
  <c r="HF295" i="4" s="1"/>
  <c r="HG86" i="4"/>
  <c r="HH86" i="4" s="1"/>
  <c r="HG259" i="4"/>
  <c r="HE269" i="4"/>
  <c r="HF269" i="4" s="1"/>
  <c r="HG223" i="4"/>
  <c r="HH223" i="4" s="1"/>
  <c r="HG215" i="4"/>
  <c r="HH215" i="4" s="1"/>
  <c r="HC56" i="4"/>
  <c r="HD56" i="4" s="1"/>
  <c r="HE68" i="4"/>
  <c r="HF68" i="4" s="1"/>
  <c r="HG142" i="4"/>
  <c r="HH142" i="4" s="1"/>
  <c r="HG28" i="4"/>
  <c r="HH28" i="4" s="1"/>
  <c r="HG228" i="4"/>
  <c r="HH228" i="4" s="1"/>
  <c r="HG192" i="4"/>
  <c r="HH192" i="4" s="1"/>
  <c r="HG141" i="4"/>
  <c r="HH141" i="4" s="1"/>
  <c r="HG295" i="4"/>
  <c r="HH295" i="4" s="1"/>
  <c r="HE86" i="4"/>
  <c r="HF86" i="4" s="1"/>
  <c r="HH129" i="4"/>
  <c r="HH103" i="4"/>
  <c r="HH119" i="4"/>
  <c r="HF150" i="4"/>
  <c r="HF193" i="4"/>
  <c r="HH78" i="4"/>
  <c r="GY184" i="4"/>
  <c r="GZ184" i="4" s="1"/>
  <c r="HH92" i="4"/>
  <c r="HH257" i="4"/>
  <c r="GY127" i="4"/>
  <c r="GZ127" i="4" s="1"/>
  <c r="GY79" i="4"/>
  <c r="GZ79" i="4" s="1"/>
  <c r="GY25" i="4"/>
  <c r="GZ25" i="4" s="1"/>
  <c r="HD272" i="4"/>
  <c r="HD13" i="4"/>
  <c r="GY237" i="4"/>
  <c r="GZ237" i="4" s="1"/>
  <c r="HD223" i="4"/>
  <c r="GY97" i="4"/>
  <c r="GZ97" i="4" s="1"/>
  <c r="GY353" i="4"/>
  <c r="GZ353" i="4" s="1"/>
  <c r="GY105" i="4"/>
  <c r="GZ105" i="4" s="1"/>
  <c r="GY170" i="4"/>
  <c r="GZ170" i="4" s="1"/>
  <c r="GY90" i="4"/>
  <c r="GZ90" i="4" s="1"/>
  <c r="GY81" i="4"/>
  <c r="GZ81" i="4" s="1"/>
  <c r="GY209" i="4"/>
  <c r="GZ209" i="4" s="1"/>
  <c r="GY144" i="4"/>
  <c r="GZ144" i="4" s="1"/>
  <c r="GY299" i="4"/>
  <c r="GZ299" i="4" s="1"/>
  <c r="GY62" i="4"/>
  <c r="GZ62" i="4" s="1"/>
  <c r="GY134" i="4"/>
  <c r="GZ134" i="4" s="1"/>
  <c r="GY107" i="4"/>
  <c r="GZ107" i="4" s="1"/>
  <c r="GY53" i="4"/>
  <c r="GZ53" i="4" s="1"/>
  <c r="GY214" i="4"/>
  <c r="GZ214" i="4" s="1"/>
  <c r="GY232" i="4"/>
  <c r="GZ232" i="4" s="1"/>
  <c r="GY400" i="4"/>
  <c r="GZ400" i="4" s="1"/>
  <c r="GY185" i="4"/>
  <c r="GZ185" i="4" s="1"/>
  <c r="GY243" i="4"/>
  <c r="GZ243" i="4" s="1"/>
  <c r="GY322" i="4"/>
  <c r="GZ322" i="4" s="1"/>
  <c r="GY236" i="4"/>
  <c r="GZ236" i="4" s="1"/>
  <c r="GY88" i="4"/>
  <c r="GZ88" i="4" s="1"/>
  <c r="GY103" i="4"/>
  <c r="GZ103" i="4" s="1"/>
  <c r="GY263" i="4"/>
  <c r="GZ263" i="4" s="1"/>
  <c r="GY208" i="4"/>
  <c r="GZ208" i="4" s="1"/>
  <c r="GY108" i="4"/>
  <c r="GZ108" i="4" s="1"/>
  <c r="GY285" i="4"/>
  <c r="GZ285" i="4" s="1"/>
  <c r="GY260" i="4"/>
  <c r="GZ260" i="4" s="1"/>
  <c r="GY73" i="4"/>
  <c r="GZ73" i="4" s="1"/>
  <c r="GY294" i="4"/>
  <c r="GZ294" i="4" s="1"/>
  <c r="GY111" i="4"/>
  <c r="GZ111" i="4" s="1"/>
  <c r="GY311" i="4"/>
  <c r="GZ311" i="4" s="1"/>
  <c r="GY186" i="4"/>
  <c r="GZ186" i="4" s="1"/>
  <c r="GY96" i="4"/>
  <c r="GZ96" i="4" s="1"/>
  <c r="GY68" i="4"/>
  <c r="GZ68" i="4" s="1"/>
  <c r="GY284" i="4"/>
  <c r="GZ284" i="4" s="1"/>
  <c r="GY39" i="4"/>
  <c r="GZ39" i="4" s="1"/>
  <c r="GY301" i="4"/>
  <c r="GZ301" i="4" s="1"/>
  <c r="GY373" i="4"/>
  <c r="GZ373" i="4" s="1"/>
  <c r="GY223" i="4"/>
  <c r="GZ223" i="4" s="1"/>
  <c r="GY302" i="4"/>
  <c r="GZ302" i="4" s="1"/>
  <c r="GY200" i="4"/>
  <c r="GZ200" i="4" s="1"/>
  <c r="GY196" i="4"/>
  <c r="GZ196" i="4" s="1"/>
  <c r="GY358" i="4"/>
  <c r="GZ358" i="4" s="1"/>
  <c r="GY228" i="4"/>
  <c r="GZ228" i="4" s="1"/>
  <c r="GY141" i="4"/>
  <c r="GZ141" i="4" s="1"/>
  <c r="GY216" i="4"/>
  <c r="GZ216" i="4" s="1"/>
  <c r="GY183" i="4"/>
  <c r="GZ183" i="4" s="1"/>
  <c r="GY64" i="4"/>
  <c r="GZ64" i="4" s="1"/>
  <c r="GY420" i="4"/>
  <c r="GZ420" i="4" s="1"/>
  <c r="GY158" i="4"/>
  <c r="GZ158" i="4" s="1"/>
  <c r="GY177" i="4"/>
  <c r="GZ177" i="4" s="1"/>
  <c r="GY129" i="4"/>
  <c r="GZ129" i="4" s="1"/>
  <c r="GY256" i="4"/>
  <c r="GZ256" i="4" s="1"/>
  <c r="GY65" i="4"/>
  <c r="GZ65" i="4" s="1"/>
  <c r="GY171" i="4"/>
  <c r="GZ171" i="4" s="1"/>
  <c r="GY98" i="4"/>
  <c r="GZ98" i="4" s="1"/>
  <c r="GU195" i="4"/>
  <c r="GV195" i="4" s="1"/>
  <c r="GW313" i="4"/>
  <c r="GX313" i="4" s="1"/>
  <c r="GU250" i="4"/>
  <c r="GV250" i="4" s="1"/>
  <c r="GU38" i="4"/>
  <c r="GV38" i="4" s="1"/>
  <c r="GW101" i="4"/>
  <c r="GX101" i="4" s="1"/>
  <c r="GU237" i="4"/>
  <c r="GV237" i="4" s="1"/>
  <c r="GW240" i="4"/>
  <c r="GX240" i="4" s="1"/>
  <c r="GU187" i="4"/>
  <c r="GV187" i="4" s="1"/>
  <c r="GW46" i="4"/>
  <c r="GX46" i="4" s="1"/>
  <c r="GU59" i="4"/>
  <c r="GV59" i="4" s="1"/>
  <c r="GU35" i="4"/>
  <c r="GV35" i="4" s="1"/>
  <c r="GU201" i="4"/>
  <c r="GV201" i="4" s="1"/>
  <c r="GU212" i="4"/>
  <c r="GV212" i="4" s="1"/>
  <c r="GW40" i="4"/>
  <c r="GX40" i="4" s="1"/>
  <c r="GU223" i="4"/>
  <c r="GV223" i="4" s="1"/>
  <c r="GU273" i="4"/>
  <c r="GV273" i="4" s="1"/>
  <c r="GU297" i="4"/>
  <c r="GV297" i="4" s="1"/>
  <c r="GU253" i="4"/>
  <c r="GV253" i="4" s="1"/>
  <c r="GU121" i="4"/>
  <c r="GV121" i="4" s="1"/>
  <c r="GU92" i="4"/>
  <c r="GV92" i="4" s="1"/>
  <c r="GU218" i="4"/>
  <c r="GV218" i="4" s="1"/>
  <c r="GU170" i="4"/>
  <c r="GV170" i="4" s="1"/>
  <c r="GU175" i="4"/>
  <c r="GV175" i="4" s="1"/>
  <c r="GU135" i="4"/>
  <c r="GV135" i="4" s="1"/>
  <c r="GW99" i="4"/>
  <c r="GX99" i="4" s="1"/>
  <c r="GU44" i="4"/>
  <c r="GV44" i="4" s="1"/>
  <c r="GU314" i="4"/>
  <c r="GV314" i="4" s="1"/>
  <c r="GW21" i="4"/>
  <c r="GX21" i="4" s="1"/>
  <c r="GU215" i="4"/>
  <c r="GV215" i="4" s="1"/>
  <c r="GU236" i="4"/>
  <c r="GV236" i="4" s="1"/>
  <c r="GW253" i="4"/>
  <c r="GX253" i="4" s="1"/>
  <c r="GU145" i="4"/>
  <c r="GV145" i="4" s="1"/>
  <c r="GU33" i="4"/>
  <c r="GV33" i="4" s="1"/>
  <c r="GU177" i="4"/>
  <c r="GV177" i="4" s="1"/>
  <c r="GW227" i="4"/>
  <c r="GX227" i="4" s="1"/>
  <c r="GU90" i="4"/>
  <c r="GV90" i="4" s="1"/>
  <c r="GW301" i="4"/>
  <c r="GX301" i="4" s="1"/>
  <c r="GW265" i="4"/>
  <c r="GX265" i="4" s="1"/>
  <c r="GW72" i="4"/>
  <c r="GX72" i="4" s="1"/>
  <c r="GW137" i="4"/>
  <c r="GX137" i="4" s="1"/>
  <c r="GU39" i="4"/>
  <c r="GV39" i="4" s="1"/>
  <c r="GW174" i="4"/>
  <c r="GX174" i="4" s="1"/>
  <c r="GU140" i="4"/>
  <c r="GV140" i="4" s="1"/>
  <c r="GU30" i="4"/>
  <c r="GV30" i="4" s="1"/>
  <c r="GU119" i="4"/>
  <c r="GV119" i="4" s="1"/>
  <c r="GU82" i="4"/>
  <c r="GV82" i="4" s="1"/>
  <c r="GU174" i="4"/>
  <c r="GV174" i="4" s="1"/>
  <c r="GU36" i="4"/>
  <c r="GV36" i="4" s="1"/>
  <c r="GU98" i="4"/>
  <c r="GV98" i="4" s="1"/>
  <c r="GU291" i="4"/>
  <c r="GV291" i="4" s="1"/>
  <c r="GU79" i="4"/>
  <c r="GV79" i="4" s="1"/>
  <c r="GU260" i="4"/>
  <c r="GV260" i="4" s="1"/>
  <c r="GU129" i="4"/>
  <c r="GV129" i="4" s="1"/>
  <c r="GW205" i="4"/>
  <c r="GX205" i="4" s="1"/>
  <c r="GU256" i="4"/>
  <c r="GV256" i="4" s="1"/>
  <c r="GU96" i="4"/>
  <c r="GV96" i="4" s="1"/>
  <c r="GU231" i="4"/>
  <c r="GV231" i="4" s="1"/>
  <c r="GU20" i="4"/>
  <c r="GV20" i="4" s="1"/>
  <c r="GU117" i="4"/>
  <c r="GV117" i="4" s="1"/>
  <c r="GU109" i="4"/>
  <c r="GV109" i="4" s="1"/>
  <c r="GU31" i="4"/>
  <c r="GV31" i="4" s="1"/>
  <c r="GU126" i="4"/>
  <c r="GV126" i="4" s="1"/>
  <c r="GU199" i="4"/>
  <c r="GV199" i="4" s="1"/>
  <c r="GW133" i="4"/>
  <c r="GX133" i="4" s="1"/>
  <c r="GU251" i="4"/>
  <c r="GV251" i="4" s="1"/>
  <c r="GU146" i="4"/>
  <c r="GV146" i="4" s="1"/>
  <c r="GU228" i="4"/>
  <c r="GV228" i="4" s="1"/>
  <c r="GU192" i="4"/>
  <c r="GV192" i="4" s="1"/>
  <c r="GW13" i="4"/>
  <c r="GX13" i="4" s="1"/>
  <c r="GW260" i="4"/>
  <c r="GX260" i="4" s="1"/>
  <c r="GW89" i="4"/>
  <c r="GX89" i="4" s="1"/>
  <c r="GW231" i="4"/>
  <c r="GX231" i="4" s="1"/>
  <c r="GU173" i="4"/>
  <c r="GV173" i="4" s="1"/>
  <c r="GW20" i="4"/>
  <c r="GX20" i="4" s="1"/>
  <c r="GU193" i="4"/>
  <c r="GV193" i="4" s="1"/>
  <c r="GW109" i="4"/>
  <c r="GX109" i="4" s="1"/>
  <c r="GU45" i="4"/>
  <c r="GV45" i="4" s="1"/>
  <c r="GW100" i="4"/>
  <c r="GX100" i="4" s="1"/>
  <c r="GU233" i="4"/>
  <c r="GV233" i="4" s="1"/>
  <c r="GU50" i="4"/>
  <c r="GV50" i="4" s="1"/>
  <c r="GU263" i="4"/>
  <c r="GV263" i="4" s="1"/>
  <c r="GU295" i="4"/>
  <c r="GV295" i="4" s="1"/>
  <c r="GU86" i="4"/>
  <c r="GV86" i="4" s="1"/>
  <c r="GU254" i="4"/>
  <c r="GV254" i="4" s="1"/>
  <c r="GW183" i="4"/>
  <c r="GX183" i="4" s="1"/>
  <c r="GU108" i="4"/>
  <c r="GV108" i="4" s="1"/>
  <c r="GW217" i="4"/>
  <c r="GX217" i="4" s="1"/>
  <c r="GW147" i="4"/>
  <c r="GX147" i="4" s="1"/>
  <c r="GU103" i="4"/>
  <c r="GV103" i="4" s="1"/>
  <c r="GW263" i="4"/>
  <c r="GX263" i="4" s="1"/>
  <c r="GW328" i="4"/>
  <c r="GX328" i="4" s="1"/>
  <c r="GU208" i="4"/>
  <c r="GV208" i="4" s="1"/>
  <c r="GU183" i="4"/>
  <c r="GV183" i="4" s="1"/>
  <c r="GU217" i="4"/>
  <c r="GV217" i="4" s="1"/>
  <c r="GU269" i="4"/>
  <c r="GV269" i="4" s="1"/>
  <c r="GU168" i="4"/>
  <c r="GV168" i="4" s="1"/>
  <c r="GU292" i="4"/>
  <c r="GV292" i="4" s="1"/>
  <c r="GU61" i="4"/>
  <c r="GV61" i="4" s="1"/>
  <c r="GU53" i="4"/>
  <c r="GV53" i="4" s="1"/>
  <c r="GU166" i="4"/>
  <c r="GV166" i="4" s="1"/>
  <c r="GU255" i="4"/>
  <c r="GV255" i="4" s="1"/>
  <c r="GU182" i="4"/>
  <c r="GV182" i="4" s="1"/>
  <c r="GU111" i="4"/>
  <c r="GV111" i="4" s="1"/>
  <c r="GU285" i="4"/>
  <c r="GV285" i="4" s="1"/>
  <c r="GU352" i="4"/>
  <c r="GV352" i="4" s="1"/>
  <c r="GU188" i="4"/>
  <c r="GV188" i="4" s="1"/>
  <c r="GU142" i="4"/>
  <c r="GV142" i="4" s="1"/>
  <c r="GU131" i="4"/>
  <c r="GV131" i="4" s="1"/>
  <c r="GU209" i="4"/>
  <c r="GV209" i="4" s="1"/>
  <c r="GU56" i="4"/>
  <c r="GV56" i="4" s="1"/>
  <c r="GW269" i="4"/>
  <c r="GX269" i="4" s="1"/>
  <c r="GW286" i="4"/>
  <c r="GX286" i="4" s="1"/>
  <c r="GW264" i="4"/>
  <c r="GX264" i="4" s="1"/>
  <c r="GU105" i="4"/>
  <c r="GV105" i="4" s="1"/>
  <c r="GW61" i="4"/>
  <c r="GX61" i="4" s="1"/>
  <c r="GW302" i="4"/>
  <c r="GX302" i="4" s="1"/>
  <c r="GU252" i="4"/>
  <c r="GV252" i="4" s="1"/>
  <c r="GW268" i="4"/>
  <c r="GX268" i="4" s="1"/>
  <c r="GW102" i="4"/>
  <c r="GX102" i="4" s="1"/>
  <c r="GU300" i="4"/>
  <c r="GV300" i="4" s="1"/>
  <c r="GU70" i="4"/>
  <c r="GV70" i="4" s="1"/>
  <c r="GU32" i="4"/>
  <c r="GV32" i="4" s="1"/>
  <c r="GW188" i="4"/>
  <c r="GX188" i="4" s="1"/>
  <c r="GW213" i="4"/>
  <c r="GX213" i="4" s="1"/>
  <c r="GU138" i="4"/>
  <c r="GV138" i="4" s="1"/>
  <c r="GU284" i="4"/>
  <c r="GV284" i="4" s="1"/>
  <c r="GW317" i="4"/>
  <c r="GX317" i="4" s="1"/>
  <c r="GU144" i="4"/>
  <c r="GV144" i="4" s="1"/>
  <c r="GU150" i="4"/>
  <c r="GV150" i="4" s="1"/>
  <c r="GU26" i="4"/>
  <c r="GV26" i="4" s="1"/>
  <c r="GU290" i="4"/>
  <c r="GV290" i="4" s="1"/>
  <c r="GU298" i="4"/>
  <c r="GV298" i="4" s="1"/>
  <c r="GU52" i="4"/>
  <c r="GV52" i="4" s="1"/>
  <c r="GU69" i="4"/>
  <c r="GV69" i="4" s="1"/>
  <c r="GU232" i="4"/>
  <c r="GV232" i="4" s="1"/>
  <c r="GU311" i="4"/>
  <c r="GV311" i="4" s="1"/>
  <c r="GW238" i="4"/>
  <c r="GX238" i="4" s="1"/>
  <c r="GU196" i="4"/>
  <c r="GV196" i="4" s="1"/>
  <c r="GU165" i="4"/>
  <c r="GV165" i="4" s="1"/>
  <c r="GW52" i="4"/>
  <c r="GX52" i="4" s="1"/>
  <c r="GW224" i="4"/>
  <c r="GX224" i="4" s="1"/>
  <c r="GW257" i="4"/>
  <c r="GX257" i="4" s="1"/>
  <c r="GU67" i="4"/>
  <c r="GV67" i="4" s="1"/>
  <c r="GU272" i="4"/>
  <c r="GV272" i="4" s="1"/>
  <c r="GU275" i="4"/>
  <c r="GV275" i="4" s="1"/>
  <c r="GW73" i="4"/>
  <c r="GX73" i="4" s="1"/>
  <c r="GU143" i="4"/>
  <c r="GV143" i="4" s="1"/>
  <c r="GU266" i="4"/>
  <c r="GV266" i="4" s="1"/>
  <c r="GU185" i="4"/>
  <c r="GV185" i="4" s="1"/>
  <c r="GU124" i="4"/>
  <c r="GV124" i="4" s="1"/>
  <c r="GU210" i="4"/>
  <c r="GV210" i="4" s="1"/>
  <c r="GU373" i="4"/>
  <c r="GV373" i="4" s="1"/>
  <c r="GU322" i="4"/>
  <c r="GV322" i="4" s="1"/>
  <c r="GU162" i="4"/>
  <c r="GV162" i="4" s="1"/>
  <c r="GU120" i="4"/>
  <c r="GV120" i="4" s="1"/>
  <c r="GU83" i="4"/>
  <c r="GV83" i="4" s="1"/>
  <c r="GU85" i="4"/>
  <c r="GV85" i="4" s="1"/>
  <c r="GU84" i="4"/>
  <c r="GV84" i="4" s="1"/>
  <c r="GU224" i="4"/>
  <c r="GV224" i="4" s="1"/>
  <c r="GW176" i="4"/>
  <c r="GX176" i="4" s="1"/>
  <c r="GW272" i="4"/>
  <c r="GX272" i="4" s="1"/>
  <c r="GW143" i="4"/>
  <c r="GX143" i="4" s="1"/>
  <c r="GU97" i="4"/>
  <c r="GV97" i="4" s="1"/>
  <c r="GU249" i="4"/>
  <c r="GV249" i="4" s="1"/>
  <c r="GW139" i="4"/>
  <c r="GX139" i="4" s="1"/>
  <c r="GW149" i="4"/>
  <c r="GX149" i="4" s="1"/>
  <c r="GW124" i="4"/>
  <c r="GX124" i="4" s="1"/>
  <c r="GW250" i="4"/>
  <c r="GX250" i="4" s="1"/>
  <c r="GW120" i="4"/>
  <c r="GX120" i="4" s="1"/>
  <c r="GU259" i="4"/>
  <c r="GV259" i="4" s="1"/>
  <c r="C239" i="4"/>
  <c r="C377" i="4"/>
  <c r="C344" i="4"/>
  <c r="C160" i="4"/>
  <c r="C365" i="4"/>
  <c r="C258" i="4"/>
  <c r="C324" i="4"/>
  <c r="C219" i="4"/>
  <c r="C202" i="4"/>
  <c r="C130" i="4"/>
  <c r="C80" i="4"/>
  <c r="C42" i="4"/>
  <c r="C114" i="4"/>
  <c r="C4" i="4"/>
  <c r="C261" i="4"/>
  <c r="C241" i="4"/>
  <c r="C110" i="4"/>
  <c r="C375" i="4"/>
  <c r="C248" i="4"/>
  <c r="C362" i="4"/>
  <c r="C244" i="4"/>
  <c r="C104" i="4"/>
  <c r="C319" i="4"/>
  <c r="C5" i="4"/>
  <c r="C17" i="4"/>
  <c r="C27" i="4"/>
  <c r="C155" i="4"/>
  <c r="C157" i="4"/>
  <c r="C23" i="4"/>
  <c r="GV296" i="4"/>
  <c r="C274" i="4"/>
  <c r="C376" i="4"/>
  <c r="C305" i="4"/>
  <c r="C304" i="4"/>
  <c r="C347" i="4"/>
  <c r="C360" i="4"/>
  <c r="C247" i="4"/>
  <c r="C204" i="4"/>
  <c r="C58" i="4"/>
  <c r="C54" i="4"/>
  <c r="C15" i="4"/>
  <c r="C381" i="4"/>
  <c r="C349" i="4"/>
  <c r="C262" i="4"/>
  <c r="C351" i="4"/>
  <c r="C315" i="4"/>
  <c r="C148" i="4"/>
  <c r="C48" i="4"/>
  <c r="C57" i="4"/>
  <c r="C29" i="4"/>
  <c r="C113" i="4"/>
  <c r="C389" i="4"/>
  <c r="C279" i="4"/>
  <c r="C194" i="4"/>
  <c r="C221" i="4"/>
  <c r="C75" i="4"/>
  <c r="C388" i="4"/>
  <c r="C222" i="4"/>
  <c r="C24" i="4"/>
  <c r="C34" i="4"/>
  <c r="C18" i="4"/>
  <c r="C6" i="4"/>
  <c r="C226" i="4"/>
  <c r="C379" i="4"/>
  <c r="C189" i="4"/>
  <c r="C220" i="4"/>
  <c r="C267" i="4"/>
  <c r="C178" i="4"/>
  <c r="C318" i="4"/>
  <c r="C128" i="4"/>
  <c r="C136" i="4"/>
  <c r="C280" i="4"/>
  <c r="HM397" i="4"/>
  <c r="HO397" i="4"/>
  <c r="HQ397" i="4"/>
  <c r="HI397" i="4"/>
  <c r="HI394" i="4"/>
  <c r="HM394" i="4"/>
  <c r="HO394" i="4"/>
  <c r="HS394" i="4"/>
  <c r="HO414" i="4"/>
  <c r="HS414" i="4"/>
  <c r="HK414" i="4"/>
  <c r="HK408" i="4"/>
  <c r="HO408" i="4"/>
  <c r="HS408" i="4"/>
  <c r="H2" i="18"/>
  <c r="I2" i="18" s="1"/>
  <c r="B21" i="17" s="1"/>
  <c r="F2" i="18"/>
  <c r="G2" i="18" s="1"/>
  <c r="B14" i="17" s="1"/>
  <c r="D2" i="18"/>
  <c r="E2" i="18" s="1"/>
  <c r="B7" i="17" s="1"/>
  <c r="HI393" i="4"/>
  <c r="HM393" i="4"/>
  <c r="HQ393" i="4"/>
  <c r="HS393" i="4"/>
  <c r="HK407" i="4"/>
  <c r="HM407" i="4"/>
  <c r="HS407" i="4"/>
  <c r="HK401" i="4"/>
  <c r="HO401" i="4"/>
  <c r="HS401" i="4"/>
  <c r="BF130" i="4"/>
  <c r="DK130" i="4" s="1"/>
  <c r="C396" i="4"/>
  <c r="CM400" i="4"/>
  <c r="HU400" i="4"/>
  <c r="L400" i="4"/>
  <c r="C403" i="4"/>
  <c r="C394" i="4"/>
  <c r="C363" i="4"/>
  <c r="HQ363" i="4"/>
  <c r="HS363" i="4"/>
  <c r="HK363" i="4"/>
  <c r="C412" i="4"/>
  <c r="C395" i="4"/>
  <c r="HO395" i="4"/>
  <c r="HQ395" i="4"/>
  <c r="HS395" i="4"/>
  <c r="C401" i="4"/>
  <c r="C407" i="4"/>
  <c r="C413" i="4"/>
  <c r="C420" i="4"/>
  <c r="C419" i="4"/>
  <c r="C418" i="4"/>
  <c r="C393" i="4"/>
  <c r="C422" i="4"/>
  <c r="C414" i="4"/>
  <c r="C354" i="4"/>
  <c r="HK354" i="4"/>
  <c r="HO354" i="4"/>
  <c r="HQ354" i="4"/>
  <c r="HS354" i="4"/>
  <c r="C384" i="4"/>
  <c r="HK384" i="4"/>
  <c r="HO384" i="4"/>
  <c r="HQ384" i="4"/>
  <c r="L354" i="4"/>
  <c r="AK354" i="4"/>
  <c r="AI354" i="4" s="1"/>
  <c r="L384" i="4"/>
  <c r="AK384" i="4"/>
  <c r="AI384" i="4" s="1"/>
  <c r="HU326" i="4"/>
  <c r="HO244" i="4"/>
  <c r="HS244" i="4"/>
  <c r="HI244" i="4"/>
  <c r="HK244" i="4"/>
  <c r="HK389" i="4"/>
  <c r="HM389" i="4"/>
  <c r="HO389" i="4"/>
  <c r="HO379" i="4"/>
  <c r="HM379" i="4"/>
  <c r="HI379" i="4"/>
  <c r="HK379" i="4"/>
  <c r="L365" i="4"/>
  <c r="AK365" i="4"/>
  <c r="AI365" i="4" s="1"/>
  <c r="L389" i="4"/>
  <c r="HU288" i="4"/>
  <c r="L326" i="4"/>
  <c r="AK379" i="4"/>
  <c r="AI379" i="4" s="1"/>
  <c r="L379" i="4"/>
  <c r="HM388" i="4"/>
  <c r="HO388" i="4"/>
  <c r="HK388" i="4"/>
  <c r="HI388" i="4"/>
  <c r="L388" i="4"/>
  <c r="HM365" i="4"/>
  <c r="HO365" i="4"/>
  <c r="HK365" i="4"/>
  <c r="HI365" i="4"/>
  <c r="L244" i="4"/>
  <c r="L288" i="4"/>
  <c r="HU373" i="4"/>
  <c r="HO376" i="4"/>
  <c r="HM376" i="4"/>
  <c r="HI376" i="4"/>
  <c r="HK376" i="4"/>
  <c r="HM377" i="4"/>
  <c r="HO377" i="4"/>
  <c r="HI377" i="4"/>
  <c r="HK377" i="4"/>
  <c r="HU191" i="4"/>
  <c r="HO318" i="4"/>
  <c r="HM318" i="4"/>
  <c r="HI318" i="4"/>
  <c r="HU383" i="4"/>
  <c r="HM319" i="4"/>
  <c r="HO319" i="4"/>
  <c r="HS319" i="4"/>
  <c r="HK319" i="4"/>
  <c r="HS375" i="4"/>
  <c r="HM375" i="4"/>
  <c r="HO375" i="4"/>
  <c r="HI375" i="4"/>
  <c r="HK375" i="4"/>
  <c r="L191" i="4"/>
  <c r="L319" i="4"/>
  <c r="L377" i="4"/>
  <c r="AK377" i="4"/>
  <c r="HO362" i="4"/>
  <c r="HQ362" i="4"/>
  <c r="HS362" i="4"/>
  <c r="HI362" i="4"/>
  <c r="L383" i="4"/>
  <c r="AK383" i="4"/>
  <c r="AI383" i="4" s="1"/>
  <c r="L375" i="4"/>
  <c r="AK375" i="4"/>
  <c r="AI375" i="4" s="1"/>
  <c r="HU352" i="4"/>
  <c r="HM305" i="4"/>
  <c r="HS305" i="4"/>
  <c r="HO305" i="4"/>
  <c r="HK305" i="4"/>
  <c r="HI305" i="4"/>
  <c r="HU162" i="4"/>
  <c r="AO162" i="4" s="1"/>
  <c r="L373" i="4"/>
  <c r="AK373" i="4"/>
  <c r="AI373" i="4" s="1"/>
  <c r="HS160" i="4"/>
  <c r="HM160" i="4"/>
  <c r="HO160" i="4"/>
  <c r="HQ160" i="4"/>
  <c r="L123" i="4"/>
  <c r="L318" i="4"/>
  <c r="HU353" i="4"/>
  <c r="L376" i="4"/>
  <c r="GL326" i="4"/>
  <c r="DD326" i="4"/>
  <c r="AY400" i="4"/>
  <c r="CI400" i="4"/>
  <c r="DT400" i="4"/>
  <c r="AS400" i="4"/>
  <c r="FA400" i="4"/>
  <c r="CE400" i="4"/>
  <c r="AS326" i="4"/>
  <c r="GE326" i="4"/>
  <c r="CW326" i="4"/>
  <c r="FE326" i="4"/>
  <c r="FL326" i="4"/>
  <c r="DM400" i="4"/>
  <c r="FC400" i="4"/>
  <c r="CK400" i="4"/>
  <c r="DO400" i="4"/>
  <c r="CY400" i="4"/>
  <c r="FS326" i="4"/>
  <c r="CK326" i="4"/>
  <c r="FZ326" i="4"/>
  <c r="CR326" i="4"/>
  <c r="GN400" i="4"/>
  <c r="DF400" i="4"/>
  <c r="EO400" i="4"/>
  <c r="FV400" i="4"/>
  <c r="DK326" i="4"/>
  <c r="DR326" i="4"/>
  <c r="EM326" i="4"/>
  <c r="FZ400" i="4"/>
  <c r="GG400" i="4"/>
  <c r="EC400" i="4"/>
  <c r="FJ400" i="4"/>
  <c r="ET400" i="4"/>
  <c r="CY326" i="4"/>
  <c r="GN326" i="4"/>
  <c r="DF326" i="4"/>
  <c r="EA326" i="4"/>
  <c r="CW400" i="4"/>
  <c r="FQ400" i="4"/>
  <c r="EX400" i="4"/>
  <c r="EH400" i="4"/>
  <c r="DA326" i="4"/>
  <c r="CM326" i="4"/>
  <c r="CT326" i="4"/>
  <c r="DO326" i="4"/>
  <c r="EQ400" i="4"/>
  <c r="BY400" i="4"/>
  <c r="GJ400" i="4"/>
  <c r="DV400" i="4"/>
  <c r="DT326" i="4"/>
  <c r="FA326" i="4"/>
  <c r="DY400" i="4"/>
  <c r="DR400" i="4"/>
  <c r="FX400" i="4"/>
  <c r="FH400" i="4"/>
  <c r="DM326" i="4"/>
  <c r="ET326" i="4"/>
  <c r="DH326" i="4"/>
  <c r="EO326" i="4"/>
  <c r="FV326" i="4"/>
  <c r="GL400" i="4"/>
  <c r="FO400" i="4"/>
  <c r="FL400" i="4"/>
  <c r="EV400" i="4"/>
  <c r="DY326" i="4"/>
  <c r="FO326" i="4"/>
  <c r="EC326" i="4"/>
  <c r="FJ326" i="4"/>
  <c r="FE400" i="4"/>
  <c r="EF400" i="4"/>
  <c r="DD400" i="4"/>
  <c r="EJ400" i="4"/>
  <c r="GG326" i="4"/>
  <c r="DV326" i="4"/>
  <c r="FC326" i="4"/>
  <c r="EX326" i="4"/>
  <c r="DH400" i="4"/>
  <c r="CR400" i="4"/>
  <c r="GE400" i="4"/>
  <c r="FH326" i="4"/>
  <c r="GC326" i="4"/>
  <c r="EQ326" i="4"/>
  <c r="GJ326" i="4"/>
  <c r="CP326" i="4"/>
  <c r="GC400" i="4"/>
  <c r="EM400" i="4"/>
  <c r="FS400" i="4"/>
  <c r="EV326" i="4"/>
  <c r="FQ326" i="4"/>
  <c r="CI326" i="4"/>
  <c r="FX326" i="4"/>
  <c r="DA400" i="4"/>
  <c r="EA400" i="4"/>
  <c r="DK400" i="4"/>
  <c r="HM381" i="4"/>
  <c r="HO381" i="4"/>
  <c r="HO360" i="4"/>
  <c r="HM360" i="4"/>
  <c r="HO110" i="4"/>
  <c r="HQ110" i="4"/>
  <c r="HS110" i="4"/>
  <c r="HO248" i="4"/>
  <c r="HM248" i="4"/>
  <c r="HM324" i="4"/>
  <c r="HO324" i="4"/>
  <c r="HO219" i="4"/>
  <c r="HQ219" i="4"/>
  <c r="HS219" i="4"/>
  <c r="HQ202" i="4"/>
  <c r="HO202" i="4"/>
  <c r="HS202" i="4"/>
  <c r="HM24" i="4"/>
  <c r="HO24" i="4"/>
  <c r="HS24" i="4"/>
  <c r="HO34" i="4"/>
  <c r="HQ34" i="4"/>
  <c r="HM34" i="4"/>
  <c r="HS34" i="4"/>
  <c r="HM18" i="4"/>
  <c r="HO18" i="4"/>
  <c r="HQ6" i="4"/>
  <c r="HO6" i="4"/>
  <c r="HQ48" i="4"/>
  <c r="HM48" i="4"/>
  <c r="HO48" i="4"/>
  <c r="HM239" i="4"/>
  <c r="HO239" i="4"/>
  <c r="HS239" i="4"/>
  <c r="HQ113" i="4"/>
  <c r="HO113" i="4"/>
  <c r="HM349" i="4"/>
  <c r="HO304" i="4"/>
  <c r="HM304" i="4"/>
  <c r="HS304" i="4"/>
  <c r="HO104" i="4"/>
  <c r="HQ104" i="4"/>
  <c r="HM104" i="4"/>
  <c r="HS104" i="4"/>
  <c r="HQ136" i="4"/>
  <c r="HM136" i="4"/>
  <c r="HQ280" i="4"/>
  <c r="HO280" i="4"/>
  <c r="HS280" i="4"/>
  <c r="HM57" i="4"/>
  <c r="HO57" i="4"/>
  <c r="HO29" i="4"/>
  <c r="HQ29" i="4"/>
  <c r="HM226" i="4"/>
  <c r="HO226" i="4"/>
  <c r="HQ279" i="4"/>
  <c r="HO279" i="4"/>
  <c r="HS279" i="4"/>
  <c r="HM262" i="4"/>
  <c r="HM351" i="4"/>
  <c r="HS351" i="4"/>
  <c r="HM315" i="4"/>
  <c r="HO315" i="4"/>
  <c r="HQ315" i="4"/>
  <c r="HS315" i="4"/>
  <c r="HM247" i="4"/>
  <c r="HO247" i="4"/>
  <c r="HS247" i="4"/>
  <c r="HM80" i="4"/>
  <c r="HO80" i="4"/>
  <c r="HO42" i="4"/>
  <c r="HM42" i="4"/>
  <c r="HS42" i="4"/>
  <c r="HM114" i="4"/>
  <c r="HO114" i="4"/>
  <c r="HQ114" i="4"/>
  <c r="HS114" i="4"/>
  <c r="HO4" i="4"/>
  <c r="HQ4" i="4"/>
  <c r="HS4" i="4"/>
  <c r="HM344" i="4"/>
  <c r="HO344" i="4"/>
  <c r="HQ344" i="4"/>
  <c r="HO194" i="4"/>
  <c r="HM194" i="4"/>
  <c r="HS194" i="4"/>
  <c r="HQ221" i="4"/>
  <c r="HS221" i="4"/>
  <c r="HS75" i="4"/>
  <c r="HQ75" i="4"/>
  <c r="HM204" i="4"/>
  <c r="HS204" i="4"/>
  <c r="HM128" i="4"/>
  <c r="HO128" i="4"/>
  <c r="HS128" i="4"/>
  <c r="HQ128" i="4"/>
  <c r="HM155" i="4"/>
  <c r="HO155" i="4"/>
  <c r="HS155" i="4"/>
  <c r="HM157" i="4"/>
  <c r="HO157" i="4"/>
  <c r="HM274" i="4"/>
  <c r="HQ274" i="4"/>
  <c r="HS274" i="4"/>
  <c r="HO241" i="4"/>
  <c r="HQ241" i="4"/>
  <c r="HO189" i="4"/>
  <c r="HQ189" i="4"/>
  <c r="HS189" i="4"/>
  <c r="HM189" i="4"/>
  <c r="HO220" i="4"/>
  <c r="HM220" i="4"/>
  <c r="HS220" i="4"/>
  <c r="HM267" i="4"/>
  <c r="HO267" i="4"/>
  <c r="HM222" i="4"/>
  <c r="HO222" i="4"/>
  <c r="HQ222" i="4"/>
  <c r="HS222" i="4"/>
  <c r="HO17" i="4"/>
  <c r="HS17" i="4"/>
  <c r="HO130" i="4"/>
  <c r="HS130" i="4"/>
  <c r="HM58" i="4"/>
  <c r="HS58" i="4"/>
  <c r="HM23" i="4"/>
  <c r="HO23" i="4"/>
  <c r="BF261" i="4"/>
  <c r="HG261" i="4" s="1"/>
  <c r="HQ261" i="4"/>
  <c r="HS261" i="4"/>
  <c r="HM347" i="4"/>
  <c r="HO347" i="4"/>
  <c r="HS347" i="4"/>
  <c r="HO148" i="4"/>
  <c r="HQ148" i="4"/>
  <c r="HS148" i="4"/>
  <c r="HM258" i="4"/>
  <c r="HO258" i="4"/>
  <c r="HS258" i="4"/>
  <c r="HO178" i="4"/>
  <c r="HM178" i="4"/>
  <c r="HS178" i="4"/>
  <c r="HM27" i="4"/>
  <c r="HO27" i="4"/>
  <c r="HM54" i="4"/>
  <c r="HO54" i="4"/>
  <c r="HQ54" i="4"/>
  <c r="HS15" i="4"/>
  <c r="HM15" i="4"/>
  <c r="L353" i="4"/>
  <c r="AK353" i="4"/>
  <c r="AI353" i="4" s="1"/>
  <c r="HI360" i="4"/>
  <c r="HK360" i="4"/>
  <c r="L352" i="4"/>
  <c r="AK352" i="4"/>
  <c r="AI352" i="4" s="1"/>
  <c r="L305" i="4"/>
  <c r="L162" i="4"/>
  <c r="L160" i="4"/>
  <c r="L362" i="4"/>
  <c r="L360" i="4"/>
  <c r="L178" i="4"/>
  <c r="HK347" i="4"/>
  <c r="HI347" i="4"/>
  <c r="HK258" i="4"/>
  <c r="HK178" i="4"/>
  <c r="HU105" i="4"/>
  <c r="HU243" i="4"/>
  <c r="L258" i="4"/>
  <c r="L105" i="4"/>
  <c r="HK324" i="4"/>
  <c r="L347" i="4"/>
  <c r="HU224" i="4"/>
  <c r="HU223" i="4"/>
  <c r="AO223" i="4" s="1"/>
  <c r="HU103" i="4"/>
  <c r="HI222" i="4"/>
  <c r="HU340" i="4"/>
  <c r="L243" i="4"/>
  <c r="L324" i="4"/>
  <c r="HK226" i="4"/>
  <c r="HI104" i="4"/>
  <c r="HU311" i="4"/>
  <c r="L323" i="4"/>
  <c r="HU357" i="4"/>
  <c r="AQ357" i="4" s="1"/>
  <c r="HU129" i="4"/>
  <c r="HU285" i="4"/>
  <c r="L311" i="4"/>
  <c r="HK304" i="4"/>
  <c r="HI304" i="4"/>
  <c r="HU175" i="4"/>
  <c r="L104" i="4"/>
  <c r="L224" i="4"/>
  <c r="L103" i="4"/>
  <c r="L222" i="4"/>
  <c r="L340" i="4"/>
  <c r="L226" i="4"/>
  <c r="L223" i="4"/>
  <c r="AK223" i="4"/>
  <c r="AI223" i="4" s="1"/>
  <c r="HK279" i="4"/>
  <c r="HU263" i="4"/>
  <c r="HU64" i="4"/>
  <c r="HI344" i="4"/>
  <c r="HI351" i="4"/>
  <c r="L175" i="4"/>
  <c r="HU177" i="4"/>
  <c r="AO177" i="4" s="1"/>
  <c r="L356" i="4"/>
  <c r="L263" i="4"/>
  <c r="L129" i="4"/>
  <c r="L285" i="4"/>
  <c r="HU45" i="4"/>
  <c r="L279" i="4"/>
  <c r="L304" i="4"/>
  <c r="L64" i="4"/>
  <c r="AS175" i="4"/>
  <c r="AO263" i="4"/>
  <c r="HS5" i="4"/>
  <c r="HQ5" i="4"/>
  <c r="HO5" i="4"/>
  <c r="L351" i="4"/>
  <c r="L344" i="4"/>
  <c r="L350" i="4"/>
  <c r="L177" i="4"/>
  <c r="L45" i="4"/>
  <c r="HK113" i="4"/>
  <c r="HI113" i="4"/>
  <c r="HK247" i="4"/>
  <c r="HI58" i="4"/>
  <c r="HK23" i="4"/>
  <c r="HI23" i="4"/>
  <c r="HK261" i="4"/>
  <c r="HI261" i="4"/>
  <c r="HK27" i="4"/>
  <c r="HI27" i="4"/>
  <c r="HK241" i="4"/>
  <c r="HK262" i="4"/>
  <c r="HI262" i="4"/>
  <c r="HK248" i="4"/>
  <c r="HI248" i="4"/>
  <c r="HK75" i="4"/>
  <c r="HI75" i="4"/>
  <c r="HI54" i="4"/>
  <c r="HI15" i="4"/>
  <c r="HI34" i="4"/>
  <c r="HI239" i="4"/>
  <c r="HI194" i="4"/>
  <c r="HK267" i="4"/>
  <c r="HI267" i="4"/>
  <c r="HK202" i="4"/>
  <c r="HK18" i="4"/>
  <c r="HK6" i="4"/>
  <c r="HI6" i="4"/>
  <c r="HI48" i="4"/>
  <c r="HK381" i="4"/>
  <c r="HI381" i="4"/>
  <c r="HI189" i="4"/>
  <c r="HI221" i="4"/>
  <c r="HI136" i="4"/>
  <c r="HK57" i="4"/>
  <c r="HI57" i="4"/>
  <c r="HK29" i="4"/>
  <c r="HK220" i="4"/>
  <c r="HI220" i="4"/>
  <c r="HK80" i="4"/>
  <c r="HI80" i="4"/>
  <c r="HK42" i="4"/>
  <c r="HI42" i="4"/>
  <c r="HI4" i="4"/>
  <c r="HK5" i="4"/>
  <c r="HK349" i="4"/>
  <c r="HI349" i="4"/>
  <c r="HK110" i="4"/>
  <c r="HI110" i="4"/>
  <c r="HK204" i="4"/>
  <c r="HI204" i="4"/>
  <c r="HI155" i="4"/>
  <c r="HK155" i="4"/>
  <c r="HK157" i="4"/>
  <c r="HI157" i="4"/>
  <c r="HK24" i="4"/>
  <c r="HI24" i="4"/>
  <c r="HK17" i="4"/>
  <c r="HK130" i="4"/>
  <c r="HI130" i="4"/>
  <c r="DV150" i="4"/>
  <c r="AW150" i="4"/>
  <c r="AQ150" i="4"/>
  <c r="AY353" i="4"/>
  <c r="AS353" i="4"/>
  <c r="CK144" i="4"/>
  <c r="AQ144" i="4"/>
  <c r="AS144" i="4"/>
  <c r="AW144" i="4"/>
  <c r="AY144" i="4"/>
  <c r="CT135" i="4"/>
  <c r="AW135" i="4"/>
  <c r="DD211" i="4"/>
  <c r="AU211" i="4"/>
  <c r="AO211" i="4"/>
  <c r="AW165" i="4"/>
  <c r="AQ165" i="4"/>
  <c r="CI293" i="4"/>
  <c r="AS186" i="4"/>
  <c r="AY186" i="4"/>
  <c r="AO100" i="4"/>
  <c r="AU100" i="4"/>
  <c r="DD355" i="4"/>
  <c r="HU355" i="4"/>
  <c r="CI192" i="4"/>
  <c r="AQ192" i="4"/>
  <c r="AW192" i="4"/>
  <c r="AY216" i="4"/>
  <c r="AS216" i="4"/>
  <c r="AQ352" i="4"/>
  <c r="AW352" i="4"/>
  <c r="AQ162" i="4"/>
  <c r="AS185" i="4"/>
  <c r="AW20" i="4"/>
  <c r="CP288" i="4"/>
  <c r="AQ288" i="4"/>
  <c r="AO102" i="4"/>
  <c r="AU102" i="4"/>
  <c r="AO183" i="4"/>
  <c r="AU183" i="4"/>
  <c r="AU61" i="4"/>
  <c r="AW61" i="4"/>
  <c r="AO61" i="4"/>
  <c r="AW146" i="4"/>
  <c r="AQ146" i="4"/>
  <c r="AQ275" i="4"/>
  <c r="AW275" i="4"/>
  <c r="CP311" i="4"/>
  <c r="AQ311" i="4"/>
  <c r="AS311" i="4"/>
  <c r="AW311" i="4"/>
  <c r="AY311" i="4"/>
  <c r="AQ85" i="4"/>
  <c r="AW85" i="4"/>
  <c r="CR302" i="4"/>
  <c r="AO302" i="4"/>
  <c r="AQ302" i="4"/>
  <c r="AU302" i="4"/>
  <c r="AW302" i="4"/>
  <c r="FX296" i="4"/>
  <c r="AW296" i="4"/>
  <c r="AQ296" i="4"/>
  <c r="AQ185" i="4"/>
  <c r="AU20" i="4"/>
  <c r="AY308" i="4"/>
  <c r="AO203" i="4"/>
  <c r="CT286" i="4"/>
  <c r="AO286" i="4"/>
  <c r="AU286" i="4"/>
  <c r="CI73" i="4"/>
  <c r="AO73" i="4"/>
  <c r="AS73" i="4"/>
  <c r="AU73" i="4"/>
  <c r="AY73" i="4"/>
  <c r="AQ223" i="4"/>
  <c r="AS223" i="4"/>
  <c r="AY223" i="4"/>
  <c r="AQ84" i="4"/>
  <c r="AY228" i="4"/>
  <c r="CI193" i="4"/>
  <c r="AY284" i="4"/>
  <c r="AQ284" i="4"/>
  <c r="AS284" i="4"/>
  <c r="AW284" i="4"/>
  <c r="AQ300" i="4"/>
  <c r="AS184" i="4"/>
  <c r="AW184" i="4"/>
  <c r="AY184" i="4"/>
  <c r="AQ184" i="4"/>
  <c r="CY44" i="4"/>
  <c r="AQ44" i="4"/>
  <c r="AW44" i="4"/>
  <c r="DA299" i="4"/>
  <c r="AS299" i="4"/>
  <c r="AY299" i="4"/>
  <c r="AS134" i="4"/>
  <c r="AS308" i="4"/>
  <c r="AY134" i="4"/>
  <c r="AW188" i="4"/>
  <c r="AO20" i="4"/>
  <c r="AQ199" i="4"/>
  <c r="AS199" i="4"/>
  <c r="AW199" i="4"/>
  <c r="AY199" i="4"/>
  <c r="AW142" i="4"/>
  <c r="AQ142" i="4"/>
  <c r="AY358" i="4"/>
  <c r="AO358" i="4"/>
  <c r="AU358" i="4"/>
  <c r="AU313" i="4"/>
  <c r="AO313" i="4"/>
  <c r="EA224" i="4"/>
  <c r="AO224" i="4"/>
  <c r="CW64" i="4"/>
  <c r="AY64" i="4"/>
  <c r="AS64" i="4"/>
  <c r="HU290" i="4"/>
  <c r="AQ290" i="4"/>
  <c r="AW290" i="4"/>
  <c r="AQ103" i="4"/>
  <c r="AS103" i="4"/>
  <c r="AW103" i="4"/>
  <c r="AY103" i="4"/>
  <c r="AY243" i="4"/>
  <c r="AS243" i="4"/>
  <c r="AU238" i="4"/>
  <c r="AO238" i="4"/>
  <c r="DA213" i="4"/>
  <c r="AU213" i="4"/>
  <c r="AO213" i="4"/>
  <c r="AS191" i="4"/>
  <c r="AU263" i="4"/>
  <c r="AU188" i="4"/>
  <c r="AY294" i="4"/>
  <c r="AQ135" i="4"/>
  <c r="AS358" i="4"/>
  <c r="AW295" i="4"/>
  <c r="AQ295" i="4"/>
  <c r="AO257" i="4"/>
  <c r="AS317" i="4"/>
  <c r="AU317" i="4"/>
  <c r="AY317" i="4"/>
  <c r="AO317" i="4"/>
  <c r="AQ383" i="4"/>
  <c r="AQ170" i="4"/>
  <c r="AS170" i="4"/>
  <c r="AW170" i="4"/>
  <c r="EQ101" i="4"/>
  <c r="AO101" i="4"/>
  <c r="AU101" i="4"/>
  <c r="DD212" i="4"/>
  <c r="AQ212" i="4"/>
  <c r="AS212" i="4"/>
  <c r="AO195" i="4"/>
  <c r="AQ195" i="4"/>
  <c r="AU195" i="4"/>
  <c r="AW195" i="4"/>
  <c r="AO174" i="4"/>
  <c r="AQ174" i="4"/>
  <c r="AU174" i="4"/>
  <c r="AW174" i="4"/>
  <c r="AO264" i="4"/>
  <c r="AW56" i="4"/>
  <c r="AQ56" i="4"/>
  <c r="AO147" i="4"/>
  <c r="AY357" i="4"/>
  <c r="AS357" i="4"/>
  <c r="AW224" i="4"/>
  <c r="AW84" i="4"/>
  <c r="AU269" i="4"/>
  <c r="AW269" i="4"/>
  <c r="AO269" i="4"/>
  <c r="CY214" i="4"/>
  <c r="AQ214" i="4"/>
  <c r="AS214" i="4"/>
  <c r="AW214" i="4"/>
  <c r="AY214" i="4"/>
  <c r="AW291" i="4"/>
  <c r="AQ291" i="4"/>
  <c r="AW254" i="4"/>
  <c r="AQ254" i="4"/>
  <c r="AU231" i="4"/>
  <c r="AW231" i="4"/>
  <c r="AO231" i="4"/>
  <c r="AQ231" i="4"/>
  <c r="AS256" i="4"/>
  <c r="AY256" i="4"/>
  <c r="FC373" i="4"/>
  <c r="AS373" i="4"/>
  <c r="AW373" i="4"/>
  <c r="AY373" i="4"/>
  <c r="AQ373" i="4"/>
  <c r="DH88" i="4"/>
  <c r="AY88" i="4"/>
  <c r="AS88" i="4"/>
  <c r="ET322" i="4"/>
  <c r="AS322" i="4"/>
  <c r="AW322" i="4"/>
  <c r="AY322" i="4"/>
  <c r="AQ322" i="4"/>
  <c r="AQ263" i="4"/>
  <c r="AO328" i="4"/>
  <c r="AQ188" i="4"/>
  <c r="AW143" i="4"/>
  <c r="AU224" i="4"/>
  <c r="AW256" i="4"/>
  <c r="DO265" i="4"/>
  <c r="AO265" i="4"/>
  <c r="AU265" i="4"/>
  <c r="EV105" i="4"/>
  <c r="AQ105" i="4"/>
  <c r="AS105" i="4"/>
  <c r="AW105" i="4"/>
  <c r="EF240" i="4"/>
  <c r="AU240" i="4"/>
  <c r="AO240" i="4"/>
  <c r="AS237" i="4"/>
  <c r="AW237" i="4"/>
  <c r="AY237" i="4"/>
  <c r="AQ237" i="4"/>
  <c r="AO149" i="4"/>
  <c r="AU149" i="4"/>
  <c r="AQ39" i="4"/>
  <c r="AS39" i="4"/>
  <c r="AY39" i="4"/>
  <c r="AQ273" i="4"/>
  <c r="AQ145" i="4"/>
  <c r="AW145" i="4"/>
  <c r="AS277" i="4"/>
  <c r="AY277" i="4"/>
  <c r="DF129" i="4"/>
  <c r="AQ129" i="4"/>
  <c r="AS129" i="4"/>
  <c r="AW129" i="4"/>
  <c r="AY129" i="4"/>
  <c r="CT154" i="4"/>
  <c r="AQ285" i="4"/>
  <c r="AS285" i="4"/>
  <c r="AW285" i="4"/>
  <c r="AY285" i="4"/>
  <c r="CI217" i="4"/>
  <c r="AW217" i="4"/>
  <c r="AO217" i="4"/>
  <c r="AU217" i="4"/>
  <c r="AQ217" i="4"/>
  <c r="AS294" i="4"/>
  <c r="AW273" i="4"/>
  <c r="AQ256" i="4"/>
  <c r="FS218" i="4"/>
  <c r="AQ218" i="4"/>
  <c r="CK176" i="4"/>
  <c r="AO176" i="4"/>
  <c r="AU176" i="4"/>
  <c r="AO99" i="4"/>
  <c r="AY301" i="4"/>
  <c r="AO301" i="4"/>
  <c r="AS301" i="4"/>
  <c r="AU301" i="4"/>
  <c r="FH205" i="4"/>
  <c r="AO205" i="4"/>
  <c r="AY233" i="4"/>
  <c r="AQ233" i="4"/>
  <c r="AW233" i="4"/>
  <c r="AS233" i="4"/>
  <c r="AO268" i="4"/>
  <c r="AU268" i="4"/>
  <c r="DD187" i="4"/>
  <c r="AQ187" i="4"/>
  <c r="AW187" i="4"/>
  <c r="AQ143" i="4"/>
  <c r="AQ224" i="4"/>
  <c r="AW223" i="4"/>
  <c r="AQ193" i="4"/>
  <c r="HU242" i="4"/>
  <c r="AS242" i="4"/>
  <c r="AQ173" i="4"/>
  <c r="AS173" i="4"/>
  <c r="AW173" i="4"/>
  <c r="AY173" i="4"/>
  <c r="CW314" i="4"/>
  <c r="AQ314" i="4"/>
  <c r="AS340" i="4"/>
  <c r="AS329" i="4"/>
  <c r="AQ198" i="4"/>
  <c r="AW198" i="4"/>
  <c r="DV175" i="4"/>
  <c r="AW175" i="4"/>
  <c r="AY175" i="4"/>
  <c r="AQ175" i="4"/>
  <c r="AU308" i="4"/>
  <c r="DD272" i="4"/>
  <c r="AU272" i="4"/>
  <c r="AW272" i="4"/>
  <c r="AO272" i="4"/>
  <c r="AQ272" i="4"/>
  <c r="DF297" i="4"/>
  <c r="AW297" i="4"/>
  <c r="AQ297" i="4"/>
  <c r="DH298" i="4"/>
  <c r="AQ298" i="4"/>
  <c r="AW162" i="4"/>
  <c r="AU328" i="4"/>
  <c r="AY185" i="4"/>
  <c r="AO143" i="4"/>
  <c r="AQ269" i="4"/>
  <c r="DF292" i="4"/>
  <c r="AQ292" i="4"/>
  <c r="AW292" i="4"/>
  <c r="CI215" i="4"/>
  <c r="AQ215" i="4"/>
  <c r="AS215" i="4"/>
  <c r="AW215" i="4"/>
  <c r="AW271" i="4"/>
  <c r="AQ271" i="4"/>
  <c r="AW201" i="4"/>
  <c r="AQ201" i="4"/>
  <c r="FQ266" i="4"/>
  <c r="AW266" i="4"/>
  <c r="AW185" i="4"/>
  <c r="AW228" i="4"/>
  <c r="AU205" i="4"/>
  <c r="AU203" i="4"/>
  <c r="AY212" i="4"/>
  <c r="AU257" i="4"/>
  <c r="AQ61" i="4"/>
  <c r="GE252" i="4"/>
  <c r="AQ252" i="4"/>
  <c r="AW252" i="4"/>
  <c r="AS228" i="4"/>
  <c r="AW193" i="4"/>
  <c r="AW212" i="4"/>
  <c r="AY105" i="4"/>
  <c r="AY215" i="4"/>
  <c r="AW218" i="4"/>
  <c r="AY177" i="4"/>
  <c r="AW177" i="4"/>
  <c r="AS177" i="4"/>
  <c r="AQ177" i="4"/>
  <c r="AQ45" i="4"/>
  <c r="AW45" i="4"/>
  <c r="L331" i="4"/>
  <c r="L242" i="4"/>
  <c r="L275" i="4"/>
  <c r="CT88" i="4"/>
  <c r="CP255" i="4"/>
  <c r="DR293" i="4"/>
  <c r="L355" i="4"/>
  <c r="AK355" i="4"/>
  <c r="L271" i="4"/>
  <c r="HU165" i="4"/>
  <c r="AS165" i="4" s="1"/>
  <c r="CP272" i="4"/>
  <c r="CP265" i="4"/>
  <c r="L339" i="4"/>
  <c r="HU102" i="4"/>
  <c r="HU146" i="4"/>
  <c r="HU275" i="4"/>
  <c r="HU85" i="4"/>
  <c r="CY127" i="4"/>
  <c r="CP250" i="4"/>
  <c r="L290" i="4"/>
  <c r="L343" i="4"/>
  <c r="AK343" i="4"/>
  <c r="AI343" i="4" s="1"/>
  <c r="DF284" i="4"/>
  <c r="HU284" i="4"/>
  <c r="CY121" i="4"/>
  <c r="L248" i="4"/>
  <c r="L315" i="4"/>
  <c r="L165" i="4"/>
  <c r="DM28" i="4"/>
  <c r="CW420" i="4"/>
  <c r="EO28" i="4"/>
  <c r="FX32" i="4"/>
  <c r="CT298" i="4"/>
  <c r="CP212" i="4"/>
  <c r="L241" i="4"/>
  <c r="L189" i="4"/>
  <c r="HU195" i="4"/>
  <c r="DH339" i="4"/>
  <c r="HU339" i="4"/>
  <c r="HU174" i="4"/>
  <c r="EA28" i="4"/>
  <c r="CT85" i="4"/>
  <c r="CP211" i="4"/>
  <c r="L309" i="4"/>
  <c r="DF28" i="4"/>
  <c r="CI292" i="4"/>
  <c r="CP196" i="4"/>
  <c r="CK129" i="4"/>
  <c r="L146" i="4"/>
  <c r="L221" i="4"/>
  <c r="L195" i="4"/>
  <c r="GL76" i="4"/>
  <c r="HU76" i="4"/>
  <c r="CT277" i="4"/>
  <c r="HU277" i="4"/>
  <c r="FX36" i="4"/>
  <c r="FX76" i="4"/>
  <c r="L349" i="4"/>
  <c r="AK349" i="4"/>
  <c r="AI349" i="4" s="1"/>
  <c r="L277" i="4"/>
  <c r="DF233" i="4"/>
  <c r="HU233" i="4"/>
  <c r="CP64" i="4"/>
  <c r="CM213" i="4"/>
  <c r="CW105" i="4"/>
  <c r="CK214" i="4"/>
  <c r="L247" i="4"/>
  <c r="CP251" i="4"/>
  <c r="CT144" i="4"/>
  <c r="L110" i="4"/>
  <c r="EA271" i="4"/>
  <c r="HU271" i="4"/>
  <c r="EX201" i="4"/>
  <c r="HU201" i="4"/>
  <c r="CW101" i="4"/>
  <c r="CY200" i="4"/>
  <c r="CP355" i="4"/>
  <c r="L262" i="4"/>
  <c r="L337" i="4"/>
  <c r="DT339" i="4"/>
  <c r="L76" i="4"/>
  <c r="EM102" i="4"/>
  <c r="FH102" i="4"/>
  <c r="CR102" i="4"/>
  <c r="DT102" i="4"/>
  <c r="EF102" i="4"/>
  <c r="FV102" i="4"/>
  <c r="CY102" i="4"/>
  <c r="CI102" i="4"/>
  <c r="DD102" i="4"/>
  <c r="CP102" i="4"/>
  <c r="GE102" i="4"/>
  <c r="FS102" i="4"/>
  <c r="GN102" i="4"/>
  <c r="GG102" i="4"/>
  <c r="FC102" i="4"/>
  <c r="EQ102" i="4"/>
  <c r="FL102" i="4"/>
  <c r="FE102" i="4"/>
  <c r="FA102" i="4"/>
  <c r="DO102" i="4"/>
  <c r="EJ102" i="4"/>
  <c r="EC102" i="4"/>
  <c r="EV102" i="4"/>
  <c r="CM102" i="4"/>
  <c r="DH102" i="4"/>
  <c r="DA102" i="4"/>
  <c r="ET102" i="4"/>
  <c r="FQ102" i="4"/>
  <c r="GL102" i="4"/>
  <c r="FZ102" i="4"/>
  <c r="EA102" i="4"/>
  <c r="EO102" i="4"/>
  <c r="FJ102" i="4"/>
  <c r="EX102" i="4"/>
  <c r="DY102" i="4"/>
  <c r="EH102" i="4"/>
  <c r="DV102" i="4"/>
  <c r="DR102" i="4"/>
  <c r="FO102" i="4"/>
  <c r="GJ102" i="4"/>
  <c r="FX102" i="4"/>
  <c r="CW102" i="4"/>
  <c r="FJ183" i="4"/>
  <c r="FC183" i="4"/>
  <c r="EV183" i="4"/>
  <c r="DM183" i="4"/>
  <c r="EH183" i="4"/>
  <c r="EA183" i="4"/>
  <c r="DT183" i="4"/>
  <c r="CM183" i="4"/>
  <c r="DF183" i="4"/>
  <c r="CY183" i="4"/>
  <c r="CR183" i="4"/>
  <c r="CP183" i="4"/>
  <c r="FO183" i="4"/>
  <c r="GJ183" i="4"/>
  <c r="GC183" i="4"/>
  <c r="CK183" i="4"/>
  <c r="FH183" i="4"/>
  <c r="FA183" i="4"/>
  <c r="FV183" i="4"/>
  <c r="DK183" i="4"/>
  <c r="EF183" i="4"/>
  <c r="DY183" i="4"/>
  <c r="FS183" i="4"/>
  <c r="CI183" i="4"/>
  <c r="DD183" i="4"/>
  <c r="CW183" i="4"/>
  <c r="FQ183" i="4"/>
  <c r="GN183" i="4"/>
  <c r="GG183" i="4"/>
  <c r="FZ183" i="4"/>
  <c r="ET183" i="4"/>
  <c r="FL183" i="4"/>
  <c r="FE183" i="4"/>
  <c r="EX183" i="4"/>
  <c r="EQ183" i="4"/>
  <c r="EJ183" i="4"/>
  <c r="EC183" i="4"/>
  <c r="DV183" i="4"/>
  <c r="GL183" i="4"/>
  <c r="GE183" i="4"/>
  <c r="FX183" i="4"/>
  <c r="DO183" i="4"/>
  <c r="FO61" i="4"/>
  <c r="GJ61" i="4"/>
  <c r="GC61" i="4"/>
  <c r="EM61" i="4"/>
  <c r="FH61" i="4"/>
  <c r="FA61" i="4"/>
  <c r="FV61" i="4"/>
  <c r="DK61" i="4"/>
  <c r="EF61" i="4"/>
  <c r="DY61" i="4"/>
  <c r="FS61" i="4"/>
  <c r="CI61" i="4"/>
  <c r="DD61" i="4"/>
  <c r="CW61" i="4"/>
  <c r="FQ61" i="4"/>
  <c r="GN61" i="4"/>
  <c r="GG61" i="4"/>
  <c r="FZ61" i="4"/>
  <c r="ET61" i="4"/>
  <c r="FL61" i="4"/>
  <c r="FE61" i="4"/>
  <c r="EX61" i="4"/>
  <c r="EQ61" i="4"/>
  <c r="EJ61" i="4"/>
  <c r="EC61" i="4"/>
  <c r="DV61" i="4"/>
  <c r="EO61" i="4"/>
  <c r="DH61" i="4"/>
  <c r="DA61" i="4"/>
  <c r="CT61" i="4"/>
  <c r="DR61" i="4"/>
  <c r="GL61" i="4"/>
  <c r="GE61" i="4"/>
  <c r="FX61" i="4"/>
  <c r="DO61" i="4"/>
  <c r="FJ61" i="4"/>
  <c r="FC61" i="4"/>
  <c r="EV61" i="4"/>
  <c r="DM61" i="4"/>
  <c r="DF61" i="4"/>
  <c r="CY61" i="4"/>
  <c r="CR61" i="4"/>
  <c r="CP61" i="4"/>
  <c r="CM61" i="4"/>
  <c r="EH61" i="4"/>
  <c r="DT61" i="4"/>
  <c r="GL227" i="4"/>
  <c r="GE227" i="4"/>
  <c r="FX227" i="4"/>
  <c r="FQ227" i="4"/>
  <c r="FJ227" i="4"/>
  <c r="FC227" i="4"/>
  <c r="EV227" i="4"/>
  <c r="EO227" i="4"/>
  <c r="EH227" i="4"/>
  <c r="DT227" i="4"/>
  <c r="DM227" i="4"/>
  <c r="DF227" i="4"/>
  <c r="CY227" i="4"/>
  <c r="CR227" i="4"/>
  <c r="CK227" i="4"/>
  <c r="GJ227" i="4"/>
  <c r="GC227" i="4"/>
  <c r="FV227" i="4"/>
  <c r="GN227" i="4"/>
  <c r="FH227" i="4"/>
  <c r="FA227" i="4"/>
  <c r="ET227" i="4"/>
  <c r="FL227" i="4"/>
  <c r="EF227" i="4"/>
  <c r="DR227" i="4"/>
  <c r="EJ227" i="4"/>
  <c r="DD227" i="4"/>
  <c r="CW227" i="4"/>
  <c r="CP227" i="4"/>
  <c r="DH227" i="4"/>
  <c r="GG227" i="4"/>
  <c r="FZ227" i="4"/>
  <c r="FS227" i="4"/>
  <c r="DK227" i="4"/>
  <c r="FE227" i="4"/>
  <c r="EX227" i="4"/>
  <c r="EQ227" i="4"/>
  <c r="CI227" i="4"/>
  <c r="DA227" i="4"/>
  <c r="CT227" i="4"/>
  <c r="CM227" i="4"/>
  <c r="FO227" i="4"/>
  <c r="EC227" i="4"/>
  <c r="DV227" i="4"/>
  <c r="DO227" i="4"/>
  <c r="EM227" i="4"/>
  <c r="FJ146" i="4"/>
  <c r="FC146" i="4"/>
  <c r="EV146" i="4"/>
  <c r="EQ146" i="4"/>
  <c r="EH146" i="4"/>
  <c r="EA146" i="4"/>
  <c r="DT146" i="4"/>
  <c r="DO146" i="4"/>
  <c r="DF146" i="4"/>
  <c r="CY146" i="4"/>
  <c r="CR146" i="4"/>
  <c r="DR146" i="4"/>
  <c r="FO146" i="4"/>
  <c r="GJ146" i="4"/>
  <c r="GC146" i="4"/>
  <c r="FQ146" i="4"/>
  <c r="EM146" i="4"/>
  <c r="FH146" i="4"/>
  <c r="FA146" i="4"/>
  <c r="EO146" i="4"/>
  <c r="DK146" i="4"/>
  <c r="EF146" i="4"/>
  <c r="DY146" i="4"/>
  <c r="DM146" i="4"/>
  <c r="CI146" i="4"/>
  <c r="DD146" i="4"/>
  <c r="CW146" i="4"/>
  <c r="GN146" i="4"/>
  <c r="GG146" i="4"/>
  <c r="FZ146" i="4"/>
  <c r="CP146" i="4"/>
  <c r="FL146" i="4"/>
  <c r="FE146" i="4"/>
  <c r="EX146" i="4"/>
  <c r="EJ146" i="4"/>
  <c r="EC146" i="4"/>
  <c r="DV146" i="4"/>
  <c r="FV146" i="4"/>
  <c r="GL146" i="4"/>
  <c r="GE146" i="4"/>
  <c r="FX146" i="4"/>
  <c r="ET146" i="4"/>
  <c r="GL141" i="4"/>
  <c r="FX141" i="4"/>
  <c r="FH141" i="4"/>
  <c r="GG141" i="4"/>
  <c r="FJ141" i="4"/>
  <c r="EV141" i="4"/>
  <c r="DO141" i="4"/>
  <c r="EO141" i="4"/>
  <c r="EH141" i="4"/>
  <c r="DT141" i="4"/>
  <c r="FE141" i="4"/>
  <c r="DA141" i="4"/>
  <c r="DF141" i="4"/>
  <c r="CR141" i="4"/>
  <c r="DM141" i="4"/>
  <c r="FS141" i="4"/>
  <c r="GE141" i="4"/>
  <c r="FQ141" i="4"/>
  <c r="EX141" i="4"/>
  <c r="EF141" i="4"/>
  <c r="FC141" i="4"/>
  <c r="EC141" i="4"/>
  <c r="DK141" i="4"/>
  <c r="CM141" i="4"/>
  <c r="EA141" i="4"/>
  <c r="CK141" i="4"/>
  <c r="GN141" i="4"/>
  <c r="FZ141" i="4"/>
  <c r="CY141" i="4"/>
  <c r="FO141" i="4"/>
  <c r="ET141" i="4"/>
  <c r="FV141" i="4"/>
  <c r="GC141" i="4"/>
  <c r="DV141" i="4"/>
  <c r="EM141" i="4"/>
  <c r="FA141" i="4"/>
  <c r="CI141" i="4"/>
  <c r="GJ141" i="4"/>
  <c r="EJ141" i="4"/>
  <c r="CW141" i="4"/>
  <c r="DR141" i="4"/>
  <c r="DD141" i="4"/>
  <c r="CP141" i="4"/>
  <c r="DY141" i="4"/>
  <c r="FL141" i="4"/>
  <c r="EQ141" i="4"/>
  <c r="CT141" i="4"/>
  <c r="FJ275" i="4"/>
  <c r="FC275" i="4"/>
  <c r="EV275" i="4"/>
  <c r="CP275" i="4"/>
  <c r="EA275" i="4"/>
  <c r="DT275" i="4"/>
  <c r="CM275" i="4"/>
  <c r="DF275" i="4"/>
  <c r="CY275" i="4"/>
  <c r="CR275" i="4"/>
  <c r="DO275" i="4"/>
  <c r="FO275" i="4"/>
  <c r="GJ275" i="4"/>
  <c r="GC275" i="4"/>
  <c r="FQ275" i="4"/>
  <c r="EM275" i="4"/>
  <c r="FH275" i="4"/>
  <c r="FA275" i="4"/>
  <c r="EO275" i="4"/>
  <c r="DK275" i="4"/>
  <c r="EF275" i="4"/>
  <c r="DY275" i="4"/>
  <c r="DM275" i="4"/>
  <c r="CI275" i="4"/>
  <c r="DD275" i="4"/>
  <c r="CW275" i="4"/>
  <c r="CK275" i="4"/>
  <c r="GN275" i="4"/>
  <c r="GG275" i="4"/>
  <c r="FZ275" i="4"/>
  <c r="FV275" i="4"/>
  <c r="FL275" i="4"/>
  <c r="FE275" i="4"/>
  <c r="EX275" i="4"/>
  <c r="FS275" i="4"/>
  <c r="EC275" i="4"/>
  <c r="DV275" i="4"/>
  <c r="ET275" i="4"/>
  <c r="GL275" i="4"/>
  <c r="GE275" i="4"/>
  <c r="FX275" i="4"/>
  <c r="DR275" i="4"/>
  <c r="CE311" i="4"/>
  <c r="FE311" i="4"/>
  <c r="EX311" i="4"/>
  <c r="DK311" i="4"/>
  <c r="EC311" i="4"/>
  <c r="DV311" i="4"/>
  <c r="DO311" i="4"/>
  <c r="CK311" i="4"/>
  <c r="DA311" i="4"/>
  <c r="CT311" i="4"/>
  <c r="CM311" i="4"/>
  <c r="CI311" i="4"/>
  <c r="GL311" i="4"/>
  <c r="GE311" i="4"/>
  <c r="FX311" i="4"/>
  <c r="GN311" i="4"/>
  <c r="FJ311" i="4"/>
  <c r="FC311" i="4"/>
  <c r="EV311" i="4"/>
  <c r="FL311" i="4"/>
  <c r="EH311" i="4"/>
  <c r="EA311" i="4"/>
  <c r="DT311" i="4"/>
  <c r="EJ311" i="4"/>
  <c r="DF311" i="4"/>
  <c r="CY311" i="4"/>
  <c r="CR311" i="4"/>
  <c r="DH311" i="4"/>
  <c r="GJ311" i="4"/>
  <c r="GC311" i="4"/>
  <c r="FV311" i="4"/>
  <c r="FQ311" i="4"/>
  <c r="FH311" i="4"/>
  <c r="FA311" i="4"/>
  <c r="ET311" i="4"/>
  <c r="FO311" i="4"/>
  <c r="EF311" i="4"/>
  <c r="DY311" i="4"/>
  <c r="DR311" i="4"/>
  <c r="EO311" i="4"/>
  <c r="GG311" i="4"/>
  <c r="FZ311" i="4"/>
  <c r="FS311" i="4"/>
  <c r="DM311" i="4"/>
  <c r="FQ185" i="4"/>
  <c r="GL185" i="4"/>
  <c r="GE185" i="4"/>
  <c r="CP185" i="4"/>
  <c r="EO185" i="4"/>
  <c r="FJ185" i="4"/>
  <c r="FC185" i="4"/>
  <c r="CM185" i="4"/>
  <c r="DM185" i="4"/>
  <c r="EH185" i="4"/>
  <c r="EA185" i="4"/>
  <c r="GC185" i="4"/>
  <c r="CK185" i="4"/>
  <c r="DF185" i="4"/>
  <c r="CY185" i="4"/>
  <c r="FV185" i="4"/>
  <c r="FO185" i="4"/>
  <c r="GJ185" i="4"/>
  <c r="FS185" i="4"/>
  <c r="EM185" i="4"/>
  <c r="FH185" i="4"/>
  <c r="EX185" i="4"/>
  <c r="FA185" i="4"/>
  <c r="DK185" i="4"/>
  <c r="EF185" i="4"/>
  <c r="DV185" i="4"/>
  <c r="ET185" i="4"/>
  <c r="CI185" i="4"/>
  <c r="DD185" i="4"/>
  <c r="CT185" i="4"/>
  <c r="EQ185" i="4"/>
  <c r="GN185" i="4"/>
  <c r="GG185" i="4"/>
  <c r="FX185" i="4"/>
  <c r="DY185" i="4"/>
  <c r="FL185" i="4"/>
  <c r="FE185" i="4"/>
  <c r="EV185" i="4"/>
  <c r="DR185" i="4"/>
  <c r="DH185" i="4"/>
  <c r="DA185" i="4"/>
  <c r="CR185" i="4"/>
  <c r="CW185" i="4"/>
  <c r="EJ185" i="4"/>
  <c r="EC185" i="4"/>
  <c r="DO185" i="4"/>
  <c r="DT185" i="4"/>
  <c r="EM85" i="4"/>
  <c r="FH85" i="4"/>
  <c r="DR85" i="4"/>
  <c r="DY85" i="4"/>
  <c r="DK85" i="4"/>
  <c r="EF85" i="4"/>
  <c r="GE85" i="4"/>
  <c r="EV85" i="4"/>
  <c r="CI85" i="4"/>
  <c r="DD85" i="4"/>
  <c r="CY85" i="4"/>
  <c r="EA85" i="4"/>
  <c r="FS85" i="4"/>
  <c r="GN85" i="4"/>
  <c r="GG85" i="4"/>
  <c r="GC85" i="4"/>
  <c r="EQ85" i="4"/>
  <c r="FL85" i="4"/>
  <c r="FE85" i="4"/>
  <c r="CW85" i="4"/>
  <c r="DO85" i="4"/>
  <c r="EC85" i="4"/>
  <c r="FX85" i="4"/>
  <c r="CM85" i="4"/>
  <c r="DH85" i="4"/>
  <c r="DA85" i="4"/>
  <c r="CR85" i="4"/>
  <c r="FQ85" i="4"/>
  <c r="GL85" i="4"/>
  <c r="FZ85" i="4"/>
  <c r="FV85" i="4"/>
  <c r="EO85" i="4"/>
  <c r="FJ85" i="4"/>
  <c r="EX85" i="4"/>
  <c r="CP85" i="4"/>
  <c r="DM85" i="4"/>
  <c r="DV85" i="4"/>
  <c r="FC85" i="4"/>
  <c r="FO85" i="4"/>
  <c r="GJ85" i="4"/>
  <c r="DT85" i="4"/>
  <c r="ET85" i="4"/>
  <c r="AS97" i="4"/>
  <c r="FE97" i="4"/>
  <c r="EX97" i="4"/>
  <c r="EO97" i="4"/>
  <c r="CM97" i="4"/>
  <c r="EC97" i="4"/>
  <c r="DV97" i="4"/>
  <c r="DM97" i="4"/>
  <c r="DK97" i="4"/>
  <c r="CT97" i="4"/>
  <c r="CK97" i="4"/>
  <c r="DO97" i="4"/>
  <c r="GL97" i="4"/>
  <c r="GE97" i="4"/>
  <c r="FX97" i="4"/>
  <c r="GN97" i="4"/>
  <c r="FJ97" i="4"/>
  <c r="FC97" i="4"/>
  <c r="EV97" i="4"/>
  <c r="FL97" i="4"/>
  <c r="EH97" i="4"/>
  <c r="EA97" i="4"/>
  <c r="DT97" i="4"/>
  <c r="EJ97" i="4"/>
  <c r="DF97" i="4"/>
  <c r="CY97" i="4"/>
  <c r="CR97" i="4"/>
  <c r="DH97" i="4"/>
  <c r="GJ97" i="4"/>
  <c r="GC97" i="4"/>
  <c r="FV97" i="4"/>
  <c r="CI97" i="4"/>
  <c r="FH97" i="4"/>
  <c r="FA97" i="4"/>
  <c r="ET97" i="4"/>
  <c r="FS97" i="4"/>
  <c r="EF97" i="4"/>
  <c r="DY97" i="4"/>
  <c r="DR97" i="4"/>
  <c r="FO97" i="4"/>
  <c r="GG97" i="4"/>
  <c r="FZ97" i="4"/>
  <c r="FQ97" i="4"/>
  <c r="EM97" i="4"/>
  <c r="CG302" i="4"/>
  <c r="FH302" i="4"/>
  <c r="FA302" i="4"/>
  <c r="EM302" i="4"/>
  <c r="EO302" i="4"/>
  <c r="EF302" i="4"/>
  <c r="DY302" i="4"/>
  <c r="DK302" i="4"/>
  <c r="DR302" i="4"/>
  <c r="DD302" i="4"/>
  <c r="CW302" i="4"/>
  <c r="CI302" i="4"/>
  <c r="DO302" i="4"/>
  <c r="GN302" i="4"/>
  <c r="GG302" i="4"/>
  <c r="FZ302" i="4"/>
  <c r="DM302" i="4"/>
  <c r="FL302" i="4"/>
  <c r="FE302" i="4"/>
  <c r="EX302" i="4"/>
  <c r="CP302" i="4"/>
  <c r="EJ302" i="4"/>
  <c r="EC302" i="4"/>
  <c r="DV302" i="4"/>
  <c r="CM302" i="4"/>
  <c r="DH302" i="4"/>
  <c r="DA302" i="4"/>
  <c r="CT302" i="4"/>
  <c r="CK302" i="4"/>
  <c r="GL302" i="4"/>
  <c r="GE302" i="4"/>
  <c r="FX302" i="4"/>
  <c r="FV302" i="4"/>
  <c r="FJ302" i="4"/>
  <c r="FC302" i="4"/>
  <c r="EV302" i="4"/>
  <c r="FS302" i="4"/>
  <c r="EH302" i="4"/>
  <c r="EA302" i="4"/>
  <c r="DT302" i="4"/>
  <c r="FQ302" i="4"/>
  <c r="GJ302" i="4"/>
  <c r="GC302" i="4"/>
  <c r="FO302" i="4"/>
  <c r="EQ302" i="4"/>
  <c r="FE98" i="4"/>
  <c r="EX98" i="4"/>
  <c r="EO98" i="4"/>
  <c r="EQ98" i="4"/>
  <c r="DV98" i="4"/>
  <c r="DM98" i="4"/>
  <c r="FS98" i="4"/>
  <c r="DA98" i="4"/>
  <c r="CT98" i="4"/>
  <c r="CK98" i="4"/>
  <c r="FO98" i="4"/>
  <c r="GL98" i="4"/>
  <c r="GE98" i="4"/>
  <c r="FX98" i="4"/>
  <c r="GN98" i="4"/>
  <c r="FJ98" i="4"/>
  <c r="FC98" i="4"/>
  <c r="EV98" i="4"/>
  <c r="FL98" i="4"/>
  <c r="EH98" i="4"/>
  <c r="EA98" i="4"/>
  <c r="DT98" i="4"/>
  <c r="EJ98" i="4"/>
  <c r="DF98" i="4"/>
  <c r="CY98" i="4"/>
  <c r="CR98" i="4"/>
  <c r="DH98" i="4"/>
  <c r="GJ98" i="4"/>
  <c r="GC98" i="4"/>
  <c r="FV98" i="4"/>
  <c r="EM98" i="4"/>
  <c r="FH98" i="4"/>
  <c r="FA98" i="4"/>
  <c r="ET98" i="4"/>
  <c r="DO98" i="4"/>
  <c r="EF98" i="4"/>
  <c r="DY98" i="4"/>
  <c r="DR98" i="4"/>
  <c r="DK98" i="4"/>
  <c r="GG98" i="4"/>
  <c r="FZ98" i="4"/>
  <c r="FQ98" i="4"/>
  <c r="CI98" i="4"/>
  <c r="FL296" i="4"/>
  <c r="FE296" i="4"/>
  <c r="DT296" i="4"/>
  <c r="DR296" i="4"/>
  <c r="EC296" i="4"/>
  <c r="CT296" i="4"/>
  <c r="DO296" i="4"/>
  <c r="DH296" i="4"/>
  <c r="DA296" i="4"/>
  <c r="CR296" i="4"/>
  <c r="CW296" i="4"/>
  <c r="FQ296" i="4"/>
  <c r="GL296" i="4"/>
  <c r="GE296" i="4"/>
  <c r="GC296" i="4"/>
  <c r="EO296" i="4"/>
  <c r="FJ296" i="4"/>
  <c r="FC296" i="4"/>
  <c r="CP296" i="4"/>
  <c r="DM296" i="4"/>
  <c r="EA296" i="4"/>
  <c r="FV296" i="4"/>
  <c r="CK296" i="4"/>
  <c r="DF296" i="4"/>
  <c r="CY296" i="4"/>
  <c r="CM296" i="4"/>
  <c r="FO296" i="4"/>
  <c r="GJ296" i="4"/>
  <c r="FZ296" i="4"/>
  <c r="FS296" i="4"/>
  <c r="EM296" i="4"/>
  <c r="FH296" i="4"/>
  <c r="EX296" i="4"/>
  <c r="FA296" i="4"/>
  <c r="DK296" i="4"/>
  <c r="EF296" i="4"/>
  <c r="DV296" i="4"/>
  <c r="ET296" i="4"/>
  <c r="GN296" i="4"/>
  <c r="GG296" i="4"/>
  <c r="EV296" i="4"/>
  <c r="DY296" i="4"/>
  <c r="EX95" i="4"/>
  <c r="EO95" i="4"/>
  <c r="CM95" i="4"/>
  <c r="EC95" i="4"/>
  <c r="DV95" i="4"/>
  <c r="DM95" i="4"/>
  <c r="DO95" i="4"/>
  <c r="DA95" i="4"/>
  <c r="CT95" i="4"/>
  <c r="CK95" i="4"/>
  <c r="DK95" i="4"/>
  <c r="GL95" i="4"/>
  <c r="GE95" i="4"/>
  <c r="FX95" i="4"/>
  <c r="GN95" i="4"/>
  <c r="FJ95" i="4"/>
  <c r="FC95" i="4"/>
  <c r="EV95" i="4"/>
  <c r="FL95" i="4"/>
  <c r="EH95" i="4"/>
  <c r="EA95" i="4"/>
  <c r="DT95" i="4"/>
  <c r="EJ95" i="4"/>
  <c r="DF95" i="4"/>
  <c r="CY95" i="4"/>
  <c r="CR95" i="4"/>
  <c r="DH95" i="4"/>
  <c r="GJ95" i="4"/>
  <c r="GC95" i="4"/>
  <c r="FV95" i="4"/>
  <c r="CI95" i="4"/>
  <c r="FH95" i="4"/>
  <c r="FA95" i="4"/>
  <c r="ET95" i="4"/>
  <c r="FS95" i="4"/>
  <c r="EF95" i="4"/>
  <c r="DY95" i="4"/>
  <c r="DR95" i="4"/>
  <c r="FO95" i="4"/>
  <c r="GG95" i="4"/>
  <c r="FZ95" i="4"/>
  <c r="FQ95" i="4"/>
  <c r="EM95" i="4"/>
  <c r="FA19" i="4"/>
  <c r="EM64" i="4"/>
  <c r="DH272" i="4"/>
  <c r="CM98" i="4"/>
  <c r="EQ193" i="4"/>
  <c r="FO355" i="4"/>
  <c r="ET302" i="4"/>
  <c r="EQ97" i="4"/>
  <c r="FZ127" i="4"/>
  <c r="FQ32" i="4"/>
  <c r="FA85" i="4"/>
  <c r="EQ292" i="4"/>
  <c r="EQ296" i="4"/>
  <c r="DO213" i="4"/>
  <c r="DH251" i="4"/>
  <c r="EV200" i="4"/>
  <c r="EM311" i="4"/>
  <c r="EX339" i="4"/>
  <c r="EQ73" i="4"/>
  <c r="DR298" i="4"/>
  <c r="DH211" i="4"/>
  <c r="DH196" i="4"/>
  <c r="FZ139" i="4"/>
  <c r="CM36" i="4"/>
  <c r="CP144" i="4"/>
  <c r="CT217" i="4"/>
  <c r="CM293" i="4"/>
  <c r="DH250" i="4"/>
  <c r="FZ420" i="4"/>
  <c r="DH212" i="4"/>
  <c r="DA76" i="4"/>
  <c r="CT193" i="4"/>
  <c r="CW73" i="4"/>
  <c r="CY139" i="4"/>
  <c r="FL295" i="4"/>
  <c r="FE295" i="4"/>
  <c r="DT295" i="4"/>
  <c r="CM295" i="4"/>
  <c r="EJ295" i="4"/>
  <c r="FZ295" i="4"/>
  <c r="EX295" i="4"/>
  <c r="DH295" i="4"/>
  <c r="DA295" i="4"/>
  <c r="DR295" i="4"/>
  <c r="FA295" i="4"/>
  <c r="FQ295" i="4"/>
  <c r="GL295" i="4"/>
  <c r="GE295" i="4"/>
  <c r="FX295" i="4"/>
  <c r="EO295" i="4"/>
  <c r="FJ295" i="4"/>
  <c r="FC295" i="4"/>
  <c r="DO295" i="4"/>
  <c r="DM295" i="4"/>
  <c r="EH295" i="4"/>
  <c r="FV295" i="4"/>
  <c r="CK295" i="4"/>
  <c r="DF295" i="4"/>
  <c r="CY295" i="4"/>
  <c r="CW295" i="4"/>
  <c r="FO295" i="4"/>
  <c r="GJ295" i="4"/>
  <c r="ET295" i="4"/>
  <c r="FS295" i="4"/>
  <c r="EM295" i="4"/>
  <c r="FH295" i="4"/>
  <c r="EQ295" i="4"/>
  <c r="CT295" i="4"/>
  <c r="DK295" i="4"/>
  <c r="EF295" i="4"/>
  <c r="DY295" i="4"/>
  <c r="EV295" i="4"/>
  <c r="GN295" i="4"/>
  <c r="GG295" i="4"/>
  <c r="GC295" i="4"/>
  <c r="CP295" i="4"/>
  <c r="GL263" i="4"/>
  <c r="GE263" i="4"/>
  <c r="FX263" i="4"/>
  <c r="GN263" i="4"/>
  <c r="FJ263" i="4"/>
  <c r="FC263" i="4"/>
  <c r="EV263" i="4"/>
  <c r="FL263" i="4"/>
  <c r="EH263" i="4"/>
  <c r="EA263" i="4"/>
  <c r="DT263" i="4"/>
  <c r="EJ263" i="4"/>
  <c r="DF263" i="4"/>
  <c r="CY263" i="4"/>
  <c r="CR263" i="4"/>
  <c r="DH263" i="4"/>
  <c r="GJ263" i="4"/>
  <c r="GC263" i="4"/>
  <c r="FV263" i="4"/>
  <c r="FQ263" i="4"/>
  <c r="FH263" i="4"/>
  <c r="FA263" i="4"/>
  <c r="ET263" i="4"/>
  <c r="FO263" i="4"/>
  <c r="EF263" i="4"/>
  <c r="DY263" i="4"/>
  <c r="DR263" i="4"/>
  <c r="DD263" i="4"/>
  <c r="CW263" i="4"/>
  <c r="CP263" i="4"/>
  <c r="GG263" i="4"/>
  <c r="FZ263" i="4"/>
  <c r="FS263" i="4"/>
  <c r="DM263" i="4"/>
  <c r="FE263" i="4"/>
  <c r="EX263" i="4"/>
  <c r="EQ263" i="4"/>
  <c r="DK263" i="4"/>
  <c r="DA263" i="4"/>
  <c r="CT263" i="4"/>
  <c r="CM263" i="4"/>
  <c r="CI263" i="4"/>
  <c r="EC263" i="4"/>
  <c r="DV263" i="4"/>
  <c r="DO263" i="4"/>
  <c r="CK263" i="4"/>
  <c r="FJ265" i="4"/>
  <c r="CY265" i="4"/>
  <c r="DY265" i="4"/>
  <c r="EH265" i="4"/>
  <c r="EX265" i="4"/>
  <c r="CM265" i="4"/>
  <c r="DM265" i="4"/>
  <c r="GJ265" i="4"/>
  <c r="FZ265" i="4"/>
  <c r="FQ265" i="4"/>
  <c r="FO265" i="4"/>
  <c r="FH265" i="4"/>
  <c r="EV265" i="4"/>
  <c r="DV265" i="4"/>
  <c r="EM265" i="4"/>
  <c r="EF265" i="4"/>
  <c r="CW265" i="4"/>
  <c r="CK265" i="4"/>
  <c r="DK265" i="4"/>
  <c r="GG265" i="4"/>
  <c r="ET265" i="4"/>
  <c r="FX265" i="4"/>
  <c r="CI265" i="4"/>
  <c r="FE265" i="4"/>
  <c r="CT265" i="4"/>
  <c r="DT265" i="4"/>
  <c r="GN265" i="4"/>
  <c r="EC265" i="4"/>
  <c r="EQ265" i="4"/>
  <c r="FV265" i="4"/>
  <c r="FL265" i="4"/>
  <c r="DA265" i="4"/>
  <c r="CR265" i="4"/>
  <c r="DR265" i="4"/>
  <c r="EJ265" i="4"/>
  <c r="GE265" i="4"/>
  <c r="EO265" i="4"/>
  <c r="FS265" i="4"/>
  <c r="GL265" i="4"/>
  <c r="EA265" i="4"/>
  <c r="GC265" i="4"/>
  <c r="FA265" i="4"/>
  <c r="FS257" i="4"/>
  <c r="GN257" i="4"/>
  <c r="GG257" i="4"/>
  <c r="GC257" i="4"/>
  <c r="EQ257" i="4"/>
  <c r="FL257" i="4"/>
  <c r="FE257" i="4"/>
  <c r="CW257" i="4"/>
  <c r="DO257" i="4"/>
  <c r="EJ257" i="4"/>
  <c r="EC257" i="4"/>
  <c r="FX257" i="4"/>
  <c r="CM257" i="4"/>
  <c r="DH257" i="4"/>
  <c r="DA257" i="4"/>
  <c r="CR257" i="4"/>
  <c r="FQ257" i="4"/>
  <c r="GL257" i="4"/>
  <c r="FZ257" i="4"/>
  <c r="FV257" i="4"/>
  <c r="EO257" i="4"/>
  <c r="FJ257" i="4"/>
  <c r="EX257" i="4"/>
  <c r="CP257" i="4"/>
  <c r="DM257" i="4"/>
  <c r="EH257" i="4"/>
  <c r="DV257" i="4"/>
  <c r="FC257" i="4"/>
  <c r="CK257" i="4"/>
  <c r="DF257" i="4"/>
  <c r="CT257" i="4"/>
  <c r="FA257" i="4"/>
  <c r="FO257" i="4"/>
  <c r="GJ257" i="4"/>
  <c r="DT257" i="4"/>
  <c r="EM257" i="4"/>
  <c r="FH257" i="4"/>
  <c r="DR257" i="4"/>
  <c r="DY257" i="4"/>
  <c r="CI257" i="4"/>
  <c r="DD257" i="4"/>
  <c r="CY257" i="4"/>
  <c r="EA257" i="4"/>
  <c r="DK257" i="4"/>
  <c r="GE257" i="4"/>
  <c r="GL158" i="4"/>
  <c r="GE158" i="4"/>
  <c r="FX158" i="4"/>
  <c r="FQ158" i="4"/>
  <c r="FJ158" i="4"/>
  <c r="FC158" i="4"/>
  <c r="EV158" i="4"/>
  <c r="EO158" i="4"/>
  <c r="EH158" i="4"/>
  <c r="EA158" i="4"/>
  <c r="DT158" i="4"/>
  <c r="DM158" i="4"/>
  <c r="DF158" i="4"/>
  <c r="CY158" i="4"/>
  <c r="CR158" i="4"/>
  <c r="CK158" i="4"/>
  <c r="GJ158" i="4"/>
  <c r="GC158" i="4"/>
  <c r="FV158" i="4"/>
  <c r="GN158" i="4"/>
  <c r="FH158" i="4"/>
  <c r="FA158" i="4"/>
  <c r="ET158" i="4"/>
  <c r="FL158" i="4"/>
  <c r="EF158" i="4"/>
  <c r="DY158" i="4"/>
  <c r="EJ158" i="4"/>
  <c r="DD158" i="4"/>
  <c r="CW158" i="4"/>
  <c r="CP158" i="4"/>
  <c r="DH158" i="4"/>
  <c r="GG158" i="4"/>
  <c r="FZ158" i="4"/>
  <c r="FS158" i="4"/>
  <c r="FO158" i="4"/>
  <c r="FE158" i="4"/>
  <c r="EX158" i="4"/>
  <c r="EQ158" i="4"/>
  <c r="EM158" i="4"/>
  <c r="DA158" i="4"/>
  <c r="CT158" i="4"/>
  <c r="CM158" i="4"/>
  <c r="CI158" i="4"/>
  <c r="EC158" i="4"/>
  <c r="DV158" i="4"/>
  <c r="DO158" i="4"/>
  <c r="DK158" i="4"/>
  <c r="GN317" i="4"/>
  <c r="GG317" i="4"/>
  <c r="FZ317" i="4"/>
  <c r="DM317" i="4"/>
  <c r="FL317" i="4"/>
  <c r="FE317" i="4"/>
  <c r="EX317" i="4"/>
  <c r="CP317" i="4"/>
  <c r="EJ317" i="4"/>
  <c r="EC317" i="4"/>
  <c r="DV317" i="4"/>
  <c r="CM317" i="4"/>
  <c r="DH317" i="4"/>
  <c r="DA317" i="4"/>
  <c r="CT317" i="4"/>
  <c r="CK317" i="4"/>
  <c r="GL317" i="4"/>
  <c r="GE317" i="4"/>
  <c r="FX317" i="4"/>
  <c r="FV317" i="4"/>
  <c r="FJ317" i="4"/>
  <c r="FC317" i="4"/>
  <c r="EV317" i="4"/>
  <c r="FS317" i="4"/>
  <c r="EH317" i="4"/>
  <c r="EA317" i="4"/>
  <c r="DT317" i="4"/>
  <c r="FQ317" i="4"/>
  <c r="DF317" i="4"/>
  <c r="CY317" i="4"/>
  <c r="CR317" i="4"/>
  <c r="ET317" i="4"/>
  <c r="GJ317" i="4"/>
  <c r="GC317" i="4"/>
  <c r="FO317" i="4"/>
  <c r="EQ317" i="4"/>
  <c r="FH317" i="4"/>
  <c r="FA317" i="4"/>
  <c r="EM317" i="4"/>
  <c r="EO317" i="4"/>
  <c r="DD317" i="4"/>
  <c r="CI317" i="4"/>
  <c r="DO317" i="4"/>
  <c r="EF317" i="4"/>
  <c r="DY317" i="4"/>
  <c r="DK317" i="4"/>
  <c r="DR317" i="4"/>
  <c r="FE153" i="4"/>
  <c r="EX153" i="4"/>
  <c r="EC153" i="4"/>
  <c r="DV153" i="4"/>
  <c r="DO153" i="4"/>
  <c r="DK153" i="4"/>
  <c r="DA153" i="4"/>
  <c r="CT153" i="4"/>
  <c r="CM153" i="4"/>
  <c r="CI153" i="4"/>
  <c r="GL153" i="4"/>
  <c r="GE153" i="4"/>
  <c r="FX153" i="4"/>
  <c r="FQ153" i="4"/>
  <c r="FJ153" i="4"/>
  <c r="FC153" i="4"/>
  <c r="EV153" i="4"/>
  <c r="EH153" i="4"/>
  <c r="EA153" i="4"/>
  <c r="DT153" i="4"/>
  <c r="DM153" i="4"/>
  <c r="DF153" i="4"/>
  <c r="CY153" i="4"/>
  <c r="CR153" i="4"/>
  <c r="CK153" i="4"/>
  <c r="GJ153" i="4"/>
  <c r="GC153" i="4"/>
  <c r="FV153" i="4"/>
  <c r="GN153" i="4"/>
  <c r="FH153" i="4"/>
  <c r="FA153" i="4"/>
  <c r="ET153" i="4"/>
  <c r="FL153" i="4"/>
  <c r="EF153" i="4"/>
  <c r="DY153" i="4"/>
  <c r="DR153" i="4"/>
  <c r="EJ153" i="4"/>
  <c r="GG153" i="4"/>
  <c r="FZ153" i="4"/>
  <c r="FS153" i="4"/>
  <c r="FO153" i="4"/>
  <c r="GL209" i="4"/>
  <c r="GE209" i="4"/>
  <c r="FX209" i="4"/>
  <c r="FQ209" i="4"/>
  <c r="FJ209" i="4"/>
  <c r="FC209" i="4"/>
  <c r="EV209" i="4"/>
  <c r="EO209" i="4"/>
  <c r="EH209" i="4"/>
  <c r="EA209" i="4"/>
  <c r="DT209" i="4"/>
  <c r="DM209" i="4"/>
  <c r="DF209" i="4"/>
  <c r="CY209" i="4"/>
  <c r="CR209" i="4"/>
  <c r="CK209" i="4"/>
  <c r="GJ209" i="4"/>
  <c r="GC209" i="4"/>
  <c r="FV209" i="4"/>
  <c r="GN209" i="4"/>
  <c r="FH209" i="4"/>
  <c r="FA209" i="4"/>
  <c r="ET209" i="4"/>
  <c r="FL209" i="4"/>
  <c r="EF209" i="4"/>
  <c r="DY209" i="4"/>
  <c r="DR209" i="4"/>
  <c r="EJ209" i="4"/>
  <c r="DD209" i="4"/>
  <c r="CW209" i="4"/>
  <c r="CP209" i="4"/>
  <c r="GG209" i="4"/>
  <c r="FZ209" i="4"/>
  <c r="FS209" i="4"/>
  <c r="FO209" i="4"/>
  <c r="FE209" i="4"/>
  <c r="EX209" i="4"/>
  <c r="EQ209" i="4"/>
  <c r="EM209" i="4"/>
  <c r="DA209" i="4"/>
  <c r="CT209" i="4"/>
  <c r="CM209" i="4"/>
  <c r="CI209" i="4"/>
  <c r="EC209" i="4"/>
  <c r="DV209" i="4"/>
  <c r="DO209" i="4"/>
  <c r="DK209" i="4"/>
  <c r="EM105" i="4"/>
  <c r="FH105" i="4"/>
  <c r="EX105" i="4"/>
  <c r="DT105" i="4"/>
  <c r="DK105" i="4"/>
  <c r="EF105" i="4"/>
  <c r="DV105" i="4"/>
  <c r="CR105" i="4"/>
  <c r="CI105" i="4"/>
  <c r="DD105" i="4"/>
  <c r="CT105" i="4"/>
  <c r="CY105" i="4"/>
  <c r="FS105" i="4"/>
  <c r="GN105" i="4"/>
  <c r="GG105" i="4"/>
  <c r="FV105" i="4"/>
  <c r="EQ105" i="4"/>
  <c r="FL105" i="4"/>
  <c r="FE105" i="4"/>
  <c r="ET105" i="4"/>
  <c r="DO105" i="4"/>
  <c r="EJ105" i="4"/>
  <c r="EC105" i="4"/>
  <c r="DR105" i="4"/>
  <c r="CM105" i="4"/>
  <c r="DA105" i="4"/>
  <c r="CP105" i="4"/>
  <c r="FQ105" i="4"/>
  <c r="GL105" i="4"/>
  <c r="GC105" i="4"/>
  <c r="GE105" i="4"/>
  <c r="EO105" i="4"/>
  <c r="FJ105" i="4"/>
  <c r="FA105" i="4"/>
  <c r="FX105" i="4"/>
  <c r="DM105" i="4"/>
  <c r="EH105" i="4"/>
  <c r="DY105" i="4"/>
  <c r="FC105" i="4"/>
  <c r="FO105" i="4"/>
  <c r="GJ105" i="4"/>
  <c r="FZ105" i="4"/>
  <c r="EA105" i="4"/>
  <c r="GN328" i="4"/>
  <c r="GG328" i="4"/>
  <c r="FZ328" i="4"/>
  <c r="DM328" i="4"/>
  <c r="FL328" i="4"/>
  <c r="FE328" i="4"/>
  <c r="EX328" i="4"/>
  <c r="CP328" i="4"/>
  <c r="EJ328" i="4"/>
  <c r="EC328" i="4"/>
  <c r="DV328" i="4"/>
  <c r="CM328" i="4"/>
  <c r="DH328" i="4"/>
  <c r="DA328" i="4"/>
  <c r="CT328" i="4"/>
  <c r="CK328" i="4"/>
  <c r="GL328" i="4"/>
  <c r="GE328" i="4"/>
  <c r="FX328" i="4"/>
  <c r="FV328" i="4"/>
  <c r="FJ328" i="4"/>
  <c r="FC328" i="4"/>
  <c r="FS328" i="4"/>
  <c r="EH328" i="4"/>
  <c r="EA328" i="4"/>
  <c r="DT328" i="4"/>
  <c r="FQ328" i="4"/>
  <c r="DF328" i="4"/>
  <c r="CY328" i="4"/>
  <c r="CR328" i="4"/>
  <c r="GJ328" i="4"/>
  <c r="GC328" i="4"/>
  <c r="FO328" i="4"/>
  <c r="EQ328" i="4"/>
  <c r="FH328" i="4"/>
  <c r="FA328" i="4"/>
  <c r="EM328" i="4"/>
  <c r="EO328" i="4"/>
  <c r="DD328" i="4"/>
  <c r="CW328" i="4"/>
  <c r="CI328" i="4"/>
  <c r="DO328" i="4"/>
  <c r="EF328" i="4"/>
  <c r="DY328" i="4"/>
  <c r="DK328" i="4"/>
  <c r="DR328" i="4"/>
  <c r="ET383" i="4"/>
  <c r="EM383" i="4"/>
  <c r="EA383" i="4"/>
  <c r="DR383" i="4"/>
  <c r="DK383" i="4"/>
  <c r="GL383" i="4"/>
  <c r="EH383" i="4"/>
  <c r="CP383" i="4"/>
  <c r="CI383" i="4"/>
  <c r="EC383" i="4"/>
  <c r="FZ383" i="4"/>
  <c r="FS383" i="4"/>
  <c r="GJ383" i="4"/>
  <c r="GG383" i="4"/>
  <c r="EX383" i="4"/>
  <c r="EQ383" i="4"/>
  <c r="FH383" i="4"/>
  <c r="DA383" i="4"/>
  <c r="DV383" i="4"/>
  <c r="DO383" i="4"/>
  <c r="EF383" i="4"/>
  <c r="GE383" i="4"/>
  <c r="CT383" i="4"/>
  <c r="CM383" i="4"/>
  <c r="CY383" i="4"/>
  <c r="FX383" i="4"/>
  <c r="FQ383" i="4"/>
  <c r="GC383" i="4"/>
  <c r="FL383" i="4"/>
  <c r="EV383" i="4"/>
  <c r="EO383" i="4"/>
  <c r="FA383" i="4"/>
  <c r="FJ383" i="4"/>
  <c r="DT383" i="4"/>
  <c r="DM383" i="4"/>
  <c r="DY383" i="4"/>
  <c r="FE383" i="4"/>
  <c r="FV383" i="4"/>
  <c r="FO383" i="4"/>
  <c r="GN383" i="4"/>
  <c r="EJ383" i="4"/>
  <c r="FO20" i="4"/>
  <c r="GJ20" i="4"/>
  <c r="GC20" i="4"/>
  <c r="CK20" i="4"/>
  <c r="EM20" i="4"/>
  <c r="FH20" i="4"/>
  <c r="FA20" i="4"/>
  <c r="FV20" i="4"/>
  <c r="DK20" i="4"/>
  <c r="EF20" i="4"/>
  <c r="DY20" i="4"/>
  <c r="FS20" i="4"/>
  <c r="CI20" i="4"/>
  <c r="DD20" i="4"/>
  <c r="CW20" i="4"/>
  <c r="FQ20" i="4"/>
  <c r="GN20" i="4"/>
  <c r="GG20" i="4"/>
  <c r="FZ20" i="4"/>
  <c r="ET20" i="4"/>
  <c r="FL20" i="4"/>
  <c r="FE20" i="4"/>
  <c r="EX20" i="4"/>
  <c r="EQ20" i="4"/>
  <c r="EJ20" i="4"/>
  <c r="EC20" i="4"/>
  <c r="DV20" i="4"/>
  <c r="EO20" i="4"/>
  <c r="DH20" i="4"/>
  <c r="DA20" i="4"/>
  <c r="CT20" i="4"/>
  <c r="DR20" i="4"/>
  <c r="GL20" i="4"/>
  <c r="GE20" i="4"/>
  <c r="FX20" i="4"/>
  <c r="DO20" i="4"/>
  <c r="FJ20" i="4"/>
  <c r="FC20" i="4"/>
  <c r="EV20" i="4"/>
  <c r="DF20" i="4"/>
  <c r="CY20" i="4"/>
  <c r="CR20" i="4"/>
  <c r="CP20" i="4"/>
  <c r="EH20" i="4"/>
  <c r="EA20" i="4"/>
  <c r="DT20" i="4"/>
  <c r="CM20" i="4"/>
  <c r="FZ140" i="4"/>
  <c r="EJ140" i="4"/>
  <c r="EA140" i="4"/>
  <c r="CR140" i="4"/>
  <c r="GL140" i="4"/>
  <c r="EQ140" i="4"/>
  <c r="DF140" i="4"/>
  <c r="CW140" i="4"/>
  <c r="GE140" i="4"/>
  <c r="DM140" i="4"/>
  <c r="FO140" i="4"/>
  <c r="GJ140" i="4"/>
  <c r="FC140" i="4"/>
  <c r="CK140" i="4"/>
  <c r="EH140" i="4"/>
  <c r="EX140" i="4"/>
  <c r="GC140" i="4"/>
  <c r="FX140" i="4"/>
  <c r="EO140" i="4"/>
  <c r="FL140" i="4"/>
  <c r="CP140" i="4"/>
  <c r="EV140" i="4"/>
  <c r="DK140" i="4"/>
  <c r="EF140" i="4"/>
  <c r="GN140" i="4"/>
  <c r="DT140" i="4"/>
  <c r="CI140" i="4"/>
  <c r="DA140" i="4"/>
  <c r="FE140" i="4"/>
  <c r="GG140" i="4"/>
  <c r="FS140" i="4"/>
  <c r="FJ140" i="4"/>
  <c r="FA140" i="4"/>
  <c r="ET140" i="4"/>
  <c r="EM140" i="4"/>
  <c r="DY140" i="4"/>
  <c r="CM140" i="4"/>
  <c r="FQ140" i="4"/>
  <c r="FH140" i="4"/>
  <c r="CT140" i="4"/>
  <c r="DD140" i="4"/>
  <c r="CY140" i="4"/>
  <c r="DR140" i="4"/>
  <c r="DV140" i="4"/>
  <c r="DO140" i="4"/>
  <c r="DH140" i="4"/>
  <c r="FV140" i="4"/>
  <c r="CE170" i="4"/>
  <c r="FQ170" i="4"/>
  <c r="DF170" i="4"/>
  <c r="GG170" i="4"/>
  <c r="CK170" i="4"/>
  <c r="EO170" i="4"/>
  <c r="FJ170" i="4"/>
  <c r="FC170" i="4"/>
  <c r="FZ170" i="4"/>
  <c r="GJ170" i="4"/>
  <c r="EF170" i="4"/>
  <c r="DY170" i="4"/>
  <c r="FX170" i="4"/>
  <c r="FS170" i="4"/>
  <c r="DD170" i="4"/>
  <c r="CW170" i="4"/>
  <c r="FV170" i="4"/>
  <c r="EM170" i="4"/>
  <c r="GN170" i="4"/>
  <c r="GE170" i="4"/>
  <c r="EV170" i="4"/>
  <c r="DK170" i="4"/>
  <c r="FH170" i="4"/>
  <c r="FA170" i="4"/>
  <c r="ET170" i="4"/>
  <c r="CI170" i="4"/>
  <c r="DV170" i="4"/>
  <c r="EQ170" i="4"/>
  <c r="FO170" i="4"/>
  <c r="DA170" i="4"/>
  <c r="CT170" i="4"/>
  <c r="DR170" i="4"/>
  <c r="EJ170" i="4"/>
  <c r="GL170" i="4"/>
  <c r="GC170" i="4"/>
  <c r="DO170" i="4"/>
  <c r="DH170" i="4"/>
  <c r="FE170" i="4"/>
  <c r="EX170" i="4"/>
  <c r="DM170" i="4"/>
  <c r="EH170" i="4"/>
  <c r="CY170" i="4"/>
  <c r="CR170" i="4"/>
  <c r="CP170" i="4"/>
  <c r="FL170" i="4"/>
  <c r="EA170" i="4"/>
  <c r="DT170" i="4"/>
  <c r="CM170" i="4"/>
  <c r="FL101" i="4"/>
  <c r="FE101" i="4"/>
  <c r="EX101" i="4"/>
  <c r="DO101" i="4"/>
  <c r="EJ101" i="4"/>
  <c r="EC101" i="4"/>
  <c r="DV101" i="4"/>
  <c r="CP101" i="4"/>
  <c r="DH101" i="4"/>
  <c r="DA101" i="4"/>
  <c r="CT101" i="4"/>
  <c r="CM101" i="4"/>
  <c r="FQ101" i="4"/>
  <c r="GL101" i="4"/>
  <c r="GE101" i="4"/>
  <c r="FX101" i="4"/>
  <c r="EO101" i="4"/>
  <c r="FJ101" i="4"/>
  <c r="FC101" i="4"/>
  <c r="EV101" i="4"/>
  <c r="DM101" i="4"/>
  <c r="EA101" i="4"/>
  <c r="DT101" i="4"/>
  <c r="CK101" i="4"/>
  <c r="DF101" i="4"/>
  <c r="CY101" i="4"/>
  <c r="CR101" i="4"/>
  <c r="FO101" i="4"/>
  <c r="GJ101" i="4"/>
  <c r="GC101" i="4"/>
  <c r="FV101" i="4"/>
  <c r="EM101" i="4"/>
  <c r="FH101" i="4"/>
  <c r="FA101" i="4"/>
  <c r="FS101" i="4"/>
  <c r="DK101" i="4"/>
  <c r="DY101" i="4"/>
  <c r="ET101" i="4"/>
  <c r="GN101" i="4"/>
  <c r="GG101" i="4"/>
  <c r="FZ101" i="4"/>
  <c r="DR101" i="4"/>
  <c r="EM82" i="4"/>
  <c r="FH82" i="4"/>
  <c r="FA82" i="4"/>
  <c r="DV82" i="4"/>
  <c r="DK82" i="4"/>
  <c r="EF82" i="4"/>
  <c r="DY82" i="4"/>
  <c r="DT82" i="4"/>
  <c r="CI82" i="4"/>
  <c r="DD82" i="4"/>
  <c r="CW82" i="4"/>
  <c r="CT82" i="4"/>
  <c r="FS82" i="4"/>
  <c r="GN82" i="4"/>
  <c r="GG82" i="4"/>
  <c r="FV82" i="4"/>
  <c r="EQ82" i="4"/>
  <c r="FL82" i="4"/>
  <c r="FE82" i="4"/>
  <c r="ET82" i="4"/>
  <c r="DO82" i="4"/>
  <c r="EJ82" i="4"/>
  <c r="EC82" i="4"/>
  <c r="DR82" i="4"/>
  <c r="DH82" i="4"/>
  <c r="DA82" i="4"/>
  <c r="CP82" i="4"/>
  <c r="FQ82" i="4"/>
  <c r="GL82" i="4"/>
  <c r="GE82" i="4"/>
  <c r="CR82" i="4"/>
  <c r="EO82" i="4"/>
  <c r="FJ82" i="4"/>
  <c r="FC82" i="4"/>
  <c r="FZ82" i="4"/>
  <c r="DM82" i="4"/>
  <c r="EH82" i="4"/>
  <c r="EA82" i="4"/>
  <c r="FX82" i="4"/>
  <c r="FO82" i="4"/>
  <c r="GJ82" i="4"/>
  <c r="GC82" i="4"/>
  <c r="EV82" i="4"/>
  <c r="EM53" i="4"/>
  <c r="FH53" i="4"/>
  <c r="FA53" i="4"/>
  <c r="EX53" i="4"/>
  <c r="DK53" i="4"/>
  <c r="EF53" i="4"/>
  <c r="DY53" i="4"/>
  <c r="EV53" i="4"/>
  <c r="CI53" i="4"/>
  <c r="DD53" i="4"/>
  <c r="CW53" i="4"/>
  <c r="DV53" i="4"/>
  <c r="FS53" i="4"/>
  <c r="GN53" i="4"/>
  <c r="GG53" i="4"/>
  <c r="FV53" i="4"/>
  <c r="EQ53" i="4"/>
  <c r="FL53" i="4"/>
  <c r="FE53" i="4"/>
  <c r="ET53" i="4"/>
  <c r="DO53" i="4"/>
  <c r="EJ53" i="4"/>
  <c r="DR53" i="4"/>
  <c r="CM53" i="4"/>
  <c r="DH53" i="4"/>
  <c r="DA53" i="4"/>
  <c r="CP53" i="4"/>
  <c r="FQ53" i="4"/>
  <c r="GL53" i="4"/>
  <c r="GE53" i="4"/>
  <c r="DT53" i="4"/>
  <c r="EO53" i="4"/>
  <c r="FJ53" i="4"/>
  <c r="FC53" i="4"/>
  <c r="CT53" i="4"/>
  <c r="DM53" i="4"/>
  <c r="EH53" i="4"/>
  <c r="EA53" i="4"/>
  <c r="CR53" i="4"/>
  <c r="FO53" i="4"/>
  <c r="GJ53" i="4"/>
  <c r="GC53" i="4"/>
  <c r="FX53" i="4"/>
  <c r="EM46" i="4"/>
  <c r="FH46" i="4"/>
  <c r="ET46" i="4"/>
  <c r="DK46" i="4"/>
  <c r="EF46" i="4"/>
  <c r="DR46" i="4"/>
  <c r="EX46" i="4"/>
  <c r="CI46" i="4"/>
  <c r="DD46" i="4"/>
  <c r="CP46" i="4"/>
  <c r="EV46" i="4"/>
  <c r="FS46" i="4"/>
  <c r="GN46" i="4"/>
  <c r="GG46" i="4"/>
  <c r="EA46" i="4"/>
  <c r="EQ46" i="4"/>
  <c r="FL46" i="4"/>
  <c r="FE46" i="4"/>
  <c r="DV46" i="4"/>
  <c r="DO46" i="4"/>
  <c r="EJ46" i="4"/>
  <c r="EC46" i="4"/>
  <c r="DT46" i="4"/>
  <c r="CM46" i="4"/>
  <c r="DH46" i="4"/>
  <c r="DA46" i="4"/>
  <c r="CY46" i="4"/>
  <c r="FQ46" i="4"/>
  <c r="GL46" i="4"/>
  <c r="GC46" i="4"/>
  <c r="CT46" i="4"/>
  <c r="EO46" i="4"/>
  <c r="FJ46" i="4"/>
  <c r="CR46" i="4"/>
  <c r="DM46" i="4"/>
  <c r="EH46" i="4"/>
  <c r="DY46" i="4"/>
  <c r="GE46" i="4"/>
  <c r="FO46" i="4"/>
  <c r="GJ46" i="4"/>
  <c r="FV46" i="4"/>
  <c r="FX46" i="4"/>
  <c r="DD101" i="4"/>
  <c r="DA88" i="4"/>
  <c r="CW272" i="4"/>
  <c r="CW98" i="4"/>
  <c r="DD193" i="4"/>
  <c r="CW355" i="4"/>
  <c r="CW255" i="4"/>
  <c r="CW97" i="4"/>
  <c r="DF127" i="4"/>
  <c r="EA32" i="4"/>
  <c r="DF85" i="4"/>
  <c r="CY292" i="4"/>
  <c r="DD296" i="4"/>
  <c r="CW251" i="4"/>
  <c r="DF200" i="4"/>
  <c r="CW311" i="4"/>
  <c r="DA339" i="4"/>
  <c r="DA298" i="4"/>
  <c r="CW211" i="4"/>
  <c r="CW196" i="4"/>
  <c r="DF139" i="4"/>
  <c r="DF105" i="4"/>
  <c r="DF144" i="4"/>
  <c r="CY217" i="4"/>
  <c r="FC265" i="4"/>
  <c r="CW250" i="4"/>
  <c r="DF121" i="4"/>
  <c r="DF420" i="4"/>
  <c r="CW212" i="4"/>
  <c r="FS129" i="4"/>
  <c r="EF257" i="4"/>
  <c r="L174" i="4"/>
  <c r="L85" i="4"/>
  <c r="FJ199" i="4"/>
  <c r="FC199" i="4"/>
  <c r="CK199" i="4"/>
  <c r="CW199" i="4"/>
  <c r="EH199" i="4"/>
  <c r="EA199" i="4"/>
  <c r="GC199" i="4"/>
  <c r="FQ199" i="4"/>
  <c r="DF199" i="4"/>
  <c r="CY199" i="4"/>
  <c r="DY199" i="4"/>
  <c r="DM199" i="4"/>
  <c r="FO199" i="4"/>
  <c r="GJ199" i="4"/>
  <c r="EX199" i="4"/>
  <c r="FZ199" i="4"/>
  <c r="EM199" i="4"/>
  <c r="FH199" i="4"/>
  <c r="CT199" i="4"/>
  <c r="DV199" i="4"/>
  <c r="DK199" i="4"/>
  <c r="EF199" i="4"/>
  <c r="EV199" i="4"/>
  <c r="FX199" i="4"/>
  <c r="CI199" i="4"/>
  <c r="DD199" i="4"/>
  <c r="CR199" i="4"/>
  <c r="DT199" i="4"/>
  <c r="GN199" i="4"/>
  <c r="GG199" i="4"/>
  <c r="ET199" i="4"/>
  <c r="FV199" i="4"/>
  <c r="FL199" i="4"/>
  <c r="FE199" i="4"/>
  <c r="CP199" i="4"/>
  <c r="DR199" i="4"/>
  <c r="EJ199" i="4"/>
  <c r="EQ199" i="4"/>
  <c r="FS199" i="4"/>
  <c r="GL199" i="4"/>
  <c r="GE199" i="4"/>
  <c r="EO199" i="4"/>
  <c r="FA199" i="4"/>
  <c r="FE142" i="4"/>
  <c r="EX142" i="4"/>
  <c r="EQ142" i="4"/>
  <c r="EM142" i="4"/>
  <c r="EC142" i="4"/>
  <c r="DV142" i="4"/>
  <c r="DO142" i="4"/>
  <c r="DK142" i="4"/>
  <c r="DA142" i="4"/>
  <c r="CT142" i="4"/>
  <c r="CM142" i="4"/>
  <c r="CI142" i="4"/>
  <c r="GL142" i="4"/>
  <c r="GE142" i="4"/>
  <c r="FX142" i="4"/>
  <c r="FQ142" i="4"/>
  <c r="FJ142" i="4"/>
  <c r="FC142" i="4"/>
  <c r="EV142" i="4"/>
  <c r="EO142" i="4"/>
  <c r="EA142" i="4"/>
  <c r="DT142" i="4"/>
  <c r="DM142" i="4"/>
  <c r="DF142" i="4"/>
  <c r="CY142" i="4"/>
  <c r="CR142" i="4"/>
  <c r="CK142" i="4"/>
  <c r="GJ142" i="4"/>
  <c r="GC142" i="4"/>
  <c r="FV142" i="4"/>
  <c r="GN142" i="4"/>
  <c r="FH142" i="4"/>
  <c r="FA142" i="4"/>
  <c r="ET142" i="4"/>
  <c r="FL142" i="4"/>
  <c r="EF142" i="4"/>
  <c r="DY142" i="4"/>
  <c r="DR142" i="4"/>
  <c r="GG142" i="4"/>
  <c r="FZ142" i="4"/>
  <c r="FS142" i="4"/>
  <c r="FO142" i="4"/>
  <c r="FS70" i="4"/>
  <c r="GN70" i="4"/>
  <c r="GG70" i="4"/>
  <c r="FV70" i="4"/>
  <c r="EQ70" i="4"/>
  <c r="FL70" i="4"/>
  <c r="FE70" i="4"/>
  <c r="ET70" i="4"/>
  <c r="DO70" i="4"/>
  <c r="EJ70" i="4"/>
  <c r="DR70" i="4"/>
  <c r="CM70" i="4"/>
  <c r="DH70" i="4"/>
  <c r="DA70" i="4"/>
  <c r="CP70" i="4"/>
  <c r="FQ70" i="4"/>
  <c r="GL70" i="4"/>
  <c r="GE70" i="4"/>
  <c r="FZ70" i="4"/>
  <c r="EO70" i="4"/>
  <c r="FJ70" i="4"/>
  <c r="FC70" i="4"/>
  <c r="FX70" i="4"/>
  <c r="DM70" i="4"/>
  <c r="EH70" i="4"/>
  <c r="EX70" i="4"/>
  <c r="CK70" i="4"/>
  <c r="DF70" i="4"/>
  <c r="CY70" i="4"/>
  <c r="EV70" i="4"/>
  <c r="FO70" i="4"/>
  <c r="GJ70" i="4"/>
  <c r="GC70" i="4"/>
  <c r="DV70" i="4"/>
  <c r="EM70" i="4"/>
  <c r="FH70" i="4"/>
  <c r="FA70" i="4"/>
  <c r="DT70" i="4"/>
  <c r="CI70" i="4"/>
  <c r="DD70" i="4"/>
  <c r="CW70" i="4"/>
  <c r="CR70" i="4"/>
  <c r="DK70" i="4"/>
  <c r="EF70" i="4"/>
  <c r="DY70" i="4"/>
  <c r="CT70" i="4"/>
  <c r="GN358" i="4"/>
  <c r="GG358" i="4"/>
  <c r="FZ358" i="4"/>
  <c r="DM358" i="4"/>
  <c r="FL358" i="4"/>
  <c r="FE358" i="4"/>
  <c r="EX358" i="4"/>
  <c r="CP358" i="4"/>
  <c r="EJ358" i="4"/>
  <c r="EC358" i="4"/>
  <c r="DV358" i="4"/>
  <c r="CM358" i="4"/>
  <c r="DH358" i="4"/>
  <c r="DA358" i="4"/>
  <c r="CT358" i="4"/>
  <c r="CK358" i="4"/>
  <c r="GL358" i="4"/>
  <c r="GE358" i="4"/>
  <c r="FX358" i="4"/>
  <c r="FV358" i="4"/>
  <c r="FJ358" i="4"/>
  <c r="FC358" i="4"/>
  <c r="EV358" i="4"/>
  <c r="FS358" i="4"/>
  <c r="EH358" i="4"/>
  <c r="EA358" i="4"/>
  <c r="DT358" i="4"/>
  <c r="FQ358" i="4"/>
  <c r="DF358" i="4"/>
  <c r="CY358" i="4"/>
  <c r="CR358" i="4"/>
  <c r="ET358" i="4"/>
  <c r="GJ358" i="4"/>
  <c r="GC358" i="4"/>
  <c r="FO358" i="4"/>
  <c r="EQ358" i="4"/>
  <c r="FH358" i="4"/>
  <c r="FA358" i="4"/>
  <c r="EM358" i="4"/>
  <c r="EO358" i="4"/>
  <c r="DD358" i="4"/>
  <c r="CI358" i="4"/>
  <c r="DO358" i="4"/>
  <c r="EF358" i="4"/>
  <c r="DY358" i="4"/>
  <c r="DK358" i="4"/>
  <c r="DR358" i="4"/>
  <c r="GN313" i="4"/>
  <c r="GG313" i="4"/>
  <c r="FO313" i="4"/>
  <c r="FS313" i="4"/>
  <c r="FL313" i="4"/>
  <c r="FE313" i="4"/>
  <c r="EM313" i="4"/>
  <c r="CT313" i="4"/>
  <c r="EJ313" i="4"/>
  <c r="EC313" i="4"/>
  <c r="DK313" i="4"/>
  <c r="FQ313" i="4"/>
  <c r="DH313" i="4"/>
  <c r="DA313" i="4"/>
  <c r="EO313" i="4"/>
  <c r="CR313" i="4"/>
  <c r="GL313" i="4"/>
  <c r="GE313" i="4"/>
  <c r="DV313" i="4"/>
  <c r="EX313" i="4"/>
  <c r="FJ313" i="4"/>
  <c r="FC313" i="4"/>
  <c r="DT313" i="4"/>
  <c r="CP313" i="4"/>
  <c r="EH313" i="4"/>
  <c r="EA313" i="4"/>
  <c r="FZ313" i="4"/>
  <c r="EV313" i="4"/>
  <c r="CY313" i="4"/>
  <c r="DR313" i="4"/>
  <c r="CM313" i="4"/>
  <c r="GJ313" i="4"/>
  <c r="GC313" i="4"/>
  <c r="FX313" i="4"/>
  <c r="ET313" i="4"/>
  <c r="FH313" i="4"/>
  <c r="FA313" i="4"/>
  <c r="DO313" i="4"/>
  <c r="EQ313" i="4"/>
  <c r="CW313" i="4"/>
  <c r="DM313" i="4"/>
  <c r="CI313" i="4"/>
  <c r="CK313" i="4"/>
  <c r="EF313" i="4"/>
  <c r="FV313" i="4"/>
  <c r="FO224" i="4"/>
  <c r="GJ224" i="4"/>
  <c r="FZ224" i="4"/>
  <c r="DY224" i="4"/>
  <c r="EM224" i="4"/>
  <c r="FH224" i="4"/>
  <c r="EX224" i="4"/>
  <c r="DT224" i="4"/>
  <c r="DK224" i="4"/>
  <c r="EF224" i="4"/>
  <c r="DV224" i="4"/>
  <c r="DR224" i="4"/>
  <c r="CI224" i="4"/>
  <c r="DD224" i="4"/>
  <c r="CT224" i="4"/>
  <c r="DO224" i="4"/>
  <c r="GN224" i="4"/>
  <c r="GG224" i="4"/>
  <c r="FQ224" i="4"/>
  <c r="GC224" i="4"/>
  <c r="FL224" i="4"/>
  <c r="FE224" i="4"/>
  <c r="EO224" i="4"/>
  <c r="CW224" i="4"/>
  <c r="EJ224" i="4"/>
  <c r="EC224" i="4"/>
  <c r="DM224" i="4"/>
  <c r="FS224" i="4"/>
  <c r="DH224" i="4"/>
  <c r="DA224" i="4"/>
  <c r="FA224" i="4"/>
  <c r="CM224" i="4"/>
  <c r="GE224" i="4"/>
  <c r="CK224" i="4"/>
  <c r="FX224" i="4"/>
  <c r="FJ224" i="4"/>
  <c r="FC224" i="4"/>
  <c r="EV224" i="4"/>
  <c r="FV224" i="4"/>
  <c r="DF224" i="4"/>
  <c r="CY224" i="4"/>
  <c r="EQ224" i="4"/>
  <c r="CP224" i="4"/>
  <c r="CR224" i="4"/>
  <c r="EH224" i="4"/>
  <c r="ET224" i="4"/>
  <c r="EX64" i="4"/>
  <c r="EQ64" i="4"/>
  <c r="DK64" i="4"/>
  <c r="EC64" i="4"/>
  <c r="DV64" i="4"/>
  <c r="DO64" i="4"/>
  <c r="CK64" i="4"/>
  <c r="DA64" i="4"/>
  <c r="CT64" i="4"/>
  <c r="CM64" i="4"/>
  <c r="CI64" i="4"/>
  <c r="GL64" i="4"/>
  <c r="GE64" i="4"/>
  <c r="FX64" i="4"/>
  <c r="GN64" i="4"/>
  <c r="FJ64" i="4"/>
  <c r="FC64" i="4"/>
  <c r="EV64" i="4"/>
  <c r="FL64" i="4"/>
  <c r="EH64" i="4"/>
  <c r="EA64" i="4"/>
  <c r="DT64" i="4"/>
  <c r="EJ64" i="4"/>
  <c r="DF64" i="4"/>
  <c r="CY64" i="4"/>
  <c r="CR64" i="4"/>
  <c r="DH64" i="4"/>
  <c r="GJ64" i="4"/>
  <c r="GC64" i="4"/>
  <c r="FV64" i="4"/>
  <c r="FQ64" i="4"/>
  <c r="FH64" i="4"/>
  <c r="ET64" i="4"/>
  <c r="FO64" i="4"/>
  <c r="EF64" i="4"/>
  <c r="DY64" i="4"/>
  <c r="DR64" i="4"/>
  <c r="EO64" i="4"/>
  <c r="GG64" i="4"/>
  <c r="FZ64" i="4"/>
  <c r="FS64" i="4"/>
  <c r="DM64" i="4"/>
  <c r="FE290" i="4"/>
  <c r="EX290" i="4"/>
  <c r="FL290" i="4"/>
  <c r="ET290" i="4"/>
  <c r="EC290" i="4"/>
  <c r="DV290" i="4"/>
  <c r="EJ290" i="4"/>
  <c r="FQ290" i="4"/>
  <c r="CT290" i="4"/>
  <c r="DH290" i="4"/>
  <c r="FO290" i="4"/>
  <c r="GL290" i="4"/>
  <c r="GE290" i="4"/>
  <c r="FX290" i="4"/>
  <c r="EO290" i="4"/>
  <c r="FJ290" i="4"/>
  <c r="FC290" i="4"/>
  <c r="EV290" i="4"/>
  <c r="EM290" i="4"/>
  <c r="EH290" i="4"/>
  <c r="EA290" i="4"/>
  <c r="DT290" i="4"/>
  <c r="DR290" i="4"/>
  <c r="DF290" i="4"/>
  <c r="CR290" i="4"/>
  <c r="DM290" i="4"/>
  <c r="GJ290" i="4"/>
  <c r="GC290" i="4"/>
  <c r="FS290" i="4"/>
  <c r="DK290" i="4"/>
  <c r="FH290" i="4"/>
  <c r="FA290" i="4"/>
  <c r="EQ290" i="4"/>
  <c r="CP290" i="4"/>
  <c r="EF290" i="4"/>
  <c r="DY290" i="4"/>
  <c r="DO290" i="4"/>
  <c r="CK290" i="4"/>
  <c r="GG290" i="4"/>
  <c r="FZ290" i="4"/>
  <c r="GN290" i="4"/>
  <c r="FV290" i="4"/>
  <c r="GN134" i="4"/>
  <c r="GG134" i="4"/>
  <c r="FZ134" i="4"/>
  <c r="DM134" i="4"/>
  <c r="FL134" i="4"/>
  <c r="FE134" i="4"/>
  <c r="EX134" i="4"/>
  <c r="CP134" i="4"/>
  <c r="EC134" i="4"/>
  <c r="DV134" i="4"/>
  <c r="CM134" i="4"/>
  <c r="DH134" i="4"/>
  <c r="DA134" i="4"/>
  <c r="CT134" i="4"/>
  <c r="CK134" i="4"/>
  <c r="GL134" i="4"/>
  <c r="GE134" i="4"/>
  <c r="FX134" i="4"/>
  <c r="FV134" i="4"/>
  <c r="FJ134" i="4"/>
  <c r="FC134" i="4"/>
  <c r="EV134" i="4"/>
  <c r="FS134" i="4"/>
  <c r="EH134" i="4"/>
  <c r="EA134" i="4"/>
  <c r="DT134" i="4"/>
  <c r="FQ134" i="4"/>
  <c r="DF134" i="4"/>
  <c r="CY134" i="4"/>
  <c r="CR134" i="4"/>
  <c r="ET134" i="4"/>
  <c r="GJ134" i="4"/>
  <c r="GC134" i="4"/>
  <c r="FO134" i="4"/>
  <c r="EQ134" i="4"/>
  <c r="FH134" i="4"/>
  <c r="FA134" i="4"/>
  <c r="EM134" i="4"/>
  <c r="EO134" i="4"/>
  <c r="DD134" i="4"/>
  <c r="CW134" i="4"/>
  <c r="CI134" i="4"/>
  <c r="DO134" i="4"/>
  <c r="DY134" i="4"/>
  <c r="DR134" i="4"/>
  <c r="DK134" i="4"/>
  <c r="FJ103" i="4"/>
  <c r="FC103" i="4"/>
  <c r="EV103" i="4"/>
  <c r="EQ103" i="4"/>
  <c r="EH103" i="4"/>
  <c r="EA103" i="4"/>
  <c r="DT103" i="4"/>
  <c r="FS103" i="4"/>
  <c r="DF103" i="4"/>
  <c r="CY103" i="4"/>
  <c r="FQ103" i="4"/>
  <c r="ET103" i="4"/>
  <c r="FO103" i="4"/>
  <c r="GJ103" i="4"/>
  <c r="GC103" i="4"/>
  <c r="EO103" i="4"/>
  <c r="EM103" i="4"/>
  <c r="FH103" i="4"/>
  <c r="FA103" i="4"/>
  <c r="DM103" i="4"/>
  <c r="DK103" i="4"/>
  <c r="EF103" i="4"/>
  <c r="DY103" i="4"/>
  <c r="CK103" i="4"/>
  <c r="CI103" i="4"/>
  <c r="DD103" i="4"/>
  <c r="CW103" i="4"/>
  <c r="DR103" i="4"/>
  <c r="GN103" i="4"/>
  <c r="GG103" i="4"/>
  <c r="FZ103" i="4"/>
  <c r="DO103" i="4"/>
  <c r="FL103" i="4"/>
  <c r="FE103" i="4"/>
  <c r="EX103" i="4"/>
  <c r="CR103" i="4"/>
  <c r="EJ103" i="4"/>
  <c r="EC103" i="4"/>
  <c r="DV103" i="4"/>
  <c r="CP103" i="4"/>
  <c r="GL103" i="4"/>
  <c r="GE103" i="4"/>
  <c r="FX103" i="4"/>
  <c r="FV103" i="4"/>
  <c r="FE45" i="4"/>
  <c r="EX45" i="4"/>
  <c r="EQ45" i="4"/>
  <c r="CI45" i="4"/>
  <c r="EC45" i="4"/>
  <c r="DV45" i="4"/>
  <c r="DO45" i="4"/>
  <c r="FO45" i="4"/>
  <c r="CT45" i="4"/>
  <c r="CM45" i="4"/>
  <c r="FQ45" i="4"/>
  <c r="GL45" i="4"/>
  <c r="GE45" i="4"/>
  <c r="FX45" i="4"/>
  <c r="GN45" i="4"/>
  <c r="FJ45" i="4"/>
  <c r="FC45" i="4"/>
  <c r="EV45" i="4"/>
  <c r="FL45" i="4"/>
  <c r="EH45" i="4"/>
  <c r="EA45" i="4"/>
  <c r="DT45" i="4"/>
  <c r="EJ45" i="4"/>
  <c r="DF45" i="4"/>
  <c r="CR45" i="4"/>
  <c r="DH45" i="4"/>
  <c r="GJ45" i="4"/>
  <c r="GC45" i="4"/>
  <c r="FV45" i="4"/>
  <c r="EO45" i="4"/>
  <c r="FH45" i="4"/>
  <c r="FA45" i="4"/>
  <c r="ET45" i="4"/>
  <c r="EM45" i="4"/>
  <c r="EF45" i="4"/>
  <c r="DY45" i="4"/>
  <c r="DR45" i="4"/>
  <c r="DM45" i="4"/>
  <c r="GG45" i="4"/>
  <c r="FZ45" i="4"/>
  <c r="FS45" i="4"/>
  <c r="CK45" i="4"/>
  <c r="CC143" i="4"/>
  <c r="FO143" i="4"/>
  <c r="GJ143" i="4"/>
  <c r="GC143" i="4"/>
  <c r="DO143" i="4"/>
  <c r="EM143" i="4"/>
  <c r="FH143" i="4"/>
  <c r="FA143" i="4"/>
  <c r="DM143" i="4"/>
  <c r="DK143" i="4"/>
  <c r="EF143" i="4"/>
  <c r="DY143" i="4"/>
  <c r="FX143" i="4"/>
  <c r="CI143" i="4"/>
  <c r="DD143" i="4"/>
  <c r="CW143" i="4"/>
  <c r="CR143" i="4"/>
  <c r="GN143" i="4"/>
  <c r="GG143" i="4"/>
  <c r="FZ143" i="4"/>
  <c r="FV143" i="4"/>
  <c r="FL143" i="4"/>
  <c r="FE143" i="4"/>
  <c r="EX143" i="4"/>
  <c r="CP143" i="4"/>
  <c r="EJ143" i="4"/>
  <c r="EC143" i="4"/>
  <c r="DV143" i="4"/>
  <c r="FS143" i="4"/>
  <c r="DH143" i="4"/>
  <c r="DA143" i="4"/>
  <c r="CT143" i="4"/>
  <c r="CM143" i="4"/>
  <c r="GL143" i="4"/>
  <c r="GE143" i="4"/>
  <c r="EQ143" i="4"/>
  <c r="FQ143" i="4"/>
  <c r="FJ143" i="4"/>
  <c r="FC143" i="4"/>
  <c r="CK143" i="4"/>
  <c r="DF143" i="4"/>
  <c r="CY143" i="4"/>
  <c r="DR143" i="4"/>
  <c r="EV143" i="4"/>
  <c r="EH143" i="4"/>
  <c r="EA143" i="4"/>
  <c r="ET143" i="4"/>
  <c r="DT143" i="4"/>
  <c r="FJ78" i="4"/>
  <c r="FC78" i="4"/>
  <c r="EV78" i="4"/>
  <c r="DM78" i="4"/>
  <c r="EA78" i="4"/>
  <c r="DT78" i="4"/>
  <c r="CM78" i="4"/>
  <c r="DF78" i="4"/>
  <c r="CY78" i="4"/>
  <c r="CR78" i="4"/>
  <c r="CP78" i="4"/>
  <c r="FO78" i="4"/>
  <c r="GJ78" i="4"/>
  <c r="GC78" i="4"/>
  <c r="CK78" i="4"/>
  <c r="EM78" i="4"/>
  <c r="FH78" i="4"/>
  <c r="FA78" i="4"/>
  <c r="FV78" i="4"/>
  <c r="DK78" i="4"/>
  <c r="DY78" i="4"/>
  <c r="FS78" i="4"/>
  <c r="CI78" i="4"/>
  <c r="DD78" i="4"/>
  <c r="CW78" i="4"/>
  <c r="FQ78" i="4"/>
  <c r="GN78" i="4"/>
  <c r="GG78" i="4"/>
  <c r="FZ78" i="4"/>
  <c r="ET78" i="4"/>
  <c r="FL78" i="4"/>
  <c r="FE78" i="4"/>
  <c r="EX78" i="4"/>
  <c r="EQ78" i="4"/>
  <c r="EC78" i="4"/>
  <c r="DV78" i="4"/>
  <c r="EO78" i="4"/>
  <c r="GL78" i="4"/>
  <c r="GE78" i="4"/>
  <c r="FX78" i="4"/>
  <c r="DO78" i="4"/>
  <c r="FO243" i="4"/>
  <c r="GJ243" i="4"/>
  <c r="GC243" i="4"/>
  <c r="FQ243" i="4"/>
  <c r="EM243" i="4"/>
  <c r="FH243" i="4"/>
  <c r="FA243" i="4"/>
  <c r="EO243" i="4"/>
  <c r="EF243" i="4"/>
  <c r="DY243" i="4"/>
  <c r="DM243" i="4"/>
  <c r="CI243" i="4"/>
  <c r="DD243" i="4"/>
  <c r="CW243" i="4"/>
  <c r="CK243" i="4"/>
  <c r="GN243" i="4"/>
  <c r="GG243" i="4"/>
  <c r="FZ243" i="4"/>
  <c r="FV243" i="4"/>
  <c r="FL243" i="4"/>
  <c r="FE243" i="4"/>
  <c r="EX243" i="4"/>
  <c r="FS243" i="4"/>
  <c r="EJ243" i="4"/>
  <c r="EC243" i="4"/>
  <c r="DV243" i="4"/>
  <c r="ET243" i="4"/>
  <c r="DH243" i="4"/>
  <c r="DA243" i="4"/>
  <c r="CT243" i="4"/>
  <c r="EQ243" i="4"/>
  <c r="GL243" i="4"/>
  <c r="GE243" i="4"/>
  <c r="FX243" i="4"/>
  <c r="DR243" i="4"/>
  <c r="FJ243" i="4"/>
  <c r="FC243" i="4"/>
  <c r="EV243" i="4"/>
  <c r="CM243" i="4"/>
  <c r="DF243" i="4"/>
  <c r="CY243" i="4"/>
  <c r="CR243" i="4"/>
  <c r="EH243" i="4"/>
  <c r="EA243" i="4"/>
  <c r="DT243" i="4"/>
  <c r="CP243" i="4"/>
  <c r="FL238" i="4"/>
  <c r="FE238" i="4"/>
  <c r="EV238" i="4"/>
  <c r="DR238" i="4"/>
  <c r="EJ238" i="4"/>
  <c r="EC238" i="4"/>
  <c r="DT238" i="4"/>
  <c r="DO238" i="4"/>
  <c r="DH238" i="4"/>
  <c r="DA238" i="4"/>
  <c r="CR238" i="4"/>
  <c r="CW238" i="4"/>
  <c r="FQ238" i="4"/>
  <c r="GL238" i="4"/>
  <c r="GE238" i="4"/>
  <c r="CP238" i="4"/>
  <c r="EO238" i="4"/>
  <c r="FJ238" i="4"/>
  <c r="FC238" i="4"/>
  <c r="CM238" i="4"/>
  <c r="DM238" i="4"/>
  <c r="EA238" i="4"/>
  <c r="GC238" i="4"/>
  <c r="CK238" i="4"/>
  <c r="DF238" i="4"/>
  <c r="CY238" i="4"/>
  <c r="FV238" i="4"/>
  <c r="FO238" i="4"/>
  <c r="GJ238" i="4"/>
  <c r="FZ238" i="4"/>
  <c r="FS238" i="4"/>
  <c r="EM238" i="4"/>
  <c r="FH238" i="4"/>
  <c r="EX238" i="4"/>
  <c r="FA238" i="4"/>
  <c r="DK238" i="4"/>
  <c r="DV238" i="4"/>
  <c r="ET238" i="4"/>
  <c r="GN238" i="4"/>
  <c r="GG238" i="4"/>
  <c r="FX238" i="4"/>
  <c r="DY238" i="4"/>
  <c r="EH350" i="4"/>
  <c r="FH350" i="4"/>
  <c r="GG350" i="4"/>
  <c r="EC350" i="4"/>
  <c r="FJ213" i="4"/>
  <c r="FC213" i="4"/>
  <c r="CK213" i="4"/>
  <c r="CW213" i="4"/>
  <c r="EH213" i="4"/>
  <c r="EA213" i="4"/>
  <c r="GC213" i="4"/>
  <c r="FQ213" i="4"/>
  <c r="CY213" i="4"/>
  <c r="DY213" i="4"/>
  <c r="DM213" i="4"/>
  <c r="FO213" i="4"/>
  <c r="GJ213" i="4"/>
  <c r="EX213" i="4"/>
  <c r="FZ213" i="4"/>
  <c r="EM213" i="4"/>
  <c r="FH213" i="4"/>
  <c r="CT213" i="4"/>
  <c r="DV213" i="4"/>
  <c r="DK213" i="4"/>
  <c r="EF213" i="4"/>
  <c r="EV213" i="4"/>
  <c r="FX213" i="4"/>
  <c r="CI213" i="4"/>
  <c r="CR213" i="4"/>
  <c r="DT213" i="4"/>
  <c r="GN213" i="4"/>
  <c r="GG213" i="4"/>
  <c r="ET213" i="4"/>
  <c r="FV213" i="4"/>
  <c r="FL213" i="4"/>
  <c r="FE213" i="4"/>
  <c r="CP213" i="4"/>
  <c r="DR213" i="4"/>
  <c r="EJ213" i="4"/>
  <c r="EC213" i="4"/>
  <c r="EQ213" i="4"/>
  <c r="FS213" i="4"/>
  <c r="GL213" i="4"/>
  <c r="GE213" i="4"/>
  <c r="EO213" i="4"/>
  <c r="FA213" i="4"/>
  <c r="GL172" i="4"/>
  <c r="GE172" i="4"/>
  <c r="FX172" i="4"/>
  <c r="FQ172" i="4"/>
  <c r="FJ172" i="4"/>
  <c r="FC172" i="4"/>
  <c r="EV172" i="4"/>
  <c r="EH172" i="4"/>
  <c r="EA172" i="4"/>
  <c r="DT172" i="4"/>
  <c r="DM172" i="4"/>
  <c r="DF172" i="4"/>
  <c r="CY172" i="4"/>
  <c r="CR172" i="4"/>
  <c r="CK172" i="4"/>
  <c r="GJ172" i="4"/>
  <c r="GC172" i="4"/>
  <c r="FV172" i="4"/>
  <c r="GN172" i="4"/>
  <c r="FH172" i="4"/>
  <c r="FA172" i="4"/>
  <c r="ET172" i="4"/>
  <c r="FL172" i="4"/>
  <c r="EF172" i="4"/>
  <c r="DY172" i="4"/>
  <c r="DR172" i="4"/>
  <c r="EJ172" i="4"/>
  <c r="DD172" i="4"/>
  <c r="CW172" i="4"/>
  <c r="CP172" i="4"/>
  <c r="DH172" i="4"/>
  <c r="GG172" i="4"/>
  <c r="FZ172" i="4"/>
  <c r="FS172" i="4"/>
  <c r="DK172" i="4"/>
  <c r="FE172" i="4"/>
  <c r="EX172" i="4"/>
  <c r="CI172" i="4"/>
  <c r="DA172" i="4"/>
  <c r="CT172" i="4"/>
  <c r="CM172" i="4"/>
  <c r="FO172" i="4"/>
  <c r="EC172" i="4"/>
  <c r="DV172" i="4"/>
  <c r="DO172" i="4"/>
  <c r="EM172" i="4"/>
  <c r="FS47" i="4"/>
  <c r="GN47" i="4"/>
  <c r="GG47" i="4"/>
  <c r="EQ47" i="4"/>
  <c r="FL47" i="4"/>
  <c r="FE47" i="4"/>
  <c r="DV47" i="4"/>
  <c r="DO47" i="4"/>
  <c r="EJ47" i="4"/>
  <c r="DT47" i="4"/>
  <c r="CM47" i="4"/>
  <c r="DH47" i="4"/>
  <c r="DA47" i="4"/>
  <c r="CY47" i="4"/>
  <c r="FQ47" i="4"/>
  <c r="GL47" i="4"/>
  <c r="GC47" i="4"/>
  <c r="CT47" i="4"/>
  <c r="EO47" i="4"/>
  <c r="FJ47" i="4"/>
  <c r="FA47" i="4"/>
  <c r="CR47" i="4"/>
  <c r="DM47" i="4"/>
  <c r="EH47" i="4"/>
  <c r="GE47" i="4"/>
  <c r="CK47" i="4"/>
  <c r="DF47" i="4"/>
  <c r="CW47" i="4"/>
  <c r="FZ47" i="4"/>
  <c r="FO47" i="4"/>
  <c r="GJ47" i="4"/>
  <c r="FV47" i="4"/>
  <c r="FX47" i="4"/>
  <c r="EM47" i="4"/>
  <c r="FH47" i="4"/>
  <c r="ET47" i="4"/>
  <c r="FC47" i="4"/>
  <c r="CI47" i="4"/>
  <c r="DD47" i="4"/>
  <c r="CP47" i="4"/>
  <c r="EV47" i="4"/>
  <c r="DK47" i="4"/>
  <c r="EF47" i="4"/>
  <c r="DR47" i="4"/>
  <c r="EX47" i="4"/>
  <c r="AS81" i="4"/>
  <c r="FS81" i="4"/>
  <c r="GN81" i="4"/>
  <c r="GG81" i="4"/>
  <c r="EA81" i="4"/>
  <c r="EQ81" i="4"/>
  <c r="FL81" i="4"/>
  <c r="FE81" i="4"/>
  <c r="DO81" i="4"/>
  <c r="EJ81" i="4"/>
  <c r="EC81" i="4"/>
  <c r="DT81" i="4"/>
  <c r="CM81" i="4"/>
  <c r="DH81" i="4"/>
  <c r="DA81" i="4"/>
  <c r="CY81" i="4"/>
  <c r="FQ81" i="4"/>
  <c r="GL81" i="4"/>
  <c r="GC81" i="4"/>
  <c r="CT81" i="4"/>
  <c r="EO81" i="4"/>
  <c r="FJ81" i="4"/>
  <c r="FA81" i="4"/>
  <c r="CR81" i="4"/>
  <c r="DM81" i="4"/>
  <c r="EH81" i="4"/>
  <c r="DY81" i="4"/>
  <c r="GE81" i="4"/>
  <c r="CK81" i="4"/>
  <c r="DF81" i="4"/>
  <c r="CW81" i="4"/>
  <c r="FZ81" i="4"/>
  <c r="FO81" i="4"/>
  <c r="GJ81" i="4"/>
  <c r="FV81" i="4"/>
  <c r="FX81" i="4"/>
  <c r="EM81" i="4"/>
  <c r="FH81" i="4"/>
  <c r="ET81" i="4"/>
  <c r="FC81" i="4"/>
  <c r="CI81" i="4"/>
  <c r="DD81" i="4"/>
  <c r="CP81" i="4"/>
  <c r="EV81" i="4"/>
  <c r="DK81" i="4"/>
  <c r="EF81" i="4"/>
  <c r="EX81" i="4"/>
  <c r="FH36" i="4"/>
  <c r="CY36" i="4"/>
  <c r="EM36" i="4"/>
  <c r="EF36" i="4"/>
  <c r="GC36" i="4"/>
  <c r="CR36" i="4"/>
  <c r="DK36" i="4"/>
  <c r="DD36" i="4"/>
  <c r="FA36" i="4"/>
  <c r="CK36" i="4"/>
  <c r="CI36" i="4"/>
  <c r="GN36" i="4"/>
  <c r="DM36" i="4"/>
  <c r="DY36" i="4"/>
  <c r="FV36" i="4"/>
  <c r="FL36" i="4"/>
  <c r="GG36" i="4"/>
  <c r="CW36" i="4"/>
  <c r="ET36" i="4"/>
  <c r="EJ36" i="4"/>
  <c r="FE36" i="4"/>
  <c r="FZ36" i="4"/>
  <c r="DR36" i="4"/>
  <c r="DH36" i="4"/>
  <c r="EC36" i="4"/>
  <c r="EX36" i="4"/>
  <c r="CP36" i="4"/>
  <c r="GL36" i="4"/>
  <c r="DA36" i="4"/>
  <c r="FS36" i="4"/>
  <c r="FJ36" i="4"/>
  <c r="EO36" i="4"/>
  <c r="CT36" i="4"/>
  <c r="EQ36" i="4"/>
  <c r="EH36" i="4"/>
  <c r="GE36" i="4"/>
  <c r="FQ36" i="4"/>
  <c r="DO36" i="4"/>
  <c r="GJ36" i="4"/>
  <c r="EA36" i="4"/>
  <c r="EV36" i="4"/>
  <c r="FO36" i="4"/>
  <c r="DD64" i="4"/>
  <c r="CI101" i="4"/>
  <c r="DD98" i="4"/>
  <c r="DF302" i="4"/>
  <c r="DD97" i="4"/>
  <c r="CK85" i="4"/>
  <c r="CI296" i="4"/>
  <c r="DH213" i="4"/>
  <c r="DD311" i="4"/>
  <c r="DF36" i="4"/>
  <c r="CK105" i="4"/>
  <c r="DH265" i="4"/>
  <c r="FA129" i="4"/>
  <c r="DY313" i="4"/>
  <c r="FE253" i="4"/>
  <c r="EX253" i="4"/>
  <c r="EQ253" i="4"/>
  <c r="EM253" i="4"/>
  <c r="EC253" i="4"/>
  <c r="DV253" i="4"/>
  <c r="DO253" i="4"/>
  <c r="DK253" i="4"/>
  <c r="DA253" i="4"/>
  <c r="CT253" i="4"/>
  <c r="CM253" i="4"/>
  <c r="CI253" i="4"/>
  <c r="GL253" i="4"/>
  <c r="GE253" i="4"/>
  <c r="FX253" i="4"/>
  <c r="FQ253" i="4"/>
  <c r="FJ253" i="4"/>
  <c r="FC253" i="4"/>
  <c r="EV253" i="4"/>
  <c r="EO253" i="4"/>
  <c r="EH253" i="4"/>
  <c r="EA253" i="4"/>
  <c r="DM253" i="4"/>
  <c r="DF253" i="4"/>
  <c r="CY253" i="4"/>
  <c r="CR253" i="4"/>
  <c r="CK253" i="4"/>
  <c r="GJ253" i="4"/>
  <c r="GC253" i="4"/>
  <c r="FV253" i="4"/>
  <c r="GN253" i="4"/>
  <c r="FH253" i="4"/>
  <c r="FA253" i="4"/>
  <c r="ET253" i="4"/>
  <c r="FL253" i="4"/>
  <c r="EF253" i="4"/>
  <c r="DY253" i="4"/>
  <c r="DR253" i="4"/>
  <c r="EJ253" i="4"/>
  <c r="GG253" i="4"/>
  <c r="FZ253" i="4"/>
  <c r="FS253" i="4"/>
  <c r="FO253" i="4"/>
  <c r="FE212" i="4"/>
  <c r="EX212" i="4"/>
  <c r="EQ212" i="4"/>
  <c r="EM212" i="4"/>
  <c r="DV212" i="4"/>
  <c r="DO212" i="4"/>
  <c r="DK212" i="4"/>
  <c r="DA212" i="4"/>
  <c r="CT212" i="4"/>
  <c r="CM212" i="4"/>
  <c r="CI212" i="4"/>
  <c r="GL212" i="4"/>
  <c r="GE212" i="4"/>
  <c r="FX212" i="4"/>
  <c r="FQ212" i="4"/>
  <c r="FJ212" i="4"/>
  <c r="FC212" i="4"/>
  <c r="EV212" i="4"/>
  <c r="EO212" i="4"/>
  <c r="EH212" i="4"/>
  <c r="EA212" i="4"/>
  <c r="DT212" i="4"/>
  <c r="DM212" i="4"/>
  <c r="DF212" i="4"/>
  <c r="CY212" i="4"/>
  <c r="CR212" i="4"/>
  <c r="CK212" i="4"/>
  <c r="GJ212" i="4"/>
  <c r="GC212" i="4"/>
  <c r="FV212" i="4"/>
  <c r="GN212" i="4"/>
  <c r="FH212" i="4"/>
  <c r="FA212" i="4"/>
  <c r="ET212" i="4"/>
  <c r="FL212" i="4"/>
  <c r="EF212" i="4"/>
  <c r="DY212" i="4"/>
  <c r="DR212" i="4"/>
  <c r="EJ212" i="4"/>
  <c r="GG212" i="4"/>
  <c r="FZ212" i="4"/>
  <c r="FS212" i="4"/>
  <c r="FO212" i="4"/>
  <c r="FS93" i="4"/>
  <c r="GN93" i="4"/>
  <c r="GG93" i="4"/>
  <c r="FV93" i="4"/>
  <c r="EQ93" i="4"/>
  <c r="FL93" i="4"/>
  <c r="FE93" i="4"/>
  <c r="ET93" i="4"/>
  <c r="DO93" i="4"/>
  <c r="EJ93" i="4"/>
  <c r="EC93" i="4"/>
  <c r="CM93" i="4"/>
  <c r="DH93" i="4"/>
  <c r="DA93" i="4"/>
  <c r="CP93" i="4"/>
  <c r="FQ93" i="4"/>
  <c r="GL93" i="4"/>
  <c r="GE93" i="4"/>
  <c r="EO93" i="4"/>
  <c r="FJ93" i="4"/>
  <c r="FC93" i="4"/>
  <c r="EV93" i="4"/>
  <c r="DM93" i="4"/>
  <c r="EH93" i="4"/>
  <c r="EA93" i="4"/>
  <c r="CT93" i="4"/>
  <c r="CK93" i="4"/>
  <c r="DF93" i="4"/>
  <c r="CY93" i="4"/>
  <c r="CR93" i="4"/>
  <c r="FO93" i="4"/>
  <c r="GJ93" i="4"/>
  <c r="GC93" i="4"/>
  <c r="FZ93" i="4"/>
  <c r="EM93" i="4"/>
  <c r="FH93" i="4"/>
  <c r="FA93" i="4"/>
  <c r="FX93" i="4"/>
  <c r="CI93" i="4"/>
  <c r="DD93" i="4"/>
  <c r="CW93" i="4"/>
  <c r="EX93" i="4"/>
  <c r="DK93" i="4"/>
  <c r="DY93" i="4"/>
  <c r="FO195" i="4"/>
  <c r="GJ195" i="4"/>
  <c r="GC195" i="4"/>
  <c r="DR195" i="4"/>
  <c r="EM195" i="4"/>
  <c r="FH195" i="4"/>
  <c r="FA195" i="4"/>
  <c r="DO195" i="4"/>
  <c r="DK195" i="4"/>
  <c r="EF195" i="4"/>
  <c r="DY195" i="4"/>
  <c r="CT195" i="4"/>
  <c r="CI195" i="4"/>
  <c r="DD195" i="4"/>
  <c r="CW195" i="4"/>
  <c r="CP195" i="4"/>
  <c r="GN195" i="4"/>
  <c r="GG195" i="4"/>
  <c r="FX195" i="4"/>
  <c r="CM195" i="4"/>
  <c r="FL195" i="4"/>
  <c r="FE195" i="4"/>
  <c r="EV195" i="4"/>
  <c r="FZ195" i="4"/>
  <c r="EJ195" i="4"/>
  <c r="EC195" i="4"/>
  <c r="DT195" i="4"/>
  <c r="FV195" i="4"/>
  <c r="DH195" i="4"/>
  <c r="DA195" i="4"/>
  <c r="CR195" i="4"/>
  <c r="EX195" i="4"/>
  <c r="GL195" i="4"/>
  <c r="GE195" i="4"/>
  <c r="FQ195" i="4"/>
  <c r="ET195" i="4"/>
  <c r="FJ195" i="4"/>
  <c r="FC195" i="4"/>
  <c r="DV195" i="4"/>
  <c r="DF195" i="4"/>
  <c r="CY195" i="4"/>
  <c r="CK195" i="4"/>
  <c r="FS195" i="4"/>
  <c r="EH195" i="4"/>
  <c r="EA195" i="4"/>
  <c r="DM195" i="4"/>
  <c r="EQ195" i="4"/>
  <c r="GE133" i="4"/>
  <c r="FX133" i="4"/>
  <c r="FQ133" i="4"/>
  <c r="FJ133" i="4"/>
  <c r="FC133" i="4"/>
  <c r="EV133" i="4"/>
  <c r="EO133" i="4"/>
  <c r="EH133" i="4"/>
  <c r="EA133" i="4"/>
  <c r="DT133" i="4"/>
  <c r="DM133" i="4"/>
  <c r="DF133" i="4"/>
  <c r="CY133" i="4"/>
  <c r="CR133" i="4"/>
  <c r="CK133" i="4"/>
  <c r="GC133" i="4"/>
  <c r="FV133" i="4"/>
  <c r="GN133" i="4"/>
  <c r="FH133" i="4"/>
  <c r="FA133" i="4"/>
  <c r="ET133" i="4"/>
  <c r="FL133" i="4"/>
  <c r="EF133" i="4"/>
  <c r="DY133" i="4"/>
  <c r="DR133" i="4"/>
  <c r="EJ133" i="4"/>
  <c r="DD133" i="4"/>
  <c r="CW133" i="4"/>
  <c r="CP133" i="4"/>
  <c r="DH133" i="4"/>
  <c r="GG133" i="4"/>
  <c r="FZ133" i="4"/>
  <c r="FS133" i="4"/>
  <c r="FO133" i="4"/>
  <c r="FE133" i="4"/>
  <c r="EX133" i="4"/>
  <c r="EQ133" i="4"/>
  <c r="EM133" i="4"/>
  <c r="DA133" i="4"/>
  <c r="CT133" i="4"/>
  <c r="CM133" i="4"/>
  <c r="CI133" i="4"/>
  <c r="DK133" i="4"/>
  <c r="EC133" i="4"/>
  <c r="DO133" i="4"/>
  <c r="EM270" i="4"/>
  <c r="FH270" i="4"/>
  <c r="CR270" i="4"/>
  <c r="DT270" i="4"/>
  <c r="DK270" i="4"/>
  <c r="EF270" i="4"/>
  <c r="FV270" i="4"/>
  <c r="CI270" i="4"/>
  <c r="DD270" i="4"/>
  <c r="CP270" i="4"/>
  <c r="GE270" i="4"/>
  <c r="FS270" i="4"/>
  <c r="GN270" i="4"/>
  <c r="GG270" i="4"/>
  <c r="FC270" i="4"/>
  <c r="EQ270" i="4"/>
  <c r="FL270" i="4"/>
  <c r="FE270" i="4"/>
  <c r="FA270" i="4"/>
  <c r="DO270" i="4"/>
  <c r="EJ270" i="4"/>
  <c r="EC270" i="4"/>
  <c r="EV270" i="4"/>
  <c r="CM270" i="4"/>
  <c r="DH270" i="4"/>
  <c r="ET270" i="4"/>
  <c r="FQ270" i="4"/>
  <c r="GL270" i="4"/>
  <c r="FZ270" i="4"/>
  <c r="EA270" i="4"/>
  <c r="EO270" i="4"/>
  <c r="FJ270" i="4"/>
  <c r="EX270" i="4"/>
  <c r="DY270" i="4"/>
  <c r="DM270" i="4"/>
  <c r="EH270" i="4"/>
  <c r="DV270" i="4"/>
  <c r="DR270" i="4"/>
  <c r="FO270" i="4"/>
  <c r="GJ270" i="4"/>
  <c r="FX270" i="4"/>
  <c r="FJ339" i="4"/>
  <c r="FC339" i="4"/>
  <c r="FQ339" i="4"/>
  <c r="FS339" i="4"/>
  <c r="EH339" i="4"/>
  <c r="EO339" i="4"/>
  <c r="DV339" i="4"/>
  <c r="DF339" i="4"/>
  <c r="CY339" i="4"/>
  <c r="DM339" i="4"/>
  <c r="EQ339" i="4"/>
  <c r="FO339" i="4"/>
  <c r="GJ339" i="4"/>
  <c r="GC339" i="4"/>
  <c r="CK339" i="4"/>
  <c r="EM339" i="4"/>
  <c r="FH339" i="4"/>
  <c r="FA339" i="4"/>
  <c r="DR339" i="4"/>
  <c r="DK339" i="4"/>
  <c r="EF339" i="4"/>
  <c r="DO339" i="4"/>
  <c r="CI339" i="4"/>
  <c r="DD339" i="4"/>
  <c r="CW339" i="4"/>
  <c r="CT339" i="4"/>
  <c r="GN339" i="4"/>
  <c r="GG339" i="4"/>
  <c r="FZ339" i="4"/>
  <c r="CP339" i="4"/>
  <c r="FL339" i="4"/>
  <c r="FE339" i="4"/>
  <c r="FX339" i="4"/>
  <c r="CM339" i="4"/>
  <c r="EJ339" i="4"/>
  <c r="EV339" i="4"/>
  <c r="FV339" i="4"/>
  <c r="GL339" i="4"/>
  <c r="GE339" i="4"/>
  <c r="CR339" i="4"/>
  <c r="ET339" i="4"/>
  <c r="FJ174" i="4"/>
  <c r="FC174" i="4"/>
  <c r="EO174" i="4"/>
  <c r="FS174" i="4"/>
  <c r="EH174" i="4"/>
  <c r="DM174" i="4"/>
  <c r="DV174" i="4"/>
  <c r="DF174" i="4"/>
  <c r="CY174" i="4"/>
  <c r="CK174" i="4"/>
  <c r="EQ174" i="4"/>
  <c r="FO174" i="4"/>
  <c r="GJ174" i="4"/>
  <c r="GC174" i="4"/>
  <c r="DR174" i="4"/>
  <c r="EM174" i="4"/>
  <c r="FH174" i="4"/>
  <c r="FA174" i="4"/>
  <c r="DO174" i="4"/>
  <c r="DK174" i="4"/>
  <c r="EF174" i="4"/>
  <c r="DY174" i="4"/>
  <c r="CT174" i="4"/>
  <c r="CI174" i="4"/>
  <c r="DD174" i="4"/>
  <c r="CW174" i="4"/>
  <c r="CP174" i="4"/>
  <c r="GN174" i="4"/>
  <c r="GG174" i="4"/>
  <c r="FX174" i="4"/>
  <c r="CM174" i="4"/>
  <c r="FL174" i="4"/>
  <c r="FE174" i="4"/>
  <c r="EV174" i="4"/>
  <c r="FZ174" i="4"/>
  <c r="EJ174" i="4"/>
  <c r="EC174" i="4"/>
  <c r="DT174" i="4"/>
  <c r="FV174" i="4"/>
  <c r="GL174" i="4"/>
  <c r="GE174" i="4"/>
  <c r="FQ174" i="4"/>
  <c r="ET174" i="4"/>
  <c r="GL264" i="4"/>
  <c r="GE264" i="4"/>
  <c r="FX264" i="4"/>
  <c r="FQ264" i="4"/>
  <c r="FJ264" i="4"/>
  <c r="FC264" i="4"/>
  <c r="EV264" i="4"/>
  <c r="EO264" i="4"/>
  <c r="EH264" i="4"/>
  <c r="EA264" i="4"/>
  <c r="DT264" i="4"/>
  <c r="DM264" i="4"/>
  <c r="DF264" i="4"/>
  <c r="CY264" i="4"/>
  <c r="CR264" i="4"/>
  <c r="GJ264" i="4"/>
  <c r="GC264" i="4"/>
  <c r="FV264" i="4"/>
  <c r="GN264" i="4"/>
  <c r="FH264" i="4"/>
  <c r="FA264" i="4"/>
  <c r="ET264" i="4"/>
  <c r="FL264" i="4"/>
  <c r="EF264" i="4"/>
  <c r="DY264" i="4"/>
  <c r="DR264" i="4"/>
  <c r="EJ264" i="4"/>
  <c r="DD264" i="4"/>
  <c r="CW264" i="4"/>
  <c r="CP264" i="4"/>
  <c r="DH264" i="4"/>
  <c r="GG264" i="4"/>
  <c r="FZ264" i="4"/>
  <c r="FS264" i="4"/>
  <c r="FO264" i="4"/>
  <c r="FE264" i="4"/>
  <c r="EX264" i="4"/>
  <c r="EQ264" i="4"/>
  <c r="EM264" i="4"/>
  <c r="DA264" i="4"/>
  <c r="CT264" i="4"/>
  <c r="CM264" i="4"/>
  <c r="EC264" i="4"/>
  <c r="DV264" i="4"/>
  <c r="DO264" i="4"/>
  <c r="DK264" i="4"/>
  <c r="FO56" i="4"/>
  <c r="GJ56" i="4"/>
  <c r="GC56" i="4"/>
  <c r="FV56" i="4"/>
  <c r="EM56" i="4"/>
  <c r="FH56" i="4"/>
  <c r="FA56" i="4"/>
  <c r="CP56" i="4"/>
  <c r="DK56" i="4"/>
  <c r="EF56" i="4"/>
  <c r="DY56" i="4"/>
  <c r="FS56" i="4"/>
  <c r="CI56" i="4"/>
  <c r="DD56" i="4"/>
  <c r="CW56" i="4"/>
  <c r="CM56" i="4"/>
  <c r="GN56" i="4"/>
  <c r="GG56" i="4"/>
  <c r="FZ56" i="4"/>
  <c r="FQ56" i="4"/>
  <c r="FL56" i="4"/>
  <c r="FE56" i="4"/>
  <c r="EX56" i="4"/>
  <c r="CK56" i="4"/>
  <c r="EJ56" i="4"/>
  <c r="DV56" i="4"/>
  <c r="EV56" i="4"/>
  <c r="DH56" i="4"/>
  <c r="DA56" i="4"/>
  <c r="CT56" i="4"/>
  <c r="ET56" i="4"/>
  <c r="GL56" i="4"/>
  <c r="GE56" i="4"/>
  <c r="DO56" i="4"/>
  <c r="EQ56" i="4"/>
  <c r="FJ56" i="4"/>
  <c r="FC56" i="4"/>
  <c r="DM56" i="4"/>
  <c r="EO56" i="4"/>
  <c r="DF56" i="4"/>
  <c r="CY56" i="4"/>
  <c r="CR56" i="4"/>
  <c r="DT56" i="4"/>
  <c r="EH56" i="4"/>
  <c r="FX56" i="4"/>
  <c r="DR56" i="4"/>
  <c r="FE147" i="4"/>
  <c r="EX147" i="4"/>
  <c r="EQ147" i="4"/>
  <c r="CI147" i="4"/>
  <c r="EC147" i="4"/>
  <c r="DV147" i="4"/>
  <c r="DO147" i="4"/>
  <c r="EM147" i="4"/>
  <c r="DA147" i="4"/>
  <c r="CT147" i="4"/>
  <c r="CM147" i="4"/>
  <c r="FO147" i="4"/>
  <c r="GL147" i="4"/>
  <c r="GE147" i="4"/>
  <c r="FX147" i="4"/>
  <c r="FQ147" i="4"/>
  <c r="FJ147" i="4"/>
  <c r="FC147" i="4"/>
  <c r="EV147" i="4"/>
  <c r="EO147" i="4"/>
  <c r="EH147" i="4"/>
  <c r="EA147" i="4"/>
  <c r="DM147" i="4"/>
  <c r="DF147" i="4"/>
  <c r="CY147" i="4"/>
  <c r="CR147" i="4"/>
  <c r="CK147" i="4"/>
  <c r="GJ147" i="4"/>
  <c r="GC147" i="4"/>
  <c r="FV147" i="4"/>
  <c r="GN147" i="4"/>
  <c r="FH147" i="4"/>
  <c r="FA147" i="4"/>
  <c r="ET147" i="4"/>
  <c r="FL147" i="4"/>
  <c r="EF147" i="4"/>
  <c r="DY147" i="4"/>
  <c r="EJ147" i="4"/>
  <c r="GG147" i="4"/>
  <c r="FZ147" i="4"/>
  <c r="FS147" i="4"/>
  <c r="DK147" i="4"/>
  <c r="GL357" i="4"/>
  <c r="GE357" i="4"/>
  <c r="FX357" i="4"/>
  <c r="GN357" i="4"/>
  <c r="FJ357" i="4"/>
  <c r="FC357" i="4"/>
  <c r="EV357" i="4"/>
  <c r="FL357" i="4"/>
  <c r="EH357" i="4"/>
  <c r="EA357" i="4"/>
  <c r="DT357" i="4"/>
  <c r="EJ357" i="4"/>
  <c r="DF357" i="4"/>
  <c r="CY357" i="4"/>
  <c r="CR357" i="4"/>
  <c r="DH357" i="4"/>
  <c r="GJ357" i="4"/>
  <c r="GC357" i="4"/>
  <c r="FV357" i="4"/>
  <c r="FQ357" i="4"/>
  <c r="FH357" i="4"/>
  <c r="FA357" i="4"/>
  <c r="ET357" i="4"/>
  <c r="FO357" i="4"/>
  <c r="EF357" i="4"/>
  <c r="DY357" i="4"/>
  <c r="DR357" i="4"/>
  <c r="EO357" i="4"/>
  <c r="DD357" i="4"/>
  <c r="CP357" i="4"/>
  <c r="EM357" i="4"/>
  <c r="GG357" i="4"/>
  <c r="FZ357" i="4"/>
  <c r="FS357" i="4"/>
  <c r="DM357" i="4"/>
  <c r="FE357" i="4"/>
  <c r="EQ357" i="4"/>
  <c r="DK357" i="4"/>
  <c r="DA357" i="4"/>
  <c r="CT357" i="4"/>
  <c r="CM357" i="4"/>
  <c r="CI357" i="4"/>
  <c r="EC357" i="4"/>
  <c r="DV357" i="4"/>
  <c r="DO357" i="4"/>
  <c r="CK357" i="4"/>
  <c r="EM420" i="4"/>
  <c r="FH420" i="4"/>
  <c r="ET420" i="4"/>
  <c r="FC420" i="4"/>
  <c r="DK420" i="4"/>
  <c r="EF420" i="4"/>
  <c r="DR420" i="4"/>
  <c r="EX420" i="4"/>
  <c r="CI420" i="4"/>
  <c r="DD420" i="4"/>
  <c r="CP420" i="4"/>
  <c r="EV420" i="4"/>
  <c r="FS420" i="4"/>
  <c r="GN420" i="4"/>
  <c r="GG420" i="4"/>
  <c r="EA420" i="4"/>
  <c r="EQ420" i="4"/>
  <c r="FL420" i="4"/>
  <c r="FE420" i="4"/>
  <c r="DV420" i="4"/>
  <c r="DO420" i="4"/>
  <c r="EJ420" i="4"/>
  <c r="EC420" i="4"/>
  <c r="DT420" i="4"/>
  <c r="CM420" i="4"/>
  <c r="DA420" i="4"/>
  <c r="CY420" i="4"/>
  <c r="FQ420" i="4"/>
  <c r="GL420" i="4"/>
  <c r="GC420" i="4"/>
  <c r="CT420" i="4"/>
  <c r="EO420" i="4"/>
  <c r="FJ420" i="4"/>
  <c r="FA420" i="4"/>
  <c r="CR420" i="4"/>
  <c r="DM420" i="4"/>
  <c r="EH420" i="4"/>
  <c r="DY420" i="4"/>
  <c r="GE420" i="4"/>
  <c r="FO420" i="4"/>
  <c r="GJ420" i="4"/>
  <c r="FV420" i="4"/>
  <c r="FX420" i="4"/>
  <c r="EF65" i="4"/>
  <c r="FA65" i="4"/>
  <c r="ET65" i="4"/>
  <c r="CI65" i="4"/>
  <c r="GL65" i="4"/>
  <c r="EO65" i="4"/>
  <c r="CT65" i="4"/>
  <c r="CM65" i="4"/>
  <c r="DH65" i="4"/>
  <c r="GE65" i="4"/>
  <c r="DT65" i="4"/>
  <c r="DK65" i="4"/>
  <c r="CK65" i="4"/>
  <c r="FC65" i="4"/>
  <c r="CR65" i="4"/>
  <c r="FJ65" i="4"/>
  <c r="EA65" i="4"/>
  <c r="FV65" i="4"/>
  <c r="EH65" i="4"/>
  <c r="CY65" i="4"/>
  <c r="DR65" i="4"/>
  <c r="DF65" i="4"/>
  <c r="GC65" i="4"/>
  <c r="CP65" i="4"/>
  <c r="GJ65" i="4"/>
  <c r="FS65" i="4"/>
  <c r="FH65" i="4"/>
  <c r="CW65" i="4"/>
  <c r="EQ65" i="4"/>
  <c r="DD65" i="4"/>
  <c r="FZ65" i="4"/>
  <c r="DO65" i="4"/>
  <c r="GG65" i="4"/>
  <c r="EX65" i="4"/>
  <c r="FQ65" i="4"/>
  <c r="GN65" i="4"/>
  <c r="FE65" i="4"/>
  <c r="DV65" i="4"/>
  <c r="DM65" i="4"/>
  <c r="EJ65" i="4"/>
  <c r="DA65" i="4"/>
  <c r="EV65" i="4"/>
  <c r="EM65" i="4"/>
  <c r="FL65" i="4"/>
  <c r="FO65" i="4"/>
  <c r="GN31" i="4"/>
  <c r="CK31" i="4"/>
  <c r="FA31" i="4"/>
  <c r="ET31" i="4"/>
  <c r="FL31" i="4"/>
  <c r="GG31" i="4"/>
  <c r="DY31" i="4"/>
  <c r="CP31" i="4"/>
  <c r="EJ31" i="4"/>
  <c r="FE31" i="4"/>
  <c r="CW31" i="4"/>
  <c r="EO31" i="4"/>
  <c r="DH31" i="4"/>
  <c r="EC31" i="4"/>
  <c r="FZ31" i="4"/>
  <c r="FS31" i="4"/>
  <c r="GL31" i="4"/>
  <c r="DA31" i="4"/>
  <c r="EX31" i="4"/>
  <c r="EQ31" i="4"/>
  <c r="FJ31" i="4"/>
  <c r="DR31" i="4"/>
  <c r="DO31" i="4"/>
  <c r="EH31" i="4"/>
  <c r="DM31" i="4"/>
  <c r="CT31" i="4"/>
  <c r="CM31" i="4"/>
  <c r="DF31" i="4"/>
  <c r="GE31" i="4"/>
  <c r="FX31" i="4"/>
  <c r="FO31" i="4"/>
  <c r="GJ31" i="4"/>
  <c r="FC31" i="4"/>
  <c r="EV31" i="4"/>
  <c r="EM31" i="4"/>
  <c r="FH31" i="4"/>
  <c r="EA31" i="4"/>
  <c r="DK31" i="4"/>
  <c r="DD31" i="4"/>
  <c r="GC31" i="4"/>
  <c r="FV31" i="4"/>
  <c r="FQ31" i="4"/>
  <c r="EF31" i="4"/>
  <c r="CY31" i="4"/>
  <c r="CR31" i="4"/>
  <c r="CI31" i="4"/>
  <c r="GJ30" i="4"/>
  <c r="EA30" i="4"/>
  <c r="EV30" i="4"/>
  <c r="DK30" i="4"/>
  <c r="FH30" i="4"/>
  <c r="CY30" i="4"/>
  <c r="CI30" i="4"/>
  <c r="EF30" i="4"/>
  <c r="FV30" i="4"/>
  <c r="CR30" i="4"/>
  <c r="DM30" i="4"/>
  <c r="GN30" i="4"/>
  <c r="DD30" i="4"/>
  <c r="GC30" i="4"/>
  <c r="DR30" i="4"/>
  <c r="FL30" i="4"/>
  <c r="GG30" i="4"/>
  <c r="FA30" i="4"/>
  <c r="CK30" i="4"/>
  <c r="EJ30" i="4"/>
  <c r="FE30" i="4"/>
  <c r="DY30" i="4"/>
  <c r="FS30" i="4"/>
  <c r="DH30" i="4"/>
  <c r="EC30" i="4"/>
  <c r="CW30" i="4"/>
  <c r="EQ30" i="4"/>
  <c r="EO30" i="4"/>
  <c r="DA30" i="4"/>
  <c r="FZ30" i="4"/>
  <c r="DO30" i="4"/>
  <c r="GL30" i="4"/>
  <c r="ET30" i="4"/>
  <c r="EX30" i="4"/>
  <c r="CM30" i="4"/>
  <c r="FJ30" i="4"/>
  <c r="CP30" i="4"/>
  <c r="FQ30" i="4"/>
  <c r="DF30" i="4"/>
  <c r="FC30" i="4"/>
  <c r="FX30" i="4"/>
  <c r="EM30" i="4"/>
  <c r="CP284" i="4"/>
  <c r="ET246" i="4"/>
  <c r="EQ238" i="4"/>
  <c r="DR154" i="4"/>
  <c r="EV168" i="4"/>
  <c r="FZ37" i="4"/>
  <c r="DV50" i="4"/>
  <c r="EQ275" i="4"/>
  <c r="GC270" i="4"/>
  <c r="CT44" i="4"/>
  <c r="EQ192" i="4"/>
  <c r="DH249" i="4"/>
  <c r="FZ40" i="4"/>
  <c r="EV69" i="4"/>
  <c r="FO62" i="4"/>
  <c r="GC205" i="4"/>
  <c r="DR299" i="4"/>
  <c r="DH147" i="4"/>
  <c r="DH236" i="4"/>
  <c r="DV79" i="4"/>
  <c r="DH153" i="4"/>
  <c r="CI290" i="4"/>
  <c r="CP233" i="4"/>
  <c r="ET297" i="4"/>
  <c r="EQ187" i="4"/>
  <c r="DH253" i="4"/>
  <c r="EQ95" i="4"/>
  <c r="FZ53" i="4"/>
  <c r="FO30" i="4"/>
  <c r="EQ277" i="4"/>
  <c r="DO215" i="4"/>
  <c r="DR183" i="4"/>
  <c r="DH142" i="4"/>
  <c r="DH111" i="4"/>
  <c r="EV166" i="4"/>
  <c r="EV137" i="4"/>
  <c r="CY176" i="4"/>
  <c r="L233" i="4"/>
  <c r="FE196" i="4"/>
  <c r="EQ196" i="4"/>
  <c r="CI196" i="4"/>
  <c r="EC196" i="4"/>
  <c r="DV196" i="4"/>
  <c r="DO196" i="4"/>
  <c r="EM196" i="4"/>
  <c r="DA196" i="4"/>
  <c r="CT196" i="4"/>
  <c r="CM196" i="4"/>
  <c r="FO196" i="4"/>
  <c r="GL196" i="4"/>
  <c r="GE196" i="4"/>
  <c r="FX196" i="4"/>
  <c r="FQ196" i="4"/>
  <c r="FJ196" i="4"/>
  <c r="FC196" i="4"/>
  <c r="EV196" i="4"/>
  <c r="EO196" i="4"/>
  <c r="EH196" i="4"/>
  <c r="EA196" i="4"/>
  <c r="DT196" i="4"/>
  <c r="DM196" i="4"/>
  <c r="DF196" i="4"/>
  <c r="CY196" i="4"/>
  <c r="CR196" i="4"/>
  <c r="CK196" i="4"/>
  <c r="GJ196" i="4"/>
  <c r="GC196" i="4"/>
  <c r="FV196" i="4"/>
  <c r="GN196" i="4"/>
  <c r="FH196" i="4"/>
  <c r="FA196" i="4"/>
  <c r="ET196" i="4"/>
  <c r="FL196" i="4"/>
  <c r="EF196" i="4"/>
  <c r="DY196" i="4"/>
  <c r="DR196" i="4"/>
  <c r="EJ196" i="4"/>
  <c r="GG196" i="4"/>
  <c r="FZ196" i="4"/>
  <c r="FS196" i="4"/>
  <c r="DK196" i="4"/>
  <c r="FS269" i="4"/>
  <c r="GN269" i="4"/>
  <c r="GG269" i="4"/>
  <c r="FC269" i="4"/>
  <c r="EQ269" i="4"/>
  <c r="FL269" i="4"/>
  <c r="FE269" i="4"/>
  <c r="FA269" i="4"/>
  <c r="DO269" i="4"/>
  <c r="EJ269" i="4"/>
  <c r="EC269" i="4"/>
  <c r="EV269" i="4"/>
  <c r="CM269" i="4"/>
  <c r="DH269" i="4"/>
  <c r="DA269" i="4"/>
  <c r="ET269" i="4"/>
  <c r="FQ269" i="4"/>
  <c r="GL269" i="4"/>
  <c r="FZ269" i="4"/>
  <c r="EO269" i="4"/>
  <c r="FJ269" i="4"/>
  <c r="EX269" i="4"/>
  <c r="DY269" i="4"/>
  <c r="DM269" i="4"/>
  <c r="EH269" i="4"/>
  <c r="DV269" i="4"/>
  <c r="DR269" i="4"/>
  <c r="CK269" i="4"/>
  <c r="DF269" i="4"/>
  <c r="CT269" i="4"/>
  <c r="GC269" i="4"/>
  <c r="FO269" i="4"/>
  <c r="GJ269" i="4"/>
  <c r="FX269" i="4"/>
  <c r="CW269" i="4"/>
  <c r="EM269" i="4"/>
  <c r="FH269" i="4"/>
  <c r="CR269" i="4"/>
  <c r="GE269" i="4"/>
  <c r="CI269" i="4"/>
  <c r="DD269" i="4"/>
  <c r="CP269" i="4"/>
  <c r="CY269" i="4"/>
  <c r="DK269" i="4"/>
  <c r="EF269" i="4"/>
  <c r="FV269" i="4"/>
  <c r="DT269" i="4"/>
  <c r="FE250" i="4"/>
  <c r="EX250" i="4"/>
  <c r="EQ250" i="4"/>
  <c r="EM250" i="4"/>
  <c r="EC250" i="4"/>
  <c r="DV250" i="4"/>
  <c r="DO250" i="4"/>
  <c r="DK250" i="4"/>
  <c r="DA250" i="4"/>
  <c r="CT250" i="4"/>
  <c r="CM250" i="4"/>
  <c r="CI250" i="4"/>
  <c r="GL250" i="4"/>
  <c r="GE250" i="4"/>
  <c r="FX250" i="4"/>
  <c r="FQ250" i="4"/>
  <c r="FJ250" i="4"/>
  <c r="EV250" i="4"/>
  <c r="EO250" i="4"/>
  <c r="EH250" i="4"/>
  <c r="EA250" i="4"/>
  <c r="DT250" i="4"/>
  <c r="DM250" i="4"/>
  <c r="DF250" i="4"/>
  <c r="CY250" i="4"/>
  <c r="CR250" i="4"/>
  <c r="CK250" i="4"/>
  <c r="GJ250" i="4"/>
  <c r="GC250" i="4"/>
  <c r="FV250" i="4"/>
  <c r="GN250" i="4"/>
  <c r="FH250" i="4"/>
  <c r="FA250" i="4"/>
  <c r="ET250" i="4"/>
  <c r="FL250" i="4"/>
  <c r="EF250" i="4"/>
  <c r="DY250" i="4"/>
  <c r="DR250" i="4"/>
  <c r="EJ250" i="4"/>
  <c r="GG250" i="4"/>
  <c r="FZ250" i="4"/>
  <c r="FS250" i="4"/>
  <c r="FO250" i="4"/>
  <c r="FQ214" i="4"/>
  <c r="GL214" i="4"/>
  <c r="GE214" i="4"/>
  <c r="FX214" i="4"/>
  <c r="EO214" i="4"/>
  <c r="FJ214" i="4"/>
  <c r="FC214" i="4"/>
  <c r="EV214" i="4"/>
  <c r="DM214" i="4"/>
  <c r="EH214" i="4"/>
  <c r="EA214" i="4"/>
  <c r="DT214" i="4"/>
  <c r="DK214" i="4"/>
  <c r="EF214" i="4"/>
  <c r="DY214" i="4"/>
  <c r="FV214" i="4"/>
  <c r="CI214" i="4"/>
  <c r="DD214" i="4"/>
  <c r="CW214" i="4"/>
  <c r="FS214" i="4"/>
  <c r="GN214" i="4"/>
  <c r="GG214" i="4"/>
  <c r="FZ214" i="4"/>
  <c r="ET214" i="4"/>
  <c r="EM214" i="4"/>
  <c r="FA214" i="4"/>
  <c r="FL214" i="4"/>
  <c r="EX214" i="4"/>
  <c r="DV214" i="4"/>
  <c r="DH214" i="4"/>
  <c r="CT214" i="4"/>
  <c r="DF214" i="4"/>
  <c r="CR214" i="4"/>
  <c r="GJ214" i="4"/>
  <c r="CP214" i="4"/>
  <c r="FH214" i="4"/>
  <c r="CM214" i="4"/>
  <c r="FE214" i="4"/>
  <c r="EQ214" i="4"/>
  <c r="EC214" i="4"/>
  <c r="DR214" i="4"/>
  <c r="DA214" i="4"/>
  <c r="DO214" i="4"/>
  <c r="FO214" i="4"/>
  <c r="GC214" i="4"/>
  <c r="FS232" i="4"/>
  <c r="GN232" i="4"/>
  <c r="GG232" i="4"/>
  <c r="FV232" i="4"/>
  <c r="EQ232" i="4"/>
  <c r="FL232" i="4"/>
  <c r="FE232" i="4"/>
  <c r="ET232" i="4"/>
  <c r="DO232" i="4"/>
  <c r="EC232" i="4"/>
  <c r="DR232" i="4"/>
  <c r="CM232" i="4"/>
  <c r="DH232" i="4"/>
  <c r="DA232" i="4"/>
  <c r="CP232" i="4"/>
  <c r="FQ232" i="4"/>
  <c r="GL232" i="4"/>
  <c r="GE232" i="4"/>
  <c r="FZ232" i="4"/>
  <c r="EO232" i="4"/>
  <c r="FJ232" i="4"/>
  <c r="FC232" i="4"/>
  <c r="FX232" i="4"/>
  <c r="DM232" i="4"/>
  <c r="EH232" i="4"/>
  <c r="EA232" i="4"/>
  <c r="EX232" i="4"/>
  <c r="CK232" i="4"/>
  <c r="DF232" i="4"/>
  <c r="CY232" i="4"/>
  <c r="EV232" i="4"/>
  <c r="FO232" i="4"/>
  <c r="GJ232" i="4"/>
  <c r="GC232" i="4"/>
  <c r="DV232" i="4"/>
  <c r="EM232" i="4"/>
  <c r="FH232" i="4"/>
  <c r="FA232" i="4"/>
  <c r="DT232" i="4"/>
  <c r="CI232" i="4"/>
  <c r="DD232" i="4"/>
  <c r="CW232" i="4"/>
  <c r="CR232" i="4"/>
  <c r="DK232" i="4"/>
  <c r="EF232" i="4"/>
  <c r="DY232" i="4"/>
  <c r="CT232" i="4"/>
  <c r="FQ291" i="4"/>
  <c r="GL291" i="4"/>
  <c r="GE291" i="4"/>
  <c r="FX291" i="4"/>
  <c r="EO291" i="4"/>
  <c r="FJ291" i="4"/>
  <c r="FC291" i="4"/>
  <c r="DO291" i="4"/>
  <c r="DM291" i="4"/>
  <c r="EH291" i="4"/>
  <c r="EA291" i="4"/>
  <c r="FV291" i="4"/>
  <c r="DF291" i="4"/>
  <c r="CY291" i="4"/>
  <c r="CW291" i="4"/>
  <c r="FO291" i="4"/>
  <c r="GJ291" i="4"/>
  <c r="ET291" i="4"/>
  <c r="FS291" i="4"/>
  <c r="EM291" i="4"/>
  <c r="FH291" i="4"/>
  <c r="EQ291" i="4"/>
  <c r="CT291" i="4"/>
  <c r="DK291" i="4"/>
  <c r="EF291" i="4"/>
  <c r="DY291" i="4"/>
  <c r="FA291" i="4"/>
  <c r="CI291" i="4"/>
  <c r="DD291" i="4"/>
  <c r="DV291" i="4"/>
  <c r="EX291" i="4"/>
  <c r="GN291" i="4"/>
  <c r="GG291" i="4"/>
  <c r="GC291" i="4"/>
  <c r="EV291" i="4"/>
  <c r="FL291" i="4"/>
  <c r="FE291" i="4"/>
  <c r="DT291" i="4"/>
  <c r="CR291" i="4"/>
  <c r="DH291" i="4"/>
  <c r="DA291" i="4"/>
  <c r="DR291" i="4"/>
  <c r="EJ291" i="4"/>
  <c r="EC291" i="4"/>
  <c r="FZ291" i="4"/>
  <c r="CP291" i="4"/>
  <c r="FH225" i="4"/>
  <c r="FA225" i="4"/>
  <c r="EM225" i="4"/>
  <c r="EO225" i="4"/>
  <c r="EF225" i="4"/>
  <c r="DK225" i="4"/>
  <c r="DR225" i="4"/>
  <c r="DD225" i="4"/>
  <c r="CW225" i="4"/>
  <c r="CI225" i="4"/>
  <c r="DO225" i="4"/>
  <c r="GN225" i="4"/>
  <c r="GG225" i="4"/>
  <c r="FZ225" i="4"/>
  <c r="DM225" i="4"/>
  <c r="FL225" i="4"/>
  <c r="FE225" i="4"/>
  <c r="EX225" i="4"/>
  <c r="CP225" i="4"/>
  <c r="EJ225" i="4"/>
  <c r="DV225" i="4"/>
  <c r="CM225" i="4"/>
  <c r="DH225" i="4"/>
  <c r="DA225" i="4"/>
  <c r="CT225" i="4"/>
  <c r="CK225" i="4"/>
  <c r="GL225" i="4"/>
  <c r="GE225" i="4"/>
  <c r="FX225" i="4"/>
  <c r="FV225" i="4"/>
  <c r="FJ225" i="4"/>
  <c r="FC225" i="4"/>
  <c r="EV225" i="4"/>
  <c r="FS225" i="4"/>
  <c r="EH225" i="4"/>
  <c r="DT225" i="4"/>
  <c r="FQ225" i="4"/>
  <c r="GJ225" i="4"/>
  <c r="GC225" i="4"/>
  <c r="FO225" i="4"/>
  <c r="EQ225" i="4"/>
  <c r="GG342" i="4"/>
  <c r="GL131" i="4"/>
  <c r="FX131" i="4"/>
  <c r="CP131" i="4"/>
  <c r="FH131" i="4"/>
  <c r="FJ131" i="4"/>
  <c r="EV131" i="4"/>
  <c r="FS131" i="4"/>
  <c r="DO131" i="4"/>
  <c r="EH131" i="4"/>
  <c r="DT131" i="4"/>
  <c r="EF131" i="4"/>
  <c r="FE131" i="4"/>
  <c r="DF131" i="4"/>
  <c r="CR131" i="4"/>
  <c r="CM131" i="4"/>
  <c r="DM131" i="4"/>
  <c r="GE131" i="4"/>
  <c r="GG131" i="4"/>
  <c r="FQ131" i="4"/>
  <c r="GJ131" i="4"/>
  <c r="FC131" i="4"/>
  <c r="EO131" i="4"/>
  <c r="EC131" i="4"/>
  <c r="EA131" i="4"/>
  <c r="DA131" i="4"/>
  <c r="CK131" i="4"/>
  <c r="DD131" i="4"/>
  <c r="CY131" i="4"/>
  <c r="FZ131" i="4"/>
  <c r="FO131" i="4"/>
  <c r="DH131" i="4"/>
  <c r="GC131" i="4"/>
  <c r="EM131" i="4"/>
  <c r="DV131" i="4"/>
  <c r="GN131" i="4"/>
  <c r="FA131" i="4"/>
  <c r="CT131" i="4"/>
  <c r="CI131" i="4"/>
  <c r="EX131" i="4"/>
  <c r="CW131" i="4"/>
  <c r="EJ131" i="4"/>
  <c r="DR131" i="4"/>
  <c r="DK131" i="4"/>
  <c r="DY131" i="4"/>
  <c r="FV131" i="4"/>
  <c r="FL131" i="4"/>
  <c r="ET131" i="4"/>
  <c r="GN254" i="4"/>
  <c r="GG254" i="4"/>
  <c r="FZ254" i="4"/>
  <c r="CT254" i="4"/>
  <c r="FL254" i="4"/>
  <c r="FE254" i="4"/>
  <c r="EX254" i="4"/>
  <c r="CP254" i="4"/>
  <c r="EC254" i="4"/>
  <c r="DV254" i="4"/>
  <c r="CM254" i="4"/>
  <c r="DH254" i="4"/>
  <c r="DA254" i="4"/>
  <c r="FX254" i="4"/>
  <c r="FV254" i="4"/>
  <c r="GL254" i="4"/>
  <c r="GE254" i="4"/>
  <c r="EV254" i="4"/>
  <c r="CK254" i="4"/>
  <c r="FJ254" i="4"/>
  <c r="FC254" i="4"/>
  <c r="DT254" i="4"/>
  <c r="FS254" i="4"/>
  <c r="EA254" i="4"/>
  <c r="CR254" i="4"/>
  <c r="FQ254" i="4"/>
  <c r="DF254" i="4"/>
  <c r="CY254" i="4"/>
  <c r="FO254" i="4"/>
  <c r="ET254" i="4"/>
  <c r="GJ254" i="4"/>
  <c r="GC254" i="4"/>
  <c r="EM254" i="4"/>
  <c r="EQ254" i="4"/>
  <c r="FH254" i="4"/>
  <c r="FA254" i="4"/>
  <c r="DK254" i="4"/>
  <c r="EO254" i="4"/>
  <c r="DD254" i="4"/>
  <c r="CW254" i="4"/>
  <c r="DM254" i="4"/>
  <c r="DO254" i="4"/>
  <c r="EF254" i="4"/>
  <c r="DY254" i="4"/>
  <c r="CI254" i="4"/>
  <c r="DR254" i="4"/>
  <c r="GL259" i="4"/>
  <c r="GE259" i="4"/>
  <c r="FX259" i="4"/>
  <c r="FQ259" i="4"/>
  <c r="FJ259" i="4"/>
  <c r="FC259" i="4"/>
  <c r="EV259" i="4"/>
  <c r="EO259" i="4"/>
  <c r="EH259" i="4"/>
  <c r="EA259" i="4"/>
  <c r="DT259" i="4"/>
  <c r="DM259" i="4"/>
  <c r="CY259" i="4"/>
  <c r="CR259" i="4"/>
  <c r="CK259" i="4"/>
  <c r="GJ259" i="4"/>
  <c r="GC259" i="4"/>
  <c r="FV259" i="4"/>
  <c r="GN259" i="4"/>
  <c r="FH259" i="4"/>
  <c r="FA259" i="4"/>
  <c r="ET259" i="4"/>
  <c r="FL259" i="4"/>
  <c r="EF259" i="4"/>
  <c r="DY259" i="4"/>
  <c r="DR259" i="4"/>
  <c r="EJ259" i="4"/>
  <c r="DD259" i="4"/>
  <c r="CW259" i="4"/>
  <c r="CP259" i="4"/>
  <c r="GG259" i="4"/>
  <c r="FZ259" i="4"/>
  <c r="FS259" i="4"/>
  <c r="FO259" i="4"/>
  <c r="FE259" i="4"/>
  <c r="EX259" i="4"/>
  <c r="EQ259" i="4"/>
  <c r="EM259" i="4"/>
  <c r="DA259" i="4"/>
  <c r="CT259" i="4"/>
  <c r="CM259" i="4"/>
  <c r="CI259" i="4"/>
  <c r="EC259" i="4"/>
  <c r="DV259" i="4"/>
  <c r="DO259" i="4"/>
  <c r="DK259" i="4"/>
  <c r="FS231" i="4"/>
  <c r="GN231" i="4"/>
  <c r="FV231" i="4"/>
  <c r="GG231" i="4"/>
  <c r="EQ231" i="4"/>
  <c r="FL231" i="4"/>
  <c r="DV231" i="4"/>
  <c r="ET231" i="4"/>
  <c r="DO231" i="4"/>
  <c r="EJ231" i="4"/>
  <c r="FJ231" i="4"/>
  <c r="GC231" i="4"/>
  <c r="CM231" i="4"/>
  <c r="DH231" i="4"/>
  <c r="DT231" i="4"/>
  <c r="EC231" i="4"/>
  <c r="FQ231" i="4"/>
  <c r="GJ231" i="4"/>
  <c r="FE231" i="4"/>
  <c r="CP231" i="4"/>
  <c r="EO231" i="4"/>
  <c r="FH231" i="4"/>
  <c r="DR231" i="4"/>
  <c r="CR231" i="4"/>
  <c r="DM231" i="4"/>
  <c r="EF231" i="4"/>
  <c r="FC231" i="4"/>
  <c r="GL231" i="4"/>
  <c r="CK231" i="4"/>
  <c r="DD231" i="4"/>
  <c r="DF231" i="4"/>
  <c r="GE231" i="4"/>
  <c r="FO231" i="4"/>
  <c r="FZ231" i="4"/>
  <c r="FA231" i="4"/>
  <c r="EV231" i="4"/>
  <c r="EM231" i="4"/>
  <c r="EA231" i="4"/>
  <c r="DA231" i="4"/>
  <c r="EH231" i="4"/>
  <c r="CI231" i="4"/>
  <c r="DY231" i="4"/>
  <c r="CT231" i="4"/>
  <c r="DK231" i="4"/>
  <c r="FX231" i="4"/>
  <c r="CW231" i="4"/>
  <c r="EX231" i="4"/>
  <c r="GL256" i="4"/>
  <c r="GE256" i="4"/>
  <c r="FX256" i="4"/>
  <c r="FQ256" i="4"/>
  <c r="FJ256" i="4"/>
  <c r="FC256" i="4"/>
  <c r="EV256" i="4"/>
  <c r="EO256" i="4"/>
  <c r="EH256" i="4"/>
  <c r="EA256" i="4"/>
  <c r="DT256" i="4"/>
  <c r="DM256" i="4"/>
  <c r="DF256" i="4"/>
  <c r="CY256" i="4"/>
  <c r="CR256" i="4"/>
  <c r="CK256" i="4"/>
  <c r="GJ256" i="4"/>
  <c r="GC256" i="4"/>
  <c r="FV256" i="4"/>
  <c r="GN256" i="4"/>
  <c r="FH256" i="4"/>
  <c r="FA256" i="4"/>
  <c r="ET256" i="4"/>
  <c r="FL256" i="4"/>
  <c r="EF256" i="4"/>
  <c r="DY256" i="4"/>
  <c r="DR256" i="4"/>
  <c r="EJ256" i="4"/>
  <c r="DD256" i="4"/>
  <c r="CW256" i="4"/>
  <c r="CP256" i="4"/>
  <c r="DH256" i="4"/>
  <c r="GG256" i="4"/>
  <c r="FZ256" i="4"/>
  <c r="FS256" i="4"/>
  <c r="DK256" i="4"/>
  <c r="FE256" i="4"/>
  <c r="EX256" i="4"/>
  <c r="EQ256" i="4"/>
  <c r="CI256" i="4"/>
  <c r="DA256" i="4"/>
  <c r="CT256" i="4"/>
  <c r="CM256" i="4"/>
  <c r="FO256" i="4"/>
  <c r="DV256" i="4"/>
  <c r="DO256" i="4"/>
  <c r="EM256" i="4"/>
  <c r="GL373" i="4"/>
  <c r="GE373" i="4"/>
  <c r="FX373" i="4"/>
  <c r="GN373" i="4"/>
  <c r="EF373" i="4"/>
  <c r="DY373" i="4"/>
  <c r="DR373" i="4"/>
  <c r="EO373" i="4"/>
  <c r="FJ373" i="4"/>
  <c r="CY373" i="4"/>
  <c r="ET373" i="4"/>
  <c r="DM373" i="4"/>
  <c r="EH373" i="4"/>
  <c r="GC373" i="4"/>
  <c r="CP373" i="4"/>
  <c r="DK373" i="4"/>
  <c r="DF373" i="4"/>
  <c r="FA373" i="4"/>
  <c r="FS373" i="4"/>
  <c r="CK373" i="4"/>
  <c r="GJ373" i="4"/>
  <c r="CW373" i="4"/>
  <c r="EQ373" i="4"/>
  <c r="CI373" i="4"/>
  <c r="FH373" i="4"/>
  <c r="FZ373" i="4"/>
  <c r="DO373" i="4"/>
  <c r="DD373" i="4"/>
  <c r="CM373" i="4"/>
  <c r="GG373" i="4"/>
  <c r="DV373" i="4"/>
  <c r="FL373" i="4"/>
  <c r="FE373" i="4"/>
  <c r="CT373" i="4"/>
  <c r="EJ373" i="4"/>
  <c r="EC373" i="4"/>
  <c r="EV373" i="4"/>
  <c r="DH373" i="4"/>
  <c r="DA373" i="4"/>
  <c r="DT373" i="4"/>
  <c r="FQ373" i="4"/>
  <c r="EA373" i="4"/>
  <c r="FV373" i="4"/>
  <c r="EM373" i="4"/>
  <c r="FJ88" i="4"/>
  <c r="FC88" i="4"/>
  <c r="EV88" i="4"/>
  <c r="DM88" i="4"/>
  <c r="EH88" i="4"/>
  <c r="EA88" i="4"/>
  <c r="DT88" i="4"/>
  <c r="CM88" i="4"/>
  <c r="DF88" i="4"/>
  <c r="CY88" i="4"/>
  <c r="CR88" i="4"/>
  <c r="CP88" i="4"/>
  <c r="FO88" i="4"/>
  <c r="GJ88" i="4"/>
  <c r="GC88" i="4"/>
  <c r="CK88" i="4"/>
  <c r="EM88" i="4"/>
  <c r="FH88" i="4"/>
  <c r="FA88" i="4"/>
  <c r="FV88" i="4"/>
  <c r="DK88" i="4"/>
  <c r="EF88" i="4"/>
  <c r="DY88" i="4"/>
  <c r="FS88" i="4"/>
  <c r="CI88" i="4"/>
  <c r="DD88" i="4"/>
  <c r="CW88" i="4"/>
  <c r="FQ88" i="4"/>
  <c r="GN88" i="4"/>
  <c r="GG88" i="4"/>
  <c r="FZ88" i="4"/>
  <c r="ET88" i="4"/>
  <c r="FL88" i="4"/>
  <c r="FE88" i="4"/>
  <c r="EX88" i="4"/>
  <c r="EQ88" i="4"/>
  <c r="EJ88" i="4"/>
  <c r="EC88" i="4"/>
  <c r="EO88" i="4"/>
  <c r="GL88" i="4"/>
  <c r="GE88" i="4"/>
  <c r="FX88" i="4"/>
  <c r="DO88" i="4"/>
  <c r="FE210" i="4"/>
  <c r="EX210" i="4"/>
  <c r="EQ210" i="4"/>
  <c r="CI210" i="4"/>
  <c r="EC210" i="4"/>
  <c r="DV210" i="4"/>
  <c r="DO210" i="4"/>
  <c r="EM210" i="4"/>
  <c r="DA210" i="4"/>
  <c r="CT210" i="4"/>
  <c r="CM210" i="4"/>
  <c r="FO210" i="4"/>
  <c r="GL210" i="4"/>
  <c r="GE210" i="4"/>
  <c r="FX210" i="4"/>
  <c r="FQ210" i="4"/>
  <c r="FJ210" i="4"/>
  <c r="FC210" i="4"/>
  <c r="EV210" i="4"/>
  <c r="EO210" i="4"/>
  <c r="EH210" i="4"/>
  <c r="EA210" i="4"/>
  <c r="DT210" i="4"/>
  <c r="DM210" i="4"/>
  <c r="DF210" i="4"/>
  <c r="CY210" i="4"/>
  <c r="CR210" i="4"/>
  <c r="CK210" i="4"/>
  <c r="GJ210" i="4"/>
  <c r="GC210" i="4"/>
  <c r="FV210" i="4"/>
  <c r="GN210" i="4"/>
  <c r="FH210" i="4"/>
  <c r="FA210" i="4"/>
  <c r="ET210" i="4"/>
  <c r="FL210" i="4"/>
  <c r="EF210" i="4"/>
  <c r="DY210" i="4"/>
  <c r="DR210" i="4"/>
  <c r="GG210" i="4"/>
  <c r="FZ210" i="4"/>
  <c r="FS210" i="4"/>
  <c r="DK210" i="4"/>
  <c r="FH322" i="4"/>
  <c r="FA322" i="4"/>
  <c r="EM322" i="4"/>
  <c r="EO322" i="4"/>
  <c r="EF322" i="4"/>
  <c r="DY322" i="4"/>
  <c r="DK322" i="4"/>
  <c r="DR322" i="4"/>
  <c r="DD322" i="4"/>
  <c r="CW322" i="4"/>
  <c r="CI322" i="4"/>
  <c r="DO322" i="4"/>
  <c r="GN322" i="4"/>
  <c r="GG322" i="4"/>
  <c r="FZ322" i="4"/>
  <c r="DM322" i="4"/>
  <c r="FL322" i="4"/>
  <c r="FE322" i="4"/>
  <c r="EX322" i="4"/>
  <c r="CP322" i="4"/>
  <c r="EJ322" i="4"/>
  <c r="EC322" i="4"/>
  <c r="DV322" i="4"/>
  <c r="CM322" i="4"/>
  <c r="DH322" i="4"/>
  <c r="CT322" i="4"/>
  <c r="CK322" i="4"/>
  <c r="GL322" i="4"/>
  <c r="GE322" i="4"/>
  <c r="FX322" i="4"/>
  <c r="FV322" i="4"/>
  <c r="FJ322" i="4"/>
  <c r="FC322" i="4"/>
  <c r="EV322" i="4"/>
  <c r="FS322" i="4"/>
  <c r="EH322" i="4"/>
  <c r="EA322" i="4"/>
  <c r="DT322" i="4"/>
  <c r="FQ322" i="4"/>
  <c r="GJ322" i="4"/>
  <c r="GC322" i="4"/>
  <c r="FO322" i="4"/>
  <c r="EQ322" i="4"/>
  <c r="FJ67" i="4"/>
  <c r="DH67" i="4"/>
  <c r="CT67" i="4"/>
  <c r="FA67" i="4"/>
  <c r="EH67" i="4"/>
  <c r="ET67" i="4"/>
  <c r="FZ67" i="4"/>
  <c r="DM67" i="4"/>
  <c r="GJ67" i="4"/>
  <c r="DF67" i="4"/>
  <c r="DV67" i="4"/>
  <c r="CI67" i="4"/>
  <c r="FS67" i="4"/>
  <c r="GG67" i="4"/>
  <c r="EM67" i="4"/>
  <c r="CR67" i="4"/>
  <c r="EQ67" i="4"/>
  <c r="FE67" i="4"/>
  <c r="DD67" i="4"/>
  <c r="FX67" i="4"/>
  <c r="FQ67" i="4"/>
  <c r="EC67" i="4"/>
  <c r="DT67" i="4"/>
  <c r="EO67" i="4"/>
  <c r="DA67" i="4"/>
  <c r="EF67" i="4"/>
  <c r="CP67" i="4"/>
  <c r="FO67" i="4"/>
  <c r="GC67" i="4"/>
  <c r="CY67" i="4"/>
  <c r="FH67" i="4"/>
  <c r="GN67" i="4"/>
  <c r="FV67" i="4"/>
  <c r="EA67" i="4"/>
  <c r="DR67" i="4"/>
  <c r="FL67" i="4"/>
  <c r="EX67" i="4"/>
  <c r="CW67" i="4"/>
  <c r="GL67" i="4"/>
  <c r="EV67" i="4"/>
  <c r="DY67" i="4"/>
  <c r="DO67" i="4"/>
  <c r="EF16" i="4"/>
  <c r="EA16" i="4"/>
  <c r="EV16" i="4"/>
  <c r="DM16" i="4"/>
  <c r="GN16" i="4"/>
  <c r="DD16" i="4"/>
  <c r="FL16" i="4"/>
  <c r="CP16" i="4"/>
  <c r="GL16" i="4"/>
  <c r="DA16" i="4"/>
  <c r="CK16" i="4"/>
  <c r="DO16" i="4"/>
  <c r="FJ16" i="4"/>
  <c r="EH16" i="4"/>
  <c r="FH16" i="4"/>
  <c r="EJ16" i="4"/>
  <c r="FC16" i="4"/>
  <c r="CR16" i="4"/>
  <c r="DH16" i="4"/>
  <c r="CY16" i="4"/>
  <c r="ET16" i="4"/>
  <c r="DF16" i="4"/>
  <c r="GC16" i="4"/>
  <c r="FS16" i="4"/>
  <c r="GJ16" i="4"/>
  <c r="FA16" i="4"/>
  <c r="EQ16" i="4"/>
  <c r="EO16" i="4"/>
  <c r="DY16" i="4"/>
  <c r="CM16" i="4"/>
  <c r="GG16" i="4"/>
  <c r="CW16" i="4"/>
  <c r="FO16" i="4"/>
  <c r="FE16" i="4"/>
  <c r="FZ16" i="4"/>
  <c r="EM16" i="4"/>
  <c r="EC16" i="4"/>
  <c r="EX16" i="4"/>
  <c r="DK16" i="4"/>
  <c r="FV16" i="4"/>
  <c r="CI16" i="4"/>
  <c r="CT16" i="4"/>
  <c r="GE16" i="4"/>
  <c r="FQ16" i="4"/>
  <c r="FX16" i="4"/>
  <c r="CT284" i="4"/>
  <c r="CR246" i="4"/>
  <c r="CT238" i="4"/>
  <c r="CY168" i="4"/>
  <c r="CY50" i="4"/>
  <c r="CT275" i="4"/>
  <c r="CT270" i="4"/>
  <c r="CI44" i="4"/>
  <c r="CT192" i="4"/>
  <c r="FQ329" i="4"/>
  <c r="CP249" i="4"/>
  <c r="CY40" i="4"/>
  <c r="CY69" i="4"/>
  <c r="FX62" i="4"/>
  <c r="DF205" i="4"/>
  <c r="CT299" i="4"/>
  <c r="CP147" i="4"/>
  <c r="CP236" i="4"/>
  <c r="CY79" i="4"/>
  <c r="CP153" i="4"/>
  <c r="CM290" i="4"/>
  <c r="CT233" i="4"/>
  <c r="CR297" i="4"/>
  <c r="CP253" i="4"/>
  <c r="CP95" i="4"/>
  <c r="CY53" i="4"/>
  <c r="CT30" i="4"/>
  <c r="CR322" i="4"/>
  <c r="CW215" i="4"/>
  <c r="CT183" i="4"/>
  <c r="CP142" i="4"/>
  <c r="CY166" i="4"/>
  <c r="GE67" i="4"/>
  <c r="CY137" i="4"/>
  <c r="EA61" i="4"/>
  <c r="L220" i="4"/>
  <c r="EM182" i="4"/>
  <c r="FH182" i="4"/>
  <c r="FA182" i="4"/>
  <c r="EX182" i="4"/>
  <c r="DK182" i="4"/>
  <c r="EF182" i="4"/>
  <c r="DY182" i="4"/>
  <c r="EV182" i="4"/>
  <c r="CI182" i="4"/>
  <c r="DD182" i="4"/>
  <c r="CW182" i="4"/>
  <c r="DV182" i="4"/>
  <c r="FS182" i="4"/>
  <c r="GN182" i="4"/>
  <c r="GG182" i="4"/>
  <c r="FV182" i="4"/>
  <c r="EQ182" i="4"/>
  <c r="FL182" i="4"/>
  <c r="FE182" i="4"/>
  <c r="ET182" i="4"/>
  <c r="DO182" i="4"/>
  <c r="EJ182" i="4"/>
  <c r="DR182" i="4"/>
  <c r="CM182" i="4"/>
  <c r="DH182" i="4"/>
  <c r="DA182" i="4"/>
  <c r="CP182" i="4"/>
  <c r="FQ182" i="4"/>
  <c r="GL182" i="4"/>
  <c r="GE182" i="4"/>
  <c r="DT182" i="4"/>
  <c r="EO182" i="4"/>
  <c r="FJ182" i="4"/>
  <c r="FC182" i="4"/>
  <c r="CT182" i="4"/>
  <c r="DM182" i="4"/>
  <c r="EH182" i="4"/>
  <c r="CR182" i="4"/>
  <c r="FO182" i="4"/>
  <c r="GJ182" i="4"/>
  <c r="GC182" i="4"/>
  <c r="FX182" i="4"/>
  <c r="FS240" i="4"/>
  <c r="GN240" i="4"/>
  <c r="GG240" i="4"/>
  <c r="FC240" i="4"/>
  <c r="EQ240" i="4"/>
  <c r="FL240" i="4"/>
  <c r="FE240" i="4"/>
  <c r="FA240" i="4"/>
  <c r="DO240" i="4"/>
  <c r="EJ240" i="4"/>
  <c r="EC240" i="4"/>
  <c r="EV240" i="4"/>
  <c r="CM240" i="4"/>
  <c r="DH240" i="4"/>
  <c r="DA240" i="4"/>
  <c r="ET240" i="4"/>
  <c r="FQ240" i="4"/>
  <c r="GL240" i="4"/>
  <c r="FZ240" i="4"/>
  <c r="EA240" i="4"/>
  <c r="EO240" i="4"/>
  <c r="FJ240" i="4"/>
  <c r="EX240" i="4"/>
  <c r="DY240" i="4"/>
  <c r="EH240" i="4"/>
  <c r="DV240" i="4"/>
  <c r="DR240" i="4"/>
  <c r="CK240" i="4"/>
  <c r="DF240" i="4"/>
  <c r="CT240" i="4"/>
  <c r="GC240" i="4"/>
  <c r="FO240" i="4"/>
  <c r="GJ240" i="4"/>
  <c r="CW240" i="4"/>
  <c r="EM240" i="4"/>
  <c r="FH240" i="4"/>
  <c r="CR240" i="4"/>
  <c r="GE240" i="4"/>
  <c r="CI240" i="4"/>
  <c r="DD240" i="4"/>
  <c r="CP240" i="4"/>
  <c r="CY240" i="4"/>
  <c r="DT240" i="4"/>
  <c r="DK240" i="4"/>
  <c r="FE111" i="4"/>
  <c r="EQ111" i="4"/>
  <c r="EM111" i="4"/>
  <c r="EC111" i="4"/>
  <c r="DV111" i="4"/>
  <c r="DO111" i="4"/>
  <c r="DK111" i="4"/>
  <c r="DA111" i="4"/>
  <c r="CT111" i="4"/>
  <c r="CM111" i="4"/>
  <c r="CI111" i="4"/>
  <c r="GL111" i="4"/>
  <c r="GE111" i="4"/>
  <c r="FX111" i="4"/>
  <c r="FQ111" i="4"/>
  <c r="FJ111" i="4"/>
  <c r="FC111" i="4"/>
  <c r="EV111" i="4"/>
  <c r="EO111" i="4"/>
  <c r="EH111" i="4"/>
  <c r="EA111" i="4"/>
  <c r="DT111" i="4"/>
  <c r="DM111" i="4"/>
  <c r="DF111" i="4"/>
  <c r="CY111" i="4"/>
  <c r="CR111" i="4"/>
  <c r="CK111" i="4"/>
  <c r="GJ111" i="4"/>
  <c r="GC111" i="4"/>
  <c r="FV111" i="4"/>
  <c r="GN111" i="4"/>
  <c r="FH111" i="4"/>
  <c r="FA111" i="4"/>
  <c r="ET111" i="4"/>
  <c r="FL111" i="4"/>
  <c r="EF111" i="4"/>
  <c r="DY111" i="4"/>
  <c r="DR111" i="4"/>
  <c r="EJ111" i="4"/>
  <c r="GG111" i="4"/>
  <c r="FZ111" i="4"/>
  <c r="FS111" i="4"/>
  <c r="FO111" i="4"/>
  <c r="FO76" i="4"/>
  <c r="CM76" i="4"/>
  <c r="FS76" i="4"/>
  <c r="EX76" i="4"/>
  <c r="GG76" i="4"/>
  <c r="EM76" i="4"/>
  <c r="FJ76" i="4"/>
  <c r="FH76" i="4"/>
  <c r="CI76" i="4"/>
  <c r="GE76" i="4"/>
  <c r="FV76" i="4"/>
  <c r="CW76" i="4"/>
  <c r="FC76" i="4"/>
  <c r="EJ76" i="4"/>
  <c r="DV76" i="4"/>
  <c r="GC76" i="4"/>
  <c r="DH76" i="4"/>
  <c r="CT76" i="4"/>
  <c r="EQ76" i="4"/>
  <c r="EH76" i="4"/>
  <c r="FE76" i="4"/>
  <c r="DO76" i="4"/>
  <c r="DF76" i="4"/>
  <c r="EV76" i="4"/>
  <c r="FZ76" i="4"/>
  <c r="FQ76" i="4"/>
  <c r="ET76" i="4"/>
  <c r="EO76" i="4"/>
  <c r="EF76" i="4"/>
  <c r="DT76" i="4"/>
  <c r="GN76" i="4"/>
  <c r="DM76" i="4"/>
  <c r="DD76" i="4"/>
  <c r="DR76" i="4"/>
  <c r="FL76" i="4"/>
  <c r="CK76" i="4"/>
  <c r="CY76" i="4"/>
  <c r="GJ76" i="4"/>
  <c r="DK76" i="4"/>
  <c r="FA76" i="4"/>
  <c r="CR76" i="4"/>
  <c r="FS43" i="4"/>
  <c r="GN43" i="4"/>
  <c r="GG43" i="4"/>
  <c r="EQ43" i="4"/>
  <c r="FL43" i="4"/>
  <c r="FE43" i="4"/>
  <c r="ET43" i="4"/>
  <c r="DO43" i="4"/>
  <c r="EJ43" i="4"/>
  <c r="EC43" i="4"/>
  <c r="CM43" i="4"/>
  <c r="DH43" i="4"/>
  <c r="DA43" i="4"/>
  <c r="CP43" i="4"/>
  <c r="FQ43" i="4"/>
  <c r="GL43" i="4"/>
  <c r="GE43" i="4"/>
  <c r="FX43" i="4"/>
  <c r="EO43" i="4"/>
  <c r="FJ43" i="4"/>
  <c r="FC43" i="4"/>
  <c r="EX43" i="4"/>
  <c r="DM43" i="4"/>
  <c r="EH43" i="4"/>
  <c r="EA43" i="4"/>
  <c r="EV43" i="4"/>
  <c r="CK43" i="4"/>
  <c r="DF43" i="4"/>
  <c r="CY43" i="4"/>
  <c r="FO43" i="4"/>
  <c r="GJ43" i="4"/>
  <c r="GC43" i="4"/>
  <c r="DT43" i="4"/>
  <c r="EM43" i="4"/>
  <c r="FH43" i="4"/>
  <c r="FA43" i="4"/>
  <c r="CT43" i="4"/>
  <c r="CI43" i="4"/>
  <c r="DD43" i="4"/>
  <c r="CW43" i="4"/>
  <c r="FZ43" i="4"/>
  <c r="DK43" i="4"/>
  <c r="EF43" i="4"/>
  <c r="DY43" i="4"/>
  <c r="CR43" i="4"/>
  <c r="FO237" i="4"/>
  <c r="GJ237" i="4"/>
  <c r="GC237" i="4"/>
  <c r="CK237" i="4"/>
  <c r="EM237" i="4"/>
  <c r="FH237" i="4"/>
  <c r="FA237" i="4"/>
  <c r="FV237" i="4"/>
  <c r="DK237" i="4"/>
  <c r="EF237" i="4"/>
  <c r="DY237" i="4"/>
  <c r="FS237" i="4"/>
  <c r="CI237" i="4"/>
  <c r="DD237" i="4"/>
  <c r="CW237" i="4"/>
  <c r="FQ237" i="4"/>
  <c r="GN237" i="4"/>
  <c r="GG237" i="4"/>
  <c r="FZ237" i="4"/>
  <c r="ET237" i="4"/>
  <c r="FL237" i="4"/>
  <c r="FE237" i="4"/>
  <c r="EX237" i="4"/>
  <c r="EQ237" i="4"/>
  <c r="EC237" i="4"/>
  <c r="DV237" i="4"/>
  <c r="EO237" i="4"/>
  <c r="DH237" i="4"/>
  <c r="DA237" i="4"/>
  <c r="CT237" i="4"/>
  <c r="DR237" i="4"/>
  <c r="GL237" i="4"/>
  <c r="GE237" i="4"/>
  <c r="FX237" i="4"/>
  <c r="DO237" i="4"/>
  <c r="FJ237" i="4"/>
  <c r="FC237" i="4"/>
  <c r="EV237" i="4"/>
  <c r="DM237" i="4"/>
  <c r="DF237" i="4"/>
  <c r="CY237" i="4"/>
  <c r="CR237" i="4"/>
  <c r="CP237" i="4"/>
  <c r="EH237" i="4"/>
  <c r="EA237" i="4"/>
  <c r="DT237" i="4"/>
  <c r="CM237" i="4"/>
  <c r="FE149" i="4"/>
  <c r="EX149" i="4"/>
  <c r="EQ149" i="4"/>
  <c r="EM149" i="4"/>
  <c r="EC149" i="4"/>
  <c r="DV149" i="4"/>
  <c r="DO149" i="4"/>
  <c r="DK149" i="4"/>
  <c r="DA149" i="4"/>
  <c r="CT149" i="4"/>
  <c r="CM149" i="4"/>
  <c r="CI149" i="4"/>
  <c r="GL149" i="4"/>
  <c r="GE149" i="4"/>
  <c r="FX149" i="4"/>
  <c r="FQ149" i="4"/>
  <c r="FJ149" i="4"/>
  <c r="FC149" i="4"/>
  <c r="EV149" i="4"/>
  <c r="EO149" i="4"/>
  <c r="EA149" i="4"/>
  <c r="DT149" i="4"/>
  <c r="DM149" i="4"/>
  <c r="DF149" i="4"/>
  <c r="CY149" i="4"/>
  <c r="CR149" i="4"/>
  <c r="CK149" i="4"/>
  <c r="GJ149" i="4"/>
  <c r="GC149" i="4"/>
  <c r="FV149" i="4"/>
  <c r="GN149" i="4"/>
  <c r="FH149" i="4"/>
  <c r="FA149" i="4"/>
  <c r="ET149" i="4"/>
  <c r="FL149" i="4"/>
  <c r="DY149" i="4"/>
  <c r="DR149" i="4"/>
  <c r="EJ149" i="4"/>
  <c r="GG149" i="4"/>
  <c r="FZ149" i="4"/>
  <c r="FS149" i="4"/>
  <c r="FO149" i="4"/>
  <c r="GN39" i="4"/>
  <c r="GG39" i="4"/>
  <c r="FZ39" i="4"/>
  <c r="DM39" i="4"/>
  <c r="FL39" i="4"/>
  <c r="FE39" i="4"/>
  <c r="EX39" i="4"/>
  <c r="CP39" i="4"/>
  <c r="EJ39" i="4"/>
  <c r="DV39" i="4"/>
  <c r="CM39" i="4"/>
  <c r="DH39" i="4"/>
  <c r="DA39" i="4"/>
  <c r="CT39" i="4"/>
  <c r="CK39" i="4"/>
  <c r="GL39" i="4"/>
  <c r="GE39" i="4"/>
  <c r="FX39" i="4"/>
  <c r="FV39" i="4"/>
  <c r="FJ39" i="4"/>
  <c r="FC39" i="4"/>
  <c r="EV39" i="4"/>
  <c r="FS39" i="4"/>
  <c r="EH39" i="4"/>
  <c r="EA39" i="4"/>
  <c r="DT39" i="4"/>
  <c r="FQ39" i="4"/>
  <c r="DF39" i="4"/>
  <c r="CY39" i="4"/>
  <c r="CR39" i="4"/>
  <c r="ET39" i="4"/>
  <c r="GJ39" i="4"/>
  <c r="GC39" i="4"/>
  <c r="FO39" i="4"/>
  <c r="EQ39" i="4"/>
  <c r="FH39" i="4"/>
  <c r="FA39" i="4"/>
  <c r="EM39" i="4"/>
  <c r="EO39" i="4"/>
  <c r="DD39" i="4"/>
  <c r="CW39" i="4"/>
  <c r="CI39" i="4"/>
  <c r="DO39" i="4"/>
  <c r="EF39" i="4"/>
  <c r="DY39" i="4"/>
  <c r="DR39" i="4"/>
  <c r="DK39" i="4"/>
  <c r="CI83" i="4"/>
  <c r="DD83" i="4"/>
  <c r="EO83" i="4"/>
  <c r="FJ83" i="4"/>
  <c r="FC83" i="4"/>
  <c r="FO83" i="4"/>
  <c r="EF83" i="4"/>
  <c r="FV83" i="4"/>
  <c r="EM83" i="4"/>
  <c r="GG83" i="4"/>
  <c r="ET83" i="4"/>
  <c r="DK83" i="4"/>
  <c r="FE83" i="4"/>
  <c r="DR83" i="4"/>
  <c r="GN83" i="4"/>
  <c r="EC83" i="4"/>
  <c r="CP83" i="4"/>
  <c r="FL83" i="4"/>
  <c r="FZ83" i="4"/>
  <c r="FS83" i="4"/>
  <c r="EJ83" i="4"/>
  <c r="GE83" i="4"/>
  <c r="FX83" i="4"/>
  <c r="EQ83" i="4"/>
  <c r="DH83" i="4"/>
  <c r="EA83" i="4"/>
  <c r="EX83" i="4"/>
  <c r="DO83" i="4"/>
  <c r="GL83" i="4"/>
  <c r="CR83" i="4"/>
  <c r="CM83" i="4"/>
  <c r="EH83" i="4"/>
  <c r="GC83" i="4"/>
  <c r="EV83" i="4"/>
  <c r="FQ83" i="4"/>
  <c r="DF83" i="4"/>
  <c r="FA83" i="4"/>
  <c r="DV83" i="4"/>
  <c r="CK83" i="4"/>
  <c r="FH83" i="4"/>
  <c r="CW83" i="4"/>
  <c r="CT83" i="4"/>
  <c r="DM83" i="4"/>
  <c r="GJ83" i="4"/>
  <c r="DY83" i="4"/>
  <c r="DT83" i="4"/>
  <c r="GL119" i="4"/>
  <c r="GE119" i="4"/>
  <c r="FX119" i="4"/>
  <c r="FQ119" i="4"/>
  <c r="FJ119" i="4"/>
  <c r="FC119" i="4"/>
  <c r="EV119" i="4"/>
  <c r="EO119" i="4"/>
  <c r="EH119" i="4"/>
  <c r="EA119" i="4"/>
  <c r="DT119" i="4"/>
  <c r="DF119" i="4"/>
  <c r="CY119" i="4"/>
  <c r="CR119" i="4"/>
  <c r="CK119" i="4"/>
  <c r="GJ119" i="4"/>
  <c r="GC119" i="4"/>
  <c r="FV119" i="4"/>
  <c r="GN119" i="4"/>
  <c r="FH119" i="4"/>
  <c r="FA119" i="4"/>
  <c r="ET119" i="4"/>
  <c r="FL119" i="4"/>
  <c r="EF119" i="4"/>
  <c r="DY119" i="4"/>
  <c r="DR119" i="4"/>
  <c r="EJ119" i="4"/>
  <c r="DD119" i="4"/>
  <c r="CW119" i="4"/>
  <c r="CP119" i="4"/>
  <c r="DH119" i="4"/>
  <c r="GG119" i="4"/>
  <c r="FZ119" i="4"/>
  <c r="FS119" i="4"/>
  <c r="FO119" i="4"/>
  <c r="FE119" i="4"/>
  <c r="EX119" i="4"/>
  <c r="EQ119" i="4"/>
  <c r="EM119" i="4"/>
  <c r="DA119" i="4"/>
  <c r="CT119" i="4"/>
  <c r="CM119" i="4"/>
  <c r="CI119" i="4"/>
  <c r="EC119" i="4"/>
  <c r="DV119" i="4"/>
  <c r="DK119" i="4"/>
  <c r="FQ260" i="4"/>
  <c r="GL260" i="4"/>
  <c r="GE260" i="4"/>
  <c r="CP260" i="4"/>
  <c r="EO260" i="4"/>
  <c r="FJ260" i="4"/>
  <c r="FC260" i="4"/>
  <c r="CM260" i="4"/>
  <c r="DM260" i="4"/>
  <c r="EH260" i="4"/>
  <c r="EA260" i="4"/>
  <c r="GC260" i="4"/>
  <c r="CK260" i="4"/>
  <c r="DF260" i="4"/>
  <c r="FV260" i="4"/>
  <c r="FO260" i="4"/>
  <c r="GJ260" i="4"/>
  <c r="FZ260" i="4"/>
  <c r="FS260" i="4"/>
  <c r="EM260" i="4"/>
  <c r="FH260" i="4"/>
  <c r="EX260" i="4"/>
  <c r="FA260" i="4"/>
  <c r="DK260" i="4"/>
  <c r="EF260" i="4"/>
  <c r="DV260" i="4"/>
  <c r="ET260" i="4"/>
  <c r="CI260" i="4"/>
  <c r="DD260" i="4"/>
  <c r="CT260" i="4"/>
  <c r="EQ260" i="4"/>
  <c r="GN260" i="4"/>
  <c r="GG260" i="4"/>
  <c r="FX260" i="4"/>
  <c r="DY260" i="4"/>
  <c r="FL260" i="4"/>
  <c r="FE260" i="4"/>
  <c r="EV260" i="4"/>
  <c r="DR260" i="4"/>
  <c r="DH260" i="4"/>
  <c r="CR260" i="4"/>
  <c r="EJ260" i="4"/>
  <c r="EC260" i="4"/>
  <c r="DO260" i="4"/>
  <c r="DT260" i="4"/>
  <c r="FO273" i="4"/>
  <c r="GJ273" i="4"/>
  <c r="GC273" i="4"/>
  <c r="EV273" i="4"/>
  <c r="EM273" i="4"/>
  <c r="FH273" i="4"/>
  <c r="FA273" i="4"/>
  <c r="ET273" i="4"/>
  <c r="DK273" i="4"/>
  <c r="EF273" i="4"/>
  <c r="DY273" i="4"/>
  <c r="EQ273" i="4"/>
  <c r="CI273" i="4"/>
  <c r="DD273" i="4"/>
  <c r="CW273" i="4"/>
  <c r="EO273" i="4"/>
  <c r="GN273" i="4"/>
  <c r="GG273" i="4"/>
  <c r="FZ273" i="4"/>
  <c r="DT273" i="4"/>
  <c r="FL273" i="4"/>
  <c r="FE273" i="4"/>
  <c r="EX273" i="4"/>
  <c r="DR273" i="4"/>
  <c r="EJ273" i="4"/>
  <c r="DV273" i="4"/>
  <c r="DO273" i="4"/>
  <c r="DH273" i="4"/>
  <c r="DA273" i="4"/>
  <c r="CT273" i="4"/>
  <c r="DM273" i="4"/>
  <c r="GL273" i="4"/>
  <c r="GE273" i="4"/>
  <c r="FS273" i="4"/>
  <c r="FV273" i="4"/>
  <c r="FJ273" i="4"/>
  <c r="FC273" i="4"/>
  <c r="CM273" i="4"/>
  <c r="CP273" i="4"/>
  <c r="DF273" i="4"/>
  <c r="CY273" i="4"/>
  <c r="CK273" i="4"/>
  <c r="CR273" i="4"/>
  <c r="EH273" i="4"/>
  <c r="FQ273" i="4"/>
  <c r="FX273" i="4"/>
  <c r="HU145" i="4"/>
  <c r="EM145" i="4"/>
  <c r="FH145" i="4"/>
  <c r="ET145" i="4"/>
  <c r="FX145" i="4"/>
  <c r="DK145" i="4"/>
  <c r="EF145" i="4"/>
  <c r="EA145" i="4"/>
  <c r="FC145" i="4"/>
  <c r="CI145" i="4"/>
  <c r="DD145" i="4"/>
  <c r="DY145" i="4"/>
  <c r="CR145" i="4"/>
  <c r="FS145" i="4"/>
  <c r="GN145" i="4"/>
  <c r="GG145" i="4"/>
  <c r="DT145" i="4"/>
  <c r="FL145" i="4"/>
  <c r="FE145" i="4"/>
  <c r="DR145" i="4"/>
  <c r="DO145" i="4"/>
  <c r="EJ145" i="4"/>
  <c r="EC145" i="4"/>
  <c r="GE145" i="4"/>
  <c r="CM145" i="4"/>
  <c r="DH145" i="4"/>
  <c r="DA145" i="4"/>
  <c r="CY145" i="4"/>
  <c r="FQ145" i="4"/>
  <c r="GL145" i="4"/>
  <c r="FZ145" i="4"/>
  <c r="GC145" i="4"/>
  <c r="FJ145" i="4"/>
  <c r="EX145" i="4"/>
  <c r="CW145" i="4"/>
  <c r="DM145" i="4"/>
  <c r="EH145" i="4"/>
  <c r="DV145" i="4"/>
  <c r="FV145" i="4"/>
  <c r="FO145" i="4"/>
  <c r="GJ145" i="4"/>
  <c r="EV145" i="4"/>
  <c r="FA145" i="4"/>
  <c r="GL208" i="4"/>
  <c r="GE208" i="4"/>
  <c r="FX208" i="4"/>
  <c r="FQ208" i="4"/>
  <c r="FJ208" i="4"/>
  <c r="FC208" i="4"/>
  <c r="EV208" i="4"/>
  <c r="EO208" i="4"/>
  <c r="EH208" i="4"/>
  <c r="EA208" i="4"/>
  <c r="DT208" i="4"/>
  <c r="DM208" i="4"/>
  <c r="DF208" i="4"/>
  <c r="CY208" i="4"/>
  <c r="CR208" i="4"/>
  <c r="CK208" i="4"/>
  <c r="GJ208" i="4"/>
  <c r="GC208" i="4"/>
  <c r="FV208" i="4"/>
  <c r="GN208" i="4"/>
  <c r="FH208" i="4"/>
  <c r="FA208" i="4"/>
  <c r="ET208" i="4"/>
  <c r="FL208" i="4"/>
  <c r="EF208" i="4"/>
  <c r="DY208" i="4"/>
  <c r="DR208" i="4"/>
  <c r="EJ208" i="4"/>
  <c r="DD208" i="4"/>
  <c r="CW208" i="4"/>
  <c r="CP208" i="4"/>
  <c r="DH208" i="4"/>
  <c r="GG208" i="4"/>
  <c r="FZ208" i="4"/>
  <c r="FS208" i="4"/>
  <c r="FO208" i="4"/>
  <c r="FE208" i="4"/>
  <c r="EX208" i="4"/>
  <c r="EQ208" i="4"/>
  <c r="EM208" i="4"/>
  <c r="DA208" i="4"/>
  <c r="CT208" i="4"/>
  <c r="CM208" i="4"/>
  <c r="CI208" i="4"/>
  <c r="DV208" i="4"/>
  <c r="DK208" i="4"/>
  <c r="DO208" i="4"/>
  <c r="FJ277" i="4"/>
  <c r="FC277" i="4"/>
  <c r="EV277" i="4"/>
  <c r="DO277" i="4"/>
  <c r="EH277" i="4"/>
  <c r="EA277" i="4"/>
  <c r="DT277" i="4"/>
  <c r="CP277" i="4"/>
  <c r="DF277" i="4"/>
  <c r="CY277" i="4"/>
  <c r="CR277" i="4"/>
  <c r="CM277" i="4"/>
  <c r="FO277" i="4"/>
  <c r="GJ277" i="4"/>
  <c r="GC277" i="4"/>
  <c r="FQ277" i="4"/>
  <c r="EM277" i="4"/>
  <c r="FH277" i="4"/>
  <c r="FA277" i="4"/>
  <c r="EO277" i="4"/>
  <c r="DK277" i="4"/>
  <c r="EF277" i="4"/>
  <c r="DY277" i="4"/>
  <c r="DM277" i="4"/>
  <c r="CI277" i="4"/>
  <c r="DD277" i="4"/>
  <c r="CK277" i="4"/>
  <c r="GN277" i="4"/>
  <c r="GG277" i="4"/>
  <c r="FZ277" i="4"/>
  <c r="FV277" i="4"/>
  <c r="FL277" i="4"/>
  <c r="FE277" i="4"/>
  <c r="EX277" i="4"/>
  <c r="FS277" i="4"/>
  <c r="EC277" i="4"/>
  <c r="DV277" i="4"/>
  <c r="ET277" i="4"/>
  <c r="GL277" i="4"/>
  <c r="GE277" i="4"/>
  <c r="FX277" i="4"/>
  <c r="DR277" i="4"/>
  <c r="GL118" i="4"/>
  <c r="GE118" i="4"/>
  <c r="FX118" i="4"/>
  <c r="FQ118" i="4"/>
  <c r="FJ118" i="4"/>
  <c r="FC118" i="4"/>
  <c r="EV118" i="4"/>
  <c r="EO118" i="4"/>
  <c r="EH118" i="4"/>
  <c r="EA118" i="4"/>
  <c r="DT118" i="4"/>
  <c r="DM118" i="4"/>
  <c r="CY118" i="4"/>
  <c r="CR118" i="4"/>
  <c r="CK118" i="4"/>
  <c r="GJ118" i="4"/>
  <c r="GC118" i="4"/>
  <c r="FV118" i="4"/>
  <c r="GN118" i="4"/>
  <c r="FH118" i="4"/>
  <c r="FA118" i="4"/>
  <c r="ET118" i="4"/>
  <c r="FL118" i="4"/>
  <c r="EF118" i="4"/>
  <c r="DY118" i="4"/>
  <c r="DR118" i="4"/>
  <c r="EJ118" i="4"/>
  <c r="CW118" i="4"/>
  <c r="CP118" i="4"/>
  <c r="GG118" i="4"/>
  <c r="FZ118" i="4"/>
  <c r="FS118" i="4"/>
  <c r="DK118" i="4"/>
  <c r="FE118" i="4"/>
  <c r="EX118" i="4"/>
  <c r="EQ118" i="4"/>
  <c r="CI118" i="4"/>
  <c r="DA118" i="4"/>
  <c r="CT118" i="4"/>
  <c r="CM118" i="4"/>
  <c r="FO118" i="4"/>
  <c r="EC118" i="4"/>
  <c r="DV118" i="4"/>
  <c r="EM118" i="4"/>
  <c r="DO118" i="4"/>
  <c r="GL129" i="4"/>
  <c r="GE129" i="4"/>
  <c r="FX129" i="4"/>
  <c r="GN129" i="4"/>
  <c r="EF129" i="4"/>
  <c r="DY129" i="4"/>
  <c r="DR129" i="4"/>
  <c r="EO129" i="4"/>
  <c r="FH129" i="4"/>
  <c r="FZ129" i="4"/>
  <c r="DO129" i="4"/>
  <c r="DD129" i="4"/>
  <c r="CM129" i="4"/>
  <c r="GG129" i="4"/>
  <c r="DV129" i="4"/>
  <c r="FL129" i="4"/>
  <c r="FE129" i="4"/>
  <c r="CT129" i="4"/>
  <c r="EJ129" i="4"/>
  <c r="EC129" i="4"/>
  <c r="EV129" i="4"/>
  <c r="DH129" i="4"/>
  <c r="DA129" i="4"/>
  <c r="DT129" i="4"/>
  <c r="FQ129" i="4"/>
  <c r="FC129" i="4"/>
  <c r="CR129" i="4"/>
  <c r="FO129" i="4"/>
  <c r="EA129" i="4"/>
  <c r="FV129" i="4"/>
  <c r="EM129" i="4"/>
  <c r="FJ129" i="4"/>
  <c r="CY129" i="4"/>
  <c r="ET129" i="4"/>
  <c r="DM129" i="4"/>
  <c r="EH129" i="4"/>
  <c r="GC129" i="4"/>
  <c r="CP129" i="4"/>
  <c r="DK129" i="4"/>
  <c r="GJ129" i="4"/>
  <c r="CW129" i="4"/>
  <c r="EQ129" i="4"/>
  <c r="CI129" i="4"/>
  <c r="FJ154" i="4"/>
  <c r="FC154" i="4"/>
  <c r="EV154" i="4"/>
  <c r="DM154" i="4"/>
  <c r="EH154" i="4"/>
  <c r="DT154" i="4"/>
  <c r="CM154" i="4"/>
  <c r="DF154" i="4"/>
  <c r="CY154" i="4"/>
  <c r="CR154" i="4"/>
  <c r="CP154" i="4"/>
  <c r="FO154" i="4"/>
  <c r="GJ154" i="4"/>
  <c r="GC154" i="4"/>
  <c r="CK154" i="4"/>
  <c r="EM154" i="4"/>
  <c r="FH154" i="4"/>
  <c r="FA154" i="4"/>
  <c r="FV154" i="4"/>
  <c r="DK154" i="4"/>
  <c r="EF154" i="4"/>
  <c r="FS154" i="4"/>
  <c r="CI154" i="4"/>
  <c r="DD154" i="4"/>
  <c r="CW154" i="4"/>
  <c r="FQ154" i="4"/>
  <c r="GN154" i="4"/>
  <c r="GG154" i="4"/>
  <c r="FZ154" i="4"/>
  <c r="ET154" i="4"/>
  <c r="FL154" i="4"/>
  <c r="FE154" i="4"/>
  <c r="EX154" i="4"/>
  <c r="EQ154" i="4"/>
  <c r="EJ154" i="4"/>
  <c r="DV154" i="4"/>
  <c r="EO154" i="4"/>
  <c r="GL154" i="4"/>
  <c r="GE154" i="4"/>
  <c r="FX154" i="4"/>
  <c r="DO154" i="4"/>
  <c r="GL285" i="4"/>
  <c r="GE285" i="4"/>
  <c r="FX285" i="4"/>
  <c r="GN285" i="4"/>
  <c r="FJ285" i="4"/>
  <c r="FC285" i="4"/>
  <c r="EV285" i="4"/>
  <c r="FL285" i="4"/>
  <c r="EH285" i="4"/>
  <c r="EA285" i="4"/>
  <c r="DT285" i="4"/>
  <c r="EJ285" i="4"/>
  <c r="DF285" i="4"/>
  <c r="CY285" i="4"/>
  <c r="CR285" i="4"/>
  <c r="DH285" i="4"/>
  <c r="GJ285" i="4"/>
  <c r="GC285" i="4"/>
  <c r="FV285" i="4"/>
  <c r="EO285" i="4"/>
  <c r="FH285" i="4"/>
  <c r="FA285" i="4"/>
  <c r="ET285" i="4"/>
  <c r="EM285" i="4"/>
  <c r="EF285" i="4"/>
  <c r="DY285" i="4"/>
  <c r="DR285" i="4"/>
  <c r="DM285" i="4"/>
  <c r="DD285" i="4"/>
  <c r="CW285" i="4"/>
  <c r="CP285" i="4"/>
  <c r="DK285" i="4"/>
  <c r="GG285" i="4"/>
  <c r="FZ285" i="4"/>
  <c r="FS285" i="4"/>
  <c r="CK285" i="4"/>
  <c r="FE285" i="4"/>
  <c r="EX285" i="4"/>
  <c r="EQ285" i="4"/>
  <c r="CI285" i="4"/>
  <c r="DA285" i="4"/>
  <c r="CT285" i="4"/>
  <c r="FQ285" i="4"/>
  <c r="EC285" i="4"/>
  <c r="DV285" i="4"/>
  <c r="DO285" i="4"/>
  <c r="FO285" i="4"/>
  <c r="EX251" i="4"/>
  <c r="EQ251" i="4"/>
  <c r="CI251" i="4"/>
  <c r="EC251" i="4"/>
  <c r="DV251" i="4"/>
  <c r="DO251" i="4"/>
  <c r="EM251" i="4"/>
  <c r="DA251" i="4"/>
  <c r="CT251" i="4"/>
  <c r="CM251" i="4"/>
  <c r="FO251" i="4"/>
  <c r="GL251" i="4"/>
  <c r="GE251" i="4"/>
  <c r="FX251" i="4"/>
  <c r="FQ251" i="4"/>
  <c r="FJ251" i="4"/>
  <c r="EV251" i="4"/>
  <c r="EO251" i="4"/>
  <c r="EH251" i="4"/>
  <c r="EA251" i="4"/>
  <c r="DT251" i="4"/>
  <c r="DM251" i="4"/>
  <c r="DF251" i="4"/>
  <c r="CY251" i="4"/>
  <c r="CR251" i="4"/>
  <c r="CK251" i="4"/>
  <c r="GJ251" i="4"/>
  <c r="GC251" i="4"/>
  <c r="FV251" i="4"/>
  <c r="GN251" i="4"/>
  <c r="FH251" i="4"/>
  <c r="FA251" i="4"/>
  <c r="ET251" i="4"/>
  <c r="FL251" i="4"/>
  <c r="EF251" i="4"/>
  <c r="DY251" i="4"/>
  <c r="DR251" i="4"/>
  <c r="EJ251" i="4"/>
  <c r="GG251" i="4"/>
  <c r="FZ251" i="4"/>
  <c r="FS251" i="4"/>
  <c r="DK251" i="4"/>
  <c r="FH217" i="4"/>
  <c r="FA217" i="4"/>
  <c r="CK217" i="4"/>
  <c r="CM217" i="4"/>
  <c r="EF217" i="4"/>
  <c r="DY217" i="4"/>
  <c r="EX217" i="4"/>
  <c r="FS217" i="4"/>
  <c r="DD217" i="4"/>
  <c r="CW217" i="4"/>
  <c r="ET217" i="4"/>
  <c r="FV217" i="4"/>
  <c r="GN217" i="4"/>
  <c r="GG217" i="4"/>
  <c r="FX217" i="4"/>
  <c r="EQ217" i="4"/>
  <c r="FL217" i="4"/>
  <c r="FE217" i="4"/>
  <c r="EV217" i="4"/>
  <c r="EO217" i="4"/>
  <c r="EJ217" i="4"/>
  <c r="EC217" i="4"/>
  <c r="DT217" i="4"/>
  <c r="DV217" i="4"/>
  <c r="DH217" i="4"/>
  <c r="DA217" i="4"/>
  <c r="CR217" i="4"/>
  <c r="DR217" i="4"/>
  <c r="GL217" i="4"/>
  <c r="GE217" i="4"/>
  <c r="FO217" i="4"/>
  <c r="DO217" i="4"/>
  <c r="FJ217" i="4"/>
  <c r="FC217" i="4"/>
  <c r="EM217" i="4"/>
  <c r="DM217" i="4"/>
  <c r="EH217" i="4"/>
  <c r="EA217" i="4"/>
  <c r="DK217" i="4"/>
  <c r="FZ217" i="4"/>
  <c r="GJ217" i="4"/>
  <c r="GC217" i="4"/>
  <c r="FQ217" i="4"/>
  <c r="CP217" i="4"/>
  <c r="FH35" i="4"/>
  <c r="FQ35" i="4"/>
  <c r="CR35" i="4"/>
  <c r="DK35" i="4"/>
  <c r="EF35" i="4"/>
  <c r="GC35" i="4"/>
  <c r="FV35" i="4"/>
  <c r="CI35" i="4"/>
  <c r="DD35" i="4"/>
  <c r="FA35" i="4"/>
  <c r="ET35" i="4"/>
  <c r="EO35" i="4"/>
  <c r="GN35" i="4"/>
  <c r="GG35" i="4"/>
  <c r="DY35" i="4"/>
  <c r="DR35" i="4"/>
  <c r="FL35" i="4"/>
  <c r="FE35" i="4"/>
  <c r="CW35" i="4"/>
  <c r="CP35" i="4"/>
  <c r="EJ35" i="4"/>
  <c r="EC35" i="4"/>
  <c r="FZ35" i="4"/>
  <c r="FS35" i="4"/>
  <c r="DH35" i="4"/>
  <c r="DA35" i="4"/>
  <c r="EX35" i="4"/>
  <c r="EQ35" i="4"/>
  <c r="GL35" i="4"/>
  <c r="DM35" i="4"/>
  <c r="DO35" i="4"/>
  <c r="FJ35" i="4"/>
  <c r="GE35" i="4"/>
  <c r="CT35" i="4"/>
  <c r="CM35" i="4"/>
  <c r="EH35" i="4"/>
  <c r="FC35" i="4"/>
  <c r="FX35" i="4"/>
  <c r="CK35" i="4"/>
  <c r="GJ35" i="4"/>
  <c r="CY35" i="4"/>
  <c r="EM35" i="4"/>
  <c r="AS33" i="4"/>
  <c r="GN33" i="4"/>
  <c r="EF33" i="4"/>
  <c r="GC33" i="4"/>
  <c r="EV33" i="4"/>
  <c r="FL33" i="4"/>
  <c r="DD33" i="4"/>
  <c r="FA33" i="4"/>
  <c r="DT33" i="4"/>
  <c r="EJ33" i="4"/>
  <c r="GG33" i="4"/>
  <c r="DY33" i="4"/>
  <c r="CR33" i="4"/>
  <c r="DH33" i="4"/>
  <c r="FE33" i="4"/>
  <c r="CW33" i="4"/>
  <c r="FS33" i="4"/>
  <c r="ET33" i="4"/>
  <c r="EC33" i="4"/>
  <c r="DR33" i="4"/>
  <c r="EQ33" i="4"/>
  <c r="CK33" i="4"/>
  <c r="DA33" i="4"/>
  <c r="FZ33" i="4"/>
  <c r="DO33" i="4"/>
  <c r="GL33" i="4"/>
  <c r="CP33" i="4"/>
  <c r="EX33" i="4"/>
  <c r="CM33" i="4"/>
  <c r="FJ33" i="4"/>
  <c r="GE33" i="4"/>
  <c r="FO33" i="4"/>
  <c r="EH33" i="4"/>
  <c r="FC33" i="4"/>
  <c r="CT33" i="4"/>
  <c r="EM33" i="4"/>
  <c r="DF33" i="4"/>
  <c r="EA33" i="4"/>
  <c r="FV33" i="4"/>
  <c r="DK33" i="4"/>
  <c r="FH33" i="4"/>
  <c r="DM33" i="4"/>
  <c r="FX33" i="4"/>
  <c r="FQ33" i="4"/>
  <c r="GJ33" i="4"/>
  <c r="CY33" i="4"/>
  <c r="EO33" i="4"/>
  <c r="CI33" i="4"/>
  <c r="EM37" i="4"/>
  <c r="FH37" i="4"/>
  <c r="FA37" i="4"/>
  <c r="EX37" i="4"/>
  <c r="DK37" i="4"/>
  <c r="EF37" i="4"/>
  <c r="DY37" i="4"/>
  <c r="EV37" i="4"/>
  <c r="CI37" i="4"/>
  <c r="DD37" i="4"/>
  <c r="CW37" i="4"/>
  <c r="FS37" i="4"/>
  <c r="GN37" i="4"/>
  <c r="GG37" i="4"/>
  <c r="FV37" i="4"/>
  <c r="EQ37" i="4"/>
  <c r="FL37" i="4"/>
  <c r="FE37" i="4"/>
  <c r="ET37" i="4"/>
  <c r="DO37" i="4"/>
  <c r="EJ37" i="4"/>
  <c r="EC37" i="4"/>
  <c r="CM37" i="4"/>
  <c r="DH37" i="4"/>
  <c r="DA37" i="4"/>
  <c r="CP37" i="4"/>
  <c r="FQ37" i="4"/>
  <c r="GL37" i="4"/>
  <c r="GE37" i="4"/>
  <c r="EO37" i="4"/>
  <c r="FJ37" i="4"/>
  <c r="FC37" i="4"/>
  <c r="CT37" i="4"/>
  <c r="DM37" i="4"/>
  <c r="EH37" i="4"/>
  <c r="EA37" i="4"/>
  <c r="CR37" i="4"/>
  <c r="FO37" i="4"/>
  <c r="GJ37" i="4"/>
  <c r="GC37" i="4"/>
  <c r="FX37" i="4"/>
  <c r="DD238" i="4"/>
  <c r="DA154" i="4"/>
  <c r="DF37" i="4"/>
  <c r="DA275" i="4"/>
  <c r="DF270" i="4"/>
  <c r="DD192" i="4"/>
  <c r="DA329" i="4"/>
  <c r="DF69" i="4"/>
  <c r="FC62" i="4"/>
  <c r="CW147" i="4"/>
  <c r="DF79" i="4"/>
  <c r="CW153" i="4"/>
  <c r="CW290" i="4"/>
  <c r="CY297" i="4"/>
  <c r="CW253" i="4"/>
  <c r="CW95" i="4"/>
  <c r="DF53" i="4"/>
  <c r="GE30" i="4"/>
  <c r="DA277" i="4"/>
  <c r="CY322" i="4"/>
  <c r="DD215" i="4"/>
  <c r="DA183" i="4"/>
  <c r="CW142" i="4"/>
  <c r="CW111" i="4"/>
  <c r="DF166" i="4"/>
  <c r="DK67" i="4"/>
  <c r="DV133" i="4"/>
  <c r="FL73" i="4"/>
  <c r="FE73" i="4"/>
  <c r="EX73" i="4"/>
  <c r="DO73" i="4"/>
  <c r="EJ73" i="4"/>
  <c r="EC73" i="4"/>
  <c r="DV73" i="4"/>
  <c r="CP73" i="4"/>
  <c r="DH73" i="4"/>
  <c r="DA73" i="4"/>
  <c r="CT73" i="4"/>
  <c r="CM73" i="4"/>
  <c r="FQ73" i="4"/>
  <c r="GL73" i="4"/>
  <c r="GE73" i="4"/>
  <c r="FX73" i="4"/>
  <c r="EO73" i="4"/>
  <c r="FJ73" i="4"/>
  <c r="FC73" i="4"/>
  <c r="EV73" i="4"/>
  <c r="DM73" i="4"/>
  <c r="EH73" i="4"/>
  <c r="EA73" i="4"/>
  <c r="DT73" i="4"/>
  <c r="CK73" i="4"/>
  <c r="DF73" i="4"/>
  <c r="CY73" i="4"/>
  <c r="CR73" i="4"/>
  <c r="FO73" i="4"/>
  <c r="GJ73" i="4"/>
  <c r="GC73" i="4"/>
  <c r="FV73" i="4"/>
  <c r="EM73" i="4"/>
  <c r="FH73" i="4"/>
  <c r="FA73" i="4"/>
  <c r="FS73" i="4"/>
  <c r="DK73" i="4"/>
  <c r="EF73" i="4"/>
  <c r="DY73" i="4"/>
  <c r="ET73" i="4"/>
  <c r="GN73" i="4"/>
  <c r="GG73" i="4"/>
  <c r="FZ73" i="4"/>
  <c r="DR73" i="4"/>
  <c r="CE223" i="4"/>
  <c r="FO223" i="4"/>
  <c r="GJ223" i="4"/>
  <c r="FS223" i="4"/>
  <c r="EQ223" i="4"/>
  <c r="EM223" i="4"/>
  <c r="FH223" i="4"/>
  <c r="DO223" i="4"/>
  <c r="CM223" i="4"/>
  <c r="DK223" i="4"/>
  <c r="EF223" i="4"/>
  <c r="FQ223" i="4"/>
  <c r="EO223" i="4"/>
  <c r="CI223" i="4"/>
  <c r="DD223" i="4"/>
  <c r="DM223" i="4"/>
  <c r="CK223" i="4"/>
  <c r="GN223" i="4"/>
  <c r="GG223" i="4"/>
  <c r="FA223" i="4"/>
  <c r="GC223" i="4"/>
  <c r="FL223" i="4"/>
  <c r="FE223" i="4"/>
  <c r="CW223" i="4"/>
  <c r="DY223" i="4"/>
  <c r="EJ223" i="4"/>
  <c r="EX223" i="4"/>
  <c r="FV223" i="4"/>
  <c r="DH223" i="4"/>
  <c r="DA223" i="4"/>
  <c r="CT223" i="4"/>
  <c r="DR223" i="4"/>
  <c r="GL223" i="4"/>
  <c r="GE223" i="4"/>
  <c r="EV223" i="4"/>
  <c r="FZ223" i="4"/>
  <c r="FJ223" i="4"/>
  <c r="FC223" i="4"/>
  <c r="CR223" i="4"/>
  <c r="FX223" i="4"/>
  <c r="DF223" i="4"/>
  <c r="CY223" i="4"/>
  <c r="CP223" i="4"/>
  <c r="DT223" i="4"/>
  <c r="EH223" i="4"/>
  <c r="EA223" i="4"/>
  <c r="DV223" i="4"/>
  <c r="ET223" i="4"/>
  <c r="FJ84" i="4"/>
  <c r="FC84" i="4"/>
  <c r="EV84" i="4"/>
  <c r="DM84" i="4"/>
  <c r="EH84" i="4"/>
  <c r="EA84" i="4"/>
  <c r="DT84" i="4"/>
  <c r="CM84" i="4"/>
  <c r="DF84" i="4"/>
  <c r="CR84" i="4"/>
  <c r="CP84" i="4"/>
  <c r="FO84" i="4"/>
  <c r="GJ84" i="4"/>
  <c r="GC84" i="4"/>
  <c r="CK84" i="4"/>
  <c r="EM84" i="4"/>
  <c r="FH84" i="4"/>
  <c r="FA84" i="4"/>
  <c r="FV84" i="4"/>
  <c r="DK84" i="4"/>
  <c r="EF84" i="4"/>
  <c r="DY84" i="4"/>
  <c r="FS84" i="4"/>
  <c r="CI84" i="4"/>
  <c r="DD84" i="4"/>
  <c r="CW84" i="4"/>
  <c r="FQ84" i="4"/>
  <c r="GN84" i="4"/>
  <c r="GG84" i="4"/>
  <c r="FZ84" i="4"/>
  <c r="ET84" i="4"/>
  <c r="FL84" i="4"/>
  <c r="FE84" i="4"/>
  <c r="EX84" i="4"/>
  <c r="EQ84" i="4"/>
  <c r="EJ84" i="4"/>
  <c r="EC84" i="4"/>
  <c r="DV84" i="4"/>
  <c r="EO84" i="4"/>
  <c r="GL84" i="4"/>
  <c r="GE84" i="4"/>
  <c r="FX84" i="4"/>
  <c r="DO84" i="4"/>
  <c r="GL109" i="4"/>
  <c r="GE109" i="4"/>
  <c r="FX109" i="4"/>
  <c r="FQ109" i="4"/>
  <c r="FJ109" i="4"/>
  <c r="FC109" i="4"/>
  <c r="EV109" i="4"/>
  <c r="EH109" i="4"/>
  <c r="EA109" i="4"/>
  <c r="DT109" i="4"/>
  <c r="DM109" i="4"/>
  <c r="DF109" i="4"/>
  <c r="CY109" i="4"/>
  <c r="CR109" i="4"/>
  <c r="CK109" i="4"/>
  <c r="GJ109" i="4"/>
  <c r="GC109" i="4"/>
  <c r="FV109" i="4"/>
  <c r="GN109" i="4"/>
  <c r="FH109" i="4"/>
  <c r="FA109" i="4"/>
  <c r="ET109" i="4"/>
  <c r="FL109" i="4"/>
  <c r="EF109" i="4"/>
  <c r="DY109" i="4"/>
  <c r="DR109" i="4"/>
  <c r="EJ109" i="4"/>
  <c r="DD109" i="4"/>
  <c r="CW109" i="4"/>
  <c r="CP109" i="4"/>
  <c r="DH109" i="4"/>
  <c r="GG109" i="4"/>
  <c r="FZ109" i="4"/>
  <c r="FS109" i="4"/>
  <c r="FO109" i="4"/>
  <c r="FE109" i="4"/>
  <c r="EX109" i="4"/>
  <c r="EQ109" i="4"/>
  <c r="EM109" i="4"/>
  <c r="DA109" i="4"/>
  <c r="CT109" i="4"/>
  <c r="CM109" i="4"/>
  <c r="CI109" i="4"/>
  <c r="DK109" i="4"/>
  <c r="EC109" i="4"/>
  <c r="DO109" i="4"/>
  <c r="GN228" i="4"/>
  <c r="GG228" i="4"/>
  <c r="FZ228" i="4"/>
  <c r="DM228" i="4"/>
  <c r="FL228" i="4"/>
  <c r="FE228" i="4"/>
  <c r="CP228" i="4"/>
  <c r="EJ228" i="4"/>
  <c r="EC228" i="4"/>
  <c r="DV228" i="4"/>
  <c r="CM228" i="4"/>
  <c r="DH228" i="4"/>
  <c r="DA228" i="4"/>
  <c r="CT228" i="4"/>
  <c r="CK228" i="4"/>
  <c r="GL228" i="4"/>
  <c r="GE228" i="4"/>
  <c r="FX228" i="4"/>
  <c r="FV228" i="4"/>
  <c r="FJ228" i="4"/>
  <c r="FC228" i="4"/>
  <c r="EV228" i="4"/>
  <c r="FS228" i="4"/>
  <c r="EH228" i="4"/>
  <c r="EA228" i="4"/>
  <c r="DT228" i="4"/>
  <c r="FQ228" i="4"/>
  <c r="DF228" i="4"/>
  <c r="CY228" i="4"/>
  <c r="CR228" i="4"/>
  <c r="ET228" i="4"/>
  <c r="GJ228" i="4"/>
  <c r="GC228" i="4"/>
  <c r="FO228" i="4"/>
  <c r="EQ228" i="4"/>
  <c r="FH228" i="4"/>
  <c r="FA228" i="4"/>
  <c r="EM228" i="4"/>
  <c r="EO228" i="4"/>
  <c r="DD228" i="4"/>
  <c r="CW228" i="4"/>
  <c r="CI228" i="4"/>
  <c r="DO228" i="4"/>
  <c r="EF228" i="4"/>
  <c r="DY228" i="4"/>
  <c r="DK228" i="4"/>
  <c r="DR228" i="4"/>
  <c r="FL193" i="4"/>
  <c r="FE193" i="4"/>
  <c r="EV193" i="4"/>
  <c r="DR193" i="4"/>
  <c r="EJ193" i="4"/>
  <c r="EC193" i="4"/>
  <c r="DT193" i="4"/>
  <c r="CW193" i="4"/>
  <c r="DH193" i="4"/>
  <c r="DA193" i="4"/>
  <c r="CR193" i="4"/>
  <c r="DO193" i="4"/>
  <c r="FQ193" i="4"/>
  <c r="GL193" i="4"/>
  <c r="GE193" i="4"/>
  <c r="CP193" i="4"/>
  <c r="EO193" i="4"/>
  <c r="FJ193" i="4"/>
  <c r="FC193" i="4"/>
  <c r="CM193" i="4"/>
  <c r="DM193" i="4"/>
  <c r="EH193" i="4"/>
  <c r="EA193" i="4"/>
  <c r="GC193" i="4"/>
  <c r="CK193" i="4"/>
  <c r="DF193" i="4"/>
  <c r="CY193" i="4"/>
  <c r="FV193" i="4"/>
  <c r="FO193" i="4"/>
  <c r="GJ193" i="4"/>
  <c r="FS193" i="4"/>
  <c r="EM193" i="4"/>
  <c r="FH193" i="4"/>
  <c r="EX193" i="4"/>
  <c r="FA193" i="4"/>
  <c r="DK193" i="4"/>
  <c r="EF193" i="4"/>
  <c r="DV193" i="4"/>
  <c r="ET193" i="4"/>
  <c r="GN193" i="4"/>
  <c r="GG193" i="4"/>
  <c r="DY193" i="4"/>
  <c r="FE249" i="4"/>
  <c r="EX249" i="4"/>
  <c r="EQ249" i="4"/>
  <c r="EM249" i="4"/>
  <c r="DV249" i="4"/>
  <c r="DO249" i="4"/>
  <c r="DK249" i="4"/>
  <c r="DA249" i="4"/>
  <c r="CT249" i="4"/>
  <c r="CM249" i="4"/>
  <c r="CI249" i="4"/>
  <c r="GL249" i="4"/>
  <c r="GE249" i="4"/>
  <c r="FX249" i="4"/>
  <c r="FQ249" i="4"/>
  <c r="FJ249" i="4"/>
  <c r="FC249" i="4"/>
  <c r="EV249" i="4"/>
  <c r="EO249" i="4"/>
  <c r="EH249" i="4"/>
  <c r="DT249" i="4"/>
  <c r="DM249" i="4"/>
  <c r="DF249" i="4"/>
  <c r="CY249" i="4"/>
  <c r="CR249" i="4"/>
  <c r="CK249" i="4"/>
  <c r="GJ249" i="4"/>
  <c r="GC249" i="4"/>
  <c r="FV249" i="4"/>
  <c r="GN249" i="4"/>
  <c r="FH249" i="4"/>
  <c r="FA249" i="4"/>
  <c r="ET249" i="4"/>
  <c r="FL249" i="4"/>
  <c r="EF249" i="4"/>
  <c r="DY249" i="4"/>
  <c r="DR249" i="4"/>
  <c r="EJ249" i="4"/>
  <c r="GG249" i="4"/>
  <c r="FZ249" i="4"/>
  <c r="FS249" i="4"/>
  <c r="FO249" i="4"/>
  <c r="AS171" i="4"/>
  <c r="FS171" i="4"/>
  <c r="GN171" i="4"/>
  <c r="GG171" i="4"/>
  <c r="FV171" i="4"/>
  <c r="EQ171" i="4"/>
  <c r="FL171" i="4"/>
  <c r="FE171" i="4"/>
  <c r="ET171" i="4"/>
  <c r="DO171" i="4"/>
  <c r="EJ171" i="4"/>
  <c r="DR171" i="4"/>
  <c r="CM171" i="4"/>
  <c r="DH171" i="4"/>
  <c r="DA171" i="4"/>
  <c r="CP171" i="4"/>
  <c r="FQ171" i="4"/>
  <c r="GL171" i="4"/>
  <c r="GE171" i="4"/>
  <c r="DT171" i="4"/>
  <c r="EO171" i="4"/>
  <c r="FJ171" i="4"/>
  <c r="FC171" i="4"/>
  <c r="CT171" i="4"/>
  <c r="DM171" i="4"/>
  <c r="EH171" i="4"/>
  <c r="EA171" i="4"/>
  <c r="CR171" i="4"/>
  <c r="CK171" i="4"/>
  <c r="DF171" i="4"/>
  <c r="CY171" i="4"/>
  <c r="FZ171" i="4"/>
  <c r="FO171" i="4"/>
  <c r="GJ171" i="4"/>
  <c r="GC171" i="4"/>
  <c r="FX171" i="4"/>
  <c r="EM171" i="4"/>
  <c r="FH171" i="4"/>
  <c r="FA171" i="4"/>
  <c r="EX171" i="4"/>
  <c r="CI171" i="4"/>
  <c r="DD171" i="4"/>
  <c r="CW171" i="4"/>
  <c r="DV171" i="4"/>
  <c r="DK171" i="4"/>
  <c r="EF171" i="4"/>
  <c r="EV171" i="4"/>
  <c r="EM284" i="4"/>
  <c r="FH284" i="4"/>
  <c r="ET284" i="4"/>
  <c r="FX284" i="4"/>
  <c r="DK284" i="4"/>
  <c r="EF284" i="4"/>
  <c r="EA284" i="4"/>
  <c r="FC284" i="4"/>
  <c r="CI284" i="4"/>
  <c r="DD284" i="4"/>
  <c r="DY284" i="4"/>
  <c r="CR284" i="4"/>
  <c r="FS284" i="4"/>
  <c r="GN284" i="4"/>
  <c r="GG284" i="4"/>
  <c r="DT284" i="4"/>
  <c r="EQ284" i="4"/>
  <c r="FL284" i="4"/>
  <c r="FE284" i="4"/>
  <c r="DR284" i="4"/>
  <c r="DO284" i="4"/>
  <c r="EJ284" i="4"/>
  <c r="EC284" i="4"/>
  <c r="GE284" i="4"/>
  <c r="CM284" i="4"/>
  <c r="DH284" i="4"/>
  <c r="DA284" i="4"/>
  <c r="CY284" i="4"/>
  <c r="FQ284" i="4"/>
  <c r="GL284" i="4"/>
  <c r="GC284" i="4"/>
  <c r="EO284" i="4"/>
  <c r="FJ284" i="4"/>
  <c r="EX284" i="4"/>
  <c r="CW284" i="4"/>
  <c r="DM284" i="4"/>
  <c r="EH284" i="4"/>
  <c r="DV284" i="4"/>
  <c r="FV284" i="4"/>
  <c r="FO284" i="4"/>
  <c r="GJ284" i="4"/>
  <c r="EV284" i="4"/>
  <c r="FA284" i="4"/>
  <c r="FS138" i="4"/>
  <c r="GN138" i="4"/>
  <c r="GG138" i="4"/>
  <c r="FV138" i="4"/>
  <c r="EQ138" i="4"/>
  <c r="FL138" i="4"/>
  <c r="FE138" i="4"/>
  <c r="ET138" i="4"/>
  <c r="DO138" i="4"/>
  <c r="EJ138" i="4"/>
  <c r="EC138" i="4"/>
  <c r="DR138" i="4"/>
  <c r="CM138" i="4"/>
  <c r="DA138" i="4"/>
  <c r="CP138" i="4"/>
  <c r="FQ138" i="4"/>
  <c r="GL138" i="4"/>
  <c r="GE138" i="4"/>
  <c r="FX138" i="4"/>
  <c r="EO138" i="4"/>
  <c r="FJ138" i="4"/>
  <c r="FC138" i="4"/>
  <c r="EX138" i="4"/>
  <c r="DM138" i="4"/>
  <c r="EH138" i="4"/>
  <c r="EA138" i="4"/>
  <c r="EV138" i="4"/>
  <c r="CK138" i="4"/>
  <c r="CY138" i="4"/>
  <c r="DV138" i="4"/>
  <c r="FO138" i="4"/>
  <c r="GJ138" i="4"/>
  <c r="GC138" i="4"/>
  <c r="DT138" i="4"/>
  <c r="EM138" i="4"/>
  <c r="FH138" i="4"/>
  <c r="FA138" i="4"/>
  <c r="CT138" i="4"/>
  <c r="CI138" i="4"/>
  <c r="DD138" i="4"/>
  <c r="CW138" i="4"/>
  <c r="FZ138" i="4"/>
  <c r="DK138" i="4"/>
  <c r="EF138" i="4"/>
  <c r="DY138" i="4"/>
  <c r="CR138" i="4"/>
  <c r="FQ294" i="4"/>
  <c r="FS294" i="4"/>
  <c r="GN294" i="4"/>
  <c r="GC294" i="4"/>
  <c r="EO294" i="4"/>
  <c r="FC294" i="4"/>
  <c r="ET294" i="4"/>
  <c r="DM294" i="4"/>
  <c r="CT294" i="4"/>
  <c r="DT294" i="4"/>
  <c r="DF294" i="4"/>
  <c r="CK294" i="4"/>
  <c r="FL294" i="4"/>
  <c r="GL294" i="4"/>
  <c r="EH294" i="4"/>
  <c r="FO294" i="4"/>
  <c r="EA294" i="4"/>
  <c r="FA294" i="4"/>
  <c r="DA294" i="4"/>
  <c r="EM294" i="4"/>
  <c r="CR294" i="4"/>
  <c r="DR294" i="4"/>
  <c r="CY294" i="4"/>
  <c r="DK294" i="4"/>
  <c r="FJ294" i="4"/>
  <c r="GG294" i="4"/>
  <c r="CW294" i="4"/>
  <c r="CI294" i="4"/>
  <c r="EX294" i="4"/>
  <c r="FZ294" i="4"/>
  <c r="GJ294" i="4"/>
  <c r="CP294" i="4"/>
  <c r="DO294" i="4"/>
  <c r="FX294" i="4"/>
  <c r="FH294" i="4"/>
  <c r="FE294" i="4"/>
  <c r="GE294" i="4"/>
  <c r="FV294" i="4"/>
  <c r="DD294" i="4"/>
  <c r="CM294" i="4"/>
  <c r="DH294" i="4"/>
  <c r="EQ294" i="4"/>
  <c r="EF294" i="4"/>
  <c r="DV294" i="4"/>
  <c r="EV294" i="4"/>
  <c r="EJ294" i="4"/>
  <c r="FQ300" i="4"/>
  <c r="FS300" i="4"/>
  <c r="GN300" i="4"/>
  <c r="GC300" i="4"/>
  <c r="EO300" i="4"/>
  <c r="FC300" i="4"/>
  <c r="ET300" i="4"/>
  <c r="DM300" i="4"/>
  <c r="CT300" i="4"/>
  <c r="DT300" i="4"/>
  <c r="DF300" i="4"/>
  <c r="CK300" i="4"/>
  <c r="FL300" i="4"/>
  <c r="GL300" i="4"/>
  <c r="CW300" i="4"/>
  <c r="FO300" i="4"/>
  <c r="FA300" i="4"/>
  <c r="FZ300" i="4"/>
  <c r="EM300" i="4"/>
  <c r="CR300" i="4"/>
  <c r="DR300" i="4"/>
  <c r="FX300" i="4"/>
  <c r="DK300" i="4"/>
  <c r="FJ300" i="4"/>
  <c r="GG300" i="4"/>
  <c r="FV300" i="4"/>
  <c r="CI300" i="4"/>
  <c r="DY300" i="4"/>
  <c r="EX300" i="4"/>
  <c r="EQ300" i="4"/>
  <c r="GJ300" i="4"/>
  <c r="CP300" i="4"/>
  <c r="DO300" i="4"/>
  <c r="EJ300" i="4"/>
  <c r="FH300" i="4"/>
  <c r="FE300" i="4"/>
  <c r="GE300" i="4"/>
  <c r="EH300" i="4"/>
  <c r="DD300" i="4"/>
  <c r="CM300" i="4"/>
  <c r="DH300" i="4"/>
  <c r="DA300" i="4"/>
  <c r="CY300" i="4"/>
  <c r="EF300" i="4"/>
  <c r="EV300" i="4"/>
  <c r="FQ184" i="4"/>
  <c r="GL184" i="4"/>
  <c r="GE184" i="4"/>
  <c r="CP184" i="4"/>
  <c r="EO184" i="4"/>
  <c r="FJ184" i="4"/>
  <c r="FC184" i="4"/>
  <c r="CM184" i="4"/>
  <c r="DM184" i="4"/>
  <c r="EH184" i="4"/>
  <c r="EA184" i="4"/>
  <c r="GC184" i="4"/>
  <c r="CK184" i="4"/>
  <c r="DF184" i="4"/>
  <c r="CY184" i="4"/>
  <c r="FV184" i="4"/>
  <c r="FO184" i="4"/>
  <c r="GJ184" i="4"/>
  <c r="FS184" i="4"/>
  <c r="EM184" i="4"/>
  <c r="FH184" i="4"/>
  <c r="EX184" i="4"/>
  <c r="FA184" i="4"/>
  <c r="DK184" i="4"/>
  <c r="EF184" i="4"/>
  <c r="DV184" i="4"/>
  <c r="ET184" i="4"/>
  <c r="CI184" i="4"/>
  <c r="DD184" i="4"/>
  <c r="CT184" i="4"/>
  <c r="EQ184" i="4"/>
  <c r="GN184" i="4"/>
  <c r="GG184" i="4"/>
  <c r="FX184" i="4"/>
  <c r="DY184" i="4"/>
  <c r="FL184" i="4"/>
  <c r="FE184" i="4"/>
  <c r="EV184" i="4"/>
  <c r="DR184" i="4"/>
  <c r="DH184" i="4"/>
  <c r="DA184" i="4"/>
  <c r="CR184" i="4"/>
  <c r="CW184" i="4"/>
  <c r="EJ184" i="4"/>
  <c r="EC184" i="4"/>
  <c r="DT184" i="4"/>
  <c r="DO184" i="4"/>
  <c r="FH44" i="4"/>
  <c r="FA44" i="4"/>
  <c r="CK44" i="4"/>
  <c r="FS44" i="4"/>
  <c r="EF44" i="4"/>
  <c r="DY44" i="4"/>
  <c r="EX44" i="4"/>
  <c r="CP44" i="4"/>
  <c r="DD44" i="4"/>
  <c r="CW44" i="4"/>
  <c r="ET44" i="4"/>
  <c r="CM44" i="4"/>
  <c r="GN44" i="4"/>
  <c r="GG44" i="4"/>
  <c r="FX44" i="4"/>
  <c r="EQ44" i="4"/>
  <c r="FL44" i="4"/>
  <c r="FE44" i="4"/>
  <c r="EV44" i="4"/>
  <c r="EO44" i="4"/>
  <c r="EJ44" i="4"/>
  <c r="DV44" i="4"/>
  <c r="DH44" i="4"/>
  <c r="DA44" i="4"/>
  <c r="CR44" i="4"/>
  <c r="DR44" i="4"/>
  <c r="GL44" i="4"/>
  <c r="GE44" i="4"/>
  <c r="FO44" i="4"/>
  <c r="DO44" i="4"/>
  <c r="FJ44" i="4"/>
  <c r="FC44" i="4"/>
  <c r="EM44" i="4"/>
  <c r="DM44" i="4"/>
  <c r="EH44" i="4"/>
  <c r="DK44" i="4"/>
  <c r="FZ44" i="4"/>
  <c r="GJ44" i="4"/>
  <c r="GC44" i="4"/>
  <c r="FQ44" i="4"/>
  <c r="FV44" i="4"/>
  <c r="EM168" i="4"/>
  <c r="FH168" i="4"/>
  <c r="FA168" i="4"/>
  <c r="DT168" i="4"/>
  <c r="DK168" i="4"/>
  <c r="EF168" i="4"/>
  <c r="DY168" i="4"/>
  <c r="CT168" i="4"/>
  <c r="CI168" i="4"/>
  <c r="DD168" i="4"/>
  <c r="CW168" i="4"/>
  <c r="CR168" i="4"/>
  <c r="FS168" i="4"/>
  <c r="GN168" i="4"/>
  <c r="GG168" i="4"/>
  <c r="FV168" i="4"/>
  <c r="EQ168" i="4"/>
  <c r="FL168" i="4"/>
  <c r="FE168" i="4"/>
  <c r="ET168" i="4"/>
  <c r="DO168" i="4"/>
  <c r="EJ168" i="4"/>
  <c r="DR168" i="4"/>
  <c r="CM168" i="4"/>
  <c r="DH168" i="4"/>
  <c r="DA168" i="4"/>
  <c r="CP168" i="4"/>
  <c r="FQ168" i="4"/>
  <c r="GL168" i="4"/>
  <c r="GE168" i="4"/>
  <c r="FZ168" i="4"/>
  <c r="EO168" i="4"/>
  <c r="FJ168" i="4"/>
  <c r="FC168" i="4"/>
  <c r="FX168" i="4"/>
  <c r="DM168" i="4"/>
  <c r="EH168" i="4"/>
  <c r="EA168" i="4"/>
  <c r="EX168" i="4"/>
  <c r="FO168" i="4"/>
  <c r="GJ168" i="4"/>
  <c r="GC168" i="4"/>
  <c r="DV168" i="4"/>
  <c r="FJ299" i="4"/>
  <c r="FC299" i="4"/>
  <c r="EV299" i="4"/>
  <c r="DM299" i="4"/>
  <c r="EH299" i="4"/>
  <c r="EA299" i="4"/>
  <c r="DT299" i="4"/>
  <c r="CM299" i="4"/>
  <c r="DF299" i="4"/>
  <c r="CY299" i="4"/>
  <c r="CR299" i="4"/>
  <c r="CP299" i="4"/>
  <c r="FO299" i="4"/>
  <c r="GJ299" i="4"/>
  <c r="GC299" i="4"/>
  <c r="CK299" i="4"/>
  <c r="EM299" i="4"/>
  <c r="FH299" i="4"/>
  <c r="FA299" i="4"/>
  <c r="FV299" i="4"/>
  <c r="DK299" i="4"/>
  <c r="EF299" i="4"/>
  <c r="FS299" i="4"/>
  <c r="CI299" i="4"/>
  <c r="DD299" i="4"/>
  <c r="CW299" i="4"/>
  <c r="FQ299" i="4"/>
  <c r="GN299" i="4"/>
  <c r="GG299" i="4"/>
  <c r="FZ299" i="4"/>
  <c r="ET299" i="4"/>
  <c r="FL299" i="4"/>
  <c r="FE299" i="4"/>
  <c r="EX299" i="4"/>
  <c r="EQ299" i="4"/>
  <c r="EJ299" i="4"/>
  <c r="DV299" i="4"/>
  <c r="EO299" i="4"/>
  <c r="GL299" i="4"/>
  <c r="GE299" i="4"/>
  <c r="FX299" i="4"/>
  <c r="DO299" i="4"/>
  <c r="GL162" i="4"/>
  <c r="GE162" i="4"/>
  <c r="CR162" i="4"/>
  <c r="CP162" i="4"/>
  <c r="FJ162" i="4"/>
  <c r="FC162" i="4"/>
  <c r="FS162" i="4"/>
  <c r="EQ162" i="4"/>
  <c r="EH162" i="4"/>
  <c r="EA162" i="4"/>
  <c r="DO162" i="4"/>
  <c r="CM162" i="4"/>
  <c r="DF162" i="4"/>
  <c r="FQ162" i="4"/>
  <c r="EO162" i="4"/>
  <c r="GJ162" i="4"/>
  <c r="GC162" i="4"/>
  <c r="DM162" i="4"/>
  <c r="CK162" i="4"/>
  <c r="FH162" i="4"/>
  <c r="FA162" i="4"/>
  <c r="FO162" i="4"/>
  <c r="EM162" i="4"/>
  <c r="EF162" i="4"/>
  <c r="DY162" i="4"/>
  <c r="DK162" i="4"/>
  <c r="CI162" i="4"/>
  <c r="DD162" i="4"/>
  <c r="CW162" i="4"/>
  <c r="FL162" i="4"/>
  <c r="EJ162" i="4"/>
  <c r="GG162" i="4"/>
  <c r="FZ162" i="4"/>
  <c r="DH162" i="4"/>
  <c r="FV162" i="4"/>
  <c r="FE162" i="4"/>
  <c r="FX162" i="4"/>
  <c r="EX162" i="4"/>
  <c r="DR162" i="4"/>
  <c r="DT162" i="4"/>
  <c r="ET162" i="4"/>
  <c r="DV162" i="4"/>
  <c r="EC162" i="4"/>
  <c r="EV162" i="4"/>
  <c r="CT162" i="4"/>
  <c r="GN162" i="4"/>
  <c r="EM139" i="4"/>
  <c r="FH139" i="4"/>
  <c r="FA139" i="4"/>
  <c r="EX139" i="4"/>
  <c r="DK139" i="4"/>
  <c r="EF139" i="4"/>
  <c r="DY139" i="4"/>
  <c r="EV139" i="4"/>
  <c r="DD139" i="4"/>
  <c r="CW139" i="4"/>
  <c r="DV139" i="4"/>
  <c r="FS139" i="4"/>
  <c r="GN139" i="4"/>
  <c r="GG139" i="4"/>
  <c r="FV139" i="4"/>
  <c r="EQ139" i="4"/>
  <c r="FL139" i="4"/>
  <c r="FE139" i="4"/>
  <c r="ET139" i="4"/>
  <c r="DO139" i="4"/>
  <c r="EJ139" i="4"/>
  <c r="EC139" i="4"/>
  <c r="DR139" i="4"/>
  <c r="CM139" i="4"/>
  <c r="DH139" i="4"/>
  <c r="DA139" i="4"/>
  <c r="CP139" i="4"/>
  <c r="FQ139" i="4"/>
  <c r="GL139" i="4"/>
  <c r="GE139" i="4"/>
  <c r="DT139" i="4"/>
  <c r="EO139" i="4"/>
  <c r="FJ139" i="4"/>
  <c r="FC139" i="4"/>
  <c r="CT139" i="4"/>
  <c r="DM139" i="4"/>
  <c r="EH139" i="4"/>
  <c r="EA139" i="4"/>
  <c r="CR139" i="4"/>
  <c r="FO139" i="4"/>
  <c r="GJ139" i="4"/>
  <c r="GC139" i="4"/>
  <c r="FX139" i="4"/>
  <c r="CC92" i="4"/>
  <c r="FS92" i="4"/>
  <c r="GN92" i="4"/>
  <c r="GG92" i="4"/>
  <c r="EQ92" i="4"/>
  <c r="FL92" i="4"/>
  <c r="FE92" i="4"/>
  <c r="DV92" i="4"/>
  <c r="DO92" i="4"/>
  <c r="EJ92" i="4"/>
  <c r="DT92" i="4"/>
  <c r="CM92" i="4"/>
  <c r="DH92" i="4"/>
  <c r="DA92" i="4"/>
  <c r="CY92" i="4"/>
  <c r="FQ92" i="4"/>
  <c r="GL92" i="4"/>
  <c r="GC92" i="4"/>
  <c r="CT92" i="4"/>
  <c r="EO92" i="4"/>
  <c r="FJ92" i="4"/>
  <c r="FA92" i="4"/>
  <c r="CR92" i="4"/>
  <c r="DM92" i="4"/>
  <c r="EH92" i="4"/>
  <c r="DY92" i="4"/>
  <c r="GE92" i="4"/>
  <c r="CK92" i="4"/>
  <c r="DF92" i="4"/>
  <c r="CW92" i="4"/>
  <c r="FZ92" i="4"/>
  <c r="FO92" i="4"/>
  <c r="GJ92" i="4"/>
  <c r="FV92" i="4"/>
  <c r="FX92" i="4"/>
  <c r="EM92" i="4"/>
  <c r="FH92" i="4"/>
  <c r="ET92" i="4"/>
  <c r="FC92" i="4"/>
  <c r="CI92" i="4"/>
  <c r="DD92" i="4"/>
  <c r="CP92" i="4"/>
  <c r="EV92" i="4"/>
  <c r="DK92" i="4"/>
  <c r="EF92" i="4"/>
  <c r="DR92" i="4"/>
  <c r="EX92" i="4"/>
  <c r="L148" i="4"/>
  <c r="L274" i="4"/>
  <c r="L75" i="4"/>
  <c r="GN218" i="4"/>
  <c r="GG218" i="4"/>
  <c r="FZ218" i="4"/>
  <c r="DM218" i="4"/>
  <c r="FL218" i="4"/>
  <c r="FE218" i="4"/>
  <c r="EH218" i="4"/>
  <c r="EA218" i="4"/>
  <c r="DT218" i="4"/>
  <c r="FQ218" i="4"/>
  <c r="DF218" i="4"/>
  <c r="EC218" i="4"/>
  <c r="EV218" i="4"/>
  <c r="EQ218" i="4"/>
  <c r="CR218" i="4"/>
  <c r="EO218" i="4"/>
  <c r="GE218" i="4"/>
  <c r="FO218" i="4"/>
  <c r="DR218" i="4"/>
  <c r="FC218" i="4"/>
  <c r="EM218" i="4"/>
  <c r="DO218" i="4"/>
  <c r="EJ218" i="4"/>
  <c r="GC218" i="4"/>
  <c r="DK218" i="4"/>
  <c r="DH218" i="4"/>
  <c r="FA218" i="4"/>
  <c r="CI218" i="4"/>
  <c r="GL218" i="4"/>
  <c r="DY218" i="4"/>
  <c r="CP218" i="4"/>
  <c r="FJ218" i="4"/>
  <c r="CW218" i="4"/>
  <c r="CM218" i="4"/>
  <c r="GJ218" i="4"/>
  <c r="EX218" i="4"/>
  <c r="CK218" i="4"/>
  <c r="FH218" i="4"/>
  <c r="DV218" i="4"/>
  <c r="FV218" i="4"/>
  <c r="DD218" i="4"/>
  <c r="FX218" i="4"/>
  <c r="ET218" i="4"/>
  <c r="FE106" i="4"/>
  <c r="EX106" i="4"/>
  <c r="EO106" i="4"/>
  <c r="DK106" i="4"/>
  <c r="EC106" i="4"/>
  <c r="DV106" i="4"/>
  <c r="DM106" i="4"/>
  <c r="CM106" i="4"/>
  <c r="DA106" i="4"/>
  <c r="CT106" i="4"/>
  <c r="CK106" i="4"/>
  <c r="CI106" i="4"/>
  <c r="GL106" i="4"/>
  <c r="GE106" i="4"/>
  <c r="FX106" i="4"/>
  <c r="GN106" i="4"/>
  <c r="FJ106" i="4"/>
  <c r="FC106" i="4"/>
  <c r="EV106" i="4"/>
  <c r="FL106" i="4"/>
  <c r="EH106" i="4"/>
  <c r="DT106" i="4"/>
  <c r="EJ106" i="4"/>
  <c r="DF106" i="4"/>
  <c r="CY106" i="4"/>
  <c r="CR106" i="4"/>
  <c r="DH106" i="4"/>
  <c r="GJ106" i="4"/>
  <c r="GC106" i="4"/>
  <c r="FV106" i="4"/>
  <c r="FS106" i="4"/>
  <c r="FH106" i="4"/>
  <c r="FA106" i="4"/>
  <c r="ET106" i="4"/>
  <c r="FO106" i="4"/>
  <c r="EF106" i="4"/>
  <c r="DR106" i="4"/>
  <c r="EQ106" i="4"/>
  <c r="GG106" i="4"/>
  <c r="FZ106" i="4"/>
  <c r="FQ106" i="4"/>
  <c r="DO106" i="4"/>
  <c r="FQ176" i="4"/>
  <c r="GL176" i="4"/>
  <c r="GE176" i="4"/>
  <c r="ET176" i="4"/>
  <c r="EO176" i="4"/>
  <c r="FJ176" i="4"/>
  <c r="FC176" i="4"/>
  <c r="EQ176" i="4"/>
  <c r="DM176" i="4"/>
  <c r="EH176" i="4"/>
  <c r="DK176" i="4"/>
  <c r="EF176" i="4"/>
  <c r="FA176" i="4"/>
  <c r="CW176" i="4"/>
  <c r="CI176" i="4"/>
  <c r="DD176" i="4"/>
  <c r="CR176" i="4"/>
  <c r="FZ176" i="4"/>
  <c r="GN176" i="4"/>
  <c r="GG176" i="4"/>
  <c r="EX176" i="4"/>
  <c r="FX176" i="4"/>
  <c r="EM176" i="4"/>
  <c r="CT176" i="4"/>
  <c r="FL176" i="4"/>
  <c r="CP176" i="4"/>
  <c r="EJ176" i="4"/>
  <c r="EV176" i="4"/>
  <c r="DH176" i="4"/>
  <c r="CM176" i="4"/>
  <c r="DF176" i="4"/>
  <c r="DV176" i="4"/>
  <c r="GJ176" i="4"/>
  <c r="GC176" i="4"/>
  <c r="FH176" i="4"/>
  <c r="DT176" i="4"/>
  <c r="FE176" i="4"/>
  <c r="FV176" i="4"/>
  <c r="EC176" i="4"/>
  <c r="DO176" i="4"/>
  <c r="DA176" i="4"/>
  <c r="DR176" i="4"/>
  <c r="FO176" i="4"/>
  <c r="FS176" i="4"/>
  <c r="GL99" i="4"/>
  <c r="GE99" i="4"/>
  <c r="FX99" i="4"/>
  <c r="FQ99" i="4"/>
  <c r="FJ99" i="4"/>
  <c r="FC99" i="4"/>
  <c r="EV99" i="4"/>
  <c r="EO99" i="4"/>
  <c r="EA99" i="4"/>
  <c r="DT99" i="4"/>
  <c r="DM99" i="4"/>
  <c r="DF99" i="4"/>
  <c r="CY99" i="4"/>
  <c r="CR99" i="4"/>
  <c r="CK99" i="4"/>
  <c r="GJ99" i="4"/>
  <c r="GC99" i="4"/>
  <c r="FV99" i="4"/>
  <c r="GN99" i="4"/>
  <c r="FH99" i="4"/>
  <c r="FA99" i="4"/>
  <c r="ET99" i="4"/>
  <c r="FL99" i="4"/>
  <c r="DY99" i="4"/>
  <c r="DR99" i="4"/>
  <c r="EJ99" i="4"/>
  <c r="DD99" i="4"/>
  <c r="CW99" i="4"/>
  <c r="CP99" i="4"/>
  <c r="DH99" i="4"/>
  <c r="GG99" i="4"/>
  <c r="FZ99" i="4"/>
  <c r="FS99" i="4"/>
  <c r="FO99" i="4"/>
  <c r="FE99" i="4"/>
  <c r="EX99" i="4"/>
  <c r="EQ99" i="4"/>
  <c r="EM99" i="4"/>
  <c r="DA99" i="4"/>
  <c r="CT99" i="4"/>
  <c r="CM99" i="4"/>
  <c r="CI99" i="4"/>
  <c r="EC99" i="4"/>
  <c r="DV99" i="4"/>
  <c r="DO99" i="4"/>
  <c r="DK99" i="4"/>
  <c r="CG40" i="4"/>
  <c r="EM40" i="4"/>
  <c r="FH40" i="4"/>
  <c r="FA40" i="4"/>
  <c r="EX40" i="4"/>
  <c r="DK40" i="4"/>
  <c r="EF40" i="4"/>
  <c r="DY40" i="4"/>
  <c r="EV40" i="4"/>
  <c r="CI40" i="4"/>
  <c r="DD40" i="4"/>
  <c r="CW40" i="4"/>
  <c r="DV40" i="4"/>
  <c r="FS40" i="4"/>
  <c r="GN40" i="4"/>
  <c r="GG40" i="4"/>
  <c r="FV40" i="4"/>
  <c r="EQ40" i="4"/>
  <c r="FL40" i="4"/>
  <c r="FE40" i="4"/>
  <c r="ET40" i="4"/>
  <c r="DO40" i="4"/>
  <c r="EJ40" i="4"/>
  <c r="EC40" i="4"/>
  <c r="CM40" i="4"/>
  <c r="DH40" i="4"/>
  <c r="DA40" i="4"/>
  <c r="CP40" i="4"/>
  <c r="FQ40" i="4"/>
  <c r="GL40" i="4"/>
  <c r="GE40" i="4"/>
  <c r="EO40" i="4"/>
  <c r="FJ40" i="4"/>
  <c r="FC40" i="4"/>
  <c r="CT40" i="4"/>
  <c r="DM40" i="4"/>
  <c r="EH40" i="4"/>
  <c r="EA40" i="4"/>
  <c r="CR40" i="4"/>
  <c r="FO40" i="4"/>
  <c r="GJ40" i="4"/>
  <c r="GC40" i="4"/>
  <c r="FX40" i="4"/>
  <c r="GN132" i="4"/>
  <c r="CP132" i="4"/>
  <c r="FL132" i="4"/>
  <c r="GJ132" i="4"/>
  <c r="FV132" i="4"/>
  <c r="FH132" i="4"/>
  <c r="EJ132" i="4"/>
  <c r="EV132" i="4"/>
  <c r="EM132" i="4"/>
  <c r="DV132" i="4"/>
  <c r="DH132" i="4"/>
  <c r="DM132" i="4"/>
  <c r="CM132" i="4"/>
  <c r="GL132" i="4"/>
  <c r="GG132" i="4"/>
  <c r="FS132" i="4"/>
  <c r="FE132" i="4"/>
  <c r="FJ132" i="4"/>
  <c r="ET132" i="4"/>
  <c r="EF132" i="4"/>
  <c r="DT132" i="4"/>
  <c r="EH132" i="4"/>
  <c r="DK132" i="4"/>
  <c r="CT132" i="4"/>
  <c r="CK132" i="4"/>
  <c r="DF132" i="4"/>
  <c r="FZ132" i="4"/>
  <c r="FQ132" i="4"/>
  <c r="FC132" i="4"/>
  <c r="GE132" i="4"/>
  <c r="EQ132" i="4"/>
  <c r="EC132" i="4"/>
  <c r="EX132" i="4"/>
  <c r="GC132" i="4"/>
  <c r="DD132" i="4"/>
  <c r="CR132" i="4"/>
  <c r="DR132" i="4"/>
  <c r="DY132" i="4"/>
  <c r="EO132" i="4"/>
  <c r="EA132" i="4"/>
  <c r="CI132" i="4"/>
  <c r="FA132" i="4"/>
  <c r="FX132" i="4"/>
  <c r="FO132" i="4"/>
  <c r="DO132" i="4"/>
  <c r="CI77" i="4"/>
  <c r="DD77" i="4"/>
  <c r="CW77" i="4"/>
  <c r="FZ77" i="4"/>
  <c r="EO77" i="4"/>
  <c r="FJ77" i="4"/>
  <c r="FC77" i="4"/>
  <c r="EX77" i="4"/>
  <c r="FL77" i="4"/>
  <c r="DA77" i="4"/>
  <c r="EV77" i="4"/>
  <c r="FS77" i="4"/>
  <c r="EJ77" i="4"/>
  <c r="GE77" i="4"/>
  <c r="DV77" i="4"/>
  <c r="EQ77" i="4"/>
  <c r="DH77" i="4"/>
  <c r="DT77" i="4"/>
  <c r="DO77" i="4"/>
  <c r="GL77" i="4"/>
  <c r="CY77" i="4"/>
  <c r="CT77" i="4"/>
  <c r="CM77" i="4"/>
  <c r="EH77" i="4"/>
  <c r="GC77" i="4"/>
  <c r="CR77" i="4"/>
  <c r="FQ77" i="4"/>
  <c r="DF77" i="4"/>
  <c r="FA77" i="4"/>
  <c r="DM77" i="4"/>
  <c r="GJ77" i="4"/>
  <c r="CK77" i="4"/>
  <c r="FH77" i="4"/>
  <c r="FV77" i="4"/>
  <c r="FO77" i="4"/>
  <c r="EF77" i="4"/>
  <c r="ET77" i="4"/>
  <c r="EM77" i="4"/>
  <c r="GG77" i="4"/>
  <c r="DR77" i="4"/>
  <c r="GN77" i="4"/>
  <c r="FX77" i="4"/>
  <c r="CP77" i="4"/>
  <c r="FE77" i="4"/>
  <c r="FS125" i="4"/>
  <c r="GN125" i="4"/>
  <c r="GG125" i="4"/>
  <c r="FV125" i="4"/>
  <c r="EQ125" i="4"/>
  <c r="FL125" i="4"/>
  <c r="FE125" i="4"/>
  <c r="ET125" i="4"/>
  <c r="DO125" i="4"/>
  <c r="EJ125" i="4"/>
  <c r="DR125" i="4"/>
  <c r="CM125" i="4"/>
  <c r="DH125" i="4"/>
  <c r="DA125" i="4"/>
  <c r="CP125" i="4"/>
  <c r="FQ125" i="4"/>
  <c r="GL125" i="4"/>
  <c r="GE125" i="4"/>
  <c r="FX125" i="4"/>
  <c r="EO125" i="4"/>
  <c r="FJ125" i="4"/>
  <c r="FC125" i="4"/>
  <c r="EX125" i="4"/>
  <c r="DM125" i="4"/>
  <c r="EH125" i="4"/>
  <c r="EA125" i="4"/>
  <c r="EV125" i="4"/>
  <c r="CK125" i="4"/>
  <c r="DF125" i="4"/>
  <c r="CY125" i="4"/>
  <c r="DV125" i="4"/>
  <c r="FO125" i="4"/>
  <c r="GJ125" i="4"/>
  <c r="GC125" i="4"/>
  <c r="DT125" i="4"/>
  <c r="EM125" i="4"/>
  <c r="FH125" i="4"/>
  <c r="FA125" i="4"/>
  <c r="CT125" i="4"/>
  <c r="CI125" i="4"/>
  <c r="DD125" i="4"/>
  <c r="CW125" i="4"/>
  <c r="FZ125" i="4"/>
  <c r="CR125" i="4"/>
  <c r="DK125" i="4"/>
  <c r="FQ301" i="4"/>
  <c r="FX301" i="4"/>
  <c r="FA301" i="4"/>
  <c r="EO301" i="4"/>
  <c r="DD301" i="4"/>
  <c r="EC301" i="4"/>
  <c r="DO301" i="4"/>
  <c r="DM301" i="4"/>
  <c r="GE301" i="4"/>
  <c r="CP301" i="4"/>
  <c r="EX301" i="4"/>
  <c r="CK301" i="4"/>
  <c r="FC301" i="4"/>
  <c r="FV301" i="4"/>
  <c r="DH301" i="4"/>
  <c r="FO301" i="4"/>
  <c r="EA301" i="4"/>
  <c r="DY301" i="4"/>
  <c r="GG301" i="4"/>
  <c r="EM301" i="4"/>
  <c r="CY301" i="4"/>
  <c r="CM301" i="4"/>
  <c r="EV301" i="4"/>
  <c r="DK301" i="4"/>
  <c r="GC301" i="4"/>
  <c r="FS301" i="4"/>
  <c r="ET301" i="4"/>
  <c r="CI301" i="4"/>
  <c r="EJ301" i="4"/>
  <c r="DV301" i="4"/>
  <c r="EQ301" i="4"/>
  <c r="GL301" i="4"/>
  <c r="CT301" i="4"/>
  <c r="FL301" i="4"/>
  <c r="DF301" i="4"/>
  <c r="FJ301" i="4"/>
  <c r="FZ301" i="4"/>
  <c r="DT301" i="4"/>
  <c r="DA301" i="4"/>
  <c r="FH301" i="4"/>
  <c r="CR301" i="4"/>
  <c r="DR301" i="4"/>
  <c r="GN301" i="4"/>
  <c r="GJ301" i="4"/>
  <c r="EH301" i="4"/>
  <c r="FE301" i="4"/>
  <c r="CW301" i="4"/>
  <c r="EM137" i="4"/>
  <c r="FH137" i="4"/>
  <c r="FA137" i="4"/>
  <c r="DT137" i="4"/>
  <c r="DK137" i="4"/>
  <c r="EF137" i="4"/>
  <c r="CT137" i="4"/>
  <c r="CI137" i="4"/>
  <c r="DD137" i="4"/>
  <c r="CW137" i="4"/>
  <c r="CR137" i="4"/>
  <c r="FS137" i="4"/>
  <c r="GN137" i="4"/>
  <c r="GG137" i="4"/>
  <c r="FV137" i="4"/>
  <c r="EQ137" i="4"/>
  <c r="FL137" i="4"/>
  <c r="FE137" i="4"/>
  <c r="ET137" i="4"/>
  <c r="DO137" i="4"/>
  <c r="EJ137" i="4"/>
  <c r="EC137" i="4"/>
  <c r="DR137" i="4"/>
  <c r="CM137" i="4"/>
  <c r="DH137" i="4"/>
  <c r="DA137" i="4"/>
  <c r="CP137" i="4"/>
  <c r="FQ137" i="4"/>
  <c r="GL137" i="4"/>
  <c r="GE137" i="4"/>
  <c r="FZ137" i="4"/>
  <c r="EO137" i="4"/>
  <c r="FJ137" i="4"/>
  <c r="FC137" i="4"/>
  <c r="FX137" i="4"/>
  <c r="DM137" i="4"/>
  <c r="EH137" i="4"/>
  <c r="EX137" i="4"/>
  <c r="FO137" i="4"/>
  <c r="GJ137" i="4"/>
  <c r="GC137" i="4"/>
  <c r="DV137" i="4"/>
  <c r="EM205" i="4"/>
  <c r="DD205" i="4"/>
  <c r="CY205" i="4"/>
  <c r="GE205" i="4"/>
  <c r="DK205" i="4"/>
  <c r="GG205" i="4"/>
  <c r="FA205" i="4"/>
  <c r="EH205" i="4"/>
  <c r="CI205" i="4"/>
  <c r="FE205" i="4"/>
  <c r="CW205" i="4"/>
  <c r="FS205" i="4"/>
  <c r="GN205" i="4"/>
  <c r="EC205" i="4"/>
  <c r="EX205" i="4"/>
  <c r="EQ205" i="4"/>
  <c r="FL205" i="4"/>
  <c r="DA205" i="4"/>
  <c r="CT205" i="4"/>
  <c r="DO205" i="4"/>
  <c r="EJ205" i="4"/>
  <c r="FZ205" i="4"/>
  <c r="EV205" i="4"/>
  <c r="CM205" i="4"/>
  <c r="DH205" i="4"/>
  <c r="DT205" i="4"/>
  <c r="CR205" i="4"/>
  <c r="FQ205" i="4"/>
  <c r="GL205" i="4"/>
  <c r="FX205" i="4"/>
  <c r="ET205" i="4"/>
  <c r="EO205" i="4"/>
  <c r="FJ205" i="4"/>
  <c r="DR205" i="4"/>
  <c r="CP205" i="4"/>
  <c r="DM205" i="4"/>
  <c r="GJ205" i="4"/>
  <c r="FV205" i="4"/>
  <c r="FO205" i="4"/>
  <c r="EF205" i="4"/>
  <c r="FC205" i="4"/>
  <c r="DV205" i="4"/>
  <c r="GL361" i="4"/>
  <c r="GE361" i="4"/>
  <c r="FX361" i="4"/>
  <c r="FQ361" i="4"/>
  <c r="FJ361" i="4"/>
  <c r="FC361" i="4"/>
  <c r="EV361" i="4"/>
  <c r="EO361" i="4"/>
  <c r="EH361" i="4"/>
  <c r="EA361" i="4"/>
  <c r="DT361" i="4"/>
  <c r="DM361" i="4"/>
  <c r="DF361" i="4"/>
  <c r="CR361" i="4"/>
  <c r="CK361" i="4"/>
  <c r="GJ361" i="4"/>
  <c r="GC361" i="4"/>
  <c r="FV361" i="4"/>
  <c r="GN361" i="4"/>
  <c r="FH361" i="4"/>
  <c r="FA361" i="4"/>
  <c r="ET361" i="4"/>
  <c r="FL361" i="4"/>
  <c r="EF361" i="4"/>
  <c r="DY361" i="4"/>
  <c r="DR361" i="4"/>
  <c r="EJ361" i="4"/>
  <c r="DD361" i="4"/>
  <c r="CP361" i="4"/>
  <c r="DH361" i="4"/>
  <c r="GG361" i="4"/>
  <c r="FZ361" i="4"/>
  <c r="FS361" i="4"/>
  <c r="DK361" i="4"/>
  <c r="FE361" i="4"/>
  <c r="EX361" i="4"/>
  <c r="EQ361" i="4"/>
  <c r="CI361" i="4"/>
  <c r="DA361" i="4"/>
  <c r="CT361" i="4"/>
  <c r="CM361" i="4"/>
  <c r="FO361" i="4"/>
  <c r="EC361" i="4"/>
  <c r="DV361" i="4"/>
  <c r="DO361" i="4"/>
  <c r="EM361" i="4"/>
  <c r="CC50" i="4"/>
  <c r="EM50" i="4"/>
  <c r="FH50" i="4"/>
  <c r="FA50" i="4"/>
  <c r="CT50" i="4"/>
  <c r="DK50" i="4"/>
  <c r="EF50" i="4"/>
  <c r="DY50" i="4"/>
  <c r="CR50" i="4"/>
  <c r="CI50" i="4"/>
  <c r="DD50" i="4"/>
  <c r="CW50" i="4"/>
  <c r="FZ50" i="4"/>
  <c r="FS50" i="4"/>
  <c r="GN50" i="4"/>
  <c r="GG50" i="4"/>
  <c r="FV50" i="4"/>
  <c r="EQ50" i="4"/>
  <c r="FL50" i="4"/>
  <c r="FE50" i="4"/>
  <c r="ET50" i="4"/>
  <c r="DO50" i="4"/>
  <c r="EC50" i="4"/>
  <c r="DR50" i="4"/>
  <c r="CM50" i="4"/>
  <c r="DH50" i="4"/>
  <c r="DA50" i="4"/>
  <c r="CP50" i="4"/>
  <c r="FQ50" i="4"/>
  <c r="GL50" i="4"/>
  <c r="GE50" i="4"/>
  <c r="FX50" i="4"/>
  <c r="EO50" i="4"/>
  <c r="FJ50" i="4"/>
  <c r="FC50" i="4"/>
  <c r="EX50" i="4"/>
  <c r="DM50" i="4"/>
  <c r="EA50" i="4"/>
  <c r="EV50" i="4"/>
  <c r="FO50" i="4"/>
  <c r="GJ50" i="4"/>
  <c r="GC50" i="4"/>
  <c r="DT50" i="4"/>
  <c r="EM233" i="4"/>
  <c r="FH233" i="4"/>
  <c r="ET233" i="4"/>
  <c r="FX233" i="4"/>
  <c r="DK233" i="4"/>
  <c r="EF233" i="4"/>
  <c r="EA233" i="4"/>
  <c r="FC233" i="4"/>
  <c r="CI233" i="4"/>
  <c r="DD233" i="4"/>
  <c r="DY233" i="4"/>
  <c r="CR233" i="4"/>
  <c r="FS233" i="4"/>
  <c r="GN233" i="4"/>
  <c r="GG233" i="4"/>
  <c r="DT233" i="4"/>
  <c r="EQ233" i="4"/>
  <c r="FL233" i="4"/>
  <c r="FE233" i="4"/>
  <c r="DR233" i="4"/>
  <c r="DO233" i="4"/>
  <c r="EJ233" i="4"/>
  <c r="EC233" i="4"/>
  <c r="GE233" i="4"/>
  <c r="CM233" i="4"/>
  <c r="DH233" i="4"/>
  <c r="DA233" i="4"/>
  <c r="CY233" i="4"/>
  <c r="FQ233" i="4"/>
  <c r="GL233" i="4"/>
  <c r="GC233" i="4"/>
  <c r="EO233" i="4"/>
  <c r="FJ233" i="4"/>
  <c r="EX233" i="4"/>
  <c r="CW233" i="4"/>
  <c r="DM233" i="4"/>
  <c r="EH233" i="4"/>
  <c r="DV233" i="4"/>
  <c r="FV233" i="4"/>
  <c r="FO233" i="4"/>
  <c r="GJ233" i="4"/>
  <c r="EV233" i="4"/>
  <c r="FA233" i="4"/>
  <c r="GL108" i="4"/>
  <c r="GE108" i="4"/>
  <c r="FX108" i="4"/>
  <c r="FQ108" i="4"/>
  <c r="FJ108" i="4"/>
  <c r="FC108" i="4"/>
  <c r="EV108" i="4"/>
  <c r="EO108" i="4"/>
  <c r="EH108" i="4"/>
  <c r="EA108" i="4"/>
  <c r="DT108" i="4"/>
  <c r="DM108" i="4"/>
  <c r="DF108" i="4"/>
  <c r="CY108" i="4"/>
  <c r="CR108" i="4"/>
  <c r="CK108" i="4"/>
  <c r="GJ108" i="4"/>
  <c r="GC108" i="4"/>
  <c r="FV108" i="4"/>
  <c r="GN108" i="4"/>
  <c r="FH108" i="4"/>
  <c r="FA108" i="4"/>
  <c r="ET108" i="4"/>
  <c r="FL108" i="4"/>
  <c r="EF108" i="4"/>
  <c r="DY108" i="4"/>
  <c r="DR108" i="4"/>
  <c r="EJ108" i="4"/>
  <c r="DD108" i="4"/>
  <c r="CW108" i="4"/>
  <c r="CP108" i="4"/>
  <c r="DH108" i="4"/>
  <c r="GG108" i="4"/>
  <c r="FS108" i="4"/>
  <c r="FO108" i="4"/>
  <c r="FE108" i="4"/>
  <c r="EX108" i="4"/>
  <c r="EQ108" i="4"/>
  <c r="EM108" i="4"/>
  <c r="DA108" i="4"/>
  <c r="CT108" i="4"/>
  <c r="CM108" i="4"/>
  <c r="CI108" i="4"/>
  <c r="EC108" i="4"/>
  <c r="DV108" i="4"/>
  <c r="DO108" i="4"/>
  <c r="DK108" i="4"/>
  <c r="FJ268" i="4"/>
  <c r="FC268" i="4"/>
  <c r="CK268" i="4"/>
  <c r="EH268" i="4"/>
  <c r="EA268" i="4"/>
  <c r="DT268" i="4"/>
  <c r="ET268" i="4"/>
  <c r="DF268" i="4"/>
  <c r="CY268" i="4"/>
  <c r="DR268" i="4"/>
  <c r="EV268" i="4"/>
  <c r="FO268" i="4"/>
  <c r="GJ268" i="4"/>
  <c r="GC268" i="4"/>
  <c r="DO268" i="4"/>
  <c r="FH268" i="4"/>
  <c r="FA268" i="4"/>
  <c r="DM268" i="4"/>
  <c r="DK268" i="4"/>
  <c r="EF268" i="4"/>
  <c r="DY268" i="4"/>
  <c r="FX268" i="4"/>
  <c r="CI268" i="4"/>
  <c r="DD268" i="4"/>
  <c r="CW268" i="4"/>
  <c r="CR268" i="4"/>
  <c r="GN268" i="4"/>
  <c r="GG268" i="4"/>
  <c r="FZ268" i="4"/>
  <c r="FV268" i="4"/>
  <c r="FL268" i="4"/>
  <c r="FE268" i="4"/>
  <c r="EX268" i="4"/>
  <c r="CP268" i="4"/>
  <c r="EJ268" i="4"/>
  <c r="EC268" i="4"/>
  <c r="DV268" i="4"/>
  <c r="FS268" i="4"/>
  <c r="GL268" i="4"/>
  <c r="GE268" i="4"/>
  <c r="EQ268" i="4"/>
  <c r="FQ268" i="4"/>
  <c r="FE236" i="4"/>
  <c r="EX236" i="4"/>
  <c r="EQ236" i="4"/>
  <c r="EM236" i="4"/>
  <c r="EC236" i="4"/>
  <c r="DV236" i="4"/>
  <c r="DO236" i="4"/>
  <c r="DK236" i="4"/>
  <c r="DA236" i="4"/>
  <c r="CT236" i="4"/>
  <c r="CM236" i="4"/>
  <c r="CI236" i="4"/>
  <c r="GL236" i="4"/>
  <c r="GE236" i="4"/>
  <c r="FX236" i="4"/>
  <c r="FQ236" i="4"/>
  <c r="FJ236" i="4"/>
  <c r="FC236" i="4"/>
  <c r="EV236" i="4"/>
  <c r="EO236" i="4"/>
  <c r="EH236" i="4"/>
  <c r="EA236" i="4"/>
  <c r="DT236" i="4"/>
  <c r="DM236" i="4"/>
  <c r="DF236" i="4"/>
  <c r="CY236" i="4"/>
  <c r="CR236" i="4"/>
  <c r="CK236" i="4"/>
  <c r="GJ236" i="4"/>
  <c r="GC236" i="4"/>
  <c r="FV236" i="4"/>
  <c r="GN236" i="4"/>
  <c r="FH236" i="4"/>
  <c r="FA236" i="4"/>
  <c r="ET236" i="4"/>
  <c r="FL236" i="4"/>
  <c r="EF236" i="4"/>
  <c r="DY236" i="4"/>
  <c r="DR236" i="4"/>
  <c r="EJ236" i="4"/>
  <c r="GG236" i="4"/>
  <c r="FS236" i="4"/>
  <c r="FO236" i="4"/>
  <c r="FL187" i="4"/>
  <c r="FE187" i="4"/>
  <c r="EV187" i="4"/>
  <c r="DR187" i="4"/>
  <c r="EJ187" i="4"/>
  <c r="EC187" i="4"/>
  <c r="DT187" i="4"/>
  <c r="DO187" i="4"/>
  <c r="DH187" i="4"/>
  <c r="DA187" i="4"/>
  <c r="CW187" i="4"/>
  <c r="FQ187" i="4"/>
  <c r="GL187" i="4"/>
  <c r="GE187" i="4"/>
  <c r="CP187" i="4"/>
  <c r="EO187" i="4"/>
  <c r="FJ187" i="4"/>
  <c r="FC187" i="4"/>
  <c r="CM187" i="4"/>
  <c r="DM187" i="4"/>
  <c r="EH187" i="4"/>
  <c r="EA187" i="4"/>
  <c r="GC187" i="4"/>
  <c r="CK187" i="4"/>
  <c r="DF187" i="4"/>
  <c r="CY187" i="4"/>
  <c r="FV187" i="4"/>
  <c r="FO187" i="4"/>
  <c r="GJ187" i="4"/>
  <c r="FZ187" i="4"/>
  <c r="FS187" i="4"/>
  <c r="EM187" i="4"/>
  <c r="FH187" i="4"/>
  <c r="EX187" i="4"/>
  <c r="FA187" i="4"/>
  <c r="DK187" i="4"/>
  <c r="EF187" i="4"/>
  <c r="DV187" i="4"/>
  <c r="ET187" i="4"/>
  <c r="GN187" i="4"/>
  <c r="GG187" i="4"/>
  <c r="FX187" i="4"/>
  <c r="DY187" i="4"/>
  <c r="GN13" i="4"/>
  <c r="GG13" i="4"/>
  <c r="DY13" i="4"/>
  <c r="CR13" i="4"/>
  <c r="FL13" i="4"/>
  <c r="FE13" i="4"/>
  <c r="CW13" i="4"/>
  <c r="EJ13" i="4"/>
  <c r="EC13" i="4"/>
  <c r="FV13" i="4"/>
  <c r="FS13" i="4"/>
  <c r="DH13" i="4"/>
  <c r="DA13" i="4"/>
  <c r="FQ13" i="4"/>
  <c r="EQ13" i="4"/>
  <c r="GL13" i="4"/>
  <c r="ET13" i="4"/>
  <c r="FZ13" i="4"/>
  <c r="DO13" i="4"/>
  <c r="FJ13" i="4"/>
  <c r="CP13" i="4"/>
  <c r="EX13" i="4"/>
  <c r="CM13" i="4"/>
  <c r="EH13" i="4"/>
  <c r="GE13" i="4"/>
  <c r="DV13" i="4"/>
  <c r="EO13" i="4"/>
  <c r="DF13" i="4"/>
  <c r="FC13" i="4"/>
  <c r="CT13" i="4"/>
  <c r="FO13" i="4"/>
  <c r="GJ13" i="4"/>
  <c r="EA13" i="4"/>
  <c r="DM13" i="4"/>
  <c r="EM13" i="4"/>
  <c r="FH13" i="4"/>
  <c r="CY13" i="4"/>
  <c r="FX13" i="4"/>
  <c r="DK13" i="4"/>
  <c r="DD13" i="4"/>
  <c r="FA13" i="4"/>
  <c r="CK13" i="4"/>
  <c r="EF13" i="4"/>
  <c r="GC13" i="4"/>
  <c r="EV13" i="4"/>
  <c r="CI13" i="4"/>
  <c r="CK284" i="4"/>
  <c r="CI238" i="4"/>
  <c r="DH154" i="4"/>
  <c r="CK168" i="4"/>
  <c r="CK37" i="4"/>
  <c r="CK50" i="4"/>
  <c r="DH275" i="4"/>
  <c r="CK270" i="4"/>
  <c r="DF44" i="4"/>
  <c r="DD249" i="4"/>
  <c r="CK40" i="4"/>
  <c r="CK205" i="4"/>
  <c r="DH299" i="4"/>
  <c r="DD147" i="4"/>
  <c r="DD236" i="4"/>
  <c r="DD153" i="4"/>
  <c r="DD290" i="4"/>
  <c r="CK233" i="4"/>
  <c r="CI187" i="4"/>
  <c r="DD253" i="4"/>
  <c r="DD95" i="4"/>
  <c r="CK53" i="4"/>
  <c r="EH30" i="4"/>
  <c r="DH277" i="4"/>
  <c r="DF322" i="4"/>
  <c r="DH183" i="4"/>
  <c r="DD142" i="4"/>
  <c r="DD111" i="4"/>
  <c r="EJ67" i="4"/>
  <c r="CK137" i="4"/>
  <c r="CT218" i="4"/>
  <c r="DK77" i="4"/>
  <c r="L284" i="4"/>
  <c r="L102" i="4"/>
  <c r="L202" i="4"/>
  <c r="GL242" i="4"/>
  <c r="GE242" i="4"/>
  <c r="FX242" i="4"/>
  <c r="FS242" i="4"/>
  <c r="FJ242" i="4"/>
  <c r="FC242" i="4"/>
  <c r="EV242" i="4"/>
  <c r="CP242" i="4"/>
  <c r="EH242" i="4"/>
  <c r="EA242" i="4"/>
  <c r="DT242" i="4"/>
  <c r="FQ242" i="4"/>
  <c r="DF242" i="4"/>
  <c r="CY242" i="4"/>
  <c r="GN242" i="4"/>
  <c r="GJ242" i="4"/>
  <c r="GC242" i="4"/>
  <c r="FL242" i="4"/>
  <c r="FO242" i="4"/>
  <c r="FH242" i="4"/>
  <c r="FA242" i="4"/>
  <c r="EJ242" i="4"/>
  <c r="EF242" i="4"/>
  <c r="DY242" i="4"/>
  <c r="DH242" i="4"/>
  <c r="ET242" i="4"/>
  <c r="DD242" i="4"/>
  <c r="CW242" i="4"/>
  <c r="DO242" i="4"/>
  <c r="GG242" i="4"/>
  <c r="FZ242" i="4"/>
  <c r="DM242" i="4"/>
  <c r="EQ242" i="4"/>
  <c r="FE242" i="4"/>
  <c r="EX242" i="4"/>
  <c r="DK242" i="4"/>
  <c r="DR242" i="4"/>
  <c r="DA242" i="4"/>
  <c r="CT242" i="4"/>
  <c r="CR242" i="4"/>
  <c r="EM242" i="4"/>
  <c r="EC242" i="4"/>
  <c r="DV242" i="4"/>
  <c r="FV242" i="4"/>
  <c r="EO242" i="4"/>
  <c r="GN173" i="4"/>
  <c r="GG173" i="4"/>
  <c r="FX173" i="4"/>
  <c r="CR173" i="4"/>
  <c r="FL173" i="4"/>
  <c r="FE173" i="4"/>
  <c r="EV173" i="4"/>
  <c r="FQ173" i="4"/>
  <c r="EJ173" i="4"/>
  <c r="EH173" i="4"/>
  <c r="EA173" i="4"/>
  <c r="DO173" i="4"/>
  <c r="CK173" i="4"/>
  <c r="DF173" i="4"/>
  <c r="CY173" i="4"/>
  <c r="FZ173" i="4"/>
  <c r="EQ173" i="4"/>
  <c r="GJ173" i="4"/>
  <c r="FJ173" i="4"/>
  <c r="FO173" i="4"/>
  <c r="EO173" i="4"/>
  <c r="FH173" i="4"/>
  <c r="EM173" i="4"/>
  <c r="DV173" i="4"/>
  <c r="EF173" i="4"/>
  <c r="DK173" i="4"/>
  <c r="DT173" i="4"/>
  <c r="DD173" i="4"/>
  <c r="CI173" i="4"/>
  <c r="DR173" i="4"/>
  <c r="EC173" i="4"/>
  <c r="DM173" i="4"/>
  <c r="FV173" i="4"/>
  <c r="GE173" i="4"/>
  <c r="CT173" i="4"/>
  <c r="FC173" i="4"/>
  <c r="FS173" i="4"/>
  <c r="GC173" i="4"/>
  <c r="CP173" i="4"/>
  <c r="FA173" i="4"/>
  <c r="EX173" i="4"/>
  <c r="GL173" i="4"/>
  <c r="CW173" i="4"/>
  <c r="ET173" i="4"/>
  <c r="EM121" i="4"/>
  <c r="FH121" i="4"/>
  <c r="FA121" i="4"/>
  <c r="DT121" i="4"/>
  <c r="DK121" i="4"/>
  <c r="EF121" i="4"/>
  <c r="DY121" i="4"/>
  <c r="CT121" i="4"/>
  <c r="CI121" i="4"/>
  <c r="DD121" i="4"/>
  <c r="CW121" i="4"/>
  <c r="CR121" i="4"/>
  <c r="FS121" i="4"/>
  <c r="GN121" i="4"/>
  <c r="GG121" i="4"/>
  <c r="FV121" i="4"/>
  <c r="EQ121" i="4"/>
  <c r="FL121" i="4"/>
  <c r="FE121" i="4"/>
  <c r="ET121" i="4"/>
  <c r="DO121" i="4"/>
  <c r="EJ121" i="4"/>
  <c r="EC121" i="4"/>
  <c r="DR121" i="4"/>
  <c r="CM121" i="4"/>
  <c r="DH121" i="4"/>
  <c r="DA121" i="4"/>
  <c r="CP121" i="4"/>
  <c r="FQ121" i="4"/>
  <c r="GL121" i="4"/>
  <c r="GE121" i="4"/>
  <c r="FZ121" i="4"/>
  <c r="EO121" i="4"/>
  <c r="FJ121" i="4"/>
  <c r="FC121" i="4"/>
  <c r="FX121" i="4"/>
  <c r="DM121" i="4"/>
  <c r="EH121" i="4"/>
  <c r="EA121" i="4"/>
  <c r="FO121" i="4"/>
  <c r="GJ121" i="4"/>
  <c r="GC121" i="4"/>
  <c r="DV121" i="4"/>
  <c r="FE255" i="4"/>
  <c r="EX255" i="4"/>
  <c r="EQ255" i="4"/>
  <c r="EM255" i="4"/>
  <c r="EC255" i="4"/>
  <c r="DV255" i="4"/>
  <c r="DO255" i="4"/>
  <c r="DK255" i="4"/>
  <c r="DA255" i="4"/>
  <c r="CT255" i="4"/>
  <c r="CM255" i="4"/>
  <c r="CI255" i="4"/>
  <c r="GL255" i="4"/>
  <c r="GE255" i="4"/>
  <c r="FX255" i="4"/>
  <c r="FQ255" i="4"/>
  <c r="FJ255" i="4"/>
  <c r="FC255" i="4"/>
  <c r="EV255" i="4"/>
  <c r="EO255" i="4"/>
  <c r="EH255" i="4"/>
  <c r="EA255" i="4"/>
  <c r="DT255" i="4"/>
  <c r="DM255" i="4"/>
  <c r="CY255" i="4"/>
  <c r="CR255" i="4"/>
  <c r="CK255" i="4"/>
  <c r="GJ255" i="4"/>
  <c r="GC255" i="4"/>
  <c r="FV255" i="4"/>
  <c r="GN255" i="4"/>
  <c r="FH255" i="4"/>
  <c r="FA255" i="4"/>
  <c r="ET255" i="4"/>
  <c r="FL255" i="4"/>
  <c r="EF255" i="4"/>
  <c r="DY255" i="4"/>
  <c r="DR255" i="4"/>
  <c r="EJ255" i="4"/>
  <c r="GG255" i="4"/>
  <c r="FZ255" i="4"/>
  <c r="FS255" i="4"/>
  <c r="FO255" i="4"/>
  <c r="FO314" i="4"/>
  <c r="GJ314" i="4"/>
  <c r="GC314" i="4"/>
  <c r="CK314" i="4"/>
  <c r="EM314" i="4"/>
  <c r="FH314" i="4"/>
  <c r="FA314" i="4"/>
  <c r="FV314" i="4"/>
  <c r="DK314" i="4"/>
  <c r="EF314" i="4"/>
  <c r="DY314" i="4"/>
  <c r="FS314" i="4"/>
  <c r="CI314" i="4"/>
  <c r="DD314" i="4"/>
  <c r="FL314" i="4"/>
  <c r="FE314" i="4"/>
  <c r="EJ314" i="4"/>
  <c r="EC314" i="4"/>
  <c r="DV314" i="4"/>
  <c r="EO314" i="4"/>
  <c r="DH314" i="4"/>
  <c r="DA314" i="4"/>
  <c r="CT314" i="4"/>
  <c r="DR314" i="4"/>
  <c r="GL314" i="4"/>
  <c r="GE314" i="4"/>
  <c r="FX314" i="4"/>
  <c r="FJ314" i="4"/>
  <c r="DF314" i="4"/>
  <c r="CY314" i="4"/>
  <c r="EX314" i="4"/>
  <c r="EV314" i="4"/>
  <c r="DT314" i="4"/>
  <c r="CR314" i="4"/>
  <c r="FQ314" i="4"/>
  <c r="GN314" i="4"/>
  <c r="ET314" i="4"/>
  <c r="EH314" i="4"/>
  <c r="EQ314" i="4"/>
  <c r="GG314" i="4"/>
  <c r="FC314" i="4"/>
  <c r="CM314" i="4"/>
  <c r="EA314" i="4"/>
  <c r="CP314" i="4"/>
  <c r="FZ314" i="4"/>
  <c r="FJ340" i="4"/>
  <c r="EA340" i="4"/>
  <c r="FA340" i="4"/>
  <c r="EQ340" i="4"/>
  <c r="EH340" i="4"/>
  <c r="CP340" i="4"/>
  <c r="DO340" i="4"/>
  <c r="GC340" i="4"/>
  <c r="FS340" i="4"/>
  <c r="EX340" i="4"/>
  <c r="ET340" i="4"/>
  <c r="FO340" i="4"/>
  <c r="GJ340" i="4"/>
  <c r="DY340" i="4"/>
  <c r="DM340" i="4"/>
  <c r="EM340" i="4"/>
  <c r="FH340" i="4"/>
  <c r="CM340" i="4"/>
  <c r="EV340" i="4"/>
  <c r="DK340" i="4"/>
  <c r="EF340" i="4"/>
  <c r="FQ340" i="4"/>
  <c r="DA340" i="4"/>
  <c r="CI340" i="4"/>
  <c r="DV340" i="4"/>
  <c r="FZ340" i="4"/>
  <c r="GN340" i="4"/>
  <c r="GE340" i="4"/>
  <c r="CK340" i="4"/>
  <c r="EO340" i="4"/>
  <c r="FL340" i="4"/>
  <c r="FX340" i="4"/>
  <c r="FE340" i="4"/>
  <c r="CT340" i="4"/>
  <c r="EJ340" i="4"/>
  <c r="EC340" i="4"/>
  <c r="DT340" i="4"/>
  <c r="CY340" i="4"/>
  <c r="GL340" i="4"/>
  <c r="FV340" i="4"/>
  <c r="DR340" i="4"/>
  <c r="GG340" i="4"/>
  <c r="GL120" i="4"/>
  <c r="GE120" i="4"/>
  <c r="FX120" i="4"/>
  <c r="FQ120" i="4"/>
  <c r="FJ120" i="4"/>
  <c r="FC120" i="4"/>
  <c r="EV120" i="4"/>
  <c r="EH120" i="4"/>
  <c r="EA120" i="4"/>
  <c r="DT120" i="4"/>
  <c r="DM120" i="4"/>
  <c r="DF120" i="4"/>
  <c r="CY120" i="4"/>
  <c r="CR120" i="4"/>
  <c r="CK120" i="4"/>
  <c r="GJ120" i="4"/>
  <c r="GC120" i="4"/>
  <c r="FV120" i="4"/>
  <c r="GN120" i="4"/>
  <c r="FH120" i="4"/>
  <c r="FA120" i="4"/>
  <c r="ET120" i="4"/>
  <c r="FL120" i="4"/>
  <c r="EF120" i="4"/>
  <c r="DY120" i="4"/>
  <c r="DR120" i="4"/>
  <c r="EJ120" i="4"/>
  <c r="DD120" i="4"/>
  <c r="CW120" i="4"/>
  <c r="CP120" i="4"/>
  <c r="DH120" i="4"/>
  <c r="GG120" i="4"/>
  <c r="FZ120" i="4"/>
  <c r="FS120" i="4"/>
  <c r="FO120" i="4"/>
  <c r="FE120" i="4"/>
  <c r="EX120" i="4"/>
  <c r="EQ120" i="4"/>
  <c r="EM120" i="4"/>
  <c r="DA120" i="4"/>
  <c r="CT120" i="4"/>
  <c r="CM120" i="4"/>
  <c r="CI120" i="4"/>
  <c r="DK120" i="4"/>
  <c r="EC120" i="4"/>
  <c r="DO120" i="4"/>
  <c r="FS126" i="4"/>
  <c r="GN126" i="4"/>
  <c r="GG126" i="4"/>
  <c r="FV126" i="4"/>
  <c r="EQ126" i="4"/>
  <c r="FL126" i="4"/>
  <c r="FE126" i="4"/>
  <c r="ET126" i="4"/>
  <c r="DO126" i="4"/>
  <c r="EJ126" i="4"/>
  <c r="EC126" i="4"/>
  <c r="DR126" i="4"/>
  <c r="CM126" i="4"/>
  <c r="DH126" i="4"/>
  <c r="DA126" i="4"/>
  <c r="CP126" i="4"/>
  <c r="FQ126" i="4"/>
  <c r="GL126" i="4"/>
  <c r="GE126" i="4"/>
  <c r="DT126" i="4"/>
  <c r="EO126" i="4"/>
  <c r="FJ126" i="4"/>
  <c r="FC126" i="4"/>
  <c r="CT126" i="4"/>
  <c r="DM126" i="4"/>
  <c r="EH126" i="4"/>
  <c r="EA126" i="4"/>
  <c r="CR126" i="4"/>
  <c r="CK126" i="4"/>
  <c r="DF126" i="4"/>
  <c r="CY126" i="4"/>
  <c r="FO126" i="4"/>
  <c r="GJ126" i="4"/>
  <c r="GC126" i="4"/>
  <c r="FX126" i="4"/>
  <c r="EM126" i="4"/>
  <c r="FH126" i="4"/>
  <c r="FA126" i="4"/>
  <c r="EX126" i="4"/>
  <c r="CI126" i="4"/>
  <c r="DD126" i="4"/>
  <c r="CW126" i="4"/>
  <c r="DK126" i="4"/>
  <c r="EF126" i="4"/>
  <c r="DY126" i="4"/>
  <c r="EV126" i="4"/>
  <c r="EH306" i="4"/>
  <c r="FH306" i="4"/>
  <c r="FJ329" i="4"/>
  <c r="FC329" i="4"/>
  <c r="EV329" i="4"/>
  <c r="CW329" i="4"/>
  <c r="EH329" i="4"/>
  <c r="EA329" i="4"/>
  <c r="CP329" i="4"/>
  <c r="FX329" i="4"/>
  <c r="DF329" i="4"/>
  <c r="CY329" i="4"/>
  <c r="ET329" i="4"/>
  <c r="DM329" i="4"/>
  <c r="FO329" i="4"/>
  <c r="GJ329" i="4"/>
  <c r="GC329" i="4"/>
  <c r="CM329" i="4"/>
  <c r="EM329" i="4"/>
  <c r="FH329" i="4"/>
  <c r="FA329" i="4"/>
  <c r="EQ329" i="4"/>
  <c r="EF329" i="4"/>
  <c r="FZ329" i="4"/>
  <c r="CK329" i="4"/>
  <c r="CI329" i="4"/>
  <c r="DD329" i="4"/>
  <c r="EX329" i="4"/>
  <c r="EO329" i="4"/>
  <c r="GN329" i="4"/>
  <c r="GG329" i="4"/>
  <c r="DV329" i="4"/>
  <c r="DY329" i="4"/>
  <c r="FL329" i="4"/>
  <c r="FE329" i="4"/>
  <c r="FS329" i="4"/>
  <c r="DT329" i="4"/>
  <c r="EJ329" i="4"/>
  <c r="EC329" i="4"/>
  <c r="CT329" i="4"/>
  <c r="DR329" i="4"/>
  <c r="GL329" i="4"/>
  <c r="GE329" i="4"/>
  <c r="CR329" i="4"/>
  <c r="FV329" i="4"/>
  <c r="FO198" i="4"/>
  <c r="GJ198" i="4"/>
  <c r="GC198" i="4"/>
  <c r="CK198" i="4"/>
  <c r="EM198" i="4"/>
  <c r="FH198" i="4"/>
  <c r="FA198" i="4"/>
  <c r="FV198" i="4"/>
  <c r="DK198" i="4"/>
  <c r="EF198" i="4"/>
  <c r="DY198" i="4"/>
  <c r="FS198" i="4"/>
  <c r="CI198" i="4"/>
  <c r="DD198" i="4"/>
  <c r="CW198" i="4"/>
  <c r="FQ198" i="4"/>
  <c r="GN198" i="4"/>
  <c r="GG198" i="4"/>
  <c r="FZ198" i="4"/>
  <c r="ET198" i="4"/>
  <c r="FL198" i="4"/>
  <c r="FE198" i="4"/>
  <c r="EX198" i="4"/>
  <c r="EQ198" i="4"/>
  <c r="EJ198" i="4"/>
  <c r="DV198" i="4"/>
  <c r="EO198" i="4"/>
  <c r="DH198" i="4"/>
  <c r="DA198" i="4"/>
  <c r="CT198" i="4"/>
  <c r="DR198" i="4"/>
  <c r="GL198" i="4"/>
  <c r="GE198" i="4"/>
  <c r="FX198" i="4"/>
  <c r="DO198" i="4"/>
  <c r="FJ198" i="4"/>
  <c r="FC198" i="4"/>
  <c r="EV198" i="4"/>
  <c r="DM198" i="4"/>
  <c r="DF198" i="4"/>
  <c r="CY198" i="4"/>
  <c r="CR198" i="4"/>
  <c r="CP198" i="4"/>
  <c r="EH198" i="4"/>
  <c r="DT198" i="4"/>
  <c r="CM198" i="4"/>
  <c r="GL175" i="4"/>
  <c r="GE175" i="4"/>
  <c r="FX175" i="4"/>
  <c r="GN175" i="4"/>
  <c r="FJ175" i="4"/>
  <c r="FC175" i="4"/>
  <c r="EV175" i="4"/>
  <c r="FL175" i="4"/>
  <c r="EH175" i="4"/>
  <c r="EA175" i="4"/>
  <c r="DT175" i="4"/>
  <c r="EJ175" i="4"/>
  <c r="DF175" i="4"/>
  <c r="CY175" i="4"/>
  <c r="CR175" i="4"/>
  <c r="DH175" i="4"/>
  <c r="GJ175" i="4"/>
  <c r="GC175" i="4"/>
  <c r="FV175" i="4"/>
  <c r="CK175" i="4"/>
  <c r="FH175" i="4"/>
  <c r="FA175" i="4"/>
  <c r="ET175" i="4"/>
  <c r="CI175" i="4"/>
  <c r="EF175" i="4"/>
  <c r="DY175" i="4"/>
  <c r="DR175" i="4"/>
  <c r="FQ175" i="4"/>
  <c r="DD175" i="4"/>
  <c r="CW175" i="4"/>
  <c r="CP175" i="4"/>
  <c r="FO175" i="4"/>
  <c r="GG175" i="4"/>
  <c r="FZ175" i="4"/>
  <c r="FS175" i="4"/>
  <c r="EO175" i="4"/>
  <c r="FE175" i="4"/>
  <c r="EX175" i="4"/>
  <c r="EQ175" i="4"/>
  <c r="DK175" i="4"/>
  <c r="CT175" i="4"/>
  <c r="CM175" i="4"/>
  <c r="DM175" i="4"/>
  <c r="EM175" i="4"/>
  <c r="EC175" i="4"/>
  <c r="DO175" i="4"/>
  <c r="GN308" i="4"/>
  <c r="GG308" i="4"/>
  <c r="FZ308" i="4"/>
  <c r="DM308" i="4"/>
  <c r="FL308" i="4"/>
  <c r="FE308" i="4"/>
  <c r="EX308" i="4"/>
  <c r="EJ308" i="4"/>
  <c r="EC308" i="4"/>
  <c r="DV308" i="4"/>
  <c r="CM308" i="4"/>
  <c r="DH308" i="4"/>
  <c r="DA308" i="4"/>
  <c r="CT308" i="4"/>
  <c r="CK308" i="4"/>
  <c r="GL308" i="4"/>
  <c r="GE308" i="4"/>
  <c r="FX308" i="4"/>
  <c r="FV308" i="4"/>
  <c r="FJ308" i="4"/>
  <c r="FC308" i="4"/>
  <c r="EV308" i="4"/>
  <c r="FS308" i="4"/>
  <c r="EH308" i="4"/>
  <c r="EA308" i="4"/>
  <c r="DT308" i="4"/>
  <c r="FQ308" i="4"/>
  <c r="DF308" i="4"/>
  <c r="CY308" i="4"/>
  <c r="CR308" i="4"/>
  <c r="ET308" i="4"/>
  <c r="GJ308" i="4"/>
  <c r="GC308" i="4"/>
  <c r="FO308" i="4"/>
  <c r="EQ308" i="4"/>
  <c r="FH308" i="4"/>
  <c r="FA308" i="4"/>
  <c r="EM308" i="4"/>
  <c r="EO308" i="4"/>
  <c r="DD308" i="4"/>
  <c r="CW308" i="4"/>
  <c r="CI308" i="4"/>
  <c r="DO308" i="4"/>
  <c r="EF308" i="4"/>
  <c r="DY308" i="4"/>
  <c r="DK308" i="4"/>
  <c r="DR308" i="4"/>
  <c r="GE52" i="4"/>
  <c r="FX52" i="4"/>
  <c r="CK52" i="4"/>
  <c r="FJ52" i="4"/>
  <c r="FC52" i="4"/>
  <c r="EV52" i="4"/>
  <c r="GN52" i="4"/>
  <c r="EH52" i="4"/>
  <c r="EA52" i="4"/>
  <c r="DT52" i="4"/>
  <c r="FL52" i="4"/>
  <c r="DF52" i="4"/>
  <c r="CY52" i="4"/>
  <c r="CR52" i="4"/>
  <c r="EJ52" i="4"/>
  <c r="GJ52" i="4"/>
  <c r="GC52" i="4"/>
  <c r="FV52" i="4"/>
  <c r="DH52" i="4"/>
  <c r="FH52" i="4"/>
  <c r="FA52" i="4"/>
  <c r="ET52" i="4"/>
  <c r="FO52" i="4"/>
  <c r="EF52" i="4"/>
  <c r="DY52" i="4"/>
  <c r="DR52" i="4"/>
  <c r="EQ52" i="4"/>
  <c r="DD52" i="4"/>
  <c r="CW52" i="4"/>
  <c r="CP52" i="4"/>
  <c r="EM52" i="4"/>
  <c r="GG52" i="4"/>
  <c r="FZ52" i="4"/>
  <c r="FS52" i="4"/>
  <c r="DO52" i="4"/>
  <c r="FE52" i="4"/>
  <c r="EX52" i="4"/>
  <c r="FQ52" i="4"/>
  <c r="DK52" i="4"/>
  <c r="DA52" i="4"/>
  <c r="CT52" i="4"/>
  <c r="DM52" i="4"/>
  <c r="CI52" i="4"/>
  <c r="EC52" i="4"/>
  <c r="DV52" i="4"/>
  <c r="EO52" i="4"/>
  <c r="CM52" i="4"/>
  <c r="FE272" i="4"/>
  <c r="EX272" i="4"/>
  <c r="EQ272" i="4"/>
  <c r="EM272" i="4"/>
  <c r="EC272" i="4"/>
  <c r="DV272" i="4"/>
  <c r="DO272" i="4"/>
  <c r="DK272" i="4"/>
  <c r="DA272" i="4"/>
  <c r="CT272" i="4"/>
  <c r="CM272" i="4"/>
  <c r="CI272" i="4"/>
  <c r="GL272" i="4"/>
  <c r="GE272" i="4"/>
  <c r="FX272" i="4"/>
  <c r="FQ272" i="4"/>
  <c r="FJ272" i="4"/>
  <c r="EV272" i="4"/>
  <c r="EO272" i="4"/>
  <c r="EH272" i="4"/>
  <c r="EA272" i="4"/>
  <c r="DT272" i="4"/>
  <c r="DM272" i="4"/>
  <c r="DF272" i="4"/>
  <c r="CY272" i="4"/>
  <c r="CR272" i="4"/>
  <c r="CK272" i="4"/>
  <c r="GJ272" i="4"/>
  <c r="GC272" i="4"/>
  <c r="FV272" i="4"/>
  <c r="GN272" i="4"/>
  <c r="FH272" i="4"/>
  <c r="FA272" i="4"/>
  <c r="ET272" i="4"/>
  <c r="FL272" i="4"/>
  <c r="EF272" i="4"/>
  <c r="DY272" i="4"/>
  <c r="DR272" i="4"/>
  <c r="EJ272" i="4"/>
  <c r="GG272" i="4"/>
  <c r="FZ272" i="4"/>
  <c r="FS272" i="4"/>
  <c r="FO272" i="4"/>
  <c r="FH297" i="4"/>
  <c r="FA297" i="4"/>
  <c r="EM297" i="4"/>
  <c r="EO297" i="4"/>
  <c r="EF297" i="4"/>
  <c r="DY297" i="4"/>
  <c r="DK297" i="4"/>
  <c r="DR297" i="4"/>
  <c r="DD297" i="4"/>
  <c r="CW297" i="4"/>
  <c r="CI297" i="4"/>
  <c r="DO297" i="4"/>
  <c r="GN297" i="4"/>
  <c r="GG297" i="4"/>
  <c r="FZ297" i="4"/>
  <c r="DM297" i="4"/>
  <c r="FL297" i="4"/>
  <c r="FE297" i="4"/>
  <c r="EX297" i="4"/>
  <c r="CP297" i="4"/>
  <c r="EJ297" i="4"/>
  <c r="EC297" i="4"/>
  <c r="CM297" i="4"/>
  <c r="DH297" i="4"/>
  <c r="DA297" i="4"/>
  <c r="CT297" i="4"/>
  <c r="CK297" i="4"/>
  <c r="GL297" i="4"/>
  <c r="GE297" i="4"/>
  <c r="FX297" i="4"/>
  <c r="FV297" i="4"/>
  <c r="FJ297" i="4"/>
  <c r="FC297" i="4"/>
  <c r="EV297" i="4"/>
  <c r="FS297" i="4"/>
  <c r="EH297" i="4"/>
  <c r="EA297" i="4"/>
  <c r="FQ297" i="4"/>
  <c r="GJ297" i="4"/>
  <c r="GC297" i="4"/>
  <c r="FO297" i="4"/>
  <c r="EQ297" i="4"/>
  <c r="FE96" i="4"/>
  <c r="EX96" i="4"/>
  <c r="EQ96" i="4"/>
  <c r="EC96" i="4"/>
  <c r="DV96" i="4"/>
  <c r="DM96" i="4"/>
  <c r="FS96" i="4"/>
  <c r="DA96" i="4"/>
  <c r="CT96" i="4"/>
  <c r="CK96" i="4"/>
  <c r="FO96" i="4"/>
  <c r="GL96" i="4"/>
  <c r="GE96" i="4"/>
  <c r="FX96" i="4"/>
  <c r="GN96" i="4"/>
  <c r="FJ96" i="4"/>
  <c r="FC96" i="4"/>
  <c r="EV96" i="4"/>
  <c r="FL96" i="4"/>
  <c r="EH96" i="4"/>
  <c r="EA96" i="4"/>
  <c r="DT96" i="4"/>
  <c r="EJ96" i="4"/>
  <c r="DF96" i="4"/>
  <c r="CY96" i="4"/>
  <c r="CR96" i="4"/>
  <c r="DH96" i="4"/>
  <c r="GJ96" i="4"/>
  <c r="GC96" i="4"/>
  <c r="FV96" i="4"/>
  <c r="FH96" i="4"/>
  <c r="FA96" i="4"/>
  <c r="ET96" i="4"/>
  <c r="DO96" i="4"/>
  <c r="EF96" i="4"/>
  <c r="DY96" i="4"/>
  <c r="DR96" i="4"/>
  <c r="DK96" i="4"/>
  <c r="GG96" i="4"/>
  <c r="FZ96" i="4"/>
  <c r="FQ96" i="4"/>
  <c r="CI96" i="4"/>
  <c r="FJ298" i="4"/>
  <c r="FC298" i="4"/>
  <c r="EV298" i="4"/>
  <c r="EH298" i="4"/>
  <c r="EA298" i="4"/>
  <c r="DT298" i="4"/>
  <c r="CM298" i="4"/>
  <c r="DF298" i="4"/>
  <c r="CY298" i="4"/>
  <c r="CR298" i="4"/>
  <c r="CP298" i="4"/>
  <c r="FO298" i="4"/>
  <c r="GJ298" i="4"/>
  <c r="GC298" i="4"/>
  <c r="CK298" i="4"/>
  <c r="EM298" i="4"/>
  <c r="FH298" i="4"/>
  <c r="FA298" i="4"/>
  <c r="FV298" i="4"/>
  <c r="DK298" i="4"/>
  <c r="EF298" i="4"/>
  <c r="DY298" i="4"/>
  <c r="FS298" i="4"/>
  <c r="CI298" i="4"/>
  <c r="DD298" i="4"/>
  <c r="CW298" i="4"/>
  <c r="FQ298" i="4"/>
  <c r="GN298" i="4"/>
  <c r="GG298" i="4"/>
  <c r="FZ298" i="4"/>
  <c r="ET298" i="4"/>
  <c r="FL298" i="4"/>
  <c r="FE298" i="4"/>
  <c r="EX298" i="4"/>
  <c r="EQ298" i="4"/>
  <c r="EJ298" i="4"/>
  <c r="EC298" i="4"/>
  <c r="DV298" i="4"/>
  <c r="EO298" i="4"/>
  <c r="GL298" i="4"/>
  <c r="GE298" i="4"/>
  <c r="FX298" i="4"/>
  <c r="FS89" i="4"/>
  <c r="GN89" i="4"/>
  <c r="GG89" i="4"/>
  <c r="EA89" i="4"/>
  <c r="EQ89" i="4"/>
  <c r="FL89" i="4"/>
  <c r="FE89" i="4"/>
  <c r="DV89" i="4"/>
  <c r="DO89" i="4"/>
  <c r="EJ89" i="4"/>
  <c r="EC89" i="4"/>
  <c r="DT89" i="4"/>
  <c r="CM89" i="4"/>
  <c r="DH89" i="4"/>
  <c r="DA89" i="4"/>
  <c r="CY89" i="4"/>
  <c r="FQ89" i="4"/>
  <c r="GL89" i="4"/>
  <c r="GC89" i="4"/>
  <c r="CT89" i="4"/>
  <c r="FJ89" i="4"/>
  <c r="FA89" i="4"/>
  <c r="CR89" i="4"/>
  <c r="DM89" i="4"/>
  <c r="EH89" i="4"/>
  <c r="DY89" i="4"/>
  <c r="GE89" i="4"/>
  <c r="CK89" i="4"/>
  <c r="DF89" i="4"/>
  <c r="CW89" i="4"/>
  <c r="FZ89" i="4"/>
  <c r="FO89" i="4"/>
  <c r="GJ89" i="4"/>
  <c r="FV89" i="4"/>
  <c r="FX89" i="4"/>
  <c r="FH89" i="4"/>
  <c r="ET89" i="4"/>
  <c r="FC89" i="4"/>
  <c r="CI89" i="4"/>
  <c r="DD89" i="4"/>
  <c r="CP89" i="4"/>
  <c r="EV89" i="4"/>
  <c r="DK89" i="4"/>
  <c r="EF89" i="4"/>
  <c r="DR89" i="4"/>
  <c r="EX89" i="4"/>
  <c r="CM116" i="4"/>
  <c r="DM116" i="4"/>
  <c r="EM116" i="4"/>
  <c r="EM26" i="4"/>
  <c r="FH26" i="4"/>
  <c r="FA26" i="4"/>
  <c r="DT26" i="4"/>
  <c r="DK26" i="4"/>
  <c r="EF26" i="4"/>
  <c r="DY26" i="4"/>
  <c r="CT26" i="4"/>
  <c r="CI26" i="4"/>
  <c r="DD26" i="4"/>
  <c r="CW26" i="4"/>
  <c r="CR26" i="4"/>
  <c r="FS26" i="4"/>
  <c r="GN26" i="4"/>
  <c r="GG26" i="4"/>
  <c r="FV26" i="4"/>
  <c r="EQ26" i="4"/>
  <c r="FL26" i="4"/>
  <c r="FE26" i="4"/>
  <c r="ET26" i="4"/>
  <c r="DO26" i="4"/>
  <c r="EJ26" i="4"/>
  <c r="DR26" i="4"/>
  <c r="CM26" i="4"/>
  <c r="DH26" i="4"/>
  <c r="DA26" i="4"/>
  <c r="CP26" i="4"/>
  <c r="FQ26" i="4"/>
  <c r="GL26" i="4"/>
  <c r="GE26" i="4"/>
  <c r="FZ26" i="4"/>
  <c r="EO26" i="4"/>
  <c r="FJ26" i="4"/>
  <c r="FC26" i="4"/>
  <c r="FX26" i="4"/>
  <c r="DM26" i="4"/>
  <c r="EH26" i="4"/>
  <c r="EX26" i="4"/>
  <c r="FO26" i="4"/>
  <c r="GJ26" i="4"/>
  <c r="GC26" i="4"/>
  <c r="DV26" i="4"/>
  <c r="CW340" i="4"/>
  <c r="CP145" i="4"/>
  <c r="CM268" i="4"/>
  <c r="EX82" i="4"/>
  <c r="FO177" i="4"/>
  <c r="EX174" i="4"/>
  <c r="DR78" i="4"/>
  <c r="DH149" i="4"/>
  <c r="DH60" i="4"/>
  <c r="EV26" i="4"/>
  <c r="FQ288" i="4"/>
  <c r="DK45" i="4"/>
  <c r="ET225" i="4"/>
  <c r="EQ336" i="4"/>
  <c r="DH210" i="4"/>
  <c r="CM96" i="4"/>
  <c r="EV59" i="4"/>
  <c r="CK90" i="4"/>
  <c r="FS146" i="4"/>
  <c r="FA135" i="4"/>
  <c r="CR295" i="4"/>
  <c r="DO199" i="4"/>
  <c r="DH117" i="4"/>
  <c r="FZ182" i="4"/>
  <c r="FZ46" i="4"/>
  <c r="FC383" i="4"/>
  <c r="CM103" i="4"/>
  <c r="GC102" i="4"/>
  <c r="EQ286" i="4"/>
  <c r="DR84" i="4"/>
  <c r="EM106" i="4"/>
  <c r="FO35" i="4"/>
  <c r="EF218" i="4"/>
  <c r="DV109" i="4"/>
  <c r="FX65" i="4"/>
  <c r="FH292" i="4"/>
  <c r="FA292" i="4"/>
  <c r="FZ292" i="4"/>
  <c r="DV292" i="4"/>
  <c r="EF292" i="4"/>
  <c r="DY292" i="4"/>
  <c r="CT292" i="4"/>
  <c r="DR292" i="4"/>
  <c r="DD292" i="4"/>
  <c r="CW292" i="4"/>
  <c r="FV292" i="4"/>
  <c r="DO292" i="4"/>
  <c r="GN292" i="4"/>
  <c r="GG292" i="4"/>
  <c r="FX292" i="4"/>
  <c r="CP292" i="4"/>
  <c r="FL292" i="4"/>
  <c r="FE292" i="4"/>
  <c r="EV292" i="4"/>
  <c r="FS292" i="4"/>
  <c r="EJ292" i="4"/>
  <c r="DT292" i="4"/>
  <c r="CM292" i="4"/>
  <c r="DH292" i="4"/>
  <c r="DA292" i="4"/>
  <c r="CR292" i="4"/>
  <c r="FQ292" i="4"/>
  <c r="GL292" i="4"/>
  <c r="GE292" i="4"/>
  <c r="FO292" i="4"/>
  <c r="CK292" i="4"/>
  <c r="FJ292" i="4"/>
  <c r="FC292" i="4"/>
  <c r="EM292" i="4"/>
  <c r="EX292" i="4"/>
  <c r="EH292" i="4"/>
  <c r="DK292" i="4"/>
  <c r="ET292" i="4"/>
  <c r="GJ292" i="4"/>
  <c r="GC292" i="4"/>
  <c r="DM292" i="4"/>
  <c r="EO292" i="4"/>
  <c r="FL215" i="4"/>
  <c r="FE215" i="4"/>
  <c r="EX215" i="4"/>
  <c r="CM215" i="4"/>
  <c r="EJ215" i="4"/>
  <c r="EC215" i="4"/>
  <c r="DV215" i="4"/>
  <c r="FS215" i="4"/>
  <c r="DH215" i="4"/>
  <c r="DA215" i="4"/>
  <c r="CT215" i="4"/>
  <c r="FV215" i="4"/>
  <c r="FQ215" i="4"/>
  <c r="GL215" i="4"/>
  <c r="GE215" i="4"/>
  <c r="FX215" i="4"/>
  <c r="EO215" i="4"/>
  <c r="FJ215" i="4"/>
  <c r="FC215" i="4"/>
  <c r="EV215" i="4"/>
  <c r="DM215" i="4"/>
  <c r="EH215" i="4"/>
  <c r="EA215" i="4"/>
  <c r="DT215" i="4"/>
  <c r="CK215" i="4"/>
  <c r="DF215" i="4"/>
  <c r="CY215" i="4"/>
  <c r="CR215" i="4"/>
  <c r="FO215" i="4"/>
  <c r="GJ215" i="4"/>
  <c r="GC215" i="4"/>
  <c r="ET215" i="4"/>
  <c r="EM215" i="4"/>
  <c r="FH215" i="4"/>
  <c r="FA215" i="4"/>
  <c r="DK215" i="4"/>
  <c r="EF215" i="4"/>
  <c r="DY215" i="4"/>
  <c r="DR215" i="4"/>
  <c r="GN215" i="4"/>
  <c r="GG215" i="4"/>
  <c r="FZ215" i="4"/>
  <c r="CP215" i="4"/>
  <c r="EM166" i="4"/>
  <c r="FH166" i="4"/>
  <c r="FA166" i="4"/>
  <c r="DV166" i="4"/>
  <c r="DK166" i="4"/>
  <c r="EF166" i="4"/>
  <c r="DY166" i="4"/>
  <c r="DT166" i="4"/>
  <c r="CI166" i="4"/>
  <c r="DD166" i="4"/>
  <c r="CW166" i="4"/>
  <c r="CT166" i="4"/>
  <c r="FS166" i="4"/>
  <c r="GN166" i="4"/>
  <c r="GG166" i="4"/>
  <c r="FV166" i="4"/>
  <c r="EQ166" i="4"/>
  <c r="FL166" i="4"/>
  <c r="ET166" i="4"/>
  <c r="DO166" i="4"/>
  <c r="EJ166" i="4"/>
  <c r="EC166" i="4"/>
  <c r="DR166" i="4"/>
  <c r="CM166" i="4"/>
  <c r="DH166" i="4"/>
  <c r="DA166" i="4"/>
  <c r="CP166" i="4"/>
  <c r="FQ166" i="4"/>
  <c r="GL166" i="4"/>
  <c r="GE166" i="4"/>
  <c r="FZ166" i="4"/>
  <c r="EO166" i="4"/>
  <c r="FJ166" i="4"/>
  <c r="FX166" i="4"/>
  <c r="DM166" i="4"/>
  <c r="EH166" i="4"/>
  <c r="EA166" i="4"/>
  <c r="EX166" i="4"/>
  <c r="FO166" i="4"/>
  <c r="GJ166" i="4"/>
  <c r="GC166" i="4"/>
  <c r="CR166" i="4"/>
  <c r="EM127" i="4"/>
  <c r="FH127" i="4"/>
  <c r="FA127" i="4"/>
  <c r="EX127" i="4"/>
  <c r="DK127" i="4"/>
  <c r="EF127" i="4"/>
  <c r="DY127" i="4"/>
  <c r="EV127" i="4"/>
  <c r="DD127" i="4"/>
  <c r="CW127" i="4"/>
  <c r="DV127" i="4"/>
  <c r="FS127" i="4"/>
  <c r="GN127" i="4"/>
  <c r="GG127" i="4"/>
  <c r="FV127" i="4"/>
  <c r="EQ127" i="4"/>
  <c r="FL127" i="4"/>
  <c r="FE127" i="4"/>
  <c r="ET127" i="4"/>
  <c r="DO127" i="4"/>
  <c r="EJ127" i="4"/>
  <c r="EC127" i="4"/>
  <c r="DR127" i="4"/>
  <c r="DH127" i="4"/>
  <c r="DA127" i="4"/>
  <c r="CP127" i="4"/>
  <c r="FQ127" i="4"/>
  <c r="GL127" i="4"/>
  <c r="GE127" i="4"/>
  <c r="DT127" i="4"/>
  <c r="EO127" i="4"/>
  <c r="FJ127" i="4"/>
  <c r="FC127" i="4"/>
  <c r="CT127" i="4"/>
  <c r="DM127" i="4"/>
  <c r="EH127" i="4"/>
  <c r="EA127" i="4"/>
  <c r="CR127" i="4"/>
  <c r="FO127" i="4"/>
  <c r="GJ127" i="4"/>
  <c r="GC127" i="4"/>
  <c r="FX127" i="4"/>
  <c r="DM164" i="4"/>
  <c r="FQ307" i="4"/>
  <c r="GL307" i="4"/>
  <c r="GE307" i="4"/>
  <c r="CP307" i="4"/>
  <c r="FJ307" i="4"/>
  <c r="FC307" i="4"/>
  <c r="CM307" i="4"/>
  <c r="DM307" i="4"/>
  <c r="EH307" i="4"/>
  <c r="EA307" i="4"/>
  <c r="GC307" i="4"/>
  <c r="CK307" i="4"/>
  <c r="DF307" i="4"/>
  <c r="CY307" i="4"/>
  <c r="FV307" i="4"/>
  <c r="FO307" i="4"/>
  <c r="GJ307" i="4"/>
  <c r="FZ307" i="4"/>
  <c r="FS307" i="4"/>
  <c r="FH307" i="4"/>
  <c r="EX307" i="4"/>
  <c r="FA307" i="4"/>
  <c r="DK307" i="4"/>
  <c r="EF307" i="4"/>
  <c r="DV307" i="4"/>
  <c r="ET307" i="4"/>
  <c r="CI307" i="4"/>
  <c r="DD307" i="4"/>
  <c r="CT307" i="4"/>
  <c r="GN307" i="4"/>
  <c r="GG307" i="4"/>
  <c r="FX307" i="4"/>
  <c r="DY307" i="4"/>
  <c r="FL307" i="4"/>
  <c r="FE307" i="4"/>
  <c r="EV307" i="4"/>
  <c r="DR307" i="4"/>
  <c r="DH307" i="4"/>
  <c r="DA307" i="4"/>
  <c r="CR307" i="4"/>
  <c r="CW307" i="4"/>
  <c r="EJ307" i="4"/>
  <c r="EC307" i="4"/>
  <c r="DT307" i="4"/>
  <c r="DO307" i="4"/>
  <c r="CI124" i="4"/>
  <c r="DD124" i="4"/>
  <c r="CW124" i="4"/>
  <c r="CR124" i="4"/>
  <c r="FJ124" i="4"/>
  <c r="FC124" i="4"/>
  <c r="FX124" i="4"/>
  <c r="FO124" i="4"/>
  <c r="EF124" i="4"/>
  <c r="ET124" i="4"/>
  <c r="EM124" i="4"/>
  <c r="GG124" i="4"/>
  <c r="DR124" i="4"/>
  <c r="DK124" i="4"/>
  <c r="FE124" i="4"/>
  <c r="CP124" i="4"/>
  <c r="GN124" i="4"/>
  <c r="EC124" i="4"/>
  <c r="FZ124" i="4"/>
  <c r="FL124" i="4"/>
  <c r="DA124" i="4"/>
  <c r="EX124" i="4"/>
  <c r="FS124" i="4"/>
  <c r="EJ124" i="4"/>
  <c r="GE124" i="4"/>
  <c r="EV124" i="4"/>
  <c r="EQ124" i="4"/>
  <c r="DH124" i="4"/>
  <c r="EA124" i="4"/>
  <c r="DV124" i="4"/>
  <c r="DO124" i="4"/>
  <c r="GL124" i="4"/>
  <c r="CY124" i="4"/>
  <c r="DT124" i="4"/>
  <c r="CM124" i="4"/>
  <c r="EH124" i="4"/>
  <c r="GC124" i="4"/>
  <c r="CT124" i="4"/>
  <c r="FQ124" i="4"/>
  <c r="DF124" i="4"/>
  <c r="FA124" i="4"/>
  <c r="CK124" i="4"/>
  <c r="FH124" i="4"/>
  <c r="FV124" i="4"/>
  <c r="DM124" i="4"/>
  <c r="GJ124" i="4"/>
  <c r="DY124" i="4"/>
  <c r="GL38" i="4"/>
  <c r="FX38" i="4"/>
  <c r="EQ38" i="4"/>
  <c r="EF38" i="4"/>
  <c r="FJ38" i="4"/>
  <c r="EV38" i="4"/>
  <c r="DD38" i="4"/>
  <c r="CM38" i="4"/>
  <c r="EH38" i="4"/>
  <c r="DT38" i="4"/>
  <c r="GG38" i="4"/>
  <c r="FQ38" i="4"/>
  <c r="DF38" i="4"/>
  <c r="CR38" i="4"/>
  <c r="EO38" i="4"/>
  <c r="EC38" i="4"/>
  <c r="GE38" i="4"/>
  <c r="FE38" i="4"/>
  <c r="DA38" i="4"/>
  <c r="CK38" i="4"/>
  <c r="FC38" i="4"/>
  <c r="DM38" i="4"/>
  <c r="FH38" i="4"/>
  <c r="EA38" i="4"/>
  <c r="EX38" i="4"/>
  <c r="EM38" i="4"/>
  <c r="DO38" i="4"/>
  <c r="CY38" i="4"/>
  <c r="DK38" i="4"/>
  <c r="CT38" i="4"/>
  <c r="FO38" i="4"/>
  <c r="GC38" i="4"/>
  <c r="GN38" i="4"/>
  <c r="FV38" i="4"/>
  <c r="FL38" i="4"/>
  <c r="FA38" i="4"/>
  <c r="ET38" i="4"/>
  <c r="EJ38" i="4"/>
  <c r="DV38" i="4"/>
  <c r="CW38" i="4"/>
  <c r="GJ38" i="4"/>
  <c r="FS38" i="4"/>
  <c r="CI38" i="4"/>
  <c r="DY38" i="4"/>
  <c r="DH38" i="4"/>
  <c r="DR38" i="4"/>
  <c r="FO271" i="4"/>
  <c r="GJ271" i="4"/>
  <c r="GC271" i="4"/>
  <c r="FQ271" i="4"/>
  <c r="EM271" i="4"/>
  <c r="FH271" i="4"/>
  <c r="FA271" i="4"/>
  <c r="EO271" i="4"/>
  <c r="DK271" i="4"/>
  <c r="EF271" i="4"/>
  <c r="DY271" i="4"/>
  <c r="DM271" i="4"/>
  <c r="CI271" i="4"/>
  <c r="DD271" i="4"/>
  <c r="CW271" i="4"/>
  <c r="CK271" i="4"/>
  <c r="GN271" i="4"/>
  <c r="GG271" i="4"/>
  <c r="FZ271" i="4"/>
  <c r="CP271" i="4"/>
  <c r="FL271" i="4"/>
  <c r="FE271" i="4"/>
  <c r="EX271" i="4"/>
  <c r="CM271" i="4"/>
  <c r="EJ271" i="4"/>
  <c r="EC271" i="4"/>
  <c r="FV271" i="4"/>
  <c r="DH271" i="4"/>
  <c r="DA271" i="4"/>
  <c r="CT271" i="4"/>
  <c r="FS271" i="4"/>
  <c r="GL271" i="4"/>
  <c r="GE271" i="4"/>
  <c r="FX271" i="4"/>
  <c r="ET271" i="4"/>
  <c r="FJ271" i="4"/>
  <c r="FC271" i="4"/>
  <c r="EV271" i="4"/>
  <c r="EQ271" i="4"/>
  <c r="DF271" i="4"/>
  <c r="CY271" i="4"/>
  <c r="CR271" i="4"/>
  <c r="DO271" i="4"/>
  <c r="DR271" i="4"/>
  <c r="EH271" i="4"/>
  <c r="FH246" i="4"/>
  <c r="FA246" i="4"/>
  <c r="EM246" i="4"/>
  <c r="EO246" i="4"/>
  <c r="EF246" i="4"/>
  <c r="DY246" i="4"/>
  <c r="DK246" i="4"/>
  <c r="DR246" i="4"/>
  <c r="DD246" i="4"/>
  <c r="CI246" i="4"/>
  <c r="DO246" i="4"/>
  <c r="GN246" i="4"/>
  <c r="GG246" i="4"/>
  <c r="FZ246" i="4"/>
  <c r="DM246" i="4"/>
  <c r="FL246" i="4"/>
  <c r="FE246" i="4"/>
  <c r="EX246" i="4"/>
  <c r="CP246" i="4"/>
  <c r="EJ246" i="4"/>
  <c r="EC246" i="4"/>
  <c r="DV246" i="4"/>
  <c r="CM246" i="4"/>
  <c r="DH246" i="4"/>
  <c r="CT246" i="4"/>
  <c r="CK246" i="4"/>
  <c r="GL246" i="4"/>
  <c r="GE246" i="4"/>
  <c r="FX246" i="4"/>
  <c r="FV246" i="4"/>
  <c r="FJ246" i="4"/>
  <c r="FC246" i="4"/>
  <c r="EV246" i="4"/>
  <c r="FS246" i="4"/>
  <c r="EH246" i="4"/>
  <c r="EA246" i="4"/>
  <c r="DT246" i="4"/>
  <c r="FQ246" i="4"/>
  <c r="GJ246" i="4"/>
  <c r="GC246" i="4"/>
  <c r="FO246" i="4"/>
  <c r="EQ246" i="4"/>
  <c r="FS94" i="4"/>
  <c r="GN94" i="4"/>
  <c r="GG94" i="4"/>
  <c r="FV94" i="4"/>
  <c r="EQ94" i="4"/>
  <c r="FL94" i="4"/>
  <c r="FE94" i="4"/>
  <c r="ET94" i="4"/>
  <c r="DO94" i="4"/>
  <c r="EJ94" i="4"/>
  <c r="EC94" i="4"/>
  <c r="DR94" i="4"/>
  <c r="CM94" i="4"/>
  <c r="DH94" i="4"/>
  <c r="DA94" i="4"/>
  <c r="CP94" i="4"/>
  <c r="FQ94" i="4"/>
  <c r="GL94" i="4"/>
  <c r="GE94" i="4"/>
  <c r="DT94" i="4"/>
  <c r="EO94" i="4"/>
  <c r="FJ94" i="4"/>
  <c r="FC94" i="4"/>
  <c r="CT94" i="4"/>
  <c r="EH94" i="4"/>
  <c r="EA94" i="4"/>
  <c r="CR94" i="4"/>
  <c r="CK94" i="4"/>
  <c r="DF94" i="4"/>
  <c r="CY94" i="4"/>
  <c r="FZ94" i="4"/>
  <c r="FO94" i="4"/>
  <c r="GJ94" i="4"/>
  <c r="GC94" i="4"/>
  <c r="FX94" i="4"/>
  <c r="EM94" i="4"/>
  <c r="FH94" i="4"/>
  <c r="FA94" i="4"/>
  <c r="EX94" i="4"/>
  <c r="CI94" i="4"/>
  <c r="DD94" i="4"/>
  <c r="CW94" i="4"/>
  <c r="DV94" i="4"/>
  <c r="EF94" i="4"/>
  <c r="EV94" i="4"/>
  <c r="DY94" i="4"/>
  <c r="FJ201" i="4"/>
  <c r="FC201" i="4"/>
  <c r="DO201" i="4"/>
  <c r="CM201" i="4"/>
  <c r="EH201" i="4"/>
  <c r="EA201" i="4"/>
  <c r="FQ201" i="4"/>
  <c r="DF201" i="4"/>
  <c r="CY201" i="4"/>
  <c r="DM201" i="4"/>
  <c r="CT201" i="4"/>
  <c r="FO201" i="4"/>
  <c r="GJ201" i="4"/>
  <c r="GC201" i="4"/>
  <c r="FA201" i="4"/>
  <c r="EM201" i="4"/>
  <c r="FH201" i="4"/>
  <c r="DY201" i="4"/>
  <c r="CW201" i="4"/>
  <c r="DK201" i="4"/>
  <c r="EF201" i="4"/>
  <c r="FZ201" i="4"/>
  <c r="EV201" i="4"/>
  <c r="CI201" i="4"/>
  <c r="DD201" i="4"/>
  <c r="DV201" i="4"/>
  <c r="CR201" i="4"/>
  <c r="GN201" i="4"/>
  <c r="GG201" i="4"/>
  <c r="FX201" i="4"/>
  <c r="ET201" i="4"/>
  <c r="FL201" i="4"/>
  <c r="FE201" i="4"/>
  <c r="DT201" i="4"/>
  <c r="CP201" i="4"/>
  <c r="EJ201" i="4"/>
  <c r="EC201" i="4"/>
  <c r="FV201" i="4"/>
  <c r="CK201" i="4"/>
  <c r="GL201" i="4"/>
  <c r="GE201" i="4"/>
  <c r="FS201" i="4"/>
  <c r="FH266" i="4"/>
  <c r="FA266" i="4"/>
  <c r="DV266" i="4"/>
  <c r="EX266" i="4"/>
  <c r="EF266" i="4"/>
  <c r="DY266" i="4"/>
  <c r="DR266" i="4"/>
  <c r="ET266" i="4"/>
  <c r="DD266" i="4"/>
  <c r="CW266" i="4"/>
  <c r="DO266" i="4"/>
  <c r="EQ266" i="4"/>
  <c r="GN266" i="4"/>
  <c r="GG266" i="4"/>
  <c r="FX266" i="4"/>
  <c r="DM266" i="4"/>
  <c r="FL266" i="4"/>
  <c r="FE266" i="4"/>
  <c r="EV266" i="4"/>
  <c r="FZ266" i="4"/>
  <c r="EC266" i="4"/>
  <c r="DT266" i="4"/>
  <c r="CT266" i="4"/>
  <c r="DH266" i="4"/>
  <c r="DA266" i="4"/>
  <c r="CR266" i="4"/>
  <c r="FV266" i="4"/>
  <c r="GL266" i="4"/>
  <c r="GE266" i="4"/>
  <c r="FO266" i="4"/>
  <c r="CP266" i="4"/>
  <c r="FJ266" i="4"/>
  <c r="FC266" i="4"/>
  <c r="EM266" i="4"/>
  <c r="FS266" i="4"/>
  <c r="EA266" i="4"/>
  <c r="DK266" i="4"/>
  <c r="CM266" i="4"/>
  <c r="GJ266" i="4"/>
  <c r="GC266" i="4"/>
  <c r="EO266" i="4"/>
  <c r="CK266" i="4"/>
  <c r="EM200" i="4"/>
  <c r="FH200" i="4"/>
  <c r="FA200" i="4"/>
  <c r="DT200" i="4"/>
  <c r="DK200" i="4"/>
  <c r="EF200" i="4"/>
  <c r="DY200" i="4"/>
  <c r="CT200" i="4"/>
  <c r="CI200" i="4"/>
  <c r="DD200" i="4"/>
  <c r="CW200" i="4"/>
  <c r="CR200" i="4"/>
  <c r="FS200" i="4"/>
  <c r="GN200" i="4"/>
  <c r="GG200" i="4"/>
  <c r="FV200" i="4"/>
  <c r="EQ200" i="4"/>
  <c r="FL200" i="4"/>
  <c r="FE200" i="4"/>
  <c r="ET200" i="4"/>
  <c r="DO200" i="4"/>
  <c r="EJ200" i="4"/>
  <c r="EC200" i="4"/>
  <c r="CM200" i="4"/>
  <c r="DH200" i="4"/>
  <c r="DA200" i="4"/>
  <c r="CP200" i="4"/>
  <c r="FQ200" i="4"/>
  <c r="GL200" i="4"/>
  <c r="GE200" i="4"/>
  <c r="FZ200" i="4"/>
  <c r="EO200" i="4"/>
  <c r="FJ200" i="4"/>
  <c r="FC200" i="4"/>
  <c r="FX200" i="4"/>
  <c r="DM200" i="4"/>
  <c r="EH200" i="4"/>
  <c r="EA200" i="4"/>
  <c r="EX200" i="4"/>
  <c r="FO200" i="4"/>
  <c r="GJ200" i="4"/>
  <c r="GC200" i="4"/>
  <c r="GN66" i="4"/>
  <c r="GG66" i="4"/>
  <c r="DY66" i="4"/>
  <c r="ET66" i="4"/>
  <c r="FL66" i="4"/>
  <c r="FE66" i="4"/>
  <c r="CW66" i="4"/>
  <c r="DR66" i="4"/>
  <c r="EJ66" i="4"/>
  <c r="EC66" i="4"/>
  <c r="CP66" i="4"/>
  <c r="DH66" i="4"/>
  <c r="DA66" i="4"/>
  <c r="FZ66" i="4"/>
  <c r="FS66" i="4"/>
  <c r="GL66" i="4"/>
  <c r="DM66" i="4"/>
  <c r="EX66" i="4"/>
  <c r="EQ66" i="4"/>
  <c r="FJ66" i="4"/>
  <c r="GE66" i="4"/>
  <c r="DV66" i="4"/>
  <c r="DO66" i="4"/>
  <c r="EH66" i="4"/>
  <c r="FC66" i="4"/>
  <c r="CT66" i="4"/>
  <c r="DF66" i="4"/>
  <c r="EA66" i="4"/>
  <c r="FX66" i="4"/>
  <c r="FO66" i="4"/>
  <c r="GJ66" i="4"/>
  <c r="CY66" i="4"/>
  <c r="EV66" i="4"/>
  <c r="EM66" i="4"/>
  <c r="FH66" i="4"/>
  <c r="FQ66" i="4"/>
  <c r="DT66" i="4"/>
  <c r="DK66" i="4"/>
  <c r="DD66" i="4"/>
  <c r="FA66" i="4"/>
  <c r="FV66" i="4"/>
  <c r="EO66" i="4"/>
  <c r="EF66" i="4"/>
  <c r="CR66" i="4"/>
  <c r="FC340" i="4"/>
  <c r="CT145" i="4"/>
  <c r="CT268" i="4"/>
  <c r="CY82" i="4"/>
  <c r="CP177" i="4"/>
  <c r="CR174" i="4"/>
  <c r="CT78" i="4"/>
  <c r="CP149" i="4"/>
  <c r="CY26" i="4"/>
  <c r="CP45" i="4"/>
  <c r="CR225" i="4"/>
  <c r="CT336" i="4"/>
  <c r="CP210" i="4"/>
  <c r="CP96" i="4"/>
  <c r="CY59" i="4"/>
  <c r="CT146" i="4"/>
  <c r="CI266" i="4"/>
  <c r="DV295" i="4"/>
  <c r="CM199" i="4"/>
  <c r="CP117" i="4"/>
  <c r="CY182" i="4"/>
  <c r="CW46" i="4"/>
  <c r="CW383" i="4"/>
  <c r="CT103" i="4"/>
  <c r="DR201" i="4"/>
  <c r="CT102" i="4"/>
  <c r="CT84" i="4"/>
  <c r="CP106" i="4"/>
  <c r="EV35" i="4"/>
  <c r="CM173" i="4"/>
  <c r="EF93" i="4"/>
  <c r="GC66" i="4"/>
  <c r="FZ191" i="4"/>
  <c r="FS191" i="4"/>
  <c r="FE191" i="4"/>
  <c r="EX191" i="4"/>
  <c r="EQ191" i="4"/>
  <c r="DF191" i="4"/>
  <c r="GG191" i="4"/>
  <c r="DV191" i="4"/>
  <c r="DO191" i="4"/>
  <c r="FC191" i="4"/>
  <c r="EH191" i="4"/>
  <c r="CT191" i="4"/>
  <c r="FO191" i="4"/>
  <c r="DD191" i="4"/>
  <c r="CM191" i="4"/>
  <c r="FX191" i="4"/>
  <c r="EM191" i="4"/>
  <c r="GN191" i="4"/>
  <c r="FQ191" i="4"/>
  <c r="EV191" i="4"/>
  <c r="DK191" i="4"/>
  <c r="FA191" i="4"/>
  <c r="EA191" i="4"/>
  <c r="DT191" i="4"/>
  <c r="FL191" i="4"/>
  <c r="GE191" i="4"/>
  <c r="CR191" i="4"/>
  <c r="DY191" i="4"/>
  <c r="GL191" i="4"/>
  <c r="GC191" i="4"/>
  <c r="FV191" i="4"/>
  <c r="FJ191" i="4"/>
  <c r="EO191" i="4"/>
  <c r="EF191" i="4"/>
  <c r="ET191" i="4"/>
  <c r="DM191" i="4"/>
  <c r="EC191" i="4"/>
  <c r="CP191" i="4"/>
  <c r="DH191" i="4"/>
  <c r="EJ191" i="4"/>
  <c r="CI191" i="4"/>
  <c r="DR191" i="4"/>
  <c r="FH191" i="4"/>
  <c r="CK191" i="4"/>
  <c r="GJ191" i="4"/>
  <c r="EX60" i="4"/>
  <c r="EQ60" i="4"/>
  <c r="EM60" i="4"/>
  <c r="EC60" i="4"/>
  <c r="DV60" i="4"/>
  <c r="DO60" i="4"/>
  <c r="DK60" i="4"/>
  <c r="DA60" i="4"/>
  <c r="CT60" i="4"/>
  <c r="CM60" i="4"/>
  <c r="CI60" i="4"/>
  <c r="GL60" i="4"/>
  <c r="GE60" i="4"/>
  <c r="FX60" i="4"/>
  <c r="FQ60" i="4"/>
  <c r="FJ60" i="4"/>
  <c r="FC60" i="4"/>
  <c r="EV60" i="4"/>
  <c r="EO60" i="4"/>
  <c r="EH60" i="4"/>
  <c r="EA60" i="4"/>
  <c r="DT60" i="4"/>
  <c r="DM60" i="4"/>
  <c r="DF60" i="4"/>
  <c r="CY60" i="4"/>
  <c r="CR60" i="4"/>
  <c r="CK60" i="4"/>
  <c r="GJ60" i="4"/>
  <c r="GC60" i="4"/>
  <c r="FV60" i="4"/>
  <c r="GN60" i="4"/>
  <c r="FH60" i="4"/>
  <c r="ET60" i="4"/>
  <c r="FL60" i="4"/>
  <c r="EF60" i="4"/>
  <c r="DY60" i="4"/>
  <c r="DR60" i="4"/>
  <c r="EJ60" i="4"/>
  <c r="GG60" i="4"/>
  <c r="FZ60" i="4"/>
  <c r="FS60" i="4"/>
  <c r="FO60" i="4"/>
  <c r="FL286" i="4"/>
  <c r="FE286" i="4"/>
  <c r="EV286" i="4"/>
  <c r="EJ286" i="4"/>
  <c r="EC286" i="4"/>
  <c r="CW286" i="4"/>
  <c r="DH286" i="4"/>
  <c r="DA286" i="4"/>
  <c r="CR286" i="4"/>
  <c r="DO286" i="4"/>
  <c r="FQ286" i="4"/>
  <c r="GL286" i="4"/>
  <c r="GE286" i="4"/>
  <c r="CP286" i="4"/>
  <c r="EO286" i="4"/>
  <c r="FJ286" i="4"/>
  <c r="FC286" i="4"/>
  <c r="CM286" i="4"/>
  <c r="DM286" i="4"/>
  <c r="EH286" i="4"/>
  <c r="EA286" i="4"/>
  <c r="GC286" i="4"/>
  <c r="CK286" i="4"/>
  <c r="DF286" i="4"/>
  <c r="CY286" i="4"/>
  <c r="FV286" i="4"/>
  <c r="FO286" i="4"/>
  <c r="GJ286" i="4"/>
  <c r="FZ286" i="4"/>
  <c r="FS286" i="4"/>
  <c r="EM286" i="4"/>
  <c r="FH286" i="4"/>
  <c r="EX286" i="4"/>
  <c r="FA286" i="4"/>
  <c r="DK286" i="4"/>
  <c r="EF286" i="4"/>
  <c r="DV286" i="4"/>
  <c r="ET286" i="4"/>
  <c r="GN286" i="4"/>
  <c r="GG286" i="4"/>
  <c r="FX286" i="4"/>
  <c r="DY286" i="4"/>
  <c r="FO150" i="4"/>
  <c r="FC150" i="4"/>
  <c r="FJ150" i="4"/>
  <c r="GJ150" i="4"/>
  <c r="EM150" i="4"/>
  <c r="DT150" i="4"/>
  <c r="ET150" i="4"/>
  <c r="DK150" i="4"/>
  <c r="CY150" i="4"/>
  <c r="CK150" i="4"/>
  <c r="DD150" i="4"/>
  <c r="CI150" i="4"/>
  <c r="FV150" i="4"/>
  <c r="FH150" i="4"/>
  <c r="GC150" i="4"/>
  <c r="GN150" i="4"/>
  <c r="EF150" i="4"/>
  <c r="DR150" i="4"/>
  <c r="EQ150" i="4"/>
  <c r="FL150" i="4"/>
  <c r="CR150" i="4"/>
  <c r="FA150" i="4"/>
  <c r="DA150" i="4"/>
  <c r="EJ150" i="4"/>
  <c r="FS150" i="4"/>
  <c r="DO150" i="4"/>
  <c r="FX150" i="4"/>
  <c r="DH150" i="4"/>
  <c r="DY150" i="4"/>
  <c r="EX150" i="4"/>
  <c r="EH150" i="4"/>
  <c r="GG150" i="4"/>
  <c r="CP150" i="4"/>
  <c r="DM150" i="4"/>
  <c r="CT150" i="4"/>
  <c r="FE150" i="4"/>
  <c r="FQ150" i="4"/>
  <c r="GL150" i="4"/>
  <c r="FZ150" i="4"/>
  <c r="GE150" i="4"/>
  <c r="CM150" i="4"/>
  <c r="DF150" i="4"/>
  <c r="CW150" i="4"/>
  <c r="EO150" i="4"/>
  <c r="EV150" i="4"/>
  <c r="DM343" i="4"/>
  <c r="EJ343" i="4"/>
  <c r="FJ343" i="4"/>
  <c r="GL353" i="4"/>
  <c r="GE353" i="4"/>
  <c r="FX353" i="4"/>
  <c r="DH353" i="4"/>
  <c r="FJ353" i="4"/>
  <c r="FC353" i="4"/>
  <c r="EV353" i="4"/>
  <c r="FO353" i="4"/>
  <c r="EH353" i="4"/>
  <c r="EA353" i="4"/>
  <c r="DT353" i="4"/>
  <c r="ET353" i="4"/>
  <c r="DF353" i="4"/>
  <c r="CY353" i="4"/>
  <c r="CR353" i="4"/>
  <c r="EO353" i="4"/>
  <c r="GJ353" i="4"/>
  <c r="GC353" i="4"/>
  <c r="FV353" i="4"/>
  <c r="EM353" i="4"/>
  <c r="FH353" i="4"/>
  <c r="FA353" i="4"/>
  <c r="FS353" i="4"/>
  <c r="DR353" i="4"/>
  <c r="EF353" i="4"/>
  <c r="DY353" i="4"/>
  <c r="EQ353" i="4"/>
  <c r="DM353" i="4"/>
  <c r="DD353" i="4"/>
  <c r="DO353" i="4"/>
  <c r="DK353" i="4"/>
  <c r="GG353" i="4"/>
  <c r="FZ353" i="4"/>
  <c r="CM353" i="4"/>
  <c r="CP353" i="4"/>
  <c r="FE353" i="4"/>
  <c r="EX353" i="4"/>
  <c r="GN353" i="4"/>
  <c r="CK353" i="4"/>
  <c r="CT353" i="4"/>
  <c r="EJ353" i="4"/>
  <c r="FQ353" i="4"/>
  <c r="CI353" i="4"/>
  <c r="EC353" i="4"/>
  <c r="FL353" i="4"/>
  <c r="FQ252" i="4"/>
  <c r="GL252" i="4"/>
  <c r="EA252" i="4"/>
  <c r="FA252" i="4"/>
  <c r="EO252" i="4"/>
  <c r="FJ252" i="4"/>
  <c r="CY252" i="4"/>
  <c r="CW252" i="4"/>
  <c r="DM252" i="4"/>
  <c r="EH252" i="4"/>
  <c r="GC252" i="4"/>
  <c r="EX252" i="4"/>
  <c r="CK252" i="4"/>
  <c r="DF252" i="4"/>
  <c r="CT252" i="4"/>
  <c r="FO252" i="4"/>
  <c r="GJ252" i="4"/>
  <c r="FZ252" i="4"/>
  <c r="EV252" i="4"/>
  <c r="EM252" i="4"/>
  <c r="FH252" i="4"/>
  <c r="CR252" i="4"/>
  <c r="DK252" i="4"/>
  <c r="EF252" i="4"/>
  <c r="FX252" i="4"/>
  <c r="ET252" i="4"/>
  <c r="CI252" i="4"/>
  <c r="DD252" i="4"/>
  <c r="DR252" i="4"/>
  <c r="CP252" i="4"/>
  <c r="GN252" i="4"/>
  <c r="GG252" i="4"/>
  <c r="FV252" i="4"/>
  <c r="EQ252" i="4"/>
  <c r="FL252" i="4"/>
  <c r="FE252" i="4"/>
  <c r="DO252" i="4"/>
  <c r="EC252" i="4"/>
  <c r="DH252" i="4"/>
  <c r="FC252" i="4"/>
  <c r="DA252" i="4"/>
  <c r="CM252" i="4"/>
  <c r="DY252" i="4"/>
  <c r="EJ252" i="4"/>
  <c r="FS252" i="4"/>
  <c r="FE288" i="4"/>
  <c r="EX288" i="4"/>
  <c r="EC288" i="4"/>
  <c r="DV288" i="4"/>
  <c r="DO288" i="4"/>
  <c r="DM288" i="4"/>
  <c r="DA288" i="4"/>
  <c r="CT288" i="4"/>
  <c r="CM288" i="4"/>
  <c r="GL288" i="4"/>
  <c r="GE288" i="4"/>
  <c r="FX288" i="4"/>
  <c r="GN288" i="4"/>
  <c r="FJ288" i="4"/>
  <c r="FC288" i="4"/>
  <c r="EV288" i="4"/>
  <c r="FL288" i="4"/>
  <c r="EH288" i="4"/>
  <c r="EA288" i="4"/>
  <c r="DT288" i="4"/>
  <c r="EJ288" i="4"/>
  <c r="DF288" i="4"/>
  <c r="CY288" i="4"/>
  <c r="CR288" i="4"/>
  <c r="DH288" i="4"/>
  <c r="GJ288" i="4"/>
  <c r="GC288" i="4"/>
  <c r="FV288" i="4"/>
  <c r="DK288" i="4"/>
  <c r="FH288" i="4"/>
  <c r="FA288" i="4"/>
  <c r="ET288" i="4"/>
  <c r="CK288" i="4"/>
  <c r="EF288" i="4"/>
  <c r="DY288" i="4"/>
  <c r="DR288" i="4"/>
  <c r="CI288" i="4"/>
  <c r="GG288" i="4"/>
  <c r="FZ288" i="4"/>
  <c r="FS288" i="4"/>
  <c r="FO288" i="4"/>
  <c r="DM203" i="4"/>
  <c r="FV203" i="4"/>
  <c r="FH203" i="4"/>
  <c r="GJ203" i="4"/>
  <c r="GN203" i="4"/>
  <c r="CK203" i="4"/>
  <c r="DV203" i="4"/>
  <c r="FL203" i="4"/>
  <c r="GE203" i="4"/>
  <c r="DD203" i="4"/>
  <c r="CT203" i="4"/>
  <c r="EJ203" i="4"/>
  <c r="ET203" i="4"/>
  <c r="FS203" i="4"/>
  <c r="FE203" i="4"/>
  <c r="FJ203" i="4"/>
  <c r="CI203" i="4"/>
  <c r="DA203" i="4"/>
  <c r="CR203" i="4"/>
  <c r="EH203" i="4"/>
  <c r="FZ203" i="4"/>
  <c r="FQ203" i="4"/>
  <c r="FC203" i="4"/>
  <c r="GC203" i="4"/>
  <c r="EQ203" i="4"/>
  <c r="EC203" i="4"/>
  <c r="EX203" i="4"/>
  <c r="FA203" i="4"/>
  <c r="DH203" i="4"/>
  <c r="CY203" i="4"/>
  <c r="DR203" i="4"/>
  <c r="DY203" i="4"/>
  <c r="FX203" i="4"/>
  <c r="FO203" i="4"/>
  <c r="DO203" i="4"/>
  <c r="EV203" i="4"/>
  <c r="DF203" i="4"/>
  <c r="CW203" i="4"/>
  <c r="CM203" i="4"/>
  <c r="GL203" i="4"/>
  <c r="GG203" i="4"/>
  <c r="DK203" i="4"/>
  <c r="EF203" i="4"/>
  <c r="EA203" i="4"/>
  <c r="CP203" i="4"/>
  <c r="DT203" i="4"/>
  <c r="EM144" i="4"/>
  <c r="FH144" i="4"/>
  <c r="ET144" i="4"/>
  <c r="FX144" i="4"/>
  <c r="DK144" i="4"/>
  <c r="EF144" i="4"/>
  <c r="EA144" i="4"/>
  <c r="FC144" i="4"/>
  <c r="CI144" i="4"/>
  <c r="DD144" i="4"/>
  <c r="DY144" i="4"/>
  <c r="CR144" i="4"/>
  <c r="FS144" i="4"/>
  <c r="GN144" i="4"/>
  <c r="GG144" i="4"/>
  <c r="DT144" i="4"/>
  <c r="EQ144" i="4"/>
  <c r="FL144" i="4"/>
  <c r="FE144" i="4"/>
  <c r="DR144" i="4"/>
  <c r="DO144" i="4"/>
  <c r="EJ144" i="4"/>
  <c r="EC144" i="4"/>
  <c r="GE144" i="4"/>
  <c r="CM144" i="4"/>
  <c r="DA144" i="4"/>
  <c r="CY144" i="4"/>
  <c r="FQ144" i="4"/>
  <c r="GL144" i="4"/>
  <c r="FZ144" i="4"/>
  <c r="GC144" i="4"/>
  <c r="EO144" i="4"/>
  <c r="FJ144" i="4"/>
  <c r="EX144" i="4"/>
  <c r="CW144" i="4"/>
  <c r="DM144" i="4"/>
  <c r="EH144" i="4"/>
  <c r="DV144" i="4"/>
  <c r="FV144" i="4"/>
  <c r="FO144" i="4"/>
  <c r="GJ144" i="4"/>
  <c r="EV144" i="4"/>
  <c r="FA144" i="4"/>
  <c r="FS86" i="4"/>
  <c r="GN86" i="4"/>
  <c r="GG86" i="4"/>
  <c r="FV86" i="4"/>
  <c r="EQ86" i="4"/>
  <c r="FL86" i="4"/>
  <c r="FE86" i="4"/>
  <c r="ET86" i="4"/>
  <c r="DO86" i="4"/>
  <c r="EJ86" i="4"/>
  <c r="EC86" i="4"/>
  <c r="DR86" i="4"/>
  <c r="CM86" i="4"/>
  <c r="DH86" i="4"/>
  <c r="DA86" i="4"/>
  <c r="CP86" i="4"/>
  <c r="FQ86" i="4"/>
  <c r="GL86" i="4"/>
  <c r="GE86" i="4"/>
  <c r="DT86" i="4"/>
  <c r="EO86" i="4"/>
  <c r="FJ86" i="4"/>
  <c r="FC86" i="4"/>
  <c r="CT86" i="4"/>
  <c r="DM86" i="4"/>
  <c r="EH86" i="4"/>
  <c r="EA86" i="4"/>
  <c r="CR86" i="4"/>
  <c r="CK86" i="4"/>
  <c r="DF86" i="4"/>
  <c r="CY86" i="4"/>
  <c r="FZ86" i="4"/>
  <c r="FO86" i="4"/>
  <c r="GJ86" i="4"/>
  <c r="GC86" i="4"/>
  <c r="EM86" i="4"/>
  <c r="FH86" i="4"/>
  <c r="FA86" i="4"/>
  <c r="FX86" i="4"/>
  <c r="CI86" i="4"/>
  <c r="DD86" i="4"/>
  <c r="CW86" i="4"/>
  <c r="DV86" i="4"/>
  <c r="DK86" i="4"/>
  <c r="EF86" i="4"/>
  <c r="DY86" i="4"/>
  <c r="EM135" i="4"/>
  <c r="FH135" i="4"/>
  <c r="DR135" i="4"/>
  <c r="DY135" i="4"/>
  <c r="DK135" i="4"/>
  <c r="EF135" i="4"/>
  <c r="GE135" i="4"/>
  <c r="EV135" i="4"/>
  <c r="CI135" i="4"/>
  <c r="DD135" i="4"/>
  <c r="CY135" i="4"/>
  <c r="EA135" i="4"/>
  <c r="FS135" i="4"/>
  <c r="GN135" i="4"/>
  <c r="GG135" i="4"/>
  <c r="GC135" i="4"/>
  <c r="EQ135" i="4"/>
  <c r="FL135" i="4"/>
  <c r="FE135" i="4"/>
  <c r="CW135" i="4"/>
  <c r="DO135" i="4"/>
  <c r="EJ135" i="4"/>
  <c r="EC135" i="4"/>
  <c r="FX135" i="4"/>
  <c r="CM135" i="4"/>
  <c r="DH135" i="4"/>
  <c r="DA135" i="4"/>
  <c r="CR135" i="4"/>
  <c r="FQ135" i="4"/>
  <c r="GL135" i="4"/>
  <c r="FZ135" i="4"/>
  <c r="FV135" i="4"/>
  <c r="EO135" i="4"/>
  <c r="FJ135" i="4"/>
  <c r="EX135" i="4"/>
  <c r="CP135" i="4"/>
  <c r="DM135" i="4"/>
  <c r="EH135" i="4"/>
  <c r="FC135" i="4"/>
  <c r="FO135" i="4"/>
  <c r="GJ135" i="4"/>
  <c r="ET135" i="4"/>
  <c r="EM79" i="4"/>
  <c r="FH79" i="4"/>
  <c r="FA79" i="4"/>
  <c r="CT79" i="4"/>
  <c r="DK79" i="4"/>
  <c r="EF79" i="4"/>
  <c r="DY79" i="4"/>
  <c r="CR79" i="4"/>
  <c r="CI79" i="4"/>
  <c r="DD79" i="4"/>
  <c r="CW79" i="4"/>
  <c r="FZ79" i="4"/>
  <c r="FS79" i="4"/>
  <c r="GN79" i="4"/>
  <c r="GG79" i="4"/>
  <c r="FV79" i="4"/>
  <c r="EQ79" i="4"/>
  <c r="FL79" i="4"/>
  <c r="FE79" i="4"/>
  <c r="ET79" i="4"/>
  <c r="DO79" i="4"/>
  <c r="EJ79" i="4"/>
  <c r="DR79" i="4"/>
  <c r="CM79" i="4"/>
  <c r="DH79" i="4"/>
  <c r="DA79" i="4"/>
  <c r="CP79" i="4"/>
  <c r="FQ79" i="4"/>
  <c r="GL79" i="4"/>
  <c r="GE79" i="4"/>
  <c r="FX79" i="4"/>
  <c r="EO79" i="4"/>
  <c r="FJ79" i="4"/>
  <c r="FC79" i="4"/>
  <c r="EX79" i="4"/>
  <c r="DM79" i="4"/>
  <c r="EH79" i="4"/>
  <c r="EA79" i="4"/>
  <c r="EV79" i="4"/>
  <c r="FO79" i="4"/>
  <c r="GJ79" i="4"/>
  <c r="GC79" i="4"/>
  <c r="DT79" i="4"/>
  <c r="FE211" i="4"/>
  <c r="EX211" i="4"/>
  <c r="EQ211" i="4"/>
  <c r="EM211" i="4"/>
  <c r="EC211" i="4"/>
  <c r="DV211" i="4"/>
  <c r="DO211" i="4"/>
  <c r="DK211" i="4"/>
  <c r="DA211" i="4"/>
  <c r="CT211" i="4"/>
  <c r="CM211" i="4"/>
  <c r="CI211" i="4"/>
  <c r="GL211" i="4"/>
  <c r="GE211" i="4"/>
  <c r="FX211" i="4"/>
  <c r="FQ211" i="4"/>
  <c r="FJ211" i="4"/>
  <c r="FC211" i="4"/>
  <c r="EV211" i="4"/>
  <c r="EO211" i="4"/>
  <c r="EH211" i="4"/>
  <c r="EA211" i="4"/>
  <c r="DM211" i="4"/>
  <c r="DF211" i="4"/>
  <c r="CY211" i="4"/>
  <c r="CR211" i="4"/>
  <c r="CK211" i="4"/>
  <c r="GJ211" i="4"/>
  <c r="GC211" i="4"/>
  <c r="FV211" i="4"/>
  <c r="GN211" i="4"/>
  <c r="FH211" i="4"/>
  <c r="FA211" i="4"/>
  <c r="ET211" i="4"/>
  <c r="FL211" i="4"/>
  <c r="EF211" i="4"/>
  <c r="DY211" i="4"/>
  <c r="EJ211" i="4"/>
  <c r="GG211" i="4"/>
  <c r="FZ211" i="4"/>
  <c r="FS211" i="4"/>
  <c r="FO211" i="4"/>
  <c r="GN55" i="4"/>
  <c r="GG55" i="4"/>
  <c r="CW55" i="4"/>
  <c r="FV55" i="4"/>
  <c r="FL55" i="4"/>
  <c r="FE55" i="4"/>
  <c r="DM55" i="4"/>
  <c r="ET55" i="4"/>
  <c r="EJ55" i="4"/>
  <c r="FZ55" i="4"/>
  <c r="DR55" i="4"/>
  <c r="DH55" i="4"/>
  <c r="DA55" i="4"/>
  <c r="EX55" i="4"/>
  <c r="CP55" i="4"/>
  <c r="GL55" i="4"/>
  <c r="GE55" i="4"/>
  <c r="DV55" i="4"/>
  <c r="FS55" i="4"/>
  <c r="FJ55" i="4"/>
  <c r="FC55" i="4"/>
  <c r="CT55" i="4"/>
  <c r="EQ55" i="4"/>
  <c r="EH55" i="4"/>
  <c r="FQ55" i="4"/>
  <c r="DO55" i="4"/>
  <c r="DF55" i="4"/>
  <c r="CY55" i="4"/>
  <c r="FX55" i="4"/>
  <c r="CM55" i="4"/>
  <c r="GJ55" i="4"/>
  <c r="EO55" i="4"/>
  <c r="EV55" i="4"/>
  <c r="FO55" i="4"/>
  <c r="FH55" i="4"/>
  <c r="GC55" i="4"/>
  <c r="DT55" i="4"/>
  <c r="EM55" i="4"/>
  <c r="DD55" i="4"/>
  <c r="CK55" i="4"/>
  <c r="CI55" i="4"/>
  <c r="EF55" i="4"/>
  <c r="FA55" i="4"/>
  <c r="CR55" i="4"/>
  <c r="DK55" i="4"/>
  <c r="FH90" i="4"/>
  <c r="CY90" i="4"/>
  <c r="CR90" i="4"/>
  <c r="EM90" i="4"/>
  <c r="EF90" i="4"/>
  <c r="GC90" i="4"/>
  <c r="FV90" i="4"/>
  <c r="DK90" i="4"/>
  <c r="DD90" i="4"/>
  <c r="FA90" i="4"/>
  <c r="ET90" i="4"/>
  <c r="CI90" i="4"/>
  <c r="GN90" i="4"/>
  <c r="DM90" i="4"/>
  <c r="DY90" i="4"/>
  <c r="DR90" i="4"/>
  <c r="FL90" i="4"/>
  <c r="GG90" i="4"/>
  <c r="CW90" i="4"/>
  <c r="CP90" i="4"/>
  <c r="EJ90" i="4"/>
  <c r="FE90" i="4"/>
  <c r="FZ90" i="4"/>
  <c r="FS90" i="4"/>
  <c r="EC90" i="4"/>
  <c r="EX90" i="4"/>
  <c r="EQ90" i="4"/>
  <c r="GL90" i="4"/>
  <c r="DA90" i="4"/>
  <c r="DV90" i="4"/>
  <c r="DO90" i="4"/>
  <c r="FJ90" i="4"/>
  <c r="EO90" i="4"/>
  <c r="CT90" i="4"/>
  <c r="CM90" i="4"/>
  <c r="EH90" i="4"/>
  <c r="GE90" i="4"/>
  <c r="FX90" i="4"/>
  <c r="FQ90" i="4"/>
  <c r="GJ90" i="4"/>
  <c r="EA90" i="4"/>
  <c r="DT90" i="4"/>
  <c r="FO90" i="4"/>
  <c r="GJ62" i="4"/>
  <c r="CY62" i="4"/>
  <c r="DT62" i="4"/>
  <c r="DK62" i="4"/>
  <c r="FH62" i="4"/>
  <c r="DM62" i="4"/>
  <c r="CR62" i="4"/>
  <c r="CI62" i="4"/>
  <c r="EF62" i="4"/>
  <c r="GC62" i="4"/>
  <c r="FV62" i="4"/>
  <c r="FQ62" i="4"/>
  <c r="GN62" i="4"/>
  <c r="DD62" i="4"/>
  <c r="FA62" i="4"/>
  <c r="ET62" i="4"/>
  <c r="FL62" i="4"/>
  <c r="GG62" i="4"/>
  <c r="DY62" i="4"/>
  <c r="EJ62" i="4"/>
  <c r="FE62" i="4"/>
  <c r="CW62" i="4"/>
  <c r="CP62" i="4"/>
  <c r="DH62" i="4"/>
  <c r="EC62" i="4"/>
  <c r="FZ62" i="4"/>
  <c r="FS62" i="4"/>
  <c r="CK62" i="4"/>
  <c r="DA62" i="4"/>
  <c r="EX62" i="4"/>
  <c r="EQ62" i="4"/>
  <c r="GL62" i="4"/>
  <c r="EO62" i="4"/>
  <c r="DO62" i="4"/>
  <c r="FJ62" i="4"/>
  <c r="GE62" i="4"/>
  <c r="CT62" i="4"/>
  <c r="CM62" i="4"/>
  <c r="DF62" i="4"/>
  <c r="EA62" i="4"/>
  <c r="EV62" i="4"/>
  <c r="EM62" i="4"/>
  <c r="CR340" i="4"/>
  <c r="DF145" i="4"/>
  <c r="DA268" i="4"/>
  <c r="DF82" i="4"/>
  <c r="DA174" i="4"/>
  <c r="DA78" i="4"/>
  <c r="CW149" i="4"/>
  <c r="CW60" i="4"/>
  <c r="DF26" i="4"/>
  <c r="CW288" i="4"/>
  <c r="CW45" i="4"/>
  <c r="CY225" i="4"/>
  <c r="CW210" i="4"/>
  <c r="CW96" i="4"/>
  <c r="FC90" i="4"/>
  <c r="DA146" i="4"/>
  <c r="DF135" i="4"/>
  <c r="CY266" i="4"/>
  <c r="DD295" i="4"/>
  <c r="DA199" i="4"/>
  <c r="DF182" i="4"/>
  <c r="DF46" i="4"/>
  <c r="CK383" i="4"/>
  <c r="DA201" i="4"/>
  <c r="DF102" i="4"/>
  <c r="DD286" i="4"/>
  <c r="CW106" i="4"/>
  <c r="EA35" i="4"/>
  <c r="FO373" i="4"/>
  <c r="DY173" i="4"/>
  <c r="DV300" i="4"/>
  <c r="L201" i="4"/>
  <c r="L113" i="4"/>
  <c r="FO165" i="4"/>
  <c r="GJ165" i="4"/>
  <c r="GC165" i="4"/>
  <c r="FQ165" i="4"/>
  <c r="EM165" i="4"/>
  <c r="FH165" i="4"/>
  <c r="FA165" i="4"/>
  <c r="EO165" i="4"/>
  <c r="DK165" i="4"/>
  <c r="EF165" i="4"/>
  <c r="DY165" i="4"/>
  <c r="DM165" i="4"/>
  <c r="CI165" i="4"/>
  <c r="DD165" i="4"/>
  <c r="CW165" i="4"/>
  <c r="CK165" i="4"/>
  <c r="GN165" i="4"/>
  <c r="GG165" i="4"/>
  <c r="FZ165" i="4"/>
  <c r="ET165" i="4"/>
  <c r="FL165" i="4"/>
  <c r="FE165" i="4"/>
  <c r="EX165" i="4"/>
  <c r="EQ165" i="4"/>
  <c r="EC165" i="4"/>
  <c r="DV165" i="4"/>
  <c r="DR165" i="4"/>
  <c r="DH165" i="4"/>
  <c r="DA165" i="4"/>
  <c r="CT165" i="4"/>
  <c r="DO165" i="4"/>
  <c r="GL165" i="4"/>
  <c r="GE165" i="4"/>
  <c r="FX165" i="4"/>
  <c r="CP165" i="4"/>
  <c r="FJ165" i="4"/>
  <c r="FC165" i="4"/>
  <c r="EV165" i="4"/>
  <c r="CM165" i="4"/>
  <c r="DF165" i="4"/>
  <c r="CY165" i="4"/>
  <c r="CR165" i="4"/>
  <c r="FS165" i="4"/>
  <c r="EA165" i="4"/>
  <c r="FV165" i="4"/>
  <c r="DT165" i="4"/>
  <c r="EM69" i="4"/>
  <c r="FH69" i="4"/>
  <c r="FA69" i="4"/>
  <c r="DT69" i="4"/>
  <c r="DK69" i="4"/>
  <c r="EF69" i="4"/>
  <c r="DY69" i="4"/>
  <c r="CT69" i="4"/>
  <c r="CI69" i="4"/>
  <c r="DD69" i="4"/>
  <c r="CW69" i="4"/>
  <c r="CR69" i="4"/>
  <c r="FS69" i="4"/>
  <c r="GN69" i="4"/>
  <c r="GG69" i="4"/>
  <c r="FV69" i="4"/>
  <c r="EQ69" i="4"/>
  <c r="FL69" i="4"/>
  <c r="FE69" i="4"/>
  <c r="ET69" i="4"/>
  <c r="DO69" i="4"/>
  <c r="EJ69" i="4"/>
  <c r="DR69" i="4"/>
  <c r="CM69" i="4"/>
  <c r="DH69" i="4"/>
  <c r="DA69" i="4"/>
  <c r="CP69" i="4"/>
  <c r="FQ69" i="4"/>
  <c r="GL69" i="4"/>
  <c r="GE69" i="4"/>
  <c r="FZ69" i="4"/>
  <c r="EO69" i="4"/>
  <c r="FJ69" i="4"/>
  <c r="FC69" i="4"/>
  <c r="FX69" i="4"/>
  <c r="DM69" i="4"/>
  <c r="EH69" i="4"/>
  <c r="EX69" i="4"/>
  <c r="FO69" i="4"/>
  <c r="GJ69" i="4"/>
  <c r="GC69" i="4"/>
  <c r="DV69" i="4"/>
  <c r="FL293" i="4"/>
  <c r="FE293" i="4"/>
  <c r="DO293" i="4"/>
  <c r="EQ293" i="4"/>
  <c r="EJ293" i="4"/>
  <c r="EC293" i="4"/>
  <c r="FV293" i="4"/>
  <c r="DY293" i="4"/>
  <c r="DA293" i="4"/>
  <c r="CW293" i="4"/>
  <c r="DV293" i="4"/>
  <c r="FQ293" i="4"/>
  <c r="GL293" i="4"/>
  <c r="GE293" i="4"/>
  <c r="FS293" i="4"/>
  <c r="EO293" i="4"/>
  <c r="FJ293" i="4"/>
  <c r="FC293" i="4"/>
  <c r="CT293" i="4"/>
  <c r="DM293" i="4"/>
  <c r="EH293" i="4"/>
  <c r="EA293" i="4"/>
  <c r="FA293" i="4"/>
  <c r="CK293" i="4"/>
  <c r="CY293" i="4"/>
  <c r="CR293" i="4"/>
  <c r="FO293" i="4"/>
  <c r="GJ293" i="4"/>
  <c r="GC293" i="4"/>
  <c r="EX293" i="4"/>
  <c r="EM293" i="4"/>
  <c r="FH293" i="4"/>
  <c r="DT293" i="4"/>
  <c r="CP293" i="4"/>
  <c r="DK293" i="4"/>
  <c r="EF293" i="4"/>
  <c r="FZ293" i="4"/>
  <c r="EV293" i="4"/>
  <c r="GN293" i="4"/>
  <c r="GG293" i="4"/>
  <c r="FX293" i="4"/>
  <c r="ET293" i="4"/>
  <c r="FQ186" i="4"/>
  <c r="GL186" i="4"/>
  <c r="GE186" i="4"/>
  <c r="CP186" i="4"/>
  <c r="EO186" i="4"/>
  <c r="FJ186" i="4"/>
  <c r="FC186" i="4"/>
  <c r="DM186" i="4"/>
  <c r="EH186" i="4"/>
  <c r="EA186" i="4"/>
  <c r="GC186" i="4"/>
  <c r="CK186" i="4"/>
  <c r="DF186" i="4"/>
  <c r="CY186" i="4"/>
  <c r="FV186" i="4"/>
  <c r="FO186" i="4"/>
  <c r="GJ186" i="4"/>
  <c r="FZ186" i="4"/>
  <c r="FS186" i="4"/>
  <c r="EM186" i="4"/>
  <c r="FH186" i="4"/>
  <c r="EX186" i="4"/>
  <c r="FA186" i="4"/>
  <c r="DK186" i="4"/>
  <c r="EF186" i="4"/>
  <c r="DV186" i="4"/>
  <c r="ET186" i="4"/>
  <c r="DD186" i="4"/>
  <c r="CT186" i="4"/>
  <c r="EQ186" i="4"/>
  <c r="GN186" i="4"/>
  <c r="GG186" i="4"/>
  <c r="FX186" i="4"/>
  <c r="DY186" i="4"/>
  <c r="FL186" i="4"/>
  <c r="FE186" i="4"/>
  <c r="EV186" i="4"/>
  <c r="DR186" i="4"/>
  <c r="DH186" i="4"/>
  <c r="DA186" i="4"/>
  <c r="CR186" i="4"/>
  <c r="CW186" i="4"/>
  <c r="EJ186" i="4"/>
  <c r="EC186" i="4"/>
  <c r="DT186" i="4"/>
  <c r="DO186" i="4"/>
  <c r="FE177" i="4"/>
  <c r="EX177" i="4"/>
  <c r="DK177" i="4"/>
  <c r="EC177" i="4"/>
  <c r="DV177" i="4"/>
  <c r="DO177" i="4"/>
  <c r="EM177" i="4"/>
  <c r="DA177" i="4"/>
  <c r="CT177" i="4"/>
  <c r="CM177" i="4"/>
  <c r="DM177" i="4"/>
  <c r="GL177" i="4"/>
  <c r="GE177" i="4"/>
  <c r="FX177" i="4"/>
  <c r="GN177" i="4"/>
  <c r="FJ177" i="4"/>
  <c r="FC177" i="4"/>
  <c r="EV177" i="4"/>
  <c r="FL177" i="4"/>
  <c r="EH177" i="4"/>
  <c r="EA177" i="4"/>
  <c r="DT177" i="4"/>
  <c r="EJ177" i="4"/>
  <c r="DF177" i="4"/>
  <c r="CY177" i="4"/>
  <c r="CR177" i="4"/>
  <c r="DH177" i="4"/>
  <c r="GJ177" i="4"/>
  <c r="GC177" i="4"/>
  <c r="FV177" i="4"/>
  <c r="CK177" i="4"/>
  <c r="FH177" i="4"/>
  <c r="FA177" i="4"/>
  <c r="ET177" i="4"/>
  <c r="CI177" i="4"/>
  <c r="EF177" i="4"/>
  <c r="DY177" i="4"/>
  <c r="DR177" i="4"/>
  <c r="FQ177" i="4"/>
  <c r="GG177" i="4"/>
  <c r="FZ177" i="4"/>
  <c r="FS177" i="4"/>
  <c r="EO177" i="4"/>
  <c r="GL100" i="4"/>
  <c r="GE100" i="4"/>
  <c r="FX100" i="4"/>
  <c r="FQ100" i="4"/>
  <c r="FJ100" i="4"/>
  <c r="FC100" i="4"/>
  <c r="EV100" i="4"/>
  <c r="EO100" i="4"/>
  <c r="EH100" i="4"/>
  <c r="EA100" i="4"/>
  <c r="DT100" i="4"/>
  <c r="DM100" i="4"/>
  <c r="CY100" i="4"/>
  <c r="CR100" i="4"/>
  <c r="CK100" i="4"/>
  <c r="GJ100" i="4"/>
  <c r="GC100" i="4"/>
  <c r="FV100" i="4"/>
  <c r="GN100" i="4"/>
  <c r="FH100" i="4"/>
  <c r="FA100" i="4"/>
  <c r="ET100" i="4"/>
  <c r="FL100" i="4"/>
  <c r="EF100" i="4"/>
  <c r="DY100" i="4"/>
  <c r="DR100" i="4"/>
  <c r="EJ100" i="4"/>
  <c r="CW100" i="4"/>
  <c r="CP100" i="4"/>
  <c r="DH100" i="4"/>
  <c r="GG100" i="4"/>
  <c r="FZ100" i="4"/>
  <c r="FS100" i="4"/>
  <c r="DK100" i="4"/>
  <c r="FE100" i="4"/>
  <c r="EX100" i="4"/>
  <c r="EQ100" i="4"/>
  <c r="CI100" i="4"/>
  <c r="DA100" i="4"/>
  <c r="CT100" i="4"/>
  <c r="CM100" i="4"/>
  <c r="FO100" i="4"/>
  <c r="EC100" i="4"/>
  <c r="DV100" i="4"/>
  <c r="DO100" i="4"/>
  <c r="EM100" i="4"/>
  <c r="GL72" i="4"/>
  <c r="GE72" i="4"/>
  <c r="FX72" i="4"/>
  <c r="FQ72" i="4"/>
  <c r="FJ72" i="4"/>
  <c r="FC72" i="4"/>
  <c r="EV72" i="4"/>
  <c r="EH72" i="4"/>
  <c r="EA72" i="4"/>
  <c r="DT72" i="4"/>
  <c r="DM72" i="4"/>
  <c r="DF72" i="4"/>
  <c r="CY72" i="4"/>
  <c r="CR72" i="4"/>
  <c r="CK72" i="4"/>
  <c r="GJ72" i="4"/>
  <c r="GC72" i="4"/>
  <c r="FV72" i="4"/>
  <c r="GN72" i="4"/>
  <c r="FH72" i="4"/>
  <c r="FA72" i="4"/>
  <c r="ET72" i="4"/>
  <c r="FL72" i="4"/>
  <c r="EF72" i="4"/>
  <c r="DY72" i="4"/>
  <c r="DR72" i="4"/>
  <c r="EJ72" i="4"/>
  <c r="DD72" i="4"/>
  <c r="CW72" i="4"/>
  <c r="CP72" i="4"/>
  <c r="DH72" i="4"/>
  <c r="GG72" i="4"/>
  <c r="FZ72" i="4"/>
  <c r="FS72" i="4"/>
  <c r="DK72" i="4"/>
  <c r="FE72" i="4"/>
  <c r="EX72" i="4"/>
  <c r="EQ72" i="4"/>
  <c r="CI72" i="4"/>
  <c r="DA72" i="4"/>
  <c r="CT72" i="4"/>
  <c r="CM72" i="4"/>
  <c r="FO72" i="4"/>
  <c r="EC72" i="4"/>
  <c r="DV72" i="4"/>
  <c r="DO72" i="4"/>
  <c r="FE355" i="4"/>
  <c r="EX355" i="4"/>
  <c r="EQ355" i="4"/>
  <c r="DK355" i="4"/>
  <c r="EC355" i="4"/>
  <c r="DV355" i="4"/>
  <c r="DO355" i="4"/>
  <c r="EM355" i="4"/>
  <c r="DA355" i="4"/>
  <c r="CM355" i="4"/>
  <c r="DM355" i="4"/>
  <c r="GL355" i="4"/>
  <c r="GE355" i="4"/>
  <c r="FX355" i="4"/>
  <c r="GN355" i="4"/>
  <c r="FJ355" i="4"/>
  <c r="FC355" i="4"/>
  <c r="EV355" i="4"/>
  <c r="FL355" i="4"/>
  <c r="EA355" i="4"/>
  <c r="DT355" i="4"/>
  <c r="EJ355" i="4"/>
  <c r="DF355" i="4"/>
  <c r="CY355" i="4"/>
  <c r="CR355" i="4"/>
  <c r="DH355" i="4"/>
  <c r="GJ355" i="4"/>
  <c r="GC355" i="4"/>
  <c r="FV355" i="4"/>
  <c r="CK355" i="4"/>
  <c r="FH355" i="4"/>
  <c r="FA355" i="4"/>
  <c r="ET355" i="4"/>
  <c r="CI355" i="4"/>
  <c r="DY355" i="4"/>
  <c r="DR355" i="4"/>
  <c r="FQ355" i="4"/>
  <c r="GG355" i="4"/>
  <c r="FZ355" i="4"/>
  <c r="FS355" i="4"/>
  <c r="EO355" i="4"/>
  <c r="GL115" i="4"/>
  <c r="GE115" i="4"/>
  <c r="FX115" i="4"/>
  <c r="FQ115" i="4"/>
  <c r="FJ115" i="4"/>
  <c r="EV115" i="4"/>
  <c r="EO115" i="4"/>
  <c r="EH115" i="4"/>
  <c r="EA115" i="4"/>
  <c r="DT115" i="4"/>
  <c r="DM115" i="4"/>
  <c r="DF115" i="4"/>
  <c r="CY115" i="4"/>
  <c r="CR115" i="4"/>
  <c r="CK115" i="4"/>
  <c r="GJ115" i="4"/>
  <c r="GC115" i="4"/>
  <c r="FV115" i="4"/>
  <c r="GN115" i="4"/>
  <c r="FH115" i="4"/>
  <c r="FA115" i="4"/>
  <c r="ET115" i="4"/>
  <c r="FL115" i="4"/>
  <c r="EF115" i="4"/>
  <c r="DY115" i="4"/>
  <c r="DR115" i="4"/>
  <c r="EJ115" i="4"/>
  <c r="DD115" i="4"/>
  <c r="CW115" i="4"/>
  <c r="CP115" i="4"/>
  <c r="DH115" i="4"/>
  <c r="GG115" i="4"/>
  <c r="FZ115" i="4"/>
  <c r="FS115" i="4"/>
  <c r="DK115" i="4"/>
  <c r="FE115" i="4"/>
  <c r="EX115" i="4"/>
  <c r="EQ115" i="4"/>
  <c r="CI115" i="4"/>
  <c r="DA115" i="4"/>
  <c r="CT115" i="4"/>
  <c r="CM115" i="4"/>
  <c r="FO115" i="4"/>
  <c r="EC115" i="4"/>
  <c r="DV115" i="4"/>
  <c r="EM115" i="4"/>
  <c r="DO115" i="4"/>
  <c r="FQ188" i="4"/>
  <c r="GL188" i="4"/>
  <c r="GE188" i="4"/>
  <c r="FX188" i="4"/>
  <c r="EO188" i="4"/>
  <c r="FJ188" i="4"/>
  <c r="FC188" i="4"/>
  <c r="EV188" i="4"/>
  <c r="DM188" i="4"/>
  <c r="EA188" i="4"/>
  <c r="DT188" i="4"/>
  <c r="CK188" i="4"/>
  <c r="DF188" i="4"/>
  <c r="CY188" i="4"/>
  <c r="CR188" i="4"/>
  <c r="FO188" i="4"/>
  <c r="GJ188" i="4"/>
  <c r="GC188" i="4"/>
  <c r="CP188" i="4"/>
  <c r="EM188" i="4"/>
  <c r="FH188" i="4"/>
  <c r="FA188" i="4"/>
  <c r="CM188" i="4"/>
  <c r="DK188" i="4"/>
  <c r="EF188" i="4"/>
  <c r="DY188" i="4"/>
  <c r="FV188" i="4"/>
  <c r="CI188" i="4"/>
  <c r="DD188" i="4"/>
  <c r="CW188" i="4"/>
  <c r="FS188" i="4"/>
  <c r="GN188" i="4"/>
  <c r="GG188" i="4"/>
  <c r="FZ188" i="4"/>
  <c r="ET188" i="4"/>
  <c r="FL188" i="4"/>
  <c r="FE188" i="4"/>
  <c r="EX188" i="4"/>
  <c r="EQ188" i="4"/>
  <c r="DH188" i="4"/>
  <c r="DA188" i="4"/>
  <c r="CT188" i="4"/>
  <c r="DO188" i="4"/>
  <c r="EJ188" i="4"/>
  <c r="EC188" i="4"/>
  <c r="DV188" i="4"/>
  <c r="DR188" i="4"/>
  <c r="FS25" i="4"/>
  <c r="GN25" i="4"/>
  <c r="GG25" i="4"/>
  <c r="FV25" i="4"/>
  <c r="EQ25" i="4"/>
  <c r="FL25" i="4"/>
  <c r="FE25" i="4"/>
  <c r="ET25" i="4"/>
  <c r="DO25" i="4"/>
  <c r="EJ25" i="4"/>
  <c r="EC25" i="4"/>
  <c r="DR25" i="4"/>
  <c r="CM25" i="4"/>
  <c r="DH25" i="4"/>
  <c r="DA25" i="4"/>
  <c r="CP25" i="4"/>
  <c r="FQ25" i="4"/>
  <c r="GL25" i="4"/>
  <c r="GE25" i="4"/>
  <c r="EO25" i="4"/>
  <c r="FJ25" i="4"/>
  <c r="FC25" i="4"/>
  <c r="FX25" i="4"/>
  <c r="DM25" i="4"/>
  <c r="EH25" i="4"/>
  <c r="EA25" i="4"/>
  <c r="EX25" i="4"/>
  <c r="CK25" i="4"/>
  <c r="DF25" i="4"/>
  <c r="CY25" i="4"/>
  <c r="EV25" i="4"/>
  <c r="FO25" i="4"/>
  <c r="GJ25" i="4"/>
  <c r="GC25" i="4"/>
  <c r="DV25" i="4"/>
  <c r="EM25" i="4"/>
  <c r="FH25" i="4"/>
  <c r="FA25" i="4"/>
  <c r="DT25" i="4"/>
  <c r="CI25" i="4"/>
  <c r="DD25" i="4"/>
  <c r="CW25" i="4"/>
  <c r="CR25" i="4"/>
  <c r="DK25" i="4"/>
  <c r="EF25" i="4"/>
  <c r="DY25" i="4"/>
  <c r="CT25" i="4"/>
  <c r="FL192" i="4"/>
  <c r="FE192" i="4"/>
  <c r="DR192" i="4"/>
  <c r="EJ192" i="4"/>
  <c r="EC192" i="4"/>
  <c r="DT192" i="4"/>
  <c r="DO192" i="4"/>
  <c r="DH192" i="4"/>
  <c r="DA192" i="4"/>
  <c r="CR192" i="4"/>
  <c r="CW192" i="4"/>
  <c r="FQ192" i="4"/>
  <c r="GL192" i="4"/>
  <c r="GE192" i="4"/>
  <c r="CP192" i="4"/>
  <c r="EO192" i="4"/>
  <c r="FJ192" i="4"/>
  <c r="FC192" i="4"/>
  <c r="CM192" i="4"/>
  <c r="DM192" i="4"/>
  <c r="EH192" i="4"/>
  <c r="EA192" i="4"/>
  <c r="GC192" i="4"/>
  <c r="CK192" i="4"/>
  <c r="DF192" i="4"/>
  <c r="CY192" i="4"/>
  <c r="FV192" i="4"/>
  <c r="FO192" i="4"/>
  <c r="GJ192" i="4"/>
  <c r="FZ192" i="4"/>
  <c r="FS192" i="4"/>
  <c r="EM192" i="4"/>
  <c r="FH192" i="4"/>
  <c r="FA192" i="4"/>
  <c r="DK192" i="4"/>
  <c r="EF192" i="4"/>
  <c r="DV192" i="4"/>
  <c r="ET192" i="4"/>
  <c r="GN192" i="4"/>
  <c r="GG192" i="4"/>
  <c r="FX192" i="4"/>
  <c r="DY192" i="4"/>
  <c r="FQ216" i="4"/>
  <c r="GL216" i="4"/>
  <c r="GE216" i="4"/>
  <c r="FX216" i="4"/>
  <c r="EO216" i="4"/>
  <c r="FJ216" i="4"/>
  <c r="FC216" i="4"/>
  <c r="EV216" i="4"/>
  <c r="DM216" i="4"/>
  <c r="EH216" i="4"/>
  <c r="EA216" i="4"/>
  <c r="DT216" i="4"/>
  <c r="CK216" i="4"/>
  <c r="DF216" i="4"/>
  <c r="CY216" i="4"/>
  <c r="CR216" i="4"/>
  <c r="FO216" i="4"/>
  <c r="GJ216" i="4"/>
  <c r="GC216" i="4"/>
  <c r="CP216" i="4"/>
  <c r="EM216" i="4"/>
  <c r="FH216" i="4"/>
  <c r="FA216" i="4"/>
  <c r="CM216" i="4"/>
  <c r="DK216" i="4"/>
  <c r="EF216" i="4"/>
  <c r="DY216" i="4"/>
  <c r="FV216" i="4"/>
  <c r="CI216" i="4"/>
  <c r="DD216" i="4"/>
  <c r="CW216" i="4"/>
  <c r="FS216" i="4"/>
  <c r="GN216" i="4"/>
  <c r="GG216" i="4"/>
  <c r="FZ216" i="4"/>
  <c r="ET216" i="4"/>
  <c r="FL216" i="4"/>
  <c r="FE216" i="4"/>
  <c r="EX216" i="4"/>
  <c r="EQ216" i="4"/>
  <c r="DH216" i="4"/>
  <c r="DA216" i="4"/>
  <c r="CT216" i="4"/>
  <c r="DO216" i="4"/>
  <c r="EJ216" i="4"/>
  <c r="EC216" i="4"/>
  <c r="FS107" i="4"/>
  <c r="GN107" i="4"/>
  <c r="GG107" i="4"/>
  <c r="FV107" i="4"/>
  <c r="EQ107" i="4"/>
  <c r="FL107" i="4"/>
  <c r="FE107" i="4"/>
  <c r="ET107" i="4"/>
  <c r="EJ107" i="4"/>
  <c r="EC107" i="4"/>
  <c r="DR107" i="4"/>
  <c r="CM107" i="4"/>
  <c r="DH107" i="4"/>
  <c r="DA107" i="4"/>
  <c r="CP107" i="4"/>
  <c r="FQ107" i="4"/>
  <c r="GL107" i="4"/>
  <c r="GE107" i="4"/>
  <c r="DT107" i="4"/>
  <c r="EO107" i="4"/>
  <c r="FJ107" i="4"/>
  <c r="FC107" i="4"/>
  <c r="CT107" i="4"/>
  <c r="DM107" i="4"/>
  <c r="EH107" i="4"/>
  <c r="EA107" i="4"/>
  <c r="CR107" i="4"/>
  <c r="CK107" i="4"/>
  <c r="DF107" i="4"/>
  <c r="CY107" i="4"/>
  <c r="FZ107" i="4"/>
  <c r="FO107" i="4"/>
  <c r="GJ107" i="4"/>
  <c r="GC107" i="4"/>
  <c r="FX107" i="4"/>
  <c r="EM107" i="4"/>
  <c r="FH107" i="4"/>
  <c r="FA107" i="4"/>
  <c r="EX107" i="4"/>
  <c r="CI107" i="4"/>
  <c r="DD107" i="4"/>
  <c r="CW107" i="4"/>
  <c r="DV107" i="4"/>
  <c r="EF107" i="4"/>
  <c r="DY107" i="4"/>
  <c r="EV107" i="4"/>
  <c r="GL352" i="4"/>
  <c r="GE352" i="4"/>
  <c r="FX352" i="4"/>
  <c r="FO352" i="4"/>
  <c r="FJ352" i="4"/>
  <c r="FC352" i="4"/>
  <c r="EV352" i="4"/>
  <c r="ET352" i="4"/>
  <c r="EH352" i="4"/>
  <c r="EA352" i="4"/>
  <c r="DT352" i="4"/>
  <c r="EO352" i="4"/>
  <c r="DF352" i="4"/>
  <c r="CR352" i="4"/>
  <c r="EM352" i="4"/>
  <c r="GJ352" i="4"/>
  <c r="GC352" i="4"/>
  <c r="FS352" i="4"/>
  <c r="DR352" i="4"/>
  <c r="FH352" i="4"/>
  <c r="FA352" i="4"/>
  <c r="EQ352" i="4"/>
  <c r="DM352" i="4"/>
  <c r="EF352" i="4"/>
  <c r="DY352" i="4"/>
  <c r="DO352" i="4"/>
  <c r="DK352" i="4"/>
  <c r="DD352" i="4"/>
  <c r="CW352" i="4"/>
  <c r="CM352" i="4"/>
  <c r="CP352" i="4"/>
  <c r="GG352" i="4"/>
  <c r="FZ352" i="4"/>
  <c r="CK352" i="4"/>
  <c r="FE352" i="4"/>
  <c r="EX352" i="4"/>
  <c r="FL352" i="4"/>
  <c r="CI352" i="4"/>
  <c r="CT352" i="4"/>
  <c r="DH352" i="4"/>
  <c r="FV352" i="4"/>
  <c r="EC352" i="4"/>
  <c r="DV352" i="4"/>
  <c r="EJ352" i="4"/>
  <c r="FQ352" i="4"/>
  <c r="FL336" i="4"/>
  <c r="FE336" i="4"/>
  <c r="EV336" i="4"/>
  <c r="DR336" i="4"/>
  <c r="EC336" i="4"/>
  <c r="DT336" i="4"/>
  <c r="DO336" i="4"/>
  <c r="DH336" i="4"/>
  <c r="DA336" i="4"/>
  <c r="CR336" i="4"/>
  <c r="CW336" i="4"/>
  <c r="FQ336" i="4"/>
  <c r="GL336" i="4"/>
  <c r="GE336" i="4"/>
  <c r="CP336" i="4"/>
  <c r="EO336" i="4"/>
  <c r="FJ336" i="4"/>
  <c r="FC336" i="4"/>
  <c r="CM336" i="4"/>
  <c r="DM336" i="4"/>
  <c r="EH336" i="4"/>
  <c r="EA336" i="4"/>
  <c r="GC336" i="4"/>
  <c r="CK336" i="4"/>
  <c r="DF336" i="4"/>
  <c r="CY336" i="4"/>
  <c r="FV336" i="4"/>
  <c r="FO336" i="4"/>
  <c r="GJ336" i="4"/>
  <c r="FZ336" i="4"/>
  <c r="FS336" i="4"/>
  <c r="EM336" i="4"/>
  <c r="FH336" i="4"/>
  <c r="EX336" i="4"/>
  <c r="FA336" i="4"/>
  <c r="DK336" i="4"/>
  <c r="EF336" i="4"/>
  <c r="DV336" i="4"/>
  <c r="ET336" i="4"/>
  <c r="GN336" i="4"/>
  <c r="GG336" i="4"/>
  <c r="FX336" i="4"/>
  <c r="DY336" i="4"/>
  <c r="EM59" i="4"/>
  <c r="FH59" i="4"/>
  <c r="FA59" i="4"/>
  <c r="DT59" i="4"/>
  <c r="DK59" i="4"/>
  <c r="EF59" i="4"/>
  <c r="DY59" i="4"/>
  <c r="CT59" i="4"/>
  <c r="CI59" i="4"/>
  <c r="DD59" i="4"/>
  <c r="CW59" i="4"/>
  <c r="CR59" i="4"/>
  <c r="FS59" i="4"/>
  <c r="GN59" i="4"/>
  <c r="GG59" i="4"/>
  <c r="FV59" i="4"/>
  <c r="FL59" i="4"/>
  <c r="FE59" i="4"/>
  <c r="ET59" i="4"/>
  <c r="DO59" i="4"/>
  <c r="EJ59" i="4"/>
  <c r="EC59" i="4"/>
  <c r="DR59" i="4"/>
  <c r="CM59" i="4"/>
  <c r="DH59" i="4"/>
  <c r="DA59" i="4"/>
  <c r="CP59" i="4"/>
  <c r="FQ59" i="4"/>
  <c r="GL59" i="4"/>
  <c r="GE59" i="4"/>
  <c r="FZ59" i="4"/>
  <c r="FJ59" i="4"/>
  <c r="FC59" i="4"/>
  <c r="FX59" i="4"/>
  <c r="DM59" i="4"/>
  <c r="EH59" i="4"/>
  <c r="EA59" i="4"/>
  <c r="EX59" i="4"/>
  <c r="FO59" i="4"/>
  <c r="GJ59" i="4"/>
  <c r="GC59" i="4"/>
  <c r="DV59" i="4"/>
  <c r="FE117" i="4"/>
  <c r="EX117" i="4"/>
  <c r="EQ117" i="4"/>
  <c r="EM117" i="4"/>
  <c r="EC117" i="4"/>
  <c r="DV117" i="4"/>
  <c r="DO117" i="4"/>
  <c r="DK117" i="4"/>
  <c r="DA117" i="4"/>
  <c r="CT117" i="4"/>
  <c r="CM117" i="4"/>
  <c r="CI117" i="4"/>
  <c r="GL117" i="4"/>
  <c r="GE117" i="4"/>
  <c r="FX117" i="4"/>
  <c r="FQ117" i="4"/>
  <c r="FJ117" i="4"/>
  <c r="FC117" i="4"/>
  <c r="EV117" i="4"/>
  <c r="EO117" i="4"/>
  <c r="EH117" i="4"/>
  <c r="EA117" i="4"/>
  <c r="DT117" i="4"/>
  <c r="DM117" i="4"/>
  <c r="DF117" i="4"/>
  <c r="CY117" i="4"/>
  <c r="CR117" i="4"/>
  <c r="CK117" i="4"/>
  <c r="GJ117" i="4"/>
  <c r="GC117" i="4"/>
  <c r="FV117" i="4"/>
  <c r="GN117" i="4"/>
  <c r="FH117" i="4"/>
  <c r="FA117" i="4"/>
  <c r="ET117" i="4"/>
  <c r="FL117" i="4"/>
  <c r="EF117" i="4"/>
  <c r="DY117" i="4"/>
  <c r="DR117" i="4"/>
  <c r="GG117" i="4"/>
  <c r="FZ117" i="4"/>
  <c r="FS117" i="4"/>
  <c r="FO117" i="4"/>
  <c r="GN21" i="4"/>
  <c r="DD21" i="4"/>
  <c r="GC21" i="4"/>
  <c r="CR21" i="4"/>
  <c r="FL21" i="4"/>
  <c r="FV21" i="4"/>
  <c r="FA21" i="4"/>
  <c r="ET21" i="4"/>
  <c r="EJ21" i="4"/>
  <c r="GG21" i="4"/>
  <c r="DY21" i="4"/>
  <c r="CP21" i="4"/>
  <c r="DH21" i="4"/>
  <c r="FE21" i="4"/>
  <c r="CW21" i="4"/>
  <c r="EO21" i="4"/>
  <c r="FQ21" i="4"/>
  <c r="EC21" i="4"/>
  <c r="FZ21" i="4"/>
  <c r="FS21" i="4"/>
  <c r="GL21" i="4"/>
  <c r="DA21" i="4"/>
  <c r="EX21" i="4"/>
  <c r="EQ21" i="4"/>
  <c r="FJ21" i="4"/>
  <c r="GE21" i="4"/>
  <c r="DV21" i="4"/>
  <c r="DO21" i="4"/>
  <c r="EH21" i="4"/>
  <c r="FC21" i="4"/>
  <c r="CT21" i="4"/>
  <c r="CM21" i="4"/>
  <c r="DF21" i="4"/>
  <c r="EA21" i="4"/>
  <c r="FX21" i="4"/>
  <c r="FO21" i="4"/>
  <c r="GJ21" i="4"/>
  <c r="CY21" i="4"/>
  <c r="DM21" i="4"/>
  <c r="EM21" i="4"/>
  <c r="EF21" i="4"/>
  <c r="CK21" i="4"/>
  <c r="CI21" i="4"/>
  <c r="FH21" i="4"/>
  <c r="EV21" i="4"/>
  <c r="DK21" i="4"/>
  <c r="GJ32" i="4"/>
  <c r="DM32" i="4"/>
  <c r="EM32" i="4"/>
  <c r="FH32" i="4"/>
  <c r="GC32" i="4"/>
  <c r="CR32" i="4"/>
  <c r="DK32" i="4"/>
  <c r="EF32" i="4"/>
  <c r="FA32" i="4"/>
  <c r="FV32" i="4"/>
  <c r="CI32" i="4"/>
  <c r="GN32" i="4"/>
  <c r="DD32" i="4"/>
  <c r="DY32" i="4"/>
  <c r="ET32" i="4"/>
  <c r="FL32" i="4"/>
  <c r="GG32" i="4"/>
  <c r="CW32" i="4"/>
  <c r="DR32" i="4"/>
  <c r="EJ32" i="4"/>
  <c r="FE32" i="4"/>
  <c r="FZ32" i="4"/>
  <c r="CP32" i="4"/>
  <c r="DH32" i="4"/>
  <c r="EC32" i="4"/>
  <c r="EX32" i="4"/>
  <c r="FS32" i="4"/>
  <c r="CK32" i="4"/>
  <c r="DA32" i="4"/>
  <c r="EQ32" i="4"/>
  <c r="GL32" i="4"/>
  <c r="GE32" i="4"/>
  <c r="CT32" i="4"/>
  <c r="DO32" i="4"/>
  <c r="FJ32" i="4"/>
  <c r="FC32" i="4"/>
  <c r="EO32" i="4"/>
  <c r="CM32" i="4"/>
  <c r="DF32" i="4"/>
  <c r="CY32" i="4"/>
  <c r="EV32" i="4"/>
  <c r="FO32" i="4"/>
  <c r="CK145" i="4"/>
  <c r="DH268" i="4"/>
  <c r="CK82" i="4"/>
  <c r="DD177" i="4"/>
  <c r="DH174" i="4"/>
  <c r="DH78" i="4"/>
  <c r="DD149" i="4"/>
  <c r="DD60" i="4"/>
  <c r="CK26" i="4"/>
  <c r="DD288" i="4"/>
  <c r="DD45" i="4"/>
  <c r="DF225" i="4"/>
  <c r="CI336" i="4"/>
  <c r="DD210" i="4"/>
  <c r="DD96" i="4"/>
  <c r="CK59" i="4"/>
  <c r="DF90" i="4"/>
  <c r="DH146" i="4"/>
  <c r="CK135" i="4"/>
  <c r="DF266" i="4"/>
  <c r="CI295" i="4"/>
  <c r="DH199" i="4"/>
  <c r="DD117" i="4"/>
  <c r="CK182" i="4"/>
  <c r="CK46" i="4"/>
  <c r="CR383" i="4"/>
  <c r="DH103" i="4"/>
  <c r="DH201" i="4"/>
  <c r="CK102" i="4"/>
  <c r="CI286" i="4"/>
  <c r="DH84" i="4"/>
  <c r="DD106" i="4"/>
  <c r="DF35" i="4"/>
  <c r="CR373" i="4"/>
  <c r="CP76" i="4"/>
  <c r="DH173" i="4"/>
  <c r="EF125" i="4"/>
  <c r="DV353" i="4"/>
  <c r="CP38" i="4"/>
  <c r="FO28" i="4"/>
  <c r="FX28" i="4"/>
  <c r="CY28" i="4"/>
  <c r="GJ28" i="4"/>
  <c r="CM28" i="4"/>
  <c r="CT28" i="4"/>
  <c r="FC28" i="4"/>
  <c r="EH28" i="4"/>
  <c r="DO28" i="4"/>
  <c r="GE28" i="4"/>
  <c r="FJ28" i="4"/>
  <c r="EQ28" i="4"/>
  <c r="EX28" i="4"/>
  <c r="GL28" i="4"/>
  <c r="FS28" i="4"/>
  <c r="FZ28" i="4"/>
  <c r="DA28" i="4"/>
  <c r="DH28" i="4"/>
  <c r="CP28" i="4"/>
  <c r="FQ28" i="4"/>
  <c r="EC28" i="4"/>
  <c r="EJ28" i="4"/>
  <c r="ET28" i="4"/>
  <c r="CW28" i="4"/>
  <c r="FE28" i="4"/>
  <c r="FL28" i="4"/>
  <c r="FV28" i="4"/>
  <c r="DY28" i="4"/>
  <c r="GG28" i="4"/>
  <c r="GN28" i="4"/>
  <c r="CI28" i="4"/>
  <c r="CR28" i="4"/>
  <c r="FA28" i="4"/>
  <c r="DD28" i="4"/>
  <c r="FS68" i="4"/>
  <c r="GN68" i="4"/>
  <c r="GG68" i="4"/>
  <c r="FV68" i="4"/>
  <c r="EQ68" i="4"/>
  <c r="FL68" i="4"/>
  <c r="FE68" i="4"/>
  <c r="ET68" i="4"/>
  <c r="EJ68" i="4"/>
  <c r="EC68" i="4"/>
  <c r="DR68" i="4"/>
  <c r="CM68" i="4"/>
  <c r="DH68" i="4"/>
  <c r="DA68" i="4"/>
  <c r="CP68" i="4"/>
  <c r="FQ68" i="4"/>
  <c r="GL68" i="4"/>
  <c r="GE68" i="4"/>
  <c r="FX68" i="4"/>
  <c r="EO68" i="4"/>
  <c r="FJ68" i="4"/>
  <c r="FC68" i="4"/>
  <c r="EX68" i="4"/>
  <c r="DM68" i="4"/>
  <c r="EH68" i="4"/>
  <c r="EA68" i="4"/>
  <c r="EV68" i="4"/>
  <c r="CK68" i="4"/>
  <c r="DF68" i="4"/>
  <c r="CY68" i="4"/>
  <c r="DV68" i="4"/>
  <c r="FO68" i="4"/>
  <c r="GJ68" i="4"/>
  <c r="GC68" i="4"/>
  <c r="DT68" i="4"/>
  <c r="EM68" i="4"/>
  <c r="FH68" i="4"/>
  <c r="FA68" i="4"/>
  <c r="CT68" i="4"/>
  <c r="CI68" i="4"/>
  <c r="DD68" i="4"/>
  <c r="CW68" i="4"/>
  <c r="FZ68" i="4"/>
  <c r="EF68" i="4"/>
  <c r="CR68" i="4"/>
  <c r="DK28" i="4"/>
  <c r="GC28" i="4"/>
  <c r="EF28" i="4"/>
  <c r="EM28" i="4"/>
  <c r="EV28" i="4"/>
  <c r="CK28" i="4"/>
  <c r="CG174" i="4"/>
  <c r="EM153" i="4"/>
  <c r="HU270" i="4"/>
  <c r="HU269" i="4"/>
  <c r="HU144" i="4"/>
  <c r="HU135" i="4"/>
  <c r="HU367" i="4"/>
  <c r="CC212" i="4"/>
  <c r="CG195" i="4"/>
  <c r="AO133" i="4"/>
  <c r="AQ133" i="4"/>
  <c r="CC56" i="4"/>
  <c r="AS420" i="4"/>
  <c r="CE65" i="4"/>
  <c r="AS65" i="4"/>
  <c r="AQ31" i="4"/>
  <c r="AQ30" i="4"/>
  <c r="CC253" i="4"/>
  <c r="CE299" i="4"/>
  <c r="AQ196" i="4"/>
  <c r="AS196" i="4"/>
  <c r="CG269" i="4"/>
  <c r="CG250" i="4"/>
  <c r="AO250" i="4"/>
  <c r="AQ250" i="4"/>
  <c r="CE214" i="4"/>
  <c r="AQ232" i="4"/>
  <c r="AS232" i="4"/>
  <c r="CE131" i="4"/>
  <c r="AQ131" i="4"/>
  <c r="AQ259" i="4"/>
  <c r="CC256" i="4"/>
  <c r="CE88" i="4"/>
  <c r="CE210" i="4"/>
  <c r="AQ210" i="4"/>
  <c r="CE322" i="4"/>
  <c r="AQ67" i="4"/>
  <c r="AO16" i="4"/>
  <c r="AO40" i="4"/>
  <c r="CG240" i="4"/>
  <c r="AS111" i="4"/>
  <c r="AS43" i="4"/>
  <c r="CE237" i="4"/>
  <c r="CE39" i="4"/>
  <c r="AQ83" i="4"/>
  <c r="AQ119" i="4"/>
  <c r="CC273" i="4"/>
  <c r="AQ208" i="4"/>
  <c r="AS208" i="4"/>
  <c r="AQ251" i="4"/>
  <c r="CG217" i="4"/>
  <c r="CC35" i="4"/>
  <c r="AQ35" i="4"/>
  <c r="CC33" i="4"/>
  <c r="AQ33" i="4"/>
  <c r="AS210" i="4"/>
  <c r="AO253" i="4"/>
  <c r="GJ133" i="4"/>
  <c r="CG106" i="4"/>
  <c r="CG176" i="4"/>
  <c r="CG99" i="4"/>
  <c r="AS125" i="4"/>
  <c r="CG301" i="4"/>
  <c r="CG137" i="4"/>
  <c r="AO137" i="4"/>
  <c r="CG205" i="4"/>
  <c r="AQ50" i="4"/>
  <c r="AQ108" i="4"/>
  <c r="AS108" i="4"/>
  <c r="CG13" i="4"/>
  <c r="AO13" i="4"/>
  <c r="AS68" i="4"/>
  <c r="CE175" i="4"/>
  <c r="CE357" i="4"/>
  <c r="AQ255" i="4"/>
  <c r="AS236" i="4"/>
  <c r="AQ253" i="4"/>
  <c r="CE173" i="4"/>
  <c r="AQ121" i="4"/>
  <c r="AO120" i="4"/>
  <c r="AQ120" i="4"/>
  <c r="AQ126" i="4"/>
  <c r="AS126" i="4"/>
  <c r="CE329" i="4"/>
  <c r="CG308" i="4"/>
  <c r="AO52" i="4"/>
  <c r="AQ52" i="4"/>
  <c r="CC272" i="4"/>
  <c r="CG89" i="4"/>
  <c r="AO89" i="4"/>
  <c r="CC39" i="4"/>
  <c r="CC254" i="4"/>
  <c r="AQ236" i="4"/>
  <c r="AQ111" i="4"/>
  <c r="AQ166" i="4"/>
  <c r="AS127" i="4"/>
  <c r="AO124" i="4"/>
  <c r="AQ124" i="4"/>
  <c r="AQ38" i="4"/>
  <c r="AS38" i="4"/>
  <c r="CE246" i="4"/>
  <c r="AO94" i="4"/>
  <c r="CE200" i="4"/>
  <c r="CE301" i="4"/>
  <c r="CE60" i="4"/>
  <c r="CG286" i="4"/>
  <c r="CC150" i="4"/>
  <c r="CE353" i="4"/>
  <c r="CG203" i="4"/>
  <c r="CE144" i="4"/>
  <c r="AQ86" i="4"/>
  <c r="CE79" i="4"/>
  <c r="AS79" i="4"/>
  <c r="AQ79" i="4"/>
  <c r="AQ90" i="4"/>
  <c r="AS62" i="4"/>
  <c r="AQ249" i="4"/>
  <c r="AQ69" i="4"/>
  <c r="AO96" i="4"/>
  <c r="AQ182" i="4"/>
  <c r="CE186" i="4"/>
  <c r="AO72" i="4"/>
  <c r="CG115" i="4"/>
  <c r="AO115" i="4"/>
  <c r="CE25" i="4"/>
  <c r="AQ25" i="4"/>
  <c r="CE216" i="4"/>
  <c r="AS107" i="4"/>
  <c r="CE117" i="4"/>
  <c r="AQ117" i="4"/>
  <c r="CG21" i="4"/>
  <c r="AO21" i="4"/>
  <c r="AQ32" i="4"/>
  <c r="CC67" i="4"/>
  <c r="CC70" i="4"/>
  <c r="AS200" i="4"/>
  <c r="CG102" i="4"/>
  <c r="AO227" i="4"/>
  <c r="AS141" i="4"/>
  <c r="CE185" i="4"/>
  <c r="AQ98" i="4"/>
  <c r="AS98" i="4"/>
  <c r="AQ95" i="4"/>
  <c r="CG73" i="4"/>
  <c r="AO109" i="4"/>
  <c r="AQ109" i="4"/>
  <c r="AQ138" i="4"/>
  <c r="CE294" i="4"/>
  <c r="AQ168" i="4"/>
  <c r="CG139" i="4"/>
  <c r="AO139" i="4"/>
  <c r="AQ92" i="4"/>
  <c r="CE233" i="4"/>
  <c r="CC188" i="4"/>
  <c r="AQ97" i="4"/>
  <c r="AQ26" i="4"/>
  <c r="AQ59" i="4"/>
  <c r="AQ36" i="4"/>
  <c r="CG263" i="4"/>
  <c r="CG257" i="4"/>
  <c r="CE158" i="4"/>
  <c r="AS158" i="4"/>
  <c r="CG317" i="4"/>
  <c r="CC153" i="4"/>
  <c r="CE209" i="4"/>
  <c r="AS209" i="4"/>
  <c r="AQ209" i="4"/>
  <c r="AQ140" i="4"/>
  <c r="CG101" i="4"/>
  <c r="CE82" i="4"/>
  <c r="AS82" i="4"/>
  <c r="AQ82" i="4"/>
  <c r="CE53" i="4"/>
  <c r="AQ53" i="4"/>
  <c r="AS53" i="4"/>
  <c r="AO46" i="4"/>
  <c r="AS25" i="4"/>
  <c r="AS90" i="4"/>
  <c r="CC199" i="4"/>
  <c r="CC142" i="4"/>
  <c r="AQ70" i="4"/>
  <c r="CG358" i="4"/>
  <c r="CG313" i="4"/>
  <c r="CG224" i="4"/>
  <c r="AQ172" i="4"/>
  <c r="CE81" i="4"/>
  <c r="CC298" i="4"/>
  <c r="CC173" i="4"/>
  <c r="CC25" i="4"/>
  <c r="CC292" i="4"/>
  <c r="CC311" i="4"/>
  <c r="CC233" i="4"/>
  <c r="CC266" i="4"/>
  <c r="CG253" i="4"/>
  <c r="CC182" i="4"/>
  <c r="CC36" i="4"/>
  <c r="CC201" i="4"/>
  <c r="CC217" i="4"/>
  <c r="CC121" i="4"/>
  <c r="CC69" i="4"/>
  <c r="CC314" i="4"/>
  <c r="CC175" i="4"/>
  <c r="CC195" i="4"/>
  <c r="CG61" i="4"/>
  <c r="CC269" i="4"/>
  <c r="CG188" i="4"/>
  <c r="CG143" i="4"/>
  <c r="CG361" i="4"/>
  <c r="CC316" i="4"/>
  <c r="CC223" i="4"/>
  <c r="CC275" i="4"/>
  <c r="CC170" i="4"/>
  <c r="CC86" i="4"/>
  <c r="CC145" i="4"/>
  <c r="CC45" i="4"/>
  <c r="CC210" i="4"/>
  <c r="CC61" i="4"/>
  <c r="CG183" i="4"/>
  <c r="CG227" i="4"/>
  <c r="CC290" i="4"/>
  <c r="CC135" i="4"/>
  <c r="CC30" i="4"/>
  <c r="CC103" i="4"/>
  <c r="CC215" i="4"/>
  <c r="CC166" i="4"/>
  <c r="CC373" i="4"/>
  <c r="CG109" i="4"/>
  <c r="CE232" i="4"/>
  <c r="CC44" i="4"/>
  <c r="CC285" i="4"/>
  <c r="CC237" i="4"/>
  <c r="CC133" i="4"/>
  <c r="CC352" i="4"/>
  <c r="CC165" i="4"/>
  <c r="CC198" i="4"/>
  <c r="CE33" i="4"/>
  <c r="CC249" i="4"/>
  <c r="CC177" i="4"/>
  <c r="CC193" i="4"/>
  <c r="CC172" i="4"/>
  <c r="CC108" i="4"/>
  <c r="CC174" i="4"/>
  <c r="CG238" i="4"/>
  <c r="CG268" i="4"/>
  <c r="CE98" i="4"/>
  <c r="CC85" i="4"/>
  <c r="CC251" i="4"/>
  <c r="CE73" i="4"/>
  <c r="CC117" i="4"/>
  <c r="CE103" i="4"/>
  <c r="CC144" i="4"/>
  <c r="CE215" i="4"/>
  <c r="CC84" i="4"/>
  <c r="CC250" i="4"/>
  <c r="CE373" i="4"/>
  <c r="CC214" i="4"/>
  <c r="CC109" i="4"/>
  <c r="CC232" i="4"/>
  <c r="CE285" i="4"/>
  <c r="CG133" i="4"/>
  <c r="CC115" i="4"/>
  <c r="CE171" i="4"/>
  <c r="CG328" i="4"/>
  <c r="CC185" i="4"/>
  <c r="CG264" i="4"/>
  <c r="CE177" i="4"/>
  <c r="CE308" i="4"/>
  <c r="CE212" i="4"/>
  <c r="CG149" i="4"/>
  <c r="CE108" i="4"/>
  <c r="CE107" i="4"/>
  <c r="CC98" i="4"/>
  <c r="CC79" i="4"/>
  <c r="CC146" i="4"/>
  <c r="CC196" i="4"/>
  <c r="CG265" i="4"/>
  <c r="CC111" i="4"/>
  <c r="CC129" i="4"/>
  <c r="CG158" i="4"/>
  <c r="CC97" i="4"/>
  <c r="CC126" i="4"/>
  <c r="CC228" i="4"/>
  <c r="CG124" i="4"/>
  <c r="CC302" i="4"/>
  <c r="CG72" i="4"/>
  <c r="CC162" i="4"/>
  <c r="CC259" i="4"/>
  <c r="CC38" i="4"/>
  <c r="CC300" i="4"/>
  <c r="CC140" i="4"/>
  <c r="CC90" i="4"/>
  <c r="CG52" i="4"/>
  <c r="CG272" i="4"/>
  <c r="CE168" i="4"/>
  <c r="CC192" i="4"/>
  <c r="CC336" i="4"/>
  <c r="CG213" i="4"/>
  <c r="CE236" i="4"/>
  <c r="CC59" i="4"/>
  <c r="CC187" i="4"/>
  <c r="CE199" i="4"/>
  <c r="CE196" i="4"/>
  <c r="CC53" i="4"/>
  <c r="CC322" i="4"/>
  <c r="CE111" i="4"/>
  <c r="CE129" i="4"/>
  <c r="CE43" i="4"/>
  <c r="CE97" i="4"/>
  <c r="CE243" i="4"/>
  <c r="CE126" i="4"/>
  <c r="CE228" i="4"/>
  <c r="CC131" i="4"/>
  <c r="CC124" i="4"/>
  <c r="CC138" i="4"/>
  <c r="CE134" i="4"/>
  <c r="CE38" i="4"/>
  <c r="CE140" i="4"/>
  <c r="CE90" i="4"/>
  <c r="CE62" i="4"/>
  <c r="CC52" i="4"/>
  <c r="CE64" i="4"/>
  <c r="CC168" i="4"/>
  <c r="CE336" i="4"/>
  <c r="CC236" i="4"/>
  <c r="BF27" i="4"/>
  <c r="CM27" i="4" s="1"/>
  <c r="CC297" i="4"/>
  <c r="CG211" i="4"/>
  <c r="CE95" i="4"/>
  <c r="CG46" i="4"/>
  <c r="CC105" i="4"/>
  <c r="CE420" i="4"/>
  <c r="CG100" i="4"/>
  <c r="CC271" i="4"/>
  <c r="CC120" i="4"/>
  <c r="CC224" i="4"/>
  <c r="CC252" i="4"/>
  <c r="CC83" i="4"/>
  <c r="CC255" i="4"/>
  <c r="CE141" i="4"/>
  <c r="CE68" i="4"/>
  <c r="CC20" i="4"/>
  <c r="CC208" i="4"/>
  <c r="CC119" i="4"/>
  <c r="CC32" i="4"/>
  <c r="CC231" i="4"/>
  <c r="CC184" i="4"/>
  <c r="CG94" i="4"/>
  <c r="CC31" i="4"/>
  <c r="CC26" i="4"/>
  <c r="CC284" i="4"/>
  <c r="CC296" i="4"/>
  <c r="CG147" i="4"/>
  <c r="CG96" i="4"/>
  <c r="CE127" i="4"/>
  <c r="CC295" i="4"/>
  <c r="CC95" i="4"/>
  <c r="CE105" i="4"/>
  <c r="CE277" i="4"/>
  <c r="CC420" i="4"/>
  <c r="CC218" i="4"/>
  <c r="CC167" i="4"/>
  <c r="CE358" i="4"/>
  <c r="CC291" i="4"/>
  <c r="CG120" i="4"/>
  <c r="CE317" i="4"/>
  <c r="CC209" i="4"/>
  <c r="CC141" i="4"/>
  <c r="CG20" i="4"/>
  <c r="CE208" i="4"/>
  <c r="CE125" i="4"/>
  <c r="CG231" i="4"/>
  <c r="CE184" i="4"/>
  <c r="CE256" i="4"/>
  <c r="CE284" i="4"/>
  <c r="CC82" i="4"/>
  <c r="CC96" i="4"/>
  <c r="HU199" i="4"/>
  <c r="HU142" i="4"/>
  <c r="HU70" i="4"/>
  <c r="HU358" i="4"/>
  <c r="HU313" i="4"/>
  <c r="AQ313" i="4" s="1"/>
  <c r="HU134" i="4"/>
  <c r="HU143" i="4"/>
  <c r="HU78" i="4"/>
  <c r="HU238" i="4"/>
  <c r="HU213" i="4"/>
  <c r="HU172" i="4"/>
  <c r="HU47" i="4"/>
  <c r="HU81" i="4"/>
  <c r="AU46" i="4"/>
  <c r="HU46" i="4"/>
  <c r="AU253" i="4"/>
  <c r="HU253" i="4"/>
  <c r="HU212" i="4"/>
  <c r="HU93" i="4"/>
  <c r="AU133" i="4"/>
  <c r="HU133" i="4"/>
  <c r="HU264" i="4"/>
  <c r="HU56" i="4"/>
  <c r="HU147" i="4"/>
  <c r="HU420" i="4"/>
  <c r="HM420" i="4" s="1"/>
  <c r="HU65" i="4"/>
  <c r="AW31" i="4"/>
  <c r="HU31" i="4"/>
  <c r="AW36" i="4"/>
  <c r="HU36" i="4"/>
  <c r="AY196" i="4"/>
  <c r="HU196" i="4"/>
  <c r="HU250" i="4"/>
  <c r="HU214" i="4"/>
  <c r="HU232" i="4"/>
  <c r="HU291" i="4"/>
  <c r="HU225" i="4"/>
  <c r="HU131" i="4"/>
  <c r="HU254" i="4"/>
  <c r="HU259" i="4"/>
  <c r="HU231" i="4"/>
  <c r="HU256" i="4"/>
  <c r="HU88" i="4"/>
  <c r="AW210" i="4"/>
  <c r="HU210" i="4"/>
  <c r="HU322" i="4"/>
  <c r="HU67" i="4"/>
  <c r="AS67" i="4" s="1"/>
  <c r="HU16" i="4"/>
  <c r="AW30" i="4"/>
  <c r="HU30" i="4"/>
  <c r="HU237" i="4"/>
  <c r="HU118" i="4"/>
  <c r="HU218" i="4"/>
  <c r="HU106" i="4"/>
  <c r="HU176" i="4"/>
  <c r="HU99" i="4"/>
  <c r="AQ99" i="4" s="1"/>
  <c r="AU40" i="4"/>
  <c r="HU40" i="4"/>
  <c r="HU132" i="4"/>
  <c r="HU77" i="4"/>
  <c r="HU125" i="4"/>
  <c r="HU301" i="4"/>
  <c r="HU137" i="4"/>
  <c r="HU205" i="4"/>
  <c r="AU361" i="4"/>
  <c r="HU361" i="4"/>
  <c r="HU50" i="4"/>
  <c r="AY108" i="4"/>
  <c r="HU108" i="4"/>
  <c r="HU268" i="4"/>
  <c r="AW236" i="4"/>
  <c r="HU236" i="4"/>
  <c r="HU187" i="4"/>
  <c r="AS187" i="4" s="1"/>
  <c r="HU13" i="4"/>
  <c r="HU68" i="4"/>
  <c r="HU28" i="4"/>
  <c r="HU149" i="4"/>
  <c r="HU173" i="4"/>
  <c r="HU121" i="4"/>
  <c r="HU255" i="4"/>
  <c r="HU314" i="4"/>
  <c r="AU120" i="4"/>
  <c r="HU120" i="4"/>
  <c r="HU126" i="4"/>
  <c r="HU329" i="4"/>
  <c r="HU198" i="4"/>
  <c r="HU308" i="4"/>
  <c r="HU52" i="4"/>
  <c r="HU272" i="4"/>
  <c r="HU297" i="4"/>
  <c r="HU96" i="4"/>
  <c r="AQ96" i="4" s="1"/>
  <c r="HU298" i="4"/>
  <c r="AU89" i="4"/>
  <c r="HU89" i="4"/>
  <c r="HU111" i="4"/>
  <c r="HU83" i="4"/>
  <c r="AO83" i="4" s="1"/>
  <c r="AW251" i="4"/>
  <c r="HU251" i="4"/>
  <c r="HU37" i="4"/>
  <c r="HU292" i="4"/>
  <c r="HU215" i="4"/>
  <c r="HU166" i="4"/>
  <c r="HU127" i="4"/>
  <c r="HU307" i="4"/>
  <c r="HU124" i="4"/>
  <c r="HU38" i="4"/>
  <c r="HU246" i="4"/>
  <c r="HU94" i="4"/>
  <c r="HU266" i="4"/>
  <c r="HU200" i="4"/>
  <c r="HU66" i="4"/>
  <c r="AW26" i="4"/>
  <c r="HU26" i="4"/>
  <c r="HU119" i="4"/>
  <c r="HU35" i="4"/>
  <c r="HU60" i="4"/>
  <c r="HU286" i="4"/>
  <c r="HU150" i="4"/>
  <c r="HU252" i="4"/>
  <c r="HU203" i="4"/>
  <c r="HU86" i="4"/>
  <c r="AW79" i="4"/>
  <c r="HU79" i="4"/>
  <c r="HU211" i="4"/>
  <c r="AS211" i="4" s="1"/>
  <c r="HU55" i="4"/>
  <c r="AY90" i="4"/>
  <c r="HU90" i="4"/>
  <c r="AY43" i="4"/>
  <c r="HU43" i="4"/>
  <c r="HU69" i="4"/>
  <c r="AS69" i="4" s="1"/>
  <c r="HU293" i="4"/>
  <c r="HU186" i="4"/>
  <c r="HU100" i="4"/>
  <c r="AQ100" i="4" s="1"/>
  <c r="AU72" i="4"/>
  <c r="HU72" i="4"/>
  <c r="AQ72" i="4" s="1"/>
  <c r="AU115" i="4"/>
  <c r="HU115" i="4"/>
  <c r="HM115" i="4" s="1"/>
  <c r="HU188" i="4"/>
  <c r="AW25" i="4"/>
  <c r="HU25" i="4"/>
  <c r="HU192" i="4"/>
  <c r="HU216" i="4"/>
  <c r="HU107" i="4"/>
  <c r="HU336" i="4"/>
  <c r="HU59" i="4"/>
  <c r="HU117" i="4"/>
  <c r="HK117" i="4" s="1"/>
  <c r="AU21" i="4"/>
  <c r="HU21" i="4"/>
  <c r="HU32" i="4"/>
  <c r="HU62" i="4"/>
  <c r="AW182" i="4"/>
  <c r="HU182" i="4"/>
  <c r="HU260" i="4"/>
  <c r="HU217" i="4"/>
  <c r="HU183" i="4"/>
  <c r="HU61" i="4"/>
  <c r="HU227" i="4"/>
  <c r="HK227" i="4" s="1"/>
  <c r="GS141" i="4"/>
  <c r="GW141" i="4" s="1"/>
  <c r="HU141" i="4"/>
  <c r="HU185" i="4"/>
  <c r="HU97" i="4"/>
  <c r="HU302" i="4"/>
  <c r="HU98" i="4"/>
  <c r="HS98" i="4" s="1"/>
  <c r="HU296" i="4"/>
  <c r="GS95" i="4"/>
  <c r="GY95" i="4" s="1"/>
  <c r="HU95" i="4"/>
  <c r="HU240" i="4"/>
  <c r="HU39" i="4"/>
  <c r="GS208" i="4"/>
  <c r="GW208" i="4" s="1"/>
  <c r="HU208" i="4"/>
  <c r="HQ208" i="4" s="1"/>
  <c r="HU154" i="4"/>
  <c r="AW33" i="4"/>
  <c r="HU33" i="4"/>
  <c r="HU73" i="4"/>
  <c r="HU84" i="4"/>
  <c r="AS84" i="4" s="1"/>
  <c r="AU109" i="4"/>
  <c r="HU109" i="4"/>
  <c r="HU228" i="4"/>
  <c r="HU193" i="4"/>
  <c r="AW249" i="4"/>
  <c r="HU249" i="4"/>
  <c r="HU171" i="4"/>
  <c r="HU138" i="4"/>
  <c r="HU294" i="4"/>
  <c r="HU300" i="4"/>
  <c r="HU184" i="4"/>
  <c r="HU44" i="4"/>
  <c r="HU168" i="4"/>
  <c r="HQ168" i="4" s="1"/>
  <c r="HU299" i="4"/>
  <c r="HU139" i="4"/>
  <c r="HU92" i="4"/>
  <c r="HU273" i="4"/>
  <c r="HU295" i="4"/>
  <c r="HU265" i="4"/>
  <c r="HU257" i="4"/>
  <c r="AQ257" i="4" s="1"/>
  <c r="HU158" i="4"/>
  <c r="HU317" i="4"/>
  <c r="HU153" i="4"/>
  <c r="AW209" i="4"/>
  <c r="HU209" i="4"/>
  <c r="HQ209" i="4" s="1"/>
  <c r="HU328" i="4"/>
  <c r="HU20" i="4"/>
  <c r="GS140" i="4"/>
  <c r="GY140" i="4" s="1"/>
  <c r="HU140" i="4"/>
  <c r="HU170" i="4"/>
  <c r="HU101" i="4"/>
  <c r="AW82" i="4"/>
  <c r="HU82" i="4"/>
  <c r="AW53" i="4"/>
  <c r="HU53" i="4"/>
  <c r="BF128" i="4"/>
  <c r="EQ128" i="4" s="1"/>
  <c r="L269" i="4"/>
  <c r="AK269" i="4"/>
  <c r="AI269" i="4" s="1"/>
  <c r="L135" i="4"/>
  <c r="L194" i="4"/>
  <c r="L144" i="4"/>
  <c r="AK144" i="4"/>
  <c r="AI144" i="4" s="1"/>
  <c r="L367" i="4"/>
  <c r="AK367" i="4"/>
  <c r="L267" i="4"/>
  <c r="L219" i="4"/>
  <c r="L270" i="4"/>
  <c r="N145" i="4"/>
  <c r="BY145" i="4" s="1"/>
  <c r="GS106" i="4"/>
  <c r="GY106" i="4" s="1"/>
  <c r="AU52" i="4"/>
  <c r="GS52" i="4"/>
  <c r="GY52" i="4" s="1"/>
  <c r="AU96" i="4"/>
  <c r="HA96" i="4"/>
  <c r="AU94" i="4"/>
  <c r="GS94" i="4"/>
  <c r="GY94" i="4" s="1"/>
  <c r="AW97" i="4"/>
  <c r="AW98" i="4"/>
  <c r="GS98" i="4"/>
  <c r="GW98" i="4" s="1"/>
  <c r="GS168" i="4"/>
  <c r="GY168" i="4" s="1"/>
  <c r="GZ168" i="4" s="1"/>
  <c r="AW172" i="4"/>
  <c r="GS131" i="4"/>
  <c r="GW131" i="4" s="1"/>
  <c r="BF157" i="4"/>
  <c r="HU157" i="4" s="1"/>
  <c r="BF155" i="4"/>
  <c r="DA155" i="4" s="1"/>
  <c r="BF23" i="4"/>
  <c r="DF23" i="4" s="1"/>
  <c r="BF34" i="4"/>
  <c r="AW34" i="4" s="1"/>
  <c r="L381" i="4"/>
  <c r="AK381" i="4"/>
  <c r="AI381" i="4" s="1"/>
  <c r="L240" i="4"/>
  <c r="L257" i="4"/>
  <c r="L204" i="4"/>
  <c r="AK204" i="4"/>
  <c r="AI204" i="4" s="1"/>
  <c r="G8" i="15"/>
  <c r="G12" i="15"/>
  <c r="G15" i="15"/>
  <c r="E5" i="15"/>
  <c r="E9" i="15"/>
  <c r="E13" i="15"/>
  <c r="E16" i="15"/>
  <c r="G4" i="15"/>
  <c r="F5" i="15"/>
  <c r="F9" i="15"/>
  <c r="F13" i="15"/>
  <c r="F16" i="15"/>
  <c r="F4" i="15"/>
  <c r="G5" i="15"/>
  <c r="G9" i="15"/>
  <c r="G13" i="15"/>
  <c r="G16" i="15"/>
  <c r="G3" i="15"/>
  <c r="E6" i="15"/>
  <c r="E10" i="15"/>
  <c r="E14" i="15"/>
  <c r="E17" i="15"/>
  <c r="F3" i="15"/>
  <c r="F6" i="15"/>
  <c r="F10" i="15"/>
  <c r="F14" i="15"/>
  <c r="F17" i="15"/>
  <c r="E3" i="15"/>
  <c r="G6" i="15"/>
  <c r="G10" i="15"/>
  <c r="G14" i="15"/>
  <c r="G17" i="15"/>
  <c r="E4" i="15"/>
  <c r="E7" i="15"/>
  <c r="E11" i="15"/>
  <c r="F7" i="15"/>
  <c r="F11" i="15"/>
  <c r="G7" i="15"/>
  <c r="G11" i="15"/>
  <c r="E8" i="15"/>
  <c r="E12" i="15"/>
  <c r="E15" i="15"/>
  <c r="F8" i="15"/>
  <c r="F12" i="15"/>
  <c r="F15" i="15"/>
  <c r="N253" i="4"/>
  <c r="BY253" i="4" s="1"/>
  <c r="AW90" i="4"/>
  <c r="AW108" i="4"/>
  <c r="AW120" i="4"/>
  <c r="AW117" i="4"/>
  <c r="AY236" i="4"/>
  <c r="AW109" i="4"/>
  <c r="AW70" i="4"/>
  <c r="AW83" i="4"/>
  <c r="AY171" i="4"/>
  <c r="AY33" i="4"/>
  <c r="AW52" i="4"/>
  <c r="AY81" i="4"/>
  <c r="AY53" i="4"/>
  <c r="BF58" i="4"/>
  <c r="AW166" i="4"/>
  <c r="AY209" i="4"/>
  <c r="AW140" i="4"/>
  <c r="AY82" i="4"/>
  <c r="AW255" i="4"/>
  <c r="AW196" i="4"/>
  <c r="AY158" i="4"/>
  <c r="AY65" i="4"/>
  <c r="AY420" i="4"/>
  <c r="AW67" i="4"/>
  <c r="BF54" i="4"/>
  <c r="DD54" i="4" s="1"/>
  <c r="BF15" i="4"/>
  <c r="GC15" i="4" s="1"/>
  <c r="AW138" i="4"/>
  <c r="AY38" i="4"/>
  <c r="AY125" i="4"/>
  <c r="AW95" i="4"/>
  <c r="AW259" i="4"/>
  <c r="AW38" i="4"/>
  <c r="AW119" i="4"/>
  <c r="AY111" i="4"/>
  <c r="AY62" i="4"/>
  <c r="AW250" i="4"/>
  <c r="AY200" i="4"/>
  <c r="AU13" i="4"/>
  <c r="AW168" i="4"/>
  <c r="BF18" i="4"/>
  <c r="GG18" i="4" s="1"/>
  <c r="BF6" i="4"/>
  <c r="FE6" i="4" s="1"/>
  <c r="BF48" i="4"/>
  <c r="GE48" i="4" s="1"/>
  <c r="AY126" i="4"/>
  <c r="AY68" i="4"/>
  <c r="AW111" i="4"/>
  <c r="AY127" i="4"/>
  <c r="AU250" i="4"/>
  <c r="AW121" i="4"/>
  <c r="AW167" i="4"/>
  <c r="AW126" i="4"/>
  <c r="AY208" i="4"/>
  <c r="AW35" i="4"/>
  <c r="AW50" i="4"/>
  <c r="AW86" i="4"/>
  <c r="AY210" i="4"/>
  <c r="AY79" i="4"/>
  <c r="AU139" i="4"/>
  <c r="BF5" i="4"/>
  <c r="EJ5" i="4" s="1"/>
  <c r="BF136" i="4"/>
  <c r="EX136" i="4" s="1"/>
  <c r="BF280" i="4"/>
  <c r="DR280" i="4" s="1"/>
  <c r="BF57" i="4"/>
  <c r="FZ57" i="4" s="1"/>
  <c r="BF29" i="4"/>
  <c r="FJ29" i="4" s="1"/>
  <c r="AU124" i="4"/>
  <c r="AY141" i="4"/>
  <c r="AW208" i="4"/>
  <c r="AW32" i="4"/>
  <c r="AW253" i="4"/>
  <c r="AW124" i="4"/>
  <c r="AY25" i="4"/>
  <c r="AU137" i="4"/>
  <c r="AY98" i="4"/>
  <c r="AW69" i="4"/>
  <c r="AY232" i="4"/>
  <c r="BF80" i="4"/>
  <c r="EF80" i="4" s="1"/>
  <c r="BF42" i="4"/>
  <c r="CW42" i="4" s="1"/>
  <c r="BF114" i="4"/>
  <c r="CA114" i="4" s="1"/>
  <c r="AW92" i="4"/>
  <c r="AY107" i="4"/>
  <c r="AY97" i="4"/>
  <c r="AW59" i="4"/>
  <c r="AU227" i="4"/>
  <c r="AW232" i="4"/>
  <c r="AW131" i="4"/>
  <c r="N133" i="4"/>
  <c r="BY133" i="4" s="1"/>
  <c r="BF4" i="4"/>
  <c r="GJ4" i="4" s="1"/>
  <c r="D267" i="5"/>
  <c r="D142" i="5"/>
  <c r="D143" i="5" s="1"/>
  <c r="C302" i="5"/>
  <c r="H8" i="13" s="1"/>
  <c r="E142" i="5"/>
  <c r="E143" i="5" s="1"/>
  <c r="E87" i="5"/>
  <c r="E88" i="5" s="1"/>
  <c r="E267" i="5"/>
  <c r="E62" i="5"/>
  <c r="E63" i="5" s="1"/>
  <c r="D202" i="5"/>
  <c r="C247" i="5"/>
  <c r="Z11" i="13" s="1"/>
  <c r="C107" i="5"/>
  <c r="C142" i="5"/>
  <c r="C143" i="5" s="1"/>
  <c r="E227" i="5"/>
  <c r="AH15" i="13" s="1"/>
  <c r="C87" i="5"/>
  <c r="C88" i="5" s="1"/>
  <c r="C267" i="5"/>
  <c r="C62" i="5"/>
  <c r="C63" i="5" s="1"/>
  <c r="E207" i="5"/>
  <c r="AH7" i="13" s="1"/>
  <c r="D182" i="5"/>
  <c r="E287" i="5"/>
  <c r="AH6" i="13" s="1"/>
  <c r="E42" i="5"/>
  <c r="E43" i="5" s="1"/>
  <c r="E2" i="5"/>
  <c r="E3" i="5" s="1"/>
  <c r="N5" i="13"/>
  <c r="B559" i="11" s="1"/>
  <c r="F5" i="13"/>
  <c r="J5" i="13"/>
  <c r="N12" i="13"/>
  <c r="B554" i="11" s="1"/>
  <c r="F12" i="13"/>
  <c r="B497" i="11" s="1"/>
  <c r="J12" i="13"/>
  <c r="B525" i="11" s="1"/>
  <c r="C47" i="5"/>
  <c r="C7" i="5"/>
  <c r="C8" i="5" s="1"/>
  <c r="E122" i="5"/>
  <c r="E123" i="5" s="1"/>
  <c r="E327" i="5"/>
  <c r="D227" i="5"/>
  <c r="E162" i="5"/>
  <c r="D207" i="5"/>
  <c r="C182" i="5"/>
  <c r="H17" i="13" s="1"/>
  <c r="D287" i="5"/>
  <c r="AD6" i="13" s="1"/>
  <c r="E47" i="5"/>
  <c r="E7" i="5"/>
  <c r="E8" i="5" s="1"/>
  <c r="D122" i="5"/>
  <c r="D123" i="5" s="1"/>
  <c r="D327" i="5"/>
  <c r="E307" i="5"/>
  <c r="AH8" i="13" s="1"/>
  <c r="C227" i="5"/>
  <c r="Z15" i="13" s="1"/>
  <c r="D162" i="5"/>
  <c r="C207" i="5"/>
  <c r="E22" i="5"/>
  <c r="E23" i="5" s="1"/>
  <c r="E187" i="5"/>
  <c r="AH17" i="13" s="1"/>
  <c r="C287" i="5"/>
  <c r="Z6" i="13" s="1"/>
  <c r="F9" i="13"/>
  <c r="N9" i="13"/>
  <c r="B558" i="11" s="1"/>
  <c r="J9" i="13"/>
  <c r="N4" i="13"/>
  <c r="B562" i="11" s="1"/>
  <c r="J4" i="13"/>
  <c r="F4" i="13"/>
  <c r="F16" i="13"/>
  <c r="N16" i="13"/>
  <c r="B561" i="11" s="1"/>
  <c r="J16" i="13"/>
  <c r="D62" i="5"/>
  <c r="D63" i="5" s="1"/>
  <c r="C122" i="5"/>
  <c r="C123" i="5" s="1"/>
  <c r="C327" i="5"/>
  <c r="D307" i="5"/>
  <c r="AD8" i="13" s="1"/>
  <c r="E222" i="5"/>
  <c r="C162" i="5"/>
  <c r="D22" i="5"/>
  <c r="D23" i="5" s="1"/>
  <c r="D187" i="5"/>
  <c r="E282" i="5"/>
  <c r="E283" i="5" s="1"/>
  <c r="E127" i="5"/>
  <c r="AH14" i="13" s="1"/>
  <c r="E322" i="5"/>
  <c r="C307" i="5"/>
  <c r="Z8" i="13" s="1"/>
  <c r="D222" i="5"/>
  <c r="E167" i="5"/>
  <c r="AH16" i="13" s="1"/>
  <c r="C22" i="5"/>
  <c r="C23" i="5" s="1"/>
  <c r="C187" i="5"/>
  <c r="D282" i="5"/>
  <c r="L6" i="13" s="1"/>
  <c r="D47" i="5"/>
  <c r="D48" i="5" s="1"/>
  <c r="D7" i="5"/>
  <c r="D8" i="5" s="1"/>
  <c r="J11" i="13"/>
  <c r="F11" i="13"/>
  <c r="N11" i="13"/>
  <c r="B555" i="11" s="1"/>
  <c r="J13" i="13"/>
  <c r="F13" i="13"/>
  <c r="N13" i="13"/>
  <c r="B553" i="11" s="1"/>
  <c r="J17" i="13"/>
  <c r="X17" i="13" s="1"/>
  <c r="F17" i="13"/>
  <c r="AB17" i="13" s="1"/>
  <c r="N17" i="13"/>
  <c r="AF17" i="13" s="1"/>
  <c r="F14" i="13"/>
  <c r="N14" i="13"/>
  <c r="B556" i="11" s="1"/>
  <c r="J14" i="13"/>
  <c r="D87" i="5"/>
  <c r="D88" i="5" s="1"/>
  <c r="C202" i="5"/>
  <c r="D127" i="5"/>
  <c r="D322" i="5"/>
  <c r="E302" i="5"/>
  <c r="P8" i="13" s="1"/>
  <c r="C222" i="5"/>
  <c r="H15" i="13" s="1"/>
  <c r="D167" i="5"/>
  <c r="E27" i="5"/>
  <c r="E242" i="5"/>
  <c r="B256" i="5" s="1"/>
  <c r="E102" i="5"/>
  <c r="E103" i="5" s="1"/>
  <c r="C282" i="5"/>
  <c r="H6" i="13" s="1"/>
  <c r="C127" i="5"/>
  <c r="C322" i="5"/>
  <c r="D302" i="5"/>
  <c r="L8" i="13" s="1"/>
  <c r="D42" i="5"/>
  <c r="D43" i="5" s="1"/>
  <c r="D2" i="5"/>
  <c r="D3" i="5" s="1"/>
  <c r="C167" i="5"/>
  <c r="D27" i="5"/>
  <c r="D28" i="5" s="1"/>
  <c r="D242" i="5"/>
  <c r="D102" i="5"/>
  <c r="D103" i="5" s="1"/>
  <c r="N10" i="13"/>
  <c r="B552" i="11" s="1"/>
  <c r="F10" i="13"/>
  <c r="J10" i="13"/>
  <c r="F6" i="13"/>
  <c r="AB6" i="13" s="1"/>
  <c r="N6" i="13"/>
  <c r="AF6" i="13" s="1"/>
  <c r="J6" i="13"/>
  <c r="X6" i="13" s="1"/>
  <c r="E147" i="5"/>
  <c r="E262" i="5"/>
  <c r="E67" i="5"/>
  <c r="C27" i="5"/>
  <c r="C28" i="5" s="1"/>
  <c r="C242" i="5"/>
  <c r="H11" i="13" s="1"/>
  <c r="C102" i="5"/>
  <c r="C103" i="5" s="1"/>
  <c r="F15" i="13"/>
  <c r="J15" i="13"/>
  <c r="N15" i="13"/>
  <c r="B560" i="11" s="1"/>
  <c r="F7" i="13"/>
  <c r="J7" i="13"/>
  <c r="N7" i="13"/>
  <c r="B557" i="11" s="1"/>
  <c r="E182" i="5"/>
  <c r="D147" i="5"/>
  <c r="C42" i="5"/>
  <c r="C43" i="5" s="1"/>
  <c r="C2" i="5"/>
  <c r="C3" i="5" s="1"/>
  <c r="D82" i="5"/>
  <c r="D83" i="5" s="1"/>
  <c r="D262" i="5"/>
  <c r="D67" i="5"/>
  <c r="D68" i="5" s="1"/>
  <c r="E247" i="5"/>
  <c r="AH11" i="13" s="1"/>
  <c r="E107" i="5"/>
  <c r="AH13" i="13" s="1"/>
  <c r="N8" i="13"/>
  <c r="AF8" i="13" s="1"/>
  <c r="J8" i="13"/>
  <c r="X8" i="13" s="1"/>
  <c r="F8" i="13"/>
  <c r="AB8" i="13" s="1"/>
  <c r="C147" i="5"/>
  <c r="E82" i="5"/>
  <c r="E83" i="5" s="1"/>
  <c r="C82" i="5"/>
  <c r="C83" i="5" s="1"/>
  <c r="C262" i="5"/>
  <c r="C67" i="5"/>
  <c r="C68" i="5" s="1"/>
  <c r="E202" i="5"/>
  <c r="D247" i="5"/>
  <c r="AD11" i="13" s="1"/>
  <c r="D107" i="5"/>
  <c r="BF24" i="4"/>
  <c r="BY24" i="4" s="1"/>
  <c r="BF17" i="4"/>
  <c r="B332" i="5"/>
  <c r="C12" i="13"/>
  <c r="C332" i="5"/>
  <c r="D12" i="13"/>
  <c r="I12" i="13"/>
  <c r="AA12" i="13"/>
  <c r="E332" i="5"/>
  <c r="D332" i="5"/>
  <c r="U12" i="13"/>
  <c r="AK246" i="4"/>
  <c r="AI246" i="4" s="1"/>
  <c r="BW259" i="4"/>
  <c r="CA124" i="4"/>
  <c r="BY308" i="4"/>
  <c r="BY357" i="4"/>
  <c r="CA109" i="4"/>
  <c r="N158" i="4"/>
  <c r="N141" i="4"/>
  <c r="CA269" i="4"/>
  <c r="BW185" i="4"/>
  <c r="BY294" i="4"/>
  <c r="BW292" i="4"/>
  <c r="BY215" i="4"/>
  <c r="BW215" i="4"/>
  <c r="BW166" i="4"/>
  <c r="BW316" i="4"/>
  <c r="BY237" i="4"/>
  <c r="BW237" i="4"/>
  <c r="CA149" i="4"/>
  <c r="BW39" i="4"/>
  <c r="BY39" i="4"/>
  <c r="N131" i="4"/>
  <c r="BW131" i="4"/>
  <c r="BW254" i="4"/>
  <c r="BY103" i="4"/>
  <c r="BW103" i="4"/>
  <c r="BW45" i="4"/>
  <c r="CA143" i="4"/>
  <c r="N140" i="4"/>
  <c r="BW140" i="4"/>
  <c r="BY184" i="4"/>
  <c r="BW184" i="4"/>
  <c r="BW352" i="4"/>
  <c r="BW336" i="4"/>
  <c r="BY336" i="4"/>
  <c r="BW59" i="4"/>
  <c r="BW117" i="4"/>
  <c r="BW36" i="4"/>
  <c r="BW165" i="4"/>
  <c r="BY358" i="4"/>
  <c r="BY232" i="4"/>
  <c r="BW291" i="4"/>
  <c r="BY134" i="4"/>
  <c r="BY53" i="4"/>
  <c r="BW188" i="4"/>
  <c r="CA286" i="4"/>
  <c r="BW255" i="4"/>
  <c r="CA99" i="4"/>
  <c r="CA40" i="4"/>
  <c r="BW83" i="4"/>
  <c r="CA174" i="4"/>
  <c r="BW174" i="4"/>
  <c r="BY170" i="4"/>
  <c r="BW170" i="4"/>
  <c r="CA302" i="4"/>
  <c r="BW302" i="4"/>
  <c r="N98" i="4"/>
  <c r="BW98" i="4"/>
  <c r="BY98" i="4"/>
  <c r="BW296" i="4"/>
  <c r="N95" i="4"/>
  <c r="BW95" i="4"/>
  <c r="BW30" i="4"/>
  <c r="BW232" i="4"/>
  <c r="BW252" i="4"/>
  <c r="BW115" i="4"/>
  <c r="BW138" i="4"/>
  <c r="BW119" i="4"/>
  <c r="BW53" i="4"/>
  <c r="BY64" i="4"/>
  <c r="CA102" i="4"/>
  <c r="BW69" i="4"/>
  <c r="BY127" i="4"/>
  <c r="CA120" i="4"/>
  <c r="BW120" i="4"/>
  <c r="BW126" i="4"/>
  <c r="BY126" i="4"/>
  <c r="BW44" i="4"/>
  <c r="N168" i="4"/>
  <c r="BW168" i="4"/>
  <c r="BY299" i="4"/>
  <c r="CA139" i="4"/>
  <c r="CA358" i="4"/>
  <c r="BW214" i="4"/>
  <c r="BW314" i="4"/>
  <c r="BY227" i="4"/>
  <c r="CA263" i="4"/>
  <c r="CA115" i="4"/>
  <c r="BW90" i="4"/>
  <c r="CA308" i="4"/>
  <c r="CA188" i="4"/>
  <c r="BY73" i="4"/>
  <c r="CA73" i="4"/>
  <c r="CA183" i="4"/>
  <c r="BY186" i="4"/>
  <c r="BY329" i="4"/>
  <c r="N208" i="4"/>
  <c r="CA231" i="4"/>
  <c r="BW231" i="4"/>
  <c r="BW56" i="4"/>
  <c r="CA101" i="4"/>
  <c r="BW82" i="4"/>
  <c r="BY82" i="4"/>
  <c r="CA89" i="4"/>
  <c r="BW32" i="4"/>
  <c r="BW162" i="4"/>
  <c r="CA227" i="4"/>
  <c r="BW143" i="4"/>
  <c r="BW295" i="4"/>
  <c r="BW223" i="4"/>
  <c r="BY223" i="4"/>
  <c r="BW84" i="4"/>
  <c r="BY177" i="4"/>
  <c r="BW177" i="4"/>
  <c r="BY353" i="4"/>
  <c r="CA137" i="4"/>
  <c r="BW256" i="4"/>
  <c r="BY256" i="4"/>
  <c r="BY243" i="4"/>
  <c r="CA238" i="4"/>
  <c r="CA213" i="4"/>
  <c r="BW26" i="4"/>
  <c r="CA72" i="4"/>
  <c r="BY171" i="4"/>
  <c r="BY208" i="4"/>
  <c r="BY199" i="4"/>
  <c r="BW199" i="4"/>
  <c r="CA265" i="4"/>
  <c r="BW175" i="4"/>
  <c r="BY175" i="4"/>
  <c r="BY277" i="4"/>
  <c r="CA147" i="4"/>
  <c r="N172" i="4"/>
  <c r="BW172" i="4"/>
  <c r="BY214" i="4"/>
  <c r="BY158" i="4"/>
  <c r="BY317" i="4"/>
  <c r="BY65" i="4"/>
  <c r="BW343" i="4"/>
  <c r="BW198" i="4"/>
  <c r="BW92" i="4"/>
  <c r="BW145" i="4"/>
  <c r="CA253" i="4"/>
  <c r="BW253" i="4"/>
  <c r="BW142" i="4"/>
  <c r="BW146" i="4"/>
  <c r="N38" i="4"/>
  <c r="BY233" i="4"/>
  <c r="BW233" i="4"/>
  <c r="BW118" i="4"/>
  <c r="BY373" i="4"/>
  <c r="BW373" i="4"/>
  <c r="BY88" i="4"/>
  <c r="BY210" i="4"/>
  <c r="BW210" i="4"/>
  <c r="BW322" i="4"/>
  <c r="BY322" i="4"/>
  <c r="CA21" i="4"/>
  <c r="BY62" i="4"/>
  <c r="CA257" i="4"/>
  <c r="CA100" i="4"/>
  <c r="CA317" i="4"/>
  <c r="CA313" i="4"/>
  <c r="CA328" i="4"/>
  <c r="BW273" i="4"/>
  <c r="CA211" i="4"/>
  <c r="CA205" i="4"/>
  <c r="CA203" i="4"/>
  <c r="BW196" i="4"/>
  <c r="BY196" i="4"/>
  <c r="BW228" i="4"/>
  <c r="BY228" i="4"/>
  <c r="BW249" i="4"/>
  <c r="BW275" i="4"/>
  <c r="BW271" i="4"/>
  <c r="BW108" i="4"/>
  <c r="BY108" i="4"/>
  <c r="BY129" i="4"/>
  <c r="BW129" i="4"/>
  <c r="BY285" i="4"/>
  <c r="BW285" i="4"/>
  <c r="BW251" i="4"/>
  <c r="BW217" i="4"/>
  <c r="CA217" i="4"/>
  <c r="BW269" i="4"/>
  <c r="BW109" i="4"/>
  <c r="BY209" i="4"/>
  <c r="BY33" i="4"/>
  <c r="BW193" i="4"/>
  <c r="BY185" i="4"/>
  <c r="BW208" i="4"/>
  <c r="BW182" i="4"/>
  <c r="CA250" i="4"/>
  <c r="BW250" i="4"/>
  <c r="BW70" i="4"/>
  <c r="BW153" i="4"/>
  <c r="BY284" i="4"/>
  <c r="BW284" i="4"/>
  <c r="BY144" i="4"/>
  <c r="BW144" i="4"/>
  <c r="BY246" i="4"/>
  <c r="N52" i="4"/>
  <c r="CA52" i="4"/>
  <c r="BW52" i="4"/>
  <c r="CA268" i="4"/>
  <c r="BY236" i="4"/>
  <c r="BW236" i="4"/>
  <c r="BW187" i="4"/>
  <c r="BW420" i="4"/>
  <c r="BY420" i="4"/>
  <c r="CA13" i="4"/>
  <c r="BW209" i="4"/>
  <c r="BY301" i="4"/>
  <c r="BW33" i="4"/>
  <c r="BW20" i="4"/>
  <c r="CA264" i="4"/>
  <c r="BY25" i="4"/>
  <c r="BW50" i="4"/>
  <c r="CA240" i="4"/>
  <c r="BW111" i="4"/>
  <c r="BY111" i="4"/>
  <c r="BW212" i="4"/>
  <c r="BY212" i="4"/>
  <c r="CA224" i="4"/>
  <c r="BW224" i="4"/>
  <c r="BW105" i="4"/>
  <c r="BY105" i="4"/>
  <c r="BW311" i="4"/>
  <c r="BY311" i="4"/>
  <c r="BW192" i="4"/>
  <c r="N94" i="4"/>
  <c r="CA94" i="4"/>
  <c r="BW94" i="4"/>
  <c r="CA272" i="4"/>
  <c r="BW272" i="4"/>
  <c r="BW297" i="4"/>
  <c r="N96" i="4"/>
  <c r="CA96" i="4"/>
  <c r="BW96" i="4"/>
  <c r="BW298" i="4"/>
  <c r="BW67" i="4"/>
  <c r="BY116" i="4"/>
  <c r="BY81" i="4"/>
  <c r="BW150" i="4"/>
  <c r="BW61" i="4"/>
  <c r="BW124" i="4"/>
  <c r="BY125" i="4"/>
  <c r="CA20" i="4"/>
  <c r="BW25" i="4"/>
  <c r="BW218" i="4"/>
  <c r="N106" i="4"/>
  <c r="BW106" i="4"/>
  <c r="CA195" i="4"/>
  <c r="BW195" i="4"/>
  <c r="BW290" i="4"/>
  <c r="BW85" i="4"/>
  <c r="N97" i="4"/>
  <c r="BY97" i="4"/>
  <c r="BW97" i="4"/>
  <c r="BY216" i="4"/>
  <c r="BW86" i="4"/>
  <c r="BW201" i="4"/>
  <c r="BW266" i="4"/>
  <c r="BY200" i="4"/>
  <c r="BW35" i="4"/>
  <c r="CA176" i="4"/>
  <c r="BW167" i="4"/>
  <c r="BY43" i="4"/>
  <c r="CA61" i="4"/>
  <c r="CA301" i="4"/>
  <c r="BY141" i="4"/>
  <c r="BY68" i="4"/>
  <c r="BY90" i="4"/>
  <c r="BW38" i="4"/>
  <c r="BY173" i="4"/>
  <c r="BW173" i="4"/>
  <c r="BW121" i="4"/>
  <c r="CA133" i="4"/>
  <c r="BW133" i="4"/>
  <c r="BW300" i="4"/>
  <c r="BY321" i="4"/>
  <c r="BY107" i="4"/>
  <c r="BW135" i="4"/>
  <c r="BY79" i="4"/>
  <c r="BW79" i="4"/>
  <c r="BW31" i="4"/>
  <c r="CA46" i="4"/>
  <c r="BY38" i="4"/>
  <c r="N32" i="4"/>
  <c r="N62" i="4"/>
  <c r="N13" i="4"/>
  <c r="N65" i="4"/>
  <c r="N90" i="4"/>
  <c r="L89" i="4"/>
  <c r="M89" i="4" s="1"/>
  <c r="L37" i="4"/>
  <c r="M37" i="4" s="1"/>
  <c r="L28" i="4"/>
  <c r="L27" i="4"/>
  <c r="M27" i="4" s="1"/>
  <c r="L19" i="4"/>
  <c r="L14" i="4"/>
  <c r="L26" i="4"/>
  <c r="L91" i="4"/>
  <c r="M91" i="4" s="1"/>
  <c r="L8" i="4"/>
  <c r="M8" i="4" s="1"/>
  <c r="L80" i="4"/>
  <c r="M80" i="4" s="1"/>
  <c r="L42" i="4"/>
  <c r="M42" i="4" s="1"/>
  <c r="L114" i="4"/>
  <c r="M114" i="4" s="1"/>
  <c r="L58" i="4"/>
  <c r="M58" i="4" s="1"/>
  <c r="L36" i="4"/>
  <c r="M36" i="4" s="1"/>
  <c r="L7" i="4"/>
  <c r="M7" i="4" s="1"/>
  <c r="L4" i="4"/>
  <c r="L11" i="4"/>
  <c r="M11" i="4" s="1"/>
  <c r="L12" i="4"/>
  <c r="M12" i="4" s="1"/>
  <c r="L46" i="4"/>
  <c r="M46" i="4" s="1"/>
  <c r="L30" i="4"/>
  <c r="M30" i="4" s="1"/>
  <c r="L421" i="4"/>
  <c r="L67" i="4"/>
  <c r="M67" i="4" s="1"/>
  <c r="L35" i="4"/>
  <c r="M35" i="4" s="1"/>
  <c r="L18" i="4"/>
  <c r="L6" i="4"/>
  <c r="M6" i="4" s="1"/>
  <c r="L24" i="4"/>
  <c r="M24" i="4" s="1"/>
  <c r="L68" i="4"/>
  <c r="M68" i="4" s="1"/>
  <c r="L16" i="4"/>
  <c r="L55" i="4"/>
  <c r="M55" i="4" s="1"/>
  <c r="L92" i="4"/>
  <c r="M92" i="4" s="1"/>
  <c r="L23" i="4"/>
  <c r="L33" i="4"/>
  <c r="M33" i="4" s="1"/>
  <c r="L10" i="4"/>
  <c r="M10" i="4" s="1"/>
  <c r="L116" i="4"/>
  <c r="M116" i="4" s="1"/>
  <c r="L47" i="4"/>
  <c r="M47" i="4" s="1"/>
  <c r="L17" i="4"/>
  <c r="L22" i="4"/>
  <c r="L15" i="4"/>
  <c r="L5" i="4"/>
  <c r="M5" i="4" s="1"/>
  <c r="L29" i="4"/>
  <c r="M29" i="4" s="1"/>
  <c r="L48" i="4"/>
  <c r="M48" i="4" s="1"/>
  <c r="L81" i="4"/>
  <c r="M81" i="4" s="1"/>
  <c r="L155" i="4"/>
  <c r="M155" i="4" s="1"/>
  <c r="L31" i="4"/>
  <c r="M31" i="4" s="1"/>
  <c r="L9" i="4"/>
  <c r="M9" i="4" s="1"/>
  <c r="N246" i="4"/>
  <c r="CA246" i="4" s="1"/>
  <c r="L66" i="4"/>
  <c r="M66" i="4" s="1"/>
  <c r="L21" i="4"/>
  <c r="BF274" i="4"/>
  <c r="HU274" i="4" s="1"/>
  <c r="BF113" i="4"/>
  <c r="HU113" i="4" s="1"/>
  <c r="BF344" i="4"/>
  <c r="AQ344" i="4" s="1"/>
  <c r="BF418" i="4"/>
  <c r="HU418" i="4" s="1"/>
  <c r="BF365" i="4"/>
  <c r="HG365" i="4" s="1"/>
  <c r="BF220" i="4"/>
  <c r="AQ220" i="4" s="1"/>
  <c r="BF363" i="4"/>
  <c r="HU363" i="4" s="1"/>
  <c r="BF304" i="4"/>
  <c r="HU304" i="4" s="1"/>
  <c r="BF324" i="4"/>
  <c r="BF219" i="4"/>
  <c r="CK219" i="4" s="1"/>
  <c r="BF384" i="4"/>
  <c r="BF413" i="4"/>
  <c r="HU413" i="4" s="1"/>
  <c r="BF241" i="4"/>
  <c r="HU241" i="4" s="1"/>
  <c r="BF379" i="4"/>
  <c r="HU379" i="4" s="1"/>
  <c r="BF349" i="4"/>
  <c r="HU349" i="4" s="1"/>
  <c r="BF110" i="4"/>
  <c r="HU110" i="4" s="1"/>
  <c r="BF375" i="4"/>
  <c r="GU375" i="4" s="1"/>
  <c r="BF315" i="4"/>
  <c r="AO315" i="4" s="1"/>
  <c r="BF244" i="4"/>
  <c r="BF104" i="4"/>
  <c r="HU104" i="4" s="1"/>
  <c r="BF401" i="4"/>
  <c r="HU401" i="4" s="1"/>
  <c r="BF377" i="4"/>
  <c r="HG377" i="4" s="1"/>
  <c r="BF419" i="4"/>
  <c r="HU419" i="4" s="1"/>
  <c r="BF160" i="4"/>
  <c r="HU160" i="4" s="1"/>
  <c r="BF376" i="4"/>
  <c r="BF305" i="4"/>
  <c r="BF414" i="4"/>
  <c r="BF247" i="4"/>
  <c r="BF319" i="4"/>
  <c r="BF318" i="4"/>
  <c r="HE318" i="4" s="1"/>
  <c r="BF354" i="4"/>
  <c r="HG354" i="4" s="1"/>
  <c r="BF393" i="4"/>
  <c r="HU393" i="4" s="1"/>
  <c r="BF148" i="4"/>
  <c r="HU148" i="4" s="1"/>
  <c r="BF279" i="4"/>
  <c r="HU279" i="4" s="1"/>
  <c r="BF262" i="4"/>
  <c r="GY262" i="4" s="1"/>
  <c r="GZ262" i="4" s="1"/>
  <c r="BF248" i="4"/>
  <c r="HU248" i="4" s="1"/>
  <c r="BF258" i="4"/>
  <c r="BF75" i="4"/>
  <c r="HU75" i="4" s="1"/>
  <c r="BF347" i="4"/>
  <c r="HU347" i="4" s="1"/>
  <c r="BF389" i="4"/>
  <c r="HG389" i="4" s="1"/>
  <c r="BF417" i="4"/>
  <c r="BF408" i="4"/>
  <c r="BF194" i="4"/>
  <c r="AW194" i="4" s="1"/>
  <c r="BF394" i="4"/>
  <c r="P394" i="4" s="1"/>
  <c r="BS394" i="4" s="1"/>
  <c r="BF351" i="4"/>
  <c r="BF421" i="4"/>
  <c r="BF362" i="4"/>
  <c r="HU362" i="4" s="1"/>
  <c r="BF267" i="4"/>
  <c r="AW267" i="4" s="1"/>
  <c r="BF388" i="4"/>
  <c r="GU388" i="4" s="1"/>
  <c r="BF222" i="4"/>
  <c r="HU222" i="4" s="1"/>
  <c r="BF416" i="4"/>
  <c r="HU416" i="4" s="1"/>
  <c r="BF202" i="4"/>
  <c r="HU202" i="4" s="1"/>
  <c r="BF204" i="4"/>
  <c r="DM204" i="4" s="1"/>
  <c r="BF226" i="4"/>
  <c r="BF381" i="4"/>
  <c r="AY381" i="4" s="1"/>
  <c r="BF360" i="4"/>
  <c r="BF407" i="4"/>
  <c r="P407" i="4" s="1"/>
  <c r="BU407" i="4" s="1"/>
  <c r="BF189" i="4"/>
  <c r="HU189" i="4" s="1"/>
  <c r="BF395" i="4"/>
  <c r="HU395" i="4" s="1"/>
  <c r="BF221" i="4"/>
  <c r="HU221" i="4" s="1"/>
  <c r="BF178" i="4"/>
  <c r="HG178" i="4" s="1"/>
  <c r="BF397" i="4"/>
  <c r="L228" i="4"/>
  <c r="L308" i="4"/>
  <c r="L205" i="4"/>
  <c r="L231" i="4"/>
  <c r="L322" i="4"/>
  <c r="L342" i="4"/>
  <c r="L328" i="4"/>
  <c r="L239" i="4"/>
  <c r="BF239" i="4"/>
  <c r="AW239" i="4" s="1"/>
  <c r="L336" i="4"/>
  <c r="L193" i="4"/>
  <c r="L61" i="4"/>
  <c r="L199" i="4"/>
  <c r="L112" i="4"/>
  <c r="L79" i="4"/>
  <c r="L50" i="4"/>
  <c r="L317" i="4"/>
  <c r="L296" i="4"/>
  <c r="L139" i="4"/>
  <c r="L357" i="4"/>
  <c r="L214" i="4"/>
  <c r="L314" i="4"/>
  <c r="L272" i="4"/>
  <c r="L83" i="4"/>
  <c r="AK25" i="4"/>
  <c r="L25" i="4"/>
  <c r="L184" i="4"/>
  <c r="L44" i="4"/>
  <c r="L295" i="4"/>
  <c r="L143" i="4"/>
  <c r="L149" i="4"/>
  <c r="L292" i="4"/>
  <c r="L286" i="4"/>
  <c r="L170" i="4"/>
  <c r="L273" i="4"/>
  <c r="L150" i="4"/>
  <c r="L84" i="4"/>
  <c r="L259" i="4"/>
  <c r="L166" i="4"/>
  <c r="L157" i="4"/>
  <c r="L99" i="4"/>
  <c r="L187" i="4"/>
  <c r="L265" i="4"/>
  <c r="L203" i="4"/>
  <c r="L291" i="4"/>
  <c r="L300" i="4"/>
  <c r="L154" i="4"/>
  <c r="L107" i="4"/>
  <c r="L293" i="4"/>
  <c r="L39" i="4"/>
  <c r="L176" i="4"/>
  <c r="L252" i="4"/>
  <c r="L320" i="4"/>
  <c r="L198" i="4"/>
  <c r="L147" i="4"/>
  <c r="L255" i="4"/>
  <c r="L93" i="4"/>
  <c r="L294" i="4"/>
  <c r="L225" i="4"/>
  <c r="L268" i="4"/>
  <c r="L210" i="4"/>
  <c r="L200" i="4"/>
  <c r="L70" i="4"/>
  <c r="L127" i="4"/>
  <c r="L232" i="4"/>
  <c r="L306" i="4"/>
  <c r="L88" i="4"/>
  <c r="L40" i="4"/>
  <c r="L134" i="4"/>
  <c r="L266" i="4"/>
  <c r="L101" i="4"/>
  <c r="L186" i="4"/>
  <c r="L78" i="4"/>
  <c r="L211" i="4"/>
  <c r="L217" i="4"/>
  <c r="L316" i="4"/>
  <c r="L188" i="4"/>
  <c r="L307" i="4"/>
  <c r="L299" i="4"/>
  <c r="L20" i="4"/>
  <c r="L264" i="4"/>
  <c r="L142" i="4"/>
  <c r="L128" i="4"/>
  <c r="L182" i="4"/>
  <c r="L77" i="4"/>
  <c r="M77" i="4" s="1"/>
  <c r="L59" i="4"/>
  <c r="L132" i="4"/>
  <c r="L213" i="4"/>
  <c r="L164" i="4"/>
  <c r="L121" i="4"/>
  <c r="L302" i="4"/>
  <c r="L216" i="4"/>
  <c r="L56" i="4"/>
  <c r="L297" i="4"/>
  <c r="L254" i="4"/>
  <c r="L173" i="4"/>
  <c r="L151" i="4"/>
  <c r="L260" i="4"/>
  <c r="L192" i="4"/>
  <c r="L237" i="4"/>
  <c r="L261" i="4"/>
  <c r="L73" i="4"/>
  <c r="L321" i="4"/>
  <c r="L301" i="4"/>
  <c r="L298" i="4"/>
  <c r="L329" i="4"/>
  <c r="L212" i="4"/>
  <c r="L100" i="4"/>
  <c r="L167" i="4"/>
  <c r="L218" i="4"/>
  <c r="L313" i="4"/>
  <c r="L215" i="4"/>
  <c r="L238" i="4"/>
  <c r="L185" i="4"/>
  <c r="L183" i="4"/>
  <c r="L256" i="4"/>
  <c r="L280" i="4"/>
  <c r="L171" i="4"/>
  <c r="E312" i="5"/>
  <c r="V8" i="13"/>
  <c r="D312" i="5"/>
  <c r="U8" i="13"/>
  <c r="R4" i="13"/>
  <c r="S4" i="13" s="1"/>
  <c r="B312" i="5"/>
  <c r="C8" i="13"/>
  <c r="C312" i="5"/>
  <c r="D8" i="13"/>
  <c r="I8" i="13"/>
  <c r="AE6" i="13"/>
  <c r="E292" i="5"/>
  <c r="V6" i="13"/>
  <c r="D292" i="5"/>
  <c r="U6" i="13"/>
  <c r="C272" i="5"/>
  <c r="AA6" i="13"/>
  <c r="B272" i="5"/>
  <c r="E272" i="5"/>
  <c r="C292" i="5"/>
  <c r="D6" i="13"/>
  <c r="D272" i="5"/>
  <c r="B292" i="5"/>
  <c r="C6" i="13"/>
  <c r="AA11" i="13"/>
  <c r="E252" i="5"/>
  <c r="V11" i="13"/>
  <c r="D252" i="5"/>
  <c r="U11" i="13"/>
  <c r="C252" i="5"/>
  <c r="D11" i="13"/>
  <c r="B252" i="5"/>
  <c r="C11" i="13"/>
  <c r="I11" i="13"/>
  <c r="C52" i="5"/>
  <c r="D9" i="13"/>
  <c r="D72" i="5"/>
  <c r="U10" i="13"/>
  <c r="D172" i="5"/>
  <c r="U16" i="13"/>
  <c r="E112" i="5"/>
  <c r="V13" i="13"/>
  <c r="C212" i="5"/>
  <c r="D7" i="13"/>
  <c r="B72" i="5"/>
  <c r="C10" i="13"/>
  <c r="E132" i="5"/>
  <c r="V14" i="13"/>
  <c r="B132" i="5"/>
  <c r="C14" i="13"/>
  <c r="D132" i="5"/>
  <c r="U14" i="13"/>
  <c r="E232" i="5"/>
  <c r="V15" i="13"/>
  <c r="E172" i="5"/>
  <c r="V16" i="13"/>
  <c r="D232" i="5"/>
  <c r="U15" i="13"/>
  <c r="B232" i="5"/>
  <c r="C15" i="13"/>
  <c r="E92" i="5"/>
  <c r="E192" i="5"/>
  <c r="V17" i="13"/>
  <c r="B212" i="5"/>
  <c r="C7" i="13"/>
  <c r="D52" i="5"/>
  <c r="U9" i="13"/>
  <c r="D92" i="5"/>
  <c r="D192" i="5"/>
  <c r="U17" i="13"/>
  <c r="C132" i="5"/>
  <c r="D14" i="13"/>
  <c r="C232" i="5"/>
  <c r="D15" i="13"/>
  <c r="B92" i="5"/>
  <c r="C152" i="5"/>
  <c r="B172" i="5"/>
  <c r="C16" i="13"/>
  <c r="B52" i="5"/>
  <c r="C9" i="13"/>
  <c r="E152" i="5"/>
  <c r="B152" i="5"/>
  <c r="C112" i="5"/>
  <c r="D13" i="13"/>
  <c r="E72" i="5"/>
  <c r="V10" i="13"/>
  <c r="E52" i="5"/>
  <c r="V9" i="13"/>
  <c r="D152" i="5"/>
  <c r="B112" i="5"/>
  <c r="C13" i="13"/>
  <c r="C72" i="5"/>
  <c r="D10" i="13"/>
  <c r="C192" i="5"/>
  <c r="D17" i="13"/>
  <c r="C172" i="5"/>
  <c r="D16" i="13"/>
  <c r="D212" i="5"/>
  <c r="U7" i="13"/>
  <c r="B192" i="5"/>
  <c r="C17" i="13"/>
  <c r="D112" i="5"/>
  <c r="U13" i="13"/>
  <c r="E212" i="5"/>
  <c r="V7" i="13"/>
  <c r="C92" i="5"/>
  <c r="E32" i="5"/>
  <c r="D32" i="5"/>
  <c r="U5" i="13"/>
  <c r="B32" i="5"/>
  <c r="C5" i="13"/>
  <c r="C32" i="5"/>
  <c r="D5" i="13"/>
  <c r="AK119" i="4"/>
  <c r="AI119" i="4" s="1"/>
  <c r="AK361" i="4"/>
  <c r="AK249" i="4"/>
  <c r="AI249" i="4" s="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G181" i="4"/>
  <c r="G90" i="4"/>
  <c r="G337" i="4"/>
  <c r="G339" i="4"/>
  <c r="G125" i="4"/>
  <c r="G373" i="4"/>
  <c r="G275" i="4"/>
  <c r="G77" i="4"/>
  <c r="G89" i="4"/>
  <c r="G119" i="4"/>
  <c r="G132" i="4"/>
  <c r="G128" i="4"/>
  <c r="G294" i="4"/>
  <c r="G115" i="4"/>
  <c r="G360" i="4"/>
  <c r="G244" i="4"/>
  <c r="G272" i="4"/>
  <c r="G11" i="4"/>
  <c r="G106" i="4"/>
  <c r="G363" i="4"/>
  <c r="G414" i="4"/>
  <c r="G54" i="4"/>
  <c r="G212" i="4"/>
  <c r="G226" i="4"/>
  <c r="G281" i="4"/>
  <c r="G81" i="4"/>
  <c r="G105" i="4"/>
  <c r="G260" i="4"/>
  <c r="G241" i="4"/>
  <c r="G4" i="4"/>
  <c r="G79" i="4"/>
  <c r="G175" i="4"/>
  <c r="G165" i="4"/>
  <c r="G148" i="4"/>
  <c r="G173" i="4"/>
  <c r="G177" i="4"/>
  <c r="G83" i="4"/>
  <c r="G159" i="4"/>
  <c r="G13" i="4"/>
  <c r="G419" i="4"/>
  <c r="G379" i="4"/>
  <c r="G124" i="4"/>
  <c r="G108" i="4"/>
  <c r="G76" i="4"/>
  <c r="G210" i="4"/>
  <c r="G418" i="4"/>
  <c r="G292" i="4"/>
  <c r="G19" i="4"/>
  <c r="G96" i="4"/>
  <c r="G44" i="4"/>
  <c r="G271" i="4"/>
  <c r="G191" i="4"/>
  <c r="G207" i="4"/>
  <c r="G64" i="4"/>
  <c r="G28" i="4"/>
  <c r="G401" i="4"/>
  <c r="G46" i="4"/>
  <c r="G209" i="4"/>
  <c r="G242" i="4"/>
  <c r="G52" i="4"/>
  <c r="G286" i="4"/>
  <c r="G31" i="4"/>
  <c r="G319" i="4"/>
  <c r="G213" i="4"/>
  <c r="G43" i="4"/>
  <c r="G322" i="4"/>
  <c r="G202" i="4"/>
  <c r="G255" i="4"/>
  <c r="G274" i="4"/>
  <c r="G336" i="4"/>
  <c r="G259" i="4"/>
  <c r="G421" i="4"/>
  <c r="G224" i="4"/>
  <c r="G134" i="4"/>
  <c r="G160" i="4"/>
  <c r="G39" i="4"/>
  <c r="G240" i="4"/>
  <c r="G304" i="4"/>
  <c r="G198" i="4"/>
  <c r="G222" i="4"/>
  <c r="G188" i="4"/>
  <c r="G74" i="4"/>
  <c r="G72" i="4"/>
  <c r="G143" i="4"/>
  <c r="G127" i="4"/>
  <c r="G381" i="4"/>
  <c r="G403" i="4"/>
  <c r="G324" i="4"/>
  <c r="G123" i="4"/>
  <c r="G395" i="4"/>
  <c r="G195" i="4"/>
  <c r="G182" i="4"/>
  <c r="G309" i="4"/>
  <c r="G350" i="4"/>
  <c r="G326" i="4"/>
  <c r="G253" i="4"/>
  <c r="G297" i="4"/>
  <c r="G258" i="4"/>
  <c r="G61" i="4"/>
  <c r="G162" i="4"/>
  <c r="G183" i="4"/>
  <c r="G400" i="4"/>
  <c r="G219" i="4"/>
  <c r="G9" i="4"/>
  <c r="G235" i="4"/>
  <c r="G179" i="4"/>
  <c r="G112" i="4"/>
  <c r="G246" i="4"/>
  <c r="G63" i="4"/>
  <c r="G407" i="4"/>
  <c r="G340" i="4"/>
  <c r="G6" i="4"/>
  <c r="G158" i="4"/>
  <c r="G29" i="4"/>
  <c r="G250" i="4"/>
  <c r="G412" i="4"/>
  <c r="G200" i="4"/>
  <c r="G393" i="4"/>
  <c r="G347" i="4"/>
  <c r="G42" i="4"/>
  <c r="G17" i="4"/>
  <c r="G15" i="4"/>
  <c r="G117" i="4"/>
  <c r="G251" i="4"/>
  <c r="G107" i="4"/>
  <c r="G144" i="4"/>
  <c r="G99" i="4"/>
  <c r="G7" i="4"/>
  <c r="G40" i="4"/>
  <c r="G280" i="4"/>
  <c r="G413" i="4"/>
  <c r="G215" i="4"/>
  <c r="G10" i="4"/>
  <c r="G204" i="4"/>
  <c r="G298" i="4"/>
  <c r="G73" i="4"/>
  <c r="G37" i="4"/>
  <c r="G23" i="4"/>
  <c r="G82" i="4"/>
  <c r="G71" i="4"/>
  <c r="G58" i="4"/>
  <c r="G12" i="4"/>
  <c r="G168" i="4"/>
  <c r="G362" i="4"/>
  <c r="G80" i="4"/>
  <c r="G48" i="4"/>
  <c r="G192" i="4"/>
  <c r="G50" i="4"/>
  <c r="G68" i="4"/>
  <c r="G94" i="4"/>
  <c r="G8" i="4"/>
  <c r="G135" i="4"/>
  <c r="G237" i="4"/>
  <c r="G25" i="4"/>
  <c r="G352" i="4"/>
  <c r="G151" i="4"/>
  <c r="G33" i="4"/>
  <c r="G232" i="4"/>
  <c r="G299" i="4"/>
  <c r="G249" i="4"/>
  <c r="G92" i="4"/>
  <c r="G142" i="4"/>
  <c r="G343" i="4"/>
  <c r="G211" i="4"/>
  <c r="G353" i="4"/>
  <c r="G78" i="4"/>
  <c r="G316" i="4"/>
  <c r="G14" i="4"/>
  <c r="G349" i="4"/>
  <c r="G49" i="4"/>
  <c r="G88" i="4"/>
  <c r="G171" i="4"/>
  <c r="G101" i="4"/>
  <c r="G140" i="4"/>
  <c r="G157" i="4"/>
  <c r="G113" i="4"/>
  <c r="G69" i="4"/>
  <c r="G38" i="4"/>
  <c r="G422" i="4"/>
  <c r="G356" i="4"/>
  <c r="G111" i="4"/>
  <c r="G65" i="4"/>
  <c r="G131" i="4"/>
  <c r="G169" i="4"/>
  <c r="G86" i="4"/>
  <c r="G206" i="4"/>
  <c r="G164" i="4"/>
  <c r="G147" i="4"/>
  <c r="G116" i="4"/>
  <c r="G129" i="4"/>
  <c r="G196" i="4"/>
  <c r="G75" i="4"/>
  <c r="G16" i="4"/>
  <c r="G21" i="4"/>
  <c r="G320" i="4"/>
  <c r="G170" i="4"/>
  <c r="G118" i="4"/>
  <c r="G300" i="4"/>
  <c r="G51" i="4"/>
  <c r="G262" i="4"/>
  <c r="G308" i="4"/>
  <c r="G145" i="4"/>
  <c r="G110" i="4"/>
  <c r="G365" i="4"/>
  <c r="G236" i="4"/>
  <c r="G130" i="4"/>
  <c r="G27" i="4"/>
  <c r="G114" i="4"/>
  <c r="G136" i="4"/>
  <c r="G70" i="4"/>
  <c r="G137" i="4"/>
  <c r="G208" i="4"/>
  <c r="G193" i="4"/>
  <c r="G354" i="4"/>
  <c r="G233" i="4"/>
  <c r="BW350" i="4" l="1"/>
  <c r="DK91" i="4"/>
  <c r="FZ306" i="4"/>
  <c r="CK342" i="4"/>
  <c r="DV350" i="4"/>
  <c r="FZ350" i="4"/>
  <c r="FA350" i="4"/>
  <c r="EA350" i="4"/>
  <c r="AQ350" i="4"/>
  <c r="CM350" i="4"/>
  <c r="CP350" i="4"/>
  <c r="FV350" i="4"/>
  <c r="EV350" i="4"/>
  <c r="HU350" i="4"/>
  <c r="FL350" i="4"/>
  <c r="CC350" i="4"/>
  <c r="EX320" i="4"/>
  <c r="CT350" i="4"/>
  <c r="CW350" i="4"/>
  <c r="GC350" i="4"/>
  <c r="FC350" i="4"/>
  <c r="HE350" i="4"/>
  <c r="HF350" i="4" s="1"/>
  <c r="FO350" i="4"/>
  <c r="CA306" i="4"/>
  <c r="EA320" i="4"/>
  <c r="DA350" i="4"/>
  <c r="DD350" i="4"/>
  <c r="GJ350" i="4"/>
  <c r="FJ350" i="4"/>
  <c r="HC350" i="4"/>
  <c r="HD350" i="4" s="1"/>
  <c r="CK350" i="4"/>
  <c r="CR320" i="4"/>
  <c r="DK350" i="4"/>
  <c r="FQ350" i="4"/>
  <c r="DH350" i="4"/>
  <c r="FX350" i="4"/>
  <c r="CY309" i="4"/>
  <c r="EQ350" i="4"/>
  <c r="DR350" i="4"/>
  <c r="CR350" i="4"/>
  <c r="GE350" i="4"/>
  <c r="GU350" i="4"/>
  <c r="GV350" i="4" s="1"/>
  <c r="GY350" i="4"/>
  <c r="GZ350" i="4" s="1"/>
  <c r="EO309" i="4"/>
  <c r="EX350" i="4"/>
  <c r="DY350" i="4"/>
  <c r="CY350" i="4"/>
  <c r="FV91" i="4"/>
  <c r="EV309" i="4"/>
  <c r="FE350" i="4"/>
  <c r="EF350" i="4"/>
  <c r="DF350" i="4"/>
  <c r="GC91" i="4"/>
  <c r="EO342" i="4"/>
  <c r="EM350" i="4"/>
  <c r="EO350" i="4"/>
  <c r="CI350" i="4"/>
  <c r="EJ350" i="4"/>
  <c r="DM350" i="4"/>
  <c r="FL91" i="4"/>
  <c r="DV306" i="4"/>
  <c r="FQ342" i="4"/>
  <c r="DO350" i="4"/>
  <c r="FS350" i="4"/>
  <c r="ET350" i="4"/>
  <c r="DT350" i="4"/>
  <c r="DR343" i="4"/>
  <c r="FS343" i="4"/>
  <c r="DY343" i="4"/>
  <c r="CP343" i="4"/>
  <c r="FX343" i="4"/>
  <c r="FE343" i="4"/>
  <c r="EF343" i="4"/>
  <c r="HU316" i="4"/>
  <c r="CC343" i="4"/>
  <c r="AQ167" i="4"/>
  <c r="DT343" i="4"/>
  <c r="GE343" i="4"/>
  <c r="FL343" i="4"/>
  <c r="DK343" i="4"/>
  <c r="EA343" i="4"/>
  <c r="GL343" i="4"/>
  <c r="FV343" i="4"/>
  <c r="EO343" i="4"/>
  <c r="HE167" i="4"/>
  <c r="HF167" i="4" s="1"/>
  <c r="EH343" i="4"/>
  <c r="EQ343" i="4"/>
  <c r="FZ343" i="4"/>
  <c r="FA343" i="4"/>
  <c r="CT167" i="4"/>
  <c r="HU167" i="4"/>
  <c r="CM343" i="4"/>
  <c r="CT343" i="4"/>
  <c r="GG343" i="4"/>
  <c r="FH343" i="4"/>
  <c r="EA167" i="4"/>
  <c r="GU167" i="4"/>
  <c r="GV167" i="4" s="1"/>
  <c r="CR343" i="4"/>
  <c r="DA343" i="4"/>
  <c r="GN343" i="4"/>
  <c r="EM343" i="4"/>
  <c r="DA167" i="4"/>
  <c r="CY343" i="4"/>
  <c r="DH343" i="4"/>
  <c r="CK343" i="4"/>
  <c r="FQ343" i="4"/>
  <c r="GN167" i="4"/>
  <c r="DF343" i="4"/>
  <c r="ET343" i="4"/>
  <c r="CW343" i="4"/>
  <c r="GC343" i="4"/>
  <c r="DO343" i="4"/>
  <c r="DV343" i="4"/>
  <c r="DD343" i="4"/>
  <c r="GJ343" i="4"/>
  <c r="FC343" i="4"/>
  <c r="EC343" i="4"/>
  <c r="CI343" i="4"/>
  <c r="FO343" i="4"/>
  <c r="M22" i="4"/>
  <c r="BS22" i="4"/>
  <c r="BV22" i="4"/>
  <c r="BU22" i="4"/>
  <c r="M21" i="4"/>
  <c r="BT21" i="4"/>
  <c r="BS21" i="4"/>
  <c r="BV21" i="4"/>
  <c r="BW289" i="4"/>
  <c r="M17" i="4"/>
  <c r="BT17" i="4"/>
  <c r="BU17" i="4"/>
  <c r="BV17" i="4"/>
  <c r="M14" i="4"/>
  <c r="BT14" i="4"/>
  <c r="BU14" i="4"/>
  <c r="BV14" i="4"/>
  <c r="M18" i="4"/>
  <c r="BS18" i="4"/>
  <c r="BT18" i="4"/>
  <c r="BV18" i="4"/>
  <c r="EJ421" i="4"/>
  <c r="HU421" i="4"/>
  <c r="M23" i="4"/>
  <c r="BT23" i="4"/>
  <c r="BU23" i="4"/>
  <c r="BV23" i="4"/>
  <c r="M19" i="4"/>
  <c r="BT19" i="4"/>
  <c r="BV19" i="4"/>
  <c r="BU19" i="4"/>
  <c r="N251" i="4"/>
  <c r="BY251" i="4" s="1"/>
  <c r="M16" i="4"/>
  <c r="BS16" i="4"/>
  <c r="BT16" i="4"/>
  <c r="BV16" i="4"/>
  <c r="BT20" i="4"/>
  <c r="BV20" i="4"/>
  <c r="BS20" i="4"/>
  <c r="M28" i="4"/>
  <c r="BS28" i="4"/>
  <c r="BU28" i="4"/>
  <c r="BV28" i="4"/>
  <c r="HU289" i="4"/>
  <c r="M26" i="4"/>
  <c r="BT26" i="4"/>
  <c r="BV26" i="4"/>
  <c r="BS26" i="4"/>
  <c r="M15" i="4"/>
  <c r="BT15" i="4"/>
  <c r="BU15" i="4"/>
  <c r="BV15" i="4"/>
  <c r="AQ420" i="4"/>
  <c r="M421" i="4"/>
  <c r="BS421" i="4"/>
  <c r="BT421" i="4"/>
  <c r="BU421" i="4"/>
  <c r="GE419" i="4"/>
  <c r="P419" i="4"/>
  <c r="DF419" i="4" s="1"/>
  <c r="HU417" i="4"/>
  <c r="AO417" i="4" s="1"/>
  <c r="P417" i="4"/>
  <c r="N417" i="4"/>
  <c r="FO418" i="4"/>
  <c r="N418" i="4"/>
  <c r="CA418" i="4" s="1"/>
  <c r="P418" i="4"/>
  <c r="HQ418" i="4" s="1"/>
  <c r="FS416" i="4"/>
  <c r="P416" i="4"/>
  <c r="GS416" i="4" s="1"/>
  <c r="N416" i="4"/>
  <c r="HU414" i="4"/>
  <c r="AO414" i="4" s="1"/>
  <c r="N414" i="4"/>
  <c r="CA414" i="4" s="1"/>
  <c r="P414" i="4"/>
  <c r="BS414" i="4" s="1"/>
  <c r="CC91" i="4"/>
  <c r="CI320" i="4"/>
  <c r="GJ91" i="4"/>
  <c r="GL91" i="4"/>
  <c r="EQ91" i="4"/>
  <c r="FC91" i="4"/>
  <c r="FJ309" i="4"/>
  <c r="DA309" i="4"/>
  <c r="DD309" i="4"/>
  <c r="EC306" i="4"/>
  <c r="GG306" i="4"/>
  <c r="EM306" i="4"/>
  <c r="DM306" i="4"/>
  <c r="EM342" i="4"/>
  <c r="DT342" i="4"/>
  <c r="DA342" i="4"/>
  <c r="GN342" i="4"/>
  <c r="FH320" i="4"/>
  <c r="EH320" i="4"/>
  <c r="DA320" i="4"/>
  <c r="GY309" i="4"/>
  <c r="GZ309" i="4" s="1"/>
  <c r="HE342" i="4"/>
  <c r="HF342" i="4" s="1"/>
  <c r="HU306" i="4"/>
  <c r="AS306" i="4" s="1"/>
  <c r="FO91" i="4"/>
  <c r="FQ91" i="4"/>
  <c r="GG91" i="4"/>
  <c r="ET91" i="4"/>
  <c r="EX309" i="4"/>
  <c r="DO309" i="4"/>
  <c r="GN309" i="4"/>
  <c r="EM309" i="4"/>
  <c r="EJ306" i="4"/>
  <c r="GN306" i="4"/>
  <c r="FV306" i="4"/>
  <c r="FC306" i="4"/>
  <c r="FA342" i="4"/>
  <c r="EA342" i="4"/>
  <c r="DH342" i="4"/>
  <c r="EM320" i="4"/>
  <c r="DM320" i="4"/>
  <c r="DH320" i="4"/>
  <c r="HU342" i="4"/>
  <c r="CE342" i="4"/>
  <c r="GE91" i="4"/>
  <c r="CY91" i="4"/>
  <c r="GN91" i="4"/>
  <c r="FH91" i="4"/>
  <c r="EQ320" i="4"/>
  <c r="FX309" i="4"/>
  <c r="EA309" i="4"/>
  <c r="DV309" i="4"/>
  <c r="FV309" i="4"/>
  <c r="CM306" i="4"/>
  <c r="EQ306" i="4"/>
  <c r="GC306" i="4"/>
  <c r="FJ306" i="4"/>
  <c r="FH342" i="4"/>
  <c r="EH342" i="4"/>
  <c r="CM342" i="4"/>
  <c r="FS320" i="4"/>
  <c r="CM320" i="4"/>
  <c r="DO320" i="4"/>
  <c r="AY342" i="4"/>
  <c r="HC309" i="4"/>
  <c r="HD309" i="4" s="1"/>
  <c r="BY320" i="4"/>
  <c r="CW309" i="4"/>
  <c r="DY91" i="4"/>
  <c r="DA91" i="4"/>
  <c r="FS91" i="4"/>
  <c r="EM91" i="4"/>
  <c r="EF309" i="4"/>
  <c r="GL309" i="4"/>
  <c r="FQ309" i="4"/>
  <c r="DT309" i="4"/>
  <c r="CT306" i="4"/>
  <c r="CW306" i="4"/>
  <c r="GJ306" i="4"/>
  <c r="EO306" i="4"/>
  <c r="DR342" i="4"/>
  <c r="EQ342" i="4"/>
  <c r="FS342" i="4"/>
  <c r="DV342" i="4"/>
  <c r="DY320" i="4"/>
  <c r="FZ320" i="4"/>
  <c r="FC320" i="4"/>
  <c r="DT320" i="4"/>
  <c r="AS342" i="4"/>
  <c r="HG309" i="4"/>
  <c r="HH309" i="4" s="1"/>
  <c r="BW91" i="4"/>
  <c r="EH91" i="4"/>
  <c r="DH91" i="4"/>
  <c r="EV91" i="4"/>
  <c r="AQ91" i="4"/>
  <c r="CM309" i="4"/>
  <c r="CK309" i="4"/>
  <c r="FE309" i="4"/>
  <c r="EJ309" i="4"/>
  <c r="DA306" i="4"/>
  <c r="DD306" i="4"/>
  <c r="FO306" i="4"/>
  <c r="FX306" i="4"/>
  <c r="DK342" i="4"/>
  <c r="FO342" i="4"/>
  <c r="EV342" i="4"/>
  <c r="EC342" i="4"/>
  <c r="FX320" i="4"/>
  <c r="GJ320" i="4"/>
  <c r="FJ320" i="4"/>
  <c r="EC320" i="4"/>
  <c r="HC342" i="4"/>
  <c r="HD342" i="4" s="1"/>
  <c r="HE309" i="4"/>
  <c r="HF309" i="4" s="1"/>
  <c r="HU91" i="4"/>
  <c r="HU320" i="4"/>
  <c r="AQ320" i="4" s="1"/>
  <c r="DM91" i="4"/>
  <c r="CM91" i="4"/>
  <c r="CP91" i="4"/>
  <c r="DY309" i="4"/>
  <c r="FC309" i="4"/>
  <c r="CI309" i="4"/>
  <c r="DR309" i="4"/>
  <c r="DH306" i="4"/>
  <c r="CI306" i="4"/>
  <c r="CR306" i="4"/>
  <c r="GE306" i="4"/>
  <c r="DY342" i="4"/>
  <c r="GC342" i="4"/>
  <c r="FC342" i="4"/>
  <c r="EJ342" i="4"/>
  <c r="GG320" i="4"/>
  <c r="FO320" i="4"/>
  <c r="EO320" i="4"/>
  <c r="DR320" i="4"/>
  <c r="HU309" i="4"/>
  <c r="AQ309" i="4"/>
  <c r="AU306" i="4"/>
  <c r="GU309" i="4"/>
  <c r="GV309" i="4" s="1"/>
  <c r="AW91" i="4"/>
  <c r="CC309" i="4"/>
  <c r="CG306" i="4"/>
  <c r="FH309" i="4"/>
  <c r="CR91" i="4"/>
  <c r="DT91" i="4"/>
  <c r="DD91" i="4"/>
  <c r="DF309" i="4"/>
  <c r="DH309" i="4"/>
  <c r="FS309" i="4"/>
  <c r="GC309" i="4"/>
  <c r="DO306" i="4"/>
  <c r="DY306" i="4"/>
  <c r="CY306" i="4"/>
  <c r="GL306" i="4"/>
  <c r="EF342" i="4"/>
  <c r="GJ342" i="4"/>
  <c r="FJ342" i="4"/>
  <c r="EX342" i="4"/>
  <c r="GN320" i="4"/>
  <c r="FV320" i="4"/>
  <c r="CP320" i="4"/>
  <c r="EV320" i="4"/>
  <c r="AY309" i="4"/>
  <c r="AO306" i="4"/>
  <c r="HE320" i="4"/>
  <c r="BW309" i="4"/>
  <c r="CT320" i="4"/>
  <c r="FA91" i="4"/>
  <c r="EJ91" i="4"/>
  <c r="CI91" i="4"/>
  <c r="FZ309" i="4"/>
  <c r="CP309" i="4"/>
  <c r="DM309" i="4"/>
  <c r="CR309" i="4"/>
  <c r="GJ309" i="4"/>
  <c r="EX306" i="4"/>
  <c r="EF306" i="4"/>
  <c r="DF306" i="4"/>
  <c r="FQ306" i="4"/>
  <c r="DO342" i="4"/>
  <c r="ET342" i="4"/>
  <c r="FV342" i="4"/>
  <c r="FE342" i="4"/>
  <c r="ET320" i="4"/>
  <c r="CY320" i="4"/>
  <c r="GE320" i="4"/>
  <c r="FE320" i="4"/>
  <c r="AW309" i="4"/>
  <c r="AY320" i="4"/>
  <c r="GW306" i="4"/>
  <c r="GX306" i="4" s="1"/>
  <c r="GY342" i="4"/>
  <c r="GZ342" i="4" s="1"/>
  <c r="M50" i="4"/>
  <c r="BY342" i="4"/>
  <c r="BY309" i="4"/>
  <c r="CE309" i="4"/>
  <c r="CE320" i="4"/>
  <c r="FJ91" i="4"/>
  <c r="DO91" i="4"/>
  <c r="EX91" i="4"/>
  <c r="FA309" i="4"/>
  <c r="GE309" i="4"/>
  <c r="GG309" i="4"/>
  <c r="FO309" i="4"/>
  <c r="FE306" i="4"/>
  <c r="DK306" i="4"/>
  <c r="CK306" i="4"/>
  <c r="CI342" i="4"/>
  <c r="CR342" i="4"/>
  <c r="FX342" i="4"/>
  <c r="FL342" i="4"/>
  <c r="DV320" i="4"/>
  <c r="DF320" i="4"/>
  <c r="GL320" i="4"/>
  <c r="FL320" i="4"/>
  <c r="AS309" i="4"/>
  <c r="AS320" i="4"/>
  <c r="EO91" i="4"/>
  <c r="DV91" i="4"/>
  <c r="DR91" i="4"/>
  <c r="EH309" i="4"/>
  <c r="FL309" i="4"/>
  <c r="DK309" i="4"/>
  <c r="FL306" i="4"/>
  <c r="FS306" i="4"/>
  <c r="DT306" i="4"/>
  <c r="CW342" i="4"/>
  <c r="CY342" i="4"/>
  <c r="GE342" i="4"/>
  <c r="DM342" i="4"/>
  <c r="DK320" i="4"/>
  <c r="CK320" i="4"/>
  <c r="FQ320" i="4"/>
  <c r="HG342" i="4"/>
  <c r="HH342" i="4" s="1"/>
  <c r="DD320" i="4"/>
  <c r="FX91" i="4"/>
  <c r="CT91" i="4"/>
  <c r="FE91" i="4"/>
  <c r="EF91" i="4"/>
  <c r="CT309" i="4"/>
  <c r="EQ309" i="4"/>
  <c r="CP306" i="4"/>
  <c r="DR306" i="4"/>
  <c r="FA306" i="4"/>
  <c r="EA306" i="4"/>
  <c r="DD342" i="4"/>
  <c r="DF342" i="4"/>
  <c r="GL342" i="4"/>
  <c r="FA320" i="4"/>
  <c r="GC320" i="4"/>
  <c r="CW320" i="4"/>
  <c r="HC306" i="4"/>
  <c r="HD306" i="4" s="1"/>
  <c r="CW316" i="4"/>
  <c r="FA167" i="4"/>
  <c r="EH167" i="4"/>
  <c r="DH167" i="4"/>
  <c r="FS167" i="4"/>
  <c r="AW343" i="4"/>
  <c r="HG167" i="4"/>
  <c r="HH167" i="4" s="1"/>
  <c r="FH167" i="4"/>
  <c r="DM167" i="4"/>
  <c r="DR167" i="4"/>
  <c r="HU343" i="4"/>
  <c r="HC167" i="4"/>
  <c r="HD167" i="4" s="1"/>
  <c r="EM167" i="4"/>
  <c r="EX167" i="4"/>
  <c r="EC167" i="4"/>
  <c r="CR167" i="4"/>
  <c r="DT167" i="4"/>
  <c r="FC167" i="4"/>
  <c r="EJ167" i="4"/>
  <c r="GU343" i="4"/>
  <c r="GV343" i="4" s="1"/>
  <c r="EF112" i="4"/>
  <c r="DY167" i="4"/>
  <c r="GC167" i="4"/>
  <c r="FJ167" i="4"/>
  <c r="DO167" i="4"/>
  <c r="EF167" i="4"/>
  <c r="GJ167" i="4"/>
  <c r="EO167" i="4"/>
  <c r="ET167" i="4"/>
  <c r="DK167" i="4"/>
  <c r="FO167" i="4"/>
  <c r="FX167" i="4"/>
  <c r="FE167" i="4"/>
  <c r="CY316" i="4"/>
  <c r="FZ167" i="4"/>
  <c r="DV167" i="4"/>
  <c r="GE167" i="4"/>
  <c r="FL167" i="4"/>
  <c r="GL316" i="4"/>
  <c r="CW167" i="4"/>
  <c r="CY167" i="4"/>
  <c r="GL167" i="4"/>
  <c r="EQ167" i="4"/>
  <c r="DD167" i="4"/>
  <c r="DF167" i="4"/>
  <c r="FQ167" i="4"/>
  <c r="FV167" i="4"/>
  <c r="HG343" i="4"/>
  <c r="HH343" i="4" s="1"/>
  <c r="CI167" i="4"/>
  <c r="EV167" i="4"/>
  <c r="CP167" i="4"/>
  <c r="CI356" i="4"/>
  <c r="P361" i="4"/>
  <c r="N361" i="4"/>
  <c r="BW361" i="4" s="1"/>
  <c r="BS361" i="4"/>
  <c r="N126" i="4"/>
  <c r="BV361" i="4"/>
  <c r="N125" i="4"/>
  <c r="CA125" i="4" s="1"/>
  <c r="GE413" i="4"/>
  <c r="P413" i="4"/>
  <c r="CR413" i="4" s="1"/>
  <c r="GS412" i="4"/>
  <c r="GU412" i="4" s="1"/>
  <c r="HK412" i="4"/>
  <c r="BV412" i="4"/>
  <c r="CE412" i="4"/>
  <c r="CR412" i="4"/>
  <c r="HU408" i="4"/>
  <c r="P408" i="4"/>
  <c r="N408" i="4"/>
  <c r="HE329" i="4"/>
  <c r="HF329" i="4" s="1"/>
  <c r="AQ343" i="4"/>
  <c r="FX112" i="4"/>
  <c r="GE112" i="4"/>
  <c r="FL316" i="4"/>
  <c r="CM19" i="4"/>
  <c r="AY329" i="4"/>
  <c r="AS336" i="4"/>
  <c r="HC329" i="4"/>
  <c r="HD329" i="4" s="1"/>
  <c r="HC343" i="4"/>
  <c r="HD343" i="4" s="1"/>
  <c r="DK356" i="4"/>
  <c r="FE112" i="4"/>
  <c r="DY316" i="4"/>
  <c r="FZ19" i="4"/>
  <c r="DH329" i="4"/>
  <c r="GY329" i="4"/>
  <c r="GZ329" i="4" s="1"/>
  <c r="CP412" i="4"/>
  <c r="CC412" i="4"/>
  <c r="CT356" i="4"/>
  <c r="AI400" i="4"/>
  <c r="HD400" i="4"/>
  <c r="P401" i="4"/>
  <c r="BS401" i="4" s="1"/>
  <c r="M400" i="4"/>
  <c r="BV400" i="4"/>
  <c r="BS400" i="4"/>
  <c r="BU400" i="4"/>
  <c r="AQ400" i="4"/>
  <c r="HU397" i="4"/>
  <c r="AO397" i="4" s="1"/>
  <c r="N397" i="4"/>
  <c r="P397" i="4"/>
  <c r="DH397" i="4" s="1"/>
  <c r="AI388" i="4"/>
  <c r="P395" i="4"/>
  <c r="P393" i="4"/>
  <c r="BT393" i="4" s="1"/>
  <c r="M389" i="4"/>
  <c r="BV389" i="4"/>
  <c r="BS389" i="4"/>
  <c r="BT389" i="4"/>
  <c r="M388" i="4"/>
  <c r="BV388" i="4"/>
  <c r="BU388" i="4"/>
  <c r="BS388" i="4"/>
  <c r="M384" i="4"/>
  <c r="BV384" i="4"/>
  <c r="BS384" i="4"/>
  <c r="BU384" i="4"/>
  <c r="AO383" i="4"/>
  <c r="M383" i="4"/>
  <c r="BV383" i="4"/>
  <c r="BS383" i="4"/>
  <c r="BU383" i="4"/>
  <c r="M381" i="4"/>
  <c r="BV381" i="4"/>
  <c r="BU381" i="4"/>
  <c r="BT381" i="4"/>
  <c r="M379" i="4"/>
  <c r="BS379" i="4"/>
  <c r="BV379" i="4"/>
  <c r="BU379" i="4"/>
  <c r="AI377" i="4"/>
  <c r="M377" i="4"/>
  <c r="BV377" i="4"/>
  <c r="BT377" i="4"/>
  <c r="BU377" i="4"/>
  <c r="M376" i="4"/>
  <c r="BS376" i="4"/>
  <c r="BU376" i="4"/>
  <c r="BV376" i="4"/>
  <c r="M375" i="4"/>
  <c r="BT375" i="4"/>
  <c r="BU375" i="4"/>
  <c r="BV375" i="4"/>
  <c r="AO373" i="4"/>
  <c r="M373" i="4"/>
  <c r="BV373" i="4"/>
  <c r="BU373" i="4"/>
  <c r="M367" i="4"/>
  <c r="BV367" i="4"/>
  <c r="BS367" i="4"/>
  <c r="BU367" i="4"/>
  <c r="AI367" i="4"/>
  <c r="AY336" i="4"/>
  <c r="AQ336" i="4"/>
  <c r="DD336" i="4"/>
  <c r="GY336" i="4"/>
  <c r="GZ336" i="4" s="1"/>
  <c r="N227" i="4"/>
  <c r="BW227" i="4" s="1"/>
  <c r="GU336" i="4"/>
  <c r="GV336" i="4" s="1"/>
  <c r="DY356" i="4"/>
  <c r="HE336" i="4"/>
  <c r="HF336" i="4" s="1"/>
  <c r="HC308" i="4"/>
  <c r="HD308" i="4" s="1"/>
  <c r="HC336" i="4"/>
  <c r="HD336" i="4" s="1"/>
  <c r="HG336" i="4"/>
  <c r="HH336" i="4" s="1"/>
  <c r="FH356" i="4"/>
  <c r="HU356" i="4"/>
  <c r="AI361" i="4"/>
  <c r="M362" i="4"/>
  <c r="BT362" i="4"/>
  <c r="BU362" i="4"/>
  <c r="BV362" i="4"/>
  <c r="M365" i="4"/>
  <c r="BV365" i="4"/>
  <c r="BS365" i="4"/>
  <c r="BT365" i="4"/>
  <c r="BU365" i="4"/>
  <c r="P363" i="4"/>
  <c r="BT363" i="4" s="1"/>
  <c r="M361" i="4"/>
  <c r="AO361" i="4"/>
  <c r="M360" i="4"/>
  <c r="BU360" i="4"/>
  <c r="BV360" i="4"/>
  <c r="BS360" i="4"/>
  <c r="AI355" i="4"/>
  <c r="HA358" i="4"/>
  <c r="BS358" i="4"/>
  <c r="BS357" i="4"/>
  <c r="BU357" i="4"/>
  <c r="BV357" i="4"/>
  <c r="FV356" i="4"/>
  <c r="AW356" i="4"/>
  <c r="BY356" i="4"/>
  <c r="DM356" i="4"/>
  <c r="DH356" i="4"/>
  <c r="AS356" i="4"/>
  <c r="EJ356" i="4"/>
  <c r="FQ356" i="4"/>
  <c r="GN356" i="4"/>
  <c r="HE356" i="4"/>
  <c r="HF356" i="4" s="1"/>
  <c r="GL356" i="4"/>
  <c r="HG356" i="4"/>
  <c r="HH356" i="4" s="1"/>
  <c r="FX356" i="4"/>
  <c r="FL356" i="4"/>
  <c r="M356" i="4"/>
  <c r="BS356" i="4"/>
  <c r="BU356" i="4"/>
  <c r="BV356" i="4"/>
  <c r="AY356" i="4"/>
  <c r="M355" i="4"/>
  <c r="BS355" i="4"/>
  <c r="BU355" i="4"/>
  <c r="BV355" i="4"/>
  <c r="AQ355" i="4"/>
  <c r="AS361" i="4"/>
  <c r="CR164" i="4"/>
  <c r="DV356" i="4"/>
  <c r="GJ356" i="4"/>
  <c r="FJ356" i="4"/>
  <c r="EH356" i="4"/>
  <c r="FO356" i="4"/>
  <c r="CM356" i="4"/>
  <c r="CA367" i="4"/>
  <c r="DA164" i="4"/>
  <c r="EF367" i="4"/>
  <c r="DV164" i="4"/>
  <c r="GJ367" i="4"/>
  <c r="GN164" i="4"/>
  <c r="EO367" i="4"/>
  <c r="CW164" i="4"/>
  <c r="DR367" i="4"/>
  <c r="GW367" i="4"/>
  <c r="GX367" i="4" s="1"/>
  <c r="EA356" i="4"/>
  <c r="CE356" i="4"/>
  <c r="GY356" i="4"/>
  <c r="GZ356" i="4" s="1"/>
  <c r="GG356" i="4"/>
  <c r="DD356" i="4"/>
  <c r="AQ367" i="4"/>
  <c r="CK164" i="4"/>
  <c r="DF356" i="4"/>
  <c r="GE356" i="4"/>
  <c r="DO356" i="4"/>
  <c r="DR356" i="4"/>
  <c r="FZ356" i="4"/>
  <c r="GJ164" i="4"/>
  <c r="FA356" i="4"/>
  <c r="CR356" i="4"/>
  <c r="GU356" i="4"/>
  <c r="GV356" i="4" s="1"/>
  <c r="BW356" i="4"/>
  <c r="HC356" i="4"/>
  <c r="HD356" i="4" s="1"/>
  <c r="CW356" i="4"/>
  <c r="CK356" i="4"/>
  <c r="EO356" i="4"/>
  <c r="CP356" i="4"/>
  <c r="EM356" i="4"/>
  <c r="AQ356" i="4"/>
  <c r="FC356" i="4"/>
  <c r="ET356" i="4"/>
  <c r="DA356" i="4"/>
  <c r="EF356" i="4"/>
  <c r="CY356" i="4"/>
  <c r="DT356" i="4"/>
  <c r="CC356" i="4"/>
  <c r="FS356" i="4"/>
  <c r="EC356" i="4"/>
  <c r="GC356" i="4"/>
  <c r="FE356" i="4"/>
  <c r="EV356" i="4"/>
  <c r="HU164" i="4"/>
  <c r="AO164" i="4" s="1"/>
  <c r="CP164" i="4"/>
  <c r="CT164" i="4"/>
  <c r="GG164" i="4"/>
  <c r="EM164" i="4"/>
  <c r="EA367" i="4"/>
  <c r="EV367" i="4"/>
  <c r="FJ367" i="4"/>
  <c r="DO367" i="4"/>
  <c r="CY164" i="4"/>
  <c r="EO164" i="4"/>
  <c r="FQ164" i="4"/>
  <c r="GC164" i="4"/>
  <c r="DK367" i="4"/>
  <c r="FO367" i="4"/>
  <c r="GC367" i="4"/>
  <c r="FE367" i="4"/>
  <c r="CT367" i="4"/>
  <c r="FZ367" i="4"/>
  <c r="FL367" i="4"/>
  <c r="EV164" i="4"/>
  <c r="EC164" i="4"/>
  <c r="CI164" i="4"/>
  <c r="FO164" i="4"/>
  <c r="DY367" i="4"/>
  <c r="DF367" i="4"/>
  <c r="GL367" i="4"/>
  <c r="EQ367" i="4"/>
  <c r="GU367" i="4"/>
  <c r="GV367" i="4" s="1"/>
  <c r="FC164" i="4"/>
  <c r="EJ164" i="4"/>
  <c r="FS164" i="4"/>
  <c r="DD367" i="4"/>
  <c r="CK367" i="4"/>
  <c r="FQ367" i="4"/>
  <c r="DT367" i="4"/>
  <c r="AO367" i="4"/>
  <c r="AW8" i="4"/>
  <c r="FJ164" i="4"/>
  <c r="EQ164" i="4"/>
  <c r="DY164" i="4"/>
  <c r="CI367" i="4"/>
  <c r="FV367" i="4"/>
  <c r="CY367" i="4"/>
  <c r="GG367" i="4"/>
  <c r="CG367" i="4"/>
  <c r="EQ22" i="4"/>
  <c r="DO164" i="4"/>
  <c r="EX164" i="4"/>
  <c r="EF164" i="4"/>
  <c r="FX367" i="4"/>
  <c r="DV367" i="4"/>
  <c r="DA367" i="4"/>
  <c r="GN367" i="4"/>
  <c r="HG367" i="4"/>
  <c r="HH367" i="4" s="1"/>
  <c r="CM164" i="4"/>
  <c r="FX164" i="4"/>
  <c r="FE164" i="4"/>
  <c r="DK164" i="4"/>
  <c r="ET367" i="4"/>
  <c r="EH367" i="4"/>
  <c r="DH367" i="4"/>
  <c r="FS367" i="4"/>
  <c r="HE367" i="4"/>
  <c r="HF367" i="4" s="1"/>
  <c r="DT164" i="4"/>
  <c r="GE164" i="4"/>
  <c r="FL164" i="4"/>
  <c r="FV164" i="4"/>
  <c r="FH367" i="4"/>
  <c r="DM367" i="4"/>
  <c r="CM367" i="4"/>
  <c r="EA164" i="4"/>
  <c r="GL164" i="4"/>
  <c r="ET164" i="4"/>
  <c r="FA164" i="4"/>
  <c r="EM367" i="4"/>
  <c r="CW367" i="4"/>
  <c r="EC367" i="4"/>
  <c r="EH164" i="4"/>
  <c r="DR164" i="4"/>
  <c r="FZ164" i="4"/>
  <c r="FH164" i="4"/>
  <c r="FC367" i="4"/>
  <c r="FA367" i="4"/>
  <c r="EX367" i="4"/>
  <c r="EJ367" i="4"/>
  <c r="FH116" i="4"/>
  <c r="EH116" i="4"/>
  <c r="DH116" i="4"/>
  <c r="FS116" i="4"/>
  <c r="FJ323" i="4"/>
  <c r="FZ323" i="4"/>
  <c r="GC323" i="4"/>
  <c r="EH19" i="4"/>
  <c r="FS19" i="4"/>
  <c r="ET19" i="4"/>
  <c r="HU323" i="4"/>
  <c r="AO323" i="4" s="1"/>
  <c r="CE19" i="4"/>
  <c r="DM19" i="4"/>
  <c r="DY116" i="4"/>
  <c r="FX116" i="4"/>
  <c r="CT116" i="4"/>
  <c r="DR116" i="4"/>
  <c r="DM323" i="4"/>
  <c r="FA323" i="4"/>
  <c r="EA323" i="4"/>
  <c r="CT19" i="4"/>
  <c r="FE19" i="4"/>
  <c r="DD19" i="4"/>
  <c r="CC116" i="4"/>
  <c r="EV116" i="4"/>
  <c r="GC116" i="4"/>
  <c r="FC116" i="4"/>
  <c r="EC116" i="4"/>
  <c r="GL323" i="4"/>
  <c r="DY323" i="4"/>
  <c r="DA323" i="4"/>
  <c r="DD323" i="4"/>
  <c r="EO19" i="4"/>
  <c r="EJ19" i="4"/>
  <c r="DK19" i="4"/>
  <c r="HC19" i="4"/>
  <c r="HD19" i="4" s="1"/>
  <c r="N289" i="4"/>
  <c r="CA289" i="4" s="1"/>
  <c r="AQ116" i="4"/>
  <c r="EF116" i="4"/>
  <c r="GJ116" i="4"/>
  <c r="FJ116" i="4"/>
  <c r="DO116" i="4"/>
  <c r="CW323" i="4"/>
  <c r="CP323" i="4"/>
  <c r="GN323" i="4"/>
  <c r="CY323" i="4"/>
  <c r="DK323" i="4"/>
  <c r="CI323" i="4"/>
  <c r="FJ19" i="4"/>
  <c r="CP19" i="4"/>
  <c r="FV19" i="4"/>
  <c r="HG19" i="4"/>
  <c r="HH19" i="4" s="1"/>
  <c r="AW116" i="4"/>
  <c r="AQ235" i="4"/>
  <c r="AS116" i="4"/>
  <c r="DK116" i="4"/>
  <c r="FO116" i="4"/>
  <c r="EO116" i="4"/>
  <c r="ET116" i="4"/>
  <c r="FV323" i="4"/>
  <c r="DH323" i="4"/>
  <c r="EQ323" i="4"/>
  <c r="FC323" i="4"/>
  <c r="FO19" i="4"/>
  <c r="DO19" i="4"/>
  <c r="CW19" i="4"/>
  <c r="GC19" i="4"/>
  <c r="HE19" i="4"/>
  <c r="HF19" i="4" s="1"/>
  <c r="BY19" i="4"/>
  <c r="AY19" i="4"/>
  <c r="EV19" i="4"/>
  <c r="DV116" i="4"/>
  <c r="FZ116" i="4"/>
  <c r="DT116" i="4"/>
  <c r="FE116" i="4"/>
  <c r="EX323" i="4"/>
  <c r="EO323" i="4"/>
  <c r="GG323" i="4"/>
  <c r="FH323" i="4"/>
  <c r="DV235" i="4"/>
  <c r="DT19" i="4"/>
  <c r="DV19" i="4"/>
  <c r="GG19" i="4"/>
  <c r="EF19" i="4"/>
  <c r="BY235" i="4"/>
  <c r="HU19" i="4"/>
  <c r="AO19" i="4" s="1"/>
  <c r="DF19" i="4"/>
  <c r="FC19" i="4"/>
  <c r="CW116" i="4"/>
  <c r="CY116" i="4"/>
  <c r="GE116" i="4"/>
  <c r="FL116" i="4"/>
  <c r="CR323" i="4"/>
  <c r="CM323" i="4"/>
  <c r="EV323" i="4"/>
  <c r="DR323" i="4"/>
  <c r="GG235" i="4"/>
  <c r="EA19" i="4"/>
  <c r="DA19" i="4"/>
  <c r="FL19" i="4"/>
  <c r="EM19" i="4"/>
  <c r="GY19" i="4"/>
  <c r="GZ19" i="4" s="1"/>
  <c r="GE323" i="4"/>
  <c r="GJ323" i="4"/>
  <c r="CE116" i="4"/>
  <c r="DD116" i="4"/>
  <c r="DF116" i="4"/>
  <c r="GL116" i="4"/>
  <c r="EQ116" i="4"/>
  <c r="EC323" i="4"/>
  <c r="ET323" i="4"/>
  <c r="FS323" i="4"/>
  <c r="FH235" i="4"/>
  <c r="GJ19" i="4"/>
  <c r="GL19" i="4"/>
  <c r="DR19" i="4"/>
  <c r="CR19" i="4"/>
  <c r="FX323" i="4"/>
  <c r="BW116" i="4"/>
  <c r="CI116" i="4"/>
  <c r="CK116" i="4"/>
  <c r="FQ116" i="4"/>
  <c r="FV116" i="4"/>
  <c r="DF323" i="4"/>
  <c r="EM323" i="4"/>
  <c r="FQ323" i="4"/>
  <c r="FE323" i="4"/>
  <c r="EH235" i="4"/>
  <c r="FQ19" i="4"/>
  <c r="EQ19" i="4"/>
  <c r="CK19" i="4"/>
  <c r="CY19" i="4"/>
  <c r="HC323" i="4"/>
  <c r="HD323" i="4" s="1"/>
  <c r="DO323" i="4"/>
  <c r="HU116" i="4"/>
  <c r="AO116" i="4" s="1"/>
  <c r="AS19" i="4"/>
  <c r="EX116" i="4"/>
  <c r="CR116" i="4"/>
  <c r="CP116" i="4"/>
  <c r="GG116" i="4"/>
  <c r="CK323" i="4"/>
  <c r="DT323" i="4"/>
  <c r="CT323" i="4"/>
  <c r="FX19" i="4"/>
  <c r="EX19" i="4"/>
  <c r="GN19" i="4"/>
  <c r="FH19" i="4"/>
  <c r="HG323" i="4"/>
  <c r="HH323" i="4" s="1"/>
  <c r="AY116" i="4"/>
  <c r="FA116" i="4"/>
  <c r="EA116" i="4"/>
  <c r="DA116" i="4"/>
  <c r="GN116" i="4"/>
  <c r="DV323" i="4"/>
  <c r="FL323" i="4"/>
  <c r="FO323" i="4"/>
  <c r="GE19" i="4"/>
  <c r="DH19" i="4"/>
  <c r="AS323" i="4"/>
  <c r="AO355" i="4"/>
  <c r="M354" i="4"/>
  <c r="BV354" i="4"/>
  <c r="BT354" i="4"/>
  <c r="BS354" i="4"/>
  <c r="M353" i="4"/>
  <c r="BU353" i="4"/>
  <c r="BV353" i="4"/>
  <c r="BS353" i="4"/>
  <c r="AO353" i="4"/>
  <c r="AO352" i="4"/>
  <c r="M352" i="4"/>
  <c r="BU352" i="4"/>
  <c r="BS352" i="4"/>
  <c r="BT352" i="4"/>
  <c r="M351" i="4"/>
  <c r="BV351" i="4"/>
  <c r="BT351" i="4"/>
  <c r="BU351" i="4"/>
  <c r="M350" i="4"/>
  <c r="BS350" i="4"/>
  <c r="BU350" i="4"/>
  <c r="BT350" i="4"/>
  <c r="AS350" i="4"/>
  <c r="M349" i="4"/>
  <c r="BU349" i="4"/>
  <c r="BV349" i="4"/>
  <c r="BS349" i="4"/>
  <c r="CR321" i="4"/>
  <c r="CT321" i="4"/>
  <c r="GJ321" i="4"/>
  <c r="FJ321" i="4"/>
  <c r="P347" i="4"/>
  <c r="BS347" i="4" s="1"/>
  <c r="AS352" i="4"/>
  <c r="AI347" i="4"/>
  <c r="M347" i="4"/>
  <c r="BU347" i="4"/>
  <c r="BT347" i="4"/>
  <c r="BV347" i="4"/>
  <c r="CA361" i="4"/>
  <c r="DA321" i="4"/>
  <c r="DD321" i="4"/>
  <c r="FO321" i="4"/>
  <c r="EO321" i="4"/>
  <c r="DH321" i="4"/>
  <c r="CI321" i="4"/>
  <c r="FV321" i="4"/>
  <c r="CP321" i="4"/>
  <c r="DR321" i="4"/>
  <c r="ET321" i="4"/>
  <c r="CY321" i="4"/>
  <c r="GE321" i="4"/>
  <c r="EV321" i="4"/>
  <c r="DV321" i="4"/>
  <c r="DF321" i="4"/>
  <c r="GL321" i="4"/>
  <c r="AS321" i="4"/>
  <c r="FE321" i="4"/>
  <c r="EF321" i="4"/>
  <c r="CK321" i="4"/>
  <c r="FQ321" i="4"/>
  <c r="FL321" i="4"/>
  <c r="FA321" i="4"/>
  <c r="GC321" i="4"/>
  <c r="HU321" i="4"/>
  <c r="AO321" i="4" s="1"/>
  <c r="DY321" i="4"/>
  <c r="EX321" i="4"/>
  <c r="EA321" i="4"/>
  <c r="GY321" i="4"/>
  <c r="GZ321" i="4" s="1"/>
  <c r="HC321" i="4"/>
  <c r="HD321" i="4" s="1"/>
  <c r="N250" i="4"/>
  <c r="CE321" i="4"/>
  <c r="DT321" i="4"/>
  <c r="FX321" i="4"/>
  <c r="FH321" i="4"/>
  <c r="EH321" i="4"/>
  <c r="HE321" i="4"/>
  <c r="HF321" i="4" s="1"/>
  <c r="EC321" i="4"/>
  <c r="GG321" i="4"/>
  <c r="EM321" i="4"/>
  <c r="DM321" i="4"/>
  <c r="AY321" i="4"/>
  <c r="HG321" i="4"/>
  <c r="HH321" i="4" s="1"/>
  <c r="M4" i="4"/>
  <c r="P4" i="4"/>
  <c r="EJ321" i="4"/>
  <c r="GN321" i="4"/>
  <c r="FS321" i="4"/>
  <c r="CM321" i="4"/>
  <c r="CW321" i="4"/>
  <c r="EQ321" i="4"/>
  <c r="FZ321" i="4"/>
  <c r="M112" i="4"/>
  <c r="BW123" i="4"/>
  <c r="AY179" i="4"/>
  <c r="GL123" i="4"/>
  <c r="GN179" i="4"/>
  <c r="FV123" i="4"/>
  <c r="FH179" i="4"/>
  <c r="DD123" i="4"/>
  <c r="N249" i="4"/>
  <c r="BY249" i="4" s="1"/>
  <c r="FH123" i="4"/>
  <c r="GE14" i="4"/>
  <c r="FE14" i="4"/>
  <c r="ET14" i="4"/>
  <c r="EA179" i="4"/>
  <c r="EF14" i="4"/>
  <c r="DA179" i="4"/>
  <c r="DF246" i="4"/>
  <c r="P246" i="4"/>
  <c r="BS246" i="4" s="1"/>
  <c r="HC246" i="4"/>
  <c r="HD246" i="4" s="1"/>
  <c r="HE246" i="4"/>
  <c r="HF246" i="4" s="1"/>
  <c r="HE308" i="4"/>
  <c r="HF308" i="4" s="1"/>
  <c r="AQ353" i="4"/>
  <c r="DR112" i="4"/>
  <c r="GL112" i="4"/>
  <c r="FL112" i="4"/>
  <c r="CP112" i="4"/>
  <c r="EF316" i="4"/>
  <c r="DF316" i="4"/>
  <c r="FQ316" i="4"/>
  <c r="AQ10" i="4"/>
  <c r="EA112" i="4"/>
  <c r="ET112" i="4"/>
  <c r="FQ112" i="4"/>
  <c r="FA112" i="4"/>
  <c r="DK316" i="4"/>
  <c r="CK316" i="4"/>
  <c r="FS316" i="4"/>
  <c r="EV10" i="4"/>
  <c r="CC10" i="4"/>
  <c r="EH112" i="4"/>
  <c r="CT112" i="4"/>
  <c r="FZ112" i="4"/>
  <c r="FH112" i="4"/>
  <c r="EQ316" i="4"/>
  <c r="DT316" i="4"/>
  <c r="CT316" i="4"/>
  <c r="FH10" i="4"/>
  <c r="HU10" i="4"/>
  <c r="AO10" i="4" s="1"/>
  <c r="DD316" i="4"/>
  <c r="DT112" i="4"/>
  <c r="DA112" i="4"/>
  <c r="GG112" i="4"/>
  <c r="EM112" i="4"/>
  <c r="FA316" i="4"/>
  <c r="EA316" i="4"/>
  <c r="DA316" i="4"/>
  <c r="EM10" i="4"/>
  <c r="AW10" i="4"/>
  <c r="CR112" i="4"/>
  <c r="DH112" i="4"/>
  <c r="GN112" i="4"/>
  <c r="FV112" i="4"/>
  <c r="FH316" i="4"/>
  <c r="EH316" i="4"/>
  <c r="DH316" i="4"/>
  <c r="CM10" i="4"/>
  <c r="HE316" i="4"/>
  <c r="HF316" i="4" s="1"/>
  <c r="CY112" i="4"/>
  <c r="EV112" i="4"/>
  <c r="CM112" i="4"/>
  <c r="GC112" i="4"/>
  <c r="EM316" i="4"/>
  <c r="DM316" i="4"/>
  <c r="FV316" i="4"/>
  <c r="CT10" i="4"/>
  <c r="BW10" i="4"/>
  <c r="HU112" i="4"/>
  <c r="AO112" i="4" s="1"/>
  <c r="DF112" i="4"/>
  <c r="DV112" i="4"/>
  <c r="CW112" i="4"/>
  <c r="GJ112" i="4"/>
  <c r="CP316" i="4"/>
  <c r="ET316" i="4"/>
  <c r="EV316" i="4"/>
  <c r="DV316" i="4"/>
  <c r="FZ10" i="4"/>
  <c r="EO112" i="4"/>
  <c r="EC112" i="4"/>
  <c r="DD112" i="4"/>
  <c r="FO112" i="4"/>
  <c r="FZ316" i="4"/>
  <c r="GC316" i="4"/>
  <c r="FJ316" i="4"/>
  <c r="EC316" i="4"/>
  <c r="FE10" i="4"/>
  <c r="FC112" i="4"/>
  <c r="EJ112" i="4"/>
  <c r="CI112" i="4"/>
  <c r="DO316" i="4"/>
  <c r="GG316" i="4"/>
  <c r="GJ316" i="4"/>
  <c r="EO316" i="4"/>
  <c r="EJ316" i="4"/>
  <c r="FJ112" i="4"/>
  <c r="CK112" i="4"/>
  <c r="FS112" i="4"/>
  <c r="GN316" i="4"/>
  <c r="FO316" i="4"/>
  <c r="FX316" i="4"/>
  <c r="CM316" i="4"/>
  <c r="CI316" i="4"/>
  <c r="EQ112" i="4"/>
  <c r="EX112" i="4"/>
  <c r="DY112" i="4"/>
  <c r="DR316" i="4"/>
  <c r="CR316" i="4"/>
  <c r="GE316" i="4"/>
  <c r="EX316" i="4"/>
  <c r="CI10" i="4"/>
  <c r="EO10" i="4"/>
  <c r="GE10" i="4"/>
  <c r="EJ10" i="4"/>
  <c r="GC10" i="4"/>
  <c r="CY10" i="4"/>
  <c r="FJ10" i="4"/>
  <c r="DM10" i="4"/>
  <c r="EF10" i="4"/>
  <c r="GJ10" i="4"/>
  <c r="DO10" i="4"/>
  <c r="CW10" i="4"/>
  <c r="CP10" i="4"/>
  <c r="FO10" i="4"/>
  <c r="DA10" i="4"/>
  <c r="GG10" i="4"/>
  <c r="CR10" i="4"/>
  <c r="FV10" i="4"/>
  <c r="GL10" i="4"/>
  <c r="FL10" i="4"/>
  <c r="AW316" i="4"/>
  <c r="FA10" i="4"/>
  <c r="EA10" i="4"/>
  <c r="EQ10" i="4"/>
  <c r="ET10" i="4"/>
  <c r="AQ316" i="4"/>
  <c r="HC112" i="4"/>
  <c r="HD112" i="4" s="1"/>
  <c r="DD10" i="4"/>
  <c r="DF10" i="4"/>
  <c r="EX10" i="4"/>
  <c r="DY10" i="4"/>
  <c r="HG112" i="4"/>
  <c r="HH112" i="4" s="1"/>
  <c r="DK10" i="4"/>
  <c r="FQ10" i="4"/>
  <c r="EC10" i="4"/>
  <c r="DR10" i="4"/>
  <c r="HC316" i="4"/>
  <c r="HD316" i="4" s="1"/>
  <c r="FX10" i="4"/>
  <c r="FC10" i="4"/>
  <c r="DH10" i="4"/>
  <c r="GN10" i="4"/>
  <c r="GU316" i="4"/>
  <c r="GV316" i="4" s="1"/>
  <c r="CK10" i="4"/>
  <c r="EH10" i="4"/>
  <c r="FS10" i="4"/>
  <c r="FC7" i="4"/>
  <c r="HG306" i="4"/>
  <c r="HH306" i="4" s="1"/>
  <c r="GY14" i="4"/>
  <c r="GZ14" i="4" s="1"/>
  <c r="EX7" i="4"/>
  <c r="BF2" i="4"/>
  <c r="FA331" i="4"/>
  <c r="FJ11" i="4"/>
  <c r="EA331" i="4"/>
  <c r="DM11" i="4"/>
  <c r="DA331" i="4"/>
  <c r="EO11" i="4"/>
  <c r="GS172" i="4"/>
  <c r="GW172" i="4" s="1"/>
  <c r="HE91" i="4"/>
  <c r="HF91" i="4" s="1"/>
  <c r="DF91" i="4"/>
  <c r="HG91" i="4"/>
  <c r="HH91" i="4" s="1"/>
  <c r="DD151" i="4"/>
  <c r="GW308" i="4"/>
  <c r="GX308" i="4" s="1"/>
  <c r="CK91" i="4"/>
  <c r="GN151" i="4"/>
  <c r="GU91" i="4"/>
  <c r="GV91" i="4" s="1"/>
  <c r="FO151" i="4"/>
  <c r="FX151" i="4"/>
  <c r="EX151" i="4"/>
  <c r="HG308" i="4"/>
  <c r="HH308" i="4" s="1"/>
  <c r="CW91" i="4"/>
  <c r="GY308" i="4"/>
  <c r="GZ308" i="4" s="1"/>
  <c r="FZ91" i="4"/>
  <c r="CK11" i="4"/>
  <c r="DH11" i="4"/>
  <c r="GN11" i="4"/>
  <c r="GN331" i="4"/>
  <c r="DT331" i="4"/>
  <c r="CT331" i="4"/>
  <c r="DD49" i="4"/>
  <c r="HU331" i="4"/>
  <c r="AO331" i="4" s="1"/>
  <c r="HC331" i="4"/>
  <c r="HD331" i="4" s="1"/>
  <c r="AW11" i="4"/>
  <c r="CG246" i="4"/>
  <c r="DO11" i="4"/>
  <c r="CW11" i="4"/>
  <c r="FV11" i="4"/>
  <c r="FH331" i="4"/>
  <c r="DO331" i="4"/>
  <c r="CK331" i="4"/>
  <c r="HE331" i="4"/>
  <c r="HF331" i="4" s="1"/>
  <c r="GS246" i="4"/>
  <c r="GU246" i="4" s="1"/>
  <c r="DV11" i="4"/>
  <c r="FE11" i="4"/>
  <c r="GC11" i="4"/>
  <c r="CP331" i="4"/>
  <c r="EV331" i="4"/>
  <c r="EO331" i="4"/>
  <c r="BW11" i="4"/>
  <c r="DR11" i="4"/>
  <c r="EJ11" i="4"/>
  <c r="EF11" i="4"/>
  <c r="FQ331" i="4"/>
  <c r="FS331" i="4"/>
  <c r="FC331" i="4"/>
  <c r="DV331" i="4"/>
  <c r="DF49" i="4"/>
  <c r="HU11" i="4"/>
  <c r="AO11" i="4" s="1"/>
  <c r="CC49" i="4"/>
  <c r="EH11" i="4"/>
  <c r="GL11" i="4"/>
  <c r="CP11" i="4"/>
  <c r="CI11" i="4"/>
  <c r="FO11" i="4"/>
  <c r="DH331" i="4"/>
  <c r="GC331" i="4"/>
  <c r="FJ331" i="4"/>
  <c r="EC331" i="4"/>
  <c r="ET331" i="4"/>
  <c r="CC11" i="4"/>
  <c r="EM11" i="4"/>
  <c r="EQ11" i="4"/>
  <c r="DY11" i="4"/>
  <c r="CR11" i="4"/>
  <c r="FZ331" i="4"/>
  <c r="GJ331" i="4"/>
  <c r="DR331" i="4"/>
  <c r="FO331" i="4"/>
  <c r="CK49" i="4"/>
  <c r="EV11" i="4"/>
  <c r="EX11" i="4"/>
  <c r="GG11" i="4"/>
  <c r="CY11" i="4"/>
  <c r="GG331" i="4"/>
  <c r="DK331" i="4"/>
  <c r="FX331" i="4"/>
  <c r="EQ331" i="4"/>
  <c r="EX49" i="4"/>
  <c r="HG331" i="4"/>
  <c r="HH331" i="4" s="1"/>
  <c r="DY49" i="4"/>
  <c r="FC11" i="4"/>
  <c r="DA11" i="4"/>
  <c r="FL11" i="4"/>
  <c r="FH11" i="4"/>
  <c r="CM331" i="4"/>
  <c r="CR331" i="4"/>
  <c r="GE331" i="4"/>
  <c r="EX331" i="4"/>
  <c r="CW331" i="4"/>
  <c r="FC49" i="4"/>
  <c r="HC11" i="4"/>
  <c r="HD11" i="4" s="1"/>
  <c r="BW49" i="4"/>
  <c r="HU49" i="4"/>
  <c r="AO49" i="4" s="1"/>
  <c r="DF11" i="4"/>
  <c r="FQ11" i="4"/>
  <c r="ET11" i="4"/>
  <c r="DK11" i="4"/>
  <c r="FL331" i="4"/>
  <c r="CY331" i="4"/>
  <c r="GL331" i="4"/>
  <c r="FE331" i="4"/>
  <c r="DR49" i="4"/>
  <c r="GE11" i="4"/>
  <c r="CE172" i="4"/>
  <c r="CM11" i="4"/>
  <c r="FS11" i="4"/>
  <c r="FA11" i="4"/>
  <c r="DT11" i="4"/>
  <c r="DY331" i="4"/>
  <c r="DF331" i="4"/>
  <c r="CI331" i="4"/>
  <c r="EJ49" i="4"/>
  <c r="DD331" i="4"/>
  <c r="N108" i="4"/>
  <c r="N209" i="4"/>
  <c r="CA209" i="4" s="1"/>
  <c r="AQ11" i="4"/>
  <c r="CT11" i="4"/>
  <c r="FZ11" i="4"/>
  <c r="DD11" i="4"/>
  <c r="GJ11" i="4"/>
  <c r="FX11" i="4"/>
  <c r="FV331" i="4"/>
  <c r="DM331" i="4"/>
  <c r="CW49" i="4"/>
  <c r="HC164" i="4"/>
  <c r="HD164" i="4" s="1"/>
  <c r="HG164" i="4"/>
  <c r="HH164" i="4" s="1"/>
  <c r="FV151" i="4"/>
  <c r="CR151" i="4"/>
  <c r="GE151" i="4"/>
  <c r="FE151" i="4"/>
  <c r="DY151" i="4"/>
  <c r="CY151" i="4"/>
  <c r="GL151" i="4"/>
  <c r="FL151" i="4"/>
  <c r="EF151" i="4"/>
  <c r="DF151" i="4"/>
  <c r="FQ151" i="4"/>
  <c r="HC151" i="4"/>
  <c r="HD151" i="4" s="1"/>
  <c r="DK151" i="4"/>
  <c r="CK151" i="4"/>
  <c r="DO151" i="4"/>
  <c r="CM151" i="4"/>
  <c r="DT151" i="4"/>
  <c r="CT151" i="4"/>
  <c r="GU151" i="4"/>
  <c r="GV151" i="4" s="1"/>
  <c r="BW151" i="4"/>
  <c r="FA151" i="4"/>
  <c r="EH151" i="4"/>
  <c r="DA151" i="4"/>
  <c r="FH151" i="4"/>
  <c r="DM151" i="4"/>
  <c r="DH151" i="4"/>
  <c r="EM151" i="4"/>
  <c r="EV151" i="4"/>
  <c r="DR151" i="4"/>
  <c r="HU151" i="4"/>
  <c r="AS151" i="4" s="1"/>
  <c r="CC151" i="4"/>
  <c r="ET151" i="4"/>
  <c r="CP151" i="4"/>
  <c r="FC151" i="4"/>
  <c r="DV151" i="4"/>
  <c r="FS151" i="4"/>
  <c r="AQ151" i="4"/>
  <c r="FZ151" i="4"/>
  <c r="GC151" i="4"/>
  <c r="FJ151" i="4"/>
  <c r="EJ151" i="4"/>
  <c r="HU337" i="4"/>
  <c r="AO337" i="4" s="1"/>
  <c r="AW151" i="4"/>
  <c r="GG151" i="4"/>
  <c r="GJ151" i="4"/>
  <c r="EO151" i="4"/>
  <c r="EQ151" i="4"/>
  <c r="CW151" i="4"/>
  <c r="CI151" i="4"/>
  <c r="GY320" i="4"/>
  <c r="GZ320" i="4" s="1"/>
  <c r="M76" i="4"/>
  <c r="M110" i="4"/>
  <c r="HC123" i="4"/>
  <c r="HD123" i="4" s="1"/>
  <c r="EH12" i="4"/>
  <c r="DF12" i="4"/>
  <c r="DM12" i="4"/>
  <c r="CI12" i="4"/>
  <c r="HG320" i="4"/>
  <c r="HH320" i="4" s="1"/>
  <c r="M344" i="4"/>
  <c r="BS344" i="4"/>
  <c r="BU344" i="4"/>
  <c r="BV344" i="4"/>
  <c r="M343" i="4"/>
  <c r="BU343" i="4"/>
  <c r="BV343" i="4"/>
  <c r="BS343" i="4"/>
  <c r="AS343" i="4"/>
  <c r="AQ342" i="4"/>
  <c r="BT342" i="4"/>
  <c r="BU342" i="4"/>
  <c r="BV342" i="4"/>
  <c r="AO340" i="4"/>
  <c r="M340" i="4"/>
  <c r="BU340" i="4"/>
  <c r="BV340" i="4"/>
  <c r="BS340" i="4"/>
  <c r="M339" i="4"/>
  <c r="BT339" i="4"/>
  <c r="BV339" i="4"/>
  <c r="BU339" i="4"/>
  <c r="AO339" i="4"/>
  <c r="M337" i="4"/>
  <c r="BT337" i="4"/>
  <c r="BU337" i="4"/>
  <c r="BV337" i="4"/>
  <c r="BU336" i="4"/>
  <c r="BV336" i="4"/>
  <c r="BT336" i="4"/>
  <c r="GE12" i="4"/>
  <c r="EX179" i="4"/>
  <c r="CP179" i="4"/>
  <c r="GG179" i="4"/>
  <c r="FA179" i="4"/>
  <c r="DM123" i="4"/>
  <c r="DK123" i="4"/>
  <c r="EV123" i="4"/>
  <c r="DV123" i="4"/>
  <c r="FC12" i="4"/>
  <c r="EC12" i="4"/>
  <c r="FL12" i="4"/>
  <c r="FH12" i="4"/>
  <c r="HE12" i="4"/>
  <c r="HF12" i="4" s="1"/>
  <c r="HE123" i="4"/>
  <c r="HF123" i="4" s="1"/>
  <c r="HC179" i="4"/>
  <c r="HD179" i="4" s="1"/>
  <c r="N236" i="4"/>
  <c r="CA236" i="4" s="1"/>
  <c r="EH179" i="4"/>
  <c r="DH179" i="4"/>
  <c r="FS179" i="4"/>
  <c r="EM179" i="4"/>
  <c r="DR123" i="4"/>
  <c r="CW123" i="4"/>
  <c r="EC123" i="4"/>
  <c r="GJ123" i="4"/>
  <c r="FO12" i="4"/>
  <c r="DO12" i="4"/>
  <c r="FA12" i="4"/>
  <c r="CR12" i="4"/>
  <c r="HG123" i="4"/>
  <c r="HH123" i="4" s="1"/>
  <c r="DM179" i="4"/>
  <c r="DR179" i="4"/>
  <c r="CR179" i="4"/>
  <c r="CY123" i="4"/>
  <c r="GC123" i="4"/>
  <c r="FQ123" i="4"/>
  <c r="EQ123" i="4"/>
  <c r="EX12" i="4"/>
  <c r="DT12" i="4"/>
  <c r="DD12" i="4"/>
  <c r="EA12" i="4"/>
  <c r="AY12" i="4"/>
  <c r="HU12" i="4"/>
  <c r="AO12" i="4" s="1"/>
  <c r="CC123" i="4"/>
  <c r="CY179" i="4"/>
  <c r="FX179" i="4"/>
  <c r="EC179" i="4"/>
  <c r="CW179" i="4"/>
  <c r="FJ123" i="4"/>
  <c r="EM123" i="4"/>
  <c r="FX123" i="4"/>
  <c r="EX123" i="4"/>
  <c r="FV12" i="4"/>
  <c r="FE12" i="4"/>
  <c r="GN12" i="4"/>
  <c r="GJ12" i="4"/>
  <c r="GU123" i="4"/>
  <c r="GV123" i="4" s="1"/>
  <c r="CK179" i="4"/>
  <c r="FC179" i="4"/>
  <c r="EJ179" i="4"/>
  <c r="DD179" i="4"/>
  <c r="EM12" i="4"/>
  <c r="CP123" i="4"/>
  <c r="CR123" i="4"/>
  <c r="FE123" i="4"/>
  <c r="DH123" i="4"/>
  <c r="GL12" i="4"/>
  <c r="DH12" i="4"/>
  <c r="CP12" i="4"/>
  <c r="AS179" i="4"/>
  <c r="FJ179" i="4"/>
  <c r="DO179" i="4"/>
  <c r="CI179" i="4"/>
  <c r="FA123" i="4"/>
  <c r="EA123" i="4"/>
  <c r="GG123" i="4"/>
  <c r="CK123" i="4"/>
  <c r="FQ12" i="4"/>
  <c r="EQ12" i="4"/>
  <c r="ET12" i="4"/>
  <c r="AW179" i="4"/>
  <c r="AS12" i="4"/>
  <c r="AQ179" i="4"/>
  <c r="FJ12" i="4"/>
  <c r="DF179" i="4"/>
  <c r="EO179" i="4"/>
  <c r="ET179" i="4"/>
  <c r="CT179" i="4"/>
  <c r="FL123" i="4"/>
  <c r="FO123" i="4"/>
  <c r="CM123" i="4"/>
  <c r="FS123" i="4"/>
  <c r="FZ12" i="4"/>
  <c r="CW12" i="4"/>
  <c r="GC12" i="4"/>
  <c r="AQ123" i="4"/>
  <c r="HU179" i="4"/>
  <c r="AO179" i="4" s="1"/>
  <c r="CE179" i="4"/>
  <c r="DV179" i="4"/>
  <c r="FZ179" i="4"/>
  <c r="FE179" i="4"/>
  <c r="DY179" i="4"/>
  <c r="CI123" i="4"/>
  <c r="DT123" i="4"/>
  <c r="CT123" i="4"/>
  <c r="FZ123" i="4"/>
  <c r="DA12" i="4"/>
  <c r="GG12" i="4"/>
  <c r="EF12" i="4"/>
  <c r="AW123" i="4"/>
  <c r="HU123" i="4"/>
  <c r="AO123" i="4" s="1"/>
  <c r="BY179" i="4"/>
  <c r="BY12" i="4"/>
  <c r="CE12" i="4"/>
  <c r="GC179" i="4"/>
  <c r="GE179" i="4"/>
  <c r="FL179" i="4"/>
  <c r="EF179" i="4"/>
  <c r="ET123" i="4"/>
  <c r="GN123" i="4"/>
  <c r="DF123" i="4"/>
  <c r="FX12" i="4"/>
  <c r="EJ12" i="4"/>
  <c r="EV12" i="4"/>
  <c r="BW179" i="4"/>
  <c r="GJ179" i="4"/>
  <c r="GL179" i="4"/>
  <c r="EQ179" i="4"/>
  <c r="DK179" i="4"/>
  <c r="FC123" i="4"/>
  <c r="GE123" i="4"/>
  <c r="EF123" i="4"/>
  <c r="DK12" i="4"/>
  <c r="CM12" i="4"/>
  <c r="FS12" i="4"/>
  <c r="EO12" i="4"/>
  <c r="CC179" i="4"/>
  <c r="FO179" i="4"/>
  <c r="FQ179" i="4"/>
  <c r="FV179" i="4"/>
  <c r="DT179" i="4"/>
  <c r="DA123" i="4"/>
  <c r="DY123" i="4"/>
  <c r="EO123" i="4"/>
  <c r="CT12" i="4"/>
  <c r="CK12" i="4"/>
  <c r="DY12" i="4"/>
  <c r="CY12" i="4"/>
  <c r="HJ4" i="4"/>
  <c r="HG12" i="4"/>
  <c r="HH12" i="4" s="1"/>
  <c r="EV179" i="4"/>
  <c r="GY179" i="4"/>
  <c r="GZ179" i="4" s="1"/>
  <c r="HT5" i="4"/>
  <c r="HT4" i="4"/>
  <c r="HR5" i="4"/>
  <c r="HR6" i="4"/>
  <c r="HR7" i="4"/>
  <c r="HR4" i="4"/>
  <c r="HP4" i="4"/>
  <c r="HP5" i="4"/>
  <c r="HP6" i="4"/>
  <c r="HP7" i="4"/>
  <c r="HP8" i="4"/>
  <c r="HP9" i="4"/>
  <c r="HP10" i="4"/>
  <c r="HP11" i="4"/>
  <c r="HP12" i="4"/>
  <c r="HC12" i="4"/>
  <c r="HD12" i="4" s="1"/>
  <c r="GU179" i="4"/>
  <c r="GV179" i="4" s="1"/>
  <c r="HG179" i="4"/>
  <c r="HH179" i="4" s="1"/>
  <c r="AS331" i="4"/>
  <c r="AO329" i="4"/>
  <c r="AO326" i="4"/>
  <c r="GJ337" i="4"/>
  <c r="HE337" i="4"/>
  <c r="HF337" i="4" s="1"/>
  <c r="CE337" i="4"/>
  <c r="DF337" i="4"/>
  <c r="EO337" i="4"/>
  <c r="DH337" i="4"/>
  <c r="DT337" i="4"/>
  <c r="BY337" i="4"/>
  <c r="GN337" i="4"/>
  <c r="CW337" i="4"/>
  <c r="DR337" i="4"/>
  <c r="CY337" i="4"/>
  <c r="DA337" i="4"/>
  <c r="GG337" i="4"/>
  <c r="EM337" i="4"/>
  <c r="HC337" i="4"/>
  <c r="HD337" i="4" s="1"/>
  <c r="FS337" i="4"/>
  <c r="FV337" i="4"/>
  <c r="CP337" i="4"/>
  <c r="GC337" i="4"/>
  <c r="FC337" i="4"/>
  <c r="EC337" i="4"/>
  <c r="DD337" i="4"/>
  <c r="FO337" i="4"/>
  <c r="FJ337" i="4"/>
  <c r="EJ337" i="4"/>
  <c r="CT337" i="4"/>
  <c r="GY337" i="4"/>
  <c r="GZ337" i="4" s="1"/>
  <c r="EQ337" i="4"/>
  <c r="ET337" i="4"/>
  <c r="FZ337" i="4"/>
  <c r="DY337" i="4"/>
  <c r="DM337" i="4"/>
  <c r="FQ337" i="4"/>
  <c r="EV337" i="4"/>
  <c r="EF337" i="4"/>
  <c r="EA337" i="4"/>
  <c r="GE337" i="4"/>
  <c r="FE337" i="4"/>
  <c r="DK337" i="4"/>
  <c r="EH337" i="4"/>
  <c r="GL337" i="4"/>
  <c r="FL337" i="4"/>
  <c r="DO337" i="4"/>
  <c r="AS337" i="4"/>
  <c r="DV337" i="4"/>
  <c r="EX337" i="4"/>
  <c r="FA337" i="4"/>
  <c r="CK337" i="4"/>
  <c r="CR337" i="4"/>
  <c r="FX337" i="4"/>
  <c r="FH337" i="4"/>
  <c r="AY337" i="4"/>
  <c r="HF320" i="4"/>
  <c r="BT329" i="4"/>
  <c r="BU329" i="4"/>
  <c r="BV329" i="4"/>
  <c r="M331" i="4"/>
  <c r="BU331" i="4"/>
  <c r="BV331" i="4"/>
  <c r="BS331" i="4"/>
  <c r="BS328" i="4"/>
  <c r="BT328" i="4"/>
  <c r="BU328" i="4"/>
  <c r="M326" i="4"/>
  <c r="BT326" i="4"/>
  <c r="BU326" i="4"/>
  <c r="BV326" i="4"/>
  <c r="M324" i="4"/>
  <c r="BS324" i="4"/>
  <c r="BT324" i="4"/>
  <c r="BV324" i="4"/>
  <c r="M323" i="4"/>
  <c r="BT323" i="4"/>
  <c r="BU323" i="4"/>
  <c r="BV323" i="4"/>
  <c r="BS322" i="4"/>
  <c r="BU322" i="4"/>
  <c r="BV322" i="4"/>
  <c r="BT321" i="4"/>
  <c r="BU321" i="4"/>
  <c r="BV321" i="4"/>
  <c r="M320" i="4"/>
  <c r="BV320" i="4"/>
  <c r="BT320" i="4"/>
  <c r="BU320" i="4"/>
  <c r="AS316" i="4"/>
  <c r="AS314" i="4"/>
  <c r="AS307" i="4"/>
  <c r="AQ306" i="4"/>
  <c r="BY289" i="4"/>
  <c r="AW289" i="4"/>
  <c r="GJ22" i="4"/>
  <c r="DV49" i="4"/>
  <c r="DM49" i="4"/>
  <c r="CM49" i="4"/>
  <c r="FZ49" i="4"/>
  <c r="GU11" i="4"/>
  <c r="GV11" i="4" s="1"/>
  <c r="HC49" i="4"/>
  <c r="HD49" i="4" s="1"/>
  <c r="HE11" i="4"/>
  <c r="HF11" i="4" s="1"/>
  <c r="CP22" i="4"/>
  <c r="FJ49" i="4"/>
  <c r="DO49" i="4"/>
  <c r="CI49" i="4"/>
  <c r="N49" i="4"/>
  <c r="BY49" i="4" s="1"/>
  <c r="DA246" i="4"/>
  <c r="EO49" i="4"/>
  <c r="ET49" i="4"/>
  <c r="CR49" i="4"/>
  <c r="N124" i="4"/>
  <c r="BY124" i="4" s="1"/>
  <c r="FO289" i="4"/>
  <c r="FX49" i="4"/>
  <c r="FE49" i="4"/>
  <c r="EF49" i="4"/>
  <c r="HG49" i="4"/>
  <c r="HH49" i="4" s="1"/>
  <c r="FL289" i="4"/>
  <c r="DT49" i="4"/>
  <c r="GE49" i="4"/>
  <c r="FL49" i="4"/>
  <c r="DK49" i="4"/>
  <c r="DT289" i="4"/>
  <c r="GC49" i="4"/>
  <c r="GL49" i="4"/>
  <c r="EQ49" i="4"/>
  <c r="CT49" i="4"/>
  <c r="HE49" i="4"/>
  <c r="HF49" i="4" s="1"/>
  <c r="GJ49" i="4"/>
  <c r="FQ49" i="4"/>
  <c r="FV49" i="4"/>
  <c r="FA49" i="4"/>
  <c r="FO49" i="4"/>
  <c r="CP49" i="4"/>
  <c r="GG49" i="4"/>
  <c r="FH49" i="4"/>
  <c r="EV49" i="4"/>
  <c r="DA49" i="4"/>
  <c r="GN49" i="4"/>
  <c r="EM49" i="4"/>
  <c r="CC289" i="4"/>
  <c r="AQ289" i="4"/>
  <c r="EF22" i="4"/>
  <c r="EH49" i="4"/>
  <c r="DH49" i="4"/>
  <c r="FS49" i="4"/>
  <c r="N196" i="4"/>
  <c r="CA196" i="4" s="1"/>
  <c r="AW235" i="4"/>
  <c r="CC235" i="4"/>
  <c r="EC235" i="4"/>
  <c r="DH235" i="4"/>
  <c r="GN235" i="4"/>
  <c r="EO235" i="4"/>
  <c r="M64" i="4"/>
  <c r="HU235" i="4"/>
  <c r="HS235" i="4" s="1"/>
  <c r="FO235" i="4"/>
  <c r="CP235" i="4"/>
  <c r="FV235" i="4"/>
  <c r="EV235" i="4"/>
  <c r="HC116" i="4"/>
  <c r="HD116" i="4" s="1"/>
  <c r="CT235" i="4"/>
  <c r="CW235" i="4"/>
  <c r="GC235" i="4"/>
  <c r="FC235" i="4"/>
  <c r="HC235" i="4"/>
  <c r="HD235" i="4" s="1"/>
  <c r="HE116" i="4"/>
  <c r="HF116" i="4" s="1"/>
  <c r="DA235" i="4"/>
  <c r="DD235" i="4"/>
  <c r="GJ235" i="4"/>
  <c r="FJ235" i="4"/>
  <c r="GU116" i="4"/>
  <c r="GV116" i="4" s="1"/>
  <c r="GY235" i="4"/>
  <c r="GZ235" i="4" s="1"/>
  <c r="HE235" i="4"/>
  <c r="HF235" i="4" s="1"/>
  <c r="GY22" i="4"/>
  <c r="GZ22" i="4" s="1"/>
  <c r="HG116" i="4"/>
  <c r="HH116" i="4" s="1"/>
  <c r="CI235" i="4"/>
  <c r="EJ235" i="4"/>
  <c r="CK235" i="4"/>
  <c r="FQ235" i="4"/>
  <c r="M104" i="4"/>
  <c r="HG235" i="4"/>
  <c r="HH235" i="4" s="1"/>
  <c r="AY235" i="4"/>
  <c r="EQ235" i="4"/>
  <c r="DR235" i="4"/>
  <c r="CR235" i="4"/>
  <c r="FX235" i="4"/>
  <c r="M102" i="4"/>
  <c r="EX235" i="4"/>
  <c r="DY235" i="4"/>
  <c r="CY235" i="4"/>
  <c r="GE235" i="4"/>
  <c r="FE235" i="4"/>
  <c r="EF235" i="4"/>
  <c r="DF235" i="4"/>
  <c r="GL235" i="4"/>
  <c r="DK235" i="4"/>
  <c r="FL235" i="4"/>
  <c r="DM235" i="4"/>
  <c r="GU235" i="4"/>
  <c r="GV235" i="4" s="1"/>
  <c r="HE289" i="4"/>
  <c r="HF289" i="4" s="1"/>
  <c r="CE235" i="4"/>
  <c r="EM235" i="4"/>
  <c r="FS235" i="4"/>
  <c r="ET235" i="4"/>
  <c r="DT235" i="4"/>
  <c r="BW235" i="4"/>
  <c r="N235" i="4"/>
  <c r="CA235" i="4" s="1"/>
  <c r="AS235" i="4"/>
  <c r="DO235" i="4"/>
  <c r="FZ235" i="4"/>
  <c r="FA235" i="4"/>
  <c r="EA235" i="4"/>
  <c r="HG10" i="4"/>
  <c r="HH10" i="4" s="1"/>
  <c r="M39" i="4"/>
  <c r="GJ7" i="4"/>
  <c r="EC7" i="4"/>
  <c r="DF7" i="4"/>
  <c r="FL7" i="4"/>
  <c r="FX7" i="4"/>
  <c r="DK7" i="4"/>
  <c r="CT7" i="4"/>
  <c r="M319" i="4"/>
  <c r="BS319" i="4"/>
  <c r="BU319" i="4"/>
  <c r="BV319" i="4"/>
  <c r="M318" i="4"/>
  <c r="BS318" i="4"/>
  <c r="BT318" i="4"/>
  <c r="BU318" i="4"/>
  <c r="BU317" i="4"/>
  <c r="BS317" i="4"/>
  <c r="BT317" i="4"/>
  <c r="M316" i="4"/>
  <c r="BS316" i="4"/>
  <c r="BT316" i="4"/>
  <c r="BU316" i="4"/>
  <c r="M315" i="4"/>
  <c r="BS315" i="4"/>
  <c r="BT315" i="4"/>
  <c r="BV315" i="4"/>
  <c r="BS314" i="4"/>
  <c r="BT314" i="4"/>
  <c r="BU314" i="4"/>
  <c r="BU313" i="4"/>
  <c r="BS313" i="4"/>
  <c r="BT313" i="4"/>
  <c r="M311" i="4"/>
  <c r="BT311" i="4"/>
  <c r="BU311" i="4"/>
  <c r="BV311" i="4"/>
  <c r="M309" i="4"/>
  <c r="BT309" i="4"/>
  <c r="BU309" i="4"/>
  <c r="BV309" i="4"/>
  <c r="BV308" i="4"/>
  <c r="BU308" i="4"/>
  <c r="BS308" i="4"/>
  <c r="BU307" i="4"/>
  <c r="BT307" i="4"/>
  <c r="BV307" i="4"/>
  <c r="BT306" i="4"/>
  <c r="BU306" i="4"/>
  <c r="BS306" i="4"/>
  <c r="M305" i="4"/>
  <c r="BT305" i="4"/>
  <c r="BU305" i="4"/>
  <c r="BV305" i="4"/>
  <c r="HU14" i="4"/>
  <c r="AO14" i="4" s="1"/>
  <c r="DF14" i="4"/>
  <c r="CT14" i="4"/>
  <c r="CW14" i="4"/>
  <c r="GC14" i="4"/>
  <c r="EA14" i="4"/>
  <c r="GJ14" i="4"/>
  <c r="GL14" i="4"/>
  <c r="FL14" i="4"/>
  <c r="CI14" i="4"/>
  <c r="FO14" i="4"/>
  <c r="EQ14" i="4"/>
  <c r="DT14" i="4"/>
  <c r="EV14" i="4"/>
  <c r="AS14" i="4"/>
  <c r="EX14" i="4"/>
  <c r="DY14" i="4"/>
  <c r="CR14" i="4"/>
  <c r="FC14" i="4"/>
  <c r="BY14" i="4"/>
  <c r="DA14" i="4"/>
  <c r="GG14" i="4"/>
  <c r="GN14" i="4"/>
  <c r="FH14" i="4"/>
  <c r="N120" i="4"/>
  <c r="BY120" i="4" s="1"/>
  <c r="M75" i="4"/>
  <c r="EH14" i="4"/>
  <c r="DH14" i="4"/>
  <c r="FQ14" i="4"/>
  <c r="CM14" i="4"/>
  <c r="FS14" i="4"/>
  <c r="FX14" i="4"/>
  <c r="HC14" i="4"/>
  <c r="HD14" i="4" s="1"/>
  <c r="FZ14" i="4"/>
  <c r="FA14" i="4"/>
  <c r="CY14" i="4"/>
  <c r="M88" i="4"/>
  <c r="EC14" i="4"/>
  <c r="DM14" i="4"/>
  <c r="DD14" i="4"/>
  <c r="HG151" i="4"/>
  <c r="HH151" i="4" s="1"/>
  <c r="CE14" i="4"/>
  <c r="AQ9" i="4"/>
  <c r="FJ14" i="4"/>
  <c r="EJ14" i="4"/>
  <c r="CP14" i="4"/>
  <c r="EM14" i="4"/>
  <c r="HG14" i="4"/>
  <c r="HH14" i="4" s="1"/>
  <c r="AY14" i="4"/>
  <c r="DK14" i="4"/>
  <c r="DO14" i="4"/>
  <c r="CK14" i="4"/>
  <c r="EO14" i="4"/>
  <c r="HE14" i="4"/>
  <c r="HF14" i="4" s="1"/>
  <c r="BU124" i="4"/>
  <c r="GS124" i="4"/>
  <c r="GY124" i="4" s="1"/>
  <c r="BW22" i="4"/>
  <c r="CC22" i="4"/>
  <c r="CY22" i="4"/>
  <c r="FC22" i="4"/>
  <c r="FJ22" i="4"/>
  <c r="EJ22" i="4"/>
  <c r="FE289" i="4"/>
  <c r="EF289" i="4"/>
  <c r="DM289" i="4"/>
  <c r="GU22" i="4"/>
  <c r="GV22" i="4" s="1"/>
  <c r="HC289" i="4"/>
  <c r="HD289" i="4" s="1"/>
  <c r="HG22" i="4"/>
  <c r="HH22" i="4" s="1"/>
  <c r="AQ22" i="4"/>
  <c r="FV22" i="4"/>
  <c r="FO22" i="4"/>
  <c r="DM22" i="4"/>
  <c r="FA22" i="4"/>
  <c r="DK289" i="4"/>
  <c r="FS289" i="4"/>
  <c r="ET289" i="4"/>
  <c r="EA289" i="4"/>
  <c r="HG289" i="4"/>
  <c r="HH289" i="4" s="1"/>
  <c r="AY22" i="4"/>
  <c r="DT22" i="4"/>
  <c r="GE22" i="4"/>
  <c r="EC22" i="4"/>
  <c r="CK22" i="4"/>
  <c r="DO289" i="4"/>
  <c r="FZ289" i="4"/>
  <c r="FA289" i="4"/>
  <c r="EH289" i="4"/>
  <c r="GU289" i="4"/>
  <c r="GV289" i="4" s="1"/>
  <c r="CE22" i="4"/>
  <c r="ET22" i="4"/>
  <c r="DF22" i="4"/>
  <c r="GL22" i="4"/>
  <c r="FL22" i="4"/>
  <c r="DV289" i="4"/>
  <c r="GG289" i="4"/>
  <c r="FH289" i="4"/>
  <c r="EO289" i="4"/>
  <c r="HU22" i="4"/>
  <c r="AO22" i="4" s="1"/>
  <c r="DD22" i="4"/>
  <c r="CM22" i="4"/>
  <c r="FS22" i="4"/>
  <c r="CR22" i="4"/>
  <c r="EC289" i="4"/>
  <c r="DH289" i="4"/>
  <c r="GN289" i="4"/>
  <c r="EV289" i="4"/>
  <c r="DK22" i="4"/>
  <c r="EX22" i="4"/>
  <c r="CW22" i="4"/>
  <c r="GC22" i="4"/>
  <c r="CI289" i="4"/>
  <c r="CP289" i="4"/>
  <c r="FV289" i="4"/>
  <c r="FC289" i="4"/>
  <c r="FX22" i="4"/>
  <c r="EO22" i="4"/>
  <c r="FE22" i="4"/>
  <c r="DR22" i="4"/>
  <c r="CM289" i="4"/>
  <c r="CW289" i="4"/>
  <c r="GC289" i="4"/>
  <c r="FJ289" i="4"/>
  <c r="AW22" i="4"/>
  <c r="EA22" i="4"/>
  <c r="EH22" i="4"/>
  <c r="DH22" i="4"/>
  <c r="GN22" i="4"/>
  <c r="DA289" i="4"/>
  <c r="DD289" i="4"/>
  <c r="GJ289" i="4"/>
  <c r="FQ289" i="4"/>
  <c r="N138" i="4"/>
  <c r="BY138" i="4" s="1"/>
  <c r="FH22" i="4"/>
  <c r="DO22" i="4"/>
  <c r="FQ22" i="4"/>
  <c r="EM289" i="4"/>
  <c r="EJ289" i="4"/>
  <c r="CK289" i="4"/>
  <c r="FX289" i="4"/>
  <c r="AS22" i="4"/>
  <c r="CI22" i="4"/>
  <c r="EM22" i="4"/>
  <c r="FZ22" i="4"/>
  <c r="DY22" i="4"/>
  <c r="EQ289" i="4"/>
  <c r="DR289" i="4"/>
  <c r="CY289" i="4"/>
  <c r="GE289" i="4"/>
  <c r="HC22" i="4"/>
  <c r="HD22" i="4" s="1"/>
  <c r="P289" i="4"/>
  <c r="CE289" i="4" s="1"/>
  <c r="BY22" i="4"/>
  <c r="EV22" i="4"/>
  <c r="CT22" i="4"/>
  <c r="DA22" i="4"/>
  <c r="GG22" i="4"/>
  <c r="EX289" i="4"/>
  <c r="DY289" i="4"/>
  <c r="DF289" i="4"/>
  <c r="M45" i="4"/>
  <c r="M178" i="4"/>
  <c r="P209" i="4"/>
  <c r="BT209" i="4" s="1"/>
  <c r="BU289" i="4"/>
  <c r="BT289" i="4"/>
  <c r="AS300" i="4"/>
  <c r="AQ299" i="4"/>
  <c r="AS298" i="4"/>
  <c r="AO297" i="4"/>
  <c r="AS296" i="4"/>
  <c r="AS295" i="4"/>
  <c r="AQ294" i="4"/>
  <c r="AQ293" i="4"/>
  <c r="AO292" i="4"/>
  <c r="AS291" i="4"/>
  <c r="AO290" i="4"/>
  <c r="AS289" i="4"/>
  <c r="AO288" i="4"/>
  <c r="AS286" i="4"/>
  <c r="AI305" i="4"/>
  <c r="M175" i="4"/>
  <c r="AO307" i="4"/>
  <c r="AO293" i="4"/>
  <c r="HH286" i="4"/>
  <c r="AI288" i="4"/>
  <c r="M289" i="4"/>
  <c r="M304" i="4"/>
  <c r="BT304" i="4"/>
  <c r="BU304" i="4"/>
  <c r="BV304" i="4"/>
  <c r="BS302" i="4"/>
  <c r="BT302" i="4"/>
  <c r="BU302" i="4"/>
  <c r="BT301" i="4"/>
  <c r="BU301" i="4"/>
  <c r="BV301" i="4"/>
  <c r="BS300" i="4"/>
  <c r="BT300" i="4"/>
  <c r="BU300" i="4"/>
  <c r="BS299" i="4"/>
  <c r="BT299" i="4"/>
  <c r="BV299" i="4"/>
  <c r="BS298" i="4"/>
  <c r="BT298" i="4"/>
  <c r="BU298" i="4"/>
  <c r="M297" i="4"/>
  <c r="BS297" i="4"/>
  <c r="BU297" i="4"/>
  <c r="BV297" i="4"/>
  <c r="BS296" i="4"/>
  <c r="BT296" i="4"/>
  <c r="BU296" i="4"/>
  <c r="BS295" i="4"/>
  <c r="BT295" i="4"/>
  <c r="BV295" i="4"/>
  <c r="BS294" i="4"/>
  <c r="BT294" i="4"/>
  <c r="BV294" i="4"/>
  <c r="BS293" i="4"/>
  <c r="BT293" i="4"/>
  <c r="BU293" i="4"/>
  <c r="BT292" i="4"/>
  <c r="BU292" i="4"/>
  <c r="BV292" i="4"/>
  <c r="BS291" i="4"/>
  <c r="BT291" i="4"/>
  <c r="BV291" i="4"/>
  <c r="M290" i="4"/>
  <c r="BT290" i="4"/>
  <c r="BU290" i="4"/>
  <c r="BV290" i="4"/>
  <c r="M288" i="4"/>
  <c r="BS288" i="4"/>
  <c r="BV288" i="4"/>
  <c r="BU288" i="4"/>
  <c r="BS286" i="4"/>
  <c r="BT286" i="4"/>
  <c r="BV286" i="4"/>
  <c r="M285" i="4"/>
  <c r="BU285" i="4"/>
  <c r="BS285" i="4"/>
  <c r="BV285" i="4"/>
  <c r="M284" i="4"/>
  <c r="BU284" i="4"/>
  <c r="BV284" i="4"/>
  <c r="BT284" i="4"/>
  <c r="BU280" i="4"/>
  <c r="BS280" i="4"/>
  <c r="BT280" i="4"/>
  <c r="M279" i="4"/>
  <c r="BV279" i="4"/>
  <c r="BS279" i="4"/>
  <c r="BT279" i="4"/>
  <c r="HS90" i="4"/>
  <c r="M105" i="4"/>
  <c r="AQ277" i="4"/>
  <c r="AS275" i="4"/>
  <c r="AS273" i="4"/>
  <c r="AS271" i="4"/>
  <c r="AO270" i="4"/>
  <c r="AQ268" i="4"/>
  <c r="AS266" i="4"/>
  <c r="AS264" i="4"/>
  <c r="AQ260" i="4"/>
  <c r="AS259" i="4"/>
  <c r="CE32" i="4"/>
  <c r="DT32" i="4"/>
  <c r="P251" i="4"/>
  <c r="BV251" i="4" s="1"/>
  <c r="P227" i="4"/>
  <c r="DY227" i="4" s="1"/>
  <c r="M277" i="4"/>
  <c r="BS277" i="4"/>
  <c r="BU277" i="4"/>
  <c r="BV277" i="4"/>
  <c r="Y16" i="15"/>
  <c r="HH259" i="4"/>
  <c r="M275" i="4"/>
  <c r="BS275" i="4"/>
  <c r="BT275" i="4"/>
  <c r="BU275" i="4"/>
  <c r="M274" i="4"/>
  <c r="BT274" i="4"/>
  <c r="BS274" i="4"/>
  <c r="BV274" i="4"/>
  <c r="BV273" i="4"/>
  <c r="BS273" i="4"/>
  <c r="BT273" i="4"/>
  <c r="BS272" i="4"/>
  <c r="BT272" i="4"/>
  <c r="BU272" i="4"/>
  <c r="M271" i="4"/>
  <c r="BS271" i="4"/>
  <c r="BT271" i="4"/>
  <c r="BV271" i="4"/>
  <c r="M270" i="4"/>
  <c r="BT270" i="4"/>
  <c r="BU270" i="4"/>
  <c r="BV270" i="4"/>
  <c r="M269" i="4"/>
  <c r="BS269" i="4"/>
  <c r="BT269" i="4"/>
  <c r="BV269" i="4"/>
  <c r="BU268" i="4"/>
  <c r="BS268" i="4"/>
  <c r="BT268" i="4"/>
  <c r="M267" i="4"/>
  <c r="BU267" i="4"/>
  <c r="BS267" i="4"/>
  <c r="BV267" i="4"/>
  <c r="M266" i="4"/>
  <c r="BS266" i="4"/>
  <c r="BT266" i="4"/>
  <c r="BV266" i="4"/>
  <c r="BS265" i="4"/>
  <c r="BT265" i="4"/>
  <c r="BU265" i="4"/>
  <c r="BS264" i="4"/>
  <c r="BT264" i="4"/>
  <c r="BV264" i="4"/>
  <c r="M263" i="4"/>
  <c r="BS263" i="4"/>
  <c r="BT263" i="4"/>
  <c r="BU263" i="4"/>
  <c r="M262" i="4"/>
  <c r="BS262" i="4"/>
  <c r="BU262" i="4"/>
  <c r="BV262" i="4"/>
  <c r="BS260" i="4"/>
  <c r="BU260" i="4"/>
  <c r="BV260" i="4"/>
  <c r="BS259" i="4"/>
  <c r="BT259" i="4"/>
  <c r="BV259" i="4"/>
  <c r="AO255" i="4"/>
  <c r="AS254" i="4"/>
  <c r="AO260" i="4"/>
  <c r="M258" i="4"/>
  <c r="BS258" i="4"/>
  <c r="BT258" i="4"/>
  <c r="BV258" i="4"/>
  <c r="M257" i="4"/>
  <c r="BS257" i="4"/>
  <c r="BT257" i="4"/>
  <c r="BV257" i="4"/>
  <c r="BS256" i="4"/>
  <c r="BU256" i="4"/>
  <c r="BV256" i="4"/>
  <c r="BS255" i="4"/>
  <c r="BU255" i="4"/>
  <c r="BV255" i="4"/>
  <c r="BS254" i="4"/>
  <c r="BT254" i="4"/>
  <c r="BV254" i="4"/>
  <c r="AS252" i="4"/>
  <c r="HQ251" i="4"/>
  <c r="HQ249" i="4"/>
  <c r="AS246" i="4"/>
  <c r="HQ246" i="4"/>
  <c r="AO243" i="4"/>
  <c r="AO242" i="4"/>
  <c r="AS240" i="4"/>
  <c r="BT126" i="4"/>
  <c r="GS126" i="4"/>
  <c r="GW126" i="4" s="1"/>
  <c r="FZ126" i="4"/>
  <c r="BT125" i="4"/>
  <c r="CC125" i="4"/>
  <c r="DY125" i="4"/>
  <c r="P250" i="4"/>
  <c r="BV250" i="4" s="1"/>
  <c r="HS126" i="4"/>
  <c r="BU250" i="4"/>
  <c r="BT250" i="4"/>
  <c r="BT251" i="4"/>
  <c r="P249" i="4"/>
  <c r="HI249" i="4" s="1"/>
  <c r="BS251" i="4"/>
  <c r="P196" i="4"/>
  <c r="BT196" i="4" s="1"/>
  <c r="M129" i="4"/>
  <c r="BV209" i="4"/>
  <c r="M144" i="4"/>
  <c r="BU209" i="4"/>
  <c r="BV249" i="4"/>
  <c r="BV227" i="4"/>
  <c r="BT249" i="4"/>
  <c r="BV236" i="4"/>
  <c r="P253" i="4"/>
  <c r="BV253" i="4" s="1"/>
  <c r="BU253" i="4"/>
  <c r="BV179" i="4"/>
  <c r="BT253" i="4"/>
  <c r="M160" i="4"/>
  <c r="P236" i="4"/>
  <c r="HQ236" i="4" s="1"/>
  <c r="BT236" i="4"/>
  <c r="M250" i="4"/>
  <c r="M135" i="4"/>
  <c r="M103" i="4"/>
  <c r="AO225" i="4"/>
  <c r="AS224" i="4"/>
  <c r="AS218" i="4"/>
  <c r="AO216" i="4"/>
  <c r="AS205" i="4"/>
  <c r="AS203" i="4"/>
  <c r="AS201" i="4"/>
  <c r="AO200" i="4"/>
  <c r="AS198" i="4"/>
  <c r="AS193" i="4"/>
  <c r="AS192" i="4"/>
  <c r="AO191" i="4"/>
  <c r="AO186" i="4"/>
  <c r="AS182" i="4"/>
  <c r="M253" i="4"/>
  <c r="M251" i="4"/>
  <c r="M249" i="4"/>
  <c r="M246" i="4"/>
  <c r="M236" i="4"/>
  <c r="HH231" i="4"/>
  <c r="BS252" i="4"/>
  <c r="BT252" i="4"/>
  <c r="BU252" i="4"/>
  <c r="M248" i="4"/>
  <c r="BS248" i="4"/>
  <c r="BU248" i="4"/>
  <c r="BV248" i="4"/>
  <c r="M247" i="4"/>
  <c r="BS247" i="4"/>
  <c r="BT247" i="4"/>
  <c r="BV247" i="4"/>
  <c r="M244" i="4"/>
  <c r="BT244" i="4"/>
  <c r="BU244" i="4"/>
  <c r="BV244" i="4"/>
  <c r="M243" i="4"/>
  <c r="BT243" i="4"/>
  <c r="BU243" i="4"/>
  <c r="BV243" i="4"/>
  <c r="M242" i="4"/>
  <c r="BV242" i="4"/>
  <c r="BS242" i="4"/>
  <c r="BU242" i="4"/>
  <c r="M241" i="4"/>
  <c r="BV241" i="4"/>
  <c r="BU241" i="4"/>
  <c r="BS241" i="4"/>
  <c r="M240" i="4"/>
  <c r="BV240" i="4"/>
  <c r="BT240" i="4"/>
  <c r="BS240" i="4"/>
  <c r="M239" i="4"/>
  <c r="BS239" i="4"/>
  <c r="BT239" i="4"/>
  <c r="BU239" i="4"/>
  <c r="BV238" i="4"/>
  <c r="BS238" i="4"/>
  <c r="BT238" i="4"/>
  <c r="BV237" i="4"/>
  <c r="BU237" i="4"/>
  <c r="BT237" i="4"/>
  <c r="M233" i="4"/>
  <c r="BS233" i="4"/>
  <c r="BU233" i="4"/>
  <c r="BV233" i="4"/>
  <c r="M232" i="4"/>
  <c r="BS232" i="4"/>
  <c r="BU232" i="4"/>
  <c r="BV232" i="4"/>
  <c r="BS231" i="4"/>
  <c r="BT231" i="4"/>
  <c r="BV231" i="4"/>
  <c r="BT228" i="4"/>
  <c r="BU228" i="4"/>
  <c r="BV228" i="4"/>
  <c r="M79" i="4"/>
  <c r="AS251" i="4"/>
  <c r="AS249" i="4"/>
  <c r="AO246" i="4"/>
  <c r="M113" i="4"/>
  <c r="BU179" i="4"/>
  <c r="M177" i="4"/>
  <c r="M165" i="4"/>
  <c r="M162" i="4"/>
  <c r="M171" i="4"/>
  <c r="M166" i="4"/>
  <c r="M85" i="4"/>
  <c r="BS133" i="4"/>
  <c r="M133" i="4"/>
  <c r="M107" i="4"/>
  <c r="M25" i="4"/>
  <c r="M174" i="4"/>
  <c r="M115" i="4"/>
  <c r="P69" i="4"/>
  <c r="CE69" i="4" s="1"/>
  <c r="P86" i="4"/>
  <c r="EV86" i="4" s="1"/>
  <c r="M86" i="4"/>
  <c r="M93" i="4"/>
  <c r="M120" i="4"/>
  <c r="BV111" i="4"/>
  <c r="M111" i="4"/>
  <c r="BU227" i="4"/>
  <c r="M72" i="4"/>
  <c r="BS125" i="4"/>
  <c r="M125" i="4"/>
  <c r="M119" i="4"/>
  <c r="M82" i="4"/>
  <c r="BV124" i="4"/>
  <c r="M124" i="4"/>
  <c r="BV138" i="4"/>
  <c r="M148" i="4"/>
  <c r="M108" i="4"/>
  <c r="BS196" i="4"/>
  <c r="M70" i="4"/>
  <c r="M139" i="4"/>
  <c r="M146" i="4"/>
  <c r="BU130" i="4"/>
  <c r="BV196" i="4"/>
  <c r="M123" i="4"/>
  <c r="N109" i="4"/>
  <c r="M109" i="4"/>
  <c r="N117" i="4"/>
  <c r="BY117" i="4" s="1"/>
  <c r="M117" i="4"/>
  <c r="N118" i="4"/>
  <c r="CA118" i="4" s="1"/>
  <c r="M118" i="4"/>
  <c r="BT153" i="4"/>
  <c r="M153" i="4"/>
  <c r="P179" i="4"/>
  <c r="GS179" i="4" s="1"/>
  <c r="GW179" i="4" s="1"/>
  <c r="M179" i="4"/>
  <c r="P60" i="4"/>
  <c r="CG60" i="4" s="1"/>
  <c r="M60" i="4"/>
  <c r="M196" i="4"/>
  <c r="M227" i="4"/>
  <c r="M209" i="4"/>
  <c r="M226" i="4"/>
  <c r="BS226" i="4"/>
  <c r="BT226" i="4"/>
  <c r="BV226" i="4"/>
  <c r="BT225" i="4"/>
  <c r="BU225" i="4"/>
  <c r="BV225" i="4"/>
  <c r="M224" i="4"/>
  <c r="BS224" i="4"/>
  <c r="BT224" i="4"/>
  <c r="BV224" i="4"/>
  <c r="M223" i="4"/>
  <c r="BT223" i="4"/>
  <c r="BU223" i="4"/>
  <c r="BV223" i="4"/>
  <c r="M222" i="4"/>
  <c r="BS222" i="4"/>
  <c r="BT222" i="4"/>
  <c r="BU222" i="4"/>
  <c r="M221" i="4"/>
  <c r="BT221" i="4"/>
  <c r="BU221" i="4"/>
  <c r="BV221" i="4"/>
  <c r="M220" i="4"/>
  <c r="BT220" i="4"/>
  <c r="BU220" i="4"/>
  <c r="BV220" i="4"/>
  <c r="M219" i="4"/>
  <c r="BS219" i="4"/>
  <c r="BT219" i="4"/>
  <c r="BU219" i="4"/>
  <c r="M218" i="4"/>
  <c r="BS218" i="4"/>
  <c r="BT218" i="4"/>
  <c r="BV218" i="4"/>
  <c r="M217" i="4"/>
  <c r="BV217" i="4"/>
  <c r="BS217" i="4"/>
  <c r="BT217" i="4"/>
  <c r="BU215" i="4"/>
  <c r="BV215" i="4"/>
  <c r="BS215" i="4"/>
  <c r="BT213" i="4"/>
  <c r="BS213" i="4"/>
  <c r="BV213" i="4"/>
  <c r="BU212" i="4"/>
  <c r="BV212" i="4"/>
  <c r="BS212" i="4"/>
  <c r="BT211" i="4"/>
  <c r="BS211" i="4"/>
  <c r="BU211" i="4"/>
  <c r="BT210" i="4"/>
  <c r="BU210" i="4"/>
  <c r="BV210" i="4"/>
  <c r="M205" i="4"/>
  <c r="BT205" i="4"/>
  <c r="BV205" i="4"/>
  <c r="BS205" i="4"/>
  <c r="M204" i="4"/>
  <c r="BU204" i="4"/>
  <c r="BV204" i="4"/>
  <c r="BS204" i="4"/>
  <c r="BT203" i="4"/>
  <c r="BV203" i="4"/>
  <c r="BS203" i="4"/>
  <c r="M202" i="4"/>
  <c r="BT202" i="4"/>
  <c r="BV202" i="4"/>
  <c r="BS202" i="4"/>
  <c r="M201" i="4"/>
  <c r="BT201" i="4"/>
  <c r="BV201" i="4"/>
  <c r="BS201" i="4"/>
  <c r="M214" i="4"/>
  <c r="BS214" i="4"/>
  <c r="BT214" i="4"/>
  <c r="BV214" i="4"/>
  <c r="BT200" i="4"/>
  <c r="BU200" i="4"/>
  <c r="BS200" i="4"/>
  <c r="BU199" i="4"/>
  <c r="BV199" i="4"/>
  <c r="BT198" i="4"/>
  <c r="BU198" i="4"/>
  <c r="BS198" i="4"/>
  <c r="HH188" i="4"/>
  <c r="M195" i="4"/>
  <c r="BT195" i="4"/>
  <c r="BU195" i="4"/>
  <c r="BS195" i="4"/>
  <c r="M194" i="4"/>
  <c r="BT194" i="4"/>
  <c r="BU194" i="4"/>
  <c r="BV194" i="4"/>
  <c r="BT193" i="4"/>
  <c r="BU193" i="4"/>
  <c r="BS193" i="4"/>
  <c r="BT192" i="4"/>
  <c r="BV192" i="4"/>
  <c r="BS192" i="4"/>
  <c r="M191" i="4"/>
  <c r="BT191" i="4"/>
  <c r="BU191" i="4"/>
  <c r="BV191" i="4"/>
  <c r="M189" i="4"/>
  <c r="BT189" i="4"/>
  <c r="BU189" i="4"/>
  <c r="BS189" i="4"/>
  <c r="BT188" i="4"/>
  <c r="BU188" i="4"/>
  <c r="BS188" i="4"/>
  <c r="BT187" i="4"/>
  <c r="BU187" i="4"/>
  <c r="BS187" i="4"/>
  <c r="BT186" i="4"/>
  <c r="BU186" i="4"/>
  <c r="BV186" i="4"/>
  <c r="BU185" i="4"/>
  <c r="BV185" i="4"/>
  <c r="BS185" i="4"/>
  <c r="BU184" i="4"/>
  <c r="BS184" i="4"/>
  <c r="BV184" i="4"/>
  <c r="BT183" i="4"/>
  <c r="BV183" i="4"/>
  <c r="BS183" i="4"/>
  <c r="BT182" i="4"/>
  <c r="BV182" i="4"/>
  <c r="BS182" i="4"/>
  <c r="N153" i="4"/>
  <c r="BY153" i="4" s="1"/>
  <c r="GS120" i="4"/>
  <c r="GY120" i="4" s="1"/>
  <c r="P111" i="4"/>
  <c r="HS111" i="4" s="1"/>
  <c r="N179" i="4"/>
  <c r="N60" i="4"/>
  <c r="BY60" i="4" s="1"/>
  <c r="BW9" i="4"/>
  <c r="HI120" i="4"/>
  <c r="BU133" i="4"/>
  <c r="P153" i="4"/>
  <c r="HQ153" i="4" s="1"/>
  <c r="BV153" i="4"/>
  <c r="EO172" i="4"/>
  <c r="CY9" i="4"/>
  <c r="GE9" i="4"/>
  <c r="EC9" i="4"/>
  <c r="ET9" i="4"/>
  <c r="BY172" i="4"/>
  <c r="BY168" i="4"/>
  <c r="CA158" i="4"/>
  <c r="BT133" i="4"/>
  <c r="AI179" i="4"/>
  <c r="AQ176" i="4"/>
  <c r="AS172" i="4"/>
  <c r="HI172" i="4"/>
  <c r="AO171" i="4"/>
  <c r="AS167" i="4"/>
  <c r="AS166" i="4"/>
  <c r="AQ164" i="4"/>
  <c r="AO158" i="4"/>
  <c r="HS158" i="4"/>
  <c r="BT130" i="4"/>
  <c r="BV130" i="4"/>
  <c r="AO154" i="4"/>
  <c r="HM153" i="4"/>
  <c r="BS82" i="4"/>
  <c r="BU119" i="4"/>
  <c r="BS137" i="4"/>
  <c r="P119" i="4"/>
  <c r="BS119" i="4" s="1"/>
  <c r="P53" i="4"/>
  <c r="HS53" i="4" s="1"/>
  <c r="BS126" i="4"/>
  <c r="BS109" i="4"/>
  <c r="BT117" i="4"/>
  <c r="BS118" i="4"/>
  <c r="BY131" i="4"/>
  <c r="BU153" i="4"/>
  <c r="P137" i="4"/>
  <c r="HI137" i="4" s="1"/>
  <c r="BS86" i="4"/>
  <c r="BS115" i="4"/>
  <c r="BT124" i="4"/>
  <c r="BT138" i="4"/>
  <c r="BS136" i="4"/>
  <c r="BS124" i="4"/>
  <c r="BS138" i="4"/>
  <c r="BY140" i="4"/>
  <c r="BS120" i="4"/>
  <c r="BS111" i="4"/>
  <c r="BV125" i="4"/>
  <c r="BW141" i="4"/>
  <c r="BU125" i="4"/>
  <c r="BS178" i="4"/>
  <c r="BT178" i="4"/>
  <c r="BV178" i="4"/>
  <c r="BT177" i="4"/>
  <c r="BU177" i="4"/>
  <c r="BV177" i="4"/>
  <c r="BS176" i="4"/>
  <c r="BT176" i="4"/>
  <c r="BU176" i="4"/>
  <c r="BV175" i="4"/>
  <c r="BS175" i="4"/>
  <c r="BU175" i="4"/>
  <c r="BS174" i="4"/>
  <c r="BT174" i="4"/>
  <c r="BV174" i="4"/>
  <c r="BS173" i="4"/>
  <c r="BU173" i="4"/>
  <c r="BV173" i="4"/>
  <c r="BS171" i="4"/>
  <c r="BU171" i="4"/>
  <c r="BV171" i="4"/>
  <c r="BS170" i="4"/>
  <c r="BU170" i="4"/>
  <c r="BV170" i="4"/>
  <c r="BS167" i="4"/>
  <c r="BT167" i="4"/>
  <c r="BU167" i="4"/>
  <c r="BS166" i="4"/>
  <c r="BT166" i="4"/>
  <c r="BV166" i="4"/>
  <c r="BT165" i="4"/>
  <c r="BU165" i="4"/>
  <c r="BV165" i="4"/>
  <c r="BV164" i="4"/>
  <c r="BT164" i="4"/>
  <c r="BU164" i="4"/>
  <c r="BU162" i="4"/>
  <c r="BT162" i="4"/>
  <c r="BV162" i="4"/>
  <c r="BV160" i="4"/>
  <c r="BS160" i="4"/>
  <c r="BT160" i="4"/>
  <c r="BS157" i="4"/>
  <c r="BU157" i="4"/>
  <c r="BV157" i="4"/>
  <c r="BV155" i="4"/>
  <c r="BT155" i="4"/>
  <c r="BU155" i="4"/>
  <c r="BS154" i="4"/>
  <c r="BU154" i="4"/>
  <c r="BV154" i="4"/>
  <c r="AS150" i="4"/>
  <c r="AS146" i="4"/>
  <c r="AS145" i="4"/>
  <c r="HK145" i="4"/>
  <c r="AS142" i="4"/>
  <c r="AQ141" i="4"/>
  <c r="HO141" i="4"/>
  <c r="AS140" i="4"/>
  <c r="HI140" i="4"/>
  <c r="AS139" i="4"/>
  <c r="HQ138" i="4"/>
  <c r="HI138" i="4"/>
  <c r="HK137" i="4"/>
  <c r="AS135" i="4"/>
  <c r="AO134" i="4"/>
  <c r="HM133" i="4"/>
  <c r="HK133" i="4"/>
  <c r="AS132" i="4"/>
  <c r="AS131" i="4"/>
  <c r="HK131" i="4"/>
  <c r="AO127" i="4"/>
  <c r="AQ125" i="4"/>
  <c r="HO125" i="4"/>
  <c r="AS124" i="4"/>
  <c r="HI124" i="4"/>
  <c r="AS123" i="4"/>
  <c r="AS121" i="4"/>
  <c r="EM9" i="4"/>
  <c r="DM9" i="4"/>
  <c r="FX9" i="4"/>
  <c r="FA9" i="4"/>
  <c r="FH9" i="4"/>
  <c r="EH9" i="4"/>
  <c r="DH9" i="4"/>
  <c r="GN9" i="4"/>
  <c r="FO9" i="4"/>
  <c r="EQ9" i="4"/>
  <c r="CP9" i="4"/>
  <c r="EX9" i="4"/>
  <c r="FV9" i="4"/>
  <c r="CW9" i="4"/>
  <c r="DK9" i="4"/>
  <c r="EA9" i="4"/>
  <c r="DR9" i="4"/>
  <c r="FE9" i="4"/>
  <c r="HU9" i="4"/>
  <c r="AO9" i="4" s="1"/>
  <c r="CT9" i="4"/>
  <c r="GJ9" i="4"/>
  <c r="FJ9" i="4"/>
  <c r="EJ9" i="4"/>
  <c r="BV136" i="4"/>
  <c r="AW9" i="4"/>
  <c r="EO9" i="4"/>
  <c r="CM9" i="4"/>
  <c r="FS9" i="4"/>
  <c r="EV9" i="4"/>
  <c r="BU136" i="4"/>
  <c r="EF9" i="4"/>
  <c r="FZ9" i="4"/>
  <c r="CR9" i="4"/>
  <c r="DY9" i="4"/>
  <c r="CI9" i="4"/>
  <c r="FC9" i="4"/>
  <c r="DA9" i="4"/>
  <c r="GG9" i="4"/>
  <c r="BV126" i="4"/>
  <c r="BV137" i="4"/>
  <c r="CC9" i="4"/>
  <c r="GC9" i="4"/>
  <c r="DF9" i="4"/>
  <c r="GL9" i="4"/>
  <c r="FL9" i="4"/>
  <c r="BU126" i="4"/>
  <c r="BT137" i="4"/>
  <c r="DD9" i="4"/>
  <c r="DO9" i="4"/>
  <c r="CK9" i="4"/>
  <c r="FQ9" i="4"/>
  <c r="AO153" i="4"/>
  <c r="HC96" i="4"/>
  <c r="HD96" i="4" s="1"/>
  <c r="BS151" i="4"/>
  <c r="BT151" i="4"/>
  <c r="BU151" i="4"/>
  <c r="BS150" i="4"/>
  <c r="BT150" i="4"/>
  <c r="BU150" i="4"/>
  <c r="BS149" i="4"/>
  <c r="BT149" i="4"/>
  <c r="BV149" i="4"/>
  <c r="BS148" i="4"/>
  <c r="BT148" i="4"/>
  <c r="BU148" i="4"/>
  <c r="BS147" i="4"/>
  <c r="BT147" i="4"/>
  <c r="BU147" i="4"/>
  <c r="BS146" i="4"/>
  <c r="BT146" i="4"/>
  <c r="BU146" i="4"/>
  <c r="BV145" i="4"/>
  <c r="BS144" i="4"/>
  <c r="BU144" i="4"/>
  <c r="BV144" i="4"/>
  <c r="BS143" i="4"/>
  <c r="BT143" i="4"/>
  <c r="BV143" i="4"/>
  <c r="BS142" i="4"/>
  <c r="BT142" i="4"/>
  <c r="BV142" i="4"/>
  <c r="BS139" i="4"/>
  <c r="BT139" i="4"/>
  <c r="BV139" i="4"/>
  <c r="CE138" i="4"/>
  <c r="DF138" i="4"/>
  <c r="P136" i="4"/>
  <c r="BT136" i="4" s="1"/>
  <c r="BS135" i="4"/>
  <c r="BT135" i="4"/>
  <c r="BU135" i="4"/>
  <c r="BS134" i="4"/>
  <c r="BU134" i="4"/>
  <c r="BV134" i="4"/>
  <c r="BT132" i="4"/>
  <c r="BU132" i="4"/>
  <c r="BV132" i="4"/>
  <c r="P130" i="4"/>
  <c r="BS130" i="4" s="1"/>
  <c r="BT129" i="4"/>
  <c r="BU129" i="4"/>
  <c r="BV129" i="4"/>
  <c r="BS128" i="4"/>
  <c r="BU128" i="4"/>
  <c r="BV128" i="4"/>
  <c r="BS127" i="4"/>
  <c r="BU127" i="4"/>
  <c r="BV127" i="4"/>
  <c r="BS123" i="4"/>
  <c r="BU123" i="4"/>
  <c r="BV123" i="4"/>
  <c r="BS121" i="4"/>
  <c r="BT121" i="4"/>
  <c r="BV121" i="4"/>
  <c r="AS168" i="4"/>
  <c r="BU111" i="4"/>
  <c r="BT115" i="4"/>
  <c r="BT119" i="4"/>
  <c r="BV120" i="4"/>
  <c r="P115" i="4"/>
  <c r="HI115" i="4" s="1"/>
  <c r="BT120" i="4"/>
  <c r="AS162" i="4"/>
  <c r="P109" i="4"/>
  <c r="HI109" i="4" s="1"/>
  <c r="BV115" i="4"/>
  <c r="P118" i="4"/>
  <c r="BV118" i="4" s="1"/>
  <c r="BV117" i="4"/>
  <c r="BU86" i="4"/>
  <c r="BV119" i="4"/>
  <c r="P117" i="4"/>
  <c r="BS117" i="4" s="1"/>
  <c r="EO145" i="4"/>
  <c r="GU141" i="4"/>
  <c r="AS138" i="4"/>
  <c r="AO132" i="4"/>
  <c r="AO119" i="4"/>
  <c r="AO118" i="4"/>
  <c r="AS112" i="4"/>
  <c r="AQ107" i="4"/>
  <c r="BW125" i="4"/>
  <c r="BY95" i="4"/>
  <c r="BV108" i="4"/>
  <c r="CA106" i="4"/>
  <c r="BU108" i="4"/>
  <c r="BT108" i="4"/>
  <c r="BS108" i="4"/>
  <c r="BU117" i="4"/>
  <c r="BV109" i="4"/>
  <c r="BU118" i="4"/>
  <c r="BT86" i="4"/>
  <c r="BT109" i="4"/>
  <c r="BT118" i="4"/>
  <c r="AI111" i="4"/>
  <c r="BT116" i="4"/>
  <c r="BU116" i="4"/>
  <c r="BV116" i="4"/>
  <c r="BS114" i="4"/>
  <c r="BT114" i="4"/>
  <c r="BV114" i="4"/>
  <c r="BS113" i="4"/>
  <c r="BU113" i="4"/>
  <c r="BV113" i="4"/>
  <c r="BT112" i="4"/>
  <c r="BU112" i="4"/>
  <c r="BV112" i="4"/>
  <c r="BS110" i="4"/>
  <c r="BT110" i="4"/>
  <c r="BU110" i="4"/>
  <c r="GY131" i="4"/>
  <c r="HM106" i="4"/>
  <c r="HS106" i="4"/>
  <c r="AO105" i="4"/>
  <c r="AO103" i="4"/>
  <c r="AS95" i="4"/>
  <c r="HK95" i="4"/>
  <c r="AS93" i="4"/>
  <c r="AS92" i="4"/>
  <c r="AS91" i="4"/>
  <c r="AQ89" i="4"/>
  <c r="AO88" i="4"/>
  <c r="AS86" i="4"/>
  <c r="AS85" i="4"/>
  <c r="AO81" i="4"/>
  <c r="HE10" i="4"/>
  <c r="HF10" i="4" s="1"/>
  <c r="P82" i="4"/>
  <c r="BT82" i="4" s="1"/>
  <c r="BV82" i="4"/>
  <c r="BU82" i="4"/>
  <c r="GU9" i="4"/>
  <c r="GV9" i="4" s="1"/>
  <c r="GU10" i="4"/>
  <c r="GV10" i="4" s="1"/>
  <c r="BV66" i="4"/>
  <c r="BT66" i="4"/>
  <c r="BU66" i="4"/>
  <c r="BS61" i="4"/>
  <c r="BT61" i="4"/>
  <c r="BV61" i="4"/>
  <c r="BS7" i="4"/>
  <c r="BU7" i="4"/>
  <c r="BV7" i="4"/>
  <c r="BT37" i="4"/>
  <c r="BU37" i="4"/>
  <c r="BV37" i="4"/>
  <c r="BV6" i="4"/>
  <c r="BS6" i="4"/>
  <c r="BU6" i="4"/>
  <c r="BT58" i="4"/>
  <c r="BU58" i="4"/>
  <c r="BV58" i="4"/>
  <c r="BT76" i="4"/>
  <c r="BU76" i="4"/>
  <c r="BV76" i="4"/>
  <c r="BS62" i="4"/>
  <c r="BS44" i="4"/>
  <c r="BT44" i="4"/>
  <c r="BU44" i="4"/>
  <c r="BS35" i="4"/>
  <c r="BT35" i="4"/>
  <c r="BV35" i="4"/>
  <c r="BV42" i="4"/>
  <c r="BT42" i="4"/>
  <c r="BU42" i="4"/>
  <c r="BS10" i="4"/>
  <c r="BU10" i="4"/>
  <c r="BV10" i="4"/>
  <c r="BT67" i="4"/>
  <c r="BU67" i="4"/>
  <c r="BV67" i="4"/>
  <c r="BV75" i="4"/>
  <c r="BS75" i="4"/>
  <c r="BU75" i="4"/>
  <c r="BT64" i="4"/>
  <c r="BU64" i="4"/>
  <c r="BV64" i="4"/>
  <c r="P49" i="4"/>
  <c r="BU49" i="4" s="1"/>
  <c r="BS49" i="4"/>
  <c r="BT49" i="4"/>
  <c r="BV49" i="4"/>
  <c r="BS31" i="4"/>
  <c r="BT31" i="4"/>
  <c r="BU31" i="4"/>
  <c r="BV39" i="4"/>
  <c r="BS39" i="4"/>
  <c r="BU39" i="4"/>
  <c r="BT73" i="4"/>
  <c r="BU73" i="4"/>
  <c r="BV73" i="4"/>
  <c r="BS79" i="4"/>
  <c r="BU79" i="4"/>
  <c r="BV79" i="4"/>
  <c r="BV30" i="4"/>
  <c r="BS30" i="4"/>
  <c r="BT30" i="4"/>
  <c r="BV60" i="4"/>
  <c r="BS60" i="4"/>
  <c r="BU60" i="4"/>
  <c r="BS65" i="4"/>
  <c r="BS47" i="4"/>
  <c r="BT47" i="4"/>
  <c r="BU47" i="4"/>
  <c r="BS50" i="4"/>
  <c r="BT50" i="4"/>
  <c r="BU50" i="4"/>
  <c r="BS46" i="4"/>
  <c r="BT46" i="4"/>
  <c r="BV46" i="4"/>
  <c r="BS56" i="4"/>
  <c r="BT56" i="4"/>
  <c r="BU56" i="4"/>
  <c r="BV9" i="4"/>
  <c r="BS9" i="4"/>
  <c r="BU9" i="4"/>
  <c r="BS40" i="4"/>
  <c r="BT40" i="4"/>
  <c r="BU40" i="4"/>
  <c r="BV33" i="4"/>
  <c r="BT33" i="4"/>
  <c r="BU33" i="4"/>
  <c r="BS8" i="4"/>
  <c r="BU8" i="4"/>
  <c r="BV8" i="4"/>
  <c r="BV48" i="4"/>
  <c r="BS48" i="4"/>
  <c r="BU48" i="4"/>
  <c r="BS55" i="4"/>
  <c r="BT55" i="4"/>
  <c r="BU55" i="4"/>
  <c r="BV12" i="4"/>
  <c r="BT12" i="4"/>
  <c r="BU12" i="4"/>
  <c r="BS29" i="4"/>
  <c r="BU29" i="4"/>
  <c r="BV29" i="4"/>
  <c r="BS11" i="4"/>
  <c r="BU11" i="4"/>
  <c r="BV11" i="4"/>
  <c r="BS59" i="4"/>
  <c r="BT59" i="4"/>
  <c r="BV59" i="4"/>
  <c r="BS5" i="4"/>
  <c r="BT5" i="4"/>
  <c r="BV5" i="4"/>
  <c r="BS68" i="4"/>
  <c r="BU68" i="4"/>
  <c r="BV68" i="4"/>
  <c r="BU4" i="4"/>
  <c r="BT4" i="4"/>
  <c r="BS4" i="4"/>
  <c r="BS45" i="4"/>
  <c r="BT45" i="4"/>
  <c r="BU45" i="4"/>
  <c r="BV69" i="4"/>
  <c r="BT69" i="4"/>
  <c r="BU69" i="4"/>
  <c r="BV32" i="4"/>
  <c r="BS77" i="4"/>
  <c r="BU77" i="4"/>
  <c r="BV77" i="4"/>
  <c r="BS70" i="4"/>
  <c r="BT70" i="4"/>
  <c r="BU70" i="4"/>
  <c r="BV78" i="4"/>
  <c r="BT78" i="4"/>
  <c r="BU78" i="4"/>
  <c r="BS36" i="4"/>
  <c r="BT36" i="4"/>
  <c r="BU36" i="4"/>
  <c r="P43" i="4"/>
  <c r="CC43" i="4" s="1"/>
  <c r="BT43" i="4"/>
  <c r="BU43" i="4"/>
  <c r="BV43" i="4"/>
  <c r="P72" i="4"/>
  <c r="GS72" i="4" s="1"/>
  <c r="GY72" i="4" s="1"/>
  <c r="BV72" i="4"/>
  <c r="BS72" i="4"/>
  <c r="BT72" i="4"/>
  <c r="BU107" i="4"/>
  <c r="BV107" i="4"/>
  <c r="BU105" i="4"/>
  <c r="BV105" i="4"/>
  <c r="BS105" i="4"/>
  <c r="BT104" i="4"/>
  <c r="BU104" i="4"/>
  <c r="BS104" i="4"/>
  <c r="BU103" i="4"/>
  <c r="BV103" i="4"/>
  <c r="BS103" i="4"/>
  <c r="BT102" i="4"/>
  <c r="BU102" i="4"/>
  <c r="BS102" i="4"/>
  <c r="BT101" i="4"/>
  <c r="BV101" i="4"/>
  <c r="BS101" i="4"/>
  <c r="BT100" i="4"/>
  <c r="BV100" i="4"/>
  <c r="BS100" i="4"/>
  <c r="BT99" i="4"/>
  <c r="BV99" i="4"/>
  <c r="BS99" i="4"/>
  <c r="BU93" i="4"/>
  <c r="BS93" i="4"/>
  <c r="BV93" i="4"/>
  <c r="BT92" i="4"/>
  <c r="BS92" i="4"/>
  <c r="BV92" i="4"/>
  <c r="BS91" i="4"/>
  <c r="BT91" i="4"/>
  <c r="BV91" i="4"/>
  <c r="BT89" i="4"/>
  <c r="BU89" i="4"/>
  <c r="BS89" i="4"/>
  <c r="BS88" i="4"/>
  <c r="BU88" i="4"/>
  <c r="BV88" i="4"/>
  <c r="BS85" i="4"/>
  <c r="BT85" i="4"/>
  <c r="BU85" i="4"/>
  <c r="BU84" i="4"/>
  <c r="BT84" i="4"/>
  <c r="BV84" i="4"/>
  <c r="BS81" i="4"/>
  <c r="BU81" i="4"/>
  <c r="BV81" i="4"/>
  <c r="BT80" i="4"/>
  <c r="BU80" i="4"/>
  <c r="BV80" i="4"/>
  <c r="BY261" i="4"/>
  <c r="BW8" i="4"/>
  <c r="HU8" i="4"/>
  <c r="AO8" i="4" s="1"/>
  <c r="BY86" i="4"/>
  <c r="BW43" i="4"/>
  <c r="CA62" i="4"/>
  <c r="CA65" i="4"/>
  <c r="AO78" i="4"/>
  <c r="AQ77" i="4"/>
  <c r="AO76" i="4"/>
  <c r="AS70" i="4"/>
  <c r="AO68" i="4"/>
  <c r="AS66" i="4"/>
  <c r="AO65" i="4"/>
  <c r="HQ65" i="4"/>
  <c r="AO64" i="4"/>
  <c r="AO62" i="4"/>
  <c r="HQ62" i="4"/>
  <c r="AS60" i="4"/>
  <c r="AS59" i="4"/>
  <c r="AO106" i="4"/>
  <c r="GW106" i="4"/>
  <c r="AO93" i="4"/>
  <c r="CM7" i="4"/>
  <c r="FS7" i="4"/>
  <c r="EO7" i="4"/>
  <c r="EA7" i="4"/>
  <c r="ET7" i="4"/>
  <c r="FE7" i="4"/>
  <c r="GN7" i="4"/>
  <c r="FJ7" i="4"/>
  <c r="DH7" i="4"/>
  <c r="FQ7" i="4"/>
  <c r="CG65" i="4"/>
  <c r="DO7" i="4"/>
  <c r="FA7" i="4"/>
  <c r="CK7" i="4"/>
  <c r="FH7" i="4"/>
  <c r="EV7" i="4"/>
  <c r="GG7" i="4"/>
  <c r="FV7" i="4"/>
  <c r="DA7" i="4"/>
  <c r="EJ7" i="4"/>
  <c r="DD7" i="4"/>
  <c r="FZ7" i="4"/>
  <c r="EH7" i="4"/>
  <c r="GL7" i="4"/>
  <c r="CR7" i="4"/>
  <c r="CI7" i="4"/>
  <c r="CP7" i="4"/>
  <c r="EQ7" i="4"/>
  <c r="GC7" i="4"/>
  <c r="CY7" i="4"/>
  <c r="DY7" i="4"/>
  <c r="HU7" i="4"/>
  <c r="AO7" i="4" s="1"/>
  <c r="HS38" i="4"/>
  <c r="GE7" i="4"/>
  <c r="FO7" i="4"/>
  <c r="EM7" i="4"/>
  <c r="CW7" i="4"/>
  <c r="DM7" i="4"/>
  <c r="EF7" i="4"/>
  <c r="FO8" i="4"/>
  <c r="EM8" i="4"/>
  <c r="FA8" i="4"/>
  <c r="FV8" i="4"/>
  <c r="FC8" i="4"/>
  <c r="AA16" i="15"/>
  <c r="P57" i="4"/>
  <c r="BS57" i="4" s="1"/>
  <c r="AS56" i="4"/>
  <c r="AO55" i="4"/>
  <c r="AS50" i="4"/>
  <c r="HM49" i="4"/>
  <c r="AO47" i="4"/>
  <c r="AS45" i="4"/>
  <c r="AS44" i="4"/>
  <c r="AQ43" i="4"/>
  <c r="CG62" i="4"/>
  <c r="P54" i="4"/>
  <c r="DH54" i="4" s="1"/>
  <c r="AO66" i="4"/>
  <c r="AO60" i="4"/>
  <c r="GY60" i="4"/>
  <c r="GZ60" i="4" s="1"/>
  <c r="AO77" i="4"/>
  <c r="EA69" i="4"/>
  <c r="BY69" i="4"/>
  <c r="AS55" i="4"/>
  <c r="AS47" i="4"/>
  <c r="EQ8" i="4"/>
  <c r="EV8" i="4"/>
  <c r="CI8" i="4"/>
  <c r="EH8" i="4"/>
  <c r="FZ8" i="4"/>
  <c r="EC8" i="4"/>
  <c r="CP8" i="4"/>
  <c r="FH8" i="4"/>
  <c r="CK8" i="4"/>
  <c r="EO8" i="4"/>
  <c r="FL8" i="4"/>
  <c r="DK8" i="4"/>
  <c r="DF8" i="4"/>
  <c r="FS8" i="4"/>
  <c r="CR8" i="4"/>
  <c r="EX8" i="4"/>
  <c r="HE8" i="4"/>
  <c r="HF8" i="4" s="1"/>
  <c r="CM8" i="4"/>
  <c r="GC8" i="4"/>
  <c r="CY8" i="4"/>
  <c r="GE8" i="4"/>
  <c r="HG8" i="4"/>
  <c r="HH8" i="4" s="1"/>
  <c r="CW8" i="4"/>
  <c r="FE8" i="4"/>
  <c r="DD8" i="4"/>
  <c r="GJ8" i="4"/>
  <c r="HC8" i="4"/>
  <c r="HD8" i="4" s="1"/>
  <c r="FJ8" i="4"/>
  <c r="DH8" i="4"/>
  <c r="GN8" i="4"/>
  <c r="FX8" i="4"/>
  <c r="AQ8" i="4"/>
  <c r="DO8" i="4"/>
  <c r="DR8" i="4"/>
  <c r="DM8" i="4"/>
  <c r="ET8" i="4"/>
  <c r="DY8" i="4"/>
  <c r="FQ8" i="4"/>
  <c r="CT8" i="4"/>
  <c r="CC8" i="4"/>
  <c r="DA8" i="4"/>
  <c r="GG8" i="4"/>
  <c r="EA8" i="4"/>
  <c r="GL8" i="4"/>
  <c r="EJ8" i="4"/>
  <c r="EF8" i="4"/>
  <c r="P5" i="4"/>
  <c r="BU5" i="4" s="1"/>
  <c r="HC7" i="4"/>
  <c r="HD7" i="4" s="1"/>
  <c r="BY32" i="4"/>
  <c r="HE7" i="4"/>
  <c r="HF7" i="4" s="1"/>
  <c r="AS40" i="4"/>
  <c r="AO37" i="4"/>
  <c r="AS36" i="4"/>
  <c r="AS35" i="4"/>
  <c r="AS32" i="4"/>
  <c r="HK32" i="4"/>
  <c r="AS31" i="4"/>
  <c r="AS30" i="4"/>
  <c r="AS28" i="4"/>
  <c r="AS26" i="4"/>
  <c r="HE9" i="4"/>
  <c r="HF9" i="4" s="1"/>
  <c r="HC9" i="4"/>
  <c r="HD9" i="4" s="1"/>
  <c r="BY13" i="4"/>
  <c r="GS32" i="4"/>
  <c r="GY32" i="4" s="1"/>
  <c r="HF26" i="4"/>
  <c r="P34" i="4"/>
  <c r="BV34" i="4" s="1"/>
  <c r="AS16" i="4"/>
  <c r="AO28" i="4"/>
  <c r="AS13" i="4"/>
  <c r="HI13" i="4"/>
  <c r="AS10" i="4"/>
  <c r="AS9" i="4"/>
  <c r="AS8" i="4"/>
  <c r="AS7" i="4"/>
  <c r="D153" i="5"/>
  <c r="M2" i="5"/>
  <c r="B273" i="5"/>
  <c r="D273" i="5" s="1"/>
  <c r="P194" i="4"/>
  <c r="P262" i="4"/>
  <c r="CC262" i="4" s="1"/>
  <c r="P309" i="4"/>
  <c r="BS309" i="4" s="1"/>
  <c r="P241" i="4"/>
  <c r="CG241" i="4" s="1"/>
  <c r="P331" i="4"/>
  <c r="BT331" i="4" s="1"/>
  <c r="P351" i="4"/>
  <c r="EJ351" i="4" s="1"/>
  <c r="P129" i="4"/>
  <c r="BS129" i="4" s="1"/>
  <c r="P226" i="4"/>
  <c r="BU226" i="4" s="1"/>
  <c r="P352" i="4"/>
  <c r="BV352" i="4" s="1"/>
  <c r="P375" i="4"/>
  <c r="BS375" i="4" s="1"/>
  <c r="P389" i="4"/>
  <c r="CK389" i="4" s="1"/>
  <c r="P167" i="4"/>
  <c r="BV167" i="4" s="1"/>
  <c r="P316" i="4"/>
  <c r="BV316" i="4" s="1"/>
  <c r="P93" i="4"/>
  <c r="BT93" i="4" s="1"/>
  <c r="P259" i="4"/>
  <c r="BU259" i="4" s="1"/>
  <c r="P50" i="4"/>
  <c r="HK50" i="4" s="1"/>
  <c r="P14" i="4"/>
  <c r="BS14" i="4" s="1"/>
  <c r="P315" i="4"/>
  <c r="BU315" i="4" s="1"/>
  <c r="P319" i="4"/>
  <c r="BT319" i="4" s="1"/>
  <c r="P19" i="4"/>
  <c r="BS19" i="4" s="1"/>
  <c r="P257" i="4"/>
  <c r="BU257" i="4" s="1"/>
  <c r="P270" i="4"/>
  <c r="BS270" i="4" s="1"/>
  <c r="P135" i="4"/>
  <c r="BV135" i="4" s="1"/>
  <c r="P110" i="4"/>
  <c r="B10" i="16" s="1"/>
  <c r="P195" i="4"/>
  <c r="BV195" i="4" s="1"/>
  <c r="P248" i="4"/>
  <c r="BT248" i="4" s="1"/>
  <c r="P355" i="4"/>
  <c r="HA355" i="4" s="1"/>
  <c r="P104" i="4"/>
  <c r="BV104" i="4" s="1"/>
  <c r="P324" i="4"/>
  <c r="CE324" i="4" s="1"/>
  <c r="P191" i="4"/>
  <c r="BS191" i="4" s="1"/>
  <c r="P204" i="4"/>
  <c r="CW204" i="4" s="1"/>
  <c r="P271" i="4"/>
  <c r="BU271" i="4" s="1"/>
  <c r="P217" i="4"/>
  <c r="BU217" i="4" s="1"/>
  <c r="P84" i="4"/>
  <c r="BS84" i="4" s="1"/>
  <c r="P11" i="4"/>
  <c r="P77" i="4"/>
  <c r="HS77" i="4" s="1"/>
  <c r="P150" i="4"/>
  <c r="BV150" i="4" s="1"/>
  <c r="P17" i="4"/>
  <c r="BS17" i="4" s="1"/>
  <c r="P329" i="4"/>
  <c r="BS329" i="4" s="1"/>
  <c r="P173" i="4"/>
  <c r="BT173" i="4" s="1"/>
  <c r="P78" i="4"/>
  <c r="HQ78" i="4" s="1"/>
  <c r="P70" i="4"/>
  <c r="HK70" i="4" s="1"/>
  <c r="P147" i="4"/>
  <c r="BV147" i="4" s="1"/>
  <c r="P300" i="4"/>
  <c r="BV300" i="4" s="1"/>
  <c r="P273" i="4"/>
  <c r="BU273" i="4" s="1"/>
  <c r="P272" i="4"/>
  <c r="BV272" i="4" s="1"/>
  <c r="P342" i="4"/>
  <c r="HM342" i="4" s="1"/>
  <c r="P66" i="4"/>
  <c r="HQ66" i="4" s="1"/>
  <c r="P47" i="4"/>
  <c r="HQ47" i="4" s="1"/>
  <c r="P7" i="4"/>
  <c r="BT7" i="4" s="1"/>
  <c r="P28" i="4"/>
  <c r="HS28" i="4" s="1"/>
  <c r="P202" i="4"/>
  <c r="BU202" i="4" s="1"/>
  <c r="P148" i="4"/>
  <c r="BV148" i="4" s="1"/>
  <c r="P277" i="4"/>
  <c r="BT277" i="4" s="1"/>
  <c r="P64" i="4"/>
  <c r="HQ64" i="4" s="1"/>
  <c r="P263" i="4"/>
  <c r="BV263" i="4" s="1"/>
  <c r="P340" i="4"/>
  <c r="BT340" i="4" s="1"/>
  <c r="P360" i="4"/>
  <c r="DY360" i="4" s="1"/>
  <c r="P376" i="4"/>
  <c r="CR376" i="4" s="1"/>
  <c r="P373" i="4"/>
  <c r="BT373" i="4" s="1"/>
  <c r="P383" i="4"/>
  <c r="BT383" i="4" s="1"/>
  <c r="P388" i="4"/>
  <c r="BT388" i="4" s="1"/>
  <c r="P365" i="4"/>
  <c r="P274" i="4"/>
  <c r="BU274" i="4" s="1"/>
  <c r="P127" i="4"/>
  <c r="BT127" i="4" s="1"/>
  <c r="P280" i="4"/>
  <c r="BV280" i="4" s="1"/>
  <c r="P298" i="4"/>
  <c r="BV298" i="4" s="1"/>
  <c r="P254" i="4"/>
  <c r="BU254" i="4" s="1"/>
  <c r="P182" i="4"/>
  <c r="BU182" i="4" s="1"/>
  <c r="P186" i="4"/>
  <c r="BS186" i="4" s="1"/>
  <c r="P291" i="4"/>
  <c r="BU291" i="4" s="1"/>
  <c r="P170" i="4"/>
  <c r="BT170" i="4" s="1"/>
  <c r="P314" i="4"/>
  <c r="BV314" i="4" s="1"/>
  <c r="P112" i="4"/>
  <c r="BS112" i="4" s="1"/>
  <c r="P322" i="4"/>
  <c r="BT322" i="4" s="1"/>
  <c r="P116" i="4"/>
  <c r="BS116" i="4" s="1"/>
  <c r="P6" i="4"/>
  <c r="CG6" i="4" s="1"/>
  <c r="P36" i="4"/>
  <c r="HK36" i="4" s="1"/>
  <c r="P37" i="4"/>
  <c r="HQ37" i="4" s="1"/>
  <c r="P240" i="4"/>
  <c r="HI240" i="4" s="1"/>
  <c r="P219" i="4"/>
  <c r="BV219" i="4" s="1"/>
  <c r="P269" i="4"/>
  <c r="BU269" i="4" s="1"/>
  <c r="P113" i="4"/>
  <c r="EJ113" i="4" s="1"/>
  <c r="P221" i="4"/>
  <c r="BS221" i="4" s="1"/>
  <c r="P350" i="4"/>
  <c r="HA350" i="4" s="1"/>
  <c r="P323" i="4"/>
  <c r="BS323" i="4" s="1"/>
  <c r="P243" i="4"/>
  <c r="BS243" i="4" s="1"/>
  <c r="P239" i="4"/>
  <c r="BV239" i="4" s="1"/>
  <c r="P256" i="4"/>
  <c r="BT256" i="4" s="1"/>
  <c r="P301" i="4"/>
  <c r="BS301" i="4" s="1"/>
  <c r="P297" i="4"/>
  <c r="BT297" i="4" s="1"/>
  <c r="P128" i="4"/>
  <c r="BT128" i="4" s="1"/>
  <c r="P101" i="4"/>
  <c r="BU101" i="4" s="1"/>
  <c r="P200" i="4"/>
  <c r="BV200" i="4" s="1"/>
  <c r="P198" i="4"/>
  <c r="BV198" i="4" s="1"/>
  <c r="P203" i="4"/>
  <c r="BU203" i="4" s="1"/>
  <c r="P286" i="4"/>
  <c r="BU286" i="4" s="1"/>
  <c r="P214" i="4"/>
  <c r="EJ214" i="4" s="1"/>
  <c r="P231" i="4"/>
  <c r="BU231" i="4" s="1"/>
  <c r="P9" i="4"/>
  <c r="P10" i="4"/>
  <c r="GS10" i="4" s="1"/>
  <c r="GY10" i="4" s="1"/>
  <c r="GZ10" i="4" s="1"/>
  <c r="P18" i="4"/>
  <c r="BU18" i="4" s="1"/>
  <c r="P58" i="4"/>
  <c r="CG58" i="4" s="1"/>
  <c r="P89" i="4"/>
  <c r="BV89" i="4" s="1"/>
  <c r="P102" i="4"/>
  <c r="BV102" i="4" s="1"/>
  <c r="P220" i="4"/>
  <c r="BS220" i="4" s="1"/>
  <c r="P85" i="4"/>
  <c r="B7" i="16" s="1"/>
  <c r="P349" i="4"/>
  <c r="CP349" i="4" s="1"/>
  <c r="P339" i="4"/>
  <c r="BS339" i="4" s="1"/>
  <c r="P304" i="4"/>
  <c r="BS304" i="4" s="1"/>
  <c r="P356" i="4"/>
  <c r="BT356" i="4" s="1"/>
  <c r="P362" i="4"/>
  <c r="CP362" i="4" s="1"/>
  <c r="P353" i="4"/>
  <c r="BT353" i="4" s="1"/>
  <c r="P260" i="4"/>
  <c r="BT260" i="4" s="1"/>
  <c r="P59" i="4"/>
  <c r="HI59" i="4" s="1"/>
  <c r="P22" i="4"/>
  <c r="GS22" i="4" s="1"/>
  <c r="P212" i="4"/>
  <c r="BT212" i="4" s="1"/>
  <c r="P83" i="4"/>
  <c r="P24" i="4"/>
  <c r="P183" i="4"/>
  <c r="BU183" i="4" s="1"/>
  <c r="P321" i="4"/>
  <c r="BS321" i="4" s="1"/>
  <c r="P56" i="4"/>
  <c r="HK56" i="4" s="1"/>
  <c r="P142" i="4"/>
  <c r="BU142" i="4" s="1"/>
  <c r="P266" i="4"/>
  <c r="BU266" i="4" s="1"/>
  <c r="P210" i="4"/>
  <c r="BS210" i="4" s="1"/>
  <c r="P320" i="4"/>
  <c r="BS320" i="4" s="1"/>
  <c r="P265" i="4"/>
  <c r="BV265" i="4" s="1"/>
  <c r="P292" i="4"/>
  <c r="BS292" i="4" s="1"/>
  <c r="P357" i="4"/>
  <c r="HO357" i="4" s="1"/>
  <c r="P199" i="4"/>
  <c r="BT199" i="4" s="1"/>
  <c r="P31" i="4"/>
  <c r="HK31" i="4" s="1"/>
  <c r="P33" i="4"/>
  <c r="GS33" i="4" s="1"/>
  <c r="P35" i="4"/>
  <c r="HI35" i="4" s="1"/>
  <c r="P114" i="4"/>
  <c r="BU114" i="4" s="1"/>
  <c r="P381" i="4"/>
  <c r="HA381" i="4" s="1"/>
  <c r="P267" i="4"/>
  <c r="BT267" i="4" s="1"/>
  <c r="P201" i="4"/>
  <c r="BU201" i="4" s="1"/>
  <c r="P146" i="4"/>
  <c r="BV146" i="4" s="1"/>
  <c r="P222" i="4"/>
  <c r="BV222" i="4" s="1"/>
  <c r="P311" i="4"/>
  <c r="BS311" i="4" s="1"/>
  <c r="P318" i="4"/>
  <c r="EH318" i="4" s="1"/>
  <c r="P288" i="4"/>
  <c r="BT288" i="4" s="1"/>
  <c r="P211" i="4"/>
  <c r="BV211" i="4" s="1"/>
  <c r="P154" i="4"/>
  <c r="BT154" i="4" s="1"/>
  <c r="P328" i="4"/>
  <c r="BV328" i="4" s="1"/>
  <c r="P21" i="4"/>
  <c r="HI21" i="4" s="1"/>
  <c r="P185" i="4"/>
  <c r="BT185" i="4" s="1"/>
  <c r="P73" i="4"/>
  <c r="BS73" i="4" s="1"/>
  <c r="P216" i="4"/>
  <c r="HS216" i="4" s="1"/>
  <c r="P264" i="4"/>
  <c r="BU264" i="4" s="1"/>
  <c r="P134" i="4"/>
  <c r="BT134" i="4" s="1"/>
  <c r="P268" i="4"/>
  <c r="BV268" i="4" s="1"/>
  <c r="P252" i="4"/>
  <c r="BV252" i="4" s="1"/>
  <c r="P187" i="4"/>
  <c r="BV187" i="4" s="1"/>
  <c r="P149" i="4"/>
  <c r="BU149" i="4" s="1"/>
  <c r="P139" i="4"/>
  <c r="BU139" i="4" s="1"/>
  <c r="P61" i="4"/>
  <c r="HI61" i="4" s="1"/>
  <c r="P155" i="4"/>
  <c r="BS155" i="4" s="1"/>
  <c r="P23" i="4"/>
  <c r="BS23" i="4" s="1"/>
  <c r="P67" i="4"/>
  <c r="GS67" i="4" s="1"/>
  <c r="GY67" i="4" s="1"/>
  <c r="GZ67" i="4" s="1"/>
  <c r="P42" i="4"/>
  <c r="BS42" i="4" s="1"/>
  <c r="P174" i="4"/>
  <c r="CE174" i="4" s="1"/>
  <c r="P247" i="4"/>
  <c r="BU247" i="4" s="1"/>
  <c r="P45" i="4"/>
  <c r="B6" i="16" s="1"/>
  <c r="P279" i="4"/>
  <c r="BU279" i="4" s="1"/>
  <c r="P160" i="4"/>
  <c r="BU160" i="4" s="1"/>
  <c r="P132" i="4"/>
  <c r="BS132" i="4" s="1"/>
  <c r="P232" i="4"/>
  <c r="BT232" i="4" s="1"/>
  <c r="P25" i="4"/>
  <c r="HQ25" i="4" s="1"/>
  <c r="P15" i="4"/>
  <c r="DV15" i="4" s="1"/>
  <c r="P100" i="4"/>
  <c r="BU100" i="4" s="1"/>
  <c r="P151" i="4"/>
  <c r="P255" i="4"/>
  <c r="BT255" i="4" s="1"/>
  <c r="P79" i="4"/>
  <c r="BT79" i="4" s="1"/>
  <c r="P27" i="4"/>
  <c r="P238" i="4"/>
  <c r="BU238" i="4" s="1"/>
  <c r="P261" i="4"/>
  <c r="P302" i="4"/>
  <c r="BV302" i="4" s="1"/>
  <c r="P20" i="4"/>
  <c r="HI20" i="4" s="1"/>
  <c r="P40" i="4"/>
  <c r="HK40" i="4" s="1"/>
  <c r="P225" i="4"/>
  <c r="BS225" i="4" s="1"/>
  <c r="P176" i="4"/>
  <c r="BV176" i="4" s="1"/>
  <c r="P99" i="4"/>
  <c r="BU99" i="4" s="1"/>
  <c r="P143" i="4"/>
  <c r="BU143" i="4" s="1"/>
  <c r="P193" i="4"/>
  <c r="BV193" i="4" s="1"/>
  <c r="P205" i="4"/>
  <c r="BU205" i="4" s="1"/>
  <c r="P81" i="4"/>
  <c r="BT81" i="4" s="1"/>
  <c r="P92" i="4"/>
  <c r="BU92" i="4" s="1"/>
  <c r="P421" i="4"/>
  <c r="P80" i="4"/>
  <c r="BS80" i="4" s="1"/>
  <c r="P367" i="4"/>
  <c r="BT367" i="4" s="1"/>
  <c r="P233" i="4"/>
  <c r="FZ233" i="4" s="1"/>
  <c r="P76" i="4"/>
  <c r="HQ76" i="4" s="1"/>
  <c r="P343" i="4"/>
  <c r="BT343" i="4" s="1"/>
  <c r="P175" i="4"/>
  <c r="HS175" i="4" s="1"/>
  <c r="P103" i="4"/>
  <c r="BT103" i="4" s="1"/>
  <c r="P105" i="4"/>
  <c r="BT105" i="4" s="1"/>
  <c r="P123" i="4"/>
  <c r="BT123" i="4" s="1"/>
  <c r="P244" i="4"/>
  <c r="P379" i="4"/>
  <c r="BT379" i="4" s="1"/>
  <c r="P384" i="4"/>
  <c r="DA384" i="4" s="1"/>
  <c r="P400" i="4"/>
  <c r="P171" i="4"/>
  <c r="BT171" i="4" s="1"/>
  <c r="P237" i="4"/>
  <c r="BS237" i="4" s="1"/>
  <c r="P295" i="4"/>
  <c r="BU295" i="4" s="1"/>
  <c r="P284" i="4"/>
  <c r="BS284" i="4" s="1"/>
  <c r="P290" i="4"/>
  <c r="BS290" i="4" s="1"/>
  <c r="P275" i="4"/>
  <c r="BV275" i="4" s="1"/>
  <c r="P162" i="4"/>
  <c r="BS162" i="4" s="1"/>
  <c r="P215" i="4"/>
  <c r="BT215" i="4" s="1"/>
  <c r="P299" i="4"/>
  <c r="BU299" i="4" s="1"/>
  <c r="P294" i="4"/>
  <c r="BU294" i="4" s="1"/>
  <c r="P157" i="4"/>
  <c r="CY157" i="4" s="1"/>
  <c r="P336" i="4"/>
  <c r="BS336" i="4" s="1"/>
  <c r="P48" i="4"/>
  <c r="DO48" i="4" s="1"/>
  <c r="P55" i="4"/>
  <c r="HQ55" i="4" s="1"/>
  <c r="P30" i="4"/>
  <c r="HI30" i="4" s="1"/>
  <c r="P8" i="4"/>
  <c r="CG8" i="4" s="1"/>
  <c r="P313" i="4"/>
  <c r="BV313" i="4" s="1"/>
  <c r="P164" i="4"/>
  <c r="BS164" i="4" s="1"/>
  <c r="P307" i="4"/>
  <c r="BS307" i="4" s="1"/>
  <c r="P88" i="4"/>
  <c r="BT88" i="4" s="1"/>
  <c r="P293" i="4"/>
  <c r="HK293" i="4" s="1"/>
  <c r="P166" i="4"/>
  <c r="P44" i="4"/>
  <c r="BV44" i="4" s="1"/>
  <c r="P296" i="4"/>
  <c r="BV296" i="4" s="1"/>
  <c r="P308" i="4"/>
  <c r="BT308" i="4" s="1"/>
  <c r="P29" i="4"/>
  <c r="BT29" i="4" s="1"/>
  <c r="P16" i="4"/>
  <c r="B2" i="16" s="1"/>
  <c r="P46" i="4"/>
  <c r="BU46" i="4" s="1"/>
  <c r="P91" i="4"/>
  <c r="BU91" i="4" s="1"/>
  <c r="P144" i="4"/>
  <c r="BT144" i="4" s="1"/>
  <c r="P165" i="4"/>
  <c r="BS165" i="4" s="1"/>
  <c r="P177" i="4"/>
  <c r="BS177" i="4" s="1"/>
  <c r="P285" i="4"/>
  <c r="BT285" i="4" s="1"/>
  <c r="P223" i="4"/>
  <c r="BS223" i="4" s="1"/>
  <c r="P224" i="4"/>
  <c r="BU224" i="4" s="1"/>
  <c r="P258" i="4"/>
  <c r="BU258" i="4" s="1"/>
  <c r="P178" i="4"/>
  <c r="CE178" i="4" s="1"/>
  <c r="P377" i="4"/>
  <c r="EJ377" i="4" s="1"/>
  <c r="P326" i="4"/>
  <c r="BS326" i="4" s="1"/>
  <c r="P354" i="4"/>
  <c r="BU354" i="4" s="1"/>
  <c r="P121" i="4"/>
  <c r="BU121" i="4" s="1"/>
  <c r="P39" i="4"/>
  <c r="HS39" i="4" s="1"/>
  <c r="P218" i="4"/>
  <c r="GS218" i="4" s="1"/>
  <c r="GY218" i="4" s="1"/>
  <c r="P192" i="4"/>
  <c r="BU192" i="4" s="1"/>
  <c r="P213" i="4"/>
  <c r="BU213" i="4" s="1"/>
  <c r="P188" i="4"/>
  <c r="BV188" i="4" s="1"/>
  <c r="P306" i="4"/>
  <c r="BV306" i="4" s="1"/>
  <c r="P107" i="4"/>
  <c r="BT107" i="4" s="1"/>
  <c r="P184" i="4"/>
  <c r="BT184" i="4" s="1"/>
  <c r="P317" i="4"/>
  <c r="BV317" i="4" s="1"/>
  <c r="P228" i="4"/>
  <c r="BS228" i="4" s="1"/>
  <c r="P68" i="4"/>
  <c r="HS68" i="4" s="1"/>
  <c r="P12" i="4"/>
  <c r="P26" i="4"/>
  <c r="HI26" i="4" s="1"/>
  <c r="P75" i="4"/>
  <c r="HO75" i="4" s="1"/>
  <c r="P337" i="4"/>
  <c r="CG337" i="4" s="1"/>
  <c r="P189" i="4"/>
  <c r="BV189" i="4" s="1"/>
  <c r="P242" i="4"/>
  <c r="BT242" i="4" s="1"/>
  <c r="P344" i="4"/>
  <c r="P305" i="4"/>
  <c r="BS305" i="4" s="1"/>
  <c r="B313" i="5"/>
  <c r="D313" i="5" s="1"/>
  <c r="B93" i="5"/>
  <c r="D93" i="5"/>
  <c r="B213" i="5"/>
  <c r="D213" i="5" s="1"/>
  <c r="B193" i="5"/>
  <c r="D193" i="5" s="1"/>
  <c r="B53" i="5"/>
  <c r="D53" i="5" s="1"/>
  <c r="B233" i="5"/>
  <c r="D233" i="5" s="1"/>
  <c r="B293" i="5"/>
  <c r="D293" i="5" s="1"/>
  <c r="B333" i="5"/>
  <c r="D333" i="5" s="1"/>
  <c r="B253" i="5"/>
  <c r="D253" i="5" s="1"/>
  <c r="AH5" i="13"/>
  <c r="E28" i="5"/>
  <c r="B153" i="5"/>
  <c r="AH10" i="13"/>
  <c r="E68" i="5"/>
  <c r="Y8" i="13"/>
  <c r="Y6" i="13"/>
  <c r="B113" i="5"/>
  <c r="D113" i="5" s="1"/>
  <c r="B133" i="5"/>
  <c r="D133" i="5" s="1"/>
  <c r="Z9" i="13"/>
  <c r="C48" i="5"/>
  <c r="B33" i="5"/>
  <c r="D33" i="5" s="1"/>
  <c r="AH9" i="13"/>
  <c r="E48" i="5"/>
  <c r="B173" i="5"/>
  <c r="D173" i="5" s="1"/>
  <c r="B73" i="5"/>
  <c r="D73" i="5" s="1"/>
  <c r="BW72" i="4"/>
  <c r="CC94" i="4"/>
  <c r="CC118" i="4"/>
  <c r="DY106" i="4"/>
  <c r="AQ225" i="4"/>
  <c r="AS101" i="4"/>
  <c r="GU118" i="4"/>
  <c r="GV118" i="4" s="1"/>
  <c r="GU115" i="4"/>
  <c r="GV115" i="4" s="1"/>
  <c r="DT13" i="4"/>
  <c r="GU106" i="4"/>
  <c r="GV106" i="4" s="1"/>
  <c r="HQ140" i="4"/>
  <c r="HM72" i="4"/>
  <c r="HM118" i="4"/>
  <c r="CE361" i="4"/>
  <c r="AS147" i="4"/>
  <c r="AQ183" i="4"/>
  <c r="HM94" i="4"/>
  <c r="AS383" i="4"/>
  <c r="BY361" i="4"/>
  <c r="HK246" i="4"/>
  <c r="HQ289" i="4"/>
  <c r="AS76" i="4"/>
  <c r="AO285" i="4"/>
  <c r="AO311" i="4"/>
  <c r="AQ340" i="4"/>
  <c r="HQ108" i="4"/>
  <c r="CC106" i="4"/>
  <c r="AQ106" i="4"/>
  <c r="EM72" i="4"/>
  <c r="EO124" i="4"/>
  <c r="AS339" i="4"/>
  <c r="AS78" i="4"/>
  <c r="AS263" i="4"/>
  <c r="AO400" i="4"/>
  <c r="HQ97" i="4"/>
  <c r="AS137" i="4"/>
  <c r="DK94" i="4"/>
  <c r="AQ265" i="4"/>
  <c r="AQ102" i="4"/>
  <c r="GY227" i="4"/>
  <c r="GZ227" i="4" s="1"/>
  <c r="HM96" i="4"/>
  <c r="CC72" i="4"/>
  <c r="AS37" i="4"/>
  <c r="EA227" i="4"/>
  <c r="AQ154" i="4"/>
  <c r="AQ326" i="4"/>
  <c r="GY246" i="4"/>
  <c r="GZ246" i="4" s="1"/>
  <c r="HQ141" i="4"/>
  <c r="HK124" i="4"/>
  <c r="HK361" i="4"/>
  <c r="AQ153" i="4"/>
  <c r="AS227" i="4"/>
  <c r="AS21" i="4"/>
  <c r="AQ115" i="4"/>
  <c r="CE124" i="4"/>
  <c r="AQ118" i="4"/>
  <c r="AQ213" i="4"/>
  <c r="AQ323" i="4"/>
  <c r="AS288" i="4"/>
  <c r="GU94" i="4"/>
  <c r="GV94" i="4" s="1"/>
  <c r="AQ238" i="4"/>
  <c r="HK13" i="4"/>
  <c r="AQ49" i="4"/>
  <c r="DD118" i="4"/>
  <c r="AQ149" i="4"/>
  <c r="AS270" i="4"/>
  <c r="HQ172" i="4"/>
  <c r="AQ46" i="4"/>
  <c r="CE227" i="4"/>
  <c r="AQ94" i="4"/>
  <c r="EM96" i="4"/>
  <c r="CY246" i="4"/>
  <c r="AQ328" i="4"/>
  <c r="GU72" i="4"/>
  <c r="GV72" i="4" s="1"/>
  <c r="CA417" i="4"/>
  <c r="GS417" i="4"/>
  <c r="GT417" i="4" s="1"/>
  <c r="N419" i="4"/>
  <c r="BY419" i="4" s="1"/>
  <c r="AS117" i="4"/>
  <c r="DK261" i="4"/>
  <c r="DO261" i="4"/>
  <c r="EX261" i="4"/>
  <c r="FE261" i="4"/>
  <c r="CG32" i="4"/>
  <c r="HQ32" i="4"/>
  <c r="DV32" i="4"/>
  <c r="HS249" i="4"/>
  <c r="CA261" i="4"/>
  <c r="HU261" i="4"/>
  <c r="CI261" i="4"/>
  <c r="CM261" i="4"/>
  <c r="DV261" i="4"/>
  <c r="EC261" i="4"/>
  <c r="EM261" i="4"/>
  <c r="EQ261" i="4"/>
  <c r="FZ261" i="4"/>
  <c r="GG261" i="4"/>
  <c r="FO261" i="4"/>
  <c r="FS261" i="4"/>
  <c r="CW261" i="4"/>
  <c r="DD261" i="4"/>
  <c r="AS261" i="4"/>
  <c r="DH261" i="4"/>
  <c r="DR261" i="4"/>
  <c r="DY261" i="4"/>
  <c r="EF261" i="4"/>
  <c r="AO261" i="4"/>
  <c r="EJ261" i="4"/>
  <c r="ET261" i="4"/>
  <c r="FA261" i="4"/>
  <c r="FH261" i="4"/>
  <c r="FL261" i="4"/>
  <c r="FV261" i="4"/>
  <c r="GC261" i="4"/>
  <c r="GJ261" i="4"/>
  <c r="AY261" i="4"/>
  <c r="GN261" i="4"/>
  <c r="CR261" i="4"/>
  <c r="CY261" i="4"/>
  <c r="DF261" i="4"/>
  <c r="AU261" i="4"/>
  <c r="CK261" i="4"/>
  <c r="DT261" i="4"/>
  <c r="EA261" i="4"/>
  <c r="EH261" i="4"/>
  <c r="CE261" i="4"/>
  <c r="DM261" i="4"/>
  <c r="EV261" i="4"/>
  <c r="FC261" i="4"/>
  <c r="FJ261" i="4"/>
  <c r="CG261" i="4"/>
  <c r="EO261" i="4"/>
  <c r="FX261" i="4"/>
  <c r="GE261" i="4"/>
  <c r="GL261" i="4"/>
  <c r="FQ261" i="4"/>
  <c r="CT261" i="4"/>
  <c r="DA261" i="4"/>
  <c r="HG96" i="4"/>
  <c r="HE34" i="4"/>
  <c r="HF34" i="4" s="1"/>
  <c r="HC57" i="4"/>
  <c r="HD57" i="4" s="1"/>
  <c r="HC54" i="4"/>
  <c r="HD54" i="4" s="1"/>
  <c r="HG80" i="4"/>
  <c r="HH80" i="4" s="1"/>
  <c r="HE130" i="4"/>
  <c r="HF130" i="4" s="1"/>
  <c r="HC6" i="4"/>
  <c r="HD6" i="4" s="1"/>
  <c r="HC388" i="4"/>
  <c r="HD388" i="4" s="1"/>
  <c r="HC394" i="4"/>
  <c r="HD394" i="4" s="1"/>
  <c r="HE389" i="4"/>
  <c r="HF389" i="4" s="1"/>
  <c r="HC351" i="4"/>
  <c r="HD351" i="4" s="1"/>
  <c r="HC381" i="4"/>
  <c r="HD381" i="4" s="1"/>
  <c r="HE379" i="4"/>
  <c r="HF379" i="4" s="1"/>
  <c r="HC204" i="4"/>
  <c r="HD204" i="4" s="1"/>
  <c r="HC304" i="4"/>
  <c r="HD304" i="4" s="1"/>
  <c r="HC376" i="4"/>
  <c r="HD376" i="4" s="1"/>
  <c r="HC347" i="4"/>
  <c r="HD347" i="4" s="1"/>
  <c r="HE239" i="4"/>
  <c r="HF239" i="4" s="1"/>
  <c r="HE362" i="4"/>
  <c r="HF362" i="4" s="1"/>
  <c r="HC418" i="4"/>
  <c r="HD418" i="4" s="1"/>
  <c r="HC401" i="4"/>
  <c r="HD401" i="4" s="1"/>
  <c r="HG34" i="4"/>
  <c r="HH34" i="4" s="1"/>
  <c r="HG57" i="4"/>
  <c r="HH57" i="4" s="1"/>
  <c r="HE54" i="4"/>
  <c r="HF54" i="4" s="1"/>
  <c r="HE261" i="4"/>
  <c r="HF261" i="4" s="1"/>
  <c r="HC80" i="4"/>
  <c r="HD80" i="4" s="1"/>
  <c r="HC130" i="4"/>
  <c r="HD130" i="4" s="1"/>
  <c r="HC280" i="4"/>
  <c r="HD280" i="4" s="1"/>
  <c r="HG6" i="4"/>
  <c r="HH6" i="4" s="1"/>
  <c r="HE388" i="4"/>
  <c r="HF388" i="4" s="1"/>
  <c r="HE394" i="4"/>
  <c r="HF394" i="4" s="1"/>
  <c r="HC389" i="4"/>
  <c r="HG351" i="4"/>
  <c r="HH351" i="4" s="1"/>
  <c r="HG204" i="4"/>
  <c r="HH204" i="4" s="1"/>
  <c r="HG304" i="4"/>
  <c r="HH304" i="4" s="1"/>
  <c r="HG376" i="4"/>
  <c r="HH376" i="4" s="1"/>
  <c r="HG347" i="4"/>
  <c r="HH347" i="4" s="1"/>
  <c r="HG239" i="4"/>
  <c r="HH239" i="4" s="1"/>
  <c r="HG362" i="4"/>
  <c r="HH362" i="4" s="1"/>
  <c r="HG418" i="4"/>
  <c r="HH418" i="4" s="1"/>
  <c r="HE401" i="4"/>
  <c r="HF401" i="4" s="1"/>
  <c r="HG408" i="4"/>
  <c r="HH408" i="4" s="1"/>
  <c r="HE202" i="4"/>
  <c r="HF202" i="4" s="1"/>
  <c r="HC414" i="4"/>
  <c r="HD414" i="4" s="1"/>
  <c r="HC24" i="4"/>
  <c r="HD24" i="4" s="1"/>
  <c r="HE57" i="4"/>
  <c r="HF57" i="4" s="1"/>
  <c r="HG54" i="4"/>
  <c r="HH54" i="4" s="1"/>
  <c r="HC4" i="4"/>
  <c r="HE280" i="4"/>
  <c r="HF280" i="4" s="1"/>
  <c r="HC18" i="4"/>
  <c r="HD18" i="4" s="1"/>
  <c r="HG388" i="4"/>
  <c r="HH388" i="4" s="1"/>
  <c r="HG394" i="4"/>
  <c r="HH394" i="4" s="1"/>
  <c r="HE351" i="4"/>
  <c r="HF351" i="4" s="1"/>
  <c r="HG381" i="4"/>
  <c r="HH381" i="4" s="1"/>
  <c r="HE204" i="4"/>
  <c r="HF204" i="4" s="1"/>
  <c r="HE304" i="4"/>
  <c r="HF304" i="4" s="1"/>
  <c r="HE376" i="4"/>
  <c r="HF376" i="4" s="1"/>
  <c r="HE347" i="4"/>
  <c r="HF347" i="4" s="1"/>
  <c r="HC239" i="4"/>
  <c r="HD239" i="4" s="1"/>
  <c r="HC319" i="4"/>
  <c r="HD319" i="4" s="1"/>
  <c r="HC248" i="4"/>
  <c r="HD248" i="4" s="1"/>
  <c r="HC417" i="4"/>
  <c r="HD417" i="4" s="1"/>
  <c r="HC354" i="4"/>
  <c r="HD354" i="4" s="1"/>
  <c r="HC413" i="4"/>
  <c r="HD413" i="4" s="1"/>
  <c r="HC202" i="4"/>
  <c r="HD202" i="4" s="1"/>
  <c r="HG414" i="4"/>
  <c r="HH414" i="4" s="1"/>
  <c r="HE24" i="4"/>
  <c r="HF24" i="4" s="1"/>
  <c r="HC48" i="4"/>
  <c r="HD48" i="4" s="1"/>
  <c r="HC58" i="4"/>
  <c r="HD58" i="4" s="1"/>
  <c r="HE4" i="4"/>
  <c r="HG280" i="4"/>
  <c r="HH280" i="4" s="1"/>
  <c r="HC128" i="4"/>
  <c r="HD128" i="4" s="1"/>
  <c r="HG18" i="4"/>
  <c r="HH18" i="4" s="1"/>
  <c r="HC75" i="4"/>
  <c r="HD75" i="4" s="1"/>
  <c r="HC194" i="4"/>
  <c r="HD194" i="4" s="1"/>
  <c r="HC113" i="4"/>
  <c r="HD113" i="4" s="1"/>
  <c r="HE393" i="4"/>
  <c r="HF393" i="4" s="1"/>
  <c r="HE416" i="4"/>
  <c r="HF416" i="4" s="1"/>
  <c r="HE421" i="4"/>
  <c r="HF421" i="4" s="1"/>
  <c r="HC360" i="4"/>
  <c r="HD360" i="4" s="1"/>
  <c r="HC274" i="4"/>
  <c r="HD274" i="4" s="1"/>
  <c r="HE160" i="4"/>
  <c r="HF160" i="4" s="1"/>
  <c r="HC5" i="4"/>
  <c r="HD5" i="4" s="1"/>
  <c r="HG319" i="4"/>
  <c r="HH319" i="4" s="1"/>
  <c r="HE248" i="4"/>
  <c r="HF248" i="4" s="1"/>
  <c r="HE354" i="4"/>
  <c r="HF354" i="4" s="1"/>
  <c r="HG413" i="4"/>
  <c r="HH413" i="4" s="1"/>
  <c r="HG202" i="4"/>
  <c r="HH202" i="4" s="1"/>
  <c r="HE414" i="4"/>
  <c r="HF414" i="4" s="1"/>
  <c r="HG24" i="4"/>
  <c r="HH24" i="4" s="1"/>
  <c r="HE48" i="4"/>
  <c r="HF48" i="4" s="1"/>
  <c r="HE58" i="4"/>
  <c r="HF58" i="4" s="1"/>
  <c r="HE23" i="4"/>
  <c r="HF23" i="4" s="1"/>
  <c r="HG4" i="4"/>
  <c r="HG136" i="4"/>
  <c r="HH136" i="4" s="1"/>
  <c r="HG128" i="4"/>
  <c r="HH128" i="4" s="1"/>
  <c r="HE18" i="4"/>
  <c r="HF18" i="4" s="1"/>
  <c r="HE75" i="4"/>
  <c r="HF75" i="4" s="1"/>
  <c r="HE113" i="4"/>
  <c r="HF113" i="4" s="1"/>
  <c r="HC393" i="4"/>
  <c r="HD393" i="4" s="1"/>
  <c r="HC267" i="4"/>
  <c r="HD267" i="4" s="1"/>
  <c r="HG416" i="4"/>
  <c r="HH416" i="4" s="1"/>
  <c r="HC421" i="4"/>
  <c r="HD421" i="4" s="1"/>
  <c r="HE360" i="4"/>
  <c r="HF360" i="4" s="1"/>
  <c r="HG274" i="4"/>
  <c r="HH274" i="4" s="1"/>
  <c r="HC160" i="4"/>
  <c r="HD160" i="4" s="1"/>
  <c r="HG5" i="4"/>
  <c r="HH5" i="4" s="1"/>
  <c r="HE319" i="4"/>
  <c r="HF319" i="4" s="1"/>
  <c r="HG248" i="4"/>
  <c r="HH248" i="4" s="1"/>
  <c r="HG417" i="4"/>
  <c r="HH417" i="4" s="1"/>
  <c r="HE413" i="4"/>
  <c r="HF413" i="4" s="1"/>
  <c r="HE219" i="4"/>
  <c r="HF219" i="4" s="1"/>
  <c r="HE365" i="4"/>
  <c r="HF365" i="4" s="1"/>
  <c r="HG48" i="4"/>
  <c r="HH48" i="4" s="1"/>
  <c r="HG58" i="4"/>
  <c r="HH58" i="4" s="1"/>
  <c r="HC23" i="4"/>
  <c r="HD23" i="4" s="1"/>
  <c r="HE27" i="4"/>
  <c r="HF27" i="4" s="1"/>
  <c r="HC114" i="4"/>
  <c r="HD114" i="4" s="1"/>
  <c r="HC136" i="4"/>
  <c r="HD136" i="4" s="1"/>
  <c r="HE128" i="4"/>
  <c r="HF128" i="4" s="1"/>
  <c r="HG75" i="4"/>
  <c r="HH75" i="4" s="1"/>
  <c r="HG194" i="4"/>
  <c r="HH194" i="4" s="1"/>
  <c r="HG113" i="4"/>
  <c r="HH113" i="4" s="1"/>
  <c r="HG393" i="4"/>
  <c r="HH393" i="4" s="1"/>
  <c r="HG267" i="4"/>
  <c r="HH267" i="4" s="1"/>
  <c r="HC416" i="4"/>
  <c r="HD416" i="4" s="1"/>
  <c r="HG421" i="4"/>
  <c r="HH421" i="4" s="1"/>
  <c r="HG360" i="4"/>
  <c r="HH360" i="4" s="1"/>
  <c r="HE274" i="4"/>
  <c r="HF274" i="4" s="1"/>
  <c r="HG160" i="4"/>
  <c r="HH160" i="4" s="1"/>
  <c r="HE5" i="4"/>
  <c r="HF5" i="4" s="1"/>
  <c r="HC104" i="4"/>
  <c r="HD104" i="4" s="1"/>
  <c r="HG375" i="4"/>
  <c r="HH375" i="4" s="1"/>
  <c r="HE241" i="4"/>
  <c r="HF241" i="4" s="1"/>
  <c r="HC178" i="4"/>
  <c r="HD178" i="4" s="1"/>
  <c r="HC219" i="4"/>
  <c r="HD219" i="4" s="1"/>
  <c r="HC365" i="4"/>
  <c r="HD365" i="4" s="1"/>
  <c r="HC318" i="4"/>
  <c r="HD318" i="4" s="1"/>
  <c r="HG23" i="4"/>
  <c r="HH23" i="4" s="1"/>
  <c r="HC27" i="4"/>
  <c r="HD27" i="4" s="1"/>
  <c r="HG114" i="4"/>
  <c r="HH114" i="4" s="1"/>
  <c r="HE136" i="4"/>
  <c r="HF136" i="4" s="1"/>
  <c r="HC384" i="4"/>
  <c r="HD384" i="4" s="1"/>
  <c r="HE363" i="4"/>
  <c r="HF363" i="4" s="1"/>
  <c r="HC279" i="4"/>
  <c r="HD279" i="4" s="1"/>
  <c r="HC315" i="4"/>
  <c r="HD315" i="4" s="1"/>
  <c r="HC262" i="4"/>
  <c r="HD262" i="4" s="1"/>
  <c r="HE267" i="4"/>
  <c r="HF267" i="4" s="1"/>
  <c r="HE305" i="4"/>
  <c r="HF305" i="4" s="1"/>
  <c r="HC155" i="4"/>
  <c r="HD155" i="4" s="1"/>
  <c r="HE104" i="4"/>
  <c r="HF104" i="4" s="1"/>
  <c r="HE375" i="4"/>
  <c r="HF375" i="4" s="1"/>
  <c r="HC241" i="4"/>
  <c r="HD241" i="4" s="1"/>
  <c r="HG219" i="4"/>
  <c r="HH219" i="4" s="1"/>
  <c r="HG318" i="4"/>
  <c r="HH318" i="4" s="1"/>
  <c r="HC220" i="4"/>
  <c r="HD220" i="4" s="1"/>
  <c r="HH389" i="4"/>
  <c r="HC157" i="4"/>
  <c r="HD157" i="4" s="1"/>
  <c r="HG27" i="4"/>
  <c r="HH27" i="4" s="1"/>
  <c r="HE114" i="4"/>
  <c r="HF114" i="4" s="1"/>
  <c r="HG384" i="4"/>
  <c r="HH384" i="4" s="1"/>
  <c r="HC363" i="4"/>
  <c r="HD363" i="4" s="1"/>
  <c r="HE279" i="4"/>
  <c r="HF279" i="4" s="1"/>
  <c r="HG315" i="4"/>
  <c r="HH315" i="4" s="1"/>
  <c r="HG262" i="4"/>
  <c r="HH262" i="4" s="1"/>
  <c r="HC395" i="4"/>
  <c r="HD395" i="4" s="1"/>
  <c r="HC305" i="4"/>
  <c r="HD305" i="4" s="1"/>
  <c r="HE148" i="4"/>
  <c r="HF148" i="4" s="1"/>
  <c r="HG155" i="4"/>
  <c r="HH155" i="4" s="1"/>
  <c r="HC344" i="4"/>
  <c r="HD344" i="4" s="1"/>
  <c r="HG104" i="4"/>
  <c r="HH104" i="4" s="1"/>
  <c r="HC375" i="4"/>
  <c r="HD375" i="4" s="1"/>
  <c r="HG241" i="4"/>
  <c r="HH241" i="4" s="1"/>
  <c r="HE178" i="4"/>
  <c r="HF178" i="4" s="1"/>
  <c r="HE324" i="4"/>
  <c r="HF324" i="4" s="1"/>
  <c r="HE407" i="4"/>
  <c r="HF407" i="4" s="1"/>
  <c r="HE220" i="4"/>
  <c r="HF220" i="4" s="1"/>
  <c r="HE157" i="4"/>
  <c r="HF157" i="4" s="1"/>
  <c r="HG17" i="4"/>
  <c r="HH17" i="4" s="1"/>
  <c r="HE42" i="4"/>
  <c r="HF42" i="4" s="1"/>
  <c r="HE384" i="4"/>
  <c r="HF384" i="4" s="1"/>
  <c r="HG363" i="4"/>
  <c r="HH363" i="4" s="1"/>
  <c r="HG279" i="4"/>
  <c r="HH279" i="4" s="1"/>
  <c r="HE315" i="4"/>
  <c r="HF315" i="4" s="1"/>
  <c r="HE262" i="4"/>
  <c r="HF262" i="4" s="1"/>
  <c r="HG395" i="4"/>
  <c r="HH395" i="4" s="1"/>
  <c r="HG305" i="4"/>
  <c r="HH305" i="4" s="1"/>
  <c r="HE155" i="4"/>
  <c r="HF155" i="4" s="1"/>
  <c r="HG344" i="4"/>
  <c r="HH344" i="4" s="1"/>
  <c r="HC244" i="4"/>
  <c r="HD244" i="4" s="1"/>
  <c r="HE110" i="4"/>
  <c r="HF110" i="4" s="1"/>
  <c r="HC324" i="4"/>
  <c r="HD324" i="4" s="1"/>
  <c r="HC407" i="4"/>
  <c r="HD407" i="4" s="1"/>
  <c r="HC189" i="4"/>
  <c r="HD189" i="4" s="1"/>
  <c r="HG220" i="4"/>
  <c r="HH220" i="4" s="1"/>
  <c r="HH365" i="4"/>
  <c r="HC29" i="4"/>
  <c r="HD29" i="4" s="1"/>
  <c r="HE15" i="4"/>
  <c r="HF15" i="4" s="1"/>
  <c r="HG157" i="4"/>
  <c r="HH157" i="4" s="1"/>
  <c r="HC17" i="4"/>
  <c r="HD17" i="4" s="1"/>
  <c r="HG42" i="4"/>
  <c r="HH42" i="4" s="1"/>
  <c r="HC222" i="4"/>
  <c r="HD222" i="4" s="1"/>
  <c r="HC221" i="4"/>
  <c r="HD221" i="4" s="1"/>
  <c r="HE349" i="4"/>
  <c r="HF349" i="4" s="1"/>
  <c r="HE395" i="4"/>
  <c r="HF395" i="4" s="1"/>
  <c r="HE247" i="4"/>
  <c r="HF247" i="4" s="1"/>
  <c r="HC419" i="4"/>
  <c r="HD419" i="4" s="1"/>
  <c r="HC258" i="4"/>
  <c r="HD258" i="4" s="1"/>
  <c r="HG244" i="4"/>
  <c r="HC110" i="4"/>
  <c r="HD110" i="4" s="1"/>
  <c r="HG324" i="4"/>
  <c r="HH324" i="4" s="1"/>
  <c r="HG407" i="4"/>
  <c r="HH407" i="4" s="1"/>
  <c r="HE189" i="4"/>
  <c r="HF189" i="4" s="1"/>
  <c r="HE226" i="4"/>
  <c r="HF226" i="4" s="1"/>
  <c r="HH377" i="4"/>
  <c r="HG29" i="4"/>
  <c r="HH29" i="4" s="1"/>
  <c r="HC15" i="4"/>
  <c r="HD15" i="4" s="1"/>
  <c r="HE17" i="4"/>
  <c r="HF17" i="4" s="1"/>
  <c r="HC42" i="4"/>
  <c r="HD42" i="4" s="1"/>
  <c r="HG222" i="4"/>
  <c r="HH222" i="4" s="1"/>
  <c r="HE221" i="4"/>
  <c r="HF221" i="4" s="1"/>
  <c r="HC397" i="4"/>
  <c r="HD397" i="4" s="1"/>
  <c r="HC349" i="4"/>
  <c r="HD349" i="4" s="1"/>
  <c r="HC379" i="4"/>
  <c r="HD379" i="4" s="1"/>
  <c r="HC247" i="4"/>
  <c r="HD247" i="4" s="1"/>
  <c r="HE419" i="4"/>
  <c r="HF419" i="4" s="1"/>
  <c r="HE258" i="4"/>
  <c r="HF258" i="4" s="1"/>
  <c r="HE244" i="4"/>
  <c r="HF244" i="4" s="1"/>
  <c r="HG110" i="4"/>
  <c r="HH110" i="4" s="1"/>
  <c r="HE377" i="4"/>
  <c r="HF377" i="4" s="1"/>
  <c r="HG189" i="4"/>
  <c r="HH189" i="4" s="1"/>
  <c r="HC226" i="4"/>
  <c r="HD226" i="4" s="1"/>
  <c r="HF318" i="4"/>
  <c r="HC34" i="4"/>
  <c r="HD34" i="4" s="1"/>
  <c r="HE29" i="4"/>
  <c r="HF29" i="4" s="1"/>
  <c r="HG15" i="4"/>
  <c r="HH15" i="4" s="1"/>
  <c r="HC261" i="4"/>
  <c r="HD261" i="4" s="1"/>
  <c r="HE80" i="4"/>
  <c r="HF80" i="4" s="1"/>
  <c r="HG130" i="4"/>
  <c r="HH130" i="4" s="1"/>
  <c r="HE6" i="4"/>
  <c r="HF6" i="4" s="1"/>
  <c r="HE222" i="4"/>
  <c r="HF222" i="4" s="1"/>
  <c r="HG221" i="4"/>
  <c r="HH221" i="4" s="1"/>
  <c r="HG397" i="4"/>
  <c r="HH397" i="4" s="1"/>
  <c r="HG349" i="4"/>
  <c r="HH349" i="4" s="1"/>
  <c r="HG379" i="4"/>
  <c r="HH379" i="4" s="1"/>
  <c r="HG247" i="4"/>
  <c r="HH247" i="4" s="1"/>
  <c r="HG419" i="4"/>
  <c r="HH419" i="4" s="1"/>
  <c r="HG258" i="4"/>
  <c r="HH258" i="4" s="1"/>
  <c r="HC362" i="4"/>
  <c r="HD362" i="4" s="1"/>
  <c r="HE418" i="4"/>
  <c r="HF418" i="4" s="1"/>
  <c r="HG401" i="4"/>
  <c r="HH401" i="4" s="1"/>
  <c r="HC408" i="4"/>
  <c r="HC377" i="4"/>
  <c r="HD377" i="4" s="1"/>
  <c r="HG226" i="4"/>
  <c r="HH226" i="4" s="1"/>
  <c r="HH354" i="4"/>
  <c r="HH261" i="4"/>
  <c r="HH178" i="4"/>
  <c r="GY375" i="4"/>
  <c r="GZ375" i="4" s="1"/>
  <c r="GY42" i="4"/>
  <c r="GZ42" i="4" s="1"/>
  <c r="GY349" i="4"/>
  <c r="GZ349" i="4" s="1"/>
  <c r="GY360" i="4"/>
  <c r="GZ360" i="4" s="1"/>
  <c r="GY80" i="4"/>
  <c r="GZ80" i="4" s="1"/>
  <c r="GY220" i="4"/>
  <c r="GZ220" i="4" s="1"/>
  <c r="GY23" i="4"/>
  <c r="GZ23" i="4" s="1"/>
  <c r="GY388" i="4"/>
  <c r="GZ388" i="4" s="1"/>
  <c r="GY381" i="4"/>
  <c r="GZ381" i="4" s="1"/>
  <c r="GY304" i="4"/>
  <c r="GZ304" i="4" s="1"/>
  <c r="GY148" i="4"/>
  <c r="GZ148" i="4" s="1"/>
  <c r="GY110" i="4"/>
  <c r="GZ110" i="4" s="1"/>
  <c r="GY418" i="4"/>
  <c r="GZ418" i="4" s="1"/>
  <c r="GY75" i="4"/>
  <c r="GZ75" i="4" s="1"/>
  <c r="GY261" i="4"/>
  <c r="GZ261" i="4" s="1"/>
  <c r="GY244" i="4"/>
  <c r="GZ244" i="4" s="1"/>
  <c r="GY417" i="4"/>
  <c r="GZ417" i="4" s="1"/>
  <c r="GY130" i="4"/>
  <c r="GZ130" i="4" s="1"/>
  <c r="GY204" i="4"/>
  <c r="GZ204" i="4" s="1"/>
  <c r="GY305" i="4"/>
  <c r="GZ305" i="4" s="1"/>
  <c r="GY347" i="4"/>
  <c r="GZ347" i="4" s="1"/>
  <c r="GY365" i="4"/>
  <c r="GZ365" i="4" s="1"/>
  <c r="GY24" i="4"/>
  <c r="GZ24" i="4" s="1"/>
  <c r="GY113" i="4"/>
  <c r="GZ113" i="4" s="1"/>
  <c r="GY416" i="4"/>
  <c r="GZ416" i="4" s="1"/>
  <c r="GY267" i="4"/>
  <c r="GZ267" i="4" s="1"/>
  <c r="GY248" i="4"/>
  <c r="GZ248" i="4" s="1"/>
  <c r="GU189" i="4"/>
  <c r="GV189" i="4" s="1"/>
  <c r="GU413" i="4"/>
  <c r="GV413" i="4" s="1"/>
  <c r="GU18" i="4"/>
  <c r="GV18" i="4" s="1"/>
  <c r="GW86" i="4"/>
  <c r="GW315" i="4"/>
  <c r="GX315" i="4" s="1"/>
  <c r="GU376" i="4"/>
  <c r="GV376" i="4" s="1"/>
  <c r="GW104" i="4"/>
  <c r="GX104" i="4" s="1"/>
  <c r="GW289" i="4"/>
  <c r="GU267" i="4"/>
  <c r="GV267" i="4" s="1"/>
  <c r="GW189" i="4"/>
  <c r="GX189" i="4" s="1"/>
  <c r="GW413" i="4"/>
  <c r="GX413" i="4" s="1"/>
  <c r="GU194" i="4"/>
  <c r="GV194" i="4" s="1"/>
  <c r="GU315" i="4"/>
  <c r="GV315" i="4" s="1"/>
  <c r="GU247" i="4"/>
  <c r="GV247" i="4" s="1"/>
  <c r="GW274" i="4"/>
  <c r="GX274" i="4" s="1"/>
  <c r="GW194" i="4"/>
  <c r="GX194" i="4" s="1"/>
  <c r="GU80" i="4"/>
  <c r="GV80" i="4" s="1"/>
  <c r="GU54" i="4"/>
  <c r="GV54" i="4" s="1"/>
  <c r="GW202" i="4"/>
  <c r="GX202" i="4" s="1"/>
  <c r="GU258" i="4"/>
  <c r="GV258" i="4" s="1"/>
  <c r="GU318" i="4"/>
  <c r="GV318" i="4" s="1"/>
  <c r="GW421" i="4"/>
  <c r="GX421" i="4" s="1"/>
  <c r="GU114" i="4"/>
  <c r="GV114" i="4" s="1"/>
  <c r="GW140" i="4"/>
  <c r="GU23" i="4"/>
  <c r="GV23" i="4" s="1"/>
  <c r="GW110" i="4"/>
  <c r="GX110" i="4" s="1"/>
  <c r="GW168" i="4"/>
  <c r="GU57" i="4"/>
  <c r="GV57" i="4" s="1"/>
  <c r="GW397" i="4"/>
  <c r="GX397" i="4" s="1"/>
  <c r="GU421" i="4"/>
  <c r="GV421" i="4" s="1"/>
  <c r="GW114" i="4"/>
  <c r="GX114" i="4" s="1"/>
  <c r="GW5" i="4"/>
  <c r="GW95" i="4"/>
  <c r="GU160" i="4"/>
  <c r="GV160" i="4" s="1"/>
  <c r="GU239" i="4"/>
  <c r="GV239" i="4" s="1"/>
  <c r="GW32" i="4"/>
  <c r="GW363" i="4"/>
  <c r="GX363" i="4" s="1"/>
  <c r="GW279" i="4"/>
  <c r="GX279" i="4" s="1"/>
  <c r="GW362" i="4"/>
  <c r="GU418" i="4"/>
  <c r="GV418" i="4" s="1"/>
  <c r="GW219" i="4"/>
  <c r="GX219" i="4" s="1"/>
  <c r="GW160" i="4"/>
  <c r="GX160" i="4" s="1"/>
  <c r="GU379" i="4"/>
  <c r="GV379" i="4" s="1"/>
  <c r="GU42" i="4"/>
  <c r="GV42" i="4" s="1"/>
  <c r="GU48" i="4"/>
  <c r="GW416" i="4"/>
  <c r="GX416" i="4" s="1"/>
  <c r="GU305" i="4"/>
  <c r="GV305" i="4" s="1"/>
  <c r="GW148" i="4"/>
  <c r="GX148" i="4" s="1"/>
  <c r="GU347" i="4"/>
  <c r="GV347" i="4" s="1"/>
  <c r="GU220" i="4"/>
  <c r="GV220" i="4" s="1"/>
  <c r="GU34" i="4"/>
  <c r="GV34" i="4" s="1"/>
  <c r="GW222" i="4"/>
  <c r="GX222" i="4" s="1"/>
  <c r="GU381" i="4"/>
  <c r="GV381" i="4" s="1"/>
  <c r="GU416" i="4"/>
  <c r="GU148" i="4"/>
  <c r="GV148" i="4" s="1"/>
  <c r="GU157" i="4"/>
  <c r="GV157" i="4" s="1"/>
  <c r="GW344" i="4"/>
  <c r="GX344" i="4" s="1"/>
  <c r="GU128" i="4"/>
  <c r="GV128" i="4" s="1"/>
  <c r="GW34" i="4"/>
  <c r="GX34" i="4" s="1"/>
  <c r="GU222" i="4"/>
  <c r="GV222" i="4" s="1"/>
  <c r="GW221" i="4"/>
  <c r="GX221" i="4" s="1"/>
  <c r="GW108" i="4"/>
  <c r="GU319" i="4"/>
  <c r="GV319" i="4" s="1"/>
  <c r="GU248" i="4"/>
  <c r="GV248" i="4" s="1"/>
  <c r="GW417" i="4"/>
  <c r="GX417" i="4" s="1"/>
  <c r="GW261" i="4"/>
  <c r="GX261" i="4" s="1"/>
  <c r="GU324" i="4"/>
  <c r="GV324" i="4" s="1"/>
  <c r="GU365" i="4"/>
  <c r="GV365" i="4" s="1"/>
  <c r="GU344" i="4"/>
  <c r="GV344" i="4" s="1"/>
  <c r="GU226" i="4"/>
  <c r="GV226" i="4" s="1"/>
  <c r="GW393" i="4"/>
  <c r="GX393" i="4" s="1"/>
  <c r="GU304" i="4"/>
  <c r="GV304" i="4" s="1"/>
  <c r="GU419" i="4"/>
  <c r="GV419" i="4" s="1"/>
  <c r="GU155" i="4"/>
  <c r="GV155" i="4" s="1"/>
  <c r="GU27" i="4"/>
  <c r="GV27" i="4" s="1"/>
  <c r="GU417" i="4"/>
  <c r="GV417" i="4" s="1"/>
  <c r="GW354" i="4"/>
  <c r="GX354" i="4" s="1"/>
  <c r="GU178" i="4"/>
  <c r="GV178" i="4" s="1"/>
  <c r="GW395" i="4"/>
  <c r="GX395" i="4" s="1"/>
  <c r="GU394" i="4"/>
  <c r="GV394" i="4" s="1"/>
  <c r="GU389" i="4"/>
  <c r="GV389" i="4" s="1"/>
  <c r="GW419" i="4"/>
  <c r="GX419" i="4" s="1"/>
  <c r="GU377" i="4"/>
  <c r="GV377" i="4" s="1"/>
  <c r="GW280" i="4"/>
  <c r="GX280" i="4" s="1"/>
  <c r="GU24" i="4"/>
  <c r="GV24" i="4" s="1"/>
  <c r="GU104" i="4"/>
  <c r="GV104" i="4" s="1"/>
  <c r="GV375" i="4"/>
  <c r="GV388" i="4"/>
  <c r="HS138" i="4"/>
  <c r="HB96" i="4"/>
  <c r="HS26" i="4"/>
  <c r="N144" i="4"/>
  <c r="CG145" i="4"/>
  <c r="GS145" i="4"/>
  <c r="GY145" i="4" s="1"/>
  <c r="EO153" i="4"/>
  <c r="N64" i="4"/>
  <c r="N175" i="4"/>
  <c r="CA175" i="4" s="1"/>
  <c r="CC65" i="4"/>
  <c r="GS65" i="4"/>
  <c r="GW65" i="4" s="1"/>
  <c r="HK112" i="4"/>
  <c r="CE133" i="4"/>
  <c r="GS133" i="4"/>
  <c r="GU133" i="4" s="1"/>
  <c r="GV133" i="4" s="1"/>
  <c r="N129" i="4"/>
  <c r="HS316" i="4"/>
  <c r="CC158" i="4"/>
  <c r="GS158" i="4"/>
  <c r="GW158" i="4" s="1"/>
  <c r="CG90" i="4"/>
  <c r="GS90" i="4"/>
  <c r="N135" i="4"/>
  <c r="BY135" i="4" s="1"/>
  <c r="CG38" i="4"/>
  <c r="GS38" i="4"/>
  <c r="CW361" i="4"/>
  <c r="GS361" i="4"/>
  <c r="CG125" i="4"/>
  <c r="GS125" i="4"/>
  <c r="GU125" i="4" s="1"/>
  <c r="N263" i="4"/>
  <c r="GS420" i="4"/>
  <c r="GU420" i="4" s="1"/>
  <c r="EA49" i="4"/>
  <c r="CE119" i="4"/>
  <c r="CG97" i="4"/>
  <c r="GS97" i="4"/>
  <c r="CC13" i="4"/>
  <c r="GS13" i="4"/>
  <c r="GY13" i="4" s="1"/>
  <c r="N195" i="4"/>
  <c r="BY195" i="4" s="1"/>
  <c r="N343" i="4"/>
  <c r="BY343" i="4" s="1"/>
  <c r="N103" i="4"/>
  <c r="EC249" i="4"/>
  <c r="CC137" i="4"/>
  <c r="HM46" i="4"/>
  <c r="CG235" i="4"/>
  <c r="GS235" i="4"/>
  <c r="DH138" i="4"/>
  <c r="GS138" i="4"/>
  <c r="GY138" i="4" s="1"/>
  <c r="N309" i="4"/>
  <c r="CA309" i="4" s="1"/>
  <c r="DR62" i="4"/>
  <c r="GS62" i="4"/>
  <c r="GW62" i="4" s="1"/>
  <c r="FA394" i="4"/>
  <c r="HU394" i="4"/>
  <c r="HQ394" i="4" s="1"/>
  <c r="GS394" i="4"/>
  <c r="GY394" i="4" s="1"/>
  <c r="N394" i="4"/>
  <c r="BY394" i="4" s="1"/>
  <c r="HM414" i="4"/>
  <c r="N413" i="4"/>
  <c r="BY413" i="4" s="1"/>
  <c r="CE397" i="4"/>
  <c r="N396" i="4"/>
  <c r="BW396" i="4" s="1"/>
  <c r="HM62" i="4"/>
  <c r="CC62" i="4"/>
  <c r="FH408" i="4"/>
  <c r="CR408" i="4"/>
  <c r="N412" i="4"/>
  <c r="BY412" i="4" s="1"/>
  <c r="N174" i="4"/>
  <c r="A4" i="17"/>
  <c r="EV130" i="4"/>
  <c r="FA130" i="4"/>
  <c r="FH130" i="4"/>
  <c r="EM130" i="4"/>
  <c r="FX130" i="4"/>
  <c r="CY130" i="4"/>
  <c r="DF130" i="4"/>
  <c r="CK130" i="4"/>
  <c r="AY130" i="4"/>
  <c r="GC130" i="4"/>
  <c r="HU130" i="4"/>
  <c r="CE130" i="4"/>
  <c r="FZ130" i="4"/>
  <c r="EA130" i="4"/>
  <c r="EH130" i="4"/>
  <c r="DM130" i="4"/>
  <c r="EX130" i="4"/>
  <c r="BY130" i="4"/>
  <c r="CR130" i="4"/>
  <c r="FC130" i="4"/>
  <c r="FJ130" i="4"/>
  <c r="EO130" i="4"/>
  <c r="CT130" i="4"/>
  <c r="GE130" i="4"/>
  <c r="GL130" i="4"/>
  <c r="FQ130" i="4"/>
  <c r="AS130" i="4"/>
  <c r="DT130" i="4"/>
  <c r="DH130" i="4"/>
  <c r="CM130" i="4"/>
  <c r="CP130" i="4"/>
  <c r="EC130" i="4"/>
  <c r="EJ130" i="4"/>
  <c r="DO130" i="4"/>
  <c r="GJ130" i="4"/>
  <c r="DR130" i="4"/>
  <c r="FE130" i="4"/>
  <c r="FL130" i="4"/>
  <c r="EQ130" i="4"/>
  <c r="N130" i="4"/>
  <c r="ET130" i="4"/>
  <c r="GG130" i="4"/>
  <c r="GN130" i="4"/>
  <c r="FS130" i="4"/>
  <c r="FO130" i="4"/>
  <c r="FV130" i="4"/>
  <c r="DD130" i="4"/>
  <c r="CI130" i="4"/>
  <c r="DV130" i="4"/>
  <c r="DY130" i="4"/>
  <c r="EF130" i="4"/>
  <c r="HU407" i="4"/>
  <c r="HI407" i="4" s="1"/>
  <c r="N407" i="4"/>
  <c r="CA407" i="4" s="1"/>
  <c r="CP393" i="4"/>
  <c r="DD393" i="4"/>
  <c r="N393" i="4"/>
  <c r="GG401" i="4"/>
  <c r="N401" i="4"/>
  <c r="CA401" i="4" s="1"/>
  <c r="GS401" i="4"/>
  <c r="GY401" i="4" s="1"/>
  <c r="HM65" i="4"/>
  <c r="AY418" i="4"/>
  <c r="AS417" i="4"/>
  <c r="AQ421" i="4"/>
  <c r="AO418" i="4"/>
  <c r="AS414" i="4"/>
  <c r="AS421" i="4"/>
  <c r="AQ418" i="4"/>
  <c r="AQ419" i="4"/>
  <c r="AO408" i="4"/>
  <c r="AQ394" i="4"/>
  <c r="AQ397" i="4"/>
  <c r="AU421" i="4"/>
  <c r="AS418" i="4"/>
  <c r="AS419" i="4"/>
  <c r="AQ408" i="4"/>
  <c r="AS397" i="4"/>
  <c r="AW421" i="4"/>
  <c r="AU419" i="4"/>
  <c r="AS413" i="4"/>
  <c r="AW418" i="4"/>
  <c r="AW419" i="4"/>
  <c r="AS407" i="4"/>
  <c r="AU413" i="4"/>
  <c r="AW397" i="4"/>
  <c r="AO416" i="4"/>
  <c r="AO421" i="4"/>
  <c r="AQ414" i="4"/>
  <c r="AO401" i="4"/>
  <c r="AW413" i="4"/>
  <c r="AQ416" i="4"/>
  <c r="AO419" i="4"/>
  <c r="AQ401" i="4"/>
  <c r="AS416" i="4"/>
  <c r="AO393" i="4"/>
  <c r="AS401" i="4"/>
  <c r="AO413" i="4"/>
  <c r="GS400" i="4"/>
  <c r="N400" i="4"/>
  <c r="AU416" i="4"/>
  <c r="AQ393" i="4"/>
  <c r="AY417" i="4"/>
  <c r="AQ413" i="4"/>
  <c r="AS393" i="4"/>
  <c r="AS408" i="4"/>
  <c r="AY416" i="4"/>
  <c r="AU393" i="4"/>
  <c r="AQ417" i="4"/>
  <c r="AW394" i="4"/>
  <c r="AF10" i="13"/>
  <c r="AF4" i="13"/>
  <c r="AF5" i="13"/>
  <c r="AF9" i="13"/>
  <c r="AF13" i="13"/>
  <c r="AG13" i="13" s="1"/>
  <c r="X9" i="13"/>
  <c r="B529" i="11"/>
  <c r="X13" i="13"/>
  <c r="B524" i="11"/>
  <c r="AF11" i="13"/>
  <c r="AG11" i="13" s="1"/>
  <c r="X7" i="13"/>
  <c r="B528" i="11"/>
  <c r="X11" i="13"/>
  <c r="B526" i="11"/>
  <c r="AF16" i="13"/>
  <c r="AG16" i="13" s="1"/>
  <c r="X14" i="13"/>
  <c r="B527" i="11"/>
  <c r="X16" i="13"/>
  <c r="B532" i="11"/>
  <c r="AF15" i="13"/>
  <c r="AG15" i="13" s="1"/>
  <c r="X10" i="13"/>
  <c r="B523" i="11"/>
  <c r="AF14" i="13"/>
  <c r="AG14" i="13" s="1"/>
  <c r="X5" i="13"/>
  <c r="B530" i="11"/>
  <c r="AF7" i="13"/>
  <c r="AG7" i="13" s="1"/>
  <c r="X15" i="13"/>
  <c r="B531" i="11"/>
  <c r="X4" i="13"/>
  <c r="B533" i="11"/>
  <c r="DM395" i="4"/>
  <c r="HM395" i="4"/>
  <c r="N395" i="4"/>
  <c r="AO363" i="4"/>
  <c r="CY363" i="4"/>
  <c r="N363" i="4"/>
  <c r="BW363" i="4" s="1"/>
  <c r="GC384" i="4"/>
  <c r="HU384" i="4"/>
  <c r="AU354" i="4"/>
  <c r="HU354" i="4"/>
  <c r="N288" i="4"/>
  <c r="CA288" i="4" s="1"/>
  <c r="N326" i="4"/>
  <c r="CA326" i="4" s="1"/>
  <c r="N354" i="4"/>
  <c r="HQ82" i="4"/>
  <c r="N384" i="4"/>
  <c r="CA384" i="4" s="1"/>
  <c r="AB7" i="13"/>
  <c r="B500" i="11"/>
  <c r="AB16" i="13"/>
  <c r="B504" i="11"/>
  <c r="AB4" i="13"/>
  <c r="B505" i="11"/>
  <c r="AB10" i="13"/>
  <c r="B495" i="11"/>
  <c r="AB14" i="13"/>
  <c r="B499" i="11"/>
  <c r="AB5" i="13"/>
  <c r="B502" i="11"/>
  <c r="AB15" i="13"/>
  <c r="B503" i="11"/>
  <c r="AB9" i="13"/>
  <c r="B501" i="11"/>
  <c r="AB13" i="13"/>
  <c r="B496" i="11"/>
  <c r="AB11" i="13"/>
  <c r="AC11" i="13" s="1"/>
  <c r="B498" i="11"/>
  <c r="N76" i="4"/>
  <c r="CA76" i="4" s="1"/>
  <c r="HQ95" i="4"/>
  <c r="HS141" i="4"/>
  <c r="FA389" i="4"/>
  <c r="HU389" i="4"/>
  <c r="DR244" i="4"/>
  <c r="HU244" i="4"/>
  <c r="N389" i="4"/>
  <c r="BY389" i="4" s="1"/>
  <c r="AQ388" i="4"/>
  <c r="HU388" i="4"/>
  <c r="N365" i="4"/>
  <c r="CK365" i="4"/>
  <c r="HU365" i="4"/>
  <c r="N244" i="4"/>
  <c r="N388" i="4"/>
  <c r="CA388" i="4" s="1"/>
  <c r="GS388" i="4"/>
  <c r="GW388" i="4" s="1"/>
  <c r="EH379" i="4"/>
  <c r="N379" i="4"/>
  <c r="HQ379" i="4"/>
  <c r="HO361" i="4"/>
  <c r="HQ125" i="4"/>
  <c r="EV376" i="4"/>
  <c r="HU376" i="4"/>
  <c r="AQ377" i="4"/>
  <c r="HU377" i="4"/>
  <c r="HU318" i="4"/>
  <c r="AQ319" i="4"/>
  <c r="HU319" i="4"/>
  <c r="AS319" i="4" s="1"/>
  <c r="AQ191" i="4"/>
  <c r="FA375" i="4"/>
  <c r="HU375" i="4"/>
  <c r="N376" i="4"/>
  <c r="N375" i="4"/>
  <c r="N377" i="4"/>
  <c r="BY377" i="4" s="1"/>
  <c r="N318" i="4"/>
  <c r="BY318" i="4" s="1"/>
  <c r="N383" i="4"/>
  <c r="CA383" i="4" s="1"/>
  <c r="N319" i="4"/>
  <c r="BY319" i="4" s="1"/>
  <c r="FA305" i="4"/>
  <c r="HU305" i="4"/>
  <c r="AO305" i="4" s="1"/>
  <c r="N123" i="4"/>
  <c r="CA123" i="4" s="1"/>
  <c r="N191" i="4"/>
  <c r="CA191" i="4" s="1"/>
  <c r="HK191" i="4"/>
  <c r="N373" i="4"/>
  <c r="GE414" i="4"/>
  <c r="DR417" i="4"/>
  <c r="GL354" i="4"/>
  <c r="AO354" i="4"/>
  <c r="AQ365" i="4"/>
  <c r="AS388" i="4"/>
  <c r="AU363" i="4"/>
  <c r="DY414" i="4"/>
  <c r="EJ417" i="4"/>
  <c r="AY365" i="4"/>
  <c r="AY388" i="4"/>
  <c r="AS363" i="4"/>
  <c r="EC419" i="4"/>
  <c r="CG395" i="4"/>
  <c r="AY379" i="4"/>
  <c r="AW388" i="4"/>
  <c r="AQ363" i="4"/>
  <c r="ET419" i="4"/>
  <c r="AW379" i="4"/>
  <c r="AS365" i="4"/>
  <c r="AU395" i="4"/>
  <c r="FX393" i="4"/>
  <c r="AS379" i="4"/>
  <c r="AW389" i="4"/>
  <c r="FZ418" i="4"/>
  <c r="AQ379" i="4"/>
  <c r="AS395" i="4"/>
  <c r="CP418" i="4"/>
  <c r="AQ354" i="4"/>
  <c r="AQ389" i="4"/>
  <c r="AQ384" i="4"/>
  <c r="AQ395" i="4"/>
  <c r="BY244" i="4"/>
  <c r="AO395" i="4"/>
  <c r="AY244" i="4"/>
  <c r="GL414" i="4"/>
  <c r="DT421" i="4"/>
  <c r="GJ414" i="4"/>
  <c r="EQ417" i="4"/>
  <c r="AS244" i="4"/>
  <c r="AW365" i="4"/>
  <c r="DT407" i="4"/>
  <c r="FC407" i="4"/>
  <c r="FH407" i="4"/>
  <c r="DK407" i="4"/>
  <c r="EF407" i="4"/>
  <c r="DF407" i="4"/>
  <c r="DY407" i="4"/>
  <c r="CK407" i="4"/>
  <c r="FS407" i="4"/>
  <c r="DM407" i="4"/>
  <c r="FE407" i="4"/>
  <c r="DD407" i="4"/>
  <c r="DV407" i="4"/>
  <c r="FA407" i="4"/>
  <c r="EM407" i="4"/>
  <c r="CC407" i="4"/>
  <c r="DH407" i="4"/>
  <c r="DR407" i="4"/>
  <c r="FX407" i="4"/>
  <c r="GN407" i="4"/>
  <c r="ET407" i="4"/>
  <c r="FZ407" i="4"/>
  <c r="BY407" i="4"/>
  <c r="GG407" i="4"/>
  <c r="CM407" i="4"/>
  <c r="CW407" i="4"/>
  <c r="CR407" i="4"/>
  <c r="FO407" i="4"/>
  <c r="FQ407" i="4"/>
  <c r="EH407" i="4"/>
  <c r="CY407" i="4"/>
  <c r="GC407" i="4"/>
  <c r="EV407" i="4"/>
  <c r="EO407" i="4"/>
  <c r="DA407" i="4"/>
  <c r="FV407" i="4"/>
  <c r="CI407" i="4"/>
  <c r="EC407" i="4"/>
  <c r="CT407" i="4"/>
  <c r="FL407" i="4"/>
  <c r="EA407" i="4"/>
  <c r="CP407" i="4"/>
  <c r="GJ407" i="4"/>
  <c r="GL407" i="4"/>
  <c r="DA421" i="4"/>
  <c r="CR421" i="4"/>
  <c r="FZ421" i="4"/>
  <c r="CK421" i="4"/>
  <c r="DM421" i="4"/>
  <c r="DD421" i="4"/>
  <c r="GL421" i="4"/>
  <c r="GC421" i="4"/>
  <c r="DY421" i="4"/>
  <c r="FL421" i="4"/>
  <c r="BW421" i="4"/>
  <c r="CY421" i="4"/>
  <c r="CP421" i="4"/>
  <c r="GJ421" i="4"/>
  <c r="EQ421" i="4"/>
  <c r="DK421" i="4"/>
  <c r="EX421" i="4"/>
  <c r="FC421" i="4"/>
  <c r="FQ421" i="4"/>
  <c r="FS421" i="4"/>
  <c r="FJ421" i="4"/>
  <c r="EC421" i="4"/>
  <c r="FO421" i="4"/>
  <c r="EH421" i="4"/>
  <c r="GE421" i="4"/>
  <c r="FV421" i="4"/>
  <c r="EO421" i="4"/>
  <c r="CW421" i="4"/>
  <c r="CC421" i="4"/>
  <c r="EM421" i="4"/>
  <c r="DR421" i="4"/>
  <c r="DV421" i="4"/>
  <c r="GC354" i="4"/>
  <c r="FH354" i="4"/>
  <c r="CA354" i="4"/>
  <c r="FQ354" i="4"/>
  <c r="DA354" i="4"/>
  <c r="CR354" i="4"/>
  <c r="EQ354" i="4"/>
  <c r="DV354" i="4"/>
  <c r="DM354" i="4"/>
  <c r="DD354" i="4"/>
  <c r="FC354" i="4"/>
  <c r="EH354" i="4"/>
  <c r="DY354" i="4"/>
  <c r="FL354" i="4"/>
  <c r="FO354" i="4"/>
  <c r="ET354" i="4"/>
  <c r="GG354" i="4"/>
  <c r="FX354" i="4"/>
  <c r="EO354" i="4"/>
  <c r="CM354" i="4"/>
  <c r="CP354" i="4"/>
  <c r="GJ354" i="4"/>
  <c r="DH354" i="4"/>
  <c r="CY354" i="4"/>
  <c r="EX354" i="4"/>
  <c r="CT354" i="4"/>
  <c r="EC354" i="4"/>
  <c r="DK354" i="4"/>
  <c r="FJ354" i="4"/>
  <c r="EF354" i="4"/>
  <c r="FS354" i="4"/>
  <c r="FV354" i="4"/>
  <c r="DR354" i="4"/>
  <c r="GN354" i="4"/>
  <c r="GE354" i="4"/>
  <c r="FZ354" i="4"/>
  <c r="FA354" i="4"/>
  <c r="FE354" i="4"/>
  <c r="CC354" i="4"/>
  <c r="EM354" i="4"/>
  <c r="CI354" i="4"/>
  <c r="EO363" i="4"/>
  <c r="DV363" i="4"/>
  <c r="GG363" i="4"/>
  <c r="FA363" i="4"/>
  <c r="EH363" i="4"/>
  <c r="DY363" i="4"/>
  <c r="CM363" i="4"/>
  <c r="DO363" i="4"/>
  <c r="DH363" i="4"/>
  <c r="ET363" i="4"/>
  <c r="EQ363" i="4"/>
  <c r="DA363" i="4"/>
  <c r="EA363" i="4"/>
  <c r="DT363" i="4"/>
  <c r="CA363" i="4"/>
  <c r="DK363" i="4"/>
  <c r="FZ363" i="4"/>
  <c r="EM363" i="4"/>
  <c r="EF363" i="4"/>
  <c r="CP363" i="4"/>
  <c r="CI363" i="4"/>
  <c r="EX363" i="4"/>
  <c r="CR363" i="4"/>
  <c r="GN363" i="4"/>
  <c r="FO363" i="4"/>
  <c r="FH363" i="4"/>
  <c r="EJ363" i="4"/>
  <c r="DD363" i="4"/>
  <c r="DF363" i="4"/>
  <c r="FV363" i="4"/>
  <c r="DR363" i="4"/>
  <c r="FL363" i="4"/>
  <c r="CK363" i="4"/>
  <c r="GE363" i="4"/>
  <c r="GJ363" i="4"/>
  <c r="FE363" i="4"/>
  <c r="FC363" i="4"/>
  <c r="GL363" i="4"/>
  <c r="EC363" i="4"/>
  <c r="GC363" i="4"/>
  <c r="FS363" i="4"/>
  <c r="FJ363" i="4"/>
  <c r="FX363" i="4"/>
  <c r="CG363" i="4"/>
  <c r="FQ363" i="4"/>
  <c r="CT363" i="4"/>
  <c r="DM363" i="4"/>
  <c r="EV363" i="4"/>
  <c r="FA414" i="4"/>
  <c r="DV414" i="4"/>
  <c r="GG414" i="4"/>
  <c r="DY418" i="4"/>
  <c r="GG418" i="4"/>
  <c r="CK418" i="4"/>
  <c r="GL417" i="4"/>
  <c r="EV417" i="4"/>
  <c r="EO419" i="4"/>
  <c r="CA419" i="4"/>
  <c r="CT419" i="4"/>
  <c r="GC244" i="4"/>
  <c r="EF421" i="4"/>
  <c r="EV421" i="4"/>
  <c r="BW354" i="4"/>
  <c r="FH393" i="4"/>
  <c r="CE407" i="4"/>
  <c r="CM414" i="4"/>
  <c r="EM414" i="4"/>
  <c r="FS414" i="4"/>
  <c r="DM414" i="4"/>
  <c r="EX418" i="4"/>
  <c r="EF418" i="4"/>
  <c r="FC417" i="4"/>
  <c r="DF417" i="4"/>
  <c r="GE417" i="4"/>
  <c r="CG419" i="4"/>
  <c r="EH419" i="4"/>
  <c r="FL244" i="4"/>
  <c r="FO244" i="4"/>
  <c r="CI421" i="4"/>
  <c r="CM421" i="4"/>
  <c r="EF389" i="4"/>
  <c r="EA354" i="4"/>
  <c r="CR393" i="4"/>
  <c r="FX395" i="4"/>
  <c r="CI394" i="4"/>
  <c r="FQ394" i="4"/>
  <c r="EV394" i="4"/>
  <c r="DD394" i="4"/>
  <c r="FV394" i="4"/>
  <c r="EQ394" i="4"/>
  <c r="GC394" i="4"/>
  <c r="FH394" i="4"/>
  <c r="FL394" i="4"/>
  <c r="FC394" i="4"/>
  <c r="DV394" i="4"/>
  <c r="CC394" i="4"/>
  <c r="FX394" i="4"/>
  <c r="FO394" i="4"/>
  <c r="EH394" i="4"/>
  <c r="DA394" i="4"/>
  <c r="GJ394" i="4"/>
  <c r="DH394" i="4"/>
  <c r="ET394" i="4"/>
  <c r="DM394" i="4"/>
  <c r="FJ394" i="4"/>
  <c r="DT394" i="4"/>
  <c r="DY394" i="4"/>
  <c r="EC394" i="4"/>
  <c r="CT394" i="4"/>
  <c r="EF394" i="4"/>
  <c r="CM394" i="4"/>
  <c r="GG394" i="4"/>
  <c r="CP394" i="4"/>
  <c r="DF394" i="4"/>
  <c r="GN394" i="4"/>
  <c r="EX394" i="4"/>
  <c r="FZ394" i="4"/>
  <c r="CK394" i="4"/>
  <c r="FS394" i="4"/>
  <c r="EA394" i="4"/>
  <c r="EO394" i="4"/>
  <c r="BW394" i="4"/>
  <c r="FE394" i="4"/>
  <c r="EJ394" i="4"/>
  <c r="CR394" i="4"/>
  <c r="CG394" i="4"/>
  <c r="DR394" i="4"/>
  <c r="GL394" i="4"/>
  <c r="CW394" i="4"/>
  <c r="DK394" i="4"/>
  <c r="GE394" i="4"/>
  <c r="DO394" i="4"/>
  <c r="EM394" i="4"/>
  <c r="DM413" i="4"/>
  <c r="CG413" i="4"/>
  <c r="FC413" i="4"/>
  <c r="DO413" i="4"/>
  <c r="FE413" i="4"/>
  <c r="DY413" i="4"/>
  <c r="EC413" i="4"/>
  <c r="FO413" i="4"/>
  <c r="ET413" i="4"/>
  <c r="GG413" i="4"/>
  <c r="EO413" i="4"/>
  <c r="DH413" i="4"/>
  <c r="EA413" i="4"/>
  <c r="EX413" i="4"/>
  <c r="CT413" i="4"/>
  <c r="EF413" i="4"/>
  <c r="GC413" i="4"/>
  <c r="FV413" i="4"/>
  <c r="DR413" i="4"/>
  <c r="CA413" i="4"/>
  <c r="EV413" i="4"/>
  <c r="FZ413" i="4"/>
  <c r="CM413" i="4"/>
  <c r="EJ413" i="4"/>
  <c r="DF413" i="4"/>
  <c r="EH413" i="4"/>
  <c r="GL413" i="4"/>
  <c r="CK413" i="4"/>
  <c r="BW413" i="4"/>
  <c r="DV413" i="4"/>
  <c r="CC413" i="4"/>
  <c r="CI413" i="4"/>
  <c r="FQ413" i="4"/>
  <c r="DA413" i="4"/>
  <c r="EQ413" i="4"/>
  <c r="EM413" i="4"/>
  <c r="CP413" i="4"/>
  <c r="DT413" i="4"/>
  <c r="FH413" i="4"/>
  <c r="FJ413" i="4"/>
  <c r="GN413" i="4"/>
  <c r="DD413" i="4"/>
  <c r="CY413" i="4"/>
  <c r="FL413" i="4"/>
  <c r="DK413" i="4"/>
  <c r="FX413" i="4"/>
  <c r="FA413" i="4"/>
  <c r="CW413" i="4"/>
  <c r="EO414" i="4"/>
  <c r="CW414" i="4"/>
  <c r="DF414" i="4"/>
  <c r="DA414" i="4"/>
  <c r="EJ418" i="4"/>
  <c r="FS418" i="4"/>
  <c r="EO417" i="4"/>
  <c r="EA417" i="4"/>
  <c r="CY417" i="4"/>
  <c r="DO419" i="4"/>
  <c r="FQ419" i="4"/>
  <c r="EM244" i="4"/>
  <c r="FC244" i="4"/>
  <c r="DT389" i="4"/>
  <c r="DO354" i="4"/>
  <c r="FS393" i="4"/>
  <c r="EX384" i="4"/>
  <c r="DY395" i="4"/>
  <c r="FS413" i="4"/>
  <c r="DV397" i="4"/>
  <c r="DM397" i="4"/>
  <c r="FL397" i="4"/>
  <c r="FA397" i="4"/>
  <c r="EH397" i="4"/>
  <c r="DY397" i="4"/>
  <c r="FX397" i="4"/>
  <c r="DT397" i="4"/>
  <c r="ET397" i="4"/>
  <c r="GG397" i="4"/>
  <c r="GJ397" i="4"/>
  <c r="EO397" i="4"/>
  <c r="CR397" i="4"/>
  <c r="DD397" i="4"/>
  <c r="DK397" i="4"/>
  <c r="DA397" i="4"/>
  <c r="DR397" i="4"/>
  <c r="FS397" i="4"/>
  <c r="EX397" i="4"/>
  <c r="FZ397" i="4"/>
  <c r="EC397" i="4"/>
  <c r="CK397" i="4"/>
  <c r="GE397" i="4"/>
  <c r="FJ397" i="4"/>
  <c r="GL397" i="4"/>
  <c r="CT397" i="4"/>
  <c r="CW397" i="4"/>
  <c r="BW397" i="4"/>
  <c r="FV397" i="4"/>
  <c r="EF397" i="4"/>
  <c r="GC397" i="4"/>
  <c r="FH397" i="4"/>
  <c r="EM397" i="4"/>
  <c r="GN397" i="4"/>
  <c r="CI397" i="4"/>
  <c r="CP397" i="4"/>
  <c r="CY397" i="4"/>
  <c r="EJ397" i="4"/>
  <c r="CC397" i="4"/>
  <c r="EV397" i="4"/>
  <c r="CM397" i="4"/>
  <c r="CA397" i="4"/>
  <c r="DO397" i="4"/>
  <c r="EA397" i="4"/>
  <c r="EQ397" i="4"/>
  <c r="FQ397" i="4"/>
  <c r="FO397" i="4"/>
  <c r="EC408" i="4"/>
  <c r="FO408" i="4"/>
  <c r="EH408" i="4"/>
  <c r="EX408" i="4"/>
  <c r="DY408" i="4"/>
  <c r="EO408" i="4"/>
  <c r="DH408" i="4"/>
  <c r="ET408" i="4"/>
  <c r="FJ408" i="4"/>
  <c r="EA408" i="4"/>
  <c r="FA408" i="4"/>
  <c r="DT408" i="4"/>
  <c r="CA408" i="4"/>
  <c r="FV408" i="4"/>
  <c r="DM408" i="4"/>
  <c r="CT408" i="4"/>
  <c r="EF408" i="4"/>
  <c r="CM408" i="4"/>
  <c r="DF408" i="4"/>
  <c r="GN408" i="4"/>
  <c r="CY408" i="4"/>
  <c r="DD408" i="4"/>
  <c r="CC408" i="4"/>
  <c r="DR408" i="4"/>
  <c r="DK408" i="4"/>
  <c r="FL408" i="4"/>
  <c r="GG408" i="4"/>
  <c r="FZ408" i="4"/>
  <c r="CK408" i="4"/>
  <c r="FS408" i="4"/>
  <c r="FX408" i="4"/>
  <c r="GL408" i="4"/>
  <c r="CW408" i="4"/>
  <c r="GE408" i="4"/>
  <c r="GJ408" i="4"/>
  <c r="CI408" i="4"/>
  <c r="FQ408" i="4"/>
  <c r="EV408" i="4"/>
  <c r="CG408" i="4"/>
  <c r="FC408" i="4"/>
  <c r="DV408" i="4"/>
  <c r="CP408" i="4"/>
  <c r="EM408" i="4"/>
  <c r="DA408" i="4"/>
  <c r="EQ408" i="4"/>
  <c r="FE408" i="4"/>
  <c r="GC408" i="4"/>
  <c r="EJ408" i="4"/>
  <c r="DO408" i="4"/>
  <c r="CR418" i="4"/>
  <c r="DH418" i="4"/>
  <c r="EO418" i="4"/>
  <c r="ET418" i="4"/>
  <c r="FJ418" i="4"/>
  <c r="DD418" i="4"/>
  <c r="DT418" i="4"/>
  <c r="FQ418" i="4"/>
  <c r="GN418" i="4"/>
  <c r="GL418" i="4"/>
  <c r="GJ418" i="4"/>
  <c r="CM418" i="4"/>
  <c r="GE418" i="4"/>
  <c r="EH418" i="4"/>
  <c r="CW418" i="4"/>
  <c r="EC418" i="4"/>
  <c r="CY418" i="4"/>
  <c r="FE418" i="4"/>
  <c r="FV418" i="4"/>
  <c r="EM418" i="4"/>
  <c r="FO414" i="4"/>
  <c r="CK414" i="4"/>
  <c r="CC414" i="4"/>
  <c r="DV418" i="4"/>
  <c r="BY418" i="4"/>
  <c r="FC418" i="4"/>
  <c r="DD417" i="4"/>
  <c r="DO417" i="4"/>
  <c r="FV419" i="4"/>
  <c r="CW419" i="4"/>
  <c r="EA244" i="4"/>
  <c r="EQ244" i="4"/>
  <c r="CT421" i="4"/>
  <c r="CT389" i="4"/>
  <c r="EV354" i="4"/>
  <c r="FO393" i="4"/>
  <c r="GG384" i="4"/>
  <c r="GJ413" i="4"/>
  <c r="FE417" i="4"/>
  <c r="CC417" i="4"/>
  <c r="EM417" i="4"/>
  <c r="EH417" i="4"/>
  <c r="FQ417" i="4"/>
  <c r="DA417" i="4"/>
  <c r="CT417" i="4"/>
  <c r="CI417" i="4"/>
  <c r="GC417" i="4"/>
  <c r="CM417" i="4"/>
  <c r="GG417" i="4"/>
  <c r="FZ417" i="4"/>
  <c r="FA417" i="4"/>
  <c r="DT417" i="4"/>
  <c r="DK417" i="4"/>
  <c r="EX417" i="4"/>
  <c r="CR417" i="4"/>
  <c r="GJ417" i="4"/>
  <c r="EF417" i="4"/>
  <c r="FS417" i="4"/>
  <c r="EQ414" i="4"/>
  <c r="FV414" i="4"/>
  <c r="ET414" i="4"/>
  <c r="CE418" i="4"/>
  <c r="DO418" i="4"/>
  <c r="EQ418" i="4"/>
  <c r="DV417" i="4"/>
  <c r="CE417" i="4"/>
  <c r="CW417" i="4"/>
  <c r="GG419" i="4"/>
  <c r="EF419" i="4"/>
  <c r="EX244" i="4"/>
  <c r="FA421" i="4"/>
  <c r="EJ354" i="4"/>
  <c r="EO393" i="4"/>
  <c r="DV384" i="4"/>
  <c r="EQ401" i="4"/>
  <c r="EX401" i="4"/>
  <c r="FA401" i="4"/>
  <c r="DH401" i="4"/>
  <c r="FC401" i="4"/>
  <c r="FX401" i="4"/>
  <c r="GN401" i="4"/>
  <c r="EH401" i="4"/>
  <c r="FO401" i="4"/>
  <c r="CP401" i="4"/>
  <c r="FH401" i="4"/>
  <c r="EV401" i="4"/>
  <c r="CY401" i="4"/>
  <c r="EO401" i="4"/>
  <c r="CR401" i="4"/>
  <c r="DA401" i="4"/>
  <c r="GL401" i="4"/>
  <c r="FQ401" i="4"/>
  <c r="DM401" i="4"/>
  <c r="CW401" i="4"/>
  <c r="EA401" i="4"/>
  <c r="GC401" i="4"/>
  <c r="CG401" i="4"/>
  <c r="DV401" i="4"/>
  <c r="EC401" i="4"/>
  <c r="FV401" i="4"/>
  <c r="DD401" i="4"/>
  <c r="EJ401" i="4"/>
  <c r="DF401" i="4"/>
  <c r="FJ401" i="4"/>
  <c r="EF401" i="4"/>
  <c r="GJ401" i="4"/>
  <c r="FS401" i="4"/>
  <c r="DK401" i="4"/>
  <c r="GE401" i="4"/>
  <c r="CM401" i="4"/>
  <c r="ET401" i="4"/>
  <c r="CC401" i="4"/>
  <c r="FL401" i="4"/>
  <c r="CT401" i="4"/>
  <c r="DY401" i="4"/>
  <c r="EM401" i="4"/>
  <c r="DR401" i="4"/>
  <c r="CI401" i="4"/>
  <c r="DO401" i="4"/>
  <c r="DR389" i="4"/>
  <c r="DK389" i="4"/>
  <c r="EX389" i="4"/>
  <c r="CR389" i="4"/>
  <c r="FZ389" i="4"/>
  <c r="FS389" i="4"/>
  <c r="FJ389" i="4"/>
  <c r="DD389" i="4"/>
  <c r="GL389" i="4"/>
  <c r="CW389" i="4"/>
  <c r="GE389" i="4"/>
  <c r="FV389" i="4"/>
  <c r="FL389" i="4"/>
  <c r="BW389" i="4"/>
  <c r="FE389" i="4"/>
  <c r="EJ389" i="4"/>
  <c r="DO389" i="4"/>
  <c r="FX389" i="4"/>
  <c r="CI389" i="4"/>
  <c r="FQ389" i="4"/>
  <c r="EV389" i="4"/>
  <c r="GJ389" i="4"/>
  <c r="EQ389" i="4"/>
  <c r="GC389" i="4"/>
  <c r="FH389" i="4"/>
  <c r="EM389" i="4"/>
  <c r="FC389" i="4"/>
  <c r="DV389" i="4"/>
  <c r="CC389" i="4"/>
  <c r="EA389" i="4"/>
  <c r="EC389" i="4"/>
  <c r="FO389" i="4"/>
  <c r="EH389" i="4"/>
  <c r="DA389" i="4"/>
  <c r="EO389" i="4"/>
  <c r="DH389" i="4"/>
  <c r="ET389" i="4"/>
  <c r="DM389" i="4"/>
  <c r="DF389" i="4"/>
  <c r="GN389" i="4"/>
  <c r="CY389" i="4"/>
  <c r="CP389" i="4"/>
  <c r="DD414" i="4"/>
  <c r="CT414" i="4"/>
  <c r="DK414" i="4"/>
  <c r="FC414" i="4"/>
  <c r="EF414" i="4"/>
  <c r="GC414" i="4"/>
  <c r="FH414" i="4"/>
  <c r="EA414" i="4"/>
  <c r="CP414" i="4"/>
  <c r="FA244" i="4"/>
  <c r="DT244" i="4"/>
  <c r="DY244" i="4"/>
  <c r="GJ244" i="4"/>
  <c r="CT244" i="4"/>
  <c r="EF244" i="4"/>
  <c r="CM244" i="4"/>
  <c r="GG244" i="4"/>
  <c r="CR244" i="4"/>
  <c r="DF244" i="4"/>
  <c r="GN244" i="4"/>
  <c r="CY244" i="4"/>
  <c r="CP244" i="4"/>
  <c r="FX244" i="4"/>
  <c r="FZ244" i="4"/>
  <c r="CK244" i="4"/>
  <c r="FS244" i="4"/>
  <c r="FJ244" i="4"/>
  <c r="GL244" i="4"/>
  <c r="CW244" i="4"/>
  <c r="GE244" i="4"/>
  <c r="FV244" i="4"/>
  <c r="FE244" i="4"/>
  <c r="EJ244" i="4"/>
  <c r="CE244" i="4"/>
  <c r="CI244" i="4"/>
  <c r="FQ244" i="4"/>
  <c r="EV244" i="4"/>
  <c r="DO244" i="4"/>
  <c r="EO244" i="4"/>
  <c r="ET244" i="4"/>
  <c r="DM244" i="4"/>
  <c r="FZ414" i="4"/>
  <c r="FJ414" i="4"/>
  <c r="EH414" i="4"/>
  <c r="DT414" i="4"/>
  <c r="EV418" i="4"/>
  <c r="DA418" i="4"/>
  <c r="CI418" i="4"/>
  <c r="FO417" i="4"/>
  <c r="FV417" i="4"/>
  <c r="CK417" i="4"/>
  <c r="DY419" i="4"/>
  <c r="DT419" i="4"/>
  <c r="DA244" i="4"/>
  <c r="EC244" i="4"/>
  <c r="FX421" i="4"/>
  <c r="CW354" i="4"/>
  <c r="EX393" i="4"/>
  <c r="FC397" i="4"/>
  <c r="FE416" i="4"/>
  <c r="EJ416" i="4"/>
  <c r="FV416" i="4"/>
  <c r="EO416" i="4"/>
  <c r="EQ416" i="4"/>
  <c r="FQ416" i="4"/>
  <c r="EV416" i="4"/>
  <c r="CE416" i="4"/>
  <c r="FA416" i="4"/>
  <c r="DH416" i="4"/>
  <c r="GC416" i="4"/>
  <c r="FH416" i="4"/>
  <c r="DO416" i="4"/>
  <c r="CT416" i="4"/>
  <c r="BW416" i="4"/>
  <c r="DV416" i="4"/>
  <c r="EA416" i="4"/>
  <c r="DF416" i="4"/>
  <c r="EF416" i="4"/>
  <c r="EH416" i="4"/>
  <c r="CC416" i="4"/>
  <c r="EM416" i="4"/>
  <c r="DR416" i="4"/>
  <c r="ET416" i="4"/>
  <c r="DA416" i="4"/>
  <c r="CR416" i="4"/>
  <c r="FZ416" i="4"/>
  <c r="CA416" i="4"/>
  <c r="DM416" i="4"/>
  <c r="DD416" i="4"/>
  <c r="GL416" i="4"/>
  <c r="CM416" i="4"/>
  <c r="DY416" i="4"/>
  <c r="FL416" i="4"/>
  <c r="GN416" i="4"/>
  <c r="BY416" i="4"/>
  <c r="DK416" i="4"/>
  <c r="CP416" i="4"/>
  <c r="GJ416" i="4"/>
  <c r="DT416" i="4"/>
  <c r="CW416" i="4"/>
  <c r="GE416" i="4"/>
  <c r="FJ416" i="4"/>
  <c r="EC416" i="4"/>
  <c r="FO416" i="4"/>
  <c r="GG416" i="4"/>
  <c r="EX416" i="4"/>
  <c r="FX416" i="4"/>
  <c r="CG416" i="4"/>
  <c r="FC416" i="4"/>
  <c r="CI416" i="4"/>
  <c r="CK416" i="4"/>
  <c r="CY416" i="4"/>
  <c r="FX384" i="4"/>
  <c r="CI384" i="4"/>
  <c r="FQ384" i="4"/>
  <c r="DO384" i="4"/>
  <c r="EO384" i="4"/>
  <c r="DH384" i="4"/>
  <c r="ET384" i="4"/>
  <c r="CP384" i="4"/>
  <c r="FL384" i="4"/>
  <c r="FC384" i="4"/>
  <c r="FV384" i="4"/>
  <c r="GJ384" i="4"/>
  <c r="FO384" i="4"/>
  <c r="CM384" i="4"/>
  <c r="EM384" i="4"/>
  <c r="DT384" i="4"/>
  <c r="FH384" i="4"/>
  <c r="EC384" i="4"/>
  <c r="EF384" i="4"/>
  <c r="DK384" i="4"/>
  <c r="EA384" i="4"/>
  <c r="FA384" i="4"/>
  <c r="GN384" i="4"/>
  <c r="FS384" i="4"/>
  <c r="EV384" i="4"/>
  <c r="CT384" i="4"/>
  <c r="GE384" i="4"/>
  <c r="EJ384" i="4"/>
  <c r="DF384" i="4"/>
  <c r="CK384" i="4"/>
  <c r="CC384" i="4"/>
  <c r="DR384" i="4"/>
  <c r="CW384" i="4"/>
  <c r="DM384" i="4"/>
  <c r="FZ384" i="4"/>
  <c r="FE384" i="4"/>
  <c r="DY384" i="4"/>
  <c r="DD384" i="4"/>
  <c r="EQ384" i="4"/>
  <c r="EH384" i="4"/>
  <c r="FJ384" i="4"/>
  <c r="EC414" i="4"/>
  <c r="EX414" i="4"/>
  <c r="DH414" i="4"/>
  <c r="CT418" i="4"/>
  <c r="EA418" i="4"/>
  <c r="BW418" i="4"/>
  <c r="CG417" i="4"/>
  <c r="FJ417" i="4"/>
  <c r="BY417" i="4"/>
  <c r="DM419" i="4"/>
  <c r="DH419" i="4"/>
  <c r="EA421" i="4"/>
  <c r="CK354" i="4"/>
  <c r="BW384" i="4"/>
  <c r="FJ407" i="4"/>
  <c r="DT401" i="4"/>
  <c r="FE397" i="4"/>
  <c r="DO414" i="4"/>
  <c r="BW414" i="4"/>
  <c r="FQ414" i="4"/>
  <c r="FH418" i="4"/>
  <c r="DK418" i="4"/>
  <c r="CG418" i="4"/>
  <c r="FL417" i="4"/>
  <c r="CP417" i="4"/>
  <c r="GN417" i="4"/>
  <c r="DA419" i="4"/>
  <c r="FO419" i="4"/>
  <c r="FH244" i="4"/>
  <c r="FE421" i="4"/>
  <c r="DO421" i="4"/>
  <c r="GL384" i="4"/>
  <c r="EJ407" i="4"/>
  <c r="FE401" i="4"/>
  <c r="CI414" i="4"/>
  <c r="FE414" i="4"/>
  <c r="DF418" i="4"/>
  <c r="GC418" i="4"/>
  <c r="FX418" i="4"/>
  <c r="ET417" i="4"/>
  <c r="DY417" i="4"/>
  <c r="DH417" i="4"/>
  <c r="EV419" i="4"/>
  <c r="CI419" i="4"/>
  <c r="DK244" i="4"/>
  <c r="ET421" i="4"/>
  <c r="CR384" i="4"/>
  <c r="GE407" i="4"/>
  <c r="DA395" i="4"/>
  <c r="CR395" i="4"/>
  <c r="FZ395" i="4"/>
  <c r="FO395" i="4"/>
  <c r="CY395" i="4"/>
  <c r="CP395" i="4"/>
  <c r="GJ395" i="4"/>
  <c r="EF395" i="4"/>
  <c r="CI395" i="4"/>
  <c r="CA395" i="4"/>
  <c r="EX395" i="4"/>
  <c r="EO395" i="4"/>
  <c r="FE395" i="4"/>
  <c r="CM395" i="4"/>
  <c r="FJ395" i="4"/>
  <c r="FA395" i="4"/>
  <c r="FQ395" i="4"/>
  <c r="DK395" i="4"/>
  <c r="FV395" i="4"/>
  <c r="CT395" i="4"/>
  <c r="GC395" i="4"/>
  <c r="FS395" i="4"/>
  <c r="EH395" i="4"/>
  <c r="GE395" i="4"/>
  <c r="DO395" i="4"/>
  <c r="DR395" i="4"/>
  <c r="FC395" i="4"/>
  <c r="EJ395" i="4"/>
  <c r="EA395" i="4"/>
  <c r="GL395" i="4"/>
  <c r="DV395" i="4"/>
  <c r="EV395" i="4"/>
  <c r="EM395" i="4"/>
  <c r="DH395" i="4"/>
  <c r="EQ395" i="4"/>
  <c r="FH395" i="4"/>
  <c r="DD395" i="4"/>
  <c r="DT395" i="4"/>
  <c r="BW395" i="4"/>
  <c r="CC395" i="4"/>
  <c r="FL395" i="4"/>
  <c r="GN395" i="4"/>
  <c r="ET395" i="4"/>
  <c r="GG395" i="4"/>
  <c r="EC395" i="4"/>
  <c r="CW395" i="4"/>
  <c r="FX414" i="4"/>
  <c r="EV414" i="4"/>
  <c r="DR414" i="4"/>
  <c r="CC418" i="4"/>
  <c r="FA418" i="4"/>
  <c r="FL418" i="4"/>
  <c r="FX417" i="4"/>
  <c r="DM417" i="4"/>
  <c r="FA419" i="4"/>
  <c r="EH244" i="4"/>
  <c r="GG421" i="4"/>
  <c r="GG389" i="4"/>
  <c r="DT354" i="4"/>
  <c r="EQ407" i="4"/>
  <c r="FZ401" i="4"/>
  <c r="EF393" i="4"/>
  <c r="CW393" i="4"/>
  <c r="DO393" i="4"/>
  <c r="CE393" i="4"/>
  <c r="GL393" i="4"/>
  <c r="DM393" i="4"/>
  <c r="CK393" i="4"/>
  <c r="CA393" i="4"/>
  <c r="CG393" i="4"/>
  <c r="FV393" i="4"/>
  <c r="EC393" i="4"/>
  <c r="ET393" i="4"/>
  <c r="FC393" i="4"/>
  <c r="CT393" i="4"/>
  <c r="DH393" i="4"/>
  <c r="DK393" i="4"/>
  <c r="GC393" i="4"/>
  <c r="DV393" i="4"/>
  <c r="DT393" i="4"/>
  <c r="EM393" i="4"/>
  <c r="EQ393" i="4"/>
  <c r="EJ393" i="4"/>
  <c r="GN393" i="4"/>
  <c r="FZ393" i="4"/>
  <c r="FQ393" i="4"/>
  <c r="EV393" i="4"/>
  <c r="EA393" i="4"/>
  <c r="FE393" i="4"/>
  <c r="GJ393" i="4"/>
  <c r="DA393" i="4"/>
  <c r="FA393" i="4"/>
  <c r="GE393" i="4"/>
  <c r="CI393" i="4"/>
  <c r="DY393" i="4"/>
  <c r="BY393" i="4"/>
  <c r="FL393" i="4"/>
  <c r="GG393" i="4"/>
  <c r="CY393" i="4"/>
  <c r="DR393" i="4"/>
  <c r="DF393" i="4"/>
  <c r="FJ393" i="4"/>
  <c r="CM393" i="4"/>
  <c r="EH393" i="4"/>
  <c r="DR419" i="4"/>
  <c r="GN419" i="4"/>
  <c r="CY419" i="4"/>
  <c r="CP419" i="4"/>
  <c r="FL419" i="4"/>
  <c r="FZ419" i="4"/>
  <c r="DK419" i="4"/>
  <c r="EX419" i="4"/>
  <c r="CR419" i="4"/>
  <c r="GL419" i="4"/>
  <c r="CK419" i="4"/>
  <c r="FS419" i="4"/>
  <c r="FJ419" i="4"/>
  <c r="GJ419" i="4"/>
  <c r="BW419" i="4"/>
  <c r="FE419" i="4"/>
  <c r="EJ419" i="4"/>
  <c r="FX419" i="4"/>
  <c r="EQ419" i="4"/>
  <c r="GC419" i="4"/>
  <c r="FH419" i="4"/>
  <c r="EA419" i="4"/>
  <c r="FC419" i="4"/>
  <c r="DV419" i="4"/>
  <c r="CC419" i="4"/>
  <c r="EM419" i="4"/>
  <c r="CY414" i="4"/>
  <c r="FL414" i="4"/>
  <c r="EJ414" i="4"/>
  <c r="DR418" i="4"/>
  <c r="DM418" i="4"/>
  <c r="BW417" i="4"/>
  <c r="EC417" i="4"/>
  <c r="FH417" i="4"/>
  <c r="DD419" i="4"/>
  <c r="CM419" i="4"/>
  <c r="DV244" i="4"/>
  <c r="GN421" i="4"/>
  <c r="FH421" i="4"/>
  <c r="DY389" i="4"/>
  <c r="CG354" i="4"/>
  <c r="CK395" i="4"/>
  <c r="DO407" i="4"/>
  <c r="BW401" i="4"/>
  <c r="HS140" i="4"/>
  <c r="HS208" i="4"/>
  <c r="HQ53" i="4"/>
  <c r="HS251" i="4"/>
  <c r="AG7" i="15"/>
  <c r="HQ196" i="4"/>
  <c r="HO137" i="4"/>
  <c r="N233" i="4"/>
  <c r="HQ235" i="4"/>
  <c r="HS168" i="4"/>
  <c r="HQ38" i="4"/>
  <c r="AO45" i="4"/>
  <c r="AO175" i="4"/>
  <c r="HS108" i="4"/>
  <c r="AO357" i="4"/>
  <c r="HQ98" i="4"/>
  <c r="HQ126" i="4"/>
  <c r="AQ243" i="4"/>
  <c r="HQ43" i="4"/>
  <c r="HQ86" i="4"/>
  <c r="HO13" i="4"/>
  <c r="HQ131" i="4"/>
  <c r="HS289" i="4"/>
  <c r="AO350" i="4"/>
  <c r="HS97" i="4"/>
  <c r="HM60" i="4"/>
  <c r="HM205" i="4"/>
  <c r="HQ90" i="4"/>
  <c r="HS179" i="4"/>
  <c r="AQ64" i="4"/>
  <c r="HS236" i="4"/>
  <c r="HS172" i="4"/>
  <c r="HQ145" i="4"/>
  <c r="HM158" i="4"/>
  <c r="HQ111" i="4"/>
  <c r="HO246" i="4"/>
  <c r="AO129" i="4"/>
  <c r="N305" i="4"/>
  <c r="N352" i="4"/>
  <c r="BY352" i="4" s="1"/>
  <c r="N162" i="4"/>
  <c r="BY162" i="4" s="1"/>
  <c r="HU360" i="4"/>
  <c r="N353" i="4"/>
  <c r="BW353" i="4" s="1"/>
  <c r="FA160" i="4"/>
  <c r="N160" i="4"/>
  <c r="AQ362" i="4"/>
  <c r="N362" i="4"/>
  <c r="N360" i="4"/>
  <c r="DA324" i="4"/>
  <c r="HU324" i="4"/>
  <c r="AS324" i="4" s="1"/>
  <c r="N258" i="4"/>
  <c r="FL258" i="4"/>
  <c r="HU258" i="4"/>
  <c r="FQ178" i="4"/>
  <c r="HU178" i="4"/>
  <c r="N105" i="4"/>
  <c r="CA105" i="4" s="1"/>
  <c r="N178" i="4"/>
  <c r="CA178" i="4" s="1"/>
  <c r="AQ347" i="4"/>
  <c r="N347" i="4"/>
  <c r="CC361" i="4"/>
  <c r="N311" i="4"/>
  <c r="BW23" i="4"/>
  <c r="BW157" i="4"/>
  <c r="BW128" i="4"/>
  <c r="AW157" i="4"/>
  <c r="BW18" i="4"/>
  <c r="AW27" i="4"/>
  <c r="CG249" i="4"/>
  <c r="N243" i="4"/>
  <c r="CA243" i="4" s="1"/>
  <c r="N324" i="4"/>
  <c r="HU226" i="4"/>
  <c r="N323" i="4"/>
  <c r="N290" i="4"/>
  <c r="CA290" i="4" s="1"/>
  <c r="BW155" i="4"/>
  <c r="N223" i="4"/>
  <c r="N226" i="4"/>
  <c r="N340" i="4"/>
  <c r="AW155" i="4"/>
  <c r="N224" i="4"/>
  <c r="EJ104" i="4"/>
  <c r="N104" i="4"/>
  <c r="AS222" i="4"/>
  <c r="N222" i="4"/>
  <c r="HM263" i="4"/>
  <c r="HU344" i="4"/>
  <c r="HU351" i="4"/>
  <c r="HQ351" i="4" s="1"/>
  <c r="N285" i="4"/>
  <c r="HQ285" i="4"/>
  <c r="N356" i="4"/>
  <c r="CA356" i="4" s="1"/>
  <c r="DD304" i="4"/>
  <c r="N304" i="4"/>
  <c r="AO279" i="4"/>
  <c r="N279" i="4"/>
  <c r="HM279" i="4"/>
  <c r="AQ12" i="4"/>
  <c r="AO140" i="4"/>
  <c r="AO168" i="4"/>
  <c r="AO193" i="4"/>
  <c r="AQ62" i="4"/>
  <c r="AO107" i="4"/>
  <c r="AQ55" i="4"/>
  <c r="AQ203" i="4"/>
  <c r="AO35" i="4"/>
  <c r="AQ361" i="4"/>
  <c r="AO145" i="4"/>
  <c r="AO146" i="4"/>
  <c r="AO44" i="4"/>
  <c r="AO228" i="4"/>
  <c r="AO208" i="4"/>
  <c r="AQ216" i="4"/>
  <c r="AQ186" i="4"/>
  <c r="AQ13" i="4"/>
  <c r="AQ16" i="4"/>
  <c r="AO254" i="4"/>
  <c r="AO31" i="4"/>
  <c r="AQ81" i="4"/>
  <c r="AQ134" i="4"/>
  <c r="AO295" i="4"/>
  <c r="AO184" i="4"/>
  <c r="AO32" i="4"/>
  <c r="AO192" i="4"/>
  <c r="AQ211" i="4"/>
  <c r="AO314" i="4"/>
  <c r="AQ205" i="4"/>
  <c r="AO131" i="4"/>
  <c r="AO289" i="4"/>
  <c r="AQ339" i="4"/>
  <c r="AO165" i="4"/>
  <c r="AO273" i="4"/>
  <c r="AO300" i="4"/>
  <c r="AO39" i="4"/>
  <c r="AO296" i="4"/>
  <c r="AQ227" i="4"/>
  <c r="AQ21" i="4"/>
  <c r="AO25" i="4"/>
  <c r="AO69" i="4"/>
  <c r="AO79" i="4"/>
  <c r="AO26" i="4"/>
  <c r="AQ246" i="4"/>
  <c r="AQ127" i="4"/>
  <c r="AO187" i="4"/>
  <c r="AQ137" i="4"/>
  <c r="AO316" i="4"/>
  <c r="AO67" i="4"/>
  <c r="AO342" i="4"/>
  <c r="AQ65" i="4"/>
  <c r="AQ93" i="4"/>
  <c r="AQ47" i="4"/>
  <c r="AO233" i="4"/>
  <c r="AO209" i="4"/>
  <c r="AO294" i="4"/>
  <c r="AQ240" i="4"/>
  <c r="AO98" i="4"/>
  <c r="AO252" i="4"/>
  <c r="AO38" i="4"/>
  <c r="AO111" i="4"/>
  <c r="AO236" i="4"/>
  <c r="AO322" i="4"/>
  <c r="AQ337" i="4"/>
  <c r="N177" i="4"/>
  <c r="N344" i="4"/>
  <c r="AO53" i="4"/>
  <c r="AO138" i="4"/>
  <c r="AO117" i="4"/>
  <c r="AQ7" i="4"/>
  <c r="AO151" i="4"/>
  <c r="AO166" i="4"/>
  <c r="AO121" i="4"/>
  <c r="AQ301" i="4"/>
  <c r="AO218" i="4"/>
  <c r="AO210" i="4"/>
  <c r="AO291" i="4"/>
  <c r="AO420" i="4"/>
  <c r="AO172" i="4"/>
  <c r="AO167" i="4"/>
  <c r="AO135" i="4"/>
  <c r="AO277" i="4"/>
  <c r="AQ171" i="4"/>
  <c r="AO84" i="4"/>
  <c r="AQ66" i="4"/>
  <c r="AO215" i="4"/>
  <c r="AQ308" i="4"/>
  <c r="AO173" i="4"/>
  <c r="AO125" i="4"/>
  <c r="AO232" i="4"/>
  <c r="AQ147" i="4"/>
  <c r="AO212" i="4"/>
  <c r="AQ358" i="4"/>
  <c r="AO144" i="4"/>
  <c r="GS351" i="4"/>
  <c r="GU351" i="4" s="1"/>
  <c r="N351" i="4"/>
  <c r="CA351" i="4" s="1"/>
  <c r="AQ14" i="4"/>
  <c r="AQ73" i="4"/>
  <c r="AQ19" i="4"/>
  <c r="AO97" i="4"/>
  <c r="AO59" i="4"/>
  <c r="AO43" i="4"/>
  <c r="AO150" i="4"/>
  <c r="AQ112" i="4"/>
  <c r="AO198" i="4"/>
  <c r="AQ88" i="4"/>
  <c r="AO214" i="4"/>
  <c r="AO70" i="4"/>
  <c r="AO201" i="4"/>
  <c r="AQ76" i="4"/>
  <c r="AO82" i="4"/>
  <c r="AQ317" i="4"/>
  <c r="AO185" i="4"/>
  <c r="AO336" i="4"/>
  <c r="AO86" i="4"/>
  <c r="AQ329" i="4"/>
  <c r="AO237" i="4"/>
  <c r="AO256" i="4"/>
  <c r="AO320" i="4"/>
  <c r="AQ270" i="4"/>
  <c r="AQ242" i="4"/>
  <c r="AQ158" i="4"/>
  <c r="AO92" i="4"/>
  <c r="AO91" i="4"/>
  <c r="AQ286" i="4"/>
  <c r="AQ200" i="4"/>
  <c r="AQ37" i="4"/>
  <c r="AO298" i="4"/>
  <c r="AQ28" i="4"/>
  <c r="AO108" i="4"/>
  <c r="AO30" i="4"/>
  <c r="AO196" i="4"/>
  <c r="AO56" i="4"/>
  <c r="AO142" i="4"/>
  <c r="AO271" i="4"/>
  <c r="AO284" i="4"/>
  <c r="AQ101" i="4"/>
  <c r="AQ139" i="4"/>
  <c r="AO249" i="4"/>
  <c r="AO33" i="4"/>
  <c r="AO182" i="4"/>
  <c r="AO90" i="4"/>
  <c r="AQ60" i="4"/>
  <c r="AQ307" i="4"/>
  <c r="AQ132" i="4"/>
  <c r="AO259" i="4"/>
  <c r="AQ264" i="4"/>
  <c r="AO199" i="4"/>
  <c r="AO309" i="4"/>
  <c r="AO85" i="4"/>
  <c r="HQ45" i="4"/>
  <c r="N45" i="4"/>
  <c r="BY45" i="4" s="1"/>
  <c r="N350" i="4"/>
  <c r="BY350" i="4" s="1"/>
  <c r="AO170" i="4"/>
  <c r="AO299" i="4"/>
  <c r="AO95" i="4"/>
  <c r="AO141" i="4"/>
  <c r="AO266" i="4"/>
  <c r="AO251" i="4"/>
  <c r="AO126" i="4"/>
  <c r="AQ68" i="4"/>
  <c r="AO50" i="4"/>
  <c r="AQ40" i="4"/>
  <c r="AO36" i="4"/>
  <c r="AQ78" i="4"/>
  <c r="AO275" i="4"/>
  <c r="AS153" i="4"/>
  <c r="HI153" i="4"/>
  <c r="AS115" i="4"/>
  <c r="AS118" i="4"/>
  <c r="HI118" i="4"/>
  <c r="AS213" i="4"/>
  <c r="AS292" i="4"/>
  <c r="AS89" i="4"/>
  <c r="AS149" i="4"/>
  <c r="AS269" i="4"/>
  <c r="AS217" i="4"/>
  <c r="AS72" i="4"/>
  <c r="AS268" i="4"/>
  <c r="AS77" i="4"/>
  <c r="AS250" i="4"/>
  <c r="AS253" i="4"/>
  <c r="AS260" i="4"/>
  <c r="AS231" i="4"/>
  <c r="AS238" i="4"/>
  <c r="AS257" i="4"/>
  <c r="AS96" i="4"/>
  <c r="HI96" i="4"/>
  <c r="AS297" i="4"/>
  <c r="AS46" i="4"/>
  <c r="AS154" i="4"/>
  <c r="AS100" i="4"/>
  <c r="AS120" i="4"/>
  <c r="HK120" i="4"/>
  <c r="AS133" i="4"/>
  <c r="HI133" i="4"/>
  <c r="AS143" i="4"/>
  <c r="AS265" i="4"/>
  <c r="AS49" i="4"/>
  <c r="HI49" i="4"/>
  <c r="AS119" i="4"/>
  <c r="HK119" i="4"/>
  <c r="AS272" i="4"/>
  <c r="AS99" i="4"/>
  <c r="AS174" i="4"/>
  <c r="AS290" i="4"/>
  <c r="AS20" i="4"/>
  <c r="AS109" i="4"/>
  <c r="HK109" i="4"/>
  <c r="AS293" i="4"/>
  <c r="AS94" i="4"/>
  <c r="HI94" i="4"/>
  <c r="AS164" i="4"/>
  <c r="AS83" i="4"/>
  <c r="AS52" i="4"/>
  <c r="HK52" i="4"/>
  <c r="AS176" i="4"/>
  <c r="AS328" i="4"/>
  <c r="AS255" i="4"/>
  <c r="AS102" i="4"/>
  <c r="AS355" i="4"/>
  <c r="AS61" i="4"/>
  <c r="AS106" i="4"/>
  <c r="HI106" i="4"/>
  <c r="AS225" i="4"/>
  <c r="AS313" i="4"/>
  <c r="AS367" i="4"/>
  <c r="AS11" i="4"/>
  <c r="AS302" i="4"/>
  <c r="AS183" i="4"/>
  <c r="AS188" i="4"/>
  <c r="AS195" i="4"/>
  <c r="BW54" i="4"/>
  <c r="BW34" i="4"/>
  <c r="BW42" i="4"/>
  <c r="CA145" i="4"/>
  <c r="BY42" i="4"/>
  <c r="N34" i="4"/>
  <c r="CA34" i="4"/>
  <c r="BY23" i="4"/>
  <c r="CE153" i="4"/>
  <c r="AY23" i="4"/>
  <c r="AW23" i="4"/>
  <c r="CA5" i="4"/>
  <c r="BW48" i="4"/>
  <c r="CE49" i="4"/>
  <c r="CG138" i="4"/>
  <c r="HQ343" i="4"/>
  <c r="CA280" i="4"/>
  <c r="BW27" i="4"/>
  <c r="N102" i="4"/>
  <c r="BW102" i="4" s="1"/>
  <c r="DY137" i="4"/>
  <c r="N57" i="4"/>
  <c r="N269" i="4"/>
  <c r="BW114" i="4"/>
  <c r="EF17" i="4"/>
  <c r="FE247" i="4"/>
  <c r="HU247" i="4"/>
  <c r="AY204" i="4"/>
  <c r="AS110" i="4"/>
  <c r="AY349" i="4"/>
  <c r="AS221" i="4"/>
  <c r="AW381" i="4"/>
  <c r="AQ222" i="4"/>
  <c r="AO248" i="4"/>
  <c r="AS262" i="4"/>
  <c r="AS305" i="4"/>
  <c r="AW376" i="4"/>
  <c r="AY113" i="4"/>
  <c r="AY375" i="4"/>
  <c r="AO110" i="4"/>
  <c r="AW226" i="4"/>
  <c r="AQ324" i="4"/>
  <c r="AS304" i="4"/>
  <c r="AY220" i="4"/>
  <c r="AQ221" i="4"/>
  <c r="AO222" i="4"/>
  <c r="AS267" i="4"/>
  <c r="AU148" i="4"/>
  <c r="AS75" i="4"/>
  <c r="AQ318" i="4"/>
  <c r="AQ305" i="4"/>
  <c r="AW160" i="4"/>
  <c r="AS349" i="4"/>
  <c r="AO219" i="4"/>
  <c r="AQ304" i="4"/>
  <c r="AW220" i="4"/>
  <c r="AQ178" i="4"/>
  <c r="AU221" i="4"/>
  <c r="AS381" i="4"/>
  <c r="AQ267" i="4"/>
  <c r="AS148" i="4"/>
  <c r="AY377" i="4"/>
  <c r="AQ75" i="4"/>
  <c r="AS248" i="4"/>
  <c r="AS376" i="4"/>
  <c r="AU160" i="4"/>
  <c r="AW375" i="4"/>
  <c r="AQ349" i="4"/>
  <c r="AO304" i="4"/>
  <c r="AO221" i="4"/>
  <c r="AW189" i="4"/>
  <c r="AQ381" i="4"/>
  <c r="AQ148" i="4"/>
  <c r="AW377" i="4"/>
  <c r="AO75" i="4"/>
  <c r="AW248" i="4"/>
  <c r="AQ376" i="4"/>
  <c r="AS160" i="4"/>
  <c r="AS113" i="4"/>
  <c r="AU274" i="4"/>
  <c r="AO104" i="4"/>
  <c r="AQ226" i="4"/>
  <c r="AS220" i="4"/>
  <c r="AU280" i="4"/>
  <c r="AU189" i="4"/>
  <c r="AY360" i="4"/>
  <c r="AQ194" i="4"/>
  <c r="AO148" i="4"/>
  <c r="AQ248" i="4"/>
  <c r="AQ160" i="4"/>
  <c r="AQ113" i="4"/>
  <c r="AW104" i="4"/>
  <c r="AW315" i="4"/>
  <c r="AS375" i="4"/>
  <c r="AO379" i="4"/>
  <c r="AU219" i="4"/>
  <c r="AS189" i="4"/>
  <c r="AO362" i="4"/>
  <c r="AS377" i="4"/>
  <c r="AY248" i="4"/>
  <c r="AW319" i="4"/>
  <c r="AO113" i="4"/>
  <c r="AS274" i="4"/>
  <c r="AU104" i="4"/>
  <c r="AU315" i="4"/>
  <c r="AQ375" i="4"/>
  <c r="AO347" i="4"/>
  <c r="AQ189" i="4"/>
  <c r="AO202" i="4"/>
  <c r="AU279" i="4"/>
  <c r="AQ274" i="4"/>
  <c r="AS104" i="4"/>
  <c r="AY347" i="4"/>
  <c r="AO280" i="4"/>
  <c r="AO189" i="4"/>
  <c r="AW258" i="4"/>
  <c r="AS279" i="4"/>
  <c r="AS241" i="4"/>
  <c r="AO274" i="4"/>
  <c r="BW57" i="4"/>
  <c r="BW24" i="4"/>
  <c r="AQ104" i="4"/>
  <c r="AQ110" i="4"/>
  <c r="AW347" i="4"/>
  <c r="AS360" i="4"/>
  <c r="AU362" i="4"/>
  <c r="AQ279" i="4"/>
  <c r="AO241" i="4"/>
  <c r="AW247" i="4"/>
  <c r="AQ315" i="4"/>
  <c r="AU202" i="4"/>
  <c r="AW222" i="4"/>
  <c r="AS362" i="4"/>
  <c r="AY262" i="4"/>
  <c r="AW318" i="4"/>
  <c r="AY305" i="4"/>
  <c r="AS204" i="4"/>
  <c r="AU110" i="4"/>
  <c r="AW324" i="4"/>
  <c r="AY304" i="4"/>
  <c r="AS347" i="4"/>
  <c r="AQ331" i="4"/>
  <c r="AS202" i="4"/>
  <c r="AU222" i="4"/>
  <c r="AY267" i="4"/>
  <c r="AQ239" i="4"/>
  <c r="AY75" i="4"/>
  <c r="AQ258" i="4"/>
  <c r="AQ247" i="4"/>
  <c r="AW305" i="4"/>
  <c r="AO343" i="4"/>
  <c r="AY110" i="4"/>
  <c r="AO349" i="4"/>
  <c r="AW304" i="4"/>
  <c r="AW178" i="4"/>
  <c r="AQ202" i="4"/>
  <c r="AQ241" i="4"/>
  <c r="AY376" i="4"/>
  <c r="AO160" i="4"/>
  <c r="AW344" i="4"/>
  <c r="AS351" i="4"/>
  <c r="GG157" i="4"/>
  <c r="EC262" i="4"/>
  <c r="HU262" i="4"/>
  <c r="DD157" i="4"/>
  <c r="HQ146" i="4"/>
  <c r="N146" i="4"/>
  <c r="BY146" i="4" s="1"/>
  <c r="N315" i="4"/>
  <c r="FH157" i="4"/>
  <c r="N247" i="4"/>
  <c r="GN157" i="4"/>
  <c r="N271" i="4"/>
  <c r="BY271" i="4" s="1"/>
  <c r="HQ271" i="4"/>
  <c r="FA220" i="4"/>
  <c r="HU220" i="4"/>
  <c r="CI157" i="4"/>
  <c r="N277" i="4"/>
  <c r="BW277" i="4" s="1"/>
  <c r="EM157" i="4"/>
  <c r="N355" i="4"/>
  <c r="CA355" i="4" s="1"/>
  <c r="FS157" i="4"/>
  <c r="FZ157" i="4"/>
  <c r="HQ275" i="4"/>
  <c r="N275" i="4"/>
  <c r="BY275" i="4" s="1"/>
  <c r="EJ315" i="4"/>
  <c r="HU315" i="4"/>
  <c r="CT157" i="4"/>
  <c r="FV157" i="4"/>
  <c r="HK242" i="4"/>
  <c r="N242" i="4"/>
  <c r="CA242" i="4" s="1"/>
  <c r="CW157" i="4"/>
  <c r="HK221" i="4"/>
  <c r="N221" i="4"/>
  <c r="N165" i="4"/>
  <c r="BY165" i="4" s="1"/>
  <c r="N339" i="4"/>
  <c r="CA339" i="4" s="1"/>
  <c r="FA157" i="4"/>
  <c r="HK331" i="4"/>
  <c r="N331" i="4"/>
  <c r="CA331" i="4" s="1"/>
  <c r="EF349" i="4"/>
  <c r="HQ349" i="4"/>
  <c r="N349" i="4"/>
  <c r="BW349" i="4" s="1"/>
  <c r="N241" i="4"/>
  <c r="CA241" i="4" s="1"/>
  <c r="HM241" i="4"/>
  <c r="N110" i="4"/>
  <c r="N248" i="4"/>
  <c r="N189" i="4"/>
  <c r="BY189" i="4" s="1"/>
  <c r="N262" i="4"/>
  <c r="BW262" i="4" s="1"/>
  <c r="N337" i="4"/>
  <c r="CA337" i="4" s="1"/>
  <c r="EJ189" i="4"/>
  <c r="EC189" i="4"/>
  <c r="DT189" i="4"/>
  <c r="FV189" i="4"/>
  <c r="DH189" i="4"/>
  <c r="DA189" i="4"/>
  <c r="CR189" i="4"/>
  <c r="EX189" i="4"/>
  <c r="GL189" i="4"/>
  <c r="GE189" i="4"/>
  <c r="FQ189" i="4"/>
  <c r="ET189" i="4"/>
  <c r="FJ189" i="4"/>
  <c r="FC189" i="4"/>
  <c r="EO189" i="4"/>
  <c r="FS189" i="4"/>
  <c r="EH189" i="4"/>
  <c r="EA189" i="4"/>
  <c r="DM189" i="4"/>
  <c r="EQ189" i="4"/>
  <c r="DF189" i="4"/>
  <c r="CK189" i="4"/>
  <c r="DV189" i="4"/>
  <c r="FO189" i="4"/>
  <c r="GJ189" i="4"/>
  <c r="GC189" i="4"/>
  <c r="DR189" i="4"/>
  <c r="EM189" i="4"/>
  <c r="FH189" i="4"/>
  <c r="FA189" i="4"/>
  <c r="DO189" i="4"/>
  <c r="DK189" i="4"/>
  <c r="EF189" i="4"/>
  <c r="DY189" i="4"/>
  <c r="CT189" i="4"/>
  <c r="CI189" i="4"/>
  <c r="DD189" i="4"/>
  <c r="CW189" i="4"/>
  <c r="CP189" i="4"/>
  <c r="GN189" i="4"/>
  <c r="GG189" i="4"/>
  <c r="FX189" i="4"/>
  <c r="CM189" i="4"/>
  <c r="FL189" i="4"/>
  <c r="FE189" i="4"/>
  <c r="EV189" i="4"/>
  <c r="FZ189" i="4"/>
  <c r="GL222" i="4"/>
  <c r="DT222" i="4"/>
  <c r="DD222" i="4"/>
  <c r="EF222" i="4"/>
  <c r="FJ222" i="4"/>
  <c r="CK222" i="4"/>
  <c r="FZ222" i="4"/>
  <c r="EC222" i="4"/>
  <c r="FA222" i="4"/>
  <c r="EQ222" i="4"/>
  <c r="CW222" i="4"/>
  <c r="DF222" i="4"/>
  <c r="DR222" i="4"/>
  <c r="DA222" i="4"/>
  <c r="CT222" i="4"/>
  <c r="FO222" i="4"/>
  <c r="GJ222" i="4"/>
  <c r="GG222" i="4"/>
  <c r="FX222" i="4"/>
  <c r="EM222" i="4"/>
  <c r="FH222" i="4"/>
  <c r="EX222" i="4"/>
  <c r="EO222" i="4"/>
  <c r="DK222" i="4"/>
  <c r="DY222" i="4"/>
  <c r="DO222" i="4"/>
  <c r="CY222" i="4"/>
  <c r="CI222" i="4"/>
  <c r="CP222" i="4"/>
  <c r="GE222" i="4"/>
  <c r="FQ222" i="4"/>
  <c r="GN222" i="4"/>
  <c r="FE222" i="4"/>
  <c r="EV222" i="4"/>
  <c r="EA222" i="4"/>
  <c r="FL222" i="4"/>
  <c r="DV222" i="4"/>
  <c r="DM222" i="4"/>
  <c r="CR222" i="4"/>
  <c r="EJ222" i="4"/>
  <c r="CM222" i="4"/>
  <c r="GC222" i="4"/>
  <c r="FV222" i="4"/>
  <c r="DH222" i="4"/>
  <c r="FC222" i="4"/>
  <c r="ET222" i="4"/>
  <c r="FS222" i="4"/>
  <c r="EM347" i="4"/>
  <c r="FH347" i="4"/>
  <c r="EX347" i="4"/>
  <c r="CY347" i="4"/>
  <c r="DK347" i="4"/>
  <c r="EF347" i="4"/>
  <c r="DV347" i="4"/>
  <c r="CR347" i="4"/>
  <c r="CI347" i="4"/>
  <c r="DD347" i="4"/>
  <c r="CT347" i="4"/>
  <c r="GE347" i="4"/>
  <c r="FS347" i="4"/>
  <c r="GG347" i="4"/>
  <c r="FV347" i="4"/>
  <c r="EQ347" i="4"/>
  <c r="FL347" i="4"/>
  <c r="FE347" i="4"/>
  <c r="ET347" i="4"/>
  <c r="DO347" i="4"/>
  <c r="EJ347" i="4"/>
  <c r="EC347" i="4"/>
  <c r="DR347" i="4"/>
  <c r="CM347" i="4"/>
  <c r="DH347" i="4"/>
  <c r="CP347" i="4"/>
  <c r="FQ347" i="4"/>
  <c r="GL347" i="4"/>
  <c r="GC347" i="4"/>
  <c r="FX347" i="4"/>
  <c r="EO347" i="4"/>
  <c r="FJ347" i="4"/>
  <c r="FA347" i="4"/>
  <c r="FC347" i="4"/>
  <c r="DM347" i="4"/>
  <c r="EH347" i="4"/>
  <c r="DY347" i="4"/>
  <c r="EV347" i="4"/>
  <c r="FO347" i="4"/>
  <c r="GJ347" i="4"/>
  <c r="FZ347" i="4"/>
  <c r="DT347" i="4"/>
  <c r="BY248" i="4"/>
  <c r="GL248" i="4"/>
  <c r="GE248" i="4"/>
  <c r="FX248" i="4"/>
  <c r="ET248" i="4"/>
  <c r="FJ248" i="4"/>
  <c r="FC248" i="4"/>
  <c r="EV248" i="4"/>
  <c r="EQ248" i="4"/>
  <c r="EH248" i="4"/>
  <c r="EA248" i="4"/>
  <c r="DT248" i="4"/>
  <c r="DR248" i="4"/>
  <c r="DF248" i="4"/>
  <c r="CY248" i="4"/>
  <c r="CR248" i="4"/>
  <c r="DO248" i="4"/>
  <c r="FO248" i="4"/>
  <c r="GJ248" i="4"/>
  <c r="GC248" i="4"/>
  <c r="FQ248" i="4"/>
  <c r="EM248" i="4"/>
  <c r="FH248" i="4"/>
  <c r="FA248" i="4"/>
  <c r="EO248" i="4"/>
  <c r="DK248" i="4"/>
  <c r="EF248" i="4"/>
  <c r="DY248" i="4"/>
  <c r="DM248" i="4"/>
  <c r="CI248" i="4"/>
  <c r="DD248" i="4"/>
  <c r="CW248" i="4"/>
  <c r="CK248" i="4"/>
  <c r="GN248" i="4"/>
  <c r="GG248" i="4"/>
  <c r="FZ248" i="4"/>
  <c r="CP248" i="4"/>
  <c r="FL248" i="4"/>
  <c r="FE248" i="4"/>
  <c r="EX248" i="4"/>
  <c r="DH248" i="4"/>
  <c r="DA248" i="4"/>
  <c r="CT248" i="4"/>
  <c r="FS248" i="4"/>
  <c r="BW318" i="4"/>
  <c r="CR318" i="4"/>
  <c r="CK318" i="4"/>
  <c r="CW318" i="4"/>
  <c r="CY318" i="4"/>
  <c r="FV318" i="4"/>
  <c r="FO318" i="4"/>
  <c r="FL318" i="4"/>
  <c r="DA318" i="4"/>
  <c r="ET318" i="4"/>
  <c r="EM318" i="4"/>
  <c r="FJ318" i="4"/>
  <c r="GL318" i="4"/>
  <c r="DR318" i="4"/>
  <c r="DK318" i="4"/>
  <c r="FE318" i="4"/>
  <c r="DF318" i="4"/>
  <c r="CP318" i="4"/>
  <c r="CI318" i="4"/>
  <c r="FC318" i="4"/>
  <c r="GG318" i="4"/>
  <c r="FZ318" i="4"/>
  <c r="FS318" i="4"/>
  <c r="GJ318" i="4"/>
  <c r="EX318" i="4"/>
  <c r="EQ318" i="4"/>
  <c r="FH318" i="4"/>
  <c r="DV318" i="4"/>
  <c r="DO318" i="4"/>
  <c r="EF318" i="4"/>
  <c r="EC318" i="4"/>
  <c r="CT318" i="4"/>
  <c r="CM318" i="4"/>
  <c r="DD318" i="4"/>
  <c r="EA318" i="4"/>
  <c r="FX318" i="4"/>
  <c r="FQ318" i="4"/>
  <c r="GC318" i="4"/>
  <c r="GN318" i="4"/>
  <c r="DT318" i="4"/>
  <c r="DM318" i="4"/>
  <c r="DY318" i="4"/>
  <c r="GE318" i="4"/>
  <c r="DD344" i="4"/>
  <c r="CW344" i="4"/>
  <c r="CP344" i="4"/>
  <c r="EM344" i="4"/>
  <c r="GG344" i="4"/>
  <c r="FZ344" i="4"/>
  <c r="FS344" i="4"/>
  <c r="DM344" i="4"/>
  <c r="FE344" i="4"/>
  <c r="EX344" i="4"/>
  <c r="EQ344" i="4"/>
  <c r="DK344" i="4"/>
  <c r="EC344" i="4"/>
  <c r="DV344" i="4"/>
  <c r="DO344" i="4"/>
  <c r="CK344" i="4"/>
  <c r="DA344" i="4"/>
  <c r="CM344" i="4"/>
  <c r="CI344" i="4"/>
  <c r="GL344" i="4"/>
  <c r="GE344" i="4"/>
  <c r="FX344" i="4"/>
  <c r="GN344" i="4"/>
  <c r="FJ344" i="4"/>
  <c r="FC344" i="4"/>
  <c r="EV344" i="4"/>
  <c r="FL344" i="4"/>
  <c r="EH344" i="4"/>
  <c r="DT344" i="4"/>
  <c r="EJ344" i="4"/>
  <c r="DF344" i="4"/>
  <c r="CY344" i="4"/>
  <c r="CR344" i="4"/>
  <c r="DH344" i="4"/>
  <c r="GJ344" i="4"/>
  <c r="GC344" i="4"/>
  <c r="FV344" i="4"/>
  <c r="FQ344" i="4"/>
  <c r="EF344" i="4"/>
  <c r="DY344" i="4"/>
  <c r="DR344" i="4"/>
  <c r="EO344" i="4"/>
  <c r="CG114" i="4"/>
  <c r="DH114" i="4"/>
  <c r="FE114" i="4"/>
  <c r="CW114" i="4"/>
  <c r="DR114" i="4"/>
  <c r="GL114" i="4"/>
  <c r="EC114" i="4"/>
  <c r="DM114" i="4"/>
  <c r="FS114" i="4"/>
  <c r="FJ114" i="4"/>
  <c r="DA114" i="4"/>
  <c r="FZ114" i="4"/>
  <c r="EQ114" i="4"/>
  <c r="EH114" i="4"/>
  <c r="ET114" i="4"/>
  <c r="EX114" i="4"/>
  <c r="DO114" i="4"/>
  <c r="DF114" i="4"/>
  <c r="GE114" i="4"/>
  <c r="DV114" i="4"/>
  <c r="CM114" i="4"/>
  <c r="GJ114" i="4"/>
  <c r="CT114" i="4"/>
  <c r="FO114" i="4"/>
  <c r="FH114" i="4"/>
  <c r="EA114" i="4"/>
  <c r="EO114" i="4"/>
  <c r="EM114" i="4"/>
  <c r="DD114" i="4"/>
  <c r="CK114" i="4"/>
  <c r="EV114" i="4"/>
  <c r="CI114" i="4"/>
  <c r="EJ114" i="4"/>
  <c r="GG114" i="4"/>
  <c r="DY114" i="4"/>
  <c r="FV114" i="4"/>
  <c r="AU34" i="4"/>
  <c r="DH34" i="4"/>
  <c r="FE34" i="4"/>
  <c r="FZ34" i="4"/>
  <c r="CP34" i="4"/>
  <c r="FQ34" i="4"/>
  <c r="EC34" i="4"/>
  <c r="EX34" i="4"/>
  <c r="FS34" i="4"/>
  <c r="DA34" i="4"/>
  <c r="DV34" i="4"/>
  <c r="EQ34" i="4"/>
  <c r="FJ34" i="4"/>
  <c r="CK34" i="4"/>
  <c r="CT34" i="4"/>
  <c r="DO34" i="4"/>
  <c r="EH34" i="4"/>
  <c r="GE34" i="4"/>
  <c r="FX34" i="4"/>
  <c r="CM34" i="4"/>
  <c r="DF34" i="4"/>
  <c r="FC34" i="4"/>
  <c r="EV34" i="4"/>
  <c r="FO34" i="4"/>
  <c r="GJ34" i="4"/>
  <c r="EA34" i="4"/>
  <c r="DT34" i="4"/>
  <c r="EM34" i="4"/>
  <c r="FH34" i="4"/>
  <c r="CY34" i="4"/>
  <c r="CR34" i="4"/>
  <c r="DK34" i="4"/>
  <c r="EF34" i="4"/>
  <c r="GC34" i="4"/>
  <c r="EO34" i="4"/>
  <c r="CI34" i="4"/>
  <c r="GN34" i="4"/>
  <c r="DD34" i="4"/>
  <c r="FA34" i="4"/>
  <c r="FV34" i="4"/>
  <c r="FL34" i="4"/>
  <c r="DM34" i="4"/>
  <c r="DY34" i="4"/>
  <c r="ET34" i="4"/>
  <c r="EJ34" i="4"/>
  <c r="GG34" i="4"/>
  <c r="CW34" i="4"/>
  <c r="DR34" i="4"/>
  <c r="CG126" i="4"/>
  <c r="DV126" i="4"/>
  <c r="CG141" i="4"/>
  <c r="DH141" i="4"/>
  <c r="CG289" i="4"/>
  <c r="CT289" i="4"/>
  <c r="FE128" i="4"/>
  <c r="FA4" i="4"/>
  <c r="GC114" i="4"/>
  <c r="GG80" i="4"/>
  <c r="EO57" i="4"/>
  <c r="FL280" i="4"/>
  <c r="EO136" i="4"/>
  <c r="DY6" i="4"/>
  <c r="FZ18" i="4"/>
  <c r="DD15" i="4"/>
  <c r="GN54" i="4"/>
  <c r="DH318" i="4"/>
  <c r="EQ247" i="4"/>
  <c r="CK376" i="4"/>
  <c r="FO344" i="4"/>
  <c r="FV17" i="4"/>
  <c r="EC315" i="4"/>
  <c r="DY349" i="4"/>
  <c r="FX5" i="4"/>
  <c r="FV248" i="4"/>
  <c r="FV262" i="4"/>
  <c r="FV388" i="4"/>
  <c r="GN388" i="4"/>
  <c r="GE388" i="4"/>
  <c r="ET388" i="4"/>
  <c r="EJ388" i="4"/>
  <c r="FH388" i="4"/>
  <c r="EX388" i="4"/>
  <c r="DH388" i="4"/>
  <c r="DD388" i="4"/>
  <c r="EA388" i="4"/>
  <c r="DR388" i="4"/>
  <c r="DK388" i="4"/>
  <c r="FO388" i="4"/>
  <c r="CT388" i="4"/>
  <c r="FX388" i="4"/>
  <c r="DV388" i="4"/>
  <c r="FS388" i="4"/>
  <c r="EH388" i="4"/>
  <c r="GL388" i="4"/>
  <c r="EM388" i="4"/>
  <c r="EQ388" i="4"/>
  <c r="DA388" i="4"/>
  <c r="FE388" i="4"/>
  <c r="DF388" i="4"/>
  <c r="DO388" i="4"/>
  <c r="FL388" i="4"/>
  <c r="DY388" i="4"/>
  <c r="CP388" i="4"/>
  <c r="EF388" i="4"/>
  <c r="CR388" i="4"/>
  <c r="GJ388" i="4"/>
  <c r="FQ388" i="4"/>
  <c r="CY388" i="4"/>
  <c r="GG388" i="4"/>
  <c r="GC388" i="4"/>
  <c r="EO388" i="4"/>
  <c r="FJ388" i="4"/>
  <c r="FA388" i="4"/>
  <c r="FZ388" i="4"/>
  <c r="DM388" i="4"/>
  <c r="EC388" i="4"/>
  <c r="DT388" i="4"/>
  <c r="FC388" i="4"/>
  <c r="CK388" i="4"/>
  <c r="CW388" i="4"/>
  <c r="CI388" i="4"/>
  <c r="EV388" i="4"/>
  <c r="CR319" i="4"/>
  <c r="CK319" i="4"/>
  <c r="CW319" i="4"/>
  <c r="CY319" i="4"/>
  <c r="FV319" i="4"/>
  <c r="FO319" i="4"/>
  <c r="EJ319" i="4"/>
  <c r="FL319" i="4"/>
  <c r="ET319" i="4"/>
  <c r="EM319" i="4"/>
  <c r="EH319" i="4"/>
  <c r="FC319" i="4"/>
  <c r="DR319" i="4"/>
  <c r="DK319" i="4"/>
  <c r="EC319" i="4"/>
  <c r="FJ319" i="4"/>
  <c r="CP319" i="4"/>
  <c r="CI319" i="4"/>
  <c r="EA319" i="4"/>
  <c r="FE319" i="4"/>
  <c r="FZ319" i="4"/>
  <c r="FS319" i="4"/>
  <c r="GJ319" i="4"/>
  <c r="GN319" i="4"/>
  <c r="EX319" i="4"/>
  <c r="EQ319" i="4"/>
  <c r="FH319" i="4"/>
  <c r="DH319" i="4"/>
  <c r="DV319" i="4"/>
  <c r="EF319" i="4"/>
  <c r="GL319" i="4"/>
  <c r="CT319" i="4"/>
  <c r="CM319" i="4"/>
  <c r="DD319" i="4"/>
  <c r="DF319" i="4"/>
  <c r="FX319" i="4"/>
  <c r="FQ319" i="4"/>
  <c r="GC319" i="4"/>
  <c r="GG319" i="4"/>
  <c r="DT319" i="4"/>
  <c r="DY319" i="4"/>
  <c r="GE319" i="4"/>
  <c r="FV377" i="4"/>
  <c r="DH377" i="4"/>
  <c r="CY377" i="4"/>
  <c r="FH377" i="4"/>
  <c r="ET377" i="4"/>
  <c r="GE377" i="4"/>
  <c r="FO377" i="4"/>
  <c r="EA377" i="4"/>
  <c r="DR377" i="4"/>
  <c r="EO377" i="4"/>
  <c r="EF377" i="4"/>
  <c r="CK377" i="4"/>
  <c r="CP377" i="4"/>
  <c r="DF377" i="4"/>
  <c r="CW377" i="4"/>
  <c r="DY377" i="4"/>
  <c r="FZ377" i="4"/>
  <c r="GL377" i="4"/>
  <c r="GC377" i="4"/>
  <c r="FL377" i="4"/>
  <c r="EX377" i="4"/>
  <c r="FC377" i="4"/>
  <c r="EM377" i="4"/>
  <c r="EC377" i="4"/>
  <c r="DV377" i="4"/>
  <c r="DM377" i="4"/>
  <c r="DD377" i="4"/>
  <c r="CM377" i="4"/>
  <c r="CT377" i="4"/>
  <c r="GJ377" i="4"/>
  <c r="FS377" i="4"/>
  <c r="GN377" i="4"/>
  <c r="FX377" i="4"/>
  <c r="FA377" i="4"/>
  <c r="FE377" i="4"/>
  <c r="EV377" i="4"/>
  <c r="DK377" i="4"/>
  <c r="DA377" i="4"/>
  <c r="DO377" i="4"/>
  <c r="DT377" i="4"/>
  <c r="GG377" i="4"/>
  <c r="FQ377" i="4"/>
  <c r="CI377" i="4"/>
  <c r="CR377" i="4"/>
  <c r="EQ377" i="4"/>
  <c r="FJ377" i="4"/>
  <c r="DD375" i="4"/>
  <c r="CW375" i="4"/>
  <c r="CP375" i="4"/>
  <c r="FO375" i="4"/>
  <c r="GL375" i="4"/>
  <c r="GE375" i="4"/>
  <c r="FS375" i="4"/>
  <c r="EO375" i="4"/>
  <c r="FE375" i="4"/>
  <c r="EQ375" i="4"/>
  <c r="DM375" i="4"/>
  <c r="EC375" i="4"/>
  <c r="DV375" i="4"/>
  <c r="DO375" i="4"/>
  <c r="EM375" i="4"/>
  <c r="FZ375" i="4"/>
  <c r="DA375" i="4"/>
  <c r="CT375" i="4"/>
  <c r="CM375" i="4"/>
  <c r="FX375" i="4"/>
  <c r="GJ375" i="4"/>
  <c r="GC375" i="4"/>
  <c r="FL375" i="4"/>
  <c r="FJ375" i="4"/>
  <c r="FC375" i="4"/>
  <c r="EV375" i="4"/>
  <c r="EJ375" i="4"/>
  <c r="EH375" i="4"/>
  <c r="EA375" i="4"/>
  <c r="DT375" i="4"/>
  <c r="DH375" i="4"/>
  <c r="DF375" i="4"/>
  <c r="CY375" i="4"/>
  <c r="CR375" i="4"/>
  <c r="DK375" i="4"/>
  <c r="GN375" i="4"/>
  <c r="GG375" i="4"/>
  <c r="FV375" i="4"/>
  <c r="CK375" i="4"/>
  <c r="EF375" i="4"/>
  <c r="DY375" i="4"/>
  <c r="DR375" i="4"/>
  <c r="FQ375" i="4"/>
  <c r="EM219" i="4"/>
  <c r="FH219" i="4"/>
  <c r="DR219" i="4"/>
  <c r="DY219" i="4"/>
  <c r="DK219" i="4"/>
  <c r="EF219" i="4"/>
  <c r="GE219" i="4"/>
  <c r="EV219" i="4"/>
  <c r="CI219" i="4"/>
  <c r="DD219" i="4"/>
  <c r="CY219" i="4"/>
  <c r="EA219" i="4"/>
  <c r="FS219" i="4"/>
  <c r="GN219" i="4"/>
  <c r="GG219" i="4"/>
  <c r="GC219" i="4"/>
  <c r="EQ219" i="4"/>
  <c r="FL219" i="4"/>
  <c r="FE219" i="4"/>
  <c r="CW219" i="4"/>
  <c r="DO219" i="4"/>
  <c r="EJ219" i="4"/>
  <c r="EC219" i="4"/>
  <c r="FX219" i="4"/>
  <c r="CM219" i="4"/>
  <c r="DH219" i="4"/>
  <c r="DA219" i="4"/>
  <c r="CR219" i="4"/>
  <c r="FQ219" i="4"/>
  <c r="FZ219" i="4"/>
  <c r="FV219" i="4"/>
  <c r="EO219" i="4"/>
  <c r="FJ219" i="4"/>
  <c r="EX219" i="4"/>
  <c r="CP219" i="4"/>
  <c r="DM219" i="4"/>
  <c r="EH219" i="4"/>
  <c r="DV219" i="4"/>
  <c r="FC219" i="4"/>
  <c r="FO219" i="4"/>
  <c r="DT219" i="4"/>
  <c r="ET219" i="4"/>
  <c r="DR12" i="4"/>
  <c r="DH42" i="4"/>
  <c r="DA42" i="4"/>
  <c r="EX42" i="4"/>
  <c r="FS42" i="4"/>
  <c r="GL42" i="4"/>
  <c r="EO42" i="4"/>
  <c r="DV42" i="4"/>
  <c r="EQ42" i="4"/>
  <c r="FJ42" i="4"/>
  <c r="GE42" i="4"/>
  <c r="CT42" i="4"/>
  <c r="EH42" i="4"/>
  <c r="FC42" i="4"/>
  <c r="FX42" i="4"/>
  <c r="CM42" i="4"/>
  <c r="DF42" i="4"/>
  <c r="EA42" i="4"/>
  <c r="EV42" i="4"/>
  <c r="CK42" i="4"/>
  <c r="GJ42" i="4"/>
  <c r="CY42" i="4"/>
  <c r="DT42" i="4"/>
  <c r="FO42" i="4"/>
  <c r="FH42" i="4"/>
  <c r="GC42" i="4"/>
  <c r="CR42" i="4"/>
  <c r="EM42" i="4"/>
  <c r="DD42" i="4"/>
  <c r="DY42" i="4"/>
  <c r="FV42" i="4"/>
  <c r="CI42" i="4"/>
  <c r="EJ42" i="4"/>
  <c r="EC42" i="4"/>
  <c r="FZ42" i="4"/>
  <c r="CP42" i="4"/>
  <c r="EF29" i="4"/>
  <c r="CY29" i="4"/>
  <c r="DT29" i="4"/>
  <c r="CI29" i="4"/>
  <c r="DD29" i="4"/>
  <c r="GC29" i="4"/>
  <c r="ET29" i="4"/>
  <c r="DM29" i="4"/>
  <c r="GN29" i="4"/>
  <c r="FA29" i="4"/>
  <c r="CP29" i="4"/>
  <c r="FL29" i="4"/>
  <c r="FE29" i="4"/>
  <c r="DY29" i="4"/>
  <c r="EO29" i="4"/>
  <c r="EJ29" i="4"/>
  <c r="EC29" i="4"/>
  <c r="CW29" i="4"/>
  <c r="FS29" i="4"/>
  <c r="DH29" i="4"/>
  <c r="DA29" i="4"/>
  <c r="FZ29" i="4"/>
  <c r="EQ29" i="4"/>
  <c r="GL29" i="4"/>
  <c r="FV29" i="4"/>
  <c r="EX29" i="4"/>
  <c r="DO29" i="4"/>
  <c r="EH29" i="4"/>
  <c r="FQ29" i="4"/>
  <c r="CT29" i="4"/>
  <c r="CK29" i="4"/>
  <c r="FH29" i="4"/>
  <c r="EA29" i="4"/>
  <c r="FX29" i="4"/>
  <c r="DK29" i="4"/>
  <c r="EH48" i="4"/>
  <c r="EA48" i="4"/>
  <c r="EV48" i="4"/>
  <c r="CK48" i="4"/>
  <c r="DF48" i="4"/>
  <c r="CY48" i="4"/>
  <c r="DV48" i="4"/>
  <c r="FO48" i="4"/>
  <c r="GJ48" i="4"/>
  <c r="GC48" i="4"/>
  <c r="DT48" i="4"/>
  <c r="EM48" i="4"/>
  <c r="FH48" i="4"/>
  <c r="FA48" i="4"/>
  <c r="CT48" i="4"/>
  <c r="DK48" i="4"/>
  <c r="EF48" i="4"/>
  <c r="DY48" i="4"/>
  <c r="CR48" i="4"/>
  <c r="CI48" i="4"/>
  <c r="DD48" i="4"/>
  <c r="CW48" i="4"/>
  <c r="FZ48" i="4"/>
  <c r="FS48" i="4"/>
  <c r="GN48" i="4"/>
  <c r="GG48" i="4"/>
  <c r="FV48" i="4"/>
  <c r="EJ48" i="4"/>
  <c r="EC48" i="4"/>
  <c r="DR48" i="4"/>
  <c r="EO48" i="4"/>
  <c r="FJ48" i="4"/>
  <c r="FC48" i="4"/>
  <c r="EX48" i="4"/>
  <c r="CE58" i="4"/>
  <c r="DK58" i="4"/>
  <c r="ET58" i="4"/>
  <c r="EX58" i="4"/>
  <c r="CI58" i="4"/>
  <c r="DD58" i="4"/>
  <c r="DR58" i="4"/>
  <c r="EV58" i="4"/>
  <c r="FS58" i="4"/>
  <c r="GN58" i="4"/>
  <c r="GG58" i="4"/>
  <c r="CP58" i="4"/>
  <c r="EQ58" i="4"/>
  <c r="FL58" i="4"/>
  <c r="FE58" i="4"/>
  <c r="EA58" i="4"/>
  <c r="DO58" i="4"/>
  <c r="EC58" i="4"/>
  <c r="DV58" i="4"/>
  <c r="CM58" i="4"/>
  <c r="DH58" i="4"/>
  <c r="DA58" i="4"/>
  <c r="DT58" i="4"/>
  <c r="FQ58" i="4"/>
  <c r="GL58" i="4"/>
  <c r="GE58" i="4"/>
  <c r="CY58" i="4"/>
  <c r="EO58" i="4"/>
  <c r="FJ58" i="4"/>
  <c r="GC58" i="4"/>
  <c r="CT58" i="4"/>
  <c r="DM58" i="4"/>
  <c r="EH58" i="4"/>
  <c r="FA58" i="4"/>
  <c r="CR58" i="4"/>
  <c r="EM58" i="4"/>
  <c r="FH58" i="4"/>
  <c r="FV58" i="4"/>
  <c r="FC58" i="4"/>
  <c r="HU27" i="4"/>
  <c r="DM27" i="4"/>
  <c r="EH27" i="4"/>
  <c r="DY27" i="4"/>
  <c r="GE27" i="4"/>
  <c r="CK27" i="4"/>
  <c r="DF27" i="4"/>
  <c r="CW27" i="4"/>
  <c r="FZ27" i="4"/>
  <c r="FO27" i="4"/>
  <c r="GJ27" i="4"/>
  <c r="FV27" i="4"/>
  <c r="FX27" i="4"/>
  <c r="EM27" i="4"/>
  <c r="FH27" i="4"/>
  <c r="ET27" i="4"/>
  <c r="FC27" i="4"/>
  <c r="DK27" i="4"/>
  <c r="EF27" i="4"/>
  <c r="DR27" i="4"/>
  <c r="EX27" i="4"/>
  <c r="CI27" i="4"/>
  <c r="DD27" i="4"/>
  <c r="CP27" i="4"/>
  <c r="EV27" i="4"/>
  <c r="FS27" i="4"/>
  <c r="GN27" i="4"/>
  <c r="GG27" i="4"/>
  <c r="EA27" i="4"/>
  <c r="EQ27" i="4"/>
  <c r="FL27" i="4"/>
  <c r="DV27" i="4"/>
  <c r="DO27" i="4"/>
  <c r="EJ27" i="4"/>
  <c r="EC27" i="4"/>
  <c r="DT27" i="4"/>
  <c r="EO27" i="4"/>
  <c r="FJ27" i="4"/>
  <c r="FA27" i="4"/>
  <c r="CR27" i="4"/>
  <c r="GG128" i="4"/>
  <c r="CY4" i="4"/>
  <c r="CY114" i="4"/>
  <c r="FA42" i="4"/>
  <c r="EM29" i="4"/>
  <c r="DO280" i="4"/>
  <c r="DT136" i="4"/>
  <c r="DA48" i="4"/>
  <c r="FA6" i="4"/>
  <c r="CW18" i="4"/>
  <c r="EF15" i="4"/>
  <c r="CI54" i="4"/>
  <c r="FX58" i="4"/>
  <c r="FA318" i="4"/>
  <c r="EX247" i="4"/>
  <c r="FQ376" i="4"/>
  <c r="ET344" i="4"/>
  <c r="GC17" i="4"/>
  <c r="FH375" i="4"/>
  <c r="EA347" i="4"/>
  <c r="DV248" i="4"/>
  <c r="DT262" i="4"/>
  <c r="DM360" i="4"/>
  <c r="EX360" i="4"/>
  <c r="EF360" i="4"/>
  <c r="FE360" i="4"/>
  <c r="CK360" i="4"/>
  <c r="DH360" i="4"/>
  <c r="CW360" i="4"/>
  <c r="FO360" i="4"/>
  <c r="GJ360" i="4"/>
  <c r="FX360" i="4"/>
  <c r="DV360" i="4"/>
  <c r="EM360" i="4"/>
  <c r="EV360" i="4"/>
  <c r="EA360" i="4"/>
  <c r="DT360" i="4"/>
  <c r="GN360" i="4"/>
  <c r="DD360" i="4"/>
  <c r="CR360" i="4"/>
  <c r="CT360" i="4"/>
  <c r="FL360" i="4"/>
  <c r="GG360" i="4"/>
  <c r="FV360" i="4"/>
  <c r="CI360" i="4"/>
  <c r="FS360" i="4"/>
  <c r="GL360" i="4"/>
  <c r="ET360" i="4"/>
  <c r="EQ360" i="4"/>
  <c r="FJ360" i="4"/>
  <c r="DA360" i="4"/>
  <c r="CP360" i="4"/>
  <c r="DO360" i="4"/>
  <c r="EH360" i="4"/>
  <c r="GE360" i="4"/>
  <c r="FC360" i="4"/>
  <c r="CM360" i="4"/>
  <c r="DF360" i="4"/>
  <c r="EJ360" i="4"/>
  <c r="DR360" i="4"/>
  <c r="FQ360" i="4"/>
  <c r="FA360" i="4"/>
  <c r="CY360" i="4"/>
  <c r="FZ360" i="4"/>
  <c r="EO360" i="4"/>
  <c r="DK360" i="4"/>
  <c r="GC360" i="4"/>
  <c r="FH360" i="4"/>
  <c r="FO267" i="4"/>
  <c r="GJ267" i="4"/>
  <c r="FX267" i="4"/>
  <c r="CW267" i="4"/>
  <c r="EM267" i="4"/>
  <c r="FH267" i="4"/>
  <c r="CR267" i="4"/>
  <c r="GE267" i="4"/>
  <c r="DK267" i="4"/>
  <c r="EF267" i="4"/>
  <c r="FV267" i="4"/>
  <c r="DT267" i="4"/>
  <c r="CI267" i="4"/>
  <c r="DD267" i="4"/>
  <c r="CP267" i="4"/>
  <c r="CY267" i="4"/>
  <c r="FS267" i="4"/>
  <c r="GN267" i="4"/>
  <c r="GG267" i="4"/>
  <c r="FC267" i="4"/>
  <c r="EQ267" i="4"/>
  <c r="FL267" i="4"/>
  <c r="FE267" i="4"/>
  <c r="FA267" i="4"/>
  <c r="DO267" i="4"/>
  <c r="EJ267" i="4"/>
  <c r="EC267" i="4"/>
  <c r="EV267" i="4"/>
  <c r="CM267" i="4"/>
  <c r="DH267" i="4"/>
  <c r="DA267" i="4"/>
  <c r="ET267" i="4"/>
  <c r="FQ267" i="4"/>
  <c r="GL267" i="4"/>
  <c r="FZ267" i="4"/>
  <c r="EA267" i="4"/>
  <c r="EO267" i="4"/>
  <c r="FJ267" i="4"/>
  <c r="EX267" i="4"/>
  <c r="DY267" i="4"/>
  <c r="DM267" i="4"/>
  <c r="EH267" i="4"/>
  <c r="DR267" i="4"/>
  <c r="CK267" i="4"/>
  <c r="DF267" i="4"/>
  <c r="CT267" i="4"/>
  <c r="GC267" i="4"/>
  <c r="EC110" i="4"/>
  <c r="DH110" i="4"/>
  <c r="CW110" i="4"/>
  <c r="FQ110" i="4"/>
  <c r="GE110" i="4"/>
  <c r="ET110" i="4"/>
  <c r="FV110" i="4"/>
  <c r="FO110" i="4"/>
  <c r="FC110" i="4"/>
  <c r="DF110" i="4"/>
  <c r="DR110" i="4"/>
  <c r="EA110" i="4"/>
  <c r="EQ110" i="4"/>
  <c r="CT110" i="4"/>
  <c r="DO110" i="4"/>
  <c r="GL110" i="4"/>
  <c r="GC110" i="4"/>
  <c r="DD110" i="4"/>
  <c r="FS110" i="4"/>
  <c r="FJ110" i="4"/>
  <c r="FZ110" i="4"/>
  <c r="EO110" i="4"/>
  <c r="DT110" i="4"/>
  <c r="EH110" i="4"/>
  <c r="EX110" i="4"/>
  <c r="DA110" i="4"/>
  <c r="CR110" i="4"/>
  <c r="GJ110" i="4"/>
  <c r="DV110" i="4"/>
  <c r="GN110" i="4"/>
  <c r="FL110" i="4"/>
  <c r="FH110" i="4"/>
  <c r="FA110" i="4"/>
  <c r="EM110" i="4"/>
  <c r="DM110" i="4"/>
  <c r="EF110" i="4"/>
  <c r="DK110" i="4"/>
  <c r="CY110" i="4"/>
  <c r="CK110" i="4"/>
  <c r="FE110" i="4"/>
  <c r="EV110" i="4"/>
  <c r="EJ110" i="4"/>
  <c r="CM110" i="4"/>
  <c r="EM324" i="4"/>
  <c r="GJ324" i="4"/>
  <c r="FZ324" i="4"/>
  <c r="DD324" i="4"/>
  <c r="DK324" i="4"/>
  <c r="EV324" i="4"/>
  <c r="EA324" i="4"/>
  <c r="FC324" i="4"/>
  <c r="GN324" i="4"/>
  <c r="CW324" i="4"/>
  <c r="CI324" i="4"/>
  <c r="FE324" i="4"/>
  <c r="FS324" i="4"/>
  <c r="FL324" i="4"/>
  <c r="GG324" i="4"/>
  <c r="FX324" i="4"/>
  <c r="EQ324" i="4"/>
  <c r="EJ324" i="4"/>
  <c r="ET324" i="4"/>
  <c r="DY324" i="4"/>
  <c r="DO324" i="4"/>
  <c r="DH324" i="4"/>
  <c r="CT324" i="4"/>
  <c r="FV324" i="4"/>
  <c r="GL324" i="4"/>
  <c r="GE324" i="4"/>
  <c r="DV324" i="4"/>
  <c r="FQ324" i="4"/>
  <c r="FJ324" i="4"/>
  <c r="EF324" i="4"/>
  <c r="FH324" i="4"/>
  <c r="EO324" i="4"/>
  <c r="EH324" i="4"/>
  <c r="CR324" i="4"/>
  <c r="DT324" i="4"/>
  <c r="DM324" i="4"/>
  <c r="DF324" i="4"/>
  <c r="GC324" i="4"/>
  <c r="FA324" i="4"/>
  <c r="FO324" i="4"/>
  <c r="CY324" i="4"/>
  <c r="CP324" i="4"/>
  <c r="DR324" i="4"/>
  <c r="CK113" i="4"/>
  <c r="DF113" i="4"/>
  <c r="CT113" i="4"/>
  <c r="FA113" i="4"/>
  <c r="FO113" i="4"/>
  <c r="GJ113" i="4"/>
  <c r="DT113" i="4"/>
  <c r="ET113" i="4"/>
  <c r="EM113" i="4"/>
  <c r="FH113" i="4"/>
  <c r="DR113" i="4"/>
  <c r="DY113" i="4"/>
  <c r="DK113" i="4"/>
  <c r="GE113" i="4"/>
  <c r="EV113" i="4"/>
  <c r="CI113" i="4"/>
  <c r="DD113" i="4"/>
  <c r="CY113" i="4"/>
  <c r="EA113" i="4"/>
  <c r="FS113" i="4"/>
  <c r="GN113" i="4"/>
  <c r="GG113" i="4"/>
  <c r="GC113" i="4"/>
  <c r="EQ113" i="4"/>
  <c r="FL113" i="4"/>
  <c r="FE113" i="4"/>
  <c r="CW113" i="4"/>
  <c r="DO113" i="4"/>
  <c r="EC113" i="4"/>
  <c r="FX113" i="4"/>
  <c r="CM113" i="4"/>
  <c r="DH113" i="4"/>
  <c r="DA113" i="4"/>
  <c r="CR113" i="4"/>
  <c r="FQ113" i="4"/>
  <c r="GL113" i="4"/>
  <c r="FZ113" i="4"/>
  <c r="FV113" i="4"/>
  <c r="DM113" i="4"/>
  <c r="EH113" i="4"/>
  <c r="DV113" i="4"/>
  <c r="FC113" i="4"/>
  <c r="CM80" i="4"/>
  <c r="DH80" i="4"/>
  <c r="DA80" i="4"/>
  <c r="CP80" i="4"/>
  <c r="FQ80" i="4"/>
  <c r="GL80" i="4"/>
  <c r="GE80" i="4"/>
  <c r="FX80" i="4"/>
  <c r="EO80" i="4"/>
  <c r="FJ80" i="4"/>
  <c r="FC80" i="4"/>
  <c r="DM80" i="4"/>
  <c r="EH80" i="4"/>
  <c r="EA80" i="4"/>
  <c r="EV80" i="4"/>
  <c r="CK80" i="4"/>
  <c r="DF80" i="4"/>
  <c r="CY80" i="4"/>
  <c r="DV80" i="4"/>
  <c r="FO80" i="4"/>
  <c r="GJ80" i="4"/>
  <c r="GC80" i="4"/>
  <c r="DT80" i="4"/>
  <c r="EM80" i="4"/>
  <c r="FH80" i="4"/>
  <c r="FA80" i="4"/>
  <c r="CT80" i="4"/>
  <c r="CI80" i="4"/>
  <c r="DD80" i="4"/>
  <c r="CW80" i="4"/>
  <c r="FZ80" i="4"/>
  <c r="DO80" i="4"/>
  <c r="EJ80" i="4"/>
  <c r="EC80" i="4"/>
  <c r="DR80" i="4"/>
  <c r="DK57" i="4"/>
  <c r="EF57" i="4"/>
  <c r="DR57" i="4"/>
  <c r="FC57" i="4"/>
  <c r="CI57" i="4"/>
  <c r="DD57" i="4"/>
  <c r="CP57" i="4"/>
  <c r="EV57" i="4"/>
  <c r="FS57" i="4"/>
  <c r="GN57" i="4"/>
  <c r="GG57" i="4"/>
  <c r="EA57" i="4"/>
  <c r="FL57" i="4"/>
  <c r="FE57" i="4"/>
  <c r="DV57" i="4"/>
  <c r="DO57" i="4"/>
  <c r="EJ57" i="4"/>
  <c r="EC57" i="4"/>
  <c r="DT57" i="4"/>
  <c r="CM57" i="4"/>
  <c r="DH57" i="4"/>
  <c r="DA57" i="4"/>
  <c r="CY57" i="4"/>
  <c r="FQ57" i="4"/>
  <c r="GL57" i="4"/>
  <c r="GC57" i="4"/>
  <c r="EX57" i="4"/>
  <c r="DM57" i="4"/>
  <c r="EH57" i="4"/>
  <c r="DY57" i="4"/>
  <c r="CR57" i="4"/>
  <c r="EM57" i="4"/>
  <c r="FH57" i="4"/>
  <c r="ET57" i="4"/>
  <c r="FX57" i="4"/>
  <c r="CE106" i="4"/>
  <c r="EA106" i="4"/>
  <c r="EF128" i="4"/>
  <c r="ET4" i="4"/>
  <c r="FQ114" i="4"/>
  <c r="FE42" i="4"/>
  <c r="FL80" i="4"/>
  <c r="FO29" i="4"/>
  <c r="GE57" i="4"/>
  <c r="DV136" i="4"/>
  <c r="FE48" i="4"/>
  <c r="FV6" i="4"/>
  <c r="FA18" i="4"/>
  <c r="GJ15" i="4"/>
  <c r="EM54" i="4"/>
  <c r="FZ58" i="4"/>
  <c r="EO318" i="4"/>
  <c r="GG376" i="4"/>
  <c r="FA344" i="4"/>
  <c r="FC204" i="4"/>
  <c r="ET104" i="4"/>
  <c r="CP110" i="4"/>
  <c r="FE379" i="4"/>
  <c r="EC324" i="4"/>
  <c r="CW347" i="4"/>
  <c r="EC248" i="4"/>
  <c r="CE381" i="4"/>
  <c r="DM381" i="4"/>
  <c r="EH381" i="4"/>
  <c r="DV381" i="4"/>
  <c r="FV381" i="4"/>
  <c r="CK381" i="4"/>
  <c r="DF381" i="4"/>
  <c r="CT381" i="4"/>
  <c r="CP381" i="4"/>
  <c r="FO381" i="4"/>
  <c r="GJ381" i="4"/>
  <c r="EV381" i="4"/>
  <c r="FA381" i="4"/>
  <c r="EM381" i="4"/>
  <c r="FH381" i="4"/>
  <c r="ET381" i="4"/>
  <c r="FX381" i="4"/>
  <c r="DK381" i="4"/>
  <c r="EF381" i="4"/>
  <c r="EA381" i="4"/>
  <c r="FC381" i="4"/>
  <c r="CI381" i="4"/>
  <c r="DD381" i="4"/>
  <c r="DY381" i="4"/>
  <c r="CR381" i="4"/>
  <c r="FS381" i="4"/>
  <c r="GN381" i="4"/>
  <c r="GG381" i="4"/>
  <c r="DT381" i="4"/>
  <c r="EQ381" i="4"/>
  <c r="FL381" i="4"/>
  <c r="FE381" i="4"/>
  <c r="DR381" i="4"/>
  <c r="DO381" i="4"/>
  <c r="EC381" i="4"/>
  <c r="GE381" i="4"/>
  <c r="CM381" i="4"/>
  <c r="DH381" i="4"/>
  <c r="DA381" i="4"/>
  <c r="CY381" i="4"/>
  <c r="FQ381" i="4"/>
  <c r="GL381" i="4"/>
  <c r="FZ381" i="4"/>
  <c r="GC381" i="4"/>
  <c r="EO381" i="4"/>
  <c r="FJ381" i="4"/>
  <c r="EX381" i="4"/>
  <c r="CW381" i="4"/>
  <c r="GG362" i="4"/>
  <c r="DM362" i="4"/>
  <c r="CW362" i="4"/>
  <c r="EJ362" i="4"/>
  <c r="FE362" i="4"/>
  <c r="GN362" i="4"/>
  <c r="FQ362" i="4"/>
  <c r="DV362" i="4"/>
  <c r="EC362" i="4"/>
  <c r="ET362" i="4"/>
  <c r="EA362" i="4"/>
  <c r="CT362" i="4"/>
  <c r="DA362" i="4"/>
  <c r="DK362" i="4"/>
  <c r="CM362" i="4"/>
  <c r="GL362" i="4"/>
  <c r="GE362" i="4"/>
  <c r="FZ362" i="4"/>
  <c r="FO362" i="4"/>
  <c r="FJ362" i="4"/>
  <c r="GC362" i="4"/>
  <c r="EQ362" i="4"/>
  <c r="DY362" i="4"/>
  <c r="EH362" i="4"/>
  <c r="FA362" i="4"/>
  <c r="DH362" i="4"/>
  <c r="DF362" i="4"/>
  <c r="DR362" i="4"/>
  <c r="FX362" i="4"/>
  <c r="FC362" i="4"/>
  <c r="GJ362" i="4"/>
  <c r="CI362" i="4"/>
  <c r="EO362" i="4"/>
  <c r="DT362" i="4"/>
  <c r="FH362" i="4"/>
  <c r="EX362" i="4"/>
  <c r="CY362" i="4"/>
  <c r="CK362" i="4"/>
  <c r="EF362" i="4"/>
  <c r="DO362" i="4"/>
  <c r="FV362" i="4"/>
  <c r="FS362" i="4"/>
  <c r="DD362" i="4"/>
  <c r="EV362" i="4"/>
  <c r="EM362" i="4"/>
  <c r="FL362" i="4"/>
  <c r="BY262" i="4"/>
  <c r="GL262" i="4"/>
  <c r="GE262" i="4"/>
  <c r="FQ262" i="4"/>
  <c r="ET262" i="4"/>
  <c r="FJ262" i="4"/>
  <c r="FC262" i="4"/>
  <c r="EO262" i="4"/>
  <c r="FS262" i="4"/>
  <c r="EH262" i="4"/>
  <c r="EA262" i="4"/>
  <c r="DM262" i="4"/>
  <c r="DV262" i="4"/>
  <c r="DF262" i="4"/>
  <c r="CY262" i="4"/>
  <c r="CK262" i="4"/>
  <c r="EQ262" i="4"/>
  <c r="FO262" i="4"/>
  <c r="GJ262" i="4"/>
  <c r="GC262" i="4"/>
  <c r="DR262" i="4"/>
  <c r="EM262" i="4"/>
  <c r="FH262" i="4"/>
  <c r="DO262" i="4"/>
  <c r="DK262" i="4"/>
  <c r="EF262" i="4"/>
  <c r="DY262" i="4"/>
  <c r="CT262" i="4"/>
  <c r="CI262" i="4"/>
  <c r="DD262" i="4"/>
  <c r="CW262" i="4"/>
  <c r="CP262" i="4"/>
  <c r="GN262" i="4"/>
  <c r="GG262" i="4"/>
  <c r="FX262" i="4"/>
  <c r="CM262" i="4"/>
  <c r="FL262" i="4"/>
  <c r="EV262" i="4"/>
  <c r="FZ262" i="4"/>
  <c r="DH262" i="4"/>
  <c r="DA262" i="4"/>
  <c r="CR262" i="4"/>
  <c r="EX262" i="4"/>
  <c r="BW247" i="4"/>
  <c r="DH247" i="4"/>
  <c r="CT247" i="4"/>
  <c r="DO247" i="4"/>
  <c r="GL247" i="4"/>
  <c r="GE247" i="4"/>
  <c r="FX247" i="4"/>
  <c r="CP247" i="4"/>
  <c r="FJ247" i="4"/>
  <c r="FC247" i="4"/>
  <c r="EV247" i="4"/>
  <c r="CM247" i="4"/>
  <c r="EH247" i="4"/>
  <c r="EA247" i="4"/>
  <c r="DT247" i="4"/>
  <c r="FV247" i="4"/>
  <c r="DF247" i="4"/>
  <c r="CR247" i="4"/>
  <c r="FS247" i="4"/>
  <c r="FO247" i="4"/>
  <c r="GJ247" i="4"/>
  <c r="GC247" i="4"/>
  <c r="FQ247" i="4"/>
  <c r="EM247" i="4"/>
  <c r="FH247" i="4"/>
  <c r="FA247" i="4"/>
  <c r="EO247" i="4"/>
  <c r="DK247" i="4"/>
  <c r="EF247" i="4"/>
  <c r="DY247" i="4"/>
  <c r="DM247" i="4"/>
  <c r="CI247" i="4"/>
  <c r="DD247" i="4"/>
  <c r="CW247" i="4"/>
  <c r="CK247" i="4"/>
  <c r="GN247" i="4"/>
  <c r="GG247" i="4"/>
  <c r="FZ247" i="4"/>
  <c r="ET247" i="4"/>
  <c r="EJ247" i="4"/>
  <c r="EC247" i="4"/>
  <c r="DV247" i="4"/>
  <c r="DR247" i="4"/>
  <c r="EH280" i="4"/>
  <c r="EA280" i="4"/>
  <c r="DT280" i="4"/>
  <c r="CP280" i="4"/>
  <c r="DF280" i="4"/>
  <c r="CY280" i="4"/>
  <c r="CM280" i="4"/>
  <c r="CR280" i="4"/>
  <c r="FO280" i="4"/>
  <c r="GJ280" i="4"/>
  <c r="GC280" i="4"/>
  <c r="FV280" i="4"/>
  <c r="EM280" i="4"/>
  <c r="FH280" i="4"/>
  <c r="FA280" i="4"/>
  <c r="CK280" i="4"/>
  <c r="DK280" i="4"/>
  <c r="EF280" i="4"/>
  <c r="DY280" i="4"/>
  <c r="FS280" i="4"/>
  <c r="CI280" i="4"/>
  <c r="DD280" i="4"/>
  <c r="CW280" i="4"/>
  <c r="FQ280" i="4"/>
  <c r="GN280" i="4"/>
  <c r="GG280" i="4"/>
  <c r="FZ280" i="4"/>
  <c r="EJ280" i="4"/>
  <c r="EC280" i="4"/>
  <c r="DV280" i="4"/>
  <c r="EO280" i="4"/>
  <c r="FJ280" i="4"/>
  <c r="FC280" i="4"/>
  <c r="DM280" i="4"/>
  <c r="CG131" i="4"/>
  <c r="EQ131" i="4"/>
  <c r="CE94" i="4"/>
  <c r="DM94" i="4"/>
  <c r="CI128" i="4"/>
  <c r="EF4" i="4"/>
  <c r="CP114" i="4"/>
  <c r="GG42" i="4"/>
  <c r="GN80" i="4"/>
  <c r="CM29" i="4"/>
  <c r="CT57" i="4"/>
  <c r="EQ280" i="4"/>
  <c r="GL48" i="4"/>
  <c r="EC6" i="4"/>
  <c r="DA18" i="4"/>
  <c r="GN15" i="4"/>
  <c r="FS54" i="4"/>
  <c r="CW58" i="4"/>
  <c r="EV318" i="4"/>
  <c r="FL247" i="4"/>
  <c r="FH344" i="4"/>
  <c r="FS155" i="4"/>
  <c r="EX204" i="4"/>
  <c r="DV104" i="4"/>
  <c r="FX110" i="4"/>
  <c r="FV379" i="4"/>
  <c r="EX324" i="4"/>
  <c r="DF347" i="4"/>
  <c r="EJ248" i="4"/>
  <c r="EJ262" i="4"/>
  <c r="GL226" i="4"/>
  <c r="GE226" i="4"/>
  <c r="CT226" i="4"/>
  <c r="GC226" i="4"/>
  <c r="FJ226" i="4"/>
  <c r="EV226" i="4"/>
  <c r="DT226" i="4"/>
  <c r="EH226" i="4"/>
  <c r="EA226" i="4"/>
  <c r="CR226" i="4"/>
  <c r="FX226" i="4"/>
  <c r="DF226" i="4"/>
  <c r="CY226" i="4"/>
  <c r="ET226" i="4"/>
  <c r="DV226" i="4"/>
  <c r="FO226" i="4"/>
  <c r="GJ226" i="4"/>
  <c r="FZ226" i="4"/>
  <c r="CP226" i="4"/>
  <c r="EM226" i="4"/>
  <c r="FH226" i="4"/>
  <c r="FS226" i="4"/>
  <c r="EQ226" i="4"/>
  <c r="DK226" i="4"/>
  <c r="EF226" i="4"/>
  <c r="DO226" i="4"/>
  <c r="CM226" i="4"/>
  <c r="CI226" i="4"/>
  <c r="DD226" i="4"/>
  <c r="FQ226" i="4"/>
  <c r="EO226" i="4"/>
  <c r="GN226" i="4"/>
  <c r="GG226" i="4"/>
  <c r="DM226" i="4"/>
  <c r="CK226" i="4"/>
  <c r="FL226" i="4"/>
  <c r="FA226" i="4"/>
  <c r="DY226" i="4"/>
  <c r="DH226" i="4"/>
  <c r="DA226" i="4"/>
  <c r="EX226" i="4"/>
  <c r="DR226" i="4"/>
  <c r="EH279" i="4"/>
  <c r="EA279" i="4"/>
  <c r="DT279" i="4"/>
  <c r="EJ279" i="4"/>
  <c r="DF279" i="4"/>
  <c r="CY279" i="4"/>
  <c r="CR279" i="4"/>
  <c r="DH279" i="4"/>
  <c r="GJ279" i="4"/>
  <c r="GC279" i="4"/>
  <c r="FV279" i="4"/>
  <c r="FH279" i="4"/>
  <c r="FA279" i="4"/>
  <c r="ET279" i="4"/>
  <c r="EM279" i="4"/>
  <c r="EF279" i="4"/>
  <c r="DY279" i="4"/>
  <c r="DR279" i="4"/>
  <c r="DM279" i="4"/>
  <c r="DD279" i="4"/>
  <c r="CW279" i="4"/>
  <c r="CP279" i="4"/>
  <c r="DK279" i="4"/>
  <c r="GG279" i="4"/>
  <c r="FZ279" i="4"/>
  <c r="FS279" i="4"/>
  <c r="CK279" i="4"/>
  <c r="FE279" i="4"/>
  <c r="EX279" i="4"/>
  <c r="EQ279" i="4"/>
  <c r="CI279" i="4"/>
  <c r="EC279" i="4"/>
  <c r="DV279" i="4"/>
  <c r="DO279" i="4"/>
  <c r="FO279" i="4"/>
  <c r="DA279" i="4"/>
  <c r="CT279" i="4"/>
  <c r="CM279" i="4"/>
  <c r="FQ279" i="4"/>
  <c r="GL279" i="4"/>
  <c r="GE279" i="4"/>
  <c r="FX279" i="4"/>
  <c r="GN279" i="4"/>
  <c r="FJ279" i="4"/>
  <c r="FC279" i="4"/>
  <c r="EV279" i="4"/>
  <c r="FL279" i="4"/>
  <c r="GG349" i="4"/>
  <c r="FZ349" i="4"/>
  <c r="DO349" i="4"/>
  <c r="CK349" i="4"/>
  <c r="FE349" i="4"/>
  <c r="EX349" i="4"/>
  <c r="CM349" i="4"/>
  <c r="CI349" i="4"/>
  <c r="EC349" i="4"/>
  <c r="DV349" i="4"/>
  <c r="GN349" i="4"/>
  <c r="FO349" i="4"/>
  <c r="DA349" i="4"/>
  <c r="FL349" i="4"/>
  <c r="FQ349" i="4"/>
  <c r="GL349" i="4"/>
  <c r="GE349" i="4"/>
  <c r="FX349" i="4"/>
  <c r="EJ349" i="4"/>
  <c r="FJ349" i="4"/>
  <c r="FC349" i="4"/>
  <c r="EV349" i="4"/>
  <c r="DH349" i="4"/>
  <c r="EH349" i="4"/>
  <c r="EA349" i="4"/>
  <c r="DT349" i="4"/>
  <c r="EO349" i="4"/>
  <c r="DF349" i="4"/>
  <c r="CY349" i="4"/>
  <c r="CR349" i="4"/>
  <c r="EM349" i="4"/>
  <c r="GJ349" i="4"/>
  <c r="GC349" i="4"/>
  <c r="FV349" i="4"/>
  <c r="DR349" i="4"/>
  <c r="FH349" i="4"/>
  <c r="FA349" i="4"/>
  <c r="ET349" i="4"/>
  <c r="DM349" i="4"/>
  <c r="DD349" i="4"/>
  <c r="CW349" i="4"/>
  <c r="EQ349" i="4"/>
  <c r="FE304" i="4"/>
  <c r="EX304" i="4"/>
  <c r="EQ304" i="4"/>
  <c r="CI304" i="4"/>
  <c r="EC304" i="4"/>
  <c r="DV304" i="4"/>
  <c r="DO304" i="4"/>
  <c r="FO304" i="4"/>
  <c r="DA304" i="4"/>
  <c r="CT304" i="4"/>
  <c r="FQ304" i="4"/>
  <c r="GL304" i="4"/>
  <c r="GE304" i="4"/>
  <c r="FX304" i="4"/>
  <c r="GN304" i="4"/>
  <c r="FJ304" i="4"/>
  <c r="FC304" i="4"/>
  <c r="EV304" i="4"/>
  <c r="FL304" i="4"/>
  <c r="EH304" i="4"/>
  <c r="EA304" i="4"/>
  <c r="DT304" i="4"/>
  <c r="EJ304" i="4"/>
  <c r="DF304" i="4"/>
  <c r="CY304" i="4"/>
  <c r="CR304" i="4"/>
  <c r="DH304" i="4"/>
  <c r="GJ304" i="4"/>
  <c r="GC304" i="4"/>
  <c r="FV304" i="4"/>
  <c r="EO304" i="4"/>
  <c r="FH304" i="4"/>
  <c r="FA304" i="4"/>
  <c r="ET304" i="4"/>
  <c r="EM304" i="4"/>
  <c r="EF304" i="4"/>
  <c r="DY304" i="4"/>
  <c r="DR304" i="4"/>
  <c r="DM304" i="4"/>
  <c r="GG304" i="4"/>
  <c r="FZ304" i="4"/>
  <c r="FS304" i="4"/>
  <c r="CK304" i="4"/>
  <c r="DH274" i="4"/>
  <c r="DA274" i="4"/>
  <c r="DM274" i="4"/>
  <c r="EV274" i="4"/>
  <c r="GL274" i="4"/>
  <c r="GE274" i="4"/>
  <c r="CK274" i="4"/>
  <c r="EQ274" i="4"/>
  <c r="FJ274" i="4"/>
  <c r="FC274" i="4"/>
  <c r="DV274" i="4"/>
  <c r="CM274" i="4"/>
  <c r="EA274" i="4"/>
  <c r="DT274" i="4"/>
  <c r="ET274" i="4"/>
  <c r="DF274" i="4"/>
  <c r="CY274" i="4"/>
  <c r="DR274" i="4"/>
  <c r="FS274" i="4"/>
  <c r="FO274" i="4"/>
  <c r="GJ274" i="4"/>
  <c r="GC274" i="4"/>
  <c r="DO274" i="4"/>
  <c r="EM274" i="4"/>
  <c r="FH274" i="4"/>
  <c r="FA274" i="4"/>
  <c r="CT274" i="4"/>
  <c r="DK274" i="4"/>
  <c r="DY274" i="4"/>
  <c r="FZ274" i="4"/>
  <c r="CI274" i="4"/>
  <c r="DD274" i="4"/>
  <c r="CW274" i="4"/>
  <c r="CR274" i="4"/>
  <c r="GN274" i="4"/>
  <c r="GG274" i="4"/>
  <c r="FX274" i="4"/>
  <c r="FV274" i="4"/>
  <c r="EJ274" i="4"/>
  <c r="EC274" i="4"/>
  <c r="EO274" i="4"/>
  <c r="EX274" i="4"/>
  <c r="GN17" i="4"/>
  <c r="GG17" i="4"/>
  <c r="DY17" i="4"/>
  <c r="DR17" i="4"/>
  <c r="FL17" i="4"/>
  <c r="FE17" i="4"/>
  <c r="CW17" i="4"/>
  <c r="CP17" i="4"/>
  <c r="EC17" i="4"/>
  <c r="FZ17" i="4"/>
  <c r="FS17" i="4"/>
  <c r="DH17" i="4"/>
  <c r="DA17" i="4"/>
  <c r="EX17" i="4"/>
  <c r="EQ17" i="4"/>
  <c r="GL17" i="4"/>
  <c r="EO17" i="4"/>
  <c r="DV17" i="4"/>
  <c r="DO17" i="4"/>
  <c r="FJ17" i="4"/>
  <c r="CK17" i="4"/>
  <c r="CT17" i="4"/>
  <c r="CM17" i="4"/>
  <c r="GE17" i="4"/>
  <c r="FX17" i="4"/>
  <c r="FQ17" i="4"/>
  <c r="DF17" i="4"/>
  <c r="FC17" i="4"/>
  <c r="EV17" i="4"/>
  <c r="DM17" i="4"/>
  <c r="GJ17" i="4"/>
  <c r="EA17" i="4"/>
  <c r="DT17" i="4"/>
  <c r="FO17" i="4"/>
  <c r="FH17" i="4"/>
  <c r="CY17" i="4"/>
  <c r="CR17" i="4"/>
  <c r="EM17" i="4"/>
  <c r="DD17" i="4"/>
  <c r="FA17" i="4"/>
  <c r="ET17" i="4"/>
  <c r="CI17" i="4"/>
  <c r="DK136" i="4"/>
  <c r="EF136" i="4"/>
  <c r="DY136" i="4"/>
  <c r="CR136" i="4"/>
  <c r="CI136" i="4"/>
  <c r="DD136" i="4"/>
  <c r="FZ136" i="4"/>
  <c r="FS136" i="4"/>
  <c r="GN136" i="4"/>
  <c r="GG136" i="4"/>
  <c r="FV136" i="4"/>
  <c r="EQ136" i="4"/>
  <c r="FL136" i="4"/>
  <c r="FE136" i="4"/>
  <c r="ET136" i="4"/>
  <c r="DO136" i="4"/>
  <c r="EJ136" i="4"/>
  <c r="EC136" i="4"/>
  <c r="DR136" i="4"/>
  <c r="CM136" i="4"/>
  <c r="DH136" i="4"/>
  <c r="CP136" i="4"/>
  <c r="FQ136" i="4"/>
  <c r="GL136" i="4"/>
  <c r="GE136" i="4"/>
  <c r="FX136" i="4"/>
  <c r="DM136" i="4"/>
  <c r="EH136" i="4"/>
  <c r="EA136" i="4"/>
  <c r="EV136" i="4"/>
  <c r="EM136" i="4"/>
  <c r="FH136" i="4"/>
  <c r="FA136" i="4"/>
  <c r="CT136" i="4"/>
  <c r="HU23" i="4"/>
  <c r="EF23" i="4"/>
  <c r="GC23" i="4"/>
  <c r="CR23" i="4"/>
  <c r="DK23" i="4"/>
  <c r="DD23" i="4"/>
  <c r="FA23" i="4"/>
  <c r="FV23" i="4"/>
  <c r="CI23" i="4"/>
  <c r="GN23" i="4"/>
  <c r="GG23" i="4"/>
  <c r="DY23" i="4"/>
  <c r="ET23" i="4"/>
  <c r="FL23" i="4"/>
  <c r="FE23" i="4"/>
  <c r="CW23" i="4"/>
  <c r="DR23" i="4"/>
  <c r="EC23" i="4"/>
  <c r="FZ23" i="4"/>
  <c r="CP23" i="4"/>
  <c r="DH23" i="4"/>
  <c r="DA23" i="4"/>
  <c r="EX23" i="4"/>
  <c r="FS23" i="4"/>
  <c r="GL23" i="4"/>
  <c r="FQ23" i="4"/>
  <c r="DV23" i="4"/>
  <c r="EQ23" i="4"/>
  <c r="FJ23" i="4"/>
  <c r="CK23" i="4"/>
  <c r="CT23" i="4"/>
  <c r="DO23" i="4"/>
  <c r="EH23" i="4"/>
  <c r="GE23" i="4"/>
  <c r="EO23" i="4"/>
  <c r="CM23" i="4"/>
  <c r="FH23" i="4"/>
  <c r="CY23" i="4"/>
  <c r="DT23" i="4"/>
  <c r="EM23" i="4"/>
  <c r="CG172" i="4"/>
  <c r="EQ172" i="4"/>
  <c r="CG95" i="4"/>
  <c r="FE95" i="4"/>
  <c r="DK128" i="4"/>
  <c r="EF114" i="4"/>
  <c r="EF42" i="4"/>
  <c r="DK80" i="4"/>
  <c r="CR29" i="4"/>
  <c r="FV57" i="4"/>
  <c r="FX280" i="4"/>
  <c r="GC136" i="4"/>
  <c r="DH48" i="4"/>
  <c r="EO15" i="4"/>
  <c r="DV54" i="4"/>
  <c r="DY58" i="4"/>
  <c r="DA319" i="4"/>
  <c r="GN305" i="4"/>
  <c r="CP274" i="4"/>
  <c r="EX155" i="4"/>
  <c r="EH204" i="4"/>
  <c r="EC104" i="4"/>
  <c r="CI110" i="4"/>
  <c r="CK347" i="4"/>
  <c r="GG351" i="4"/>
  <c r="FZ351" i="4"/>
  <c r="FS351" i="4"/>
  <c r="DM351" i="4"/>
  <c r="FE351" i="4"/>
  <c r="EX351" i="4"/>
  <c r="EQ351" i="4"/>
  <c r="DK351" i="4"/>
  <c r="EC351" i="4"/>
  <c r="DV351" i="4"/>
  <c r="DO351" i="4"/>
  <c r="CK351" i="4"/>
  <c r="DA351" i="4"/>
  <c r="CT351" i="4"/>
  <c r="CM351" i="4"/>
  <c r="CI351" i="4"/>
  <c r="GL351" i="4"/>
  <c r="GE351" i="4"/>
  <c r="FX351" i="4"/>
  <c r="GN351" i="4"/>
  <c r="FJ351" i="4"/>
  <c r="FC351" i="4"/>
  <c r="EV351" i="4"/>
  <c r="FL351" i="4"/>
  <c r="EH351" i="4"/>
  <c r="EA351" i="4"/>
  <c r="DT351" i="4"/>
  <c r="DF351" i="4"/>
  <c r="CY351" i="4"/>
  <c r="CR351" i="4"/>
  <c r="DH351" i="4"/>
  <c r="GJ351" i="4"/>
  <c r="GC351" i="4"/>
  <c r="FV351" i="4"/>
  <c r="FQ351" i="4"/>
  <c r="FH351" i="4"/>
  <c r="FA351" i="4"/>
  <c r="ET351" i="4"/>
  <c r="FO351" i="4"/>
  <c r="DY351" i="4"/>
  <c r="DR351" i="4"/>
  <c r="EO351" i="4"/>
  <c r="DD351" i="4"/>
  <c r="CW351" i="4"/>
  <c r="CP351" i="4"/>
  <c r="EM351" i="4"/>
  <c r="BW379" i="4"/>
  <c r="FO379" i="4"/>
  <c r="GE379" i="4"/>
  <c r="FH379" i="4"/>
  <c r="EV379" i="4"/>
  <c r="EM379" i="4"/>
  <c r="EF379" i="4"/>
  <c r="DT379" i="4"/>
  <c r="CW379" i="4"/>
  <c r="DK379" i="4"/>
  <c r="CR379" i="4"/>
  <c r="FC379" i="4"/>
  <c r="DR379" i="4"/>
  <c r="CI379" i="4"/>
  <c r="GC379" i="4"/>
  <c r="DD379" i="4"/>
  <c r="CY379" i="4"/>
  <c r="FS379" i="4"/>
  <c r="GN379" i="4"/>
  <c r="EC379" i="4"/>
  <c r="FA379" i="4"/>
  <c r="EQ379" i="4"/>
  <c r="FL379" i="4"/>
  <c r="CP379" i="4"/>
  <c r="DA379" i="4"/>
  <c r="DO379" i="4"/>
  <c r="EJ379" i="4"/>
  <c r="FZ379" i="4"/>
  <c r="GG379" i="4"/>
  <c r="DH379" i="4"/>
  <c r="EA379" i="4"/>
  <c r="ET379" i="4"/>
  <c r="FQ379" i="4"/>
  <c r="GL379" i="4"/>
  <c r="FX379" i="4"/>
  <c r="CT379" i="4"/>
  <c r="EO379" i="4"/>
  <c r="FJ379" i="4"/>
  <c r="DY379" i="4"/>
  <c r="GJ379" i="4"/>
  <c r="CK379" i="4"/>
  <c r="DF379" i="4"/>
  <c r="DV379" i="4"/>
  <c r="EX379" i="4"/>
  <c r="EA11" i="4"/>
  <c r="DH24" i="4"/>
  <c r="EC24" i="4"/>
  <c r="DV24" i="4"/>
  <c r="EQ24" i="4"/>
  <c r="GL24" i="4"/>
  <c r="DA24" i="4"/>
  <c r="CT24" i="4"/>
  <c r="DO24" i="4"/>
  <c r="FJ24" i="4"/>
  <c r="GE24" i="4"/>
  <c r="FX24" i="4"/>
  <c r="CM24" i="4"/>
  <c r="EH24" i="4"/>
  <c r="FC24" i="4"/>
  <c r="EV24" i="4"/>
  <c r="EO24" i="4"/>
  <c r="DF24" i="4"/>
  <c r="EA24" i="4"/>
  <c r="DT24" i="4"/>
  <c r="CK24" i="4"/>
  <c r="GJ24" i="4"/>
  <c r="CY24" i="4"/>
  <c r="CR24" i="4"/>
  <c r="FO24" i="4"/>
  <c r="FH24" i="4"/>
  <c r="GC24" i="4"/>
  <c r="DM24" i="4"/>
  <c r="EM24" i="4"/>
  <c r="EF24" i="4"/>
  <c r="FA24" i="4"/>
  <c r="FV24" i="4"/>
  <c r="DK24" i="4"/>
  <c r="DD24" i="4"/>
  <c r="DY24" i="4"/>
  <c r="ET24" i="4"/>
  <c r="CI24" i="4"/>
  <c r="GN24" i="4"/>
  <c r="FQ24" i="4"/>
  <c r="CW24" i="4"/>
  <c r="DR24" i="4"/>
  <c r="FL24" i="4"/>
  <c r="GG24" i="4"/>
  <c r="CP24" i="4"/>
  <c r="EJ24" i="4"/>
  <c r="FE24" i="4"/>
  <c r="EX24" i="4"/>
  <c r="FS24" i="4"/>
  <c r="DH4" i="4"/>
  <c r="FE4" i="4"/>
  <c r="DR4" i="4"/>
  <c r="EQ4" i="4"/>
  <c r="GL4" i="4"/>
  <c r="EC4" i="4"/>
  <c r="FQ4" i="4"/>
  <c r="DO4" i="4"/>
  <c r="DF4" i="4"/>
  <c r="DA4" i="4"/>
  <c r="FZ4" i="4"/>
  <c r="CM4" i="4"/>
  <c r="DD4" i="4"/>
  <c r="FV4" i="4"/>
  <c r="EX4" i="4"/>
  <c r="FO4" i="4"/>
  <c r="DT4" i="4"/>
  <c r="GE4" i="4"/>
  <c r="DV4" i="4"/>
  <c r="EM4" i="4"/>
  <c r="DM4" i="4"/>
  <c r="FC4" i="4"/>
  <c r="CT4" i="4"/>
  <c r="DK4" i="4"/>
  <c r="EH4" i="4"/>
  <c r="CR4" i="4"/>
  <c r="CI4" i="4"/>
  <c r="FH4" i="4"/>
  <c r="GC4" i="4"/>
  <c r="FX4" i="4"/>
  <c r="EV4" i="4"/>
  <c r="EJ4" i="4"/>
  <c r="GG4" i="4"/>
  <c r="CW4" i="4"/>
  <c r="FS4" i="4"/>
  <c r="EH5" i="4"/>
  <c r="FQ5" i="4"/>
  <c r="FZ5" i="4"/>
  <c r="CI5" i="4"/>
  <c r="EF5" i="4"/>
  <c r="GE5" i="4"/>
  <c r="EX5" i="4"/>
  <c r="GL5" i="4"/>
  <c r="EC5" i="4"/>
  <c r="FC5" i="4"/>
  <c r="DV5" i="4"/>
  <c r="FJ5" i="4"/>
  <c r="EA5" i="4"/>
  <c r="CT5" i="4"/>
  <c r="FH5" i="4"/>
  <c r="GJ5" i="4"/>
  <c r="CY5" i="4"/>
  <c r="DT5" i="4"/>
  <c r="DA5" i="4"/>
  <c r="DD5" i="4"/>
  <c r="FV5" i="4"/>
  <c r="FS5" i="4"/>
  <c r="CR5" i="4"/>
  <c r="CP5" i="4"/>
  <c r="CK5" i="4"/>
  <c r="EQ5" i="4"/>
  <c r="DR5" i="4"/>
  <c r="EO5" i="4"/>
  <c r="GC5" i="4"/>
  <c r="DO5" i="4"/>
  <c r="DM5" i="4"/>
  <c r="GN5" i="4"/>
  <c r="GG5" i="4"/>
  <c r="FA5" i="4"/>
  <c r="CM5" i="4"/>
  <c r="FL5" i="4"/>
  <c r="FE5" i="4"/>
  <c r="DY5" i="4"/>
  <c r="FO5" i="4"/>
  <c r="DH5" i="4"/>
  <c r="ET5" i="4"/>
  <c r="EV5" i="4"/>
  <c r="DK5" i="4"/>
  <c r="DT6" i="4"/>
  <c r="CR6" i="4"/>
  <c r="FX6" i="4"/>
  <c r="EM6" i="4"/>
  <c r="EO6" i="4"/>
  <c r="CP6" i="4"/>
  <c r="DK6" i="4"/>
  <c r="GL6" i="4"/>
  <c r="CK6" i="4"/>
  <c r="FZ6" i="4"/>
  <c r="CI6" i="4"/>
  <c r="EH6" i="4"/>
  <c r="GE6" i="4"/>
  <c r="EX6" i="4"/>
  <c r="EV6" i="4"/>
  <c r="GJ6" i="4"/>
  <c r="FC6" i="4"/>
  <c r="ET6" i="4"/>
  <c r="FH6" i="4"/>
  <c r="EA6" i="4"/>
  <c r="CT6" i="4"/>
  <c r="DM6" i="4"/>
  <c r="GN6" i="4"/>
  <c r="EF6" i="4"/>
  <c r="CY6" i="4"/>
  <c r="FQ6" i="4"/>
  <c r="EJ6" i="4"/>
  <c r="GG6" i="4"/>
  <c r="GC6" i="4"/>
  <c r="EQ6" i="4"/>
  <c r="DF6" i="4"/>
  <c r="DA6" i="4"/>
  <c r="CW6" i="4"/>
  <c r="FO6" i="4"/>
  <c r="CE96" i="4"/>
  <c r="EO96" i="4"/>
  <c r="CG86" i="4"/>
  <c r="EX86" i="4"/>
  <c r="CG208" i="4"/>
  <c r="EC208" i="4"/>
  <c r="EJ128" i="4"/>
  <c r="FL4" i="4"/>
  <c r="FL114" i="4"/>
  <c r="FL42" i="4"/>
  <c r="EQ80" i="4"/>
  <c r="EV29" i="4"/>
  <c r="CW57" i="4"/>
  <c r="CT280" i="4"/>
  <c r="FL48" i="4"/>
  <c r="DD6" i="4"/>
  <c r="DK15" i="4"/>
  <c r="EX54" i="4"/>
  <c r="CT27" i="4"/>
  <c r="FO23" i="4"/>
  <c r="GJ58" i="4"/>
  <c r="FA319" i="4"/>
  <c r="FS305" i="4"/>
  <c r="FQ274" i="4"/>
  <c r="FZ38" i="4"/>
  <c r="GG110" i="4"/>
  <c r="DM379" i="4"/>
  <c r="DM178" i="4"/>
  <c r="EH178" i="4"/>
  <c r="DY178" i="4"/>
  <c r="CR178" i="4"/>
  <c r="CK178" i="4"/>
  <c r="DF178" i="4"/>
  <c r="CW178" i="4"/>
  <c r="GE178" i="4"/>
  <c r="FO178" i="4"/>
  <c r="GJ178" i="4"/>
  <c r="FZ178" i="4"/>
  <c r="FX178" i="4"/>
  <c r="EM178" i="4"/>
  <c r="FH178" i="4"/>
  <c r="EX178" i="4"/>
  <c r="EA178" i="4"/>
  <c r="DK178" i="4"/>
  <c r="EF178" i="4"/>
  <c r="DV178" i="4"/>
  <c r="FC178" i="4"/>
  <c r="CI178" i="4"/>
  <c r="DD178" i="4"/>
  <c r="CT178" i="4"/>
  <c r="EV178" i="4"/>
  <c r="FS178" i="4"/>
  <c r="GN178" i="4"/>
  <c r="GG178" i="4"/>
  <c r="FV178" i="4"/>
  <c r="EQ178" i="4"/>
  <c r="FL178" i="4"/>
  <c r="FE178" i="4"/>
  <c r="ET178" i="4"/>
  <c r="DO178" i="4"/>
  <c r="EJ178" i="4"/>
  <c r="EC178" i="4"/>
  <c r="DR178" i="4"/>
  <c r="CM178" i="4"/>
  <c r="DH178" i="4"/>
  <c r="CP178" i="4"/>
  <c r="EO178" i="4"/>
  <c r="FJ178" i="4"/>
  <c r="FA178" i="4"/>
  <c r="FO148" i="4"/>
  <c r="GJ148" i="4"/>
  <c r="FZ148" i="4"/>
  <c r="CP148" i="4"/>
  <c r="EM148" i="4"/>
  <c r="FH148" i="4"/>
  <c r="EX148" i="4"/>
  <c r="FX148" i="4"/>
  <c r="DK148" i="4"/>
  <c r="EF148" i="4"/>
  <c r="DV148" i="4"/>
  <c r="GE148" i="4"/>
  <c r="CI148" i="4"/>
  <c r="CT148" i="4"/>
  <c r="CR148" i="4"/>
  <c r="FS148" i="4"/>
  <c r="GN148" i="4"/>
  <c r="GG148" i="4"/>
  <c r="FV148" i="4"/>
  <c r="EQ148" i="4"/>
  <c r="FL148" i="4"/>
  <c r="FE148" i="4"/>
  <c r="FC148" i="4"/>
  <c r="DO148" i="4"/>
  <c r="EJ148" i="4"/>
  <c r="EC148" i="4"/>
  <c r="EV148" i="4"/>
  <c r="CM148" i="4"/>
  <c r="DH148" i="4"/>
  <c r="DA148" i="4"/>
  <c r="ET148" i="4"/>
  <c r="FQ148" i="4"/>
  <c r="GL148" i="4"/>
  <c r="GC148" i="4"/>
  <c r="EA148" i="4"/>
  <c r="EO148" i="4"/>
  <c r="FJ148" i="4"/>
  <c r="FA148" i="4"/>
  <c r="DT148" i="4"/>
  <c r="DM148" i="4"/>
  <c r="EH148" i="4"/>
  <c r="DY148" i="4"/>
  <c r="DR148" i="4"/>
  <c r="CK148" i="4"/>
  <c r="CW148" i="4"/>
  <c r="CY148" i="4"/>
  <c r="EH241" i="4"/>
  <c r="ET241" i="4"/>
  <c r="FV241" i="4"/>
  <c r="DF241" i="4"/>
  <c r="CY241" i="4"/>
  <c r="CP241" i="4"/>
  <c r="DR241" i="4"/>
  <c r="GJ241" i="4"/>
  <c r="GC241" i="4"/>
  <c r="EQ241" i="4"/>
  <c r="FS241" i="4"/>
  <c r="FH241" i="4"/>
  <c r="FA241" i="4"/>
  <c r="CM241" i="4"/>
  <c r="DO241" i="4"/>
  <c r="EF241" i="4"/>
  <c r="DY241" i="4"/>
  <c r="EO241" i="4"/>
  <c r="FL241" i="4"/>
  <c r="DD241" i="4"/>
  <c r="CW241" i="4"/>
  <c r="CK241" i="4"/>
  <c r="DH241" i="4"/>
  <c r="GG241" i="4"/>
  <c r="FZ241" i="4"/>
  <c r="EM241" i="4"/>
  <c r="FQ241" i="4"/>
  <c r="FE241" i="4"/>
  <c r="EX241" i="4"/>
  <c r="CI241" i="4"/>
  <c r="FO241" i="4"/>
  <c r="DV241" i="4"/>
  <c r="GN241" i="4"/>
  <c r="DM241" i="4"/>
  <c r="DA241" i="4"/>
  <c r="CT241" i="4"/>
  <c r="EJ241" i="4"/>
  <c r="DK241" i="4"/>
  <c r="GL241" i="4"/>
  <c r="GE241" i="4"/>
  <c r="EV241" i="4"/>
  <c r="FX241" i="4"/>
  <c r="FJ241" i="4"/>
  <c r="FC241" i="4"/>
  <c r="CR241" i="4"/>
  <c r="DT241" i="4"/>
  <c r="EM220" i="4"/>
  <c r="FH220" i="4"/>
  <c r="DR220" i="4"/>
  <c r="DY220" i="4"/>
  <c r="DK220" i="4"/>
  <c r="EF220" i="4"/>
  <c r="GE220" i="4"/>
  <c r="EV220" i="4"/>
  <c r="CI220" i="4"/>
  <c r="DD220" i="4"/>
  <c r="CY220" i="4"/>
  <c r="EA220" i="4"/>
  <c r="FS220" i="4"/>
  <c r="GN220" i="4"/>
  <c r="GG220" i="4"/>
  <c r="GC220" i="4"/>
  <c r="EQ220" i="4"/>
  <c r="FL220" i="4"/>
  <c r="FE220" i="4"/>
  <c r="CW220" i="4"/>
  <c r="DO220" i="4"/>
  <c r="EC220" i="4"/>
  <c r="FX220" i="4"/>
  <c r="CM220" i="4"/>
  <c r="DH220" i="4"/>
  <c r="DA220" i="4"/>
  <c r="CR220" i="4"/>
  <c r="FQ220" i="4"/>
  <c r="GL220" i="4"/>
  <c r="FZ220" i="4"/>
  <c r="FV220" i="4"/>
  <c r="EO220" i="4"/>
  <c r="FJ220" i="4"/>
  <c r="EX220" i="4"/>
  <c r="CP220" i="4"/>
  <c r="DM220" i="4"/>
  <c r="EH220" i="4"/>
  <c r="DV220" i="4"/>
  <c r="FC220" i="4"/>
  <c r="FO220" i="4"/>
  <c r="GJ220" i="4"/>
  <c r="DT220" i="4"/>
  <c r="ET220" i="4"/>
  <c r="CC18" i="4"/>
  <c r="EH18" i="4"/>
  <c r="EO18" i="4"/>
  <c r="DV18" i="4"/>
  <c r="CM18" i="4"/>
  <c r="DF18" i="4"/>
  <c r="GE18" i="4"/>
  <c r="CT18" i="4"/>
  <c r="FO18" i="4"/>
  <c r="GJ18" i="4"/>
  <c r="FC18" i="4"/>
  <c r="FQ18" i="4"/>
  <c r="EM18" i="4"/>
  <c r="FH18" i="4"/>
  <c r="FX18" i="4"/>
  <c r="DK18" i="4"/>
  <c r="EF18" i="4"/>
  <c r="CY18" i="4"/>
  <c r="EV18" i="4"/>
  <c r="CI18" i="4"/>
  <c r="DD18" i="4"/>
  <c r="CK18" i="4"/>
  <c r="DT18" i="4"/>
  <c r="DR18" i="4"/>
  <c r="GN18" i="4"/>
  <c r="DM18" i="4"/>
  <c r="GC18" i="4"/>
  <c r="CR18" i="4"/>
  <c r="EJ18" i="4"/>
  <c r="FE18" i="4"/>
  <c r="DY18" i="4"/>
  <c r="CP18" i="4"/>
  <c r="FJ18" i="4"/>
  <c r="ET18" i="4"/>
  <c r="EX18" i="4"/>
  <c r="DO18" i="4"/>
  <c r="HU155" i="4"/>
  <c r="FJ155" i="4"/>
  <c r="CK155" i="4"/>
  <c r="CT155" i="4"/>
  <c r="DO155" i="4"/>
  <c r="EH155" i="4"/>
  <c r="GE155" i="4"/>
  <c r="FX155" i="4"/>
  <c r="DF155" i="4"/>
  <c r="FC155" i="4"/>
  <c r="EV155" i="4"/>
  <c r="DM155" i="4"/>
  <c r="GJ155" i="4"/>
  <c r="EA155" i="4"/>
  <c r="DT155" i="4"/>
  <c r="FO155" i="4"/>
  <c r="FH155" i="4"/>
  <c r="CY155" i="4"/>
  <c r="CR155" i="4"/>
  <c r="EM155" i="4"/>
  <c r="EF155" i="4"/>
  <c r="GC155" i="4"/>
  <c r="EO155" i="4"/>
  <c r="DK155" i="4"/>
  <c r="DD155" i="4"/>
  <c r="FA155" i="4"/>
  <c r="FV155" i="4"/>
  <c r="CI155" i="4"/>
  <c r="GN155" i="4"/>
  <c r="GG155" i="4"/>
  <c r="DY155" i="4"/>
  <c r="ET155" i="4"/>
  <c r="FL155" i="4"/>
  <c r="FE155" i="4"/>
  <c r="CW155" i="4"/>
  <c r="DR155" i="4"/>
  <c r="EJ155" i="4"/>
  <c r="EC155" i="4"/>
  <c r="FZ155" i="4"/>
  <c r="CP155" i="4"/>
  <c r="GL155" i="4"/>
  <c r="FQ155" i="4"/>
  <c r="DV155" i="4"/>
  <c r="EQ155" i="4"/>
  <c r="FA60" i="4"/>
  <c r="CE120" i="4"/>
  <c r="EO120" i="4"/>
  <c r="CG140" i="4"/>
  <c r="EC140" i="4"/>
  <c r="GN4" i="4"/>
  <c r="GN114" i="4"/>
  <c r="GN42" i="4"/>
  <c r="FS80" i="4"/>
  <c r="DV29" i="4"/>
  <c r="FA57" i="4"/>
  <c r="EX280" i="4"/>
  <c r="FC136" i="4"/>
  <c r="FQ48" i="4"/>
  <c r="FJ6" i="4"/>
  <c r="GL18" i="4"/>
  <c r="CR15" i="4"/>
  <c r="FV54" i="4"/>
  <c r="CY27" i="4"/>
  <c r="DM23" i="4"/>
  <c r="DF58" i="4"/>
  <c r="EO319" i="4"/>
  <c r="FE274" i="4"/>
  <c r="DH155" i="4"/>
  <c r="FV226" i="4"/>
  <c r="CT220" i="4"/>
  <c r="FO194" i="4"/>
  <c r="GJ194" i="4"/>
  <c r="DT194" i="4"/>
  <c r="ET194" i="4"/>
  <c r="EM194" i="4"/>
  <c r="FH194" i="4"/>
  <c r="DR194" i="4"/>
  <c r="DY194" i="4"/>
  <c r="DK194" i="4"/>
  <c r="EF194" i="4"/>
  <c r="GE194" i="4"/>
  <c r="EV194" i="4"/>
  <c r="CI194" i="4"/>
  <c r="DD194" i="4"/>
  <c r="CY194" i="4"/>
  <c r="EA194" i="4"/>
  <c r="FS194" i="4"/>
  <c r="GN194" i="4"/>
  <c r="GG194" i="4"/>
  <c r="GC194" i="4"/>
  <c r="EQ194" i="4"/>
  <c r="FL194" i="4"/>
  <c r="FE194" i="4"/>
  <c r="CW194" i="4"/>
  <c r="DO194" i="4"/>
  <c r="EJ194" i="4"/>
  <c r="EC194" i="4"/>
  <c r="FX194" i="4"/>
  <c r="CM194" i="4"/>
  <c r="DH194" i="4"/>
  <c r="DA194" i="4"/>
  <c r="CR194" i="4"/>
  <c r="FQ194" i="4"/>
  <c r="GL194" i="4"/>
  <c r="FZ194" i="4"/>
  <c r="FV194" i="4"/>
  <c r="FJ194" i="4"/>
  <c r="EX194" i="4"/>
  <c r="CP194" i="4"/>
  <c r="DM194" i="4"/>
  <c r="EH194" i="4"/>
  <c r="FC194" i="4"/>
  <c r="CK194" i="4"/>
  <c r="DF194" i="4"/>
  <c r="CT194" i="4"/>
  <c r="FA194" i="4"/>
  <c r="DD305" i="4"/>
  <c r="CW305" i="4"/>
  <c r="FQ305" i="4"/>
  <c r="CP305" i="4"/>
  <c r="GG305" i="4"/>
  <c r="FZ305" i="4"/>
  <c r="DR305" i="4"/>
  <c r="EX305" i="4"/>
  <c r="FE305" i="4"/>
  <c r="EM305" i="4"/>
  <c r="FO305" i="4"/>
  <c r="EQ305" i="4"/>
  <c r="CM305" i="4"/>
  <c r="DO305" i="4"/>
  <c r="DK305" i="4"/>
  <c r="DA305" i="4"/>
  <c r="FX305" i="4"/>
  <c r="FL305" i="4"/>
  <c r="CR305" i="4"/>
  <c r="GL305" i="4"/>
  <c r="GE305" i="4"/>
  <c r="EJ305" i="4"/>
  <c r="DM305" i="4"/>
  <c r="FJ305" i="4"/>
  <c r="FC305" i="4"/>
  <c r="CK305" i="4"/>
  <c r="EV305" i="4"/>
  <c r="EH305" i="4"/>
  <c r="EA305" i="4"/>
  <c r="FV305" i="4"/>
  <c r="DH305" i="4"/>
  <c r="DF305" i="4"/>
  <c r="CY305" i="4"/>
  <c r="DV305" i="4"/>
  <c r="ET305" i="4"/>
  <c r="GJ305" i="4"/>
  <c r="GC305" i="4"/>
  <c r="CI305" i="4"/>
  <c r="CT305" i="4"/>
  <c r="EF305" i="4"/>
  <c r="DY305" i="4"/>
  <c r="DT305" i="4"/>
  <c r="EO305" i="4"/>
  <c r="FJ365" i="4"/>
  <c r="DF365" i="4"/>
  <c r="FC365" i="4"/>
  <c r="GG365" i="4"/>
  <c r="FX365" i="4"/>
  <c r="GJ365" i="4"/>
  <c r="FO365" i="4"/>
  <c r="EX365" i="4"/>
  <c r="EJ365" i="4"/>
  <c r="FA365" i="4"/>
  <c r="FE365" i="4"/>
  <c r="FS365" i="4"/>
  <c r="DR365" i="4"/>
  <c r="DD365" i="4"/>
  <c r="DT365" i="4"/>
  <c r="EQ365" i="4"/>
  <c r="GE365" i="4"/>
  <c r="FV365" i="4"/>
  <c r="CI365" i="4"/>
  <c r="DO365" i="4"/>
  <c r="EV365" i="4"/>
  <c r="EH365" i="4"/>
  <c r="EF365" i="4"/>
  <c r="CM365" i="4"/>
  <c r="DK365" i="4"/>
  <c r="DA365" i="4"/>
  <c r="DY365" i="4"/>
  <c r="FQ365" i="4"/>
  <c r="GC365" i="4"/>
  <c r="FL365" i="4"/>
  <c r="DV365" i="4"/>
  <c r="EO365" i="4"/>
  <c r="ET365" i="4"/>
  <c r="EC365" i="4"/>
  <c r="CY365" i="4"/>
  <c r="DM365" i="4"/>
  <c r="DH365" i="4"/>
  <c r="CW365" i="4"/>
  <c r="CR365" i="4"/>
  <c r="GL365" i="4"/>
  <c r="EM365" i="4"/>
  <c r="EA365" i="4"/>
  <c r="GN365" i="4"/>
  <c r="CG420" i="4"/>
  <c r="DH420" i="4"/>
  <c r="CG168" i="4"/>
  <c r="EC168" i="4"/>
  <c r="CE52" i="4"/>
  <c r="GL52" i="4"/>
  <c r="HU128" i="4"/>
  <c r="DA128" i="4"/>
  <c r="CT128" i="4"/>
  <c r="CM128" i="4"/>
  <c r="FO128" i="4"/>
  <c r="GL128" i="4"/>
  <c r="GE128" i="4"/>
  <c r="FX128" i="4"/>
  <c r="FQ128" i="4"/>
  <c r="FJ128" i="4"/>
  <c r="FC128" i="4"/>
  <c r="EO128" i="4"/>
  <c r="EH128" i="4"/>
  <c r="EA128" i="4"/>
  <c r="DT128" i="4"/>
  <c r="DM128" i="4"/>
  <c r="DF128" i="4"/>
  <c r="CY128" i="4"/>
  <c r="CR128" i="4"/>
  <c r="CK128" i="4"/>
  <c r="GJ128" i="4"/>
  <c r="GC128" i="4"/>
  <c r="FV128" i="4"/>
  <c r="GN128" i="4"/>
  <c r="FH128" i="4"/>
  <c r="FA128" i="4"/>
  <c r="ET128" i="4"/>
  <c r="FL128" i="4"/>
  <c r="DD128" i="4"/>
  <c r="CW128" i="4"/>
  <c r="CP128" i="4"/>
  <c r="DH128" i="4"/>
  <c r="EC128" i="4"/>
  <c r="DV128" i="4"/>
  <c r="DO128" i="4"/>
  <c r="EM128" i="4"/>
  <c r="FS128" i="4"/>
  <c r="FJ4" i="4"/>
  <c r="DK114" i="4"/>
  <c r="DK42" i="4"/>
  <c r="CR80" i="4"/>
  <c r="FC29" i="4"/>
  <c r="GJ57" i="4"/>
  <c r="GE280" i="4"/>
  <c r="GJ136" i="4"/>
  <c r="CM48" i="4"/>
  <c r="DH6" i="4"/>
  <c r="DH18" i="4"/>
  <c r="EV15" i="4"/>
  <c r="CW54" i="4"/>
  <c r="GC27" i="4"/>
  <c r="EV23" i="4"/>
  <c r="FO58" i="4"/>
  <c r="EV319" i="4"/>
  <c r="FH305" i="4"/>
  <c r="FL274" i="4"/>
  <c r="CW226" i="4"/>
  <c r="DF220" i="4"/>
  <c r="CG104" i="4"/>
  <c r="GL104" i="4"/>
  <c r="GE104" i="4"/>
  <c r="FX104" i="4"/>
  <c r="DR104" i="4"/>
  <c r="FJ104" i="4"/>
  <c r="FC104" i="4"/>
  <c r="EV104" i="4"/>
  <c r="CM104" i="4"/>
  <c r="EH104" i="4"/>
  <c r="EA104" i="4"/>
  <c r="DT104" i="4"/>
  <c r="DO104" i="4"/>
  <c r="DF104" i="4"/>
  <c r="CR104" i="4"/>
  <c r="CP104" i="4"/>
  <c r="FO104" i="4"/>
  <c r="GJ104" i="4"/>
  <c r="GC104" i="4"/>
  <c r="FQ104" i="4"/>
  <c r="EM104" i="4"/>
  <c r="FH104" i="4"/>
  <c r="FA104" i="4"/>
  <c r="EO104" i="4"/>
  <c r="DK104" i="4"/>
  <c r="EF104" i="4"/>
  <c r="DY104" i="4"/>
  <c r="DM104" i="4"/>
  <c r="CI104" i="4"/>
  <c r="DD104" i="4"/>
  <c r="CW104" i="4"/>
  <c r="CK104" i="4"/>
  <c r="GN104" i="4"/>
  <c r="GG104" i="4"/>
  <c r="FZ104" i="4"/>
  <c r="FV104" i="4"/>
  <c r="FL104" i="4"/>
  <c r="FE104" i="4"/>
  <c r="EX104" i="4"/>
  <c r="FS104" i="4"/>
  <c r="DH104" i="4"/>
  <c r="DA104" i="4"/>
  <c r="CT104" i="4"/>
  <c r="EQ104" i="4"/>
  <c r="CC246" i="4"/>
  <c r="CW246" i="4"/>
  <c r="CG251" i="4"/>
  <c r="FE251" i="4"/>
  <c r="DR128" i="4"/>
  <c r="EO4" i="4"/>
  <c r="CR114" i="4"/>
  <c r="DR42" i="4"/>
  <c r="ET80" i="4"/>
  <c r="DF57" i="4"/>
  <c r="DA280" i="4"/>
  <c r="DF136" i="4"/>
  <c r="EQ48" i="4"/>
  <c r="FL6" i="4"/>
  <c r="FL18" i="4"/>
  <c r="DT15" i="4"/>
  <c r="FA54" i="4"/>
  <c r="DA27" i="4"/>
  <c r="FX23" i="4"/>
  <c r="CK58" i="4"/>
  <c r="EJ160" i="4"/>
  <c r="CP113" i="4"/>
  <c r="EC226" i="4"/>
  <c r="CK220" i="4"/>
  <c r="EV258" i="4"/>
  <c r="GJ239" i="4"/>
  <c r="GC239" i="4"/>
  <c r="FO239" i="4"/>
  <c r="EQ239" i="4"/>
  <c r="FH239" i="4"/>
  <c r="FA239" i="4"/>
  <c r="EM239" i="4"/>
  <c r="EO239" i="4"/>
  <c r="EF239" i="4"/>
  <c r="DY239" i="4"/>
  <c r="DK239" i="4"/>
  <c r="DR239" i="4"/>
  <c r="DD239" i="4"/>
  <c r="CW239" i="4"/>
  <c r="CI239" i="4"/>
  <c r="DO239" i="4"/>
  <c r="GN239" i="4"/>
  <c r="GG239" i="4"/>
  <c r="FZ239" i="4"/>
  <c r="DM239" i="4"/>
  <c r="FL239" i="4"/>
  <c r="FE239" i="4"/>
  <c r="EX239" i="4"/>
  <c r="CP239" i="4"/>
  <c r="EC239" i="4"/>
  <c r="DV239" i="4"/>
  <c r="CM239" i="4"/>
  <c r="DH239" i="4"/>
  <c r="DA239" i="4"/>
  <c r="CT239" i="4"/>
  <c r="CK239" i="4"/>
  <c r="GL239" i="4"/>
  <c r="GE239" i="4"/>
  <c r="FX239" i="4"/>
  <c r="FV239" i="4"/>
  <c r="FJ239" i="4"/>
  <c r="FC239" i="4"/>
  <c r="EV239" i="4"/>
  <c r="FS239" i="4"/>
  <c r="EA239" i="4"/>
  <c r="DT239" i="4"/>
  <c r="FQ239" i="4"/>
  <c r="DF239" i="4"/>
  <c r="CY239" i="4"/>
  <c r="CR239" i="4"/>
  <c r="ET239" i="4"/>
  <c r="FO204" i="4"/>
  <c r="GJ204" i="4"/>
  <c r="EV204" i="4"/>
  <c r="FZ204" i="4"/>
  <c r="EM204" i="4"/>
  <c r="FH204" i="4"/>
  <c r="ET204" i="4"/>
  <c r="FV204" i="4"/>
  <c r="DK204" i="4"/>
  <c r="EF204" i="4"/>
  <c r="EA204" i="4"/>
  <c r="DR204" i="4"/>
  <c r="CI204" i="4"/>
  <c r="DD204" i="4"/>
  <c r="DY204" i="4"/>
  <c r="FS204" i="4"/>
  <c r="GN204" i="4"/>
  <c r="GG204" i="4"/>
  <c r="GE204" i="4"/>
  <c r="EQ204" i="4"/>
  <c r="FL204" i="4"/>
  <c r="FE204" i="4"/>
  <c r="DV204" i="4"/>
  <c r="DO204" i="4"/>
  <c r="EJ204" i="4"/>
  <c r="EC204" i="4"/>
  <c r="GC204" i="4"/>
  <c r="CM204" i="4"/>
  <c r="DH204" i="4"/>
  <c r="DT204" i="4"/>
  <c r="FQ204" i="4"/>
  <c r="GL204" i="4"/>
  <c r="FA204" i="4"/>
  <c r="FX204" i="4"/>
  <c r="EO204" i="4"/>
  <c r="FJ204" i="4"/>
  <c r="CR204" i="4"/>
  <c r="CY204" i="4"/>
  <c r="CK204" i="4"/>
  <c r="DF204" i="4"/>
  <c r="CP204" i="4"/>
  <c r="CT204" i="4"/>
  <c r="BW376" i="4"/>
  <c r="DK376" i="4"/>
  <c r="DA376" i="4"/>
  <c r="FH376" i="4"/>
  <c r="FV376" i="4"/>
  <c r="GE376" i="4"/>
  <c r="FO376" i="4"/>
  <c r="EA376" i="4"/>
  <c r="ET376" i="4"/>
  <c r="EO376" i="4"/>
  <c r="EF376" i="4"/>
  <c r="DY376" i="4"/>
  <c r="GL376" i="4"/>
  <c r="DH376" i="4"/>
  <c r="CY376" i="4"/>
  <c r="CP376" i="4"/>
  <c r="FC376" i="4"/>
  <c r="GC376" i="4"/>
  <c r="FL376" i="4"/>
  <c r="CM376" i="4"/>
  <c r="FZ376" i="4"/>
  <c r="DO376" i="4"/>
  <c r="EM376" i="4"/>
  <c r="EC376" i="4"/>
  <c r="EX376" i="4"/>
  <c r="CI376" i="4"/>
  <c r="DF376" i="4"/>
  <c r="CW376" i="4"/>
  <c r="DV376" i="4"/>
  <c r="GJ376" i="4"/>
  <c r="FS376" i="4"/>
  <c r="GN376" i="4"/>
  <c r="FA376" i="4"/>
  <c r="EJ376" i="4"/>
  <c r="FE376" i="4"/>
  <c r="FX376" i="4"/>
  <c r="DM376" i="4"/>
  <c r="DD376" i="4"/>
  <c r="DR376" i="4"/>
  <c r="DT376" i="4"/>
  <c r="EQ376" i="4"/>
  <c r="EH376" i="4"/>
  <c r="FJ376" i="4"/>
  <c r="CC28" i="4"/>
  <c r="DR28" i="4"/>
  <c r="EX128" i="4"/>
  <c r="CP4" i="4"/>
  <c r="DT114" i="4"/>
  <c r="ET42" i="4"/>
  <c r="FV80" i="4"/>
  <c r="DR29" i="4"/>
  <c r="FJ57" i="4"/>
  <c r="FE280" i="4"/>
  <c r="FJ136" i="4"/>
  <c r="FX48" i="4"/>
  <c r="CM6" i="4"/>
  <c r="EQ18" i="4"/>
  <c r="GG54" i="4"/>
  <c r="GL27" i="4"/>
  <c r="EA23" i="4"/>
  <c r="DK160" i="4"/>
  <c r="EX113" i="4"/>
  <c r="EJ226" i="4"/>
  <c r="FA219" i="4"/>
  <c r="DK304" i="4"/>
  <c r="CP365" i="4"/>
  <c r="DY258" i="4"/>
  <c r="DT178" i="4"/>
  <c r="EJ221" i="4"/>
  <c r="EC221" i="4"/>
  <c r="DV221" i="4"/>
  <c r="DR221" i="4"/>
  <c r="DH221" i="4"/>
  <c r="DA221" i="4"/>
  <c r="CT221" i="4"/>
  <c r="DO221" i="4"/>
  <c r="GL221" i="4"/>
  <c r="GE221" i="4"/>
  <c r="FX221" i="4"/>
  <c r="CP221" i="4"/>
  <c r="FJ221" i="4"/>
  <c r="FC221" i="4"/>
  <c r="EV221" i="4"/>
  <c r="CM221" i="4"/>
  <c r="EH221" i="4"/>
  <c r="EA221" i="4"/>
  <c r="DT221" i="4"/>
  <c r="FS221" i="4"/>
  <c r="DF221" i="4"/>
  <c r="CY221" i="4"/>
  <c r="CR221" i="4"/>
  <c r="FV221" i="4"/>
  <c r="FO221" i="4"/>
  <c r="GJ221" i="4"/>
  <c r="GC221" i="4"/>
  <c r="FQ221" i="4"/>
  <c r="EM221" i="4"/>
  <c r="FH221" i="4"/>
  <c r="FA221" i="4"/>
  <c r="EO221" i="4"/>
  <c r="DK221" i="4"/>
  <c r="EF221" i="4"/>
  <c r="DM221" i="4"/>
  <c r="CI221" i="4"/>
  <c r="DD221" i="4"/>
  <c r="CW221" i="4"/>
  <c r="CK221" i="4"/>
  <c r="GN221" i="4"/>
  <c r="GG221" i="4"/>
  <c r="FZ221" i="4"/>
  <c r="ET221" i="4"/>
  <c r="FL221" i="4"/>
  <c r="FE221" i="4"/>
  <c r="EX221" i="4"/>
  <c r="EQ221" i="4"/>
  <c r="GL202" i="4"/>
  <c r="GE202" i="4"/>
  <c r="EX202" i="4"/>
  <c r="FS202" i="4"/>
  <c r="FJ202" i="4"/>
  <c r="FC202" i="4"/>
  <c r="EV202" i="4"/>
  <c r="DO202" i="4"/>
  <c r="EA202" i="4"/>
  <c r="ET202" i="4"/>
  <c r="CP202" i="4"/>
  <c r="DF202" i="4"/>
  <c r="CY202" i="4"/>
  <c r="EQ202" i="4"/>
  <c r="CM202" i="4"/>
  <c r="FO202" i="4"/>
  <c r="GJ202" i="4"/>
  <c r="GC202" i="4"/>
  <c r="DV202" i="4"/>
  <c r="EM202" i="4"/>
  <c r="FH202" i="4"/>
  <c r="FA202" i="4"/>
  <c r="DT202" i="4"/>
  <c r="DK202" i="4"/>
  <c r="DY202" i="4"/>
  <c r="DR202" i="4"/>
  <c r="CI202" i="4"/>
  <c r="DD202" i="4"/>
  <c r="CW202" i="4"/>
  <c r="FZ202" i="4"/>
  <c r="GN202" i="4"/>
  <c r="GG202" i="4"/>
  <c r="FQ202" i="4"/>
  <c r="CT202" i="4"/>
  <c r="FL202" i="4"/>
  <c r="FE202" i="4"/>
  <c r="EO202" i="4"/>
  <c r="FX202" i="4"/>
  <c r="EJ202" i="4"/>
  <c r="EC202" i="4"/>
  <c r="DM202" i="4"/>
  <c r="CR202" i="4"/>
  <c r="DH202" i="4"/>
  <c r="DA202" i="4"/>
  <c r="CK202" i="4"/>
  <c r="FV202" i="4"/>
  <c r="DO75" i="4"/>
  <c r="EJ75" i="4"/>
  <c r="EC75" i="4"/>
  <c r="GE75" i="4"/>
  <c r="CM75" i="4"/>
  <c r="DH75" i="4"/>
  <c r="DA75" i="4"/>
  <c r="CY75" i="4"/>
  <c r="FQ75" i="4"/>
  <c r="GL75" i="4"/>
  <c r="FZ75" i="4"/>
  <c r="GC75" i="4"/>
  <c r="EO75" i="4"/>
  <c r="FJ75" i="4"/>
  <c r="EX75" i="4"/>
  <c r="CW75" i="4"/>
  <c r="DM75" i="4"/>
  <c r="EH75" i="4"/>
  <c r="DV75" i="4"/>
  <c r="FV75" i="4"/>
  <c r="CK75" i="4"/>
  <c r="DF75" i="4"/>
  <c r="CT75" i="4"/>
  <c r="CP75" i="4"/>
  <c r="FO75" i="4"/>
  <c r="GJ75" i="4"/>
  <c r="EV75" i="4"/>
  <c r="FA75" i="4"/>
  <c r="EM75" i="4"/>
  <c r="FH75" i="4"/>
  <c r="ET75" i="4"/>
  <c r="FX75" i="4"/>
  <c r="DK75" i="4"/>
  <c r="EF75" i="4"/>
  <c r="EA75" i="4"/>
  <c r="FC75" i="4"/>
  <c r="CI75" i="4"/>
  <c r="DD75" i="4"/>
  <c r="DY75" i="4"/>
  <c r="CR75" i="4"/>
  <c r="FS75" i="4"/>
  <c r="GN75" i="4"/>
  <c r="GG75" i="4"/>
  <c r="DT75" i="4"/>
  <c r="EQ75" i="4"/>
  <c r="FL75" i="4"/>
  <c r="FE75" i="4"/>
  <c r="GL315" i="4"/>
  <c r="GE315" i="4"/>
  <c r="FX315" i="4"/>
  <c r="CP315" i="4"/>
  <c r="FJ315" i="4"/>
  <c r="FC315" i="4"/>
  <c r="EV315" i="4"/>
  <c r="CM315" i="4"/>
  <c r="EH315" i="4"/>
  <c r="EA315" i="4"/>
  <c r="DT315" i="4"/>
  <c r="FV315" i="4"/>
  <c r="CY315" i="4"/>
  <c r="CR315" i="4"/>
  <c r="FS315" i="4"/>
  <c r="FO315" i="4"/>
  <c r="GJ315" i="4"/>
  <c r="GC315" i="4"/>
  <c r="FQ315" i="4"/>
  <c r="EM315" i="4"/>
  <c r="FH315" i="4"/>
  <c r="FA315" i="4"/>
  <c r="EO315" i="4"/>
  <c r="DK315" i="4"/>
  <c r="EF315" i="4"/>
  <c r="DY315" i="4"/>
  <c r="DM315" i="4"/>
  <c r="CI315" i="4"/>
  <c r="DD315" i="4"/>
  <c r="CW315" i="4"/>
  <c r="CK315" i="4"/>
  <c r="GN315" i="4"/>
  <c r="GG315" i="4"/>
  <c r="FZ315" i="4"/>
  <c r="ET315" i="4"/>
  <c r="FL315" i="4"/>
  <c r="FE315" i="4"/>
  <c r="EX315" i="4"/>
  <c r="EQ315" i="4"/>
  <c r="DH315" i="4"/>
  <c r="DA315" i="4"/>
  <c r="CT315" i="4"/>
  <c r="DO315" i="4"/>
  <c r="EJ15" i="4"/>
  <c r="GG15" i="4"/>
  <c r="DY15" i="4"/>
  <c r="CP15" i="4"/>
  <c r="DH15" i="4"/>
  <c r="FE15" i="4"/>
  <c r="CW15" i="4"/>
  <c r="FS15" i="4"/>
  <c r="FQ15" i="4"/>
  <c r="EC15" i="4"/>
  <c r="FX15" i="4"/>
  <c r="EQ15" i="4"/>
  <c r="GL15" i="4"/>
  <c r="DA15" i="4"/>
  <c r="FZ15" i="4"/>
  <c r="DO15" i="4"/>
  <c r="FJ15" i="4"/>
  <c r="FV15" i="4"/>
  <c r="EX15" i="4"/>
  <c r="CM15" i="4"/>
  <c r="EH15" i="4"/>
  <c r="GE15" i="4"/>
  <c r="FO15" i="4"/>
  <c r="DF15" i="4"/>
  <c r="FC15" i="4"/>
  <c r="CT15" i="4"/>
  <c r="EM15" i="4"/>
  <c r="FH15" i="4"/>
  <c r="CY15" i="4"/>
  <c r="DM15" i="4"/>
  <c r="CI15" i="4"/>
  <c r="FL15" i="4"/>
  <c r="CK15" i="4"/>
  <c r="FA15" i="4"/>
  <c r="ET15" i="4"/>
  <c r="CG43" i="4"/>
  <c r="DV43" i="4"/>
  <c r="FZ128" i="4"/>
  <c r="CK4" i="4"/>
  <c r="FX114" i="4"/>
  <c r="FQ42" i="4"/>
  <c r="DY80" i="4"/>
  <c r="GJ29" i="4"/>
  <c r="FO57" i="4"/>
  <c r="GL280" i="4"/>
  <c r="FO136" i="4"/>
  <c r="CP48" i="4"/>
  <c r="DO6" i="4"/>
  <c r="FS18" i="4"/>
  <c r="DH27" i="4"/>
  <c r="FC23" i="4"/>
  <c r="FJ113" i="4"/>
  <c r="DR315" i="4"/>
  <c r="CI375" i="4"/>
  <c r="DK349" i="4"/>
  <c r="EM5" i="4"/>
  <c r="CT219" i="4"/>
  <c r="CP304" i="4"/>
  <c r="FH365" i="4"/>
  <c r="GC178" i="4"/>
  <c r="EO258" i="4"/>
  <c r="DF258" i="4"/>
  <c r="GC258" i="4"/>
  <c r="DT258" i="4"/>
  <c r="DM258" i="4"/>
  <c r="FH258" i="4"/>
  <c r="EX258" i="4"/>
  <c r="CY258" i="4"/>
  <c r="CK258" i="4"/>
  <c r="EF258" i="4"/>
  <c r="DV258" i="4"/>
  <c r="CR258" i="4"/>
  <c r="FQ258" i="4"/>
  <c r="DD258" i="4"/>
  <c r="CT258" i="4"/>
  <c r="GG258" i="4"/>
  <c r="GL258" i="4"/>
  <c r="EM258" i="4"/>
  <c r="GN258" i="4"/>
  <c r="FX258" i="4"/>
  <c r="FJ258" i="4"/>
  <c r="DK258" i="4"/>
  <c r="FE258" i="4"/>
  <c r="ET258" i="4"/>
  <c r="GJ258" i="4"/>
  <c r="CI258" i="4"/>
  <c r="EC258" i="4"/>
  <c r="DR258" i="4"/>
  <c r="FV258" i="4"/>
  <c r="FO258" i="4"/>
  <c r="DA258" i="4"/>
  <c r="CP258" i="4"/>
  <c r="EQ258" i="4"/>
  <c r="GE258" i="4"/>
  <c r="FZ258" i="4"/>
  <c r="DO258" i="4"/>
  <c r="DH258" i="4"/>
  <c r="FA258" i="4"/>
  <c r="FC258" i="4"/>
  <c r="FS258" i="4"/>
  <c r="CW258" i="4"/>
  <c r="EA258" i="4"/>
  <c r="DD160" i="4"/>
  <c r="CW160" i="4"/>
  <c r="DH160" i="4"/>
  <c r="DR160" i="4"/>
  <c r="GG160" i="4"/>
  <c r="FX160" i="4"/>
  <c r="EX160" i="4"/>
  <c r="FZ160" i="4"/>
  <c r="FE160" i="4"/>
  <c r="EV160" i="4"/>
  <c r="CT160" i="4"/>
  <c r="EO160" i="4"/>
  <c r="EC160" i="4"/>
  <c r="DT160" i="4"/>
  <c r="ET160" i="4"/>
  <c r="DV160" i="4"/>
  <c r="DA160" i="4"/>
  <c r="CR160" i="4"/>
  <c r="CP160" i="4"/>
  <c r="GL160" i="4"/>
  <c r="GE160" i="4"/>
  <c r="FS160" i="4"/>
  <c r="EQ160" i="4"/>
  <c r="FJ160" i="4"/>
  <c r="FC160" i="4"/>
  <c r="DO160" i="4"/>
  <c r="CM160" i="4"/>
  <c r="EH160" i="4"/>
  <c r="EA160" i="4"/>
  <c r="FQ160" i="4"/>
  <c r="EM160" i="4"/>
  <c r="DF160" i="4"/>
  <c r="CY160" i="4"/>
  <c r="DM160" i="4"/>
  <c r="CI160" i="4"/>
  <c r="GJ160" i="4"/>
  <c r="GC160" i="4"/>
  <c r="FO160" i="4"/>
  <c r="GN160" i="4"/>
  <c r="EF160" i="4"/>
  <c r="DY160" i="4"/>
  <c r="FL160" i="4"/>
  <c r="FV160" i="4"/>
  <c r="CC47" i="4"/>
  <c r="DY47" i="4"/>
  <c r="CG36" i="4"/>
  <c r="CC54" i="4"/>
  <c r="DO54" i="4"/>
  <c r="EJ54" i="4"/>
  <c r="EC54" i="4"/>
  <c r="DR54" i="4"/>
  <c r="CM54" i="4"/>
  <c r="DA54" i="4"/>
  <c r="CP54" i="4"/>
  <c r="FQ54" i="4"/>
  <c r="GL54" i="4"/>
  <c r="GE54" i="4"/>
  <c r="DT54" i="4"/>
  <c r="EO54" i="4"/>
  <c r="FJ54" i="4"/>
  <c r="FC54" i="4"/>
  <c r="CT54" i="4"/>
  <c r="DM54" i="4"/>
  <c r="EH54" i="4"/>
  <c r="EA54" i="4"/>
  <c r="CR54" i="4"/>
  <c r="CK54" i="4"/>
  <c r="CY54" i="4"/>
  <c r="FZ54" i="4"/>
  <c r="FO54" i="4"/>
  <c r="GJ54" i="4"/>
  <c r="GC54" i="4"/>
  <c r="FX54" i="4"/>
  <c r="DK54" i="4"/>
  <c r="EF54" i="4"/>
  <c r="DY54" i="4"/>
  <c r="EV54" i="4"/>
  <c r="EQ54" i="4"/>
  <c r="FL54" i="4"/>
  <c r="FE54" i="4"/>
  <c r="ET54" i="4"/>
  <c r="CG98" i="4"/>
  <c r="EC98" i="4"/>
  <c r="CG108" i="4"/>
  <c r="FZ108" i="4"/>
  <c r="CE118" i="4"/>
  <c r="DF118" i="4"/>
  <c r="DY128" i="4"/>
  <c r="FA114" i="4"/>
  <c r="DM42" i="4"/>
  <c r="FE80" i="4"/>
  <c r="DF29" i="4"/>
  <c r="CK57" i="4"/>
  <c r="DH280" i="4"/>
  <c r="CK136" i="4"/>
  <c r="ET48" i="4"/>
  <c r="FS6" i="4"/>
  <c r="FV18" i="4"/>
  <c r="EA15" i="4"/>
  <c r="FH54" i="4"/>
  <c r="FQ27" i="4"/>
  <c r="GJ23" i="4"/>
  <c r="FH160" i="4"/>
  <c r="EO113" i="4"/>
  <c r="DK17" i="4"/>
  <c r="DV315" i="4"/>
  <c r="ET375" i="4"/>
  <c r="FS349" i="4"/>
  <c r="CW5" i="4"/>
  <c r="EC26" i="4"/>
  <c r="DF219" i="4"/>
  <c r="CW304" i="4"/>
  <c r="FZ365" i="4"/>
  <c r="CM258" i="4"/>
  <c r="GL178" i="4"/>
  <c r="ET157" i="4"/>
  <c r="FE157" i="4"/>
  <c r="FL157" i="4"/>
  <c r="EQ157" i="4"/>
  <c r="N284" i="4"/>
  <c r="CM235" i="4"/>
  <c r="DA97" i="4"/>
  <c r="CR157" i="4"/>
  <c r="DY157" i="4"/>
  <c r="EF157" i="4"/>
  <c r="DK157" i="4"/>
  <c r="DH90" i="4"/>
  <c r="DT157" i="4"/>
  <c r="GC157" i="4"/>
  <c r="GJ157" i="4"/>
  <c r="FO157" i="4"/>
  <c r="EQ145" i="4"/>
  <c r="DV157" i="4"/>
  <c r="DF157" i="4"/>
  <c r="CK157" i="4"/>
  <c r="EC125" i="4"/>
  <c r="DY65" i="4"/>
  <c r="EV157" i="4"/>
  <c r="EA157" i="4"/>
  <c r="EH157" i="4"/>
  <c r="DM157" i="4"/>
  <c r="DR158" i="4"/>
  <c r="EX157" i="4"/>
  <c r="FC157" i="4"/>
  <c r="FJ157" i="4"/>
  <c r="EO157" i="4"/>
  <c r="FX157" i="4"/>
  <c r="GE157" i="4"/>
  <c r="GL157" i="4"/>
  <c r="FQ157" i="4"/>
  <c r="N85" i="4"/>
  <c r="BY85" i="4" s="1"/>
  <c r="CP157" i="4"/>
  <c r="DH157" i="4"/>
  <c r="CM157" i="4"/>
  <c r="N201" i="4"/>
  <c r="BY201" i="4" s="1"/>
  <c r="HQ201" i="4"/>
  <c r="DR13" i="4"/>
  <c r="GL133" i="4"/>
  <c r="DR157" i="4"/>
  <c r="EC157" i="4"/>
  <c r="EJ157" i="4"/>
  <c r="DO157" i="4"/>
  <c r="DM119" i="4"/>
  <c r="N274" i="4"/>
  <c r="EF202" i="4"/>
  <c r="N202" i="4"/>
  <c r="N75" i="4"/>
  <c r="N220" i="4"/>
  <c r="N113" i="4"/>
  <c r="CA113" i="4" s="1"/>
  <c r="N148" i="4"/>
  <c r="HM148" i="4"/>
  <c r="HU194" i="4"/>
  <c r="CG219" i="4"/>
  <c r="HU219" i="4"/>
  <c r="HU267" i="4"/>
  <c r="AQ24" i="4"/>
  <c r="AS42" i="4"/>
  <c r="AQ42" i="4"/>
  <c r="AU5" i="4"/>
  <c r="CC6" i="4"/>
  <c r="AQ23" i="4"/>
  <c r="AS80" i="4"/>
  <c r="AS23" i="4"/>
  <c r="AO128" i="4"/>
  <c r="AQ80" i="4"/>
  <c r="AQ128" i="4"/>
  <c r="AQ57" i="4"/>
  <c r="AO5" i="4"/>
  <c r="AO157" i="4"/>
  <c r="AS157" i="4"/>
  <c r="CG4" i="4"/>
  <c r="AQ34" i="4"/>
  <c r="AS27" i="4"/>
  <c r="AQ157" i="4"/>
  <c r="AO34" i="4"/>
  <c r="AQ54" i="4"/>
  <c r="AQ27" i="4"/>
  <c r="AS155" i="4"/>
  <c r="AQ114" i="4"/>
  <c r="CE23" i="4"/>
  <c r="AQ48" i="4"/>
  <c r="AQ18" i="4"/>
  <c r="AS24" i="4"/>
  <c r="AQ155" i="4"/>
  <c r="AO114" i="4"/>
  <c r="CE204" i="4"/>
  <c r="CE304" i="4"/>
  <c r="CC60" i="4"/>
  <c r="CC202" i="4"/>
  <c r="CC267" i="4"/>
  <c r="CC148" i="4"/>
  <c r="CE248" i="4"/>
  <c r="CC315" i="4"/>
  <c r="CC226" i="4"/>
  <c r="CE267" i="4"/>
  <c r="CG279" i="4"/>
  <c r="CC17" i="4"/>
  <c r="CE110" i="4"/>
  <c r="CC114" i="4"/>
  <c r="CE27" i="4"/>
  <c r="CG202" i="4"/>
  <c r="CG148" i="4"/>
  <c r="CC23" i="4"/>
  <c r="CE113" i="4"/>
  <c r="AW128" i="4"/>
  <c r="CG315" i="4"/>
  <c r="CG110" i="4"/>
  <c r="CG128" i="4"/>
  <c r="CC27" i="4"/>
  <c r="CC29" i="4"/>
  <c r="CC5" i="4"/>
  <c r="CC178" i="4"/>
  <c r="CC362" i="4"/>
  <c r="CC239" i="4"/>
  <c r="CC157" i="4"/>
  <c r="CC128" i="4"/>
  <c r="CG5" i="4"/>
  <c r="CE221" i="4"/>
  <c r="CE360" i="4"/>
  <c r="CC194" i="4"/>
  <c r="CC247" i="4"/>
  <c r="CC305" i="4"/>
  <c r="CC160" i="4"/>
  <c r="CC42" i="4"/>
  <c r="CC324" i="4"/>
  <c r="CC220" i="4"/>
  <c r="CC347" i="4"/>
  <c r="CG221" i="4"/>
  <c r="CG362" i="4"/>
  <c r="CC34" i="4"/>
  <c r="CC241" i="4"/>
  <c r="CE305" i="4"/>
  <c r="CE42" i="4"/>
  <c r="CE220" i="4"/>
  <c r="CE347" i="4"/>
  <c r="CC57" i="4"/>
  <c r="CC381" i="4"/>
  <c r="CE6" i="4"/>
  <c r="CC222" i="4"/>
  <c r="CC377" i="4"/>
  <c r="CE75" i="4"/>
  <c r="CG160" i="4"/>
  <c r="CC155" i="4"/>
  <c r="CC104" i="4"/>
  <c r="CE57" i="4"/>
  <c r="CG34" i="4"/>
  <c r="CG75" i="4"/>
  <c r="CC318" i="4"/>
  <c r="CC344" i="4"/>
  <c r="CE155" i="4"/>
  <c r="CE349" i="4"/>
  <c r="CC80" i="4"/>
  <c r="CC365" i="4"/>
  <c r="CG222" i="4"/>
  <c r="CC24" i="4"/>
  <c r="CC258" i="4"/>
  <c r="CG349" i="4"/>
  <c r="CE80" i="4"/>
  <c r="CE365" i="4"/>
  <c r="CG280" i="4"/>
  <c r="CC189" i="4"/>
  <c r="CC388" i="4"/>
  <c r="CE24" i="4"/>
  <c r="CE15" i="4"/>
  <c r="CE262" i="4"/>
  <c r="CG274" i="4"/>
  <c r="CC375" i="4"/>
  <c r="CC379" i="4"/>
  <c r="CC48" i="4"/>
  <c r="CE388" i="4"/>
  <c r="CE351" i="4"/>
  <c r="CC319" i="4"/>
  <c r="CC376" i="4"/>
  <c r="CE375" i="4"/>
  <c r="CE379" i="4"/>
  <c r="CC304" i="4"/>
  <c r="CG189" i="4"/>
  <c r="CC248" i="4"/>
  <c r="CC279" i="4"/>
  <c r="HU5" i="4"/>
  <c r="HM5" i="4" s="1"/>
  <c r="HU58" i="4"/>
  <c r="HU6" i="4"/>
  <c r="HU34" i="4"/>
  <c r="HU18" i="4"/>
  <c r="HU239" i="4"/>
  <c r="AU114" i="4"/>
  <c r="HU114" i="4"/>
  <c r="HU381" i="4"/>
  <c r="HU17" i="4"/>
  <c r="AY42" i="4"/>
  <c r="HU42" i="4"/>
  <c r="HU24" i="4"/>
  <c r="HU4" i="4"/>
  <c r="AY80" i="4"/>
  <c r="HU80" i="4"/>
  <c r="HU29" i="4"/>
  <c r="HU15" i="4"/>
  <c r="HU204" i="4"/>
  <c r="AW57" i="4"/>
  <c r="HU57" i="4"/>
  <c r="AS57" i="4" s="1"/>
  <c r="HU48" i="4"/>
  <c r="HU54" i="4"/>
  <c r="HU280" i="4"/>
  <c r="HU136" i="4"/>
  <c r="N367" i="4"/>
  <c r="BW367" i="4" s="1"/>
  <c r="N270" i="4"/>
  <c r="CA270" i="4" s="1"/>
  <c r="N194" i="4"/>
  <c r="CA194" i="4" s="1"/>
  <c r="N219" i="4"/>
  <c r="K7" i="15"/>
  <c r="Q7" i="15" s="1"/>
  <c r="N267" i="4"/>
  <c r="N173" i="4"/>
  <c r="N307" i="4"/>
  <c r="CA307" i="4" s="1"/>
  <c r="N306" i="4"/>
  <c r="HM306" i="4"/>
  <c r="N56" i="4"/>
  <c r="BY56" i="4" s="1"/>
  <c r="HQ56" i="4"/>
  <c r="N198" i="4"/>
  <c r="BY198" i="4" s="1"/>
  <c r="HQ198" i="4"/>
  <c r="N183" i="4"/>
  <c r="N167" i="4"/>
  <c r="N164" i="4"/>
  <c r="CA164" i="4" s="1"/>
  <c r="HM164" i="4"/>
  <c r="N128" i="4"/>
  <c r="CA128" i="4" s="1"/>
  <c r="N78" i="4"/>
  <c r="CA78" i="4" s="1"/>
  <c r="N40" i="4"/>
  <c r="BY40" i="4" s="1"/>
  <c r="N232" i="4"/>
  <c r="HQ232" i="4"/>
  <c r="N147" i="4"/>
  <c r="N300" i="4"/>
  <c r="HQ300" i="4"/>
  <c r="N273" i="4"/>
  <c r="BY273" i="4" s="1"/>
  <c r="N295" i="4"/>
  <c r="BY295" i="4" s="1"/>
  <c r="HQ295" i="4"/>
  <c r="N272" i="4"/>
  <c r="CA249" i="4"/>
  <c r="BY119" i="4"/>
  <c r="BW65" i="4"/>
  <c r="N321" i="4"/>
  <c r="CA321" i="4" s="1"/>
  <c r="N254" i="4"/>
  <c r="HQ254" i="4"/>
  <c r="N188" i="4"/>
  <c r="N70" i="4"/>
  <c r="BY70" i="4" s="1"/>
  <c r="N171" i="4"/>
  <c r="CA171" i="4" s="1"/>
  <c r="N100" i="4"/>
  <c r="HM100" i="4"/>
  <c r="N213" i="4"/>
  <c r="N142" i="4"/>
  <c r="BY142" i="4" s="1"/>
  <c r="HQ142" i="4"/>
  <c r="N127" i="4"/>
  <c r="CA127" i="4" s="1"/>
  <c r="N293" i="4"/>
  <c r="CA293" i="4" s="1"/>
  <c r="HM293" i="4"/>
  <c r="N291" i="4"/>
  <c r="BY291" i="4" s="1"/>
  <c r="N157" i="4"/>
  <c r="BY157" i="4" s="1"/>
  <c r="N170" i="4"/>
  <c r="CA170" i="4" s="1"/>
  <c r="HQ170" i="4"/>
  <c r="N314" i="4"/>
  <c r="BY314" i="4" s="1"/>
  <c r="HQ314" i="4"/>
  <c r="N296" i="4"/>
  <c r="BY296" i="4" s="1"/>
  <c r="N199" i="4"/>
  <c r="CA138" i="4"/>
  <c r="N185" i="4"/>
  <c r="N73" i="4"/>
  <c r="N192" i="4"/>
  <c r="BY192" i="4" s="1"/>
  <c r="HQ192" i="4"/>
  <c r="N186" i="4"/>
  <c r="N225" i="4"/>
  <c r="HM225" i="4"/>
  <c r="N44" i="4"/>
  <c r="BY44" i="4" s="1"/>
  <c r="HQ44" i="4"/>
  <c r="BY118" i="4"/>
  <c r="N238" i="4"/>
  <c r="N260" i="4"/>
  <c r="CA260" i="4" s="1"/>
  <c r="HM260" i="4"/>
  <c r="N132" i="4"/>
  <c r="CA132" i="4" s="1"/>
  <c r="HK132" i="4"/>
  <c r="N217" i="4"/>
  <c r="N101" i="4"/>
  <c r="HK101" i="4"/>
  <c r="N203" i="4"/>
  <c r="N286" i="4"/>
  <c r="N317" i="4"/>
  <c r="N212" i="4"/>
  <c r="CA212" i="4" s="1"/>
  <c r="HQ212" i="4"/>
  <c r="N107" i="4"/>
  <c r="BW107" i="4" s="1"/>
  <c r="N61" i="4"/>
  <c r="N280" i="4"/>
  <c r="K10" i="15"/>
  <c r="Q10" i="15" s="1"/>
  <c r="D498" i="11" s="1"/>
  <c r="N329" i="4"/>
  <c r="N261" i="4"/>
  <c r="BW261" i="4" s="1"/>
  <c r="N59" i="4"/>
  <c r="BY59" i="4" s="1"/>
  <c r="HQ59" i="4"/>
  <c r="N20" i="4"/>
  <c r="BY20" i="4" s="1"/>
  <c r="N200" i="4"/>
  <c r="N265" i="4"/>
  <c r="HM265" i="4"/>
  <c r="N259" i="4"/>
  <c r="HQ259" i="4"/>
  <c r="N50" i="4"/>
  <c r="HQ50" i="4"/>
  <c r="BY115" i="4"/>
  <c r="CE136" i="4"/>
  <c r="N215" i="4"/>
  <c r="HQ215" i="4"/>
  <c r="N216" i="4"/>
  <c r="N266" i="4"/>
  <c r="N292" i="4"/>
  <c r="N184" i="4"/>
  <c r="HQ184" i="4"/>
  <c r="N357" i="4"/>
  <c r="N193" i="4"/>
  <c r="HQ193" i="4"/>
  <c r="BY250" i="4"/>
  <c r="N294" i="4"/>
  <c r="N256" i="4"/>
  <c r="N298" i="4"/>
  <c r="BY298" i="4" s="1"/>
  <c r="N237" i="4"/>
  <c r="N77" i="4"/>
  <c r="CA77" i="4" s="1"/>
  <c r="N299" i="4"/>
  <c r="BW299" i="4" s="1"/>
  <c r="HQ299" i="4"/>
  <c r="N211" i="4"/>
  <c r="N210" i="4"/>
  <c r="N93" i="4"/>
  <c r="CA93" i="4" s="1"/>
  <c r="N252" i="4"/>
  <c r="BY252" i="4" s="1"/>
  <c r="HQ252" i="4"/>
  <c r="N84" i="4"/>
  <c r="BY84" i="4" s="1"/>
  <c r="N149" i="4"/>
  <c r="HM149" i="4"/>
  <c r="N25" i="4"/>
  <c r="N139" i="4"/>
  <c r="N79" i="4"/>
  <c r="HQ79" i="4"/>
  <c r="BW13" i="4"/>
  <c r="N264" i="4"/>
  <c r="BY264" i="4" s="1"/>
  <c r="N166" i="4"/>
  <c r="BY166" i="4" s="1"/>
  <c r="HQ166" i="4"/>
  <c r="N313" i="4"/>
  <c r="N151" i="4"/>
  <c r="HQ151" i="4"/>
  <c r="N302" i="4"/>
  <c r="N134" i="4"/>
  <c r="N187" i="4"/>
  <c r="BY187" i="4" s="1"/>
  <c r="N336" i="4"/>
  <c r="N301" i="4"/>
  <c r="N121" i="4"/>
  <c r="BY121" i="4" s="1"/>
  <c r="HQ121" i="4"/>
  <c r="N182" i="4"/>
  <c r="BY182" i="4" s="1"/>
  <c r="HQ182" i="4"/>
  <c r="N268" i="4"/>
  <c r="BW268" i="4" s="1"/>
  <c r="HM268" i="4"/>
  <c r="N255" i="4"/>
  <c r="CA255" i="4" s="1"/>
  <c r="N176" i="4"/>
  <c r="HM176" i="4"/>
  <c r="N154" i="4"/>
  <c r="CA154" i="4" s="1"/>
  <c r="N99" i="4"/>
  <c r="N150" i="4"/>
  <c r="BY150" i="4" s="1"/>
  <c r="N143" i="4"/>
  <c r="N83" i="4"/>
  <c r="CA83" i="4" s="1"/>
  <c r="CA90" i="4"/>
  <c r="N136" i="4"/>
  <c r="N54" i="4"/>
  <c r="BW158" i="4"/>
  <c r="N204" i="4"/>
  <c r="BW204" i="4" s="1"/>
  <c r="N257" i="4"/>
  <c r="N240" i="4"/>
  <c r="BY240" i="4" s="1"/>
  <c r="N381" i="4"/>
  <c r="BW137" i="4"/>
  <c r="BW80" i="4"/>
  <c r="BY80" i="4"/>
  <c r="H4" i="15"/>
  <c r="H10" i="15"/>
  <c r="H13" i="15"/>
  <c r="H12" i="15"/>
  <c r="H8" i="15"/>
  <c r="H11" i="15"/>
  <c r="H17" i="15"/>
  <c r="H16" i="15"/>
  <c r="AE7" i="15"/>
  <c r="H15" i="15"/>
  <c r="H5" i="15"/>
  <c r="H7" i="15"/>
  <c r="H14" i="15"/>
  <c r="H3" i="15"/>
  <c r="H6" i="15"/>
  <c r="H9" i="15"/>
  <c r="AW54" i="4"/>
  <c r="AW42" i="4"/>
  <c r="AW48" i="4"/>
  <c r="AW80" i="4"/>
  <c r="AY24" i="4"/>
  <c r="AW24" i="4"/>
  <c r="AW114" i="4"/>
  <c r="AW18" i="4"/>
  <c r="CA126" i="4"/>
  <c r="CA82" i="4"/>
  <c r="CA141" i="4"/>
  <c r="E12" i="13"/>
  <c r="W12" i="13" s="1"/>
  <c r="F332" i="5"/>
  <c r="Z12" i="13"/>
  <c r="C328" i="5"/>
  <c r="F327" i="5"/>
  <c r="AB12" i="13"/>
  <c r="X12" i="13"/>
  <c r="D328" i="5"/>
  <c r="AD12" i="13"/>
  <c r="H12" i="13"/>
  <c r="G12" i="13" s="1"/>
  <c r="C497" i="11" s="1"/>
  <c r="C323" i="5"/>
  <c r="AF12" i="13"/>
  <c r="B336" i="5"/>
  <c r="P12" i="13"/>
  <c r="O12" i="13" s="1"/>
  <c r="C554" i="11" s="1"/>
  <c r="E323" i="5"/>
  <c r="AH12" i="13"/>
  <c r="D336" i="5"/>
  <c r="E328" i="5"/>
  <c r="D323" i="5"/>
  <c r="L12" i="13"/>
  <c r="K12" i="13" s="1"/>
  <c r="F322" i="5"/>
  <c r="AK154" i="4"/>
  <c r="AI154" i="4" s="1"/>
  <c r="AK127" i="4"/>
  <c r="AI127" i="4" s="1"/>
  <c r="AK83" i="4"/>
  <c r="M83" i="4" s="1"/>
  <c r="AK182" i="4"/>
  <c r="AI182" i="4" s="1"/>
  <c r="AK210" i="4"/>
  <c r="AI210" i="4" s="1"/>
  <c r="AK128" i="4"/>
  <c r="AI128" i="4" s="1"/>
  <c r="AK298" i="4"/>
  <c r="AI298" i="4" s="1"/>
  <c r="AK78" i="4"/>
  <c r="AI78" i="4" s="1"/>
  <c r="AK300" i="4"/>
  <c r="AI300" i="4" s="1"/>
  <c r="AK186" i="4"/>
  <c r="AI186" i="4" s="1"/>
  <c r="AK306" i="4"/>
  <c r="AI306" i="4" s="1"/>
  <c r="AK228" i="4"/>
  <c r="M228" i="4" s="1"/>
  <c r="AK142" i="4"/>
  <c r="AI142" i="4" s="1"/>
  <c r="AK301" i="4"/>
  <c r="AI301" i="4" s="1"/>
  <c r="AK138" i="4"/>
  <c r="M138" i="4" s="1"/>
  <c r="AK157" i="4"/>
  <c r="AI157" i="4" s="1"/>
  <c r="AK131" i="4"/>
  <c r="M131" i="4" s="1"/>
  <c r="AK168" i="4"/>
  <c r="M168" i="4" s="1"/>
  <c r="AK256" i="4"/>
  <c r="AI256" i="4" s="1"/>
  <c r="AK150" i="4"/>
  <c r="AI150" i="4" s="1"/>
  <c r="AK273" i="4"/>
  <c r="AI273" i="4" s="1"/>
  <c r="AK176" i="4"/>
  <c r="AI176" i="4" s="1"/>
  <c r="AK295" i="4"/>
  <c r="AI295" i="4" s="1"/>
  <c r="AK286" i="4"/>
  <c r="AI286" i="4" s="1"/>
  <c r="AK73" i="4"/>
  <c r="AI73" i="4" s="1"/>
  <c r="AK132" i="4"/>
  <c r="AI132" i="4" s="1"/>
  <c r="AK188" i="4"/>
  <c r="AI188" i="4" s="1"/>
  <c r="AK322" i="4"/>
  <c r="AI322" i="4" s="1"/>
  <c r="AK130" i="4"/>
  <c r="M130" i="4" s="1"/>
  <c r="AK40" i="4"/>
  <c r="AI40" i="4" s="1"/>
  <c r="AK199" i="4"/>
  <c r="AI199" i="4" s="1"/>
  <c r="AK106" i="4"/>
  <c r="M106" i="4" s="1"/>
  <c r="AK95" i="4"/>
  <c r="M95" i="4" s="1"/>
  <c r="AK213" i="4"/>
  <c r="AI213" i="4" s="1"/>
  <c r="AK211" i="4"/>
  <c r="AI211" i="4" s="1"/>
  <c r="AK237" i="4"/>
  <c r="AI237" i="4" s="1"/>
  <c r="AK291" i="4"/>
  <c r="AI291" i="4" s="1"/>
  <c r="AK187" i="4"/>
  <c r="AI187" i="4" s="1"/>
  <c r="AK193" i="4"/>
  <c r="AK357" i="4"/>
  <c r="AI357" i="4" s="1"/>
  <c r="AK151" i="4"/>
  <c r="AI151" i="4" s="1"/>
  <c r="AK170" i="4"/>
  <c r="AI170" i="4" s="1"/>
  <c r="AK44" i="4"/>
  <c r="AI44" i="4" s="1"/>
  <c r="AK136" i="4"/>
  <c r="M136" i="4" s="1"/>
  <c r="AK167" i="4"/>
  <c r="AI167" i="4" s="1"/>
  <c r="AK94" i="4"/>
  <c r="M94" i="4" s="1"/>
  <c r="AK149" i="4"/>
  <c r="AI149" i="4" s="1"/>
  <c r="AK264" i="4"/>
  <c r="AK183" i="4"/>
  <c r="AI183" i="4" s="1"/>
  <c r="AK336" i="4"/>
  <c r="AI336" i="4" s="1"/>
  <c r="AK173" i="4"/>
  <c r="AI173" i="4" s="1"/>
  <c r="AK143" i="4"/>
  <c r="AI143" i="4" s="1"/>
  <c r="AK185" i="4"/>
  <c r="AI185" i="4" s="1"/>
  <c r="AK126" i="4"/>
  <c r="M126" i="4" s="1"/>
  <c r="AK97" i="4"/>
  <c r="M97" i="4" s="1"/>
  <c r="AK265" i="4"/>
  <c r="AI265" i="4" s="1"/>
  <c r="AK307" i="4"/>
  <c r="AI307" i="4" s="1"/>
  <c r="AK231" i="4"/>
  <c r="AI231" i="4" s="1"/>
  <c r="AK261" i="4"/>
  <c r="AK147" i="4"/>
  <c r="AI147" i="4" s="1"/>
  <c r="AK314" i="4"/>
  <c r="AI314" i="4" s="1"/>
  <c r="AK184" i="4"/>
  <c r="AI184" i="4" s="1"/>
  <c r="AK254" i="4"/>
  <c r="AI254" i="4" s="1"/>
  <c r="AK308" i="4"/>
  <c r="AK141" i="4"/>
  <c r="M141" i="4" s="1"/>
  <c r="AK192" i="4"/>
  <c r="AI192" i="4" s="1"/>
  <c r="AK164" i="4"/>
  <c r="AI164" i="4" s="1"/>
  <c r="AK225" i="4"/>
  <c r="AI225" i="4" s="1"/>
  <c r="AK137" i="4"/>
  <c r="M137" i="4" s="1"/>
  <c r="AK98" i="4"/>
  <c r="M98" i="4" s="1"/>
  <c r="AK212" i="4"/>
  <c r="AI212" i="4" s="1"/>
  <c r="AK294" i="4"/>
  <c r="AI294" i="4" s="1"/>
  <c r="AK252" i="4"/>
  <c r="AI252" i="4" s="1"/>
  <c r="AK296" i="4"/>
  <c r="AI296" i="4" s="1"/>
  <c r="AK293" i="4"/>
  <c r="AI293" i="4" s="1"/>
  <c r="AK101" i="4"/>
  <c r="AI101" i="4" s="1"/>
  <c r="AK69" i="4"/>
  <c r="M69" i="4" s="1"/>
  <c r="AK140" i="4"/>
  <c r="M140" i="4" s="1"/>
  <c r="AK52" i="4"/>
  <c r="M52" i="4" s="1"/>
  <c r="AK255" i="4"/>
  <c r="AI255" i="4" s="1"/>
  <c r="AK100" i="4"/>
  <c r="AI100" i="4" s="1"/>
  <c r="AK56" i="4"/>
  <c r="AI56" i="4" s="1"/>
  <c r="AK280" i="4"/>
  <c r="AK84" i="4"/>
  <c r="M84" i="4" s="1"/>
  <c r="AK216" i="4"/>
  <c r="AK321" i="4"/>
  <c r="AI321" i="4" s="1"/>
  <c r="AK328" i="4"/>
  <c r="AI328" i="4" s="1"/>
  <c r="AK200" i="4"/>
  <c r="AI200" i="4" s="1"/>
  <c r="AK99" i="4"/>
  <c r="AI99" i="4" s="1"/>
  <c r="AK203" i="4"/>
  <c r="AI203" i="4" s="1"/>
  <c r="AK272" i="4"/>
  <c r="AI272" i="4" s="1"/>
  <c r="AK260" i="4"/>
  <c r="AI260" i="4" s="1"/>
  <c r="AK238" i="4"/>
  <c r="AI238" i="4" s="1"/>
  <c r="AK134" i="4"/>
  <c r="AI134" i="4" s="1"/>
  <c r="AK49" i="4"/>
  <c r="M49" i="4" s="1"/>
  <c r="AK53" i="4"/>
  <c r="M53" i="4" s="1"/>
  <c r="AK54" i="4"/>
  <c r="M54" i="4" s="1"/>
  <c r="AK43" i="4"/>
  <c r="M43" i="4" s="1"/>
  <c r="AK59" i="4"/>
  <c r="AI59" i="4" s="1"/>
  <c r="AK38" i="4"/>
  <c r="M38" i="4" s="1"/>
  <c r="AK121" i="4"/>
  <c r="AI121" i="4" s="1"/>
  <c r="AK329" i="4"/>
  <c r="AI329" i="4" s="1"/>
  <c r="AK259" i="4"/>
  <c r="AI259" i="4" s="1"/>
  <c r="AK20" i="4"/>
  <c r="AK302" i="4"/>
  <c r="AI302" i="4" s="1"/>
  <c r="AK215" i="4"/>
  <c r="AK96" i="4"/>
  <c r="M96" i="4" s="1"/>
  <c r="AK172" i="4"/>
  <c r="M172" i="4" s="1"/>
  <c r="AK268" i="4"/>
  <c r="AI268" i="4" s="1"/>
  <c r="AK198" i="4"/>
  <c r="AK299" i="4"/>
  <c r="AI299" i="4" s="1"/>
  <c r="AK61" i="4"/>
  <c r="AI61" i="4" s="1"/>
  <c r="AK292" i="4"/>
  <c r="AI292" i="4" s="1"/>
  <c r="AK317" i="4"/>
  <c r="AI317" i="4" s="1"/>
  <c r="AK313" i="4"/>
  <c r="AI313" i="4" s="1"/>
  <c r="AK342" i="4"/>
  <c r="CA172" i="4"/>
  <c r="CA140" i="4"/>
  <c r="CA38" i="4"/>
  <c r="BY94" i="4"/>
  <c r="BY52" i="4"/>
  <c r="CA95" i="4"/>
  <c r="BY204" i="4"/>
  <c r="CA202" i="4"/>
  <c r="BW388" i="4"/>
  <c r="BW248" i="4"/>
  <c r="BY379" i="4"/>
  <c r="CA32" i="4"/>
  <c r="BW324" i="4"/>
  <c r="BW60" i="4"/>
  <c r="CA221" i="4"/>
  <c r="BY381" i="4"/>
  <c r="BW202" i="4"/>
  <c r="BW258" i="4"/>
  <c r="CA318" i="4"/>
  <c r="BY110" i="4"/>
  <c r="BW160" i="4"/>
  <c r="BY388" i="4"/>
  <c r="CA104" i="4"/>
  <c r="CA110" i="4"/>
  <c r="BW178" i="4"/>
  <c r="BW189" i="4"/>
  <c r="BW347" i="4"/>
  <c r="BW194" i="4"/>
  <c r="BW148" i="4"/>
  <c r="BW239" i="4"/>
  <c r="CA108" i="4"/>
  <c r="BW219" i="4"/>
  <c r="BW304" i="4"/>
  <c r="BW365" i="4"/>
  <c r="BW381" i="4"/>
  <c r="BY113" i="4"/>
  <c r="BY375" i="4"/>
  <c r="CA168" i="4"/>
  <c r="BY304" i="4"/>
  <c r="BY365" i="4"/>
  <c r="CA98" i="4"/>
  <c r="CA189" i="4"/>
  <c r="BY347" i="4"/>
  <c r="CA148" i="4"/>
  <c r="CA160" i="4"/>
  <c r="CA97" i="4"/>
  <c r="BW315" i="4"/>
  <c r="BW375" i="4"/>
  <c r="BW220" i="4"/>
  <c r="BW222" i="4"/>
  <c r="CA362" i="4"/>
  <c r="BY96" i="4"/>
  <c r="BW62" i="4"/>
  <c r="CA315" i="4"/>
  <c r="BY349" i="4"/>
  <c r="CA219" i="4"/>
  <c r="BW360" i="4"/>
  <c r="CA222" i="4"/>
  <c r="BY75" i="4"/>
  <c r="CA251" i="4"/>
  <c r="BY305" i="4"/>
  <c r="BY360" i="4"/>
  <c r="BW267" i="4"/>
  <c r="BW279" i="4"/>
  <c r="BW319" i="4"/>
  <c r="BW305" i="4"/>
  <c r="BW344" i="4"/>
  <c r="BY220" i="4"/>
  <c r="BW226" i="4"/>
  <c r="BY221" i="4"/>
  <c r="CA274" i="4"/>
  <c r="BW246" i="4"/>
  <c r="CA75" i="4"/>
  <c r="CA279" i="4"/>
  <c r="BY324" i="4"/>
  <c r="BW377" i="4"/>
  <c r="BW241" i="4"/>
  <c r="BY106" i="4"/>
  <c r="BY267" i="4"/>
  <c r="BY351" i="4"/>
  <c r="BW104" i="4"/>
  <c r="BY376" i="4"/>
  <c r="CA208" i="4"/>
  <c r="CA131" i="4"/>
  <c r="N22" i="4"/>
  <c r="N91" i="4"/>
  <c r="N48" i="4"/>
  <c r="N33" i="4"/>
  <c r="N67" i="4"/>
  <c r="N11" i="4"/>
  <c r="N58" i="4"/>
  <c r="N26" i="4"/>
  <c r="N68" i="4"/>
  <c r="N81" i="4"/>
  <c r="N10" i="4"/>
  <c r="N17" i="4"/>
  <c r="N47" i="4"/>
  <c r="N37" i="4"/>
  <c r="N89" i="4"/>
  <c r="N23" i="4"/>
  <c r="N421" i="4"/>
  <c r="CA421" i="4" s="1"/>
  <c r="N4" i="4"/>
  <c r="N114" i="4"/>
  <c r="N14" i="4"/>
  <c r="N21" i="4"/>
  <c r="N29" i="4"/>
  <c r="N116" i="4"/>
  <c r="N35" i="4"/>
  <c r="N9" i="4"/>
  <c r="N92" i="4"/>
  <c r="N30" i="4"/>
  <c r="N42" i="4"/>
  <c r="N19" i="4"/>
  <c r="N36" i="4"/>
  <c r="N66" i="4"/>
  <c r="N5" i="4"/>
  <c r="N24" i="4"/>
  <c r="N31" i="4"/>
  <c r="N55" i="4"/>
  <c r="N6" i="4"/>
  <c r="N46" i="4"/>
  <c r="N80" i="4"/>
  <c r="N27" i="4"/>
  <c r="N15" i="4"/>
  <c r="N16" i="4"/>
  <c r="N28" i="4"/>
  <c r="N155" i="4"/>
  <c r="N18" i="4"/>
  <c r="N12" i="4"/>
  <c r="N7" i="4"/>
  <c r="N8" i="4"/>
  <c r="N239" i="4"/>
  <c r="BY239" i="4" s="1"/>
  <c r="AC8" i="13"/>
  <c r="B316" i="5"/>
  <c r="N322" i="4"/>
  <c r="N231" i="4"/>
  <c r="N308" i="4"/>
  <c r="N328" i="4"/>
  <c r="BW328" i="4" s="1"/>
  <c r="N205" i="4"/>
  <c r="BY205" i="4" s="1"/>
  <c r="N342" i="4"/>
  <c r="N228" i="4"/>
  <c r="C303" i="5"/>
  <c r="G6" i="13"/>
  <c r="F307" i="5"/>
  <c r="C308" i="5"/>
  <c r="F302" i="5"/>
  <c r="E303" i="5"/>
  <c r="D308" i="5"/>
  <c r="D303" i="5"/>
  <c r="E308" i="5"/>
  <c r="D316" i="5"/>
  <c r="AG8" i="13"/>
  <c r="N88" i="4"/>
  <c r="CA88" i="4" s="1"/>
  <c r="N320" i="4"/>
  <c r="BW320" i="4" s="1"/>
  <c r="N214" i="4"/>
  <c r="N218" i="4"/>
  <c r="BY218" i="4" s="1"/>
  <c r="N39" i="4"/>
  <c r="N112" i="4"/>
  <c r="N297" i="4"/>
  <c r="CA297" i="4" s="1"/>
  <c r="N316" i="4"/>
  <c r="BY316" i="4" s="1"/>
  <c r="O8" i="13"/>
  <c r="F312" i="5"/>
  <c r="E8" i="13"/>
  <c r="W8" i="13" s="1"/>
  <c r="G8" i="13"/>
  <c r="K8" i="13"/>
  <c r="C263" i="5"/>
  <c r="E263" i="5"/>
  <c r="B276" i="5"/>
  <c r="F267" i="5"/>
  <c r="D263" i="5"/>
  <c r="C268" i="5"/>
  <c r="D268" i="5"/>
  <c r="F262" i="5"/>
  <c r="E268" i="5"/>
  <c r="K6" i="13"/>
  <c r="D276" i="5"/>
  <c r="D283" i="5"/>
  <c r="E17" i="13"/>
  <c r="W17" i="13" s="1"/>
  <c r="D288" i="5"/>
  <c r="G17" i="13"/>
  <c r="C283" i="5"/>
  <c r="E5" i="13"/>
  <c r="W5" i="13" s="1"/>
  <c r="F282" i="5"/>
  <c r="AC6" i="13"/>
  <c r="P6" i="13"/>
  <c r="O6" i="13" s="1"/>
  <c r="B296" i="5"/>
  <c r="AG6" i="13"/>
  <c r="E288" i="5"/>
  <c r="D296" i="5"/>
  <c r="C288" i="5"/>
  <c r="E7" i="13"/>
  <c r="W7" i="13" s="1"/>
  <c r="F287" i="5"/>
  <c r="G15" i="13"/>
  <c r="C503" i="11" s="1"/>
  <c r="E10" i="13"/>
  <c r="W10" i="13" s="1"/>
  <c r="F247" i="5"/>
  <c r="E11" i="13"/>
  <c r="W11" i="13" s="1"/>
  <c r="E16" i="13"/>
  <c r="W16" i="13" s="1"/>
  <c r="E6" i="13"/>
  <c r="W6" i="13" s="1"/>
  <c r="F272" i="5"/>
  <c r="E13" i="13"/>
  <c r="W13" i="13" s="1"/>
  <c r="E9" i="13"/>
  <c r="W9" i="13" s="1"/>
  <c r="F292" i="5"/>
  <c r="E14" i="13"/>
  <c r="W14" i="13" s="1"/>
  <c r="E15" i="13"/>
  <c r="W15" i="13" s="1"/>
  <c r="F112" i="5"/>
  <c r="E243" i="5"/>
  <c r="D248" i="5"/>
  <c r="P11" i="13"/>
  <c r="O11" i="13" s="1"/>
  <c r="C555" i="11" s="1"/>
  <c r="C248" i="5"/>
  <c r="F242" i="5"/>
  <c r="E248" i="5"/>
  <c r="D256" i="5"/>
  <c r="B257" i="5" s="1"/>
  <c r="C243" i="5"/>
  <c r="F252" i="5"/>
  <c r="D243" i="5"/>
  <c r="L11" i="13"/>
  <c r="K11" i="13" s="1"/>
  <c r="G11" i="13"/>
  <c r="C498" i="11" s="1"/>
  <c r="F132" i="5"/>
  <c r="F192" i="5"/>
  <c r="F92" i="5"/>
  <c r="F52" i="5"/>
  <c r="F172" i="5"/>
  <c r="F212" i="5"/>
  <c r="F152" i="5"/>
  <c r="F232" i="5"/>
  <c r="D108" i="5"/>
  <c r="AD13" i="13"/>
  <c r="C203" i="5"/>
  <c r="H7" i="13"/>
  <c r="G7" i="13" s="1"/>
  <c r="C500" i="11" s="1"/>
  <c r="D163" i="5"/>
  <c r="L16" i="13"/>
  <c r="K16" i="13" s="1"/>
  <c r="D223" i="5"/>
  <c r="L15" i="13"/>
  <c r="K15" i="13" s="1"/>
  <c r="D96" i="5"/>
  <c r="D156" i="5"/>
  <c r="L13" i="13"/>
  <c r="K13" i="13" s="1"/>
  <c r="D203" i="5"/>
  <c r="L7" i="13"/>
  <c r="K7" i="13" s="1"/>
  <c r="Z10" i="13"/>
  <c r="D228" i="5"/>
  <c r="AD15" i="13"/>
  <c r="H14" i="13"/>
  <c r="G14" i="13" s="1"/>
  <c r="C499" i="11" s="1"/>
  <c r="E108" i="5"/>
  <c r="B216" i="5"/>
  <c r="P7" i="13"/>
  <c r="O7" i="13" s="1"/>
  <c r="C557" i="11" s="1"/>
  <c r="D148" i="5"/>
  <c r="B196" i="5"/>
  <c r="P17" i="13"/>
  <c r="O17" i="13" s="1"/>
  <c r="B116" i="5"/>
  <c r="P13" i="13"/>
  <c r="O13" i="13" s="1"/>
  <c r="C553" i="11" s="1"/>
  <c r="D176" i="5"/>
  <c r="B176" i="5"/>
  <c r="P16" i="13"/>
  <c r="O16" i="13" s="1"/>
  <c r="C561" i="11" s="1"/>
  <c r="B156" i="5"/>
  <c r="B56" i="5"/>
  <c r="P9" i="13"/>
  <c r="O9" i="13" s="1"/>
  <c r="C558" i="11" s="1"/>
  <c r="B96" i="5"/>
  <c r="D136" i="5"/>
  <c r="H13" i="13"/>
  <c r="G13" i="13" s="1"/>
  <c r="C496" i="11" s="1"/>
  <c r="C208" i="5"/>
  <c r="Z7" i="13"/>
  <c r="C128" i="5"/>
  <c r="Z14" i="13"/>
  <c r="D183" i="5"/>
  <c r="L17" i="13"/>
  <c r="K17" i="13" s="1"/>
  <c r="L14" i="13"/>
  <c r="K14" i="13" s="1"/>
  <c r="H9" i="13"/>
  <c r="G9" i="13" s="1"/>
  <c r="C501" i="11" s="1"/>
  <c r="F72" i="5"/>
  <c r="C163" i="5"/>
  <c r="H16" i="13"/>
  <c r="G16" i="13" s="1"/>
  <c r="C504" i="11" s="1"/>
  <c r="H10" i="13"/>
  <c r="G10" i="13" s="1"/>
  <c r="C495" i="11" s="1"/>
  <c r="L10" i="13"/>
  <c r="K10" i="13" s="1"/>
  <c r="AD10" i="13"/>
  <c r="D188" i="5"/>
  <c r="AD17" i="13"/>
  <c r="AC17" i="13" s="1"/>
  <c r="D208" i="5"/>
  <c r="AD7" i="13"/>
  <c r="AD9" i="13"/>
  <c r="C168" i="5"/>
  <c r="Z16" i="13"/>
  <c r="L9" i="13"/>
  <c r="K9" i="13" s="1"/>
  <c r="D168" i="5"/>
  <c r="AD16" i="13"/>
  <c r="P10" i="13"/>
  <c r="O10" i="13" s="1"/>
  <c r="C552" i="11" s="1"/>
  <c r="D216" i="5"/>
  <c r="C108" i="5"/>
  <c r="Z13" i="13"/>
  <c r="D76" i="5"/>
  <c r="C148" i="5"/>
  <c r="D196" i="5"/>
  <c r="AG17" i="13"/>
  <c r="F32" i="5"/>
  <c r="B136" i="5"/>
  <c r="P14" i="13"/>
  <c r="O14" i="13" s="1"/>
  <c r="C556" i="11" s="1"/>
  <c r="B236" i="5"/>
  <c r="P15" i="13"/>
  <c r="O15" i="13" s="1"/>
  <c r="C560" i="11" s="1"/>
  <c r="C188" i="5"/>
  <c r="Z17" i="13"/>
  <c r="Y17" i="13" s="1"/>
  <c r="D128" i="5"/>
  <c r="AD14" i="13"/>
  <c r="D236" i="5"/>
  <c r="Z5" i="13"/>
  <c r="AD5" i="13"/>
  <c r="D36" i="5"/>
  <c r="F222" i="5"/>
  <c r="F227" i="5"/>
  <c r="F147" i="5"/>
  <c r="F47" i="5"/>
  <c r="F207" i="5"/>
  <c r="F127" i="5"/>
  <c r="F107" i="5"/>
  <c r="F167" i="5"/>
  <c r="F187" i="5"/>
  <c r="F67" i="5"/>
  <c r="F87" i="5"/>
  <c r="E148" i="5"/>
  <c r="B76" i="5"/>
  <c r="F182" i="5"/>
  <c r="C183" i="5"/>
  <c r="E208" i="5"/>
  <c r="F122" i="5"/>
  <c r="E228" i="5"/>
  <c r="E183" i="5"/>
  <c r="E223" i="5"/>
  <c r="C228" i="5"/>
  <c r="F142" i="5"/>
  <c r="E168" i="5"/>
  <c r="C223" i="5"/>
  <c r="E163" i="5"/>
  <c r="E128" i="5"/>
  <c r="F62" i="5"/>
  <c r="D116" i="5"/>
  <c r="F82" i="5"/>
  <c r="E188" i="5"/>
  <c r="F162" i="5"/>
  <c r="F202" i="5"/>
  <c r="E203" i="5"/>
  <c r="F102" i="5"/>
  <c r="D56" i="5"/>
  <c r="F42" i="5"/>
  <c r="G239" i="4"/>
  <c r="G121" i="4"/>
  <c r="G321" i="4"/>
  <c r="G217" i="4"/>
  <c r="G120" i="4"/>
  <c r="G67" i="4"/>
  <c r="G357" i="4"/>
  <c r="G97" i="4"/>
  <c r="G305" i="4"/>
  <c r="G150" i="4"/>
  <c r="G59" i="4"/>
  <c r="G98" i="4"/>
  <c r="G172" i="4"/>
  <c r="M4" i="13"/>
  <c r="D4" i="13"/>
  <c r="I4" i="13"/>
  <c r="AI4" i="13"/>
  <c r="AE4" i="13"/>
  <c r="AA4" i="13"/>
  <c r="V4" i="13"/>
  <c r="Q4" i="13"/>
  <c r="G146" i="4"/>
  <c r="C4" i="13"/>
  <c r="U4" i="13"/>
  <c r="G289" i="4"/>
  <c r="G186" i="4"/>
  <c r="G256" i="4"/>
  <c r="G254" i="4"/>
  <c r="G174" i="4"/>
  <c r="G95" i="4"/>
  <c r="G279" i="4"/>
  <c r="G306" i="4"/>
  <c r="G154" i="4"/>
  <c r="G85" i="4"/>
  <c r="G62" i="4"/>
  <c r="G264" i="4"/>
  <c r="G361" i="4"/>
  <c r="G223" i="4"/>
  <c r="G296" i="4"/>
  <c r="G277" i="4"/>
  <c r="G36" i="4"/>
  <c r="G139" i="4"/>
  <c r="G57" i="4"/>
  <c r="G273" i="4"/>
  <c r="G295" i="4"/>
  <c r="G311" i="4"/>
  <c r="G225" i="4"/>
  <c r="G307" i="4"/>
  <c r="G126" i="4"/>
  <c r="G205" i="4"/>
  <c r="G84" i="4"/>
  <c r="G420" i="4"/>
  <c r="G93" i="4"/>
  <c r="G141" i="4"/>
  <c r="G18" i="4"/>
  <c r="G247" i="4"/>
  <c r="G109" i="4"/>
  <c r="G268" i="4"/>
  <c r="G102" i="4"/>
  <c r="G288" i="4"/>
  <c r="G355" i="4"/>
  <c r="G201" i="4"/>
  <c r="G328" i="4"/>
  <c r="G138" i="4"/>
  <c r="G248" i="4"/>
  <c r="G344" i="4"/>
  <c r="G388" i="4"/>
  <c r="G231" i="4"/>
  <c r="G5" i="4"/>
  <c r="G166" i="4"/>
  <c r="G270" i="4"/>
  <c r="G266" i="4"/>
  <c r="G317" i="4"/>
  <c r="G35" i="4"/>
  <c r="G60" i="4"/>
  <c r="G220" i="4"/>
  <c r="G221" i="4"/>
  <c r="G34" i="4"/>
  <c r="G30" i="4"/>
  <c r="G216" i="4"/>
  <c r="G189" i="4"/>
  <c r="G26" i="4"/>
  <c r="G199" i="4"/>
  <c r="G153" i="4"/>
  <c r="G20" i="4"/>
  <c r="G24" i="4"/>
  <c r="G66" i="4"/>
  <c r="G178" i="4"/>
  <c r="G293" i="4"/>
  <c r="G91" i="4"/>
  <c r="G104" i="4"/>
  <c r="G318" i="4"/>
  <c r="G133" i="4"/>
  <c r="G243" i="4"/>
  <c r="G47" i="4"/>
  <c r="G100" i="4"/>
  <c r="G376" i="4"/>
  <c r="G214" i="4"/>
  <c r="G149" i="4"/>
  <c r="G383" i="4"/>
  <c r="G194" i="4"/>
  <c r="G351" i="4"/>
  <c r="G55" i="4"/>
  <c r="G285" i="4"/>
  <c r="G314" i="4"/>
  <c r="G284" i="4"/>
  <c r="G384" i="4"/>
  <c r="G261" i="4"/>
  <c r="G155" i="4"/>
  <c r="G53" i="4"/>
  <c r="G375" i="4"/>
  <c r="G331" i="4"/>
  <c r="G396" i="4"/>
  <c r="G45" i="4"/>
  <c r="G238" i="4"/>
  <c r="G301" i="4"/>
  <c r="G176" i="4"/>
  <c r="G394" i="4"/>
  <c r="G329" i="4"/>
  <c r="G367" i="4"/>
  <c r="G265" i="4"/>
  <c r="G184" i="4"/>
  <c r="G103" i="4"/>
  <c r="G257" i="4"/>
  <c r="G203" i="4"/>
  <c r="G290" i="4"/>
  <c r="G313" i="4"/>
  <c r="G56" i="4"/>
  <c r="G389" i="4"/>
  <c r="G218" i="4"/>
  <c r="G342" i="4"/>
  <c r="G291" i="4"/>
  <c r="G227" i="4"/>
  <c r="G263" i="4"/>
  <c r="G87" i="4"/>
  <c r="G32" i="4"/>
  <c r="G252" i="4"/>
  <c r="G185" i="4"/>
  <c r="G323" i="4"/>
  <c r="G167" i="4"/>
  <c r="G315" i="4"/>
  <c r="G377" i="4"/>
  <c r="G228" i="4"/>
  <c r="G302" i="4"/>
  <c r="G22" i="4"/>
  <c r="G269" i="4"/>
  <c r="G187" i="4"/>
  <c r="G267" i="4"/>
  <c r="FZ236" i="4" l="1"/>
  <c r="GN414" i="4"/>
  <c r="HM416" i="4"/>
  <c r="CG414" i="4"/>
  <c r="HS360" i="4"/>
  <c r="EH258" i="4"/>
  <c r="CE258" i="4"/>
  <c r="HQ187" i="4"/>
  <c r="HV420" i="4"/>
  <c r="HV422" i="4"/>
  <c r="O420" i="4"/>
  <c r="O422" i="4"/>
  <c r="Q422" i="4"/>
  <c r="BU166" i="4"/>
  <c r="HA166" i="4"/>
  <c r="HG166" i="4" s="1"/>
  <c r="FR422" i="4"/>
  <c r="GD422" i="4"/>
  <c r="FI422" i="4"/>
  <c r="FP422" i="4"/>
  <c r="FN422" i="4"/>
  <c r="FM422" i="4"/>
  <c r="FT422" i="4"/>
  <c r="FU422" i="4"/>
  <c r="FK422" i="4"/>
  <c r="Q415" i="4"/>
  <c r="HI413" i="4"/>
  <c r="BU21" i="4"/>
  <c r="BT28" i="4"/>
  <c r="BU16" i="4"/>
  <c r="HI389" i="4"/>
  <c r="CG397" i="4"/>
  <c r="HQ19" i="4"/>
  <c r="BS15" i="4"/>
  <c r="HI419" i="4"/>
  <c r="AL416" i="4"/>
  <c r="AL417" i="4"/>
  <c r="AL420" i="4"/>
  <c r="AL422" i="4"/>
  <c r="AL419" i="4"/>
  <c r="AL418" i="4"/>
  <c r="AL415" i="4"/>
  <c r="AL414" i="4"/>
  <c r="AL421" i="4"/>
  <c r="CE419" i="4"/>
  <c r="HV416" i="4"/>
  <c r="BT22" i="4"/>
  <c r="HK421" i="4"/>
  <c r="O415" i="4"/>
  <c r="Q420" i="4"/>
  <c r="BU26" i="4"/>
  <c r="HV421" i="4"/>
  <c r="BU20" i="4"/>
  <c r="FI421" i="4"/>
  <c r="FP421" i="4"/>
  <c r="FK421" i="4"/>
  <c r="GD421" i="4"/>
  <c r="FR421" i="4"/>
  <c r="DH421" i="4"/>
  <c r="GS421" i="4"/>
  <c r="BV421" i="4"/>
  <c r="FN421" i="4"/>
  <c r="FM421" i="4"/>
  <c r="FT421" i="4"/>
  <c r="FU421" i="4"/>
  <c r="FI419" i="4"/>
  <c r="GD419" i="4"/>
  <c r="FP419" i="4"/>
  <c r="FR419" i="4"/>
  <c r="FK419" i="4"/>
  <c r="DF421" i="4"/>
  <c r="CE421" i="4"/>
  <c r="BY421" i="4"/>
  <c r="HV419" i="4"/>
  <c r="HQ417" i="4"/>
  <c r="FM419" i="4"/>
  <c r="FN419" i="4"/>
  <c r="FT419" i="4"/>
  <c r="FU419" i="4"/>
  <c r="GS419" i="4"/>
  <c r="BU419" i="4"/>
  <c r="GD416" i="4"/>
  <c r="GD415" i="4"/>
  <c r="FI415" i="4"/>
  <c r="FP415" i="4"/>
  <c r="FP416" i="4"/>
  <c r="FI417" i="4"/>
  <c r="FI418" i="4"/>
  <c r="FK416" i="4"/>
  <c r="GD417" i="4"/>
  <c r="FK417" i="4"/>
  <c r="FR416" i="4"/>
  <c r="FK415" i="4"/>
  <c r="FM415" i="4"/>
  <c r="FN415" i="4"/>
  <c r="FU415" i="4"/>
  <c r="FT415" i="4"/>
  <c r="FR417" i="4"/>
  <c r="FP417" i="4"/>
  <c r="FR415" i="4"/>
  <c r="FI416" i="4"/>
  <c r="FR418" i="4"/>
  <c r="Q417" i="4"/>
  <c r="O417" i="4"/>
  <c r="GD418" i="4"/>
  <c r="FP418" i="4"/>
  <c r="BS417" i="4"/>
  <c r="HA417" i="4"/>
  <c r="FK418" i="4"/>
  <c r="HV417" i="4"/>
  <c r="HV418" i="4"/>
  <c r="FM418" i="4"/>
  <c r="FN418" i="4"/>
  <c r="FT418" i="4"/>
  <c r="FU418" i="4"/>
  <c r="GS418" i="4"/>
  <c r="BS418" i="4"/>
  <c r="O418" i="4"/>
  <c r="Q418" i="4"/>
  <c r="CG421" i="4"/>
  <c r="FN416" i="4"/>
  <c r="FM416" i="4"/>
  <c r="O416" i="4"/>
  <c r="Q416" i="4"/>
  <c r="FT416" i="4"/>
  <c r="FU416" i="4"/>
  <c r="HV414" i="4"/>
  <c r="HV415" i="4"/>
  <c r="HQ414" i="4"/>
  <c r="Q414" i="4"/>
  <c r="O414" i="4"/>
  <c r="CC363" i="4"/>
  <c r="CW363" i="4"/>
  <c r="HS384" i="4"/>
  <c r="CE413" i="4"/>
  <c r="GS384" i="4"/>
  <c r="GY384" i="4" s="1"/>
  <c r="FP409" i="4"/>
  <c r="FR409" i="4"/>
  <c r="FK410" i="4"/>
  <c r="FK412" i="4"/>
  <c r="FK411" i="4"/>
  <c r="FN403" i="4"/>
  <c r="FM412" i="4"/>
  <c r="FN411" i="4"/>
  <c r="FN412" i="4"/>
  <c r="FM411" i="4"/>
  <c r="FN410" i="4"/>
  <c r="FM410" i="4"/>
  <c r="FR413" i="4"/>
  <c r="GD409" i="4"/>
  <c r="FI409" i="4"/>
  <c r="AL408" i="4"/>
  <c r="AL413" i="4"/>
  <c r="AL409" i="4"/>
  <c r="AL411" i="4"/>
  <c r="AL410" i="4"/>
  <c r="AL412" i="4"/>
  <c r="FK409" i="4"/>
  <c r="FP413" i="4"/>
  <c r="BU361" i="4"/>
  <c r="CY361" i="4"/>
  <c r="HI361" i="4"/>
  <c r="FR403" i="4"/>
  <c r="FR410" i="4"/>
  <c r="FR411" i="4"/>
  <c r="FR412" i="4"/>
  <c r="FK413" i="4"/>
  <c r="GD413" i="4"/>
  <c r="Q411" i="4"/>
  <c r="FI413" i="4"/>
  <c r="GD410" i="4"/>
  <c r="GD412" i="4"/>
  <c r="GD411" i="4"/>
  <c r="FT403" i="4"/>
  <c r="FU410" i="4"/>
  <c r="FT412" i="4"/>
  <c r="FU412" i="4"/>
  <c r="FT411" i="4"/>
  <c r="FU411" i="4"/>
  <c r="FT410" i="4"/>
  <c r="O411" i="4"/>
  <c r="HV396" i="4"/>
  <c r="HV413" i="4"/>
  <c r="HV412" i="4"/>
  <c r="FI410" i="4"/>
  <c r="FI411" i="4"/>
  <c r="FI412" i="4"/>
  <c r="FP403" i="4"/>
  <c r="FP412" i="4"/>
  <c r="FP411" i="4"/>
  <c r="FP410" i="4"/>
  <c r="FM413" i="4"/>
  <c r="FN413" i="4"/>
  <c r="FT413" i="4"/>
  <c r="FU413" i="4"/>
  <c r="GS413" i="4"/>
  <c r="BU413" i="4"/>
  <c r="GY412" i="4"/>
  <c r="GZ412" i="4" s="1"/>
  <c r="HV411" i="4"/>
  <c r="HV410" i="4"/>
  <c r="HQ408" i="4"/>
  <c r="FU409" i="4"/>
  <c r="FT409" i="4"/>
  <c r="FN409" i="4"/>
  <c r="FM409" i="4"/>
  <c r="BS408" i="4"/>
  <c r="HA408" i="4"/>
  <c r="Q409" i="4"/>
  <c r="HV408" i="4"/>
  <c r="HV409" i="4"/>
  <c r="HD408" i="4"/>
  <c r="O408" i="4"/>
  <c r="Q408" i="4"/>
  <c r="O409" i="4"/>
  <c r="AL365" i="4"/>
  <c r="AL399" i="4"/>
  <c r="AL405" i="4"/>
  <c r="AL366" i="4"/>
  <c r="AL387" i="4"/>
  <c r="AL404" i="4"/>
  <c r="AL386" i="4"/>
  <c r="AL398" i="4"/>
  <c r="AL406" i="4"/>
  <c r="AL397" i="4"/>
  <c r="AL396" i="4"/>
  <c r="AL407" i="4"/>
  <c r="GD380" i="4"/>
  <c r="GD398" i="4"/>
  <c r="GD372" i="4"/>
  <c r="HV374" i="4"/>
  <c r="HV368" i="4"/>
  <c r="AL374" i="4"/>
  <c r="AL385" i="4"/>
  <c r="AL376" i="4"/>
  <c r="AL375" i="4"/>
  <c r="HV379" i="4"/>
  <c r="AL390" i="4"/>
  <c r="AL389" i="4"/>
  <c r="FU403" i="4"/>
  <c r="AL402" i="4"/>
  <c r="GD403" i="4"/>
  <c r="O380" i="4"/>
  <c r="O398" i="4"/>
  <c r="O372" i="4"/>
  <c r="HV356" i="4"/>
  <c r="HV386" i="4"/>
  <c r="HV404" i="4"/>
  <c r="HV399" i="4"/>
  <c r="HV366" i="4"/>
  <c r="HV406" i="4"/>
  <c r="HV398" i="4"/>
  <c r="HV405" i="4"/>
  <c r="HV387" i="4"/>
  <c r="FK380" i="4"/>
  <c r="FK372" i="4"/>
  <c r="FK398" i="4"/>
  <c r="FM380" i="4"/>
  <c r="FN380" i="4"/>
  <c r="FM398" i="4"/>
  <c r="FN398" i="4"/>
  <c r="FM372" i="4"/>
  <c r="FN372" i="4"/>
  <c r="FI380" i="4"/>
  <c r="FI372" i="4"/>
  <c r="FI398" i="4"/>
  <c r="FP380" i="4"/>
  <c r="FP372" i="4"/>
  <c r="FP398" i="4"/>
  <c r="HV388" i="4"/>
  <c r="BW408" i="4"/>
  <c r="BW412" i="4"/>
  <c r="Q380" i="4"/>
  <c r="Q398" i="4"/>
  <c r="Q372" i="4"/>
  <c r="AL369" i="4"/>
  <c r="AL378" i="4"/>
  <c r="HV372" i="4"/>
  <c r="HV369" i="4"/>
  <c r="AL382" i="4"/>
  <c r="BV395" i="4"/>
  <c r="HK395" i="4"/>
  <c r="AL392" i="4"/>
  <c r="AL393" i="4"/>
  <c r="HV400" i="4"/>
  <c r="FM403" i="4"/>
  <c r="AL403" i="4"/>
  <c r="FK403" i="4"/>
  <c r="HV381" i="4"/>
  <c r="FT380" i="4"/>
  <c r="FU380" i="4"/>
  <c r="FT372" i="4"/>
  <c r="FU372" i="4"/>
  <c r="FU398" i="4"/>
  <c r="FT398" i="4"/>
  <c r="FR380" i="4"/>
  <c r="FR372" i="4"/>
  <c r="FR398" i="4"/>
  <c r="AL368" i="4"/>
  <c r="AL377" i="4"/>
  <c r="BT384" i="4"/>
  <c r="AL373" i="4"/>
  <c r="HV371" i="4"/>
  <c r="HV367" i="4"/>
  <c r="AL380" i="4"/>
  <c r="AL384" i="4"/>
  <c r="AL395" i="4"/>
  <c r="AL394" i="4"/>
  <c r="HV403" i="4"/>
  <c r="AL401" i="4"/>
  <c r="HQ401" i="4"/>
  <c r="HS383" i="4"/>
  <c r="FI403" i="4"/>
  <c r="Q403" i="4"/>
  <c r="AL370" i="4"/>
  <c r="AL371" i="4"/>
  <c r="HV373" i="4"/>
  <c r="HO367" i="4"/>
  <c r="HV370" i="4"/>
  <c r="AL381" i="4"/>
  <c r="AL372" i="4"/>
  <c r="AL383" i="4"/>
  <c r="AL379" i="4"/>
  <c r="AL391" i="4"/>
  <c r="AL388" i="4"/>
  <c r="HV402" i="4"/>
  <c r="HO400" i="4"/>
  <c r="HV401" i="4"/>
  <c r="AQ407" i="4"/>
  <c r="HO407" i="4"/>
  <c r="AO407" i="4"/>
  <c r="HV407" i="4"/>
  <c r="BW407" i="4"/>
  <c r="AL400" i="4"/>
  <c r="BW400" i="4"/>
  <c r="O403" i="4"/>
  <c r="GU400" i="4"/>
  <c r="BT400" i="4"/>
  <c r="HV397" i="4"/>
  <c r="HS397" i="4"/>
  <c r="HA397" i="4"/>
  <c r="BT397" i="4"/>
  <c r="O397" i="4"/>
  <c r="Q397" i="4"/>
  <c r="GW401" i="4"/>
  <c r="HV395" i="4"/>
  <c r="HV392" i="4"/>
  <c r="HV391" i="4"/>
  <c r="HV390" i="4"/>
  <c r="HD389" i="4"/>
  <c r="HV393" i="4"/>
  <c r="AS394" i="4"/>
  <c r="HV394" i="4"/>
  <c r="AS389" i="4"/>
  <c r="HV389" i="4"/>
  <c r="BU389" i="4"/>
  <c r="HV383" i="4"/>
  <c r="HV385" i="4"/>
  <c r="HV382" i="4"/>
  <c r="HV377" i="4"/>
  <c r="HV380" i="4"/>
  <c r="HV376" i="4"/>
  <c r="HV378" i="4"/>
  <c r="AO394" i="4"/>
  <c r="CE389" i="4"/>
  <c r="AO384" i="4"/>
  <c r="HV384" i="4"/>
  <c r="HE381" i="4"/>
  <c r="BS381" i="4"/>
  <c r="BS377" i="4"/>
  <c r="BT376" i="4"/>
  <c r="AO375" i="4"/>
  <c r="HV375" i="4"/>
  <c r="BS373" i="4"/>
  <c r="CG384" i="4"/>
  <c r="CG383" i="4"/>
  <c r="DH383" i="4"/>
  <c r="CE377" i="4"/>
  <c r="EH377" i="4"/>
  <c r="CE376" i="4"/>
  <c r="CR367" i="4"/>
  <c r="HA367" i="4"/>
  <c r="AL367" i="4"/>
  <c r="Q364" i="4"/>
  <c r="HS356" i="4"/>
  <c r="FI356" i="4"/>
  <c r="O359" i="4"/>
  <c r="GD364" i="4"/>
  <c r="FP356" i="4"/>
  <c r="FK364" i="4"/>
  <c r="AL360" i="4"/>
  <c r="FP364" i="4"/>
  <c r="GD356" i="4"/>
  <c r="FK356" i="4"/>
  <c r="FR356" i="4"/>
  <c r="AQ321" i="4"/>
  <c r="HV359" i="4"/>
  <c r="HV358" i="4"/>
  <c r="AL357" i="4"/>
  <c r="HV357" i="4"/>
  <c r="HO353" i="4"/>
  <c r="AL363" i="4"/>
  <c r="HK350" i="4"/>
  <c r="HV355" i="4"/>
  <c r="AO356" i="4"/>
  <c r="HS355" i="4"/>
  <c r="AL364" i="4"/>
  <c r="HO349" i="4"/>
  <c r="HK352" i="4"/>
  <c r="HM362" i="4"/>
  <c r="FI364" i="4"/>
  <c r="AL356" i="4"/>
  <c r="HO363" i="4"/>
  <c r="AL361" i="4"/>
  <c r="HV362" i="4"/>
  <c r="HV365" i="4"/>
  <c r="HV363" i="4"/>
  <c r="HV361" i="4"/>
  <c r="HV364" i="4"/>
  <c r="FR364" i="4"/>
  <c r="FM364" i="4"/>
  <c r="FN364" i="4"/>
  <c r="FT364" i="4"/>
  <c r="FU364" i="4"/>
  <c r="BS362" i="4"/>
  <c r="BW362" i="4"/>
  <c r="O364" i="4"/>
  <c r="GX362" i="4"/>
  <c r="BT360" i="4"/>
  <c r="AO360" i="4"/>
  <c r="HV360" i="4"/>
  <c r="AL362" i="4"/>
  <c r="AL359" i="4"/>
  <c r="AL358" i="4"/>
  <c r="AL355" i="4"/>
  <c r="BT357" i="4"/>
  <c r="Q359" i="4"/>
  <c r="M357" i="4"/>
  <c r="HC358" i="4"/>
  <c r="FT356" i="4"/>
  <c r="FU356" i="4"/>
  <c r="FM356" i="4"/>
  <c r="FN356" i="4"/>
  <c r="CG356" i="4"/>
  <c r="GS356" i="4"/>
  <c r="HE355" i="4"/>
  <c r="BT355" i="4"/>
  <c r="EX356" i="4"/>
  <c r="CA394" i="4"/>
  <c r="HV347" i="4"/>
  <c r="CW357" i="4"/>
  <c r="CC357" i="4"/>
  <c r="BW358" i="4"/>
  <c r="BW357" i="4"/>
  <c r="CG236" i="4"/>
  <c r="GY172" i="4"/>
  <c r="AL352" i="4"/>
  <c r="AL350" i="4"/>
  <c r="AL353" i="4"/>
  <c r="AL349" i="4"/>
  <c r="HV350" i="4"/>
  <c r="HV352" i="4"/>
  <c r="AL348" i="4"/>
  <c r="HV353" i="4"/>
  <c r="AL351" i="4"/>
  <c r="HV349" i="4"/>
  <c r="HV354" i="4"/>
  <c r="AL354" i="4"/>
  <c r="AO351" i="4"/>
  <c r="HV351" i="4"/>
  <c r="BS351" i="4"/>
  <c r="HG350" i="4"/>
  <c r="BV350" i="4"/>
  <c r="BT349" i="4"/>
  <c r="GW246" i="4"/>
  <c r="Q348" i="4"/>
  <c r="HV348" i="4"/>
  <c r="HQ311" i="4"/>
  <c r="O348" i="4"/>
  <c r="CE226" i="4"/>
  <c r="CC400" i="4"/>
  <c r="CP400" i="4"/>
  <c r="GW394" i="4"/>
  <c r="CC367" i="4"/>
  <c r="CP367" i="4"/>
  <c r="FK348" i="4"/>
  <c r="FM348" i="4"/>
  <c r="FN348" i="4"/>
  <c r="FT348" i="4"/>
  <c r="FU348" i="4"/>
  <c r="FR348" i="4"/>
  <c r="GD348" i="4"/>
  <c r="FI348" i="4"/>
  <c r="FP348" i="4"/>
  <c r="CC349" i="4"/>
  <c r="CE350" i="4"/>
  <c r="GL350" i="4"/>
  <c r="CE352" i="4"/>
  <c r="CY352" i="4"/>
  <c r="AL347" i="4"/>
  <c r="GY361" i="4"/>
  <c r="GW361" i="4"/>
  <c r="GX361" i="4" s="1"/>
  <c r="CC360" i="4"/>
  <c r="CT355" i="4"/>
  <c r="CG355" i="4"/>
  <c r="CG53" i="4"/>
  <c r="HQ12" i="4"/>
  <c r="CW353" i="4"/>
  <c r="CC353" i="4"/>
  <c r="CG351" i="4"/>
  <c r="GW351" i="4"/>
  <c r="DH209" i="4"/>
  <c r="CA179" i="4"/>
  <c r="EH239" i="4"/>
  <c r="CC227" i="4"/>
  <c r="GS249" i="4"/>
  <c r="GY249" i="4" s="1"/>
  <c r="CE239" i="4"/>
  <c r="HS209" i="4"/>
  <c r="CG209" i="4"/>
  <c r="GS209" i="4"/>
  <c r="GW209" i="4" s="1"/>
  <c r="GS320" i="4"/>
  <c r="GU320" i="4" s="1"/>
  <c r="CG196" i="4"/>
  <c r="GS196" i="4"/>
  <c r="GW196" i="4" s="1"/>
  <c r="EX196" i="4"/>
  <c r="AO235" i="4"/>
  <c r="CA49" i="4"/>
  <c r="HK211" i="4"/>
  <c r="HS11" i="4"/>
  <c r="HS344" i="4"/>
  <c r="HK151" i="4"/>
  <c r="CA344" i="4"/>
  <c r="HV343" i="4"/>
  <c r="FK346" i="4"/>
  <c r="FM345" i="4"/>
  <c r="FU345" i="4"/>
  <c r="GO345" i="4"/>
  <c r="FR345" i="4"/>
  <c r="GD346" i="4"/>
  <c r="FI345" i="4"/>
  <c r="FP345" i="4"/>
  <c r="FT346" i="4"/>
  <c r="FT345" i="4"/>
  <c r="GD345" i="4"/>
  <c r="FK345" i="4"/>
  <c r="EC69" i="4"/>
  <c r="FU346" i="4"/>
  <c r="FP346" i="4"/>
  <c r="CG69" i="4"/>
  <c r="FI346" i="4"/>
  <c r="CE18" i="4"/>
  <c r="GO346" i="4"/>
  <c r="HV342" i="4"/>
  <c r="FM346" i="4"/>
  <c r="FN345" i="4"/>
  <c r="EA18" i="4"/>
  <c r="FR346" i="4"/>
  <c r="FN346" i="4"/>
  <c r="HV346" i="4"/>
  <c r="HV345" i="4"/>
  <c r="M342" i="4"/>
  <c r="AI342" i="4"/>
  <c r="AL346" i="4"/>
  <c r="AL345" i="4"/>
  <c r="AL344" i="4"/>
  <c r="AL343" i="4"/>
  <c r="BW342" i="4"/>
  <c r="O345" i="4"/>
  <c r="O346" i="4"/>
  <c r="BS342" i="4"/>
  <c r="Q345" i="4"/>
  <c r="Q346" i="4"/>
  <c r="GS342" i="4"/>
  <c r="GU342" i="4" s="1"/>
  <c r="AS344" i="4"/>
  <c r="HV344" i="4"/>
  <c r="CT344" i="4"/>
  <c r="HA344" i="4"/>
  <c r="CG344" i="4"/>
  <c r="BT344" i="4"/>
  <c r="HQ337" i="4"/>
  <c r="HQ339" i="4"/>
  <c r="HV336" i="4"/>
  <c r="HS340" i="4"/>
  <c r="O341" i="4"/>
  <c r="O338" i="4"/>
  <c r="AL338" i="4"/>
  <c r="AL341" i="4"/>
  <c r="FK341" i="4"/>
  <c r="FK338" i="4"/>
  <c r="FM341" i="4"/>
  <c r="FN341" i="4"/>
  <c r="FN338" i="4"/>
  <c r="FM338" i="4"/>
  <c r="Q341" i="4"/>
  <c r="Q338" i="4"/>
  <c r="FT338" i="4"/>
  <c r="FU338" i="4"/>
  <c r="FU341" i="4"/>
  <c r="FT341" i="4"/>
  <c r="AL337" i="4"/>
  <c r="HV340" i="4"/>
  <c r="HV337" i="4"/>
  <c r="AL340" i="4"/>
  <c r="AL336" i="4"/>
  <c r="GO341" i="4"/>
  <c r="GO338" i="4"/>
  <c r="HV339" i="4"/>
  <c r="FR341" i="4"/>
  <c r="FR338" i="4"/>
  <c r="HV338" i="4"/>
  <c r="HV341" i="4"/>
  <c r="GD341" i="4"/>
  <c r="GD338" i="4"/>
  <c r="FI341" i="4"/>
  <c r="FI338" i="4"/>
  <c r="FP341" i="4"/>
  <c r="FP338" i="4"/>
  <c r="AL339" i="4"/>
  <c r="M336" i="4"/>
  <c r="BS337" i="4"/>
  <c r="HP13" i="4"/>
  <c r="HM313" i="4"/>
  <c r="HV5" i="4"/>
  <c r="HV17" i="4"/>
  <c r="HV29" i="4"/>
  <c r="HV41" i="4"/>
  <c r="HV53" i="4"/>
  <c r="HV65" i="4"/>
  <c r="HV77" i="4"/>
  <c r="HV89" i="4"/>
  <c r="HV101" i="4"/>
  <c r="HV113" i="4"/>
  <c r="HV125" i="4"/>
  <c r="HV137" i="4"/>
  <c r="HV149" i="4"/>
  <c r="HV161" i="4"/>
  <c r="HV173" i="4"/>
  <c r="HV185" i="4"/>
  <c r="HV197" i="4"/>
  <c r="HV209" i="4"/>
  <c r="HV221" i="4"/>
  <c r="HV233" i="4"/>
  <c r="HV245" i="4"/>
  <c r="HV257" i="4"/>
  <c r="HV269" i="4"/>
  <c r="HV281" i="4"/>
  <c r="HV293" i="4"/>
  <c r="HV305" i="4"/>
  <c r="HV317" i="4"/>
  <c r="HV329" i="4"/>
  <c r="HV6" i="4"/>
  <c r="HV18" i="4"/>
  <c r="HV30" i="4"/>
  <c r="HV42" i="4"/>
  <c r="HV54" i="4"/>
  <c r="HV66" i="4"/>
  <c r="HV78" i="4"/>
  <c r="HV90" i="4"/>
  <c r="HV102" i="4"/>
  <c r="HV114" i="4"/>
  <c r="HV126" i="4"/>
  <c r="HV138" i="4"/>
  <c r="HV150" i="4"/>
  <c r="HV162" i="4"/>
  <c r="HV174" i="4"/>
  <c r="HV186" i="4"/>
  <c r="HV198" i="4"/>
  <c r="HV210" i="4"/>
  <c r="HV222" i="4"/>
  <c r="HV234" i="4"/>
  <c r="HV246" i="4"/>
  <c r="HV258" i="4"/>
  <c r="HV270" i="4"/>
  <c r="HV282" i="4"/>
  <c r="HV294" i="4"/>
  <c r="HV306" i="4"/>
  <c r="HV318" i="4"/>
  <c r="HV330" i="4"/>
  <c r="HV7" i="4"/>
  <c r="HV19" i="4"/>
  <c r="HV31" i="4"/>
  <c r="HV43" i="4"/>
  <c r="HV55" i="4"/>
  <c r="HV67" i="4"/>
  <c r="HV79" i="4"/>
  <c r="HV91" i="4"/>
  <c r="HV103" i="4"/>
  <c r="HV115" i="4"/>
  <c r="HV127" i="4"/>
  <c r="HV139" i="4"/>
  <c r="HV151" i="4"/>
  <c r="HV163" i="4"/>
  <c r="HV175" i="4"/>
  <c r="HV187" i="4"/>
  <c r="HV199" i="4"/>
  <c r="HV211" i="4"/>
  <c r="HV223" i="4"/>
  <c r="HV235" i="4"/>
  <c r="HV247" i="4"/>
  <c r="HV259" i="4"/>
  <c r="HV271" i="4"/>
  <c r="HV283" i="4"/>
  <c r="HV295" i="4"/>
  <c r="HV307" i="4"/>
  <c r="HV319" i="4"/>
  <c r="HV331" i="4"/>
  <c r="HV8" i="4"/>
  <c r="HV20" i="4"/>
  <c r="HV32" i="4"/>
  <c r="HV44" i="4"/>
  <c r="HV56" i="4"/>
  <c r="HV68" i="4"/>
  <c r="HV80" i="4"/>
  <c r="HV92" i="4"/>
  <c r="HV104" i="4"/>
  <c r="HV116" i="4"/>
  <c r="HV128" i="4"/>
  <c r="HV140" i="4"/>
  <c r="HV152" i="4"/>
  <c r="HV164" i="4"/>
  <c r="HV176" i="4"/>
  <c r="HV188" i="4"/>
  <c r="HV200" i="4"/>
  <c r="HV212" i="4"/>
  <c r="HV224" i="4"/>
  <c r="HV236" i="4"/>
  <c r="HV248" i="4"/>
  <c r="HV260" i="4"/>
  <c r="HV272" i="4"/>
  <c r="HV284" i="4"/>
  <c r="HV296" i="4"/>
  <c r="HV308" i="4"/>
  <c r="HV320" i="4"/>
  <c r="HV332" i="4"/>
  <c r="HV9" i="4"/>
  <c r="HV21" i="4"/>
  <c r="HV33" i="4"/>
  <c r="HV45" i="4"/>
  <c r="HV57" i="4"/>
  <c r="HV69" i="4"/>
  <c r="HV81" i="4"/>
  <c r="HV93" i="4"/>
  <c r="HV105" i="4"/>
  <c r="HV117" i="4"/>
  <c r="HV129" i="4"/>
  <c r="HV141" i="4"/>
  <c r="HV153" i="4"/>
  <c r="HV165" i="4"/>
  <c r="HV177" i="4"/>
  <c r="HV189" i="4"/>
  <c r="HV201" i="4"/>
  <c r="HV213" i="4"/>
  <c r="HV225" i="4"/>
  <c r="HV237" i="4"/>
  <c r="HV249" i="4"/>
  <c r="HV261" i="4"/>
  <c r="HV273" i="4"/>
  <c r="HV285" i="4"/>
  <c r="HV297" i="4"/>
  <c r="HV309" i="4"/>
  <c r="HV321" i="4"/>
  <c r="HV333" i="4"/>
  <c r="HV10" i="4"/>
  <c r="HV22" i="4"/>
  <c r="HV34" i="4"/>
  <c r="HV46" i="4"/>
  <c r="HV58" i="4"/>
  <c r="HV70" i="4"/>
  <c r="HV82" i="4"/>
  <c r="HV94" i="4"/>
  <c r="HV106" i="4"/>
  <c r="HV118" i="4"/>
  <c r="HV130" i="4"/>
  <c r="HV142" i="4"/>
  <c r="HV154" i="4"/>
  <c r="HV166" i="4"/>
  <c r="HV178" i="4"/>
  <c r="HV190" i="4"/>
  <c r="HV202" i="4"/>
  <c r="HV214" i="4"/>
  <c r="HV226" i="4"/>
  <c r="HV238" i="4"/>
  <c r="HV250" i="4"/>
  <c r="HV262" i="4"/>
  <c r="HV274" i="4"/>
  <c r="HV286" i="4"/>
  <c r="HV298" i="4"/>
  <c r="HV310" i="4"/>
  <c r="HV322" i="4"/>
  <c r="HV334" i="4"/>
  <c r="HV11" i="4"/>
  <c r="HV23" i="4"/>
  <c r="HV35" i="4"/>
  <c r="HV47" i="4"/>
  <c r="HV59" i="4"/>
  <c r="HV71" i="4"/>
  <c r="HV83" i="4"/>
  <c r="HV95" i="4"/>
  <c r="HV107" i="4"/>
  <c r="HV119" i="4"/>
  <c r="HV131" i="4"/>
  <c r="HV143" i="4"/>
  <c r="HV155" i="4"/>
  <c r="HV167" i="4"/>
  <c r="HV179" i="4"/>
  <c r="HV191" i="4"/>
  <c r="HV203" i="4"/>
  <c r="HV215" i="4"/>
  <c r="HV227" i="4"/>
  <c r="HV239" i="4"/>
  <c r="HV251" i="4"/>
  <c r="HV263" i="4"/>
  <c r="HV275" i="4"/>
  <c r="HV287" i="4"/>
  <c r="HV299" i="4"/>
  <c r="HV311" i="4"/>
  <c r="HV323" i="4"/>
  <c r="HV335" i="4"/>
  <c r="HV12" i="4"/>
  <c r="HV24" i="4"/>
  <c r="HV36" i="4"/>
  <c r="HV48" i="4"/>
  <c r="HV60" i="4"/>
  <c r="HV72" i="4"/>
  <c r="HV84" i="4"/>
  <c r="HV96" i="4"/>
  <c r="HV108" i="4"/>
  <c r="HV120" i="4"/>
  <c r="HV132" i="4"/>
  <c r="HV144" i="4"/>
  <c r="HV156" i="4"/>
  <c r="HV168" i="4"/>
  <c r="HV180" i="4"/>
  <c r="HV192" i="4"/>
  <c r="HV204" i="4"/>
  <c r="HV216" i="4"/>
  <c r="HV228" i="4"/>
  <c r="HV240" i="4"/>
  <c r="HV252" i="4"/>
  <c r="HV264" i="4"/>
  <c r="HV276" i="4"/>
  <c r="HV288" i="4"/>
  <c r="HV300" i="4"/>
  <c r="HV312" i="4"/>
  <c r="HV324" i="4"/>
  <c r="HV13" i="4"/>
  <c r="HV25" i="4"/>
  <c r="HV37" i="4"/>
  <c r="HV49" i="4"/>
  <c r="HV61" i="4"/>
  <c r="HV73" i="4"/>
  <c r="HV85" i="4"/>
  <c r="HV97" i="4"/>
  <c r="HV109" i="4"/>
  <c r="HV121" i="4"/>
  <c r="HV133" i="4"/>
  <c r="HV145" i="4"/>
  <c r="HV157" i="4"/>
  <c r="HV169" i="4"/>
  <c r="HV181" i="4"/>
  <c r="HV193" i="4"/>
  <c r="HV205" i="4"/>
  <c r="HV217" i="4"/>
  <c r="HV229" i="4"/>
  <c r="HV241" i="4"/>
  <c r="HV253" i="4"/>
  <c r="HV265" i="4"/>
  <c r="HV277" i="4"/>
  <c r="HV289" i="4"/>
  <c r="HV301" i="4"/>
  <c r="HV313" i="4"/>
  <c r="HV325" i="4"/>
  <c r="HV15" i="4"/>
  <c r="HV27" i="4"/>
  <c r="HV39" i="4"/>
  <c r="HV51" i="4"/>
  <c r="HV63" i="4"/>
  <c r="HV75" i="4"/>
  <c r="HV87" i="4"/>
  <c r="HV99" i="4"/>
  <c r="HV111" i="4"/>
  <c r="HV123" i="4"/>
  <c r="HV135" i="4"/>
  <c r="HV147" i="4"/>
  <c r="HV159" i="4"/>
  <c r="HV171" i="4"/>
  <c r="HV183" i="4"/>
  <c r="HV195" i="4"/>
  <c r="HV207" i="4"/>
  <c r="HV219" i="4"/>
  <c r="HV231" i="4"/>
  <c r="HV243" i="4"/>
  <c r="HV255" i="4"/>
  <c r="HV267" i="4"/>
  <c r="HV279" i="4"/>
  <c r="HV291" i="4"/>
  <c r="HV303" i="4"/>
  <c r="HV315" i="4"/>
  <c r="HV327" i="4"/>
  <c r="HV16" i="4"/>
  <c r="HV28" i="4"/>
  <c r="HV40" i="4"/>
  <c r="HV52" i="4"/>
  <c r="HV64" i="4"/>
  <c r="HV76" i="4"/>
  <c r="HV88" i="4"/>
  <c r="HV100" i="4"/>
  <c r="HV112" i="4"/>
  <c r="HV124" i="4"/>
  <c r="HV136" i="4"/>
  <c r="HV148" i="4"/>
  <c r="HV160" i="4"/>
  <c r="HV172" i="4"/>
  <c r="HV184" i="4"/>
  <c r="HV196" i="4"/>
  <c r="HV208" i="4"/>
  <c r="HV220" i="4"/>
  <c r="HV232" i="4"/>
  <c r="HV244" i="4"/>
  <c r="HV256" i="4"/>
  <c r="HV268" i="4"/>
  <c r="HV280" i="4"/>
  <c r="HV292" i="4"/>
  <c r="HV304" i="4"/>
  <c r="HV316" i="4"/>
  <c r="HV328" i="4"/>
  <c r="HV74" i="4"/>
  <c r="HV218" i="4"/>
  <c r="HV86" i="4"/>
  <c r="HV230" i="4"/>
  <c r="HV98" i="4"/>
  <c r="HV242" i="4"/>
  <c r="HV4" i="4"/>
  <c r="HV110" i="4"/>
  <c r="HV254" i="4"/>
  <c r="HV122" i="4"/>
  <c r="HV266" i="4"/>
  <c r="HV134" i="4"/>
  <c r="HV278" i="4"/>
  <c r="HV146" i="4"/>
  <c r="HV290" i="4"/>
  <c r="HV14" i="4"/>
  <c r="HV158" i="4"/>
  <c r="HV302" i="4"/>
  <c r="HV26" i="4"/>
  <c r="HV170" i="4"/>
  <c r="HV314" i="4"/>
  <c r="HV38" i="4"/>
  <c r="HV182" i="4"/>
  <c r="HV326" i="4"/>
  <c r="HV62" i="4"/>
  <c r="HV206" i="4"/>
  <c r="HV50" i="4"/>
  <c r="HV194" i="4"/>
  <c r="HI324" i="4"/>
  <c r="HP14" i="4"/>
  <c r="AO344" i="4"/>
  <c r="HI315" i="4"/>
  <c r="FK334" i="4"/>
  <c r="FK333" i="4"/>
  <c r="HD4" i="4"/>
  <c r="HQ326" i="4"/>
  <c r="FM334" i="4"/>
  <c r="FN333" i="4"/>
  <c r="FN334" i="4"/>
  <c r="FM333" i="4"/>
  <c r="FU333" i="4"/>
  <c r="FU334" i="4"/>
  <c r="FT334" i="4"/>
  <c r="FT333" i="4"/>
  <c r="HQ329" i="4"/>
  <c r="HS322" i="4"/>
  <c r="Q334" i="4"/>
  <c r="Q333" i="4"/>
  <c r="HS331" i="4"/>
  <c r="GO334" i="4"/>
  <c r="GO333" i="4"/>
  <c r="HK328" i="4"/>
  <c r="FR333" i="4"/>
  <c r="FR334" i="4"/>
  <c r="GD333" i="4"/>
  <c r="GD334" i="4"/>
  <c r="AB3" i="5"/>
  <c r="HM320" i="4"/>
  <c r="FI333" i="4"/>
  <c r="FI334" i="4"/>
  <c r="FP334" i="4"/>
  <c r="FP333" i="4"/>
  <c r="O334" i="4"/>
  <c r="O333" i="4"/>
  <c r="AL323" i="4"/>
  <c r="AL334" i="4"/>
  <c r="AL333" i="4"/>
  <c r="AL335" i="4"/>
  <c r="HQ323" i="4"/>
  <c r="M328" i="4"/>
  <c r="AL322" i="4"/>
  <c r="HK306" i="4"/>
  <c r="AL328" i="4"/>
  <c r="AL321" i="4"/>
  <c r="HQ307" i="4"/>
  <c r="M321" i="4"/>
  <c r="HK314" i="4"/>
  <c r="HK316" i="4"/>
  <c r="HO308" i="4"/>
  <c r="M322" i="4"/>
  <c r="M329" i="4"/>
  <c r="AL327" i="4"/>
  <c r="AL325" i="4"/>
  <c r="AL326" i="4"/>
  <c r="AL320" i="4"/>
  <c r="AQ360" i="4"/>
  <c r="CE343" i="4"/>
  <c r="EV343" i="4"/>
  <c r="CP342" i="4"/>
  <c r="CC342" i="4"/>
  <c r="BY340" i="4"/>
  <c r="CA340" i="4"/>
  <c r="CG340" i="4"/>
  <c r="DH340" i="4"/>
  <c r="EC339" i="4"/>
  <c r="CG339" i="4"/>
  <c r="CM337" i="4"/>
  <c r="AL329" i="4"/>
  <c r="AA12" i="15"/>
  <c r="AG12" i="15" s="1"/>
  <c r="AL332" i="4"/>
  <c r="AL330" i="4"/>
  <c r="AL331" i="4"/>
  <c r="BU324" i="4"/>
  <c r="GS322" i="4"/>
  <c r="GW322" i="4" s="1"/>
  <c r="Y12" i="15"/>
  <c r="AE12" i="15" s="1"/>
  <c r="AL324" i="4"/>
  <c r="AO319" i="4"/>
  <c r="HI319" i="4"/>
  <c r="AS318" i="4"/>
  <c r="HK318" i="4"/>
  <c r="CK324" i="4"/>
  <c r="DO329" i="4"/>
  <c r="CG329" i="4"/>
  <c r="BW329" i="4"/>
  <c r="CA329" i="4"/>
  <c r="CA153" i="4"/>
  <c r="DT253" i="4"/>
  <c r="CA117" i="4"/>
  <c r="EX111" i="4"/>
  <c r="CG111" i="4"/>
  <c r="HK253" i="4"/>
  <c r="CE274" i="4"/>
  <c r="HQ179" i="4"/>
  <c r="CM179" i="4"/>
  <c r="CG179" i="4"/>
  <c r="AL319" i="4"/>
  <c r="GS308" i="4"/>
  <c r="GU308" i="4" s="1"/>
  <c r="EO109" i="4"/>
  <c r="FI312" i="4"/>
  <c r="AL315" i="4"/>
  <c r="HQ69" i="4"/>
  <c r="Q312" i="4"/>
  <c r="AL314" i="4"/>
  <c r="HQ14" i="4"/>
  <c r="GD312" i="4"/>
  <c r="FK312" i="4"/>
  <c r="AL306" i="4"/>
  <c r="FM312" i="4"/>
  <c r="FN312" i="4"/>
  <c r="FP312" i="4"/>
  <c r="FT312" i="4"/>
  <c r="FU312" i="4"/>
  <c r="CE109" i="4"/>
  <c r="GS69" i="4"/>
  <c r="GY69" i="4" s="1"/>
  <c r="GZ69" i="4" s="1"/>
  <c r="BS69" i="4"/>
  <c r="O312" i="4"/>
  <c r="AL307" i="4"/>
  <c r="CG136" i="4"/>
  <c r="BW244" i="4"/>
  <c r="AL313" i="4"/>
  <c r="GO312" i="4"/>
  <c r="DA136" i="4"/>
  <c r="FC226" i="4"/>
  <c r="AL316" i="4"/>
  <c r="AL317" i="4"/>
  <c r="FR312" i="4"/>
  <c r="AL318" i="4"/>
  <c r="GS109" i="4"/>
  <c r="GY109" i="4" s="1"/>
  <c r="CG326" i="4"/>
  <c r="EJ326" i="4"/>
  <c r="BY323" i="4"/>
  <c r="CA323" i="4"/>
  <c r="CG323" i="4"/>
  <c r="EJ323" i="4"/>
  <c r="CE319" i="4"/>
  <c r="DM319" i="4"/>
  <c r="BV318" i="4"/>
  <c r="Y6" i="15"/>
  <c r="M317" i="4"/>
  <c r="M314" i="4"/>
  <c r="M308" i="4"/>
  <c r="AI308" i="4"/>
  <c r="AL312" i="4"/>
  <c r="AL311" i="4"/>
  <c r="AL309" i="4"/>
  <c r="M313" i="4"/>
  <c r="M307" i="4"/>
  <c r="M306" i="4"/>
  <c r="HQ284" i="4"/>
  <c r="HI72" i="4"/>
  <c r="EH274" i="4"/>
  <c r="BT60" i="4"/>
  <c r="GS250" i="4"/>
  <c r="GY250" i="4" s="1"/>
  <c r="FC250" i="4"/>
  <c r="HI114" i="4"/>
  <c r="CE250" i="4"/>
  <c r="HK250" i="4"/>
  <c r="BV289" i="4"/>
  <c r="GS289" i="4"/>
  <c r="GY289" i="4" s="1"/>
  <c r="BY109" i="4"/>
  <c r="CR289" i="4"/>
  <c r="CE86" i="4"/>
  <c r="BV86" i="4"/>
  <c r="HK289" i="4"/>
  <c r="EO72" i="4"/>
  <c r="CE72" i="4"/>
  <c r="CG17" i="4"/>
  <c r="EJ17" i="4"/>
  <c r="EK21" i="4" s="1"/>
  <c r="HQ290" i="4"/>
  <c r="HK296" i="4"/>
  <c r="HI291" i="4"/>
  <c r="HS297" i="4"/>
  <c r="HQ292" i="4"/>
  <c r="HK298" i="4"/>
  <c r="HI286" i="4"/>
  <c r="HO299" i="4"/>
  <c r="HS288" i="4"/>
  <c r="HO294" i="4"/>
  <c r="HK300" i="4"/>
  <c r="HI295" i="4"/>
  <c r="CG331" i="4"/>
  <c r="EJ331" i="4"/>
  <c r="AL310" i="4"/>
  <c r="AQ280" i="4"/>
  <c r="HK280" i="4"/>
  <c r="AL305" i="4"/>
  <c r="CG321" i="4"/>
  <c r="DO321" i="4"/>
  <c r="EF320" i="4"/>
  <c r="CC320" i="4"/>
  <c r="CE318" i="4"/>
  <c r="FC316" i="4"/>
  <c r="CE316" i="4"/>
  <c r="CE314" i="4"/>
  <c r="DM314" i="4"/>
  <c r="GS116" i="4"/>
  <c r="GW116" i="4" s="1"/>
  <c r="HO227" i="4"/>
  <c r="FC115" i="4"/>
  <c r="BY247" i="4"/>
  <c r="BY274" i="4"/>
  <c r="GS253" i="4"/>
  <c r="GY253" i="4" s="1"/>
  <c r="CE253" i="4"/>
  <c r="GS231" i="4"/>
  <c r="GY231" i="4" s="1"/>
  <c r="AL290" i="4"/>
  <c r="CE115" i="4"/>
  <c r="HQ270" i="4"/>
  <c r="FM283" i="4"/>
  <c r="FN283" i="4"/>
  <c r="AL299" i="4"/>
  <c r="AL293" i="4"/>
  <c r="FT283" i="4"/>
  <c r="FU283" i="4"/>
  <c r="Q283" i="4"/>
  <c r="AL296" i="4"/>
  <c r="O283" i="4"/>
  <c r="AL291" i="4"/>
  <c r="AL279" i="4"/>
  <c r="AL294" i="4"/>
  <c r="AL286" i="4"/>
  <c r="GO283" i="4"/>
  <c r="AL284" i="4"/>
  <c r="AL292" i="4"/>
  <c r="AL295" i="4"/>
  <c r="FR283" i="4"/>
  <c r="HI274" i="4"/>
  <c r="AL304" i="4"/>
  <c r="CY247" i="4"/>
  <c r="GS137" i="4"/>
  <c r="GY137" i="4" s="1"/>
  <c r="AL302" i="4"/>
  <c r="AL300" i="4"/>
  <c r="GD283" i="4"/>
  <c r="HI269" i="4"/>
  <c r="AL283" i="4"/>
  <c r="AL281" i="4"/>
  <c r="AL287" i="4"/>
  <c r="AL282" i="4"/>
  <c r="AL278" i="4"/>
  <c r="FI283" i="4"/>
  <c r="FP283" i="4"/>
  <c r="AL303" i="4"/>
  <c r="AL285" i="4"/>
  <c r="AL298" i="4"/>
  <c r="FK283" i="4"/>
  <c r="AL297" i="4"/>
  <c r="AL289" i="4"/>
  <c r="CG307" i="4"/>
  <c r="EQ307" i="4"/>
  <c r="BV293" i="4"/>
  <c r="CG293" i="4"/>
  <c r="DH293" i="4"/>
  <c r="AL288" i="4"/>
  <c r="M302" i="4"/>
  <c r="M301" i="4"/>
  <c r="AL301" i="4"/>
  <c r="Y14" i="15"/>
  <c r="Y13" i="15"/>
  <c r="M299" i="4"/>
  <c r="M300" i="4"/>
  <c r="M298" i="4"/>
  <c r="M296" i="4"/>
  <c r="M295" i="4"/>
  <c r="M294" i="4"/>
  <c r="M293" i="4"/>
  <c r="M292" i="4"/>
  <c r="M291" i="4"/>
  <c r="M286" i="4"/>
  <c r="AE10" i="15"/>
  <c r="AI280" i="4"/>
  <c r="Z10" i="15" s="1"/>
  <c r="M280" i="4"/>
  <c r="GS297" i="4"/>
  <c r="GW297" i="4" s="1"/>
  <c r="HS60" i="4"/>
  <c r="GS60" i="4"/>
  <c r="GU60" i="4" s="1"/>
  <c r="HK251" i="4"/>
  <c r="HI259" i="4"/>
  <c r="HI271" i="4"/>
  <c r="CE247" i="4"/>
  <c r="FC251" i="4"/>
  <c r="HS260" i="4"/>
  <c r="HI273" i="4"/>
  <c r="GS49" i="4"/>
  <c r="GW49" i="4" s="1"/>
  <c r="HI264" i="4"/>
  <c r="HK275" i="4"/>
  <c r="GS82" i="4"/>
  <c r="GW82" i="4" s="1"/>
  <c r="CM82" i="4"/>
  <c r="GS53" i="4"/>
  <c r="GW53" i="4" s="1"/>
  <c r="FE60" i="4"/>
  <c r="HI266" i="4"/>
  <c r="HO277" i="4"/>
  <c r="EC53" i="4"/>
  <c r="BY226" i="4"/>
  <c r="CG82" i="4"/>
  <c r="HK268" i="4"/>
  <c r="HK265" i="4"/>
  <c r="HK263" i="4"/>
  <c r="AQ262" i="4"/>
  <c r="HO262" i="4"/>
  <c r="AQ261" i="4"/>
  <c r="HO261" i="4"/>
  <c r="CA300" i="4"/>
  <c r="BY300" i="4"/>
  <c r="EA300" i="4"/>
  <c r="CE300" i="4"/>
  <c r="CC299" i="4"/>
  <c r="DY299" i="4"/>
  <c r="CE298" i="4"/>
  <c r="DM298" i="4"/>
  <c r="CG297" i="4"/>
  <c r="DV297" i="4"/>
  <c r="CE296" i="4"/>
  <c r="EH296" i="4"/>
  <c r="EA295" i="4"/>
  <c r="CE295" i="4"/>
  <c r="CA294" i="4"/>
  <c r="BW294" i="4"/>
  <c r="DY294" i="4"/>
  <c r="CC294" i="4"/>
  <c r="BY292" i="4"/>
  <c r="CA292" i="4"/>
  <c r="EC292" i="4"/>
  <c r="CG292" i="4"/>
  <c r="M20" i="4"/>
  <c r="AL277" i="4"/>
  <c r="BT227" i="4"/>
  <c r="GS227" i="4"/>
  <c r="GU227" i="4" s="1"/>
  <c r="CE251" i="4"/>
  <c r="GS251" i="4"/>
  <c r="CK291" i="4"/>
  <c r="CE291" i="4"/>
  <c r="DA290" i="4"/>
  <c r="CG290" i="4"/>
  <c r="CG288" i="4"/>
  <c r="EQ288" i="4"/>
  <c r="CC277" i="4"/>
  <c r="CW277" i="4"/>
  <c r="AL271" i="4"/>
  <c r="AL261" i="4"/>
  <c r="HS255" i="4"/>
  <c r="AL260" i="4"/>
  <c r="AL262" i="4"/>
  <c r="AL259" i="4"/>
  <c r="M273" i="4"/>
  <c r="AL263" i="4"/>
  <c r="HS256" i="4"/>
  <c r="AL265" i="4"/>
  <c r="AL273" i="4"/>
  <c r="AL272" i="4"/>
  <c r="AL269" i="4"/>
  <c r="AL266" i="4"/>
  <c r="AI264" i="4"/>
  <c r="AL264" i="4" s="1"/>
  <c r="AL276" i="4"/>
  <c r="AL270" i="4"/>
  <c r="M264" i="4"/>
  <c r="AL274" i="4"/>
  <c r="AL275" i="4"/>
  <c r="AL268" i="4"/>
  <c r="AL267" i="4"/>
  <c r="M272" i="4"/>
  <c r="M268" i="4"/>
  <c r="M265" i="4"/>
  <c r="M260" i="4"/>
  <c r="M259" i="4"/>
  <c r="M261" i="4"/>
  <c r="GS269" i="4"/>
  <c r="GY269" i="4" s="1"/>
  <c r="BT262" i="4"/>
  <c r="BY258" i="4"/>
  <c r="BW257" i="4"/>
  <c r="HI254" i="4"/>
  <c r="BY254" i="4"/>
  <c r="AO258" i="4"/>
  <c r="HI258" i="4"/>
  <c r="AS258" i="4"/>
  <c r="HS242" i="4"/>
  <c r="HS241" i="4"/>
  <c r="AL254" i="4"/>
  <c r="HQ243" i="4"/>
  <c r="AL258" i="4"/>
  <c r="AL255" i="4"/>
  <c r="AL256" i="4"/>
  <c r="HK252" i="4"/>
  <c r="AL257" i="4"/>
  <c r="HI231" i="4"/>
  <c r="HS248" i="4"/>
  <c r="EH275" i="4"/>
  <c r="CE275" i="4"/>
  <c r="EA273" i="4"/>
  <c r="CE273" i="4"/>
  <c r="DT271" i="4"/>
  <c r="CE271" i="4"/>
  <c r="DA270" i="4"/>
  <c r="CG270" i="4"/>
  <c r="CA266" i="4"/>
  <c r="BY266" i="4"/>
  <c r="EH266" i="4"/>
  <c r="CE266" i="4"/>
  <c r="CE264" i="4"/>
  <c r="CK264" i="4"/>
  <c r="FA262" i="4"/>
  <c r="DA260" i="4"/>
  <c r="CG260" i="4"/>
  <c r="CE259" i="4"/>
  <c r="DF259" i="4"/>
  <c r="CA259" i="4"/>
  <c r="BY259" i="4"/>
  <c r="M256" i="4"/>
  <c r="M255" i="4"/>
  <c r="M254" i="4"/>
  <c r="AS247" i="4"/>
  <c r="HI247" i="4"/>
  <c r="AO244" i="4"/>
  <c r="HM244" i="4"/>
  <c r="AS239" i="4"/>
  <c r="HK239" i="4"/>
  <c r="HK86" i="4"/>
  <c r="GS86" i="4"/>
  <c r="GY86" i="4" s="1"/>
  <c r="CG49" i="4"/>
  <c r="CG255" i="4"/>
  <c r="DH255" i="4"/>
  <c r="EH254" i="4"/>
  <c r="CE254" i="4"/>
  <c r="GS214" i="4"/>
  <c r="GW214" i="4" s="1"/>
  <c r="BS179" i="4"/>
  <c r="CA60" i="4"/>
  <c r="BU249" i="4"/>
  <c r="CE249" i="4"/>
  <c r="EA249" i="4"/>
  <c r="HS196" i="4"/>
  <c r="HS49" i="4"/>
  <c r="HQ191" i="4"/>
  <c r="HI203" i="4"/>
  <c r="BS236" i="4"/>
  <c r="B12" i="16"/>
  <c r="GS236" i="4"/>
  <c r="GW236" i="4" s="1"/>
  <c r="HI192" i="4"/>
  <c r="HI205" i="4"/>
  <c r="HS185" i="4"/>
  <c r="HK193" i="4"/>
  <c r="HI217" i="4"/>
  <c r="HK198" i="4"/>
  <c r="HI218" i="4"/>
  <c r="CQ245" i="4"/>
  <c r="HI182" i="4"/>
  <c r="HQ200" i="4"/>
  <c r="HI224" i="4"/>
  <c r="HH4" i="4"/>
  <c r="EC49" i="4"/>
  <c r="HQ186" i="4"/>
  <c r="HI201" i="4"/>
  <c r="HQ225" i="4"/>
  <c r="HM221" i="4"/>
  <c r="AS226" i="4"/>
  <c r="HI226" i="4"/>
  <c r="AQ219" i="4"/>
  <c r="HK219" i="4"/>
  <c r="AQ204" i="4"/>
  <c r="HO204" i="4"/>
  <c r="AO194" i="4"/>
  <c r="HQ194" i="4"/>
  <c r="AL237" i="4"/>
  <c r="AL252" i="4"/>
  <c r="AL231" i="4"/>
  <c r="AL238" i="4"/>
  <c r="AL232" i="4"/>
  <c r="AL241" i="4"/>
  <c r="AL229" i="4"/>
  <c r="AL249" i="4"/>
  <c r="AL234" i="4"/>
  <c r="AL248" i="4"/>
  <c r="AL239" i="4"/>
  <c r="AL230" i="4"/>
  <c r="AL245" i="4"/>
  <c r="AL236" i="4"/>
  <c r="AL242" i="4"/>
  <c r="AL251" i="4"/>
  <c r="AL243" i="4"/>
  <c r="AL244" i="4"/>
  <c r="AL246" i="4"/>
  <c r="AL247" i="4"/>
  <c r="AL250" i="4"/>
  <c r="AL233" i="4"/>
  <c r="AL253" i="4"/>
  <c r="AL240" i="4"/>
  <c r="M252" i="4"/>
  <c r="M238" i="4"/>
  <c r="M237" i="4"/>
  <c r="M231" i="4"/>
  <c r="Z6" i="15"/>
  <c r="AF6" i="15" s="1"/>
  <c r="AI228" i="4"/>
  <c r="AA10" i="15" s="1"/>
  <c r="AG10" i="15" s="1"/>
  <c r="AL235" i="4"/>
  <c r="GD245" i="4"/>
  <c r="FI245" i="4"/>
  <c r="EU245" i="4"/>
  <c r="FP245" i="4"/>
  <c r="FK245" i="4"/>
  <c r="FR245" i="4"/>
  <c r="O245" i="4"/>
  <c r="HH244" i="4"/>
  <c r="GO245" i="4"/>
  <c r="DD244" i="4"/>
  <c r="Q245" i="4"/>
  <c r="FM245" i="4"/>
  <c r="FN245" i="4"/>
  <c r="FU245" i="4"/>
  <c r="FT245" i="4"/>
  <c r="BS244" i="4"/>
  <c r="BT241" i="4"/>
  <c r="DM240" i="4"/>
  <c r="HA240" i="4"/>
  <c r="BU240" i="4"/>
  <c r="BT233" i="4"/>
  <c r="GS228" i="4"/>
  <c r="GW228" i="4" s="1"/>
  <c r="HM43" i="4"/>
  <c r="B8" i="16"/>
  <c r="CE252" i="4"/>
  <c r="DT252" i="4"/>
  <c r="GK180" i="4"/>
  <c r="AQ244" i="4"/>
  <c r="CC244" i="4"/>
  <c r="CG243" i="4"/>
  <c r="DO243" i="4"/>
  <c r="CM242" i="4"/>
  <c r="CG242" i="4"/>
  <c r="O180" i="4"/>
  <c r="GD180" i="4"/>
  <c r="M143" i="4"/>
  <c r="M134" i="4"/>
  <c r="AL185" i="4"/>
  <c r="FI180" i="4"/>
  <c r="FP180" i="4"/>
  <c r="AL227" i="4"/>
  <c r="M99" i="4"/>
  <c r="M59" i="4"/>
  <c r="M61" i="4"/>
  <c r="M121" i="4"/>
  <c r="M56" i="4"/>
  <c r="AL182" i="4"/>
  <c r="CQ180" i="4"/>
  <c r="FK180" i="4"/>
  <c r="EA4" i="4"/>
  <c r="Q180" i="4"/>
  <c r="M78" i="4"/>
  <c r="M147" i="4"/>
  <c r="M73" i="4"/>
  <c r="AL209" i="4"/>
  <c r="AL184" i="4"/>
  <c r="AL188" i="4"/>
  <c r="CS180" i="4"/>
  <c r="M151" i="4"/>
  <c r="M40" i="4"/>
  <c r="M167" i="4"/>
  <c r="AL191" i="4"/>
  <c r="AL183" i="4"/>
  <c r="FN180" i="4"/>
  <c r="FM180" i="4"/>
  <c r="M127" i="4"/>
  <c r="M170" i="4"/>
  <c r="AL189" i="4"/>
  <c r="FT180" i="4"/>
  <c r="FU180" i="4"/>
  <c r="CV180" i="4"/>
  <c r="AD180" i="4" s="1"/>
  <c r="CU180" i="4"/>
  <c r="M157" i="4"/>
  <c r="M132" i="4"/>
  <c r="M164" i="4"/>
  <c r="M176" i="4"/>
  <c r="AL195" i="4"/>
  <c r="M44" i="4"/>
  <c r="AL186" i="4"/>
  <c r="M173" i="4"/>
  <c r="AL197" i="4"/>
  <c r="AL180" i="4"/>
  <c r="AL190" i="4"/>
  <c r="AL181" i="4"/>
  <c r="GO180" i="4"/>
  <c r="EK4" i="4"/>
  <c r="M188" i="4"/>
  <c r="M100" i="4"/>
  <c r="M150" i="4"/>
  <c r="M101" i="4"/>
  <c r="FR180" i="4"/>
  <c r="AL196" i="4"/>
  <c r="M154" i="4"/>
  <c r="M128" i="4"/>
  <c r="FY180" i="4"/>
  <c r="EU180" i="4"/>
  <c r="M142" i="4"/>
  <c r="AL194" i="4"/>
  <c r="M149" i="4"/>
  <c r="EC241" i="4"/>
  <c r="AL224" i="4"/>
  <c r="AL204" i="4"/>
  <c r="AL223" i="4"/>
  <c r="AL212" i="4"/>
  <c r="AI198" i="4"/>
  <c r="AL207" i="4"/>
  <c r="AL206" i="4"/>
  <c r="AL214" i="4"/>
  <c r="AL217" i="4"/>
  <c r="AL208" i="4"/>
  <c r="AL218" i="4"/>
  <c r="AL211" i="4"/>
  <c r="AL222" i="4"/>
  <c r="AL221" i="4"/>
  <c r="AL225" i="4"/>
  <c r="AL220" i="4"/>
  <c r="AL213" i="4"/>
  <c r="AL201" i="4"/>
  <c r="AL216" i="4"/>
  <c r="AL203" i="4"/>
  <c r="AL199" i="4"/>
  <c r="AL205" i="4"/>
  <c r="AL226" i="4"/>
  <c r="AL200" i="4"/>
  <c r="AL210" i="4"/>
  <c r="AL202" i="4"/>
  <c r="AL219" i="4"/>
  <c r="M225" i="4"/>
  <c r="M216" i="4"/>
  <c r="M215" i="4"/>
  <c r="AI215" i="4"/>
  <c r="M213" i="4"/>
  <c r="M212" i="4"/>
  <c r="M211" i="4"/>
  <c r="M210" i="4"/>
  <c r="M203" i="4"/>
  <c r="M200" i="4"/>
  <c r="M199" i="4"/>
  <c r="M198" i="4"/>
  <c r="M193" i="4"/>
  <c r="AI193" i="4"/>
  <c r="AL187" i="4"/>
  <c r="AA11" i="15"/>
  <c r="AG11" i="15" s="1"/>
  <c r="M187" i="4"/>
  <c r="M186" i="4"/>
  <c r="M185" i="4"/>
  <c r="M184" i="4"/>
  <c r="M183" i="4"/>
  <c r="M182" i="4"/>
  <c r="BU218" i="4"/>
  <c r="GS205" i="4"/>
  <c r="GY205" i="4" s="1"/>
  <c r="BT204" i="4"/>
  <c r="BU214" i="4"/>
  <c r="BS199" i="4"/>
  <c r="M192" i="4"/>
  <c r="DV194" i="4"/>
  <c r="HA194" i="4"/>
  <c r="BS194" i="4"/>
  <c r="GS153" i="4"/>
  <c r="GW153" i="4" s="1"/>
  <c r="HQ80" i="4"/>
  <c r="HS9" i="4"/>
  <c r="CG118" i="4"/>
  <c r="BT111" i="4"/>
  <c r="GS111" i="4"/>
  <c r="GW111" i="4" s="1"/>
  <c r="HQ84" i="4"/>
  <c r="BS153" i="4"/>
  <c r="EQ153" i="4"/>
  <c r="CG153" i="4"/>
  <c r="HI166" i="4"/>
  <c r="HK167" i="4"/>
  <c r="HI174" i="4"/>
  <c r="HS171" i="4"/>
  <c r="BY155" i="4"/>
  <c r="HI160" i="4"/>
  <c r="HS157" i="4"/>
  <c r="BT175" i="4"/>
  <c r="B11" i="16"/>
  <c r="HK176" i="4"/>
  <c r="AL192" i="4"/>
  <c r="HQ164" i="4"/>
  <c r="AL179" i="4"/>
  <c r="HS173" i="4"/>
  <c r="AO178" i="4"/>
  <c r="HI178" i="4"/>
  <c r="HS154" i="4"/>
  <c r="AL178" i="4"/>
  <c r="HS127" i="4"/>
  <c r="CC204" i="4"/>
  <c r="HK135" i="4"/>
  <c r="HI142" i="4"/>
  <c r="AL165" i="4"/>
  <c r="HI143" i="4"/>
  <c r="HQ129" i="4"/>
  <c r="GS119" i="4"/>
  <c r="GW119" i="4" s="1"/>
  <c r="AL153" i="4"/>
  <c r="M4" i="5"/>
  <c r="HK146" i="4"/>
  <c r="HK148" i="4"/>
  <c r="AL133" i="4"/>
  <c r="AL163" i="4"/>
  <c r="AL156" i="4"/>
  <c r="AL161" i="4"/>
  <c r="AL155" i="4"/>
  <c r="AL169" i="4"/>
  <c r="AL158" i="4"/>
  <c r="AL159" i="4"/>
  <c r="AL167" i="4"/>
  <c r="GS117" i="4"/>
  <c r="GY117" i="4" s="1"/>
  <c r="GS9" i="4"/>
  <c r="GY9" i="4" s="1"/>
  <c r="GZ9" i="4" s="1"/>
  <c r="AL166" i="4"/>
  <c r="AL171" i="4"/>
  <c r="AL164" i="4"/>
  <c r="CG155" i="4"/>
  <c r="EJ117" i="4"/>
  <c r="HI121" i="4"/>
  <c r="HQ132" i="4"/>
  <c r="HI139" i="4"/>
  <c r="HK150" i="4"/>
  <c r="HK147" i="4"/>
  <c r="GS175" i="4"/>
  <c r="GW175" i="4" s="1"/>
  <c r="HQ119" i="4"/>
  <c r="HS144" i="4"/>
  <c r="AL170" i="4"/>
  <c r="HS123" i="4"/>
  <c r="AL174" i="4"/>
  <c r="AL176" i="4"/>
  <c r="AS178" i="4"/>
  <c r="HF161" i="4"/>
  <c r="AL162" i="4"/>
  <c r="AL157" i="4"/>
  <c r="CG130" i="4"/>
  <c r="CG117" i="4"/>
  <c r="HS134" i="4"/>
  <c r="AL175" i="4"/>
  <c r="AL160" i="4"/>
  <c r="AL154" i="4"/>
  <c r="DO119" i="4"/>
  <c r="CG119" i="4"/>
  <c r="CA136" i="4"/>
  <c r="BY178" i="4"/>
  <c r="AL173" i="4"/>
  <c r="BW130" i="4"/>
  <c r="DA130" i="4"/>
  <c r="HQ117" i="4"/>
  <c r="GS23" i="4"/>
  <c r="GW23" i="4" s="1"/>
  <c r="BU137" i="4"/>
  <c r="EA137" i="4"/>
  <c r="CE137" i="4"/>
  <c r="AL177" i="4"/>
  <c r="EC225" i="4"/>
  <c r="CG225" i="4"/>
  <c r="CE218" i="4"/>
  <c r="CY218" i="4"/>
  <c r="BW216" i="4"/>
  <c r="CA216" i="4"/>
  <c r="CG216" i="4"/>
  <c r="DV216" i="4"/>
  <c r="CG214" i="4"/>
  <c r="EA205" i="4"/>
  <c r="CE205" i="4"/>
  <c r="EO201" i="4"/>
  <c r="CE201" i="4"/>
  <c r="BW200" i="4"/>
  <c r="CA200" i="4"/>
  <c r="CG200" i="4"/>
  <c r="DV200" i="4"/>
  <c r="EA198" i="4"/>
  <c r="CE198" i="4"/>
  <c r="CG194" i="4"/>
  <c r="CA193" i="4"/>
  <c r="BY193" i="4"/>
  <c r="CE193" i="4"/>
  <c r="FX193" i="4"/>
  <c r="FY232" i="4" s="1"/>
  <c r="EV192" i="4"/>
  <c r="CE192" i="4"/>
  <c r="DA191" i="4"/>
  <c r="CG191" i="4"/>
  <c r="CR187" i="4"/>
  <c r="CS245" i="4" s="1"/>
  <c r="CE187" i="4"/>
  <c r="CY178" i="4"/>
  <c r="BU178" i="4"/>
  <c r="BU174" i="4"/>
  <c r="AI172" i="4"/>
  <c r="AL172" i="4" s="1"/>
  <c r="AI168" i="4"/>
  <c r="AL168" i="4" s="1"/>
  <c r="AA8" i="15"/>
  <c r="AG8" i="15" s="1"/>
  <c r="BT157" i="4"/>
  <c r="AO136" i="4"/>
  <c r="HS136" i="4"/>
  <c r="AQ130" i="4"/>
  <c r="HQ130" i="4"/>
  <c r="AS128" i="4"/>
  <c r="HI128" i="4"/>
  <c r="BW186" i="4"/>
  <c r="CA186" i="4"/>
  <c r="CG186" i="4"/>
  <c r="CM186" i="4"/>
  <c r="AL151" i="4"/>
  <c r="AL143" i="4"/>
  <c r="AL144" i="4"/>
  <c r="AL125" i="4"/>
  <c r="AL123" i="4"/>
  <c r="AL132" i="4"/>
  <c r="AL127" i="4"/>
  <c r="AL142" i="4"/>
  <c r="AL147" i="4"/>
  <c r="AL139" i="4"/>
  <c r="AL134" i="4"/>
  <c r="AL149" i="4"/>
  <c r="AL124" i="4"/>
  <c r="AL146" i="4"/>
  <c r="AL152" i="4"/>
  <c r="AL122" i="4"/>
  <c r="AL145" i="4"/>
  <c r="AL150" i="4"/>
  <c r="AL129" i="4"/>
  <c r="AL121" i="4"/>
  <c r="AL128" i="4"/>
  <c r="AL135" i="4"/>
  <c r="AL148" i="4"/>
  <c r="GD152" i="4"/>
  <c r="CQ152" i="4"/>
  <c r="FI152" i="4"/>
  <c r="FP152" i="4"/>
  <c r="GK152" i="4"/>
  <c r="EU152" i="4"/>
  <c r="FR152" i="4"/>
  <c r="FK152" i="4"/>
  <c r="CS152" i="4"/>
  <c r="FN152" i="4"/>
  <c r="FU152" i="4"/>
  <c r="CV152" i="4"/>
  <c r="AD152" i="4" s="1"/>
  <c r="GO152" i="4"/>
  <c r="FY152" i="4"/>
  <c r="CG171" i="4"/>
  <c r="EC171" i="4"/>
  <c r="FC166" i="4"/>
  <c r="CE166" i="4"/>
  <c r="EC154" i="4"/>
  <c r="CG154" i="4"/>
  <c r="GU153" i="4"/>
  <c r="GV153" i="4" s="1"/>
  <c r="FM152" i="4"/>
  <c r="FT152" i="4"/>
  <c r="HF4" i="4"/>
  <c r="HF152" i="4"/>
  <c r="CU152" i="4"/>
  <c r="CE157" i="4"/>
  <c r="BV151" i="4"/>
  <c r="Q152" i="4"/>
  <c r="BY151" i="4"/>
  <c r="O152" i="4"/>
  <c r="AI141" i="4"/>
  <c r="AL141" i="4" s="1"/>
  <c r="AI140" i="4"/>
  <c r="AL140" i="4" s="1"/>
  <c r="AI138" i="4"/>
  <c r="AL138" i="4" s="1"/>
  <c r="AI137" i="4"/>
  <c r="AL137" i="4" s="1"/>
  <c r="AI136" i="4"/>
  <c r="AL136" i="4" s="1"/>
  <c r="AI131" i="4"/>
  <c r="AL131" i="4" s="1"/>
  <c r="AI130" i="4"/>
  <c r="AL130" i="4" s="1"/>
  <c r="AA9" i="15"/>
  <c r="AG9" i="15" s="1"/>
  <c r="AI126" i="4"/>
  <c r="AL126" i="4" s="1"/>
  <c r="CE167" i="4"/>
  <c r="CK167" i="4"/>
  <c r="CA167" i="4"/>
  <c r="BY167" i="4"/>
  <c r="EH165" i="4"/>
  <c r="CE165" i="4"/>
  <c r="BU115" i="4"/>
  <c r="GS115" i="4"/>
  <c r="GY115" i="4" s="1"/>
  <c r="BU109" i="4"/>
  <c r="DR43" i="4"/>
  <c r="FV43" i="4"/>
  <c r="FW152" i="4" s="1"/>
  <c r="GS88" i="4"/>
  <c r="GW88" i="4" s="1"/>
  <c r="GS81" i="4"/>
  <c r="GW81" i="4" s="1"/>
  <c r="CG164" i="4"/>
  <c r="DH164" i="4"/>
  <c r="CY162" i="4"/>
  <c r="CE162" i="4"/>
  <c r="DT135" i="4"/>
  <c r="CE135" i="4"/>
  <c r="CE151" i="4"/>
  <c r="EA151" i="4"/>
  <c r="EA150" i="4"/>
  <c r="CE150" i="4"/>
  <c r="CK146" i="4"/>
  <c r="CE146" i="4"/>
  <c r="HS113" i="4"/>
  <c r="HO107" i="4"/>
  <c r="DH118" i="4"/>
  <c r="GS118" i="4"/>
  <c r="HQ112" i="4"/>
  <c r="HQ118" i="4"/>
  <c r="AL114" i="4"/>
  <c r="CE142" i="4"/>
  <c r="EH142" i="4"/>
  <c r="CK139" i="4"/>
  <c r="CE139" i="4"/>
  <c r="BW139" i="4"/>
  <c r="BY139" i="4"/>
  <c r="BW134" i="4"/>
  <c r="CA134" i="4"/>
  <c r="EJ134" i="4"/>
  <c r="CG134" i="4"/>
  <c r="DA132" i="4"/>
  <c r="CG132" i="4"/>
  <c r="EJ123" i="4"/>
  <c r="CG123" i="4"/>
  <c r="AO130" i="4"/>
  <c r="BY128" i="4"/>
  <c r="HI91" i="4"/>
  <c r="AL116" i="4"/>
  <c r="HK102" i="4"/>
  <c r="HS81" i="4"/>
  <c r="HI92" i="4"/>
  <c r="AL117" i="4"/>
  <c r="HI101" i="4"/>
  <c r="HS82" i="4"/>
  <c r="HK85" i="4"/>
  <c r="HS93" i="4"/>
  <c r="AL113" i="4"/>
  <c r="AL108" i="4"/>
  <c r="AL118" i="4"/>
  <c r="AL119" i="4"/>
  <c r="BY92" i="4"/>
  <c r="BY91" i="4"/>
  <c r="AL115" i="4"/>
  <c r="GS43" i="4"/>
  <c r="GW43" i="4" s="1"/>
  <c r="AL120" i="4"/>
  <c r="BW89" i="4"/>
  <c r="HS88" i="4"/>
  <c r="HS103" i="4"/>
  <c r="AL107" i="4"/>
  <c r="AL110" i="4"/>
  <c r="AL109" i="4"/>
  <c r="HK89" i="4"/>
  <c r="HS105" i="4"/>
  <c r="AL112" i="4"/>
  <c r="CA81" i="4"/>
  <c r="AL111" i="4"/>
  <c r="BT113" i="4"/>
  <c r="BV110" i="4"/>
  <c r="CA130" i="4"/>
  <c r="CM127" i="4"/>
  <c r="CG127" i="4"/>
  <c r="CE121" i="4"/>
  <c r="EV121" i="4"/>
  <c r="BS107" i="4"/>
  <c r="DK107" i="4"/>
  <c r="CC107" i="4"/>
  <c r="AL82" i="4"/>
  <c r="BV36" i="4"/>
  <c r="BV40" i="4"/>
  <c r="BV31" i="4"/>
  <c r="BV4" i="4"/>
  <c r="BU59" i="4"/>
  <c r="BU30" i="4"/>
  <c r="BS64" i="4"/>
  <c r="BT10" i="4"/>
  <c r="BV56" i="4"/>
  <c r="BS58" i="4"/>
  <c r="BV47" i="4"/>
  <c r="BT75" i="4"/>
  <c r="AL81" i="4"/>
  <c r="AL80" i="4"/>
  <c r="BS78" i="4"/>
  <c r="BT68" i="4"/>
  <c r="BT48" i="4"/>
  <c r="BT8" i="4"/>
  <c r="BU61" i="4"/>
  <c r="BT6" i="4"/>
  <c r="BS43" i="4"/>
  <c r="BS12" i="4"/>
  <c r="BV45" i="4"/>
  <c r="BT39" i="4"/>
  <c r="BS33" i="4"/>
  <c r="BT9" i="4"/>
  <c r="BS67" i="4"/>
  <c r="BS66" i="4"/>
  <c r="BT77" i="4"/>
  <c r="BV55" i="4"/>
  <c r="BU35" i="4"/>
  <c r="BS76" i="4"/>
  <c r="BS37" i="4"/>
  <c r="AL83" i="4"/>
  <c r="BU72" i="4"/>
  <c r="BV70" i="4"/>
  <c r="BT11" i="4"/>
  <c r="BV50" i="4"/>
  <c r="DO112" i="4"/>
  <c r="CG112" i="4"/>
  <c r="BY112" i="4"/>
  <c r="CA112" i="4"/>
  <c r="AL93" i="4"/>
  <c r="AI84" i="4"/>
  <c r="AL99" i="4"/>
  <c r="AL101" i="4"/>
  <c r="AL105" i="4"/>
  <c r="AL103" i="4"/>
  <c r="AL85" i="4"/>
  <c r="AL88" i="4"/>
  <c r="AL87" i="4"/>
  <c r="AL90" i="4"/>
  <c r="AL91" i="4"/>
  <c r="AL92" i="4"/>
  <c r="AL89" i="4"/>
  <c r="AL102" i="4"/>
  <c r="AL104" i="4"/>
  <c r="AL86" i="4"/>
  <c r="AI106" i="4"/>
  <c r="AL106" i="4" s="1"/>
  <c r="AL100" i="4"/>
  <c r="Z14" i="15"/>
  <c r="AF14" i="15" s="1"/>
  <c r="AI98" i="4"/>
  <c r="AL98" i="4" s="1"/>
  <c r="AL97" i="4"/>
  <c r="AI96" i="4"/>
  <c r="AL96" i="4" s="1"/>
  <c r="AI95" i="4"/>
  <c r="GS91" i="4"/>
  <c r="GY91" i="4" s="1"/>
  <c r="AI94" i="4"/>
  <c r="AL94" i="4" s="1"/>
  <c r="GS92" i="4"/>
  <c r="GY92" i="4" s="1"/>
  <c r="BV85" i="4"/>
  <c r="CG54" i="4"/>
  <c r="CG48" i="4"/>
  <c r="CE4" i="4"/>
  <c r="HS7" i="4"/>
  <c r="GS19" i="4"/>
  <c r="GW19" i="4" s="1"/>
  <c r="GS31" i="4"/>
  <c r="GY31" i="4" s="1"/>
  <c r="HQ23" i="4"/>
  <c r="CE182" i="4"/>
  <c r="EA182" i="4"/>
  <c r="CG113" i="4"/>
  <c r="GS47" i="4"/>
  <c r="GW47" i="4" s="1"/>
  <c r="GS66" i="4"/>
  <c r="GW66" i="4" s="1"/>
  <c r="GS68" i="4"/>
  <c r="GW68" i="4" s="1"/>
  <c r="Z4" i="15"/>
  <c r="AF4" i="15" s="1"/>
  <c r="HK44" i="4"/>
  <c r="DT44" i="4"/>
  <c r="GS11" i="4"/>
  <c r="GW11" i="4" s="1"/>
  <c r="GS8" i="4"/>
  <c r="GY8" i="4" s="1"/>
  <c r="GZ8" i="4" s="1"/>
  <c r="CA68" i="4"/>
  <c r="BY58" i="4"/>
  <c r="BY67" i="4"/>
  <c r="CA57" i="4"/>
  <c r="AL16" i="4"/>
  <c r="AL17" i="4"/>
  <c r="AL15" i="4"/>
  <c r="AL14" i="4"/>
  <c r="CY84" i="4"/>
  <c r="CE84" i="4"/>
  <c r="HK58" i="4"/>
  <c r="HQ58" i="4"/>
  <c r="CE92" i="4"/>
  <c r="EA92" i="4"/>
  <c r="CE85" i="4"/>
  <c r="EH85" i="4"/>
  <c r="DV93" i="4"/>
  <c r="CG93" i="4"/>
  <c r="CE91" i="4"/>
  <c r="EA91" i="4"/>
  <c r="CG88" i="4"/>
  <c r="DV88" i="4"/>
  <c r="HQ42" i="4"/>
  <c r="GS36" i="4"/>
  <c r="GY36" i="4" s="1"/>
  <c r="GS55" i="4"/>
  <c r="GW55" i="4" s="1"/>
  <c r="GS35" i="4"/>
  <c r="GY35" i="4" s="1"/>
  <c r="DA83" i="4"/>
  <c r="CG83" i="4"/>
  <c r="DV81" i="4"/>
  <c r="CG81" i="4"/>
  <c r="AL72" i="4"/>
  <c r="GS14" i="4"/>
  <c r="GW14" i="4" s="1"/>
  <c r="GS7" i="4"/>
  <c r="GW7" i="4" s="1"/>
  <c r="HK45" i="4"/>
  <c r="AL64" i="4"/>
  <c r="CA54" i="4"/>
  <c r="AL60" i="4"/>
  <c r="AL70" i="4"/>
  <c r="CA48" i="4"/>
  <c r="AL76" i="4"/>
  <c r="BW46" i="4"/>
  <c r="AL62" i="4"/>
  <c r="AL66" i="4"/>
  <c r="AL74" i="4"/>
  <c r="AL68" i="4"/>
  <c r="AL58" i="4"/>
  <c r="AL67" i="4"/>
  <c r="AL65" i="4"/>
  <c r="AL57" i="4"/>
  <c r="AL71" i="4"/>
  <c r="AL63" i="4"/>
  <c r="AL77" i="4"/>
  <c r="AL75" i="4"/>
  <c r="AL79" i="4"/>
  <c r="AL78" i="4"/>
  <c r="AA14" i="15"/>
  <c r="AG14" i="15" s="1"/>
  <c r="AL73" i="4"/>
  <c r="AI69" i="4"/>
  <c r="AL69" i="4" s="1"/>
  <c r="AL61" i="4"/>
  <c r="AL59" i="4"/>
  <c r="EJ58" i="4"/>
  <c r="AO54" i="4"/>
  <c r="HS54" i="4"/>
  <c r="AO48" i="4"/>
  <c r="HS48" i="4"/>
  <c r="AL27" i="4"/>
  <c r="AL42" i="4"/>
  <c r="AL56" i="4"/>
  <c r="AL45" i="4"/>
  <c r="BY57" i="4"/>
  <c r="AL53" i="4"/>
  <c r="AL54" i="4"/>
  <c r="AI52" i="4"/>
  <c r="AI49" i="4"/>
  <c r="AA3" i="5" s="1"/>
  <c r="AL44" i="4"/>
  <c r="AI43" i="4"/>
  <c r="Y4" i="15" s="1"/>
  <c r="AE4" i="15" s="1"/>
  <c r="AL46" i="4"/>
  <c r="AL48" i="4"/>
  <c r="AL47" i="4"/>
  <c r="AL51" i="4"/>
  <c r="AL55" i="4"/>
  <c r="AL50" i="4"/>
  <c r="GV48" i="4"/>
  <c r="CG78" i="4"/>
  <c r="EJ78" i="4"/>
  <c r="CG76" i="4"/>
  <c r="EC76" i="4"/>
  <c r="CG66" i="4"/>
  <c r="CM66" i="4"/>
  <c r="GY66" i="4"/>
  <c r="GZ66" i="4" s="1"/>
  <c r="BY66" i="4"/>
  <c r="CA66" i="4"/>
  <c r="AO58" i="4"/>
  <c r="CA58" i="4"/>
  <c r="GU49" i="4"/>
  <c r="GV49" i="4" s="1"/>
  <c r="CG77" i="4"/>
  <c r="EC77" i="4"/>
  <c r="EA70" i="4"/>
  <c r="CE70" i="4"/>
  <c r="DO68" i="4"/>
  <c r="CG68" i="4"/>
  <c r="CE67" i="4"/>
  <c r="CK67" i="4"/>
  <c r="CE66" i="4"/>
  <c r="CK66" i="4"/>
  <c r="BW64" i="4"/>
  <c r="CA64" i="4"/>
  <c r="FE64" i="4"/>
  <c r="CG64" i="4"/>
  <c r="EO59" i="4"/>
  <c r="CE59" i="4"/>
  <c r="GY55" i="4"/>
  <c r="GZ55" i="4" s="1"/>
  <c r="CE55" i="4"/>
  <c r="EA55" i="4"/>
  <c r="CA55" i="4"/>
  <c r="BY55" i="4"/>
  <c r="L2" i="5"/>
  <c r="GY47" i="4"/>
  <c r="GZ47" i="4" s="1"/>
  <c r="CA47" i="4"/>
  <c r="BY47" i="4"/>
  <c r="CE47" i="4"/>
  <c r="EA47" i="4"/>
  <c r="CE56" i="4"/>
  <c r="EA56" i="4"/>
  <c r="CG55" i="4"/>
  <c r="EC55" i="4"/>
  <c r="GS12" i="4"/>
  <c r="GW12" i="4" s="1"/>
  <c r="GS30" i="4"/>
  <c r="GY30" i="4" s="1"/>
  <c r="CA50" i="4"/>
  <c r="BY50" i="4"/>
  <c r="CE50" i="4"/>
  <c r="EH50" i="4"/>
  <c r="BY35" i="4"/>
  <c r="BY31" i="4"/>
  <c r="BW29" i="4"/>
  <c r="BY36" i="4"/>
  <c r="BY27" i="4"/>
  <c r="BY30" i="4"/>
  <c r="EC47" i="4"/>
  <c r="CG47" i="4"/>
  <c r="HM29" i="4"/>
  <c r="HS29" i="4"/>
  <c r="AO27" i="4"/>
  <c r="HS27" i="4"/>
  <c r="CE44" i="4"/>
  <c r="EA44" i="4"/>
  <c r="EY41" i="4"/>
  <c r="CE45" i="4"/>
  <c r="CY45" i="4"/>
  <c r="CZ59" i="4" s="1"/>
  <c r="CA19" i="4"/>
  <c r="EG41" i="4"/>
  <c r="FT41" i="4"/>
  <c r="EU41" i="4"/>
  <c r="DL41" i="4"/>
  <c r="CN41" i="4"/>
  <c r="EZ41" i="4"/>
  <c r="BY8" i="4"/>
  <c r="AL33" i="4"/>
  <c r="AL30" i="4"/>
  <c r="AL36" i="4"/>
  <c r="AL34" i="4"/>
  <c r="AL29" i="4"/>
  <c r="AL41" i="4"/>
  <c r="AL28" i="4"/>
  <c r="AL32" i="4"/>
  <c r="AL31" i="4"/>
  <c r="AL37" i="4"/>
  <c r="AL35" i="4"/>
  <c r="AL26" i="4"/>
  <c r="AL39" i="4"/>
  <c r="AL40" i="4"/>
  <c r="CS41" i="4"/>
  <c r="FY41" i="4"/>
  <c r="CZ41" i="4"/>
  <c r="FR41" i="4"/>
  <c r="CA12" i="4"/>
  <c r="CA6" i="4"/>
  <c r="BY9" i="4"/>
  <c r="FM41" i="4"/>
  <c r="FI41" i="4"/>
  <c r="CV41" i="4"/>
  <c r="AD41" i="4" s="1"/>
  <c r="HS8" i="4"/>
  <c r="BY18" i="4"/>
  <c r="BW17" i="4"/>
  <c r="FW41" i="4"/>
  <c r="EN41" i="4"/>
  <c r="BY10" i="4"/>
  <c r="FB41" i="4"/>
  <c r="CU41" i="4"/>
  <c r="DE41" i="4"/>
  <c r="CL41" i="4"/>
  <c r="DI41" i="4"/>
  <c r="BW5" i="4"/>
  <c r="BY21" i="4"/>
  <c r="GO41" i="4"/>
  <c r="GK41" i="4"/>
  <c r="FK41" i="4"/>
  <c r="HS10" i="4"/>
  <c r="CA14" i="4"/>
  <c r="CJ41" i="4"/>
  <c r="FP41" i="4"/>
  <c r="ER41" i="4"/>
  <c r="CX41" i="4"/>
  <c r="EP41" i="4"/>
  <c r="EW41" i="4"/>
  <c r="BY15" i="4"/>
  <c r="CA11" i="4"/>
  <c r="GD41" i="4"/>
  <c r="FD41" i="4"/>
  <c r="DB41" i="4"/>
  <c r="DC41" i="4"/>
  <c r="FU41" i="4"/>
  <c r="CQ41" i="4"/>
  <c r="ES41" i="4"/>
  <c r="FN41" i="4"/>
  <c r="CO41" i="4"/>
  <c r="HF41" i="4"/>
  <c r="Q41" i="4"/>
  <c r="BY26" i="4"/>
  <c r="O41" i="4"/>
  <c r="AI38" i="4"/>
  <c r="GG29" i="4"/>
  <c r="GH41" i="4" s="1"/>
  <c r="B3" i="16"/>
  <c r="AI20" i="4"/>
  <c r="AL22" i="4"/>
  <c r="AL25" i="4"/>
  <c r="AL24" i="4"/>
  <c r="AL23" i="4"/>
  <c r="AL21" i="4"/>
  <c r="HQ18" i="4"/>
  <c r="HI18" i="4"/>
  <c r="CG30" i="4"/>
  <c r="DT30" i="4"/>
  <c r="CE30" i="4"/>
  <c r="CG29" i="4"/>
  <c r="HI16" i="4"/>
  <c r="HM17" i="4"/>
  <c r="HQ17" i="4"/>
  <c r="HK15" i="4"/>
  <c r="HQ15" i="4"/>
  <c r="CE40" i="4"/>
  <c r="DT40" i="4"/>
  <c r="CG37" i="4"/>
  <c r="DV37" i="4"/>
  <c r="BY37" i="4"/>
  <c r="CA37" i="4"/>
  <c r="DT36" i="4"/>
  <c r="CE36" i="4"/>
  <c r="DT35" i="4"/>
  <c r="CE35" i="4"/>
  <c r="CE31" i="4"/>
  <c r="DT31" i="4"/>
  <c r="CA29" i="4"/>
  <c r="AO29" i="4"/>
  <c r="BY28" i="4"/>
  <c r="CA28" i="4"/>
  <c r="DV28" i="4"/>
  <c r="CG28" i="4"/>
  <c r="EA26" i="4"/>
  <c r="CE26" i="4"/>
  <c r="EC19" i="4"/>
  <c r="CG19" i="4"/>
  <c r="AS18" i="4"/>
  <c r="CG15" i="4"/>
  <c r="DV16" i="4"/>
  <c r="CG16" i="4"/>
  <c r="BY16" i="4"/>
  <c r="CA16" i="4"/>
  <c r="AO17" i="4"/>
  <c r="CA17" i="4"/>
  <c r="HM6" i="4"/>
  <c r="HS6" i="4"/>
  <c r="DV6" i="4"/>
  <c r="DW6" i="4" s="1"/>
  <c r="GS6" i="4"/>
  <c r="GU6" i="4" s="1"/>
  <c r="Y10" i="13"/>
  <c r="C523" i="11" s="1"/>
  <c r="BW4" i="4"/>
  <c r="Y7" i="13"/>
  <c r="C528" i="11" s="1"/>
  <c r="EK5" i="4"/>
  <c r="DV8" i="4"/>
  <c r="AO4" i="4"/>
  <c r="HK4" i="4"/>
  <c r="DT10" i="4"/>
  <c r="CE10" i="4"/>
  <c r="CA7" i="4"/>
  <c r="BY7" i="4"/>
  <c r="CE7" i="4"/>
  <c r="DT7" i="4"/>
  <c r="DU7" i="4" s="1"/>
  <c r="AG9" i="13"/>
  <c r="GY7" i="4"/>
  <c r="GZ7" i="4" s="1"/>
  <c r="AG5" i="13"/>
  <c r="AS6" i="4"/>
  <c r="BY6" i="4"/>
  <c r="GY6" i="4"/>
  <c r="GZ6" i="4" s="1"/>
  <c r="CE8" i="4"/>
  <c r="DT8" i="4"/>
  <c r="Y16" i="13"/>
  <c r="C532" i="11" s="1"/>
  <c r="Y13" i="13"/>
  <c r="C524" i="11" s="1"/>
  <c r="AS4" i="4"/>
  <c r="BY4" i="4"/>
  <c r="CE9" i="4"/>
  <c r="DT9" i="4"/>
  <c r="CG11" i="4"/>
  <c r="EC11" i="4"/>
  <c r="ED12" i="4" s="1"/>
  <c r="CG12" i="4"/>
  <c r="DV12" i="4"/>
  <c r="CG7" i="4"/>
  <c r="DV7" i="4"/>
  <c r="AO15" i="4"/>
  <c r="CG14" i="4"/>
  <c r="DV14" i="4"/>
  <c r="AO6" i="4"/>
  <c r="CA15" i="4"/>
  <c r="CA4" i="4"/>
  <c r="Y14" i="13"/>
  <c r="C527" i="11" s="1"/>
  <c r="Y5" i="13"/>
  <c r="C530" i="11" s="1"/>
  <c r="Y12" i="13"/>
  <c r="C525" i="11" s="1"/>
  <c r="AG10" i="13"/>
  <c r="AD3" i="5"/>
  <c r="V3" i="5"/>
  <c r="X3" i="5"/>
  <c r="W3" i="5"/>
  <c r="U3" i="5"/>
  <c r="AC3" i="5"/>
  <c r="R3" i="5"/>
  <c r="O3" i="5"/>
  <c r="S3" i="5"/>
  <c r="N3" i="5"/>
  <c r="B77" i="5"/>
  <c r="D77" i="5" s="1"/>
  <c r="B57" i="5"/>
  <c r="D57" i="5" s="1"/>
  <c r="F56" i="5"/>
  <c r="H45" i="5" s="1"/>
  <c r="Y9" i="13"/>
  <c r="C529" i="11" s="1"/>
  <c r="Y15" i="13"/>
  <c r="C531" i="11" s="1"/>
  <c r="Y11" i="13"/>
  <c r="C526" i="11" s="1"/>
  <c r="GS194" i="4"/>
  <c r="GY194" i="4" s="1"/>
  <c r="GS350" i="4"/>
  <c r="GS367" i="4"/>
  <c r="GS277" i="4"/>
  <c r="GU277" i="4" s="1"/>
  <c r="GS344" i="4"/>
  <c r="GY344" i="4" s="1"/>
  <c r="GS381" i="4"/>
  <c r="GW381" i="4" s="1"/>
  <c r="HK240" i="4"/>
  <c r="BY132" i="4"/>
  <c r="CC213" i="4"/>
  <c r="DD213" i="4"/>
  <c r="BW147" i="4"/>
  <c r="BY147" i="4"/>
  <c r="BY306" i="4"/>
  <c r="BW306" i="4"/>
  <c r="CY270" i="4"/>
  <c r="CE270" i="4"/>
  <c r="HK136" i="4"/>
  <c r="CE339" i="4"/>
  <c r="EA339" i="4"/>
  <c r="BW355" i="4"/>
  <c r="HQ226" i="4"/>
  <c r="GS37" i="4"/>
  <c r="DT37" i="4"/>
  <c r="CE37" i="4"/>
  <c r="GS21" i="4"/>
  <c r="GY21" i="4" s="1"/>
  <c r="DT21" i="4"/>
  <c r="CE21" i="4"/>
  <c r="GS102" i="4"/>
  <c r="GU102" i="4" s="1"/>
  <c r="GV102" i="4" s="1"/>
  <c r="CC102" i="4"/>
  <c r="DK102" i="4"/>
  <c r="GS89" i="4"/>
  <c r="GU89" i="4" s="1"/>
  <c r="GV89" i="4" s="1"/>
  <c r="CC89" i="4"/>
  <c r="EM89" i="4"/>
  <c r="HQ22" i="4"/>
  <c r="HQ233" i="4"/>
  <c r="HM401" i="4"/>
  <c r="CW260" i="4"/>
  <c r="CC260" i="4"/>
  <c r="BY213" i="4"/>
  <c r="BW213" i="4"/>
  <c r="EM183" i="4"/>
  <c r="CC183" i="4"/>
  <c r="EO307" i="4"/>
  <c r="CE307" i="4"/>
  <c r="BY270" i="4"/>
  <c r="CY136" i="4"/>
  <c r="GS355" i="4"/>
  <c r="GU355" i="4" s="1"/>
  <c r="GV355" i="4" s="1"/>
  <c r="CC355" i="4"/>
  <c r="EF355" i="4"/>
  <c r="AO365" i="4"/>
  <c r="HQ365" i="4"/>
  <c r="CQ155" i="4"/>
  <c r="GS328" i="4"/>
  <c r="GU328" i="4" s="1"/>
  <c r="GV328" i="4" s="1"/>
  <c r="ET328" i="4"/>
  <c r="CC328" i="4"/>
  <c r="GU384" i="4"/>
  <c r="GV384" i="4" s="1"/>
  <c r="HQ316" i="4"/>
  <c r="HK274" i="4"/>
  <c r="CC77" i="4"/>
  <c r="DY77" i="4"/>
  <c r="BY260" i="4"/>
  <c r="BW260" i="4"/>
  <c r="DD100" i="4"/>
  <c r="CC100" i="4"/>
  <c r="BY183" i="4"/>
  <c r="BW183" i="4"/>
  <c r="BY307" i="4"/>
  <c r="AQ5" i="4"/>
  <c r="DD148" i="4"/>
  <c r="GU401" i="4"/>
  <c r="GV401" i="4" s="1"/>
  <c r="HM328" i="4"/>
  <c r="HM77" i="4"/>
  <c r="HM202" i="4"/>
  <c r="CC99" i="4"/>
  <c r="EF99" i="4"/>
  <c r="BW77" i="4"/>
  <c r="DD265" i="4"/>
  <c r="CC265" i="4"/>
  <c r="DT286" i="4"/>
  <c r="CE286" i="4"/>
  <c r="CC238" i="4"/>
  <c r="EF238" i="4"/>
  <c r="BW100" i="4"/>
  <c r="HM280" i="4"/>
  <c r="ET280" i="4"/>
  <c r="GJ219" i="4"/>
  <c r="GK219" i="4" s="1"/>
  <c r="CE340" i="4"/>
  <c r="DF340" i="4"/>
  <c r="AO324" i="4"/>
  <c r="HQ324" i="4"/>
  <c r="AO389" i="4"/>
  <c r="HQ389" i="4"/>
  <c r="BW326" i="4"/>
  <c r="BY326" i="4"/>
  <c r="GS76" i="4"/>
  <c r="CE76" i="4"/>
  <c r="EA76" i="4"/>
  <c r="GS46" i="4"/>
  <c r="GU46" i="4" s="1"/>
  <c r="GV46" i="4" s="1"/>
  <c r="CC46" i="4"/>
  <c r="FA46" i="4"/>
  <c r="HI288" i="4"/>
  <c r="CC288" i="4"/>
  <c r="EM288" i="4"/>
  <c r="GS16" i="4"/>
  <c r="DT16" i="4"/>
  <c r="CE16" i="4"/>
  <c r="HK340" i="4"/>
  <c r="HM355" i="4"/>
  <c r="HQ39" i="4"/>
  <c r="HM183" i="4"/>
  <c r="BY99" i="4"/>
  <c r="BW99" i="4"/>
  <c r="BY265" i="4"/>
  <c r="BW265" i="4"/>
  <c r="BY286" i="4"/>
  <c r="BW238" i="4"/>
  <c r="CC225" i="4"/>
  <c r="DY225" i="4"/>
  <c r="DD293" i="4"/>
  <c r="CC293" i="4"/>
  <c r="AS15" i="4"/>
  <c r="HQ267" i="4"/>
  <c r="HK351" i="4"/>
  <c r="GS326" i="4"/>
  <c r="EH326" i="4"/>
  <c r="CE326" i="4"/>
  <c r="HQ400" i="4"/>
  <c r="HK393" i="4"/>
  <c r="DY154" i="4"/>
  <c r="CC154" i="4"/>
  <c r="CE203" i="4"/>
  <c r="EO203" i="4"/>
  <c r="BW225" i="4"/>
  <c r="BW293" i="4"/>
  <c r="CE78" i="4"/>
  <c r="EH78" i="4"/>
  <c r="AS136" i="4"/>
  <c r="HM219" i="4"/>
  <c r="GS28" i="4"/>
  <c r="CE28" i="4"/>
  <c r="DT28" i="4"/>
  <c r="HM89" i="4"/>
  <c r="HK339" i="4"/>
  <c r="HK21" i="4"/>
  <c r="BW154" i="4"/>
  <c r="DT93" i="4"/>
  <c r="CE93" i="4"/>
  <c r="BW203" i="4"/>
  <c r="BY203" i="4"/>
  <c r="BY78" i="4"/>
  <c r="BY331" i="4"/>
  <c r="HQ262" i="4"/>
  <c r="CE29" i="4"/>
  <c r="BY288" i="4"/>
  <c r="BW288" i="4"/>
  <c r="HM238" i="4"/>
  <c r="HQ36" i="4"/>
  <c r="HQ420" i="4"/>
  <c r="HM154" i="4"/>
  <c r="CC176" i="4"/>
  <c r="DY176" i="4"/>
  <c r="BY93" i="4"/>
  <c r="CE101" i="4"/>
  <c r="EH101" i="4"/>
  <c r="HQ57" i="4"/>
  <c r="CC280" i="4"/>
  <c r="EH331" i="4"/>
  <c r="CE331" i="4"/>
  <c r="BW383" i="4"/>
  <c r="BY76" i="4"/>
  <c r="AS354" i="4"/>
  <c r="HM354" i="4"/>
  <c r="HK93" i="4"/>
  <c r="HM288" i="4"/>
  <c r="HK37" i="4"/>
  <c r="HM408" i="4"/>
  <c r="BY176" i="4"/>
  <c r="BW176" i="4"/>
  <c r="BY101" i="4"/>
  <c r="AQ17" i="4"/>
  <c r="AS58" i="4"/>
  <c r="AQ29" i="4"/>
  <c r="BY136" i="4"/>
  <c r="BW280" i="4"/>
  <c r="CE323" i="4"/>
  <c r="EH323" i="4"/>
  <c r="CY191" i="4"/>
  <c r="CE191" i="4"/>
  <c r="CC383" i="4"/>
  <c r="DD383" i="4"/>
  <c r="AO318" i="4"/>
  <c r="HQ318" i="4"/>
  <c r="AO388" i="4"/>
  <c r="HQ388" i="4"/>
  <c r="GY351" i="4"/>
  <c r="GZ351" i="4" s="1"/>
  <c r="HK307" i="4"/>
  <c r="HK16" i="4"/>
  <c r="HK326" i="4"/>
  <c r="HQ320" i="4"/>
  <c r="HM102" i="4"/>
  <c r="DD313" i="4"/>
  <c r="CC313" i="4"/>
  <c r="CC164" i="4"/>
  <c r="DD164" i="4"/>
  <c r="BY242" i="4"/>
  <c r="CC263" i="4"/>
  <c r="EM263" i="4"/>
  <c r="BY191" i="4"/>
  <c r="AO377" i="4"/>
  <c r="HQ377" i="4"/>
  <c r="AS384" i="4"/>
  <c r="HM384" i="4"/>
  <c r="EV257" i="4"/>
  <c r="ET257" i="4"/>
  <c r="EU263" i="4" s="1"/>
  <c r="CC257" i="4"/>
  <c r="BY263" i="4"/>
  <c r="BW263" i="4"/>
  <c r="GS112" i="4"/>
  <c r="DM112" i="4"/>
  <c r="CE112" i="4"/>
  <c r="HM99" i="4"/>
  <c r="HQ350" i="4"/>
  <c r="HK28" i="4"/>
  <c r="HQ214" i="4"/>
  <c r="BW313" i="4"/>
  <c r="CC149" i="4"/>
  <c r="EF149" i="4"/>
  <c r="CE211" i="4"/>
  <c r="DT211" i="4"/>
  <c r="BW164" i="4"/>
  <c r="HQ381" i="4"/>
  <c r="CC219" i="4"/>
  <c r="CE242" i="4"/>
  <c r="CK242" i="4"/>
  <c r="HQ277" i="4"/>
  <c r="HM257" i="4"/>
  <c r="HK286" i="4"/>
  <c r="HQ26" i="4"/>
  <c r="HM213" i="4"/>
  <c r="HM363" i="4"/>
  <c r="CC268" i="4"/>
  <c r="EM268" i="4"/>
  <c r="BW149" i="4"/>
  <c r="BY211" i="4"/>
  <c r="CY132" i="4"/>
  <c r="CE132" i="4"/>
  <c r="DT147" i="4"/>
  <c r="CE147" i="4"/>
  <c r="CC306" i="4"/>
  <c r="ET306" i="4"/>
  <c r="BY339" i="4"/>
  <c r="AO376" i="4"/>
  <c r="HQ376" i="4"/>
  <c r="K5" i="15"/>
  <c r="Q5" i="15" s="1"/>
  <c r="FX240" i="4"/>
  <c r="CE240" i="4"/>
  <c r="HK323" i="4"/>
  <c r="HM417" i="4"/>
  <c r="HK203" i="4"/>
  <c r="HK270" i="4"/>
  <c r="HM383" i="4"/>
  <c r="HQ91" i="4"/>
  <c r="HQ116" i="4"/>
  <c r="HK78" i="4"/>
  <c r="HK76" i="4"/>
  <c r="Q419" i="4"/>
  <c r="O419" i="4"/>
  <c r="FM417" i="4"/>
  <c r="FN417" i="4"/>
  <c r="FT417" i="4"/>
  <c r="FU417" i="4"/>
  <c r="DV36" i="4"/>
  <c r="CA376" i="4"/>
  <c r="CC12" i="4"/>
  <c r="HM12" i="4"/>
  <c r="DR88" i="4"/>
  <c r="BY397" i="4"/>
  <c r="CC88" i="4"/>
  <c r="HM88" i="4"/>
  <c r="HK174" i="4"/>
  <c r="HS36" i="4"/>
  <c r="CA135" i="4"/>
  <c r="HQ10" i="4"/>
  <c r="DK112" i="4"/>
  <c r="CC112" i="4"/>
  <c r="HI257" i="4"/>
  <c r="HO112" i="4"/>
  <c r="DV10" i="4"/>
  <c r="CG10" i="4"/>
  <c r="CE408" i="4"/>
  <c r="DK68" i="4"/>
  <c r="DL81" i="4" s="1"/>
  <c r="HM68" i="4"/>
  <c r="CM67" i="4"/>
  <c r="CG67" i="4"/>
  <c r="CG35" i="4"/>
  <c r="DR6" i="4"/>
  <c r="BY414" i="4"/>
  <c r="BY174" i="4"/>
  <c r="HM55" i="4"/>
  <c r="EJ116" i="4"/>
  <c r="CG116" i="4"/>
  <c r="HS233" i="4"/>
  <c r="HM19" i="4"/>
  <c r="CA103" i="4"/>
  <c r="DY55" i="4"/>
  <c r="CA365" i="4"/>
  <c r="CC55" i="4"/>
  <c r="DY19" i="4"/>
  <c r="HS116" i="4"/>
  <c r="CC19" i="4"/>
  <c r="FE316" i="4"/>
  <c r="CE11" i="4"/>
  <c r="HO28" i="4"/>
  <c r="CC14" i="4"/>
  <c r="HM47" i="4"/>
  <c r="CE297" i="4"/>
  <c r="CA144" i="4"/>
  <c r="HQ67" i="4"/>
  <c r="CE401" i="4"/>
  <c r="CK401" i="4"/>
  <c r="HQ8" i="4"/>
  <c r="HS420" i="4"/>
  <c r="DV30" i="4"/>
  <c r="DV35" i="4"/>
  <c r="GD327" i="4"/>
  <c r="CG33" i="4"/>
  <c r="CC68" i="4"/>
  <c r="HS22" i="4"/>
  <c r="DV31" i="4"/>
  <c r="HQ33" i="4"/>
  <c r="FP327" i="4"/>
  <c r="FI327" i="4"/>
  <c r="CG31" i="4"/>
  <c r="DA322" i="4"/>
  <c r="BY408" i="4"/>
  <c r="FR327" i="4"/>
  <c r="CG322" i="4"/>
  <c r="GS5" i="4"/>
  <c r="Q327" i="4"/>
  <c r="HS23" i="4"/>
  <c r="CE394" i="4"/>
  <c r="O327" i="4"/>
  <c r="CP308" i="4"/>
  <c r="FM327" i="4"/>
  <c r="FN327" i="4"/>
  <c r="FK327" i="4"/>
  <c r="CY394" i="4"/>
  <c r="CC308" i="4"/>
  <c r="DV22" i="4"/>
  <c r="CT342" i="4"/>
  <c r="HM7" i="4"/>
  <c r="DV33" i="4"/>
  <c r="EJ23" i="4"/>
  <c r="DR7" i="4"/>
  <c r="CG22" i="4"/>
  <c r="FU327" i="4"/>
  <c r="FT327" i="4"/>
  <c r="CG342" i="4"/>
  <c r="HM308" i="4"/>
  <c r="HQ342" i="4"/>
  <c r="HQ31" i="4"/>
  <c r="HQ30" i="4"/>
  <c r="HQ35" i="4"/>
  <c r="CG23" i="4"/>
  <c r="CC7" i="4"/>
  <c r="HQ322" i="4"/>
  <c r="HF402" i="4"/>
  <c r="HF371" i="4"/>
  <c r="HF396" i="4"/>
  <c r="HF391" i="4"/>
  <c r="HF190" i="4"/>
  <c r="HF163" i="4"/>
  <c r="HF197" i="4"/>
  <c r="HF374" i="4"/>
  <c r="HF229" i="4"/>
  <c r="HF276" i="4"/>
  <c r="HD359" i="4"/>
  <c r="HD310" i="4"/>
  <c r="HD282" i="4"/>
  <c r="HD230" i="4"/>
  <c r="HD335" i="4"/>
  <c r="HD161" i="4"/>
  <c r="HD325" i="4"/>
  <c r="HD287" i="4"/>
  <c r="HD234" i="4"/>
  <c r="HH96" i="4"/>
  <c r="DF397" i="4"/>
  <c r="EA269" i="4"/>
  <c r="CE269" i="4"/>
  <c r="HK269" i="4"/>
  <c r="CC76" i="4"/>
  <c r="DY76" i="4"/>
  <c r="HI46" i="4"/>
  <c r="HO16" i="4"/>
  <c r="DR16" i="4"/>
  <c r="CE288" i="4"/>
  <c r="FC46" i="4"/>
  <c r="CC16" i="4"/>
  <c r="HO76" i="4"/>
  <c r="CE46" i="4"/>
  <c r="GY367" i="4"/>
  <c r="GY297" i="4"/>
  <c r="GY119" i="4"/>
  <c r="GY49" i="4"/>
  <c r="GY153" i="4"/>
  <c r="GY355" i="4"/>
  <c r="GY11" i="4"/>
  <c r="GY133" i="4"/>
  <c r="GU37" i="4"/>
  <c r="GU21" i="4"/>
  <c r="GU205" i="4"/>
  <c r="GU13" i="4"/>
  <c r="GU88" i="4"/>
  <c r="GU158" i="4"/>
  <c r="GU12" i="4"/>
  <c r="GU76" i="4"/>
  <c r="GU361" i="4"/>
  <c r="GU65" i="4"/>
  <c r="GU16" i="4"/>
  <c r="GU55" i="4"/>
  <c r="GU19" i="4"/>
  <c r="GU47" i="4"/>
  <c r="GU28" i="4"/>
  <c r="GU14" i="4"/>
  <c r="GU137" i="4"/>
  <c r="GU7" i="4"/>
  <c r="GU326" i="4"/>
  <c r="GU68" i="4"/>
  <c r="GU112" i="4"/>
  <c r="GU62" i="4"/>
  <c r="GU81" i="4"/>
  <c r="GU66" i="4"/>
  <c r="GW36" i="4"/>
  <c r="GW97" i="4"/>
  <c r="GW400" i="4"/>
  <c r="GW138" i="4"/>
  <c r="GW145" i="4"/>
  <c r="GW277" i="4"/>
  <c r="GW350" i="4"/>
  <c r="GW420" i="4"/>
  <c r="GW67" i="4"/>
  <c r="GW38" i="4"/>
  <c r="GW33" i="4"/>
  <c r="GW35" i="4"/>
  <c r="GW30" i="4"/>
  <c r="GW22" i="4"/>
  <c r="GW31" i="4"/>
  <c r="GW342" i="4"/>
  <c r="GW235" i="4"/>
  <c r="GW249" i="4"/>
  <c r="GW10" i="4"/>
  <c r="GX5" i="4"/>
  <c r="GW92" i="4"/>
  <c r="GW125" i="4"/>
  <c r="GW90" i="4"/>
  <c r="GW320" i="4"/>
  <c r="GW218" i="4"/>
  <c r="GW91" i="4"/>
  <c r="CE384" i="4"/>
  <c r="CG320" i="4"/>
  <c r="CY384" i="4"/>
  <c r="DA218" i="4"/>
  <c r="CG218" i="4"/>
  <c r="DV9" i="4"/>
  <c r="CG9" i="4"/>
  <c r="CC393" i="4"/>
  <c r="BY384" i="4"/>
  <c r="HQ9" i="4"/>
  <c r="EV328" i="4"/>
  <c r="HI102" i="4"/>
  <c r="CC240" i="4"/>
  <c r="EJ320" i="4"/>
  <c r="HQ228" i="4"/>
  <c r="DM102" i="4"/>
  <c r="HO240" i="4"/>
  <c r="DR37" i="4"/>
  <c r="CE102" i="4"/>
  <c r="FV240" i="4"/>
  <c r="HS320" i="4"/>
  <c r="CE5" i="4"/>
  <c r="CC37" i="4"/>
  <c r="DY205" i="4"/>
  <c r="CI66" i="4"/>
  <c r="CJ90" i="4" s="1"/>
  <c r="HK231" i="4"/>
  <c r="HQ218" i="4"/>
  <c r="HM81" i="4"/>
  <c r="HO21" i="4"/>
  <c r="EC91" i="4"/>
  <c r="DR14" i="4"/>
  <c r="CC205" i="4"/>
  <c r="CC66" i="4"/>
  <c r="HK11" i="4"/>
  <c r="HS91" i="4"/>
  <c r="HM66" i="4"/>
  <c r="DT297" i="4"/>
  <c r="EC39" i="4"/>
  <c r="CE328" i="4"/>
  <c r="HK367" i="4"/>
  <c r="CE367" i="4"/>
  <c r="DR21" i="4"/>
  <c r="DR81" i="4"/>
  <c r="HK297" i="4"/>
  <c r="HM14" i="4"/>
  <c r="CC21" i="4"/>
  <c r="CC81" i="4"/>
  <c r="CY231" i="4"/>
  <c r="EX228" i="4"/>
  <c r="HI328" i="4"/>
  <c r="CG91" i="4"/>
  <c r="GE367" i="4"/>
  <c r="CE231" i="4"/>
  <c r="CS105" i="4"/>
  <c r="CG228" i="4"/>
  <c r="HS214" i="4"/>
  <c r="DF148" i="4"/>
  <c r="HA148" i="4"/>
  <c r="HB166" i="4" s="1"/>
  <c r="HI263" i="4"/>
  <c r="HA263" i="4"/>
  <c r="HC263" i="4" s="1"/>
  <c r="HD263" i="4" s="1"/>
  <c r="HI260" i="4"/>
  <c r="HA260" i="4"/>
  <c r="HE260" i="4" s="1"/>
  <c r="HI183" i="4"/>
  <c r="HA183" i="4"/>
  <c r="HK302" i="4"/>
  <c r="HA302" i="4"/>
  <c r="HG302" i="4" s="1"/>
  <c r="CT187" i="4"/>
  <c r="CU245" i="4" s="1"/>
  <c r="GS187" i="4"/>
  <c r="GY187" i="4" s="1"/>
  <c r="GZ187" i="4" s="1"/>
  <c r="HS84" i="4"/>
  <c r="GS84" i="4"/>
  <c r="GY84" i="4" s="1"/>
  <c r="GZ84" i="4" s="1"/>
  <c r="HS299" i="4"/>
  <c r="GS299" i="4"/>
  <c r="GU299" i="4" s="1"/>
  <c r="HQ266" i="4"/>
  <c r="GS266" i="4"/>
  <c r="GY266" i="4" s="1"/>
  <c r="HQ185" i="4"/>
  <c r="GS185" i="4"/>
  <c r="CG157" i="4"/>
  <c r="GS157" i="4"/>
  <c r="GY157" i="4" s="1"/>
  <c r="GZ157" i="4" s="1"/>
  <c r="HI213" i="4"/>
  <c r="GS213" i="4"/>
  <c r="GU213" i="4" s="1"/>
  <c r="GV213" i="4" s="1"/>
  <c r="HK188" i="4"/>
  <c r="GS188" i="4"/>
  <c r="HO270" i="4"/>
  <c r="GS270" i="4"/>
  <c r="HS201" i="4"/>
  <c r="GS201" i="4"/>
  <c r="GY201" i="4" s="1"/>
  <c r="HM337" i="4"/>
  <c r="GS337" i="4"/>
  <c r="GW337" i="4" s="1"/>
  <c r="HQ304" i="4"/>
  <c r="GS304" i="4"/>
  <c r="HO323" i="4"/>
  <c r="GS323" i="4"/>
  <c r="DA178" i="4"/>
  <c r="GS178" i="4"/>
  <c r="GY178" i="4" s="1"/>
  <c r="HO37" i="4"/>
  <c r="HO393" i="4"/>
  <c r="GS393" i="4"/>
  <c r="GY393" i="4" s="1"/>
  <c r="GZ393" i="4" s="1"/>
  <c r="GS240" i="4"/>
  <c r="GY240" i="4" s="1"/>
  <c r="GZ240" i="4" s="1"/>
  <c r="HS182" i="4"/>
  <c r="GS182" i="4"/>
  <c r="GY182" i="4" s="1"/>
  <c r="DF315" i="4"/>
  <c r="GS315" i="4"/>
  <c r="HK104" i="4"/>
  <c r="GS104" i="4"/>
  <c r="HO340" i="4"/>
  <c r="GS340" i="4"/>
  <c r="GN352" i="4"/>
  <c r="GS352" i="4"/>
  <c r="GY352" i="4" s="1"/>
  <c r="HK123" i="4"/>
  <c r="GS123" i="4"/>
  <c r="GW123" i="4" s="1"/>
  <c r="HM317" i="4"/>
  <c r="GS317" i="4"/>
  <c r="HI77" i="4"/>
  <c r="GS77" i="4"/>
  <c r="HM216" i="4"/>
  <c r="GS216" i="4"/>
  <c r="GW216" i="4" s="1"/>
  <c r="HS44" i="4"/>
  <c r="GS44" i="4"/>
  <c r="GY44" i="4" s="1"/>
  <c r="CE54" i="4"/>
  <c r="GS54" i="4"/>
  <c r="GW54" i="4" s="1"/>
  <c r="HQ291" i="4"/>
  <c r="GS291" i="4"/>
  <c r="GY291" i="4" s="1"/>
  <c r="HI100" i="4"/>
  <c r="GS100" i="4"/>
  <c r="GU100" i="4" s="1"/>
  <c r="GV100" i="4" s="1"/>
  <c r="HS254" i="4"/>
  <c r="GS254" i="4"/>
  <c r="GY254" i="4" s="1"/>
  <c r="HS284" i="4"/>
  <c r="GS284" i="4"/>
  <c r="HS349" i="4"/>
  <c r="GS349" i="4"/>
  <c r="GU349" i="4" s="1"/>
  <c r="HQ165" i="4"/>
  <c r="GS165" i="4"/>
  <c r="GY165" i="4" s="1"/>
  <c r="GZ165" i="4" s="1"/>
  <c r="CA343" i="4"/>
  <c r="EQ311" i="4"/>
  <c r="GS311" i="4"/>
  <c r="CG258" i="4"/>
  <c r="GS258" i="4"/>
  <c r="GY258" i="4" s="1"/>
  <c r="HQ353" i="4"/>
  <c r="GS353" i="4"/>
  <c r="GU353" i="4" s="1"/>
  <c r="DH244" i="4"/>
  <c r="GS244" i="4"/>
  <c r="GU244" i="4" s="1"/>
  <c r="CM389" i="4"/>
  <c r="GS389" i="4"/>
  <c r="GY389" i="4" s="1"/>
  <c r="CG316" i="4"/>
  <c r="GS316" i="4"/>
  <c r="GY316" i="4" s="1"/>
  <c r="CG39" i="4"/>
  <c r="GS39" i="4"/>
  <c r="HO307" i="4"/>
  <c r="GS307" i="4"/>
  <c r="HI99" i="4"/>
  <c r="GS99" i="4"/>
  <c r="GU99" i="4" s="1"/>
  <c r="GV99" i="4" s="1"/>
  <c r="EX121" i="4"/>
  <c r="GS121" i="4"/>
  <c r="GY121" i="4" s="1"/>
  <c r="HM134" i="4"/>
  <c r="GS134" i="4"/>
  <c r="GW134" i="4" s="1"/>
  <c r="HI265" i="4"/>
  <c r="GS265" i="4"/>
  <c r="GU265" i="4" s="1"/>
  <c r="GV265" i="4" s="1"/>
  <c r="DK329" i="4"/>
  <c r="GS329" i="4"/>
  <c r="GW329" i="4" s="1"/>
  <c r="HO286" i="4"/>
  <c r="GS286" i="4"/>
  <c r="GY286" i="4" s="1"/>
  <c r="HI238" i="4"/>
  <c r="GS238" i="4"/>
  <c r="GU238" i="4" s="1"/>
  <c r="GV238" i="4" s="1"/>
  <c r="FC272" i="4"/>
  <c r="GS272" i="4"/>
  <c r="HM40" i="4"/>
  <c r="GS40" i="4"/>
  <c r="GY40" i="4" s="1"/>
  <c r="HS198" i="4"/>
  <c r="GS198" i="4"/>
  <c r="GY198" i="4" s="1"/>
  <c r="HQ173" i="4"/>
  <c r="GS173" i="4"/>
  <c r="DR75" i="4"/>
  <c r="GS75" i="4"/>
  <c r="GW75" i="4" s="1"/>
  <c r="GX75" i="4" s="1"/>
  <c r="FE262" i="4"/>
  <c r="GS262" i="4"/>
  <c r="GU262" i="4" s="1"/>
  <c r="HI89" i="4"/>
  <c r="K16" i="15"/>
  <c r="Q16" i="15" s="1"/>
  <c r="GS64" i="4"/>
  <c r="GW64" i="4" s="1"/>
  <c r="HK362" i="4"/>
  <c r="GS362" i="4"/>
  <c r="CG377" i="4"/>
  <c r="GS377" i="4"/>
  <c r="GY377" i="4" s="1"/>
  <c r="GZ377" i="4" s="1"/>
  <c r="CG26" i="4"/>
  <c r="GS26" i="4"/>
  <c r="GY26" i="4" s="1"/>
  <c r="CG204" i="4"/>
  <c r="GS204" i="4"/>
  <c r="GU204" i="4" s="1"/>
  <c r="HS79" i="4"/>
  <c r="GS79" i="4"/>
  <c r="HS252" i="4"/>
  <c r="GS252" i="4"/>
  <c r="GY252" i="4" s="1"/>
  <c r="HQ237" i="4"/>
  <c r="GS237" i="4"/>
  <c r="HS193" i="4"/>
  <c r="GS193" i="4"/>
  <c r="GY193" i="4" s="1"/>
  <c r="HI225" i="4"/>
  <c r="GS225" i="4"/>
  <c r="HQ199" i="4"/>
  <c r="GS199" i="4"/>
  <c r="HI293" i="4"/>
  <c r="GS293" i="4"/>
  <c r="DY171" i="4"/>
  <c r="GS171" i="4"/>
  <c r="GW171" i="4" s="1"/>
  <c r="HM321" i="4"/>
  <c r="GS321" i="4"/>
  <c r="GW321" i="4" s="1"/>
  <c r="GX321" i="4" s="1"/>
  <c r="HQ309" i="4"/>
  <c r="GS309" i="4"/>
  <c r="HQ177" i="4"/>
  <c r="GS177" i="4"/>
  <c r="DR15" i="4"/>
  <c r="GS15" i="4"/>
  <c r="HQ105" i="4"/>
  <c r="GS105" i="4"/>
  <c r="HI154" i="4"/>
  <c r="GS154" i="4"/>
  <c r="L5" i="15"/>
  <c r="R5" i="15" s="1"/>
  <c r="CE280" i="4"/>
  <c r="GS280" i="4"/>
  <c r="GU280" i="4" s="1"/>
  <c r="GV280" i="4" s="1"/>
  <c r="HO203" i="4"/>
  <c r="GS203" i="4"/>
  <c r="GY203" i="4" s="1"/>
  <c r="CG57" i="4"/>
  <c r="GS57" i="4"/>
  <c r="GY57" i="4" s="1"/>
  <c r="GZ57" i="4" s="1"/>
  <c r="HS295" i="4"/>
  <c r="GS295" i="4"/>
  <c r="GY295" i="4" s="1"/>
  <c r="HO78" i="4"/>
  <c r="GS78" i="4"/>
  <c r="CE34" i="4"/>
  <c r="GS34" i="4"/>
  <c r="EH202" i="4"/>
  <c r="GS202" i="4"/>
  <c r="GU202" i="4" s="1"/>
  <c r="GV202" i="4" s="1"/>
  <c r="EO89" i="4"/>
  <c r="HO221" i="4"/>
  <c r="GS221" i="4"/>
  <c r="GY221" i="4" s="1"/>
  <c r="GZ221" i="4" s="1"/>
  <c r="HS275" i="4"/>
  <c r="GS275" i="4"/>
  <c r="GY275" i="4" s="1"/>
  <c r="DA247" i="4"/>
  <c r="GS247" i="4"/>
  <c r="GY247" i="4" s="1"/>
  <c r="HS146" i="4"/>
  <c r="GS146" i="4"/>
  <c r="GY146" i="4" s="1"/>
  <c r="HI279" i="4"/>
  <c r="GS279" i="4"/>
  <c r="GU279" i="4" s="1"/>
  <c r="HS129" i="4"/>
  <c r="GS129" i="4"/>
  <c r="HQ103" i="4"/>
  <c r="GS103" i="4"/>
  <c r="HK160" i="4"/>
  <c r="GS160" i="4"/>
  <c r="DO319" i="4"/>
  <c r="GS319" i="4"/>
  <c r="GY319" i="4" s="1"/>
  <c r="EX375" i="4"/>
  <c r="GS375" i="4"/>
  <c r="DF354" i="4"/>
  <c r="GS354" i="4"/>
  <c r="GU354" i="4" s="1"/>
  <c r="GV354" i="4" s="1"/>
  <c r="HI363" i="4"/>
  <c r="GS363" i="4"/>
  <c r="GU363" i="4" s="1"/>
  <c r="HK397" i="4"/>
  <c r="GS397" i="4"/>
  <c r="GU397" i="4" s="1"/>
  <c r="GV397" i="4" s="1"/>
  <c r="HM139" i="4"/>
  <c r="GS139" i="4"/>
  <c r="GY139" i="4" s="1"/>
  <c r="HO93" i="4"/>
  <c r="GS93" i="4"/>
  <c r="HQ298" i="4"/>
  <c r="GS298" i="4"/>
  <c r="GY298" i="4" s="1"/>
  <c r="HM358" i="4"/>
  <c r="GS358" i="4"/>
  <c r="HS215" i="4"/>
  <c r="GS215" i="4"/>
  <c r="HM186" i="4"/>
  <c r="GS186" i="4"/>
  <c r="GW186" i="4" s="1"/>
  <c r="HQ296" i="4"/>
  <c r="GS296" i="4"/>
  <c r="GY296" i="4" s="1"/>
  <c r="HQ70" i="4"/>
  <c r="GS70" i="4"/>
  <c r="GY70" i="4" s="1"/>
  <c r="CG267" i="4"/>
  <c r="GS267" i="4"/>
  <c r="HQ135" i="4"/>
  <c r="GS135" i="4"/>
  <c r="GY135" i="4" s="1"/>
  <c r="EF274" i="4"/>
  <c r="GS274" i="4"/>
  <c r="GY274" i="4" s="1"/>
  <c r="CE89" i="4"/>
  <c r="CY189" i="4"/>
  <c r="GS189" i="4"/>
  <c r="HO331" i="4"/>
  <c r="GS331" i="4"/>
  <c r="HQ357" i="4"/>
  <c r="GS357" i="4"/>
  <c r="HK224" i="4"/>
  <c r="GS224" i="4"/>
  <c r="HK290" i="4"/>
  <c r="GS290" i="4"/>
  <c r="GW290" i="4" s="1"/>
  <c r="CG305" i="4"/>
  <c r="GS305" i="4"/>
  <c r="HQ92" i="4"/>
  <c r="HS379" i="4"/>
  <c r="GS379" i="4"/>
  <c r="GY379" i="4" s="1"/>
  <c r="GZ379" i="4" s="1"/>
  <c r="CG407" i="4"/>
  <c r="GS407" i="4"/>
  <c r="HM264" i="4"/>
  <c r="GS264" i="4"/>
  <c r="GY264" i="4" s="1"/>
  <c r="HI176" i="4"/>
  <c r="GS176" i="4"/>
  <c r="GU176" i="4" s="1"/>
  <c r="GV176" i="4" s="1"/>
  <c r="HM301" i="4"/>
  <c r="GS301" i="4"/>
  <c r="HS151" i="4"/>
  <c r="GS151" i="4"/>
  <c r="GY151" i="4" s="1"/>
  <c r="HM200" i="4"/>
  <c r="GS200" i="4"/>
  <c r="GW200" i="4" s="1"/>
  <c r="CK61" i="4"/>
  <c r="CL52" i="4" s="1"/>
  <c r="GS61" i="4"/>
  <c r="HO101" i="4"/>
  <c r="GS101" i="4"/>
  <c r="GY101" i="4" s="1"/>
  <c r="HQ273" i="4"/>
  <c r="GS273" i="4"/>
  <c r="GY273" i="4" s="1"/>
  <c r="CE128" i="4"/>
  <c r="GS128" i="4"/>
  <c r="GW128" i="4" s="1"/>
  <c r="GX128" i="4" s="1"/>
  <c r="HS56" i="4"/>
  <c r="GS56" i="4"/>
  <c r="GY56" i="4" s="1"/>
  <c r="CE219" i="4"/>
  <c r="GS219" i="4"/>
  <c r="GU219" i="4" s="1"/>
  <c r="GV219" i="4" s="1"/>
  <c r="HQ144" i="4"/>
  <c r="GS144" i="4"/>
  <c r="CE17" i="4"/>
  <c r="GS17" i="4"/>
  <c r="FE27" i="4"/>
  <c r="FF41" i="4" s="1"/>
  <c r="GS27" i="4"/>
  <c r="GY27" i="4" s="1"/>
  <c r="GZ27" i="4" s="1"/>
  <c r="CC4" i="4"/>
  <c r="GS4" i="4"/>
  <c r="HS45" i="4"/>
  <c r="GS45" i="4"/>
  <c r="GY45" i="4" s="1"/>
  <c r="CA129" i="4"/>
  <c r="CG324" i="4"/>
  <c r="GS324" i="4"/>
  <c r="GY324" i="4" s="1"/>
  <c r="HQ162" i="4"/>
  <c r="GS162" i="4"/>
  <c r="GY162" i="4" s="1"/>
  <c r="GZ162" i="4" s="1"/>
  <c r="HQ373" i="4"/>
  <c r="GS373" i="4"/>
  <c r="HI414" i="4"/>
  <c r="GS414" i="4"/>
  <c r="HS25" i="4"/>
  <c r="GS25" i="4"/>
  <c r="HQ210" i="4"/>
  <c r="GS210" i="4"/>
  <c r="HQ256" i="4"/>
  <c r="GS256" i="4"/>
  <c r="HS184" i="4"/>
  <c r="GS184" i="4"/>
  <c r="CC136" i="4"/>
  <c r="GS136" i="4"/>
  <c r="HS192" i="4"/>
  <c r="GS192" i="4"/>
  <c r="GY192" i="4" s="1"/>
  <c r="HS314" i="4"/>
  <c r="GS314" i="4"/>
  <c r="GY314" i="4" s="1"/>
  <c r="HM127" i="4"/>
  <c r="GS127" i="4"/>
  <c r="GW127" i="4" s="1"/>
  <c r="HQ85" i="4"/>
  <c r="GS85" i="4"/>
  <c r="GY85" i="4" s="1"/>
  <c r="HQ248" i="4"/>
  <c r="GS248" i="4"/>
  <c r="EX80" i="4"/>
  <c r="EY90" i="4" s="1"/>
  <c r="GS80" i="4"/>
  <c r="EF58" i="4"/>
  <c r="GS58" i="4"/>
  <c r="FZ24" i="4"/>
  <c r="GS24" i="4"/>
  <c r="FC114" i="4"/>
  <c r="GS114" i="4"/>
  <c r="HQ223" i="4"/>
  <c r="GS223" i="4"/>
  <c r="HM243" i="4"/>
  <c r="GS243" i="4"/>
  <c r="GW243" i="4" s="1"/>
  <c r="CG365" i="4"/>
  <c r="GS365" i="4"/>
  <c r="HI395" i="4"/>
  <c r="GS395" i="4"/>
  <c r="GU395" i="4" s="1"/>
  <c r="GV395" i="4" s="1"/>
  <c r="EA174" i="4"/>
  <c r="GS174" i="4"/>
  <c r="CP261" i="4"/>
  <c r="CQ283" i="4" s="1"/>
  <c r="GS261" i="4"/>
  <c r="HK83" i="4"/>
  <c r="GS83" i="4"/>
  <c r="GW83" i="4" s="1"/>
  <c r="GX83" i="4" s="1"/>
  <c r="HK255" i="4"/>
  <c r="GS255" i="4"/>
  <c r="GW255" i="4" s="1"/>
  <c r="HI313" i="4"/>
  <c r="GS313" i="4"/>
  <c r="GU313" i="4" s="1"/>
  <c r="DM20" i="4"/>
  <c r="GS20" i="4"/>
  <c r="HQ107" i="4"/>
  <c r="GS107" i="4"/>
  <c r="GU107" i="4" s="1"/>
  <c r="HK217" i="4"/>
  <c r="GS217" i="4"/>
  <c r="HS300" i="4"/>
  <c r="GS300" i="4"/>
  <c r="GY300" i="4" s="1"/>
  <c r="HI164" i="4"/>
  <c r="GS164" i="4"/>
  <c r="HM110" i="4"/>
  <c r="GS110" i="4"/>
  <c r="HO242" i="4"/>
  <c r="GS242" i="4"/>
  <c r="HS285" i="4"/>
  <c r="GS285" i="4"/>
  <c r="DM48" i="4"/>
  <c r="GS48" i="4"/>
  <c r="GW48" i="4" s="1"/>
  <c r="HQ347" i="4"/>
  <c r="GS347" i="4"/>
  <c r="HO191" i="4"/>
  <c r="GS191" i="4"/>
  <c r="HI383" i="4"/>
  <c r="GS383" i="4"/>
  <c r="CT376" i="4"/>
  <c r="GS376" i="4"/>
  <c r="GY376" i="4" s="1"/>
  <c r="GZ376" i="4" s="1"/>
  <c r="EO288" i="4"/>
  <c r="GS288" i="4"/>
  <c r="HQ150" i="4"/>
  <c r="GS150" i="4"/>
  <c r="GY150" i="4" s="1"/>
  <c r="EJ220" i="4"/>
  <c r="GS220" i="4"/>
  <c r="HI149" i="4"/>
  <c r="GS149" i="4"/>
  <c r="GU149" i="4" s="1"/>
  <c r="GV149" i="4" s="1"/>
  <c r="HO211" i="4"/>
  <c r="GS211" i="4"/>
  <c r="GY211" i="4" s="1"/>
  <c r="HQ294" i="4"/>
  <c r="GS294" i="4"/>
  <c r="GU294" i="4" s="1"/>
  <c r="HK292" i="4"/>
  <c r="GS292" i="4"/>
  <c r="GW292" i="4" s="1"/>
  <c r="CG239" i="4"/>
  <c r="GS239" i="4"/>
  <c r="GY239" i="4" s="1"/>
  <c r="DD73" i="4"/>
  <c r="DE77" i="4" s="1"/>
  <c r="GS73" i="4"/>
  <c r="HS170" i="4"/>
  <c r="GS170" i="4"/>
  <c r="HS142" i="4"/>
  <c r="GS142" i="4"/>
  <c r="GY142" i="4" s="1"/>
  <c r="EF113" i="4"/>
  <c r="GS113" i="4"/>
  <c r="GW113" i="4" s="1"/>
  <c r="EC92" i="4"/>
  <c r="HK195" i="4"/>
  <c r="GS195" i="4"/>
  <c r="HS343" i="4"/>
  <c r="GS343" i="4"/>
  <c r="GY343" i="4" s="1"/>
  <c r="GZ343" i="4" s="1"/>
  <c r="FE226" i="4"/>
  <c r="GS226" i="4"/>
  <c r="GY226" i="4" s="1"/>
  <c r="GE29" i="4"/>
  <c r="GF346" i="4" s="1"/>
  <c r="GS29" i="4"/>
  <c r="CM155" i="4"/>
  <c r="GS155" i="4"/>
  <c r="GY155" i="4" s="1"/>
  <c r="GZ155" i="4" s="1"/>
  <c r="HI408" i="4"/>
  <c r="GS408" i="4"/>
  <c r="CG233" i="4"/>
  <c r="GS233" i="4"/>
  <c r="CE257" i="4"/>
  <c r="GS257" i="4"/>
  <c r="GU257" i="4" s="1"/>
  <c r="GV257" i="4" s="1"/>
  <c r="DH259" i="4"/>
  <c r="GS259" i="4"/>
  <c r="GY259" i="4" s="1"/>
  <c r="HS232" i="4"/>
  <c r="GS232" i="4"/>
  <c r="HK143" i="4"/>
  <c r="GS143" i="4"/>
  <c r="HI268" i="4"/>
  <c r="GS268" i="4"/>
  <c r="GU268" i="4" s="1"/>
  <c r="GV268" i="4" s="1"/>
  <c r="HQ336" i="4"/>
  <c r="GS336" i="4"/>
  <c r="FE166" i="4"/>
  <c r="GS166" i="4"/>
  <c r="GY166" i="4" s="1"/>
  <c r="HS50" i="4"/>
  <c r="GS50" i="4"/>
  <c r="GY50" i="4" s="1"/>
  <c r="HS59" i="4"/>
  <c r="GS59" i="4"/>
  <c r="GY59" i="4" s="1"/>
  <c r="HS212" i="4"/>
  <c r="GS212" i="4"/>
  <c r="HO132" i="4"/>
  <c r="GS132" i="4"/>
  <c r="HO147" i="4"/>
  <c r="GS147" i="4"/>
  <c r="GY147" i="4" s="1"/>
  <c r="CM167" i="4"/>
  <c r="GS167" i="4"/>
  <c r="GY167" i="4" s="1"/>
  <c r="HI306" i="4"/>
  <c r="GS306" i="4"/>
  <c r="GU306" i="4" s="1"/>
  <c r="GV306" i="4" s="1"/>
  <c r="CG92" i="4"/>
  <c r="HI241" i="4"/>
  <c r="GS241" i="4"/>
  <c r="HO339" i="4"/>
  <c r="GS339" i="4"/>
  <c r="HS271" i="4"/>
  <c r="GS271" i="4"/>
  <c r="GY271" i="4" s="1"/>
  <c r="DO42" i="4"/>
  <c r="GS42" i="4"/>
  <c r="CE222" i="4"/>
  <c r="GS222" i="4"/>
  <c r="EC18" i="4"/>
  <c r="GS18" i="4"/>
  <c r="GY18" i="4" s="1"/>
  <c r="CG360" i="4"/>
  <c r="GS360" i="4"/>
  <c r="GU360" i="4" s="1"/>
  <c r="GV360" i="4" s="1"/>
  <c r="CG318" i="4"/>
  <c r="GS318" i="4"/>
  <c r="GY318" i="4" s="1"/>
  <c r="CC130" i="4"/>
  <c r="GS130" i="4"/>
  <c r="GW130" i="4" s="1"/>
  <c r="EC305" i="4"/>
  <c r="FR368" i="4"/>
  <c r="CE395" i="4"/>
  <c r="FM368" i="4"/>
  <c r="FN368" i="4"/>
  <c r="FK368" i="4"/>
  <c r="CM304" i="4"/>
  <c r="FT368" i="4"/>
  <c r="FU368" i="4"/>
  <c r="Q368" i="4"/>
  <c r="O368" i="4"/>
  <c r="CG304" i="4"/>
  <c r="GD368" i="4"/>
  <c r="CE414" i="4"/>
  <c r="CR414" i="4"/>
  <c r="FP368" i="4"/>
  <c r="FI368" i="4"/>
  <c r="DF395" i="4"/>
  <c r="Q406" i="4"/>
  <c r="O406" i="4"/>
  <c r="O394" i="4"/>
  <c r="Q394" i="4"/>
  <c r="HK394" i="4"/>
  <c r="GD394" i="4"/>
  <c r="GD406" i="4"/>
  <c r="FP394" i="4"/>
  <c r="FR394" i="4"/>
  <c r="FP406" i="4"/>
  <c r="FI406" i="4"/>
  <c r="FR406" i="4"/>
  <c r="FM406" i="4"/>
  <c r="FN406" i="4"/>
  <c r="FK406" i="4"/>
  <c r="FK394" i="4"/>
  <c r="FT406" i="4"/>
  <c r="FU406" i="4"/>
  <c r="FI394" i="4"/>
  <c r="FT394" i="4"/>
  <c r="FU394" i="4"/>
  <c r="FM394" i="4"/>
  <c r="FN394" i="4"/>
  <c r="HM130" i="4"/>
  <c r="CW130" i="4"/>
  <c r="CA347" i="4"/>
  <c r="BW393" i="4"/>
  <c r="Q396" i="4"/>
  <c r="O396" i="4"/>
  <c r="O386" i="4"/>
  <c r="O382" i="4"/>
  <c r="O387" i="4"/>
  <c r="O413" i="4"/>
  <c r="Q413" i="4"/>
  <c r="Q386" i="4"/>
  <c r="Q382" i="4"/>
  <c r="Q387" i="4"/>
  <c r="GD386" i="4"/>
  <c r="FP386" i="4"/>
  <c r="FI386" i="4"/>
  <c r="FR386" i="4"/>
  <c r="FM386" i="4"/>
  <c r="FN386" i="4"/>
  <c r="FK386" i="4"/>
  <c r="FU386" i="4"/>
  <c r="FT386" i="4"/>
  <c r="FI397" i="4"/>
  <c r="GD397" i="4"/>
  <c r="FK397" i="4"/>
  <c r="FK414" i="4"/>
  <c r="FK382" i="4"/>
  <c r="FK387" i="4"/>
  <c r="FM414" i="4"/>
  <c r="FN414" i="4"/>
  <c r="FM382" i="4"/>
  <c r="FN382" i="4"/>
  <c r="FM387" i="4"/>
  <c r="FN387" i="4"/>
  <c r="FU414" i="4"/>
  <c r="FT414" i="4"/>
  <c r="FU382" i="4"/>
  <c r="FT382" i="4"/>
  <c r="FU387" i="4"/>
  <c r="FT387" i="4"/>
  <c r="FP397" i="4"/>
  <c r="FR397" i="4"/>
  <c r="FP414" i="4"/>
  <c r="FP382" i="4"/>
  <c r="FP387" i="4"/>
  <c r="FI414" i="4"/>
  <c r="FI382" i="4"/>
  <c r="FI387" i="4"/>
  <c r="FR414" i="4"/>
  <c r="FR382" i="4"/>
  <c r="FR387" i="4"/>
  <c r="GD414" i="4"/>
  <c r="GD382" i="4"/>
  <c r="GD387" i="4"/>
  <c r="FM397" i="4"/>
  <c r="FN397" i="4"/>
  <c r="FT397" i="4"/>
  <c r="FU397" i="4"/>
  <c r="FR399" i="4"/>
  <c r="FM399" i="4"/>
  <c r="FN399" i="4"/>
  <c r="FK399" i="4"/>
  <c r="O399" i="4"/>
  <c r="FT399" i="4"/>
  <c r="FU399" i="4"/>
  <c r="Q399" i="4"/>
  <c r="GD399" i="4"/>
  <c r="FP399" i="4"/>
  <c r="FI399" i="4"/>
  <c r="GD408" i="4"/>
  <c r="GD405" i="4"/>
  <c r="GD371" i="4"/>
  <c r="FR408" i="4"/>
  <c r="FR371" i="4"/>
  <c r="FR405" i="4"/>
  <c r="FP408" i="4"/>
  <c r="FP405" i="4"/>
  <c r="FP371" i="4"/>
  <c r="FK408" i="4"/>
  <c r="FK405" i="4"/>
  <c r="FK371" i="4"/>
  <c r="FT405" i="4"/>
  <c r="FU371" i="4"/>
  <c r="FU405" i="4"/>
  <c r="FT371" i="4"/>
  <c r="Q412" i="4"/>
  <c r="O412" i="4"/>
  <c r="O405" i="4"/>
  <c r="O371" i="4"/>
  <c r="Q371" i="4"/>
  <c r="Q405" i="4"/>
  <c r="FN371" i="4"/>
  <c r="FM371" i="4"/>
  <c r="FM405" i="4"/>
  <c r="FN405" i="4"/>
  <c r="FI408" i="4"/>
  <c r="FI371" i="4"/>
  <c r="FI405" i="4"/>
  <c r="FM408" i="4"/>
  <c r="FN408" i="4"/>
  <c r="FT408" i="4"/>
  <c r="FU408" i="4"/>
  <c r="EX407" i="4"/>
  <c r="FU281" i="4"/>
  <c r="FT281" i="4"/>
  <c r="GO281" i="4"/>
  <c r="Q281" i="4"/>
  <c r="GD281" i="4"/>
  <c r="FP281" i="4"/>
  <c r="FI281" i="4"/>
  <c r="ER5" i="4"/>
  <c r="FR281" i="4"/>
  <c r="FN281" i="4"/>
  <c r="FM281" i="4"/>
  <c r="FK281" i="4"/>
  <c r="O281" i="4"/>
  <c r="CG244" i="4"/>
  <c r="BY401" i="4"/>
  <c r="CA247" i="4"/>
  <c r="CG389" i="4"/>
  <c r="FT392" i="4"/>
  <c r="FU392" i="4"/>
  <c r="FP401" i="4"/>
  <c r="FI407" i="4"/>
  <c r="HQ407" i="4"/>
  <c r="FK393" i="4"/>
  <c r="FP393" i="4"/>
  <c r="GD393" i="4"/>
  <c r="GD407" i="4"/>
  <c r="GD392" i="4"/>
  <c r="FK407" i="4"/>
  <c r="FI393" i="4"/>
  <c r="FP392" i="4"/>
  <c r="FI392" i="4"/>
  <c r="Q392" i="4"/>
  <c r="FR407" i="4"/>
  <c r="O392" i="4"/>
  <c r="FR392" i="4"/>
  <c r="FR393" i="4"/>
  <c r="FP407" i="4"/>
  <c r="O407" i="4"/>
  <c r="Q407" i="4"/>
  <c r="FM392" i="4"/>
  <c r="FN392" i="4"/>
  <c r="FK392" i="4"/>
  <c r="HI401" i="4"/>
  <c r="GD401" i="4"/>
  <c r="FI401" i="4"/>
  <c r="FK401" i="4"/>
  <c r="FR401" i="4"/>
  <c r="Q393" i="4"/>
  <c r="O393" i="4"/>
  <c r="FN401" i="4"/>
  <c r="FM401" i="4"/>
  <c r="FT401" i="4"/>
  <c r="FU401" i="4"/>
  <c r="Q401" i="4"/>
  <c r="O401" i="4"/>
  <c r="FT393" i="4"/>
  <c r="FU393" i="4"/>
  <c r="FM393" i="4"/>
  <c r="FN393" i="4"/>
  <c r="FT407" i="4"/>
  <c r="FU407" i="4"/>
  <c r="FM407" i="4"/>
  <c r="FN407" i="4"/>
  <c r="CE104" i="4"/>
  <c r="CE363" i="4"/>
  <c r="CA319" i="4"/>
  <c r="CG379" i="4"/>
  <c r="BY395" i="4"/>
  <c r="CA375" i="4"/>
  <c r="CM379" i="4"/>
  <c r="EJ318" i="4"/>
  <c r="CG388" i="4"/>
  <c r="CM388" i="4"/>
  <c r="BW76" i="4"/>
  <c r="CE362" i="4"/>
  <c r="CA349" i="4"/>
  <c r="CA258" i="4"/>
  <c r="FR404" i="4"/>
  <c r="FR391" i="4"/>
  <c r="FR385" i="4"/>
  <c r="FR359" i="4"/>
  <c r="FR369" i="4"/>
  <c r="FN404" i="4"/>
  <c r="FM404" i="4"/>
  <c r="FM391" i="4"/>
  <c r="FN391" i="4"/>
  <c r="FM385" i="4"/>
  <c r="FN385" i="4"/>
  <c r="FM369" i="4"/>
  <c r="FM359" i="4"/>
  <c r="FN369" i="4"/>
  <c r="FN359" i="4"/>
  <c r="FK404" i="4"/>
  <c r="FK391" i="4"/>
  <c r="FK385" i="4"/>
  <c r="FK369" i="4"/>
  <c r="FK359" i="4"/>
  <c r="FT404" i="4"/>
  <c r="FU404" i="4"/>
  <c r="FT391" i="4"/>
  <c r="FT359" i="4"/>
  <c r="FU391" i="4"/>
  <c r="FU359" i="4"/>
  <c r="FT369" i="4"/>
  <c r="FU369" i="4"/>
  <c r="FT385" i="4"/>
  <c r="FU385" i="4"/>
  <c r="EC360" i="4"/>
  <c r="Q369" i="4"/>
  <c r="Q385" i="4"/>
  <c r="Q358" i="4"/>
  <c r="Q404" i="4"/>
  <c r="Q391" i="4"/>
  <c r="BY363" i="4"/>
  <c r="CG319" i="4"/>
  <c r="O404" i="4"/>
  <c r="O369" i="4"/>
  <c r="O385" i="4"/>
  <c r="O358" i="4"/>
  <c r="O391" i="4"/>
  <c r="GD404" i="4"/>
  <c r="GD391" i="4"/>
  <c r="GD369" i="4"/>
  <c r="GD385" i="4"/>
  <c r="GD359" i="4"/>
  <c r="CG375" i="4"/>
  <c r="FP404" i="4"/>
  <c r="FP391" i="4"/>
  <c r="FP359" i="4"/>
  <c r="FP385" i="4"/>
  <c r="FP369" i="4"/>
  <c r="FI404" i="4"/>
  <c r="FI391" i="4"/>
  <c r="FI385" i="4"/>
  <c r="FI369" i="4"/>
  <c r="FI359" i="4"/>
  <c r="EJ258" i="4"/>
  <c r="BY362" i="4"/>
  <c r="GD400" i="4"/>
  <c r="O366" i="4"/>
  <c r="FF5" i="4"/>
  <c r="CL5" i="4"/>
  <c r="HQ175" i="4"/>
  <c r="O400" i="4"/>
  <c r="Q400" i="4"/>
  <c r="CA400" i="4"/>
  <c r="CG400" i="4"/>
  <c r="CT400" i="4"/>
  <c r="CE344" i="4"/>
  <c r="Q366" i="4"/>
  <c r="GD395" i="4"/>
  <c r="HS400" i="4"/>
  <c r="CC15" i="4"/>
  <c r="FP366" i="4"/>
  <c r="CA244" i="4"/>
  <c r="GD363" i="4"/>
  <c r="CE194" i="4"/>
  <c r="HI355" i="4"/>
  <c r="HO15" i="4"/>
  <c r="HS350" i="4"/>
  <c r="CE48" i="4"/>
  <c r="GD366" i="4"/>
  <c r="HS277" i="4"/>
  <c r="CG381" i="4"/>
  <c r="FP400" i="4"/>
  <c r="O363" i="4"/>
  <c r="O370" i="4"/>
  <c r="O402" i="4"/>
  <c r="O395" i="4"/>
  <c r="Q363" i="4"/>
  <c r="Q395" i="4"/>
  <c r="Q402" i="4"/>
  <c r="Q370" i="4"/>
  <c r="GD370" i="4"/>
  <c r="GD402" i="4"/>
  <c r="FP370" i="4"/>
  <c r="FP395" i="4"/>
  <c r="CE354" i="4"/>
  <c r="CG376" i="4"/>
  <c r="CG24" i="4"/>
  <c r="CT365" i="4"/>
  <c r="HO326" i="4"/>
  <c r="CC326" i="4"/>
  <c r="EF326" i="4"/>
  <c r="AC16" i="13"/>
  <c r="HI354" i="4"/>
  <c r="CG18" i="4"/>
  <c r="HQ24" i="4"/>
  <c r="BY160" i="4"/>
  <c r="HS18" i="4"/>
  <c r="CE114" i="4"/>
  <c r="BY354" i="4"/>
  <c r="HI384" i="4"/>
  <c r="AC9" i="13"/>
  <c r="AC15" i="13"/>
  <c r="AC7" i="13"/>
  <c r="Q354" i="4"/>
  <c r="O354" i="4"/>
  <c r="CE160" i="4"/>
  <c r="HM4" i="4"/>
  <c r="CK160" i="4"/>
  <c r="L4" i="15"/>
  <c r="R4" i="15" s="1"/>
  <c r="DY4" i="4"/>
  <c r="HQ155" i="4"/>
  <c r="CA305" i="4"/>
  <c r="AC13" i="13"/>
  <c r="BY344" i="4"/>
  <c r="CA379" i="4"/>
  <c r="FF4" i="4"/>
  <c r="FP354" i="4"/>
  <c r="GD332" i="4"/>
  <c r="GD330" i="4"/>
  <c r="GD396" i="4"/>
  <c r="EG5" i="4"/>
  <c r="GD354" i="4"/>
  <c r="FP332" i="4"/>
  <c r="FP396" i="4"/>
  <c r="FP330" i="4"/>
  <c r="Q330" i="4"/>
  <c r="Q332" i="4"/>
  <c r="Q410" i="4"/>
  <c r="Q384" i="4"/>
  <c r="O384" i="4"/>
  <c r="O330" i="4"/>
  <c r="O332" i="4"/>
  <c r="O410" i="4"/>
  <c r="FP384" i="4"/>
  <c r="GD384" i="4"/>
  <c r="AC10" i="13"/>
  <c r="AC14" i="13"/>
  <c r="BY222" i="4"/>
  <c r="CA377" i="4"/>
  <c r="HS80" i="4"/>
  <c r="CG80" i="4"/>
  <c r="CA226" i="4"/>
  <c r="AC5" i="13"/>
  <c r="L11" i="15"/>
  <c r="R11" i="15" s="1"/>
  <c r="CR362" i="4"/>
  <c r="CY104" i="4"/>
  <c r="CA389" i="4"/>
  <c r="CT349" i="4"/>
  <c r="HQ27" i="4"/>
  <c r="GD288" i="4"/>
  <c r="Q390" i="4"/>
  <c r="FP288" i="4"/>
  <c r="O390" i="4"/>
  <c r="FF7" i="4"/>
  <c r="CA233" i="4"/>
  <c r="O388" i="4"/>
  <c r="Q365" i="4"/>
  <c r="HS365" i="4"/>
  <c r="Q388" i="4"/>
  <c r="Q326" i="4"/>
  <c r="O365" i="4"/>
  <c r="HQ244" i="4"/>
  <c r="Q288" i="4"/>
  <c r="Q389" i="4"/>
  <c r="FP388" i="4"/>
  <c r="O288" i="4"/>
  <c r="Q244" i="4"/>
  <c r="HS389" i="4"/>
  <c r="GD388" i="4"/>
  <c r="O326" i="4"/>
  <c r="HS388" i="4"/>
  <c r="FP365" i="4"/>
  <c r="O389" i="4"/>
  <c r="O244" i="4"/>
  <c r="GD365" i="4"/>
  <c r="GD326" i="4"/>
  <c r="EU244" i="4"/>
  <c r="FP326" i="4"/>
  <c r="FP379" i="4"/>
  <c r="FP390" i="4"/>
  <c r="GD244" i="4"/>
  <c r="GD379" i="4"/>
  <c r="GD390" i="4"/>
  <c r="GD389" i="4"/>
  <c r="O379" i="4"/>
  <c r="Q379" i="4"/>
  <c r="FP389" i="4"/>
  <c r="FP244" i="4"/>
  <c r="FF12" i="4"/>
  <c r="HO58" i="4"/>
  <c r="CG226" i="4"/>
  <c r="CC58" i="4"/>
  <c r="CA360" i="4"/>
  <c r="CG178" i="4"/>
  <c r="HS377" i="4"/>
  <c r="HQ375" i="4"/>
  <c r="HQ319" i="4"/>
  <c r="FP191" i="4"/>
  <c r="HS376" i="4"/>
  <c r="HS318" i="4"/>
  <c r="GD376" i="4"/>
  <c r="Q383" i="4"/>
  <c r="O383" i="4"/>
  <c r="BY383" i="4"/>
  <c r="O376" i="4"/>
  <c r="Q376" i="4"/>
  <c r="CW191" i="4"/>
  <c r="CC191" i="4"/>
  <c r="CE383" i="4"/>
  <c r="DF383" i="4"/>
  <c r="DW5" i="4"/>
  <c r="O191" i="4"/>
  <c r="Q191" i="4"/>
  <c r="BW191" i="4"/>
  <c r="FB5" i="4"/>
  <c r="FT5" i="4"/>
  <c r="CA352" i="4"/>
  <c r="CA353" i="4"/>
  <c r="O373" i="4"/>
  <c r="Q373" i="4"/>
  <c r="CA373" i="4"/>
  <c r="O123" i="4"/>
  <c r="Q123" i="4"/>
  <c r="BY123" i="4"/>
  <c r="O318" i="4"/>
  <c r="Q318" i="4"/>
  <c r="HQ352" i="4"/>
  <c r="GM5" i="4"/>
  <c r="DF5" i="4"/>
  <c r="DG41" i="4" s="1"/>
  <c r="Q374" i="4"/>
  <c r="EX373" i="4"/>
  <c r="CG373" i="4"/>
  <c r="CE123" i="4"/>
  <c r="EH123" i="4"/>
  <c r="DL5" i="4"/>
  <c r="DB5" i="4"/>
  <c r="HQ305" i="4"/>
  <c r="O377" i="4"/>
  <c r="Q377" i="4"/>
  <c r="Q378" i="4"/>
  <c r="DP5" i="4"/>
  <c r="CA162" i="4"/>
  <c r="O375" i="4"/>
  <c r="Q375" i="4"/>
  <c r="EU5" i="4"/>
  <c r="GD374" i="4"/>
  <c r="CZ5" i="4"/>
  <c r="DI5" i="4"/>
  <c r="EP5" i="4"/>
  <c r="GK4" i="4"/>
  <c r="CJ5" i="4"/>
  <c r="GD319" i="4"/>
  <c r="FP318" i="4"/>
  <c r="O378" i="4"/>
  <c r="O374" i="4"/>
  <c r="FP374" i="4"/>
  <c r="DS5" i="4"/>
  <c r="FI5" i="4"/>
  <c r="O319" i="4"/>
  <c r="Q319" i="4"/>
  <c r="GK123" i="4"/>
  <c r="EU123" i="4"/>
  <c r="FP376" i="4"/>
  <c r="FP375" i="4"/>
  <c r="GD123" i="4"/>
  <c r="FP123" i="4"/>
  <c r="GD373" i="4"/>
  <c r="EU191" i="4"/>
  <c r="FP373" i="4"/>
  <c r="GD375" i="4"/>
  <c r="GD383" i="4"/>
  <c r="FP319" i="4"/>
  <c r="FP383" i="4"/>
  <c r="GD378" i="4"/>
  <c r="GD191" i="4"/>
  <c r="GD318" i="4"/>
  <c r="GD377" i="4"/>
  <c r="FP377" i="4"/>
  <c r="GK191" i="4"/>
  <c r="FP378" i="4"/>
  <c r="CM324" i="4"/>
  <c r="CG347" i="4"/>
  <c r="GN347" i="4"/>
  <c r="HQ258" i="4"/>
  <c r="HS324" i="4"/>
  <c r="HS262" i="4"/>
  <c r="HQ247" i="4"/>
  <c r="HO274" i="4"/>
  <c r="HQ204" i="4"/>
  <c r="HS166" i="4"/>
  <c r="HO136" i="4"/>
  <c r="HQ220" i="4"/>
  <c r="AO226" i="4"/>
  <c r="HS226" i="4"/>
  <c r="HS381" i="4"/>
  <c r="HQ167" i="4"/>
  <c r="HS187" i="4"/>
  <c r="HM113" i="4"/>
  <c r="AQ351" i="4"/>
  <c r="HO351" i="4"/>
  <c r="HM329" i="4"/>
  <c r="HM64" i="4"/>
  <c r="HS311" i="4"/>
  <c r="HM171" i="4"/>
  <c r="HM261" i="4"/>
  <c r="HQ360" i="4"/>
  <c r="HQ239" i="4"/>
  <c r="HS267" i="4"/>
  <c r="HQ178" i="4"/>
  <c r="HS259" i="4"/>
  <c r="HM75" i="4"/>
  <c r="HS57" i="4"/>
  <c r="HS121" i="4"/>
  <c r="HM73" i="4"/>
  <c r="HQ157" i="4"/>
  <c r="BW113" i="4"/>
  <c r="BW73" i="4"/>
  <c r="CG353" i="4"/>
  <c r="DA353" i="4"/>
  <c r="FP162" i="4"/>
  <c r="GD360" i="4"/>
  <c r="CG352" i="4"/>
  <c r="DA352" i="4"/>
  <c r="FP160" i="4"/>
  <c r="CG162" i="4"/>
  <c r="DA162" i="4"/>
  <c r="GD160" i="4"/>
  <c r="FP360" i="4"/>
  <c r="DA347" i="4"/>
  <c r="GK162" i="4"/>
  <c r="EU162" i="4"/>
  <c r="AF11" i="15"/>
  <c r="GD162" i="4"/>
  <c r="O305" i="4"/>
  <c r="O162" i="4"/>
  <c r="Q305" i="4"/>
  <c r="Q162" i="4"/>
  <c r="GK160" i="4"/>
  <c r="GD305" i="4"/>
  <c r="EU160" i="4"/>
  <c r="FP305" i="4"/>
  <c r="O160" i="4"/>
  <c r="Q160" i="4"/>
  <c r="GD362" i="4"/>
  <c r="FP362" i="4"/>
  <c r="O352" i="4"/>
  <c r="O353" i="4"/>
  <c r="O362" i="4"/>
  <c r="Q362" i="4"/>
  <c r="Q352" i="4"/>
  <c r="Q353" i="4"/>
  <c r="GD353" i="4"/>
  <c r="FP352" i="4"/>
  <c r="FP353" i="4"/>
  <c r="GD352" i="4"/>
  <c r="Q360" i="4"/>
  <c r="O360" i="4"/>
  <c r="FP105" i="4"/>
  <c r="O105" i="4"/>
  <c r="GD105" i="4"/>
  <c r="FP347" i="4"/>
  <c r="GD178" i="4"/>
  <c r="FP258" i="4"/>
  <c r="BW243" i="4"/>
  <c r="Q105" i="4"/>
  <c r="O178" i="4"/>
  <c r="Q178" i="4"/>
  <c r="EU105" i="4"/>
  <c r="GD258" i="4"/>
  <c r="BW323" i="4"/>
  <c r="O258" i="4"/>
  <c r="Q258" i="4"/>
  <c r="GK178" i="4"/>
  <c r="CG105" i="4"/>
  <c r="DH105" i="4"/>
  <c r="FP178" i="4"/>
  <c r="EU178" i="4"/>
  <c r="CA324" i="4"/>
  <c r="GK105" i="4"/>
  <c r="GD347" i="4"/>
  <c r="O347" i="4"/>
  <c r="Q347" i="4"/>
  <c r="CG311" i="4"/>
  <c r="Q6" i="4"/>
  <c r="R6" i="4" s="1"/>
  <c r="Q4" i="4"/>
  <c r="R4" i="4" s="1"/>
  <c r="DU4" i="4"/>
  <c r="CA248" i="4"/>
  <c r="EU4" i="4"/>
  <c r="BY104" i="4"/>
  <c r="CG247" i="4"/>
  <c r="EO279" i="4"/>
  <c r="CA311" i="4"/>
  <c r="CZ4" i="4"/>
  <c r="CZ12" i="4"/>
  <c r="CA262" i="4"/>
  <c r="CE315" i="4"/>
  <c r="CE279" i="4"/>
  <c r="CG27" i="4"/>
  <c r="BW351" i="4"/>
  <c r="FF14" i="4"/>
  <c r="FF8" i="4"/>
  <c r="FF9" i="4"/>
  <c r="FF6" i="4"/>
  <c r="EH17" i="4"/>
  <c r="CE202" i="4"/>
  <c r="EZ4" i="4"/>
  <c r="EW5" i="4"/>
  <c r="CG42" i="4"/>
  <c r="EW4" i="4"/>
  <c r="DP4" i="4"/>
  <c r="CA304" i="4"/>
  <c r="DU5" i="4"/>
  <c r="EY5" i="4"/>
  <c r="EZ5" i="4"/>
  <c r="CE189" i="4"/>
  <c r="EY4" i="4"/>
  <c r="CZ9" i="4"/>
  <c r="CA381" i="4"/>
  <c r="CZ29" i="4"/>
  <c r="CZ6" i="4"/>
  <c r="CZ14" i="4"/>
  <c r="CZ7" i="4"/>
  <c r="DW4" i="4"/>
  <c r="CZ8" i="4"/>
  <c r="FB4" i="4"/>
  <c r="CA79" i="4"/>
  <c r="CE148" i="4"/>
  <c r="CG248" i="4"/>
  <c r="CA237" i="4"/>
  <c r="EU8" i="4"/>
  <c r="FI229" i="4"/>
  <c r="CM248" i="4"/>
  <c r="BW221" i="4"/>
  <c r="FI347" i="4"/>
  <c r="EA344" i="4"/>
  <c r="DX5" i="4"/>
  <c r="ER4" i="4"/>
  <c r="BY149" i="4"/>
  <c r="CZ13" i="4"/>
  <c r="EU7" i="4"/>
  <c r="CE241" i="4"/>
  <c r="EU9" i="4"/>
  <c r="DS4" i="4"/>
  <c r="CZ15" i="4"/>
  <c r="DX4" i="4"/>
  <c r="EU12" i="4"/>
  <c r="EU6" i="4"/>
  <c r="CZ16" i="4"/>
  <c r="CZ21" i="4"/>
  <c r="CL29" i="4"/>
  <c r="EA241" i="4"/>
  <c r="CJ4" i="4"/>
  <c r="EU14" i="4"/>
  <c r="CL4" i="4"/>
  <c r="DA103" i="4"/>
  <c r="CG103" i="4"/>
  <c r="DB14" i="4"/>
  <c r="EY7" i="4"/>
  <c r="ED6" i="4"/>
  <c r="GD243" i="4"/>
  <c r="BY272" i="4"/>
  <c r="FD5" i="4"/>
  <c r="CC110" i="4"/>
  <c r="Q243" i="4"/>
  <c r="CL9" i="4"/>
  <c r="EY9" i="4"/>
  <c r="DY221" i="4"/>
  <c r="ED7" i="4"/>
  <c r="BY224" i="4"/>
  <c r="BW340" i="4"/>
  <c r="O243" i="4"/>
  <c r="CC323" i="4"/>
  <c r="EF323" i="4"/>
  <c r="O323" i="4"/>
  <c r="Q325" i="4"/>
  <c r="BW40" i="4"/>
  <c r="CL14" i="4"/>
  <c r="CZ10" i="4"/>
  <c r="EU243" i="4"/>
  <c r="CL8" i="4"/>
  <c r="EY8" i="4"/>
  <c r="CC221" i="4"/>
  <c r="CL30" i="4"/>
  <c r="GD5" i="4"/>
  <c r="GD325" i="4"/>
  <c r="GF5" i="4"/>
  <c r="CL7" i="4"/>
  <c r="EY6" i="4"/>
  <c r="CX5" i="4"/>
  <c r="FW5" i="4"/>
  <c r="CL16" i="4"/>
  <c r="CL35" i="4"/>
  <c r="CA223" i="4"/>
  <c r="GD323" i="4"/>
  <c r="O324" i="4"/>
  <c r="Q324" i="4"/>
  <c r="CA59" i="4"/>
  <c r="CL10" i="4"/>
  <c r="CL18" i="4"/>
  <c r="EY14" i="4"/>
  <c r="HI5" i="4"/>
  <c r="Q323" i="4"/>
  <c r="CC243" i="4"/>
  <c r="DK243" i="4"/>
  <c r="O325" i="4"/>
  <c r="CL15" i="4"/>
  <c r="CL6" i="4"/>
  <c r="EY12" i="4"/>
  <c r="CH5" i="4"/>
  <c r="HK344" i="4"/>
  <c r="BY279" i="4"/>
  <c r="CL12" i="4"/>
  <c r="CL13" i="4"/>
  <c r="CX12" i="4"/>
  <c r="FN5" i="4"/>
  <c r="CQ5" i="4"/>
  <c r="FK5" i="4"/>
  <c r="CL21" i="4"/>
  <c r="EY58" i="4"/>
  <c r="CO5" i="4"/>
  <c r="GD324" i="4"/>
  <c r="DY110" i="4"/>
  <c r="HK222" i="4"/>
  <c r="EP4" i="4"/>
  <c r="EZ8" i="4"/>
  <c r="BW274" i="4"/>
  <c r="BY290" i="4"/>
  <c r="O311" i="4"/>
  <c r="CG220" i="4"/>
  <c r="Q104" i="4"/>
  <c r="EX129" i="4"/>
  <c r="CG129" i="4"/>
  <c r="CY290" i="4"/>
  <c r="CE290" i="4"/>
  <c r="CA357" i="4"/>
  <c r="Q311" i="4"/>
  <c r="O104" i="4"/>
  <c r="CC64" i="4"/>
  <c r="FA64" i="4"/>
  <c r="CA285" i="4"/>
  <c r="EC223" i="4"/>
  <c r="CG223" i="4"/>
  <c r="Q190" i="4"/>
  <c r="GK129" i="4"/>
  <c r="DD340" i="4"/>
  <c r="CC340" i="4"/>
  <c r="CE224" i="4"/>
  <c r="GL224" i="4"/>
  <c r="GD223" i="4"/>
  <c r="GD104" i="4"/>
  <c r="GK104" i="4"/>
  <c r="Q287" i="4"/>
  <c r="Q223" i="4"/>
  <c r="Q340" i="4"/>
  <c r="Q226" i="4"/>
  <c r="Q224" i="4"/>
  <c r="GD224" i="4"/>
  <c r="EU224" i="4"/>
  <c r="EU222" i="4"/>
  <c r="O287" i="4"/>
  <c r="O226" i="4"/>
  <c r="O224" i="4"/>
  <c r="O340" i="4"/>
  <c r="O223" i="4"/>
  <c r="CS103" i="4"/>
  <c r="EU104" i="4"/>
  <c r="GK103" i="4"/>
  <c r="FP103" i="4"/>
  <c r="GD287" i="4"/>
  <c r="GD222" i="4"/>
  <c r="O303" i="4"/>
  <c r="FP224" i="4"/>
  <c r="EU103" i="4"/>
  <c r="FP222" i="4"/>
  <c r="Q103" i="4"/>
  <c r="GD103" i="4"/>
  <c r="O103" i="4"/>
  <c r="Q303" i="4"/>
  <c r="EU223" i="4"/>
  <c r="FP287" i="4"/>
  <c r="FP226" i="4"/>
  <c r="FP303" i="4"/>
  <c r="GD226" i="4"/>
  <c r="GD303" i="4"/>
  <c r="EU226" i="4"/>
  <c r="EH222" i="4"/>
  <c r="FP340" i="4"/>
  <c r="O222" i="4"/>
  <c r="Q222" i="4"/>
  <c r="GD340" i="4"/>
  <c r="EU190" i="4"/>
  <c r="FP190" i="4"/>
  <c r="GD190" i="4"/>
  <c r="GK190" i="4"/>
  <c r="O190" i="4"/>
  <c r="FP311" i="4"/>
  <c r="GD311" i="4"/>
  <c r="GD129" i="4"/>
  <c r="EO263" i="4"/>
  <c r="CE263" i="4"/>
  <c r="FP129" i="4"/>
  <c r="CG175" i="4"/>
  <c r="DA175" i="4"/>
  <c r="FP285" i="4"/>
  <c r="EU129" i="4"/>
  <c r="CC351" i="4"/>
  <c r="CS45" i="4"/>
  <c r="EF351" i="4"/>
  <c r="O263" i="4"/>
  <c r="GD285" i="4"/>
  <c r="Q285" i="4"/>
  <c r="EU45" i="4"/>
  <c r="O285" i="4"/>
  <c r="GK45" i="4"/>
  <c r="Q129" i="4"/>
  <c r="EX357" i="4"/>
  <c r="CG357" i="4"/>
  <c r="FP45" i="4"/>
  <c r="O129" i="4"/>
  <c r="O356" i="4"/>
  <c r="O175" i="4"/>
  <c r="CG285" i="4"/>
  <c r="CM285" i="4"/>
  <c r="O64" i="4"/>
  <c r="Q263" i="4"/>
  <c r="Q175" i="4"/>
  <c r="Q356" i="4"/>
  <c r="Q64" i="4"/>
  <c r="GD304" i="4"/>
  <c r="FP64" i="4"/>
  <c r="GD175" i="4"/>
  <c r="FP263" i="4"/>
  <c r="GK175" i="4"/>
  <c r="GK64" i="4"/>
  <c r="GD64" i="4"/>
  <c r="GD263" i="4"/>
  <c r="EU64" i="4"/>
  <c r="FP175" i="4"/>
  <c r="FP279" i="4"/>
  <c r="EU175" i="4"/>
  <c r="FP304" i="4"/>
  <c r="GD279" i="4"/>
  <c r="O304" i="4"/>
  <c r="Q304" i="4"/>
  <c r="O279" i="4"/>
  <c r="Q279" i="4"/>
  <c r="FP357" i="4"/>
  <c r="GD357" i="4"/>
  <c r="AO381" i="4"/>
  <c r="AO247" i="4"/>
  <c r="AQ58" i="4"/>
  <c r="O344" i="4"/>
  <c r="Q344" i="4"/>
  <c r="FP351" i="4"/>
  <c r="AO80" i="4"/>
  <c r="GD45" i="4"/>
  <c r="O177" i="4"/>
  <c r="Q177" i="4"/>
  <c r="CA177" i="4"/>
  <c r="AO23" i="4"/>
  <c r="GO45" i="4"/>
  <c r="EQ177" i="4"/>
  <c r="CG177" i="4"/>
  <c r="AO155" i="4"/>
  <c r="CG350" i="4"/>
  <c r="M7" i="15"/>
  <c r="S7" i="15" s="1"/>
  <c r="GN350" i="4"/>
  <c r="AO24" i="4"/>
  <c r="AO239" i="4"/>
  <c r="AO220" i="4"/>
  <c r="O350" i="4"/>
  <c r="Q350" i="4"/>
  <c r="CA350" i="4"/>
  <c r="AO57" i="4"/>
  <c r="AO18" i="4"/>
  <c r="GD351" i="4"/>
  <c r="Q45" i="4"/>
  <c r="O45" i="4"/>
  <c r="CA45" i="4"/>
  <c r="AO204" i="4"/>
  <c r="CG45" i="4"/>
  <c r="DA45" i="4"/>
  <c r="AQ136" i="4"/>
  <c r="AQ15" i="4"/>
  <c r="AQ6" i="4"/>
  <c r="AO267" i="4"/>
  <c r="AO262" i="4"/>
  <c r="O351" i="4"/>
  <c r="Q351" i="4"/>
  <c r="EU177" i="4"/>
  <c r="FP350" i="4"/>
  <c r="GD350" i="4"/>
  <c r="GK177" i="4"/>
  <c r="FP177" i="4"/>
  <c r="GO177" i="4"/>
  <c r="GD177" i="4"/>
  <c r="FP344" i="4"/>
  <c r="GD344" i="4"/>
  <c r="GO344" i="4"/>
  <c r="HK272" i="4"/>
  <c r="AS34" i="4"/>
  <c r="HK34" i="4"/>
  <c r="HK20" i="4"/>
  <c r="AS17" i="4"/>
  <c r="HI17" i="4"/>
  <c r="CJ18" i="4"/>
  <c r="DL4" i="4"/>
  <c r="FB7" i="4"/>
  <c r="CL33" i="4"/>
  <c r="AS219" i="4"/>
  <c r="HI219" i="4"/>
  <c r="HK128" i="4"/>
  <c r="AS29" i="4"/>
  <c r="HI29" i="4"/>
  <c r="AS114" i="4"/>
  <c r="HK114" i="4"/>
  <c r="AS194" i="4"/>
  <c r="HK194" i="4"/>
  <c r="HK189" i="4"/>
  <c r="AS280" i="4"/>
  <c r="HI280" i="4"/>
  <c r="HI202" i="4"/>
  <c r="AS54" i="4"/>
  <c r="HK54" i="4"/>
  <c r="HK61" i="4"/>
  <c r="AS48" i="4"/>
  <c r="HK48" i="4"/>
  <c r="AS315" i="4"/>
  <c r="HK315" i="4"/>
  <c r="HI148" i="4"/>
  <c r="CJ28" i="4"/>
  <c r="EW7" i="4"/>
  <c r="FB6" i="4"/>
  <c r="CA215" i="4"/>
  <c r="EW9" i="4"/>
  <c r="EZ14" i="4"/>
  <c r="FB9" i="4"/>
  <c r="EW62" i="4"/>
  <c r="EU114" i="4"/>
  <c r="CL19" i="4"/>
  <c r="CO4" i="4"/>
  <c r="EW12" i="4"/>
  <c r="EZ9" i="4"/>
  <c r="DE49" i="4"/>
  <c r="CN13" i="4"/>
  <c r="EW28" i="4"/>
  <c r="FB12" i="4"/>
  <c r="CN5" i="4"/>
  <c r="EZ12" i="4"/>
  <c r="FB8" i="4"/>
  <c r="EW8" i="4"/>
  <c r="EZ6" i="4"/>
  <c r="CN42" i="4"/>
  <c r="EW11" i="4"/>
  <c r="FB14" i="4"/>
  <c r="CN55" i="4"/>
  <c r="EW29" i="4"/>
  <c r="EW6" i="4"/>
  <c r="FG6" i="4"/>
  <c r="CA151" i="4"/>
  <c r="CN4" i="4"/>
  <c r="EW30" i="4"/>
  <c r="EW18" i="4"/>
  <c r="EZ7" i="4"/>
  <c r="EW114" i="4"/>
  <c r="EW35" i="4"/>
  <c r="EW14" i="4"/>
  <c r="CN29" i="4"/>
  <c r="CN8" i="4"/>
  <c r="ED4" i="4"/>
  <c r="Q13" i="4"/>
  <c r="R13" i="4" s="1"/>
  <c r="BY34" i="4"/>
  <c r="Q32" i="4"/>
  <c r="CN16" i="4"/>
  <c r="CN21" i="4"/>
  <c r="EW47" i="4"/>
  <c r="Q18" i="4"/>
  <c r="R18" i="4" s="1"/>
  <c r="Q15" i="4"/>
  <c r="BY315" i="4"/>
  <c r="BW101" i="4"/>
  <c r="CN22" i="4"/>
  <c r="CN12" i="4"/>
  <c r="DE5" i="4"/>
  <c r="ED5" i="4"/>
  <c r="EW42" i="4"/>
  <c r="CN15" i="4"/>
  <c r="CN36" i="4"/>
  <c r="CN31" i="4"/>
  <c r="CN30" i="4"/>
  <c r="CO7" i="4"/>
  <c r="DE29" i="4"/>
  <c r="EW90" i="4"/>
  <c r="EN12" i="4"/>
  <c r="CN9" i="4"/>
  <c r="CN7" i="4"/>
  <c r="CO30" i="4"/>
  <c r="DE30" i="4"/>
  <c r="DU6" i="4"/>
  <c r="CN19" i="4"/>
  <c r="CN35" i="4"/>
  <c r="EW23" i="4"/>
  <c r="CN28" i="4"/>
  <c r="CN18" i="4"/>
  <c r="DE26" i="4"/>
  <c r="CN33" i="4"/>
  <c r="CN14" i="4"/>
  <c r="CN6" i="4"/>
  <c r="DE6" i="4"/>
  <c r="EK6" i="4"/>
  <c r="CN32" i="4"/>
  <c r="CN62" i="4"/>
  <c r="CN34" i="4"/>
  <c r="DE17" i="4"/>
  <c r="EP34" i="4"/>
  <c r="Q114" i="4"/>
  <c r="CN10" i="4"/>
  <c r="CN11" i="4"/>
  <c r="DL10" i="4"/>
  <c r="FD9" i="4"/>
  <c r="DB12" i="4"/>
  <c r="BY219" i="4"/>
  <c r="CL23" i="4"/>
  <c r="CL27" i="4"/>
  <c r="DC5" i="4"/>
  <c r="CX7" i="4"/>
  <c r="CZ18" i="4"/>
  <c r="FG9" i="4"/>
  <c r="FD12" i="4"/>
  <c r="BY77" i="4"/>
  <c r="CL22" i="4"/>
  <c r="CL28" i="4"/>
  <c r="DC12" i="4"/>
  <c r="DB32" i="4"/>
  <c r="CZ19" i="4"/>
  <c r="CZ32" i="4"/>
  <c r="CZ31" i="4"/>
  <c r="CZ22" i="4"/>
  <c r="FD14" i="4"/>
  <c r="CA142" i="4"/>
  <c r="CX8" i="4"/>
  <c r="CZ23" i="4"/>
  <c r="CZ43" i="4"/>
  <c r="CZ17" i="4"/>
  <c r="CL24" i="4"/>
  <c r="DC4" i="4"/>
  <c r="DC14" i="4"/>
  <c r="CX4" i="4"/>
  <c r="FG8" i="4"/>
  <c r="FG12" i="4"/>
  <c r="FD15" i="4"/>
  <c r="DB21" i="4"/>
  <c r="CL34" i="4"/>
  <c r="DB9" i="4"/>
  <c r="DB29" i="4"/>
  <c r="CX9" i="4"/>
  <c r="CZ11" i="4"/>
  <c r="CZ36" i="4"/>
  <c r="CZ34" i="4"/>
  <c r="FG14" i="4"/>
  <c r="FG5" i="4"/>
  <c r="CL32" i="4"/>
  <c r="CL11" i="4"/>
  <c r="DC9" i="4"/>
  <c r="CX6" i="4"/>
  <c r="DB6" i="4"/>
  <c r="DB7" i="4"/>
  <c r="CZ33" i="4"/>
  <c r="CZ24" i="4"/>
  <c r="CZ26" i="4"/>
  <c r="FG7" i="4"/>
  <c r="FD8" i="4"/>
  <c r="DB4" i="4"/>
  <c r="DC7" i="4"/>
  <c r="CZ27" i="4"/>
  <c r="CZ35" i="4"/>
  <c r="CZ42" i="4"/>
  <c r="DL16" i="4"/>
  <c r="FD6" i="4"/>
  <c r="CL36" i="4"/>
  <c r="DC8" i="4"/>
  <c r="DB8" i="4"/>
  <c r="CO19" i="4"/>
  <c r="CZ30" i="4"/>
  <c r="FG4" i="4"/>
  <c r="FD7" i="4"/>
  <c r="CG262" i="4"/>
  <c r="CL17" i="4"/>
  <c r="CL31" i="4"/>
  <c r="DC6" i="4"/>
  <c r="CX14" i="4"/>
  <c r="CZ28" i="4"/>
  <c r="FD4" i="4"/>
  <c r="CL42" i="4"/>
  <c r="CZ37" i="4"/>
  <c r="DB13" i="4"/>
  <c r="DB16" i="4"/>
  <c r="DB33" i="4"/>
  <c r="DB11" i="4"/>
  <c r="FD21" i="4"/>
  <c r="DB34" i="4"/>
  <c r="DB10" i="4"/>
  <c r="DB36" i="4"/>
  <c r="DB31" i="4"/>
  <c r="DI4" i="4"/>
  <c r="ER6" i="4"/>
  <c r="DB18" i="4"/>
  <c r="DB19" i="4"/>
  <c r="DB30" i="4"/>
  <c r="DB35" i="4"/>
  <c r="DB28" i="4"/>
  <c r="DB15" i="4"/>
  <c r="DB42" i="4"/>
  <c r="DB22" i="4"/>
  <c r="CO34" i="4"/>
  <c r="CX16" i="4"/>
  <c r="DL55" i="4"/>
  <c r="CJ65" i="4"/>
  <c r="CJ19" i="4"/>
  <c r="CJ35" i="4"/>
  <c r="CO42" i="4"/>
  <c r="DE14" i="4"/>
  <c r="DE7" i="4"/>
  <c r="DE23" i="4"/>
  <c r="DE22" i="4"/>
  <c r="DL42" i="4"/>
  <c r="EK12" i="4"/>
  <c r="ER12" i="4"/>
  <c r="EP12" i="4"/>
  <c r="FK4" i="4"/>
  <c r="CJ16" i="4"/>
  <c r="CJ14" i="4"/>
  <c r="CJ6" i="4"/>
  <c r="CO29" i="4"/>
  <c r="CO35" i="4"/>
  <c r="DE13" i="4"/>
  <c r="DE32" i="4"/>
  <c r="DE36" i="4"/>
  <c r="DE68" i="4"/>
  <c r="DE69" i="4"/>
  <c r="DE18" i="4"/>
  <c r="DE47" i="4"/>
  <c r="DL12" i="4"/>
  <c r="DL8" i="4"/>
  <c r="EK16" i="4"/>
  <c r="ER14" i="4"/>
  <c r="EP30" i="4"/>
  <c r="EP21" i="4"/>
  <c r="EP42" i="4"/>
  <c r="CA204" i="4"/>
  <c r="CJ10" i="4"/>
  <c r="CJ17" i="4"/>
  <c r="CJ62" i="4"/>
  <c r="CO22" i="4"/>
  <c r="DE34" i="4"/>
  <c r="DE46" i="4"/>
  <c r="DE59" i="4"/>
  <c r="DE35" i="4"/>
  <c r="DE52" i="4"/>
  <c r="DL62" i="4"/>
  <c r="EL5" i="4"/>
  <c r="EI7" i="4"/>
  <c r="ER28" i="4"/>
  <c r="EP7" i="4"/>
  <c r="EP55" i="4"/>
  <c r="EK15" i="4"/>
  <c r="CJ23" i="4"/>
  <c r="CJ22" i="4"/>
  <c r="CJ11" i="4"/>
  <c r="CO36" i="4"/>
  <c r="CO32" i="4"/>
  <c r="CO8" i="4"/>
  <c r="DE16" i="4"/>
  <c r="DE24" i="4"/>
  <c r="DE57" i="4"/>
  <c r="DE58" i="4"/>
  <c r="DE25" i="4"/>
  <c r="DE9" i="4"/>
  <c r="DE67" i="4"/>
  <c r="DE54" i="4"/>
  <c r="DL11" i="4"/>
  <c r="EK14" i="4"/>
  <c r="EI8" i="4"/>
  <c r="ER29" i="4"/>
  <c r="EP36" i="4"/>
  <c r="EP9" i="4"/>
  <c r="EP16" i="4"/>
  <c r="CJ34" i="4"/>
  <c r="CJ15" i="4"/>
  <c r="CJ8" i="4"/>
  <c r="CO15" i="4"/>
  <c r="CO11" i="4"/>
  <c r="CO14" i="4"/>
  <c r="DE53" i="4"/>
  <c r="DE31" i="4"/>
  <c r="DE50" i="4"/>
  <c r="DE38" i="4"/>
  <c r="DE51" i="4"/>
  <c r="DL47" i="4"/>
  <c r="EI4" i="4"/>
  <c r="ER7" i="4"/>
  <c r="EP29" i="4"/>
  <c r="EP31" i="4"/>
  <c r="BY241" i="4"/>
  <c r="CJ42" i="4"/>
  <c r="CO21" i="4"/>
  <c r="CO28" i="4"/>
  <c r="CO12" i="4"/>
  <c r="DE65" i="4"/>
  <c r="DE43" i="4"/>
  <c r="DE28" i="4"/>
  <c r="DE4" i="4"/>
  <c r="DE63" i="4"/>
  <c r="DE72" i="4"/>
  <c r="DL14" i="4"/>
  <c r="DL9" i="4"/>
  <c r="EK13" i="4"/>
  <c r="EI9" i="4"/>
  <c r="ER10" i="4"/>
  <c r="EP32" i="4"/>
  <c r="EP14" i="4"/>
  <c r="CJ55" i="4"/>
  <c r="CJ32" i="4"/>
  <c r="CX90" i="4"/>
  <c r="CO16" i="4"/>
  <c r="DE19" i="4"/>
  <c r="DE21" i="4"/>
  <c r="DE37" i="4"/>
  <c r="DE60" i="4"/>
  <c r="DL6" i="4"/>
  <c r="EK7" i="4"/>
  <c r="EI6" i="4"/>
  <c r="ER8" i="4"/>
  <c r="EP6" i="4"/>
  <c r="EP28" i="4"/>
  <c r="FM5" i="4"/>
  <c r="CJ33" i="4"/>
  <c r="CJ29" i="4"/>
  <c r="CJ12" i="4"/>
  <c r="CO6" i="4"/>
  <c r="CO9" i="4"/>
  <c r="DE70" i="4"/>
  <c r="DE27" i="4"/>
  <c r="DE55" i="4"/>
  <c r="DE48" i="4"/>
  <c r="DE12" i="4"/>
  <c r="EK8" i="4"/>
  <c r="EI12" i="4"/>
  <c r="EP10" i="4"/>
  <c r="EP18" i="4"/>
  <c r="EP19" i="4"/>
  <c r="EY28" i="4"/>
  <c r="ER17" i="4"/>
  <c r="CJ36" i="4"/>
  <c r="CO33" i="4"/>
  <c r="CO13" i="4"/>
  <c r="DE8" i="4"/>
  <c r="DE66" i="4"/>
  <c r="DE40" i="4"/>
  <c r="DL33" i="4"/>
  <c r="EI5" i="4"/>
  <c r="ER9" i="4"/>
  <c r="EP33" i="4"/>
  <c r="EP35" i="4"/>
  <c r="CX17" i="4"/>
  <c r="CJ13" i="4"/>
  <c r="CJ31" i="4"/>
  <c r="CJ30" i="4"/>
  <c r="CO10" i="4"/>
  <c r="CO31" i="4"/>
  <c r="DE10" i="4"/>
  <c r="DE11" i="4"/>
  <c r="DE42" i="4"/>
  <c r="DL22" i="4"/>
  <c r="DL23" i="4"/>
  <c r="EK9" i="4"/>
  <c r="EI14" i="4"/>
  <c r="EP8" i="4"/>
  <c r="EP15" i="4"/>
  <c r="EP13" i="4"/>
  <c r="BW75" i="4"/>
  <c r="CJ21" i="4"/>
  <c r="CJ9" i="4"/>
  <c r="CJ7" i="4"/>
  <c r="CO18" i="4"/>
  <c r="DE71" i="4"/>
  <c r="DE33" i="4"/>
  <c r="DE62" i="4"/>
  <c r="DE15" i="4"/>
  <c r="DL7" i="4"/>
  <c r="EP11" i="4"/>
  <c r="EP22" i="4"/>
  <c r="CG343" i="4"/>
  <c r="EX343" i="4"/>
  <c r="CC75" i="4"/>
  <c r="BY194" i="4"/>
  <c r="EW66" i="4"/>
  <c r="CG309" i="4"/>
  <c r="EC309" i="4"/>
  <c r="BY102" i="4"/>
  <c r="GD113" i="4"/>
  <c r="EU69" i="4"/>
  <c r="BY269" i="4"/>
  <c r="ER13" i="4"/>
  <c r="ES32" i="4"/>
  <c r="ES4" i="4"/>
  <c r="EN5" i="4"/>
  <c r="EW27" i="4"/>
  <c r="EW15" i="4"/>
  <c r="EZ28" i="4"/>
  <c r="CA121" i="4"/>
  <c r="ES5" i="4"/>
  <c r="ER36" i="4"/>
  <c r="EN14" i="4"/>
  <c r="EW13" i="4"/>
  <c r="EW10" i="4"/>
  <c r="EW22" i="4"/>
  <c r="GD75" i="4"/>
  <c r="ES7" i="4"/>
  <c r="ER31" i="4"/>
  <c r="ER42" i="4"/>
  <c r="EN19" i="4"/>
  <c r="EW57" i="4"/>
  <c r="EW33" i="4"/>
  <c r="EW17" i="4"/>
  <c r="ER19" i="4"/>
  <c r="ER33" i="4"/>
  <c r="ES12" i="4"/>
  <c r="EN29" i="4"/>
  <c r="EW92" i="4"/>
  <c r="CC274" i="4"/>
  <c r="ES9" i="4"/>
  <c r="ER16" i="4"/>
  <c r="EN7" i="4"/>
  <c r="EU46" i="4"/>
  <c r="EU37" i="4"/>
  <c r="ER11" i="4"/>
  <c r="ER18" i="4"/>
  <c r="EN8" i="4"/>
  <c r="EN30" i="4"/>
  <c r="ER32" i="4"/>
  <c r="ER35" i="4"/>
  <c r="EN4" i="4"/>
  <c r="EZ35" i="4"/>
  <c r="ES6" i="4"/>
  <c r="EN9" i="4"/>
  <c r="ES8" i="4"/>
  <c r="ER15" i="4"/>
  <c r="EN6" i="4"/>
  <c r="EZ34" i="4"/>
  <c r="ES14" i="4"/>
  <c r="ES29" i="4"/>
  <c r="ER21" i="4"/>
  <c r="ER22" i="4"/>
  <c r="EN47" i="4"/>
  <c r="ER34" i="4"/>
  <c r="ER30" i="4"/>
  <c r="EW19" i="4"/>
  <c r="EW34" i="4"/>
  <c r="EW67" i="4"/>
  <c r="BW110" i="4"/>
  <c r="EO195" i="4"/>
  <c r="CE195" i="4"/>
  <c r="FP75" i="4"/>
  <c r="FD13" i="4"/>
  <c r="DL58" i="4"/>
  <c r="EW81" i="4"/>
  <c r="EW46" i="4"/>
  <c r="EZ66" i="4"/>
  <c r="FD29" i="4"/>
  <c r="FP113" i="4"/>
  <c r="FP220" i="4"/>
  <c r="EI15" i="4"/>
  <c r="EU181" i="4"/>
  <c r="EU255" i="4"/>
  <c r="EU125" i="4"/>
  <c r="EU150" i="4"/>
  <c r="EU199" i="4"/>
  <c r="EW32" i="4"/>
  <c r="EW16" i="4"/>
  <c r="EW91" i="4"/>
  <c r="EU77" i="4"/>
  <c r="EU170" i="4"/>
  <c r="FD16" i="4"/>
  <c r="EW21" i="4"/>
  <c r="EU63" i="4"/>
  <c r="EU109" i="4"/>
  <c r="EZ11" i="4"/>
  <c r="FD10" i="4"/>
  <c r="CA220" i="4"/>
  <c r="EW24" i="4"/>
  <c r="EW65" i="4"/>
  <c r="EW55" i="4"/>
  <c r="EU179" i="4"/>
  <c r="EU140" i="4"/>
  <c r="FD18" i="4"/>
  <c r="EW31" i="4"/>
  <c r="EW36" i="4"/>
  <c r="FD30" i="4"/>
  <c r="FP262" i="4"/>
  <c r="CA284" i="4"/>
  <c r="EN32" i="4"/>
  <c r="FI110" i="4"/>
  <c r="GK113" i="4"/>
  <c r="FB35" i="4"/>
  <c r="EU241" i="4"/>
  <c r="FP110" i="4"/>
  <c r="BY202" i="4"/>
  <c r="CA85" i="4"/>
  <c r="FI113" i="4"/>
  <c r="FI241" i="4"/>
  <c r="EU247" i="4"/>
  <c r="GD110" i="4"/>
  <c r="EU110" i="4"/>
  <c r="FI248" i="4"/>
  <c r="GD85" i="4"/>
  <c r="GO229" i="4"/>
  <c r="GO337" i="4"/>
  <c r="GO195" i="4"/>
  <c r="GO290" i="4"/>
  <c r="GO242" i="4"/>
  <c r="GO343" i="4"/>
  <c r="GO309" i="4"/>
  <c r="GK110" i="4"/>
  <c r="Q195" i="4"/>
  <c r="Q309" i="4"/>
  <c r="Q229" i="4"/>
  <c r="Q276" i="4"/>
  <c r="Q290" i="4"/>
  <c r="Q343" i="4"/>
  <c r="FP349" i="4"/>
  <c r="FI247" i="4"/>
  <c r="CS110" i="4"/>
  <c r="GD241" i="4"/>
  <c r="FI262" i="4"/>
  <c r="GD248" i="4"/>
  <c r="EU113" i="4"/>
  <c r="EU229" i="4"/>
  <c r="EU242" i="4"/>
  <c r="EU195" i="4"/>
  <c r="GD229" i="4"/>
  <c r="GD195" i="4"/>
  <c r="GD343" i="4"/>
  <c r="GD337" i="4"/>
  <c r="GD355" i="4"/>
  <c r="GD242" i="4"/>
  <c r="GD309" i="4"/>
  <c r="GD349" i="4"/>
  <c r="CA201" i="4"/>
  <c r="FP241" i="4"/>
  <c r="GK195" i="4"/>
  <c r="GD247" i="4"/>
  <c r="FP248" i="4"/>
  <c r="O233" i="4"/>
  <c r="O229" i="4"/>
  <c r="O276" i="4"/>
  <c r="O290" i="4"/>
  <c r="O195" i="4"/>
  <c r="O309" i="4"/>
  <c r="O343" i="4"/>
  <c r="EU85" i="4"/>
  <c r="FP229" i="4"/>
  <c r="FP337" i="4"/>
  <c r="FP309" i="4"/>
  <c r="FP355" i="4"/>
  <c r="FP242" i="4"/>
  <c r="FP343" i="4"/>
  <c r="FP195" i="4"/>
  <c r="FI309" i="4"/>
  <c r="FI343" i="4"/>
  <c r="FI195" i="4"/>
  <c r="FI310" i="4"/>
  <c r="FI337" i="4"/>
  <c r="FI242" i="4"/>
  <c r="GD262" i="4"/>
  <c r="EU248" i="4"/>
  <c r="FP247" i="4"/>
  <c r="CG165" i="4"/>
  <c r="EJ165" i="4"/>
  <c r="EH355" i="4"/>
  <c r="CE355" i="4"/>
  <c r="EJ277" i="4"/>
  <c r="CG277" i="4"/>
  <c r="O146" i="4"/>
  <c r="Q146" i="4"/>
  <c r="CA146" i="4"/>
  <c r="O275" i="4"/>
  <c r="Q275" i="4"/>
  <c r="CA275" i="4"/>
  <c r="CM146" i="4"/>
  <c r="CG146" i="4"/>
  <c r="O310" i="4"/>
  <c r="CG275" i="4"/>
  <c r="EJ275" i="4"/>
  <c r="Q310" i="4"/>
  <c r="CG271" i="4"/>
  <c r="DV271" i="4"/>
  <c r="FI189" i="4"/>
  <c r="O271" i="4"/>
  <c r="Q271" i="4"/>
  <c r="CA271" i="4"/>
  <c r="GO310" i="4"/>
  <c r="Q221" i="4"/>
  <c r="O221" i="4"/>
  <c r="O247" i="4"/>
  <c r="Q247" i="4"/>
  <c r="O331" i="4"/>
  <c r="Q331" i="4"/>
  <c r="BW331" i="4"/>
  <c r="GD189" i="4"/>
  <c r="EF331" i="4"/>
  <c r="CC331" i="4"/>
  <c r="O339" i="4"/>
  <c r="Q339" i="4"/>
  <c r="BW339" i="4"/>
  <c r="O315" i="4"/>
  <c r="Q315" i="4"/>
  <c r="GK189" i="4"/>
  <c r="CC339" i="4"/>
  <c r="DY339" i="4"/>
  <c r="FP189" i="4"/>
  <c r="EU189" i="4"/>
  <c r="O242" i="4"/>
  <c r="Q242" i="4"/>
  <c r="BW242" i="4"/>
  <c r="Q165" i="4"/>
  <c r="O165" i="4"/>
  <c r="CA165" i="4"/>
  <c r="CC242" i="4"/>
  <c r="CI242" i="4"/>
  <c r="Q355" i="4"/>
  <c r="O355" i="4"/>
  <c r="BY355" i="4"/>
  <c r="O277" i="4"/>
  <c r="Q277" i="4"/>
  <c r="CA277" i="4"/>
  <c r="Q349" i="4"/>
  <c r="O349" i="4"/>
  <c r="GO331" i="4"/>
  <c r="FP290" i="4"/>
  <c r="GD290" i="4"/>
  <c r="GD331" i="4"/>
  <c r="FP331" i="4"/>
  <c r="O241" i="4"/>
  <c r="Q241" i="4"/>
  <c r="GO241" i="4"/>
  <c r="GO110" i="4"/>
  <c r="Q110" i="4"/>
  <c r="O110" i="4"/>
  <c r="GO247" i="4"/>
  <c r="GO248" i="4"/>
  <c r="Q248" i="4"/>
  <c r="O248" i="4"/>
  <c r="FP277" i="4"/>
  <c r="GO277" i="4"/>
  <c r="GD277" i="4"/>
  <c r="FI277" i="4"/>
  <c r="EU221" i="4"/>
  <c r="FI315" i="4"/>
  <c r="FI221" i="4"/>
  <c r="GD315" i="4"/>
  <c r="FP315" i="4"/>
  <c r="FI339" i="4"/>
  <c r="GD271" i="4"/>
  <c r="FI165" i="4"/>
  <c r="GD221" i="4"/>
  <c r="FP221" i="4"/>
  <c r="GO339" i="4"/>
  <c r="FP146" i="4"/>
  <c r="GO146" i="4"/>
  <c r="CS146" i="4"/>
  <c r="FI276" i="4"/>
  <c r="FP271" i="4"/>
  <c r="EU146" i="4"/>
  <c r="FP165" i="4"/>
  <c r="FI146" i="4"/>
  <c r="FP310" i="4"/>
  <c r="FI275" i="4"/>
  <c r="GK146" i="4"/>
  <c r="GK165" i="4"/>
  <c r="GO271" i="4"/>
  <c r="FP276" i="4"/>
  <c r="FP339" i="4"/>
  <c r="GD146" i="4"/>
  <c r="GO276" i="4"/>
  <c r="GD165" i="4"/>
  <c r="EU165" i="4"/>
  <c r="GO165" i="4"/>
  <c r="GD310" i="4"/>
  <c r="FI271" i="4"/>
  <c r="GO275" i="4"/>
  <c r="GD275" i="4"/>
  <c r="GD276" i="4"/>
  <c r="FP275" i="4"/>
  <c r="GD339" i="4"/>
  <c r="GO315" i="4"/>
  <c r="GO221" i="4"/>
  <c r="GO189" i="4"/>
  <c r="O189" i="4"/>
  <c r="Q189" i="4"/>
  <c r="Q262" i="4"/>
  <c r="O262" i="4"/>
  <c r="GO262" i="4"/>
  <c r="O337" i="4"/>
  <c r="Q337" i="4"/>
  <c r="BW337" i="4"/>
  <c r="CC337" i="4"/>
  <c r="CI337" i="4"/>
  <c r="EJ85" i="4"/>
  <c r="CG85" i="4"/>
  <c r="CL57" i="4"/>
  <c r="ES10" i="4"/>
  <c r="ES21" i="4"/>
  <c r="ES18" i="4"/>
  <c r="EN55" i="4"/>
  <c r="EN15" i="4"/>
  <c r="CE143" i="4"/>
  <c r="EO143" i="4"/>
  <c r="CE268" i="4"/>
  <c r="EO268" i="4"/>
  <c r="CC301" i="4"/>
  <c r="EF301" i="4"/>
  <c r="CE302" i="4"/>
  <c r="CY302" i="4"/>
  <c r="CG79" i="4"/>
  <c r="EC79" i="4"/>
  <c r="CG252" i="4"/>
  <c r="DV252" i="4"/>
  <c r="CG237" i="4"/>
  <c r="EJ237" i="4"/>
  <c r="CE217" i="4"/>
  <c r="DF217" i="4"/>
  <c r="CC186" i="4"/>
  <c r="CI186" i="4"/>
  <c r="CG291" i="4"/>
  <c r="CM291" i="4"/>
  <c r="CE213" i="4"/>
  <c r="DF213" i="4"/>
  <c r="CE188" i="4"/>
  <c r="EH188" i="4"/>
  <c r="CC147" i="4"/>
  <c r="DR147" i="4"/>
  <c r="EU197" i="4"/>
  <c r="EV128" i="4"/>
  <c r="BW93" i="4"/>
  <c r="CL40" i="4"/>
  <c r="CL43" i="4"/>
  <c r="EN66" i="4"/>
  <c r="EN22" i="4"/>
  <c r="EN57" i="4"/>
  <c r="CG193" i="4"/>
  <c r="FZ193" i="4"/>
  <c r="CG59" i="4"/>
  <c r="EQ59" i="4"/>
  <c r="CG212" i="4"/>
  <c r="EC212" i="4"/>
  <c r="CE306" i="4"/>
  <c r="EV306" i="4"/>
  <c r="CG284" i="4"/>
  <c r="FZ284" i="4"/>
  <c r="BW132" i="4"/>
  <c r="CL50" i="4"/>
  <c r="ES16" i="4"/>
  <c r="ES33" i="4"/>
  <c r="ES35" i="4"/>
  <c r="ES42" i="4"/>
  <c r="EN11" i="4"/>
  <c r="EN17" i="4"/>
  <c r="EN28" i="4"/>
  <c r="FB19" i="4"/>
  <c r="CG150" i="4"/>
  <c r="EC150" i="4"/>
  <c r="CG151" i="4"/>
  <c r="EC151" i="4"/>
  <c r="CC139" i="4"/>
  <c r="CI139" i="4"/>
  <c r="CC93" i="4"/>
  <c r="DR93" i="4"/>
  <c r="CG298" i="4"/>
  <c r="DO298" i="4"/>
  <c r="CC132" i="4"/>
  <c r="CW132" i="4"/>
  <c r="CG192" i="4"/>
  <c r="EX192" i="4"/>
  <c r="CG199" i="4"/>
  <c r="EC199" i="4"/>
  <c r="CE293" i="4"/>
  <c r="DF293" i="4"/>
  <c r="CE100" i="4"/>
  <c r="DF100" i="4"/>
  <c r="CG254" i="4"/>
  <c r="EJ254" i="4"/>
  <c r="CG232" i="4"/>
  <c r="EJ232" i="4"/>
  <c r="CE183" i="4"/>
  <c r="EO183" i="4"/>
  <c r="EJ239" i="4"/>
  <c r="EO194" i="4"/>
  <c r="FY190" i="4"/>
  <c r="GL34" i="4"/>
  <c r="BY293" i="4"/>
  <c r="CL60" i="4"/>
  <c r="CL58" i="4"/>
  <c r="DE20" i="4"/>
  <c r="EN31" i="4"/>
  <c r="EN27" i="4"/>
  <c r="EN36" i="4"/>
  <c r="CE99" i="4"/>
  <c r="EH99" i="4"/>
  <c r="CE313" i="4"/>
  <c r="DF313" i="4"/>
  <c r="CG25" i="4"/>
  <c r="FZ25" i="4"/>
  <c r="CG210" i="4"/>
  <c r="EJ210" i="4"/>
  <c r="CG256" i="4"/>
  <c r="EC256" i="4"/>
  <c r="CC317" i="4"/>
  <c r="CW317" i="4"/>
  <c r="CE260" i="4"/>
  <c r="CY260" i="4"/>
  <c r="CG296" i="4"/>
  <c r="EJ296" i="4"/>
  <c r="CC321" i="4"/>
  <c r="DK321" i="4"/>
  <c r="CC40" i="4"/>
  <c r="DR40" i="4"/>
  <c r="CG198" i="4"/>
  <c r="EC198" i="4"/>
  <c r="CC270" i="4"/>
  <c r="CW270" i="4"/>
  <c r="CG135" i="4"/>
  <c r="DV135" i="4"/>
  <c r="EJ381" i="4"/>
  <c r="CC358" i="4"/>
  <c r="CW358" i="4"/>
  <c r="ES15" i="4"/>
  <c r="EN62" i="4"/>
  <c r="EN46" i="4"/>
  <c r="FB36" i="4"/>
  <c r="CG184" i="4"/>
  <c r="FZ184" i="4"/>
  <c r="CG173" i="4"/>
  <c r="DA173" i="4"/>
  <c r="CG144" i="4"/>
  <c r="DH144" i="4"/>
  <c r="DA204" i="4"/>
  <c r="CE265" i="4"/>
  <c r="DF265" i="4"/>
  <c r="CC307" i="4"/>
  <c r="EM307" i="4"/>
  <c r="ES28" i="4"/>
  <c r="EN10" i="4"/>
  <c r="EN81" i="4"/>
  <c r="EN42" i="4"/>
  <c r="EN13" i="4"/>
  <c r="EU220" i="4"/>
  <c r="CE154" i="4"/>
  <c r="EA154" i="4"/>
  <c r="CG182" i="4"/>
  <c r="EC182" i="4"/>
  <c r="CG336" i="4"/>
  <c r="EJ336" i="4"/>
  <c r="CE149" i="4"/>
  <c r="EH149" i="4"/>
  <c r="CC211" i="4"/>
  <c r="DR211" i="4"/>
  <c r="CG294" i="4"/>
  <c r="EC294" i="4"/>
  <c r="CC286" i="4"/>
  <c r="DR286" i="4"/>
  <c r="CG185" i="4"/>
  <c r="FZ185" i="4"/>
  <c r="CG314" i="4"/>
  <c r="DO314" i="4"/>
  <c r="CC127" i="4"/>
  <c r="CI127" i="4"/>
  <c r="CG70" i="4"/>
  <c r="EC70" i="4"/>
  <c r="CG295" i="4"/>
  <c r="EC295" i="4"/>
  <c r="CC78" i="4"/>
  <c r="EF78" i="4"/>
  <c r="EQ201" i="4"/>
  <c r="CG201" i="4"/>
  <c r="CW136" i="4"/>
  <c r="FK400" i="4"/>
  <c r="CA199" i="4"/>
  <c r="CL51" i="4"/>
  <c r="CL38" i="4"/>
  <c r="CL37" i="4"/>
  <c r="ES11" i="4"/>
  <c r="ES31" i="4"/>
  <c r="ES22" i="4"/>
  <c r="EN33" i="4"/>
  <c r="EN34" i="4"/>
  <c r="CE292" i="4"/>
  <c r="EA292" i="4"/>
  <c r="EV280" i="4"/>
  <c r="DV267" i="4"/>
  <c r="GL219" i="4"/>
  <c r="CL25" i="4"/>
  <c r="CZ25" i="4"/>
  <c r="ES13" i="4"/>
  <c r="ES30" i="4"/>
  <c r="EN23" i="4"/>
  <c r="EN18" i="4"/>
  <c r="EN24" i="4"/>
  <c r="CE176" i="4"/>
  <c r="EA176" i="4"/>
  <c r="CC264" i="4"/>
  <c r="CI264" i="4"/>
  <c r="CG84" i="4"/>
  <c r="DA84" i="4"/>
  <c r="CG299" i="4"/>
  <c r="EC299" i="4"/>
  <c r="CC203" i="4"/>
  <c r="EM203" i="4"/>
  <c r="CE238" i="4"/>
  <c r="EH238" i="4"/>
  <c r="CG44" i="4"/>
  <c r="EC44" i="4"/>
  <c r="CG170" i="4"/>
  <c r="EC170" i="4"/>
  <c r="CG273" i="4"/>
  <c r="EC273" i="4"/>
  <c r="CG56" i="4"/>
  <c r="EC56" i="4"/>
  <c r="Q233" i="4"/>
  <c r="FR17" i="4"/>
  <c r="CG215" i="4"/>
  <c r="EQ215" i="4"/>
  <c r="CA298" i="4"/>
  <c r="CL59" i="4"/>
  <c r="EN35" i="4"/>
  <c r="EN16" i="4"/>
  <c r="CG266" i="4"/>
  <c r="EJ266" i="4"/>
  <c r="CC200" i="4"/>
  <c r="DR200" i="4"/>
  <c r="DF54" i="4"/>
  <c r="DE56" i="4"/>
  <c r="DE61" i="4"/>
  <c r="ES19" i="4"/>
  <c r="ES34" i="4"/>
  <c r="ES36" i="4"/>
  <c r="EN67" i="4"/>
  <c r="CE83" i="4"/>
  <c r="CY83" i="4"/>
  <c r="CE255" i="4"/>
  <c r="DF255" i="4"/>
  <c r="CC134" i="4"/>
  <c r="EF134" i="4"/>
  <c r="CE77" i="4"/>
  <c r="EA77" i="4"/>
  <c r="CC101" i="4"/>
  <c r="EF101" i="4"/>
  <c r="CE225" i="4"/>
  <c r="EA225" i="4"/>
  <c r="CG142" i="4"/>
  <c r="EJ142" i="4"/>
  <c r="CG300" i="4"/>
  <c r="EC300" i="4"/>
  <c r="CE164" i="4"/>
  <c r="DF164" i="4"/>
  <c r="DA157" i="4"/>
  <c r="CL26" i="4"/>
  <c r="EN21" i="4"/>
  <c r="EN65" i="4"/>
  <c r="CC216" i="4"/>
  <c r="DR216" i="4"/>
  <c r="CG50" i="4"/>
  <c r="EJ50" i="4"/>
  <c r="CG107" i="4"/>
  <c r="DO107" i="4"/>
  <c r="EQ57" i="4"/>
  <c r="FP202" i="4"/>
  <c r="GD220" i="4"/>
  <c r="CC113" i="4"/>
  <c r="EU161" i="4"/>
  <c r="GD197" i="4"/>
  <c r="GO102" i="4"/>
  <c r="FP102" i="4"/>
  <c r="FI102" i="4"/>
  <c r="GK102" i="4"/>
  <c r="FI233" i="4"/>
  <c r="EU102" i="4"/>
  <c r="GD284" i="4"/>
  <c r="FI220" i="4"/>
  <c r="GO233" i="4"/>
  <c r="GO284" i="4"/>
  <c r="FI161" i="4"/>
  <c r="Q161" i="4"/>
  <c r="Q284" i="4"/>
  <c r="Q201" i="4"/>
  <c r="Q202" i="4"/>
  <c r="Q197" i="4"/>
  <c r="Q102" i="4"/>
  <c r="Q76" i="4"/>
  <c r="Q274" i="4"/>
  <c r="Q75" i="4"/>
  <c r="Q85" i="4"/>
  <c r="Q174" i="4"/>
  <c r="FI197" i="4"/>
  <c r="GD233" i="4"/>
  <c r="EU75" i="4"/>
  <c r="GK148" i="4"/>
  <c r="O76" i="4"/>
  <c r="O284" i="4"/>
  <c r="O161" i="4"/>
  <c r="O197" i="4"/>
  <c r="O102" i="4"/>
  <c r="O201" i="4"/>
  <c r="O75" i="4"/>
  <c r="O174" i="4"/>
  <c r="O274" i="4"/>
  <c r="O85" i="4"/>
  <c r="O202" i="4"/>
  <c r="GO85" i="4"/>
  <c r="FP284" i="4"/>
  <c r="FI85" i="4"/>
  <c r="FP161" i="4"/>
  <c r="GK161" i="4"/>
  <c r="FI75" i="4"/>
  <c r="FP197" i="4"/>
  <c r="GK197" i="4"/>
  <c r="EU233" i="4"/>
  <c r="GK75" i="4"/>
  <c r="FP85" i="4"/>
  <c r="GK85" i="4"/>
  <c r="GO197" i="4"/>
  <c r="FI284" i="4"/>
  <c r="GO161" i="4"/>
  <c r="GD161" i="4"/>
  <c r="FI201" i="4"/>
  <c r="GD102" i="4"/>
  <c r="FP233" i="4"/>
  <c r="FI174" i="4"/>
  <c r="FP274" i="4"/>
  <c r="GO174" i="4"/>
  <c r="GD202" i="4"/>
  <c r="GK202" i="4"/>
  <c r="FP76" i="4"/>
  <c r="GO201" i="4"/>
  <c r="EU76" i="4"/>
  <c r="GD274" i="4"/>
  <c r="FP201" i="4"/>
  <c r="GK76" i="4"/>
  <c r="EU202" i="4"/>
  <c r="FI202" i="4"/>
  <c r="GD174" i="4"/>
  <c r="FI148" i="4"/>
  <c r="GO76" i="4"/>
  <c r="GK174" i="4"/>
  <c r="GD201" i="4"/>
  <c r="GK201" i="4"/>
  <c r="GD76" i="4"/>
  <c r="FI76" i="4"/>
  <c r="FI274" i="4"/>
  <c r="EU201" i="4"/>
  <c r="EU174" i="4"/>
  <c r="FP174" i="4"/>
  <c r="GO274" i="4"/>
  <c r="GO202" i="4"/>
  <c r="GO220" i="4"/>
  <c r="O220" i="4"/>
  <c r="Q220" i="4"/>
  <c r="EU148" i="4"/>
  <c r="GO75" i="4"/>
  <c r="FP148" i="4"/>
  <c r="GD148" i="4"/>
  <c r="GO113" i="4"/>
  <c r="O113" i="4"/>
  <c r="Q113" i="4"/>
  <c r="GO148" i="4"/>
  <c r="O148" i="4"/>
  <c r="Q148" i="4"/>
  <c r="BY148" i="4"/>
  <c r="FF21" i="4"/>
  <c r="FR14" i="4"/>
  <c r="EI16" i="4"/>
  <c r="FF16" i="4"/>
  <c r="EI10" i="4"/>
  <c r="EI13" i="4"/>
  <c r="AS5" i="4"/>
  <c r="AQ4" i="4"/>
  <c r="AO42" i="4"/>
  <c r="M10" i="15"/>
  <c r="S10" i="15" s="1"/>
  <c r="D555" i="11" s="1"/>
  <c r="CG121" i="4"/>
  <c r="M8" i="15"/>
  <c r="S8" i="15" s="1"/>
  <c r="CG259" i="4"/>
  <c r="M16" i="15"/>
  <c r="S16" i="15" s="1"/>
  <c r="CG166" i="4"/>
  <c r="K11" i="15"/>
  <c r="CC261" i="4"/>
  <c r="L16" i="15"/>
  <c r="R16" i="15" s="1"/>
  <c r="CE272" i="4"/>
  <c r="M11" i="15"/>
  <c r="S11" i="15" s="1"/>
  <c r="CG187" i="4"/>
  <c r="K12" i="15"/>
  <c r="CC329" i="4"/>
  <c r="M17" i="15"/>
  <c r="S17" i="15" s="1"/>
  <c r="K8" i="15"/>
  <c r="Q8" i="15" s="1"/>
  <c r="CC73" i="4"/>
  <c r="K17" i="15"/>
  <c r="Q17" i="15" s="1"/>
  <c r="L9" i="15"/>
  <c r="R9" i="15" s="1"/>
  <c r="CE61" i="4"/>
  <c r="K13" i="15"/>
  <c r="CC171" i="4"/>
  <c r="L12" i="15"/>
  <c r="R12" i="15" s="1"/>
  <c r="CE20" i="4"/>
  <c r="M9" i="15"/>
  <c r="S9" i="15" s="1"/>
  <c r="CG167" i="4"/>
  <c r="CH4" i="4"/>
  <c r="Q30" i="4"/>
  <c r="Q21" i="4"/>
  <c r="FP194" i="4"/>
  <c r="L17" i="15"/>
  <c r="R17" i="15" s="1"/>
  <c r="Q8" i="4"/>
  <c r="R8" i="4" s="1"/>
  <c r="Q28" i="4"/>
  <c r="Q14" i="4"/>
  <c r="BW171" i="4"/>
  <c r="Q7" i="4"/>
  <c r="R7" i="4" s="1"/>
  <c r="Q9" i="4"/>
  <c r="R9" i="4" s="1"/>
  <c r="Q22" i="4"/>
  <c r="Q12" i="4"/>
  <c r="R12" i="4" s="1"/>
  <c r="Q16" i="4"/>
  <c r="L6" i="15"/>
  <c r="R6" i="15" s="1"/>
  <c r="CA256" i="4"/>
  <c r="Q218" i="4"/>
  <c r="Q228" i="4"/>
  <c r="Q10" i="4"/>
  <c r="R10" i="4" s="1"/>
  <c r="BW301" i="4"/>
  <c r="Q31" i="4"/>
  <c r="Q33" i="4"/>
  <c r="FI219" i="4"/>
  <c r="EU145" i="4"/>
  <c r="BY367" i="4"/>
  <c r="FI145" i="4"/>
  <c r="FP145" i="4"/>
  <c r="O145" i="4"/>
  <c r="GK122" i="4"/>
  <c r="GO270" i="4"/>
  <c r="EU219" i="4"/>
  <c r="FI194" i="4"/>
  <c r="GO145" i="4"/>
  <c r="EU122" i="4"/>
  <c r="FP159" i="4"/>
  <c r="FI159" i="4"/>
  <c r="FI267" i="4"/>
  <c r="GD145" i="4"/>
  <c r="O144" i="4"/>
  <c r="FI144" i="4"/>
  <c r="EU159" i="4"/>
  <c r="FI122" i="4"/>
  <c r="GD144" i="4"/>
  <c r="EU135" i="4"/>
  <c r="FP144" i="4"/>
  <c r="EU144" i="4"/>
  <c r="GO135" i="4"/>
  <c r="FI135" i="4"/>
  <c r="FP270" i="4"/>
  <c r="GO159" i="4"/>
  <c r="GD159" i="4"/>
  <c r="FP267" i="4"/>
  <c r="GD194" i="4"/>
  <c r="CU5" i="4"/>
  <c r="FP219" i="4"/>
  <c r="GK74" i="4"/>
  <c r="FI270" i="4"/>
  <c r="GK159" i="4"/>
  <c r="BW270" i="4"/>
  <c r="FY5" i="4"/>
  <c r="FP135" i="4"/>
  <c r="FP122" i="4"/>
  <c r="GK135" i="4"/>
  <c r="GO144" i="4"/>
  <c r="GO122" i="4"/>
  <c r="GD219" i="4"/>
  <c r="GD122" i="4"/>
  <c r="GD135" i="4"/>
  <c r="GK144" i="4"/>
  <c r="Q145" i="4"/>
  <c r="GK145" i="4"/>
  <c r="GD270" i="4"/>
  <c r="Q159" i="4"/>
  <c r="Q122" i="4"/>
  <c r="O159" i="4"/>
  <c r="O122" i="4"/>
  <c r="O135" i="4"/>
  <c r="Q135" i="4"/>
  <c r="Q144" i="4"/>
  <c r="BY225" i="4"/>
  <c r="Q270" i="4"/>
  <c r="O270" i="4"/>
  <c r="Q269" i="4"/>
  <c r="O269" i="4"/>
  <c r="Q367" i="4"/>
  <c r="Q74" i="4"/>
  <c r="GO74" i="4"/>
  <c r="GO269" i="4"/>
  <c r="FI367" i="4"/>
  <c r="FI74" i="4"/>
  <c r="FP74" i="4"/>
  <c r="FP367" i="4"/>
  <c r="EU194" i="4"/>
  <c r="EU74" i="4"/>
  <c r="L7" i="15"/>
  <c r="R7" i="15" s="1"/>
  <c r="GD74" i="4"/>
  <c r="GK194" i="4"/>
  <c r="FI269" i="4"/>
  <c r="FP269" i="4"/>
  <c r="GD269" i="4"/>
  <c r="O74" i="4"/>
  <c r="O367" i="4"/>
  <c r="GD367" i="4"/>
  <c r="GO194" i="4"/>
  <c r="O194" i="4"/>
  <c r="Q194" i="4"/>
  <c r="GO219" i="4"/>
  <c r="GD267" i="4"/>
  <c r="O219" i="4"/>
  <c r="Q219" i="4"/>
  <c r="GO267" i="4"/>
  <c r="O267" i="4"/>
  <c r="Q267" i="4"/>
  <c r="CA267" i="4"/>
  <c r="Q82" i="4"/>
  <c r="M5" i="15"/>
  <c r="S5" i="15" s="1"/>
  <c r="FT16" i="4"/>
  <c r="GF4" i="4"/>
  <c r="FR4" i="4"/>
  <c r="M4" i="15"/>
  <c r="S4" i="15" s="1"/>
  <c r="Q36" i="4"/>
  <c r="Q35" i="4"/>
  <c r="CA166" i="4"/>
  <c r="DC13" i="4"/>
  <c r="DC22" i="4"/>
  <c r="DC35" i="4"/>
  <c r="CX23" i="4"/>
  <c r="CX55" i="4"/>
  <c r="CX42" i="4"/>
  <c r="FR5" i="4"/>
  <c r="L15" i="15"/>
  <c r="R15" i="15" s="1"/>
  <c r="Q55" i="4"/>
  <c r="Q19" i="4"/>
  <c r="R19" i="4" s="1"/>
  <c r="Q116" i="4"/>
  <c r="Q421" i="4"/>
  <c r="CA336" i="4"/>
  <c r="Q117" i="4"/>
  <c r="L8" i="15"/>
  <c r="K9" i="15"/>
  <c r="M13" i="15"/>
  <c r="S13" i="15" s="1"/>
  <c r="Q112" i="4"/>
  <c r="DC30" i="4"/>
  <c r="DC21" i="4"/>
  <c r="CX31" i="4"/>
  <c r="CX65" i="4"/>
  <c r="FF19" i="4"/>
  <c r="Q169" i="4"/>
  <c r="M14" i="15"/>
  <c r="Q88" i="4"/>
  <c r="Q155" i="4"/>
  <c r="Q23" i="4"/>
  <c r="Q81" i="4"/>
  <c r="CA296" i="4"/>
  <c r="CA210" i="4"/>
  <c r="DC32" i="4"/>
  <c r="DC28" i="4"/>
  <c r="CX62" i="4"/>
  <c r="CX28" i="4"/>
  <c r="Q63" i="4"/>
  <c r="L14" i="15"/>
  <c r="R14" i="15" s="1"/>
  <c r="Q137" i="4"/>
  <c r="Q205" i="4"/>
  <c r="Q231" i="4"/>
  <c r="DC19" i="4"/>
  <c r="DC42" i="4"/>
  <c r="CX15" i="4"/>
  <c r="CX19" i="4"/>
  <c r="Q54" i="4"/>
  <c r="Q214" i="4"/>
  <c r="Q322" i="4"/>
  <c r="Q27" i="4"/>
  <c r="Q24" i="4"/>
  <c r="Q68" i="4"/>
  <c r="BY268" i="4"/>
  <c r="DC15" i="4"/>
  <c r="DC29" i="4"/>
  <c r="CX29" i="4"/>
  <c r="CX114" i="4"/>
  <c r="CX13" i="4"/>
  <c r="Q49" i="4"/>
  <c r="Q53" i="4"/>
  <c r="L13" i="15"/>
  <c r="R13" i="15" s="1"/>
  <c r="Q39" i="4"/>
  <c r="Q328" i="4"/>
  <c r="DC10" i="4"/>
  <c r="DC31" i="4"/>
  <c r="CX10" i="4"/>
  <c r="CX33" i="4"/>
  <c r="CX34" i="4"/>
  <c r="FF24" i="4"/>
  <c r="K14" i="15"/>
  <c r="Q14" i="15" s="1"/>
  <c r="Q90" i="4"/>
  <c r="Q320" i="4"/>
  <c r="Q80" i="4"/>
  <c r="Q92" i="4"/>
  <c r="Q37" i="4"/>
  <c r="Q26" i="4"/>
  <c r="Q91" i="4"/>
  <c r="DC16" i="4"/>
  <c r="CX18" i="4"/>
  <c r="CX21" i="4"/>
  <c r="Q136" i="4"/>
  <c r="Q124" i="4"/>
  <c r="DC36" i="4"/>
  <c r="CX11" i="4"/>
  <c r="CX35" i="4"/>
  <c r="FT12" i="4"/>
  <c r="Q381" i="4"/>
  <c r="Q46" i="4"/>
  <c r="Q66" i="4"/>
  <c r="Q47" i="4"/>
  <c r="DC11" i="4"/>
  <c r="DC18" i="4"/>
  <c r="CX30" i="4"/>
  <c r="CX36" i="4"/>
  <c r="CX22" i="4"/>
  <c r="K3" i="15"/>
  <c r="K4" i="15"/>
  <c r="Q316" i="4"/>
  <c r="DC34" i="4"/>
  <c r="DC33" i="4"/>
  <c r="CX32" i="4"/>
  <c r="GA7" i="4"/>
  <c r="Q62" i="4"/>
  <c r="M12" i="15"/>
  <c r="S12" i="15" s="1"/>
  <c r="Q342" i="4"/>
  <c r="Q236" i="4"/>
  <c r="Q282" i="4"/>
  <c r="BY154" i="4"/>
  <c r="Q154" i="4"/>
  <c r="CA182" i="4"/>
  <c r="Q182" i="4"/>
  <c r="Q336" i="4"/>
  <c r="Q166" i="4"/>
  <c r="Q292" i="4"/>
  <c r="Q253" i="4"/>
  <c r="Q50" i="4"/>
  <c r="Q20" i="4"/>
  <c r="CA107" i="4"/>
  <c r="Q107" i="4"/>
  <c r="Q203" i="4"/>
  <c r="BY238" i="4"/>
  <c r="Q238" i="4"/>
  <c r="Q118" i="4"/>
  <c r="Q138" i="4"/>
  <c r="M6" i="15"/>
  <c r="S6" i="15" s="1"/>
  <c r="Q208" i="4"/>
  <c r="Q106" i="4"/>
  <c r="Q147" i="4"/>
  <c r="Q167" i="4"/>
  <c r="Q111" i="4"/>
  <c r="BW307" i="4"/>
  <c r="Q307" i="4"/>
  <c r="Q29" i="4"/>
  <c r="Q156" i="4"/>
  <c r="Q139" i="4"/>
  <c r="Q93" i="4"/>
  <c r="Q298" i="4"/>
  <c r="Q69" i="4"/>
  <c r="CA185" i="4"/>
  <c r="Q185" i="4"/>
  <c r="CA157" i="4"/>
  <c r="Q157" i="4"/>
  <c r="Q142" i="4"/>
  <c r="BW321" i="4"/>
  <c r="Q321" i="4"/>
  <c r="Q141" i="4"/>
  <c r="Q234" i="4"/>
  <c r="Q176" i="4"/>
  <c r="Q121" i="4"/>
  <c r="CA187" i="4"/>
  <c r="Q187" i="4"/>
  <c r="BW264" i="4"/>
  <c r="Q264" i="4"/>
  <c r="Q266" i="4"/>
  <c r="Q251" i="4"/>
  <c r="Q259" i="4"/>
  <c r="Q59" i="4"/>
  <c r="Q212" i="4"/>
  <c r="Q101" i="4"/>
  <c r="Q38" i="4"/>
  <c r="CA232" i="4"/>
  <c r="Q232" i="4"/>
  <c r="Q183" i="4"/>
  <c r="CA173" i="4"/>
  <c r="Q173" i="4"/>
  <c r="Q239" i="4"/>
  <c r="Q89" i="4"/>
  <c r="Q48" i="4"/>
  <c r="Q98" i="4"/>
  <c r="CA25" i="4"/>
  <c r="Q25" i="4"/>
  <c r="Q210" i="4"/>
  <c r="Q256" i="4"/>
  <c r="M15" i="15"/>
  <c r="S15" i="15" s="1"/>
  <c r="CA44" i="4"/>
  <c r="Q44" i="4"/>
  <c r="CA291" i="4"/>
  <c r="Q291" i="4"/>
  <c r="Q213" i="4"/>
  <c r="Q133" i="4"/>
  <c r="Q158" i="4"/>
  <c r="Q95" i="4"/>
  <c r="Q51" i="4"/>
  <c r="BY83" i="4"/>
  <c r="Q83" i="4"/>
  <c r="BY255" i="4"/>
  <c r="Q255" i="4"/>
  <c r="Q134" i="4"/>
  <c r="Q216" i="4"/>
  <c r="Q265" i="4"/>
  <c r="Q261" i="4"/>
  <c r="Q86" i="4"/>
  <c r="BY217" i="4"/>
  <c r="Q217" i="4"/>
  <c r="Q168" i="4"/>
  <c r="Q43" i="4"/>
  <c r="Q60" i="4"/>
  <c r="Q235" i="4"/>
  <c r="Q65" i="4"/>
  <c r="Q272" i="4"/>
  <c r="Q40" i="4"/>
  <c r="Q5" i="4"/>
  <c r="R5" i="4" s="1"/>
  <c r="O5" i="4"/>
  <c r="Q240" i="4"/>
  <c r="Q206" i="4"/>
  <c r="Q361" i="4"/>
  <c r="Q149" i="4"/>
  <c r="BW211" i="4"/>
  <c r="Q211" i="4"/>
  <c r="Q294" i="4"/>
  <c r="Q130" i="4"/>
  <c r="CA225" i="4"/>
  <c r="Q225" i="4"/>
  <c r="Q199" i="4"/>
  <c r="Q293" i="4"/>
  <c r="BY100" i="4"/>
  <c r="Q100" i="4"/>
  <c r="Q179" i="4"/>
  <c r="Q172" i="4"/>
  <c r="Q71" i="4"/>
  <c r="BY143" i="4"/>
  <c r="Q143" i="4"/>
  <c r="Q268" i="4"/>
  <c r="Q301" i="4"/>
  <c r="BY302" i="4"/>
  <c r="Q302" i="4"/>
  <c r="Q193" i="4"/>
  <c r="Q115" i="4"/>
  <c r="Q329" i="4"/>
  <c r="Q120" i="4"/>
  <c r="Q132" i="4"/>
  <c r="Q109" i="4"/>
  <c r="Q94" i="4"/>
  <c r="Q126" i="4"/>
  <c r="Q42" i="4"/>
  <c r="CA295" i="4"/>
  <c r="Q295" i="4"/>
  <c r="BW78" i="4"/>
  <c r="Q78" i="4"/>
  <c r="CA198" i="4"/>
  <c r="Q198" i="4"/>
  <c r="Q308" i="4"/>
  <c r="Q58" i="4"/>
  <c r="Q257" i="4"/>
  <c r="Q230" i="4"/>
  <c r="Q246" i="4"/>
  <c r="CA84" i="4"/>
  <c r="Q84" i="4"/>
  <c r="CA299" i="4"/>
  <c r="Q299" i="4"/>
  <c r="Q186" i="4"/>
  <c r="Q296" i="4"/>
  <c r="Q171" i="4"/>
  <c r="L10" i="15"/>
  <c r="R10" i="15" s="1"/>
  <c r="Q108" i="4"/>
  <c r="Q209" i="4"/>
  <c r="Q181" i="4"/>
  <c r="Q163" i="4"/>
  <c r="CA150" i="4"/>
  <c r="Q150" i="4"/>
  <c r="Q151" i="4"/>
  <c r="Q227" i="4"/>
  <c r="Q357" i="4"/>
  <c r="Q215" i="4"/>
  <c r="BY280" i="4"/>
  <c r="Q280" i="4"/>
  <c r="BW317" i="4"/>
  <c r="Q317" i="4"/>
  <c r="Q260" i="4"/>
  <c r="Q131" i="4"/>
  <c r="Q96" i="4"/>
  <c r="Q34" i="4"/>
  <c r="CA273" i="4"/>
  <c r="Q273" i="4"/>
  <c r="Q128" i="4"/>
  <c r="Q17" i="4"/>
  <c r="Q11" i="4"/>
  <c r="R11" i="4" s="1"/>
  <c r="Q204" i="4"/>
  <c r="Q335" i="4"/>
  <c r="Q153" i="4"/>
  <c r="Q196" i="4"/>
  <c r="Q77" i="4"/>
  <c r="Q250" i="4"/>
  <c r="Q72" i="4"/>
  <c r="CA192" i="4"/>
  <c r="Q192" i="4"/>
  <c r="CA314" i="4"/>
  <c r="Q314" i="4"/>
  <c r="BW127" i="4"/>
  <c r="Q127" i="4"/>
  <c r="CA70" i="4"/>
  <c r="Q70" i="4"/>
  <c r="BY188" i="4"/>
  <c r="Q188" i="4"/>
  <c r="Q119" i="4"/>
  <c r="Q297" i="4"/>
  <c r="EU72" i="4"/>
  <c r="Q87" i="4"/>
  <c r="Q278" i="4"/>
  <c r="Q99" i="4"/>
  <c r="Q289" i="4"/>
  <c r="BY313" i="4"/>
  <c r="Q313" i="4"/>
  <c r="CA184" i="4"/>
  <c r="Q184" i="4"/>
  <c r="K6" i="15"/>
  <c r="Q6" i="15" s="1"/>
  <c r="Q200" i="4"/>
  <c r="BY61" i="4"/>
  <c r="Q61" i="4"/>
  <c r="BW286" i="4"/>
  <c r="Q286" i="4"/>
  <c r="Q140" i="4"/>
  <c r="Q97" i="4"/>
  <c r="Q57" i="4"/>
  <c r="Q52" i="4"/>
  <c r="Q300" i="4"/>
  <c r="BY164" i="4"/>
  <c r="Q164" i="4"/>
  <c r="CA56" i="4"/>
  <c r="Q56" i="4"/>
  <c r="Q306" i="4"/>
  <c r="M3" i="15"/>
  <c r="S3" i="15" s="1"/>
  <c r="D562" i="11" s="1"/>
  <c r="Q67" i="4"/>
  <c r="Q207" i="4"/>
  <c r="Q79" i="4"/>
  <c r="CA252" i="4"/>
  <c r="Q252" i="4"/>
  <c r="Q237" i="4"/>
  <c r="Q73" i="4"/>
  <c r="Q170" i="4"/>
  <c r="Q125" i="4"/>
  <c r="CA254" i="4"/>
  <c r="Q254" i="4"/>
  <c r="Q249" i="4"/>
  <c r="K15" i="15"/>
  <c r="Q15" i="15" s="1"/>
  <c r="L3" i="15"/>
  <c r="R3" i="15" s="1"/>
  <c r="CU55" i="4"/>
  <c r="EU153" i="4"/>
  <c r="EU22" i="4"/>
  <c r="EU30" i="4"/>
  <c r="EU108" i="4"/>
  <c r="EU59" i="4"/>
  <c r="EU86" i="4"/>
  <c r="EU40" i="4"/>
  <c r="EU42" i="4"/>
  <c r="EU16" i="4"/>
  <c r="EU130" i="4"/>
  <c r="EU147" i="4"/>
  <c r="EU164" i="4"/>
  <c r="EU131" i="4"/>
  <c r="EU227" i="4"/>
  <c r="EU207" i="4"/>
  <c r="EU115" i="4"/>
  <c r="EY34" i="4"/>
  <c r="EY13" i="4"/>
  <c r="EZ22" i="4"/>
  <c r="EY17" i="4"/>
  <c r="EY55" i="4"/>
  <c r="FB21" i="4"/>
  <c r="FB27" i="4"/>
  <c r="EU15" i="4"/>
  <c r="EU90" i="4"/>
  <c r="EU17" i="4"/>
  <c r="EU139" i="4"/>
  <c r="EU182" i="4"/>
  <c r="EU168" i="4"/>
  <c r="EU232" i="4"/>
  <c r="EU127" i="4"/>
  <c r="EU213" i="4"/>
  <c r="EU52" i="4"/>
  <c r="EU99" i="4"/>
  <c r="EU196" i="4"/>
  <c r="EZ17" i="4"/>
  <c r="EY42" i="4"/>
  <c r="EZ67" i="4"/>
  <c r="EZ24" i="4"/>
  <c r="EY10" i="4"/>
  <c r="EZ62" i="4"/>
  <c r="EY67" i="4"/>
  <c r="FB10" i="4"/>
  <c r="FT13" i="4"/>
  <c r="CU35" i="4"/>
  <c r="EU19" i="4"/>
  <c r="EU58" i="4"/>
  <c r="EU137" i="4"/>
  <c r="EU167" i="4"/>
  <c r="EU93" i="4"/>
  <c r="EU80" i="4"/>
  <c r="EU65" i="4"/>
  <c r="EU79" i="4"/>
  <c r="EU185" i="4"/>
  <c r="EU117" i="4"/>
  <c r="EZ15" i="4"/>
  <c r="EY65" i="4"/>
  <c r="EY47" i="4"/>
  <c r="EY57" i="4"/>
  <c r="EZ30" i="4"/>
  <c r="EY66" i="4"/>
  <c r="FG13" i="4"/>
  <c r="FB15" i="4"/>
  <c r="FB13" i="4"/>
  <c r="FB33" i="4"/>
  <c r="FT14" i="4"/>
  <c r="EU230" i="4"/>
  <c r="EU54" i="4"/>
  <c r="EU36" i="4"/>
  <c r="EU25" i="4"/>
  <c r="EU169" i="4"/>
  <c r="EU256" i="4"/>
  <c r="EU119" i="4"/>
  <c r="EU49" i="4"/>
  <c r="EU121" i="4"/>
  <c r="EU183" i="4"/>
  <c r="EU78" i="4"/>
  <c r="EU237" i="4"/>
  <c r="EU253" i="4"/>
  <c r="EU143" i="4"/>
  <c r="EZ19" i="4"/>
  <c r="EY33" i="4"/>
  <c r="FB22" i="4"/>
  <c r="FB34" i="4"/>
  <c r="CU4" i="4"/>
  <c r="EU156" i="4"/>
  <c r="EU138" i="4"/>
  <c r="EU13" i="4"/>
  <c r="EU83" i="4"/>
  <c r="EU118" i="4"/>
  <c r="EU235" i="4"/>
  <c r="EU157" i="4"/>
  <c r="EU124" i="4"/>
  <c r="EU200" i="4"/>
  <c r="EU176" i="4"/>
  <c r="EU192" i="4"/>
  <c r="EU133" i="4"/>
  <c r="EU142" i="4"/>
  <c r="EZ33" i="4"/>
  <c r="EZ23" i="4"/>
  <c r="EZ47" i="4"/>
  <c r="EY24" i="4"/>
  <c r="EZ29" i="4"/>
  <c r="EZ36" i="4"/>
  <c r="FB24" i="4"/>
  <c r="FT29" i="4"/>
  <c r="EU34" i="4"/>
  <c r="EU106" i="4"/>
  <c r="EU21" i="4"/>
  <c r="EU31" i="4"/>
  <c r="EU198" i="4"/>
  <c r="EU166" i="4"/>
  <c r="EU171" i="4"/>
  <c r="EU71" i="4"/>
  <c r="EU94" i="4"/>
  <c r="EU38" i="4"/>
  <c r="EU149" i="4"/>
  <c r="EU88" i="4"/>
  <c r="EY27" i="4"/>
  <c r="EZ10" i="4"/>
  <c r="EY16" i="4"/>
  <c r="EZ27" i="4"/>
  <c r="EY30" i="4"/>
  <c r="EY23" i="4"/>
  <c r="FB42" i="4"/>
  <c r="FB29" i="4"/>
  <c r="FT7" i="4"/>
  <c r="EU23" i="4"/>
  <c r="EU107" i="4"/>
  <c r="EU28" i="4"/>
  <c r="EU24" i="4"/>
  <c r="EU120" i="4"/>
  <c r="EU55" i="4"/>
  <c r="EU155" i="4"/>
  <c r="EU184" i="4"/>
  <c r="EU82" i="4"/>
  <c r="EU96" i="4"/>
  <c r="EU97" i="4"/>
  <c r="EU209" i="4"/>
  <c r="EU193" i="4"/>
  <c r="EU84" i="4"/>
  <c r="EY11" i="4"/>
  <c r="EZ42" i="4"/>
  <c r="EZ32" i="4"/>
  <c r="EZ46" i="4"/>
  <c r="FB31" i="4"/>
  <c r="FB32" i="4"/>
  <c r="FT10" i="4"/>
  <c r="EU234" i="4"/>
  <c r="EU57" i="4"/>
  <c r="EU10" i="4"/>
  <c r="EU92" i="4"/>
  <c r="EU66" i="4"/>
  <c r="EU81" i="4"/>
  <c r="EU172" i="4"/>
  <c r="EU206" i="4"/>
  <c r="EU141" i="4"/>
  <c r="EU111" i="4"/>
  <c r="EU236" i="4"/>
  <c r="EU61" i="4"/>
  <c r="EY19" i="4"/>
  <c r="EZ65" i="4"/>
  <c r="EY36" i="4"/>
  <c r="EZ21" i="4"/>
  <c r="FB16" i="4"/>
  <c r="FT9" i="4"/>
  <c r="FT8" i="4"/>
  <c r="EU50" i="4"/>
  <c r="EU47" i="4"/>
  <c r="EU43" i="4"/>
  <c r="EU62" i="4"/>
  <c r="EU89" i="4"/>
  <c r="EU48" i="4"/>
  <c r="EU18" i="4"/>
  <c r="EU128" i="4"/>
  <c r="EU208" i="4"/>
  <c r="EU87" i="4"/>
  <c r="EU98" i="4"/>
  <c r="EU250" i="4"/>
  <c r="EU251" i="4"/>
  <c r="EU154" i="4"/>
  <c r="EU252" i="4"/>
  <c r="EZ31" i="4"/>
  <c r="EY62" i="4"/>
  <c r="EY15" i="4"/>
  <c r="EY29" i="4"/>
  <c r="EY31" i="4"/>
  <c r="FT6" i="4"/>
  <c r="FT21" i="4"/>
  <c r="EU33" i="4"/>
  <c r="EU68" i="4"/>
  <c r="EU11" i="4"/>
  <c r="EU29" i="4"/>
  <c r="EU91" i="4"/>
  <c r="EU126" i="4"/>
  <c r="EU136" i="4"/>
  <c r="EU35" i="4"/>
  <c r="EU212" i="4"/>
  <c r="EU56" i="4"/>
  <c r="EU60" i="4"/>
  <c r="EU210" i="4"/>
  <c r="EU112" i="4"/>
  <c r="EU95" i="4"/>
  <c r="EU51" i="4"/>
  <c r="EY35" i="4"/>
  <c r="EZ18" i="4"/>
  <c r="EZ13" i="4"/>
  <c r="EY46" i="4"/>
  <c r="EZ55" i="4"/>
  <c r="FB11" i="4"/>
  <c r="FB20" i="4"/>
  <c r="FT15" i="4"/>
  <c r="FT4" i="4"/>
  <c r="EU53" i="4"/>
  <c r="EU32" i="4"/>
  <c r="EU116" i="4"/>
  <c r="EU70" i="4"/>
  <c r="EU26" i="4"/>
  <c r="EU67" i="4"/>
  <c r="EU27" i="4"/>
  <c r="EU249" i="4"/>
  <c r="EU100" i="4"/>
  <c r="EU211" i="4"/>
  <c r="EU20" i="4"/>
  <c r="EU158" i="4"/>
  <c r="EZ16" i="4"/>
  <c r="EY18" i="4"/>
  <c r="EY22" i="4"/>
  <c r="EY32" i="4"/>
  <c r="EZ57" i="4"/>
  <c r="EY21" i="4"/>
  <c r="FB18" i="4"/>
  <c r="FB28" i="4"/>
  <c r="FB30" i="4"/>
  <c r="K2" i="5"/>
  <c r="BW136" i="4"/>
  <c r="BY54" i="4"/>
  <c r="CU6" i="4"/>
  <c r="GA8" i="4"/>
  <c r="CU14" i="4"/>
  <c r="GA4" i="4"/>
  <c r="CU7" i="4"/>
  <c r="CU11" i="4"/>
  <c r="FM30" i="4"/>
  <c r="GM12" i="4"/>
  <c r="FT11" i="4"/>
  <c r="FF13" i="4"/>
  <c r="FF11" i="4"/>
  <c r="FF18" i="4"/>
  <c r="FM42" i="4"/>
  <c r="GA10" i="4"/>
  <c r="GM14" i="4"/>
  <c r="CU30" i="4"/>
  <c r="CU9" i="4"/>
  <c r="CU16" i="4"/>
  <c r="GA21" i="4"/>
  <c r="CU31" i="4"/>
  <c r="CU18" i="4"/>
  <c r="CU13" i="4"/>
  <c r="EK10" i="4"/>
  <c r="FF15" i="4"/>
  <c r="GA9" i="4"/>
  <c r="CU22" i="4"/>
  <c r="CU33" i="4"/>
  <c r="FG18" i="4"/>
  <c r="GA6" i="4"/>
  <c r="CU19" i="4"/>
  <c r="CU15" i="4"/>
  <c r="CU34" i="4"/>
  <c r="FK30" i="4"/>
  <c r="FF22" i="4"/>
  <c r="GA15" i="4"/>
  <c r="GM7" i="4"/>
  <c r="CU10" i="4"/>
  <c r="CU114" i="4"/>
  <c r="CU32" i="4"/>
  <c r="FF10" i="4"/>
  <c r="FG21" i="4"/>
  <c r="FF17" i="4"/>
  <c r="GA12" i="4"/>
  <c r="GM8" i="4"/>
  <c r="CU8" i="4"/>
  <c r="CU62" i="4"/>
  <c r="FG16" i="4"/>
  <c r="FM15" i="4"/>
  <c r="GA13" i="4"/>
  <c r="GA5" i="4"/>
  <c r="GM9" i="4"/>
  <c r="CU42" i="4"/>
  <c r="CU12" i="4"/>
  <c r="FM21" i="4"/>
  <c r="FF23" i="4"/>
  <c r="FG15" i="4"/>
  <c r="GA14" i="4"/>
  <c r="GA16" i="4"/>
  <c r="GM4" i="4"/>
  <c r="CU28" i="4"/>
  <c r="GM6" i="4"/>
  <c r="CU21" i="4"/>
  <c r="CU36" i="4"/>
  <c r="FG10" i="4"/>
  <c r="CU29" i="4"/>
  <c r="O257" i="4"/>
  <c r="BY257" i="4"/>
  <c r="CS125" i="4"/>
  <c r="FP257" i="4"/>
  <c r="O381" i="4"/>
  <c r="O204" i="4"/>
  <c r="O240" i="4"/>
  <c r="BW240" i="4"/>
  <c r="FP98" i="4"/>
  <c r="FT126" i="4"/>
  <c r="FI240" i="4"/>
  <c r="GD240" i="4"/>
  <c r="DL15" i="4"/>
  <c r="DL24" i="4"/>
  <c r="FY4" i="4"/>
  <c r="GK31" i="4"/>
  <c r="DL13" i="4"/>
  <c r="DL18" i="4"/>
  <c r="DL67" i="4"/>
  <c r="DL21" i="4"/>
  <c r="FY12" i="4"/>
  <c r="GK16" i="4"/>
  <c r="GO257" i="4"/>
  <c r="GK15" i="4"/>
  <c r="DL32" i="4"/>
  <c r="DL35" i="4"/>
  <c r="DL66" i="4"/>
  <c r="FP5" i="4"/>
  <c r="GK25" i="4"/>
  <c r="DL65" i="4"/>
  <c r="FP31" i="4"/>
  <c r="FU5" i="4"/>
  <c r="DL28" i="4"/>
  <c r="DL34" i="4"/>
  <c r="DL57" i="4"/>
  <c r="DL30" i="4"/>
  <c r="DL31" i="4"/>
  <c r="FI29" i="4"/>
  <c r="FP10" i="4"/>
  <c r="DL36" i="4"/>
  <c r="DL29" i="4"/>
  <c r="DL37" i="4"/>
  <c r="FI30" i="4"/>
  <c r="FI4" i="4"/>
  <c r="DL19" i="4"/>
  <c r="DL17" i="4"/>
  <c r="DL48" i="4"/>
  <c r="DL26" i="4"/>
  <c r="DL46" i="4"/>
  <c r="DL27" i="4"/>
  <c r="GD381" i="4"/>
  <c r="FP240" i="4"/>
  <c r="FI204" i="4"/>
  <c r="EU240" i="4"/>
  <c r="GD257" i="4"/>
  <c r="FI257" i="4"/>
  <c r="FI381" i="4"/>
  <c r="FP204" i="4"/>
  <c r="GD204" i="4"/>
  <c r="FP381" i="4"/>
  <c r="GK204" i="4"/>
  <c r="GO240" i="4"/>
  <c r="EU204" i="4"/>
  <c r="FY15" i="4"/>
  <c r="AG12" i="13"/>
  <c r="GO204" i="4"/>
  <c r="CS50" i="4"/>
  <c r="GH5" i="4"/>
  <c r="CS141" i="4"/>
  <c r="FY29" i="4"/>
  <c r="CS8" i="4"/>
  <c r="FY10" i="4"/>
  <c r="CS26" i="4"/>
  <c r="CS155" i="4"/>
  <c r="CS28" i="4"/>
  <c r="CS37" i="4"/>
  <c r="CS90" i="4"/>
  <c r="CS79" i="4"/>
  <c r="AG16" i="15"/>
  <c r="AE16" i="15"/>
  <c r="FP80" i="4"/>
  <c r="FK29" i="4"/>
  <c r="FY6" i="4"/>
  <c r="FT121" i="4"/>
  <c r="G336" i="5"/>
  <c r="GK10" i="4"/>
  <c r="FI40" i="4"/>
  <c r="FB40" i="4"/>
  <c r="FI42" i="4"/>
  <c r="FK7" i="4"/>
  <c r="FP86" i="4"/>
  <c r="FT28" i="4"/>
  <c r="FT30" i="4"/>
  <c r="GB5" i="4"/>
  <c r="FY30" i="4"/>
  <c r="FY18" i="4"/>
  <c r="GH8" i="4"/>
  <c r="GH12" i="4"/>
  <c r="GK18" i="4"/>
  <c r="GK13" i="4"/>
  <c r="GK33" i="4"/>
  <c r="CS47" i="4"/>
  <c r="CS18" i="4"/>
  <c r="CS12" i="4"/>
  <c r="CS14" i="4"/>
  <c r="CS29" i="4"/>
  <c r="CS136" i="4"/>
  <c r="CS117" i="4"/>
  <c r="CS77" i="4"/>
  <c r="CS52" i="4"/>
  <c r="CS137" i="4"/>
  <c r="CS83" i="4"/>
  <c r="CS120" i="4"/>
  <c r="CS97" i="4"/>
  <c r="FB23" i="4"/>
  <c r="FI22" i="4"/>
  <c r="FK10" i="4"/>
  <c r="FT32" i="4"/>
  <c r="FT114" i="4"/>
  <c r="FY32" i="4"/>
  <c r="FY22" i="4"/>
  <c r="GH4" i="4"/>
  <c r="GK22" i="4"/>
  <c r="GK7" i="4"/>
  <c r="GK21" i="4"/>
  <c r="CS42" i="4"/>
  <c r="CS49" i="4"/>
  <c r="CS81" i="4"/>
  <c r="CS32" i="4"/>
  <c r="CS59" i="4"/>
  <c r="CS116" i="4"/>
  <c r="CS51" i="4"/>
  <c r="CS149" i="4"/>
  <c r="CS168" i="4"/>
  <c r="CS34" i="4"/>
  <c r="CS63" i="4"/>
  <c r="CS169" i="4"/>
  <c r="CS153" i="4"/>
  <c r="CS118" i="4"/>
  <c r="FB37" i="4"/>
  <c r="FP209" i="4"/>
  <c r="FT33" i="4"/>
  <c r="FT138" i="4"/>
  <c r="FY33" i="4"/>
  <c r="FY114" i="4"/>
  <c r="GH15" i="4"/>
  <c r="GH17" i="4"/>
  <c r="GK6" i="4"/>
  <c r="GK28" i="4"/>
  <c r="CV5" i="4"/>
  <c r="AD5" i="4" s="1"/>
  <c r="CS25" i="4"/>
  <c r="CS9" i="4"/>
  <c r="CS91" i="4"/>
  <c r="CS131" i="4"/>
  <c r="CS167" i="4"/>
  <c r="CS87" i="4"/>
  <c r="CS109" i="4"/>
  <c r="CS33" i="4"/>
  <c r="GI4" i="4"/>
  <c r="FR13" i="4"/>
  <c r="GP5" i="4"/>
  <c r="FB43" i="4"/>
  <c r="FK12" i="4"/>
  <c r="FK21" i="4"/>
  <c r="FP172" i="4"/>
  <c r="FT31" i="4"/>
  <c r="FT94" i="4"/>
  <c r="FY8" i="4"/>
  <c r="GI5" i="4"/>
  <c r="GH16" i="4"/>
  <c r="GH10" i="4"/>
  <c r="GK12" i="4"/>
  <c r="GK8" i="4"/>
  <c r="CS82" i="4"/>
  <c r="CS55" i="4"/>
  <c r="CS15" i="4"/>
  <c r="CS7" i="4"/>
  <c r="CS98" i="4"/>
  <c r="CS95" i="4"/>
  <c r="CS158" i="4"/>
  <c r="CS43" i="4"/>
  <c r="CS142" i="4"/>
  <c r="CS23" i="4"/>
  <c r="CS96" i="4"/>
  <c r="GF6" i="4"/>
  <c r="FK8" i="4"/>
  <c r="FB17" i="4"/>
  <c r="FB25" i="4"/>
  <c r="FB38" i="4"/>
  <c r="FK9" i="4"/>
  <c r="FP96" i="4"/>
  <c r="FP251" i="4"/>
  <c r="FT22" i="4"/>
  <c r="FY11" i="4"/>
  <c r="FY16" i="4"/>
  <c r="GH14" i="4"/>
  <c r="GH18" i="4"/>
  <c r="GK11" i="4"/>
  <c r="GK9" i="4"/>
  <c r="CS10" i="4"/>
  <c r="CS172" i="4"/>
  <c r="CS17" i="4"/>
  <c r="CS114" i="4"/>
  <c r="CS181" i="4"/>
  <c r="CS13" i="4"/>
  <c r="CS30" i="4"/>
  <c r="CS36" i="4"/>
  <c r="CS92" i="4"/>
  <c r="CS111" i="4"/>
  <c r="FT97" i="4"/>
  <c r="CS66" i="4"/>
  <c r="CS126" i="4"/>
  <c r="CS139" i="4"/>
  <c r="CS24" i="4"/>
  <c r="CS108" i="4"/>
  <c r="CS119" i="4"/>
  <c r="CS128" i="4"/>
  <c r="FB26" i="4"/>
  <c r="FI53" i="4"/>
  <c r="FI94" i="4"/>
  <c r="FK16" i="4"/>
  <c r="FK6" i="4"/>
  <c r="FP97" i="4"/>
  <c r="FP227" i="4"/>
  <c r="FT18" i="4"/>
  <c r="FY14" i="4"/>
  <c r="GH23" i="4"/>
  <c r="GK17" i="4"/>
  <c r="GK114" i="4"/>
  <c r="CS19" i="4"/>
  <c r="CS62" i="4"/>
  <c r="CS57" i="4"/>
  <c r="CS11" i="4"/>
  <c r="CS115" i="4"/>
  <c r="CS93" i="4"/>
  <c r="CS46" i="4"/>
  <c r="CS68" i="4"/>
  <c r="FP297" i="4"/>
  <c r="GH22" i="4"/>
  <c r="FK14" i="4"/>
  <c r="FK18" i="4"/>
  <c r="FT207" i="4"/>
  <c r="FY21" i="4"/>
  <c r="FY28" i="4"/>
  <c r="GH6" i="4"/>
  <c r="GH28" i="4"/>
  <c r="GK14" i="4"/>
  <c r="GK169" i="4"/>
  <c r="CS27" i="4"/>
  <c r="CS4" i="4"/>
  <c r="CS89" i="4"/>
  <c r="CS67" i="4"/>
  <c r="CS5" i="4"/>
  <c r="CS127" i="4"/>
  <c r="CS31" i="4"/>
  <c r="CS99" i="4"/>
  <c r="CS130" i="4"/>
  <c r="CS58" i="4"/>
  <c r="CS138" i="4"/>
  <c r="CS147" i="4"/>
  <c r="FK15" i="4"/>
  <c r="FT27" i="4"/>
  <c r="GB4" i="4"/>
  <c r="FY9" i="4"/>
  <c r="FW4" i="4"/>
  <c r="GH19" i="4"/>
  <c r="GK5" i="4"/>
  <c r="GK29" i="4"/>
  <c r="CS48" i="4"/>
  <c r="CS21" i="4"/>
  <c r="CS69" i="4"/>
  <c r="CS16" i="4"/>
  <c r="CS70" i="4"/>
  <c r="CS22" i="4"/>
  <c r="CS140" i="4"/>
  <c r="CS53" i="4"/>
  <c r="CS171" i="4"/>
  <c r="CS106" i="4"/>
  <c r="CS100" i="4"/>
  <c r="FK13" i="4"/>
  <c r="FP62" i="4"/>
  <c r="FY31" i="4"/>
  <c r="FY13" i="4"/>
  <c r="GH11" i="4"/>
  <c r="GH13" i="4"/>
  <c r="GK30" i="4"/>
  <c r="GK32" i="4"/>
  <c r="CS35" i="4"/>
  <c r="CS107" i="4"/>
  <c r="CS54" i="4"/>
  <c r="CS60" i="4"/>
  <c r="CS124" i="4"/>
  <c r="CS179" i="4"/>
  <c r="CS157" i="4"/>
  <c r="CS86" i="4"/>
  <c r="FP157" i="4"/>
  <c r="GH9" i="4"/>
  <c r="CS38" i="4"/>
  <c r="FB39" i="4"/>
  <c r="FY7" i="4"/>
  <c r="GH7" i="4"/>
  <c r="GH21" i="4"/>
  <c r="CS40" i="4"/>
  <c r="CS65" i="4"/>
  <c r="CS6" i="4"/>
  <c r="CS182" i="4"/>
  <c r="CS94" i="4"/>
  <c r="CS80" i="4"/>
  <c r="CS72" i="4"/>
  <c r="CS121" i="4"/>
  <c r="CS133" i="4"/>
  <c r="CS166" i="4"/>
  <c r="CS71" i="4"/>
  <c r="FW22" i="4"/>
  <c r="FW27" i="4"/>
  <c r="GK37" i="4"/>
  <c r="GK137" i="4"/>
  <c r="GK185" i="4"/>
  <c r="GK186" i="4"/>
  <c r="CQ4" i="4"/>
  <c r="CQ10" i="4"/>
  <c r="GK156" i="4"/>
  <c r="FM22" i="4"/>
  <c r="FM14" i="4"/>
  <c r="FM65" i="4"/>
  <c r="FN4" i="4"/>
  <c r="FW11" i="4"/>
  <c r="FW6" i="4"/>
  <c r="FW17" i="4"/>
  <c r="FW42" i="4"/>
  <c r="FW37" i="4"/>
  <c r="FW39" i="4"/>
  <c r="GK19" i="4"/>
  <c r="GK47" i="4"/>
  <c r="GK52" i="4"/>
  <c r="GK157" i="4"/>
  <c r="GK130" i="4"/>
  <c r="GK125" i="4"/>
  <c r="GK107" i="4"/>
  <c r="GK200" i="4"/>
  <c r="GK147" i="4"/>
  <c r="GK101" i="4"/>
  <c r="GK151" i="4"/>
  <c r="CV8" i="4"/>
  <c r="AD8" i="4" s="1"/>
  <c r="CV55" i="4"/>
  <c r="CV28" i="4"/>
  <c r="CQ21" i="4"/>
  <c r="CQ16" i="4"/>
  <c r="CQ11" i="4"/>
  <c r="FM23" i="4"/>
  <c r="FM28" i="4"/>
  <c r="FM46" i="4"/>
  <c r="FM9" i="4"/>
  <c r="FR29" i="4"/>
  <c r="GB13" i="4"/>
  <c r="GB21" i="4"/>
  <c r="FW10" i="4"/>
  <c r="FW21" i="4"/>
  <c r="FW18" i="4"/>
  <c r="GK94" i="4"/>
  <c r="GK54" i="4"/>
  <c r="GK166" i="4"/>
  <c r="GK127" i="4"/>
  <c r="GK168" i="4"/>
  <c r="GK181" i="4"/>
  <c r="GK140" i="4"/>
  <c r="GK55" i="4"/>
  <c r="GK213" i="4"/>
  <c r="GK72" i="4"/>
  <c r="CV6" i="4"/>
  <c r="CQ35" i="4"/>
  <c r="CQ14" i="4"/>
  <c r="CQ8" i="4"/>
  <c r="FR18" i="4"/>
  <c r="GD114" i="4"/>
  <c r="FM66" i="4"/>
  <c r="FM36" i="4"/>
  <c r="FM10" i="4"/>
  <c r="FM31" i="4"/>
  <c r="FR7" i="4"/>
  <c r="FW33" i="4"/>
  <c r="FW9" i="4"/>
  <c r="FW35" i="4"/>
  <c r="GD4" i="4"/>
  <c r="GK42" i="4"/>
  <c r="GK155" i="4"/>
  <c r="GK34" i="4"/>
  <c r="GK50" i="4"/>
  <c r="GK79" i="4"/>
  <c r="GK98" i="4"/>
  <c r="GK121" i="4"/>
  <c r="GK51" i="4"/>
  <c r="GK118" i="4"/>
  <c r="GK66" i="4"/>
  <c r="GK187" i="4"/>
  <c r="GK78" i="4"/>
  <c r="GK133" i="4"/>
  <c r="GK193" i="4"/>
  <c r="CV12" i="4"/>
  <c r="AD12" i="4" s="1"/>
  <c r="CQ9" i="4"/>
  <c r="CQ36" i="4"/>
  <c r="FM67" i="4"/>
  <c r="FM33" i="4"/>
  <c r="FM19" i="4"/>
  <c r="FR10" i="4"/>
  <c r="GB9" i="4"/>
  <c r="FW23" i="4"/>
  <c r="FW31" i="4"/>
  <c r="GD16" i="4"/>
  <c r="GK36" i="4"/>
  <c r="GK63" i="4"/>
  <c r="GK38" i="4"/>
  <c r="GK60" i="4"/>
  <c r="GK120" i="4"/>
  <c r="GK91" i="4"/>
  <c r="GK89" i="4"/>
  <c r="GK183" i="4"/>
  <c r="GK192" i="4"/>
  <c r="GK149" i="4"/>
  <c r="GK207" i="4"/>
  <c r="GK115" i="4"/>
  <c r="CV7" i="4"/>
  <c r="CV4" i="4"/>
  <c r="AD4" i="4" s="1"/>
  <c r="CV18" i="4"/>
  <c r="AD18" i="4" s="1"/>
  <c r="CV34" i="4"/>
  <c r="AD34" i="4" s="1"/>
  <c r="CQ6" i="4"/>
  <c r="CQ13" i="4"/>
  <c r="CQ55" i="4"/>
  <c r="FM13" i="4"/>
  <c r="FM55" i="4"/>
  <c r="FM62" i="4"/>
  <c r="FR8" i="4"/>
  <c r="GB7" i="4"/>
  <c r="GB6" i="4"/>
  <c r="GK124" i="4"/>
  <c r="GK81" i="4"/>
  <c r="GK116" i="4"/>
  <c r="GK182" i="4"/>
  <c r="GK212" i="4"/>
  <c r="GK131" i="4"/>
  <c r="GK106" i="4"/>
  <c r="GK216" i="4"/>
  <c r="GK26" i="4"/>
  <c r="GK126" i="4"/>
  <c r="GK176" i="4"/>
  <c r="GK111" i="4"/>
  <c r="GK218" i="4"/>
  <c r="GK209" i="4"/>
  <c r="GK196" i="4"/>
  <c r="GK203" i="4"/>
  <c r="GK215" i="4"/>
  <c r="CV36" i="4"/>
  <c r="AD36" i="4" s="1"/>
  <c r="CQ18" i="4"/>
  <c r="CQ29" i="4"/>
  <c r="GK163" i="4"/>
  <c r="GK49" i="4"/>
  <c r="GK70" i="4"/>
  <c r="GK44" i="4"/>
  <c r="GK154" i="4"/>
  <c r="FM12" i="4"/>
  <c r="FM155" i="4"/>
  <c r="FM24" i="4"/>
  <c r="FM91" i="4"/>
  <c r="FU28" i="4"/>
  <c r="FR21" i="4"/>
  <c r="FW29" i="4"/>
  <c r="GD7" i="4"/>
  <c r="GK95" i="4"/>
  <c r="GK171" i="4"/>
  <c r="GK82" i="4"/>
  <c r="GK206" i="4"/>
  <c r="GK198" i="4"/>
  <c r="GK96" i="4"/>
  <c r="GK109" i="4"/>
  <c r="GK69" i="4"/>
  <c r="GK97" i="4"/>
  <c r="GK87" i="4"/>
  <c r="GK117" i="4"/>
  <c r="GK217" i="4"/>
  <c r="GO5" i="4"/>
  <c r="CV13" i="4"/>
  <c r="AD13" i="4" s="1"/>
  <c r="CV11" i="4"/>
  <c r="AD11" i="4" s="1"/>
  <c r="CV21" i="4"/>
  <c r="AD21" i="4" s="1"/>
  <c r="CV32" i="4"/>
  <c r="AD32" i="4" s="1"/>
  <c r="CQ15" i="4"/>
  <c r="CQ34" i="4"/>
  <c r="FW20" i="4"/>
  <c r="FM114" i="4"/>
  <c r="FM29" i="4"/>
  <c r="FM8" i="4"/>
  <c r="FR15" i="4"/>
  <c r="GB14" i="4"/>
  <c r="FW32" i="4"/>
  <c r="FW7" i="4"/>
  <c r="GK80" i="4"/>
  <c r="GK184" i="4"/>
  <c r="GK48" i="4"/>
  <c r="GK40" i="4"/>
  <c r="GK158" i="4"/>
  <c r="GK73" i="4"/>
  <c r="GK59" i="4"/>
  <c r="GK77" i="4"/>
  <c r="GK153" i="4"/>
  <c r="GK143" i="4"/>
  <c r="CV31" i="4"/>
  <c r="AD31" i="4" s="1"/>
  <c r="CV33" i="4"/>
  <c r="CQ114" i="4"/>
  <c r="CQ7" i="4"/>
  <c r="FM32" i="4"/>
  <c r="FM11" i="4"/>
  <c r="FR12" i="4"/>
  <c r="FR9" i="4"/>
  <c r="GB10" i="4"/>
  <c r="GB15" i="4"/>
  <c r="FW8" i="4"/>
  <c r="FW25" i="4"/>
  <c r="FW40" i="4"/>
  <c r="FW13" i="4"/>
  <c r="FW30" i="4"/>
  <c r="GK136" i="4"/>
  <c r="GK172" i="4"/>
  <c r="GK24" i="4"/>
  <c r="GK46" i="4"/>
  <c r="GK23" i="4"/>
  <c r="GK139" i="4"/>
  <c r="GK86" i="4"/>
  <c r="GK100" i="4"/>
  <c r="GK112" i="4"/>
  <c r="GK214" i="4"/>
  <c r="GK119" i="4"/>
  <c r="GK142" i="4"/>
  <c r="GK188" i="4"/>
  <c r="CV22" i="4"/>
  <c r="CV35" i="4"/>
  <c r="AD35" i="4" s="1"/>
  <c r="CV16" i="4"/>
  <c r="CQ12" i="4"/>
  <c r="CQ30" i="4"/>
  <c r="FM6" i="4"/>
  <c r="FM17" i="4"/>
  <c r="FM35" i="4"/>
  <c r="FR16" i="4"/>
  <c r="FR28" i="4"/>
  <c r="FW14" i="4"/>
  <c r="FW34" i="4"/>
  <c r="FW36" i="4"/>
  <c r="GK65" i="4"/>
  <c r="GK35" i="4"/>
  <c r="GK108" i="4"/>
  <c r="GK90" i="4"/>
  <c r="GK58" i="4"/>
  <c r="GK92" i="4"/>
  <c r="GK83" i="4"/>
  <c r="GK71" i="4"/>
  <c r="GK128" i="4"/>
  <c r="GK150" i="4"/>
  <c r="GK210" i="4"/>
  <c r="GK20" i="4"/>
  <c r="GK88" i="4"/>
  <c r="GK132" i="4"/>
  <c r="CV29" i="4"/>
  <c r="AD29" i="4" s="1"/>
  <c r="CQ28" i="4"/>
  <c r="CQ31" i="4"/>
  <c r="FM18" i="4"/>
  <c r="FM16" i="4"/>
  <c r="FM7" i="4"/>
  <c r="FM4" i="4"/>
  <c r="FR6" i="4"/>
  <c r="GB8" i="4"/>
  <c r="GB12" i="4"/>
  <c r="FW26" i="4"/>
  <c r="FW38" i="4"/>
  <c r="FW16" i="4"/>
  <c r="FW28" i="4"/>
  <c r="FW24" i="4"/>
  <c r="GK93" i="4"/>
  <c r="GK62" i="4"/>
  <c r="GK179" i="4"/>
  <c r="GK208" i="4"/>
  <c r="GK43" i="4"/>
  <c r="GK57" i="4"/>
  <c r="GK53" i="4"/>
  <c r="GK68" i="4"/>
  <c r="GK141" i="4"/>
  <c r="GK164" i="4"/>
  <c r="GK211" i="4"/>
  <c r="GK170" i="4"/>
  <c r="GK99" i="4"/>
  <c r="GK84" i="4"/>
  <c r="GK39" i="4"/>
  <c r="GK134" i="4"/>
  <c r="CV30" i="4"/>
  <c r="AD30" i="4" s="1"/>
  <c r="CV10" i="4"/>
  <c r="CV9" i="4"/>
  <c r="AD9" i="4" s="1"/>
  <c r="CV15" i="4"/>
  <c r="CV14" i="4"/>
  <c r="AD14" i="4" s="1"/>
  <c r="CQ32" i="4"/>
  <c r="CQ22" i="4"/>
  <c r="FM90" i="4"/>
  <c r="FM34" i="4"/>
  <c r="FN29" i="4"/>
  <c r="FU15" i="4"/>
  <c r="FU11" i="4"/>
  <c r="GB16" i="4"/>
  <c r="FW15" i="4"/>
  <c r="FW12" i="4"/>
  <c r="FW19" i="4"/>
  <c r="GK67" i="4"/>
  <c r="GK167" i="4"/>
  <c r="GK27" i="4"/>
  <c r="GK138" i="4"/>
  <c r="GK199" i="4"/>
  <c r="GK173" i="4"/>
  <c r="GK56" i="4"/>
  <c r="GK61" i="4"/>
  <c r="CV114" i="4"/>
  <c r="AD114" i="4" s="1"/>
  <c r="CQ33" i="4"/>
  <c r="FP169" i="4"/>
  <c r="FP94" i="4"/>
  <c r="FP29" i="4"/>
  <c r="FP206" i="4"/>
  <c r="FP18" i="4"/>
  <c r="FP65" i="4"/>
  <c r="FP106" i="4"/>
  <c r="FP93" i="4"/>
  <c r="FP49" i="4"/>
  <c r="FP212" i="4"/>
  <c r="FP109" i="4"/>
  <c r="FU9" i="4"/>
  <c r="FT66" i="4"/>
  <c r="FT50" i="4"/>
  <c r="FT141" i="4"/>
  <c r="FT49" i="4"/>
  <c r="FT153" i="4"/>
  <c r="FT83" i="4"/>
  <c r="FT167" i="4"/>
  <c r="FT236" i="4"/>
  <c r="FR30" i="4"/>
  <c r="GD15" i="4"/>
  <c r="GD22" i="4"/>
  <c r="FP24" i="4"/>
  <c r="FP236" i="4"/>
  <c r="FP147" i="4"/>
  <c r="FP207" i="4"/>
  <c r="FP166" i="4"/>
  <c r="FP28" i="4"/>
  <c r="FP108" i="4"/>
  <c r="FP210" i="4"/>
  <c r="FP99" i="4"/>
  <c r="FT57" i="4"/>
  <c r="FT137" i="4"/>
  <c r="FU8" i="4"/>
  <c r="FT79" i="4"/>
  <c r="FT25" i="4"/>
  <c r="FT38" i="4"/>
  <c r="FT52" i="4"/>
  <c r="FT196" i="4"/>
  <c r="FT133" i="4"/>
  <c r="FR11" i="4"/>
  <c r="GD9" i="4"/>
  <c r="GD32" i="4"/>
  <c r="FP14" i="4"/>
  <c r="FP11" i="4"/>
  <c r="FP68" i="4"/>
  <c r="FP34" i="4"/>
  <c r="FP46" i="4"/>
  <c r="FP12" i="4"/>
  <c r="FP38" i="4"/>
  <c r="FP115" i="4"/>
  <c r="FP19" i="4"/>
  <c r="FP118" i="4"/>
  <c r="FP211" i="4"/>
  <c r="FP87" i="4"/>
  <c r="FU4" i="4"/>
  <c r="FT157" i="4"/>
  <c r="FU33" i="4"/>
  <c r="FT92" i="4"/>
  <c r="FT53" i="4"/>
  <c r="FU10" i="4"/>
  <c r="FU21" i="4"/>
  <c r="FT95" i="4"/>
  <c r="FT71" i="4"/>
  <c r="FT51" i="4"/>
  <c r="FT60" i="4"/>
  <c r="FR32" i="4"/>
  <c r="GD6" i="4"/>
  <c r="GD30" i="4"/>
  <c r="FP16" i="4"/>
  <c r="FP30" i="4"/>
  <c r="FP90" i="4"/>
  <c r="FP107" i="4"/>
  <c r="FP139" i="4"/>
  <c r="FP91" i="4"/>
  <c r="FP6" i="4"/>
  <c r="FP55" i="4"/>
  <c r="FP51" i="4"/>
  <c r="FP17" i="4"/>
  <c r="FP40" i="4"/>
  <c r="FP27" i="4"/>
  <c r="FP128" i="4"/>
  <c r="FP52" i="4"/>
  <c r="FP153" i="4"/>
  <c r="FT55" i="4"/>
  <c r="FT125" i="4"/>
  <c r="FU14" i="4"/>
  <c r="FT130" i="4"/>
  <c r="FU18" i="4"/>
  <c r="FT235" i="4"/>
  <c r="FT106" i="4"/>
  <c r="FT96" i="4"/>
  <c r="FR31" i="4"/>
  <c r="FR114" i="4"/>
  <c r="GD28" i="4"/>
  <c r="GD33" i="4"/>
  <c r="FP13" i="4"/>
  <c r="FP42" i="4"/>
  <c r="FP23" i="4"/>
  <c r="FP167" i="4"/>
  <c r="FP121" i="4"/>
  <c r="FP81" i="4"/>
  <c r="FP32" i="4"/>
  <c r="FP89" i="4"/>
  <c r="FP111" i="4"/>
  <c r="FP47" i="4"/>
  <c r="FP37" i="4"/>
  <c r="FP272" i="4"/>
  <c r="FP119" i="4"/>
  <c r="FU114" i="4"/>
  <c r="FU6" i="4"/>
  <c r="FT70" i="4"/>
  <c r="FT40" i="4"/>
  <c r="FU30" i="4"/>
  <c r="FT68" i="4"/>
  <c r="FT181" i="4"/>
  <c r="FT36" i="4"/>
  <c r="FT72" i="4"/>
  <c r="FT98" i="4"/>
  <c r="FT77" i="4"/>
  <c r="FU31" i="4"/>
  <c r="FT111" i="4"/>
  <c r="GD12" i="4"/>
  <c r="GD11" i="4"/>
  <c r="FP35" i="4"/>
  <c r="FP66" i="4"/>
  <c r="FP7" i="4"/>
  <c r="FP8" i="4"/>
  <c r="FP77" i="4"/>
  <c r="FP136" i="4"/>
  <c r="FP60" i="4"/>
  <c r="FP116" i="4"/>
  <c r="FP235" i="4"/>
  <c r="FP130" i="4"/>
  <c r="FP250" i="4"/>
  <c r="FT140" i="4"/>
  <c r="FT54" i="4"/>
  <c r="FT81" i="4"/>
  <c r="FT62" i="4"/>
  <c r="FT158" i="4"/>
  <c r="FT87" i="4"/>
  <c r="FT86" i="4"/>
  <c r="FT35" i="4"/>
  <c r="FR33" i="4"/>
  <c r="FR22" i="4"/>
  <c r="GD21" i="4"/>
  <c r="FP335" i="4"/>
  <c r="FP57" i="4"/>
  <c r="FP26" i="4"/>
  <c r="FP67" i="4"/>
  <c r="FP22" i="4"/>
  <c r="FP21" i="4"/>
  <c r="FP71" i="4"/>
  <c r="FP70" i="4"/>
  <c r="FP131" i="4"/>
  <c r="FP54" i="4"/>
  <c r="FP127" i="4"/>
  <c r="FP261" i="4"/>
  <c r="FP256" i="4"/>
  <c r="FT155" i="4"/>
  <c r="FU32" i="4"/>
  <c r="FT90" i="4"/>
  <c r="FT107" i="4"/>
  <c r="FU7" i="4"/>
  <c r="FT80" i="4"/>
  <c r="FT17" i="4"/>
  <c r="FT108" i="4"/>
  <c r="FT91" i="4"/>
  <c r="FT131" i="4"/>
  <c r="FT67" i="4"/>
  <c r="FT182" i="4"/>
  <c r="GD14" i="4"/>
  <c r="GD31" i="4"/>
  <c r="FP92" i="4"/>
  <c r="FP58" i="4"/>
  <c r="FP36" i="4"/>
  <c r="FP120" i="4"/>
  <c r="FP15" i="4"/>
  <c r="FP72" i="4"/>
  <c r="FP50" i="4"/>
  <c r="FP124" i="4"/>
  <c r="FP79" i="4"/>
  <c r="FP100" i="4"/>
  <c r="FP149" i="4"/>
  <c r="FP196" i="4"/>
  <c r="FT116" i="4"/>
  <c r="FU12" i="4"/>
  <c r="FT23" i="4"/>
  <c r="FT82" i="4"/>
  <c r="FT43" i="4"/>
  <c r="FT65" i="4"/>
  <c r="FT169" i="4"/>
  <c r="FT26" i="4"/>
  <c r="FT48" i="4"/>
  <c r="FT420" i="4"/>
  <c r="FT206" i="4"/>
  <c r="GD18" i="4"/>
  <c r="FP230" i="4"/>
  <c r="FP48" i="4"/>
  <c r="FP137" i="4"/>
  <c r="FP126" i="4"/>
  <c r="FP53" i="4"/>
  <c r="FP43" i="4"/>
  <c r="FP9" i="4"/>
  <c r="FP33" i="4"/>
  <c r="FP255" i="4"/>
  <c r="FP133" i="4"/>
  <c r="FP63" i="4"/>
  <c r="FP171" i="4"/>
  <c r="FP361" i="4"/>
  <c r="FP168" i="4"/>
  <c r="FP117" i="4"/>
  <c r="FT89" i="4"/>
  <c r="FU16" i="4"/>
  <c r="FU13" i="4"/>
  <c r="FT58" i="4"/>
  <c r="FT34" i="4"/>
  <c r="FT127" i="4"/>
  <c r="FT24" i="4"/>
  <c r="FT172" i="4"/>
  <c r="FT69" i="4"/>
  <c r="FT136" i="4"/>
  <c r="GD13" i="4"/>
  <c r="GD29" i="4"/>
  <c r="FP234" i="4"/>
  <c r="FT234" i="4"/>
  <c r="FP25" i="4"/>
  <c r="FP69" i="4"/>
  <c r="FP59" i="4"/>
  <c r="FP83" i="4"/>
  <c r="FP114" i="4"/>
  <c r="FP420" i="4"/>
  <c r="FP264" i="4"/>
  <c r="FP182" i="4"/>
  <c r="FP82" i="4"/>
  <c r="FP141" i="4"/>
  <c r="FP208" i="4"/>
  <c r="FP95" i="4"/>
  <c r="FP253" i="4"/>
  <c r="FT171" i="4"/>
  <c r="FU29" i="4"/>
  <c r="FT47" i="4"/>
  <c r="FT63" i="4"/>
  <c r="FT46" i="4"/>
  <c r="FT59" i="4"/>
  <c r="FT232" i="4"/>
  <c r="FT361" i="4"/>
  <c r="GD8" i="4"/>
  <c r="GD10" i="4"/>
  <c r="FP125" i="4"/>
  <c r="FP200" i="4"/>
  <c r="FP179" i="4"/>
  <c r="FP181" i="4"/>
  <c r="FP4" i="4"/>
  <c r="FP155" i="4"/>
  <c r="FP138" i="4"/>
  <c r="FP289" i="4"/>
  <c r="FP232" i="4"/>
  <c r="FP249" i="4"/>
  <c r="FP140" i="4"/>
  <c r="FP259" i="4"/>
  <c r="FP158" i="4"/>
  <c r="FP142" i="4"/>
  <c r="FT166" i="4"/>
  <c r="FT42" i="4"/>
  <c r="FT19" i="4"/>
  <c r="FU22" i="4"/>
  <c r="FT37" i="4"/>
  <c r="FT168" i="4"/>
  <c r="FT124" i="4"/>
  <c r="FT200" i="4"/>
  <c r="FT139" i="4"/>
  <c r="FT179" i="4"/>
  <c r="FT93" i="4"/>
  <c r="GO98" i="4"/>
  <c r="GD286" i="4"/>
  <c r="FI43" i="4"/>
  <c r="FI51" i="4"/>
  <c r="FI7" i="4"/>
  <c r="FI181" i="4"/>
  <c r="FI35" i="4"/>
  <c r="FI68" i="4"/>
  <c r="FI15" i="4"/>
  <c r="FI114" i="4"/>
  <c r="FI95" i="4"/>
  <c r="FI126" i="4"/>
  <c r="FN16" i="4"/>
  <c r="FN10" i="4"/>
  <c r="GI9" i="4"/>
  <c r="GF12" i="4"/>
  <c r="GD42" i="4"/>
  <c r="GD196" i="4"/>
  <c r="GD52" i="4"/>
  <c r="GD61" i="4"/>
  <c r="GD265" i="4"/>
  <c r="GD62" i="4"/>
  <c r="GD66" i="4"/>
  <c r="GD48" i="4"/>
  <c r="GD296" i="4"/>
  <c r="GD313" i="4"/>
  <c r="GD216" i="4"/>
  <c r="GD73" i="4"/>
  <c r="GD250" i="4"/>
  <c r="GD273" i="4"/>
  <c r="GD314" i="4"/>
  <c r="GD215" i="4"/>
  <c r="GO10" i="4"/>
  <c r="GD80" i="4"/>
  <c r="GD142" i="4"/>
  <c r="GD23" i="4"/>
  <c r="GD89" i="4"/>
  <c r="GD232" i="4"/>
  <c r="GD254" i="4"/>
  <c r="GD342" i="4"/>
  <c r="GD217" i="4"/>
  <c r="GO264" i="4"/>
  <c r="FI69" i="4"/>
  <c r="FI32" i="4"/>
  <c r="FI65" i="4"/>
  <c r="FI8" i="4"/>
  <c r="FI70" i="4"/>
  <c r="FI23" i="4"/>
  <c r="FI66" i="4"/>
  <c r="FI87" i="4"/>
  <c r="FI77" i="4"/>
  <c r="FI96" i="4"/>
  <c r="GI7" i="4"/>
  <c r="GF14" i="4"/>
  <c r="GD50" i="4"/>
  <c r="GD49" i="4"/>
  <c r="GD34" i="4"/>
  <c r="GD90" i="4"/>
  <c r="GD36" i="4"/>
  <c r="GD92" i="4"/>
  <c r="GD26" i="4"/>
  <c r="GD126" i="4"/>
  <c r="GD93" i="4"/>
  <c r="GD260" i="4"/>
  <c r="GD225" i="4"/>
  <c r="GD235" i="4"/>
  <c r="GD108" i="4"/>
  <c r="GD100" i="4"/>
  <c r="GD78" i="4"/>
  <c r="GD173" i="4"/>
  <c r="GD261" i="4"/>
  <c r="GD39" i="4"/>
  <c r="GD297" i="4"/>
  <c r="GO100" i="4"/>
  <c r="FI232" i="4"/>
  <c r="FI155" i="4"/>
  <c r="FI81" i="4"/>
  <c r="FI11" i="4"/>
  <c r="FI97" i="4"/>
  <c r="FI67" i="4"/>
  <c r="FI207" i="4"/>
  <c r="FI86" i="4"/>
  <c r="FI17" i="4"/>
  <c r="FN9" i="4"/>
  <c r="FN15" i="4"/>
  <c r="GD65" i="4"/>
  <c r="GD157" i="4"/>
  <c r="GD294" i="4"/>
  <c r="GD24" i="4"/>
  <c r="GD57" i="4"/>
  <c r="GD46" i="4"/>
  <c r="GD68" i="4"/>
  <c r="GD69" i="4"/>
  <c r="GD179" i="4"/>
  <c r="GD317" i="4"/>
  <c r="GD60" i="4"/>
  <c r="GD118" i="4"/>
  <c r="GD150" i="4"/>
  <c r="GD192" i="4"/>
  <c r="GD133" i="4"/>
  <c r="GD149" i="4"/>
  <c r="GD188" i="4"/>
  <c r="GO62" i="4"/>
  <c r="FI125" i="4"/>
  <c r="FI82" i="4"/>
  <c r="FI55" i="4"/>
  <c r="FI25" i="4"/>
  <c r="FI158" i="4"/>
  <c r="FI27" i="4"/>
  <c r="FI157" i="4"/>
  <c r="FI72" i="4"/>
  <c r="FI71" i="4"/>
  <c r="FI47" i="4"/>
  <c r="FN14" i="4"/>
  <c r="FN8" i="4"/>
  <c r="GD206" i="4"/>
  <c r="GD17" i="4"/>
  <c r="GD166" i="4"/>
  <c r="GD19" i="4"/>
  <c r="GD58" i="4"/>
  <c r="GD138" i="4"/>
  <c r="GD59" i="4"/>
  <c r="GD77" i="4"/>
  <c r="GD167" i="4"/>
  <c r="GD94" i="4"/>
  <c r="GD328" i="4"/>
  <c r="GD249" i="4"/>
  <c r="GD120" i="4"/>
  <c r="GD128" i="4"/>
  <c r="GD164" i="4"/>
  <c r="GD289" i="4"/>
  <c r="GD329" i="4"/>
  <c r="GD316" i="4"/>
  <c r="FI234" i="4"/>
  <c r="FI38" i="4"/>
  <c r="FI49" i="4"/>
  <c r="FI79" i="4"/>
  <c r="FI6" i="4"/>
  <c r="FI57" i="4"/>
  <c r="FI140" i="4"/>
  <c r="FI59" i="4"/>
  <c r="FI106" i="4"/>
  <c r="FI116" i="4"/>
  <c r="FN7" i="4"/>
  <c r="GI6" i="4"/>
  <c r="GD124" i="4"/>
  <c r="GD27" i="4"/>
  <c r="GD43" i="4"/>
  <c r="GD137" i="4"/>
  <c r="GD53" i="4"/>
  <c r="GD25" i="4"/>
  <c r="GD139" i="4"/>
  <c r="GD86" i="4"/>
  <c r="GD169" i="4"/>
  <c r="GD96" i="4"/>
  <c r="GD115" i="4"/>
  <c r="GD255" i="4"/>
  <c r="GD272" i="4"/>
  <c r="GD301" i="4"/>
  <c r="GD218" i="4"/>
  <c r="GD209" i="4"/>
  <c r="GD44" i="4"/>
  <c r="GD134" i="4"/>
  <c r="GO207" i="4"/>
  <c r="FI196" i="4"/>
  <c r="FI58" i="4"/>
  <c r="FI10" i="4"/>
  <c r="FI130" i="4"/>
  <c r="FI9" i="4"/>
  <c r="FI18" i="4"/>
  <c r="FI92" i="4"/>
  <c r="FI139" i="4"/>
  <c r="FI111" i="4"/>
  <c r="FI54" i="4"/>
  <c r="FN6" i="4"/>
  <c r="GI8" i="4"/>
  <c r="GD116" i="4"/>
  <c r="GD38" i="4"/>
  <c r="GD37" i="4"/>
  <c r="GD107" i="4"/>
  <c r="GD200" i="4"/>
  <c r="GD83" i="4"/>
  <c r="GD71" i="4"/>
  <c r="GD172" i="4"/>
  <c r="GD119" i="4"/>
  <c r="GD147" i="4"/>
  <c r="GD280" i="4"/>
  <c r="GD268" i="4"/>
  <c r="GD185" i="4"/>
  <c r="GD236" i="4"/>
  <c r="GD293" i="4"/>
  <c r="GD246" i="4"/>
  <c r="GD228" i="4"/>
  <c r="GO77" i="4"/>
  <c r="FI26" i="4"/>
  <c r="FI33" i="4"/>
  <c r="FI137" i="4"/>
  <c r="FI31" i="4"/>
  <c r="FI90" i="4"/>
  <c r="FI127" i="4"/>
  <c r="FI16" i="4"/>
  <c r="FI83" i="4"/>
  <c r="FI236" i="4"/>
  <c r="FI50" i="4"/>
  <c r="FN12" i="4"/>
  <c r="FN30" i="4"/>
  <c r="GF7" i="4"/>
  <c r="GD182" i="4"/>
  <c r="GD63" i="4"/>
  <c r="GD97" i="4"/>
  <c r="GD130" i="4"/>
  <c r="GD70" i="4"/>
  <c r="GD181" i="4"/>
  <c r="GD51" i="4"/>
  <c r="GD141" i="4"/>
  <c r="GD106" i="4"/>
  <c r="GD264" i="4"/>
  <c r="GD213" i="4"/>
  <c r="GD198" i="4"/>
  <c r="GD298" i="4"/>
  <c r="GD203" i="4"/>
  <c r="GD251" i="4"/>
  <c r="GD186" i="4"/>
  <c r="GD336" i="4"/>
  <c r="GO94" i="4"/>
  <c r="GD54" i="4"/>
  <c r="GD153" i="4"/>
  <c r="GD91" i="4"/>
  <c r="GD136" i="4"/>
  <c r="GD252" i="4"/>
  <c r="GD266" i="4"/>
  <c r="GD291" i="4"/>
  <c r="GD132" i="4"/>
  <c r="GO55" i="4"/>
  <c r="FI14" i="4"/>
  <c r="FI13" i="4"/>
  <c r="FI24" i="4"/>
  <c r="FI19" i="4"/>
  <c r="FI420" i="4"/>
  <c r="FI171" i="4"/>
  <c r="FI34" i="4"/>
  <c r="FI141" i="4"/>
  <c r="FI167" i="4"/>
  <c r="FI63" i="4"/>
  <c r="FN18" i="4"/>
  <c r="GI14" i="4"/>
  <c r="GF8" i="4"/>
  <c r="GD193" i="4"/>
  <c r="GD171" i="4"/>
  <c r="GD127" i="4"/>
  <c r="GD125" i="4"/>
  <c r="GD121" i="4"/>
  <c r="GD72" i="4"/>
  <c r="GD98" i="4"/>
  <c r="GD253" i="4"/>
  <c r="GD256" i="4"/>
  <c r="GD143" i="4"/>
  <c r="GD300" i="4"/>
  <c r="GD295" i="4"/>
  <c r="GD361" i="4"/>
  <c r="GD210" i="4"/>
  <c r="GD112" i="4"/>
  <c r="GD238" i="4"/>
  <c r="GD151" i="4"/>
  <c r="GO114" i="4"/>
  <c r="GD156" i="4"/>
  <c r="FI28" i="4"/>
  <c r="FI62" i="4"/>
  <c r="FI200" i="4"/>
  <c r="FI46" i="4"/>
  <c r="FI121" i="4"/>
  <c r="FI80" i="4"/>
  <c r="FI107" i="4"/>
  <c r="FI136" i="4"/>
  <c r="FI98" i="4"/>
  <c r="FI169" i="4"/>
  <c r="FI182" i="4"/>
  <c r="FN13" i="4"/>
  <c r="FN21" i="4"/>
  <c r="GI12" i="4"/>
  <c r="GD99" i="4"/>
  <c r="GD82" i="4"/>
  <c r="GD79" i="4"/>
  <c r="GD168" i="4"/>
  <c r="GD140" i="4"/>
  <c r="GD158" i="4"/>
  <c r="GD35" i="4"/>
  <c r="GD56" i="4"/>
  <c r="GD183" i="4"/>
  <c r="GD184" i="4"/>
  <c r="GD187" i="4"/>
  <c r="GD208" i="4"/>
  <c r="GD211" i="4"/>
  <c r="GD20" i="4"/>
  <c r="GD101" i="4"/>
  <c r="GD292" i="4"/>
  <c r="GD234" i="4"/>
  <c r="FI36" i="4"/>
  <c r="FI48" i="4"/>
  <c r="FI52" i="4"/>
  <c r="FI91" i="4"/>
  <c r="FI37" i="4"/>
  <c r="FI166" i="4"/>
  <c r="FI131" i="4"/>
  <c r="FI179" i="4"/>
  <c r="FI235" i="4"/>
  <c r="FI172" i="4"/>
  <c r="FI206" i="4"/>
  <c r="GF9" i="4"/>
  <c r="GD47" i="4"/>
  <c r="GD40" i="4"/>
  <c r="GD95" i="4"/>
  <c r="GD87" i="4"/>
  <c r="GD207" i="4"/>
  <c r="GD84" i="4"/>
  <c r="GD155" i="4"/>
  <c r="GD67" i="4"/>
  <c r="GD154" i="4"/>
  <c r="GD88" i="4"/>
  <c r="GD176" i="4"/>
  <c r="GD307" i="4"/>
  <c r="GD259" i="4"/>
  <c r="GD199" i="4"/>
  <c r="GD170" i="4"/>
  <c r="GD358" i="4"/>
  <c r="GD302" i="4"/>
  <c r="GO16" i="4"/>
  <c r="GO79" i="4"/>
  <c r="FI124" i="4"/>
  <c r="FI168" i="4"/>
  <c r="FI133" i="4"/>
  <c r="FI138" i="4"/>
  <c r="FI21" i="4"/>
  <c r="FI12" i="4"/>
  <c r="FI89" i="4"/>
  <c r="FI93" i="4"/>
  <c r="GD109" i="4"/>
  <c r="GD131" i="4"/>
  <c r="GD237" i="4"/>
  <c r="GD117" i="4"/>
  <c r="GD227" i="4"/>
  <c r="GD55" i="4"/>
  <c r="GD81" i="4"/>
  <c r="GD420" i="4"/>
  <c r="GD299" i="4"/>
  <c r="GD320" i="4"/>
  <c r="GD306" i="4"/>
  <c r="GD321" i="4"/>
  <c r="GD111" i="4"/>
  <c r="GD212" i="4"/>
  <c r="GD214" i="4"/>
  <c r="GD308" i="4"/>
  <c r="GO89" i="4"/>
  <c r="CQ90" i="4"/>
  <c r="GD278" i="4"/>
  <c r="GA19" i="4"/>
  <c r="GB11" i="4"/>
  <c r="GP4" i="4"/>
  <c r="GO30" i="4"/>
  <c r="GO13" i="4"/>
  <c r="GO51" i="4"/>
  <c r="GO255" i="4"/>
  <c r="GO65" i="4"/>
  <c r="GO127" i="4"/>
  <c r="GO168" i="4"/>
  <c r="GO121" i="4"/>
  <c r="GO209" i="4"/>
  <c r="CQ17" i="4"/>
  <c r="GO230" i="4"/>
  <c r="GO136" i="4"/>
  <c r="GO138" i="4"/>
  <c r="GO31" i="4"/>
  <c r="GO92" i="4"/>
  <c r="GO58" i="4"/>
  <c r="GO119" i="4"/>
  <c r="GO86" i="4"/>
  <c r="GO206" i="4"/>
  <c r="GO42" i="4"/>
  <c r="GO124" i="4"/>
  <c r="GO111" i="4"/>
  <c r="GO87" i="4"/>
  <c r="GO106" i="4"/>
  <c r="GO259" i="4"/>
  <c r="CV62" i="4"/>
  <c r="AD62" i="4" s="1"/>
  <c r="CV42" i="4"/>
  <c r="AD42" i="4" s="1"/>
  <c r="CQ19" i="4"/>
  <c r="GA23" i="4"/>
  <c r="GB18" i="4"/>
  <c r="GO278" i="4"/>
  <c r="GP9" i="4"/>
  <c r="GO91" i="4"/>
  <c r="GO25" i="4"/>
  <c r="GO117" i="4"/>
  <c r="GO69" i="4"/>
  <c r="GO71" i="4"/>
  <c r="GO171" i="4"/>
  <c r="GO131" i="4"/>
  <c r="GO147" i="4"/>
  <c r="GO235" i="4"/>
  <c r="GO212" i="4"/>
  <c r="GO52" i="4"/>
  <c r="CQ23" i="4"/>
  <c r="GA22" i="4"/>
  <c r="GO7" i="4"/>
  <c r="GO18" i="4"/>
  <c r="GO200" i="4"/>
  <c r="GP12" i="4"/>
  <c r="GO59" i="4"/>
  <c r="GO208" i="4"/>
  <c r="GO47" i="4"/>
  <c r="GO80" i="4"/>
  <c r="GO82" i="4"/>
  <c r="GO60" i="4"/>
  <c r="GO29" i="4"/>
  <c r="GO109" i="4"/>
  <c r="GO97" i="4"/>
  <c r="CQ42" i="4"/>
  <c r="GA17" i="4"/>
  <c r="GO34" i="4"/>
  <c r="GO66" i="4"/>
  <c r="GO6" i="4"/>
  <c r="GO14" i="4"/>
  <c r="GO36" i="4"/>
  <c r="GO139" i="4"/>
  <c r="GO167" i="4"/>
  <c r="GO116" i="4"/>
  <c r="GO49" i="4"/>
  <c r="GO40" i="4"/>
  <c r="GO32" i="4"/>
  <c r="GO227" i="4"/>
  <c r="GO120" i="4"/>
  <c r="GO236" i="4"/>
  <c r="CV19" i="4"/>
  <c r="AD19" i="4" s="1"/>
  <c r="GA11" i="4"/>
  <c r="GO81" i="4"/>
  <c r="GO4" i="4"/>
  <c r="GO11" i="4"/>
  <c r="GO33" i="4"/>
  <c r="GO46" i="4"/>
  <c r="GO83" i="4"/>
  <c r="GO169" i="4"/>
  <c r="GO54" i="4"/>
  <c r="GO157" i="4"/>
  <c r="GO96" i="4"/>
  <c r="GO24" i="4"/>
  <c r="GO90" i="4"/>
  <c r="GO99" i="4"/>
  <c r="GO251" i="4"/>
  <c r="GO261" i="4"/>
  <c r="CS150" i="4"/>
  <c r="CQ62" i="4"/>
  <c r="GD335" i="4"/>
  <c r="GP7" i="4"/>
  <c r="GO21" i="4"/>
  <c r="GO35" i="4"/>
  <c r="GO155" i="4"/>
  <c r="GO53" i="4"/>
  <c r="GO141" i="4"/>
  <c r="GO67" i="4"/>
  <c r="GO50" i="4"/>
  <c r="GO166" i="4"/>
  <c r="GO28" i="4"/>
  <c r="GO57" i="4"/>
  <c r="GO253" i="4"/>
  <c r="GO108" i="4"/>
  <c r="GO210" i="4"/>
  <c r="GO149" i="4"/>
  <c r="CS112" i="4"/>
  <c r="CS56" i="4"/>
  <c r="CS164" i="4"/>
  <c r="GO8" i="4"/>
  <c r="GO22" i="4"/>
  <c r="GO17" i="4"/>
  <c r="GO23" i="4"/>
  <c r="GO95" i="4"/>
  <c r="GO63" i="4"/>
  <c r="GO19" i="4"/>
  <c r="GO43" i="4"/>
  <c r="GO142" i="4"/>
  <c r="GO118" i="4"/>
  <c r="GO211" i="4"/>
  <c r="GD230" i="4"/>
  <c r="GO335" i="4"/>
  <c r="GD163" i="4"/>
  <c r="GB22" i="4"/>
  <c r="GO15" i="4"/>
  <c r="GO26" i="4"/>
  <c r="GO179" i="4"/>
  <c r="GO48" i="4"/>
  <c r="GO196" i="4"/>
  <c r="GO182" i="4"/>
  <c r="GO38" i="4"/>
  <c r="GO27" i="4"/>
  <c r="GO137" i="4"/>
  <c r="GO72" i="4"/>
  <c r="GO128" i="4"/>
  <c r="CS84" i="4"/>
  <c r="GA18" i="4"/>
  <c r="GP8" i="4"/>
  <c r="GP6" i="4"/>
  <c r="GO256" i="4"/>
  <c r="GO232" i="4"/>
  <c r="GO158" i="4"/>
  <c r="GO172" i="4"/>
  <c r="GO37" i="4"/>
  <c r="GO70" i="4"/>
  <c r="GO107" i="4"/>
  <c r="GO272" i="4"/>
  <c r="GO133" i="4"/>
  <c r="CS143" i="4"/>
  <c r="CQ65" i="4"/>
  <c r="GO234" i="4"/>
  <c r="GO9" i="4"/>
  <c r="GO68" i="4"/>
  <c r="GO12" i="4"/>
  <c r="GP14" i="4"/>
  <c r="GO140" i="4"/>
  <c r="GO126" i="4"/>
  <c r="GO93" i="4"/>
  <c r="GO249" i="4"/>
  <c r="GO153" i="4"/>
  <c r="GO130" i="4"/>
  <c r="GO125" i="4"/>
  <c r="GO181" i="4"/>
  <c r="GO115" i="4"/>
  <c r="GO250" i="4"/>
  <c r="GO289" i="4"/>
  <c r="GD282" i="4"/>
  <c r="GD322" i="4"/>
  <c r="GO163" i="4"/>
  <c r="CS163" i="4"/>
  <c r="EU163" i="4"/>
  <c r="FI163" i="4"/>
  <c r="FP163" i="4"/>
  <c r="FI282" i="4"/>
  <c r="FP282" i="4"/>
  <c r="GO282" i="4"/>
  <c r="O282" i="4"/>
  <c r="O163" i="4"/>
  <c r="FI278" i="4"/>
  <c r="FP278" i="4"/>
  <c r="O278" i="4"/>
  <c r="O230" i="4"/>
  <c r="O234" i="4"/>
  <c r="O156" i="4"/>
  <c r="O335" i="4"/>
  <c r="FI335" i="4"/>
  <c r="FT335" i="4"/>
  <c r="CS156" i="4"/>
  <c r="FI156" i="4"/>
  <c r="GO156" i="4"/>
  <c r="FI230" i="4"/>
  <c r="FP156" i="4"/>
  <c r="CS154" i="4"/>
  <c r="CS20" i="4"/>
  <c r="CU136" i="4"/>
  <c r="CU86" i="4"/>
  <c r="CU89" i="4"/>
  <c r="CU81" i="4"/>
  <c r="CU182" i="4"/>
  <c r="CU23" i="4"/>
  <c r="CV23" i="4"/>
  <c r="AD23" i="4" s="1"/>
  <c r="CU65" i="4"/>
  <c r="CU168" i="4"/>
  <c r="CS183" i="4"/>
  <c r="CS101" i="4"/>
  <c r="CS132" i="4"/>
  <c r="CU79" i="4"/>
  <c r="CU46" i="4"/>
  <c r="CU127" i="4"/>
  <c r="CU116" i="4"/>
  <c r="CU137" i="4"/>
  <c r="CS184" i="4"/>
  <c r="CS176" i="4"/>
  <c r="CS39" i="4"/>
  <c r="CU71" i="4"/>
  <c r="CU171" i="4"/>
  <c r="CU69" i="4"/>
  <c r="CU58" i="4"/>
  <c r="CU70" i="4"/>
  <c r="CU179" i="4"/>
  <c r="CU93" i="4"/>
  <c r="CS78" i="4"/>
  <c r="CQ27" i="4"/>
  <c r="CU181" i="4"/>
  <c r="CU37" i="4"/>
  <c r="CU54" i="4"/>
  <c r="CU50" i="4"/>
  <c r="CU51" i="4"/>
  <c r="CU141" i="4"/>
  <c r="CU83" i="4"/>
  <c r="CU53" i="4"/>
  <c r="CU138" i="4"/>
  <c r="CU38" i="4"/>
  <c r="CU124" i="4"/>
  <c r="CU121" i="4"/>
  <c r="B337" i="5"/>
  <c r="D337" i="5" s="1"/>
  <c r="F336" i="5"/>
  <c r="H325" i="5" s="1"/>
  <c r="CS88" i="4"/>
  <c r="CU67" i="4"/>
  <c r="CU25" i="4"/>
  <c r="CU63" i="4"/>
  <c r="CS185" i="4"/>
  <c r="CS151" i="4"/>
  <c r="CU80" i="4"/>
  <c r="CU166" i="4"/>
  <c r="CU24" i="4"/>
  <c r="CU140" i="4"/>
  <c r="CS170" i="4"/>
  <c r="CS44" i="4"/>
  <c r="CU92" i="4"/>
  <c r="CU94" i="4"/>
  <c r="CU82" i="4"/>
  <c r="CU49" i="4"/>
  <c r="CU90" i="4"/>
  <c r="CS134" i="4"/>
  <c r="CS186" i="4"/>
  <c r="CS73" i="4"/>
  <c r="CU126" i="4"/>
  <c r="CV65" i="4"/>
  <c r="CU77" i="4"/>
  <c r="CU27" i="4"/>
  <c r="CU68" i="4"/>
  <c r="CU66" i="4"/>
  <c r="CU40" i="4"/>
  <c r="CU59" i="4"/>
  <c r="CU57" i="4"/>
  <c r="CU169" i="4"/>
  <c r="CS61" i="4"/>
  <c r="CQ120" i="4"/>
  <c r="CU48" i="4"/>
  <c r="CU155" i="4"/>
  <c r="CU107" i="4"/>
  <c r="CU91" i="4"/>
  <c r="CV90" i="4"/>
  <c r="AD90" i="4" s="1"/>
  <c r="CU125" i="4"/>
  <c r="CU130" i="4"/>
  <c r="CU43" i="4"/>
  <c r="CU167" i="4"/>
  <c r="CU157" i="4"/>
  <c r="CU26" i="4"/>
  <c r="CU17" i="4"/>
  <c r="CV17" i="4"/>
  <c r="AD17" i="4" s="1"/>
  <c r="CU47" i="4"/>
  <c r="CU131" i="4"/>
  <c r="CU139" i="4"/>
  <c r="CS173" i="4"/>
  <c r="AC12" i="13"/>
  <c r="EU186" i="4"/>
  <c r="EU151" i="4"/>
  <c r="EU238" i="4"/>
  <c r="EU217" i="4"/>
  <c r="EU254" i="4"/>
  <c r="EU173" i="4"/>
  <c r="EU228" i="4"/>
  <c r="EU218" i="4"/>
  <c r="EU203" i="4"/>
  <c r="EU187" i="4"/>
  <c r="EU132" i="4"/>
  <c r="EU101" i="4"/>
  <c r="EU44" i="4"/>
  <c r="EU246" i="4"/>
  <c r="EU216" i="4"/>
  <c r="EU215" i="4"/>
  <c r="GK205" i="4"/>
  <c r="GO320" i="4"/>
  <c r="GO134" i="4"/>
  <c r="GO188" i="4"/>
  <c r="GO217" i="4"/>
  <c r="GO302" i="4"/>
  <c r="GO205" i="4"/>
  <c r="GO342" i="4"/>
  <c r="GO228" i="4"/>
  <c r="GO252" i="4"/>
  <c r="GO321" i="4"/>
  <c r="GO307" i="4"/>
  <c r="GO298" i="4"/>
  <c r="GO328" i="4"/>
  <c r="GO192" i="4"/>
  <c r="GO214" i="4"/>
  <c r="GO218" i="4"/>
  <c r="GO306" i="4"/>
  <c r="GO187" i="4"/>
  <c r="GO280" i="4"/>
  <c r="GO150" i="4"/>
  <c r="GO112" i="4"/>
  <c r="GO297" i="4"/>
  <c r="GO260" i="4"/>
  <c r="GO216" i="4"/>
  <c r="GO73" i="4"/>
  <c r="GO295" i="4"/>
  <c r="GO316" i="4"/>
  <c r="GO237" i="4"/>
  <c r="GO313" i="4"/>
  <c r="GO198" i="4"/>
  <c r="GO164" i="4"/>
  <c r="GO173" i="4"/>
  <c r="GO199" i="4"/>
  <c r="GO20" i="4"/>
  <c r="GO293" i="4"/>
  <c r="GO238" i="4"/>
  <c r="GO266" i="4"/>
  <c r="GO213" i="4"/>
  <c r="GO44" i="4"/>
  <c r="GO299" i="4"/>
  <c r="GO143" i="4"/>
  <c r="GO300" i="4"/>
  <c r="GO301" i="4"/>
  <c r="GO170" i="4"/>
  <c r="GO336" i="4"/>
  <c r="GO101" i="4"/>
  <c r="GO132" i="4"/>
  <c r="GO322" i="4"/>
  <c r="GO317" i="4"/>
  <c r="GO254" i="4"/>
  <c r="GO265" i="4"/>
  <c r="GO246" i="4"/>
  <c r="GO294" i="4"/>
  <c r="GO184" i="4"/>
  <c r="GO185" i="4"/>
  <c r="GO273" i="4"/>
  <c r="GO314" i="4"/>
  <c r="GO286" i="4"/>
  <c r="GO151" i="4"/>
  <c r="GO203" i="4"/>
  <c r="GO39" i="4"/>
  <c r="GO84" i="4"/>
  <c r="GO183" i="4"/>
  <c r="GO225" i="4"/>
  <c r="GO231" i="4"/>
  <c r="GO296" i="4"/>
  <c r="GO193" i="4"/>
  <c r="GO88" i="4"/>
  <c r="GO268" i="4"/>
  <c r="GO291" i="4"/>
  <c r="GO329" i="4"/>
  <c r="GO215" i="4"/>
  <c r="GO292" i="4"/>
  <c r="GO308" i="4"/>
  <c r="GO239" i="4"/>
  <c r="GO186" i="4"/>
  <c r="GO154" i="4"/>
  <c r="GO56" i="4"/>
  <c r="GO61" i="4"/>
  <c r="GO176" i="4"/>
  <c r="GO78" i="4"/>
  <c r="GD239" i="4"/>
  <c r="FY80" i="4"/>
  <c r="GD231" i="4"/>
  <c r="GD205" i="4"/>
  <c r="FY46" i="4"/>
  <c r="GB17" i="4"/>
  <c r="FY35" i="4"/>
  <c r="FY116" i="4"/>
  <c r="FY47" i="4"/>
  <c r="FY124" i="4"/>
  <c r="FY67" i="4"/>
  <c r="FY54" i="4"/>
  <c r="FY49" i="4"/>
  <c r="FY53" i="4"/>
  <c r="FY90" i="4"/>
  <c r="FY62" i="4"/>
  <c r="FY155" i="4"/>
  <c r="FY57" i="4"/>
  <c r="FY91" i="4"/>
  <c r="FY81" i="4"/>
  <c r="FY23" i="4"/>
  <c r="FY26" i="4"/>
  <c r="FY55" i="4"/>
  <c r="FY48" i="4"/>
  <c r="FY137" i="4"/>
  <c r="FY92" i="4"/>
  <c r="FY69" i="4"/>
  <c r="FY66" i="4"/>
  <c r="FY136" i="4"/>
  <c r="FW231" i="4"/>
  <c r="FY36" i="4"/>
  <c r="FY68" i="4"/>
  <c r="FY89" i="4"/>
  <c r="FY19" i="4"/>
  <c r="FY138" i="4"/>
  <c r="FY126" i="4"/>
  <c r="FY27" i="4"/>
  <c r="FY34" i="4"/>
  <c r="FY58" i="4"/>
  <c r="FY37" i="4"/>
  <c r="FY24" i="4"/>
  <c r="FW205" i="4"/>
  <c r="FY65" i="4"/>
  <c r="FY130" i="4"/>
  <c r="GB19" i="4"/>
  <c r="GB23" i="4"/>
  <c r="FY17" i="4"/>
  <c r="FY42" i="4"/>
  <c r="FY43" i="4"/>
  <c r="FP88" i="4"/>
  <c r="FP294" i="4"/>
  <c r="FP296" i="4"/>
  <c r="FP307" i="4"/>
  <c r="FP39" i="4"/>
  <c r="FP320" i="4"/>
  <c r="FP273" i="4"/>
  <c r="FP193" i="4"/>
  <c r="FP260" i="4"/>
  <c r="FP306" i="4"/>
  <c r="FP203" i="4"/>
  <c r="FP239" i="4"/>
  <c r="FP188" i="4"/>
  <c r="FP112" i="4"/>
  <c r="FP293" i="4"/>
  <c r="FP214" i="4"/>
  <c r="FP186" i="4"/>
  <c r="FP313" i="4"/>
  <c r="FP176" i="4"/>
  <c r="FP143" i="4"/>
  <c r="FP150" i="4"/>
  <c r="FP78" i="4"/>
  <c r="FP20" i="4"/>
  <c r="FP358" i="4"/>
  <c r="FP286" i="4"/>
  <c r="FP317" i="4"/>
  <c r="FP342" i="4"/>
  <c r="FP316" i="4"/>
  <c r="FP134" i="4"/>
  <c r="FP183" i="4"/>
  <c r="FP164" i="4"/>
  <c r="FP192" i="4"/>
  <c r="FP170" i="4"/>
  <c r="FP44" i="4"/>
  <c r="FP228" i="4"/>
  <c r="FP301" i="4"/>
  <c r="FP238" i="4"/>
  <c r="FP187" i="4"/>
  <c r="FP246" i="4"/>
  <c r="FP336" i="4"/>
  <c r="FP213" i="4"/>
  <c r="FP185" i="4"/>
  <c r="FP101" i="4"/>
  <c r="FP73" i="4"/>
  <c r="FP231" i="4"/>
  <c r="FP151" i="4"/>
  <c r="FP280" i="4"/>
  <c r="FP215" i="4"/>
  <c r="FP321" i="4"/>
  <c r="FP266" i="4"/>
  <c r="FP254" i="4"/>
  <c r="FP292" i="4"/>
  <c r="FP300" i="4"/>
  <c r="FP268" i="4"/>
  <c r="FP322" i="4"/>
  <c r="FP199" i="4"/>
  <c r="FP265" i="4"/>
  <c r="FP308" i="4"/>
  <c r="FP225" i="4"/>
  <c r="FP328" i="4"/>
  <c r="FP302" i="4"/>
  <c r="FP198" i="4"/>
  <c r="FP298" i="4"/>
  <c r="FP56" i="4"/>
  <c r="FP84" i="4"/>
  <c r="FP205" i="4"/>
  <c r="FP184" i="4"/>
  <c r="FP216" i="4"/>
  <c r="FP295" i="4"/>
  <c r="FP314" i="4"/>
  <c r="FP237" i="4"/>
  <c r="FP154" i="4"/>
  <c r="FP61" i="4"/>
  <c r="FP173" i="4"/>
  <c r="FP217" i="4"/>
  <c r="FP291" i="4"/>
  <c r="FP329" i="4"/>
  <c r="FP299" i="4"/>
  <c r="FP252" i="4"/>
  <c r="FP218" i="4"/>
  <c r="FP132" i="4"/>
  <c r="FI313" i="4"/>
  <c r="FI209" i="4"/>
  <c r="FI255" i="4"/>
  <c r="FI99" i="4"/>
  <c r="FI108" i="4"/>
  <c r="FI88" i="4"/>
  <c r="FI143" i="4"/>
  <c r="FI44" i="4"/>
  <c r="FI198" i="4"/>
  <c r="FI164" i="4"/>
  <c r="FI78" i="4"/>
  <c r="FI147" i="4"/>
  <c r="FI264" i="4"/>
  <c r="FI118" i="4"/>
  <c r="FI293" i="4"/>
  <c r="FI308" i="4"/>
  <c r="FI300" i="4"/>
  <c r="FI301" i="4"/>
  <c r="FI192" i="4"/>
  <c r="FI358" i="4"/>
  <c r="FI101" i="4"/>
  <c r="FI265" i="4"/>
  <c r="FI149" i="4"/>
  <c r="FI306" i="4"/>
  <c r="FI153" i="4"/>
  <c r="FI20" i="4"/>
  <c r="FI213" i="4"/>
  <c r="FI184" i="4"/>
  <c r="FI185" i="4"/>
  <c r="FI214" i="4"/>
  <c r="FI322" i="4"/>
  <c r="FI112" i="4"/>
  <c r="FI203" i="4"/>
  <c r="FI210" i="4"/>
  <c r="FI251" i="4"/>
  <c r="FI314" i="4"/>
  <c r="FI238" i="4"/>
  <c r="FI173" i="4"/>
  <c r="FI142" i="4"/>
  <c r="FI298" i="4"/>
  <c r="FI252" i="4"/>
  <c r="FI297" i="4"/>
  <c r="FI299" i="4"/>
  <c r="FI261" i="4"/>
  <c r="FI246" i="4"/>
  <c r="FI183" i="4"/>
  <c r="FI316" i="4"/>
  <c r="FI73" i="4"/>
  <c r="FI328" i="4"/>
  <c r="FI134" i="4"/>
  <c r="FI256" i="4"/>
  <c r="FI291" i="4"/>
  <c r="FI119" i="4"/>
  <c r="FI342" i="4"/>
  <c r="FI176" i="4"/>
  <c r="FI228" i="4"/>
  <c r="FI237" i="4"/>
  <c r="FI253" i="4"/>
  <c r="FI329" i="4"/>
  <c r="FI289" i="4"/>
  <c r="FI115" i="4"/>
  <c r="FI187" i="4"/>
  <c r="FI266" i="4"/>
  <c r="FI361" i="4"/>
  <c r="FI336" i="4"/>
  <c r="FI296" i="4"/>
  <c r="FI109" i="4"/>
  <c r="FI294" i="4"/>
  <c r="FI268" i="4"/>
  <c r="FI260" i="4"/>
  <c r="FI272" i="4"/>
  <c r="FI218" i="4"/>
  <c r="FI317" i="4"/>
  <c r="FI208" i="4"/>
  <c r="FI132" i="4"/>
  <c r="FI151" i="4"/>
  <c r="FI227" i="4"/>
  <c r="FI215" i="4"/>
  <c r="FI117" i="4"/>
  <c r="FI286" i="4"/>
  <c r="FI217" i="4"/>
  <c r="FI84" i="4"/>
  <c r="FI225" i="4"/>
  <c r="FI259" i="4"/>
  <c r="FI39" i="4"/>
  <c r="FI292" i="4"/>
  <c r="FI193" i="4"/>
  <c r="FI320" i="4"/>
  <c r="FI188" i="4"/>
  <c r="FI249" i="4"/>
  <c r="FI254" i="4"/>
  <c r="FI61" i="4"/>
  <c r="FI154" i="4"/>
  <c r="FI120" i="4"/>
  <c r="FI205" i="4"/>
  <c r="FI212" i="4"/>
  <c r="FI239" i="4"/>
  <c r="FI302" i="4"/>
  <c r="FI60" i="4"/>
  <c r="FI211" i="4"/>
  <c r="FI170" i="4"/>
  <c r="FI295" i="4"/>
  <c r="FI231" i="4"/>
  <c r="FI100" i="4"/>
  <c r="FI273" i="4"/>
  <c r="FI186" i="4"/>
  <c r="FI56" i="4"/>
  <c r="FI128" i="4"/>
  <c r="FI199" i="4"/>
  <c r="FI321" i="4"/>
  <c r="FI307" i="4"/>
  <c r="FI250" i="4"/>
  <c r="FI216" i="4"/>
  <c r="FI280" i="4"/>
  <c r="FI150" i="4"/>
  <c r="EU205" i="4"/>
  <c r="EU39" i="4"/>
  <c r="EU239" i="4"/>
  <c r="EU188" i="4"/>
  <c r="EU134" i="4"/>
  <c r="EU73" i="4"/>
  <c r="EU231" i="4"/>
  <c r="EU214" i="4"/>
  <c r="EU225" i="4"/>
  <c r="BY231" i="4"/>
  <c r="CA228" i="4"/>
  <c r="CA18" i="4"/>
  <c r="BW15" i="4"/>
  <c r="BW55" i="4"/>
  <c r="BW19" i="4"/>
  <c r="CA116" i="4"/>
  <c r="CA420" i="4"/>
  <c r="CA10" i="4"/>
  <c r="CA67" i="4"/>
  <c r="CA214" i="4"/>
  <c r="BW308" i="4"/>
  <c r="CA39" i="4"/>
  <c r="CA155" i="4"/>
  <c r="CA31" i="4"/>
  <c r="CA42" i="4"/>
  <c r="BY29" i="4"/>
  <c r="CA23" i="4"/>
  <c r="BW81" i="4"/>
  <c r="CA33" i="4"/>
  <c r="CA320" i="4"/>
  <c r="BW88" i="4"/>
  <c r="CA322" i="4"/>
  <c r="CA342" i="4"/>
  <c r="CA27" i="4"/>
  <c r="CA24" i="4"/>
  <c r="CA30" i="4"/>
  <c r="BW21" i="4"/>
  <c r="BY89" i="4"/>
  <c r="BW68" i="4"/>
  <c r="BY48" i="4"/>
  <c r="CA316" i="4"/>
  <c r="CA8" i="4"/>
  <c r="BW28" i="4"/>
  <c r="CA80" i="4"/>
  <c r="BY5" i="4"/>
  <c r="CA92" i="4"/>
  <c r="BW14" i="4"/>
  <c r="BW37" i="4"/>
  <c r="CA26" i="4"/>
  <c r="CA91" i="4"/>
  <c r="CA239" i="4"/>
  <c r="BW205" i="4"/>
  <c r="BY297" i="4"/>
  <c r="CA218" i="4"/>
  <c r="BW7" i="4"/>
  <c r="BY46" i="4"/>
  <c r="BW66" i="4"/>
  <c r="CA9" i="4"/>
  <c r="BY114" i="4"/>
  <c r="BW47" i="4"/>
  <c r="BW58" i="4"/>
  <c r="CA22" i="4"/>
  <c r="BY328" i="4"/>
  <c r="O112" i="4"/>
  <c r="BW112" i="4"/>
  <c r="BW12" i="4"/>
  <c r="BW16" i="4"/>
  <c r="BW6" i="4"/>
  <c r="CA36" i="4"/>
  <c r="CA35" i="4"/>
  <c r="BY17" i="4"/>
  <c r="BY11" i="4"/>
  <c r="O127" i="4"/>
  <c r="O320" i="4"/>
  <c r="O88" i="4"/>
  <c r="O27" i="4"/>
  <c r="O24" i="4"/>
  <c r="O30" i="4"/>
  <c r="O115" i="4"/>
  <c r="O147" i="4"/>
  <c r="O167" i="4"/>
  <c r="O249" i="4"/>
  <c r="O150" i="4"/>
  <c r="O77" i="4"/>
  <c r="O314" i="4"/>
  <c r="O316" i="4"/>
  <c r="O342" i="4"/>
  <c r="O322" i="4"/>
  <c r="O21" i="4"/>
  <c r="O89" i="4"/>
  <c r="O68" i="4"/>
  <c r="O48" i="4"/>
  <c r="O357" i="4"/>
  <c r="O151" i="4"/>
  <c r="O265" i="4"/>
  <c r="O261" i="4"/>
  <c r="O286" i="4"/>
  <c r="O264" i="4"/>
  <c r="O73" i="4"/>
  <c r="O295" i="4"/>
  <c r="O8" i="4"/>
  <c r="O28" i="4"/>
  <c r="O80" i="4"/>
  <c r="O181" i="4"/>
  <c r="O51" i="4"/>
  <c r="O207" i="4"/>
  <c r="O87" i="4"/>
  <c r="O63" i="4"/>
  <c r="O169" i="4"/>
  <c r="O206" i="4"/>
  <c r="O71" i="4"/>
  <c r="O289" i="4"/>
  <c r="O172" i="4"/>
  <c r="O97" i="4"/>
  <c r="O253" i="4"/>
  <c r="O69" i="4"/>
  <c r="O53" i="4"/>
  <c r="O94" i="4"/>
  <c r="O136" i="4"/>
  <c r="O82" i="4"/>
  <c r="O141" i="4"/>
  <c r="O361" i="4"/>
  <c r="O72" i="4"/>
  <c r="O38" i="4"/>
  <c r="O235" i="4"/>
  <c r="O106" i="4"/>
  <c r="O98" i="4"/>
  <c r="O120" i="4"/>
  <c r="O52" i="4"/>
  <c r="O95" i="4"/>
  <c r="O208" i="4"/>
  <c r="O227" i="4"/>
  <c r="O96" i="4"/>
  <c r="O140" i="4"/>
  <c r="O109" i="4"/>
  <c r="O49" i="4"/>
  <c r="O125" i="4"/>
  <c r="O124" i="4"/>
  <c r="O250" i="4"/>
  <c r="O131" i="4"/>
  <c r="O43" i="4"/>
  <c r="O86" i="4"/>
  <c r="O130" i="4"/>
  <c r="O168" i="4"/>
  <c r="O153" i="4"/>
  <c r="O158" i="4"/>
  <c r="O137" i="4"/>
  <c r="O133" i="4"/>
  <c r="O111" i="4"/>
  <c r="O54" i="4"/>
  <c r="O126" i="4"/>
  <c r="O236" i="4"/>
  <c r="O92" i="4"/>
  <c r="O232" i="4"/>
  <c r="O183" i="4"/>
  <c r="O336" i="4"/>
  <c r="O99" i="4"/>
  <c r="O62" i="4"/>
  <c r="O237" i="4"/>
  <c r="O317" i="4"/>
  <c r="O166" i="4"/>
  <c r="O297" i="4"/>
  <c r="O14" i="4"/>
  <c r="O37" i="4"/>
  <c r="O26" i="4"/>
  <c r="O91" i="4"/>
  <c r="O188" i="4"/>
  <c r="O108" i="4"/>
  <c r="O184" i="4"/>
  <c r="O313" i="4"/>
  <c r="O252" i="4"/>
  <c r="O138" i="4"/>
  <c r="O329" i="4"/>
  <c r="O203" i="4"/>
  <c r="O238" i="4"/>
  <c r="O107" i="4"/>
  <c r="O56" i="4"/>
  <c r="O185" i="4"/>
  <c r="O170" i="4"/>
  <c r="O205" i="4"/>
  <c r="O7" i="4"/>
  <c r="O46" i="4"/>
  <c r="O66" i="4"/>
  <c r="O9" i="4"/>
  <c r="O83" i="4"/>
  <c r="O40" i="4"/>
  <c r="O32" i="4"/>
  <c r="O306" i="4"/>
  <c r="O79" i="4"/>
  <c r="O154" i="4"/>
  <c r="O182" i="4"/>
  <c r="O90" i="4"/>
  <c r="O93" i="4"/>
  <c r="O298" i="4"/>
  <c r="O266" i="4"/>
  <c r="O218" i="4"/>
  <c r="O114" i="4"/>
  <c r="O47" i="4"/>
  <c r="O58" i="4"/>
  <c r="O22" i="4"/>
  <c r="O254" i="4"/>
  <c r="O292" i="4"/>
  <c r="O196" i="4"/>
  <c r="O280" i="4"/>
  <c r="O101" i="4"/>
  <c r="O246" i="4"/>
  <c r="O198" i="4"/>
  <c r="O212" i="4"/>
  <c r="O119" i="4"/>
  <c r="O157" i="4"/>
  <c r="O142" i="4"/>
  <c r="O328" i="4"/>
  <c r="O239" i="4"/>
  <c r="O12" i="4"/>
  <c r="O16" i="4"/>
  <c r="O6" i="4"/>
  <c r="O36" i="4"/>
  <c r="O35" i="4"/>
  <c r="O143" i="4"/>
  <c r="O78" i="4"/>
  <c r="O65" i="4"/>
  <c r="O307" i="4"/>
  <c r="O139" i="4"/>
  <c r="O176" i="4"/>
  <c r="O121" i="4"/>
  <c r="O210" i="4"/>
  <c r="O256" i="4"/>
  <c r="O216" i="4"/>
  <c r="O60" i="4"/>
  <c r="O213" i="4"/>
  <c r="O4" i="4"/>
  <c r="O17" i="4"/>
  <c r="O11" i="4"/>
  <c r="O34" i="4"/>
  <c r="O321" i="4"/>
  <c r="O187" i="4"/>
  <c r="O200" i="4"/>
  <c r="O217" i="4"/>
  <c r="O294" i="4"/>
  <c r="O225" i="4"/>
  <c r="O291" i="4"/>
  <c r="O231" i="4"/>
  <c r="O18" i="4"/>
  <c r="O15" i="4"/>
  <c r="O55" i="4"/>
  <c r="O19" i="4"/>
  <c r="O273" i="4"/>
  <c r="O128" i="4"/>
  <c r="O173" i="4"/>
  <c r="O25" i="4"/>
  <c r="O255" i="4"/>
  <c r="O118" i="4"/>
  <c r="O211" i="4"/>
  <c r="O179" i="4"/>
  <c r="O251" i="4"/>
  <c r="O199" i="4"/>
  <c r="O100" i="4"/>
  <c r="O39" i="4"/>
  <c r="O228" i="4"/>
  <c r="O116" i="4"/>
  <c r="O421" i="4"/>
  <c r="O10" i="4"/>
  <c r="O67" i="4"/>
  <c r="O57" i="4"/>
  <c r="O209" i="4"/>
  <c r="O134" i="4"/>
  <c r="O50" i="4"/>
  <c r="O61" i="4"/>
  <c r="O20" i="4"/>
  <c r="O132" i="4"/>
  <c r="O70" i="4"/>
  <c r="O186" i="4"/>
  <c r="O293" i="4"/>
  <c r="O214" i="4"/>
  <c r="O308" i="4"/>
  <c r="O155" i="4"/>
  <c r="O31" i="4"/>
  <c r="O42" i="4"/>
  <c r="O300" i="4"/>
  <c r="O164" i="4"/>
  <c r="O149" i="4"/>
  <c r="O268" i="4"/>
  <c r="O301" i="4"/>
  <c r="O117" i="4"/>
  <c r="O299" i="4"/>
  <c r="O13" i="4"/>
  <c r="O215" i="4"/>
  <c r="O296" i="4"/>
  <c r="O171" i="4"/>
  <c r="O29" i="4"/>
  <c r="O23" i="4"/>
  <c r="O81" i="4"/>
  <c r="O33" i="4"/>
  <c r="O193" i="4"/>
  <c r="O302" i="4"/>
  <c r="O84" i="4"/>
  <c r="O259" i="4"/>
  <c r="O59" i="4"/>
  <c r="O44" i="4"/>
  <c r="O260" i="4"/>
  <c r="O192" i="4"/>
  <c r="O272" i="4"/>
  <c r="F316" i="5"/>
  <c r="H305" i="5" s="1"/>
  <c r="G316" i="5"/>
  <c r="B317" i="5"/>
  <c r="D317" i="5" s="1"/>
  <c r="B277" i="5"/>
  <c r="D277" i="5" s="1"/>
  <c r="F276" i="5"/>
  <c r="H265" i="5" s="1"/>
  <c r="G276" i="5"/>
  <c r="F116" i="5"/>
  <c r="H105" i="5" s="1"/>
  <c r="G296" i="5"/>
  <c r="F296" i="5"/>
  <c r="H285" i="5" s="1"/>
  <c r="B297" i="5"/>
  <c r="D297" i="5" s="1"/>
  <c r="B177" i="5"/>
  <c r="D177" i="5" s="1"/>
  <c r="E4" i="13"/>
  <c r="W4" i="13" s="1"/>
  <c r="G96" i="5"/>
  <c r="F96" i="5"/>
  <c r="H85" i="5" s="1"/>
  <c r="B97" i="5"/>
  <c r="D97" i="5" s="1"/>
  <c r="G256" i="5"/>
  <c r="F256" i="5"/>
  <c r="H245" i="5" s="1"/>
  <c r="D257" i="5"/>
  <c r="F176" i="5"/>
  <c r="H165" i="5" s="1"/>
  <c r="B157" i="5"/>
  <c r="D157" i="5" s="1"/>
  <c r="G216" i="5"/>
  <c r="G156" i="5"/>
  <c r="G176" i="5"/>
  <c r="G236" i="5"/>
  <c r="F196" i="5"/>
  <c r="H185" i="5" s="1"/>
  <c r="F156" i="5"/>
  <c r="H145" i="5" s="1"/>
  <c r="B137" i="5"/>
  <c r="D137" i="5" s="1"/>
  <c r="B237" i="5"/>
  <c r="D237" i="5" s="1"/>
  <c r="B197" i="5"/>
  <c r="D197" i="5" s="1"/>
  <c r="G196" i="5"/>
  <c r="G136" i="5"/>
  <c r="F236" i="5"/>
  <c r="H225" i="5" s="1"/>
  <c r="F76" i="5"/>
  <c r="H65" i="5" s="1"/>
  <c r="F136" i="5"/>
  <c r="H125" i="5" s="1"/>
  <c r="F216" i="5"/>
  <c r="H205" i="5" s="1"/>
  <c r="B217" i="5"/>
  <c r="D217" i="5" s="1"/>
  <c r="D12" i="5"/>
  <c r="E12" i="5"/>
  <c r="C12" i="5"/>
  <c r="G76" i="5"/>
  <c r="G116" i="5"/>
  <c r="B117" i="5"/>
  <c r="D117" i="5" s="1"/>
  <c r="G56" i="5"/>
  <c r="H5" i="13"/>
  <c r="G5" i="13" s="1"/>
  <c r="C502" i="11" s="1"/>
  <c r="P5" i="13"/>
  <c r="O5" i="13" s="1"/>
  <c r="C559" i="11" s="1"/>
  <c r="B12" i="5"/>
  <c r="L4" i="13"/>
  <c r="K4" i="13" s="1"/>
  <c r="B16" i="17" s="1"/>
  <c r="AD4" i="13"/>
  <c r="AC4" i="13" s="1"/>
  <c r="B9" i="17" s="1"/>
  <c r="P4" i="13"/>
  <c r="O4" i="13" s="1"/>
  <c r="C562" i="11" s="1"/>
  <c r="Z4" i="13"/>
  <c r="Y4" i="13" s="1"/>
  <c r="H4" i="13"/>
  <c r="G4" i="13" s="1"/>
  <c r="GO358" i="4" l="1"/>
  <c r="FW420" i="4"/>
  <c r="GO420" i="4"/>
  <c r="FW358" i="4"/>
  <c r="FW361" i="4"/>
  <c r="GM422" i="4"/>
  <c r="FY420" i="4"/>
  <c r="EU420" i="4"/>
  <c r="FB349" i="4"/>
  <c r="AR421" i="4"/>
  <c r="HP422" i="4"/>
  <c r="BK170" i="4"/>
  <c r="BL170" i="4"/>
  <c r="BM170" i="4"/>
  <c r="BM164" i="4"/>
  <c r="BK164" i="4"/>
  <c r="BL164" i="4"/>
  <c r="BM188" i="4"/>
  <c r="BK188" i="4"/>
  <c r="BL188" i="4"/>
  <c r="BK77" i="4"/>
  <c r="BL77" i="4"/>
  <c r="BM77" i="4"/>
  <c r="BL131" i="4"/>
  <c r="BM131" i="4"/>
  <c r="BK131" i="4"/>
  <c r="BM163" i="4"/>
  <c r="BK163" i="4"/>
  <c r="BL163" i="4"/>
  <c r="BK246" i="4"/>
  <c r="BL246" i="4"/>
  <c r="BM246" i="4"/>
  <c r="BK126" i="4"/>
  <c r="BL126" i="4"/>
  <c r="BM126" i="4"/>
  <c r="BL143" i="4"/>
  <c r="BM143" i="4"/>
  <c r="BK143" i="4"/>
  <c r="BK294" i="4"/>
  <c r="BM294" i="4"/>
  <c r="BL294" i="4"/>
  <c r="BM235" i="4"/>
  <c r="BK235" i="4"/>
  <c r="BL235" i="4"/>
  <c r="BM232" i="4"/>
  <c r="BK232" i="4"/>
  <c r="BL232" i="4"/>
  <c r="BM69" i="4"/>
  <c r="BK69" i="4"/>
  <c r="BL69" i="4"/>
  <c r="BM208" i="4"/>
  <c r="BL208" i="4"/>
  <c r="BK208" i="4"/>
  <c r="BM292" i="4"/>
  <c r="BL292" i="4"/>
  <c r="BK292" i="4"/>
  <c r="BL47" i="4"/>
  <c r="BM47" i="4"/>
  <c r="BL231" i="4"/>
  <c r="BM231" i="4"/>
  <c r="BK231" i="4"/>
  <c r="BL82" i="4"/>
  <c r="BM82" i="4"/>
  <c r="BK82" i="4"/>
  <c r="BL144" i="4"/>
  <c r="BM144" i="4"/>
  <c r="BK144" i="4"/>
  <c r="BM274" i="4"/>
  <c r="BK274" i="4"/>
  <c r="BL274" i="4"/>
  <c r="BM189" i="4"/>
  <c r="BK189" i="4"/>
  <c r="BL189" i="4"/>
  <c r="BM248" i="4"/>
  <c r="BK248" i="4"/>
  <c r="BL248" i="4"/>
  <c r="AT419" i="4"/>
  <c r="BM304" i="4"/>
  <c r="BK304" i="4"/>
  <c r="BL304" i="4"/>
  <c r="BM311" i="4"/>
  <c r="BK311" i="4"/>
  <c r="BL311" i="4"/>
  <c r="BL243" i="4"/>
  <c r="BM243" i="4"/>
  <c r="BK243" i="4"/>
  <c r="BM360" i="4"/>
  <c r="BL360" i="4"/>
  <c r="BK360" i="4"/>
  <c r="BK319" i="4"/>
  <c r="BL319" i="4"/>
  <c r="BM319" i="4"/>
  <c r="BK389" i="4"/>
  <c r="BM389" i="4"/>
  <c r="BL389" i="4"/>
  <c r="BK410" i="4"/>
  <c r="BM410" i="4"/>
  <c r="BL410" i="4"/>
  <c r="BK354" i="4"/>
  <c r="BL354" i="4"/>
  <c r="BM354" i="4"/>
  <c r="BM370" i="4"/>
  <c r="BK370" i="4"/>
  <c r="BL370" i="4"/>
  <c r="BK391" i="4"/>
  <c r="BL391" i="4"/>
  <c r="BM391" i="4"/>
  <c r="BM382" i="4"/>
  <c r="BK382" i="4"/>
  <c r="BL382" i="4"/>
  <c r="CF422" i="4"/>
  <c r="BM346" i="4"/>
  <c r="BK346" i="4"/>
  <c r="BL346" i="4"/>
  <c r="BL73" i="4"/>
  <c r="BM73" i="4"/>
  <c r="BK73" i="4"/>
  <c r="BM184" i="4"/>
  <c r="BK184" i="4"/>
  <c r="BL184" i="4"/>
  <c r="BM196" i="4"/>
  <c r="BL196" i="4"/>
  <c r="BK196" i="4"/>
  <c r="BM260" i="4"/>
  <c r="BK260" i="4"/>
  <c r="BL260" i="4"/>
  <c r="BL181" i="4"/>
  <c r="BM181" i="4"/>
  <c r="BK181" i="4"/>
  <c r="BK230" i="4"/>
  <c r="BL230" i="4"/>
  <c r="BM230" i="4"/>
  <c r="BL94" i="4"/>
  <c r="BM94" i="4"/>
  <c r="BK94" i="4"/>
  <c r="BM211" i="4"/>
  <c r="BK211" i="4"/>
  <c r="BL211" i="4"/>
  <c r="BL60" i="4"/>
  <c r="BM60" i="4"/>
  <c r="BK60" i="4"/>
  <c r="BL83" i="4"/>
  <c r="BM83" i="4"/>
  <c r="BK83" i="4"/>
  <c r="BM256" i="4"/>
  <c r="BK256" i="4"/>
  <c r="BL256" i="4"/>
  <c r="BL121" i="4"/>
  <c r="BM121" i="4"/>
  <c r="BK121" i="4"/>
  <c r="BM298" i="4"/>
  <c r="BK298" i="4"/>
  <c r="BL298" i="4"/>
  <c r="BL166" i="4"/>
  <c r="BM166" i="4"/>
  <c r="BK166" i="4"/>
  <c r="BK66" i="4"/>
  <c r="BL66" i="4"/>
  <c r="BM66" i="4"/>
  <c r="BM91" i="4"/>
  <c r="BK91" i="4"/>
  <c r="BL91" i="4"/>
  <c r="BL205" i="4"/>
  <c r="BM205" i="4"/>
  <c r="BK205" i="4"/>
  <c r="BL155" i="4"/>
  <c r="BM155" i="4"/>
  <c r="BK155" i="4"/>
  <c r="BL135" i="4"/>
  <c r="BM135" i="4"/>
  <c r="BK135" i="4"/>
  <c r="BM228" i="4"/>
  <c r="BK228" i="4"/>
  <c r="BL228" i="4"/>
  <c r="BM76" i="4"/>
  <c r="BK76" i="4"/>
  <c r="BL76" i="4"/>
  <c r="BK221" i="4"/>
  <c r="BL221" i="4"/>
  <c r="BM221" i="4"/>
  <c r="BM325" i="4"/>
  <c r="BK325" i="4"/>
  <c r="BL325" i="4"/>
  <c r="BL178" i="4"/>
  <c r="BM178" i="4"/>
  <c r="BK178" i="4"/>
  <c r="BM160" i="4"/>
  <c r="BK160" i="4"/>
  <c r="BL160" i="4"/>
  <c r="BL123" i="4"/>
  <c r="BM123" i="4"/>
  <c r="BK123" i="4"/>
  <c r="BM288" i="4"/>
  <c r="BL288" i="4"/>
  <c r="BK288" i="4"/>
  <c r="BK390" i="4"/>
  <c r="BL390" i="4"/>
  <c r="BM390" i="4"/>
  <c r="BM332" i="4"/>
  <c r="BK332" i="4"/>
  <c r="BL332" i="4"/>
  <c r="BK402" i="4"/>
  <c r="BL402" i="4"/>
  <c r="BM402" i="4"/>
  <c r="BM404" i="4"/>
  <c r="BK404" i="4"/>
  <c r="BL404" i="4"/>
  <c r="BK281" i="4"/>
  <c r="BL281" i="4"/>
  <c r="BM281" i="4"/>
  <c r="BK386" i="4"/>
  <c r="BM386" i="4"/>
  <c r="BL386" i="4"/>
  <c r="HT422" i="4"/>
  <c r="BL180" i="4"/>
  <c r="BM180" i="4"/>
  <c r="BK180" i="4"/>
  <c r="BK338" i="4"/>
  <c r="BM338" i="4"/>
  <c r="BL338" i="4"/>
  <c r="BM345" i="4"/>
  <c r="BK345" i="4"/>
  <c r="BL345" i="4"/>
  <c r="BM237" i="4"/>
  <c r="BK237" i="4"/>
  <c r="BL237" i="4"/>
  <c r="BM300" i="4"/>
  <c r="BK300" i="4"/>
  <c r="BL300" i="4"/>
  <c r="BL70" i="4"/>
  <c r="BM70" i="4"/>
  <c r="BK70" i="4"/>
  <c r="BM153" i="4"/>
  <c r="BK153" i="4"/>
  <c r="BL153" i="4"/>
  <c r="BK317" i="4"/>
  <c r="BM317" i="4"/>
  <c r="BL317" i="4"/>
  <c r="BK209" i="4"/>
  <c r="BL209" i="4"/>
  <c r="BM209" i="4"/>
  <c r="BK257" i="4"/>
  <c r="BL257" i="4"/>
  <c r="BM257" i="4"/>
  <c r="BL109" i="4"/>
  <c r="BM109" i="4"/>
  <c r="BK109" i="4"/>
  <c r="BL71" i="4"/>
  <c r="BM71" i="4"/>
  <c r="BK71" i="4"/>
  <c r="BM43" i="4"/>
  <c r="BL43" i="4"/>
  <c r="BK210" i="4"/>
  <c r="BM210" i="4"/>
  <c r="BL210" i="4"/>
  <c r="BL38" i="4"/>
  <c r="BM38" i="4"/>
  <c r="BM176" i="4"/>
  <c r="BK176" i="4"/>
  <c r="BL176" i="4"/>
  <c r="BM93" i="4"/>
  <c r="BK93" i="4"/>
  <c r="BL93" i="4"/>
  <c r="BK138" i="4"/>
  <c r="BL138" i="4"/>
  <c r="BM138" i="4"/>
  <c r="BM336" i="4"/>
  <c r="BL336" i="4"/>
  <c r="BK336" i="4"/>
  <c r="BL46" i="4"/>
  <c r="BM46" i="4"/>
  <c r="BM68" i="4"/>
  <c r="BK68" i="4"/>
  <c r="BL68" i="4"/>
  <c r="BK137" i="4"/>
  <c r="BL137" i="4"/>
  <c r="BM137" i="4"/>
  <c r="BM88" i="4"/>
  <c r="BK88" i="4"/>
  <c r="BL88" i="4"/>
  <c r="BM117" i="4"/>
  <c r="BK117" i="4"/>
  <c r="BL117" i="4"/>
  <c r="BL267" i="4"/>
  <c r="BM267" i="4"/>
  <c r="BK267" i="4"/>
  <c r="BK218" i="4"/>
  <c r="BM218" i="4"/>
  <c r="BL218" i="4"/>
  <c r="BK102" i="4"/>
  <c r="BL102" i="4"/>
  <c r="BM102" i="4"/>
  <c r="BM165" i="4"/>
  <c r="BK165" i="4"/>
  <c r="BL165" i="4"/>
  <c r="BM339" i="4"/>
  <c r="BK339" i="4"/>
  <c r="BL339" i="4"/>
  <c r="BK343" i="4"/>
  <c r="BL343" i="4"/>
  <c r="BM343" i="4"/>
  <c r="BK379" i="4"/>
  <c r="BL379" i="4"/>
  <c r="BM379" i="4"/>
  <c r="BK330" i="4"/>
  <c r="BM330" i="4"/>
  <c r="BL330" i="4"/>
  <c r="BM395" i="4"/>
  <c r="BK395" i="4"/>
  <c r="BL395" i="4"/>
  <c r="HP419" i="4"/>
  <c r="BM358" i="4"/>
  <c r="BK358" i="4"/>
  <c r="BL358" i="4"/>
  <c r="BM407" i="4"/>
  <c r="BK407" i="4"/>
  <c r="BL407" i="4"/>
  <c r="BK413" i="4"/>
  <c r="BM413" i="4"/>
  <c r="BL413" i="4"/>
  <c r="BK341" i="4"/>
  <c r="BM341" i="4"/>
  <c r="BL341" i="4"/>
  <c r="BM359" i="4"/>
  <c r="BK359" i="4"/>
  <c r="BL359" i="4"/>
  <c r="BM409" i="4"/>
  <c r="BK409" i="4"/>
  <c r="BL409" i="4"/>
  <c r="BM416" i="4"/>
  <c r="BK416" i="4"/>
  <c r="BL416" i="4"/>
  <c r="BM252" i="4"/>
  <c r="BK252" i="4"/>
  <c r="BL252" i="4"/>
  <c r="BM52" i="4"/>
  <c r="BL52" i="4"/>
  <c r="BM313" i="4"/>
  <c r="BK313" i="4"/>
  <c r="BL313" i="4"/>
  <c r="BM335" i="4"/>
  <c r="BK335" i="4"/>
  <c r="BL335" i="4"/>
  <c r="BL108" i="4"/>
  <c r="BM108" i="4"/>
  <c r="BK108" i="4"/>
  <c r="BL58" i="4"/>
  <c r="BM58" i="4"/>
  <c r="BK58" i="4"/>
  <c r="BL132" i="4"/>
  <c r="BM132" i="4"/>
  <c r="BK132" i="4"/>
  <c r="BM172" i="4"/>
  <c r="BK172" i="4"/>
  <c r="BL172" i="4"/>
  <c r="BK149" i="4"/>
  <c r="BL149" i="4"/>
  <c r="BM149" i="4"/>
  <c r="BL168" i="4"/>
  <c r="BM168" i="4"/>
  <c r="BK168" i="4"/>
  <c r="BL51" i="4"/>
  <c r="BM51" i="4"/>
  <c r="BK101" i="4"/>
  <c r="BL101" i="4"/>
  <c r="BM101" i="4"/>
  <c r="BK234" i="4"/>
  <c r="BL234" i="4"/>
  <c r="BM234" i="4"/>
  <c r="BM139" i="4"/>
  <c r="BK139" i="4"/>
  <c r="BL139" i="4"/>
  <c r="BL118" i="4"/>
  <c r="BM118" i="4"/>
  <c r="BK118" i="4"/>
  <c r="BK182" i="4"/>
  <c r="BL182" i="4"/>
  <c r="BM182" i="4"/>
  <c r="BM381" i="4"/>
  <c r="BK381" i="4"/>
  <c r="BL381" i="4"/>
  <c r="BL37" i="4"/>
  <c r="BM37" i="4"/>
  <c r="BM328" i="4"/>
  <c r="BK328" i="4"/>
  <c r="BL328" i="4"/>
  <c r="BK197" i="4"/>
  <c r="BL197" i="4"/>
  <c r="BM197" i="4"/>
  <c r="BM349" i="4"/>
  <c r="BK349" i="4"/>
  <c r="BL349" i="4"/>
  <c r="BK290" i="4"/>
  <c r="BM290" i="4"/>
  <c r="BL290" i="4"/>
  <c r="BM32" i="4"/>
  <c r="BL32" i="4"/>
  <c r="BM351" i="4"/>
  <c r="BK351" i="4"/>
  <c r="BL351" i="4"/>
  <c r="BM45" i="4"/>
  <c r="BL45" i="4"/>
  <c r="BM344" i="4"/>
  <c r="BK344" i="4"/>
  <c r="BL344" i="4"/>
  <c r="BM105" i="4"/>
  <c r="BK105" i="4"/>
  <c r="BL105" i="4"/>
  <c r="BM363" i="4"/>
  <c r="BK363" i="4"/>
  <c r="BL363" i="4"/>
  <c r="BM385" i="4"/>
  <c r="BK385" i="4"/>
  <c r="BL385" i="4"/>
  <c r="HR422" i="4"/>
  <c r="CH419" i="4"/>
  <c r="BK283" i="4"/>
  <c r="BL283" i="4"/>
  <c r="BM283" i="4"/>
  <c r="BM57" i="4"/>
  <c r="BK57" i="4"/>
  <c r="BL57" i="4"/>
  <c r="BM127" i="4"/>
  <c r="BK127" i="4"/>
  <c r="BL127" i="4"/>
  <c r="BL204" i="4"/>
  <c r="BM204" i="4"/>
  <c r="BK204" i="4"/>
  <c r="BM280" i="4"/>
  <c r="BK280" i="4"/>
  <c r="BL280" i="4"/>
  <c r="BM308" i="4"/>
  <c r="BK308" i="4"/>
  <c r="BL308" i="4"/>
  <c r="BL120" i="4"/>
  <c r="BM120" i="4"/>
  <c r="BK120" i="4"/>
  <c r="BL179" i="4"/>
  <c r="BM179" i="4"/>
  <c r="BK179" i="4"/>
  <c r="BM361" i="4"/>
  <c r="BK361" i="4"/>
  <c r="BL361" i="4"/>
  <c r="BL217" i="4"/>
  <c r="BM217" i="4"/>
  <c r="BK217" i="4"/>
  <c r="BL95" i="4"/>
  <c r="BM95" i="4"/>
  <c r="BK95" i="4"/>
  <c r="BM212" i="4"/>
  <c r="BK212" i="4"/>
  <c r="BL212" i="4"/>
  <c r="BM141" i="4"/>
  <c r="BK141" i="4"/>
  <c r="BL141" i="4"/>
  <c r="BL156" i="4"/>
  <c r="BM156" i="4"/>
  <c r="BK156" i="4"/>
  <c r="BL238" i="4"/>
  <c r="BM238" i="4"/>
  <c r="BK238" i="4"/>
  <c r="BM316" i="4"/>
  <c r="BK316" i="4"/>
  <c r="BL316" i="4"/>
  <c r="BM92" i="4"/>
  <c r="BK92" i="4"/>
  <c r="BL92" i="4"/>
  <c r="BL39" i="4"/>
  <c r="BM39" i="4"/>
  <c r="BL63" i="4"/>
  <c r="BM63" i="4"/>
  <c r="BK63" i="4"/>
  <c r="BL169" i="4"/>
  <c r="BM169" i="4"/>
  <c r="BK169" i="4"/>
  <c r="BM421" i="4"/>
  <c r="BK421" i="4"/>
  <c r="BL421" i="4"/>
  <c r="BL202" i="4"/>
  <c r="BM202" i="4"/>
  <c r="BK202" i="4"/>
  <c r="BL110" i="4"/>
  <c r="BK110" i="4"/>
  <c r="BM110" i="4"/>
  <c r="BK242" i="4"/>
  <c r="BM242" i="4"/>
  <c r="BL242" i="4"/>
  <c r="BK271" i="4"/>
  <c r="BL271" i="4"/>
  <c r="BM271" i="4"/>
  <c r="BM275" i="4"/>
  <c r="BK275" i="4"/>
  <c r="BL275" i="4"/>
  <c r="BM276" i="4"/>
  <c r="BL276" i="4"/>
  <c r="BK276" i="4"/>
  <c r="BM64" i="4"/>
  <c r="BK64" i="4"/>
  <c r="BL64" i="4"/>
  <c r="BM224" i="4"/>
  <c r="BK224" i="4"/>
  <c r="BL224" i="4"/>
  <c r="BM324" i="4"/>
  <c r="BK324" i="4"/>
  <c r="BL324" i="4"/>
  <c r="BM375" i="4"/>
  <c r="BK375" i="4"/>
  <c r="BL375" i="4"/>
  <c r="BM373" i="4"/>
  <c r="BK373" i="4"/>
  <c r="BL373" i="4"/>
  <c r="BK326" i="4"/>
  <c r="BM326" i="4"/>
  <c r="BL326" i="4"/>
  <c r="BM400" i="4"/>
  <c r="BL400" i="4"/>
  <c r="BK400" i="4"/>
  <c r="BM369" i="4"/>
  <c r="BK369" i="4"/>
  <c r="BL369" i="4"/>
  <c r="HL422" i="4"/>
  <c r="BM152" i="4"/>
  <c r="BK152" i="4"/>
  <c r="BL152" i="4"/>
  <c r="BM420" i="4"/>
  <c r="BL420" i="4"/>
  <c r="BK420" i="4"/>
  <c r="BM79" i="4"/>
  <c r="BK79" i="4"/>
  <c r="BL79" i="4"/>
  <c r="BL97" i="4"/>
  <c r="BM97" i="4"/>
  <c r="BK97" i="4"/>
  <c r="BM289" i="4"/>
  <c r="BK289" i="4"/>
  <c r="BL289" i="4"/>
  <c r="BL171" i="4"/>
  <c r="BM171" i="4"/>
  <c r="BK171" i="4"/>
  <c r="BK198" i="4"/>
  <c r="BL198" i="4"/>
  <c r="BM198" i="4"/>
  <c r="BK329" i="4"/>
  <c r="BM329" i="4"/>
  <c r="BL329" i="4"/>
  <c r="BM100" i="4"/>
  <c r="BK100" i="4"/>
  <c r="BL100" i="4"/>
  <c r="BK206" i="4"/>
  <c r="BM206" i="4"/>
  <c r="BL206" i="4"/>
  <c r="BK158" i="4"/>
  <c r="BL158" i="4"/>
  <c r="BM158" i="4"/>
  <c r="BL98" i="4"/>
  <c r="BK98" i="4"/>
  <c r="BM98" i="4"/>
  <c r="BL59" i="4"/>
  <c r="BM59" i="4"/>
  <c r="BK59" i="4"/>
  <c r="BM321" i="4"/>
  <c r="BK321" i="4"/>
  <c r="BL321" i="4"/>
  <c r="BL29" i="4"/>
  <c r="BM29" i="4"/>
  <c r="BL154" i="4"/>
  <c r="BM154" i="4"/>
  <c r="BK154" i="4"/>
  <c r="BM80" i="4"/>
  <c r="BK80" i="4"/>
  <c r="BL80" i="4"/>
  <c r="BM322" i="4"/>
  <c r="BK322" i="4"/>
  <c r="BL322" i="4"/>
  <c r="BM116" i="4"/>
  <c r="BK116" i="4"/>
  <c r="BL116" i="4"/>
  <c r="BL35" i="4"/>
  <c r="BM35" i="4"/>
  <c r="BL219" i="4"/>
  <c r="BM219" i="4"/>
  <c r="BK219" i="4"/>
  <c r="BL74" i="4"/>
  <c r="BK74" i="4"/>
  <c r="BM74" i="4"/>
  <c r="BL122" i="4"/>
  <c r="BK122" i="4"/>
  <c r="BM122" i="4"/>
  <c r="BL30" i="4"/>
  <c r="BM30" i="4"/>
  <c r="BM220" i="4"/>
  <c r="BK220" i="4"/>
  <c r="BL220" i="4"/>
  <c r="BM201" i="4"/>
  <c r="BK201" i="4"/>
  <c r="BL201" i="4"/>
  <c r="BM277" i="4"/>
  <c r="BK277" i="4"/>
  <c r="BL277" i="4"/>
  <c r="BL229" i="4"/>
  <c r="BM229" i="4"/>
  <c r="BK229" i="4"/>
  <c r="BM356" i="4"/>
  <c r="BK356" i="4"/>
  <c r="BL356" i="4"/>
  <c r="BM129" i="4"/>
  <c r="BK129" i="4"/>
  <c r="BL129" i="4"/>
  <c r="BL226" i="4"/>
  <c r="BM226" i="4"/>
  <c r="BK226" i="4"/>
  <c r="BL190" i="4"/>
  <c r="BM190" i="4"/>
  <c r="BK190" i="4"/>
  <c r="BK353" i="4"/>
  <c r="BM353" i="4"/>
  <c r="BL353" i="4"/>
  <c r="BM388" i="4"/>
  <c r="BK388" i="4"/>
  <c r="BL388" i="4"/>
  <c r="BM393" i="4"/>
  <c r="BK393" i="4"/>
  <c r="BL393" i="4"/>
  <c r="BM405" i="4"/>
  <c r="BK405" i="4"/>
  <c r="BL405" i="4"/>
  <c r="AP418" i="4"/>
  <c r="AP422" i="4"/>
  <c r="BK245" i="4"/>
  <c r="BL245" i="4"/>
  <c r="BM245" i="4"/>
  <c r="BK403" i="4"/>
  <c r="BL403" i="4"/>
  <c r="BM403" i="4"/>
  <c r="BM411" i="4"/>
  <c r="BK411" i="4"/>
  <c r="BL411" i="4"/>
  <c r="BK415" i="4"/>
  <c r="BL415" i="4"/>
  <c r="BM415" i="4"/>
  <c r="BK422" i="4"/>
  <c r="BM422" i="4"/>
  <c r="BL422" i="4"/>
  <c r="BL207" i="4"/>
  <c r="BM207" i="4"/>
  <c r="BK207" i="4"/>
  <c r="BM140" i="4"/>
  <c r="BK140" i="4"/>
  <c r="BL140" i="4"/>
  <c r="BL99" i="4"/>
  <c r="BM99" i="4"/>
  <c r="BK99" i="4"/>
  <c r="BK314" i="4"/>
  <c r="BM314" i="4"/>
  <c r="BL314" i="4"/>
  <c r="BL215" i="4"/>
  <c r="BM215" i="4"/>
  <c r="BK215" i="4"/>
  <c r="BM296" i="4"/>
  <c r="BK296" i="4"/>
  <c r="BL296" i="4"/>
  <c r="BM115" i="4"/>
  <c r="BK115" i="4"/>
  <c r="BL115" i="4"/>
  <c r="BM240" i="4"/>
  <c r="BK240" i="4"/>
  <c r="BL240" i="4"/>
  <c r="BL86" i="4"/>
  <c r="BK86" i="4"/>
  <c r="BM86" i="4"/>
  <c r="BL133" i="4"/>
  <c r="BM133" i="4"/>
  <c r="BK133" i="4"/>
  <c r="BL48" i="4"/>
  <c r="BM48" i="4"/>
  <c r="BM259" i="4"/>
  <c r="BK259" i="4"/>
  <c r="BL259" i="4"/>
  <c r="BK307" i="4"/>
  <c r="BL307" i="4"/>
  <c r="BM307" i="4"/>
  <c r="BL203" i="4"/>
  <c r="BM203" i="4"/>
  <c r="BK203" i="4"/>
  <c r="BM320" i="4"/>
  <c r="BK320" i="4"/>
  <c r="BL320" i="4"/>
  <c r="BL53" i="4"/>
  <c r="BM53" i="4"/>
  <c r="BL214" i="4"/>
  <c r="BM214" i="4"/>
  <c r="BK214" i="4"/>
  <c r="BL36" i="4"/>
  <c r="BM36" i="4"/>
  <c r="BK367" i="4"/>
  <c r="BL367" i="4"/>
  <c r="BM367" i="4"/>
  <c r="BL159" i="4"/>
  <c r="BM159" i="4"/>
  <c r="BK159" i="4"/>
  <c r="BM284" i="4"/>
  <c r="BK284" i="4"/>
  <c r="BL284" i="4"/>
  <c r="BM309" i="4"/>
  <c r="BK309" i="4"/>
  <c r="BL309" i="4"/>
  <c r="BM175" i="4"/>
  <c r="BK175" i="4"/>
  <c r="BL175" i="4"/>
  <c r="BM303" i="4"/>
  <c r="BK303" i="4"/>
  <c r="BL303" i="4"/>
  <c r="BM340" i="4"/>
  <c r="BL340" i="4"/>
  <c r="BK340" i="4"/>
  <c r="BM104" i="4"/>
  <c r="BK104" i="4"/>
  <c r="BL104" i="4"/>
  <c r="BM352" i="4"/>
  <c r="BL352" i="4"/>
  <c r="BK352" i="4"/>
  <c r="BK374" i="4"/>
  <c r="BM374" i="4"/>
  <c r="BL374" i="4"/>
  <c r="BM376" i="4"/>
  <c r="BK376" i="4"/>
  <c r="BL376" i="4"/>
  <c r="BM371" i="4"/>
  <c r="BK371" i="4"/>
  <c r="BL371" i="4"/>
  <c r="BM399" i="4"/>
  <c r="BK399" i="4"/>
  <c r="BL399" i="4"/>
  <c r="BM312" i="4"/>
  <c r="BK312" i="4"/>
  <c r="BL312" i="4"/>
  <c r="BM333" i="4"/>
  <c r="BK333" i="4"/>
  <c r="BL333" i="4"/>
  <c r="CH422" i="4"/>
  <c r="BM67" i="4"/>
  <c r="BK67" i="4"/>
  <c r="BL67" i="4"/>
  <c r="BM286" i="4"/>
  <c r="BK286" i="4"/>
  <c r="BL286" i="4"/>
  <c r="BK278" i="4"/>
  <c r="BM278" i="4"/>
  <c r="BL278" i="4"/>
  <c r="BM128" i="4"/>
  <c r="BK128" i="4"/>
  <c r="BL128" i="4"/>
  <c r="BM357" i="4"/>
  <c r="BK357" i="4"/>
  <c r="BL357" i="4"/>
  <c r="BK186" i="4"/>
  <c r="BL186" i="4"/>
  <c r="BM186" i="4"/>
  <c r="BK78" i="4"/>
  <c r="BL78" i="4"/>
  <c r="BM78" i="4"/>
  <c r="BL193" i="4"/>
  <c r="BM193" i="4"/>
  <c r="BK193" i="4"/>
  <c r="BK293" i="4"/>
  <c r="BM293" i="4"/>
  <c r="BL293" i="4"/>
  <c r="BM261" i="4"/>
  <c r="BK261" i="4"/>
  <c r="BL261" i="4"/>
  <c r="BM213" i="4"/>
  <c r="BK213" i="4"/>
  <c r="BL213" i="4"/>
  <c r="BK89" i="4"/>
  <c r="BL89" i="4"/>
  <c r="BM89" i="4"/>
  <c r="BL251" i="4"/>
  <c r="BM251" i="4"/>
  <c r="BK251" i="4"/>
  <c r="BL142" i="4"/>
  <c r="BM142" i="4"/>
  <c r="BK142" i="4"/>
  <c r="BL107" i="4"/>
  <c r="BM107" i="4"/>
  <c r="BK107" i="4"/>
  <c r="BK282" i="4"/>
  <c r="BL282" i="4"/>
  <c r="BM282" i="4"/>
  <c r="BK90" i="4"/>
  <c r="BL90" i="4"/>
  <c r="BM90" i="4"/>
  <c r="BL49" i="4"/>
  <c r="BM49" i="4"/>
  <c r="BK54" i="4"/>
  <c r="BL54" i="4"/>
  <c r="BM54" i="4"/>
  <c r="BM55" i="4"/>
  <c r="BK55" i="4"/>
  <c r="BL55" i="4"/>
  <c r="BM148" i="4"/>
  <c r="BL148" i="4"/>
  <c r="BK148" i="4"/>
  <c r="BK161" i="4"/>
  <c r="BL161" i="4"/>
  <c r="BM161" i="4"/>
  <c r="BM337" i="4"/>
  <c r="BK337" i="4"/>
  <c r="BL337" i="4"/>
  <c r="BL241" i="4"/>
  <c r="BM241" i="4"/>
  <c r="BK241" i="4"/>
  <c r="BL146" i="4"/>
  <c r="BK146" i="4"/>
  <c r="BM146" i="4"/>
  <c r="BL195" i="4"/>
  <c r="BM195" i="4"/>
  <c r="BK195" i="4"/>
  <c r="BL263" i="4"/>
  <c r="BM263" i="4"/>
  <c r="BK263" i="4"/>
  <c r="BK222" i="4"/>
  <c r="BL222" i="4"/>
  <c r="BM222" i="4"/>
  <c r="BM223" i="4"/>
  <c r="BK223" i="4"/>
  <c r="BL223" i="4"/>
  <c r="BK362" i="4"/>
  <c r="BM362" i="4"/>
  <c r="BL362" i="4"/>
  <c r="BK162" i="4"/>
  <c r="BL162" i="4"/>
  <c r="BM162" i="4"/>
  <c r="BK365" i="4"/>
  <c r="BM365" i="4"/>
  <c r="BL365" i="4"/>
  <c r="BL41" i="4"/>
  <c r="BM41" i="4"/>
  <c r="BM334" i="4"/>
  <c r="BK334" i="4"/>
  <c r="BL334" i="4"/>
  <c r="BM364" i="4"/>
  <c r="BL364" i="4"/>
  <c r="BK364" i="4"/>
  <c r="BM418" i="4"/>
  <c r="BK418" i="4"/>
  <c r="BL418" i="4"/>
  <c r="BL87" i="4"/>
  <c r="BM87" i="4"/>
  <c r="BK87" i="4"/>
  <c r="BL192" i="4"/>
  <c r="BM192" i="4"/>
  <c r="BK192" i="4"/>
  <c r="BM273" i="4"/>
  <c r="BK273" i="4"/>
  <c r="BL273" i="4"/>
  <c r="BL227" i="4"/>
  <c r="BM227" i="4"/>
  <c r="BK227" i="4"/>
  <c r="BM299" i="4"/>
  <c r="BK299" i="4"/>
  <c r="BL299" i="4"/>
  <c r="BK302" i="4"/>
  <c r="BL302" i="4"/>
  <c r="BM302" i="4"/>
  <c r="BM199" i="4"/>
  <c r="BK199" i="4"/>
  <c r="BL199" i="4"/>
  <c r="BL265" i="4"/>
  <c r="BM265" i="4"/>
  <c r="BK265" i="4"/>
  <c r="BM291" i="4"/>
  <c r="BK291" i="4"/>
  <c r="BL291" i="4"/>
  <c r="BL239" i="4"/>
  <c r="BM239" i="4"/>
  <c r="BK239" i="4"/>
  <c r="BK266" i="4"/>
  <c r="BM266" i="4"/>
  <c r="BL266" i="4"/>
  <c r="BL157" i="4"/>
  <c r="BM157" i="4"/>
  <c r="BK157" i="4"/>
  <c r="BL111" i="4"/>
  <c r="BM111" i="4"/>
  <c r="BK111" i="4"/>
  <c r="BM236" i="4"/>
  <c r="BK236" i="4"/>
  <c r="BL236" i="4"/>
  <c r="BM124" i="4"/>
  <c r="BL124" i="4"/>
  <c r="BK124" i="4"/>
  <c r="BK269" i="4"/>
  <c r="BL269" i="4"/>
  <c r="BM269" i="4"/>
  <c r="BK331" i="4"/>
  <c r="BL331" i="4"/>
  <c r="BM331" i="4"/>
  <c r="BK350" i="4"/>
  <c r="BL350" i="4"/>
  <c r="BM350" i="4"/>
  <c r="BM287" i="4"/>
  <c r="BK287" i="4"/>
  <c r="BL287" i="4"/>
  <c r="BK258" i="4"/>
  <c r="BL258" i="4"/>
  <c r="BM258" i="4"/>
  <c r="BK305" i="4"/>
  <c r="BM305" i="4"/>
  <c r="BL305" i="4"/>
  <c r="BK378" i="4"/>
  <c r="BL378" i="4"/>
  <c r="BM378" i="4"/>
  <c r="BM396" i="4"/>
  <c r="BK396" i="4"/>
  <c r="BL396" i="4"/>
  <c r="BM394" i="4"/>
  <c r="BK394" i="4"/>
  <c r="BL394" i="4"/>
  <c r="BM368" i="4"/>
  <c r="BK368" i="4"/>
  <c r="BL368" i="4"/>
  <c r="CD422" i="4"/>
  <c r="CB422" i="4"/>
  <c r="BM372" i="4"/>
  <c r="BK372" i="4"/>
  <c r="BL372" i="4"/>
  <c r="BK414" i="4"/>
  <c r="BM414" i="4"/>
  <c r="BL414" i="4"/>
  <c r="BM249" i="4"/>
  <c r="BK249" i="4"/>
  <c r="BL249" i="4"/>
  <c r="BK254" i="4"/>
  <c r="BL254" i="4"/>
  <c r="BM254" i="4"/>
  <c r="BK306" i="4"/>
  <c r="BM306" i="4"/>
  <c r="BL306" i="4"/>
  <c r="BL61" i="4"/>
  <c r="BM61" i="4"/>
  <c r="BK61" i="4"/>
  <c r="BM151" i="4"/>
  <c r="BK151" i="4"/>
  <c r="BL151" i="4"/>
  <c r="BK295" i="4"/>
  <c r="BL295" i="4"/>
  <c r="BM295" i="4"/>
  <c r="BM225" i="4"/>
  <c r="BK225" i="4"/>
  <c r="BL225" i="4"/>
  <c r="BM40" i="4"/>
  <c r="BL40" i="4"/>
  <c r="BM216" i="4"/>
  <c r="BL216" i="4"/>
  <c r="BK216" i="4"/>
  <c r="BK173" i="4"/>
  <c r="BL173" i="4"/>
  <c r="BM173" i="4"/>
  <c r="BM264" i="4"/>
  <c r="BL264" i="4"/>
  <c r="BK264" i="4"/>
  <c r="BL167" i="4"/>
  <c r="BM167" i="4"/>
  <c r="BK167" i="4"/>
  <c r="BK342" i="4"/>
  <c r="BL342" i="4"/>
  <c r="BM342" i="4"/>
  <c r="BM136" i="4"/>
  <c r="BL136" i="4"/>
  <c r="BK136" i="4"/>
  <c r="BK194" i="4"/>
  <c r="BM194" i="4"/>
  <c r="BL194" i="4"/>
  <c r="BL145" i="4"/>
  <c r="BM145" i="4"/>
  <c r="BK145" i="4"/>
  <c r="BM33" i="4"/>
  <c r="BL33" i="4"/>
  <c r="BK174" i="4"/>
  <c r="BL174" i="4"/>
  <c r="BM174" i="4"/>
  <c r="BK355" i="4"/>
  <c r="BL355" i="4"/>
  <c r="BM355" i="4"/>
  <c r="BM310" i="4"/>
  <c r="BK310" i="4"/>
  <c r="BL310" i="4"/>
  <c r="BK114" i="4"/>
  <c r="BL114" i="4"/>
  <c r="BM114" i="4"/>
  <c r="BM285" i="4"/>
  <c r="BK285" i="4"/>
  <c r="BL285" i="4"/>
  <c r="BM103" i="4"/>
  <c r="BK103" i="4"/>
  <c r="BL103" i="4"/>
  <c r="BK377" i="4"/>
  <c r="BM377" i="4"/>
  <c r="BL377" i="4"/>
  <c r="BM244" i="4"/>
  <c r="BK244" i="4"/>
  <c r="BL244" i="4"/>
  <c r="HN416" i="4"/>
  <c r="HN422" i="4"/>
  <c r="BM392" i="4"/>
  <c r="BK392" i="4"/>
  <c r="BL392" i="4"/>
  <c r="BM327" i="4"/>
  <c r="BK327" i="4"/>
  <c r="BL327" i="4"/>
  <c r="BX418" i="4"/>
  <c r="BX422" i="4"/>
  <c r="BZ416" i="4"/>
  <c r="AT413" i="4"/>
  <c r="BK398" i="4"/>
  <c r="BM398" i="4"/>
  <c r="BL398" i="4"/>
  <c r="BM408" i="4"/>
  <c r="BL408" i="4"/>
  <c r="BK408" i="4"/>
  <c r="BM56" i="4"/>
  <c r="BK56" i="4"/>
  <c r="BL56" i="4"/>
  <c r="BM297" i="4"/>
  <c r="BK297" i="4"/>
  <c r="BL297" i="4"/>
  <c r="BL72" i="4"/>
  <c r="BM72" i="4"/>
  <c r="BK72" i="4"/>
  <c r="BL34" i="4"/>
  <c r="BM34" i="4"/>
  <c r="BK150" i="4"/>
  <c r="BL150" i="4"/>
  <c r="BM150" i="4"/>
  <c r="BL84" i="4"/>
  <c r="BM84" i="4"/>
  <c r="BK84" i="4"/>
  <c r="BM301" i="4"/>
  <c r="BK301" i="4"/>
  <c r="BL301" i="4"/>
  <c r="BM272" i="4"/>
  <c r="BK272" i="4"/>
  <c r="BL272" i="4"/>
  <c r="BL134" i="4"/>
  <c r="BK134" i="4"/>
  <c r="BM134" i="4"/>
  <c r="BM44" i="4"/>
  <c r="BL44" i="4"/>
  <c r="BK185" i="4"/>
  <c r="BL185" i="4"/>
  <c r="BM185" i="4"/>
  <c r="BL147" i="4"/>
  <c r="BM147" i="4"/>
  <c r="BK147" i="4"/>
  <c r="BL50" i="4"/>
  <c r="BM50" i="4"/>
  <c r="BM112" i="4"/>
  <c r="BL112" i="4"/>
  <c r="BK112" i="4"/>
  <c r="BK270" i="4"/>
  <c r="BM270" i="4"/>
  <c r="BL270" i="4"/>
  <c r="BM31" i="4"/>
  <c r="BL31" i="4"/>
  <c r="AR418" i="4"/>
  <c r="AR422" i="4"/>
  <c r="BK113" i="4"/>
  <c r="BL113" i="4"/>
  <c r="BM113" i="4"/>
  <c r="BL85" i="4"/>
  <c r="BM85" i="4"/>
  <c r="BK85" i="4"/>
  <c r="BM247" i="4"/>
  <c r="BK247" i="4"/>
  <c r="BL247" i="4"/>
  <c r="BM177" i="4"/>
  <c r="BK177" i="4"/>
  <c r="BL177" i="4"/>
  <c r="BM279" i="4"/>
  <c r="BK279" i="4"/>
  <c r="BL279" i="4"/>
  <c r="BM323" i="4"/>
  <c r="BK323" i="4"/>
  <c r="BL323" i="4"/>
  <c r="BM347" i="4"/>
  <c r="BK347" i="4"/>
  <c r="BL347" i="4"/>
  <c r="BK318" i="4"/>
  <c r="BM318" i="4"/>
  <c r="BL318" i="4"/>
  <c r="BM383" i="4"/>
  <c r="BK383" i="4"/>
  <c r="BL383" i="4"/>
  <c r="BM412" i="4"/>
  <c r="BK412" i="4"/>
  <c r="BL412" i="4"/>
  <c r="HP414" i="4"/>
  <c r="BM419" i="4"/>
  <c r="BK419" i="4"/>
  <c r="BL419" i="4"/>
  <c r="BZ422" i="4"/>
  <c r="BM380" i="4"/>
  <c r="BK380" i="4"/>
  <c r="BL380" i="4"/>
  <c r="BK125" i="4"/>
  <c r="BL125" i="4"/>
  <c r="BM125" i="4"/>
  <c r="BM200" i="4"/>
  <c r="BK200" i="4"/>
  <c r="BL200" i="4"/>
  <c r="BL119" i="4"/>
  <c r="BM119" i="4"/>
  <c r="BK119" i="4"/>
  <c r="BM250" i="4"/>
  <c r="BK250" i="4"/>
  <c r="BL250" i="4"/>
  <c r="BL96" i="4"/>
  <c r="BM96" i="4"/>
  <c r="BK96" i="4"/>
  <c r="BL42" i="4"/>
  <c r="BM42" i="4"/>
  <c r="BM268" i="4"/>
  <c r="BL268" i="4"/>
  <c r="BK268" i="4"/>
  <c r="BL130" i="4"/>
  <c r="BM130" i="4"/>
  <c r="BK130" i="4"/>
  <c r="BK65" i="4"/>
  <c r="BL65" i="4"/>
  <c r="BM65" i="4"/>
  <c r="BL255" i="4"/>
  <c r="BM255" i="4"/>
  <c r="BK255" i="4"/>
  <c r="BL183" i="4"/>
  <c r="BM183" i="4"/>
  <c r="BK183" i="4"/>
  <c r="BM187" i="4"/>
  <c r="BK187" i="4"/>
  <c r="BL187" i="4"/>
  <c r="BL106" i="4"/>
  <c r="BM106" i="4"/>
  <c r="BK106" i="4"/>
  <c r="BL253" i="4"/>
  <c r="BM253" i="4"/>
  <c r="BK253" i="4"/>
  <c r="BL62" i="4"/>
  <c r="BK62" i="4"/>
  <c r="BM62" i="4"/>
  <c r="BM81" i="4"/>
  <c r="BK81" i="4"/>
  <c r="BL81" i="4"/>
  <c r="BL75" i="4"/>
  <c r="BM75" i="4"/>
  <c r="BK75" i="4"/>
  <c r="BK233" i="4"/>
  <c r="BL233" i="4"/>
  <c r="BM233" i="4"/>
  <c r="BM262" i="4"/>
  <c r="BK262" i="4"/>
  <c r="BL262" i="4"/>
  <c r="BM315" i="4"/>
  <c r="BK315" i="4"/>
  <c r="BL315" i="4"/>
  <c r="HJ422" i="4"/>
  <c r="BL191" i="4"/>
  <c r="BM191" i="4"/>
  <c r="BK191" i="4"/>
  <c r="BM384" i="4"/>
  <c r="BK384" i="4"/>
  <c r="BL384" i="4"/>
  <c r="BK366" i="4"/>
  <c r="BM366" i="4"/>
  <c r="BL366" i="4"/>
  <c r="BK401" i="4"/>
  <c r="BM401" i="4"/>
  <c r="BL401" i="4"/>
  <c r="BM387" i="4"/>
  <c r="BK387" i="4"/>
  <c r="BL387" i="4"/>
  <c r="BM406" i="4"/>
  <c r="BK406" i="4"/>
  <c r="BL406" i="4"/>
  <c r="AT422" i="4"/>
  <c r="BM348" i="4"/>
  <c r="BL348" i="4"/>
  <c r="BK348" i="4"/>
  <c r="BM397" i="4"/>
  <c r="BK397" i="4"/>
  <c r="BL397" i="4"/>
  <c r="BM417" i="4"/>
  <c r="BK417" i="4"/>
  <c r="BL417" i="4"/>
  <c r="GT245" i="4"/>
  <c r="GT276" i="4"/>
  <c r="EN422" i="4"/>
  <c r="DS422" i="4"/>
  <c r="CN422" i="4"/>
  <c r="EW422" i="4"/>
  <c r="DI422" i="4"/>
  <c r="DP422" i="4"/>
  <c r="GA422" i="4"/>
  <c r="EP422" i="4"/>
  <c r="FB422" i="4"/>
  <c r="DN422" i="4"/>
  <c r="EG422" i="4"/>
  <c r="DC422" i="4"/>
  <c r="CX422" i="4"/>
  <c r="FD422" i="4"/>
  <c r="ES422" i="4"/>
  <c r="EI422" i="4"/>
  <c r="GP422" i="4"/>
  <c r="DL422" i="4"/>
  <c r="EY422" i="4"/>
  <c r="EE422" i="4"/>
  <c r="EL422" i="4"/>
  <c r="EZ422" i="4"/>
  <c r="GF422" i="4"/>
  <c r="CS420" i="4"/>
  <c r="EK422" i="4"/>
  <c r="CJ422" i="4"/>
  <c r="FY422" i="4"/>
  <c r="DJ422" i="4"/>
  <c r="CZ422" i="4"/>
  <c r="GO422" i="4"/>
  <c r="GB422" i="4"/>
  <c r="ER422" i="4"/>
  <c r="DG422" i="4"/>
  <c r="DE422" i="4"/>
  <c r="CQ422" i="4"/>
  <c r="EB9" i="4"/>
  <c r="EB422" i="4"/>
  <c r="CV422" i="4"/>
  <c r="AD422" i="4" s="1"/>
  <c r="EU422" i="4"/>
  <c r="GH422" i="4"/>
  <c r="CU422" i="4"/>
  <c r="FF422" i="4"/>
  <c r="GI422" i="4"/>
  <c r="FG422" i="4"/>
  <c r="DW422" i="4"/>
  <c r="CL422" i="4"/>
  <c r="FW422" i="4"/>
  <c r="DU422" i="4"/>
  <c r="DX422" i="4"/>
  <c r="DZ422" i="4"/>
  <c r="DQ422" i="4"/>
  <c r="DB422" i="4"/>
  <c r="CO422" i="4"/>
  <c r="CS422" i="4"/>
  <c r="GT422" i="4"/>
  <c r="ED422" i="4"/>
  <c r="GK422" i="4"/>
  <c r="GK367" i="4"/>
  <c r="CD415" i="4"/>
  <c r="CB415" i="4"/>
  <c r="CH421" i="4"/>
  <c r="CH415" i="4"/>
  <c r="CD417" i="4"/>
  <c r="CH417" i="4"/>
  <c r="AR415" i="4"/>
  <c r="CU420" i="4"/>
  <c r="BZ415" i="4"/>
  <c r="HN414" i="4"/>
  <c r="CF421" i="4"/>
  <c r="AR416" i="4"/>
  <c r="BX416" i="4"/>
  <c r="FB420" i="4"/>
  <c r="HJ420" i="4"/>
  <c r="HJ421" i="4"/>
  <c r="HJ419" i="4"/>
  <c r="HJ417" i="4"/>
  <c r="HJ416" i="4"/>
  <c r="HJ418" i="4"/>
  <c r="AT415" i="4"/>
  <c r="AR413" i="4"/>
  <c r="AP416" i="4"/>
  <c r="BX421" i="4"/>
  <c r="EY420" i="4"/>
  <c r="CF415" i="4"/>
  <c r="HP417" i="4"/>
  <c r="CD421" i="4"/>
  <c r="CB416" i="4"/>
  <c r="GO381" i="4"/>
  <c r="HT419" i="4"/>
  <c r="HT416" i="4"/>
  <c r="HT414" i="4"/>
  <c r="HT415" i="4"/>
  <c r="HT417" i="4"/>
  <c r="HT418" i="4"/>
  <c r="AJ421" i="4"/>
  <c r="AJ415" i="4"/>
  <c r="R415" i="4" s="1"/>
  <c r="AJ416" i="4"/>
  <c r="R416" i="4" s="1"/>
  <c r="AJ417" i="4"/>
  <c r="R417" i="4" s="1"/>
  <c r="AJ419" i="4"/>
  <c r="AJ420" i="4"/>
  <c r="R420" i="4" s="1"/>
  <c r="AJ418" i="4"/>
  <c r="R418" i="4" s="1"/>
  <c r="AJ422" i="4"/>
  <c r="R422" i="4" s="1"/>
  <c r="AJ414" i="4"/>
  <c r="R414" i="4" s="1"/>
  <c r="CB417" i="4"/>
  <c r="AP421" i="4"/>
  <c r="CH416" i="4"/>
  <c r="BX417" i="4"/>
  <c r="CB421" i="4"/>
  <c r="HP416" i="4"/>
  <c r="AT421" i="4"/>
  <c r="CB419" i="4"/>
  <c r="CD418" i="4"/>
  <c r="HP420" i="4"/>
  <c r="HN415" i="4"/>
  <c r="BZ421" i="4"/>
  <c r="HR416" i="4"/>
  <c r="CL420" i="4"/>
  <c r="CF418" i="4"/>
  <c r="CF419" i="4"/>
  <c r="BX415" i="4"/>
  <c r="GO361" i="4"/>
  <c r="FB361" i="4"/>
  <c r="HL416" i="4"/>
  <c r="HL420" i="4"/>
  <c r="HL421" i="4"/>
  <c r="HL417" i="4"/>
  <c r="HL414" i="4"/>
  <c r="HL418" i="4"/>
  <c r="HL415" i="4"/>
  <c r="HL419" i="4"/>
  <c r="BZ418" i="4"/>
  <c r="BX419" i="4"/>
  <c r="BZ419" i="4"/>
  <c r="BZ417" i="4"/>
  <c r="AP415" i="4"/>
  <c r="CD416" i="4"/>
  <c r="AR419" i="4"/>
  <c r="AT416" i="4"/>
  <c r="HP415" i="4"/>
  <c r="CF416" i="4"/>
  <c r="CZ420" i="4"/>
  <c r="HN419" i="4"/>
  <c r="CH418" i="4"/>
  <c r="AP419" i="4"/>
  <c r="CF417" i="4"/>
  <c r="AT418" i="4"/>
  <c r="CB418" i="4"/>
  <c r="HN421" i="4"/>
  <c r="HN420" i="4"/>
  <c r="DL420" i="4"/>
  <c r="CD419" i="4"/>
  <c r="HP418" i="4"/>
  <c r="AP413" i="4"/>
  <c r="HP421" i="4"/>
  <c r="GK378" i="4"/>
  <c r="GK396" i="4"/>
  <c r="GK399" i="4"/>
  <c r="GK420" i="4"/>
  <c r="EN420" i="4"/>
  <c r="DU420" i="4"/>
  <c r="GK394" i="4"/>
  <c r="GK361" i="4"/>
  <c r="DE420" i="4"/>
  <c r="GK390" i="4"/>
  <c r="GK414" i="4"/>
  <c r="GK386" i="4"/>
  <c r="DN421" i="4"/>
  <c r="EG421" i="4"/>
  <c r="EP421" i="4"/>
  <c r="CX421" i="4"/>
  <c r="FB421" i="4"/>
  <c r="GM421" i="4"/>
  <c r="EI421" i="4"/>
  <c r="DB421" i="4"/>
  <c r="DZ421" i="4"/>
  <c r="FD421" i="4"/>
  <c r="ES421" i="4"/>
  <c r="GO421" i="4"/>
  <c r="DQ421" i="4"/>
  <c r="EN421" i="4"/>
  <c r="DS421" i="4"/>
  <c r="CN421" i="4"/>
  <c r="EW421" i="4"/>
  <c r="FF421" i="4"/>
  <c r="DC421" i="4"/>
  <c r="CJ421" i="4"/>
  <c r="CS421" i="4"/>
  <c r="DG421" i="4"/>
  <c r="FG421" i="4"/>
  <c r="EZ421" i="4"/>
  <c r="GK421" i="4"/>
  <c r="CO421" i="4"/>
  <c r="EE421" i="4"/>
  <c r="EY421" i="4"/>
  <c r="FW421" i="4"/>
  <c r="ED421" i="4"/>
  <c r="CU421" i="4"/>
  <c r="DE421" i="4"/>
  <c r="EB421" i="4"/>
  <c r="CV421" i="4"/>
  <c r="AD421" i="4" s="1"/>
  <c r="ER421" i="4"/>
  <c r="DU421" i="4"/>
  <c r="DP421" i="4"/>
  <c r="CZ421" i="4"/>
  <c r="GB419" i="4"/>
  <c r="EL421" i="4"/>
  <c r="GH421" i="4"/>
  <c r="CL421" i="4"/>
  <c r="GA421" i="4"/>
  <c r="GI421" i="4"/>
  <c r="CQ421" i="4"/>
  <c r="DL421" i="4"/>
  <c r="DI419" i="4"/>
  <c r="GB421" i="4"/>
  <c r="GF421" i="4"/>
  <c r="DW421" i="4"/>
  <c r="GP421" i="4"/>
  <c r="FY421" i="4"/>
  <c r="DX421" i="4"/>
  <c r="EU421" i="4"/>
  <c r="EK421" i="4"/>
  <c r="HT420" i="4"/>
  <c r="HT421" i="4"/>
  <c r="HR420" i="4"/>
  <c r="HR421" i="4"/>
  <c r="GT421" i="4"/>
  <c r="GY421" i="4"/>
  <c r="DI421" i="4"/>
  <c r="DJ421" i="4"/>
  <c r="DN419" i="4"/>
  <c r="EG419" i="4"/>
  <c r="EP419" i="4"/>
  <c r="CX419" i="4"/>
  <c r="FB419" i="4"/>
  <c r="GM419" i="4"/>
  <c r="EI419" i="4"/>
  <c r="DB419" i="4"/>
  <c r="DZ419" i="4"/>
  <c r="FD419" i="4"/>
  <c r="ER419" i="4"/>
  <c r="GO419" i="4"/>
  <c r="DQ419" i="4"/>
  <c r="EN419" i="4"/>
  <c r="DS419" i="4"/>
  <c r="CO419" i="4"/>
  <c r="EW419" i="4"/>
  <c r="EL419" i="4"/>
  <c r="CV419" i="4"/>
  <c r="AD419" i="4" s="1"/>
  <c r="CN419" i="4"/>
  <c r="GF419" i="4"/>
  <c r="CZ419" i="4"/>
  <c r="CS419" i="4"/>
  <c r="DP419" i="4"/>
  <c r="DC419" i="4"/>
  <c r="CJ419" i="4"/>
  <c r="GI419" i="4"/>
  <c r="DJ419" i="4"/>
  <c r="CQ419" i="4"/>
  <c r="GH419" i="4"/>
  <c r="DE419" i="4"/>
  <c r="EU419" i="4"/>
  <c r="EE419" i="4"/>
  <c r="FF419" i="4"/>
  <c r="ED419" i="4"/>
  <c r="FG419" i="4"/>
  <c r="EZ419" i="4"/>
  <c r="GP419" i="4"/>
  <c r="FW419" i="4"/>
  <c r="DU419" i="4"/>
  <c r="EY419" i="4"/>
  <c r="GA419" i="4"/>
  <c r="ES419" i="4"/>
  <c r="DX419" i="4"/>
  <c r="GK419" i="4"/>
  <c r="DW419" i="4"/>
  <c r="DG419" i="4"/>
  <c r="DL419" i="4"/>
  <c r="CL419" i="4"/>
  <c r="EK419" i="4"/>
  <c r="CU419" i="4"/>
  <c r="FY419" i="4"/>
  <c r="EB419" i="4"/>
  <c r="HR419" i="4"/>
  <c r="HR417" i="4"/>
  <c r="HR418" i="4"/>
  <c r="GT419" i="4"/>
  <c r="GY419" i="4"/>
  <c r="GM415" i="4"/>
  <c r="DN416" i="4"/>
  <c r="GH417" i="4"/>
  <c r="CS361" i="4"/>
  <c r="CS364" i="4"/>
  <c r="GW384" i="4"/>
  <c r="CL361" i="4"/>
  <c r="EU370" i="4"/>
  <c r="EU414" i="4"/>
  <c r="CS358" i="4"/>
  <c r="EB10" i="4"/>
  <c r="DI416" i="4"/>
  <c r="EB416" i="4"/>
  <c r="GA418" i="4"/>
  <c r="DS417" i="4"/>
  <c r="EN416" i="4"/>
  <c r="CU417" i="4"/>
  <c r="CN416" i="4"/>
  <c r="EW417" i="4"/>
  <c r="EI415" i="4"/>
  <c r="EG415" i="4"/>
  <c r="DB418" i="4"/>
  <c r="CX416" i="4"/>
  <c r="EL417" i="4"/>
  <c r="CN417" i="4"/>
  <c r="DW417" i="4"/>
  <c r="ES415" i="4"/>
  <c r="DZ416" i="4"/>
  <c r="EP417" i="4"/>
  <c r="FB415" i="4"/>
  <c r="CV417" i="4"/>
  <c r="AD417" i="4" s="1"/>
  <c r="EK417" i="4"/>
  <c r="GO417" i="4"/>
  <c r="FD417" i="4"/>
  <c r="CO417" i="4"/>
  <c r="DQ417" i="4"/>
  <c r="GP417" i="4"/>
  <c r="FG416" i="4"/>
  <c r="GB416" i="4"/>
  <c r="EZ418" i="4"/>
  <c r="CQ418" i="4"/>
  <c r="DQ415" i="4"/>
  <c r="DG415" i="4"/>
  <c r="CJ416" i="4"/>
  <c r="GK417" i="4"/>
  <c r="DN418" i="4"/>
  <c r="EW416" i="4"/>
  <c r="EI416" i="4"/>
  <c r="ER415" i="4"/>
  <c r="DE417" i="4"/>
  <c r="DJ417" i="4"/>
  <c r="GA417" i="4"/>
  <c r="DX417" i="4"/>
  <c r="DP416" i="4"/>
  <c r="DW416" i="4"/>
  <c r="GI416" i="4"/>
  <c r="EY418" i="4"/>
  <c r="CS418" i="4"/>
  <c r="DX415" i="4"/>
  <c r="DP415" i="4"/>
  <c r="DN415" i="4"/>
  <c r="EB418" i="4"/>
  <c r="CL417" i="4"/>
  <c r="EP415" i="4"/>
  <c r="CO415" i="4"/>
  <c r="DG416" i="4"/>
  <c r="EG416" i="4"/>
  <c r="DL418" i="4"/>
  <c r="FB417" i="4"/>
  <c r="DI417" i="4"/>
  <c r="GB417" i="4"/>
  <c r="DQ416" i="4"/>
  <c r="DX416" i="4"/>
  <c r="GH416" i="4"/>
  <c r="GI418" i="4"/>
  <c r="DQ418" i="4"/>
  <c r="CO418" i="4"/>
  <c r="GF418" i="4"/>
  <c r="DW415" i="4"/>
  <c r="EN415" i="4"/>
  <c r="GH415" i="4"/>
  <c r="EU417" i="4"/>
  <c r="EP416" i="4"/>
  <c r="CN415" i="4"/>
  <c r="DE416" i="4"/>
  <c r="GM416" i="4"/>
  <c r="EW418" i="4"/>
  <c r="DB416" i="4"/>
  <c r="ER416" i="4"/>
  <c r="GP416" i="4"/>
  <c r="GH418" i="4"/>
  <c r="DP418" i="4"/>
  <c r="CN418" i="4"/>
  <c r="DE418" i="4"/>
  <c r="EI418" i="4"/>
  <c r="EW415" i="4"/>
  <c r="EL415" i="4"/>
  <c r="GI415" i="4"/>
  <c r="FB418" i="4"/>
  <c r="DU416" i="4"/>
  <c r="DL415" i="4"/>
  <c r="GF416" i="4"/>
  <c r="DS415" i="4"/>
  <c r="DC416" i="4"/>
  <c r="ES416" i="4"/>
  <c r="GO416" i="4"/>
  <c r="FG418" i="4"/>
  <c r="GP418" i="4"/>
  <c r="DX418" i="4"/>
  <c r="GP415" i="4"/>
  <c r="EK415" i="4"/>
  <c r="GM417" i="4"/>
  <c r="DB415" i="4"/>
  <c r="CL416" i="4"/>
  <c r="EB417" i="4"/>
  <c r="EY415" i="4"/>
  <c r="GF417" i="4"/>
  <c r="DS416" i="4"/>
  <c r="FG417" i="4"/>
  <c r="CO416" i="4"/>
  <c r="EZ416" i="4"/>
  <c r="FF418" i="4"/>
  <c r="GO418" i="4"/>
  <c r="DW418" i="4"/>
  <c r="EU418" i="4"/>
  <c r="GO415" i="4"/>
  <c r="EI417" i="4"/>
  <c r="EN418" i="4"/>
  <c r="DC415" i="4"/>
  <c r="DZ417" i="4"/>
  <c r="GM418" i="4"/>
  <c r="DN417" i="4"/>
  <c r="CZ415" i="4"/>
  <c r="EZ415" i="4"/>
  <c r="EP418" i="4"/>
  <c r="CQ417" i="4"/>
  <c r="GT415" i="4"/>
  <c r="FF417" i="4"/>
  <c r="EY416" i="4"/>
  <c r="DJ418" i="4"/>
  <c r="CZ418" i="4"/>
  <c r="FD415" i="4"/>
  <c r="DS418" i="4"/>
  <c r="EG417" i="4"/>
  <c r="DJ415" i="4"/>
  <c r="FG415" i="4"/>
  <c r="CJ415" i="4"/>
  <c r="CX418" i="4"/>
  <c r="EU415" i="4"/>
  <c r="EE417" i="4"/>
  <c r="EZ417" i="4"/>
  <c r="EK416" i="4"/>
  <c r="EE416" i="4"/>
  <c r="DI418" i="4"/>
  <c r="CL418" i="4"/>
  <c r="DU417" i="4"/>
  <c r="EN417" i="4"/>
  <c r="CS416" i="4"/>
  <c r="CS417" i="4"/>
  <c r="CX415" i="4"/>
  <c r="GB415" i="4"/>
  <c r="GT416" i="4"/>
  <c r="DI415" i="4"/>
  <c r="FF415" i="4"/>
  <c r="DG417" i="4"/>
  <c r="FD418" i="4"/>
  <c r="ED415" i="4"/>
  <c r="ED417" i="4"/>
  <c r="EY417" i="4"/>
  <c r="EB415" i="4"/>
  <c r="EL416" i="4"/>
  <c r="ED416" i="4"/>
  <c r="ES418" i="4"/>
  <c r="EL418" i="4"/>
  <c r="EE418" i="4"/>
  <c r="DU418" i="4"/>
  <c r="DL417" i="4"/>
  <c r="CQ416" i="4"/>
  <c r="CX417" i="4"/>
  <c r="CQ415" i="4"/>
  <c r="GA415" i="4"/>
  <c r="DE415" i="4"/>
  <c r="FW415" i="4"/>
  <c r="FB416" i="4"/>
  <c r="EE415" i="4"/>
  <c r="DB417" i="4"/>
  <c r="ES417" i="4"/>
  <c r="DP417" i="4"/>
  <c r="CU416" i="4"/>
  <c r="DJ416" i="4"/>
  <c r="ER418" i="4"/>
  <c r="EK418" i="4"/>
  <c r="ED418" i="4"/>
  <c r="FW418" i="4"/>
  <c r="EU416" i="4"/>
  <c r="CJ418" i="4"/>
  <c r="FD416" i="4"/>
  <c r="FW417" i="4"/>
  <c r="CU415" i="4"/>
  <c r="CZ417" i="4"/>
  <c r="CS415" i="4"/>
  <c r="GF415" i="4"/>
  <c r="DZ415" i="4"/>
  <c r="DC417" i="4"/>
  <c r="ER417" i="4"/>
  <c r="CV416" i="4"/>
  <c r="AD416" i="4" s="1"/>
  <c r="DC418" i="4"/>
  <c r="CV418" i="4"/>
  <c r="AD418" i="4" s="1"/>
  <c r="GB418" i="4"/>
  <c r="DZ418" i="4"/>
  <c r="FY416" i="4"/>
  <c r="DL416" i="4"/>
  <c r="FY418" i="4"/>
  <c r="FW416" i="4"/>
  <c r="CV415" i="4"/>
  <c r="AD415" i="4" s="1"/>
  <c r="CZ416" i="4"/>
  <c r="GK418" i="4"/>
  <c r="EG418" i="4"/>
  <c r="CL415" i="4"/>
  <c r="DU415" i="4"/>
  <c r="FY415" i="4"/>
  <c r="GI417" i="4"/>
  <c r="FF416" i="4"/>
  <c r="GA416" i="4"/>
  <c r="CU418" i="4"/>
  <c r="DG418" i="4"/>
  <c r="GK416" i="4"/>
  <c r="FY417" i="4"/>
  <c r="CJ417" i="4"/>
  <c r="GK415" i="4"/>
  <c r="HN417" i="4"/>
  <c r="HN418" i="4"/>
  <c r="HB417" i="4"/>
  <c r="HE417" i="4"/>
  <c r="GT418" i="4"/>
  <c r="GW418" i="4"/>
  <c r="HR414" i="4"/>
  <c r="HR415" i="4"/>
  <c r="HJ414" i="4"/>
  <c r="HJ415" i="4"/>
  <c r="GF322" i="4"/>
  <c r="EU359" i="4"/>
  <c r="GO409" i="4"/>
  <c r="EU358" i="4"/>
  <c r="FW366" i="4"/>
  <c r="DI413" i="4"/>
  <c r="EU381" i="4"/>
  <c r="GO367" i="4"/>
  <c r="DL412" i="4"/>
  <c r="DQ412" i="4"/>
  <c r="GF389" i="4"/>
  <c r="EU361" i="4"/>
  <c r="EU367" i="4"/>
  <c r="ED410" i="4"/>
  <c r="GK362" i="4"/>
  <c r="GK383" i="4"/>
  <c r="GK379" i="4"/>
  <c r="DZ413" i="4"/>
  <c r="EU400" i="4"/>
  <c r="EU385" i="4"/>
  <c r="GK392" i="4"/>
  <c r="GK405" i="4"/>
  <c r="GP409" i="4"/>
  <c r="GK385" i="4"/>
  <c r="GK407" i="4"/>
  <c r="GK371" i="4"/>
  <c r="GK397" i="4"/>
  <c r="EU386" i="4"/>
  <c r="GB412" i="4"/>
  <c r="DS410" i="4"/>
  <c r="GO412" i="4"/>
  <c r="GK402" i="4"/>
  <c r="HP411" i="4"/>
  <c r="GK359" i="4"/>
  <c r="GK408" i="4"/>
  <c r="CX410" i="4"/>
  <c r="EW409" i="4"/>
  <c r="GK409" i="4"/>
  <c r="GA412" i="4"/>
  <c r="DG412" i="4"/>
  <c r="GK355" i="4"/>
  <c r="GK377" i="4"/>
  <c r="GK369" i="4"/>
  <c r="DN409" i="4"/>
  <c r="EG410" i="4"/>
  <c r="CS410" i="4"/>
  <c r="DI410" i="4"/>
  <c r="GK389" i="4"/>
  <c r="GK388" i="4"/>
  <c r="GK391" i="4"/>
  <c r="EN409" i="4"/>
  <c r="CH409" i="4"/>
  <c r="GM412" i="4"/>
  <c r="GK375" i="4"/>
  <c r="GK374" i="4"/>
  <c r="GK365" i="4"/>
  <c r="GF396" i="4"/>
  <c r="GK370" i="4"/>
  <c r="GK404" i="4"/>
  <c r="CO412" i="4"/>
  <c r="DI411" i="4"/>
  <c r="ES410" i="4"/>
  <c r="DB412" i="4"/>
  <c r="EI413" i="4"/>
  <c r="GK373" i="4"/>
  <c r="GK395" i="4"/>
  <c r="GK363" i="4"/>
  <c r="GK401" i="4"/>
  <c r="GK393" i="4"/>
  <c r="EU393" i="4"/>
  <c r="FW412" i="4"/>
  <c r="GK360" i="4"/>
  <c r="GK376" i="4"/>
  <c r="GK384" i="4"/>
  <c r="GK366" i="4"/>
  <c r="GF393" i="4"/>
  <c r="GF397" i="4"/>
  <c r="GK406" i="4"/>
  <c r="FD412" i="4"/>
  <c r="EP413" i="4"/>
  <c r="GK387" i="4"/>
  <c r="FB409" i="4"/>
  <c r="CB413" i="4"/>
  <c r="GK358" i="4"/>
  <c r="GK381" i="4"/>
  <c r="GK357" i="4"/>
  <c r="GK400" i="4"/>
  <c r="GK382" i="4"/>
  <c r="GK368" i="4"/>
  <c r="DS412" i="4"/>
  <c r="DX409" i="4"/>
  <c r="DE409" i="4"/>
  <c r="DU412" i="4"/>
  <c r="FF410" i="4"/>
  <c r="DP412" i="4"/>
  <c r="FD413" i="4"/>
  <c r="CX412" i="4"/>
  <c r="GU414" i="4"/>
  <c r="GV414" i="4" s="1"/>
  <c r="GW414" i="4"/>
  <c r="BZ409" i="4"/>
  <c r="BX410" i="4"/>
  <c r="BX411" i="4"/>
  <c r="EK413" i="4"/>
  <c r="EE413" i="4"/>
  <c r="DU413" i="4"/>
  <c r="DL413" i="4"/>
  <c r="AR410" i="4"/>
  <c r="AR409" i="4"/>
  <c r="AR411" i="4"/>
  <c r="AR412" i="4"/>
  <c r="HJ413" i="4"/>
  <c r="HJ412" i="4"/>
  <c r="EU373" i="4"/>
  <c r="EU377" i="4"/>
  <c r="EU404" i="4"/>
  <c r="EU368" i="4"/>
  <c r="BZ411" i="4"/>
  <c r="BZ410" i="4"/>
  <c r="BX412" i="4"/>
  <c r="GA409" i="4"/>
  <c r="ES409" i="4"/>
  <c r="GB413" i="4"/>
  <c r="EY413" i="4"/>
  <c r="GP413" i="4"/>
  <c r="DG413" i="4"/>
  <c r="DZ409" i="4"/>
  <c r="ED411" i="4"/>
  <c r="GP412" i="4"/>
  <c r="GA411" i="4"/>
  <c r="DQ410" i="4"/>
  <c r="DG410" i="4"/>
  <c r="GF409" i="4"/>
  <c r="CX411" i="4"/>
  <c r="DU409" i="4"/>
  <c r="HP410" i="4"/>
  <c r="DJ411" i="4"/>
  <c r="FG411" i="4"/>
  <c r="FW411" i="4"/>
  <c r="EY412" i="4"/>
  <c r="FB367" i="4"/>
  <c r="EU355" i="4"/>
  <c r="EU378" i="4"/>
  <c r="EU363" i="4"/>
  <c r="HR413" i="4"/>
  <c r="HR412" i="4"/>
  <c r="AT409" i="4"/>
  <c r="AT411" i="4"/>
  <c r="AT410" i="4"/>
  <c r="AT412" i="4"/>
  <c r="EB412" i="4"/>
  <c r="EB411" i="4"/>
  <c r="EB410" i="4"/>
  <c r="BX409" i="4"/>
  <c r="GB409" i="4"/>
  <c r="ER409" i="4"/>
  <c r="FF409" i="4"/>
  <c r="GA413" i="4"/>
  <c r="EZ413" i="4"/>
  <c r="GO413" i="4"/>
  <c r="CQ413" i="4"/>
  <c r="EG409" i="4"/>
  <c r="EE411" i="4"/>
  <c r="GO410" i="4"/>
  <c r="GB411" i="4"/>
  <c r="DP411" i="4"/>
  <c r="DN411" i="4"/>
  <c r="DC410" i="4"/>
  <c r="CQ411" i="4"/>
  <c r="CV410" i="4"/>
  <c r="AD410" i="4" s="1"/>
  <c r="DS409" i="4"/>
  <c r="BZ412" i="4"/>
  <c r="DI412" i="4"/>
  <c r="FF412" i="4"/>
  <c r="FW410" i="4"/>
  <c r="EY411" i="4"/>
  <c r="EU384" i="4"/>
  <c r="EU395" i="4"/>
  <c r="GT403" i="4"/>
  <c r="CF411" i="4"/>
  <c r="CF410" i="4"/>
  <c r="DI409" i="4"/>
  <c r="DB409" i="4"/>
  <c r="DQ409" i="4"/>
  <c r="FG409" i="4"/>
  <c r="DC413" i="4"/>
  <c r="DQ413" i="4"/>
  <c r="DX413" i="4"/>
  <c r="FD409" i="4"/>
  <c r="CL409" i="4"/>
  <c r="ED412" i="4"/>
  <c r="CL413" i="4"/>
  <c r="DW411" i="4"/>
  <c r="GP410" i="4"/>
  <c r="EN410" i="4"/>
  <c r="DS413" i="4"/>
  <c r="DN412" i="4"/>
  <c r="DB411" i="4"/>
  <c r="CQ410" i="4"/>
  <c r="CV411" i="4"/>
  <c r="AD411" i="4" s="1"/>
  <c r="CJ409" i="4"/>
  <c r="FY413" i="4"/>
  <c r="DJ412" i="4"/>
  <c r="FG412" i="4"/>
  <c r="CH413" i="4"/>
  <c r="EZ411" i="4"/>
  <c r="EU390" i="4"/>
  <c r="EU401" i="4"/>
  <c r="EU387" i="4"/>
  <c r="CD410" i="4"/>
  <c r="CD411" i="4"/>
  <c r="HT408" i="4"/>
  <c r="HT409" i="4"/>
  <c r="HT411" i="4"/>
  <c r="HT413" i="4"/>
  <c r="HT410" i="4"/>
  <c r="HT412" i="4"/>
  <c r="AJ408" i="4"/>
  <c r="R408" i="4" s="1"/>
  <c r="AJ409" i="4"/>
  <c r="R409" i="4" s="1"/>
  <c r="AJ410" i="4"/>
  <c r="R410" i="4" s="1"/>
  <c r="AJ411" i="4"/>
  <c r="R411" i="4" s="1"/>
  <c r="DJ409" i="4"/>
  <c r="DC409" i="4"/>
  <c r="DP409" i="4"/>
  <c r="DB413" i="4"/>
  <c r="DP413" i="4"/>
  <c r="DW413" i="4"/>
  <c r="GK413" i="4"/>
  <c r="EU410" i="4"/>
  <c r="GK411" i="4"/>
  <c r="EE412" i="4"/>
  <c r="DX411" i="4"/>
  <c r="GO411" i="4"/>
  <c r="HP412" i="4"/>
  <c r="EN412" i="4"/>
  <c r="DE413" i="4"/>
  <c r="DN410" i="4"/>
  <c r="DB410" i="4"/>
  <c r="EP411" i="4"/>
  <c r="CU410" i="4"/>
  <c r="CN411" i="4"/>
  <c r="CB409" i="4"/>
  <c r="DE411" i="4"/>
  <c r="GF413" i="4"/>
  <c r="EB413" i="4"/>
  <c r="EY410" i="4"/>
  <c r="FB358" i="4"/>
  <c r="EU383" i="4"/>
  <c r="EU376" i="4"/>
  <c r="EU379" i="4"/>
  <c r="DZ410" i="4"/>
  <c r="DZ412" i="4"/>
  <c r="DZ411" i="4"/>
  <c r="EU382" i="4"/>
  <c r="GH409" i="4"/>
  <c r="EK409" i="4"/>
  <c r="CV413" i="4"/>
  <c r="AD413" i="4" s="1"/>
  <c r="GH413" i="4"/>
  <c r="ER410" i="4"/>
  <c r="CL410" i="4"/>
  <c r="EU412" i="4"/>
  <c r="BZ413" i="4"/>
  <c r="GF411" i="4"/>
  <c r="DG409" i="4"/>
  <c r="DX412" i="4"/>
  <c r="GP411" i="4"/>
  <c r="FW413" i="4"/>
  <c r="EN411" i="4"/>
  <c r="GH410" i="4"/>
  <c r="HP408" i="4"/>
  <c r="DC411" i="4"/>
  <c r="EP412" i="4"/>
  <c r="CU412" i="4"/>
  <c r="CO410" i="4"/>
  <c r="DL409" i="4"/>
  <c r="DE412" i="4"/>
  <c r="EN413" i="4"/>
  <c r="EZ410" i="4"/>
  <c r="EU357" i="4"/>
  <c r="EU360" i="4"/>
  <c r="EU389" i="4"/>
  <c r="EU366" i="4"/>
  <c r="EU371" i="4"/>
  <c r="DU374" i="4"/>
  <c r="GI409" i="4"/>
  <c r="EL409" i="4"/>
  <c r="CU413" i="4"/>
  <c r="GI413" i="4"/>
  <c r="ES412" i="4"/>
  <c r="CL412" i="4"/>
  <c r="EU411" i="4"/>
  <c r="EG413" i="4"/>
  <c r="GF412" i="4"/>
  <c r="FY409" i="4"/>
  <c r="DW412" i="4"/>
  <c r="CH410" i="4"/>
  <c r="BX413" i="4"/>
  <c r="EL412" i="4"/>
  <c r="CZ409" i="4"/>
  <c r="GH411" i="4"/>
  <c r="DC412" i="4"/>
  <c r="EP410" i="4"/>
  <c r="CU411" i="4"/>
  <c r="CN410" i="4"/>
  <c r="DE410" i="4"/>
  <c r="DN413" i="4"/>
  <c r="CX413" i="4"/>
  <c r="EZ412" i="4"/>
  <c r="EU392" i="4"/>
  <c r="EU405" i="4"/>
  <c r="HL413" i="4"/>
  <c r="HL409" i="4"/>
  <c r="HL411" i="4"/>
  <c r="HL410" i="4"/>
  <c r="HL408" i="4"/>
  <c r="EY409" i="4"/>
  <c r="CN413" i="4"/>
  <c r="ER412" i="4"/>
  <c r="CL411" i="4"/>
  <c r="GM410" i="4"/>
  <c r="GM413" i="4"/>
  <c r="GF410" i="4"/>
  <c r="DW410" i="4"/>
  <c r="CH411" i="4"/>
  <c r="EU409" i="4"/>
  <c r="EK412" i="4"/>
  <c r="CX409" i="4"/>
  <c r="GI411" i="4"/>
  <c r="EU413" i="4"/>
  <c r="CO411" i="4"/>
  <c r="CZ411" i="4"/>
  <c r="EI411" i="4"/>
  <c r="CF413" i="4"/>
  <c r="EI409" i="4"/>
  <c r="CJ411" i="4"/>
  <c r="FB355" i="4"/>
  <c r="EU374" i="4"/>
  <c r="EU396" i="4"/>
  <c r="HN413" i="4"/>
  <c r="HN412" i="4"/>
  <c r="EU408" i="4"/>
  <c r="EU399" i="4"/>
  <c r="AP409" i="4"/>
  <c r="AP412" i="4"/>
  <c r="AP411" i="4"/>
  <c r="AP410" i="4"/>
  <c r="EZ409" i="4"/>
  <c r="CN409" i="4"/>
  <c r="GT412" i="4"/>
  <c r="CO413" i="4"/>
  <c r="ES411" i="4"/>
  <c r="GK410" i="4"/>
  <c r="GM411" i="4"/>
  <c r="FY411" i="4"/>
  <c r="FB410" i="4"/>
  <c r="DX410" i="4"/>
  <c r="CH412" i="4"/>
  <c r="GM409" i="4"/>
  <c r="EK410" i="4"/>
  <c r="EG411" i="4"/>
  <c r="GI410" i="4"/>
  <c r="FD410" i="4"/>
  <c r="EW413" i="4"/>
  <c r="CS409" i="4"/>
  <c r="CN412" i="4"/>
  <c r="CZ410" i="4"/>
  <c r="EI410" i="4"/>
  <c r="FB413" i="4"/>
  <c r="CJ412" i="4"/>
  <c r="HP404" i="4"/>
  <c r="HP409" i="4"/>
  <c r="HB411" i="4"/>
  <c r="HB410" i="4"/>
  <c r="CF409" i="4"/>
  <c r="CU409" i="4"/>
  <c r="ED409" i="4"/>
  <c r="CO409" i="4"/>
  <c r="CV412" i="4"/>
  <c r="AD412" i="4" s="1"/>
  <c r="AW412" i="4" s="1"/>
  <c r="ES413" i="4"/>
  <c r="FG413" i="4"/>
  <c r="ER411" i="4"/>
  <c r="HL412" i="4"/>
  <c r="EP409" i="4"/>
  <c r="FY412" i="4"/>
  <c r="FB411" i="4"/>
  <c r="EW411" i="4"/>
  <c r="GA410" i="4"/>
  <c r="DP410" i="4"/>
  <c r="EL410" i="4"/>
  <c r="EG412" i="4"/>
  <c r="GI412" i="4"/>
  <c r="CD413" i="4"/>
  <c r="CJ413" i="4"/>
  <c r="CZ412" i="4"/>
  <c r="EI412" i="4"/>
  <c r="CJ410" i="4"/>
  <c r="FB381" i="4"/>
  <c r="GO349" i="4"/>
  <c r="GO350" i="4"/>
  <c r="EU375" i="4"/>
  <c r="EU365" i="4"/>
  <c r="EU388" i="4"/>
  <c r="EU402" i="4"/>
  <c r="EU369" i="4"/>
  <c r="EU407" i="4"/>
  <c r="EU394" i="4"/>
  <c r="EU406" i="4"/>
  <c r="FD403" i="4"/>
  <c r="CV409" i="4"/>
  <c r="AD409" i="4" s="1"/>
  <c r="EE409" i="4"/>
  <c r="CS412" i="4"/>
  <c r="ER413" i="4"/>
  <c r="FF413" i="4"/>
  <c r="CQ412" i="4"/>
  <c r="CD412" i="4"/>
  <c r="DU411" i="4"/>
  <c r="CQ409" i="4"/>
  <c r="FY410" i="4"/>
  <c r="FB412" i="4"/>
  <c r="EW410" i="4"/>
  <c r="GB410" i="4"/>
  <c r="DQ411" i="4"/>
  <c r="EK411" i="4"/>
  <c r="GH412" i="4"/>
  <c r="CZ413" i="4"/>
  <c r="FD411" i="4"/>
  <c r="CS413" i="4"/>
  <c r="DL411" i="4"/>
  <c r="DJ410" i="4"/>
  <c r="FG410" i="4"/>
  <c r="FW409" i="4"/>
  <c r="DS411" i="4"/>
  <c r="HP413" i="4"/>
  <c r="EU362" i="4"/>
  <c r="EU391" i="4"/>
  <c r="EU397" i="4"/>
  <c r="CB411" i="4"/>
  <c r="CB412" i="4"/>
  <c r="CB410" i="4"/>
  <c r="DW409" i="4"/>
  <c r="DJ413" i="4"/>
  <c r="EL413" i="4"/>
  <c r="ED413" i="4"/>
  <c r="DU410" i="4"/>
  <c r="EE410" i="4"/>
  <c r="CF412" i="4"/>
  <c r="EW412" i="4"/>
  <c r="EL411" i="4"/>
  <c r="DG411" i="4"/>
  <c r="EB409" i="4"/>
  <c r="CD409" i="4"/>
  <c r="DL410" i="4"/>
  <c r="CS411" i="4"/>
  <c r="FF411" i="4"/>
  <c r="GK412" i="4"/>
  <c r="GT413" i="4"/>
  <c r="GY413" i="4"/>
  <c r="AY412" i="4"/>
  <c r="HN411" i="4"/>
  <c r="HN410" i="4"/>
  <c r="HJ410" i="4"/>
  <c r="HJ411" i="4"/>
  <c r="HR411" i="4"/>
  <c r="HR410" i="4"/>
  <c r="HR408" i="4"/>
  <c r="HR409" i="4"/>
  <c r="HJ408" i="4"/>
  <c r="HJ409" i="4"/>
  <c r="HB408" i="4"/>
  <c r="HB409" i="4"/>
  <c r="HE408" i="4"/>
  <c r="HN408" i="4"/>
  <c r="HN409" i="4"/>
  <c r="ER356" i="4"/>
  <c r="ES398" i="4"/>
  <c r="ER380" i="4"/>
  <c r="ES372" i="4"/>
  <c r="ES403" i="4"/>
  <c r="ES380" i="4"/>
  <c r="ER398" i="4"/>
  <c r="ER403" i="4"/>
  <c r="ER372" i="4"/>
  <c r="EN364" i="4"/>
  <c r="CH372" i="4"/>
  <c r="EP403" i="4"/>
  <c r="EE364" i="4"/>
  <c r="DB55" i="4"/>
  <c r="DC403" i="4"/>
  <c r="DB398" i="4"/>
  <c r="DB403" i="4"/>
  <c r="DB380" i="4"/>
  <c r="DB372" i="4"/>
  <c r="DC380" i="4"/>
  <c r="DC398" i="4"/>
  <c r="DC372" i="4"/>
  <c r="GB380" i="4"/>
  <c r="DS380" i="4"/>
  <c r="FB372" i="4"/>
  <c r="CN380" i="4"/>
  <c r="AR356" i="4"/>
  <c r="AR380" i="4"/>
  <c r="GO355" i="4"/>
  <c r="GP41" i="4"/>
  <c r="GM380" i="4"/>
  <c r="GM398" i="4"/>
  <c r="GM372" i="4"/>
  <c r="GM403" i="4"/>
  <c r="HJ393" i="4"/>
  <c r="DI380" i="4"/>
  <c r="GO372" i="4"/>
  <c r="CX380" i="4"/>
  <c r="DQ380" i="4"/>
  <c r="EG398" i="4"/>
  <c r="EI364" i="4"/>
  <c r="HN398" i="4"/>
  <c r="HN366" i="4"/>
  <c r="HN386" i="4"/>
  <c r="HN406" i="4"/>
  <c r="HN405" i="4"/>
  <c r="HN404" i="4"/>
  <c r="HN399" i="4"/>
  <c r="HN387" i="4"/>
  <c r="HN368" i="4"/>
  <c r="HN373" i="4"/>
  <c r="HN367" i="4"/>
  <c r="HN369" i="4"/>
  <c r="HN400" i="4"/>
  <c r="HN371" i="4"/>
  <c r="HN370" i="4"/>
  <c r="HN372" i="4"/>
  <c r="HN374" i="4"/>
  <c r="HN388" i="4"/>
  <c r="HN392" i="4"/>
  <c r="HN394" i="4"/>
  <c r="HN377" i="4"/>
  <c r="HN407" i="4"/>
  <c r="HN391" i="4"/>
  <c r="HN393" i="4"/>
  <c r="HN376" i="4"/>
  <c r="HN379" i="4"/>
  <c r="HN397" i="4"/>
  <c r="HN390" i="4"/>
  <c r="HN382" i="4"/>
  <c r="HN380" i="4"/>
  <c r="HN378" i="4"/>
  <c r="HN375" i="4"/>
  <c r="HN389" i="4"/>
  <c r="HN381" i="4"/>
  <c r="CD356" i="4"/>
  <c r="CD380" i="4"/>
  <c r="CD398" i="4"/>
  <c r="CD372" i="4"/>
  <c r="DE361" i="4"/>
  <c r="AP380" i="4"/>
  <c r="BX356" i="4"/>
  <c r="BX380" i="4"/>
  <c r="BX398" i="4"/>
  <c r="BX372" i="4"/>
  <c r="HT364" i="4"/>
  <c r="HT372" i="4"/>
  <c r="HT367" i="4"/>
  <c r="HT398" i="4"/>
  <c r="HT406" i="4"/>
  <c r="HT374" i="4"/>
  <c r="HT399" i="4"/>
  <c r="HT387" i="4"/>
  <c r="HT373" i="4"/>
  <c r="HT370" i="4"/>
  <c r="HT407" i="4"/>
  <c r="HT404" i="4"/>
  <c r="HT405" i="4"/>
  <c r="HT396" i="4"/>
  <c r="HT368" i="4"/>
  <c r="HT375" i="4"/>
  <c r="HT371" i="4"/>
  <c r="HT386" i="4"/>
  <c r="HT366" i="4"/>
  <c r="HT369" i="4"/>
  <c r="AJ364" i="4"/>
  <c r="R364" i="4" s="1"/>
  <c r="AJ397" i="4"/>
  <c r="R397" i="4" s="1"/>
  <c r="EW364" i="4"/>
  <c r="AJ370" i="4"/>
  <c r="HP384" i="4"/>
  <c r="HP378" i="4"/>
  <c r="HP372" i="4"/>
  <c r="HP369" i="4"/>
  <c r="AJ368" i="4"/>
  <c r="HJ392" i="4"/>
  <c r="HN396" i="4"/>
  <c r="HP407" i="4"/>
  <c r="DG403" i="4"/>
  <c r="HP403" i="4"/>
  <c r="DI403" i="4"/>
  <c r="EY403" i="4"/>
  <c r="HP391" i="4"/>
  <c r="HJ407" i="4"/>
  <c r="FF372" i="4"/>
  <c r="EE372" i="4"/>
  <c r="ED380" i="4"/>
  <c r="FW372" i="4"/>
  <c r="GF380" i="4"/>
  <c r="CS372" i="4"/>
  <c r="FY372" i="4"/>
  <c r="CL398" i="4"/>
  <c r="HP398" i="4"/>
  <c r="DS403" i="4"/>
  <c r="GI403" i="4"/>
  <c r="EZ403" i="4"/>
  <c r="HP389" i="4"/>
  <c r="DS372" i="4"/>
  <c r="GA372" i="4"/>
  <c r="EY372" i="4"/>
  <c r="EZ380" i="4"/>
  <c r="DX372" i="4"/>
  <c r="CV398" i="4"/>
  <c r="AD398" i="4" s="1"/>
  <c r="CV380" i="4"/>
  <c r="AD380" i="4" s="1"/>
  <c r="CJ380" i="4"/>
  <c r="EP398" i="4"/>
  <c r="CH398" i="4"/>
  <c r="HP406" i="4"/>
  <c r="GK380" i="4"/>
  <c r="DP403" i="4"/>
  <c r="HL396" i="4"/>
  <c r="HP379" i="4"/>
  <c r="DP398" i="4"/>
  <c r="CO372" i="4"/>
  <c r="EN380" i="4"/>
  <c r="EL398" i="4"/>
  <c r="EK380" i="4"/>
  <c r="HP366" i="4"/>
  <c r="EU403" i="4"/>
  <c r="FG403" i="4"/>
  <c r="CZ380" i="4"/>
  <c r="DI372" i="4"/>
  <c r="DG398" i="4"/>
  <c r="DE372" i="4"/>
  <c r="DU380" i="4"/>
  <c r="EI372" i="4"/>
  <c r="GI372" i="4"/>
  <c r="GF403" i="4"/>
  <c r="CL403" i="4"/>
  <c r="GA403" i="4"/>
  <c r="HJ368" i="4"/>
  <c r="HJ374" i="4"/>
  <c r="HJ375" i="4"/>
  <c r="HJ366" i="4"/>
  <c r="HJ399" i="4"/>
  <c r="HJ377" i="4"/>
  <c r="HJ400" i="4"/>
  <c r="HJ382" i="4"/>
  <c r="HJ378" i="4"/>
  <c r="HJ372" i="4"/>
  <c r="HJ370" i="4"/>
  <c r="HJ386" i="4"/>
  <c r="HJ406" i="4"/>
  <c r="HJ371" i="4"/>
  <c r="HJ381" i="4"/>
  <c r="HJ376" i="4"/>
  <c r="HJ369" i="4"/>
  <c r="HJ380" i="4"/>
  <c r="HJ404" i="4"/>
  <c r="HJ387" i="4"/>
  <c r="HJ367" i="4"/>
  <c r="HJ388" i="4"/>
  <c r="HJ373" i="4"/>
  <c r="HJ397" i="4"/>
  <c r="HJ398" i="4"/>
  <c r="HJ405" i="4"/>
  <c r="HJ390" i="4"/>
  <c r="HJ379" i="4"/>
  <c r="DI356" i="4"/>
  <c r="GP356" i="4"/>
  <c r="DZ364" i="4"/>
  <c r="DZ380" i="4"/>
  <c r="DZ372" i="4"/>
  <c r="DZ398" i="4"/>
  <c r="DZ403" i="4"/>
  <c r="HP359" i="4"/>
  <c r="CX356" i="4"/>
  <c r="DQ364" i="4"/>
  <c r="DN356" i="4"/>
  <c r="EG356" i="4"/>
  <c r="HB355" i="4"/>
  <c r="HB380" i="4"/>
  <c r="HB398" i="4"/>
  <c r="HB372" i="4"/>
  <c r="BZ356" i="4"/>
  <c r="BZ380" i="4"/>
  <c r="BZ398" i="4"/>
  <c r="BZ372" i="4"/>
  <c r="BZ403" i="4"/>
  <c r="CQ403" i="4"/>
  <c r="GH356" i="4"/>
  <c r="EW356" i="4"/>
  <c r="HP373" i="4"/>
  <c r="HP382" i="4"/>
  <c r="HP371" i="4"/>
  <c r="HP367" i="4"/>
  <c r="HJ391" i="4"/>
  <c r="HN395" i="4"/>
  <c r="BX403" i="4"/>
  <c r="EW403" i="4"/>
  <c r="HP401" i="4"/>
  <c r="DX403" i="4"/>
  <c r="CO403" i="4"/>
  <c r="FG398" i="4"/>
  <c r="FG380" i="4"/>
  <c r="EE398" i="4"/>
  <c r="FW380" i="4"/>
  <c r="FD398" i="4"/>
  <c r="CS398" i="4"/>
  <c r="FY380" i="4"/>
  <c r="CQ372" i="4"/>
  <c r="CL372" i="4"/>
  <c r="CZ403" i="4"/>
  <c r="DJ403" i="4"/>
  <c r="CN403" i="4"/>
  <c r="FB398" i="4"/>
  <c r="DS398" i="4"/>
  <c r="GB398" i="4"/>
  <c r="EZ372" i="4"/>
  <c r="EY380" i="4"/>
  <c r="DW372" i="4"/>
  <c r="CU372" i="4"/>
  <c r="CU380" i="4"/>
  <c r="EW398" i="4"/>
  <c r="GP398" i="4"/>
  <c r="EP372" i="4"/>
  <c r="CH380" i="4"/>
  <c r="HP387" i="4"/>
  <c r="EG403" i="4"/>
  <c r="DQ398" i="4"/>
  <c r="CN372" i="4"/>
  <c r="CO380" i="4"/>
  <c r="DL398" i="4"/>
  <c r="EL372" i="4"/>
  <c r="GK398" i="4"/>
  <c r="HP396" i="4"/>
  <c r="GB403" i="4"/>
  <c r="HP390" i="4"/>
  <c r="EU398" i="4"/>
  <c r="EG372" i="4"/>
  <c r="DI398" i="4"/>
  <c r="DG372" i="4"/>
  <c r="DE380" i="4"/>
  <c r="DN372" i="4"/>
  <c r="EI398" i="4"/>
  <c r="GH372" i="4"/>
  <c r="FF403" i="4"/>
  <c r="CJ403" i="4"/>
  <c r="DQ403" i="4"/>
  <c r="CH403" i="4"/>
  <c r="HR407" i="4"/>
  <c r="HL397" i="4"/>
  <c r="HP356" i="4"/>
  <c r="FD356" i="4"/>
  <c r="DW356" i="4"/>
  <c r="HR386" i="4"/>
  <c r="HR398" i="4"/>
  <c r="HR368" i="4"/>
  <c r="HR369" i="4"/>
  <c r="HR370" i="4"/>
  <c r="HR367" i="4"/>
  <c r="HR406" i="4"/>
  <c r="HR366" i="4"/>
  <c r="HR397" i="4"/>
  <c r="HR396" i="4"/>
  <c r="HR405" i="4"/>
  <c r="HR387" i="4"/>
  <c r="HR404" i="4"/>
  <c r="HR399" i="4"/>
  <c r="HR371" i="4"/>
  <c r="HR372" i="4"/>
  <c r="CH364" i="4"/>
  <c r="EN356" i="4"/>
  <c r="AT380" i="4"/>
  <c r="HT355" i="4"/>
  <c r="EP364" i="4"/>
  <c r="EB356" i="4"/>
  <c r="EB380" i="4"/>
  <c r="EB398" i="4"/>
  <c r="EB372" i="4"/>
  <c r="EB403" i="4"/>
  <c r="CB364" i="4"/>
  <c r="CD403" i="4"/>
  <c r="FG356" i="4"/>
  <c r="DI364" i="4"/>
  <c r="FG364" i="4"/>
  <c r="HP383" i="4"/>
  <c r="HP368" i="4"/>
  <c r="HP385" i="4"/>
  <c r="AJ380" i="4"/>
  <c r="R380" i="4" s="1"/>
  <c r="HJ394" i="4"/>
  <c r="HT397" i="4"/>
  <c r="AJ403" i="4"/>
  <c r="R403" i="4" s="1"/>
  <c r="HP399" i="4"/>
  <c r="EN403" i="4"/>
  <c r="FW403" i="4"/>
  <c r="ED403" i="4"/>
  <c r="HP381" i="4"/>
  <c r="FG372" i="4"/>
  <c r="FF380" i="4"/>
  <c r="ED372" i="4"/>
  <c r="GF372" i="4"/>
  <c r="FD372" i="4"/>
  <c r="CS380" i="4"/>
  <c r="CX372" i="4"/>
  <c r="CQ398" i="4"/>
  <c r="CL380" i="4"/>
  <c r="DW403" i="4"/>
  <c r="HP375" i="4"/>
  <c r="HB381" i="4"/>
  <c r="GB372" i="4"/>
  <c r="EZ398" i="4"/>
  <c r="DX398" i="4"/>
  <c r="DX380" i="4"/>
  <c r="CU398" i="4"/>
  <c r="CJ372" i="4"/>
  <c r="EW372" i="4"/>
  <c r="GP372" i="4"/>
  <c r="GP380" i="4"/>
  <c r="EP380" i="4"/>
  <c r="HP388" i="4"/>
  <c r="EI403" i="4"/>
  <c r="HP392" i="4"/>
  <c r="DQ372" i="4"/>
  <c r="CN398" i="4"/>
  <c r="EN372" i="4"/>
  <c r="DL372" i="4"/>
  <c r="EK372" i="4"/>
  <c r="GK403" i="4"/>
  <c r="HP397" i="4"/>
  <c r="CZ398" i="4"/>
  <c r="EU372" i="4"/>
  <c r="EG380" i="4"/>
  <c r="DJ398" i="4"/>
  <c r="DG380" i="4"/>
  <c r="DU372" i="4"/>
  <c r="DN398" i="4"/>
  <c r="EI380" i="4"/>
  <c r="GI398" i="4"/>
  <c r="GI380" i="4"/>
  <c r="EE403" i="4"/>
  <c r="CS403" i="4"/>
  <c r="GK372" i="4"/>
  <c r="DL403" i="4"/>
  <c r="HR375" i="4"/>
  <c r="HJ384" i="4"/>
  <c r="CB403" i="4"/>
  <c r="GB356" i="4"/>
  <c r="GT396" i="4"/>
  <c r="HP395" i="4"/>
  <c r="DS364" i="4"/>
  <c r="FB356" i="4"/>
  <c r="CB356" i="4"/>
  <c r="CB380" i="4"/>
  <c r="CB372" i="4"/>
  <c r="CB398" i="4"/>
  <c r="HL361" i="4"/>
  <c r="HL386" i="4"/>
  <c r="HL366" i="4"/>
  <c r="HL399" i="4"/>
  <c r="HL398" i="4"/>
  <c r="HL404" i="4"/>
  <c r="HL405" i="4"/>
  <c r="HL406" i="4"/>
  <c r="HL387" i="4"/>
  <c r="HL400" i="4"/>
  <c r="HL401" i="4"/>
  <c r="HL388" i="4"/>
  <c r="HL392" i="4"/>
  <c r="HL407" i="4"/>
  <c r="HL391" i="4"/>
  <c r="HL403" i="4"/>
  <c r="HL390" i="4"/>
  <c r="HL402" i="4"/>
  <c r="HL389" i="4"/>
  <c r="CN364" i="4"/>
  <c r="CF356" i="4"/>
  <c r="CF380" i="4"/>
  <c r="CF372" i="4"/>
  <c r="CF398" i="4"/>
  <c r="CF403" i="4"/>
  <c r="CQ364" i="4"/>
  <c r="HP377" i="4"/>
  <c r="HP374" i="4"/>
  <c r="HP380" i="4"/>
  <c r="HP370" i="4"/>
  <c r="AJ372" i="4"/>
  <c r="R372" i="4" s="1"/>
  <c r="HJ389" i="4"/>
  <c r="AJ402" i="4"/>
  <c r="DE403" i="4"/>
  <c r="FY403" i="4"/>
  <c r="HP402" i="4"/>
  <c r="GH403" i="4"/>
  <c r="FF398" i="4"/>
  <c r="ED398" i="4"/>
  <c r="EE380" i="4"/>
  <c r="FW398" i="4"/>
  <c r="GF398" i="4"/>
  <c r="FD380" i="4"/>
  <c r="FY398" i="4"/>
  <c r="CX398" i="4"/>
  <c r="CQ380" i="4"/>
  <c r="HP405" i="4"/>
  <c r="HP400" i="4"/>
  <c r="FB380" i="4"/>
  <c r="GA398" i="4"/>
  <c r="GA380" i="4"/>
  <c r="EY398" i="4"/>
  <c r="DW398" i="4"/>
  <c r="DW380" i="4"/>
  <c r="CV372" i="4"/>
  <c r="AD372" i="4" s="1"/>
  <c r="CJ398" i="4"/>
  <c r="EW380" i="4"/>
  <c r="GO398" i="4"/>
  <c r="GO380" i="4"/>
  <c r="DU403" i="4"/>
  <c r="DN403" i="4"/>
  <c r="EL403" i="4"/>
  <c r="HP376" i="4"/>
  <c r="DP372" i="4"/>
  <c r="DP380" i="4"/>
  <c r="CO398" i="4"/>
  <c r="EN398" i="4"/>
  <c r="DL380" i="4"/>
  <c r="EK398" i="4"/>
  <c r="EL380" i="4"/>
  <c r="HP386" i="4"/>
  <c r="GP403" i="4"/>
  <c r="CZ372" i="4"/>
  <c r="EU380" i="4"/>
  <c r="DJ372" i="4"/>
  <c r="DJ380" i="4"/>
  <c r="DE398" i="4"/>
  <c r="DU398" i="4"/>
  <c r="DN380" i="4"/>
  <c r="GH398" i="4"/>
  <c r="GH380" i="4"/>
  <c r="CX403" i="4"/>
  <c r="FB403" i="4"/>
  <c r="GO403" i="4"/>
  <c r="EK403" i="4"/>
  <c r="GU407" i="4"/>
  <c r="GY407" i="4"/>
  <c r="GZ407" i="4" s="1"/>
  <c r="HN401" i="4"/>
  <c r="HN402" i="4"/>
  <c r="HN403" i="4"/>
  <c r="HJ401" i="4"/>
  <c r="HJ402" i="4"/>
  <c r="HJ403" i="4"/>
  <c r="HR400" i="4"/>
  <c r="HR402" i="4"/>
  <c r="HR403" i="4"/>
  <c r="HR401" i="4"/>
  <c r="HT400" i="4"/>
  <c r="HT403" i="4"/>
  <c r="HT402" i="4"/>
  <c r="HT401" i="4"/>
  <c r="CU403" i="4"/>
  <c r="CV403" i="4"/>
  <c r="AD403" i="4" s="1"/>
  <c r="HB397" i="4"/>
  <c r="HE397" i="4"/>
  <c r="HJ395" i="4"/>
  <c r="HJ396" i="4"/>
  <c r="HL393" i="4"/>
  <c r="HL395" i="4"/>
  <c r="HL394" i="4"/>
  <c r="HT388" i="4"/>
  <c r="HT395" i="4"/>
  <c r="HR388" i="4"/>
  <c r="HR395" i="4"/>
  <c r="HP393" i="4"/>
  <c r="HP394" i="4"/>
  <c r="HR389" i="4"/>
  <c r="HR392" i="4"/>
  <c r="HR390" i="4"/>
  <c r="HR391" i="4"/>
  <c r="HR393" i="4"/>
  <c r="HR394" i="4"/>
  <c r="HT389" i="4"/>
  <c r="HT392" i="4"/>
  <c r="HT391" i="4"/>
  <c r="HT390" i="4"/>
  <c r="HT393" i="4"/>
  <c r="HT394" i="4"/>
  <c r="HN383" i="4"/>
  <c r="HN385" i="4"/>
  <c r="HJ383" i="4"/>
  <c r="HJ385" i="4"/>
  <c r="HN384" i="4"/>
  <c r="HT376" i="4"/>
  <c r="HT384" i="4"/>
  <c r="HT382" i="4"/>
  <c r="HT385" i="4"/>
  <c r="HT380" i="4"/>
  <c r="HT378" i="4"/>
  <c r="HT383" i="4"/>
  <c r="HT377" i="4"/>
  <c r="HT381" i="4"/>
  <c r="HR377" i="4"/>
  <c r="HT379" i="4"/>
  <c r="HR381" i="4"/>
  <c r="HR376" i="4"/>
  <c r="HR373" i="4"/>
  <c r="HR383" i="4"/>
  <c r="HR382" i="4"/>
  <c r="HR378" i="4"/>
  <c r="HR385" i="4"/>
  <c r="HR380" i="4"/>
  <c r="HR374" i="4"/>
  <c r="HR384" i="4"/>
  <c r="HR379" i="4"/>
  <c r="HL367" i="4"/>
  <c r="HL385" i="4"/>
  <c r="HL370" i="4"/>
  <c r="HL380" i="4"/>
  <c r="HL372" i="4"/>
  <c r="HL369" i="4"/>
  <c r="HL371" i="4"/>
  <c r="HL368" i="4"/>
  <c r="HL382" i="4"/>
  <c r="HL378" i="4"/>
  <c r="HL374" i="4"/>
  <c r="HL383" i="4"/>
  <c r="HL373" i="4"/>
  <c r="HL381" i="4"/>
  <c r="HL377" i="4"/>
  <c r="HL376" i="4"/>
  <c r="HL379" i="4"/>
  <c r="HL375" i="4"/>
  <c r="HL384" i="4"/>
  <c r="GU383" i="4"/>
  <c r="GV383" i="4" s="1"/>
  <c r="GW383" i="4"/>
  <c r="HB367" i="4"/>
  <c r="HC367" i="4"/>
  <c r="HJ360" i="4"/>
  <c r="HJ361" i="4"/>
  <c r="HJ362" i="4"/>
  <c r="FF356" i="4"/>
  <c r="GI356" i="4"/>
  <c r="DX356" i="4"/>
  <c r="HT356" i="4"/>
  <c r="DJ364" i="4"/>
  <c r="DX364" i="4"/>
  <c r="HP363" i="4"/>
  <c r="CD364" i="4"/>
  <c r="CX364" i="4"/>
  <c r="EG364" i="4"/>
  <c r="EP356" i="4"/>
  <c r="FD364" i="4"/>
  <c r="HP362" i="4"/>
  <c r="HT361" i="4"/>
  <c r="AP356" i="4"/>
  <c r="DP356" i="4"/>
  <c r="DC356" i="4"/>
  <c r="AJ359" i="4"/>
  <c r="R359" i="4" s="1"/>
  <c r="ER364" i="4"/>
  <c r="FF364" i="4"/>
  <c r="ED364" i="4"/>
  <c r="HP364" i="4"/>
  <c r="HT360" i="4"/>
  <c r="CL364" i="4"/>
  <c r="FY364" i="4"/>
  <c r="DQ356" i="4"/>
  <c r="DB356" i="4"/>
  <c r="ES364" i="4"/>
  <c r="DP364" i="4"/>
  <c r="GF364" i="4"/>
  <c r="CZ356" i="4"/>
  <c r="DU364" i="4"/>
  <c r="HP360" i="4"/>
  <c r="FW364" i="4"/>
  <c r="HP357" i="4"/>
  <c r="FW356" i="4"/>
  <c r="ES356" i="4"/>
  <c r="DJ356" i="4"/>
  <c r="DN364" i="4"/>
  <c r="DZ356" i="4"/>
  <c r="EB364" i="4"/>
  <c r="CS356" i="4"/>
  <c r="HR355" i="4"/>
  <c r="HR356" i="4"/>
  <c r="AT364" i="4"/>
  <c r="CO356" i="4"/>
  <c r="HB358" i="4"/>
  <c r="BX364" i="4"/>
  <c r="GP364" i="4"/>
  <c r="CJ364" i="4"/>
  <c r="DE356" i="4"/>
  <c r="DL364" i="4"/>
  <c r="EI356" i="4"/>
  <c r="EU356" i="4"/>
  <c r="CN356" i="4"/>
  <c r="CO364" i="4"/>
  <c r="GO364" i="4"/>
  <c r="CU364" i="4"/>
  <c r="EU364" i="4"/>
  <c r="CZ364" i="4"/>
  <c r="HN361" i="4"/>
  <c r="HN360" i="4"/>
  <c r="HN362" i="4"/>
  <c r="AJ360" i="4"/>
  <c r="GB364" i="4"/>
  <c r="GH364" i="4"/>
  <c r="DG356" i="4"/>
  <c r="AT356" i="4"/>
  <c r="DS356" i="4"/>
  <c r="GM356" i="4"/>
  <c r="CU356" i="4"/>
  <c r="HP355" i="4"/>
  <c r="CH356" i="4"/>
  <c r="EK356" i="4"/>
  <c r="EL364" i="4"/>
  <c r="GA364" i="4"/>
  <c r="GI364" i="4"/>
  <c r="HT363" i="4"/>
  <c r="FB364" i="4"/>
  <c r="CL356" i="4"/>
  <c r="GF356" i="4"/>
  <c r="CQ356" i="4"/>
  <c r="GK364" i="4"/>
  <c r="DL356" i="4"/>
  <c r="BZ364" i="4"/>
  <c r="CV356" i="4"/>
  <c r="AD356" i="4" s="1"/>
  <c r="EL356" i="4"/>
  <c r="HT358" i="4"/>
  <c r="EK364" i="4"/>
  <c r="EY364" i="4"/>
  <c r="HT362" i="4"/>
  <c r="FY356" i="4"/>
  <c r="DE364" i="4"/>
  <c r="CJ356" i="4"/>
  <c r="AR364" i="4"/>
  <c r="HL358" i="4"/>
  <c r="HL355" i="4"/>
  <c r="HL356" i="4"/>
  <c r="HL357" i="4"/>
  <c r="HL359" i="4"/>
  <c r="HL360" i="4"/>
  <c r="GA356" i="4"/>
  <c r="EE356" i="4"/>
  <c r="GO356" i="4"/>
  <c r="HT359" i="4"/>
  <c r="DC364" i="4"/>
  <c r="EZ364" i="4"/>
  <c r="GM364" i="4"/>
  <c r="HP361" i="4"/>
  <c r="HT365" i="4"/>
  <c r="AP364" i="4"/>
  <c r="ED356" i="4"/>
  <c r="HT357" i="4"/>
  <c r="DB364" i="4"/>
  <c r="DW364" i="4"/>
  <c r="HP365" i="4"/>
  <c r="DU356" i="4"/>
  <c r="DG364" i="4"/>
  <c r="GK356" i="4"/>
  <c r="HP358" i="4"/>
  <c r="HR365" i="4"/>
  <c r="HR360" i="4"/>
  <c r="HR361" i="4"/>
  <c r="HR363" i="4"/>
  <c r="HR362" i="4"/>
  <c r="HR364" i="4"/>
  <c r="CF364" i="4"/>
  <c r="HJ363" i="4"/>
  <c r="HJ365" i="4"/>
  <c r="HJ364" i="4"/>
  <c r="HN363" i="4"/>
  <c r="HN364" i="4"/>
  <c r="HN365" i="4"/>
  <c r="GU362" i="4"/>
  <c r="GT364" i="4"/>
  <c r="HL362" i="4"/>
  <c r="HL364" i="4"/>
  <c r="HL363" i="4"/>
  <c r="HL365" i="4"/>
  <c r="CV364" i="4"/>
  <c r="AD364" i="4" s="1"/>
  <c r="HN355" i="4"/>
  <c r="HN356" i="4"/>
  <c r="HN357" i="4"/>
  <c r="HJ355" i="4"/>
  <c r="HJ356" i="4"/>
  <c r="HJ358" i="4"/>
  <c r="HJ357" i="4"/>
  <c r="HJ359" i="4"/>
  <c r="HN358" i="4"/>
  <c r="HN359" i="4"/>
  <c r="GU357" i="4"/>
  <c r="GT359" i="4"/>
  <c r="HR357" i="4"/>
  <c r="HR359" i="4"/>
  <c r="HR358" i="4"/>
  <c r="EY356" i="4"/>
  <c r="EZ356" i="4"/>
  <c r="GT356" i="4"/>
  <c r="GW356" i="4"/>
  <c r="EU354" i="4"/>
  <c r="EU349" i="4"/>
  <c r="EU350" i="4"/>
  <c r="EU352" i="4"/>
  <c r="EU353" i="4"/>
  <c r="FW317" i="4"/>
  <c r="FB351" i="4"/>
  <c r="EU351" i="4"/>
  <c r="FB350" i="4"/>
  <c r="GO351" i="4"/>
  <c r="CL351" i="4"/>
  <c r="HR349" i="4"/>
  <c r="HP349" i="4"/>
  <c r="HB350" i="4"/>
  <c r="HJ351" i="4"/>
  <c r="HJ353" i="4"/>
  <c r="HJ352" i="4"/>
  <c r="HJ349" i="4"/>
  <c r="HJ350" i="4"/>
  <c r="HN350" i="4"/>
  <c r="HN349" i="4"/>
  <c r="HN352" i="4"/>
  <c r="HN351" i="4"/>
  <c r="HN353" i="4"/>
  <c r="HT350" i="4"/>
  <c r="AJ348" i="4"/>
  <c r="R348" i="4" s="1"/>
  <c r="DI348" i="4"/>
  <c r="GK353" i="4"/>
  <c r="HP351" i="4"/>
  <c r="HJ354" i="4"/>
  <c r="HP350" i="4"/>
  <c r="CH348" i="4"/>
  <c r="HP354" i="4"/>
  <c r="GK354" i="4"/>
  <c r="HL350" i="4"/>
  <c r="HL353" i="4"/>
  <c r="HL352" i="4"/>
  <c r="HL354" i="4"/>
  <c r="HL349" i="4"/>
  <c r="GK347" i="4"/>
  <c r="GK351" i="4"/>
  <c r="GK352" i="4"/>
  <c r="GK350" i="4"/>
  <c r="GK349" i="4"/>
  <c r="HN354" i="4"/>
  <c r="HP353" i="4"/>
  <c r="HL351" i="4"/>
  <c r="HP352" i="4"/>
  <c r="HR350" i="4"/>
  <c r="HR351" i="4"/>
  <c r="HR353" i="4"/>
  <c r="HR352" i="4"/>
  <c r="HR354" i="4"/>
  <c r="HT349" i="4"/>
  <c r="HT352" i="4"/>
  <c r="HT353" i="4"/>
  <c r="HT354" i="4"/>
  <c r="HT351" i="4"/>
  <c r="HP348" i="4"/>
  <c r="HT347" i="4"/>
  <c r="HT348" i="4"/>
  <c r="EW348" i="4"/>
  <c r="FD348" i="4"/>
  <c r="EN348" i="4"/>
  <c r="EI348" i="4"/>
  <c r="HL347" i="4"/>
  <c r="HL348" i="4"/>
  <c r="CN348" i="4"/>
  <c r="CX348" i="4"/>
  <c r="DQ348" i="4"/>
  <c r="AP348" i="4"/>
  <c r="GP348" i="4"/>
  <c r="GB348" i="4"/>
  <c r="EP348" i="4"/>
  <c r="AR348" i="4"/>
  <c r="CD348" i="4"/>
  <c r="FB348" i="4"/>
  <c r="CB348" i="4"/>
  <c r="HJ347" i="4"/>
  <c r="HJ348" i="4"/>
  <c r="DN348" i="4"/>
  <c r="EG348" i="4"/>
  <c r="BX348" i="4"/>
  <c r="EU347" i="4"/>
  <c r="BZ348" i="4"/>
  <c r="ER348" i="4"/>
  <c r="AT348" i="4"/>
  <c r="HN348" i="4"/>
  <c r="HN347" i="4"/>
  <c r="DS348" i="4"/>
  <c r="CF348" i="4"/>
  <c r="HP347" i="4"/>
  <c r="GU408" i="4"/>
  <c r="GV408" i="4" s="1"/>
  <c r="GW408" i="4"/>
  <c r="GX408" i="4" s="1"/>
  <c r="AG114" i="4"/>
  <c r="AE114" i="4"/>
  <c r="AG30" i="4"/>
  <c r="AE30" i="4"/>
  <c r="AG152" i="4"/>
  <c r="AE152" i="4"/>
  <c r="ES348" i="4"/>
  <c r="DG348" i="4"/>
  <c r="AG90" i="4"/>
  <c r="AE90" i="4"/>
  <c r="AG19" i="4"/>
  <c r="AE19" i="4"/>
  <c r="FF348" i="4"/>
  <c r="DX348" i="4"/>
  <c r="AG32" i="4"/>
  <c r="AE32" i="4"/>
  <c r="AG34" i="4"/>
  <c r="AE34" i="4"/>
  <c r="AG41" i="4"/>
  <c r="AE41" i="4"/>
  <c r="FG348" i="4"/>
  <c r="DW348" i="4"/>
  <c r="GI348" i="4"/>
  <c r="AG23" i="4"/>
  <c r="AE23" i="4"/>
  <c r="AG42" i="4"/>
  <c r="AE42" i="4"/>
  <c r="AG31" i="4"/>
  <c r="AE31" i="4"/>
  <c r="AG21" i="4"/>
  <c r="AE21" i="4"/>
  <c r="AG18" i="4"/>
  <c r="AE18" i="4"/>
  <c r="DZ348" i="4"/>
  <c r="FW348" i="4"/>
  <c r="GH348" i="4"/>
  <c r="CQ348" i="4"/>
  <c r="AG62" i="4"/>
  <c r="AE62" i="4"/>
  <c r="AG11" i="4"/>
  <c r="AE11" i="4"/>
  <c r="AG4" i="4"/>
  <c r="AE4" i="4"/>
  <c r="CS348" i="4"/>
  <c r="GO348" i="4"/>
  <c r="DC348" i="4"/>
  <c r="CZ348" i="4"/>
  <c r="AG17" i="4"/>
  <c r="AE17" i="4"/>
  <c r="AG13" i="4"/>
  <c r="AE13" i="4"/>
  <c r="AG8" i="4"/>
  <c r="AE8" i="4"/>
  <c r="EB6" i="4"/>
  <c r="EB348" i="4"/>
  <c r="GM348" i="4"/>
  <c r="DB348" i="4"/>
  <c r="CO348" i="4"/>
  <c r="EZ348" i="4"/>
  <c r="DU348" i="4"/>
  <c r="AG29" i="4"/>
  <c r="AE29" i="4"/>
  <c r="AG12" i="4"/>
  <c r="AE12" i="4"/>
  <c r="AG5" i="4"/>
  <c r="AE5" i="4"/>
  <c r="HB348" i="4"/>
  <c r="EY348" i="4"/>
  <c r="DP348" i="4"/>
  <c r="DL348" i="4"/>
  <c r="AG14" i="4"/>
  <c r="AE14" i="4"/>
  <c r="AG180" i="4"/>
  <c r="AE180" i="4"/>
  <c r="CJ348" i="4"/>
  <c r="EE348" i="4"/>
  <c r="GA348" i="4"/>
  <c r="DJ348" i="4"/>
  <c r="CL348" i="4"/>
  <c r="ED348" i="4"/>
  <c r="AG9" i="4"/>
  <c r="AE9" i="4"/>
  <c r="AG35" i="4"/>
  <c r="AE35" i="4"/>
  <c r="AG36" i="4"/>
  <c r="AE36" i="4"/>
  <c r="GF348" i="4"/>
  <c r="EK348" i="4"/>
  <c r="CU348" i="4"/>
  <c r="DE348" i="4"/>
  <c r="EU348" i="4"/>
  <c r="FY348" i="4"/>
  <c r="EL348" i="4"/>
  <c r="CV348" i="4"/>
  <c r="AD348" i="4" s="1"/>
  <c r="GK348" i="4"/>
  <c r="HR347" i="4"/>
  <c r="HR348" i="4"/>
  <c r="FW96" i="4"/>
  <c r="FW156" i="4"/>
  <c r="GH66" i="4"/>
  <c r="FW89" i="4"/>
  <c r="FW91" i="4"/>
  <c r="FW54" i="4"/>
  <c r="AY6" i="4"/>
  <c r="AD6" i="4"/>
  <c r="AY7" i="4"/>
  <c r="AD7" i="4"/>
  <c r="AU7" i="4" s="1"/>
  <c r="AD28" i="4"/>
  <c r="AE28" i="4" s="1"/>
  <c r="AD15" i="4"/>
  <c r="AE15" i="4" s="1"/>
  <c r="AY55" i="4"/>
  <c r="AD55" i="4"/>
  <c r="AU16" i="4"/>
  <c r="AD16" i="4"/>
  <c r="AE16" i="4" s="1"/>
  <c r="AY10" i="4"/>
  <c r="AD10" i="4"/>
  <c r="AU10" i="4" s="1"/>
  <c r="AD22" i="4"/>
  <c r="AE22" i="4" s="1"/>
  <c r="AD65" i="4"/>
  <c r="AE65" i="4" s="1"/>
  <c r="AD33" i="4"/>
  <c r="AE33" i="4" s="1"/>
  <c r="EB18" i="4"/>
  <c r="DE84" i="4"/>
  <c r="FB209" i="4"/>
  <c r="FB203" i="4"/>
  <c r="FW88" i="4"/>
  <c r="FW59" i="4"/>
  <c r="FW184" i="4"/>
  <c r="FW143" i="4"/>
  <c r="FW141" i="4"/>
  <c r="FW130" i="4"/>
  <c r="FW132" i="4"/>
  <c r="FW322" i="4"/>
  <c r="FW60" i="4"/>
  <c r="FW86" i="4"/>
  <c r="FW47" i="4"/>
  <c r="FW151" i="4"/>
  <c r="FW62" i="4"/>
  <c r="FW209" i="4"/>
  <c r="FW215" i="4"/>
  <c r="FW239" i="4"/>
  <c r="FW234" i="4"/>
  <c r="FW112" i="4"/>
  <c r="FW198" i="4"/>
  <c r="FW192" i="4"/>
  <c r="FW133" i="4"/>
  <c r="FW218" i="4"/>
  <c r="FW193" i="4"/>
  <c r="FW137" i="4"/>
  <c r="FW114" i="4"/>
  <c r="FW225" i="4"/>
  <c r="FW228" i="4"/>
  <c r="FW100" i="4"/>
  <c r="FW203" i="4"/>
  <c r="FW206" i="4"/>
  <c r="FW299" i="4"/>
  <c r="FW90" i="4"/>
  <c r="FW173" i="4"/>
  <c r="FW153" i="4"/>
  <c r="FW171" i="4"/>
  <c r="FW329" i="4"/>
  <c r="FW154" i="4"/>
  <c r="FW109" i="4"/>
  <c r="FW43" i="4"/>
  <c r="FW200" i="4"/>
  <c r="FW116" i="4"/>
  <c r="FW328" i="4"/>
  <c r="FW236" i="4"/>
  <c r="FW237" i="4"/>
  <c r="FW128" i="4"/>
  <c r="FW97" i="4"/>
  <c r="FW157" i="4"/>
  <c r="FW98" i="4"/>
  <c r="FW139" i="4"/>
  <c r="FW149" i="4"/>
  <c r="FW235" i="4"/>
  <c r="FW68" i="4"/>
  <c r="FW53" i="4"/>
  <c r="FW50" i="4"/>
  <c r="FW82" i="4"/>
  <c r="FW170" i="4"/>
  <c r="GB114" i="4"/>
  <c r="EU307" i="4"/>
  <c r="FB336" i="4"/>
  <c r="EU259" i="4"/>
  <c r="EU260" i="4"/>
  <c r="EU273" i="4"/>
  <c r="FB342" i="4"/>
  <c r="EU278" i="4"/>
  <c r="EU335" i="4"/>
  <c r="EU268" i="4"/>
  <c r="CU234" i="4"/>
  <c r="EU322" i="4"/>
  <c r="FB205" i="4"/>
  <c r="EU321" i="4"/>
  <c r="FB196" i="4"/>
  <c r="EU316" i="4"/>
  <c r="EU342" i="4"/>
  <c r="FB186" i="4"/>
  <c r="CU232" i="4"/>
  <c r="EU302" i="4"/>
  <c r="EU313" i="4"/>
  <c r="EU272" i="4"/>
  <c r="EU320" i="4"/>
  <c r="CU206" i="4"/>
  <c r="EU261" i="4"/>
  <c r="EU328" i="4"/>
  <c r="CU200" i="4"/>
  <c r="EU265" i="4"/>
  <c r="EU336" i="4"/>
  <c r="EU266" i="4"/>
  <c r="EU257" i="4"/>
  <c r="EU329" i="4"/>
  <c r="FB337" i="4"/>
  <c r="EU343" i="4"/>
  <c r="EU274" i="4"/>
  <c r="FB339" i="4"/>
  <c r="GK296" i="4"/>
  <c r="GW60" i="4"/>
  <c r="EU277" i="4"/>
  <c r="EU262" i="4"/>
  <c r="GK330" i="4"/>
  <c r="EU279" i="4"/>
  <c r="EU340" i="4"/>
  <c r="GK319" i="4"/>
  <c r="GK324" i="4"/>
  <c r="GK305" i="4"/>
  <c r="GK329" i="4"/>
  <c r="EU264" i="4"/>
  <c r="EU269" i="4"/>
  <c r="EU337" i="4"/>
  <c r="EU325" i="4"/>
  <c r="EU258" i="4"/>
  <c r="GK306" i="4"/>
  <c r="EU339" i="4"/>
  <c r="EU324" i="4"/>
  <c r="EU271" i="4"/>
  <c r="EU331" i="4"/>
  <c r="EU267" i="4"/>
  <c r="EU270" i="4"/>
  <c r="EU275" i="4"/>
  <c r="EU276" i="4"/>
  <c r="GK344" i="4"/>
  <c r="FW297" i="4"/>
  <c r="GK314" i="4"/>
  <c r="FW313" i="4"/>
  <c r="GK339" i="4"/>
  <c r="FB344" i="4"/>
  <c r="GK332" i="4"/>
  <c r="FW307" i="4"/>
  <c r="FW316" i="4"/>
  <c r="GK233" i="4"/>
  <c r="GK310" i="4"/>
  <c r="GK318" i="4"/>
  <c r="GK328" i="4"/>
  <c r="GK322" i="4"/>
  <c r="GK317" i="4"/>
  <c r="FW295" i="4"/>
  <c r="GK320" i="4"/>
  <c r="FW266" i="4"/>
  <c r="GK321" i="4"/>
  <c r="FW314" i="4"/>
  <c r="GK331" i="4"/>
  <c r="GK337" i="4"/>
  <c r="FW320" i="4"/>
  <c r="GK307" i="4"/>
  <c r="FW280" i="4"/>
  <c r="FW264" i="4"/>
  <c r="GK309" i="4"/>
  <c r="FW255" i="4"/>
  <c r="GK335" i="4"/>
  <c r="GK343" i="4"/>
  <c r="GK316" i="4"/>
  <c r="FW308" i="4"/>
  <c r="FW306" i="4"/>
  <c r="FW336" i="4"/>
  <c r="GK342" i="4"/>
  <c r="FW342" i="4"/>
  <c r="GK315" i="4"/>
  <c r="GK323" i="4"/>
  <c r="FW261" i="4"/>
  <c r="FW321" i="4"/>
  <c r="FW335" i="4"/>
  <c r="GK313" i="4"/>
  <c r="GK340" i="4"/>
  <c r="GK325" i="4"/>
  <c r="GK227" i="4"/>
  <c r="GK336" i="4"/>
  <c r="GK308" i="4"/>
  <c r="FW293" i="4"/>
  <c r="GK311" i="4"/>
  <c r="GK326" i="4"/>
  <c r="GH29" i="4"/>
  <c r="GH33" i="4"/>
  <c r="GH30" i="4"/>
  <c r="GH65" i="4"/>
  <c r="GH62" i="4"/>
  <c r="GH55" i="4"/>
  <c r="GH258" i="4"/>
  <c r="GH31" i="4"/>
  <c r="GH35" i="4"/>
  <c r="GH34" i="4"/>
  <c r="GH114" i="4"/>
  <c r="GH42" i="4"/>
  <c r="GH36" i="4"/>
  <c r="GH155" i="4"/>
  <c r="GH32" i="4"/>
  <c r="GH90" i="4"/>
  <c r="EU326" i="4"/>
  <c r="EU344" i="4"/>
  <c r="FB343" i="4"/>
  <c r="DN346" i="4"/>
  <c r="FD346" i="4"/>
  <c r="HP344" i="4"/>
  <c r="FY346" i="4"/>
  <c r="FB345" i="4"/>
  <c r="DB345" i="4"/>
  <c r="ES346" i="4"/>
  <c r="CX345" i="4"/>
  <c r="DP345" i="4"/>
  <c r="DL345" i="4"/>
  <c r="DS346" i="4"/>
  <c r="DI346" i="4"/>
  <c r="GA346" i="4"/>
  <c r="CO345" i="4"/>
  <c r="HP342" i="4"/>
  <c r="EG345" i="4"/>
  <c r="DX345" i="4"/>
  <c r="CO346" i="4"/>
  <c r="EZ346" i="4"/>
  <c r="DE336" i="4"/>
  <c r="DQ345" i="4"/>
  <c r="EW346" i="4"/>
  <c r="CL343" i="4"/>
  <c r="CS342" i="4"/>
  <c r="EP345" i="4"/>
  <c r="HT342" i="4"/>
  <c r="CN346" i="4"/>
  <c r="CN345" i="4"/>
  <c r="EE346" i="4"/>
  <c r="FG346" i="4"/>
  <c r="DU345" i="4"/>
  <c r="GK346" i="4"/>
  <c r="ED345" i="4"/>
  <c r="GH345" i="4"/>
  <c r="CS343" i="4"/>
  <c r="HL342" i="4"/>
  <c r="HL343" i="4"/>
  <c r="HP346" i="4"/>
  <c r="EL346" i="4"/>
  <c r="FG345" i="4"/>
  <c r="EG346" i="4"/>
  <c r="GB345" i="4"/>
  <c r="DQ346" i="4"/>
  <c r="FY345" i="4"/>
  <c r="FD345" i="4"/>
  <c r="EN152" i="4"/>
  <c r="EN345" i="4"/>
  <c r="CS346" i="4"/>
  <c r="EU332" i="4"/>
  <c r="AP345" i="4"/>
  <c r="AP346" i="4"/>
  <c r="EE345" i="4"/>
  <c r="ED346" i="4"/>
  <c r="FF346" i="4"/>
  <c r="CX346" i="4"/>
  <c r="DP346" i="4"/>
  <c r="FF345" i="4"/>
  <c r="FB346" i="4"/>
  <c r="CZ346" i="4"/>
  <c r="HN344" i="4"/>
  <c r="HN343" i="4"/>
  <c r="HN346" i="4"/>
  <c r="HN345" i="4"/>
  <c r="GF405" i="4"/>
  <c r="GF345" i="4"/>
  <c r="EZ345" i="4"/>
  <c r="EY346" i="4"/>
  <c r="GM345" i="4"/>
  <c r="CJ345" i="4"/>
  <c r="FW345" i="4"/>
  <c r="ER345" i="4"/>
  <c r="DW345" i="4"/>
  <c r="HP343" i="4"/>
  <c r="CS336" i="4"/>
  <c r="HB345" i="4"/>
  <c r="HB346" i="4"/>
  <c r="EL345" i="4"/>
  <c r="EK346" i="4"/>
  <c r="DG346" i="4"/>
  <c r="GI345" i="4"/>
  <c r="CZ345" i="4"/>
  <c r="EW345" i="4"/>
  <c r="CS345" i="4"/>
  <c r="GA345" i="4"/>
  <c r="FW346" i="4"/>
  <c r="CL346" i="4"/>
  <c r="GP345" i="4"/>
  <c r="GB346" i="4"/>
  <c r="DS345" i="4"/>
  <c r="CL345" i="4"/>
  <c r="HN342" i="4"/>
  <c r="DB346" i="4"/>
  <c r="DC346" i="4"/>
  <c r="ES345" i="4"/>
  <c r="GH346" i="4"/>
  <c r="EY345" i="4"/>
  <c r="DL346" i="4"/>
  <c r="EP346" i="4"/>
  <c r="CL329" i="4"/>
  <c r="BZ345" i="4"/>
  <c r="BZ346" i="4"/>
  <c r="DE346" i="4"/>
  <c r="DI345" i="4"/>
  <c r="DJ345" i="4"/>
  <c r="GI346" i="4"/>
  <c r="GP346" i="4"/>
  <c r="EU345" i="4"/>
  <c r="CJ346" i="4"/>
  <c r="EN346" i="4"/>
  <c r="EU346" i="4"/>
  <c r="AT345" i="4"/>
  <c r="AT346" i="4"/>
  <c r="DW346" i="4"/>
  <c r="GK345" i="4"/>
  <c r="EK345" i="4"/>
  <c r="DJ346" i="4"/>
  <c r="DZ346" i="4"/>
  <c r="DZ345" i="4"/>
  <c r="EI41" i="4"/>
  <c r="EI345" i="4"/>
  <c r="EB346" i="4"/>
  <c r="EB345" i="4"/>
  <c r="DC345" i="4"/>
  <c r="DX346" i="4"/>
  <c r="ER346" i="4"/>
  <c r="DN345" i="4"/>
  <c r="GM346" i="4"/>
  <c r="DG345" i="4"/>
  <c r="DE345" i="4"/>
  <c r="CL335" i="4"/>
  <c r="AR346" i="4"/>
  <c r="AR345" i="4"/>
  <c r="HJ345" i="4"/>
  <c r="HJ342" i="4"/>
  <c r="HJ344" i="4"/>
  <c r="HJ343" i="4"/>
  <c r="HJ346" i="4"/>
  <c r="CF345" i="4"/>
  <c r="CF346" i="4"/>
  <c r="HP345" i="4"/>
  <c r="DU346" i="4"/>
  <c r="EI346" i="4"/>
  <c r="HL344" i="4"/>
  <c r="HL346" i="4"/>
  <c r="HL345" i="4"/>
  <c r="AL342" i="4"/>
  <c r="AJ345" i="4"/>
  <c r="R345" i="4" s="1"/>
  <c r="AJ346" i="4"/>
  <c r="R346" i="4" s="1"/>
  <c r="HT343" i="4"/>
  <c r="HT345" i="4"/>
  <c r="HT346" i="4"/>
  <c r="HT344" i="4"/>
  <c r="HR342" i="4"/>
  <c r="HR346" i="4"/>
  <c r="HR345" i="4"/>
  <c r="HR344" i="4"/>
  <c r="CH345" i="4"/>
  <c r="CH346" i="4"/>
  <c r="CD345" i="4"/>
  <c r="CD346" i="4"/>
  <c r="CQ345" i="4"/>
  <c r="CQ346" i="4"/>
  <c r="CU345" i="4"/>
  <c r="CU346" i="4"/>
  <c r="CV346" i="4"/>
  <c r="AD346" i="4" s="1"/>
  <c r="CV345" i="4"/>
  <c r="AD345" i="4" s="1"/>
  <c r="CB345" i="4"/>
  <c r="CB346" i="4"/>
  <c r="BX345" i="4"/>
  <c r="BX346" i="4"/>
  <c r="HR343" i="4"/>
  <c r="HB344" i="4"/>
  <c r="HE344" i="4"/>
  <c r="ES341" i="4"/>
  <c r="AP341" i="4"/>
  <c r="AP338" i="4"/>
  <c r="EP338" i="4"/>
  <c r="HP336" i="4"/>
  <c r="FY338" i="4"/>
  <c r="FB341" i="4"/>
  <c r="CX341" i="4"/>
  <c r="DQ338" i="4"/>
  <c r="AT341" i="4"/>
  <c r="AT338" i="4"/>
  <c r="DI341" i="4"/>
  <c r="DS341" i="4"/>
  <c r="AR341" i="4"/>
  <c r="AR338" i="4"/>
  <c r="GB341" i="4"/>
  <c r="CO341" i="4"/>
  <c r="DN338" i="4"/>
  <c r="EG341" i="4"/>
  <c r="FD341" i="4"/>
  <c r="CH341" i="4"/>
  <c r="EW341" i="4"/>
  <c r="CD338" i="4"/>
  <c r="CD341" i="4"/>
  <c r="HN337" i="4"/>
  <c r="HT338" i="4"/>
  <c r="HT340" i="4"/>
  <c r="HT336" i="4"/>
  <c r="HT339" i="4"/>
  <c r="HT337" i="4"/>
  <c r="HT341" i="4"/>
  <c r="AJ338" i="4"/>
  <c r="R338" i="4" s="1"/>
  <c r="AJ341" i="4"/>
  <c r="R341" i="4" s="1"/>
  <c r="EZ341" i="4"/>
  <c r="ED338" i="4"/>
  <c r="DP341" i="4"/>
  <c r="HP338" i="4"/>
  <c r="FB338" i="4"/>
  <c r="DE341" i="4"/>
  <c r="FG341" i="4"/>
  <c r="DZ341" i="4"/>
  <c r="DZ338" i="4"/>
  <c r="HP339" i="4"/>
  <c r="EZ338" i="4"/>
  <c r="EE338" i="4"/>
  <c r="DX341" i="4"/>
  <c r="DQ341" i="4"/>
  <c r="GA341" i="4"/>
  <c r="HP337" i="4"/>
  <c r="DE338" i="4"/>
  <c r="FG338" i="4"/>
  <c r="HL341" i="4"/>
  <c r="HL338" i="4"/>
  <c r="HL336" i="4"/>
  <c r="HL337" i="4"/>
  <c r="EY338" i="4"/>
  <c r="ED341" i="4"/>
  <c r="DW338" i="4"/>
  <c r="EN341" i="4"/>
  <c r="HP341" i="4"/>
  <c r="DB341" i="4"/>
  <c r="GA338" i="4"/>
  <c r="EP341" i="4"/>
  <c r="EI341" i="4"/>
  <c r="FW341" i="4"/>
  <c r="EY341" i="4"/>
  <c r="EG338" i="4"/>
  <c r="GF338" i="4"/>
  <c r="DX338" i="4"/>
  <c r="EN338" i="4"/>
  <c r="DG338" i="4"/>
  <c r="DC341" i="4"/>
  <c r="GB338" i="4"/>
  <c r="EI338" i="4"/>
  <c r="FW338" i="4"/>
  <c r="HN341" i="4"/>
  <c r="HN338" i="4"/>
  <c r="HN336" i="4"/>
  <c r="HN340" i="4"/>
  <c r="HN339" i="4"/>
  <c r="HP340" i="4"/>
  <c r="CJ338" i="4"/>
  <c r="GF341" i="4"/>
  <c r="DW341" i="4"/>
  <c r="EL341" i="4"/>
  <c r="DG341" i="4"/>
  <c r="DB338" i="4"/>
  <c r="CN341" i="4"/>
  <c r="CH338" i="4"/>
  <c r="CS338" i="4"/>
  <c r="HB341" i="4"/>
  <c r="HB338" i="4"/>
  <c r="CJ341" i="4"/>
  <c r="GM341" i="4"/>
  <c r="FY341" i="4"/>
  <c r="EW338" i="4"/>
  <c r="EK338" i="4"/>
  <c r="DN341" i="4"/>
  <c r="DC338" i="4"/>
  <c r="CU341" i="4"/>
  <c r="CO338" i="4"/>
  <c r="CS341" i="4"/>
  <c r="CB338" i="4"/>
  <c r="CB341" i="4"/>
  <c r="GM338" i="4"/>
  <c r="EL338" i="4"/>
  <c r="FD338" i="4"/>
  <c r="CU338" i="4"/>
  <c r="CN338" i="4"/>
  <c r="EU341" i="4"/>
  <c r="CQ338" i="4"/>
  <c r="ER341" i="4"/>
  <c r="DU338" i="4"/>
  <c r="CL341" i="4"/>
  <c r="EK341" i="4"/>
  <c r="GI341" i="4"/>
  <c r="CV338" i="4"/>
  <c r="AD338" i="4" s="1"/>
  <c r="EU338" i="4"/>
  <c r="CQ341" i="4"/>
  <c r="BZ338" i="4"/>
  <c r="BZ341" i="4"/>
  <c r="BX338" i="4"/>
  <c r="BX341" i="4"/>
  <c r="ER338" i="4"/>
  <c r="DU341" i="4"/>
  <c r="CL338" i="4"/>
  <c r="GH341" i="4"/>
  <c r="CX338" i="4"/>
  <c r="CV341" i="4"/>
  <c r="AD341" i="4" s="1"/>
  <c r="DL341" i="4"/>
  <c r="DJ341" i="4"/>
  <c r="GK338" i="4"/>
  <c r="HR339" i="4"/>
  <c r="HR341" i="4"/>
  <c r="HR338" i="4"/>
  <c r="HR337" i="4"/>
  <c r="HR340" i="4"/>
  <c r="ES338" i="4"/>
  <c r="CZ338" i="4"/>
  <c r="GP338" i="4"/>
  <c r="GH338" i="4"/>
  <c r="DL338" i="4"/>
  <c r="DJ338" i="4"/>
  <c r="HR336" i="4"/>
  <c r="EB338" i="4"/>
  <c r="EB341" i="4"/>
  <c r="DS338" i="4"/>
  <c r="CZ341" i="4"/>
  <c r="DP338" i="4"/>
  <c r="GI338" i="4"/>
  <c r="DI338" i="4"/>
  <c r="FF341" i="4"/>
  <c r="HJ336" i="4"/>
  <c r="HJ337" i="4"/>
  <c r="HJ340" i="4"/>
  <c r="HJ339" i="4"/>
  <c r="HJ341" i="4"/>
  <c r="HJ338" i="4"/>
  <c r="HL339" i="4"/>
  <c r="HL340" i="4"/>
  <c r="CF338" i="4"/>
  <c r="CF341" i="4"/>
  <c r="EE341" i="4"/>
  <c r="GP341" i="4"/>
  <c r="FF338" i="4"/>
  <c r="GK341" i="4"/>
  <c r="HP64" i="4"/>
  <c r="HP284" i="4"/>
  <c r="HP325" i="4"/>
  <c r="HP296" i="4"/>
  <c r="HP58" i="4"/>
  <c r="HP99" i="4"/>
  <c r="HP70" i="4"/>
  <c r="HP161" i="4"/>
  <c r="HP23" i="4"/>
  <c r="HP42" i="4"/>
  <c r="HP323" i="4"/>
  <c r="HP55" i="4"/>
  <c r="HP144" i="4"/>
  <c r="HP247" i="4"/>
  <c r="HP121" i="4"/>
  <c r="HP327" i="4"/>
  <c r="HP274" i="4"/>
  <c r="HP102" i="4"/>
  <c r="HP227" i="4"/>
  <c r="HP114" i="4"/>
  <c r="HP48" i="4"/>
  <c r="HP184" i="4"/>
  <c r="HP16" i="4"/>
  <c r="HP15" i="4"/>
  <c r="HP329" i="4"/>
  <c r="HP123" i="4"/>
  <c r="HP166" i="4"/>
  <c r="HP93" i="4"/>
  <c r="HP170" i="4"/>
  <c r="HP105" i="4"/>
  <c r="HP182" i="4"/>
  <c r="HP202" i="4"/>
  <c r="HP208" i="4"/>
  <c r="HP214" i="4"/>
  <c r="HP30" i="4"/>
  <c r="HP167" i="4"/>
  <c r="HP222" i="4"/>
  <c r="HP132" i="4"/>
  <c r="HP223" i="4"/>
  <c r="HP288" i="4"/>
  <c r="HP80" i="4"/>
  <c r="HP265" i="4"/>
  <c r="HP257" i="4"/>
  <c r="HP71" i="4"/>
  <c r="HP270" i="4"/>
  <c r="HP36" i="4"/>
  <c r="HP294" i="4"/>
  <c r="HP192" i="4"/>
  <c r="HP40" i="4"/>
  <c r="HP195" i="4"/>
  <c r="HP197" i="4"/>
  <c r="HP185" i="4"/>
  <c r="HP89" i="4"/>
  <c r="HP310" i="4"/>
  <c r="HP237" i="4"/>
  <c r="HP314" i="4"/>
  <c r="HP249" i="4"/>
  <c r="HP326" i="4"/>
  <c r="HP26" i="4"/>
  <c r="HP149" i="4"/>
  <c r="HP155" i="4"/>
  <c r="HP210" i="4"/>
  <c r="HP311" i="4"/>
  <c r="HP43" i="4"/>
  <c r="HP276" i="4"/>
  <c r="HP68" i="4"/>
  <c r="HP109" i="4"/>
  <c r="HP224" i="4"/>
  <c r="HP110" i="4"/>
  <c r="HP90" i="4"/>
  <c r="HP215" i="4"/>
  <c r="HP103" i="4"/>
  <c r="HP180" i="4"/>
  <c r="HP115" i="4"/>
  <c r="HP219" i="4"/>
  <c r="HP51" i="4"/>
  <c r="HP53" i="4"/>
  <c r="HP41" i="4"/>
  <c r="HP293" i="4"/>
  <c r="HP107" i="4"/>
  <c r="EU330" i="4"/>
  <c r="FY245" i="4"/>
  <c r="HP39" i="4"/>
  <c r="HP34" i="4"/>
  <c r="HP63" i="4"/>
  <c r="HP46" i="4"/>
  <c r="HP87" i="4"/>
  <c r="HP143" i="4"/>
  <c r="HP18" i="4"/>
  <c r="HP299" i="4"/>
  <c r="HP31" i="4"/>
  <c r="HP120" i="4"/>
  <c r="HP211" i="4"/>
  <c r="HP97" i="4"/>
  <c r="HP212" i="4"/>
  <c r="HP253" i="4"/>
  <c r="HP33" i="4"/>
  <c r="HP254" i="4"/>
  <c r="HP258" i="4"/>
  <c r="HP24" i="4"/>
  <c r="HP271" i="4"/>
  <c r="HP324" i="4"/>
  <c r="HP283" i="4"/>
  <c r="HP157" i="4"/>
  <c r="HP75" i="4"/>
  <c r="HP136" i="4"/>
  <c r="HP256" i="4"/>
  <c r="HP244" i="4"/>
  <c r="HP126" i="4"/>
  <c r="HP251" i="4"/>
  <c r="HP148" i="4"/>
  <c r="HP178" i="4"/>
  <c r="HP172" i="4"/>
  <c r="HP190" i="4"/>
  <c r="HP196" i="4"/>
  <c r="HP287" i="4"/>
  <c r="HP186" i="4"/>
  <c r="HP108" i="4"/>
  <c r="HP199" i="4"/>
  <c r="HP264" i="4"/>
  <c r="HP56" i="4"/>
  <c r="HP241" i="4"/>
  <c r="HP21" i="4"/>
  <c r="HP98" i="4"/>
  <c r="HP177" i="4"/>
  <c r="HP79" i="4"/>
  <c r="HP168" i="4"/>
  <c r="HP104" i="4"/>
  <c r="HP145" i="4"/>
  <c r="HP116" i="4"/>
  <c r="HP301" i="4"/>
  <c r="HP295" i="4"/>
  <c r="HP315" i="4"/>
  <c r="HP112" i="4"/>
  <c r="HP100" i="4"/>
  <c r="HP306" i="4"/>
  <c r="HP60" i="4"/>
  <c r="HR65" i="4"/>
  <c r="HR209" i="4"/>
  <c r="HR18" i="4"/>
  <c r="HR162" i="4"/>
  <c r="HR306" i="4"/>
  <c r="HR115" i="4"/>
  <c r="HR259" i="4"/>
  <c r="HR68" i="4"/>
  <c r="HR212" i="4"/>
  <c r="HR21" i="4"/>
  <c r="HR165" i="4"/>
  <c r="HR309" i="4"/>
  <c r="HR118" i="4"/>
  <c r="HR262" i="4"/>
  <c r="HR71" i="4"/>
  <c r="HR215" i="4"/>
  <c r="HR24" i="4"/>
  <c r="HR168" i="4"/>
  <c r="HR312" i="4"/>
  <c r="HR133" i="4"/>
  <c r="HR277" i="4"/>
  <c r="HR99" i="4"/>
  <c r="HR243" i="4"/>
  <c r="HR64" i="4"/>
  <c r="HR208" i="4"/>
  <c r="HR14" i="4"/>
  <c r="HR206" i="4"/>
  <c r="HR290" i="4"/>
  <c r="HR77" i="4"/>
  <c r="HR221" i="4"/>
  <c r="HR30" i="4"/>
  <c r="HR174" i="4"/>
  <c r="HR318" i="4"/>
  <c r="HR127" i="4"/>
  <c r="HR271" i="4"/>
  <c r="HR80" i="4"/>
  <c r="HR224" i="4"/>
  <c r="HR33" i="4"/>
  <c r="HR177" i="4"/>
  <c r="HR321" i="4"/>
  <c r="HR130" i="4"/>
  <c r="HR274" i="4"/>
  <c r="HR83" i="4"/>
  <c r="HR227" i="4"/>
  <c r="HR36" i="4"/>
  <c r="HR180" i="4"/>
  <c r="HR324" i="4"/>
  <c r="HR145" i="4"/>
  <c r="HR289" i="4"/>
  <c r="HR111" i="4"/>
  <c r="HR255" i="4"/>
  <c r="HR76" i="4"/>
  <c r="HR220" i="4"/>
  <c r="HR158" i="4"/>
  <c r="HR74" i="4"/>
  <c r="HR134" i="4"/>
  <c r="HR89" i="4"/>
  <c r="HR233" i="4"/>
  <c r="HR42" i="4"/>
  <c r="HR186" i="4"/>
  <c r="HR330" i="4"/>
  <c r="HR139" i="4"/>
  <c r="HR283" i="4"/>
  <c r="HR92" i="4"/>
  <c r="HR236" i="4"/>
  <c r="HR45" i="4"/>
  <c r="HR189" i="4"/>
  <c r="HR333" i="4"/>
  <c r="HR142" i="4"/>
  <c r="HR286" i="4"/>
  <c r="HR95" i="4"/>
  <c r="HR239" i="4"/>
  <c r="HR48" i="4"/>
  <c r="HR192" i="4"/>
  <c r="HR13" i="4"/>
  <c r="HR157" i="4"/>
  <c r="HR301" i="4"/>
  <c r="HR123" i="4"/>
  <c r="HR267" i="4"/>
  <c r="HR88" i="4"/>
  <c r="HR232" i="4"/>
  <c r="HR302" i="4"/>
  <c r="HR218" i="4"/>
  <c r="HR278" i="4"/>
  <c r="HR101" i="4"/>
  <c r="HR245" i="4"/>
  <c r="HR54" i="4"/>
  <c r="HR198" i="4"/>
  <c r="HR151" i="4"/>
  <c r="HR295" i="4"/>
  <c r="HR104" i="4"/>
  <c r="HR248" i="4"/>
  <c r="HR57" i="4"/>
  <c r="HR201" i="4"/>
  <c r="HR10" i="4"/>
  <c r="HR154" i="4"/>
  <c r="HR298" i="4"/>
  <c r="HR107" i="4"/>
  <c r="HR251" i="4"/>
  <c r="HR60" i="4"/>
  <c r="HR204" i="4"/>
  <c r="HR25" i="4"/>
  <c r="HR169" i="4"/>
  <c r="HR313" i="4"/>
  <c r="HR135" i="4"/>
  <c r="HR279" i="4"/>
  <c r="HR100" i="4"/>
  <c r="HR244" i="4"/>
  <c r="HR26" i="4"/>
  <c r="HR86" i="4"/>
  <c r="HR113" i="4"/>
  <c r="HR257" i="4"/>
  <c r="HR66" i="4"/>
  <c r="HR210" i="4"/>
  <c r="HR19" i="4"/>
  <c r="HR163" i="4"/>
  <c r="HR307" i="4"/>
  <c r="HR116" i="4"/>
  <c r="HR260" i="4"/>
  <c r="HR69" i="4"/>
  <c r="HR213" i="4"/>
  <c r="HR22" i="4"/>
  <c r="HR166" i="4"/>
  <c r="HR310" i="4"/>
  <c r="HR119" i="4"/>
  <c r="HR263" i="4"/>
  <c r="HR72" i="4"/>
  <c r="HR216" i="4"/>
  <c r="HR37" i="4"/>
  <c r="HR181" i="4"/>
  <c r="HR325" i="4"/>
  <c r="HR147" i="4"/>
  <c r="HR291" i="4"/>
  <c r="HR112" i="4"/>
  <c r="HR256" i="4"/>
  <c r="HR170" i="4"/>
  <c r="HR230" i="4"/>
  <c r="HR125" i="4"/>
  <c r="HR269" i="4"/>
  <c r="HR78" i="4"/>
  <c r="HR222" i="4"/>
  <c r="HR31" i="4"/>
  <c r="HR175" i="4"/>
  <c r="HR319" i="4"/>
  <c r="HR128" i="4"/>
  <c r="HR272" i="4"/>
  <c r="HR81" i="4"/>
  <c r="HR225" i="4"/>
  <c r="HR34" i="4"/>
  <c r="HR178" i="4"/>
  <c r="HR322" i="4"/>
  <c r="HR131" i="4"/>
  <c r="HR275" i="4"/>
  <c r="HR84" i="4"/>
  <c r="HR228" i="4"/>
  <c r="HR49" i="4"/>
  <c r="HR193" i="4"/>
  <c r="HR15" i="4"/>
  <c r="HR159" i="4"/>
  <c r="HR303" i="4"/>
  <c r="HR124" i="4"/>
  <c r="HR268" i="4"/>
  <c r="HR137" i="4"/>
  <c r="HR281" i="4"/>
  <c r="HR90" i="4"/>
  <c r="HR234" i="4"/>
  <c r="HR43" i="4"/>
  <c r="HR187" i="4"/>
  <c r="HR331" i="4"/>
  <c r="HR140" i="4"/>
  <c r="HR284" i="4"/>
  <c r="HR93" i="4"/>
  <c r="HR237" i="4"/>
  <c r="HR46" i="4"/>
  <c r="HR190" i="4"/>
  <c r="HR334" i="4"/>
  <c r="HR143" i="4"/>
  <c r="HR287" i="4"/>
  <c r="HR96" i="4"/>
  <c r="HR240" i="4"/>
  <c r="HR61" i="4"/>
  <c r="HR205" i="4"/>
  <c r="HR27" i="4"/>
  <c r="HR171" i="4"/>
  <c r="HR315" i="4"/>
  <c r="HR136" i="4"/>
  <c r="HR280" i="4"/>
  <c r="HR38" i="4"/>
  <c r="HR242" i="4"/>
  <c r="HR149" i="4"/>
  <c r="HR293" i="4"/>
  <c r="HR102" i="4"/>
  <c r="HR246" i="4"/>
  <c r="HR55" i="4"/>
  <c r="HR199" i="4"/>
  <c r="HR8" i="4"/>
  <c r="HR17" i="4"/>
  <c r="HR161" i="4"/>
  <c r="HR305" i="4"/>
  <c r="HR114" i="4"/>
  <c r="HR258" i="4"/>
  <c r="HR67" i="4"/>
  <c r="HR211" i="4"/>
  <c r="HR20" i="4"/>
  <c r="HR164" i="4"/>
  <c r="HR308" i="4"/>
  <c r="HR117" i="4"/>
  <c r="HR261" i="4"/>
  <c r="HR70" i="4"/>
  <c r="HR214" i="4"/>
  <c r="HR23" i="4"/>
  <c r="HR167" i="4"/>
  <c r="HR311" i="4"/>
  <c r="HR120" i="4"/>
  <c r="HR264" i="4"/>
  <c r="HR85" i="4"/>
  <c r="HR229" i="4"/>
  <c r="HR51" i="4"/>
  <c r="HR195" i="4"/>
  <c r="HR16" i="4"/>
  <c r="HR160" i="4"/>
  <c r="HR304" i="4"/>
  <c r="HR326" i="4"/>
  <c r="HR254" i="4"/>
  <c r="HR53" i="4"/>
  <c r="HR197" i="4"/>
  <c r="HR150" i="4"/>
  <c r="HR294" i="4"/>
  <c r="HR103" i="4"/>
  <c r="HR247" i="4"/>
  <c r="HR56" i="4"/>
  <c r="HR200" i="4"/>
  <c r="HR9" i="4"/>
  <c r="HR153" i="4"/>
  <c r="HR297" i="4"/>
  <c r="HR106" i="4"/>
  <c r="HR250" i="4"/>
  <c r="HR59" i="4"/>
  <c r="HR203" i="4"/>
  <c r="HR12" i="4"/>
  <c r="HR156" i="4"/>
  <c r="HR300" i="4"/>
  <c r="HR121" i="4"/>
  <c r="HR265" i="4"/>
  <c r="HR87" i="4"/>
  <c r="HR231" i="4"/>
  <c r="HR52" i="4"/>
  <c r="HR196" i="4"/>
  <c r="HR62" i="4"/>
  <c r="HR146" i="4"/>
  <c r="HR270" i="4"/>
  <c r="HR296" i="4"/>
  <c r="HR202" i="4"/>
  <c r="HR108" i="4"/>
  <c r="HR39" i="4"/>
  <c r="HR292" i="4"/>
  <c r="HR282" i="4"/>
  <c r="HR320" i="4"/>
  <c r="HR226" i="4"/>
  <c r="HR132" i="4"/>
  <c r="HR63" i="4"/>
  <c r="HR316" i="4"/>
  <c r="HR332" i="4"/>
  <c r="HR238" i="4"/>
  <c r="HR144" i="4"/>
  <c r="HR75" i="4"/>
  <c r="HR328" i="4"/>
  <c r="HR29" i="4"/>
  <c r="HR79" i="4"/>
  <c r="HR105" i="4"/>
  <c r="HR11" i="4"/>
  <c r="HR252" i="4"/>
  <c r="HR183" i="4"/>
  <c r="HR41" i="4"/>
  <c r="HR91" i="4"/>
  <c r="HR129" i="4"/>
  <c r="HR35" i="4"/>
  <c r="HR276" i="4"/>
  <c r="HR207" i="4"/>
  <c r="HR314" i="4"/>
  <c r="HR173" i="4"/>
  <c r="HR223" i="4"/>
  <c r="HR141" i="4"/>
  <c r="HR47" i="4"/>
  <c r="HR288" i="4"/>
  <c r="HR219" i="4"/>
  <c r="HR182" i="4"/>
  <c r="HR185" i="4"/>
  <c r="HR235" i="4"/>
  <c r="HR249" i="4"/>
  <c r="HR155" i="4"/>
  <c r="HR73" i="4"/>
  <c r="HR327" i="4"/>
  <c r="HR50" i="4"/>
  <c r="HR317" i="4"/>
  <c r="HR32" i="4"/>
  <c r="HR273" i="4"/>
  <c r="HR179" i="4"/>
  <c r="HR97" i="4"/>
  <c r="HR28" i="4"/>
  <c r="HR194" i="4"/>
  <c r="HR329" i="4"/>
  <c r="HR44" i="4"/>
  <c r="HR285" i="4"/>
  <c r="HR191" i="4"/>
  <c r="HR109" i="4"/>
  <c r="HR40" i="4"/>
  <c r="HR98" i="4"/>
  <c r="HR152" i="4"/>
  <c r="HR58" i="4"/>
  <c r="HR299" i="4"/>
  <c r="HR217" i="4"/>
  <c r="HR148" i="4"/>
  <c r="HR110" i="4"/>
  <c r="HR126" i="4"/>
  <c r="HR176" i="4"/>
  <c r="HR82" i="4"/>
  <c r="HR323" i="4"/>
  <c r="HR241" i="4"/>
  <c r="HR172" i="4"/>
  <c r="HR122" i="4"/>
  <c r="HR138" i="4"/>
  <c r="HR188" i="4"/>
  <c r="HR94" i="4"/>
  <c r="HR335" i="4"/>
  <c r="HR253" i="4"/>
  <c r="HR184" i="4"/>
  <c r="HR266" i="4"/>
  <c r="AT333" i="4"/>
  <c r="AT334" i="4"/>
  <c r="HP113" i="4"/>
  <c r="HP322" i="4"/>
  <c r="HP125" i="4"/>
  <c r="HP334" i="4"/>
  <c r="HP137" i="4"/>
  <c r="HP96" i="4"/>
  <c r="HP19" i="4"/>
  <c r="HP252" i="4"/>
  <c r="HP32" i="4"/>
  <c r="HP85" i="4"/>
  <c r="HP200" i="4"/>
  <c r="HP86" i="4"/>
  <c r="HP165" i="4"/>
  <c r="HP242" i="4"/>
  <c r="HP321" i="4"/>
  <c r="HP259" i="4"/>
  <c r="HP312" i="4"/>
  <c r="HP248" i="4"/>
  <c r="HP289" i="4"/>
  <c r="HP260" i="4"/>
  <c r="HP146" i="4"/>
  <c r="HP151" i="4"/>
  <c r="HP171" i="4"/>
  <c r="HP291" i="4"/>
  <c r="HP279" i="4"/>
  <c r="HP127" i="4"/>
  <c r="HP204" i="4"/>
  <c r="HN8" i="4"/>
  <c r="HN20" i="4"/>
  <c r="HN32" i="4"/>
  <c r="HN44" i="4"/>
  <c r="HN56" i="4"/>
  <c r="HN68" i="4"/>
  <c r="HN80" i="4"/>
  <c r="HN92" i="4"/>
  <c r="HN104" i="4"/>
  <c r="HN116" i="4"/>
  <c r="HN128" i="4"/>
  <c r="HN140" i="4"/>
  <c r="HN152" i="4"/>
  <c r="HN9" i="4"/>
  <c r="HN21" i="4"/>
  <c r="HN33" i="4"/>
  <c r="HN45" i="4"/>
  <c r="HN57" i="4"/>
  <c r="HN69" i="4"/>
  <c r="HN81" i="4"/>
  <c r="HN93" i="4"/>
  <c r="HN105" i="4"/>
  <c r="HN117" i="4"/>
  <c r="HN129" i="4"/>
  <c r="HN141" i="4"/>
  <c r="HN153" i="4"/>
  <c r="HN165" i="4"/>
  <c r="HN177" i="4"/>
  <c r="HN189" i="4"/>
  <c r="HN201" i="4"/>
  <c r="HN213" i="4"/>
  <c r="HN225" i="4"/>
  <c r="HN237" i="4"/>
  <c r="HN10" i="4"/>
  <c r="HN22" i="4"/>
  <c r="HN34" i="4"/>
  <c r="HN46" i="4"/>
  <c r="HN58" i="4"/>
  <c r="HN70" i="4"/>
  <c r="HN82" i="4"/>
  <c r="HN94" i="4"/>
  <c r="HN106" i="4"/>
  <c r="HN118" i="4"/>
  <c r="HN130" i="4"/>
  <c r="HN142" i="4"/>
  <c r="HN154" i="4"/>
  <c r="HN166" i="4"/>
  <c r="HN178" i="4"/>
  <c r="HN190" i="4"/>
  <c r="HN202" i="4"/>
  <c r="HN214" i="4"/>
  <c r="HN226" i="4"/>
  <c r="HN238" i="4"/>
  <c r="HN12" i="4"/>
  <c r="HN24" i="4"/>
  <c r="HN36" i="4"/>
  <c r="HN48" i="4"/>
  <c r="HN60" i="4"/>
  <c r="HN72" i="4"/>
  <c r="HN84" i="4"/>
  <c r="HN96" i="4"/>
  <c r="HN108" i="4"/>
  <c r="HN120" i="4"/>
  <c r="HN132" i="4"/>
  <c r="HN144" i="4"/>
  <c r="HN156" i="4"/>
  <c r="HN168" i="4"/>
  <c r="HN180" i="4"/>
  <c r="HN192" i="4"/>
  <c r="HN204" i="4"/>
  <c r="HN216" i="4"/>
  <c r="HN228" i="4"/>
  <c r="HN240" i="4"/>
  <c r="HN13" i="4"/>
  <c r="HN25" i="4"/>
  <c r="HN37" i="4"/>
  <c r="HN49" i="4"/>
  <c r="HN61" i="4"/>
  <c r="HN73" i="4"/>
  <c r="HN85" i="4"/>
  <c r="HN97" i="4"/>
  <c r="HN109" i="4"/>
  <c r="HN121" i="4"/>
  <c r="HN133" i="4"/>
  <c r="HN145" i="4"/>
  <c r="HN157" i="4"/>
  <c r="HN169" i="4"/>
  <c r="HN181" i="4"/>
  <c r="HN193" i="4"/>
  <c r="HN205" i="4"/>
  <c r="HN217" i="4"/>
  <c r="HN229" i="4"/>
  <c r="HN241" i="4"/>
  <c r="HN14" i="4"/>
  <c r="HN26" i="4"/>
  <c r="HN38" i="4"/>
  <c r="HN50" i="4"/>
  <c r="HN62" i="4"/>
  <c r="HN74" i="4"/>
  <c r="HN86" i="4"/>
  <c r="HN98" i="4"/>
  <c r="HN110" i="4"/>
  <c r="HN122" i="4"/>
  <c r="HN134" i="4"/>
  <c r="HN146" i="4"/>
  <c r="HN158" i="4"/>
  <c r="HN170" i="4"/>
  <c r="HN182" i="4"/>
  <c r="HN194" i="4"/>
  <c r="HN206" i="4"/>
  <c r="HN218" i="4"/>
  <c r="HN230" i="4"/>
  <c r="HN242" i="4"/>
  <c r="HN15" i="4"/>
  <c r="HN27" i="4"/>
  <c r="HN39" i="4"/>
  <c r="HN51" i="4"/>
  <c r="HN63" i="4"/>
  <c r="HN75" i="4"/>
  <c r="HN87" i="4"/>
  <c r="HN99" i="4"/>
  <c r="HN111" i="4"/>
  <c r="HN123" i="4"/>
  <c r="HN135" i="4"/>
  <c r="HN147" i="4"/>
  <c r="HN159" i="4"/>
  <c r="HN171" i="4"/>
  <c r="HN183" i="4"/>
  <c r="HN195" i="4"/>
  <c r="HN207" i="4"/>
  <c r="HN219" i="4"/>
  <c r="HN231" i="4"/>
  <c r="HN243" i="4"/>
  <c r="HN16" i="4"/>
  <c r="HN28" i="4"/>
  <c r="HN40" i="4"/>
  <c r="HN52" i="4"/>
  <c r="HN64" i="4"/>
  <c r="HN76" i="4"/>
  <c r="HN88" i="4"/>
  <c r="HN100" i="4"/>
  <c r="HN112" i="4"/>
  <c r="HN124" i="4"/>
  <c r="HN136" i="4"/>
  <c r="HN148" i="4"/>
  <c r="HN160" i="4"/>
  <c r="HN172" i="4"/>
  <c r="HN184" i="4"/>
  <c r="HN196" i="4"/>
  <c r="HN208" i="4"/>
  <c r="HN220" i="4"/>
  <c r="HN232" i="4"/>
  <c r="HN5" i="4"/>
  <c r="HN17" i="4"/>
  <c r="HN29" i="4"/>
  <c r="HN41" i="4"/>
  <c r="HN53" i="4"/>
  <c r="HN65" i="4"/>
  <c r="HN77" i="4"/>
  <c r="HN89" i="4"/>
  <c r="HN101" i="4"/>
  <c r="HN113" i="4"/>
  <c r="HN125" i="4"/>
  <c r="HN137" i="4"/>
  <c r="HN149" i="4"/>
  <c r="HN161" i="4"/>
  <c r="HN173" i="4"/>
  <c r="HN185" i="4"/>
  <c r="HN197" i="4"/>
  <c r="HN209" i="4"/>
  <c r="HN221" i="4"/>
  <c r="HN233" i="4"/>
  <c r="HN7" i="4"/>
  <c r="HN19" i="4"/>
  <c r="HN31" i="4"/>
  <c r="HN43" i="4"/>
  <c r="HN55" i="4"/>
  <c r="HN67" i="4"/>
  <c r="HN79" i="4"/>
  <c r="HN91" i="4"/>
  <c r="HN103" i="4"/>
  <c r="HN115" i="4"/>
  <c r="HN127" i="4"/>
  <c r="HN139" i="4"/>
  <c r="HN151" i="4"/>
  <c r="HN163" i="4"/>
  <c r="HN175" i="4"/>
  <c r="HN187" i="4"/>
  <c r="HN199" i="4"/>
  <c r="HN211" i="4"/>
  <c r="HN223" i="4"/>
  <c r="HN235" i="4"/>
  <c r="HN66" i="4"/>
  <c r="HN138" i="4"/>
  <c r="HN191" i="4"/>
  <c r="HN239" i="4"/>
  <c r="HN255" i="4"/>
  <c r="HN267" i="4"/>
  <c r="HN279" i="4"/>
  <c r="HN291" i="4"/>
  <c r="HN303" i="4"/>
  <c r="HN315" i="4"/>
  <c r="HN327" i="4"/>
  <c r="HN71" i="4"/>
  <c r="HN143" i="4"/>
  <c r="HN198" i="4"/>
  <c r="HN244" i="4"/>
  <c r="HN256" i="4"/>
  <c r="HN268" i="4"/>
  <c r="HN280" i="4"/>
  <c r="HN292" i="4"/>
  <c r="HN304" i="4"/>
  <c r="HN316" i="4"/>
  <c r="HN328" i="4"/>
  <c r="HN4" i="4"/>
  <c r="HN6" i="4"/>
  <c r="HN78" i="4"/>
  <c r="HN150" i="4"/>
  <c r="HN200" i="4"/>
  <c r="HN245" i="4"/>
  <c r="HN257" i="4"/>
  <c r="HN269" i="4"/>
  <c r="HN281" i="4"/>
  <c r="HN293" i="4"/>
  <c r="HN305" i="4"/>
  <c r="HN317" i="4"/>
  <c r="HN329" i="4"/>
  <c r="HN11" i="4"/>
  <c r="HN83" i="4"/>
  <c r="HN155" i="4"/>
  <c r="HN203" i="4"/>
  <c r="HN246" i="4"/>
  <c r="HN258" i="4"/>
  <c r="HN270" i="4"/>
  <c r="HN282" i="4"/>
  <c r="HN294" i="4"/>
  <c r="HN306" i="4"/>
  <c r="HN318" i="4"/>
  <c r="HN330" i="4"/>
  <c r="HN18" i="4"/>
  <c r="HN90" i="4"/>
  <c r="HN162" i="4"/>
  <c r="HN210" i="4"/>
  <c r="HN247" i="4"/>
  <c r="HN259" i="4"/>
  <c r="HN271" i="4"/>
  <c r="HN283" i="4"/>
  <c r="HN295" i="4"/>
  <c r="HN307" i="4"/>
  <c r="HN319" i="4"/>
  <c r="HN331" i="4"/>
  <c r="HN23" i="4"/>
  <c r="HN95" i="4"/>
  <c r="HN164" i="4"/>
  <c r="HN212" i="4"/>
  <c r="HN248" i="4"/>
  <c r="HN260" i="4"/>
  <c r="HN272" i="4"/>
  <c r="HN284" i="4"/>
  <c r="HN296" i="4"/>
  <c r="HN308" i="4"/>
  <c r="HN320" i="4"/>
  <c r="HN332" i="4"/>
  <c r="HN30" i="4"/>
  <c r="HN102" i="4"/>
  <c r="HN167" i="4"/>
  <c r="HN215" i="4"/>
  <c r="HN249" i="4"/>
  <c r="HN261" i="4"/>
  <c r="HN273" i="4"/>
  <c r="HN285" i="4"/>
  <c r="HN297" i="4"/>
  <c r="HN309" i="4"/>
  <c r="HN321" i="4"/>
  <c r="HN333" i="4"/>
  <c r="HN35" i="4"/>
  <c r="HN107" i="4"/>
  <c r="HN174" i="4"/>
  <c r="HN222" i="4"/>
  <c r="HN250" i="4"/>
  <c r="HN262" i="4"/>
  <c r="HN274" i="4"/>
  <c r="HN286" i="4"/>
  <c r="HN298" i="4"/>
  <c r="HN310" i="4"/>
  <c r="HN322" i="4"/>
  <c r="HN334" i="4"/>
  <c r="HN42" i="4"/>
  <c r="HN114" i="4"/>
  <c r="HN176" i="4"/>
  <c r="HN224" i="4"/>
  <c r="HN251" i="4"/>
  <c r="HN263" i="4"/>
  <c r="HN275" i="4"/>
  <c r="HN287" i="4"/>
  <c r="HN299" i="4"/>
  <c r="HN311" i="4"/>
  <c r="HN323" i="4"/>
  <c r="HN335" i="4"/>
  <c r="HN47" i="4"/>
  <c r="HN119" i="4"/>
  <c r="HN179" i="4"/>
  <c r="HN227" i="4"/>
  <c r="HN252" i="4"/>
  <c r="HN264" i="4"/>
  <c r="HN276" i="4"/>
  <c r="HN288" i="4"/>
  <c r="HN300" i="4"/>
  <c r="HN312" i="4"/>
  <c r="HN324" i="4"/>
  <c r="HN54" i="4"/>
  <c r="HN126" i="4"/>
  <c r="HN186" i="4"/>
  <c r="HN234" i="4"/>
  <c r="HN253" i="4"/>
  <c r="HN265" i="4"/>
  <c r="HN277" i="4"/>
  <c r="HN289" i="4"/>
  <c r="HN301" i="4"/>
  <c r="HN313" i="4"/>
  <c r="HN325" i="4"/>
  <c r="HN59" i="4"/>
  <c r="HN131" i="4"/>
  <c r="HN188" i="4"/>
  <c r="HN236" i="4"/>
  <c r="HN254" i="4"/>
  <c r="HN266" i="4"/>
  <c r="HN278" i="4"/>
  <c r="HN290" i="4"/>
  <c r="HN302" i="4"/>
  <c r="HN314" i="4"/>
  <c r="HN326" i="4"/>
  <c r="HP305" i="4"/>
  <c r="HP119" i="4"/>
  <c r="HP317" i="4"/>
  <c r="HP131" i="4"/>
  <c r="HP174" i="4"/>
  <c r="HP240" i="4"/>
  <c r="HP187" i="4"/>
  <c r="HP73" i="4"/>
  <c r="HP188" i="4"/>
  <c r="HP229" i="4"/>
  <c r="HP153" i="4"/>
  <c r="HP230" i="4"/>
  <c r="HP309" i="4"/>
  <c r="HP243" i="4"/>
  <c r="HP118" i="4"/>
  <c r="HP92" i="4"/>
  <c r="HP133" i="4"/>
  <c r="HP57" i="4"/>
  <c r="HP134" i="4"/>
  <c r="HP69" i="4"/>
  <c r="HP290" i="4"/>
  <c r="HP198" i="4"/>
  <c r="HP27" i="4"/>
  <c r="HP147" i="4"/>
  <c r="HP135" i="4"/>
  <c r="HP307" i="4"/>
  <c r="HP25" i="4"/>
  <c r="HP150" i="4"/>
  <c r="HP263" i="4"/>
  <c r="HP162" i="4"/>
  <c r="HP275" i="4"/>
  <c r="HP175" i="4"/>
  <c r="HP61" i="4"/>
  <c r="HP20" i="4"/>
  <c r="HP217" i="4"/>
  <c r="HP332" i="4"/>
  <c r="HP74" i="4"/>
  <c r="HP297" i="4"/>
  <c r="HP231" i="4"/>
  <c r="HP106" i="4"/>
  <c r="HP328" i="4"/>
  <c r="HP262" i="4"/>
  <c r="HP236" i="4"/>
  <c r="HP277" i="4"/>
  <c r="HP201" i="4"/>
  <c r="HP278" i="4"/>
  <c r="HP213" i="4"/>
  <c r="HP17" i="4"/>
  <c r="HP54" i="4"/>
  <c r="HP65" i="4"/>
  <c r="HP44" i="4"/>
  <c r="HP173" i="4"/>
  <c r="HP128" i="4"/>
  <c r="HP169" i="4"/>
  <c r="HT17" i="4"/>
  <c r="HT161" i="4"/>
  <c r="HT305" i="4"/>
  <c r="HT114" i="4"/>
  <c r="HT258" i="4"/>
  <c r="HT67" i="4"/>
  <c r="HT211" i="4"/>
  <c r="HT68" i="4"/>
  <c r="HT212" i="4"/>
  <c r="HT21" i="4"/>
  <c r="HT165" i="4"/>
  <c r="HT309" i="4"/>
  <c r="HT118" i="4"/>
  <c r="HT262" i="4"/>
  <c r="HT71" i="4"/>
  <c r="HT215" i="4"/>
  <c r="HT24" i="4"/>
  <c r="HT168" i="4"/>
  <c r="HT312" i="4"/>
  <c r="HT133" i="4"/>
  <c r="HT277" i="4"/>
  <c r="HT99" i="4"/>
  <c r="HT243" i="4"/>
  <c r="HT331" i="4"/>
  <c r="HT230" i="4"/>
  <c r="HT112" i="4"/>
  <c r="HT278" i="4"/>
  <c r="HT29" i="4"/>
  <c r="HT173" i="4"/>
  <c r="HT317" i="4"/>
  <c r="HT126" i="4"/>
  <c r="HT270" i="4"/>
  <c r="HT79" i="4"/>
  <c r="HT223" i="4"/>
  <c r="HT80" i="4"/>
  <c r="HT224" i="4"/>
  <c r="HT33" i="4"/>
  <c r="HT177" i="4"/>
  <c r="HT321" i="4"/>
  <c r="HT130" i="4"/>
  <c r="HT274" i="4"/>
  <c r="HT83" i="4"/>
  <c r="HT227" i="4"/>
  <c r="HT36" i="4"/>
  <c r="HT180" i="4"/>
  <c r="HT324" i="4"/>
  <c r="HT145" i="4"/>
  <c r="HT289" i="4"/>
  <c r="HT111" i="4"/>
  <c r="HT255" i="4"/>
  <c r="HT74" i="4"/>
  <c r="HT295" i="4"/>
  <c r="HT28" i="4"/>
  <c r="HT184" i="4"/>
  <c r="HT328" i="4"/>
  <c r="HT41" i="4"/>
  <c r="HT185" i="4"/>
  <c r="HT329" i="4"/>
  <c r="HT138" i="4"/>
  <c r="HT282" i="4"/>
  <c r="HT91" i="4"/>
  <c r="HT235" i="4"/>
  <c r="HT92" i="4"/>
  <c r="HT236" i="4"/>
  <c r="HT45" i="4"/>
  <c r="HT189" i="4"/>
  <c r="HT333" i="4"/>
  <c r="HT142" i="4"/>
  <c r="HT286" i="4"/>
  <c r="HT95" i="4"/>
  <c r="HT239" i="4"/>
  <c r="HT48" i="4"/>
  <c r="HT192" i="4"/>
  <c r="HT13" i="4"/>
  <c r="HT157" i="4"/>
  <c r="HT301" i="4"/>
  <c r="HT123" i="4"/>
  <c r="HT267" i="4"/>
  <c r="HT146" i="4"/>
  <c r="HT16" i="4"/>
  <c r="HT100" i="4"/>
  <c r="HT256" i="4"/>
  <c r="HT52" i="4"/>
  <c r="HT53" i="4"/>
  <c r="HT197" i="4"/>
  <c r="HT6" i="4"/>
  <c r="HT150" i="4"/>
  <c r="HT294" i="4"/>
  <c r="HT103" i="4"/>
  <c r="HT247" i="4"/>
  <c r="HT104" i="4"/>
  <c r="HT248" i="4"/>
  <c r="HT57" i="4"/>
  <c r="HT201" i="4"/>
  <c r="HT10" i="4"/>
  <c r="HT154" i="4"/>
  <c r="HT298" i="4"/>
  <c r="HT107" i="4"/>
  <c r="HT251" i="4"/>
  <c r="HT60" i="4"/>
  <c r="HT204" i="4"/>
  <c r="HT25" i="4"/>
  <c r="HT169" i="4"/>
  <c r="HT313" i="4"/>
  <c r="HT135" i="4"/>
  <c r="HT279" i="4"/>
  <c r="HT218" i="4"/>
  <c r="HT88" i="4"/>
  <c r="HT172" i="4"/>
  <c r="HT316" i="4"/>
  <c r="HT124" i="4"/>
  <c r="HT65" i="4"/>
  <c r="HT209" i="4"/>
  <c r="HT18" i="4"/>
  <c r="HT162" i="4"/>
  <c r="HT306" i="4"/>
  <c r="HT115" i="4"/>
  <c r="HT259" i="4"/>
  <c r="HT116" i="4"/>
  <c r="HT260" i="4"/>
  <c r="HT69" i="4"/>
  <c r="HT213" i="4"/>
  <c r="HT22" i="4"/>
  <c r="HT166" i="4"/>
  <c r="HT310" i="4"/>
  <c r="HT119" i="4"/>
  <c r="HT263" i="4"/>
  <c r="HT72" i="4"/>
  <c r="HT216" i="4"/>
  <c r="HT37" i="4"/>
  <c r="HT181" i="4"/>
  <c r="HT325" i="4"/>
  <c r="HT147" i="4"/>
  <c r="HT291" i="4"/>
  <c r="HT290" i="4"/>
  <c r="HT160" i="4"/>
  <c r="HT244" i="4"/>
  <c r="HT50" i="4"/>
  <c r="HT196" i="4"/>
  <c r="HT77" i="4"/>
  <c r="HT221" i="4"/>
  <c r="HT30" i="4"/>
  <c r="HT174" i="4"/>
  <c r="HT318" i="4"/>
  <c r="HT127" i="4"/>
  <c r="HT271" i="4"/>
  <c r="HT128" i="4"/>
  <c r="HT272" i="4"/>
  <c r="HT81" i="4"/>
  <c r="HT225" i="4"/>
  <c r="HT34" i="4"/>
  <c r="HT178" i="4"/>
  <c r="HT322" i="4"/>
  <c r="HT131" i="4"/>
  <c r="HT275" i="4"/>
  <c r="HT84" i="4"/>
  <c r="HT228" i="4"/>
  <c r="HT49" i="4"/>
  <c r="HT193" i="4"/>
  <c r="HT15" i="4"/>
  <c r="HT159" i="4"/>
  <c r="HT303" i="4"/>
  <c r="HT76" i="4"/>
  <c r="HT232" i="4"/>
  <c r="HT307" i="4"/>
  <c r="HT122" i="4"/>
  <c r="HT268" i="4"/>
  <c r="HT89" i="4"/>
  <c r="HT233" i="4"/>
  <c r="HT42" i="4"/>
  <c r="HT186" i="4"/>
  <c r="HT330" i="4"/>
  <c r="HT139" i="4"/>
  <c r="HT283" i="4"/>
  <c r="HT140" i="4"/>
  <c r="HT284" i="4"/>
  <c r="HT93" i="4"/>
  <c r="HT237" i="4"/>
  <c r="HT46" i="4"/>
  <c r="HT190" i="4"/>
  <c r="HT334" i="4"/>
  <c r="HT143" i="4"/>
  <c r="HT287" i="4"/>
  <c r="HT96" i="4"/>
  <c r="HT240" i="4"/>
  <c r="HT61" i="4"/>
  <c r="HT205" i="4"/>
  <c r="HT27" i="4"/>
  <c r="HT171" i="4"/>
  <c r="HT315" i="4"/>
  <c r="HT148" i="4"/>
  <c r="HT302" i="4"/>
  <c r="HT38" i="4"/>
  <c r="HT194" i="4"/>
  <c r="HT326" i="4"/>
  <c r="HT101" i="4"/>
  <c r="HT245" i="4"/>
  <c r="HT54" i="4"/>
  <c r="HT198" i="4"/>
  <c r="HT7" i="4"/>
  <c r="HT151" i="4"/>
  <c r="HT8" i="4"/>
  <c r="HT152" i="4"/>
  <c r="HT296" i="4"/>
  <c r="HT105" i="4"/>
  <c r="HT249" i="4"/>
  <c r="HT58" i="4"/>
  <c r="HT202" i="4"/>
  <c r="HT11" i="4"/>
  <c r="HT155" i="4"/>
  <c r="HT299" i="4"/>
  <c r="HT108" i="4"/>
  <c r="HT252" i="4"/>
  <c r="HT73" i="4"/>
  <c r="HT217" i="4"/>
  <c r="HT39" i="4"/>
  <c r="HT183" i="4"/>
  <c r="HT327" i="4"/>
  <c r="HT220" i="4"/>
  <c r="HT26" i="4"/>
  <c r="HT110" i="4"/>
  <c r="HT266" i="4"/>
  <c r="HT113" i="4"/>
  <c r="HT257" i="4"/>
  <c r="HT66" i="4"/>
  <c r="HT210" i="4"/>
  <c r="HT19" i="4"/>
  <c r="HT163" i="4"/>
  <c r="HT20" i="4"/>
  <c r="HT164" i="4"/>
  <c r="HT308" i="4"/>
  <c r="HT117" i="4"/>
  <c r="HT261" i="4"/>
  <c r="HT70" i="4"/>
  <c r="HT214" i="4"/>
  <c r="HT23" i="4"/>
  <c r="HT167" i="4"/>
  <c r="HT311" i="4"/>
  <c r="HT120" i="4"/>
  <c r="HT264" i="4"/>
  <c r="HT85" i="4"/>
  <c r="HT229" i="4"/>
  <c r="HT51" i="4"/>
  <c r="HT195" i="4"/>
  <c r="HT64" i="4"/>
  <c r="HT292" i="4"/>
  <c r="HT98" i="4"/>
  <c r="HT182" i="4"/>
  <c r="HT319" i="4"/>
  <c r="HT125" i="4"/>
  <c r="HT269" i="4"/>
  <c r="HT78" i="4"/>
  <c r="HT222" i="4"/>
  <c r="HT31" i="4"/>
  <c r="HT175" i="4"/>
  <c r="HT32" i="4"/>
  <c r="HT176" i="4"/>
  <c r="HT320" i="4"/>
  <c r="HT129" i="4"/>
  <c r="HT273" i="4"/>
  <c r="HT82" i="4"/>
  <c r="HT226" i="4"/>
  <c r="HT35" i="4"/>
  <c r="HT179" i="4"/>
  <c r="HT323" i="4"/>
  <c r="HT132" i="4"/>
  <c r="HT276" i="4"/>
  <c r="HT97" i="4"/>
  <c r="HT241" i="4"/>
  <c r="HT63" i="4"/>
  <c r="HT207" i="4"/>
  <c r="HT136" i="4"/>
  <c r="HT14" i="4"/>
  <c r="HT149" i="4"/>
  <c r="HT293" i="4"/>
  <c r="HT102" i="4"/>
  <c r="HT246" i="4"/>
  <c r="HT55" i="4"/>
  <c r="HT199" i="4"/>
  <c r="HT56" i="4"/>
  <c r="HT200" i="4"/>
  <c r="HT9" i="4"/>
  <c r="HT153" i="4"/>
  <c r="HT297" i="4"/>
  <c r="HT106" i="4"/>
  <c r="HT250" i="4"/>
  <c r="HT59" i="4"/>
  <c r="HT203" i="4"/>
  <c r="HT12" i="4"/>
  <c r="HT156" i="4"/>
  <c r="HT300" i="4"/>
  <c r="HT121" i="4"/>
  <c r="HT265" i="4"/>
  <c r="HT87" i="4"/>
  <c r="HT231" i="4"/>
  <c r="HT280" i="4"/>
  <c r="HT158" i="4"/>
  <c r="HT304" i="4"/>
  <c r="HT40" i="4"/>
  <c r="HT206" i="4"/>
  <c r="HT187" i="4"/>
  <c r="HT288" i="4"/>
  <c r="HT62" i="4"/>
  <c r="HT44" i="4"/>
  <c r="HT109" i="4"/>
  <c r="HT134" i="4"/>
  <c r="HT188" i="4"/>
  <c r="HT253" i="4"/>
  <c r="HT332" i="4"/>
  <c r="HT75" i="4"/>
  <c r="HT141" i="4"/>
  <c r="HT219" i="4"/>
  <c r="HT285" i="4"/>
  <c r="HT208" i="4"/>
  <c r="HT94" i="4"/>
  <c r="HT86" i="4"/>
  <c r="HT137" i="4"/>
  <c r="HT238" i="4"/>
  <c r="HT170" i="4"/>
  <c r="HT281" i="4"/>
  <c r="HT47" i="4"/>
  <c r="HT242" i="4"/>
  <c r="HT90" i="4"/>
  <c r="HT191" i="4"/>
  <c r="HT234" i="4"/>
  <c r="HT335" i="4"/>
  <c r="HT254" i="4"/>
  <c r="HT43" i="4"/>
  <c r="HT144" i="4"/>
  <c r="HT314" i="4"/>
  <c r="HP318" i="4"/>
  <c r="HP72" i="4"/>
  <c r="HP330" i="4"/>
  <c r="HP84" i="4"/>
  <c r="HP164" i="4"/>
  <c r="HP205" i="4"/>
  <c r="HP176" i="4"/>
  <c r="HP50" i="4"/>
  <c r="HP141" i="4"/>
  <c r="HP218" i="4"/>
  <c r="HP94" i="4"/>
  <c r="HP316" i="4"/>
  <c r="HP250" i="4"/>
  <c r="HP233" i="4"/>
  <c r="HP59" i="4"/>
  <c r="HP45" i="4"/>
  <c r="HP122" i="4"/>
  <c r="HP62" i="4"/>
  <c r="HP154" i="4"/>
  <c r="HP220" i="4"/>
  <c r="HP245" i="4"/>
  <c r="HP268" i="4"/>
  <c r="HP235" i="4"/>
  <c r="HP29" i="4"/>
  <c r="HP272" i="4"/>
  <c r="HP313" i="4"/>
  <c r="HP139" i="4"/>
  <c r="HP216" i="4"/>
  <c r="HP163" i="4"/>
  <c r="HP228" i="4"/>
  <c r="HP308" i="4"/>
  <c r="HP38" i="4"/>
  <c r="HP320" i="4"/>
  <c r="HP206" i="4"/>
  <c r="HP285" i="4"/>
  <c r="HP207" i="4"/>
  <c r="HP238" i="4"/>
  <c r="HP221" i="4"/>
  <c r="HP47" i="4"/>
  <c r="HP78" i="4"/>
  <c r="HP203" i="4"/>
  <c r="HP189" i="4"/>
  <c r="HP266" i="4"/>
  <c r="HP142" i="4"/>
  <c r="HP52" i="4"/>
  <c r="HP298" i="4"/>
  <c r="HP76" i="4"/>
  <c r="HP101" i="4"/>
  <c r="HP124" i="4"/>
  <c r="HP91" i="4"/>
  <c r="HP232" i="4"/>
  <c r="HP81" i="4"/>
  <c r="HP158" i="4"/>
  <c r="AR333" i="4"/>
  <c r="AR334" i="4"/>
  <c r="EU323" i="4"/>
  <c r="HL8" i="4"/>
  <c r="HL20" i="4"/>
  <c r="HL32" i="4"/>
  <c r="HL44" i="4"/>
  <c r="HL56" i="4"/>
  <c r="HL68" i="4"/>
  <c r="HL80" i="4"/>
  <c r="HL92" i="4"/>
  <c r="HL104" i="4"/>
  <c r="HL116" i="4"/>
  <c r="HL128" i="4"/>
  <c r="HL140" i="4"/>
  <c r="HL152" i="4"/>
  <c r="HL164" i="4"/>
  <c r="HL176" i="4"/>
  <c r="HL188" i="4"/>
  <c r="HL200" i="4"/>
  <c r="HL212" i="4"/>
  <c r="HL224" i="4"/>
  <c r="HL236" i="4"/>
  <c r="HL248" i="4"/>
  <c r="HL260" i="4"/>
  <c r="HL272" i="4"/>
  <c r="HL284" i="4"/>
  <c r="HL296" i="4"/>
  <c r="HL308" i="4"/>
  <c r="HL320" i="4"/>
  <c r="HL332" i="4"/>
  <c r="HL9" i="4"/>
  <c r="HL21" i="4"/>
  <c r="HL33" i="4"/>
  <c r="HL45" i="4"/>
  <c r="HL57" i="4"/>
  <c r="HL69" i="4"/>
  <c r="HL81" i="4"/>
  <c r="HL93" i="4"/>
  <c r="HL105" i="4"/>
  <c r="HL117" i="4"/>
  <c r="HL129" i="4"/>
  <c r="HL141" i="4"/>
  <c r="HL153" i="4"/>
  <c r="HL165" i="4"/>
  <c r="HL177" i="4"/>
  <c r="HL189" i="4"/>
  <c r="HL201" i="4"/>
  <c r="HL213" i="4"/>
  <c r="HL225" i="4"/>
  <c r="HL237" i="4"/>
  <c r="HL249" i="4"/>
  <c r="HL261" i="4"/>
  <c r="HL273" i="4"/>
  <c r="HL285" i="4"/>
  <c r="HL297" i="4"/>
  <c r="HL309" i="4"/>
  <c r="HL321" i="4"/>
  <c r="HL333" i="4"/>
  <c r="HL10" i="4"/>
  <c r="HL22" i="4"/>
  <c r="HL34" i="4"/>
  <c r="HL46" i="4"/>
  <c r="HL58" i="4"/>
  <c r="HL70" i="4"/>
  <c r="HL82" i="4"/>
  <c r="HL94" i="4"/>
  <c r="HL106" i="4"/>
  <c r="HL118" i="4"/>
  <c r="HL130" i="4"/>
  <c r="HL142" i="4"/>
  <c r="HL154" i="4"/>
  <c r="HL166" i="4"/>
  <c r="HL178" i="4"/>
  <c r="HL190" i="4"/>
  <c r="HL202" i="4"/>
  <c r="HL214" i="4"/>
  <c r="HL226" i="4"/>
  <c r="HL238" i="4"/>
  <c r="HL250" i="4"/>
  <c r="HL262" i="4"/>
  <c r="HL274" i="4"/>
  <c r="HL286" i="4"/>
  <c r="HL298" i="4"/>
  <c r="HL310" i="4"/>
  <c r="HL322" i="4"/>
  <c r="HL334" i="4"/>
  <c r="HL11" i="4"/>
  <c r="HL23" i="4"/>
  <c r="HL35" i="4"/>
  <c r="HL47" i="4"/>
  <c r="HL59" i="4"/>
  <c r="HL71" i="4"/>
  <c r="HL83" i="4"/>
  <c r="HL95" i="4"/>
  <c r="HL107" i="4"/>
  <c r="HL119" i="4"/>
  <c r="HL131" i="4"/>
  <c r="HL143" i="4"/>
  <c r="HL155" i="4"/>
  <c r="HL167" i="4"/>
  <c r="HL12" i="4"/>
  <c r="HL24" i="4"/>
  <c r="HL36" i="4"/>
  <c r="HL48" i="4"/>
  <c r="HL60" i="4"/>
  <c r="HL72" i="4"/>
  <c r="HL84" i="4"/>
  <c r="HL96" i="4"/>
  <c r="HL108" i="4"/>
  <c r="HL120" i="4"/>
  <c r="HL132" i="4"/>
  <c r="HL144" i="4"/>
  <c r="HL156" i="4"/>
  <c r="HL168" i="4"/>
  <c r="HL180" i="4"/>
  <c r="HL192" i="4"/>
  <c r="HL204" i="4"/>
  <c r="HL216" i="4"/>
  <c r="HL228" i="4"/>
  <c r="HL240" i="4"/>
  <c r="HL252" i="4"/>
  <c r="HL264" i="4"/>
  <c r="HL276" i="4"/>
  <c r="HL288" i="4"/>
  <c r="HL300" i="4"/>
  <c r="HL312" i="4"/>
  <c r="HL324" i="4"/>
  <c r="HL13" i="4"/>
  <c r="HL25" i="4"/>
  <c r="HL37" i="4"/>
  <c r="HL49" i="4"/>
  <c r="HL61" i="4"/>
  <c r="HL73" i="4"/>
  <c r="HL85" i="4"/>
  <c r="HL97" i="4"/>
  <c r="HL109" i="4"/>
  <c r="HL121" i="4"/>
  <c r="HL133" i="4"/>
  <c r="HL145" i="4"/>
  <c r="HL157" i="4"/>
  <c r="HL169" i="4"/>
  <c r="HL181" i="4"/>
  <c r="HL193" i="4"/>
  <c r="HL205" i="4"/>
  <c r="HL217" i="4"/>
  <c r="HL229" i="4"/>
  <c r="HL241" i="4"/>
  <c r="HL253" i="4"/>
  <c r="HL265" i="4"/>
  <c r="HL277" i="4"/>
  <c r="HL289" i="4"/>
  <c r="HL301" i="4"/>
  <c r="HL313" i="4"/>
  <c r="HL325" i="4"/>
  <c r="HL14" i="4"/>
  <c r="HL26" i="4"/>
  <c r="HL38" i="4"/>
  <c r="HL50" i="4"/>
  <c r="HL62" i="4"/>
  <c r="HL74" i="4"/>
  <c r="HL86" i="4"/>
  <c r="HL98" i="4"/>
  <c r="HL110" i="4"/>
  <c r="HL122" i="4"/>
  <c r="HL134" i="4"/>
  <c r="HL146" i="4"/>
  <c r="HL158" i="4"/>
  <c r="HL170" i="4"/>
  <c r="HL182" i="4"/>
  <c r="HL194" i="4"/>
  <c r="HL206" i="4"/>
  <c r="HL218" i="4"/>
  <c r="HL230" i="4"/>
  <c r="HL242" i="4"/>
  <c r="HL254" i="4"/>
  <c r="HL266" i="4"/>
  <c r="HL278" i="4"/>
  <c r="HL290" i="4"/>
  <c r="HL302" i="4"/>
  <c r="HL314" i="4"/>
  <c r="HL326" i="4"/>
  <c r="HL15" i="4"/>
  <c r="HL27" i="4"/>
  <c r="HL39" i="4"/>
  <c r="HL51" i="4"/>
  <c r="HL63" i="4"/>
  <c r="HL75" i="4"/>
  <c r="HL87" i="4"/>
  <c r="HL99" i="4"/>
  <c r="HL111" i="4"/>
  <c r="HL123" i="4"/>
  <c r="HL135" i="4"/>
  <c r="HL147" i="4"/>
  <c r="HL159" i="4"/>
  <c r="HL171" i="4"/>
  <c r="HL183" i="4"/>
  <c r="HL195" i="4"/>
  <c r="HL207" i="4"/>
  <c r="HL219" i="4"/>
  <c r="HL231" i="4"/>
  <c r="HL243" i="4"/>
  <c r="HL255" i="4"/>
  <c r="HL267" i="4"/>
  <c r="HL279" i="4"/>
  <c r="HL291" i="4"/>
  <c r="HL303" i="4"/>
  <c r="HL315" i="4"/>
  <c r="HL327" i="4"/>
  <c r="HL16" i="4"/>
  <c r="HL28" i="4"/>
  <c r="HL40" i="4"/>
  <c r="HL52" i="4"/>
  <c r="HL64" i="4"/>
  <c r="HL76" i="4"/>
  <c r="HL88" i="4"/>
  <c r="HL100" i="4"/>
  <c r="HL112" i="4"/>
  <c r="HL124" i="4"/>
  <c r="HL136" i="4"/>
  <c r="HL148" i="4"/>
  <c r="HL160" i="4"/>
  <c r="HL172" i="4"/>
  <c r="HL184" i="4"/>
  <c r="HL196" i="4"/>
  <c r="HL208" i="4"/>
  <c r="HL220" i="4"/>
  <c r="HL232" i="4"/>
  <c r="HL244" i="4"/>
  <c r="HL256" i="4"/>
  <c r="HL268" i="4"/>
  <c r="HL280" i="4"/>
  <c r="HL292" i="4"/>
  <c r="HL304" i="4"/>
  <c r="HL316" i="4"/>
  <c r="HL328" i="4"/>
  <c r="HL4" i="4"/>
  <c r="HL5" i="4"/>
  <c r="HL17" i="4"/>
  <c r="HL29" i="4"/>
  <c r="HL41" i="4"/>
  <c r="HL53" i="4"/>
  <c r="HL65" i="4"/>
  <c r="HL77" i="4"/>
  <c r="HL89" i="4"/>
  <c r="HL101" i="4"/>
  <c r="HL113" i="4"/>
  <c r="HL125" i="4"/>
  <c r="HL137" i="4"/>
  <c r="HL149" i="4"/>
  <c r="HL161" i="4"/>
  <c r="HL173" i="4"/>
  <c r="HL185" i="4"/>
  <c r="HL197" i="4"/>
  <c r="HL209" i="4"/>
  <c r="HL221" i="4"/>
  <c r="HL233" i="4"/>
  <c r="HL245" i="4"/>
  <c r="HL257" i="4"/>
  <c r="HL269" i="4"/>
  <c r="HL281" i="4"/>
  <c r="HL293" i="4"/>
  <c r="HL305" i="4"/>
  <c r="HL317" i="4"/>
  <c r="HL329" i="4"/>
  <c r="HL7" i="4"/>
  <c r="HL19" i="4"/>
  <c r="HL31" i="4"/>
  <c r="HL43" i="4"/>
  <c r="HL55" i="4"/>
  <c r="HL67" i="4"/>
  <c r="HL79" i="4"/>
  <c r="HL91" i="4"/>
  <c r="HL103" i="4"/>
  <c r="HL115" i="4"/>
  <c r="HL127" i="4"/>
  <c r="HL139" i="4"/>
  <c r="HL151" i="4"/>
  <c r="HL163" i="4"/>
  <c r="HL175" i="4"/>
  <c r="HL187" i="4"/>
  <c r="HL199" i="4"/>
  <c r="HL211" i="4"/>
  <c r="HL223" i="4"/>
  <c r="HL235" i="4"/>
  <c r="HL247" i="4"/>
  <c r="HL259" i="4"/>
  <c r="HL271" i="4"/>
  <c r="HL283" i="4"/>
  <c r="HL295" i="4"/>
  <c r="HL307" i="4"/>
  <c r="HL319" i="4"/>
  <c r="HL331" i="4"/>
  <c r="HL102" i="4"/>
  <c r="HL210" i="4"/>
  <c r="HL282" i="4"/>
  <c r="HL114" i="4"/>
  <c r="HL215" i="4"/>
  <c r="HL287" i="4"/>
  <c r="HL126" i="4"/>
  <c r="HL222" i="4"/>
  <c r="HL294" i="4"/>
  <c r="HL138" i="4"/>
  <c r="HL227" i="4"/>
  <c r="HL299" i="4"/>
  <c r="HL6" i="4"/>
  <c r="HL150" i="4"/>
  <c r="HL234" i="4"/>
  <c r="HL306" i="4"/>
  <c r="HL18" i="4"/>
  <c r="HL162" i="4"/>
  <c r="HL239" i="4"/>
  <c r="HL311" i="4"/>
  <c r="HL30" i="4"/>
  <c r="HL174" i="4"/>
  <c r="HL246" i="4"/>
  <c r="HL318" i="4"/>
  <c r="HL42" i="4"/>
  <c r="HL179" i="4"/>
  <c r="HL251" i="4"/>
  <c r="HL323" i="4"/>
  <c r="HL54" i="4"/>
  <c r="HL186" i="4"/>
  <c r="HL258" i="4"/>
  <c r="HL330" i="4"/>
  <c r="HL66" i="4"/>
  <c r="HL191" i="4"/>
  <c r="HL263" i="4"/>
  <c r="HL335" i="4"/>
  <c r="HL78" i="4"/>
  <c r="HL198" i="4"/>
  <c r="HL270" i="4"/>
  <c r="HL90" i="4"/>
  <c r="HL203" i="4"/>
  <c r="HL275" i="4"/>
  <c r="HP319" i="4"/>
  <c r="HP37" i="4"/>
  <c r="HP331" i="4"/>
  <c r="HP49" i="4"/>
  <c r="HP117" i="4"/>
  <c r="HP194" i="4"/>
  <c r="HP129" i="4"/>
  <c r="HP183" i="4"/>
  <c r="HP82" i="4"/>
  <c r="HP292" i="4"/>
  <c r="HP35" i="4"/>
  <c r="HP66" i="4"/>
  <c r="HP191" i="4"/>
  <c r="HP246" i="4"/>
  <c r="HP156" i="4"/>
  <c r="HP333" i="4"/>
  <c r="HP28" i="4"/>
  <c r="HP286" i="4"/>
  <c r="HP77" i="4"/>
  <c r="HP95" i="4"/>
  <c r="HP255" i="4"/>
  <c r="HP304" i="4"/>
  <c r="HP303" i="4"/>
  <c r="HP282" i="4"/>
  <c r="HP88" i="4"/>
  <c r="HP225" i="4"/>
  <c r="HP302" i="4"/>
  <c r="HJ5" i="4"/>
  <c r="HJ56" i="4"/>
  <c r="HJ200" i="4"/>
  <c r="HJ21" i="4"/>
  <c r="HJ165" i="4"/>
  <c r="HJ309" i="4"/>
  <c r="HJ130" i="4"/>
  <c r="HJ274" i="4"/>
  <c r="HJ95" i="4"/>
  <c r="HJ239" i="4"/>
  <c r="HJ60" i="4"/>
  <c r="HJ204" i="4"/>
  <c r="HJ37" i="4"/>
  <c r="HJ181" i="4"/>
  <c r="HJ325" i="4"/>
  <c r="HJ146" i="4"/>
  <c r="HJ290" i="4"/>
  <c r="HJ111" i="4"/>
  <c r="HJ255" i="4"/>
  <c r="HJ76" i="4"/>
  <c r="HJ220" i="4"/>
  <c r="HJ29" i="4"/>
  <c r="HJ173" i="4"/>
  <c r="HJ317" i="4"/>
  <c r="HJ139" i="4"/>
  <c r="HJ283" i="4"/>
  <c r="HJ234" i="4"/>
  <c r="HJ162" i="4"/>
  <c r="HJ6" i="4"/>
  <c r="HJ68" i="4"/>
  <c r="HJ212" i="4"/>
  <c r="HJ33" i="4"/>
  <c r="HJ177" i="4"/>
  <c r="HJ321" i="4"/>
  <c r="HJ142" i="4"/>
  <c r="HJ286" i="4"/>
  <c r="HJ107" i="4"/>
  <c r="HJ251" i="4"/>
  <c r="HJ72" i="4"/>
  <c r="HJ216" i="4"/>
  <c r="HJ49" i="4"/>
  <c r="HJ193" i="4"/>
  <c r="HJ7" i="4"/>
  <c r="HJ158" i="4"/>
  <c r="HJ302" i="4"/>
  <c r="HJ123" i="4"/>
  <c r="HJ267" i="4"/>
  <c r="HJ88" i="4"/>
  <c r="HJ232" i="4"/>
  <c r="HJ41" i="4"/>
  <c r="HJ185" i="4"/>
  <c r="HJ329" i="4"/>
  <c r="HJ151" i="4"/>
  <c r="HJ295" i="4"/>
  <c r="HJ102" i="4"/>
  <c r="HJ306" i="4"/>
  <c r="HJ8" i="4"/>
  <c r="HJ80" i="4"/>
  <c r="HJ224" i="4"/>
  <c r="HJ45" i="4"/>
  <c r="HJ189" i="4"/>
  <c r="HJ333" i="4"/>
  <c r="HJ154" i="4"/>
  <c r="HJ298" i="4"/>
  <c r="HJ119" i="4"/>
  <c r="HJ263" i="4"/>
  <c r="HJ84" i="4"/>
  <c r="HJ228" i="4"/>
  <c r="HJ61" i="4"/>
  <c r="HJ205" i="4"/>
  <c r="HJ26" i="4"/>
  <c r="HJ170" i="4"/>
  <c r="HJ314" i="4"/>
  <c r="HJ135" i="4"/>
  <c r="HJ279" i="4"/>
  <c r="HJ100" i="4"/>
  <c r="HJ244" i="4"/>
  <c r="HJ53" i="4"/>
  <c r="HJ197" i="4"/>
  <c r="HJ19" i="4"/>
  <c r="HJ163" i="4"/>
  <c r="HJ307" i="4"/>
  <c r="HJ246" i="4"/>
  <c r="HJ30" i="4"/>
  <c r="HJ9" i="4"/>
  <c r="HJ92" i="4"/>
  <c r="HJ236" i="4"/>
  <c r="HJ57" i="4"/>
  <c r="HJ201" i="4"/>
  <c r="HJ22" i="4"/>
  <c r="HJ166" i="4"/>
  <c r="HJ310" i="4"/>
  <c r="HJ131" i="4"/>
  <c r="HJ275" i="4"/>
  <c r="HJ96" i="4"/>
  <c r="HJ240" i="4"/>
  <c r="HJ73" i="4"/>
  <c r="HJ217" i="4"/>
  <c r="HJ38" i="4"/>
  <c r="HJ182" i="4"/>
  <c r="HJ326" i="4"/>
  <c r="HJ147" i="4"/>
  <c r="HJ291" i="4"/>
  <c r="HJ112" i="4"/>
  <c r="HJ256" i="4"/>
  <c r="HJ65" i="4"/>
  <c r="HJ209" i="4"/>
  <c r="HJ31" i="4"/>
  <c r="HJ175" i="4"/>
  <c r="HJ319" i="4"/>
  <c r="HJ114" i="4"/>
  <c r="HJ174" i="4"/>
  <c r="HJ10" i="4"/>
  <c r="HJ104" i="4"/>
  <c r="HJ248" i="4"/>
  <c r="HJ69" i="4"/>
  <c r="HJ213" i="4"/>
  <c r="HJ34" i="4"/>
  <c r="HJ178" i="4"/>
  <c r="HJ322" i="4"/>
  <c r="HJ143" i="4"/>
  <c r="HJ287" i="4"/>
  <c r="HJ108" i="4"/>
  <c r="HJ252" i="4"/>
  <c r="HJ85" i="4"/>
  <c r="HJ229" i="4"/>
  <c r="HJ50" i="4"/>
  <c r="HJ194" i="4"/>
  <c r="HJ14" i="4"/>
  <c r="HJ159" i="4"/>
  <c r="HJ303" i="4"/>
  <c r="HJ124" i="4"/>
  <c r="HJ268" i="4"/>
  <c r="HJ77" i="4"/>
  <c r="HJ221" i="4"/>
  <c r="HJ43" i="4"/>
  <c r="HJ187" i="4"/>
  <c r="HJ331" i="4"/>
  <c r="HJ258" i="4"/>
  <c r="HJ318" i="4"/>
  <c r="HJ11" i="4"/>
  <c r="HJ116" i="4"/>
  <c r="HJ260" i="4"/>
  <c r="HJ81" i="4"/>
  <c r="HJ225" i="4"/>
  <c r="HJ46" i="4"/>
  <c r="HJ190" i="4"/>
  <c r="HJ334" i="4"/>
  <c r="HJ155" i="4"/>
  <c r="HJ299" i="4"/>
  <c r="HJ120" i="4"/>
  <c r="HJ264" i="4"/>
  <c r="HJ97" i="4"/>
  <c r="HJ241" i="4"/>
  <c r="HJ62" i="4"/>
  <c r="HJ206" i="4"/>
  <c r="HJ27" i="4"/>
  <c r="HJ171" i="4"/>
  <c r="HJ315" i="4"/>
  <c r="HJ136" i="4"/>
  <c r="HJ280" i="4"/>
  <c r="HJ89" i="4"/>
  <c r="HJ233" i="4"/>
  <c r="HJ55" i="4"/>
  <c r="HJ199" i="4"/>
  <c r="HJ54" i="4"/>
  <c r="HJ126" i="4"/>
  <c r="HJ42" i="4"/>
  <c r="HJ12" i="4"/>
  <c r="HJ128" i="4"/>
  <c r="HJ272" i="4"/>
  <c r="HJ93" i="4"/>
  <c r="HJ237" i="4"/>
  <c r="HJ58" i="4"/>
  <c r="HJ202" i="4"/>
  <c r="HJ23" i="4"/>
  <c r="HJ167" i="4"/>
  <c r="HJ311" i="4"/>
  <c r="HJ132" i="4"/>
  <c r="HJ276" i="4"/>
  <c r="HJ109" i="4"/>
  <c r="HJ253" i="4"/>
  <c r="HJ74" i="4"/>
  <c r="HJ218" i="4"/>
  <c r="HJ39" i="4"/>
  <c r="HJ183" i="4"/>
  <c r="HJ327" i="4"/>
  <c r="HJ148" i="4"/>
  <c r="HJ292" i="4"/>
  <c r="HJ101" i="4"/>
  <c r="HJ245" i="4"/>
  <c r="HJ67" i="4"/>
  <c r="HJ211" i="4"/>
  <c r="HJ198" i="4"/>
  <c r="HJ270" i="4"/>
  <c r="HJ186" i="4"/>
  <c r="HJ13" i="4"/>
  <c r="HJ140" i="4"/>
  <c r="HJ284" i="4"/>
  <c r="HJ105" i="4"/>
  <c r="HJ249" i="4"/>
  <c r="HJ70" i="4"/>
  <c r="HJ214" i="4"/>
  <c r="HJ35" i="4"/>
  <c r="HJ179" i="4"/>
  <c r="HJ323" i="4"/>
  <c r="HJ144" i="4"/>
  <c r="HJ288" i="4"/>
  <c r="HJ121" i="4"/>
  <c r="HJ265" i="4"/>
  <c r="HJ86" i="4"/>
  <c r="HJ230" i="4"/>
  <c r="HJ51" i="4"/>
  <c r="HJ195" i="4"/>
  <c r="HJ16" i="4"/>
  <c r="HJ160" i="4"/>
  <c r="HJ304" i="4"/>
  <c r="HJ113" i="4"/>
  <c r="HJ257" i="4"/>
  <c r="HJ79" i="4"/>
  <c r="HJ223" i="4"/>
  <c r="HJ66" i="4"/>
  <c r="HJ138" i="4"/>
  <c r="HJ330" i="4"/>
  <c r="HJ15" i="4"/>
  <c r="HJ152" i="4"/>
  <c r="HJ296" i="4"/>
  <c r="HJ117" i="4"/>
  <c r="HJ261" i="4"/>
  <c r="HJ82" i="4"/>
  <c r="HJ226" i="4"/>
  <c r="HJ47" i="4"/>
  <c r="HJ191" i="4"/>
  <c r="HJ335" i="4"/>
  <c r="HJ156" i="4"/>
  <c r="HJ300" i="4"/>
  <c r="HJ133" i="4"/>
  <c r="HJ277" i="4"/>
  <c r="HJ98" i="4"/>
  <c r="HJ242" i="4"/>
  <c r="HJ63" i="4"/>
  <c r="HJ207" i="4"/>
  <c r="HJ28" i="4"/>
  <c r="HJ172" i="4"/>
  <c r="HJ316" i="4"/>
  <c r="HJ125" i="4"/>
  <c r="HJ269" i="4"/>
  <c r="HJ91" i="4"/>
  <c r="HJ235" i="4"/>
  <c r="HJ210" i="4"/>
  <c r="HJ282" i="4"/>
  <c r="HJ20" i="4"/>
  <c r="HJ164" i="4"/>
  <c r="HJ308" i="4"/>
  <c r="HJ129" i="4"/>
  <c r="HJ273" i="4"/>
  <c r="HJ94" i="4"/>
  <c r="HJ238" i="4"/>
  <c r="HJ59" i="4"/>
  <c r="HJ203" i="4"/>
  <c r="HJ24" i="4"/>
  <c r="HJ168" i="4"/>
  <c r="HJ312" i="4"/>
  <c r="HJ145" i="4"/>
  <c r="HJ289" i="4"/>
  <c r="HJ110" i="4"/>
  <c r="HJ254" i="4"/>
  <c r="HJ75" i="4"/>
  <c r="HJ219" i="4"/>
  <c r="HJ40" i="4"/>
  <c r="HJ184" i="4"/>
  <c r="HJ328" i="4"/>
  <c r="HJ137" i="4"/>
  <c r="HJ281" i="4"/>
  <c r="HJ103" i="4"/>
  <c r="HJ247" i="4"/>
  <c r="HJ78" i="4"/>
  <c r="HJ150" i="4"/>
  <c r="HJ44" i="4"/>
  <c r="HJ188" i="4"/>
  <c r="HJ332" i="4"/>
  <c r="HJ153" i="4"/>
  <c r="HJ297" i="4"/>
  <c r="HJ118" i="4"/>
  <c r="HJ262" i="4"/>
  <c r="HJ83" i="4"/>
  <c r="HJ227" i="4"/>
  <c r="HJ48" i="4"/>
  <c r="HJ192" i="4"/>
  <c r="HJ25" i="4"/>
  <c r="HJ169" i="4"/>
  <c r="HJ313" i="4"/>
  <c r="HJ134" i="4"/>
  <c r="HJ278" i="4"/>
  <c r="HJ99" i="4"/>
  <c r="HJ243" i="4"/>
  <c r="HJ64" i="4"/>
  <c r="HJ208" i="4"/>
  <c r="HJ17" i="4"/>
  <c r="HJ161" i="4"/>
  <c r="HJ305" i="4"/>
  <c r="HJ127" i="4"/>
  <c r="HJ271" i="4"/>
  <c r="HJ90" i="4"/>
  <c r="HJ18" i="4"/>
  <c r="HJ32" i="4"/>
  <c r="HJ157" i="4"/>
  <c r="HJ259" i="4"/>
  <c r="HJ176" i="4"/>
  <c r="HJ301" i="4"/>
  <c r="HJ222" i="4"/>
  <c r="HJ320" i="4"/>
  <c r="HJ122" i="4"/>
  <c r="HJ294" i="4"/>
  <c r="HJ141" i="4"/>
  <c r="HJ266" i="4"/>
  <c r="HJ285" i="4"/>
  <c r="HJ87" i="4"/>
  <c r="HJ106" i="4"/>
  <c r="HJ231" i="4"/>
  <c r="HJ250" i="4"/>
  <c r="HJ52" i="4"/>
  <c r="HJ71" i="4"/>
  <c r="HJ196" i="4"/>
  <c r="HJ215" i="4"/>
  <c r="HJ36" i="4"/>
  <c r="HJ149" i="4"/>
  <c r="HJ180" i="4"/>
  <c r="HJ293" i="4"/>
  <c r="HJ324" i="4"/>
  <c r="HJ115" i="4"/>
  <c r="AP334" i="4"/>
  <c r="AP333" i="4"/>
  <c r="HP140" i="4"/>
  <c r="HP181" i="4"/>
  <c r="HP152" i="4"/>
  <c r="HP193" i="4"/>
  <c r="HP261" i="4"/>
  <c r="HP273" i="4"/>
  <c r="HP280" i="4"/>
  <c r="HP226" i="4"/>
  <c r="HP209" i="4"/>
  <c r="HP179" i="4"/>
  <c r="HP234" i="4"/>
  <c r="HP335" i="4"/>
  <c r="HP67" i="4"/>
  <c r="HP300" i="4"/>
  <c r="HP130" i="4"/>
  <c r="HP269" i="4"/>
  <c r="HP83" i="4"/>
  <c r="HP281" i="4"/>
  <c r="HP239" i="4"/>
  <c r="HP111" i="4"/>
  <c r="HP160" i="4"/>
  <c r="HP159" i="4"/>
  <c r="HP138" i="4"/>
  <c r="HP267" i="4"/>
  <c r="HP22" i="4"/>
  <c r="DE329" i="4"/>
  <c r="FB329" i="4"/>
  <c r="EU295" i="4"/>
  <c r="CH333" i="4"/>
  <c r="CS329" i="4"/>
  <c r="DE335" i="4"/>
  <c r="FB320" i="4"/>
  <c r="FB321" i="4"/>
  <c r="CS322" i="4"/>
  <c r="CS320" i="4"/>
  <c r="FB335" i="4"/>
  <c r="FB328" i="4"/>
  <c r="CS234" i="4"/>
  <c r="AR312" i="4"/>
  <c r="FB322" i="4"/>
  <c r="CS328" i="4"/>
  <c r="DE321" i="4"/>
  <c r="FB331" i="4"/>
  <c r="DE320" i="4"/>
  <c r="CS321" i="4"/>
  <c r="CS335" i="4"/>
  <c r="ER334" i="4"/>
  <c r="CJ334" i="4"/>
  <c r="GK327" i="4"/>
  <c r="EU333" i="4"/>
  <c r="CO334" i="4"/>
  <c r="EW333" i="4"/>
  <c r="EU327" i="4"/>
  <c r="EP333" i="4"/>
  <c r="DJ334" i="4"/>
  <c r="DP333" i="4"/>
  <c r="FB333" i="4"/>
  <c r="FY333" i="4"/>
  <c r="GA333" i="4"/>
  <c r="DS333" i="4"/>
  <c r="GF332" i="4"/>
  <c r="CX333" i="4"/>
  <c r="DN333" i="4"/>
  <c r="EG333" i="4"/>
  <c r="FD333" i="4"/>
  <c r="CJ333" i="4"/>
  <c r="CZ334" i="4"/>
  <c r="GH334" i="4"/>
  <c r="CV334" i="4"/>
  <c r="AD334" i="4" s="1"/>
  <c r="DL334" i="4"/>
  <c r="HB334" i="4"/>
  <c r="HB335" i="4"/>
  <c r="HB333" i="4"/>
  <c r="CZ333" i="4"/>
  <c r="DQ334" i="4"/>
  <c r="EU334" i="4"/>
  <c r="CQ333" i="4"/>
  <c r="DP334" i="4"/>
  <c r="GP333" i="4"/>
  <c r="CQ334" i="4"/>
  <c r="ED334" i="4"/>
  <c r="DQ333" i="4"/>
  <c r="FB334" i="4"/>
  <c r="DJ333" i="4"/>
  <c r="FF334" i="4"/>
  <c r="ED333" i="4"/>
  <c r="DX334" i="4"/>
  <c r="DB333" i="4"/>
  <c r="DI334" i="4"/>
  <c r="FG334" i="4"/>
  <c r="DZ334" i="4"/>
  <c r="DZ333" i="4"/>
  <c r="CB334" i="4"/>
  <c r="CB333" i="4"/>
  <c r="DS334" i="4"/>
  <c r="EE333" i="4"/>
  <c r="DW333" i="4"/>
  <c r="EN334" i="4"/>
  <c r="DG333" i="4"/>
  <c r="DC334" i="4"/>
  <c r="GB334" i="4"/>
  <c r="EP334" i="4"/>
  <c r="DI333" i="4"/>
  <c r="FG333" i="4"/>
  <c r="EG334" i="4"/>
  <c r="EE334" i="4"/>
  <c r="DW334" i="4"/>
  <c r="EN333" i="4"/>
  <c r="DG334" i="4"/>
  <c r="DC333" i="4"/>
  <c r="GA334" i="4"/>
  <c r="FF333" i="4"/>
  <c r="BZ334" i="4"/>
  <c r="BZ333" i="4"/>
  <c r="BX333" i="4"/>
  <c r="BX334" i="4"/>
  <c r="EZ334" i="4"/>
  <c r="GK333" i="4"/>
  <c r="GF333" i="4"/>
  <c r="DX333" i="4"/>
  <c r="EL334" i="4"/>
  <c r="DN334" i="4"/>
  <c r="DB334" i="4"/>
  <c r="GB333" i="4"/>
  <c r="CN334" i="4"/>
  <c r="CH334" i="4"/>
  <c r="DE334" i="4"/>
  <c r="FW333" i="4"/>
  <c r="CD333" i="4"/>
  <c r="CD334" i="4"/>
  <c r="EY334" i="4"/>
  <c r="ER333" i="4"/>
  <c r="GM333" i="4"/>
  <c r="GF334" i="4"/>
  <c r="EW334" i="4"/>
  <c r="EL333" i="4"/>
  <c r="FD334" i="4"/>
  <c r="CN333" i="4"/>
  <c r="DE333" i="4"/>
  <c r="FW334" i="4"/>
  <c r="EY333" i="4"/>
  <c r="ES333" i="4"/>
  <c r="GM334" i="4"/>
  <c r="FY334" i="4"/>
  <c r="EK334" i="4"/>
  <c r="GH333" i="4"/>
  <c r="CV333" i="4"/>
  <c r="AD333" i="4" s="1"/>
  <c r="CO333" i="4"/>
  <c r="EI334" i="4"/>
  <c r="CS333" i="4"/>
  <c r="EZ333" i="4"/>
  <c r="ES334" i="4"/>
  <c r="DU334" i="4"/>
  <c r="CL333" i="4"/>
  <c r="EK333" i="4"/>
  <c r="GI333" i="4"/>
  <c r="CX334" i="4"/>
  <c r="CU333" i="4"/>
  <c r="EI333" i="4"/>
  <c r="CS334" i="4"/>
  <c r="AJ334" i="4"/>
  <c r="R334" i="4" s="1"/>
  <c r="AJ333" i="4"/>
  <c r="R333" i="4" s="1"/>
  <c r="AJ335" i="4"/>
  <c r="R335" i="4" s="1"/>
  <c r="CF333" i="4"/>
  <c r="CF334" i="4"/>
  <c r="EB333" i="4"/>
  <c r="EB334" i="4"/>
  <c r="DU333" i="4"/>
  <c r="CL334" i="4"/>
  <c r="GP334" i="4"/>
  <c r="GI334" i="4"/>
  <c r="CU334" i="4"/>
  <c r="DL333" i="4"/>
  <c r="GK334" i="4"/>
  <c r="AJ326" i="4"/>
  <c r="R326" i="4" s="1"/>
  <c r="AJ320" i="4"/>
  <c r="R320" i="4" s="1"/>
  <c r="FB310" i="4"/>
  <c r="AP312" i="4"/>
  <c r="AJ332" i="4"/>
  <c r="R332" i="4" s="1"/>
  <c r="AT312" i="4"/>
  <c r="D558" i="11"/>
  <c r="GY340" i="4"/>
  <c r="GZ340" i="4" s="1"/>
  <c r="GW340" i="4"/>
  <c r="GY339" i="4"/>
  <c r="GZ339" i="4" s="1"/>
  <c r="GW339" i="4"/>
  <c r="CS292" i="4"/>
  <c r="FB314" i="4"/>
  <c r="CS282" i="4"/>
  <c r="CS199" i="4"/>
  <c r="CS206" i="4"/>
  <c r="FB313" i="4"/>
  <c r="CS216" i="4"/>
  <c r="FB306" i="4"/>
  <c r="CS302" i="4"/>
  <c r="CS254" i="4"/>
  <c r="CS261" i="4"/>
  <c r="CS210" i="4"/>
  <c r="FB316" i="4"/>
  <c r="EN114" i="4"/>
  <c r="CS295" i="4"/>
  <c r="CS260" i="4"/>
  <c r="CS239" i="4"/>
  <c r="CS314" i="4"/>
  <c r="CS265" i="4"/>
  <c r="CS227" i="4"/>
  <c r="CS236" i="4"/>
  <c r="CS217" i="4"/>
  <c r="CS298" i="4"/>
  <c r="CS307" i="4"/>
  <c r="CS203" i="4"/>
  <c r="CS291" i="4"/>
  <c r="CS268" i="4"/>
  <c r="FB317" i="4"/>
  <c r="CS208" i="4"/>
  <c r="CS196" i="4"/>
  <c r="CS315" i="4"/>
  <c r="CS218" i="4"/>
  <c r="CS280" i="4"/>
  <c r="CS214" i="4"/>
  <c r="CS215" i="4"/>
  <c r="CS286" i="4"/>
  <c r="CS231" i="4"/>
  <c r="CS308" i="4"/>
  <c r="CS301" i="4"/>
  <c r="CS294" i="4"/>
  <c r="CS205" i="4"/>
  <c r="CS188" i="4"/>
  <c r="CS198" i="4"/>
  <c r="DE314" i="4"/>
  <c r="CS306" i="4"/>
  <c r="CS300" i="4"/>
  <c r="CS225" i="4"/>
  <c r="CS266" i="4"/>
  <c r="CS192" i="4"/>
  <c r="CS299" i="4"/>
  <c r="CS246" i="4"/>
  <c r="CS228" i="4"/>
  <c r="CS289" i="4"/>
  <c r="CS193" i="4"/>
  <c r="CS252" i="4"/>
  <c r="CS313" i="4"/>
  <c r="CS187" i="4"/>
  <c r="CS316" i="4"/>
  <c r="CS296" i="4"/>
  <c r="CS297" i="4"/>
  <c r="CS235" i="4"/>
  <c r="CS250" i="4"/>
  <c r="CS230" i="4"/>
  <c r="CS317" i="4"/>
  <c r="CS238" i="4"/>
  <c r="CS293" i="4"/>
  <c r="CS273" i="4"/>
  <c r="CS213" i="4"/>
  <c r="CS255" i="4"/>
  <c r="FB307" i="4"/>
  <c r="FB308" i="4"/>
  <c r="CS278" i="4"/>
  <c r="CS237" i="4"/>
  <c r="CS251" i="4"/>
  <c r="FB309" i="4"/>
  <c r="GW69" i="4"/>
  <c r="DE307" i="4"/>
  <c r="DE306" i="4"/>
  <c r="CZ312" i="4"/>
  <c r="FB315" i="4"/>
  <c r="EU305" i="4"/>
  <c r="GF312" i="4"/>
  <c r="GA312" i="4"/>
  <c r="FB312" i="4"/>
  <c r="FY312" i="4"/>
  <c r="ER312" i="4"/>
  <c r="CX312" i="4"/>
  <c r="DN312" i="4"/>
  <c r="EG312" i="4"/>
  <c r="FD312" i="4"/>
  <c r="CJ312" i="4"/>
  <c r="DS312" i="4"/>
  <c r="CL305" i="4"/>
  <c r="EU312" i="4"/>
  <c r="CH312" i="4"/>
  <c r="CN312" i="4"/>
  <c r="DI312" i="4"/>
  <c r="EW312" i="4"/>
  <c r="DQ312" i="4"/>
  <c r="EP312" i="4"/>
  <c r="GI312" i="4"/>
  <c r="BZ312" i="4"/>
  <c r="BX312" i="4"/>
  <c r="ED312" i="4"/>
  <c r="EU280" i="4"/>
  <c r="EU300" i="4"/>
  <c r="EU285" i="4"/>
  <c r="EU319" i="4"/>
  <c r="DP312" i="4"/>
  <c r="GH312" i="4"/>
  <c r="GB312" i="4"/>
  <c r="EU297" i="4"/>
  <c r="EU292" i="4"/>
  <c r="EU288" i="4"/>
  <c r="HB312" i="4"/>
  <c r="FF312" i="4"/>
  <c r="EZ312" i="4"/>
  <c r="EU296" i="4"/>
  <c r="EU299" i="4"/>
  <c r="EU293" i="4"/>
  <c r="EU282" i="4"/>
  <c r="EU286" i="4"/>
  <c r="CL310" i="4"/>
  <c r="CL309" i="4"/>
  <c r="AJ316" i="4"/>
  <c r="R316" i="4" s="1"/>
  <c r="EN312" i="4"/>
  <c r="DC312" i="4"/>
  <c r="CV312" i="4"/>
  <c r="AD312" i="4" s="1"/>
  <c r="DU312" i="4"/>
  <c r="FG312" i="4"/>
  <c r="EY312" i="4"/>
  <c r="EU294" i="4"/>
  <c r="EU315" i="4"/>
  <c r="EU318" i="4"/>
  <c r="CF312" i="4"/>
  <c r="EB14" i="4"/>
  <c r="EB312" i="4"/>
  <c r="EL312" i="4"/>
  <c r="DB312" i="4"/>
  <c r="CU312" i="4"/>
  <c r="DJ312" i="4"/>
  <c r="FW312" i="4"/>
  <c r="EU291" i="4"/>
  <c r="EU310" i="4"/>
  <c r="EU309" i="4"/>
  <c r="EU304" i="4"/>
  <c r="DW312" i="4"/>
  <c r="EK312" i="4"/>
  <c r="CS312" i="4"/>
  <c r="EU306" i="4"/>
  <c r="EU289" i="4"/>
  <c r="EU314" i="4"/>
  <c r="DZ312" i="4"/>
  <c r="DX312" i="4"/>
  <c r="DE312" i="4"/>
  <c r="EU301" i="4"/>
  <c r="GP312" i="4"/>
  <c r="EI312" i="4"/>
  <c r="ES312" i="4"/>
  <c r="EU298" i="4"/>
  <c r="EU284" i="4"/>
  <c r="EU311" i="4"/>
  <c r="CL312" i="4"/>
  <c r="CO312" i="4"/>
  <c r="EU308" i="4"/>
  <c r="EU290" i="4"/>
  <c r="EU303" i="4"/>
  <c r="EU287" i="4"/>
  <c r="CD312" i="4"/>
  <c r="CB312" i="4"/>
  <c r="CQ312" i="4"/>
  <c r="GM312" i="4"/>
  <c r="EU317" i="4"/>
  <c r="GW8" i="4"/>
  <c r="EE312" i="4"/>
  <c r="DG312" i="4"/>
  <c r="DL312" i="4"/>
  <c r="GK312" i="4"/>
  <c r="GY328" i="4"/>
  <c r="GY326" i="4"/>
  <c r="GZ326" i="4" s="1"/>
  <c r="GW326" i="4"/>
  <c r="GY323" i="4"/>
  <c r="GZ323" i="4" s="1"/>
  <c r="GW323" i="4"/>
  <c r="AL308" i="4"/>
  <c r="AJ312" i="4"/>
  <c r="R312" i="4" s="1"/>
  <c r="AJ311" i="4"/>
  <c r="R311" i="4" s="1"/>
  <c r="Y11" i="15"/>
  <c r="AE11" i="15" s="1"/>
  <c r="GK294" i="4"/>
  <c r="FB251" i="4"/>
  <c r="FB296" i="4"/>
  <c r="GK267" i="4"/>
  <c r="GK303" i="4"/>
  <c r="GK238" i="4"/>
  <c r="GK291" i="4"/>
  <c r="GK274" i="4"/>
  <c r="GK276" i="4"/>
  <c r="GK297" i="4"/>
  <c r="GK252" i="4"/>
  <c r="FB232" i="4"/>
  <c r="GK301" i="4"/>
  <c r="GK265" i="4"/>
  <c r="GK302" i="4"/>
  <c r="GK237" i="4"/>
  <c r="GK257" i="4"/>
  <c r="GK229" i="4"/>
  <c r="GK231" i="4"/>
  <c r="GK268" i="4"/>
  <c r="GK298" i="4"/>
  <c r="GK286" i="4"/>
  <c r="GK234" i="4"/>
  <c r="GK260" i="4"/>
  <c r="FB215" i="4"/>
  <c r="GF220" i="4"/>
  <c r="GF161" i="4"/>
  <c r="GK275" i="4"/>
  <c r="GK279" i="4"/>
  <c r="GK223" i="4"/>
  <c r="GK249" i="4"/>
  <c r="GK256" i="4"/>
  <c r="GK280" i="4"/>
  <c r="GK253" i="4"/>
  <c r="GK299" i="4"/>
  <c r="GK259" i="4"/>
  <c r="GK270" i="4"/>
  <c r="GK221" i="4"/>
  <c r="GK222" i="4"/>
  <c r="GK235" i="4"/>
  <c r="GK264" i="4"/>
  <c r="GK225" i="4"/>
  <c r="GK278" i="4"/>
  <c r="FB228" i="4"/>
  <c r="FB289" i="4"/>
  <c r="GK255" i="4"/>
  <c r="FB197" i="4"/>
  <c r="FB202" i="4"/>
  <c r="GK248" i="4"/>
  <c r="GK287" i="4"/>
  <c r="FB231" i="4"/>
  <c r="GK293" i="4"/>
  <c r="GK230" i="4"/>
  <c r="FB286" i="4"/>
  <c r="GK284" i="4"/>
  <c r="GK220" i="4"/>
  <c r="GK285" i="4"/>
  <c r="GK228" i="4"/>
  <c r="GK300" i="4"/>
  <c r="GK251" i="4"/>
  <c r="GK236" i="4"/>
  <c r="GK282" i="4"/>
  <c r="GK289" i="4"/>
  <c r="GK261" i="4"/>
  <c r="GK273" i="4"/>
  <c r="FB179" i="4"/>
  <c r="FB210" i="4"/>
  <c r="FB193" i="4"/>
  <c r="GK240" i="4"/>
  <c r="GK269" i="4"/>
  <c r="GK271" i="4"/>
  <c r="GK290" i="4"/>
  <c r="GK247" i="4"/>
  <c r="GK304" i="4"/>
  <c r="GK288" i="4"/>
  <c r="GK281" i="4"/>
  <c r="FB239" i="4"/>
  <c r="GK246" i="4"/>
  <c r="GK266" i="4"/>
  <c r="GK292" i="4"/>
  <c r="GK295" i="4"/>
  <c r="FB183" i="4"/>
  <c r="GF165" i="4"/>
  <c r="GK242" i="4"/>
  <c r="GK244" i="4"/>
  <c r="GK239" i="4"/>
  <c r="GK232" i="4"/>
  <c r="GK272" i="4"/>
  <c r="GK254" i="4"/>
  <c r="GK250" i="4"/>
  <c r="GK241" i="4"/>
  <c r="GB90" i="4"/>
  <c r="GA155" i="4"/>
  <c r="GA90" i="4"/>
  <c r="DE200" i="4"/>
  <c r="AR283" i="4"/>
  <c r="GB155" i="4"/>
  <c r="GA114" i="4"/>
  <c r="CL230" i="4"/>
  <c r="EN155" i="4"/>
  <c r="EN91" i="4"/>
  <c r="DE179" i="4"/>
  <c r="EN89" i="4"/>
  <c r="EN92" i="4"/>
  <c r="FB219" i="4"/>
  <c r="DU281" i="4"/>
  <c r="DE295" i="4"/>
  <c r="EU281" i="4"/>
  <c r="DE198" i="4"/>
  <c r="EK41" i="4"/>
  <c r="EN90" i="4"/>
  <c r="DE259" i="4"/>
  <c r="DE281" i="4"/>
  <c r="FW118" i="4"/>
  <c r="FW217" i="4"/>
  <c r="FW71" i="4"/>
  <c r="FW125" i="4"/>
  <c r="FW167" i="4"/>
  <c r="FW140" i="4"/>
  <c r="FB208" i="4"/>
  <c r="FB295" i="4"/>
  <c r="FB278" i="4"/>
  <c r="FB260" i="4"/>
  <c r="FB204" i="4"/>
  <c r="DE278" i="4"/>
  <c r="FB274" i="4"/>
  <c r="DE252" i="4"/>
  <c r="DE300" i="4"/>
  <c r="FW281" i="4"/>
  <c r="FW58" i="4"/>
  <c r="FW252" i="4"/>
  <c r="FW179" i="4"/>
  <c r="FW61" i="4"/>
  <c r="FW83" i="4"/>
  <c r="FW164" i="4"/>
  <c r="FW106" i="4"/>
  <c r="FW214" i="4"/>
  <c r="FW155" i="4"/>
  <c r="FW44" i="4"/>
  <c r="FW79" i="4"/>
  <c r="FW127" i="4"/>
  <c r="FW70" i="4"/>
  <c r="FW121" i="4"/>
  <c r="FB184" i="4"/>
  <c r="FB300" i="4"/>
  <c r="FB254" i="4"/>
  <c r="FB234" i="4"/>
  <c r="FW204" i="4"/>
  <c r="FB194" i="4"/>
  <c r="FB122" i="4"/>
  <c r="FB302" i="4"/>
  <c r="FB182" i="4"/>
  <c r="FB185" i="4"/>
  <c r="FB270" i="4"/>
  <c r="DE299" i="4"/>
  <c r="FW65" i="4"/>
  <c r="FW119" i="4"/>
  <c r="FW92" i="4"/>
  <c r="FW117" i="4"/>
  <c r="FW49" i="4"/>
  <c r="FW210" i="4"/>
  <c r="FW80" i="4"/>
  <c r="FW286" i="4"/>
  <c r="FW124" i="4"/>
  <c r="FW211" i="4"/>
  <c r="FB266" i="4"/>
  <c r="FB264" i="4"/>
  <c r="FB216" i="4"/>
  <c r="FB272" i="4"/>
  <c r="FB249" i="4"/>
  <c r="FB240" i="4"/>
  <c r="FB257" i="4"/>
  <c r="FB211" i="4"/>
  <c r="FB227" i="4"/>
  <c r="FB236" i="4"/>
  <c r="FB255" i="4"/>
  <c r="FB188" i="4"/>
  <c r="FW185" i="4"/>
  <c r="FW301" i="4"/>
  <c r="FW238" i="4"/>
  <c r="FW187" i="4"/>
  <c r="FW232" i="4"/>
  <c r="FW188" i="4"/>
  <c r="FW115" i="4"/>
  <c r="FW52" i="4"/>
  <c r="FW158" i="4"/>
  <c r="FW67" i="4"/>
  <c r="FW282" i="4"/>
  <c r="FW207" i="4"/>
  <c r="FW183" i="4"/>
  <c r="FW94" i="4"/>
  <c r="FW101" i="4"/>
  <c r="FB259" i="4"/>
  <c r="FB261" i="4"/>
  <c r="FB298" i="4"/>
  <c r="FB206" i="4"/>
  <c r="FB200" i="4"/>
  <c r="FB246" i="4"/>
  <c r="FB217" i="4"/>
  <c r="FB207" i="4"/>
  <c r="FB294" i="4"/>
  <c r="DE291" i="4"/>
  <c r="DE298" i="4"/>
  <c r="EU283" i="4"/>
  <c r="FW216" i="4"/>
  <c r="FW72" i="4"/>
  <c r="FW298" i="4"/>
  <c r="FW120" i="4"/>
  <c r="FW134" i="4"/>
  <c r="FW107" i="4"/>
  <c r="FW99" i="4"/>
  <c r="FW48" i="4"/>
  <c r="FW186" i="4"/>
  <c r="FW166" i="4"/>
  <c r="FW291" i="4"/>
  <c r="FW131" i="4"/>
  <c r="FW196" i="4"/>
  <c r="FW168" i="4"/>
  <c r="FW176" i="4"/>
  <c r="FW163" i="4"/>
  <c r="FW300" i="4"/>
  <c r="FB250" i="4"/>
  <c r="FB198" i="4"/>
  <c r="FB268" i="4"/>
  <c r="FB181" i="4"/>
  <c r="FB218" i="4"/>
  <c r="FB214" i="4"/>
  <c r="FB225" i="4"/>
  <c r="FB230" i="4"/>
  <c r="FW296" i="4"/>
  <c r="FW169" i="4"/>
  <c r="FW46" i="4"/>
  <c r="FW73" i="4"/>
  <c r="FW93" i="4"/>
  <c r="FW230" i="4"/>
  <c r="FW289" i="4"/>
  <c r="FW138" i="4"/>
  <c r="FW63" i="4"/>
  <c r="FW108" i="4"/>
  <c r="FW66" i="4"/>
  <c r="FW87" i="4"/>
  <c r="FW55" i="4"/>
  <c r="FW181" i="4"/>
  <c r="FB213" i="4"/>
  <c r="FB280" i="4"/>
  <c r="FB192" i="4"/>
  <c r="FB291" i="4"/>
  <c r="FW294" i="4"/>
  <c r="FW213" i="4"/>
  <c r="FW57" i="4"/>
  <c r="FW292" i="4"/>
  <c r="FW84" i="4"/>
  <c r="FW136" i="4"/>
  <c r="FW78" i="4"/>
  <c r="FW69" i="4"/>
  <c r="FW142" i="4"/>
  <c r="FW81" i="4"/>
  <c r="FW147" i="4"/>
  <c r="FW212" i="4"/>
  <c r="FW95" i="4"/>
  <c r="FW199" i="4"/>
  <c r="FW302" i="4"/>
  <c r="FW51" i="4"/>
  <c r="FB299" i="4"/>
  <c r="FB187" i="4"/>
  <c r="FB256" i="4"/>
  <c r="FB252" i="4"/>
  <c r="FW278" i="4"/>
  <c r="FB301" i="4"/>
  <c r="FB199" i="4"/>
  <c r="FW257" i="4"/>
  <c r="FB237" i="4"/>
  <c r="FB242" i="4"/>
  <c r="FW56" i="4"/>
  <c r="FW77" i="4"/>
  <c r="FW150" i="4"/>
  <c r="FW227" i="4"/>
  <c r="FW126" i="4"/>
  <c r="FW182" i="4"/>
  <c r="FW172" i="4"/>
  <c r="FW111" i="4"/>
  <c r="FW208" i="4"/>
  <c r="FB238" i="4"/>
  <c r="FB292" i="4"/>
  <c r="FB265" i="4"/>
  <c r="FB253" i="4"/>
  <c r="FB212" i="4"/>
  <c r="AP283" i="4"/>
  <c r="FB277" i="4"/>
  <c r="DN283" i="4"/>
  <c r="CL253" i="4"/>
  <c r="DE294" i="4"/>
  <c r="AT283" i="4"/>
  <c r="GY331" i="4"/>
  <c r="GZ331" i="4" s="1"/>
  <c r="GW331" i="4"/>
  <c r="AL280" i="4"/>
  <c r="AJ281" i="4"/>
  <c r="R281" i="4" s="1"/>
  <c r="D553" i="11"/>
  <c r="CS207" i="4"/>
  <c r="CS264" i="4"/>
  <c r="FB282" i="4"/>
  <c r="FB293" i="4"/>
  <c r="EB15" i="4"/>
  <c r="EB13" i="4"/>
  <c r="FB267" i="4"/>
  <c r="FB271" i="4"/>
  <c r="CL290" i="4"/>
  <c r="EB12" i="4"/>
  <c r="GA283" i="4"/>
  <c r="CN283" i="4"/>
  <c r="CX283" i="4"/>
  <c r="EG283" i="4"/>
  <c r="EP283" i="4"/>
  <c r="EW283" i="4"/>
  <c r="CJ283" i="4"/>
  <c r="EN281" i="4"/>
  <c r="ER283" i="4"/>
  <c r="DE289" i="4"/>
  <c r="DE282" i="4"/>
  <c r="EB8" i="4"/>
  <c r="FB283" i="4"/>
  <c r="CS259" i="4"/>
  <c r="CS249" i="4"/>
  <c r="FB273" i="4"/>
  <c r="FB269" i="4"/>
  <c r="DE286" i="4"/>
  <c r="DE301" i="4"/>
  <c r="CL235" i="4"/>
  <c r="FF31" i="4"/>
  <c r="CL289" i="4"/>
  <c r="CJ114" i="4"/>
  <c r="CS304" i="4"/>
  <c r="FD283" i="4"/>
  <c r="CS211" i="4"/>
  <c r="CS212" i="4"/>
  <c r="FF28" i="4"/>
  <c r="FB297" i="4"/>
  <c r="CS287" i="4"/>
  <c r="DI283" i="4"/>
  <c r="EB5" i="4"/>
  <c r="DS283" i="4"/>
  <c r="CS209" i="4"/>
  <c r="CS200" i="4"/>
  <c r="CS232" i="4"/>
  <c r="CS256" i="4"/>
  <c r="CS272" i="4"/>
  <c r="EB21" i="4"/>
  <c r="CL280" i="4"/>
  <c r="EB7" i="4"/>
  <c r="EB4" i="4"/>
  <c r="FY283" i="4"/>
  <c r="CS197" i="4"/>
  <c r="DE280" i="4"/>
  <c r="CL232" i="4"/>
  <c r="FB284" i="4"/>
  <c r="DE296" i="4"/>
  <c r="CS279" i="4"/>
  <c r="DP283" i="4"/>
  <c r="DN281" i="4"/>
  <c r="AJ290" i="4"/>
  <c r="R290" i="4" s="1"/>
  <c r="CS253" i="4"/>
  <c r="EB16" i="4"/>
  <c r="CH283" i="4"/>
  <c r="EB41" i="4"/>
  <c r="DZ283" i="4"/>
  <c r="DL281" i="4"/>
  <c r="ES283" i="4"/>
  <c r="DC283" i="4"/>
  <c r="CD283" i="4"/>
  <c r="CF283" i="4"/>
  <c r="FG283" i="4"/>
  <c r="EI283" i="4"/>
  <c r="DB283" i="4"/>
  <c r="FB285" i="4"/>
  <c r="FF283" i="4"/>
  <c r="CL281" i="4"/>
  <c r="EB283" i="4"/>
  <c r="EY283" i="4"/>
  <c r="DE283" i="4"/>
  <c r="DX283" i="4"/>
  <c r="CO283" i="4"/>
  <c r="AJ297" i="4"/>
  <c r="R297" i="4" s="1"/>
  <c r="EZ283" i="4"/>
  <c r="CS283" i="4"/>
  <c r="DW283" i="4"/>
  <c r="DQ283" i="4"/>
  <c r="DG283" i="4"/>
  <c r="CB283" i="4"/>
  <c r="DL283" i="4"/>
  <c r="FB290" i="4"/>
  <c r="FB281" i="4"/>
  <c r="HB283" i="4"/>
  <c r="EN283" i="4"/>
  <c r="GI283" i="4"/>
  <c r="GB283" i="4"/>
  <c r="FB262" i="4"/>
  <c r="BZ283" i="4"/>
  <c r="BX283" i="4"/>
  <c r="ED283" i="4"/>
  <c r="EL283" i="4"/>
  <c r="GH283" i="4"/>
  <c r="FB276" i="4"/>
  <c r="EE283" i="4"/>
  <c r="DJ283" i="4"/>
  <c r="EK283" i="4"/>
  <c r="CL283" i="4"/>
  <c r="CV283" i="4"/>
  <c r="AD283" i="4" s="1"/>
  <c r="EB281" i="4"/>
  <c r="FW283" i="4"/>
  <c r="GF283" i="4"/>
  <c r="CU283" i="4"/>
  <c r="DE293" i="4"/>
  <c r="GM283" i="4"/>
  <c r="GP283" i="4"/>
  <c r="FB275" i="4"/>
  <c r="AJ278" i="4"/>
  <c r="R278" i="4" s="1"/>
  <c r="AJ283" i="4"/>
  <c r="R283" i="4" s="1"/>
  <c r="AJ282" i="4"/>
  <c r="R282" i="4" s="1"/>
  <c r="DU283" i="4"/>
  <c r="CZ283" i="4"/>
  <c r="GK283" i="4"/>
  <c r="D561" i="11"/>
  <c r="GY307" i="4"/>
  <c r="GZ307" i="4" s="1"/>
  <c r="GW307" i="4"/>
  <c r="GU293" i="4"/>
  <c r="GV293" i="4" s="1"/>
  <c r="GW293" i="4"/>
  <c r="GX293" i="4" s="1"/>
  <c r="GV279" i="4"/>
  <c r="GW9" i="4"/>
  <c r="CL257" i="4"/>
  <c r="FW273" i="4"/>
  <c r="FW254" i="4"/>
  <c r="DE261" i="4"/>
  <c r="CL207" i="4"/>
  <c r="DE256" i="4"/>
  <c r="DE265" i="4"/>
  <c r="CL256" i="4"/>
  <c r="CL259" i="4"/>
  <c r="GK262" i="4"/>
  <c r="FW272" i="4"/>
  <c r="CL274" i="4"/>
  <c r="CL261" i="4"/>
  <c r="DE185" i="4"/>
  <c r="DE192" i="4"/>
  <c r="DE273" i="4"/>
  <c r="GK224" i="4"/>
  <c r="GW117" i="4"/>
  <c r="CL209" i="4"/>
  <c r="DE184" i="4"/>
  <c r="DE183" i="4"/>
  <c r="CL206" i="4"/>
  <c r="DE188" i="4"/>
  <c r="DE182" i="4"/>
  <c r="Z9" i="15"/>
  <c r="AF9" i="15" s="1"/>
  <c r="FW250" i="4"/>
  <c r="CL264" i="4"/>
  <c r="DE187" i="4"/>
  <c r="CL227" i="4"/>
  <c r="DE193" i="4"/>
  <c r="DE260" i="4"/>
  <c r="FW268" i="4"/>
  <c r="FW259" i="4"/>
  <c r="CL199" i="4"/>
  <c r="CL196" i="4"/>
  <c r="CL265" i="4"/>
  <c r="DE211" i="4"/>
  <c r="GK226" i="4"/>
  <c r="CL211" i="4"/>
  <c r="CL181" i="4"/>
  <c r="CL236" i="4"/>
  <c r="CL272" i="4"/>
  <c r="DE212" i="4"/>
  <c r="CL234" i="4"/>
  <c r="DE208" i="4"/>
  <c r="DE209" i="4"/>
  <c r="CL224" i="4"/>
  <c r="Y8" i="15"/>
  <c r="AE8" i="15" s="1"/>
  <c r="CL250" i="4"/>
  <c r="FW265" i="4"/>
  <c r="FW249" i="4"/>
  <c r="FW246" i="4"/>
  <c r="DE88" i="4"/>
  <c r="CL273" i="4"/>
  <c r="DE210" i="4"/>
  <c r="DE272" i="4"/>
  <c r="CL221" i="4"/>
  <c r="DE206" i="4"/>
  <c r="GK258" i="4"/>
  <c r="FW260" i="4"/>
  <c r="FW251" i="4"/>
  <c r="FW256" i="4"/>
  <c r="FW253" i="4"/>
  <c r="DE186" i="4"/>
  <c r="CL182" i="4"/>
  <c r="CL237" i="4"/>
  <c r="DE268" i="4"/>
  <c r="CL179" i="4"/>
  <c r="GK263" i="4"/>
  <c r="DE264" i="4"/>
  <c r="CL268" i="4"/>
  <c r="CL255" i="4"/>
  <c r="DE255" i="4"/>
  <c r="GK277" i="4"/>
  <c r="DE199" i="4"/>
  <c r="DE196" i="4"/>
  <c r="GK243" i="4"/>
  <c r="D556" i="11"/>
  <c r="AR245" i="4"/>
  <c r="Z13" i="15"/>
  <c r="AF13" i="15" s="1"/>
  <c r="AA4" i="15"/>
  <c r="G12" i="5"/>
  <c r="F12" i="5"/>
  <c r="GW251" i="4"/>
  <c r="GY251" i="4"/>
  <c r="AJ277" i="4"/>
  <c r="R277" i="4" s="1"/>
  <c r="GU288" i="4"/>
  <c r="GV288" i="4" s="1"/>
  <c r="GW288" i="4"/>
  <c r="D552" i="11"/>
  <c r="AP245" i="4"/>
  <c r="AT245" i="4"/>
  <c r="DE181" i="4"/>
  <c r="D554" i="11"/>
  <c r="GY270" i="4"/>
  <c r="GZ270" i="4" s="1"/>
  <c r="GW270" i="4"/>
  <c r="D559" i="11"/>
  <c r="D557" i="11"/>
  <c r="FB220" i="4"/>
  <c r="CL210" i="4"/>
  <c r="CL208" i="4"/>
  <c r="CL212" i="4"/>
  <c r="DE207" i="4"/>
  <c r="FB233" i="4"/>
  <c r="CL200" i="4"/>
  <c r="FB241" i="4"/>
  <c r="FB201" i="4"/>
  <c r="ER180" i="4"/>
  <c r="CL213" i="4"/>
  <c r="FB248" i="4"/>
  <c r="CL229" i="4"/>
  <c r="FB189" i="4"/>
  <c r="CL249" i="4"/>
  <c r="CL251" i="4"/>
  <c r="FB247" i="4"/>
  <c r="FB195" i="4"/>
  <c r="FB221" i="4"/>
  <c r="FB229" i="4"/>
  <c r="CL190" i="4"/>
  <c r="DE215" i="4"/>
  <c r="FB235" i="4"/>
  <c r="DE236" i="4"/>
  <c r="DN245" i="4"/>
  <c r="DE234" i="4"/>
  <c r="DE249" i="4"/>
  <c r="CJ245" i="4"/>
  <c r="DE237" i="4"/>
  <c r="CZ196" i="4"/>
  <c r="DE214" i="4"/>
  <c r="CN245" i="4"/>
  <c r="DE227" i="4"/>
  <c r="DE238" i="4"/>
  <c r="DE235" i="4"/>
  <c r="DE232" i="4"/>
  <c r="DQ245" i="4"/>
  <c r="EP245" i="4"/>
  <c r="DE213" i="4"/>
  <c r="AR180" i="4"/>
  <c r="DZ245" i="4"/>
  <c r="GA245" i="4"/>
  <c r="FB245" i="4"/>
  <c r="DE230" i="4"/>
  <c r="FD245" i="4"/>
  <c r="EW245" i="4"/>
  <c r="DE250" i="4"/>
  <c r="CX245" i="4"/>
  <c r="DE253" i="4"/>
  <c r="DE251" i="4"/>
  <c r="DS245" i="4"/>
  <c r="EB245" i="4"/>
  <c r="CH245" i="4"/>
  <c r="HB245" i="4"/>
  <c r="CV245" i="4"/>
  <c r="AD245" i="4" s="1"/>
  <c r="DW245" i="4"/>
  <c r="DX245" i="4"/>
  <c r="DL245" i="4"/>
  <c r="DB245" i="4"/>
  <c r="GK245" i="4"/>
  <c r="CL245" i="4"/>
  <c r="GF245" i="4"/>
  <c r="EI245" i="4"/>
  <c r="CZ232" i="4"/>
  <c r="ES245" i="4"/>
  <c r="DP245" i="4"/>
  <c r="DE245" i="4"/>
  <c r="CF245" i="4"/>
  <c r="AT180" i="4"/>
  <c r="ER245" i="4"/>
  <c r="GP245" i="4"/>
  <c r="GB245" i="4"/>
  <c r="DG245" i="4"/>
  <c r="EK245" i="4"/>
  <c r="EE245" i="4"/>
  <c r="EN245" i="4"/>
  <c r="CZ245" i="4"/>
  <c r="EG245" i="4"/>
  <c r="AY180" i="4"/>
  <c r="FG245" i="4"/>
  <c r="CO245" i="4"/>
  <c r="ED245" i="4"/>
  <c r="GM245" i="4"/>
  <c r="AJ245" i="4"/>
  <c r="R245" i="4" s="1"/>
  <c r="FF245" i="4"/>
  <c r="HB152" i="4"/>
  <c r="HB234" i="4"/>
  <c r="HB230" i="4"/>
  <c r="EY245" i="4"/>
  <c r="GH245" i="4"/>
  <c r="DU245" i="4"/>
  <c r="AP180" i="4"/>
  <c r="EZ245" i="4"/>
  <c r="GI245" i="4"/>
  <c r="AJ239" i="4"/>
  <c r="R239" i="4" s="1"/>
  <c r="AJ230" i="4"/>
  <c r="R230" i="4" s="1"/>
  <c r="AJ234" i="4"/>
  <c r="R234" i="4" s="1"/>
  <c r="AL228" i="4"/>
  <c r="AJ235" i="4"/>
  <c r="R235" i="4" s="1"/>
  <c r="DC245" i="4"/>
  <c r="BZ245" i="4"/>
  <c r="FW245" i="4"/>
  <c r="BX245" i="4"/>
  <c r="CB245" i="4"/>
  <c r="EL245" i="4"/>
  <c r="CD245" i="4"/>
  <c r="DJ245" i="4"/>
  <c r="DI245" i="4"/>
  <c r="HB240" i="4"/>
  <c r="HG240" i="4"/>
  <c r="DN180" i="4"/>
  <c r="DI180" i="4"/>
  <c r="DS180" i="4"/>
  <c r="CJ180" i="4"/>
  <c r="CL222" i="4"/>
  <c r="CH180" i="4"/>
  <c r="CO180" i="4"/>
  <c r="DP180" i="4"/>
  <c r="GA180" i="4"/>
  <c r="FD180" i="4"/>
  <c r="FB180" i="4"/>
  <c r="CX180" i="4"/>
  <c r="EG180" i="4"/>
  <c r="EW180" i="4"/>
  <c r="GY242" i="4"/>
  <c r="GZ242" i="4" s="1"/>
  <c r="GW242" i="4"/>
  <c r="EE180" i="4"/>
  <c r="FF180" i="4"/>
  <c r="CZ179" i="4"/>
  <c r="ED180" i="4"/>
  <c r="FW180" i="4"/>
  <c r="EZ180" i="4"/>
  <c r="ES180" i="4"/>
  <c r="DZ180" i="4"/>
  <c r="GT180" i="4"/>
  <c r="EP114" i="4"/>
  <c r="GF180" i="4"/>
  <c r="EY180" i="4"/>
  <c r="CD180" i="4"/>
  <c r="CF180" i="4"/>
  <c r="DB180" i="4"/>
  <c r="EP180" i="4"/>
  <c r="CB4" i="4"/>
  <c r="CB180" i="4"/>
  <c r="DQ180" i="4"/>
  <c r="DC180" i="4"/>
  <c r="CZ180" i="4"/>
  <c r="DJ180" i="4"/>
  <c r="BZ180" i="4"/>
  <c r="BX180" i="4"/>
  <c r="EN180" i="4"/>
  <c r="DG180" i="4"/>
  <c r="EL180" i="4"/>
  <c r="DE180" i="4"/>
  <c r="DW180" i="4"/>
  <c r="EK180" i="4"/>
  <c r="GH180" i="4"/>
  <c r="EI180" i="4"/>
  <c r="GM180" i="4"/>
  <c r="DX180" i="4"/>
  <c r="GI180" i="4"/>
  <c r="CN180" i="4"/>
  <c r="DU180" i="4"/>
  <c r="CZ181" i="4"/>
  <c r="AJ180" i="4"/>
  <c r="R180" i="4" s="1"/>
  <c r="AJ181" i="4"/>
  <c r="R181" i="4" s="1"/>
  <c r="GP180" i="4"/>
  <c r="CL180" i="4"/>
  <c r="GB180" i="4"/>
  <c r="DL180" i="4"/>
  <c r="FG180" i="4"/>
  <c r="EB180" i="4"/>
  <c r="GU241" i="4"/>
  <c r="GV241" i="4" s="1"/>
  <c r="GW241" i="4"/>
  <c r="AL198" i="4"/>
  <c r="AJ217" i="4"/>
  <c r="R217" i="4" s="1"/>
  <c r="AJ218" i="4"/>
  <c r="R218" i="4" s="1"/>
  <c r="AJ214" i="4"/>
  <c r="R214" i="4" s="1"/>
  <c r="AJ208" i="4"/>
  <c r="R208" i="4" s="1"/>
  <c r="AJ206" i="4"/>
  <c r="R206" i="4" s="1"/>
  <c r="AJ207" i="4"/>
  <c r="R207" i="4" s="1"/>
  <c r="AL215" i="4"/>
  <c r="AA15" i="15"/>
  <c r="AG15" i="15" s="1"/>
  <c r="AL193" i="4"/>
  <c r="Z5" i="15"/>
  <c r="AF5" i="15" s="1"/>
  <c r="HB194" i="4"/>
  <c r="HE194" i="4"/>
  <c r="DL89" i="4"/>
  <c r="DL80" i="4"/>
  <c r="DL91" i="4"/>
  <c r="EP62" i="4"/>
  <c r="DL90" i="4"/>
  <c r="EP90" i="4"/>
  <c r="DL92" i="4"/>
  <c r="EP155" i="4"/>
  <c r="GA33" i="4"/>
  <c r="DL116" i="4"/>
  <c r="DL155" i="4"/>
  <c r="AJ124" i="4"/>
  <c r="R124" i="4" s="1"/>
  <c r="DE82" i="4"/>
  <c r="ER155" i="4"/>
  <c r="DL114" i="4"/>
  <c r="AR152" i="4"/>
  <c r="CX155" i="4"/>
  <c r="EY155" i="4"/>
  <c r="FB168" i="4"/>
  <c r="FF155" i="4"/>
  <c r="FB150" i="4"/>
  <c r="CL84" i="4"/>
  <c r="CL172" i="4"/>
  <c r="CL165" i="4"/>
  <c r="EW155" i="4"/>
  <c r="FB125" i="4"/>
  <c r="FB109" i="4"/>
  <c r="FB157" i="4"/>
  <c r="FB119" i="4"/>
  <c r="FB173" i="4"/>
  <c r="CJ155" i="4"/>
  <c r="FB143" i="4"/>
  <c r="FB131" i="4"/>
  <c r="FB115" i="4"/>
  <c r="FB97" i="4"/>
  <c r="FB176" i="4"/>
  <c r="FB171" i="4"/>
  <c r="FB137" i="4"/>
  <c r="FF114" i="4"/>
  <c r="CL149" i="4"/>
  <c r="CL166" i="4"/>
  <c r="CL138" i="4"/>
  <c r="CL136" i="4"/>
  <c r="FB151" i="4"/>
  <c r="FB139" i="4"/>
  <c r="FB172" i="4"/>
  <c r="FB98" i="4"/>
  <c r="CL143" i="4"/>
  <c r="CL169" i="4"/>
  <c r="CL107" i="4"/>
  <c r="CL115" i="4"/>
  <c r="CL171" i="4"/>
  <c r="CL114" i="4"/>
  <c r="FB112" i="4"/>
  <c r="FB154" i="4"/>
  <c r="FB117" i="4"/>
  <c r="FB121" i="4"/>
  <c r="FB144" i="4"/>
  <c r="CL137" i="4"/>
  <c r="CL92" i="4"/>
  <c r="CL158" i="4"/>
  <c r="CL124" i="4"/>
  <c r="CL116" i="4"/>
  <c r="FB127" i="4"/>
  <c r="FB128" i="4"/>
  <c r="FB134" i="4"/>
  <c r="FB156" i="4"/>
  <c r="FB59" i="4"/>
  <c r="FB174" i="4"/>
  <c r="CL120" i="4"/>
  <c r="CL80" i="4"/>
  <c r="CL95" i="4"/>
  <c r="CL127" i="4"/>
  <c r="FB113" i="4"/>
  <c r="CL153" i="4"/>
  <c r="FB158" i="4"/>
  <c r="FB111" i="4"/>
  <c r="FB166" i="4"/>
  <c r="FB124" i="4"/>
  <c r="FB120" i="4"/>
  <c r="FB114" i="4"/>
  <c r="FB164" i="4"/>
  <c r="CL117" i="4"/>
  <c r="FB146" i="4"/>
  <c r="CL155" i="4"/>
  <c r="FB133" i="4"/>
  <c r="FB116" i="4"/>
  <c r="FB92" i="4"/>
  <c r="FB108" i="4"/>
  <c r="FB159" i="4"/>
  <c r="FB148" i="4"/>
  <c r="CL161" i="4"/>
  <c r="CL102" i="4"/>
  <c r="CL113" i="4"/>
  <c r="CL83" i="4"/>
  <c r="CL109" i="4"/>
  <c r="CL87" i="4"/>
  <c r="CL133" i="4"/>
  <c r="CL147" i="4"/>
  <c r="FB165" i="4"/>
  <c r="FB170" i="4"/>
  <c r="FB136" i="4"/>
  <c r="FB153" i="4"/>
  <c r="FB57" i="4"/>
  <c r="CL168" i="4"/>
  <c r="CL108" i="4"/>
  <c r="CL142" i="4"/>
  <c r="CL175" i="4"/>
  <c r="FB147" i="4"/>
  <c r="FB138" i="4"/>
  <c r="FB149" i="4"/>
  <c r="FB135" i="4"/>
  <c r="FB145" i="4"/>
  <c r="CL118" i="4"/>
  <c r="CL141" i="4"/>
  <c r="CL106" i="4"/>
  <c r="FB107" i="4"/>
  <c r="FB118" i="4"/>
  <c r="FB142" i="4"/>
  <c r="FB62" i="4"/>
  <c r="FB169" i="4"/>
  <c r="FB161" i="4"/>
  <c r="CL140" i="4"/>
  <c r="CL164" i="4"/>
  <c r="CL121" i="4"/>
  <c r="CL130" i="4"/>
  <c r="CL112" i="4"/>
  <c r="CL111" i="4"/>
  <c r="FB105" i="4"/>
  <c r="FB140" i="4"/>
  <c r="FB126" i="4"/>
  <c r="FB167" i="4"/>
  <c r="CL125" i="4"/>
  <c r="CL157" i="4"/>
  <c r="CL89" i="4"/>
  <c r="CL128" i="4"/>
  <c r="CL146" i="4"/>
  <c r="CL119" i="4"/>
  <c r="FB132" i="4"/>
  <c r="FB141" i="4"/>
  <c r="FB130" i="4"/>
  <c r="FB163" i="4"/>
  <c r="FB155" i="4"/>
  <c r="CL85" i="4"/>
  <c r="CL167" i="4"/>
  <c r="CL150" i="4"/>
  <c r="CL126" i="4"/>
  <c r="CL131" i="4"/>
  <c r="Z8" i="15"/>
  <c r="AF8" i="15" s="1"/>
  <c r="DE166" i="4"/>
  <c r="DU155" i="4"/>
  <c r="DE154" i="4"/>
  <c r="CZ54" i="4"/>
  <c r="DE120" i="4"/>
  <c r="DE172" i="4"/>
  <c r="DE138" i="4"/>
  <c r="DE118" i="4"/>
  <c r="DE142" i="4"/>
  <c r="CZ157" i="4"/>
  <c r="DE125" i="4"/>
  <c r="DE124" i="4"/>
  <c r="CZ55" i="4"/>
  <c r="CZ155" i="4"/>
  <c r="EZ155" i="4"/>
  <c r="CZ171" i="4"/>
  <c r="DE109" i="4"/>
  <c r="DE115" i="4"/>
  <c r="DE149" i="4"/>
  <c r="DE171" i="4"/>
  <c r="DE153" i="4"/>
  <c r="DE164" i="4"/>
  <c r="DE117" i="4"/>
  <c r="DE147" i="4"/>
  <c r="DE168" i="4"/>
  <c r="DE112" i="4"/>
  <c r="AT152" i="4"/>
  <c r="AU152" i="4"/>
  <c r="CV155" i="4"/>
  <c r="DE170" i="4"/>
  <c r="DE158" i="4"/>
  <c r="CZ166" i="4"/>
  <c r="DE127" i="4"/>
  <c r="DE155" i="4"/>
  <c r="DE131" i="4"/>
  <c r="DE163" i="4"/>
  <c r="DE126" i="4"/>
  <c r="DE167" i="4"/>
  <c r="DE157" i="4"/>
  <c r="AJ152" i="4"/>
  <c r="R152" i="4" s="1"/>
  <c r="AJ156" i="4"/>
  <c r="R156" i="4" s="1"/>
  <c r="AJ155" i="4"/>
  <c r="R155" i="4" s="1"/>
  <c r="AJ163" i="4"/>
  <c r="R163" i="4" s="1"/>
  <c r="AJ169" i="4"/>
  <c r="R169" i="4" s="1"/>
  <c r="ES155" i="4"/>
  <c r="DE150" i="4"/>
  <c r="DE100" i="4"/>
  <c r="FB177" i="4"/>
  <c r="DE156" i="4"/>
  <c r="DE143" i="4"/>
  <c r="DE176" i="4"/>
  <c r="DE137" i="4"/>
  <c r="EI114" i="4"/>
  <c r="DE106" i="4"/>
  <c r="DE169" i="4"/>
  <c r="AP5" i="4"/>
  <c r="AP152" i="4"/>
  <c r="GU225" i="4"/>
  <c r="GV225" i="4" s="1"/>
  <c r="GW225" i="4"/>
  <c r="GY191" i="4"/>
  <c r="GZ191" i="4" s="1"/>
  <c r="GW191" i="4"/>
  <c r="CF152" i="4"/>
  <c r="BZ152" i="4"/>
  <c r="CH152" i="4"/>
  <c r="CB152" i="4"/>
  <c r="CD5" i="4"/>
  <c r="CD152" i="4"/>
  <c r="BX152" i="4"/>
  <c r="DL152" i="4"/>
  <c r="GP152" i="4"/>
  <c r="FD152" i="4"/>
  <c r="CN152" i="4"/>
  <c r="CZ137" i="4"/>
  <c r="CJ152" i="4"/>
  <c r="EW152" i="4"/>
  <c r="GA152" i="4"/>
  <c r="FB152" i="4"/>
  <c r="EP152" i="4"/>
  <c r="DS152" i="4"/>
  <c r="CX152" i="4"/>
  <c r="EG152" i="4"/>
  <c r="ES152" i="4"/>
  <c r="CO114" i="4"/>
  <c r="EB114" i="4"/>
  <c r="CZ125" i="4"/>
  <c r="DJ152" i="4"/>
  <c r="GU154" i="4"/>
  <c r="GV154" i="4" s="1"/>
  <c r="GW154" i="4"/>
  <c r="CZ139" i="4"/>
  <c r="DE94" i="4"/>
  <c r="DE140" i="4"/>
  <c r="GB152" i="4"/>
  <c r="FG152" i="4"/>
  <c r="FF152" i="4"/>
  <c r="EZ152" i="4"/>
  <c r="EY114" i="4"/>
  <c r="CZ126" i="4"/>
  <c r="CN114" i="4"/>
  <c r="GI152" i="4"/>
  <c r="DB152" i="4"/>
  <c r="DC114" i="4"/>
  <c r="CZ127" i="4"/>
  <c r="DE80" i="4"/>
  <c r="EB152" i="4"/>
  <c r="EK152" i="4"/>
  <c r="EY152" i="4"/>
  <c r="EZ114" i="4"/>
  <c r="EY89" i="4"/>
  <c r="DE119" i="4"/>
  <c r="DE121" i="4"/>
  <c r="DW152" i="4"/>
  <c r="CZ130" i="4"/>
  <c r="CZ136" i="4"/>
  <c r="CO152" i="4"/>
  <c r="GF152" i="4"/>
  <c r="DE95" i="4"/>
  <c r="DE116" i="4"/>
  <c r="ER152" i="4"/>
  <c r="DE114" i="4"/>
  <c r="DE97" i="4"/>
  <c r="DE141" i="4"/>
  <c r="DE139" i="4"/>
  <c r="DE130" i="4"/>
  <c r="DE92" i="4"/>
  <c r="FB129" i="4"/>
  <c r="DP41" i="4"/>
  <c r="DQ152" i="4"/>
  <c r="EL152" i="4"/>
  <c r="DP152" i="4"/>
  <c r="CL152" i="4"/>
  <c r="GM152" i="4"/>
  <c r="DE136" i="4"/>
  <c r="DE93" i="4"/>
  <c r="DE98" i="4"/>
  <c r="DZ5" i="4"/>
  <c r="DZ152" i="4"/>
  <c r="DI152" i="4"/>
  <c r="DU152" i="4"/>
  <c r="DU114" i="4"/>
  <c r="CZ124" i="4"/>
  <c r="CZ138" i="4"/>
  <c r="DC152" i="4"/>
  <c r="DE152" i="4"/>
  <c r="CZ152" i="4"/>
  <c r="DB114" i="4"/>
  <c r="DG152" i="4"/>
  <c r="EI152" i="4"/>
  <c r="DX152" i="4"/>
  <c r="DE128" i="4"/>
  <c r="DE99" i="4"/>
  <c r="DE133" i="4"/>
  <c r="DE81" i="4"/>
  <c r="DE83" i="4"/>
  <c r="DN41" i="4"/>
  <c r="DN152" i="4"/>
  <c r="CL139" i="4"/>
  <c r="GH152" i="4"/>
  <c r="ED152" i="4"/>
  <c r="EE152" i="4"/>
  <c r="ER114" i="4"/>
  <c r="GU164" i="4"/>
  <c r="GV164" i="4" s="1"/>
  <c r="GW164" i="4"/>
  <c r="AJ114" i="4"/>
  <c r="R114" i="4" s="1"/>
  <c r="GY118" i="4"/>
  <c r="GW118" i="4"/>
  <c r="GY136" i="4"/>
  <c r="GZ136" i="4" s="1"/>
  <c r="GW136" i="4"/>
  <c r="GY132" i="4"/>
  <c r="GZ132" i="4" s="1"/>
  <c r="GW132" i="4"/>
  <c r="GU43" i="4"/>
  <c r="CZ107" i="4"/>
  <c r="DE96" i="4"/>
  <c r="DE107" i="4"/>
  <c r="DE90" i="4"/>
  <c r="FB110" i="4"/>
  <c r="CZ114" i="4"/>
  <c r="ES114" i="4"/>
  <c r="CZ116" i="4"/>
  <c r="AJ112" i="4"/>
  <c r="R112" i="4" s="1"/>
  <c r="AJ116" i="4"/>
  <c r="R116" i="4" s="1"/>
  <c r="DE108" i="4"/>
  <c r="DE89" i="4"/>
  <c r="DE111" i="4"/>
  <c r="DE86" i="4"/>
  <c r="DE91" i="4"/>
  <c r="DE87" i="4"/>
  <c r="E22" i="15"/>
  <c r="FB99" i="4"/>
  <c r="FB82" i="4"/>
  <c r="FB81" i="4"/>
  <c r="FB86" i="4"/>
  <c r="FB100" i="4"/>
  <c r="FB83" i="4"/>
  <c r="FB91" i="4"/>
  <c r="FB106" i="4"/>
  <c r="FB88" i="4"/>
  <c r="FB84" i="4"/>
  <c r="FB101" i="4"/>
  <c r="FB95" i="4"/>
  <c r="FB85" i="4"/>
  <c r="FB93" i="4"/>
  <c r="FB89" i="4"/>
  <c r="FB96" i="4"/>
  <c r="FB102" i="4"/>
  <c r="FB94" i="4"/>
  <c r="FB87" i="4"/>
  <c r="FB80" i="4"/>
  <c r="FB90" i="4"/>
  <c r="M21" i="15"/>
  <c r="J21" i="15"/>
  <c r="DU91" i="4"/>
  <c r="FF91" i="4"/>
  <c r="E21" i="15"/>
  <c r="ES90" i="4"/>
  <c r="CZ48" i="4"/>
  <c r="DU92" i="4"/>
  <c r="EZ92" i="4"/>
  <c r="CL94" i="4"/>
  <c r="EY91" i="4"/>
  <c r="CZ82" i="4"/>
  <c r="DU90" i="4"/>
  <c r="CZ80" i="4"/>
  <c r="CZ46" i="4"/>
  <c r="CZ62" i="4"/>
  <c r="CZ47" i="4"/>
  <c r="CZ53" i="4"/>
  <c r="CZ81" i="4"/>
  <c r="DU89" i="4"/>
  <c r="EY92" i="4"/>
  <c r="Z15" i="15"/>
  <c r="AF15" i="15" s="1"/>
  <c r="F22" i="15"/>
  <c r="CZ50" i="4"/>
  <c r="CZ58" i="4"/>
  <c r="CZ57" i="4"/>
  <c r="FF90" i="4"/>
  <c r="CL82" i="4"/>
  <c r="EY81" i="4"/>
  <c r="CL97" i="4"/>
  <c r="CL93" i="4"/>
  <c r="DU81" i="4"/>
  <c r="EZ90" i="4"/>
  <c r="EZ91" i="4"/>
  <c r="CL100" i="4"/>
  <c r="CZ63" i="4"/>
  <c r="CZ49" i="4"/>
  <c r="DU80" i="4"/>
  <c r="EZ81" i="4"/>
  <c r="CL98" i="4"/>
  <c r="CL99" i="4"/>
  <c r="CL81" i="4"/>
  <c r="F21" i="15"/>
  <c r="J22" i="15"/>
  <c r="K21" i="15"/>
  <c r="CL86" i="4"/>
  <c r="CL96" i="4"/>
  <c r="CL90" i="4"/>
  <c r="CZ86" i="4"/>
  <c r="CL91" i="4"/>
  <c r="K22" i="15"/>
  <c r="CZ91" i="4"/>
  <c r="CZ92" i="4"/>
  <c r="ER90" i="4"/>
  <c r="CZ90" i="4"/>
  <c r="CZ93" i="4"/>
  <c r="CZ89" i="4"/>
  <c r="M22" i="15"/>
  <c r="AJ80" i="4"/>
  <c r="R80" i="4" s="1"/>
  <c r="AJ81" i="4"/>
  <c r="R81" i="4" s="1"/>
  <c r="GY112" i="4"/>
  <c r="GZ112" i="4" s="1"/>
  <c r="GW112" i="4"/>
  <c r="AL84" i="4"/>
  <c r="AJ92" i="4"/>
  <c r="R92" i="4" s="1"/>
  <c r="AJ89" i="4"/>
  <c r="R89" i="4" s="1"/>
  <c r="AJ91" i="4"/>
  <c r="R91" i="4" s="1"/>
  <c r="AJ90" i="4"/>
  <c r="R90" i="4" s="1"/>
  <c r="AJ88" i="4"/>
  <c r="R88" i="4" s="1"/>
  <c r="AJ87" i="4"/>
  <c r="R87" i="4" s="1"/>
  <c r="AA6" i="15"/>
  <c r="AG6" i="15" s="1"/>
  <c r="AL95" i="4"/>
  <c r="Z16" i="15"/>
  <c r="AF16" i="15" s="1"/>
  <c r="FF65" i="4"/>
  <c r="AP4" i="4"/>
  <c r="GY102" i="4"/>
  <c r="DE78" i="4"/>
  <c r="EB29" i="4"/>
  <c r="DE79" i="4"/>
  <c r="EB30" i="4"/>
  <c r="DU27" i="4"/>
  <c r="GA36" i="4"/>
  <c r="DU8" i="4"/>
  <c r="DC62" i="4"/>
  <c r="CO55" i="4"/>
  <c r="GA65" i="4"/>
  <c r="CL63" i="4"/>
  <c r="CO62" i="4"/>
  <c r="GB62" i="4"/>
  <c r="CZ70" i="4"/>
  <c r="CL54" i="4"/>
  <c r="CL53" i="4"/>
  <c r="CL47" i="4"/>
  <c r="CL62" i="4"/>
  <c r="CL55" i="4"/>
  <c r="CL48" i="4"/>
  <c r="GB66" i="4"/>
  <c r="CL46" i="4"/>
  <c r="GA66" i="4"/>
  <c r="ER55" i="4"/>
  <c r="GB65" i="4"/>
  <c r="CL56" i="4"/>
  <c r="GB55" i="4"/>
  <c r="GB42" i="4"/>
  <c r="CL49" i="4"/>
  <c r="CL65" i="4"/>
  <c r="CL66" i="4"/>
  <c r="GA55" i="4"/>
  <c r="AP9" i="4"/>
  <c r="GA42" i="4"/>
  <c r="GA62" i="4"/>
  <c r="DB62" i="4"/>
  <c r="CZ66" i="4"/>
  <c r="FB44" i="4"/>
  <c r="FB48" i="4"/>
  <c r="AJ15" i="4"/>
  <c r="R15" i="4" s="1"/>
  <c r="AJ14" i="4"/>
  <c r="R14" i="4" s="1"/>
  <c r="AJ16" i="4"/>
  <c r="R16" i="4" s="1"/>
  <c r="AJ17" i="4"/>
  <c r="R17" i="4" s="1"/>
  <c r="FB74" i="4"/>
  <c r="BL28" i="4"/>
  <c r="CZ79" i="4"/>
  <c r="FB52" i="4"/>
  <c r="FB71" i="4"/>
  <c r="CZ65" i="4"/>
  <c r="FB45" i="4"/>
  <c r="ER62" i="4"/>
  <c r="CZ77" i="4"/>
  <c r="DU57" i="4"/>
  <c r="CL72" i="4"/>
  <c r="FB76" i="4"/>
  <c r="CZ67" i="4"/>
  <c r="CZ68" i="4"/>
  <c r="ES55" i="4"/>
  <c r="CZ69" i="4"/>
  <c r="CL79" i="4"/>
  <c r="CL69" i="4"/>
  <c r="CL68" i="4"/>
  <c r="CL77" i="4"/>
  <c r="CL70" i="4"/>
  <c r="CL67" i="4"/>
  <c r="CL71" i="4"/>
  <c r="DU67" i="4"/>
  <c r="GY93" i="4"/>
  <c r="GZ93" i="4" s="1"/>
  <c r="GW93" i="4"/>
  <c r="GY89" i="4"/>
  <c r="ES62" i="4"/>
  <c r="DU62" i="4"/>
  <c r="CF9" i="4"/>
  <c r="FB66" i="4"/>
  <c r="FB67" i="4"/>
  <c r="FB68" i="4"/>
  <c r="DU65" i="4"/>
  <c r="DU58" i="4"/>
  <c r="FB65" i="4"/>
  <c r="FB54" i="4"/>
  <c r="FF67" i="4"/>
  <c r="FB75" i="4"/>
  <c r="FB69" i="4"/>
  <c r="FB77" i="4"/>
  <c r="FB61" i="4"/>
  <c r="FF66" i="4"/>
  <c r="FB78" i="4"/>
  <c r="FB73" i="4"/>
  <c r="FB72" i="4"/>
  <c r="DU66" i="4"/>
  <c r="DU46" i="4"/>
  <c r="FB58" i="4"/>
  <c r="FB63" i="4"/>
  <c r="FB70" i="4"/>
  <c r="DU47" i="4"/>
  <c r="FF62" i="4"/>
  <c r="FB79" i="4"/>
  <c r="FB60" i="4"/>
  <c r="BK53" i="4"/>
  <c r="AJ42" i="4"/>
  <c r="R42" i="4" s="1"/>
  <c r="AJ67" i="4"/>
  <c r="R67" i="4" s="1"/>
  <c r="AJ57" i="4"/>
  <c r="R57" i="4" s="1"/>
  <c r="AJ58" i="4"/>
  <c r="R58" i="4" s="1"/>
  <c r="AJ65" i="4"/>
  <c r="R65" i="4" s="1"/>
  <c r="AJ66" i="4"/>
  <c r="R66" i="4" s="1"/>
  <c r="AJ62" i="4"/>
  <c r="R62" i="4" s="1"/>
  <c r="AJ68" i="4"/>
  <c r="R68" i="4" s="1"/>
  <c r="AJ71" i="4"/>
  <c r="R71" i="4" s="1"/>
  <c r="AJ63" i="4"/>
  <c r="R63" i="4" s="1"/>
  <c r="K3" i="5"/>
  <c r="DU42" i="4"/>
  <c r="EK29" i="4"/>
  <c r="FG30" i="4"/>
  <c r="FF32" i="4"/>
  <c r="FF55" i="4"/>
  <c r="FF33" i="4"/>
  <c r="FG29" i="4"/>
  <c r="FF29" i="4"/>
  <c r="FF36" i="4"/>
  <c r="FF35" i="4"/>
  <c r="FF42" i="4"/>
  <c r="FF34" i="4"/>
  <c r="EI30" i="4"/>
  <c r="FF46" i="4"/>
  <c r="DU55" i="4"/>
  <c r="FF30" i="4"/>
  <c r="DC55" i="4"/>
  <c r="BM28" i="4"/>
  <c r="FB47" i="4"/>
  <c r="FB49" i="4"/>
  <c r="FB51" i="4"/>
  <c r="FB53" i="4"/>
  <c r="FB46" i="4"/>
  <c r="FB50" i="4"/>
  <c r="FB56" i="4"/>
  <c r="FB55" i="4"/>
  <c r="R421" i="4"/>
  <c r="R360" i="4"/>
  <c r="R370" i="4"/>
  <c r="R402" i="4"/>
  <c r="R368" i="4"/>
  <c r="R419" i="4"/>
  <c r="AL52" i="4"/>
  <c r="Z7" i="15"/>
  <c r="AF7" i="15" s="1"/>
  <c r="AL49" i="4"/>
  <c r="AA13" i="15"/>
  <c r="AG13" i="15" s="1"/>
  <c r="AL43" i="4"/>
  <c r="AJ47" i="4"/>
  <c r="R47" i="4" s="1"/>
  <c r="AJ48" i="4"/>
  <c r="R48" i="4" s="1"/>
  <c r="AJ46" i="4"/>
  <c r="R46" i="4" s="1"/>
  <c r="Y5" i="15"/>
  <c r="AE5" i="15" s="1"/>
  <c r="Y3" i="15"/>
  <c r="AE3" i="15" s="1"/>
  <c r="AJ55" i="4"/>
  <c r="R55" i="4" s="1"/>
  <c r="AJ51" i="4"/>
  <c r="R51" i="4" s="1"/>
  <c r="GY78" i="4"/>
  <c r="GZ78" i="4" s="1"/>
  <c r="GW78" i="4"/>
  <c r="GY76" i="4"/>
  <c r="GZ76" i="4" s="1"/>
  <c r="GW76" i="4"/>
  <c r="GY58" i="4"/>
  <c r="GZ58" i="4" s="1"/>
  <c r="GW58" i="4"/>
  <c r="GU77" i="4"/>
  <c r="GV77" i="4" s="1"/>
  <c r="GW77" i="4"/>
  <c r="GY46" i="4"/>
  <c r="DW7" i="4"/>
  <c r="EI29" i="4"/>
  <c r="EI18" i="4"/>
  <c r="EI21" i="4"/>
  <c r="CD4" i="4"/>
  <c r="AR41" i="4"/>
  <c r="CD6" i="4"/>
  <c r="CD41" i="4"/>
  <c r="AW55" i="4"/>
  <c r="AU55" i="4"/>
  <c r="AT41" i="4"/>
  <c r="AU41" i="4"/>
  <c r="AR5" i="4"/>
  <c r="AJ27" i="4"/>
  <c r="R27" i="4" s="1"/>
  <c r="Z3" i="15"/>
  <c r="AF3" i="15" s="1"/>
  <c r="Z12" i="15"/>
  <c r="AF12" i="15" s="1"/>
  <c r="AP41" i="4"/>
  <c r="BX5" i="4"/>
  <c r="DU12" i="4"/>
  <c r="AL38" i="4"/>
  <c r="AA5" i="15"/>
  <c r="AG5" i="15" s="1"/>
  <c r="AA3" i="15"/>
  <c r="AG3" i="15" s="1"/>
  <c r="GB33" i="4"/>
  <c r="GB28" i="4"/>
  <c r="GB30" i="4"/>
  <c r="GA29" i="4"/>
  <c r="GA32" i="4"/>
  <c r="GA30" i="4"/>
  <c r="DU32" i="4"/>
  <c r="GB36" i="4"/>
  <c r="GB34" i="4"/>
  <c r="GA28" i="4"/>
  <c r="GB32" i="4"/>
  <c r="GA34" i="4"/>
  <c r="GA35" i="4"/>
  <c r="GB29" i="4"/>
  <c r="GB35" i="4"/>
  <c r="GA31" i="4"/>
  <c r="GB31" i="4"/>
  <c r="DU34" i="4"/>
  <c r="EE5" i="4"/>
  <c r="CB5" i="4"/>
  <c r="ED41" i="4"/>
  <c r="GA41" i="4"/>
  <c r="DU35" i="4"/>
  <c r="DU21" i="4"/>
  <c r="DU26" i="4"/>
  <c r="DU28" i="4"/>
  <c r="DS41" i="4"/>
  <c r="DU31" i="4"/>
  <c r="DU33" i="4"/>
  <c r="DU24" i="4"/>
  <c r="DU17" i="4"/>
  <c r="DU29" i="4"/>
  <c r="DU16" i="4"/>
  <c r="DU13" i="4"/>
  <c r="DU15" i="4"/>
  <c r="DU14" i="4"/>
  <c r="DU11" i="4"/>
  <c r="DU18" i="4"/>
  <c r="DU22" i="4"/>
  <c r="DU36" i="4"/>
  <c r="DU19" i="4"/>
  <c r="DU23" i="4"/>
  <c r="DU10" i="4"/>
  <c r="DU37" i="4"/>
  <c r="EL41" i="4"/>
  <c r="FG41" i="4"/>
  <c r="CH41" i="4"/>
  <c r="DQ41" i="4"/>
  <c r="DJ41" i="4"/>
  <c r="GI41" i="4"/>
  <c r="GB41" i="4"/>
  <c r="BX41" i="4"/>
  <c r="AJ32" i="4"/>
  <c r="R32" i="4" s="1"/>
  <c r="AJ37" i="4"/>
  <c r="R37" i="4" s="1"/>
  <c r="AJ30" i="4"/>
  <c r="R30" i="4" s="1"/>
  <c r="AJ29" i="4"/>
  <c r="R29" i="4" s="1"/>
  <c r="AJ35" i="4"/>
  <c r="R35" i="4" s="1"/>
  <c r="AJ41" i="4"/>
  <c r="R41" i="4" s="1"/>
  <c r="AJ36" i="4"/>
  <c r="R36" i="4" s="1"/>
  <c r="AJ31" i="4"/>
  <c r="R31" i="4" s="1"/>
  <c r="AJ33" i="4"/>
  <c r="R33" i="4" s="1"/>
  <c r="AJ26" i="4"/>
  <c r="R26" i="4" s="1"/>
  <c r="AJ28" i="4"/>
  <c r="R28" i="4" s="1"/>
  <c r="AJ34" i="4"/>
  <c r="R34" i="4" s="1"/>
  <c r="AJ39" i="4"/>
  <c r="R39" i="4" s="1"/>
  <c r="GF41" i="4"/>
  <c r="DZ41" i="4"/>
  <c r="CD7" i="4"/>
  <c r="GP281" i="4"/>
  <c r="GM41" i="4"/>
  <c r="BZ41" i="4"/>
  <c r="CF41" i="4"/>
  <c r="CB41" i="4"/>
  <c r="DU30" i="4"/>
  <c r="DU41" i="4"/>
  <c r="DX41" i="4"/>
  <c r="DW41" i="4"/>
  <c r="EE41" i="4"/>
  <c r="DW12" i="4"/>
  <c r="AL20" i="4"/>
  <c r="AJ24" i="4"/>
  <c r="R24" i="4" s="1"/>
  <c r="AJ21" i="4"/>
  <c r="R21" i="4" s="1"/>
  <c r="AJ23" i="4"/>
  <c r="R23" i="4" s="1"/>
  <c r="AJ22" i="4"/>
  <c r="R22" i="4" s="1"/>
  <c r="AU30" i="4"/>
  <c r="AY30" i="4"/>
  <c r="GW6" i="4"/>
  <c r="GY37" i="4"/>
  <c r="GZ37" i="4" s="1"/>
  <c r="GW37" i="4"/>
  <c r="AU36" i="4"/>
  <c r="AY36" i="4"/>
  <c r="AU35" i="4"/>
  <c r="AY35" i="4"/>
  <c r="AU32" i="4"/>
  <c r="AY32" i="4"/>
  <c r="AU31" i="4"/>
  <c r="AY31" i="4"/>
  <c r="GU29" i="4"/>
  <c r="GV29" i="4" s="1"/>
  <c r="GW29" i="4"/>
  <c r="GY28" i="4"/>
  <c r="GZ28" i="4" s="1"/>
  <c r="GW28" i="4"/>
  <c r="AU18" i="4"/>
  <c r="AY18" i="4"/>
  <c r="GY16" i="4"/>
  <c r="GW16" i="4"/>
  <c r="GX16" i="4" s="1"/>
  <c r="GU17" i="4"/>
  <c r="GV17" i="4" s="1"/>
  <c r="GW17" i="4"/>
  <c r="AW17" i="4"/>
  <c r="AU17" i="4"/>
  <c r="DU9" i="4"/>
  <c r="AU4" i="4"/>
  <c r="AY4" i="4"/>
  <c r="GW4" i="4"/>
  <c r="GY4" i="4"/>
  <c r="AW14" i="4"/>
  <c r="AU14" i="4"/>
  <c r="AU9" i="4"/>
  <c r="AY9" i="4"/>
  <c r="AW6" i="4"/>
  <c r="GY15" i="4"/>
  <c r="GZ15" i="4" s="1"/>
  <c r="GW15" i="4"/>
  <c r="AW12" i="4"/>
  <c r="AU12" i="4"/>
  <c r="AY11" i="4"/>
  <c r="AU11" i="4"/>
  <c r="AW7" i="4"/>
  <c r="Y3" i="5"/>
  <c r="P3" i="5"/>
  <c r="Q3" i="5"/>
  <c r="Z3" i="5"/>
  <c r="T3" i="5"/>
  <c r="B13" i="5"/>
  <c r="AT417" i="4"/>
  <c r="HG183" i="4"/>
  <c r="HC183" i="4"/>
  <c r="HD183" i="4" s="1"/>
  <c r="AW28" i="4"/>
  <c r="AY28" i="4"/>
  <c r="GY5" i="4"/>
  <c r="GU5" i="4"/>
  <c r="GV5" i="4" s="1"/>
  <c r="HG260" i="4"/>
  <c r="HH260" i="4" s="1"/>
  <c r="HC260" i="4"/>
  <c r="HD260" i="4" s="1"/>
  <c r="AP398" i="4"/>
  <c r="GT5" i="4"/>
  <c r="AP403" i="4"/>
  <c r="AR372" i="4"/>
  <c r="AR398" i="4"/>
  <c r="AR403" i="4"/>
  <c r="AP372" i="4"/>
  <c r="AR417" i="4"/>
  <c r="HG148" i="4"/>
  <c r="HH166" i="4" s="1"/>
  <c r="HC148" i="4"/>
  <c r="AW15" i="4"/>
  <c r="AY15" i="4"/>
  <c r="AW417" i="4"/>
  <c r="AW5" i="4"/>
  <c r="AW16" i="4"/>
  <c r="AW21" i="4"/>
  <c r="AY21" i="4"/>
  <c r="AT398" i="4"/>
  <c r="AT403" i="4"/>
  <c r="AT372" i="4"/>
  <c r="AP417" i="4"/>
  <c r="CN281" i="4"/>
  <c r="CS240" i="4"/>
  <c r="CS85" i="4"/>
  <c r="CS339" i="4"/>
  <c r="CS113" i="4"/>
  <c r="CD12" i="4"/>
  <c r="CS165" i="4"/>
  <c r="CS201" i="4"/>
  <c r="CS174" i="4"/>
  <c r="CS331" i="4"/>
  <c r="CS311" i="4"/>
  <c r="CS323" i="4"/>
  <c r="CS161" i="4"/>
  <c r="CS75" i="4"/>
  <c r="CS220" i="4"/>
  <c r="CS241" i="4"/>
  <c r="CS355" i="4"/>
  <c r="CS190" i="4"/>
  <c r="CS324" i="4"/>
  <c r="CS202" i="4"/>
  <c r="CS271" i="4"/>
  <c r="CS221" i="4"/>
  <c r="CS262" i="4"/>
  <c r="CS195" i="4"/>
  <c r="CS233" i="4"/>
  <c r="CS102" i="4"/>
  <c r="CS310" i="4"/>
  <c r="CS277" i="4"/>
  <c r="CS290" i="4"/>
  <c r="CS337" i="4"/>
  <c r="CS247" i="4"/>
  <c r="CS344" i="4"/>
  <c r="CS76" i="4"/>
  <c r="CS248" i="4"/>
  <c r="CS242" i="4"/>
  <c r="CS357" i="4"/>
  <c r="CS129" i="4"/>
  <c r="CS274" i="4"/>
  <c r="CS309" i="4"/>
  <c r="CS177" i="4"/>
  <c r="CS285" i="4"/>
  <c r="CS303" i="4"/>
  <c r="CS104" i="4"/>
  <c r="CS148" i="4"/>
  <c r="CS276" i="4"/>
  <c r="CS189" i="4"/>
  <c r="CS229" i="4"/>
  <c r="CS64" i="4"/>
  <c r="CS226" i="4"/>
  <c r="AR327" i="4"/>
  <c r="CS284" i="4"/>
  <c r="CS275" i="4"/>
  <c r="CS349" i="4"/>
  <c r="DE344" i="4"/>
  <c r="CD8" i="4"/>
  <c r="DE113" i="4"/>
  <c r="DE228" i="4"/>
  <c r="DE64" i="4"/>
  <c r="DE205" i="4"/>
  <c r="DE342" i="4"/>
  <c r="DE161" i="4"/>
  <c r="DE317" i="4"/>
  <c r="DE297" i="4"/>
  <c r="AJ398" i="4"/>
  <c r="R398" i="4" s="1"/>
  <c r="CF18" i="4"/>
  <c r="CF10" i="4"/>
  <c r="D533" i="11"/>
  <c r="C10" i="18"/>
  <c r="L18" i="17"/>
  <c r="CF16" i="4"/>
  <c r="CF21" i="4"/>
  <c r="CF32" i="4"/>
  <c r="B22" i="17"/>
  <c r="CF11" i="4"/>
  <c r="CF5" i="4"/>
  <c r="CF29" i="4"/>
  <c r="CF8" i="4"/>
  <c r="C11" i="18"/>
  <c r="M25" i="17"/>
  <c r="CF33" i="4"/>
  <c r="CF7" i="4"/>
  <c r="CF4" i="4"/>
  <c r="CF15" i="4"/>
  <c r="CF31" i="4"/>
  <c r="CF6" i="4"/>
  <c r="CF28" i="4"/>
  <c r="CF114" i="4"/>
  <c r="CF22" i="4"/>
  <c r="AP327" i="4"/>
  <c r="CF12" i="4"/>
  <c r="CF30" i="4"/>
  <c r="DN284" i="4"/>
  <c r="CF13" i="4"/>
  <c r="CF14" i="4"/>
  <c r="GT8" i="4"/>
  <c r="AT327" i="4"/>
  <c r="CD29" i="4"/>
  <c r="CD14" i="4"/>
  <c r="DU161" i="4"/>
  <c r="DU275" i="4"/>
  <c r="DU325" i="4"/>
  <c r="DU190" i="4"/>
  <c r="CD9" i="4"/>
  <c r="DU350" i="4"/>
  <c r="DU248" i="4"/>
  <c r="DU344" i="4"/>
  <c r="DU360" i="4"/>
  <c r="DU337" i="4"/>
  <c r="CQ148" i="4"/>
  <c r="CL174" i="4"/>
  <c r="GF284" i="4"/>
  <c r="CL339" i="4"/>
  <c r="CL110" i="4"/>
  <c r="CL337" i="4"/>
  <c r="CL177" i="4"/>
  <c r="CS351" i="4"/>
  <c r="CS263" i="4"/>
  <c r="CL104" i="4"/>
  <c r="CS222" i="4"/>
  <c r="CL324" i="4"/>
  <c r="CL243" i="4"/>
  <c r="CS178" i="4"/>
  <c r="CL105" i="4"/>
  <c r="GF379" i="4"/>
  <c r="CL64" i="4"/>
  <c r="CL311" i="4"/>
  <c r="CL303" i="4"/>
  <c r="CL103" i="4"/>
  <c r="CL287" i="4"/>
  <c r="CL325" i="4"/>
  <c r="CL323" i="4"/>
  <c r="CS281" i="4"/>
  <c r="CL315" i="4"/>
  <c r="CL195" i="4"/>
  <c r="CL129" i="4"/>
  <c r="CL340" i="4"/>
  <c r="CL226" i="4"/>
  <c r="CL178" i="4"/>
  <c r="GF384" i="4"/>
  <c r="CL395" i="4"/>
  <c r="GF76" i="4"/>
  <c r="CL197" i="4"/>
  <c r="CL241" i="4"/>
  <c r="CL355" i="4"/>
  <c r="CL304" i="4"/>
  <c r="CS175" i="4"/>
  <c r="CS340" i="4"/>
  <c r="CS223" i="4"/>
  <c r="GF178" i="4"/>
  <c r="CL258" i="4"/>
  <c r="GF191" i="4"/>
  <c r="GF104" i="4"/>
  <c r="GF105" i="4"/>
  <c r="CL360" i="4"/>
  <c r="CL271" i="4"/>
  <c r="CL275" i="4"/>
  <c r="GF277" i="4"/>
  <c r="CL331" i="4"/>
  <c r="GF241" i="4"/>
  <c r="GF75" i="4"/>
  <c r="CL350" i="4"/>
  <c r="CL223" i="4"/>
  <c r="CS258" i="4"/>
  <c r="GF399" i="4"/>
  <c r="CL202" i="4"/>
  <c r="CL189" i="4"/>
  <c r="CL247" i="4"/>
  <c r="GF110" i="4"/>
  <c r="CL344" i="4"/>
  <c r="CS350" i="4"/>
  <c r="CS243" i="4"/>
  <c r="CL362" i="4"/>
  <c r="CS288" i="4"/>
  <c r="GF363" i="4"/>
  <c r="CL148" i="4"/>
  <c r="CL75" i="4"/>
  <c r="CL276" i="4"/>
  <c r="CL277" i="4"/>
  <c r="CL262" i="4"/>
  <c r="CL279" i="4"/>
  <c r="GF224" i="4"/>
  <c r="CL76" i="4"/>
  <c r="CL201" i="4"/>
  <c r="CL233" i="4"/>
  <c r="CL248" i="4"/>
  <c r="CL349" i="4"/>
  <c r="CL357" i="4"/>
  <c r="CL45" i="4"/>
  <c r="CL285" i="4"/>
  <c r="CL347" i="4"/>
  <c r="CS360" i="4"/>
  <c r="GF402" i="4"/>
  <c r="CQ294" i="4"/>
  <c r="CL284" i="4"/>
  <c r="CL220" i="4"/>
  <c r="CL242" i="4"/>
  <c r="CL263" i="4"/>
  <c r="CS224" i="4"/>
  <c r="CS325" i="4"/>
  <c r="CS347" i="4"/>
  <c r="GF408" i="4"/>
  <c r="CQ378" i="4"/>
  <c r="CQ324" i="4"/>
  <c r="CQ281" i="4"/>
  <c r="CQ332" i="4"/>
  <c r="FF85" i="4"/>
  <c r="CH10" i="4"/>
  <c r="CH14" i="4"/>
  <c r="FW190" i="4"/>
  <c r="FW365" i="4"/>
  <c r="FW309" i="4"/>
  <c r="FW357" i="4"/>
  <c r="FW397" i="4"/>
  <c r="FW85" i="4"/>
  <c r="FW339" i="4"/>
  <c r="FW355" i="4"/>
  <c r="FW318" i="4"/>
  <c r="FW402" i="4"/>
  <c r="FW224" i="4"/>
  <c r="FW400" i="4"/>
  <c r="FD279" i="4"/>
  <c r="FW323" i="4"/>
  <c r="FW326" i="4"/>
  <c r="FW401" i="4"/>
  <c r="FW233" i="4"/>
  <c r="FW344" i="4"/>
  <c r="FW162" i="4"/>
  <c r="FW226" i="4"/>
  <c r="FW390" i="4"/>
  <c r="FW310" i="4"/>
  <c r="FW379" i="4"/>
  <c r="EN327" i="4"/>
  <c r="FW350" i="4"/>
  <c r="DI327" i="4"/>
  <c r="FD263" i="4"/>
  <c r="FD277" i="4"/>
  <c r="DN223" i="4"/>
  <c r="FD332" i="4"/>
  <c r="FD327" i="4"/>
  <c r="CS327" i="4"/>
  <c r="FD309" i="4"/>
  <c r="DE327" i="4"/>
  <c r="FF339" i="4"/>
  <c r="FD223" i="4"/>
  <c r="FD244" i="4"/>
  <c r="FD174" i="4"/>
  <c r="DE233" i="4"/>
  <c r="DE284" i="4"/>
  <c r="DE85" i="4"/>
  <c r="ER327" i="4"/>
  <c r="DE337" i="4"/>
  <c r="DE110" i="4"/>
  <c r="DE222" i="4"/>
  <c r="FF160" i="4"/>
  <c r="FF408" i="4"/>
  <c r="EG327" i="4"/>
  <c r="DE134" i="4"/>
  <c r="DE217" i="4"/>
  <c r="DE276" i="4"/>
  <c r="FF276" i="4"/>
  <c r="DE241" i="4"/>
  <c r="DE343" i="4"/>
  <c r="DE304" i="4"/>
  <c r="DE358" i="4"/>
  <c r="DE174" i="4"/>
  <c r="EW327" i="4"/>
  <c r="FF241" i="4"/>
  <c r="DE355" i="4"/>
  <c r="DE349" i="4"/>
  <c r="DE129" i="4"/>
  <c r="DE190" i="4"/>
  <c r="FF362" i="4"/>
  <c r="DN327" i="4"/>
  <c r="DE254" i="4"/>
  <c r="DE225" i="4"/>
  <c r="DE313" i="4"/>
  <c r="DE308" i="4"/>
  <c r="DE102" i="4"/>
  <c r="CJ327" i="4"/>
  <c r="DE248" i="4"/>
  <c r="DE229" i="4"/>
  <c r="DE350" i="4"/>
  <c r="DE357" i="4"/>
  <c r="DE263" i="4"/>
  <c r="DE279" i="4"/>
  <c r="FG327" i="4"/>
  <c r="CH327" i="4"/>
  <c r="DE322" i="4"/>
  <c r="DE218" i="4"/>
  <c r="DE246" i="4"/>
  <c r="DE173" i="4"/>
  <c r="DE39" i="4"/>
  <c r="DE76" i="4"/>
  <c r="DE177" i="4"/>
  <c r="ED327" i="4"/>
  <c r="DS327" i="4"/>
  <c r="DE274" i="4"/>
  <c r="DE220" i="4"/>
  <c r="DB327" i="4"/>
  <c r="DL327" i="4"/>
  <c r="EK327" i="4"/>
  <c r="DE339" i="4"/>
  <c r="FF277" i="4"/>
  <c r="DE331" i="4"/>
  <c r="DE189" i="4"/>
  <c r="CO327" i="4"/>
  <c r="CB327" i="4"/>
  <c r="DE266" i="4"/>
  <c r="DE202" i="4"/>
  <c r="CV327" i="4"/>
  <c r="AD327" i="4" s="1"/>
  <c r="DE310" i="4"/>
  <c r="DE271" i="4"/>
  <c r="DE315" i="4"/>
  <c r="FG309" i="4"/>
  <c r="DE351" i="4"/>
  <c r="EI327" i="4"/>
  <c r="DE239" i="4"/>
  <c r="BX327" i="4"/>
  <c r="DE148" i="4"/>
  <c r="DE201" i="4"/>
  <c r="FF344" i="4"/>
  <c r="EG281" i="4"/>
  <c r="CL327" i="4"/>
  <c r="EP327" i="4"/>
  <c r="DX327" i="4"/>
  <c r="DE132" i="4"/>
  <c r="DE231" i="4"/>
  <c r="DE302" i="4"/>
  <c r="DE197" i="4"/>
  <c r="AJ327" i="4"/>
  <c r="R327" i="4" s="1"/>
  <c r="DE275" i="4"/>
  <c r="DE242" i="4"/>
  <c r="DE285" i="4"/>
  <c r="DQ327" i="4"/>
  <c r="DE165" i="4"/>
  <c r="DE221" i="4"/>
  <c r="DE262" i="4"/>
  <c r="DE247" i="4"/>
  <c r="DE309" i="4"/>
  <c r="DE287" i="4"/>
  <c r="CX327" i="4"/>
  <c r="CD327" i="4"/>
  <c r="DW327" i="4"/>
  <c r="DE328" i="4"/>
  <c r="DE44" i="4"/>
  <c r="DE75" i="4"/>
  <c r="DE146" i="4"/>
  <c r="DE277" i="4"/>
  <c r="DE290" i="4"/>
  <c r="DE195" i="4"/>
  <c r="DE175" i="4"/>
  <c r="DE45" i="4"/>
  <c r="DE311" i="4"/>
  <c r="GB327" i="4"/>
  <c r="EY327" i="4"/>
  <c r="EZ327" i="4"/>
  <c r="DU146" i="4"/>
  <c r="DU189" i="4"/>
  <c r="DU355" i="4"/>
  <c r="DU357" i="4"/>
  <c r="CQ103" i="4"/>
  <c r="CQ362" i="4"/>
  <c r="DU383" i="4"/>
  <c r="DU123" i="4"/>
  <c r="DU327" i="4"/>
  <c r="DU76" i="4"/>
  <c r="DU233" i="4"/>
  <c r="CQ331" i="4"/>
  <c r="DU242" i="4"/>
  <c r="CQ197" i="4"/>
  <c r="DU263" i="4"/>
  <c r="DU303" i="4"/>
  <c r="DU222" i="4"/>
  <c r="DU324" i="4"/>
  <c r="DU352" i="4"/>
  <c r="CN327" i="4"/>
  <c r="FY327" i="4"/>
  <c r="DU202" i="4"/>
  <c r="DL401" i="4"/>
  <c r="DU165" i="4"/>
  <c r="DU331" i="4"/>
  <c r="DU349" i="4"/>
  <c r="DU262" i="4"/>
  <c r="DU177" i="4"/>
  <c r="DU64" i="4"/>
  <c r="DU226" i="4"/>
  <c r="DU243" i="4"/>
  <c r="FF258" i="4"/>
  <c r="DU375" i="4"/>
  <c r="FD374" i="4"/>
  <c r="DU379" i="4"/>
  <c r="DU288" i="4"/>
  <c r="DC327" i="4"/>
  <c r="FB327" i="4"/>
  <c r="DP327" i="4"/>
  <c r="DJ327" i="4"/>
  <c r="DU274" i="4"/>
  <c r="DU284" i="4"/>
  <c r="DU339" i="4"/>
  <c r="DU229" i="4"/>
  <c r="DU241" i="4"/>
  <c r="CQ247" i="4"/>
  <c r="DU340" i="4"/>
  <c r="CQ226" i="4"/>
  <c r="DU191" i="4"/>
  <c r="DU365" i="4"/>
  <c r="DU330" i="4"/>
  <c r="DN288" i="4"/>
  <c r="EL327" i="4"/>
  <c r="DU148" i="4"/>
  <c r="DU174" i="4"/>
  <c r="CQ102" i="4"/>
  <c r="DU197" i="4"/>
  <c r="DU276" i="4"/>
  <c r="DU304" i="4"/>
  <c r="CQ325" i="4"/>
  <c r="CQ318" i="4"/>
  <c r="FF389" i="4"/>
  <c r="CF327" i="4"/>
  <c r="GA327" i="4"/>
  <c r="GM327" i="4"/>
  <c r="DU102" i="4"/>
  <c r="DU221" i="4"/>
  <c r="DU110" i="4"/>
  <c r="CQ110" i="4"/>
  <c r="CQ45" i="4"/>
  <c r="CQ340" i="4"/>
  <c r="DU362" i="4"/>
  <c r="DU305" i="4"/>
  <c r="DU373" i="4"/>
  <c r="CQ383" i="4"/>
  <c r="DU318" i="4"/>
  <c r="DG327" i="4"/>
  <c r="DU388" i="4"/>
  <c r="DZ189" i="4"/>
  <c r="EE327" i="4"/>
  <c r="CU327" i="4"/>
  <c r="DU271" i="4"/>
  <c r="DU290" i="4"/>
  <c r="DU113" i="4"/>
  <c r="DU129" i="4"/>
  <c r="DU311" i="4"/>
  <c r="DU105" i="4"/>
  <c r="CQ319" i="4"/>
  <c r="FF191" i="4"/>
  <c r="CQ191" i="4"/>
  <c r="CQ375" i="4"/>
  <c r="GP327" i="4"/>
  <c r="DU85" i="4"/>
  <c r="DN165" i="4"/>
  <c r="DU315" i="4"/>
  <c r="DU195" i="4"/>
  <c r="DU247" i="4"/>
  <c r="CQ337" i="4"/>
  <c r="DU175" i="4"/>
  <c r="DU160" i="4"/>
  <c r="DU319" i="4"/>
  <c r="DU376" i="4"/>
  <c r="DU377" i="4"/>
  <c r="DN374" i="4"/>
  <c r="CQ288" i="4"/>
  <c r="DN330" i="4"/>
  <c r="CQ359" i="4"/>
  <c r="CQ368" i="4"/>
  <c r="HG263" i="4"/>
  <c r="HB327" i="4"/>
  <c r="FW327" i="4"/>
  <c r="GF327" i="4"/>
  <c r="EB327" i="4"/>
  <c r="ES327" i="4"/>
  <c r="GO327" i="4"/>
  <c r="BZ327" i="4"/>
  <c r="DU201" i="4"/>
  <c r="CQ284" i="4"/>
  <c r="DN262" i="4"/>
  <c r="CQ229" i="4"/>
  <c r="CQ263" i="4"/>
  <c r="DU45" i="4"/>
  <c r="DU285" i="4"/>
  <c r="CQ190" i="4"/>
  <c r="DU104" i="4"/>
  <c r="DU347" i="4"/>
  <c r="DU389" i="4"/>
  <c r="CQ365" i="4"/>
  <c r="CQ391" i="4"/>
  <c r="GI327" i="4"/>
  <c r="CQ327" i="4"/>
  <c r="DU310" i="4"/>
  <c r="DU277" i="4"/>
  <c r="DU343" i="4"/>
  <c r="DU75" i="4"/>
  <c r="DN175" i="4"/>
  <c r="CQ304" i="4"/>
  <c r="DU103" i="4"/>
  <c r="DU178" i="4"/>
  <c r="DU258" i="4"/>
  <c r="DU353" i="4"/>
  <c r="DU162" i="4"/>
  <c r="FF370" i="4"/>
  <c r="CQ405" i="4"/>
  <c r="GH327" i="4"/>
  <c r="FF327" i="4"/>
  <c r="DZ327" i="4"/>
  <c r="CZ327" i="4"/>
  <c r="CQ349" i="4"/>
  <c r="DU309" i="4"/>
  <c r="DU220" i="4"/>
  <c r="DU351" i="4"/>
  <c r="DU279" i="4"/>
  <c r="DU223" i="4"/>
  <c r="DU287" i="4"/>
  <c r="DU224" i="4"/>
  <c r="DU323" i="4"/>
  <c r="DU378" i="4"/>
  <c r="CQ330" i="4"/>
  <c r="CD19" i="4"/>
  <c r="GY383" i="4"/>
  <c r="GY174" i="4"/>
  <c r="GY114" i="4"/>
  <c r="GY363" i="4"/>
  <c r="GY293" i="4"/>
  <c r="GY362" i="4"/>
  <c r="GY54" i="4"/>
  <c r="GY123" i="4"/>
  <c r="GY306" i="4"/>
  <c r="GY219" i="4"/>
  <c r="GY213" i="4"/>
  <c r="GY149" i="4"/>
  <c r="GY20" i="4"/>
  <c r="GY395" i="4"/>
  <c r="GY354" i="4"/>
  <c r="GY202" i="4"/>
  <c r="GY257" i="4"/>
  <c r="GY279" i="4"/>
  <c r="GY272" i="4"/>
  <c r="GY313" i="4"/>
  <c r="GY189" i="4"/>
  <c r="GY34" i="4"/>
  <c r="GY280" i="4"/>
  <c r="GY225" i="4"/>
  <c r="GY195" i="4"/>
  <c r="GY128" i="4"/>
  <c r="GY238" i="4"/>
  <c r="GY99" i="4"/>
  <c r="GY48" i="4"/>
  <c r="GY164" i="4"/>
  <c r="GY255" i="4"/>
  <c r="GY414" i="4"/>
  <c r="GY77" i="4"/>
  <c r="GY104" i="4"/>
  <c r="GY268" i="4"/>
  <c r="GY408" i="4"/>
  <c r="GY176" i="4"/>
  <c r="GY241" i="4"/>
  <c r="GY292" i="4"/>
  <c r="GY288" i="4"/>
  <c r="GY83" i="4"/>
  <c r="GY290" i="4"/>
  <c r="GY160" i="4"/>
  <c r="GY100" i="4"/>
  <c r="GY143" i="4"/>
  <c r="GY17" i="4"/>
  <c r="GY222" i="4"/>
  <c r="GY217" i="4"/>
  <c r="GY224" i="4"/>
  <c r="GY397" i="4"/>
  <c r="GY154" i="4"/>
  <c r="GY315" i="4"/>
  <c r="GY61" i="4"/>
  <c r="GY265" i="4"/>
  <c r="GY188" i="4"/>
  <c r="GU132" i="4"/>
  <c r="GU274" i="4"/>
  <c r="GU186" i="4"/>
  <c r="GU75" i="4"/>
  <c r="GU286" i="4"/>
  <c r="GU307" i="4"/>
  <c r="GU113" i="4"/>
  <c r="GU243" i="4"/>
  <c r="GU136" i="4"/>
  <c r="GU78" i="4"/>
  <c r="GU321" i="4"/>
  <c r="GU101" i="4"/>
  <c r="GU264" i="4"/>
  <c r="GU329" i="4"/>
  <c r="GU270" i="4"/>
  <c r="GU261" i="4"/>
  <c r="GU171" i="4"/>
  <c r="GU317" i="4"/>
  <c r="GT29" i="4"/>
  <c r="GY29" i="4"/>
  <c r="GU358" i="4"/>
  <c r="GU221" i="4"/>
  <c r="GU323" i="4"/>
  <c r="GU211" i="4"/>
  <c r="GU242" i="4"/>
  <c r="GU200" i="4"/>
  <c r="GU40" i="4"/>
  <c r="GU134" i="4"/>
  <c r="GU130" i="4"/>
  <c r="GU191" i="4"/>
  <c r="GU110" i="4"/>
  <c r="GU127" i="4"/>
  <c r="GU331" i="4"/>
  <c r="GU203" i="4"/>
  <c r="GU15" i="4"/>
  <c r="GU64" i="4"/>
  <c r="GU240" i="4"/>
  <c r="GU93" i="4"/>
  <c r="GU73" i="4"/>
  <c r="GU58" i="4"/>
  <c r="GU216" i="4"/>
  <c r="GU340" i="4"/>
  <c r="GU393" i="4"/>
  <c r="GU147" i="4"/>
  <c r="GU4" i="4"/>
  <c r="GU301" i="4"/>
  <c r="GU139" i="4"/>
  <c r="GU337" i="4"/>
  <c r="GU339" i="4"/>
  <c r="GW59" i="4"/>
  <c r="GW232" i="4"/>
  <c r="GW144" i="4"/>
  <c r="GW407" i="4"/>
  <c r="GW267" i="4"/>
  <c r="GW103" i="4"/>
  <c r="GW198" i="4"/>
  <c r="GW316" i="4"/>
  <c r="GW299" i="4"/>
  <c r="GW42" i="4"/>
  <c r="GW142" i="4"/>
  <c r="GW107" i="4"/>
  <c r="GW85" i="4"/>
  <c r="GW256" i="4"/>
  <c r="GW324" i="4"/>
  <c r="GW357" i="4"/>
  <c r="GW57" i="4"/>
  <c r="GW105" i="4"/>
  <c r="GW252" i="4"/>
  <c r="GW165" i="4"/>
  <c r="GW182" i="4"/>
  <c r="GW50" i="4"/>
  <c r="GW259" i="4"/>
  <c r="GW226" i="4"/>
  <c r="GW70" i="4"/>
  <c r="GW298" i="4"/>
  <c r="GW129" i="4"/>
  <c r="GW389" i="4"/>
  <c r="GW304" i="4"/>
  <c r="GW84" i="4"/>
  <c r="GW170" i="4"/>
  <c r="GW24" i="4"/>
  <c r="GW210" i="4"/>
  <c r="GW199" i="4"/>
  <c r="GW79" i="4"/>
  <c r="GW349" i="4"/>
  <c r="GW44" i="4"/>
  <c r="GW352" i="4"/>
  <c r="GW167" i="4"/>
  <c r="GW166" i="4"/>
  <c r="GW343" i="4"/>
  <c r="GW45" i="4"/>
  <c r="GW56" i="4"/>
  <c r="GW151" i="4"/>
  <c r="GW379" i="4"/>
  <c r="GW121" i="4"/>
  <c r="GW244" i="4"/>
  <c r="GW157" i="4"/>
  <c r="GW187" i="4"/>
  <c r="GW318" i="4"/>
  <c r="GW271" i="4"/>
  <c r="GW220" i="4"/>
  <c r="GW347" i="4"/>
  <c r="GW365" i="4"/>
  <c r="GW314" i="4"/>
  <c r="GW25" i="4"/>
  <c r="GW375" i="4"/>
  <c r="GW177" i="4"/>
  <c r="GW204" i="4"/>
  <c r="GW284" i="4"/>
  <c r="GW336" i="4"/>
  <c r="GW233" i="4"/>
  <c r="GW296" i="4"/>
  <c r="GW146" i="4"/>
  <c r="GW262" i="4"/>
  <c r="GW353" i="4"/>
  <c r="GW185" i="4"/>
  <c r="GW360" i="4"/>
  <c r="GW239" i="4"/>
  <c r="GW150" i="4"/>
  <c r="GW80" i="4"/>
  <c r="GW192" i="4"/>
  <c r="GW305" i="4"/>
  <c r="GW319" i="4"/>
  <c r="GW309" i="4"/>
  <c r="GW26" i="4"/>
  <c r="GW254" i="4"/>
  <c r="GW27" i="4"/>
  <c r="GW273" i="4"/>
  <c r="GW247" i="4"/>
  <c r="GW258" i="4"/>
  <c r="GW201" i="4"/>
  <c r="GW266" i="4"/>
  <c r="GW18" i="4"/>
  <c r="GW285" i="4"/>
  <c r="GW300" i="4"/>
  <c r="GW373" i="4"/>
  <c r="GW193" i="4"/>
  <c r="GW212" i="4"/>
  <c r="GW155" i="4"/>
  <c r="GW135" i="4"/>
  <c r="GW215" i="4"/>
  <c r="GW275" i="4"/>
  <c r="GW173" i="4"/>
  <c r="GW39" i="4"/>
  <c r="GW311" i="4"/>
  <c r="CH29" i="4"/>
  <c r="GW178" i="4"/>
  <c r="GW294" i="4"/>
  <c r="GW376" i="4"/>
  <c r="GW223" i="4"/>
  <c r="GW248" i="4"/>
  <c r="GW184" i="4"/>
  <c r="GW162" i="4"/>
  <c r="GW295" i="4"/>
  <c r="GW237" i="4"/>
  <c r="GW377" i="4"/>
  <c r="GW291" i="4"/>
  <c r="GT9" i="4"/>
  <c r="DN393" i="4"/>
  <c r="EY281" i="4"/>
  <c r="DN202" i="4"/>
  <c r="DN274" i="4"/>
  <c r="DN85" i="4"/>
  <c r="FF275" i="4"/>
  <c r="FF271" i="4"/>
  <c r="FF290" i="4"/>
  <c r="FF355" i="4"/>
  <c r="DN75" i="4"/>
  <c r="DN357" i="4"/>
  <c r="DN279" i="4"/>
  <c r="FF129" i="4"/>
  <c r="DN103" i="4"/>
  <c r="DN224" i="4"/>
  <c r="DN243" i="4"/>
  <c r="DN318" i="4"/>
  <c r="FF244" i="4"/>
  <c r="FF390" i="4"/>
  <c r="DN396" i="4"/>
  <c r="DN391" i="4"/>
  <c r="FF404" i="4"/>
  <c r="FF392" i="4"/>
  <c r="DN405" i="4"/>
  <c r="DN148" i="4"/>
  <c r="FF221" i="4"/>
  <c r="FF165" i="4"/>
  <c r="DN349" i="4"/>
  <c r="FF247" i="4"/>
  <c r="FF233" i="4"/>
  <c r="FF350" i="4"/>
  <c r="FF351" i="4"/>
  <c r="DN351" i="4"/>
  <c r="DN285" i="4"/>
  <c r="DN303" i="4"/>
  <c r="DN377" i="4"/>
  <c r="FF378" i="4"/>
  <c r="FF374" i="4"/>
  <c r="FF379" i="4"/>
  <c r="DN384" i="4"/>
  <c r="DN332" i="4"/>
  <c r="DN370" i="4"/>
  <c r="DN359" i="4"/>
  <c r="DN407" i="4"/>
  <c r="DN371" i="4"/>
  <c r="DN387" i="4"/>
  <c r="DN394" i="4"/>
  <c r="FF113" i="4"/>
  <c r="FF220" i="4"/>
  <c r="DN220" i="4"/>
  <c r="FF315" i="4"/>
  <c r="DN275" i="4"/>
  <c r="DN339" i="4"/>
  <c r="DN331" i="4"/>
  <c r="DN290" i="4"/>
  <c r="DN241" i="4"/>
  <c r="FF229" i="4"/>
  <c r="DN226" i="4"/>
  <c r="DN324" i="4"/>
  <c r="DN178" i="4"/>
  <c r="DN160" i="4"/>
  <c r="DN376" i="4"/>
  <c r="DN373" i="4"/>
  <c r="FF384" i="4"/>
  <c r="FF396" i="4"/>
  <c r="FF402" i="4"/>
  <c r="DN402" i="4"/>
  <c r="FF400" i="4"/>
  <c r="FF407" i="4"/>
  <c r="DN382" i="4"/>
  <c r="GT7" i="4"/>
  <c r="FF262" i="4"/>
  <c r="FF248" i="4"/>
  <c r="FF197" i="4"/>
  <c r="DN309" i="4"/>
  <c r="FF357" i="4"/>
  <c r="DN129" i="4"/>
  <c r="DN311" i="4"/>
  <c r="DN340" i="4"/>
  <c r="DN287" i="4"/>
  <c r="DN323" i="4"/>
  <c r="DN258" i="4"/>
  <c r="FF360" i="4"/>
  <c r="DN319" i="4"/>
  <c r="DN378" i="4"/>
  <c r="DN123" i="4"/>
  <c r="DN388" i="4"/>
  <c r="FF354" i="4"/>
  <c r="FF330" i="4"/>
  <c r="DN363" i="4"/>
  <c r="FF366" i="4"/>
  <c r="DN385" i="4"/>
  <c r="FF371" i="4"/>
  <c r="DN408" i="4"/>
  <c r="DN414" i="4"/>
  <c r="FF386" i="4"/>
  <c r="FF202" i="4"/>
  <c r="FF76" i="4"/>
  <c r="DN201" i="4"/>
  <c r="FG247" i="4"/>
  <c r="DN248" i="4"/>
  <c r="DN337" i="4"/>
  <c r="FG310" i="4"/>
  <c r="DN350" i="4"/>
  <c r="FF64" i="4"/>
  <c r="DN64" i="4"/>
  <c r="FF285" i="4"/>
  <c r="DN383" i="4"/>
  <c r="DN365" i="4"/>
  <c r="FF288" i="4"/>
  <c r="FF332" i="4"/>
  <c r="DN369" i="4"/>
  <c r="DN392" i="4"/>
  <c r="FF405" i="4"/>
  <c r="FF397" i="4"/>
  <c r="FF148" i="4"/>
  <c r="FF274" i="4"/>
  <c r="DN146" i="4"/>
  <c r="DN343" i="4"/>
  <c r="FF343" i="4"/>
  <c r="DN344" i="4"/>
  <c r="DN263" i="4"/>
  <c r="DN325" i="4"/>
  <c r="DN305" i="4"/>
  <c r="DN360" i="4"/>
  <c r="FF375" i="4"/>
  <c r="DN191" i="4"/>
  <c r="DN390" i="4"/>
  <c r="DN244" i="4"/>
  <c r="DN366" i="4"/>
  <c r="DN404" i="4"/>
  <c r="DN386" i="4"/>
  <c r="FF368" i="4"/>
  <c r="FF75" i="4"/>
  <c r="FF284" i="4"/>
  <c r="FF349" i="4"/>
  <c r="DN189" i="4"/>
  <c r="DN110" i="4"/>
  <c r="DN195" i="4"/>
  <c r="FF242" i="4"/>
  <c r="DN197" i="4"/>
  <c r="FF45" i="4"/>
  <c r="DN347" i="4"/>
  <c r="DN362" i="4"/>
  <c r="DN162" i="4"/>
  <c r="FF376" i="4"/>
  <c r="DN379" i="4"/>
  <c r="FF399" i="4"/>
  <c r="FF201" i="4"/>
  <c r="DN161" i="4"/>
  <c r="DN271" i="4"/>
  <c r="DN315" i="4"/>
  <c r="FG290" i="4"/>
  <c r="DN247" i="4"/>
  <c r="DN304" i="4"/>
  <c r="DN190" i="4"/>
  <c r="DN353" i="4"/>
  <c r="FF162" i="4"/>
  <c r="FF377" i="4"/>
  <c r="FF123" i="4"/>
  <c r="FF373" i="4"/>
  <c r="FF383" i="4"/>
  <c r="FF359" i="4"/>
  <c r="FF393" i="4"/>
  <c r="DN401" i="4"/>
  <c r="FF387" i="4"/>
  <c r="FF394" i="4"/>
  <c r="FG284" i="4"/>
  <c r="DN233" i="4"/>
  <c r="FF189" i="4"/>
  <c r="DN276" i="4"/>
  <c r="DN221" i="4"/>
  <c r="FF110" i="4"/>
  <c r="DN355" i="4"/>
  <c r="FF195" i="4"/>
  <c r="DN113" i="4"/>
  <c r="DN104" i="4"/>
  <c r="FF352" i="4"/>
  <c r="FF318" i="4"/>
  <c r="DN389" i="4"/>
  <c r="FF326" i="4"/>
  <c r="DN354" i="4"/>
  <c r="FF363" i="4"/>
  <c r="FF391" i="4"/>
  <c r="FF382" i="4"/>
  <c r="DN174" i="4"/>
  <c r="DN310" i="4"/>
  <c r="FF146" i="4"/>
  <c r="FF310" i="4"/>
  <c r="DN277" i="4"/>
  <c r="FF331" i="4"/>
  <c r="DN242" i="4"/>
  <c r="FF337" i="4"/>
  <c r="DN177" i="4"/>
  <c r="FF347" i="4"/>
  <c r="FF105" i="4"/>
  <c r="DN105" i="4"/>
  <c r="FF305" i="4"/>
  <c r="FF319" i="4"/>
  <c r="DN375" i="4"/>
  <c r="FF388" i="4"/>
  <c r="FF395" i="4"/>
  <c r="DN400" i="4"/>
  <c r="FF369" i="4"/>
  <c r="FF401" i="4"/>
  <c r="FF281" i="4"/>
  <c r="DN399" i="4"/>
  <c r="FF414" i="4"/>
  <c r="DN397" i="4"/>
  <c r="FF406" i="4"/>
  <c r="FF174" i="4"/>
  <c r="DN76" i="4"/>
  <c r="DN102" i="4"/>
  <c r="FF102" i="4"/>
  <c r="FF161" i="4"/>
  <c r="DN229" i="4"/>
  <c r="FF309" i="4"/>
  <c r="FF177" i="4"/>
  <c r="DN45" i="4"/>
  <c r="DN222" i="4"/>
  <c r="FF178" i="4"/>
  <c r="DN352" i="4"/>
  <c r="FF353" i="4"/>
  <c r="FF365" i="4"/>
  <c r="DN326" i="4"/>
  <c r="DN395" i="4"/>
  <c r="FF385" i="4"/>
  <c r="CH12" i="4"/>
  <c r="FW174" i="4"/>
  <c r="FW284" i="4"/>
  <c r="FW75" i="4"/>
  <c r="CV281" i="4"/>
  <c r="AD281" i="4" s="1"/>
  <c r="CQ165" i="4"/>
  <c r="CQ275" i="4"/>
  <c r="GF189" i="4"/>
  <c r="CQ343" i="4"/>
  <c r="FW221" i="4"/>
  <c r="CQ344" i="4"/>
  <c r="GF177" i="4"/>
  <c r="GF45" i="4"/>
  <c r="GF175" i="4"/>
  <c r="FW263" i="4"/>
  <c r="CQ303" i="4"/>
  <c r="FW303" i="4"/>
  <c r="GF222" i="4"/>
  <c r="CQ323" i="4"/>
  <c r="CQ347" i="4"/>
  <c r="CQ352" i="4"/>
  <c r="CQ162" i="4"/>
  <c r="GF123" i="4"/>
  <c r="FW319" i="4"/>
  <c r="FW191" i="4"/>
  <c r="GF383" i="4"/>
  <c r="GF375" i="4"/>
  <c r="GF374" i="4"/>
  <c r="FW374" i="4"/>
  <c r="GF390" i="4"/>
  <c r="CQ396" i="4"/>
  <c r="GF330" i="4"/>
  <c r="FW332" i="4"/>
  <c r="CQ400" i="4"/>
  <c r="CQ369" i="4"/>
  <c r="GF401" i="4"/>
  <c r="CQ371" i="4"/>
  <c r="GF371" i="4"/>
  <c r="CQ414" i="4"/>
  <c r="GF368" i="4"/>
  <c r="GT55" i="4"/>
  <c r="CH6" i="4"/>
  <c r="GF201" i="4"/>
  <c r="CQ76" i="4"/>
  <c r="FW220" i="4"/>
  <c r="FW290" i="4"/>
  <c r="FW343" i="4"/>
  <c r="CQ177" i="4"/>
  <c r="FW129" i="4"/>
  <c r="GF190" i="4"/>
  <c r="CQ222" i="4"/>
  <c r="CQ224" i="4"/>
  <c r="FW377" i="4"/>
  <c r="FW375" i="4"/>
  <c r="CH31" i="4"/>
  <c r="CQ402" i="4"/>
  <c r="GF400" i="4"/>
  <c r="GF366" i="4"/>
  <c r="FW363" i="4"/>
  <c r="FW369" i="4"/>
  <c r="CQ404" i="4"/>
  <c r="CQ407" i="4"/>
  <c r="CQ408" i="4"/>
  <c r="GF394" i="4"/>
  <c r="CH15" i="4"/>
  <c r="GF174" i="4"/>
  <c r="GF102" i="4"/>
  <c r="FW148" i="4"/>
  <c r="CQ201" i="4"/>
  <c r="CQ161" i="4"/>
  <c r="CQ85" i="4"/>
  <c r="GF271" i="4"/>
  <c r="CQ310" i="4"/>
  <c r="FW275" i="4"/>
  <c r="GF276" i="4"/>
  <c r="CQ339" i="4"/>
  <c r="CQ315" i="4"/>
  <c r="CQ277" i="4"/>
  <c r="CQ290" i="4"/>
  <c r="GF355" i="4"/>
  <c r="FW349" i="4"/>
  <c r="FW337" i="4"/>
  <c r="CQ248" i="4"/>
  <c r="FW241" i="4"/>
  <c r="GF349" i="4"/>
  <c r="FW285" i="4"/>
  <c r="GF323" i="4"/>
  <c r="GF160" i="4"/>
  <c r="CQ123" i="4"/>
  <c r="CQ377" i="4"/>
  <c r="FW389" i="4"/>
  <c r="FW244" i="4"/>
  <c r="FW384" i="4"/>
  <c r="CQ395" i="4"/>
  <c r="FW359" i="4"/>
  <c r="FW392" i="4"/>
  <c r="FW405" i="4"/>
  <c r="FW386" i="4"/>
  <c r="FW76" i="4"/>
  <c r="GF197" i="4"/>
  <c r="FW102" i="4"/>
  <c r="FW271" i="4"/>
  <c r="FW146" i="4"/>
  <c r="CQ221" i="4"/>
  <c r="FW242" i="4"/>
  <c r="FW110" i="4"/>
  <c r="GF263" i="4"/>
  <c r="CQ175" i="4"/>
  <c r="GF103" i="4"/>
  <c r="GF324" i="4"/>
  <c r="CQ243" i="4"/>
  <c r="GF362" i="4"/>
  <c r="FW123" i="4"/>
  <c r="GF376" i="4"/>
  <c r="CQ376" i="4"/>
  <c r="CQ244" i="4"/>
  <c r="CQ389" i="4"/>
  <c r="GF365" i="4"/>
  <c r="GF388" i="4"/>
  <c r="GF395" i="4"/>
  <c r="GF369" i="4"/>
  <c r="FW391" i="4"/>
  <c r="GF392" i="4"/>
  <c r="GF281" i="4"/>
  <c r="FW371" i="4"/>
  <c r="FW387" i="4"/>
  <c r="CQ406" i="4"/>
  <c r="FW368" i="4"/>
  <c r="GF274" i="4"/>
  <c r="GF233" i="4"/>
  <c r="GF85" i="4"/>
  <c r="DP281" i="4"/>
  <c r="GF339" i="4"/>
  <c r="CQ146" i="4"/>
  <c r="GF331" i="4"/>
  <c r="FW262" i="4"/>
  <c r="GF343" i="4"/>
  <c r="FW229" i="4"/>
  <c r="CQ113" i="4"/>
  <c r="GF113" i="4"/>
  <c r="GF344" i="4"/>
  <c r="FW175" i="4"/>
  <c r="GF64" i="4"/>
  <c r="FW311" i="4"/>
  <c r="FW103" i="4"/>
  <c r="FW325" i="4"/>
  <c r="GF325" i="4"/>
  <c r="FW324" i="4"/>
  <c r="GF347" i="4"/>
  <c r="FW178" i="4"/>
  <c r="FW353" i="4"/>
  <c r="CQ373" i="4"/>
  <c r="FW376" i="4"/>
  <c r="GF244" i="4"/>
  <c r="FW388" i="4"/>
  <c r="GF391" i="4"/>
  <c r="FW385" i="4"/>
  <c r="CQ401" i="4"/>
  <c r="FW399" i="4"/>
  <c r="FW382" i="4"/>
  <c r="GF387" i="4"/>
  <c r="FW381" i="4"/>
  <c r="CH13" i="4"/>
  <c r="GF202" i="4"/>
  <c r="CQ174" i="4"/>
  <c r="CQ75" i="4"/>
  <c r="GF310" i="4"/>
  <c r="CQ276" i="4"/>
  <c r="GF221" i="4"/>
  <c r="GF290" i="4"/>
  <c r="CQ241" i="4"/>
  <c r="GF337" i="4"/>
  <c r="FW247" i="4"/>
  <c r="GF262" i="4"/>
  <c r="GF247" i="4"/>
  <c r="CQ355" i="4"/>
  <c r="GF350" i="4"/>
  <c r="FW351" i="4"/>
  <c r="GF357" i="4"/>
  <c r="FW104" i="4"/>
  <c r="CQ104" i="4"/>
  <c r="GF243" i="4"/>
  <c r="FW258" i="4"/>
  <c r="CQ178" i="4"/>
  <c r="FW362" i="4"/>
  <c r="FW360" i="4"/>
  <c r="FW373" i="4"/>
  <c r="CQ374" i="4"/>
  <c r="GF370" i="4"/>
  <c r="FW395" i="4"/>
  <c r="FW404" i="4"/>
  <c r="FW408" i="4"/>
  <c r="FW414" i="4"/>
  <c r="GF382" i="4"/>
  <c r="FW406" i="4"/>
  <c r="CH21" i="4"/>
  <c r="FW201" i="4"/>
  <c r="CQ220" i="4"/>
  <c r="CQ271" i="4"/>
  <c r="FW277" i="4"/>
  <c r="CQ262" i="4"/>
  <c r="GF309" i="4"/>
  <c r="FW113" i="4"/>
  <c r="CQ242" i="4"/>
  <c r="FW177" i="4"/>
  <c r="CQ351" i="4"/>
  <c r="CQ64" i="4"/>
  <c r="GF285" i="4"/>
  <c r="GF129" i="4"/>
  <c r="CQ129" i="4"/>
  <c r="GF223" i="4"/>
  <c r="FW222" i="4"/>
  <c r="GF258" i="4"/>
  <c r="CQ258" i="4"/>
  <c r="FW105" i="4"/>
  <c r="CQ305" i="4"/>
  <c r="GF360" i="4"/>
  <c r="FW378" i="4"/>
  <c r="GF373" i="4"/>
  <c r="GF326" i="4"/>
  <c r="GF385" i="4"/>
  <c r="FW407" i="4"/>
  <c r="CQ397" i="4"/>
  <c r="GF414" i="4"/>
  <c r="GF386" i="4"/>
  <c r="GF406" i="4"/>
  <c r="GT125" i="4"/>
  <c r="CH16" i="4"/>
  <c r="CH7" i="4"/>
  <c r="FW274" i="4"/>
  <c r="FW197" i="4"/>
  <c r="CQ202" i="4"/>
  <c r="GF275" i="4"/>
  <c r="FW315" i="4"/>
  <c r="GF242" i="4"/>
  <c r="CQ309" i="4"/>
  <c r="CQ350" i="4"/>
  <c r="GF351" i="4"/>
  <c r="FW304" i="4"/>
  <c r="FW64" i="4"/>
  <c r="GF279" i="4"/>
  <c r="GF311" i="4"/>
  <c r="FW340" i="4"/>
  <c r="CQ287" i="4"/>
  <c r="FW287" i="4"/>
  <c r="CQ353" i="4"/>
  <c r="GF352" i="4"/>
  <c r="FW160" i="4"/>
  <c r="GF378" i="4"/>
  <c r="CQ326" i="4"/>
  <c r="CQ388" i="4"/>
  <c r="GF288" i="4"/>
  <c r="CQ354" i="4"/>
  <c r="GF354" i="4"/>
  <c r="CQ370" i="4"/>
  <c r="CQ363" i="4"/>
  <c r="CQ366" i="4"/>
  <c r="GF359" i="4"/>
  <c r="CQ392" i="4"/>
  <c r="CQ386" i="4"/>
  <c r="FW394" i="4"/>
  <c r="GT18" i="4"/>
  <c r="HB302" i="4"/>
  <c r="CH9" i="4"/>
  <c r="CH8" i="4"/>
  <c r="AR394" i="4"/>
  <c r="GF148" i="4"/>
  <c r="CQ274" i="4"/>
  <c r="FW202" i="4"/>
  <c r="FW161" i="4"/>
  <c r="CQ233" i="4"/>
  <c r="FW276" i="4"/>
  <c r="GF315" i="4"/>
  <c r="FW331" i="4"/>
  <c r="GF195" i="4"/>
  <c r="FW189" i="4"/>
  <c r="CQ195" i="4"/>
  <c r="GF248" i="4"/>
  <c r="FW45" i="4"/>
  <c r="CQ357" i="4"/>
  <c r="FW279" i="4"/>
  <c r="GF340" i="4"/>
  <c r="GF303" i="4"/>
  <c r="GF287" i="4"/>
  <c r="FW223" i="4"/>
  <c r="FW352" i="4"/>
  <c r="FW305" i="4"/>
  <c r="CQ160" i="4"/>
  <c r="GF377" i="4"/>
  <c r="CQ390" i="4"/>
  <c r="FW288" i="4"/>
  <c r="FW354" i="4"/>
  <c r="FW396" i="4"/>
  <c r="FW370" i="4"/>
  <c r="GF404" i="4"/>
  <c r="CQ385" i="4"/>
  <c r="CQ393" i="4"/>
  <c r="FW393" i="4"/>
  <c r="CQ387" i="4"/>
  <c r="GF146" i="4"/>
  <c r="FW165" i="4"/>
  <c r="GF229" i="4"/>
  <c r="CQ189" i="4"/>
  <c r="FW195" i="4"/>
  <c r="FW248" i="4"/>
  <c r="CQ279" i="4"/>
  <c r="GF304" i="4"/>
  <c r="CQ285" i="4"/>
  <c r="CQ311" i="4"/>
  <c r="GF226" i="4"/>
  <c r="CQ223" i="4"/>
  <c r="FW243" i="4"/>
  <c r="FW347" i="4"/>
  <c r="CQ105" i="4"/>
  <c r="GF353" i="4"/>
  <c r="GF305" i="4"/>
  <c r="CQ360" i="4"/>
  <c r="GF162" i="4"/>
  <c r="GF318" i="4"/>
  <c r="GF319" i="4"/>
  <c r="FW383" i="4"/>
  <c r="CQ379" i="4"/>
  <c r="CQ384" i="4"/>
  <c r="FW330" i="4"/>
  <c r="GF407" i="4"/>
  <c r="CQ399" i="4"/>
  <c r="CQ382" i="4"/>
  <c r="CQ394" i="4"/>
  <c r="CD10" i="4"/>
  <c r="FG113" i="4"/>
  <c r="FD274" i="4"/>
  <c r="FD202" i="4"/>
  <c r="FD276" i="4"/>
  <c r="FG248" i="4"/>
  <c r="FG349" i="4"/>
  <c r="FD343" i="4"/>
  <c r="FD243" i="4"/>
  <c r="FD352" i="4"/>
  <c r="FD162" i="4"/>
  <c r="FD318" i="4"/>
  <c r="FD373" i="4"/>
  <c r="FD375" i="4"/>
  <c r="FD396" i="4"/>
  <c r="FD366" i="4"/>
  <c r="FD404" i="4"/>
  <c r="FG281" i="4"/>
  <c r="FD386" i="4"/>
  <c r="FD394" i="4"/>
  <c r="FG148" i="4"/>
  <c r="FD102" i="4"/>
  <c r="FD85" i="4"/>
  <c r="FG262" i="4"/>
  <c r="FD339" i="4"/>
  <c r="FD262" i="4"/>
  <c r="FD349" i="4"/>
  <c r="FD242" i="4"/>
  <c r="FG331" i="4"/>
  <c r="FD103" i="4"/>
  <c r="FD160" i="4"/>
  <c r="FD393" i="4"/>
  <c r="GT145" i="4"/>
  <c r="GT384" i="4"/>
  <c r="CD34" i="4"/>
  <c r="FG201" i="4"/>
  <c r="FD75" i="4"/>
  <c r="FG197" i="4"/>
  <c r="FG221" i="4"/>
  <c r="FD165" i="4"/>
  <c r="FD241" i="4"/>
  <c r="FD355" i="4"/>
  <c r="FD110" i="4"/>
  <c r="FG355" i="4"/>
  <c r="FD351" i="4"/>
  <c r="FD311" i="4"/>
  <c r="FD324" i="4"/>
  <c r="FD362" i="4"/>
  <c r="FD326" i="4"/>
  <c r="FD363" i="4"/>
  <c r="FD405" i="4"/>
  <c r="FD387" i="4"/>
  <c r="FD368" i="4"/>
  <c r="GT158" i="4"/>
  <c r="GT155" i="4"/>
  <c r="FG220" i="4"/>
  <c r="FD76" i="4"/>
  <c r="EY220" i="4"/>
  <c r="FD195" i="4"/>
  <c r="FG285" i="4"/>
  <c r="FD190" i="4"/>
  <c r="FD222" i="4"/>
  <c r="FD323" i="4"/>
  <c r="FD325" i="4"/>
  <c r="FD347" i="4"/>
  <c r="FD365" i="4"/>
  <c r="FD370" i="4"/>
  <c r="FD401" i="4"/>
  <c r="FD392" i="4"/>
  <c r="FD371" i="4"/>
  <c r="FD382" i="4"/>
  <c r="HB183" i="4"/>
  <c r="HB359" i="4"/>
  <c r="HB282" i="4"/>
  <c r="HB404" i="4"/>
  <c r="HB303" i="4"/>
  <c r="HB163" i="4"/>
  <c r="HB332" i="4"/>
  <c r="HB190" i="4"/>
  <c r="HB391" i="4"/>
  <c r="HB392" i="4"/>
  <c r="HB161" i="4"/>
  <c r="HB406" i="4"/>
  <c r="HB287" i="4"/>
  <c r="HB382" i="4"/>
  <c r="HB399" i="4"/>
  <c r="HB387" i="4"/>
  <c r="HB197" i="4"/>
  <c r="HB374" i="4"/>
  <c r="HB378" i="4"/>
  <c r="HB325" i="4"/>
  <c r="HB276" i="4"/>
  <c r="HB390" i="4"/>
  <c r="HB386" i="4"/>
  <c r="HB396" i="4"/>
  <c r="HB229" i="4"/>
  <c r="HB330" i="4"/>
  <c r="HB310" i="4"/>
  <c r="HB278" i="4"/>
  <c r="HB156" i="4"/>
  <c r="CH55" i="4"/>
  <c r="FG75" i="4"/>
  <c r="FD233" i="4"/>
  <c r="FG102" i="4"/>
  <c r="FG315" i="4"/>
  <c r="FD315" i="4"/>
  <c r="FG277" i="4"/>
  <c r="FD337" i="4"/>
  <c r="FG343" i="4"/>
  <c r="FG229" i="4"/>
  <c r="FD350" i="4"/>
  <c r="FD64" i="4"/>
  <c r="FD304" i="4"/>
  <c r="FD285" i="4"/>
  <c r="FD378" i="4"/>
  <c r="FD388" i="4"/>
  <c r="FD288" i="4"/>
  <c r="FD414" i="4"/>
  <c r="CD46" i="4"/>
  <c r="FG202" i="4"/>
  <c r="FD271" i="4"/>
  <c r="FG271" i="4"/>
  <c r="FD275" i="4"/>
  <c r="FG110" i="4"/>
  <c r="FD189" i="4"/>
  <c r="FG242" i="4"/>
  <c r="FG344" i="4"/>
  <c r="FG351" i="4"/>
  <c r="FD357" i="4"/>
  <c r="FD104" i="4"/>
  <c r="FD389" i="4"/>
  <c r="FD384" i="4"/>
  <c r="FD395" i="4"/>
  <c r="FD402" i="4"/>
  <c r="FD385" i="4"/>
  <c r="FD407" i="4"/>
  <c r="FD408" i="4"/>
  <c r="HB260" i="4"/>
  <c r="FD161" i="4"/>
  <c r="FG146" i="4"/>
  <c r="FG276" i="4"/>
  <c r="FG165" i="4"/>
  <c r="FD331" i="4"/>
  <c r="FD229" i="4"/>
  <c r="FD129" i="4"/>
  <c r="FD340" i="4"/>
  <c r="FD105" i="4"/>
  <c r="FD360" i="4"/>
  <c r="FD191" i="4"/>
  <c r="FD377" i="4"/>
  <c r="FD406" i="4"/>
  <c r="GT168" i="4"/>
  <c r="CD22" i="4"/>
  <c r="FD284" i="4"/>
  <c r="FG161" i="4"/>
  <c r="FG189" i="4"/>
  <c r="FD146" i="4"/>
  <c r="FD247" i="4"/>
  <c r="FD344" i="4"/>
  <c r="FD177" i="4"/>
  <c r="FG45" i="4"/>
  <c r="FG129" i="4"/>
  <c r="FD303" i="4"/>
  <c r="FD353" i="4"/>
  <c r="FD123" i="4"/>
  <c r="FD383" i="4"/>
  <c r="FD400" i="4"/>
  <c r="FD369" i="4"/>
  <c r="FD399" i="4"/>
  <c r="FD397" i="4"/>
  <c r="GT147" i="4"/>
  <c r="GT32" i="4"/>
  <c r="GT6" i="4"/>
  <c r="HB263" i="4"/>
  <c r="HB371" i="4"/>
  <c r="HB368" i="4"/>
  <c r="HB405" i="4"/>
  <c r="HB370" i="4"/>
  <c r="HB402" i="4"/>
  <c r="HB385" i="4"/>
  <c r="HB369" i="4"/>
  <c r="HB366" i="4"/>
  <c r="FD148" i="4"/>
  <c r="FG274" i="4"/>
  <c r="FD221" i="4"/>
  <c r="FG337" i="4"/>
  <c r="FG85" i="4"/>
  <c r="FD113" i="4"/>
  <c r="FG350" i="4"/>
  <c r="FG177" i="4"/>
  <c r="FD226" i="4"/>
  <c r="FD258" i="4"/>
  <c r="FD390" i="4"/>
  <c r="FD354" i="4"/>
  <c r="FD359" i="4"/>
  <c r="FD281" i="4"/>
  <c r="FD201" i="4"/>
  <c r="FD197" i="4"/>
  <c r="FG339" i="4"/>
  <c r="FG275" i="4"/>
  <c r="FG241" i="4"/>
  <c r="FD290" i="4"/>
  <c r="FD248" i="4"/>
  <c r="FD178" i="4"/>
  <c r="FD305" i="4"/>
  <c r="FD319" i="4"/>
  <c r="FD376" i="4"/>
  <c r="FD379" i="4"/>
  <c r="FD391" i="4"/>
  <c r="GT132" i="4"/>
  <c r="DN368" i="4"/>
  <c r="HB148" i="4"/>
  <c r="FG174" i="4"/>
  <c r="FD220" i="4"/>
  <c r="FG76" i="4"/>
  <c r="FG233" i="4"/>
  <c r="FD310" i="4"/>
  <c r="FG195" i="4"/>
  <c r="FD175" i="4"/>
  <c r="FD45" i="4"/>
  <c r="FD287" i="4"/>
  <c r="FD224" i="4"/>
  <c r="FD330" i="4"/>
  <c r="GT241" i="4"/>
  <c r="GT108" i="4"/>
  <c r="GT194" i="4"/>
  <c r="GT227" i="4"/>
  <c r="GT223" i="4"/>
  <c r="GT248" i="4"/>
  <c r="GT184" i="4"/>
  <c r="GT140" i="4"/>
  <c r="GT27" i="4"/>
  <c r="GT273" i="4"/>
  <c r="GT176" i="4"/>
  <c r="GT120" i="4"/>
  <c r="GT274" i="4"/>
  <c r="GT186" i="4"/>
  <c r="GT71" i="4"/>
  <c r="GT281" i="4"/>
  <c r="GT78" i="4"/>
  <c r="GT205" i="4"/>
  <c r="GT309" i="4"/>
  <c r="GT75" i="4"/>
  <c r="GT286" i="4"/>
  <c r="GT307" i="4"/>
  <c r="GT66" i="4"/>
  <c r="GT291" i="4"/>
  <c r="GT317" i="4"/>
  <c r="GT340" i="4"/>
  <c r="GT14" i="4"/>
  <c r="GT212" i="4"/>
  <c r="GT143" i="4"/>
  <c r="GT257" i="4"/>
  <c r="GT294" i="4"/>
  <c r="GT52" i="4"/>
  <c r="GT376" i="4"/>
  <c r="GT217" i="4"/>
  <c r="GT261" i="4"/>
  <c r="GT76" i="4"/>
  <c r="GT90" i="4"/>
  <c r="GT162" i="4"/>
  <c r="GT119" i="4"/>
  <c r="GT290" i="4"/>
  <c r="GT363" i="4"/>
  <c r="GT169" i="4"/>
  <c r="GT275" i="4"/>
  <c r="GT249" i="4"/>
  <c r="GT26" i="4"/>
  <c r="GT377" i="4"/>
  <c r="GT21" i="4"/>
  <c r="GT82" i="4"/>
  <c r="GT178" i="4"/>
  <c r="GT201" i="4"/>
  <c r="GT266" i="4"/>
  <c r="GT47" i="4"/>
  <c r="GT222" i="4"/>
  <c r="GT322" i="4"/>
  <c r="GT401" i="4"/>
  <c r="GT114" i="4"/>
  <c r="GT85" i="4"/>
  <c r="GT256" i="4"/>
  <c r="GT22" i="4"/>
  <c r="GT17" i="4"/>
  <c r="GT101" i="4"/>
  <c r="GT264" i="4"/>
  <c r="GT253" i="4"/>
  <c r="GT135" i="4"/>
  <c r="GT381" i="4"/>
  <c r="GT103" i="4"/>
  <c r="GT295" i="4"/>
  <c r="GT154" i="4"/>
  <c r="GT235" i="4"/>
  <c r="GT277" i="4"/>
  <c r="GT173" i="4"/>
  <c r="GT329" i="4"/>
  <c r="GT60" i="4"/>
  <c r="GT137" i="4"/>
  <c r="GT165" i="4"/>
  <c r="GT54" i="4"/>
  <c r="GT89" i="4"/>
  <c r="GT104" i="4"/>
  <c r="GT131" i="4"/>
  <c r="GT59" i="4"/>
  <c r="GT232" i="4"/>
  <c r="GT13" i="4"/>
  <c r="GT226" i="4"/>
  <c r="GT142" i="4"/>
  <c r="GT211" i="4"/>
  <c r="GT328" i="4"/>
  <c r="GT383" i="4"/>
  <c r="GT242" i="4"/>
  <c r="GT107" i="4"/>
  <c r="GT10" i="4"/>
  <c r="GT395" i="4"/>
  <c r="GT126" i="4"/>
  <c r="GT208" i="4"/>
  <c r="GT224" i="4"/>
  <c r="GT215" i="4"/>
  <c r="GT12" i="4"/>
  <c r="GT354" i="4"/>
  <c r="GT51" i="4"/>
  <c r="GT221" i="4"/>
  <c r="GT400" i="4"/>
  <c r="GT321" i="4"/>
  <c r="GT193" i="4"/>
  <c r="GT362" i="4"/>
  <c r="GT39" i="4"/>
  <c r="GT389" i="4"/>
  <c r="GT117" i="4"/>
  <c r="GT323" i="4"/>
  <c r="GT270" i="4"/>
  <c r="GT214" i="4"/>
  <c r="GT138" i="4"/>
  <c r="GT42" i="4"/>
  <c r="GT179" i="4"/>
  <c r="GT115" i="4"/>
  <c r="GT24" i="4"/>
  <c r="GT127" i="4"/>
  <c r="GT210" i="4"/>
  <c r="GT324" i="4"/>
  <c r="GT144" i="4"/>
  <c r="GT61" i="4"/>
  <c r="GT342" i="4"/>
  <c r="GT407" i="4"/>
  <c r="GT267" i="4"/>
  <c r="GT23" i="4"/>
  <c r="GT206" i="4"/>
  <c r="GT129" i="4"/>
  <c r="GT57" i="4"/>
  <c r="GT308" i="4"/>
  <c r="GT420" i="4"/>
  <c r="GT198" i="4"/>
  <c r="GT265" i="4"/>
  <c r="GT349" i="4"/>
  <c r="GT44" i="4"/>
  <c r="GT92" i="4"/>
  <c r="GT97" i="4"/>
  <c r="DN406" i="4"/>
  <c r="GT86" i="4"/>
  <c r="GT130" i="4"/>
  <c r="GT306" i="4"/>
  <c r="GT50" i="4"/>
  <c r="GT259" i="4"/>
  <c r="GT94" i="4"/>
  <c r="GT343" i="4"/>
  <c r="GT170" i="4"/>
  <c r="GT149" i="4"/>
  <c r="GT361" i="4"/>
  <c r="GT191" i="4"/>
  <c r="GT110" i="4"/>
  <c r="GT20" i="4"/>
  <c r="GT33" i="4"/>
  <c r="GT326" i="4"/>
  <c r="GT88" i="4"/>
  <c r="GT68" i="4"/>
  <c r="GT357" i="4"/>
  <c r="GT358" i="4"/>
  <c r="GT102" i="4"/>
  <c r="GT375" i="4"/>
  <c r="GT181" i="4"/>
  <c r="GT35" i="4"/>
  <c r="GT105" i="4"/>
  <c r="GT171" i="4"/>
  <c r="GT237" i="4"/>
  <c r="GT64" i="4"/>
  <c r="GT244" i="4"/>
  <c r="GT37" i="4"/>
  <c r="GT240" i="4"/>
  <c r="GT188" i="4"/>
  <c r="GT299" i="4"/>
  <c r="GT233" i="4"/>
  <c r="GT269" i="4"/>
  <c r="GT174" i="4"/>
  <c r="GT365" i="4"/>
  <c r="GT58" i="4"/>
  <c r="GT314" i="4"/>
  <c r="GT25" i="4"/>
  <c r="GT124" i="4"/>
  <c r="GT219" i="4"/>
  <c r="GT200" i="4"/>
  <c r="GT65" i="4"/>
  <c r="GT70" i="4"/>
  <c r="GT95" i="4"/>
  <c r="GT63" i="4"/>
  <c r="GT202" i="4"/>
  <c r="GT203" i="4"/>
  <c r="GT196" i="4"/>
  <c r="GT40" i="4"/>
  <c r="GT134" i="4"/>
  <c r="GT250" i="4"/>
  <c r="GT284" i="4"/>
  <c r="GT216" i="4"/>
  <c r="GT209" i="4"/>
  <c r="GT315" i="4"/>
  <c r="GT304" i="4"/>
  <c r="GT112" i="4"/>
  <c r="GT388" i="4"/>
  <c r="GT167" i="4"/>
  <c r="GT166" i="4"/>
  <c r="GT251" i="4"/>
  <c r="GT195" i="4"/>
  <c r="GT73" i="4"/>
  <c r="GT220" i="4"/>
  <c r="GT30" i="4"/>
  <c r="GT347" i="4"/>
  <c r="GT313" i="4"/>
  <c r="GT46" i="4"/>
  <c r="GT43" i="4"/>
  <c r="GT331" i="4"/>
  <c r="GT298" i="4"/>
  <c r="GT320" i="4"/>
  <c r="GT319" i="4"/>
  <c r="GT87" i="4"/>
  <c r="GT279" i="4"/>
  <c r="GT133" i="4"/>
  <c r="GT15" i="4"/>
  <c r="GT293" i="4"/>
  <c r="GT252" i="4"/>
  <c r="GT81" i="4"/>
  <c r="GT175" i="4"/>
  <c r="GT316" i="4"/>
  <c r="GT353" i="4"/>
  <c r="GT62" i="4"/>
  <c r="GT393" i="4"/>
  <c r="GT213" i="4"/>
  <c r="GT84" i="4"/>
  <c r="GT318" i="4"/>
  <c r="GT271" i="4"/>
  <c r="GT394" i="4"/>
  <c r="GT288" i="4"/>
  <c r="GT72" i="4"/>
  <c r="GT80" i="4"/>
  <c r="GT192" i="4"/>
  <c r="GT16" i="4"/>
  <c r="GT367" i="4"/>
  <c r="GT45" i="4"/>
  <c r="GT56" i="4"/>
  <c r="GT151" i="4"/>
  <c r="GT218" i="4"/>
  <c r="GT379" i="4"/>
  <c r="GT207" i="4"/>
  <c r="GT34" i="4"/>
  <c r="GT280" i="4"/>
  <c r="GT297" i="4"/>
  <c r="GT28" i="4"/>
  <c r="GT350" i="4"/>
  <c r="GT272" i="4"/>
  <c r="GT121" i="4"/>
  <c r="GT254" i="4"/>
  <c r="GT77" i="4"/>
  <c r="GT123" i="4"/>
  <c r="GT355" i="4"/>
  <c r="GT344" i="4"/>
  <c r="GT336" i="4"/>
  <c r="GT408" i="4"/>
  <c r="GT239" i="4"/>
  <c r="GT150" i="4"/>
  <c r="GT48" i="4"/>
  <c r="GT164" i="4"/>
  <c r="GT255" i="4"/>
  <c r="GT172" i="4"/>
  <c r="GT53" i="4"/>
  <c r="GT414" i="4"/>
  <c r="GT67" i="4"/>
  <c r="GT189" i="4"/>
  <c r="GT93" i="4"/>
  <c r="GT236" i="4"/>
  <c r="GT160" i="4"/>
  <c r="GT122" i="4"/>
  <c r="GT146" i="4"/>
  <c r="GT11" i="4"/>
  <c r="GT177" i="4"/>
  <c r="GT199" i="4"/>
  <c r="GT79" i="4"/>
  <c r="GT91" i="4"/>
  <c r="GT19" i="4"/>
  <c r="GT258" i="4"/>
  <c r="GT182" i="4"/>
  <c r="GT157" i="4"/>
  <c r="GT187" i="4"/>
  <c r="GT360" i="4"/>
  <c r="GT339" i="4"/>
  <c r="GT31" i="4"/>
  <c r="GT113" i="4"/>
  <c r="GT106" i="4"/>
  <c r="GT243" i="4"/>
  <c r="GT136" i="4"/>
  <c r="GT153" i="4"/>
  <c r="GT4" i="4"/>
  <c r="GT111" i="4"/>
  <c r="GT141" i="4"/>
  <c r="GT98" i="4"/>
  <c r="GT128" i="4"/>
  <c r="GT301" i="4"/>
  <c r="GT296" i="4"/>
  <c r="GT36" i="4"/>
  <c r="GT159" i="4"/>
  <c r="GT231" i="4"/>
  <c r="GT289" i="4"/>
  <c r="GT262" i="4"/>
  <c r="GT238" i="4"/>
  <c r="GT99" i="4"/>
  <c r="GT38" i="4"/>
  <c r="GT100" i="4"/>
  <c r="GT352" i="4"/>
  <c r="GT268" i="4"/>
  <c r="GT292" i="4"/>
  <c r="GT116" i="4"/>
  <c r="GT285" i="4"/>
  <c r="GT300" i="4"/>
  <c r="GT83" i="4"/>
  <c r="GT246" i="4"/>
  <c r="GT373" i="4"/>
  <c r="GT49" i="4"/>
  <c r="GT305" i="4"/>
  <c r="GT139" i="4"/>
  <c r="GT397" i="4"/>
  <c r="GT74" i="4"/>
  <c r="GT247" i="4"/>
  <c r="GT109" i="4"/>
  <c r="GT351" i="4"/>
  <c r="GT225" i="4"/>
  <c r="GT204" i="4"/>
  <c r="GT69" i="4"/>
  <c r="GT311" i="4"/>
  <c r="GT228" i="4"/>
  <c r="GT337" i="4"/>
  <c r="GT185" i="4"/>
  <c r="GT118" i="4"/>
  <c r="D526" i="11"/>
  <c r="D530" i="11"/>
  <c r="CF368" i="4"/>
  <c r="CJ394" i="4"/>
  <c r="CN368" i="4"/>
  <c r="D524" i="11"/>
  <c r="D527" i="11"/>
  <c r="D532" i="11"/>
  <c r="CH368" i="4"/>
  <c r="CX368" i="4"/>
  <c r="ES368" i="4"/>
  <c r="ED368" i="4"/>
  <c r="DJ368" i="4"/>
  <c r="EN368" i="4"/>
  <c r="DS368" i="4"/>
  <c r="EI368" i="4"/>
  <c r="EW368" i="4"/>
  <c r="DC368" i="4"/>
  <c r="EP368" i="4"/>
  <c r="GB368" i="4"/>
  <c r="EL368" i="4"/>
  <c r="DW368" i="4"/>
  <c r="AJ406" i="4"/>
  <c r="R406" i="4" s="1"/>
  <c r="CJ368" i="4"/>
  <c r="EZ368" i="4"/>
  <c r="GP368" i="4"/>
  <c r="BX406" i="4"/>
  <c r="AR368" i="4"/>
  <c r="EY368" i="4"/>
  <c r="DG368" i="4"/>
  <c r="EK368" i="4"/>
  <c r="CD368" i="4"/>
  <c r="DB368" i="4"/>
  <c r="EE368" i="4"/>
  <c r="DX368" i="4"/>
  <c r="BZ406" i="4"/>
  <c r="BZ368" i="4"/>
  <c r="CB406" i="4"/>
  <c r="EG406" i="4"/>
  <c r="DI368" i="4"/>
  <c r="CB368" i="4"/>
  <c r="GA368" i="4"/>
  <c r="CS368" i="4"/>
  <c r="BX368" i="4"/>
  <c r="DU368" i="4"/>
  <c r="DL368" i="4"/>
  <c r="GI368" i="4"/>
  <c r="CO368" i="4"/>
  <c r="DP368" i="4"/>
  <c r="GH368" i="4"/>
  <c r="CU368" i="4"/>
  <c r="AT414" i="4"/>
  <c r="AT368" i="4"/>
  <c r="FG368" i="4"/>
  <c r="DQ368" i="4"/>
  <c r="FY368" i="4"/>
  <c r="EB368" i="4"/>
  <c r="CV368" i="4"/>
  <c r="AD368" i="4" s="1"/>
  <c r="ER368" i="4"/>
  <c r="EG368" i="4"/>
  <c r="GM368" i="4"/>
  <c r="CZ368" i="4"/>
  <c r="DE368" i="4"/>
  <c r="DZ368" i="4"/>
  <c r="CF406" i="4"/>
  <c r="CL368" i="4"/>
  <c r="GO368" i="4"/>
  <c r="FB368" i="4"/>
  <c r="AP368" i="4"/>
  <c r="CF394" i="4"/>
  <c r="AP406" i="4"/>
  <c r="BX394" i="4"/>
  <c r="AP414" i="4"/>
  <c r="AP386" i="4"/>
  <c r="AR414" i="4"/>
  <c r="AP397" i="4"/>
  <c r="CB394" i="4"/>
  <c r="AR387" i="4"/>
  <c r="AR397" i="4"/>
  <c r="AR382" i="4"/>
  <c r="AJ394" i="4"/>
  <c r="R394" i="4" s="1"/>
  <c r="AR406" i="4"/>
  <c r="AP394" i="4"/>
  <c r="AR386" i="4"/>
  <c r="CD394" i="4"/>
  <c r="CD406" i="4"/>
  <c r="CH394" i="4"/>
  <c r="BZ394" i="4"/>
  <c r="CH406" i="4"/>
  <c r="AT386" i="4"/>
  <c r="AT406" i="4"/>
  <c r="AT382" i="4"/>
  <c r="AT387" i="4"/>
  <c r="AT394" i="4"/>
  <c r="AT397" i="4"/>
  <c r="AP387" i="4"/>
  <c r="AP382" i="4"/>
  <c r="GA406" i="4"/>
  <c r="EK406" i="4"/>
  <c r="EP394" i="4"/>
  <c r="EN406" i="4"/>
  <c r="DS394" i="4"/>
  <c r="EI394" i="4"/>
  <c r="DW394" i="4"/>
  <c r="GA394" i="4"/>
  <c r="ES406" i="4"/>
  <c r="ED406" i="4"/>
  <c r="DI394" i="4"/>
  <c r="CO406" i="4"/>
  <c r="FG406" i="4"/>
  <c r="EI406" i="4"/>
  <c r="EW406" i="4"/>
  <c r="EZ406" i="4"/>
  <c r="CX406" i="4"/>
  <c r="DB406" i="4"/>
  <c r="EP406" i="4"/>
  <c r="CL394" i="4"/>
  <c r="CJ406" i="4"/>
  <c r="EW394" i="4"/>
  <c r="DE394" i="4"/>
  <c r="EN394" i="4"/>
  <c r="CX394" i="4"/>
  <c r="GB394" i="4"/>
  <c r="DB394" i="4"/>
  <c r="CS394" i="4"/>
  <c r="DX406" i="4"/>
  <c r="GB406" i="4"/>
  <c r="EG394" i="4"/>
  <c r="EY406" i="4"/>
  <c r="DG406" i="4"/>
  <c r="DX394" i="4"/>
  <c r="EE394" i="4"/>
  <c r="CO394" i="4"/>
  <c r="FY406" i="4"/>
  <c r="DW406" i="4"/>
  <c r="DZ394" i="4"/>
  <c r="DI406" i="4"/>
  <c r="EB394" i="4"/>
  <c r="DU406" i="4"/>
  <c r="DC406" i="4"/>
  <c r="DC394" i="4"/>
  <c r="ED394" i="4"/>
  <c r="CN394" i="4"/>
  <c r="CS406" i="4"/>
  <c r="DJ406" i="4"/>
  <c r="DP406" i="4"/>
  <c r="CZ394" i="4"/>
  <c r="EZ394" i="4"/>
  <c r="DJ394" i="4"/>
  <c r="DP394" i="4"/>
  <c r="CN406" i="4"/>
  <c r="CU406" i="4"/>
  <c r="DS406" i="4"/>
  <c r="DQ406" i="4"/>
  <c r="EY394" i="4"/>
  <c r="DQ394" i="4"/>
  <c r="CV406" i="4"/>
  <c r="AD406" i="4" s="1"/>
  <c r="CZ406" i="4"/>
  <c r="DL406" i="4"/>
  <c r="ES394" i="4"/>
  <c r="EK394" i="4"/>
  <c r="GI394" i="4"/>
  <c r="FB406" i="4"/>
  <c r="EL406" i="4"/>
  <c r="ER386" i="4"/>
  <c r="ER394" i="4"/>
  <c r="EL394" i="4"/>
  <c r="GH394" i="4"/>
  <c r="GM394" i="4"/>
  <c r="ER406" i="4"/>
  <c r="GM406" i="4"/>
  <c r="CX281" i="4"/>
  <c r="CU394" i="4"/>
  <c r="GP394" i="4"/>
  <c r="EE406" i="4"/>
  <c r="DU394" i="4"/>
  <c r="DZ406" i="4"/>
  <c r="GH406" i="4"/>
  <c r="DE406" i="4"/>
  <c r="FG394" i="4"/>
  <c r="CV394" i="4"/>
  <c r="AD394" i="4" s="1"/>
  <c r="GO394" i="4"/>
  <c r="EB406" i="4"/>
  <c r="GI406" i="4"/>
  <c r="DG394" i="4"/>
  <c r="GP406" i="4"/>
  <c r="FB394" i="4"/>
  <c r="CL406" i="4"/>
  <c r="FY394" i="4"/>
  <c r="DL394" i="4"/>
  <c r="GO406" i="4"/>
  <c r="CD92" i="4"/>
  <c r="CD91" i="4"/>
  <c r="CH34" i="4"/>
  <c r="CD16" i="4"/>
  <c r="CD27" i="4"/>
  <c r="CD36" i="4"/>
  <c r="CH28" i="4"/>
  <c r="CH91" i="4"/>
  <c r="CD65" i="4"/>
  <c r="CD30" i="4"/>
  <c r="CD33" i="4"/>
  <c r="CD24" i="4"/>
  <c r="CH33" i="4"/>
  <c r="CD18" i="4"/>
  <c r="CD17" i="4"/>
  <c r="CD114" i="4"/>
  <c r="CH18" i="4"/>
  <c r="CD58" i="4"/>
  <c r="CH11" i="4"/>
  <c r="CD90" i="4"/>
  <c r="CD35" i="4"/>
  <c r="CD31" i="4"/>
  <c r="CH114" i="4"/>
  <c r="CD32" i="4"/>
  <c r="CD47" i="4"/>
  <c r="CD28" i="4"/>
  <c r="CD15" i="4"/>
  <c r="CH35" i="4"/>
  <c r="CD55" i="4"/>
  <c r="CD57" i="4"/>
  <c r="CD89" i="4"/>
  <c r="CD23" i="4"/>
  <c r="CD21" i="4"/>
  <c r="CH36" i="4"/>
  <c r="CH22" i="4"/>
  <c r="CD66" i="4"/>
  <c r="CD42" i="4"/>
  <c r="CD13" i="4"/>
  <c r="CH30" i="4"/>
  <c r="CD62" i="4"/>
  <c r="CD81" i="4"/>
  <c r="CD67" i="4"/>
  <c r="CD11" i="4"/>
  <c r="CH32" i="4"/>
  <c r="CD420" i="4"/>
  <c r="CD155" i="4"/>
  <c r="CF387" i="4"/>
  <c r="BX397" i="4"/>
  <c r="AJ413" i="4"/>
  <c r="R413" i="4" s="1"/>
  <c r="BZ397" i="4"/>
  <c r="CB386" i="4"/>
  <c r="CF414" i="4"/>
  <c r="CH414" i="4"/>
  <c r="CD414" i="4"/>
  <c r="CD49" i="4"/>
  <c r="CB414" i="4"/>
  <c r="CF382" i="4"/>
  <c r="BX386" i="4"/>
  <c r="CD386" i="4"/>
  <c r="CD136" i="4"/>
  <c r="CD43" i="4"/>
  <c r="BZ387" i="4"/>
  <c r="CF397" i="4"/>
  <c r="CB397" i="4"/>
  <c r="CD54" i="4"/>
  <c r="BZ382" i="4"/>
  <c r="AJ386" i="4"/>
  <c r="R386" i="4" s="1"/>
  <c r="CD68" i="4"/>
  <c r="BZ414" i="4"/>
  <c r="AJ387" i="4"/>
  <c r="R387" i="4" s="1"/>
  <c r="BX387" i="4"/>
  <c r="AJ396" i="4"/>
  <c r="R396" i="4" s="1"/>
  <c r="CD157" i="4"/>
  <c r="CD37" i="4"/>
  <c r="CD59" i="4"/>
  <c r="AR401" i="4"/>
  <c r="BX382" i="4"/>
  <c r="CH397" i="4"/>
  <c r="AJ382" i="4"/>
  <c r="R382" i="4" s="1"/>
  <c r="CH386" i="4"/>
  <c r="CD116" i="4"/>
  <c r="CD80" i="4"/>
  <c r="CD138" i="4"/>
  <c r="BX414" i="4"/>
  <c r="CH387" i="4"/>
  <c r="CD387" i="4"/>
  <c r="CD137" i="4"/>
  <c r="CD69" i="4"/>
  <c r="CD127" i="4"/>
  <c r="CH382" i="4"/>
  <c r="CD382" i="4"/>
  <c r="CD397" i="4"/>
  <c r="CD48" i="4"/>
  <c r="CD232" i="4"/>
  <c r="CD53" i="4"/>
  <c r="CF386" i="4"/>
  <c r="CD124" i="4"/>
  <c r="CD130" i="4"/>
  <c r="CD26" i="4"/>
  <c r="EW386" i="4"/>
  <c r="CB387" i="4"/>
  <c r="BZ386" i="4"/>
  <c r="CD126" i="4"/>
  <c r="CB382" i="4"/>
  <c r="EG382" i="4"/>
  <c r="GA397" i="4"/>
  <c r="EL382" i="4"/>
  <c r="DX414" i="4"/>
  <c r="EE386" i="4"/>
  <c r="DI397" i="4"/>
  <c r="CJ387" i="4"/>
  <c r="EN414" i="4"/>
  <c r="DS397" i="4"/>
  <c r="EI397" i="4"/>
  <c r="DG382" i="4"/>
  <c r="DB386" i="4"/>
  <c r="EP386" i="4"/>
  <c r="ED397" i="4"/>
  <c r="CU397" i="4"/>
  <c r="EG414" i="4"/>
  <c r="GI387" i="4"/>
  <c r="DL397" i="4"/>
  <c r="CZ397" i="4"/>
  <c r="GB387" i="4"/>
  <c r="CS387" i="4"/>
  <c r="EK382" i="4"/>
  <c r="EI387" i="4"/>
  <c r="DU387" i="4"/>
  <c r="DG387" i="4"/>
  <c r="EW387" i="4"/>
  <c r="DX386" i="4"/>
  <c r="EI386" i="4"/>
  <c r="EN386" i="4"/>
  <c r="DJ386" i="4"/>
  <c r="CO281" i="4"/>
  <c r="CO397" i="4"/>
  <c r="DX397" i="4"/>
  <c r="GP414" i="4"/>
  <c r="GH387" i="4"/>
  <c r="GA387" i="4"/>
  <c r="CJ382" i="4"/>
  <c r="CS382" i="4"/>
  <c r="EL414" i="4"/>
  <c r="EI382" i="4"/>
  <c r="EP387" i="4"/>
  <c r="DU382" i="4"/>
  <c r="EW382" i="4"/>
  <c r="GI386" i="4"/>
  <c r="DW386" i="4"/>
  <c r="EB386" i="4"/>
  <c r="DI386" i="4"/>
  <c r="DG386" i="4"/>
  <c r="CN397" i="4"/>
  <c r="DW397" i="4"/>
  <c r="DC387" i="4"/>
  <c r="GI382" i="4"/>
  <c r="CZ387" i="4"/>
  <c r="CX397" i="4"/>
  <c r="GB382" i="4"/>
  <c r="CJ414" i="4"/>
  <c r="CS414" i="4"/>
  <c r="EK414" i="4"/>
  <c r="EI414" i="4"/>
  <c r="EP382" i="4"/>
  <c r="DU414" i="4"/>
  <c r="DG414" i="4"/>
  <c r="EW414" i="4"/>
  <c r="EK386" i="4"/>
  <c r="GH386" i="4"/>
  <c r="CS386" i="4"/>
  <c r="CL386" i="4"/>
  <c r="GA386" i="4"/>
  <c r="EG386" i="4"/>
  <c r="EZ397" i="4"/>
  <c r="GP397" i="4"/>
  <c r="DB387" i="4"/>
  <c r="GP382" i="4"/>
  <c r="EB387" i="4"/>
  <c r="GH382" i="4"/>
  <c r="CL387" i="4"/>
  <c r="CZ382" i="4"/>
  <c r="GA382" i="4"/>
  <c r="DZ397" i="4"/>
  <c r="FY397" i="4"/>
  <c r="EP414" i="4"/>
  <c r="FY387" i="4"/>
  <c r="EP397" i="4"/>
  <c r="CO386" i="4"/>
  <c r="FG386" i="4"/>
  <c r="GB386" i="4"/>
  <c r="CZ386" i="4"/>
  <c r="EY397" i="4"/>
  <c r="GO397" i="4"/>
  <c r="DC382" i="4"/>
  <c r="DS387" i="4"/>
  <c r="DW387" i="4"/>
  <c r="EB382" i="4"/>
  <c r="GH414" i="4"/>
  <c r="CL382" i="4"/>
  <c r="CZ414" i="4"/>
  <c r="GB414" i="4"/>
  <c r="FG387" i="4"/>
  <c r="DJ387" i="4"/>
  <c r="DU397" i="4"/>
  <c r="FY382" i="4"/>
  <c r="GP387" i="4"/>
  <c r="EN397" i="4"/>
  <c r="FY386" i="4"/>
  <c r="CN386" i="4"/>
  <c r="EL397" i="4"/>
  <c r="GI397" i="4"/>
  <c r="ES397" i="4"/>
  <c r="DB382" i="4"/>
  <c r="DS382" i="4"/>
  <c r="DX387" i="4"/>
  <c r="EB414" i="4"/>
  <c r="GI414" i="4"/>
  <c r="CL414" i="4"/>
  <c r="EE387" i="4"/>
  <c r="DZ387" i="4"/>
  <c r="GA414" i="4"/>
  <c r="FG382" i="4"/>
  <c r="EW397" i="4"/>
  <c r="DI387" i="4"/>
  <c r="FY414" i="4"/>
  <c r="FB397" i="4"/>
  <c r="GM386" i="4"/>
  <c r="GO387" i="4"/>
  <c r="CX386" i="4"/>
  <c r="DS386" i="4"/>
  <c r="EK397" i="4"/>
  <c r="GH397" i="4"/>
  <c r="ER397" i="4"/>
  <c r="DB414" i="4"/>
  <c r="DS414" i="4"/>
  <c r="DX382" i="4"/>
  <c r="DL387" i="4"/>
  <c r="CO387" i="4"/>
  <c r="ED387" i="4"/>
  <c r="DZ382" i="4"/>
  <c r="ES387" i="4"/>
  <c r="EZ387" i="4"/>
  <c r="DJ382" i="4"/>
  <c r="CV387" i="4"/>
  <c r="DQ387" i="4"/>
  <c r="DE386" i="4"/>
  <c r="FG397" i="4"/>
  <c r="GB397" i="4"/>
  <c r="DC397" i="4"/>
  <c r="DC414" i="4"/>
  <c r="FB387" i="4"/>
  <c r="DW382" i="4"/>
  <c r="DL382" i="4"/>
  <c r="CN387" i="4"/>
  <c r="EE382" i="4"/>
  <c r="DZ414" i="4"/>
  <c r="ER387" i="4"/>
  <c r="EY387" i="4"/>
  <c r="FG414" i="4"/>
  <c r="DI382" i="4"/>
  <c r="CU387" i="4"/>
  <c r="DP387" i="4"/>
  <c r="GO386" i="4"/>
  <c r="CV386" i="4"/>
  <c r="DC386" i="4"/>
  <c r="DU386" i="4"/>
  <c r="DB397" i="4"/>
  <c r="FB382" i="4"/>
  <c r="DW414" i="4"/>
  <c r="DL414" i="4"/>
  <c r="CO382" i="4"/>
  <c r="ED382" i="4"/>
  <c r="ES382" i="4"/>
  <c r="EZ382" i="4"/>
  <c r="DI414" i="4"/>
  <c r="CV382" i="4"/>
  <c r="DP382" i="4"/>
  <c r="GP386" i="4"/>
  <c r="FB386" i="4"/>
  <c r="CU386" i="4"/>
  <c r="DQ386" i="4"/>
  <c r="DJ397" i="4"/>
  <c r="DQ397" i="4"/>
  <c r="EB397" i="4"/>
  <c r="FB414" i="4"/>
  <c r="CS397" i="4"/>
  <c r="GM387" i="4"/>
  <c r="CN382" i="4"/>
  <c r="EN387" i="4"/>
  <c r="ED414" i="4"/>
  <c r="ER382" i="4"/>
  <c r="EY382" i="4"/>
  <c r="CX387" i="4"/>
  <c r="EL387" i="4"/>
  <c r="DE387" i="4"/>
  <c r="DJ414" i="4"/>
  <c r="CU382" i="4"/>
  <c r="DQ382" i="4"/>
  <c r="EG397" i="4"/>
  <c r="EL386" i="4"/>
  <c r="DL386" i="4"/>
  <c r="ES386" i="4"/>
  <c r="CJ386" i="4"/>
  <c r="DP386" i="4"/>
  <c r="DP397" i="4"/>
  <c r="EG387" i="4"/>
  <c r="CL397" i="4"/>
  <c r="DE397" i="4"/>
  <c r="GM382" i="4"/>
  <c r="CN414" i="4"/>
  <c r="EN382" i="4"/>
  <c r="EE414" i="4"/>
  <c r="ES414" i="4"/>
  <c r="EY414" i="4"/>
  <c r="CX382" i="4"/>
  <c r="EK387" i="4"/>
  <c r="DE382" i="4"/>
  <c r="CV414" i="4"/>
  <c r="DQ414" i="4"/>
  <c r="ED386" i="4"/>
  <c r="GO382" i="4"/>
  <c r="EZ386" i="4"/>
  <c r="ES281" i="4"/>
  <c r="EE397" i="4"/>
  <c r="CV397" i="4"/>
  <c r="AD397" i="4" s="1"/>
  <c r="DG397" i="4"/>
  <c r="CJ397" i="4"/>
  <c r="GM414" i="4"/>
  <c r="CO414" i="4"/>
  <c r="ER414" i="4"/>
  <c r="EZ414" i="4"/>
  <c r="CX414" i="4"/>
  <c r="DE414" i="4"/>
  <c r="CU414" i="4"/>
  <c r="DP414" i="4"/>
  <c r="GM397" i="4"/>
  <c r="EY386" i="4"/>
  <c r="DZ386" i="4"/>
  <c r="GO414" i="4"/>
  <c r="EN399" i="4"/>
  <c r="AT408" i="4"/>
  <c r="AR408" i="4"/>
  <c r="DS408" i="4"/>
  <c r="EI408" i="4"/>
  <c r="DG405" i="4"/>
  <c r="BX405" i="4"/>
  <c r="CH408" i="4"/>
  <c r="CD399" i="4"/>
  <c r="AR399" i="4"/>
  <c r="EW408" i="4"/>
  <c r="AJ371" i="4"/>
  <c r="R371" i="4" s="1"/>
  <c r="AR371" i="4"/>
  <c r="CB399" i="4"/>
  <c r="EP399" i="4"/>
  <c r="AR405" i="4"/>
  <c r="AP399" i="4"/>
  <c r="EG399" i="4"/>
  <c r="GB399" i="4"/>
  <c r="EK399" i="4"/>
  <c r="AP371" i="4"/>
  <c r="AP405" i="4"/>
  <c r="AT281" i="4"/>
  <c r="AT399" i="4"/>
  <c r="AT371" i="4"/>
  <c r="AT405" i="4"/>
  <c r="DJ405" i="4"/>
  <c r="CF405" i="4"/>
  <c r="AP408" i="4"/>
  <c r="DC408" i="4"/>
  <c r="CV408" i="4"/>
  <c r="EK371" i="4"/>
  <c r="DZ408" i="4"/>
  <c r="CF371" i="4"/>
  <c r="GB405" i="4"/>
  <c r="DI405" i="4"/>
  <c r="EB371" i="4"/>
  <c r="EN405" i="4"/>
  <c r="CX405" i="4"/>
  <c r="CB405" i="4"/>
  <c r="ES405" i="4"/>
  <c r="DS399" i="4"/>
  <c r="DJ399" i="4"/>
  <c r="FY399" i="4"/>
  <c r="DX399" i="4"/>
  <c r="EL399" i="4"/>
  <c r="BZ399" i="4"/>
  <c r="DB408" i="4"/>
  <c r="CU408" i="4"/>
  <c r="EL371" i="4"/>
  <c r="EG405" i="4"/>
  <c r="GA405" i="4"/>
  <c r="DJ371" i="4"/>
  <c r="EB405" i="4"/>
  <c r="EN371" i="4"/>
  <c r="CX371" i="4"/>
  <c r="DU408" i="4"/>
  <c r="BX408" i="4"/>
  <c r="CB371" i="4"/>
  <c r="ES371" i="4"/>
  <c r="DI399" i="4"/>
  <c r="DW399" i="4"/>
  <c r="DJ408" i="4"/>
  <c r="EE408" i="4"/>
  <c r="EZ405" i="4"/>
  <c r="EL405" i="4"/>
  <c r="EG371" i="4"/>
  <c r="CF408" i="4"/>
  <c r="EP371" i="4"/>
  <c r="GB371" i="4"/>
  <c r="FY371" i="4"/>
  <c r="BZ371" i="4"/>
  <c r="CD405" i="4"/>
  <c r="CJ405" i="4"/>
  <c r="ER405" i="4"/>
  <c r="DL405" i="4"/>
  <c r="CS399" i="4"/>
  <c r="BX399" i="4"/>
  <c r="DI408" i="4"/>
  <c r="ED408" i="4"/>
  <c r="EZ371" i="4"/>
  <c r="EK405" i="4"/>
  <c r="DQ405" i="4"/>
  <c r="EP405" i="4"/>
  <c r="GA371" i="4"/>
  <c r="FY405" i="4"/>
  <c r="BZ405" i="4"/>
  <c r="EB408" i="4"/>
  <c r="EN408" i="4"/>
  <c r="CX408" i="4"/>
  <c r="CD371" i="4"/>
  <c r="CJ371" i="4"/>
  <c r="CB408" i="4"/>
  <c r="ER371" i="4"/>
  <c r="DL371" i="4"/>
  <c r="EY399" i="4"/>
  <c r="EE399" i="4"/>
  <c r="CN399" i="4"/>
  <c r="EI399" i="4"/>
  <c r="ES408" i="4"/>
  <c r="EL408" i="4"/>
  <c r="EY371" i="4"/>
  <c r="EG408" i="4"/>
  <c r="DP405" i="4"/>
  <c r="CS405" i="4"/>
  <c r="CZ405" i="4"/>
  <c r="FB405" i="4"/>
  <c r="DC405" i="4"/>
  <c r="DS371" i="4"/>
  <c r="EZ399" i="4"/>
  <c r="ED399" i="4"/>
  <c r="FB399" i="4"/>
  <c r="CO399" i="4"/>
  <c r="EB399" i="4"/>
  <c r="CU399" i="4"/>
  <c r="ER408" i="4"/>
  <c r="EK408" i="4"/>
  <c r="EY405" i="4"/>
  <c r="GH405" i="4"/>
  <c r="DQ371" i="4"/>
  <c r="EP408" i="4"/>
  <c r="CS371" i="4"/>
  <c r="FY408" i="4"/>
  <c r="BZ408" i="4"/>
  <c r="CZ371" i="4"/>
  <c r="FB371" i="4"/>
  <c r="DB405" i="4"/>
  <c r="CD408" i="4"/>
  <c r="CJ408" i="4"/>
  <c r="DS405" i="4"/>
  <c r="DL408" i="4"/>
  <c r="DB399" i="4"/>
  <c r="GM399" i="4"/>
  <c r="CH399" i="4"/>
  <c r="AJ412" i="4"/>
  <c r="R412" i="4" s="1"/>
  <c r="CL399" i="4"/>
  <c r="CV399" i="4"/>
  <c r="DX408" i="4"/>
  <c r="CO408" i="4"/>
  <c r="GI405" i="4"/>
  <c r="DP371" i="4"/>
  <c r="CN371" i="4"/>
  <c r="CH405" i="4"/>
  <c r="DX405" i="4"/>
  <c r="DC371" i="4"/>
  <c r="EE371" i="4"/>
  <c r="EI405" i="4"/>
  <c r="DU399" i="4"/>
  <c r="DC399" i="4"/>
  <c r="DE399" i="4"/>
  <c r="GH399" i="4"/>
  <c r="ES399" i="4"/>
  <c r="DW408" i="4"/>
  <c r="FG408" i="4"/>
  <c r="CN408" i="4"/>
  <c r="GH371" i="4"/>
  <c r="CO405" i="4"/>
  <c r="CH371" i="4"/>
  <c r="CS408" i="4"/>
  <c r="DW405" i="4"/>
  <c r="FG371" i="4"/>
  <c r="CZ408" i="4"/>
  <c r="FB408" i="4"/>
  <c r="DB371" i="4"/>
  <c r="ED371" i="4"/>
  <c r="EI371" i="4"/>
  <c r="CZ399" i="4"/>
  <c r="DP399" i="4"/>
  <c r="GO399" i="4"/>
  <c r="GI399" i="4"/>
  <c r="AJ405" i="4"/>
  <c r="R405" i="4" s="1"/>
  <c r="FG399" i="4"/>
  <c r="ER399" i="4"/>
  <c r="GI408" i="4"/>
  <c r="DQ408" i="4"/>
  <c r="GB408" i="4"/>
  <c r="CV405" i="4"/>
  <c r="EW371" i="4"/>
  <c r="GI371" i="4"/>
  <c r="CN405" i="4"/>
  <c r="CL405" i="4"/>
  <c r="DG371" i="4"/>
  <c r="DX371" i="4"/>
  <c r="GP371" i="4"/>
  <c r="FG405" i="4"/>
  <c r="GM371" i="4"/>
  <c r="DE405" i="4"/>
  <c r="EE405" i="4"/>
  <c r="DQ399" i="4"/>
  <c r="DL399" i="4"/>
  <c r="GP399" i="4"/>
  <c r="AJ399" i="4"/>
  <c r="R399" i="4" s="1"/>
  <c r="CF399" i="4"/>
  <c r="CX399" i="4"/>
  <c r="DZ399" i="4"/>
  <c r="GH408" i="4"/>
  <c r="DP408" i="4"/>
  <c r="GA408" i="4"/>
  <c r="CU405" i="4"/>
  <c r="EW405" i="4"/>
  <c r="DZ405" i="4"/>
  <c r="CO371" i="4"/>
  <c r="CL371" i="4"/>
  <c r="DW371" i="4"/>
  <c r="GO371" i="4"/>
  <c r="GM405" i="4"/>
  <c r="DE371" i="4"/>
  <c r="ED405" i="4"/>
  <c r="GA399" i="4"/>
  <c r="CJ399" i="4"/>
  <c r="EW399" i="4"/>
  <c r="DG399" i="4"/>
  <c r="GP408" i="4"/>
  <c r="EZ408" i="4"/>
  <c r="CV371" i="4"/>
  <c r="AD371" i="4" s="1"/>
  <c r="DZ371" i="4"/>
  <c r="DI371" i="4"/>
  <c r="GP405" i="4"/>
  <c r="DU405" i="4"/>
  <c r="BX371" i="4"/>
  <c r="GO408" i="4"/>
  <c r="EY408" i="4"/>
  <c r="CU371" i="4"/>
  <c r="CL408" i="4"/>
  <c r="DG408" i="4"/>
  <c r="GO405" i="4"/>
  <c r="GM408" i="4"/>
  <c r="DE408" i="4"/>
  <c r="DU371" i="4"/>
  <c r="AJ392" i="4"/>
  <c r="R392" i="4" s="1"/>
  <c r="GB281" i="4"/>
  <c r="EL281" i="4"/>
  <c r="DX281" i="4"/>
  <c r="ED281" i="4"/>
  <c r="DJ281" i="4"/>
  <c r="CF281" i="4"/>
  <c r="DS281" i="4"/>
  <c r="EI281" i="4"/>
  <c r="BX281" i="4"/>
  <c r="EW281" i="4"/>
  <c r="H4" i="18"/>
  <c r="D4" i="18"/>
  <c r="CB281" i="4"/>
  <c r="DC281" i="4"/>
  <c r="EP281" i="4"/>
  <c r="AY281" i="4"/>
  <c r="DG281" i="4"/>
  <c r="AP281" i="4"/>
  <c r="CD281" i="4"/>
  <c r="CH281" i="4"/>
  <c r="GA281" i="4"/>
  <c r="EE281" i="4"/>
  <c r="BZ281" i="4"/>
  <c r="EZ281" i="4"/>
  <c r="EK281" i="4"/>
  <c r="CZ281" i="4"/>
  <c r="DB281" i="4"/>
  <c r="GI281" i="4"/>
  <c r="F4" i="18"/>
  <c r="CU281" i="4"/>
  <c r="GH281" i="4"/>
  <c r="FY281" i="4"/>
  <c r="ER281" i="4"/>
  <c r="CJ281" i="4"/>
  <c r="AR281" i="4"/>
  <c r="DW281" i="4"/>
  <c r="DQ281" i="4"/>
  <c r="GM281" i="4"/>
  <c r="DZ281" i="4"/>
  <c r="DI281" i="4"/>
  <c r="C533" i="11"/>
  <c r="B15" i="17"/>
  <c r="C505" i="11"/>
  <c r="B8" i="17"/>
  <c r="EW407" i="4"/>
  <c r="AT392" i="4"/>
  <c r="CF393" i="4"/>
  <c r="BX401" i="4"/>
  <c r="AJ393" i="4"/>
  <c r="R393" i="4" s="1"/>
  <c r="CH392" i="4"/>
  <c r="CB392" i="4"/>
  <c r="CD393" i="4"/>
  <c r="ES392" i="4"/>
  <c r="CN401" i="4"/>
  <c r="GB393" i="4"/>
  <c r="ED393" i="4"/>
  <c r="DJ393" i="4"/>
  <c r="DQ407" i="4"/>
  <c r="CX392" i="4"/>
  <c r="EN393" i="4"/>
  <c r="DS392" i="4"/>
  <c r="EP393" i="4"/>
  <c r="EB393" i="4"/>
  <c r="EI393" i="4"/>
  <c r="EG393" i="4"/>
  <c r="EK401" i="4"/>
  <c r="DG393" i="4"/>
  <c r="BZ392" i="4"/>
  <c r="GB407" i="4"/>
  <c r="GA393" i="4"/>
  <c r="DI393" i="4"/>
  <c r="DB393" i="4"/>
  <c r="GI401" i="4"/>
  <c r="DJ401" i="4"/>
  <c r="CV401" i="4"/>
  <c r="EI401" i="4"/>
  <c r="DS401" i="4"/>
  <c r="CZ401" i="4"/>
  <c r="BX393" i="4"/>
  <c r="CX393" i="4"/>
  <c r="DZ407" i="4"/>
  <c r="CJ392" i="4"/>
  <c r="EG392" i="4"/>
  <c r="FY401" i="4"/>
  <c r="CD392" i="4"/>
  <c r="FB393" i="4"/>
  <c r="GP407" i="4"/>
  <c r="DC407" i="4"/>
  <c r="DQ393" i="4"/>
  <c r="GI393" i="4"/>
  <c r="CO393" i="4"/>
  <c r="DS393" i="4"/>
  <c r="DQ401" i="4"/>
  <c r="DI401" i="4"/>
  <c r="CU401" i="4"/>
  <c r="CH401" i="4"/>
  <c r="CJ393" i="4"/>
  <c r="BX392" i="4"/>
  <c r="CZ392" i="4"/>
  <c r="DU392" i="4"/>
  <c r="DU407" i="4"/>
  <c r="EE392" i="4"/>
  <c r="GO407" i="4"/>
  <c r="DB407" i="4"/>
  <c r="DP393" i="4"/>
  <c r="GH393" i="4"/>
  <c r="CN393" i="4"/>
  <c r="DP401" i="4"/>
  <c r="EE401" i="4"/>
  <c r="DG401" i="4"/>
  <c r="DX392" i="4"/>
  <c r="CF392" i="4"/>
  <c r="EI392" i="4"/>
  <c r="EB407" i="4"/>
  <c r="AP393" i="4"/>
  <c r="EP392" i="4"/>
  <c r="CS401" i="4"/>
  <c r="DP392" i="4"/>
  <c r="EP407" i="4"/>
  <c r="ED392" i="4"/>
  <c r="CS393" i="4"/>
  <c r="CU407" i="4"/>
  <c r="ES407" i="4"/>
  <c r="DX407" i="4"/>
  <c r="CV393" i="4"/>
  <c r="EL393" i="4"/>
  <c r="ES393" i="4"/>
  <c r="CL393" i="4"/>
  <c r="ER401" i="4"/>
  <c r="ED401" i="4"/>
  <c r="GA401" i="4"/>
  <c r="DZ401" i="4"/>
  <c r="DW392" i="4"/>
  <c r="EL392" i="4"/>
  <c r="EB392" i="4"/>
  <c r="CV392" i="4"/>
  <c r="AD392" i="4" s="1"/>
  <c r="CL407" i="4"/>
  <c r="DJ392" i="4"/>
  <c r="DQ392" i="4"/>
  <c r="EZ392" i="4"/>
  <c r="AT401" i="4"/>
  <c r="CV407" i="4"/>
  <c r="AD407" i="4" s="1"/>
  <c r="AY407" i="4" s="1"/>
  <c r="ER407" i="4"/>
  <c r="DW407" i="4"/>
  <c r="CU393" i="4"/>
  <c r="EK393" i="4"/>
  <c r="ER393" i="4"/>
  <c r="ES401" i="4"/>
  <c r="DB401" i="4"/>
  <c r="GB401" i="4"/>
  <c r="CF401" i="4"/>
  <c r="CX401" i="4"/>
  <c r="CS392" i="4"/>
  <c r="EG407" i="4"/>
  <c r="CL392" i="4"/>
  <c r="CU392" i="4"/>
  <c r="EW393" i="4"/>
  <c r="DS407" i="4"/>
  <c r="DI392" i="4"/>
  <c r="BX407" i="4"/>
  <c r="EW392" i="4"/>
  <c r="EY392" i="4"/>
  <c r="CB393" i="4"/>
  <c r="FY393" i="4"/>
  <c r="GH392" i="4"/>
  <c r="DG392" i="4"/>
  <c r="EZ407" i="4"/>
  <c r="DP407" i="4"/>
  <c r="GI407" i="4"/>
  <c r="FG393" i="4"/>
  <c r="GP393" i="4"/>
  <c r="EZ401" i="4"/>
  <c r="DC401" i="4"/>
  <c r="CD401" i="4"/>
  <c r="CO392" i="4"/>
  <c r="EN407" i="4"/>
  <c r="ER392" i="4"/>
  <c r="EI407" i="4"/>
  <c r="AP392" i="4"/>
  <c r="CH407" i="4"/>
  <c r="DC392" i="4"/>
  <c r="DU393" i="4"/>
  <c r="GI392" i="4"/>
  <c r="FY392" i="4"/>
  <c r="EY407" i="4"/>
  <c r="GH407" i="4"/>
  <c r="GO393" i="4"/>
  <c r="EY401" i="4"/>
  <c r="CL401" i="4"/>
  <c r="EN401" i="4"/>
  <c r="CJ401" i="4"/>
  <c r="DU401" i="4"/>
  <c r="CN392" i="4"/>
  <c r="CX407" i="4"/>
  <c r="FG392" i="4"/>
  <c r="GB392" i="4"/>
  <c r="DB392" i="4"/>
  <c r="DE407" i="4"/>
  <c r="CO407" i="4"/>
  <c r="EK407" i="4"/>
  <c r="DX393" i="4"/>
  <c r="BZ393" i="4"/>
  <c r="DE401" i="4"/>
  <c r="AJ407" i="4"/>
  <c r="R407" i="4" s="1"/>
  <c r="DZ392" i="4"/>
  <c r="GA392" i="4"/>
  <c r="FB401" i="4"/>
  <c r="GM393" i="4"/>
  <c r="GM407" i="4"/>
  <c r="AR393" i="4"/>
  <c r="BZ407" i="4"/>
  <c r="CN407" i="4"/>
  <c r="EL407" i="4"/>
  <c r="DW393" i="4"/>
  <c r="DW401" i="4"/>
  <c r="GP401" i="4"/>
  <c r="GM401" i="4"/>
  <c r="EB401" i="4"/>
  <c r="DL407" i="4"/>
  <c r="CB407" i="4"/>
  <c r="EK392" i="4"/>
  <c r="EN392" i="4"/>
  <c r="EP401" i="4"/>
  <c r="DL393" i="4"/>
  <c r="CF407" i="4"/>
  <c r="AT393" i="4"/>
  <c r="DL392" i="4"/>
  <c r="GM392" i="4"/>
  <c r="AP407" i="4"/>
  <c r="DJ407" i="4"/>
  <c r="FG407" i="4"/>
  <c r="EE407" i="4"/>
  <c r="EZ393" i="4"/>
  <c r="EE393" i="4"/>
  <c r="FG401" i="4"/>
  <c r="DX401" i="4"/>
  <c r="GO401" i="4"/>
  <c r="BZ401" i="4"/>
  <c r="EW401" i="4"/>
  <c r="FB407" i="4"/>
  <c r="DZ393" i="4"/>
  <c r="CD407" i="4"/>
  <c r="CB401" i="4"/>
  <c r="AR392" i="4"/>
  <c r="DE392" i="4"/>
  <c r="AR407" i="4"/>
  <c r="FB392" i="4"/>
  <c r="DI407" i="4"/>
  <c r="ED407" i="4"/>
  <c r="EY393" i="4"/>
  <c r="DE393" i="4"/>
  <c r="CO401" i="4"/>
  <c r="EL401" i="4"/>
  <c r="CJ407" i="4"/>
  <c r="CS407" i="4"/>
  <c r="DG407" i="4"/>
  <c r="FY407" i="4"/>
  <c r="CZ393" i="4"/>
  <c r="GP392" i="4"/>
  <c r="CH393" i="4"/>
  <c r="AP401" i="4"/>
  <c r="GA407" i="4"/>
  <c r="DC393" i="4"/>
  <c r="GH401" i="4"/>
  <c r="EG401" i="4"/>
  <c r="CZ407" i="4"/>
  <c r="AT407" i="4"/>
  <c r="GO392" i="4"/>
  <c r="AR385" i="4"/>
  <c r="CL383" i="4"/>
  <c r="CL379" i="4"/>
  <c r="CL318" i="4"/>
  <c r="CL332" i="4"/>
  <c r="CL354" i="4"/>
  <c r="CL388" i="4"/>
  <c r="EW391" i="4"/>
  <c r="AJ401" i="4"/>
  <c r="R401" i="4" s="1"/>
  <c r="AR391" i="4"/>
  <c r="DL347" i="4"/>
  <c r="DZ113" i="4"/>
  <c r="DZ274" i="4"/>
  <c r="AP391" i="4"/>
  <c r="AR369" i="4"/>
  <c r="FY237" i="4"/>
  <c r="AP359" i="4"/>
  <c r="AR404" i="4"/>
  <c r="AP369" i="4"/>
  <c r="AR359" i="4"/>
  <c r="AT404" i="4"/>
  <c r="AT359" i="4"/>
  <c r="AT385" i="4"/>
  <c r="AT369" i="4"/>
  <c r="AT391" i="4"/>
  <c r="DZ202" i="4"/>
  <c r="AP404" i="4"/>
  <c r="ER359" i="4"/>
  <c r="AP385" i="4"/>
  <c r="FY88" i="4"/>
  <c r="EP369" i="4"/>
  <c r="DB385" i="4"/>
  <c r="CU354" i="4"/>
  <c r="EG404" i="4"/>
  <c r="DU385" i="4"/>
  <c r="GA404" i="4"/>
  <c r="EK359" i="4"/>
  <c r="FY404" i="4"/>
  <c r="CB404" i="4"/>
  <c r="BX404" i="4"/>
  <c r="CX404" i="4"/>
  <c r="CJ359" i="4"/>
  <c r="DJ369" i="4"/>
  <c r="CD391" i="4"/>
  <c r="GM385" i="4"/>
  <c r="DS391" i="4"/>
  <c r="AJ358" i="4"/>
  <c r="R358" i="4" s="1"/>
  <c r="DI385" i="4"/>
  <c r="D525" i="11"/>
  <c r="D531" i="11"/>
  <c r="D523" i="11"/>
  <c r="D528" i="11"/>
  <c r="GA369" i="4"/>
  <c r="DS404" i="4"/>
  <c r="CJ369" i="4"/>
  <c r="DJ391" i="4"/>
  <c r="EG391" i="4"/>
  <c r="FY391" i="4"/>
  <c r="DP359" i="4"/>
  <c r="EW404" i="4"/>
  <c r="EY404" i="4"/>
  <c r="DC369" i="4"/>
  <c r="GM369" i="4"/>
  <c r="DE404" i="4"/>
  <c r="GP404" i="4"/>
  <c r="EE359" i="4"/>
  <c r="EE404" i="4"/>
  <c r="FB404" i="4"/>
  <c r="DX391" i="4"/>
  <c r="CS404" i="4"/>
  <c r="CO404" i="4"/>
  <c r="CD385" i="4"/>
  <c r="EK391" i="4"/>
  <c r="CX385" i="4"/>
  <c r="CU369" i="4"/>
  <c r="DZ404" i="4"/>
  <c r="CH369" i="4"/>
  <c r="GB359" i="4"/>
  <c r="CJ385" i="4"/>
  <c r="EG359" i="4"/>
  <c r="CZ404" i="4"/>
  <c r="DQ369" i="4"/>
  <c r="EZ369" i="4"/>
  <c r="DL369" i="4"/>
  <c r="GM359" i="4"/>
  <c r="GP385" i="4"/>
  <c r="ED359" i="4"/>
  <c r="ED404" i="4"/>
  <c r="GI385" i="4"/>
  <c r="DW391" i="4"/>
  <c r="CO385" i="4"/>
  <c r="CN404" i="4"/>
  <c r="CD359" i="4"/>
  <c r="CX359" i="4"/>
  <c r="CV404" i="4"/>
  <c r="CH359" i="4"/>
  <c r="GA359" i="4"/>
  <c r="EP359" i="4"/>
  <c r="DI391" i="4"/>
  <c r="BX359" i="4"/>
  <c r="DU391" i="4"/>
  <c r="DP369" i="4"/>
  <c r="EZ391" i="4"/>
  <c r="DL385" i="4"/>
  <c r="GO359" i="4"/>
  <c r="GH385" i="4"/>
  <c r="CB385" i="4"/>
  <c r="EL391" i="4"/>
  <c r="CN369" i="4"/>
  <c r="CU404" i="4"/>
  <c r="ES385" i="4"/>
  <c r="EN369" i="4"/>
  <c r="GA391" i="4"/>
  <c r="CJ391" i="4"/>
  <c r="EP385" i="4"/>
  <c r="DI369" i="4"/>
  <c r="EG369" i="4"/>
  <c r="BX385" i="4"/>
  <c r="DU404" i="4"/>
  <c r="DQ404" i="4"/>
  <c r="EK385" i="4"/>
  <c r="EY385" i="4"/>
  <c r="DB369" i="4"/>
  <c r="DC404" i="4"/>
  <c r="DL359" i="4"/>
  <c r="FG359" i="4"/>
  <c r="GM391" i="4"/>
  <c r="GP391" i="4"/>
  <c r="CL385" i="4"/>
  <c r="EE391" i="4"/>
  <c r="GI359" i="4"/>
  <c r="CB369" i="4"/>
  <c r="DW404" i="4"/>
  <c r="CN385" i="4"/>
  <c r="AJ391" i="4"/>
  <c r="R391" i="4" s="1"/>
  <c r="CX369" i="4"/>
  <c r="CU391" i="4"/>
  <c r="ES404" i="4"/>
  <c r="CH404" i="4"/>
  <c r="CJ404" i="4"/>
  <c r="DI359" i="4"/>
  <c r="EG385" i="4"/>
  <c r="BX369" i="4"/>
  <c r="DP404" i="4"/>
  <c r="EY391" i="4"/>
  <c r="DC391" i="4"/>
  <c r="DB404" i="4"/>
  <c r="DL391" i="4"/>
  <c r="GM404" i="4"/>
  <c r="GO385" i="4"/>
  <c r="CL369" i="4"/>
  <c r="ED391" i="4"/>
  <c r="GH359" i="4"/>
  <c r="CB359" i="4"/>
  <c r="DX359" i="4"/>
  <c r="DX404" i="4"/>
  <c r="CN359" i="4"/>
  <c r="AJ369" i="4"/>
  <c r="R369" i="4" s="1"/>
  <c r="CD404" i="4"/>
  <c r="CX391" i="4"/>
  <c r="EN385" i="4"/>
  <c r="GB391" i="4"/>
  <c r="EP391" i="4"/>
  <c r="BX391" i="4"/>
  <c r="DQ385" i="4"/>
  <c r="EY359" i="4"/>
  <c r="DB391" i="4"/>
  <c r="FG404" i="4"/>
  <c r="GO391" i="4"/>
  <c r="CL359" i="4"/>
  <c r="EE385" i="4"/>
  <c r="GI369" i="4"/>
  <c r="CB391" i="4"/>
  <c r="DW359" i="4"/>
  <c r="CF359" i="4"/>
  <c r="CV391" i="4"/>
  <c r="AD391" i="4" s="1"/>
  <c r="ES391" i="4"/>
  <c r="ER404" i="4"/>
  <c r="EN359" i="4"/>
  <c r="EB385" i="4"/>
  <c r="EP404" i="4"/>
  <c r="DP385" i="4"/>
  <c r="EY369" i="4"/>
  <c r="DL404" i="4"/>
  <c r="DE385" i="4"/>
  <c r="ED385" i="4"/>
  <c r="GH369" i="4"/>
  <c r="DX385" i="4"/>
  <c r="CS385" i="4"/>
  <c r="CO391" i="4"/>
  <c r="EI359" i="4"/>
  <c r="CF369" i="4"/>
  <c r="CV385" i="4"/>
  <c r="AD385" i="4" s="1"/>
  <c r="ER391" i="4"/>
  <c r="EN391" i="4"/>
  <c r="EB359" i="4"/>
  <c r="GB385" i="4"/>
  <c r="DS385" i="4"/>
  <c r="CZ369" i="4"/>
  <c r="DP391" i="4"/>
  <c r="EW359" i="4"/>
  <c r="DC359" i="4"/>
  <c r="DE369" i="4"/>
  <c r="CL391" i="4"/>
  <c r="FB369" i="4"/>
  <c r="DW385" i="4"/>
  <c r="CN391" i="4"/>
  <c r="AJ385" i="4"/>
  <c r="R385" i="4" s="1"/>
  <c r="EI369" i="4"/>
  <c r="CF385" i="4"/>
  <c r="EK369" i="4"/>
  <c r="ES369" i="4"/>
  <c r="DZ385" i="4"/>
  <c r="EN404" i="4"/>
  <c r="EB369" i="4"/>
  <c r="EK404" i="4"/>
  <c r="DS369" i="4"/>
  <c r="DJ404" i="4"/>
  <c r="CZ385" i="4"/>
  <c r="DQ391" i="4"/>
  <c r="DC385" i="4"/>
  <c r="FG369" i="4"/>
  <c r="DE391" i="4"/>
  <c r="GP369" i="4"/>
  <c r="EE369" i="4"/>
  <c r="GI404" i="4"/>
  <c r="FB391" i="4"/>
  <c r="DX369" i="4"/>
  <c r="CS391" i="4"/>
  <c r="CO369" i="4"/>
  <c r="AJ404" i="4"/>
  <c r="R404" i="4" s="1"/>
  <c r="EI385" i="4"/>
  <c r="CU385" i="4"/>
  <c r="ER385" i="4"/>
  <c r="EB391" i="4"/>
  <c r="EL359" i="4"/>
  <c r="EL404" i="4"/>
  <c r="DJ359" i="4"/>
  <c r="DI404" i="4"/>
  <c r="FY359" i="4"/>
  <c r="DQ359" i="4"/>
  <c r="EW369" i="4"/>
  <c r="EZ385" i="4"/>
  <c r="DB359" i="4"/>
  <c r="GP359" i="4"/>
  <c r="CL404" i="4"/>
  <c r="ED369" i="4"/>
  <c r="GI391" i="4"/>
  <c r="GH404" i="4"/>
  <c r="FB359" i="4"/>
  <c r="CS369" i="4"/>
  <c r="EI391" i="4"/>
  <c r="CF391" i="4"/>
  <c r="CV359" i="4"/>
  <c r="AD359" i="4" s="1"/>
  <c r="ER369" i="4"/>
  <c r="DZ391" i="4"/>
  <c r="CH385" i="4"/>
  <c r="EB404" i="4"/>
  <c r="GA385" i="4"/>
  <c r="GB404" i="4"/>
  <c r="DS359" i="4"/>
  <c r="EL369" i="4"/>
  <c r="DJ385" i="4"/>
  <c r="CZ359" i="4"/>
  <c r="FY369" i="4"/>
  <c r="DU369" i="4"/>
  <c r="EW385" i="4"/>
  <c r="EZ359" i="4"/>
  <c r="FG385" i="4"/>
  <c r="DE359" i="4"/>
  <c r="GO369" i="4"/>
  <c r="EL385" i="4"/>
  <c r="DW369" i="4"/>
  <c r="CS359" i="4"/>
  <c r="CO359" i="4"/>
  <c r="CD369" i="4"/>
  <c r="EI404" i="4"/>
  <c r="CF404" i="4"/>
  <c r="CU359" i="4"/>
  <c r="ES359" i="4"/>
  <c r="DZ369" i="4"/>
  <c r="CH391" i="4"/>
  <c r="BZ404" i="4"/>
  <c r="BZ391" i="4"/>
  <c r="BZ359" i="4"/>
  <c r="BZ369" i="4"/>
  <c r="BZ385" i="4"/>
  <c r="DG404" i="4"/>
  <c r="DG391" i="4"/>
  <c r="DG359" i="4"/>
  <c r="DG369" i="4"/>
  <c r="DG385" i="4"/>
  <c r="GB369" i="4"/>
  <c r="CZ391" i="4"/>
  <c r="FY385" i="4"/>
  <c r="DU359" i="4"/>
  <c r="EZ404" i="4"/>
  <c r="FG391" i="4"/>
  <c r="GO404" i="4"/>
  <c r="GH391" i="4"/>
  <c r="FB385" i="4"/>
  <c r="CV369" i="4"/>
  <c r="DZ359" i="4"/>
  <c r="DZ161" i="4"/>
  <c r="AR332" i="4"/>
  <c r="DZ148" i="4"/>
  <c r="DZ75" i="4"/>
  <c r="DZ339" i="4"/>
  <c r="DZ174" i="4"/>
  <c r="DZ76" i="4"/>
  <c r="DZ102" i="4"/>
  <c r="DZ233" i="4"/>
  <c r="DZ309" i="4"/>
  <c r="DZ201" i="4"/>
  <c r="DZ220" i="4"/>
  <c r="DZ195" i="4"/>
  <c r="DZ337" i="4"/>
  <c r="DZ85" i="4"/>
  <c r="DZ197" i="4"/>
  <c r="DZ284" i="4"/>
  <c r="DZ262" i="4"/>
  <c r="DZ310" i="4"/>
  <c r="CL374" i="4"/>
  <c r="CL390" i="4"/>
  <c r="CL396" i="4"/>
  <c r="CL191" i="4"/>
  <c r="CL288" i="4"/>
  <c r="CL353" i="4"/>
  <c r="CL375" i="4"/>
  <c r="CL160" i="4"/>
  <c r="CL378" i="4"/>
  <c r="CL365" i="4"/>
  <c r="CL352" i="4"/>
  <c r="CL123" i="4"/>
  <c r="CL373" i="4"/>
  <c r="CL389" i="4"/>
  <c r="CL376" i="4"/>
  <c r="CL326" i="4"/>
  <c r="CL162" i="4"/>
  <c r="CL377" i="4"/>
  <c r="CL319" i="4"/>
  <c r="CL244" i="4"/>
  <c r="CN400" i="4"/>
  <c r="FY233" i="4"/>
  <c r="AT363" i="4"/>
  <c r="CS353" i="4"/>
  <c r="CS352" i="4"/>
  <c r="CS383" i="4"/>
  <c r="CS362" i="4"/>
  <c r="CL384" i="4"/>
  <c r="CS305" i="4"/>
  <c r="CS162" i="4"/>
  <c r="DU244" i="4"/>
  <c r="FP402" i="4"/>
  <c r="DU390" i="4"/>
  <c r="EN402" i="4"/>
  <c r="GM366" i="4"/>
  <c r="GB366" i="4"/>
  <c r="EP402" i="4"/>
  <c r="CX370" i="4"/>
  <c r="DS400" i="4"/>
  <c r="CB363" i="4"/>
  <c r="DQ191" i="4"/>
  <c r="DI395" i="4"/>
  <c r="DG363" i="4"/>
  <c r="EE400" i="4"/>
  <c r="CJ366" i="4"/>
  <c r="DZ370" i="4"/>
  <c r="CD400" i="4"/>
  <c r="DC366" i="4"/>
  <c r="EK402" i="4"/>
  <c r="CH402" i="4"/>
  <c r="CL370" i="4"/>
  <c r="EB395" i="4"/>
  <c r="AJ400" i="4"/>
  <c r="R400" i="4" s="1"/>
  <c r="CL330" i="4"/>
  <c r="CF363" i="4"/>
  <c r="CD402" i="4"/>
  <c r="DW400" i="4"/>
  <c r="ES366" i="4"/>
  <c r="EG395" i="4"/>
  <c r="FM400" i="4"/>
  <c r="EW363" i="4"/>
  <c r="BX366" i="4"/>
  <c r="EI400" i="4"/>
  <c r="CH370" i="4"/>
  <c r="BZ366" i="4"/>
  <c r="BZ400" i="4"/>
  <c r="DJ363" i="4"/>
  <c r="GP363" i="4"/>
  <c r="EE363" i="4"/>
  <c r="DX395" i="4"/>
  <c r="DC395" i="4"/>
  <c r="FY370" i="4"/>
  <c r="CD395" i="4"/>
  <c r="EG370" i="4"/>
  <c r="CN402" i="4"/>
  <c r="FB370" i="4"/>
  <c r="CX402" i="4"/>
  <c r="CD370" i="4"/>
  <c r="BX402" i="4"/>
  <c r="DW370" i="4"/>
  <c r="FG402" i="4"/>
  <c r="CS370" i="4"/>
  <c r="EP363" i="4"/>
  <c r="ER366" i="4"/>
  <c r="FK366" i="4"/>
  <c r="GA366" i="4"/>
  <c r="EB363" i="4"/>
  <c r="DB400" i="4"/>
  <c r="FR395" i="4"/>
  <c r="DB366" i="4"/>
  <c r="GO400" i="4"/>
  <c r="DE366" i="4"/>
  <c r="AR363" i="4"/>
  <c r="CO366" i="4"/>
  <c r="AR395" i="4"/>
  <c r="CL366" i="4"/>
  <c r="CJ400" i="4"/>
  <c r="BX400" i="4"/>
  <c r="DI363" i="4"/>
  <c r="GO363" i="4"/>
  <c r="ED363" i="4"/>
  <c r="DW395" i="4"/>
  <c r="DB395" i="4"/>
  <c r="DS402" i="4"/>
  <c r="DX370" i="4"/>
  <c r="BX395" i="4"/>
  <c r="EG402" i="4"/>
  <c r="FK370" i="4"/>
  <c r="EI370" i="4"/>
  <c r="EL370" i="4"/>
  <c r="FB402" i="4"/>
  <c r="FN370" i="4"/>
  <c r="DQ370" i="4"/>
  <c r="FN402" i="4"/>
  <c r="CS402" i="4"/>
  <c r="DZ366" i="4"/>
  <c r="FI366" i="4"/>
  <c r="FP363" i="4"/>
  <c r="EY400" i="4"/>
  <c r="AR370" i="4"/>
  <c r="AP363" i="4"/>
  <c r="EI363" i="4"/>
  <c r="GP366" i="4"/>
  <c r="DZ363" i="4"/>
  <c r="DS363" i="4"/>
  <c r="CN366" i="4"/>
  <c r="CJ363" i="4"/>
  <c r="EP400" i="4"/>
  <c r="FY400" i="4"/>
  <c r="FN363" i="4"/>
  <c r="GI363" i="4"/>
  <c r="FN395" i="4"/>
  <c r="FU395" i="4"/>
  <c r="FG395" i="4"/>
  <c r="DU395" i="4"/>
  <c r="DP370" i="4"/>
  <c r="CV370" i="4"/>
  <c r="FK402" i="4"/>
  <c r="CH395" i="4"/>
  <c r="DE370" i="4"/>
  <c r="CB370" i="4"/>
  <c r="DW402" i="4"/>
  <c r="BZ395" i="4"/>
  <c r="CS363" i="4"/>
  <c r="CL400" i="4"/>
  <c r="DS366" i="4"/>
  <c r="AP395" i="4"/>
  <c r="FB395" i="4"/>
  <c r="CH400" i="4"/>
  <c r="DL366" i="4"/>
  <c r="GA402" i="4"/>
  <c r="GO366" i="4"/>
  <c r="EN363" i="4"/>
  <c r="FU366" i="4"/>
  <c r="FK363" i="4"/>
  <c r="EN366" i="4"/>
  <c r="EY402" i="4"/>
  <c r="FG366" i="4"/>
  <c r="DI400" i="4"/>
  <c r="GP400" i="4"/>
  <c r="FM363" i="4"/>
  <c r="GH363" i="4"/>
  <c r="FM395" i="4"/>
  <c r="FT395" i="4"/>
  <c r="CJ370" i="4"/>
  <c r="CJ402" i="4"/>
  <c r="ED402" i="4"/>
  <c r="DL402" i="4"/>
  <c r="CZ370" i="4"/>
  <c r="CU402" i="4"/>
  <c r="CU370" i="4"/>
  <c r="DP402" i="4"/>
  <c r="CB402" i="4"/>
  <c r="ES370" i="4"/>
  <c r="EL400" i="4"/>
  <c r="CD363" i="4"/>
  <c r="DS395" i="4"/>
  <c r="AJ395" i="4"/>
  <c r="R395" i="4" s="1"/>
  <c r="BZ363" i="4"/>
  <c r="CF366" i="4"/>
  <c r="GA400" i="4"/>
  <c r="FT366" i="4"/>
  <c r="CJ395" i="4"/>
  <c r="FM366" i="4"/>
  <c r="FY363" i="4"/>
  <c r="CL363" i="4"/>
  <c r="ER400" i="4"/>
  <c r="DG366" i="4"/>
  <c r="DG400" i="4"/>
  <c r="EZ363" i="4"/>
  <c r="FG363" i="4"/>
  <c r="GB395" i="4"/>
  <c r="GI395" i="4"/>
  <c r="ES395" i="4"/>
  <c r="BX370" i="4"/>
  <c r="CL402" i="4"/>
  <c r="DI402" i="4"/>
  <c r="FM402" i="4"/>
  <c r="DX402" i="4"/>
  <c r="ER402" i="4"/>
  <c r="EZ370" i="4"/>
  <c r="EB402" i="4"/>
  <c r="CF395" i="4"/>
  <c r="CX363" i="4"/>
  <c r="GH400" i="4"/>
  <c r="CX366" i="4"/>
  <c r="CS395" i="4"/>
  <c r="BX363" i="4"/>
  <c r="EB370" i="4"/>
  <c r="FT400" i="4"/>
  <c r="AJ363" i="4"/>
  <c r="R363" i="4" s="1"/>
  <c r="FB366" i="4"/>
  <c r="FN366" i="4"/>
  <c r="DZ395" i="4"/>
  <c r="CH363" i="4"/>
  <c r="EG400" i="4"/>
  <c r="ED400" i="4"/>
  <c r="EY363" i="4"/>
  <c r="GA395" i="4"/>
  <c r="GH395" i="4"/>
  <c r="ER395" i="4"/>
  <c r="EZ402" i="4"/>
  <c r="GM370" i="4"/>
  <c r="GH370" i="4"/>
  <c r="ED370" i="4"/>
  <c r="EI402" i="4"/>
  <c r="CB395" i="4"/>
  <c r="DQ402" i="4"/>
  <c r="DU370" i="4"/>
  <c r="EY370" i="4"/>
  <c r="DC370" i="4"/>
  <c r="AR400" i="4"/>
  <c r="EP395" i="4"/>
  <c r="CD366" i="4"/>
  <c r="DU363" i="4"/>
  <c r="EG366" i="4"/>
  <c r="DX400" i="4"/>
  <c r="CO400" i="4"/>
  <c r="EE366" i="4"/>
  <c r="EG363" i="4"/>
  <c r="EN395" i="4"/>
  <c r="CZ400" i="4"/>
  <c r="CV400" i="4"/>
  <c r="AD400" i="4" s="1"/>
  <c r="CO363" i="4"/>
  <c r="ES363" i="4"/>
  <c r="CV363" i="4"/>
  <c r="DQ395" i="4"/>
  <c r="EZ395" i="4"/>
  <c r="CO395" i="4"/>
  <c r="GM402" i="4"/>
  <c r="EP370" i="4"/>
  <c r="CV402" i="4"/>
  <c r="AD402" i="4" s="1"/>
  <c r="FM370" i="4"/>
  <c r="DL370" i="4"/>
  <c r="FI402" i="4"/>
  <c r="DJ370" i="4"/>
  <c r="DJ402" i="4"/>
  <c r="CF402" i="4"/>
  <c r="CF370" i="4"/>
  <c r="GP402" i="4"/>
  <c r="BZ402" i="4"/>
  <c r="DG395" i="4"/>
  <c r="CF400" i="4"/>
  <c r="FI363" i="4"/>
  <c r="CZ366" i="4"/>
  <c r="DC400" i="4"/>
  <c r="FB363" i="4"/>
  <c r="AJ366" i="4"/>
  <c r="R366" i="4" s="1"/>
  <c r="DL395" i="4"/>
  <c r="ED366" i="4"/>
  <c r="GB400" i="4"/>
  <c r="DQ400" i="4"/>
  <c r="AT384" i="4"/>
  <c r="AT402" i="4"/>
  <c r="AT366" i="4"/>
  <c r="AT370" i="4"/>
  <c r="AT400" i="4"/>
  <c r="CN363" i="4"/>
  <c r="ER363" i="4"/>
  <c r="CU363" i="4"/>
  <c r="DP395" i="4"/>
  <c r="EY395" i="4"/>
  <c r="CN395" i="4"/>
  <c r="FR370" i="4"/>
  <c r="FU402" i="4"/>
  <c r="FR402" i="4"/>
  <c r="FG370" i="4"/>
  <c r="GH402" i="4"/>
  <c r="GI402" i="4"/>
  <c r="FY402" i="4"/>
  <c r="GO402" i="4"/>
  <c r="FB400" i="4"/>
  <c r="CX395" i="4"/>
  <c r="AP366" i="4"/>
  <c r="DB402" i="4"/>
  <c r="EZ400" i="4"/>
  <c r="DU366" i="4"/>
  <c r="DL363" i="4"/>
  <c r="CH366" i="4"/>
  <c r="FT402" i="4"/>
  <c r="CB366" i="4"/>
  <c r="FI400" i="4"/>
  <c r="EW400" i="4"/>
  <c r="EN400" i="4"/>
  <c r="DU326" i="4"/>
  <c r="FU363" i="4"/>
  <c r="DX363" i="4"/>
  <c r="EL363" i="4"/>
  <c r="CV395" i="4"/>
  <c r="EE395" i="4"/>
  <c r="EL395" i="4"/>
  <c r="DS370" i="4"/>
  <c r="GA370" i="4"/>
  <c r="GI370" i="4"/>
  <c r="EE402" i="4"/>
  <c r="EE370" i="4"/>
  <c r="DG370" i="4"/>
  <c r="DB370" i="4"/>
  <c r="BZ370" i="4"/>
  <c r="FR366" i="4"/>
  <c r="AP402" i="4"/>
  <c r="CZ363" i="4"/>
  <c r="DU400" i="4"/>
  <c r="EP366" i="4"/>
  <c r="GM400" i="4"/>
  <c r="FY395" i="4"/>
  <c r="DQ366" i="4"/>
  <c r="DE363" i="4"/>
  <c r="EK366" i="4"/>
  <c r="EL366" i="4"/>
  <c r="GI366" i="4"/>
  <c r="DW366" i="4"/>
  <c r="CB400" i="4"/>
  <c r="FR400" i="4"/>
  <c r="FT363" i="4"/>
  <c r="DW363" i="4"/>
  <c r="EK363" i="4"/>
  <c r="CU395" i="4"/>
  <c r="ED395" i="4"/>
  <c r="EK395" i="4"/>
  <c r="FU370" i="4"/>
  <c r="GO370" i="4"/>
  <c r="CO370" i="4"/>
  <c r="EW402" i="4"/>
  <c r="EK370" i="4"/>
  <c r="DC402" i="4"/>
  <c r="FI370" i="4"/>
  <c r="DU402" i="4"/>
  <c r="GP370" i="4"/>
  <c r="EN370" i="4"/>
  <c r="GB370" i="4"/>
  <c r="ER370" i="4"/>
  <c r="CV366" i="4"/>
  <c r="AD366" i="4" s="1"/>
  <c r="AP370" i="4"/>
  <c r="FR363" i="4"/>
  <c r="EK400" i="4"/>
  <c r="DI366" i="4"/>
  <c r="DE400" i="4"/>
  <c r="FK395" i="4"/>
  <c r="AR366" i="4"/>
  <c r="AT395" i="4"/>
  <c r="DP366" i="4"/>
  <c r="GM363" i="4"/>
  <c r="EZ366" i="4"/>
  <c r="CS400" i="4"/>
  <c r="GH366" i="4"/>
  <c r="DX366" i="4"/>
  <c r="EI366" i="4"/>
  <c r="ES400" i="4"/>
  <c r="DZ400" i="4"/>
  <c r="DL400" i="4"/>
  <c r="DQ363" i="4"/>
  <c r="DC363" i="4"/>
  <c r="GB363" i="4"/>
  <c r="GP395" i="4"/>
  <c r="DJ395" i="4"/>
  <c r="EL402" i="4"/>
  <c r="EW370" i="4"/>
  <c r="DI370" i="4"/>
  <c r="ES402" i="4"/>
  <c r="DZ402" i="4"/>
  <c r="EW395" i="4"/>
  <c r="DJ400" i="4"/>
  <c r="CU366" i="4"/>
  <c r="EI395" i="4"/>
  <c r="GI400" i="4"/>
  <c r="DJ366" i="4"/>
  <c r="EB400" i="4"/>
  <c r="DE395" i="4"/>
  <c r="AR402" i="4"/>
  <c r="EW366" i="4"/>
  <c r="EY366" i="4"/>
  <c r="DP400" i="4"/>
  <c r="FY366" i="4"/>
  <c r="FG400" i="4"/>
  <c r="GM395" i="4"/>
  <c r="CS366" i="4"/>
  <c r="EB366" i="4"/>
  <c r="CX400" i="4"/>
  <c r="DP363" i="4"/>
  <c r="DB363" i="4"/>
  <c r="GA363" i="4"/>
  <c r="GO395" i="4"/>
  <c r="CO402" i="4"/>
  <c r="CZ402" i="4"/>
  <c r="CN370" i="4"/>
  <c r="GB402" i="4"/>
  <c r="DG402" i="4"/>
  <c r="DE402" i="4"/>
  <c r="FI395" i="4"/>
  <c r="FT370" i="4"/>
  <c r="FN400" i="4"/>
  <c r="CU400" i="4"/>
  <c r="CZ395" i="4"/>
  <c r="FU400" i="4"/>
  <c r="AP400" i="4"/>
  <c r="AR330" i="4"/>
  <c r="AP384" i="4"/>
  <c r="AR384" i="4"/>
  <c r="AP354" i="4"/>
  <c r="AT354" i="4"/>
  <c r="AR354" i="4"/>
  <c r="AP396" i="4"/>
  <c r="AR396" i="4"/>
  <c r="AP332" i="4"/>
  <c r="AT330" i="4"/>
  <c r="AT332" i="4"/>
  <c r="AT396" i="4"/>
  <c r="AP330" i="4"/>
  <c r="AJ354" i="4"/>
  <c r="R354" i="4" s="1"/>
  <c r="CS373" i="4"/>
  <c r="CN354" i="4"/>
  <c r="AJ43" i="4"/>
  <c r="R43" i="4" s="1"/>
  <c r="DS332" i="4"/>
  <c r="EW332" i="4"/>
  <c r="CS376" i="4"/>
  <c r="CS374" i="4"/>
  <c r="CS389" i="4"/>
  <c r="EE332" i="4"/>
  <c r="CH354" i="4"/>
  <c r="EP332" i="4"/>
  <c r="CJ384" i="4"/>
  <c r="CB330" i="4"/>
  <c r="DC354" i="4"/>
  <c r="CS326" i="4"/>
  <c r="EB354" i="4"/>
  <c r="CS375" i="4"/>
  <c r="CS123" i="4"/>
  <c r="EK330" i="4"/>
  <c r="DJ354" i="4"/>
  <c r="EI384" i="4"/>
  <c r="CS244" i="4"/>
  <c r="ES332" i="4"/>
  <c r="DW332" i="4"/>
  <c r="CS378" i="4"/>
  <c r="CD332" i="4"/>
  <c r="CS365" i="4"/>
  <c r="CS377" i="4"/>
  <c r="CS390" i="4"/>
  <c r="CS388" i="4"/>
  <c r="BX354" i="4"/>
  <c r="EG354" i="4"/>
  <c r="FM354" i="4"/>
  <c r="AJ115" i="4"/>
  <c r="R115" i="4" s="1"/>
  <c r="DG384" i="4"/>
  <c r="CS379" i="4"/>
  <c r="EN332" i="4"/>
  <c r="CS318" i="4"/>
  <c r="CS319" i="4"/>
  <c r="FK365" i="4"/>
  <c r="CX396" i="4"/>
  <c r="GA396" i="4"/>
  <c r="GM354" i="4"/>
  <c r="CS160" i="4"/>
  <c r="CS191" i="4"/>
  <c r="AE15" i="15"/>
  <c r="AJ307" i="4"/>
  <c r="R307" i="4" s="1"/>
  <c r="DB384" i="4"/>
  <c r="GB384" i="4"/>
  <c r="DB354" i="4"/>
  <c r="FT354" i="4"/>
  <c r="DI354" i="4"/>
  <c r="AJ250" i="4"/>
  <c r="R250" i="4" s="1"/>
  <c r="EN354" i="4"/>
  <c r="FU396" i="4"/>
  <c r="AJ265" i="4"/>
  <c r="R265" i="4" s="1"/>
  <c r="EL332" i="4"/>
  <c r="FB384" i="4"/>
  <c r="CO330" i="4"/>
  <c r="AJ141" i="4"/>
  <c r="R141" i="4" s="1"/>
  <c r="AJ352" i="4"/>
  <c r="R352" i="4" s="1"/>
  <c r="FR384" i="4"/>
  <c r="AJ293" i="4"/>
  <c r="R293" i="4" s="1"/>
  <c r="AJ204" i="4"/>
  <c r="R204" i="4" s="1"/>
  <c r="FG396" i="4"/>
  <c r="AJ264" i="4"/>
  <c r="R264" i="4" s="1"/>
  <c r="AJ367" i="4"/>
  <c r="R367" i="4" s="1"/>
  <c r="FR332" i="4"/>
  <c r="ER332" i="4"/>
  <c r="AJ53" i="4"/>
  <c r="R53" i="4" s="1"/>
  <c r="GB330" i="4"/>
  <c r="AJ190" i="4"/>
  <c r="R190" i="4" s="1"/>
  <c r="CX332" i="4"/>
  <c r="AJ130" i="4"/>
  <c r="R130" i="4" s="1"/>
  <c r="AJ353" i="4"/>
  <c r="R353" i="4" s="1"/>
  <c r="CB396" i="4"/>
  <c r="DJ330" i="4"/>
  <c r="AJ200" i="4"/>
  <c r="R200" i="4" s="1"/>
  <c r="AJ375" i="4"/>
  <c r="R375" i="4" s="1"/>
  <c r="FY332" i="4"/>
  <c r="AJ247" i="4"/>
  <c r="R247" i="4" s="1"/>
  <c r="DU396" i="4"/>
  <c r="AJ186" i="4"/>
  <c r="R186" i="4" s="1"/>
  <c r="AJ349" i="4"/>
  <c r="R349" i="4" s="1"/>
  <c r="AJ389" i="4"/>
  <c r="R389" i="4" s="1"/>
  <c r="EY396" i="4"/>
  <c r="AJ255" i="4"/>
  <c r="R255" i="4" s="1"/>
  <c r="EG384" i="4"/>
  <c r="GO396" i="4"/>
  <c r="AJ254" i="4"/>
  <c r="R254" i="4" s="1"/>
  <c r="AJ120" i="4"/>
  <c r="R120" i="4" s="1"/>
  <c r="FY354" i="4"/>
  <c r="ED332" i="4"/>
  <c r="CO384" i="4"/>
  <c r="CU384" i="4"/>
  <c r="GI354" i="4"/>
  <c r="GP354" i="4"/>
  <c r="EE354" i="4"/>
  <c r="CX354" i="4"/>
  <c r="FT332" i="4"/>
  <c r="AJ308" i="4"/>
  <c r="R308" i="4" s="1"/>
  <c r="AJ222" i="4"/>
  <c r="R222" i="4" s="1"/>
  <c r="DS384" i="4"/>
  <c r="CN330" i="4"/>
  <c r="AJ296" i="4"/>
  <c r="R296" i="4" s="1"/>
  <c r="EK332" i="4"/>
  <c r="FM330" i="4"/>
  <c r="AJ216" i="4"/>
  <c r="R216" i="4" s="1"/>
  <c r="EL330" i="4"/>
  <c r="BX384" i="4"/>
  <c r="AJ231" i="4"/>
  <c r="R231" i="4" s="1"/>
  <c r="AJ189" i="4"/>
  <c r="R189" i="4" s="1"/>
  <c r="CV330" i="4"/>
  <c r="DZ330" i="4"/>
  <c r="AJ96" i="4"/>
  <c r="R96" i="4" s="1"/>
  <c r="AJ191" i="4"/>
  <c r="R191" i="4" s="1"/>
  <c r="GA330" i="4"/>
  <c r="AJ390" i="4"/>
  <c r="R390" i="4" s="1"/>
  <c r="AJ298" i="4"/>
  <c r="R298" i="4" s="1"/>
  <c r="CF330" i="4"/>
  <c r="AJ384" i="4"/>
  <c r="R384" i="4" s="1"/>
  <c r="CB332" i="4"/>
  <c r="DI330" i="4"/>
  <c r="AJ268" i="4"/>
  <c r="R268" i="4" s="1"/>
  <c r="AJ195" i="4"/>
  <c r="R195" i="4" s="1"/>
  <c r="EG330" i="4"/>
  <c r="AJ125" i="4"/>
  <c r="R125" i="4" s="1"/>
  <c r="DU332" i="4"/>
  <c r="AJ256" i="4"/>
  <c r="R256" i="4" s="1"/>
  <c r="AJ266" i="4"/>
  <c r="R266" i="4" s="1"/>
  <c r="FR354" i="4"/>
  <c r="EY330" i="4"/>
  <c r="DL330" i="4"/>
  <c r="AJ272" i="4"/>
  <c r="R272" i="4" s="1"/>
  <c r="GP396" i="4"/>
  <c r="AJ223" i="4"/>
  <c r="R223" i="4" s="1"/>
  <c r="DG354" i="4"/>
  <c r="BZ332" i="4"/>
  <c r="BZ396" i="4"/>
  <c r="BZ330" i="4"/>
  <c r="CN384" i="4"/>
  <c r="CV384" i="4"/>
  <c r="GH354" i="4"/>
  <c r="GO354" i="4"/>
  <c r="ED354" i="4"/>
  <c r="AJ72" i="4"/>
  <c r="R72" i="4" s="1"/>
  <c r="FY384" i="4"/>
  <c r="FU332" i="4"/>
  <c r="AJ252" i="4"/>
  <c r="R252" i="4" s="1"/>
  <c r="AJ233" i="4"/>
  <c r="R233" i="4" s="1"/>
  <c r="CO396" i="4"/>
  <c r="AJ84" i="4"/>
  <c r="R84" i="4" s="1"/>
  <c r="AJ178" i="4"/>
  <c r="R178" i="4" s="1"/>
  <c r="CX384" i="4"/>
  <c r="FN396" i="4"/>
  <c r="AJ160" i="4"/>
  <c r="R160" i="4" s="1"/>
  <c r="EI330" i="4"/>
  <c r="AJ164" i="4"/>
  <c r="R164" i="4" s="1"/>
  <c r="AJ339" i="4"/>
  <c r="R339" i="4" s="1"/>
  <c r="AJ45" i="4"/>
  <c r="R45" i="4" s="1"/>
  <c r="CU330" i="4"/>
  <c r="DZ396" i="4"/>
  <c r="AJ147" i="4"/>
  <c r="R147" i="4" s="1"/>
  <c r="AJ85" i="4"/>
  <c r="R85" i="4" s="1"/>
  <c r="GB396" i="4"/>
  <c r="AJ145" i="4"/>
  <c r="R145" i="4" s="1"/>
  <c r="AJ229" i="4"/>
  <c r="R229" i="4" s="1"/>
  <c r="AJ157" i="4"/>
  <c r="R157" i="4" s="1"/>
  <c r="CF396" i="4"/>
  <c r="AJ337" i="4"/>
  <c r="R337" i="4" s="1"/>
  <c r="DJ396" i="4"/>
  <c r="AJ56" i="4"/>
  <c r="R56" i="4" s="1"/>
  <c r="EG396" i="4"/>
  <c r="DP396" i="4"/>
  <c r="AJ199" i="4"/>
  <c r="R199" i="4" s="1"/>
  <c r="AJ376" i="4"/>
  <c r="R376" i="4" s="1"/>
  <c r="EY332" i="4"/>
  <c r="DL396" i="4"/>
  <c r="AJ121" i="4"/>
  <c r="R121" i="4" s="1"/>
  <c r="FK384" i="4"/>
  <c r="GP332" i="4"/>
  <c r="AJ100" i="4"/>
  <c r="R100" i="4" s="1"/>
  <c r="AJ93" i="4"/>
  <c r="R93" i="4" s="1"/>
  <c r="CD354" i="4"/>
  <c r="ES384" i="4"/>
  <c r="FU384" i="4"/>
  <c r="FG354" i="4"/>
  <c r="EL354" i="4"/>
  <c r="GB354" i="4"/>
  <c r="FB330" i="4"/>
  <c r="AJ280" i="4"/>
  <c r="R280" i="4" s="1"/>
  <c r="AJ269" i="4"/>
  <c r="R269" i="4" s="1"/>
  <c r="DX330" i="4"/>
  <c r="CN396" i="4"/>
  <c r="AJ134" i="4"/>
  <c r="R134" i="4" s="1"/>
  <c r="AJ110" i="4"/>
  <c r="R110" i="4" s="1"/>
  <c r="BX396" i="4"/>
  <c r="FM396" i="4"/>
  <c r="AJ302" i="4"/>
  <c r="R302" i="4" s="1"/>
  <c r="AJ248" i="4"/>
  <c r="R248" i="4" s="1"/>
  <c r="EI396" i="4"/>
  <c r="FG332" i="4"/>
  <c r="AJ101" i="4"/>
  <c r="R101" i="4" s="1"/>
  <c r="CV396" i="4"/>
  <c r="AD396" i="4" s="1"/>
  <c r="DZ332" i="4"/>
  <c r="AJ351" i="4"/>
  <c r="R351" i="4" s="1"/>
  <c r="GB332" i="4"/>
  <c r="AJ159" i="4"/>
  <c r="R159" i="4" s="1"/>
  <c r="AJ287" i="4"/>
  <c r="R287" i="4" s="1"/>
  <c r="AJ322" i="4"/>
  <c r="R322" i="4" s="1"/>
  <c r="CF332" i="4"/>
  <c r="AJ153" i="4"/>
  <c r="R153" i="4" s="1"/>
  <c r="CJ330" i="4"/>
  <c r="DI396" i="4"/>
  <c r="AJ76" i="4"/>
  <c r="R76" i="4" s="1"/>
  <c r="AJ226" i="4"/>
  <c r="R226" i="4" s="1"/>
  <c r="EG332" i="4"/>
  <c r="AJ300" i="4"/>
  <c r="R300" i="4" s="1"/>
  <c r="AJ177" i="4"/>
  <c r="R177" i="4" s="1"/>
  <c r="CB354" i="4"/>
  <c r="DQ330" i="4"/>
  <c r="AJ170" i="4"/>
  <c r="R170" i="4" s="1"/>
  <c r="AJ105" i="4"/>
  <c r="R105" i="4" s="1"/>
  <c r="DL354" i="4"/>
  <c r="EZ332" i="4"/>
  <c r="DL332" i="4"/>
  <c r="AJ299" i="4"/>
  <c r="R299" i="4" s="1"/>
  <c r="AJ285" i="4"/>
  <c r="R285" i="4" s="1"/>
  <c r="GM384" i="4"/>
  <c r="GO332" i="4"/>
  <c r="AJ356" i="4"/>
  <c r="R356" i="4" s="1"/>
  <c r="CB384" i="4"/>
  <c r="AA17" i="15"/>
  <c r="AG17" i="15" s="1"/>
  <c r="ER384" i="4"/>
  <c r="FT384" i="4"/>
  <c r="FG384" i="4"/>
  <c r="EK354" i="4"/>
  <c r="GA354" i="4"/>
  <c r="AJ201" i="4"/>
  <c r="R201" i="4" s="1"/>
  <c r="EB384" i="4"/>
  <c r="FB396" i="4"/>
  <c r="AJ238" i="4"/>
  <c r="R238" i="4" s="1"/>
  <c r="AJ205" i="4"/>
  <c r="R205" i="4" s="1"/>
  <c r="DW330" i="4"/>
  <c r="CO332" i="4"/>
  <c r="AJ20" i="4"/>
  <c r="R20" i="4" s="1"/>
  <c r="AJ148" i="4"/>
  <c r="R148" i="4" s="1"/>
  <c r="BX330" i="4"/>
  <c r="FN330" i="4"/>
  <c r="AJ342" i="4"/>
  <c r="R342" i="4" s="1"/>
  <c r="EI332" i="4"/>
  <c r="AJ220" i="4"/>
  <c r="R220" i="4" s="1"/>
  <c r="EN384" i="4"/>
  <c r="CU396" i="4"/>
  <c r="AJ340" i="4"/>
  <c r="R340" i="4" s="1"/>
  <c r="EI354" i="4"/>
  <c r="GA332" i="4"/>
  <c r="AJ158" i="4"/>
  <c r="R158" i="4" s="1"/>
  <c r="AJ357" i="4"/>
  <c r="R357" i="4" s="1"/>
  <c r="AJ175" i="4"/>
  <c r="R175" i="4" s="1"/>
  <c r="CJ396" i="4"/>
  <c r="DI332" i="4"/>
  <c r="AJ365" i="4"/>
  <c r="R365" i="4" s="1"/>
  <c r="FI354" i="4"/>
  <c r="AJ168" i="4"/>
  <c r="R168" i="4" s="1"/>
  <c r="AJ315" i="4"/>
  <c r="R315" i="4" s="1"/>
  <c r="DP330" i="4"/>
  <c r="AJ143" i="4"/>
  <c r="R143" i="4" s="1"/>
  <c r="AJ331" i="4"/>
  <c r="R331" i="4" s="1"/>
  <c r="FB354" i="4"/>
  <c r="DC330" i="4"/>
  <c r="CD330" i="4"/>
  <c r="AJ171" i="4"/>
  <c r="R171" i="4" s="1"/>
  <c r="GM330" i="4"/>
  <c r="EN330" i="4"/>
  <c r="AJ329" i="4"/>
  <c r="R329" i="4" s="1"/>
  <c r="AJ257" i="4"/>
  <c r="R257" i="4" s="1"/>
  <c r="DL384" i="4"/>
  <c r="GI330" i="4"/>
  <c r="EZ384" i="4"/>
  <c r="DX384" i="4"/>
  <c r="DJ384" i="4"/>
  <c r="ES354" i="4"/>
  <c r="EZ354" i="4"/>
  <c r="DQ354" i="4"/>
  <c r="AJ219" i="4"/>
  <c r="R219" i="4" s="1"/>
  <c r="CF384" i="4"/>
  <c r="FB332" i="4"/>
  <c r="AJ317" i="4"/>
  <c r="R317" i="4" s="1"/>
  <c r="AJ117" i="4"/>
  <c r="R117" i="4" s="1"/>
  <c r="DX396" i="4"/>
  <c r="CN332" i="4"/>
  <c r="AJ313" i="4"/>
  <c r="R313" i="4" s="1"/>
  <c r="BX332" i="4"/>
  <c r="FM332" i="4"/>
  <c r="AJ176" i="4"/>
  <c r="R176" i="4" s="1"/>
  <c r="AJ344" i="4"/>
  <c r="R344" i="4" s="1"/>
  <c r="EB330" i="4"/>
  <c r="CH396" i="4"/>
  <c r="AJ49" i="4"/>
  <c r="R49" i="4" s="1"/>
  <c r="AJ262" i="4"/>
  <c r="R262" i="4" s="1"/>
  <c r="EW384" i="4"/>
  <c r="CV332" i="4"/>
  <c r="AD332" i="4" s="1"/>
  <c r="AJ138" i="4"/>
  <c r="R138" i="4" s="1"/>
  <c r="AJ242" i="4"/>
  <c r="R242" i="4" s="1"/>
  <c r="CZ354" i="4"/>
  <c r="FI330" i="4"/>
  <c r="AJ122" i="4"/>
  <c r="R122" i="4" s="1"/>
  <c r="AJ276" i="4"/>
  <c r="R276" i="4" s="1"/>
  <c r="AJ336" i="4"/>
  <c r="R336" i="4" s="1"/>
  <c r="AJ279" i="4"/>
  <c r="R279" i="4" s="1"/>
  <c r="CJ332" i="4"/>
  <c r="DJ332" i="4"/>
  <c r="AJ263" i="4"/>
  <c r="R263" i="4" s="1"/>
  <c r="CF354" i="4"/>
  <c r="CZ330" i="4"/>
  <c r="AJ40" i="4"/>
  <c r="R40" i="4" s="1"/>
  <c r="AJ379" i="4"/>
  <c r="R379" i="4" s="1"/>
  <c r="DQ396" i="4"/>
  <c r="AJ79" i="4"/>
  <c r="R79" i="4" s="1"/>
  <c r="DB330" i="4"/>
  <c r="AJ306" i="4"/>
  <c r="R306" i="4" s="1"/>
  <c r="CD396" i="4"/>
  <c r="GM396" i="4"/>
  <c r="EN396" i="4"/>
  <c r="AJ61" i="4"/>
  <c r="R61" i="4" s="1"/>
  <c r="AJ209" i="4"/>
  <c r="R209" i="4" s="1"/>
  <c r="CD384" i="4"/>
  <c r="GH330" i="4"/>
  <c r="EY384" i="4"/>
  <c r="DW384" i="4"/>
  <c r="DI384" i="4"/>
  <c r="ER354" i="4"/>
  <c r="EY354" i="4"/>
  <c r="DP354" i="4"/>
  <c r="AJ119" i="4"/>
  <c r="R119" i="4" s="1"/>
  <c r="AJ274" i="4"/>
  <c r="R274" i="4" s="1"/>
  <c r="AJ236" i="4"/>
  <c r="R236" i="4" s="1"/>
  <c r="AJ162" i="4"/>
  <c r="R162" i="4" s="1"/>
  <c r="DW396" i="4"/>
  <c r="AJ182" i="4"/>
  <c r="R182" i="4" s="1"/>
  <c r="AJ97" i="4"/>
  <c r="R97" i="4" s="1"/>
  <c r="AJ309" i="4"/>
  <c r="R309" i="4" s="1"/>
  <c r="FN332" i="4"/>
  <c r="AJ260" i="4"/>
  <c r="R260" i="4" s="1"/>
  <c r="AJ267" i="4"/>
  <c r="R267" i="4" s="1"/>
  <c r="EB396" i="4"/>
  <c r="CH330" i="4"/>
  <c r="AJ215" i="4"/>
  <c r="R215" i="4" s="1"/>
  <c r="EK396" i="4"/>
  <c r="CS384" i="4"/>
  <c r="CU332" i="4"/>
  <c r="AJ188" i="4"/>
  <c r="R188" i="4" s="1"/>
  <c r="BZ354" i="4"/>
  <c r="FI396" i="4"/>
  <c r="AJ161" i="4"/>
  <c r="R161" i="4" s="1"/>
  <c r="AJ374" i="4"/>
  <c r="R374" i="4" s="1"/>
  <c r="AJ261" i="4"/>
  <c r="R261" i="4" s="1"/>
  <c r="AJ343" i="4"/>
  <c r="R343" i="4" s="1"/>
  <c r="DZ354" i="4"/>
  <c r="AJ78" i="4"/>
  <c r="R78" i="4" s="1"/>
  <c r="AJ355" i="4"/>
  <c r="R355" i="4" s="1"/>
  <c r="CZ396" i="4"/>
  <c r="AJ314" i="4"/>
  <c r="R314" i="4" s="1"/>
  <c r="AJ135" i="4"/>
  <c r="R135" i="4" s="1"/>
  <c r="FI384" i="4"/>
  <c r="DQ332" i="4"/>
  <c r="AJ98" i="4"/>
  <c r="R98" i="4" s="1"/>
  <c r="AJ350" i="4"/>
  <c r="R350" i="4" s="1"/>
  <c r="DC396" i="4"/>
  <c r="AJ150" i="4"/>
  <c r="R150" i="4" s="1"/>
  <c r="AJ249" i="4"/>
  <c r="R249" i="4" s="1"/>
  <c r="GM332" i="4"/>
  <c r="AJ361" i="4"/>
  <c r="R361" i="4" s="1"/>
  <c r="AJ113" i="4"/>
  <c r="R113" i="4" s="1"/>
  <c r="GI396" i="4"/>
  <c r="EK384" i="4"/>
  <c r="GI384" i="4"/>
  <c r="FN384" i="4"/>
  <c r="DX354" i="4"/>
  <c r="FN354" i="4"/>
  <c r="AJ179" i="4"/>
  <c r="R179" i="4" s="1"/>
  <c r="AJ83" i="4"/>
  <c r="R83" i="4" s="1"/>
  <c r="AJ305" i="4"/>
  <c r="R305" i="4" s="1"/>
  <c r="AJ50" i="4"/>
  <c r="R50" i="4" s="1"/>
  <c r="DX332" i="4"/>
  <c r="AJ383" i="4"/>
  <c r="R383" i="4" s="1"/>
  <c r="FK330" i="4"/>
  <c r="AJ174" i="4"/>
  <c r="R174" i="4" s="1"/>
  <c r="AJ246" i="4"/>
  <c r="R246" i="4" s="1"/>
  <c r="AJ275" i="4"/>
  <c r="R275" i="4" s="1"/>
  <c r="EB332" i="4"/>
  <c r="CH332" i="4"/>
  <c r="AJ288" i="4"/>
  <c r="R288" i="4" s="1"/>
  <c r="ER396" i="4"/>
  <c r="AJ193" i="4"/>
  <c r="R193" i="4" s="1"/>
  <c r="EP384" i="4"/>
  <c r="FI332" i="4"/>
  <c r="AJ197" i="4"/>
  <c r="R197" i="4" s="1"/>
  <c r="AJ378" i="4"/>
  <c r="R378" i="4" s="1"/>
  <c r="AJ137" i="4"/>
  <c r="R137" i="4" s="1"/>
  <c r="AJ146" i="4"/>
  <c r="R146" i="4" s="1"/>
  <c r="AJ131" i="4"/>
  <c r="R131" i="4" s="1"/>
  <c r="AJ241" i="4"/>
  <c r="R241" i="4" s="1"/>
  <c r="CZ384" i="4"/>
  <c r="CZ332" i="4"/>
  <c r="AJ362" i="4"/>
  <c r="R362" i="4" s="1"/>
  <c r="DP332" i="4"/>
  <c r="AJ52" i="4"/>
  <c r="R52" i="4" s="1"/>
  <c r="DB396" i="4"/>
  <c r="AJ106" i="4"/>
  <c r="R106" i="4" s="1"/>
  <c r="AJ142" i="4"/>
  <c r="R142" i="4" s="1"/>
  <c r="DE330" i="4"/>
  <c r="AJ213" i="4"/>
  <c r="R213" i="4" s="1"/>
  <c r="EE330" i="4"/>
  <c r="GH396" i="4"/>
  <c r="Z17" i="15"/>
  <c r="AF17" i="15" s="1"/>
  <c r="AJ126" i="4"/>
  <c r="R126" i="4" s="1"/>
  <c r="DG332" i="4"/>
  <c r="DG396" i="4"/>
  <c r="DG330" i="4"/>
  <c r="EL384" i="4"/>
  <c r="GH384" i="4"/>
  <c r="FM384" i="4"/>
  <c r="DW354" i="4"/>
  <c r="AJ139" i="4"/>
  <c r="R139" i="4" s="1"/>
  <c r="AJ347" i="4"/>
  <c r="R347" i="4" s="1"/>
  <c r="AJ284" i="4"/>
  <c r="R284" i="4" s="1"/>
  <c r="CJ354" i="4"/>
  <c r="AJ286" i="4"/>
  <c r="R286" i="4" s="1"/>
  <c r="AJ107" i="4"/>
  <c r="R107" i="4" s="1"/>
  <c r="AJ381" i="4"/>
  <c r="R381" i="4" s="1"/>
  <c r="FK396" i="4"/>
  <c r="AJ210" i="4"/>
  <c r="R210" i="4" s="1"/>
  <c r="AJ221" i="4"/>
  <c r="R221" i="4" s="1"/>
  <c r="DE354" i="4"/>
  <c r="AJ128" i="4"/>
  <c r="R128" i="4" s="1"/>
  <c r="AJ324" i="4"/>
  <c r="R324" i="4" s="1"/>
  <c r="ER330" i="4"/>
  <c r="AJ183" i="4"/>
  <c r="R183" i="4" s="1"/>
  <c r="AJ258" i="4"/>
  <c r="R258" i="4" s="1"/>
  <c r="CH384" i="4"/>
  <c r="DS330" i="4"/>
  <c r="AJ74" i="4"/>
  <c r="R74" i="4" s="1"/>
  <c r="AJ325" i="4"/>
  <c r="R325" i="4" s="1"/>
  <c r="AJ318" i="4"/>
  <c r="R318" i="4" s="1"/>
  <c r="DU384" i="4"/>
  <c r="AJ151" i="4"/>
  <c r="R151" i="4" s="1"/>
  <c r="AJ377" i="4"/>
  <c r="R377" i="4" s="1"/>
  <c r="AJ140" i="4"/>
  <c r="R140" i="4" s="1"/>
  <c r="AJ196" i="4"/>
  <c r="R196" i="4" s="1"/>
  <c r="EW330" i="4"/>
  <c r="AJ203" i="4"/>
  <c r="R203" i="4" s="1"/>
  <c r="AJ118" i="4"/>
  <c r="R118" i="4" s="1"/>
  <c r="AJ240" i="4"/>
  <c r="R240" i="4" s="1"/>
  <c r="DC332" i="4"/>
  <c r="AJ259" i="4"/>
  <c r="R259" i="4" s="1"/>
  <c r="AJ323" i="4"/>
  <c r="R323" i="4" s="1"/>
  <c r="DE396" i="4"/>
  <c r="AJ228" i="4"/>
  <c r="R228" i="4" s="1"/>
  <c r="AJ292" i="4"/>
  <c r="R292" i="4" s="1"/>
  <c r="AJ243" i="4"/>
  <c r="R243" i="4" s="1"/>
  <c r="ED330" i="4"/>
  <c r="GI332" i="4"/>
  <c r="GP384" i="4"/>
  <c r="DP384" i="4"/>
  <c r="EE384" i="4"/>
  <c r="CO354" i="4"/>
  <c r="CV354" i="4"/>
  <c r="AJ129" i="4"/>
  <c r="R129" i="4" s="1"/>
  <c r="AJ166" i="4"/>
  <c r="R166" i="4" s="1"/>
  <c r="FU330" i="4"/>
  <c r="AJ295" i="4"/>
  <c r="R295" i="4" s="1"/>
  <c r="AJ109" i="4"/>
  <c r="R109" i="4" s="1"/>
  <c r="EW354" i="4"/>
  <c r="CS396" i="4"/>
  <c r="AJ237" i="4"/>
  <c r="R237" i="4" s="1"/>
  <c r="AJ202" i="4"/>
  <c r="R202" i="4" s="1"/>
  <c r="FK332" i="4"/>
  <c r="AJ291" i="4"/>
  <c r="R291" i="4" s="1"/>
  <c r="AJ165" i="4"/>
  <c r="R165" i="4" s="1"/>
  <c r="AJ301" i="4"/>
  <c r="R301" i="4" s="1"/>
  <c r="AJ103" i="4"/>
  <c r="R103" i="4" s="1"/>
  <c r="ES330" i="4"/>
  <c r="AJ225" i="4"/>
  <c r="R225" i="4" s="1"/>
  <c r="EL396" i="4"/>
  <c r="DU354" i="4"/>
  <c r="DS396" i="4"/>
  <c r="AJ310" i="4"/>
  <c r="R310" i="4" s="1"/>
  <c r="AJ328" i="4"/>
  <c r="R328" i="4" s="1"/>
  <c r="BZ384" i="4"/>
  <c r="EP330" i="4"/>
  <c r="AJ173" i="4"/>
  <c r="R173" i="4" s="1"/>
  <c r="AJ270" i="4"/>
  <c r="R270" i="4" s="1"/>
  <c r="DE384" i="4"/>
  <c r="AJ99" i="4"/>
  <c r="R99" i="4" s="1"/>
  <c r="AJ244" i="4"/>
  <c r="R244" i="4" s="1"/>
  <c r="EW396" i="4"/>
  <c r="AJ38" i="4"/>
  <c r="R38" i="4" s="1"/>
  <c r="AJ388" i="4"/>
  <c r="R388" i="4" s="1"/>
  <c r="DB332" i="4"/>
  <c r="AJ185" i="4"/>
  <c r="R185" i="4" s="1"/>
  <c r="AJ271" i="4"/>
  <c r="R271" i="4" s="1"/>
  <c r="AJ77" i="4"/>
  <c r="R77" i="4" s="1"/>
  <c r="DE332" i="4"/>
  <c r="AJ273" i="4"/>
  <c r="R273" i="4" s="1"/>
  <c r="AJ304" i="4"/>
  <c r="R304" i="4" s="1"/>
  <c r="AJ232" i="4"/>
  <c r="R232" i="4" s="1"/>
  <c r="EE396" i="4"/>
  <c r="GH332" i="4"/>
  <c r="Y17" i="15"/>
  <c r="AE17" i="15" s="1"/>
  <c r="GO384" i="4"/>
  <c r="DQ384" i="4"/>
  <c r="ED384" i="4"/>
  <c r="AJ144" i="4"/>
  <c r="R144" i="4" s="1"/>
  <c r="EP354" i="4"/>
  <c r="FT330" i="4"/>
  <c r="AJ211" i="4"/>
  <c r="R211" i="4" s="1"/>
  <c r="AJ227" i="4"/>
  <c r="R227" i="4" s="1"/>
  <c r="CS330" i="4"/>
  <c r="AJ94" i="4"/>
  <c r="R94" i="4" s="1"/>
  <c r="AJ111" i="4"/>
  <c r="R111" i="4" s="1"/>
  <c r="AJ149" i="4"/>
  <c r="R149" i="4" s="1"/>
  <c r="AJ70" i="4"/>
  <c r="R70" i="4" s="1"/>
  <c r="DS354" i="4"/>
  <c r="AJ132" i="4"/>
  <c r="R132" i="4" s="1"/>
  <c r="FR330" i="4"/>
  <c r="ES396" i="4"/>
  <c r="AJ69" i="4"/>
  <c r="R69" i="4" s="1"/>
  <c r="AJ253" i="4"/>
  <c r="R253" i="4" s="1"/>
  <c r="AJ330" i="4"/>
  <c r="R330" i="4" s="1"/>
  <c r="CX330" i="4"/>
  <c r="AJ54" i="4"/>
  <c r="R54" i="4" s="1"/>
  <c r="AJ86" i="4"/>
  <c r="R86" i="4" s="1"/>
  <c r="DZ384" i="4"/>
  <c r="EP396" i="4"/>
  <c r="AJ289" i="4"/>
  <c r="R289" i="4" s="1"/>
  <c r="FY330" i="4"/>
  <c r="AJ59" i="4"/>
  <c r="R59" i="4" s="1"/>
  <c r="AJ25" i="4"/>
  <c r="R25" i="4" s="1"/>
  <c r="AJ198" i="4"/>
  <c r="R198" i="4" s="1"/>
  <c r="AJ224" i="4"/>
  <c r="R224" i="4" s="1"/>
  <c r="EZ330" i="4"/>
  <c r="AJ184" i="4"/>
  <c r="R184" i="4" s="1"/>
  <c r="AJ82" i="4"/>
  <c r="R82" i="4" s="1"/>
  <c r="FK354" i="4"/>
  <c r="GO330" i="4"/>
  <c r="AJ95" i="4"/>
  <c r="R95" i="4" s="1"/>
  <c r="AJ251" i="4"/>
  <c r="R251" i="4" s="1"/>
  <c r="ED396" i="4"/>
  <c r="AJ73" i="4"/>
  <c r="R73" i="4" s="1"/>
  <c r="DC384" i="4"/>
  <c r="GA384" i="4"/>
  <c r="FU354" i="4"/>
  <c r="AJ133" i="4"/>
  <c r="R133" i="4" s="1"/>
  <c r="FT396" i="4"/>
  <c r="AJ167" i="4"/>
  <c r="R167" i="4" s="1"/>
  <c r="AJ104" i="4"/>
  <c r="R104" i="4" s="1"/>
  <c r="CS332" i="4"/>
  <c r="AJ194" i="4"/>
  <c r="R194" i="4" s="1"/>
  <c r="AJ192" i="4"/>
  <c r="R192" i="4" s="1"/>
  <c r="AJ75" i="4"/>
  <c r="R75" i="4" s="1"/>
  <c r="FG330" i="4"/>
  <c r="AJ187" i="4"/>
  <c r="R187" i="4" s="1"/>
  <c r="AJ294" i="4"/>
  <c r="R294" i="4" s="1"/>
  <c r="AJ102" i="4"/>
  <c r="R102" i="4" s="1"/>
  <c r="FR396" i="4"/>
  <c r="AJ321" i="4"/>
  <c r="R321" i="4" s="1"/>
  <c r="AJ123" i="4"/>
  <c r="R123" i="4" s="1"/>
  <c r="AJ303" i="4"/>
  <c r="R303" i="4" s="1"/>
  <c r="AJ172" i="4"/>
  <c r="R172" i="4" s="1"/>
  <c r="AJ373" i="4"/>
  <c r="R373" i="4" s="1"/>
  <c r="AJ319" i="4"/>
  <c r="R319" i="4" s="1"/>
  <c r="FY396" i="4"/>
  <c r="AJ136" i="4"/>
  <c r="R136" i="4" s="1"/>
  <c r="AJ64" i="4"/>
  <c r="R64" i="4" s="1"/>
  <c r="AJ154" i="4"/>
  <c r="R154" i="4" s="1"/>
  <c r="AJ127" i="4"/>
  <c r="R127" i="4" s="1"/>
  <c r="AJ108" i="4"/>
  <c r="R108" i="4" s="1"/>
  <c r="EZ396" i="4"/>
  <c r="AJ212" i="4"/>
  <c r="R212" i="4" s="1"/>
  <c r="AJ60" i="4"/>
  <c r="R60" i="4" s="1"/>
  <c r="GP330" i="4"/>
  <c r="AJ44" i="4"/>
  <c r="R44" i="4" s="1"/>
  <c r="CS354" i="4"/>
  <c r="D504" i="11"/>
  <c r="D503" i="11"/>
  <c r="D500" i="11"/>
  <c r="D501" i="11"/>
  <c r="CN288" i="4"/>
  <c r="FR155" i="4"/>
  <c r="CH81" i="4"/>
  <c r="CH126" i="4"/>
  <c r="FY131" i="4"/>
  <c r="FY143" i="4"/>
  <c r="FY198" i="4"/>
  <c r="AT379" i="4"/>
  <c r="FY86" i="4"/>
  <c r="FT230" i="4"/>
  <c r="FY361" i="4"/>
  <c r="FY83" i="4"/>
  <c r="FY264" i="4"/>
  <c r="FT208" i="4"/>
  <c r="FY153" i="4"/>
  <c r="FY207" i="4"/>
  <c r="FY82" i="4"/>
  <c r="FY150" i="4"/>
  <c r="GB207" i="4"/>
  <c r="FT251" i="4"/>
  <c r="GM389" i="4"/>
  <c r="EP326" i="4"/>
  <c r="CJ365" i="4"/>
  <c r="BX379" i="4"/>
  <c r="DC326" i="4"/>
  <c r="EK390" i="4"/>
  <c r="DJ388" i="4"/>
  <c r="EI390" i="4"/>
  <c r="DW365" i="4"/>
  <c r="CD379" i="4"/>
  <c r="EG365" i="4"/>
  <c r="FM244" i="4"/>
  <c r="EN365" i="4"/>
  <c r="CX388" i="4"/>
  <c r="GA326" i="4"/>
  <c r="CB389" i="4"/>
  <c r="DS388" i="4"/>
  <c r="ED379" i="4"/>
  <c r="CH288" i="4"/>
  <c r="EZ388" i="4"/>
  <c r="GB388" i="4"/>
  <c r="DX365" i="4"/>
  <c r="FG365" i="4"/>
  <c r="GB365" i="4"/>
  <c r="EL389" i="4"/>
  <c r="CN389" i="4"/>
  <c r="EY389" i="4"/>
  <c r="EY244" i="4"/>
  <c r="ER244" i="4"/>
  <c r="EI379" i="4"/>
  <c r="GI390" i="4"/>
  <c r="DS389" i="4"/>
  <c r="CO390" i="4"/>
  <c r="EG379" i="4"/>
  <c r="FB389" i="4"/>
  <c r="EE379" i="4"/>
  <c r="CF379" i="4"/>
  <c r="FB379" i="4"/>
  <c r="EK379" i="4"/>
  <c r="DC379" i="4"/>
  <c r="EW389" i="4"/>
  <c r="GB379" i="4"/>
  <c r="BX326" i="4"/>
  <c r="CO326" i="4"/>
  <c r="GM365" i="4"/>
  <c r="EI244" i="4"/>
  <c r="AR379" i="4"/>
  <c r="EP365" i="4"/>
  <c r="FG326" i="4"/>
  <c r="AP389" i="4"/>
  <c r="CZ365" i="4"/>
  <c r="DZ388" i="4"/>
  <c r="DW288" i="4"/>
  <c r="DE365" i="4"/>
  <c r="FI388" i="4"/>
  <c r="CF288" i="4"/>
  <c r="CX288" i="4"/>
  <c r="DG288" i="4"/>
  <c r="DQ388" i="4"/>
  <c r="EK388" i="4"/>
  <c r="GO365" i="4"/>
  <c r="FT365" i="4"/>
  <c r="GH365" i="4"/>
  <c r="DP389" i="4"/>
  <c r="EE389" i="4"/>
  <c r="DJ389" i="4"/>
  <c r="GI244" i="4"/>
  <c r="GP244" i="4"/>
  <c r="GH390" i="4"/>
  <c r="CN379" i="4"/>
  <c r="GO390" i="4"/>
  <c r="DL389" i="4"/>
  <c r="EB390" i="4"/>
  <c r="FK390" i="4"/>
  <c r="FR244" i="4"/>
  <c r="CH389" i="4"/>
  <c r="FG379" i="4"/>
  <c r="EL379" i="4"/>
  <c r="CV390" i="4"/>
  <c r="AD390" i="4" s="1"/>
  <c r="DG244" i="4"/>
  <c r="DZ390" i="4"/>
  <c r="DE326" i="4"/>
  <c r="EZ326" i="4"/>
  <c r="CJ326" i="4"/>
  <c r="CH326" i="4"/>
  <c r="EI326" i="4"/>
  <c r="CH365" i="4"/>
  <c r="AR288" i="4"/>
  <c r="CD365" i="4"/>
  <c r="CJ388" i="4"/>
  <c r="AP379" i="4"/>
  <c r="CB388" i="4"/>
  <c r="CF365" i="4"/>
  <c r="FB388" i="4"/>
  <c r="DQ288" i="4"/>
  <c r="CX365" i="4"/>
  <c r="DZ365" i="4"/>
  <c r="EI388" i="4"/>
  <c r="FY288" i="4"/>
  <c r="GA288" i="4"/>
  <c r="DP388" i="4"/>
  <c r="EL388" i="4"/>
  <c r="GP365" i="4"/>
  <c r="FU365" i="4"/>
  <c r="GI365" i="4"/>
  <c r="DQ389" i="4"/>
  <c r="ED389" i="4"/>
  <c r="DI389" i="4"/>
  <c r="GH244" i="4"/>
  <c r="GO244" i="4"/>
  <c r="CX389" i="4"/>
  <c r="GH379" i="4"/>
  <c r="CO379" i="4"/>
  <c r="GP390" i="4"/>
  <c r="EB379" i="4"/>
  <c r="FK379" i="4"/>
  <c r="FY389" i="4"/>
  <c r="CU390" i="4"/>
  <c r="CJ390" i="4"/>
  <c r="DZ379" i="4"/>
  <c r="BX365" i="4"/>
  <c r="AP288" i="4"/>
  <c r="BX388" i="4"/>
  <c r="EN388" i="4"/>
  <c r="AR365" i="4"/>
  <c r="CH388" i="4"/>
  <c r="EW365" i="4"/>
  <c r="DL388" i="4"/>
  <c r="DG365" i="4"/>
  <c r="AR390" i="4"/>
  <c r="EG388" i="4"/>
  <c r="FK288" i="4"/>
  <c r="FI288" i="4"/>
  <c r="DP288" i="4"/>
  <c r="BZ288" i="4"/>
  <c r="ES388" i="4"/>
  <c r="GO388" i="4"/>
  <c r="FT388" i="4"/>
  <c r="EY365" i="4"/>
  <c r="CN365" i="4"/>
  <c r="ER365" i="4"/>
  <c r="GH389" i="4"/>
  <c r="FM389" i="4"/>
  <c r="CU244" i="4"/>
  <c r="DJ244" i="4"/>
  <c r="CF389" i="4"/>
  <c r="GI379" i="4"/>
  <c r="FB244" i="4"/>
  <c r="GO379" i="4"/>
  <c r="EP389" i="4"/>
  <c r="DX390" i="4"/>
  <c r="DS244" i="4"/>
  <c r="EY390" i="4"/>
  <c r="EW244" i="4"/>
  <c r="GM244" i="4"/>
  <c r="CU379" i="4"/>
  <c r="CJ379" i="4"/>
  <c r="DS326" i="4"/>
  <c r="ER326" i="4"/>
  <c r="EI365" i="4"/>
  <c r="EB244" i="4"/>
  <c r="DP326" i="4"/>
  <c r="EY326" i="4"/>
  <c r="GH288" i="4"/>
  <c r="BZ365" i="4"/>
  <c r="DG388" i="4"/>
  <c r="DS365" i="4"/>
  <c r="AT389" i="4"/>
  <c r="ED326" i="4"/>
  <c r="FN288" i="4"/>
  <c r="DS288" i="4"/>
  <c r="EW288" i="4"/>
  <c r="ER388" i="4"/>
  <c r="GP388" i="4"/>
  <c r="FU388" i="4"/>
  <c r="EZ365" i="4"/>
  <c r="CO365" i="4"/>
  <c r="ES365" i="4"/>
  <c r="GI389" i="4"/>
  <c r="FN389" i="4"/>
  <c r="CV244" i="4"/>
  <c r="DI244" i="4"/>
  <c r="FG244" i="4"/>
  <c r="CZ244" i="4"/>
  <c r="GP379" i="4"/>
  <c r="CB244" i="4"/>
  <c r="DW390" i="4"/>
  <c r="EG389" i="4"/>
  <c r="EZ390" i="4"/>
  <c r="DL390" i="4"/>
  <c r="EP244" i="4"/>
  <c r="CV379" i="4"/>
  <c r="AD379" i="4" s="1"/>
  <c r="DQ390" i="4"/>
  <c r="CD244" i="4"/>
  <c r="FI326" i="4"/>
  <c r="CZ326" i="4"/>
  <c r="DE389" i="4"/>
  <c r="DW326" i="4"/>
  <c r="DQ326" i="4"/>
  <c r="DJ326" i="4"/>
  <c r="CD326" i="4"/>
  <c r="ES326" i="4"/>
  <c r="GM388" i="4"/>
  <c r="AP365" i="4"/>
  <c r="FG288" i="4"/>
  <c r="DL365" i="4"/>
  <c r="FR365" i="4"/>
  <c r="CD288" i="4"/>
  <c r="BX288" i="4"/>
  <c r="AP326" i="4"/>
  <c r="DC388" i="4"/>
  <c r="CU388" i="4"/>
  <c r="CO388" i="4"/>
  <c r="DP365" i="4"/>
  <c r="DI365" i="4"/>
  <c r="FM365" i="4"/>
  <c r="FU389" i="4"/>
  <c r="CU389" i="4"/>
  <c r="FU244" i="4"/>
  <c r="DC244" i="4"/>
  <c r="DX244" i="4"/>
  <c r="BX244" i="4"/>
  <c r="EN390" i="4"/>
  <c r="BZ244" i="4"/>
  <c r="DJ390" i="4"/>
  <c r="FY244" i="4"/>
  <c r="DW379" i="4"/>
  <c r="BX389" i="4"/>
  <c r="EY379" i="4"/>
  <c r="DL379" i="4"/>
  <c r="DG389" i="4"/>
  <c r="BX390" i="4"/>
  <c r="DP390" i="4"/>
  <c r="FI390" i="4"/>
  <c r="EN326" i="4"/>
  <c r="FR389" i="4"/>
  <c r="EK326" i="4"/>
  <c r="DI326" i="4"/>
  <c r="EE326" i="4"/>
  <c r="CX326" i="4"/>
  <c r="GI326" i="4"/>
  <c r="DE388" i="4"/>
  <c r="FM288" i="4"/>
  <c r="BZ388" i="4"/>
  <c r="EW388" i="4"/>
  <c r="DI288" i="4"/>
  <c r="AT244" i="4"/>
  <c r="EE288" i="4"/>
  <c r="EI288" i="4"/>
  <c r="CJ288" i="4"/>
  <c r="EZ288" i="4"/>
  <c r="DB388" i="4"/>
  <c r="CV388" i="4"/>
  <c r="AD388" i="4" s="1"/>
  <c r="CN388" i="4"/>
  <c r="DQ365" i="4"/>
  <c r="DJ365" i="4"/>
  <c r="FN365" i="4"/>
  <c r="FT389" i="4"/>
  <c r="CV389" i="4"/>
  <c r="AD389" i="4" s="1"/>
  <c r="FT244" i="4"/>
  <c r="DB244" i="4"/>
  <c r="DW244" i="4"/>
  <c r="DE244" i="4"/>
  <c r="CB390" i="4"/>
  <c r="EN379" i="4"/>
  <c r="BZ389" i="4"/>
  <c r="DI390" i="4"/>
  <c r="CF244" i="4"/>
  <c r="DX379" i="4"/>
  <c r="FI389" i="4"/>
  <c r="EZ379" i="4"/>
  <c r="ES390" i="4"/>
  <c r="FN390" i="4"/>
  <c r="EG244" i="4"/>
  <c r="FY390" i="4"/>
  <c r="DQ379" i="4"/>
  <c r="FI379" i="4"/>
  <c r="EB326" i="4"/>
  <c r="EB389" i="4"/>
  <c r="GP326" i="4"/>
  <c r="FK326" i="4"/>
  <c r="FM326" i="4"/>
  <c r="FR388" i="4"/>
  <c r="FB365" i="4"/>
  <c r="CO288" i="4"/>
  <c r="FB326" i="4"/>
  <c r="GI288" i="4"/>
  <c r="EB288" i="4"/>
  <c r="EP288" i="4"/>
  <c r="DC288" i="4"/>
  <c r="FM388" i="4"/>
  <c r="ED388" i="4"/>
  <c r="EK365" i="4"/>
  <c r="CV365" i="4"/>
  <c r="AD365" i="4" s="1"/>
  <c r="DW389" i="4"/>
  <c r="ER389" i="4"/>
  <c r="DP244" i="4"/>
  <c r="EE244" i="4"/>
  <c r="EK244" i="4"/>
  <c r="CH244" i="4"/>
  <c r="CB379" i="4"/>
  <c r="FT390" i="4"/>
  <c r="DI379" i="4"/>
  <c r="CH390" i="4"/>
  <c r="DZ244" i="4"/>
  <c r="EN244" i="4"/>
  <c r="ER390" i="4"/>
  <c r="FM390" i="4"/>
  <c r="FK244" i="4"/>
  <c r="FY379" i="4"/>
  <c r="DS390" i="4"/>
  <c r="FK389" i="4"/>
  <c r="DP379" i="4"/>
  <c r="DE390" i="4"/>
  <c r="FR326" i="4"/>
  <c r="DZ326" i="4"/>
  <c r="CF326" i="4"/>
  <c r="CV326" i="4"/>
  <c r="AD326" i="4" s="1"/>
  <c r="GH326" i="4"/>
  <c r="FY365" i="4"/>
  <c r="EY288" i="4"/>
  <c r="EB365" i="4"/>
  <c r="AP388" i="4"/>
  <c r="EK288" i="4"/>
  <c r="ED288" i="4"/>
  <c r="AP390" i="4"/>
  <c r="FT288" i="4"/>
  <c r="FU326" i="4"/>
  <c r="ER288" i="4"/>
  <c r="FU288" i="4"/>
  <c r="DJ288" i="4"/>
  <c r="DL288" i="4"/>
  <c r="FG388" i="4"/>
  <c r="FN388" i="4"/>
  <c r="EE388" i="4"/>
  <c r="EL365" i="4"/>
  <c r="CU365" i="4"/>
  <c r="FG389" i="4"/>
  <c r="DX389" i="4"/>
  <c r="ES389" i="4"/>
  <c r="DQ244" i="4"/>
  <c r="ED244" i="4"/>
  <c r="EL244" i="4"/>
  <c r="EW390" i="4"/>
  <c r="FU390" i="4"/>
  <c r="DJ379" i="4"/>
  <c r="CH379" i="4"/>
  <c r="CJ244" i="4"/>
  <c r="ER379" i="4"/>
  <c r="FM379" i="4"/>
  <c r="FI244" i="4"/>
  <c r="BZ390" i="4"/>
  <c r="DS379" i="4"/>
  <c r="CJ389" i="4"/>
  <c r="EP390" i="4"/>
  <c r="DE379" i="4"/>
  <c r="BZ326" i="4"/>
  <c r="CB326" i="4"/>
  <c r="DB326" i="4"/>
  <c r="GB326" i="4"/>
  <c r="DB288" i="4"/>
  <c r="CD388" i="4"/>
  <c r="EB388" i="4"/>
  <c r="EL288" i="4"/>
  <c r="CF388" i="4"/>
  <c r="AR389" i="4"/>
  <c r="CU288" i="4"/>
  <c r="FB288" i="4"/>
  <c r="FR288" i="4"/>
  <c r="CB288" i="4"/>
  <c r="AT376" i="4"/>
  <c r="AT390" i="4"/>
  <c r="AT326" i="4"/>
  <c r="AT288" i="4"/>
  <c r="GH388" i="4"/>
  <c r="DW388" i="4"/>
  <c r="DI388" i="4"/>
  <c r="EE365" i="4"/>
  <c r="DB365" i="4"/>
  <c r="GA389" i="4"/>
  <c r="GP389" i="4"/>
  <c r="DB389" i="4"/>
  <c r="CO244" i="4"/>
  <c r="FN244" i="4"/>
  <c r="GA244" i="4"/>
  <c r="EW379" i="4"/>
  <c r="FT379" i="4"/>
  <c r="DG390" i="4"/>
  <c r="ED390" i="4"/>
  <c r="CD390" i="4"/>
  <c r="CX390" i="4"/>
  <c r="EN389" i="4"/>
  <c r="ES379" i="4"/>
  <c r="FN379" i="4"/>
  <c r="DZ389" i="4"/>
  <c r="BZ379" i="4"/>
  <c r="DC390" i="4"/>
  <c r="CD389" i="4"/>
  <c r="EP379" i="4"/>
  <c r="GB390" i="4"/>
  <c r="EW326" i="4"/>
  <c r="EI389" i="4"/>
  <c r="FT326" i="4"/>
  <c r="FN326" i="4"/>
  <c r="CB365" i="4"/>
  <c r="GB288" i="4"/>
  <c r="DX326" i="4"/>
  <c r="EN288" i="4"/>
  <c r="CV288" i="4"/>
  <c r="AD288" i="4" s="1"/>
  <c r="GM288" i="4"/>
  <c r="GI388" i="4"/>
  <c r="DX388" i="4"/>
  <c r="ED365" i="4"/>
  <c r="DC365" i="4"/>
  <c r="GB389" i="4"/>
  <c r="GO389" i="4"/>
  <c r="DC389" i="4"/>
  <c r="CN244" i="4"/>
  <c r="GB244" i="4"/>
  <c r="CZ390" i="4"/>
  <c r="FU379" i="4"/>
  <c r="DL244" i="4"/>
  <c r="DG379" i="4"/>
  <c r="EE390" i="4"/>
  <c r="CX379" i="4"/>
  <c r="FR390" i="4"/>
  <c r="GM390" i="4"/>
  <c r="FG390" i="4"/>
  <c r="EL390" i="4"/>
  <c r="DB390" i="4"/>
  <c r="CZ389" i="4"/>
  <c r="GA390" i="4"/>
  <c r="FY326" i="4"/>
  <c r="EG326" i="4"/>
  <c r="DL326" i="4"/>
  <c r="GM326" i="4"/>
  <c r="AR244" i="4"/>
  <c r="CZ388" i="4"/>
  <c r="DG326" i="4"/>
  <c r="AT388" i="4"/>
  <c r="EP388" i="4"/>
  <c r="FK388" i="4"/>
  <c r="EL326" i="4"/>
  <c r="CU326" i="4"/>
  <c r="DX288" i="4"/>
  <c r="ES288" i="4"/>
  <c r="EG288" i="4"/>
  <c r="DE288" i="4"/>
  <c r="EY388" i="4"/>
  <c r="GA388" i="4"/>
  <c r="GA365" i="4"/>
  <c r="EK389" i="4"/>
  <c r="CO389" i="4"/>
  <c r="EZ389" i="4"/>
  <c r="EZ244" i="4"/>
  <c r="ES244" i="4"/>
  <c r="CZ379" i="4"/>
  <c r="CN390" i="4"/>
  <c r="EG390" i="4"/>
  <c r="CF390" i="4"/>
  <c r="FB390" i="4"/>
  <c r="FR379" i="4"/>
  <c r="GM379" i="4"/>
  <c r="DB379" i="4"/>
  <c r="CX244" i="4"/>
  <c r="GA379" i="4"/>
  <c r="GO326" i="4"/>
  <c r="FI365" i="4"/>
  <c r="AT365" i="4"/>
  <c r="AR326" i="4"/>
  <c r="AR388" i="4"/>
  <c r="AP244" i="4"/>
  <c r="FY388" i="4"/>
  <c r="GO288" i="4"/>
  <c r="CN326" i="4"/>
  <c r="DZ288" i="4"/>
  <c r="CZ288" i="4"/>
  <c r="GP288" i="4"/>
  <c r="EN319" i="4"/>
  <c r="BZ319" i="4"/>
  <c r="DW383" i="4"/>
  <c r="AR373" i="4"/>
  <c r="AP376" i="4"/>
  <c r="AT377" i="4"/>
  <c r="AT318" i="4"/>
  <c r="AT319" i="4"/>
  <c r="AR191" i="4"/>
  <c r="EG375" i="4"/>
  <c r="AR375" i="4"/>
  <c r="AP375" i="4"/>
  <c r="AP123" i="4"/>
  <c r="AP318" i="4"/>
  <c r="CX376" i="4"/>
  <c r="GM383" i="4"/>
  <c r="AR319" i="4"/>
  <c r="AR383" i="4"/>
  <c r="AR376" i="4"/>
  <c r="CB319" i="4"/>
  <c r="DS376" i="4"/>
  <c r="EW319" i="4"/>
  <c r="AP378" i="4"/>
  <c r="AP377" i="4"/>
  <c r="DG191" i="4"/>
  <c r="ED191" i="4"/>
  <c r="AP383" i="4"/>
  <c r="AP191" i="4"/>
  <c r="AP374" i="4"/>
  <c r="AR123" i="4"/>
  <c r="AR374" i="4"/>
  <c r="EP319" i="4"/>
  <c r="CJ383" i="4"/>
  <c r="AR378" i="4"/>
  <c r="AP373" i="4"/>
  <c r="AT375" i="4"/>
  <c r="AR377" i="4"/>
  <c r="BX318" i="4"/>
  <c r="AP319" i="4"/>
  <c r="AT374" i="4"/>
  <c r="AT123" i="4"/>
  <c r="AT191" i="4"/>
  <c r="AT373" i="4"/>
  <c r="AT378" i="4"/>
  <c r="AT383" i="4"/>
  <c r="EB374" i="4"/>
  <c r="AR318" i="4"/>
  <c r="EL123" i="4"/>
  <c r="DI383" i="4"/>
  <c r="EK375" i="4"/>
  <c r="DJ375" i="4"/>
  <c r="DX376" i="4"/>
  <c r="GB376" i="4"/>
  <c r="FG376" i="4"/>
  <c r="CN377" i="4"/>
  <c r="EL377" i="4"/>
  <c r="FG377" i="4"/>
  <c r="DQ318" i="4"/>
  <c r="GB318" i="4"/>
  <c r="CN319" i="4"/>
  <c r="DI319" i="4"/>
  <c r="FM319" i="4"/>
  <c r="EN383" i="4"/>
  <c r="EB373" i="4"/>
  <c r="EG123" i="4"/>
  <c r="FB191" i="4"/>
  <c r="DS378" i="4"/>
  <c r="EZ383" i="4"/>
  <c r="CJ319" i="4"/>
  <c r="EW123" i="4"/>
  <c r="DP123" i="4"/>
  <c r="FB377" i="4"/>
  <c r="DG378" i="4"/>
  <c r="FU123" i="4"/>
  <c r="EG377" i="4"/>
  <c r="FB373" i="4"/>
  <c r="FN123" i="4"/>
  <c r="EI378" i="4"/>
  <c r="ER191" i="4"/>
  <c r="DL377" i="4"/>
  <c r="DX378" i="4"/>
  <c r="DJ383" i="4"/>
  <c r="BX373" i="4"/>
  <c r="GB378" i="4"/>
  <c r="DG318" i="4"/>
  <c r="FB383" i="4"/>
  <c r="ES378" i="4"/>
  <c r="DB123" i="4"/>
  <c r="CV383" i="4"/>
  <c r="DC123" i="4"/>
  <c r="EP374" i="4"/>
  <c r="CF318" i="4"/>
  <c r="CH374" i="4"/>
  <c r="DL374" i="4"/>
  <c r="DG374" i="4"/>
  <c r="GH374" i="4"/>
  <c r="AP160" i="4"/>
  <c r="DG376" i="4"/>
  <c r="CB374" i="4"/>
  <c r="CF374" i="4"/>
  <c r="FM374" i="4"/>
  <c r="CX377" i="4"/>
  <c r="ED375" i="4"/>
  <c r="GB375" i="4"/>
  <c r="FG375" i="4"/>
  <c r="ER376" i="4"/>
  <c r="CU376" i="4"/>
  <c r="EZ376" i="4"/>
  <c r="DP377" i="4"/>
  <c r="FM377" i="4"/>
  <c r="EY318" i="4"/>
  <c r="FM318" i="4"/>
  <c r="CU318" i="4"/>
  <c r="GP319" i="4"/>
  <c r="GH319" i="4"/>
  <c r="GA319" i="4"/>
  <c r="CX383" i="4"/>
  <c r="GO378" i="4"/>
  <c r="DG123" i="4"/>
  <c r="BZ191" i="4"/>
  <c r="CZ123" i="4"/>
  <c r="FT191" i="4"/>
  <c r="DG383" i="4"/>
  <c r="DJ378" i="4"/>
  <c r="DX123" i="4"/>
  <c r="EN377" i="4"/>
  <c r="FR373" i="4"/>
  <c r="DI123" i="4"/>
  <c r="BZ377" i="4"/>
  <c r="EG373" i="4"/>
  <c r="CV123" i="4"/>
  <c r="CZ378" i="4"/>
  <c r="ED373" i="4"/>
  <c r="GA378" i="4"/>
  <c r="EI318" i="4"/>
  <c r="EI376" i="4"/>
  <c r="DZ123" i="4"/>
  <c r="FN378" i="4"/>
  <c r="FY191" i="4"/>
  <c r="CV191" i="4"/>
  <c r="AD191" i="4" s="1"/>
  <c r="CD375" i="4"/>
  <c r="FR374" i="4"/>
  <c r="CJ318" i="4"/>
  <c r="EB375" i="4"/>
  <c r="FY375" i="4"/>
  <c r="AT160" i="4"/>
  <c r="DE376" i="4"/>
  <c r="DE377" i="4"/>
  <c r="FG374" i="4"/>
  <c r="EE375" i="4"/>
  <c r="GA375" i="4"/>
  <c r="ES376" i="4"/>
  <c r="CV376" i="4"/>
  <c r="AD376" i="4" s="1"/>
  <c r="EY376" i="4"/>
  <c r="DQ377" i="4"/>
  <c r="FN377" i="4"/>
  <c r="EZ318" i="4"/>
  <c r="FN318" i="4"/>
  <c r="CV318" i="4"/>
  <c r="GO319" i="4"/>
  <c r="GI319" i="4"/>
  <c r="GB319" i="4"/>
  <c r="FB378" i="4"/>
  <c r="FG123" i="4"/>
  <c r="FR377" i="4"/>
  <c r="BX191" i="4"/>
  <c r="EB377" i="4"/>
  <c r="BZ373" i="4"/>
  <c r="EZ123" i="4"/>
  <c r="DS377" i="4"/>
  <c r="CO378" i="4"/>
  <c r="GO191" i="4"/>
  <c r="CZ375" i="4"/>
  <c r="BZ378" i="4"/>
  <c r="CZ383" i="4"/>
  <c r="FN191" i="4"/>
  <c r="EI377" i="4"/>
  <c r="DG373" i="4"/>
  <c r="DZ191" i="4"/>
  <c r="FT123" i="4"/>
  <c r="EW373" i="4"/>
  <c r="DZ378" i="4"/>
  <c r="EE123" i="4"/>
  <c r="EW377" i="4"/>
  <c r="CH375" i="4"/>
  <c r="DX373" i="4"/>
  <c r="EK378" i="4"/>
  <c r="CD376" i="4"/>
  <c r="GM191" i="4"/>
  <c r="CD191" i="4"/>
  <c r="ED378" i="4"/>
  <c r="GI191" i="4"/>
  <c r="CV374" i="4"/>
  <c r="AD374" i="4" s="1"/>
  <c r="EK123" i="4"/>
  <c r="DZ375" i="4"/>
  <c r="DJ374" i="4"/>
  <c r="CB318" i="4"/>
  <c r="EL191" i="4"/>
  <c r="DG375" i="4"/>
  <c r="ER383" i="4"/>
  <c r="EN374" i="4"/>
  <c r="FY374" i="4"/>
  <c r="GO375" i="4"/>
  <c r="DB375" i="4"/>
  <c r="EY375" i="4"/>
  <c r="FM376" i="4"/>
  <c r="DP376" i="4"/>
  <c r="DC376" i="4"/>
  <c r="GA377" i="4"/>
  <c r="GO377" i="4"/>
  <c r="ES318" i="4"/>
  <c r="DI318" i="4"/>
  <c r="FT318" i="4"/>
  <c r="DW319" i="4"/>
  <c r="CV319" i="4"/>
  <c r="FI378" i="4"/>
  <c r="GA191" i="4"/>
  <c r="CB378" i="4"/>
  <c r="DS123" i="4"/>
  <c r="GO123" i="4"/>
  <c r="CJ377" i="4"/>
  <c r="DS373" i="4"/>
  <c r="CO123" i="4"/>
  <c r="FY377" i="4"/>
  <c r="EG378" i="4"/>
  <c r="DB191" i="4"/>
  <c r="EW318" i="4"/>
  <c r="CX123" i="4"/>
  <c r="DJ191" i="4"/>
  <c r="EB383" i="4"/>
  <c r="DW123" i="4"/>
  <c r="FK377" i="4"/>
  <c r="CD383" i="4"/>
  <c r="DP191" i="4"/>
  <c r="DE375" i="4"/>
  <c r="CH318" i="4"/>
  <c r="DC383" i="4"/>
  <c r="GO373" i="4"/>
  <c r="CD373" i="4"/>
  <c r="CF378" i="4"/>
  <c r="DE373" i="4"/>
  <c r="EP123" i="4"/>
  <c r="GH123" i="4"/>
  <c r="DS319" i="4"/>
  <c r="CB375" i="4"/>
  <c r="EE191" i="4"/>
  <c r="CU374" i="4"/>
  <c r="GB374" i="4"/>
  <c r="AP352" i="4"/>
  <c r="CX319" i="4"/>
  <c r="FI375" i="4"/>
  <c r="DI374" i="4"/>
  <c r="EZ378" i="4"/>
  <c r="EK374" i="4"/>
  <c r="EL374" i="4"/>
  <c r="AT305" i="4"/>
  <c r="CX375" i="4"/>
  <c r="EW375" i="4"/>
  <c r="ER373" i="4"/>
  <c r="GP375" i="4"/>
  <c r="DC375" i="4"/>
  <c r="EZ375" i="4"/>
  <c r="FN376" i="4"/>
  <c r="DQ376" i="4"/>
  <c r="DB376" i="4"/>
  <c r="GB377" i="4"/>
  <c r="GP377" i="4"/>
  <c r="ER318" i="4"/>
  <c r="DJ318" i="4"/>
  <c r="FU318" i="4"/>
  <c r="FG319" i="4"/>
  <c r="DX319" i="4"/>
  <c r="CU319" i="4"/>
  <c r="EI383" i="4"/>
  <c r="EL373" i="4"/>
  <c r="DS375" i="4"/>
  <c r="FT378" i="4"/>
  <c r="EY378" i="4"/>
  <c r="GB191" i="4"/>
  <c r="EP375" i="4"/>
  <c r="CB373" i="4"/>
  <c r="GP378" i="4"/>
  <c r="DQ123" i="4"/>
  <c r="BX376" i="4"/>
  <c r="CV378" i="4"/>
  <c r="AD378" i="4" s="1"/>
  <c r="GM376" i="4"/>
  <c r="EB191" i="4"/>
  <c r="CX191" i="4"/>
  <c r="DE123" i="4"/>
  <c r="FM191" i="4"/>
  <c r="FI123" i="4"/>
  <c r="ES191" i="4"/>
  <c r="FK375" i="4"/>
  <c r="CX318" i="4"/>
  <c r="DW378" i="4"/>
  <c r="GI383" i="4"/>
  <c r="EW376" i="4"/>
  <c r="DL123" i="4"/>
  <c r="GI123" i="4"/>
  <c r="ER378" i="4"/>
  <c r="GA123" i="4"/>
  <c r="FY319" i="4"/>
  <c r="EE378" i="4"/>
  <c r="EP378" i="4"/>
  <c r="DE191" i="4"/>
  <c r="ES373" i="4"/>
  <c r="ES374" i="4"/>
  <c r="GA374" i="4"/>
  <c r="ED383" i="4"/>
  <c r="FU383" i="4"/>
  <c r="BX375" i="4"/>
  <c r="EG374" i="4"/>
  <c r="AP362" i="4"/>
  <c r="CJ191" i="4"/>
  <c r="BZ374" i="4"/>
  <c r="BZ383" i="4"/>
  <c r="DW375" i="4"/>
  <c r="FT375" i="4"/>
  <c r="FM375" i="4"/>
  <c r="FT376" i="4"/>
  <c r="EK376" i="4"/>
  <c r="DW377" i="4"/>
  <c r="CU377" i="4"/>
  <c r="EY377" i="4"/>
  <c r="DC318" i="4"/>
  <c r="CO318" i="4"/>
  <c r="EY319" i="4"/>
  <c r="DB319" i="4"/>
  <c r="CO373" i="4"/>
  <c r="EP376" i="4"/>
  <c r="EK191" i="4"/>
  <c r="FR375" i="4"/>
  <c r="FY373" i="4"/>
  <c r="BX378" i="4"/>
  <c r="FU191" i="4"/>
  <c r="DZ376" i="4"/>
  <c r="EK383" i="4"/>
  <c r="EY373" i="4"/>
  <c r="FY376" i="4"/>
  <c r="CU378" i="4"/>
  <c r="CH191" i="4"/>
  <c r="FM373" i="4"/>
  <c r="DL376" i="4"/>
  <c r="CX378" i="4"/>
  <c r="DI191" i="4"/>
  <c r="DL375" i="4"/>
  <c r="EI191" i="4"/>
  <c r="EE373" i="4"/>
  <c r="FB318" i="4"/>
  <c r="FB123" i="4"/>
  <c r="DL318" i="4"/>
  <c r="EN378" i="4"/>
  <c r="GB123" i="4"/>
  <c r="FM378" i="4"/>
  <c r="ES123" i="4"/>
  <c r="FI377" i="4"/>
  <c r="BX377" i="4"/>
  <c r="CN383" i="4"/>
  <c r="CB383" i="4"/>
  <c r="EE383" i="4"/>
  <c r="FU373" i="4"/>
  <c r="ER374" i="4"/>
  <c r="FI374" i="4"/>
  <c r="FI319" i="4"/>
  <c r="CO191" i="4"/>
  <c r="CZ374" i="4"/>
  <c r="GM374" i="4"/>
  <c r="AR162" i="4"/>
  <c r="DX374" i="4"/>
  <c r="FR376" i="4"/>
  <c r="DX375" i="4"/>
  <c r="FU375" i="4"/>
  <c r="FN375" i="4"/>
  <c r="FU376" i="4"/>
  <c r="EL376" i="4"/>
  <c r="DX377" i="4"/>
  <c r="CV377" i="4"/>
  <c r="AD377" i="4" s="1"/>
  <c r="EZ377" i="4"/>
  <c r="FG318" i="4"/>
  <c r="DB318" i="4"/>
  <c r="CN318" i="4"/>
  <c r="EZ319" i="4"/>
  <c r="DC319" i="4"/>
  <c r="CX373" i="4"/>
  <c r="CJ378" i="4"/>
  <c r="GB373" i="4"/>
  <c r="FB376" i="4"/>
  <c r="EP383" i="4"/>
  <c r="CN191" i="4"/>
  <c r="EG376" i="4"/>
  <c r="CB123" i="4"/>
  <c r="GP191" i="4"/>
  <c r="DL191" i="4"/>
  <c r="EY383" i="4"/>
  <c r="EN318" i="4"/>
  <c r="CJ375" i="4"/>
  <c r="EI123" i="4"/>
  <c r="DC373" i="4"/>
  <c r="CJ376" i="4"/>
  <c r="EB378" i="4"/>
  <c r="CH378" i="4"/>
  <c r="FG191" i="4"/>
  <c r="CD318" i="4"/>
  <c r="CF383" i="4"/>
  <c r="CZ191" i="4"/>
  <c r="DW373" i="4"/>
  <c r="EP318" i="4"/>
  <c r="BZ123" i="4"/>
  <c r="FR318" i="4"/>
  <c r="ER123" i="4"/>
  <c r="DW191" i="4"/>
  <c r="DZ377" i="4"/>
  <c r="FB319" i="4"/>
  <c r="CU191" i="4"/>
  <c r="GP383" i="4"/>
  <c r="DQ373" i="4"/>
  <c r="DZ374" i="4"/>
  <c r="DQ374" i="4"/>
  <c r="CD378" i="4"/>
  <c r="EZ374" i="4"/>
  <c r="GP123" i="4"/>
  <c r="FY378" i="4"/>
  <c r="FU374" i="4"/>
  <c r="DW374" i="4"/>
  <c r="DQ383" i="4"/>
  <c r="CD374" i="4"/>
  <c r="GH375" i="4"/>
  <c r="CV375" i="4"/>
  <c r="AD375" i="4" s="1"/>
  <c r="ER375" i="4"/>
  <c r="CO376" i="4"/>
  <c r="DJ376" i="4"/>
  <c r="DI377" i="4"/>
  <c r="GH377" i="4"/>
  <c r="ER377" i="4"/>
  <c r="GO318" i="4"/>
  <c r="GI318" i="4"/>
  <c r="EK318" i="4"/>
  <c r="ES319" i="4"/>
  <c r="DP319" i="4"/>
  <c r="CH376" i="4"/>
  <c r="FG378" i="4"/>
  <c r="EK373" i="4"/>
  <c r="EN376" i="4"/>
  <c r="FU378" i="4"/>
  <c r="DC191" i="4"/>
  <c r="CU383" i="4"/>
  <c r="EB319" i="4"/>
  <c r="BX319" i="4"/>
  <c r="DL378" i="4"/>
  <c r="FG383" i="4"/>
  <c r="FK318" i="4"/>
  <c r="BX383" i="4"/>
  <c r="EN123" i="4"/>
  <c r="FN373" i="4"/>
  <c r="CH377" i="4"/>
  <c r="CJ123" i="4"/>
  <c r="FR123" i="4"/>
  <c r="GP373" i="4"/>
  <c r="FI376" i="4"/>
  <c r="DZ373" i="4"/>
  <c r="CF191" i="4"/>
  <c r="EI319" i="4"/>
  <c r="FK383" i="4"/>
  <c r="DE383" i="4"/>
  <c r="DX191" i="4"/>
  <c r="EY191" i="4"/>
  <c r="EB376" i="4"/>
  <c r="FT373" i="4"/>
  <c r="CO383" i="4"/>
  <c r="DL319" i="4"/>
  <c r="DS374" i="4"/>
  <c r="AR353" i="4"/>
  <c r="DP374" i="4"/>
  <c r="BX374" i="4"/>
  <c r="EY374" i="4"/>
  <c r="DE374" i="4"/>
  <c r="DI378" i="4"/>
  <c r="FT374" i="4"/>
  <c r="AP353" i="4"/>
  <c r="GI375" i="4"/>
  <c r="CU375" i="4"/>
  <c r="ES375" i="4"/>
  <c r="CN376" i="4"/>
  <c r="DI376" i="4"/>
  <c r="DJ377" i="4"/>
  <c r="GI377" i="4"/>
  <c r="ES377" i="4"/>
  <c r="GP318" i="4"/>
  <c r="GH318" i="4"/>
  <c r="EL318" i="4"/>
  <c r="ER319" i="4"/>
  <c r="DQ319" i="4"/>
  <c r="CH123" i="4"/>
  <c r="GM378" i="4"/>
  <c r="EG318" i="4"/>
  <c r="FK191" i="4"/>
  <c r="DP383" i="4"/>
  <c r="CN373" i="4"/>
  <c r="CD377" i="4"/>
  <c r="EG191" i="4"/>
  <c r="CN378" i="4"/>
  <c r="FG373" i="4"/>
  <c r="FI373" i="4"/>
  <c r="EG319" i="4"/>
  <c r="GB383" i="4"/>
  <c r="BZ318" i="4"/>
  <c r="FM383" i="4"/>
  <c r="DB373" i="4"/>
  <c r="CB376" i="4"/>
  <c r="DQ378" i="4"/>
  <c r="DB383" i="4"/>
  <c r="GM123" i="4"/>
  <c r="FM123" i="4"/>
  <c r="FK123" i="4"/>
  <c r="EZ191" i="4"/>
  <c r="EP191" i="4"/>
  <c r="DC378" i="4"/>
  <c r="CU373" i="4"/>
  <c r="EN375" i="4"/>
  <c r="CF373" i="4"/>
  <c r="CD123" i="4"/>
  <c r="AR352" i="4"/>
  <c r="GM375" i="4"/>
  <c r="GM377" i="4"/>
  <c r="CJ374" i="4"/>
  <c r="AP162" i="4"/>
  <c r="DC374" i="4"/>
  <c r="AR362" i="4"/>
  <c r="GO374" i="4"/>
  <c r="EE374" i="4"/>
  <c r="FN383" i="4"/>
  <c r="CF376" i="4"/>
  <c r="DQ375" i="4"/>
  <c r="CN375" i="4"/>
  <c r="GH376" i="4"/>
  <c r="GO376" i="4"/>
  <c r="ED376" i="4"/>
  <c r="DB377" i="4"/>
  <c r="FT377" i="4"/>
  <c r="ED377" i="4"/>
  <c r="DW318" i="4"/>
  <c r="ED318" i="4"/>
  <c r="FT319" i="4"/>
  <c r="ED319" i="4"/>
  <c r="EL319" i="4"/>
  <c r="CJ373" i="4"/>
  <c r="DS383" i="4"/>
  <c r="DZ318" i="4"/>
  <c r="EB123" i="4"/>
  <c r="DS191" i="4"/>
  <c r="ES383" i="4"/>
  <c r="GA373" i="4"/>
  <c r="CF377" i="4"/>
  <c r="BX123" i="4"/>
  <c r="EZ373" i="4"/>
  <c r="CH373" i="4"/>
  <c r="FR191" i="4"/>
  <c r="DZ319" i="4"/>
  <c r="EI373" i="4"/>
  <c r="FI383" i="4"/>
  <c r="DE318" i="4"/>
  <c r="CB377" i="4"/>
  <c r="DP378" i="4"/>
  <c r="CD319" i="4"/>
  <c r="EW378" i="4"/>
  <c r="GH383" i="4"/>
  <c r="DS318" i="4"/>
  <c r="EN191" i="4"/>
  <c r="CU123" i="4"/>
  <c r="DE319" i="4"/>
  <c r="DB378" i="4"/>
  <c r="CV373" i="4"/>
  <c r="AD373" i="4" s="1"/>
  <c r="GI373" i="4"/>
  <c r="CH319" i="4"/>
  <c r="EP373" i="4"/>
  <c r="GH378" i="4"/>
  <c r="EI375" i="4"/>
  <c r="CF123" i="4"/>
  <c r="DP373" i="4"/>
  <c r="EW374" i="4"/>
  <c r="AR160" i="4"/>
  <c r="DB374" i="4"/>
  <c r="GP374" i="4"/>
  <c r="ED374" i="4"/>
  <c r="AR305" i="4"/>
  <c r="FB374" i="4"/>
  <c r="CO374" i="4"/>
  <c r="FK374" i="4"/>
  <c r="DE378" i="4"/>
  <c r="DP375" i="4"/>
  <c r="CO375" i="4"/>
  <c r="GI376" i="4"/>
  <c r="GP376" i="4"/>
  <c r="EE376" i="4"/>
  <c r="DC377" i="4"/>
  <c r="FU377" i="4"/>
  <c r="EE377" i="4"/>
  <c r="DX318" i="4"/>
  <c r="EE318" i="4"/>
  <c r="FU319" i="4"/>
  <c r="EE319" i="4"/>
  <c r="EK319" i="4"/>
  <c r="CB191" i="4"/>
  <c r="CZ319" i="4"/>
  <c r="CH383" i="4"/>
  <c r="FT383" i="4"/>
  <c r="BZ375" i="4"/>
  <c r="FR383" i="4"/>
  <c r="EY123" i="4"/>
  <c r="EP377" i="4"/>
  <c r="EN373" i="4"/>
  <c r="FR378" i="4"/>
  <c r="GM319" i="4"/>
  <c r="EW191" i="4"/>
  <c r="GA383" i="4"/>
  <c r="GM318" i="4"/>
  <c r="FY318" i="4"/>
  <c r="CF319" i="4"/>
  <c r="ED123" i="4"/>
  <c r="DG377" i="4"/>
  <c r="EW383" i="4"/>
  <c r="GH373" i="4"/>
  <c r="DX383" i="4"/>
  <c r="DI373" i="4"/>
  <c r="FI191" i="4"/>
  <c r="EG383" i="4"/>
  <c r="EL378" i="4"/>
  <c r="FR319" i="4"/>
  <c r="FK376" i="4"/>
  <c r="GH191" i="4"/>
  <c r="CX374" i="4"/>
  <c r="FY383" i="4"/>
  <c r="AP305" i="4"/>
  <c r="CN374" i="4"/>
  <c r="DG319" i="4"/>
  <c r="EI374" i="4"/>
  <c r="GO383" i="4"/>
  <c r="AT162" i="4"/>
  <c r="AT353" i="4"/>
  <c r="AT352" i="4"/>
  <c r="EL375" i="4"/>
  <c r="DI375" i="4"/>
  <c r="DW376" i="4"/>
  <c r="GA376" i="4"/>
  <c r="CO377" i="4"/>
  <c r="EK377" i="4"/>
  <c r="DP318" i="4"/>
  <c r="GA318" i="4"/>
  <c r="CO319" i="4"/>
  <c r="DJ319" i="4"/>
  <c r="FN319" i="4"/>
  <c r="FK319" i="4"/>
  <c r="CZ373" i="4"/>
  <c r="FI318" i="4"/>
  <c r="FK378" i="4"/>
  <c r="EL383" i="4"/>
  <c r="FB375" i="4"/>
  <c r="CN123" i="4"/>
  <c r="DL383" i="4"/>
  <c r="DJ123" i="4"/>
  <c r="GM373" i="4"/>
  <c r="EB318" i="4"/>
  <c r="FK373" i="4"/>
  <c r="GI378" i="4"/>
  <c r="BZ376" i="4"/>
  <c r="FY123" i="4"/>
  <c r="DZ383" i="4"/>
  <c r="DJ373" i="4"/>
  <c r="CZ318" i="4"/>
  <c r="DL373" i="4"/>
  <c r="CF375" i="4"/>
  <c r="AT362" i="4"/>
  <c r="GI374" i="4"/>
  <c r="CZ376" i="4"/>
  <c r="FN374" i="4"/>
  <c r="CZ377" i="4"/>
  <c r="DP258" i="4"/>
  <c r="FK105" i="4"/>
  <c r="CU192" i="4"/>
  <c r="CU231" i="4"/>
  <c r="CU210" i="4"/>
  <c r="CU153" i="4"/>
  <c r="CU142" i="4"/>
  <c r="CU302" i="4"/>
  <c r="CU97" i="4"/>
  <c r="CU164" i="4"/>
  <c r="CU266" i="4"/>
  <c r="CU100" i="4"/>
  <c r="FY78" i="4"/>
  <c r="FY147" i="4"/>
  <c r="FY291" i="4"/>
  <c r="FY183" i="4"/>
  <c r="FY300" i="4"/>
  <c r="FY50" i="4"/>
  <c r="FY125" i="4"/>
  <c r="FY109" i="4"/>
  <c r="FY95" i="4"/>
  <c r="FY51" i="4"/>
  <c r="FY108" i="4"/>
  <c r="FY119" i="4"/>
  <c r="FY208" i="4"/>
  <c r="FY329" i="4"/>
  <c r="FT261" i="4"/>
  <c r="FT115" i="4"/>
  <c r="FY213" i="4"/>
  <c r="FT120" i="4"/>
  <c r="FY118" i="4"/>
  <c r="FY336" i="4"/>
  <c r="FY25" i="4"/>
  <c r="FY115" i="4"/>
  <c r="FY149" i="4"/>
  <c r="FY261" i="4"/>
  <c r="FY299" i="4"/>
  <c r="FT117" i="4"/>
  <c r="FY278" i="4"/>
  <c r="FY121" i="4"/>
  <c r="FY185" i="4"/>
  <c r="FT227" i="4"/>
  <c r="FY71" i="4"/>
  <c r="FY170" i="4"/>
  <c r="FY139" i="4"/>
  <c r="FY59" i="4"/>
  <c r="FY141" i="4"/>
  <c r="FY61" i="4"/>
  <c r="FY251" i="4"/>
  <c r="FY289" i="4"/>
  <c r="FY98" i="4"/>
  <c r="FT109" i="4"/>
  <c r="FT118" i="4"/>
  <c r="FY320" i="4"/>
  <c r="FY296" i="4"/>
  <c r="FY314" i="4"/>
  <c r="FY94" i="4"/>
  <c r="FY295" i="4"/>
  <c r="FY236" i="4"/>
  <c r="FY238" i="4"/>
  <c r="FT255" i="4"/>
  <c r="FY179" i="4"/>
  <c r="FY84" i="4"/>
  <c r="FY260" i="4"/>
  <c r="FY77" i="4"/>
  <c r="FY100" i="4"/>
  <c r="FY293" i="4"/>
  <c r="FY181" i="4"/>
  <c r="FY107" i="4"/>
  <c r="FY120" i="4"/>
  <c r="FY133" i="4"/>
  <c r="FY52" i="4"/>
  <c r="FY182" i="4"/>
  <c r="FT249" i="4"/>
  <c r="FY256" i="4"/>
  <c r="FY127" i="4"/>
  <c r="FY188" i="4"/>
  <c r="FY169" i="4"/>
  <c r="FY172" i="4"/>
  <c r="FY20" i="4"/>
  <c r="FY112" i="4"/>
  <c r="FY265" i="4"/>
  <c r="FY72" i="4"/>
  <c r="FY307" i="4"/>
  <c r="FY192" i="4"/>
  <c r="FY56" i="4"/>
  <c r="FT209" i="4"/>
  <c r="FY335" i="4"/>
  <c r="FT119" i="4"/>
  <c r="FY168" i="4"/>
  <c r="FY206" i="4"/>
  <c r="FY176" i="4"/>
  <c r="FY212" i="4"/>
  <c r="FY259" i="4"/>
  <c r="FY63" i="4"/>
  <c r="FY196" i="4"/>
  <c r="FY268" i="4"/>
  <c r="FY301" i="4"/>
  <c r="FY252" i="4"/>
  <c r="FT128" i="4"/>
  <c r="FY272" i="4"/>
  <c r="FY250" i="4"/>
  <c r="FY157" i="4"/>
  <c r="FR124" i="4"/>
  <c r="FR81" i="4"/>
  <c r="FR130" i="4"/>
  <c r="FR139" i="4"/>
  <c r="FU26" i="4"/>
  <c r="FR420" i="4"/>
  <c r="FU130" i="4"/>
  <c r="AR178" i="4"/>
  <c r="FT100" i="4"/>
  <c r="CX352" i="4"/>
  <c r="GM353" i="4"/>
  <c r="CH69" i="4"/>
  <c r="EN160" i="4"/>
  <c r="DG162" i="4"/>
  <c r="EB353" i="4"/>
  <c r="EI305" i="4"/>
  <c r="EG162" i="4"/>
  <c r="FM162" i="4"/>
  <c r="CH138" i="4"/>
  <c r="CH80" i="4"/>
  <c r="CH19" i="4"/>
  <c r="CH420" i="4"/>
  <c r="FU162" i="4"/>
  <c r="DS360" i="4"/>
  <c r="EW305" i="4"/>
  <c r="EG352" i="4"/>
  <c r="EI362" i="4"/>
  <c r="ED305" i="4"/>
  <c r="CH90" i="4"/>
  <c r="CH58" i="4"/>
  <c r="CH137" i="4"/>
  <c r="CH23" i="4"/>
  <c r="CH24" i="4"/>
  <c r="EP360" i="4"/>
  <c r="FR362" i="4"/>
  <c r="FT264" i="4"/>
  <c r="CH46" i="4"/>
  <c r="CH49" i="4"/>
  <c r="CH124" i="4"/>
  <c r="EN162" i="4"/>
  <c r="CB360" i="4"/>
  <c r="CH53" i="4"/>
  <c r="CH27" i="4"/>
  <c r="DC362" i="4"/>
  <c r="BZ360" i="4"/>
  <c r="CH54" i="4"/>
  <c r="CH48" i="4"/>
  <c r="CH26" i="4"/>
  <c r="AT178" i="4"/>
  <c r="EB258" i="4"/>
  <c r="CH116" i="4"/>
  <c r="CH42" i="4"/>
  <c r="CH92" i="4"/>
  <c r="CH65" i="4"/>
  <c r="DI305" i="4"/>
  <c r="EI352" i="4"/>
  <c r="CZ353" i="4"/>
  <c r="FM362" i="4"/>
  <c r="CH67" i="4"/>
  <c r="CH66" i="4"/>
  <c r="ES162" i="4"/>
  <c r="DW352" i="4"/>
  <c r="DB353" i="4"/>
  <c r="GA305" i="4"/>
  <c r="EK360" i="4"/>
  <c r="CF305" i="4"/>
  <c r="CJ360" i="4"/>
  <c r="CD160" i="4"/>
  <c r="EP160" i="4"/>
  <c r="FT353" i="4"/>
  <c r="FT160" i="4"/>
  <c r="CH57" i="4"/>
  <c r="GO160" i="4"/>
  <c r="FK360" i="4"/>
  <c r="DL162" i="4"/>
  <c r="CH136" i="4"/>
  <c r="CH37" i="4"/>
  <c r="CH62" i="4"/>
  <c r="CH89" i="4"/>
  <c r="EG160" i="4"/>
  <c r="FN160" i="4"/>
  <c r="GH360" i="4"/>
  <c r="EI353" i="4"/>
  <c r="CH130" i="4"/>
  <c r="CH155" i="4"/>
  <c r="CH17" i="4"/>
  <c r="CH43" i="4"/>
  <c r="EN362" i="4"/>
  <c r="CO362" i="4"/>
  <c r="EY162" i="4"/>
  <c r="CH47" i="4"/>
  <c r="CH68" i="4"/>
  <c r="CX162" i="4"/>
  <c r="GB352" i="4"/>
  <c r="DP360" i="4"/>
  <c r="EZ360" i="4"/>
  <c r="FU352" i="4"/>
  <c r="CN353" i="4"/>
  <c r="DJ353" i="4"/>
  <c r="CH353" i="4"/>
  <c r="EG353" i="4"/>
  <c r="BX352" i="4"/>
  <c r="DC353" i="4"/>
  <c r="DL362" i="4"/>
  <c r="CO352" i="4"/>
  <c r="EG362" i="4"/>
  <c r="DQ353" i="4"/>
  <c r="CD362" i="4"/>
  <c r="DQ305" i="4"/>
  <c r="DJ305" i="4"/>
  <c r="EE305" i="4"/>
  <c r="CU160" i="4"/>
  <c r="DQ160" i="4"/>
  <c r="FR160" i="4"/>
  <c r="EN305" i="4"/>
  <c r="BZ162" i="4"/>
  <c r="ED162" i="4"/>
  <c r="DE360" i="4"/>
  <c r="DB162" i="4"/>
  <c r="CF360" i="4"/>
  <c r="DZ160" i="4"/>
  <c r="DB352" i="4"/>
  <c r="EW353" i="4"/>
  <c r="BZ362" i="4"/>
  <c r="CF362" i="4"/>
  <c r="CO305" i="4"/>
  <c r="EW162" i="4"/>
  <c r="CD305" i="4"/>
  <c r="GI360" i="4"/>
  <c r="EL360" i="4"/>
  <c r="BZ352" i="4"/>
  <c r="CH352" i="4"/>
  <c r="EK352" i="4"/>
  <c r="EL353" i="4"/>
  <c r="EB352" i="4"/>
  <c r="BZ353" i="4"/>
  <c r="CB353" i="4"/>
  <c r="EW352" i="4"/>
  <c r="FN362" i="4"/>
  <c r="FB362" i="4"/>
  <c r="DS352" i="4"/>
  <c r="DW362" i="4"/>
  <c r="GB305" i="4"/>
  <c r="CN305" i="4"/>
  <c r="FU160" i="4"/>
  <c r="GP160" i="4"/>
  <c r="FB160" i="4"/>
  <c r="EG305" i="4"/>
  <c r="DE160" i="4"/>
  <c r="CN162" i="4"/>
  <c r="EK162" i="4"/>
  <c r="FB360" i="4"/>
  <c r="CJ160" i="4"/>
  <c r="FB162" i="4"/>
  <c r="AT360" i="4"/>
  <c r="CH162" i="4"/>
  <c r="EE360" i="4"/>
  <c r="DW360" i="4"/>
  <c r="FG360" i="4"/>
  <c r="CJ352" i="4"/>
  <c r="FT352" i="4"/>
  <c r="FN352" i="4"/>
  <c r="DW353" i="4"/>
  <c r="DZ352" i="4"/>
  <c r="FI362" i="4"/>
  <c r="DI362" i="4"/>
  <c r="GO362" i="4"/>
  <c r="GA362" i="4"/>
  <c r="DX362" i="4"/>
  <c r="FT305" i="4"/>
  <c r="FG305" i="4"/>
  <c r="EK160" i="4"/>
  <c r="CO160" i="4"/>
  <c r="GH160" i="4"/>
  <c r="CX305" i="4"/>
  <c r="EI160" i="4"/>
  <c r="FK160" i="4"/>
  <c r="CD162" i="4"/>
  <c r="BZ305" i="4"/>
  <c r="CU162" i="4"/>
  <c r="CX360" i="4"/>
  <c r="EZ162" i="4"/>
  <c r="FI360" i="4"/>
  <c r="EG360" i="4"/>
  <c r="ED360" i="4"/>
  <c r="DX360" i="4"/>
  <c r="FN353" i="4"/>
  <c r="DS353" i="4"/>
  <c r="GP352" i="4"/>
  <c r="DI353" i="4"/>
  <c r="ER353" i="4"/>
  <c r="CF353" i="4"/>
  <c r="FR353" i="4"/>
  <c r="GA352" i="4"/>
  <c r="EY362" i="4"/>
  <c r="DJ362" i="4"/>
  <c r="GP362" i="4"/>
  <c r="GB362" i="4"/>
  <c r="DX353" i="4"/>
  <c r="ED362" i="4"/>
  <c r="FU305" i="4"/>
  <c r="EN353" i="4"/>
  <c r="EK305" i="4"/>
  <c r="EL160" i="4"/>
  <c r="CN160" i="4"/>
  <c r="GI160" i="4"/>
  <c r="BX305" i="4"/>
  <c r="FT162" i="4"/>
  <c r="EI162" i="4"/>
  <c r="DS160" i="4"/>
  <c r="DZ162" i="4"/>
  <c r="CB352" i="4"/>
  <c r="EI360" i="4"/>
  <c r="GO162" i="4"/>
  <c r="EB360" i="4"/>
  <c r="FK162" i="4"/>
  <c r="GM347" i="4"/>
  <c r="CV360" i="4"/>
  <c r="AD360" i="4" s="1"/>
  <c r="FT360" i="4"/>
  <c r="GO360" i="4"/>
  <c r="GI353" i="4"/>
  <c r="CZ352" i="4"/>
  <c r="EP352" i="4"/>
  <c r="EE352" i="4"/>
  <c r="EK353" i="4"/>
  <c r="ES353" i="4"/>
  <c r="DP353" i="4"/>
  <c r="EY353" i="4"/>
  <c r="EB362" i="4"/>
  <c r="BX362" i="4"/>
  <c r="EZ362" i="4"/>
  <c r="CZ362" i="4"/>
  <c r="GO353" i="4"/>
  <c r="GB353" i="4"/>
  <c r="EE362" i="4"/>
  <c r="CV305" i="4"/>
  <c r="AD305" i="4" s="1"/>
  <c r="GO305" i="4"/>
  <c r="EL305" i="4"/>
  <c r="GA160" i="4"/>
  <c r="ER160" i="4"/>
  <c r="DB160" i="4"/>
  <c r="CB305" i="4"/>
  <c r="FR305" i="4"/>
  <c r="FY305" i="4"/>
  <c r="GA162" i="4"/>
  <c r="DE162" i="4"/>
  <c r="DQ162" i="4"/>
  <c r="CZ360" i="4"/>
  <c r="BX360" i="4"/>
  <c r="DL360" i="4"/>
  <c r="DI162" i="4"/>
  <c r="FI160" i="4"/>
  <c r="EN360" i="4"/>
  <c r="EW360" i="4"/>
  <c r="CU360" i="4"/>
  <c r="FU360" i="4"/>
  <c r="GP360" i="4"/>
  <c r="CU352" i="4"/>
  <c r="CD353" i="4"/>
  <c r="DG352" i="4"/>
  <c r="DL352" i="4"/>
  <c r="FY353" i="4"/>
  <c r="FM352" i="4"/>
  <c r="DQ352" i="4"/>
  <c r="DP352" i="4"/>
  <c r="CU353" i="4"/>
  <c r="BX353" i="4"/>
  <c r="CU362" i="4"/>
  <c r="CB362" i="4"/>
  <c r="FG362" i="4"/>
  <c r="FY362" i="4"/>
  <c r="EE353" i="4"/>
  <c r="CU305" i="4"/>
  <c r="GP305" i="4"/>
  <c r="DW305" i="4"/>
  <c r="GB160" i="4"/>
  <c r="ES160" i="4"/>
  <c r="DC160" i="4"/>
  <c r="CZ160" i="4"/>
  <c r="FI305" i="4"/>
  <c r="EB305" i="4"/>
  <c r="DS305" i="4"/>
  <c r="GM162" i="4"/>
  <c r="CJ162" i="4"/>
  <c r="CZ162" i="4"/>
  <c r="EP162" i="4"/>
  <c r="EW160" i="4"/>
  <c r="FN162" i="4"/>
  <c r="GH162" i="4"/>
  <c r="DL160" i="4"/>
  <c r="EL162" i="4"/>
  <c r="FY360" i="4"/>
  <c r="DS162" i="4"/>
  <c r="FR162" i="4"/>
  <c r="GM360" i="4"/>
  <c r="GA360" i="4"/>
  <c r="CN360" i="4"/>
  <c r="ER360" i="4"/>
  <c r="DJ352" i="4"/>
  <c r="DE353" i="4"/>
  <c r="FI352" i="4"/>
  <c r="EN352" i="4"/>
  <c r="GO352" i="4"/>
  <c r="ES352" i="4"/>
  <c r="ER352" i="4"/>
  <c r="EY352" i="4"/>
  <c r="EZ353" i="4"/>
  <c r="DL353" i="4"/>
  <c r="ER362" i="4"/>
  <c r="CV362" i="4"/>
  <c r="AD362" i="4" s="1"/>
  <c r="CJ362" i="4"/>
  <c r="EK362" i="4"/>
  <c r="FG353" i="4"/>
  <c r="FK362" i="4"/>
  <c r="GH305" i="4"/>
  <c r="FM305" i="4"/>
  <c r="DX305" i="4"/>
  <c r="DW160" i="4"/>
  <c r="ED160" i="4"/>
  <c r="GA353" i="4"/>
  <c r="CJ305" i="4"/>
  <c r="DZ305" i="4"/>
  <c r="FI162" i="4"/>
  <c r="BX162" i="4"/>
  <c r="CX160" i="4"/>
  <c r="CO162" i="4"/>
  <c r="CD360" i="4"/>
  <c r="GB162" i="4"/>
  <c r="DG360" i="4"/>
  <c r="GB360" i="4"/>
  <c r="CO360" i="4"/>
  <c r="ES360" i="4"/>
  <c r="CN352" i="4"/>
  <c r="FM353" i="4"/>
  <c r="CJ353" i="4"/>
  <c r="ED352" i="4"/>
  <c r="GI352" i="4"/>
  <c r="GH352" i="4"/>
  <c r="DX352" i="4"/>
  <c r="ED353" i="4"/>
  <c r="FB353" i="4"/>
  <c r="ES362" i="4"/>
  <c r="CV353" i="4"/>
  <c r="GH362" i="4"/>
  <c r="EW362" i="4"/>
  <c r="EL362" i="4"/>
  <c r="GM362" i="4"/>
  <c r="DS362" i="4"/>
  <c r="GI305" i="4"/>
  <c r="FN305" i="4"/>
  <c r="ER305" i="4"/>
  <c r="DX160" i="4"/>
  <c r="EE160" i="4"/>
  <c r="EY160" i="4"/>
  <c r="CH160" i="4"/>
  <c r="CF160" i="4"/>
  <c r="FY160" i="4"/>
  <c r="CF162" i="4"/>
  <c r="DZ360" i="4"/>
  <c r="DC162" i="4"/>
  <c r="CH360" i="4"/>
  <c r="FY162" i="4"/>
  <c r="DW162" i="4"/>
  <c r="AR360" i="4"/>
  <c r="FN360" i="4"/>
  <c r="DI360" i="4"/>
  <c r="DB360" i="4"/>
  <c r="EP353" i="4"/>
  <c r="GH353" i="4"/>
  <c r="CO353" i="4"/>
  <c r="CD352" i="4"/>
  <c r="FI353" i="4"/>
  <c r="FK352" i="4"/>
  <c r="EZ352" i="4"/>
  <c r="EP362" i="4"/>
  <c r="DZ362" i="4"/>
  <c r="GI362" i="4"/>
  <c r="CF352" i="4"/>
  <c r="EL352" i="4"/>
  <c r="FU362" i="4"/>
  <c r="DB305" i="4"/>
  <c r="EY305" i="4"/>
  <c r="ES305" i="4"/>
  <c r="DI160" i="4"/>
  <c r="EZ160" i="4"/>
  <c r="CZ305" i="4"/>
  <c r="BX160" i="4"/>
  <c r="EP305" i="4"/>
  <c r="DX162" i="4"/>
  <c r="GM305" i="4"/>
  <c r="DJ162" i="4"/>
  <c r="EE162" i="4"/>
  <c r="FM360" i="4"/>
  <c r="DJ360" i="4"/>
  <c r="DC360" i="4"/>
  <c r="CV352" i="4"/>
  <c r="AD352" i="4" s="1"/>
  <c r="GP353" i="4"/>
  <c r="FB352" i="4"/>
  <c r="DE352" i="4"/>
  <c r="DG353" i="4"/>
  <c r="FG352" i="4"/>
  <c r="DB362" i="4"/>
  <c r="FR352" i="4"/>
  <c r="CN362" i="4"/>
  <c r="DG362" i="4"/>
  <c r="DQ362" i="4"/>
  <c r="CH362" i="4"/>
  <c r="FT362" i="4"/>
  <c r="DC305" i="4"/>
  <c r="EZ305" i="4"/>
  <c r="FG160" i="4"/>
  <c r="DJ160" i="4"/>
  <c r="FM160" i="4"/>
  <c r="BZ160" i="4"/>
  <c r="DE305" i="4"/>
  <c r="DL305" i="4"/>
  <c r="CH305" i="4"/>
  <c r="GI162" i="4"/>
  <c r="GM160" i="4"/>
  <c r="DG305" i="4"/>
  <c r="CV162" i="4"/>
  <c r="GP162" i="4"/>
  <c r="FR360" i="4"/>
  <c r="AP360" i="4"/>
  <c r="FG162" i="4"/>
  <c r="CB162" i="4"/>
  <c r="DQ360" i="4"/>
  <c r="EY360" i="4"/>
  <c r="FY352" i="4"/>
  <c r="DI352" i="4"/>
  <c r="DC352" i="4"/>
  <c r="FK353" i="4"/>
  <c r="CX353" i="4"/>
  <c r="GM352" i="4"/>
  <c r="DZ353" i="4"/>
  <c r="CX362" i="4"/>
  <c r="DP362" i="4"/>
  <c r="FU353" i="4"/>
  <c r="DE362" i="4"/>
  <c r="DP305" i="4"/>
  <c r="CV160" i="4"/>
  <c r="AD160" i="4" s="1"/>
  <c r="DP160" i="4"/>
  <c r="CB160" i="4"/>
  <c r="FK305" i="4"/>
  <c r="FB305" i="4"/>
  <c r="DG160" i="4"/>
  <c r="ER162" i="4"/>
  <c r="DP162" i="4"/>
  <c r="EB162" i="4"/>
  <c r="EB160" i="4"/>
  <c r="EG105" i="4"/>
  <c r="FN105" i="4"/>
  <c r="BX178" i="4"/>
  <c r="EN105" i="4"/>
  <c r="CO105" i="4"/>
  <c r="CX105" i="4"/>
  <c r="GB258" i="4"/>
  <c r="FT258" i="4"/>
  <c r="DS347" i="4"/>
  <c r="EW178" i="4"/>
  <c r="DG258" i="4"/>
  <c r="EE105" i="4"/>
  <c r="CH178" i="4"/>
  <c r="EP105" i="4"/>
  <c r="BZ347" i="4"/>
  <c r="CJ258" i="4"/>
  <c r="CB347" i="4"/>
  <c r="DB258" i="4"/>
  <c r="EL105" i="4"/>
  <c r="DI347" i="4"/>
  <c r="EI178" i="4"/>
  <c r="ER178" i="4"/>
  <c r="DX105" i="4"/>
  <c r="EK347" i="4"/>
  <c r="CN347" i="4"/>
  <c r="GH178" i="4"/>
  <c r="DQ178" i="4"/>
  <c r="CN178" i="4"/>
  <c r="FN258" i="4"/>
  <c r="DQ258" i="4"/>
  <c r="FU258" i="4"/>
  <c r="BX347" i="4"/>
  <c r="GM105" i="4"/>
  <c r="EW258" i="4"/>
  <c r="FK347" i="4"/>
  <c r="GO105" i="4"/>
  <c r="CH347" i="4"/>
  <c r="DS178" i="4"/>
  <c r="CF347" i="4"/>
  <c r="FI178" i="4"/>
  <c r="AP324" i="4"/>
  <c r="FI105" i="4"/>
  <c r="CZ105" i="4"/>
  <c r="GP105" i="4"/>
  <c r="FR105" i="4"/>
  <c r="EL347" i="4"/>
  <c r="CO347" i="4"/>
  <c r="GI178" i="4"/>
  <c r="DP178" i="4"/>
  <c r="CO178" i="4"/>
  <c r="ES258" i="4"/>
  <c r="CN258" i="4"/>
  <c r="AR243" i="4"/>
  <c r="CX178" i="4"/>
  <c r="DI105" i="4"/>
  <c r="EK105" i="4"/>
  <c r="FU105" i="4"/>
  <c r="CF258" i="4"/>
  <c r="FI258" i="4"/>
  <c r="CZ347" i="4"/>
  <c r="DS105" i="4"/>
  <c r="EB347" i="4"/>
  <c r="DL178" i="4"/>
  <c r="GI105" i="4"/>
  <c r="EB105" i="4"/>
  <c r="FM347" i="4"/>
  <c r="CU347" i="4"/>
  <c r="EZ347" i="4"/>
  <c r="FM178" i="4"/>
  <c r="EL178" i="4"/>
  <c r="DB178" i="4"/>
  <c r="ER258" i="4"/>
  <c r="CO258" i="4"/>
  <c r="DW105" i="4"/>
  <c r="FB178" i="4"/>
  <c r="DB105" i="4"/>
  <c r="FM105" i="4"/>
  <c r="FB258" i="4"/>
  <c r="DS258" i="4"/>
  <c r="BZ178" i="4"/>
  <c r="EN258" i="4"/>
  <c r="EP178" i="4"/>
  <c r="FG105" i="4"/>
  <c r="FN347" i="4"/>
  <c r="CV347" i="4"/>
  <c r="AD347" i="4" s="1"/>
  <c r="EY347" i="4"/>
  <c r="FN178" i="4"/>
  <c r="EK178" i="4"/>
  <c r="DC178" i="4"/>
  <c r="EK258" i="4"/>
  <c r="DI258" i="4"/>
  <c r="CB105" i="4"/>
  <c r="GH105" i="4"/>
  <c r="CJ178" i="4"/>
  <c r="AR324" i="4"/>
  <c r="FR178" i="4"/>
  <c r="DL105" i="4"/>
  <c r="EB178" i="4"/>
  <c r="FY105" i="4"/>
  <c r="DW347" i="4"/>
  <c r="EE347" i="4"/>
  <c r="GH347" i="4"/>
  <c r="DW178" i="4"/>
  <c r="GB178" i="4"/>
  <c r="DI178" i="4"/>
  <c r="EL258" i="4"/>
  <c r="DJ258" i="4"/>
  <c r="DJ105" i="4"/>
  <c r="EP258" i="4"/>
  <c r="CH258" i="4"/>
  <c r="AT347" i="4"/>
  <c r="FT105" i="4"/>
  <c r="EI258" i="4"/>
  <c r="EW347" i="4"/>
  <c r="FM258" i="4"/>
  <c r="EZ105" i="4"/>
  <c r="FK258" i="4"/>
  <c r="AP323" i="4"/>
  <c r="BX105" i="4"/>
  <c r="DX347" i="4"/>
  <c r="ED347" i="4"/>
  <c r="GI347" i="4"/>
  <c r="DX178" i="4"/>
  <c r="GA178" i="4"/>
  <c r="DJ178" i="4"/>
  <c r="DX258" i="4"/>
  <c r="CU258" i="4"/>
  <c r="DC105" i="4"/>
  <c r="CD178" i="4"/>
  <c r="CJ105" i="4"/>
  <c r="FR258" i="4"/>
  <c r="FB347" i="4"/>
  <c r="CN105" i="4"/>
  <c r="GA105" i="4"/>
  <c r="GM178" i="4"/>
  <c r="DG347" i="4"/>
  <c r="ED105" i="4"/>
  <c r="CV105" i="4"/>
  <c r="AD105" i="4" s="1"/>
  <c r="CD347" i="4"/>
  <c r="DG105" i="4"/>
  <c r="GB105" i="4"/>
  <c r="BZ105" i="4"/>
  <c r="GP347" i="4"/>
  <c r="DB347" i="4"/>
  <c r="FG178" i="4"/>
  <c r="CV178" i="4"/>
  <c r="EY258" i="4"/>
  <c r="DW258" i="4"/>
  <c r="CV258" i="4"/>
  <c r="DG178" i="4"/>
  <c r="AR325" i="4"/>
  <c r="CF178" i="4"/>
  <c r="CJ347" i="4"/>
  <c r="CX347" i="4"/>
  <c r="DQ105" i="4"/>
  <c r="DP105" i="4"/>
  <c r="AR105" i="4"/>
  <c r="EI347" i="4"/>
  <c r="CB258" i="4"/>
  <c r="DZ178" i="4"/>
  <c r="CZ258" i="4"/>
  <c r="CU105" i="4"/>
  <c r="FG347" i="4"/>
  <c r="GO347" i="4"/>
  <c r="DC347" i="4"/>
  <c r="CU178" i="4"/>
  <c r="EZ258" i="4"/>
  <c r="FG258" i="4"/>
  <c r="ED258" i="4"/>
  <c r="EG178" i="4"/>
  <c r="AP258" i="4"/>
  <c r="EP347" i="4"/>
  <c r="AP325" i="4"/>
  <c r="CD258" i="4"/>
  <c r="ER105" i="4"/>
  <c r="AP105" i="4"/>
  <c r="DZ258" i="4"/>
  <c r="FY258" i="4"/>
  <c r="AP347" i="4"/>
  <c r="EY105" i="4"/>
  <c r="CD105" i="4"/>
  <c r="ES105" i="4"/>
  <c r="AT243" i="4"/>
  <c r="AT323" i="4"/>
  <c r="AT105" i="4"/>
  <c r="AT325" i="4"/>
  <c r="GA347" i="4"/>
  <c r="DJ347" i="4"/>
  <c r="GO178" i="4"/>
  <c r="ED178" i="4"/>
  <c r="GO258" i="4"/>
  <c r="EE258" i="4"/>
  <c r="FK178" i="4"/>
  <c r="AR258" i="4"/>
  <c r="AT324" i="4"/>
  <c r="BZ258" i="4"/>
  <c r="DE178" i="4"/>
  <c r="EN347" i="4"/>
  <c r="EN178" i="4"/>
  <c r="AP243" i="4"/>
  <c r="AP178" i="4"/>
  <c r="EW105" i="4"/>
  <c r="EI105" i="4"/>
  <c r="DZ105" i="4"/>
  <c r="GB347" i="4"/>
  <c r="GP178" i="4"/>
  <c r="EE178" i="4"/>
  <c r="GP258" i="4"/>
  <c r="GA258" i="4"/>
  <c r="GI258" i="4"/>
  <c r="EG258" i="4"/>
  <c r="CB178" i="4"/>
  <c r="AT258" i="4"/>
  <c r="AR347" i="4"/>
  <c r="CX258" i="4"/>
  <c r="EG347" i="4"/>
  <c r="AR323" i="4"/>
  <c r="ER347" i="4"/>
  <c r="DP347" i="4"/>
  <c r="FU347" i="4"/>
  <c r="ES178" i="4"/>
  <c r="EY178" i="4"/>
  <c r="FT178" i="4"/>
  <c r="DC258" i="4"/>
  <c r="DL258" i="4"/>
  <c r="DE258" i="4"/>
  <c r="FY178" i="4"/>
  <c r="GM258" i="4"/>
  <c r="DZ347" i="4"/>
  <c r="BX258" i="4"/>
  <c r="CF105" i="4"/>
  <c r="ES347" i="4"/>
  <c r="DQ347" i="4"/>
  <c r="FT347" i="4"/>
  <c r="EZ178" i="4"/>
  <c r="FU178" i="4"/>
  <c r="FY347" i="4"/>
  <c r="CZ178" i="4"/>
  <c r="DE347" i="4"/>
  <c r="CH105" i="4"/>
  <c r="FR347" i="4"/>
  <c r="DE105" i="4"/>
  <c r="CF136" i="4"/>
  <c r="CD25" i="4"/>
  <c r="DE303" i="4"/>
  <c r="DE226" i="4"/>
  <c r="CF35" i="4"/>
  <c r="DE103" i="4"/>
  <c r="DE340" i="4"/>
  <c r="CD50" i="4"/>
  <c r="CD107" i="4"/>
  <c r="EN381" i="4"/>
  <c r="FU108" i="4"/>
  <c r="CU280" i="4"/>
  <c r="CU289" i="4"/>
  <c r="CU101" i="4"/>
  <c r="CU151" i="4"/>
  <c r="CU295" i="4"/>
  <c r="CU60" i="4"/>
  <c r="CU203" i="4"/>
  <c r="CU143" i="4"/>
  <c r="CU292" i="4"/>
  <c r="CU215" i="4"/>
  <c r="CU39" i="4"/>
  <c r="CU230" i="4"/>
  <c r="CV220" i="4"/>
  <c r="AD220" i="4" s="1"/>
  <c r="CU132" i="4"/>
  <c r="CU73" i="4"/>
  <c r="CU342" i="4"/>
  <c r="CU173" i="4"/>
  <c r="CU209" i="4"/>
  <c r="CU120" i="4"/>
  <c r="CU193" i="4"/>
  <c r="CU172" i="4"/>
  <c r="CU188" i="4"/>
  <c r="CU96" i="4"/>
  <c r="CU211" i="4"/>
  <c r="CU296" i="4"/>
  <c r="CV274" i="4"/>
  <c r="FB224" i="4"/>
  <c r="FR133" i="4"/>
  <c r="CU128" i="4"/>
  <c r="CU187" i="4"/>
  <c r="CU238" i="4"/>
  <c r="CU52" i="4"/>
  <c r="CU361" i="4"/>
  <c r="CU61" i="4"/>
  <c r="CU255" i="4"/>
  <c r="CU358" i="4"/>
  <c r="CU95" i="4"/>
  <c r="CU235" i="4"/>
  <c r="CU313" i="4"/>
  <c r="CU294" i="4"/>
  <c r="CU286" i="4"/>
  <c r="CU78" i="4"/>
  <c r="CU246" i="4"/>
  <c r="CU56" i="4"/>
  <c r="CU72" i="4"/>
  <c r="CU205" i="4"/>
  <c r="CU118" i="4"/>
  <c r="CU134" i="4"/>
  <c r="CU265" i="4"/>
  <c r="CU268" i="4"/>
  <c r="CV109" i="4"/>
  <c r="CU335" i="4"/>
  <c r="EN85" i="4"/>
  <c r="CU20" i="4"/>
  <c r="CU253" i="4"/>
  <c r="CU213" i="4"/>
  <c r="CU321" i="4"/>
  <c r="CU254" i="4"/>
  <c r="CU239" i="4"/>
  <c r="CU217" i="4"/>
  <c r="CU261" i="4"/>
  <c r="CU307" i="4"/>
  <c r="CU198" i="4"/>
  <c r="CU207" i="4"/>
  <c r="CU109" i="4"/>
  <c r="CU108" i="4"/>
  <c r="CU299" i="4"/>
  <c r="CU320" i="4"/>
  <c r="CU99" i="4"/>
  <c r="CU225" i="4"/>
  <c r="CU149" i="4"/>
  <c r="CU301" i="4"/>
  <c r="CU98" i="4"/>
  <c r="CU316" i="4"/>
  <c r="CU184" i="4"/>
  <c r="CU185" i="4"/>
  <c r="CU183" i="4"/>
  <c r="CU163" i="4"/>
  <c r="CU367" i="4"/>
  <c r="FR291" i="4"/>
  <c r="FR314" i="4"/>
  <c r="CU115" i="4"/>
  <c r="CU328" i="4"/>
  <c r="CU227" i="4"/>
  <c r="CU147" i="4"/>
  <c r="CU322" i="4"/>
  <c r="CU336" i="4"/>
  <c r="CU111" i="4"/>
  <c r="CU256" i="4"/>
  <c r="CU264" i="4"/>
  <c r="CU273" i="4"/>
  <c r="CU259" i="4"/>
  <c r="CU156" i="4"/>
  <c r="CU133" i="4"/>
  <c r="CU252" i="4"/>
  <c r="CU88" i="4"/>
  <c r="CU214" i="4"/>
  <c r="CU291" i="4"/>
  <c r="CU298" i="4"/>
  <c r="CU317" i="4"/>
  <c r="CU293" i="4"/>
  <c r="CU148" i="4"/>
  <c r="CU306" i="4"/>
  <c r="CU228" i="4"/>
  <c r="CU117" i="4"/>
  <c r="CU297" i="4"/>
  <c r="CU251" i="4"/>
  <c r="CU300" i="4"/>
  <c r="CU199" i="4"/>
  <c r="CU314" i="4"/>
  <c r="CU282" i="4"/>
  <c r="CV113" i="4"/>
  <c r="CU216" i="4"/>
  <c r="CU186" i="4"/>
  <c r="CU236" i="4"/>
  <c r="CU112" i="4"/>
  <c r="CU154" i="4"/>
  <c r="CU329" i="4"/>
  <c r="CU260" i="4"/>
  <c r="CU158" i="4"/>
  <c r="CU84" i="4"/>
  <c r="CU176" i="4"/>
  <c r="CU87" i="4"/>
  <c r="CU170" i="4"/>
  <c r="CU150" i="4"/>
  <c r="CU278" i="4"/>
  <c r="CU272" i="4"/>
  <c r="CU218" i="4"/>
  <c r="CU237" i="4"/>
  <c r="CU250" i="4"/>
  <c r="CU196" i="4"/>
  <c r="CU44" i="4"/>
  <c r="CU212" i="4"/>
  <c r="CU249" i="4"/>
  <c r="CU308" i="4"/>
  <c r="CU119" i="4"/>
  <c r="CU208" i="4"/>
  <c r="CU106" i="4"/>
  <c r="FB357" i="4"/>
  <c r="FI351" i="4"/>
  <c r="FI177" i="4"/>
  <c r="FI290" i="4"/>
  <c r="FI355" i="4"/>
  <c r="FY174" i="4"/>
  <c r="FI349" i="4"/>
  <c r="FI45" i="4"/>
  <c r="FI331" i="4"/>
  <c r="FI325" i="4"/>
  <c r="EY75" i="4"/>
  <c r="FB287" i="4"/>
  <c r="EY202" i="4"/>
  <c r="FG357" i="4"/>
  <c r="FF279" i="4"/>
  <c r="FF304" i="4"/>
  <c r="CZ335" i="4"/>
  <c r="CZ253" i="4"/>
  <c r="DZ165" i="4"/>
  <c r="FU72" i="4"/>
  <c r="FR193" i="4"/>
  <c r="FR320" i="4"/>
  <c r="FU87" i="4"/>
  <c r="FU109" i="4"/>
  <c r="FR50" i="4"/>
  <c r="FR187" i="4"/>
  <c r="FU49" i="4"/>
  <c r="FR321" i="4"/>
  <c r="FR136" i="4"/>
  <c r="FU121" i="4"/>
  <c r="FR65" i="4"/>
  <c r="FU58" i="4"/>
  <c r="FU24" i="4"/>
  <c r="FU62" i="4"/>
  <c r="FU80" i="4"/>
  <c r="FY148" i="4"/>
  <c r="FR150" i="4"/>
  <c r="FU133" i="4"/>
  <c r="FU126" i="4"/>
  <c r="FR60" i="4"/>
  <c r="FR43" i="4"/>
  <c r="FU232" i="4"/>
  <c r="FR250" i="4"/>
  <c r="FR296" i="4"/>
  <c r="FR299" i="4"/>
  <c r="FR69" i="4"/>
  <c r="FR58" i="4"/>
  <c r="FR47" i="4"/>
  <c r="FU91" i="4"/>
  <c r="FU420" i="4"/>
  <c r="FR90" i="4"/>
  <c r="FR67" i="4"/>
  <c r="FU36" i="4"/>
  <c r="FR208" i="4"/>
  <c r="FU63" i="4"/>
  <c r="FR149" i="4"/>
  <c r="FU25" i="4"/>
  <c r="FR232" i="4"/>
  <c r="FR181" i="4"/>
  <c r="FR25" i="4"/>
  <c r="FR116" i="4"/>
  <c r="FU167" i="4"/>
  <c r="FR57" i="4"/>
  <c r="FR42" i="4"/>
  <c r="FU57" i="4"/>
  <c r="FR66" i="4"/>
  <c r="FR89" i="4"/>
  <c r="FU48" i="4"/>
  <c r="FU47" i="4"/>
  <c r="FR24" i="4"/>
  <c r="FR68" i="4"/>
  <c r="FU67" i="4"/>
  <c r="FU361" i="4"/>
  <c r="FR27" i="4"/>
  <c r="FU46" i="4"/>
  <c r="FR19" i="4"/>
  <c r="FU81" i="4"/>
  <c r="CF155" i="4"/>
  <c r="FR249" i="4"/>
  <c r="FU59" i="4"/>
  <c r="FR77" i="4"/>
  <c r="FU179" i="4"/>
  <c r="FR294" i="4"/>
  <c r="FR235" i="4"/>
  <c r="FR127" i="4"/>
  <c r="FU136" i="4"/>
  <c r="FU106" i="4"/>
  <c r="FR268" i="4"/>
  <c r="FR171" i="4"/>
  <c r="FR199" i="4"/>
  <c r="FR92" i="4"/>
  <c r="FU155" i="4"/>
  <c r="FR48" i="4"/>
  <c r="FU65" i="4"/>
  <c r="FU34" i="4"/>
  <c r="FU42" i="4"/>
  <c r="FR234" i="4"/>
  <c r="FU35" i="4"/>
  <c r="FU261" i="4"/>
  <c r="FR210" i="4"/>
  <c r="FR93" i="4"/>
  <c r="FR107" i="4"/>
  <c r="FU139" i="4"/>
  <c r="FR295" i="4"/>
  <c r="FU68" i="4"/>
  <c r="FR54" i="4"/>
  <c r="FR137" i="4"/>
  <c r="FU157" i="4"/>
  <c r="FR213" i="4"/>
  <c r="FU66" i="4"/>
  <c r="FR23" i="4"/>
  <c r="FY274" i="4"/>
  <c r="FY76" i="4"/>
  <c r="FI287" i="4"/>
  <c r="FU50" i="4"/>
  <c r="FR91" i="4"/>
  <c r="FU93" i="4"/>
  <c r="FR36" i="4"/>
  <c r="FR239" i="4"/>
  <c r="FU171" i="4"/>
  <c r="FR184" i="4"/>
  <c r="FR79" i="4"/>
  <c r="FU96" i="4"/>
  <c r="FU138" i="4"/>
  <c r="FR157" i="4"/>
  <c r="FU43" i="4"/>
  <c r="FR167" i="4"/>
  <c r="FR138" i="4"/>
  <c r="FU207" i="4"/>
  <c r="FU116" i="4"/>
  <c r="FR56" i="4"/>
  <c r="FU27" i="4"/>
  <c r="FR26" i="4"/>
  <c r="FR34" i="4"/>
  <c r="FU97" i="4"/>
  <c r="FU77" i="4"/>
  <c r="FU37" i="4"/>
  <c r="FU166" i="4"/>
  <c r="FU70" i="4"/>
  <c r="FR82" i="4"/>
  <c r="FU127" i="4"/>
  <c r="FU120" i="4"/>
  <c r="FR63" i="4"/>
  <c r="FR227" i="4"/>
  <c r="FU53" i="4"/>
  <c r="FR86" i="4"/>
  <c r="FU86" i="4"/>
  <c r="FR126" i="4"/>
  <c r="FU23" i="4"/>
  <c r="FR55" i="4"/>
  <c r="FI129" i="4"/>
  <c r="FR70" i="4"/>
  <c r="FU181" i="4"/>
  <c r="FR280" i="4"/>
  <c r="FU137" i="4"/>
  <c r="FR59" i="4"/>
  <c r="FR298" i="4"/>
  <c r="FU82" i="4"/>
  <c r="FR53" i="4"/>
  <c r="FU69" i="4"/>
  <c r="FU54" i="4"/>
  <c r="FR185" i="4"/>
  <c r="FU51" i="4"/>
  <c r="FR80" i="4"/>
  <c r="FR35" i="4"/>
  <c r="FU90" i="4"/>
  <c r="FU92" i="4"/>
  <c r="FR335" i="4"/>
  <c r="FI350" i="4"/>
  <c r="FR179" i="4"/>
  <c r="FR46" i="4"/>
  <c r="FR62" i="4"/>
  <c r="FU208" i="4"/>
  <c r="FR166" i="4"/>
  <c r="FU125" i="4"/>
  <c r="FR125" i="4"/>
  <c r="FR49" i="4"/>
  <c r="FU79" i="4"/>
  <c r="FU107" i="4"/>
  <c r="FU124" i="4"/>
  <c r="FR154" i="4"/>
  <c r="FR37" i="4"/>
  <c r="FU89" i="4"/>
  <c r="FU19" i="4"/>
  <c r="FU55" i="4"/>
  <c r="FU17" i="4"/>
  <c r="FI223" i="4"/>
  <c r="AP21" i="4"/>
  <c r="AP22" i="4"/>
  <c r="FI304" i="4"/>
  <c r="FI103" i="4"/>
  <c r="FI263" i="4"/>
  <c r="FI324" i="4"/>
  <c r="AP14" i="4"/>
  <c r="FI303" i="4"/>
  <c r="FI104" i="4"/>
  <c r="AP8" i="4"/>
  <c r="FI175" i="4"/>
  <c r="FI226" i="4"/>
  <c r="FI344" i="4"/>
  <c r="FI357" i="4"/>
  <c r="AP6" i="4"/>
  <c r="FI190" i="4"/>
  <c r="FI340" i="4"/>
  <c r="FI64" i="4"/>
  <c r="FI311" i="4"/>
  <c r="FI222" i="4"/>
  <c r="FI224" i="4"/>
  <c r="FI279" i="4"/>
  <c r="FI285" i="4"/>
  <c r="FI323" i="4"/>
  <c r="FI243" i="4"/>
  <c r="EN233" i="4"/>
  <c r="FG279" i="4"/>
  <c r="FG64" i="4"/>
  <c r="FB304" i="4"/>
  <c r="FG304" i="4"/>
  <c r="FB64" i="4"/>
  <c r="FB279" i="4"/>
  <c r="FB222" i="4"/>
  <c r="FB263" i="4"/>
  <c r="FB104" i="4"/>
  <c r="FB311" i="4"/>
  <c r="FB190" i="4"/>
  <c r="FB103" i="4"/>
  <c r="AP163" i="4"/>
  <c r="FB175" i="4"/>
  <c r="FB303" i="4"/>
  <c r="FB340" i="4"/>
  <c r="FB226" i="4"/>
  <c r="CN325" i="4"/>
  <c r="FN75" i="4"/>
  <c r="AP13" i="4"/>
  <c r="AP28" i="4"/>
  <c r="AP34" i="4"/>
  <c r="AP11" i="4"/>
  <c r="AP10" i="4"/>
  <c r="AP16" i="4"/>
  <c r="AP15" i="4"/>
  <c r="AP55" i="4"/>
  <c r="AP114" i="4"/>
  <c r="AP33" i="4"/>
  <c r="AP12" i="4"/>
  <c r="AP32" i="4"/>
  <c r="AP36" i="4"/>
  <c r="CN148" i="4"/>
  <c r="AP29" i="4"/>
  <c r="AP7" i="4"/>
  <c r="FY85" i="4"/>
  <c r="FK148" i="4"/>
  <c r="GP174" i="4"/>
  <c r="ER75" i="4"/>
  <c r="FY197" i="4"/>
  <c r="FM75" i="4"/>
  <c r="AP18" i="4"/>
  <c r="FY201" i="4"/>
  <c r="FN113" i="4"/>
  <c r="FR164" i="4"/>
  <c r="FG263" i="4"/>
  <c r="FG175" i="4"/>
  <c r="FR264" i="4"/>
  <c r="FR209" i="4"/>
  <c r="FR142" i="4"/>
  <c r="FR251" i="4"/>
  <c r="FR72" i="4"/>
  <c r="FU140" i="4"/>
  <c r="FR261" i="4"/>
  <c r="FR307" i="4"/>
  <c r="FR140" i="4"/>
  <c r="FR192" i="4"/>
  <c r="FU98" i="4"/>
  <c r="FR78" i="4"/>
  <c r="FU210" i="4"/>
  <c r="FR170" i="4"/>
  <c r="FR172" i="4"/>
  <c r="FR20" i="4"/>
  <c r="FR112" i="4"/>
  <c r="FU119" i="4"/>
  <c r="FR108" i="4"/>
  <c r="FU168" i="4"/>
  <c r="AR357" i="4"/>
  <c r="GI148" i="4"/>
  <c r="GI113" i="4"/>
  <c r="FN220" i="4"/>
  <c r="CU274" i="4"/>
  <c r="CV161" i="4"/>
  <c r="AD161" i="4" s="1"/>
  <c r="EY161" i="4"/>
  <c r="FU259" i="4"/>
  <c r="FR100" i="4"/>
  <c r="FU111" i="4"/>
  <c r="FR300" i="4"/>
  <c r="FR236" i="4"/>
  <c r="FR206" i="4"/>
  <c r="FR98" i="4"/>
  <c r="FR120" i="4"/>
  <c r="FU256" i="4"/>
  <c r="FR273" i="4"/>
  <c r="FU251" i="4"/>
  <c r="FR212" i="4"/>
  <c r="FR301" i="4"/>
  <c r="FR88" i="4"/>
  <c r="FR156" i="4"/>
  <c r="EN148" i="4"/>
  <c r="CU202" i="4"/>
  <c r="GH201" i="4"/>
  <c r="GI174" i="4"/>
  <c r="FR286" i="4"/>
  <c r="FR186" i="4"/>
  <c r="FU131" i="4"/>
  <c r="FR252" i="4"/>
  <c r="FR272" i="4"/>
  <c r="FR128" i="4"/>
  <c r="FU128" i="4"/>
  <c r="FR118" i="4"/>
  <c r="FR265" i="4"/>
  <c r="FU234" i="4"/>
  <c r="GH220" i="4"/>
  <c r="CV202" i="4"/>
  <c r="CV174" i="4"/>
  <c r="AD174" i="4" s="1"/>
  <c r="FR211" i="4"/>
  <c r="FU153" i="4"/>
  <c r="FR255" i="4"/>
  <c r="FU38" i="4"/>
  <c r="FR168" i="4"/>
  <c r="FU115" i="4"/>
  <c r="FR198" i="4"/>
  <c r="FR169" i="4"/>
  <c r="FR182" i="4"/>
  <c r="FU209" i="4"/>
  <c r="FR61" i="4"/>
  <c r="FR176" i="4"/>
  <c r="FU52" i="4"/>
  <c r="FR183" i="4"/>
  <c r="FU249" i="4"/>
  <c r="FU71" i="4"/>
  <c r="FR361" i="4"/>
  <c r="FR230" i="4"/>
  <c r="EY148" i="4"/>
  <c r="CU113" i="4"/>
  <c r="GI220" i="4"/>
  <c r="GH202" i="4"/>
  <c r="GH233" i="4"/>
  <c r="FR196" i="4"/>
  <c r="FU172" i="4"/>
  <c r="FR253" i="4"/>
  <c r="FR200" i="4"/>
  <c r="FR256" i="4"/>
  <c r="FR115" i="4"/>
  <c r="FU141" i="4"/>
  <c r="FR96" i="4"/>
  <c r="CV148" i="4"/>
  <c r="CU75" i="4"/>
  <c r="EY201" i="4"/>
  <c r="EY76" i="4"/>
  <c r="FR147" i="4"/>
  <c r="FU158" i="4"/>
  <c r="FR51" i="4"/>
  <c r="FR143" i="4"/>
  <c r="FU289" i="4"/>
  <c r="FR95" i="4"/>
  <c r="FR87" i="4"/>
  <c r="FU60" i="4"/>
  <c r="FR131" i="4"/>
  <c r="FR38" i="4"/>
  <c r="FU200" i="4"/>
  <c r="FU169" i="4"/>
  <c r="FU95" i="4"/>
  <c r="FU335" i="4"/>
  <c r="CV75" i="4"/>
  <c r="EN274" i="4"/>
  <c r="GI201" i="4"/>
  <c r="FR259" i="4"/>
  <c r="FU182" i="4"/>
  <c r="FR238" i="4"/>
  <c r="FU83" i="4"/>
  <c r="FR336" i="4"/>
  <c r="FR106" i="4"/>
  <c r="FR71" i="4"/>
  <c r="FU227" i="4"/>
  <c r="FR109" i="4"/>
  <c r="FU255" i="4"/>
  <c r="FR153" i="4"/>
  <c r="FU250" i="4"/>
  <c r="FR278" i="4"/>
  <c r="EY113" i="4"/>
  <c r="GH75" i="4"/>
  <c r="GH274" i="4"/>
  <c r="FR325" i="4"/>
  <c r="FR207" i="4"/>
  <c r="FR94" i="4"/>
  <c r="FR111" i="4"/>
  <c r="FU40" i="4"/>
  <c r="FR99" i="4"/>
  <c r="FU196" i="4"/>
  <c r="FU117" i="4"/>
  <c r="FR84" i="4"/>
  <c r="FU235" i="4"/>
  <c r="FR117" i="4"/>
  <c r="FU206" i="4"/>
  <c r="FU118" i="4"/>
  <c r="FR282" i="4"/>
  <c r="GI75" i="4"/>
  <c r="CU220" i="4"/>
  <c r="GI274" i="4"/>
  <c r="CU201" i="4"/>
  <c r="DI271" i="4"/>
  <c r="FR119" i="4"/>
  <c r="FR329" i="4"/>
  <c r="FR141" i="4"/>
  <c r="FR289" i="4"/>
  <c r="FR83" i="4"/>
  <c r="FR237" i="4"/>
  <c r="FR97" i="4"/>
  <c r="FR40" i="4"/>
  <c r="FU94" i="4"/>
  <c r="FR52" i="4"/>
  <c r="FR260" i="4"/>
  <c r="FR158" i="4"/>
  <c r="FR188" i="4"/>
  <c r="FR121" i="4"/>
  <c r="FR293" i="4"/>
  <c r="FU236" i="4"/>
  <c r="GH148" i="4"/>
  <c r="GH113" i="4"/>
  <c r="EY274" i="4"/>
  <c r="EN76" i="4"/>
  <c r="FP243" i="4"/>
  <c r="FP325" i="4"/>
  <c r="FP323" i="4"/>
  <c r="FP104" i="4"/>
  <c r="FP223" i="4"/>
  <c r="FP324" i="4"/>
  <c r="CZ311" i="4"/>
  <c r="AP35" i="4"/>
  <c r="FM201" i="4"/>
  <c r="DE223" i="4"/>
  <c r="AP31" i="4"/>
  <c r="AP30" i="4"/>
  <c r="BX323" i="4"/>
  <c r="AP223" i="4"/>
  <c r="FM76" i="4"/>
  <c r="GA325" i="4"/>
  <c r="FR148" i="4"/>
  <c r="FR76" i="4"/>
  <c r="FB223" i="4"/>
  <c r="DQ220" i="4"/>
  <c r="FK325" i="4"/>
  <c r="EL325" i="4"/>
  <c r="GM202" i="4"/>
  <c r="EW233" i="4"/>
  <c r="FF324" i="4"/>
  <c r="DE325" i="4"/>
  <c r="FY284" i="4"/>
  <c r="FY202" i="4"/>
  <c r="DG325" i="4"/>
  <c r="EG324" i="4"/>
  <c r="FG324" i="4"/>
  <c r="DZ324" i="4"/>
  <c r="EN324" i="4"/>
  <c r="CX325" i="4"/>
  <c r="FG243" i="4"/>
  <c r="DC243" i="4"/>
  <c r="DZ323" i="4"/>
  <c r="EB323" i="4"/>
  <c r="ED325" i="4"/>
  <c r="DQ113" i="4"/>
  <c r="ER325" i="4"/>
  <c r="DZ325" i="4"/>
  <c r="DX323" i="4"/>
  <c r="CJ323" i="4"/>
  <c r="EI324" i="4"/>
  <c r="FR201" i="4"/>
  <c r="EP325" i="4"/>
  <c r="CB323" i="4"/>
  <c r="BZ325" i="4"/>
  <c r="BZ323" i="4"/>
  <c r="BZ243" i="4"/>
  <c r="CF53" i="4"/>
  <c r="CF62" i="4"/>
  <c r="CF138" i="4"/>
  <c r="GP113" i="4"/>
  <c r="FM220" i="4"/>
  <c r="FM274" i="4"/>
  <c r="EL324" i="4"/>
  <c r="CU324" i="4"/>
  <c r="DX324" i="4"/>
  <c r="EL323" i="4"/>
  <c r="FR324" i="4"/>
  <c r="GO323" i="4"/>
  <c r="ES325" i="4"/>
  <c r="GP243" i="4"/>
  <c r="AT222" i="4"/>
  <c r="DS325" i="4"/>
  <c r="AP303" i="4"/>
  <c r="EZ325" i="4"/>
  <c r="AR223" i="4"/>
  <c r="EY323" i="4"/>
  <c r="AR303" i="4"/>
  <c r="BZ324" i="4"/>
  <c r="EG243" i="4"/>
  <c r="FU323" i="4"/>
  <c r="GA324" i="4"/>
  <c r="ER323" i="4"/>
  <c r="DW323" i="4"/>
  <c r="EN243" i="4"/>
  <c r="CO323" i="4"/>
  <c r="CB325" i="4"/>
  <c r="CD325" i="4"/>
  <c r="EW243" i="4"/>
  <c r="FU243" i="4"/>
  <c r="EY325" i="4"/>
  <c r="DL325" i="4"/>
  <c r="DQ243" i="4"/>
  <c r="ED323" i="4"/>
  <c r="FY243" i="4"/>
  <c r="GM324" i="4"/>
  <c r="CN243" i="4"/>
  <c r="EW76" i="4"/>
  <c r="GB324" i="4"/>
  <c r="EZ243" i="4"/>
  <c r="BX325" i="4"/>
  <c r="EK323" i="4"/>
  <c r="FM325" i="4"/>
  <c r="CD323" i="4"/>
  <c r="DS323" i="4"/>
  <c r="CH243" i="4"/>
  <c r="EP323" i="4"/>
  <c r="AR104" i="4"/>
  <c r="FY323" i="4"/>
  <c r="DB243" i="4"/>
  <c r="GA323" i="4"/>
  <c r="GP325" i="4"/>
  <c r="DZ243" i="4"/>
  <c r="DG324" i="4"/>
  <c r="EB243" i="4"/>
  <c r="DJ323" i="4"/>
  <c r="CX323" i="4"/>
  <c r="FT259" i="4"/>
  <c r="FT289" i="4"/>
  <c r="CF130" i="4"/>
  <c r="CH157" i="4"/>
  <c r="CF54" i="4"/>
  <c r="CF90" i="4"/>
  <c r="AT303" i="4"/>
  <c r="AT287" i="4"/>
  <c r="AT190" i="4"/>
  <c r="AT340" i="4"/>
  <c r="AT223" i="4"/>
  <c r="AT311" i="4"/>
  <c r="AT224" i="4"/>
  <c r="AT103" i="4"/>
  <c r="FM202" i="4"/>
  <c r="GM174" i="4"/>
  <c r="FY102" i="4"/>
  <c r="GO324" i="4"/>
  <c r="FT324" i="4"/>
  <c r="CB243" i="4"/>
  <c r="ES243" i="4"/>
  <c r="FN325" i="4"/>
  <c r="AP103" i="4"/>
  <c r="EN323" i="4"/>
  <c r="EB325" i="4"/>
  <c r="EW324" i="4"/>
  <c r="FM323" i="4"/>
  <c r="DS324" i="4"/>
  <c r="EP324" i="4"/>
  <c r="DG323" i="4"/>
  <c r="CH323" i="4"/>
  <c r="DQ325" i="4"/>
  <c r="EI323" i="4"/>
  <c r="AR103" i="4"/>
  <c r="GO325" i="4"/>
  <c r="FK323" i="4"/>
  <c r="DW325" i="4"/>
  <c r="FF323" i="4"/>
  <c r="CF27" i="4"/>
  <c r="CF48" i="4"/>
  <c r="CF137" i="4"/>
  <c r="CF68" i="4"/>
  <c r="GP324" i="4"/>
  <c r="FU324" i="4"/>
  <c r="AR340" i="4"/>
  <c r="GH243" i="4"/>
  <c r="CB324" i="4"/>
  <c r="EY243" i="4"/>
  <c r="AP104" i="4"/>
  <c r="FG323" i="4"/>
  <c r="DL243" i="4"/>
  <c r="DI243" i="4"/>
  <c r="FK324" i="4"/>
  <c r="AR311" i="4"/>
  <c r="CD324" i="4"/>
  <c r="CZ243" i="4"/>
  <c r="DB323" i="4"/>
  <c r="EG325" i="4"/>
  <c r="AP340" i="4"/>
  <c r="FB243" i="4"/>
  <c r="CU323" i="4"/>
  <c r="DP325" i="4"/>
  <c r="EE323" i="4"/>
  <c r="AR222" i="4"/>
  <c r="FM243" i="4"/>
  <c r="AP311" i="4"/>
  <c r="DX325" i="4"/>
  <c r="EZ323" i="4"/>
  <c r="CF19" i="4"/>
  <c r="CF126" i="4"/>
  <c r="CF36" i="4"/>
  <c r="CF23" i="4"/>
  <c r="DP324" i="4"/>
  <c r="CN324" i="4"/>
  <c r="FK243" i="4"/>
  <c r="DX243" i="4"/>
  <c r="GH325" i="4"/>
  <c r="ER243" i="4"/>
  <c r="EP243" i="4"/>
  <c r="GP323" i="4"/>
  <c r="FG325" i="4"/>
  <c r="CD243" i="4"/>
  <c r="ED243" i="4"/>
  <c r="CZ324" i="4"/>
  <c r="GM243" i="4"/>
  <c r="GI323" i="4"/>
  <c r="EW325" i="4"/>
  <c r="GB323" i="4"/>
  <c r="CO243" i="4"/>
  <c r="CF323" i="4"/>
  <c r="FU325" i="4"/>
  <c r="GB243" i="4"/>
  <c r="DP323" i="4"/>
  <c r="FT250" i="4"/>
  <c r="CH232" i="4"/>
  <c r="CF80" i="4"/>
  <c r="CF57" i="4"/>
  <c r="CF58" i="4"/>
  <c r="CF65" i="4"/>
  <c r="CF420" i="4"/>
  <c r="CF49" i="4"/>
  <c r="FM113" i="4"/>
  <c r="DC324" i="4"/>
  <c r="DQ324" i="4"/>
  <c r="CO324" i="4"/>
  <c r="GI325" i="4"/>
  <c r="AR224" i="4"/>
  <c r="DE324" i="4"/>
  <c r="FF325" i="4"/>
  <c r="EB324" i="4"/>
  <c r="DE323" i="4"/>
  <c r="CZ325" i="4"/>
  <c r="GA243" i="4"/>
  <c r="DI323" i="4"/>
  <c r="FT325" i="4"/>
  <c r="CV243" i="4"/>
  <c r="EW323" i="4"/>
  <c r="DG243" i="4"/>
  <c r="CF66" i="4"/>
  <c r="CF17" i="4"/>
  <c r="CF67" i="4"/>
  <c r="CF55" i="4"/>
  <c r="CF89" i="4"/>
  <c r="FF175" i="4"/>
  <c r="DE224" i="4"/>
  <c r="ER324" i="4"/>
  <c r="ED324" i="4"/>
  <c r="FM324" i="4"/>
  <c r="DW243" i="4"/>
  <c r="FY324" i="4"/>
  <c r="CH325" i="4"/>
  <c r="CF325" i="4"/>
  <c r="GB325" i="4"/>
  <c r="BX243" i="4"/>
  <c r="CU243" i="4"/>
  <c r="DJ325" i="4"/>
  <c r="FT243" i="4"/>
  <c r="CJ324" i="4"/>
  <c r="FT323" i="4"/>
  <c r="FB325" i="4"/>
  <c r="FU253" i="4"/>
  <c r="FT253" i="4"/>
  <c r="FU230" i="4"/>
  <c r="FT210" i="4"/>
  <c r="CF46" i="4"/>
  <c r="CF42" i="4"/>
  <c r="CF116" i="4"/>
  <c r="CF124" i="4"/>
  <c r="CF69" i="4"/>
  <c r="CF26" i="4"/>
  <c r="FM148" i="4"/>
  <c r="FY220" i="4"/>
  <c r="FF263" i="4"/>
  <c r="ES324" i="4"/>
  <c r="EE324" i="4"/>
  <c r="FN324" i="4"/>
  <c r="EK325" i="4"/>
  <c r="FB323" i="4"/>
  <c r="CJ243" i="4"/>
  <c r="FB324" i="4"/>
  <c r="DL323" i="4"/>
  <c r="GO243" i="4"/>
  <c r="DI325" i="4"/>
  <c r="CX243" i="4"/>
  <c r="AT226" i="4"/>
  <c r="FN243" i="4"/>
  <c r="EG323" i="4"/>
  <c r="ES323" i="4"/>
  <c r="EL243" i="4"/>
  <c r="CF81" i="4"/>
  <c r="CF24" i="4"/>
  <c r="FN148" i="4"/>
  <c r="EY324" i="4"/>
  <c r="DI324" i="4"/>
  <c r="GH324" i="4"/>
  <c r="AP224" i="4"/>
  <c r="GM323" i="4"/>
  <c r="EI325" i="4"/>
  <c r="CF243" i="4"/>
  <c r="DJ243" i="4"/>
  <c r="DS243" i="4"/>
  <c r="CV325" i="4"/>
  <c r="AD325" i="4" s="1"/>
  <c r="DC323" i="4"/>
  <c r="AR226" i="4"/>
  <c r="EN325" i="4"/>
  <c r="CV323" i="4"/>
  <c r="AD323" i="4" s="1"/>
  <c r="GM325" i="4"/>
  <c r="BX324" i="4"/>
  <c r="EK243" i="4"/>
  <c r="CH324" i="4"/>
  <c r="CF47" i="4"/>
  <c r="CH127" i="4"/>
  <c r="CH59" i="4"/>
  <c r="CF92" i="4"/>
  <c r="CF37" i="4"/>
  <c r="CF232" i="4"/>
  <c r="FR274" i="4"/>
  <c r="FR323" i="4"/>
  <c r="FR243" i="4"/>
  <c r="EZ324" i="4"/>
  <c r="DJ324" i="4"/>
  <c r="GI324" i="4"/>
  <c r="CO325" i="4"/>
  <c r="CZ323" i="4"/>
  <c r="EE243" i="4"/>
  <c r="EI243" i="4"/>
  <c r="DB324" i="4"/>
  <c r="CU325" i="4"/>
  <c r="CN323" i="4"/>
  <c r="CJ325" i="4"/>
  <c r="AP287" i="4"/>
  <c r="CF324" i="4"/>
  <c r="DE243" i="4"/>
  <c r="CX324" i="4"/>
  <c r="DB325" i="4"/>
  <c r="EE325" i="4"/>
  <c r="AR287" i="4"/>
  <c r="DP243" i="4"/>
  <c r="FN323" i="4"/>
  <c r="CF91" i="4"/>
  <c r="CF43" i="4"/>
  <c r="CF34" i="4"/>
  <c r="CH50" i="4"/>
  <c r="EK324" i="4"/>
  <c r="CV324" i="4"/>
  <c r="DW324" i="4"/>
  <c r="DL324" i="4"/>
  <c r="FF243" i="4"/>
  <c r="AT104" i="4"/>
  <c r="AP190" i="4"/>
  <c r="GH323" i="4"/>
  <c r="AP222" i="4"/>
  <c r="AP226" i="4"/>
  <c r="DC325" i="4"/>
  <c r="DQ323" i="4"/>
  <c r="AR190" i="4"/>
  <c r="GI243" i="4"/>
  <c r="FY325" i="4"/>
  <c r="EG311" i="4"/>
  <c r="DP75" i="4"/>
  <c r="CB311" i="4"/>
  <c r="FK190" i="4"/>
  <c r="DZ221" i="4"/>
  <c r="CH190" i="4"/>
  <c r="EN311" i="4"/>
  <c r="CF190" i="4"/>
  <c r="FM233" i="4"/>
  <c r="DS311" i="4"/>
  <c r="EN174" i="4"/>
  <c r="FM174" i="4"/>
  <c r="GP190" i="4"/>
  <c r="DE104" i="4"/>
  <c r="FN202" i="4"/>
  <c r="ER224" i="4"/>
  <c r="ES303" i="4"/>
  <c r="ER340" i="4"/>
  <c r="ER103" i="4"/>
  <c r="ER303" i="4"/>
  <c r="ER223" i="4"/>
  <c r="ES104" i="4"/>
  <c r="ES103" i="4"/>
  <c r="ES311" i="4"/>
  <c r="ER104" i="4"/>
  <c r="ER287" i="4"/>
  <c r="ER222" i="4"/>
  <c r="ES287" i="4"/>
  <c r="ES222" i="4"/>
  <c r="ES224" i="4"/>
  <c r="ES340" i="4"/>
  <c r="ES223" i="4"/>
  <c r="ER226" i="4"/>
  <c r="ES226" i="4"/>
  <c r="EW103" i="4"/>
  <c r="EW340" i="4"/>
  <c r="EW222" i="4"/>
  <c r="EW224" i="4"/>
  <c r="EW226" i="4"/>
  <c r="EW104" i="4"/>
  <c r="EW223" i="4"/>
  <c r="EW303" i="4"/>
  <c r="EW287" i="4"/>
  <c r="AR64" i="4"/>
  <c r="AT285" i="4"/>
  <c r="EP311" i="4"/>
  <c r="EE311" i="4"/>
  <c r="CX311" i="4"/>
  <c r="ED190" i="4"/>
  <c r="CV190" i="4"/>
  <c r="BZ103" i="4"/>
  <c r="BZ104" i="4"/>
  <c r="BZ222" i="4"/>
  <c r="BZ226" i="4"/>
  <c r="BZ303" i="4"/>
  <c r="BZ223" i="4"/>
  <c r="BZ340" i="4"/>
  <c r="BZ287" i="4"/>
  <c r="BZ224" i="4"/>
  <c r="DW351" i="4"/>
  <c r="DW103" i="4"/>
  <c r="DX223" i="4"/>
  <c r="DW303" i="4"/>
  <c r="DW190" i="4"/>
  <c r="DX303" i="4"/>
  <c r="DX103" i="4"/>
  <c r="DW223" i="4"/>
  <c r="DW340" i="4"/>
  <c r="DW311" i="4"/>
  <c r="DX104" i="4"/>
  <c r="DW287" i="4"/>
  <c r="DW104" i="4"/>
  <c r="DX287" i="4"/>
  <c r="DX224" i="4"/>
  <c r="DW224" i="4"/>
  <c r="DW222" i="4"/>
  <c r="DX222" i="4"/>
  <c r="DW226" i="4"/>
  <c r="DX340" i="4"/>
  <c r="DX226" i="4"/>
  <c r="CJ102" i="4"/>
  <c r="CJ103" i="4"/>
  <c r="CJ287" i="4"/>
  <c r="CJ223" i="4"/>
  <c r="CJ222" i="4"/>
  <c r="CJ226" i="4"/>
  <c r="CJ104" i="4"/>
  <c r="CJ303" i="4"/>
  <c r="CJ340" i="4"/>
  <c r="CJ224" i="4"/>
  <c r="EI223" i="4"/>
  <c r="EI287" i="4"/>
  <c r="EI103" i="4"/>
  <c r="EI224" i="4"/>
  <c r="EI104" i="4"/>
  <c r="EI226" i="4"/>
  <c r="EI303" i="4"/>
  <c r="GO263" i="4"/>
  <c r="GP224" i="4"/>
  <c r="GO104" i="4"/>
  <c r="GP104" i="4"/>
  <c r="GP340" i="4"/>
  <c r="GO222" i="4"/>
  <c r="GP222" i="4"/>
  <c r="GO223" i="4"/>
  <c r="GP226" i="4"/>
  <c r="GP223" i="4"/>
  <c r="GO226" i="4"/>
  <c r="GO103" i="4"/>
  <c r="GO303" i="4"/>
  <c r="GO224" i="4"/>
  <c r="GP303" i="4"/>
  <c r="GP103" i="4"/>
  <c r="GO340" i="4"/>
  <c r="GP311" i="4"/>
  <c r="GO287" i="4"/>
  <c r="GP287" i="4"/>
  <c r="AT64" i="4"/>
  <c r="FF311" i="4"/>
  <c r="CJ311" i="4"/>
  <c r="EE190" i="4"/>
  <c r="EW190" i="4"/>
  <c r="CD223" i="4"/>
  <c r="CD224" i="4"/>
  <c r="CD340" i="4"/>
  <c r="CD287" i="4"/>
  <c r="CD104" i="4"/>
  <c r="CD226" i="4"/>
  <c r="CD103" i="4"/>
  <c r="CD222" i="4"/>
  <c r="CD303" i="4"/>
  <c r="AP64" i="4"/>
  <c r="AR129" i="4"/>
  <c r="EB311" i="4"/>
  <c r="BZ311" i="4"/>
  <c r="GA311" i="4"/>
  <c r="CZ190" i="4"/>
  <c r="DQ45" i="4"/>
  <c r="DP287" i="4"/>
  <c r="DQ340" i="4"/>
  <c r="DQ303" i="4"/>
  <c r="DQ287" i="4"/>
  <c r="DP303" i="4"/>
  <c r="DP103" i="4"/>
  <c r="DP223" i="4"/>
  <c r="DQ104" i="4"/>
  <c r="DP104" i="4"/>
  <c r="DQ103" i="4"/>
  <c r="DP222" i="4"/>
  <c r="DP224" i="4"/>
  <c r="DQ222" i="4"/>
  <c r="DQ224" i="4"/>
  <c r="DQ190" i="4"/>
  <c r="DQ226" i="4"/>
  <c r="DQ311" i="4"/>
  <c r="DP340" i="4"/>
  <c r="DQ223" i="4"/>
  <c r="DP226" i="4"/>
  <c r="FR104" i="4"/>
  <c r="FR226" i="4"/>
  <c r="FR287" i="4"/>
  <c r="FR303" i="4"/>
  <c r="FR103" i="4"/>
  <c r="FR222" i="4"/>
  <c r="FR223" i="4"/>
  <c r="FR340" i="4"/>
  <c r="FR224" i="4"/>
  <c r="AT175" i="4"/>
  <c r="GH311" i="4"/>
  <c r="FY311" i="4"/>
  <c r="ER311" i="4"/>
  <c r="DI190" i="4"/>
  <c r="EP344" i="4"/>
  <c r="EP226" i="4"/>
  <c r="EP340" i="4"/>
  <c r="EP303" i="4"/>
  <c r="EP190" i="4"/>
  <c r="EP222" i="4"/>
  <c r="EP104" i="4"/>
  <c r="EP287" i="4"/>
  <c r="EP224" i="4"/>
  <c r="EP103" i="4"/>
  <c r="EP223" i="4"/>
  <c r="AP279" i="4"/>
  <c r="FM311" i="4"/>
  <c r="CF311" i="4"/>
  <c r="FK311" i="4"/>
  <c r="DS190" i="4"/>
  <c r="DJ190" i="4"/>
  <c r="CD190" i="4"/>
  <c r="BX190" i="4"/>
  <c r="BX104" i="4"/>
  <c r="BX103" i="4"/>
  <c r="BX287" i="4"/>
  <c r="BX224" i="4"/>
  <c r="BX226" i="4"/>
  <c r="BX223" i="4"/>
  <c r="BX303" i="4"/>
  <c r="BX340" i="4"/>
  <c r="BX222" i="4"/>
  <c r="FK224" i="4"/>
  <c r="FK223" i="4"/>
  <c r="FK340" i="4"/>
  <c r="FK104" i="4"/>
  <c r="FK103" i="4"/>
  <c r="FK287" i="4"/>
  <c r="FK222" i="4"/>
  <c r="FK226" i="4"/>
  <c r="FK303" i="4"/>
  <c r="CV271" i="4"/>
  <c r="CU311" i="4"/>
  <c r="CU287" i="4"/>
  <c r="CV224" i="4"/>
  <c r="AD224" i="4" s="1"/>
  <c r="CV287" i="4"/>
  <c r="CV222" i="4"/>
  <c r="AD222" i="4" s="1"/>
  <c r="CU223" i="4"/>
  <c r="CU222" i="4"/>
  <c r="CV103" i="4"/>
  <c r="AD103" i="4" s="1"/>
  <c r="CV226" i="4"/>
  <c r="CU224" i="4"/>
  <c r="CU226" i="4"/>
  <c r="CV104" i="4"/>
  <c r="AD104" i="4" s="1"/>
  <c r="CU303" i="4"/>
  <c r="CU190" i="4"/>
  <c r="CU104" i="4"/>
  <c r="CV303" i="4"/>
  <c r="AD303" i="4" s="1"/>
  <c r="CU340" i="4"/>
  <c r="CU103" i="4"/>
  <c r="CV340" i="4"/>
  <c r="AD340" i="4" s="1"/>
  <c r="CV311" i="4"/>
  <c r="AD311" i="4" s="1"/>
  <c r="CV223" i="4"/>
  <c r="AD223" i="4" s="1"/>
  <c r="EL311" i="4"/>
  <c r="EL224" i="4"/>
  <c r="EL223" i="4"/>
  <c r="EK303" i="4"/>
  <c r="EL340" i="4"/>
  <c r="EK222" i="4"/>
  <c r="EK287" i="4"/>
  <c r="EL303" i="4"/>
  <c r="EL222" i="4"/>
  <c r="EL287" i="4"/>
  <c r="EL104" i="4"/>
  <c r="EK223" i="4"/>
  <c r="EL190" i="4"/>
  <c r="EK104" i="4"/>
  <c r="EK340" i="4"/>
  <c r="EK103" i="4"/>
  <c r="EK190" i="4"/>
  <c r="EK224" i="4"/>
  <c r="EL226" i="4"/>
  <c r="EL103" i="4"/>
  <c r="EK226" i="4"/>
  <c r="EY189" i="4"/>
  <c r="EY103" i="4"/>
  <c r="EZ287" i="4"/>
  <c r="EY303" i="4"/>
  <c r="EY223" i="4"/>
  <c r="EZ303" i="4"/>
  <c r="EY222" i="4"/>
  <c r="EZ222" i="4"/>
  <c r="EZ103" i="4"/>
  <c r="EZ340" i="4"/>
  <c r="EY224" i="4"/>
  <c r="EY340" i="4"/>
  <c r="EZ223" i="4"/>
  <c r="EY311" i="4"/>
  <c r="EY104" i="4"/>
  <c r="EZ226" i="4"/>
  <c r="EZ224" i="4"/>
  <c r="EZ311" i="4"/>
  <c r="EY287" i="4"/>
  <c r="EZ104" i="4"/>
  <c r="EY226" i="4"/>
  <c r="AP175" i="4"/>
  <c r="EW311" i="4"/>
  <c r="DP311" i="4"/>
  <c r="FU223" i="4"/>
  <c r="FU226" i="4"/>
  <c r="FT222" i="4"/>
  <c r="FT103" i="4"/>
  <c r="FT226" i="4"/>
  <c r="FU222" i="4"/>
  <c r="FT340" i="4"/>
  <c r="FT303" i="4"/>
  <c r="FU103" i="4"/>
  <c r="FT104" i="4"/>
  <c r="FU303" i="4"/>
  <c r="FU104" i="4"/>
  <c r="FT223" i="4"/>
  <c r="FU311" i="4"/>
  <c r="FT287" i="4"/>
  <c r="FT224" i="4"/>
  <c r="FU287" i="4"/>
  <c r="FU224" i="4"/>
  <c r="FU340" i="4"/>
  <c r="CH103" i="4"/>
  <c r="CH340" i="4"/>
  <c r="CH223" i="4"/>
  <c r="CH222" i="4"/>
  <c r="CH287" i="4"/>
  <c r="CH104" i="4"/>
  <c r="CH226" i="4"/>
  <c r="CH303" i="4"/>
  <c r="CH224" i="4"/>
  <c r="DJ285" i="4"/>
  <c r="DI104" i="4"/>
  <c r="DI222" i="4"/>
  <c r="DI223" i="4"/>
  <c r="DJ103" i="4"/>
  <c r="DJ104" i="4"/>
  <c r="DJ222" i="4"/>
  <c r="DJ226" i="4"/>
  <c r="DJ224" i="4"/>
  <c r="DI226" i="4"/>
  <c r="DI303" i="4"/>
  <c r="DJ303" i="4"/>
  <c r="DI340" i="4"/>
  <c r="DJ340" i="4"/>
  <c r="DI311" i="4"/>
  <c r="DJ223" i="4"/>
  <c r="DI287" i="4"/>
  <c r="DI103" i="4"/>
  <c r="DJ287" i="4"/>
  <c r="DI224" i="4"/>
  <c r="FF224" i="4"/>
  <c r="FF303" i="4"/>
  <c r="FG340" i="4"/>
  <c r="FG303" i="4"/>
  <c r="FG223" i="4"/>
  <c r="FF340" i="4"/>
  <c r="FF103" i="4"/>
  <c r="FF190" i="4"/>
  <c r="FG224" i="4"/>
  <c r="FG190" i="4"/>
  <c r="FG103" i="4"/>
  <c r="FG311" i="4"/>
  <c r="FF287" i="4"/>
  <c r="FG287" i="4"/>
  <c r="FF223" i="4"/>
  <c r="FG104" i="4"/>
  <c r="FG226" i="4"/>
  <c r="FF222" i="4"/>
  <c r="FF104" i="4"/>
  <c r="FF226" i="4"/>
  <c r="FG222" i="4"/>
  <c r="AP263" i="4"/>
  <c r="DL311" i="4"/>
  <c r="GO311" i="4"/>
  <c r="ES190" i="4"/>
  <c r="EY190" i="4"/>
  <c r="EI190" i="4"/>
  <c r="FT190" i="4"/>
  <c r="FR190" i="4"/>
  <c r="DG129" i="4"/>
  <c r="DG340" i="4"/>
  <c r="DG226" i="4"/>
  <c r="DG222" i="4"/>
  <c r="DG303" i="4"/>
  <c r="DG287" i="4"/>
  <c r="DG103" i="4"/>
  <c r="DG223" i="4"/>
  <c r="DG224" i="4"/>
  <c r="DG104" i="4"/>
  <c r="EG340" i="4"/>
  <c r="EG226" i="4"/>
  <c r="EG104" i="4"/>
  <c r="EG303" i="4"/>
  <c r="EG103" i="4"/>
  <c r="EG287" i="4"/>
  <c r="EG222" i="4"/>
  <c r="EG223" i="4"/>
  <c r="EG224" i="4"/>
  <c r="FN104" i="4"/>
  <c r="FN340" i="4"/>
  <c r="FM104" i="4"/>
  <c r="FM223" i="4"/>
  <c r="FN311" i="4"/>
  <c r="FM287" i="4"/>
  <c r="FN287" i="4"/>
  <c r="FM224" i="4"/>
  <c r="FM340" i="4"/>
  <c r="FM103" i="4"/>
  <c r="FM190" i="4"/>
  <c r="FN223" i="4"/>
  <c r="FN226" i="4"/>
  <c r="FN103" i="4"/>
  <c r="FM226" i="4"/>
  <c r="FN224" i="4"/>
  <c r="FM303" i="4"/>
  <c r="FM222" i="4"/>
  <c r="FN303" i="4"/>
  <c r="FN222" i="4"/>
  <c r="DZ311" i="4"/>
  <c r="DZ222" i="4"/>
  <c r="DZ340" i="4"/>
  <c r="DZ104" i="4"/>
  <c r="DZ223" i="4"/>
  <c r="DZ226" i="4"/>
  <c r="DZ303" i="4"/>
  <c r="DZ224" i="4"/>
  <c r="DZ287" i="4"/>
  <c r="DZ190" i="4"/>
  <c r="DZ103" i="4"/>
  <c r="AR285" i="4"/>
  <c r="AP285" i="4"/>
  <c r="DG311" i="4"/>
  <c r="CN311" i="4"/>
  <c r="DX311" i="4"/>
  <c r="ER190" i="4"/>
  <c r="CX190" i="4"/>
  <c r="EZ190" i="4"/>
  <c r="DL190" i="4"/>
  <c r="FU190" i="4"/>
  <c r="GH315" i="4"/>
  <c r="GH190" i="4"/>
  <c r="GI190" i="4"/>
  <c r="GI226" i="4"/>
  <c r="GI223" i="4"/>
  <c r="GH103" i="4"/>
  <c r="GH226" i="4"/>
  <c r="GH303" i="4"/>
  <c r="GI311" i="4"/>
  <c r="GI303" i="4"/>
  <c r="GH340" i="4"/>
  <c r="GH287" i="4"/>
  <c r="GH222" i="4"/>
  <c r="GI287" i="4"/>
  <c r="GH223" i="4"/>
  <c r="GI340" i="4"/>
  <c r="GI222" i="4"/>
  <c r="GI103" i="4"/>
  <c r="GI104" i="4"/>
  <c r="GH104" i="4"/>
  <c r="GI224" i="4"/>
  <c r="GH224" i="4"/>
  <c r="EN129" i="4"/>
  <c r="EN340" i="4"/>
  <c r="EN190" i="4"/>
  <c r="EN222" i="4"/>
  <c r="EN104" i="4"/>
  <c r="EN223" i="4"/>
  <c r="EN287" i="4"/>
  <c r="EN224" i="4"/>
  <c r="EN103" i="4"/>
  <c r="EN226" i="4"/>
  <c r="EN303" i="4"/>
  <c r="AP129" i="4"/>
  <c r="AP357" i="4"/>
  <c r="BX311" i="4"/>
  <c r="CD311" i="4"/>
  <c r="FT311" i="4"/>
  <c r="CH311" i="4"/>
  <c r="CO190" i="4"/>
  <c r="EG190" i="4"/>
  <c r="AT304" i="4"/>
  <c r="AT129" i="4"/>
  <c r="AT279" i="4"/>
  <c r="CZ230" i="4"/>
  <c r="CZ224" i="4"/>
  <c r="CZ104" i="4"/>
  <c r="CZ226" i="4"/>
  <c r="CZ303" i="4"/>
  <c r="CZ103" i="4"/>
  <c r="CZ287" i="4"/>
  <c r="CZ223" i="4"/>
  <c r="CZ222" i="4"/>
  <c r="CZ340" i="4"/>
  <c r="CX304" i="4"/>
  <c r="CX223" i="4"/>
  <c r="CX222" i="4"/>
  <c r="CX287" i="4"/>
  <c r="CX103" i="4"/>
  <c r="CX226" i="4"/>
  <c r="CX303" i="4"/>
  <c r="CX104" i="4"/>
  <c r="CX224" i="4"/>
  <c r="CX340" i="4"/>
  <c r="DL233" i="4"/>
  <c r="DL226" i="4"/>
  <c r="DL303" i="4"/>
  <c r="DL222" i="4"/>
  <c r="DL103" i="4"/>
  <c r="DL287" i="4"/>
  <c r="DL340" i="4"/>
  <c r="DL223" i="4"/>
  <c r="DL104" i="4"/>
  <c r="DL224" i="4"/>
  <c r="GA129" i="4"/>
  <c r="GB103" i="4"/>
  <c r="GB311" i="4"/>
  <c r="GA287" i="4"/>
  <c r="GB287" i="4"/>
  <c r="GB226" i="4"/>
  <c r="GB224" i="4"/>
  <c r="GA226" i="4"/>
  <c r="GB340" i="4"/>
  <c r="GA103" i="4"/>
  <c r="GA104" i="4"/>
  <c r="GA303" i="4"/>
  <c r="GB104" i="4"/>
  <c r="GB303" i="4"/>
  <c r="GA223" i="4"/>
  <c r="GA222" i="4"/>
  <c r="GA340" i="4"/>
  <c r="GB222" i="4"/>
  <c r="GB223" i="4"/>
  <c r="GA224" i="4"/>
  <c r="DJ311" i="4"/>
  <c r="CJ190" i="4"/>
  <c r="DX190" i="4"/>
  <c r="DG190" i="4"/>
  <c r="AR212" i="4"/>
  <c r="AR304" i="4"/>
  <c r="AR263" i="4"/>
  <c r="AR279" i="4"/>
  <c r="DB226" i="4"/>
  <c r="DC223" i="4"/>
  <c r="DC226" i="4"/>
  <c r="DB311" i="4"/>
  <c r="DB303" i="4"/>
  <c r="DB287" i="4"/>
  <c r="DB103" i="4"/>
  <c r="DC303" i="4"/>
  <c r="DC287" i="4"/>
  <c r="DC103" i="4"/>
  <c r="DB224" i="4"/>
  <c r="DC224" i="4"/>
  <c r="DC340" i="4"/>
  <c r="DC222" i="4"/>
  <c r="DB190" i="4"/>
  <c r="DB223" i="4"/>
  <c r="DC190" i="4"/>
  <c r="DC104" i="4"/>
  <c r="DB104" i="4"/>
  <c r="DB340" i="4"/>
  <c r="GM64" i="4"/>
  <c r="GM104" i="4"/>
  <c r="GM190" i="4"/>
  <c r="GM224" i="4"/>
  <c r="GM222" i="4"/>
  <c r="GM226" i="4"/>
  <c r="GM303" i="4"/>
  <c r="GM103" i="4"/>
  <c r="GM287" i="4"/>
  <c r="GM340" i="4"/>
  <c r="GM223" i="4"/>
  <c r="CN146" i="4"/>
  <c r="CO224" i="4"/>
  <c r="CN103" i="4"/>
  <c r="CN223" i="4"/>
  <c r="CO103" i="4"/>
  <c r="CN104" i="4"/>
  <c r="CO223" i="4"/>
  <c r="CO104" i="4"/>
  <c r="CO311" i="4"/>
  <c r="CO226" i="4"/>
  <c r="CN190" i="4"/>
  <c r="CN287" i="4"/>
  <c r="CN340" i="4"/>
  <c r="CN226" i="4"/>
  <c r="CO287" i="4"/>
  <c r="CO303" i="4"/>
  <c r="CO340" i="4"/>
  <c r="CN303" i="4"/>
  <c r="CN224" i="4"/>
  <c r="CN222" i="4"/>
  <c r="CO222" i="4"/>
  <c r="CF223" i="4"/>
  <c r="CF224" i="4"/>
  <c r="CF104" i="4"/>
  <c r="CF103" i="4"/>
  <c r="CF226" i="4"/>
  <c r="CF222" i="4"/>
  <c r="CF287" i="4"/>
  <c r="CF303" i="4"/>
  <c r="CF340" i="4"/>
  <c r="AT263" i="4"/>
  <c r="AR175" i="4"/>
  <c r="GM311" i="4"/>
  <c r="EK311" i="4"/>
  <c r="FR311" i="4"/>
  <c r="GB190" i="4"/>
  <c r="BZ190" i="4"/>
  <c r="CB287" i="4"/>
  <c r="CB103" i="4"/>
  <c r="CB226" i="4"/>
  <c r="CB224" i="4"/>
  <c r="CB303" i="4"/>
  <c r="CB222" i="4"/>
  <c r="CB340" i="4"/>
  <c r="CB190" i="4"/>
  <c r="CB223" i="4"/>
  <c r="CB104" i="4"/>
  <c r="CU161" i="4"/>
  <c r="EB64" i="4"/>
  <c r="EB223" i="4"/>
  <c r="EB340" i="4"/>
  <c r="EB222" i="4"/>
  <c r="EB190" i="4"/>
  <c r="EB103" i="4"/>
  <c r="EB224" i="4"/>
  <c r="EB226" i="4"/>
  <c r="EB303" i="4"/>
  <c r="EB287" i="4"/>
  <c r="EB104" i="4"/>
  <c r="ED287" i="4"/>
  <c r="EE226" i="4"/>
  <c r="ED103" i="4"/>
  <c r="EE287" i="4"/>
  <c r="ED226" i="4"/>
  <c r="EE224" i="4"/>
  <c r="ED303" i="4"/>
  <c r="EE303" i="4"/>
  <c r="ED222" i="4"/>
  <c r="EE222" i="4"/>
  <c r="ED223" i="4"/>
  <c r="ED340" i="4"/>
  <c r="EE103" i="4"/>
  <c r="ED104" i="4"/>
  <c r="EE223" i="4"/>
  <c r="ED224" i="4"/>
  <c r="EE104" i="4"/>
  <c r="EE340" i="4"/>
  <c r="ED311" i="4"/>
  <c r="FY271" i="4"/>
  <c r="FY287" i="4"/>
  <c r="FY226" i="4"/>
  <c r="FY303" i="4"/>
  <c r="FY104" i="4"/>
  <c r="FY340" i="4"/>
  <c r="FY222" i="4"/>
  <c r="FY103" i="4"/>
  <c r="FY224" i="4"/>
  <c r="FY223" i="4"/>
  <c r="DS285" i="4"/>
  <c r="DS287" i="4"/>
  <c r="DS226" i="4"/>
  <c r="DS222" i="4"/>
  <c r="DS303" i="4"/>
  <c r="DS223" i="4"/>
  <c r="DS340" i="4"/>
  <c r="DS224" i="4"/>
  <c r="DS104" i="4"/>
  <c r="DS103" i="4"/>
  <c r="AT357" i="4"/>
  <c r="AP304" i="4"/>
  <c r="EI311" i="4"/>
  <c r="DC311" i="4"/>
  <c r="GO190" i="4"/>
  <c r="DP190" i="4"/>
  <c r="FN190" i="4"/>
  <c r="GA190" i="4"/>
  <c r="DB222" i="4"/>
  <c r="EI222" i="4"/>
  <c r="EI340" i="4"/>
  <c r="CF129" i="4"/>
  <c r="GB279" i="4"/>
  <c r="GH304" i="4"/>
  <c r="DG357" i="4"/>
  <c r="DP357" i="4"/>
  <c r="EP304" i="4"/>
  <c r="EP64" i="4"/>
  <c r="CV175" i="4"/>
  <c r="AD175" i="4" s="1"/>
  <c r="GA64" i="4"/>
  <c r="CV285" i="4"/>
  <c r="AD285" i="4" s="1"/>
  <c r="DL304" i="4"/>
  <c r="FK351" i="4"/>
  <c r="EK351" i="4"/>
  <c r="CU279" i="4"/>
  <c r="GI304" i="4"/>
  <c r="DL357" i="4"/>
  <c r="CZ175" i="4"/>
  <c r="GI263" i="4"/>
  <c r="CZ304" i="4"/>
  <c r="GB64" i="4"/>
  <c r="GB263" i="4"/>
  <c r="GM129" i="4"/>
  <c r="GH285" i="4"/>
  <c r="EB129" i="4"/>
  <c r="FU177" i="4"/>
  <c r="DW175" i="4"/>
  <c r="CN129" i="4"/>
  <c r="DI45" i="4"/>
  <c r="CV279" i="4"/>
  <c r="GB304" i="4"/>
  <c r="GM263" i="4"/>
  <c r="GM175" i="4"/>
  <c r="EB304" i="4"/>
  <c r="EB279" i="4"/>
  <c r="CX64" i="4"/>
  <c r="DQ64" i="4"/>
  <c r="DL175" i="4"/>
  <c r="EN64" i="4"/>
  <c r="CV263" i="4"/>
  <c r="CU129" i="4"/>
  <c r="DJ263" i="4"/>
  <c r="CB344" i="4"/>
  <c r="DG177" i="4"/>
  <c r="EG350" i="4"/>
  <c r="FN45" i="4"/>
  <c r="FN129" i="4"/>
  <c r="EI129" i="4"/>
  <c r="DJ279" i="4"/>
  <c r="GA304" i="4"/>
  <c r="GM357" i="4"/>
  <c r="CU357" i="4"/>
  <c r="EW357" i="4"/>
  <c r="GH357" i="4"/>
  <c r="GI64" i="4"/>
  <c r="EW64" i="4"/>
  <c r="DI64" i="4"/>
  <c r="DQ263" i="4"/>
  <c r="CZ263" i="4"/>
  <c r="DP175" i="4"/>
  <c r="GH129" i="4"/>
  <c r="FY129" i="4"/>
  <c r="DL129" i="4"/>
  <c r="EN45" i="4"/>
  <c r="CB357" i="4"/>
  <c r="AR344" i="4"/>
  <c r="DI279" i="4"/>
  <c r="DQ304" i="4"/>
  <c r="DS357" i="4"/>
  <c r="CZ357" i="4"/>
  <c r="GI357" i="4"/>
  <c r="GB357" i="4"/>
  <c r="EW175" i="4"/>
  <c r="EN279" i="4"/>
  <c r="CV64" i="4"/>
  <c r="DG263" i="4"/>
  <c r="GA175" i="4"/>
  <c r="CU285" i="4"/>
  <c r="GI285" i="4"/>
  <c r="EW129" i="4"/>
  <c r="DS129" i="4"/>
  <c r="EW285" i="4"/>
  <c r="CX45" i="4"/>
  <c r="GB45" i="4"/>
  <c r="BX64" i="4"/>
  <c r="EZ263" i="4"/>
  <c r="GP279" i="4"/>
  <c r="CU304" i="4"/>
  <c r="DP304" i="4"/>
  <c r="CV357" i="4"/>
  <c r="AD357" i="4" s="1"/>
  <c r="EN263" i="4"/>
  <c r="CZ64" i="4"/>
  <c r="EP279" i="4"/>
  <c r="EP175" i="4"/>
  <c r="CU175" i="4"/>
  <c r="CZ279" i="4"/>
  <c r="DI263" i="4"/>
  <c r="GA285" i="4"/>
  <c r="CX129" i="4"/>
  <c r="CZ129" i="4"/>
  <c r="DJ129" i="4"/>
  <c r="CX285" i="4"/>
  <c r="BZ351" i="4"/>
  <c r="GM344" i="4"/>
  <c r="GO279" i="4"/>
  <c r="CV304" i="4"/>
  <c r="AD304" i="4" s="1"/>
  <c r="GI175" i="4"/>
  <c r="DL279" i="4"/>
  <c r="DS263" i="4"/>
  <c r="GM304" i="4"/>
  <c r="GH263" i="4"/>
  <c r="DP263" i="4"/>
  <c r="GH175" i="4"/>
  <c r="DL285" i="4"/>
  <c r="DG285" i="4"/>
  <c r="CV129" i="4"/>
  <c r="AD129" i="4" s="1"/>
  <c r="BX351" i="4"/>
  <c r="ED45" i="4"/>
  <c r="DQ279" i="4"/>
  <c r="EN357" i="4"/>
  <c r="DG175" i="4"/>
  <c r="DL64" i="4"/>
  <c r="DG304" i="4"/>
  <c r="DP64" i="4"/>
  <c r="FY304" i="4"/>
  <c r="CU64" i="4"/>
  <c r="DG64" i="4"/>
  <c r="CZ285" i="4"/>
  <c r="DI129" i="4"/>
  <c r="EN285" i="4"/>
  <c r="GB129" i="4"/>
  <c r="GI202" i="4"/>
  <c r="EN202" i="4"/>
  <c r="FY161" i="4"/>
  <c r="ES177" i="4"/>
  <c r="EW344" i="4"/>
  <c r="EK64" i="4"/>
  <c r="DP279" i="4"/>
  <c r="DQ357" i="4"/>
  <c r="EP357" i="4"/>
  <c r="CX279" i="4"/>
  <c r="DQ175" i="4"/>
  <c r="DJ64" i="4"/>
  <c r="EW263" i="4"/>
  <c r="DQ129" i="4"/>
  <c r="EP129" i="4"/>
  <c r="EG285" i="4"/>
  <c r="GH279" i="4"/>
  <c r="GP304" i="4"/>
  <c r="GA357" i="4"/>
  <c r="DJ357" i="4"/>
  <c r="CU263" i="4"/>
  <c r="FY64" i="4"/>
  <c r="FY175" i="4"/>
  <c r="DG279" i="4"/>
  <c r="CX175" i="4"/>
  <c r="DS304" i="4"/>
  <c r="DS279" i="4"/>
  <c r="EP263" i="4"/>
  <c r="EB285" i="4"/>
  <c r="EP285" i="4"/>
  <c r="DP129" i="4"/>
  <c r="DI285" i="4"/>
  <c r="CD344" i="4"/>
  <c r="CJ357" i="4"/>
  <c r="EE279" i="4"/>
  <c r="DC129" i="4"/>
  <c r="AP350" i="4"/>
  <c r="GI279" i="4"/>
  <c r="DJ304" i="4"/>
  <c r="EB357" i="4"/>
  <c r="DI357" i="4"/>
  <c r="EW304" i="4"/>
  <c r="EW279" i="4"/>
  <c r="GA263" i="4"/>
  <c r="EB263" i="4"/>
  <c r="FY263" i="4"/>
  <c r="CX263" i="4"/>
  <c r="DL263" i="4"/>
  <c r="FY279" i="4"/>
  <c r="GB175" i="4"/>
  <c r="DP285" i="4"/>
  <c r="FY285" i="4"/>
  <c r="GM285" i="4"/>
  <c r="FU129" i="4"/>
  <c r="CH304" i="4"/>
  <c r="GA279" i="4"/>
  <c r="DI304" i="4"/>
  <c r="CX357" i="4"/>
  <c r="FY357" i="4"/>
  <c r="DS64" i="4"/>
  <c r="GH64" i="4"/>
  <c r="DS175" i="4"/>
  <c r="EN175" i="4"/>
  <c r="EN304" i="4"/>
  <c r="EB175" i="4"/>
  <c r="GM279" i="4"/>
  <c r="DI175" i="4"/>
  <c r="DJ175" i="4"/>
  <c r="GB285" i="4"/>
  <c r="DQ285" i="4"/>
  <c r="GI129" i="4"/>
  <c r="CF45" i="4"/>
  <c r="EL279" i="4"/>
  <c r="FT357" i="4"/>
  <c r="EG357" i="4"/>
  <c r="CO357" i="4"/>
  <c r="CD263" i="4"/>
  <c r="DX263" i="4"/>
  <c r="DZ175" i="4"/>
  <c r="FN64" i="4"/>
  <c r="CD64" i="4"/>
  <c r="CN263" i="4"/>
  <c r="FK64" i="4"/>
  <c r="FT263" i="4"/>
  <c r="GP263" i="4"/>
  <c r="CB304" i="4"/>
  <c r="AR350" i="4"/>
  <c r="EZ129" i="4"/>
  <c r="EG64" i="4"/>
  <c r="DC285" i="4"/>
  <c r="AR177" i="4"/>
  <c r="DZ275" i="4"/>
  <c r="DZ315" i="4"/>
  <c r="EZ279" i="4"/>
  <c r="DB279" i="4"/>
  <c r="DB304" i="4"/>
  <c r="EZ304" i="4"/>
  <c r="DW304" i="4"/>
  <c r="CD357" i="4"/>
  <c r="BX357" i="4"/>
  <c r="EL357" i="4"/>
  <c r="ED357" i="4"/>
  <c r="EK357" i="4"/>
  <c r="DC64" i="4"/>
  <c r="EL263" i="4"/>
  <c r="GP64" i="4"/>
  <c r="CO64" i="4"/>
  <c r="EL64" i="4"/>
  <c r="CB279" i="4"/>
  <c r="AT350" i="4"/>
  <c r="AT351" i="4"/>
  <c r="FN285" i="4"/>
  <c r="ED175" i="4"/>
  <c r="CF285" i="4"/>
  <c r="CO129" i="4"/>
  <c r="EG129" i="4"/>
  <c r="EY279" i="4"/>
  <c r="DC279" i="4"/>
  <c r="DC304" i="4"/>
  <c r="EY304" i="4"/>
  <c r="DX304" i="4"/>
  <c r="FM357" i="4"/>
  <c r="EY357" i="4"/>
  <c r="FR357" i="4"/>
  <c r="DX357" i="4"/>
  <c r="EZ357" i="4"/>
  <c r="DX64" i="4"/>
  <c r="EY175" i="4"/>
  <c r="FR304" i="4"/>
  <c r="FK263" i="4"/>
  <c r="DZ263" i="4"/>
  <c r="EG263" i="4"/>
  <c r="BX285" i="4"/>
  <c r="FM129" i="4"/>
  <c r="GP129" i="4"/>
  <c r="FK129" i="4"/>
  <c r="CJ285" i="4"/>
  <c r="DZ146" i="4"/>
  <c r="ER279" i="4"/>
  <c r="ER304" i="4"/>
  <c r="ER357" i="4"/>
  <c r="DZ357" i="4"/>
  <c r="FK357" i="4"/>
  <c r="CN357" i="4"/>
  <c r="EY64" i="4"/>
  <c r="GO175" i="4"/>
  <c r="EL175" i="4"/>
  <c r="CF304" i="4"/>
  <c r="FT175" i="4"/>
  <c r="FR175" i="4"/>
  <c r="FK175" i="4"/>
  <c r="ER64" i="4"/>
  <c r="CN64" i="4"/>
  <c r="AP177" i="4"/>
  <c r="EY129" i="4"/>
  <c r="BX129" i="4"/>
  <c r="EG304" i="4"/>
  <c r="CD304" i="4"/>
  <c r="ES129" i="4"/>
  <c r="CJ129" i="4"/>
  <c r="DZ129" i="4"/>
  <c r="ED285" i="4"/>
  <c r="ED129" i="4"/>
  <c r="EE285" i="4"/>
  <c r="EE129" i="4"/>
  <c r="ED279" i="4"/>
  <c r="ES279" i="4"/>
  <c r="ES304" i="4"/>
  <c r="EI357" i="4"/>
  <c r="DZ64" i="4"/>
  <c r="BZ175" i="4"/>
  <c r="ER263" i="4"/>
  <c r="FM175" i="4"/>
  <c r="EI64" i="4"/>
  <c r="CB263" i="4"/>
  <c r="ES64" i="4"/>
  <c r="CJ279" i="4"/>
  <c r="DB285" i="4"/>
  <c r="AT177" i="4"/>
  <c r="DZ285" i="4"/>
  <c r="EK129" i="4"/>
  <c r="CD279" i="4"/>
  <c r="ES285" i="4"/>
  <c r="GO129" i="4"/>
  <c r="FU285" i="4"/>
  <c r="CH129" i="4"/>
  <c r="DW279" i="4"/>
  <c r="FM304" i="4"/>
  <c r="CH357" i="4"/>
  <c r="FN357" i="4"/>
  <c r="EE357" i="4"/>
  <c r="CF175" i="4"/>
  <c r="DW263" i="4"/>
  <c r="EI263" i="4"/>
  <c r="GO357" i="4"/>
  <c r="DC263" i="4"/>
  <c r="CB64" i="4"/>
  <c r="FR64" i="4"/>
  <c r="CO263" i="4"/>
  <c r="CJ304" i="4"/>
  <c r="CJ263" i="4"/>
  <c r="FK304" i="4"/>
  <c r="AP351" i="4"/>
  <c r="EI285" i="4"/>
  <c r="EL285" i="4"/>
  <c r="FR285" i="4"/>
  <c r="DW129" i="4"/>
  <c r="FT285" i="4"/>
  <c r="BX279" i="4"/>
  <c r="CD129" i="4"/>
  <c r="CB129" i="4"/>
  <c r="AT45" i="4"/>
  <c r="DX279" i="4"/>
  <c r="FN304" i="4"/>
  <c r="GO304" i="4"/>
  <c r="CF357" i="4"/>
  <c r="BZ357" i="4"/>
  <c r="BX175" i="4"/>
  <c r="DW64" i="4"/>
  <c r="BZ64" i="4"/>
  <c r="EI304" i="4"/>
  <c r="CH64" i="4"/>
  <c r="EY263" i="4"/>
  <c r="CJ175" i="4"/>
  <c r="CO175" i="4"/>
  <c r="EK263" i="4"/>
  <c r="CB175" i="4"/>
  <c r="FK279" i="4"/>
  <c r="CH175" i="4"/>
  <c r="CB285" i="4"/>
  <c r="AT344" i="4"/>
  <c r="GO64" i="4"/>
  <c r="DB129" i="4"/>
  <c r="AR45" i="4"/>
  <c r="CN285" i="4"/>
  <c r="EY285" i="4"/>
  <c r="AP45" i="4"/>
  <c r="FR129" i="4"/>
  <c r="FU279" i="4"/>
  <c r="CO304" i="4"/>
  <c r="FU304" i="4"/>
  <c r="BX263" i="4"/>
  <c r="CF64" i="4"/>
  <c r="EZ64" i="4"/>
  <c r="EE263" i="4"/>
  <c r="DB263" i="4"/>
  <c r="FR279" i="4"/>
  <c r="EI175" i="4"/>
  <c r="CD175" i="4"/>
  <c r="DB64" i="4"/>
  <c r="GP285" i="4"/>
  <c r="DW285" i="4"/>
  <c r="BZ285" i="4"/>
  <c r="DX285" i="4"/>
  <c r="CO285" i="4"/>
  <c r="FT279" i="4"/>
  <c r="CN304" i="4"/>
  <c r="FT304" i="4"/>
  <c r="DW357" i="4"/>
  <c r="ES357" i="4"/>
  <c r="DB357" i="4"/>
  <c r="EZ175" i="4"/>
  <c r="CF279" i="4"/>
  <c r="FM64" i="4"/>
  <c r="ED64" i="4"/>
  <c r="ED263" i="4"/>
  <c r="EE175" i="4"/>
  <c r="DC175" i="4"/>
  <c r="BZ279" i="4"/>
  <c r="CJ64" i="4"/>
  <c r="CH285" i="4"/>
  <c r="FT64" i="4"/>
  <c r="CD285" i="4"/>
  <c r="DZ279" i="4"/>
  <c r="AP344" i="4"/>
  <c r="EZ285" i="4"/>
  <c r="FM279" i="4"/>
  <c r="CO279" i="4"/>
  <c r="EL304" i="4"/>
  <c r="EE304" i="4"/>
  <c r="DC357" i="4"/>
  <c r="BX304" i="4"/>
  <c r="EK175" i="4"/>
  <c r="FU64" i="4"/>
  <c r="ES175" i="4"/>
  <c r="CH263" i="4"/>
  <c r="DB175" i="4"/>
  <c r="FU263" i="4"/>
  <c r="DX175" i="4"/>
  <c r="CN175" i="4"/>
  <c r="ER285" i="4"/>
  <c r="ER175" i="4"/>
  <c r="EL129" i="4"/>
  <c r="FM285" i="4"/>
  <c r="AR351" i="4"/>
  <c r="FT129" i="4"/>
  <c r="ER129" i="4"/>
  <c r="EK285" i="4"/>
  <c r="FN279" i="4"/>
  <c r="CN279" i="4"/>
  <c r="EK304" i="4"/>
  <c r="ED304" i="4"/>
  <c r="GP357" i="4"/>
  <c r="GP175" i="4"/>
  <c r="BZ304" i="4"/>
  <c r="FN175" i="4"/>
  <c r="EE64" i="4"/>
  <c r="CH279" i="4"/>
  <c r="FU175" i="4"/>
  <c r="EG175" i="4"/>
  <c r="BZ129" i="4"/>
  <c r="DX129" i="4"/>
  <c r="EG279" i="4"/>
  <c r="GO285" i="4"/>
  <c r="FK285" i="4"/>
  <c r="EK279" i="4"/>
  <c r="FU357" i="4"/>
  <c r="BZ263" i="4"/>
  <c r="ES263" i="4"/>
  <c r="FR263" i="4"/>
  <c r="CF263" i="4"/>
  <c r="EI279" i="4"/>
  <c r="FN263" i="4"/>
  <c r="FM263" i="4"/>
  <c r="DZ304" i="4"/>
  <c r="GP344" i="4"/>
  <c r="FU344" i="4"/>
  <c r="ER344" i="4"/>
  <c r="EI344" i="4"/>
  <c r="DI177" i="4"/>
  <c r="EN177" i="4"/>
  <c r="CV351" i="4"/>
  <c r="AD351" i="4" s="1"/>
  <c r="EY350" i="4"/>
  <c r="CH350" i="4"/>
  <c r="EL351" i="4"/>
  <c r="CU350" i="4"/>
  <c r="FR350" i="4"/>
  <c r="DP177" i="4"/>
  <c r="DX351" i="4"/>
  <c r="DJ350" i="4"/>
  <c r="CB177" i="4"/>
  <c r="EK45" i="4"/>
  <c r="CB351" i="4"/>
  <c r="BX45" i="4"/>
  <c r="CV45" i="4"/>
  <c r="EY45" i="4"/>
  <c r="FN344" i="4"/>
  <c r="CO344" i="4"/>
  <c r="ED344" i="4"/>
  <c r="EG344" i="4"/>
  <c r="CH344" i="4"/>
  <c r="GH351" i="4"/>
  <c r="FK350" i="4"/>
  <c r="BX344" i="4"/>
  <c r="FK177" i="4"/>
  <c r="CZ350" i="4"/>
  <c r="ED177" i="4"/>
  <c r="FT350" i="4"/>
  <c r="EG177" i="4"/>
  <c r="EL45" i="4"/>
  <c r="CD45" i="4"/>
  <c r="EY177" i="4"/>
  <c r="ES45" i="4"/>
  <c r="DP45" i="4"/>
  <c r="FM344" i="4"/>
  <c r="CN344" i="4"/>
  <c r="EE344" i="4"/>
  <c r="DG344" i="4"/>
  <c r="DL344" i="4"/>
  <c r="DB177" i="4"/>
  <c r="BZ177" i="4"/>
  <c r="GI351" i="4"/>
  <c r="CB350" i="4"/>
  <c r="FK344" i="4"/>
  <c r="CD177" i="4"/>
  <c r="ER177" i="4"/>
  <c r="EP350" i="4"/>
  <c r="DS350" i="4"/>
  <c r="EP177" i="4"/>
  <c r="DJ177" i="4"/>
  <c r="EL350" i="4"/>
  <c r="FT45" i="4"/>
  <c r="FM177" i="4"/>
  <c r="GA177" i="4"/>
  <c r="DX45" i="4"/>
  <c r="DZ45" i="4"/>
  <c r="EW45" i="4"/>
  <c r="GM284" i="4"/>
  <c r="DZ276" i="4"/>
  <c r="DZ277" i="4"/>
  <c r="GH344" i="4"/>
  <c r="EK344" i="4"/>
  <c r="CX344" i="4"/>
  <c r="DS344" i="4"/>
  <c r="GM177" i="4"/>
  <c r="DB351" i="4"/>
  <c r="DW350" i="4"/>
  <c r="CX350" i="4"/>
  <c r="CF350" i="4"/>
  <c r="EL177" i="4"/>
  <c r="DS177" i="4"/>
  <c r="DP350" i="4"/>
  <c r="GH350" i="4"/>
  <c r="EZ177" i="4"/>
  <c r="DB350" i="4"/>
  <c r="FK45" i="4"/>
  <c r="DJ45" i="4"/>
  <c r="FR351" i="4"/>
  <c r="GI177" i="4"/>
  <c r="EB351" i="4"/>
  <c r="CU45" i="4"/>
  <c r="GM351" i="4"/>
  <c r="CZ351" i="4"/>
  <c r="FU45" i="4"/>
  <c r="GI344" i="4"/>
  <c r="EL344" i="4"/>
  <c r="EN344" i="4"/>
  <c r="FN350" i="4"/>
  <c r="DW177" i="4"/>
  <c r="DC351" i="4"/>
  <c r="CN350" i="4"/>
  <c r="CZ177" i="4"/>
  <c r="CX177" i="4"/>
  <c r="BX350" i="4"/>
  <c r="GP351" i="4"/>
  <c r="ED350" i="4"/>
  <c r="FY177" i="4"/>
  <c r="FY351" i="4"/>
  <c r="DL351" i="4"/>
  <c r="CB45" i="4"/>
  <c r="EW351" i="4"/>
  <c r="EN351" i="4"/>
  <c r="EI351" i="4"/>
  <c r="GA45" i="4"/>
  <c r="DG351" i="4"/>
  <c r="DZ351" i="4"/>
  <c r="DG45" i="4"/>
  <c r="CJ45" i="4"/>
  <c r="FY45" i="4"/>
  <c r="GI76" i="4"/>
  <c r="FM85" i="4"/>
  <c r="DC344" i="4"/>
  <c r="CF344" i="4"/>
  <c r="BX177" i="4"/>
  <c r="ES350" i="4"/>
  <c r="GP177" i="4"/>
  <c r="EZ350" i="4"/>
  <c r="BZ350" i="4"/>
  <c r="EI177" i="4"/>
  <c r="EY351" i="4"/>
  <c r="EK350" i="4"/>
  <c r="CU177" i="4"/>
  <c r="DI351" i="4"/>
  <c r="DG350" i="4"/>
  <c r="FY350" i="4"/>
  <c r="DI350" i="4"/>
  <c r="CF351" i="4"/>
  <c r="ER45" i="4"/>
  <c r="EG351" i="4"/>
  <c r="DB45" i="4"/>
  <c r="EI45" i="4"/>
  <c r="DS45" i="4"/>
  <c r="GM45" i="4"/>
  <c r="DZ271" i="4"/>
  <c r="DB344" i="4"/>
  <c r="FR344" i="4"/>
  <c r="EB177" i="4"/>
  <c r="EI350" i="4"/>
  <c r="FT177" i="4"/>
  <c r="FR177" i="4"/>
  <c r="EZ351" i="4"/>
  <c r="DC350" i="4"/>
  <c r="DJ351" i="4"/>
  <c r="GB350" i="4"/>
  <c r="DS351" i="4"/>
  <c r="EP351" i="4"/>
  <c r="CX351" i="4"/>
  <c r="CH351" i="4"/>
  <c r="CN177" i="4"/>
  <c r="CJ351" i="4"/>
  <c r="DW45" i="4"/>
  <c r="GI45" i="4"/>
  <c r="EG45" i="4"/>
  <c r="DC45" i="4"/>
  <c r="FM102" i="4"/>
  <c r="DX344" i="4"/>
  <c r="GB344" i="4"/>
  <c r="DI344" i="4"/>
  <c r="EB344" i="4"/>
  <c r="CJ344" i="4"/>
  <c r="CZ344" i="4"/>
  <c r="CH177" i="4"/>
  <c r="DC177" i="4"/>
  <c r="EW177" i="4"/>
  <c r="FT351" i="4"/>
  <c r="GH177" i="4"/>
  <c r="CF177" i="4"/>
  <c r="GI350" i="4"/>
  <c r="CJ350" i="4"/>
  <c r="CV350" i="4"/>
  <c r="AD350" i="4" s="1"/>
  <c r="EZ45" i="4"/>
  <c r="FR45" i="4"/>
  <c r="EP45" i="4"/>
  <c r="DL45" i="4"/>
  <c r="DW344" i="4"/>
  <c r="GA344" i="4"/>
  <c r="DJ344" i="4"/>
  <c r="BZ344" i="4"/>
  <c r="DZ344" i="4"/>
  <c r="FM351" i="4"/>
  <c r="DZ177" i="4"/>
  <c r="FU351" i="4"/>
  <c r="EW350" i="4"/>
  <c r="CD350" i="4"/>
  <c r="EN350" i="4"/>
  <c r="ED351" i="4"/>
  <c r="FM45" i="4"/>
  <c r="EB45" i="4"/>
  <c r="GP45" i="4"/>
  <c r="DP344" i="4"/>
  <c r="CV344" i="4"/>
  <c r="EY344" i="4"/>
  <c r="FN351" i="4"/>
  <c r="FM350" i="4"/>
  <c r="GA351" i="4"/>
  <c r="CO177" i="4"/>
  <c r="CN351" i="4"/>
  <c r="DL350" i="4"/>
  <c r="DQ177" i="4"/>
  <c r="DL177" i="4"/>
  <c r="ER351" i="4"/>
  <c r="EK177" i="4"/>
  <c r="CJ177" i="4"/>
  <c r="EE351" i="4"/>
  <c r="GM350" i="4"/>
  <c r="FU350" i="4"/>
  <c r="CD351" i="4"/>
  <c r="CH45" i="4"/>
  <c r="EE45" i="4"/>
  <c r="DQ344" i="4"/>
  <c r="CU344" i="4"/>
  <c r="EZ344" i="4"/>
  <c r="FY344" i="4"/>
  <c r="FN177" i="4"/>
  <c r="ER350" i="4"/>
  <c r="GB351" i="4"/>
  <c r="DX350" i="4"/>
  <c r="CO351" i="4"/>
  <c r="DZ350" i="4"/>
  <c r="EE177" i="4"/>
  <c r="ES351" i="4"/>
  <c r="DQ350" i="4"/>
  <c r="DP351" i="4"/>
  <c r="GP350" i="4"/>
  <c r="CN45" i="4"/>
  <c r="CZ45" i="4"/>
  <c r="GH45" i="4"/>
  <c r="BZ45" i="4"/>
  <c r="FT344" i="4"/>
  <c r="ES344" i="4"/>
  <c r="DX177" i="4"/>
  <c r="CU351" i="4"/>
  <c r="CO350" i="4"/>
  <c r="GB177" i="4"/>
  <c r="GA350" i="4"/>
  <c r="CV177" i="4"/>
  <c r="AD177" i="4" s="1"/>
  <c r="EE350" i="4"/>
  <c r="EB350" i="4"/>
  <c r="DQ351" i="4"/>
  <c r="CO45" i="4"/>
  <c r="GH85" i="4"/>
  <c r="CX174" i="4"/>
  <c r="EB148" i="4"/>
  <c r="FT202" i="4"/>
  <c r="FU265" i="4"/>
  <c r="FU199" i="4"/>
  <c r="FU147" i="4"/>
  <c r="FT237" i="4"/>
  <c r="CN76" i="4"/>
  <c r="CN102" i="4"/>
  <c r="DP274" i="4"/>
  <c r="FU149" i="4"/>
  <c r="FU280" i="4"/>
  <c r="FT149" i="4"/>
  <c r="GP148" i="4"/>
  <c r="CN220" i="4"/>
  <c r="GP197" i="4"/>
  <c r="GP85" i="4"/>
  <c r="CN197" i="4"/>
  <c r="FT211" i="4"/>
  <c r="FT272" i="4"/>
  <c r="FT220" i="4"/>
  <c r="GM274" i="4"/>
  <c r="FU211" i="4"/>
  <c r="FU273" i="4"/>
  <c r="FT142" i="4"/>
  <c r="FT280" i="4"/>
  <c r="GM148" i="4"/>
  <c r="FU220" i="4"/>
  <c r="GP274" i="4"/>
  <c r="GP161" i="4"/>
  <c r="GP284" i="4"/>
  <c r="GM197" i="4"/>
  <c r="FU164" i="4"/>
  <c r="FU143" i="4"/>
  <c r="FU212" i="4"/>
  <c r="FT199" i="4"/>
  <c r="GM233" i="4"/>
  <c r="FU150" i="4"/>
  <c r="FU264" i="4"/>
  <c r="FU84" i="4"/>
  <c r="FT212" i="4"/>
  <c r="FT150" i="4"/>
  <c r="FT84" i="4"/>
  <c r="FT113" i="4"/>
  <c r="FT75" i="4"/>
  <c r="GM102" i="4"/>
  <c r="GM75" i="4"/>
  <c r="GP233" i="4"/>
  <c r="CN233" i="4"/>
  <c r="GP102" i="4"/>
  <c r="FU213" i="4"/>
  <c r="FU100" i="4"/>
  <c r="FU112" i="4"/>
  <c r="FT143" i="4"/>
  <c r="FT265" i="4"/>
  <c r="FU113" i="4"/>
  <c r="FU75" i="4"/>
  <c r="CN201" i="4"/>
  <c r="CH25" i="4"/>
  <c r="FU142" i="4"/>
  <c r="FU268" i="4"/>
  <c r="FU272" i="4"/>
  <c r="FT56" i="4"/>
  <c r="CN202" i="4"/>
  <c r="FU274" i="4"/>
  <c r="GM76" i="4"/>
  <c r="FU99" i="4"/>
  <c r="FU56" i="4"/>
  <c r="FT112" i="4"/>
  <c r="FT164" i="4"/>
  <c r="FU148" i="4"/>
  <c r="GP75" i="4"/>
  <c r="GP202" i="4"/>
  <c r="CN274" i="4"/>
  <c r="GP201" i="4"/>
  <c r="FT273" i="4"/>
  <c r="FT268" i="4"/>
  <c r="FT213" i="4"/>
  <c r="FT147" i="4"/>
  <c r="FT148" i="4"/>
  <c r="CN113" i="4"/>
  <c r="CN75" i="4"/>
  <c r="CN161" i="4"/>
  <c r="CN174" i="4"/>
  <c r="FU237" i="4"/>
  <c r="FU329" i="4"/>
  <c r="FT329" i="4"/>
  <c r="FT256" i="4"/>
  <c r="FT99" i="4"/>
  <c r="GP220" i="4"/>
  <c r="GM201" i="4"/>
  <c r="GP76" i="4"/>
  <c r="GM161" i="4"/>
  <c r="DP113" i="4"/>
  <c r="DP220" i="4"/>
  <c r="DP202" i="4"/>
  <c r="DQ274" i="4"/>
  <c r="EB233" i="4"/>
  <c r="DL85" i="4"/>
  <c r="DQ75" i="4"/>
  <c r="EW174" i="4"/>
  <c r="CX76" i="4"/>
  <c r="EW201" i="4"/>
  <c r="EW274" i="4"/>
  <c r="EZ284" i="4"/>
  <c r="EW85" i="4"/>
  <c r="DL284" i="4"/>
  <c r="EW197" i="4"/>
  <c r="CZ209" i="4"/>
  <c r="EZ113" i="4"/>
  <c r="EZ174" i="4"/>
  <c r="DL161" i="4"/>
  <c r="EW102" i="4"/>
  <c r="CZ40" i="4"/>
  <c r="EB174" i="4"/>
  <c r="DP148" i="4"/>
  <c r="CZ201" i="4"/>
  <c r="DQ148" i="4"/>
  <c r="EZ202" i="4"/>
  <c r="EZ274" i="4"/>
  <c r="CX201" i="4"/>
  <c r="DL102" i="4"/>
  <c r="DL148" i="4"/>
  <c r="DL201" i="4"/>
  <c r="DP201" i="4"/>
  <c r="EZ201" i="4"/>
  <c r="CX197" i="4"/>
  <c r="EW284" i="4"/>
  <c r="EW161" i="4"/>
  <c r="DP315" i="4"/>
  <c r="EZ75" i="4"/>
  <c r="DL174" i="4"/>
  <c r="EW202" i="4"/>
  <c r="CZ361" i="4"/>
  <c r="EZ220" i="4"/>
  <c r="EZ161" i="4"/>
  <c r="EW220" i="4"/>
  <c r="CX148" i="4"/>
  <c r="DL274" i="4"/>
  <c r="DL202" i="4"/>
  <c r="CZ272" i="4"/>
  <c r="EZ148" i="4"/>
  <c r="EW148" i="4"/>
  <c r="DQ202" i="4"/>
  <c r="DL76" i="4"/>
  <c r="EZ76" i="4"/>
  <c r="DL197" i="4"/>
  <c r="EW75" i="4"/>
  <c r="DP76" i="4"/>
  <c r="DQ201" i="4"/>
  <c r="EI85" i="4"/>
  <c r="DP174" i="4"/>
  <c r="DB220" i="4"/>
  <c r="EN284" i="4"/>
  <c r="FR233" i="4"/>
  <c r="DQ174" i="4"/>
  <c r="EE113" i="4"/>
  <c r="DX220" i="4"/>
  <c r="EK76" i="4"/>
  <c r="EP161" i="4"/>
  <c r="DI220" i="4"/>
  <c r="CH93" i="4"/>
  <c r="DB148" i="4"/>
  <c r="DI274" i="4"/>
  <c r="DZ331" i="4"/>
  <c r="CH77" i="4"/>
  <c r="CH107" i="4"/>
  <c r="CH82" i="4"/>
  <c r="DB174" i="4"/>
  <c r="GH174" i="4"/>
  <c r="GH76" i="4"/>
  <c r="EN201" i="4"/>
  <c r="GH102" i="4"/>
  <c r="DB113" i="4"/>
  <c r="CH171" i="4"/>
  <c r="DI202" i="4"/>
  <c r="DI201" i="4"/>
  <c r="CH70" i="4"/>
  <c r="DI148" i="4"/>
  <c r="DI113" i="4"/>
  <c r="DI75" i="4"/>
  <c r="DZ290" i="4"/>
  <c r="CJ148" i="4"/>
  <c r="CO202" i="4"/>
  <c r="CO113" i="4"/>
  <c r="ES75" i="4"/>
  <c r="EE220" i="4"/>
  <c r="ED274" i="4"/>
  <c r="CO148" i="4"/>
  <c r="EP148" i="4"/>
  <c r="ER113" i="4"/>
  <c r="ER202" i="4"/>
  <c r="EK113" i="4"/>
  <c r="EE202" i="4"/>
  <c r="EP174" i="4"/>
  <c r="CO85" i="4"/>
  <c r="EE148" i="4"/>
  <c r="ED202" i="4"/>
  <c r="EP284" i="4"/>
  <c r="CJ161" i="4"/>
  <c r="ES148" i="4"/>
  <c r="ED148" i="4"/>
  <c r="CO75" i="4"/>
  <c r="ER220" i="4"/>
  <c r="ER148" i="4"/>
  <c r="ES220" i="4"/>
  <c r="ED75" i="4"/>
  <c r="DW201" i="4"/>
  <c r="ED113" i="4"/>
  <c r="EE75" i="4"/>
  <c r="CO274" i="4"/>
  <c r="CJ274" i="4"/>
  <c r="CJ201" i="4"/>
  <c r="CO220" i="4"/>
  <c r="CJ76" i="4"/>
  <c r="EI233" i="4"/>
  <c r="CZ161" i="4"/>
  <c r="DB274" i="4"/>
  <c r="DX233" i="4"/>
  <c r="EP85" i="4"/>
  <c r="GM220" i="4"/>
  <c r="FR85" i="4"/>
  <c r="ES76" i="4"/>
  <c r="DQ233" i="4"/>
  <c r="DQ85" i="4"/>
  <c r="EP274" i="4"/>
  <c r="CV284" i="4"/>
  <c r="AD284" i="4" s="1"/>
  <c r="EP201" i="4"/>
  <c r="EP102" i="4"/>
  <c r="FN274" i="4"/>
  <c r="CV76" i="4"/>
  <c r="AD76" i="4" s="1"/>
  <c r="CU76" i="4"/>
  <c r="EY174" i="4"/>
  <c r="DJ174" i="4"/>
  <c r="EZ197" i="4"/>
  <c r="DI102" i="4"/>
  <c r="FN85" i="4"/>
  <c r="CV85" i="4"/>
  <c r="CU174" i="4"/>
  <c r="FK274" i="4"/>
  <c r="FN174" i="4"/>
  <c r="EY284" i="4"/>
  <c r="DI161" i="4"/>
  <c r="CU102" i="4"/>
  <c r="CV201" i="4"/>
  <c r="DI76" i="4"/>
  <c r="DI284" i="4"/>
  <c r="EY233" i="4"/>
  <c r="CV233" i="4"/>
  <c r="AD233" i="4" s="1"/>
  <c r="EZ85" i="4"/>
  <c r="EP233" i="4"/>
  <c r="EY197" i="4"/>
  <c r="CV102" i="4"/>
  <c r="CU85" i="4"/>
  <c r="EY102" i="4"/>
  <c r="EP76" i="4"/>
  <c r="FR174" i="4"/>
  <c r="EY85" i="4"/>
  <c r="DI197" i="4"/>
  <c r="EZ233" i="4"/>
  <c r="EP197" i="4"/>
  <c r="DI174" i="4"/>
  <c r="CU284" i="4"/>
  <c r="CX233" i="4"/>
  <c r="DS102" i="4"/>
  <c r="EB197" i="4"/>
  <c r="FR284" i="4"/>
  <c r="ER271" i="4"/>
  <c r="CZ339" i="4"/>
  <c r="AR110" i="4"/>
  <c r="AP134" i="4"/>
  <c r="FR102" i="4"/>
  <c r="AP229" i="4"/>
  <c r="AP101" i="4"/>
  <c r="AP151" i="4"/>
  <c r="FR197" i="4"/>
  <c r="AP221" i="4"/>
  <c r="AP170" i="4"/>
  <c r="AP291" i="4"/>
  <c r="AP147" i="4"/>
  <c r="AP264" i="4"/>
  <c r="AP238" i="4"/>
  <c r="AP203" i="4"/>
  <c r="AR276" i="4"/>
  <c r="AP161" i="4"/>
  <c r="AP284" i="4"/>
  <c r="AP262" i="4"/>
  <c r="AP308" i="4"/>
  <c r="AP173" i="4"/>
  <c r="AP321" i="4"/>
  <c r="AP306" i="4"/>
  <c r="AP100" i="4"/>
  <c r="AP295" i="4"/>
  <c r="AP53" i="4"/>
  <c r="AP59" i="4"/>
  <c r="AP140" i="4"/>
  <c r="AP91" i="4"/>
  <c r="AP37" i="4"/>
  <c r="AP136" i="4"/>
  <c r="AP179" i="4"/>
  <c r="AP125" i="4"/>
  <c r="AP274" i="4"/>
  <c r="AP113" i="4"/>
  <c r="AP294" i="4"/>
  <c r="AP132" i="4"/>
  <c r="AP112" i="4"/>
  <c r="AP159" i="4"/>
  <c r="AP198" i="4"/>
  <c r="AP219" i="4"/>
  <c r="AP44" i="4"/>
  <c r="AP342" i="4"/>
  <c r="AP84" i="4"/>
  <c r="AP349" i="4"/>
  <c r="AP99" i="4"/>
  <c r="AP331" i="4"/>
  <c r="AP232" i="4"/>
  <c r="AP65" i="4"/>
  <c r="AP38" i="4"/>
  <c r="AP207" i="4"/>
  <c r="AP69" i="4"/>
  <c r="AP130" i="4"/>
  <c r="AP128" i="4"/>
  <c r="AP121" i="4"/>
  <c r="AP40" i="4"/>
  <c r="AP87" i="4"/>
  <c r="AP106" i="4"/>
  <c r="AP85" i="4"/>
  <c r="AP184" i="4"/>
  <c r="AP314" i="4"/>
  <c r="AP195" i="4"/>
  <c r="AP309" i="4"/>
  <c r="AP205" i="4"/>
  <c r="AP268" i="4"/>
  <c r="AP88" i="4"/>
  <c r="AP296" i="4"/>
  <c r="AP358" i="4"/>
  <c r="AP225" i="4"/>
  <c r="AP247" i="4"/>
  <c r="AP212" i="4"/>
  <c r="AP110" i="4"/>
  <c r="AP70" i="4"/>
  <c r="AP25" i="4"/>
  <c r="AP93" i="4"/>
  <c r="AP97" i="4"/>
  <c r="AP111" i="4"/>
  <c r="AP196" i="4"/>
  <c r="AP127" i="4"/>
  <c r="AP361" i="4"/>
  <c r="AP79" i="4"/>
  <c r="AP169" i="4"/>
  <c r="AP77" i="4"/>
  <c r="AP108" i="4"/>
  <c r="AP124" i="4"/>
  <c r="AP270" i="4"/>
  <c r="AP204" i="4"/>
  <c r="AP213" i="4"/>
  <c r="AP187" i="4"/>
  <c r="AP201" i="4"/>
  <c r="AP192" i="4"/>
  <c r="AP273" i="4"/>
  <c r="AP286" i="4"/>
  <c r="AP300" i="4"/>
  <c r="AP193" i="4"/>
  <c r="AP233" i="4"/>
  <c r="AP292" i="4"/>
  <c r="AP218" i="4"/>
  <c r="AP355" i="4"/>
  <c r="AP118" i="4"/>
  <c r="AP230" i="4"/>
  <c r="AP82" i="4"/>
  <c r="AP139" i="4"/>
  <c r="AP66" i="4"/>
  <c r="AP167" i="4"/>
  <c r="AP171" i="4"/>
  <c r="AP172" i="4"/>
  <c r="AP249" i="4"/>
  <c r="AP51" i="4"/>
  <c r="AP246" i="4"/>
  <c r="AP143" i="4"/>
  <c r="AP337" i="4"/>
  <c r="AP150" i="4"/>
  <c r="AP237" i="4"/>
  <c r="AP297" i="4"/>
  <c r="AP216" i="4"/>
  <c r="AP145" i="4"/>
  <c r="AP202" i="4"/>
  <c r="AP168" i="4"/>
  <c r="AP126" i="4"/>
  <c r="AP94" i="4"/>
  <c r="AP120" i="4"/>
  <c r="AP89" i="4"/>
  <c r="AP133" i="4"/>
  <c r="AP131" i="4"/>
  <c r="AP71" i="4"/>
  <c r="AP255" i="4"/>
  <c r="AP61" i="4"/>
  <c r="AP265" i="4"/>
  <c r="AP102" i="4"/>
  <c r="AP39" i="4"/>
  <c r="AP185" i="4"/>
  <c r="AP254" i="4"/>
  <c r="AP194" i="4"/>
  <c r="AP199" i="4"/>
  <c r="AP142" i="4"/>
  <c r="AP256" i="4"/>
  <c r="AP241" i="4"/>
  <c r="AP95" i="4"/>
  <c r="AP96" i="4"/>
  <c r="AP42" i="4"/>
  <c r="AP86" i="4"/>
  <c r="AP141" i="4"/>
  <c r="AP24" i="4"/>
  <c r="AP52" i="4"/>
  <c r="AP251" i="4"/>
  <c r="AP17" i="4"/>
  <c r="AP174" i="4"/>
  <c r="AP282" i="4"/>
  <c r="AP316" i="4"/>
  <c r="AP301" i="4"/>
  <c r="AP307" i="4"/>
  <c r="AP20" i="4"/>
  <c r="AP252" i="4"/>
  <c r="AP320" i="4"/>
  <c r="AP211" i="4"/>
  <c r="AP381" i="4"/>
  <c r="AP235" i="4"/>
  <c r="AP158" i="4"/>
  <c r="AP98" i="4"/>
  <c r="AP208" i="4"/>
  <c r="AP60" i="4"/>
  <c r="AP210" i="4"/>
  <c r="AP47" i="4"/>
  <c r="AP68" i="4"/>
  <c r="AP119" i="4"/>
  <c r="AP146" i="4"/>
  <c r="AP215" i="4"/>
  <c r="AP75" i="4"/>
  <c r="AP176" i="4"/>
  <c r="AP280" i="4"/>
  <c r="AP156" i="4"/>
  <c r="AP122" i="4"/>
  <c r="AP74" i="4"/>
  <c r="AP367" i="4"/>
  <c r="AP343" i="4"/>
  <c r="AP272" i="4"/>
  <c r="AP109" i="4"/>
  <c r="AP80" i="4"/>
  <c r="AP83" i="4"/>
  <c r="AP335" i="4"/>
  <c r="AP236" i="4"/>
  <c r="AP117" i="4"/>
  <c r="AP90" i="4"/>
  <c r="AP116" i="4"/>
  <c r="AP234" i="4"/>
  <c r="AP220" i="4"/>
  <c r="AP135" i="4"/>
  <c r="AP299" i="4"/>
  <c r="AP275" i="4"/>
  <c r="AP144" i="4"/>
  <c r="AP189" i="4"/>
  <c r="AP257" i="4"/>
  <c r="AP278" i="4"/>
  <c r="AP73" i="4"/>
  <c r="AP228" i="4"/>
  <c r="AP248" i="4"/>
  <c r="AP115" i="4"/>
  <c r="AP209" i="4"/>
  <c r="AP49" i="4"/>
  <c r="AP250" i="4"/>
  <c r="AP253" i="4"/>
  <c r="AP57" i="4"/>
  <c r="AP50" i="4"/>
  <c r="AP54" i="4"/>
  <c r="AP200" i="4"/>
  <c r="AP259" i="4"/>
  <c r="AP269" i="4"/>
  <c r="AP276" i="4"/>
  <c r="AP298" i="4"/>
  <c r="AP157" i="4"/>
  <c r="AP261" i="4"/>
  <c r="AP155" i="4"/>
  <c r="AP23" i="4"/>
  <c r="AP153" i="4"/>
  <c r="AP107" i="4"/>
  <c r="AP154" i="4"/>
  <c r="AP76" i="4"/>
  <c r="AP165" i="4"/>
  <c r="AP339" i="4"/>
  <c r="AP293" i="4"/>
  <c r="AP266" i="4"/>
  <c r="AP188" i="4"/>
  <c r="AP290" i="4"/>
  <c r="AP67" i="4"/>
  <c r="AP166" i="4"/>
  <c r="AP46" i="4"/>
  <c r="AP62" i="4"/>
  <c r="AP19" i="4"/>
  <c r="AP92" i="4"/>
  <c r="AP81" i="4"/>
  <c r="AP138" i="4"/>
  <c r="AP137" i="4"/>
  <c r="AP181" i="4"/>
  <c r="AP43" i="4"/>
  <c r="AP336" i="4"/>
  <c r="AP240" i="4"/>
  <c r="AP217" i="4"/>
  <c r="AP313" i="4"/>
  <c r="AP260" i="4"/>
  <c r="AP315" i="4"/>
  <c r="AP214" i="4"/>
  <c r="AP242" i="4"/>
  <c r="AP420" i="4"/>
  <c r="AP227" i="4"/>
  <c r="AP58" i="4"/>
  <c r="AP26" i="4"/>
  <c r="AP27" i="4"/>
  <c r="AP63" i="4"/>
  <c r="AP48" i="4"/>
  <c r="AP206" i="4"/>
  <c r="AP72" i="4"/>
  <c r="AP182" i="4"/>
  <c r="AP289" i="4"/>
  <c r="AP277" i="4"/>
  <c r="AP231" i="4"/>
  <c r="AP148" i="4"/>
  <c r="AP310" i="4"/>
  <c r="AP317" i="4"/>
  <c r="AP183" i="4"/>
  <c r="AP78" i="4"/>
  <c r="AP329" i="4"/>
  <c r="AP186" i="4"/>
  <c r="AP239" i="4"/>
  <c r="AP197" i="4"/>
  <c r="AP302" i="4"/>
  <c r="AP328" i="4"/>
  <c r="AP164" i="4"/>
  <c r="AP271" i="4"/>
  <c r="AP149" i="4"/>
  <c r="AT142" i="4"/>
  <c r="AT213" i="4"/>
  <c r="AT99" i="4"/>
  <c r="AT257" i="4"/>
  <c r="AT147" i="4"/>
  <c r="AT229" i="4"/>
  <c r="AT242" i="4"/>
  <c r="AT277" i="4"/>
  <c r="AT247" i="4"/>
  <c r="AT211" i="4"/>
  <c r="AT331" i="4"/>
  <c r="AT110" i="4"/>
  <c r="AT248" i="4"/>
  <c r="AT4" i="4"/>
  <c r="AT21" i="4"/>
  <c r="AT55" i="4"/>
  <c r="AT66" i="4"/>
  <c r="AT89" i="4"/>
  <c r="AT126" i="4"/>
  <c r="AT171" i="4"/>
  <c r="AT86" i="4"/>
  <c r="AT40" i="4"/>
  <c r="AT133" i="4"/>
  <c r="AT119" i="4"/>
  <c r="AT47" i="4"/>
  <c r="AT249" i="4"/>
  <c r="AT10" i="4"/>
  <c r="AT234" i="4"/>
  <c r="AT361" i="4"/>
  <c r="AT13" i="4"/>
  <c r="AT34" i="4"/>
  <c r="AT24" i="4"/>
  <c r="AT43" i="4"/>
  <c r="AT77" i="4"/>
  <c r="AT125" i="4"/>
  <c r="AT71" i="4"/>
  <c r="AT106" i="4"/>
  <c r="AT335" i="4"/>
  <c r="AT289" i="4"/>
  <c r="AT208" i="4"/>
  <c r="AT259" i="4"/>
  <c r="AT6" i="4"/>
  <c r="AT18" i="4"/>
  <c r="AT35" i="4"/>
  <c r="AT67" i="4"/>
  <c r="AT420" i="4"/>
  <c r="AT232" i="4"/>
  <c r="AT70" i="4"/>
  <c r="AT168" i="4"/>
  <c r="AT95" i="4"/>
  <c r="AT235" i="4"/>
  <c r="AT115" i="4"/>
  <c r="AT107" i="4"/>
  <c r="AT7" i="4"/>
  <c r="AT30" i="4"/>
  <c r="AT36" i="4"/>
  <c r="AT46" i="4"/>
  <c r="AT58" i="4"/>
  <c r="AT53" i="4"/>
  <c r="AT93" i="4"/>
  <c r="AT94" i="4"/>
  <c r="AT96" i="4"/>
  <c r="AT158" i="4"/>
  <c r="AT109" i="4"/>
  <c r="AT209" i="4"/>
  <c r="AT92" i="4"/>
  <c r="AT206" i="4"/>
  <c r="AT25" i="4"/>
  <c r="AT12" i="4"/>
  <c r="AT114" i="4"/>
  <c r="AT42" i="4"/>
  <c r="AT80" i="4"/>
  <c r="AT49" i="4"/>
  <c r="AT157" i="4"/>
  <c r="AT140" i="4"/>
  <c r="AT207" i="4"/>
  <c r="AT111" i="4"/>
  <c r="AT230" i="4"/>
  <c r="AT120" i="4"/>
  <c r="AT5" i="4"/>
  <c r="AT32" i="4"/>
  <c r="AT17" i="4"/>
  <c r="AT33" i="4"/>
  <c r="AT50" i="4"/>
  <c r="AT200" i="4"/>
  <c r="AT8" i="4"/>
  <c r="AT11" i="4"/>
  <c r="AT62" i="4"/>
  <c r="AT91" i="4"/>
  <c r="AT26" i="4"/>
  <c r="AT69" i="4"/>
  <c r="AT59" i="4"/>
  <c r="AT166" i="4"/>
  <c r="AT83" i="4"/>
  <c r="AT38" i="4"/>
  <c r="AT97" i="4"/>
  <c r="AT196" i="4"/>
  <c r="AT227" i="4"/>
  <c r="AT179" i="4"/>
  <c r="AT172" i="4"/>
  <c r="AT210" i="4"/>
  <c r="AT116" i="4"/>
  <c r="AT63" i="4"/>
  <c r="AT51" i="4"/>
  <c r="AT14" i="4"/>
  <c r="AT28" i="4"/>
  <c r="AT19" i="4"/>
  <c r="AT27" i="4"/>
  <c r="AT37" i="4"/>
  <c r="AT130" i="4"/>
  <c r="AT127" i="4"/>
  <c r="AT139" i="4"/>
  <c r="AT141" i="4"/>
  <c r="AT98" i="4"/>
  <c r="AT236" i="4"/>
  <c r="AT250" i="4"/>
  <c r="AT57" i="4"/>
  <c r="AT169" i="4"/>
  <c r="AT251" i="4"/>
  <c r="AT54" i="4"/>
  <c r="AT68" i="4"/>
  <c r="AT261" i="4"/>
  <c r="AT9" i="4"/>
  <c r="AT31" i="4"/>
  <c r="AT155" i="4"/>
  <c r="AT81" i="4"/>
  <c r="AT48" i="4"/>
  <c r="AT136" i="4"/>
  <c r="AT79" i="4"/>
  <c r="AT167" i="4"/>
  <c r="AT131" i="4"/>
  <c r="AT52" i="4"/>
  <c r="AT60" i="4"/>
  <c r="AT117" i="4"/>
  <c r="AT253" i="4"/>
  <c r="AT90" i="4"/>
  <c r="AT137" i="4"/>
  <c r="AT121" i="4"/>
  <c r="AT22" i="4"/>
  <c r="AT118" i="4"/>
  <c r="AT29" i="4"/>
  <c r="AT15" i="4"/>
  <c r="AT181" i="4"/>
  <c r="AT182" i="4"/>
  <c r="AT87" i="4"/>
  <c r="AT108" i="4"/>
  <c r="AT255" i="4"/>
  <c r="AT23" i="4"/>
  <c r="AT138" i="4"/>
  <c r="AT153" i="4"/>
  <c r="AT82" i="4"/>
  <c r="AT16" i="4"/>
  <c r="AT65" i="4"/>
  <c r="AT124" i="4"/>
  <c r="AT72" i="4"/>
  <c r="AT128" i="4"/>
  <c r="AT278" i="4"/>
  <c r="AT154" i="4"/>
  <c r="AT212" i="4"/>
  <c r="AT192" i="4"/>
  <c r="AT198" i="4"/>
  <c r="AT202" i="4"/>
  <c r="AT197" i="4"/>
  <c r="AT156" i="4"/>
  <c r="AT39" i="4"/>
  <c r="AT101" i="4"/>
  <c r="AT203" i="4"/>
  <c r="AT183" i="4"/>
  <c r="AT262" i="4"/>
  <c r="AT201" i="4"/>
  <c r="AT252" i="4"/>
  <c r="AT367" i="4"/>
  <c r="AT176" i="4"/>
  <c r="AT282" i="4"/>
  <c r="AT273" i="4"/>
  <c r="AT299" i="4"/>
  <c r="AT88" i="4"/>
  <c r="AT237" i="4"/>
  <c r="AT310" i="4"/>
  <c r="AT274" i="4"/>
  <c r="AT199" i="4"/>
  <c r="AT291" i="4"/>
  <c r="AT149" i="4"/>
  <c r="AT292" i="4"/>
  <c r="AT61" i="4"/>
  <c r="AT173" i="4"/>
  <c r="AT240" i="4"/>
  <c r="AT148" i="4"/>
  <c r="AT159" i="4"/>
  <c r="AT246" i="4"/>
  <c r="AT75" i="4"/>
  <c r="AT309" i="4"/>
  <c r="AT216" i="4"/>
  <c r="AT220" i="4"/>
  <c r="AT165" i="4"/>
  <c r="AT293" i="4"/>
  <c r="AT296" i="4"/>
  <c r="AT73" i="4"/>
  <c r="AT320" i="4"/>
  <c r="AT150" i="4"/>
  <c r="AT186" i="4"/>
  <c r="AT317" i="4"/>
  <c r="AT217" i="4"/>
  <c r="AT193" i="4"/>
  <c r="AT381" i="4"/>
  <c r="AT270" i="4"/>
  <c r="AT269" i="4"/>
  <c r="AT308" i="4"/>
  <c r="AT264" i="4"/>
  <c r="AT145" i="4"/>
  <c r="AT228" i="4"/>
  <c r="AT286" i="4"/>
  <c r="AT298" i="4"/>
  <c r="AT336" i="4"/>
  <c r="AT266" i="4"/>
  <c r="AT238" i="4"/>
  <c r="AT170" i="4"/>
  <c r="AT164" i="4"/>
  <c r="AT265" i="4"/>
  <c r="AT314" i="4"/>
  <c r="AT161" i="4"/>
  <c r="AT102" i="4"/>
  <c r="AT205" i="4"/>
  <c r="AT339" i="4"/>
  <c r="AT313" i="4"/>
  <c r="AT163" i="4"/>
  <c r="AT295" i="4"/>
  <c r="AT215" i="4"/>
  <c r="AT225" i="4"/>
  <c r="AT151" i="4"/>
  <c r="AT184" i="4"/>
  <c r="AT300" i="4"/>
  <c r="AT84" i="4"/>
  <c r="AT301" i="4"/>
  <c r="AT132" i="4"/>
  <c r="AT275" i="4"/>
  <c r="AT174" i="4"/>
  <c r="AT187" i="4"/>
  <c r="AT321" i="4"/>
  <c r="AT260" i="4"/>
  <c r="AT146" i="4"/>
  <c r="AT307" i="4"/>
  <c r="AT267" i="4"/>
  <c r="AT218" i="4"/>
  <c r="AT112" i="4"/>
  <c r="AT342" i="4"/>
  <c r="AT20" i="4"/>
  <c r="AT329" i="4"/>
  <c r="AT306" i="4"/>
  <c r="AT271" i="4"/>
  <c r="AT144" i="4"/>
  <c r="AT194" i="4"/>
  <c r="AT195" i="4"/>
  <c r="AT358" i="4"/>
  <c r="AT214" i="4"/>
  <c r="AT297" i="4"/>
  <c r="AT135" i="4"/>
  <c r="AT302" i="4"/>
  <c r="AT316" i="4"/>
  <c r="AT294" i="4"/>
  <c r="AT239" i="4"/>
  <c r="AT221" i="4"/>
  <c r="AT322" i="4"/>
  <c r="AT85" i="4"/>
  <c r="AT44" i="4"/>
  <c r="AT185" i="4"/>
  <c r="AT74" i="4"/>
  <c r="AT76" i="4"/>
  <c r="AT188" i="4"/>
  <c r="AT113" i="4"/>
  <c r="AT231" i="4"/>
  <c r="AT204" i="4"/>
  <c r="AT254" i="4"/>
  <c r="AT134" i="4"/>
  <c r="AT143" i="4"/>
  <c r="AT284" i="4"/>
  <c r="AT328" i="4"/>
  <c r="AT268" i="4"/>
  <c r="AT78" i="4"/>
  <c r="AT189" i="4"/>
  <c r="AT315" i="4"/>
  <c r="AT56" i="4"/>
  <c r="AT280" i="4"/>
  <c r="AT219" i="4"/>
  <c r="AT276" i="4"/>
  <c r="AT337" i="4"/>
  <c r="AT233" i="4"/>
  <c r="AT256" i="4"/>
  <c r="AT100" i="4"/>
  <c r="AT122" i="4"/>
  <c r="AT290" i="4"/>
  <c r="AT272" i="4"/>
  <c r="AT355" i="4"/>
  <c r="AT343" i="4"/>
  <c r="AT349" i="4"/>
  <c r="AT241" i="4"/>
  <c r="AP267" i="4"/>
  <c r="AP56" i="4"/>
  <c r="AR242" i="4"/>
  <c r="AR85" i="4"/>
  <c r="AR9" i="4"/>
  <c r="AR117" i="4"/>
  <c r="AR90" i="4"/>
  <c r="AR108" i="4"/>
  <c r="AR234" i="4"/>
  <c r="AR96" i="4"/>
  <c r="AR209" i="4"/>
  <c r="AR77" i="4"/>
  <c r="AR230" i="4"/>
  <c r="AR168" i="4"/>
  <c r="AR196" i="4"/>
  <c r="AR19" i="4"/>
  <c r="AR265" i="4"/>
  <c r="AR165" i="4"/>
  <c r="AR75" i="4"/>
  <c r="AR239" i="4"/>
  <c r="AR193" i="4"/>
  <c r="AR295" i="4"/>
  <c r="AR320" i="4"/>
  <c r="AR186" i="4"/>
  <c r="AR252" i="4"/>
  <c r="AR247" i="4"/>
  <c r="AR31" i="4"/>
  <c r="AR253" i="4"/>
  <c r="AR57" i="4"/>
  <c r="AR15" i="4"/>
  <c r="AR249" i="4"/>
  <c r="AR206" i="4"/>
  <c r="AR124" i="4"/>
  <c r="AR49" i="4"/>
  <c r="AR171" i="4"/>
  <c r="AR157" i="4"/>
  <c r="AR125" i="4"/>
  <c r="AR166" i="4"/>
  <c r="AR95" i="4"/>
  <c r="AR37" i="4"/>
  <c r="AR27" i="4"/>
  <c r="AR174" i="4"/>
  <c r="AR257" i="4"/>
  <c r="AR313" i="4"/>
  <c r="AR61" i="4"/>
  <c r="AR301" i="4"/>
  <c r="AR299" i="4"/>
  <c r="AR74" i="4"/>
  <c r="AR44" i="4"/>
  <c r="AR291" i="4"/>
  <c r="AR134" i="4"/>
  <c r="AR358" i="4"/>
  <c r="AR211" i="4"/>
  <c r="AR317" i="4"/>
  <c r="AR142" i="4"/>
  <c r="AR155" i="4"/>
  <c r="AR22" i="4"/>
  <c r="AR255" i="4"/>
  <c r="AR153" i="4"/>
  <c r="AR26" i="4"/>
  <c r="AR86" i="4"/>
  <c r="AR8" i="4"/>
  <c r="AR71" i="4"/>
  <c r="AR141" i="4"/>
  <c r="AR235" i="4"/>
  <c r="AR127" i="4"/>
  <c r="AR130" i="4"/>
  <c r="AR367" i="4"/>
  <c r="AR150" i="4"/>
  <c r="AR282" i="4"/>
  <c r="AR264" i="4"/>
  <c r="AR199" i="4"/>
  <c r="AR112" i="4"/>
  <c r="AR328" i="4"/>
  <c r="AR101" i="4"/>
  <c r="AR100" i="4"/>
  <c r="AR220" i="4"/>
  <c r="AR322" i="4"/>
  <c r="AR381" i="4"/>
  <c r="AR149" i="4"/>
  <c r="AR81" i="4"/>
  <c r="AR137" i="4"/>
  <c r="AR17" i="4"/>
  <c r="AR261" i="4"/>
  <c r="AR25" i="4"/>
  <c r="AR83" i="4"/>
  <c r="AR40" i="4"/>
  <c r="AR59" i="4"/>
  <c r="AR106" i="4"/>
  <c r="AR6" i="4"/>
  <c r="AR139" i="4"/>
  <c r="AR228" i="4"/>
  <c r="AR271" i="4"/>
  <c r="AR270" i="4"/>
  <c r="AR189" i="4"/>
  <c r="AR76" i="4"/>
  <c r="AR88" i="4"/>
  <c r="AR185" i="4"/>
  <c r="AR73" i="4"/>
  <c r="AR173" i="4"/>
  <c r="AR337" i="4"/>
  <c r="AR284" i="4"/>
  <c r="AR290" i="4"/>
  <c r="AR268" i="4"/>
  <c r="AR315" i="4"/>
  <c r="AR48" i="4"/>
  <c r="AR42" i="4"/>
  <c r="AR47" i="4"/>
  <c r="AR10" i="4"/>
  <c r="AR140" i="4"/>
  <c r="AR82" i="4"/>
  <c r="AR227" i="4"/>
  <c r="AR250" i="4"/>
  <c r="AR335" i="4"/>
  <c r="AR18" i="4"/>
  <c r="AR115" i="4"/>
  <c r="AR114" i="4"/>
  <c r="AR93" i="4"/>
  <c r="AR154" i="4"/>
  <c r="AR336" i="4"/>
  <c r="AR233" i="4"/>
  <c r="AR329" i="4"/>
  <c r="AR297" i="4"/>
  <c r="AR316" i="4"/>
  <c r="AR201" i="4"/>
  <c r="AR314" i="4"/>
  <c r="AR132" i="4"/>
  <c r="AR215" i="4"/>
  <c r="AR218" i="4"/>
  <c r="AR159" i="4"/>
  <c r="AR275" i="4"/>
  <c r="AR136" i="4"/>
  <c r="AR179" i="4"/>
  <c r="AR116" i="4"/>
  <c r="AR33" i="4"/>
  <c r="AR11" i="4"/>
  <c r="AR200" i="4"/>
  <c r="AR133" i="4"/>
  <c r="AR289" i="4"/>
  <c r="AR35" i="4"/>
  <c r="AR80" i="4"/>
  <c r="AR99" i="4"/>
  <c r="AR278" i="4"/>
  <c r="AR143" i="4"/>
  <c r="AR302" i="4"/>
  <c r="AR204" i="4"/>
  <c r="AR293" i="4"/>
  <c r="AR307" i="4"/>
  <c r="AR213" i="4"/>
  <c r="AR192" i="4"/>
  <c r="AR217" i="4"/>
  <c r="AR202" i="4"/>
  <c r="AR147" i="4"/>
  <c r="AR194" i="4"/>
  <c r="AR111" i="4"/>
  <c r="AR121" i="4"/>
  <c r="AR54" i="4"/>
  <c r="AR23" i="4"/>
  <c r="AR69" i="4"/>
  <c r="AR51" i="4"/>
  <c r="AR4" i="4"/>
  <c r="AR13" i="4"/>
  <c r="AR208" i="4"/>
  <c r="AR67" i="4"/>
  <c r="AR7" i="4"/>
  <c r="AR207" i="4"/>
  <c r="AR273" i="4"/>
  <c r="AR256" i="4"/>
  <c r="AR195" i="4"/>
  <c r="AR203" i="4"/>
  <c r="AR146" i="4"/>
  <c r="AR122" i="4"/>
  <c r="AR294" i="4"/>
  <c r="AR156" i="4"/>
  <c r="AR197" i="4"/>
  <c r="AR151" i="4"/>
  <c r="AR262" i="4"/>
  <c r="AR248" i="4"/>
  <c r="AR176" i="4"/>
  <c r="AR79" i="4"/>
  <c r="AR62" i="4"/>
  <c r="AR169" i="4"/>
  <c r="AR107" i="4"/>
  <c r="AR92" i="4"/>
  <c r="AR72" i="4"/>
  <c r="AR21" i="4"/>
  <c r="AR119" i="4"/>
  <c r="AR34" i="4"/>
  <c r="AR259" i="4"/>
  <c r="AR420" i="4"/>
  <c r="AR46" i="4"/>
  <c r="AR280" i="4"/>
  <c r="AR135" i="4"/>
  <c r="AR298" i="4"/>
  <c r="AR240" i="4"/>
  <c r="AR163" i="4"/>
  <c r="AR39" i="4"/>
  <c r="AR231" i="4"/>
  <c r="AR292" i="4"/>
  <c r="AR274" i="4"/>
  <c r="AR241" i="4"/>
  <c r="AR355" i="4"/>
  <c r="AR167" i="4"/>
  <c r="AR97" i="4"/>
  <c r="AR172" i="4"/>
  <c r="AR181" i="4"/>
  <c r="AR68" i="4"/>
  <c r="AR236" i="4"/>
  <c r="AR361" i="4"/>
  <c r="AR55" i="4"/>
  <c r="AR24" i="4"/>
  <c r="AR58" i="4"/>
  <c r="AR91" i="4"/>
  <c r="AR219" i="4"/>
  <c r="AR184" i="4"/>
  <c r="AR266" i="4"/>
  <c r="AR306" i="4"/>
  <c r="AR214" i="4"/>
  <c r="AR225" i="4"/>
  <c r="AR308" i="4"/>
  <c r="AR145" i="4"/>
  <c r="AR148" i="4"/>
  <c r="AR272" i="4"/>
  <c r="AR309" i="4"/>
  <c r="AR131" i="4"/>
  <c r="AR98" i="4"/>
  <c r="AR182" i="4"/>
  <c r="AR138" i="4"/>
  <c r="AR16" i="4"/>
  <c r="AR118" i="4"/>
  <c r="AR66" i="4"/>
  <c r="AR36" i="4"/>
  <c r="AR158" i="4"/>
  <c r="AR232" i="4"/>
  <c r="AR109" i="4"/>
  <c r="AR38" i="4"/>
  <c r="AR144" i="4"/>
  <c r="AR300" i="4"/>
  <c r="AR237" i="4"/>
  <c r="AR187" i="4"/>
  <c r="AR78" i="4"/>
  <c r="AR216" i="4"/>
  <c r="AR205" i="4"/>
  <c r="AR269" i="4"/>
  <c r="AR343" i="4"/>
  <c r="AR52" i="4"/>
  <c r="AR29" i="4"/>
  <c r="AR251" i="4"/>
  <c r="AR50" i="4"/>
  <c r="AR128" i="4"/>
  <c r="AR89" i="4"/>
  <c r="AR53" i="4"/>
  <c r="AR43" i="4"/>
  <c r="AR12" i="4"/>
  <c r="AR70" i="4"/>
  <c r="AR14" i="4"/>
  <c r="AR170" i="4"/>
  <c r="AR267" i="4"/>
  <c r="AR84" i="4"/>
  <c r="AR113" i="4"/>
  <c r="AR198" i="4"/>
  <c r="AR277" i="4"/>
  <c r="AR342" i="4"/>
  <c r="AR286" i="4"/>
  <c r="AR296" i="4"/>
  <c r="AR246" i="4"/>
  <c r="AR260" i="4"/>
  <c r="AR254" i="4"/>
  <c r="AR331" i="4"/>
  <c r="AR349" i="4"/>
  <c r="AR229" i="4"/>
  <c r="AR60" i="4"/>
  <c r="AR32" i="4"/>
  <c r="AR210" i="4"/>
  <c r="AR87" i="4"/>
  <c r="AR63" i="4"/>
  <c r="AR65" i="4"/>
  <c r="AR30" i="4"/>
  <c r="AR126" i="4"/>
  <c r="AR94" i="4"/>
  <c r="AR120" i="4"/>
  <c r="AR28" i="4"/>
  <c r="AR164" i="4"/>
  <c r="AR102" i="4"/>
  <c r="AR339" i="4"/>
  <c r="AR310" i="4"/>
  <c r="AR321" i="4"/>
  <c r="AR238" i="4"/>
  <c r="AR161" i="4"/>
  <c r="AR221" i="4"/>
  <c r="AR20" i="4"/>
  <c r="AR188" i="4"/>
  <c r="AR56" i="4"/>
  <c r="AR183" i="4"/>
  <c r="AP322" i="4"/>
  <c r="CD148" i="4"/>
  <c r="GP262" i="4"/>
  <c r="FU197" i="4"/>
  <c r="DB271" i="4"/>
  <c r="EN310" i="4"/>
  <c r="EE76" i="4"/>
  <c r="ER274" i="4"/>
  <c r="EE274" i="4"/>
  <c r="FU76" i="4"/>
  <c r="FT174" i="4"/>
  <c r="ES174" i="4"/>
  <c r="ER76" i="4"/>
  <c r="FT284" i="4"/>
  <c r="DI233" i="4"/>
  <c r="EG275" i="4"/>
  <c r="FN146" i="4"/>
  <c r="FU202" i="4"/>
  <c r="ES274" i="4"/>
  <c r="FT201" i="4"/>
  <c r="FT76" i="4"/>
  <c r="EB85" i="4"/>
  <c r="EN102" i="4"/>
  <c r="EL275" i="4"/>
  <c r="EP276" i="4"/>
  <c r="BX276" i="4"/>
  <c r="CH85" i="4"/>
  <c r="FT102" i="4"/>
  <c r="FU284" i="4"/>
  <c r="EB275" i="4"/>
  <c r="CX276" i="4"/>
  <c r="CH165" i="4"/>
  <c r="CB276" i="4"/>
  <c r="ES284" i="4"/>
  <c r="FT197" i="4"/>
  <c r="CV197" i="4"/>
  <c r="DW315" i="4"/>
  <c r="ED315" i="4"/>
  <c r="CH63" i="4"/>
  <c r="ES113" i="4"/>
  <c r="ED220" i="4"/>
  <c r="FT274" i="4"/>
  <c r="FU102" i="4"/>
  <c r="CX75" i="4"/>
  <c r="DP284" i="4"/>
  <c r="FY75" i="4"/>
  <c r="FU174" i="4"/>
  <c r="ER174" i="4"/>
  <c r="FU161" i="4"/>
  <c r="ES102" i="4"/>
  <c r="CJ165" i="4"/>
  <c r="GM146" i="4"/>
  <c r="ER284" i="4"/>
  <c r="FT85" i="4"/>
  <c r="CD339" i="4"/>
  <c r="DS165" i="4"/>
  <c r="DZ110" i="4"/>
  <c r="BZ221" i="4"/>
  <c r="ES202" i="4"/>
  <c r="ES201" i="4"/>
  <c r="FU85" i="4"/>
  <c r="ER102" i="4"/>
  <c r="GB161" i="4"/>
  <c r="FR275" i="4"/>
  <c r="ER201" i="4"/>
  <c r="EI315" i="4"/>
  <c r="FU233" i="4"/>
  <c r="FT233" i="4"/>
  <c r="FT165" i="4"/>
  <c r="DC233" i="4"/>
  <c r="EW310" i="4"/>
  <c r="FU201" i="4"/>
  <c r="ES197" i="4"/>
  <c r="FT161" i="4"/>
  <c r="ER161" i="4"/>
  <c r="DG276" i="4"/>
  <c r="ER233" i="4"/>
  <c r="EP113" i="4"/>
  <c r="BX102" i="4"/>
  <c r="CB102" i="4"/>
  <c r="EB76" i="4"/>
  <c r="DG102" i="4"/>
  <c r="EB161" i="4"/>
  <c r="FN201" i="4"/>
  <c r="CH220" i="4"/>
  <c r="CH197" i="4"/>
  <c r="DL262" i="4"/>
  <c r="DL337" i="4"/>
  <c r="DL309" i="4"/>
  <c r="DL248" i="4"/>
  <c r="DL355" i="4"/>
  <c r="DL195" i="4"/>
  <c r="DL349" i="4"/>
  <c r="DL241" i="4"/>
  <c r="DL247" i="4"/>
  <c r="DL310" i="4"/>
  <c r="DL229" i="4"/>
  <c r="DL331" i="4"/>
  <c r="DL343" i="4"/>
  <c r="DL189" i="4"/>
  <c r="DL221" i="4"/>
  <c r="DL242" i="4"/>
  <c r="DL110" i="4"/>
  <c r="DL146" i="4"/>
  <c r="DL290" i="4"/>
  <c r="DL277" i="4"/>
  <c r="DL315" i="4"/>
  <c r="DL276" i="4"/>
  <c r="GB337" i="4"/>
  <c r="GA229" i="4"/>
  <c r="GB229" i="4"/>
  <c r="GA337" i="4"/>
  <c r="GB242" i="4"/>
  <c r="GB343" i="4"/>
  <c r="GB195" i="4"/>
  <c r="GB355" i="4"/>
  <c r="GA343" i="4"/>
  <c r="GA242" i="4"/>
  <c r="GA195" i="4"/>
  <c r="GA309" i="4"/>
  <c r="GB290" i="4"/>
  <c r="GB349" i="4"/>
  <c r="GA290" i="4"/>
  <c r="GB110" i="4"/>
  <c r="GA331" i="4"/>
  <c r="GA110" i="4"/>
  <c r="GA271" i="4"/>
  <c r="GA165" i="4"/>
  <c r="GA146" i="4"/>
  <c r="GB331" i="4"/>
  <c r="GB277" i="4"/>
  <c r="GB248" i="4"/>
  <c r="GA277" i="4"/>
  <c r="GB146" i="4"/>
  <c r="GB247" i="4"/>
  <c r="GA248" i="4"/>
  <c r="GB275" i="4"/>
  <c r="GA247" i="4"/>
  <c r="GB309" i="4"/>
  <c r="GB241" i="4"/>
  <c r="GA355" i="4"/>
  <c r="GA349" i="4"/>
  <c r="GA241" i="4"/>
  <c r="GB339" i="4"/>
  <c r="EK262" i="4"/>
  <c r="DX262" i="4"/>
  <c r="ES189" i="4"/>
  <c r="CV189" i="4"/>
  <c r="AD189" i="4" s="1"/>
  <c r="GP189" i="4"/>
  <c r="DJ221" i="4"/>
  <c r="DQ221" i="4"/>
  <c r="EL221" i="4"/>
  <c r="FM315" i="4"/>
  <c r="ER315" i="4"/>
  <c r="CH146" i="4"/>
  <c r="DC275" i="4"/>
  <c r="CF146" i="4"/>
  <c r="ED165" i="4"/>
  <c r="DS271" i="4"/>
  <c r="DB276" i="4"/>
  <c r="CH310" i="4"/>
  <c r="CX165" i="4"/>
  <c r="ED146" i="4"/>
  <c r="EY276" i="4"/>
  <c r="ES275" i="4"/>
  <c r="FM276" i="4"/>
  <c r="GA339" i="4"/>
  <c r="EL146" i="4"/>
  <c r="BX310" i="4"/>
  <c r="EG310" i="4"/>
  <c r="GH339" i="4"/>
  <c r="DL339" i="4"/>
  <c r="GA276" i="4"/>
  <c r="EZ339" i="4"/>
  <c r="DJ310" i="4"/>
  <c r="EB274" i="4"/>
  <c r="GI102" i="4"/>
  <c r="FK189" i="4"/>
  <c r="FK229" i="4"/>
  <c r="FK242" i="4"/>
  <c r="FK248" i="4"/>
  <c r="FK355" i="4"/>
  <c r="FK337" i="4"/>
  <c r="FK110" i="4"/>
  <c r="FK343" i="4"/>
  <c r="FK309" i="4"/>
  <c r="FK241" i="4"/>
  <c r="FK349" i="4"/>
  <c r="FK262" i="4"/>
  <c r="FK195" i="4"/>
  <c r="FK247" i="4"/>
  <c r="FK290" i="4"/>
  <c r="FK315" i="4"/>
  <c r="FK277" i="4"/>
  <c r="FK331" i="4"/>
  <c r="FK310" i="4"/>
  <c r="FK221" i="4"/>
  <c r="ED76" i="4"/>
  <c r="CJ248" i="4"/>
  <c r="CJ309" i="4"/>
  <c r="CJ247" i="4"/>
  <c r="CJ229" i="4"/>
  <c r="CJ349" i="4"/>
  <c r="CJ241" i="4"/>
  <c r="CJ110" i="4"/>
  <c r="CJ355" i="4"/>
  <c r="CJ262" i="4"/>
  <c r="CJ343" i="4"/>
  <c r="CJ189" i="4"/>
  <c r="CJ195" i="4"/>
  <c r="CJ315" i="4"/>
  <c r="CJ331" i="4"/>
  <c r="CJ290" i="4"/>
  <c r="CJ146" i="4"/>
  <c r="CJ271" i="4"/>
  <c r="CJ277" i="4"/>
  <c r="EL262" i="4"/>
  <c r="DW262" i="4"/>
  <c r="DP189" i="4"/>
  <c r="GA189" i="4"/>
  <c r="FT221" i="4"/>
  <c r="ED221" i="4"/>
  <c r="FN315" i="4"/>
  <c r="ES315" i="4"/>
  <c r="GM271" i="4"/>
  <c r="GI275" i="4"/>
  <c r="CB271" i="4"/>
  <c r="ER310" i="4"/>
  <c r="CH339" i="4"/>
  <c r="GP310" i="4"/>
  <c r="CV275" i="4"/>
  <c r="AD275" i="4" s="1"/>
  <c r="EW146" i="4"/>
  <c r="ED339" i="4"/>
  <c r="CD276" i="4"/>
  <c r="DQ146" i="4"/>
  <c r="EK339" i="4"/>
  <c r="CN276" i="4"/>
  <c r="EB146" i="4"/>
  <c r="CO339" i="4"/>
  <c r="CX339" i="4"/>
  <c r="FT242" i="4"/>
  <c r="FU290" i="4"/>
  <c r="FU337" i="4"/>
  <c r="FU309" i="4"/>
  <c r="FT343" i="4"/>
  <c r="FT337" i="4"/>
  <c r="FT309" i="4"/>
  <c r="FU355" i="4"/>
  <c r="FT355" i="4"/>
  <c r="FU195" i="4"/>
  <c r="FT195" i="4"/>
  <c r="FT229" i="4"/>
  <c r="FU229" i="4"/>
  <c r="FU343" i="4"/>
  <c r="FU242" i="4"/>
  <c r="FU331" i="4"/>
  <c r="FT276" i="4"/>
  <c r="FT349" i="4"/>
  <c r="FT331" i="4"/>
  <c r="FU248" i="4"/>
  <c r="FU349" i="4"/>
  <c r="FT290" i="4"/>
  <c r="FT248" i="4"/>
  <c r="FU241" i="4"/>
  <c r="FT277" i="4"/>
  <c r="FT241" i="4"/>
  <c r="FU110" i="4"/>
  <c r="FU247" i="4"/>
  <c r="FT110" i="4"/>
  <c r="FT247" i="4"/>
  <c r="FU277" i="4"/>
  <c r="FR343" i="4"/>
  <c r="FR248" i="4"/>
  <c r="FR242" i="4"/>
  <c r="FR337" i="4"/>
  <c r="FR229" i="4"/>
  <c r="FR309" i="4"/>
  <c r="FR241" i="4"/>
  <c r="FR110" i="4"/>
  <c r="FR247" i="4"/>
  <c r="FR262" i="4"/>
  <c r="FR355" i="4"/>
  <c r="FR331" i="4"/>
  <c r="FR195" i="4"/>
  <c r="FR349" i="4"/>
  <c r="FR221" i="4"/>
  <c r="FR189" i="4"/>
  <c r="FR315" i="4"/>
  <c r="FR277" i="4"/>
  <c r="FR290" i="4"/>
  <c r="CD110" i="4"/>
  <c r="CD241" i="4"/>
  <c r="CD355" i="4"/>
  <c r="CD343" i="4"/>
  <c r="CD309" i="4"/>
  <c r="CD248" i="4"/>
  <c r="CD247" i="4"/>
  <c r="CD290" i="4"/>
  <c r="CD229" i="4"/>
  <c r="CD189" i="4"/>
  <c r="CD195" i="4"/>
  <c r="CD262" i="4"/>
  <c r="CD349" i="4"/>
  <c r="CD146" i="4"/>
  <c r="CD277" i="4"/>
  <c r="CD331" i="4"/>
  <c r="GP242" i="4"/>
  <c r="GM349" i="4"/>
  <c r="GM262" i="4"/>
  <c r="GM337" i="4"/>
  <c r="GP343" i="4"/>
  <c r="GM242" i="4"/>
  <c r="GM248" i="4"/>
  <c r="GP290" i="4"/>
  <c r="GP309" i="4"/>
  <c r="GM195" i="4"/>
  <c r="GM355" i="4"/>
  <c r="GM247" i="4"/>
  <c r="GM110" i="4"/>
  <c r="GM343" i="4"/>
  <c r="GM241" i="4"/>
  <c r="GP355" i="4"/>
  <c r="GM229" i="4"/>
  <c r="GM331" i="4"/>
  <c r="GP331" i="4"/>
  <c r="GP229" i="4"/>
  <c r="GP337" i="4"/>
  <c r="GM189" i="4"/>
  <c r="GM221" i="4"/>
  <c r="GP195" i="4"/>
  <c r="GM309" i="4"/>
  <c r="GM290" i="4"/>
  <c r="GP248" i="4"/>
  <c r="GP277" i="4"/>
  <c r="GM339" i="4"/>
  <c r="GP110" i="4"/>
  <c r="GP247" i="4"/>
  <c r="GM277" i="4"/>
  <c r="GP339" i="4"/>
  <c r="GP349" i="4"/>
  <c r="GP146" i="4"/>
  <c r="GP241" i="4"/>
  <c r="GM315" i="4"/>
  <c r="DX197" i="4"/>
  <c r="DB262" i="4"/>
  <c r="DP262" i="4"/>
  <c r="DQ189" i="4"/>
  <c r="GB189" i="4"/>
  <c r="GP221" i="4"/>
  <c r="FU221" i="4"/>
  <c r="EE221" i="4"/>
  <c r="DI315" i="4"/>
  <c r="CV339" i="4"/>
  <c r="AD339" i="4" s="1"/>
  <c r="FT310" i="4"/>
  <c r="CV310" i="4"/>
  <c r="AD310" i="4" s="1"/>
  <c r="DI165" i="4"/>
  <c r="CB310" i="4"/>
  <c r="FK275" i="4"/>
  <c r="FU339" i="4"/>
  <c r="FU310" i="4"/>
  <c r="CJ310" i="4"/>
  <c r="GH146" i="4"/>
  <c r="GH276" i="4"/>
  <c r="EE339" i="4"/>
  <c r="DI146" i="4"/>
  <c r="DB339" i="4"/>
  <c r="GB276" i="4"/>
  <c r="EZ271" i="4"/>
  <c r="EN276" i="4"/>
  <c r="FM310" i="4"/>
  <c r="CH315" i="4"/>
  <c r="BX339" i="4"/>
  <c r="DX339" i="4"/>
  <c r="DX310" i="4"/>
  <c r="BX146" i="4"/>
  <c r="DG195" i="4"/>
  <c r="DG110" i="4"/>
  <c r="DG349" i="4"/>
  <c r="DG262" i="4"/>
  <c r="DG248" i="4"/>
  <c r="DG242" i="4"/>
  <c r="DG343" i="4"/>
  <c r="DG355" i="4"/>
  <c r="DG247" i="4"/>
  <c r="DG337" i="4"/>
  <c r="DG229" i="4"/>
  <c r="DG189" i="4"/>
  <c r="DG241" i="4"/>
  <c r="DG309" i="4"/>
  <c r="DG221" i="4"/>
  <c r="DG290" i="4"/>
  <c r="DG331" i="4"/>
  <c r="DG315" i="4"/>
  <c r="DG277" i="4"/>
  <c r="DG339" i="4"/>
  <c r="FY113" i="4"/>
  <c r="FY189" i="4"/>
  <c r="FY262" i="4"/>
  <c r="FY241" i="4"/>
  <c r="FY242" i="4"/>
  <c r="FY349" i="4"/>
  <c r="FY337" i="4"/>
  <c r="FY247" i="4"/>
  <c r="FY343" i="4"/>
  <c r="FY195" i="4"/>
  <c r="FY248" i="4"/>
  <c r="FY355" i="4"/>
  <c r="FY309" i="4"/>
  <c r="FY229" i="4"/>
  <c r="FY110" i="4"/>
  <c r="FY277" i="4"/>
  <c r="FY315" i="4"/>
  <c r="FY331" i="4"/>
  <c r="FY221" i="4"/>
  <c r="FY290" i="4"/>
  <c r="EE262" i="4"/>
  <c r="DC262" i="4"/>
  <c r="DQ262" i="4"/>
  <c r="DB189" i="4"/>
  <c r="CN189" i="4"/>
  <c r="EK189" i="4"/>
  <c r="DB221" i="4"/>
  <c r="FM221" i="4"/>
  <c r="DW221" i="4"/>
  <c r="DJ315" i="4"/>
  <c r="CB146" i="4"/>
  <c r="ES339" i="4"/>
  <c r="DP310" i="4"/>
  <c r="CX275" i="4"/>
  <c r="EE275" i="4"/>
  <c r="CH275" i="4"/>
  <c r="DG271" i="4"/>
  <c r="EE146" i="4"/>
  <c r="DQ310" i="4"/>
  <c r="BX275" i="4"/>
  <c r="DP271" i="4"/>
  <c r="FY310" i="4"/>
  <c r="GM310" i="4"/>
  <c r="DC339" i="4"/>
  <c r="FM146" i="4"/>
  <c r="EZ276" i="4"/>
  <c r="DL165" i="4"/>
  <c r="DX276" i="4"/>
  <c r="EK315" i="4"/>
  <c r="CD221" i="4"/>
  <c r="DB146" i="4"/>
  <c r="EG339" i="4"/>
  <c r="EB284" i="4"/>
  <c r="EB102" i="4"/>
  <c r="DQ197" i="4"/>
  <c r="CU229" i="4"/>
  <c r="CV229" i="4"/>
  <c r="CU309" i="4"/>
  <c r="CU355" i="4"/>
  <c r="CV195" i="4"/>
  <c r="AD195" i="4" s="1"/>
  <c r="CU310" i="4"/>
  <c r="CU195" i="4"/>
  <c r="CV343" i="4"/>
  <c r="CU242" i="4"/>
  <c r="CU331" i="4"/>
  <c r="CU343" i="4"/>
  <c r="CV242" i="4"/>
  <c r="AD242" i="4" s="1"/>
  <c r="CV337" i="4"/>
  <c r="AD337" i="4" s="1"/>
  <c r="CV290" i="4"/>
  <c r="CV309" i="4"/>
  <c r="AD309" i="4" s="1"/>
  <c r="CU337" i="4"/>
  <c r="CV355" i="4"/>
  <c r="CU146" i="4"/>
  <c r="CV110" i="4"/>
  <c r="AD110" i="4" s="1"/>
  <c r="CU110" i="4"/>
  <c r="CU276" i="4"/>
  <c r="CV248" i="4"/>
  <c r="AD248" i="4" s="1"/>
  <c r="CV146" i="4"/>
  <c r="AD146" i="4" s="1"/>
  <c r="CU290" i="4"/>
  <c r="CV241" i="4"/>
  <c r="AD241" i="4" s="1"/>
  <c r="CU248" i="4"/>
  <c r="CV349" i="4"/>
  <c r="CU241" i="4"/>
  <c r="CV277" i="4"/>
  <c r="AD277" i="4" s="1"/>
  <c r="CU349" i="4"/>
  <c r="CV247" i="4"/>
  <c r="CV331" i="4"/>
  <c r="AD331" i="4" s="1"/>
  <c r="CU247" i="4"/>
  <c r="CU277" i="4"/>
  <c r="EI229" i="4"/>
  <c r="EI241" i="4"/>
  <c r="EI349" i="4"/>
  <c r="EI247" i="4"/>
  <c r="EI248" i="4"/>
  <c r="EI309" i="4"/>
  <c r="EI337" i="4"/>
  <c r="EI195" i="4"/>
  <c r="EI110" i="4"/>
  <c r="EI189" i="4"/>
  <c r="EI343" i="4"/>
  <c r="EI262" i="4"/>
  <c r="EI242" i="4"/>
  <c r="EI277" i="4"/>
  <c r="EI331" i="4"/>
  <c r="EI290" i="4"/>
  <c r="DS337" i="4"/>
  <c r="DS248" i="4"/>
  <c r="DS241" i="4"/>
  <c r="DS229" i="4"/>
  <c r="DS189" i="4"/>
  <c r="DS262" i="4"/>
  <c r="DS242" i="4"/>
  <c r="DS110" i="4"/>
  <c r="DS309" i="4"/>
  <c r="DS247" i="4"/>
  <c r="DS343" i="4"/>
  <c r="DS355" i="4"/>
  <c r="DS349" i="4"/>
  <c r="DS195" i="4"/>
  <c r="DS315" i="4"/>
  <c r="DS277" i="4"/>
  <c r="DS221" i="4"/>
  <c r="DS331" i="4"/>
  <c r="DS290" i="4"/>
  <c r="CN85" i="4"/>
  <c r="CO229" i="4"/>
  <c r="CO331" i="4"/>
  <c r="CN337" i="4"/>
  <c r="CO355" i="4"/>
  <c r="CO309" i="4"/>
  <c r="CN195" i="4"/>
  <c r="CN355" i="4"/>
  <c r="CN309" i="4"/>
  <c r="CO242" i="4"/>
  <c r="CO195" i="4"/>
  <c r="CN242" i="4"/>
  <c r="CN343" i="4"/>
  <c r="CO343" i="4"/>
  <c r="CN229" i="4"/>
  <c r="CO349" i="4"/>
  <c r="CO290" i="4"/>
  <c r="CN248" i="4"/>
  <c r="CO277" i="4"/>
  <c r="CN271" i="4"/>
  <c r="CN290" i="4"/>
  <c r="CN241" i="4"/>
  <c r="CO110" i="4"/>
  <c r="CO248" i="4"/>
  <c r="CO146" i="4"/>
  <c r="CO276" i="4"/>
  <c r="CO241" i="4"/>
  <c r="CN110" i="4"/>
  <c r="CN277" i="4"/>
  <c r="CO275" i="4"/>
  <c r="CN331" i="4"/>
  <c r="CO247" i="4"/>
  <c r="CN247" i="4"/>
  <c r="CN275" i="4"/>
  <c r="CN349" i="4"/>
  <c r="EB113" i="4"/>
  <c r="ER262" i="4"/>
  <c r="FT262" i="4"/>
  <c r="CO262" i="4"/>
  <c r="DC189" i="4"/>
  <c r="CO189" i="4"/>
  <c r="EL189" i="4"/>
  <c r="DC221" i="4"/>
  <c r="FN221" i="4"/>
  <c r="DX221" i="4"/>
  <c r="DB315" i="4"/>
  <c r="DC310" i="4"/>
  <c r="FR146" i="4"/>
  <c r="DB275" i="4"/>
  <c r="DB310" i="4"/>
  <c r="CH271" i="4"/>
  <c r="CD310" i="4"/>
  <c r="EL271" i="4"/>
  <c r="EN315" i="4"/>
  <c r="CF310" i="4"/>
  <c r="ES271" i="4"/>
  <c r="DS276" i="4"/>
  <c r="DP146" i="4"/>
  <c r="DG310" i="4"/>
  <c r="EB339" i="4"/>
  <c r="DS339" i="4"/>
  <c r="CO271" i="4"/>
  <c r="CJ221" i="4"/>
  <c r="CN165" i="4"/>
  <c r="BZ220" i="4"/>
  <c r="BZ229" i="4"/>
  <c r="BZ337" i="4"/>
  <c r="BZ343" i="4"/>
  <c r="BZ309" i="4"/>
  <c r="BZ242" i="4"/>
  <c r="BZ195" i="4"/>
  <c r="BZ247" i="4"/>
  <c r="BZ248" i="4"/>
  <c r="BZ262" i="4"/>
  <c r="BZ110" i="4"/>
  <c r="BZ241" i="4"/>
  <c r="BZ349" i="4"/>
  <c r="BZ189" i="4"/>
  <c r="BZ277" i="4"/>
  <c r="BZ310" i="4"/>
  <c r="BZ290" i="4"/>
  <c r="BZ331" i="4"/>
  <c r="BZ276" i="4"/>
  <c r="DP161" i="4"/>
  <c r="GI197" i="4"/>
  <c r="EG161" i="4"/>
  <c r="CZ337" i="4"/>
  <c r="CZ247" i="4"/>
  <c r="CZ355" i="4"/>
  <c r="CZ229" i="4"/>
  <c r="CZ349" i="4"/>
  <c r="CZ110" i="4"/>
  <c r="CZ242" i="4"/>
  <c r="CZ241" i="4"/>
  <c r="CZ248" i="4"/>
  <c r="CZ189" i="4"/>
  <c r="CZ343" i="4"/>
  <c r="CZ309" i="4"/>
  <c r="CZ262" i="4"/>
  <c r="CZ195" i="4"/>
  <c r="CZ275" i="4"/>
  <c r="CZ310" i="4"/>
  <c r="CZ276" i="4"/>
  <c r="CZ221" i="4"/>
  <c r="CZ277" i="4"/>
  <c r="CZ290" i="4"/>
  <c r="CZ315" i="4"/>
  <c r="CZ331" i="4"/>
  <c r="DS274" i="4"/>
  <c r="GB233" i="4"/>
  <c r="EL76" i="4"/>
  <c r="DI85" i="4"/>
  <c r="DI309" i="4"/>
  <c r="DI343" i="4"/>
  <c r="DJ337" i="4"/>
  <c r="DJ355" i="4"/>
  <c r="DJ195" i="4"/>
  <c r="DI337" i="4"/>
  <c r="DI195" i="4"/>
  <c r="DJ339" i="4"/>
  <c r="DI229" i="4"/>
  <c r="DI310" i="4"/>
  <c r="DJ229" i="4"/>
  <c r="DI355" i="4"/>
  <c r="DJ242" i="4"/>
  <c r="DJ309" i="4"/>
  <c r="DI242" i="4"/>
  <c r="DJ343" i="4"/>
  <c r="DJ290" i="4"/>
  <c r="DJ276" i="4"/>
  <c r="DJ248" i="4"/>
  <c r="DI275" i="4"/>
  <c r="DI290" i="4"/>
  <c r="DI248" i="4"/>
  <c r="DI276" i="4"/>
  <c r="DI349" i="4"/>
  <c r="DJ277" i="4"/>
  <c r="DJ349" i="4"/>
  <c r="DJ241" i="4"/>
  <c r="DJ247" i="4"/>
  <c r="DI241" i="4"/>
  <c r="DI247" i="4"/>
  <c r="DJ331" i="4"/>
  <c r="DJ110" i="4"/>
  <c r="DI331" i="4"/>
  <c r="DI110" i="4"/>
  <c r="DI277" i="4"/>
  <c r="DJ275" i="4"/>
  <c r="ES262" i="4"/>
  <c r="FU262" i="4"/>
  <c r="CN262" i="4"/>
  <c r="GH189" i="4"/>
  <c r="FM189" i="4"/>
  <c r="ED189" i="4"/>
  <c r="GH221" i="4"/>
  <c r="EL315" i="4"/>
  <c r="GP315" i="4"/>
  <c r="DC315" i="4"/>
  <c r="CD165" i="4"/>
  <c r="DS146" i="4"/>
  <c r="EI310" i="4"/>
  <c r="GH275" i="4"/>
  <c r="CZ271" i="4"/>
  <c r="BZ275" i="4"/>
  <c r="GI146" i="4"/>
  <c r="CF271" i="4"/>
  <c r="EK165" i="4"/>
  <c r="DJ146" i="4"/>
  <c r="EY310" i="4"/>
  <c r="FT271" i="4"/>
  <c r="GH310" i="4"/>
  <c r="FR310" i="4"/>
  <c r="EZ165" i="4"/>
  <c r="EB165" i="4"/>
  <c r="ED310" i="4"/>
  <c r="EY271" i="4"/>
  <c r="DG275" i="4"/>
  <c r="FN310" i="4"/>
  <c r="ED276" i="4"/>
  <c r="EI339" i="4"/>
  <c r="CN339" i="4"/>
  <c r="CF247" i="4"/>
  <c r="CF349" i="4"/>
  <c r="CF262" i="4"/>
  <c r="CF331" i="4"/>
  <c r="CF290" i="4"/>
  <c r="CF277" i="4"/>
  <c r="CF221" i="4"/>
  <c r="CF275" i="4"/>
  <c r="EB220" i="4"/>
  <c r="EN161" i="4"/>
  <c r="DB161" i="4"/>
  <c r="DB355" i="4"/>
  <c r="DB343" i="4"/>
  <c r="DC195" i="4"/>
  <c r="DC355" i="4"/>
  <c r="DB195" i="4"/>
  <c r="DC242" i="4"/>
  <c r="DB242" i="4"/>
  <c r="DC337" i="4"/>
  <c r="DC309" i="4"/>
  <c r="DB309" i="4"/>
  <c r="DB229" i="4"/>
  <c r="DC343" i="4"/>
  <c r="DC229" i="4"/>
  <c r="DB331" i="4"/>
  <c r="DB337" i="4"/>
  <c r="DC277" i="4"/>
  <c r="DC241" i="4"/>
  <c r="DC110" i="4"/>
  <c r="DB248" i="4"/>
  <c r="DB349" i="4"/>
  <c r="DC331" i="4"/>
  <c r="DB241" i="4"/>
  <c r="DB110" i="4"/>
  <c r="DC349" i="4"/>
  <c r="DC247" i="4"/>
  <c r="DB277" i="4"/>
  <c r="DC271" i="4"/>
  <c r="DB247" i="4"/>
  <c r="DC276" i="4"/>
  <c r="DB290" i="4"/>
  <c r="DC290" i="4"/>
  <c r="DC248" i="4"/>
  <c r="CJ85" i="4"/>
  <c r="EW189" i="4"/>
  <c r="EW309" i="4"/>
  <c r="EW195" i="4"/>
  <c r="EW248" i="4"/>
  <c r="EW247" i="4"/>
  <c r="EW110" i="4"/>
  <c r="EW262" i="4"/>
  <c r="EW241" i="4"/>
  <c r="EW343" i="4"/>
  <c r="EW337" i="4"/>
  <c r="EW229" i="4"/>
  <c r="EW355" i="4"/>
  <c r="EW349" i="4"/>
  <c r="EW242" i="4"/>
  <c r="EW339" i="4"/>
  <c r="EW315" i="4"/>
  <c r="EW290" i="4"/>
  <c r="EW277" i="4"/>
  <c r="EW221" i="4"/>
  <c r="EW276" i="4"/>
  <c r="EW331" i="4"/>
  <c r="CU262" i="4"/>
  <c r="EY262" i="4"/>
  <c r="GI189" i="4"/>
  <c r="FN189" i="4"/>
  <c r="EE189" i="4"/>
  <c r="GI221" i="4"/>
  <c r="EY315" i="4"/>
  <c r="CU315" i="4"/>
  <c r="CF165" i="4"/>
  <c r="CZ146" i="4"/>
  <c r="EI276" i="4"/>
  <c r="EI271" i="4"/>
  <c r="CB339" i="4"/>
  <c r="CU339" i="4"/>
  <c r="CJ276" i="4"/>
  <c r="DQ271" i="4"/>
  <c r="GP276" i="4"/>
  <c r="DP165" i="4"/>
  <c r="FK165" i="4"/>
  <c r="EI146" i="4"/>
  <c r="GB165" i="4"/>
  <c r="FR165" i="4"/>
  <c r="CU271" i="4"/>
  <c r="DS275" i="4"/>
  <c r="DC146" i="4"/>
  <c r="EP271" i="4"/>
  <c r="DC165" i="4"/>
  <c r="CO310" i="4"/>
  <c r="ED271" i="4"/>
  <c r="BX220" i="4"/>
  <c r="BX343" i="4"/>
  <c r="BX229" i="4"/>
  <c r="BX195" i="4"/>
  <c r="BX355" i="4"/>
  <c r="BX309" i="4"/>
  <c r="BX189" i="4"/>
  <c r="BX248" i="4"/>
  <c r="BX110" i="4"/>
  <c r="BX241" i="4"/>
  <c r="BX247" i="4"/>
  <c r="BX349" i="4"/>
  <c r="BX262" i="4"/>
  <c r="BX221" i="4"/>
  <c r="BX315" i="4"/>
  <c r="BX331" i="4"/>
  <c r="BX290" i="4"/>
  <c r="BX277" i="4"/>
  <c r="BX271" i="4"/>
  <c r="EB247" i="4"/>
  <c r="EB195" i="4"/>
  <c r="EB241" i="4"/>
  <c r="EB229" i="4"/>
  <c r="EB262" i="4"/>
  <c r="EB337" i="4"/>
  <c r="EB309" i="4"/>
  <c r="EB343" i="4"/>
  <c r="EB110" i="4"/>
  <c r="EB349" i="4"/>
  <c r="EB189" i="4"/>
  <c r="EB242" i="4"/>
  <c r="EB355" i="4"/>
  <c r="EB248" i="4"/>
  <c r="EB221" i="4"/>
  <c r="EB276" i="4"/>
  <c r="EB315" i="4"/>
  <c r="EB290" i="4"/>
  <c r="EB331" i="4"/>
  <c r="EB277" i="4"/>
  <c r="GI233" i="4"/>
  <c r="GI309" i="4"/>
  <c r="GI195" i="4"/>
  <c r="GI337" i="4"/>
  <c r="GH309" i="4"/>
  <c r="GH195" i="4"/>
  <c r="GH229" i="4"/>
  <c r="GH337" i="4"/>
  <c r="GI229" i="4"/>
  <c r="GI242" i="4"/>
  <c r="GI290" i="4"/>
  <c r="GI355" i="4"/>
  <c r="GI343" i="4"/>
  <c r="GH242" i="4"/>
  <c r="GH355" i="4"/>
  <c r="GH290" i="4"/>
  <c r="GH343" i="4"/>
  <c r="GH331" i="4"/>
  <c r="GI331" i="4"/>
  <c r="GI110" i="4"/>
  <c r="GI247" i="4"/>
  <c r="GH248" i="4"/>
  <c r="GH110" i="4"/>
  <c r="GH247" i="4"/>
  <c r="GI165" i="4"/>
  <c r="GI310" i="4"/>
  <c r="GI241" i="4"/>
  <c r="GH165" i="4"/>
  <c r="GH349" i="4"/>
  <c r="GH241" i="4"/>
  <c r="GI277" i="4"/>
  <c r="GI349" i="4"/>
  <c r="GI271" i="4"/>
  <c r="GI248" i="4"/>
  <c r="GH277" i="4"/>
  <c r="EG309" i="4"/>
  <c r="EG247" i="4"/>
  <c r="EG242" i="4"/>
  <c r="EG355" i="4"/>
  <c r="EG343" i="4"/>
  <c r="EG110" i="4"/>
  <c r="EG248" i="4"/>
  <c r="EG189" i="4"/>
  <c r="EG262" i="4"/>
  <c r="EG229" i="4"/>
  <c r="EG349" i="4"/>
  <c r="EG241" i="4"/>
  <c r="EG337" i="4"/>
  <c r="EG195" i="4"/>
  <c r="EG221" i="4"/>
  <c r="EG165" i="4"/>
  <c r="EG277" i="4"/>
  <c r="EG315" i="4"/>
  <c r="EG331" i="4"/>
  <c r="EG146" i="4"/>
  <c r="EG290" i="4"/>
  <c r="FM355" i="4"/>
  <c r="FM229" i="4"/>
  <c r="FN242" i="4"/>
  <c r="FN229" i="4"/>
  <c r="FN343" i="4"/>
  <c r="FN309" i="4"/>
  <c r="FM242" i="4"/>
  <c r="FN290" i="4"/>
  <c r="FM343" i="4"/>
  <c r="FM309" i="4"/>
  <c r="FN337" i="4"/>
  <c r="FN195" i="4"/>
  <c r="FM337" i="4"/>
  <c r="FN355" i="4"/>
  <c r="FM195" i="4"/>
  <c r="FM331" i="4"/>
  <c r="FM277" i="4"/>
  <c r="FN331" i="4"/>
  <c r="FM165" i="4"/>
  <c r="FN241" i="4"/>
  <c r="FN247" i="4"/>
  <c r="FM349" i="4"/>
  <c r="FM241" i="4"/>
  <c r="FM247" i="4"/>
  <c r="FN349" i="4"/>
  <c r="FN277" i="4"/>
  <c r="FM339" i="4"/>
  <c r="FN110" i="4"/>
  <c r="FM110" i="4"/>
  <c r="FN248" i="4"/>
  <c r="FM248" i="4"/>
  <c r="FN271" i="4"/>
  <c r="FM290" i="4"/>
  <c r="FN165" i="4"/>
  <c r="GI161" i="4"/>
  <c r="CV262" i="4"/>
  <c r="AD262" i="4" s="1"/>
  <c r="EZ262" i="4"/>
  <c r="FT189" i="4"/>
  <c r="CU221" i="4"/>
  <c r="EY221" i="4"/>
  <c r="GI315" i="4"/>
  <c r="EZ315" i="4"/>
  <c r="CV315" i="4"/>
  <c r="AD315" i="4" s="1"/>
  <c r="CJ275" i="4"/>
  <c r="ER146" i="4"/>
  <c r="ER339" i="4"/>
  <c r="EW165" i="4"/>
  <c r="ES276" i="4"/>
  <c r="DJ271" i="4"/>
  <c r="EG271" i="4"/>
  <c r="EW275" i="4"/>
  <c r="EK271" i="4"/>
  <c r="GI276" i="4"/>
  <c r="CF276" i="4"/>
  <c r="ER165" i="4"/>
  <c r="DS310" i="4"/>
  <c r="FT275" i="4"/>
  <c r="FK276" i="4"/>
  <c r="DL275" i="4"/>
  <c r="EI275" i="4"/>
  <c r="DQ275" i="4"/>
  <c r="GA275" i="4"/>
  <c r="CB113" i="4"/>
  <c r="CB229" i="4"/>
  <c r="CB309" i="4"/>
  <c r="CB195" i="4"/>
  <c r="CB343" i="4"/>
  <c r="CB242" i="4"/>
  <c r="CB355" i="4"/>
  <c r="CB337" i="4"/>
  <c r="CB189" i="4"/>
  <c r="CB241" i="4"/>
  <c r="CB247" i="4"/>
  <c r="CB349" i="4"/>
  <c r="CB248" i="4"/>
  <c r="CB110" i="4"/>
  <c r="CB262" i="4"/>
  <c r="CB275" i="4"/>
  <c r="CB331" i="4"/>
  <c r="CB315" i="4"/>
  <c r="CB221" i="4"/>
  <c r="CB290" i="4"/>
  <c r="CB277" i="4"/>
  <c r="EN220" i="4"/>
  <c r="FM161" i="4"/>
  <c r="ES161" i="4"/>
  <c r="ES343" i="4"/>
  <c r="ER195" i="4"/>
  <c r="ER355" i="4"/>
  <c r="ES331" i="4"/>
  <c r="ER290" i="4"/>
  <c r="ES242" i="4"/>
  <c r="ER343" i="4"/>
  <c r="ES337" i="4"/>
  <c r="ES355" i="4"/>
  <c r="ER242" i="4"/>
  <c r="ES290" i="4"/>
  <c r="ER229" i="4"/>
  <c r="ES309" i="4"/>
  <c r="ER337" i="4"/>
  <c r="ES229" i="4"/>
  <c r="ER331" i="4"/>
  <c r="ES195" i="4"/>
  <c r="ER309" i="4"/>
  <c r="ES241" i="4"/>
  <c r="ER241" i="4"/>
  <c r="ES247" i="4"/>
  <c r="ER349" i="4"/>
  <c r="ER247" i="4"/>
  <c r="ES349" i="4"/>
  <c r="ES248" i="4"/>
  <c r="ES110" i="4"/>
  <c r="ER248" i="4"/>
  <c r="ER276" i="4"/>
  <c r="ER110" i="4"/>
  <c r="ES277" i="4"/>
  <c r="ER277" i="4"/>
  <c r="EE197" i="4"/>
  <c r="GA262" i="4"/>
  <c r="FM262" i="4"/>
  <c r="FU189" i="4"/>
  <c r="CV221" i="4"/>
  <c r="AD221" i="4" s="1"/>
  <c r="EZ221" i="4"/>
  <c r="GA315" i="4"/>
  <c r="CN315" i="4"/>
  <c r="FK146" i="4"/>
  <c r="BZ165" i="4"/>
  <c r="ES146" i="4"/>
  <c r="FR339" i="4"/>
  <c r="CD271" i="4"/>
  <c r="EY146" i="4"/>
  <c r="CF315" i="4"/>
  <c r="EL165" i="4"/>
  <c r="CD275" i="4"/>
  <c r="CH276" i="4"/>
  <c r="CJ339" i="4"/>
  <c r="FY275" i="4"/>
  <c r="FU271" i="4"/>
  <c r="FY276" i="4"/>
  <c r="FR276" i="4"/>
  <c r="CU165" i="4"/>
  <c r="DL271" i="4"/>
  <c r="EG276" i="4"/>
  <c r="FN275" i="4"/>
  <c r="FK271" i="4"/>
  <c r="GM275" i="4"/>
  <c r="EY165" i="4"/>
  <c r="DG146" i="4"/>
  <c r="GB271" i="4"/>
  <c r="CZ165" i="4"/>
  <c r="GA310" i="4"/>
  <c r="EI221" i="4"/>
  <c r="DP85" i="4"/>
  <c r="EN197" i="4"/>
  <c r="FM284" i="4"/>
  <c r="DQ76" i="4"/>
  <c r="GH284" i="4"/>
  <c r="DX309" i="4"/>
  <c r="DW309" i="4"/>
  <c r="DX331" i="4"/>
  <c r="DW290" i="4"/>
  <c r="DW339" i="4"/>
  <c r="DX343" i="4"/>
  <c r="DX195" i="4"/>
  <c r="DX242" i="4"/>
  <c r="DW331" i="4"/>
  <c r="DW242" i="4"/>
  <c r="DX290" i="4"/>
  <c r="DW229" i="4"/>
  <c r="DW343" i="4"/>
  <c r="DX337" i="4"/>
  <c r="DX229" i="4"/>
  <c r="DW195" i="4"/>
  <c r="DW337" i="4"/>
  <c r="DX355" i="4"/>
  <c r="DW355" i="4"/>
  <c r="DX247" i="4"/>
  <c r="DX165" i="4"/>
  <c r="DW271" i="4"/>
  <c r="DW349" i="4"/>
  <c r="DW247" i="4"/>
  <c r="DW275" i="4"/>
  <c r="DW310" i="4"/>
  <c r="DX349" i="4"/>
  <c r="DX241" i="4"/>
  <c r="DW241" i="4"/>
  <c r="DX248" i="4"/>
  <c r="DW277" i="4"/>
  <c r="DX110" i="4"/>
  <c r="DW248" i="4"/>
  <c r="DW110" i="4"/>
  <c r="DX275" i="4"/>
  <c r="DX277" i="4"/>
  <c r="DW276" i="4"/>
  <c r="DW146" i="4"/>
  <c r="DX146" i="4"/>
  <c r="CX343" i="4"/>
  <c r="CX248" i="4"/>
  <c r="CX247" i="4"/>
  <c r="CX355" i="4"/>
  <c r="CX349" i="4"/>
  <c r="CX241" i="4"/>
  <c r="CX337" i="4"/>
  <c r="CX242" i="4"/>
  <c r="CX110" i="4"/>
  <c r="CX331" i="4"/>
  <c r="CX309" i="4"/>
  <c r="CX229" i="4"/>
  <c r="CX195" i="4"/>
  <c r="CX262" i="4"/>
  <c r="CX277" i="4"/>
  <c r="CX271" i="4"/>
  <c r="CX315" i="4"/>
  <c r="CX189" i="4"/>
  <c r="CX290" i="4"/>
  <c r="CX221" i="4"/>
  <c r="CX310" i="4"/>
  <c r="EN113" i="4"/>
  <c r="EN229" i="4"/>
  <c r="EN337" i="4"/>
  <c r="EN247" i="4"/>
  <c r="EN248" i="4"/>
  <c r="EN331" i="4"/>
  <c r="EN349" i="4"/>
  <c r="EN195" i="4"/>
  <c r="EN355" i="4"/>
  <c r="EN277" i="4"/>
  <c r="EN241" i="4"/>
  <c r="EN309" i="4"/>
  <c r="EN262" i="4"/>
  <c r="EN343" i="4"/>
  <c r="EN110" i="4"/>
  <c r="EN242" i="4"/>
  <c r="EN189" i="4"/>
  <c r="EN290" i="4"/>
  <c r="CF113" i="4"/>
  <c r="GB262" i="4"/>
  <c r="FN262" i="4"/>
  <c r="DW189" i="4"/>
  <c r="DI189" i="4"/>
  <c r="CN221" i="4"/>
  <c r="GA221" i="4"/>
  <c r="ER221" i="4"/>
  <c r="GB315" i="4"/>
  <c r="DX315" i="4"/>
  <c r="CO315" i="4"/>
  <c r="FU146" i="4"/>
  <c r="CF339" i="4"/>
  <c r="FT146" i="4"/>
  <c r="BX165" i="4"/>
  <c r="DQ165" i="4"/>
  <c r="EN271" i="4"/>
  <c r="GP271" i="4"/>
  <c r="EN146" i="4"/>
  <c r="CO165" i="4"/>
  <c r="GM165" i="4"/>
  <c r="CB165" i="4"/>
  <c r="GI339" i="4"/>
  <c r="FY165" i="4"/>
  <c r="GB310" i="4"/>
  <c r="DW165" i="4"/>
  <c r="DX271" i="4"/>
  <c r="DI339" i="4"/>
  <c r="EN221" i="4"/>
  <c r="FY146" i="4"/>
  <c r="EB201" i="4"/>
  <c r="DP233" i="4"/>
  <c r="DQ161" i="4"/>
  <c r="CX284" i="4"/>
  <c r="DS161" i="4"/>
  <c r="EL337" i="4"/>
  <c r="EK355" i="4"/>
  <c r="EK229" i="4"/>
  <c r="EL229" i="4"/>
  <c r="EK337" i="4"/>
  <c r="EL331" i="4"/>
  <c r="EL242" i="4"/>
  <c r="EK242" i="4"/>
  <c r="EL309" i="4"/>
  <c r="EK343" i="4"/>
  <c r="EL195" i="4"/>
  <c r="EL290" i="4"/>
  <c r="EL355" i="4"/>
  <c r="EK309" i="4"/>
  <c r="EL343" i="4"/>
  <c r="EK195" i="4"/>
  <c r="EL247" i="4"/>
  <c r="EK247" i="4"/>
  <c r="EL277" i="4"/>
  <c r="EK277" i="4"/>
  <c r="EK331" i="4"/>
  <c r="EL110" i="4"/>
  <c r="EK110" i="4"/>
  <c r="EL276" i="4"/>
  <c r="EK310" i="4"/>
  <c r="EL241" i="4"/>
  <c r="EK241" i="4"/>
  <c r="EL310" i="4"/>
  <c r="EK276" i="4"/>
  <c r="EK146" i="4"/>
  <c r="EK349" i="4"/>
  <c r="EL248" i="4"/>
  <c r="EL349" i="4"/>
  <c r="EK290" i="4"/>
  <c r="EK248" i="4"/>
  <c r="EZ102" i="4"/>
  <c r="EZ195" i="4"/>
  <c r="EY339" i="4"/>
  <c r="EY337" i="4"/>
  <c r="EY309" i="4"/>
  <c r="EY242" i="4"/>
  <c r="EY195" i="4"/>
  <c r="EZ343" i="4"/>
  <c r="EY290" i="4"/>
  <c r="EY343" i="4"/>
  <c r="EZ355" i="4"/>
  <c r="EY229" i="4"/>
  <c r="EZ337" i="4"/>
  <c r="EZ229" i="4"/>
  <c r="EZ309" i="4"/>
  <c r="EY355" i="4"/>
  <c r="EY331" i="4"/>
  <c r="EZ242" i="4"/>
  <c r="EZ349" i="4"/>
  <c r="EY248" i="4"/>
  <c r="EZ275" i="4"/>
  <c r="EY275" i="4"/>
  <c r="EY277" i="4"/>
  <c r="EZ290" i="4"/>
  <c r="EZ110" i="4"/>
  <c r="EY110" i="4"/>
  <c r="EZ277" i="4"/>
  <c r="EZ146" i="4"/>
  <c r="EZ241" i="4"/>
  <c r="EZ247" i="4"/>
  <c r="EY349" i="4"/>
  <c r="EZ331" i="4"/>
  <c r="EY241" i="4"/>
  <c r="EY247" i="4"/>
  <c r="EZ248" i="4"/>
  <c r="EP309" i="4"/>
  <c r="EP248" i="4"/>
  <c r="EP242" i="4"/>
  <c r="EP262" i="4"/>
  <c r="EP189" i="4"/>
  <c r="EP195" i="4"/>
  <c r="EP241" i="4"/>
  <c r="EP229" i="4"/>
  <c r="EP355" i="4"/>
  <c r="EP343" i="4"/>
  <c r="EP349" i="4"/>
  <c r="EP247" i="4"/>
  <c r="EP337" i="4"/>
  <c r="EP110" i="4"/>
  <c r="EP331" i="4"/>
  <c r="EP275" i="4"/>
  <c r="EP315" i="4"/>
  <c r="EP339" i="4"/>
  <c r="EP290" i="4"/>
  <c r="EP221" i="4"/>
  <c r="EP277" i="4"/>
  <c r="EP146" i="4"/>
  <c r="DJ262" i="4"/>
  <c r="GH262" i="4"/>
  <c r="EZ189" i="4"/>
  <c r="DX189" i="4"/>
  <c r="DJ189" i="4"/>
  <c r="CO221" i="4"/>
  <c r="GB221" i="4"/>
  <c r="ES221" i="4"/>
  <c r="FT315" i="4"/>
  <c r="BZ339" i="4"/>
  <c r="FU165" i="4"/>
  <c r="EN165" i="4"/>
  <c r="FM271" i="4"/>
  <c r="BZ315" i="4"/>
  <c r="FU276" i="4"/>
  <c r="GP165" i="4"/>
  <c r="GM276" i="4"/>
  <c r="GP275" i="4"/>
  <c r="ES165" i="4"/>
  <c r="EI165" i="4"/>
  <c r="EP310" i="4"/>
  <c r="ER275" i="4"/>
  <c r="FN276" i="4"/>
  <c r="EL339" i="4"/>
  <c r="EZ310" i="4"/>
  <c r="FU275" i="4"/>
  <c r="BZ146" i="4"/>
  <c r="EN275" i="4"/>
  <c r="CN310" i="4"/>
  <c r="CD315" i="4"/>
  <c r="ES310" i="4"/>
  <c r="CF259" i="4"/>
  <c r="CH71" i="4"/>
  <c r="EE201" i="4"/>
  <c r="DG233" i="4"/>
  <c r="EB202" i="4"/>
  <c r="FN284" i="4"/>
  <c r="GH197" i="4"/>
  <c r="GI85" i="4"/>
  <c r="FM197" i="4"/>
  <c r="EN75" i="4"/>
  <c r="DQ284" i="4"/>
  <c r="DQ337" i="4"/>
  <c r="DP242" i="4"/>
  <c r="DQ290" i="4"/>
  <c r="DP337" i="4"/>
  <c r="DQ309" i="4"/>
  <c r="DQ195" i="4"/>
  <c r="DP229" i="4"/>
  <c r="DP309" i="4"/>
  <c r="DQ229" i="4"/>
  <c r="DP195" i="4"/>
  <c r="DP343" i="4"/>
  <c r="DQ355" i="4"/>
  <c r="DQ343" i="4"/>
  <c r="DP355" i="4"/>
  <c r="DQ242" i="4"/>
  <c r="DQ241" i="4"/>
  <c r="DP241" i="4"/>
  <c r="DP339" i="4"/>
  <c r="DP276" i="4"/>
  <c r="DQ247" i="4"/>
  <c r="DQ277" i="4"/>
  <c r="DP349" i="4"/>
  <c r="DP331" i="4"/>
  <c r="DQ331" i="4"/>
  <c r="DP247" i="4"/>
  <c r="DQ248" i="4"/>
  <c r="DQ349" i="4"/>
  <c r="DP248" i="4"/>
  <c r="DP277" i="4"/>
  <c r="DP275" i="4"/>
  <c r="DP290" i="4"/>
  <c r="DQ339" i="4"/>
  <c r="DP110" i="4"/>
  <c r="DQ110" i="4"/>
  <c r="DS284" i="4"/>
  <c r="GI284" i="4"/>
  <c r="ED284" i="4"/>
  <c r="ED262" i="4"/>
  <c r="ED309" i="4"/>
  <c r="EE355" i="4"/>
  <c r="ED355" i="4"/>
  <c r="EE195" i="4"/>
  <c r="EE290" i="4"/>
  <c r="EE343" i="4"/>
  <c r="ED195" i="4"/>
  <c r="ED343" i="4"/>
  <c r="EE242" i="4"/>
  <c r="EE337" i="4"/>
  <c r="ED242" i="4"/>
  <c r="EE309" i="4"/>
  <c r="ED229" i="4"/>
  <c r="ED337" i="4"/>
  <c r="EE229" i="4"/>
  <c r="EE276" i="4"/>
  <c r="EE271" i="4"/>
  <c r="ED290" i="4"/>
  <c r="EE248" i="4"/>
  <c r="EE241" i="4"/>
  <c r="ED248" i="4"/>
  <c r="ED349" i="4"/>
  <c r="ED241" i="4"/>
  <c r="EE349" i="4"/>
  <c r="ED331" i="4"/>
  <c r="EE331" i="4"/>
  <c r="EE277" i="4"/>
  <c r="EE247" i="4"/>
  <c r="ED247" i="4"/>
  <c r="EE310" i="4"/>
  <c r="EE110" i="4"/>
  <c r="ED277" i="4"/>
  <c r="ED275" i="4"/>
  <c r="EE165" i="4"/>
  <c r="ED110" i="4"/>
  <c r="CH284" i="4"/>
  <c r="CH262" i="4"/>
  <c r="CH241" i="4"/>
  <c r="CH229" i="4"/>
  <c r="CH309" i="4"/>
  <c r="CH247" i="4"/>
  <c r="CH355" i="4"/>
  <c r="CH337" i="4"/>
  <c r="CH189" i="4"/>
  <c r="CH195" i="4"/>
  <c r="CH242" i="4"/>
  <c r="CH248" i="4"/>
  <c r="CH343" i="4"/>
  <c r="CH349" i="4"/>
  <c r="CH110" i="4"/>
  <c r="CH221" i="4"/>
  <c r="CH331" i="4"/>
  <c r="CH277" i="4"/>
  <c r="CH290" i="4"/>
  <c r="DI262" i="4"/>
  <c r="GI262" i="4"/>
  <c r="ER189" i="4"/>
  <c r="CU189" i="4"/>
  <c r="DI221" i="4"/>
  <c r="DP221" i="4"/>
  <c r="EK221" i="4"/>
  <c r="EE315" i="4"/>
  <c r="FU315" i="4"/>
  <c r="DQ315" i="4"/>
  <c r="DG165" i="4"/>
  <c r="DJ165" i="4"/>
  <c r="GH271" i="4"/>
  <c r="EN339" i="4"/>
  <c r="DQ276" i="4"/>
  <c r="EK275" i="4"/>
  <c r="FR271" i="4"/>
  <c r="FY339" i="4"/>
  <c r="CX146" i="4"/>
  <c r="FT339" i="4"/>
  <c r="CV165" i="4"/>
  <c r="AD165" i="4" s="1"/>
  <c r="EP165" i="4"/>
  <c r="BZ271" i="4"/>
  <c r="CU275" i="4"/>
  <c r="FK339" i="4"/>
  <c r="EB271" i="4"/>
  <c r="FN339" i="4"/>
  <c r="FM275" i="4"/>
  <c r="EW271" i="4"/>
  <c r="DB165" i="4"/>
  <c r="EB310" i="4"/>
  <c r="CV276" i="4"/>
  <c r="AD276" i="4" s="1"/>
  <c r="CJ242" i="4"/>
  <c r="CD242" i="4"/>
  <c r="EI355" i="4"/>
  <c r="DZ349" i="4"/>
  <c r="CF248" i="4"/>
  <c r="CF229" i="4"/>
  <c r="CF110" i="4"/>
  <c r="DZ229" i="4"/>
  <c r="DZ242" i="4"/>
  <c r="DZ343" i="4"/>
  <c r="CF309" i="4"/>
  <c r="BX242" i="4"/>
  <c r="CF242" i="4"/>
  <c r="CF241" i="4"/>
  <c r="DZ248" i="4"/>
  <c r="DZ241" i="4"/>
  <c r="DZ355" i="4"/>
  <c r="CF195" i="4"/>
  <c r="DZ247" i="4"/>
  <c r="CF189" i="4"/>
  <c r="CF343" i="4"/>
  <c r="CF337" i="4"/>
  <c r="BZ355" i="4"/>
  <c r="CF355" i="4"/>
  <c r="CD337" i="4"/>
  <c r="BX337" i="4"/>
  <c r="CJ337" i="4"/>
  <c r="CO337" i="4"/>
  <c r="CB202" i="4"/>
  <c r="BZ75" i="4"/>
  <c r="CZ141" i="4"/>
  <c r="CZ156" i="4"/>
  <c r="CZ256" i="4"/>
  <c r="CZ108" i="4"/>
  <c r="CZ87" i="4"/>
  <c r="CZ143" i="4"/>
  <c r="CZ255" i="4"/>
  <c r="EI148" i="4"/>
  <c r="DW220" i="4"/>
  <c r="EL274" i="4"/>
  <c r="CF202" i="4"/>
  <c r="CZ76" i="4"/>
  <c r="DG201" i="4"/>
  <c r="DS201" i="4"/>
  <c r="GA174" i="4"/>
  <c r="DS202" i="4"/>
  <c r="ED102" i="4"/>
  <c r="CJ233" i="4"/>
  <c r="EG85" i="4"/>
  <c r="CZ233" i="4"/>
  <c r="DW102" i="4"/>
  <c r="CZ85" i="4"/>
  <c r="DX85" i="4"/>
  <c r="EK197" i="4"/>
  <c r="EG102" i="4"/>
  <c r="FK113" i="4"/>
  <c r="FK220" i="4"/>
  <c r="FK161" i="4"/>
  <c r="FK202" i="4"/>
  <c r="FK197" i="4"/>
  <c r="FK284" i="4"/>
  <c r="FK75" i="4"/>
  <c r="DS113" i="4"/>
  <c r="CZ113" i="4"/>
  <c r="DJ233" i="4"/>
  <c r="GA148" i="4"/>
  <c r="EL113" i="4"/>
  <c r="DS148" i="4"/>
  <c r="GA113" i="4"/>
  <c r="DW75" i="4"/>
  <c r="EK75" i="4"/>
  <c r="CH148" i="4"/>
  <c r="DJ274" i="4"/>
  <c r="GA76" i="4"/>
  <c r="EG201" i="4"/>
  <c r="EK201" i="4"/>
  <c r="CH174" i="4"/>
  <c r="EI201" i="4"/>
  <c r="GB174" i="4"/>
  <c r="CH233" i="4"/>
  <c r="EK284" i="4"/>
  <c r="DC284" i="4"/>
  <c r="BZ85" i="4"/>
  <c r="DJ197" i="4"/>
  <c r="DC85" i="4"/>
  <c r="DB75" i="4"/>
  <c r="DB102" i="4"/>
  <c r="CZ284" i="4"/>
  <c r="BX148" i="4"/>
  <c r="CZ207" i="4"/>
  <c r="CZ211" i="4"/>
  <c r="CZ149" i="4"/>
  <c r="CZ259" i="4"/>
  <c r="CZ71" i="4"/>
  <c r="GB148" i="4"/>
  <c r="DW113" i="4"/>
  <c r="GB113" i="4"/>
  <c r="DX75" i="4"/>
  <c r="EL75" i="4"/>
  <c r="GA274" i="4"/>
  <c r="DX274" i="4"/>
  <c r="CD76" i="4"/>
  <c r="DC76" i="4"/>
  <c r="ED174" i="4"/>
  <c r="CH202" i="4"/>
  <c r="CF161" i="4"/>
  <c r="EE233" i="4"/>
  <c r="CF274" i="4"/>
  <c r="CF220" i="4"/>
  <c r="CX220" i="4"/>
  <c r="CB85" i="4"/>
  <c r="DJ85" i="4"/>
  <c r="CB161" i="4"/>
  <c r="DG161" i="4"/>
  <c r="GA284" i="4"/>
  <c r="EB75" i="4"/>
  <c r="EG202" i="4"/>
  <c r="CX113" i="4"/>
  <c r="EG75" i="4"/>
  <c r="EG113" i="4"/>
  <c r="FN197" i="4"/>
  <c r="EW113" i="4"/>
  <c r="CZ99" i="4"/>
  <c r="CZ150" i="4"/>
  <c r="CZ210" i="4"/>
  <c r="CZ172" i="4"/>
  <c r="CZ38" i="4"/>
  <c r="CZ111" i="4"/>
  <c r="CZ94" i="4"/>
  <c r="DC148" i="4"/>
  <c r="EK148" i="4"/>
  <c r="DX113" i="4"/>
  <c r="DG148" i="4"/>
  <c r="CB148" i="4"/>
  <c r="DJ220" i="4"/>
  <c r="GA220" i="4"/>
  <c r="DJ202" i="4"/>
  <c r="EL202" i="4"/>
  <c r="GB274" i="4"/>
  <c r="DW274" i="4"/>
  <c r="CD201" i="4"/>
  <c r="CH76" i="4"/>
  <c r="BX76" i="4"/>
  <c r="DG274" i="4"/>
  <c r="CB274" i="4"/>
  <c r="DX161" i="4"/>
  <c r="DJ201" i="4"/>
  <c r="EL102" i="4"/>
  <c r="CZ102" i="4"/>
  <c r="CO102" i="4"/>
  <c r="FK102" i="4"/>
  <c r="CO161" i="4"/>
  <c r="GA233" i="4"/>
  <c r="DJ102" i="4"/>
  <c r="EK161" i="4"/>
  <c r="EG233" i="4"/>
  <c r="BZ161" i="4"/>
  <c r="EK85" i="4"/>
  <c r="DW174" i="4"/>
  <c r="DC102" i="4"/>
  <c r="GB284" i="4"/>
  <c r="CJ197" i="4"/>
  <c r="BX274" i="4"/>
  <c r="ED197" i="4"/>
  <c r="DJ284" i="4"/>
  <c r="DL220" i="4"/>
  <c r="DL113" i="4"/>
  <c r="DL75" i="4"/>
  <c r="GA161" i="4"/>
  <c r="CZ109" i="4"/>
  <c r="CZ142" i="4"/>
  <c r="CZ106" i="4"/>
  <c r="CZ100" i="4"/>
  <c r="CZ251" i="4"/>
  <c r="CZ96" i="4"/>
  <c r="CZ51" i="4"/>
  <c r="CZ167" i="4"/>
  <c r="CF206" i="4"/>
  <c r="EL148" i="4"/>
  <c r="EK220" i="4"/>
  <c r="GB220" i="4"/>
  <c r="EK202" i="4"/>
  <c r="BX201" i="4"/>
  <c r="DS76" i="4"/>
  <c r="CO201" i="4"/>
  <c r="BX174" i="4"/>
  <c r="DC201" i="4"/>
  <c r="CX202" i="4"/>
  <c r="CB284" i="4"/>
  <c r="EG76" i="4"/>
  <c r="CF102" i="4"/>
  <c r="EG284" i="4"/>
  <c r="BX161" i="4"/>
  <c r="DC197" i="4"/>
  <c r="EK102" i="4"/>
  <c r="EI284" i="4"/>
  <c r="DS85" i="4"/>
  <c r="CZ220" i="4"/>
  <c r="DX102" i="4"/>
  <c r="BZ284" i="4"/>
  <c r="CO197" i="4"/>
  <c r="FK85" i="4"/>
  <c r="EL233" i="4"/>
  <c r="DP197" i="4"/>
  <c r="CB197" i="4"/>
  <c r="DP102" i="4"/>
  <c r="CO284" i="4"/>
  <c r="BX202" i="4"/>
  <c r="DW284" i="4"/>
  <c r="DW161" i="4"/>
  <c r="DG113" i="4"/>
  <c r="DG220" i="4"/>
  <c r="DG197" i="4"/>
  <c r="CF75" i="4"/>
  <c r="EP202" i="4"/>
  <c r="DS75" i="4"/>
  <c r="CZ75" i="4"/>
  <c r="DS220" i="4"/>
  <c r="ED161" i="4"/>
  <c r="CZ168" i="4"/>
  <c r="CZ237" i="4"/>
  <c r="CZ213" i="4"/>
  <c r="CZ60" i="4"/>
  <c r="CZ121" i="4"/>
  <c r="CZ264" i="4"/>
  <c r="CD79" i="4"/>
  <c r="DJ113" i="4"/>
  <c r="EL220" i="4"/>
  <c r="DX202" i="4"/>
  <c r="DC202" i="4"/>
  <c r="DC274" i="4"/>
  <c r="EK174" i="4"/>
  <c r="CZ174" i="4"/>
  <c r="EG174" i="4"/>
  <c r="CJ202" i="4"/>
  <c r="DX76" i="4"/>
  <c r="CO174" i="4"/>
  <c r="CF284" i="4"/>
  <c r="CF197" i="4"/>
  <c r="DW233" i="4"/>
  <c r="BZ102" i="4"/>
  <c r="EL284" i="4"/>
  <c r="EI197" i="4"/>
  <c r="GA85" i="4"/>
  <c r="BX197" i="4"/>
  <c r="DC161" i="4"/>
  <c r="BX233" i="4"/>
  <c r="FN102" i="4"/>
  <c r="CZ197" i="4"/>
  <c r="DW85" i="4"/>
  <c r="DS197" i="4"/>
  <c r="CH102" i="4"/>
  <c r="DG85" i="4"/>
  <c r="GA197" i="4"/>
  <c r="ER197" i="4"/>
  <c r="CZ208" i="4"/>
  <c r="CH113" i="4"/>
  <c r="EL85" i="4"/>
  <c r="EL197" i="4"/>
  <c r="EK233" i="4"/>
  <c r="CH75" i="4"/>
  <c r="CU233" i="4"/>
  <c r="CZ250" i="4"/>
  <c r="CZ199" i="4"/>
  <c r="CZ112" i="4"/>
  <c r="CZ147" i="4"/>
  <c r="CZ83" i="4"/>
  <c r="CZ140" i="4"/>
  <c r="CZ200" i="4"/>
  <c r="CZ234" i="4"/>
  <c r="CD38" i="4"/>
  <c r="BZ148" i="4"/>
  <c r="DC113" i="4"/>
  <c r="GA75" i="4"/>
  <c r="DW202" i="4"/>
  <c r="DB202" i="4"/>
  <c r="CB76" i="4"/>
  <c r="EL174" i="4"/>
  <c r="DG174" i="4"/>
  <c r="EI202" i="4"/>
  <c r="EI76" i="4"/>
  <c r="FN76" i="4"/>
  <c r="FK201" i="4"/>
  <c r="GB201" i="4"/>
  <c r="CD174" i="4"/>
  <c r="CD274" i="4"/>
  <c r="GB102" i="4"/>
  <c r="CB75" i="4"/>
  <c r="CB233" i="4"/>
  <c r="EI102" i="4"/>
  <c r="BZ197" i="4"/>
  <c r="CF233" i="4"/>
  <c r="CX102" i="4"/>
  <c r="DW197" i="4"/>
  <c r="ER85" i="4"/>
  <c r="EE161" i="4"/>
  <c r="CD220" i="4"/>
  <c r="DQ102" i="4"/>
  <c r="BZ113" i="4"/>
  <c r="EE85" i="4"/>
  <c r="CU197" i="4"/>
  <c r="CZ120" i="4"/>
  <c r="CZ164" i="4"/>
  <c r="CZ227" i="4"/>
  <c r="CZ153" i="4"/>
  <c r="CZ117" i="4"/>
  <c r="CZ261" i="4"/>
  <c r="CZ236" i="4"/>
  <c r="DJ148" i="4"/>
  <c r="DX148" i="4"/>
  <c r="DJ75" i="4"/>
  <c r="GB75" i="4"/>
  <c r="GB202" i="4"/>
  <c r="DS174" i="4"/>
  <c r="CF174" i="4"/>
  <c r="CJ174" i="4"/>
  <c r="DX201" i="4"/>
  <c r="CB201" i="4"/>
  <c r="CF201" i="4"/>
  <c r="CX274" i="4"/>
  <c r="EI174" i="4"/>
  <c r="DJ76" i="4"/>
  <c r="EG197" i="4"/>
  <c r="BZ233" i="4"/>
  <c r="DJ161" i="4"/>
  <c r="DB85" i="4"/>
  <c r="GB76" i="4"/>
  <c r="CH161" i="4"/>
  <c r="DB284" i="4"/>
  <c r="CJ284" i="4"/>
  <c r="ES233" i="4"/>
  <c r="CD75" i="4"/>
  <c r="GA201" i="4"/>
  <c r="BX75" i="4"/>
  <c r="EI220" i="4"/>
  <c r="EI75" i="4"/>
  <c r="EI113" i="4"/>
  <c r="GM85" i="4"/>
  <c r="GM113" i="4"/>
  <c r="CN284" i="4"/>
  <c r="CZ98" i="4"/>
  <c r="CZ131" i="4"/>
  <c r="CZ115" i="4"/>
  <c r="CZ235" i="4"/>
  <c r="CZ133" i="4"/>
  <c r="CZ169" i="4"/>
  <c r="CZ118" i="4"/>
  <c r="CZ95" i="4"/>
  <c r="CZ249" i="4"/>
  <c r="DW148" i="4"/>
  <c r="EG148" i="4"/>
  <c r="DC220" i="4"/>
  <c r="GA202" i="4"/>
  <c r="EG274" i="4"/>
  <c r="EL201" i="4"/>
  <c r="CB174" i="4"/>
  <c r="DW76" i="4"/>
  <c r="FK76" i="4"/>
  <c r="CZ274" i="4"/>
  <c r="CX161" i="4"/>
  <c r="EG220" i="4"/>
  <c r="EE102" i="4"/>
  <c r="DB197" i="4"/>
  <c r="BX284" i="4"/>
  <c r="DB233" i="4"/>
  <c r="FN233" i="4"/>
  <c r="CD202" i="4"/>
  <c r="FK233" i="4"/>
  <c r="DX284" i="4"/>
  <c r="FN161" i="4"/>
  <c r="CX85" i="4"/>
  <c r="ED85" i="4"/>
  <c r="DB201" i="4"/>
  <c r="CB220" i="4"/>
  <c r="BX113" i="4"/>
  <c r="CJ220" i="4"/>
  <c r="CJ75" i="4"/>
  <c r="CJ113" i="4"/>
  <c r="EP75" i="4"/>
  <c r="CZ119" i="4"/>
  <c r="CZ56" i="4"/>
  <c r="CZ84" i="4"/>
  <c r="CZ289" i="4"/>
  <c r="CZ206" i="4"/>
  <c r="CZ182" i="4"/>
  <c r="CZ273" i="4"/>
  <c r="CZ97" i="4"/>
  <c r="CZ72" i="4"/>
  <c r="CD171" i="4"/>
  <c r="CF148" i="4"/>
  <c r="CZ148" i="4"/>
  <c r="CF76" i="4"/>
  <c r="CO76" i="4"/>
  <c r="FK174" i="4"/>
  <c r="DB76" i="4"/>
  <c r="EE174" i="4"/>
  <c r="DX174" i="4"/>
  <c r="DG76" i="4"/>
  <c r="EI274" i="4"/>
  <c r="GB197" i="4"/>
  <c r="GA102" i="4"/>
  <c r="BX85" i="4"/>
  <c r="EI161" i="4"/>
  <c r="GB85" i="4"/>
  <c r="CO233" i="4"/>
  <c r="ES85" i="4"/>
  <c r="FR113" i="4"/>
  <c r="FR202" i="4"/>
  <c r="FR161" i="4"/>
  <c r="FR75" i="4"/>
  <c r="FR220" i="4"/>
  <c r="GH161" i="4"/>
  <c r="CZ202" i="4"/>
  <c r="CZ329" i="4"/>
  <c r="CZ265" i="4"/>
  <c r="CZ128" i="4"/>
  <c r="CZ158" i="4"/>
  <c r="CZ52" i="4"/>
  <c r="CZ268" i="4"/>
  <c r="CZ212" i="4"/>
  <c r="CZ280" i="4"/>
  <c r="DC75" i="4"/>
  <c r="EK274" i="4"/>
  <c r="CH201" i="4"/>
  <c r="ED201" i="4"/>
  <c r="DG202" i="4"/>
  <c r="DC174" i="4"/>
  <c r="CH274" i="4"/>
  <c r="DS233" i="4"/>
  <c r="CF85" i="4"/>
  <c r="DG75" i="4"/>
  <c r="DG284" i="4"/>
  <c r="ED233" i="4"/>
  <c r="EL161" i="4"/>
  <c r="EE284" i="4"/>
  <c r="EP220" i="4"/>
  <c r="BZ202" i="4"/>
  <c r="BZ201" i="4"/>
  <c r="BZ76" i="4"/>
  <c r="BZ174" i="4"/>
  <c r="BZ274" i="4"/>
  <c r="CD113" i="4"/>
  <c r="CD284" i="4"/>
  <c r="CD85" i="4"/>
  <c r="CD197" i="4"/>
  <c r="CD161" i="4"/>
  <c r="CD233" i="4"/>
  <c r="CD102" i="4"/>
  <c r="CD289" i="4"/>
  <c r="CD51" i="4"/>
  <c r="CD168" i="4"/>
  <c r="CD210" i="4"/>
  <c r="CD60" i="4"/>
  <c r="CD70" i="4"/>
  <c r="CD153" i="4"/>
  <c r="CD115" i="4"/>
  <c r="CD235" i="4"/>
  <c r="CD169" i="4"/>
  <c r="CD250" i="4"/>
  <c r="CD206" i="4"/>
  <c r="CD40" i="4"/>
  <c r="CD133" i="4"/>
  <c r="CF153" i="4"/>
  <c r="CD236" i="4"/>
  <c r="CD208" i="4"/>
  <c r="CD119" i="4"/>
  <c r="CD77" i="4"/>
  <c r="CD86" i="4"/>
  <c r="CD95" i="4"/>
  <c r="CD200" i="4"/>
  <c r="CD196" i="4"/>
  <c r="CD83" i="4"/>
  <c r="CD71" i="4"/>
  <c r="CD251" i="4"/>
  <c r="CD167" i="4"/>
  <c r="CD131" i="4"/>
  <c r="CD52" i="4"/>
  <c r="CD121" i="4"/>
  <c r="CF149" i="4"/>
  <c r="CD98" i="4"/>
  <c r="CD120" i="4"/>
  <c r="CD141" i="4"/>
  <c r="CD179" i="4"/>
  <c r="CD249" i="4"/>
  <c r="CD166" i="4"/>
  <c r="CD97" i="4"/>
  <c r="CD255" i="4"/>
  <c r="CD181" i="4"/>
  <c r="CD182" i="4"/>
  <c r="CD234" i="4"/>
  <c r="CD63" i="4"/>
  <c r="CD108" i="4"/>
  <c r="CD72" i="4"/>
  <c r="CD227" i="4"/>
  <c r="CD96" i="4"/>
  <c r="CD361" i="4"/>
  <c r="CD100" i="4"/>
  <c r="CD94" i="4"/>
  <c r="CD87" i="4"/>
  <c r="CD109" i="4"/>
  <c r="CD230" i="4"/>
  <c r="CD111" i="4"/>
  <c r="CF79" i="4"/>
  <c r="CD39" i="4"/>
  <c r="CF227" i="4"/>
  <c r="CF171" i="4"/>
  <c r="CF168" i="4"/>
  <c r="CF97" i="4"/>
  <c r="CF125" i="4"/>
  <c r="CF121" i="4"/>
  <c r="CF83" i="4"/>
  <c r="CF115" i="4"/>
  <c r="CF117" i="4"/>
  <c r="CF109" i="4"/>
  <c r="CF255" i="4"/>
  <c r="CF128" i="4"/>
  <c r="CD253" i="4"/>
  <c r="CF51" i="4"/>
  <c r="CF108" i="4"/>
  <c r="CH358" i="4"/>
  <c r="CD256" i="4"/>
  <c r="CH111" i="4"/>
  <c r="CD117" i="4"/>
  <c r="CF77" i="4"/>
  <c r="CF98" i="4"/>
  <c r="DE204" i="4"/>
  <c r="CF59" i="4"/>
  <c r="CD139" i="4"/>
  <c r="CD125" i="4"/>
  <c r="CD106" i="4"/>
  <c r="CD335" i="4"/>
  <c r="CD172" i="4"/>
  <c r="CH141" i="4"/>
  <c r="CF119" i="4"/>
  <c r="CF250" i="4"/>
  <c r="CF106" i="4"/>
  <c r="CF235" i="4"/>
  <c r="CF172" i="4"/>
  <c r="CD118" i="4"/>
  <c r="CD158" i="4"/>
  <c r="CD264" i="4"/>
  <c r="CH185" i="4"/>
  <c r="CD199" i="4"/>
  <c r="CH261" i="4"/>
  <c r="CH253" i="4"/>
  <c r="CH316" i="4"/>
  <c r="CH227" i="4"/>
  <c r="CH240" i="4"/>
  <c r="CH269" i="4"/>
  <c r="CH249" i="4"/>
  <c r="CH203" i="4"/>
  <c r="CH273" i="4"/>
  <c r="CD261" i="4"/>
  <c r="CD82" i="4"/>
  <c r="CD207" i="4"/>
  <c r="CD209" i="4"/>
  <c r="CF133" i="4"/>
  <c r="CD140" i="4"/>
  <c r="CD212" i="4"/>
  <c r="CH234" i="4"/>
  <c r="CH215" i="4"/>
  <c r="CH307" i="4"/>
  <c r="CH267" i="4"/>
  <c r="CH256" i="4"/>
  <c r="CH108" i="4"/>
  <c r="CH128" i="4"/>
  <c r="CH212" i="4"/>
  <c r="CD122" i="4"/>
  <c r="CD128" i="4"/>
  <c r="CD211" i="4"/>
  <c r="CH313" i="4"/>
  <c r="CH143" i="4"/>
  <c r="CH210" i="4"/>
  <c r="CH183" i="4"/>
  <c r="CH216" i="4"/>
  <c r="CH145" i="4"/>
  <c r="CH121" i="4"/>
  <c r="CH83" i="4"/>
  <c r="CH72" i="4"/>
  <c r="CF183" i="4"/>
  <c r="CH56" i="4"/>
  <c r="CH266" i="4"/>
  <c r="CH204" i="4"/>
  <c r="CH264" i="4"/>
  <c r="CH134" i="4"/>
  <c r="CH259" i="4"/>
  <c r="CD268" i="4"/>
  <c r="CH164" i="4"/>
  <c r="CH231" i="4"/>
  <c r="CH225" i="4"/>
  <c r="CH115" i="4"/>
  <c r="CH306" i="4"/>
  <c r="CH125" i="4"/>
  <c r="CH118" i="4"/>
  <c r="CH99" i="4"/>
  <c r="CH163" i="4"/>
  <c r="CH44" i="4"/>
  <c r="CH302" i="4"/>
  <c r="CH280" i="4"/>
  <c r="CH300" i="4"/>
  <c r="CH292" i="4"/>
  <c r="CH112" i="4"/>
  <c r="CD259" i="4"/>
  <c r="CD142" i="4"/>
  <c r="CH278" i="4"/>
  <c r="CH321" i="4"/>
  <c r="CH151" i="4"/>
  <c r="CH198" i="4"/>
  <c r="CH98" i="4"/>
  <c r="CH238" i="4"/>
  <c r="CH122" i="4"/>
  <c r="CH166" i="4"/>
  <c r="CD164" i="4"/>
  <c r="CH120" i="4"/>
  <c r="CH293" i="4"/>
  <c r="CH219" i="4"/>
  <c r="CH320" i="4"/>
  <c r="CH181" i="4"/>
  <c r="CH236" i="4"/>
  <c r="CH96" i="4"/>
  <c r="CH218" i="4"/>
  <c r="CH286" i="4"/>
  <c r="CH140" i="4"/>
  <c r="CD135" i="4"/>
  <c r="CD213" i="4"/>
  <c r="CH207" i="4"/>
  <c r="CH308" i="4"/>
  <c r="CH173" i="4"/>
  <c r="CH206" i="4"/>
  <c r="CH250" i="4"/>
  <c r="CH336" i="4"/>
  <c r="CH109" i="4"/>
  <c r="CH361" i="4"/>
  <c r="CH86" i="4"/>
  <c r="CD266" i="4"/>
  <c r="CH117" i="4"/>
  <c r="CH101" i="4"/>
  <c r="CH298" i="4"/>
  <c r="CH168" i="4"/>
  <c r="CH158" i="4"/>
  <c r="CH167" i="4"/>
  <c r="CH106" i="4"/>
  <c r="CD228" i="4"/>
  <c r="CD150" i="4"/>
  <c r="CH131" i="4"/>
  <c r="CH193" i="4"/>
  <c r="CH139" i="4"/>
  <c r="CH144" i="4"/>
  <c r="CH95" i="4"/>
  <c r="GH269" i="4"/>
  <c r="CD149" i="4"/>
  <c r="CH251" i="4"/>
  <c r="CH60" i="4"/>
  <c r="CH297" i="4"/>
  <c r="CH194" i="4"/>
  <c r="CH149" i="4"/>
  <c r="CH235" i="4"/>
  <c r="CH87" i="4"/>
  <c r="CH179" i="4"/>
  <c r="CH79" i="4"/>
  <c r="CH142" i="4"/>
  <c r="EP135" i="4"/>
  <c r="CF260" i="4"/>
  <c r="CD317" i="4"/>
  <c r="CD278" i="4"/>
  <c r="CD194" i="4"/>
  <c r="CD20" i="4"/>
  <c r="CD217" i="4"/>
  <c r="CD280" i="4"/>
  <c r="CD358" i="4"/>
  <c r="CD132" i="4"/>
  <c r="CH317" i="4"/>
  <c r="CH257" i="4"/>
  <c r="CH40" i="4"/>
  <c r="CH272" i="4"/>
  <c r="CF99" i="4"/>
  <c r="CF292" i="4"/>
  <c r="CF173" i="4"/>
  <c r="CD218" i="4"/>
  <c r="CD176" i="4"/>
  <c r="CD225" i="4"/>
  <c r="CD56" i="4"/>
  <c r="CD297" i="4"/>
  <c r="CD322" i="4"/>
  <c r="CD302" i="4"/>
  <c r="CD214" i="4"/>
  <c r="CD78" i="4"/>
  <c r="CD307" i="4"/>
  <c r="CD267" i="4"/>
  <c r="CD73" i="4"/>
  <c r="CD269" i="4"/>
  <c r="CD159" i="4"/>
  <c r="CD270" i="4"/>
  <c r="CH39" i="4"/>
  <c r="CH94" i="4"/>
  <c r="CH282" i="4"/>
  <c r="CH252" i="4"/>
  <c r="CH188" i="4"/>
  <c r="CH133" i="4"/>
  <c r="CH51" i="4"/>
  <c r="CH100" i="4"/>
  <c r="CF280" i="4"/>
  <c r="CF200" i="4"/>
  <c r="CD254" i="4"/>
  <c r="CD295" i="4"/>
  <c r="CD257" i="4"/>
  <c r="CD183" i="4"/>
  <c r="CD328" i="4"/>
  <c r="CD192" i="4"/>
  <c r="CD237" i="4"/>
  <c r="CD308" i="4"/>
  <c r="CD282" i="4"/>
  <c r="CD367" i="4"/>
  <c r="CF273" i="4"/>
  <c r="CF295" i="4"/>
  <c r="CD134" i="4"/>
  <c r="CD216" i="4"/>
  <c r="CD329" i="4"/>
  <c r="CD314" i="4"/>
  <c r="CD293" i="4"/>
  <c r="CH230" i="4"/>
  <c r="CH187" i="4"/>
  <c r="CH291" i="4"/>
  <c r="CH328" i="4"/>
  <c r="CH153" i="4"/>
  <c r="CH192" i="4"/>
  <c r="CH239" i="4"/>
  <c r="CH314" i="4"/>
  <c r="CH208" i="4"/>
  <c r="CD188" i="4"/>
  <c r="CD306" i="4"/>
  <c r="CD185" i="4"/>
  <c r="CD299" i="4"/>
  <c r="CD205" i="4"/>
  <c r="CD193" i="4"/>
  <c r="CD252" i="4"/>
  <c r="CD231" i="4"/>
  <c r="CD173" i="4"/>
  <c r="CD61" i="4"/>
  <c r="CD145" i="4"/>
  <c r="CD84" i="4"/>
  <c r="CD301" i="4"/>
  <c r="CD219" i="4"/>
  <c r="CH38" i="4"/>
  <c r="CF158" i="4"/>
  <c r="CD198" i="4"/>
  <c r="CD44" i="4"/>
  <c r="CD187" i="4"/>
  <c r="CD246" i="4"/>
  <c r="CD296" i="4"/>
  <c r="CD163" i="4"/>
  <c r="CD88" i="4"/>
  <c r="CF94" i="4"/>
  <c r="CF166" i="4"/>
  <c r="CF150" i="4"/>
  <c r="CD294" i="4"/>
  <c r="CD321" i="4"/>
  <c r="CD298" i="4"/>
  <c r="CD316" i="4"/>
  <c r="CD336" i="4"/>
  <c r="CD101" i="4"/>
  <c r="CD320" i="4"/>
  <c r="CH154" i="4"/>
  <c r="CF329" i="4"/>
  <c r="CQ135" i="4"/>
  <c r="CF193" i="4"/>
  <c r="CD170" i="4"/>
  <c r="CD313" i="4"/>
  <c r="CD184" i="4"/>
  <c r="CD215" i="4"/>
  <c r="CD239" i="4"/>
  <c r="CD186" i="4"/>
  <c r="CH78" i="4"/>
  <c r="CH296" i="4"/>
  <c r="CH228" i="4"/>
  <c r="CH184" i="4"/>
  <c r="CH214" i="4"/>
  <c r="CH172" i="4"/>
  <c r="CH265" i="4"/>
  <c r="CH335" i="4"/>
  <c r="CH119" i="4"/>
  <c r="CF237" i="4"/>
  <c r="CF112" i="4"/>
  <c r="CF96" i="4"/>
  <c r="CF239" i="4"/>
  <c r="CD381" i="4"/>
  <c r="CD203" i="4"/>
  <c r="CD240" i="4"/>
  <c r="CH159" i="4"/>
  <c r="CH52" i="4"/>
  <c r="CH170" i="4"/>
  <c r="CH270" i="4"/>
  <c r="CH182" i="4"/>
  <c r="CH205" i="4"/>
  <c r="CH295" i="4"/>
  <c r="CH150" i="4"/>
  <c r="CH199" i="4"/>
  <c r="CH147" i="4"/>
  <c r="CF88" i="4"/>
  <c r="CF111" i="4"/>
  <c r="CF210" i="4"/>
  <c r="CF87" i="4"/>
  <c r="CF71" i="4"/>
  <c r="FN270" i="4"/>
  <c r="CD342" i="4"/>
  <c r="CD238" i="4"/>
  <c r="CH61" i="4"/>
  <c r="CH135" i="4"/>
  <c r="CH217" i="4"/>
  <c r="CH169" i="4"/>
  <c r="CH186" i="4"/>
  <c r="CH367" i="4"/>
  <c r="CH84" i="4"/>
  <c r="CF308" i="4"/>
  <c r="CF230" i="4"/>
  <c r="CF93" i="4"/>
  <c r="CF131" i="4"/>
  <c r="CF164" i="4"/>
  <c r="CF208" i="4"/>
  <c r="CH74" i="4"/>
  <c r="DC122" i="4"/>
  <c r="CF300" i="4"/>
  <c r="CF316" i="4"/>
  <c r="CF78" i="4"/>
  <c r="CF231" i="4"/>
  <c r="CF188" i="4"/>
  <c r="BA5" i="4"/>
  <c r="AY5" i="4"/>
  <c r="CD204" i="4"/>
  <c r="CD151" i="4"/>
  <c r="CH20" i="4"/>
  <c r="CH73" i="4"/>
  <c r="CH299" i="4"/>
  <c r="CH381" i="4"/>
  <c r="CH255" i="4"/>
  <c r="CH209" i="4"/>
  <c r="CH260" i="4"/>
  <c r="CH200" i="4"/>
  <c r="CH196" i="4"/>
  <c r="CF207" i="4"/>
  <c r="CF72" i="4"/>
  <c r="CF361" i="4"/>
  <c r="CF132" i="4"/>
  <c r="CF301" i="4"/>
  <c r="CF199" i="4"/>
  <c r="CF52" i="4"/>
  <c r="CH211" i="4"/>
  <c r="CF257" i="4"/>
  <c r="CF84" i="4"/>
  <c r="CF167" i="4"/>
  <c r="CF60" i="4"/>
  <c r="CD265" i="4"/>
  <c r="CD286" i="4"/>
  <c r="CD273" i="4"/>
  <c r="CD292" i="4"/>
  <c r="CH301" i="4"/>
  <c r="CH246" i="4"/>
  <c r="CH176" i="4"/>
  <c r="CH289" i="4"/>
  <c r="CH97" i="4"/>
  <c r="CF157" i="4"/>
  <c r="CF20" i="4"/>
  <c r="CF61" i="4"/>
  <c r="CF118" i="4"/>
  <c r="CF163" i="4"/>
  <c r="CF214" i="4"/>
  <c r="CF269" i="4"/>
  <c r="CF367" i="4"/>
  <c r="CF194" i="4"/>
  <c r="CF95" i="4"/>
  <c r="CF238" i="4"/>
  <c r="CF50" i="4"/>
  <c r="CF100" i="4"/>
  <c r="CF25" i="4"/>
  <c r="CF234" i="4"/>
  <c r="CF141" i="4"/>
  <c r="CF225" i="4"/>
  <c r="DE257" i="4"/>
  <c r="CF299" i="4"/>
  <c r="CF313" i="4"/>
  <c r="CF249" i="4"/>
  <c r="CF218" i="4"/>
  <c r="CF272" i="4"/>
  <c r="CF139" i="4"/>
  <c r="CF73" i="4"/>
  <c r="CF236" i="4"/>
  <c r="CF253" i="4"/>
  <c r="CF169" i="4"/>
  <c r="CF170" i="4"/>
  <c r="CF216" i="4"/>
  <c r="CF140" i="4"/>
  <c r="CF213" i="4"/>
  <c r="CF268" i="4"/>
  <c r="CF293" i="4"/>
  <c r="CF307" i="4"/>
  <c r="CF184" i="4"/>
  <c r="CF297" i="4"/>
  <c r="CF252" i="4"/>
  <c r="CF217" i="4"/>
  <c r="CH342" i="4"/>
  <c r="CF122" i="4"/>
  <c r="CF314" i="4"/>
  <c r="CF320" i="4"/>
  <c r="CF322" i="4"/>
  <c r="CF127" i="4"/>
  <c r="CF120" i="4"/>
  <c r="CF196" i="4"/>
  <c r="CF181" i="4"/>
  <c r="CF298" i="4"/>
  <c r="CF261" i="4"/>
  <c r="CF254" i="4"/>
  <c r="CF266" i="4"/>
  <c r="CF381" i="4"/>
  <c r="CD99" i="4"/>
  <c r="CF282" i="4"/>
  <c r="CF186" i="4"/>
  <c r="CF219" i="4"/>
  <c r="CF135" i="4"/>
  <c r="CF342" i="4"/>
  <c r="CF256" i="4"/>
  <c r="FK122" i="4"/>
  <c r="CH132" i="4"/>
  <c r="CH329" i="4"/>
  <c r="CH213" i="4"/>
  <c r="CF296" i="4"/>
  <c r="CF144" i="4"/>
  <c r="CF228" i="4"/>
  <c r="CF159" i="4"/>
  <c r="CF145" i="4"/>
  <c r="CF151" i="4"/>
  <c r="CF156" i="4"/>
  <c r="CF302" i="4"/>
  <c r="CF215" i="4"/>
  <c r="CF289" i="4"/>
  <c r="CF251" i="4"/>
  <c r="CF286" i="4"/>
  <c r="CF267" i="4"/>
  <c r="CF211" i="4"/>
  <c r="CD74" i="4"/>
  <c r="CF358" i="4"/>
  <c r="CF198" i="4"/>
  <c r="CF176" i="4"/>
  <c r="CF44" i="4"/>
  <c r="CF101" i="4"/>
  <c r="CF185" i="4"/>
  <c r="CF142" i="4"/>
  <c r="CF63" i="4"/>
  <c r="CF204" i="4"/>
  <c r="CF38" i="4"/>
  <c r="CF205" i="4"/>
  <c r="CF82" i="4"/>
  <c r="GM257" i="4"/>
  <c r="CD260" i="4"/>
  <c r="CD144" i="4"/>
  <c r="CD147" i="4"/>
  <c r="CD156" i="4"/>
  <c r="CH156" i="4"/>
  <c r="CH254" i="4"/>
  <c r="CH237" i="4"/>
  <c r="CH268" i="4"/>
  <c r="CD93" i="4"/>
  <c r="CF270" i="4"/>
  <c r="CF246" i="4"/>
  <c r="CF212" i="4"/>
  <c r="CD154" i="4"/>
  <c r="CF321" i="4"/>
  <c r="CF264" i="4"/>
  <c r="CF107" i="4"/>
  <c r="CF328" i="4"/>
  <c r="CF336" i="4"/>
  <c r="CF134" i="4"/>
  <c r="CF203" i="4"/>
  <c r="CF240" i="4"/>
  <c r="CF143" i="4"/>
  <c r="DG267" i="4"/>
  <c r="CD143" i="4"/>
  <c r="CD300" i="4"/>
  <c r="CD272" i="4"/>
  <c r="CD291" i="4"/>
  <c r="CD112" i="4"/>
  <c r="CH88" i="4"/>
  <c r="CH322" i="4"/>
  <c r="CH294" i="4"/>
  <c r="CF74" i="4"/>
  <c r="CF291" i="4"/>
  <c r="CF147" i="4"/>
  <c r="CF278" i="4"/>
  <c r="CF179" i="4"/>
  <c r="CF306" i="4"/>
  <c r="CF56" i="4"/>
  <c r="CF192" i="4"/>
  <c r="CF40" i="4"/>
  <c r="CF154" i="4"/>
  <c r="CF317" i="4"/>
  <c r="CF335" i="4"/>
  <c r="CF209" i="4"/>
  <c r="CF182" i="4"/>
  <c r="CF187" i="4"/>
  <c r="CF39" i="4"/>
  <c r="CF86" i="4"/>
  <c r="CF294" i="4"/>
  <c r="CF265" i="4"/>
  <c r="CF70" i="4"/>
  <c r="DE267" i="4"/>
  <c r="DE381" i="4"/>
  <c r="DL145" i="4"/>
  <c r="DE240" i="4"/>
  <c r="CX122" i="4"/>
  <c r="CO270" i="4"/>
  <c r="BZ269" i="4"/>
  <c r="DN269" i="4"/>
  <c r="DJ74" i="4"/>
  <c r="DP74" i="4"/>
  <c r="FG144" i="4"/>
  <c r="EE135" i="4"/>
  <c r="EL122" i="4"/>
  <c r="BX74" i="4"/>
  <c r="DW269" i="4"/>
  <c r="EW122" i="4"/>
  <c r="DU135" i="4"/>
  <c r="EI219" i="4"/>
  <c r="CJ267" i="4"/>
  <c r="DS194" i="4"/>
  <c r="EB135" i="4"/>
  <c r="FD270" i="4"/>
  <c r="EG74" i="4"/>
  <c r="ES74" i="4"/>
  <c r="EZ159" i="4"/>
  <c r="DZ135" i="4"/>
  <c r="DZ159" i="4"/>
  <c r="DZ122" i="4"/>
  <c r="DZ270" i="4"/>
  <c r="DZ145" i="4"/>
  <c r="DZ144" i="4"/>
  <c r="DI267" i="4"/>
  <c r="EZ267" i="4"/>
  <c r="EK267" i="4"/>
  <c r="FN219" i="4"/>
  <c r="EK219" i="4"/>
  <c r="EE219" i="4"/>
  <c r="DJ219" i="4"/>
  <c r="EL194" i="4"/>
  <c r="DQ194" i="4"/>
  <c r="DJ194" i="4"/>
  <c r="DE367" i="4"/>
  <c r="EB269" i="4"/>
  <c r="BX269" i="4"/>
  <c r="DJ367" i="4"/>
  <c r="DS269" i="4"/>
  <c r="FU74" i="4"/>
  <c r="FM269" i="4"/>
  <c r="EY74" i="4"/>
  <c r="DW367" i="4"/>
  <c r="CL269" i="4"/>
  <c r="CV269" i="4"/>
  <c r="AD269" i="4" s="1"/>
  <c r="EL269" i="4"/>
  <c r="EK159" i="4"/>
  <c r="EK144" i="4"/>
  <c r="FW135" i="4"/>
  <c r="FN144" i="4"/>
  <c r="FD145" i="4"/>
  <c r="GP144" i="4"/>
  <c r="FM270" i="4"/>
  <c r="CQ144" i="4"/>
  <c r="DC270" i="4"/>
  <c r="FY144" i="4"/>
  <c r="GA135" i="4"/>
  <c r="EW144" i="4"/>
  <c r="DE135" i="4"/>
  <c r="CU159" i="4"/>
  <c r="DL194" i="4"/>
  <c r="EY135" i="4"/>
  <c r="CJ159" i="4"/>
  <c r="FY145" i="4"/>
  <c r="EN194" i="4"/>
  <c r="EI270" i="4"/>
  <c r="FT135" i="4"/>
  <c r="FK270" i="4"/>
  <c r="GI144" i="4"/>
  <c r="EW270" i="4"/>
  <c r="CL145" i="4"/>
  <c r="DL122" i="4"/>
  <c r="CQ122" i="4"/>
  <c r="EZ144" i="4"/>
  <c r="CN135" i="4"/>
  <c r="FD135" i="4"/>
  <c r="EG270" i="4"/>
  <c r="EG122" i="4"/>
  <c r="EG144" i="4"/>
  <c r="EG135" i="4"/>
  <c r="EG159" i="4"/>
  <c r="EG145" i="4"/>
  <c r="FT267" i="4"/>
  <c r="ED267" i="4"/>
  <c r="DB267" i="4"/>
  <c r="FF219" i="4"/>
  <c r="EL219" i="4"/>
  <c r="CU194" i="4"/>
  <c r="DC194" i="4"/>
  <c r="EY194" i="4"/>
  <c r="DU269" i="4"/>
  <c r="FN74" i="4"/>
  <c r="EI194" i="4"/>
  <c r="CZ74" i="4"/>
  <c r="DE194" i="4"/>
  <c r="DZ367" i="4"/>
  <c r="GI74" i="4"/>
  <c r="GP269" i="4"/>
  <c r="EP367" i="4"/>
  <c r="CN367" i="4"/>
  <c r="DQ269" i="4"/>
  <c r="GF269" i="4"/>
  <c r="FN367" i="4"/>
  <c r="EL159" i="4"/>
  <c r="EN135" i="4"/>
  <c r="GB144" i="4"/>
  <c r="FG159" i="4"/>
  <c r="CO135" i="4"/>
  <c r="GB135" i="4"/>
  <c r="EP270" i="4"/>
  <c r="GI122" i="4"/>
  <c r="CV367" i="4"/>
  <c r="AD367" i="4" s="1"/>
  <c r="CJ145" i="4"/>
  <c r="CL219" i="4"/>
  <c r="GP159" i="4"/>
  <c r="CX159" i="4"/>
  <c r="FN145" i="4"/>
  <c r="EG219" i="4"/>
  <c r="CJ135" i="4"/>
  <c r="GH135" i="4"/>
  <c r="EI144" i="4"/>
  <c r="FK144" i="4"/>
  <c r="EW194" i="4"/>
  <c r="DL144" i="4"/>
  <c r="FT144" i="4"/>
  <c r="CZ270" i="4"/>
  <c r="GH122" i="4"/>
  <c r="ES270" i="4"/>
  <c r="ES135" i="4"/>
  <c r="ER159" i="4"/>
  <c r="ER270" i="4"/>
  <c r="ER135" i="4"/>
  <c r="ES122" i="4"/>
  <c r="ER122" i="4"/>
  <c r="ES144" i="4"/>
  <c r="ER144" i="4"/>
  <c r="ER145" i="4"/>
  <c r="ES145" i="4"/>
  <c r="ES159" i="4"/>
  <c r="DN144" i="4"/>
  <c r="DN135" i="4"/>
  <c r="DN270" i="4"/>
  <c r="DN122" i="4"/>
  <c r="DN159" i="4"/>
  <c r="DN145" i="4"/>
  <c r="FU267" i="4"/>
  <c r="EE267" i="4"/>
  <c r="DC267" i="4"/>
  <c r="FG219" i="4"/>
  <c r="DZ267" i="4"/>
  <c r="BX267" i="4"/>
  <c r="CV194" i="4"/>
  <c r="DB194" i="4"/>
  <c r="EZ194" i="4"/>
  <c r="DN367" i="4"/>
  <c r="DZ269" i="4"/>
  <c r="DL269" i="4"/>
  <c r="CL194" i="4"/>
  <c r="FY367" i="4"/>
  <c r="CX74" i="4"/>
  <c r="CX194" i="4"/>
  <c r="ER74" i="4"/>
  <c r="CN74" i="4"/>
  <c r="FF367" i="4"/>
  <c r="EK367" i="4"/>
  <c r="FU269" i="4"/>
  <c r="GF74" i="4"/>
  <c r="DX74" i="4"/>
  <c r="GI367" i="4"/>
  <c r="CU74" i="4"/>
  <c r="EB270" i="4"/>
  <c r="ED159" i="4"/>
  <c r="GB367" i="4"/>
  <c r="FW144" i="4"/>
  <c r="FM144" i="4"/>
  <c r="CQ270" i="4"/>
  <c r="FY122" i="4"/>
  <c r="EI159" i="4"/>
  <c r="CL270" i="4"/>
  <c r="FY270" i="4"/>
  <c r="FR122" i="4"/>
  <c r="CZ267" i="4"/>
  <c r="CS270" i="4"/>
  <c r="FF135" i="4"/>
  <c r="EZ122" i="4"/>
  <c r="GI270" i="4"/>
  <c r="DN219" i="4"/>
  <c r="EY122" i="4"/>
  <c r="CN144" i="4"/>
  <c r="CL159" i="4"/>
  <c r="FD144" i="4"/>
  <c r="EZ145" i="4"/>
  <c r="ER269" i="4"/>
  <c r="DU122" i="4"/>
  <c r="CQ219" i="4"/>
  <c r="CJ122" i="4"/>
  <c r="EI122" i="4"/>
  <c r="DG145" i="4"/>
  <c r="DG159" i="4"/>
  <c r="DG270" i="4"/>
  <c r="DG122" i="4"/>
  <c r="DG135" i="4"/>
  <c r="DG144" i="4"/>
  <c r="CB194" i="4"/>
  <c r="GH267" i="4"/>
  <c r="CU267" i="4"/>
  <c r="DB219" i="4"/>
  <c r="GM267" i="4"/>
  <c r="CX267" i="4"/>
  <c r="CQ267" i="4"/>
  <c r="FT194" i="4"/>
  <c r="DW194" i="4"/>
  <c r="CL74" i="4"/>
  <c r="EB74" i="4"/>
  <c r="EG269" i="4"/>
  <c r="EK269" i="4"/>
  <c r="DZ74" i="4"/>
  <c r="FD367" i="4"/>
  <c r="GM74" i="4"/>
  <c r="EP269" i="4"/>
  <c r="DC367" i="4"/>
  <c r="DU194" i="4"/>
  <c r="CO269" i="4"/>
  <c r="EK74" i="4"/>
  <c r="EL74" i="4"/>
  <c r="GP74" i="4"/>
  <c r="EE145" i="4"/>
  <c r="EE159" i="4"/>
  <c r="GF122" i="4"/>
  <c r="FK194" i="4"/>
  <c r="GA144" i="4"/>
  <c r="CX135" i="4"/>
  <c r="EY159" i="4"/>
  <c r="FY219" i="4"/>
  <c r="DU144" i="4"/>
  <c r="CN122" i="4"/>
  <c r="BX219" i="4"/>
  <c r="CL135" i="4"/>
  <c r="CQ269" i="4"/>
  <c r="DL159" i="4"/>
  <c r="DB135" i="4"/>
  <c r="DE219" i="4"/>
  <c r="CU122" i="4"/>
  <c r="CU144" i="4"/>
  <c r="CZ135" i="4"/>
  <c r="FR267" i="4"/>
  <c r="CO122" i="4"/>
  <c r="GP145" i="4"/>
  <c r="EB194" i="4"/>
  <c r="GF145" i="4"/>
  <c r="GM219" i="4"/>
  <c r="FR145" i="4"/>
  <c r="DJ270" i="4"/>
  <c r="DI270" i="4"/>
  <c r="DJ159" i="4"/>
  <c r="DJ135" i="4"/>
  <c r="DJ144" i="4"/>
  <c r="DI122" i="4"/>
  <c r="DI135" i="4"/>
  <c r="DI144" i="4"/>
  <c r="DJ145" i="4"/>
  <c r="DI145" i="4"/>
  <c r="DI159" i="4"/>
  <c r="DJ122" i="4"/>
  <c r="GI267" i="4"/>
  <c r="CV267" i="4"/>
  <c r="AD267" i="4" s="1"/>
  <c r="DC219" i="4"/>
  <c r="DN267" i="4"/>
  <c r="CS267" i="4"/>
  <c r="FU194" i="4"/>
  <c r="DX194" i="4"/>
  <c r="DG269" i="4"/>
  <c r="FW74" i="4"/>
  <c r="GH74" i="4"/>
  <c r="EN367" i="4"/>
  <c r="ED269" i="4"/>
  <c r="DU367" i="4"/>
  <c r="FK269" i="4"/>
  <c r="FF269" i="4"/>
  <c r="FD74" i="4"/>
  <c r="CQ194" i="4"/>
  <c r="DG74" i="4"/>
  <c r="FW367" i="4"/>
  <c r="DX367" i="4"/>
  <c r="GA74" i="4"/>
  <c r="FG74" i="4"/>
  <c r="DG194" i="4"/>
  <c r="EE270" i="4"/>
  <c r="EB144" i="4"/>
  <c r="EE122" i="4"/>
  <c r="FD219" i="4"/>
  <c r="GF144" i="4"/>
  <c r="CV159" i="4"/>
  <c r="AD159" i="4" s="1"/>
  <c r="FY267" i="4"/>
  <c r="FU122" i="4"/>
  <c r="CS219" i="4"/>
  <c r="DU270" i="4"/>
  <c r="CL367" i="4"/>
  <c r="DE145" i="4"/>
  <c r="GM145" i="4"/>
  <c r="FR219" i="4"/>
  <c r="CO159" i="4"/>
  <c r="FU135" i="4"/>
  <c r="FY159" i="4"/>
  <c r="DB122" i="4"/>
  <c r="FK267" i="4"/>
  <c r="GH159" i="4"/>
  <c r="CZ122" i="4"/>
  <c r="EY270" i="4"/>
  <c r="DS267" i="4"/>
  <c r="FR159" i="4"/>
  <c r="EY145" i="4"/>
  <c r="FF145" i="4"/>
  <c r="CV144" i="4"/>
  <c r="AD144" i="4" s="1"/>
  <c r="DP145" i="4"/>
  <c r="DP122" i="4"/>
  <c r="DQ145" i="4"/>
  <c r="DQ367" i="4"/>
  <c r="DQ144" i="4"/>
  <c r="DQ159" i="4"/>
  <c r="DP144" i="4"/>
  <c r="DQ270" i="4"/>
  <c r="DQ122" i="4"/>
  <c r="DP270" i="4"/>
  <c r="DP135" i="4"/>
  <c r="DQ135" i="4"/>
  <c r="DP159" i="4"/>
  <c r="ER267" i="4"/>
  <c r="FM267" i="4"/>
  <c r="CU219" i="4"/>
  <c r="GF267" i="4"/>
  <c r="EN267" i="4"/>
  <c r="GP219" i="4"/>
  <c r="FM194" i="4"/>
  <c r="GH194" i="4"/>
  <c r="GA194" i="4"/>
  <c r="EZ269" i="4"/>
  <c r="EW269" i="4"/>
  <c r="EE74" i="4"/>
  <c r="DX269" i="4"/>
  <c r="CX269" i="4"/>
  <c r="GM269" i="4"/>
  <c r="GA269" i="4"/>
  <c r="EI74" i="4"/>
  <c r="DS367" i="4"/>
  <c r="GF367" i="4"/>
  <c r="CO367" i="4"/>
  <c r="CJ74" i="4"/>
  <c r="DE74" i="4"/>
  <c r="EZ74" i="4"/>
  <c r="EE367" i="4"/>
  <c r="EE144" i="4"/>
  <c r="ED122" i="4"/>
  <c r="FD122" i="4"/>
  <c r="DS219" i="4"/>
  <c r="DL270" i="4"/>
  <c r="FM367" i="4"/>
  <c r="GP122" i="4"/>
  <c r="EP219" i="4"/>
  <c r="FG269" i="4"/>
  <c r="CQ145" i="4"/>
  <c r="FK219" i="4"/>
  <c r="CN145" i="4"/>
  <c r="CJ144" i="4"/>
  <c r="FR194" i="4"/>
  <c r="CN159" i="4"/>
  <c r="GI135" i="4"/>
  <c r="FF159" i="4"/>
  <c r="FT159" i="4"/>
  <c r="CJ219" i="4"/>
  <c r="CX270" i="4"/>
  <c r="FF270" i="4"/>
  <c r="DQ74" i="4"/>
  <c r="FK135" i="4"/>
  <c r="EP122" i="4"/>
  <c r="GF159" i="4"/>
  <c r="GP267" i="4"/>
  <c r="ES267" i="4"/>
  <c r="FN267" i="4"/>
  <c r="CV219" i="4"/>
  <c r="GH219" i="4"/>
  <c r="FT219" i="4"/>
  <c r="GA219" i="4"/>
  <c r="FN194" i="4"/>
  <c r="GI194" i="4"/>
  <c r="GB194" i="4"/>
  <c r="EY269" i="4"/>
  <c r="DL367" i="4"/>
  <c r="ER367" i="4"/>
  <c r="CS74" i="4"/>
  <c r="FW269" i="4"/>
  <c r="FG367" i="4"/>
  <c r="EG194" i="4"/>
  <c r="CV74" i="4"/>
  <c r="EL367" i="4"/>
  <c r="DP269" i="4"/>
  <c r="EW74" i="4"/>
  <c r="EB122" i="4"/>
  <c r="EL145" i="4"/>
  <c r="DB145" i="4"/>
  <c r="DI367" i="4"/>
  <c r="FD267" i="4"/>
  <c r="GM122" i="4"/>
  <c r="DL219" i="4"/>
  <c r="DB159" i="4"/>
  <c r="EW219" i="4"/>
  <c r="EL144" i="4"/>
  <c r="FW159" i="4"/>
  <c r="GI145" i="4"/>
  <c r="GF219" i="4"/>
  <c r="EN270" i="4"/>
  <c r="FM122" i="4"/>
  <c r="GM270" i="4"/>
  <c r="CS144" i="4"/>
  <c r="CO144" i="4"/>
  <c r="CZ194" i="4"/>
  <c r="FW122" i="4"/>
  <c r="DB144" i="4"/>
  <c r="DG219" i="4"/>
  <c r="CJ270" i="4"/>
  <c r="FG145" i="4"/>
  <c r="EP267" i="4"/>
  <c r="DE159" i="4"/>
  <c r="FF267" i="4"/>
  <c r="GA267" i="4"/>
  <c r="DQ267" i="4"/>
  <c r="EY219" i="4"/>
  <c r="GI219" i="4"/>
  <c r="FU219" i="4"/>
  <c r="GB219" i="4"/>
  <c r="CN194" i="4"/>
  <c r="ER194" i="4"/>
  <c r="DL267" i="4"/>
  <c r="ES269" i="4"/>
  <c r="DL74" i="4"/>
  <c r="CX367" i="4"/>
  <c r="EZ367" i="4"/>
  <c r="GB269" i="4"/>
  <c r="CQ367" i="4"/>
  <c r="DB367" i="4"/>
  <c r="CZ269" i="4"/>
  <c r="DJ269" i="4"/>
  <c r="CJ269" i="4"/>
  <c r="GM194" i="4"/>
  <c r="FT269" i="4"/>
  <c r="DG367" i="4"/>
  <c r="EB145" i="4"/>
  <c r="EB159" i="4"/>
  <c r="EK270" i="4"/>
  <c r="CU270" i="4"/>
  <c r="CX219" i="4"/>
  <c r="EG267" i="4"/>
  <c r="GI159" i="4"/>
  <c r="DZ219" i="4"/>
  <c r="CO145" i="4"/>
  <c r="EB219" i="4"/>
  <c r="FF122" i="4"/>
  <c r="FU270" i="4"/>
  <c r="EN144" i="4"/>
  <c r="CS122" i="4"/>
  <c r="DC159" i="4"/>
  <c r="CZ144" i="4"/>
  <c r="CU269" i="4"/>
  <c r="FN122" i="4"/>
  <c r="FW145" i="4"/>
  <c r="FR270" i="4"/>
  <c r="GH144" i="4"/>
  <c r="CJ194" i="4"/>
  <c r="EN145" i="4"/>
  <c r="CV270" i="4"/>
  <c r="AD270" i="4" s="1"/>
  <c r="EP194" i="4"/>
  <c r="FM159" i="4"/>
  <c r="GA122" i="4"/>
  <c r="BX367" i="4"/>
  <c r="BX135" i="4"/>
  <c r="BX144" i="4"/>
  <c r="BX145" i="4"/>
  <c r="BX159" i="4"/>
  <c r="BX122" i="4"/>
  <c r="BX270" i="4"/>
  <c r="FG267" i="4"/>
  <c r="GB267" i="4"/>
  <c r="DP267" i="4"/>
  <c r="EZ219" i="4"/>
  <c r="CN219" i="4"/>
  <c r="ER219" i="4"/>
  <c r="DU267" i="4"/>
  <c r="CO194" i="4"/>
  <c r="GP194" i="4"/>
  <c r="ES194" i="4"/>
  <c r="CJ367" i="4"/>
  <c r="DE269" i="4"/>
  <c r="CS194" i="4"/>
  <c r="DS74" i="4"/>
  <c r="EI367" i="4"/>
  <c r="FW267" i="4"/>
  <c r="GA367" i="4"/>
  <c r="EG367" i="4"/>
  <c r="EB367" i="4"/>
  <c r="ED74" i="4"/>
  <c r="DB74" i="4"/>
  <c r="GF194" i="4"/>
  <c r="CN269" i="4"/>
  <c r="DC74" i="4"/>
  <c r="ED145" i="4"/>
  <c r="EK145" i="4"/>
  <c r="EL135" i="4"/>
  <c r="CU135" i="4"/>
  <c r="CZ219" i="4"/>
  <c r="CS145" i="4"/>
  <c r="GB122" i="4"/>
  <c r="CL144" i="4"/>
  <c r="FT145" i="4"/>
  <c r="EB267" i="4"/>
  <c r="GH145" i="4"/>
  <c r="FR144" i="4"/>
  <c r="GA159" i="4"/>
  <c r="EZ135" i="4"/>
  <c r="EW159" i="4"/>
  <c r="CZ145" i="4"/>
  <c r="CQ159" i="4"/>
  <c r="GF270" i="4"/>
  <c r="FY194" i="4"/>
  <c r="EI135" i="4"/>
  <c r="CX145" i="4"/>
  <c r="CU145" i="4"/>
  <c r="EP159" i="4"/>
  <c r="DE122" i="4"/>
  <c r="FU144" i="4"/>
  <c r="DB269" i="4"/>
  <c r="GP270" i="4"/>
  <c r="ED135" i="4"/>
  <c r="CS135" i="4"/>
  <c r="GM159" i="4"/>
  <c r="DW122" i="4"/>
  <c r="DX159" i="4"/>
  <c r="DX122" i="4"/>
  <c r="DX144" i="4"/>
  <c r="DW159" i="4"/>
  <c r="DW144" i="4"/>
  <c r="DX270" i="4"/>
  <c r="DW145" i="4"/>
  <c r="DW270" i="4"/>
  <c r="DX145" i="4"/>
  <c r="DX135" i="4"/>
  <c r="DW135" i="4"/>
  <c r="CO267" i="4"/>
  <c r="DW267" i="4"/>
  <c r="DW219" i="4"/>
  <c r="CO219" i="4"/>
  <c r="ES219" i="4"/>
  <c r="DP219" i="4"/>
  <c r="ED194" i="4"/>
  <c r="FF194" i="4"/>
  <c r="EN269" i="4"/>
  <c r="EI267" i="4"/>
  <c r="FR367" i="4"/>
  <c r="DW74" i="4"/>
  <c r="EW367" i="4"/>
  <c r="ES367" i="4"/>
  <c r="FY269" i="4"/>
  <c r="FW194" i="4"/>
  <c r="FF74" i="4"/>
  <c r="GB74" i="4"/>
  <c r="GI269" i="4"/>
  <c r="DZ194" i="4"/>
  <c r="ED367" i="4"/>
  <c r="DI74" i="4"/>
  <c r="ED270" i="4"/>
  <c r="EL270" i="4"/>
  <c r="FM135" i="4"/>
  <c r="DE144" i="4"/>
  <c r="FG122" i="4"/>
  <c r="DL135" i="4"/>
  <c r="CZ159" i="4"/>
  <c r="GA145" i="4"/>
  <c r="DU219" i="4"/>
  <c r="GA270" i="4"/>
  <c r="GB159" i="4"/>
  <c r="GP135" i="4"/>
  <c r="FM74" i="4"/>
  <c r="FK145" i="4"/>
  <c r="GH367" i="4"/>
  <c r="GM135" i="4"/>
  <c r="CV145" i="4"/>
  <c r="AD145" i="4" s="1"/>
  <c r="EZ270" i="4"/>
  <c r="FU159" i="4"/>
  <c r="FW219" i="4"/>
  <c r="BX194" i="4"/>
  <c r="DE270" i="4"/>
  <c r="CV135" i="4"/>
  <c r="EE269" i="4"/>
  <c r="FY135" i="4"/>
  <c r="EN159" i="4"/>
  <c r="AF4" i="4"/>
  <c r="AF5" i="4"/>
  <c r="CB267" i="4"/>
  <c r="CN267" i="4"/>
  <c r="DX267" i="4"/>
  <c r="DX219" i="4"/>
  <c r="CL267" i="4"/>
  <c r="DQ219" i="4"/>
  <c r="EE194" i="4"/>
  <c r="FG194" i="4"/>
  <c r="FR74" i="4"/>
  <c r="GM367" i="4"/>
  <c r="FT367" i="4"/>
  <c r="FY74" i="4"/>
  <c r="EY367" i="4"/>
  <c r="EP74" i="4"/>
  <c r="FK367" i="4"/>
  <c r="CQ74" i="4"/>
  <c r="CS269" i="4"/>
  <c r="FN269" i="4"/>
  <c r="EN74" i="4"/>
  <c r="DP367" i="4"/>
  <c r="DI269" i="4"/>
  <c r="CO74" i="4"/>
  <c r="EK122" i="4"/>
  <c r="ED144" i="4"/>
  <c r="EK135" i="4"/>
  <c r="CV122" i="4"/>
  <c r="AD122" i="4" s="1"/>
  <c r="FF144" i="4"/>
  <c r="CS159" i="4"/>
  <c r="DC145" i="4"/>
  <c r="DU145" i="4"/>
  <c r="FT122" i="4"/>
  <c r="GB270" i="4"/>
  <c r="CN270" i="4"/>
  <c r="DU159" i="4"/>
  <c r="GF135" i="4"/>
  <c r="FG135" i="4"/>
  <c r="FD194" i="4"/>
  <c r="EI145" i="4"/>
  <c r="FM145" i="4"/>
  <c r="FD159" i="4"/>
  <c r="EN122" i="4"/>
  <c r="CX144" i="4"/>
  <c r="GH270" i="4"/>
  <c r="FK159" i="4"/>
  <c r="FG270" i="4"/>
  <c r="FW270" i="4"/>
  <c r="FN159" i="4"/>
  <c r="FU367" i="4"/>
  <c r="FN135" i="4"/>
  <c r="CL122" i="4"/>
  <c r="FU145" i="4"/>
  <c r="DS144" i="4"/>
  <c r="DS145" i="4"/>
  <c r="DS270" i="4"/>
  <c r="DS135" i="4"/>
  <c r="DS159" i="4"/>
  <c r="DS122" i="4"/>
  <c r="DJ267" i="4"/>
  <c r="EY267" i="4"/>
  <c r="EL267" i="4"/>
  <c r="FM219" i="4"/>
  <c r="EW267" i="4"/>
  <c r="ED219" i="4"/>
  <c r="DI219" i="4"/>
  <c r="EK194" i="4"/>
  <c r="DP194" i="4"/>
  <c r="DI194" i="4"/>
  <c r="CZ367" i="4"/>
  <c r="FK74" i="4"/>
  <c r="EI269" i="4"/>
  <c r="FT74" i="4"/>
  <c r="DN74" i="4"/>
  <c r="FR269" i="4"/>
  <c r="FD269" i="4"/>
  <c r="DU74" i="4"/>
  <c r="CS367" i="4"/>
  <c r="GP367" i="4"/>
  <c r="DC269" i="4"/>
  <c r="EY144" i="4"/>
  <c r="GB145" i="4"/>
  <c r="DB270" i="4"/>
  <c r="EP144" i="4"/>
  <c r="FT270" i="4"/>
  <c r="GM144" i="4"/>
  <c r="EP145" i="4"/>
  <c r="EN219" i="4"/>
  <c r="DC135" i="4"/>
  <c r="EW145" i="4"/>
  <c r="DC144" i="4"/>
  <c r="EW135" i="4"/>
  <c r="FR135" i="4"/>
  <c r="DN194" i="4"/>
  <c r="CB159" i="4"/>
  <c r="CB122" i="4"/>
  <c r="CB144" i="4"/>
  <c r="CB135" i="4"/>
  <c r="CB145" i="4"/>
  <c r="CB270" i="4"/>
  <c r="CB269" i="4"/>
  <c r="BZ159" i="4"/>
  <c r="BZ122" i="4"/>
  <c r="BZ144" i="4"/>
  <c r="BZ270" i="4"/>
  <c r="BZ145" i="4"/>
  <c r="BZ135" i="4"/>
  <c r="BZ367" i="4"/>
  <c r="CB367" i="4"/>
  <c r="CB219" i="4"/>
  <c r="CB74" i="4"/>
  <c r="BZ194" i="4"/>
  <c r="BZ219" i="4"/>
  <c r="BZ74" i="4"/>
  <c r="BZ267" i="4"/>
  <c r="N7" i="15"/>
  <c r="T7" i="15" s="1"/>
  <c r="N12" i="15"/>
  <c r="T12" i="15" s="1"/>
  <c r="N15" i="15"/>
  <c r="T15" i="15" s="1"/>
  <c r="FY193" i="4"/>
  <c r="FY294" i="4"/>
  <c r="FY211" i="4"/>
  <c r="FY210" i="4"/>
  <c r="FY106" i="4"/>
  <c r="FY38" i="4"/>
  <c r="CQ106" i="4"/>
  <c r="FY234" i="4"/>
  <c r="FY199" i="4"/>
  <c r="FY111" i="4"/>
  <c r="FY280" i="4"/>
  <c r="FY166" i="4"/>
  <c r="FY99" i="4"/>
  <c r="FY97" i="4"/>
  <c r="FY87" i="4"/>
  <c r="FY79" i="4"/>
  <c r="FY321" i="4"/>
  <c r="CQ187" i="4"/>
  <c r="CV70" i="4"/>
  <c r="AD70" i="4" s="1"/>
  <c r="CQ101" i="4"/>
  <c r="CQ251" i="4"/>
  <c r="FY230" i="4"/>
  <c r="FY282" i="4"/>
  <c r="CV265" i="4"/>
  <c r="FY164" i="4"/>
  <c r="FY117" i="4"/>
  <c r="FY273" i="4"/>
  <c r="FY167" i="4"/>
  <c r="FY184" i="4"/>
  <c r="FY200" i="4"/>
  <c r="FY142" i="4"/>
  <c r="FY209" i="4"/>
  <c r="FY298" i="4"/>
  <c r="FY60" i="4"/>
  <c r="FY158" i="4"/>
  <c r="FY96" i="4"/>
  <c r="FY70" i="4"/>
  <c r="CV342" i="4"/>
  <c r="CV60" i="4"/>
  <c r="CV38" i="4"/>
  <c r="CQ150" i="4"/>
  <c r="CQ218" i="4"/>
  <c r="CQ73" i="4"/>
  <c r="FY286" i="4"/>
  <c r="FY93" i="4"/>
  <c r="FY187" i="4"/>
  <c r="FY249" i="4"/>
  <c r="FY140" i="4"/>
  <c r="FY40" i="4"/>
  <c r="FY253" i="4"/>
  <c r="FY235" i="4"/>
  <c r="CQ298" i="4"/>
  <c r="CQ77" i="4"/>
  <c r="CQ72" i="4"/>
  <c r="CQ43" i="4"/>
  <c r="CQ81" i="4"/>
  <c r="CV118" i="4"/>
  <c r="CQ254" i="4"/>
  <c r="CQ204" i="4"/>
  <c r="CV361" i="4"/>
  <c r="AD361" i="4" s="1"/>
  <c r="CV53" i="4"/>
  <c r="CV227" i="4"/>
  <c r="AD227" i="4" s="1"/>
  <c r="FY156" i="4"/>
  <c r="FY186" i="4"/>
  <c r="FY255" i="4"/>
  <c r="FY154" i="4"/>
  <c r="FY227" i="4"/>
  <c r="FY128" i="4"/>
  <c r="FY171" i="4"/>
  <c r="CQ199" i="4"/>
  <c r="DE151" i="4"/>
  <c r="DE203" i="4"/>
  <c r="DE101" i="4"/>
  <c r="DE316" i="4"/>
  <c r="DE216" i="4"/>
  <c r="DE73" i="4"/>
  <c r="DE292" i="4"/>
  <c r="CQ141" i="4"/>
  <c r="CV141" i="4"/>
  <c r="AD141" i="4" s="1"/>
  <c r="CV130" i="4"/>
  <c r="CQ216" i="4"/>
  <c r="CQ255" i="4"/>
  <c r="CQ143" i="4"/>
  <c r="CV120" i="4"/>
  <c r="CV273" i="4"/>
  <c r="CQ291" i="4"/>
  <c r="CQ207" i="4"/>
  <c r="CV218" i="4"/>
  <c r="CV117" i="4"/>
  <c r="AD117" i="4" s="1"/>
  <c r="CQ183" i="4"/>
  <c r="CQ182" i="4"/>
  <c r="CV328" i="4"/>
  <c r="CV237" i="4"/>
  <c r="AD237" i="4" s="1"/>
  <c r="CQ134" i="4"/>
  <c r="CQ138" i="4"/>
  <c r="CQ238" i="4"/>
  <c r="CQ121" i="4"/>
  <c r="CV121" i="4"/>
  <c r="AD121" i="4" s="1"/>
  <c r="CV96" i="4"/>
  <c r="AD96" i="4" s="1"/>
  <c r="CQ217" i="4"/>
  <c r="CV134" i="4"/>
  <c r="CQ69" i="4"/>
  <c r="CV198" i="4"/>
  <c r="CQ225" i="4"/>
  <c r="CQ93" i="4"/>
  <c r="CV88" i="4"/>
  <c r="CV91" i="4"/>
  <c r="AD91" i="4" s="1"/>
  <c r="CQ296" i="4"/>
  <c r="CQ119" i="4"/>
  <c r="CV266" i="4"/>
  <c r="CV289" i="4"/>
  <c r="AD289" i="4" s="1"/>
  <c r="CV420" i="4"/>
  <c r="CQ234" i="4"/>
  <c r="CQ231" i="4"/>
  <c r="CQ206" i="4"/>
  <c r="CV251" i="4"/>
  <c r="AD251" i="4" s="1"/>
  <c r="CQ301" i="4"/>
  <c r="CQ80" i="4"/>
  <c r="CV336" i="4"/>
  <c r="AD336" i="4" s="1"/>
  <c r="CV25" i="4"/>
  <c r="CQ227" i="4"/>
  <c r="CQ78" i="4"/>
  <c r="CQ40" i="4"/>
  <c r="CV301" i="4"/>
  <c r="AD301" i="4" s="1"/>
  <c r="CV48" i="4"/>
  <c r="AD48" i="4" s="1"/>
  <c r="CV187" i="4"/>
  <c r="CV329" i="4"/>
  <c r="CQ39" i="4"/>
  <c r="CQ58" i="4"/>
  <c r="CQ184" i="4"/>
  <c r="CQ82" i="4"/>
  <c r="CV246" i="4"/>
  <c r="AD246" i="4" s="1"/>
  <c r="CV168" i="4"/>
  <c r="AD168" i="4" s="1"/>
  <c r="CQ147" i="4"/>
  <c r="CV228" i="4"/>
  <c r="AD228" i="4" s="1"/>
  <c r="CQ322" i="4"/>
  <c r="CQ256" i="4"/>
  <c r="CQ112" i="4"/>
  <c r="CQ87" i="4"/>
  <c r="CV107" i="4"/>
  <c r="AD107" i="4" s="1"/>
  <c r="CQ236" i="4"/>
  <c r="CQ24" i="4"/>
  <c r="CV98" i="4"/>
  <c r="CQ133" i="4"/>
  <c r="CV314" i="4"/>
  <c r="CV230" i="4"/>
  <c r="AD230" i="4" s="1"/>
  <c r="CV257" i="4"/>
  <c r="CQ149" i="4"/>
  <c r="CQ95" i="4"/>
  <c r="CQ297" i="4"/>
  <c r="CQ38" i="4"/>
  <c r="CV20" i="4"/>
  <c r="AD20" i="4" s="1"/>
  <c r="CV67" i="4"/>
  <c r="AD67" i="4" s="1"/>
  <c r="CQ151" i="4"/>
  <c r="CQ71" i="4"/>
  <c r="CV52" i="4"/>
  <c r="CQ272" i="4"/>
  <c r="CQ168" i="4"/>
  <c r="CV193" i="4"/>
  <c r="CV261" i="4"/>
  <c r="CQ342" i="4"/>
  <c r="CV203" i="4"/>
  <c r="CQ212" i="4"/>
  <c r="CQ67" i="4"/>
  <c r="CV49" i="4"/>
  <c r="CV51" i="4"/>
  <c r="AD51" i="4" s="1"/>
  <c r="CQ70" i="4"/>
  <c r="CQ293" i="4"/>
  <c r="CQ317" i="4"/>
  <c r="CV95" i="4"/>
  <c r="AD95" i="4" s="1"/>
  <c r="CQ328" i="4"/>
  <c r="CQ130" i="4"/>
  <c r="CV316" i="4"/>
  <c r="CV66" i="4"/>
  <c r="CQ329" i="4"/>
  <c r="CQ117" i="4"/>
  <c r="CV43" i="4"/>
  <c r="AD43" i="4" s="1"/>
  <c r="CV138" i="4"/>
  <c r="AD138" i="4" s="1"/>
  <c r="CV163" i="4"/>
  <c r="CQ209" i="4"/>
  <c r="CQ136" i="4"/>
  <c r="CV308" i="4"/>
  <c r="AD308" i="4" s="1"/>
  <c r="CV188" i="4"/>
  <c r="AD188" i="4" s="1"/>
  <c r="CV136" i="4"/>
  <c r="CV133" i="4"/>
  <c r="AD133" i="4" s="1"/>
  <c r="CQ44" i="4"/>
  <c r="CQ166" i="4"/>
  <c r="CV37" i="4"/>
  <c r="CQ176" i="4"/>
  <c r="CQ47" i="4"/>
  <c r="CV54" i="4"/>
  <c r="AD54" i="4" s="1"/>
  <c r="CQ228" i="4"/>
  <c r="CQ171" i="4"/>
  <c r="CQ98" i="4"/>
  <c r="CV94" i="4"/>
  <c r="AD94" i="4" s="1"/>
  <c r="CQ250" i="4"/>
  <c r="CV238" i="4"/>
  <c r="CV154" i="4"/>
  <c r="AD154" i="4" s="1"/>
  <c r="CQ127" i="4"/>
  <c r="CV176" i="4"/>
  <c r="CV106" i="4"/>
  <c r="CQ20" i="4"/>
  <c r="CQ158" i="4"/>
  <c r="CV44" i="4"/>
  <c r="CV179" i="4"/>
  <c r="CQ131" i="4"/>
  <c r="CQ198" i="4"/>
  <c r="CQ125" i="4"/>
  <c r="CQ139" i="4"/>
  <c r="CQ302" i="4"/>
  <c r="CV282" i="4"/>
  <c r="CQ313" i="4"/>
  <c r="CQ57" i="4"/>
  <c r="CV313" i="4"/>
  <c r="CV126" i="4"/>
  <c r="CQ307" i="4"/>
  <c r="CV235" i="4"/>
  <c r="CQ205" i="4"/>
  <c r="CQ63" i="4"/>
  <c r="CV87" i="4"/>
  <c r="CQ264" i="4"/>
  <c r="CV112" i="4"/>
  <c r="AD112" i="4" s="1"/>
  <c r="CQ239" i="4"/>
  <c r="CQ53" i="4"/>
  <c r="CV255" i="4"/>
  <c r="AD255" i="4" s="1"/>
  <c r="CV208" i="4"/>
  <c r="CQ273" i="4"/>
  <c r="CQ48" i="4"/>
  <c r="CV215" i="4"/>
  <c r="AD215" i="4" s="1"/>
  <c r="CV63" i="4"/>
  <c r="AD63" i="4" s="1"/>
  <c r="CQ213" i="4"/>
  <c r="CV100" i="4"/>
  <c r="CQ188" i="4"/>
  <c r="CQ154" i="4"/>
  <c r="CV93" i="4"/>
  <c r="CQ210" i="4"/>
  <c r="CQ420" i="4"/>
  <c r="CV125" i="4"/>
  <c r="AD125" i="4" s="1"/>
  <c r="CQ300" i="4"/>
  <c r="CQ181" i="4"/>
  <c r="CV292" i="4"/>
  <c r="CV40" i="4"/>
  <c r="AD40" i="4" s="1"/>
  <c r="CV205" i="4"/>
  <c r="CV297" i="4"/>
  <c r="CV77" i="4"/>
  <c r="CQ97" i="4"/>
  <c r="CQ116" i="4"/>
  <c r="CV217" i="4"/>
  <c r="AD217" i="4" s="1"/>
  <c r="CQ260" i="4"/>
  <c r="CQ124" i="4"/>
  <c r="CV294" i="4"/>
  <c r="CQ203" i="4"/>
  <c r="CV213" i="4"/>
  <c r="CV97" i="4"/>
  <c r="CV296" i="4"/>
  <c r="CQ60" i="4"/>
  <c r="CV186" i="4"/>
  <c r="CV99" i="4"/>
  <c r="CQ137" i="4"/>
  <c r="CQ92" i="4"/>
  <c r="CV211" i="4"/>
  <c r="CV254" i="4"/>
  <c r="CQ140" i="4"/>
  <c r="CV320" i="4"/>
  <c r="CQ208" i="4"/>
  <c r="CV171" i="4"/>
  <c r="AD171" i="4" s="1"/>
  <c r="CQ214" i="4"/>
  <c r="CQ299" i="4"/>
  <c r="CV184" i="4"/>
  <c r="AD184" i="4" s="1"/>
  <c r="CV72" i="4"/>
  <c r="AD72" i="4" s="1"/>
  <c r="CQ61" i="4"/>
  <c r="CQ51" i="4"/>
  <c r="CV317" i="4"/>
  <c r="AD317" i="4" s="1"/>
  <c r="CV256" i="4"/>
  <c r="AD256" i="4" s="1"/>
  <c r="CV89" i="4"/>
  <c r="AD89" i="4" s="1"/>
  <c r="CQ186" i="4"/>
  <c r="CQ59" i="4"/>
  <c r="CV260" i="4"/>
  <c r="AD260" i="4" s="1"/>
  <c r="CV142" i="4"/>
  <c r="CV164" i="4"/>
  <c r="AD164" i="4" s="1"/>
  <c r="CV124" i="4"/>
  <c r="CV156" i="4"/>
  <c r="CQ278" i="4"/>
  <c r="CQ295" i="4"/>
  <c r="CV322" i="4"/>
  <c r="AD322" i="4" s="1"/>
  <c r="CQ292" i="4"/>
  <c r="CQ169" i="4"/>
  <c r="CQ321" i="4"/>
  <c r="CQ196" i="4"/>
  <c r="CV119" i="4"/>
  <c r="AD119" i="4" s="1"/>
  <c r="CV139" i="4"/>
  <c r="AD139" i="4" s="1"/>
  <c r="CV127" i="4"/>
  <c r="AD127" i="4" s="1"/>
  <c r="CQ249" i="4"/>
  <c r="CV225" i="4"/>
  <c r="AD225" i="4" s="1"/>
  <c r="CV199" i="4"/>
  <c r="AD199" i="4" s="1"/>
  <c r="CQ52" i="4"/>
  <c r="CQ361" i="4"/>
  <c r="CV231" i="4"/>
  <c r="AD231" i="4" s="1"/>
  <c r="CV206" i="4"/>
  <c r="CQ118" i="4"/>
  <c r="CQ107" i="4"/>
  <c r="CV39" i="4"/>
  <c r="AD39" i="4" s="1"/>
  <c r="CV61" i="4"/>
  <c r="AD61" i="4" s="1"/>
  <c r="CV81" i="4"/>
  <c r="AD81" i="4" s="1"/>
  <c r="CV295" i="4"/>
  <c r="CV149" i="4"/>
  <c r="CQ179" i="4"/>
  <c r="CV115" i="4"/>
  <c r="AD115" i="4" s="1"/>
  <c r="CV200" i="4"/>
  <c r="AD200" i="4" s="1"/>
  <c r="CQ96" i="4"/>
  <c r="CQ99" i="4"/>
  <c r="CV56" i="4"/>
  <c r="CV80" i="4"/>
  <c r="CV86" i="4"/>
  <c r="AD86" i="4" s="1"/>
  <c r="CQ252" i="4"/>
  <c r="CV209" i="4"/>
  <c r="CQ89" i="4"/>
  <c r="CV185" i="4"/>
  <c r="AD185" i="4" s="1"/>
  <c r="CV26" i="4"/>
  <c r="AD26" i="4" s="1"/>
  <c r="CQ215" i="4"/>
  <c r="CQ230" i="4"/>
  <c r="CQ282" i="4"/>
  <c r="CQ156" i="4"/>
  <c r="CQ172" i="4"/>
  <c r="CV272" i="4"/>
  <c r="AD272" i="4" s="1"/>
  <c r="CQ246" i="4"/>
  <c r="CQ83" i="4"/>
  <c r="CV143" i="4"/>
  <c r="AD143" i="4" s="1"/>
  <c r="CQ192" i="4"/>
  <c r="CV306" i="4"/>
  <c r="CV150" i="4"/>
  <c r="CQ336" i="4"/>
  <c r="CQ86" i="4"/>
  <c r="CV147" i="4"/>
  <c r="CV140" i="4"/>
  <c r="AD140" i="4" s="1"/>
  <c r="CQ314" i="4"/>
  <c r="CQ153" i="4"/>
  <c r="CV27" i="4"/>
  <c r="AD27" i="4" s="1"/>
  <c r="CV173" i="4"/>
  <c r="AD173" i="4" s="1"/>
  <c r="CV196" i="4"/>
  <c r="CQ79" i="4"/>
  <c r="CV108" i="4"/>
  <c r="CQ170" i="4"/>
  <c r="CQ25" i="4"/>
  <c r="CV132" i="4"/>
  <c r="AD132" i="4" s="1"/>
  <c r="CV84" i="4"/>
  <c r="CQ193" i="4"/>
  <c r="CQ235" i="4"/>
  <c r="CV131" i="4"/>
  <c r="AD131" i="4" s="1"/>
  <c r="CV250" i="4"/>
  <c r="CQ126" i="4"/>
  <c r="CV291" i="4"/>
  <c r="CV167" i="4"/>
  <c r="AD167" i="4" s="1"/>
  <c r="CQ91" i="4"/>
  <c r="CV321" i="4"/>
  <c r="CV293" i="4"/>
  <c r="AD293" i="4" s="1"/>
  <c r="CV157" i="4"/>
  <c r="AD157" i="4" s="1"/>
  <c r="CQ280" i="4"/>
  <c r="CV335" i="4"/>
  <c r="AD335" i="4" s="1"/>
  <c r="CQ88" i="4"/>
  <c r="CV46" i="4"/>
  <c r="AD46" i="4" s="1"/>
  <c r="CQ200" i="4"/>
  <c r="CV286" i="4"/>
  <c r="CQ164" i="4"/>
  <c r="CV73" i="4"/>
  <c r="AD73" i="4" s="1"/>
  <c r="CQ316" i="4"/>
  <c r="CQ157" i="4"/>
  <c r="CV24" i="4"/>
  <c r="CV212" i="4"/>
  <c r="AD212" i="4" s="1"/>
  <c r="CV83" i="4"/>
  <c r="AD83" i="4" s="1"/>
  <c r="CQ115" i="4"/>
  <c r="CQ185" i="4"/>
  <c r="CV300" i="4"/>
  <c r="CQ211" i="4"/>
  <c r="CQ68" i="4"/>
  <c r="CV214" i="4"/>
  <c r="AD214" i="4" s="1"/>
  <c r="CV207" i="4"/>
  <c r="AD207" i="4" s="1"/>
  <c r="CV158" i="4"/>
  <c r="AD158" i="4" s="1"/>
  <c r="CV69" i="4"/>
  <c r="AD69" i="4" s="1"/>
  <c r="CV216" i="4"/>
  <c r="CQ26" i="4"/>
  <c r="CV280" i="4"/>
  <c r="CV210" i="4"/>
  <c r="CV78" i="4"/>
  <c r="AD78" i="4" s="1"/>
  <c r="CV268" i="4"/>
  <c r="CV71" i="4"/>
  <c r="AD71" i="4" s="1"/>
  <c r="CQ320" i="4"/>
  <c r="CQ289" i="4"/>
  <c r="CV151" i="4"/>
  <c r="CV278" i="4"/>
  <c r="CQ265" i="4"/>
  <c r="CV92" i="4"/>
  <c r="AD92" i="4" s="1"/>
  <c r="CQ261" i="4"/>
  <c r="CV253" i="4"/>
  <c r="CV47" i="4"/>
  <c r="CQ268" i="4"/>
  <c r="CQ49" i="4"/>
  <c r="CV128" i="4"/>
  <c r="AD128" i="4" s="1"/>
  <c r="CQ308" i="4"/>
  <c r="CQ50" i="4"/>
  <c r="CV264" i="4"/>
  <c r="CV58" i="4"/>
  <c r="CQ100" i="4"/>
  <c r="CQ37" i="4"/>
  <c r="CV101" i="4"/>
  <c r="CV299" i="4"/>
  <c r="CQ94" i="4"/>
  <c r="CQ46" i="4"/>
  <c r="CQ259" i="4"/>
  <c r="CQ173" i="4"/>
  <c r="CV298" i="4"/>
  <c r="CV259" i="4"/>
  <c r="AD259" i="4" s="1"/>
  <c r="CQ142" i="4"/>
  <c r="CV183" i="4"/>
  <c r="CV232" i="4"/>
  <c r="CQ266" i="4"/>
  <c r="CQ109" i="4"/>
  <c r="CV169" i="4"/>
  <c r="CV79" i="4"/>
  <c r="CQ84" i="4"/>
  <c r="CV82" i="4"/>
  <c r="CV68" i="4"/>
  <c r="AD68" i="4" s="1"/>
  <c r="CQ335" i="4"/>
  <c r="CQ108" i="4"/>
  <c r="CV236" i="4"/>
  <c r="CV166" i="4"/>
  <c r="AD166" i="4" s="1"/>
  <c r="CQ306" i="4"/>
  <c r="CQ56" i="4"/>
  <c r="CV137" i="4"/>
  <c r="AD137" i="4" s="1"/>
  <c r="CQ286" i="4"/>
  <c r="CV192" i="4"/>
  <c r="CV239" i="4"/>
  <c r="CV252" i="4"/>
  <c r="CV111" i="4"/>
  <c r="CQ128" i="4"/>
  <c r="CQ54" i="4"/>
  <c r="CV307" i="4"/>
  <c r="AD307" i="4" s="1"/>
  <c r="CV153" i="4"/>
  <c r="CV59" i="4"/>
  <c r="AD59" i="4" s="1"/>
  <c r="CV116" i="4"/>
  <c r="CQ167" i="4"/>
  <c r="CV358" i="4"/>
  <c r="AD358" i="4" s="1"/>
  <c r="CQ132" i="4"/>
  <c r="CQ253" i="4"/>
  <c r="CV249" i="4"/>
  <c r="AD249" i="4" s="1"/>
  <c r="CV50" i="4"/>
  <c r="AD50" i="4" s="1"/>
  <c r="CQ111" i="4"/>
  <c r="CV302" i="4"/>
  <c r="AD302" i="4" s="1"/>
  <c r="CV172" i="4"/>
  <c r="AD172" i="4" s="1"/>
  <c r="CV182" i="4"/>
  <c r="AD182" i="4" s="1"/>
  <c r="CQ358" i="4"/>
  <c r="CQ237" i="4"/>
  <c r="CV57" i="4"/>
  <c r="AD57" i="4" s="1"/>
  <c r="CQ232" i="4"/>
  <c r="CV181" i="4"/>
  <c r="AD181" i="4" s="1"/>
  <c r="CQ66" i="4"/>
  <c r="CV170" i="4"/>
  <c r="AD170" i="4" s="1"/>
  <c r="CV234" i="4"/>
  <c r="AD234" i="4" s="1"/>
  <c r="CQ163" i="4"/>
  <c r="DL257" i="4"/>
  <c r="CX240" i="4"/>
  <c r="Q12" i="15"/>
  <c r="EI240" i="4"/>
  <c r="FW240" i="4"/>
  <c r="EG381" i="4"/>
  <c r="EW257" i="4"/>
  <c r="CJ381" i="4"/>
  <c r="DS381" i="4"/>
  <c r="EB204" i="4"/>
  <c r="FK257" i="4"/>
  <c r="CB240" i="4"/>
  <c r="CB257" i="4"/>
  <c r="AY114" i="4"/>
  <c r="BX257" i="4"/>
  <c r="AU29" i="4"/>
  <c r="BX240" i="4"/>
  <c r="BZ240" i="4"/>
  <c r="CB204" i="4"/>
  <c r="EZ240" i="4"/>
  <c r="BX204" i="4"/>
  <c r="AU42" i="4"/>
  <c r="CB381" i="4"/>
  <c r="BX381" i="4"/>
  <c r="BZ257" i="4"/>
  <c r="BZ204" i="4"/>
  <c r="BZ381" i="4"/>
  <c r="DQ204" i="4"/>
  <c r="CN381" i="4"/>
  <c r="DB257" i="4"/>
  <c r="EP240" i="4"/>
  <c r="FM240" i="4"/>
  <c r="GI240" i="4"/>
  <c r="FG381" i="4"/>
  <c r="DJ381" i="4"/>
  <c r="ED381" i="4"/>
  <c r="EK240" i="4"/>
  <c r="DX204" i="4"/>
  <c r="FY240" i="4"/>
  <c r="DU381" i="4"/>
  <c r="FD240" i="4"/>
  <c r="DN381" i="4"/>
  <c r="DI204" i="4"/>
  <c r="EZ204" i="4"/>
  <c r="GH381" i="4"/>
  <c r="DI381" i="4"/>
  <c r="FN257" i="4"/>
  <c r="EI204" i="4"/>
  <c r="EB240" i="4"/>
  <c r="CX204" i="4"/>
  <c r="EN257" i="4"/>
  <c r="EY240" i="4"/>
  <c r="GA257" i="4"/>
  <c r="DU257" i="4"/>
  <c r="FD257" i="4"/>
  <c r="EN240" i="4"/>
  <c r="DZ240" i="4"/>
  <c r="DZ257" i="4"/>
  <c r="DJ204" i="4"/>
  <c r="EY204" i="4"/>
  <c r="GI381" i="4"/>
  <c r="EB257" i="4"/>
  <c r="DZ204" i="4"/>
  <c r="EW240" i="4"/>
  <c r="CX381" i="4"/>
  <c r="FK240" i="4"/>
  <c r="DB381" i="4"/>
  <c r="FN240" i="4"/>
  <c r="FT257" i="4"/>
  <c r="FR257" i="4"/>
  <c r="FT240" i="4"/>
  <c r="DB204" i="4"/>
  <c r="CU204" i="4"/>
  <c r="EK204" i="4"/>
  <c r="EY381" i="4"/>
  <c r="CU381" i="4"/>
  <c r="GH257" i="4"/>
  <c r="FK204" i="4"/>
  <c r="DL381" i="4"/>
  <c r="DC240" i="4"/>
  <c r="CS257" i="4"/>
  <c r="CO240" i="4"/>
  <c r="GB257" i="4"/>
  <c r="CS381" i="4"/>
  <c r="GP257" i="4"/>
  <c r="CV240" i="4"/>
  <c r="CX257" i="4"/>
  <c r="DC204" i="4"/>
  <c r="CV204" i="4"/>
  <c r="AD204" i="4" s="1"/>
  <c r="EL204" i="4"/>
  <c r="EZ381" i="4"/>
  <c r="CV381" i="4"/>
  <c r="AD381" i="4" s="1"/>
  <c r="DU204" i="4"/>
  <c r="CL240" i="4"/>
  <c r="CU257" i="4"/>
  <c r="DL240" i="4"/>
  <c r="FF240" i="4"/>
  <c r="FG240" i="4"/>
  <c r="FU257" i="4"/>
  <c r="GI257" i="4"/>
  <c r="GF240" i="4"/>
  <c r="DC257" i="4"/>
  <c r="DG257" i="4"/>
  <c r="DG240" i="4"/>
  <c r="DP204" i="4"/>
  <c r="GA204" i="4"/>
  <c r="EE204" i="4"/>
  <c r="EK381" i="4"/>
  <c r="CZ381" i="4"/>
  <c r="CU240" i="4"/>
  <c r="CQ240" i="4"/>
  <c r="GH240" i="4"/>
  <c r="CO257" i="4"/>
  <c r="CN257" i="4"/>
  <c r="EP381" i="4"/>
  <c r="EI257" i="4"/>
  <c r="CN240" i="4"/>
  <c r="GB204" i="4"/>
  <c r="ED204" i="4"/>
  <c r="DC381" i="4"/>
  <c r="EL381" i="4"/>
  <c r="GP381" i="4"/>
  <c r="DZ381" i="4"/>
  <c r="CJ240" i="4"/>
  <c r="GB240" i="4"/>
  <c r="GM204" i="4"/>
  <c r="DB240" i="4"/>
  <c r="CQ381" i="4"/>
  <c r="FK381" i="4"/>
  <c r="GF204" i="4"/>
  <c r="FG257" i="4"/>
  <c r="CZ257" i="4"/>
  <c r="EG257" i="4"/>
  <c r="EG240" i="4"/>
  <c r="DN257" i="4"/>
  <c r="DN240" i="4"/>
  <c r="FF204" i="4"/>
  <c r="GH204" i="4"/>
  <c r="FU204" i="4"/>
  <c r="FT381" i="4"/>
  <c r="DW381" i="4"/>
  <c r="FM381" i="4"/>
  <c r="FR204" i="4"/>
  <c r="CJ204" i="4"/>
  <c r="FR240" i="4"/>
  <c r="EY257" i="4"/>
  <c r="GF381" i="4"/>
  <c r="FF257" i="4"/>
  <c r="CS204" i="4"/>
  <c r="FD204" i="4"/>
  <c r="EI381" i="4"/>
  <c r="FY381" i="4"/>
  <c r="CJ257" i="4"/>
  <c r="DQ240" i="4"/>
  <c r="DQ257" i="4"/>
  <c r="DP257" i="4"/>
  <c r="DP240" i="4"/>
  <c r="FG204" i="4"/>
  <c r="GI204" i="4"/>
  <c r="FT204" i="4"/>
  <c r="FU381" i="4"/>
  <c r="DX381" i="4"/>
  <c r="FN381" i="4"/>
  <c r="CQ257" i="4"/>
  <c r="GM381" i="4"/>
  <c r="EW381" i="4"/>
  <c r="DN204" i="4"/>
  <c r="CZ240" i="4"/>
  <c r="DS204" i="4"/>
  <c r="EN204" i="4"/>
  <c r="EP257" i="4"/>
  <c r="ES257" i="4"/>
  <c r="ER257" i="4"/>
  <c r="ES240" i="4"/>
  <c r="ER240" i="4"/>
  <c r="DJ240" i="4"/>
  <c r="DJ257" i="4"/>
  <c r="DI257" i="4"/>
  <c r="DI240" i="4"/>
  <c r="DW204" i="4"/>
  <c r="FM204" i="4"/>
  <c r="GP204" i="4"/>
  <c r="GA381" i="4"/>
  <c r="ER381" i="4"/>
  <c r="GP240" i="4"/>
  <c r="FY204" i="4"/>
  <c r="EW204" i="4"/>
  <c r="EG204" i="4"/>
  <c r="DU240" i="4"/>
  <c r="DG381" i="4"/>
  <c r="GA240" i="4"/>
  <c r="ED240" i="4"/>
  <c r="EE240" i="4"/>
  <c r="EE257" i="4"/>
  <c r="ED257" i="4"/>
  <c r="EL240" i="4"/>
  <c r="EL257" i="4"/>
  <c r="EK257" i="4"/>
  <c r="FN204" i="4"/>
  <c r="GB381" i="4"/>
  <c r="ES381" i="4"/>
  <c r="EE381" i="4"/>
  <c r="CL204" i="4"/>
  <c r="FU240" i="4"/>
  <c r="FR381" i="4"/>
  <c r="DL204" i="4"/>
  <c r="EB381" i="4"/>
  <c r="FD381" i="4"/>
  <c r="CZ204" i="4"/>
  <c r="EZ257" i="4"/>
  <c r="DW240" i="4"/>
  <c r="DW257" i="4"/>
  <c r="DX240" i="4"/>
  <c r="DX257" i="4"/>
  <c r="CO204" i="4"/>
  <c r="ER204" i="4"/>
  <c r="FF381" i="4"/>
  <c r="DP381" i="4"/>
  <c r="CO381" i="4"/>
  <c r="GF257" i="4"/>
  <c r="CL381" i="4"/>
  <c r="GM240" i="4"/>
  <c r="FY257" i="4"/>
  <c r="DS257" i="4"/>
  <c r="DS240" i="4"/>
  <c r="CN204" i="4"/>
  <c r="ES204" i="4"/>
  <c r="DQ381" i="4"/>
  <c r="FM257" i="4"/>
  <c r="EP204" i="4"/>
  <c r="DG204" i="4"/>
  <c r="N10" i="15"/>
  <c r="T10" i="15" s="1"/>
  <c r="N5" i="15"/>
  <c r="T5" i="15" s="1"/>
  <c r="N6" i="15"/>
  <c r="T6" i="15" s="1"/>
  <c r="N16" i="15"/>
  <c r="T16" i="15" s="1"/>
  <c r="Q4" i="15"/>
  <c r="N4" i="15"/>
  <c r="T4" i="15" s="1"/>
  <c r="AE13" i="15"/>
  <c r="AE6" i="15"/>
  <c r="N17" i="15"/>
  <c r="T17" i="15" s="1"/>
  <c r="AF10" i="15"/>
  <c r="AB10" i="15"/>
  <c r="AH10" i="15" s="1"/>
  <c r="AE9" i="15"/>
  <c r="N8" i="15"/>
  <c r="T8" i="15" s="1"/>
  <c r="R8" i="15"/>
  <c r="N14" i="15"/>
  <c r="T14" i="15" s="1"/>
  <c r="S14" i="15"/>
  <c r="N9" i="15"/>
  <c r="T9" i="15" s="1"/>
  <c r="Q9" i="15"/>
  <c r="BA4" i="4"/>
  <c r="N13" i="15"/>
  <c r="T13" i="15" s="1"/>
  <c r="Q13" i="15"/>
  <c r="Q11" i="15"/>
  <c r="N11" i="15"/>
  <c r="T11" i="15" s="1"/>
  <c r="Q3" i="15"/>
  <c r="N3" i="15"/>
  <c r="T3" i="15" s="1"/>
  <c r="AE14" i="15"/>
  <c r="AB14" i="15"/>
  <c r="AH14" i="15" s="1"/>
  <c r="AY34" i="4"/>
  <c r="AW4" i="4"/>
  <c r="FR151" i="4"/>
  <c r="AU90" i="4"/>
  <c r="AU23" i="4"/>
  <c r="AY17" i="4"/>
  <c r="AW65" i="4"/>
  <c r="GB206" i="4"/>
  <c r="GP237" i="4"/>
  <c r="GP173" i="4"/>
  <c r="GP282" i="4"/>
  <c r="GF205" i="4"/>
  <c r="GA211" i="4"/>
  <c r="CL278" i="4"/>
  <c r="CL282" i="4"/>
  <c r="CL163" i="4"/>
  <c r="EZ163" i="4"/>
  <c r="EY282" i="4"/>
  <c r="EZ282" i="4"/>
  <c r="EY163" i="4"/>
  <c r="FD282" i="4"/>
  <c r="FD163" i="4"/>
  <c r="BZ282" i="4"/>
  <c r="BZ163" i="4"/>
  <c r="FU163" i="4"/>
  <c r="EP278" i="4"/>
  <c r="EP282" i="4"/>
  <c r="EP163" i="4"/>
  <c r="BX163" i="4"/>
  <c r="BX282" i="4"/>
  <c r="GM278" i="4"/>
  <c r="GM282" i="4"/>
  <c r="GM163" i="4"/>
  <c r="FU282" i="4"/>
  <c r="DU278" i="4"/>
  <c r="DU282" i="4"/>
  <c r="DU163" i="4"/>
  <c r="ED282" i="4"/>
  <c r="EE282" i="4"/>
  <c r="ED163" i="4"/>
  <c r="EE163" i="4"/>
  <c r="EL282" i="4"/>
  <c r="EK163" i="4"/>
  <c r="EL163" i="4"/>
  <c r="EK282" i="4"/>
  <c r="EN278" i="4"/>
  <c r="EN282" i="4"/>
  <c r="EN163" i="4"/>
  <c r="GF278" i="4"/>
  <c r="GF282" i="4"/>
  <c r="GF163" i="4"/>
  <c r="CN282" i="4"/>
  <c r="CO282" i="4"/>
  <c r="CN163" i="4"/>
  <c r="CO163" i="4"/>
  <c r="DW282" i="4"/>
  <c r="DX282" i="4"/>
  <c r="DW163" i="4"/>
  <c r="DX163" i="4"/>
  <c r="EW278" i="4"/>
  <c r="EW282" i="4"/>
  <c r="EW163" i="4"/>
  <c r="DB282" i="4"/>
  <c r="DC282" i="4"/>
  <c r="DB163" i="4"/>
  <c r="DC163" i="4"/>
  <c r="DL282" i="4"/>
  <c r="DL163" i="4"/>
  <c r="EI278" i="4"/>
  <c r="EI282" i="4"/>
  <c r="EI163" i="4"/>
  <c r="FN282" i="4"/>
  <c r="FM163" i="4"/>
  <c r="FN163" i="4"/>
  <c r="FM282" i="4"/>
  <c r="FY163" i="4"/>
  <c r="DS282" i="4"/>
  <c r="DS163" i="4"/>
  <c r="EB278" i="4"/>
  <c r="EB282" i="4"/>
  <c r="EB163" i="4"/>
  <c r="FF282" i="4"/>
  <c r="FG282" i="4"/>
  <c r="FF163" i="4"/>
  <c r="FG163" i="4"/>
  <c r="GB77" i="4"/>
  <c r="GA282" i="4"/>
  <c r="GB282" i="4"/>
  <c r="GA163" i="4"/>
  <c r="GB163" i="4"/>
  <c r="DN282" i="4"/>
  <c r="DN163" i="4"/>
  <c r="DZ282" i="4"/>
  <c r="DZ163" i="4"/>
  <c r="GI163" i="4"/>
  <c r="GH282" i="4"/>
  <c r="GI282" i="4"/>
  <c r="GH163" i="4"/>
  <c r="FR163" i="4"/>
  <c r="CZ163" i="4"/>
  <c r="DG278" i="4"/>
  <c r="DG282" i="4"/>
  <c r="DG163" i="4"/>
  <c r="EG282" i="4"/>
  <c r="EG163" i="4"/>
  <c r="ER282" i="4"/>
  <c r="ES282" i="4"/>
  <c r="ER163" i="4"/>
  <c r="ES163" i="4"/>
  <c r="FT163" i="4"/>
  <c r="CJ278" i="4"/>
  <c r="CJ282" i="4"/>
  <c r="CJ163" i="4"/>
  <c r="DI282" i="4"/>
  <c r="DJ282" i="4"/>
  <c r="DJ163" i="4"/>
  <c r="DI163" i="4"/>
  <c r="CZ282" i="4"/>
  <c r="FT282" i="4"/>
  <c r="CB282" i="4"/>
  <c r="CB163" i="4"/>
  <c r="CX278" i="4"/>
  <c r="CX282" i="4"/>
  <c r="CX163" i="4"/>
  <c r="DQ282" i="4"/>
  <c r="DP163" i="4"/>
  <c r="DQ163" i="4"/>
  <c r="DP282" i="4"/>
  <c r="FK278" i="4"/>
  <c r="FK282" i="4"/>
  <c r="FK163" i="4"/>
  <c r="GP163" i="4"/>
  <c r="BZ278" i="4"/>
  <c r="BX278" i="4"/>
  <c r="ED278" i="4"/>
  <c r="EE278" i="4"/>
  <c r="EK278" i="4"/>
  <c r="EL278" i="4"/>
  <c r="CN278" i="4"/>
  <c r="CO278" i="4"/>
  <c r="DW278" i="4"/>
  <c r="DX278" i="4"/>
  <c r="DC278" i="4"/>
  <c r="DB278" i="4"/>
  <c r="DL278" i="4"/>
  <c r="FM278" i="4"/>
  <c r="FN278" i="4"/>
  <c r="DS278" i="4"/>
  <c r="FF278" i="4"/>
  <c r="FG278" i="4"/>
  <c r="FU156" i="4"/>
  <c r="DN278" i="4"/>
  <c r="DZ278" i="4"/>
  <c r="GA278" i="4"/>
  <c r="GB278" i="4"/>
  <c r="EG278" i="4"/>
  <c r="ER278" i="4"/>
  <c r="ES278" i="4"/>
  <c r="GB100" i="4"/>
  <c r="GH278" i="4"/>
  <c r="GI278" i="4"/>
  <c r="CZ278" i="4"/>
  <c r="DI278" i="4"/>
  <c r="DJ278" i="4"/>
  <c r="CB278" i="4"/>
  <c r="DP278" i="4"/>
  <c r="DQ278" i="4"/>
  <c r="FT278" i="4"/>
  <c r="EY278" i="4"/>
  <c r="EZ278" i="4"/>
  <c r="FD278" i="4"/>
  <c r="GP278" i="4"/>
  <c r="FU278" i="4"/>
  <c r="BX230" i="4"/>
  <c r="BX234" i="4"/>
  <c r="BX156" i="4"/>
  <c r="BX335" i="4"/>
  <c r="BZ5" i="4"/>
  <c r="BZ156" i="4"/>
  <c r="BZ234" i="4"/>
  <c r="BZ230" i="4"/>
  <c r="BZ335" i="4"/>
  <c r="GP254" i="4"/>
  <c r="GM230" i="4"/>
  <c r="GM156" i="4"/>
  <c r="GP234" i="4"/>
  <c r="GP335" i="4"/>
  <c r="GM234" i="4"/>
  <c r="GM335" i="4"/>
  <c r="GP230" i="4"/>
  <c r="EY250" i="4"/>
  <c r="EZ335" i="4"/>
  <c r="EY230" i="4"/>
  <c r="EZ230" i="4"/>
  <c r="EZ156" i="4"/>
  <c r="EY156" i="4"/>
  <c r="EY234" i="4"/>
  <c r="EZ234" i="4"/>
  <c r="EY335" i="4"/>
  <c r="FK234" i="4"/>
  <c r="FK230" i="4"/>
  <c r="FK335" i="4"/>
  <c r="FK156" i="4"/>
  <c r="GF231" i="4"/>
  <c r="GF335" i="4"/>
  <c r="GF234" i="4"/>
  <c r="GF156" i="4"/>
  <c r="GF230" i="4"/>
  <c r="FD234" i="4"/>
  <c r="FD230" i="4"/>
  <c r="FD156" i="4"/>
  <c r="FD335" i="4"/>
  <c r="DU230" i="4"/>
  <c r="DU234" i="4"/>
  <c r="DU335" i="4"/>
  <c r="DU156" i="4"/>
  <c r="ED230" i="4"/>
  <c r="EE230" i="4"/>
  <c r="EE156" i="4"/>
  <c r="ED335" i="4"/>
  <c r="EE335" i="4"/>
  <c r="ED156" i="4"/>
  <c r="ED234" i="4"/>
  <c r="EE234" i="4"/>
  <c r="EL234" i="4"/>
  <c r="EL335" i="4"/>
  <c r="EK335" i="4"/>
  <c r="EL230" i="4"/>
  <c r="EK230" i="4"/>
  <c r="EK156" i="4"/>
  <c r="EL156" i="4"/>
  <c r="EK234" i="4"/>
  <c r="EP230" i="4"/>
  <c r="EP234" i="4"/>
  <c r="EP156" i="4"/>
  <c r="EP335" i="4"/>
  <c r="FY292" i="4"/>
  <c r="GB71" i="4"/>
  <c r="GA230" i="4"/>
  <c r="GA234" i="4"/>
  <c r="GB234" i="4"/>
  <c r="GA156" i="4"/>
  <c r="GB335" i="4"/>
  <c r="GA335" i="4"/>
  <c r="GB156" i="4"/>
  <c r="GB230" i="4"/>
  <c r="CN90" i="4"/>
  <c r="CN156" i="4"/>
  <c r="CN230" i="4"/>
  <c r="CO234" i="4"/>
  <c r="CO230" i="4"/>
  <c r="CN335" i="4"/>
  <c r="CN234" i="4"/>
  <c r="CO335" i="4"/>
  <c r="CO156" i="4"/>
  <c r="DW234" i="4"/>
  <c r="DW335" i="4"/>
  <c r="DX230" i="4"/>
  <c r="DX335" i="4"/>
  <c r="DX234" i="4"/>
  <c r="DW156" i="4"/>
  <c r="DX156" i="4"/>
  <c r="DW230" i="4"/>
  <c r="GI230" i="4"/>
  <c r="GH156" i="4"/>
  <c r="GI156" i="4"/>
  <c r="GH234" i="4"/>
  <c r="GI234" i="4"/>
  <c r="GI335" i="4"/>
  <c r="GH335" i="4"/>
  <c r="GH230" i="4"/>
  <c r="DC335" i="4"/>
  <c r="DC230" i="4"/>
  <c r="DB234" i="4"/>
  <c r="DC234" i="4"/>
  <c r="DB156" i="4"/>
  <c r="DC156" i="4"/>
  <c r="DB230" i="4"/>
  <c r="DB335" i="4"/>
  <c r="DL234" i="4"/>
  <c r="DL156" i="4"/>
  <c r="DL230" i="4"/>
  <c r="DL335" i="4"/>
  <c r="EI230" i="4"/>
  <c r="EI234" i="4"/>
  <c r="EI156" i="4"/>
  <c r="EI335" i="4"/>
  <c r="EN234" i="4"/>
  <c r="EN156" i="4"/>
  <c r="EN230" i="4"/>
  <c r="EN335" i="4"/>
  <c r="DS156" i="4"/>
  <c r="DS335" i="4"/>
  <c r="DS230" i="4"/>
  <c r="DS234" i="4"/>
  <c r="EB234" i="4"/>
  <c r="EB230" i="4"/>
  <c r="EB156" i="4"/>
  <c r="EB335" i="4"/>
  <c r="EW156" i="4"/>
  <c r="EW234" i="4"/>
  <c r="EW230" i="4"/>
  <c r="EW335" i="4"/>
  <c r="FT156" i="4"/>
  <c r="DN230" i="4"/>
  <c r="DN234" i="4"/>
  <c r="DN156" i="4"/>
  <c r="DN335" i="4"/>
  <c r="DZ234" i="4"/>
  <c r="DZ156" i="4"/>
  <c r="DZ230" i="4"/>
  <c r="DZ335" i="4"/>
  <c r="DG234" i="4"/>
  <c r="DG156" i="4"/>
  <c r="DG230" i="4"/>
  <c r="DG335" i="4"/>
  <c r="EG156" i="4"/>
  <c r="EG230" i="4"/>
  <c r="EG234" i="4"/>
  <c r="EG335" i="4"/>
  <c r="FN234" i="4"/>
  <c r="FM335" i="4"/>
  <c r="FM156" i="4"/>
  <c r="FM230" i="4"/>
  <c r="FN335" i="4"/>
  <c r="FN156" i="4"/>
  <c r="FN230" i="4"/>
  <c r="FM234" i="4"/>
  <c r="CJ156" i="4"/>
  <c r="CJ234" i="4"/>
  <c r="CJ230" i="4"/>
  <c r="CJ335" i="4"/>
  <c r="DJ335" i="4"/>
  <c r="DI156" i="4"/>
  <c r="DI234" i="4"/>
  <c r="DJ234" i="4"/>
  <c r="DI230" i="4"/>
  <c r="DJ230" i="4"/>
  <c r="DJ156" i="4"/>
  <c r="DI335" i="4"/>
  <c r="FF335" i="4"/>
  <c r="FG230" i="4"/>
  <c r="FF230" i="4"/>
  <c r="FG335" i="4"/>
  <c r="FF234" i="4"/>
  <c r="FF156" i="4"/>
  <c r="FG156" i="4"/>
  <c r="FG234" i="4"/>
  <c r="CB230" i="4"/>
  <c r="CB156" i="4"/>
  <c r="CB335" i="4"/>
  <c r="CB234" i="4"/>
  <c r="CX156" i="4"/>
  <c r="CX234" i="4"/>
  <c r="CX230" i="4"/>
  <c r="CX335" i="4"/>
  <c r="DP156" i="4"/>
  <c r="DQ156" i="4"/>
  <c r="DP234" i="4"/>
  <c r="DQ234" i="4"/>
  <c r="DQ230" i="4"/>
  <c r="DP230" i="4"/>
  <c r="DQ335" i="4"/>
  <c r="DP335" i="4"/>
  <c r="ER156" i="4"/>
  <c r="ES156" i="4"/>
  <c r="ER234" i="4"/>
  <c r="ES234" i="4"/>
  <c r="ER230" i="4"/>
  <c r="ES230" i="4"/>
  <c r="ER335" i="4"/>
  <c r="ES335" i="4"/>
  <c r="FY297" i="4"/>
  <c r="CL186" i="4"/>
  <c r="CL156" i="4"/>
  <c r="GP156" i="4"/>
  <c r="FR228" i="4"/>
  <c r="GF239" i="4"/>
  <c r="GP214" i="4"/>
  <c r="FT61" i="4"/>
  <c r="GP215" i="4"/>
  <c r="FY306" i="4"/>
  <c r="FY218" i="4"/>
  <c r="GB89" i="4"/>
  <c r="GB59" i="4"/>
  <c r="GB86" i="4"/>
  <c r="GB107" i="4"/>
  <c r="GP293" i="4"/>
  <c r="GA147" i="4"/>
  <c r="GB168" i="4"/>
  <c r="FT170" i="4"/>
  <c r="EY181" i="4"/>
  <c r="FU299" i="4"/>
  <c r="FT299" i="4"/>
  <c r="EY112" i="4"/>
  <c r="EY158" i="4"/>
  <c r="CL214" i="4"/>
  <c r="EY63" i="4"/>
  <c r="EY227" i="4"/>
  <c r="FT193" i="4"/>
  <c r="GA20" i="4"/>
  <c r="FT296" i="4"/>
  <c r="FT314" i="4"/>
  <c r="FU296" i="4"/>
  <c r="FT260" i="4"/>
  <c r="FT322" i="4"/>
  <c r="FU294" i="4"/>
  <c r="FT20" i="4"/>
  <c r="FU192" i="4"/>
  <c r="FT291" i="4"/>
  <c r="FT294" i="4"/>
  <c r="FT192" i="4"/>
  <c r="FT320" i="4"/>
  <c r="FU291" i="4"/>
  <c r="FU184" i="4"/>
  <c r="FU88" i="4"/>
  <c r="FT78" i="4"/>
  <c r="FT183" i="4"/>
  <c r="FT184" i="4"/>
  <c r="FU307" i="4"/>
  <c r="FU301" i="4"/>
  <c r="FT301" i="4"/>
  <c r="FU298" i="4"/>
  <c r="FT293" i="4"/>
  <c r="FT307" i="4"/>
  <c r="FU314" i="4"/>
  <c r="FU293" i="4"/>
  <c r="FU185" i="4"/>
  <c r="FU295" i="4"/>
  <c r="FU186" i="4"/>
  <c r="FU188" i="4"/>
  <c r="FT185" i="4"/>
  <c r="FU61" i="4"/>
  <c r="FU300" i="4"/>
  <c r="FT298" i="4"/>
  <c r="FT176" i="4"/>
  <c r="FU193" i="4"/>
  <c r="FU252" i="4"/>
  <c r="FU260" i="4"/>
  <c r="FT300" i="4"/>
  <c r="GP20" i="4"/>
  <c r="FU183" i="4"/>
  <c r="FU198" i="4"/>
  <c r="FU320" i="4"/>
  <c r="FU78" i="4"/>
  <c r="FT88" i="4"/>
  <c r="FU20" i="4"/>
  <c r="FT295" i="4"/>
  <c r="FT73" i="4"/>
  <c r="FT186" i="4"/>
  <c r="FT198" i="4"/>
  <c r="FU170" i="4"/>
  <c r="FU176" i="4"/>
  <c r="FT252" i="4"/>
  <c r="FU154" i="4"/>
  <c r="FT217" i="4"/>
  <c r="FU302" i="4"/>
  <c r="FT151" i="4"/>
  <c r="GB98" i="4"/>
  <c r="GB82" i="4"/>
  <c r="GB121" i="4"/>
  <c r="GB273" i="4"/>
  <c r="GB112" i="4"/>
  <c r="GB84" i="4"/>
  <c r="GB182" i="4"/>
  <c r="GB25" i="4"/>
  <c r="GB81" i="4"/>
  <c r="GB67" i="4"/>
  <c r="GB80" i="4"/>
  <c r="GP218" i="4"/>
  <c r="GP225" i="4"/>
  <c r="GP266" i="4"/>
  <c r="GP84" i="4"/>
  <c r="GP246" i="4"/>
  <c r="GP183" i="4"/>
  <c r="GP268" i="4"/>
  <c r="FT44" i="4"/>
  <c r="FU187" i="4"/>
  <c r="GB87" i="4"/>
  <c r="GA273" i="4"/>
  <c r="GB83" i="4"/>
  <c r="GB150" i="4"/>
  <c r="GB181" i="4"/>
  <c r="GA265" i="4"/>
  <c r="GB106" i="4"/>
  <c r="GA259" i="4"/>
  <c r="GB72" i="4"/>
  <c r="GB329" i="4"/>
  <c r="GP134" i="4"/>
  <c r="GP336" i="4"/>
  <c r="GP317" i="4"/>
  <c r="GP313" i="4"/>
  <c r="GP73" i="4"/>
  <c r="GP265" i="4"/>
  <c r="GP185" i="4"/>
  <c r="FU238" i="4"/>
  <c r="FU151" i="4"/>
  <c r="GB272" i="4"/>
  <c r="FY173" i="4"/>
  <c r="GB94" i="4"/>
  <c r="GB171" i="4"/>
  <c r="GA186" i="4"/>
  <c r="GA143" i="4"/>
  <c r="GB118" i="4"/>
  <c r="GB43" i="4"/>
  <c r="GB137" i="4"/>
  <c r="GB142" i="4"/>
  <c r="GP216" i="4"/>
  <c r="GP188" i="4"/>
  <c r="GP44" i="4"/>
  <c r="GP322" i="4"/>
  <c r="FT321" i="4"/>
  <c r="FT316" i="4"/>
  <c r="FT188" i="4"/>
  <c r="GA149" i="4"/>
  <c r="GB167" i="4"/>
  <c r="GA100" i="4"/>
  <c r="GA112" i="4"/>
  <c r="GB48" i="4"/>
  <c r="GB256" i="4"/>
  <c r="GB235" i="4"/>
  <c r="GB149" i="4"/>
  <c r="GB79" i="4"/>
  <c r="GP112" i="4"/>
  <c r="GP292" i="4"/>
  <c r="GP321" i="4"/>
  <c r="GP151" i="4"/>
  <c r="GP306" i="4"/>
  <c r="FT173" i="4"/>
  <c r="FU321" i="4"/>
  <c r="FT266" i="4"/>
  <c r="FU286" i="4"/>
  <c r="GB120" i="4"/>
  <c r="GB70" i="4"/>
  <c r="FY313" i="4"/>
  <c r="GA280" i="4"/>
  <c r="GA199" i="4"/>
  <c r="GB289" i="4"/>
  <c r="GB227" i="4"/>
  <c r="GB147" i="4"/>
  <c r="GB124" i="4"/>
  <c r="GB259" i="4"/>
  <c r="GB127" i="4"/>
  <c r="GP192" i="4"/>
  <c r="GP88" i="4"/>
  <c r="GP291" i="4"/>
  <c r="GP238" i="4"/>
  <c r="GP187" i="4"/>
  <c r="GP300" i="4"/>
  <c r="FT238" i="4"/>
  <c r="FT187" i="4"/>
  <c r="FT132" i="4"/>
  <c r="FT313" i="4"/>
  <c r="FT101" i="4"/>
  <c r="GA173" i="4"/>
  <c r="GB63" i="4"/>
  <c r="GB56" i="4"/>
  <c r="GA212" i="4"/>
  <c r="GB139" i="4"/>
  <c r="GB54" i="4"/>
  <c r="GB69" i="4"/>
  <c r="GP78" i="4"/>
  <c r="GP143" i="4"/>
  <c r="GP217" i="4"/>
  <c r="GP213" i="4"/>
  <c r="GP301" i="4"/>
  <c r="FT302" i="4"/>
  <c r="FT286" i="4"/>
  <c r="FT306" i="4"/>
  <c r="GB236" i="4"/>
  <c r="GB232" i="4"/>
  <c r="GB196" i="4"/>
  <c r="GB99" i="4"/>
  <c r="FY214" i="4"/>
  <c r="GB128" i="4"/>
  <c r="GB209" i="4"/>
  <c r="GB265" i="4"/>
  <c r="GB255" i="4"/>
  <c r="GB210" i="4"/>
  <c r="GB200" i="4"/>
  <c r="GP154" i="4"/>
  <c r="GP164" i="4"/>
  <c r="GP239" i="4"/>
  <c r="GP150" i="4"/>
  <c r="GP39" i="4"/>
  <c r="GP314" i="4"/>
  <c r="GP184" i="4"/>
  <c r="GP307" i="4"/>
  <c r="FU217" i="4"/>
  <c r="GB126" i="4"/>
  <c r="GA84" i="4"/>
  <c r="GB184" i="4"/>
  <c r="GB420" i="4"/>
  <c r="GB140" i="4"/>
  <c r="GA264" i="4"/>
  <c r="GB119" i="4"/>
  <c r="GB27" i="4"/>
  <c r="GP280" i="4"/>
  <c r="GP186" i="4"/>
  <c r="GP56" i="4"/>
  <c r="GP295" i="4"/>
  <c r="GP273" i="4"/>
  <c r="GP328" i="4"/>
  <c r="FT215" i="4"/>
  <c r="FU336" i="4"/>
  <c r="GB164" i="4"/>
  <c r="GB261" i="4"/>
  <c r="GA256" i="4"/>
  <c r="GB50" i="4"/>
  <c r="GB130" i="4"/>
  <c r="GB199" i="4"/>
  <c r="GA142" i="4"/>
  <c r="GB49" i="4"/>
  <c r="GP203" i="4"/>
  <c r="GP297" i="4"/>
  <c r="GP132" i="4"/>
  <c r="GP358" i="4"/>
  <c r="GP170" i="4"/>
  <c r="GP308" i="4"/>
  <c r="FT246" i="4"/>
  <c r="FT214" i="4"/>
  <c r="FT336" i="4"/>
  <c r="GB96" i="4"/>
  <c r="GB213" i="4"/>
  <c r="GB38" i="4"/>
  <c r="GB40" i="4"/>
  <c r="GB166" i="4"/>
  <c r="GB109" i="4"/>
  <c r="GB47" i="4"/>
  <c r="GB253" i="4"/>
  <c r="GP286" i="4"/>
  <c r="GP231" i="4"/>
  <c r="GP176" i="4"/>
  <c r="GP298" i="4"/>
  <c r="GP316" i="4"/>
  <c r="FT216" i="4"/>
  <c r="FT292" i="4"/>
  <c r="GA150" i="4"/>
  <c r="GB136" i="4"/>
  <c r="GB97" i="4"/>
  <c r="GB115" i="4"/>
  <c r="GB212" i="4"/>
  <c r="GB116" i="4"/>
  <c r="GB133" i="4"/>
  <c r="GP252" i="4"/>
  <c r="GP342" i="4"/>
  <c r="GP61" i="4"/>
  <c r="GP205" i="4"/>
  <c r="GB52" i="4"/>
  <c r="GB208" i="4"/>
  <c r="GB158" i="4"/>
  <c r="GP296" i="4"/>
  <c r="GB157" i="4"/>
  <c r="GB58" i="4"/>
  <c r="GP294" i="4"/>
  <c r="GB179" i="4"/>
  <c r="GA99" i="4"/>
  <c r="FD286" i="4"/>
  <c r="FT297" i="4"/>
  <c r="FT203" i="4"/>
  <c r="GB141" i="4"/>
  <c r="GB53" i="4"/>
  <c r="GB68" i="4"/>
  <c r="GB46" i="4"/>
  <c r="FT317" i="4"/>
  <c r="GB211" i="4"/>
  <c r="GB138" i="4"/>
  <c r="GB108" i="4"/>
  <c r="GA329" i="4"/>
  <c r="GB249" i="4"/>
  <c r="GB251" i="4"/>
  <c r="GB176" i="4"/>
  <c r="EY238" i="4"/>
  <c r="EY176" i="4"/>
  <c r="DG342" i="4"/>
  <c r="EY95" i="4"/>
  <c r="EY307" i="4"/>
  <c r="EY121" i="4"/>
  <c r="EZ133" i="4"/>
  <c r="EZ297" i="4"/>
  <c r="GA237" i="4"/>
  <c r="EZ196" i="4"/>
  <c r="EY120" i="4"/>
  <c r="GB125" i="4"/>
  <c r="GB60" i="4"/>
  <c r="FY225" i="4"/>
  <c r="GP329" i="4"/>
  <c r="GP198" i="4"/>
  <c r="GP228" i="4"/>
  <c r="GP320" i="4"/>
  <c r="DG239" i="4"/>
  <c r="FD316" i="4"/>
  <c r="GB280" i="4"/>
  <c r="GB37" i="4"/>
  <c r="GB26" i="4"/>
  <c r="GB268" i="4"/>
  <c r="GB153" i="4"/>
  <c r="GM321" i="4"/>
  <c r="GM225" i="4"/>
  <c r="GM302" i="4"/>
  <c r="GM153" i="4"/>
  <c r="GM316" i="4"/>
  <c r="GM314" i="4"/>
  <c r="GM212" i="4"/>
  <c r="GM111" i="4"/>
  <c r="GM255" i="4"/>
  <c r="GM140" i="4"/>
  <c r="GM107" i="4"/>
  <c r="GM125" i="4"/>
  <c r="GM130" i="4"/>
  <c r="GM249" i="4"/>
  <c r="GM69" i="4"/>
  <c r="GM62" i="4"/>
  <c r="GM35" i="4"/>
  <c r="GM54" i="4"/>
  <c r="GP211" i="4"/>
  <c r="GP208" i="4"/>
  <c r="GP128" i="4"/>
  <c r="GP147" i="4"/>
  <c r="GP117" i="4"/>
  <c r="GP261" i="4"/>
  <c r="GP79" i="4"/>
  <c r="GP72" i="4"/>
  <c r="GP38" i="4"/>
  <c r="GP54" i="4"/>
  <c r="GP141" i="4"/>
  <c r="GP51" i="4"/>
  <c r="GM322" i="4"/>
  <c r="GM292" i="4"/>
  <c r="GM87" i="4"/>
  <c r="GM214" i="4"/>
  <c r="GM259" i="4"/>
  <c r="GM96" i="4"/>
  <c r="GM120" i="4"/>
  <c r="GM317" i="4"/>
  <c r="GM25" i="4"/>
  <c r="GM137" i="4"/>
  <c r="GM70" i="4"/>
  <c r="GM37" i="4"/>
  <c r="GM38" i="4"/>
  <c r="GM182" i="4"/>
  <c r="GM169" i="4"/>
  <c r="GM81" i="4"/>
  <c r="GM11" i="4"/>
  <c r="GM66" i="4"/>
  <c r="GP255" i="4"/>
  <c r="GP125" i="4"/>
  <c r="GP34" i="4"/>
  <c r="GP96" i="4"/>
  <c r="GP115" i="4"/>
  <c r="GP167" i="4"/>
  <c r="GP138" i="4"/>
  <c r="GP119" i="4"/>
  <c r="GP23" i="4"/>
  <c r="GP29" i="4"/>
  <c r="GP18" i="4"/>
  <c r="GM358" i="4"/>
  <c r="GM342" i="4"/>
  <c r="GM151" i="4"/>
  <c r="GM193" i="4"/>
  <c r="GM188" i="4"/>
  <c r="GM199" i="4"/>
  <c r="GM208" i="4"/>
  <c r="GM252" i="4"/>
  <c r="GM138" i="4"/>
  <c r="GM27" i="4"/>
  <c r="GM143" i="4"/>
  <c r="GM167" i="4"/>
  <c r="GM16" i="4"/>
  <c r="GM71" i="4"/>
  <c r="GP210" i="4"/>
  <c r="GP361" i="4"/>
  <c r="GP118" i="4"/>
  <c r="GP196" i="4"/>
  <c r="GP127" i="4"/>
  <c r="GP65" i="4"/>
  <c r="GP116" i="4"/>
  <c r="GP83" i="4"/>
  <c r="GP77" i="4"/>
  <c r="GP155" i="4"/>
  <c r="GP55" i="4"/>
  <c r="GP114" i="4"/>
  <c r="GM336" i="4"/>
  <c r="GM294" i="4"/>
  <c r="GM293" i="4"/>
  <c r="GM170" i="4"/>
  <c r="GM211" i="4"/>
  <c r="GM361" i="4"/>
  <c r="GM295" i="4"/>
  <c r="GM235" i="4"/>
  <c r="GM61" i="4"/>
  <c r="GM68" i="4"/>
  <c r="GM57" i="4"/>
  <c r="GM43" i="4"/>
  <c r="GM19" i="4"/>
  <c r="GM166" i="4"/>
  <c r="GM289" i="4"/>
  <c r="GM179" i="4"/>
  <c r="GM77" i="4"/>
  <c r="GM50" i="4"/>
  <c r="GM88" i="4"/>
  <c r="GM18" i="4"/>
  <c r="GP249" i="4"/>
  <c r="GP70" i="4"/>
  <c r="GP13" i="4"/>
  <c r="GP40" i="4"/>
  <c r="GP158" i="4"/>
  <c r="GP420" i="4"/>
  <c r="GP179" i="4"/>
  <c r="GP108" i="4"/>
  <c r="GP68" i="4"/>
  <c r="GP121" i="4"/>
  <c r="GP58" i="4"/>
  <c r="GP42" i="4"/>
  <c r="GP28" i="4"/>
  <c r="GM297" i="4"/>
  <c r="GM203" i="4"/>
  <c r="GM228" i="4"/>
  <c r="GM20" i="4"/>
  <c r="GM210" i="4"/>
  <c r="GM218" i="4"/>
  <c r="GM298" i="4"/>
  <c r="GM246" i="4"/>
  <c r="GM84" i="4"/>
  <c r="GM92" i="4"/>
  <c r="GM53" i="4"/>
  <c r="GM90" i="4"/>
  <c r="GM28" i="4"/>
  <c r="GM157" i="4"/>
  <c r="GM108" i="4"/>
  <c r="GM36" i="4"/>
  <c r="GM155" i="4"/>
  <c r="GM91" i="4"/>
  <c r="GM89" i="4"/>
  <c r="GP251" i="4"/>
  <c r="GP130" i="4"/>
  <c r="GP166" i="4"/>
  <c r="GP47" i="4"/>
  <c r="GP206" i="4"/>
  <c r="GP139" i="4"/>
  <c r="GP52" i="4"/>
  <c r="GP33" i="4"/>
  <c r="GP30" i="4"/>
  <c r="GP126" i="4"/>
  <c r="GM217" i="4"/>
  <c r="GM186" i="4"/>
  <c r="GM296" i="4"/>
  <c r="GM237" i="4"/>
  <c r="GM112" i="4"/>
  <c r="GM251" i="4"/>
  <c r="GM185" i="4"/>
  <c r="GM268" i="4"/>
  <c r="GM73" i="4"/>
  <c r="GM265" i="4"/>
  <c r="GM23" i="4"/>
  <c r="GM58" i="4"/>
  <c r="GM32" i="4"/>
  <c r="GM24" i="4"/>
  <c r="GM172" i="4"/>
  <c r="GM49" i="4"/>
  <c r="GM136" i="4"/>
  <c r="GM30" i="4"/>
  <c r="GM42" i="4"/>
  <c r="GM114" i="4"/>
  <c r="GP120" i="4"/>
  <c r="GP60" i="4"/>
  <c r="GP256" i="4"/>
  <c r="GP82" i="4"/>
  <c r="GP94" i="4"/>
  <c r="GP67" i="4"/>
  <c r="GP71" i="4"/>
  <c r="GP181" i="4"/>
  <c r="GP62" i="4"/>
  <c r="GP53" i="4"/>
  <c r="GP21" i="4"/>
  <c r="GP89" i="4"/>
  <c r="GM215" i="4"/>
  <c r="GM239" i="4"/>
  <c r="GM205" i="4"/>
  <c r="GM299" i="4"/>
  <c r="GM329" i="4"/>
  <c r="GM231" i="4"/>
  <c r="GM301" i="4"/>
  <c r="GM187" i="4"/>
  <c r="GM306" i="4"/>
  <c r="GM142" i="4"/>
  <c r="GM33" i="4"/>
  <c r="GM46" i="4"/>
  <c r="GM29" i="4"/>
  <c r="GM209" i="4"/>
  <c r="GM40" i="4"/>
  <c r="GM80" i="4"/>
  <c r="GM206" i="4"/>
  <c r="GM63" i="4"/>
  <c r="GM31" i="4"/>
  <c r="GP209" i="4"/>
  <c r="GP236" i="4"/>
  <c r="GP100" i="4"/>
  <c r="GP250" i="4"/>
  <c r="GP37" i="4"/>
  <c r="GP16" i="4"/>
  <c r="GP157" i="4"/>
  <c r="GP182" i="4"/>
  <c r="GP17" i="4"/>
  <c r="GP59" i="4"/>
  <c r="GP91" i="4"/>
  <c r="GM286" i="4"/>
  <c r="GM39" i="4"/>
  <c r="GM308" i="4"/>
  <c r="GM154" i="4"/>
  <c r="GM99" i="4"/>
  <c r="GM149" i="4"/>
  <c r="GM134" i="4"/>
  <c r="GM164" i="4"/>
  <c r="GM307" i="4"/>
  <c r="GM176" i="4"/>
  <c r="GM253" i="4"/>
  <c r="GM10" i="4"/>
  <c r="GM313" i="4"/>
  <c r="GM320" i="4"/>
  <c r="GM72" i="4"/>
  <c r="GM82" i="4"/>
  <c r="GM94" i="4"/>
  <c r="GM196" i="4"/>
  <c r="GM67" i="4"/>
  <c r="GM47" i="4"/>
  <c r="GM126" i="4"/>
  <c r="GM86" i="4"/>
  <c r="GP98" i="4"/>
  <c r="GP111" i="4"/>
  <c r="GP43" i="4"/>
  <c r="GP171" i="4"/>
  <c r="GP49" i="4"/>
  <c r="GP136" i="4"/>
  <c r="GP86" i="4"/>
  <c r="GP200" i="4"/>
  <c r="GP227" i="4"/>
  <c r="GP107" i="4"/>
  <c r="GP32" i="4"/>
  <c r="GP19" i="4"/>
  <c r="GP57" i="4"/>
  <c r="GM132" i="4"/>
  <c r="GM56" i="4"/>
  <c r="GM227" i="4"/>
  <c r="GM261" i="4"/>
  <c r="GM44" i="4"/>
  <c r="GM192" i="4"/>
  <c r="GM150" i="4"/>
  <c r="GM184" i="4"/>
  <c r="GM183" i="4"/>
  <c r="GM117" i="4"/>
  <c r="GM266" i="4"/>
  <c r="GM106" i="4"/>
  <c r="GM128" i="4"/>
  <c r="GM131" i="4"/>
  <c r="GM171" i="4"/>
  <c r="GM264" i="4"/>
  <c r="GM141" i="4"/>
  <c r="GM13" i="4"/>
  <c r="GM17" i="4"/>
  <c r="GM26" i="4"/>
  <c r="GM116" i="4"/>
  <c r="GP289" i="4"/>
  <c r="GP97" i="4"/>
  <c r="GP212" i="4"/>
  <c r="GP142" i="4"/>
  <c r="GP131" i="4"/>
  <c r="GP27" i="4"/>
  <c r="GP109" i="4"/>
  <c r="GP63" i="4"/>
  <c r="GP22" i="4"/>
  <c r="GP264" i="4"/>
  <c r="GP69" i="4"/>
  <c r="GP140" i="4"/>
  <c r="GP90" i="4"/>
  <c r="GP46" i="4"/>
  <c r="GM328" i="4"/>
  <c r="GM101" i="4"/>
  <c r="GM256" i="4"/>
  <c r="GM109" i="4"/>
  <c r="GM173" i="4"/>
  <c r="GM78" i="4"/>
  <c r="GM100" i="4"/>
  <c r="GM300" i="4"/>
  <c r="GM118" i="4"/>
  <c r="GM60" i="4"/>
  <c r="GM124" i="4"/>
  <c r="GM115" i="4"/>
  <c r="GM93" i="4"/>
  <c r="GM83" i="4"/>
  <c r="GM55" i="4"/>
  <c r="GM22" i="4"/>
  <c r="GM34" i="4"/>
  <c r="GP235" i="4"/>
  <c r="GP106" i="4"/>
  <c r="GP153" i="4"/>
  <c r="GP80" i="4"/>
  <c r="GP93" i="4"/>
  <c r="GP48" i="4"/>
  <c r="GP137" i="4"/>
  <c r="GP35" i="4"/>
  <c r="GP31" i="4"/>
  <c r="GP36" i="4"/>
  <c r="GM254" i="4"/>
  <c r="GM260" i="4"/>
  <c r="GM238" i="4"/>
  <c r="GM158" i="4"/>
  <c r="GM198" i="4"/>
  <c r="GM213" i="4"/>
  <c r="GM133" i="4"/>
  <c r="GM207" i="4"/>
  <c r="GM121" i="4"/>
  <c r="GM98" i="4"/>
  <c r="GM79" i="4"/>
  <c r="GM236" i="4"/>
  <c r="GM232" i="4"/>
  <c r="GM139" i="4"/>
  <c r="GM48" i="4"/>
  <c r="GM21" i="4"/>
  <c r="GM15" i="4"/>
  <c r="GP133" i="4"/>
  <c r="GP259" i="4"/>
  <c r="GP272" i="4"/>
  <c r="GP253" i="4"/>
  <c r="GP149" i="4"/>
  <c r="GP124" i="4"/>
  <c r="GP172" i="4"/>
  <c r="GP50" i="4"/>
  <c r="GP15" i="4"/>
  <c r="GP26" i="4"/>
  <c r="GP87" i="4"/>
  <c r="GP207" i="4"/>
  <c r="GM216" i="4"/>
  <c r="GM119" i="4"/>
  <c r="GM95" i="4"/>
  <c r="GM52" i="4"/>
  <c r="GM291" i="4"/>
  <c r="GM273" i="4"/>
  <c r="GM250" i="4"/>
  <c r="GM280" i="4"/>
  <c r="GM147" i="4"/>
  <c r="GM200" i="4"/>
  <c r="GM51" i="4"/>
  <c r="GM181" i="4"/>
  <c r="GM168" i="4"/>
  <c r="GM127" i="4"/>
  <c r="GM65" i="4"/>
  <c r="GM97" i="4"/>
  <c r="GM59" i="4"/>
  <c r="GM420" i="4"/>
  <c r="GM272" i="4"/>
  <c r="GP168" i="4"/>
  <c r="GP24" i="4"/>
  <c r="GP99" i="4"/>
  <c r="GP232" i="4"/>
  <c r="GP169" i="4"/>
  <c r="GP81" i="4"/>
  <c r="GP95" i="4"/>
  <c r="GP25" i="4"/>
  <c r="GP92" i="4"/>
  <c r="GP11" i="4"/>
  <c r="GP10" i="4"/>
  <c r="GP66" i="4"/>
  <c r="GF186" i="4"/>
  <c r="GF302" i="4"/>
  <c r="GF210" i="4"/>
  <c r="GF208" i="4"/>
  <c r="GF228" i="4"/>
  <c r="GF306" i="4"/>
  <c r="GF84" i="4"/>
  <c r="GF256" i="4"/>
  <c r="GF149" i="4"/>
  <c r="GF21" i="4"/>
  <c r="GF11" i="4"/>
  <c r="GF33" i="4"/>
  <c r="GF30" i="4"/>
  <c r="GF214" i="4"/>
  <c r="GF209" i="4"/>
  <c r="GF232" i="4"/>
  <c r="GF179" i="4"/>
  <c r="GF16" i="4"/>
  <c r="GI155" i="4"/>
  <c r="GF297" i="4"/>
  <c r="GF39" i="4"/>
  <c r="GF292" i="4"/>
  <c r="GF251" i="4"/>
  <c r="GF361" i="4"/>
  <c r="GF295" i="4"/>
  <c r="GF120" i="4"/>
  <c r="GF320" i="4"/>
  <c r="GF265" i="4"/>
  <c r="GF261" i="4"/>
  <c r="GF289" i="4"/>
  <c r="GF10" i="4"/>
  <c r="GF227" i="4"/>
  <c r="GF235" i="4"/>
  <c r="GF237" i="4"/>
  <c r="GF153" i="4"/>
  <c r="GF97" i="4"/>
  <c r="GF206" i="4"/>
  <c r="GF81" i="4"/>
  <c r="GF15" i="4"/>
  <c r="GI34" i="4"/>
  <c r="GI29" i="4"/>
  <c r="GF217" i="4"/>
  <c r="GF132" i="4"/>
  <c r="GF151" i="4"/>
  <c r="GF236" i="4"/>
  <c r="GF246" i="4"/>
  <c r="GF298" i="4"/>
  <c r="GF88" i="4"/>
  <c r="GF142" i="4"/>
  <c r="GF119" i="4"/>
  <c r="GF158" i="4"/>
  <c r="GF20" i="4"/>
  <c r="GF87" i="4"/>
  <c r="GF95" i="4"/>
  <c r="GF52" i="4"/>
  <c r="GF196" i="4"/>
  <c r="GF38" i="4"/>
  <c r="GF182" i="4"/>
  <c r="GF420" i="4"/>
  <c r="GI42" i="4"/>
  <c r="GF215" i="4"/>
  <c r="GF336" i="4"/>
  <c r="GF218" i="4"/>
  <c r="GF134" i="4"/>
  <c r="GF268" i="4"/>
  <c r="GF307" i="4"/>
  <c r="GF253" i="4"/>
  <c r="GF101" i="4"/>
  <c r="GF106" i="4"/>
  <c r="GF98" i="4"/>
  <c r="GF72" i="4"/>
  <c r="GF207" i="4"/>
  <c r="GF168" i="4"/>
  <c r="GF131" i="4"/>
  <c r="GF63" i="4"/>
  <c r="GF67" i="4"/>
  <c r="GI13" i="4"/>
  <c r="GI23" i="4"/>
  <c r="GF286" i="4"/>
  <c r="GF225" i="4"/>
  <c r="GF173" i="4"/>
  <c r="GF44" i="4"/>
  <c r="GF185" i="4"/>
  <c r="GF272" i="4"/>
  <c r="GF176" i="4"/>
  <c r="GF143" i="4"/>
  <c r="GF117" i="4"/>
  <c r="GF193" i="4"/>
  <c r="GF71" i="4"/>
  <c r="GF141" i="4"/>
  <c r="GF51" i="4"/>
  <c r="GF140" i="4"/>
  <c r="GF121" i="4"/>
  <c r="GF125" i="4"/>
  <c r="GF40" i="4"/>
  <c r="GF166" i="4"/>
  <c r="GF50" i="4"/>
  <c r="GF308" i="4"/>
  <c r="GF328" i="4"/>
  <c r="GF266" i="4"/>
  <c r="GF316" i="4"/>
  <c r="GF301" i="4"/>
  <c r="GF128" i="4"/>
  <c r="GF183" i="4"/>
  <c r="GF264" i="4"/>
  <c r="GF317" i="4"/>
  <c r="GF294" i="4"/>
  <c r="GF86" i="4"/>
  <c r="GF83" i="4"/>
  <c r="GF200" i="4"/>
  <c r="GF181" i="4"/>
  <c r="GF70" i="4"/>
  <c r="GF79" i="4"/>
  <c r="GF82" i="4"/>
  <c r="GF157" i="4"/>
  <c r="GF170" i="4"/>
  <c r="GF169" i="4"/>
  <c r="GF155" i="4"/>
  <c r="GI19" i="4"/>
  <c r="GI17" i="4"/>
  <c r="GI15" i="4"/>
  <c r="GI11" i="4"/>
  <c r="GF254" i="4"/>
  <c r="GF73" i="4"/>
  <c r="GF188" i="4"/>
  <c r="GF192" i="4"/>
  <c r="GF164" i="4"/>
  <c r="GF118" i="4"/>
  <c r="GF238" i="4"/>
  <c r="GF77" i="4"/>
  <c r="GF139" i="4"/>
  <c r="GF107" i="4"/>
  <c r="GF127" i="4"/>
  <c r="GF171" i="4"/>
  <c r="GF49" i="4"/>
  <c r="GF99" i="4"/>
  <c r="GF48" i="4"/>
  <c r="GF172" i="4"/>
  <c r="GF116" i="4"/>
  <c r="GI30" i="4"/>
  <c r="GI21" i="4"/>
  <c r="GF216" i="4"/>
  <c r="GF187" i="4"/>
  <c r="GF291" i="4"/>
  <c r="GF78" i="4"/>
  <c r="GF150" i="4"/>
  <c r="GF108" i="4"/>
  <c r="GF213" i="4"/>
  <c r="GF115" i="4"/>
  <c r="GF260" i="4"/>
  <c r="GF59" i="4"/>
  <c r="GF25" i="4"/>
  <c r="GF137" i="4"/>
  <c r="GF43" i="4"/>
  <c r="GF130" i="4"/>
  <c r="GF124" i="4"/>
  <c r="GF80" i="4"/>
  <c r="GF133" i="4"/>
  <c r="GF35" i="4"/>
  <c r="GF31" i="4"/>
  <c r="GF136" i="4"/>
  <c r="GI28" i="4"/>
  <c r="GI22" i="4"/>
  <c r="GI66" i="4"/>
  <c r="GF321" i="4"/>
  <c r="GF342" i="4"/>
  <c r="GF314" i="4"/>
  <c r="GF100" i="4"/>
  <c r="GF184" i="4"/>
  <c r="GF147" i="4"/>
  <c r="GF296" i="4"/>
  <c r="GF293" i="4"/>
  <c r="GF126" i="4"/>
  <c r="GF69" i="4"/>
  <c r="GF138" i="4"/>
  <c r="GF53" i="4"/>
  <c r="GF37" i="4"/>
  <c r="GF96" i="4"/>
  <c r="GF29" i="4"/>
  <c r="GI90" i="4"/>
  <c r="GF358" i="4"/>
  <c r="GF273" i="4"/>
  <c r="GF300" i="4"/>
  <c r="GF255" i="4"/>
  <c r="GF313" i="4"/>
  <c r="GF299" i="4"/>
  <c r="GF89" i="4"/>
  <c r="GF26" i="4"/>
  <c r="GF68" i="4"/>
  <c r="GF58" i="4"/>
  <c r="GF57" i="4"/>
  <c r="GF24" i="4"/>
  <c r="GF27" i="4"/>
  <c r="GF65" i="4"/>
  <c r="GF42" i="4"/>
  <c r="GF94" i="4"/>
  <c r="GF167" i="4"/>
  <c r="GF47" i="4"/>
  <c r="GF203" i="4"/>
  <c r="GF199" i="4"/>
  <c r="GF212" i="4"/>
  <c r="GF250" i="4"/>
  <c r="GF198" i="4"/>
  <c r="GF249" i="4"/>
  <c r="GF252" i="4"/>
  <c r="GF154" i="4"/>
  <c r="GF66" i="4"/>
  <c r="GF91" i="4"/>
  <c r="GF92" i="4"/>
  <c r="GF46" i="4"/>
  <c r="GF90" i="4"/>
  <c r="GF34" i="4"/>
  <c r="GF19" i="4"/>
  <c r="GF112" i="4"/>
  <c r="GF17" i="4"/>
  <c r="GF54" i="4"/>
  <c r="GF211" i="4"/>
  <c r="GF259" i="4"/>
  <c r="GF111" i="4"/>
  <c r="GF280" i="4"/>
  <c r="GF60" i="4"/>
  <c r="GF61" i="4"/>
  <c r="GF56" i="4"/>
  <c r="GF329" i="4"/>
  <c r="GF55" i="4"/>
  <c r="GF62" i="4"/>
  <c r="GF23" i="4"/>
  <c r="GF36" i="4"/>
  <c r="GF32" i="4"/>
  <c r="GF13" i="4"/>
  <c r="GF28" i="4"/>
  <c r="GF109" i="4"/>
  <c r="GF93" i="4"/>
  <c r="GF18" i="4"/>
  <c r="GF114" i="4"/>
  <c r="GI18" i="4"/>
  <c r="GI62" i="4"/>
  <c r="GI16" i="4"/>
  <c r="GI65" i="4"/>
  <c r="GI33" i="4"/>
  <c r="GI36" i="4"/>
  <c r="GI31" i="4"/>
  <c r="GI32" i="4"/>
  <c r="GI114" i="4"/>
  <c r="GI55" i="4"/>
  <c r="GI10" i="4"/>
  <c r="GF22" i="4"/>
  <c r="GI35" i="4"/>
  <c r="DG322" i="4"/>
  <c r="EY170" i="4"/>
  <c r="EY44" i="4"/>
  <c r="EY302" i="4"/>
  <c r="EY264" i="4"/>
  <c r="EY306" i="4"/>
  <c r="GB217" i="4"/>
  <c r="GB91" i="4"/>
  <c r="GB111" i="4"/>
  <c r="GP199" i="4"/>
  <c r="GP260" i="4"/>
  <c r="GP299" i="4"/>
  <c r="DG302" i="4"/>
  <c r="FY215" i="4"/>
  <c r="GP101" i="4"/>
  <c r="FY231" i="4"/>
  <c r="GP193" i="4"/>
  <c r="FY217" i="4"/>
  <c r="FY266" i="4"/>
  <c r="GB172" i="4"/>
  <c r="GP302" i="4"/>
  <c r="FD254" i="4"/>
  <c r="GA164" i="4"/>
  <c r="GA235" i="4"/>
  <c r="GA207" i="4"/>
  <c r="GA46" i="4"/>
  <c r="GA37" i="4"/>
  <c r="GA40" i="4"/>
  <c r="GA255" i="4"/>
  <c r="GA119" i="4"/>
  <c r="GA27" i="4"/>
  <c r="GA210" i="4"/>
  <c r="GA250" i="4"/>
  <c r="GA249" i="4"/>
  <c r="GA153" i="4"/>
  <c r="GA158" i="4"/>
  <c r="GA261" i="4"/>
  <c r="GA43" i="4"/>
  <c r="GA251" i="4"/>
  <c r="GA111" i="4"/>
  <c r="GA60" i="4"/>
  <c r="GA87" i="4"/>
  <c r="GA86" i="4"/>
  <c r="GA169" i="4"/>
  <c r="GA83" i="4"/>
  <c r="GA95" i="4"/>
  <c r="GA125" i="4"/>
  <c r="GA236" i="4"/>
  <c r="GA96" i="4"/>
  <c r="GA98" i="4"/>
  <c r="GA52" i="4"/>
  <c r="GA109" i="4"/>
  <c r="GA63" i="4"/>
  <c r="GA141" i="4"/>
  <c r="GA77" i="4"/>
  <c r="GA121" i="4"/>
  <c r="GA168" i="4"/>
  <c r="GA97" i="4"/>
  <c r="GA94" i="4"/>
  <c r="GA115" i="4"/>
  <c r="GA131" i="4"/>
  <c r="GA166" i="4"/>
  <c r="GA50" i="4"/>
  <c r="GA179" i="4"/>
  <c r="GA139" i="4"/>
  <c r="GA25" i="4"/>
  <c r="GA200" i="4"/>
  <c r="GA227" i="4"/>
  <c r="GA38" i="4"/>
  <c r="GA128" i="4"/>
  <c r="GA82" i="4"/>
  <c r="GA157" i="4"/>
  <c r="GA54" i="4"/>
  <c r="GA93" i="4"/>
  <c r="GA126" i="4"/>
  <c r="GA59" i="4"/>
  <c r="GA138" i="4"/>
  <c r="GA167" i="4"/>
  <c r="GA106" i="4"/>
  <c r="GA208" i="4"/>
  <c r="GA118" i="4"/>
  <c r="GA72" i="4"/>
  <c r="GA171" i="4"/>
  <c r="GA49" i="4"/>
  <c r="GA116" i="4"/>
  <c r="GA232" i="4"/>
  <c r="GA136" i="4"/>
  <c r="GA89" i="4"/>
  <c r="GA69" i="4"/>
  <c r="GA68" i="4"/>
  <c r="GA181" i="4"/>
  <c r="GA140" i="4"/>
  <c r="GA24" i="4"/>
  <c r="GA361" i="4"/>
  <c r="GA108" i="4"/>
  <c r="GA51" i="4"/>
  <c r="GA124" i="4"/>
  <c r="GA80" i="4"/>
  <c r="GA47" i="4"/>
  <c r="GA48" i="4"/>
  <c r="GA26" i="4"/>
  <c r="GA92" i="4"/>
  <c r="GA107" i="4"/>
  <c r="GA71" i="4"/>
  <c r="GA209" i="4"/>
  <c r="GA172" i="4"/>
  <c r="GA253" i="4"/>
  <c r="GA420" i="4"/>
  <c r="GA81" i="4"/>
  <c r="GA91" i="4"/>
  <c r="GA53" i="4"/>
  <c r="GA137" i="4"/>
  <c r="GA79" i="4"/>
  <c r="GA70" i="4"/>
  <c r="GA289" i="4"/>
  <c r="GA206" i="4"/>
  <c r="GA120" i="4"/>
  <c r="GA117" i="4"/>
  <c r="GA67" i="4"/>
  <c r="GA58" i="4"/>
  <c r="GA127" i="4"/>
  <c r="GA133" i="4"/>
  <c r="GA182" i="4"/>
  <c r="GA196" i="4"/>
  <c r="GB57" i="4"/>
  <c r="GA57" i="4"/>
  <c r="GA130" i="4"/>
  <c r="EY111" i="4"/>
  <c r="EY72" i="4"/>
  <c r="EY294" i="4"/>
  <c r="FD154" i="4"/>
  <c r="GB93" i="4"/>
  <c r="GI44" i="4"/>
  <c r="GH316" i="4"/>
  <c r="GI187" i="4"/>
  <c r="GH297" i="4"/>
  <c r="GH301" i="4"/>
  <c r="GH111" i="4"/>
  <c r="GI280" i="4"/>
  <c r="GI203" i="4"/>
  <c r="GI147" i="4"/>
  <c r="GI320" i="4"/>
  <c r="GI115" i="4"/>
  <c r="GI252" i="4"/>
  <c r="GI117" i="4"/>
  <c r="GI154" i="4"/>
  <c r="GH317" i="4"/>
  <c r="GH256" i="4"/>
  <c r="GH193" i="4"/>
  <c r="GH227" i="4"/>
  <c r="GI112" i="4"/>
  <c r="GH170" i="4"/>
  <c r="GH211" i="4"/>
  <c r="GH200" i="4"/>
  <c r="GI181" i="4"/>
  <c r="GH107" i="4"/>
  <c r="GH192" i="4"/>
  <c r="GI171" i="4"/>
  <c r="GI157" i="4"/>
  <c r="GH361" i="4"/>
  <c r="GH49" i="4"/>
  <c r="GH116" i="4"/>
  <c r="GI172" i="4"/>
  <c r="GI48" i="4"/>
  <c r="GH167" i="4"/>
  <c r="GI83" i="4"/>
  <c r="GH26" i="4"/>
  <c r="GH98" i="4"/>
  <c r="GH48" i="4"/>
  <c r="GH260" i="4"/>
  <c r="GI205" i="4"/>
  <c r="GH308" i="4"/>
  <c r="GI254" i="4"/>
  <c r="GI298" i="4"/>
  <c r="GI228" i="4"/>
  <c r="GH268" i="4"/>
  <c r="GH151" i="4"/>
  <c r="GI255" i="4"/>
  <c r="GH176" i="4"/>
  <c r="GH249" i="4"/>
  <c r="GH88" i="4"/>
  <c r="GH84" i="4"/>
  <c r="GH266" i="4"/>
  <c r="GI99" i="4"/>
  <c r="GI293" i="4"/>
  <c r="GH329" i="4"/>
  <c r="GI297" i="4"/>
  <c r="GI259" i="4"/>
  <c r="GI130" i="4"/>
  <c r="GI199" i="4"/>
  <c r="GH127" i="4"/>
  <c r="GI164" i="4"/>
  <c r="GI49" i="4"/>
  <c r="GI116" i="4"/>
  <c r="GI96" i="4"/>
  <c r="GI420" i="4"/>
  <c r="GH96" i="4"/>
  <c r="GH420" i="4"/>
  <c r="GI86" i="4"/>
  <c r="GH86" i="4"/>
  <c r="GI138" i="4"/>
  <c r="GI316" i="4"/>
  <c r="GI317" i="4"/>
  <c r="GH217" i="4"/>
  <c r="GH164" i="4"/>
  <c r="GH134" i="4"/>
  <c r="GH120" i="4"/>
  <c r="GI88" i="4"/>
  <c r="GI61" i="4"/>
  <c r="GI196" i="4"/>
  <c r="GI56" i="4"/>
  <c r="GH216" i="4"/>
  <c r="GH294" i="4"/>
  <c r="GH109" i="4"/>
  <c r="GI188" i="4"/>
  <c r="GH210" i="4"/>
  <c r="GI107" i="4"/>
  <c r="GH20" i="4"/>
  <c r="GH137" i="4"/>
  <c r="GI251" i="4"/>
  <c r="GH43" i="4"/>
  <c r="GH130" i="4"/>
  <c r="GI361" i="4"/>
  <c r="GH124" i="4"/>
  <c r="GH97" i="4"/>
  <c r="GH80" i="4"/>
  <c r="GH206" i="4"/>
  <c r="GH47" i="4"/>
  <c r="GI169" i="4"/>
  <c r="GI81" i="4"/>
  <c r="GH179" i="4"/>
  <c r="GI139" i="4"/>
  <c r="GH69" i="4"/>
  <c r="GI260" i="4"/>
  <c r="GI308" i="4"/>
  <c r="GI216" i="4"/>
  <c r="GI268" i="4"/>
  <c r="GI151" i="4"/>
  <c r="GH272" i="4"/>
  <c r="GH184" i="4"/>
  <c r="GI249" i="4"/>
  <c r="GH183" i="4"/>
  <c r="GH60" i="4"/>
  <c r="GH265" i="4"/>
  <c r="GI193" i="4"/>
  <c r="GI227" i="4"/>
  <c r="GH149" i="4"/>
  <c r="GI192" i="4"/>
  <c r="GI208" i="4"/>
  <c r="GI43" i="4"/>
  <c r="GI52" i="4"/>
  <c r="GI37" i="4"/>
  <c r="GH251" i="4"/>
  <c r="GI124" i="4"/>
  <c r="GH236" i="4"/>
  <c r="GI80" i="4"/>
  <c r="GI206" i="4"/>
  <c r="GI47" i="4"/>
  <c r="GI94" i="4"/>
  <c r="GI67" i="4"/>
  <c r="GH94" i="4"/>
  <c r="GH67" i="4"/>
  <c r="GI77" i="4"/>
  <c r="GH77" i="4"/>
  <c r="GH218" i="4"/>
  <c r="GI313" i="4"/>
  <c r="GH215" i="4"/>
  <c r="GH150" i="4"/>
  <c r="GH128" i="4"/>
  <c r="GI176" i="4"/>
  <c r="GI72" i="4"/>
  <c r="GI84" i="4"/>
  <c r="GI322" i="4"/>
  <c r="GI256" i="4"/>
  <c r="GH296" i="4"/>
  <c r="GH119" i="4"/>
  <c r="GH291" i="4"/>
  <c r="GH78" i="4"/>
  <c r="GH25" i="4"/>
  <c r="GI137" i="4"/>
  <c r="GH87" i="4"/>
  <c r="GH95" i="4"/>
  <c r="GI236" i="4"/>
  <c r="GH37" i="4"/>
  <c r="GI97" i="4"/>
  <c r="GH38" i="4"/>
  <c r="GH182" i="4"/>
  <c r="GI167" i="4"/>
  <c r="GI59" i="4"/>
  <c r="GH273" i="4"/>
  <c r="GI200" i="4"/>
  <c r="GI25" i="4"/>
  <c r="GI51" i="4"/>
  <c r="GH186" i="4"/>
  <c r="GH239" i="4"/>
  <c r="GH342" i="4"/>
  <c r="GH101" i="4"/>
  <c r="GI321" i="4"/>
  <c r="GI272" i="4"/>
  <c r="GH336" i="4"/>
  <c r="GI120" i="4"/>
  <c r="GH300" i="4"/>
  <c r="GI60" i="4"/>
  <c r="GH143" i="4"/>
  <c r="GH313" i="4"/>
  <c r="GH142" i="4"/>
  <c r="GI294" i="4"/>
  <c r="GI109" i="4"/>
  <c r="GH328" i="4"/>
  <c r="GH261" i="4"/>
  <c r="GI78" i="4"/>
  <c r="GI210" i="4"/>
  <c r="GH212" i="4"/>
  <c r="GH53" i="4"/>
  <c r="GI95" i="4"/>
  <c r="GI131" i="4"/>
  <c r="GI27" i="4"/>
  <c r="GH52" i="4"/>
  <c r="GI182" i="4"/>
  <c r="GH139" i="4"/>
  <c r="GI126" i="4"/>
  <c r="GI89" i="4"/>
  <c r="GH59" i="4"/>
  <c r="GH231" i="4"/>
  <c r="GI225" i="4"/>
  <c r="GI218" i="4"/>
  <c r="GH173" i="4"/>
  <c r="GI306" i="4"/>
  <c r="GH286" i="4"/>
  <c r="GH100" i="4"/>
  <c r="GI186" i="4"/>
  <c r="GH118" i="4"/>
  <c r="GI183" i="4"/>
  <c r="GH235" i="4"/>
  <c r="GI143" i="4"/>
  <c r="GI342" i="4"/>
  <c r="GI265" i="4"/>
  <c r="GH73" i="4"/>
  <c r="GH299" i="4"/>
  <c r="GH153" i="4"/>
  <c r="GH237" i="4"/>
  <c r="GI215" i="4"/>
  <c r="GI209" i="4"/>
  <c r="GH314" i="4"/>
  <c r="GH289" i="4"/>
  <c r="GH138" i="4"/>
  <c r="GI87" i="4"/>
  <c r="GH57" i="4"/>
  <c r="GH168" i="4"/>
  <c r="GH24" i="4"/>
  <c r="GH27" i="4"/>
  <c r="GI38" i="4"/>
  <c r="GH63" i="4"/>
  <c r="GI179" i="4"/>
  <c r="GI100" i="4"/>
  <c r="GI185" i="4"/>
  <c r="GI69" i="4"/>
  <c r="GI92" i="4"/>
  <c r="GI239" i="4"/>
  <c r="GH39" i="4"/>
  <c r="GI101" i="4"/>
  <c r="GH238" i="4"/>
  <c r="GI134" i="4"/>
  <c r="GI128" i="4"/>
  <c r="GI184" i="4"/>
  <c r="GH198" i="4"/>
  <c r="GI302" i="4"/>
  <c r="GH213" i="4"/>
  <c r="GH302" i="4"/>
  <c r="GH264" i="4"/>
  <c r="GH321" i="4"/>
  <c r="GH253" i="4"/>
  <c r="GI158" i="4"/>
  <c r="GI329" i="4"/>
  <c r="GH293" i="4"/>
  <c r="GH158" i="4"/>
  <c r="GI53" i="4"/>
  <c r="GH207" i="4"/>
  <c r="GH58" i="4"/>
  <c r="GI168" i="4"/>
  <c r="GI24" i="4"/>
  <c r="GH131" i="4"/>
  <c r="GH40" i="4"/>
  <c r="GI63" i="4"/>
  <c r="GI93" i="4"/>
  <c r="GH93" i="4"/>
  <c r="GH208" i="4"/>
  <c r="GH126" i="4"/>
  <c r="GH141" i="4"/>
  <c r="GH83" i="4"/>
  <c r="GI231" i="4"/>
  <c r="GH246" i="4"/>
  <c r="GI266" i="4"/>
  <c r="GI173" i="4"/>
  <c r="GH214" i="4"/>
  <c r="GI307" i="4"/>
  <c r="GH295" i="4"/>
  <c r="GH108" i="4"/>
  <c r="GI264" i="4"/>
  <c r="GI358" i="4"/>
  <c r="GI142" i="4"/>
  <c r="GI296" i="4"/>
  <c r="GI119" i="4"/>
  <c r="GH154" i="4"/>
  <c r="GI170" i="4"/>
  <c r="GI289" i="4"/>
  <c r="GH72" i="4"/>
  <c r="GH68" i="4"/>
  <c r="GI57" i="4"/>
  <c r="GH121" i="4"/>
  <c r="GH125" i="4"/>
  <c r="GI40" i="4"/>
  <c r="GH166" i="4"/>
  <c r="GH188" i="4"/>
  <c r="GH50" i="4"/>
  <c r="GI301" i="4"/>
  <c r="GH172" i="4"/>
  <c r="GI98" i="4"/>
  <c r="GI26" i="4"/>
  <c r="GH81" i="4"/>
  <c r="GI68" i="4"/>
  <c r="GH322" i="4"/>
  <c r="GI39" i="4"/>
  <c r="GH132" i="4"/>
  <c r="GH203" i="4"/>
  <c r="GI238" i="4"/>
  <c r="GI336" i="4"/>
  <c r="GI118" i="4"/>
  <c r="GI300" i="4"/>
  <c r="GI235" i="4"/>
  <c r="GH280" i="4"/>
  <c r="GH292" i="4"/>
  <c r="GH147" i="4"/>
  <c r="GH306" i="4"/>
  <c r="GH252" i="4"/>
  <c r="GH117" i="4"/>
  <c r="GI237" i="4"/>
  <c r="GH225" i="4"/>
  <c r="GI149" i="4"/>
  <c r="GI273" i="4"/>
  <c r="GI207" i="4"/>
  <c r="GI58" i="4"/>
  <c r="GH140" i="4"/>
  <c r="GH46" i="4"/>
  <c r="GI125" i="4"/>
  <c r="GI79" i="4"/>
  <c r="GH82" i="4"/>
  <c r="GI50" i="4"/>
  <c r="GI150" i="4"/>
  <c r="GI232" i="4"/>
  <c r="GH112" i="4"/>
  <c r="GH232" i="4"/>
  <c r="GI106" i="4"/>
  <c r="GH106" i="4"/>
  <c r="GH89" i="4"/>
  <c r="GI246" i="4"/>
  <c r="GH44" i="4"/>
  <c r="GI73" i="4"/>
  <c r="GI214" i="4"/>
  <c r="GH185" i="4"/>
  <c r="GH250" i="4"/>
  <c r="GH298" i="4"/>
  <c r="GH228" i="4"/>
  <c r="GI213" i="4"/>
  <c r="GH187" i="4"/>
  <c r="GI253" i="4"/>
  <c r="GI299" i="4"/>
  <c r="GI153" i="4"/>
  <c r="GH56" i="4"/>
  <c r="GH254" i="4"/>
  <c r="GH99" i="4"/>
  <c r="GI20" i="4"/>
  <c r="GI217" i="4"/>
  <c r="GH199" i="4"/>
  <c r="GH51" i="4"/>
  <c r="GH92" i="4"/>
  <c r="GI121" i="4"/>
  <c r="GH181" i="4"/>
  <c r="GH70" i="4"/>
  <c r="GI82" i="4"/>
  <c r="GI166" i="4"/>
  <c r="GI211" i="4"/>
  <c r="GH157" i="4"/>
  <c r="GH259" i="4"/>
  <c r="GH54" i="4"/>
  <c r="GI250" i="4"/>
  <c r="GI136" i="4"/>
  <c r="GH169" i="4"/>
  <c r="GI141" i="4"/>
  <c r="GI91" i="4"/>
  <c r="GH91" i="4"/>
  <c r="GH358" i="4"/>
  <c r="GI132" i="4"/>
  <c r="GH205" i="4"/>
  <c r="GI328" i="4"/>
  <c r="GI295" i="4"/>
  <c r="GI108" i="4"/>
  <c r="GI198" i="4"/>
  <c r="GI292" i="4"/>
  <c r="GH307" i="4"/>
  <c r="GH255" i="4"/>
  <c r="GH320" i="4"/>
  <c r="GH115" i="4"/>
  <c r="GH61" i="4"/>
  <c r="GH196" i="4"/>
  <c r="GI286" i="4"/>
  <c r="GI261" i="4"/>
  <c r="GI291" i="4"/>
  <c r="GI212" i="4"/>
  <c r="GI140" i="4"/>
  <c r="GI46" i="4"/>
  <c r="GI70" i="4"/>
  <c r="GI127" i="4"/>
  <c r="GH79" i="4"/>
  <c r="GI314" i="4"/>
  <c r="GH171" i="4"/>
  <c r="GH209" i="4"/>
  <c r="GI54" i="4"/>
  <c r="GI133" i="4"/>
  <c r="GH133" i="4"/>
  <c r="GI71" i="4"/>
  <c r="GH71" i="4"/>
  <c r="GI111" i="4"/>
  <c r="GH136" i="4"/>
  <c r="GB51" i="4"/>
  <c r="CL188" i="4"/>
  <c r="EY79" i="4"/>
  <c r="EY196" i="4"/>
  <c r="EY272" i="4"/>
  <c r="EY321" i="4"/>
  <c r="EY291" i="4"/>
  <c r="EY252" i="4"/>
  <c r="EY215" i="4"/>
  <c r="FD164" i="4"/>
  <c r="FD184" i="4"/>
  <c r="GB169" i="4"/>
  <c r="GB92" i="4"/>
  <c r="CL217" i="4"/>
  <c r="EY140" i="4"/>
  <c r="EY94" i="4"/>
  <c r="EY167" i="4"/>
  <c r="GB24" i="4"/>
  <c r="GA272" i="4"/>
  <c r="GB237" i="4"/>
  <c r="CL132" i="4"/>
  <c r="EY61" i="4"/>
  <c r="FY246" i="4"/>
  <c r="GB131" i="4"/>
  <c r="GB264" i="4"/>
  <c r="GB95" i="4"/>
  <c r="GA213" i="4"/>
  <c r="CL297" i="4"/>
  <c r="EY199" i="4"/>
  <c r="FT225" i="4"/>
  <c r="FY73" i="4"/>
  <c r="GA268" i="4"/>
  <c r="GB117" i="4"/>
  <c r="EY164" i="4"/>
  <c r="EY209" i="4"/>
  <c r="FT205" i="4"/>
  <c r="FY205" i="4"/>
  <c r="GB250" i="4"/>
  <c r="GB143" i="4"/>
  <c r="GA56" i="4"/>
  <c r="GB361" i="4"/>
  <c r="GB134" i="4"/>
  <c r="GB231" i="4"/>
  <c r="GA101" i="4"/>
  <c r="GB39" i="4"/>
  <c r="FD151" i="4"/>
  <c r="FD252" i="4"/>
  <c r="FD193" i="4"/>
  <c r="FD307" i="4"/>
  <c r="FU266" i="4"/>
  <c r="FU254" i="4"/>
  <c r="FR173" i="4"/>
  <c r="FT228" i="4"/>
  <c r="FR266" i="4"/>
  <c r="FR316" i="4"/>
  <c r="FR342" i="4"/>
  <c r="GB218" i="4"/>
  <c r="GA198" i="4"/>
  <c r="GA328" i="4"/>
  <c r="GB358" i="4"/>
  <c r="GB328" i="4"/>
  <c r="GA296" i="4"/>
  <c r="FY203" i="4"/>
  <c r="FY39" i="4"/>
  <c r="FY228" i="4"/>
  <c r="FY302" i="4"/>
  <c r="GA322" i="4"/>
  <c r="GB295" i="4"/>
  <c r="FT154" i="4"/>
  <c r="GB246" i="4"/>
  <c r="GA192" i="4"/>
  <c r="GB132" i="4"/>
  <c r="GA314" i="4"/>
  <c r="FD215" i="4"/>
  <c r="FD293" i="4"/>
  <c r="FU218" i="4"/>
  <c r="FR358" i="4"/>
  <c r="GB306" i="4"/>
  <c r="GA239" i="4"/>
  <c r="GB193" i="4"/>
  <c r="GB239" i="4"/>
  <c r="GA246" i="4"/>
  <c r="FY328" i="4"/>
  <c r="GA132" i="4"/>
  <c r="GB198" i="4"/>
  <c r="FY254" i="4"/>
  <c r="GB73" i="4"/>
  <c r="GA301" i="4"/>
  <c r="FY216" i="4"/>
  <c r="FD192" i="4"/>
  <c r="FD238" i="4"/>
  <c r="FD217" i="4"/>
  <c r="FD260" i="4"/>
  <c r="FU203" i="4"/>
  <c r="FR216" i="4"/>
  <c r="GA307" i="4"/>
  <c r="GA88" i="4"/>
  <c r="GB215" i="4"/>
  <c r="GA39" i="4"/>
  <c r="GB266" i="4"/>
  <c r="GA185" i="4"/>
  <c r="FY316" i="4"/>
  <c r="GA188" i="4"/>
  <c r="GA187" i="4"/>
  <c r="FY239" i="4"/>
  <c r="GB308" i="4"/>
  <c r="GB297" i="4"/>
  <c r="FD299" i="4"/>
  <c r="FD358" i="4"/>
  <c r="FD134" i="4"/>
  <c r="FD246" i="4"/>
  <c r="FD302" i="4"/>
  <c r="FR306" i="4"/>
  <c r="FU231" i="4"/>
  <c r="FR225" i="4"/>
  <c r="FR39" i="4"/>
  <c r="FR254" i="4"/>
  <c r="FU313" i="4"/>
  <c r="FR317" i="4"/>
  <c r="GB322" i="4"/>
  <c r="GB154" i="4"/>
  <c r="GA203" i="4"/>
  <c r="GB320" i="4"/>
  <c r="GB203" i="4"/>
  <c r="GB300" i="4"/>
  <c r="FY44" i="4"/>
  <c r="GA73" i="4"/>
  <c r="GA298" i="4"/>
  <c r="FY151" i="4"/>
  <c r="GB205" i="4"/>
  <c r="GA293" i="4"/>
  <c r="FY342" i="4"/>
  <c r="GA184" i="4"/>
  <c r="FD225" i="4"/>
  <c r="FD132" i="4"/>
  <c r="FD218" i="4"/>
  <c r="FD203" i="4"/>
  <c r="FU39" i="4"/>
  <c r="FR214" i="4"/>
  <c r="FU44" i="4"/>
  <c r="FR73" i="4"/>
  <c r="GB314" i="4"/>
  <c r="GB170" i="4"/>
  <c r="GB238" i="4"/>
  <c r="GA308" i="4"/>
  <c r="FY101" i="4"/>
  <c r="GB317" i="4"/>
  <c r="GB151" i="4"/>
  <c r="GA252" i="4"/>
  <c r="GB183" i="4"/>
  <c r="GA44" i="4"/>
  <c r="FD101" i="4"/>
  <c r="FD186" i="4"/>
  <c r="FD306" i="4"/>
  <c r="FD342" i="4"/>
  <c r="FD20" i="4"/>
  <c r="FR217" i="4"/>
  <c r="FU342" i="4"/>
  <c r="FR308" i="4"/>
  <c r="FU306" i="4"/>
  <c r="GB260" i="4"/>
  <c r="GA205" i="4"/>
  <c r="FY308" i="4"/>
  <c r="GA183" i="4"/>
  <c r="GB293" i="4"/>
  <c r="GB292" i="4"/>
  <c r="GA313" i="4"/>
  <c r="GA336" i="4"/>
  <c r="GA154" i="4"/>
  <c r="FY322" i="4"/>
  <c r="GA342" i="4"/>
  <c r="GA294" i="4"/>
  <c r="FD228" i="4"/>
  <c r="FD187" i="4"/>
  <c r="FD297" i="4"/>
  <c r="FD301" i="4"/>
  <c r="FD292" i="4"/>
  <c r="FR297" i="4"/>
  <c r="FR44" i="4"/>
  <c r="FU246" i="4"/>
  <c r="FR134" i="4"/>
  <c r="GB342" i="4"/>
  <c r="GA225" i="4"/>
  <c r="GA302" i="4"/>
  <c r="GA231" i="4"/>
  <c r="GB302" i="4"/>
  <c r="GB88" i="4"/>
  <c r="GA317" i="4"/>
  <c r="GA193" i="4"/>
  <c r="GA151" i="4"/>
  <c r="GB321" i="4"/>
  <c r="GB188" i="4"/>
  <c r="GA215" i="4"/>
  <c r="FY132" i="4"/>
  <c r="GB252" i="4"/>
  <c r="EY254" i="4"/>
  <c r="EY134" i="4"/>
  <c r="EY141" i="4"/>
  <c r="EY184" i="4"/>
  <c r="EY25" i="4"/>
  <c r="FD183" i="4"/>
  <c r="FD84" i="4"/>
  <c r="FD317" i="4"/>
  <c r="FD231" i="4"/>
  <c r="FD280" i="4"/>
  <c r="FR246" i="4"/>
  <c r="FR218" i="4"/>
  <c r="FU132" i="4"/>
  <c r="FU73" i="4"/>
  <c r="GB173" i="4"/>
  <c r="GB254" i="4"/>
  <c r="GA254" i="4"/>
  <c r="GB225" i="4"/>
  <c r="GA292" i="4"/>
  <c r="GA297" i="4"/>
  <c r="GA321" i="4"/>
  <c r="GA299" i="4"/>
  <c r="GB186" i="4"/>
  <c r="GB296" i="4"/>
  <c r="GA291" i="4"/>
  <c r="GB299" i="4"/>
  <c r="GA320" i="4"/>
  <c r="GA316" i="4"/>
  <c r="GB187" i="4"/>
  <c r="GA218" i="4"/>
  <c r="GA306" i="4"/>
  <c r="GA78" i="4"/>
  <c r="GA300" i="4"/>
  <c r="GB44" i="4"/>
  <c r="GB313" i="4"/>
  <c r="GB291" i="4"/>
  <c r="GB78" i="4"/>
  <c r="FD336" i="4"/>
  <c r="FD88" i="4"/>
  <c r="FD188" i="4"/>
  <c r="FD294" i="4"/>
  <c r="FD170" i="4"/>
  <c r="FR203" i="4"/>
  <c r="FR302" i="4"/>
  <c r="FR292" i="4"/>
  <c r="FU239" i="4"/>
  <c r="FR132" i="4"/>
  <c r="GB101" i="4"/>
  <c r="GA214" i="4"/>
  <c r="GA260" i="4"/>
  <c r="GA266" i="4"/>
  <c r="GA295" i="4"/>
  <c r="GA216" i="4"/>
  <c r="GB20" i="4"/>
  <c r="GA228" i="4"/>
  <c r="FY317" i="4"/>
  <c r="GB301" i="4"/>
  <c r="FY134" i="4"/>
  <c r="GB336" i="4"/>
  <c r="GA61" i="4"/>
  <c r="FD39" i="4"/>
  <c r="FD176" i="4"/>
  <c r="FD61" i="4"/>
  <c r="FD295" i="4"/>
  <c r="FD313" i="4"/>
  <c r="FD291" i="4"/>
  <c r="FR313" i="4"/>
  <c r="FU101" i="4"/>
  <c r="FU216" i="4"/>
  <c r="FU173" i="4"/>
  <c r="FU215" i="4"/>
  <c r="FU214" i="4"/>
  <c r="FR101" i="4"/>
  <c r="GA238" i="4"/>
  <c r="GB61" i="4"/>
  <c r="GB307" i="4"/>
  <c r="GB216" i="4"/>
  <c r="GB214" i="4"/>
  <c r="GB294" i="4"/>
  <c r="GB286" i="4"/>
  <c r="GB192" i="4"/>
  <c r="GB298" i="4"/>
  <c r="GB316" i="4"/>
  <c r="GA286" i="4"/>
  <c r="FD308" i="4"/>
  <c r="FD320" i="4"/>
  <c r="FD73" i="4"/>
  <c r="FD300" i="4"/>
  <c r="FD185" i="4"/>
  <c r="FD173" i="4"/>
  <c r="FD314" i="4"/>
  <c r="FU134" i="4"/>
  <c r="FR215" i="4"/>
  <c r="FU292" i="4"/>
  <c r="FR328" i="4"/>
  <c r="FU316" i="4"/>
  <c r="GB228" i="4"/>
  <c r="GA176" i="4"/>
  <c r="GA134" i="4"/>
  <c r="GB185" i="4"/>
  <c r="GA358" i="4"/>
  <c r="GA170" i="4"/>
  <c r="GA217" i="4"/>
  <c r="FY358" i="4"/>
  <c r="FR231" i="4"/>
  <c r="EY237" i="4"/>
  <c r="EY322" i="4"/>
  <c r="EY139" i="4"/>
  <c r="EY154" i="4"/>
  <c r="EY183" i="4"/>
  <c r="EY166" i="4"/>
  <c r="EY314" i="4"/>
  <c r="EY218" i="4"/>
  <c r="FT134" i="4"/>
  <c r="FT39" i="4"/>
  <c r="EY259" i="4"/>
  <c r="EZ166" i="4"/>
  <c r="EY97" i="4"/>
  <c r="EY60" i="4"/>
  <c r="EY214" i="4"/>
  <c r="EY143" i="4"/>
  <c r="EY149" i="4"/>
  <c r="EY231" i="4"/>
  <c r="EY99" i="4"/>
  <c r="EY289" i="4"/>
  <c r="EY295" i="4"/>
  <c r="EY328" i="4"/>
  <c r="FT308" i="4"/>
  <c r="FT328" i="4"/>
  <c r="DG231" i="4"/>
  <c r="EY280" i="4"/>
  <c r="EY52" i="4"/>
  <c r="EY40" i="4"/>
  <c r="EY256" i="4"/>
  <c r="EY216" i="4"/>
  <c r="EY51" i="4"/>
  <c r="EY205" i="4"/>
  <c r="EY265" i="4"/>
  <c r="EY39" i="4"/>
  <c r="EY206" i="4"/>
  <c r="EY108" i="4"/>
  <c r="EY336" i="4"/>
  <c r="EY298" i="4"/>
  <c r="FU225" i="4"/>
  <c r="FU228" i="4"/>
  <c r="EY88" i="4"/>
  <c r="EY301" i="4"/>
  <c r="EY286" i="4"/>
  <c r="EY255" i="4"/>
  <c r="EY329" i="4"/>
  <c r="EY78" i="4"/>
  <c r="EY292" i="4"/>
  <c r="EY179" i="4"/>
  <c r="EY342" i="4"/>
  <c r="EY300" i="4"/>
  <c r="EY235" i="4"/>
  <c r="EY20" i="4"/>
  <c r="EY172" i="4"/>
  <c r="FT342" i="4"/>
  <c r="FU297" i="4"/>
  <c r="FU322" i="4"/>
  <c r="FT218" i="4"/>
  <c r="FU328" i="4"/>
  <c r="EY208" i="4"/>
  <c r="EY127" i="4"/>
  <c r="EY131" i="4"/>
  <c r="EZ313" i="4"/>
  <c r="EY182" i="4"/>
  <c r="EY150" i="4"/>
  <c r="EY188" i="4"/>
  <c r="EY86" i="4"/>
  <c r="EY317" i="4"/>
  <c r="EY186" i="4"/>
  <c r="EY212" i="4"/>
  <c r="EY142" i="4"/>
  <c r="FT254" i="4"/>
  <c r="DG246" i="4"/>
  <c r="EY169" i="4"/>
  <c r="EY268" i="4"/>
  <c r="EY50" i="4"/>
  <c r="EY192" i="4"/>
  <c r="EY117" i="4"/>
  <c r="EY128" i="4"/>
  <c r="EY187" i="4"/>
  <c r="EY168" i="4"/>
  <c r="EY261" i="4"/>
  <c r="EY193" i="4"/>
  <c r="EY87" i="4"/>
  <c r="EY198" i="4"/>
  <c r="EY203" i="4"/>
  <c r="FR205" i="4"/>
  <c r="CJ83" i="4"/>
  <c r="EY93" i="4"/>
  <c r="EY251" i="4"/>
  <c r="EY96" i="4"/>
  <c r="EY236" i="4"/>
  <c r="EY358" i="4"/>
  <c r="EY83" i="4"/>
  <c r="EY70" i="4"/>
  <c r="EY100" i="4"/>
  <c r="EY246" i="4"/>
  <c r="EY132" i="4"/>
  <c r="EY200" i="4"/>
  <c r="EY73" i="4"/>
  <c r="EY213" i="4"/>
  <c r="FU358" i="4"/>
  <c r="EY101" i="4"/>
  <c r="EZ208" i="4"/>
  <c r="EY260" i="4"/>
  <c r="EY299" i="4"/>
  <c r="EZ231" i="4"/>
  <c r="EY217" i="4"/>
  <c r="EY297" i="4"/>
  <c r="EY98" i="4"/>
  <c r="EY239" i="4"/>
  <c r="EY153" i="4"/>
  <c r="EY118" i="4"/>
  <c r="EY308" i="4"/>
  <c r="EY77" i="4"/>
  <c r="EY84" i="4"/>
  <c r="EY207" i="4"/>
  <c r="EY171" i="4"/>
  <c r="FD298" i="4"/>
  <c r="FD214" i="4"/>
  <c r="FD296" i="4"/>
  <c r="FU205" i="4"/>
  <c r="FT239" i="4"/>
  <c r="FR322" i="4"/>
  <c r="DG328" i="4"/>
  <c r="EY228" i="4"/>
  <c r="EY211" i="4"/>
  <c r="EY173" i="4"/>
  <c r="EY119" i="4"/>
  <c r="EY38" i="4"/>
  <c r="EY361" i="4"/>
  <c r="EY125" i="4"/>
  <c r="EY59" i="4"/>
  <c r="EY266" i="4"/>
  <c r="EY147" i="4"/>
  <c r="EY151" i="4"/>
  <c r="EY107" i="4"/>
  <c r="EY249" i="4"/>
  <c r="FD78" i="4"/>
  <c r="FD266" i="4"/>
  <c r="FD198" i="4"/>
  <c r="FD44" i="4"/>
  <c r="FD237" i="4"/>
  <c r="FT358" i="4"/>
  <c r="FU317" i="4"/>
  <c r="FU308" i="4"/>
  <c r="EY185" i="4"/>
  <c r="EY253" i="4"/>
  <c r="FT231" i="4"/>
  <c r="FK39" i="4"/>
  <c r="FK307" i="4"/>
  <c r="FK266" i="4"/>
  <c r="FK187" i="4"/>
  <c r="FK84" i="4"/>
  <c r="FK301" i="4"/>
  <c r="FK81" i="4"/>
  <c r="FK77" i="4"/>
  <c r="FK192" i="4"/>
  <c r="FK92" i="4"/>
  <c r="FK256" i="4"/>
  <c r="FK186" i="4"/>
  <c r="FK131" i="4"/>
  <c r="FK250" i="4"/>
  <c r="FK97" i="4"/>
  <c r="FK214" i="4"/>
  <c r="FK130" i="4"/>
  <c r="FK181" i="4"/>
  <c r="FK65" i="4"/>
  <c r="FK96" i="4"/>
  <c r="FK50" i="4"/>
  <c r="FN23" i="4"/>
  <c r="FN42" i="4"/>
  <c r="FN55" i="4"/>
  <c r="FN155" i="4"/>
  <c r="FN67" i="4"/>
  <c r="FN90" i="4"/>
  <c r="FK132" i="4"/>
  <c r="FK185" i="4"/>
  <c r="FK320" i="4"/>
  <c r="FK265" i="4"/>
  <c r="FK155" i="4"/>
  <c r="FK134" i="4"/>
  <c r="FK294" i="4"/>
  <c r="FK306" i="4"/>
  <c r="FK173" i="4"/>
  <c r="FK253" i="4"/>
  <c r="FK171" i="4"/>
  <c r="FK153" i="4"/>
  <c r="FK206" i="4"/>
  <c r="FK78" i="4"/>
  <c r="FK49" i="4"/>
  <c r="FK46" i="4"/>
  <c r="FK38" i="4"/>
  <c r="FK232" i="4"/>
  <c r="FN66" i="4"/>
  <c r="FK295" i="4"/>
  <c r="FK184" i="4"/>
  <c r="FK88" i="4"/>
  <c r="FK231" i="4"/>
  <c r="FK316" i="4"/>
  <c r="FK151" i="4"/>
  <c r="FK293" i="4"/>
  <c r="FK183" i="4"/>
  <c r="FK227" i="4"/>
  <c r="FK127" i="4"/>
  <c r="FK182" i="4"/>
  <c r="FK63" i="4"/>
  <c r="FK24" i="4"/>
  <c r="FK168" i="4"/>
  <c r="FK125" i="4"/>
  <c r="FK69" i="4"/>
  <c r="FN33" i="4"/>
  <c r="FK260" i="4"/>
  <c r="FK298" i="4"/>
  <c r="FK300" i="4"/>
  <c r="FK120" i="4"/>
  <c r="FK170" i="4"/>
  <c r="FK291" i="4"/>
  <c r="FK199" i="4"/>
  <c r="FK273" i="4"/>
  <c r="FK209" i="4"/>
  <c r="FK56" i="4"/>
  <c r="FK54" i="4"/>
  <c r="FK166" i="4"/>
  <c r="FK70" i="4"/>
  <c r="FK79" i="4"/>
  <c r="FK35" i="4"/>
  <c r="FK33" i="4"/>
  <c r="FK336" i="4"/>
  <c r="FK139" i="4"/>
  <c r="FK53" i="4"/>
  <c r="FK34" i="4"/>
  <c r="FN46" i="4"/>
  <c r="FN91" i="4"/>
  <c r="FN22" i="4"/>
  <c r="FK297" i="4"/>
  <c r="FK268" i="4"/>
  <c r="FK198" i="4"/>
  <c r="FK143" i="4"/>
  <c r="FK225" i="4"/>
  <c r="FK299" i="4"/>
  <c r="FK100" i="4"/>
  <c r="FK211" i="4"/>
  <c r="FK208" i="4"/>
  <c r="FK142" i="4"/>
  <c r="FK57" i="4"/>
  <c r="FK107" i="4"/>
  <c r="FK126" i="4"/>
  <c r="FK55" i="4"/>
  <c r="FK133" i="4"/>
  <c r="FK43" i="4"/>
  <c r="FK217" i="4"/>
  <c r="FK342" i="4"/>
  <c r="FK272" i="4"/>
  <c r="FK280" i="4"/>
  <c r="FK264" i="4"/>
  <c r="FK172" i="4"/>
  <c r="FK261" i="4"/>
  <c r="FK150" i="4"/>
  <c r="FK72" i="4"/>
  <c r="FK117" i="4"/>
  <c r="FK149" i="4"/>
  <c r="FK60" i="4"/>
  <c r="FK27" i="4"/>
  <c r="FK89" i="4"/>
  <c r="FK42" i="4"/>
  <c r="FK11" i="4"/>
  <c r="FK314" i="4"/>
  <c r="FK26" i="4"/>
  <c r="FK124" i="4"/>
  <c r="FN24" i="4"/>
  <c r="FN65" i="4"/>
  <c r="FK215" i="4"/>
  <c r="FK128" i="4"/>
  <c r="FK169" i="4"/>
  <c r="FK210" i="4"/>
  <c r="FK212" i="4"/>
  <c r="FK51" i="4"/>
  <c r="FK109" i="4"/>
  <c r="FK249" i="4"/>
  <c r="FK112" i="4"/>
  <c r="FK313" i="4"/>
  <c r="FK90" i="4"/>
  <c r="FK37" i="4"/>
  <c r="FK147" i="4"/>
  <c r="FK58" i="4"/>
  <c r="FK62" i="4"/>
  <c r="FK116" i="4"/>
  <c r="FK95" i="4"/>
  <c r="FN17" i="4"/>
  <c r="FN114" i="4"/>
  <c r="FN19" i="4"/>
  <c r="FK286" i="4"/>
  <c r="FK203" i="4"/>
  <c r="FK118" i="4"/>
  <c r="FK228" i="4"/>
  <c r="FK115" i="4"/>
  <c r="FK321" i="4"/>
  <c r="FK167" i="4"/>
  <c r="FK111" i="4"/>
  <c r="FK200" i="4"/>
  <c r="FK289" i="4"/>
  <c r="FK361" i="4"/>
  <c r="FK99" i="4"/>
  <c r="FK101" i="4"/>
  <c r="FK67" i="4"/>
  <c r="FK80" i="4"/>
  <c r="FK246" i="4"/>
  <c r="FK36" i="4"/>
  <c r="FK93" i="4"/>
  <c r="FN35" i="4"/>
  <c r="FN32" i="4"/>
  <c r="FN31" i="4"/>
  <c r="FK108" i="4"/>
  <c r="FK218" i="4"/>
  <c r="FK44" i="4"/>
  <c r="FK193" i="4"/>
  <c r="FK179" i="4"/>
  <c r="FK236" i="4"/>
  <c r="FK235" i="4"/>
  <c r="FK207" i="4"/>
  <c r="FK238" i="4"/>
  <c r="FK255" i="4"/>
  <c r="FK188" i="4"/>
  <c r="FK23" i="4"/>
  <c r="FK420" i="4"/>
  <c r="FK154" i="4"/>
  <c r="FK94" i="4"/>
  <c r="FK28" i="4"/>
  <c r="FK157" i="4"/>
  <c r="FN11" i="4"/>
  <c r="FN62" i="4"/>
  <c r="FK328" i="4"/>
  <c r="FK205" i="4"/>
  <c r="FK308" i="4"/>
  <c r="FK358" i="4"/>
  <c r="FK106" i="4"/>
  <c r="FK98" i="4"/>
  <c r="FK25" i="4"/>
  <c r="FK140" i="4"/>
  <c r="FK296" i="4"/>
  <c r="FK196" i="4"/>
  <c r="FK176" i="4"/>
  <c r="FK22" i="4"/>
  <c r="FK20" i="4"/>
  <c r="FK19" i="4"/>
  <c r="FK259" i="4"/>
  <c r="FK82" i="4"/>
  <c r="FK47" i="4"/>
  <c r="FK292" i="4"/>
  <c r="FK66" i="4"/>
  <c r="FN36" i="4"/>
  <c r="FK254" i="4"/>
  <c r="FK317" i="4"/>
  <c r="FK322" i="4"/>
  <c r="FK252" i="4"/>
  <c r="FK136" i="4"/>
  <c r="FK71" i="4"/>
  <c r="FK141" i="4"/>
  <c r="FK138" i="4"/>
  <c r="FK164" i="4"/>
  <c r="FK52" i="4"/>
  <c r="FK237" i="4"/>
  <c r="FK158" i="4"/>
  <c r="FK31" i="4"/>
  <c r="FK121" i="4"/>
  <c r="FK59" i="4"/>
  <c r="FK17" i="4"/>
  <c r="FK213" i="4"/>
  <c r="FN28" i="4"/>
  <c r="FK239" i="4"/>
  <c r="FK73" i="4"/>
  <c r="FK302" i="4"/>
  <c r="FK216" i="4"/>
  <c r="FK61" i="4"/>
  <c r="FK48" i="4"/>
  <c r="FK86" i="4"/>
  <c r="FK83" i="4"/>
  <c r="FK68" i="4"/>
  <c r="FK329" i="4"/>
  <c r="FK119" i="4"/>
  <c r="FK87" i="4"/>
  <c r="FK137" i="4"/>
  <c r="FK40" i="4"/>
  <c r="FK91" i="4"/>
  <c r="FK32" i="4"/>
  <c r="FK251" i="4"/>
  <c r="FK114" i="4"/>
  <c r="FN34" i="4"/>
  <c r="FD272" i="4"/>
  <c r="FD255" i="4"/>
  <c r="FD51" i="4"/>
  <c r="FD133" i="4"/>
  <c r="FD71" i="4"/>
  <c r="FD79" i="4"/>
  <c r="FD82" i="4"/>
  <c r="FD157" i="4"/>
  <c r="FD50" i="4"/>
  <c r="FD420" i="4"/>
  <c r="FD68" i="4"/>
  <c r="FD33" i="4"/>
  <c r="FD87" i="4"/>
  <c r="FD128" i="4"/>
  <c r="FD249" i="4"/>
  <c r="FD200" i="4"/>
  <c r="FD99" i="4"/>
  <c r="FD125" i="4"/>
  <c r="FD127" i="4"/>
  <c r="FD171" i="4"/>
  <c r="FD49" i="4"/>
  <c r="FD54" i="4"/>
  <c r="FD67" i="4"/>
  <c r="FD199" i="4"/>
  <c r="FD118" i="4"/>
  <c r="FD60" i="4"/>
  <c r="FD265" i="4"/>
  <c r="FD227" i="4"/>
  <c r="FD181" i="4"/>
  <c r="FD150" i="4"/>
  <c r="FD172" i="4"/>
  <c r="FD141" i="4"/>
  <c r="FD253" i="4"/>
  <c r="FD149" i="4"/>
  <c r="FD137" i="4"/>
  <c r="FD43" i="4"/>
  <c r="FD27" i="4"/>
  <c r="FD65" i="4"/>
  <c r="FD42" i="4"/>
  <c r="FD17" i="4"/>
  <c r="FD121" i="4"/>
  <c r="FD168" i="4"/>
  <c r="FD139" i="4"/>
  <c r="FD259" i="4"/>
  <c r="FD167" i="4"/>
  <c r="FD143" i="4"/>
  <c r="FD196" i="4"/>
  <c r="FD57" i="4"/>
  <c r="FD24" i="4"/>
  <c r="FD28" i="4"/>
  <c r="FD250" i="4"/>
  <c r="FD264" i="4"/>
  <c r="FD207" i="4"/>
  <c r="FD112" i="4"/>
  <c r="FD100" i="4"/>
  <c r="FD83" i="4"/>
  <c r="FD261" i="4"/>
  <c r="FD70" i="4"/>
  <c r="FD273" i="4"/>
  <c r="FD166" i="4"/>
  <c r="FD22" i="4"/>
  <c r="FD81" i="4"/>
  <c r="FD55" i="4"/>
  <c r="FG42" i="4"/>
  <c r="FG55" i="4"/>
  <c r="FG23" i="4"/>
  <c r="FG28" i="4"/>
  <c r="FD111" i="4"/>
  <c r="FD210" i="4"/>
  <c r="FD80" i="4"/>
  <c r="FD155" i="4"/>
  <c r="FD36" i="4"/>
  <c r="FG19" i="4"/>
  <c r="FD96" i="4"/>
  <c r="FD115" i="4"/>
  <c r="FD109" i="4"/>
  <c r="FD40" i="4"/>
  <c r="FD31" i="4"/>
  <c r="FD106" i="4"/>
  <c r="FG65" i="4"/>
  <c r="FG114" i="4"/>
  <c r="FG155" i="4"/>
  <c r="FG33" i="4"/>
  <c r="FG34" i="4"/>
  <c r="FD94" i="4"/>
  <c r="FD209" i="4"/>
  <c r="FD34" i="4"/>
  <c r="FD158" i="4"/>
  <c r="FD114" i="4"/>
  <c r="FD131" i="4"/>
  <c r="FD211" i="4"/>
  <c r="FG11" i="4"/>
  <c r="FD268" i="4"/>
  <c r="FD72" i="4"/>
  <c r="FD289" i="4"/>
  <c r="FD124" i="4"/>
  <c r="FD93" i="4"/>
  <c r="FD235" i="4"/>
  <c r="FD59" i="4"/>
  <c r="FD58" i="4"/>
  <c r="FG67" i="4"/>
  <c r="FG31" i="4"/>
  <c r="FG90" i="4"/>
  <c r="FD108" i="4"/>
  <c r="FD142" i="4"/>
  <c r="FD107" i="4"/>
  <c r="FD212" i="4"/>
  <c r="FD232" i="4"/>
  <c r="FD52" i="4"/>
  <c r="FD69" i="4"/>
  <c r="FD92" i="4"/>
  <c r="FD140" i="4"/>
  <c r="FD169" i="4"/>
  <c r="FD117" i="4"/>
  <c r="FD208" i="4"/>
  <c r="FD236" i="4"/>
  <c r="FD86" i="4"/>
  <c r="FD26" i="4"/>
  <c r="FD25" i="4"/>
  <c r="FD138" i="4"/>
  <c r="FG35" i="4"/>
  <c r="FG91" i="4"/>
  <c r="FG32" i="4"/>
  <c r="FD120" i="4"/>
  <c r="FD56" i="4"/>
  <c r="FD90" i="4"/>
  <c r="FD153" i="4"/>
  <c r="FD97" i="4"/>
  <c r="FD35" i="4"/>
  <c r="FD77" i="4"/>
  <c r="FD91" i="4"/>
  <c r="FD23" i="4"/>
  <c r="FD256" i="4"/>
  <c r="FD32" i="4"/>
  <c r="FD130" i="4"/>
  <c r="FD38" i="4"/>
  <c r="FD62" i="4"/>
  <c r="FG17" i="4"/>
  <c r="FG62" i="4"/>
  <c r="FG46" i="4"/>
  <c r="FG24" i="4"/>
  <c r="FD213" i="4"/>
  <c r="FD37" i="4"/>
  <c r="FD95" i="4"/>
  <c r="FD63" i="4"/>
  <c r="FD179" i="4"/>
  <c r="FD126" i="4"/>
  <c r="FD11" i="4"/>
  <c r="FD206" i="4"/>
  <c r="FD46" i="4"/>
  <c r="FD147" i="4"/>
  <c r="FD119" i="4"/>
  <c r="FD361" i="4"/>
  <c r="FD19" i="4"/>
  <c r="FD182" i="4"/>
  <c r="FD116" i="4"/>
  <c r="FD136" i="4"/>
  <c r="FD89" i="4"/>
  <c r="FD251" i="4"/>
  <c r="FG22" i="4"/>
  <c r="FG66" i="4"/>
  <c r="FG36" i="4"/>
  <c r="FD216" i="4"/>
  <c r="FD98" i="4"/>
  <c r="FD329" i="4"/>
  <c r="FD47" i="4"/>
  <c r="FD48" i="4"/>
  <c r="FD66" i="4"/>
  <c r="FD53" i="4"/>
  <c r="CL225" i="4"/>
  <c r="EZ101" i="4"/>
  <c r="EZ93" i="4"/>
  <c r="EY320" i="4"/>
  <c r="EY82" i="4"/>
  <c r="EY293" i="4"/>
  <c r="EY210" i="4"/>
  <c r="EY115" i="4"/>
  <c r="FD321" i="4"/>
  <c r="EY109" i="4"/>
  <c r="FM186" i="4"/>
  <c r="FN173" i="4"/>
  <c r="FN306" i="4"/>
  <c r="FM255" i="4"/>
  <c r="FN252" i="4"/>
  <c r="FM39" i="4"/>
  <c r="FM56" i="4"/>
  <c r="FN217" i="4"/>
  <c r="FM237" i="4"/>
  <c r="FM313" i="4"/>
  <c r="FM291" i="4"/>
  <c r="FN200" i="4"/>
  <c r="FN280" i="4"/>
  <c r="FM200" i="4"/>
  <c r="FM199" i="4"/>
  <c r="FM361" i="4"/>
  <c r="FM137" i="4"/>
  <c r="FN198" i="4"/>
  <c r="FN196" i="4"/>
  <c r="FM185" i="4"/>
  <c r="FM253" i="4"/>
  <c r="FN133" i="4"/>
  <c r="FM133" i="4"/>
  <c r="FN205" i="4"/>
  <c r="FN210" i="4"/>
  <c r="FM79" i="4"/>
  <c r="FM214" i="4"/>
  <c r="FN82" i="4"/>
  <c r="FN154" i="4"/>
  <c r="FM172" i="4"/>
  <c r="FN139" i="4"/>
  <c r="FM232" i="4"/>
  <c r="FN261" i="4"/>
  <c r="FM131" i="4"/>
  <c r="FN37" i="4"/>
  <c r="FM231" i="4"/>
  <c r="FM203" i="4"/>
  <c r="FM238" i="4"/>
  <c r="FN320" i="4"/>
  <c r="FN115" i="4"/>
  <c r="FM88" i="4"/>
  <c r="FN329" i="4"/>
  <c r="FN101" i="4"/>
  <c r="FN268" i="4"/>
  <c r="FM83" i="4"/>
  <c r="FM268" i="4"/>
  <c r="FN149" i="4"/>
  <c r="FN181" i="4"/>
  <c r="FN108" i="4"/>
  <c r="FN43" i="4"/>
  <c r="FM164" i="4"/>
  <c r="FN52" i="4"/>
  <c r="FN296" i="4"/>
  <c r="FM196" i="4"/>
  <c r="FN97" i="4"/>
  <c r="FM328" i="4"/>
  <c r="FM206" i="4"/>
  <c r="FN130" i="4"/>
  <c r="FN272" i="4"/>
  <c r="FN47" i="4"/>
  <c r="FM77" i="4"/>
  <c r="FN136" i="4"/>
  <c r="FM115" i="4"/>
  <c r="FM179" i="4"/>
  <c r="FN80" i="4"/>
  <c r="FN239" i="4"/>
  <c r="FN214" i="4"/>
  <c r="FN307" i="4"/>
  <c r="FM176" i="4"/>
  <c r="FM249" i="4"/>
  <c r="FN61" i="4"/>
  <c r="FN215" i="4"/>
  <c r="FM256" i="4"/>
  <c r="FN151" i="4"/>
  <c r="FM188" i="4"/>
  <c r="FM150" i="4"/>
  <c r="FN199" i="4"/>
  <c r="FM211" i="4"/>
  <c r="FN297" i="4"/>
  <c r="FM87" i="4"/>
  <c r="FN112" i="4"/>
  <c r="FM95" i="4"/>
  <c r="FM252" i="4"/>
  <c r="FN158" i="4"/>
  <c r="FM97" i="4"/>
  <c r="FM317" i="4"/>
  <c r="FN71" i="4"/>
  <c r="FN49" i="4"/>
  <c r="FN137" i="4"/>
  <c r="FN81" i="4"/>
  <c r="FN83" i="4"/>
  <c r="FN124" i="4"/>
  <c r="FN134" i="4"/>
  <c r="FN50" i="4"/>
  <c r="FN69" i="4"/>
  <c r="FM236" i="4"/>
  <c r="FN166" i="4"/>
  <c r="FN420" i="4"/>
  <c r="FN231" i="4"/>
  <c r="FM246" i="4"/>
  <c r="FN88" i="4"/>
  <c r="FN99" i="4"/>
  <c r="FM215" i="4"/>
  <c r="FN254" i="4"/>
  <c r="FN286" i="4"/>
  <c r="FM139" i="4"/>
  <c r="FN117" i="4"/>
  <c r="FN203" i="4"/>
  <c r="FN95" i="4"/>
  <c r="FM329" i="4"/>
  <c r="FN131" i="4"/>
  <c r="FM198" i="4"/>
  <c r="FN206" i="4"/>
  <c r="FM292" i="4"/>
  <c r="FM182" i="4"/>
  <c r="FN106" i="4"/>
  <c r="FN116" i="4"/>
  <c r="FM295" i="4"/>
  <c r="FN232" i="4"/>
  <c r="FM53" i="4"/>
  <c r="FM167" i="4"/>
  <c r="FM171" i="4"/>
  <c r="FN89" i="4"/>
  <c r="FM322" i="4"/>
  <c r="FN39" i="4"/>
  <c r="FN228" i="4"/>
  <c r="FM183" i="4"/>
  <c r="FM60" i="4"/>
  <c r="FN84" i="4"/>
  <c r="FN260" i="4"/>
  <c r="FN321" i="4"/>
  <c r="FM217" i="4"/>
  <c r="FM212" i="4"/>
  <c r="FN25" i="4"/>
  <c r="FN302" i="4"/>
  <c r="FN211" i="4"/>
  <c r="FM25" i="4"/>
  <c r="FM109" i="4"/>
  <c r="FN164" i="4"/>
  <c r="FM57" i="4"/>
  <c r="FN256" i="4"/>
  <c r="FM168" i="4"/>
  <c r="FM73" i="4"/>
  <c r="FM216" i="4"/>
  <c r="FN328" i="4"/>
  <c r="FM336" i="4"/>
  <c r="FN63" i="4"/>
  <c r="FN126" i="4"/>
  <c r="FN40" i="4"/>
  <c r="FN212" i="4"/>
  <c r="FN172" i="4"/>
  <c r="FN48" i="4"/>
  <c r="FN213" i="4"/>
  <c r="FN179" i="4"/>
  <c r="FM127" i="4"/>
  <c r="FM92" i="4"/>
  <c r="FN246" i="4"/>
  <c r="FM44" i="4"/>
  <c r="FM205" i="4"/>
  <c r="FN72" i="4"/>
  <c r="FM143" i="4"/>
  <c r="FN193" i="4"/>
  <c r="FN227" i="4"/>
  <c r="FM260" i="4"/>
  <c r="FM151" i="4"/>
  <c r="FN100" i="4"/>
  <c r="FM59" i="4"/>
  <c r="FN266" i="4"/>
  <c r="FM100" i="4"/>
  <c r="FM302" i="4"/>
  <c r="FM289" i="4"/>
  <c r="FM273" i="4"/>
  <c r="FN168" i="4"/>
  <c r="FN253" i="4"/>
  <c r="FN298" i="4"/>
  <c r="FN300" i="4"/>
  <c r="FN336" i="4"/>
  <c r="FN301" i="4"/>
  <c r="FN107" i="4"/>
  <c r="FM170" i="4"/>
  <c r="FM68" i="4"/>
  <c r="FM86" i="4"/>
  <c r="FM138" i="4"/>
  <c r="FN295" i="4"/>
  <c r="FN26" i="4"/>
  <c r="FM120" i="4"/>
  <c r="FN53" i="4"/>
  <c r="FN236" i="4"/>
  <c r="FM93" i="4"/>
  <c r="FM54" i="4"/>
  <c r="FN150" i="4"/>
  <c r="FM358" i="4"/>
  <c r="FN132" i="4"/>
  <c r="FN322" i="4"/>
  <c r="FN308" i="4"/>
  <c r="FN265" i="4"/>
  <c r="FM296" i="4"/>
  <c r="FM119" i="4"/>
  <c r="FM193" i="4"/>
  <c r="FN188" i="4"/>
  <c r="FN138" i="4"/>
  <c r="FN289" i="4"/>
  <c r="FM306" i="4"/>
  <c r="FN361" i="4"/>
  <c r="FM149" i="4"/>
  <c r="FM121" i="4"/>
  <c r="FM239" i="4"/>
  <c r="FM227" i="4"/>
  <c r="FM125" i="4"/>
  <c r="FM112" i="4"/>
  <c r="FM298" i="4"/>
  <c r="FN176" i="4"/>
  <c r="FM78" i="4"/>
  <c r="FM84" i="4"/>
  <c r="FN141" i="4"/>
  <c r="FN58" i="4"/>
  <c r="FN120" i="4"/>
  <c r="FM58" i="4"/>
  <c r="FM251" i="4"/>
  <c r="FM43" i="4"/>
  <c r="FM169" i="4"/>
  <c r="FN171" i="4"/>
  <c r="FN57" i="4"/>
  <c r="FM250" i="4"/>
  <c r="FN44" i="4"/>
  <c r="FM308" i="4"/>
  <c r="FM228" i="4"/>
  <c r="FN143" i="4"/>
  <c r="FM218" i="4"/>
  <c r="FM264" i="4"/>
  <c r="FN294" i="4"/>
  <c r="FN109" i="4"/>
  <c r="FN293" i="4"/>
  <c r="FM321" i="4"/>
  <c r="FM134" i="4"/>
  <c r="FM111" i="4"/>
  <c r="FM69" i="4"/>
  <c r="FM187" i="4"/>
  <c r="FM235" i="4"/>
  <c r="FM286" i="4"/>
  <c r="FN87" i="4"/>
  <c r="FN209" i="4"/>
  <c r="FN125" i="4"/>
  <c r="FM297" i="4"/>
  <c r="FM209" i="4"/>
  <c r="FN79" i="4"/>
  <c r="FM99" i="4"/>
  <c r="FN314" i="4"/>
  <c r="FM300" i="4"/>
  <c r="FM37" i="4"/>
  <c r="FM210" i="4"/>
  <c r="FM130" i="4"/>
  <c r="FM94" i="4"/>
  <c r="FN251" i="4"/>
  <c r="FM52" i="4"/>
  <c r="FM124" i="4"/>
  <c r="FN167" i="4"/>
  <c r="FM157" i="4"/>
  <c r="FM301" i="4"/>
  <c r="FM27" i="4"/>
  <c r="FM153" i="4"/>
  <c r="FN317" i="4"/>
  <c r="FM213" i="4"/>
  <c r="FN216" i="4"/>
  <c r="FN142" i="4"/>
  <c r="FM299" i="4"/>
  <c r="FM294" i="4"/>
  <c r="FN186" i="4"/>
  <c r="FM132" i="4"/>
  <c r="FN235" i="4"/>
  <c r="FN68" i="4"/>
  <c r="FM184" i="4"/>
  <c r="FM72" i="4"/>
  <c r="FM293" i="4"/>
  <c r="FM207" i="4"/>
  <c r="FN208" i="4"/>
  <c r="FM181" i="4"/>
  <c r="FM173" i="4"/>
  <c r="FM208" i="4"/>
  <c r="FM70" i="4"/>
  <c r="FN20" i="4"/>
  <c r="FN78" i="4"/>
  <c r="FN147" i="4"/>
  <c r="FM80" i="4"/>
  <c r="FN111" i="4"/>
  <c r="FM49" i="4"/>
  <c r="FM96" i="4"/>
  <c r="FM116" i="4"/>
  <c r="FN54" i="4"/>
  <c r="FM261" i="4"/>
  <c r="FN98" i="4"/>
  <c r="FN316" i="4"/>
  <c r="FM342" i="4"/>
  <c r="FM266" i="4"/>
  <c r="FN264" i="4"/>
  <c r="FN358" i="4"/>
  <c r="FM98" i="4"/>
  <c r="FM26" i="4"/>
  <c r="FM192" i="4"/>
  <c r="FN207" i="4"/>
  <c r="FN118" i="4"/>
  <c r="FN70" i="4"/>
  <c r="FN238" i="4"/>
  <c r="FM118" i="4"/>
  <c r="FN127" i="4"/>
  <c r="FN259" i="4"/>
  <c r="FM259" i="4"/>
  <c r="FN56" i="4"/>
  <c r="FM314" i="4"/>
  <c r="FN119" i="4"/>
  <c r="FM420" i="4"/>
  <c r="FM71" i="4"/>
  <c r="FM106" i="4"/>
  <c r="FM82" i="4"/>
  <c r="FM47" i="4"/>
  <c r="FN96" i="4"/>
  <c r="FN169" i="4"/>
  <c r="FM48" i="4"/>
  <c r="FN93" i="4"/>
  <c r="FM136" i="4"/>
  <c r="FN250" i="4"/>
  <c r="FN182" i="4"/>
  <c r="FN218" i="4"/>
  <c r="FN313" i="4"/>
  <c r="FM316" i="4"/>
  <c r="FM147" i="4"/>
  <c r="FN187" i="4"/>
  <c r="FM154" i="4"/>
  <c r="FN342" i="4"/>
  <c r="FM254" i="4"/>
  <c r="FN184" i="4"/>
  <c r="FN51" i="4"/>
  <c r="FN92" i="4"/>
  <c r="FN299" i="4"/>
  <c r="FM51" i="4"/>
  <c r="FM280" i="4"/>
  <c r="FM140" i="4"/>
  <c r="FN249" i="4"/>
  <c r="FM107" i="4"/>
  <c r="FN185" i="4"/>
  <c r="FM108" i="4"/>
  <c r="FN128" i="4"/>
  <c r="FM128" i="4"/>
  <c r="FM265" i="4"/>
  <c r="FM20" i="4"/>
  <c r="FN170" i="4"/>
  <c r="FM89" i="4"/>
  <c r="FN86" i="4"/>
  <c r="FM126" i="4"/>
  <c r="FN94" i="4"/>
  <c r="FM81" i="4"/>
  <c r="FN38" i="4"/>
  <c r="FM38" i="4"/>
  <c r="FM50" i="4"/>
  <c r="FM307" i="4"/>
  <c r="FN27" i="4"/>
  <c r="FN153" i="4"/>
  <c r="FM101" i="4"/>
  <c r="FM320" i="4"/>
  <c r="FN225" i="4"/>
  <c r="FN237" i="4"/>
  <c r="FM225" i="4"/>
  <c r="FN292" i="4"/>
  <c r="FN192" i="4"/>
  <c r="FM141" i="4"/>
  <c r="FM61" i="4"/>
  <c r="FN140" i="4"/>
  <c r="FN273" i="4"/>
  <c r="FN121" i="4"/>
  <c r="FM117" i="4"/>
  <c r="FN183" i="4"/>
  <c r="FN60" i="4"/>
  <c r="FN73" i="4"/>
  <c r="FN255" i="4"/>
  <c r="FM158" i="4"/>
  <c r="FM142" i="4"/>
  <c r="FM63" i="4"/>
  <c r="FM40" i="4"/>
  <c r="FN59" i="4"/>
  <c r="FM272" i="4"/>
  <c r="FN77" i="4"/>
  <c r="FN157" i="4"/>
  <c r="FN291" i="4"/>
  <c r="FM166" i="4"/>
  <c r="CJ182" i="4"/>
  <c r="CN93" i="4"/>
  <c r="EZ213" i="4"/>
  <c r="EY273" i="4"/>
  <c r="EY225" i="4"/>
  <c r="FD322" i="4"/>
  <c r="FG81" i="4"/>
  <c r="FF27" i="4"/>
  <c r="FF58" i="4"/>
  <c r="FG420" i="4"/>
  <c r="FG57" i="4"/>
  <c r="FF47" i="4"/>
  <c r="FF89" i="4"/>
  <c r="FG47" i="4"/>
  <c r="FG58" i="4"/>
  <c r="FF92" i="4"/>
  <c r="FF57" i="4"/>
  <c r="FG89" i="4"/>
  <c r="FF81" i="4"/>
  <c r="FG92" i="4"/>
  <c r="FG27" i="4"/>
  <c r="FF420" i="4"/>
  <c r="EY53" i="4"/>
  <c r="EY80" i="4"/>
  <c r="EY138" i="4"/>
  <c r="EY68" i="4"/>
  <c r="EY54" i="4"/>
  <c r="EY126" i="4"/>
  <c r="EY116" i="4"/>
  <c r="EY37" i="4"/>
  <c r="EY49" i="4"/>
  <c r="EY136" i="4"/>
  <c r="EY157" i="4"/>
  <c r="EY48" i="4"/>
  <c r="EY124" i="4"/>
  <c r="EY43" i="4"/>
  <c r="EY130" i="4"/>
  <c r="EY26" i="4"/>
  <c r="EY137" i="4"/>
  <c r="EY232" i="4"/>
  <c r="EY69" i="4"/>
  <c r="FF246" i="4"/>
  <c r="FG266" i="4"/>
  <c r="FG203" i="4"/>
  <c r="FG308" i="4"/>
  <c r="FG292" i="4"/>
  <c r="FF151" i="4"/>
  <c r="FF185" i="4"/>
  <c r="FG322" i="4"/>
  <c r="FF300" i="4"/>
  <c r="FG60" i="4"/>
  <c r="FF98" i="4"/>
  <c r="FG84" i="4"/>
  <c r="FG296" i="4"/>
  <c r="FG119" i="4"/>
  <c r="FF296" i="4"/>
  <c r="FF119" i="4"/>
  <c r="FG293" i="4"/>
  <c r="FF210" i="4"/>
  <c r="FG150" i="4"/>
  <c r="FG71" i="4"/>
  <c r="FF171" i="4"/>
  <c r="FF157" i="4"/>
  <c r="FG232" i="4"/>
  <c r="FF232" i="4"/>
  <c r="FG59" i="4"/>
  <c r="FG198" i="4"/>
  <c r="FF59" i="4"/>
  <c r="FG53" i="4"/>
  <c r="FG251" i="4"/>
  <c r="FF43" i="4"/>
  <c r="FG39" i="4"/>
  <c r="FF132" i="4"/>
  <c r="FF73" i="4"/>
  <c r="FF218" i="4"/>
  <c r="FF313" i="4"/>
  <c r="FG188" i="4"/>
  <c r="FF328" i="4"/>
  <c r="FG183" i="4"/>
  <c r="FF235" i="4"/>
  <c r="FG143" i="4"/>
  <c r="FG51" i="4"/>
  <c r="FF143" i="4"/>
  <c r="FF252" i="4"/>
  <c r="FF117" i="4"/>
  <c r="FG294" i="4"/>
  <c r="FG109" i="4"/>
  <c r="FF294" i="4"/>
  <c r="FF109" i="4"/>
  <c r="FG20" i="4"/>
  <c r="FG291" i="4"/>
  <c r="FG192" i="4"/>
  <c r="FG208" i="4"/>
  <c r="FF212" i="4"/>
  <c r="FF167" i="4"/>
  <c r="FG157" i="4"/>
  <c r="FG54" i="4"/>
  <c r="FF236" i="4"/>
  <c r="FF54" i="4"/>
  <c r="FG268" i="4"/>
  <c r="FG136" i="4"/>
  <c r="FG295" i="4"/>
  <c r="FF272" i="4"/>
  <c r="FG138" i="4"/>
  <c r="FF298" i="4"/>
  <c r="FF68" i="4"/>
  <c r="FG133" i="4"/>
  <c r="FF70" i="4"/>
  <c r="FG130" i="4"/>
  <c r="FF44" i="4"/>
  <c r="FG73" i="4"/>
  <c r="FG151" i="4"/>
  <c r="FF336" i="4"/>
  <c r="FG358" i="4"/>
  <c r="FF198" i="4"/>
  <c r="FG98" i="4"/>
  <c r="FF213" i="4"/>
  <c r="FF141" i="4"/>
  <c r="FG265" i="4"/>
  <c r="FG299" i="4"/>
  <c r="FG153" i="4"/>
  <c r="FF299" i="4"/>
  <c r="FF153" i="4"/>
  <c r="FF170" i="4"/>
  <c r="FF291" i="4"/>
  <c r="FF251" i="4"/>
  <c r="FG100" i="4"/>
  <c r="FG82" i="4"/>
  <c r="FG49" i="4"/>
  <c r="FG300" i="4"/>
  <c r="FF49" i="4"/>
  <c r="FF72" i="4"/>
  <c r="FG118" i="4"/>
  <c r="FF268" i="4"/>
  <c r="FF136" i="4"/>
  <c r="FF295" i="4"/>
  <c r="FG69" i="4"/>
  <c r="FF289" i="4"/>
  <c r="FF69" i="4"/>
  <c r="FF164" i="4"/>
  <c r="FG140" i="4"/>
  <c r="FF111" i="4"/>
  <c r="FG132" i="4"/>
  <c r="FF187" i="4"/>
  <c r="FF173" i="4"/>
  <c r="FF306" i="4"/>
  <c r="FG328" i="4"/>
  <c r="FF254" i="4"/>
  <c r="FF106" i="4"/>
  <c r="FG264" i="4"/>
  <c r="FG200" i="4"/>
  <c r="FF264" i="4"/>
  <c r="FF61" i="4"/>
  <c r="FF196" i="4"/>
  <c r="FG158" i="4"/>
  <c r="FF158" i="4"/>
  <c r="FG112" i="4"/>
  <c r="FG314" i="4"/>
  <c r="FG78" i="4"/>
  <c r="FG361" i="4"/>
  <c r="FF259" i="4"/>
  <c r="FF79" i="4"/>
  <c r="FF124" i="4"/>
  <c r="FG236" i="4"/>
  <c r="FG116" i="4"/>
  <c r="FG172" i="4"/>
  <c r="FF116" i="4"/>
  <c r="FF172" i="4"/>
  <c r="FG48" i="4"/>
  <c r="FG126" i="4"/>
  <c r="FG272" i="4"/>
  <c r="FF126" i="4"/>
  <c r="FG68" i="4"/>
  <c r="FG120" i="4"/>
  <c r="FF200" i="4"/>
  <c r="FG79" i="4"/>
  <c r="FF316" i="4"/>
  <c r="FG187" i="4"/>
  <c r="FG101" i="4"/>
  <c r="FG336" i="4"/>
  <c r="FF228" i="4"/>
  <c r="FF297" i="4"/>
  <c r="FF280" i="4"/>
  <c r="FG141" i="4"/>
  <c r="FF147" i="4"/>
  <c r="FF83" i="4"/>
  <c r="FG142" i="4"/>
  <c r="FG154" i="4"/>
  <c r="FG87" i="4"/>
  <c r="FF154" i="4"/>
  <c r="FF87" i="4"/>
  <c r="FG52" i="4"/>
  <c r="FF329" i="4"/>
  <c r="FF20" i="4"/>
  <c r="FF314" i="4"/>
  <c r="FF101" i="4"/>
  <c r="FG171" i="4"/>
  <c r="FG80" i="4"/>
  <c r="FG97" i="4"/>
  <c r="FF80" i="4"/>
  <c r="FF97" i="4"/>
  <c r="FF51" i="4"/>
  <c r="FF118" i="4"/>
  <c r="FF48" i="4"/>
  <c r="FG289" i="4"/>
  <c r="FG26" i="4"/>
  <c r="FG235" i="4"/>
  <c r="FF26" i="4"/>
  <c r="FG106" i="4"/>
  <c r="FG125" i="4"/>
  <c r="FG231" i="4"/>
  <c r="FF260" i="4"/>
  <c r="FF214" i="4"/>
  <c r="FF307" i="4"/>
  <c r="FG297" i="4"/>
  <c r="FG254" i="4"/>
  <c r="FF216" i="4"/>
  <c r="FG213" i="4"/>
  <c r="FF71" i="4"/>
  <c r="FF84" i="4"/>
  <c r="FF207" i="4"/>
  <c r="FG237" i="4"/>
  <c r="FG95" i="4"/>
  <c r="FF237" i="4"/>
  <c r="FF95" i="4"/>
  <c r="FG306" i="4"/>
  <c r="FF208" i="4"/>
  <c r="FF127" i="4"/>
  <c r="FG94" i="4"/>
  <c r="FF94" i="4"/>
  <c r="FG169" i="4"/>
  <c r="FF108" i="4"/>
  <c r="FF206" i="4"/>
  <c r="FG181" i="4"/>
  <c r="FF181" i="4"/>
  <c r="FF322" i="4"/>
  <c r="FF342" i="4"/>
  <c r="FG238" i="4"/>
  <c r="FF134" i="4"/>
  <c r="FF217" i="4"/>
  <c r="FG83" i="4"/>
  <c r="FF255" i="4"/>
  <c r="FG253" i="4"/>
  <c r="FG56" i="4"/>
  <c r="FF56" i="4"/>
  <c r="FG329" i="4"/>
  <c r="FG131" i="4"/>
  <c r="FF149" i="4"/>
  <c r="FF112" i="4"/>
  <c r="FF192" i="4"/>
  <c r="FG250" i="4"/>
  <c r="FF130" i="4"/>
  <c r="FF182" i="4"/>
  <c r="FG40" i="4"/>
  <c r="FG38" i="4"/>
  <c r="FG108" i="4"/>
  <c r="FG207" i="4"/>
  <c r="FF133" i="4"/>
  <c r="FG246" i="4"/>
  <c r="FG260" i="4"/>
  <c r="FG218" i="4"/>
  <c r="FG228" i="4"/>
  <c r="FG217" i="4"/>
  <c r="FG216" i="4"/>
  <c r="FF321" i="4"/>
  <c r="FG147" i="4"/>
  <c r="FG320" i="4"/>
  <c r="FG115" i="4"/>
  <c r="FF320" i="4"/>
  <c r="FF115" i="4"/>
  <c r="FF265" i="4"/>
  <c r="FF140" i="4"/>
  <c r="FG168" i="4"/>
  <c r="FG199" i="4"/>
  <c r="FG273" i="4"/>
  <c r="FG301" i="4"/>
  <c r="FF361" i="4"/>
  <c r="FG124" i="4"/>
  <c r="FF250" i="4"/>
  <c r="FF40" i="4"/>
  <c r="FF169" i="4"/>
  <c r="FF52" i="4"/>
  <c r="FG206" i="4"/>
  <c r="FG107" i="4"/>
  <c r="FF150" i="4"/>
  <c r="FG43" i="4"/>
  <c r="FF358" i="4"/>
  <c r="FG342" i="4"/>
  <c r="FF302" i="4"/>
  <c r="FF215" i="4"/>
  <c r="FG186" i="4"/>
  <c r="FG255" i="4"/>
  <c r="FF176" i="4"/>
  <c r="FF249" i="4"/>
  <c r="FG252" i="4"/>
  <c r="FG117" i="4"/>
  <c r="FG256" i="4"/>
  <c r="FG121" i="4"/>
  <c r="FF256" i="4"/>
  <c r="FF121" i="4"/>
  <c r="FG149" i="4"/>
  <c r="FF238" i="4"/>
  <c r="FF261" i="4"/>
  <c r="FF199" i="4"/>
  <c r="FF78" i="4"/>
  <c r="FG316" i="4"/>
  <c r="FF37" i="4"/>
  <c r="FG182" i="4"/>
  <c r="FF38" i="4"/>
  <c r="FF168" i="4"/>
  <c r="FF131" i="4"/>
  <c r="FG70" i="4"/>
  <c r="FG167" i="4"/>
  <c r="FG280" i="4"/>
  <c r="FG44" i="4"/>
  <c r="FF239" i="4"/>
  <c r="FF225" i="4"/>
  <c r="FG173" i="4"/>
  <c r="FG134" i="4"/>
  <c r="FG215" i="4"/>
  <c r="FG321" i="4"/>
  <c r="FG313" i="4"/>
  <c r="FF120" i="4"/>
  <c r="FG88" i="4"/>
  <c r="FF88" i="4"/>
  <c r="FF142" i="4"/>
  <c r="FF205" i="4"/>
  <c r="FG99" i="4"/>
  <c r="FF203" i="4"/>
  <c r="FF99" i="4"/>
  <c r="FG307" i="4"/>
  <c r="FG209" i="4"/>
  <c r="FG211" i="4"/>
  <c r="FG212" i="4"/>
  <c r="FF100" i="4"/>
  <c r="FG63" i="4"/>
  <c r="FF63" i="4"/>
  <c r="FG179" i="4"/>
  <c r="FG86" i="4"/>
  <c r="FF86" i="4"/>
  <c r="FF25" i="4"/>
  <c r="FF308" i="4"/>
  <c r="FG137" i="4"/>
  <c r="FF137" i="4"/>
  <c r="FG37" i="4"/>
  <c r="FF301" i="4"/>
  <c r="FF125" i="4"/>
  <c r="FF231" i="4"/>
  <c r="FG225" i="4"/>
  <c r="FG205" i="4"/>
  <c r="FG302" i="4"/>
  <c r="FF292" i="4"/>
  <c r="FF188" i="4"/>
  <c r="FF286" i="4"/>
  <c r="FF184" i="4"/>
  <c r="FG249" i="4"/>
  <c r="FF183" i="4"/>
  <c r="FF60" i="4"/>
  <c r="FG61" i="4"/>
  <c r="FG196" i="4"/>
  <c r="FF186" i="4"/>
  <c r="FG214" i="4"/>
  <c r="FG261" i="4"/>
  <c r="FF293" i="4"/>
  <c r="FF211" i="4"/>
  <c r="FG164" i="4"/>
  <c r="FF128" i="4"/>
  <c r="FF82" i="4"/>
  <c r="FF166" i="4"/>
  <c r="FG93" i="4"/>
  <c r="FF93" i="4"/>
  <c r="FF179" i="4"/>
  <c r="FG139" i="4"/>
  <c r="FG185" i="4"/>
  <c r="FF139" i="4"/>
  <c r="FG184" i="4"/>
  <c r="FF53" i="4"/>
  <c r="FG111" i="4"/>
  <c r="FG128" i="4"/>
  <c r="FG239" i="4"/>
  <c r="FF39" i="4"/>
  <c r="FF266" i="4"/>
  <c r="FF317" i="4"/>
  <c r="FG286" i="4"/>
  <c r="FG176" i="4"/>
  <c r="FG72" i="4"/>
  <c r="FG317" i="4"/>
  <c r="FF253" i="4"/>
  <c r="FG193" i="4"/>
  <c r="FG227" i="4"/>
  <c r="FF193" i="4"/>
  <c r="FF227" i="4"/>
  <c r="FG170" i="4"/>
  <c r="FG210" i="4"/>
  <c r="FG259" i="4"/>
  <c r="FF273" i="4"/>
  <c r="FF96" i="4"/>
  <c r="FG166" i="4"/>
  <c r="FG50" i="4"/>
  <c r="FF50" i="4"/>
  <c r="FG77" i="4"/>
  <c r="FF77" i="4"/>
  <c r="FG298" i="4"/>
  <c r="FG25" i="4"/>
  <c r="FF138" i="4"/>
  <c r="FF209" i="4"/>
  <c r="FG96" i="4"/>
  <c r="FF107" i="4"/>
  <c r="FG127" i="4"/>
  <c r="EZ250" i="4"/>
  <c r="FD239" i="4"/>
  <c r="FD205" i="4"/>
  <c r="FD328" i="4"/>
  <c r="CJ185" i="4"/>
  <c r="DJ301" i="4"/>
  <c r="EY106" i="4"/>
  <c r="EY316" i="4"/>
  <c r="CJ139" i="4"/>
  <c r="DI261" i="4"/>
  <c r="EY71" i="4"/>
  <c r="EY313" i="4"/>
  <c r="EY296" i="4"/>
  <c r="EY133" i="4"/>
  <c r="EY56" i="4"/>
  <c r="EZ20" i="4"/>
  <c r="EZ306" i="4"/>
  <c r="EZ280" i="4"/>
  <c r="EZ254" i="4"/>
  <c r="EZ298" i="4"/>
  <c r="EZ95" i="4"/>
  <c r="EZ260" i="4"/>
  <c r="EZ61" i="4"/>
  <c r="EZ171" i="4"/>
  <c r="EZ172" i="4"/>
  <c r="EZ187" i="4"/>
  <c r="EZ295" i="4"/>
  <c r="EZ199" i="4"/>
  <c r="EZ71" i="4"/>
  <c r="EZ307" i="4"/>
  <c r="EZ147" i="4"/>
  <c r="EZ108" i="4"/>
  <c r="EZ193" i="4"/>
  <c r="EZ38" i="4"/>
  <c r="EZ52" i="4"/>
  <c r="EZ228" i="4"/>
  <c r="EZ198" i="4"/>
  <c r="EZ227" i="4"/>
  <c r="EZ321" i="4"/>
  <c r="EZ217" i="4"/>
  <c r="EZ168" i="4"/>
  <c r="EZ336" i="4"/>
  <c r="EZ106" i="4"/>
  <c r="EZ119" i="4"/>
  <c r="EZ112" i="4"/>
  <c r="EZ358" i="4"/>
  <c r="EZ141" i="4"/>
  <c r="EZ153" i="4"/>
  <c r="EZ200" i="4"/>
  <c r="EZ40" i="4"/>
  <c r="EZ273" i="4"/>
  <c r="EZ251" i="4"/>
  <c r="EZ261" i="4"/>
  <c r="EZ209" i="4"/>
  <c r="EZ300" i="4"/>
  <c r="EZ53" i="4"/>
  <c r="EZ157" i="4"/>
  <c r="EW186" i="4"/>
  <c r="EW317" i="4"/>
  <c r="EW154" i="4"/>
  <c r="EW316" i="4"/>
  <c r="EW301" i="4"/>
  <c r="EW184" i="4"/>
  <c r="EW84" i="4"/>
  <c r="EW157" i="4"/>
  <c r="EW126" i="4"/>
  <c r="EW25" i="4"/>
  <c r="EW141" i="4"/>
  <c r="EW70" i="4"/>
  <c r="EZ89" i="4"/>
  <c r="EZ26" i="4"/>
  <c r="EZ124" i="4"/>
  <c r="EW231" i="4"/>
  <c r="EW313" i="4"/>
  <c r="EW56" i="4"/>
  <c r="EW237" i="4"/>
  <c r="EW286" i="4"/>
  <c r="EW192" i="4"/>
  <c r="EW164" i="4"/>
  <c r="EW300" i="4"/>
  <c r="EW265" i="4"/>
  <c r="EW49" i="4"/>
  <c r="EW89" i="4"/>
  <c r="EW138" i="4"/>
  <c r="EW53" i="4"/>
  <c r="EW94" i="4"/>
  <c r="EZ58" i="4"/>
  <c r="EZ54" i="4"/>
  <c r="EW297" i="4"/>
  <c r="EW239" i="4"/>
  <c r="EW218" i="4"/>
  <c r="EW306" i="4"/>
  <c r="EW256" i="4"/>
  <c r="EW302" i="4"/>
  <c r="EW291" i="4"/>
  <c r="EW78" i="4"/>
  <c r="EW150" i="4"/>
  <c r="EW198" i="4"/>
  <c r="EW142" i="4"/>
  <c r="EW80" i="4"/>
  <c r="EW68" i="4"/>
  <c r="EW58" i="4"/>
  <c r="EW121" i="4"/>
  <c r="EW131" i="4"/>
  <c r="EZ136" i="4"/>
  <c r="EZ232" i="4"/>
  <c r="EW173" i="4"/>
  <c r="EW307" i="4"/>
  <c r="EW99" i="4"/>
  <c r="EW292" i="4"/>
  <c r="EW314" i="4"/>
  <c r="EW100" i="4"/>
  <c r="EW280" i="4"/>
  <c r="EW253" i="4"/>
  <c r="EW128" i="4"/>
  <c r="EW268" i="4"/>
  <c r="EW125" i="4"/>
  <c r="EW149" i="4"/>
  <c r="EW328" i="4"/>
  <c r="EW225" i="4"/>
  <c r="EW214" i="4"/>
  <c r="EW228" i="4"/>
  <c r="EW119" i="4"/>
  <c r="EW227" i="4"/>
  <c r="EW170" i="4"/>
  <c r="EW273" i="4"/>
  <c r="EW117" i="4"/>
  <c r="EW88" i="4"/>
  <c r="EW172" i="4"/>
  <c r="EW60" i="4"/>
  <c r="EW183" i="4"/>
  <c r="EW82" i="4"/>
  <c r="EW43" i="4"/>
  <c r="EZ48" i="4"/>
  <c r="EZ116" i="4"/>
  <c r="EZ138" i="4"/>
  <c r="EW254" i="4"/>
  <c r="EW266" i="4"/>
  <c r="EW134" i="4"/>
  <c r="EW153" i="4"/>
  <c r="EW109" i="4"/>
  <c r="EW20" i="4"/>
  <c r="EW199" i="4"/>
  <c r="EW212" i="4"/>
  <c r="EW250" i="4"/>
  <c r="EW120" i="4"/>
  <c r="EW196" i="4"/>
  <c r="EW264" i="4"/>
  <c r="EW38" i="4"/>
  <c r="EW40" i="4"/>
  <c r="EW261" i="4"/>
  <c r="EW213" i="4"/>
  <c r="EW171" i="4"/>
  <c r="EW127" i="4"/>
  <c r="EZ80" i="4"/>
  <c r="EW216" i="4"/>
  <c r="EW73" i="4"/>
  <c r="EW205" i="4"/>
  <c r="EW87" i="4"/>
  <c r="EW158" i="4"/>
  <c r="EW112" i="4"/>
  <c r="EW211" i="4"/>
  <c r="EW259" i="4"/>
  <c r="EW111" i="4"/>
  <c r="EW207" i="4"/>
  <c r="EW176" i="4"/>
  <c r="EW52" i="4"/>
  <c r="EW329" i="4"/>
  <c r="EW124" i="4"/>
  <c r="EW136" i="4"/>
  <c r="EW200" i="4"/>
  <c r="EW143" i="4"/>
  <c r="EZ420" i="4"/>
  <c r="EW321" i="4"/>
  <c r="EW187" i="4"/>
  <c r="EW308" i="4"/>
  <c r="EW188" i="4"/>
  <c r="EW95" i="4"/>
  <c r="EW210" i="4"/>
  <c r="EW208" i="4"/>
  <c r="EW96" i="4"/>
  <c r="EW235" i="4"/>
  <c r="EW147" i="4"/>
  <c r="EW63" i="4"/>
  <c r="EW93" i="4"/>
  <c r="EW167" i="4"/>
  <c r="EW118" i="4"/>
  <c r="EW272" i="4"/>
  <c r="EW72" i="4"/>
  <c r="EW79" i="4"/>
  <c r="EW322" i="4"/>
  <c r="EW185" i="4"/>
  <c r="EW246" i="4"/>
  <c r="EW168" i="4"/>
  <c r="EW251" i="4"/>
  <c r="EW361" i="4"/>
  <c r="EW151" i="4"/>
  <c r="EW106" i="4"/>
  <c r="EW115" i="4"/>
  <c r="EW50" i="4"/>
  <c r="EW232" i="4"/>
  <c r="EW182" i="4"/>
  <c r="EW139" i="4"/>
  <c r="EW169" i="4"/>
  <c r="EW255" i="4"/>
  <c r="EW181" i="4"/>
  <c r="EW130" i="4"/>
  <c r="EZ130" i="4"/>
  <c r="EW358" i="4"/>
  <c r="EW342" i="4"/>
  <c r="EW101" i="4"/>
  <c r="EW215" i="4"/>
  <c r="EW44" i="4"/>
  <c r="EW39" i="4"/>
  <c r="EW209" i="4"/>
  <c r="EW236" i="4"/>
  <c r="EW295" i="4"/>
  <c r="EW336" i="4"/>
  <c r="EW51" i="4"/>
  <c r="EW54" i="4"/>
  <c r="EW86" i="4"/>
  <c r="EW59" i="4"/>
  <c r="EW140" i="4"/>
  <c r="EW98" i="4"/>
  <c r="EW107" i="4"/>
  <c r="EW137" i="4"/>
  <c r="EZ137" i="4"/>
  <c r="EZ49" i="4"/>
  <c r="EZ68" i="4"/>
  <c r="EW238" i="4"/>
  <c r="EW296" i="4"/>
  <c r="EW193" i="4"/>
  <c r="EW260" i="4"/>
  <c r="EW289" i="4"/>
  <c r="EW97" i="4"/>
  <c r="EW206" i="4"/>
  <c r="EW298" i="4"/>
  <c r="EW252" i="4"/>
  <c r="EW116" i="4"/>
  <c r="EW420" i="4"/>
  <c r="EW77" i="4"/>
  <c r="EW69" i="4"/>
  <c r="EW83" i="4"/>
  <c r="EW320" i="4"/>
  <c r="EW71" i="4"/>
  <c r="EW37" i="4"/>
  <c r="EZ126" i="4"/>
  <c r="EZ69" i="4"/>
  <c r="EZ43" i="4"/>
  <c r="EZ37" i="4"/>
  <c r="EW203" i="4"/>
  <c r="EW299" i="4"/>
  <c r="EW294" i="4"/>
  <c r="EW293" i="4"/>
  <c r="EW133" i="4"/>
  <c r="EW132" i="4"/>
  <c r="EW217" i="4"/>
  <c r="EW61" i="4"/>
  <c r="EW166" i="4"/>
  <c r="EW26" i="4"/>
  <c r="EW249" i="4"/>
  <c r="EW108" i="4"/>
  <c r="EW179" i="4"/>
  <c r="EW48" i="4"/>
  <c r="EZ225" i="4"/>
  <c r="EZ188" i="4"/>
  <c r="EZ183" i="4"/>
  <c r="EZ87" i="4"/>
  <c r="EZ151" i="4"/>
  <c r="EZ235" i="4"/>
  <c r="EZ143" i="4"/>
  <c r="DL231" i="4"/>
  <c r="EZ214" i="4"/>
  <c r="EZ296" i="4"/>
  <c r="EZ25" i="4"/>
  <c r="EZ272" i="4"/>
  <c r="EZ239" i="4"/>
  <c r="EZ164" i="4"/>
  <c r="EZ77" i="4"/>
  <c r="EZ121" i="4"/>
  <c r="CN302" i="4"/>
  <c r="EZ246" i="4"/>
  <c r="EZ301" i="4"/>
  <c r="EZ182" i="4"/>
  <c r="EZ63" i="4"/>
  <c r="EZ134" i="4"/>
  <c r="EZ125" i="4"/>
  <c r="EZ96" i="4"/>
  <c r="EZ139" i="4"/>
  <c r="EZ78" i="4"/>
  <c r="EZ158" i="4"/>
  <c r="EZ50" i="4"/>
  <c r="EZ322" i="4"/>
  <c r="EZ98" i="4"/>
  <c r="EZ361" i="4"/>
  <c r="EZ215" i="4"/>
  <c r="EZ79" i="4"/>
  <c r="EZ302" i="4"/>
  <c r="EZ120" i="4"/>
  <c r="EZ181" i="4"/>
  <c r="EZ253" i="4"/>
  <c r="EZ294" i="4"/>
  <c r="EZ170" i="4"/>
  <c r="EZ259" i="4"/>
  <c r="EZ252" i="4"/>
  <c r="EZ82" i="4"/>
  <c r="EZ72" i="4"/>
  <c r="EZ342" i="4"/>
  <c r="EZ268" i="4"/>
  <c r="EZ88" i="4"/>
  <c r="EZ109" i="4"/>
  <c r="EZ185" i="4"/>
  <c r="EZ266" i="4"/>
  <c r="EZ314" i="4"/>
  <c r="EZ293" i="4"/>
  <c r="EZ289" i="4"/>
  <c r="EZ117" i="4"/>
  <c r="EZ238" i="4"/>
  <c r="EZ169" i="4"/>
  <c r="EZ265" i="4"/>
  <c r="EZ264" i="4"/>
  <c r="EZ249" i="4"/>
  <c r="EZ205" i="4"/>
  <c r="EZ128" i="4"/>
  <c r="EZ83" i="4"/>
  <c r="EZ236" i="4"/>
  <c r="EZ115" i="4"/>
  <c r="EZ320" i="4"/>
  <c r="EZ328" i="4"/>
  <c r="EZ140" i="4"/>
  <c r="EZ186" i="4"/>
  <c r="EZ176" i="4"/>
  <c r="EZ70" i="4"/>
  <c r="EZ184" i="4"/>
  <c r="EZ97" i="4"/>
  <c r="EZ84" i="4"/>
  <c r="EZ210" i="4"/>
  <c r="EZ149" i="4"/>
  <c r="EZ154" i="4"/>
  <c r="EZ286" i="4"/>
  <c r="EZ127" i="4"/>
  <c r="EZ292" i="4"/>
  <c r="EZ107" i="4"/>
  <c r="EZ39" i="4"/>
  <c r="EZ150" i="4"/>
  <c r="EZ179" i="4"/>
  <c r="EZ51" i="4"/>
  <c r="EZ207" i="4"/>
  <c r="EZ255" i="4"/>
  <c r="EZ56" i="4"/>
  <c r="EZ216" i="4"/>
  <c r="EZ99" i="4"/>
  <c r="EZ44" i="4"/>
  <c r="EZ218" i="4"/>
  <c r="EZ94" i="4"/>
  <c r="EZ59" i="4"/>
  <c r="EZ237" i="4"/>
  <c r="EZ132" i="4"/>
  <c r="EZ100" i="4"/>
  <c r="CN252" i="4"/>
  <c r="EZ206" i="4"/>
  <c r="EZ211" i="4"/>
  <c r="EZ329" i="4"/>
  <c r="EZ86" i="4"/>
  <c r="EZ142" i="4"/>
  <c r="EZ60" i="4"/>
  <c r="EZ203" i="4"/>
  <c r="EZ73" i="4"/>
  <c r="EZ316" i="4"/>
  <c r="EZ299" i="4"/>
  <c r="EZ212" i="4"/>
  <c r="EZ131" i="4"/>
  <c r="EZ111" i="4"/>
  <c r="EZ167" i="4"/>
  <c r="EZ192" i="4"/>
  <c r="EZ291" i="4"/>
  <c r="EZ317" i="4"/>
  <c r="EZ308" i="4"/>
  <c r="EZ118" i="4"/>
  <c r="EZ256" i="4"/>
  <c r="EZ173" i="4"/>
  <c r="CL336" i="4"/>
  <c r="CN157" i="4"/>
  <c r="CL173" i="4"/>
  <c r="EP321" i="4"/>
  <c r="EP173" i="4"/>
  <c r="EP214" i="4"/>
  <c r="EP170" i="4"/>
  <c r="EP199" i="4"/>
  <c r="EP301" i="4"/>
  <c r="EP268" i="4"/>
  <c r="EP255" i="4"/>
  <c r="EP115" i="4"/>
  <c r="EP56" i="4"/>
  <c r="EP130" i="4"/>
  <c r="EP65" i="4"/>
  <c r="EP17" i="4"/>
  <c r="EP420" i="4"/>
  <c r="EP81" i="4"/>
  <c r="EP66" i="4"/>
  <c r="EP23" i="4"/>
  <c r="EP322" i="4"/>
  <c r="EP225" i="4"/>
  <c r="EP205" i="4"/>
  <c r="EP293" i="4"/>
  <c r="EP20" i="4"/>
  <c r="EP211" i="4"/>
  <c r="EP164" i="4"/>
  <c r="EP272" i="4"/>
  <c r="EP120" i="4"/>
  <c r="EP249" i="4"/>
  <c r="EP256" i="4"/>
  <c r="EP43" i="4"/>
  <c r="EP37" i="4"/>
  <c r="EP67" i="4"/>
  <c r="EP358" i="4"/>
  <c r="EP266" i="4"/>
  <c r="EP308" i="4"/>
  <c r="EP112" i="4"/>
  <c r="EP210" i="4"/>
  <c r="EP150" i="4"/>
  <c r="EP128" i="4"/>
  <c r="EP60" i="4"/>
  <c r="EP72" i="4"/>
  <c r="EP27" i="4"/>
  <c r="EP73" i="4"/>
  <c r="EP251" i="4"/>
  <c r="EP100" i="4"/>
  <c r="EP118" i="4"/>
  <c r="EP235" i="4"/>
  <c r="EP98" i="4"/>
  <c r="EP51" i="4"/>
  <c r="EP119" i="4"/>
  <c r="EP24" i="4"/>
  <c r="EP99" i="4"/>
  <c r="EP237" i="4"/>
  <c r="EP117" i="4"/>
  <c r="EP294" i="4"/>
  <c r="EP297" i="4"/>
  <c r="EP187" i="4"/>
  <c r="EP101" i="4"/>
  <c r="EP329" i="4"/>
  <c r="EP236" i="4"/>
  <c r="EP108" i="4"/>
  <c r="EP106" i="4"/>
  <c r="EP141" i="4"/>
  <c r="EP307" i="4"/>
  <c r="EP153" i="4"/>
  <c r="EP265" i="4"/>
  <c r="EP227" i="4"/>
  <c r="EP361" i="4"/>
  <c r="EP95" i="4"/>
  <c r="EP208" i="4"/>
  <c r="EP58" i="4"/>
  <c r="ES17" i="4"/>
  <c r="EP217" i="4"/>
  <c r="EP186" i="4"/>
  <c r="EP238" i="4"/>
  <c r="EP149" i="4"/>
  <c r="EP209" i="4"/>
  <c r="EP97" i="4"/>
  <c r="EP250" i="4"/>
  <c r="EP172" i="4"/>
  <c r="EP246" i="4"/>
  <c r="EP252" i="4"/>
  <c r="EP87" i="4"/>
  <c r="EP40" i="4"/>
  <c r="EP207" i="4"/>
  <c r="EP273" i="4"/>
  <c r="EP84" i="4"/>
  <c r="EP96" i="4"/>
  <c r="EP140" i="4"/>
  <c r="EP71" i="4"/>
  <c r="EP121" i="4"/>
  <c r="EP215" i="4"/>
  <c r="EP231" i="4"/>
  <c r="EP342" i="4"/>
  <c r="EP261" i="4"/>
  <c r="EP289" i="4"/>
  <c r="EP38" i="4"/>
  <c r="EP111" i="4"/>
  <c r="EP169" i="4"/>
  <c r="EP320" i="4"/>
  <c r="EP61" i="4"/>
  <c r="EP142" i="4"/>
  <c r="EP212" i="4"/>
  <c r="EP182" i="4"/>
  <c r="EP196" i="4"/>
  <c r="EP206" i="4"/>
  <c r="EP83" i="4"/>
  <c r="EP200" i="4"/>
  <c r="EP181" i="4"/>
  <c r="EP286" i="4"/>
  <c r="EP239" i="4"/>
  <c r="EP133" i="4"/>
  <c r="EP313" i="4"/>
  <c r="EP44" i="4"/>
  <c r="EP317" i="4"/>
  <c r="EP176" i="4"/>
  <c r="EP88" i="4"/>
  <c r="EP134" i="4"/>
  <c r="EP253" i="4"/>
  <c r="EP193" i="4"/>
  <c r="EP259" i="4"/>
  <c r="EP166" i="4"/>
  <c r="EP63" i="4"/>
  <c r="EP168" i="4"/>
  <c r="EP167" i="4"/>
  <c r="EP86" i="4"/>
  <c r="EP139" i="4"/>
  <c r="EP107" i="4"/>
  <c r="EP39" i="4"/>
  <c r="EP203" i="4"/>
  <c r="EP302" i="4"/>
  <c r="EP316" i="4"/>
  <c r="EP306" i="4"/>
  <c r="EP184" i="4"/>
  <c r="EP183" i="4"/>
  <c r="EP188" i="4"/>
  <c r="EP109" i="4"/>
  <c r="EP82" i="4"/>
  <c r="EP157" i="4"/>
  <c r="EP50" i="4"/>
  <c r="EP179" i="4"/>
  <c r="EP77" i="4"/>
  <c r="EP59" i="4"/>
  <c r="EP25" i="4"/>
  <c r="EP137" i="4"/>
  <c r="EP158" i="4"/>
  <c r="EP328" i="4"/>
  <c r="EP132" i="4"/>
  <c r="EP292" i="4"/>
  <c r="EP52" i="4"/>
  <c r="EP291" i="4"/>
  <c r="EP192" i="4"/>
  <c r="EP185" i="4"/>
  <c r="EP300" i="4"/>
  <c r="EP143" i="4"/>
  <c r="EP296" i="4"/>
  <c r="EP94" i="4"/>
  <c r="EP171" i="4"/>
  <c r="EP49" i="4"/>
  <c r="EP54" i="4"/>
  <c r="EP93" i="4"/>
  <c r="EP69" i="4"/>
  <c r="EP138" i="4"/>
  <c r="EP53" i="4"/>
  <c r="EP254" i="4"/>
  <c r="EP151" i="4"/>
  <c r="EP131" i="4"/>
  <c r="EP314" i="4"/>
  <c r="EP78" i="4"/>
  <c r="EP295" i="4"/>
  <c r="EP198" i="4"/>
  <c r="EP213" i="4"/>
  <c r="EP264" i="4"/>
  <c r="EP299" i="4"/>
  <c r="EP125" i="4"/>
  <c r="EP79" i="4"/>
  <c r="EP124" i="4"/>
  <c r="EP80" i="4"/>
  <c r="EP116" i="4"/>
  <c r="EP232" i="4"/>
  <c r="EP136" i="4"/>
  <c r="EP126" i="4"/>
  <c r="EP26" i="4"/>
  <c r="EP68" i="4"/>
  <c r="EP57" i="4"/>
  <c r="EP216" i="4"/>
  <c r="EP260" i="4"/>
  <c r="EP218" i="4"/>
  <c r="EP336" i="4"/>
  <c r="EP228" i="4"/>
  <c r="EP298" i="4"/>
  <c r="EP280" i="4"/>
  <c r="EP147" i="4"/>
  <c r="EP154" i="4"/>
  <c r="EP70" i="4"/>
  <c r="EP127" i="4"/>
  <c r="EP47" i="4"/>
  <c r="EP48" i="4"/>
  <c r="EP89" i="4"/>
  <c r="EP91" i="4"/>
  <c r="EP92" i="4"/>
  <c r="EP46" i="4"/>
  <c r="EN297" i="4"/>
  <c r="EN44" i="4"/>
  <c r="EN296" i="4"/>
  <c r="EN294" i="4"/>
  <c r="EN313" i="4"/>
  <c r="EN78" i="4"/>
  <c r="EN164" i="4"/>
  <c r="EN128" i="4"/>
  <c r="EN43" i="4"/>
  <c r="EN130" i="4"/>
  <c r="EN80" i="4"/>
  <c r="EN140" i="4"/>
  <c r="EN217" i="4"/>
  <c r="EN316" i="4"/>
  <c r="EN203" i="4"/>
  <c r="EN299" i="4"/>
  <c r="EN291" i="4"/>
  <c r="EN150" i="4"/>
  <c r="EN118" i="4"/>
  <c r="EN235" i="4"/>
  <c r="EN115" i="4"/>
  <c r="EN37" i="4"/>
  <c r="EN147" i="4"/>
  <c r="EN139" i="4"/>
  <c r="EN215" i="4"/>
  <c r="EN154" i="4"/>
  <c r="EN237" i="4"/>
  <c r="EN329" i="4"/>
  <c r="EN314" i="4"/>
  <c r="EN273" i="4"/>
  <c r="EN100" i="4"/>
  <c r="EN108" i="4"/>
  <c r="EN106" i="4"/>
  <c r="EN216" i="4"/>
  <c r="EN255" i="4"/>
  <c r="EN200" i="4"/>
  <c r="EN71" i="4"/>
  <c r="EN302" i="4"/>
  <c r="EN286" i="4"/>
  <c r="EN239" i="4"/>
  <c r="EN56" i="4"/>
  <c r="EN149" i="4"/>
  <c r="EN212" i="4"/>
  <c r="EN172" i="4"/>
  <c r="EN176" i="4"/>
  <c r="EN72" i="4"/>
  <c r="EN61" i="4"/>
  <c r="EN84" i="4"/>
  <c r="EN209" i="4"/>
  <c r="EN86" i="4"/>
  <c r="EN26" i="4"/>
  <c r="EN292" i="4"/>
  <c r="EN39" i="4"/>
  <c r="EN205" i="4"/>
  <c r="EN256" i="4"/>
  <c r="EN99" i="4"/>
  <c r="EN261" i="4"/>
  <c r="EN199" i="4"/>
  <c r="EN259" i="4"/>
  <c r="EN250" i="4"/>
  <c r="EN169" i="4"/>
  <c r="EN183" i="4"/>
  <c r="EN51" i="4"/>
  <c r="EN142" i="4"/>
  <c r="EN289" i="4"/>
  <c r="EN196" i="4"/>
  <c r="EN167" i="4"/>
  <c r="EN77" i="4"/>
  <c r="EN25" i="4"/>
  <c r="EN151" i="4"/>
  <c r="EN322" i="4"/>
  <c r="EN132" i="4"/>
  <c r="EN308" i="4"/>
  <c r="EN227" i="4"/>
  <c r="EN211" i="4"/>
  <c r="EN208" i="4"/>
  <c r="EN111" i="4"/>
  <c r="EN73" i="4"/>
  <c r="EN213" i="4"/>
  <c r="EN253" i="4"/>
  <c r="EN20" i="4"/>
  <c r="EN207" i="4"/>
  <c r="EN249" i="4"/>
  <c r="EN179" i="4"/>
  <c r="EN138" i="4"/>
  <c r="EN336" i="4"/>
  <c r="EN358" i="4"/>
  <c r="EN119" i="4"/>
  <c r="EN109" i="4"/>
  <c r="EN210" i="4"/>
  <c r="EN361" i="4"/>
  <c r="EN96" i="4"/>
  <c r="EN184" i="4"/>
  <c r="EN307" i="4"/>
  <c r="EN98" i="4"/>
  <c r="EN141" i="4"/>
  <c r="EN112" i="4"/>
  <c r="EN265" i="4"/>
  <c r="EN38" i="4"/>
  <c r="EN182" i="4"/>
  <c r="EN93" i="4"/>
  <c r="EN126" i="4"/>
  <c r="EN68" i="4"/>
  <c r="EN117" i="4"/>
  <c r="EN228" i="4"/>
  <c r="EN101" i="4"/>
  <c r="EN153" i="4"/>
  <c r="EN158" i="4"/>
  <c r="EN52" i="4"/>
  <c r="EN251" i="4"/>
  <c r="EN317" i="4"/>
  <c r="EN300" i="4"/>
  <c r="EN320" i="4"/>
  <c r="EN94" i="4"/>
  <c r="EN133" i="4"/>
  <c r="EN60" i="4"/>
  <c r="EN82" i="4"/>
  <c r="EN40" i="4"/>
  <c r="EN63" i="4"/>
  <c r="EN232" i="4"/>
  <c r="EN136" i="4"/>
  <c r="EN83" i="4"/>
  <c r="EN134" i="4"/>
  <c r="EN225" i="4"/>
  <c r="EN238" i="4"/>
  <c r="EN87" i="4"/>
  <c r="EN95" i="4"/>
  <c r="EN131" i="4"/>
  <c r="EN236" i="4"/>
  <c r="EN206" i="4"/>
  <c r="EN295" i="4"/>
  <c r="EN198" i="4"/>
  <c r="EN88" i="4"/>
  <c r="EN121" i="4"/>
  <c r="EN97" i="4"/>
  <c r="EN171" i="4"/>
  <c r="EN50" i="4"/>
  <c r="EN48" i="4"/>
  <c r="EN69" i="4"/>
  <c r="EN186" i="4"/>
  <c r="EN266" i="4"/>
  <c r="EN173" i="4"/>
  <c r="EN168" i="4"/>
  <c r="EN218" i="4"/>
  <c r="EN328" i="4"/>
  <c r="EN306" i="4"/>
  <c r="EN298" i="4"/>
  <c r="EN280" i="4"/>
  <c r="EN181" i="4"/>
  <c r="EN125" i="4"/>
  <c r="EN124" i="4"/>
  <c r="EN166" i="4"/>
  <c r="EN54" i="4"/>
  <c r="EN59" i="4"/>
  <c r="EN188" i="4"/>
  <c r="EN231" i="4"/>
  <c r="EN187" i="4"/>
  <c r="EN214" i="4"/>
  <c r="EN254" i="4"/>
  <c r="EN321" i="4"/>
  <c r="EN185" i="4"/>
  <c r="EN268" i="4"/>
  <c r="EN143" i="4"/>
  <c r="EN53" i="4"/>
  <c r="EN107" i="4"/>
  <c r="EN70" i="4"/>
  <c r="EN79" i="4"/>
  <c r="EN157" i="4"/>
  <c r="EN116" i="4"/>
  <c r="EN246" i="4"/>
  <c r="EN342" i="4"/>
  <c r="EN260" i="4"/>
  <c r="EN193" i="4"/>
  <c r="EN293" i="4"/>
  <c r="EN170" i="4"/>
  <c r="EN192" i="4"/>
  <c r="EN301" i="4"/>
  <c r="EN272" i="4"/>
  <c r="EN120" i="4"/>
  <c r="EN264" i="4"/>
  <c r="EN58" i="4"/>
  <c r="EN137" i="4"/>
  <c r="EN127" i="4"/>
  <c r="EN49" i="4"/>
  <c r="EN252" i="4"/>
  <c r="CJ308" i="4"/>
  <c r="CL266" i="4"/>
  <c r="CL328" i="4"/>
  <c r="CL306" i="4"/>
  <c r="CN289" i="4"/>
  <c r="CJ71" i="4"/>
  <c r="CL314" i="4"/>
  <c r="CL313" i="4"/>
  <c r="CJ217" i="4"/>
  <c r="CL291" i="4"/>
  <c r="CL246" i="4"/>
  <c r="CN57" i="4"/>
  <c r="CN26" i="4"/>
  <c r="CN164" i="4"/>
  <c r="CL20" i="4"/>
  <c r="CN186" i="4"/>
  <c r="CN65" i="4"/>
  <c r="DG308" i="4"/>
  <c r="ER218" i="4"/>
  <c r="ES313" i="4"/>
  <c r="ES228" i="4"/>
  <c r="ER297" i="4"/>
  <c r="ER314" i="4"/>
  <c r="ER236" i="4"/>
  <c r="ES164" i="4"/>
  <c r="ES96" i="4"/>
  <c r="ES268" i="4"/>
  <c r="ES169" i="4"/>
  <c r="ES176" i="4"/>
  <c r="ER213" i="4"/>
  <c r="ER141" i="4"/>
  <c r="ER264" i="4"/>
  <c r="ER252" i="4"/>
  <c r="ER117" i="4"/>
  <c r="ES193" i="4"/>
  <c r="ES227" i="4"/>
  <c r="ES293" i="4"/>
  <c r="ER133" i="4"/>
  <c r="ES116" i="4"/>
  <c r="ER169" i="4"/>
  <c r="ER47" i="4"/>
  <c r="ER168" i="4"/>
  <c r="ER67" i="4"/>
  <c r="ER167" i="4"/>
  <c r="ER128" i="4"/>
  <c r="ES91" i="4"/>
  <c r="ES131" i="4"/>
  <c r="ER91" i="4"/>
  <c r="ES181" i="4"/>
  <c r="ES70" i="4"/>
  <c r="ES171" i="4"/>
  <c r="ES127" i="4"/>
  <c r="ER186" i="4"/>
  <c r="ER239" i="4"/>
  <c r="ER342" i="4"/>
  <c r="ER101" i="4"/>
  <c r="ER302" i="4"/>
  <c r="ES254" i="4"/>
  <c r="ER273" i="4"/>
  <c r="ER206" i="4"/>
  <c r="ER150" i="4"/>
  <c r="ER94" i="4"/>
  <c r="ER300" i="4"/>
  <c r="ES60" i="4"/>
  <c r="ES264" i="4"/>
  <c r="ES200" i="4"/>
  <c r="ES142" i="4"/>
  <c r="ES299" i="4"/>
  <c r="ES153" i="4"/>
  <c r="ER296" i="4"/>
  <c r="ER119" i="4"/>
  <c r="ER294" i="4"/>
  <c r="ER149" i="4"/>
  <c r="ER109" i="4"/>
  <c r="ES97" i="4"/>
  <c r="ER80" i="4"/>
  <c r="ES168" i="4"/>
  <c r="ES67" i="4"/>
  <c r="ES167" i="4"/>
  <c r="ES86" i="4"/>
  <c r="ES120" i="4"/>
  <c r="ER66" i="4"/>
  <c r="ES140" i="4"/>
  <c r="ES23" i="4"/>
  <c r="ER107" i="4"/>
  <c r="ER127" i="4"/>
  <c r="ER125" i="4"/>
  <c r="ER231" i="4"/>
  <c r="ES225" i="4"/>
  <c r="ES218" i="4"/>
  <c r="ER173" i="4"/>
  <c r="ES306" i="4"/>
  <c r="ES134" i="4"/>
  <c r="ER217" i="4"/>
  <c r="ER97" i="4"/>
  <c r="ES150" i="4"/>
  <c r="ES94" i="4"/>
  <c r="ES272" i="4"/>
  <c r="ER185" i="4"/>
  <c r="ES183" i="4"/>
  <c r="ER235" i="4"/>
  <c r="ER147" i="4"/>
  <c r="ER61" i="4"/>
  <c r="ER196" i="4"/>
  <c r="ES294" i="4"/>
  <c r="ES109" i="4"/>
  <c r="ER65" i="4"/>
  <c r="ES47" i="4"/>
  <c r="ER182" i="4"/>
  <c r="ER179" i="4"/>
  <c r="ES83" i="4"/>
  <c r="ER83" i="4"/>
  <c r="ES107" i="4"/>
  <c r="ER130" i="4"/>
  <c r="ES211" i="4"/>
  <c r="ES27" i="4"/>
  <c r="ES239" i="4"/>
  <c r="ER39" i="4"/>
  <c r="ES101" i="4"/>
  <c r="ER238" i="4"/>
  <c r="ER292" i="4"/>
  <c r="ES216" i="4"/>
  <c r="ES273" i="4"/>
  <c r="ES206" i="4"/>
  <c r="ER212" i="4"/>
  <c r="ER100" i="4"/>
  <c r="ES184" i="4"/>
  <c r="ER198" i="4"/>
  <c r="ES98" i="4"/>
  <c r="ES186" i="4"/>
  <c r="ES253" i="4"/>
  <c r="ES154" i="4"/>
  <c r="ES87" i="4"/>
  <c r="ER299" i="4"/>
  <c r="ER153" i="4"/>
  <c r="ER261" i="4"/>
  <c r="ES40" i="4"/>
  <c r="ER40" i="4"/>
  <c r="ES179" i="4"/>
  <c r="ES77" i="4"/>
  <c r="ER86" i="4"/>
  <c r="ER25" i="4"/>
  <c r="ER137" i="4"/>
  <c r="ES231" i="4"/>
  <c r="ER246" i="4"/>
  <c r="ES266" i="4"/>
  <c r="ES173" i="4"/>
  <c r="ER214" i="4"/>
  <c r="ES307" i="4"/>
  <c r="ER215" i="4"/>
  <c r="ER199" i="4"/>
  <c r="ER38" i="4"/>
  <c r="ES100" i="4"/>
  <c r="ES342" i="4"/>
  <c r="ES128" i="4"/>
  <c r="ER295" i="4"/>
  <c r="ER255" i="4"/>
  <c r="ER320" i="4"/>
  <c r="ER115" i="4"/>
  <c r="ER84" i="4"/>
  <c r="ER207" i="4"/>
  <c r="ES158" i="4"/>
  <c r="ER216" i="4"/>
  <c r="ES209" i="4"/>
  <c r="ES182" i="4"/>
  <c r="ER63" i="4"/>
  <c r="ER93" i="4"/>
  <c r="ES139" i="4"/>
  <c r="ER139" i="4"/>
  <c r="ES137" i="4"/>
  <c r="ES291" i="4"/>
  <c r="ES43" i="4"/>
  <c r="ER322" i="4"/>
  <c r="ES39" i="4"/>
  <c r="ER132" i="4"/>
  <c r="ER203" i="4"/>
  <c r="ES238" i="4"/>
  <c r="ER151" i="4"/>
  <c r="ES321" i="4"/>
  <c r="ES212" i="4"/>
  <c r="ER254" i="4"/>
  <c r="ER259" i="4"/>
  <c r="ES300" i="4"/>
  <c r="ER280" i="4"/>
  <c r="ES320" i="4"/>
  <c r="ES115" i="4"/>
  <c r="ES252" i="4"/>
  <c r="ES117" i="4"/>
  <c r="ES56" i="4"/>
  <c r="ER154" i="4"/>
  <c r="ER87" i="4"/>
  <c r="ER293" i="4"/>
  <c r="ER82" i="4"/>
  <c r="ES93" i="4"/>
  <c r="ER77" i="4"/>
  <c r="ES25" i="4"/>
  <c r="ER138" i="4"/>
  <c r="ER268" i="4"/>
  <c r="ER53" i="4"/>
  <c r="ER237" i="4"/>
  <c r="ES246" i="4"/>
  <c r="ER44" i="4"/>
  <c r="ES73" i="4"/>
  <c r="ES214" i="4"/>
  <c r="ES188" i="4"/>
  <c r="ER286" i="4"/>
  <c r="ER211" i="4"/>
  <c r="ER321" i="4"/>
  <c r="ES118" i="4"/>
  <c r="ER298" i="4"/>
  <c r="ES213" i="4"/>
  <c r="ER176" i="4"/>
  <c r="ER249" i="4"/>
  <c r="ER88" i="4"/>
  <c r="ER265" i="4"/>
  <c r="ER140" i="4"/>
  <c r="ES237" i="4"/>
  <c r="ES95" i="4"/>
  <c r="ES170" i="4"/>
  <c r="ES289" i="4"/>
  <c r="ES166" i="4"/>
  <c r="ES63" i="4"/>
  <c r="ER50" i="4"/>
  <c r="ER232" i="4"/>
  <c r="ER136" i="4"/>
  <c r="ES59" i="4"/>
  <c r="ER59" i="4"/>
  <c r="ES53" i="4"/>
  <c r="ES329" i="4"/>
  <c r="ER108" i="4"/>
  <c r="ER27" i="4"/>
  <c r="ER358" i="4"/>
  <c r="ES132" i="4"/>
  <c r="ER205" i="4"/>
  <c r="ES302" i="4"/>
  <c r="ER336" i="4"/>
  <c r="ER228" i="4"/>
  <c r="ES259" i="4"/>
  <c r="ES286" i="4"/>
  <c r="ER208" i="4"/>
  <c r="ES185" i="4"/>
  <c r="ER250" i="4"/>
  <c r="ER328" i="4"/>
  <c r="ES88" i="4"/>
  <c r="ES61" i="4"/>
  <c r="ES196" i="4"/>
  <c r="ES256" i="4"/>
  <c r="ES322" i="4"/>
  <c r="ER56" i="4"/>
  <c r="ER134" i="4"/>
  <c r="ER171" i="4"/>
  <c r="ER166" i="4"/>
  <c r="ES232" i="4"/>
  <c r="ES136" i="4"/>
  <c r="ES314" i="4"/>
  <c r="ES126" i="4"/>
  <c r="ES138" i="4"/>
  <c r="ER209" i="4"/>
  <c r="ER68" i="4"/>
  <c r="ER172" i="4"/>
  <c r="ER58" i="4"/>
  <c r="ER158" i="4"/>
  <c r="ER57" i="4"/>
  <c r="ES235" i="4"/>
  <c r="ES65" i="4"/>
  <c r="ES44" i="4"/>
  <c r="ER316" i="4"/>
  <c r="ES187" i="4"/>
  <c r="ER317" i="4"/>
  <c r="ES297" i="4"/>
  <c r="ER210" i="4"/>
  <c r="ER192" i="4"/>
  <c r="ES250" i="4"/>
  <c r="ES295" i="4"/>
  <c r="ES108" i="4"/>
  <c r="ES358" i="4"/>
  <c r="ES147" i="4"/>
  <c r="ER183" i="4"/>
  <c r="ER60" i="4"/>
  <c r="ER72" i="4"/>
  <c r="ER142" i="4"/>
  <c r="ER266" i="4"/>
  <c r="ES217" i="4"/>
  <c r="ES20" i="4"/>
  <c r="ES133" i="4"/>
  <c r="ES157" i="4"/>
  <c r="ES50" i="4"/>
  <c r="ER54" i="4"/>
  <c r="ER99" i="4"/>
  <c r="ER48" i="4"/>
  <c r="ES69" i="4"/>
  <c r="ER69" i="4"/>
  <c r="ES251" i="4"/>
  <c r="ES58" i="4"/>
  <c r="ER95" i="4"/>
  <c r="ES57" i="4"/>
  <c r="ES52" i="4"/>
  <c r="ES24" i="4"/>
  <c r="ER106" i="4"/>
  <c r="ER260" i="4"/>
  <c r="ES205" i="4"/>
  <c r="ER308" i="4"/>
  <c r="ES292" i="4"/>
  <c r="ES192" i="4"/>
  <c r="ES208" i="4"/>
  <c r="ES301" i="4"/>
  <c r="ER361" i="4"/>
  <c r="ER301" i="4"/>
  <c r="ER111" i="4"/>
  <c r="ES151" i="4"/>
  <c r="ES255" i="4"/>
  <c r="ES72" i="4"/>
  <c r="ES84" i="4"/>
  <c r="ES207" i="4"/>
  <c r="ES203" i="4"/>
  <c r="ER256" i="4"/>
  <c r="ES215" i="4"/>
  <c r="ER52" i="4"/>
  <c r="ES49" i="4"/>
  <c r="ER20" i="4"/>
  <c r="ER157" i="4"/>
  <c r="ER227" i="4"/>
  <c r="ES48" i="4"/>
  <c r="ER289" i="4"/>
  <c r="ES89" i="4"/>
  <c r="ES210" i="4"/>
  <c r="ER126" i="4"/>
  <c r="ES68" i="4"/>
  <c r="ER131" i="4"/>
  <c r="ER92" i="4"/>
  <c r="ER71" i="4"/>
  <c r="ER46" i="4"/>
  <c r="ES316" i="4"/>
  <c r="ES317" i="4"/>
  <c r="ER313" i="4"/>
  <c r="ER291" i="4"/>
  <c r="ER251" i="4"/>
  <c r="ER78" i="4"/>
  <c r="ES111" i="4"/>
  <c r="ES298" i="4"/>
  <c r="ES172" i="4"/>
  <c r="ER306" i="4"/>
  <c r="ER120" i="4"/>
  <c r="ER98" i="4"/>
  <c r="ER143" i="4"/>
  <c r="ER73" i="4"/>
  <c r="ER253" i="4"/>
  <c r="ES336" i="4"/>
  <c r="ES99" i="4"/>
  <c r="ER188" i="4"/>
  <c r="ES112" i="4"/>
  <c r="ER124" i="4"/>
  <c r="ER112" i="4"/>
  <c r="ES54" i="4"/>
  <c r="ER118" i="4"/>
  <c r="ER116" i="4"/>
  <c r="ER420" i="4"/>
  <c r="ES236" i="4"/>
  <c r="ER81" i="4"/>
  <c r="ER225" i="4"/>
  <c r="ES26" i="4"/>
  <c r="ES149" i="4"/>
  <c r="ER26" i="4"/>
  <c r="ES71" i="4"/>
  <c r="ES46" i="4"/>
  <c r="ES121" i="4"/>
  <c r="ES260" i="4"/>
  <c r="ES308" i="4"/>
  <c r="ES328" i="4"/>
  <c r="ES78" i="4"/>
  <c r="ES361" i="4"/>
  <c r="ER164" i="4"/>
  <c r="ER96" i="4"/>
  <c r="ER184" i="4"/>
  <c r="ES249" i="4"/>
  <c r="ES143" i="4"/>
  <c r="ES51" i="4"/>
  <c r="ES265" i="4"/>
  <c r="ES296" i="4"/>
  <c r="ES119" i="4"/>
  <c r="ER307" i="4"/>
  <c r="ER193" i="4"/>
  <c r="ER329" i="4"/>
  <c r="ER170" i="4"/>
  <c r="ES80" i="4"/>
  <c r="ES199" i="4"/>
  <c r="ER49" i="4"/>
  <c r="ES420" i="4"/>
  <c r="ES38" i="4"/>
  <c r="ES81" i="4"/>
  <c r="ER51" i="4"/>
  <c r="ES66" i="4"/>
  <c r="ER272" i="4"/>
  <c r="ER89" i="4"/>
  <c r="ES261" i="4"/>
  <c r="ES92" i="4"/>
  <c r="ER200" i="4"/>
  <c r="ER23" i="4"/>
  <c r="ER181" i="4"/>
  <c r="ES37" i="4"/>
  <c r="ER24" i="4"/>
  <c r="ER121" i="4"/>
  <c r="ES82" i="4"/>
  <c r="ES141" i="4"/>
  <c r="ES125" i="4"/>
  <c r="ER79" i="4"/>
  <c r="ER70" i="4"/>
  <c r="ES79" i="4"/>
  <c r="ES124" i="4"/>
  <c r="ER37" i="4"/>
  <c r="ES130" i="4"/>
  <c r="ER187" i="4"/>
  <c r="ER43" i="4"/>
  <c r="ES198" i="4"/>
  <c r="ES106" i="4"/>
  <c r="ES280" i="4"/>
  <c r="CN61" i="4"/>
  <c r="CJ132" i="4"/>
  <c r="CN151" i="4"/>
  <c r="DG228" i="4"/>
  <c r="CN298" i="4"/>
  <c r="CL203" i="4"/>
  <c r="CJ141" i="4"/>
  <c r="DJ199" i="4"/>
  <c r="CN420" i="4"/>
  <c r="CN187" i="4"/>
  <c r="CJ140" i="4"/>
  <c r="CN307" i="4"/>
  <c r="CN141" i="4"/>
  <c r="CN236" i="4"/>
  <c r="CJ198" i="4"/>
  <c r="CJ266" i="4"/>
  <c r="CN49" i="4"/>
  <c r="CJ169" i="4"/>
  <c r="CN59" i="4"/>
  <c r="CN308" i="4"/>
  <c r="CN206" i="4"/>
  <c r="DI176" i="4"/>
  <c r="CJ307" i="4"/>
  <c r="CJ203" i="4"/>
  <c r="CN48" i="4"/>
  <c r="CJ206" i="4"/>
  <c r="CN314" i="4"/>
  <c r="CN127" i="4"/>
  <c r="CN231" i="4"/>
  <c r="CN205" i="4"/>
  <c r="CJ46" i="4"/>
  <c r="DJ50" i="4"/>
  <c r="EL44" i="4"/>
  <c r="EL73" i="4"/>
  <c r="EL358" i="4"/>
  <c r="EL154" i="4"/>
  <c r="EK256" i="4"/>
  <c r="EL199" i="4"/>
  <c r="EL185" i="4"/>
  <c r="EL39" i="4"/>
  <c r="EL205" i="4"/>
  <c r="EL198" i="4"/>
  <c r="EL238" i="4"/>
  <c r="EK150" i="4"/>
  <c r="EK169" i="4"/>
  <c r="EK81" i="4"/>
  <c r="EK236" i="4"/>
  <c r="EL200" i="4"/>
  <c r="EL264" i="4"/>
  <c r="EL107" i="4"/>
  <c r="EK44" i="4"/>
  <c r="EL115" i="4"/>
  <c r="EK336" i="4"/>
  <c r="EK96" i="4"/>
  <c r="EL38" i="4"/>
  <c r="EK42" i="4"/>
  <c r="EK133" i="4"/>
  <c r="EK18" i="4"/>
  <c r="EK11" i="4"/>
  <c r="EK187" i="4"/>
  <c r="EL228" i="4"/>
  <c r="EK231" i="4"/>
  <c r="EK84" i="4"/>
  <c r="EK151" i="4"/>
  <c r="EL99" i="4"/>
  <c r="EK158" i="4"/>
  <c r="EK192" i="4"/>
  <c r="EK254" i="4"/>
  <c r="EL239" i="4"/>
  <c r="EL280" i="4"/>
  <c r="EL71" i="4"/>
  <c r="EK111" i="4"/>
  <c r="EL69" i="4"/>
  <c r="EK261" i="4"/>
  <c r="EK83" i="4"/>
  <c r="EK209" i="4"/>
  <c r="EL272" i="4"/>
  <c r="EL168" i="4"/>
  <c r="EK101" i="4"/>
  <c r="EK131" i="4"/>
  <c r="EK184" i="4"/>
  <c r="EL169" i="4"/>
  <c r="EL157" i="4"/>
  <c r="EL22" i="4"/>
  <c r="EL67" i="4"/>
  <c r="EL316" i="4"/>
  <c r="EL187" i="4"/>
  <c r="EK302" i="4"/>
  <c r="EK228" i="4"/>
  <c r="EL56" i="4"/>
  <c r="EL260" i="4"/>
  <c r="EK317" i="4"/>
  <c r="EL301" i="4"/>
  <c r="EK292" i="4"/>
  <c r="EK308" i="4"/>
  <c r="EK268" i="4"/>
  <c r="EL320" i="4"/>
  <c r="EL147" i="4"/>
  <c r="EK167" i="4"/>
  <c r="EL313" i="4"/>
  <c r="EK235" i="4"/>
  <c r="EK126" i="4"/>
  <c r="EL209" i="4"/>
  <c r="EL251" i="4"/>
  <c r="EK25" i="4"/>
  <c r="EL211" i="4"/>
  <c r="EL137" i="4"/>
  <c r="EK121" i="4"/>
  <c r="EL40" i="4"/>
  <c r="EK97" i="4"/>
  <c r="EK260" i="4"/>
  <c r="EK342" i="4"/>
  <c r="EL256" i="4"/>
  <c r="EK296" i="4"/>
  <c r="EK119" i="4"/>
  <c r="EL329" i="4"/>
  <c r="EK313" i="4"/>
  <c r="EK186" i="4"/>
  <c r="EL218" i="4"/>
  <c r="EL328" i="4"/>
  <c r="EK216" i="4"/>
  <c r="EK142" i="4"/>
  <c r="EL294" i="4"/>
  <c r="EL302" i="4"/>
  <c r="EL186" i="4"/>
  <c r="EL192" i="4"/>
  <c r="EL164" i="4"/>
  <c r="EL307" i="4"/>
  <c r="EK321" i="4"/>
  <c r="EK205" i="4"/>
  <c r="EK183" i="4"/>
  <c r="EL118" i="4"/>
  <c r="EL77" i="4"/>
  <c r="EK198" i="4"/>
  <c r="EL141" i="4"/>
  <c r="EL91" i="4"/>
  <c r="EK59" i="4"/>
  <c r="EL53" i="4"/>
  <c r="EK207" i="4"/>
  <c r="EL188" i="4"/>
  <c r="EL70" i="4"/>
  <c r="EL289" i="4"/>
  <c r="EK238" i="4"/>
  <c r="EL182" i="4"/>
  <c r="EK329" i="4"/>
  <c r="EL179" i="4"/>
  <c r="EK37" i="4"/>
  <c r="EL93" i="4"/>
  <c r="EK316" i="4"/>
  <c r="EL18" i="4"/>
  <c r="EL57" i="4"/>
  <c r="EK206" i="4"/>
  <c r="EL342" i="4"/>
  <c r="EK297" i="4"/>
  <c r="EL151" i="4"/>
  <c r="EK299" i="4"/>
  <c r="EL149" i="4"/>
  <c r="EK239" i="4"/>
  <c r="EK225" i="4"/>
  <c r="EL173" i="4"/>
  <c r="EL254" i="4"/>
  <c r="EK306" i="4"/>
  <c r="EK253" i="4"/>
  <c r="EL101" i="4"/>
  <c r="EL231" i="4"/>
  <c r="EL225" i="4"/>
  <c r="EK203" i="4"/>
  <c r="EK217" i="4"/>
  <c r="EL296" i="4"/>
  <c r="EL119" i="4"/>
  <c r="EK154" i="4"/>
  <c r="EK214" i="4"/>
  <c r="EL261" i="4"/>
  <c r="EL314" i="4"/>
  <c r="EK212" i="4"/>
  <c r="EK301" i="4"/>
  <c r="EL184" i="4"/>
  <c r="EK218" i="4"/>
  <c r="EL143" i="4"/>
  <c r="EL111" i="4"/>
  <c r="EK136" i="4"/>
  <c r="EK210" i="4"/>
  <c r="EK86" i="4"/>
  <c r="EK314" i="4"/>
  <c r="EL72" i="4"/>
  <c r="EK246" i="4"/>
  <c r="EK51" i="4"/>
  <c r="EK322" i="4"/>
  <c r="EK39" i="4"/>
  <c r="EK266" i="4"/>
  <c r="EL214" i="4"/>
  <c r="EK252" i="4"/>
  <c r="EK117" i="4"/>
  <c r="EL237" i="4"/>
  <c r="EK193" i="4"/>
  <c r="EK227" i="4"/>
  <c r="EK20" i="4"/>
  <c r="EL292" i="4"/>
  <c r="EL100" i="4"/>
  <c r="EL298" i="4"/>
  <c r="EK295" i="4"/>
  <c r="EK213" i="4"/>
  <c r="EL235" i="4"/>
  <c r="EL126" i="4"/>
  <c r="EL208" i="4"/>
  <c r="EL139" i="4"/>
  <c r="EK358" i="4"/>
  <c r="EK132" i="4"/>
  <c r="EK73" i="4"/>
  <c r="EK328" i="4"/>
  <c r="EK61" i="4"/>
  <c r="EK196" i="4"/>
  <c r="EK294" i="4"/>
  <c r="EK109" i="4"/>
  <c r="EK112" i="4"/>
  <c r="EL286" i="4"/>
  <c r="EL308" i="4"/>
  <c r="EL299" i="4"/>
  <c r="EK170" i="4"/>
  <c r="EK185" i="4"/>
  <c r="EK249" i="4"/>
  <c r="EK147" i="4"/>
  <c r="EL132" i="4"/>
  <c r="EK139" i="4"/>
  <c r="EK200" i="4"/>
  <c r="EK87" i="4"/>
  <c r="EL361" i="4"/>
  <c r="EL128" i="4"/>
  <c r="EL112" i="4"/>
  <c r="EK232" i="4"/>
  <c r="EL114" i="4"/>
  <c r="EL155" i="4"/>
  <c r="EK31" i="4"/>
  <c r="EK33" i="4"/>
  <c r="EL90" i="4"/>
  <c r="EL124" i="4"/>
  <c r="EK63" i="4"/>
  <c r="EK265" i="4"/>
  <c r="EL295" i="4"/>
  <c r="EL236" i="4"/>
  <c r="EK100" i="4"/>
  <c r="EL176" i="4"/>
  <c r="EL25" i="4"/>
  <c r="EK140" i="4"/>
  <c r="EL95" i="4"/>
  <c r="EL108" i="4"/>
  <c r="EK255" i="4"/>
  <c r="EL212" i="4"/>
  <c r="EK35" i="4"/>
  <c r="EL30" i="4"/>
  <c r="EK36" i="4"/>
  <c r="EK116" i="4"/>
  <c r="EL43" i="4"/>
  <c r="EL158" i="4"/>
  <c r="EL153" i="4"/>
  <c r="EK164" i="4"/>
  <c r="EL215" i="4"/>
  <c r="EK172" i="4"/>
  <c r="EK118" i="4"/>
  <c r="EL84" i="4"/>
  <c r="EL138" i="4"/>
  <c r="EL121" i="4"/>
  <c r="EL125" i="4"/>
  <c r="EL60" i="4"/>
  <c r="EL206" i="4"/>
  <c r="EL259" i="4"/>
  <c r="EK361" i="4"/>
  <c r="EK125" i="4"/>
  <c r="EK149" i="4"/>
  <c r="EL31" i="4"/>
  <c r="EK128" i="4"/>
  <c r="EL32" i="4"/>
  <c r="EL420" i="4"/>
  <c r="EK124" i="4"/>
  <c r="EL52" i="4"/>
  <c r="EL193" i="4"/>
  <c r="EK291" i="4"/>
  <c r="EL268" i="4"/>
  <c r="EK188" i="4"/>
  <c r="EL106" i="4"/>
  <c r="EK143" i="4"/>
  <c r="EK69" i="4"/>
  <c r="EK138" i="4"/>
  <c r="EK181" i="4"/>
  <c r="EL196" i="4"/>
  <c r="EK38" i="4"/>
  <c r="EK182" i="4"/>
  <c r="EL79" i="4"/>
  <c r="EK168" i="4"/>
  <c r="EL109" i="4"/>
  <c r="EK115" i="4"/>
  <c r="EK30" i="4"/>
  <c r="EK91" i="4"/>
  <c r="EL80" i="4"/>
  <c r="EL130" i="4"/>
  <c r="EK56" i="4"/>
  <c r="EL78" i="4"/>
  <c r="EL297" i="4"/>
  <c r="EK176" i="4"/>
  <c r="EL86" i="4"/>
  <c r="EL98" i="4"/>
  <c r="EL213" i="4"/>
  <c r="EL306" i="4"/>
  <c r="EK68" i="4"/>
  <c r="EL181" i="4"/>
  <c r="EK107" i="4"/>
  <c r="EL133" i="4"/>
  <c r="EK120" i="4"/>
  <c r="EL54" i="4"/>
  <c r="EK70" i="4"/>
  <c r="EK108" i="4"/>
  <c r="EK60" i="4"/>
  <c r="EL24" i="4"/>
  <c r="EK420" i="4"/>
  <c r="EK43" i="4"/>
  <c r="EL227" i="4"/>
  <c r="EK173" i="4"/>
  <c r="EL88" i="4"/>
  <c r="EK179" i="4"/>
  <c r="EK106" i="4"/>
  <c r="EK208" i="4"/>
  <c r="EK88" i="4"/>
  <c r="EL58" i="4"/>
  <c r="EK52" i="4"/>
  <c r="EL63" i="4"/>
  <c r="EL249" i="4"/>
  <c r="EK130" i="4"/>
  <c r="EK50" i="4"/>
  <c r="EL68" i="4"/>
  <c r="EL97" i="4"/>
  <c r="EL120" i="4"/>
  <c r="EL232" i="4"/>
  <c r="EK82" i="4"/>
  <c r="EL96" i="4"/>
  <c r="EK95" i="4"/>
  <c r="EK90" i="4"/>
  <c r="EL81" i="4"/>
  <c r="EL37" i="4"/>
  <c r="EL246" i="4"/>
  <c r="EL293" i="4"/>
  <c r="EK78" i="4"/>
  <c r="EL336" i="4"/>
  <c r="EK71" i="4"/>
  <c r="EL250" i="4"/>
  <c r="EL20" i="4"/>
  <c r="EK92" i="4"/>
  <c r="EK53" i="4"/>
  <c r="EL216" i="4"/>
  <c r="EK166" i="4"/>
  <c r="EL172" i="4"/>
  <c r="EK54" i="4"/>
  <c r="EK79" i="4"/>
  <c r="EL117" i="4"/>
  <c r="EK26" i="4"/>
  <c r="EL127" i="4"/>
  <c r="EL171" i="4"/>
  <c r="EL131" i="4"/>
  <c r="EL255" i="4"/>
  <c r="EL34" i="4"/>
  <c r="EK24" i="4"/>
  <c r="EK80" i="4"/>
  <c r="EL266" i="4"/>
  <c r="EK237" i="4"/>
  <c r="EK273" i="4"/>
  <c r="EK307" i="4"/>
  <c r="EL83" i="4"/>
  <c r="EK250" i="4"/>
  <c r="EL46" i="4"/>
  <c r="EL134" i="4"/>
  <c r="EK320" i="4"/>
  <c r="EL82" i="4"/>
  <c r="EL50" i="4"/>
  <c r="EK94" i="4"/>
  <c r="EL27" i="4"/>
  <c r="EK137" i="4"/>
  <c r="EL94" i="4"/>
  <c r="EL92" i="4"/>
  <c r="EK127" i="4"/>
  <c r="EL166" i="4"/>
  <c r="EK289" i="4"/>
  <c r="EK32" i="4"/>
  <c r="EL19" i="4"/>
  <c r="EL47" i="4"/>
  <c r="EL203" i="4"/>
  <c r="EK99" i="4"/>
  <c r="EL150" i="4"/>
  <c r="EL300" i="4"/>
  <c r="EK215" i="4"/>
  <c r="EK48" i="4"/>
  <c r="EK77" i="4"/>
  <c r="EK153" i="4"/>
  <c r="EL61" i="4"/>
  <c r="EK199" i="4"/>
  <c r="EL252" i="4"/>
  <c r="EK157" i="4"/>
  <c r="EL167" i="4"/>
  <c r="EK47" i="4"/>
  <c r="EK17" i="4"/>
  <c r="EK58" i="4"/>
  <c r="EK57" i="4"/>
  <c r="EK66" i="4"/>
  <c r="EK171" i="4"/>
  <c r="EK40" i="4"/>
  <c r="EK34" i="4"/>
  <c r="EL65" i="4"/>
  <c r="EK259" i="4"/>
  <c r="EK298" i="4"/>
  <c r="EL89" i="4"/>
  <c r="EL59" i="4"/>
  <c r="EK98" i="4"/>
  <c r="EK72" i="4"/>
  <c r="EL273" i="4"/>
  <c r="EK264" i="4"/>
  <c r="EK280" i="4"/>
  <c r="EL217" i="4"/>
  <c r="EK65" i="4"/>
  <c r="EL35" i="4"/>
  <c r="EK27" i="4"/>
  <c r="EL66" i="4"/>
  <c r="EL62" i="4"/>
  <c r="EL23" i="4"/>
  <c r="EL48" i="4"/>
  <c r="EL49" i="4"/>
  <c r="EL28" i="4"/>
  <c r="EK19" i="4"/>
  <c r="EL322" i="4"/>
  <c r="EL317" i="4"/>
  <c r="EL321" i="4"/>
  <c r="EL210" i="4"/>
  <c r="EK293" i="4"/>
  <c r="EL26" i="4"/>
  <c r="EL51" i="4"/>
  <c r="EL207" i="4"/>
  <c r="EK251" i="4"/>
  <c r="EK211" i="4"/>
  <c r="EL265" i="4"/>
  <c r="EK300" i="4"/>
  <c r="EK93" i="4"/>
  <c r="EL42" i="4"/>
  <c r="EL17" i="4"/>
  <c r="EK22" i="4"/>
  <c r="EK155" i="4"/>
  <c r="EK55" i="4"/>
  <c r="EK62" i="4"/>
  <c r="EK23" i="4"/>
  <c r="EL116" i="4"/>
  <c r="EL136" i="4"/>
  <c r="EK134" i="4"/>
  <c r="EL291" i="4"/>
  <c r="EK286" i="4"/>
  <c r="EK272" i="4"/>
  <c r="EL170" i="4"/>
  <c r="EK89" i="4"/>
  <c r="EK141" i="4"/>
  <c r="EL140" i="4"/>
  <c r="EL87" i="4"/>
  <c r="EL253" i="4"/>
  <c r="EL142" i="4"/>
  <c r="EL183" i="4"/>
  <c r="EK114" i="4"/>
  <c r="EK67" i="4"/>
  <c r="EL55" i="4"/>
  <c r="EL11" i="4"/>
  <c r="EL33" i="4"/>
  <c r="EL36" i="4"/>
  <c r="EK46" i="4"/>
  <c r="EK49" i="4"/>
  <c r="EK28" i="4"/>
  <c r="CJ292" i="4"/>
  <c r="CJ302" i="4"/>
  <c r="CN63" i="4"/>
  <c r="CJ94" i="4"/>
  <c r="CN51" i="4"/>
  <c r="CN299" i="4"/>
  <c r="CN249" i="4"/>
  <c r="DL266" i="4"/>
  <c r="CJ186" i="4"/>
  <c r="CN198" i="4"/>
  <c r="CN238" i="4"/>
  <c r="CJ93" i="4"/>
  <c r="CJ120" i="4"/>
  <c r="CN136" i="4"/>
  <c r="CJ289" i="4"/>
  <c r="CN40" i="4"/>
  <c r="CJ52" i="4"/>
  <c r="CN56" i="4"/>
  <c r="CJ109" i="4"/>
  <c r="CJ150" i="4"/>
  <c r="DI193" i="4"/>
  <c r="DL316" i="4"/>
  <c r="EI205" i="4"/>
  <c r="EI183" i="4"/>
  <c r="EI253" i="4"/>
  <c r="EI225" i="4"/>
  <c r="EI273" i="4"/>
  <c r="EI206" i="4"/>
  <c r="EI94" i="4"/>
  <c r="EI179" i="4"/>
  <c r="EI86" i="4"/>
  <c r="EI59" i="4"/>
  <c r="EI25" i="4"/>
  <c r="EI131" i="4"/>
  <c r="EI158" i="4"/>
  <c r="EI108" i="4"/>
  <c r="EI58" i="4"/>
  <c r="EI62" i="4"/>
  <c r="EI91" i="4"/>
  <c r="EI186" i="4"/>
  <c r="EI308" i="4"/>
  <c r="EI143" i="4"/>
  <c r="EI117" i="4"/>
  <c r="EI101" i="4"/>
  <c r="EI212" i="4"/>
  <c r="EI182" i="4"/>
  <c r="EI77" i="4"/>
  <c r="EI69" i="4"/>
  <c r="EI199" i="4"/>
  <c r="EI124" i="4"/>
  <c r="EI133" i="4"/>
  <c r="EI27" i="4"/>
  <c r="EI109" i="4"/>
  <c r="EI11" i="4"/>
  <c r="EI46" i="4"/>
  <c r="EI231" i="4"/>
  <c r="EI213" i="4"/>
  <c r="EI264" i="4"/>
  <c r="EI196" i="4"/>
  <c r="EI293" i="4"/>
  <c r="EI307" i="4"/>
  <c r="EI63" i="4"/>
  <c r="EI93" i="4"/>
  <c r="EI136" i="4"/>
  <c r="EI164" i="4"/>
  <c r="EI79" i="4"/>
  <c r="EI24" i="4"/>
  <c r="EI272" i="4"/>
  <c r="EI321" i="4"/>
  <c r="EI70" i="4"/>
  <c r="EI82" i="4"/>
  <c r="EI36" i="4"/>
  <c r="EI246" i="4"/>
  <c r="EI302" i="4"/>
  <c r="EI147" i="4"/>
  <c r="EI342" i="4"/>
  <c r="EI203" i="4"/>
  <c r="EI295" i="4"/>
  <c r="EI50" i="4"/>
  <c r="EI232" i="4"/>
  <c r="EI210" i="4"/>
  <c r="EI126" i="4"/>
  <c r="EI299" i="4"/>
  <c r="EI127" i="4"/>
  <c r="EI34" i="4"/>
  <c r="EI227" i="4"/>
  <c r="EI125" i="4"/>
  <c r="EI68" i="4"/>
  <c r="EI67" i="4"/>
  <c r="EI92" i="4"/>
  <c r="EI119" i="4"/>
  <c r="EI297" i="4"/>
  <c r="EI44" i="4"/>
  <c r="EI292" i="4"/>
  <c r="EI255" i="4"/>
  <c r="EI115" i="4"/>
  <c r="EI291" i="4"/>
  <c r="EI298" i="4"/>
  <c r="EI54" i="4"/>
  <c r="EI118" i="4"/>
  <c r="EI89" i="4"/>
  <c r="EI56" i="4"/>
  <c r="EI151" i="4"/>
  <c r="EI251" i="4"/>
  <c r="EI107" i="4"/>
  <c r="EI35" i="4"/>
  <c r="EI66" i="4"/>
  <c r="EI95" i="4"/>
  <c r="EI217" i="4"/>
  <c r="EI316" i="4"/>
  <c r="EI228" i="4"/>
  <c r="EI249" i="4"/>
  <c r="EI306" i="4"/>
  <c r="EI328" i="4"/>
  <c r="EI314" i="4"/>
  <c r="EI268" i="4"/>
  <c r="EI116" i="4"/>
  <c r="EI420" i="4"/>
  <c r="EI153" i="4"/>
  <c r="EI261" i="4"/>
  <c r="EI209" i="4"/>
  <c r="EI154" i="4"/>
  <c r="EI140" i="4"/>
  <c r="EI17" i="4"/>
  <c r="EI55" i="4"/>
  <c r="EI171" i="4"/>
  <c r="EI296" i="4"/>
  <c r="EI215" i="4"/>
  <c r="EI134" i="4"/>
  <c r="EI60" i="4"/>
  <c r="EI187" i="4"/>
  <c r="EI214" i="4"/>
  <c r="EI317" i="4"/>
  <c r="EI336" i="4"/>
  <c r="EI47" i="4"/>
  <c r="EI198" i="4"/>
  <c r="EI208" i="4"/>
  <c r="EI250" i="4"/>
  <c r="EI87" i="4"/>
  <c r="EI97" i="4"/>
  <c r="EI361" i="4"/>
  <c r="EI22" i="4"/>
  <c r="EI23" i="4"/>
  <c r="EI286" i="4"/>
  <c r="EI239" i="4"/>
  <c r="EI218" i="4"/>
  <c r="EI252" i="4"/>
  <c r="EI193" i="4"/>
  <c r="EI313" i="4"/>
  <c r="EI254" i="4"/>
  <c r="EI184" i="4"/>
  <c r="EI150" i="4"/>
  <c r="EI100" i="4"/>
  <c r="EI236" i="4"/>
  <c r="EI38" i="4"/>
  <c r="EI130" i="4"/>
  <c r="EI42" i="4"/>
  <c r="EI168" i="4"/>
  <c r="EI33" i="4"/>
  <c r="EI39" i="4"/>
  <c r="EI216" i="4"/>
  <c r="EI61" i="4"/>
  <c r="EI294" i="4"/>
  <c r="EI73" i="4"/>
  <c r="EI173" i="4"/>
  <c r="EI300" i="4"/>
  <c r="EI256" i="4"/>
  <c r="EI111" i="4"/>
  <c r="EI98" i="4"/>
  <c r="EI72" i="4"/>
  <c r="EI121" i="4"/>
  <c r="EI43" i="4"/>
  <c r="EI53" i="4"/>
  <c r="EI280" i="4"/>
  <c r="EI26" i="4"/>
  <c r="EI99" i="4"/>
  <c r="EI49" i="4"/>
  <c r="EI322" i="4"/>
  <c r="EI132" i="4"/>
  <c r="EI188" i="4"/>
  <c r="EI238" i="4"/>
  <c r="EI84" i="4"/>
  <c r="EI170" i="4"/>
  <c r="EI192" i="4"/>
  <c r="EI329" i="4"/>
  <c r="EI259" i="4"/>
  <c r="EI172" i="4"/>
  <c r="EI235" i="4"/>
  <c r="EI141" i="4"/>
  <c r="EI51" i="4"/>
  <c r="EI181" i="4"/>
  <c r="EI166" i="4"/>
  <c r="EI80" i="4"/>
  <c r="EI37" i="4"/>
  <c r="EI211" i="4"/>
  <c r="EI57" i="4"/>
  <c r="EI289" i="4"/>
  <c r="EI81" i="4"/>
  <c r="EI260" i="4"/>
  <c r="EI176" i="4"/>
  <c r="EI88" i="4"/>
  <c r="EI142" i="4"/>
  <c r="EI112" i="4"/>
  <c r="EI96" i="4"/>
  <c r="EI167" i="4"/>
  <c r="EI71" i="4"/>
  <c r="EI139" i="4"/>
  <c r="EI52" i="4"/>
  <c r="EI301" i="4"/>
  <c r="EI28" i="4"/>
  <c r="EI149" i="4"/>
  <c r="EI137" i="4"/>
  <c r="EI31" i="4"/>
  <c r="EI48" i="4"/>
  <c r="EI32" i="4"/>
  <c r="EI78" i="4"/>
  <c r="EI128" i="4"/>
  <c r="EI65" i="4"/>
  <c r="EI120" i="4"/>
  <c r="EI169" i="4"/>
  <c r="EI138" i="4"/>
  <c r="EI106" i="4"/>
  <c r="EI358" i="4"/>
  <c r="EI83" i="4"/>
  <c r="EI200" i="4"/>
  <c r="EI185" i="4"/>
  <c r="EI40" i="4"/>
  <c r="EI266" i="4"/>
  <c r="EI320" i="4"/>
  <c r="EI157" i="4"/>
  <c r="EI207" i="4"/>
  <c r="EI265" i="4"/>
  <c r="EI90" i="4"/>
  <c r="EI237" i="4"/>
  <c r="EI20" i="4"/>
  <c r="EI19" i="4"/>
  <c r="EI155" i="4"/>
  <c r="CJ79" i="4"/>
  <c r="CN225" i="4"/>
  <c r="CJ188" i="4"/>
  <c r="CN295" i="4"/>
  <c r="CJ321" i="4"/>
  <c r="CL183" i="4"/>
  <c r="DI106" i="4"/>
  <c r="DL73" i="4"/>
  <c r="EB292" i="4"/>
  <c r="EB216" i="4"/>
  <c r="EB218" i="4"/>
  <c r="EB153" i="4"/>
  <c r="EB185" i="4"/>
  <c r="EB199" i="4"/>
  <c r="EB264" i="4"/>
  <c r="EB55" i="4"/>
  <c r="EB112" i="4"/>
  <c r="EB137" i="4"/>
  <c r="EB24" i="4"/>
  <c r="EB27" i="4"/>
  <c r="EB42" i="4"/>
  <c r="EB296" i="4"/>
  <c r="EB255" i="4"/>
  <c r="EB173" i="4"/>
  <c r="EB293" i="4"/>
  <c r="EB316" i="4"/>
  <c r="EB87" i="4"/>
  <c r="EB52" i="4"/>
  <c r="EB170" i="4"/>
  <c r="EB150" i="4"/>
  <c r="EB256" i="4"/>
  <c r="EB72" i="4"/>
  <c r="EB158" i="4"/>
  <c r="EB53" i="4"/>
  <c r="EB34" i="4"/>
  <c r="EB19" i="4"/>
  <c r="EB109" i="4"/>
  <c r="EB111" i="4"/>
  <c r="EB186" i="4"/>
  <c r="EB336" i="4"/>
  <c r="EB252" i="4"/>
  <c r="EB214" i="4"/>
  <c r="EB307" i="4"/>
  <c r="EB131" i="4"/>
  <c r="EB299" i="4"/>
  <c r="EB128" i="4"/>
  <c r="EB51" i="4"/>
  <c r="EB83" i="4"/>
  <c r="EB58" i="4"/>
  <c r="EB57" i="4"/>
  <c r="EB28" i="4"/>
  <c r="EB212" i="4"/>
  <c r="EB169" i="4"/>
  <c r="EB71" i="4"/>
  <c r="EB39" i="4"/>
  <c r="EB176" i="4"/>
  <c r="EB61" i="4"/>
  <c r="EB317" i="4"/>
  <c r="EB184" i="4"/>
  <c r="EB78" i="4"/>
  <c r="EB121" i="4"/>
  <c r="EB99" i="4"/>
  <c r="EB208" i="4"/>
  <c r="EB118" i="4"/>
  <c r="EB200" i="4"/>
  <c r="EB280" i="4"/>
  <c r="EB138" i="4"/>
  <c r="EB46" i="4"/>
  <c r="EB90" i="4"/>
  <c r="EB120" i="4"/>
  <c r="EB98" i="4"/>
  <c r="EB125" i="4"/>
  <c r="EB171" i="4"/>
  <c r="EB132" i="4"/>
  <c r="EB183" i="4"/>
  <c r="EB84" i="4"/>
  <c r="EB20" i="4"/>
  <c r="EB154" i="4"/>
  <c r="EB181" i="4"/>
  <c r="EB79" i="4"/>
  <c r="EB210" i="4"/>
  <c r="EB361" i="4"/>
  <c r="EB108" i="4"/>
  <c r="EB294" i="4"/>
  <c r="EB249" i="4"/>
  <c r="EB68" i="4"/>
  <c r="EB36" i="4"/>
  <c r="EB32" i="4"/>
  <c r="EB227" i="4"/>
  <c r="EB250" i="4"/>
  <c r="EB106" i="4"/>
  <c r="EB166" i="4"/>
  <c r="EB50" i="4"/>
  <c r="EB232" i="4"/>
  <c r="EB265" i="4"/>
  <c r="EB107" i="4"/>
  <c r="EB127" i="4"/>
  <c r="EB251" i="4"/>
  <c r="EB172" i="4"/>
  <c r="EB149" i="4"/>
  <c r="EB70" i="4"/>
  <c r="EB92" i="4"/>
  <c r="EB95" i="4"/>
  <c r="EB168" i="4"/>
  <c r="EB182" i="4"/>
  <c r="EB136" i="4"/>
  <c r="EB260" i="4"/>
  <c r="EB213" i="4"/>
  <c r="EB142" i="4"/>
  <c r="EB291" i="4"/>
  <c r="EB273" i="4"/>
  <c r="EB295" i="4"/>
  <c r="EB147" i="4"/>
  <c r="EB236" i="4"/>
  <c r="EB206" i="4"/>
  <c r="EB203" i="4"/>
  <c r="EB69" i="4"/>
  <c r="EB23" i="4"/>
  <c r="EB60" i="4"/>
  <c r="EB141" i="4"/>
  <c r="EB63" i="4"/>
  <c r="EB82" i="4"/>
  <c r="EB54" i="4"/>
  <c r="EB420" i="4"/>
  <c r="EB48" i="4"/>
  <c r="EB266" i="4"/>
  <c r="EB188" i="4"/>
  <c r="EB306" i="4"/>
  <c r="EB314" i="4"/>
  <c r="EB253" i="4"/>
  <c r="EB268" i="4"/>
  <c r="EB300" i="4"/>
  <c r="EB209" i="4"/>
  <c r="EB97" i="4"/>
  <c r="EB193" i="4"/>
  <c r="EB157" i="4"/>
  <c r="EB26" i="4"/>
  <c r="EB33" i="4"/>
  <c r="EB77" i="4"/>
  <c r="EB93" i="4"/>
  <c r="EB116" i="4"/>
  <c r="EB67" i="4"/>
  <c r="EB81" i="4"/>
  <c r="EB217" i="4"/>
  <c r="EB320" i="4"/>
  <c r="EB134" i="4"/>
  <c r="EB44" i="4"/>
  <c r="EB117" i="4"/>
  <c r="EB237" i="4"/>
  <c r="EB289" i="4"/>
  <c r="EB38" i="4"/>
  <c r="EB321" i="4"/>
  <c r="EB91" i="4"/>
  <c r="EB211" i="4"/>
  <c r="EB139" i="4"/>
  <c r="EB179" i="4"/>
  <c r="EB124" i="4"/>
  <c r="EB59" i="4"/>
  <c r="EB47" i="4"/>
  <c r="EB35" i="4"/>
  <c r="EB155" i="4"/>
  <c r="EB215" i="4"/>
  <c r="EB101" i="4"/>
  <c r="EB88" i="4"/>
  <c r="EB151" i="4"/>
  <c r="EB313" i="4"/>
  <c r="EB196" i="4"/>
  <c r="EB272" i="4"/>
  <c r="EB133" i="4"/>
  <c r="EB301" i="4"/>
  <c r="EB259" i="4"/>
  <c r="EB164" i="4"/>
  <c r="EB126" i="4"/>
  <c r="EB62" i="4"/>
  <c r="EB298" i="4"/>
  <c r="EB235" i="4"/>
  <c r="EB25" i="4"/>
  <c r="EB49" i="4"/>
  <c r="EB17" i="4"/>
  <c r="EB31" i="4"/>
  <c r="EB286" i="4"/>
  <c r="EB238" i="4"/>
  <c r="EB187" i="4"/>
  <c r="EB73" i="4"/>
  <c r="EB207" i="4"/>
  <c r="EB261" i="4"/>
  <c r="EB56" i="4"/>
  <c r="EB100" i="4"/>
  <c r="EB89" i="4"/>
  <c r="EB11" i="4"/>
  <c r="EB96" i="4"/>
  <c r="EB167" i="4"/>
  <c r="EB43" i="4"/>
  <c r="EB130" i="4"/>
  <c r="EB65" i="4"/>
  <c r="EB80" i="4"/>
  <c r="EB22" i="4"/>
  <c r="EB358" i="4"/>
  <c r="EB254" i="4"/>
  <c r="EB143" i="4"/>
  <c r="EB192" i="4"/>
  <c r="EB140" i="4"/>
  <c r="EB119" i="4"/>
  <c r="EB40" i="4"/>
  <c r="EB329" i="4"/>
  <c r="EB198" i="4"/>
  <c r="EB115" i="4"/>
  <c r="EB66" i="4"/>
  <c r="EB94" i="4"/>
  <c r="EB86" i="4"/>
  <c r="EB37" i="4"/>
  <c r="CN237" i="4"/>
  <c r="CN50" i="4"/>
  <c r="CJ106" i="4"/>
  <c r="CN25" i="4"/>
  <c r="CN77" i="4"/>
  <c r="CN134" i="4"/>
  <c r="DJ111" i="4"/>
  <c r="DZ4" i="4"/>
  <c r="EE4" i="4"/>
  <c r="CJ215" i="4"/>
  <c r="CN67" i="4"/>
  <c r="CN264" i="4"/>
  <c r="CN300" i="4"/>
  <c r="CN192" i="4"/>
  <c r="CJ66" i="4"/>
  <c r="CN193" i="4"/>
  <c r="CJ239" i="4"/>
  <c r="CJ115" i="4"/>
  <c r="CN172" i="4"/>
  <c r="CJ342" i="4"/>
  <c r="EG302" i="4"/>
  <c r="EG216" i="4"/>
  <c r="EG228" i="4"/>
  <c r="EG260" i="4"/>
  <c r="EG193" i="4"/>
  <c r="EG192" i="4"/>
  <c r="EG82" i="4"/>
  <c r="EG80" i="4"/>
  <c r="EG256" i="4"/>
  <c r="EG172" i="4"/>
  <c r="EG236" i="4"/>
  <c r="EG211" i="4"/>
  <c r="EG131" i="4"/>
  <c r="EG7" i="4"/>
  <c r="EG251" i="4"/>
  <c r="EG68" i="4"/>
  <c r="EG18" i="4"/>
  <c r="EG92" i="4"/>
  <c r="EG62" i="4"/>
  <c r="EL21" i="4"/>
  <c r="EG292" i="4"/>
  <c r="EG321" i="4"/>
  <c r="EG317" i="4"/>
  <c r="EG218" i="4"/>
  <c r="EG176" i="4"/>
  <c r="EG252" i="4"/>
  <c r="EG294" i="4"/>
  <c r="EG313" i="4"/>
  <c r="EG78" i="4"/>
  <c r="EG171" i="4"/>
  <c r="EG259" i="4"/>
  <c r="EG169" i="4"/>
  <c r="EG111" i="4"/>
  <c r="EG87" i="4"/>
  <c r="EG158" i="4"/>
  <c r="EG140" i="4"/>
  <c r="EG16" i="4"/>
  <c r="EG6" i="4"/>
  <c r="EG66" i="4"/>
  <c r="EG11" i="4"/>
  <c r="EL12" i="4"/>
  <c r="EG151" i="4"/>
  <c r="EG322" i="4"/>
  <c r="EG246" i="4"/>
  <c r="EG134" i="4"/>
  <c r="EG183" i="4"/>
  <c r="EG61" i="4"/>
  <c r="EG73" i="4"/>
  <c r="EG124" i="4"/>
  <c r="EG96" i="4"/>
  <c r="EG167" i="4"/>
  <c r="EG235" i="4"/>
  <c r="EG209" i="4"/>
  <c r="EG79" i="4"/>
  <c r="EG90" i="4"/>
  <c r="EG43" i="4"/>
  <c r="EG17" i="4"/>
  <c r="EG261" i="4"/>
  <c r="EG55" i="4"/>
  <c r="EG8" i="4"/>
  <c r="EG336" i="4"/>
  <c r="EG358" i="4"/>
  <c r="EG307" i="4"/>
  <c r="EG266" i="4"/>
  <c r="EG84" i="4"/>
  <c r="EG237" i="4"/>
  <c r="EG170" i="4"/>
  <c r="EG273" i="4"/>
  <c r="EG206" i="4"/>
  <c r="EG94" i="4"/>
  <c r="EG179" i="4"/>
  <c r="EG106" i="4"/>
  <c r="EG250" i="4"/>
  <c r="EG121" i="4"/>
  <c r="EG127" i="4"/>
  <c r="EG32" i="4"/>
  <c r="EG19" i="4"/>
  <c r="EG70" i="4"/>
  <c r="EG22" i="4"/>
  <c r="EG208" i="4"/>
  <c r="EG21" i="4"/>
  <c r="EG141" i="4"/>
  <c r="EG295" i="4"/>
  <c r="EG188" i="4"/>
  <c r="EG213" i="4"/>
  <c r="EG265" i="4"/>
  <c r="EG20" i="4"/>
  <c r="EG154" i="4"/>
  <c r="EG182" i="4"/>
  <c r="EG71" i="4"/>
  <c r="EG72" i="4"/>
  <c r="EG181" i="4"/>
  <c r="EG29" i="4"/>
  <c r="EG28" i="4"/>
  <c r="EG15" i="4"/>
  <c r="EG4" i="4"/>
  <c r="EG25" i="4"/>
  <c r="EG297" i="4"/>
  <c r="EG298" i="4"/>
  <c r="EG184" i="4"/>
  <c r="EG147" i="4"/>
  <c r="EG99" i="4"/>
  <c r="EG112" i="4"/>
  <c r="EG117" i="4"/>
  <c r="EG329" i="4"/>
  <c r="EG63" i="4"/>
  <c r="EG93" i="4"/>
  <c r="EG136" i="4"/>
  <c r="EG86" i="4"/>
  <c r="EG51" i="4"/>
  <c r="EG107" i="4"/>
  <c r="EG98" i="4"/>
  <c r="EG14" i="4"/>
  <c r="EG42" i="4"/>
  <c r="EG168" i="4"/>
  <c r="EG83" i="4"/>
  <c r="EG119" i="4"/>
  <c r="EG116" i="4"/>
  <c r="EG217" i="4"/>
  <c r="EG186" i="4"/>
  <c r="EG268" i="4"/>
  <c r="EG300" i="4"/>
  <c r="EG255" i="4"/>
  <c r="EG225" i="4"/>
  <c r="EG109" i="4"/>
  <c r="EG97" i="4"/>
  <c r="EG50" i="4"/>
  <c r="EG232" i="4"/>
  <c r="EG203" i="4"/>
  <c r="EG77" i="4"/>
  <c r="EG200" i="4"/>
  <c r="EG238" i="4"/>
  <c r="EG47" i="4"/>
  <c r="EG125" i="4"/>
  <c r="EG114" i="4"/>
  <c r="EG137" i="4"/>
  <c r="EG26" i="4"/>
  <c r="EG196" i="4"/>
  <c r="EG23" i="4"/>
  <c r="EG215" i="4"/>
  <c r="EG272" i="4"/>
  <c r="EG198" i="4"/>
  <c r="EG249" i="4"/>
  <c r="EG101" i="4"/>
  <c r="EG289" i="4"/>
  <c r="EG38" i="4"/>
  <c r="EG54" i="4"/>
  <c r="EG291" i="4"/>
  <c r="EG164" i="4"/>
  <c r="EG212" i="4"/>
  <c r="EG81" i="4"/>
  <c r="EG24" i="4"/>
  <c r="EG12" i="4"/>
  <c r="EG126" i="4"/>
  <c r="EG57" i="4"/>
  <c r="EG95" i="4"/>
  <c r="EG33" i="4"/>
  <c r="EG286" i="4"/>
  <c r="EG342" i="4"/>
  <c r="EG128" i="4"/>
  <c r="EG280" i="4"/>
  <c r="EG60" i="4"/>
  <c r="EG296" i="4"/>
  <c r="EG39" i="4"/>
  <c r="EG361" i="4"/>
  <c r="EG132" i="4"/>
  <c r="EG420" i="4"/>
  <c r="EG210" i="4"/>
  <c r="EG264" i="4"/>
  <c r="EG185" i="4"/>
  <c r="EG149" i="4"/>
  <c r="EG91" i="4"/>
  <c r="EG34" i="4"/>
  <c r="EG130" i="4"/>
  <c r="EG56" i="4"/>
  <c r="EG58" i="4"/>
  <c r="EG155" i="4"/>
  <c r="EG59" i="4"/>
  <c r="EG10" i="4"/>
  <c r="EG205" i="4"/>
  <c r="EG118" i="4"/>
  <c r="EG44" i="4"/>
  <c r="EG299" i="4"/>
  <c r="EG293" i="4"/>
  <c r="EG239" i="4"/>
  <c r="EG133" i="4"/>
  <c r="EG166" i="4"/>
  <c r="EG314" i="4"/>
  <c r="EG88" i="4"/>
  <c r="EG320" i="4"/>
  <c r="EG301" i="4"/>
  <c r="EG142" i="4"/>
  <c r="EG46" i="4"/>
  <c r="EG13" i="4"/>
  <c r="EG53" i="4"/>
  <c r="EG207" i="4"/>
  <c r="EG27" i="4"/>
  <c r="EG31" i="4"/>
  <c r="EG254" i="4"/>
  <c r="EG231" i="4"/>
  <c r="EG187" i="4"/>
  <c r="EG316" i="4"/>
  <c r="EG40" i="4"/>
  <c r="EG49" i="4"/>
  <c r="EG150" i="4"/>
  <c r="EG199" i="4"/>
  <c r="EG253" i="4"/>
  <c r="EG52" i="4"/>
  <c r="EG30" i="4"/>
  <c r="EG227" i="4"/>
  <c r="EG65" i="4"/>
  <c r="EG69" i="4"/>
  <c r="EG35" i="4"/>
  <c r="EG48" i="4"/>
  <c r="EG89" i="4"/>
  <c r="EG308" i="4"/>
  <c r="EL15" i="4"/>
  <c r="EL6" i="4"/>
  <c r="EL10" i="4"/>
  <c r="EL16" i="4"/>
  <c r="EG108" i="4"/>
  <c r="EL8" i="4"/>
  <c r="EG120" i="4"/>
  <c r="EG115" i="4"/>
  <c r="EL4" i="4"/>
  <c r="EG306" i="4"/>
  <c r="EG36" i="4"/>
  <c r="EL9" i="4"/>
  <c r="EL7" i="4"/>
  <c r="EG214" i="4"/>
  <c r="EL29" i="4"/>
  <c r="EG37" i="4"/>
  <c r="EG173" i="4"/>
  <c r="EG139" i="4"/>
  <c r="EG157" i="4"/>
  <c r="EG67" i="4"/>
  <c r="EL13" i="4"/>
  <c r="EG143" i="4"/>
  <c r="EG9" i="4"/>
  <c r="EG100" i="4"/>
  <c r="EG138" i="4"/>
  <c r="EG328" i="4"/>
  <c r="EG153" i="4"/>
  <c r="EL14" i="4"/>
  <c r="CJ121" i="4"/>
  <c r="CN84" i="4"/>
  <c r="CN87" i="4"/>
  <c r="CJ306" i="4"/>
  <c r="CN43" i="4"/>
  <c r="CN101" i="4"/>
  <c r="CN185" i="4"/>
  <c r="CN168" i="4"/>
  <c r="DJ336" i="4"/>
  <c r="CJ73" i="4"/>
  <c r="CN80" i="4"/>
  <c r="CN86" i="4"/>
  <c r="CN239" i="4"/>
  <c r="DJ208" i="4"/>
  <c r="DI142" i="4"/>
  <c r="DI296" i="4"/>
  <c r="DI78" i="4"/>
  <c r="DJ293" i="4"/>
  <c r="DI187" i="4"/>
  <c r="DJ169" i="4"/>
  <c r="DI120" i="4"/>
  <c r="DI289" i="4"/>
  <c r="DJ61" i="4"/>
  <c r="DI203" i="4"/>
  <c r="DI173" i="4"/>
  <c r="DI93" i="4"/>
  <c r="DJ321" i="4"/>
  <c r="DI300" i="4"/>
  <c r="DJ99" i="4"/>
  <c r="DI38" i="4"/>
  <c r="DJ87" i="4"/>
  <c r="DJ217" i="4"/>
  <c r="DJ98" i="4"/>
  <c r="DI313" i="4"/>
  <c r="DI86" i="4"/>
  <c r="DI361" i="4"/>
  <c r="DI227" i="4"/>
  <c r="DI164" i="4"/>
  <c r="DI77" i="4"/>
  <c r="DJ254" i="4"/>
  <c r="DI167" i="4"/>
  <c r="DI181" i="4"/>
  <c r="DJ291" i="4"/>
  <c r="DI249" i="4"/>
  <c r="DJ179" i="4"/>
  <c r="DI117" i="4"/>
  <c r="DI215" i="4"/>
  <c r="DJ176" i="4"/>
  <c r="DJ289" i="4"/>
  <c r="DI238" i="4"/>
  <c r="DJ131" i="4"/>
  <c r="DI185" i="4"/>
  <c r="DJ358" i="4"/>
  <c r="DI207" i="4"/>
  <c r="DI254" i="4"/>
  <c r="DI216" i="4"/>
  <c r="DJ109" i="4"/>
  <c r="DI252" i="4"/>
  <c r="DJ193" i="4"/>
  <c r="DJ329" i="4"/>
  <c r="DJ143" i="4"/>
  <c r="DI186" i="4"/>
  <c r="DJ298" i="4"/>
  <c r="DJ139" i="4"/>
  <c r="DI96" i="4"/>
  <c r="DJ186" i="4"/>
  <c r="DJ255" i="4"/>
  <c r="DJ95" i="4"/>
  <c r="DJ251" i="4"/>
  <c r="DI88" i="4"/>
  <c r="DI273" i="4"/>
  <c r="DI293" i="4"/>
  <c r="DJ166" i="4"/>
  <c r="DI20" i="4"/>
  <c r="DJ72" i="4"/>
  <c r="DJ187" i="4"/>
  <c r="DI139" i="4"/>
  <c r="DJ235" i="4"/>
  <c r="DJ20" i="4"/>
  <c r="DI329" i="4"/>
  <c r="DJ207" i="4"/>
  <c r="DI154" i="4"/>
  <c r="CJ60" i="4"/>
  <c r="CN46" i="4"/>
  <c r="DI73" i="4"/>
  <c r="DJ172" i="4"/>
  <c r="DI306" i="4"/>
  <c r="DI268" i="4"/>
  <c r="DJ181" i="4"/>
  <c r="DJ320" i="4"/>
  <c r="DI166" i="4"/>
  <c r="DI314" i="4"/>
  <c r="DJ296" i="4"/>
  <c r="DJ44" i="4"/>
  <c r="DI206" i="4"/>
  <c r="DI158" i="4"/>
  <c r="DI183" i="4"/>
  <c r="DJ294" i="4"/>
  <c r="DI133" i="4"/>
  <c r="DJ84" i="4"/>
  <c r="DJ184" i="4"/>
  <c r="DI51" i="4"/>
  <c r="DI213" i="4"/>
  <c r="DJ133" i="4"/>
  <c r="DI168" i="4"/>
  <c r="DI211" i="4"/>
  <c r="DJ250" i="4"/>
  <c r="DJ79" i="4"/>
  <c r="DL254" i="4"/>
  <c r="EE316" i="4"/>
  <c r="EE187" i="4"/>
  <c r="EE205" i="4"/>
  <c r="ED151" i="4"/>
  <c r="ED61" i="4"/>
  <c r="ED296" i="4"/>
  <c r="ED306" i="4"/>
  <c r="ED99" i="4"/>
  <c r="EE317" i="4"/>
  <c r="EE313" i="4"/>
  <c r="EE215" i="4"/>
  <c r="ED125" i="4"/>
  <c r="EE133" i="4"/>
  <c r="EE208" i="4"/>
  <c r="EE50" i="4"/>
  <c r="EE118" i="4"/>
  <c r="ED192" i="4"/>
  <c r="ED298" i="4"/>
  <c r="ED98" i="4"/>
  <c r="ED268" i="4"/>
  <c r="EE95" i="4"/>
  <c r="EE30" i="4"/>
  <c r="ED53" i="4"/>
  <c r="EE273" i="4"/>
  <c r="EE37" i="4"/>
  <c r="ED141" i="4"/>
  <c r="ED27" i="4"/>
  <c r="ED117" i="4"/>
  <c r="ED65" i="4"/>
  <c r="EE15" i="4"/>
  <c r="ED116" i="4"/>
  <c r="ED169" i="4"/>
  <c r="EE31" i="4"/>
  <c r="EE126" i="4"/>
  <c r="ED209" i="4"/>
  <c r="ED66" i="4"/>
  <c r="EE10" i="4"/>
  <c r="ED260" i="4"/>
  <c r="EE188" i="4"/>
  <c r="EE154" i="4"/>
  <c r="EE294" i="4"/>
  <c r="EE260" i="4"/>
  <c r="ED205" i="4"/>
  <c r="ED101" i="4"/>
  <c r="ED231" i="4"/>
  <c r="EE321" i="4"/>
  <c r="ED188" i="4"/>
  <c r="EE261" i="4"/>
  <c r="EE79" i="4"/>
  <c r="ED52" i="4"/>
  <c r="EE336" i="4"/>
  <c r="ED251" i="4"/>
  <c r="ED157" i="4"/>
  <c r="EE259" i="4"/>
  <c r="ED250" i="4"/>
  <c r="EE143" i="4"/>
  <c r="ED176" i="4"/>
  <c r="EE51" i="4"/>
  <c r="ED213" i="4"/>
  <c r="ED181" i="4"/>
  <c r="ED10" i="4"/>
  <c r="ED253" i="4"/>
  <c r="EE60" i="4"/>
  <c r="EE200" i="4"/>
  <c r="EE65" i="4"/>
  <c r="ED200" i="4"/>
  <c r="EE42" i="4"/>
  <c r="ED59" i="4"/>
  <c r="EE420" i="4"/>
  <c r="EE71" i="4"/>
  <c r="ED18" i="4"/>
  <c r="ED48" i="4"/>
  <c r="EE97" i="4"/>
  <c r="EE62" i="4"/>
  <c r="EE181" i="4"/>
  <c r="ED8" i="4"/>
  <c r="EE308" i="4"/>
  <c r="ED336" i="4"/>
  <c r="ED84" i="4"/>
  <c r="ED299" i="4"/>
  <c r="ED193" i="4"/>
  <c r="ED266" i="4"/>
  <c r="EE186" i="4"/>
  <c r="ED44" i="4"/>
  <c r="ED286" i="4"/>
  <c r="ED320" i="4"/>
  <c r="ED227" i="4"/>
  <c r="ED70" i="4"/>
  <c r="ED293" i="4"/>
  <c r="EE361" i="4"/>
  <c r="EE292" i="4"/>
  <c r="EE301" i="4"/>
  <c r="EE108" i="4"/>
  <c r="ED264" i="4"/>
  <c r="EE164" i="4"/>
  <c r="ED184" i="4"/>
  <c r="EE168" i="4"/>
  <c r="EE70" i="4"/>
  <c r="ED58" i="4"/>
  <c r="EE251" i="4"/>
  <c r="ED57" i="4"/>
  <c r="ED235" i="4"/>
  <c r="EE27" i="4"/>
  <c r="ED19" i="4"/>
  <c r="ED63" i="4"/>
  <c r="EE54" i="4"/>
  <c r="EE213" i="4"/>
  <c r="ED47" i="4"/>
  <c r="ED50" i="4"/>
  <c r="EE9" i="4"/>
  <c r="EE89" i="4"/>
  <c r="ED55" i="4"/>
  <c r="EE138" i="4"/>
  <c r="ED186" i="4"/>
  <c r="ED218" i="4"/>
  <c r="EE56" i="4"/>
  <c r="EE293" i="4"/>
  <c r="EE192" i="4"/>
  <c r="ED217" i="4"/>
  <c r="ED185" i="4"/>
  <c r="EE39" i="4"/>
  <c r="EE127" i="4"/>
  <c r="ED131" i="4"/>
  <c r="EE170" i="4"/>
  <c r="ED236" i="4"/>
  <c r="ED187" i="4"/>
  <c r="ED208" i="4"/>
  <c r="EE183" i="4"/>
  <c r="ED111" i="4"/>
  <c r="EE256" i="4"/>
  <c r="EE280" i="4"/>
  <c r="ED280" i="4"/>
  <c r="ED88" i="4"/>
  <c r="EE212" i="4"/>
  <c r="ED121" i="4"/>
  <c r="ED138" i="4"/>
  <c r="EE57" i="4"/>
  <c r="ED289" i="4"/>
  <c r="EE24" i="4"/>
  <c r="EE141" i="4"/>
  <c r="ED24" i="4"/>
  <c r="ED179" i="4"/>
  <c r="EE93" i="4"/>
  <c r="EE114" i="4"/>
  <c r="ED49" i="4"/>
  <c r="ED120" i="4"/>
  <c r="EE67" i="4"/>
  <c r="EE232" i="4"/>
  <c r="ED81" i="4"/>
  <c r="EE11" i="4"/>
  <c r="ED69" i="4"/>
  <c r="ED342" i="4"/>
  <c r="ED265" i="4"/>
  <c r="ED154" i="4"/>
  <c r="ED294" i="4"/>
  <c r="ED291" i="4"/>
  <c r="ED313" i="4"/>
  <c r="EE184" i="4"/>
  <c r="ED316" i="4"/>
  <c r="ED109" i="4"/>
  <c r="EE40" i="4"/>
  <c r="EE61" i="4"/>
  <c r="EE320" i="4"/>
  <c r="EE250" i="4"/>
  <c r="EE198" i="4"/>
  <c r="EE172" i="4"/>
  <c r="ED128" i="4"/>
  <c r="ED143" i="4"/>
  <c r="ED211" i="4"/>
  <c r="EE314" i="4"/>
  <c r="ED20" i="4"/>
  <c r="EE53" i="4"/>
  <c r="EE253" i="4"/>
  <c r="ED46" i="4"/>
  <c r="ED167" i="4"/>
  <c r="ED90" i="4"/>
  <c r="EE19" i="4"/>
  <c r="EE77" i="4"/>
  <c r="ED28" i="4"/>
  <c r="ED77" i="4"/>
  <c r="ED16" i="4"/>
  <c r="EE116" i="4"/>
  <c r="EE98" i="4"/>
  <c r="ED17" i="4"/>
  <c r="EE136" i="4"/>
  <c r="EE66" i="4"/>
  <c r="ED171" i="4"/>
  <c r="ED21" i="4"/>
  <c r="EE68" i="4"/>
  <c r="ED239" i="4"/>
  <c r="EE218" i="4"/>
  <c r="ED173" i="4"/>
  <c r="EE216" i="4"/>
  <c r="EE322" i="4"/>
  <c r="EE237" i="4"/>
  <c r="EE78" i="4"/>
  <c r="EE203" i="4"/>
  <c r="ED295" i="4"/>
  <c r="ED307" i="4"/>
  <c r="ED272" i="4"/>
  <c r="ED97" i="4"/>
  <c r="ED170" i="4"/>
  <c r="ED361" i="4"/>
  <c r="ED96" i="4"/>
  <c r="EE120" i="4"/>
  <c r="ED256" i="4"/>
  <c r="EE100" i="4"/>
  <c r="EE20" i="4"/>
  <c r="EE210" i="4"/>
  <c r="ED68" i="4"/>
  <c r="EE87" i="4"/>
  <c r="EE90" i="4"/>
  <c r="EE34" i="4"/>
  <c r="EE179" i="4"/>
  <c r="ED34" i="4"/>
  <c r="ED25" i="4"/>
  <c r="EE16" i="4"/>
  <c r="EE59" i="4"/>
  <c r="ED80" i="4"/>
  <c r="ED106" i="4"/>
  <c r="EE35" i="4"/>
  <c r="EE153" i="4"/>
  <c r="ED155" i="4"/>
  <c r="EE157" i="4"/>
  <c r="EE8" i="4"/>
  <c r="ED26" i="4"/>
  <c r="EE231" i="4"/>
  <c r="EE225" i="4"/>
  <c r="ED215" i="4"/>
  <c r="ED228" i="4"/>
  <c r="EE101" i="4"/>
  <c r="ED73" i="4"/>
  <c r="EE300" i="4"/>
  <c r="ED300" i="4"/>
  <c r="ED158" i="4"/>
  <c r="EE147" i="4"/>
  <c r="EE82" i="4"/>
  <c r="EE199" i="4"/>
  <c r="EE206" i="4"/>
  <c r="EE111" i="4"/>
  <c r="ED56" i="4"/>
  <c r="EE169" i="4"/>
  <c r="ED118" i="4"/>
  <c r="ED149" i="4"/>
  <c r="ED255" i="4"/>
  <c r="EE227" i="4"/>
  <c r="ED115" i="4"/>
  <c r="EE58" i="4"/>
  <c r="ED207" i="4"/>
  <c r="ED36" i="4"/>
  <c r="ED86" i="4"/>
  <c r="ED32" i="4"/>
  <c r="ED139" i="4"/>
  <c r="EE28" i="4"/>
  <c r="ED14" i="4"/>
  <c r="EE47" i="4"/>
  <c r="EE38" i="4"/>
  <c r="ED22" i="4"/>
  <c r="EE48" i="4"/>
  <c r="ED196" i="4"/>
  <c r="EE55" i="4"/>
  <c r="EE92" i="4"/>
  <c r="ED322" i="4"/>
  <c r="ED39" i="4"/>
  <c r="EE173" i="4"/>
  <c r="EE228" i="4"/>
  <c r="EE238" i="4"/>
  <c r="ED308" i="4"/>
  <c r="ED225" i="4"/>
  <c r="ED214" i="4"/>
  <c r="ED246" i="4"/>
  <c r="EE286" i="4"/>
  <c r="EE239" i="4"/>
  <c r="ED78" i="4"/>
  <c r="EE52" i="4"/>
  <c r="ED261" i="4"/>
  <c r="ED79" i="4"/>
  <c r="EE150" i="4"/>
  <c r="ED38" i="4"/>
  <c r="EE84" i="4"/>
  <c r="ED94" i="4"/>
  <c r="EE211" i="4"/>
  <c r="EE115" i="4"/>
  <c r="ED164" i="4"/>
  <c r="ED119" i="4"/>
  <c r="EE207" i="4"/>
  <c r="ED92" i="4"/>
  <c r="ED40" i="4"/>
  <c r="EE32" i="4"/>
  <c r="EE139" i="4"/>
  <c r="EE13" i="4"/>
  <c r="EE25" i="4"/>
  <c r="ED13" i="4"/>
  <c r="EE49" i="4"/>
  <c r="ED100" i="4"/>
  <c r="ED82" i="4"/>
  <c r="EE18" i="4"/>
  <c r="ED420" i="4"/>
  <c r="ED71" i="4"/>
  <c r="ED31" i="4"/>
  <c r="EE69" i="4"/>
  <c r="EE291" i="4"/>
  <c r="ED91" i="4"/>
  <c r="EE246" i="4"/>
  <c r="EE266" i="4"/>
  <c r="ED203" i="4"/>
  <c r="ED302" i="4"/>
  <c r="ED216" i="4"/>
  <c r="EE358" i="4"/>
  <c r="ED237" i="4"/>
  <c r="ED297" i="4"/>
  <c r="EE185" i="4"/>
  <c r="EE328" i="4"/>
  <c r="ED95" i="4"/>
  <c r="EE209" i="4"/>
  <c r="EE171" i="4"/>
  <c r="ED142" i="4"/>
  <c r="EE182" i="4"/>
  <c r="ED329" i="4"/>
  <c r="EE96" i="4"/>
  <c r="EE264" i="4"/>
  <c r="EE167" i="4"/>
  <c r="ED108" i="4"/>
  <c r="EE255" i="4"/>
  <c r="ED249" i="4"/>
  <c r="EE307" i="4"/>
  <c r="EE109" i="4"/>
  <c r="ED51" i="4"/>
  <c r="EE46" i="4"/>
  <c r="EE86" i="4"/>
  <c r="ED30" i="4"/>
  <c r="ED29" i="4"/>
  <c r="ED107" i="4"/>
  <c r="EE14" i="4"/>
  <c r="ED130" i="4"/>
  <c r="ED314" i="4"/>
  <c r="ED124" i="4"/>
  <c r="EE236" i="4"/>
  <c r="EE17" i="4"/>
  <c r="EE166" i="4"/>
  <c r="ED15" i="4"/>
  <c r="EE81" i="4"/>
  <c r="EE125" i="4"/>
  <c r="EE21" i="4"/>
  <c r="ED126" i="4"/>
  <c r="EE249" i="4"/>
  <c r="EE23" i="4"/>
  <c r="ED358" i="4"/>
  <c r="ED132" i="4"/>
  <c r="EE214" i="4"/>
  <c r="EE134" i="4"/>
  <c r="EE296" i="4"/>
  <c r="EE306" i="4"/>
  <c r="ED134" i="4"/>
  <c r="EE329" i="4"/>
  <c r="ED317" i="4"/>
  <c r="EE295" i="4"/>
  <c r="EE302" i="4"/>
  <c r="ED112" i="4"/>
  <c r="EE131" i="4"/>
  <c r="ED127" i="4"/>
  <c r="EE99" i="4"/>
  <c r="ED199" i="4"/>
  <c r="ED206" i="4"/>
  <c r="ED259" i="4"/>
  <c r="EE176" i="4"/>
  <c r="EE235" i="4"/>
  <c r="ED328" i="4"/>
  <c r="ED153" i="4"/>
  <c r="ED140" i="4"/>
  <c r="ED23" i="4"/>
  <c r="EE29" i="4"/>
  <c r="EE107" i="4"/>
  <c r="EE124" i="4"/>
  <c r="EE268" i="4"/>
  <c r="EE80" i="4"/>
  <c r="ED133" i="4"/>
  <c r="ED42" i="4"/>
  <c r="ED67" i="4"/>
  <c r="ED232" i="4"/>
  <c r="ED9" i="4"/>
  <c r="EE26" i="4"/>
  <c r="ED62" i="4"/>
  <c r="EE44" i="4"/>
  <c r="EE73" i="4"/>
  <c r="ED292" i="4"/>
  <c r="ED252" i="4"/>
  <c r="ED238" i="4"/>
  <c r="EE342" i="4"/>
  <c r="ED301" i="4"/>
  <c r="ED254" i="4"/>
  <c r="ED212" i="4"/>
  <c r="ED168" i="4"/>
  <c r="EE289" i="4"/>
  <c r="EE254" i="4"/>
  <c r="EE63" i="4"/>
  <c r="ED150" i="4"/>
  <c r="EE94" i="4"/>
  <c r="EE128" i="4"/>
  <c r="ED183" i="4"/>
  <c r="ED172" i="4"/>
  <c r="ED60" i="4"/>
  <c r="EE112" i="4"/>
  <c r="EE158" i="4"/>
  <c r="EE121" i="4"/>
  <c r="EE36" i="4"/>
  <c r="ED137" i="4"/>
  <c r="EE130" i="4"/>
  <c r="EE117" i="4"/>
  <c r="ED37" i="4"/>
  <c r="EE142" i="4"/>
  <c r="EE22" i="4"/>
  <c r="ED54" i="4"/>
  <c r="EE196" i="4"/>
  <c r="EE155" i="4"/>
  <c r="ED89" i="4"/>
  <c r="EE140" i="4"/>
  <c r="EE33" i="4"/>
  <c r="EE299" i="4"/>
  <c r="EE193" i="4"/>
  <c r="EE151" i="4"/>
  <c r="EE149" i="4"/>
  <c r="EE297" i="4"/>
  <c r="EE217" i="4"/>
  <c r="EE298" i="4"/>
  <c r="EE132" i="4"/>
  <c r="EE272" i="4"/>
  <c r="EE252" i="4"/>
  <c r="ED210" i="4"/>
  <c r="ED166" i="4"/>
  <c r="ED182" i="4"/>
  <c r="ED198" i="4"/>
  <c r="EE106" i="4"/>
  <c r="EE88" i="4"/>
  <c r="EE72" i="4"/>
  <c r="ED273" i="4"/>
  <c r="ED87" i="4"/>
  <c r="ED83" i="4"/>
  <c r="ED33" i="4"/>
  <c r="EE137" i="4"/>
  <c r="ED147" i="4"/>
  <c r="EE43" i="4"/>
  <c r="ED321" i="4"/>
  <c r="ED43" i="4"/>
  <c r="EE119" i="4"/>
  <c r="ED93" i="4"/>
  <c r="ED114" i="4"/>
  <c r="ED72" i="4"/>
  <c r="ED35" i="4"/>
  <c r="ED136" i="4"/>
  <c r="EE265" i="4"/>
  <c r="EE91" i="4"/>
  <c r="EE83" i="4"/>
  <c r="ED11" i="4"/>
  <c r="CJ322" i="4"/>
  <c r="CN322" i="4"/>
  <c r="DJ151" i="4"/>
  <c r="DJ280" i="4"/>
  <c r="DJ286" i="4"/>
  <c r="DJ71" i="4"/>
  <c r="DJ125" i="4"/>
  <c r="DJ101" i="4"/>
  <c r="DJ115" i="4"/>
  <c r="DI56" i="4"/>
  <c r="DI236" i="4"/>
  <c r="DJ119" i="4"/>
  <c r="DJ266" i="4"/>
  <c r="DJ272" i="4"/>
  <c r="DJ314" i="4"/>
  <c r="DI60" i="4"/>
  <c r="DJ273" i="4"/>
  <c r="DI61" i="4"/>
  <c r="DJ188" i="4"/>
  <c r="DI256" i="4"/>
  <c r="DI264" i="4"/>
  <c r="DJ182" i="4"/>
  <c r="DJ25" i="4"/>
  <c r="DI250" i="4"/>
  <c r="DI301" i="4"/>
  <c r="DJ306" i="4"/>
  <c r="DW11" i="4"/>
  <c r="DW28" i="4"/>
  <c r="DX11" i="4"/>
  <c r="DX10" i="4"/>
  <c r="DX34" i="4"/>
  <c r="DX16" i="4"/>
  <c r="DX35" i="4"/>
  <c r="DW21" i="4"/>
  <c r="DW8" i="4"/>
  <c r="DW32" i="4"/>
  <c r="DW14" i="4"/>
  <c r="DW22" i="4"/>
  <c r="DX8" i="4"/>
  <c r="DX36" i="4"/>
  <c r="DX13" i="4"/>
  <c r="DX18" i="4"/>
  <c r="DW33" i="4"/>
  <c r="DW29" i="4"/>
  <c r="DW15" i="4"/>
  <c r="DW9" i="4"/>
  <c r="DX30" i="4"/>
  <c r="DX114" i="4"/>
  <c r="DX21" i="4"/>
  <c r="DW10" i="4"/>
  <c r="DW34" i="4"/>
  <c r="DW16" i="4"/>
  <c r="DW35" i="4"/>
  <c r="DX55" i="4"/>
  <c r="DX28" i="4"/>
  <c r="DX31" i="4"/>
  <c r="DW36" i="4"/>
  <c r="DW13" i="4"/>
  <c r="DW18" i="4"/>
  <c r="DW31" i="4"/>
  <c r="DX32" i="4"/>
  <c r="DX14" i="4"/>
  <c r="DX22" i="4"/>
  <c r="DX9" i="4"/>
  <c r="DW30" i="4"/>
  <c r="DW114" i="4"/>
  <c r="DX33" i="4"/>
  <c r="DX29" i="4"/>
  <c r="DX15" i="4"/>
  <c r="DW55" i="4"/>
  <c r="DJ170" i="4"/>
  <c r="DI52" i="4"/>
  <c r="CJ170" i="4"/>
  <c r="DI188" i="4"/>
  <c r="DI169" i="4"/>
  <c r="DJ121" i="4"/>
  <c r="DI321" i="4"/>
  <c r="DJ147" i="4"/>
  <c r="DJ127" i="4"/>
  <c r="DI209" i="4"/>
  <c r="DJ252" i="4"/>
  <c r="DJ164" i="4"/>
  <c r="DJ173" i="4"/>
  <c r="DJ167" i="4"/>
  <c r="DI107" i="4"/>
  <c r="DJ236" i="4"/>
  <c r="DJ206" i="4"/>
  <c r="DI196" i="4"/>
  <c r="DI286" i="4"/>
  <c r="DJ183" i="4"/>
  <c r="DJ82" i="4"/>
  <c r="DI259" i="4"/>
  <c r="DJ158" i="4"/>
  <c r="DI111" i="4"/>
  <c r="DL317" i="4"/>
  <c r="DZ292" i="4"/>
  <c r="DZ186" i="4"/>
  <c r="DZ316" i="4"/>
  <c r="DZ238" i="4"/>
  <c r="DZ60" i="4"/>
  <c r="DZ227" i="4"/>
  <c r="DZ99" i="4"/>
  <c r="DZ208" i="4"/>
  <c r="DZ71" i="4"/>
  <c r="DZ108" i="4"/>
  <c r="DZ207" i="4"/>
  <c r="DZ96" i="4"/>
  <c r="DZ58" i="4"/>
  <c r="DZ90" i="4"/>
  <c r="DZ38" i="4"/>
  <c r="DZ196" i="4"/>
  <c r="DZ166" i="4"/>
  <c r="DZ151" i="4"/>
  <c r="DZ231" i="4"/>
  <c r="DZ295" i="4"/>
  <c r="DZ188" i="4"/>
  <c r="DZ134" i="4"/>
  <c r="DZ98" i="4"/>
  <c r="DZ72" i="4"/>
  <c r="DZ119" i="4"/>
  <c r="DZ109" i="4"/>
  <c r="DZ210" i="4"/>
  <c r="DZ361" i="4"/>
  <c r="DZ111" i="4"/>
  <c r="DZ140" i="4"/>
  <c r="DZ40" i="4"/>
  <c r="DZ206" i="4"/>
  <c r="DZ46" i="4"/>
  <c r="DZ32" i="4"/>
  <c r="DZ128" i="4"/>
  <c r="DZ182" i="4"/>
  <c r="DZ336" i="4"/>
  <c r="DZ246" i="4"/>
  <c r="DZ298" i="4"/>
  <c r="DZ176" i="4"/>
  <c r="DZ101" i="4"/>
  <c r="DZ141" i="4"/>
  <c r="DZ51" i="4"/>
  <c r="DZ153" i="4"/>
  <c r="DZ158" i="4"/>
  <c r="DZ52" i="4"/>
  <c r="DZ313" i="4"/>
  <c r="DZ169" i="4"/>
  <c r="DZ70" i="4"/>
  <c r="DZ253" i="4"/>
  <c r="DZ36" i="4"/>
  <c r="DZ29" i="4"/>
  <c r="DZ250" i="4"/>
  <c r="DZ63" i="4"/>
  <c r="DZ82" i="4"/>
  <c r="DZ54" i="4"/>
  <c r="EE7" i="4"/>
  <c r="DZ44" i="4"/>
  <c r="DZ268" i="4"/>
  <c r="DZ183" i="4"/>
  <c r="DZ266" i="4"/>
  <c r="DZ83" i="4"/>
  <c r="DZ200" i="4"/>
  <c r="DZ87" i="4"/>
  <c r="DZ95" i="4"/>
  <c r="DZ131" i="4"/>
  <c r="DZ192" i="4"/>
  <c r="DZ79" i="4"/>
  <c r="DZ171" i="4"/>
  <c r="DZ157" i="4"/>
  <c r="DZ251" i="4"/>
  <c r="DZ138" i="4"/>
  <c r="DZ30" i="4"/>
  <c r="DZ236" i="4"/>
  <c r="DZ77" i="4"/>
  <c r="DZ93" i="4"/>
  <c r="DZ116" i="4"/>
  <c r="DZ297" i="4"/>
  <c r="DZ254" i="4"/>
  <c r="DZ306" i="4"/>
  <c r="DZ139" i="4"/>
  <c r="DZ168" i="4"/>
  <c r="DZ193" i="4"/>
  <c r="DZ317" i="4"/>
  <c r="DZ50" i="4"/>
  <c r="DZ232" i="4"/>
  <c r="DZ127" i="4"/>
  <c r="DZ68" i="4"/>
  <c r="DZ7" i="4"/>
  <c r="DZ179" i="4"/>
  <c r="DZ124" i="4"/>
  <c r="DZ49" i="4"/>
  <c r="DZ47" i="4"/>
  <c r="DZ217" i="4"/>
  <c r="DZ342" i="4"/>
  <c r="DZ173" i="4"/>
  <c r="DZ213" i="4"/>
  <c r="DZ260" i="4"/>
  <c r="DZ239" i="4"/>
  <c r="DZ59" i="4"/>
  <c r="DZ25" i="4"/>
  <c r="DZ121" i="4"/>
  <c r="DZ187" i="4"/>
  <c r="DZ170" i="4"/>
  <c r="DZ301" i="4"/>
  <c r="DZ294" i="4"/>
  <c r="DZ136" i="4"/>
  <c r="DZ126" i="4"/>
  <c r="DZ69" i="4"/>
  <c r="DZ92" i="4"/>
  <c r="DZ264" i="4"/>
  <c r="DZ130" i="4"/>
  <c r="DZ80" i="4"/>
  <c r="DZ17" i="4"/>
  <c r="EE12" i="4"/>
  <c r="DZ215" i="4"/>
  <c r="DZ132" i="4"/>
  <c r="DZ147" i="4"/>
  <c r="DZ296" i="4"/>
  <c r="DZ321" i="4"/>
  <c r="DZ314" i="4"/>
  <c r="DZ73" i="4"/>
  <c r="DZ181" i="4"/>
  <c r="DZ320" i="4"/>
  <c r="DZ84" i="4"/>
  <c r="DZ143" i="4"/>
  <c r="DZ420" i="4"/>
  <c r="DZ48" i="4"/>
  <c r="DZ89" i="4"/>
  <c r="DZ26" i="4"/>
  <c r="DZ23" i="4"/>
  <c r="DZ117" i="4"/>
  <c r="DZ37" i="4"/>
  <c r="DZ65" i="4"/>
  <c r="DZ22" i="4"/>
  <c r="DZ286" i="4"/>
  <c r="DZ203" i="4"/>
  <c r="DZ307" i="4"/>
  <c r="DZ216" i="4"/>
  <c r="DZ299" i="4"/>
  <c r="DZ185" i="4"/>
  <c r="DZ20" i="4"/>
  <c r="DZ78" i="4"/>
  <c r="DZ107" i="4"/>
  <c r="DZ61" i="4"/>
  <c r="DZ142" i="4"/>
  <c r="DZ56" i="4"/>
  <c r="DZ149" i="4"/>
  <c r="DZ67" i="4"/>
  <c r="DZ81" i="4"/>
  <c r="DZ66" i="4"/>
  <c r="DZ91" i="4"/>
  <c r="DZ33" i="4"/>
  <c r="DZ167" i="4"/>
  <c r="DZ43" i="4"/>
  <c r="DZ27" i="4"/>
  <c r="DZ42" i="4"/>
  <c r="DZ15" i="4"/>
  <c r="DZ322" i="4"/>
  <c r="DZ184" i="4"/>
  <c r="DZ205" i="4"/>
  <c r="DZ291" i="4"/>
  <c r="DZ164" i="4"/>
  <c r="DZ154" i="4"/>
  <c r="DZ252" i="4"/>
  <c r="DZ209" i="4"/>
  <c r="DZ329" i="4"/>
  <c r="DZ120" i="4"/>
  <c r="DZ35" i="4"/>
  <c r="DZ155" i="4"/>
  <c r="DZ55" i="4"/>
  <c r="DZ62" i="4"/>
  <c r="DZ10" i="4"/>
  <c r="DZ86" i="4"/>
  <c r="DZ19" i="4"/>
  <c r="DZ16" i="4"/>
  <c r="DZ114" i="4"/>
  <c r="DZ358" i="4"/>
  <c r="DZ328" i="4"/>
  <c r="DZ300" i="4"/>
  <c r="DZ228" i="4"/>
  <c r="DZ211" i="4"/>
  <c r="DZ265" i="4"/>
  <c r="DZ237" i="4"/>
  <c r="DZ289" i="4"/>
  <c r="DZ199" i="4"/>
  <c r="DZ18" i="4"/>
  <c r="DZ31" i="4"/>
  <c r="DZ21" i="4"/>
  <c r="DZ11" i="4"/>
  <c r="DZ172" i="4"/>
  <c r="DZ137" i="4"/>
  <c r="DZ24" i="4"/>
  <c r="DZ28" i="4"/>
  <c r="DZ12" i="4"/>
  <c r="EE6" i="4"/>
  <c r="DZ218" i="4"/>
  <c r="DZ198" i="4"/>
  <c r="DZ308" i="4"/>
  <c r="DZ214" i="4"/>
  <c r="DZ255" i="4"/>
  <c r="DZ100" i="4"/>
  <c r="DZ273" i="4"/>
  <c r="DZ112" i="4"/>
  <c r="DZ272" i="4"/>
  <c r="DZ133" i="4"/>
  <c r="DZ150" i="4"/>
  <c r="DZ235" i="4"/>
  <c r="DZ6" i="4"/>
  <c r="DZ9" i="4"/>
  <c r="DZ259" i="4"/>
  <c r="DZ94" i="4"/>
  <c r="DZ34" i="4"/>
  <c r="DZ14" i="4"/>
  <c r="DZ97" i="4"/>
  <c r="DZ302" i="4"/>
  <c r="DZ39" i="4"/>
  <c r="DZ280" i="4"/>
  <c r="DZ225" i="4"/>
  <c r="DZ293" i="4"/>
  <c r="DZ249" i="4"/>
  <c r="DZ115" i="4"/>
  <c r="DZ212" i="4"/>
  <c r="DZ261" i="4"/>
  <c r="DZ106" i="4"/>
  <c r="DZ88" i="4"/>
  <c r="DZ8" i="4"/>
  <c r="DZ53" i="4"/>
  <c r="DZ57" i="4"/>
  <c r="DZ13" i="4"/>
  <c r="DZ118" i="4"/>
  <c r="DZ256" i="4"/>
  <c r="DZ125" i="4"/>
  <c r="CJ38" i="4"/>
  <c r="CJ254" i="4"/>
  <c r="CJ317" i="4"/>
  <c r="CJ119" i="4"/>
  <c r="CN246" i="4"/>
  <c r="CL215" i="4"/>
  <c r="DI70" i="4"/>
  <c r="DI149" i="4"/>
  <c r="DI214" i="4"/>
  <c r="DJ227" i="4"/>
  <c r="DJ78" i="4"/>
  <c r="DJ117" i="4"/>
  <c r="DJ238" i="4"/>
  <c r="DJ96" i="4"/>
  <c r="DI292" i="4"/>
  <c r="DI128" i="4"/>
  <c r="DI82" i="4"/>
  <c r="DJ299" i="4"/>
  <c r="DJ300" i="4"/>
  <c r="DI212" i="4"/>
  <c r="DI237" i="4"/>
  <c r="DI235" i="4"/>
  <c r="DJ157" i="4"/>
  <c r="DI121" i="4"/>
  <c r="DJ307" i="4"/>
  <c r="DI79" i="4"/>
  <c r="DI141" i="4"/>
  <c r="DJ198" i="4"/>
  <c r="DL358" i="4"/>
  <c r="DL322" i="4"/>
  <c r="DS48" i="4"/>
  <c r="DS62" i="4"/>
  <c r="DS19" i="4"/>
  <c r="DS65" i="4"/>
  <c r="DS81" i="4"/>
  <c r="DS11" i="4"/>
  <c r="DS57" i="4"/>
  <c r="DS28" i="4"/>
  <c r="DS116" i="4"/>
  <c r="DS155" i="4"/>
  <c r="DS8" i="4"/>
  <c r="DS90" i="4"/>
  <c r="DS14" i="4"/>
  <c r="DS47" i="4"/>
  <c r="DS31" i="4"/>
  <c r="DS92" i="4"/>
  <c r="DS32" i="4"/>
  <c r="DS80" i="4"/>
  <c r="DS17" i="4"/>
  <c r="DS9" i="4"/>
  <c r="DS23" i="4"/>
  <c r="DS29" i="4"/>
  <c r="DX6" i="4"/>
  <c r="DS22" i="4"/>
  <c r="DS89" i="4"/>
  <c r="DS33" i="4"/>
  <c r="DS42" i="4"/>
  <c r="DS15" i="4"/>
  <c r="DS66" i="4"/>
  <c r="DS10" i="4"/>
  <c r="DS24" i="4"/>
  <c r="DS114" i="4"/>
  <c r="DX7" i="4"/>
  <c r="DX12" i="4"/>
  <c r="DS420" i="4"/>
  <c r="DS55" i="4"/>
  <c r="DS58" i="4"/>
  <c r="DS34" i="4"/>
  <c r="DS12" i="4"/>
  <c r="DS67" i="4"/>
  <c r="DS21" i="4"/>
  <c r="DS46" i="4"/>
  <c r="DS13" i="4"/>
  <c r="DS16" i="4"/>
  <c r="DS35" i="4"/>
  <c r="DS36" i="4"/>
  <c r="DS18" i="4"/>
  <c r="DS26" i="4"/>
  <c r="DS30" i="4"/>
  <c r="DS37" i="4"/>
  <c r="DS6" i="4"/>
  <c r="DS91" i="4"/>
  <c r="DS7" i="4"/>
  <c r="DS27" i="4"/>
  <c r="DJ120" i="4"/>
  <c r="DJ100" i="4"/>
  <c r="DI134" i="4"/>
  <c r="DJ196" i="4"/>
  <c r="CJ313" i="4"/>
  <c r="CJ89" i="4"/>
  <c r="CJ358" i="4"/>
  <c r="CJ200" i="4"/>
  <c r="CL170" i="4"/>
  <c r="CN154" i="4"/>
  <c r="CN99" i="4"/>
  <c r="CN117" i="4"/>
  <c r="DJ83" i="4"/>
  <c r="DJ237" i="4"/>
  <c r="DI255" i="4"/>
  <c r="DJ63" i="4"/>
  <c r="DJ361" i="4"/>
  <c r="DI253" i="4"/>
  <c r="DI39" i="4"/>
  <c r="DI150" i="4"/>
  <c r="DI25" i="4"/>
  <c r="DJ216" i="4"/>
  <c r="DI184" i="4"/>
  <c r="DI157" i="4"/>
  <c r="DI97" i="4"/>
  <c r="DJ153" i="4"/>
  <c r="DJ316" i="4"/>
  <c r="DI182" i="4"/>
  <c r="DI95" i="4"/>
  <c r="DI153" i="4"/>
  <c r="DJ171" i="4"/>
  <c r="DJ118" i="4"/>
  <c r="DJ168" i="4"/>
  <c r="DJ106" i="4"/>
  <c r="DL173" i="4"/>
  <c r="EB297" i="4"/>
  <c r="EB231" i="4"/>
  <c r="EB225" i="4"/>
  <c r="EB322" i="4"/>
  <c r="EB205" i="4"/>
  <c r="EB342" i="4"/>
  <c r="EB308" i="4"/>
  <c r="EB246" i="4"/>
  <c r="EB328" i="4"/>
  <c r="EB228" i="4"/>
  <c r="EB302" i="4"/>
  <c r="EB239" i="4"/>
  <c r="DJ60" i="4"/>
  <c r="CL101" i="4"/>
  <c r="DJ40" i="4"/>
  <c r="DJ210" i="4"/>
  <c r="DI320" i="4"/>
  <c r="DJ140" i="4"/>
  <c r="DI294" i="4"/>
  <c r="DI94" i="4"/>
  <c r="DJ107" i="4"/>
  <c r="DJ249" i="4"/>
  <c r="DJ150" i="4"/>
  <c r="DJ73" i="4"/>
  <c r="DJ128" i="4"/>
  <c r="DI98" i="4"/>
  <c r="DI87" i="4"/>
  <c r="DI295" i="4"/>
  <c r="DI358" i="4"/>
  <c r="DJ213" i="4"/>
  <c r="DJ215" i="4"/>
  <c r="CJ131" i="4"/>
  <c r="CL134" i="4"/>
  <c r="CJ218" i="4"/>
  <c r="CN125" i="4"/>
  <c r="CJ211" i="4"/>
  <c r="CN118" i="4"/>
  <c r="DI336" i="4"/>
  <c r="DI50" i="4"/>
  <c r="DI291" i="4"/>
  <c r="DI115" i="4"/>
  <c r="DJ38" i="4"/>
  <c r="DI109" i="4"/>
  <c r="DJ134" i="4"/>
  <c r="DI272" i="4"/>
  <c r="DJ70" i="4"/>
  <c r="DJ209" i="4"/>
  <c r="DJ88" i="4"/>
  <c r="DJ94" i="4"/>
  <c r="DJ52" i="4"/>
  <c r="DJ214" i="4"/>
  <c r="DI307" i="4"/>
  <c r="DJ97" i="4"/>
  <c r="DI143" i="4"/>
  <c r="DI108" i="4"/>
  <c r="DI316" i="4"/>
  <c r="DI71" i="4"/>
  <c r="CJ173" i="4"/>
  <c r="CL218" i="4"/>
  <c r="CJ209" i="4"/>
  <c r="CJ259" i="4"/>
  <c r="CJ256" i="4"/>
  <c r="CJ44" i="4"/>
  <c r="CJ137" i="4"/>
  <c r="DJ132" i="4"/>
  <c r="DJ192" i="4"/>
  <c r="DJ253" i="4"/>
  <c r="DI251" i="4"/>
  <c r="DJ260" i="4"/>
  <c r="DJ268" i="4"/>
  <c r="DJ59" i="4"/>
  <c r="DI217" i="4"/>
  <c r="DJ317" i="4"/>
  <c r="DI170" i="4"/>
  <c r="DI132" i="4"/>
  <c r="DI100" i="4"/>
  <c r="DI83" i="4"/>
  <c r="DI151" i="4"/>
  <c r="DI118" i="4"/>
  <c r="DI119" i="4"/>
  <c r="DI199" i="4"/>
  <c r="DJ154" i="4"/>
  <c r="DI317" i="4"/>
  <c r="DI260" i="4"/>
  <c r="DI198" i="4"/>
  <c r="DJ203" i="4"/>
  <c r="DJ261" i="4"/>
  <c r="CN301" i="4"/>
  <c r="CN336" i="4"/>
  <c r="CJ98" i="4"/>
  <c r="CN321" i="4"/>
  <c r="CN216" i="4"/>
  <c r="CN133" i="4"/>
  <c r="CN169" i="4"/>
  <c r="CJ112" i="4"/>
  <c r="CN196" i="4"/>
  <c r="DL228" i="4"/>
  <c r="DL134" i="4"/>
  <c r="DL297" i="4"/>
  <c r="DL302" i="4"/>
  <c r="DL342" i="4"/>
  <c r="DU297" i="4"/>
  <c r="DU173" i="4"/>
  <c r="DU307" i="4"/>
  <c r="DU99" i="4"/>
  <c r="DU261" i="4"/>
  <c r="DU209" i="4"/>
  <c r="DU251" i="4"/>
  <c r="DU361" i="4"/>
  <c r="DU96" i="4"/>
  <c r="DU167" i="4"/>
  <c r="DU86" i="4"/>
  <c r="DU256" i="4"/>
  <c r="DU137" i="4"/>
  <c r="DU217" i="4"/>
  <c r="DU186" i="4"/>
  <c r="DU225" i="4"/>
  <c r="DU214" i="4"/>
  <c r="DU228" i="4"/>
  <c r="DU227" i="4"/>
  <c r="DU289" i="4"/>
  <c r="DU236" i="4"/>
  <c r="DU94" i="4"/>
  <c r="DU292" i="4"/>
  <c r="DU176" i="4"/>
  <c r="DU136" i="4"/>
  <c r="DU61" i="4"/>
  <c r="DU320" i="4"/>
  <c r="DU215" i="4"/>
  <c r="DU231" i="4"/>
  <c r="DU266" i="4"/>
  <c r="DU134" i="4"/>
  <c r="DU109" i="4"/>
  <c r="DU133" i="4"/>
  <c r="DU97" i="4"/>
  <c r="DU206" i="4"/>
  <c r="DU184" i="4"/>
  <c r="DU183" i="4"/>
  <c r="DU119" i="4"/>
  <c r="DU48" i="4"/>
  <c r="DU265" i="4"/>
  <c r="DU140" i="4"/>
  <c r="DU286" i="4"/>
  <c r="DU246" i="4"/>
  <c r="DU73" i="4"/>
  <c r="DU205" i="4"/>
  <c r="DU158" i="4"/>
  <c r="DU52" i="4"/>
  <c r="DU38" i="4"/>
  <c r="DU182" i="4"/>
  <c r="DU295" i="4"/>
  <c r="DU300" i="4"/>
  <c r="DU153" i="4"/>
  <c r="DU25" i="4"/>
  <c r="DU53" i="4"/>
  <c r="DU115" i="4"/>
  <c r="DU142" i="4"/>
  <c r="DU54" i="4"/>
  <c r="DU44" i="4"/>
  <c r="DU187" i="4"/>
  <c r="DU308" i="4"/>
  <c r="DU188" i="4"/>
  <c r="DU95" i="4"/>
  <c r="DU131" i="4"/>
  <c r="DU40" i="4"/>
  <c r="DU298" i="4"/>
  <c r="DU198" i="4"/>
  <c r="DU213" i="4"/>
  <c r="DU87" i="4"/>
  <c r="DU264" i="4"/>
  <c r="DU138" i="4"/>
  <c r="DU252" i="4"/>
  <c r="DU51" i="4"/>
  <c r="DU60" i="4"/>
  <c r="DU50" i="4"/>
  <c r="DU328" i="4"/>
  <c r="DU316" i="4"/>
  <c r="DU185" i="4"/>
  <c r="DU168" i="4"/>
  <c r="DU82" i="4"/>
  <c r="DU192" i="4"/>
  <c r="DU301" i="4"/>
  <c r="DU268" i="4"/>
  <c r="DU280" i="4"/>
  <c r="DU147" i="4"/>
  <c r="DU83" i="4"/>
  <c r="DU68" i="4"/>
  <c r="DU84" i="4"/>
  <c r="DU98" i="4"/>
  <c r="DU166" i="4"/>
  <c r="DU63" i="4"/>
  <c r="DU254" i="4"/>
  <c r="DU342" i="4"/>
  <c r="DU101" i="4"/>
  <c r="DU302" i="4"/>
  <c r="DU125" i="4"/>
  <c r="DU151" i="4"/>
  <c r="DU291" i="4"/>
  <c r="DU78" i="4"/>
  <c r="DU164" i="4"/>
  <c r="DU272" i="4"/>
  <c r="DU255" i="4"/>
  <c r="DU121" i="4"/>
  <c r="DU139" i="4"/>
  <c r="DU171" i="4"/>
  <c r="DU157" i="4"/>
  <c r="DU93" i="4"/>
  <c r="DU216" i="4"/>
  <c r="DU239" i="4"/>
  <c r="DU238" i="4"/>
  <c r="DU193" i="4"/>
  <c r="DU293" i="4"/>
  <c r="DU170" i="4"/>
  <c r="DU314" i="4"/>
  <c r="DU150" i="4"/>
  <c r="DU128" i="4"/>
  <c r="DU120" i="4"/>
  <c r="DU249" i="4"/>
  <c r="DU336" i="4"/>
  <c r="DU207" i="4"/>
  <c r="DU59" i="4"/>
  <c r="DU200" i="4"/>
  <c r="DU117" i="4"/>
  <c r="DU124" i="4"/>
  <c r="DU49" i="4"/>
  <c r="DU232" i="4"/>
  <c r="DU116" i="4"/>
  <c r="DU321" i="4"/>
  <c r="DU39" i="4"/>
  <c r="DU203" i="4"/>
  <c r="DU294" i="4"/>
  <c r="DU20" i="4"/>
  <c r="DU273" i="4"/>
  <c r="DU100" i="4"/>
  <c r="DU118" i="4"/>
  <c r="DU296" i="4"/>
  <c r="DU88" i="4"/>
  <c r="DU77" i="4"/>
  <c r="DU69" i="4"/>
  <c r="DU70" i="4"/>
  <c r="DU322" i="4"/>
  <c r="DU132" i="4"/>
  <c r="DU317" i="4"/>
  <c r="DU112" i="4"/>
  <c r="DU199" i="4"/>
  <c r="DU212" i="4"/>
  <c r="DU108" i="4"/>
  <c r="DU235" i="4"/>
  <c r="DU299" i="4"/>
  <c r="DU143" i="4"/>
  <c r="DU141" i="4"/>
  <c r="DU79" i="4"/>
  <c r="DU358" i="4"/>
  <c r="DU313" i="4"/>
  <c r="DU237" i="4"/>
  <c r="DU329" i="4"/>
  <c r="DU211" i="4"/>
  <c r="DU259" i="4"/>
  <c r="DU250" i="4"/>
  <c r="DU172" i="4"/>
  <c r="DU106" i="4"/>
  <c r="DU154" i="4"/>
  <c r="DU72" i="4"/>
  <c r="DU126" i="4"/>
  <c r="DU253" i="4"/>
  <c r="DU181" i="4"/>
  <c r="DU43" i="4"/>
  <c r="DU127" i="4"/>
  <c r="DU260" i="4"/>
  <c r="DU218" i="4"/>
  <c r="DU306" i="4"/>
  <c r="DU149" i="4"/>
  <c r="DU210" i="4"/>
  <c r="DU208" i="4"/>
  <c r="DU111" i="4"/>
  <c r="DU169" i="4"/>
  <c r="DU71" i="4"/>
  <c r="DU56" i="4"/>
  <c r="DU179" i="4"/>
  <c r="DU196" i="4"/>
  <c r="DU107" i="4"/>
  <c r="DU130" i="4"/>
  <c r="CJ179" i="4"/>
  <c r="CJ237" i="4"/>
  <c r="CN37" i="4"/>
  <c r="CJ133" i="4"/>
  <c r="CN53" i="4"/>
  <c r="CN82" i="4"/>
  <c r="CN291" i="4"/>
  <c r="CN296" i="4"/>
  <c r="CJ153" i="4"/>
  <c r="CN260" i="4"/>
  <c r="CL322" i="4"/>
  <c r="CN143" i="4"/>
  <c r="CJ92" i="4"/>
  <c r="CN328" i="4"/>
  <c r="CN20" i="4"/>
  <c r="CN265" i="4"/>
  <c r="DL203" i="4"/>
  <c r="DL205" i="4"/>
  <c r="DL101" i="4"/>
  <c r="DL313" i="4"/>
  <c r="DL218" i="4"/>
  <c r="DL132" i="4"/>
  <c r="DL292" i="4"/>
  <c r="DL44" i="4"/>
  <c r="DL60" i="4"/>
  <c r="DL252" i="4"/>
  <c r="DL260" i="4"/>
  <c r="DL199" i="4"/>
  <c r="DL259" i="4"/>
  <c r="DL235" i="4"/>
  <c r="DL185" i="4"/>
  <c r="DL38" i="4"/>
  <c r="DL232" i="4"/>
  <c r="DL40" i="4"/>
  <c r="DL238" i="4"/>
  <c r="DL98" i="4"/>
  <c r="DL61" i="4"/>
  <c r="DL193" i="4"/>
  <c r="DL211" i="4"/>
  <c r="DL208" i="4"/>
  <c r="DL106" i="4"/>
  <c r="DL268" i="4"/>
  <c r="DL295" i="4"/>
  <c r="DL127" i="4"/>
  <c r="DL166" i="4"/>
  <c r="DL59" i="4"/>
  <c r="DL306" i="4"/>
  <c r="DL320" i="4"/>
  <c r="DL84" i="4"/>
  <c r="DL294" i="4"/>
  <c r="DL329" i="4"/>
  <c r="DL210" i="4"/>
  <c r="DL361" i="4"/>
  <c r="DL150" i="4"/>
  <c r="DL256" i="4"/>
  <c r="DL112" i="4"/>
  <c r="DL272" i="4"/>
  <c r="DL301" i="4"/>
  <c r="DL54" i="4"/>
  <c r="DL137" i="4"/>
  <c r="DL307" i="4"/>
  <c r="DL88" i="4"/>
  <c r="DL265" i="4"/>
  <c r="DL149" i="4"/>
  <c r="DL251" i="4"/>
  <c r="DL119" i="4"/>
  <c r="DL133" i="4"/>
  <c r="DL118" i="4"/>
  <c r="DL214" i="4"/>
  <c r="DL142" i="4"/>
  <c r="DL237" i="4"/>
  <c r="DL261" i="4"/>
  <c r="DL236" i="4"/>
  <c r="DL187" i="4"/>
  <c r="DL169" i="4"/>
  <c r="DL176" i="4"/>
  <c r="DL143" i="4"/>
  <c r="DL253" i="4"/>
  <c r="DL97" i="4"/>
  <c r="DL184" i="4"/>
  <c r="DL167" i="4"/>
  <c r="DL71" i="4"/>
  <c r="DL51" i="4"/>
  <c r="DL111" i="4"/>
  <c r="DL125" i="4"/>
  <c r="DL153" i="4"/>
  <c r="DL183" i="4"/>
  <c r="DL264" i="4"/>
  <c r="DL117" i="4"/>
  <c r="DL99" i="4"/>
  <c r="DL170" i="4"/>
  <c r="DL186" i="4"/>
  <c r="DL300" i="4"/>
  <c r="DL179" i="4"/>
  <c r="DL86" i="4"/>
  <c r="DL200" i="4"/>
  <c r="DL140" i="4"/>
  <c r="DL70" i="4"/>
  <c r="DL206" i="4"/>
  <c r="DL82" i="4"/>
  <c r="DL289" i="4"/>
  <c r="DL196" i="4"/>
  <c r="DL227" i="4"/>
  <c r="DL20" i="4"/>
  <c r="DL192" i="4"/>
  <c r="DL198" i="4"/>
  <c r="DL77" i="4"/>
  <c r="DL336" i="4"/>
  <c r="DL213" i="4"/>
  <c r="DL115" i="4"/>
  <c r="DL109" i="4"/>
  <c r="DL321" i="4"/>
  <c r="DL78" i="4"/>
  <c r="DL280" i="4"/>
  <c r="DL136" i="4"/>
  <c r="DL25" i="4"/>
  <c r="DL43" i="4"/>
  <c r="DL128" i="4"/>
  <c r="DL188" i="4"/>
  <c r="DL147" i="4"/>
  <c r="DL296" i="4"/>
  <c r="DL158" i="4"/>
  <c r="DL291" i="4"/>
  <c r="DL126" i="4"/>
  <c r="DL138" i="4"/>
  <c r="DL215" i="4"/>
  <c r="DL255" i="4"/>
  <c r="DL72" i="4"/>
  <c r="DL299" i="4"/>
  <c r="DL95" i="4"/>
  <c r="DL314" i="4"/>
  <c r="DL273" i="4"/>
  <c r="DL120" i="4"/>
  <c r="DL286" i="4"/>
  <c r="DL249" i="4"/>
  <c r="DL154" i="4"/>
  <c r="DL293" i="4"/>
  <c r="DL212" i="4"/>
  <c r="DL87" i="4"/>
  <c r="DL100" i="4"/>
  <c r="DL131" i="4"/>
  <c r="DL172" i="4"/>
  <c r="DL164" i="4"/>
  <c r="DL250" i="4"/>
  <c r="DL83" i="4"/>
  <c r="DL121" i="4"/>
  <c r="DL94" i="4"/>
  <c r="DL50" i="4"/>
  <c r="DL107" i="4"/>
  <c r="DL157" i="4"/>
  <c r="DL49" i="4"/>
  <c r="DL53" i="4"/>
  <c r="DL93" i="4"/>
  <c r="DL96" i="4"/>
  <c r="DL52" i="4"/>
  <c r="DL209" i="4"/>
  <c r="DL298" i="4"/>
  <c r="DL69" i="4"/>
  <c r="DL168" i="4"/>
  <c r="DL207" i="4"/>
  <c r="DL108" i="4"/>
  <c r="DL63" i="4"/>
  <c r="DL68" i="4"/>
  <c r="DL181" i="4"/>
  <c r="DL141" i="4"/>
  <c r="DL130" i="4"/>
  <c r="DL171" i="4"/>
  <c r="DL182" i="4"/>
  <c r="DL139" i="4"/>
  <c r="DL56" i="4"/>
  <c r="DL79" i="4"/>
  <c r="DL124" i="4"/>
  <c r="CN176" i="4"/>
  <c r="CN153" i="4"/>
  <c r="CN273" i="4"/>
  <c r="CJ126" i="4"/>
  <c r="CN139" i="4"/>
  <c r="CN83" i="4"/>
  <c r="CN94" i="4"/>
  <c r="CJ142" i="4"/>
  <c r="CN137" i="4"/>
  <c r="CJ48" i="4"/>
  <c r="DJ56" i="4"/>
  <c r="DI131" i="4"/>
  <c r="DI147" i="4"/>
  <c r="DI72" i="4"/>
  <c r="DL239" i="4"/>
  <c r="DS302" i="4"/>
  <c r="DS286" i="4"/>
  <c r="DS246" i="4"/>
  <c r="DS187" i="4"/>
  <c r="DS317" i="4"/>
  <c r="DS207" i="4"/>
  <c r="DS87" i="4"/>
  <c r="DS158" i="4"/>
  <c r="DS52" i="4"/>
  <c r="DS38" i="4"/>
  <c r="DS206" i="4"/>
  <c r="DS143" i="4"/>
  <c r="DS50" i="4"/>
  <c r="DS198" i="4"/>
  <c r="DS107" i="4"/>
  <c r="DS292" i="4"/>
  <c r="DS44" i="4"/>
  <c r="DS313" i="4"/>
  <c r="DS140" i="4"/>
  <c r="DS95" i="4"/>
  <c r="DS131" i="4"/>
  <c r="DS40" i="4"/>
  <c r="DS182" i="4"/>
  <c r="DS238" i="4"/>
  <c r="DS264" i="4"/>
  <c r="DS54" i="4"/>
  <c r="DS249" i="4"/>
  <c r="DS172" i="4"/>
  <c r="DS53" i="4"/>
  <c r="DS137" i="4"/>
  <c r="DS151" i="4"/>
  <c r="DS328" i="4"/>
  <c r="DS316" i="4"/>
  <c r="DS342" i="4"/>
  <c r="DS306" i="4"/>
  <c r="DS121" i="4"/>
  <c r="DS168" i="4"/>
  <c r="DS82" i="4"/>
  <c r="DS185" i="4"/>
  <c r="DS295" i="4"/>
  <c r="DS71" i="4"/>
  <c r="DS83" i="4"/>
  <c r="DS25" i="4"/>
  <c r="DS300" i="4"/>
  <c r="DS336" i="4"/>
  <c r="DS254" i="4"/>
  <c r="DS307" i="4"/>
  <c r="DS101" i="4"/>
  <c r="DS260" i="4"/>
  <c r="DS125" i="4"/>
  <c r="DS205" i="4"/>
  <c r="DS291" i="4"/>
  <c r="DS192" i="4"/>
  <c r="DS301" i="4"/>
  <c r="DS298" i="4"/>
  <c r="DS115" i="4"/>
  <c r="DS77" i="4"/>
  <c r="DS139" i="4"/>
  <c r="DS138" i="4"/>
  <c r="DS280" i="4"/>
  <c r="DS171" i="4"/>
  <c r="DS228" i="4"/>
  <c r="DS216" i="4"/>
  <c r="DS239" i="4"/>
  <c r="DS203" i="4"/>
  <c r="DS252" i="4"/>
  <c r="DS296" i="4"/>
  <c r="DS193" i="4"/>
  <c r="DS293" i="4"/>
  <c r="DS170" i="4"/>
  <c r="DS314" i="4"/>
  <c r="DS78" i="4"/>
  <c r="DS164" i="4"/>
  <c r="DS268" i="4"/>
  <c r="DS255" i="4"/>
  <c r="DS59" i="4"/>
  <c r="DS68" i="4"/>
  <c r="DS147" i="4"/>
  <c r="DS98" i="4"/>
  <c r="DS134" i="4"/>
  <c r="DS321" i="4"/>
  <c r="DS39" i="4"/>
  <c r="DS61" i="4"/>
  <c r="DS299" i="4"/>
  <c r="DS294" i="4"/>
  <c r="DS20" i="4"/>
  <c r="DS150" i="4"/>
  <c r="DS272" i="4"/>
  <c r="DS72" i="4"/>
  <c r="DS169" i="4"/>
  <c r="DS126" i="4"/>
  <c r="DS69" i="4"/>
  <c r="DS235" i="4"/>
  <c r="DS167" i="4"/>
  <c r="DS322" i="4"/>
  <c r="DS132" i="4"/>
  <c r="DS84" i="4"/>
  <c r="DS154" i="4"/>
  <c r="DS112" i="4"/>
  <c r="DS199" i="4"/>
  <c r="DS273" i="4"/>
  <c r="DS100" i="4"/>
  <c r="DS128" i="4"/>
  <c r="DS51" i="4"/>
  <c r="DS179" i="4"/>
  <c r="DS79" i="4"/>
  <c r="DS166" i="4"/>
  <c r="DS188" i="4"/>
  <c r="DS358" i="4"/>
  <c r="DS218" i="4"/>
  <c r="DS265" i="4"/>
  <c r="DS56" i="4"/>
  <c r="DS237" i="4"/>
  <c r="DS329" i="4"/>
  <c r="DS211" i="4"/>
  <c r="DS212" i="4"/>
  <c r="DS118" i="4"/>
  <c r="DS200" i="4"/>
  <c r="DS60" i="4"/>
  <c r="DS183" i="4"/>
  <c r="DS108" i="4"/>
  <c r="DS127" i="4"/>
  <c r="DS157" i="4"/>
  <c r="DS124" i="4"/>
  <c r="DS173" i="4"/>
  <c r="DS142" i="4"/>
  <c r="DS256" i="4"/>
  <c r="DS149" i="4"/>
  <c r="DS210" i="4"/>
  <c r="DS259" i="4"/>
  <c r="DS250" i="4"/>
  <c r="DS308" i="4"/>
  <c r="DS93" i="4"/>
  <c r="DS136" i="4"/>
  <c r="DS213" i="4"/>
  <c r="DS70" i="4"/>
  <c r="DS130" i="4"/>
  <c r="DS49" i="4"/>
  <c r="DS297" i="4"/>
  <c r="DS225" i="4"/>
  <c r="DS214" i="4"/>
  <c r="DS253" i="4"/>
  <c r="DS99" i="4"/>
  <c r="DS261" i="4"/>
  <c r="DS209" i="4"/>
  <c r="DS251" i="4"/>
  <c r="DS208" i="4"/>
  <c r="DS111" i="4"/>
  <c r="DS320" i="4"/>
  <c r="DS232" i="4"/>
  <c r="DS106" i="4"/>
  <c r="DS120" i="4"/>
  <c r="DS217" i="4"/>
  <c r="DS186" i="4"/>
  <c r="DS266" i="4"/>
  <c r="DS117" i="4"/>
  <c r="DS119" i="4"/>
  <c r="DS227" i="4"/>
  <c r="DS289" i="4"/>
  <c r="DS236" i="4"/>
  <c r="DS361" i="4"/>
  <c r="DS96" i="4"/>
  <c r="DS88" i="4"/>
  <c r="DS86" i="4"/>
  <c r="DS141" i="4"/>
  <c r="DS43" i="4"/>
  <c r="DS215" i="4"/>
  <c r="DS231" i="4"/>
  <c r="DS73" i="4"/>
  <c r="DS196" i="4"/>
  <c r="DS153" i="4"/>
  <c r="DS109" i="4"/>
  <c r="DS133" i="4"/>
  <c r="DS97" i="4"/>
  <c r="DS94" i="4"/>
  <c r="DS63" i="4"/>
  <c r="DS184" i="4"/>
  <c r="DS176" i="4"/>
  <c r="DS181" i="4"/>
  <c r="DJ149" i="4"/>
  <c r="DJ211" i="4"/>
  <c r="DJ313" i="4"/>
  <c r="DJ93" i="4"/>
  <c r="DL39" i="4"/>
  <c r="DL225" i="4"/>
  <c r="DL151" i="4"/>
  <c r="CN54" i="4"/>
  <c r="CJ143" i="4"/>
  <c r="CN69" i="4"/>
  <c r="CN72" i="4"/>
  <c r="CJ297" i="4"/>
  <c r="CN184" i="4"/>
  <c r="CN293" i="4"/>
  <c r="CJ134" i="4"/>
  <c r="CJ216" i="4"/>
  <c r="CN79" i="4"/>
  <c r="CJ86" i="4"/>
  <c r="CJ111" i="4"/>
  <c r="CN132" i="4"/>
  <c r="CJ210" i="4"/>
  <c r="CN358" i="4"/>
  <c r="CJ100" i="4"/>
  <c r="CJ299" i="4"/>
  <c r="DI112" i="4"/>
  <c r="DJ51" i="4"/>
  <c r="DI59" i="4"/>
  <c r="DI101" i="4"/>
  <c r="DJ77" i="4"/>
  <c r="DL328" i="4"/>
  <c r="CJ260" i="4"/>
  <c r="CJ151" i="4"/>
  <c r="CN150" i="4"/>
  <c r="CN78" i="4"/>
  <c r="CJ214" i="4"/>
  <c r="CJ294" i="4"/>
  <c r="CN183" i="4"/>
  <c r="CJ87" i="4"/>
  <c r="CL39" i="4"/>
  <c r="CJ207" i="4"/>
  <c r="CJ25" i="4"/>
  <c r="CJ228" i="4"/>
  <c r="CJ72" i="4"/>
  <c r="CN214" i="4"/>
  <c r="CJ251" i="4"/>
  <c r="CN38" i="4"/>
  <c r="CJ261" i="4"/>
  <c r="CN52" i="4"/>
  <c r="CJ125" i="4"/>
  <c r="CJ138" i="4"/>
  <c r="DG205" i="4"/>
  <c r="DI299" i="4"/>
  <c r="DJ265" i="4"/>
  <c r="DJ86" i="4"/>
  <c r="DI210" i="4"/>
  <c r="DJ256" i="4"/>
  <c r="DI171" i="4"/>
  <c r="DL246" i="4"/>
  <c r="DL217" i="4"/>
  <c r="DX246" i="4"/>
  <c r="DW44" i="4"/>
  <c r="DX73" i="4"/>
  <c r="DX205" i="4"/>
  <c r="DW308" i="4"/>
  <c r="DX292" i="4"/>
  <c r="DW151" i="4"/>
  <c r="DW185" i="4"/>
  <c r="DX291" i="4"/>
  <c r="DX251" i="4"/>
  <c r="DX78" i="4"/>
  <c r="DX361" i="4"/>
  <c r="DX164" i="4"/>
  <c r="DX96" i="4"/>
  <c r="DW150" i="4"/>
  <c r="DW94" i="4"/>
  <c r="DW272" i="4"/>
  <c r="DX86" i="4"/>
  <c r="DX255" i="4"/>
  <c r="DW255" i="4"/>
  <c r="DX321" i="4"/>
  <c r="DX253" i="4"/>
  <c r="DW217" i="4"/>
  <c r="DW253" i="4"/>
  <c r="DW261" i="4"/>
  <c r="DW296" i="4"/>
  <c r="DX92" i="4"/>
  <c r="DX27" i="4"/>
  <c r="DX153" i="4"/>
  <c r="DW124" i="4"/>
  <c r="DW158" i="4"/>
  <c r="DW42" i="4"/>
  <c r="DW50" i="4"/>
  <c r="DX69" i="4"/>
  <c r="DW358" i="4"/>
  <c r="DX132" i="4"/>
  <c r="DW187" i="4"/>
  <c r="DX317" i="4"/>
  <c r="DW313" i="4"/>
  <c r="DX188" i="4"/>
  <c r="DW170" i="4"/>
  <c r="DW289" i="4"/>
  <c r="DW314" i="4"/>
  <c r="DW236" i="4"/>
  <c r="DW273" i="4"/>
  <c r="DW206" i="4"/>
  <c r="DX272" i="4"/>
  <c r="DX167" i="4"/>
  <c r="DW128" i="4"/>
  <c r="DX254" i="4"/>
  <c r="DW120" i="4"/>
  <c r="DX320" i="4"/>
  <c r="DX115" i="4"/>
  <c r="DW320" i="4"/>
  <c r="DW115" i="4"/>
  <c r="DX296" i="4"/>
  <c r="DX119" i="4"/>
  <c r="DX209" i="4"/>
  <c r="DX99" i="4"/>
  <c r="DW91" i="4"/>
  <c r="DW25" i="4"/>
  <c r="DX107" i="4"/>
  <c r="DW137" i="4"/>
  <c r="DW256" i="4"/>
  <c r="DW24" i="4"/>
  <c r="DX80" i="4"/>
  <c r="DX52" i="4"/>
  <c r="DX232" i="4"/>
  <c r="DW232" i="4"/>
  <c r="DW126" i="4"/>
  <c r="DW155" i="4"/>
  <c r="DW109" i="4"/>
  <c r="DX44" i="4"/>
  <c r="DW316" i="4"/>
  <c r="DX187" i="4"/>
  <c r="DX308" i="4"/>
  <c r="DX151" i="4"/>
  <c r="DW336" i="4"/>
  <c r="DX322" i="4"/>
  <c r="DX314" i="4"/>
  <c r="DX236" i="4"/>
  <c r="DX150" i="4"/>
  <c r="DX94" i="4"/>
  <c r="DW100" i="4"/>
  <c r="DX120" i="4"/>
  <c r="DW184" i="4"/>
  <c r="DX249" i="4"/>
  <c r="DW176" i="4"/>
  <c r="DW249" i="4"/>
  <c r="DX252" i="4"/>
  <c r="DX117" i="4"/>
  <c r="DW252" i="4"/>
  <c r="DW293" i="4"/>
  <c r="DX261" i="4"/>
  <c r="DX23" i="4"/>
  <c r="DX43" i="4"/>
  <c r="DW95" i="4"/>
  <c r="DX19" i="4"/>
  <c r="DW79" i="4"/>
  <c r="DW166" i="4"/>
  <c r="DW54" i="4"/>
  <c r="DX328" i="4"/>
  <c r="DX136" i="4"/>
  <c r="DX26" i="4"/>
  <c r="DX77" i="4"/>
  <c r="DW260" i="4"/>
  <c r="DW218" i="4"/>
  <c r="DX313" i="4"/>
  <c r="DW306" i="4"/>
  <c r="DW328" i="4"/>
  <c r="DW20" i="4"/>
  <c r="DW133" i="4"/>
  <c r="DW97" i="4"/>
  <c r="DW212" i="4"/>
  <c r="DW182" i="4"/>
  <c r="DX128" i="4"/>
  <c r="DX185" i="4"/>
  <c r="DW118" i="4"/>
  <c r="DX176" i="4"/>
  <c r="DX88" i="4"/>
  <c r="DW88" i="4"/>
  <c r="DX299" i="4"/>
  <c r="DX170" i="4"/>
  <c r="DX289" i="4"/>
  <c r="DW62" i="4"/>
  <c r="DW138" i="4"/>
  <c r="DX193" i="4"/>
  <c r="DX137" i="4"/>
  <c r="DW193" i="4"/>
  <c r="DX131" i="4"/>
  <c r="DX171" i="4"/>
  <c r="DX50" i="4"/>
  <c r="DW294" i="4"/>
  <c r="DW125" i="4"/>
  <c r="DW89" i="4"/>
  <c r="DX89" i="4"/>
  <c r="DX66" i="4"/>
  <c r="DX316" i="4"/>
  <c r="DW342" i="4"/>
  <c r="DW101" i="4"/>
  <c r="DX336" i="4"/>
  <c r="DW228" i="4"/>
  <c r="DX358" i="4"/>
  <c r="DX97" i="4"/>
  <c r="DX273" i="4"/>
  <c r="DX206" i="4"/>
  <c r="DX100" i="4"/>
  <c r="DX184" i="4"/>
  <c r="DW300" i="4"/>
  <c r="DX60" i="4"/>
  <c r="DW183" i="4"/>
  <c r="DW60" i="4"/>
  <c r="DX61" i="4"/>
  <c r="DX196" i="4"/>
  <c r="DW61" i="4"/>
  <c r="DX168" i="4"/>
  <c r="DX53" i="4"/>
  <c r="DW299" i="4"/>
  <c r="DW53" i="4"/>
  <c r="DX293" i="4"/>
  <c r="DX79" i="4"/>
  <c r="DW127" i="4"/>
  <c r="DW65" i="4"/>
  <c r="DW157" i="4"/>
  <c r="DW116" i="4"/>
  <c r="DW237" i="4"/>
  <c r="DX48" i="4"/>
  <c r="DX91" i="4"/>
  <c r="DW179" i="4"/>
  <c r="DX260" i="4"/>
  <c r="DX218" i="4"/>
  <c r="DW173" i="4"/>
  <c r="DX306" i="4"/>
  <c r="DW307" i="4"/>
  <c r="DX297" i="4"/>
  <c r="DW254" i="4"/>
  <c r="DW112" i="4"/>
  <c r="DW199" i="4"/>
  <c r="DW38" i="4"/>
  <c r="DW259" i="4"/>
  <c r="DX118" i="4"/>
  <c r="DW295" i="4"/>
  <c r="DW108" i="4"/>
  <c r="DX183" i="4"/>
  <c r="DW235" i="4"/>
  <c r="DX72" i="4"/>
  <c r="DW72" i="4"/>
  <c r="DX154" i="4"/>
  <c r="DX20" i="4"/>
  <c r="DX133" i="4"/>
  <c r="DW139" i="4"/>
  <c r="DW68" i="4"/>
  <c r="DW57" i="4"/>
  <c r="DW70" i="4"/>
  <c r="DW130" i="4"/>
  <c r="DW227" i="4"/>
  <c r="DX42" i="4"/>
  <c r="DX54" i="4"/>
  <c r="DX294" i="4"/>
  <c r="DX420" i="4"/>
  <c r="DW420" i="4"/>
  <c r="DW119" i="4"/>
  <c r="DW66" i="4"/>
  <c r="DW136" i="4"/>
  <c r="DW48" i="4"/>
  <c r="DX342" i="4"/>
  <c r="DX101" i="4"/>
  <c r="DW238" i="4"/>
  <c r="DW134" i="4"/>
  <c r="DX199" i="4"/>
  <c r="DX38" i="4"/>
  <c r="DX212" i="4"/>
  <c r="DX182" i="4"/>
  <c r="DW215" i="4"/>
  <c r="DW250" i="4"/>
  <c r="DX300" i="4"/>
  <c r="DX235" i="4"/>
  <c r="DW198" i="4"/>
  <c r="DX98" i="4"/>
  <c r="DW98" i="4"/>
  <c r="DX84" i="4"/>
  <c r="DX207" i="4"/>
  <c r="DW84" i="4"/>
  <c r="DW52" i="4"/>
  <c r="DX25" i="4"/>
  <c r="DX58" i="4"/>
  <c r="DW56" i="4"/>
  <c r="DW58" i="4"/>
  <c r="DX24" i="4"/>
  <c r="DX127" i="4"/>
  <c r="DX124" i="4"/>
  <c r="DW153" i="4"/>
  <c r="DW49" i="4"/>
  <c r="DW154" i="4"/>
  <c r="DW47" i="4"/>
  <c r="DX109" i="4"/>
  <c r="DX81" i="4"/>
  <c r="DW207" i="4"/>
  <c r="DX62" i="4"/>
  <c r="DW186" i="4"/>
  <c r="DW239" i="4"/>
  <c r="DW225" i="4"/>
  <c r="DX173" i="4"/>
  <c r="DW214" i="4"/>
  <c r="DX307" i="4"/>
  <c r="DX228" i="4"/>
  <c r="DX217" i="4"/>
  <c r="DW216" i="4"/>
  <c r="DW40" i="4"/>
  <c r="DW211" i="4"/>
  <c r="DW208" i="4"/>
  <c r="DX295" i="4"/>
  <c r="DX108" i="4"/>
  <c r="DW298" i="4"/>
  <c r="DW172" i="4"/>
  <c r="DW106" i="4"/>
  <c r="DX143" i="4"/>
  <c r="DX51" i="4"/>
  <c r="DW143" i="4"/>
  <c r="DW51" i="4"/>
  <c r="DX56" i="4"/>
  <c r="DX112" i="4"/>
  <c r="DW59" i="4"/>
  <c r="DW92" i="4"/>
  <c r="DX57" i="4"/>
  <c r="DW87" i="4"/>
  <c r="DW90" i="4"/>
  <c r="DW37" i="4"/>
  <c r="DX158" i="4"/>
  <c r="DX116" i="4"/>
  <c r="DX237" i="4"/>
  <c r="DX67" i="4"/>
  <c r="DW121" i="4"/>
  <c r="DW67" i="4"/>
  <c r="DW231" i="4"/>
  <c r="DX225" i="4"/>
  <c r="DW203" i="4"/>
  <c r="DX238" i="4"/>
  <c r="DW302" i="4"/>
  <c r="DX211" i="4"/>
  <c r="DX259" i="4"/>
  <c r="DW192" i="4"/>
  <c r="DX250" i="4"/>
  <c r="DW301" i="4"/>
  <c r="DW111" i="4"/>
  <c r="DX198" i="4"/>
  <c r="DX106" i="4"/>
  <c r="DW280" i="4"/>
  <c r="DX141" i="4"/>
  <c r="DW213" i="4"/>
  <c r="DW141" i="4"/>
  <c r="DX265" i="4"/>
  <c r="DX140" i="4"/>
  <c r="DW265" i="4"/>
  <c r="DW329" i="4"/>
  <c r="DW131" i="4"/>
  <c r="DX138" i="4"/>
  <c r="DW286" i="4"/>
  <c r="DX46" i="4"/>
  <c r="DW196" i="4"/>
  <c r="DW46" i="4"/>
  <c r="DX95" i="4"/>
  <c r="DX130" i="4"/>
  <c r="DX166" i="4"/>
  <c r="DW80" i="4"/>
  <c r="DW140" i="4"/>
  <c r="DW17" i="4"/>
  <c r="DX125" i="4"/>
  <c r="DX155" i="4"/>
  <c r="DX139" i="4"/>
  <c r="DX239" i="4"/>
  <c r="DW39" i="4"/>
  <c r="DW266" i="4"/>
  <c r="DX214" i="4"/>
  <c r="DX134" i="4"/>
  <c r="DX215" i="4"/>
  <c r="DW321" i="4"/>
  <c r="DW297" i="4"/>
  <c r="DW210" i="4"/>
  <c r="DX301" i="4"/>
  <c r="DW361" i="4"/>
  <c r="DX298" i="4"/>
  <c r="DX172" i="4"/>
  <c r="DX280" i="4"/>
  <c r="DW169" i="4"/>
  <c r="DX213" i="4"/>
  <c r="DW71" i="4"/>
  <c r="DX264" i="4"/>
  <c r="DX200" i="4"/>
  <c r="DW264" i="4"/>
  <c r="DW200" i="4"/>
  <c r="DX256" i="4"/>
  <c r="DX40" i="4"/>
  <c r="DW69" i="4"/>
  <c r="DW99" i="4"/>
  <c r="DW23" i="4"/>
  <c r="DX87" i="4"/>
  <c r="DX90" i="4"/>
  <c r="DW181" i="4"/>
  <c r="DW43" i="4"/>
  <c r="DX329" i="4"/>
  <c r="DW27" i="4"/>
  <c r="DW171" i="4"/>
  <c r="DX47" i="4"/>
  <c r="DX121" i="4"/>
  <c r="DW63" i="4"/>
  <c r="DW77" i="4"/>
  <c r="DW81" i="4"/>
  <c r="DX231" i="4"/>
  <c r="DW246" i="4"/>
  <c r="DX266" i="4"/>
  <c r="DX203" i="4"/>
  <c r="DW205" i="4"/>
  <c r="DX302" i="4"/>
  <c r="DW292" i="4"/>
  <c r="DW188" i="4"/>
  <c r="DX186" i="4"/>
  <c r="DX210" i="4"/>
  <c r="DX192" i="4"/>
  <c r="DX208" i="4"/>
  <c r="DW78" i="4"/>
  <c r="DX111" i="4"/>
  <c r="DW164" i="4"/>
  <c r="DW96" i="4"/>
  <c r="DW268" i="4"/>
  <c r="DX71" i="4"/>
  <c r="DX83" i="4"/>
  <c r="DW147" i="4"/>
  <c r="DW83" i="4"/>
  <c r="DX142" i="4"/>
  <c r="DW142" i="4"/>
  <c r="DW149" i="4"/>
  <c r="DX68" i="4"/>
  <c r="DW168" i="4"/>
  <c r="DW82" i="4"/>
  <c r="DX70" i="4"/>
  <c r="DX37" i="4"/>
  <c r="DX227" i="4"/>
  <c r="DX65" i="4"/>
  <c r="DX157" i="4"/>
  <c r="DX63" i="4"/>
  <c r="DX179" i="4"/>
  <c r="DX59" i="4"/>
  <c r="DW322" i="4"/>
  <c r="DX39" i="4"/>
  <c r="DW132" i="4"/>
  <c r="DW73" i="4"/>
  <c r="DW317" i="4"/>
  <c r="DX286" i="4"/>
  <c r="DX216" i="4"/>
  <c r="DW209" i="4"/>
  <c r="DW291" i="4"/>
  <c r="DW251" i="4"/>
  <c r="DX268" i="4"/>
  <c r="DX169" i="4"/>
  <c r="DW167" i="4"/>
  <c r="DX147" i="4"/>
  <c r="DW86" i="4"/>
  <c r="DX82" i="4"/>
  <c r="DW26" i="4"/>
  <c r="DX181" i="4"/>
  <c r="DW107" i="4"/>
  <c r="DW117" i="4"/>
  <c r="DW19" i="4"/>
  <c r="DX49" i="4"/>
  <c r="DX149" i="4"/>
  <c r="DX17" i="4"/>
  <c r="DX93" i="4"/>
  <c r="DW93" i="4"/>
  <c r="DX126" i="4"/>
  <c r="CJ166" i="4"/>
  <c r="CN58" i="4"/>
  <c r="CN171" i="4"/>
  <c r="CL254" i="4"/>
  <c r="CJ167" i="4"/>
  <c r="CN126" i="4"/>
  <c r="CN130" i="4"/>
  <c r="CJ225" i="4"/>
  <c r="CN294" i="4"/>
  <c r="CN286" i="4"/>
  <c r="CL358" i="4"/>
  <c r="CJ39" i="4"/>
  <c r="CJ68" i="4"/>
  <c r="CN215" i="4"/>
  <c r="CJ196" i="4"/>
  <c r="CJ193" i="4"/>
  <c r="CN167" i="4"/>
  <c r="CJ249" i="4"/>
  <c r="CN313" i="4"/>
  <c r="CJ128" i="4"/>
  <c r="CN218" i="4"/>
  <c r="CJ27" i="4"/>
  <c r="CN17" i="4"/>
  <c r="CJ316" i="4"/>
  <c r="DJ212" i="4"/>
  <c r="DI84" i="4"/>
  <c r="DJ39" i="4"/>
  <c r="DI192" i="4"/>
  <c r="DL216" i="4"/>
  <c r="DL308" i="4"/>
  <c r="CJ361" i="4"/>
  <c r="CN232" i="4"/>
  <c r="CN182" i="4"/>
  <c r="CJ96" i="4"/>
  <c r="CJ208" i="4"/>
  <c r="CN188" i="4"/>
  <c r="CN292" i="4"/>
  <c r="CJ117" i="4"/>
  <c r="CN71" i="4"/>
  <c r="CJ255" i="4"/>
  <c r="CN95" i="4"/>
  <c r="CN209" i="4"/>
  <c r="CJ20" i="4"/>
  <c r="CN181" i="4"/>
  <c r="CJ246" i="4"/>
  <c r="CJ298" i="4"/>
  <c r="CJ227" i="4"/>
  <c r="CJ97" i="4"/>
  <c r="CN166" i="4"/>
  <c r="CN115" i="4"/>
  <c r="CJ236" i="4"/>
  <c r="CN306" i="4"/>
  <c r="CN23" i="4"/>
  <c r="CJ118" i="4"/>
  <c r="CN140" i="4"/>
  <c r="CN121" i="4"/>
  <c r="CJ212" i="4"/>
  <c r="CN207" i="4"/>
  <c r="CN211" i="4"/>
  <c r="CN228" i="4"/>
  <c r="CN147" i="4"/>
  <c r="CN251" i="4"/>
  <c r="CN27" i="4"/>
  <c r="CN212" i="4"/>
  <c r="DN297" i="4"/>
  <c r="DN217" i="4"/>
  <c r="DN215" i="4"/>
  <c r="DN286" i="4"/>
  <c r="DN328" i="4"/>
  <c r="DN254" i="4"/>
  <c r="DN216" i="4"/>
  <c r="DN321" i="4"/>
  <c r="DN322" i="4"/>
  <c r="DN358" i="4"/>
  <c r="DN186" i="4"/>
  <c r="DN231" i="4"/>
  <c r="DN246" i="4"/>
  <c r="DN205" i="4"/>
  <c r="DN308" i="4"/>
  <c r="DN101" i="4"/>
  <c r="DN238" i="4"/>
  <c r="DN302" i="4"/>
  <c r="DN292" i="4"/>
  <c r="DN151" i="4"/>
  <c r="DN336" i="4"/>
  <c r="DN228" i="4"/>
  <c r="DN134" i="4"/>
  <c r="DN188" i="4"/>
  <c r="DN185" i="4"/>
  <c r="DN218" i="4"/>
  <c r="DN313" i="4"/>
  <c r="DN307" i="4"/>
  <c r="DN252" i="4"/>
  <c r="DN61" i="4"/>
  <c r="DN84" i="4"/>
  <c r="DN265" i="4"/>
  <c r="DN142" i="4"/>
  <c r="DN253" i="4"/>
  <c r="DN117" i="4"/>
  <c r="DN196" i="4"/>
  <c r="DN207" i="4"/>
  <c r="DN44" i="4"/>
  <c r="DN296" i="4"/>
  <c r="DN299" i="4"/>
  <c r="DN154" i="4"/>
  <c r="DN56" i="4"/>
  <c r="DN256" i="4"/>
  <c r="DN119" i="4"/>
  <c r="DN153" i="4"/>
  <c r="DN87" i="4"/>
  <c r="DN132" i="4"/>
  <c r="DN260" i="4"/>
  <c r="DN193" i="4"/>
  <c r="DN294" i="4"/>
  <c r="DN237" i="4"/>
  <c r="DN99" i="4"/>
  <c r="DN227" i="4"/>
  <c r="DN109" i="4"/>
  <c r="DN158" i="4"/>
  <c r="DN342" i="4"/>
  <c r="DN73" i="4"/>
  <c r="DN293" i="4"/>
  <c r="DN170" i="4"/>
  <c r="DN20" i="4"/>
  <c r="DN112" i="4"/>
  <c r="DN209" i="4"/>
  <c r="DN289" i="4"/>
  <c r="DN133" i="4"/>
  <c r="DN225" i="4"/>
  <c r="DN173" i="4"/>
  <c r="DN291" i="4"/>
  <c r="DN314" i="4"/>
  <c r="DN199" i="4"/>
  <c r="DN211" i="4"/>
  <c r="DN210" i="4"/>
  <c r="DN317" i="4"/>
  <c r="DN306" i="4"/>
  <c r="DN192" i="4"/>
  <c r="DN78" i="4"/>
  <c r="DN316" i="4"/>
  <c r="DN301" i="4"/>
  <c r="DN164" i="4"/>
  <c r="DN150" i="4"/>
  <c r="DN100" i="4"/>
  <c r="DN250" i="4"/>
  <c r="DN111" i="4"/>
  <c r="DN96" i="4"/>
  <c r="DN239" i="4"/>
  <c r="DN39" i="4"/>
  <c r="DN295" i="4"/>
  <c r="DN298" i="4"/>
  <c r="DN268" i="4"/>
  <c r="DN272" i="4"/>
  <c r="DN128" i="4"/>
  <c r="DN118" i="4"/>
  <c r="DN108" i="4"/>
  <c r="DN172" i="4"/>
  <c r="DN214" i="4"/>
  <c r="DN320" i="4"/>
  <c r="DN88" i="4"/>
  <c r="DN143" i="4"/>
  <c r="DN264" i="4"/>
  <c r="DN115" i="4"/>
  <c r="DN72" i="4"/>
  <c r="DN187" i="4"/>
  <c r="DN300" i="4"/>
  <c r="DN261" i="4"/>
  <c r="DN141" i="4"/>
  <c r="DN83" i="4"/>
  <c r="DN139" i="4"/>
  <c r="DN59" i="4"/>
  <c r="DN69" i="4"/>
  <c r="DN26" i="4"/>
  <c r="DN91" i="4"/>
  <c r="DN62" i="4"/>
  <c r="DN11" i="4"/>
  <c r="DN51" i="4"/>
  <c r="DN200" i="4"/>
  <c r="DN25" i="4"/>
  <c r="DN138" i="4"/>
  <c r="DN68" i="4"/>
  <c r="DN92" i="4"/>
  <c r="DN23" i="4"/>
  <c r="DN33" i="4"/>
  <c r="DN280" i="4"/>
  <c r="DN329" i="4"/>
  <c r="DN120" i="4"/>
  <c r="DN203" i="4"/>
  <c r="DN255" i="4"/>
  <c r="DN121" i="4"/>
  <c r="DN181" i="4"/>
  <c r="DN107" i="4"/>
  <c r="DN137" i="4"/>
  <c r="DN57" i="4"/>
  <c r="DN90" i="4"/>
  <c r="DN32" i="4"/>
  <c r="DN168" i="4"/>
  <c r="DN125" i="4"/>
  <c r="DN70" i="4"/>
  <c r="DN43" i="4"/>
  <c r="DN198" i="4"/>
  <c r="DN213" i="4"/>
  <c r="DN259" i="4"/>
  <c r="DN184" i="4"/>
  <c r="DN149" i="4"/>
  <c r="DN40" i="4"/>
  <c r="DN82" i="4"/>
  <c r="DN171" i="4"/>
  <c r="DN124" i="4"/>
  <c r="DN183" i="4"/>
  <c r="DN147" i="4"/>
  <c r="DN208" i="4"/>
  <c r="DN236" i="4"/>
  <c r="DN235" i="4"/>
  <c r="DN97" i="4"/>
  <c r="DN95" i="4"/>
  <c r="DN94" i="4"/>
  <c r="DN266" i="4"/>
  <c r="DN251" i="4"/>
  <c r="DN169" i="4"/>
  <c r="DN212" i="4"/>
  <c r="DN71" i="4"/>
  <c r="DN86" i="4"/>
  <c r="DN77" i="4"/>
  <c r="DN126" i="4"/>
  <c r="DN89" i="4"/>
  <c r="DN140" i="4"/>
  <c r="DN167" i="4"/>
  <c r="DN127" i="4"/>
  <c r="DN155" i="4"/>
  <c r="DN4" i="4"/>
  <c r="DN17" i="4"/>
  <c r="DN55" i="4"/>
  <c r="DN8" i="4"/>
  <c r="DN166" i="4"/>
  <c r="DN48" i="4"/>
  <c r="DN27" i="4"/>
  <c r="DN273" i="4"/>
  <c r="DN50" i="4"/>
  <c r="DN58" i="4"/>
  <c r="DN65" i="4"/>
  <c r="DN35" i="4"/>
  <c r="DN10" i="4"/>
  <c r="DN232" i="4"/>
  <c r="DN37" i="4"/>
  <c r="DN24" i="4"/>
  <c r="DN42" i="4"/>
  <c r="DN31" i="4"/>
  <c r="DN7" i="4"/>
  <c r="DN106" i="4"/>
  <c r="DN179" i="4"/>
  <c r="DN49" i="4"/>
  <c r="DN19" i="4"/>
  <c r="DN22" i="4"/>
  <c r="DN21" i="4"/>
  <c r="DN29" i="4"/>
  <c r="DN131" i="4"/>
  <c r="DN116" i="4"/>
  <c r="DN46" i="4"/>
  <c r="DN18" i="4"/>
  <c r="DN361" i="4"/>
  <c r="DN182" i="4"/>
  <c r="DN79" i="4"/>
  <c r="DN420" i="4"/>
  <c r="DN34" i="4"/>
  <c r="DN114" i="4"/>
  <c r="DN14" i="4"/>
  <c r="DN157" i="4"/>
  <c r="DN136" i="4"/>
  <c r="DN28" i="4"/>
  <c r="DN5" i="4"/>
  <c r="DN36" i="4"/>
  <c r="DN16" i="4"/>
  <c r="DN12" i="4"/>
  <c r="DN52" i="4"/>
  <c r="DN63" i="4"/>
  <c r="DN53" i="4"/>
  <c r="DN93" i="4"/>
  <c r="DN130" i="4"/>
  <c r="DN81" i="4"/>
  <c r="DN13" i="4"/>
  <c r="DN15" i="4"/>
  <c r="DN176" i="4"/>
  <c r="DN60" i="4"/>
  <c r="DN98" i="4"/>
  <c r="DN38" i="4"/>
  <c r="DN80" i="4"/>
  <c r="DN66" i="4"/>
  <c r="DN249" i="4"/>
  <c r="DN206" i="4"/>
  <c r="DN54" i="4"/>
  <c r="DN47" i="4"/>
  <c r="DN67" i="4"/>
  <c r="DN30" i="4"/>
  <c r="DN9" i="4"/>
  <c r="DN6" i="4"/>
  <c r="DQ4" i="4"/>
  <c r="DQ5" i="4"/>
  <c r="DG203" i="4"/>
  <c r="DG225" i="4"/>
  <c r="DG170" i="4"/>
  <c r="DG150" i="4"/>
  <c r="DG128" i="4"/>
  <c r="DG176" i="4"/>
  <c r="DG61" i="4"/>
  <c r="DG232" i="4"/>
  <c r="DG81" i="4"/>
  <c r="DG21" i="4"/>
  <c r="DG92" i="4"/>
  <c r="DG30" i="4"/>
  <c r="DG167" i="4"/>
  <c r="DG79" i="4"/>
  <c r="DG171" i="4"/>
  <c r="DG51" i="4"/>
  <c r="DG296" i="4"/>
  <c r="DG193" i="4"/>
  <c r="DG293" i="4"/>
  <c r="DG20" i="4"/>
  <c r="DG199" i="4"/>
  <c r="DG273" i="4"/>
  <c r="DG100" i="4"/>
  <c r="DG118" i="4"/>
  <c r="DG183" i="4"/>
  <c r="DG84" i="4"/>
  <c r="DG155" i="4"/>
  <c r="DG4" i="4"/>
  <c r="DG166" i="4"/>
  <c r="DG23" i="4"/>
  <c r="DG7" i="4"/>
  <c r="DG125" i="4"/>
  <c r="DG127" i="4"/>
  <c r="DG124" i="4"/>
  <c r="DG63" i="4"/>
  <c r="DG186" i="4"/>
  <c r="DG101" i="4"/>
  <c r="DG299" i="4"/>
  <c r="DG294" i="4"/>
  <c r="DG112" i="4"/>
  <c r="DG211" i="4"/>
  <c r="DG212" i="4"/>
  <c r="DG108" i="4"/>
  <c r="DG265" i="4"/>
  <c r="DG420" i="4"/>
  <c r="DG31" i="4"/>
  <c r="DG49" i="4"/>
  <c r="DG33" i="4"/>
  <c r="DG235" i="4"/>
  <c r="DG70" i="4"/>
  <c r="DG130" i="4"/>
  <c r="DG50" i="4"/>
  <c r="DG44" i="4"/>
  <c r="DG317" i="4"/>
  <c r="DG154" i="4"/>
  <c r="DG210" i="4"/>
  <c r="DG259" i="4"/>
  <c r="DG250" i="4"/>
  <c r="DG172" i="4"/>
  <c r="DG213" i="4"/>
  <c r="DG142" i="4"/>
  <c r="DG67" i="4"/>
  <c r="DG9" i="4"/>
  <c r="DG83" i="4"/>
  <c r="DG80" i="4"/>
  <c r="DG10" i="4"/>
  <c r="DG181" i="4"/>
  <c r="DG37" i="4"/>
  <c r="DG65" i="4"/>
  <c r="DG54" i="4"/>
  <c r="DG297" i="4"/>
  <c r="DG316" i="4"/>
  <c r="DG313" i="4"/>
  <c r="DG56" i="4"/>
  <c r="DG237" i="4"/>
  <c r="DG329" i="4"/>
  <c r="DG251" i="4"/>
  <c r="DG208" i="4"/>
  <c r="DG111" i="4"/>
  <c r="DG169" i="4"/>
  <c r="DG147" i="4"/>
  <c r="DG253" i="4"/>
  <c r="DG35" i="4"/>
  <c r="DG139" i="4"/>
  <c r="DG114" i="4"/>
  <c r="DG107" i="4"/>
  <c r="DG43" i="4"/>
  <c r="DG27" i="4"/>
  <c r="DG116" i="4"/>
  <c r="DG217" i="4"/>
  <c r="DG306" i="4"/>
  <c r="DG256" i="4"/>
  <c r="DG149" i="4"/>
  <c r="DG209" i="4"/>
  <c r="DG236" i="4"/>
  <c r="DG361" i="4"/>
  <c r="DG96" i="4"/>
  <c r="DG184" i="4"/>
  <c r="DG255" i="4"/>
  <c r="DG117" i="4"/>
  <c r="DG18" i="4"/>
  <c r="DG86" i="4"/>
  <c r="DG59" i="4"/>
  <c r="DG320" i="4"/>
  <c r="DG137" i="4"/>
  <c r="DG19" i="4"/>
  <c r="DG16" i="4"/>
  <c r="DG47" i="4"/>
  <c r="DG215" i="4"/>
  <c r="DG39" i="4"/>
  <c r="DG292" i="4"/>
  <c r="DG99" i="4"/>
  <c r="DG261" i="4"/>
  <c r="DG289" i="4"/>
  <c r="DG97" i="4"/>
  <c r="DG94" i="4"/>
  <c r="DG300" i="4"/>
  <c r="DG249" i="4"/>
  <c r="DG196" i="4"/>
  <c r="DG6" i="4"/>
  <c r="DG77" i="4"/>
  <c r="DG69" i="4"/>
  <c r="DG264" i="4"/>
  <c r="DG24" i="4"/>
  <c r="DG28" i="4"/>
  <c r="DG5" i="4"/>
  <c r="DG17" i="4"/>
  <c r="DG286" i="4"/>
  <c r="DG132" i="4"/>
  <c r="DG151" i="4"/>
  <c r="DG119" i="4"/>
  <c r="DG227" i="4"/>
  <c r="DG133" i="4"/>
  <c r="DG38" i="4"/>
  <c r="DG206" i="4"/>
  <c r="DG307" i="4"/>
  <c r="DG198" i="4"/>
  <c r="DG60" i="4"/>
  <c r="DG207" i="4"/>
  <c r="DG200" i="4"/>
  <c r="DG26" i="4"/>
  <c r="DG57" i="4"/>
  <c r="DG34" i="4"/>
  <c r="DG14" i="4"/>
  <c r="DG71" i="4"/>
  <c r="DG22" i="4"/>
  <c r="DG254" i="4"/>
  <c r="DG336" i="4"/>
  <c r="DG153" i="4"/>
  <c r="DG109" i="4"/>
  <c r="DG73" i="4"/>
  <c r="DG182" i="4"/>
  <c r="DG295" i="4"/>
  <c r="DG280" i="4"/>
  <c r="DG98" i="4"/>
  <c r="DG140" i="4"/>
  <c r="DG179" i="4"/>
  <c r="DG126" i="4"/>
  <c r="DG91" i="4"/>
  <c r="DG53" i="4"/>
  <c r="DG90" i="4"/>
  <c r="DG13" i="4"/>
  <c r="DG143" i="4"/>
  <c r="DG157" i="4"/>
  <c r="DG15" i="4"/>
  <c r="DG216" i="4"/>
  <c r="DG218" i="4"/>
  <c r="DG134" i="4"/>
  <c r="DG87" i="4"/>
  <c r="DG158" i="4"/>
  <c r="DG52" i="4"/>
  <c r="DG40" i="4"/>
  <c r="DG238" i="4"/>
  <c r="DG185" i="4"/>
  <c r="DG298" i="4"/>
  <c r="DG141" i="4"/>
  <c r="DG89" i="4"/>
  <c r="DG62" i="4"/>
  <c r="DG25" i="4"/>
  <c r="DG58" i="4"/>
  <c r="DG32" i="4"/>
  <c r="DG115" i="4"/>
  <c r="DG321" i="4"/>
  <c r="DG173" i="4"/>
  <c r="DG95" i="4"/>
  <c r="DG131" i="4"/>
  <c r="DG291" i="4"/>
  <c r="DG192" i="4"/>
  <c r="DG301" i="4"/>
  <c r="DG268" i="4"/>
  <c r="DG120" i="4"/>
  <c r="DG260" i="4"/>
  <c r="DG136" i="4"/>
  <c r="DG66" i="4"/>
  <c r="DG11" i="4"/>
  <c r="DG138" i="4"/>
  <c r="DG46" i="4"/>
  <c r="DG29" i="4"/>
  <c r="DG12" i="4"/>
  <c r="DG72" i="4"/>
  <c r="DG42" i="4"/>
  <c r="DG358" i="4"/>
  <c r="DG214" i="4"/>
  <c r="DG188" i="4"/>
  <c r="DG121" i="4"/>
  <c r="DG168" i="4"/>
  <c r="DG266" i="4"/>
  <c r="DG314" i="4"/>
  <c r="DG78" i="4"/>
  <c r="DG164" i="4"/>
  <c r="DG272" i="4"/>
  <c r="DG187" i="4"/>
  <c r="DG252" i="4"/>
  <c r="DG93" i="4"/>
  <c r="DG48" i="4"/>
  <c r="DG55" i="4"/>
  <c r="DG8" i="4"/>
  <c r="DG68" i="4"/>
  <c r="DG36" i="4"/>
  <c r="DG106" i="4"/>
  <c r="DG82" i="4"/>
  <c r="DG88" i="4"/>
  <c r="DJ4" i="4"/>
  <c r="DJ5" i="4"/>
  <c r="CN259" i="4"/>
  <c r="CN112" i="4"/>
  <c r="DJ112" i="4"/>
  <c r="DJ141" i="4"/>
  <c r="DI89" i="4"/>
  <c r="DI26" i="4"/>
  <c r="DJ53" i="4"/>
  <c r="DJ155" i="4"/>
  <c r="DJ32" i="4"/>
  <c r="DI57" i="4"/>
  <c r="DJ37" i="4"/>
  <c r="DJ264" i="4"/>
  <c r="DJ91" i="4"/>
  <c r="DJ92" i="4"/>
  <c r="DI68" i="4"/>
  <c r="DI18" i="4"/>
  <c r="DI30" i="4"/>
  <c r="DJ24" i="4"/>
  <c r="DJ200" i="4"/>
  <c r="DI66" i="4"/>
  <c r="DI91" i="4"/>
  <c r="DJ58" i="4"/>
  <c r="DJ29" i="4"/>
  <c r="DI90" i="4"/>
  <c r="DJ27" i="4"/>
  <c r="DI40" i="4"/>
  <c r="DJ142" i="4"/>
  <c r="DJ62" i="4"/>
  <c r="DJ23" i="4"/>
  <c r="DI92" i="4"/>
  <c r="DI7" i="4"/>
  <c r="DJ34" i="4"/>
  <c r="DI24" i="4"/>
  <c r="DJ259" i="4"/>
  <c r="DI265" i="4"/>
  <c r="DI55" i="4"/>
  <c r="DI62" i="4"/>
  <c r="DJ46" i="4"/>
  <c r="DJ137" i="4"/>
  <c r="DI232" i="4"/>
  <c r="DI32" i="4"/>
  <c r="DJ185" i="4"/>
  <c r="DI140" i="4"/>
  <c r="DJ11" i="4"/>
  <c r="DJ33" i="4"/>
  <c r="DI23" i="4"/>
  <c r="DI53" i="4"/>
  <c r="DI67" i="4"/>
  <c r="DJ13" i="4"/>
  <c r="DI34" i="4"/>
  <c r="DI208" i="4"/>
  <c r="DI99" i="4"/>
  <c r="DI21" i="4"/>
  <c r="DI11" i="4"/>
  <c r="DJ36" i="4"/>
  <c r="DJ9" i="4"/>
  <c r="DI29" i="4"/>
  <c r="DJ28" i="4"/>
  <c r="DI44" i="4"/>
  <c r="DJ295" i="4"/>
  <c r="DI200" i="4"/>
  <c r="DJ8" i="4"/>
  <c r="DJ10" i="4"/>
  <c r="DI33" i="4"/>
  <c r="DI58" i="4"/>
  <c r="DI266" i="4"/>
  <c r="DJ108" i="4"/>
  <c r="DI8" i="4"/>
  <c r="DJ30" i="4"/>
  <c r="DJ57" i="4"/>
  <c r="DI137" i="4"/>
  <c r="DI125" i="4"/>
  <c r="DJ292" i="4"/>
  <c r="DI298" i="4"/>
  <c r="DJ69" i="4"/>
  <c r="DJ138" i="4"/>
  <c r="DI10" i="4"/>
  <c r="DI46" i="4"/>
  <c r="DJ43" i="4"/>
  <c r="DI172" i="4"/>
  <c r="DI126" i="4"/>
  <c r="DI69" i="4"/>
  <c r="DJ7" i="4"/>
  <c r="DJ90" i="4"/>
  <c r="DJ130" i="4"/>
  <c r="DI280" i="4"/>
  <c r="DJ26" i="4"/>
  <c r="DJ68" i="4"/>
  <c r="DI138" i="4"/>
  <c r="DJ81" i="4"/>
  <c r="DI36" i="4"/>
  <c r="DI43" i="4"/>
  <c r="DJ54" i="4"/>
  <c r="DI63" i="4"/>
  <c r="DI15" i="4"/>
  <c r="DI155" i="4"/>
  <c r="DI27" i="4"/>
  <c r="DI49" i="4"/>
  <c r="DJ232" i="4"/>
  <c r="DJ6" i="4"/>
  <c r="DJ55" i="4"/>
  <c r="DJ65" i="4"/>
  <c r="DI65" i="4"/>
  <c r="DJ116" i="4"/>
  <c r="DI54" i="4"/>
  <c r="DI31" i="4"/>
  <c r="DJ19" i="4"/>
  <c r="DI19" i="4"/>
  <c r="DJ42" i="4"/>
  <c r="DI80" i="4"/>
  <c r="DI420" i="4"/>
  <c r="DJ21" i="4"/>
  <c r="DI13" i="4"/>
  <c r="DJ47" i="4"/>
  <c r="DI116" i="4"/>
  <c r="DI179" i="4"/>
  <c r="DI9" i="4"/>
  <c r="DJ14" i="4"/>
  <c r="DI28" i="4"/>
  <c r="DJ114" i="4"/>
  <c r="DJ420" i="4"/>
  <c r="DJ16" i="4"/>
  <c r="DI16" i="4"/>
  <c r="DJ17" i="4"/>
  <c r="DI47" i="4"/>
  <c r="DI136" i="4"/>
  <c r="DJ48" i="4"/>
  <c r="DI6" i="4"/>
  <c r="DI14" i="4"/>
  <c r="DJ12" i="4"/>
  <c r="DI42" i="4"/>
  <c r="DJ67" i="4"/>
  <c r="DJ126" i="4"/>
  <c r="DI35" i="4"/>
  <c r="DI127" i="4"/>
  <c r="DJ22" i="4"/>
  <c r="DI17" i="4"/>
  <c r="DI48" i="4"/>
  <c r="DI130" i="4"/>
  <c r="DJ49" i="4"/>
  <c r="DJ136" i="4"/>
  <c r="DI114" i="4"/>
  <c r="DJ35" i="4"/>
  <c r="DJ89" i="4"/>
  <c r="DJ124" i="4"/>
  <c r="DI124" i="4"/>
  <c r="DJ31" i="4"/>
  <c r="DJ15" i="4"/>
  <c r="DI22" i="4"/>
  <c r="DI81" i="4"/>
  <c r="DI37" i="4"/>
  <c r="DJ80" i="4"/>
  <c r="DI12" i="4"/>
  <c r="DJ18" i="4"/>
  <c r="DJ66" i="4"/>
  <c r="CJ184" i="4"/>
  <c r="CJ250" i="4"/>
  <c r="CJ70" i="4"/>
  <c r="CJ147" i="4"/>
  <c r="CN60" i="4"/>
  <c r="CJ154" i="4"/>
  <c r="CN88" i="4"/>
  <c r="CN266" i="4"/>
  <c r="DQ239" i="4"/>
  <c r="DP39" i="4"/>
  <c r="DQ358" i="4"/>
  <c r="DQ286" i="4"/>
  <c r="DQ261" i="4"/>
  <c r="DP293" i="4"/>
  <c r="DQ291" i="4"/>
  <c r="DQ251" i="4"/>
  <c r="DP314" i="4"/>
  <c r="DP273" i="4"/>
  <c r="DP100" i="4"/>
  <c r="DQ198" i="4"/>
  <c r="DP280" i="4"/>
  <c r="DP308" i="4"/>
  <c r="DQ264" i="4"/>
  <c r="DP307" i="4"/>
  <c r="DP196" i="4"/>
  <c r="DP53" i="4"/>
  <c r="DP142" i="4"/>
  <c r="DQ171" i="4"/>
  <c r="DQ218" i="4"/>
  <c r="DQ49" i="4"/>
  <c r="DQ94" i="4"/>
  <c r="DQ238" i="4"/>
  <c r="DQ108" i="4"/>
  <c r="DQ53" i="4"/>
  <c r="DQ31" i="4"/>
  <c r="DQ77" i="4"/>
  <c r="DP77" i="4"/>
  <c r="DQ182" i="4"/>
  <c r="DP168" i="4"/>
  <c r="DQ208" i="4"/>
  <c r="DP15" i="4"/>
  <c r="DP66" i="4"/>
  <c r="DP67" i="4"/>
  <c r="DQ17" i="4"/>
  <c r="DQ89" i="4"/>
  <c r="DQ231" i="4"/>
  <c r="DP246" i="4"/>
  <c r="DQ266" i="4"/>
  <c r="DQ328" i="4"/>
  <c r="DP254" i="4"/>
  <c r="DP193" i="4"/>
  <c r="DP227" i="4"/>
  <c r="DQ170" i="4"/>
  <c r="DQ289" i="4"/>
  <c r="DP170" i="4"/>
  <c r="DP289" i="4"/>
  <c r="DQ150" i="4"/>
  <c r="DP317" i="4"/>
  <c r="DQ128" i="4"/>
  <c r="DQ308" i="4"/>
  <c r="DQ213" i="4"/>
  <c r="DQ297" i="4"/>
  <c r="DP147" i="4"/>
  <c r="DQ193" i="4"/>
  <c r="DQ227" i="4"/>
  <c r="DQ207" i="4"/>
  <c r="DQ120" i="4"/>
  <c r="DP137" i="4"/>
  <c r="DQ307" i="4"/>
  <c r="DP127" i="4"/>
  <c r="DQ259" i="4"/>
  <c r="DP124" i="4"/>
  <c r="DP182" i="4"/>
  <c r="DP252" i="4"/>
  <c r="DQ61" i="4"/>
  <c r="DQ196" i="4"/>
  <c r="DP68" i="4"/>
  <c r="DP11" i="4"/>
  <c r="DQ179" i="4"/>
  <c r="DP43" i="4"/>
  <c r="DQ59" i="4"/>
  <c r="DP83" i="4"/>
  <c r="DQ63" i="4"/>
  <c r="DQ87" i="4"/>
  <c r="DQ6" i="4"/>
  <c r="DQ62" i="4"/>
  <c r="DQ155" i="4"/>
  <c r="DP155" i="4"/>
  <c r="DQ27" i="4"/>
  <c r="DP322" i="4"/>
  <c r="DQ39" i="4"/>
  <c r="DP132" i="4"/>
  <c r="DQ228" i="4"/>
  <c r="DP297" i="4"/>
  <c r="DQ293" i="4"/>
  <c r="DQ314" i="4"/>
  <c r="DQ236" i="4"/>
  <c r="DP212" i="4"/>
  <c r="DQ292" i="4"/>
  <c r="DP266" i="4"/>
  <c r="DP203" i="4"/>
  <c r="DP296" i="4"/>
  <c r="DP119" i="4"/>
  <c r="DQ106" i="4"/>
  <c r="DP58" i="4"/>
  <c r="DP118" i="4"/>
  <c r="DQ43" i="4"/>
  <c r="DQ296" i="4"/>
  <c r="DP130" i="4"/>
  <c r="DP210" i="4"/>
  <c r="DQ80" i="4"/>
  <c r="DP84" i="4"/>
  <c r="DQ154" i="4"/>
  <c r="DP172" i="4"/>
  <c r="DQ58" i="4"/>
  <c r="DQ10" i="4"/>
  <c r="DP232" i="4"/>
  <c r="DQ37" i="4"/>
  <c r="DP49" i="4"/>
  <c r="DP59" i="4"/>
  <c r="DP125" i="4"/>
  <c r="DP157" i="4"/>
  <c r="DP13" i="4"/>
  <c r="DP98" i="4"/>
  <c r="DP62" i="4"/>
  <c r="DQ55" i="4"/>
  <c r="DP17" i="4"/>
  <c r="DQ246" i="4"/>
  <c r="DP44" i="4"/>
  <c r="DQ73" i="4"/>
  <c r="DP302" i="4"/>
  <c r="DQ254" i="4"/>
  <c r="DP216" i="4"/>
  <c r="DP294" i="4"/>
  <c r="DP109" i="4"/>
  <c r="DQ20" i="4"/>
  <c r="DQ133" i="4"/>
  <c r="DP20" i="4"/>
  <c r="DP133" i="4"/>
  <c r="DQ273" i="4"/>
  <c r="DQ100" i="4"/>
  <c r="DP306" i="4"/>
  <c r="DQ118" i="4"/>
  <c r="DQ203" i="4"/>
  <c r="DQ147" i="4"/>
  <c r="DQ214" i="4"/>
  <c r="DP255" i="4"/>
  <c r="DQ294" i="4"/>
  <c r="DQ109" i="4"/>
  <c r="DQ57" i="4"/>
  <c r="DP117" i="4"/>
  <c r="DQ124" i="4"/>
  <c r="DP63" i="4"/>
  <c r="DQ56" i="4"/>
  <c r="DQ212" i="4"/>
  <c r="DP51" i="4"/>
  <c r="DP92" i="4"/>
  <c r="DQ7" i="4"/>
  <c r="DP69" i="4"/>
  <c r="DP24" i="4"/>
  <c r="DQ116" i="4"/>
  <c r="DQ136" i="4"/>
  <c r="DQ79" i="4"/>
  <c r="DP126" i="4"/>
  <c r="DP93" i="4"/>
  <c r="DQ9" i="4"/>
  <c r="DQ206" i="4"/>
  <c r="DQ33" i="4"/>
  <c r="DP33" i="4"/>
  <c r="DQ35" i="4"/>
  <c r="DP358" i="4"/>
  <c r="DQ132" i="4"/>
  <c r="DQ134" i="4"/>
  <c r="DP217" i="4"/>
  <c r="DP52" i="4"/>
  <c r="DQ97" i="4"/>
  <c r="DQ317" i="4"/>
  <c r="DP259" i="4"/>
  <c r="DQ336" i="4"/>
  <c r="DP187" i="4"/>
  <c r="DQ255" i="4"/>
  <c r="DQ320" i="4"/>
  <c r="DQ115" i="4"/>
  <c r="DP299" i="4"/>
  <c r="DP153" i="4"/>
  <c r="DP140" i="4"/>
  <c r="DP46" i="4"/>
  <c r="DP207" i="4"/>
  <c r="DP272" i="4"/>
  <c r="DP37" i="4"/>
  <c r="DP96" i="4"/>
  <c r="DP218" i="4"/>
  <c r="DQ93" i="4"/>
  <c r="DP265" i="4"/>
  <c r="DP211" i="4"/>
  <c r="DQ140" i="4"/>
  <c r="DP111" i="4"/>
  <c r="DP42" i="4"/>
  <c r="DQ68" i="4"/>
  <c r="DQ19" i="4"/>
  <c r="DP420" i="4"/>
  <c r="DQ26" i="4"/>
  <c r="DP6" i="4"/>
  <c r="DP38" i="4"/>
  <c r="DP9" i="4"/>
  <c r="DQ30" i="4"/>
  <c r="DP55" i="4"/>
  <c r="DQ44" i="4"/>
  <c r="DP316" i="4"/>
  <c r="DQ187" i="4"/>
  <c r="DP292" i="4"/>
  <c r="DQ216" i="4"/>
  <c r="DP321" i="4"/>
  <c r="DP158" i="4"/>
  <c r="DQ112" i="4"/>
  <c r="DP112" i="4"/>
  <c r="DP205" i="4"/>
  <c r="DP101" i="4"/>
  <c r="DQ295" i="4"/>
  <c r="DP185" i="4"/>
  <c r="DP120" i="4"/>
  <c r="DP176" i="4"/>
  <c r="DP249" i="4"/>
  <c r="DQ158" i="4"/>
  <c r="DQ121" i="4"/>
  <c r="DQ90" i="4"/>
  <c r="DP57" i="4"/>
  <c r="DP250" i="4"/>
  <c r="DQ38" i="4"/>
  <c r="DQ299" i="4"/>
  <c r="DP50" i="4"/>
  <c r="DP128" i="4"/>
  <c r="DQ172" i="4"/>
  <c r="DP200" i="4"/>
  <c r="DP166" i="4"/>
  <c r="DP31" i="4"/>
  <c r="DQ22" i="4"/>
  <c r="DP22" i="4"/>
  <c r="DQ114" i="4"/>
  <c r="DQ46" i="4"/>
  <c r="DP136" i="4"/>
  <c r="DQ81" i="4"/>
  <c r="DQ138" i="4"/>
  <c r="DQ71" i="4"/>
  <c r="DP86" i="4"/>
  <c r="DQ252" i="4"/>
  <c r="DQ11" i="4"/>
  <c r="DP260" i="4"/>
  <c r="DP215" i="4"/>
  <c r="DQ186" i="4"/>
  <c r="DQ52" i="4"/>
  <c r="DP329" i="4"/>
  <c r="DQ205" i="4"/>
  <c r="DQ199" i="4"/>
  <c r="DP173" i="4"/>
  <c r="DQ306" i="4"/>
  <c r="DP208" i="4"/>
  <c r="DP301" i="4"/>
  <c r="DQ215" i="4"/>
  <c r="DP184" i="4"/>
  <c r="DQ249" i="4"/>
  <c r="DQ88" i="4"/>
  <c r="DP154" i="4"/>
  <c r="DP87" i="4"/>
  <c r="DP36" i="4"/>
  <c r="DQ168" i="4"/>
  <c r="DQ24" i="4"/>
  <c r="DP27" i="4"/>
  <c r="DP40" i="4"/>
  <c r="DP143" i="4"/>
  <c r="DQ232" i="4"/>
  <c r="DP251" i="4"/>
  <c r="DQ51" i="4"/>
  <c r="DQ50" i="4"/>
  <c r="DQ21" i="4"/>
  <c r="DQ18" i="4"/>
  <c r="DP18" i="4"/>
  <c r="DP114" i="4"/>
  <c r="DQ126" i="4"/>
  <c r="DP91" i="4"/>
  <c r="DP26" i="4"/>
  <c r="DQ86" i="4"/>
  <c r="DQ139" i="4"/>
  <c r="DQ167" i="4"/>
  <c r="DP236" i="4"/>
  <c r="DP8" i="4"/>
  <c r="DQ316" i="4"/>
  <c r="DP151" i="4"/>
  <c r="DQ321" i="4"/>
  <c r="DP237" i="4"/>
  <c r="DP95" i="4"/>
  <c r="DQ302" i="4"/>
  <c r="DQ101" i="4"/>
  <c r="DP192" i="4"/>
  <c r="DQ250" i="4"/>
  <c r="DQ298" i="4"/>
  <c r="DQ185" i="4"/>
  <c r="DQ176" i="4"/>
  <c r="DP183" i="4"/>
  <c r="DP60" i="4"/>
  <c r="DQ237" i="4"/>
  <c r="DQ95" i="4"/>
  <c r="DQ181" i="4"/>
  <c r="DQ32" i="4"/>
  <c r="DP121" i="4"/>
  <c r="DP90" i="4"/>
  <c r="DP131" i="4"/>
  <c r="DQ65" i="4"/>
  <c r="DP214" i="4"/>
  <c r="DP54" i="4"/>
  <c r="DP141" i="4"/>
  <c r="DQ69" i="4"/>
  <c r="DP10" i="4"/>
  <c r="DP21" i="4"/>
  <c r="DQ14" i="4"/>
  <c r="DP14" i="4"/>
  <c r="DQ91" i="4"/>
  <c r="DQ23" i="4"/>
  <c r="DQ92" i="4"/>
  <c r="DP139" i="4"/>
  <c r="DP97" i="4"/>
  <c r="DQ8" i="4"/>
  <c r="DQ260" i="4"/>
  <c r="DQ188" i="4"/>
  <c r="DP286" i="4"/>
  <c r="DP228" i="4"/>
  <c r="DQ329" i="4"/>
  <c r="DP342" i="4"/>
  <c r="DP149" i="4"/>
  <c r="DQ211" i="4"/>
  <c r="DQ301" i="4"/>
  <c r="DP361" i="4"/>
  <c r="DP164" i="4"/>
  <c r="DQ184" i="4"/>
  <c r="DP300" i="4"/>
  <c r="DQ60" i="4"/>
  <c r="DQ72" i="4"/>
  <c r="DP56" i="4"/>
  <c r="DP320" i="4"/>
  <c r="DP30" i="4"/>
  <c r="DQ125" i="4"/>
  <c r="DQ34" i="4"/>
  <c r="DQ40" i="4"/>
  <c r="DP19" i="4"/>
  <c r="DP82" i="4"/>
  <c r="DP199" i="4"/>
  <c r="DQ153" i="4"/>
  <c r="DP238" i="4"/>
  <c r="DP89" i="4"/>
  <c r="DQ29" i="4"/>
  <c r="DQ169" i="4"/>
  <c r="DP29" i="4"/>
  <c r="DP34" i="4"/>
  <c r="DP16" i="4"/>
  <c r="DP81" i="4"/>
  <c r="DQ54" i="4"/>
  <c r="DQ25" i="4"/>
  <c r="DP167" i="4"/>
  <c r="DQ342" i="4"/>
  <c r="DP336" i="4"/>
  <c r="DP134" i="4"/>
  <c r="DQ173" i="4"/>
  <c r="DQ192" i="4"/>
  <c r="DP78" i="4"/>
  <c r="DQ111" i="4"/>
  <c r="DQ268" i="4"/>
  <c r="DP295" i="4"/>
  <c r="DQ183" i="4"/>
  <c r="DP235" i="4"/>
  <c r="DQ142" i="4"/>
  <c r="DQ107" i="4"/>
  <c r="DQ313" i="4"/>
  <c r="DP181" i="4"/>
  <c r="DP32" i="4"/>
  <c r="DQ166" i="4"/>
  <c r="DQ253" i="4"/>
  <c r="DP116" i="4"/>
  <c r="DQ141" i="4"/>
  <c r="DP61" i="4"/>
  <c r="DP25" i="4"/>
  <c r="DP65" i="4"/>
  <c r="DP7" i="4"/>
  <c r="DP94" i="4"/>
  <c r="DP253" i="4"/>
  <c r="DQ265" i="4"/>
  <c r="DQ28" i="4"/>
  <c r="DQ15" i="4"/>
  <c r="DQ66" i="4"/>
  <c r="DQ130" i="4"/>
  <c r="DP80" i="4"/>
  <c r="DP70" i="4"/>
  <c r="DP186" i="4"/>
  <c r="DP239" i="4"/>
  <c r="DP225" i="4"/>
  <c r="DQ322" i="4"/>
  <c r="DQ217" i="4"/>
  <c r="DQ149" i="4"/>
  <c r="DP73" i="4"/>
  <c r="DP261" i="4"/>
  <c r="DQ210" i="4"/>
  <c r="DP291" i="4"/>
  <c r="DP150" i="4"/>
  <c r="DQ300" i="4"/>
  <c r="DP198" i="4"/>
  <c r="DQ98" i="4"/>
  <c r="DQ143" i="4"/>
  <c r="DP313" i="4"/>
  <c r="DP256" i="4"/>
  <c r="DQ117" i="4"/>
  <c r="DQ280" i="4"/>
  <c r="DQ70" i="4"/>
  <c r="DQ13" i="4"/>
  <c r="DQ82" i="4"/>
  <c r="DP28" i="4"/>
  <c r="DP171" i="4"/>
  <c r="DP115" i="4"/>
  <c r="DQ420" i="4"/>
  <c r="DP71" i="4"/>
  <c r="DP268" i="4"/>
  <c r="DQ42" i="4"/>
  <c r="DQ84" i="4"/>
  <c r="DQ200" i="4"/>
  <c r="DQ235" i="4"/>
  <c r="DP72" i="4"/>
  <c r="DQ361" i="4"/>
  <c r="DQ12" i="4"/>
  <c r="DP12" i="4"/>
  <c r="DP23" i="4"/>
  <c r="DQ47" i="4"/>
  <c r="DQ48" i="4"/>
  <c r="DQ127" i="4"/>
  <c r="DP231" i="4"/>
  <c r="DQ225" i="4"/>
  <c r="DP328" i="4"/>
  <c r="DP188" i="4"/>
  <c r="DP99" i="4"/>
  <c r="DQ209" i="4"/>
  <c r="DP209" i="4"/>
  <c r="DQ78" i="4"/>
  <c r="DQ164" i="4"/>
  <c r="DQ96" i="4"/>
  <c r="DQ272" i="4"/>
  <c r="DP298" i="4"/>
  <c r="DP106" i="4"/>
  <c r="DP213" i="4"/>
  <c r="DQ151" i="4"/>
  <c r="DQ99" i="4"/>
  <c r="DP108" i="4"/>
  <c r="DQ137" i="4"/>
  <c r="DQ256" i="4"/>
  <c r="DP107" i="4"/>
  <c r="DP88" i="4"/>
  <c r="DP79" i="4"/>
  <c r="DQ16" i="4"/>
  <c r="DQ157" i="4"/>
  <c r="DP206" i="4"/>
  <c r="DP47" i="4"/>
  <c r="DQ83" i="4"/>
  <c r="DQ119" i="4"/>
  <c r="DP138" i="4"/>
  <c r="DP35" i="4"/>
  <c r="DP179" i="4"/>
  <c r="DP169" i="4"/>
  <c r="DQ131" i="4"/>
  <c r="DP264" i="4"/>
  <c r="DQ36" i="4"/>
  <c r="DQ67" i="4"/>
  <c r="DP48" i="4"/>
  <c r="CJ172" i="4"/>
  <c r="CN70" i="4"/>
  <c r="CN179" i="4"/>
  <c r="CJ108" i="4"/>
  <c r="CN217" i="4"/>
  <c r="CJ264" i="4"/>
  <c r="CN131" i="4"/>
  <c r="CJ253" i="4"/>
  <c r="CN106" i="4"/>
  <c r="CN361" i="4"/>
  <c r="CJ273" i="4"/>
  <c r="CJ124" i="4"/>
  <c r="CJ43" i="4"/>
  <c r="CJ205" i="4"/>
  <c r="CJ231" i="4"/>
  <c r="CN256" i="4"/>
  <c r="CN213" i="4"/>
  <c r="CN124" i="4"/>
  <c r="CN235" i="4"/>
  <c r="CN44" i="4"/>
  <c r="CJ24" i="4"/>
  <c r="CN142" i="4"/>
  <c r="CN170" i="4"/>
  <c r="CN39" i="4"/>
  <c r="CJ272" i="4"/>
  <c r="CN200" i="4"/>
  <c r="CN253" i="4"/>
  <c r="CJ127" i="4"/>
  <c r="CN119" i="4"/>
  <c r="CJ280" i="4"/>
  <c r="CN254" i="4"/>
  <c r="CN173" i="4"/>
  <c r="CN149" i="4"/>
  <c r="CJ51" i="4"/>
  <c r="CN97" i="4"/>
  <c r="CN320" i="4"/>
  <c r="CJ57" i="4"/>
  <c r="CN158" i="4"/>
  <c r="CN108" i="4"/>
  <c r="CJ199" i="4"/>
  <c r="CN210" i="4"/>
  <c r="CJ293" i="4"/>
  <c r="DJ228" i="4"/>
  <c r="DI308" i="4"/>
  <c r="DI302" i="4"/>
  <c r="DI342" i="4"/>
  <c r="DJ322" i="4"/>
  <c r="DJ218" i="4"/>
  <c r="DJ302" i="4"/>
  <c r="DI328" i="4"/>
  <c r="DJ342" i="4"/>
  <c r="DI239" i="4"/>
  <c r="DI225" i="4"/>
  <c r="DJ328" i="4"/>
  <c r="DJ205" i="4"/>
  <c r="DI231" i="4"/>
  <c r="DJ225" i="4"/>
  <c r="DI297" i="4"/>
  <c r="DI218" i="4"/>
  <c r="DJ239" i="4"/>
  <c r="DI228" i="4"/>
  <c r="DJ231" i="4"/>
  <c r="DI246" i="4"/>
  <c r="DJ297" i="4"/>
  <c r="DI322" i="4"/>
  <c r="DJ246" i="4"/>
  <c r="DI205" i="4"/>
  <c r="DJ308" i="4"/>
  <c r="CN317" i="4"/>
  <c r="CN68" i="4"/>
  <c r="CJ56" i="4"/>
  <c r="CN342" i="4"/>
  <c r="CN208" i="4"/>
  <c r="CJ91" i="4"/>
  <c r="CN109" i="4"/>
  <c r="CN128" i="4"/>
  <c r="CN203" i="4"/>
  <c r="CN297" i="4"/>
  <c r="CJ300" i="4"/>
  <c r="CN98" i="4"/>
  <c r="CJ47" i="4"/>
  <c r="CN96" i="4"/>
  <c r="CJ213" i="4"/>
  <c r="CN111" i="4"/>
  <c r="CJ67" i="4"/>
  <c r="CN91" i="4"/>
  <c r="CL298" i="4"/>
  <c r="CL295" i="4"/>
  <c r="CL73" i="4"/>
  <c r="CL299" i="4"/>
  <c r="CL296" i="4"/>
  <c r="CL216" i="4"/>
  <c r="CL300" i="4"/>
  <c r="CL184" i="4"/>
  <c r="CL151" i="4"/>
  <c r="CL308" i="4"/>
  <c r="CL231" i="4"/>
  <c r="CL292" i="4"/>
  <c r="CL316" i="4"/>
  <c r="CJ95" i="4"/>
  <c r="CL317" i="4"/>
  <c r="CJ88" i="4"/>
  <c r="CL302" i="4"/>
  <c r="CL154" i="4"/>
  <c r="CL307" i="4"/>
  <c r="CN272" i="4"/>
  <c r="CL198" i="4"/>
  <c r="CJ320" i="4"/>
  <c r="CL193" i="4"/>
  <c r="CL342" i="4"/>
  <c r="CJ149" i="4"/>
  <c r="CJ158" i="4"/>
  <c r="CL238" i="4"/>
  <c r="CJ329" i="4"/>
  <c r="CN120" i="4"/>
  <c r="CN138" i="4"/>
  <c r="CJ291" i="4"/>
  <c r="CL185" i="4"/>
  <c r="CL228" i="4"/>
  <c r="CL205" i="4"/>
  <c r="CL88" i="4"/>
  <c r="CJ81" i="4"/>
  <c r="CJ37" i="4"/>
  <c r="CN227" i="4"/>
  <c r="CJ59" i="4"/>
  <c r="CN199" i="4"/>
  <c r="CL260" i="4"/>
  <c r="CL239" i="4"/>
  <c r="CL320" i="4"/>
  <c r="CL44" i="4"/>
  <c r="CJ268" i="4"/>
  <c r="CN73" i="4"/>
  <c r="CN250" i="4"/>
  <c r="CL61" i="4"/>
  <c r="CJ176" i="4"/>
  <c r="CZ217" i="4"/>
  <c r="CZ260" i="4"/>
  <c r="CZ218" i="4"/>
  <c r="CZ291" i="4"/>
  <c r="CZ78" i="4"/>
  <c r="CZ184" i="4"/>
  <c r="CZ176" i="4"/>
  <c r="CZ88" i="4"/>
  <c r="CZ307" i="4"/>
  <c r="CZ317" i="4"/>
  <c r="CZ170" i="4"/>
  <c r="CZ215" i="4"/>
  <c r="CZ173" i="4"/>
  <c r="CZ314" i="4"/>
  <c r="CZ300" i="4"/>
  <c r="CZ183" i="4"/>
  <c r="CZ296" i="4"/>
  <c r="CZ238" i="4"/>
  <c r="CZ286" i="4"/>
  <c r="CZ225" i="4"/>
  <c r="CZ214" i="4"/>
  <c r="CZ198" i="4"/>
  <c r="CZ299" i="4"/>
  <c r="CZ266" i="4"/>
  <c r="CZ154" i="4"/>
  <c r="CZ328" i="4"/>
  <c r="CZ73" i="4"/>
  <c r="CZ205" i="4"/>
  <c r="CZ188" i="4"/>
  <c r="CZ231" i="4"/>
  <c r="CZ254" i="4"/>
  <c r="CZ187" i="4"/>
  <c r="CZ322" i="4"/>
  <c r="CZ216" i="4"/>
  <c r="CZ302" i="4"/>
  <c r="CZ295" i="4"/>
  <c r="CZ306" i="4"/>
  <c r="CZ293" i="4"/>
  <c r="CZ321" i="4"/>
  <c r="CZ342" i="4"/>
  <c r="CZ292" i="4"/>
  <c r="CZ308" i="4"/>
  <c r="CZ298" i="4"/>
  <c r="CZ294" i="4"/>
  <c r="CZ239" i="4"/>
  <c r="CZ151" i="4"/>
  <c r="CZ301" i="4"/>
  <c r="CZ228" i="4"/>
  <c r="CZ252" i="4"/>
  <c r="CZ39" i="4"/>
  <c r="CZ203" i="4"/>
  <c r="CZ336" i="4"/>
  <c r="CZ134" i="4"/>
  <c r="CZ246" i="4"/>
  <c r="CZ61" i="4"/>
  <c r="CZ313" i="4"/>
  <c r="CZ132" i="4"/>
  <c r="CZ316" i="4"/>
  <c r="CZ44" i="4"/>
  <c r="CZ193" i="4"/>
  <c r="CZ297" i="4"/>
  <c r="CZ101" i="4"/>
  <c r="CZ192" i="4"/>
  <c r="CZ185" i="4"/>
  <c r="CZ186" i="4"/>
  <c r="CZ320" i="4"/>
  <c r="CZ358" i="4"/>
  <c r="CZ20" i="4"/>
  <c r="CJ235" i="4"/>
  <c r="CO181" i="4"/>
  <c r="CO149" i="4"/>
  <c r="CO320" i="4"/>
  <c r="CO23" i="4"/>
  <c r="CO63" i="4"/>
  <c r="CO272" i="4"/>
  <c r="CO237" i="4"/>
  <c r="CO185" i="4"/>
  <c r="CO251" i="4"/>
  <c r="CO210" i="4"/>
  <c r="CO58" i="4"/>
  <c r="CO297" i="4"/>
  <c r="CO321" i="4"/>
  <c r="CO217" i="4"/>
  <c r="CO95" i="4"/>
  <c r="CO60" i="4"/>
  <c r="CO358" i="4"/>
  <c r="CO59" i="4"/>
  <c r="CO261" i="4"/>
  <c r="CO88" i="4"/>
  <c r="CO91" i="4"/>
  <c r="CO68" i="4"/>
  <c r="CO296" i="4"/>
  <c r="CO119" i="4"/>
  <c r="CO69" i="4"/>
  <c r="CO66" i="4"/>
  <c r="CO132" i="4"/>
  <c r="CO70" i="4"/>
  <c r="CO169" i="4"/>
  <c r="CO167" i="4"/>
  <c r="CO215" i="4"/>
  <c r="CO300" i="4"/>
  <c r="CN107" i="4"/>
  <c r="CO306" i="4"/>
  <c r="CO98" i="4"/>
  <c r="CO273" i="4"/>
  <c r="CO116" i="4"/>
  <c r="CO83" i="4"/>
  <c r="CO259" i="4"/>
  <c r="CO143" i="4"/>
  <c r="CO128" i="4"/>
  <c r="CO235" i="4"/>
  <c r="CO73" i="4"/>
  <c r="CO184" i="4"/>
  <c r="CO140" i="4"/>
  <c r="CO89" i="4"/>
  <c r="CO216" i="4"/>
  <c r="CO293" i="4"/>
  <c r="CO246" i="4"/>
  <c r="CO139" i="4"/>
  <c r="CO81" i="4"/>
  <c r="CO232" i="4"/>
  <c r="CO307" i="4"/>
  <c r="CO141" i="4"/>
  <c r="CO212" i="4"/>
  <c r="CO314" i="4"/>
  <c r="CO186" i="4"/>
  <c r="CO218" i="4"/>
  <c r="CO27" i="4"/>
  <c r="CO328" i="4"/>
  <c r="CO299" i="4"/>
  <c r="CO301" i="4"/>
  <c r="CO133" i="4"/>
  <c r="CO54" i="4"/>
  <c r="CO72" i="4"/>
  <c r="CO26" i="4"/>
  <c r="CO316" i="4"/>
  <c r="CO84" i="4"/>
  <c r="CO171" i="4"/>
  <c r="CO291" i="4"/>
  <c r="CO67" i="4"/>
  <c r="CO93" i="4"/>
  <c r="CO208" i="4"/>
  <c r="CO52" i="4"/>
  <c r="CO264" i="4"/>
  <c r="CO118" i="4"/>
  <c r="CO106" i="4"/>
  <c r="CO20" i="4"/>
  <c r="CO47" i="4"/>
  <c r="CO151" i="4"/>
  <c r="CO147" i="4"/>
  <c r="CO336" i="4"/>
  <c r="CO255" i="4"/>
  <c r="CO17" i="4"/>
  <c r="CO200" i="4"/>
  <c r="CN155" i="4"/>
  <c r="CN92" i="4"/>
  <c r="CO231" i="4"/>
  <c r="CO265" i="4"/>
  <c r="CO136" i="4"/>
  <c r="CO420" i="4"/>
  <c r="CO253" i="4"/>
  <c r="CO86" i="4"/>
  <c r="CO176" i="4"/>
  <c r="CO173" i="4"/>
  <c r="CO56" i="4"/>
  <c r="CO99" i="4"/>
  <c r="CO121" i="4"/>
  <c r="CO182" i="4"/>
  <c r="CO179" i="4"/>
  <c r="CO317" i="4"/>
  <c r="CO249" i="4"/>
  <c r="CO78" i="4"/>
  <c r="CN316" i="4"/>
  <c r="CO205" i="4"/>
  <c r="CO250" i="4"/>
  <c r="CO252" i="4"/>
  <c r="CO322" i="4"/>
  <c r="CO164" i="4"/>
  <c r="CO142" i="4"/>
  <c r="CO134" i="4"/>
  <c r="CO155" i="4"/>
  <c r="CO137" i="4"/>
  <c r="CO361" i="4"/>
  <c r="CO131" i="4"/>
  <c r="CO65" i="4"/>
  <c r="CO254" i="4"/>
  <c r="CO236" i="4"/>
  <c r="CO130" i="4"/>
  <c r="CO313" i="4"/>
  <c r="CO203" i="4"/>
  <c r="CO170" i="4"/>
  <c r="CO111" i="4"/>
  <c r="CO192" i="4"/>
  <c r="CO228" i="4"/>
  <c r="CO94" i="4"/>
  <c r="CO97" i="4"/>
  <c r="CO117" i="4"/>
  <c r="CO77" i="4"/>
  <c r="CO199" i="4"/>
  <c r="CO183" i="4"/>
  <c r="CO302" i="4"/>
  <c r="CO108" i="4"/>
  <c r="CO71" i="4"/>
  <c r="CO172" i="4"/>
  <c r="CO342" i="4"/>
  <c r="CO260" i="4"/>
  <c r="CO43" i="4"/>
  <c r="CO44" i="4"/>
  <c r="CO38" i="4"/>
  <c r="CN47" i="4"/>
  <c r="CO79" i="4"/>
  <c r="CO168" i="4"/>
  <c r="CO96" i="4"/>
  <c r="CO101" i="4"/>
  <c r="CO294" i="4"/>
  <c r="CO227" i="4"/>
  <c r="CO239" i="4"/>
  <c r="CO80" i="4"/>
  <c r="CO214" i="4"/>
  <c r="CO289" i="4"/>
  <c r="CO25" i="4"/>
  <c r="CO51" i="4"/>
  <c r="CO61" i="4"/>
  <c r="CO24" i="4"/>
  <c r="CO286" i="4"/>
  <c r="CO198" i="4"/>
  <c r="CO256" i="4"/>
  <c r="CO82" i="4"/>
  <c r="CO225" i="4"/>
  <c r="CO193" i="4"/>
  <c r="CO48" i="4"/>
  <c r="CO49" i="4"/>
  <c r="CO125" i="4"/>
  <c r="CO158" i="4"/>
  <c r="CO196" i="4"/>
  <c r="CO211" i="4"/>
  <c r="CO53" i="4"/>
  <c r="CO115" i="4"/>
  <c r="CO166" i="4"/>
  <c r="CO150" i="4"/>
  <c r="CO157" i="4"/>
  <c r="CO92" i="4"/>
  <c r="CO138" i="4"/>
  <c r="CO295" i="4"/>
  <c r="CO280" i="4"/>
  <c r="CO187" i="4"/>
  <c r="CO107" i="4"/>
  <c r="CO268" i="4"/>
  <c r="CO120" i="4"/>
  <c r="CO112" i="4"/>
  <c r="CO188" i="4"/>
  <c r="CO46" i="4"/>
  <c r="CO39" i="4"/>
  <c r="CO292" i="4"/>
  <c r="CO213" i="4"/>
  <c r="CO154" i="4"/>
  <c r="CO87" i="4"/>
  <c r="CO209" i="4"/>
  <c r="CO100" i="4"/>
  <c r="CO329" i="4"/>
  <c r="CO37" i="4"/>
  <c r="CO40" i="4"/>
  <c r="CO298" i="4"/>
  <c r="CO127" i="4"/>
  <c r="CO57" i="4"/>
  <c r="CO308" i="4"/>
  <c r="CO50" i="4"/>
  <c r="CO124" i="4"/>
  <c r="CO207" i="4"/>
  <c r="CO126" i="4"/>
  <c r="CO90" i="4"/>
  <c r="CO206" i="4"/>
  <c r="CO153" i="4"/>
  <c r="CO109" i="4"/>
  <c r="CO238" i="4"/>
  <c r="CO266" i="4"/>
  <c r="CJ286" i="4"/>
  <c r="CJ328" i="4"/>
  <c r="DB322" i="4"/>
  <c r="DC39" i="4"/>
  <c r="DC101" i="4"/>
  <c r="DB238" i="4"/>
  <c r="DC217" i="4"/>
  <c r="DC118" i="4"/>
  <c r="DC184" i="4"/>
  <c r="DB106" i="4"/>
  <c r="DB213" i="4"/>
  <c r="DC265" i="4"/>
  <c r="DC140" i="4"/>
  <c r="DC56" i="4"/>
  <c r="DC203" i="4"/>
  <c r="DC227" i="4"/>
  <c r="DC170" i="4"/>
  <c r="DC199" i="4"/>
  <c r="DB50" i="4"/>
  <c r="DC179" i="4"/>
  <c r="DC87" i="4"/>
  <c r="DB136" i="4"/>
  <c r="DB314" i="4"/>
  <c r="DC83" i="4"/>
  <c r="DB83" i="4"/>
  <c r="DC264" i="4"/>
  <c r="DB107" i="4"/>
  <c r="DB209" i="4"/>
  <c r="DC259" i="4"/>
  <c r="DC124" i="4"/>
  <c r="DC111" i="4"/>
  <c r="DC63" i="4"/>
  <c r="DC246" i="4"/>
  <c r="DB44" i="4"/>
  <c r="DC173" i="4"/>
  <c r="DB214" i="4"/>
  <c r="DC307" i="4"/>
  <c r="DB132" i="4"/>
  <c r="DB250" i="4"/>
  <c r="DB295" i="4"/>
  <c r="DB108" i="4"/>
  <c r="DB280" i="4"/>
  <c r="DC141" i="4"/>
  <c r="DC228" i="4"/>
  <c r="DB264" i="4"/>
  <c r="DB265" i="4"/>
  <c r="DB296" i="4"/>
  <c r="DB119" i="4"/>
  <c r="DB212" i="4"/>
  <c r="DC232" i="4"/>
  <c r="DB328" i="4"/>
  <c r="DB93" i="4"/>
  <c r="DB52" i="4"/>
  <c r="DC126" i="4"/>
  <c r="DB86" i="4"/>
  <c r="DC107" i="4"/>
  <c r="DB261" i="4"/>
  <c r="DC251" i="4"/>
  <c r="DB251" i="4"/>
  <c r="DB37" i="4"/>
  <c r="DB40" i="4"/>
  <c r="DC133" i="4"/>
  <c r="DB171" i="4"/>
  <c r="DB358" i="4"/>
  <c r="DC132" i="4"/>
  <c r="DB203" i="4"/>
  <c r="DC238" i="4"/>
  <c r="DC295" i="4"/>
  <c r="DC108" i="4"/>
  <c r="DC300" i="4"/>
  <c r="DC213" i="4"/>
  <c r="DB134" i="4"/>
  <c r="DC142" i="4"/>
  <c r="DB228" i="4"/>
  <c r="DC256" i="4"/>
  <c r="DC294" i="4"/>
  <c r="DC109" i="4"/>
  <c r="DC20" i="4"/>
  <c r="DC100" i="4"/>
  <c r="DB54" i="4"/>
  <c r="DB291" i="4"/>
  <c r="DC225" i="4"/>
  <c r="DB48" i="4"/>
  <c r="DB273" i="4"/>
  <c r="DC139" i="4"/>
  <c r="DC301" i="4"/>
  <c r="DB139" i="4"/>
  <c r="DB254" i="4"/>
  <c r="DC209" i="4"/>
  <c r="DB137" i="4"/>
  <c r="DB140" i="4"/>
  <c r="DC361" i="4"/>
  <c r="DC157" i="4"/>
  <c r="DC182" i="4"/>
  <c r="DB124" i="4"/>
  <c r="DC44" i="4"/>
  <c r="DB316" i="4"/>
  <c r="DC214" i="4"/>
  <c r="DC328" i="4"/>
  <c r="DB301" i="4"/>
  <c r="DB111" i="4"/>
  <c r="DB298" i="4"/>
  <c r="DB239" i="4"/>
  <c r="DC134" i="4"/>
  <c r="DB336" i="4"/>
  <c r="DB151" i="4"/>
  <c r="DB142" i="4"/>
  <c r="DB299" i="4"/>
  <c r="DB153" i="4"/>
  <c r="DB237" i="4"/>
  <c r="DC266" i="4"/>
  <c r="DB227" i="4"/>
  <c r="DB147" i="4"/>
  <c r="DB232" i="4"/>
  <c r="DB206" i="4"/>
  <c r="DC89" i="4"/>
  <c r="DB77" i="4"/>
  <c r="DC25" i="4"/>
  <c r="DB25" i="4"/>
  <c r="DC164" i="4"/>
  <c r="DC137" i="4"/>
  <c r="DC43" i="4"/>
  <c r="DB168" i="4"/>
  <c r="DB172" i="4"/>
  <c r="DB27" i="4"/>
  <c r="DC54" i="4"/>
  <c r="DC130" i="4"/>
  <c r="DC80" i="4"/>
  <c r="DC50" i="4"/>
  <c r="DB24" i="4"/>
  <c r="DB361" i="4"/>
  <c r="DB205" i="4"/>
  <c r="DC302" i="4"/>
  <c r="DB297" i="4"/>
  <c r="DC298" i="4"/>
  <c r="DC172" i="4"/>
  <c r="DC198" i="4"/>
  <c r="DC147" i="4"/>
  <c r="DC186" i="4"/>
  <c r="DC253" i="4"/>
  <c r="DC158" i="4"/>
  <c r="DC329" i="4"/>
  <c r="DB216" i="4"/>
  <c r="DB116" i="4"/>
  <c r="DC136" i="4"/>
  <c r="DC94" i="4"/>
  <c r="DB81" i="4"/>
  <c r="DB210" i="4"/>
  <c r="DC59" i="4"/>
  <c r="DC211" i="4"/>
  <c r="DB59" i="4"/>
  <c r="DB211" i="4"/>
  <c r="DC150" i="4"/>
  <c r="DB53" i="4"/>
  <c r="DC235" i="4"/>
  <c r="DC106" i="4"/>
  <c r="DB60" i="4"/>
  <c r="DB43" i="4"/>
  <c r="DB65" i="4"/>
  <c r="DC49" i="4"/>
  <c r="DB49" i="4"/>
  <c r="DC316" i="4"/>
  <c r="DB317" i="4"/>
  <c r="DC254" i="4"/>
  <c r="DB164" i="4"/>
  <c r="DB96" i="4"/>
  <c r="DC280" i="4"/>
  <c r="DB188" i="4"/>
  <c r="DC255" i="4"/>
  <c r="DC320" i="4"/>
  <c r="DB320" i="4"/>
  <c r="DB115" i="4"/>
  <c r="DB253" i="4"/>
  <c r="DB154" i="4"/>
  <c r="DB302" i="4"/>
  <c r="DC322" i="4"/>
  <c r="DB73" i="4"/>
  <c r="DB133" i="4"/>
  <c r="DC420" i="4"/>
  <c r="DC273" i="4"/>
  <c r="DC71" i="4"/>
  <c r="DC66" i="4"/>
  <c r="DC208" i="4"/>
  <c r="DB208" i="4"/>
  <c r="DC138" i="4"/>
  <c r="DB138" i="4"/>
  <c r="DC261" i="4"/>
  <c r="DB98" i="4"/>
  <c r="DB125" i="4"/>
  <c r="DC40" i="4"/>
  <c r="DC96" i="4"/>
  <c r="DC37" i="4"/>
  <c r="DC65" i="4"/>
  <c r="DB199" i="4"/>
  <c r="DC24" i="4"/>
  <c r="DC260" i="4"/>
  <c r="DC205" i="4"/>
  <c r="DB308" i="4"/>
  <c r="DC292" i="4"/>
  <c r="DB217" i="4"/>
  <c r="DC268" i="4"/>
  <c r="DC169" i="4"/>
  <c r="DB268" i="4"/>
  <c r="DB185" i="4"/>
  <c r="DB120" i="4"/>
  <c r="DB176" i="4"/>
  <c r="DC252" i="4"/>
  <c r="DC117" i="4"/>
  <c r="DC296" i="4"/>
  <c r="DC119" i="4"/>
  <c r="DC237" i="4"/>
  <c r="DC358" i="4"/>
  <c r="DC342" i="4"/>
  <c r="DC291" i="4"/>
  <c r="DC97" i="4"/>
  <c r="DB47" i="4"/>
  <c r="DC289" i="4"/>
  <c r="DC48" i="4"/>
  <c r="DB99" i="4"/>
  <c r="DB167" i="4"/>
  <c r="DB155" i="4"/>
  <c r="DB236" i="4"/>
  <c r="DC69" i="4"/>
  <c r="DC250" i="4"/>
  <c r="DB69" i="4"/>
  <c r="DB249" i="4"/>
  <c r="DC53" i="4"/>
  <c r="DB109" i="4"/>
  <c r="DB58" i="4"/>
  <c r="DC51" i="4"/>
  <c r="DB57" i="4"/>
  <c r="DC79" i="4"/>
  <c r="DB166" i="4"/>
  <c r="DC112" i="4"/>
  <c r="DC47" i="4"/>
  <c r="DC317" i="4"/>
  <c r="DB313" i="4"/>
  <c r="DC216" i="4"/>
  <c r="DB150" i="4"/>
  <c r="DB94" i="4"/>
  <c r="DB184" i="4"/>
  <c r="DC249" i="4"/>
  <c r="DC88" i="4"/>
  <c r="DB88" i="4"/>
  <c r="DB252" i="4"/>
  <c r="DB117" i="4"/>
  <c r="DB56" i="4"/>
  <c r="DC73" i="4"/>
  <c r="DB170" i="4"/>
  <c r="DB169" i="4"/>
  <c r="DC67" i="4"/>
  <c r="DC52" i="4"/>
  <c r="DB420" i="4"/>
  <c r="DC86" i="4"/>
  <c r="DB87" i="4"/>
  <c r="DB126" i="4"/>
  <c r="DC72" i="4"/>
  <c r="DC68" i="4"/>
  <c r="DB68" i="4"/>
  <c r="DC57" i="4"/>
  <c r="DC168" i="4"/>
  <c r="DB266" i="4"/>
  <c r="DB70" i="4"/>
  <c r="DC82" i="4"/>
  <c r="DB90" i="4"/>
  <c r="DB82" i="4"/>
  <c r="DC166" i="4"/>
  <c r="DC116" i="4"/>
  <c r="DB186" i="4"/>
  <c r="DC308" i="4"/>
  <c r="DC151" i="4"/>
  <c r="DB215" i="4"/>
  <c r="DC272" i="4"/>
  <c r="DC297" i="4"/>
  <c r="DB272" i="4"/>
  <c r="DC176" i="4"/>
  <c r="DB183" i="4"/>
  <c r="DC61" i="4"/>
  <c r="DC196" i="4"/>
  <c r="DC299" i="4"/>
  <c r="DC153" i="4"/>
  <c r="DC187" i="4"/>
  <c r="DB321" i="4"/>
  <c r="DC314" i="4"/>
  <c r="DB182" i="4"/>
  <c r="DB17" i="4"/>
  <c r="DB97" i="4"/>
  <c r="DC81" i="4"/>
  <c r="DC210" i="4"/>
  <c r="DB179" i="4"/>
  <c r="DC95" i="4"/>
  <c r="DC26" i="4"/>
  <c r="DB95" i="4"/>
  <c r="DB26" i="4"/>
  <c r="DB207" i="4"/>
  <c r="DC58" i="4"/>
  <c r="DB46" i="4"/>
  <c r="DB121" i="4"/>
  <c r="DC286" i="4"/>
  <c r="DC127" i="4"/>
  <c r="DB79" i="4"/>
  <c r="DC17" i="4"/>
  <c r="DB255" i="4"/>
  <c r="DB231" i="4"/>
  <c r="DB218" i="4"/>
  <c r="DC313" i="4"/>
  <c r="DB306" i="4"/>
  <c r="DC321" i="4"/>
  <c r="DB100" i="4"/>
  <c r="DB39" i="4"/>
  <c r="DB128" i="4"/>
  <c r="DB300" i="4"/>
  <c r="DC60" i="4"/>
  <c r="DB72" i="4"/>
  <c r="DB61" i="4"/>
  <c r="DB196" i="4"/>
  <c r="DB256" i="4"/>
  <c r="DC193" i="4"/>
  <c r="DB187" i="4"/>
  <c r="DB20" i="4"/>
  <c r="DC206" i="4"/>
  <c r="DB67" i="4"/>
  <c r="DB289" i="4"/>
  <c r="DC77" i="4"/>
  <c r="DB89" i="4"/>
  <c r="DC131" i="4"/>
  <c r="DC92" i="4"/>
  <c r="DB92" i="4"/>
  <c r="DC121" i="4"/>
  <c r="DC90" i="4"/>
  <c r="DC125" i="4"/>
  <c r="DB192" i="4"/>
  <c r="DC171" i="4"/>
  <c r="DC212" i="4"/>
  <c r="DC239" i="4"/>
  <c r="DB342" i="4"/>
  <c r="DB101" i="4"/>
  <c r="DC336" i="4"/>
  <c r="DB286" i="4"/>
  <c r="DC128" i="4"/>
  <c r="DC188" i="4"/>
  <c r="DC120" i="4"/>
  <c r="DC183" i="4"/>
  <c r="DB235" i="4"/>
  <c r="DC84" i="4"/>
  <c r="DC207" i="4"/>
  <c r="DC154" i="4"/>
  <c r="DB292" i="4"/>
  <c r="DC99" i="4"/>
  <c r="DC293" i="4"/>
  <c r="DB193" i="4"/>
  <c r="DB63" i="4"/>
  <c r="DC167" i="4"/>
  <c r="DC155" i="4"/>
  <c r="DC236" i="4"/>
  <c r="DB225" i="4"/>
  <c r="DC38" i="4"/>
  <c r="DC91" i="4"/>
  <c r="DB38" i="4"/>
  <c r="DB91" i="4"/>
  <c r="DB131" i="4"/>
  <c r="DC46" i="4"/>
  <c r="DC192" i="4"/>
  <c r="DB181" i="4"/>
  <c r="DC78" i="4"/>
  <c r="DB127" i="4"/>
  <c r="DB78" i="4"/>
  <c r="DC115" i="4"/>
  <c r="DB259" i="4"/>
  <c r="DC27" i="4"/>
  <c r="DC231" i="4"/>
  <c r="DB246" i="4"/>
  <c r="DC218" i="4"/>
  <c r="DB173" i="4"/>
  <c r="DC306" i="4"/>
  <c r="DB307" i="4"/>
  <c r="DC185" i="4"/>
  <c r="DB118" i="4"/>
  <c r="DB198" i="4"/>
  <c r="DC98" i="4"/>
  <c r="DC143" i="4"/>
  <c r="DB143" i="4"/>
  <c r="DB51" i="4"/>
  <c r="DB84" i="4"/>
  <c r="DB294" i="4"/>
  <c r="DB293" i="4"/>
  <c r="DB112" i="4"/>
  <c r="DC93" i="4"/>
  <c r="DB158" i="4"/>
  <c r="DC215" i="4"/>
  <c r="DB71" i="4"/>
  <c r="DB66" i="4"/>
  <c r="DC200" i="4"/>
  <c r="DC23" i="4"/>
  <c r="DB200" i="4"/>
  <c r="DB23" i="4"/>
  <c r="DC181" i="4"/>
  <c r="DB329" i="4"/>
  <c r="DC70" i="4"/>
  <c r="DC149" i="4"/>
  <c r="DB149" i="4"/>
  <c r="DB130" i="4"/>
  <c r="DB157" i="4"/>
  <c r="DB260" i="4"/>
  <c r="DB141" i="4"/>
  <c r="DB80" i="4"/>
  <c r="CJ58" i="4"/>
  <c r="CJ54" i="4"/>
  <c r="CJ181" i="4"/>
  <c r="CN66" i="4"/>
  <c r="CN329" i="4"/>
  <c r="CN89" i="4"/>
  <c r="CJ84" i="4"/>
  <c r="CJ78" i="4"/>
  <c r="CJ301" i="4"/>
  <c r="CJ187" i="4"/>
  <c r="CN280" i="4"/>
  <c r="CN81" i="4"/>
  <c r="CJ69" i="4"/>
  <c r="CJ99" i="4"/>
  <c r="CJ183" i="4"/>
  <c r="CJ82" i="4"/>
  <c r="CJ77" i="4"/>
  <c r="CJ53" i="4"/>
  <c r="CJ101" i="4"/>
  <c r="CJ61" i="4"/>
  <c r="CJ107" i="4"/>
  <c r="CJ296" i="4"/>
  <c r="CJ130" i="4"/>
  <c r="CJ49" i="4"/>
  <c r="CJ168" i="4"/>
  <c r="CJ314" i="4"/>
  <c r="CJ50" i="4"/>
  <c r="CJ420" i="4"/>
  <c r="CJ192" i="4"/>
  <c r="CJ164" i="4"/>
  <c r="CJ136" i="4"/>
  <c r="CJ295" i="4"/>
  <c r="CJ80" i="4"/>
  <c r="CJ171" i="4"/>
  <c r="CJ63" i="4"/>
  <c r="CN24" i="4"/>
  <c r="CN268" i="4"/>
  <c r="CX134" i="4"/>
  <c r="CX308" i="4"/>
  <c r="CX149" i="4"/>
  <c r="CX236" i="4"/>
  <c r="CX164" i="4"/>
  <c r="CX268" i="4"/>
  <c r="CX88" i="4"/>
  <c r="CX168" i="4"/>
  <c r="CX212" i="4"/>
  <c r="CX147" i="4"/>
  <c r="CX153" i="4"/>
  <c r="CX227" i="4"/>
  <c r="CX208" i="4"/>
  <c r="CX158" i="4"/>
  <c r="CX71" i="4"/>
  <c r="CX59" i="4"/>
  <c r="CX137" i="4"/>
  <c r="CX53" i="4"/>
  <c r="CX239" i="4"/>
  <c r="CX261" i="4"/>
  <c r="CX97" i="4"/>
  <c r="CX150" i="4"/>
  <c r="CX272" i="4"/>
  <c r="CX120" i="4"/>
  <c r="CX125" i="4"/>
  <c r="CX115" i="4"/>
  <c r="CX117" i="4"/>
  <c r="CX133" i="4"/>
  <c r="CX206" i="4"/>
  <c r="CX86" i="4"/>
  <c r="CX296" i="4"/>
  <c r="CX188" i="4"/>
  <c r="CX39" i="4"/>
  <c r="CX101" i="4"/>
  <c r="CX209" i="4"/>
  <c r="CX38" i="4"/>
  <c r="CX100" i="4"/>
  <c r="CX128" i="4"/>
  <c r="CX342" i="4"/>
  <c r="CX70" i="4"/>
  <c r="CX169" i="4"/>
  <c r="CX182" i="4"/>
  <c r="CX93" i="4"/>
  <c r="CX167" i="4"/>
  <c r="CX77" i="4"/>
  <c r="CX237" i="4"/>
  <c r="CX313" i="4"/>
  <c r="CX259" i="4"/>
  <c r="CX322" i="4"/>
  <c r="CX132" i="4"/>
  <c r="CX238" i="4"/>
  <c r="CX289" i="4"/>
  <c r="CX297" i="4"/>
  <c r="CX118" i="4"/>
  <c r="CX235" i="4"/>
  <c r="CX307" i="4"/>
  <c r="CX141" i="4"/>
  <c r="CX40" i="4"/>
  <c r="CX166" i="4"/>
  <c r="CX63" i="4"/>
  <c r="CX232" i="4"/>
  <c r="CX179" i="4"/>
  <c r="CX264" i="4"/>
  <c r="CX142" i="4"/>
  <c r="CX51" i="4"/>
  <c r="CX172" i="4"/>
  <c r="CX57" i="4"/>
  <c r="CX358" i="4"/>
  <c r="CX317" i="4"/>
  <c r="CX52" i="4"/>
  <c r="CX217" i="4"/>
  <c r="CX250" i="4"/>
  <c r="CX108" i="4"/>
  <c r="CX252" i="4"/>
  <c r="CX43" i="4"/>
  <c r="CX82" i="4"/>
  <c r="CX157" i="4"/>
  <c r="CX50" i="4"/>
  <c r="CX126" i="4"/>
  <c r="CX119" i="4"/>
  <c r="CX26" i="4"/>
  <c r="CX181" i="4"/>
  <c r="CX361" i="4"/>
  <c r="CX254" i="4"/>
  <c r="CX131" i="4"/>
  <c r="CX291" i="4"/>
  <c r="CX192" i="4"/>
  <c r="CX111" i="4"/>
  <c r="CX203" i="4"/>
  <c r="CX61" i="4"/>
  <c r="CX79" i="4"/>
  <c r="CX171" i="4"/>
  <c r="CX49" i="4"/>
  <c r="CX54" i="4"/>
  <c r="CX420" i="4"/>
  <c r="CX136" i="4"/>
  <c r="CX89" i="4"/>
  <c r="CX207" i="4"/>
  <c r="CX91" i="4"/>
  <c r="CX58" i="4"/>
  <c r="CX225" i="4"/>
  <c r="CX286" i="4"/>
  <c r="CX314" i="4"/>
  <c r="CX78" i="4"/>
  <c r="CX96" i="4"/>
  <c r="CX218" i="4"/>
  <c r="CX176" i="4"/>
  <c r="CX84" i="4"/>
  <c r="CX24" i="4"/>
  <c r="CX127" i="4"/>
  <c r="CX124" i="4"/>
  <c r="CX80" i="4"/>
  <c r="CX116" i="4"/>
  <c r="CX67" i="4"/>
  <c r="CX48" i="4"/>
  <c r="CX253" i="4"/>
  <c r="CX200" i="4"/>
  <c r="CX98" i="4"/>
  <c r="CX302" i="4"/>
  <c r="CX186" i="4"/>
  <c r="CX266" i="4"/>
  <c r="CX260" i="4"/>
  <c r="CX328" i="4"/>
  <c r="CX94" i="4"/>
  <c r="CX183" i="4"/>
  <c r="CX130" i="4"/>
  <c r="CX47" i="4"/>
  <c r="CX81" i="4"/>
  <c r="CX196" i="4"/>
  <c r="CX292" i="4"/>
  <c r="CX231" i="4"/>
  <c r="CX73" i="4"/>
  <c r="CX293" i="4"/>
  <c r="CX215" i="4"/>
  <c r="CX199" i="4"/>
  <c r="CX273" i="4"/>
  <c r="CX173" i="4"/>
  <c r="CX184" i="4"/>
  <c r="CX255" i="4"/>
  <c r="CX37" i="4"/>
  <c r="CX321" i="4"/>
  <c r="CX72" i="4"/>
  <c r="CX25" i="4"/>
  <c r="CX299" i="4"/>
  <c r="CX151" i="4"/>
  <c r="CX246" i="4"/>
  <c r="CX187" i="4"/>
  <c r="CX170" i="4"/>
  <c r="CX211" i="4"/>
  <c r="CX185" i="4"/>
  <c r="CX300" i="4"/>
  <c r="CX213" i="4"/>
  <c r="CX60" i="4"/>
  <c r="CX216" i="4"/>
  <c r="CX27" i="4"/>
  <c r="CX306" i="4"/>
  <c r="CX294" i="4"/>
  <c r="CX95" i="4"/>
  <c r="CX138" i="4"/>
  <c r="CX66" i="4"/>
  <c r="CX109" i="4"/>
  <c r="CX107" i="4"/>
  <c r="CX336" i="4"/>
  <c r="CX44" i="4"/>
  <c r="CX20" i="4"/>
  <c r="CX210" i="4"/>
  <c r="CX214" i="4"/>
  <c r="CX295" i="4"/>
  <c r="CX198" i="4"/>
  <c r="CX106" i="4"/>
  <c r="CX193" i="4"/>
  <c r="CX154" i="4"/>
  <c r="CX56" i="4"/>
  <c r="CX99" i="4"/>
  <c r="CX83" i="4"/>
  <c r="CX68" i="4"/>
  <c r="CX69" i="4"/>
  <c r="CX121" i="4"/>
  <c r="CX228" i="4"/>
  <c r="CX316" i="4"/>
  <c r="CX205" i="4"/>
  <c r="CX329" i="4"/>
  <c r="CX112" i="4"/>
  <c r="CX251" i="4"/>
  <c r="CX301" i="4"/>
  <c r="CX298" i="4"/>
  <c r="CX280" i="4"/>
  <c r="CX320" i="4"/>
  <c r="CX140" i="4"/>
  <c r="CX143" i="4"/>
  <c r="CX265" i="4"/>
  <c r="CX256" i="4"/>
  <c r="CX249" i="4"/>
  <c r="CX87" i="4"/>
  <c r="CX139" i="4"/>
  <c r="CX92" i="4"/>
  <c r="CX46" i="4"/>
  <c r="CJ116" i="4"/>
  <c r="CJ238" i="4"/>
  <c r="CN255" i="4"/>
  <c r="CJ252" i="4"/>
  <c r="CJ336" i="4"/>
  <c r="CN116" i="4"/>
  <c r="CJ232" i="4"/>
  <c r="CJ265" i="4"/>
  <c r="CJ26" i="4"/>
  <c r="CN261" i="4"/>
  <c r="CJ157" i="4"/>
  <c r="CJ40" i="4"/>
  <c r="CN100" i="4"/>
  <c r="CL294" i="4"/>
  <c r="CL252" i="4"/>
  <c r="CL321" i="4"/>
  <c r="CL286" i="4"/>
  <c r="CL176" i="4"/>
  <c r="CL78" i="4"/>
  <c r="CL301" i="4"/>
  <c r="CL192" i="4"/>
  <c r="CL187" i="4"/>
  <c r="CL293" i="4"/>
  <c r="CB10" i="4"/>
  <c r="CB115" i="4"/>
  <c r="CB16" i="4"/>
  <c r="CB21" i="4"/>
  <c r="CB120" i="4"/>
  <c r="CB28" i="4"/>
  <c r="CB314" i="4"/>
  <c r="CB212" i="4"/>
  <c r="CB93" i="4"/>
  <c r="CB9" i="4"/>
  <c r="CB299" i="4"/>
  <c r="CB95" i="4"/>
  <c r="CB27" i="4"/>
  <c r="CB214" i="4"/>
  <c r="CB208" i="4"/>
  <c r="CB73" i="4"/>
  <c r="CB109" i="4"/>
  <c r="CB33" i="4"/>
  <c r="CB55" i="4"/>
  <c r="CB17" i="4"/>
  <c r="CB295" i="4"/>
  <c r="CB131" i="4"/>
  <c r="CB8" i="4"/>
  <c r="CB84" i="4"/>
  <c r="CB83" i="4"/>
  <c r="CB34" i="4"/>
  <c r="CB193" i="4"/>
  <c r="CB236" i="4"/>
  <c r="CB116" i="4"/>
  <c r="CB292" i="4"/>
  <c r="CB100" i="4"/>
  <c r="CB157" i="4"/>
  <c r="CB134" i="4"/>
  <c r="CB211" i="4"/>
  <c r="CB127" i="4"/>
  <c r="CB420" i="4"/>
  <c r="CB293" i="4"/>
  <c r="CB23" i="4"/>
  <c r="CB264" i="4"/>
  <c r="CB65" i="4"/>
  <c r="CB112" i="4"/>
  <c r="CB66" i="4"/>
  <c r="CB280" i="4"/>
  <c r="CB58" i="4"/>
  <c r="CB336" i="4"/>
  <c r="CB32" i="4"/>
  <c r="CB306" i="4"/>
  <c r="CB118" i="4"/>
  <c r="CB232" i="4"/>
  <c r="CB239" i="4"/>
  <c r="CB213" i="4"/>
  <c r="CB179" i="4"/>
  <c r="CB322" i="4"/>
  <c r="CB268" i="4"/>
  <c r="CB187" i="4"/>
  <c r="CB114" i="4"/>
  <c r="CB90" i="4"/>
  <c r="CB92" i="4"/>
  <c r="CB143" i="4"/>
  <c r="CB20" i="4"/>
  <c r="CB89" i="4"/>
  <c r="CB198" i="4"/>
  <c r="CB130" i="4"/>
  <c r="CB132" i="4"/>
  <c r="CB117" i="4"/>
  <c r="CB67" i="4"/>
  <c r="CB192" i="4"/>
  <c r="CB111" i="4"/>
  <c r="CB48" i="4"/>
  <c r="CB217" i="4"/>
  <c r="CB265" i="4"/>
  <c r="CB139" i="4"/>
  <c r="CB13" i="4"/>
  <c r="CB154" i="4"/>
  <c r="CB168" i="4"/>
  <c r="CB30" i="4"/>
  <c r="CB125" i="4"/>
  <c r="CB52" i="4"/>
  <c r="CB68" i="4"/>
  <c r="CB124" i="4"/>
  <c r="CB170" i="4"/>
  <c r="CB126" i="4"/>
  <c r="CB300" i="4"/>
  <c r="CB107" i="4"/>
  <c r="CB218" i="4"/>
  <c r="CB261" i="4"/>
  <c r="CB26" i="4"/>
  <c r="CB188" i="4"/>
  <c r="CB249" i="4"/>
  <c r="CB342" i="4"/>
  <c r="CB121" i="4"/>
  <c r="CB42" i="4"/>
  <c r="CB301" i="4"/>
  <c r="CB97" i="4"/>
  <c r="CB19" i="4"/>
  <c r="CB291" i="4"/>
  <c r="CB56" i="4"/>
  <c r="CB138" i="4"/>
  <c r="CB88" i="4"/>
  <c r="CB171" i="4"/>
  <c r="CB238" i="4"/>
  <c r="CB184" i="4"/>
  <c r="CB256" i="4"/>
  <c r="CB137" i="4"/>
  <c r="CB29" i="4"/>
  <c r="CB78" i="4"/>
  <c r="CB96" i="4"/>
  <c r="CB81" i="4"/>
  <c r="CB307" i="4"/>
  <c r="CB108" i="4"/>
  <c r="CB47" i="4"/>
  <c r="CB147" i="4"/>
  <c r="CB317" i="4"/>
  <c r="CB49" i="4"/>
  <c r="CB25" i="4"/>
  <c r="CB320" i="4"/>
  <c r="CB82" i="4"/>
  <c r="CB101" i="4"/>
  <c r="CB77" i="4"/>
  <c r="CB321" i="4"/>
  <c r="CB141" i="4"/>
  <c r="CB12" i="4"/>
  <c r="CB164" i="4"/>
  <c r="CB70" i="4"/>
  <c r="CB225" i="4"/>
  <c r="CB206" i="4"/>
  <c r="CB35" i="4"/>
  <c r="CB185" i="4"/>
  <c r="CB60" i="4"/>
  <c r="CB43" i="4"/>
  <c r="CB215" i="4"/>
  <c r="CB227" i="4"/>
  <c r="CB53" i="4"/>
  <c r="CB151" i="4"/>
  <c r="CB203" i="4"/>
  <c r="CB11" i="4"/>
  <c r="CB69" i="4"/>
  <c r="CB40" i="4"/>
  <c r="CB86" i="4"/>
  <c r="CB216" i="4"/>
  <c r="CB87" i="4"/>
  <c r="CB31" i="4"/>
  <c r="CB183" i="4"/>
  <c r="CB14" i="4"/>
  <c r="CB196" i="4"/>
  <c r="CB91" i="4"/>
  <c r="CB119" i="4"/>
  <c r="CB142" i="4"/>
  <c r="CB59" i="4"/>
  <c r="CB39" i="4"/>
  <c r="CB361" i="4"/>
  <c r="CB140" i="4"/>
  <c r="CB200" i="4"/>
  <c r="CB316" i="4"/>
  <c r="CB308" i="4"/>
  <c r="CB71" i="4"/>
  <c r="CB254" i="4"/>
  <c r="CB250" i="4"/>
  <c r="CB24" i="4"/>
  <c r="CB296" i="4"/>
  <c r="CB169" i="4"/>
  <c r="CB22" i="4"/>
  <c r="CB298" i="4"/>
  <c r="CB266" i="4"/>
  <c r="CB99" i="4"/>
  <c r="CB79" i="4"/>
  <c r="CB329" i="4"/>
  <c r="CB181" i="4"/>
  <c r="CB253" i="4"/>
  <c r="CB273" i="4"/>
  <c r="CB172" i="4"/>
  <c r="CB51" i="4"/>
  <c r="CB44" i="4"/>
  <c r="CB133" i="4"/>
  <c r="CB205" i="4"/>
  <c r="CB106" i="4"/>
  <c r="CB328" i="4"/>
  <c r="CB255" i="4"/>
  <c r="CB80" i="4"/>
  <c r="CB158" i="4"/>
  <c r="CB46" i="4"/>
  <c r="CB259" i="4"/>
  <c r="CB228" i="4"/>
  <c r="CB199" i="4"/>
  <c r="CB182" i="4"/>
  <c r="CB18" i="4"/>
  <c r="CB94" i="4"/>
  <c r="CB210" i="4"/>
  <c r="CB6" i="4"/>
  <c r="CB358" i="4"/>
  <c r="CB61" i="4"/>
  <c r="CB72" i="4"/>
  <c r="CB246" i="4"/>
  <c r="CB289" i="4"/>
  <c r="CB235" i="4"/>
  <c r="CB272" i="4"/>
  <c r="CB136" i="4"/>
  <c r="CB313" i="4"/>
  <c r="CB251" i="4"/>
  <c r="CB37" i="4"/>
  <c r="CB173" i="4"/>
  <c r="CB150" i="4"/>
  <c r="CB166" i="4"/>
  <c r="CB15" i="4"/>
  <c r="CB294" i="4"/>
  <c r="CB207" i="4"/>
  <c r="CB62" i="4"/>
  <c r="CB252" i="4"/>
  <c r="CB98" i="4"/>
  <c r="CB286" i="4"/>
  <c r="CB63" i="4"/>
  <c r="CB155" i="4"/>
  <c r="CB231" i="4"/>
  <c r="CB209" i="4"/>
  <c r="CB7" i="4"/>
  <c r="CB237" i="4"/>
  <c r="CB50" i="4"/>
  <c r="CB297" i="4"/>
  <c r="CB128" i="4"/>
  <c r="CB54" i="4"/>
  <c r="CB302" i="4"/>
  <c r="CB167" i="4"/>
  <c r="CB36" i="4"/>
  <c r="CB260" i="4"/>
  <c r="CB57" i="4"/>
  <c r="CB186" i="4"/>
  <c r="CB153" i="4"/>
  <c r="CB176" i="4"/>
  <c r="CB149" i="4"/>
  <c r="CB38" i="4"/>
  <c r="BX65" i="4"/>
  <c r="BX112" i="4"/>
  <c r="BX235" i="4"/>
  <c r="BX251" i="4"/>
  <c r="BX14" i="4"/>
  <c r="BX272" i="4"/>
  <c r="BX24" i="4"/>
  <c r="BX130" i="4"/>
  <c r="BX238" i="4"/>
  <c r="BX119" i="4"/>
  <c r="BX140" i="4"/>
  <c r="BX153" i="4"/>
  <c r="BX27" i="4"/>
  <c r="BX61" i="4"/>
  <c r="BX100" i="4"/>
  <c r="BX19" i="4"/>
  <c r="BX252" i="4"/>
  <c r="BX4" i="4"/>
  <c r="BX255" i="4"/>
  <c r="BX32" i="4"/>
  <c r="BX56" i="4"/>
  <c r="BX58" i="4"/>
  <c r="BX88" i="4"/>
  <c r="BX101" i="4"/>
  <c r="BX259" i="4"/>
  <c r="BX98" i="4"/>
  <c r="BX342" i="4"/>
  <c r="BX115" i="4"/>
  <c r="BX265" i="4"/>
  <c r="BX57" i="4"/>
  <c r="BX183" i="4"/>
  <c r="BX329" i="4"/>
  <c r="BX250" i="4"/>
  <c r="BX132" i="4"/>
  <c r="BX124" i="4"/>
  <c r="BX21" i="4"/>
  <c r="BX8" i="4"/>
  <c r="BX149" i="4"/>
  <c r="BX23" i="4"/>
  <c r="BX69" i="4"/>
  <c r="BX320" i="4"/>
  <c r="BX63" i="4"/>
  <c r="BX15" i="4"/>
  <c r="BX264" i="4"/>
  <c r="BX108" i="4"/>
  <c r="BX138" i="4"/>
  <c r="BX30" i="4"/>
  <c r="BX68" i="4"/>
  <c r="BX176" i="4"/>
  <c r="BX173" i="4"/>
  <c r="BX260" i="4"/>
  <c r="BX92" i="4"/>
  <c r="BX295" i="4"/>
  <c r="BX171" i="4"/>
  <c r="BX55" i="4"/>
  <c r="BX31" i="4"/>
  <c r="BX268" i="4"/>
  <c r="BX420" i="4"/>
  <c r="BX78" i="4"/>
  <c r="BX127" i="4"/>
  <c r="BX168" i="4"/>
  <c r="BX34" i="4"/>
  <c r="BX280" i="4"/>
  <c r="BX208" i="4"/>
  <c r="BX13" i="4"/>
  <c r="BX164" i="4"/>
  <c r="BX70" i="4"/>
  <c r="BX62" i="4"/>
  <c r="BX314" i="4"/>
  <c r="BX186" i="4"/>
  <c r="BX155" i="4"/>
  <c r="BX254" i="4"/>
  <c r="BX72" i="4"/>
  <c r="BX232" i="4"/>
  <c r="BX82" i="4"/>
  <c r="BX66" i="4"/>
  <c r="BX17" i="4"/>
  <c r="BX154" i="4"/>
  <c r="BX49" i="4"/>
  <c r="BX192" i="4"/>
  <c r="BX181" i="4"/>
  <c r="BX316" i="4"/>
  <c r="BX207" i="4"/>
  <c r="BX46" i="4"/>
  <c r="BX198" i="4"/>
  <c r="BX36" i="4"/>
  <c r="BX301" i="4"/>
  <c r="BX81" i="4"/>
  <c r="BX291" i="4"/>
  <c r="BX167" i="4"/>
  <c r="BX210" i="4"/>
  <c r="BX286" i="4"/>
  <c r="BX308" i="4"/>
  <c r="BX253" i="4"/>
  <c r="BX40" i="4"/>
  <c r="BX89" i="4"/>
  <c r="BX299" i="4"/>
  <c r="BX59" i="4"/>
  <c r="BX336" i="4"/>
  <c r="BX200" i="4"/>
  <c r="BX44" i="4"/>
  <c r="BX60" i="4"/>
  <c r="BX26" i="4"/>
  <c r="BX10" i="4"/>
  <c r="BX91" i="4"/>
  <c r="BX185" i="4"/>
  <c r="BX141" i="4"/>
  <c r="BX116" i="4"/>
  <c r="BX307" i="4"/>
  <c r="BX83" i="4"/>
  <c r="BX213" i="4"/>
  <c r="BX12" i="4"/>
  <c r="BX218" i="4"/>
  <c r="BX7" i="4"/>
  <c r="BX300" i="4"/>
  <c r="BX126" i="4"/>
  <c r="BX53" i="4"/>
  <c r="BX296" i="4"/>
  <c r="BX179" i="4"/>
  <c r="BX151" i="4"/>
  <c r="BX96" i="4"/>
  <c r="BX246" i="4"/>
  <c r="BX118" i="4"/>
  <c r="BX136" i="4"/>
  <c r="BX35" i="4"/>
  <c r="BX237" i="4"/>
  <c r="BX48" i="4"/>
  <c r="BX188" i="4"/>
  <c r="BX172" i="4"/>
  <c r="BX93" i="4"/>
  <c r="BX306" i="4"/>
  <c r="BX169" i="4"/>
  <c r="BX358" i="4"/>
  <c r="BX184" i="4"/>
  <c r="BX139" i="4"/>
  <c r="BX211" i="4"/>
  <c r="BX166" i="4"/>
  <c r="BX215" i="4"/>
  <c r="BX133" i="4"/>
  <c r="BX157" i="4"/>
  <c r="BX187" i="4"/>
  <c r="BX182" i="4"/>
  <c r="BX292" i="4"/>
  <c r="BX236" i="4"/>
  <c r="BX231" i="4"/>
  <c r="BX107" i="4"/>
  <c r="BX54" i="4"/>
  <c r="BX361" i="4"/>
  <c r="BX313" i="4"/>
  <c r="BX322" i="4"/>
  <c r="BX47" i="4"/>
  <c r="BX43" i="4"/>
  <c r="BX11" i="4"/>
  <c r="BX239" i="4"/>
  <c r="BX289" i="4"/>
  <c r="BX77" i="4"/>
  <c r="BX79" i="4"/>
  <c r="BX73" i="4"/>
  <c r="BX95" i="4"/>
  <c r="BX302" i="4"/>
  <c r="BX29" i="4"/>
  <c r="BX212" i="4"/>
  <c r="BX37" i="4"/>
  <c r="BX294" i="4"/>
  <c r="BX25" i="4"/>
  <c r="BX134" i="4"/>
  <c r="BX120" i="4"/>
  <c r="BX131" i="4"/>
  <c r="BX317" i="4"/>
  <c r="BX109" i="4"/>
  <c r="BX28" i="4"/>
  <c r="BX216" i="4"/>
  <c r="BX206" i="4"/>
  <c r="BX158" i="4"/>
  <c r="BX117" i="4"/>
  <c r="BX209" i="4"/>
  <c r="BX86" i="4"/>
  <c r="BX121" i="4"/>
  <c r="BX266" i="4"/>
  <c r="BX196" i="4"/>
  <c r="BX128" i="4"/>
  <c r="BX33" i="4"/>
  <c r="BX143" i="4"/>
  <c r="BX94" i="4"/>
  <c r="BX137" i="4"/>
  <c r="BX193" i="4"/>
  <c r="BX228" i="4"/>
  <c r="BX99" i="4"/>
  <c r="BX87" i="4"/>
  <c r="BX293" i="4"/>
  <c r="BX321" i="4"/>
  <c r="BX298" i="4"/>
  <c r="BX16" i="4"/>
  <c r="BX71" i="4"/>
  <c r="BX51" i="4"/>
  <c r="BX225" i="4"/>
  <c r="BX249" i="4"/>
  <c r="BX9" i="4"/>
  <c r="BX256" i="4"/>
  <c r="BX67" i="4"/>
  <c r="BX20" i="4"/>
  <c r="BX97" i="4"/>
  <c r="BX50" i="4"/>
  <c r="BX38" i="4"/>
  <c r="BX18" i="4"/>
  <c r="BX150" i="4"/>
  <c r="BX6" i="4"/>
  <c r="BX142" i="4"/>
  <c r="BX147" i="4"/>
  <c r="BX205" i="4"/>
  <c r="BX297" i="4"/>
  <c r="BX214" i="4"/>
  <c r="BX106" i="4"/>
  <c r="BX111" i="4"/>
  <c r="BX261" i="4"/>
  <c r="BX22" i="4"/>
  <c r="BX273" i="4"/>
  <c r="BX80" i="4"/>
  <c r="BX170" i="4"/>
  <c r="BX125" i="4"/>
  <c r="BX203" i="4"/>
  <c r="BX52" i="4"/>
  <c r="BX42" i="4"/>
  <c r="BX84" i="4"/>
  <c r="BX227" i="4"/>
  <c r="BX114" i="4"/>
  <c r="BX199" i="4"/>
  <c r="BX217" i="4"/>
  <c r="BX90" i="4"/>
  <c r="BX39" i="4"/>
  <c r="BX328" i="4"/>
  <c r="BZ10" i="4"/>
  <c r="BZ33" i="4"/>
  <c r="BZ23" i="4"/>
  <c r="BZ92" i="4"/>
  <c r="BZ68" i="4"/>
  <c r="BZ138" i="4"/>
  <c r="BZ25" i="4"/>
  <c r="BZ200" i="4"/>
  <c r="BZ51" i="4"/>
  <c r="BZ72" i="4"/>
  <c r="BZ115" i="4"/>
  <c r="BZ264" i="4"/>
  <c r="BZ143" i="4"/>
  <c r="BZ16" i="4"/>
  <c r="BZ65" i="4"/>
  <c r="BZ124" i="4"/>
  <c r="BZ171" i="4"/>
  <c r="BZ82" i="4"/>
  <c r="BZ40" i="4"/>
  <c r="BZ133" i="4"/>
  <c r="BZ289" i="4"/>
  <c r="BZ209" i="4"/>
  <c r="BZ112" i="4"/>
  <c r="BZ20" i="4"/>
  <c r="BZ170" i="4"/>
  <c r="BZ238" i="4"/>
  <c r="BZ101" i="4"/>
  <c r="BZ308" i="4"/>
  <c r="BZ205" i="4"/>
  <c r="BZ4" i="4"/>
  <c r="BZ21" i="4"/>
  <c r="BZ55" i="4"/>
  <c r="BZ66" i="4"/>
  <c r="BZ89" i="4"/>
  <c r="BZ126" i="4"/>
  <c r="BZ77" i="4"/>
  <c r="BZ86" i="4"/>
  <c r="BZ71" i="4"/>
  <c r="BZ106" i="4"/>
  <c r="BZ235" i="4"/>
  <c r="BZ120" i="4"/>
  <c r="BZ280" i="4"/>
  <c r="BZ198" i="4"/>
  <c r="BZ300" i="4"/>
  <c r="BZ184" i="4"/>
  <c r="BZ321" i="4"/>
  <c r="BZ216" i="4"/>
  <c r="BZ254" i="4"/>
  <c r="BZ328" i="4"/>
  <c r="BZ6" i="4"/>
  <c r="BZ11" i="4"/>
  <c r="BZ90" i="4"/>
  <c r="BZ420" i="4"/>
  <c r="BZ69" i="4"/>
  <c r="BZ125" i="4"/>
  <c r="BZ38" i="4"/>
  <c r="BZ172" i="4"/>
  <c r="BZ109" i="4"/>
  <c r="BZ210" i="4"/>
  <c r="BZ149" i="4"/>
  <c r="BZ273" i="4"/>
  <c r="BZ291" i="4"/>
  <c r="BZ186" i="4"/>
  <c r="BZ215" i="4"/>
  <c r="BZ292" i="4"/>
  <c r="BZ342" i="4"/>
  <c r="BZ7" i="4"/>
  <c r="BZ28" i="4"/>
  <c r="BZ17" i="4"/>
  <c r="BZ58" i="4"/>
  <c r="BZ130" i="4"/>
  <c r="BZ107" i="4"/>
  <c r="BZ141" i="4"/>
  <c r="BZ87" i="4"/>
  <c r="BZ250" i="4"/>
  <c r="BZ255" i="4"/>
  <c r="BZ272" i="4"/>
  <c r="BZ237" i="4"/>
  <c r="BZ61" i="4"/>
  <c r="BZ176" i="4"/>
  <c r="BZ73" i="4"/>
  <c r="BZ44" i="4"/>
  <c r="BZ228" i="4"/>
  <c r="BZ12" i="4"/>
  <c r="BZ31" i="4"/>
  <c r="BZ24" i="4"/>
  <c r="BZ80" i="4"/>
  <c r="BZ136" i="4"/>
  <c r="BZ50" i="4"/>
  <c r="BZ131" i="4"/>
  <c r="BZ117" i="4"/>
  <c r="BZ261" i="4"/>
  <c r="BZ256" i="4"/>
  <c r="BZ164" i="4"/>
  <c r="BZ314" i="4"/>
  <c r="BZ293" i="4"/>
  <c r="BZ286" i="4"/>
  <c r="BZ151" i="4"/>
  <c r="BZ239" i="4"/>
  <c r="BZ8" i="4"/>
  <c r="BZ32" i="4"/>
  <c r="BZ67" i="4"/>
  <c r="BZ26" i="4"/>
  <c r="BZ137" i="4"/>
  <c r="BZ70" i="4"/>
  <c r="BZ169" i="4"/>
  <c r="BZ158" i="4"/>
  <c r="BZ251" i="4"/>
  <c r="BZ128" i="4"/>
  <c r="BZ212" i="4"/>
  <c r="BZ84" i="4"/>
  <c r="BZ183" i="4"/>
  <c r="BZ295" i="4"/>
  <c r="BZ187" i="4"/>
  <c r="BZ316" i="4"/>
  <c r="BZ134" i="4"/>
  <c r="BZ14" i="4"/>
  <c r="BZ22" i="4"/>
  <c r="BZ46" i="4"/>
  <c r="BZ37" i="4"/>
  <c r="BZ54" i="4"/>
  <c r="BZ93" i="4"/>
  <c r="BZ83" i="4"/>
  <c r="BZ111" i="4"/>
  <c r="BZ249" i="4"/>
  <c r="BZ296" i="4"/>
  <c r="BZ336" i="4"/>
  <c r="BZ203" i="4"/>
  <c r="BZ39" i="4"/>
  <c r="BZ322" i="4"/>
  <c r="BZ9" i="4"/>
  <c r="BZ34" i="4"/>
  <c r="BZ48" i="4"/>
  <c r="BZ206" i="4"/>
  <c r="BZ196" i="4"/>
  <c r="BZ259" i="4"/>
  <c r="BZ150" i="4"/>
  <c r="BZ298" i="4"/>
  <c r="BZ192" i="4"/>
  <c r="BZ317" i="4"/>
  <c r="BZ29" i="4"/>
  <c r="BZ35" i="4"/>
  <c r="BZ91" i="4"/>
  <c r="BZ166" i="4"/>
  <c r="BZ167" i="4"/>
  <c r="BZ95" i="4"/>
  <c r="BZ236" i="4"/>
  <c r="BZ118" i="4"/>
  <c r="BZ265" i="4"/>
  <c r="BZ299" i="4"/>
  <c r="BZ320" i="4"/>
  <c r="BZ132" i="4"/>
  <c r="BZ358" i="4"/>
  <c r="BZ15" i="4"/>
  <c r="BZ36" i="4"/>
  <c r="BZ27" i="4"/>
  <c r="BZ116" i="4"/>
  <c r="BZ232" i="4"/>
  <c r="BZ139" i="4"/>
  <c r="BZ121" i="4"/>
  <c r="BZ96" i="4"/>
  <c r="BZ60" i="4"/>
  <c r="BZ119" i="4"/>
  <c r="BZ99" i="4"/>
  <c r="BZ199" i="4"/>
  <c r="BZ78" i="4"/>
  <c r="BZ188" i="4"/>
  <c r="BZ313" i="4"/>
  <c r="BZ218" i="4"/>
  <c r="BZ13" i="4"/>
  <c r="BZ42" i="4"/>
  <c r="BZ81" i="4"/>
  <c r="BZ43" i="4"/>
  <c r="BZ79" i="4"/>
  <c r="BZ182" i="4"/>
  <c r="BZ207" i="4"/>
  <c r="BZ208" i="4"/>
  <c r="BZ100" i="4"/>
  <c r="BZ213" i="4"/>
  <c r="BZ154" i="4"/>
  <c r="BZ88" i="4"/>
  <c r="BZ193" i="4"/>
  <c r="BZ297" i="4"/>
  <c r="BZ18" i="4"/>
  <c r="BZ62" i="4"/>
  <c r="BZ57" i="4"/>
  <c r="BZ157" i="4"/>
  <c r="BZ179" i="4"/>
  <c r="BZ168" i="4"/>
  <c r="BZ97" i="4"/>
  <c r="BZ108" i="4"/>
  <c r="BZ227" i="4"/>
  <c r="BZ142" i="4"/>
  <c r="BZ329" i="4"/>
  <c r="BZ294" i="4"/>
  <c r="BZ185" i="4"/>
  <c r="BZ306" i="4"/>
  <c r="BZ173" i="4"/>
  <c r="BZ225" i="4"/>
  <c r="BZ231" i="4"/>
  <c r="BZ53" i="4"/>
  <c r="BZ361" i="4"/>
  <c r="BZ301" i="4"/>
  <c r="BZ49" i="4"/>
  <c r="BZ252" i="4"/>
  <c r="BZ47" i="4"/>
  <c r="BZ253" i="4"/>
  <c r="BZ302" i="4"/>
  <c r="BZ153" i="4"/>
  <c r="BZ59" i="4"/>
  <c r="BZ260" i="4"/>
  <c r="BZ155" i="4"/>
  <c r="BZ127" i="4"/>
  <c r="BZ211" i="4"/>
  <c r="BZ307" i="4"/>
  <c r="BZ181" i="4"/>
  <c r="BZ147" i="4"/>
  <c r="BZ30" i="4"/>
  <c r="BZ63" i="4"/>
  <c r="BZ268" i="4"/>
  <c r="BZ214" i="4"/>
  <c r="BZ98" i="4"/>
  <c r="BZ246" i="4"/>
  <c r="BZ114" i="4"/>
  <c r="BZ94" i="4"/>
  <c r="BZ56" i="4"/>
  <c r="BZ217" i="4"/>
  <c r="BZ52" i="4"/>
  <c r="BZ19" i="4"/>
  <c r="BZ140" i="4"/>
  <c r="BZ266" i="4"/>
  <c r="AH4" i="13"/>
  <c r="AG4" i="13" s="1"/>
  <c r="B23" i="17" s="1"/>
  <c r="F27" i="5"/>
  <c r="L5" i="13"/>
  <c r="K5" i="13" s="1"/>
  <c r="F7" i="5"/>
  <c r="F2" i="5"/>
  <c r="B36" i="5"/>
  <c r="B37" i="5" s="1"/>
  <c r="F22" i="5"/>
  <c r="B16" i="5"/>
  <c r="D16" i="5"/>
  <c r="GZ245" i="4" l="1"/>
  <c r="GZ276" i="4"/>
  <c r="AG422" i="4"/>
  <c r="AE422" i="4"/>
  <c r="AU422" i="4"/>
  <c r="GX422" i="4"/>
  <c r="AG421" i="4"/>
  <c r="AE421" i="4"/>
  <c r="AY421" i="4"/>
  <c r="AU420" i="4"/>
  <c r="AD420" i="4"/>
  <c r="GV420" i="4"/>
  <c r="GZ421" i="4"/>
  <c r="AG418" i="4"/>
  <c r="AE418" i="4"/>
  <c r="AU418" i="4"/>
  <c r="GZ419" i="4"/>
  <c r="AG417" i="4"/>
  <c r="AE417" i="4"/>
  <c r="AU417" i="4"/>
  <c r="AG419" i="4"/>
  <c r="AE419" i="4"/>
  <c r="AY419" i="4"/>
  <c r="GX418" i="4"/>
  <c r="HF417" i="4"/>
  <c r="AW414" i="4"/>
  <c r="AD414" i="4"/>
  <c r="AG413" i="4"/>
  <c r="AE413" i="4"/>
  <c r="AY413" i="4"/>
  <c r="GV415" i="4"/>
  <c r="GV416" i="4"/>
  <c r="GX414" i="4"/>
  <c r="AG416" i="4"/>
  <c r="AE416" i="4"/>
  <c r="AW416" i="4"/>
  <c r="AG415" i="4"/>
  <c r="AE415" i="4"/>
  <c r="AW415" i="4"/>
  <c r="HF410" i="4"/>
  <c r="HF408" i="4"/>
  <c r="AG410" i="4"/>
  <c r="AE410" i="4"/>
  <c r="AU410" i="4"/>
  <c r="GV403" i="4"/>
  <c r="GV412" i="4"/>
  <c r="AE412" i="4"/>
  <c r="AG411" i="4"/>
  <c r="AE411" i="4"/>
  <c r="AW411" i="4"/>
  <c r="HD411" i="4"/>
  <c r="HD409" i="4"/>
  <c r="AG412" i="4"/>
  <c r="AW408" i="4"/>
  <c r="AD408" i="4"/>
  <c r="GZ413" i="4"/>
  <c r="GZ389" i="4"/>
  <c r="AG409" i="4"/>
  <c r="AE409" i="4"/>
  <c r="AW409" i="4"/>
  <c r="AG367" i="4"/>
  <c r="AE367" i="4"/>
  <c r="AW367" i="4"/>
  <c r="AG379" i="4"/>
  <c r="AE379" i="4"/>
  <c r="AG400" i="4"/>
  <c r="AE400" i="4"/>
  <c r="AW400" i="4"/>
  <c r="AG385" i="4"/>
  <c r="AE385" i="4"/>
  <c r="AY393" i="4"/>
  <c r="AD393" i="4"/>
  <c r="AW393" i="4" s="1"/>
  <c r="AG371" i="4"/>
  <c r="AE371" i="4"/>
  <c r="AY371" i="4"/>
  <c r="AG394" i="4"/>
  <c r="AE394" i="4"/>
  <c r="AU394" i="4"/>
  <c r="GX384" i="4"/>
  <c r="HF355" i="4"/>
  <c r="HF405" i="4"/>
  <c r="HF398" i="4"/>
  <c r="HF368" i="4"/>
  <c r="HF382" i="4"/>
  <c r="HF390" i="4"/>
  <c r="HF380" i="4"/>
  <c r="HF406" i="4"/>
  <c r="HF387" i="4"/>
  <c r="HF366" i="4"/>
  <c r="HF399" i="4"/>
  <c r="HF372" i="4"/>
  <c r="HF385" i="4"/>
  <c r="HF378" i="4"/>
  <c r="GX401" i="4"/>
  <c r="GV407" i="4"/>
  <c r="AG377" i="4"/>
  <c r="AE377" i="4"/>
  <c r="AG378" i="4"/>
  <c r="AE378" i="4"/>
  <c r="AG374" i="4"/>
  <c r="AE374" i="4"/>
  <c r="AW374" i="4"/>
  <c r="AG376" i="4"/>
  <c r="AE376" i="4"/>
  <c r="AW383" i="4"/>
  <c r="AD383" i="4"/>
  <c r="AG389" i="4"/>
  <c r="AE389" i="4"/>
  <c r="AY389" i="4"/>
  <c r="AG390" i="4"/>
  <c r="AE390" i="4"/>
  <c r="AG396" i="4"/>
  <c r="AE396" i="4"/>
  <c r="AW396" i="4"/>
  <c r="AG391" i="4"/>
  <c r="AE391" i="4"/>
  <c r="AW391" i="4"/>
  <c r="AG392" i="4"/>
  <c r="AE392" i="4"/>
  <c r="AW392" i="4"/>
  <c r="AG397" i="4"/>
  <c r="AE397" i="4"/>
  <c r="AU397" i="4"/>
  <c r="GX394" i="4"/>
  <c r="GV363" i="4"/>
  <c r="GV396" i="4"/>
  <c r="HD358" i="4"/>
  <c r="HD374" i="4"/>
  <c r="HD402" i="4"/>
  <c r="HD392" i="4"/>
  <c r="HD391" i="4"/>
  <c r="HD367" i="4"/>
  <c r="GV400" i="4"/>
  <c r="AG372" i="4"/>
  <c r="AE372" i="4"/>
  <c r="AU372" i="4"/>
  <c r="AG380" i="4"/>
  <c r="AE380" i="4"/>
  <c r="AU380" i="4"/>
  <c r="AG373" i="4"/>
  <c r="AE373" i="4"/>
  <c r="AG375" i="4"/>
  <c r="AE375" i="4"/>
  <c r="AG366" i="4"/>
  <c r="AE366" i="4"/>
  <c r="AW395" i="4"/>
  <c r="AD395" i="4"/>
  <c r="AY395" i="4" s="1"/>
  <c r="AW370" i="4"/>
  <c r="AD370" i="4"/>
  <c r="AW404" i="4"/>
  <c r="AD404" i="4"/>
  <c r="AW401" i="4"/>
  <c r="AD401" i="4"/>
  <c r="AW399" i="4"/>
  <c r="AD399" i="4"/>
  <c r="AW382" i="4"/>
  <c r="AD382" i="4"/>
  <c r="AW386" i="4"/>
  <c r="AD386" i="4"/>
  <c r="AY386" i="4" s="1"/>
  <c r="AW387" i="4"/>
  <c r="AD387" i="4"/>
  <c r="HH371" i="4"/>
  <c r="HF397" i="4"/>
  <c r="AG403" i="4"/>
  <c r="AE403" i="4"/>
  <c r="AW403" i="4"/>
  <c r="AG398" i="4"/>
  <c r="AE398" i="4"/>
  <c r="AU398" i="4"/>
  <c r="AG381" i="4"/>
  <c r="AE381" i="4"/>
  <c r="AG388" i="4"/>
  <c r="AE388" i="4"/>
  <c r="AW384" i="4"/>
  <c r="AD384" i="4"/>
  <c r="AG402" i="4"/>
  <c r="AE402" i="4"/>
  <c r="AW402" i="4"/>
  <c r="AW369" i="4"/>
  <c r="AD369" i="4"/>
  <c r="AY369" i="4" s="1"/>
  <c r="AG368" i="4"/>
  <c r="AE368" i="4"/>
  <c r="AU368" i="4"/>
  <c r="GZ361" i="4"/>
  <c r="AF7" i="4"/>
  <c r="GX383" i="4"/>
  <c r="HF381" i="4"/>
  <c r="AG407" i="4"/>
  <c r="AE407" i="4"/>
  <c r="AW407" i="4"/>
  <c r="AG406" i="4"/>
  <c r="AE406" i="4"/>
  <c r="AU406" i="4"/>
  <c r="AW405" i="4"/>
  <c r="AD405" i="4"/>
  <c r="AD353" i="4"/>
  <c r="AW353" i="4" s="1"/>
  <c r="AW354" i="4"/>
  <c r="AD354" i="4"/>
  <c r="GX364" i="4"/>
  <c r="GV362" i="4"/>
  <c r="AG356" i="4"/>
  <c r="AE356" i="4"/>
  <c r="AU356" i="4"/>
  <c r="AG360" i="4"/>
  <c r="AE360" i="4"/>
  <c r="AD363" i="4"/>
  <c r="AW363" i="4" s="1"/>
  <c r="GX359" i="4"/>
  <c r="AF12" i="4"/>
  <c r="AG352" i="4"/>
  <c r="AE352" i="4"/>
  <c r="AY352" i="4"/>
  <c r="AG359" i="4"/>
  <c r="AE359" i="4"/>
  <c r="AU359" i="4"/>
  <c r="AU6" i="4"/>
  <c r="BA6" i="4"/>
  <c r="AF6" i="4"/>
  <c r="AW355" i="4"/>
  <c r="AD355" i="4"/>
  <c r="GV357" i="4"/>
  <c r="BA7" i="4"/>
  <c r="AG361" i="4"/>
  <c r="AE361" i="4"/>
  <c r="AG350" i="4"/>
  <c r="AE350" i="4"/>
  <c r="AY350" i="4"/>
  <c r="AG351" i="4"/>
  <c r="AE351" i="4"/>
  <c r="AG362" i="4"/>
  <c r="AE362" i="4"/>
  <c r="AW362" i="4"/>
  <c r="AG364" i="4"/>
  <c r="AE364" i="4"/>
  <c r="AU364" i="4"/>
  <c r="AD349" i="4"/>
  <c r="AG357" i="4"/>
  <c r="AE357" i="4"/>
  <c r="AW357" i="4"/>
  <c r="AG365" i="4"/>
  <c r="AE365" i="4"/>
  <c r="GX356" i="4"/>
  <c r="AG358" i="4"/>
  <c r="AE358" i="4"/>
  <c r="HH350" i="4"/>
  <c r="GV349" i="4"/>
  <c r="GZ352" i="4"/>
  <c r="GX351" i="4"/>
  <c r="GV353" i="4"/>
  <c r="AG204" i="4"/>
  <c r="AE204" i="4"/>
  <c r="AG83" i="4"/>
  <c r="AE83" i="4"/>
  <c r="AG231" i="4"/>
  <c r="AE231" i="4"/>
  <c r="AG256" i="4"/>
  <c r="AE256" i="4"/>
  <c r="AG125" i="4"/>
  <c r="AE125" i="4"/>
  <c r="AG138" i="4"/>
  <c r="AE138" i="4"/>
  <c r="AG51" i="4"/>
  <c r="AE51" i="4"/>
  <c r="AG159" i="4"/>
  <c r="AE159" i="4"/>
  <c r="AG315" i="4"/>
  <c r="AE315" i="4"/>
  <c r="AG284" i="4"/>
  <c r="AE284" i="4"/>
  <c r="AG222" i="4"/>
  <c r="AE222" i="4"/>
  <c r="AG220" i="4"/>
  <c r="AE220" i="4"/>
  <c r="AG305" i="4"/>
  <c r="AE305" i="4"/>
  <c r="AG7" i="4"/>
  <c r="AE7" i="4"/>
  <c r="AG57" i="4"/>
  <c r="AE57" i="4"/>
  <c r="AG137" i="4"/>
  <c r="AE137" i="4"/>
  <c r="AG212" i="4"/>
  <c r="AE212" i="4"/>
  <c r="AG157" i="4"/>
  <c r="AE157" i="4"/>
  <c r="AG132" i="4"/>
  <c r="AE132" i="4"/>
  <c r="AG200" i="4"/>
  <c r="AE200" i="4"/>
  <c r="AG322" i="4"/>
  <c r="AE322" i="4"/>
  <c r="AG317" i="4"/>
  <c r="AE317" i="4"/>
  <c r="AG255" i="4"/>
  <c r="AE255" i="4"/>
  <c r="AG43" i="4"/>
  <c r="AE43" i="4"/>
  <c r="AG67" i="4"/>
  <c r="AE67" i="4"/>
  <c r="AG237" i="4"/>
  <c r="AE237" i="4"/>
  <c r="AG241" i="4"/>
  <c r="AE241" i="4"/>
  <c r="AG337" i="4"/>
  <c r="AE337" i="4"/>
  <c r="AG310" i="4"/>
  <c r="AE310" i="4"/>
  <c r="AG303" i="4"/>
  <c r="AE303" i="4"/>
  <c r="AG347" i="4"/>
  <c r="AE347" i="4"/>
  <c r="AG348" i="4"/>
  <c r="AE348" i="4"/>
  <c r="AU348" i="4"/>
  <c r="AG92" i="4"/>
  <c r="AE92" i="4"/>
  <c r="AG293" i="4"/>
  <c r="AE293" i="4"/>
  <c r="AG115" i="4"/>
  <c r="AE115" i="4"/>
  <c r="AG217" i="4"/>
  <c r="AE217" i="4"/>
  <c r="AG20" i="4"/>
  <c r="AE20" i="4"/>
  <c r="AG107" i="4"/>
  <c r="AE107" i="4"/>
  <c r="AG251" i="4"/>
  <c r="AE251" i="4"/>
  <c r="AG242" i="4"/>
  <c r="AE242" i="4"/>
  <c r="AG233" i="4"/>
  <c r="AE233" i="4"/>
  <c r="AG224" i="4"/>
  <c r="AE224" i="4"/>
  <c r="AG345" i="4"/>
  <c r="AE345" i="4"/>
  <c r="AG6" i="4"/>
  <c r="AE6" i="4"/>
  <c r="AG59" i="4"/>
  <c r="AE59" i="4"/>
  <c r="AG69" i="4"/>
  <c r="AE69" i="4"/>
  <c r="AG26" i="4"/>
  <c r="AE26" i="4"/>
  <c r="AG199" i="4"/>
  <c r="AE199" i="4"/>
  <c r="AG141" i="4"/>
  <c r="AE141" i="4"/>
  <c r="AG70" i="4"/>
  <c r="AE70" i="4"/>
  <c r="AG270" i="4"/>
  <c r="AE270" i="4"/>
  <c r="AG144" i="4"/>
  <c r="AE144" i="4"/>
  <c r="AG267" i="4"/>
  <c r="AE267" i="4"/>
  <c r="AG146" i="4"/>
  <c r="AE146" i="4"/>
  <c r="AG339" i="4"/>
  <c r="AE339" i="4"/>
  <c r="AG323" i="4"/>
  <c r="AE323" i="4"/>
  <c r="HF335" i="4"/>
  <c r="HF348" i="4"/>
  <c r="AG245" i="4"/>
  <c r="AE245" i="4"/>
  <c r="AG346" i="4"/>
  <c r="AE346" i="4"/>
  <c r="AG182" i="4"/>
  <c r="AE182" i="4"/>
  <c r="AG166" i="4"/>
  <c r="AE166" i="4"/>
  <c r="AG158" i="4"/>
  <c r="AE158" i="4"/>
  <c r="AG185" i="4"/>
  <c r="AE185" i="4"/>
  <c r="AG225" i="4"/>
  <c r="AE225" i="4"/>
  <c r="AG72" i="4"/>
  <c r="AE72" i="4"/>
  <c r="AG112" i="4"/>
  <c r="AE112" i="4"/>
  <c r="AG154" i="4"/>
  <c r="AE154" i="4"/>
  <c r="AG122" i="4"/>
  <c r="AE122" i="4"/>
  <c r="AG248" i="4"/>
  <c r="AE248" i="4"/>
  <c r="AG189" i="4"/>
  <c r="AE189" i="4"/>
  <c r="AG177" i="4"/>
  <c r="AE177" i="4"/>
  <c r="AG288" i="4"/>
  <c r="AE288" i="4"/>
  <c r="AG281" i="4"/>
  <c r="AE281" i="4"/>
  <c r="AG333" i="4"/>
  <c r="AE333" i="4"/>
  <c r="AG10" i="4"/>
  <c r="AE10" i="4"/>
  <c r="AG172" i="4"/>
  <c r="AE172" i="4"/>
  <c r="AG307" i="4"/>
  <c r="AE307" i="4"/>
  <c r="AG207" i="4"/>
  <c r="AE207" i="4"/>
  <c r="AG73" i="4"/>
  <c r="AE73" i="4"/>
  <c r="AG167" i="4"/>
  <c r="AE167" i="4"/>
  <c r="AG184" i="4"/>
  <c r="AE184" i="4"/>
  <c r="AG133" i="4"/>
  <c r="AE133" i="4"/>
  <c r="AG48" i="4"/>
  <c r="AE48" i="4"/>
  <c r="AG117" i="4"/>
  <c r="AE117" i="4"/>
  <c r="AG221" i="4"/>
  <c r="AE221" i="4"/>
  <c r="AG275" i="4"/>
  <c r="AE275" i="4"/>
  <c r="AG104" i="4"/>
  <c r="AE104" i="4"/>
  <c r="AG302" i="4"/>
  <c r="AE302" i="4"/>
  <c r="AG259" i="4"/>
  <c r="AE259" i="4"/>
  <c r="AG214" i="4"/>
  <c r="AE214" i="4"/>
  <c r="AG143" i="4"/>
  <c r="AE143" i="4"/>
  <c r="AG81" i="4"/>
  <c r="AE81" i="4"/>
  <c r="AG127" i="4"/>
  <c r="AE127" i="4"/>
  <c r="AG164" i="4"/>
  <c r="AE164" i="4"/>
  <c r="AG301" i="4"/>
  <c r="AE301" i="4"/>
  <c r="AG165" i="4"/>
  <c r="AE165" i="4"/>
  <c r="AG331" i="4"/>
  <c r="AE331" i="4"/>
  <c r="AG285" i="4"/>
  <c r="AE285" i="4"/>
  <c r="AG312" i="4"/>
  <c r="AE312" i="4"/>
  <c r="AG173" i="4"/>
  <c r="AE173" i="4"/>
  <c r="AG61" i="4"/>
  <c r="AE61" i="4"/>
  <c r="AG139" i="4"/>
  <c r="AE139" i="4"/>
  <c r="AG94" i="4"/>
  <c r="AE94" i="4"/>
  <c r="AG188" i="4"/>
  <c r="AE188" i="4"/>
  <c r="AG228" i="4"/>
  <c r="AE228" i="4"/>
  <c r="AG289" i="4"/>
  <c r="AE289" i="4"/>
  <c r="AG96" i="4"/>
  <c r="AE96" i="4"/>
  <c r="AG276" i="4"/>
  <c r="AE276" i="4"/>
  <c r="AG262" i="4"/>
  <c r="AE262" i="4"/>
  <c r="AG110" i="4"/>
  <c r="AE110" i="4"/>
  <c r="AG304" i="4"/>
  <c r="AE304" i="4"/>
  <c r="AG325" i="4"/>
  <c r="AE325" i="4"/>
  <c r="AG234" i="4"/>
  <c r="AE234" i="4"/>
  <c r="AG50" i="4"/>
  <c r="AE50" i="4"/>
  <c r="AG68" i="4"/>
  <c r="AE68" i="4"/>
  <c r="AG128" i="4"/>
  <c r="AE128" i="4"/>
  <c r="AG71" i="4"/>
  <c r="AE71" i="4"/>
  <c r="AG27" i="4"/>
  <c r="AE27" i="4"/>
  <c r="AG86" i="4"/>
  <c r="AE86" i="4"/>
  <c r="AG39" i="4"/>
  <c r="AE39" i="4"/>
  <c r="AG119" i="4"/>
  <c r="AE119" i="4"/>
  <c r="AG260" i="4"/>
  <c r="AE260" i="4"/>
  <c r="AG171" i="4"/>
  <c r="AE171" i="4"/>
  <c r="AG40" i="4"/>
  <c r="AE40" i="4"/>
  <c r="AG63" i="4"/>
  <c r="AE63" i="4"/>
  <c r="AG308" i="4"/>
  <c r="AE308" i="4"/>
  <c r="AG95" i="4"/>
  <c r="AE95" i="4"/>
  <c r="AG230" i="4"/>
  <c r="AE230" i="4"/>
  <c r="AG121" i="4"/>
  <c r="AE121" i="4"/>
  <c r="AG227" i="4"/>
  <c r="AE227" i="4"/>
  <c r="AG145" i="4"/>
  <c r="AE145" i="4"/>
  <c r="AG269" i="4"/>
  <c r="AE269" i="4"/>
  <c r="AG76" i="4"/>
  <c r="AE76" i="4"/>
  <c r="AG175" i="4"/>
  <c r="AE175" i="4"/>
  <c r="AG223" i="4"/>
  <c r="AE223" i="4"/>
  <c r="AG161" i="4"/>
  <c r="AE161" i="4"/>
  <c r="AG105" i="4"/>
  <c r="AE105" i="4"/>
  <c r="AG327" i="4"/>
  <c r="AE327" i="4"/>
  <c r="AG283" i="4"/>
  <c r="AE283" i="4"/>
  <c r="AG55" i="4"/>
  <c r="AE55" i="4"/>
  <c r="AG170" i="4"/>
  <c r="AE170" i="4"/>
  <c r="AG249" i="4"/>
  <c r="AE249" i="4"/>
  <c r="AG46" i="4"/>
  <c r="AE46" i="4"/>
  <c r="AG131" i="4"/>
  <c r="AE131" i="4"/>
  <c r="AG272" i="4"/>
  <c r="AE272" i="4"/>
  <c r="AG215" i="4"/>
  <c r="AE215" i="4"/>
  <c r="AG168" i="4"/>
  <c r="AE168" i="4"/>
  <c r="AG277" i="4"/>
  <c r="AE277" i="4"/>
  <c r="AG195" i="4"/>
  <c r="AE195" i="4"/>
  <c r="AG129" i="4"/>
  <c r="AE129" i="4"/>
  <c r="AG311" i="4"/>
  <c r="AE311" i="4"/>
  <c r="AG103" i="4"/>
  <c r="AE103" i="4"/>
  <c r="AG78" i="4"/>
  <c r="AE78" i="4"/>
  <c r="AG246" i="4"/>
  <c r="AE246" i="4"/>
  <c r="AG340" i="4"/>
  <c r="AE340" i="4"/>
  <c r="AG334" i="4"/>
  <c r="AE334" i="4"/>
  <c r="AG341" i="4"/>
  <c r="AE341" i="4"/>
  <c r="AG338" i="4"/>
  <c r="AE338" i="4"/>
  <c r="AG181" i="4"/>
  <c r="AE181" i="4"/>
  <c r="AG335" i="4"/>
  <c r="AE335" i="4"/>
  <c r="AG140" i="4"/>
  <c r="AE140" i="4"/>
  <c r="AG89" i="4"/>
  <c r="AE89" i="4"/>
  <c r="AG54" i="4"/>
  <c r="AE54" i="4"/>
  <c r="AG336" i="4"/>
  <c r="AE336" i="4"/>
  <c r="AG91" i="4"/>
  <c r="AE91" i="4"/>
  <c r="AG309" i="4"/>
  <c r="AE309" i="4"/>
  <c r="AG174" i="4"/>
  <c r="AE174" i="4"/>
  <c r="AG160" i="4"/>
  <c r="AE160" i="4"/>
  <c r="AG191" i="4"/>
  <c r="AE191" i="4"/>
  <c r="AG326" i="4"/>
  <c r="AE326" i="4"/>
  <c r="AG332" i="4"/>
  <c r="AE332" i="4"/>
  <c r="AU15" i="4"/>
  <c r="AG15" i="4"/>
  <c r="AU28" i="4"/>
  <c r="AG28" i="4"/>
  <c r="AU33" i="4"/>
  <c r="AG33" i="4"/>
  <c r="AU65" i="4"/>
  <c r="AG65" i="4"/>
  <c r="AU22" i="4"/>
  <c r="AG22" i="4"/>
  <c r="AY16" i="4"/>
  <c r="AG16" i="4"/>
  <c r="AW279" i="4"/>
  <c r="AD279" i="4"/>
  <c r="AY279" i="4" s="1"/>
  <c r="AD274" i="4"/>
  <c r="AE274" i="4" s="1"/>
  <c r="AD126" i="4"/>
  <c r="AE126" i="4" s="1"/>
  <c r="AD169" i="4"/>
  <c r="AE169" i="4" s="1"/>
  <c r="AD299" i="4"/>
  <c r="AE299" i="4" s="1"/>
  <c r="AD253" i="4"/>
  <c r="AW280" i="4"/>
  <c r="AD280" i="4"/>
  <c r="AY280" i="4" s="1"/>
  <c r="AY84" i="4"/>
  <c r="AD84" i="4"/>
  <c r="AD147" i="4"/>
  <c r="AE147" i="4" s="1"/>
  <c r="AD254" i="4"/>
  <c r="AE254" i="4" s="1"/>
  <c r="AD208" i="4"/>
  <c r="AE208" i="4" s="1"/>
  <c r="AD313" i="4"/>
  <c r="AD88" i="4"/>
  <c r="AE88" i="4" s="1"/>
  <c r="AD290" i="4"/>
  <c r="AE290" i="4" s="1"/>
  <c r="AD229" i="4"/>
  <c r="AE229" i="4" s="1"/>
  <c r="AD324" i="4"/>
  <c r="AE324" i="4" s="1"/>
  <c r="AW202" i="4"/>
  <c r="AD202" i="4"/>
  <c r="AD178" i="4"/>
  <c r="AE178" i="4" s="1"/>
  <c r="AD192" i="4"/>
  <c r="AE192" i="4" s="1"/>
  <c r="AY47" i="4"/>
  <c r="AD47" i="4"/>
  <c r="AU47" i="4" s="1"/>
  <c r="AD101" i="4"/>
  <c r="AE101" i="4" s="1"/>
  <c r="AD211" i="4"/>
  <c r="AE211" i="4" s="1"/>
  <c r="AD106" i="4"/>
  <c r="AE106" i="4" s="1"/>
  <c r="AD49" i="4"/>
  <c r="AE49" i="4" s="1"/>
  <c r="AD118" i="4"/>
  <c r="AD85" i="4"/>
  <c r="AE85" i="4" s="1"/>
  <c r="AD344" i="4"/>
  <c r="AE344" i="4" s="1"/>
  <c r="AW263" i="4"/>
  <c r="AD263" i="4"/>
  <c r="AD287" i="4"/>
  <c r="AE287" i="4" s="1"/>
  <c r="AD243" i="4"/>
  <c r="AD116" i="4"/>
  <c r="AE116" i="4" s="1"/>
  <c r="AD216" i="4"/>
  <c r="AE216" i="4" s="1"/>
  <c r="AD24" i="4"/>
  <c r="AE24" i="4" s="1"/>
  <c r="AW176" i="4"/>
  <c r="AD176" i="4"/>
  <c r="AD37" i="4"/>
  <c r="AE37" i="4" s="1"/>
  <c r="AW328" i="4"/>
  <c r="AD328" i="4"/>
  <c r="AY328" i="4" s="1"/>
  <c r="AD130" i="4"/>
  <c r="AE130" i="4" s="1"/>
  <c r="AD135" i="4"/>
  <c r="AE135" i="4" s="1"/>
  <c r="AD64" i="4"/>
  <c r="AE64" i="4" s="1"/>
  <c r="AD232" i="4"/>
  <c r="AE232" i="4" s="1"/>
  <c r="AU321" i="4"/>
  <c r="AD321" i="4"/>
  <c r="AW321" i="4" s="1"/>
  <c r="AD150" i="4"/>
  <c r="AE150" i="4" s="1"/>
  <c r="AD93" i="4"/>
  <c r="AE93" i="4" s="1"/>
  <c r="AD282" i="4"/>
  <c r="AE282" i="4" s="1"/>
  <c r="AD329" i="4"/>
  <c r="AE329" i="4" s="1"/>
  <c r="AD198" i="4"/>
  <c r="AE198" i="4" s="1"/>
  <c r="AW148" i="4"/>
  <c r="AD148" i="4"/>
  <c r="AY148" i="4" s="1"/>
  <c r="AD240" i="4"/>
  <c r="AE240" i="4" s="1"/>
  <c r="AD153" i="4"/>
  <c r="AW183" i="4"/>
  <c r="AD183" i="4"/>
  <c r="AY183" i="4" s="1"/>
  <c r="AD58" i="4"/>
  <c r="AE58" i="4" s="1"/>
  <c r="AW278" i="4"/>
  <c r="AD278" i="4"/>
  <c r="AY278" i="4" s="1"/>
  <c r="AD108" i="4"/>
  <c r="AE108" i="4" s="1"/>
  <c r="AW306" i="4"/>
  <c r="AD306" i="4"/>
  <c r="AY306" i="4" s="1"/>
  <c r="AW149" i="4"/>
  <c r="AD149" i="4"/>
  <c r="AW156" i="4"/>
  <c r="AD156" i="4"/>
  <c r="AY156" i="4" s="1"/>
  <c r="AW99" i="4"/>
  <c r="AD99" i="4"/>
  <c r="AY99" i="4" s="1"/>
  <c r="AD66" i="4"/>
  <c r="AE66" i="4" s="1"/>
  <c r="AD203" i="4"/>
  <c r="AE203" i="4" s="1"/>
  <c r="AY187" i="4"/>
  <c r="AD187" i="4"/>
  <c r="AD318" i="4"/>
  <c r="AE318" i="4" s="1"/>
  <c r="AD244" i="4"/>
  <c r="AE244" i="4" s="1"/>
  <c r="AD210" i="4"/>
  <c r="AE210" i="4" s="1"/>
  <c r="AD236" i="4"/>
  <c r="AE236" i="4" s="1"/>
  <c r="AD264" i="4"/>
  <c r="AE264" i="4" s="1"/>
  <c r="AD151" i="4"/>
  <c r="AD295" i="4"/>
  <c r="AD124" i="4"/>
  <c r="AE124" i="4" s="1"/>
  <c r="AD186" i="4"/>
  <c r="AE186" i="4" s="1"/>
  <c r="AD77" i="4"/>
  <c r="AE77" i="4" s="1"/>
  <c r="AW238" i="4"/>
  <c r="AD238" i="4"/>
  <c r="AD316" i="4"/>
  <c r="AD134" i="4"/>
  <c r="AE134" i="4" s="1"/>
  <c r="AD271" i="4"/>
  <c r="AE271" i="4" s="1"/>
  <c r="AD206" i="4"/>
  <c r="AE206" i="4" s="1"/>
  <c r="AD291" i="4"/>
  <c r="AE291" i="4" s="1"/>
  <c r="AD196" i="4"/>
  <c r="AE196" i="4" s="1"/>
  <c r="AD209" i="4"/>
  <c r="AD297" i="4"/>
  <c r="AE297" i="4" s="1"/>
  <c r="AW100" i="4"/>
  <c r="AD100" i="4"/>
  <c r="AD87" i="4"/>
  <c r="AE87" i="4" s="1"/>
  <c r="AD136" i="4"/>
  <c r="AE136" i="4" s="1"/>
  <c r="AD261" i="4"/>
  <c r="AE261" i="4" s="1"/>
  <c r="AD218" i="4"/>
  <c r="AD38" i="4"/>
  <c r="AY343" i="4"/>
  <c r="AD343" i="4"/>
  <c r="AD201" i="4"/>
  <c r="AE201" i="4" s="1"/>
  <c r="AD298" i="4"/>
  <c r="AE298" i="4" s="1"/>
  <c r="AD286" i="4"/>
  <c r="AE286" i="4" s="1"/>
  <c r="AD142" i="4"/>
  <c r="AE142" i="4" s="1"/>
  <c r="AD296" i="4"/>
  <c r="AE296" i="4" s="1"/>
  <c r="AD205" i="4"/>
  <c r="AE205" i="4" s="1"/>
  <c r="AD193" i="4"/>
  <c r="AE193" i="4" s="1"/>
  <c r="AW257" i="4"/>
  <c r="AD257" i="4"/>
  <c r="AY257" i="4" s="1"/>
  <c r="AD60" i="4"/>
  <c r="AE60" i="4" s="1"/>
  <c r="AD74" i="4"/>
  <c r="AE74" i="4" s="1"/>
  <c r="AD247" i="4"/>
  <c r="AY162" i="4"/>
  <c r="AD162" i="4"/>
  <c r="AY155" i="4"/>
  <c r="AD155" i="4"/>
  <c r="AU155" i="4" s="1"/>
  <c r="AD111" i="4"/>
  <c r="AE111" i="4" s="1"/>
  <c r="AD250" i="4"/>
  <c r="AE250" i="4" s="1"/>
  <c r="AD97" i="4"/>
  <c r="AE97" i="4" s="1"/>
  <c r="AD266" i="4"/>
  <c r="AE266" i="4" s="1"/>
  <c r="AD342" i="4"/>
  <c r="AE342" i="4" s="1"/>
  <c r="AD197" i="4"/>
  <c r="AE197" i="4" s="1"/>
  <c r="AD226" i="4"/>
  <c r="AE226" i="4" s="1"/>
  <c r="AD319" i="4"/>
  <c r="AE319" i="4" s="1"/>
  <c r="AD123" i="4"/>
  <c r="AE123" i="4" s="1"/>
  <c r="AD294" i="4"/>
  <c r="AE294" i="4" s="1"/>
  <c r="AD98" i="4"/>
  <c r="AE98" i="4" s="1"/>
  <c r="AD252" i="4"/>
  <c r="AE252" i="4" s="1"/>
  <c r="AD82" i="4"/>
  <c r="AE82" i="4" s="1"/>
  <c r="AW268" i="4"/>
  <c r="AD268" i="4"/>
  <c r="AD300" i="4"/>
  <c r="AD80" i="4"/>
  <c r="AE80" i="4" s="1"/>
  <c r="AW213" i="4"/>
  <c r="AD213" i="4"/>
  <c r="AD292" i="4"/>
  <c r="AE292" i="4" s="1"/>
  <c r="AD235" i="4"/>
  <c r="AE235" i="4" s="1"/>
  <c r="AD179" i="4"/>
  <c r="AE179" i="4" s="1"/>
  <c r="AD314" i="4"/>
  <c r="AD273" i="4"/>
  <c r="AE273" i="4" s="1"/>
  <c r="AD53" i="4"/>
  <c r="AE53" i="4" s="1"/>
  <c r="AW219" i="4"/>
  <c r="AD219" i="4"/>
  <c r="AD194" i="4"/>
  <c r="AE194" i="4" s="1"/>
  <c r="AD45" i="4"/>
  <c r="AE45" i="4" s="1"/>
  <c r="AD190" i="4"/>
  <c r="AE190" i="4" s="1"/>
  <c r="AU75" i="4"/>
  <c r="AD75" i="4"/>
  <c r="AD113" i="4"/>
  <c r="AE113" i="4" s="1"/>
  <c r="AD258" i="4"/>
  <c r="AE258" i="4" s="1"/>
  <c r="AW330" i="4"/>
  <c r="AD330" i="4"/>
  <c r="AY330" i="4" s="1"/>
  <c r="AD79" i="4"/>
  <c r="AE79" i="4" s="1"/>
  <c r="AY163" i="4"/>
  <c r="AD163" i="4"/>
  <c r="AD239" i="4"/>
  <c r="AE239" i="4" s="1"/>
  <c r="AD56" i="4"/>
  <c r="AE56" i="4" s="1"/>
  <c r="AD320" i="4"/>
  <c r="AE320" i="4" s="1"/>
  <c r="AD44" i="4"/>
  <c r="AE44" i="4" s="1"/>
  <c r="AD52" i="4"/>
  <c r="AE52" i="4" s="1"/>
  <c r="AD25" i="4"/>
  <c r="AD120" i="4"/>
  <c r="AE120" i="4" s="1"/>
  <c r="AW265" i="4"/>
  <c r="AD265" i="4"/>
  <c r="AY265" i="4" s="1"/>
  <c r="AW102" i="4"/>
  <c r="AD102" i="4"/>
  <c r="AY102" i="4" s="1"/>
  <c r="AD109" i="4"/>
  <c r="AE109" i="4" s="1"/>
  <c r="AY351" i="4"/>
  <c r="AU351" i="4"/>
  <c r="HD345" i="4"/>
  <c r="GV342" i="4"/>
  <c r="HH346" i="4"/>
  <c r="AW345" i="4"/>
  <c r="AY346" i="4"/>
  <c r="HF344" i="4"/>
  <c r="GX337" i="4"/>
  <c r="AY341" i="4"/>
  <c r="AW338" i="4"/>
  <c r="GX340" i="4"/>
  <c r="HD338" i="4"/>
  <c r="HH341" i="4"/>
  <c r="GX339" i="4"/>
  <c r="AY334" i="4"/>
  <c r="AW333" i="4"/>
  <c r="HD148" i="4"/>
  <c r="HD333" i="4"/>
  <c r="GZ324" i="4"/>
  <c r="HH334" i="4"/>
  <c r="GX329" i="4"/>
  <c r="GX323" i="4"/>
  <c r="HF310" i="4"/>
  <c r="HF325" i="4"/>
  <c r="HF332" i="4"/>
  <c r="HF327" i="4"/>
  <c r="GV320" i="4"/>
  <c r="AY312" i="4"/>
  <c r="AU360" i="4"/>
  <c r="AW360" i="4"/>
  <c r="AY340" i="4"/>
  <c r="AU340" i="4"/>
  <c r="AW335" i="4"/>
  <c r="AU335" i="4"/>
  <c r="GX331" i="4"/>
  <c r="GX326" i="4"/>
  <c r="GV313" i="4"/>
  <c r="GZ319" i="4"/>
  <c r="GX307" i="4"/>
  <c r="GZ318" i="4"/>
  <c r="HH312" i="4"/>
  <c r="GZ314" i="4"/>
  <c r="GZ316" i="4"/>
  <c r="AB11" i="15"/>
  <c r="AH11" i="15" s="1"/>
  <c r="AY326" i="4"/>
  <c r="AU326" i="4"/>
  <c r="AY325" i="4"/>
  <c r="AU325" i="4"/>
  <c r="AY323" i="4"/>
  <c r="AU323" i="4"/>
  <c r="HH278" i="4"/>
  <c r="AY283" i="4"/>
  <c r="HH302" i="4"/>
  <c r="D560" i="11"/>
  <c r="AY331" i="4"/>
  <c r="AU331" i="4"/>
  <c r="GZ286" i="4"/>
  <c r="GX290" i="4"/>
  <c r="GV281" i="4"/>
  <c r="HH283" i="4"/>
  <c r="HH287" i="4"/>
  <c r="HH282" i="4"/>
  <c r="GZ296" i="4"/>
  <c r="HF260" i="4"/>
  <c r="HF303" i="4"/>
  <c r="GZ289" i="4"/>
  <c r="GZ291" i="4"/>
  <c r="GX288" i="4"/>
  <c r="GV294" i="4"/>
  <c r="AY307" i="4"/>
  <c r="AU307" i="4"/>
  <c r="GX297" i="4"/>
  <c r="GZ295" i="4"/>
  <c r="AW293" i="4"/>
  <c r="AU293" i="4"/>
  <c r="GZ300" i="4"/>
  <c r="GZ298" i="4"/>
  <c r="GX292" i="4"/>
  <c r="GV299" i="4"/>
  <c r="AB9" i="15"/>
  <c r="AH9" i="15" s="1"/>
  <c r="GV277" i="4"/>
  <c r="AW288" i="4"/>
  <c r="AU288" i="4"/>
  <c r="AU281" i="4"/>
  <c r="AW281" i="4"/>
  <c r="GV262" i="4"/>
  <c r="GZ258" i="4"/>
  <c r="GZ259" i="4"/>
  <c r="GZ264" i="4"/>
  <c r="GZ271" i="4"/>
  <c r="GZ275" i="4"/>
  <c r="GZ266" i="4"/>
  <c r="GZ273" i="4"/>
  <c r="GZ274" i="4"/>
  <c r="HH370" i="4"/>
  <c r="HH276" i="4"/>
  <c r="GX270" i="4"/>
  <c r="GX255" i="4"/>
  <c r="AU289" i="4"/>
  <c r="AY289" i="4"/>
  <c r="GZ254" i="4"/>
  <c r="AY245" i="4"/>
  <c r="AY270" i="4"/>
  <c r="AU270" i="4"/>
  <c r="AW260" i="4"/>
  <c r="AU260" i="4"/>
  <c r="AU259" i="4"/>
  <c r="AY259" i="4"/>
  <c r="AY255" i="4"/>
  <c r="AU255" i="4"/>
  <c r="HH183" i="4"/>
  <c r="GV244" i="4"/>
  <c r="GX243" i="4"/>
  <c r="HH234" i="4"/>
  <c r="HH229" i="4"/>
  <c r="GZ252" i="4"/>
  <c r="HF194" i="4"/>
  <c r="HF230" i="4"/>
  <c r="HH240" i="4"/>
  <c r="HH245" i="4"/>
  <c r="GX246" i="4"/>
  <c r="GX241" i="4"/>
  <c r="GX242" i="4"/>
  <c r="GZ249" i="4"/>
  <c r="GZ251" i="4"/>
  <c r="GZ239" i="4"/>
  <c r="GZ247" i="4"/>
  <c r="AU251" i="4"/>
  <c r="AY251" i="4"/>
  <c r="AU249" i="4"/>
  <c r="AY249" i="4"/>
  <c r="AY246" i="4"/>
  <c r="AU246" i="4"/>
  <c r="AY242" i="4"/>
  <c r="AU242" i="4"/>
  <c r="GX191" i="4"/>
  <c r="GZ180" i="4"/>
  <c r="GZ198" i="4"/>
  <c r="GX181" i="4"/>
  <c r="GZ182" i="4"/>
  <c r="GV204" i="4"/>
  <c r="GZ203" i="4"/>
  <c r="GX200" i="4"/>
  <c r="GZ201" i="4"/>
  <c r="HH148" i="4"/>
  <c r="HH190" i="4"/>
  <c r="HH197" i="4"/>
  <c r="GX186" i="4"/>
  <c r="AW241" i="4"/>
  <c r="AU241" i="4"/>
  <c r="AW234" i="4"/>
  <c r="AY234" i="4"/>
  <c r="AW230" i="4"/>
  <c r="AU230" i="4"/>
  <c r="GX216" i="4"/>
  <c r="GX225" i="4"/>
  <c r="GZ218" i="4"/>
  <c r="GZ205" i="4"/>
  <c r="GZ211" i="4"/>
  <c r="GZ226" i="4"/>
  <c r="GZ192" i="4"/>
  <c r="GZ193" i="4"/>
  <c r="GZ166" i="4"/>
  <c r="HH156" i="4"/>
  <c r="GZ167" i="4"/>
  <c r="GX154" i="4"/>
  <c r="GX164" i="4"/>
  <c r="GZ172" i="4"/>
  <c r="GX159" i="4"/>
  <c r="GX158" i="4"/>
  <c r="GZ178" i="4"/>
  <c r="GX153" i="4"/>
  <c r="GX171" i="4"/>
  <c r="AW225" i="4"/>
  <c r="AU225" i="4"/>
  <c r="AW200" i="4"/>
  <c r="AU200" i="4"/>
  <c r="AY191" i="4"/>
  <c r="AU191" i="4"/>
  <c r="GX127" i="4"/>
  <c r="GZ147" i="4"/>
  <c r="GZ139" i="4"/>
  <c r="GX123" i="4"/>
  <c r="AU172" i="4"/>
  <c r="AY172" i="4"/>
  <c r="AW171" i="4"/>
  <c r="AU171" i="4"/>
  <c r="AU166" i="4"/>
  <c r="AY166" i="4"/>
  <c r="AW154" i="4"/>
  <c r="AU154" i="4"/>
  <c r="GX130" i="4"/>
  <c r="GZ151" i="4"/>
  <c r="GX132" i="4"/>
  <c r="GV141" i="4"/>
  <c r="GV125" i="4"/>
  <c r="GZ124" i="4"/>
  <c r="GZ140" i="4"/>
  <c r="GZ138" i="4"/>
  <c r="GZ137" i="4"/>
  <c r="GX122" i="4"/>
  <c r="GX136" i="4"/>
  <c r="GZ131" i="4"/>
  <c r="GX134" i="4"/>
  <c r="GZ150" i="4"/>
  <c r="GZ135" i="4"/>
  <c r="GZ121" i="4"/>
  <c r="GZ142" i="4"/>
  <c r="GZ145" i="4"/>
  <c r="GZ146" i="4"/>
  <c r="AY161" i="4"/>
  <c r="AU161" i="4"/>
  <c r="AW181" i="4"/>
  <c r="AU181" i="4"/>
  <c r="AU168" i="4"/>
  <c r="AY168" i="4"/>
  <c r="AU167" i="4"/>
  <c r="AY167" i="4"/>
  <c r="AW164" i="4"/>
  <c r="AU164" i="4"/>
  <c r="AW159" i="4"/>
  <c r="AU159" i="4"/>
  <c r="AW158" i="4"/>
  <c r="AU158" i="4"/>
  <c r="AU157" i="4"/>
  <c r="AY157" i="4"/>
  <c r="AY128" i="4"/>
  <c r="AU128" i="4"/>
  <c r="AU141" i="4"/>
  <c r="AW141" i="4"/>
  <c r="AU140" i="4"/>
  <c r="AY140" i="4"/>
  <c r="AW139" i="4"/>
  <c r="AY139" i="4"/>
  <c r="AU138" i="4"/>
  <c r="AY138" i="4"/>
  <c r="AY132" i="4"/>
  <c r="AU132" i="4"/>
  <c r="G22" i="15"/>
  <c r="H22" i="15" s="1"/>
  <c r="GV107" i="4"/>
  <c r="GX113" i="4"/>
  <c r="GX112" i="4"/>
  <c r="GX118" i="4"/>
  <c r="GX119" i="4"/>
  <c r="AU131" i="4"/>
  <c r="AY131" i="4"/>
  <c r="AW127" i="4"/>
  <c r="AU127" i="4"/>
  <c r="AU125" i="4"/>
  <c r="AW125" i="4"/>
  <c r="AU121" i="4"/>
  <c r="AY121" i="4"/>
  <c r="AU107" i="4"/>
  <c r="AW107" i="4"/>
  <c r="AY119" i="4"/>
  <c r="AU119" i="4"/>
  <c r="L21" i="15"/>
  <c r="G21" i="15"/>
  <c r="L22" i="15"/>
  <c r="GZ101" i="4"/>
  <c r="GZ95" i="4"/>
  <c r="GX106" i="4"/>
  <c r="GX81" i="4"/>
  <c r="GX88" i="4"/>
  <c r="GZ86" i="4"/>
  <c r="GZ91" i="4"/>
  <c r="GZ85" i="4"/>
  <c r="GX93" i="4"/>
  <c r="AB6" i="15"/>
  <c r="AH6" i="15" s="1"/>
  <c r="AY112" i="4"/>
  <c r="AU112" i="4"/>
  <c r="AB16" i="15"/>
  <c r="AH16" i="15" s="1"/>
  <c r="GZ92" i="4"/>
  <c r="AU182" i="4"/>
  <c r="AY182" i="4"/>
  <c r="AU92" i="4"/>
  <c r="AY92" i="4"/>
  <c r="GV43" i="4"/>
  <c r="AU95" i="4"/>
  <c r="AY95" i="4"/>
  <c r="AU91" i="4"/>
  <c r="AY91" i="4"/>
  <c r="AU86" i="4"/>
  <c r="AY86" i="4"/>
  <c r="AY83" i="4"/>
  <c r="AU83" i="4"/>
  <c r="AW81" i="4"/>
  <c r="AU81" i="4"/>
  <c r="GZ74" i="4"/>
  <c r="GZ71" i="4"/>
  <c r="GX68" i="4"/>
  <c r="GX62" i="4"/>
  <c r="GX65" i="4"/>
  <c r="GX58" i="4"/>
  <c r="GX66" i="4"/>
  <c r="GX76" i="4"/>
  <c r="GX78" i="4"/>
  <c r="GZ70" i="4"/>
  <c r="GX60" i="4"/>
  <c r="GZ59" i="4"/>
  <c r="GX77" i="4"/>
  <c r="GX64" i="4"/>
  <c r="GZ45" i="4"/>
  <c r="AB7" i="15"/>
  <c r="AH7" i="15" s="1"/>
  <c r="GV51" i="4"/>
  <c r="GZ44" i="4"/>
  <c r="GZ56" i="4"/>
  <c r="AB13" i="15"/>
  <c r="AH13" i="15" s="1"/>
  <c r="GX49" i="4"/>
  <c r="GX55" i="4"/>
  <c r="GX48" i="4"/>
  <c r="GX47" i="4"/>
  <c r="GX54" i="4"/>
  <c r="GZ50" i="4"/>
  <c r="AY78" i="4"/>
  <c r="AU78" i="4"/>
  <c r="AY76" i="4"/>
  <c r="AU76" i="4"/>
  <c r="AB12" i="15"/>
  <c r="AH12" i="15" s="1"/>
  <c r="AU71" i="4"/>
  <c r="AY71" i="4"/>
  <c r="AU70" i="4"/>
  <c r="AY70" i="4"/>
  <c r="AU69" i="4"/>
  <c r="AY69" i="4"/>
  <c r="AW68" i="4"/>
  <c r="AU68" i="4"/>
  <c r="AU67" i="4"/>
  <c r="AY67" i="4"/>
  <c r="AW66" i="4"/>
  <c r="AY66" i="4"/>
  <c r="AU63" i="4"/>
  <c r="AY63" i="4"/>
  <c r="AW62" i="4"/>
  <c r="AU62" i="4"/>
  <c r="AW60" i="4"/>
  <c r="AY60" i="4"/>
  <c r="AU59" i="4"/>
  <c r="AY59" i="4"/>
  <c r="AU57" i="4"/>
  <c r="AY57" i="4"/>
  <c r="AB5" i="15"/>
  <c r="AH5" i="15" s="1"/>
  <c r="AY54" i="4"/>
  <c r="AU54" i="4"/>
  <c r="AU50" i="4"/>
  <c r="AY50" i="4"/>
  <c r="AY48" i="4"/>
  <c r="AU48" i="4"/>
  <c r="GZ5" i="4"/>
  <c r="AW47" i="4"/>
  <c r="AU27" i="4"/>
  <c r="AY27" i="4"/>
  <c r="GZ26" i="4"/>
  <c r="AU43" i="4"/>
  <c r="AW43" i="4"/>
  <c r="GZ31" i="4"/>
  <c r="GZ30" i="4"/>
  <c r="GZ32" i="4"/>
  <c r="GZ36" i="4"/>
  <c r="GZ35" i="4"/>
  <c r="GZ40" i="4"/>
  <c r="GX28" i="4"/>
  <c r="GX29" i="4"/>
  <c r="GX37" i="4"/>
  <c r="GZ21" i="4"/>
  <c r="GX14" i="4"/>
  <c r="GX19" i="4"/>
  <c r="GZ18" i="4"/>
  <c r="GX17" i="4"/>
  <c r="GX15" i="4"/>
  <c r="AW40" i="4"/>
  <c r="AY40" i="4"/>
  <c r="AU26" i="4"/>
  <c r="AY26" i="4"/>
  <c r="BA12" i="4"/>
  <c r="GZ16" i="4"/>
  <c r="AW19" i="4"/>
  <c r="AU19" i="4"/>
  <c r="GZ4" i="4"/>
  <c r="GZ13" i="4"/>
  <c r="GX4" i="4"/>
  <c r="GX12" i="4"/>
  <c r="GX11" i="4"/>
  <c r="AV4" i="4"/>
  <c r="AV5" i="4"/>
  <c r="GX7" i="4"/>
  <c r="GX6" i="4"/>
  <c r="AU8" i="4"/>
  <c r="AY8" i="4"/>
  <c r="AZ9" i="4" s="1"/>
  <c r="B17" i="5"/>
  <c r="F16" i="5"/>
  <c r="AY94" i="4"/>
  <c r="AW94" i="4"/>
  <c r="AY133" i="4"/>
  <c r="AW133" i="4"/>
  <c r="AY72" i="4"/>
  <c r="AW72" i="4"/>
  <c r="AW136" i="4"/>
  <c r="AY136" i="4"/>
  <c r="AW13" i="4"/>
  <c r="AX14" i="4" s="1"/>
  <c r="AY13" i="4"/>
  <c r="AW137" i="4"/>
  <c r="AY137" i="4"/>
  <c r="AW207" i="4"/>
  <c r="AY207" i="4"/>
  <c r="AY153" i="4"/>
  <c r="AW153" i="4"/>
  <c r="AY118" i="4"/>
  <c r="AW118" i="4"/>
  <c r="AX5" i="4"/>
  <c r="AY106" i="4"/>
  <c r="AW106" i="4"/>
  <c r="AY96" i="4"/>
  <c r="AW96" i="4"/>
  <c r="AY115" i="4"/>
  <c r="AW115" i="4"/>
  <c r="AY89" i="4"/>
  <c r="AW89" i="4"/>
  <c r="AW93" i="4"/>
  <c r="AY93" i="4"/>
  <c r="AW58" i="4"/>
  <c r="AY58" i="4"/>
  <c r="AW227" i="4"/>
  <c r="AY227" i="4"/>
  <c r="AY29" i="4"/>
  <c r="AW29" i="4"/>
  <c r="AY46" i="4"/>
  <c r="AW46" i="4"/>
  <c r="AY77" i="4"/>
  <c r="AW77" i="4"/>
  <c r="AW37" i="4"/>
  <c r="AY37" i="4"/>
  <c r="AY51" i="4"/>
  <c r="AW51" i="4"/>
  <c r="AY49" i="4"/>
  <c r="AW49" i="4"/>
  <c r="AW361" i="4"/>
  <c r="AY361" i="4"/>
  <c r="GZ117" i="4"/>
  <c r="AU117" i="4"/>
  <c r="AY117" i="4"/>
  <c r="D505" i="11"/>
  <c r="C9" i="18"/>
  <c r="K11" i="17"/>
  <c r="B9" i="18"/>
  <c r="M10" i="17"/>
  <c r="AU327" i="4"/>
  <c r="N24" i="17"/>
  <c r="B11" i="18"/>
  <c r="N17" i="17"/>
  <c r="B10" i="18"/>
  <c r="HH386" i="4"/>
  <c r="HH387" i="4"/>
  <c r="HH330" i="4"/>
  <c r="HH392" i="4"/>
  <c r="HH399" i="4"/>
  <c r="HH369" i="4"/>
  <c r="HH406" i="4"/>
  <c r="HH263" i="4"/>
  <c r="HH405" i="4"/>
  <c r="HH404" i="4"/>
  <c r="HH368" i="4"/>
  <c r="HH382" i="4"/>
  <c r="GV308" i="4"/>
  <c r="GZ414" i="4"/>
  <c r="GZ143" i="4"/>
  <c r="GZ255" i="4"/>
  <c r="GV47" i="4"/>
  <c r="GV361" i="4"/>
  <c r="GZ149" i="4"/>
  <c r="GZ123" i="4"/>
  <c r="GV339" i="4"/>
  <c r="GZ100" i="4"/>
  <c r="GZ77" i="4"/>
  <c r="GZ279" i="4"/>
  <c r="GZ315" i="4"/>
  <c r="GZ290" i="4"/>
  <c r="GV274" i="4"/>
  <c r="GX420" i="4"/>
  <c r="GZ397" i="4"/>
  <c r="GX184" i="4"/>
  <c r="GZ292" i="4"/>
  <c r="GV68" i="4"/>
  <c r="GV132" i="4"/>
  <c r="GZ195" i="4"/>
  <c r="GZ293" i="4"/>
  <c r="GZ17" i="4"/>
  <c r="GV307" i="4"/>
  <c r="GZ272" i="4"/>
  <c r="GZ362" i="4"/>
  <c r="GZ222" i="4"/>
  <c r="GZ83" i="4"/>
  <c r="GZ164" i="4"/>
  <c r="GZ363" i="4"/>
  <c r="GZ288" i="4"/>
  <c r="GV301" i="4"/>
  <c r="GZ48" i="4"/>
  <c r="GZ114" i="4"/>
  <c r="GZ213" i="4"/>
  <c r="GZ174" i="4"/>
  <c r="GX125" i="4"/>
  <c r="GZ225" i="4"/>
  <c r="GX30" i="4"/>
  <c r="GZ104" i="4"/>
  <c r="GZ99" i="4"/>
  <c r="GZ280" i="4"/>
  <c r="GZ202" i="4"/>
  <c r="GZ383" i="4"/>
  <c r="GZ238" i="4"/>
  <c r="GZ34" i="4"/>
  <c r="GZ189" i="4"/>
  <c r="GZ188" i="4"/>
  <c r="GZ217" i="4"/>
  <c r="GZ395" i="4"/>
  <c r="GZ219" i="4"/>
  <c r="GZ128" i="4"/>
  <c r="GZ20" i="4"/>
  <c r="GZ306" i="4"/>
  <c r="GZ265" i="4"/>
  <c r="GX39" i="4"/>
  <c r="GX162" i="4"/>
  <c r="GX212" i="4"/>
  <c r="GZ241" i="4"/>
  <c r="GZ176" i="4"/>
  <c r="GX38" i="4"/>
  <c r="GZ154" i="4"/>
  <c r="GZ160" i="4"/>
  <c r="GZ408" i="4"/>
  <c r="GZ268" i="4"/>
  <c r="GV112" i="4"/>
  <c r="GZ313" i="4"/>
  <c r="GZ257" i="4"/>
  <c r="GZ354" i="4"/>
  <c r="GZ54" i="4"/>
  <c r="GZ61" i="4"/>
  <c r="GZ224" i="4"/>
  <c r="GZ29" i="4"/>
  <c r="GZ344" i="4"/>
  <c r="GZ120" i="4"/>
  <c r="GZ231" i="4"/>
  <c r="GZ11" i="4"/>
  <c r="GZ401" i="4"/>
  <c r="GZ94" i="4"/>
  <c r="GZ328" i="4"/>
  <c r="GZ194" i="4"/>
  <c r="GZ46" i="4"/>
  <c r="GZ281" i="4"/>
  <c r="GZ394" i="4"/>
  <c r="GZ269" i="4"/>
  <c r="GZ159" i="4"/>
  <c r="GZ89" i="4"/>
  <c r="GZ133" i="4"/>
  <c r="GZ297" i="4"/>
  <c r="GZ122" i="4"/>
  <c r="GZ250" i="4"/>
  <c r="GZ51" i="4"/>
  <c r="GZ384" i="4"/>
  <c r="GZ52" i="4"/>
  <c r="GZ115" i="4"/>
  <c r="GZ153" i="4"/>
  <c r="GZ118" i="4"/>
  <c r="GZ72" i="4"/>
  <c r="GZ119" i="4"/>
  <c r="GZ109" i="4"/>
  <c r="GZ253" i="4"/>
  <c r="GZ106" i="4"/>
  <c r="GZ102" i="4"/>
  <c r="GZ49" i="4"/>
  <c r="GZ355" i="4"/>
  <c r="GZ367" i="4"/>
  <c r="GX311" i="4"/>
  <c r="GX23" i="4"/>
  <c r="GX206" i="4"/>
  <c r="GX32" i="4"/>
  <c r="GX388" i="4"/>
  <c r="GX69" i="4"/>
  <c r="GX63" i="4"/>
  <c r="GX236" i="4"/>
  <c r="GX381" i="4"/>
  <c r="GX126" i="4"/>
  <c r="GX43" i="4"/>
  <c r="GX98" i="4"/>
  <c r="GX111" i="4"/>
  <c r="GX95" i="4"/>
  <c r="GX86" i="4"/>
  <c r="GX140" i="4"/>
  <c r="GX71" i="4"/>
  <c r="GX172" i="4"/>
  <c r="GX74" i="4"/>
  <c r="GX208" i="4"/>
  <c r="GX131" i="4"/>
  <c r="GX251" i="4"/>
  <c r="GX141" i="4"/>
  <c r="GX87" i="4"/>
  <c r="GX168" i="4"/>
  <c r="GX108" i="4"/>
  <c r="GX289" i="4"/>
  <c r="GX169" i="4"/>
  <c r="GX179" i="4"/>
  <c r="GX90" i="4"/>
  <c r="GX360" i="4"/>
  <c r="GX350" i="4"/>
  <c r="GX271" i="4"/>
  <c r="GX157" i="4"/>
  <c r="GX79" i="4"/>
  <c r="GX175" i="4"/>
  <c r="GX70" i="4"/>
  <c r="GX235" i="4"/>
  <c r="GX357" i="4"/>
  <c r="GX42" i="4"/>
  <c r="GX267" i="4"/>
  <c r="GX285" i="4"/>
  <c r="GX228" i="4"/>
  <c r="GX36" i="4"/>
  <c r="GX314" i="4"/>
  <c r="GX56" i="4"/>
  <c r="GX92" i="4"/>
  <c r="GX218" i="4"/>
  <c r="GX273" i="4"/>
  <c r="GX305" i="4"/>
  <c r="GX400" i="4"/>
  <c r="GX146" i="4"/>
  <c r="GX322" i="4"/>
  <c r="GX318" i="4"/>
  <c r="GX199" i="4"/>
  <c r="GX84" i="4"/>
  <c r="GX226" i="4"/>
  <c r="GX182" i="4"/>
  <c r="GX324" i="4"/>
  <c r="GX97" i="4"/>
  <c r="GX407" i="4"/>
  <c r="GX266" i="4"/>
  <c r="GX27" i="4"/>
  <c r="GX192" i="4"/>
  <c r="GX117" i="4"/>
  <c r="GX365" i="4"/>
  <c r="GX116" i="4"/>
  <c r="GX244" i="4"/>
  <c r="GX9" i="4"/>
  <c r="GX173" i="4"/>
  <c r="GX193" i="4"/>
  <c r="GX18" i="4"/>
  <c r="GX277" i="4"/>
  <c r="GX296" i="4"/>
  <c r="GX284" i="4"/>
  <c r="GX45" i="4"/>
  <c r="GX320" i="4"/>
  <c r="GX210" i="4"/>
  <c r="GX304" i="4"/>
  <c r="GX259" i="4"/>
  <c r="GX165" i="4"/>
  <c r="GX291" i="4"/>
  <c r="GX248" i="4"/>
  <c r="GX249" i="4"/>
  <c r="GX275" i="4"/>
  <c r="GX80" i="4"/>
  <c r="GX204" i="4"/>
  <c r="GX196" i="4"/>
  <c r="GX256" i="4"/>
  <c r="GX299" i="4"/>
  <c r="GX144" i="4"/>
  <c r="GX223" i="4"/>
  <c r="GX67" i="4"/>
  <c r="GX138" i="4"/>
  <c r="GX201" i="4"/>
  <c r="GX254" i="4"/>
  <c r="GX82" i="4"/>
  <c r="GX233" i="4"/>
  <c r="GX121" i="4"/>
  <c r="GX343" i="4"/>
  <c r="GX352" i="4"/>
  <c r="GX389" i="4"/>
  <c r="GX50" i="4"/>
  <c r="GX252" i="4"/>
  <c r="GX316" i="4"/>
  <c r="GX232" i="4"/>
  <c r="GX377" i="4"/>
  <c r="GX215" i="4"/>
  <c r="GX258" i="4"/>
  <c r="GX26" i="4"/>
  <c r="GX150" i="4"/>
  <c r="GX177" i="4"/>
  <c r="GX342" i="4"/>
  <c r="GX24" i="4"/>
  <c r="GX85" i="4"/>
  <c r="GX237" i="4"/>
  <c r="GX178" i="4"/>
  <c r="GX22" i="4"/>
  <c r="GX373" i="4"/>
  <c r="GX33" i="4"/>
  <c r="GX185" i="4"/>
  <c r="GX336" i="4"/>
  <c r="GX347" i="4"/>
  <c r="GX91" i="4"/>
  <c r="GX166" i="4"/>
  <c r="GX376" i="4"/>
  <c r="GX10" i="4"/>
  <c r="GX31" i="4"/>
  <c r="GX247" i="4"/>
  <c r="GX35" i="4"/>
  <c r="GX353" i="4"/>
  <c r="GX220" i="4"/>
  <c r="GX187" i="4"/>
  <c r="GX379" i="4"/>
  <c r="GX44" i="4"/>
  <c r="GX170" i="4"/>
  <c r="GX129" i="4"/>
  <c r="GX214" i="4"/>
  <c r="GX105" i="4"/>
  <c r="GX107" i="4"/>
  <c r="GX198" i="4"/>
  <c r="GX59" i="4"/>
  <c r="GX295" i="4"/>
  <c r="GX294" i="4"/>
  <c r="GX135" i="4"/>
  <c r="GX309" i="4"/>
  <c r="GX239" i="4"/>
  <c r="GX375" i="4"/>
  <c r="GX167" i="4"/>
  <c r="GX8" i="4"/>
  <c r="GX142" i="4"/>
  <c r="GX103" i="4"/>
  <c r="GX155" i="4"/>
  <c r="GX300" i="4"/>
  <c r="GX53" i="4"/>
  <c r="GX319" i="4"/>
  <c r="GX262" i="4"/>
  <c r="GX25" i="4"/>
  <c r="GX151" i="4"/>
  <c r="GX349" i="4"/>
  <c r="GX145" i="4"/>
  <c r="GX298" i="4"/>
  <c r="GX209" i="4"/>
  <c r="GX57" i="4"/>
  <c r="GV64" i="4"/>
  <c r="GV191" i="4"/>
  <c r="GV134" i="4"/>
  <c r="GV211" i="4"/>
  <c r="GV351" i="4"/>
  <c r="GV37" i="4"/>
  <c r="GV393" i="4"/>
  <c r="GV55" i="4"/>
  <c r="GV13" i="4"/>
  <c r="GV40" i="4"/>
  <c r="GV317" i="4"/>
  <c r="GV321" i="4"/>
  <c r="GV4" i="4"/>
  <c r="GV60" i="4"/>
  <c r="GV6" i="4"/>
  <c r="GV207" i="4"/>
  <c r="GV181" i="4"/>
  <c r="GV246" i="4"/>
  <c r="GV227" i="4"/>
  <c r="GV340" i="4"/>
  <c r="GV15" i="4"/>
  <c r="GV270" i="4"/>
  <c r="GV147" i="4"/>
  <c r="GV93" i="4"/>
  <c r="GV130" i="4"/>
  <c r="GV200" i="4"/>
  <c r="GV205" i="4"/>
  <c r="GV171" i="4"/>
  <c r="GV78" i="4"/>
  <c r="GV19" i="4"/>
  <c r="GV216" i="4"/>
  <c r="GV203" i="4"/>
  <c r="GV261" i="4"/>
  <c r="GV329" i="4"/>
  <c r="GV137" i="4"/>
  <c r="GV88" i="4"/>
  <c r="GV58" i="4"/>
  <c r="GV16" i="4"/>
  <c r="GV158" i="4"/>
  <c r="GV323" i="4"/>
  <c r="GV264" i="4"/>
  <c r="GV286" i="4"/>
  <c r="GV21" i="4"/>
  <c r="GV28" i="4"/>
  <c r="GV331" i="4"/>
  <c r="GV14" i="4"/>
  <c r="GV221" i="4"/>
  <c r="GV136" i="4"/>
  <c r="GV337" i="4"/>
  <c r="GV127" i="4"/>
  <c r="GV81" i="4"/>
  <c r="GV101" i="4"/>
  <c r="GV243" i="4"/>
  <c r="GV75" i="4"/>
  <c r="GV7" i="4"/>
  <c r="GV73" i="4"/>
  <c r="GV242" i="4"/>
  <c r="GV358" i="4"/>
  <c r="GV326" i="4"/>
  <c r="GV76" i="4"/>
  <c r="GV186" i="4"/>
  <c r="GV139" i="4"/>
  <c r="GV240" i="4"/>
  <c r="GV62" i="4"/>
  <c r="GV65" i="4"/>
  <c r="GV110" i="4"/>
  <c r="GV12" i="4"/>
  <c r="GV66" i="4"/>
  <c r="GV113" i="4"/>
  <c r="AY368" i="4"/>
  <c r="AY414" i="4"/>
  <c r="AY394" i="4"/>
  <c r="AY387" i="4"/>
  <c r="AY406" i="4"/>
  <c r="AY397" i="4"/>
  <c r="AY382" i="4"/>
  <c r="AY399" i="4"/>
  <c r="AU371" i="4"/>
  <c r="AY408" i="4"/>
  <c r="AY405" i="4"/>
  <c r="J4" i="18"/>
  <c r="O5" i="17" s="1"/>
  <c r="AY392" i="4"/>
  <c r="AU407" i="4"/>
  <c r="AY401" i="4"/>
  <c r="AU391" i="4"/>
  <c r="AW359" i="4"/>
  <c r="AY404" i="4"/>
  <c r="AU385" i="4"/>
  <c r="AY363" i="4"/>
  <c r="AU402" i="4"/>
  <c r="AU400" i="4"/>
  <c r="AU366" i="4"/>
  <c r="AY370" i="4"/>
  <c r="D529" i="11"/>
  <c r="AY384" i="4"/>
  <c r="AY354" i="4"/>
  <c r="AU396" i="4"/>
  <c r="AU332" i="4"/>
  <c r="AB15" i="15"/>
  <c r="AH15" i="15" s="1"/>
  <c r="AB17" i="15"/>
  <c r="AH17" i="15" s="1"/>
  <c r="D497" i="11"/>
  <c r="D499" i="11"/>
  <c r="D502" i="11"/>
  <c r="D496" i="11"/>
  <c r="D495" i="11"/>
  <c r="AY288" i="4"/>
  <c r="AW326" i="4"/>
  <c r="AU389" i="4"/>
  <c r="AU390" i="4"/>
  <c r="AU244" i="4"/>
  <c r="AU379" i="4"/>
  <c r="AU365" i="4"/>
  <c r="AU388" i="4"/>
  <c r="AY383" i="4"/>
  <c r="AU378" i="4"/>
  <c r="AU376" i="4"/>
  <c r="AU319" i="4"/>
  <c r="AU374" i="4"/>
  <c r="AU377" i="4"/>
  <c r="AY123" i="4"/>
  <c r="AW191" i="4"/>
  <c r="AU375" i="4"/>
  <c r="AU318" i="4"/>
  <c r="AU373" i="4"/>
  <c r="AU353" i="4"/>
  <c r="AY362" i="4"/>
  <c r="AY160" i="4"/>
  <c r="AU352" i="4"/>
  <c r="AU305" i="4"/>
  <c r="AW323" i="4"/>
  <c r="AU105" i="4"/>
  <c r="AU258" i="4"/>
  <c r="AW325" i="4"/>
  <c r="AU178" i="4"/>
  <c r="AW243" i="4"/>
  <c r="AU324" i="4"/>
  <c r="AU347" i="4"/>
  <c r="AU190" i="4"/>
  <c r="AU226" i="4"/>
  <c r="AU103" i="4"/>
  <c r="AU303" i="4"/>
  <c r="AU223" i="4"/>
  <c r="AU311" i="4"/>
  <c r="AY222" i="4"/>
  <c r="AW340" i="4"/>
  <c r="AY104" i="4"/>
  <c r="AW287" i="4"/>
  <c r="AY224" i="4"/>
  <c r="AU129" i="4"/>
  <c r="AU285" i="4"/>
  <c r="AU304" i="4"/>
  <c r="AY263" i="4"/>
  <c r="AU357" i="4"/>
  <c r="AU175" i="4"/>
  <c r="AW64" i="4"/>
  <c r="AY344" i="4"/>
  <c r="AU350" i="4"/>
  <c r="AW351" i="4"/>
  <c r="AU45" i="4"/>
  <c r="AU177" i="4"/>
  <c r="BA9" i="4"/>
  <c r="BA8" i="4"/>
  <c r="BA14" i="4"/>
  <c r="AU291" i="4"/>
  <c r="AU56" i="4"/>
  <c r="AY61" i="4"/>
  <c r="AY292" i="4"/>
  <c r="AW308" i="4"/>
  <c r="AU342" i="4"/>
  <c r="AY174" i="4"/>
  <c r="AU248" i="4"/>
  <c r="AW240" i="4"/>
  <c r="AU173" i="4"/>
  <c r="AU39" i="4"/>
  <c r="AU256" i="4"/>
  <c r="AU215" i="4"/>
  <c r="AY176" i="4"/>
  <c r="AW203" i="4"/>
  <c r="AU314" i="4"/>
  <c r="AW329" i="4"/>
  <c r="AU273" i="4"/>
  <c r="AW161" i="4"/>
  <c r="AW331" i="4"/>
  <c r="AW110" i="4"/>
  <c r="AW307" i="4"/>
  <c r="AU212" i="4"/>
  <c r="AW317" i="4"/>
  <c r="AU320" i="4"/>
  <c r="AU187" i="4"/>
  <c r="AU201" i="4"/>
  <c r="AU247" i="4"/>
  <c r="AY290" i="4"/>
  <c r="AU220" i="4"/>
  <c r="AU170" i="4"/>
  <c r="AY302" i="4"/>
  <c r="AU299" i="4"/>
  <c r="AW186" i="4"/>
  <c r="AY217" i="4"/>
  <c r="AY154" i="4"/>
  <c r="BA20" i="4"/>
  <c r="AY20" i="4"/>
  <c r="AW88" i="4"/>
  <c r="AW101" i="4"/>
  <c r="AU214" i="4"/>
  <c r="AY143" i="4"/>
  <c r="AU228" i="4"/>
  <c r="AW270" i="4"/>
  <c r="AU197" i="4"/>
  <c r="AW78" i="4"/>
  <c r="AU185" i="4"/>
  <c r="AU296" i="4"/>
  <c r="AW301" i="4"/>
  <c r="AU237" i="4"/>
  <c r="AW76" i="4"/>
  <c r="AU233" i="4"/>
  <c r="AW242" i="4"/>
  <c r="AW274" i="4"/>
  <c r="AU381" i="4"/>
  <c r="AU252" i="4"/>
  <c r="AU298" i="4"/>
  <c r="AY231" i="4"/>
  <c r="AU254" i="4"/>
  <c r="AU193" i="4"/>
  <c r="AU198" i="4"/>
  <c r="AY159" i="4"/>
  <c r="AW113" i="4"/>
  <c r="AU271" i="4"/>
  <c r="AX9" i="4"/>
  <c r="AX8" i="4"/>
  <c r="AX11" i="4"/>
  <c r="AX4" i="4"/>
  <c r="AX6" i="4"/>
  <c r="AX7" i="4"/>
  <c r="AX10" i="4"/>
  <c r="AX12" i="4"/>
  <c r="AU239" i="4"/>
  <c r="AU300" i="4"/>
  <c r="AW73" i="4"/>
  <c r="AW132" i="4"/>
  <c r="AY272" i="4"/>
  <c r="AY164" i="4"/>
  <c r="AU184" i="4"/>
  <c r="AY297" i="4"/>
  <c r="AY313" i="4"/>
  <c r="AW246" i="4"/>
  <c r="AU349" i="4"/>
  <c r="AU229" i="4"/>
  <c r="AW264" i="4"/>
  <c r="AY293" i="4"/>
  <c r="AW147" i="4"/>
  <c r="AU142" i="4"/>
  <c r="AW211" i="4"/>
  <c r="AW205" i="4"/>
  <c r="AW134" i="4"/>
  <c r="AU144" i="4"/>
  <c r="AY355" i="4"/>
  <c r="AW358" i="4"/>
  <c r="AU295" i="4"/>
  <c r="AU199" i="4"/>
  <c r="AY260" i="4"/>
  <c r="AW112" i="4"/>
  <c r="AU44" i="4"/>
  <c r="AU266" i="4"/>
  <c r="AU135" i="4"/>
  <c r="AU284" i="4"/>
  <c r="AY241" i="4"/>
  <c r="AU85" i="4"/>
  <c r="AU192" i="4"/>
  <c r="AU151" i="4"/>
  <c r="AW216" i="4"/>
  <c r="AW286" i="4"/>
  <c r="AY225" i="4"/>
  <c r="AY100" i="4"/>
  <c r="AW282" i="4"/>
  <c r="AU218" i="4"/>
  <c r="AU74" i="4"/>
  <c r="AY367" i="4"/>
  <c r="AU150" i="4"/>
  <c r="AU322" i="4"/>
  <c r="AU294" i="4"/>
  <c r="AY188" i="4"/>
  <c r="AU316" i="4"/>
  <c r="AU336" i="4"/>
  <c r="AU267" i="4"/>
  <c r="AY194" i="4"/>
  <c r="AY269" i="4"/>
  <c r="AZ6" i="4"/>
  <c r="AZ7" i="4"/>
  <c r="AZ4" i="4"/>
  <c r="AZ5" i="4"/>
  <c r="AY146" i="4"/>
  <c r="AW262" i="4"/>
  <c r="AU337" i="4"/>
  <c r="AY276" i="4"/>
  <c r="AW277" i="4"/>
  <c r="AY275" i="4"/>
  <c r="AY165" i="4"/>
  <c r="AU310" i="4"/>
  <c r="AY221" i="4"/>
  <c r="AB8" i="15"/>
  <c r="AH8" i="15" s="1"/>
  <c r="BA10" i="4"/>
  <c r="BA16" i="4"/>
  <c r="AY145" i="4"/>
  <c r="AU122" i="4"/>
  <c r="BA15" i="4"/>
  <c r="AF11" i="4"/>
  <c r="AF16" i="4"/>
  <c r="AF8" i="4"/>
  <c r="AF21" i="4"/>
  <c r="AF13" i="4"/>
  <c r="AF20" i="4"/>
  <c r="AF14" i="4"/>
  <c r="AF24" i="4"/>
  <c r="AF19" i="4"/>
  <c r="AF15" i="4"/>
  <c r="AF10" i="4"/>
  <c r="AF9" i="4"/>
  <c r="AF22" i="4"/>
  <c r="AF18" i="4"/>
  <c r="AF17" i="4"/>
  <c r="AF23" i="4"/>
  <c r="AW204" i="4"/>
  <c r="BA17" i="4"/>
  <c r="BA11" i="4"/>
  <c r="BA24" i="4"/>
  <c r="AW130" i="4"/>
  <c r="BA23" i="4"/>
  <c r="BA22" i="4"/>
  <c r="BA19" i="4"/>
  <c r="BA18" i="4"/>
  <c r="BA13" i="4"/>
  <c r="BA21" i="4"/>
  <c r="AB3" i="15"/>
  <c r="AH3" i="15" s="1"/>
  <c r="AB4" i="15"/>
  <c r="AH4" i="15" s="1"/>
  <c r="AG4" i="15"/>
  <c r="D13" i="5"/>
  <c r="D37" i="5"/>
  <c r="F36" i="5"/>
  <c r="H25" i="5" s="1"/>
  <c r="G36" i="5"/>
  <c r="G16" i="5"/>
  <c r="BA420" i="4" l="1"/>
  <c r="BA422" i="4"/>
  <c r="AF422" i="4"/>
  <c r="AF31" i="4"/>
  <c r="AF421" i="4"/>
  <c r="BA33" i="4"/>
  <c r="AG420" i="4"/>
  <c r="AE420" i="4"/>
  <c r="AW420" i="4"/>
  <c r="BA421" i="4"/>
  <c r="AF420" i="4"/>
  <c r="AF25" i="4"/>
  <c r="AF419" i="4"/>
  <c r="BA418" i="4"/>
  <c r="BA419" i="4"/>
  <c r="AF417" i="4"/>
  <c r="AF418" i="4"/>
  <c r="BA417" i="4"/>
  <c r="BA416" i="4"/>
  <c r="AG414" i="4"/>
  <c r="AE414" i="4"/>
  <c r="AU414" i="4"/>
  <c r="AF414" i="4"/>
  <c r="BA413" i="4"/>
  <c r="AF416" i="4"/>
  <c r="BA415" i="4"/>
  <c r="AF415" i="4"/>
  <c r="BA409" i="4"/>
  <c r="AV7" i="4"/>
  <c r="AV6" i="4"/>
  <c r="BA358" i="4"/>
  <c r="BA412" i="4"/>
  <c r="AF408" i="4"/>
  <c r="BA411" i="4"/>
  <c r="AG408" i="4"/>
  <c r="AE408" i="4"/>
  <c r="AU408" i="4"/>
  <c r="AV12" i="4"/>
  <c r="AF409" i="4"/>
  <c r="BA410" i="4"/>
  <c r="AF411" i="4"/>
  <c r="AG387" i="4"/>
  <c r="AE387" i="4"/>
  <c r="AU387" i="4"/>
  <c r="AG382" i="4"/>
  <c r="AE382" i="4"/>
  <c r="AU382" i="4"/>
  <c r="AG401" i="4"/>
  <c r="AE401" i="4"/>
  <c r="AU401" i="4"/>
  <c r="AG370" i="4"/>
  <c r="AE370" i="4"/>
  <c r="AG383" i="4"/>
  <c r="AE383" i="4"/>
  <c r="AU383" i="4"/>
  <c r="BA403" i="4"/>
  <c r="BA372" i="4"/>
  <c r="AF372" i="4"/>
  <c r="AG369" i="4"/>
  <c r="AE369" i="4"/>
  <c r="BA398" i="4"/>
  <c r="AG386" i="4"/>
  <c r="AE386" i="4"/>
  <c r="AG399" i="4"/>
  <c r="AE399" i="4"/>
  <c r="AU399" i="4"/>
  <c r="AG404" i="4"/>
  <c r="AE404" i="4"/>
  <c r="AG395" i="4"/>
  <c r="AE395" i="4"/>
  <c r="BA380" i="4"/>
  <c r="AG393" i="4"/>
  <c r="AE393" i="4"/>
  <c r="AF380" i="4"/>
  <c r="AG384" i="4"/>
  <c r="AE384" i="4"/>
  <c r="AU384" i="4"/>
  <c r="AF397" i="4"/>
  <c r="AF403" i="4"/>
  <c r="AF398" i="4"/>
  <c r="AG405" i="4"/>
  <c r="AE405" i="4"/>
  <c r="AU405" i="4"/>
  <c r="BA356" i="4"/>
  <c r="BA361" i="4"/>
  <c r="BA39" i="4"/>
  <c r="AG355" i="4"/>
  <c r="AE355" i="4"/>
  <c r="AU355" i="4"/>
  <c r="BA364" i="4"/>
  <c r="AG363" i="4"/>
  <c r="AE363" i="4"/>
  <c r="BA43" i="4"/>
  <c r="AF364" i="4"/>
  <c r="AF359" i="4"/>
  <c r="AF357" i="4"/>
  <c r="AG354" i="4"/>
  <c r="AE354" i="4"/>
  <c r="AG349" i="4"/>
  <c r="AE349" i="4"/>
  <c r="AF361" i="4"/>
  <c r="AW349" i="4"/>
  <c r="AG353" i="4"/>
  <c r="AE353" i="4"/>
  <c r="BA38" i="4"/>
  <c r="AF32" i="4"/>
  <c r="AF38" i="4"/>
  <c r="AF37" i="4"/>
  <c r="BA27" i="4"/>
  <c r="BA36" i="4"/>
  <c r="BA29" i="4"/>
  <c r="AF36" i="4"/>
  <c r="AF28" i="4"/>
  <c r="BA26" i="4"/>
  <c r="AF39" i="4"/>
  <c r="AF29" i="4"/>
  <c r="BA31" i="4"/>
  <c r="BA32" i="4"/>
  <c r="BA34" i="4"/>
  <c r="AF27" i="4"/>
  <c r="AF40" i="4"/>
  <c r="BA37" i="4"/>
  <c r="BA42" i="4"/>
  <c r="AF33" i="4"/>
  <c r="BA35" i="4"/>
  <c r="AF42" i="4"/>
  <c r="BA40" i="4"/>
  <c r="AF43" i="4"/>
  <c r="AF34" i="4"/>
  <c r="AF26" i="4"/>
  <c r="AF30" i="4"/>
  <c r="BA28" i="4"/>
  <c r="AF35" i="4"/>
  <c r="BA30" i="4"/>
  <c r="BA25" i="4"/>
  <c r="AG25" i="4"/>
  <c r="AE25" i="4"/>
  <c r="AG151" i="4"/>
  <c r="AE151" i="4"/>
  <c r="AG156" i="4"/>
  <c r="AE156" i="4"/>
  <c r="AG153" i="4"/>
  <c r="AE153" i="4"/>
  <c r="AG243" i="4"/>
  <c r="AE243" i="4"/>
  <c r="AG47" i="4"/>
  <c r="AE47" i="4"/>
  <c r="AG75" i="4"/>
  <c r="F4" i="21" s="1"/>
  <c r="AE75" i="4"/>
  <c r="AG247" i="4"/>
  <c r="AE247" i="4"/>
  <c r="AG343" i="4"/>
  <c r="AE343" i="4"/>
  <c r="AU153" i="4"/>
  <c r="AU243" i="4"/>
  <c r="AG213" i="4"/>
  <c r="AE213" i="4"/>
  <c r="AG149" i="4"/>
  <c r="AE149" i="4"/>
  <c r="AG84" i="4"/>
  <c r="AE84" i="4"/>
  <c r="AF348" i="4"/>
  <c r="BA41" i="4"/>
  <c r="AE38" i="4"/>
  <c r="AG148" i="4"/>
  <c r="AE148" i="4"/>
  <c r="AG263" i="4"/>
  <c r="AE263" i="4"/>
  <c r="AG257" i="4"/>
  <c r="AE257" i="4"/>
  <c r="AG218" i="4"/>
  <c r="AE218" i="4"/>
  <c r="AG306" i="4"/>
  <c r="AE306" i="4"/>
  <c r="AG328" i="4"/>
  <c r="AE328" i="4"/>
  <c r="AG202" i="4"/>
  <c r="AE202" i="4"/>
  <c r="AG280" i="4"/>
  <c r="AE280" i="4"/>
  <c r="AG300" i="4"/>
  <c r="AE300" i="4"/>
  <c r="AG316" i="4"/>
  <c r="AE316" i="4"/>
  <c r="AG163" i="4"/>
  <c r="AE163" i="4"/>
  <c r="AG219" i="4"/>
  <c r="AE219" i="4"/>
  <c r="AG268" i="4"/>
  <c r="AE268" i="4"/>
  <c r="AG238" i="4"/>
  <c r="AE238" i="4"/>
  <c r="AG187" i="4"/>
  <c r="AE187" i="4"/>
  <c r="AG253" i="4"/>
  <c r="AE253" i="4"/>
  <c r="AG102" i="4"/>
  <c r="AE102" i="4"/>
  <c r="AG278" i="4"/>
  <c r="AE278" i="4"/>
  <c r="AG176" i="4"/>
  <c r="AE176" i="4"/>
  <c r="AG118" i="4"/>
  <c r="AE118" i="4"/>
  <c r="AG100" i="4"/>
  <c r="AE100" i="4"/>
  <c r="BA348" i="4"/>
  <c r="AG265" i="4"/>
  <c r="AE265" i="4"/>
  <c r="AG330" i="4"/>
  <c r="AE330" i="4"/>
  <c r="AG155" i="4"/>
  <c r="AE155" i="4"/>
  <c r="AG314" i="4"/>
  <c r="AE314" i="4"/>
  <c r="AG99" i="4"/>
  <c r="AE99" i="4"/>
  <c r="AG183" i="4"/>
  <c r="AE183" i="4"/>
  <c r="AG321" i="4"/>
  <c r="AE321" i="4"/>
  <c r="AG313" i="4"/>
  <c r="AE313" i="4"/>
  <c r="AG162" i="4"/>
  <c r="AE162" i="4"/>
  <c r="AG209" i="4"/>
  <c r="AE209" i="4"/>
  <c r="AG295" i="4"/>
  <c r="AE295" i="4"/>
  <c r="AG279" i="4"/>
  <c r="AE279" i="4"/>
  <c r="AF41" i="4"/>
  <c r="AF47" i="4"/>
  <c r="AY238" i="4"/>
  <c r="AY268" i="4"/>
  <c r="AY219" i="4"/>
  <c r="AU163" i="4"/>
  <c r="AU343" i="4"/>
  <c r="BA47" i="4"/>
  <c r="AF50" i="4"/>
  <c r="BA48" i="4"/>
  <c r="AF55" i="4"/>
  <c r="AF106" i="4"/>
  <c r="BA44" i="4"/>
  <c r="BA61" i="4"/>
  <c r="AF44" i="4"/>
  <c r="AF48" i="4"/>
  <c r="AY213" i="4"/>
  <c r="AF60" i="4"/>
  <c r="AU84" i="4"/>
  <c r="BA120" i="4"/>
  <c r="AF46" i="4"/>
  <c r="AY149" i="4"/>
  <c r="BA82" i="4"/>
  <c r="AF98" i="4"/>
  <c r="BA50" i="4"/>
  <c r="AF70" i="4"/>
  <c r="BA96" i="4"/>
  <c r="BA49" i="4"/>
  <c r="AF49" i="4"/>
  <c r="BA107" i="4"/>
  <c r="BA46" i="4"/>
  <c r="AF51" i="4"/>
  <c r="BA51" i="4"/>
  <c r="AU25" i="4"/>
  <c r="AY300" i="4"/>
  <c r="BA100" i="4"/>
  <c r="AY295" i="4"/>
  <c r="BA67" i="4"/>
  <c r="BA59" i="4"/>
  <c r="BA83" i="4"/>
  <c r="BA54" i="4"/>
  <c r="AF101" i="4"/>
  <c r="AF72" i="4"/>
  <c r="AF92" i="4"/>
  <c r="BA88" i="4"/>
  <c r="AU113" i="4"/>
  <c r="AG113" i="4"/>
  <c r="AU179" i="4"/>
  <c r="AG179" i="4"/>
  <c r="AU98" i="4"/>
  <c r="AG98" i="4"/>
  <c r="AY142" i="4"/>
  <c r="AG142" i="4"/>
  <c r="AW244" i="4"/>
  <c r="AG244" i="4"/>
  <c r="E4" i="21" s="1"/>
  <c r="AY178" i="4"/>
  <c r="AG178" i="4"/>
  <c r="AU235" i="4"/>
  <c r="AG235" i="4"/>
  <c r="AY318" i="4"/>
  <c r="AG318" i="4"/>
  <c r="BA94" i="4"/>
  <c r="BA55" i="4"/>
  <c r="BA72" i="4"/>
  <c r="AF78" i="4"/>
  <c r="AF121" i="4"/>
  <c r="AF68" i="4"/>
  <c r="AF90" i="4"/>
  <c r="AY44" i="4"/>
  <c r="AZ44" i="4" s="1"/>
  <c r="AG44" i="4"/>
  <c r="E12" i="21" s="1"/>
  <c r="AU292" i="4"/>
  <c r="AG292" i="4"/>
  <c r="AU123" i="4"/>
  <c r="AG123" i="4"/>
  <c r="AY298" i="4"/>
  <c r="AG298" i="4"/>
  <c r="AU297" i="4"/>
  <c r="AG297" i="4"/>
  <c r="AU77" i="4"/>
  <c r="AG77" i="4"/>
  <c r="AU108" i="4"/>
  <c r="AG108" i="4"/>
  <c r="AU329" i="4"/>
  <c r="AG329" i="4"/>
  <c r="AU37" i="4"/>
  <c r="AG37" i="4"/>
  <c r="AY85" i="4"/>
  <c r="AG85" i="4"/>
  <c r="BA119" i="4"/>
  <c r="AF63" i="4"/>
  <c r="AY202" i="4"/>
  <c r="BA56" i="4"/>
  <c r="AW320" i="4"/>
  <c r="AG320" i="4"/>
  <c r="AY190" i="4"/>
  <c r="AG190" i="4"/>
  <c r="AY319" i="4"/>
  <c r="AG319" i="4"/>
  <c r="AY201" i="4"/>
  <c r="AG201" i="4"/>
  <c r="AU186" i="4"/>
  <c r="AG186" i="4"/>
  <c r="AY282" i="4"/>
  <c r="AG282" i="4"/>
  <c r="AY324" i="4"/>
  <c r="AG324" i="4"/>
  <c r="BA92" i="4"/>
  <c r="BA98" i="4"/>
  <c r="AF117" i="4"/>
  <c r="AF116" i="4"/>
  <c r="BA58" i="4"/>
  <c r="BA90" i="4"/>
  <c r="BA118" i="4"/>
  <c r="BA81" i="4"/>
  <c r="BA95" i="4"/>
  <c r="AF114" i="4"/>
  <c r="AF112" i="4"/>
  <c r="AF62" i="4"/>
  <c r="AF84" i="4"/>
  <c r="AF57" i="4"/>
  <c r="AU162" i="4"/>
  <c r="AY56" i="4"/>
  <c r="AG56" i="4"/>
  <c r="AY45" i="4"/>
  <c r="AG45" i="4"/>
  <c r="AY226" i="4"/>
  <c r="AG226" i="4"/>
  <c r="AY247" i="4"/>
  <c r="AU209" i="4"/>
  <c r="AY124" i="4"/>
  <c r="AG124" i="4"/>
  <c r="AY203" i="4"/>
  <c r="AG203" i="4"/>
  <c r="AU93" i="4"/>
  <c r="AG93" i="4"/>
  <c r="AU118" i="4"/>
  <c r="AY229" i="4"/>
  <c r="AG229" i="4"/>
  <c r="BA57" i="4"/>
  <c r="BA121" i="4"/>
  <c r="AF120" i="4"/>
  <c r="AF54" i="4"/>
  <c r="BA111" i="4"/>
  <c r="BA66" i="4"/>
  <c r="BA68" i="4"/>
  <c r="BA86" i="4"/>
  <c r="AF73" i="4"/>
  <c r="AF93" i="4"/>
  <c r="AF66" i="4"/>
  <c r="AF58" i="4"/>
  <c r="AF81" i="4"/>
  <c r="AY109" i="4"/>
  <c r="AG109" i="4"/>
  <c r="AY239" i="4"/>
  <c r="AG239" i="4"/>
  <c r="AU194" i="4"/>
  <c r="AG194" i="4"/>
  <c r="AU80" i="4"/>
  <c r="AG80" i="4"/>
  <c r="AY197" i="4"/>
  <c r="AG197" i="4"/>
  <c r="AY74" i="4"/>
  <c r="AG74" i="4"/>
  <c r="F12" i="21" s="1"/>
  <c r="AU196" i="4"/>
  <c r="AG196" i="4"/>
  <c r="AU66" i="4"/>
  <c r="AG66" i="4"/>
  <c r="AU58" i="4"/>
  <c r="AG58" i="4"/>
  <c r="AY150" i="4"/>
  <c r="AG150" i="4"/>
  <c r="AU24" i="4"/>
  <c r="AG24" i="4"/>
  <c r="E8" i="21" s="1"/>
  <c r="AU49" i="4"/>
  <c r="AG49" i="4"/>
  <c r="AU290" i="4"/>
  <c r="AG290" i="4"/>
  <c r="AY253" i="4"/>
  <c r="AY52" i="4"/>
  <c r="AG52" i="4"/>
  <c r="AU344" i="4"/>
  <c r="AG344" i="4"/>
  <c r="AF95" i="4"/>
  <c r="BA70" i="4"/>
  <c r="BA89" i="4"/>
  <c r="BA53" i="4"/>
  <c r="BA80" i="4"/>
  <c r="BA65" i="4"/>
  <c r="AF94" i="4"/>
  <c r="AF100" i="4"/>
  <c r="AF69" i="4"/>
  <c r="AF88" i="4"/>
  <c r="BA99" i="4"/>
  <c r="AW342" i="4"/>
  <c r="AG342" i="4"/>
  <c r="AU60" i="4"/>
  <c r="AG60" i="4"/>
  <c r="AU38" i="4"/>
  <c r="AG38" i="4"/>
  <c r="F8" i="21" s="1"/>
  <c r="AY291" i="4"/>
  <c r="AG291" i="4"/>
  <c r="AU216" i="4"/>
  <c r="AG216" i="4"/>
  <c r="AU106" i="4"/>
  <c r="AG106" i="4"/>
  <c r="AU88" i="4"/>
  <c r="AG88" i="4"/>
  <c r="AW299" i="4"/>
  <c r="AG299" i="4"/>
  <c r="BA116" i="4"/>
  <c r="AF97" i="4"/>
  <c r="AF109" i="4"/>
  <c r="AY266" i="4"/>
  <c r="AG266" i="4"/>
  <c r="AU206" i="4"/>
  <c r="AG206" i="4"/>
  <c r="AU116" i="4"/>
  <c r="AG116" i="4"/>
  <c r="AY211" i="4"/>
  <c r="AG211" i="4"/>
  <c r="AU169" i="4"/>
  <c r="AG169" i="4"/>
  <c r="AY198" i="4"/>
  <c r="AG198" i="4"/>
  <c r="BA52" i="4"/>
  <c r="BA87" i="4"/>
  <c r="BA108" i="4"/>
  <c r="BA79" i="4"/>
  <c r="AF91" i="4"/>
  <c r="AF56" i="4"/>
  <c r="AF87" i="4"/>
  <c r="AF119" i="4"/>
  <c r="AF118" i="4"/>
  <c r="BA60" i="4"/>
  <c r="BA63" i="4"/>
  <c r="BA62" i="4"/>
  <c r="AF80" i="4"/>
  <c r="AF115" i="4"/>
  <c r="AF89" i="4"/>
  <c r="BA112" i="4"/>
  <c r="AU79" i="4"/>
  <c r="AG79" i="4"/>
  <c r="AU53" i="4"/>
  <c r="AG53" i="4"/>
  <c r="AU97" i="4"/>
  <c r="AG97" i="4"/>
  <c r="AY218" i="4"/>
  <c r="AY271" i="4"/>
  <c r="AG271" i="4"/>
  <c r="AY151" i="4"/>
  <c r="AU232" i="4"/>
  <c r="AG232" i="4"/>
  <c r="AY101" i="4"/>
  <c r="AG101" i="4"/>
  <c r="AW313" i="4"/>
  <c r="AU126" i="4"/>
  <c r="AG126" i="4"/>
  <c r="AW294" i="4"/>
  <c r="AG294" i="4"/>
  <c r="AY273" i="4"/>
  <c r="AG273" i="4"/>
  <c r="AY250" i="4"/>
  <c r="AG250" i="4"/>
  <c r="AY193" i="4"/>
  <c r="AG193" i="4"/>
  <c r="AW261" i="4"/>
  <c r="AG261" i="4"/>
  <c r="AU134" i="4"/>
  <c r="AG134" i="4"/>
  <c r="AY264" i="4"/>
  <c r="AG264" i="4"/>
  <c r="AU64" i="4"/>
  <c r="AG64" i="4"/>
  <c r="AU208" i="4"/>
  <c r="AG208" i="4"/>
  <c r="AY274" i="4"/>
  <c r="AG274" i="4"/>
  <c r="BA97" i="4"/>
  <c r="BA109" i="4"/>
  <c r="AF111" i="4"/>
  <c r="AF71" i="4"/>
  <c r="BA93" i="4"/>
  <c r="BA117" i="4"/>
  <c r="BA106" i="4"/>
  <c r="BA71" i="4"/>
  <c r="AF82" i="4"/>
  <c r="AF108" i="4"/>
  <c r="AF79" i="4"/>
  <c r="AF107" i="4"/>
  <c r="AF86" i="4"/>
  <c r="AW75" i="4"/>
  <c r="AX81" i="4" s="1"/>
  <c r="AY120" i="4"/>
  <c r="AG120" i="4"/>
  <c r="AU82" i="4"/>
  <c r="AG82" i="4"/>
  <c r="AU111" i="4"/>
  <c r="AG111" i="4"/>
  <c r="AY205" i="4"/>
  <c r="AG205" i="4"/>
  <c r="AU136" i="4"/>
  <c r="AG136" i="4"/>
  <c r="AU236" i="4"/>
  <c r="AG236" i="4"/>
  <c r="AY240" i="4"/>
  <c r="AG240" i="4"/>
  <c r="AY135" i="4"/>
  <c r="AG135" i="4"/>
  <c r="AY287" i="4"/>
  <c r="AG287" i="4"/>
  <c r="AY254" i="4"/>
  <c r="AG254" i="4"/>
  <c r="AY286" i="4"/>
  <c r="AG286" i="4"/>
  <c r="BA114" i="4"/>
  <c r="AF96" i="4"/>
  <c r="AF65" i="4"/>
  <c r="AF67" i="4"/>
  <c r="BA101" i="4"/>
  <c r="BA77" i="4"/>
  <c r="BA115" i="4"/>
  <c r="BA91" i="4"/>
  <c r="BA69" i="4"/>
  <c r="AF77" i="4"/>
  <c r="AF99" i="4"/>
  <c r="AF52" i="4"/>
  <c r="AF53" i="4"/>
  <c r="AF83" i="4"/>
  <c r="AF61" i="4"/>
  <c r="AF59" i="4"/>
  <c r="BA84" i="4"/>
  <c r="AY258" i="4"/>
  <c r="AG258" i="4"/>
  <c r="AY314" i="4"/>
  <c r="AY252" i="4"/>
  <c r="AG252" i="4"/>
  <c r="AY296" i="4"/>
  <c r="AG296" i="4"/>
  <c r="AU87" i="4"/>
  <c r="AG87" i="4"/>
  <c r="AY316" i="4"/>
  <c r="AU210" i="4"/>
  <c r="AG210" i="4"/>
  <c r="AU130" i="4"/>
  <c r="AG130" i="4"/>
  <c r="AY192" i="4"/>
  <c r="AG192" i="4"/>
  <c r="AY147" i="4"/>
  <c r="AG147" i="4"/>
  <c r="AF342" i="4"/>
  <c r="AF346" i="4"/>
  <c r="BA346" i="4"/>
  <c r="BA342" i="4"/>
  <c r="BA345" i="4"/>
  <c r="AF345" i="4"/>
  <c r="AF336" i="4"/>
  <c r="AF341" i="4"/>
  <c r="BA338" i="4"/>
  <c r="BA336" i="4"/>
  <c r="BA341" i="4"/>
  <c r="AF338" i="4"/>
  <c r="BA335" i="4"/>
  <c r="AF335" i="4"/>
  <c r="BA333" i="4"/>
  <c r="AF333" i="4"/>
  <c r="AF334" i="4"/>
  <c r="BA334" i="4"/>
  <c r="AF307" i="4"/>
  <c r="AF328" i="4"/>
  <c r="AF321" i="4"/>
  <c r="AF320" i="4"/>
  <c r="AF313" i="4"/>
  <c r="AF322" i="4"/>
  <c r="BA320" i="4"/>
  <c r="BA329" i="4"/>
  <c r="AF314" i="4"/>
  <c r="BA321" i="4"/>
  <c r="AF329" i="4"/>
  <c r="BA328" i="4"/>
  <c r="BA322" i="4"/>
  <c r="BA316" i="4"/>
  <c r="AF306" i="4"/>
  <c r="BA307" i="4"/>
  <c r="BA312" i="4"/>
  <c r="AF312" i="4"/>
  <c r="BA313" i="4"/>
  <c r="AF308" i="4"/>
  <c r="BA308" i="4"/>
  <c r="AF317" i="4"/>
  <c r="BA306" i="4"/>
  <c r="AF316" i="4"/>
  <c r="BA317" i="4"/>
  <c r="BA314" i="4"/>
  <c r="AY339" i="4"/>
  <c r="AU339" i="4"/>
  <c r="AF295" i="4"/>
  <c r="AF282" i="4"/>
  <c r="AF302" i="4"/>
  <c r="BA289" i="4"/>
  <c r="AF292" i="4"/>
  <c r="AF291" i="4"/>
  <c r="AF289" i="4"/>
  <c r="AF300" i="4"/>
  <c r="BA286" i="4"/>
  <c r="BA300" i="4"/>
  <c r="AF299" i="4"/>
  <c r="BA301" i="4"/>
  <c r="BA299" i="4"/>
  <c r="AF297" i="4"/>
  <c r="BA280" i="4"/>
  <c r="AF293" i="4"/>
  <c r="AF278" i="4"/>
  <c r="AF296" i="4"/>
  <c r="BA298" i="4"/>
  <c r="BA296" i="4"/>
  <c r="AF298" i="4"/>
  <c r="BA302" i="4"/>
  <c r="BA292" i="4"/>
  <c r="AF281" i="4"/>
  <c r="BA295" i="4"/>
  <c r="BA297" i="4"/>
  <c r="BA281" i="4"/>
  <c r="BA282" i="4"/>
  <c r="BA294" i="4"/>
  <c r="AF283" i="4"/>
  <c r="AF301" i="4"/>
  <c r="BA278" i="4"/>
  <c r="BA293" i="4"/>
  <c r="AF280" i="4"/>
  <c r="AF294" i="4"/>
  <c r="AF286" i="4"/>
  <c r="BA291" i="4"/>
  <c r="BA283" i="4"/>
  <c r="AF273" i="4"/>
  <c r="AF264" i="4"/>
  <c r="BA266" i="4"/>
  <c r="AF261" i="4"/>
  <c r="BA272" i="4"/>
  <c r="BA273" i="4"/>
  <c r="BA261" i="4"/>
  <c r="AF266" i="4"/>
  <c r="BA264" i="4"/>
  <c r="AF265" i="4"/>
  <c r="BA268" i="4"/>
  <c r="AF259" i="4"/>
  <c r="AF272" i="4"/>
  <c r="BA260" i="4"/>
  <c r="BA265" i="4"/>
  <c r="BA259" i="4"/>
  <c r="AF268" i="4"/>
  <c r="AF260" i="4"/>
  <c r="AF256" i="4"/>
  <c r="BA255" i="4"/>
  <c r="BA254" i="4"/>
  <c r="AF236" i="4"/>
  <c r="BA228" i="4"/>
  <c r="AF255" i="4"/>
  <c r="AF254" i="4"/>
  <c r="AF232" i="4"/>
  <c r="AF238" i="4"/>
  <c r="BA252" i="4"/>
  <c r="BA253" i="4"/>
  <c r="BA256" i="4"/>
  <c r="BA251" i="4"/>
  <c r="AF230" i="4"/>
  <c r="AF253" i="4"/>
  <c r="AF235" i="4"/>
  <c r="BA238" i="4"/>
  <c r="BA246" i="4"/>
  <c r="BA249" i="4"/>
  <c r="BA234" i="4"/>
  <c r="AF234" i="4"/>
  <c r="BA230" i="4"/>
  <c r="AF228" i="4"/>
  <c r="AF249" i="4"/>
  <c r="AF250" i="4"/>
  <c r="BA231" i="4"/>
  <c r="BA232" i="4"/>
  <c r="AF239" i="4"/>
  <c r="AF251" i="4"/>
  <c r="AF237" i="4"/>
  <c r="AF252" i="4"/>
  <c r="BA250" i="4"/>
  <c r="BA239" i="4"/>
  <c r="AF245" i="4"/>
  <c r="BA235" i="4"/>
  <c r="AF246" i="4"/>
  <c r="BA237" i="4"/>
  <c r="BA245" i="4"/>
  <c r="BA236" i="4"/>
  <c r="AF231" i="4"/>
  <c r="BA210" i="4"/>
  <c r="BA181" i="4"/>
  <c r="AF198" i="4"/>
  <c r="BA196" i="4"/>
  <c r="AX181" i="4"/>
  <c r="BA227" i="4"/>
  <c r="BA206" i="4"/>
  <c r="AF200" i="4"/>
  <c r="BA209" i="4"/>
  <c r="AF193" i="4"/>
  <c r="AF192" i="4"/>
  <c r="AF203" i="4"/>
  <c r="AF181" i="4"/>
  <c r="AF199" i="4"/>
  <c r="BA179" i="4"/>
  <c r="BA200" i="4"/>
  <c r="BA182" i="4"/>
  <c r="BA208" i="4"/>
  <c r="AF208" i="4"/>
  <c r="BA207" i="4"/>
  <c r="AF184" i="4"/>
  <c r="AF225" i="4"/>
  <c r="AF216" i="4"/>
  <c r="AF188" i="4"/>
  <c r="AF187" i="4"/>
  <c r="BA185" i="4"/>
  <c r="AF217" i="4"/>
  <c r="BA184" i="4"/>
  <c r="BA214" i="4"/>
  <c r="BA215" i="4"/>
  <c r="BA199" i="4"/>
  <c r="BA217" i="4"/>
  <c r="AF207" i="4"/>
  <c r="AF218" i="4"/>
  <c r="AF196" i="4"/>
  <c r="BA216" i="4"/>
  <c r="AF212" i="4"/>
  <c r="AF182" i="4"/>
  <c r="AF209" i="4"/>
  <c r="BA188" i="4"/>
  <c r="BA186" i="4"/>
  <c r="BA212" i="4"/>
  <c r="AF205" i="4"/>
  <c r="AF215" i="4"/>
  <c r="AF186" i="4"/>
  <c r="BA218" i="4"/>
  <c r="BA205" i="4"/>
  <c r="AF180" i="4"/>
  <c r="AF179" i="4"/>
  <c r="AF214" i="4"/>
  <c r="BA192" i="4"/>
  <c r="BA198" i="4"/>
  <c r="AF185" i="4"/>
  <c r="AF227" i="4"/>
  <c r="BA211" i="4"/>
  <c r="AF213" i="4"/>
  <c r="BA193" i="4"/>
  <c r="BA183" i="4"/>
  <c r="BA187" i="4"/>
  <c r="AF210" i="4"/>
  <c r="AF183" i="4"/>
  <c r="AF206" i="4"/>
  <c r="AF211" i="4"/>
  <c r="BA213" i="4"/>
  <c r="BA203" i="4"/>
  <c r="BA180" i="4"/>
  <c r="BA225" i="4"/>
  <c r="BA138" i="4"/>
  <c r="AF147" i="4"/>
  <c r="BA127" i="4"/>
  <c r="AF131" i="4"/>
  <c r="BA155" i="4"/>
  <c r="AF125" i="4"/>
  <c r="BA139" i="4"/>
  <c r="AF127" i="4"/>
  <c r="BA125" i="4"/>
  <c r="BA141" i="4"/>
  <c r="BA126" i="4"/>
  <c r="AF154" i="4"/>
  <c r="BA157" i="4"/>
  <c r="AF132" i="4"/>
  <c r="BA131" i="4"/>
  <c r="BA130" i="4"/>
  <c r="BA171" i="4"/>
  <c r="AF171" i="4"/>
  <c r="AF163" i="4"/>
  <c r="BA172" i="4"/>
  <c r="AF170" i="4"/>
  <c r="AF142" i="4"/>
  <c r="AF155" i="4"/>
  <c r="BA137" i="4"/>
  <c r="BA128" i="4"/>
  <c r="AF153" i="4"/>
  <c r="AF143" i="4"/>
  <c r="BA124" i="4"/>
  <c r="BA153" i="4"/>
  <c r="AF141" i="4"/>
  <c r="AF164" i="4"/>
  <c r="AF156" i="4"/>
  <c r="AF172" i="4"/>
  <c r="AF126" i="4"/>
  <c r="BA140" i="4"/>
  <c r="BA166" i="4"/>
  <c r="AF124" i="4"/>
  <c r="AF150" i="4"/>
  <c r="BA167" i="4"/>
  <c r="BA168" i="4"/>
  <c r="AF128" i="4"/>
  <c r="BA158" i="4"/>
  <c r="BA133" i="4"/>
  <c r="BA136" i="4"/>
  <c r="AF149" i="4"/>
  <c r="BA169" i="4"/>
  <c r="AF157" i="4"/>
  <c r="H21" i="15"/>
  <c r="I21" i="15"/>
  <c r="I22" i="15" s="1"/>
  <c r="AF158" i="4"/>
  <c r="AF167" i="4"/>
  <c r="AF168" i="4"/>
  <c r="AF176" i="4"/>
  <c r="AF169" i="4"/>
  <c r="AF166" i="4"/>
  <c r="AF173" i="4"/>
  <c r="BA170" i="4"/>
  <c r="BA173" i="4"/>
  <c r="BA176" i="4"/>
  <c r="BA164" i="4"/>
  <c r="BA156" i="4"/>
  <c r="BA163" i="4"/>
  <c r="BA154" i="4"/>
  <c r="AF137" i="4"/>
  <c r="AF138" i="4"/>
  <c r="AF130" i="4"/>
  <c r="AF136" i="4"/>
  <c r="AF139" i="4"/>
  <c r="BA134" i="4"/>
  <c r="AF133" i="4"/>
  <c r="AF140" i="4"/>
  <c r="BA150" i="4"/>
  <c r="AF134" i="4"/>
  <c r="BA142" i="4"/>
  <c r="AF151" i="4"/>
  <c r="BA143" i="4"/>
  <c r="AF152" i="4"/>
  <c r="BA151" i="4"/>
  <c r="BA149" i="4"/>
  <c r="BA147" i="4"/>
  <c r="BA132" i="4"/>
  <c r="BA152" i="4"/>
  <c r="N22" i="15"/>
  <c r="N21" i="15"/>
  <c r="AX62" i="4"/>
  <c r="AX57" i="4"/>
  <c r="AZ10" i="4"/>
  <c r="AX66" i="4"/>
  <c r="AZ16" i="4"/>
  <c r="AZ23" i="4"/>
  <c r="AV17" i="4"/>
  <c r="AZ19" i="4"/>
  <c r="AX58" i="4"/>
  <c r="AZ14" i="4"/>
  <c r="AZ12" i="4"/>
  <c r="AZ17" i="4"/>
  <c r="AZ13" i="4"/>
  <c r="AZ15" i="4"/>
  <c r="AZ18" i="4"/>
  <c r="BA73" i="4"/>
  <c r="AX67" i="4"/>
  <c r="AX68" i="4"/>
  <c r="BA78" i="4"/>
  <c r="AX69" i="4"/>
  <c r="AX65" i="4"/>
  <c r="AV23" i="4"/>
  <c r="AX28" i="4"/>
  <c r="AV14" i="4"/>
  <c r="AX18" i="4"/>
  <c r="AV22" i="4"/>
  <c r="AV11" i="4"/>
  <c r="AV9" i="4"/>
  <c r="AV10" i="4"/>
  <c r="AV15" i="4"/>
  <c r="AX16" i="4"/>
  <c r="AX15" i="4"/>
  <c r="AV16" i="4"/>
  <c r="AX22" i="4"/>
  <c r="AV19" i="4"/>
  <c r="AX55" i="4"/>
  <c r="AX34" i="4"/>
  <c r="AX53" i="4"/>
  <c r="AX47" i="4"/>
  <c r="AX48" i="4"/>
  <c r="AX29" i="4"/>
  <c r="AV13" i="4"/>
  <c r="AX42" i="4"/>
  <c r="AX37" i="4"/>
  <c r="AX33" i="4"/>
  <c r="AX32" i="4"/>
  <c r="AX43" i="4"/>
  <c r="AX21" i="4"/>
  <c r="AX27" i="4"/>
  <c r="AX19" i="4"/>
  <c r="AX13" i="4"/>
  <c r="AX35" i="4"/>
  <c r="AX17" i="4"/>
  <c r="AX30" i="4"/>
  <c r="AV18" i="4"/>
  <c r="AX31" i="4"/>
  <c r="AV8" i="4"/>
  <c r="AZ42" i="4"/>
  <c r="AX26" i="4"/>
  <c r="AX49" i="4"/>
  <c r="AX24" i="4"/>
  <c r="AX36" i="4"/>
  <c r="AX23" i="4"/>
  <c r="AV21" i="4"/>
  <c r="AX46" i="4"/>
  <c r="AV34" i="4"/>
  <c r="AZ28" i="4"/>
  <c r="AZ36" i="4"/>
  <c r="AZ29" i="4"/>
  <c r="AZ34" i="4"/>
  <c r="AZ30" i="4"/>
  <c r="AZ37" i="4"/>
  <c r="AZ40" i="4"/>
  <c r="AZ33" i="4"/>
  <c r="AZ35" i="4"/>
  <c r="AZ27" i="4"/>
  <c r="AZ32" i="4"/>
  <c r="AZ31" i="4"/>
  <c r="AX41" i="4"/>
  <c r="AZ41" i="4"/>
  <c r="AZ24" i="4"/>
  <c r="AZ22" i="4"/>
  <c r="AZ21" i="4"/>
  <c r="AZ11" i="4"/>
  <c r="AZ8" i="4"/>
  <c r="AZ26" i="4"/>
  <c r="AZ25" i="4"/>
  <c r="AZ43" i="4"/>
  <c r="AZ38" i="4"/>
  <c r="AF327" i="4"/>
  <c r="BA327" i="4"/>
  <c r="AF368" i="4"/>
  <c r="BA368" i="4"/>
  <c r="BA387" i="4"/>
  <c r="AF382" i="4"/>
  <c r="BA394" i="4"/>
  <c r="BA386" i="4"/>
  <c r="AF413" i="4"/>
  <c r="AF386" i="4"/>
  <c r="AF406" i="4"/>
  <c r="BA414" i="4"/>
  <c r="BA382" i="4"/>
  <c r="AF387" i="4"/>
  <c r="BA406" i="4"/>
  <c r="AF394" i="4"/>
  <c r="BA397" i="4"/>
  <c r="AF396" i="4"/>
  <c r="BA399" i="4"/>
  <c r="AF412" i="4"/>
  <c r="BA405" i="4"/>
  <c r="AF399" i="4"/>
  <c r="BA408" i="4"/>
  <c r="AF405" i="4"/>
  <c r="AF371" i="4"/>
  <c r="BA371" i="4"/>
  <c r="AF407" i="4"/>
  <c r="AF401" i="4"/>
  <c r="BA392" i="4"/>
  <c r="BA401" i="4"/>
  <c r="AF393" i="4"/>
  <c r="AF392" i="4"/>
  <c r="BA407" i="4"/>
  <c r="BA393" i="4"/>
  <c r="AF391" i="4"/>
  <c r="BA385" i="4"/>
  <c r="BA359" i="4"/>
  <c r="BA391" i="4"/>
  <c r="AF404" i="4"/>
  <c r="BA369" i="4"/>
  <c r="AF369" i="4"/>
  <c r="AF358" i="4"/>
  <c r="BA404" i="4"/>
  <c r="AF385" i="4"/>
  <c r="BA366" i="4"/>
  <c r="AF370" i="4"/>
  <c r="AF402" i="4"/>
  <c r="BA363" i="4"/>
  <c r="AF363" i="4"/>
  <c r="BA400" i="4"/>
  <c r="AF395" i="4"/>
  <c r="BA370" i="4"/>
  <c r="BA402" i="4"/>
  <c r="AF400" i="4"/>
  <c r="AF366" i="4"/>
  <c r="BA395" i="4"/>
  <c r="BA384" i="4"/>
  <c r="BA332" i="4"/>
  <c r="AF354" i="4"/>
  <c r="AF332" i="4"/>
  <c r="BA330" i="4"/>
  <c r="AF410" i="4"/>
  <c r="BA396" i="4"/>
  <c r="AF384" i="4"/>
  <c r="AF330" i="4"/>
  <c r="BA354" i="4"/>
  <c r="AF244" i="4"/>
  <c r="AF326" i="4"/>
  <c r="AF389" i="4"/>
  <c r="BA388" i="4"/>
  <c r="BA390" i="4"/>
  <c r="BA389" i="4"/>
  <c r="BA365" i="4"/>
  <c r="AF379" i="4"/>
  <c r="BA326" i="4"/>
  <c r="BA379" i="4"/>
  <c r="AF390" i="4"/>
  <c r="BA288" i="4"/>
  <c r="AF365" i="4"/>
  <c r="AF388" i="4"/>
  <c r="BA244" i="4"/>
  <c r="AF288" i="4"/>
  <c r="BA378" i="4"/>
  <c r="AF191" i="4"/>
  <c r="AF374" i="4"/>
  <c r="BA375" i="4"/>
  <c r="BA374" i="4"/>
  <c r="AF353" i="4"/>
  <c r="AF377" i="4"/>
  <c r="BA319" i="4"/>
  <c r="AF376" i="4"/>
  <c r="BA305" i="4"/>
  <c r="AF319" i="4"/>
  <c r="BA191" i="4"/>
  <c r="AF123" i="4"/>
  <c r="AF318" i="4"/>
  <c r="BA373" i="4"/>
  <c r="AF383" i="4"/>
  <c r="BA123" i="4"/>
  <c r="AF375" i="4"/>
  <c r="BA383" i="4"/>
  <c r="BA377" i="4"/>
  <c r="BA376" i="4"/>
  <c r="BA318" i="4"/>
  <c r="AF378" i="4"/>
  <c r="AF373" i="4"/>
  <c r="AF362" i="4"/>
  <c r="BA352" i="4"/>
  <c r="AF305" i="4"/>
  <c r="AF162" i="4"/>
  <c r="BA362" i="4"/>
  <c r="BA160" i="4"/>
  <c r="BA162" i="4"/>
  <c r="AF160" i="4"/>
  <c r="BA353" i="4"/>
  <c r="AF352" i="4"/>
  <c r="BA325" i="4"/>
  <c r="BA360" i="4"/>
  <c r="AF360" i="4"/>
  <c r="BA258" i="4"/>
  <c r="AF347" i="4"/>
  <c r="AF324" i="4"/>
  <c r="AF325" i="4"/>
  <c r="BA347" i="4"/>
  <c r="BA105" i="4"/>
  <c r="AF243" i="4"/>
  <c r="BA324" i="4"/>
  <c r="AF258" i="4"/>
  <c r="BA323" i="4"/>
  <c r="BA243" i="4"/>
  <c r="AF323" i="4"/>
  <c r="BA178" i="4"/>
  <c r="AF105" i="4"/>
  <c r="AF178" i="4"/>
  <c r="AF287" i="4"/>
  <c r="AF224" i="4"/>
  <c r="AF311" i="4"/>
  <c r="AF103" i="4"/>
  <c r="AF190" i="4"/>
  <c r="BA222" i="4"/>
  <c r="BA104" i="4"/>
  <c r="AF303" i="4"/>
  <c r="BA303" i="4"/>
  <c r="BA226" i="4"/>
  <c r="BA311" i="4"/>
  <c r="AF226" i="4"/>
  <c r="BA224" i="4"/>
  <c r="BA340" i="4"/>
  <c r="AF104" i="4"/>
  <c r="AF222" i="4"/>
  <c r="BA103" i="4"/>
  <c r="BA129" i="4"/>
  <c r="AF340" i="4"/>
  <c r="BA190" i="4"/>
  <c r="BA287" i="4"/>
  <c r="BA223" i="4"/>
  <c r="AF223" i="4"/>
  <c r="BA64" i="4"/>
  <c r="AF304" i="4"/>
  <c r="AF356" i="4"/>
  <c r="BA175" i="4"/>
  <c r="AF175" i="4"/>
  <c r="BA357" i="4"/>
  <c r="BA263" i="4"/>
  <c r="AF64" i="4"/>
  <c r="BA279" i="4"/>
  <c r="AF285" i="4"/>
  <c r="BA304" i="4"/>
  <c r="AF129" i="4"/>
  <c r="BA285" i="4"/>
  <c r="AF279" i="4"/>
  <c r="AF263" i="4"/>
  <c r="BA351" i="4"/>
  <c r="BA177" i="4"/>
  <c r="BA45" i="4"/>
  <c r="AF45" i="4"/>
  <c r="AF344" i="4"/>
  <c r="AF177" i="4"/>
  <c r="AF351" i="4"/>
  <c r="BA350" i="4"/>
  <c r="AF350" i="4"/>
  <c r="BA344" i="4"/>
  <c r="AZ20" i="4"/>
  <c r="BA110" i="4"/>
  <c r="BA195" i="4"/>
  <c r="AY195" i="4"/>
  <c r="BA74" i="4"/>
  <c r="BA135" i="4"/>
  <c r="AX44" i="4"/>
  <c r="AX52" i="4"/>
  <c r="BA197" i="4"/>
  <c r="AF248" i="4"/>
  <c r="AF204" i="4"/>
  <c r="BA204" i="4"/>
  <c r="AU204" i="4"/>
  <c r="BA337" i="4"/>
  <c r="AW337" i="4"/>
  <c r="BA349" i="4"/>
  <c r="AX20" i="4"/>
  <c r="BA271" i="4"/>
  <c r="BA381" i="4"/>
  <c r="AF229" i="4"/>
  <c r="BA201" i="4"/>
  <c r="AF110" i="4"/>
  <c r="BA248" i="4"/>
  <c r="BA339" i="4"/>
  <c r="AW339" i="4"/>
  <c r="BA270" i="4"/>
  <c r="BA75" i="4"/>
  <c r="BA122" i="4"/>
  <c r="AY122" i="4"/>
  <c r="BA221" i="4"/>
  <c r="AW221" i="4"/>
  <c r="AX54" i="4"/>
  <c r="AX109" i="4"/>
  <c r="BA113" i="4"/>
  <c r="BA242" i="4"/>
  <c r="BA220" i="4"/>
  <c r="BA331" i="4"/>
  <c r="BA240" i="4"/>
  <c r="BA102" i="4"/>
  <c r="BA145" i="4"/>
  <c r="AU145" i="4"/>
  <c r="BA269" i="4"/>
  <c r="BA257" i="4"/>
  <c r="AX60" i="4"/>
  <c r="AX50" i="4"/>
  <c r="AX73" i="4"/>
  <c r="BA310" i="4"/>
  <c r="AW310" i="4"/>
  <c r="AF349" i="4"/>
  <c r="AF331" i="4"/>
  <c r="BA85" i="4"/>
  <c r="AF242" i="4"/>
  <c r="AX25" i="4"/>
  <c r="AX40" i="4"/>
  <c r="BA159" i="4"/>
  <c r="BA233" i="4"/>
  <c r="BA161" i="4"/>
  <c r="BA174" i="4"/>
  <c r="BA165" i="4"/>
  <c r="AU165" i="4"/>
  <c r="BA315" i="4"/>
  <c r="AY315" i="4"/>
  <c r="BA194" i="4"/>
  <c r="AX38" i="4"/>
  <c r="BA290" i="4"/>
  <c r="BA275" i="4"/>
  <c r="AU275" i="4"/>
  <c r="BA262" i="4"/>
  <c r="AU262" i="4"/>
  <c r="AZ39" i="4"/>
  <c r="BA241" i="4"/>
  <c r="BA355" i="4"/>
  <c r="AX72" i="4"/>
  <c r="BA76" i="4"/>
  <c r="AF290" i="4"/>
  <c r="BA202" i="4"/>
  <c r="AV20" i="4"/>
  <c r="BA267" i="4"/>
  <c r="BA148" i="4"/>
  <c r="AF241" i="4"/>
  <c r="AX61" i="4"/>
  <c r="AX59" i="4"/>
  <c r="AX71" i="4"/>
  <c r="AF343" i="4"/>
  <c r="AF247" i="4"/>
  <c r="BA277" i="4"/>
  <c r="AU277" i="4"/>
  <c r="BA309" i="4"/>
  <c r="AU309" i="4"/>
  <c r="AX83" i="4"/>
  <c r="AX74" i="4"/>
  <c r="AX63" i="4"/>
  <c r="BA219" i="4"/>
  <c r="BA276" i="4"/>
  <c r="AU276" i="4"/>
  <c r="BA146" i="4"/>
  <c r="AU146" i="4"/>
  <c r="BA367" i="4"/>
  <c r="BA284" i="4"/>
  <c r="AX39" i="4"/>
  <c r="BA189" i="4"/>
  <c r="AY189" i="4"/>
  <c r="BA144" i="4"/>
  <c r="BA229" i="4"/>
  <c r="AX56" i="4"/>
  <c r="AX70" i="4"/>
  <c r="AX51" i="4"/>
  <c r="AF355" i="4"/>
  <c r="BA274" i="4"/>
  <c r="BA247" i="4"/>
  <c r="BA343" i="4"/>
  <c r="AF202" i="4"/>
  <c r="AF275" i="4"/>
  <c r="AF315" i="4"/>
  <c r="AF174" i="4"/>
  <c r="AF284" i="4"/>
  <c r="AF113" i="4"/>
  <c r="AF339" i="4"/>
  <c r="AF277" i="4"/>
  <c r="AF221" i="4"/>
  <c r="AF271" i="4"/>
  <c r="AF233" i="4"/>
  <c r="AF165" i="4"/>
  <c r="AF146" i="4"/>
  <c r="AF337" i="4"/>
  <c r="AF189" i="4"/>
  <c r="AF220" i="4"/>
  <c r="AF276" i="4"/>
  <c r="AF195" i="4"/>
  <c r="AF310" i="4"/>
  <c r="AF148" i="4"/>
  <c r="AF201" i="4"/>
  <c r="AF85" i="4"/>
  <c r="AF76" i="4"/>
  <c r="AF75" i="4"/>
  <c r="AF102" i="4"/>
  <c r="AF197" i="4"/>
  <c r="AF262" i="4"/>
  <c r="AF161" i="4"/>
  <c r="AF274" i="4"/>
  <c r="AF309" i="4"/>
  <c r="AF267" i="4"/>
  <c r="AF159" i="4"/>
  <c r="AF269" i="4"/>
  <c r="AF74" i="4"/>
  <c r="AF270" i="4"/>
  <c r="AF367" i="4"/>
  <c r="AF144" i="4"/>
  <c r="AF135" i="4"/>
  <c r="AF145" i="4"/>
  <c r="AF122" i="4"/>
  <c r="AF194" i="4"/>
  <c r="AF219" i="4"/>
  <c r="AF381" i="4"/>
  <c r="AF257" i="4"/>
  <c r="AF240" i="4"/>
  <c r="H5" i="5"/>
  <c r="D17" i="5"/>
  <c r="AX155" i="4" l="1"/>
  <c r="AX140" i="4"/>
  <c r="AX211" i="4"/>
  <c r="AX186" i="4"/>
  <c r="AX127" i="4"/>
  <c r="AX166" i="4"/>
  <c r="AX154" i="4"/>
  <c r="AX100" i="4"/>
  <c r="AX75" i="4"/>
  <c r="AX188" i="4"/>
  <c r="AV422" i="4"/>
  <c r="AX422" i="4"/>
  <c r="AZ422" i="4"/>
  <c r="AV421" i="4"/>
  <c r="AZ421" i="4"/>
  <c r="AV420" i="4"/>
  <c r="AX92" i="4"/>
  <c r="AX420" i="4"/>
  <c r="AX421" i="4"/>
  <c r="AZ420" i="4"/>
  <c r="AV419" i="4"/>
  <c r="AV418" i="4"/>
  <c r="AX202" i="4"/>
  <c r="AX192" i="4"/>
  <c r="AX219" i="4"/>
  <c r="AX141" i="4"/>
  <c r="AX158" i="4"/>
  <c r="AX113" i="4"/>
  <c r="AX227" i="4"/>
  <c r="AX111" i="4"/>
  <c r="AX196" i="4"/>
  <c r="AX149" i="4"/>
  <c r="AX157" i="4"/>
  <c r="AX90" i="4"/>
  <c r="AX217" i="4"/>
  <c r="AX138" i="4"/>
  <c r="AX167" i="4"/>
  <c r="AX131" i="4"/>
  <c r="AX170" i="4"/>
  <c r="AX203" i="4"/>
  <c r="AX125" i="4"/>
  <c r="AX86" i="4"/>
  <c r="AX213" i="4"/>
  <c r="AX207" i="4"/>
  <c r="AX91" i="4"/>
  <c r="AX418" i="4"/>
  <c r="AX102" i="4"/>
  <c r="AX99" i="4"/>
  <c r="AX118" i="4"/>
  <c r="AX159" i="4"/>
  <c r="AX156" i="4"/>
  <c r="AX176" i="4"/>
  <c r="AX206" i="4"/>
  <c r="AX124" i="4"/>
  <c r="AX419" i="4"/>
  <c r="AX187" i="4"/>
  <c r="AX79" i="4"/>
  <c r="AX76" i="4"/>
  <c r="AX164" i="4"/>
  <c r="AX151" i="4"/>
  <c r="AX200" i="4"/>
  <c r="AX77" i="4"/>
  <c r="AX183" i="4"/>
  <c r="AX136" i="4"/>
  <c r="AX172" i="4"/>
  <c r="AX126" i="4"/>
  <c r="AX163" i="4"/>
  <c r="AX121" i="4"/>
  <c r="AX95" i="4"/>
  <c r="AX173" i="4"/>
  <c r="AX185" i="4"/>
  <c r="AX101" i="4"/>
  <c r="AX145" i="4"/>
  <c r="AX197" i="4"/>
  <c r="AX130" i="4"/>
  <c r="AX114" i="4"/>
  <c r="AX120" i="4"/>
  <c r="AX174" i="4"/>
  <c r="AX153" i="4"/>
  <c r="AX168" i="4"/>
  <c r="AX112" i="4"/>
  <c r="AX128" i="4"/>
  <c r="AX209" i="4"/>
  <c r="AX97" i="4"/>
  <c r="AX116" i="4"/>
  <c r="AZ419" i="4"/>
  <c r="AX150" i="4"/>
  <c r="AX193" i="4"/>
  <c r="AX122" i="4"/>
  <c r="AX198" i="4"/>
  <c r="AX216" i="4"/>
  <c r="AX194" i="4"/>
  <c r="AX179" i="4"/>
  <c r="AX106" i="4"/>
  <c r="AX161" i="4"/>
  <c r="AZ418" i="4"/>
  <c r="AX182" i="4"/>
  <c r="AX212" i="4"/>
  <c r="AX134" i="4"/>
  <c r="AX94" i="4"/>
  <c r="AX148" i="4"/>
  <c r="AX93" i="4"/>
  <c r="AX144" i="4"/>
  <c r="AX201" i="4"/>
  <c r="AX184" i="4"/>
  <c r="AX199" i="4"/>
  <c r="AX220" i="4"/>
  <c r="AX218" i="4"/>
  <c r="AX204" i="4"/>
  <c r="AX139" i="4"/>
  <c r="AX135" i="4"/>
  <c r="AX87" i="4"/>
  <c r="AX96" i="4"/>
  <c r="AX137" i="4"/>
  <c r="AX147" i="4"/>
  <c r="AX85" i="4"/>
  <c r="AX84" i="4"/>
  <c r="AX208" i="4"/>
  <c r="AX107" i="4"/>
  <c r="AX80" i="4"/>
  <c r="AX215" i="4"/>
  <c r="AX117" i="4"/>
  <c r="AX132" i="4"/>
  <c r="AX171" i="4"/>
  <c r="AX205" i="4"/>
  <c r="AX169" i="4"/>
  <c r="AX98" i="4"/>
  <c r="AX82" i="4"/>
  <c r="AX78" i="4"/>
  <c r="AX89" i="4"/>
  <c r="AX152" i="4"/>
  <c r="AX180" i="4"/>
  <c r="AX88" i="4"/>
  <c r="AX133" i="4"/>
  <c r="AX119" i="4"/>
  <c r="AX108" i="4"/>
  <c r="AX142" i="4"/>
  <c r="AX143" i="4"/>
  <c r="AX214" i="4"/>
  <c r="AX115" i="4"/>
  <c r="AX210" i="4"/>
  <c r="AX413" i="4"/>
  <c r="AZ416" i="4"/>
  <c r="AV415" i="4"/>
  <c r="AZ413" i="4"/>
  <c r="AZ415" i="4"/>
  <c r="AV413" i="4"/>
  <c r="AX416" i="4"/>
  <c r="AX415" i="4"/>
  <c r="AV416" i="4"/>
  <c r="AX381" i="4"/>
  <c r="AZ412" i="4"/>
  <c r="AX367" i="4"/>
  <c r="AV409" i="4"/>
  <c r="AX409" i="4"/>
  <c r="AZ381" i="4"/>
  <c r="AX411" i="4"/>
  <c r="AX410" i="4"/>
  <c r="AV410" i="4"/>
  <c r="AZ411" i="4"/>
  <c r="AX412" i="4"/>
  <c r="AV412" i="4"/>
  <c r="AZ409" i="4"/>
  <c r="AZ410" i="4"/>
  <c r="AV380" i="4"/>
  <c r="AZ50" i="4"/>
  <c r="AV411" i="4"/>
  <c r="AX356" i="4"/>
  <c r="AX380" i="4"/>
  <c r="AZ358" i="4"/>
  <c r="AV358" i="4"/>
  <c r="AZ356" i="4"/>
  <c r="AX358" i="4"/>
  <c r="AV356" i="4"/>
  <c r="AZ380" i="4"/>
  <c r="AX361" i="4"/>
  <c r="AZ364" i="4"/>
  <c r="AZ361" i="4"/>
  <c r="AX364" i="4"/>
  <c r="AV47" i="4"/>
  <c r="AV361" i="4"/>
  <c r="AV364" i="4"/>
  <c r="AV31" i="4"/>
  <c r="AV35" i="4"/>
  <c r="AZ51" i="4"/>
  <c r="AV28" i="4"/>
  <c r="AV30" i="4"/>
  <c r="AV25" i="4"/>
  <c r="AV26" i="4"/>
  <c r="AZ49" i="4"/>
  <c r="AZ65" i="4"/>
  <c r="AV29" i="4"/>
  <c r="AZ46" i="4"/>
  <c r="AZ48" i="4"/>
  <c r="AV36" i="4"/>
  <c r="AV33" i="4"/>
  <c r="AV27" i="4"/>
  <c r="AZ47" i="4"/>
  <c r="AV37" i="4"/>
  <c r="AV24" i="4"/>
  <c r="AV32" i="4"/>
  <c r="AV52" i="4"/>
  <c r="AZ52" i="4"/>
  <c r="AZ73" i="4"/>
  <c r="AZ67" i="4"/>
  <c r="AZ115" i="4"/>
  <c r="AZ63" i="4"/>
  <c r="AZ68" i="4"/>
  <c r="AZ57" i="4"/>
  <c r="AZ60" i="4"/>
  <c r="AZ61" i="4"/>
  <c r="AZ72" i="4"/>
  <c r="AZ348" i="4"/>
  <c r="AZ70" i="4"/>
  <c r="AZ54" i="4"/>
  <c r="AZ69" i="4"/>
  <c r="AZ56" i="4"/>
  <c r="AZ58" i="4"/>
  <c r="AZ62" i="4"/>
  <c r="AZ71" i="4"/>
  <c r="AZ59" i="4"/>
  <c r="AV348" i="4"/>
  <c r="AZ53" i="4"/>
  <c r="AX348" i="4"/>
  <c r="AZ55" i="4"/>
  <c r="AZ66" i="4"/>
  <c r="AZ118" i="4"/>
  <c r="AZ109" i="4"/>
  <c r="AZ89" i="4"/>
  <c r="AV98" i="4"/>
  <c r="AZ112" i="4"/>
  <c r="AZ79" i="4"/>
  <c r="AZ107" i="4"/>
  <c r="AZ116" i="4"/>
  <c r="AV54" i="4"/>
  <c r="AZ106" i="4"/>
  <c r="AX308" i="4"/>
  <c r="AZ84" i="4"/>
  <c r="AZ94" i="4"/>
  <c r="AZ82" i="4"/>
  <c r="AV51" i="4"/>
  <c r="AV49" i="4"/>
  <c r="AV59" i="4"/>
  <c r="AV39" i="4"/>
  <c r="AZ120" i="4"/>
  <c r="AZ83" i="4"/>
  <c r="AZ98" i="4"/>
  <c r="AV53" i="4"/>
  <c r="AZ95" i="4"/>
  <c r="AZ108" i="4"/>
  <c r="AV55" i="4"/>
  <c r="AV57" i="4"/>
  <c r="AV121" i="4"/>
  <c r="AZ91" i="4"/>
  <c r="AV119" i="4"/>
  <c r="AZ96" i="4"/>
  <c r="AV41" i="4"/>
  <c r="AV38" i="4"/>
  <c r="AZ93" i="4"/>
  <c r="AZ114" i="4"/>
  <c r="AZ88" i="4"/>
  <c r="AZ111" i="4"/>
  <c r="AZ80" i="4"/>
  <c r="AV43" i="4"/>
  <c r="AV130" i="4"/>
  <c r="AV40" i="4"/>
  <c r="AZ81" i="4"/>
  <c r="AZ117" i="4"/>
  <c r="AV46" i="4"/>
  <c r="AZ92" i="4"/>
  <c r="AV111" i="4"/>
  <c r="AV56" i="4"/>
  <c r="AZ99" i="4"/>
  <c r="AV42" i="4"/>
  <c r="AV50" i="4"/>
  <c r="AZ90" i="4"/>
  <c r="AZ101" i="4"/>
  <c r="AZ119" i="4"/>
  <c r="AV44" i="4"/>
  <c r="AZ100" i="4"/>
  <c r="AZ97" i="4"/>
  <c r="AZ77" i="4"/>
  <c r="AZ121" i="4"/>
  <c r="AV48" i="4"/>
  <c r="AZ78" i="4"/>
  <c r="AZ87" i="4"/>
  <c r="AZ86" i="4"/>
  <c r="AV139" i="4"/>
  <c r="AV58" i="4"/>
  <c r="AV90" i="4"/>
  <c r="AV96" i="4"/>
  <c r="AV116" i="4"/>
  <c r="AV138" i="4"/>
  <c r="AV82" i="4"/>
  <c r="AV108" i="4"/>
  <c r="AV124" i="4"/>
  <c r="AV70" i="4"/>
  <c r="AV132" i="4"/>
  <c r="AV61" i="4"/>
  <c r="AV84" i="4"/>
  <c r="AV62" i="4"/>
  <c r="AV80" i="4"/>
  <c r="AV97" i="4"/>
  <c r="AV95" i="4"/>
  <c r="AV131" i="4"/>
  <c r="AV141" i="4"/>
  <c r="AV63" i="4"/>
  <c r="AV89" i="4"/>
  <c r="AV92" i="4"/>
  <c r="AV83" i="4"/>
  <c r="AV115" i="4"/>
  <c r="AV128" i="4"/>
  <c r="AV100" i="4"/>
  <c r="AV99" i="4"/>
  <c r="AV107" i="4"/>
  <c r="AV143" i="4"/>
  <c r="AV142" i="4"/>
  <c r="AV106" i="4"/>
  <c r="AV137" i="4"/>
  <c r="AV86" i="4"/>
  <c r="AV91" i="4"/>
  <c r="AV81" i="4"/>
  <c r="AV125" i="4"/>
  <c r="AV136" i="4"/>
  <c r="AV134" i="4"/>
  <c r="AV94" i="4"/>
  <c r="AV114" i="4"/>
  <c r="AV140" i="4"/>
  <c r="AV112" i="4"/>
  <c r="AV93" i="4"/>
  <c r="AV109" i="4"/>
  <c r="AV127" i="4"/>
  <c r="AV117" i="4"/>
  <c r="AV118" i="4"/>
  <c r="AV126" i="4"/>
  <c r="AV133" i="4"/>
  <c r="AV88" i="4"/>
  <c r="AV101" i="4"/>
  <c r="AV60" i="4"/>
  <c r="AV87" i="4"/>
  <c r="AV120" i="4"/>
  <c r="AZ342" i="4"/>
  <c r="AV342" i="4"/>
  <c r="AV345" i="4"/>
  <c r="AZ346" i="4"/>
  <c r="AX342" i="4"/>
  <c r="AZ345" i="4"/>
  <c r="AX345" i="4"/>
  <c r="AX346" i="4"/>
  <c r="AV346" i="4"/>
  <c r="AZ336" i="4"/>
  <c r="AX316" i="4"/>
  <c r="AZ338" i="4"/>
  <c r="AV336" i="4"/>
  <c r="AV338" i="4"/>
  <c r="AX341" i="4"/>
  <c r="AV341" i="4"/>
  <c r="AZ341" i="4"/>
  <c r="AX336" i="4"/>
  <c r="AX338" i="4"/>
  <c r="AV335" i="4"/>
  <c r="AX335" i="4"/>
  <c r="AZ169" i="4"/>
  <c r="AZ335" i="4"/>
  <c r="AZ334" i="4"/>
  <c r="AX333" i="4"/>
  <c r="AZ333" i="4"/>
  <c r="AX334" i="4"/>
  <c r="AV334" i="4"/>
  <c r="AV333" i="4"/>
  <c r="AX317" i="4"/>
  <c r="AX320" i="4"/>
  <c r="AX328" i="4"/>
  <c r="AZ308" i="4"/>
  <c r="AX322" i="4"/>
  <c r="AZ317" i="4"/>
  <c r="AZ322" i="4"/>
  <c r="AV316" i="4"/>
  <c r="AV321" i="4"/>
  <c r="AZ321" i="4"/>
  <c r="AZ320" i="4"/>
  <c r="AZ329" i="4"/>
  <c r="AV317" i="4"/>
  <c r="AX329" i="4"/>
  <c r="AV322" i="4"/>
  <c r="AX321" i="4"/>
  <c r="AV320" i="4"/>
  <c r="AV314" i="4"/>
  <c r="AV307" i="4"/>
  <c r="AV328" i="4"/>
  <c r="AZ328" i="4"/>
  <c r="AV329" i="4"/>
  <c r="AX307" i="4"/>
  <c r="AX313" i="4"/>
  <c r="AZ316" i="4"/>
  <c r="AV308" i="4"/>
  <c r="AZ313" i="4"/>
  <c r="AZ306" i="4"/>
  <c r="AX314" i="4"/>
  <c r="AV312" i="4"/>
  <c r="AX306" i="4"/>
  <c r="AV313" i="4"/>
  <c r="AV306" i="4"/>
  <c r="AX312" i="4"/>
  <c r="AZ314" i="4"/>
  <c r="AZ312" i="4"/>
  <c r="AZ307" i="4"/>
  <c r="AZ297" i="4"/>
  <c r="AZ302" i="4"/>
  <c r="AX291" i="4"/>
  <c r="AX280" i="4"/>
  <c r="AX297" i="4"/>
  <c r="AX282" i="4"/>
  <c r="AX293" i="4"/>
  <c r="AX299" i="4"/>
  <c r="AX301" i="4"/>
  <c r="AX295" i="4"/>
  <c r="AX296" i="4"/>
  <c r="AX289" i="4"/>
  <c r="AX300" i="4"/>
  <c r="AX292" i="4"/>
  <c r="AX294" i="4"/>
  <c r="AX278" i="4"/>
  <c r="AX298" i="4"/>
  <c r="AV294" i="4"/>
  <c r="AV291" i="4"/>
  <c r="AV299" i="4"/>
  <c r="AV289" i="4"/>
  <c r="AV297" i="4"/>
  <c r="AV300" i="4"/>
  <c r="AV278" i="4"/>
  <c r="AZ301" i="4"/>
  <c r="AV283" i="4"/>
  <c r="AZ291" i="4"/>
  <c r="AV292" i="4"/>
  <c r="AZ280" i="4"/>
  <c r="AX283" i="4"/>
  <c r="AX286" i="4"/>
  <c r="AV296" i="4"/>
  <c r="AV282" i="4"/>
  <c r="AZ278" i="4"/>
  <c r="AV295" i="4"/>
  <c r="AV286" i="4"/>
  <c r="AV280" i="4"/>
  <c r="AZ293" i="4"/>
  <c r="AX281" i="4"/>
  <c r="AV293" i="4"/>
  <c r="AV298" i="4"/>
  <c r="AZ281" i="4"/>
  <c r="AZ283" i="4"/>
  <c r="AZ286" i="4"/>
  <c r="AZ299" i="4"/>
  <c r="AZ300" i="4"/>
  <c r="AV281" i="4"/>
  <c r="AZ289" i="4"/>
  <c r="AZ294" i="4"/>
  <c r="AZ298" i="4"/>
  <c r="AZ296" i="4"/>
  <c r="AZ295" i="4"/>
  <c r="AV301" i="4"/>
  <c r="AX302" i="4"/>
  <c r="AZ292" i="4"/>
  <c r="AZ282" i="4"/>
  <c r="AV302" i="4"/>
  <c r="AX284" i="4"/>
  <c r="AX255" i="4"/>
  <c r="AX272" i="4"/>
  <c r="AZ266" i="4"/>
  <c r="AV272" i="4"/>
  <c r="AX237" i="4"/>
  <c r="AV260" i="4"/>
  <c r="AX240" i="4"/>
  <c r="AX230" i="4"/>
  <c r="AV261" i="4"/>
  <c r="AX268" i="4"/>
  <c r="AX261" i="4"/>
  <c r="AX228" i="4"/>
  <c r="AX264" i="4"/>
  <c r="AX257" i="4"/>
  <c r="AX269" i="4"/>
  <c r="AX273" i="4"/>
  <c r="AX231" i="4"/>
  <c r="AV265" i="4"/>
  <c r="AX239" i="4"/>
  <c r="AX238" i="4"/>
  <c r="AX235" i="4"/>
  <c r="AX232" i="4"/>
  <c r="AX246" i="4"/>
  <c r="AX265" i="4"/>
  <c r="AX252" i="4"/>
  <c r="AX274" i="4"/>
  <c r="AX266" i="4"/>
  <c r="AX254" i="4"/>
  <c r="AX259" i="4"/>
  <c r="AX260" i="4"/>
  <c r="AX251" i="4"/>
  <c r="AX267" i="4"/>
  <c r="AV266" i="4"/>
  <c r="AZ264" i="4"/>
  <c r="AZ261" i="4"/>
  <c r="AX270" i="4"/>
  <c r="AV268" i="4"/>
  <c r="AZ273" i="4"/>
  <c r="AZ265" i="4"/>
  <c r="AZ272" i="4"/>
  <c r="AV273" i="4"/>
  <c r="AZ268" i="4"/>
  <c r="AV259" i="4"/>
  <c r="AV264" i="4"/>
  <c r="AZ260" i="4"/>
  <c r="AZ259" i="4"/>
  <c r="AX234" i="4"/>
  <c r="AX256" i="4"/>
  <c r="AX249" i="4"/>
  <c r="AV232" i="4"/>
  <c r="AZ173" i="4"/>
  <c r="AZ256" i="4"/>
  <c r="AZ253" i="4"/>
  <c r="AV186" i="4"/>
  <c r="AV256" i="4"/>
  <c r="AV254" i="4"/>
  <c r="AX253" i="4"/>
  <c r="AZ216" i="4"/>
  <c r="AZ257" i="4"/>
  <c r="AZ254" i="4"/>
  <c r="AZ255" i="4"/>
  <c r="AV255" i="4"/>
  <c r="AZ188" i="4"/>
  <c r="AV239" i="4"/>
  <c r="AZ246" i="4"/>
  <c r="AV231" i="4"/>
  <c r="AZ205" i="4"/>
  <c r="AV252" i="4"/>
  <c r="AZ234" i="4"/>
  <c r="AV253" i="4"/>
  <c r="AV236" i="4"/>
  <c r="AV246" i="4"/>
  <c r="AZ237" i="4"/>
  <c r="AZ236" i="4"/>
  <c r="AV250" i="4"/>
  <c r="AV238" i="4"/>
  <c r="AZ238" i="4"/>
  <c r="AZ230" i="4"/>
  <c r="AV249" i="4"/>
  <c r="AV237" i="4"/>
  <c r="AZ252" i="4"/>
  <c r="AZ232" i="4"/>
  <c r="AX245" i="4"/>
  <c r="AZ239" i="4"/>
  <c r="AZ231" i="4"/>
  <c r="AZ249" i="4"/>
  <c r="AZ245" i="4"/>
  <c r="AX250" i="4"/>
  <c r="AZ250" i="4"/>
  <c r="AV228" i="4"/>
  <c r="AV251" i="4"/>
  <c r="AV230" i="4"/>
  <c r="AX233" i="4"/>
  <c r="AV235" i="4"/>
  <c r="AZ240" i="4"/>
  <c r="AZ228" i="4"/>
  <c r="AZ235" i="4"/>
  <c r="AX236" i="4"/>
  <c r="AZ251" i="4"/>
  <c r="AV245" i="4"/>
  <c r="AV234" i="4"/>
  <c r="AX225" i="4"/>
  <c r="AV214" i="4"/>
  <c r="AV218" i="4"/>
  <c r="AV211" i="4"/>
  <c r="AV193" i="4"/>
  <c r="AV212" i="4"/>
  <c r="AZ203" i="4"/>
  <c r="AZ163" i="4"/>
  <c r="AZ218" i="4"/>
  <c r="AZ198" i="4"/>
  <c r="AZ199" i="4"/>
  <c r="AZ180" i="4"/>
  <c r="AV187" i="4"/>
  <c r="AZ196" i="4"/>
  <c r="AV207" i="4"/>
  <c r="AZ204" i="4"/>
  <c r="AZ182" i="4"/>
  <c r="AV225" i="4"/>
  <c r="AV183" i="4"/>
  <c r="AZ193" i="4"/>
  <c r="AZ227" i="4"/>
  <c r="AV210" i="4"/>
  <c r="AV188" i="4"/>
  <c r="AZ215" i="4"/>
  <c r="AZ185" i="4"/>
  <c r="AZ187" i="4"/>
  <c r="AZ213" i="4"/>
  <c r="AZ200" i="4"/>
  <c r="AV192" i="4"/>
  <c r="AV217" i="4"/>
  <c r="AZ183" i="4"/>
  <c r="AV179" i="4"/>
  <c r="AV200" i="4"/>
  <c r="AZ217" i="4"/>
  <c r="AZ208" i="4"/>
  <c r="AZ181" i="4"/>
  <c r="AZ214" i="4"/>
  <c r="AV215" i="4"/>
  <c r="AV227" i="4"/>
  <c r="AV205" i="4"/>
  <c r="AV213" i="4"/>
  <c r="AZ209" i="4"/>
  <c r="AV180" i="4"/>
  <c r="AV203" i="4"/>
  <c r="AZ225" i="4"/>
  <c r="AZ186" i="4"/>
  <c r="AZ211" i="4"/>
  <c r="AV209" i="4"/>
  <c r="AZ207" i="4"/>
  <c r="AV182" i="4"/>
  <c r="AV208" i="4"/>
  <c r="AV185" i="4"/>
  <c r="AV184" i="4"/>
  <c r="AV199" i="4"/>
  <c r="AZ192" i="4"/>
  <c r="AZ184" i="4"/>
  <c r="AV198" i="4"/>
  <c r="AZ210" i="4"/>
  <c r="AV206" i="4"/>
  <c r="AV181" i="4"/>
  <c r="AZ179" i="4"/>
  <c r="AV216" i="4"/>
  <c r="AZ212" i="4"/>
  <c r="AZ206" i="4"/>
  <c r="AV196" i="4"/>
  <c r="AV147" i="4"/>
  <c r="AZ159" i="4"/>
  <c r="AV169" i="4"/>
  <c r="AZ176" i="4"/>
  <c r="AZ172" i="4"/>
  <c r="AZ166" i="4"/>
  <c r="AV172" i="4"/>
  <c r="AV156" i="4"/>
  <c r="AZ164" i="4"/>
  <c r="AZ156" i="4"/>
  <c r="AZ154" i="4"/>
  <c r="AZ171" i="4"/>
  <c r="AV168" i="4"/>
  <c r="AZ158" i="4"/>
  <c r="AV173" i="4"/>
  <c r="AV176" i="4"/>
  <c r="AZ168" i="4"/>
  <c r="AV158" i="4"/>
  <c r="AV170" i="4"/>
  <c r="AV157" i="4"/>
  <c r="AZ274" i="4"/>
  <c r="AZ155" i="4"/>
  <c r="AZ157" i="4"/>
  <c r="AV171" i="4"/>
  <c r="AV164" i="4"/>
  <c r="AV167" i="4"/>
  <c r="AZ170" i="4"/>
  <c r="AV155" i="4"/>
  <c r="AV163" i="4"/>
  <c r="AV166" i="4"/>
  <c r="AZ167" i="4"/>
  <c r="AZ152" i="4"/>
  <c r="AZ127" i="4"/>
  <c r="AV150" i="4"/>
  <c r="AV154" i="4"/>
  <c r="AZ153" i="4"/>
  <c r="AV153" i="4"/>
  <c r="AV149" i="4"/>
  <c r="AZ142" i="4"/>
  <c r="AZ133" i="4"/>
  <c r="AZ131" i="4"/>
  <c r="AZ126" i="4"/>
  <c r="AV151" i="4"/>
  <c r="AZ147" i="4"/>
  <c r="AZ136" i="4"/>
  <c r="AV152" i="4"/>
  <c r="AZ139" i="4"/>
  <c r="AZ149" i="4"/>
  <c r="AZ125" i="4"/>
  <c r="AZ151" i="4"/>
  <c r="AZ138" i="4"/>
  <c r="AZ134" i="4"/>
  <c r="AZ132" i="4"/>
  <c r="AZ150" i="4"/>
  <c r="AZ128" i="4"/>
  <c r="AZ124" i="4"/>
  <c r="AZ130" i="4"/>
  <c r="AZ143" i="4"/>
  <c r="AZ141" i="4"/>
  <c r="AZ140" i="4"/>
  <c r="AZ137" i="4"/>
  <c r="AV73" i="4"/>
  <c r="AV67" i="4"/>
  <c r="AV79" i="4"/>
  <c r="AV72" i="4"/>
  <c r="AV78" i="4"/>
  <c r="AV69" i="4"/>
  <c r="AV65" i="4"/>
  <c r="AV68" i="4"/>
  <c r="AV77" i="4"/>
  <c r="AV71" i="4"/>
  <c r="AV66" i="4"/>
  <c r="AX372" i="4"/>
  <c r="AV372" i="4"/>
  <c r="AZ417" i="4"/>
  <c r="AZ372" i="4"/>
  <c r="AV403" i="4"/>
  <c r="AX403" i="4"/>
  <c r="AV417" i="4"/>
  <c r="AZ398" i="4"/>
  <c r="AV398" i="4"/>
  <c r="AX417" i="4"/>
  <c r="AZ403" i="4"/>
  <c r="AX398" i="4"/>
  <c r="AX327" i="4"/>
  <c r="AV327" i="4"/>
  <c r="AZ327" i="4"/>
  <c r="AX368" i="4"/>
  <c r="AV368" i="4"/>
  <c r="AZ368" i="4"/>
  <c r="AX406" i="4"/>
  <c r="AV394" i="4"/>
  <c r="AV382" i="4"/>
  <c r="AX394" i="4"/>
  <c r="AV406" i="4"/>
  <c r="AX382" i="4"/>
  <c r="AZ387" i="4"/>
  <c r="AZ406" i="4"/>
  <c r="AX386" i="4"/>
  <c r="AX387" i="4"/>
  <c r="AZ386" i="4"/>
  <c r="AV387" i="4"/>
  <c r="AZ394" i="4"/>
  <c r="AX414" i="4"/>
  <c r="AZ382" i="4"/>
  <c r="AV397" i="4"/>
  <c r="AV386" i="4"/>
  <c r="AZ414" i="4"/>
  <c r="AX397" i="4"/>
  <c r="AZ397" i="4"/>
  <c r="AV414" i="4"/>
  <c r="AX371" i="4"/>
  <c r="AZ371" i="4"/>
  <c r="AV399" i="4"/>
  <c r="AX399" i="4"/>
  <c r="AX405" i="4"/>
  <c r="AZ399" i="4"/>
  <c r="AX408" i="4"/>
  <c r="AZ408" i="4"/>
  <c r="AV408" i="4"/>
  <c r="AV371" i="4"/>
  <c r="AZ405" i="4"/>
  <c r="AV405" i="4"/>
  <c r="AX407" i="4"/>
  <c r="AV392" i="4"/>
  <c r="AV401" i="4"/>
  <c r="AX401" i="4"/>
  <c r="AZ401" i="4"/>
  <c r="AX392" i="4"/>
  <c r="AZ392" i="4"/>
  <c r="AX393" i="4"/>
  <c r="AZ407" i="4"/>
  <c r="AV407" i="4"/>
  <c r="AZ393" i="4"/>
  <c r="AV393" i="4"/>
  <c r="AX391" i="4"/>
  <c r="AV369" i="4"/>
  <c r="AV404" i="4"/>
  <c r="AX369" i="4"/>
  <c r="AV359" i="4"/>
  <c r="AV391" i="4"/>
  <c r="AX359" i="4"/>
  <c r="AV385" i="4"/>
  <c r="AX385" i="4"/>
  <c r="AZ359" i="4"/>
  <c r="AX404" i="4"/>
  <c r="AZ369" i="4"/>
  <c r="AZ391" i="4"/>
  <c r="AZ385" i="4"/>
  <c r="AZ404" i="4"/>
  <c r="AX400" i="4"/>
  <c r="AV370" i="4"/>
  <c r="AX366" i="4"/>
  <c r="AX395" i="4"/>
  <c r="AV395" i="4"/>
  <c r="AV366" i="4"/>
  <c r="AZ395" i="4"/>
  <c r="AZ366" i="4"/>
  <c r="AX363" i="4"/>
  <c r="AV400" i="4"/>
  <c r="AX402" i="4"/>
  <c r="AZ370" i="4"/>
  <c r="AZ400" i="4"/>
  <c r="AV402" i="4"/>
  <c r="AV363" i="4"/>
  <c r="AZ363" i="4"/>
  <c r="AX370" i="4"/>
  <c r="AZ402" i="4"/>
  <c r="AX396" i="4"/>
  <c r="AV396" i="4"/>
  <c r="AV354" i="4"/>
  <c r="AX354" i="4"/>
  <c r="AX384" i="4"/>
  <c r="AV384" i="4"/>
  <c r="AZ384" i="4"/>
  <c r="AZ330" i="4"/>
  <c r="AX330" i="4"/>
  <c r="AZ396" i="4"/>
  <c r="AZ354" i="4"/>
  <c r="AX332" i="4"/>
  <c r="AV332" i="4"/>
  <c r="AV330" i="4"/>
  <c r="AZ332" i="4"/>
  <c r="AX365" i="4"/>
  <c r="AX288" i="4"/>
  <c r="AV288" i="4"/>
  <c r="AV326" i="4"/>
  <c r="AV244" i="4"/>
  <c r="AZ379" i="4"/>
  <c r="AZ389" i="4"/>
  <c r="AZ288" i="4"/>
  <c r="AX389" i="4"/>
  <c r="AX388" i="4"/>
  <c r="AV365" i="4"/>
  <c r="AV389" i="4"/>
  <c r="AX244" i="4"/>
  <c r="AZ244" i="4"/>
  <c r="AZ365" i="4"/>
  <c r="AV390" i="4"/>
  <c r="AX390" i="4"/>
  <c r="AV379" i="4"/>
  <c r="AZ326" i="4"/>
  <c r="AZ388" i="4"/>
  <c r="AV388" i="4"/>
  <c r="AX326" i="4"/>
  <c r="AZ390" i="4"/>
  <c r="AX379" i="4"/>
  <c r="AZ376" i="4"/>
  <c r="AZ373" i="4"/>
  <c r="AX377" i="4"/>
  <c r="AX374" i="4"/>
  <c r="AV376" i="4"/>
  <c r="AX383" i="4"/>
  <c r="AV319" i="4"/>
  <c r="AX378" i="4"/>
  <c r="AZ383" i="4"/>
  <c r="AX191" i="4"/>
  <c r="AV378" i="4"/>
  <c r="AV318" i="4"/>
  <c r="AX123" i="4"/>
  <c r="AX160" i="4"/>
  <c r="AX375" i="4"/>
  <c r="AX318" i="4"/>
  <c r="AV374" i="4"/>
  <c r="AZ319" i="4"/>
  <c r="AV191" i="4"/>
  <c r="AZ378" i="4"/>
  <c r="AZ191" i="4"/>
  <c r="AX319" i="4"/>
  <c r="AZ374" i="4"/>
  <c r="AZ123" i="4"/>
  <c r="AZ318" i="4"/>
  <c r="AV123" i="4"/>
  <c r="AX353" i="4"/>
  <c r="AV352" i="4"/>
  <c r="AV377" i="4"/>
  <c r="AV373" i="4"/>
  <c r="AZ377" i="4"/>
  <c r="AV375" i="4"/>
  <c r="AX376" i="4"/>
  <c r="AX373" i="4"/>
  <c r="AV383" i="4"/>
  <c r="AZ375" i="4"/>
  <c r="AZ352" i="4"/>
  <c r="AZ305" i="4"/>
  <c r="AV353" i="4"/>
  <c r="AX362" i="4"/>
  <c r="AV160" i="4"/>
  <c r="AZ162" i="4"/>
  <c r="AV305" i="4"/>
  <c r="AV162" i="4"/>
  <c r="AV362" i="4"/>
  <c r="AX162" i="4"/>
  <c r="AX352" i="4"/>
  <c r="AZ160" i="4"/>
  <c r="AX305" i="4"/>
  <c r="AZ353" i="4"/>
  <c r="AZ362" i="4"/>
  <c r="AX360" i="4"/>
  <c r="AV360" i="4"/>
  <c r="AZ360" i="4"/>
  <c r="AV323" i="4"/>
  <c r="AX323" i="4"/>
  <c r="AV105" i="4"/>
  <c r="AX324" i="4"/>
  <c r="AZ258" i="4"/>
  <c r="AX243" i="4"/>
  <c r="AV347" i="4"/>
  <c r="AZ325" i="4"/>
  <c r="AZ324" i="4"/>
  <c r="AX105" i="4"/>
  <c r="AX347" i="4"/>
  <c r="AZ243" i="4"/>
  <c r="AZ178" i="4"/>
  <c r="AX178" i="4"/>
  <c r="AV178" i="4"/>
  <c r="AV324" i="4"/>
  <c r="AZ323" i="4"/>
  <c r="AX325" i="4"/>
  <c r="AV325" i="4"/>
  <c r="AV258" i="4"/>
  <c r="AZ347" i="4"/>
  <c r="AX258" i="4"/>
  <c r="AV243" i="4"/>
  <c r="AZ105" i="4"/>
  <c r="AZ219" i="4"/>
  <c r="AZ85" i="4"/>
  <c r="AZ174" i="4"/>
  <c r="AZ113" i="4"/>
  <c r="AZ202" i="4"/>
  <c r="AZ284" i="4"/>
  <c r="AZ75" i="4"/>
  <c r="AZ122" i="4"/>
  <c r="AZ161" i="4"/>
  <c r="AZ233" i="4"/>
  <c r="AZ201" i="4"/>
  <c r="AZ144" i="4"/>
  <c r="AZ270" i="4"/>
  <c r="AZ262" i="4"/>
  <c r="AZ197" i="4"/>
  <c r="AX190" i="4"/>
  <c r="AX103" i="4"/>
  <c r="AV104" i="4"/>
  <c r="AX262" i="4"/>
  <c r="AV223" i="4"/>
  <c r="AX309" i="4"/>
  <c r="AX337" i="4"/>
  <c r="AX189" i="4"/>
  <c r="AZ303" i="4"/>
  <c r="AZ340" i="4"/>
  <c r="AV103" i="4"/>
  <c r="AX340" i="4"/>
  <c r="AX224" i="4"/>
  <c r="AX226" i="4"/>
  <c r="AZ224" i="4"/>
  <c r="AV311" i="4"/>
  <c r="AX287" i="4"/>
  <c r="AV222" i="4"/>
  <c r="AV224" i="4"/>
  <c r="AX222" i="4"/>
  <c r="AX303" i="4"/>
  <c r="AV287" i="4"/>
  <c r="AZ223" i="4"/>
  <c r="AV190" i="4"/>
  <c r="AX223" i="4"/>
  <c r="AZ222" i="4"/>
  <c r="AZ104" i="4"/>
  <c r="AV340" i="4"/>
  <c r="AZ367" i="4"/>
  <c r="AZ287" i="4"/>
  <c r="AZ103" i="4"/>
  <c r="AV226" i="4"/>
  <c r="AZ190" i="4"/>
  <c r="AZ311" i="4"/>
  <c r="AX104" i="4"/>
  <c r="AV303" i="4"/>
  <c r="AZ226" i="4"/>
  <c r="AX311" i="4"/>
  <c r="AX263" i="4"/>
  <c r="AZ279" i="4"/>
  <c r="AX279" i="4"/>
  <c r="AZ263" i="4"/>
  <c r="AX129" i="4"/>
  <c r="AV357" i="4"/>
  <c r="AV129" i="4"/>
  <c r="AV175" i="4"/>
  <c r="AX357" i="4"/>
  <c r="AZ357" i="4"/>
  <c r="AZ64" i="4"/>
  <c r="AV279" i="4"/>
  <c r="AX175" i="4"/>
  <c r="AZ304" i="4"/>
  <c r="AX304" i="4"/>
  <c r="AV263" i="4"/>
  <c r="AZ129" i="4"/>
  <c r="AV64" i="4"/>
  <c r="AZ175" i="4"/>
  <c r="AV285" i="4"/>
  <c r="AX285" i="4"/>
  <c r="AZ285" i="4"/>
  <c r="AX64" i="4"/>
  <c r="AV304" i="4"/>
  <c r="AV202" i="4"/>
  <c r="AV351" i="4"/>
  <c r="AV344" i="4"/>
  <c r="AV350" i="4"/>
  <c r="AV177" i="4"/>
  <c r="AZ177" i="4"/>
  <c r="AZ45" i="4"/>
  <c r="AZ350" i="4"/>
  <c r="AZ351" i="4"/>
  <c r="AX45" i="4"/>
  <c r="AX344" i="4"/>
  <c r="AX177" i="4"/>
  <c r="AX350" i="4"/>
  <c r="AX351" i="4"/>
  <c r="AV45" i="4"/>
  <c r="AZ344" i="4"/>
  <c r="AV267" i="4"/>
  <c r="AV204" i="4"/>
  <c r="AV159" i="4"/>
  <c r="AV135" i="4"/>
  <c r="AV240" i="4"/>
  <c r="AV381" i="4"/>
  <c r="AV102" i="4"/>
  <c r="AV367" i="4"/>
  <c r="AV257" i="4"/>
  <c r="AV122" i="4"/>
  <c r="AX339" i="4"/>
  <c r="AZ309" i="4"/>
  <c r="AX310" i="4"/>
  <c r="AZ343" i="4"/>
  <c r="AX277" i="4"/>
  <c r="AX275" i="4"/>
  <c r="AX110" i="4"/>
  <c r="AX355" i="4"/>
  <c r="AV161" i="4"/>
  <c r="AV145" i="4"/>
  <c r="AV284" i="4"/>
  <c r="AV148" i="4"/>
  <c r="AV201" i="4"/>
  <c r="AV337" i="4"/>
  <c r="AV76" i="4"/>
  <c r="AV197" i="4"/>
  <c r="AV85" i="4"/>
  <c r="AV74" i="4"/>
  <c r="AV75" i="4"/>
  <c r="AV233" i="4"/>
  <c r="AV247" i="4"/>
  <c r="AX195" i="4"/>
  <c r="AX343" i="4"/>
  <c r="AV310" i="4"/>
  <c r="AV262" i="4"/>
  <c r="AV349" i="4"/>
  <c r="AZ248" i="4"/>
  <c r="AV309" i="4"/>
  <c r="AV113" i="4"/>
  <c r="AV110" i="4"/>
  <c r="AZ355" i="4"/>
  <c r="AZ165" i="4"/>
  <c r="AZ146" i="4"/>
  <c r="AX242" i="4"/>
  <c r="AZ269" i="4"/>
  <c r="AV241" i="4"/>
  <c r="AV271" i="4"/>
  <c r="AX271" i="4"/>
  <c r="AV331" i="4"/>
  <c r="AZ315" i="4"/>
  <c r="AX229" i="4"/>
  <c r="AZ331" i="4"/>
  <c r="AZ271" i="4"/>
  <c r="AZ337" i="4"/>
  <c r="AV290" i="4"/>
  <c r="AZ195" i="4"/>
  <c r="AV339" i="4"/>
  <c r="AZ102" i="4"/>
  <c r="AV355" i="4"/>
  <c r="AV221" i="4"/>
  <c r="AV174" i="4"/>
  <c r="AV242" i="4"/>
  <c r="AV270" i="4"/>
  <c r="AZ194" i="4"/>
  <c r="AV229" i="4"/>
  <c r="AZ241" i="4"/>
  <c r="AZ275" i="4"/>
  <c r="AZ189" i="4"/>
  <c r="AV220" i="4"/>
  <c r="AZ145" i="4"/>
  <c r="AV343" i="4"/>
  <c r="AV315" i="4"/>
  <c r="AX241" i="4"/>
  <c r="AV195" i="4"/>
  <c r="AZ220" i="4"/>
  <c r="AV269" i="4"/>
  <c r="AZ277" i="4"/>
  <c r="AX331" i="4"/>
  <c r="AV248" i="4"/>
  <c r="AZ110" i="4"/>
  <c r="AV146" i="4"/>
  <c r="AV165" i="4"/>
  <c r="AX248" i="4"/>
  <c r="AX315" i="4"/>
  <c r="AX290" i="4"/>
  <c r="AX276" i="4"/>
  <c r="AX165" i="4"/>
  <c r="AZ221" i="4"/>
  <c r="AZ148" i="4"/>
  <c r="AV277" i="4"/>
  <c r="AX247" i="4"/>
  <c r="AZ276" i="4"/>
  <c r="AV144" i="4"/>
  <c r="AZ229" i="4"/>
  <c r="AZ290" i="4"/>
  <c r="AV275" i="4"/>
  <c r="AX221" i="4"/>
  <c r="AX146" i="4"/>
  <c r="AV274" i="4"/>
  <c r="AV189" i="4"/>
  <c r="AZ76" i="4"/>
  <c r="AZ242" i="4"/>
  <c r="AX349" i="4"/>
  <c r="AZ339" i="4"/>
  <c r="AZ74" i="4"/>
  <c r="AV219" i="4"/>
  <c r="AV276" i="4"/>
  <c r="AZ310" i="4"/>
  <c r="AZ349" i="4"/>
  <c r="AV194" i="4"/>
  <c r="AZ135" i="4"/>
  <c r="AZ267" i="4"/>
  <c r="AZ247"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Ryan Schaefer</author>
  </authors>
  <commentList>
    <comment ref="AH13" authorId="0" shapeId="0" xr:uid="{AA19AF3A-DBF5-4AF6-8593-B90E8E803370}">
      <text>
        <r>
          <rPr>
            <sz val="9"/>
            <color indexed="81"/>
            <rFont val="Tahoma"/>
            <family val="2"/>
          </rPr>
          <t>hard to borrow</t>
        </r>
      </text>
    </comment>
    <comment ref="AH24" authorId="0" shapeId="0" xr:uid="{7FE65310-39BD-431A-B352-69246A5276A9}">
      <text>
        <r>
          <rPr>
            <b/>
            <sz val="9"/>
            <color indexed="81"/>
            <rFont val="Tahoma"/>
            <family val="2"/>
          </rPr>
          <t>Not keen in INS, also bad set up, seems like lower but was clearly SW.</t>
        </r>
      </text>
    </comment>
    <comment ref="AH27" authorId="0" shapeId="0" xr:uid="{36ADBE1E-212B-4A37-9194-5BCE66F5B203}">
      <text>
        <r>
          <rPr>
            <sz val="9"/>
            <color indexed="81"/>
            <rFont val="Tahoma"/>
            <family val="2"/>
          </rPr>
          <t>Earnings moved up and missed it.</t>
        </r>
      </text>
    </comment>
    <comment ref="A52" authorId="0" shapeId="0" xr:uid="{6408B0B3-7F58-4556-A073-813A5C9E0348}">
      <text>
        <r>
          <rPr>
            <sz val="9"/>
            <color indexed="81"/>
            <rFont val="Tahoma"/>
            <family val="2"/>
          </rPr>
          <t>Last home builder (DHI) had terrible results but gapped higher, home builders could finally be bottoming if that happens with Pultegroup too.</t>
        </r>
      </text>
    </comment>
    <comment ref="AH53" authorId="0" shapeId="0" xr:uid="{BC9C2DEB-D3D6-43E6-BA0B-784C3648D7E3}">
      <text>
        <r>
          <rPr>
            <sz val="9"/>
            <color indexed="81"/>
            <rFont val="Tahoma"/>
            <family val="2"/>
          </rPr>
          <t>After NFLX had great earnings and only made 0.2R, I just didn't want to go long really much of anything, esp an industrial after last season when they gapped lower more often.</t>
        </r>
      </text>
    </comment>
    <comment ref="A58" authorId="0" shapeId="0" xr:uid="{83367E89-3E5F-471C-A463-083D1A8C3801}">
      <text>
        <r>
          <rPr>
            <b/>
            <sz val="9"/>
            <color indexed="81"/>
            <rFont val="Tahoma"/>
            <family val="2"/>
          </rPr>
          <t>Exposure to China and Mexico.
-Oppenheimer.</t>
        </r>
      </text>
    </comment>
    <comment ref="AH84" authorId="0" shapeId="0" xr:uid="{91B4AE2E-9DCA-4EFF-8BD9-E25DAFFC6C68}">
      <text>
        <r>
          <rPr>
            <sz val="9"/>
            <color indexed="81"/>
            <rFont val="Tahoma"/>
            <family val="2"/>
          </rPr>
          <t>Was gonna do MOC but just flattened it in the AM.</t>
        </r>
      </text>
    </comment>
    <comment ref="H110" authorId="0" shapeId="0" xr:uid="{EFBC76B0-0850-4957-9486-2623EADEC79D}">
      <text>
        <r>
          <rPr>
            <sz val="9"/>
            <color indexed="81"/>
            <rFont val="Tahoma"/>
            <family val="2"/>
          </rPr>
          <t>Overrode after LKQ fell aprt and also the ony two gap ups from an up trend were 1.7%, but the gap downs were over 6%.</t>
        </r>
      </text>
    </comment>
    <comment ref="W113" authorId="0" shapeId="0" xr:uid="{C43D1F3D-EB75-4F8E-AAC4-C1E7A2555EDD}">
      <text>
        <r>
          <rPr>
            <sz val="9"/>
            <color indexed="81"/>
            <rFont val="Tahoma"/>
            <family val="2"/>
          </rPr>
          <t>Canceled my MOC but then added it back, although the first one never canceled.</t>
        </r>
      </text>
    </comment>
    <comment ref="H118" authorId="0" shapeId="0" xr:uid="{E705AD3B-94DF-4471-9AEF-0F016D61F0CF}">
      <text>
        <r>
          <rPr>
            <sz val="9"/>
            <color indexed="81"/>
            <rFont val="Tahoma"/>
            <family val="2"/>
          </rPr>
          <t>Overrode after proctor and gamble gapped lower and CL was at d200-ma, seem like a gap up would be limted.  Also, it was only where it was due to extreme risk off move, so with risk coming back on some, it seemed more likely to be lower.</t>
        </r>
      </text>
    </comment>
    <comment ref="H128" authorId="0" shapeId="0" xr:uid="{06726AB6-7123-4E5F-AD50-BC49EADBB4A6}">
      <text>
        <r>
          <rPr>
            <sz val="9"/>
            <color indexed="81"/>
            <rFont val="Tahoma"/>
            <family val="2"/>
          </rPr>
          <t>Fuck up here, it was clearly down, but I was on the treadmill and saw some commentary on it.  Honestly not even sure what due to subtitles.  I took a look right at 1:45 and it had a green bar on the day and sort of looked higher so I changed my order.  The market had a decent reversal day this day so that influencer me.</t>
        </r>
      </text>
    </comment>
    <comment ref="W161" authorId="0" shapeId="0" xr:uid="{617AEB78-6A90-404A-9AEA-611D8E40D3AB}">
      <text>
        <r>
          <rPr>
            <sz val="9"/>
            <color indexed="81"/>
            <rFont val="Tahoma"/>
            <family val="2"/>
          </rPr>
          <t>Accidently bought 10 shares instead of 50. 50 was also small size due to perceived higher risk in the IGV stock.  Should have just atken full size!</t>
        </r>
      </text>
    </comment>
    <comment ref="AH179" authorId="0" shapeId="0" xr:uid="{C6D48B52-9777-47DD-B839-69704DDA0E10}">
      <text>
        <r>
          <rPr>
            <b/>
            <sz val="9"/>
            <color indexed="81"/>
            <rFont val="Tahoma"/>
            <family val="2"/>
          </rPr>
          <t>Exitd after hours because it was extended and above a rounded over 200ma.</t>
        </r>
      </text>
    </comment>
    <comment ref="V187" authorId="0" shapeId="0" xr:uid="{507D8F14-29AB-4705-B5B0-9BC970C3986D}">
      <text>
        <r>
          <rPr>
            <b/>
            <sz val="9"/>
            <color indexed="81"/>
            <rFont val="Tahoma"/>
            <family val="2"/>
          </rPr>
          <t xml:space="preserve">Tough call between NA and downtrend.  </t>
        </r>
        <r>
          <rPr>
            <sz val="9"/>
            <color indexed="81"/>
            <rFont val="Tahoma"/>
            <family val="2"/>
          </rPr>
          <t>After reducing guidance last quarter, and knowing the product, I took half size as an override.</t>
        </r>
      </text>
    </comment>
    <comment ref="AH192" authorId="0" shapeId="0" xr:uid="{D8610394-A3EA-4C80-92E6-C39F5ACCD855}">
      <text>
        <r>
          <rPr>
            <sz val="9"/>
            <color indexed="81"/>
            <rFont val="Tahoma"/>
            <family val="2"/>
          </rPr>
          <t>Gap downs were getting bought overwhelmingly,  This had bottomed and was rounding over higher so I just took it before giving some up in the AM.</t>
        </r>
      </text>
    </comment>
    <comment ref="AH261" authorId="0" shapeId="0" xr:uid="{D741D659-A775-44C1-81BF-F1E1E6A8FDD3}">
      <text>
        <r>
          <rPr>
            <sz val="9"/>
            <color indexed="81"/>
            <rFont val="Tahoma"/>
            <family val="2"/>
          </rPr>
          <t>Very bullish but super exteneded on weekly, just had hard time going long.</t>
        </r>
      </text>
    </comment>
    <comment ref="AH277" authorId="0" shapeId="0" xr:uid="{7DD50FAE-996A-4644-9171-AD919803E55E}">
      <text>
        <r>
          <rPr>
            <b/>
            <sz val="9"/>
            <color indexed="81"/>
            <rFont val="Tahoma"/>
            <family val="2"/>
          </rPr>
          <t>Missed earnings, they must have moved them up a day.</t>
        </r>
      </text>
    </comment>
    <comment ref="AH305" authorId="0" shapeId="0" xr:uid="{7E704C93-1249-4E9E-9345-D38230536A64}">
      <text>
        <r>
          <rPr>
            <b/>
            <sz val="9"/>
            <color indexed="81"/>
            <rFont val="Tahoma"/>
            <family val="2"/>
          </rPr>
          <t>Sold half after hours.</t>
        </r>
      </text>
    </comment>
    <comment ref="AH310" authorId="0" shapeId="0" xr:uid="{994408A0-4ADA-4E7C-8AB2-79CE0540E74D}">
      <text>
        <r>
          <rPr>
            <b/>
            <sz val="9"/>
            <color indexed="81"/>
            <rFont val="Tahoma"/>
            <family val="2"/>
          </rPr>
          <t>Sold half after hours.</t>
        </r>
      </text>
    </comment>
    <comment ref="A312" authorId="0" shapeId="0" xr:uid="{CB6C12B8-D300-47EF-A637-8854541BC060}">
      <text>
        <r>
          <rPr>
            <b/>
            <sz val="9"/>
            <color indexed="81"/>
            <rFont val="Tahoma"/>
            <family val="2"/>
          </rPr>
          <t>Only skipped because I accidently shorted AA. Geex, what a knuckle head. Was looking at AA because it is also aluminum.</t>
        </r>
      </text>
    </comment>
    <comment ref="H313" authorId="0" shapeId="0" xr:uid="{3989C85E-9D10-47AF-BA6B-065AA21BB0E0}">
      <text>
        <r>
          <rPr>
            <sz val="9"/>
            <color indexed="81"/>
            <rFont val="Tahoma"/>
            <family val="2"/>
          </rPr>
          <t>Overrode since it was a Staple and 67% were gapping down.</t>
        </r>
      </text>
    </comment>
    <comment ref="AH344" authorId="0" shapeId="0" xr:uid="{8A6F0429-E50C-4504-8A10-51A24CB0E6D2}">
      <text>
        <r>
          <rPr>
            <sz val="9"/>
            <color indexed="81"/>
            <rFont val="Tahoma"/>
            <family val="2"/>
          </rPr>
          <t>Was gonna do MOC based on gap downs getting bought from SW trends overwhelmingly.  Ended up takind mid-day after doing straight up and having a wider bar.</t>
        </r>
      </text>
    </comment>
    <comment ref="AH362" authorId="0" shapeId="0" xr:uid="{D5A992A6-7D5C-4281-81B2-BC6DB9DDBA9F}">
      <text>
        <r>
          <rPr>
            <sz val="9"/>
            <color indexed="81"/>
            <rFont val="Tahoma"/>
            <family val="2"/>
          </rPr>
          <t>Took after hours at all time highs, market was being picky and you had to crush to have a sustained gap higher after hours.</t>
        </r>
      </text>
    </comment>
    <comment ref="T379" authorId="0" shapeId="0" xr:uid="{8E1D4154-9C20-435F-BB32-79B25B1526F2}">
      <text>
        <r>
          <rPr>
            <b/>
            <sz val="9"/>
            <color indexed="81"/>
            <rFont val="Tahoma"/>
            <family val="2"/>
          </rPr>
          <t>Ryan Schaefer:</t>
        </r>
        <r>
          <rPr>
            <sz val="9"/>
            <color indexed="81"/>
            <rFont val="Tahoma"/>
            <family val="2"/>
          </rPr>
          <t xml:space="preserve">
Since went climo</t>
        </r>
      </text>
    </comment>
    <comment ref="AH396" authorId="0" shapeId="0" xr:uid="{5A2D2150-E252-4295-B9FF-AC16C36DF5D1}">
      <text>
        <r>
          <rPr>
            <sz val="9"/>
            <color indexed="81"/>
            <rFont val="Tahoma"/>
            <family val="2"/>
          </rPr>
          <t>Sold shortly after open after seeing green ar and was able to cancel Mkt at open order.</t>
        </r>
      </text>
    </comment>
    <comment ref="A404" authorId="0" shapeId="0" xr:uid="{B5477D1E-CA4D-4CB4-9AEA-966CD94E7A57}">
      <text>
        <r>
          <rPr>
            <b/>
            <sz val="9"/>
            <color indexed="81"/>
            <rFont val="Tahoma"/>
            <family val="2"/>
          </rPr>
          <t>Ryan Schaefer:</t>
        </r>
        <r>
          <rPr>
            <sz val="9"/>
            <color indexed="81"/>
            <rFont val="Tahoma"/>
            <family val="2"/>
          </rPr>
          <t xml:space="preserve">
didn't report on this day.</t>
        </r>
      </text>
    </comment>
    <comment ref="AH407" authorId="0" shapeId="0" xr:uid="{C5F61CB8-3014-4613-BC47-6A2156B126A8}">
      <text>
        <r>
          <rPr>
            <b/>
            <sz val="9"/>
            <color indexed="81"/>
            <rFont val="Tahoma"/>
            <family val="2"/>
          </rPr>
          <t>Sold in Am before open ponce it looked like it was going higher and market was up 1%</t>
        </r>
      </text>
    </comment>
    <comment ref="AH408" authorId="0" shapeId="0" xr:uid="{DAB93BEE-92F5-405B-846D-95A1661F1CAD}">
      <text>
        <r>
          <rPr>
            <b/>
            <sz val="9"/>
            <color indexed="81"/>
            <rFont val="Tahoma"/>
            <family val="2"/>
          </rPr>
          <t>Ryan Schaefer:</t>
        </r>
        <r>
          <rPr>
            <sz val="9"/>
            <color indexed="81"/>
            <rFont val="Tahoma"/>
            <family val="2"/>
          </rPr>
          <t xml:space="preserve">
sold after hours at all time high MR.</t>
        </r>
      </text>
    </comment>
    <comment ref="AH416" authorId="0" shapeId="0" xr:uid="{174735AF-24A0-43A9-B58B-3404EA52F6C4}">
      <text>
        <r>
          <rPr>
            <b/>
            <sz val="9"/>
            <color indexed="81"/>
            <rFont val="Tahoma"/>
            <family val="2"/>
          </rPr>
          <t xml:space="preserve">missed entry because I forgot about Juneteenth
</t>
        </r>
      </text>
    </comment>
    <comment ref="AH417" authorId="0" shapeId="0" xr:uid="{71DAA1F2-C1F4-4809-BC8C-8A63F0045870}">
      <text>
        <r>
          <rPr>
            <b/>
            <sz val="9"/>
            <color indexed="81"/>
            <rFont val="Tahoma"/>
            <family val="2"/>
          </rPr>
          <t>Was gonna do MOC but after it was up a fair amount I just took it.</t>
        </r>
      </text>
    </comment>
    <comment ref="AH420" authorId="0" shapeId="0" xr:uid="{5913D4CD-09B7-49A0-8633-D8F7D2BBBBA1}">
      <text>
        <r>
          <rPr>
            <sz val="9"/>
            <color indexed="81"/>
            <rFont val="Tahoma"/>
            <family val="2"/>
          </rPr>
          <t>Was super extended in up trend, took after hours up 8% on fears it would pull in since it was so extended.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Ryan Schaefer</author>
  </authors>
  <commentList>
    <comment ref="H4" authorId="0" shapeId="0" xr:uid="{3CCD0527-64C5-43C7-B08D-A19078D57E1F}">
      <text>
        <r>
          <rPr>
            <sz val="9"/>
            <color indexed="81"/>
            <rFont val="Tahoma"/>
            <family val="2"/>
          </rPr>
          <t>Spun off their ship building division into HII, they are now re-entering shiop building.</t>
        </r>
      </text>
    </comment>
    <comment ref="H6" authorId="0" shapeId="0" xr:uid="{E733EBB6-966F-4116-8C63-E0647F148A0B}">
      <text>
        <r>
          <rPr>
            <sz val="9"/>
            <color indexed="81"/>
            <rFont val="Tahoma"/>
            <family val="2"/>
          </rPr>
          <t>Only ~ 15% of honeywells revenue comes from defense.</t>
        </r>
      </text>
    </comment>
    <comment ref="H7" authorId="0" shapeId="0" xr:uid="{BC7A6869-FDB9-42E9-B6B1-E280993967D1}">
      <text>
        <r>
          <rPr>
            <b/>
            <sz val="9"/>
            <color indexed="81"/>
            <rFont val="Tahoma"/>
            <family val="2"/>
          </rPr>
          <t>Largest military ship builder in the US.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<sst xmlns="http://schemas.openxmlformats.org/spreadsheetml/2006/main" count="16400" uniqueCount="5689">
  <si>
    <t>Date/Time</t>
  </si>
  <si>
    <t>Ticker</t>
  </si>
  <si>
    <t>When</t>
  </si>
  <si>
    <t>TILE</t>
  </si>
  <si>
    <t>PRLB</t>
  </si>
  <si>
    <t>MD</t>
  </si>
  <si>
    <t>BTSG</t>
  </si>
  <si>
    <t>WAT</t>
  </si>
  <si>
    <t>ARCB</t>
  </si>
  <si>
    <t>CVX</t>
  </si>
  <si>
    <t>TXNM</t>
  </si>
  <si>
    <t>ASIX</t>
  </si>
  <si>
    <t>GTLS</t>
  </si>
  <si>
    <t>XOM</t>
  </si>
  <si>
    <t>LYB</t>
  </si>
  <si>
    <t>ESNT</t>
  </si>
  <si>
    <t>CAH</t>
  </si>
  <si>
    <t>NVT</t>
  </si>
  <si>
    <t>CHD</t>
  </si>
  <si>
    <t>CHTR</t>
  </si>
  <si>
    <t>DBRG</t>
  </si>
  <si>
    <t>CMRE</t>
  </si>
  <si>
    <t>CBOE</t>
  </si>
  <si>
    <t>D</t>
  </si>
  <si>
    <t>TDS</t>
  </si>
  <si>
    <t>PPL</t>
  </si>
  <si>
    <t>AMR</t>
  </si>
  <si>
    <t>FUBO</t>
  </si>
  <si>
    <t>SPG</t>
  </si>
  <si>
    <t>RBC</t>
  </si>
  <si>
    <t>ABR</t>
  </si>
  <si>
    <t>ALX</t>
  </si>
  <si>
    <t>ENFN</t>
  </si>
  <si>
    <t>NYT</t>
  </si>
  <si>
    <t>KOS</t>
  </si>
  <si>
    <t>CC</t>
  </si>
  <si>
    <t>RVTY</t>
  </si>
  <si>
    <t>LSEA</t>
  </si>
  <si>
    <t>L</t>
  </si>
  <si>
    <t>IDYA</t>
  </si>
  <si>
    <t>IART</t>
  </si>
  <si>
    <t>CHH</t>
  </si>
  <si>
    <t>OMI</t>
  </si>
  <si>
    <t>CEG</t>
  </si>
  <si>
    <t>NSSC</t>
  </si>
  <si>
    <t>BCRX</t>
  </si>
  <si>
    <t>AMG</t>
  </si>
  <si>
    <t>FIS</t>
  </si>
  <si>
    <t>MAR</t>
  </si>
  <si>
    <t>KNF</t>
  </si>
  <si>
    <t>TGTX</t>
  </si>
  <si>
    <t>ZTS</t>
  </si>
  <si>
    <t>DOCN</t>
  </si>
  <si>
    <t>PEG</t>
  </si>
  <si>
    <t>EDIT</t>
  </si>
  <si>
    <t>FTDR</t>
  </si>
  <si>
    <t>SLQT</t>
  </si>
  <si>
    <t>TRS</t>
  </si>
  <si>
    <t>FOXA</t>
  </si>
  <si>
    <t>FOX</t>
  </si>
  <si>
    <t>WLFC</t>
  </si>
  <si>
    <t>KRYS</t>
  </si>
  <si>
    <t>BEN</t>
  </si>
  <si>
    <t>CRUS</t>
  </si>
  <si>
    <t>LSCC</t>
  </si>
  <si>
    <t>WOW</t>
  </si>
  <si>
    <t>VRTX</t>
  </si>
  <si>
    <t>SMLR</t>
  </si>
  <si>
    <t>VNOM</t>
  </si>
  <si>
    <t>HOLX</t>
  </si>
  <si>
    <t>HSII</t>
  </si>
  <si>
    <t>MYE</t>
  </si>
  <si>
    <t>SANM</t>
  </si>
  <si>
    <t>AOSL</t>
  </si>
  <si>
    <t>FWRD</t>
  </si>
  <si>
    <t>FANG</t>
  </si>
  <si>
    <t>ST</t>
  </si>
  <si>
    <t>HPK</t>
  </si>
  <si>
    <t>WYNN</t>
  </si>
  <si>
    <t>NVTS</t>
  </si>
  <si>
    <t>SEI</t>
  </si>
  <si>
    <t>VMEO</t>
  </si>
  <si>
    <t>MQ</t>
  </si>
  <si>
    <t>PRAA</t>
  </si>
  <si>
    <t>INTA</t>
  </si>
  <si>
    <t>ARIS</t>
  </si>
  <si>
    <t>BWIN</t>
  </si>
  <si>
    <t>CLF</t>
  </si>
  <si>
    <t>SUPN</t>
  </si>
  <si>
    <t>PLTR</t>
  </si>
  <si>
    <t>VVX</t>
  </si>
  <si>
    <t>EGHT</t>
  </si>
  <si>
    <t>ANDE</t>
  </si>
  <si>
    <t>AHH</t>
  </si>
  <si>
    <t>CSTL</t>
  </si>
  <si>
    <t>EVER</t>
  </si>
  <si>
    <t>GKOS</t>
  </si>
  <si>
    <t>SLAB</t>
  </si>
  <si>
    <t>CWK</t>
  </si>
  <si>
    <t>HDSN</t>
  </si>
  <si>
    <t>FHTX</t>
  </si>
  <si>
    <t>MTG</t>
  </si>
  <si>
    <t>ADUS</t>
  </si>
  <si>
    <t>CDNA</t>
  </si>
  <si>
    <t>TBI</t>
  </si>
  <si>
    <t>TCMD</t>
  </si>
  <si>
    <t>CENX</t>
  </si>
  <si>
    <t>REAL</t>
  </si>
  <si>
    <t>HIMS</t>
  </si>
  <si>
    <t>AGM</t>
  </si>
  <si>
    <t>ICHR</t>
  </si>
  <si>
    <t>TDC</t>
  </si>
  <si>
    <t>QNST</t>
  </si>
  <si>
    <t>ILMN</t>
  </si>
  <si>
    <t>O</t>
  </si>
  <si>
    <t>MED</t>
  </si>
  <si>
    <t>VTS</t>
  </si>
  <si>
    <t>AZPN</t>
  </si>
  <si>
    <t>BCC</t>
  </si>
  <si>
    <t>BWXT</t>
  </si>
  <si>
    <t>NXPI</t>
  </si>
  <si>
    <t>GOOD</t>
  </si>
  <si>
    <t>DHIL</t>
  </si>
  <si>
    <t>PLMR</t>
  </si>
  <si>
    <t>CE</t>
  </si>
  <si>
    <t>CLW</t>
  </si>
  <si>
    <t>EQH</t>
  </si>
  <si>
    <t>ELME</t>
  </si>
  <si>
    <t>OGS</t>
  </si>
  <si>
    <t>APLE</t>
  </si>
  <si>
    <t>AVB</t>
  </si>
  <si>
    <t>HMN</t>
  </si>
  <si>
    <t>GLRE</t>
  </si>
  <si>
    <t>PRIM</t>
  </si>
  <si>
    <t>FBRT</t>
  </si>
  <si>
    <t>ES</t>
  </si>
  <si>
    <t>VOYA</t>
  </si>
  <si>
    <t>RRX</t>
  </si>
  <si>
    <t>FN</t>
  </si>
  <si>
    <t>HCKT</t>
  </si>
  <si>
    <t>PARR</t>
  </si>
  <si>
    <t>AIG</t>
  </si>
  <si>
    <t>NTST</t>
  </si>
  <si>
    <t>VNO</t>
  </si>
  <si>
    <t>WTRG</t>
  </si>
  <si>
    <t>CRGY</t>
  </si>
  <si>
    <t>JELD</t>
  </si>
  <si>
    <t>INN</t>
  </si>
  <si>
    <t>UTL</t>
  </si>
  <si>
    <t>IPI</t>
  </si>
  <si>
    <t>RHP</t>
  </si>
  <si>
    <t>GXO</t>
  </si>
  <si>
    <t>DHC</t>
  </si>
  <si>
    <t>DEI</t>
  </si>
  <si>
    <t>AQST</t>
  </si>
  <si>
    <t>PSTL</t>
  </si>
  <si>
    <t>CBT</t>
  </si>
  <si>
    <t>GT</t>
  </si>
  <si>
    <t>DXPE</t>
  </si>
  <si>
    <t>KE</t>
  </si>
  <si>
    <t>OTTR</t>
  </si>
  <si>
    <t>NMRK</t>
  </si>
  <si>
    <t>MPC</t>
  </si>
  <si>
    <t>HSIC</t>
  </si>
  <si>
    <t>TRGP</t>
  </si>
  <si>
    <t>LPX</t>
  </si>
  <si>
    <t>PAX</t>
  </si>
  <si>
    <t>DD</t>
  </si>
  <si>
    <t>IT</t>
  </si>
  <si>
    <t>INGR</t>
  </si>
  <si>
    <t>CRVL</t>
  </si>
  <si>
    <t>VPG</t>
  </si>
  <si>
    <t>HY</t>
  </si>
  <si>
    <t>BEAM</t>
  </si>
  <si>
    <t>MITT</t>
  </si>
  <si>
    <t>DEA</t>
  </si>
  <si>
    <t>EMR</t>
  </si>
  <si>
    <t>WLK</t>
  </si>
  <si>
    <t>NPO</t>
  </si>
  <si>
    <t>CEIX</t>
  </si>
  <si>
    <t>BLD</t>
  </si>
  <si>
    <t>ONIT</t>
  </si>
  <si>
    <t>TKR</t>
  </si>
  <si>
    <t>ARCH</t>
  </si>
  <si>
    <t>NOVT</t>
  </si>
  <si>
    <t>YUM</t>
  </si>
  <si>
    <t>BOW</t>
  </si>
  <si>
    <t>BRKR</t>
  </si>
  <si>
    <t>CTLT</t>
  </si>
  <si>
    <t>STOK</t>
  </si>
  <si>
    <t>GFS</t>
  </si>
  <si>
    <t>TRDA</t>
  </si>
  <si>
    <t>OGE</t>
  </si>
  <si>
    <t>SHC</t>
  </si>
  <si>
    <t>LGIH</t>
  </si>
  <si>
    <t>RCM</t>
  </si>
  <si>
    <t>VERV</t>
  </si>
  <si>
    <t>BR</t>
  </si>
  <si>
    <t>BLDR</t>
  </si>
  <si>
    <t>NEO</t>
  </si>
  <si>
    <t>XMTR</t>
  </si>
  <si>
    <t>GOGO</t>
  </si>
  <si>
    <t>AHCO</t>
  </si>
  <si>
    <t>LIND</t>
  </si>
  <si>
    <t>AGCO</t>
  </si>
  <si>
    <t>CMI</t>
  </si>
  <si>
    <t>PAYO</t>
  </si>
  <si>
    <t>HLMN</t>
  </si>
  <si>
    <t>BVS</t>
  </si>
  <si>
    <t>GBTG</t>
  </si>
  <si>
    <t>PTLO</t>
  </si>
  <si>
    <t>GLDD</t>
  </si>
  <si>
    <t>CNSL</t>
  </si>
  <si>
    <t>ITIC</t>
  </si>
  <si>
    <t>EXPD</t>
  </si>
  <si>
    <t>UFPT</t>
  </si>
  <si>
    <t>UFCS</t>
  </si>
  <si>
    <t>NCMI</t>
  </si>
  <si>
    <t>PCVX</t>
  </si>
  <si>
    <t>LUMN</t>
  </si>
  <si>
    <t>MRCY</t>
  </si>
  <si>
    <t>GPOR</t>
  </si>
  <si>
    <t>MGNX</t>
  </si>
  <si>
    <t>SNDX</t>
  </si>
  <si>
    <t>RYTM</t>
  </si>
  <si>
    <t>RVLV</t>
  </si>
  <si>
    <t>INFN</t>
  </si>
  <si>
    <t>CRCT</t>
  </si>
  <si>
    <t>SAFT</t>
  </si>
  <si>
    <t>LMB</t>
  </si>
  <si>
    <t>SWIM</t>
  </si>
  <si>
    <t>DVN</t>
  </si>
  <si>
    <t>USPH</t>
  </si>
  <si>
    <t>QLYS</t>
  </si>
  <si>
    <t>BGS</t>
  </si>
  <si>
    <t>MBC</t>
  </si>
  <si>
    <t>AIP</t>
  </si>
  <si>
    <t>TMCI</t>
  </si>
  <si>
    <t>WEYS</t>
  </si>
  <si>
    <t>MASI</t>
  </si>
  <si>
    <t>FORR</t>
  </si>
  <si>
    <t>CTKB</t>
  </si>
  <si>
    <t>JKHY</t>
  </si>
  <si>
    <t>NHI</t>
  </si>
  <si>
    <t>OLP</t>
  </si>
  <si>
    <t>MCHP</t>
  </si>
  <si>
    <t>ANAB</t>
  </si>
  <si>
    <t>VTOL</t>
  </si>
  <si>
    <t>AIZ</t>
  </si>
  <si>
    <t>HLIO</t>
  </si>
  <si>
    <t>IFF</t>
  </si>
  <si>
    <t>WTTR</t>
  </si>
  <si>
    <t>RYAM</t>
  </si>
  <si>
    <t>MRC</t>
  </si>
  <si>
    <t>BBAI</t>
  </si>
  <si>
    <t>GMED</t>
  </si>
  <si>
    <t>MEC</t>
  </si>
  <si>
    <t>NOG</t>
  </si>
  <si>
    <t>FYBR</t>
  </si>
  <si>
    <t>CRC</t>
  </si>
  <si>
    <t>IOSP</t>
  </si>
  <si>
    <t>WMK</t>
  </si>
  <si>
    <t>AFG</t>
  </si>
  <si>
    <t>STKL</t>
  </si>
  <si>
    <t>NE</t>
  </si>
  <si>
    <t>IVR</t>
  </si>
  <si>
    <t>PFIS</t>
  </si>
  <si>
    <t>ASTE</t>
  </si>
  <si>
    <t>MAC</t>
  </si>
  <si>
    <t>FUN</t>
  </si>
  <si>
    <t>CELH</t>
  </si>
  <si>
    <t>IRBT</t>
  </si>
  <si>
    <t>EYE</t>
  </si>
  <si>
    <t>LXP</t>
  </si>
  <si>
    <t>ENOV</t>
  </si>
  <si>
    <t>OC</t>
  </si>
  <si>
    <t>FREY</t>
  </si>
  <si>
    <t>CVS</t>
  </si>
  <si>
    <t>KMT</t>
  </si>
  <si>
    <t>SFL</t>
  </si>
  <si>
    <t>MKTX</t>
  </si>
  <si>
    <t>PRGO</t>
  </si>
  <si>
    <t>COR</t>
  </si>
  <si>
    <t>CIM</t>
  </si>
  <si>
    <t>AVDX</t>
  </si>
  <si>
    <t>IRM</t>
  </si>
  <si>
    <t>ODP</t>
  </si>
  <si>
    <t>BIPC</t>
  </si>
  <si>
    <t>TRMB</t>
  </si>
  <si>
    <t>JCI</t>
  </si>
  <si>
    <t>AEP</t>
  </si>
  <si>
    <t>LNTH</t>
  </si>
  <si>
    <t>SRDX</t>
  </si>
  <si>
    <t>HLNE</t>
  </si>
  <si>
    <t>DK</t>
  </si>
  <si>
    <t>SMG</t>
  </si>
  <si>
    <t>PFGC</t>
  </si>
  <si>
    <t>VSEC</t>
  </si>
  <si>
    <t>HWM</t>
  </si>
  <si>
    <t>STWD</t>
  </si>
  <si>
    <t>CRL</t>
  </si>
  <si>
    <t>FOLD</t>
  </si>
  <si>
    <t>DIN</t>
  </si>
  <si>
    <t>LENZ</t>
  </si>
  <si>
    <t>TNGX</t>
  </si>
  <si>
    <t>AVA</t>
  </si>
  <si>
    <t>VERX</t>
  </si>
  <si>
    <t>VSH</t>
  </si>
  <si>
    <t>BCO</t>
  </si>
  <si>
    <t>JLL</t>
  </si>
  <si>
    <t>GNE</t>
  </si>
  <si>
    <t>ABUS</t>
  </si>
  <si>
    <t>PRAX</t>
  </si>
  <si>
    <t>SGHC</t>
  </si>
  <si>
    <t>MCFT</t>
  </si>
  <si>
    <t>SRE</t>
  </si>
  <si>
    <t>SWX</t>
  </si>
  <si>
    <t>SMRT</t>
  </si>
  <si>
    <t>BATRA</t>
  </si>
  <si>
    <t>CTRI</t>
  </si>
  <si>
    <t>BATRK</t>
  </si>
  <si>
    <t>CNDT</t>
  </si>
  <si>
    <t>URGN</t>
  </si>
  <si>
    <t>ASC</t>
  </si>
  <si>
    <t>MFA</t>
  </si>
  <si>
    <t>PNW</t>
  </si>
  <si>
    <t>MGEE</t>
  </si>
  <si>
    <t>FRPH</t>
  </si>
  <si>
    <t>CYTK</t>
  </si>
  <si>
    <t>CRSR</t>
  </si>
  <si>
    <t>ARQT</t>
  </si>
  <si>
    <t>TRNO</t>
  </si>
  <si>
    <t>PFMT</t>
  </si>
  <si>
    <t>QCOM</t>
  </si>
  <si>
    <t>PCRX</t>
  </si>
  <si>
    <t>XNCR</t>
  </si>
  <si>
    <t>ACLS</t>
  </si>
  <si>
    <t>DUOL</t>
  </si>
  <si>
    <t>NMIH</t>
  </si>
  <si>
    <t>CLDX</t>
  </si>
  <si>
    <t>DNLI</t>
  </si>
  <si>
    <t>MELI</t>
  </si>
  <si>
    <t>CSGS</t>
  </si>
  <si>
    <t>JANX</t>
  </si>
  <si>
    <t>KROS</t>
  </si>
  <si>
    <t>PTC</t>
  </si>
  <si>
    <t>POWI</t>
  </si>
  <si>
    <t>LZ</t>
  </si>
  <si>
    <t>VNDA</t>
  </si>
  <si>
    <t>RVMD</t>
  </si>
  <si>
    <t>GILD</t>
  </si>
  <si>
    <t>NLOP</t>
  </si>
  <si>
    <t>ARM</t>
  </si>
  <si>
    <t>HCAT</t>
  </si>
  <si>
    <t>UPWK</t>
  </si>
  <si>
    <t>LAND</t>
  </si>
  <si>
    <t>GMRE</t>
  </si>
  <si>
    <t>TKO</t>
  </si>
  <si>
    <t>SKT</t>
  </si>
  <si>
    <t>LOPE</t>
  </si>
  <si>
    <t>INVA</t>
  </si>
  <si>
    <t>EOLS</t>
  </si>
  <si>
    <t>CLNE</t>
  </si>
  <si>
    <t>FC</t>
  </si>
  <si>
    <t>TNDM</t>
  </si>
  <si>
    <t>FARO</t>
  </si>
  <si>
    <t>BALY</t>
  </si>
  <si>
    <t>ALEC</t>
  </si>
  <si>
    <t>VECO</t>
  </si>
  <si>
    <t>RGLD</t>
  </si>
  <si>
    <t>FBIN</t>
  </si>
  <si>
    <t>OSUR</t>
  </si>
  <si>
    <t>STR</t>
  </si>
  <si>
    <t>RDVT</t>
  </si>
  <si>
    <t>RLAY</t>
  </si>
  <si>
    <t>ACIC</t>
  </si>
  <si>
    <t>RAMP</t>
  </si>
  <si>
    <t>SITM</t>
  </si>
  <si>
    <t>TTWO</t>
  </si>
  <si>
    <t>KIDS</t>
  </si>
  <si>
    <t>AMRK</t>
  </si>
  <si>
    <t>WAY</t>
  </si>
  <si>
    <t>SBGI</t>
  </si>
  <si>
    <t>BLND</t>
  </si>
  <si>
    <t>JAZZ</t>
  </si>
  <si>
    <t>NUVB</t>
  </si>
  <si>
    <t>GH</t>
  </si>
  <si>
    <t>RGNX</t>
  </si>
  <si>
    <t>ZIP</t>
  </si>
  <si>
    <t>VZIO</t>
  </si>
  <si>
    <t>KIND</t>
  </si>
  <si>
    <t>MTRX</t>
  </si>
  <si>
    <t>BMBL</t>
  </si>
  <si>
    <t>IPAR</t>
  </si>
  <si>
    <t>BBSI</t>
  </si>
  <si>
    <t>SLNO</t>
  </si>
  <si>
    <t>RPD</t>
  </si>
  <si>
    <t>MXCT</t>
  </si>
  <si>
    <t>STRL</t>
  </si>
  <si>
    <t>CXT</t>
  </si>
  <si>
    <t>SGC</t>
  </si>
  <si>
    <t>ACAD</t>
  </si>
  <si>
    <t>ELF</t>
  </si>
  <si>
    <t>ECPG</t>
  </si>
  <si>
    <t>FSLY</t>
  </si>
  <si>
    <t>IONQ</t>
  </si>
  <si>
    <t>AMPH</t>
  </si>
  <si>
    <t>AMPY</t>
  </si>
  <si>
    <t>KRUS</t>
  </si>
  <si>
    <t>BWMN</t>
  </si>
  <si>
    <t>BYND</t>
  </si>
  <si>
    <t>EVTC</t>
  </si>
  <si>
    <t>SRPT</t>
  </si>
  <si>
    <t>SSRM</t>
  </si>
  <si>
    <t>CORZ</t>
  </si>
  <si>
    <t>NEWT</t>
  </si>
  <si>
    <t>MCK</t>
  </si>
  <si>
    <t>HRTG</t>
  </si>
  <si>
    <t>PNTG</t>
  </si>
  <si>
    <t>VSAT</t>
  </si>
  <si>
    <t>VCYT</t>
  </si>
  <si>
    <t>CPRX</t>
  </si>
  <si>
    <t>RYN</t>
  </si>
  <si>
    <t>MTCH</t>
  </si>
  <si>
    <t>JOBY</t>
  </si>
  <si>
    <t>ACT</t>
  </si>
  <si>
    <t>BHR</t>
  </si>
  <si>
    <t>MEG</t>
  </si>
  <si>
    <t>FRSH</t>
  </si>
  <si>
    <t>ATRO</t>
  </si>
  <si>
    <t>BKH</t>
  </si>
  <si>
    <t>WMB</t>
  </si>
  <si>
    <t>JXN</t>
  </si>
  <si>
    <t>RNR</t>
  </si>
  <si>
    <t>PRI</t>
  </si>
  <si>
    <t>TPL</t>
  </si>
  <si>
    <t>FICO</t>
  </si>
  <si>
    <t>ALB</t>
  </si>
  <si>
    <t>RXRX</t>
  </si>
  <si>
    <t>ORA</t>
  </si>
  <si>
    <t>PKOH</t>
  </si>
  <si>
    <t>CWAN</t>
  </si>
  <si>
    <t>TPC</t>
  </si>
  <si>
    <t>KD</t>
  </si>
  <si>
    <t>GNL</t>
  </si>
  <si>
    <t>CCRN</t>
  </si>
  <si>
    <t>KRO</t>
  </si>
  <si>
    <t>FG</t>
  </si>
  <si>
    <t>KW</t>
  </si>
  <si>
    <t>BKD</t>
  </si>
  <si>
    <t>RM</t>
  </si>
  <si>
    <t>KAR</t>
  </si>
  <si>
    <t>WK</t>
  </si>
  <si>
    <t>VAC</t>
  </si>
  <si>
    <t>CXW</t>
  </si>
  <si>
    <t>CTVA</t>
  </si>
  <si>
    <t>KNTK</t>
  </si>
  <si>
    <t>CDRE</t>
  </si>
  <si>
    <t>SENEA</t>
  </si>
  <si>
    <t>ENS</t>
  </si>
  <si>
    <t>PLYM</t>
  </si>
  <si>
    <t>DLX</t>
  </si>
  <si>
    <t>FNF</t>
  </si>
  <si>
    <t>EHAB</t>
  </si>
  <si>
    <t>HG</t>
  </si>
  <si>
    <t>IIPR</t>
  </si>
  <si>
    <t>PR</t>
  </si>
  <si>
    <t>RCUS</t>
  </si>
  <si>
    <t>AMC</t>
  </si>
  <si>
    <t>SVC</t>
  </si>
  <si>
    <t>COHR</t>
  </si>
  <si>
    <t>ALNT</t>
  </si>
  <si>
    <t>ASPN</t>
  </si>
  <si>
    <t>AMED</t>
  </si>
  <si>
    <t>AWR</t>
  </si>
  <si>
    <t>COTY</t>
  </si>
  <si>
    <t>CHRD</t>
  </si>
  <si>
    <t>MRO</t>
  </si>
  <si>
    <t>XHR</t>
  </si>
  <si>
    <t>QTWO</t>
  </si>
  <si>
    <t>ANSS</t>
  </si>
  <si>
    <t>VSTO</t>
  </si>
  <si>
    <t>STE</t>
  </si>
  <si>
    <t>RDN</t>
  </si>
  <si>
    <t>CDE</t>
  </si>
  <si>
    <t>GNK</t>
  </si>
  <si>
    <t>HST</t>
  </si>
  <si>
    <t>UMH</t>
  </si>
  <si>
    <t>AEE</t>
  </si>
  <si>
    <t>MKSI</t>
  </si>
  <si>
    <t>EE</t>
  </si>
  <si>
    <t>RLJ</t>
  </si>
  <si>
    <t>BORR</t>
  </si>
  <si>
    <t>VTLE</t>
  </si>
  <si>
    <t>PAHC</t>
  </si>
  <si>
    <t>ATO</t>
  </si>
  <si>
    <t>XPER</t>
  </si>
  <si>
    <t>REI</t>
  </si>
  <si>
    <t>MWA</t>
  </si>
  <si>
    <t>LILA</t>
  </si>
  <si>
    <t>REPX</t>
  </si>
  <si>
    <t>NFG</t>
  </si>
  <si>
    <t>VMD</t>
  </si>
  <si>
    <t>LILAK</t>
  </si>
  <si>
    <t>RDW</t>
  </si>
  <si>
    <t>APA</t>
  </si>
  <si>
    <t>ASH</t>
  </si>
  <si>
    <t>EFC</t>
  </si>
  <si>
    <t>MATV</t>
  </si>
  <si>
    <t>ARDT</t>
  </si>
  <si>
    <t>URG</t>
  </si>
  <si>
    <t>GPMT</t>
  </si>
  <si>
    <t>SD</t>
  </si>
  <si>
    <t>HL</t>
  </si>
  <si>
    <t>GNW</t>
  </si>
  <si>
    <t>KGS</t>
  </si>
  <si>
    <t>GOLF</t>
  </si>
  <si>
    <t>WBD</t>
  </si>
  <si>
    <t>DBD</t>
  </si>
  <si>
    <t>CG</t>
  </si>
  <si>
    <t>DUK</t>
  </si>
  <si>
    <t>YOU</t>
  </si>
  <si>
    <t>HAE</t>
  </si>
  <si>
    <t>ADTN</t>
  </si>
  <si>
    <t>HSHP</t>
  </si>
  <si>
    <t>CEVA</t>
  </si>
  <si>
    <t>ACMR</t>
  </si>
  <si>
    <t>EPAM</t>
  </si>
  <si>
    <t>LFST</t>
  </si>
  <si>
    <t>RXO</t>
  </si>
  <si>
    <t>EPC</t>
  </si>
  <si>
    <t>ESPR</t>
  </si>
  <si>
    <t>ACIW</t>
  </si>
  <si>
    <t>WD</t>
  </si>
  <si>
    <t>PRVA</t>
  </si>
  <si>
    <t>GEO</t>
  </si>
  <si>
    <t>BIGC</t>
  </si>
  <si>
    <t>YETI</t>
  </si>
  <si>
    <t>DCO</t>
  </si>
  <si>
    <t>XRAY</t>
  </si>
  <si>
    <t>ACRE</t>
  </si>
  <si>
    <t>PBH</t>
  </si>
  <si>
    <t>APD</t>
  </si>
  <si>
    <t>OSCR</t>
  </si>
  <si>
    <t>MUR</t>
  </si>
  <si>
    <t>AUPH</t>
  </si>
  <si>
    <t>PCG</t>
  </si>
  <si>
    <t>IMVT</t>
  </si>
  <si>
    <t>DT</t>
  </si>
  <si>
    <t>PRKS</t>
  </si>
  <si>
    <t>CLDT</t>
  </si>
  <si>
    <t>COMM</t>
  </si>
  <si>
    <t>MRNA</t>
  </si>
  <si>
    <t>PLNT</t>
  </si>
  <si>
    <t>AVAH</t>
  </si>
  <si>
    <t>WWW</t>
  </si>
  <si>
    <t>BDX</t>
  </si>
  <si>
    <t>STRA</t>
  </si>
  <si>
    <t>OB</t>
  </si>
  <si>
    <t>VYX</t>
  </si>
  <si>
    <t>TAP</t>
  </si>
  <si>
    <t>SEAT</t>
  </si>
  <si>
    <t>ARQ</t>
  </si>
  <si>
    <t>ARHS</t>
  </si>
  <si>
    <t>TPX</t>
  </si>
  <si>
    <t>INSW</t>
  </si>
  <si>
    <t>TPR</t>
  </si>
  <si>
    <t>OLPX</t>
  </si>
  <si>
    <t>DNOW</t>
  </si>
  <si>
    <t>HAL</t>
  </si>
  <si>
    <t>KVUE</t>
  </si>
  <si>
    <t>DNUT</t>
  </si>
  <si>
    <t>WRBY</t>
  </si>
  <si>
    <t>HSY</t>
  </si>
  <si>
    <t>USFD</t>
  </si>
  <si>
    <t>HBI</t>
  </si>
  <si>
    <t>UAA</t>
  </si>
  <si>
    <t>UA</t>
  </si>
  <si>
    <t>CCOI</t>
  </si>
  <si>
    <t>VTRS</t>
  </si>
  <si>
    <t>SHOO</t>
  </si>
  <si>
    <t>LCII</t>
  </si>
  <si>
    <t>EYPT</t>
  </si>
  <si>
    <t>APLT</t>
  </si>
  <si>
    <t>XPEL</t>
  </si>
  <si>
    <t>REAX</t>
  </si>
  <si>
    <t>NXST</t>
  </si>
  <si>
    <t>LYTS</t>
  </si>
  <si>
    <t>AKBA</t>
  </si>
  <si>
    <t>EVRG</t>
  </si>
  <si>
    <t>GERN</t>
  </si>
  <si>
    <t>LGND</t>
  </si>
  <si>
    <t>FWRG</t>
  </si>
  <si>
    <t>AXGN</t>
  </si>
  <si>
    <t>RAPP</t>
  </si>
  <si>
    <t>IRWD</t>
  </si>
  <si>
    <t>SPTN</t>
  </si>
  <si>
    <t>NABL</t>
  </si>
  <si>
    <t>VST</t>
  </si>
  <si>
    <t>PZZA</t>
  </si>
  <si>
    <t>THR</t>
  </si>
  <si>
    <t>ADV</t>
  </si>
  <si>
    <t>BRY</t>
  </si>
  <si>
    <t>HAIN</t>
  </si>
  <si>
    <t>CGEM</t>
  </si>
  <si>
    <t>ROK</t>
  </si>
  <si>
    <t>DDOG</t>
  </si>
  <si>
    <t>SHEN</t>
  </si>
  <si>
    <t>TGLS</t>
  </si>
  <si>
    <t>GLUE</t>
  </si>
  <si>
    <t>REFI</t>
  </si>
  <si>
    <t>OFIX</t>
  </si>
  <si>
    <t>APPN</t>
  </si>
  <si>
    <t>TDG</t>
  </si>
  <si>
    <t>VITL</t>
  </si>
  <si>
    <t>STGW</t>
  </si>
  <si>
    <t>CARS</t>
  </si>
  <si>
    <t>THRY</t>
  </si>
  <si>
    <t>TGNA</t>
  </si>
  <si>
    <t>KELYA</t>
  </si>
  <si>
    <t>NTLA</t>
  </si>
  <si>
    <t>MTSI</t>
  </si>
  <si>
    <t>HOUS</t>
  </si>
  <si>
    <t>TPB</t>
  </si>
  <si>
    <t>JSPR</t>
  </si>
  <si>
    <t>TRML</t>
  </si>
  <si>
    <t>XOMA</t>
  </si>
  <si>
    <t>ML</t>
  </si>
  <si>
    <t>HGV</t>
  </si>
  <si>
    <t>IBP</t>
  </si>
  <si>
    <t>SAVA</t>
  </si>
  <si>
    <t>VCEL</t>
  </si>
  <si>
    <t>KLG</t>
  </si>
  <si>
    <t>EWTX</t>
  </si>
  <si>
    <t>UP</t>
  </si>
  <si>
    <t>PHAT</t>
  </si>
  <si>
    <t>FSTR</t>
  </si>
  <si>
    <t>IHRT</t>
  </si>
  <si>
    <t>MLAB</t>
  </si>
  <si>
    <t>VERA</t>
  </si>
  <si>
    <t>RL</t>
  </si>
  <si>
    <t>THRD</t>
  </si>
  <si>
    <t>SCSC</t>
  </si>
  <si>
    <t>PCT</t>
  </si>
  <si>
    <t>BUR</t>
  </si>
  <si>
    <t>TRC</t>
  </si>
  <si>
    <t>YORW</t>
  </si>
  <si>
    <t>IBOC</t>
  </si>
  <si>
    <t>GCT</t>
  </si>
  <si>
    <t>KTOS</t>
  </si>
  <si>
    <t>NVEE</t>
  </si>
  <si>
    <t>AGL</t>
  </si>
  <si>
    <t>ABNB</t>
  </si>
  <si>
    <t>RDFN</t>
  </si>
  <si>
    <t>ACLX</t>
  </si>
  <si>
    <t>CCSI</t>
  </si>
  <si>
    <t>PRCH</t>
  </si>
  <si>
    <t>AXON</t>
  </si>
  <si>
    <t>EXPE</t>
  </si>
  <si>
    <t>AKAM</t>
  </si>
  <si>
    <t>RUN</t>
  </si>
  <si>
    <t>RIGL</t>
  </si>
  <si>
    <t>LBPH</t>
  </si>
  <si>
    <t>IOVA</t>
  </si>
  <si>
    <t>MRVI</t>
  </si>
  <si>
    <t>AAON</t>
  </si>
  <si>
    <t>INVX</t>
  </si>
  <si>
    <t>PODD</t>
  </si>
  <si>
    <t>PTCT</t>
  </si>
  <si>
    <t>MNMD</t>
  </si>
  <si>
    <t>DOCS</t>
  </si>
  <si>
    <t>TTD</t>
  </si>
  <si>
    <t>DNTH</t>
  </si>
  <si>
    <t>RCKT</t>
  </si>
  <si>
    <t>ARCT</t>
  </si>
  <si>
    <t>ALRM</t>
  </si>
  <si>
    <t>ALDX</t>
  </si>
  <si>
    <t>ALLO</t>
  </si>
  <si>
    <t>COLL</t>
  </si>
  <si>
    <t>DVAX</t>
  </si>
  <si>
    <t>MNKD</t>
  </si>
  <si>
    <t>RCEL</t>
  </si>
  <si>
    <t>LITE</t>
  </si>
  <si>
    <t>DBX</t>
  </si>
  <si>
    <t>OLO</t>
  </si>
  <si>
    <t>FIGS</t>
  </si>
  <si>
    <t>HASI</t>
  </si>
  <si>
    <t>LASR</t>
  </si>
  <si>
    <t>PLRX</t>
  </si>
  <si>
    <t>PTGX</t>
  </si>
  <si>
    <t>DH</t>
  </si>
  <si>
    <t>CYRX</t>
  </si>
  <si>
    <t>RNA</t>
  </si>
  <si>
    <t>MYGN</t>
  </si>
  <si>
    <t>SOLV</t>
  </si>
  <si>
    <t>FNKO</t>
  </si>
  <si>
    <t>OPEN</t>
  </si>
  <si>
    <t>DCGO</t>
  </si>
  <si>
    <t>KURA</t>
  </si>
  <si>
    <t>MLNK</t>
  </si>
  <si>
    <t>MGNI</t>
  </si>
  <si>
    <t>ASLE</t>
  </si>
  <si>
    <t>LFMD</t>
  </si>
  <si>
    <t>CPAY</t>
  </si>
  <si>
    <t>SKYT</t>
  </si>
  <si>
    <t>MVIS</t>
  </si>
  <si>
    <t>OPK</t>
  </si>
  <si>
    <t>LYEL</t>
  </si>
  <si>
    <t>SPT</t>
  </si>
  <si>
    <t>BARK</t>
  </si>
  <si>
    <t>DIOD</t>
  </si>
  <si>
    <t>SVV</t>
  </si>
  <si>
    <t>FTNT</t>
  </si>
  <si>
    <t>AMRC</t>
  </si>
  <si>
    <t>ACHR</t>
  </si>
  <si>
    <t>XPOF</t>
  </si>
  <si>
    <t>ADPT</t>
  </si>
  <si>
    <t>SG</t>
  </si>
  <si>
    <t>PSTX</t>
  </si>
  <si>
    <t>SYRE</t>
  </si>
  <si>
    <t>REZI</t>
  </si>
  <si>
    <t>CLFD</t>
  </si>
  <si>
    <t>HRB</t>
  </si>
  <si>
    <t>ENV</t>
  </si>
  <si>
    <t>ARRY</t>
  </si>
  <si>
    <t>STEP</t>
  </si>
  <si>
    <t>CPRI</t>
  </si>
  <si>
    <t>RVNC</t>
  </si>
  <si>
    <t>GDEN</t>
  </si>
  <si>
    <t>G</t>
  </si>
  <si>
    <t>UPST</t>
  </si>
  <si>
    <t>SYNA</t>
  </si>
  <si>
    <t>TYRA</t>
  </si>
  <si>
    <t>OUST</t>
  </si>
  <si>
    <t>GRND</t>
  </si>
  <si>
    <t>NATR</t>
  </si>
  <si>
    <t>LPRO</t>
  </si>
  <si>
    <t>CTLP</t>
  </si>
  <si>
    <t>WEST</t>
  </si>
  <si>
    <t>EB</t>
  </si>
  <si>
    <t>GRNT</t>
  </si>
  <si>
    <t>INOD</t>
  </si>
  <si>
    <t>DRH</t>
  </si>
  <si>
    <t>ANET</t>
  </si>
  <si>
    <t>AORT</t>
  </si>
  <si>
    <t>INGN</t>
  </si>
  <si>
    <t>AMPL</t>
  </si>
  <si>
    <t>SIGA</t>
  </si>
  <si>
    <t>PBPB</t>
  </si>
  <si>
    <t>PACB</t>
  </si>
  <si>
    <t>ARKO</t>
  </si>
  <si>
    <t>AVIR</t>
  </si>
  <si>
    <t>ETNB</t>
  </si>
  <si>
    <t>BL</t>
  </si>
  <si>
    <t>ALTM</t>
  </si>
  <si>
    <t>RXST</t>
  </si>
  <si>
    <t>YELP</t>
  </si>
  <si>
    <t>IBEX</t>
  </si>
  <si>
    <t>ACVA</t>
  </si>
  <si>
    <t>ADMA</t>
  </si>
  <si>
    <t>AAOI</t>
  </si>
  <si>
    <t>ARLO</t>
  </si>
  <si>
    <t>GDOT</t>
  </si>
  <si>
    <t>PX</t>
  </si>
  <si>
    <t>AVPT</t>
  </si>
  <si>
    <t>FLYW</t>
  </si>
  <si>
    <t>CARG</t>
  </si>
  <si>
    <t>PBI</t>
  </si>
  <si>
    <t>NUS</t>
  </si>
  <si>
    <t>PEB</t>
  </si>
  <si>
    <t>ATEN</t>
  </si>
  <si>
    <t>GETY</t>
  </si>
  <si>
    <t>MTUS</t>
  </si>
  <si>
    <t>EVH</t>
  </si>
  <si>
    <t>VVI</t>
  </si>
  <si>
    <t>MNST</t>
  </si>
  <si>
    <t>MSI</t>
  </si>
  <si>
    <t>KRT</t>
  </si>
  <si>
    <t>JAMF</t>
  </si>
  <si>
    <t>ADEA</t>
  </si>
  <si>
    <t>BFS</t>
  </si>
  <si>
    <t>SEZL</t>
  </si>
  <si>
    <t>PDFS</t>
  </si>
  <si>
    <t>ONTF</t>
  </si>
  <si>
    <t>NNI</t>
  </si>
  <si>
    <t>EXPI</t>
  </si>
  <si>
    <t>HEAR</t>
  </si>
  <si>
    <t>RC</t>
  </si>
  <si>
    <t>CABO</t>
  </si>
  <si>
    <t>NKTR</t>
  </si>
  <si>
    <t>EOG</t>
  </si>
  <si>
    <t>NWS</t>
  </si>
  <si>
    <t>BHF</t>
  </si>
  <si>
    <t>PRA</t>
  </si>
  <si>
    <t>SMR</t>
  </si>
  <si>
    <t>ONL</t>
  </si>
  <si>
    <t>AMN</t>
  </si>
  <si>
    <t>CIVI</t>
  </si>
  <si>
    <t>NWSA</t>
  </si>
  <si>
    <t>GSAT</t>
  </si>
  <si>
    <t>VEL</t>
  </si>
  <si>
    <t>HCI</t>
  </si>
  <si>
    <t>NR</t>
  </si>
  <si>
    <t>BLZE</t>
  </si>
  <si>
    <t>AIV</t>
  </si>
  <si>
    <t>INSE</t>
  </si>
  <si>
    <t>MBI</t>
  </si>
  <si>
    <t>CMTG</t>
  </si>
  <si>
    <t>VCTR</t>
  </si>
  <si>
    <t>BE</t>
  </si>
  <si>
    <t>MTD</t>
  </si>
  <si>
    <t>OEC</t>
  </si>
  <si>
    <t>INDI</t>
  </si>
  <si>
    <t>CNH</t>
  </si>
  <si>
    <t>NEXT</t>
  </si>
  <si>
    <t>CPK</t>
  </si>
  <si>
    <t>ASTH</t>
  </si>
  <si>
    <t>TDW</t>
  </si>
  <si>
    <t>ED</t>
  </si>
  <si>
    <t>WTI</t>
  </si>
  <si>
    <t>BRT</t>
  </si>
  <si>
    <t>OVV</t>
  </si>
  <si>
    <t>AGS</t>
  </si>
  <si>
    <t>AEYE</t>
  </si>
  <si>
    <t>RRR</t>
  </si>
  <si>
    <t>SEMR</t>
  </si>
  <si>
    <t>ZD</t>
  </si>
  <si>
    <t>ATLC</t>
  </si>
  <si>
    <t>FLO</t>
  </si>
  <si>
    <t>HIPO</t>
  </si>
  <si>
    <t>FLR</t>
  </si>
  <si>
    <t>AMRX</t>
  </si>
  <si>
    <t>LAMR</t>
  </si>
  <si>
    <t>NHC</t>
  </si>
  <si>
    <t>GTN</t>
  </si>
  <si>
    <t>GHM</t>
  </si>
  <si>
    <t>YMAB</t>
  </si>
  <si>
    <t>ATMU</t>
  </si>
  <si>
    <t>WMS</t>
  </si>
  <si>
    <t>OCGN</t>
  </si>
  <si>
    <t>ANIP</t>
  </si>
  <si>
    <t>ADNT</t>
  </si>
  <si>
    <t>PWP</t>
  </si>
  <si>
    <t>MSGE</t>
  </si>
  <si>
    <t>XERS</t>
  </si>
  <si>
    <t>AKRO</t>
  </si>
  <si>
    <t>CMPO</t>
  </si>
  <si>
    <t>FLGT</t>
  </si>
  <si>
    <t>BLMN</t>
  </si>
  <si>
    <t>NRG</t>
  </si>
  <si>
    <t>BAX</t>
  </si>
  <si>
    <t>RBA</t>
  </si>
  <si>
    <t>PAR</t>
  </si>
  <si>
    <t>ATSG</t>
  </si>
  <si>
    <t>MMI</t>
  </si>
  <si>
    <t>KOP</t>
  </si>
  <si>
    <t>AXL</t>
  </si>
  <si>
    <t>IMXI</t>
  </si>
  <si>
    <t>HUMA</t>
  </si>
  <si>
    <t>PARA</t>
  </si>
  <si>
    <t>AMCX</t>
  </si>
  <si>
    <t>GCMG</t>
  </si>
  <si>
    <t>SANA</t>
  </si>
  <si>
    <t>HE</t>
  </si>
  <si>
    <t>TG</t>
  </si>
  <si>
    <t>NXDT</t>
  </si>
  <si>
    <t>RDNT</t>
  </si>
  <si>
    <t>SPNS</t>
  </si>
  <si>
    <t>ARMK</t>
  </si>
  <si>
    <t>LINC</t>
  </si>
  <si>
    <t>CBL</t>
  </si>
  <si>
    <t>MLYS</t>
  </si>
  <si>
    <t>ZETA</t>
  </si>
  <si>
    <t>LYV</t>
  </si>
  <si>
    <t>NPWR</t>
  </si>
  <si>
    <t>RMR</t>
  </si>
  <si>
    <t>AROC</t>
  </si>
  <si>
    <t>TALO</t>
  </si>
  <si>
    <t>EGY</t>
  </si>
  <si>
    <t>MOS</t>
  </si>
  <si>
    <t>FLNG</t>
  </si>
  <si>
    <t>HD</t>
  </si>
  <si>
    <t>PRM</t>
  </si>
  <si>
    <t>TGI</t>
  </si>
  <si>
    <t>NWN</t>
  </si>
  <si>
    <t>PTVE</t>
  </si>
  <si>
    <t>ESGR</t>
  </si>
  <si>
    <t>GLNG</t>
  </si>
  <si>
    <t>SWTX</t>
  </si>
  <si>
    <t>FA</t>
  </si>
  <si>
    <t>NUVL</t>
  </si>
  <si>
    <t>IGT</t>
  </si>
  <si>
    <t>EAF</t>
  </si>
  <si>
    <t>TH</t>
  </si>
  <si>
    <t>PLL</t>
  </si>
  <si>
    <t>SDGR</t>
  </si>
  <si>
    <t>THS</t>
  </si>
  <si>
    <t>APGE</t>
  </si>
  <si>
    <t>AVDL</t>
  </si>
  <si>
    <t>ALT</t>
  </si>
  <si>
    <t>AZN</t>
  </si>
  <si>
    <t>NMRA</t>
  </si>
  <si>
    <t>AIOT</t>
  </si>
  <si>
    <t>FOUR</t>
  </si>
  <si>
    <t>SRRK</t>
  </si>
  <si>
    <t>PLUG</t>
  </si>
  <si>
    <t>ROIV</t>
  </si>
  <si>
    <t>SLVM</t>
  </si>
  <si>
    <t>ITOS</t>
  </si>
  <si>
    <t>VRDN</t>
  </si>
  <si>
    <t>AXSM</t>
  </si>
  <si>
    <t>SHLS</t>
  </si>
  <si>
    <t>BLDE</t>
  </si>
  <si>
    <t>EVGO</t>
  </si>
  <si>
    <t>OUT</t>
  </si>
  <si>
    <t>IBRX</t>
  </si>
  <si>
    <t>PGY</t>
  </si>
  <si>
    <t>ALIT</t>
  </si>
  <si>
    <t>PROK</t>
  </si>
  <si>
    <t>SHO</t>
  </si>
  <si>
    <t>ABSI</t>
  </si>
  <si>
    <t>BBIO</t>
  </si>
  <si>
    <t>SPHR</t>
  </si>
  <si>
    <t>PYXS</t>
  </si>
  <si>
    <t>RGEN</t>
  </si>
  <si>
    <t>DYN</t>
  </si>
  <si>
    <t>WVE</t>
  </si>
  <si>
    <t>SGRY</t>
  </si>
  <si>
    <t>TSN</t>
  </si>
  <si>
    <t>SATS</t>
  </si>
  <si>
    <t>REPL</t>
  </si>
  <si>
    <t>MIRM</t>
  </si>
  <si>
    <t>CGON</t>
  </si>
  <si>
    <t>HTZ</t>
  </si>
  <si>
    <t>IRON</t>
  </si>
  <si>
    <t>UVV</t>
  </si>
  <si>
    <t>COGT</t>
  </si>
  <si>
    <t>NVAX</t>
  </si>
  <si>
    <t>SVRA</t>
  </si>
  <si>
    <t>TLS</t>
  </si>
  <si>
    <t>PRME</t>
  </si>
  <si>
    <t>ERAS</t>
  </si>
  <si>
    <t>FATE</t>
  </si>
  <si>
    <t>OLMA</t>
  </si>
  <si>
    <t>PRDO</t>
  </si>
  <si>
    <t>VYGR</t>
  </si>
  <si>
    <t>APEI</t>
  </si>
  <si>
    <t>QTRX</t>
  </si>
  <si>
    <t>SWKS</t>
  </si>
  <si>
    <t>PGNY</t>
  </si>
  <si>
    <t>IAS</t>
  </si>
  <si>
    <t>LNW</t>
  </si>
  <si>
    <t>CATX</t>
  </si>
  <si>
    <t>LIF</t>
  </si>
  <si>
    <t>RLGT</t>
  </si>
  <si>
    <t>ZVRA</t>
  </si>
  <si>
    <t>ZI</t>
  </si>
  <si>
    <t>TBPH</t>
  </si>
  <si>
    <t>EVCM</t>
  </si>
  <si>
    <t>ORGO</t>
  </si>
  <si>
    <t>WULF</t>
  </si>
  <si>
    <t>ORIC</t>
  </si>
  <si>
    <t>BLFS</t>
  </si>
  <si>
    <t>NATL</t>
  </si>
  <si>
    <t>PLUS</t>
  </si>
  <si>
    <t>CRGX</t>
  </si>
  <si>
    <t>PRTA</t>
  </si>
  <si>
    <t>MARA</t>
  </si>
  <si>
    <t>FNA</t>
  </si>
  <si>
    <t>AMBC</t>
  </si>
  <si>
    <t>AURA</t>
  </si>
  <si>
    <t>ICUI</t>
  </si>
  <si>
    <t>DSP</t>
  </si>
  <si>
    <t>CRNX</t>
  </si>
  <si>
    <t>TERN</t>
  </si>
  <si>
    <t>HPP</t>
  </si>
  <si>
    <t>RPAY</t>
  </si>
  <si>
    <t>BHVN</t>
  </si>
  <si>
    <t>HNRG</t>
  </si>
  <si>
    <t>OABI</t>
  </si>
  <si>
    <t>KRRO</t>
  </si>
  <si>
    <t>AZTA</t>
  </si>
  <si>
    <t>PUBM</t>
  </si>
  <si>
    <t>SOUN</t>
  </si>
  <si>
    <t>SIBN</t>
  </si>
  <si>
    <t>DAVE</t>
  </si>
  <si>
    <t>TTGT</t>
  </si>
  <si>
    <t>STNE</t>
  </si>
  <si>
    <t>RKLB</t>
  </si>
  <si>
    <t>KODK</t>
  </si>
  <si>
    <t>OXY</t>
  </si>
  <si>
    <t>HNST</t>
  </si>
  <si>
    <t>MODG</t>
  </si>
  <si>
    <t>FIHL</t>
  </si>
  <si>
    <t>ALTG</t>
  </si>
  <si>
    <t>AHR</t>
  </si>
  <si>
    <t>BOC</t>
  </si>
  <si>
    <t>DHT</t>
  </si>
  <si>
    <t>AMPS</t>
  </si>
  <si>
    <t>MNTK</t>
  </si>
  <si>
    <t>MLR</t>
  </si>
  <si>
    <t>LEGH</t>
  </si>
  <si>
    <t>EVRI</t>
  </si>
  <si>
    <t>GRPN</t>
  </si>
  <si>
    <t>CNNE</t>
  </si>
  <si>
    <t>PANL</t>
  </si>
  <si>
    <t>SDRL</t>
  </si>
  <si>
    <t>LWLG</t>
  </si>
  <si>
    <t>MTTR</t>
  </si>
  <si>
    <t>DOLE</t>
  </si>
  <si>
    <t>HUT</t>
  </si>
  <si>
    <t>SPRY</t>
  </si>
  <si>
    <t>LQDA</t>
  </si>
  <si>
    <t>PSFE</t>
  </si>
  <si>
    <t>MRSN</t>
  </si>
  <si>
    <t>FULC</t>
  </si>
  <si>
    <t>GFF</t>
  </si>
  <si>
    <t>PESI</t>
  </si>
  <si>
    <t>MGTX</t>
  </si>
  <si>
    <t>SLRN</t>
  </si>
  <si>
    <t>TTEK</t>
  </si>
  <si>
    <t>TSHA</t>
  </si>
  <si>
    <t>CAPR</t>
  </si>
  <si>
    <t>OMER</t>
  </si>
  <si>
    <t>IBTA</t>
  </si>
  <si>
    <t>DGII</t>
  </si>
  <si>
    <t>KLIC</t>
  </si>
  <si>
    <t>SB</t>
  </si>
  <si>
    <t>TARS</t>
  </si>
  <si>
    <t>SONO</t>
  </si>
  <si>
    <t>ELVN</t>
  </si>
  <si>
    <t>ATEX</t>
  </si>
  <si>
    <t>CSCO</t>
  </si>
  <si>
    <t>NN</t>
  </si>
  <si>
    <t>FDMT</t>
  </si>
  <si>
    <t>IMNM</t>
  </si>
  <si>
    <t>PAGS</t>
  </si>
  <si>
    <t>ATXS</t>
  </si>
  <si>
    <t>BV</t>
  </si>
  <si>
    <t>JJSF</t>
  </si>
  <si>
    <t>BZH</t>
  </si>
  <si>
    <t>HP</t>
  </si>
  <si>
    <t>HI</t>
  </si>
  <si>
    <t>STRO</t>
  </si>
  <si>
    <t>PPTA</t>
  </si>
  <si>
    <t>HROW</t>
  </si>
  <si>
    <t>PCYO</t>
  </si>
  <si>
    <t>EWCZ</t>
  </si>
  <si>
    <t>DIS</t>
  </si>
  <si>
    <t>SBH</t>
  </si>
  <si>
    <t>ONEW</t>
  </si>
  <si>
    <t>OCUL</t>
  </si>
  <si>
    <t>CTGO</t>
  </si>
  <si>
    <t>GAMB</t>
  </si>
  <si>
    <t>LUNR</t>
  </si>
  <si>
    <t>ANNX</t>
  </si>
  <si>
    <t>AVBP</t>
  </si>
  <si>
    <t>CBRL</t>
  </si>
  <si>
    <t>SMID</t>
  </si>
  <si>
    <t>AMAT</t>
  </si>
  <si>
    <t>CELC</t>
  </si>
  <si>
    <t>DESP</t>
  </si>
  <si>
    <t>DMRC</t>
  </si>
  <si>
    <t>HYLN</t>
  </si>
  <si>
    <t>TRAK</t>
  </si>
  <si>
    <t>ESE</t>
  </si>
  <si>
    <t>NGS</t>
  </si>
  <si>
    <t>ASTS</t>
  </si>
  <si>
    <t>CWCO</t>
  </si>
  <si>
    <t>POST</t>
  </si>
  <si>
    <t>SOC</t>
  </si>
  <si>
    <t>LAZR</t>
  </si>
  <si>
    <t>TWST</t>
  </si>
  <si>
    <t>BTBT</t>
  </si>
  <si>
    <t>HAYN</t>
  </si>
  <si>
    <t>ACM</t>
  </si>
  <si>
    <t>ADM</t>
  </si>
  <si>
    <t>BRBR</t>
  </si>
  <si>
    <t>IIIV</t>
  </si>
  <si>
    <t>LOW</t>
  </si>
  <si>
    <t>BERY</t>
  </si>
  <si>
    <t>J</t>
  </si>
  <si>
    <t>MDT</t>
  </si>
  <si>
    <t>ENR</t>
  </si>
  <si>
    <t>VVV</t>
  </si>
  <si>
    <t>WMT</t>
  </si>
  <si>
    <t>POWL</t>
  </si>
  <si>
    <t>VREX</t>
  </si>
  <si>
    <t>SPIR</t>
  </si>
  <si>
    <t>IMMR</t>
  </si>
  <si>
    <t>EVLV</t>
  </si>
  <si>
    <t>KEYS</t>
  </si>
  <si>
    <t>SNEX</t>
  </si>
  <si>
    <t>DLB</t>
  </si>
  <si>
    <t>LZB</t>
  </si>
  <si>
    <t>PACS</t>
  </si>
  <si>
    <t>DY</t>
  </si>
  <si>
    <t>TGT</t>
  </si>
  <si>
    <t>SR</t>
  </si>
  <si>
    <t>WSM</t>
  </si>
  <si>
    <t>TJX</t>
  </si>
  <si>
    <t>JACK</t>
  </si>
  <si>
    <t>PANW</t>
  </si>
  <si>
    <t>NVDA</t>
  </si>
  <si>
    <t>SMCI</t>
  </si>
  <si>
    <t>MMS</t>
  </si>
  <si>
    <t>UTI</t>
  </si>
  <si>
    <t>PDD</t>
  </si>
  <si>
    <t>ROAD</t>
  </si>
  <si>
    <t>ATKR</t>
  </si>
  <si>
    <t>NNOX</t>
  </si>
  <si>
    <t>BJ</t>
  </si>
  <si>
    <t>DE</t>
  </si>
  <si>
    <t>WMG</t>
  </si>
  <si>
    <t>SCVL</t>
  </si>
  <si>
    <t>CMP</t>
  </si>
  <si>
    <t>GAP</t>
  </si>
  <si>
    <t>UGI</t>
  </si>
  <si>
    <t>INTU</t>
  </si>
  <si>
    <t>LGTY</t>
  </si>
  <si>
    <t>NTAP</t>
  </si>
  <si>
    <t>NGVC</t>
  </si>
  <si>
    <t>ROST</t>
  </si>
  <si>
    <t>CPRT</t>
  </si>
  <si>
    <t>MATW</t>
  </si>
  <si>
    <t>IESC</t>
  </si>
  <si>
    <t>BKE</t>
  </si>
  <si>
    <t>AVXL</t>
  </si>
  <si>
    <t>CENTA</t>
  </si>
  <si>
    <t>BLBD</t>
  </si>
  <si>
    <t>SMTC</t>
  </si>
  <si>
    <t>A</t>
  </si>
  <si>
    <t>NJR</t>
  </si>
  <si>
    <t>LESL</t>
  </si>
  <si>
    <t>CENT</t>
  </si>
  <si>
    <t>WWD</t>
  </si>
  <si>
    <t>ENTA</t>
  </si>
  <si>
    <t>DDD</t>
  </si>
  <si>
    <t>FLNC</t>
  </si>
  <si>
    <t>ANF</t>
  </si>
  <si>
    <t>DKS</t>
  </si>
  <si>
    <t>ADI</t>
  </si>
  <si>
    <t>AMWD</t>
  </si>
  <si>
    <t>BBY</t>
  </si>
  <si>
    <t>BURL</t>
  </si>
  <si>
    <t>EMBC</t>
  </si>
  <si>
    <t>M</t>
  </si>
  <si>
    <t>SJM</t>
  </si>
  <si>
    <t>TITN</t>
  </si>
  <si>
    <t>JWN</t>
  </si>
  <si>
    <t>HPQ</t>
  </si>
  <si>
    <t>ADSK</t>
  </si>
  <si>
    <t>ARWR</t>
  </si>
  <si>
    <t>WDAY</t>
  </si>
  <si>
    <t>DELL</t>
  </si>
  <si>
    <t>AMBA</t>
  </si>
  <si>
    <t>PD</t>
  </si>
  <si>
    <t>CRWD</t>
  </si>
  <si>
    <t>URBN</t>
  </si>
  <si>
    <t>PDCO</t>
  </si>
  <si>
    <t>IMKTA</t>
  </si>
  <si>
    <t>GOGL</t>
  </si>
  <si>
    <t>ZUO</t>
  </si>
  <si>
    <t>NAT</t>
  </si>
  <si>
    <t>GCO</t>
  </si>
  <si>
    <t>SAIC</t>
  </si>
  <si>
    <t>ZS</t>
  </si>
  <si>
    <t>CRDO</t>
  </si>
  <si>
    <t>CNM</t>
  </si>
  <si>
    <t>VLGEA</t>
  </si>
  <si>
    <t>DBI</t>
  </si>
  <si>
    <t>GIII</t>
  </si>
  <si>
    <t>REX</t>
  </si>
  <si>
    <t>DCI</t>
  </si>
  <si>
    <t>SFIX</t>
  </si>
  <si>
    <t>PSTG</t>
  </si>
  <si>
    <t>BOX</t>
  </si>
  <si>
    <t>CRM</t>
  </si>
  <si>
    <t>BASE</t>
  </si>
  <si>
    <t>YEXT</t>
  </si>
  <si>
    <t>MRVL</t>
  </si>
  <si>
    <t>NAPA</t>
  </si>
  <si>
    <t>OLLI</t>
  </si>
  <si>
    <t>DLTR</t>
  </si>
  <si>
    <t>CHWY</t>
  </si>
  <si>
    <t>KFY</t>
  </si>
  <si>
    <t>DAKT</t>
  </si>
  <si>
    <t>THO</t>
  </si>
  <si>
    <t>HRL</t>
  </si>
  <si>
    <t>WLY</t>
  </si>
  <si>
    <t>CPB</t>
  </si>
  <si>
    <t>FL</t>
  </si>
  <si>
    <t>CHPT</t>
  </si>
  <si>
    <t>PVH</t>
  </si>
  <si>
    <t>AEO</t>
  </si>
  <si>
    <t>CASY</t>
  </si>
  <si>
    <t>GEF</t>
  </si>
  <si>
    <t>OOMA</t>
  </si>
  <si>
    <t>IDT</t>
  </si>
  <si>
    <t>VRNT</t>
  </si>
  <si>
    <t>GME</t>
  </si>
  <si>
    <t>AGX</t>
  </si>
  <si>
    <t>CXM</t>
  </si>
  <si>
    <t>FIVE</t>
  </si>
  <si>
    <t>SNPS</t>
  </si>
  <si>
    <t>AVAV</t>
  </si>
  <si>
    <t>DG</t>
  </si>
  <si>
    <t>GMS</t>
  </si>
  <si>
    <t>KALV</t>
  </si>
  <si>
    <t>HOFT</t>
  </si>
  <si>
    <t>MOV</t>
  </si>
  <si>
    <t>MEI</t>
  </si>
  <si>
    <t>KR</t>
  </si>
  <si>
    <t>BBW</t>
  </si>
  <si>
    <t>CAL</t>
  </si>
  <si>
    <t>HOV</t>
  </si>
  <si>
    <t>ASO</t>
  </si>
  <si>
    <t>SIG</t>
  </si>
  <si>
    <t>CRMT</t>
  </si>
  <si>
    <t>WOOF</t>
  </si>
  <si>
    <t>ZUMZ</t>
  </si>
  <si>
    <t>SWBI</t>
  </si>
  <si>
    <t>VSCO</t>
  </si>
  <si>
    <t>PL</t>
  </si>
  <si>
    <t>ULTA</t>
  </si>
  <si>
    <t>FIZZ</t>
  </si>
  <si>
    <t>CDMO</t>
  </si>
  <si>
    <t>ASAN</t>
  </si>
  <si>
    <t>COO</t>
  </si>
  <si>
    <t>HPE</t>
  </si>
  <si>
    <t>DOCU</t>
  </si>
  <si>
    <t>LULU</t>
  </si>
  <si>
    <t>UEC</t>
  </si>
  <si>
    <t>DOMO</t>
  </si>
  <si>
    <t>MDB</t>
  </si>
  <si>
    <t>HQY</t>
  </si>
  <si>
    <t>PHR</t>
  </si>
  <si>
    <t>AI</t>
  </si>
  <si>
    <t>MTN</t>
  </si>
  <si>
    <t>ODC</t>
  </si>
  <si>
    <t>TOL</t>
  </si>
  <si>
    <t>BRZE</t>
  </si>
  <si>
    <t>ORCL</t>
  </si>
  <si>
    <t>AZO</t>
  </si>
  <si>
    <t>LE</t>
  </si>
  <si>
    <t>UNFI</t>
  </si>
  <si>
    <t>PLAY</t>
  </si>
  <si>
    <t>MAMA</t>
  </si>
  <si>
    <t>REVG</t>
  </si>
  <si>
    <t>PLAB</t>
  </si>
  <si>
    <t>NDSN</t>
  </si>
  <si>
    <t>ADBE</t>
  </si>
  <si>
    <t>OXM</t>
  </si>
  <si>
    <t>GENC</t>
  </si>
  <si>
    <t>LQDT</t>
  </si>
  <si>
    <t>CIEN</t>
  </si>
  <si>
    <t>LOVE</t>
  </si>
  <si>
    <t>ABM</t>
  </si>
  <si>
    <t>AVGO</t>
  </si>
  <si>
    <t>MITK</t>
  </si>
  <si>
    <t>COST</t>
  </si>
  <si>
    <t>NX</t>
  </si>
  <si>
    <t>RH</t>
  </si>
  <si>
    <t>AAPL</t>
  </si>
  <si>
    <t>MSFT</t>
  </si>
  <si>
    <t>GOOG</t>
  </si>
  <si>
    <t>GOOGL</t>
  </si>
  <si>
    <t>AMZN</t>
  </si>
  <si>
    <t>META</t>
  </si>
  <si>
    <t>TSLA</t>
  </si>
  <si>
    <t>BRK.B</t>
  </si>
  <si>
    <t>JPM</t>
  </si>
  <si>
    <t>LLY</t>
  </si>
  <si>
    <t>V</t>
  </si>
  <si>
    <t>UNH</t>
  </si>
  <si>
    <t>MA</t>
  </si>
  <si>
    <t>PG</t>
  </si>
  <si>
    <t>NFLX</t>
  </si>
  <si>
    <t>JNJ</t>
  </si>
  <si>
    <t>BAC</t>
  </si>
  <si>
    <t>ABBV</t>
  </si>
  <si>
    <t>TMUS</t>
  </si>
  <si>
    <t>KO</t>
  </si>
  <si>
    <t>MRK</t>
  </si>
  <si>
    <t>WFC</t>
  </si>
  <si>
    <t>BX</t>
  </si>
  <si>
    <t>ACN</t>
  </si>
  <si>
    <t>AMD</t>
  </si>
  <si>
    <t>PEP</t>
  </si>
  <si>
    <t>LIN</t>
  </si>
  <si>
    <t>MS</t>
  </si>
  <si>
    <t>NOW</t>
  </si>
  <si>
    <t>MCD</t>
  </si>
  <si>
    <t>PM</t>
  </si>
  <si>
    <t>AXP</t>
  </si>
  <si>
    <t>ABT</t>
  </si>
  <si>
    <t>IBM</t>
  </si>
  <si>
    <t>TMO</t>
  </si>
  <si>
    <t>ISRG</t>
  </si>
  <si>
    <t>GE</t>
  </si>
  <si>
    <t>GS</t>
  </si>
  <si>
    <t>CAT</t>
  </si>
  <si>
    <t>TXN</t>
  </si>
  <si>
    <t>VZ</t>
  </si>
  <si>
    <t>DHR</t>
  </si>
  <si>
    <t>BKNG</t>
  </si>
  <si>
    <t>T</t>
  </si>
  <si>
    <t>CMCSA</t>
  </si>
  <si>
    <t>BLK</t>
  </si>
  <si>
    <t>RTX</t>
  </si>
  <si>
    <t>NEE</t>
  </si>
  <si>
    <t>SPGI</t>
  </si>
  <si>
    <t>AMGN</t>
  </si>
  <si>
    <t>PGR</t>
  </si>
  <si>
    <t>HON</t>
  </si>
  <si>
    <t>SCHW</t>
  </si>
  <si>
    <t>SYK</t>
  </si>
  <si>
    <t>UBER</t>
  </si>
  <si>
    <t>ETN</t>
  </si>
  <si>
    <t>UNP</t>
  </si>
  <si>
    <t>PFE</t>
  </si>
  <si>
    <t>KKR</t>
  </si>
  <si>
    <t>BSX</t>
  </si>
  <si>
    <t>COP</t>
  </si>
  <si>
    <t>C</t>
  </si>
  <si>
    <t>LMT</t>
  </si>
  <si>
    <t>FI</t>
  </si>
  <si>
    <t>ADP</t>
  </si>
  <si>
    <t>BMY</t>
  </si>
  <si>
    <t>CB</t>
  </si>
  <si>
    <t>UPS</t>
  </si>
  <si>
    <t>SBUX</t>
  </si>
  <si>
    <t>BA</t>
  </si>
  <si>
    <t>MMC</t>
  </si>
  <si>
    <t>NKE</t>
  </si>
  <si>
    <t>MU</t>
  </si>
  <si>
    <t>PLD</t>
  </si>
  <si>
    <t>INTC</t>
  </si>
  <si>
    <t>SO</t>
  </si>
  <si>
    <t>MO</t>
  </si>
  <si>
    <t>GEV</t>
  </si>
  <si>
    <t>AMT</t>
  </si>
  <si>
    <t>SHW</t>
  </si>
  <si>
    <t>ELV</t>
  </si>
  <si>
    <t>TT</t>
  </si>
  <si>
    <t>CI</t>
  </si>
  <si>
    <t>LRCX</t>
  </si>
  <si>
    <t>ICE</t>
  </si>
  <si>
    <t>PH</t>
  </si>
  <si>
    <t>EQIX</t>
  </si>
  <si>
    <t>CTAS</t>
  </si>
  <si>
    <t>WM</t>
  </si>
  <si>
    <t>MDLZ</t>
  </si>
  <si>
    <t>MCO</t>
  </si>
  <si>
    <t>WELL</t>
  </si>
  <si>
    <t>APH</t>
  </si>
  <si>
    <t>PYPL</t>
  </si>
  <si>
    <t>HCA</t>
  </si>
  <si>
    <t>CDNS</t>
  </si>
  <si>
    <t>KLAC</t>
  </si>
  <si>
    <t>CME</t>
  </si>
  <si>
    <t>AON</t>
  </si>
  <si>
    <t>PNC</t>
  </si>
  <si>
    <t>CMG</t>
  </si>
  <si>
    <t>REGN</t>
  </si>
  <si>
    <t>USB</t>
  </si>
  <si>
    <t>ITW</t>
  </si>
  <si>
    <t>CL</t>
  </si>
  <si>
    <t>GD</t>
  </si>
  <si>
    <t>NOC</t>
  </si>
  <si>
    <t>FDX</t>
  </si>
  <si>
    <t>MMM</t>
  </si>
  <si>
    <t>COF</t>
  </si>
  <si>
    <t>ORLY</t>
  </si>
  <si>
    <t>ECL</t>
  </si>
  <si>
    <t>CSX</t>
  </si>
  <si>
    <t>CARR</t>
  </si>
  <si>
    <t>RSG</t>
  </si>
  <si>
    <t>OKE</t>
  </si>
  <si>
    <t>AJG</t>
  </si>
  <si>
    <t>RCL</t>
  </si>
  <si>
    <t>FCX</t>
  </si>
  <si>
    <t>DLR</t>
  </si>
  <si>
    <t>KMI</t>
  </si>
  <si>
    <t>TFC</t>
  </si>
  <si>
    <t>AFL</t>
  </si>
  <si>
    <t>SLB</t>
  </si>
  <si>
    <t>HLT</t>
  </si>
  <si>
    <t>GM</t>
  </si>
  <si>
    <t>ROP</t>
  </si>
  <si>
    <t>NSC</t>
  </si>
  <si>
    <t>PSA</t>
  </si>
  <si>
    <t>TRV</t>
  </si>
  <si>
    <t>PCAR</t>
  </si>
  <si>
    <t>GWW</t>
  </si>
  <si>
    <t>MET</t>
  </si>
  <si>
    <t>BK</t>
  </si>
  <si>
    <t>AMP</t>
  </si>
  <si>
    <t>PSX</t>
  </si>
  <si>
    <t>URI</t>
  </si>
  <si>
    <t>DHI</t>
  </si>
  <si>
    <t>ALL</t>
  </si>
  <si>
    <t>PAYX</t>
  </si>
  <si>
    <t>PWR</t>
  </si>
  <si>
    <t>NEM</t>
  </si>
  <si>
    <t>FAST</t>
  </si>
  <si>
    <t>LHX</t>
  </si>
  <si>
    <t>NDAQ</t>
  </si>
  <si>
    <t>MSCI</t>
  </si>
  <si>
    <t>LEN</t>
  </si>
  <si>
    <t>ODFL</t>
  </si>
  <si>
    <t>KMB</t>
  </si>
  <si>
    <t>HES</t>
  </si>
  <si>
    <t>CCI</t>
  </si>
  <si>
    <t>AME</t>
  </si>
  <si>
    <t>VLO</t>
  </si>
  <si>
    <t>PRU</t>
  </si>
  <si>
    <t>TEL</t>
  </si>
  <si>
    <t>BKR</t>
  </si>
  <si>
    <t>EA</t>
  </si>
  <si>
    <t>DFS</t>
  </si>
  <si>
    <t>STZ</t>
  </si>
  <si>
    <t>KDP</t>
  </si>
  <si>
    <t>F</t>
  </si>
  <si>
    <t>IR</t>
  </si>
  <si>
    <t>EW</t>
  </si>
  <si>
    <t>GLW</t>
  </si>
  <si>
    <t>DAL</t>
  </si>
  <si>
    <t>XEL</t>
  </si>
  <si>
    <t>VRSK</t>
  </si>
  <si>
    <t>OTIS</t>
  </si>
  <si>
    <t>GRMN</t>
  </si>
  <si>
    <t>CBRE</t>
  </si>
  <si>
    <t>EXC</t>
  </si>
  <si>
    <t>GEHC</t>
  </si>
  <si>
    <t>CTSH</t>
  </si>
  <si>
    <t>KHC</t>
  </si>
  <si>
    <t>VMC</t>
  </si>
  <si>
    <t>EXR</t>
  </si>
  <si>
    <t>SYY</t>
  </si>
  <si>
    <t>LVS</t>
  </si>
  <si>
    <t>ACGL</t>
  </si>
  <si>
    <t>MLM</t>
  </si>
  <si>
    <t>RMD</t>
  </si>
  <si>
    <t>MTB</t>
  </si>
  <si>
    <t>GIS</t>
  </si>
  <si>
    <t>IQV</t>
  </si>
  <si>
    <t>HUM</t>
  </si>
  <si>
    <t>NUE</t>
  </si>
  <si>
    <t>HIG</t>
  </si>
  <si>
    <t>WAB</t>
  </si>
  <si>
    <t>IDXX</t>
  </si>
  <si>
    <t>VICI</t>
  </si>
  <si>
    <t>EIX</t>
  </si>
  <si>
    <t>RJF</t>
  </si>
  <si>
    <t>ETR</t>
  </si>
  <si>
    <t>CCL</t>
  </si>
  <si>
    <t>WEC</t>
  </si>
  <si>
    <t>BRO</t>
  </si>
  <si>
    <t>FITB</t>
  </si>
  <si>
    <t>WTW</t>
  </si>
  <si>
    <t>CSGP</t>
  </si>
  <si>
    <t>UAL</t>
  </si>
  <si>
    <t>DOW</t>
  </si>
  <si>
    <t>EFX</t>
  </si>
  <si>
    <t>CNC</t>
  </si>
  <si>
    <t>XYL</t>
  </si>
  <si>
    <t>DXCM</t>
  </si>
  <si>
    <t>GPN</t>
  </si>
  <si>
    <t>EBAY</t>
  </si>
  <si>
    <t>EQR</t>
  </si>
  <si>
    <t>TSCO</t>
  </si>
  <si>
    <t>SW</t>
  </si>
  <si>
    <t>ON</t>
  </si>
  <si>
    <t>PPG</t>
  </si>
  <si>
    <t>EQT</t>
  </si>
  <si>
    <t>STT</t>
  </si>
  <si>
    <t>K</t>
  </si>
  <si>
    <t>NVR</t>
  </si>
  <si>
    <t>DOV</t>
  </si>
  <si>
    <t>VTR</t>
  </si>
  <si>
    <t>MPWR</t>
  </si>
  <si>
    <t>AWK</t>
  </si>
  <si>
    <t>DECK</t>
  </si>
  <si>
    <t>GDDY</t>
  </si>
  <si>
    <t>PHM</t>
  </si>
  <si>
    <t>FTV</t>
  </si>
  <si>
    <t>TROW</t>
  </si>
  <si>
    <t>VLTO</t>
  </si>
  <si>
    <t>TYL</t>
  </si>
  <si>
    <t>HBAN</t>
  </si>
  <si>
    <t>DTE</t>
  </si>
  <si>
    <t>SYF</t>
  </si>
  <si>
    <t>FE</t>
  </si>
  <si>
    <t>HUBB</t>
  </si>
  <si>
    <t>RF</t>
  </si>
  <si>
    <t>ROL</t>
  </si>
  <si>
    <t>CINF</t>
  </si>
  <si>
    <t>SBAC</t>
  </si>
  <si>
    <t>EL</t>
  </si>
  <si>
    <t>CDW</t>
  </si>
  <si>
    <t>WRB</t>
  </si>
  <si>
    <t>BIIB</t>
  </si>
  <si>
    <t>WST</t>
  </si>
  <si>
    <t>WY</t>
  </si>
  <si>
    <t>STLD</t>
  </si>
  <si>
    <t>WDC</t>
  </si>
  <si>
    <t>ERIE</t>
  </si>
  <si>
    <t>TDY</t>
  </si>
  <si>
    <t>ZBH</t>
  </si>
  <si>
    <t>PKG</t>
  </si>
  <si>
    <t>LDOS</t>
  </si>
  <si>
    <t>NTRS</t>
  </si>
  <si>
    <t>CLX</t>
  </si>
  <si>
    <t>INVH</t>
  </si>
  <si>
    <t>STX</t>
  </si>
  <si>
    <t>MKC</t>
  </si>
  <si>
    <t>CNP</t>
  </si>
  <si>
    <t>CMS</t>
  </si>
  <si>
    <t>IP</t>
  </si>
  <si>
    <t>CFG</t>
  </si>
  <si>
    <t>ESS</t>
  </si>
  <si>
    <t>LH</t>
  </si>
  <si>
    <t>ZBRA</t>
  </si>
  <si>
    <t>CTRA</t>
  </si>
  <si>
    <t>FSLR</t>
  </si>
  <si>
    <t>OMC</t>
  </si>
  <si>
    <t>PFG</t>
  </si>
  <si>
    <t>DRI</t>
  </si>
  <si>
    <t>LUV</t>
  </si>
  <si>
    <t>BF.B</t>
  </si>
  <si>
    <t>MAA</t>
  </si>
  <si>
    <t>KEY</t>
  </si>
  <si>
    <t>SNA</t>
  </si>
  <si>
    <t>JBHT</t>
  </si>
  <si>
    <t>ARE</t>
  </si>
  <si>
    <t>GEN</t>
  </si>
  <si>
    <t>FDS</t>
  </si>
  <si>
    <t>DGX</t>
  </si>
  <si>
    <t>BALL</t>
  </si>
  <si>
    <t>NI</t>
  </si>
  <si>
    <t>VRSN</t>
  </si>
  <si>
    <t>PNR</t>
  </si>
  <si>
    <t>KIM</t>
  </si>
  <si>
    <t>IEX</t>
  </si>
  <si>
    <t>TER</t>
  </si>
  <si>
    <t>GPC</t>
  </si>
  <si>
    <t>MOH</t>
  </si>
  <si>
    <t>ALGN</t>
  </si>
  <si>
    <t>MAS</t>
  </si>
  <si>
    <t>UDR</t>
  </si>
  <si>
    <t>EG</t>
  </si>
  <si>
    <t>LNT</t>
  </si>
  <si>
    <t>AVY</t>
  </si>
  <si>
    <t>CF</t>
  </si>
  <si>
    <t>DOC</t>
  </si>
  <si>
    <t>TXT</t>
  </si>
  <si>
    <t>DPZ</t>
  </si>
  <si>
    <t>AMCR</t>
  </si>
  <si>
    <t>JBL</t>
  </si>
  <si>
    <t>FFIV</t>
  </si>
  <si>
    <t>BXP</t>
  </si>
  <si>
    <t>INCY</t>
  </si>
  <si>
    <t>POOL</t>
  </si>
  <si>
    <t>REG</t>
  </si>
  <si>
    <t>DVA</t>
  </si>
  <si>
    <t>SWK</t>
  </si>
  <si>
    <t>CPT</t>
  </si>
  <si>
    <t>UHS</t>
  </si>
  <si>
    <t>CAG</t>
  </si>
  <si>
    <t>CHRW</t>
  </si>
  <si>
    <t>APTV</t>
  </si>
  <si>
    <t>BG</t>
  </si>
  <si>
    <t>PAYC</t>
  </si>
  <si>
    <t>ALLE</t>
  </si>
  <si>
    <t>DAY</t>
  </si>
  <si>
    <t>KMX</t>
  </si>
  <si>
    <t>JNPR</t>
  </si>
  <si>
    <t>EMN</t>
  </si>
  <si>
    <t>NCLH</t>
  </si>
  <si>
    <t>MGM</t>
  </si>
  <si>
    <t>TECH</t>
  </si>
  <si>
    <t>LW</t>
  </si>
  <si>
    <t>GNRC</t>
  </si>
  <si>
    <t>IPG</t>
  </si>
  <si>
    <t>AOS</t>
  </si>
  <si>
    <t>LKQ</t>
  </si>
  <si>
    <t>FRT</t>
  </si>
  <si>
    <t>AES</t>
  </si>
  <si>
    <t>GL</t>
  </si>
  <si>
    <t>TFX</t>
  </si>
  <si>
    <t>HAS</t>
  </si>
  <si>
    <t>MHK</t>
  </si>
  <si>
    <t>ENPH</t>
  </si>
  <si>
    <t>CZR</t>
  </si>
  <si>
    <t>IVZ</t>
  </si>
  <si>
    <t>HII</t>
  </si>
  <si>
    <t>BWA</t>
  </si>
  <si>
    <t>WBA</t>
  </si>
  <si>
    <t>FMC</t>
  </si>
  <si>
    <t>QRVO</t>
  </si>
  <si>
    <t>AMTM</t>
  </si>
  <si>
    <t>Index</t>
  </si>
  <si>
    <t>Stock</t>
  </si>
  <si>
    <t>SP500</t>
  </si>
  <si>
    <t>ASML</t>
  </si>
  <si>
    <t>DASH</t>
  </si>
  <si>
    <t>TEAM</t>
  </si>
  <si>
    <t>CCEP</t>
  </si>
  <si>
    <t>NQ100</t>
  </si>
  <si>
    <t>Index2</t>
  </si>
  <si>
    <t/>
  </si>
  <si>
    <t>FTAI</t>
  </si>
  <si>
    <t>SFM</t>
  </si>
  <si>
    <t>INSM</t>
  </si>
  <si>
    <t>AIT</t>
  </si>
  <si>
    <t>MLI</t>
  </si>
  <si>
    <t>CRS</t>
  </si>
  <si>
    <t>SSB</t>
  </si>
  <si>
    <t>ENSG</t>
  </si>
  <si>
    <t>UFPI</t>
  </si>
  <si>
    <t>SPXC</t>
  </si>
  <si>
    <t>CVLT</t>
  </si>
  <si>
    <t>TMHC</t>
  </si>
  <si>
    <t>MOD</t>
  </si>
  <si>
    <t>BECN</t>
  </si>
  <si>
    <t>EXLS</t>
  </si>
  <si>
    <t>CMC</t>
  </si>
  <si>
    <t>CSWI</t>
  </si>
  <si>
    <t>CWST</t>
  </si>
  <si>
    <t>ONB</t>
  </si>
  <si>
    <t>SPSC</t>
  </si>
  <si>
    <t>GBCI</t>
  </si>
  <si>
    <t>MTH</t>
  </si>
  <si>
    <t>COOP</t>
  </si>
  <si>
    <t>MOGA</t>
  </si>
  <si>
    <t>BMI</t>
  </si>
  <si>
    <t>EPRT</t>
  </si>
  <si>
    <t>HRI</t>
  </si>
  <si>
    <t>USD</t>
  </si>
  <si>
    <t>MMSI</t>
  </si>
  <si>
    <t>KRG</t>
  </si>
  <si>
    <t>ALTR</t>
  </si>
  <si>
    <t>SIGI</t>
  </si>
  <si>
    <t>PIPR</t>
  </si>
  <si>
    <t>BPMC</t>
  </si>
  <si>
    <t>SUM</t>
  </si>
  <si>
    <t>CHX</t>
  </si>
  <si>
    <t>CNX</t>
  </si>
  <si>
    <t>AUR</t>
  </si>
  <si>
    <t>HOMB</t>
  </si>
  <si>
    <t>BCPC</t>
  </si>
  <si>
    <t>RMBS</t>
  </si>
  <si>
    <t>WTS</t>
  </si>
  <si>
    <t>UBSI</t>
  </si>
  <si>
    <t>ZWS</t>
  </si>
  <si>
    <t>HALO</t>
  </si>
  <si>
    <t>UMBF</t>
  </si>
  <si>
    <t>MDGL</t>
  </si>
  <si>
    <t>FSS</t>
  </si>
  <si>
    <t>VRNS</t>
  </si>
  <si>
    <t>GATX</t>
  </si>
  <si>
    <t>EAT</t>
  </si>
  <si>
    <t>FFIN</t>
  </si>
  <si>
    <t>GPI</t>
  </si>
  <si>
    <t>CADE</t>
  </si>
  <si>
    <t>ITRI</t>
  </si>
  <si>
    <t>SKY</t>
  </si>
  <si>
    <t>KBH</t>
  </si>
  <si>
    <t>NXT</t>
  </si>
  <si>
    <t>MATX</t>
  </si>
  <si>
    <t>SLG</t>
  </si>
  <si>
    <t>ACA</t>
  </si>
  <si>
    <t>KTB</t>
  </si>
  <si>
    <t>ABG</t>
  </si>
  <si>
    <t>SM</t>
  </si>
  <si>
    <t>HWC</t>
  </si>
  <si>
    <t>CTRE</t>
  </si>
  <si>
    <t>IRT</t>
  </si>
  <si>
    <t>PECO</t>
  </si>
  <si>
    <t>TENB</t>
  </si>
  <si>
    <t>SFBS</t>
  </si>
  <si>
    <t>BDC</t>
  </si>
  <si>
    <t>POR</t>
  </si>
  <si>
    <t>EXPO</t>
  </si>
  <si>
    <t>VLY</t>
  </si>
  <si>
    <t>FELE</t>
  </si>
  <si>
    <t>MGY</t>
  </si>
  <si>
    <t>IDCC</t>
  </si>
  <si>
    <t>KAI</t>
  </si>
  <si>
    <t>AVNT</t>
  </si>
  <si>
    <t>SHAK</t>
  </si>
  <si>
    <t>ALKS</t>
  </si>
  <si>
    <t>SKYW</t>
  </si>
  <si>
    <t>PRMB</t>
  </si>
  <si>
    <t>ITGR</t>
  </si>
  <si>
    <t>CORT</t>
  </si>
  <si>
    <t>LRN</t>
  </si>
  <si>
    <t>SBRA</t>
  </si>
  <si>
    <t>ABCB</t>
  </si>
  <si>
    <t>GVA</t>
  </si>
  <si>
    <t>PLXS</t>
  </si>
  <si>
    <t>WHD</t>
  </si>
  <si>
    <t>NSIT</t>
  </si>
  <si>
    <t>CNO</t>
  </si>
  <si>
    <t>PI</t>
  </si>
  <si>
    <t>AEIS</t>
  </si>
  <si>
    <t>MHO</t>
  </si>
  <si>
    <t>AX</t>
  </si>
  <si>
    <t>ASB</t>
  </si>
  <si>
    <t>TCBI</t>
  </si>
  <si>
    <t>FCFS</t>
  </si>
  <si>
    <t>FUL</t>
  </si>
  <si>
    <t>SEM</t>
  </si>
  <si>
    <t>MC</t>
  </si>
  <si>
    <t>PRCT</t>
  </si>
  <si>
    <t>BOOT</t>
  </si>
  <si>
    <t>CVCO</t>
  </si>
  <si>
    <t>CALM</t>
  </si>
  <si>
    <t>ASGN</t>
  </si>
  <si>
    <t>VRRM</t>
  </si>
  <si>
    <t>TPH</t>
  </si>
  <si>
    <t>WDFC</t>
  </si>
  <si>
    <t>ALE</t>
  </si>
  <si>
    <t>JBT</t>
  </si>
  <si>
    <t>OPCH</t>
  </si>
  <si>
    <t>CNK</t>
  </si>
  <si>
    <t>CBZ</t>
  </si>
  <si>
    <t>EBC</t>
  </si>
  <si>
    <t>RUSHA</t>
  </si>
  <si>
    <t>PJT</t>
  </si>
  <si>
    <t>DORM</t>
  </si>
  <si>
    <t>HCC</t>
  </si>
  <si>
    <t>LANC</t>
  </si>
  <si>
    <t>UCB</t>
  </si>
  <si>
    <t>RIOT</t>
  </si>
  <si>
    <t>SMPL</t>
  </si>
  <si>
    <t>CDP</t>
  </si>
  <si>
    <t>BLKB</t>
  </si>
  <si>
    <t>NWE</t>
  </si>
  <si>
    <t>TEX</t>
  </si>
  <si>
    <t>BTU</t>
  </si>
  <si>
    <t>AUB</t>
  </si>
  <si>
    <t>BXMT</t>
  </si>
  <si>
    <t>PCH</t>
  </si>
  <si>
    <t>ATGE</t>
  </si>
  <si>
    <t>PBF</t>
  </si>
  <si>
    <t>NEOG</t>
  </si>
  <si>
    <t>MIR</t>
  </si>
  <si>
    <t>CLSKW</t>
  </si>
  <si>
    <t>BNL</t>
  </si>
  <si>
    <t>CBU</t>
  </si>
  <si>
    <t>SXT</t>
  </si>
  <si>
    <t>BGC</t>
  </si>
  <si>
    <t>FULT</t>
  </si>
  <si>
    <t>PTEN</t>
  </si>
  <si>
    <t>TRN</t>
  </si>
  <si>
    <t>AGIO</t>
  </si>
  <si>
    <t>WSFS</t>
  </si>
  <si>
    <t>RIG</t>
  </si>
  <si>
    <t>GHC</t>
  </si>
  <si>
    <t>HUBG</t>
  </si>
  <si>
    <t>RELY</t>
  </si>
  <si>
    <t>CVBF</t>
  </si>
  <si>
    <t>CWT</t>
  </si>
  <si>
    <t>CATY</t>
  </si>
  <si>
    <t>PFSI</t>
  </si>
  <si>
    <t>FORM</t>
  </si>
  <si>
    <t>UE</t>
  </si>
  <si>
    <t>VAL</t>
  </si>
  <si>
    <t>UNF</t>
  </si>
  <si>
    <t>HTLF</t>
  </si>
  <si>
    <t>FLG</t>
  </si>
  <si>
    <t>CNS</t>
  </si>
  <si>
    <t>MGRC</t>
  </si>
  <si>
    <t>TNET</t>
  </si>
  <si>
    <t>SFNC</t>
  </si>
  <si>
    <t>PRK</t>
  </si>
  <si>
    <t>FBP</t>
  </si>
  <si>
    <t>PATK</t>
  </si>
  <si>
    <t>LBRT</t>
  </si>
  <si>
    <t>LIVN</t>
  </si>
  <si>
    <t>OII</t>
  </si>
  <si>
    <t>PRGS</t>
  </si>
  <si>
    <t>FIBK</t>
  </si>
  <si>
    <t>AGYS</t>
  </si>
  <si>
    <t>APAM</t>
  </si>
  <si>
    <t>INDB</t>
  </si>
  <si>
    <t>GSHD</t>
  </si>
  <si>
    <t>BKU</t>
  </si>
  <si>
    <t>PTON</t>
  </si>
  <si>
    <t>NARI</t>
  </si>
  <si>
    <t>FCPT</t>
  </si>
  <si>
    <t>BOH</t>
  </si>
  <si>
    <t>TMDX</t>
  </si>
  <si>
    <t>AKR</t>
  </si>
  <si>
    <t>FRME</t>
  </si>
  <si>
    <t>TOWN</t>
  </si>
  <si>
    <t>STNG</t>
  </si>
  <si>
    <t>HNI</t>
  </si>
  <si>
    <t>NSP</t>
  </si>
  <si>
    <t>AIN</t>
  </si>
  <si>
    <t>DRS</t>
  </si>
  <si>
    <t>ENVA</t>
  </si>
  <si>
    <t>EPAC</t>
  </si>
  <si>
    <t>BANF</t>
  </si>
  <si>
    <t>MTX</t>
  </si>
  <si>
    <t>AZZ</t>
  </si>
  <si>
    <t>FFBC</t>
  </si>
  <si>
    <t>LAUR</t>
  </si>
  <si>
    <t>ICFI</t>
  </si>
  <si>
    <t>OSIS</t>
  </si>
  <si>
    <t>WAFD</t>
  </si>
  <si>
    <t>TBBK</t>
  </si>
  <si>
    <t>SBCF</t>
  </si>
  <si>
    <t>HWKN</t>
  </si>
  <si>
    <t>PPBI</t>
  </si>
  <si>
    <t>WERN</t>
  </si>
  <si>
    <t>COMP</t>
  </si>
  <si>
    <t>CCS</t>
  </si>
  <si>
    <t>MYRG</t>
  </si>
  <si>
    <t>CURB</t>
  </si>
  <si>
    <t>VC</t>
  </si>
  <si>
    <t>SXI</t>
  </si>
  <si>
    <t>IRTC</t>
  </si>
  <si>
    <t>TTMI</t>
  </si>
  <si>
    <t>PHIN</t>
  </si>
  <si>
    <t>AIR</t>
  </si>
  <si>
    <t>MTRN</t>
  </si>
  <si>
    <t>IBTX</t>
  </si>
  <si>
    <t>KWR</t>
  </si>
  <si>
    <t>PFS</t>
  </si>
  <si>
    <t>EFSC</t>
  </si>
  <si>
    <t>CAKE</t>
  </si>
  <si>
    <t>WNS</t>
  </si>
  <si>
    <t>BANC</t>
  </si>
  <si>
    <t>CNMD</t>
  </si>
  <si>
    <t>PSMT</t>
  </si>
  <si>
    <t>TFIN</t>
  </si>
  <si>
    <t>BANR</t>
  </si>
  <si>
    <t>B</t>
  </si>
  <si>
    <t>ROIC</t>
  </si>
  <si>
    <t>VIAV</t>
  </si>
  <si>
    <t>GRBK</t>
  </si>
  <si>
    <t>WSBC</t>
  </si>
  <si>
    <t>IVT</t>
  </si>
  <si>
    <t>HURN</t>
  </si>
  <si>
    <t>LMAT</t>
  </si>
  <si>
    <t>ROCK</t>
  </si>
  <si>
    <t>LMND</t>
  </si>
  <si>
    <t>TRMK</t>
  </si>
  <si>
    <t>NBTB</t>
  </si>
  <si>
    <t>GBX</t>
  </si>
  <si>
    <t>MCY</t>
  </si>
  <si>
    <t>ALKT</t>
  </si>
  <si>
    <t>RNST</t>
  </si>
  <si>
    <t>FBK</t>
  </si>
  <si>
    <t>SYBT</t>
  </si>
  <si>
    <t>SKWD</t>
  </si>
  <si>
    <t>PRG</t>
  </si>
  <si>
    <t>ALG</t>
  </si>
  <si>
    <t>EXTR</t>
  </si>
  <si>
    <t>OMCL</t>
  </si>
  <si>
    <t>OSW</t>
  </si>
  <si>
    <t>KYMR</t>
  </si>
  <si>
    <t>CALX</t>
  </si>
  <si>
    <t>ROG</t>
  </si>
  <si>
    <t>OI</t>
  </si>
  <si>
    <t>NTB</t>
  </si>
  <si>
    <t>JBLU</t>
  </si>
  <si>
    <t>OFG</t>
  </si>
  <si>
    <t>CASH</t>
  </si>
  <si>
    <t>LKFN</t>
  </si>
  <si>
    <t>JOE</t>
  </si>
  <si>
    <t>SJW</t>
  </si>
  <si>
    <t>TRUP</t>
  </si>
  <si>
    <t>HEES</t>
  </si>
  <si>
    <t>APOG</t>
  </si>
  <si>
    <t>FCF</t>
  </si>
  <si>
    <t>LC</t>
  </si>
  <si>
    <t>CHCO</t>
  </si>
  <si>
    <t>NVCR</t>
  </si>
  <si>
    <t>SASR</t>
  </si>
  <si>
    <t>SMMT</t>
  </si>
  <si>
    <t>BHE</t>
  </si>
  <si>
    <t>UPBD</t>
  </si>
  <si>
    <t>STC</t>
  </si>
  <si>
    <t>NWBI</t>
  </si>
  <si>
    <t>FBNC</t>
  </si>
  <si>
    <t>ATRC</t>
  </si>
  <si>
    <t>NGVT</t>
  </si>
  <si>
    <t>VRTS</t>
  </si>
  <si>
    <t>LTC</t>
  </si>
  <si>
    <t>WT</t>
  </si>
  <si>
    <t>WGO</t>
  </si>
  <si>
    <t>MLKN</t>
  </si>
  <si>
    <t>CUBI</t>
  </si>
  <si>
    <t>LOB</t>
  </si>
  <si>
    <t>TCBK</t>
  </si>
  <si>
    <t>WKC</t>
  </si>
  <si>
    <t>CODI</t>
  </si>
  <si>
    <t>GTY</t>
  </si>
  <si>
    <t>TNC</t>
  </si>
  <si>
    <t>KN</t>
  </si>
  <si>
    <t>HTH</t>
  </si>
  <si>
    <t>SCL</t>
  </si>
  <si>
    <t>SPNT</t>
  </si>
  <si>
    <t>HOPE</t>
  </si>
  <si>
    <t>NIC</t>
  </si>
  <si>
    <t>QCRH</t>
  </si>
  <si>
    <t>UCTT</t>
  </si>
  <si>
    <t>CTS</t>
  </si>
  <si>
    <t>DFIN</t>
  </si>
  <si>
    <t>BUSE</t>
  </si>
  <si>
    <t>HELE</t>
  </si>
  <si>
    <t>USLM</t>
  </si>
  <si>
    <t>NBHC</t>
  </si>
  <si>
    <t>CSTM</t>
  </si>
  <si>
    <t>TDOC</t>
  </si>
  <si>
    <t>HLX</t>
  </si>
  <si>
    <t>STEL</t>
  </si>
  <si>
    <t>ALEX</t>
  </si>
  <si>
    <t>NTCT</t>
  </si>
  <si>
    <t>STBA</t>
  </si>
  <si>
    <t>WABC</t>
  </si>
  <si>
    <t>ESRT</t>
  </si>
  <si>
    <t>LTH</t>
  </si>
  <si>
    <t>CHEF</t>
  </si>
  <si>
    <t>NRIX</t>
  </si>
  <si>
    <t>VRE</t>
  </si>
  <si>
    <t>LADR</t>
  </si>
  <si>
    <t>AESI</t>
  </si>
  <si>
    <t>WS</t>
  </si>
  <si>
    <t>GABC</t>
  </si>
  <si>
    <t>INMD</t>
  </si>
  <si>
    <t>COCO</t>
  </si>
  <si>
    <t>ARVN</t>
  </si>
  <si>
    <t>TROX</t>
  </si>
  <si>
    <t>SABR</t>
  </si>
  <si>
    <t>VBTX</t>
  </si>
  <si>
    <t>ENVX</t>
  </si>
  <si>
    <t>AAT</t>
  </si>
  <si>
    <t>UNIT</t>
  </si>
  <si>
    <t>BFH</t>
  </si>
  <si>
    <t>FOXF</t>
  </si>
  <si>
    <t>LNN</t>
  </si>
  <si>
    <t>HLIT</t>
  </si>
  <si>
    <t>CMPR</t>
  </si>
  <si>
    <t>PEBO</t>
  </si>
  <si>
    <t>ARI</t>
  </si>
  <si>
    <t>UUUU</t>
  </si>
  <si>
    <t>CRK</t>
  </si>
  <si>
    <t>SRCE</t>
  </si>
  <si>
    <t>THRM</t>
  </si>
  <si>
    <t>STAA</t>
  </si>
  <si>
    <t>KALU</t>
  </si>
  <si>
    <t>TVTX</t>
  </si>
  <si>
    <t>NAVI</t>
  </si>
  <si>
    <t>CWH</t>
  </si>
  <si>
    <t>JBGS</t>
  </si>
  <si>
    <t>CRAI</t>
  </si>
  <si>
    <t>SCS</t>
  </si>
  <si>
    <t>DCOM</t>
  </si>
  <si>
    <t>XPRO</t>
  </si>
  <si>
    <t>TWO</t>
  </si>
  <si>
    <t>CIFR</t>
  </si>
  <si>
    <t>WOR</t>
  </si>
  <si>
    <t>VICR</t>
  </si>
  <si>
    <t>ALGT</t>
  </si>
  <si>
    <t>OCFC</t>
  </si>
  <si>
    <t>MSEX</t>
  </si>
  <si>
    <t>PMT</t>
  </si>
  <si>
    <t>PDM</t>
  </si>
  <si>
    <t>FBMS</t>
  </si>
  <si>
    <t>FDP</t>
  </si>
  <si>
    <t>COHU</t>
  </si>
  <si>
    <t>AMSF</t>
  </si>
  <si>
    <t>MXL</t>
  </si>
  <si>
    <t>EIG</t>
  </si>
  <si>
    <t>WINA</t>
  </si>
  <si>
    <t>ARDX</t>
  </si>
  <si>
    <t>CSR</t>
  </si>
  <si>
    <t>ALHC</t>
  </si>
  <si>
    <t>PFC</t>
  </si>
  <si>
    <t>AMSC</t>
  </si>
  <si>
    <t>MDXG</t>
  </si>
  <si>
    <t>SXC</t>
  </si>
  <si>
    <t>OBK</t>
  </si>
  <si>
    <t>BY</t>
  </si>
  <si>
    <t>SAFE</t>
  </si>
  <si>
    <t>APLD</t>
  </si>
  <si>
    <t>KFRC</t>
  </si>
  <si>
    <t>UTZ</t>
  </si>
  <si>
    <t>IMAX</t>
  </si>
  <si>
    <t>FMBH</t>
  </si>
  <si>
    <t>MCRI</t>
  </si>
  <si>
    <t>BHLB</t>
  </si>
  <si>
    <t>CNOB</t>
  </si>
  <si>
    <t>NXRT</t>
  </si>
  <si>
    <t>DAN</t>
  </si>
  <si>
    <t>BFC</t>
  </si>
  <si>
    <t>SBSI</t>
  </si>
  <si>
    <t>TNK</t>
  </si>
  <si>
    <t>BXC</t>
  </si>
  <si>
    <t>PRO</t>
  </si>
  <si>
    <t>UVSP</t>
  </si>
  <si>
    <t>CTBI</t>
  </si>
  <si>
    <t>TMP</t>
  </si>
  <si>
    <t>CMCO</t>
  </si>
  <si>
    <t>JBI</t>
  </si>
  <si>
    <t>BLX</t>
  </si>
  <si>
    <t>ATEC</t>
  </si>
  <si>
    <t>XRX</t>
  </si>
  <si>
    <t>MRTN</t>
  </si>
  <si>
    <t>HRMY</t>
  </si>
  <si>
    <t>DRVN</t>
  </si>
  <si>
    <t>BRKL</t>
  </si>
  <si>
    <t>RWT</t>
  </si>
  <si>
    <t>GDYN</t>
  </si>
  <si>
    <t>CCB</t>
  </si>
  <si>
    <t>LEU</t>
  </si>
  <si>
    <t>ROOT</t>
  </si>
  <si>
    <t>TRNS</t>
  </si>
  <si>
    <t>COUR</t>
  </si>
  <si>
    <t>BHRB</t>
  </si>
  <si>
    <t>LPG</t>
  </si>
  <si>
    <t>ECVT</t>
  </si>
  <si>
    <t>DX</t>
  </si>
  <si>
    <t>CLB</t>
  </si>
  <si>
    <t>OSBC</t>
  </si>
  <si>
    <t>ARR</t>
  </si>
  <si>
    <t>SAH</t>
  </si>
  <si>
    <t>BDN</t>
  </si>
  <si>
    <t>RSI</t>
  </si>
  <si>
    <t>PENG</t>
  </si>
  <si>
    <t>NG</t>
  </si>
  <si>
    <t>WGS</t>
  </si>
  <si>
    <t>MBWM</t>
  </si>
  <si>
    <t>NBBK</t>
  </si>
  <si>
    <t>PGRE</t>
  </si>
  <si>
    <t>BSIG</t>
  </si>
  <si>
    <t>BRSP</t>
  </si>
  <si>
    <t>CFB</t>
  </si>
  <si>
    <t>FIP</t>
  </si>
  <si>
    <t>ERII</t>
  </si>
  <si>
    <t>HBNC</t>
  </si>
  <si>
    <t>ORRF</t>
  </si>
  <si>
    <t>CFFN</t>
  </si>
  <si>
    <t>CECO</t>
  </si>
  <si>
    <t>GRC</t>
  </si>
  <si>
    <t>LGFB</t>
  </si>
  <si>
    <t>HCSG</t>
  </si>
  <si>
    <t>MNRO</t>
  </si>
  <si>
    <t>IBCP</t>
  </si>
  <si>
    <t>CNXN</t>
  </si>
  <si>
    <t>FCBC</t>
  </si>
  <si>
    <t>MBUU</t>
  </si>
  <si>
    <t>HFWA</t>
  </si>
  <si>
    <t>ZYME</t>
  </si>
  <si>
    <t>WNC</t>
  </si>
  <si>
    <t>SITC</t>
  </si>
  <si>
    <t>CAC</t>
  </si>
  <si>
    <t>AMTB</t>
  </si>
  <si>
    <t>AVNS</t>
  </si>
  <si>
    <t>BELFB</t>
  </si>
  <si>
    <t>HSTM</t>
  </si>
  <si>
    <t>IE</t>
  </si>
  <si>
    <t>KNSA</t>
  </si>
  <si>
    <t>EQBK</t>
  </si>
  <si>
    <t>EGBN</t>
  </si>
  <si>
    <t>NBN</t>
  </si>
  <si>
    <t>MBIN</t>
  </si>
  <si>
    <t>HLF</t>
  </si>
  <si>
    <t>DFH</t>
  </si>
  <si>
    <t>HTBK</t>
  </si>
  <si>
    <t>AMAL</t>
  </si>
  <si>
    <t>WASH</t>
  </si>
  <si>
    <t>DJCO</t>
  </si>
  <si>
    <t>SSTK</t>
  </si>
  <si>
    <t>DEC</t>
  </si>
  <si>
    <t>JBSS</t>
  </si>
  <si>
    <t>WSR</t>
  </si>
  <si>
    <t>UDMY</t>
  </si>
  <si>
    <t>SWI</t>
  </si>
  <si>
    <t>MCW</t>
  </si>
  <si>
    <t>BFST</t>
  </si>
  <si>
    <t>PGC</t>
  </si>
  <si>
    <t>MCB</t>
  </si>
  <si>
    <t>GCI</t>
  </si>
  <si>
    <t>MCBS</t>
  </si>
  <si>
    <t>NTGR</t>
  </si>
  <si>
    <t>RBCAA</t>
  </si>
  <si>
    <t>BBUC</t>
  </si>
  <si>
    <t>EU</t>
  </si>
  <si>
    <t>DAWN</t>
  </si>
  <si>
    <t>PUMP</t>
  </si>
  <si>
    <t>SMP</t>
  </si>
  <si>
    <t>PFBC</t>
  </si>
  <si>
    <t>RYI</t>
  </si>
  <si>
    <t>SMBC</t>
  </si>
  <si>
    <t>THFF</t>
  </si>
  <si>
    <t>NBR</t>
  </si>
  <si>
    <t>KREF</t>
  </si>
  <si>
    <t>CVI</t>
  </si>
  <si>
    <t>ETD</t>
  </si>
  <si>
    <t>OSPN</t>
  </si>
  <si>
    <t>BJRI</t>
  </si>
  <si>
    <t>SMBK</t>
  </si>
  <si>
    <t>CCNE</t>
  </si>
  <si>
    <t>CASS</t>
  </si>
  <si>
    <t>MGPI</t>
  </si>
  <si>
    <t>GPRE</t>
  </si>
  <si>
    <t>HTBI</t>
  </si>
  <si>
    <t>CPF</t>
  </si>
  <si>
    <t>HZO</t>
  </si>
  <si>
    <t>RGR</t>
  </si>
  <si>
    <t>BHB</t>
  </si>
  <si>
    <t>MTAL</t>
  </si>
  <si>
    <t>VIR</t>
  </si>
  <si>
    <t>HAFC</t>
  </si>
  <si>
    <t>FMNB</t>
  </si>
  <si>
    <t>GSBC</t>
  </si>
  <si>
    <t>TRST</t>
  </si>
  <si>
    <t>MSFUT</t>
  </si>
  <si>
    <t>ETWO</t>
  </si>
  <si>
    <t>CRMD</t>
  </si>
  <si>
    <t>FSBC</t>
  </si>
  <si>
    <t>UVE</t>
  </si>
  <si>
    <t>ACEL</t>
  </si>
  <si>
    <t>SNCY</t>
  </si>
  <si>
    <t>AROW</t>
  </si>
  <si>
    <t>NFBK</t>
  </si>
  <si>
    <t>CCBG</t>
  </si>
  <si>
    <t>CLMB</t>
  </si>
  <si>
    <t>SCHL</t>
  </si>
  <si>
    <t>XTSLA</t>
  </si>
  <si>
    <t>CCO</t>
  </si>
  <si>
    <t>ORC</t>
  </si>
  <si>
    <t>PLOW</t>
  </si>
  <si>
    <t>AVO</t>
  </si>
  <si>
    <t>TIPT</t>
  </si>
  <si>
    <t>HTLD</t>
  </si>
  <si>
    <t>MOFG</t>
  </si>
  <si>
    <t>MCS</t>
  </si>
  <si>
    <t>HONE</t>
  </si>
  <si>
    <t>TRTX</t>
  </si>
  <si>
    <t>IIIN</t>
  </si>
  <si>
    <t>NYMT</t>
  </si>
  <si>
    <t>NRDS</t>
  </si>
  <si>
    <t>SPFI</t>
  </si>
  <si>
    <t>FOR</t>
  </si>
  <si>
    <t>NVRI</t>
  </si>
  <si>
    <t>WEAV</t>
  </si>
  <si>
    <t>ACCO</t>
  </si>
  <si>
    <t>CSV</t>
  </si>
  <si>
    <t>FPI</t>
  </si>
  <si>
    <t>WLDN</t>
  </si>
  <si>
    <t>KRNY</t>
  </si>
  <si>
    <t>ESQ</t>
  </si>
  <si>
    <t>MSBI</t>
  </si>
  <si>
    <t>MPB</t>
  </si>
  <si>
    <t>EBF</t>
  </si>
  <si>
    <t>SHBI</t>
  </si>
  <si>
    <t>NWPX</t>
  </si>
  <si>
    <t>CLBK</t>
  </si>
  <si>
    <t>UHT</t>
  </si>
  <si>
    <t>UIS</t>
  </si>
  <si>
    <t>NRIM</t>
  </si>
  <si>
    <t>AMBP</t>
  </si>
  <si>
    <t>LGFA</t>
  </si>
  <si>
    <t>FFWM</t>
  </si>
  <si>
    <t>CHCT</t>
  </si>
  <si>
    <t>TTI</t>
  </si>
  <si>
    <t>RBB</t>
  </si>
  <si>
    <t>RES</t>
  </si>
  <si>
    <t>FFIC</t>
  </si>
  <si>
    <t>ALRS</t>
  </si>
  <si>
    <t>PKST</t>
  </si>
  <si>
    <t>CYH</t>
  </si>
  <si>
    <t>RUSHB</t>
  </si>
  <si>
    <t>CVLG</t>
  </si>
  <si>
    <t>HIFS</t>
  </si>
  <si>
    <t>BMRC</t>
  </si>
  <si>
    <t>BSRR</t>
  </si>
  <si>
    <t>CON</t>
  </si>
  <si>
    <t>RDUS</t>
  </si>
  <si>
    <t>TCBX</t>
  </si>
  <si>
    <t>BAND</t>
  </si>
  <si>
    <t>LXU</t>
  </si>
  <si>
    <t>TK</t>
  </si>
  <si>
    <t>SHYF</t>
  </si>
  <si>
    <t>FISI</t>
  </si>
  <si>
    <t>CARE</t>
  </si>
  <si>
    <t>LAB</t>
  </si>
  <si>
    <t>CVGW</t>
  </si>
  <si>
    <t>FBIZ</t>
  </si>
  <si>
    <t>FMAO</t>
  </si>
  <si>
    <t>LMNR</t>
  </si>
  <si>
    <t>USNA</t>
  </si>
  <si>
    <t>NECB</t>
  </si>
  <si>
    <t>CTO</t>
  </si>
  <si>
    <t>TREE</t>
  </si>
  <si>
    <t>WTBA</t>
  </si>
  <si>
    <t>SLP</t>
  </si>
  <si>
    <t>ACNB</t>
  </si>
  <si>
    <t>WRLD</t>
  </si>
  <si>
    <t>ZEUS</t>
  </si>
  <si>
    <t>RICK</t>
  </si>
  <si>
    <t>DSGR</t>
  </si>
  <si>
    <t>CDXC</t>
  </si>
  <si>
    <t>EBTC</t>
  </si>
  <si>
    <t>HBCP</t>
  </si>
  <si>
    <t>CIVB</t>
  </si>
  <si>
    <t>USAP</t>
  </si>
  <si>
    <t>LXFR</t>
  </si>
  <si>
    <t>UNTY</t>
  </si>
  <si>
    <t>CWBC</t>
  </si>
  <si>
    <t>NPK</t>
  </si>
  <si>
    <t>FLIC</t>
  </si>
  <si>
    <t>ASPI</t>
  </si>
  <si>
    <t>NOVA</t>
  </si>
  <si>
    <t>MAX</t>
  </si>
  <si>
    <t>TALK</t>
  </si>
  <si>
    <t>HBT</t>
  </si>
  <si>
    <t>BCAL</t>
  </si>
  <si>
    <t>GIC</t>
  </si>
  <si>
    <t>ZIMV</t>
  </si>
  <si>
    <t>BYRN</t>
  </si>
  <si>
    <t>RBBN</t>
  </si>
  <si>
    <t>FRBA</t>
  </si>
  <si>
    <t>MTW</t>
  </si>
  <si>
    <t>INBK</t>
  </si>
  <si>
    <t>GEFB</t>
  </si>
  <si>
    <t>SFST</t>
  </si>
  <si>
    <t>IRMD</t>
  </si>
  <si>
    <t>TRUE</t>
  </si>
  <si>
    <t>CBAN</t>
  </si>
  <si>
    <t>METCV</t>
  </si>
  <si>
    <t>TWI</t>
  </si>
  <si>
    <t>BCML</t>
  </si>
  <si>
    <t>ULH</t>
  </si>
  <si>
    <t>FSBW</t>
  </si>
  <si>
    <t>NVEC</t>
  </si>
  <si>
    <t>OIS</t>
  </si>
  <si>
    <t>FNLC</t>
  </si>
  <si>
    <t>GNTY</t>
  </si>
  <si>
    <t>OBT</t>
  </si>
  <si>
    <t>PLSE</t>
  </si>
  <si>
    <t>CZNC</t>
  </si>
  <si>
    <t>HVT</t>
  </si>
  <si>
    <t>PLPC</t>
  </si>
  <si>
    <t>CZFS</t>
  </si>
  <si>
    <t>AEHR</t>
  </si>
  <si>
    <t>BWB</t>
  </si>
  <si>
    <t>DENN</t>
  </si>
  <si>
    <t>LOCO</t>
  </si>
  <si>
    <t>COFS</t>
  </si>
  <si>
    <t>PACK</t>
  </si>
  <si>
    <t>CERS</t>
  </si>
  <si>
    <t>SSBK</t>
  </si>
  <si>
    <t>JMSB</t>
  </si>
  <si>
    <t>CBNK</t>
  </si>
  <si>
    <t>CDXS</t>
  </si>
  <si>
    <t>FRST</t>
  </si>
  <si>
    <t>PKBK</t>
  </si>
  <si>
    <t>WSBF</t>
  </si>
  <si>
    <t>RGP</t>
  </si>
  <si>
    <t>BYON</t>
  </si>
  <si>
    <t>NRC</t>
  </si>
  <si>
    <t>PLBC</t>
  </si>
  <si>
    <t>ORN</t>
  </si>
  <si>
    <t>SPOK</t>
  </si>
  <si>
    <t>PCB</t>
  </si>
  <si>
    <t>DGICA</t>
  </si>
  <si>
    <t>LRMR</t>
  </si>
  <si>
    <t>RRBI</t>
  </si>
  <si>
    <t>BLFY</t>
  </si>
  <si>
    <t>FDBC</t>
  </si>
  <si>
    <t>SAGE</t>
  </si>
  <si>
    <t>PKE</t>
  </si>
  <si>
    <t>TSBK</t>
  </si>
  <si>
    <t>SNBR</t>
  </si>
  <si>
    <t>ANGO</t>
  </si>
  <si>
    <t>FLXS</t>
  </si>
  <si>
    <t>PDLB</t>
  </si>
  <si>
    <t>MVBF</t>
  </si>
  <si>
    <t>CTOS</t>
  </si>
  <si>
    <t>ACCD</t>
  </si>
  <si>
    <t>CCCC</t>
  </si>
  <si>
    <t>ILPT</t>
  </si>
  <si>
    <t>LZM</t>
  </si>
  <si>
    <t>ULCC</t>
  </si>
  <si>
    <t>RNGR</t>
  </si>
  <si>
    <t>BCBP</t>
  </si>
  <si>
    <t>ANIK</t>
  </si>
  <si>
    <t>GCBC</t>
  </si>
  <si>
    <t>BWFG</t>
  </si>
  <si>
    <t>LUNG</t>
  </si>
  <si>
    <t>CPS</t>
  </si>
  <si>
    <t>MBCN</t>
  </si>
  <si>
    <t>JAKK</t>
  </si>
  <si>
    <t>PINE</t>
  </si>
  <si>
    <t>OVLY</t>
  </si>
  <si>
    <t>HMST</t>
  </si>
  <si>
    <t>LCNB</t>
  </si>
  <si>
    <t>BSVN</t>
  </si>
  <si>
    <t>CHMG</t>
  </si>
  <si>
    <t>ISTR</t>
  </si>
  <si>
    <t>QUAD</t>
  </si>
  <si>
    <t>NWFL</t>
  </si>
  <si>
    <t>FVCB</t>
  </si>
  <si>
    <t>CRDA</t>
  </si>
  <si>
    <t>USCB</t>
  </si>
  <si>
    <t>RMAX</t>
  </si>
  <si>
    <t>ASUR</t>
  </si>
  <si>
    <t>ATNI</t>
  </si>
  <si>
    <t>NKSH</t>
  </si>
  <si>
    <t>CIO</t>
  </si>
  <si>
    <t>BPRN</t>
  </si>
  <si>
    <t>VABK</t>
  </si>
  <si>
    <t>FLWS</t>
  </si>
  <si>
    <t>MFIN</t>
  </si>
  <si>
    <t>MG</t>
  </si>
  <si>
    <t>MYFW</t>
  </si>
  <si>
    <t>BMEA</t>
  </si>
  <si>
    <t>IWM</t>
  </si>
  <si>
    <t>As of:</t>
  </si>
  <si>
    <t>CSL</t>
  </si>
  <si>
    <t>FIX</t>
  </si>
  <si>
    <t>LECO</t>
  </si>
  <si>
    <t>GGG</t>
  </si>
  <si>
    <t>CW</t>
  </si>
  <si>
    <t>CR</t>
  </si>
  <si>
    <t>AYI</t>
  </si>
  <si>
    <t>TREX</t>
  </si>
  <si>
    <t>PCTY</t>
  </si>
  <si>
    <t>LSTR</t>
  </si>
  <si>
    <t>SSD</t>
  </si>
  <si>
    <t>MSA</t>
  </si>
  <si>
    <t>MSM</t>
  </si>
  <si>
    <t>MUSA</t>
  </si>
  <si>
    <t>CROX</t>
  </si>
  <si>
    <t>CRI</t>
  </si>
  <si>
    <t>MANH</t>
  </si>
  <si>
    <t>VNT</t>
  </si>
  <si>
    <t>KNSL</t>
  </si>
  <si>
    <t>SEIC</t>
  </si>
  <si>
    <t>RLI</t>
  </si>
  <si>
    <t>FHI</t>
  </si>
  <si>
    <t>THC</t>
  </si>
  <si>
    <t>MEDP</t>
  </si>
  <si>
    <t>CHE</t>
  </si>
  <si>
    <t>RS</t>
  </si>
  <si>
    <t>EXP</t>
  </si>
  <si>
    <t>NEU</t>
  </si>
  <si>
    <t>COKE</t>
  </si>
  <si>
    <t>SAM</t>
  </si>
  <si>
    <t>EXE</t>
  </si>
  <si>
    <t>WFRD</t>
  </si>
  <si>
    <t>DINO</t>
  </si>
  <si>
    <t>EME</t>
  </si>
  <si>
    <t>IBKR</t>
  </si>
  <si>
    <t>LII</t>
  </si>
  <si>
    <t>WSO</t>
  </si>
  <si>
    <t>RPM</t>
  </si>
  <si>
    <t>XPO</t>
  </si>
  <si>
    <t>UTHR</t>
  </si>
  <si>
    <t>RGA</t>
  </si>
  <si>
    <t>EWBC</t>
  </si>
  <si>
    <t>GLPI</t>
  </si>
  <si>
    <t>SAIA</t>
  </si>
  <si>
    <t>AVTR</t>
  </si>
  <si>
    <t>ELS</t>
  </si>
  <si>
    <t>TXRH</t>
  </si>
  <si>
    <t>CLH</t>
  </si>
  <si>
    <t>SCI</t>
  </si>
  <si>
    <t>ITT</t>
  </si>
  <si>
    <t>WPC</t>
  </si>
  <si>
    <t>JEF</t>
  </si>
  <si>
    <t>NBIX</t>
  </si>
  <si>
    <t>UNM</t>
  </si>
  <si>
    <t>AMH</t>
  </si>
  <si>
    <t>BMRN</t>
  </si>
  <si>
    <t>AA</t>
  </si>
  <si>
    <t>SF</t>
  </si>
  <si>
    <t>ATR</t>
  </si>
  <si>
    <t>CUBE</t>
  </si>
  <si>
    <t>FHN</t>
  </si>
  <si>
    <t>EVR</t>
  </si>
  <si>
    <t>CCK</t>
  </si>
  <si>
    <t>FND</t>
  </si>
  <si>
    <t>OHI</t>
  </si>
  <si>
    <t>WBS</t>
  </si>
  <si>
    <t>CHDN</t>
  </si>
  <si>
    <t>DTM</t>
  </si>
  <si>
    <t>EHC</t>
  </si>
  <si>
    <t>CACI</t>
  </si>
  <si>
    <t>LAD</t>
  </si>
  <si>
    <t>NLY</t>
  </si>
  <si>
    <t>WING</t>
  </si>
  <si>
    <t>HLI</t>
  </si>
  <si>
    <t>EXEL</t>
  </si>
  <si>
    <t>ALLY</t>
  </si>
  <si>
    <t>WAL</t>
  </si>
  <si>
    <t>AAL</t>
  </si>
  <si>
    <t>REXR</t>
  </si>
  <si>
    <t>PNFP</t>
  </si>
  <si>
    <t>AR</t>
  </si>
  <si>
    <t>PEN</t>
  </si>
  <si>
    <t>WCC</t>
  </si>
  <si>
    <t>KNX</t>
  </si>
  <si>
    <t>MORN</t>
  </si>
  <si>
    <t>BRX</t>
  </si>
  <si>
    <t>ORI</t>
  </si>
  <si>
    <t>CFR</t>
  </si>
  <si>
    <t>MTZ</t>
  </si>
  <si>
    <t>SNX</t>
  </si>
  <si>
    <t>WTFC</t>
  </si>
  <si>
    <t>X</t>
  </si>
  <si>
    <t>ZION</t>
  </si>
  <si>
    <t>AXTA</t>
  </si>
  <si>
    <t>GPK</t>
  </si>
  <si>
    <t>EGP</t>
  </si>
  <si>
    <t>CBSH</t>
  </si>
  <si>
    <t>TTC</t>
  </si>
  <si>
    <t>RRC</t>
  </si>
  <si>
    <t>ONTO</t>
  </si>
  <si>
    <t>SKX</t>
  </si>
  <si>
    <t>NNN</t>
  </si>
  <si>
    <t>SNV</t>
  </si>
  <si>
    <t>FLS</t>
  </si>
  <si>
    <t>PB</t>
  </si>
  <si>
    <t>ADC</t>
  </si>
  <si>
    <t>KBR</t>
  </si>
  <si>
    <t>WH</t>
  </si>
  <si>
    <t>KEX</t>
  </si>
  <si>
    <t>MIDD</t>
  </si>
  <si>
    <t>WEX</t>
  </si>
  <si>
    <t>OLED</t>
  </si>
  <si>
    <t>RYAN</t>
  </si>
  <si>
    <t>OSK</t>
  </si>
  <si>
    <t>FR</t>
  </si>
  <si>
    <t>ALV</t>
  </si>
  <si>
    <t>FCN</t>
  </si>
  <si>
    <t>R</t>
  </si>
  <si>
    <t>ESAB</t>
  </si>
  <si>
    <t>H</t>
  </si>
  <si>
    <t>VMI</t>
  </si>
  <si>
    <t>FAF</t>
  </si>
  <si>
    <t>CGNX</t>
  </si>
  <si>
    <t>MTDR</t>
  </si>
  <si>
    <t>GNTX</t>
  </si>
  <si>
    <t>DAR</t>
  </si>
  <si>
    <t>STAG</t>
  </si>
  <si>
    <t>HR</t>
  </si>
  <si>
    <t>COLB</t>
  </si>
  <si>
    <t>NOV</t>
  </si>
  <si>
    <t>IDA</t>
  </si>
  <si>
    <t>MAT</t>
  </si>
  <si>
    <t>BIO</t>
  </si>
  <si>
    <t>WHR</t>
  </si>
  <si>
    <t>ARW</t>
  </si>
  <si>
    <t>LFUS</t>
  </si>
  <si>
    <t>FNB</t>
  </si>
  <si>
    <t>THG</t>
  </si>
  <si>
    <t>JHG</t>
  </si>
  <si>
    <t>BC</t>
  </si>
  <si>
    <t>APPF</t>
  </si>
  <si>
    <t>LEA</t>
  </si>
  <si>
    <t>AM</t>
  </si>
  <si>
    <t>SLM</t>
  </si>
  <si>
    <t>OZK</t>
  </si>
  <si>
    <t>BYD</t>
  </si>
  <si>
    <t>SON</t>
  </si>
  <si>
    <t>OLN</t>
  </si>
  <si>
    <t>HXL</t>
  </si>
  <si>
    <t>CUZ</t>
  </si>
  <si>
    <t>AVT</t>
  </si>
  <si>
    <t>PSN</t>
  </si>
  <si>
    <t>SLGN</t>
  </si>
  <si>
    <t>AN</t>
  </si>
  <si>
    <t>KMPR</t>
  </si>
  <si>
    <t>EEFT</t>
  </si>
  <si>
    <t>KRC</t>
  </si>
  <si>
    <t>HOG</t>
  </si>
  <si>
    <t>TNL</t>
  </si>
  <si>
    <t>NVST</t>
  </si>
  <si>
    <t>PII</t>
  </si>
  <si>
    <t>ACHC</t>
  </si>
  <si>
    <t>EPR</t>
  </si>
  <si>
    <t>IRDM</t>
  </si>
  <si>
    <t>WU</t>
  </si>
  <si>
    <t>NSA</t>
  </si>
  <si>
    <t>WEN</t>
  </si>
  <si>
    <t>ALGM</t>
  </si>
  <si>
    <t>PK</t>
  </si>
  <si>
    <t>PAG</t>
  </si>
  <si>
    <t>AMKR</t>
  </si>
  <si>
    <t>MAN</t>
  </si>
  <si>
    <t>COLM</t>
  </si>
  <si>
    <t>PPC</t>
  </si>
  <si>
    <t>IPGP</t>
  </si>
  <si>
    <t>CNXC</t>
  </si>
  <si>
    <t>CAR</t>
  </si>
  <si>
    <t>S&amp;P Mid</t>
  </si>
  <si>
    <t>Earnings Date</t>
  </si>
  <si>
    <t>Date</t>
  </si>
  <si>
    <t>Open</t>
  </si>
  <si>
    <t>ATI</t>
  </si>
  <si>
    <t>SNAP</t>
  </si>
  <si>
    <t>MHH</t>
  </si>
  <si>
    <t>LVWR</t>
  </si>
  <si>
    <t>TWIN</t>
  </si>
  <si>
    <t>AVNW</t>
  </si>
  <si>
    <t>MSTR</t>
  </si>
  <si>
    <t>QGEN</t>
  </si>
  <si>
    <t>SGU</t>
  </si>
  <si>
    <t>RGCO</t>
  </si>
  <si>
    <t>PINS</t>
  </si>
  <si>
    <t>LTRX</t>
  </si>
  <si>
    <t>Gap Ups with trend</t>
  </si>
  <si>
    <t>Gap Ups</t>
  </si>
  <si>
    <t>Total</t>
  </si>
  <si>
    <t>Gap Ups Against Trend</t>
  </si>
  <si>
    <t>Sideways Trend</t>
  </si>
  <si>
    <t>Gap Ups %</t>
  </si>
  <si>
    <t>-</t>
  </si>
  <si>
    <t>Gap Downs</t>
  </si>
  <si>
    <t>Gap Downs %</t>
  </si>
  <si>
    <t>Gap Dns Against Trend</t>
  </si>
  <si>
    <t>Sideways Trend Gaps</t>
  </si>
  <si>
    <t>Total Up</t>
  </si>
  <si>
    <t>Ave Up</t>
  </si>
  <si>
    <t>Total Dwn</t>
  </si>
  <si>
    <t>Ave Down</t>
  </si>
  <si>
    <t>Ave Gap Size</t>
  </si>
  <si>
    <t>With 
Trend</t>
  </si>
  <si>
    <t>Against
Trend</t>
  </si>
  <si>
    <t>With
Trend</t>
  </si>
  <si>
    <t>Total Gaps</t>
  </si>
  <si>
    <t>%</t>
  </si>
  <si>
    <r>
      <t>R at 6% using only Gap Size</t>
    </r>
    <r>
      <rPr>
        <sz val="8"/>
        <color theme="1"/>
        <rFont val="Aptos Narrow"/>
        <family val="2"/>
        <scheme val="minor"/>
      </rPr>
      <t xml:space="preserve">
Playing all daily trends Long
with trend</t>
    </r>
  </si>
  <si>
    <r>
      <t>R at 6% using only Gap Size</t>
    </r>
    <r>
      <rPr>
        <sz val="8"/>
        <color theme="1"/>
        <rFont val="Aptos Narrow"/>
        <family val="2"/>
        <scheme val="minor"/>
      </rPr>
      <t xml:space="preserve">
Playing all daily trends Short
with trend</t>
    </r>
  </si>
  <si>
    <r>
      <t xml:space="preserve">R at 6% using only Gap Size
</t>
    </r>
    <r>
      <rPr>
        <sz val="8"/>
        <color theme="1"/>
        <rFont val="Aptos Narrow"/>
        <family val="2"/>
        <scheme val="minor"/>
      </rPr>
      <t>Playing All Long</t>
    </r>
  </si>
  <si>
    <r>
      <t xml:space="preserve">R at 6% using only Gap Size
</t>
    </r>
    <r>
      <rPr>
        <sz val="8"/>
        <color theme="1"/>
        <rFont val="Aptos Narrow"/>
        <family val="2"/>
        <scheme val="minor"/>
      </rPr>
      <t>Playing All Short</t>
    </r>
  </si>
  <si>
    <r>
      <t xml:space="preserve">R at 6% using only Gap Size
</t>
    </r>
    <r>
      <rPr>
        <sz val="8"/>
        <color theme="1"/>
        <rFont val="Aptos Narrow"/>
        <family val="2"/>
        <scheme val="minor"/>
      </rPr>
      <t>Playing All Earnings Long</t>
    </r>
  </si>
  <si>
    <t>Count of Ticker</t>
  </si>
  <si>
    <t>Row Labels</t>
  </si>
  <si>
    <t>Grand Total</t>
  </si>
  <si>
    <t>ATOM</t>
  </si>
  <si>
    <t>GLAD</t>
  </si>
  <si>
    <t>OS</t>
  </si>
  <si>
    <t>CFLT</t>
  </si>
  <si>
    <t>ALSN</t>
  </si>
  <si>
    <t>FMCC</t>
  </si>
  <si>
    <t>AMWL</t>
  </si>
  <si>
    <t>HOOD</t>
  </si>
  <si>
    <t>APP</t>
  </si>
  <si>
    <t>CVE</t>
  </si>
  <si>
    <t>INFA</t>
  </si>
  <si>
    <t>ROKU</t>
  </si>
  <si>
    <t>PCOR</t>
  </si>
  <si>
    <t>GTE</t>
  </si>
  <si>
    <t>JBTM</t>
  </si>
  <si>
    <t>ESCA</t>
  </si>
  <si>
    <t>NBIS</t>
  </si>
  <si>
    <t>CVNA</t>
  </si>
  <si>
    <t>KVYO</t>
  </si>
  <si>
    <t>TXG</t>
  </si>
  <si>
    <t>NERV</t>
  </si>
  <si>
    <t>KSPI</t>
  </si>
  <si>
    <t>CHGG</t>
  </si>
  <si>
    <t>U</t>
  </si>
  <si>
    <t>NTNX</t>
  </si>
  <si>
    <t>PARAA</t>
  </si>
  <si>
    <t>BFLY</t>
  </si>
  <si>
    <t>LODE</t>
  </si>
  <si>
    <t>OKTA</t>
  </si>
  <si>
    <t>CCCS</t>
  </si>
  <si>
    <t>AMRN</t>
  </si>
  <si>
    <t>TCPC</t>
  </si>
  <si>
    <t>MSC</t>
  </si>
  <si>
    <t>MLCO</t>
  </si>
  <si>
    <t>BVN</t>
  </si>
  <si>
    <t>ESTC</t>
  </si>
  <si>
    <t>VEEV</t>
  </si>
  <si>
    <t>CRD/B</t>
  </si>
  <si>
    <t>CRD/A</t>
  </si>
  <si>
    <t>GTLB</t>
  </si>
  <si>
    <t>RBOT</t>
  </si>
  <si>
    <t>EKSO</t>
  </si>
  <si>
    <t>ZM</t>
  </si>
  <si>
    <t>FNV</t>
  </si>
  <si>
    <t>EBS</t>
  </si>
  <si>
    <t>TPVG</t>
  </si>
  <si>
    <t>KRMD</t>
  </si>
  <si>
    <t>ASPS</t>
  </si>
  <si>
    <t>FAT</t>
  </si>
  <si>
    <t>GLTO</t>
  </si>
  <si>
    <t>S</t>
  </si>
  <si>
    <t>BHIL</t>
  </si>
  <si>
    <t>TGB</t>
  </si>
  <si>
    <t>TKC</t>
  </si>
  <si>
    <t>PATH</t>
  </si>
  <si>
    <t>GES</t>
  </si>
  <si>
    <t>NCNO</t>
  </si>
  <si>
    <t>ZENV</t>
  </si>
  <si>
    <t>RENT</t>
  </si>
  <si>
    <t>Sector</t>
  </si>
  <si>
    <t>XLB</t>
  </si>
  <si>
    <t>XLC</t>
  </si>
  <si>
    <t>XLE</t>
  </si>
  <si>
    <t>XLF</t>
  </si>
  <si>
    <t>XLI</t>
  </si>
  <si>
    <t>XLK</t>
  </si>
  <si>
    <t>XLP</t>
  </si>
  <si>
    <t>XLRE</t>
  </si>
  <si>
    <t>XLU</t>
  </si>
  <si>
    <t>XLV</t>
  </si>
  <si>
    <t>XLY</t>
  </si>
  <si>
    <t>Total R</t>
  </si>
  <si>
    <t>AveW</t>
  </si>
  <si>
    <t>AveL</t>
  </si>
  <si>
    <t>AMO,
BMO</t>
  </si>
  <si>
    <t>Entry
Shares</t>
  </si>
  <si>
    <t>Exit
Shares</t>
  </si>
  <si>
    <t>Up</t>
  </si>
  <si>
    <t>All</t>
  </si>
  <si>
    <t>Overall Average
%</t>
  </si>
  <si>
    <t>Total Gap
Ups</t>
  </si>
  <si>
    <t>Total Gap
Downs</t>
  </si>
  <si>
    <t>Overall % Up</t>
  </si>
  <si>
    <t># of Stocks Trending Up</t>
  </si>
  <si>
    <t># of Stocks Trending Dwn</t>
  </si>
  <si>
    <t># of Stocks Trending SW</t>
  </si>
  <si>
    <t>Sideways Trending Stocks</t>
  </si>
  <si>
    <t>Ave Gap Up % from Dwn Trend</t>
  </si>
  <si>
    <t>Ave Gap Up % from Sideways Trend</t>
  </si>
  <si>
    <t>Overall % Down</t>
  </si>
  <si>
    <t>% of SW Trends that Gapped Dn</t>
  </si>
  <si>
    <t>Gap Ups
From Dwn Trend</t>
  </si>
  <si>
    <t>% of Dwn Trends w/ a Gap Up</t>
  </si>
  <si>
    <t>% of Up Trends w/ a Gap Up</t>
  </si>
  <si>
    <t>% of SW Trends w/ a Gap Up</t>
  </si>
  <si>
    <t>% of Dwn Trends w/ a Gap Down</t>
  </si>
  <si>
    <t>Gap w/ Trend:   Down Trending Stocks</t>
  </si>
  <si>
    <t>Gap w/ Trend:  Up Trending Stocks</t>
  </si>
  <si>
    <t>Gap Against Trend: Down Trending Stocks</t>
  </si>
  <si>
    <t>Gap Against Trend: Up Trending Stocks</t>
  </si>
  <si>
    <t>% of Up Trends w/ a Gap Dwn</t>
  </si>
  <si>
    <t>Gap Up
From Up Trend</t>
  </si>
  <si>
    <t>Ave Gap Up % from Up Trend</t>
  </si>
  <si>
    <t>Gap Downs
From Up Trend</t>
  </si>
  <si>
    <t>Gap Downs From Down Trend</t>
  </si>
  <si>
    <t>Ave Gap Dwn % from Dwn Trend</t>
  </si>
  <si>
    <t>Ave Gap Dwn % from Up Trend</t>
  </si>
  <si>
    <t>Ave Gap Dwn % from Sideways Trend</t>
  </si>
  <si>
    <t>Gap Ups Sideways Trend</t>
  </si>
  <si>
    <t>Gap Downs Sideways Trend</t>
  </si>
  <si>
    <t>SMH</t>
  </si>
  <si>
    <t>H-INS</t>
  </si>
  <si>
    <t>INS</t>
  </si>
  <si>
    <t>Overall</t>
  </si>
  <si>
    <t>XHB</t>
  </si>
  <si>
    <t>#</t>
  </si>
  <si>
    <t>stocks</t>
  </si>
  <si>
    <t>re-ported</t>
  </si>
  <si>
    <t>Formulas
 --&gt;</t>
  </si>
  <si>
    <t>Gap
P/L</t>
  </si>
  <si>
    <t>form</t>
  </si>
  <si>
    <t>P&amp;L Var. from Slippage</t>
  </si>
  <si>
    <r>
      <t>Hide These</t>
    </r>
    <r>
      <rPr>
        <sz val="10"/>
        <color theme="1"/>
        <rFont val="Aptos Narrow"/>
        <family val="2"/>
        <scheme val="minor"/>
      </rPr>
      <t xml:space="preserve">
these columns track the strategies three pillars per trade</t>
    </r>
    <r>
      <rPr>
        <u/>
        <sz val="10"/>
        <color theme="1"/>
        <rFont val="Aptos Narrow"/>
        <family val="2"/>
        <scheme val="minor"/>
      </rPr>
      <t xml:space="preserve"> and</t>
    </r>
    <r>
      <rPr>
        <sz val="10"/>
        <color theme="1"/>
        <rFont val="Aptos Narrow"/>
        <family val="2"/>
        <scheme val="minor"/>
      </rPr>
      <t xml:space="preserve"> cumulatively</t>
    </r>
  </si>
  <si>
    <t>Cheat -&gt;</t>
  </si>
  <si>
    <t>L / S</t>
  </si>
  <si>
    <r>
      <t xml:space="preserve">Exit at Open </t>
    </r>
    <r>
      <rPr>
        <u/>
        <sz val="9"/>
        <rFont val="Aptos Narrow"/>
        <family val="2"/>
        <scheme val="minor"/>
      </rPr>
      <t>or</t>
    </r>
    <r>
      <rPr>
        <sz val="9"/>
        <rFont val="Aptos Narrow"/>
        <family val="2"/>
        <scheme val="minor"/>
      </rPr>
      <t xml:space="preserve"> "Other"</t>
    </r>
  </si>
  <si>
    <t>Var vs. Strategy</t>
  </si>
  <si>
    <t>TOTAL of Three Pillars</t>
  </si>
  <si>
    <r>
      <t>Hide These (Sector 3 Pillars)</t>
    </r>
    <r>
      <rPr>
        <sz val="10"/>
        <color theme="1"/>
        <rFont val="Aptos Narrow"/>
        <family val="2"/>
        <scheme val="minor"/>
      </rPr>
      <t xml:space="preserve">
these columns track the strategies three pillars per trade</t>
    </r>
    <r>
      <rPr>
        <u/>
        <sz val="10"/>
        <color theme="1"/>
        <rFont val="Aptos Narrow"/>
        <family val="2"/>
        <scheme val="minor"/>
      </rPr>
      <t xml:space="preserve"> and</t>
    </r>
    <r>
      <rPr>
        <sz val="10"/>
        <color theme="1"/>
        <rFont val="Aptos Narrow"/>
        <family val="2"/>
        <scheme val="minor"/>
      </rPr>
      <t xml:space="preserve"> cumulatively</t>
    </r>
  </si>
  <si>
    <t>P/L
per Trade</t>
  </si>
  <si>
    <r>
      <t xml:space="preserve">R
</t>
    </r>
    <r>
      <rPr>
        <sz val="8"/>
        <color theme="1"/>
        <rFont val="Aptos Narrow"/>
        <family val="2"/>
        <scheme val="minor"/>
      </rPr>
      <t>per Trade</t>
    </r>
  </si>
  <si>
    <t>R
Total</t>
  </si>
  <si>
    <r>
      <t xml:space="preserve">P/L
</t>
    </r>
    <r>
      <rPr>
        <sz val="8"/>
        <rFont val="Aptos Narrow"/>
        <family val="2"/>
        <scheme val="minor"/>
      </rPr>
      <t>Total</t>
    </r>
  </si>
  <si>
    <r>
      <t xml:space="preserve">P/L
</t>
    </r>
    <r>
      <rPr>
        <sz val="8"/>
        <color theme="1"/>
        <rFont val="Aptos Narrow"/>
        <family val="2"/>
        <scheme val="minor"/>
      </rPr>
      <t>per Trade</t>
    </r>
  </si>
  <si>
    <t>P/L
Total</t>
  </si>
  <si>
    <r>
      <t xml:space="preserve">Playing </t>
    </r>
    <r>
      <rPr>
        <u/>
        <sz val="8"/>
        <rFont val="Aptos Narrow"/>
        <family val="2"/>
        <scheme val="minor"/>
      </rPr>
      <t>Up Trends</t>
    </r>
    <r>
      <rPr>
        <sz val="8"/>
        <rFont val="Aptos Narrow"/>
        <family val="2"/>
        <scheme val="minor"/>
      </rPr>
      <t xml:space="preserve"> Long</t>
    </r>
  </si>
  <si>
    <r>
      <rPr>
        <u/>
        <sz val="8"/>
        <rFont val="Aptos Narrow"/>
        <family val="2"/>
        <scheme val="minor"/>
      </rPr>
      <t>Cumulative</t>
    </r>
    <r>
      <rPr>
        <sz val="8"/>
        <rFont val="Aptos Narrow"/>
        <family val="2"/>
        <scheme val="minor"/>
      </rPr>
      <t xml:space="preserve"> Playing Up Trends Long</t>
    </r>
  </si>
  <si>
    <r>
      <t xml:space="preserve">Playing </t>
    </r>
    <r>
      <rPr>
        <u/>
        <sz val="8"/>
        <rFont val="Aptos Narrow"/>
        <family val="2"/>
        <scheme val="minor"/>
      </rPr>
      <t>Down Trends</t>
    </r>
    <r>
      <rPr>
        <sz val="8"/>
        <rFont val="Aptos Narrow"/>
        <family val="2"/>
        <scheme val="minor"/>
      </rPr>
      <t xml:space="preserve"> Short</t>
    </r>
  </si>
  <si>
    <r>
      <rPr>
        <u/>
        <sz val="8"/>
        <rFont val="Aptos Narrow"/>
        <family val="2"/>
        <scheme val="minor"/>
      </rPr>
      <t>Cumulative</t>
    </r>
    <r>
      <rPr>
        <sz val="8"/>
        <rFont val="Aptos Narrow"/>
        <family val="2"/>
        <scheme val="minor"/>
      </rPr>
      <t xml:space="preserve"> Playing Dwn Trends Short</t>
    </r>
  </si>
  <si>
    <r>
      <t xml:space="preserve">Playing </t>
    </r>
    <r>
      <rPr>
        <u/>
        <sz val="8"/>
        <rFont val="Aptos Narrow"/>
        <family val="2"/>
        <scheme val="minor"/>
      </rPr>
      <t>Sideways</t>
    </r>
    <r>
      <rPr>
        <sz val="8"/>
        <rFont val="Aptos Narrow"/>
        <family val="2"/>
        <scheme val="minor"/>
      </rPr>
      <t xml:space="preserve"> Trends Long</t>
    </r>
  </si>
  <si>
    <r>
      <rPr>
        <u/>
        <sz val="8"/>
        <rFont val="Aptos Narrow"/>
        <family val="2"/>
        <scheme val="minor"/>
      </rPr>
      <t>Cumulative</t>
    </r>
    <r>
      <rPr>
        <sz val="8"/>
        <rFont val="Aptos Narrow"/>
        <family val="2"/>
        <scheme val="minor"/>
      </rPr>
      <t xml:space="preserve"> Playing SW Trends Long</t>
    </r>
  </si>
  <si>
    <t>IGV</t>
  </si>
  <si>
    <t>Strategy Expectancy</t>
  </si>
  <si>
    <t>ToT</t>
  </si>
  <si>
    <t>Dwn</t>
  </si>
  <si>
    <t>Number of trades</t>
  </si>
  <si>
    <r>
      <rPr>
        <b/>
        <sz val="14"/>
        <color theme="1"/>
        <rFont val="Aptos Narrow"/>
        <family val="2"/>
      </rPr>
      <t>↓    Strategy</t>
    </r>
    <r>
      <rPr>
        <b/>
        <sz val="14"/>
        <color theme="1"/>
        <rFont val="Aptos Narrow"/>
        <family val="2"/>
        <scheme val="minor"/>
      </rPr>
      <t xml:space="preserve"> Results      </t>
    </r>
    <r>
      <rPr>
        <b/>
        <sz val="14"/>
        <color theme="1"/>
        <rFont val="Aptos Narrow"/>
        <family val="2"/>
      </rPr>
      <t>↓</t>
    </r>
  </si>
  <si>
    <r>
      <rPr>
        <b/>
        <sz val="14"/>
        <color theme="1"/>
        <rFont val="Aptos Narrow"/>
        <family val="2"/>
      </rPr>
      <t xml:space="preserve">↓    </t>
    </r>
    <r>
      <rPr>
        <b/>
        <sz val="14"/>
        <color theme="1"/>
        <rFont val="Aptos Narrow"/>
        <family val="2"/>
        <scheme val="minor"/>
      </rPr>
      <t xml:space="preserve">Actual Results      </t>
    </r>
    <r>
      <rPr>
        <b/>
        <sz val="14"/>
        <color theme="1"/>
        <rFont val="Aptos Narrow"/>
        <family val="2"/>
      </rPr>
      <t>↓</t>
    </r>
  </si>
  <si>
    <t>Symbol</t>
  </si>
  <si>
    <t>Potential Issue</t>
  </si>
  <si>
    <t>S/O</t>
  </si>
  <si>
    <t>R
per Trade</t>
  </si>
  <si>
    <t>Strategy -- R</t>
  </si>
  <si>
    <t>Actual -- R</t>
  </si>
  <si>
    <t>Actual  Expectancy</t>
  </si>
  <si>
    <t>hide</t>
  </si>
  <si>
    <t>Exp
25-ma</t>
  </si>
  <si>
    <t>Exp
50-ma</t>
  </si>
  <si>
    <t>?</t>
  </si>
  <si>
    <t>R
per Trade
MOC</t>
  </si>
  <si>
    <t>R
MOC
Total</t>
  </si>
  <si>
    <r>
      <t xml:space="preserve">R, Playing </t>
    </r>
    <r>
      <rPr>
        <u/>
        <sz val="8"/>
        <rFont val="Aptos Narrow"/>
        <family val="2"/>
        <scheme val="minor"/>
      </rPr>
      <t>Up Trends</t>
    </r>
    <r>
      <rPr>
        <sz val="8"/>
        <rFont val="Aptos Narrow"/>
        <family val="2"/>
        <scheme val="minor"/>
      </rPr>
      <t xml:space="preserve"> Long</t>
    </r>
  </si>
  <si>
    <r>
      <t xml:space="preserve">R, Playing </t>
    </r>
    <r>
      <rPr>
        <u/>
        <sz val="8"/>
        <rFont val="Aptos Narrow"/>
        <family val="2"/>
        <scheme val="minor"/>
      </rPr>
      <t>Down Trends</t>
    </r>
    <r>
      <rPr>
        <sz val="8"/>
        <rFont val="Aptos Narrow"/>
        <family val="2"/>
        <scheme val="minor"/>
      </rPr>
      <t xml:space="preserve"> Short</t>
    </r>
  </si>
  <si>
    <r>
      <t xml:space="preserve">R,  Playing </t>
    </r>
    <r>
      <rPr>
        <u/>
        <sz val="8"/>
        <rFont val="Aptos Narrow"/>
        <family val="2"/>
        <scheme val="minor"/>
      </rPr>
      <t>Sideways</t>
    </r>
    <r>
      <rPr>
        <sz val="8"/>
        <rFont val="Aptos Narrow"/>
        <family val="2"/>
        <scheme val="minor"/>
      </rPr>
      <t xml:space="preserve"> Trends Long</t>
    </r>
  </si>
  <si>
    <t>Total UP Trends MOC R</t>
  </si>
  <si>
    <t>Dwn Trends MOC R</t>
  </si>
  <si>
    <t>Total Dwn Trends MOC R</t>
  </si>
  <si>
    <t>Close
[entry]</t>
  </si>
  <si>
    <t>Gap
%</t>
  </si>
  <si>
    <t>? Or D</t>
  </si>
  <si>
    <t>wins</t>
  </si>
  <si>
    <t>losers</t>
  </si>
  <si>
    <t>Sharpe$</t>
  </si>
  <si>
    <t>BA%</t>
  </si>
  <si>
    <t>Units</t>
  </si>
  <si>
    <t>R Dwn
per Trade
MOC</t>
  </si>
  <si>
    <t>R Dwn
MOC
Total</t>
  </si>
  <si>
    <r>
      <t xml:space="preserve">Gap </t>
    </r>
    <r>
      <rPr>
        <sz val="9"/>
        <rFont val="Aptos Narrow"/>
        <family val="2"/>
      </rPr>
      <t>↓</t>
    </r>
    <r>
      <rPr>
        <sz val="9"/>
        <rFont val="Aptos Narrow"/>
        <family val="2"/>
        <scheme val="minor"/>
      </rPr>
      <t xml:space="preserve"> from Up Tr</t>
    </r>
  </si>
  <si>
    <r>
      <t xml:space="preserve">Gap </t>
    </r>
    <r>
      <rPr>
        <sz val="9"/>
        <rFont val="Aptos Narrow"/>
        <family val="2"/>
      </rPr>
      <t>↑</t>
    </r>
    <r>
      <rPr>
        <sz val="9"/>
        <rFont val="Aptos Narrow"/>
        <family val="2"/>
        <scheme val="minor"/>
      </rPr>
      <t xml:space="preserve"> from Up Tr</t>
    </r>
  </si>
  <si>
    <r>
      <t xml:space="preserve">Gap </t>
    </r>
    <r>
      <rPr>
        <sz val="9"/>
        <rFont val="Aptos Narrow"/>
        <family val="2"/>
      </rPr>
      <t>↑</t>
    </r>
    <r>
      <rPr>
        <sz val="9"/>
        <rFont val="Aptos Narrow"/>
        <family val="2"/>
        <scheme val="minor"/>
      </rPr>
      <t xml:space="preserve"> from Dwn Tr</t>
    </r>
  </si>
  <si>
    <r>
      <t xml:space="preserve">Gap </t>
    </r>
    <r>
      <rPr>
        <sz val="9"/>
        <rFont val="Aptos Narrow"/>
        <family val="2"/>
      </rPr>
      <t>↓</t>
    </r>
    <r>
      <rPr>
        <sz val="9"/>
        <rFont val="Aptos Narrow"/>
        <family val="2"/>
        <scheme val="minor"/>
      </rPr>
      <t xml:space="preserve"> from Dwn Tr</t>
    </r>
  </si>
  <si>
    <r>
      <t xml:space="preserve">Gap </t>
    </r>
    <r>
      <rPr>
        <sz val="9"/>
        <rFont val="Aptos Narrow"/>
        <family val="2"/>
      </rPr>
      <t>↑</t>
    </r>
    <r>
      <rPr>
        <sz val="9"/>
        <rFont val="Aptos Narrow"/>
        <family val="2"/>
        <scheme val="minor"/>
      </rPr>
      <t xml:space="preserve"> from Sw Tr</t>
    </r>
  </si>
  <si>
    <r>
      <t xml:space="preserve">Gap </t>
    </r>
    <r>
      <rPr>
        <sz val="9"/>
        <rFont val="Aptos Narrow"/>
        <family val="2"/>
      </rPr>
      <t>↓</t>
    </r>
    <r>
      <rPr>
        <sz val="9"/>
        <rFont val="Aptos Narrow"/>
        <family val="2"/>
        <scheme val="minor"/>
      </rPr>
      <t xml:space="preserve"> from Sw Tr</t>
    </r>
  </si>
  <si>
    <t>.</t>
  </si>
  <si>
    <t>SPWH</t>
  </si>
  <si>
    <t>LAKE</t>
  </si>
  <si>
    <t>SPY</t>
  </si>
  <si>
    <t>Not SPY</t>
  </si>
  <si>
    <t>Expectancy</t>
  </si>
  <si>
    <t>In
SPY?</t>
  </si>
  <si>
    <t>SBFG</t>
  </si>
  <si>
    <t>SOFI</t>
  </si>
  <si>
    <t>WOLF</t>
  </si>
  <si>
    <t>TrCh</t>
  </si>
  <si>
    <t>R this time</t>
  </si>
  <si>
    <t>% Gap Up</t>
  </si>
  <si>
    <t>% Gap Dn</t>
  </si>
  <si>
    <t>SW Trends</t>
  </si>
  <si>
    <t>Down Trends</t>
  </si>
  <si>
    <t>Up Trends</t>
  </si>
  <si>
    <t>Overrides</t>
  </si>
  <si>
    <t>2025 -- Q1</t>
  </si>
  <si>
    <t>Executive Summary:</t>
  </si>
  <si>
    <t>% in SPY</t>
  </si>
  <si>
    <t>●</t>
  </si>
  <si>
    <t># in Dwn</t>
  </si>
  <si>
    <t># in SW</t>
  </si>
  <si>
    <t>% in Dwn</t>
  </si>
  <si>
    <t>% in SW</t>
  </si>
  <si>
    <t>Up Trending Stocks:</t>
  </si>
  <si>
    <t>Down: R</t>
  </si>
  <si>
    <t>Up: R</t>
  </si>
  <si>
    <t># in Up</t>
  </si>
  <si>
    <t>% in Up</t>
  </si>
  <si>
    <t>SW: R</t>
  </si>
  <si>
    <t>All: R</t>
  </si>
  <si>
    <t>Down Trending Stocks:</t>
  </si>
  <si>
    <t>Down</t>
  </si>
  <si>
    <t>R 
per Trade</t>
  </si>
  <si>
    <t>R Total</t>
  </si>
  <si>
    <t>Not Spy</t>
  </si>
  <si>
    <t>Done so far?</t>
  </si>
  <si>
    <t>R 
per Trade
Dwn</t>
  </si>
  <si>
    <t>R 
per Trade
Up</t>
  </si>
  <si>
    <t>R Total 
Up
Trends</t>
  </si>
  <si>
    <t>R 
per Trade
SW</t>
  </si>
  <si>
    <t>R Total 
SW
Trends</t>
  </si>
  <si>
    <t>R Total 
Dwn
Trends</t>
  </si>
  <si>
    <t>Sideways Trending Stocks:</t>
  </si>
  <si>
    <t>risk units.</t>
  </si>
  <si>
    <t>Sector Performance:</t>
  </si>
  <si>
    <t>Up trends had an expectancy of:</t>
  </si>
  <si>
    <t>risk units per trade.</t>
  </si>
  <si>
    <t>Down trends had an expectancy of:</t>
  </si>
  <si>
    <t>Sideways trends had an expectancy of:</t>
  </si>
  <si>
    <t>Risk  Units</t>
  </si>
  <si>
    <t>Up Trending Stocks, Risk Units by Sector:</t>
  </si>
  <si>
    <t>Down Trending Stocks, Risk Units by Sector:</t>
  </si>
  <si>
    <t>Sector Performance, continued:</t>
  </si>
  <si>
    <t>Total Risk Units by Sector, w/ Expectancy:</t>
  </si>
  <si>
    <t>TBBB</t>
  </si>
  <si>
    <t>GHG</t>
  </si>
  <si>
    <t>SKIL</t>
  </si>
  <si>
    <t>SNT</t>
  </si>
  <si>
    <t>THCH</t>
  </si>
  <si>
    <t>XIFR</t>
  </si>
  <si>
    <t>ADSE</t>
  </si>
  <si>
    <t>EPOW</t>
  </si>
  <si>
    <t>VFS</t>
  </si>
  <si>
    <t>CVAC</t>
  </si>
  <si>
    <t>PPIH</t>
  </si>
  <si>
    <t>INDO</t>
  </si>
  <si>
    <t>GAME</t>
  </si>
  <si>
    <t>SVA</t>
  </si>
  <si>
    <t>STRM</t>
  </si>
  <si>
    <t>MIND</t>
  </si>
  <si>
    <t>VNCE</t>
  </si>
  <si>
    <t>BYSI</t>
  </si>
  <si>
    <t>SYNX</t>
  </si>
  <si>
    <r>
      <t>Override P&amp;L</t>
    </r>
    <r>
      <rPr>
        <sz val="9"/>
        <color theme="1"/>
        <rFont val="Aptos Narrow"/>
        <family val="2"/>
        <scheme val="minor"/>
      </rPr>
      <t xml:space="preserve">
GAP P&amp;L</t>
    </r>
  </si>
  <si>
    <t>----------   XLF   ----------</t>
  </si>
  <si>
    <t>----------   XLP   ----------</t>
  </si>
  <si>
    <t>----------   XLK   ----------</t>
  </si>
  <si>
    <t>----------   XLU   ----------</t>
  </si>
  <si>
    <t>----------   XLC   ----------</t>
  </si>
  <si>
    <t>----------   XLI   ----------</t>
  </si>
  <si>
    <t>----------   XLRE   ----------</t>
  </si>
  <si>
    <t>----------   XLB   ----------</t>
  </si>
  <si>
    <t>----------   XLE   ----------</t>
  </si>
  <si>
    <t>----------   XLY   ----------</t>
  </si>
  <si>
    <t>----------   XLV   ----------</t>
  </si>
  <si>
    <t>----------   SMH   ----------</t>
  </si>
  <si>
    <t>----------   H-INS   ----------</t>
  </si>
  <si>
    <t>----------   INS   ----------</t>
  </si>
  <si>
    <t>----------   XHB   ----------</t>
  </si>
  <si>
    <t>----------   IGV   ----------</t>
  </si>
  <si>
    <t>Risk Units, R</t>
  </si>
  <si>
    <t>Money, $</t>
  </si>
  <si>
    <t>LCID</t>
  </si>
  <si>
    <t>NA</t>
  </si>
  <si>
    <t>Industries</t>
  </si>
  <si>
    <t>Consumer Finance</t>
  </si>
  <si>
    <t>Capital markets</t>
  </si>
  <si>
    <t>Banks</t>
  </si>
  <si>
    <t>Financial Services</t>
  </si>
  <si>
    <t>Insurance</t>
  </si>
  <si>
    <t>XYZ</t>
  </si>
  <si>
    <t>ULBI</t>
  </si>
  <si>
    <t>POAI</t>
  </si>
  <si>
    <t>JSDA</t>
  </si>
  <si>
    <t>SHFS</t>
  </si>
  <si>
    <t>RNXT</t>
  </si>
  <si>
    <t>MNTS</t>
  </si>
  <si>
    <t>SATX</t>
  </si>
  <si>
    <t>CENN</t>
  </si>
  <si>
    <t>CYCC</t>
  </si>
  <si>
    <t>LPA</t>
  </si>
  <si>
    <t>NBY</t>
  </si>
  <si>
    <t>CXAI</t>
  </si>
  <si>
    <t>AMS</t>
  </si>
  <si>
    <t>RSLS</t>
  </si>
  <si>
    <t>SALM</t>
  </si>
  <si>
    <t>VISL</t>
  </si>
  <si>
    <t>MESA</t>
  </si>
  <si>
    <t>AULT</t>
  </si>
  <si>
    <t>SNAX</t>
  </si>
  <si>
    <t>TBIO</t>
  </si>
  <si>
    <t>XELB</t>
  </si>
  <si>
    <t>PRTG</t>
  </si>
  <si>
    <t>FORA</t>
  </si>
  <si>
    <t>LVRO</t>
  </si>
  <si>
    <t>MAXN</t>
  </si>
  <si>
    <t>RBTC</t>
  </si>
  <si>
    <t>MOVE</t>
  </si>
  <si>
    <t>GLBS</t>
  </si>
  <si>
    <t>PBLA</t>
  </si>
  <si>
    <t>HPH</t>
  </si>
  <si>
    <t>CTRM</t>
  </si>
  <si>
    <t>LEJUY</t>
  </si>
  <si>
    <t>SLGL</t>
  </si>
  <si>
    <t>TORO</t>
  </si>
  <si>
    <t>HEPS</t>
  </si>
  <si>
    <t>SOND</t>
  </si>
  <si>
    <t>KRMN</t>
  </si>
  <si>
    <t>FPAY</t>
  </si>
  <si>
    <t>ADN</t>
  </si>
  <si>
    <t>TTOO</t>
  </si>
  <si>
    <t>MRIN</t>
  </si>
  <si>
    <t>MLEC</t>
  </si>
  <si>
    <t>ORMP</t>
  </si>
  <si>
    <t>MFON</t>
  </si>
  <si>
    <t>ZNOG</t>
  </si>
  <si>
    <t>OTRK</t>
  </si>
  <si>
    <t>SGRP</t>
  </si>
  <si>
    <t>UPXI</t>
  </si>
  <si>
    <t>RENB</t>
  </si>
  <si>
    <t>EYEN</t>
  </si>
  <si>
    <t>DJT</t>
  </si>
  <si>
    <t>RILY</t>
  </si>
  <si>
    <t>VCIG</t>
  </si>
  <si>
    <t>EM</t>
  </si>
  <si>
    <t>KNDI</t>
  </si>
  <si>
    <t>XTIA</t>
  </si>
  <si>
    <t>WYY</t>
  </si>
  <si>
    <t>HMR</t>
  </si>
  <si>
    <t>SUNE</t>
  </si>
  <si>
    <t>PSNY</t>
  </si>
  <si>
    <t>PDYN</t>
  </si>
  <si>
    <t>VIRC</t>
  </si>
  <si>
    <t>INV</t>
  </si>
  <si>
    <t>STEC</t>
  </si>
  <si>
    <t>AVD</t>
  </si>
  <si>
    <t>BFRG</t>
  </si>
  <si>
    <t>CELU</t>
  </si>
  <si>
    <t>AGAE</t>
  </si>
  <si>
    <t>AKTSQ</t>
  </si>
  <si>
    <t>PLCE</t>
  </si>
  <si>
    <t>CETY</t>
  </si>
  <si>
    <t>ADVM</t>
  </si>
  <si>
    <t>ZEO</t>
  </si>
  <si>
    <t>MAIA</t>
  </si>
  <si>
    <t>OLB</t>
  </si>
  <si>
    <t>BEEM</t>
  </si>
  <si>
    <t>MLSS</t>
  </si>
  <si>
    <t>AREC</t>
  </si>
  <si>
    <t>CMBM</t>
  </si>
  <si>
    <t>KITT</t>
  </si>
  <si>
    <t>KOPN</t>
  </si>
  <si>
    <t>ALOT</t>
  </si>
  <si>
    <t>AREN</t>
  </si>
  <si>
    <t>BSEM</t>
  </si>
  <si>
    <t>LU</t>
  </si>
  <si>
    <t>LNZA</t>
  </si>
  <si>
    <t>AFMD</t>
  </si>
  <si>
    <t>GMGI</t>
  </si>
  <si>
    <t>BLNE</t>
  </si>
  <si>
    <t>MTNB</t>
  </si>
  <si>
    <t>KORE</t>
  </si>
  <si>
    <t>PPSI</t>
  </si>
  <si>
    <t>ISPC</t>
  </si>
  <si>
    <t>CNF</t>
  </si>
  <si>
    <t>NNDM</t>
  </si>
  <si>
    <t>KIRK</t>
  </si>
  <si>
    <t>YJ</t>
  </si>
  <si>
    <t>NLST</t>
  </si>
  <si>
    <t>PAL</t>
  </si>
  <si>
    <t>REE</t>
  </si>
  <si>
    <t>on 5/1/25 Before Market Eastern Standard Time</t>
  </si>
  <si>
    <t>CRTO</t>
  </si>
  <si>
    <t>ALNY</t>
  </si>
  <si>
    <t>TRI</t>
  </si>
  <si>
    <t>MX</t>
  </si>
  <si>
    <t>CCRD</t>
  </si>
  <si>
    <t>APG</t>
  </si>
  <si>
    <t>OCSL</t>
  </si>
  <si>
    <t>VSTS</t>
  </si>
  <si>
    <t>MTSUY</t>
  </si>
  <si>
    <t>SOS</t>
  </si>
  <si>
    <t>HAYW</t>
  </si>
  <si>
    <t>TARA</t>
  </si>
  <si>
    <t>GHRS</t>
  </si>
  <si>
    <t>SNDR</t>
  </si>
  <si>
    <t>RBLX</t>
  </si>
  <si>
    <t>CCJ</t>
  </si>
  <si>
    <t>MSGS</t>
  </si>
  <si>
    <t>SUP</t>
  </si>
  <si>
    <t>OGN</t>
  </si>
  <si>
    <t>WLKP</t>
  </si>
  <si>
    <t>BDRBF</t>
  </si>
  <si>
    <t>TUSK</t>
  </si>
  <si>
    <t>W</t>
  </si>
  <si>
    <t>NREF</t>
  </si>
  <si>
    <t>ENTG</t>
  </si>
  <si>
    <t>GEL</t>
  </si>
  <si>
    <t>MDV</t>
  </si>
  <si>
    <t>GTX</t>
  </si>
  <si>
    <t>MDU</t>
  </si>
  <si>
    <t>on 5/1/25 After Market Eastern Standard Time</t>
  </si>
  <si>
    <t>RARE</t>
  </si>
  <si>
    <t>WW</t>
  </si>
  <si>
    <t>DMLP</t>
  </si>
  <si>
    <t>OFS</t>
  </si>
  <si>
    <t>LPLA</t>
  </si>
  <si>
    <t>HTGC</t>
  </si>
  <si>
    <t>HUN</t>
  </si>
  <si>
    <t>BFAM</t>
  </si>
  <si>
    <t>GECC</t>
  </si>
  <si>
    <t>LBTYK</t>
  </si>
  <si>
    <t>LFVN</t>
  </si>
  <si>
    <t>MODV</t>
  </si>
  <si>
    <t>SMC</t>
  </si>
  <si>
    <t>DKNG</t>
  </si>
  <si>
    <t>CLAR</t>
  </si>
  <si>
    <t>BOOM</t>
  </si>
  <si>
    <t>FIVN</t>
  </si>
  <si>
    <t>WSC</t>
  </si>
  <si>
    <t>BILL</t>
  </si>
  <si>
    <t>GEVO</t>
  </si>
  <si>
    <t>MERC</t>
  </si>
  <si>
    <t>ATYR</t>
  </si>
  <si>
    <t>RMNI</t>
  </si>
  <si>
    <t>MP</t>
  </si>
  <si>
    <t>CNI</t>
  </si>
  <si>
    <t>EVC</t>
  </si>
  <si>
    <t>SAMG</t>
  </si>
  <si>
    <t>SGHT</t>
  </si>
  <si>
    <t>CPSS</t>
  </si>
  <si>
    <t>AXTI</t>
  </si>
  <si>
    <t>LBTYA</t>
  </si>
  <si>
    <t>FET</t>
  </si>
  <si>
    <t>ASND</t>
  </si>
  <si>
    <t>EXAS</t>
  </si>
  <si>
    <t>EGO</t>
  </si>
  <si>
    <t>NET</t>
  </si>
  <si>
    <t>LXRX</t>
  </si>
  <si>
    <t>VGZ</t>
  </si>
  <si>
    <t>TEO</t>
  </si>
  <si>
    <t>COIN</t>
  </si>
  <si>
    <t>PRSU</t>
  </si>
  <si>
    <t>LBTYB</t>
  </si>
  <si>
    <t>BEPC</t>
  </si>
  <si>
    <t>JOUT</t>
  </si>
  <si>
    <t>BBU</t>
  </si>
  <si>
    <t>TRP</t>
  </si>
  <si>
    <t>SHEL</t>
  </si>
  <si>
    <t>IMO</t>
  </si>
  <si>
    <t>BASFY</t>
  </si>
  <si>
    <t>CHT</t>
  </si>
  <si>
    <t>BEP</t>
  </si>
  <si>
    <t>ING</t>
  </si>
  <si>
    <t>CCEC</t>
  </si>
  <si>
    <t>ITOCY</t>
  </si>
  <si>
    <t>NWG</t>
  </si>
  <si>
    <t>APO</t>
  </si>
  <si>
    <t>RPID</t>
  </si>
  <si>
    <t>TAC</t>
  </si>
  <si>
    <t>on 5/2/25 After Market Eastern Standard Time</t>
  </si>
  <si>
    <t>NODK</t>
  </si>
  <si>
    <t>CRBG</t>
  </si>
  <si>
    <t>BRK/B</t>
  </si>
  <si>
    <t>BRK/A</t>
  </si>
  <si>
    <t>1-Apr</t>
  </si>
  <si>
    <t>2-Apr</t>
  </si>
  <si>
    <t>(All)</t>
  </si>
  <si>
    <t>10-Apr</t>
  </si>
  <si>
    <t>11-Apr</t>
  </si>
  <si>
    <t>14-Apr</t>
  </si>
  <si>
    <t>15-Apr</t>
  </si>
  <si>
    <t>16-Apr</t>
  </si>
  <si>
    <t>17-Apr</t>
  </si>
  <si>
    <t>21-Apr</t>
  </si>
  <si>
    <t>22-Apr</t>
  </si>
  <si>
    <t>23-Apr</t>
  </si>
  <si>
    <t>24-Apr</t>
  </si>
  <si>
    <t>25-Apr</t>
  </si>
  <si>
    <t>28-Apr</t>
  </si>
  <si>
    <t>29-Apr</t>
  </si>
  <si>
    <t>3-Apr</t>
  </si>
  <si>
    <t>30-Apr</t>
  </si>
  <si>
    <t>8-Apr</t>
  </si>
  <si>
    <t>9-Apr</t>
  </si>
  <si>
    <t>1-May</t>
  </si>
  <si>
    <t>2-May</t>
  </si>
  <si>
    <t>on 5/5/25 Before Market Eastern Standard Time</t>
  </si>
  <si>
    <t>LUCK</t>
  </si>
  <si>
    <t>CNA</t>
  </si>
  <si>
    <t>SID</t>
  </si>
  <si>
    <t>BNTX</t>
  </si>
  <si>
    <t>KVHI</t>
  </si>
  <si>
    <t>FRPT</t>
  </si>
  <si>
    <t>ADCT</t>
  </si>
  <si>
    <t>CRNT</t>
  </si>
  <si>
    <t>TIMB</t>
  </si>
  <si>
    <t>ARES</t>
  </si>
  <si>
    <t>AISP</t>
  </si>
  <si>
    <t>LPTV</t>
  </si>
  <si>
    <t>on 5/5/25 After Market Eastern Standard Time</t>
  </si>
  <si>
    <t>NMFC</t>
  </si>
  <si>
    <t>RANI</t>
  </si>
  <si>
    <t>TDUP</t>
  </si>
  <si>
    <t>INSP</t>
  </si>
  <si>
    <t>SYM</t>
  </si>
  <si>
    <t>CIB</t>
  </si>
  <si>
    <t>SAR</t>
  </si>
  <si>
    <t>MYPS</t>
  </si>
  <si>
    <t>ARTNA</t>
  </si>
  <si>
    <t>METC</t>
  </si>
  <si>
    <t>PLYA</t>
  </si>
  <si>
    <t>GAIA</t>
  </si>
  <si>
    <t>EML</t>
  </si>
  <si>
    <t>TGS</t>
  </si>
  <si>
    <t>OPAD</t>
  </si>
  <si>
    <t>MNOV</t>
  </si>
  <si>
    <t>AL</t>
  </si>
  <si>
    <t>BSM</t>
  </si>
  <si>
    <t>NINE</t>
  </si>
  <si>
    <t>ALCO</t>
  </si>
  <si>
    <t>GRAL</t>
  </si>
  <si>
    <t>BODI</t>
  </si>
  <si>
    <t>ALTO</t>
  </si>
  <si>
    <t>BRCC</t>
  </si>
  <si>
    <t>CRH</t>
  </si>
  <si>
    <t>GBDC</t>
  </si>
  <si>
    <t>FGEN</t>
  </si>
  <si>
    <t>on 5/6/25 Before Market Eastern Standard Time</t>
  </si>
  <si>
    <t>QURE</t>
  </si>
  <si>
    <t>BSY</t>
  </si>
  <si>
    <t>GILT</t>
  </si>
  <si>
    <t>SOPH</t>
  </si>
  <si>
    <t>HBIO</t>
  </si>
  <si>
    <t>JMIA</t>
  </si>
  <si>
    <t>BOSSY</t>
  </si>
  <si>
    <t>CNR</t>
  </si>
  <si>
    <t>SPB</t>
  </si>
  <si>
    <t>CBDBY</t>
  </si>
  <si>
    <t>on 5/6/25 Unspecified Eastern Standard Time</t>
  </si>
  <si>
    <t>COHN</t>
  </si>
  <si>
    <t>MNDO</t>
  </si>
  <si>
    <t>PSBD</t>
  </si>
  <si>
    <t>SUN</t>
  </si>
  <si>
    <t>ALGS</t>
  </si>
  <si>
    <t>AOMR</t>
  </si>
  <si>
    <t>FMS</t>
  </si>
  <si>
    <t>XFOR</t>
  </si>
  <si>
    <t>RACE</t>
  </si>
  <si>
    <t>BHOOY</t>
  </si>
  <si>
    <t>PSTNY</t>
  </si>
  <si>
    <t>INZY</t>
  </si>
  <si>
    <t>AUDC</t>
  </si>
  <si>
    <t>CMT</t>
  </si>
  <si>
    <t>NVCT</t>
  </si>
  <si>
    <t>MASS</t>
  </si>
  <si>
    <t>PHG</t>
  </si>
  <si>
    <t>BTDR</t>
  </si>
  <si>
    <t>CRBP</t>
  </si>
  <si>
    <t>MPLX</t>
  </si>
  <si>
    <t>OEDC</t>
  </si>
  <si>
    <t>BLDP</t>
  </si>
  <si>
    <t>SGI</t>
  </si>
  <si>
    <t>DKL</t>
  </si>
  <si>
    <t>CGTX</t>
  </si>
  <si>
    <t>ERJ</t>
  </si>
  <si>
    <t>VWDRY</t>
  </si>
  <si>
    <t>TELNY</t>
  </si>
  <si>
    <t>USAC</t>
  </si>
  <si>
    <t>CTTAY</t>
  </si>
  <si>
    <t>HGTY</t>
  </si>
  <si>
    <t>APLS</t>
  </si>
  <si>
    <t>HRTX</t>
  </si>
  <si>
    <t>RPTX</t>
  </si>
  <si>
    <t>VLCN</t>
  </si>
  <si>
    <t>CIGI</t>
  </si>
  <si>
    <t>PMTS</t>
  </si>
  <si>
    <t>EHTH</t>
  </si>
  <si>
    <t>SEE</t>
  </si>
  <si>
    <t>EEX</t>
  </si>
  <si>
    <t>BAM</t>
  </si>
  <si>
    <t>PINC</t>
  </si>
  <si>
    <t>on 5/6/25 After Market Eastern Standard Time</t>
  </si>
  <si>
    <t>NNBR</t>
  </si>
  <si>
    <t>CERT</t>
  </si>
  <si>
    <t>CPNG</t>
  </si>
  <si>
    <t>PRTS</t>
  </si>
  <si>
    <t>SARO</t>
  </si>
  <si>
    <t>ANGI</t>
  </si>
  <si>
    <t>ET</t>
  </si>
  <si>
    <t>FRGE</t>
  </si>
  <si>
    <t>BCSF</t>
  </si>
  <si>
    <t>VATE</t>
  </si>
  <si>
    <t>INGM</t>
  </si>
  <si>
    <t>BROS</t>
  </si>
  <si>
    <t>ALAB</t>
  </si>
  <si>
    <t>SERV</t>
  </si>
  <si>
    <t>FOA</t>
  </si>
  <si>
    <t>CXDO</t>
  </si>
  <si>
    <t>CLOV</t>
  </si>
  <si>
    <t>RIVN</t>
  </si>
  <si>
    <t>AGO</t>
  </si>
  <si>
    <t>SMWB</t>
  </si>
  <si>
    <t>KGC</t>
  </si>
  <si>
    <t>PSIX</t>
  </si>
  <si>
    <t>PXLW</t>
  </si>
  <si>
    <t>SNCR</t>
  </si>
  <si>
    <t>GWH</t>
  </si>
  <si>
    <t>FTEK</t>
  </si>
  <si>
    <t>CIX</t>
  </si>
  <si>
    <t>GPRO</t>
  </si>
  <si>
    <t>PAYS</t>
  </si>
  <si>
    <t>PHLT</t>
  </si>
  <si>
    <t>TOST</t>
  </si>
  <si>
    <t>SPCE</t>
  </si>
  <si>
    <t>SLDP</t>
  </si>
  <si>
    <t>NVRO</t>
  </si>
  <si>
    <t>SSSS</t>
  </si>
  <si>
    <t>IGIC</t>
  </si>
  <si>
    <t>NRDY</t>
  </si>
  <si>
    <t>TWLO</t>
  </si>
  <si>
    <t>FTK</t>
  </si>
  <si>
    <t>LDI</t>
  </si>
  <si>
    <t>TEM</t>
  </si>
  <si>
    <t>GIFI</t>
  </si>
  <si>
    <t>STKS</t>
  </si>
  <si>
    <t>AEVA</t>
  </si>
  <si>
    <t>RDDT</t>
  </si>
  <si>
    <t>CLLS</t>
  </si>
  <si>
    <t>DV</t>
  </si>
  <si>
    <t>ASRT</t>
  </si>
  <si>
    <t>ISPO</t>
  </si>
  <si>
    <t>AHT</t>
  </si>
  <si>
    <t>RWAY</t>
  </si>
  <si>
    <t>CGBD</t>
  </si>
  <si>
    <t>CRBU</t>
  </si>
  <si>
    <t>GO</t>
  </si>
  <si>
    <t>SLNG</t>
  </si>
  <si>
    <t>BTG</t>
  </si>
  <si>
    <t>HOUR</t>
  </si>
  <si>
    <t>ATROB</t>
  </si>
  <si>
    <t>GOSS</t>
  </si>
  <si>
    <t>JETMF</t>
  </si>
  <si>
    <t>VTEX</t>
  </si>
  <si>
    <t>INNV</t>
  </si>
  <si>
    <t>SU</t>
  </si>
  <si>
    <t>CLPT</t>
  </si>
  <si>
    <t>CPIX</t>
  </si>
  <si>
    <t>KTCC</t>
  </si>
  <si>
    <t>IAC</t>
  </si>
  <si>
    <t>BBDC</t>
  </si>
  <si>
    <t>MLTX</t>
  </si>
  <si>
    <t>SCRYY</t>
  </si>
  <si>
    <t>PERI</t>
  </si>
  <si>
    <t>SKM</t>
  </si>
  <si>
    <t>on 5/7/25 Unspecified Eastern Standard Time</t>
  </si>
  <si>
    <t>JAPAY</t>
  </si>
  <si>
    <t>VLN</t>
  </si>
  <si>
    <t>RDWR</t>
  </si>
  <si>
    <t>ELA</t>
  </si>
  <si>
    <t>FLEX</t>
  </si>
  <si>
    <t>VONOY</t>
  </si>
  <si>
    <t>BKSY</t>
  </si>
  <si>
    <t>FTS</t>
  </si>
  <si>
    <t>KLBAY</t>
  </si>
  <si>
    <t>INVZ</t>
  </si>
  <si>
    <t>LBRDK</t>
  </si>
  <si>
    <t>GHI</t>
  </si>
  <si>
    <t>TBLA</t>
  </si>
  <si>
    <t>SAXPY</t>
  </si>
  <si>
    <t>DSGN</t>
  </si>
  <si>
    <t>OPHC</t>
  </si>
  <si>
    <t>BBD</t>
  </si>
  <si>
    <t>ZVIA</t>
  </si>
  <si>
    <t>ENLT</t>
  </si>
  <si>
    <t>NABZY</t>
  </si>
  <si>
    <t>IRS</t>
  </si>
  <si>
    <t>MCRB</t>
  </si>
  <si>
    <t>KMDA</t>
  </si>
  <si>
    <t>DNNGY</t>
  </si>
  <si>
    <t>SMMNY</t>
  </si>
  <si>
    <t>CRSP</t>
  </si>
  <si>
    <t>ANZGY</t>
  </si>
  <si>
    <t>ELEZY</t>
  </si>
  <si>
    <t>OPFI</t>
  </si>
  <si>
    <t>TPG</t>
  </si>
  <si>
    <t>ZURVY</t>
  </si>
  <si>
    <t>TIIAY</t>
  </si>
  <si>
    <t>GOLD</t>
  </si>
  <si>
    <t>CCU</t>
  </si>
  <si>
    <t>NEUE</t>
  </si>
  <si>
    <t>ACRS</t>
  </si>
  <si>
    <t>NDOI</t>
  </si>
  <si>
    <t>RGS</t>
  </si>
  <si>
    <t>BAK</t>
  </si>
  <si>
    <t>ADRNY</t>
  </si>
  <si>
    <t>BWAY</t>
  </si>
  <si>
    <t>STN</t>
  </si>
  <si>
    <t>SEDG</t>
  </si>
  <si>
    <t>PYPD</t>
  </si>
  <si>
    <t>KRNT</t>
  </si>
  <si>
    <t>UOVEY</t>
  </si>
  <si>
    <t>TMICY</t>
  </si>
  <si>
    <t>CSPI</t>
  </si>
  <si>
    <t>NVO</t>
  </si>
  <si>
    <t>DIBS</t>
  </si>
  <si>
    <t>TEVA</t>
  </si>
  <si>
    <t>IFRX</t>
  </si>
  <si>
    <t>HLLY</t>
  </si>
  <si>
    <t>ICL</t>
  </si>
  <si>
    <t>DNBBY</t>
  </si>
  <si>
    <t>ATHM</t>
  </si>
  <si>
    <t>SHOP</t>
  </si>
  <si>
    <t>TRIN</t>
  </si>
  <si>
    <t>IEP</t>
  </si>
  <si>
    <t>VFF</t>
  </si>
  <si>
    <t>WHF</t>
  </si>
  <si>
    <t>LBRDB</t>
  </si>
  <si>
    <t>IMCR</t>
  </si>
  <si>
    <t>CLNN</t>
  </si>
  <si>
    <t>GBLI</t>
  </si>
  <si>
    <t>LBRDA</t>
  </si>
  <si>
    <t>TBCH</t>
  </si>
  <si>
    <t>on 5/7/25 After Market Eastern Standard Time</t>
  </si>
  <si>
    <t>PSEC</t>
  </si>
  <si>
    <t>Z</t>
  </si>
  <si>
    <t>ECG</t>
  </si>
  <si>
    <t>FLL</t>
  </si>
  <si>
    <t>NL</t>
  </si>
  <si>
    <t>SUI</t>
  </si>
  <si>
    <t>TTEC</t>
  </si>
  <si>
    <t>SCYX</t>
  </si>
  <si>
    <t>MRCC</t>
  </si>
  <si>
    <t>ASM</t>
  </si>
  <si>
    <t>BCAB</t>
  </si>
  <si>
    <t>GAIN</t>
  </si>
  <si>
    <t>CCAP</t>
  </si>
  <si>
    <t>WES</t>
  </si>
  <si>
    <t>DLHC</t>
  </si>
  <si>
    <t>PIII</t>
  </si>
  <si>
    <t>OM</t>
  </si>
  <si>
    <t>GEG</t>
  </si>
  <si>
    <t>NTR</t>
  </si>
  <si>
    <t>MKFG</t>
  </si>
  <si>
    <t>GWRS</t>
  </si>
  <si>
    <t>CAMP</t>
  </si>
  <si>
    <t>FOSL</t>
  </si>
  <si>
    <t>FLUT</t>
  </si>
  <si>
    <t>DOX</t>
  </si>
  <si>
    <t>EBR</t>
  </si>
  <si>
    <t>PSNL</t>
  </si>
  <si>
    <t>FSM</t>
  </si>
  <si>
    <t>CIA</t>
  </si>
  <si>
    <t>CURI</t>
  </si>
  <si>
    <t>ALVO</t>
  </si>
  <si>
    <t>BOXL</t>
  </si>
  <si>
    <t>HHH</t>
  </si>
  <si>
    <t>MRUS</t>
  </si>
  <si>
    <t>NRGV</t>
  </si>
  <si>
    <t>ARMP</t>
  </si>
  <si>
    <t>EPSN</t>
  </si>
  <si>
    <t>OBDC</t>
  </si>
  <si>
    <t>AZEK</t>
  </si>
  <si>
    <t>BNGO</t>
  </si>
  <si>
    <t>MFC</t>
  </si>
  <si>
    <t>ECOR</t>
  </si>
  <si>
    <t>PHX</t>
  </si>
  <si>
    <t>CAPL</t>
  </si>
  <si>
    <t>VSTA</t>
  </si>
  <si>
    <t>SERA</t>
  </si>
  <si>
    <t>OR</t>
  </si>
  <si>
    <t>ZG</t>
  </si>
  <si>
    <t>ASYS</t>
  </si>
  <si>
    <t>CPA</t>
  </si>
  <si>
    <t>GRWG</t>
  </si>
  <si>
    <t>INSG</t>
  </si>
  <si>
    <t>CART</t>
  </si>
  <si>
    <t>QDEL</t>
  </si>
  <si>
    <t>TSVT</t>
  </si>
  <si>
    <t>HUBS</t>
  </si>
  <si>
    <t>EBR/B</t>
  </si>
  <si>
    <t>EQX</t>
  </si>
  <si>
    <t>SVCO</t>
  </si>
  <si>
    <t>BGSF</t>
  </si>
  <si>
    <t>MYO</t>
  </si>
  <si>
    <t>JRVR</t>
  </si>
  <si>
    <t>NDLS</t>
  </si>
  <si>
    <t>MDAI</t>
  </si>
  <si>
    <t>NAGE</t>
  </si>
  <si>
    <t>FROG</t>
  </si>
  <si>
    <t>LOMA</t>
  </si>
  <si>
    <t>NXE</t>
  </si>
  <si>
    <t>PYCR</t>
  </si>
  <si>
    <t>COOK</t>
  </si>
  <si>
    <t>KFS</t>
  </si>
  <si>
    <t>LYFT</t>
  </si>
  <si>
    <t>SONX</t>
  </si>
  <si>
    <t>LILAB</t>
  </si>
  <si>
    <t>TACT</t>
  </si>
  <si>
    <t>ASMB</t>
  </si>
  <si>
    <t>LB</t>
  </si>
  <si>
    <t>IGMS</t>
  </si>
  <si>
    <t>SLRC</t>
  </si>
  <si>
    <t>NOA</t>
  </si>
  <si>
    <t>PAAS</t>
  </si>
  <si>
    <t>RNG</t>
  </si>
  <si>
    <t>ACNT</t>
  </si>
  <si>
    <t>TRIP</t>
  </si>
  <si>
    <t>WHWK</t>
  </si>
  <si>
    <t>DHX</t>
  </si>
  <si>
    <t>AKA</t>
  </si>
  <si>
    <t>BIRD</t>
  </si>
  <si>
    <t>FSK</t>
  </si>
  <si>
    <t>GTBIF</t>
  </si>
  <si>
    <t>UGP</t>
  </si>
  <si>
    <t>CYN</t>
  </si>
  <si>
    <t>VET</t>
  </si>
  <si>
    <t>DRCT</t>
  </si>
  <si>
    <t>ZNTL</t>
  </si>
  <si>
    <t>LSF</t>
  </si>
  <si>
    <t>PRPL</t>
  </si>
  <si>
    <t>CDLX</t>
  </si>
  <si>
    <t>on 5/8/25 Before Market Eastern Standard Time</t>
  </si>
  <si>
    <t>ELAN</t>
  </si>
  <si>
    <t>AXDX</t>
  </si>
  <si>
    <t>FWONK</t>
  </si>
  <si>
    <t>NTDOY</t>
  </si>
  <si>
    <t>KRP</t>
  </si>
  <si>
    <t>INTR</t>
  </si>
  <si>
    <t>KLTR</t>
  </si>
  <si>
    <t>IFNNY</t>
  </si>
  <si>
    <t>ITUB</t>
  </si>
  <si>
    <t>AG</t>
  </si>
  <si>
    <t>QTTB</t>
  </si>
  <si>
    <t>KPTI</t>
  </si>
  <si>
    <t>PFX</t>
  </si>
  <si>
    <t>YPF</t>
  </si>
  <si>
    <t>BBGI</t>
  </si>
  <si>
    <t>LOCL</t>
  </si>
  <si>
    <t>HHS</t>
  </si>
  <si>
    <t>PRPH</t>
  </si>
  <si>
    <t>BKTI</t>
  </si>
  <si>
    <t>WTM</t>
  </si>
  <si>
    <t>TRMD</t>
  </si>
  <si>
    <t>ZURA</t>
  </si>
  <si>
    <t>LNSR</t>
  </si>
  <si>
    <t>CMPS</t>
  </si>
  <si>
    <t>PENN</t>
  </si>
  <si>
    <t>BLUE</t>
  </si>
  <si>
    <t>MAGN</t>
  </si>
  <si>
    <t>DTC</t>
  </si>
  <si>
    <t>ENLAY</t>
  </si>
  <si>
    <t>CQP</t>
  </si>
  <si>
    <t>VG</t>
  </si>
  <si>
    <t>MHLD</t>
  </si>
  <si>
    <t>TTSH</t>
  </si>
  <si>
    <t>FVRR</t>
  </si>
  <si>
    <t>CRIS</t>
  </si>
  <si>
    <t>TSQ</t>
  </si>
  <si>
    <t>FUJIY</t>
  </si>
  <si>
    <t>KELYB</t>
  </si>
  <si>
    <t>CIG</t>
  </si>
  <si>
    <t>RPRX</t>
  </si>
  <si>
    <t>RLYB</t>
  </si>
  <si>
    <t>QSR</t>
  </si>
  <si>
    <t>ETON</t>
  </si>
  <si>
    <t>BTAI</t>
  </si>
  <si>
    <t>ABEV</t>
  </si>
  <si>
    <t>LCUT</t>
  </si>
  <si>
    <t>SN</t>
  </si>
  <si>
    <t>CAMT</t>
  </si>
  <si>
    <t>FFNW</t>
  </si>
  <si>
    <t>MBX</t>
  </si>
  <si>
    <t>GDRX</t>
  </si>
  <si>
    <t>NRP</t>
  </si>
  <si>
    <t>SPPJY</t>
  </si>
  <si>
    <t>WFCF</t>
  </si>
  <si>
    <t>SOBKY</t>
  </si>
  <si>
    <t>GENI</t>
  </si>
  <si>
    <t>GOCO</t>
  </si>
  <si>
    <t>AMLX</t>
  </si>
  <si>
    <t>ZBIO</t>
  </si>
  <si>
    <t>TE</t>
  </si>
  <si>
    <t>TIXT</t>
  </si>
  <si>
    <t>OSS</t>
  </si>
  <si>
    <t>IMOS</t>
  </si>
  <si>
    <t>SNDA</t>
  </si>
  <si>
    <t>BUD</t>
  </si>
  <si>
    <t>LEE</t>
  </si>
  <si>
    <t>ACHV</t>
  </si>
  <si>
    <t>PET</t>
  </si>
  <si>
    <t>CSIQ</t>
  </si>
  <si>
    <t>ONC</t>
  </si>
  <si>
    <t>EDR</t>
  </si>
  <si>
    <t>UPLD</t>
  </si>
  <si>
    <t>SION</t>
  </si>
  <si>
    <t>EXK</t>
  </si>
  <si>
    <t>GMAB</t>
  </si>
  <si>
    <t>ILLM</t>
  </si>
  <si>
    <t>FWONA</t>
  </si>
  <si>
    <t>PMVP</t>
  </si>
  <si>
    <t>ONCY</t>
  </si>
  <si>
    <t>CPPCY</t>
  </si>
  <si>
    <t>PLX</t>
  </si>
  <si>
    <t>OCS</t>
  </si>
  <si>
    <t>HIMX</t>
  </si>
  <si>
    <t>NOMD</t>
  </si>
  <si>
    <t>FWONB</t>
  </si>
  <si>
    <t>SCMWY</t>
  </si>
  <si>
    <t>BBXIA</t>
  </si>
  <si>
    <t>MITEY</t>
  </si>
  <si>
    <t>DBSDY</t>
  </si>
  <si>
    <t>LNC</t>
  </si>
  <si>
    <t>DNB</t>
  </si>
  <si>
    <t>TU</t>
  </si>
  <si>
    <t>GRVY</t>
  </si>
  <si>
    <t>BCE</t>
  </si>
  <si>
    <t>RAPT</t>
  </si>
  <si>
    <t>APYX</t>
  </si>
  <si>
    <t>WBX</t>
  </si>
  <si>
    <t>ARGX</t>
  </si>
  <si>
    <t>SUNS</t>
  </si>
  <si>
    <t>LXEO</t>
  </si>
  <si>
    <t>ITCI</t>
  </si>
  <si>
    <t>DOUG</t>
  </si>
  <si>
    <t>TIGO</t>
  </si>
  <si>
    <t>DWTX</t>
  </si>
  <si>
    <t>NAMS</t>
  </si>
  <si>
    <t>IVVD</t>
  </si>
  <si>
    <t>BRDG</t>
  </si>
  <si>
    <t>TAK</t>
  </si>
  <si>
    <t>COLD</t>
  </si>
  <si>
    <t>TM</t>
  </si>
  <si>
    <t>TSEM</t>
  </si>
  <si>
    <t>HENKY</t>
  </si>
  <si>
    <t>SPH</t>
  </si>
  <si>
    <t>ATUS</t>
  </si>
  <si>
    <t>KAOOY</t>
  </si>
  <si>
    <t>TIL</t>
  </si>
  <si>
    <t>KZR</t>
  </si>
  <si>
    <t>ASAIY</t>
  </si>
  <si>
    <t>STVN</t>
  </si>
  <si>
    <t>MPLN</t>
  </si>
  <si>
    <t>GLP</t>
  </si>
  <si>
    <t>PRTH</t>
  </si>
  <si>
    <t>NVMI</t>
  </si>
  <si>
    <t>DKILY</t>
  </si>
  <si>
    <t>UWMC</t>
  </si>
  <si>
    <t>CRON</t>
  </si>
  <si>
    <t>PLTK</t>
  </si>
  <si>
    <t>INFU</t>
  </si>
  <si>
    <t>LNG</t>
  </si>
  <si>
    <t>CBSTF</t>
  </si>
  <si>
    <t>IRD</t>
  </si>
  <si>
    <t>SNDL</t>
  </si>
  <si>
    <t>CTEV</t>
  </si>
  <si>
    <t>CMLS</t>
  </si>
  <si>
    <t>AMTX</t>
  </si>
  <si>
    <t>CBAT</t>
  </si>
  <si>
    <t>ACDC</t>
  </si>
  <si>
    <t>PBT</t>
  </si>
  <si>
    <t>UBCP</t>
  </si>
  <si>
    <t>NKTX</t>
  </si>
  <si>
    <t>on 5/8/25 After Market Eastern Standard Time</t>
  </si>
  <si>
    <t>INUV</t>
  </si>
  <si>
    <t>AIRG</t>
  </si>
  <si>
    <t>OWLT</t>
  </si>
  <si>
    <t>MQBKY</t>
  </si>
  <si>
    <t>EGAN</t>
  </si>
  <si>
    <t>FTHM</t>
  </si>
  <si>
    <t>QVCGA</t>
  </si>
  <si>
    <t>RKDA</t>
  </si>
  <si>
    <t>CTSO</t>
  </si>
  <si>
    <t>CHRS</t>
  </si>
  <si>
    <t>GPCR</t>
  </si>
  <si>
    <t>OPAL</t>
  </si>
  <si>
    <t>SUZ</t>
  </si>
  <si>
    <t>SST</t>
  </si>
  <si>
    <t>FF</t>
  </si>
  <si>
    <t>RGTI</t>
  </si>
  <si>
    <t>SEER</t>
  </si>
  <si>
    <t>CRNC</t>
  </si>
  <si>
    <t>NLCP</t>
  </si>
  <si>
    <t>CARM</t>
  </si>
  <si>
    <t>INTS</t>
  </si>
  <si>
    <t>ZOMDF</t>
  </si>
  <si>
    <t>KOSS</t>
  </si>
  <si>
    <t>GYRE</t>
  </si>
  <si>
    <t>RLMD</t>
  </si>
  <si>
    <t>AARD</t>
  </si>
  <si>
    <t>HLVX</t>
  </si>
  <si>
    <t>LRFC</t>
  </si>
  <si>
    <t>TASK</t>
  </si>
  <si>
    <t>ELP</t>
  </si>
  <si>
    <t>PBA</t>
  </si>
  <si>
    <t>AMPX</t>
  </si>
  <si>
    <t>LAW</t>
  </si>
  <si>
    <t>KRON</t>
  </si>
  <si>
    <t>FDUS</t>
  </si>
  <si>
    <t>FARM</t>
  </si>
  <si>
    <t>OXBR</t>
  </si>
  <si>
    <t>HGBL</t>
  </si>
  <si>
    <t>VTYX</t>
  </si>
  <si>
    <t>DNA</t>
  </si>
  <si>
    <t>GROW</t>
  </si>
  <si>
    <t>TPIC</t>
  </si>
  <si>
    <t>STHO</t>
  </si>
  <si>
    <t>BEAT</t>
  </si>
  <si>
    <t>CBUS</t>
  </si>
  <si>
    <t>QUBT</t>
  </si>
  <si>
    <t>PTMN</t>
  </si>
  <si>
    <t>TKNO</t>
  </si>
  <si>
    <t>WATT</t>
  </si>
  <si>
    <t>ATRA</t>
  </si>
  <si>
    <t>CREX</t>
  </si>
  <si>
    <t>INMB</t>
  </si>
  <si>
    <t>MRAI</t>
  </si>
  <si>
    <t>MSDL</t>
  </si>
  <si>
    <t>LIB</t>
  </si>
  <si>
    <t>LSTA</t>
  </si>
  <si>
    <t>DMAC</t>
  </si>
  <si>
    <t>PHUN</t>
  </si>
  <si>
    <t>WBTN</t>
  </si>
  <si>
    <t>AFRM</t>
  </si>
  <si>
    <t>STRT</t>
  </si>
  <si>
    <t>CODX</t>
  </si>
  <si>
    <t>CLSD</t>
  </si>
  <si>
    <t>RKT</t>
  </si>
  <si>
    <t>CRDF</t>
  </si>
  <si>
    <t>ESTA</t>
  </si>
  <si>
    <t>EVI</t>
  </si>
  <si>
    <t>CVRX</t>
  </si>
  <si>
    <t>XENE</t>
  </si>
  <si>
    <t>BRLT</t>
  </si>
  <si>
    <t>EVBN</t>
  </si>
  <si>
    <t>GSBD</t>
  </si>
  <si>
    <t>TRVI</t>
  </si>
  <si>
    <t>INAB</t>
  </si>
  <si>
    <t>TCX</t>
  </si>
  <si>
    <t>HFFG</t>
  </si>
  <si>
    <t>TSE</t>
  </si>
  <si>
    <t>SCM</t>
  </si>
  <si>
    <t>III</t>
  </si>
  <si>
    <t>ABCL</t>
  </si>
  <si>
    <t>PLBY</t>
  </si>
  <si>
    <t>VHI</t>
  </si>
  <si>
    <t>ELDN</t>
  </si>
  <si>
    <t>ALXO</t>
  </si>
  <si>
    <t>IPM</t>
  </si>
  <si>
    <t>QRHC</t>
  </si>
  <si>
    <t>VTVT</t>
  </si>
  <si>
    <t>SLF</t>
  </si>
  <si>
    <t>PBYI</t>
  </si>
  <si>
    <t>CTMX</t>
  </si>
  <si>
    <t>MVST</t>
  </si>
  <si>
    <t>SRG</t>
  </si>
  <si>
    <t>ALLK</t>
  </si>
  <si>
    <t>NEPH</t>
  </si>
  <si>
    <t>LIEN</t>
  </si>
  <si>
    <t>SNES</t>
  </si>
  <si>
    <t>BDSX</t>
  </si>
  <si>
    <t>ACOG</t>
  </si>
  <si>
    <t>TTAN</t>
  </si>
  <si>
    <t>NPKI</t>
  </si>
  <si>
    <t>GTIM</t>
  </si>
  <si>
    <t>CLSK</t>
  </si>
  <si>
    <t>REFR</t>
  </si>
  <si>
    <t>SKLZ</t>
  </si>
  <si>
    <t>AFYA</t>
  </si>
  <si>
    <t>VXRT</t>
  </si>
  <si>
    <t>LSAK</t>
  </si>
  <si>
    <t>LFT</t>
  </si>
  <si>
    <t>VINP</t>
  </si>
  <si>
    <t>SSP</t>
  </si>
  <si>
    <t>EMKR</t>
  </si>
  <si>
    <t>AC</t>
  </si>
  <si>
    <t>CLPR</t>
  </si>
  <si>
    <t>FLUX</t>
  </si>
  <si>
    <t>RXT</t>
  </si>
  <si>
    <t>SKIN</t>
  </si>
  <si>
    <t>VOR</t>
  </si>
  <si>
    <t>ELUT</t>
  </si>
  <si>
    <t>LTRN</t>
  </si>
  <si>
    <t>IRIX</t>
  </si>
  <si>
    <t>BW</t>
  </si>
  <si>
    <t>BDTX</t>
  </si>
  <si>
    <t>DTI</t>
  </si>
  <si>
    <t>RGLS</t>
  </si>
  <si>
    <t>HQI</t>
  </si>
  <si>
    <t>SILA</t>
  </si>
  <si>
    <t>NFE</t>
  </si>
  <si>
    <t>IFS</t>
  </si>
  <si>
    <t>GSIT</t>
  </si>
  <si>
    <t>UEIC</t>
  </si>
  <si>
    <t>MEIP</t>
  </si>
  <si>
    <t>MAIN</t>
  </si>
  <si>
    <t>FFAI</t>
  </si>
  <si>
    <t>SGMO</t>
  </si>
  <si>
    <t>SRTS</t>
  </si>
  <si>
    <t>QSI</t>
  </si>
  <si>
    <t>TELA</t>
  </si>
  <si>
    <t>JYNT</t>
  </si>
  <si>
    <t>WPM</t>
  </si>
  <si>
    <t>DDI</t>
  </si>
  <si>
    <t>NOTE</t>
  </si>
  <si>
    <t>QVCGB</t>
  </si>
  <si>
    <t>OPRT</t>
  </si>
  <si>
    <t>PAA</t>
  </si>
  <si>
    <t>NTTYY</t>
  </si>
  <si>
    <t>PAGP</t>
  </si>
  <si>
    <t>UHG</t>
  </si>
  <si>
    <t>CRESY</t>
  </si>
  <si>
    <t>HOWL</t>
  </si>
  <si>
    <t>VRN</t>
  </si>
  <si>
    <t>ICAGY</t>
  </si>
  <si>
    <t>MTSFY</t>
  </si>
  <si>
    <t>MGA</t>
  </si>
  <si>
    <t>KUBTY</t>
  </si>
  <si>
    <t>EDN</t>
  </si>
  <si>
    <t>AIRS</t>
  </si>
  <si>
    <t>HSON</t>
  </si>
  <si>
    <t>NYC</t>
  </si>
  <si>
    <t>EVEX</t>
  </si>
  <si>
    <t>CMTOY</t>
  </si>
  <si>
    <t>RCRUY</t>
  </si>
  <si>
    <t>UI</t>
  </si>
  <si>
    <t>FTCI</t>
  </si>
  <si>
    <t>RDY</t>
  </si>
  <si>
    <t>AQN</t>
  </si>
  <si>
    <t>USM</t>
  </si>
  <si>
    <t>NPSCY</t>
  </si>
  <si>
    <t>ORKLY</t>
  </si>
  <si>
    <t>SACH</t>
  </si>
  <si>
    <t>EDPFY</t>
  </si>
  <si>
    <t>ENB</t>
  </si>
  <si>
    <t>SELF</t>
  </si>
  <si>
    <t>on 5/9/25 After Market Eastern Standard Time</t>
  </si>
  <si>
    <t>BH</t>
  </si>
  <si>
    <t>ALTI</t>
  </si>
  <si>
    <t>SKYE</t>
  </si>
  <si>
    <t>CEPU</t>
  </si>
  <si>
    <t>REVB</t>
  </si>
  <si>
    <t>SHCO</t>
  </si>
  <si>
    <t>TBNK</t>
  </si>
  <si>
    <t>TBRG</t>
  </si>
  <si>
    <t>DNN</t>
  </si>
  <si>
    <t>GROY</t>
  </si>
  <si>
    <t>on 5/12/25 Before Market Eastern Standard Time</t>
  </si>
  <si>
    <t>SBS</t>
  </si>
  <si>
    <t>BLTE</t>
  </si>
  <si>
    <t>AGEN</t>
  </si>
  <si>
    <t>LPTX</t>
  </si>
  <si>
    <t>QTRHF</t>
  </si>
  <si>
    <t>IDR</t>
  </si>
  <si>
    <t>COCP</t>
  </si>
  <si>
    <t>IKNA</t>
  </si>
  <si>
    <t>CMCL</t>
  </si>
  <si>
    <t>CNTY</t>
  </si>
  <si>
    <t>PAVM</t>
  </si>
  <si>
    <t>HUYA</t>
  </si>
  <si>
    <t>RNAC</t>
  </si>
  <si>
    <t>DC</t>
  </si>
  <si>
    <t>MAG</t>
  </si>
  <si>
    <t>RMBL</t>
  </si>
  <si>
    <t>LUCD</t>
  </si>
  <si>
    <t>SMTI</t>
  </si>
  <si>
    <t>MIST</t>
  </si>
  <si>
    <t>INTT</t>
  </si>
  <si>
    <t>IX</t>
  </si>
  <si>
    <t>GORV</t>
  </si>
  <si>
    <t>SGA</t>
  </si>
  <si>
    <t>CLMT</t>
  </si>
  <si>
    <t>MPW</t>
  </si>
  <si>
    <t>BOLD</t>
  </si>
  <si>
    <t>ISPR</t>
  </si>
  <si>
    <t>ACTG</t>
  </si>
  <si>
    <t>BKV</t>
  </si>
  <si>
    <t>DTST</t>
  </si>
  <si>
    <t>AVTE</t>
  </si>
  <si>
    <t>HMC</t>
  </si>
  <si>
    <t>NSPR</t>
  </si>
  <si>
    <t>CNTA</t>
  </si>
  <si>
    <t>FTRE</t>
  </si>
  <si>
    <t>XGN</t>
  </si>
  <si>
    <t>TBN</t>
  </si>
  <si>
    <t>SZKMY</t>
  </si>
  <si>
    <t>STXS</t>
  </si>
  <si>
    <t>BRNS</t>
  </si>
  <si>
    <t>TME</t>
  </si>
  <si>
    <t>on 5/12/25 After Market Eastern Standard Time</t>
  </si>
  <si>
    <t>VIV</t>
  </si>
  <si>
    <t>FENG</t>
  </si>
  <si>
    <t>SHIM</t>
  </si>
  <si>
    <t>KINS</t>
  </si>
  <si>
    <t>PRSO</t>
  </si>
  <si>
    <t>SBR</t>
  </si>
  <si>
    <t>SAVEQ</t>
  </si>
  <si>
    <t>INO</t>
  </si>
  <si>
    <t>PNNT</t>
  </si>
  <si>
    <t>NWBO</t>
  </si>
  <si>
    <t>EXFY</t>
  </si>
  <si>
    <t>VERI</t>
  </si>
  <si>
    <t>INVE</t>
  </si>
  <si>
    <t>SURG</t>
  </si>
  <si>
    <t>PBR</t>
  </si>
  <si>
    <t>QUIK</t>
  </si>
  <si>
    <t>TLN</t>
  </si>
  <si>
    <t>BPT</t>
  </si>
  <si>
    <t>EXOD</t>
  </si>
  <si>
    <t>CHMI</t>
  </si>
  <si>
    <t>LOGC</t>
  </si>
  <si>
    <t>EMX</t>
  </si>
  <si>
    <t>VANI</t>
  </si>
  <si>
    <t>ESP</t>
  </si>
  <si>
    <t>HRGN</t>
  </si>
  <si>
    <t>DWSN</t>
  </si>
  <si>
    <t>PFLT</t>
  </si>
  <si>
    <t>GAN</t>
  </si>
  <si>
    <t>BZFD</t>
  </si>
  <si>
    <t>KLXE</t>
  </si>
  <si>
    <t>AP</t>
  </si>
  <si>
    <t>PAY</t>
  </si>
  <si>
    <t>MFIC</t>
  </si>
  <si>
    <t>CVGI</t>
  </si>
  <si>
    <t>BAER</t>
  </si>
  <si>
    <t>SENS</t>
  </si>
  <si>
    <t>SCOR</t>
  </si>
  <si>
    <t>HYPR</t>
  </si>
  <si>
    <t>LPSN</t>
  </si>
  <si>
    <t>SA</t>
  </si>
  <si>
    <t>BIOX</t>
  </si>
  <si>
    <t>QNCX</t>
  </si>
  <si>
    <t>VCSA</t>
  </si>
  <si>
    <t>SEG</t>
  </si>
  <si>
    <t>PAM</t>
  </si>
  <si>
    <t>EPM</t>
  </si>
  <si>
    <t>AAWH</t>
  </si>
  <si>
    <t>GHLD</t>
  </si>
  <si>
    <t>CVV</t>
  </si>
  <si>
    <t>NOTV</t>
  </si>
  <si>
    <t>GBIO</t>
  </si>
  <si>
    <t>GUTS</t>
  </si>
  <si>
    <t>MRMD</t>
  </si>
  <si>
    <t>ARKR</t>
  </si>
  <si>
    <t>MUX</t>
  </si>
  <si>
    <t>BTMD</t>
  </si>
  <si>
    <t>MDBH</t>
  </si>
  <si>
    <t>MAPS</t>
  </si>
  <si>
    <t>NXGL</t>
  </si>
  <si>
    <t>NTRA</t>
  </si>
  <si>
    <t>SLND</t>
  </si>
  <si>
    <t>GEOS</t>
  </si>
  <si>
    <t>AKYA</t>
  </si>
  <si>
    <t>MNR</t>
  </si>
  <si>
    <t>DARE</t>
  </si>
  <si>
    <t>on 5/13/25 Before Market Eastern Standard Time</t>
  </si>
  <si>
    <t>ALVR</t>
  </si>
  <si>
    <t>DTIL</t>
  </si>
  <si>
    <t>QXO</t>
  </si>
  <si>
    <t>NUWE</t>
  </si>
  <si>
    <t>MMYT</t>
  </si>
  <si>
    <t>IIJIY</t>
  </si>
  <si>
    <t>HYFM</t>
  </si>
  <si>
    <t>IPHA</t>
  </si>
  <si>
    <t>CYBR</t>
  </si>
  <si>
    <t>SOHO</t>
  </si>
  <si>
    <t>CHCI</t>
  </si>
  <si>
    <t>RUM</t>
  </si>
  <si>
    <t>EVTL</t>
  </si>
  <si>
    <t>NMM</t>
  </si>
  <si>
    <t>MTSR</t>
  </si>
  <si>
    <t>ITRM</t>
  </si>
  <si>
    <t>IHS</t>
  </si>
  <si>
    <t>ONON</t>
  </si>
  <si>
    <t>LOAR</t>
  </si>
  <si>
    <t>SEPN</t>
  </si>
  <si>
    <t>LEGN</t>
  </si>
  <si>
    <t>CCLD</t>
  </si>
  <si>
    <t>ACRV</t>
  </si>
  <si>
    <t>BABA</t>
  </si>
  <si>
    <t>BAYRY</t>
  </si>
  <si>
    <t>RAND</t>
  </si>
  <si>
    <t>STIM</t>
  </si>
  <si>
    <t>OGI</t>
  </si>
  <si>
    <t>KPLUY</t>
  </si>
  <si>
    <t>NYXH</t>
  </si>
  <si>
    <t>DCTH</t>
  </si>
  <si>
    <t>TOI</t>
  </si>
  <si>
    <t>BNAI</t>
  </si>
  <si>
    <t>OPTN</t>
  </si>
  <si>
    <t>KLRS</t>
  </si>
  <si>
    <t>KALA</t>
  </si>
  <si>
    <t>MAMO</t>
  </si>
  <si>
    <t>SFTBY</t>
  </si>
  <si>
    <t>BCAX</t>
  </si>
  <si>
    <t>VIGL</t>
  </si>
  <si>
    <t>INKT</t>
  </si>
  <si>
    <t>LEAT</t>
  </si>
  <si>
    <t>DDL</t>
  </si>
  <si>
    <t>LAC</t>
  </si>
  <si>
    <t>ACCS</t>
  </si>
  <si>
    <t>AVAL</t>
  </si>
  <si>
    <t>SDHC</t>
  </si>
  <si>
    <t>PMN</t>
  </si>
  <si>
    <t>FENC</t>
  </si>
  <si>
    <t>SE</t>
  </si>
  <si>
    <t>AAME</t>
  </si>
  <si>
    <t>on 5/13/25 During Market Eastern Standard Time</t>
  </si>
  <si>
    <t>on 5/13/25 After Market Eastern Standard Time</t>
  </si>
  <si>
    <t>VINC</t>
  </si>
  <si>
    <t>ATER</t>
  </si>
  <si>
    <t>TNYA</t>
  </si>
  <si>
    <t>DYAI</t>
  </si>
  <si>
    <t>ELMD</t>
  </si>
  <si>
    <t>RVYL</t>
  </si>
  <si>
    <t>ACET</t>
  </si>
  <si>
    <t>VRCA</t>
  </si>
  <si>
    <t>DFLI</t>
  </si>
  <si>
    <t>SSTI</t>
  </si>
  <si>
    <t>ARTV</t>
  </si>
  <si>
    <t>ULY</t>
  </si>
  <si>
    <t>ORGN</t>
  </si>
  <si>
    <t>TISI</t>
  </si>
  <si>
    <t>REED</t>
  </si>
  <si>
    <t>MGX</t>
  </si>
  <si>
    <t>LGVN</t>
  </si>
  <si>
    <t>ICCC</t>
  </si>
  <si>
    <t>DRRX</t>
  </si>
  <si>
    <t>EC</t>
  </si>
  <si>
    <t>MCHX</t>
  </si>
  <si>
    <t>EOSE</t>
  </si>
  <si>
    <t>TNON</t>
  </si>
  <si>
    <t>VTSI</t>
  </si>
  <si>
    <t>NU</t>
  </si>
  <si>
    <t>VVOS</t>
  </si>
  <si>
    <t>ISSC</t>
  </si>
  <si>
    <t>BBNX</t>
  </si>
  <si>
    <t>CBLL</t>
  </si>
  <si>
    <t>DLO</t>
  </si>
  <si>
    <t>ANTX</t>
  </si>
  <si>
    <t>GENK</t>
  </si>
  <si>
    <t>TLPH</t>
  </si>
  <si>
    <t>RVPH</t>
  </si>
  <si>
    <t>TOVX</t>
  </si>
  <si>
    <t>XPON</t>
  </si>
  <si>
    <t>CTXR</t>
  </si>
  <si>
    <t>MOBX</t>
  </si>
  <si>
    <t>IDN</t>
  </si>
  <si>
    <t>WALD</t>
  </si>
  <si>
    <t>SDST</t>
  </si>
  <si>
    <t>TYGO</t>
  </si>
  <si>
    <t>DERM</t>
  </si>
  <si>
    <t>CRVS</t>
  </si>
  <si>
    <t>ICMB</t>
  </si>
  <si>
    <t>TNXP</t>
  </si>
  <si>
    <t>LAR</t>
  </si>
  <si>
    <t>SANW</t>
  </si>
  <si>
    <t>on 5/14/25 Before Market Eastern Standard Time</t>
  </si>
  <si>
    <t>KPLT</t>
  </si>
  <si>
    <t>AZUL</t>
  </si>
  <si>
    <t>on 5/14/25 Unspecified Eastern Standard Time</t>
  </si>
  <si>
    <t>NEON</t>
  </si>
  <si>
    <t>WPRT</t>
  </si>
  <si>
    <t>NVGS</t>
  </si>
  <si>
    <t>BWEN</t>
  </si>
  <si>
    <t>NSANY</t>
  </si>
  <si>
    <t>GIGI</t>
  </si>
  <si>
    <t>EONGY</t>
  </si>
  <si>
    <t>JAGX</t>
  </si>
  <si>
    <t>MHGVY</t>
  </si>
  <si>
    <t>RSKD</t>
  </si>
  <si>
    <t>SMFG</t>
  </si>
  <si>
    <t>CDRO</t>
  </si>
  <si>
    <t>ALSMY</t>
  </si>
  <si>
    <t>SOWG</t>
  </si>
  <si>
    <t>BTM</t>
  </si>
  <si>
    <t>APTO</t>
  </si>
  <si>
    <t>PVLA</t>
  </si>
  <si>
    <t>SRAD</t>
  </si>
  <si>
    <t>AAVMY</t>
  </si>
  <si>
    <t>GXYYY</t>
  </si>
  <si>
    <t>PUTRY</t>
  </si>
  <si>
    <t>BURBY</t>
  </si>
  <si>
    <t>TEF</t>
  </si>
  <si>
    <t>SBC</t>
  </si>
  <si>
    <t>IPWR</t>
  </si>
  <si>
    <t>CLRB</t>
  </si>
  <si>
    <t>TRUMY</t>
  </si>
  <si>
    <t>MYTE</t>
  </si>
  <si>
    <t>ARCO</t>
  </si>
  <si>
    <t>CAAS</t>
  </si>
  <si>
    <t>TCEHY</t>
  </si>
  <si>
    <t>MULN</t>
  </si>
  <si>
    <t>LTRPA</t>
  </si>
  <si>
    <t>BIAF</t>
  </si>
  <si>
    <t>BFRI</t>
  </si>
  <si>
    <t>CMCT</t>
  </si>
  <si>
    <t>BCLI</t>
  </si>
  <si>
    <t>MNDY</t>
  </si>
  <si>
    <t>LTRPB</t>
  </si>
  <si>
    <t>VERU</t>
  </si>
  <si>
    <t>PEPG</t>
  </si>
  <si>
    <t>EDBL</t>
  </si>
  <si>
    <t>SYPR</t>
  </si>
  <si>
    <t>PASG</t>
  </si>
  <si>
    <t>AIPUY</t>
  </si>
  <si>
    <t>RDCM</t>
  </si>
  <si>
    <t>ZLAB</t>
  </si>
  <si>
    <t>ALUR</t>
  </si>
  <si>
    <t>SMCAY</t>
  </si>
  <si>
    <t>RMTI</t>
  </si>
  <si>
    <t>SNWV</t>
  </si>
  <si>
    <t>SHIP</t>
  </si>
  <si>
    <t>WRD</t>
  </si>
  <si>
    <t>CMBT</t>
  </si>
  <si>
    <t>CSTE</t>
  </si>
  <si>
    <t>SONY</t>
  </si>
  <si>
    <t>CSAN</t>
  </si>
  <si>
    <t>HBM</t>
  </si>
  <si>
    <t>KDDIY</t>
  </si>
  <si>
    <t>STRS</t>
  </si>
  <si>
    <t>WWR</t>
  </si>
  <si>
    <t>FTLF</t>
  </si>
  <si>
    <t>NMTC</t>
  </si>
  <si>
    <t>NRXP</t>
  </si>
  <si>
    <t>UBSFY</t>
  </si>
  <si>
    <t>on 5/14/25 During Market Eastern Standard Time</t>
  </si>
  <si>
    <t>SNFCA</t>
  </si>
  <si>
    <t>SKYH</t>
  </si>
  <si>
    <t>on 5/14/25 After Market Eastern Standard Time</t>
  </si>
  <si>
    <t>LIDR</t>
  </si>
  <si>
    <t>GNSS</t>
  </si>
  <si>
    <t>RAIL</t>
  </si>
  <si>
    <t>SKYX</t>
  </si>
  <si>
    <t>GAU</t>
  </si>
  <si>
    <t>OTCM</t>
  </si>
  <si>
    <t>BLIN</t>
  </si>
  <si>
    <t>SPRU</t>
  </si>
  <si>
    <t>AUID</t>
  </si>
  <si>
    <t>SMSI</t>
  </si>
  <si>
    <t>SLDB</t>
  </si>
  <si>
    <t>SCWO</t>
  </si>
  <si>
    <t>IREN</t>
  </si>
  <si>
    <t>NPCE</t>
  </si>
  <si>
    <t>DADA</t>
  </si>
  <si>
    <t>GLASF</t>
  </si>
  <si>
    <t>CNFR</t>
  </si>
  <si>
    <t>GSM</t>
  </si>
  <si>
    <t>SNAL</t>
  </si>
  <si>
    <t>BPTH</t>
  </si>
  <si>
    <t>FINV</t>
  </si>
  <si>
    <t>ZTO</t>
  </si>
  <si>
    <t>GCTS</t>
  </si>
  <si>
    <t>NNE</t>
  </si>
  <si>
    <t>CDTX</t>
  </si>
  <si>
    <t>AQMS</t>
  </si>
  <si>
    <t>LTBR</t>
  </si>
  <si>
    <t>PED</t>
  </si>
  <si>
    <t>XOS</t>
  </si>
  <si>
    <t>NMG</t>
  </si>
  <si>
    <t>SPRO</t>
  </si>
  <si>
    <t>GOVX</t>
  </si>
  <si>
    <t>LVLU</t>
  </si>
  <si>
    <t>VOXX</t>
  </si>
  <si>
    <t>PSTV</t>
  </si>
  <si>
    <t>SRFM</t>
  </si>
  <si>
    <t>GROV</t>
  </si>
  <si>
    <t>EARN</t>
  </si>
  <si>
    <t>MDXH</t>
  </si>
  <si>
    <t>USIO</t>
  </si>
  <si>
    <t>SUUN</t>
  </si>
  <si>
    <t>OMQS</t>
  </si>
  <si>
    <t>SXTP</t>
  </si>
  <si>
    <t>on 5/15/25 Unspecified Eastern Standard Time</t>
  </si>
  <si>
    <t>VEON</t>
  </si>
  <si>
    <t>on 5/15/25 Before Market Eastern Standard Time</t>
  </si>
  <si>
    <t>ALIZY</t>
  </si>
  <si>
    <t>TOON</t>
  </si>
  <si>
    <t>LPTH</t>
  </si>
  <si>
    <t>ULS</t>
  </si>
  <si>
    <t>WKHS</t>
  </si>
  <si>
    <t>CMRX</t>
  </si>
  <si>
    <t>XNET</t>
  </si>
  <si>
    <t>JPPHY</t>
  </si>
  <si>
    <t>PTN</t>
  </si>
  <si>
    <t>TLSI</t>
  </si>
  <si>
    <t>GALT</t>
  </si>
  <si>
    <t>EQ</t>
  </si>
  <si>
    <t>ONDS</t>
  </si>
  <si>
    <t>JD</t>
  </si>
  <si>
    <t>BIDU</t>
  </si>
  <si>
    <t>IMPP</t>
  </si>
  <si>
    <t>VEEE</t>
  </si>
  <si>
    <t>EDAP</t>
  </si>
  <si>
    <t>CABA</t>
  </si>
  <si>
    <t>BN</t>
  </si>
  <si>
    <t>MRX</t>
  </si>
  <si>
    <t>FLOC</t>
  </si>
  <si>
    <t>TIC</t>
  </si>
  <si>
    <t>PHGE</t>
  </si>
  <si>
    <t>DTEGY</t>
  </si>
  <si>
    <t>NGG</t>
  </si>
  <si>
    <t>MITQ</t>
  </si>
  <si>
    <t>HTHT</t>
  </si>
  <si>
    <t>MFG</t>
  </si>
  <si>
    <t>DDS</t>
  </si>
  <si>
    <t>CVM</t>
  </si>
  <si>
    <t>MGIC</t>
  </si>
  <si>
    <t>BRDCY</t>
  </si>
  <si>
    <t>IQ</t>
  </si>
  <si>
    <t>GOOS</t>
  </si>
  <si>
    <t>GSL</t>
  </si>
  <si>
    <t>AFCG</t>
  </si>
  <si>
    <t>VLOWY</t>
  </si>
  <si>
    <t>BRFS</t>
  </si>
  <si>
    <t>LIVE</t>
  </si>
  <si>
    <t>VERO</t>
  </si>
  <si>
    <t>BTOC</t>
  </si>
  <si>
    <t>CDZI</t>
  </si>
  <si>
    <t>ENGIY</t>
  </si>
  <si>
    <t>KBCSY</t>
  </si>
  <si>
    <t>ZONE</t>
  </si>
  <si>
    <t>XXII</t>
  </si>
  <si>
    <t>SIEB</t>
  </si>
  <si>
    <t>AAPG</t>
  </si>
  <si>
    <t>SLE</t>
  </si>
  <si>
    <t>OPRX</t>
  </si>
  <si>
    <t>LFWD</t>
  </si>
  <si>
    <t>QBTS</t>
  </si>
  <si>
    <t>AUTL</t>
  </si>
  <si>
    <t>IMUX</t>
  </si>
  <si>
    <t>UUGRY</t>
  </si>
  <si>
    <t>BAP</t>
  </si>
  <si>
    <t>NICE</t>
  </si>
  <si>
    <t>OTLK</t>
  </si>
  <si>
    <t>ABEO</t>
  </si>
  <si>
    <t>GOLLQ</t>
  </si>
  <si>
    <t>ATAI</t>
  </si>
  <si>
    <t>ACXP</t>
  </si>
  <si>
    <t>WRAP</t>
  </si>
  <si>
    <t>VRAR</t>
  </si>
  <si>
    <t>SIEGY</t>
  </si>
  <si>
    <t>GGR</t>
  </si>
  <si>
    <t>TRAW</t>
  </si>
  <si>
    <t>MUFG</t>
  </si>
  <si>
    <t>FONR</t>
  </si>
  <si>
    <t>WKSP</t>
  </si>
  <si>
    <t>NTWK</t>
  </si>
  <si>
    <t>AIRI</t>
  </si>
  <si>
    <t>NURO</t>
  </si>
  <si>
    <t>on 5/15/25 During Market Eastern Standard Time</t>
  </si>
  <si>
    <t>TCRT</t>
  </si>
  <si>
    <t>HLGN</t>
  </si>
  <si>
    <t>on 5/15/25 After Market Eastern Standard Time</t>
  </si>
  <si>
    <t>IPSC</t>
  </si>
  <si>
    <t>ABL</t>
  </si>
  <si>
    <t>CLIR</t>
  </si>
  <si>
    <t>SND</t>
  </si>
  <si>
    <t>TPST</t>
  </si>
  <si>
    <t>AWH</t>
  </si>
  <si>
    <t>KDLY</t>
  </si>
  <si>
    <t>LICYF</t>
  </si>
  <si>
    <t>CUE</t>
  </si>
  <si>
    <t>EP</t>
  </si>
  <si>
    <t>AENT</t>
  </si>
  <si>
    <t>PVL</t>
  </si>
  <si>
    <t>APDN</t>
  </si>
  <si>
    <t>KNWND</t>
  </si>
  <si>
    <t>KOD</t>
  </si>
  <si>
    <t>IAG</t>
  </si>
  <si>
    <t>BEEP</t>
  </si>
  <si>
    <t>YXT</t>
  </si>
  <si>
    <t>SSKN</t>
  </si>
  <si>
    <t>POCI</t>
  </si>
  <si>
    <t>JOB</t>
  </si>
  <si>
    <t>SIDU</t>
  </si>
  <si>
    <t>GTEC</t>
  </si>
  <si>
    <t>ALMS</t>
  </si>
  <si>
    <t>AONC</t>
  </si>
  <si>
    <t>AGRO</t>
  </si>
  <si>
    <t>GIPR</t>
  </si>
  <si>
    <t>VNRX</t>
  </si>
  <si>
    <t>DXC</t>
  </si>
  <si>
    <t>ABAT</t>
  </si>
  <si>
    <t>SCPH</t>
  </si>
  <si>
    <t>CARA</t>
  </si>
  <si>
    <t>FBIO</t>
  </si>
  <si>
    <t>SMXT</t>
  </si>
  <si>
    <t>VHC</t>
  </si>
  <si>
    <t>NAII</t>
  </si>
  <si>
    <t>IZEA</t>
  </si>
  <si>
    <t>FBLG</t>
  </si>
  <si>
    <t>LFLY</t>
  </si>
  <si>
    <t>GLXZ</t>
  </si>
  <si>
    <t>RSSS</t>
  </si>
  <si>
    <t>LQMT</t>
  </si>
  <si>
    <t>REKR</t>
  </si>
  <si>
    <t>FVR</t>
  </si>
  <si>
    <t>KNW</t>
  </si>
  <si>
    <t>YCBD</t>
  </si>
  <si>
    <t>ICG</t>
  </si>
  <si>
    <t>BIVI</t>
  </si>
  <si>
    <t>TMC</t>
  </si>
  <si>
    <t>CWD</t>
  </si>
  <si>
    <t>VUZI</t>
  </si>
  <si>
    <t>TSSI</t>
  </si>
  <si>
    <t>GRDN</t>
  </si>
  <si>
    <t>FLGC</t>
  </si>
  <si>
    <t>FEAM</t>
  </si>
  <si>
    <t>KNWN</t>
  </si>
  <si>
    <t>SOAR</t>
  </si>
  <si>
    <t>PSQH</t>
  </si>
  <si>
    <t>HOFV</t>
  </si>
  <si>
    <t>DUOT</t>
  </si>
  <si>
    <t>XTNT</t>
  </si>
  <si>
    <t>OKLO</t>
  </si>
  <si>
    <t>ANRO</t>
  </si>
  <si>
    <t>IKT</t>
  </si>
  <si>
    <t>IOBT</t>
  </si>
  <si>
    <t>SCLX</t>
  </si>
  <si>
    <t>KULR</t>
  </si>
  <si>
    <t>MRRTY</t>
  </si>
  <si>
    <t>LGMK</t>
  </si>
  <si>
    <t>KARO</t>
  </si>
  <si>
    <t>CTNM</t>
  </si>
  <si>
    <t>LCTX</t>
  </si>
  <si>
    <t>ATIP</t>
  </si>
  <si>
    <t>IPW</t>
  </si>
  <si>
    <t>LGCY</t>
  </si>
  <si>
    <t>PGEN</t>
  </si>
  <si>
    <t>CLYM</t>
  </si>
  <si>
    <t>BKKT</t>
  </si>
  <si>
    <t>TWFG</t>
  </si>
  <si>
    <t>SUPV</t>
  </si>
  <si>
    <t>ATNM</t>
  </si>
  <si>
    <t>ZSPC</t>
  </si>
  <si>
    <t>OSTX</t>
  </si>
  <si>
    <t>FSI</t>
  </si>
  <si>
    <t>CAN</t>
  </si>
  <si>
    <t>on 5/16/25 Before Market Eastern Standard Time</t>
  </si>
  <si>
    <t>CFRUY</t>
  </si>
  <si>
    <t>SSREY</t>
  </si>
  <si>
    <t>QFIN</t>
  </si>
  <si>
    <t>RLX</t>
  </si>
  <si>
    <t>NIU</t>
  </si>
  <si>
    <t>VDMCY</t>
  </si>
  <si>
    <t>on 5/19/25 Unspecified Eastern Standard Time</t>
  </si>
  <si>
    <t>CRGO</t>
  </si>
  <si>
    <t>WIX</t>
  </si>
  <si>
    <t>RYAAY</t>
  </si>
  <si>
    <t>CGEN</t>
  </si>
  <si>
    <t>SOHU</t>
  </si>
  <si>
    <t>on 5/19/25 After Market Eastern Standard Time</t>
  </si>
  <si>
    <t>ZEPP</t>
  </si>
  <si>
    <t>YALA</t>
  </si>
  <si>
    <t>TCOM</t>
  </si>
  <si>
    <t>JHX</t>
  </si>
  <si>
    <t>XPEV</t>
  </si>
  <si>
    <t>on 5/20/25 Before Market Eastern Standard Time</t>
  </si>
  <si>
    <t>BZ</t>
  </si>
  <si>
    <t>YMM</t>
  </si>
  <si>
    <t>OCFT</t>
  </si>
  <si>
    <t>FUFU</t>
  </si>
  <si>
    <t>ELTK</t>
  </si>
  <si>
    <t>TUYA</t>
  </si>
  <si>
    <t>LI</t>
  </si>
  <si>
    <t>RERE</t>
  </si>
  <si>
    <t>VOD</t>
  </si>
  <si>
    <t>on 5/20/25 Unspecified Eastern Standard Time</t>
  </si>
  <si>
    <t>ZKH</t>
  </si>
  <si>
    <t>HLTOY</t>
  </si>
  <si>
    <t>AS</t>
  </si>
  <si>
    <t>GOTU</t>
  </si>
  <si>
    <t>LVTX</t>
  </si>
  <si>
    <t>ARQQ</t>
  </si>
  <si>
    <t>TKOMY</t>
  </si>
  <si>
    <t>GAUZ</t>
  </si>
  <si>
    <t>CSWC</t>
  </si>
  <si>
    <t>PXS</t>
  </si>
  <si>
    <t>XP</t>
  </si>
  <si>
    <t>DRTS</t>
  </si>
  <si>
    <t>KC</t>
  </si>
  <si>
    <t>CLCO</t>
  </si>
  <si>
    <t>GDS</t>
  </si>
  <si>
    <t>CAAP</t>
  </si>
  <si>
    <t>VFC</t>
  </si>
  <si>
    <t>VIPS</t>
  </si>
  <si>
    <t>YSG</t>
  </si>
  <si>
    <t>NESR</t>
  </si>
  <si>
    <t>EDRY</t>
  </si>
  <si>
    <t>ARBE</t>
  </si>
  <si>
    <t>on 5/21/25 After Market Eastern Standard Time</t>
  </si>
  <si>
    <t>GPRK</t>
  </si>
  <si>
    <t>API</t>
  </si>
  <si>
    <t>AUNA</t>
  </si>
  <si>
    <t>SNOW</t>
  </si>
  <si>
    <t>BBAR</t>
  </si>
  <si>
    <t>KNOP</t>
  </si>
  <si>
    <t>TATT</t>
  </si>
  <si>
    <t>BMA</t>
  </si>
  <si>
    <t>on 5/22/25 Before Market Eastern Standard Time</t>
  </si>
  <si>
    <t>BTLCY</t>
  </si>
  <si>
    <t>on 5/22/25 Unspecified Eastern Standard Time</t>
  </si>
  <si>
    <t>FORTY</t>
  </si>
  <si>
    <t>ATAT</t>
  </si>
  <si>
    <t>ESEA</t>
  </si>
  <si>
    <t>BRC</t>
  </si>
  <si>
    <t>JMPLY</t>
  </si>
  <si>
    <t>NTES</t>
  </si>
  <si>
    <t>TD</t>
  </si>
  <si>
    <t>DAVA</t>
  </si>
  <si>
    <t>CLBT</t>
  </si>
  <si>
    <t>DAO</t>
  </si>
  <si>
    <t>XIACY</t>
  </si>
  <si>
    <t>EVGN</t>
  </si>
  <si>
    <t>WB</t>
  </si>
  <si>
    <t>GASS</t>
  </si>
  <si>
    <t>USEA</t>
  </si>
  <si>
    <t>YI</t>
  </si>
  <si>
    <t>CATO</t>
  </si>
  <si>
    <t>SOTK</t>
  </si>
  <si>
    <t>GGAL</t>
  </si>
  <si>
    <t>BEKE</t>
  </si>
  <si>
    <t>RMCF</t>
  </si>
  <si>
    <t>on 5/22/25 After Market Eastern Standard Time</t>
  </si>
  <si>
    <t>LX</t>
  </si>
  <si>
    <t>SOL</t>
  </si>
  <si>
    <t>ME</t>
  </si>
  <si>
    <t>LGF/B</t>
  </si>
  <si>
    <t>GLOB</t>
  </si>
  <si>
    <t>MEHCQ</t>
  </si>
  <si>
    <t>LGF/A</t>
  </si>
  <si>
    <t>SBLK</t>
  </si>
  <si>
    <t>BNS</t>
  </si>
  <si>
    <t>on 5/27/25 Before Market Eastern Standard Time</t>
  </si>
  <si>
    <t>STG</t>
  </si>
  <si>
    <t>ESLT</t>
  </si>
  <si>
    <t>ZIM</t>
  </si>
  <si>
    <t>DELKY</t>
  </si>
  <si>
    <t>on 5/27/25 Unspecified Eastern Standard Time</t>
  </si>
  <si>
    <t>EH</t>
  </si>
  <si>
    <t>FUTU</t>
  </si>
  <si>
    <t>on 5/27/25 After Market Eastern Standard Time</t>
  </si>
  <si>
    <t>SQM</t>
  </si>
  <si>
    <t>JOYY</t>
  </si>
  <si>
    <t>YY</t>
  </si>
  <si>
    <t>on 5/28/25 Before Market Eastern Standard Time</t>
  </si>
  <si>
    <t>ALLT</t>
  </si>
  <si>
    <t>BMO</t>
  </si>
  <si>
    <t>CLGN</t>
  </si>
  <si>
    <t>CCG</t>
  </si>
  <si>
    <t>ITRN</t>
  </si>
  <si>
    <t>MOMO</t>
  </si>
  <si>
    <t>BZUN</t>
  </si>
  <si>
    <t>VNET</t>
  </si>
  <si>
    <t>BNR</t>
  </si>
  <si>
    <t>SSYS</t>
  </si>
  <si>
    <t>BLRX</t>
  </si>
  <si>
    <t>AAP</t>
  </si>
  <si>
    <t>MLYBY</t>
  </si>
  <si>
    <t>ICCM</t>
  </si>
  <si>
    <t>DSX</t>
  </si>
  <si>
    <t>SY</t>
  </si>
  <si>
    <t>RSVR</t>
  </si>
  <si>
    <t>on 5/28/25 After Market Eastern Standard Time</t>
  </si>
  <si>
    <t>FNGR</t>
  </si>
  <si>
    <t>PETS</t>
  </si>
  <si>
    <t>UHAL</t>
  </si>
  <si>
    <t>BHST</t>
  </si>
  <si>
    <t>UHALB</t>
  </si>
  <si>
    <t>APPS</t>
  </si>
  <si>
    <t>GDEV</t>
  </si>
  <si>
    <t>DSGX</t>
  </si>
  <si>
    <t>BIRK</t>
  </si>
  <si>
    <t>on 5/29/25 Before Market Eastern Standard Time</t>
  </si>
  <si>
    <t>GLBE</t>
  </si>
  <si>
    <t>YTRA</t>
  </si>
  <si>
    <t>CGC</t>
  </si>
  <si>
    <t>KSS</t>
  </si>
  <si>
    <t>BILI</t>
  </si>
  <si>
    <t>VIK</t>
  </si>
  <si>
    <t>DIDIY</t>
  </si>
  <si>
    <t>on 5/29/25 Unspecified Eastern Standard Time</t>
  </si>
  <si>
    <t>PODC</t>
  </si>
  <si>
    <t>RY</t>
  </si>
  <si>
    <t>CM</t>
  </si>
  <si>
    <t>DXLG</t>
  </si>
  <si>
    <t>BOSC</t>
  </si>
  <si>
    <t>HEI/A</t>
  </si>
  <si>
    <t>on 5/29/25 After Market Eastern Standard Time</t>
  </si>
  <si>
    <t>LOOP</t>
  </si>
  <si>
    <t>NOAH</t>
  </si>
  <si>
    <t>CAE</t>
  </si>
  <si>
    <t>HSAI</t>
  </si>
  <si>
    <t>HEI</t>
  </si>
  <si>
    <t>BAH</t>
  </si>
  <si>
    <t>on 5/30/25 Before Market Eastern Standard Time</t>
  </si>
  <si>
    <t>HAO</t>
  </si>
  <si>
    <t>FRHC</t>
  </si>
  <si>
    <t>FRO</t>
  </si>
  <si>
    <t>RRGB</t>
  </si>
  <si>
    <t>POET</t>
  </si>
  <si>
    <t>CAVA</t>
  </si>
  <si>
    <t>MNSO</t>
  </si>
  <si>
    <t>KLC</t>
  </si>
  <si>
    <t>BBWI</t>
  </si>
  <si>
    <t>CTRN</t>
  </si>
  <si>
    <t>FERG</t>
  </si>
  <si>
    <t>BF/A</t>
  </si>
  <si>
    <t>BF/B</t>
  </si>
  <si>
    <t>WDH</t>
  </si>
  <si>
    <t>GB</t>
  </si>
  <si>
    <t>VBNK</t>
  </si>
  <si>
    <t>MDWD</t>
  </si>
  <si>
    <t>TOUR</t>
  </si>
  <si>
    <t>GEF/B</t>
  </si>
  <si>
    <t>ANIX</t>
  </si>
  <si>
    <t>OMCC</t>
  </si>
  <si>
    <t>CURV</t>
  </si>
  <si>
    <t>OESX</t>
  </si>
  <si>
    <t>on 6/5/25 Before Market Eastern Standard Time</t>
  </si>
  <si>
    <t>LVO</t>
  </si>
  <si>
    <t>HDL</t>
  </si>
  <si>
    <t>JFIN</t>
  </si>
  <si>
    <t>TIGR</t>
  </si>
  <si>
    <t>PYYX</t>
  </si>
  <si>
    <t>DOYU</t>
  </si>
  <si>
    <t>NIO</t>
  </si>
  <si>
    <t>DLTH</t>
  </si>
  <si>
    <t>PONY</t>
  </si>
  <si>
    <t>IOT</t>
  </si>
  <si>
    <t>on 6/5/25 After Market Eastern Standard Time</t>
  </si>
  <si>
    <t>GWRE</t>
  </si>
  <si>
    <t>CANG</t>
  </si>
  <si>
    <t>NGL</t>
  </si>
  <si>
    <t>BBCP</t>
  </si>
  <si>
    <t>RNW</t>
  </si>
  <si>
    <t>TLYS</t>
  </si>
  <si>
    <t>HURC</t>
  </si>
  <si>
    <t>JILL</t>
  </si>
  <si>
    <t>OCC</t>
  </si>
  <si>
    <t>FCEL</t>
  </si>
  <si>
    <t>TTAM</t>
  </si>
  <si>
    <t>on 6/9/25 After Market Eastern Standard Time</t>
  </si>
  <si>
    <t>CMTL</t>
  </si>
  <si>
    <t>RBRK</t>
  </si>
  <si>
    <t>ZDGE</t>
  </si>
  <si>
    <t>VTGN</t>
  </si>
  <si>
    <t>VRA</t>
  </si>
  <si>
    <t>ZH</t>
  </si>
  <si>
    <t>MPAA</t>
  </si>
  <si>
    <t>ZK</t>
  </si>
  <si>
    <t>CODA</t>
  </si>
  <si>
    <t>on 6/11/25 After Market Eastern Standard Time</t>
  </si>
  <si>
    <t>on 6/12/25 Before Market Eastern Standard Time</t>
  </si>
  <si>
    <t>CNCK</t>
  </si>
  <si>
    <t>on 6/12/25 After Market Eastern Standard Time</t>
  </si>
  <si>
    <t>RFL</t>
  </si>
  <si>
    <t>ENZ</t>
  </si>
  <si>
    <t>4-Apr</t>
  </si>
  <si>
    <t>7-Apr</t>
  </si>
  <si>
    <t>18-Apr</t>
  </si>
  <si>
    <t>19-Apr</t>
  </si>
  <si>
    <t>3-May</t>
  </si>
  <si>
    <t>5-May</t>
  </si>
  <si>
    <t>6-May</t>
  </si>
  <si>
    <t>7-May</t>
  </si>
  <si>
    <t>8-May</t>
  </si>
  <si>
    <t>9-May</t>
  </si>
  <si>
    <t>12-May</t>
  </si>
  <si>
    <t>13-May</t>
  </si>
  <si>
    <t>14-May</t>
  </si>
  <si>
    <t>15-May</t>
  </si>
  <si>
    <t>16-May</t>
  </si>
  <si>
    <t>19-May</t>
  </si>
  <si>
    <t>20-May</t>
  </si>
  <si>
    <t>21-May</t>
  </si>
  <si>
    <t>22-May</t>
  </si>
  <si>
    <t>23-May</t>
  </si>
  <si>
    <t>26-May</t>
  </si>
  <si>
    <t>27-May</t>
  </si>
  <si>
    <t>28-May</t>
  </si>
  <si>
    <t>29-May</t>
  </si>
  <si>
    <t>30-May</t>
  </si>
  <si>
    <t>2-Jun</t>
  </si>
  <si>
    <t>3-Jun</t>
  </si>
  <si>
    <t>4-Jun</t>
  </si>
  <si>
    <t>5-Jun</t>
  </si>
  <si>
    <t>6-Jun</t>
  </si>
  <si>
    <t>9-Jun</t>
  </si>
  <si>
    <t>10-Jun</t>
  </si>
  <si>
    <t>11-Jun</t>
  </si>
  <si>
    <t>12-Jun</t>
  </si>
  <si>
    <t>Short</t>
  </si>
  <si>
    <t>Trend</t>
  </si>
  <si>
    <t>Long</t>
  </si>
  <si>
    <t>No</t>
  </si>
  <si>
    <t>Yes</t>
  </si>
  <si>
    <r>
      <t xml:space="preserve">Exit Using </t>
    </r>
    <r>
      <rPr>
        <u/>
        <sz val="8"/>
        <rFont val="Aptos Narrow"/>
        <family val="2"/>
        <scheme val="minor"/>
      </rPr>
      <t>MOC</t>
    </r>
  </si>
  <si>
    <t>Skip</t>
  </si>
  <si>
    <r>
      <t xml:space="preserve">Actual P&amp;L
</t>
    </r>
    <r>
      <rPr>
        <sz val="8"/>
        <color theme="1"/>
        <rFont val="Aptos Narrow"/>
        <family val="2"/>
        <scheme val="minor"/>
      </rPr>
      <t>following strategy</t>
    </r>
  </si>
  <si>
    <r>
      <t xml:space="preserve">Actual P&amp;L
</t>
    </r>
    <r>
      <rPr>
        <sz val="8"/>
        <color theme="1"/>
        <rFont val="Aptos Narrow"/>
        <family val="2"/>
        <scheme val="minor"/>
      </rPr>
      <t>Overriding strategy</t>
    </r>
  </si>
  <si>
    <t>% of Tot  &gt;</t>
  </si>
  <si>
    <t>Sector  &gt;</t>
  </si>
  <si>
    <t>Strategy P/L</t>
  </si>
  <si>
    <t>Don't need to delete but doesn't do much after hours to minimal imapct either way</t>
  </si>
  <si>
    <t>Other</t>
  </si>
  <si>
    <t>Skips P&amp;L</t>
  </si>
  <si>
    <t>Health care with odd gaps frequently, not sure I want to trade Health Care stocks anyway.</t>
  </si>
  <si>
    <t>Bank with terrible fill at the open, lost an R on slippage so it actually was a 2R loss.</t>
  </si>
  <si>
    <t>on 4/9/25 Before Market Eastern Stand</t>
  </si>
  <si>
    <t>on 4/9/25 After Market Eastern Standa</t>
  </si>
  <si>
    <t>on 4/11/25 Before Market Eastern Stan</t>
  </si>
  <si>
    <t>on 4/14/25 Before Market Eastern Stan</t>
  </si>
  <si>
    <t>on 4/15/25 Before Market Eastern Stan</t>
  </si>
  <si>
    <t>on 4/15/25 After Market Eastern Stand</t>
  </si>
  <si>
    <t>on 4/16/25 Before Market Eastern Stan</t>
  </si>
  <si>
    <t>on 4/16/25 After Market Eastern Stand</t>
  </si>
  <si>
    <t>on 4/17/25 Before Market Eastern Stan</t>
  </si>
  <si>
    <t>OCEA</t>
  </si>
  <si>
    <t>CURR</t>
  </si>
  <si>
    <t>SLSN</t>
  </si>
  <si>
    <t>SMA</t>
  </si>
  <si>
    <t>NXXT</t>
  </si>
  <si>
    <t>on 5/26/25 Unspecified Eastern Standard Time</t>
  </si>
  <si>
    <t>NATH</t>
  </si>
  <si>
    <t>Remove all H-INS and INS companies</t>
  </si>
  <si>
    <r>
      <t xml:space="preserve">Trend
</t>
    </r>
    <r>
      <rPr>
        <i/>
        <sz val="9"/>
        <rFont val="Aptos Narrow"/>
        <family val="2"/>
        <scheme val="minor"/>
      </rPr>
      <t>Y/N</t>
    </r>
  </si>
  <si>
    <t>Doesn't really move at all after hours and will maintain a very wide bid/ask</t>
  </si>
  <si>
    <t>Number of Stocks</t>
  </si>
  <si>
    <t>Doesn't move after earnings are reported, also red bar/green bar-ish.  Best to just not include it.</t>
  </si>
  <si>
    <t>Add</t>
  </si>
  <si>
    <t>Look into adding Service Now</t>
  </si>
  <si>
    <t>on 4/16/25, 4:05 PM After Market East</t>
  </si>
  <si>
    <t>on 4/17/25 After Market Eastern Stand</t>
  </si>
  <si>
    <t>on 4/21/25 After Market Eastern Stand</t>
  </si>
  <si>
    <t>on 4/22/25 Before Market Eastern Stan</t>
  </si>
  <si>
    <t>on 4/22/25 After Market Eastern Stand</t>
  </si>
  <si>
    <t>on 4/23/25 Before Market Eastern Stan</t>
  </si>
  <si>
    <t>SPWR</t>
  </si>
  <si>
    <t>DTCB</t>
  </si>
  <si>
    <t>USAR</t>
  </si>
  <si>
    <t>on 5/30/25 During Market Eastern Standard Time</t>
  </si>
  <si>
    <t>Long Wins</t>
  </si>
  <si>
    <t>Long Losses</t>
  </si>
  <si>
    <t>Short Wins</t>
  </si>
  <si>
    <t>Short Losses</t>
  </si>
  <si>
    <t>Wins</t>
  </si>
  <si>
    <t>Loss</t>
  </si>
  <si>
    <t>Ave W</t>
  </si>
  <si>
    <t>on 4/23/25, 4:01 PM After Market East</t>
  </si>
  <si>
    <t>on 4/23/25, 4:19 PM After Market East</t>
  </si>
  <si>
    <t>on 4/23/25, 4:08 PM After Market East</t>
  </si>
  <si>
    <t>on 4/23/25, 4:05 PM After Market East</t>
  </si>
  <si>
    <t>on 4/23/25, 4:10 PM After Market East</t>
  </si>
  <si>
    <t>on 4/23/25, 4:15 PM After Market East</t>
  </si>
  <si>
    <t>on 4/23/25, 4:37 PM After Market East</t>
  </si>
  <si>
    <t>on 4/24/25 Before Market Eastern Stan</t>
  </si>
  <si>
    <t>on 4/24/25 After Market Eastern Stand</t>
  </si>
  <si>
    <t>on 4/25/25 Before Market Eastern Stan</t>
  </si>
  <si>
    <r>
      <t xml:space="preserve">- </t>
    </r>
    <r>
      <rPr>
        <u/>
        <sz val="11"/>
        <color theme="1"/>
        <rFont val="Aptos Narrow"/>
        <family val="2"/>
        <scheme val="minor"/>
      </rPr>
      <t>Trash / Recycling:</t>
    </r>
    <r>
      <rPr>
        <sz val="11"/>
        <color theme="1"/>
        <rFont val="Aptos Narrow"/>
        <family val="2"/>
        <scheme val="minor"/>
      </rPr>
      <t xml:space="preserve"> RSG, WM, LKQ (auto salvage)</t>
    </r>
  </si>
  <si>
    <r>
      <t xml:space="preserve">- </t>
    </r>
    <r>
      <rPr>
        <u/>
        <sz val="11"/>
        <color theme="1"/>
        <rFont val="Aptos Narrow"/>
        <family val="2"/>
        <scheme val="minor"/>
      </rPr>
      <t>Hospital Compaines:</t>
    </r>
    <r>
      <rPr>
        <sz val="11"/>
        <color theme="1"/>
        <rFont val="Aptos Narrow"/>
        <family val="2"/>
        <scheme val="minor"/>
      </rPr>
      <t xml:space="preserve"> HCA, UHS</t>
    </r>
  </si>
  <si>
    <r>
      <t xml:space="preserve">- </t>
    </r>
    <r>
      <rPr>
        <u/>
        <sz val="11"/>
        <color theme="1"/>
        <rFont val="Aptos Narrow"/>
        <family val="2"/>
        <scheme val="minor"/>
      </rPr>
      <t>List has three cruise company's:</t>
    </r>
    <r>
      <rPr>
        <sz val="11"/>
        <color theme="1"/>
        <rFont val="Aptos Narrow"/>
        <family val="2"/>
        <scheme val="minor"/>
      </rPr>
      <t xml:space="preserve"> RCL (1st month earnings), NCLH (second month earnings), CCL (third month earnings)</t>
    </r>
  </si>
  <si>
    <t>Basics &gt;</t>
  </si>
  <si>
    <t>Very late to fill</t>
  </si>
  <si>
    <t xml:space="preserve">P&amp;L (R) </t>
  </si>
  <si>
    <t>Oil &amp; Gas Refining &amp; Marketing</t>
  </si>
  <si>
    <t>Oil &amp; Gas Equipment &amp; Services</t>
  </si>
  <si>
    <t>Oil &amp; Gas Exploration &amp; Production</t>
  </si>
  <si>
    <t>Oil &amp; Gas Storage &amp; Transportation</t>
  </si>
  <si>
    <t>Integrated Oil &amp; Gas</t>
  </si>
  <si>
    <r>
      <t xml:space="preserve">- </t>
    </r>
    <r>
      <rPr>
        <u/>
        <sz val="11"/>
        <color theme="1"/>
        <rFont val="Aptos Narrow"/>
        <family val="2"/>
        <scheme val="minor"/>
      </rPr>
      <t>Data Storage Solutions:</t>
    </r>
    <r>
      <rPr>
        <sz val="11"/>
        <color theme="1"/>
        <rFont val="Aptos Narrow"/>
        <family val="2"/>
        <scheme val="minor"/>
      </rPr>
      <t xml:space="preserve"> STX, WDC</t>
    </r>
  </si>
  <si>
    <t>Total Reported</t>
  </si>
  <si>
    <r>
      <t xml:space="preserve">- </t>
    </r>
    <r>
      <rPr>
        <u/>
        <sz val="11"/>
        <color theme="1"/>
        <rFont val="Aptos Narrow"/>
        <family val="2"/>
        <scheme val="minor"/>
      </rPr>
      <t>Exchanges:</t>
    </r>
    <r>
      <rPr>
        <sz val="11"/>
        <color theme="1"/>
        <rFont val="Aptos Narrow"/>
        <family val="2"/>
        <scheme val="minor"/>
      </rPr>
      <t xml:space="preserve"> CME, ICE</t>
    </r>
  </si>
  <si>
    <t>on 4/28/25 After Market Eastern Stand</t>
  </si>
  <si>
    <t>on 4/29/25 Before Market Eastern Stan</t>
  </si>
  <si>
    <t>on 4/29/25 After Market Eastern Stand</t>
  </si>
  <si>
    <t>on 4/30/25 Before Market Eastern Stan</t>
  </si>
  <si>
    <t>on 4/30/25 After Market Eastern Stand</t>
  </si>
  <si>
    <t>on 5/1/25 Before Market Eastern Stand</t>
  </si>
  <si>
    <t>SNDK</t>
  </si>
  <si>
    <t>JNVR</t>
  </si>
  <si>
    <t>JBIO</t>
  </si>
  <si>
    <t>CRWV</t>
  </si>
  <si>
    <t>BZAI</t>
  </si>
  <si>
    <t>UFG</t>
  </si>
  <si>
    <t>on 5/16/25 After Market Eastern Standard Time</t>
  </si>
  <si>
    <t>Look into.  I think it had two really bad fills so far, in each Quarter.</t>
  </si>
  <si>
    <t>SharpeR</t>
  </si>
  <si>
    <t>Looking into Adding RDDT</t>
  </si>
  <si>
    <t>Stocks in Similar Industries:</t>
  </si>
  <si>
    <t>Delete!  Had nearly 1R in slippage at the open, strategy was 0.67R, but it really lost a little money.</t>
  </si>
  <si>
    <t>Average Gap Sizes</t>
  </si>
  <si>
    <t>Total Var
Act v. Strat</t>
  </si>
  <si>
    <t>SPY #   &gt;</t>
  </si>
  <si>
    <t>Not Spy#   &gt;</t>
  </si>
  <si>
    <t>In SPY
Total</t>
  </si>
  <si>
    <t>Say the Ceo on CNBC, clained fortress balance sheet seems to trend well.</t>
  </si>
  <si>
    <t>on 5/1/25 After Market Eastern Standa</t>
  </si>
  <si>
    <t>on 5/2/25 Before Market Eastern Stand</t>
  </si>
  <si>
    <t>on 5/5/25 Before Market Eastern Stand</t>
  </si>
  <si>
    <t>on 5/5/25 After Market Eastern Standa</t>
  </si>
  <si>
    <t>on 5/6/25 Before Market Eastern Stand</t>
  </si>
  <si>
    <t>DFDV</t>
  </si>
  <si>
    <t>MAAS</t>
  </si>
  <si>
    <t>NEXN</t>
  </si>
  <si>
    <t>MRP</t>
  </si>
  <si>
    <t>LUXE</t>
  </si>
  <si>
    <t>on 5/6/25, 7:00 AM Before Market Eastern Standard Time</t>
  </si>
  <si>
    <r>
      <t xml:space="preserve"> - </t>
    </r>
    <r>
      <rPr>
        <u/>
        <sz val="11"/>
        <color theme="1"/>
        <rFont val="Aptos Narrow"/>
        <family val="2"/>
        <scheme val="minor"/>
      </rPr>
      <t>Vegas Type Casinos:</t>
    </r>
    <r>
      <rPr>
        <sz val="11"/>
        <color theme="1"/>
        <rFont val="Aptos Narrow"/>
        <family val="2"/>
        <scheme val="minor"/>
      </rPr>
      <t xml:space="preserve"> MGM, WYN, CSR</t>
    </r>
  </si>
  <si>
    <t>Playing All Earnings Short</t>
  </si>
  <si>
    <r>
      <t xml:space="preserve"> - </t>
    </r>
    <r>
      <rPr>
        <u/>
        <sz val="11"/>
        <color theme="1"/>
        <rFont val="Aptos Narrow"/>
        <family val="2"/>
        <scheme val="minor"/>
      </rPr>
      <t>Security Software:</t>
    </r>
    <r>
      <rPr>
        <sz val="11"/>
        <color theme="1"/>
        <rFont val="Aptos Narrow"/>
        <family val="2"/>
        <scheme val="minor"/>
      </rPr>
      <t xml:space="preserve"> TENB, VRNS, QYLS, GEN, FTNT</t>
    </r>
  </si>
  <si>
    <t>Cyber Security:</t>
  </si>
  <si>
    <t>Gap %:</t>
  </si>
  <si>
    <t>Aluminum:</t>
  </si>
  <si>
    <t>Steel:</t>
  </si>
  <si>
    <t>RIO</t>
  </si>
  <si>
    <t>Aluminum</t>
  </si>
  <si>
    <t>Beer/Drinks:</t>
  </si>
  <si>
    <t>Defense:</t>
  </si>
  <si>
    <t>MAG7:</t>
  </si>
  <si>
    <t>Data Storage</t>
  </si>
  <si>
    <t>Hospitals:</t>
  </si>
  <si>
    <t>% Gapping Up</t>
  </si>
  <si>
    <t>% of SW Gapping Up</t>
  </si>
  <si>
    <t>% of DWN Gapping D</t>
  </si>
  <si>
    <t>% of UP Gapping Up</t>
  </si>
  <si>
    <t>Skips</t>
  </si>
  <si>
    <t xml:space="preserve">Best to delete, I think the longest to fill, taking 7 minutes. </t>
  </si>
  <si>
    <t>Very very thin intra day, best to delete, Low value stock. Low revenue, like $4M per quarter.</t>
  </si>
  <si>
    <t>on 5/6/25 After Market Eastern Standa</t>
  </si>
  <si>
    <t>on 5/7/25 Before Market Eastern Stand</t>
  </si>
  <si>
    <t>on 5/7/25 After Market Eastern Standa</t>
  </si>
  <si>
    <t>on 5/8/25 Before Market Eastern Stand</t>
  </si>
  <si>
    <t>on 5/8/25 After Market Eastern Standa</t>
  </si>
  <si>
    <t>on 5/12/25 Before Market Eastern Stan</t>
  </si>
  <si>
    <t>on 5/12/25 After Market Eastern Stand</t>
  </si>
  <si>
    <t>on 5/13/25 After Market Eastern Stand</t>
  </si>
  <si>
    <t>on 5/14/25 Before Market Eastern Stan</t>
  </si>
  <si>
    <t>QD</t>
  </si>
  <si>
    <t>LION</t>
  </si>
  <si>
    <t>BULL</t>
  </si>
  <si>
    <t>on 5/26/25 After Market Eastern Standard Time</t>
  </si>
  <si>
    <t>Water Mgmt:</t>
  </si>
  <si>
    <t>IPO'd in Feb, didn't open on time which was a first.</t>
  </si>
  <si>
    <t>Expect.</t>
  </si>
  <si>
    <t>on 6/16/25 Before Market Eastern Standard Time</t>
  </si>
  <si>
    <t>JVA</t>
  </si>
  <si>
    <t>on 6/16/25 After Market Eastern Standard Time</t>
  </si>
  <si>
    <t>IMAB</t>
  </si>
  <si>
    <t>RFIL</t>
  </si>
  <si>
    <t>WLYB</t>
  </si>
  <si>
    <t>on 6/17/25 Before Market Eastern Standard Time</t>
  </si>
  <si>
    <t>CGNT</t>
  </si>
  <si>
    <t>on 6/17/25 After Market Eastern Standard Time</t>
  </si>
  <si>
    <t>on 6/18/25 Before Market Eastern Standard Time</t>
  </si>
  <si>
    <t>on 6/18/25 After Market Eastern Standard Time</t>
  </si>
  <si>
    <t>DLNG</t>
  </si>
  <si>
    <t>on 6/19/25 Before Market Eastern Standard Time</t>
  </si>
  <si>
    <t>RGC</t>
  </si>
  <si>
    <t>on 6/19/25 Unspecified Eastern Standard Time</t>
  </si>
  <si>
    <t>ACB</t>
  </si>
  <si>
    <t>QMCO</t>
  </si>
  <si>
    <t>on 6/19/25 After Market Eastern Standard Time</t>
  </si>
  <si>
    <t>TEN</t>
  </si>
  <si>
    <t>on 6/20/25 Before Market Eastern Standard Time</t>
  </si>
  <si>
    <t>YRD</t>
  </si>
  <si>
    <t>GRCE</t>
  </si>
  <si>
    <t>on 6/20/25 After Market Eastern Standard Time</t>
  </si>
  <si>
    <t>ASTL</t>
  </si>
  <si>
    <t>XAIR</t>
  </si>
  <si>
    <t>on 6/24/25 Before Market Eastern Standard Time</t>
  </si>
  <si>
    <t>BB</t>
  </si>
  <si>
    <t>on 6/24/25 After Market Eastern Standard Time</t>
  </si>
  <si>
    <t>LEN/B</t>
  </si>
  <si>
    <t>NPSNY</t>
  </si>
  <si>
    <t>on 6/25/25 Before Market Eastern Standard Time</t>
  </si>
  <si>
    <t>CUK</t>
  </si>
  <si>
    <t>LEVI</t>
  </si>
  <si>
    <t>on 6/25/25 After Market Eastern Standard Time</t>
  </si>
  <si>
    <t>CYBN</t>
  </si>
  <si>
    <t>CULP</t>
  </si>
  <si>
    <t>on 6/26/25 Before Market Eastern Standard Time</t>
  </si>
  <si>
    <t>HNNMY</t>
  </si>
  <si>
    <t>on 6/26/25 Unspecified Eastern Standard Time</t>
  </si>
  <si>
    <t>MANU</t>
  </si>
  <si>
    <t>JRSH</t>
  </si>
  <si>
    <t>AOUT</t>
  </si>
  <si>
    <t>on 6/26/25 After Market Eastern Standard Time</t>
  </si>
  <si>
    <t>BTCY</t>
  </si>
  <si>
    <t>AEMD</t>
  </si>
  <si>
    <t>PNST</t>
  </si>
  <si>
    <t>FLYE</t>
  </si>
  <si>
    <t>on 6/27/25 Before Market Eastern Standard Time</t>
  </si>
  <si>
    <t>CRWS</t>
  </si>
  <si>
    <t>PETV</t>
  </si>
  <si>
    <t>on 6/27/25 During Market Eastern Standard Time</t>
  </si>
  <si>
    <t>GP</t>
  </si>
  <si>
    <t>on 6/27/25 After Market Eastern Standard Time</t>
  </si>
  <si>
    <t>BENF</t>
  </si>
  <si>
    <t>on 6/30/25 Before Market Eastern Standard Time</t>
  </si>
  <si>
    <t>SPMC</t>
  </si>
  <si>
    <t>CNVS</t>
  </si>
  <si>
    <t>on 6/30/25 After Market Eastern Standard Time</t>
  </si>
  <si>
    <t>BNED</t>
  </si>
  <si>
    <t>ELTP</t>
  </si>
  <si>
    <t>Chip Equipm:</t>
  </si>
  <si>
    <t>Chip equipment maker, same as AMAT</t>
  </si>
  <si>
    <t>KLA</t>
  </si>
  <si>
    <t>MOC</t>
  </si>
  <si>
    <t>Very, very thin. Prob best to remove.</t>
  </si>
  <si>
    <t>Key Strategy Flags</t>
  </si>
  <si>
    <t>Strategy Direction</t>
  </si>
  <si>
    <t>Gap Downs with trend</t>
  </si>
  <si>
    <t>Gap
Ups
SW</t>
  </si>
  <si>
    <t>Gap
Downs
SW</t>
  </si>
  <si>
    <t>Strategy Stats</t>
  </si>
  <si>
    <t>Market on Close Comparison Data</t>
  </si>
  <si>
    <t>Total Sw Trends 
MOC R</t>
  </si>
  <si>
    <r>
      <t xml:space="preserve">Sw Trends MOC 
</t>
    </r>
    <r>
      <rPr>
        <b/>
        <sz val="8"/>
        <rFont val="Aptos Narrow"/>
        <family val="2"/>
        <scheme val="minor"/>
      </rPr>
      <t>P/L</t>
    </r>
  </si>
  <si>
    <r>
      <t xml:space="preserve">Total Sw Trends MOC </t>
    </r>
    <r>
      <rPr>
        <b/>
        <sz val="8"/>
        <rFont val="Aptos Narrow"/>
        <family val="2"/>
        <scheme val="minor"/>
      </rPr>
      <t>P/L</t>
    </r>
  </si>
  <si>
    <r>
      <t xml:space="preserve">Total UP Trends MOC </t>
    </r>
    <r>
      <rPr>
        <b/>
        <sz val="8"/>
        <rFont val="Aptos Narrow"/>
        <family val="2"/>
        <scheme val="minor"/>
      </rPr>
      <t>P/L</t>
    </r>
  </si>
  <si>
    <r>
      <t xml:space="preserve">Dwn Trends MOC </t>
    </r>
    <r>
      <rPr>
        <b/>
        <sz val="8"/>
        <rFont val="Aptos Narrow"/>
        <family val="2"/>
        <scheme val="minor"/>
      </rPr>
      <t>P/L</t>
    </r>
  </si>
  <si>
    <r>
      <t xml:space="preserve">Total Dwn Trends MOC </t>
    </r>
    <r>
      <rPr>
        <b/>
        <sz val="8"/>
        <rFont val="Aptos Narrow"/>
        <family val="2"/>
        <scheme val="minor"/>
      </rPr>
      <t>P/L</t>
    </r>
  </si>
  <si>
    <r>
      <t xml:space="preserve">Total MOC
</t>
    </r>
    <r>
      <rPr>
        <b/>
        <sz val="8"/>
        <rFont val="Aptos Narrow"/>
        <family val="2"/>
        <scheme val="minor"/>
      </rPr>
      <t>P/L</t>
    </r>
  </si>
  <si>
    <r>
      <t xml:space="preserve">UP Trends MOC
</t>
    </r>
    <r>
      <rPr>
        <b/>
        <sz val="8"/>
        <rFont val="Aptos Narrow"/>
        <family val="2"/>
        <scheme val="minor"/>
      </rPr>
      <t>P/L</t>
    </r>
  </si>
  <si>
    <t>Sw Trends MOC 
R</t>
  </si>
  <si>
    <t>UP Trends
MOC 
R</t>
  </si>
  <si>
    <t>Risk Units</t>
  </si>
  <si>
    <t>P &amp; L</t>
  </si>
  <si>
    <t>Entry
Price:</t>
  </si>
  <si>
    <t>Exit at Open, or
Other Exit</t>
  </si>
  <si>
    <t>↓</t>
  </si>
  <si>
    <t>Overall
Strategy
Exp.</t>
  </si>
  <si>
    <t>-------  Strategy P&amp;L  -------</t>
  </si>
  <si>
    <t>------------  Gap Data  ------------</t>
  </si>
  <si>
    <t>--- Trend Data ---</t>
  </si>
  <si>
    <t>----------  Entry  ----------</t>
  </si>
  <si>
    <t>Cost
to
Play</t>
  </si>
  <si>
    <t>-------- Market on Close Stats --------</t>
  </si>
  <si>
    <t>Exit
Type</t>
  </si>
  <si>
    <t>----------  Actual P&amp;L  ----------</t>
  </si>
  <si>
    <r>
      <t xml:space="preserve">Expectancy
</t>
    </r>
    <r>
      <rPr>
        <b/>
        <sz val="8"/>
        <color theme="1"/>
        <rFont val="Aptos Narrow"/>
        <family val="2"/>
        <scheme val="minor"/>
      </rPr>
      <t>Update with row del</t>
    </r>
  </si>
  <si>
    <t>----  % Gapping Up  -----</t>
  </si>
  <si>
    <t>P&amp;L</t>
  </si>
  <si>
    <t>Mkt at Open, or, 
Other Exit</t>
  </si>
  <si>
    <r>
      <t>Actual:</t>
    </r>
    <r>
      <rPr>
        <u/>
        <sz val="8"/>
        <rFont val="Aptos Narrow"/>
        <family val="2"/>
        <scheme val="minor"/>
      </rPr>
      <t xml:space="preserve">
MOC</t>
    </r>
    <r>
      <rPr>
        <sz val="8"/>
        <rFont val="Aptos Narrow"/>
        <family val="2"/>
        <scheme val="minor"/>
      </rPr>
      <t xml:space="preserve">
P / L</t>
    </r>
  </si>
  <si>
    <r>
      <t xml:space="preserve">Strategy: </t>
    </r>
    <r>
      <rPr>
        <u/>
        <sz val="8"/>
        <rFont val="Aptos Narrow"/>
        <family val="2"/>
        <scheme val="minor"/>
      </rPr>
      <t>MOC</t>
    </r>
    <r>
      <rPr>
        <sz val="8"/>
        <rFont val="Aptos Narrow"/>
        <family val="2"/>
        <scheme val="minor"/>
      </rPr>
      <t xml:space="preserve">
P / L</t>
    </r>
  </si>
  <si>
    <r>
      <t xml:space="preserve">Strategy: </t>
    </r>
    <r>
      <rPr>
        <u/>
        <sz val="8"/>
        <rFont val="Aptos Narrow"/>
        <family val="2"/>
        <scheme val="minor"/>
      </rPr>
      <t>MOC</t>
    </r>
    <r>
      <rPr>
        <sz val="8"/>
        <rFont val="Aptos Narrow"/>
        <family val="2"/>
        <scheme val="minor"/>
      </rPr>
      <t xml:space="preserve">
R</t>
    </r>
  </si>
  <si>
    <t>on 5/14/25 After Market Eastern Stand</t>
  </si>
  <si>
    <t>on 5/15/25 Before Market Eastern Stan</t>
  </si>
  <si>
    <t>on 5/15/25 After Market Eastern Stand</t>
  </si>
  <si>
    <t>on 5/16/25 Before Market Eastern Stan</t>
  </si>
  <si>
    <t>on 5/20/25 Before Market Eastern Stan</t>
  </si>
  <si>
    <t>on 5/20/25 After Market Eastern Stand</t>
  </si>
  <si>
    <t>on 5/21/25 Before Market Eastern Stan</t>
  </si>
  <si>
    <t>on 5/1/25, 2:35 AM Before Market Eastern Standard Time</t>
  </si>
  <si>
    <t>on 5/1/25, 6:00 AM Before Market Eastern Standard Time</t>
  </si>
  <si>
    <t>on 5/1/25, 6:01 AM Before Market Eastern Standard Time</t>
  </si>
  <si>
    <t>on 5/1/25, 6:30 AM Before Market Eastern Standard Time</t>
  </si>
  <si>
    <t>on 5/1/25, 6:45 AM Before Market Eastern Standard Time</t>
  </si>
  <si>
    <t>on 5/1/25, 6:47 AM Before Market Eastern Standard Time</t>
  </si>
  <si>
    <t>on 5/1/25, 6:50 AM Before Market Eastern Standard Time</t>
  </si>
  <si>
    <t>on 5/1/25, 6:54 AM Before Market Eastern Standard Time</t>
  </si>
  <si>
    <t>on 5/1/25, 6:55 AM Before Market Eastern Standard Time</t>
  </si>
  <si>
    <t>on 5/1/25, 7:00 AM Before Market Eastern Standard Time</t>
  </si>
  <si>
    <t>BCYC</t>
  </si>
  <si>
    <t>on 5/1/25, 7:00 AM After Market Eastern Standard Time</t>
  </si>
  <si>
    <t>on 5/1/25, 7:01 AM Before Market Eastern Standard Time</t>
  </si>
  <si>
    <t>on 5/1/25, 7:07 AM Before Market Eastern Standard Time</t>
  </si>
  <si>
    <t>on 5/1/25, 7:12 AM Before Market Eastern Standard Time</t>
  </si>
  <si>
    <t>on 5/1/25, 7:15 AM Before Market Eastern Standard Time</t>
  </si>
  <si>
    <t>on 5/1/25, 7:30 AM Before Market Eastern Standard Time</t>
  </si>
  <si>
    <t>on 5/1/25, 7:38 AM Before Market Eastern Standard Time</t>
  </si>
  <si>
    <t>on 5/1/25, 7:40 AM Before Market Eastern Standard Time</t>
  </si>
  <si>
    <t>on 5/1/25, 8:00 AM Before Market Eastern Standard Time</t>
  </si>
  <si>
    <t>on 5/1/25, 8:01 AM Before Market Eastern Standard Time</t>
  </si>
  <si>
    <t>on 5/1/25, 8:05 AM Before Market Eastern Standard Time</t>
  </si>
  <si>
    <t>on 5/1/25, 8:15 AM Before Market Eastern Standard Time</t>
  </si>
  <si>
    <t>on 5/1/25, 8:30 AM Before Market Eastern Standard Time</t>
  </si>
  <si>
    <t>on 5/1/25, 8:40 AM Before Market Eastern Standard Time</t>
  </si>
  <si>
    <t>on 5/1/25, 9:00 AM Before Market Eastern Standard Time</t>
  </si>
  <si>
    <t>on 5/1/25, 4:00 PM After Market Eastern Standard Time</t>
  </si>
  <si>
    <t>on 5/1/25, 4:01 PM After Market Eastern Standard Time</t>
  </si>
  <si>
    <t>on 5/1/25, 4:01 PM Unspecified Eastern Standard Time</t>
  </si>
  <si>
    <t>on 5/1/25, 4:02 PM After Market Eastern Standard Time</t>
  </si>
  <si>
    <t>on 5/1/25, 4:03 PM After Market Eastern Standard Time</t>
  </si>
  <si>
    <t>on 5/1/25, 4:04 PM After Market Eastern Standard Time</t>
  </si>
  <si>
    <t>on 5/1/25, 4:05 PM After Market Eastern Standard Time</t>
  </si>
  <si>
    <t>NXTC</t>
  </si>
  <si>
    <t>on 5/1/25, 4:06 PM After Market Eastern Standard Time</t>
  </si>
  <si>
    <t>on 5/1/25, 4:07 PM After Market Eastern Standard Time</t>
  </si>
  <si>
    <t>on 5/1/25, 4:09 PM After Market Eastern Standard Time</t>
  </si>
  <si>
    <t>on 5/1/25, 4:10 PM After Market Eastern Standard Time</t>
  </si>
  <si>
    <t>TXO</t>
  </si>
  <si>
    <t>on 5/1/25, 4:14 PM After Market Eastern Standard Time</t>
  </si>
  <si>
    <t>on 5/1/25, 4:15 PM After Market Eastern Standard Time</t>
  </si>
  <si>
    <t>on 5/1/25, 4:15 PM Before Market Eastern Standard Time</t>
  </si>
  <si>
    <t>on 5/1/25, 4:16 PM After Market Eastern Standard Time</t>
  </si>
  <si>
    <t>on 5/1/25, 4:17 PM After Market Eastern Standard Time</t>
  </si>
  <si>
    <t>STTK</t>
  </si>
  <si>
    <t>on 5/1/25, 4:20 PM After Market Eastern Standard Time</t>
  </si>
  <si>
    <t>SPR</t>
  </si>
  <si>
    <t>on 5/1/25, 4:24 PM After Market Eastern Standard Time</t>
  </si>
  <si>
    <t>on 5/1/25, 4:30 PM After Market Eastern Standard Time</t>
  </si>
  <si>
    <t>on 5/1/25, 4:36 PM After Market Eastern Standard Time</t>
  </si>
  <si>
    <t>on 5/1/25, 4:45 PM After Market Eastern Standard Time</t>
  </si>
  <si>
    <t>on 5/1/25, 4:48 PM After Market Eastern Standard Time</t>
  </si>
  <si>
    <t>HSDT</t>
  </si>
  <si>
    <t>on 5/1/25, 5:00 PM After Market Eastern Standard Time</t>
  </si>
  <si>
    <t>on 5/1/25, 5:01 PM After Market Eastern Standard Time</t>
  </si>
  <si>
    <t>on 5/1/25, 5:03 PM After Market Eastern Standard Time</t>
  </si>
  <si>
    <t>on 5/1/25, 5:43 PM After Market Eastern Standard Time</t>
  </si>
  <si>
    <t>on 5/1/25, 5:52 PM After Market Eastern Standard Time</t>
  </si>
  <si>
    <t>on 5/1/25, 6:25 PM After Market Eastern Standard Time</t>
  </si>
  <si>
    <t>on 5/2/25, 1:00 AM Before Market Eastern Standard Time</t>
  </si>
  <si>
    <t>on 5/2/25, 1:00 AM Unspecified Eastern Standard Time</t>
  </si>
  <si>
    <t>TLK</t>
  </si>
  <si>
    <t>on 5/2/25, 2:02 AM Before Market Eastern Standard Time</t>
  </si>
  <si>
    <t>on 5/2/25, 5:00 AM Before Market Eastern Standard Time</t>
  </si>
  <si>
    <t>on 5/2/25, 5:30 AM Before Market Eastern Standard Time</t>
  </si>
  <si>
    <t>on 5/2/25, 5:50 AM Before Market Eastern Standard Time</t>
  </si>
  <si>
    <t>on 5/2/25, 6:00 AM Before Market Eastern Standard Time</t>
  </si>
  <si>
    <t>on 5/2/25, 6:15 AM Before Market Eastern Standard Time</t>
  </si>
  <si>
    <t>on 5/2/25, 6:30 AM Before Market Eastern Standard Time</t>
  </si>
  <si>
    <t>on 5/2/25, 6:45 AM Before Market Eastern Standard Time</t>
  </si>
  <si>
    <t>on 5/2/25, 6:47 AM Before Market Eastern Standard Time</t>
  </si>
  <si>
    <t>on 5/2/25, 6:55 AM Before Market Eastern Standard Time</t>
  </si>
  <si>
    <t>on 5/2/25, 6:59 AM Before Market Eastern Standard Time</t>
  </si>
  <si>
    <t>on 5/2/25, 7:00 AM Before Market Eastern Standard Time</t>
  </si>
  <si>
    <t>on 5/2/25, 7:03 AM Before Market Eastern Standard Time</t>
  </si>
  <si>
    <t>on 5/2/25, 7:05 AM Before Market Eastern Standard Time</t>
  </si>
  <si>
    <t>on 5/2/25, 7:30 AM Before Market Eastern Standard Time</t>
  </si>
  <si>
    <t>on 5/2/25, 7:45 AM Before Market Eastern Standard Time</t>
  </si>
  <si>
    <t>on 5/2/25, 7:55 AM Before Market Eastern Standard Time</t>
  </si>
  <si>
    <t>on 5/2/25, 8:00 AM Before Market Eastern Standard Time</t>
  </si>
  <si>
    <t>on 5/2/25, 8:30 AM Before Market Eastern Standard Time</t>
  </si>
  <si>
    <t>on 5/3/25, 8:00 AM Unspecified Eastern Standard Time</t>
  </si>
  <si>
    <t>on 5/5/25, 1:00 AM Unspecified Eastern Standard Time</t>
  </si>
  <si>
    <t>on 5/5/25, 1:00 AM Before Market Eastern Standard Time</t>
  </si>
  <si>
    <t>on 5/5/25, 5:15 AM Before Market Eastern Standard Time</t>
  </si>
  <si>
    <t>on 5/5/25, 6:00 AM Before Market Eastern Standard Time</t>
  </si>
  <si>
    <t>on 5/5/25, 6:30 AM Before Market Eastern Standard Time</t>
  </si>
  <si>
    <t>on 5/5/25, 6:45 AM Before Market Eastern Standard Time</t>
  </si>
  <si>
    <t>on 5/5/25, 7:00 AM Before Market Eastern Standard Time</t>
  </si>
  <si>
    <t>on 5/5/25, 7:30 AM Before Market Eastern Standard Time</t>
  </si>
  <si>
    <t>on 5/5/25, 8:00 AM Before Market Eastern Standard Time</t>
  </si>
  <si>
    <t>on 5/5/25, 8:30 AM Before Market Eastern Standard Time</t>
  </si>
  <si>
    <t>on 5/5/25, 8:58 AM Before Market Eastern Standard Time</t>
  </si>
  <si>
    <t>on 5/5/25, 1:27 PM During Market Eastern Standard Time</t>
  </si>
  <si>
    <t>on 5/5/25, 4:00 PM After Market Eastern Standard Time</t>
  </si>
  <si>
    <t>on 5/5/25, 4:01 PM After Market Eastern Standard Time</t>
  </si>
  <si>
    <t>on 5/5/25, 4:02 PM After Market Eastern Standard Time</t>
  </si>
  <si>
    <t>on 5/5/25, 4:03 PM After Market Eastern Standard Time</t>
  </si>
  <si>
    <t>on 5/5/25, 4:05 PM After Market Eastern Standard Time</t>
  </si>
  <si>
    <t>IMRX</t>
  </si>
  <si>
    <t>on 5/5/25, 4:06 PM After Market Eastern Standard Time</t>
  </si>
  <si>
    <t>on 5/5/25, 4:07 PM After Market Eastern Standard Time</t>
  </si>
  <si>
    <t>on 5/5/25, 4:08 PM After Market Eastern Standard Time</t>
  </si>
  <si>
    <t>on 5/5/25, 4:09 PM After Market Eastern Standard Time</t>
  </si>
  <si>
    <t>on 5/5/25, 4:10 PM After Market Eastern Standard Time</t>
  </si>
  <si>
    <t>on 5/5/25, 4:13 PM After Market Eastern Standard Time</t>
  </si>
  <si>
    <t>on 5/5/25, 4:15 PM After Market Eastern Standard Time</t>
  </si>
  <si>
    <t>on 5/5/25, 4:18 PM After Market Eastern Standard Time</t>
  </si>
  <si>
    <t>on 5/5/25, 4:20 PM After Market Eastern Standard Time</t>
  </si>
  <si>
    <t>on 5/5/25, 4:22 PM After Market Eastern Standard Time</t>
  </si>
  <si>
    <t>on 5/5/25, 4:25 PM Unspecified Eastern Standard Time</t>
  </si>
  <si>
    <t>on 5/5/25, 4:25 PM After Market Eastern Standard Time</t>
  </si>
  <si>
    <t>on 5/5/25, 4:27 PM After Market Eastern Standard Time</t>
  </si>
  <si>
    <t>on 5/5/25, 4:29 PM After Market Eastern Standard Time</t>
  </si>
  <si>
    <t>on 5/5/25, 4:30 PM After Market Eastern Standard Time</t>
  </si>
  <si>
    <t>on 5/5/25, 4:31 PM After Market Eastern Standard Time</t>
  </si>
  <si>
    <t>on 5/5/25, 4:34 PM After Market Eastern Standard Time</t>
  </si>
  <si>
    <t>on 5/5/25, 4:40 PM After Market Eastern Standard Time</t>
  </si>
  <si>
    <t>on 5/5/25, 4:47 PM After Market Eastern Standard Time</t>
  </si>
  <si>
    <t>on 5/5/25, 4:55 PM After Market Eastern Standard Time</t>
  </si>
  <si>
    <t>on 5/5/25, 4:56 PM After Market Eastern Standard Time</t>
  </si>
  <si>
    <t>on 5/5/25, 5:00 PM After Market Eastern Standard Time</t>
  </si>
  <si>
    <t>on 5/5/25, 5:02 PM After Market Eastern Standard Time</t>
  </si>
  <si>
    <t>on 5/5/25, 5:06 PM After Market Eastern Standard Time</t>
  </si>
  <si>
    <t>on 5/5/25, 5:30 PM After Market Eastern Standard Time</t>
  </si>
  <si>
    <t>on 5/5/25, 6:00 PM After Market Eastern Standard Time</t>
  </si>
  <si>
    <t>on 5/5/25, 6:05 PM After Market Eastern Standard Time</t>
  </si>
  <si>
    <t>on 5/5/25, 7:00 PM After Market Eastern Standard Time</t>
  </si>
  <si>
    <t>on 5/6/25, 1:00 AM Before Market Eastern Standard Time</t>
  </si>
  <si>
    <t>on 5/6/25, 1:00 AM Unspecified Eastern Standard Time</t>
  </si>
  <si>
    <t>on 5/6/25, 1:00 AM After Market Eastern Standard Time</t>
  </si>
  <si>
    <t>on 5/6/25, 2:00 AM Before Market Eastern Standard Time</t>
  </si>
  <si>
    <t>on 5/6/25, 6:00 AM Before Market Eastern Standard Time</t>
  </si>
  <si>
    <t>on 5/6/25, 6:05 AM Before Market Eastern Standard Time</t>
  </si>
  <si>
    <t>on 5/6/25, 6:15 AM Before Market Eastern Standard Time</t>
  </si>
  <si>
    <t>on 5/6/25, 6:16 AM Before Market Eastern Standard Time</t>
  </si>
  <si>
    <t>on 5/6/25, 6:30 AM Before Market Eastern Standard Time</t>
  </si>
  <si>
    <t>on 5/6/25, 6:35 AM Before Market Eastern Standard Time</t>
  </si>
  <si>
    <t>on 5/6/25, 6:44 AM Before Market Eastern Standard Time</t>
  </si>
  <si>
    <t>on 5/6/25, 6:45 AM Before Market Eastern Standard Time</t>
  </si>
  <si>
    <t>on 5/6/25, 6:46 AM Before Market Eastern Standard Time</t>
  </si>
  <si>
    <t>on 5/6/25, 6:50 AM Before Market Eastern Standard Time</t>
  </si>
  <si>
    <t>on 5/6/25, 6:55 AM Before Market Eastern Standard Time</t>
  </si>
  <si>
    <t>on 5/6/25, 6:57 AM Before Market Eastern Standard Time</t>
  </si>
  <si>
    <t>UPB</t>
  </si>
  <si>
    <t>TCRX</t>
  </si>
  <si>
    <t>on 5/6/25, 7:01 AM Before Market Eastern Standard Time</t>
  </si>
  <si>
    <t>on 5/6/25, 7:05 AM Before Market Eastern Standard Time</t>
  </si>
  <si>
    <t>on 5/6/25, 7:10 AM Before Market Eastern Standard Time</t>
  </si>
  <si>
    <t>on 5/6/25, 7:15 AM Before Market Eastern Standard Time</t>
  </si>
  <si>
    <t>on 5/6/25, 7:21 AM Before Market Eastern Standard Time</t>
  </si>
  <si>
    <t>on 5/6/25, 7:30 AM Before Market Eastern Standard Time</t>
  </si>
  <si>
    <t>on 5/6/25, 7:45 AM Before Market Eastern Standard Time</t>
  </si>
  <si>
    <t>on 5/6/25, 8:00 AM Before Market Eastern Standard Time</t>
  </si>
  <si>
    <t>on 5/6/25, 8:15 AM Before Market Eastern Standard Time</t>
  </si>
  <si>
    <t>on 5/6/25, 8:30 AM Before Market Eastern Standard Time</t>
  </si>
  <si>
    <t>on 5/6/25, 9:00 AM Before Market Eastern Standard Time</t>
  </si>
  <si>
    <t>on 5/6/25, 9:29 AM Before Market Eastern Standard Time</t>
  </si>
  <si>
    <t>on 5/6/25, 9:30 AM During Market Eastern Standard Time</t>
  </si>
  <si>
    <t>on 5/6/25, 4:00 PM After Market Eastern Standard Time</t>
  </si>
  <si>
    <t>on 5/6/25, 4:01 PM After Market Eastern Standard Time</t>
  </si>
  <si>
    <t>on 5/6/25, 4:02 PM After Market Eastern Standard Time</t>
  </si>
  <si>
    <t>on 5/6/25, 4:03 PM After Market Eastern Standard Time</t>
  </si>
  <si>
    <t>on 5/6/25, 4:05 PM After Market Eastern Standard Time</t>
  </si>
  <si>
    <t>PRLD</t>
  </si>
  <si>
    <t>on 5/6/25, 4:06 PM After Market Eastern Standard Time</t>
  </si>
  <si>
    <t>on 5/6/25, 4:07 PM After Market Eastern Standard Time</t>
  </si>
  <si>
    <t>on 5/6/25, 4:08 PM After Market Eastern Standard Time</t>
  </si>
  <si>
    <t>on 5/6/25, 4:09 PM After Market Eastern Standard Time</t>
  </si>
  <si>
    <t>on 5/6/25, 4:10 PM After Market Eastern Standard Time</t>
  </si>
  <si>
    <t>on 5/6/25, 4:12 PM After Market Eastern Standard Time</t>
  </si>
  <si>
    <t>on 5/6/25, 4:14 PM After Market Eastern Standard Time</t>
  </si>
  <si>
    <t>on 5/6/25, 4:15 PM After Market Eastern Standard Time</t>
  </si>
  <si>
    <t>on 5/6/25, 4:20 PM After Market Eastern Standard Time</t>
  </si>
  <si>
    <t>on 5/6/25, 4:23 PM After Market Eastern Standard Time</t>
  </si>
  <si>
    <t>on 5/6/25, 4:30 PM After Market Eastern Standard Time</t>
  </si>
  <si>
    <t>BIOA</t>
  </si>
  <si>
    <t>on 5/6/25, 4:31 PM After Market Eastern Standard Time</t>
  </si>
  <si>
    <t>on 5/6/25, 4:35 PM After Market Eastern Standard Time</t>
  </si>
  <si>
    <t>on 5/6/25, 4:36 PM After Market Eastern Standard Time</t>
  </si>
  <si>
    <t>on 5/6/25, 4:40 PM After Market Eastern Standard Time</t>
  </si>
  <si>
    <t>SAND</t>
  </si>
  <si>
    <t>on 5/6/25, 4:44 PM After Market Eastern Standard Time</t>
  </si>
  <si>
    <t>on 5/6/25, 4:45 PM After Market Eastern Standard Time</t>
  </si>
  <si>
    <t>on 5/6/25, 4:49 PM After Market Eastern Standard Time</t>
  </si>
  <si>
    <t>on 5/6/25, 5:00 PM After Market Eastern Standard Time</t>
  </si>
  <si>
    <t>on 5/6/25, 5:05 PM After Market Eastern Standard Time</t>
  </si>
  <si>
    <t>on 5/6/25, 5:06 PM After Market Eastern Standard Time</t>
  </si>
  <si>
    <t>on 5/6/25, 5:13 PM After Market Eastern Standard Time</t>
  </si>
  <si>
    <t>on 5/6/25, 5:30 PM After Market Eastern Standard Time</t>
  </si>
  <si>
    <t>on 5/6/25, 5:31 PM After Market Eastern Standard Time</t>
  </si>
  <si>
    <t>on 5/6/25, 5:41 PM After Market Eastern Standard Time</t>
  </si>
  <si>
    <t>on 5/6/25, 5:42 PM After Market Eastern Standard Time</t>
  </si>
  <si>
    <t>GFR</t>
  </si>
  <si>
    <t>on 5/6/25, 6:15 PM After Market Eastern Standard Time</t>
  </si>
  <si>
    <t>on 5/7/25, 1:00 AM Before Market Eastern Standard Time</t>
  </si>
  <si>
    <t>on 5/7/25, 1:00 AM Unspecified Eastern Standard Time</t>
  </si>
  <si>
    <t>on 5/7/25, 1:00 AM After Market Eastern Standard Time</t>
  </si>
  <si>
    <t>on 5/7/25, 1:20 AM Before Market Eastern Standard Time</t>
  </si>
  <si>
    <t>on 5/7/25, 1:30 AM Before Market Eastern Standard Time</t>
  </si>
  <si>
    <t>on 5/7/25, 5:00 AM Before Market Eastern Standard Time</t>
  </si>
  <si>
    <t>on 5/7/25, 5:30 AM Before Market Eastern Standard Time</t>
  </si>
  <si>
    <t>on 5/7/25, 6:00 AM Before Market Eastern Standard Time</t>
  </si>
  <si>
    <t>on 5/7/25, 6:15 AM Before Market Eastern Standard Time</t>
  </si>
  <si>
    <t>on 5/7/25, 6:27 AM Before Market Eastern Standard Time</t>
  </si>
  <si>
    <t>on 5/7/25, 6:30 AM Before Market Eastern Standard Time</t>
  </si>
  <si>
    <t>on 5/7/25, 6:31 AM Before Market Eastern Standard Time</t>
  </si>
  <si>
    <t>on 5/7/25, 6:37 AM Before Market Eastern Standard Time</t>
  </si>
  <si>
    <t>on 5/7/25, 6:45 AM Before Market Eastern Standard Time</t>
  </si>
  <si>
    <t>on 5/7/25, 6:50 AM Before Market Eastern Standard Time</t>
  </si>
  <si>
    <t>on 5/7/25, 6:55 AM Before Market Eastern Standard Time</t>
  </si>
  <si>
    <t>on 5/7/25, 6:59 AM Before Market Eastern Standard Time</t>
  </si>
  <si>
    <t>on 5/7/25, 7:00 AM Before Market Eastern Standard Time</t>
  </si>
  <si>
    <t>on 5/7/25, 7:01 AM Before Market Eastern Standard Time</t>
  </si>
  <si>
    <t>on 5/7/25, 7:02 AM Before Market Eastern Standard Time</t>
  </si>
  <si>
    <t>on 5/7/25, 7:03 AM Before Market Eastern Standard Time</t>
  </si>
  <si>
    <t>on 5/7/25, 7:05 AM Before Market Eastern Standard Time</t>
  </si>
  <si>
    <t>on 5/7/25, 7:12 AM Before Market Eastern Standard Time</t>
  </si>
  <si>
    <t>on 5/7/25, 7:15 AM Before Market Eastern Standard Time</t>
  </si>
  <si>
    <t>on 5/7/25, 7:18 AM Before Market Eastern Standard Time</t>
  </si>
  <si>
    <t>on 5/7/25, 7:30 AM Before Market Eastern Standard Time</t>
  </si>
  <si>
    <t>on 5/7/25, 7:33 AM Before Market Eastern Standard Time</t>
  </si>
  <si>
    <t>on 5/7/25, 8:00 AM Before Market Eastern Standard Time</t>
  </si>
  <si>
    <t>on 5/7/25, 8:01 AM Before Market Eastern Standard Time</t>
  </si>
  <si>
    <t>on 5/7/25, 8:04 AM Before Market Eastern Standard Time</t>
  </si>
  <si>
    <t>on 5/7/25, 8:05 AM Before Market Eastern Standard Time</t>
  </si>
  <si>
    <t>on 5/7/25, 8:15 AM Before Market Eastern Standard Time</t>
  </si>
  <si>
    <t>on 5/7/25, 8:30 AM Before Market Eastern Standard Time</t>
  </si>
  <si>
    <t>on 5/7/25, 9:00 AM Before Market Eastern Standard Time</t>
  </si>
  <si>
    <t>on 5/7/25, 12:34 PM During Market Eastern Standard Time</t>
  </si>
  <si>
    <t>on 5/7/25, 4:00 PM After Market Eastern Standard Time</t>
  </si>
  <si>
    <t>on 5/7/25, 4:01 PM After Market Eastern Standard Time</t>
  </si>
  <si>
    <t>on 5/7/25, 4:02 PM After Market Eastern Standard Time</t>
  </si>
  <si>
    <t>on 5/7/25, 4:03 PM After Market Eastern Standard Time</t>
  </si>
  <si>
    <t>on 5/7/25, 4:05 PM After Market Eastern Standard Time</t>
  </si>
  <si>
    <t>on 5/7/25, 4:06 PM After Market Eastern Standard Time</t>
  </si>
  <si>
    <t>on 5/7/25, 4:07 PM After Market Eastern Standard Time</t>
  </si>
  <si>
    <t>on 5/7/25, 4:09 PM After Market Eastern Standard Time</t>
  </si>
  <si>
    <t>on 5/7/25, 4:10 PM After Market Eastern Standard Time</t>
  </si>
  <si>
    <t>on 5/7/25, 4:11 PM After Market Eastern Standard Time</t>
  </si>
  <si>
    <t>on 5/7/25, 4:12 PM After Market Eastern Standard Time</t>
  </si>
  <si>
    <t>on 5/7/25, 4:13 PM After Market Eastern Standard Time</t>
  </si>
  <si>
    <t>on 5/7/25, 4:14 PM After Market Eastern Standard Time</t>
  </si>
  <si>
    <t>on 5/7/25, 4:15 PM After Market Eastern Standard Time</t>
  </si>
  <si>
    <t>on 5/7/25, 4:17 PM After Market Eastern Standard Time</t>
  </si>
  <si>
    <t>on 5/7/25, 4:18 PM After Market Eastern Standard Time</t>
  </si>
  <si>
    <t>on 5/7/25, 4:19 PM After Market Eastern Standard Time</t>
  </si>
  <si>
    <t>on 5/7/25, 4:20 PM After Market Eastern Standard Time</t>
  </si>
  <si>
    <t>on 5/7/25, 4:24 PM After Market Eastern Standard Time</t>
  </si>
  <si>
    <t>on 5/7/25, 4:27 PM After Market Eastern Standard Time</t>
  </si>
  <si>
    <t>on 5/7/25, 4:28 PM After Market Eastern Standard Time</t>
  </si>
  <si>
    <t>on 5/7/25, 4:30 PM After Market Eastern Standard Time</t>
  </si>
  <si>
    <t>on 5/7/25, 4:31 PM After Market Eastern Standard Time</t>
  </si>
  <si>
    <t>on 5/7/25, 4:32 PM After Market Eastern Standard Time</t>
  </si>
  <si>
    <t>on 5/7/25, 4:33 PM After Market Eastern Standard Time</t>
  </si>
  <si>
    <t>on 5/7/25, 4:34 PM After Market Eastern Standard Time</t>
  </si>
  <si>
    <t>on 5/7/25, 4:35 PM After Market Eastern Standard Time</t>
  </si>
  <si>
    <t>on 5/7/25, 4:37 PM After Market Eastern Standard Time</t>
  </si>
  <si>
    <t>on 5/7/25, 4:39 PM After Market Eastern Standard Time</t>
  </si>
  <si>
    <t>on 5/7/25, 4:40 PM After Market Eastern Standard Time</t>
  </si>
  <si>
    <t>on 5/7/25, 4:44 PM After Market Eastern Standard Time</t>
  </si>
  <si>
    <t>on 5/7/25, 4:45 PM After Market Eastern Standard Time</t>
  </si>
  <si>
    <t>on 5/7/25, 5:00 PM After Market Eastern Standard Time</t>
  </si>
  <si>
    <t>on 5/7/25, 5:01 PM After Market Eastern Standard Time</t>
  </si>
  <si>
    <t>on 5/7/25, 5:02 PM After Market Eastern Standard Time</t>
  </si>
  <si>
    <t>on 5/7/25, 5:05 PM After Market Eastern Standard Time</t>
  </si>
  <si>
    <t>on 5/7/25, 5:07 PM After Market Eastern Standard Time</t>
  </si>
  <si>
    <t>on 5/7/25, 5:09 PM After Market Eastern Standard Time</t>
  </si>
  <si>
    <t>on 5/7/25, 5:11 PM After Market Eastern Standard Time</t>
  </si>
  <si>
    <t>on 5/7/25, 5:16 PM After Market Eastern Standard Time</t>
  </si>
  <si>
    <t>on 5/7/25, 5:19 PM After Market Eastern Standard Time</t>
  </si>
  <si>
    <t>on 5/7/25, 5:20 PM After Market Eastern Standard Time</t>
  </si>
  <si>
    <t>on 5/7/25, 5:24 PM After Market Eastern Standard Time</t>
  </si>
  <si>
    <t>on 5/7/25, 5:26 PM After Market Eastern Standard Time</t>
  </si>
  <si>
    <t>on 5/7/25, 5:27 PM After Market Eastern Standard Time</t>
  </si>
  <si>
    <t>on 5/7/25, 5:30 PM After Market Eastern Standard Time</t>
  </si>
  <si>
    <t>on 5/7/25, 5:46 PM After Market Eastern Standard Time</t>
  </si>
  <si>
    <t>on 5/7/25, 5:55 PM After Market Eastern Standard Time</t>
  </si>
  <si>
    <t>on 5/7/25, 6:03 PM After Market Eastern Standard Time</t>
  </si>
  <si>
    <t>on 5/7/25, 6:17 PM After Market Eastern Standard Time</t>
  </si>
  <si>
    <t>on 5/7/25, 6:32 PM After Market Eastern Standard Time</t>
  </si>
  <si>
    <t>on 5/7/25, 8:02 PM After Market Eastern Standard Time</t>
  </si>
  <si>
    <t>on 5/7/25, 8:21 PM After Market Eastern Standard Time</t>
  </si>
  <si>
    <t>on 5/7/25, 9:32 PM After Market Eastern Standard Time</t>
  </si>
  <si>
    <t>on 5/7/25, 9:45 PM After Market Eastern Standard Time</t>
  </si>
  <si>
    <t>on 5/7/25, 11:00 PM After Market Eastern Standard Time</t>
  </si>
  <si>
    <t>on 5/8/25, 1:00 AM After Market Eastern Standard Time</t>
  </si>
  <si>
    <t>on 5/8/25, 1:00 AM Before Market Eastern Standard Time</t>
  </si>
  <si>
    <t>on 5/8/25, 1:00 AM Unspecified Eastern Standard Time</t>
  </si>
  <si>
    <t>KT</t>
  </si>
  <si>
    <t>on 5/8/25, 1:03 AM Before Market Eastern Standard Time</t>
  </si>
  <si>
    <t>on 5/8/25, 2:32 AM Before Market Eastern Standard Time</t>
  </si>
  <si>
    <t>on 5/8/25, 2:36 AM Before Market Eastern Standard Time</t>
  </si>
  <si>
    <t>on 5/8/25, 3:39 AM Before Market Eastern Standard Time</t>
  </si>
  <si>
    <t>on 5/8/25, 4:00 AM Before Market Eastern Standard Time</t>
  </si>
  <si>
    <t>on 5/8/25, 4:04 AM Before Market Eastern Standard Time</t>
  </si>
  <si>
    <t>on 5/8/25, 5:00 AM Before Market Eastern Standard Time</t>
  </si>
  <si>
    <t>on 5/8/25, 5:30 AM Before Market Eastern Standard Time</t>
  </si>
  <si>
    <t>on 5/8/25, 5:59 AM Before Market Eastern Standard Time</t>
  </si>
  <si>
    <t>on 5/8/25, 6:00 AM Before Market Eastern Standard Time</t>
  </si>
  <si>
    <t>SGMT</t>
  </si>
  <si>
    <t>on 5/8/25, 6:08 AM Before Market Eastern Standard Time</t>
  </si>
  <si>
    <t>on 5/8/25, 6:15 AM Before Market Eastern Standard Time</t>
  </si>
  <si>
    <t>on 5/8/25, 6:30 AM Before Market Eastern Standard Time</t>
  </si>
  <si>
    <t>on 5/8/25, 6:32 AM Before Market Eastern Standard Time</t>
  </si>
  <si>
    <t>on 5/8/25, 6:35 AM Before Market Eastern Standard Time</t>
  </si>
  <si>
    <t>on 5/8/25, 6:36 AM Before Market Eastern Standard Time</t>
  </si>
  <si>
    <t>on 5/8/25, 6:37 AM Before Market Eastern Standard Time</t>
  </si>
  <si>
    <t>on 5/8/25, 6:39 AM Before Market Eastern Standard Time</t>
  </si>
  <si>
    <t>on 5/8/25, 6:45 AM Before Market Eastern Standard Time</t>
  </si>
  <si>
    <t>on 5/8/25, 6:50 AM Before Market Eastern Standard Time</t>
  </si>
  <si>
    <t>on 5/8/25, 6:55 AM Before Market Eastern Standard Time</t>
  </si>
  <si>
    <t>BNT</t>
  </si>
  <si>
    <t>on 5/8/25, 6:59 AM Before Market Eastern Standard Time</t>
  </si>
  <si>
    <t>on 5/8/25, 7:00 AM Before Market Eastern Standard Time</t>
  </si>
  <si>
    <t>PRQR</t>
  </si>
  <si>
    <t>EPIX</t>
  </si>
  <si>
    <t>on 5/8/25, 7:05 AM Before Market Eastern Standard Time</t>
  </si>
  <si>
    <t>on 5/8/25, 7:15 AM Before Market Eastern Standard Time</t>
  </si>
  <si>
    <t>on 5/8/25, 7:20 AM Before Market Eastern Standard Time</t>
  </si>
  <si>
    <t>on 5/8/25, 7:30 AM Before Market Eastern Standard Time</t>
  </si>
  <si>
    <t>on 5/8/25, 7:31 AM Before Market Eastern Standard Time</t>
  </si>
  <si>
    <t>on 5/8/25, 7:32 AM Before Market Eastern Standard Time</t>
  </si>
  <si>
    <t>on 5/8/25, 7:34 AM Before Market Eastern Standard Time</t>
  </si>
  <si>
    <t>MKTW</t>
  </si>
  <si>
    <t>on 5/8/25, 7:44 AM Before Market Eastern Standard Time</t>
  </si>
  <si>
    <t>on 5/8/25, 7:55 AM Before Market Eastern Standard Time</t>
  </si>
  <si>
    <t>on 5/8/25, 8:00 AM Before Market Eastern Standard Time</t>
  </si>
  <si>
    <t>LPCN</t>
  </si>
  <si>
    <t>SLN</t>
  </si>
  <si>
    <t>CMPX</t>
  </si>
  <si>
    <t>on 5/8/25, 8:02 AM Before Market Eastern Standard Time</t>
  </si>
  <si>
    <t>on 5/8/25, 8:05 AM Before Market Eastern Standard Time</t>
  </si>
  <si>
    <t>on 5/8/25, 8:29 AM Before Market Eastern Standard Time</t>
  </si>
  <si>
    <t>on 5/8/25, 8:30 AM Before Market Eastern Standard Time</t>
  </si>
  <si>
    <t>on 5/8/25, 9:00 AM Before Market Eastern Standard Time</t>
  </si>
  <si>
    <t>on 5/8/25, 12:39 PM During Market Eastern Standard Time</t>
  </si>
  <si>
    <t>on 5/8/25, 2:00 PM During Market Eastern Standard Time</t>
  </si>
  <si>
    <t>on 5/8/25, 3:13 PM During Market Eastern Standard Time</t>
  </si>
  <si>
    <t>APT</t>
  </si>
  <si>
    <t>on 5/8/25, 3:37 PM During Market Eastern Standard Time</t>
  </si>
  <si>
    <t>on 5/8/25, 4:00 PM After Market Eastern Standard Time</t>
  </si>
  <si>
    <t>on 5/8/25, 4:01 PM After Market Eastern Standard Time</t>
  </si>
  <si>
    <t>TECX</t>
  </si>
  <si>
    <t>on 5/8/25, 4:02 PM After Market Eastern Standard Time</t>
  </si>
  <si>
    <t>on 5/8/25, 4:03 PM After Market Eastern Standard Time</t>
  </si>
  <si>
    <t>on 5/8/25, 4:04 PM After Market Eastern Standard Time</t>
  </si>
  <si>
    <t>on 5/8/25, 4:05 PM After Market Eastern Standard Time</t>
  </si>
  <si>
    <t>on 5/8/25, 4:05 PM Before Market Eastern Standard Time</t>
  </si>
  <si>
    <t>on 5/8/25, 4:06 PM After Market Eastern Standard Time</t>
  </si>
  <si>
    <t>on 5/8/25, 4:07 PM After Market Eastern Standard Time</t>
  </si>
  <si>
    <t>on 5/8/25, 4:08 PM After Market Eastern Standard Time</t>
  </si>
  <si>
    <t>on 5/8/25, 4:09 PM After Market Eastern Standard Time</t>
  </si>
  <si>
    <t>on 5/8/25, 4:10 PM After Market Eastern Standard Time</t>
  </si>
  <si>
    <t>on 5/8/25, 4:11 PM After Market Eastern Standard Time</t>
  </si>
  <si>
    <t>on 5/8/25, 4:13 PM After Market Eastern Standard Time</t>
  </si>
  <si>
    <t>on 5/8/25, 4:14 PM After Market Eastern Standard Time</t>
  </si>
  <si>
    <t>on 5/8/25, 4:15 PM After Market Eastern Standard Time</t>
  </si>
  <si>
    <t>on 5/8/25, 4:17 PM After Market Eastern Standard Time</t>
  </si>
  <si>
    <t>on 5/8/25, 4:21 PM After Market Eastern Standard Time</t>
  </si>
  <si>
    <t>on 5/8/25, 4:22 PM After Market Eastern Standard Time</t>
  </si>
  <si>
    <t>on 5/8/25, 4:24 PM Before Market Eastern Standard Time</t>
  </si>
  <si>
    <t>on 5/8/25, 4:30 PM After Market Eastern Standard Time</t>
  </si>
  <si>
    <t>on 5/8/25, 4:31 PM After Market Eastern Standard Time</t>
  </si>
  <si>
    <t>on 5/8/25, 4:32 PM After Market Eastern Standard Time</t>
  </si>
  <si>
    <t>TWNP</t>
  </si>
  <si>
    <t>on 5/8/25, 4:40 PM After Market Eastern Standard Time</t>
  </si>
  <si>
    <t>on 5/8/25, 4:45 PM After Market Eastern Standard Time</t>
  </si>
  <si>
    <t>on 5/8/25, 4:51 PM After Market Eastern Standard Time</t>
  </si>
  <si>
    <t>on 5/8/25, 4:52 PM After Market Eastern Standard Time</t>
  </si>
  <si>
    <t>on 5/8/25, 4:53 PM After Market Eastern Standard Time</t>
  </si>
  <si>
    <t>on 5/8/25, 4:55 PM After Market Eastern Standard Time</t>
  </si>
  <si>
    <t>on 5/8/25, 5:00 PM After Market Eastern Standard Time</t>
  </si>
  <si>
    <t>on 5/8/25, 5:01 PM After Market Eastern Standard Time</t>
  </si>
  <si>
    <t>ERLFF</t>
  </si>
  <si>
    <t>on 5/8/25, 5:04 PM After Market Eastern Standard Time</t>
  </si>
  <si>
    <t>on 5/8/25, 5:05 PM After Market Eastern Standard Time</t>
  </si>
  <si>
    <t>on 5/8/25, 5:07 PM After Market Eastern Standard Time</t>
  </si>
  <si>
    <t>DPRO</t>
  </si>
  <si>
    <t>on 5/8/25, 5:11 PM After Market Eastern Standard Time</t>
  </si>
  <si>
    <t>on 5/8/25, 5:15 PM After Market Eastern Standard Time</t>
  </si>
  <si>
    <t>on 5/8/25, 5:28 PM After Market Eastern Standard Time</t>
  </si>
  <si>
    <t>on 5/8/25, 5:30 PM After Market Eastern Standard Time</t>
  </si>
  <si>
    <t>on 5/8/25, 5:39 PM After Market Eastern Standard Time</t>
  </si>
  <si>
    <t>on 5/8/25, 5:40 PM After Market Eastern Standard Time</t>
  </si>
  <si>
    <t>on 5/8/25, 5:45 PM After Market Eastern Standard Time</t>
  </si>
  <si>
    <t>on 5/8/25, 5:53 PM After Market Eastern Standard Time</t>
  </si>
  <si>
    <t>on 5/8/25, 5:55 PM After Market Eastern Standard Time</t>
  </si>
  <si>
    <t>on 5/8/25, 6:00 PM After Market Eastern Standard Time</t>
  </si>
  <si>
    <t>WRN</t>
  </si>
  <si>
    <t>on 5/8/25, 7:13 PM After Market Eastern Standard Time</t>
  </si>
  <si>
    <t>on 5/9/25, 1:00 AM Before Market Eastern Standard Time</t>
  </si>
  <si>
    <t>on 5/9/25, 1:00 AM Unspecified Eastern Standard Time</t>
  </si>
  <si>
    <t>on 5/9/25, 1:00 AM During Market Eastern Standard Time</t>
  </si>
  <si>
    <t>on 5/9/25, 6:00 AM Before Market Eastern Standard Time</t>
  </si>
  <si>
    <t>on 5/9/25, 6:15 AM Before Market Eastern Standard Time</t>
  </si>
  <si>
    <t>on 5/9/25, 6:30 AM Before Market Eastern Standard Time</t>
  </si>
  <si>
    <t>on 5/9/25, 6:45 AM Before Market Eastern Standard Time</t>
  </si>
  <si>
    <t>CTM</t>
  </si>
  <si>
    <t>on 5/9/25, 6:50 AM Before Market Eastern Standard Time</t>
  </si>
  <si>
    <t>on 5/9/25, 7:00 AM Before Market Eastern Standard Time</t>
  </si>
  <si>
    <t>on 5/9/25, 7:05 AM Before Market Eastern Standard Time</t>
  </si>
  <si>
    <t>on 5/9/25, 7:30 AM Before Market Eastern Standard Time</t>
  </si>
  <si>
    <t>NGNE</t>
  </si>
  <si>
    <t>on 5/9/25, 7:30 AM After Market Eastern Standard Time</t>
  </si>
  <si>
    <t>on 5/9/25, 7:50 AM Before Market Eastern Standard Time</t>
  </si>
  <si>
    <t>on 5/9/25, 7:55 AM Before Market Eastern Standard Time</t>
  </si>
  <si>
    <t>on 5/9/25, 8:00 AM Before Market Eastern Standard Time</t>
  </si>
  <si>
    <t>on 5/9/25, 8:01 AM Before Market Eastern Standard Time</t>
  </si>
  <si>
    <t>on 5/9/25, 8:15 AM Before Market Eastern Standard Time</t>
  </si>
  <si>
    <t>SLI</t>
  </si>
  <si>
    <t>on 5/9/25, 8:30 AM Before Market Eastern Standard Time</t>
  </si>
  <si>
    <t>on 5/9/25, 8:40 AM Before Market Eastern Standard Time</t>
  </si>
  <si>
    <t>on 5/9/25, 9:03 AM Before Market Eastern Standard Time</t>
  </si>
  <si>
    <t>on 5/9/25, 10:41 AM During Market Eastern Standard Time</t>
  </si>
  <si>
    <t>on 5/9/25, 2:00 PM During Market Eastern Standard Time</t>
  </si>
  <si>
    <t>on 5/9/25, 2:45 PM Unspecified Eastern Standard Time</t>
  </si>
  <si>
    <t>on 5/9/25, 4:00 PM After Market Eastern Standard Time</t>
  </si>
  <si>
    <t>on 5/9/25, 4:01 PM After Market Eastern Standard Time</t>
  </si>
  <si>
    <t>on 5/9/25, 4:02 PM After Market Eastern Standard Time</t>
  </si>
  <si>
    <t>on 5/9/25, 4:03 PM After Market Eastern Standard Time</t>
  </si>
  <si>
    <t>on 5/9/25, 4:05 PM After Market Eastern Standard Time</t>
  </si>
  <si>
    <t>ATHA</t>
  </si>
  <si>
    <t>on 5/9/25, 4:09 PM After Market Eastern Standard Time</t>
  </si>
  <si>
    <t>MSGM</t>
  </si>
  <si>
    <t>on 5/9/25, 4:10 PM After Market Eastern Standard Time</t>
  </si>
  <si>
    <t>on 5/9/25, 4:15 PM After Market Eastern Standard Time</t>
  </si>
  <si>
    <t>on 5/9/25, 4:17 PM After Market Eastern Standard Time</t>
  </si>
  <si>
    <t>on 5/9/25, 4:30 PM After Market Eastern Standard Time</t>
  </si>
  <si>
    <t>on 5/9/25, 5:21 PM After Market Eastern Standard Time</t>
  </si>
  <si>
    <t>on 5/9/25, 5:39 PM After Market Eastern Standard Time</t>
  </si>
  <si>
    <t>on 5/11/25, 4:00 PM Unspecified Eastern Standard Time</t>
  </si>
  <si>
    <t>on 5/12/25, 1:00 AM Unspecified Eastern Standard Time</t>
  </si>
  <si>
    <t>on 5/12/25, 1:00 AM After Market Eastern Standard Time</t>
  </si>
  <si>
    <t>on 5/12/25, 2:00 AM Before Market Eastern Standard Time</t>
  </si>
  <si>
    <t>on 5/12/25, 6:00 AM Before Market Eastern Standard Time</t>
  </si>
  <si>
    <t>on 5/12/25, 6:05 AM Before Market Eastern Standard Time</t>
  </si>
  <si>
    <t>on 5/12/25, 6:15 AM Before Market Eastern Standard Time</t>
  </si>
  <si>
    <t>on 5/12/25, 6:21 AM Before Market Eastern Standard Time</t>
  </si>
  <si>
    <t>on 5/12/25, 6:30 AM Before Market Eastern Standard Time</t>
  </si>
  <si>
    <t>on 5/12/25, 6:40 AM Before Market Eastern Standard Time</t>
  </si>
  <si>
    <t>on 5/12/25, 6:45 AM Before Market Eastern Standard Time</t>
  </si>
  <si>
    <t>on 5/12/25, 7:00 AM Before Market Eastern Standard Time</t>
  </si>
  <si>
    <t>on 5/12/25, 7:21 AM Before Market Eastern Standard Time</t>
  </si>
  <si>
    <t>on 5/12/25, 7:30 AM Before Market Eastern Standard Time</t>
  </si>
  <si>
    <t>on 5/12/25, 7:30 AM After Market Eastern Standard Time</t>
  </si>
  <si>
    <t>on 5/12/25, 7:33 AM Before Market Eastern Standard Time</t>
  </si>
  <si>
    <t>on 5/12/25, 8:00 AM Before Market Eastern Standard Time</t>
  </si>
  <si>
    <t>on 5/12/25, 8:04 AM Before Market Eastern Standard Time</t>
  </si>
  <si>
    <t>on 5/12/25, 8:15 AM Before Market Eastern Standard Time</t>
  </si>
  <si>
    <t>on 5/12/25, 9:00 AM Before Market Eastern Standard Time</t>
  </si>
  <si>
    <t>on 5/12/25, 9:05 AM Before Market Eastern Standard Time</t>
  </si>
  <si>
    <t>on 5/12/25, 12:00 PM During Market Eastern Standard Time</t>
  </si>
  <si>
    <t>on 5/12/25, 12:34 PM During Market Eastern Standard Time</t>
  </si>
  <si>
    <t>on 5/12/25, 4:00 PM After Market Eastern Standard Time</t>
  </si>
  <si>
    <t>OMEX</t>
  </si>
  <si>
    <t>on 5/12/25, 4:01 PM After Market Eastern Standard Time</t>
  </si>
  <si>
    <t>BLNK</t>
  </si>
  <si>
    <t>on 5/12/25, 4:02 PM After Market Eastern Standard Time</t>
  </si>
  <si>
    <t>on 5/12/25, 4:03 PM After Market Eastern Standard Time</t>
  </si>
  <si>
    <t>on 5/12/25, 4:04 PM After Market Eastern Standard Time</t>
  </si>
  <si>
    <t>on 5/12/25, 4:05 PM After Market Eastern Standard Time</t>
  </si>
  <si>
    <t>BOLT</t>
  </si>
  <si>
    <t>INR</t>
  </si>
  <si>
    <t>OCX</t>
  </si>
  <si>
    <t>on 5/12/25, 4:06 PM After Market Eastern Standard Time</t>
  </si>
  <si>
    <t>on 5/12/25, 4:07 PM After Market Eastern Standard Time</t>
  </si>
  <si>
    <t>on 5/12/25, 4:10 PM After Market Eastern Standard Time</t>
  </si>
  <si>
    <t>on 5/12/25, 4:11 PM After Market Eastern Standard Time</t>
  </si>
  <si>
    <t>on 5/12/25, 4:12 PM After Market Eastern Standard Time</t>
  </si>
  <si>
    <t>on 5/12/25, 4:14 PM After Market Eastern Standard Time</t>
  </si>
  <si>
    <t>on 5/12/25, 4:15 PM After Market Eastern Standard Time</t>
  </si>
  <si>
    <t>on 5/12/25, 4:17 PM After Market Eastern Standard Time</t>
  </si>
  <si>
    <t>on 5/12/25, 4:20 PM After Market Eastern Standard Time</t>
  </si>
  <si>
    <t>on 5/12/25, 4:30 PM After Market Eastern Standard Time</t>
  </si>
  <si>
    <t>on 5/12/25, 4:35 PM After Market Eastern Standard Time</t>
  </si>
  <si>
    <t>ZVSA</t>
  </si>
  <si>
    <t>on 5/12/25, 4:36 PM After Market Eastern Standard Time</t>
  </si>
  <si>
    <t>on 5/12/25, 4:44 PM After Market Eastern Standard Time</t>
  </si>
  <si>
    <t>on 5/12/25, 4:45 PM After Market Eastern Standard Time</t>
  </si>
  <si>
    <t>AIRJ</t>
  </si>
  <si>
    <t>on 5/12/25, 4:50 PM After Market Eastern Standard Time</t>
  </si>
  <si>
    <t>on 5/12/25, 4:56 PM After Market Eastern Standard Time</t>
  </si>
  <si>
    <t>on 5/12/25, 4:57 PM After Market Eastern Standard Time</t>
  </si>
  <si>
    <t>on 5/12/25, 5:00 PM After Market Eastern Standard Time</t>
  </si>
  <si>
    <t>on 5/12/25, 5:09 PM After Market Eastern Standard Time</t>
  </si>
  <si>
    <t>on 5/12/25, 5:10 PM After Market Eastern Standard Time</t>
  </si>
  <si>
    <t>on 5/12/25, 5:15 PM After Market Eastern Standard Time</t>
  </si>
  <si>
    <t>on 5/12/25, 5:30 PM After Market Eastern Standard Time</t>
  </si>
  <si>
    <t>on 5/12/25, 5:34 PM Before Market Eastern Standard Time</t>
  </si>
  <si>
    <t>on 5/12/25, 5:50 PM After Market Eastern Standard Time</t>
  </si>
  <si>
    <t>on 5/12/25, 6:10 PM After Market Eastern Standard Time</t>
  </si>
  <si>
    <t>on 5/12/25, 6:42 PM After Market Eastern Standard Time</t>
  </si>
  <si>
    <t>NAK</t>
  </si>
  <si>
    <t>on 5/12/25, 6:54 PM After Market Eastern Standard Time</t>
  </si>
  <si>
    <t>on 5/12/25, 6:56 PM After Market Eastern Standard Time</t>
  </si>
  <si>
    <t>GORO</t>
  </si>
  <si>
    <t>on 5/12/25, 7:12 PM After Market Eastern Standard Time</t>
  </si>
  <si>
    <t>on 5/12/25, 8:48 PM Before Market Eastern Standard Time</t>
  </si>
  <si>
    <t>on 5/13/25, 1:00 AM Before Market Eastern Standard Time</t>
  </si>
  <si>
    <t>on 5/13/25, 1:00 AM Unspecified Eastern Standard Time</t>
  </si>
  <si>
    <t>KEP</t>
  </si>
  <si>
    <t>on 5/13/25, 3:00 AM Before Market Eastern Standard Time</t>
  </si>
  <si>
    <t>on 5/13/25, 5:00 AM Before Market Eastern Standard Time</t>
  </si>
  <si>
    <t>on 5/13/25, 6:00 AM Before Market Eastern Standard Time</t>
  </si>
  <si>
    <t>on 5/13/25, 6:03 AM Before Market Eastern Standard Time</t>
  </si>
  <si>
    <t>on 5/13/25, 6:11 AM Before Market Eastern Standard Time</t>
  </si>
  <si>
    <t>on 5/13/25, 6:30 AM Before Market Eastern Standard Time</t>
  </si>
  <si>
    <t>on 5/13/25, 6:35 AM Before Market Eastern Standard Time</t>
  </si>
  <si>
    <t>on 5/13/25, 6:40 AM Before Market Eastern Standard Time</t>
  </si>
  <si>
    <t>on 5/13/25, 6:50 AM Before Market Eastern Standard Time</t>
  </si>
  <si>
    <t>on 5/13/25, 6:55 AM Before Market Eastern Standard Time</t>
  </si>
  <si>
    <t>on 5/13/25, 7:00 AM Before Market Eastern Standard Time</t>
  </si>
  <si>
    <t>IMTX</t>
  </si>
  <si>
    <t>ABOS</t>
  </si>
  <si>
    <t>on 5/13/25, 7:01 AM Before Market Eastern Standard Time</t>
  </si>
  <si>
    <t>on 5/13/25, 7:05 AM Before Market Eastern Standard Time</t>
  </si>
  <si>
    <t>on 5/13/25, 7:30 AM Before Market Eastern Standard Time</t>
  </si>
  <si>
    <t>MREO</t>
  </si>
  <si>
    <t>ADAP</t>
  </si>
  <si>
    <t>on 5/13/25, 7:50 AM After Market Eastern Standard Time</t>
  </si>
  <si>
    <t>on 5/13/25, 8:00 AM Before Market Eastern Standard Time</t>
  </si>
  <si>
    <t>LITB</t>
  </si>
  <si>
    <t>ALTS</t>
  </si>
  <si>
    <t>OVID</t>
  </si>
  <si>
    <t>CADL</t>
  </si>
  <si>
    <t>on 5/13/25, 8:05 AM Before Market Eastern Standard Time</t>
  </si>
  <si>
    <t>on 5/13/25, 8:30 AM Before Market Eastern Standard Time</t>
  </si>
  <si>
    <t>on 5/13/25, 1:31 PM During Market Eastern Standard Time</t>
  </si>
  <si>
    <t>on 5/13/25, 4:00 PM After Market Eastern Standard Time</t>
  </si>
  <si>
    <t>on 5/13/25, 4:01 PM After Market Eastern Standard Time</t>
  </si>
  <si>
    <t>ICAD</t>
  </si>
  <si>
    <t>KYTX</t>
  </si>
  <si>
    <t>on 5/13/25, 4:02 PM After Market Eastern Standard Time</t>
  </si>
  <si>
    <t>FLYX</t>
  </si>
  <si>
    <t>on 5/13/25, 4:03 PM After Market Eastern Standard Time</t>
  </si>
  <si>
    <t>on 5/13/25, 4:04 PM After Market Eastern Standard Time</t>
  </si>
  <si>
    <t>on 5/13/25, 4:05 PM After Market Eastern Standard Time</t>
  </si>
  <si>
    <t>PHVS</t>
  </si>
  <si>
    <t>ANEB</t>
  </si>
  <si>
    <t>VLDX</t>
  </si>
  <si>
    <t>SLS</t>
  </si>
  <si>
    <t>RZLT</t>
  </si>
  <si>
    <t>on 5/13/25, 4:06 PM After Market Eastern Standard Time</t>
  </si>
  <si>
    <t>DLPN</t>
  </si>
  <si>
    <t>on 5/13/25, 4:08 PM After Market Eastern Standard Time</t>
  </si>
  <si>
    <t>on 5/13/25, 4:10 PM After Market Eastern Standard Time</t>
  </si>
  <si>
    <t>on 5/13/25, 4:15 PM After Market Eastern Standard Time</t>
  </si>
  <si>
    <t>FGI</t>
  </si>
  <si>
    <t>ENSC</t>
  </si>
  <si>
    <t>CINT</t>
  </si>
  <si>
    <t>on 5/13/25, 4:21 PM After Market Eastern Standard Time</t>
  </si>
  <si>
    <t>SATL</t>
  </si>
  <si>
    <t>on 5/13/25, 4:23 PM After Market Eastern Standard Time</t>
  </si>
  <si>
    <t>on 5/13/25, 4:28 PM After Market Eastern Standard Time</t>
  </si>
  <si>
    <t>on 5/13/25, 4:30 PM After Market Eastern Standard Time</t>
  </si>
  <si>
    <t>DAC</t>
  </si>
  <si>
    <t>on 5/13/25, 4:33 PM After Market Eastern Standard Time</t>
  </si>
  <si>
    <t>VSTM</t>
  </si>
  <si>
    <t>on 5/13/25, 4:34 PM After Market Eastern Standard Time</t>
  </si>
  <si>
    <t>on 5/13/25, 4:36 PM After Market Eastern Standard Time</t>
  </si>
  <si>
    <t>on 5/13/25, 4:39 PM After Market Eastern Standard Time</t>
  </si>
  <si>
    <t>on 5/13/25, 4:43 PM After Market Eastern Standard Time</t>
  </si>
  <si>
    <t>SLXN</t>
  </si>
  <si>
    <t>on 5/13/25, 4:45 PM After Market Eastern Standard Time</t>
  </si>
  <si>
    <t>on 5/13/25, 4:47 PM After Market Eastern Standard Time</t>
  </si>
  <si>
    <t>on 5/13/25, 4:56 PM After Market Eastern Standard Time</t>
  </si>
  <si>
    <t>on 5/13/25, 4:58 PM After Market Eastern Standard Time</t>
  </si>
  <si>
    <t>on 5/13/25, 5:00 PM After Market Eastern Standard Time</t>
  </si>
  <si>
    <t>on 5/13/25, 5:02 PM After Market Eastern Standard Time</t>
  </si>
  <si>
    <t>on 5/13/25, 5:12 PM After Market Eastern Standard Time</t>
  </si>
  <si>
    <t>on 5/13/25, 5:20 PM After Market Eastern Standard Time</t>
  </si>
  <si>
    <t>NUTX</t>
  </si>
  <si>
    <t>on 5/13/25, 5:43 PM After Market Eastern Standard Time</t>
  </si>
  <si>
    <t>on 5/13/25, 5:44 PM After Market Eastern Standard Time</t>
  </si>
  <si>
    <t>on 5/13/25, 5:57 PM After Market Eastern Standard Time</t>
  </si>
  <si>
    <t>on 5/13/25, 6:28 PM After Market Eastern Standard Time</t>
  </si>
  <si>
    <t>on 5/13/25, 7:09 PM After Market Eastern Standard Time</t>
  </si>
  <si>
    <t>on 5/13/25, 8:30 PM After Market Eastern Standard Time</t>
  </si>
  <si>
    <t>on 5/13/25, 8:37 PM After Market Eastern Standard Time</t>
  </si>
  <si>
    <t>on 5/13/25, 9:00 PM After Market Eastern Standard Time</t>
  </si>
  <si>
    <t>on 5/14/25, 1:00 AM Unspecified Eastern Standard Time</t>
  </si>
  <si>
    <t>on 5/14/25, 1:00 AM Before Market Eastern Standard Time</t>
  </si>
  <si>
    <t>on 5/14/25, 1:14 AM Before Market Eastern Standard Time</t>
  </si>
  <si>
    <t>on 5/14/25, 6:00 AM Before Market Eastern Standard Time</t>
  </si>
  <si>
    <t>on 5/14/25, 6:04 AM Before Market Eastern Standard Time</t>
  </si>
  <si>
    <t>on 5/14/25, 6:30 AM Before Market Eastern Standard Time</t>
  </si>
  <si>
    <t>DRIO</t>
  </si>
  <si>
    <t>on 5/14/25, 7:00 AM Before Market Eastern Standard Time</t>
  </si>
  <si>
    <t>on 5/14/25, 7:04 AM Before Market Eastern Standard Time</t>
  </si>
  <si>
    <t>on 5/14/25, 7:15 AM Before Market Eastern Standard Time</t>
  </si>
  <si>
    <t>on 5/14/25, 7:17 AM Before Market Eastern Standard Time</t>
  </si>
  <si>
    <t>on 5/14/25, 7:30 AM Before Market Eastern Standard Time</t>
  </si>
  <si>
    <t>PDSB</t>
  </si>
  <si>
    <t>on 5/14/25, 7:33 AM Before Market Eastern Standard Time</t>
  </si>
  <si>
    <t>on 5/14/25, 8:00 AM Before Market Eastern Standard Time</t>
  </si>
  <si>
    <t>on 5/14/25, 8:15 AM Before Market Eastern Standard Time</t>
  </si>
  <si>
    <t>STRR</t>
  </si>
  <si>
    <t>on 5/14/25, 8:30 AM Before Market Eastern Standard Time</t>
  </si>
  <si>
    <t>on 5/14/25, 8:40 AM Before Market Eastern Standard Time</t>
  </si>
  <si>
    <t>on 5/14/25, 9:10 AM Before Market Eastern Standard Time</t>
  </si>
  <si>
    <t>on 5/14/25, 11:38 AM During Market Eastern Standard Time</t>
  </si>
  <si>
    <t>on 5/14/25, 2:10 PM During Market Eastern Standard Time</t>
  </si>
  <si>
    <t>on 5/14/25, 4:00 PM After Market Eastern Standard Time</t>
  </si>
  <si>
    <t>RCAT</t>
  </si>
  <si>
    <t>on 5/14/25, 4:01 PM After Market Eastern Standard Time</t>
  </si>
  <si>
    <t>on 5/14/25, 4:02 PM After Market Eastern Standard Time</t>
  </si>
  <si>
    <t>on 5/14/25, 4:03 PM After Market Eastern Standard Time</t>
  </si>
  <si>
    <t>on 5/14/25, 4:05 PM After Market Eastern Standard Time</t>
  </si>
  <si>
    <t>on 5/14/25, 4:05 PM Before Market Eastern Standard Time</t>
  </si>
  <si>
    <t>on 5/14/25, 4:06 PM After Market Eastern Standard Time</t>
  </si>
  <si>
    <t>on 5/14/25, 4:07 PM After Market Eastern Standard Time</t>
  </si>
  <si>
    <t>on 5/14/25, 4:08 PM After Market Eastern Standard Time</t>
  </si>
  <si>
    <t>on 5/14/25, 4:09 PM After Market Eastern Standard Time</t>
  </si>
  <si>
    <t>on 5/14/25, 4:10 PM After Market Eastern Standard Time</t>
  </si>
  <si>
    <t>on 5/14/25, 4:11 PM After Market Eastern Standard Time</t>
  </si>
  <si>
    <t>on 5/14/25, 4:12 PM After Market Eastern Standard Time</t>
  </si>
  <si>
    <t>on 5/14/25, 4:14 PM After Market Eastern Standard Time</t>
  </si>
  <si>
    <t>on 5/14/25, 4:15 PM After Market Eastern Standard Time</t>
  </si>
  <si>
    <t>on 5/14/25, 4:20 PM After Market Eastern Standard Time</t>
  </si>
  <si>
    <t>on 5/14/25, 4:24 PM After Market Eastern Standard Time</t>
  </si>
  <si>
    <t>on 5/14/25, 4:29 PM After Market Eastern Standard Time</t>
  </si>
  <si>
    <t>on 5/14/25, 4:30 PM After Market Eastern Standard Time</t>
  </si>
  <si>
    <t>on 5/14/25, 4:33 PM After Market Eastern Standard Time</t>
  </si>
  <si>
    <t>on 5/14/25, 4:41 PM After Market Eastern Standard Time</t>
  </si>
  <si>
    <t>on 5/14/25, 4:43 PM After Market Eastern Standard Time</t>
  </si>
  <si>
    <t>on 5/14/25, 4:45 PM After Market Eastern Standard Time</t>
  </si>
  <si>
    <t>on 5/14/25, 4:51 PM After Market Eastern Standard Time</t>
  </si>
  <si>
    <t>on 5/14/25, 5:00 PM After Market Eastern Standard Time</t>
  </si>
  <si>
    <t>on 5/14/25, 5:02 PM After Market Eastern Standard Time</t>
  </si>
  <si>
    <t>on 5/14/25, 5:13 PM After Market Eastern Standard Time</t>
  </si>
  <si>
    <t>on 5/14/25, 5:14 PM After Market Eastern Standard Time</t>
  </si>
  <si>
    <t>on 5/14/25, 5:19 PM After Market Eastern Standard Time</t>
  </si>
  <si>
    <t>on 5/14/25, 5:24 PM After Market Eastern Standard Time</t>
  </si>
  <si>
    <t>on 5/14/25, 5:25 PM After Market Eastern Standard Time</t>
  </si>
  <si>
    <t>on 5/14/25, 5:30 PM After Market Eastern Standard Time</t>
  </si>
  <si>
    <t>on 5/14/25, 5:34 PM After Market Eastern Standard Time</t>
  </si>
  <si>
    <t>on 5/14/25, 6:38 PM After Market Eastern Standard Time</t>
  </si>
  <si>
    <t>on 5/14/25, 8:58 PM After Market Eastern Standard Time</t>
  </si>
  <si>
    <t>on 5/15/25, 12:04 AM Before Market Eastern Standard Time</t>
  </si>
  <si>
    <t>on 5/15/25, 12:30 AM Before Market Eastern Standard Time</t>
  </si>
  <si>
    <t>on 5/15/25, 1:00 AM Before Market Eastern Standard Time</t>
  </si>
  <si>
    <t>on 5/15/25, 1:00 AM Unspecified Eastern Standard Time</t>
  </si>
  <si>
    <t>on 5/15/25, 1:00 AM After Market Eastern Standard Time</t>
  </si>
  <si>
    <t>on 5/15/25, 1:26 AM Unspecified Eastern Standard Time</t>
  </si>
  <si>
    <t>on 5/15/25, 1:30 AM Unspecified Eastern Standard Time</t>
  </si>
  <si>
    <t>on 5/15/25, 2:00 AM Before Market Eastern Standard Time</t>
  </si>
  <si>
    <t>on 5/15/25, 4:30 AM Before Market Eastern Standard Time</t>
  </si>
  <si>
    <t>on 5/15/25, 5:30 AM Before Market Eastern Standard Time</t>
  </si>
  <si>
    <t>on 5/15/25, 5:35 AM Before Market Eastern Standard Time</t>
  </si>
  <si>
    <t>on 5/15/25, 6:00 AM Before Market Eastern Standard Time</t>
  </si>
  <si>
    <t>on 5/15/25, 6:01 AM Before Market Eastern Standard Time</t>
  </si>
  <si>
    <t>on 5/15/25, 6:30 AM Before Market Eastern Standard Time</t>
  </si>
  <si>
    <t>on 5/15/25, 6:50 AM Before Market Eastern Standard Time</t>
  </si>
  <si>
    <t>on 5/15/25, 7:00 AM Before Market Eastern Standard Time</t>
  </si>
  <si>
    <t>on 5/15/25, 7:00 AM Unspecified Eastern Standard Time</t>
  </si>
  <si>
    <t>on 5/15/25, 7:01 AM Before Market Eastern Standard Time</t>
  </si>
  <si>
    <t>on 5/15/25, 7:02 AM Before Market Eastern Standard Time</t>
  </si>
  <si>
    <t>on 5/15/25, 7:05 AM Before Market Eastern Standard Time</t>
  </si>
  <si>
    <t>on 5/15/25, 7:10 AM Before Market Eastern Standard Time</t>
  </si>
  <si>
    <t>on 5/15/25, 7:30 AM Before Market Eastern Standard Time</t>
  </si>
  <si>
    <t>on 5/15/25, 7:31 AM Before Market Eastern Standard Time</t>
  </si>
  <si>
    <t>on 5/15/25, 7:49 AM Before Market Eastern Standard Time</t>
  </si>
  <si>
    <t>on 5/15/25, 8:00 AM Before Market Eastern Standard Time</t>
  </si>
  <si>
    <t>on 5/15/25, 8:01 AM Before Market Eastern Standard Time</t>
  </si>
  <si>
    <t>on 5/15/25, 8:28 AM Unspecified Eastern Standard Time</t>
  </si>
  <si>
    <t>on 5/15/25, 8:30 AM After Market Eastern Standard Time</t>
  </si>
  <si>
    <t>on 5/15/25, 8:30 AM Before Market Eastern Standard Time</t>
  </si>
  <si>
    <t>on 5/15/25, 8:35 AM After Market Eastern Standard Time</t>
  </si>
  <si>
    <t>on 5/15/25, 8:45 AM Before Market Eastern Standard Time</t>
  </si>
  <si>
    <t>on 5/15/25, 9:00 AM Before Market Eastern Standard Time</t>
  </si>
  <si>
    <t>on 5/15/25, 9:15 AM Before Market Eastern Standard Time</t>
  </si>
  <si>
    <t>on 5/15/25, 9:20 AM Before Market Eastern Standard Time</t>
  </si>
  <si>
    <t>on 5/15/25, 10:07 AM During Market Eastern Standard Time</t>
  </si>
  <si>
    <t>on 5/15/25, 11:07 AM During Market Eastern Standard Time</t>
  </si>
  <si>
    <t>on 5/15/25, 1:04 PM During Market Eastern Standard Time</t>
  </si>
  <si>
    <t>on 5/15/25, 2:30 PM Unspecified Eastern Standard Time</t>
  </si>
  <si>
    <t>on 5/15/25, 3:47 PM During Market Eastern Standard Time</t>
  </si>
  <si>
    <t>on 5/15/25, 4:00 PM After Market Eastern Standard Time</t>
  </si>
  <si>
    <t>on 5/15/25, 4:01 PM After Market Eastern Standard Time</t>
  </si>
  <si>
    <t>on 5/15/25, 4:03 PM After Market Eastern Standard Time</t>
  </si>
  <si>
    <t>on 5/15/25, 4:05 PM After Market Eastern Standard Time</t>
  </si>
  <si>
    <t>on 5/15/25, 4:06 PM After Market Eastern Standard Time</t>
  </si>
  <si>
    <t>on 5/15/25, 4:08 PM After Market Eastern Standard Time</t>
  </si>
  <si>
    <t>on 5/15/25, 4:10 PM After Market Eastern Standard Time</t>
  </si>
  <si>
    <t>on 5/15/25, 4:15 PM After Market Eastern Standard Time</t>
  </si>
  <si>
    <t>FLNT</t>
  </si>
  <si>
    <t>on 5/15/25, 4:16 PM After Market Eastern Standard Time</t>
  </si>
  <si>
    <t>on 5/15/25, 4:18 PM After Market Eastern Standard Time</t>
  </si>
  <si>
    <t>on 5/15/25, 4:20 PM After Market Eastern Standard Time</t>
  </si>
  <si>
    <t>on 5/15/25, 4:23 PM After Market Eastern Standard Time</t>
  </si>
  <si>
    <t>on 5/15/25, 4:27 PM After Market Eastern Standard Time</t>
  </si>
  <si>
    <t>SWAG</t>
  </si>
  <si>
    <t>on 5/15/25, 4:30 PM After Market Eastern Standard Time</t>
  </si>
  <si>
    <t>on 5/15/25, 4:31 PM After Market Eastern Standard Time</t>
  </si>
  <si>
    <t>on 5/15/25, 4:33 PM After Market Eastern Standard Time</t>
  </si>
  <si>
    <t>on 5/15/25, 4:34 PM After Market Eastern Standard Time</t>
  </si>
  <si>
    <t>on 5/15/25, 4:40 PM After Market Eastern Standard Time</t>
  </si>
  <si>
    <t>on 5/15/25, 4:42 PM After Market Eastern Standard Time</t>
  </si>
  <si>
    <t>on 5/15/25, 4:45 PM After Market Eastern Standard Time</t>
  </si>
  <si>
    <t>on 5/15/25, 4:47 PM After Market Eastern Standard Time</t>
  </si>
  <si>
    <t>on 5/15/25, 4:57 PM After Market Eastern Standard Time</t>
  </si>
  <si>
    <t>on 5/15/25, 5:00 PM After Market Eastern Standard Time</t>
  </si>
  <si>
    <t>on 5/15/25, 5:07 PM After Market Eastern Standard Time</t>
  </si>
  <si>
    <t>on 5/15/25, 5:09 PM After Market Eastern Standard Time</t>
  </si>
  <si>
    <t>on 5/15/25, 5:15 PM After Market Eastern Standard Time</t>
  </si>
  <si>
    <t>NMAX</t>
  </si>
  <si>
    <t>on 5/15/25, 5:22 PM After Market Eastern Standard Time</t>
  </si>
  <si>
    <t>on 5/15/25, 5:25 PM After Market Eastern Standard Time</t>
  </si>
  <si>
    <t>on 5/15/25, 5:27 PM After Market Eastern Standard Time</t>
  </si>
  <si>
    <t>on 5/15/25, 5:35 PM After Market Eastern Standard Time</t>
  </si>
  <si>
    <t>on 5/15/25, 9:59 PM After Market Eastern Standard Time</t>
  </si>
  <si>
    <t>on 5/16/25, 1:00 AM Unspecified Eastern Standard Time</t>
  </si>
  <si>
    <t>on 5/16/25, 5:00 AM Before Market Eastern Standard Time</t>
  </si>
  <si>
    <t>on 5/16/25, 5:30 AM Before Market Eastern Standard Time</t>
  </si>
  <si>
    <t>on 5/16/25, 6:36 AM Before Market Eastern Standard Time</t>
  </si>
  <si>
    <t>on 5/16/25, 6:44 AM Before Market Eastern Standard Time</t>
  </si>
  <si>
    <t>on 5/16/25, 7:00 AM Before Market Eastern Standard Time</t>
  </si>
  <si>
    <t>on 5/16/25, 8:00 AM Before Market Eastern Standard Time</t>
  </si>
  <si>
    <t>on 5/19/25, 1:00 AM Before Market Eastern Standard Time</t>
  </si>
  <si>
    <t>on 5/19/25, 1:10 AM Before Market Eastern Standard Time</t>
  </si>
  <si>
    <t>on 5/19/25, 4:00 AM Before Market Eastern Standard Time</t>
  </si>
  <si>
    <t>on 5/19/25, 6:00 AM Before Market Eastern Standard Time</t>
  </si>
  <si>
    <t>on 5/19/25, 6:45 AM Before Market Eastern Standard Time</t>
  </si>
  <si>
    <t>on 5/19/25, 7:00 AM Before Market Eastern Standard Time</t>
  </si>
  <si>
    <t>on 5/19/25, 7:21 AM Before Market Eastern Standard Time</t>
  </si>
  <si>
    <t>on 5/19/25, 8:00 AM Before Market Eastern Standard Time</t>
  </si>
  <si>
    <t>on 5/19/25, 4:01 PM After Market Eastern Standard Time</t>
  </si>
  <si>
    <t>on 5/19/25, 4:05 PM After Market Eastern Standard Time</t>
  </si>
  <si>
    <t>on 5/19/25, 4:08 PM After Market Eastern Standard Time</t>
  </si>
  <si>
    <t>on 5/19/25, 5:00 PM After Market Eastern Standard Time</t>
  </si>
  <si>
    <t>on 5/19/25, 5:30 PM After Market Eastern Standard Time</t>
  </si>
  <si>
    <t>on 5/19/25, 6:00 PM After Market Eastern Standard Time</t>
  </si>
  <si>
    <t>on 5/19/25, 6:16 PM After Market Eastern Standard Time</t>
  </si>
  <si>
    <t>on 5/19/25, 8:40 PM After Market Eastern Standard Time</t>
  </si>
  <si>
    <t>on 5/20/25, 1:00 AM Unspecified Eastern Standard Time</t>
  </si>
  <si>
    <t>on 5/20/25, 1:00 AM Before Market Eastern Standard Time</t>
  </si>
  <si>
    <t>on 5/20/25, 3:10 AM Before Market Eastern Standard Time</t>
  </si>
  <si>
    <t>on 5/20/25, 4:00 AM Before Market Eastern Standard Time</t>
  </si>
  <si>
    <t>on 5/20/25, 4:44 AM Before Market Eastern Standard Time</t>
  </si>
  <si>
    <t>on 5/20/25, 5:15 AM Before Market Eastern Standard Time</t>
  </si>
  <si>
    <t>on 5/20/25, 5:30 AM Before Market Eastern Standard Time</t>
  </si>
  <si>
    <t>on 5/20/25, 6:00 AM Before Market Eastern Standard Time</t>
  </si>
  <si>
    <t>on 5/20/25, 6:15 AM Before Market Eastern Standard Time</t>
  </si>
  <si>
    <t>on 5/20/25, 6:30 AM Before Market Eastern Standard Time</t>
  </si>
  <si>
    <t>on 5/20/25, 7:00 AM Before Market Eastern Standard Time</t>
  </si>
  <si>
    <t>on 5/20/25, 7:15 AM Before Market Eastern Standard Time</t>
  </si>
  <si>
    <t>on 5/20/25, 7:28 AM Before Market Eastern Standard Time</t>
  </si>
  <si>
    <t>on 5/20/25, 8:00 AM Before Market Eastern Standard Time</t>
  </si>
  <si>
    <t>on 5/20/25, 8:04 AM Before Market Eastern Standard Time</t>
  </si>
  <si>
    <t>on 5/20/25, 9:00 AM Before Market Eastern Standard Time</t>
  </si>
  <si>
    <t>on 5/20/25, 9:15 AM Before Market Eastern Standard Time</t>
  </si>
  <si>
    <t>on 5/20/25, 3:48 PM During Market Eastern Standard Time</t>
  </si>
  <si>
    <t>on 5/20/25, 4:01 PM Before Market Eastern Standard Time</t>
  </si>
  <si>
    <t>on 5/20/25, 4:05 PM After Market Eastern Standard Time</t>
  </si>
  <si>
    <t>on 5/20/25, 4:11 PM After Market Eastern Standard Time</t>
  </si>
  <si>
    <t>on 5/20/25, 4:15 PM After Market Eastern Standard Time</t>
  </si>
  <si>
    <t>on 5/20/25, 4:16 PM After Market Eastern Standard Time</t>
  </si>
  <si>
    <t>on 5/20/25, 4:20 PM After Market Eastern Standard Time</t>
  </si>
  <si>
    <t>on 5/20/25, 4:30 PM After Market Eastern Standard Time</t>
  </si>
  <si>
    <t>POWW</t>
  </si>
  <si>
    <t>on 5/20/25, 4:53 PM After Market Eastern Standard Time</t>
  </si>
  <si>
    <t>on 5/20/25, 4:56 PM After Market Eastern Standard Time</t>
  </si>
  <si>
    <t>on 5/20/25, 5:35 PM After Market Eastern Standard Time</t>
  </si>
  <si>
    <t>on 5/20/25, 6:00 PM After Market Eastern Standard Time</t>
  </si>
  <si>
    <t>on 5/21/25, 1:00 AM Before Market Eastern Standard Time</t>
  </si>
  <si>
    <t>on 5/21/25, 1:09 AM Before Market Eastern Standard Time</t>
  </si>
  <si>
    <t>on 5/21/25, 1:26 AM Before Market Eastern Standard Time</t>
  </si>
  <si>
    <t>on 5/21/25, 2:00 AM Before Market Eastern Standard Time</t>
  </si>
  <si>
    <t>on 5/21/25, 5:00 AM Before Market Eastern Standard Time</t>
  </si>
  <si>
    <t>on 5/21/25, 5:30 AM Before Market Eastern Standard Time</t>
  </si>
  <si>
    <t>on 5/21/25, 6:00 AM Before Market Eastern Standard Time</t>
  </si>
  <si>
    <t>on 5/21/25, 6:05 AM Before Market Eastern Standard Time</t>
  </si>
  <si>
    <t>on 5/21/25, 6:30 AM Before Market Eastern Standard Time</t>
  </si>
  <si>
    <t>on 5/21/25, 6:45 AM Before Market Eastern Standard Time</t>
  </si>
  <si>
    <t>on 5/21/25, 7:00 AM Before Market Eastern Standard Time</t>
  </si>
  <si>
    <t>on 5/21/25, 7:01 AM Before Market Eastern Standard Time</t>
  </si>
  <si>
    <t>on 5/21/25, 7:04 AM Before Market Eastern Standard Time</t>
  </si>
  <si>
    <t>on 5/21/25, 7:30 AM Before Market Eastern Standard Time</t>
  </si>
  <si>
    <t>on 5/21/25, 8:00 AM Before Market Eastern Standard Time</t>
  </si>
  <si>
    <t>AFMDQ</t>
  </si>
  <si>
    <t>LICYQ</t>
  </si>
  <si>
    <t>on 5/23/25 After Market Eastern Standard Time</t>
  </si>
  <si>
    <t>on 5/26/25 Before Market Eastern Standard Time</t>
  </si>
  <si>
    <t>AXDXQ</t>
  </si>
  <si>
    <t>SAIL</t>
  </si>
  <si>
    <t>on 5/21/25 After Market Eastern Stand</t>
  </si>
  <si>
    <t>on 5/22/25 Before Market Eastern Stan</t>
  </si>
  <si>
    <t>good addition later in the season</t>
  </si>
  <si>
    <t>snow</t>
  </si>
  <si>
    <t>on 5/22/25 After Market Eastern Stand</t>
  </si>
  <si>
    <t>on 5/20/25, 5:51 PM After Market Eastern Standard Time</t>
  </si>
  <si>
    <t>on 5/20/25, 7:23 PM After Market Eastern Standard Time</t>
  </si>
  <si>
    <t>on 5/21/25, 1:00 AM Unspecified Eastern Standard Time</t>
  </si>
  <si>
    <t>on 5/21/25, 4:04 PM After Market Eastern Standard Time</t>
  </si>
  <si>
    <t>on 5/21/25, 4:05 PM After Market Eastern Standard Time</t>
  </si>
  <si>
    <t>on 5/21/25, 4:15 PM After Market Eastern Standard Time</t>
  </si>
  <si>
    <t>on 5/21/25, 4:36 PM After Market Eastern Standard Time</t>
  </si>
  <si>
    <t>on 5/21/25, 7:00 PM After Market Eastern Standard Time</t>
  </si>
  <si>
    <t>on 5/22/25, 1:00 AM Unspecified Eastern Standard Time</t>
  </si>
  <si>
    <t>on 5/22/25, 4:00 AM Before Market Eastern Standard Time</t>
  </si>
  <si>
    <t>on 5/22/25, 6:00 AM Before Market Eastern Standard Time</t>
  </si>
  <si>
    <t>on 5/22/25, 6:15 AM Before Market Eastern Standard Time</t>
  </si>
  <si>
    <t>on 5/22/25, 6:30 AM Before Market Eastern Standard Time</t>
  </si>
  <si>
    <t>on 5/22/25, 6:45 AM Before Market Eastern Standard Time</t>
  </si>
  <si>
    <t>on 5/22/25, 7:00 AM Before Market Eastern Standard Time</t>
  </si>
  <si>
    <t>on 5/22/25, 7:01 AM Before Market Eastern Standard Time</t>
  </si>
  <si>
    <t>on 5/22/25, 8:00 AM Before Market Eastern Standard Time</t>
  </si>
  <si>
    <t>on 5/22/25, 8:01 AM Before Market Eastern Standard Time</t>
  </si>
  <si>
    <t>on 5/22/25, 9:00 AM Before Market Eastern Standard Time</t>
  </si>
  <si>
    <t>on 5/22/25, 9:47 AM During Market Eastern Standard Time</t>
  </si>
  <si>
    <t>on 5/22/25, 4:00 PM After Market Eastern Standard Time</t>
  </si>
  <si>
    <t>on 5/22/25, 4:01 PM After Market Eastern Standard Time</t>
  </si>
  <si>
    <t>on 5/22/25, 4:05 PM After Market Eastern Standard Time</t>
  </si>
  <si>
    <t>on 5/22/25, 4:10 PM After Market Eastern Standard Time</t>
  </si>
  <si>
    <t>on 5/22/25, 4:15 PM After Market Eastern Standard Time</t>
  </si>
  <si>
    <t>on 5/22/25, 4:31 PM After Market Eastern Standard Time</t>
  </si>
  <si>
    <t>on 5/23/25, 1:30 AM Before Market Eastern Standard Time</t>
  </si>
  <si>
    <t>on 5/23/25, 4:33 AM Before Market Eastern Standard Time</t>
  </si>
  <si>
    <t>on 5/23/25, 6:47 AM Before Market Eastern Standard Time</t>
  </si>
  <si>
    <t>on 5/23/25, 6:50 AM Before Market Eastern Standard Time</t>
  </si>
  <si>
    <t>on 5/23/25, 7:15 AM Before Market Eastern Standard Time</t>
  </si>
  <si>
    <t>on 5/23/25, 9:15 AM Before Market Eastern Standard Time</t>
  </si>
  <si>
    <t>MNY</t>
  </si>
  <si>
    <t>on 5/27/25 After Market Eastern Stand</t>
  </si>
  <si>
    <t>on 5/28/25 Before Market Eastern Stan</t>
  </si>
  <si>
    <t>on 5/28/25 After Market Eastern Stand</t>
  </si>
  <si>
    <t>on 5/29/25 Before Market Eastern Stan</t>
  </si>
  <si>
    <t>on 5/29/25 After Market Eastern Stand</t>
  </si>
  <si>
    <t>on 6/2/25 Before Market Eastern Stand</t>
  </si>
  <si>
    <t>on 6/3/25 Before Market Eastern Stand</t>
  </si>
  <si>
    <t>on 6/3/25 After Market Eastern Standa</t>
  </si>
  <si>
    <t>on 6/4/25 Before Market Eastern Stand</t>
  </si>
  <si>
    <t>on 6/5/25 Before Market Eastern Stand</t>
  </si>
  <si>
    <t>on 6/5/25 After Market Eastern Standa</t>
  </si>
  <si>
    <t>on 6/11/25 After Market Eastern Standa</t>
  </si>
  <si>
    <t>on 6/2/25 6:58 AM Before Market Eastern Standard Time</t>
  </si>
  <si>
    <t>on 6/2/25 7:15 AM Before Market Eastern Standard Time</t>
  </si>
  <si>
    <t>on 6/2/25 4:05 PM After Market Eastern Standard Time</t>
  </si>
  <si>
    <t>on 6/3/25 6:00 AM Before Market Eastern Standard Time</t>
  </si>
  <si>
    <t>on 6/3/25 6:05 AM Before Market Eastern Standard Time</t>
  </si>
  <si>
    <t>on 6/3/25 6:45 AM Before Market Eastern Standard Time</t>
  </si>
  <si>
    <t>on 6/3/25 6:50 AM Before Market Eastern Standard Time</t>
  </si>
  <si>
    <t>on 6/3/25 7:22 AM Before Market Eastern Standard Time</t>
  </si>
  <si>
    <t>on 6/3/25 7:30 AM Before Market Eastern Standard Time</t>
  </si>
  <si>
    <t>on 6/3/25 8:00 AM Before Market Eastern Standard Time</t>
  </si>
  <si>
    <t>on 6/3/25 4:01 PM After Market Eastern Standard Time</t>
  </si>
  <si>
    <t>on 6/3/25 4:05 PM After Market Eastern Standard Time</t>
  </si>
  <si>
    <t>on 6/3/25 4:15 PM After Market Eastern Standard Time</t>
  </si>
  <si>
    <t>on 6/4/25 1:00 AM Unspecified Eastern Standard Time</t>
  </si>
  <si>
    <t>on 6/4/25 6:00 AM Before Market Eastern Standard Time</t>
  </si>
  <si>
    <t>on 6/4/25 6:30 AM Before Market Eastern Standard Time</t>
  </si>
  <si>
    <t>on 6/4/25 6:50 AM Before Market Eastern Standard Time</t>
  </si>
  <si>
    <t>on 6/4/25 7:00 AM Before Market Eastern Standard Time</t>
  </si>
  <si>
    <t>on 6/4/25 7:30 AM Before Market Eastern Standard Time</t>
  </si>
  <si>
    <t>on 6/4/25 4:01 PM After Market Eastern Standard Time</t>
  </si>
  <si>
    <t>on 6/4/25 4:03 PM After Market Eastern Standard Time</t>
  </si>
  <si>
    <t>on 6/4/25 4:05 PM After Market Eastern Standard Time</t>
  </si>
  <si>
    <t>on 6/4/25 4:15 PM After Market Eastern Standard Time</t>
  </si>
  <si>
    <t>on 6/4/25 5:00 PM After Market Eastern Standard Time</t>
  </si>
  <si>
    <t>on 6/4/25 6:03 PM After Market Eastern Standard Time</t>
  </si>
  <si>
    <t>on 6/5/25 1:00 AM Unspecified Eastern Standard Time</t>
  </si>
  <si>
    <t>on 6/5/25 3:03 AM Before Market Eastern Standard Time</t>
  </si>
  <si>
    <t>on 6/5/25 5:45 AM Before Market Eastern Standard Time</t>
  </si>
  <si>
    <t>on 6/5/25 6:00 AM Before Market Eastern Standard Time</t>
  </si>
  <si>
    <t>YB</t>
  </si>
  <si>
    <t>on 6/5/25 6:45 AM Before Market Eastern Standard Time</t>
  </si>
  <si>
    <t>on 6/5/25 7:00 AM Before Market Eastern Standard Time</t>
  </si>
  <si>
    <t>on 6/5/25 7:30 AM Before Market Eastern Standard Time</t>
  </si>
  <si>
    <t>on 6/5/25 8:00 AM Before Market Eastern Standard Time</t>
  </si>
  <si>
    <t>on 6/5/25 8:03 AM Before Market Eastern Standard Time</t>
  </si>
  <si>
    <t>on 6/5/25 8:30 AM Before Market Eastern Standard Time</t>
  </si>
  <si>
    <t>on 6/5/25 4:00 PM After Market Eastern Standard Time</t>
  </si>
  <si>
    <t>on 6/5/25 4:01 PM After Market Eastern Standard Time</t>
  </si>
  <si>
    <t>on 6/5/25 4:05 PM After Market Eastern Standard Time</t>
  </si>
  <si>
    <t>on 6/5/25 4:10 PM After Market Eastern Standard Time</t>
  </si>
  <si>
    <t>on 6/5/25 4:15 PM After Market Eastern Standard Time</t>
  </si>
  <si>
    <t>on 6/5/25 4:40 PM After Market Eastern Standard Time</t>
  </si>
  <si>
    <t>on 6/6/25 6:02 AM Unspecified Eastern Standard Time</t>
  </si>
  <si>
    <t>on 6/6/25 6:58 AM Before Market Eastern Standard Time</t>
  </si>
  <si>
    <t>on 6/6/25 7:00 AM Before Market Eastern Standard Time</t>
  </si>
  <si>
    <t>on 6/6/25 7:30 AM Before Market Eastern Standard Time</t>
  </si>
  <si>
    <t>on 6/6/25 8:30 AM Before Market Eastern Standard Time</t>
  </si>
  <si>
    <t>on 6/6/25 8:35 AM Before Market Eastern Standard Time</t>
  </si>
  <si>
    <t>on 6/6/25 3:24 PM During Market Eastern Standard Time</t>
  </si>
  <si>
    <t>on 6/6/25 4:30 PM After Market Eastern Standard Time</t>
  </si>
  <si>
    <t>on 6/9/25 6:30 AM Before Market Eastern Standard Time</t>
  </si>
  <si>
    <t>on 6/9/25 6:42 AM Before Market Eastern Standard Time</t>
  </si>
  <si>
    <t>on 6/9/25 8:00 AM Before Market Eastern Standard Time</t>
  </si>
  <si>
    <t>on 6/9/25 4:00 PM After Market Eastern Standard Time</t>
  </si>
  <si>
    <t>on 6/9/25 4:01 PM After Market Eastern Standard Time</t>
  </si>
  <si>
    <t>on 6/9/25 4:05 PM After Market Eastern Standard Time</t>
  </si>
  <si>
    <t>on 6/9/25 4:07 PM After Market Eastern Standard Time</t>
  </si>
  <si>
    <t>on 6/9/25 4:30 PM After Market Eastern Standard Time</t>
  </si>
  <si>
    <t>AII</t>
  </si>
  <si>
    <t>on 6/9/25 4:36 PM After Market Eastern Standard Time</t>
  </si>
  <si>
    <t>on 6/10/25 6:30 AM Before Market Eastern Standard Time</t>
  </si>
  <si>
    <t>on 6/10/25 6:45 AM Before Market Eastern Standard Time</t>
  </si>
  <si>
    <t>on 6/10/25 7:00 AM Before Market Eastern Standard Time</t>
  </si>
  <si>
    <t>ETOR</t>
  </si>
  <si>
    <t>on 6/10/25 7:05 AM Before Market Eastern Standard Time</t>
  </si>
  <si>
    <t>on 6/10/25 7:31 AM Before Market Eastern Standard Time</t>
  </si>
  <si>
    <t>on 6/10/25 8:00 AM Before Market Eastern Standard Time</t>
  </si>
  <si>
    <t>on 6/10/25 4:02 PM After Market Eastern Standard Time</t>
  </si>
  <si>
    <t>on 6/10/25 4:05 PM After Market Eastern Standard Time</t>
  </si>
  <si>
    <t>on 6/10/25 4:15 PM After Market Eastern Standard Time</t>
  </si>
  <si>
    <t>on 6/11/25 6:45 AM Before Market Eastern Standard Time</t>
  </si>
  <si>
    <t>on 6/11/25 7:00 AM Before Market Eastern Standard Time</t>
  </si>
  <si>
    <t>on 6/11/25 7:05 AM Before Market Eastern Standard Time</t>
  </si>
  <si>
    <t>on 6/11/25 8:01 AM Before Market Eastern Standard Time</t>
  </si>
  <si>
    <t>on 6/11/25 4:05 PM After Market Eastern Standard Time</t>
  </si>
  <si>
    <t>UXIN</t>
  </si>
  <si>
    <t>on 6/12/25 4:50 AM Before Market Eastern Standard Time</t>
  </si>
  <si>
    <t>on 6/12/25 5:30 AM Before Market Eastern Standard Time</t>
  </si>
  <si>
    <t>on 6/12/25 6:00 AM Before Market Eastern Standard Time</t>
  </si>
  <si>
    <t>on 6/12/25 7:00 AM Before Market Eastern Standard Time</t>
  </si>
  <si>
    <t>on 6/12/25 7:30 AM Before Market Eastern Standard Time</t>
  </si>
  <si>
    <t>on 6/12/25 4:05 PM After Market Eastern Standard Time</t>
  </si>
  <si>
    <t>on 6/12/25 4:10 PM After Market Eastern Standard Time</t>
  </si>
  <si>
    <t>on 6/12/25 4:19 PM After Market Eastern Standard Time</t>
  </si>
  <si>
    <t>on 6/12/25 4:28 PM After Market Eastern Standard Time</t>
  </si>
  <si>
    <t>on 6/13/25 7:00 AM Before Market Eastern Standard Time</t>
  </si>
  <si>
    <t>on 6/13/25 8:35 AM Before Market Eastern Standard Time</t>
  </si>
  <si>
    <t>on 6/13/25 9:14 AM Before Market Eastern Standard Time</t>
  </si>
  <si>
    <t>LUD</t>
  </si>
  <si>
    <t>on 6/13/25 During Market Eastern Standard Time</t>
  </si>
  <si>
    <t>on 6/13/25 After Market Eastern Standard Time</t>
  </si>
  <si>
    <t>on 6/16/25 During Market Eastern Standard Time</t>
  </si>
  <si>
    <t>ANTA</t>
  </si>
  <si>
    <t>GRRR</t>
  </si>
  <si>
    <t>on 6/20/25 Unspecified Eastern Standard Time</t>
  </si>
  <si>
    <t>on 6/23/25 Before Market Eastern Standard Time</t>
  </si>
  <si>
    <t>on 6/23/25 After Market Eastern Standard Time</t>
  </si>
  <si>
    <t>NOVAQ</t>
  </si>
  <si>
    <t>on 6/9/25 4:30 PM After Market Easter</t>
  </si>
  <si>
    <t>on 6/10/25 7:31 AM Before Market East</t>
  </si>
  <si>
    <t>on 6/10/25 4:05 PM After Market Easte</t>
  </si>
  <si>
    <t>on 6/11/25 7:05 AM Before Market East</t>
  </si>
  <si>
    <t>on 6/12/25 4:05 PM After Market Easte</t>
  </si>
  <si>
    <t>ADR, but makes machines for all chip manufacturing</t>
  </si>
  <si>
    <t>2025 -- Q2</t>
  </si>
  <si>
    <r>
      <t xml:space="preserve">Strategy P/L </t>
    </r>
    <r>
      <rPr>
        <u/>
        <sz val="8"/>
        <rFont val="Aptos Narrow"/>
        <family val="2"/>
        <scheme val="minor"/>
      </rPr>
      <t>MOC</t>
    </r>
    <r>
      <rPr>
        <sz val="8"/>
        <rFont val="Aptos Narrow"/>
        <family val="2"/>
        <scheme val="minor"/>
      </rPr>
      <t xml:space="preserve">
Total</t>
    </r>
  </si>
  <si>
    <t>SW, Not SPY</t>
  </si>
  <si>
    <t>Gap Up</t>
  </si>
  <si>
    <t>Gap Dwn</t>
  </si>
  <si>
    <t>Dwn, Not SPY</t>
  </si>
  <si>
    <t>Up, Not SPY</t>
  </si>
  <si>
    <t>Financials</t>
  </si>
  <si>
    <t>Consumer Discretionary</t>
  </si>
  <si>
    <t>Home Builders</t>
  </si>
  <si>
    <t>Consumer Staples</t>
  </si>
  <si>
    <t>Technology</t>
  </si>
  <si>
    <t>Industrials</t>
  </si>
  <si>
    <t>Cohort</t>
  </si>
  <si>
    <t>MOC Var on Gap Up</t>
  </si>
  <si>
    <t>MOC Var on Gap Down</t>
  </si>
  <si>
    <t>Up Trend, Gap Up</t>
  </si>
  <si>
    <t>Up Trend, Gap Down</t>
  </si>
  <si>
    <t>SW+</t>
  </si>
  <si>
    <t>NA+ Trend, Gap Up</t>
  </si>
  <si>
    <t>NA+ Trend, Gap Down</t>
  </si>
  <si>
    <t>NA Trend, Gap Up</t>
  </si>
  <si>
    <t>NA Trend, Gap Down</t>
  </si>
  <si>
    <t>SW-</t>
  </si>
  <si>
    <t>NA- Trend, Gap Up</t>
  </si>
  <si>
    <t>NA- Trend, Gap Down</t>
  </si>
  <si>
    <t>Down Trend, Gap Up</t>
  </si>
  <si>
    <t>Down Trend, Gap Down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</si>
</sst>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5" formatCode="&quot;$&quot;#,##0_);\(&quot;$&quot;#,##0\)"/>
    <numFmt numFmtId="6" formatCode="&quot;$&quot;#,##0_);[Red]\(&quot;$&quot;#,##0\)"/>
    <numFmt numFmtId="164" formatCode="0.0%"/>
    <numFmt numFmtId="165" formatCode="0.0"/>
    <numFmt numFmtId="166" formatCode="&quot;$&quot;#,##0.00"/>
    <numFmt numFmtId="167" formatCode="&quot;$&quot;#,##0"/>
    <numFmt numFmtId="168" formatCode="mm/dd/yy;@"/>
    <numFmt numFmtId="169" formatCode="&quot;$&quot;#,##0.0"/>
    <numFmt numFmtId="170" formatCode="0.000"/>
    <numFmt numFmtId="171" formatCode="0.00_);\(0.00\)"/>
    <numFmt numFmtId="172" formatCode="0.00_);[Red]\(0.00\)"/>
  </numFmts>
  <fonts count="9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0"/>
      <color theme="1"/>
      <name val="Aptos Narrow"/>
      <family val="2"/>
      <scheme val="minor"/>
    </font>
    <font>
      <sz val="8"/>
      <name val="Aptos Narrow"/>
      <family val="2"/>
      <scheme val="minor"/>
    </font>
    <font>
      <b/>
      <sz val="9"/>
      <color theme="1"/>
      <name val="Aptos Narrow"/>
      <family val="2"/>
      <scheme val="minor"/>
    </font>
    <font>
      <sz val="10"/>
      <color theme="1"/>
      <name val="Aptos Narrow"/>
      <family val="2"/>
      <scheme val="minor"/>
    </font>
    <font>
      <sz val="8"/>
      <color theme="1"/>
      <name val="Aptos Narrow"/>
      <family val="2"/>
      <scheme val="minor"/>
    </font>
    <font>
      <b/>
      <sz val="14"/>
      <color theme="1"/>
      <name val="Aptos Narrow"/>
      <family val="2"/>
      <scheme val="minor"/>
    </font>
    <font>
      <sz val="9"/>
      <color indexed="81"/>
      <name val="Tahoma"/>
      <family val="2"/>
    </font>
    <font>
      <b/>
      <sz val="8"/>
      <color theme="1"/>
      <name val="Aptos Narrow"/>
      <family val="2"/>
      <scheme val="minor"/>
    </font>
    <font>
      <u/>
      <sz val="10"/>
      <color theme="1"/>
      <name val="Aptos Narrow"/>
      <family val="2"/>
      <scheme val="minor"/>
    </font>
    <font>
      <b/>
      <sz val="12"/>
      <color theme="1"/>
      <name val="Aptos Narrow"/>
      <family val="2"/>
      <scheme val="minor"/>
    </font>
    <font>
      <b/>
      <sz val="16"/>
      <color theme="1"/>
      <name val="Aptos Narrow"/>
      <family val="2"/>
      <scheme val="minor"/>
    </font>
    <font>
      <b/>
      <sz val="9"/>
      <color indexed="81"/>
      <name val="Tahoma"/>
      <family val="2"/>
    </font>
    <font>
      <sz val="10"/>
      <color theme="9" tint="0.59999389629810485"/>
      <name val="Aptos Narrow"/>
      <family val="2"/>
      <scheme val="minor"/>
    </font>
    <font>
      <sz val="9"/>
      <color theme="1"/>
      <name val="Aptos Narrow"/>
      <family val="2"/>
      <scheme val="minor"/>
    </font>
    <font>
      <sz val="9"/>
      <name val="Aptos Narrow"/>
      <family val="2"/>
      <scheme val="minor"/>
    </font>
    <font>
      <sz val="9"/>
      <color rgb="FFFF0000"/>
      <name val="Aptos Narrow"/>
      <family val="2"/>
      <scheme val="minor"/>
    </font>
    <font>
      <sz val="9"/>
      <color theme="1" tint="0.499984740745262"/>
      <name val="Aptos Narrow"/>
      <family val="2"/>
      <scheme val="minor"/>
    </font>
    <font>
      <b/>
      <sz val="11"/>
      <color theme="6" tint="-0.499984740745262"/>
      <name val="Aptos Narrow"/>
      <family val="2"/>
      <scheme val="minor"/>
    </font>
    <font>
      <b/>
      <sz val="18"/>
      <color theme="1"/>
      <name val="Aptos Narrow"/>
      <family val="2"/>
      <scheme val="minor"/>
    </font>
    <font>
      <b/>
      <sz val="11"/>
      <color theme="3" tint="9.9978637043366805E-2"/>
      <name val="Aptos Narrow"/>
      <family val="2"/>
      <scheme val="minor"/>
    </font>
    <font>
      <b/>
      <sz val="9"/>
      <color theme="3" tint="9.9978637043366805E-2"/>
      <name val="Aptos Narrow"/>
      <family val="2"/>
      <scheme val="minor"/>
    </font>
    <font>
      <b/>
      <sz val="9"/>
      <color theme="6"/>
      <name val="Aptos Narrow"/>
      <family val="2"/>
      <scheme val="minor"/>
    </font>
    <font>
      <b/>
      <sz val="10"/>
      <color theme="3"/>
      <name val="Aptos Narrow"/>
      <family val="2"/>
      <scheme val="minor"/>
    </font>
    <font>
      <b/>
      <sz val="10"/>
      <color theme="6"/>
      <name val="Aptos Narrow"/>
      <family val="2"/>
      <scheme val="minor"/>
    </font>
    <font>
      <sz val="10"/>
      <name val="Aptos Narrow"/>
      <family val="2"/>
      <scheme val="minor"/>
    </font>
    <font>
      <b/>
      <sz val="14"/>
      <color rgb="FF92D050"/>
      <name val="Aptos Narrow"/>
      <family val="2"/>
      <scheme val="minor"/>
    </font>
    <font>
      <u/>
      <sz val="8"/>
      <name val="Aptos Narrow"/>
      <family val="2"/>
      <scheme val="minor"/>
    </font>
    <font>
      <b/>
      <sz val="10"/>
      <name val="Aptos Narrow"/>
      <family val="2"/>
      <scheme val="minor"/>
    </font>
    <font>
      <sz val="8"/>
      <color rgb="FF92D050"/>
      <name val="Aptos Narrow"/>
      <family val="2"/>
      <scheme val="minor"/>
    </font>
    <font>
      <b/>
      <sz val="12"/>
      <color theme="9" tint="-0.499984740745262"/>
      <name val="Aptos Narrow"/>
      <family val="2"/>
      <scheme val="minor"/>
    </font>
    <font>
      <b/>
      <sz val="14"/>
      <color theme="6" tint="-0.249977111117893"/>
      <name val="Aptos Narrow"/>
      <family val="2"/>
      <scheme val="minor"/>
    </font>
    <font>
      <u/>
      <sz val="9"/>
      <name val="Aptos Narrow"/>
      <family val="2"/>
      <scheme val="minor"/>
    </font>
    <font>
      <b/>
      <sz val="14"/>
      <color theme="1"/>
      <name val="Aptos Narrow"/>
      <family val="2"/>
    </font>
    <font>
      <sz val="9"/>
      <name val="Aptos Narrow"/>
      <family val="2"/>
    </font>
    <font>
      <b/>
      <sz val="10"/>
      <color theme="1" tint="0.499984740745262"/>
      <name val="Aptos Narrow"/>
      <family val="2"/>
      <scheme val="minor"/>
    </font>
    <font>
      <b/>
      <sz val="9"/>
      <color theme="1" tint="0.499984740745262"/>
      <name val="Aptos Narrow"/>
      <family val="2"/>
      <scheme val="minor"/>
    </font>
    <font>
      <sz val="8"/>
      <color theme="9"/>
      <name val="Aptos Narrow"/>
      <family val="2"/>
    </font>
    <font>
      <b/>
      <u/>
      <sz val="11"/>
      <color theme="1"/>
      <name val="Aptos Narrow"/>
      <family val="2"/>
      <scheme val="minor"/>
    </font>
    <font>
      <u/>
      <sz val="11"/>
      <color theme="1"/>
      <name val="Aptos Narrow"/>
      <family val="2"/>
      <scheme val="minor"/>
    </font>
    <font>
      <sz val="10"/>
      <color rgb="FFFF0000"/>
      <name val="Aptos Narrow"/>
      <family val="2"/>
      <scheme val="minor"/>
    </font>
    <font>
      <b/>
      <sz val="16"/>
      <color theme="9" tint="0.79998168889431442"/>
      <name val="Aptos Narrow"/>
      <family val="2"/>
      <scheme val="minor"/>
    </font>
    <font>
      <sz val="14"/>
      <color theme="9" tint="0.79998168889431442"/>
      <name val="Aptos Narrow"/>
      <family val="2"/>
      <scheme val="minor"/>
    </font>
    <font>
      <sz val="8"/>
      <color theme="7" tint="0.39997558519241921"/>
      <name val="Aptos Narrow"/>
      <family val="2"/>
    </font>
    <font>
      <sz val="8"/>
      <color theme="5" tint="0.39997558519241921"/>
      <name val="Aptos Narrow"/>
      <family val="2"/>
    </font>
    <font>
      <sz val="10"/>
      <color rgb="FF00B0F0"/>
      <name val="Aptos Narrow"/>
      <family val="2"/>
      <scheme val="minor"/>
    </font>
    <font>
      <sz val="9"/>
      <color theme="3" tint="-0.499984740745262"/>
      <name val="Aptos Narrow"/>
      <family val="2"/>
      <scheme val="minor"/>
    </font>
    <font>
      <sz val="8"/>
      <color theme="3" tint="-0.499984740745262"/>
      <name val="Aptos Narrow"/>
      <family val="2"/>
      <scheme val="minor"/>
    </font>
    <font>
      <b/>
      <sz val="20"/>
      <color theme="1"/>
      <name val="Aptos Narrow"/>
      <family val="2"/>
      <scheme val="minor"/>
    </font>
    <font>
      <b/>
      <sz val="22"/>
      <color theme="1"/>
      <name val="Aptos Narrow"/>
      <family val="2"/>
      <scheme val="minor"/>
    </font>
    <font>
      <b/>
      <sz val="26"/>
      <color theme="1"/>
      <name val="Aptos Narrow"/>
      <family val="2"/>
      <scheme val="minor"/>
    </font>
    <font>
      <sz val="10"/>
      <color theme="0"/>
      <name val="Aptos Narrow"/>
      <family val="2"/>
      <scheme val="minor"/>
    </font>
    <font>
      <sz val="8"/>
      <color theme="0"/>
      <name val="Aptos Narrow"/>
      <family val="2"/>
      <scheme val="minor"/>
    </font>
    <font>
      <sz val="9"/>
      <color theme="1"/>
      <name val="Aptos Narrow"/>
      <family val="2"/>
    </font>
    <font>
      <i/>
      <sz val="9"/>
      <name val="Aptos Narrow"/>
      <family val="2"/>
      <scheme val="minor"/>
    </font>
    <font>
      <b/>
      <sz val="14"/>
      <name val="Aptos Narrow"/>
      <family val="2"/>
      <scheme val="minor"/>
    </font>
    <font>
      <sz val="9"/>
      <color rgb="FFC00000"/>
      <name val="Aptos Narrow"/>
      <family val="2"/>
      <scheme val="minor"/>
    </font>
    <font>
      <b/>
      <sz val="9"/>
      <color theme="3" tint="-0.499984740745262"/>
      <name val="Aptos Narrow"/>
      <family val="2"/>
      <scheme val="minor"/>
    </font>
    <font>
      <sz val="9"/>
      <color theme="9" tint="0.79998168889431442"/>
      <name val="Aptos Narrow"/>
      <family val="2"/>
      <scheme val="minor"/>
    </font>
    <font>
      <u/>
      <sz val="9"/>
      <color theme="1"/>
      <name val="Aptos Narrow"/>
      <family val="2"/>
      <scheme val="minor"/>
    </font>
    <font>
      <b/>
      <sz val="9"/>
      <color theme="6" tint="-0.499984740745262"/>
      <name val="Aptos Narrow"/>
      <family val="2"/>
      <scheme val="minor"/>
    </font>
    <font>
      <b/>
      <sz val="8"/>
      <color theme="6" tint="-0.499984740745262"/>
      <name val="Aptos Narrow"/>
      <family val="2"/>
      <scheme val="minor"/>
    </font>
    <font>
      <b/>
      <sz val="8"/>
      <name val="Aptos Narrow"/>
      <family val="2"/>
      <scheme val="minor"/>
    </font>
    <font>
      <b/>
      <u/>
      <sz val="14"/>
      <color theme="0"/>
      <name val="Aptos Narrow"/>
      <family val="2"/>
      <scheme val="minor"/>
    </font>
    <font>
      <b/>
      <sz val="11"/>
      <name val="Aptos Narrow"/>
      <family val="2"/>
    </font>
    <font>
      <b/>
      <sz val="8"/>
      <color theme="9" tint="-0.249977111117893"/>
      <name val="Aptos Narrow"/>
      <family val="2"/>
    </font>
    <font>
      <sz val="8"/>
      <color theme="9" tint="-0.249977111117893"/>
      <name val="Aptos Narrow"/>
      <family val="2"/>
      <scheme val="minor"/>
    </font>
    <font>
      <b/>
      <sz val="11"/>
      <color theme="6" tint="-0.249977111117893"/>
      <name val="Aptos Narrow"/>
      <family val="2"/>
      <scheme val="minor"/>
    </font>
    <font>
      <b/>
      <sz val="10"/>
      <color theme="6" tint="-0.249977111117893"/>
      <name val="Aptos Narrow"/>
      <family val="2"/>
      <scheme val="minor"/>
    </font>
    <font>
      <b/>
      <sz val="10"/>
      <color theme="9" tint="-0.499984740745262"/>
      <name val="Aptos Narrow"/>
      <family val="2"/>
      <scheme val="minor"/>
    </font>
    <font>
      <b/>
      <sz val="11"/>
      <color theme="1" tint="0.14999847407452621"/>
      <name val="Aptos Narrow"/>
      <family val="2"/>
      <scheme val="minor"/>
    </font>
    <font>
      <b/>
      <sz val="12"/>
      <color theme="0"/>
      <name val="Aptos Narrow"/>
      <family val="2"/>
      <scheme val="minor"/>
    </font>
    <font>
      <sz val="8"/>
      <color theme="9" tint="0.79998168889431442"/>
      <name val="Aptos Narrow"/>
      <family val="2"/>
      <scheme val="minor"/>
    </font>
    <font>
      <sz val="10"/>
      <color theme="9" tint="0.79998168889431442"/>
      <name val="Aptos Narrow"/>
      <family val="2"/>
      <scheme val="minor"/>
    </font>
    <font>
      <b/>
      <sz val="8"/>
      <color theme="9" tint="0.79998168889431442"/>
      <name val="Aptos Narrow"/>
      <family val="2"/>
      <scheme val="minor"/>
    </font>
    <font>
      <b/>
      <u/>
      <sz val="9"/>
      <color theme="1"/>
      <name val="Aptos Narrow"/>
      <family val="2"/>
      <scheme val="minor"/>
    </font>
  </fonts>
  <fills count="7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4" tint="0.59999389629810485"/>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rgb="FFFFCCCC"/>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9" tint="0.39997558519241921"/>
        <bgColor indexed="64"/>
      </patternFill>
    </fill>
    <fill>
      <patternFill patternType="solid">
        <fgColor rgb="FF92D050"/>
        <bgColor indexed="64"/>
      </patternFill>
    </fill>
    <fill>
      <patternFill patternType="solid">
        <fgColor theme="7" tint="0.59999389629810485"/>
        <bgColor indexed="64"/>
      </patternFill>
    </fill>
    <fill>
      <patternFill patternType="solid">
        <fgColor theme="6" tint="0.39997558519241921"/>
        <bgColor indexed="64"/>
      </patternFill>
    </fill>
    <fill>
      <patternFill patternType="solid">
        <fgColor rgb="FF00FF00"/>
        <bgColor indexed="64"/>
      </patternFill>
    </fill>
    <fill>
      <patternFill patternType="solid">
        <fgColor theme="6" tint="0.59999389629810485"/>
        <bgColor indexed="64"/>
      </patternFill>
    </fill>
    <fill>
      <patternFill patternType="solid">
        <fgColor theme="0" tint="-4.9989318521683403E-2"/>
        <bgColor indexed="64"/>
      </patternFill>
    </fill>
    <fill>
      <patternFill patternType="solid">
        <fgColor theme="3" tint="0.89999084444715716"/>
        <bgColor indexed="64"/>
      </patternFill>
    </fill>
    <fill>
      <patternFill patternType="solid">
        <fgColor rgb="FF00B0F0"/>
        <bgColor indexed="64"/>
      </patternFill>
    </fill>
    <fill>
      <patternFill patternType="solid">
        <fgColor theme="1" tint="0.499984740745262"/>
        <bgColor indexed="64"/>
      </patternFill>
    </fill>
    <fill>
      <gradientFill type="path" left="0.5" right="0.5" top="0.5" bottom="0.5">
        <stop position="0">
          <color theme="0"/>
        </stop>
        <stop position="1">
          <color rgb="FF00FF00"/>
        </stop>
      </gradientFill>
    </fill>
    <fill>
      <patternFill patternType="solid">
        <fgColor theme="0" tint="-0.249977111117893"/>
        <bgColor indexed="64"/>
      </patternFill>
    </fill>
    <fill>
      <patternFill patternType="solid">
        <fgColor theme="2" tint="-0.249977111117893"/>
        <bgColor indexed="64"/>
      </patternFill>
    </fill>
    <fill>
      <patternFill patternType="solid">
        <fgColor theme="3" tint="0.749992370372631"/>
        <bgColor indexed="64"/>
      </patternFill>
    </fill>
    <fill>
      <patternFill patternType="solid">
        <fgColor theme="4" tint="0.39997558519241921"/>
        <bgColor indexed="64"/>
      </patternFill>
    </fill>
    <fill>
      <patternFill patternType="solid">
        <fgColor theme="3" tint="0.499984740745262"/>
        <bgColor indexed="64"/>
      </patternFill>
    </fill>
    <fill>
      <patternFill patternType="solid">
        <fgColor rgb="FFFF0000"/>
        <bgColor indexed="64"/>
      </patternFill>
    </fill>
    <fill>
      <patternFill patternType="solid">
        <fgColor rgb="FFFFFF00"/>
        <bgColor indexed="64"/>
      </patternFill>
    </fill>
    <fill>
      <patternFill patternType="solid">
        <fgColor theme="1"/>
        <bgColor indexed="64"/>
      </patternFill>
    </fill>
    <fill>
      <patternFill patternType="solid">
        <fgColor rgb="FF0033CC"/>
        <bgColor indexed="64"/>
      </patternFill>
    </fill>
    <fill>
      <patternFill patternType="solid">
        <fgColor theme="5"/>
        <bgColor indexed="64"/>
      </patternFill>
    </fill>
    <fill>
      <patternFill patternType="solid">
        <fgColor rgb="FFFF3300"/>
        <bgColor indexed="64"/>
      </patternFill>
    </fill>
    <fill>
      <patternFill patternType="solid">
        <fgColor theme="2" tint="-9.9978637043366805E-2"/>
        <bgColor indexed="64"/>
      </patternFill>
    </fill>
    <fill>
      <patternFill patternType="solid">
        <fgColor rgb="FF76E0A1"/>
        <bgColor indexed="64"/>
      </patternFill>
    </fill>
    <fill>
      <patternFill patternType="solid">
        <fgColor theme="9"/>
        <bgColor indexed="64"/>
      </patternFill>
    </fill>
    <fill>
      <patternFill patternType="solid">
        <fgColor rgb="FFFF66CC"/>
        <bgColor indexed="64"/>
      </patternFill>
    </fill>
    <fill>
      <patternFill patternType="solid">
        <fgColor rgb="FFFFC000"/>
        <bgColor indexed="64"/>
      </patternFill>
    </fill>
    <fill>
      <patternFill patternType="solid">
        <fgColor theme="7" tint="0.39997558519241921"/>
        <bgColor indexed="64"/>
      </patternFill>
    </fill>
    <fill>
      <patternFill patternType="solid">
        <fgColor rgb="FF00D600"/>
        <bgColor indexed="64"/>
      </patternFill>
    </fill>
    <fill>
      <patternFill patternType="solid">
        <fgColor theme="6" tint="-0.249977111117893"/>
        <bgColor indexed="64"/>
      </patternFill>
    </fill>
    <fill>
      <patternFill patternType="solid">
        <fgColor theme="5" tint="-0.499984740745262"/>
        <bgColor indexed="64"/>
      </patternFill>
    </fill>
    <fill>
      <patternFill patternType="solid">
        <fgColor theme="6" tint="-0.499984740745262"/>
        <bgColor indexed="64"/>
      </patternFill>
    </fill>
    <fill>
      <patternFill patternType="solid">
        <fgColor theme="7" tint="-0.249977111117893"/>
        <bgColor indexed="64"/>
      </patternFill>
    </fill>
    <fill>
      <patternFill patternType="solid">
        <fgColor rgb="FF47D359"/>
        <bgColor indexed="64"/>
      </patternFill>
    </fill>
  </fills>
  <borders count="4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right/>
      <top style="thin">
        <color indexed="64"/>
      </top>
      <bottom/>
      <diagonal/>
    </border>
    <border>
      <left/>
      <right style="hair">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hair">
        <color auto="1"/>
      </left>
      <right style="hair">
        <color auto="1"/>
      </right>
      <top/>
      <bottom/>
      <diagonal/>
    </border>
    <border>
      <left style="hair">
        <color auto="1"/>
      </left>
      <right style="hair">
        <color auto="1"/>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773">
    <xf numFmtId="0" fontId="0" fillId="0" borderId="0" xfId="0"/>
    <xf numFmtId="0" fontId="0" fillId="0" borderId="0" xfId="0" applyAlignment="1">
      <alignment horizontal="center" vertical="center"/>
    </xf>
    <xf numFmtId="0" fontId="16" fillId="33" borderId="10" xfId="0" applyFont="1" applyFill="1" applyBorder="1" applyAlignment="1">
      <alignment horizontal="center" vertical="center"/>
    </xf>
    <xf numFmtId="0" fontId="0" fillId="0" borderId="0" xfId="0" applyAlignment="1">
      <alignment vertical="center" wrapText="1"/>
    </xf>
    <xf numFmtId="10" fontId="0" fillId="0" borderId="0" xfId="0" applyNumberFormat="1" applyAlignment="1">
      <alignment vertical="center" wrapText="1"/>
    </xf>
    <xf numFmtId="4" fontId="0" fillId="0" borderId="0" xfId="0" applyNumberFormat="1" applyAlignment="1">
      <alignment vertical="center" wrapText="1"/>
    </xf>
    <xf numFmtId="0" fontId="18" fillId="0" borderId="0" xfId="0" applyFont="1" applyAlignment="1">
      <alignment horizontal="center" vertical="center"/>
    </xf>
    <xf numFmtId="0" fontId="0" fillId="0" borderId="0" xfId="0" applyAlignment="1">
      <alignment horizontal="center"/>
    </xf>
    <xf numFmtId="0" fontId="16" fillId="33" borderId="10" xfId="0" applyFont="1" applyFill="1" applyBorder="1"/>
    <xf numFmtId="0" fontId="18" fillId="34" borderId="0" xfId="0" applyFont="1" applyFill="1" applyAlignment="1">
      <alignment horizontal="center" vertical="center"/>
    </xf>
    <xf numFmtId="0" fontId="18" fillId="35" borderId="0" xfId="0" applyFont="1" applyFill="1" applyAlignment="1">
      <alignment horizontal="center" vertical="center"/>
    </xf>
    <xf numFmtId="14" fontId="20" fillId="33" borderId="10" xfId="0" applyNumberFormat="1" applyFont="1" applyFill="1" applyBorder="1" applyAlignment="1">
      <alignment horizontal="center" vertical="center"/>
    </xf>
    <xf numFmtId="0" fontId="18" fillId="36" borderId="0" xfId="0" applyFont="1" applyFill="1" applyAlignment="1">
      <alignment horizontal="center" vertical="center"/>
    </xf>
    <xf numFmtId="0" fontId="16" fillId="0" borderId="0" xfId="0" applyFont="1" applyAlignment="1">
      <alignment horizontal="center" vertical="center"/>
    </xf>
    <xf numFmtId="0" fontId="16" fillId="37" borderId="11" xfId="0" applyFont="1" applyFill="1" applyBorder="1" applyAlignment="1">
      <alignment horizontal="center" vertical="center"/>
    </xf>
    <xf numFmtId="0" fontId="0" fillId="37" borderId="11" xfId="0" applyFill="1" applyBorder="1" applyAlignment="1">
      <alignment horizontal="center" vertical="center"/>
    </xf>
    <xf numFmtId="0" fontId="0" fillId="37" borderId="11" xfId="0" quotePrefix="1" applyFill="1" applyBorder="1" applyAlignment="1">
      <alignment horizontal="center" vertical="center"/>
    </xf>
    <xf numFmtId="9" fontId="21" fillId="37" borderId="11" xfId="42" applyFont="1" applyFill="1" applyBorder="1" applyAlignment="1">
      <alignment horizontal="center" vertical="center"/>
    </xf>
    <xf numFmtId="0" fontId="0" fillId="41" borderId="11" xfId="0" quotePrefix="1" applyFill="1" applyBorder="1" applyAlignment="1">
      <alignment horizontal="center" vertical="center"/>
    </xf>
    <xf numFmtId="9" fontId="21" fillId="41" borderId="11" xfId="42" applyFont="1" applyFill="1" applyBorder="1" applyAlignment="1">
      <alignment horizontal="center" vertical="center"/>
    </xf>
    <xf numFmtId="164" fontId="0" fillId="37" borderId="11" xfId="42" quotePrefix="1" applyNumberFormat="1" applyFont="1" applyFill="1" applyBorder="1" applyAlignment="1">
      <alignment horizontal="center" vertical="center"/>
    </xf>
    <xf numFmtId="164" fontId="0" fillId="41" borderId="11" xfId="42" quotePrefix="1" applyNumberFormat="1" applyFont="1" applyFill="1" applyBorder="1" applyAlignment="1">
      <alignment horizontal="center" vertical="center"/>
    </xf>
    <xf numFmtId="164" fontId="21" fillId="41" borderId="11" xfId="42" applyNumberFormat="1" applyFont="1" applyFill="1" applyBorder="1" applyAlignment="1">
      <alignment horizontal="center" vertical="center"/>
    </xf>
    <xf numFmtId="0" fontId="18" fillId="42" borderId="11" xfId="0" applyFont="1" applyFill="1" applyBorder="1" applyAlignment="1">
      <alignment horizontal="center" vertical="center" wrapText="1"/>
    </xf>
    <xf numFmtId="0" fontId="18" fillId="33" borderId="11" xfId="0" applyFont="1" applyFill="1" applyBorder="1" applyAlignment="1">
      <alignment horizontal="center" vertical="center" wrapText="1"/>
    </xf>
    <xf numFmtId="0" fontId="18" fillId="33" borderId="11" xfId="0" applyFont="1" applyFill="1" applyBorder="1" applyAlignment="1">
      <alignment horizontal="center" vertical="center"/>
    </xf>
    <xf numFmtId="0" fontId="18" fillId="42" borderId="11" xfId="0" applyFont="1" applyFill="1" applyBorder="1" applyAlignment="1">
      <alignment horizontal="center" vertical="center"/>
    </xf>
    <xf numFmtId="0" fontId="21" fillId="33" borderId="11" xfId="0" applyFont="1" applyFill="1" applyBorder="1" applyAlignment="1">
      <alignment horizontal="right" vertical="center"/>
    </xf>
    <xf numFmtId="0" fontId="16" fillId="33" borderId="11" xfId="0" applyFont="1" applyFill="1" applyBorder="1" applyAlignment="1">
      <alignment vertical="center"/>
    </xf>
    <xf numFmtId="0" fontId="16" fillId="42" borderId="11" xfId="0" applyFont="1" applyFill="1" applyBorder="1" applyAlignment="1">
      <alignment vertical="center"/>
    </xf>
    <xf numFmtId="0" fontId="16" fillId="41" borderId="11" xfId="0" applyFont="1" applyFill="1" applyBorder="1" applyAlignment="1">
      <alignment horizontal="center" vertical="center"/>
    </xf>
    <xf numFmtId="0" fontId="21" fillId="42" borderId="11" xfId="0" applyFont="1" applyFill="1" applyBorder="1" applyAlignment="1">
      <alignment horizontal="right" vertical="center"/>
    </xf>
    <xf numFmtId="0" fontId="16" fillId="38" borderId="11" xfId="0" applyFont="1" applyFill="1" applyBorder="1" applyAlignment="1">
      <alignment vertical="center"/>
    </xf>
    <xf numFmtId="9" fontId="21" fillId="41" borderId="11" xfId="0" applyNumberFormat="1" applyFont="1" applyFill="1" applyBorder="1" applyAlignment="1">
      <alignment horizontal="center" vertical="center"/>
    </xf>
    <xf numFmtId="9" fontId="18" fillId="37" borderId="11" xfId="42" applyFont="1" applyFill="1" applyBorder="1" applyAlignment="1">
      <alignment horizontal="center" vertical="center"/>
    </xf>
    <xf numFmtId="9" fontId="18" fillId="41" borderId="11" xfId="0" applyNumberFormat="1" applyFont="1" applyFill="1" applyBorder="1" applyAlignment="1">
      <alignment horizontal="center" vertical="center"/>
    </xf>
    <xf numFmtId="0" fontId="18" fillId="38" borderId="11" xfId="0" applyFont="1" applyFill="1" applyBorder="1" applyAlignment="1">
      <alignment horizontal="right" vertical="center"/>
    </xf>
    <xf numFmtId="0" fontId="18" fillId="40" borderId="11" xfId="0" applyFont="1" applyFill="1" applyBorder="1" applyAlignment="1">
      <alignment horizontal="center" vertical="center" wrapText="1"/>
    </xf>
    <xf numFmtId="9" fontId="0" fillId="37" borderId="11" xfId="42" quotePrefix="1" applyFont="1" applyFill="1" applyBorder="1" applyAlignment="1">
      <alignment horizontal="center" vertical="center"/>
    </xf>
    <xf numFmtId="0" fontId="0" fillId="41" borderId="14" xfId="0" applyFill="1" applyBorder="1" applyAlignment="1">
      <alignment horizontal="center" vertical="center"/>
    </xf>
    <xf numFmtId="0" fontId="0" fillId="0" borderId="0" xfId="0" pivotButton="1"/>
    <xf numFmtId="0" fontId="0" fillId="0" borderId="0" xfId="0" applyAlignment="1">
      <alignment horizontal="left"/>
    </xf>
    <xf numFmtId="0" fontId="0" fillId="35" borderId="11" xfId="0" applyFill="1" applyBorder="1" applyAlignment="1">
      <alignment horizontal="center" vertical="center"/>
    </xf>
    <xf numFmtId="0" fontId="0" fillId="50" borderId="11" xfId="0" applyFill="1" applyBorder="1" applyAlignment="1">
      <alignment horizontal="center" vertical="center"/>
    </xf>
    <xf numFmtId="0" fontId="0" fillId="36" borderId="11" xfId="0" applyFill="1" applyBorder="1" applyAlignment="1">
      <alignment horizontal="center" vertical="center"/>
    </xf>
    <xf numFmtId="0" fontId="0" fillId="52" borderId="0" xfId="0" applyFill="1"/>
    <xf numFmtId="0" fontId="27" fillId="42" borderId="11" xfId="0" applyFont="1" applyFill="1" applyBorder="1" applyAlignment="1">
      <alignment horizontal="center" vertical="center"/>
    </xf>
    <xf numFmtId="0" fontId="27" fillId="34" borderId="11" xfId="0" applyFont="1" applyFill="1" applyBorder="1" applyAlignment="1">
      <alignment horizontal="center" vertical="center"/>
    </xf>
    <xf numFmtId="0" fontId="16" fillId="42" borderId="11" xfId="0" applyFont="1" applyFill="1" applyBorder="1" applyAlignment="1">
      <alignment horizontal="center" vertical="center"/>
    </xf>
    <xf numFmtId="0" fontId="16" fillId="34" borderId="11" xfId="0" applyFont="1" applyFill="1" applyBorder="1" applyAlignment="1">
      <alignment horizontal="center" vertical="center"/>
    </xf>
    <xf numFmtId="0" fontId="28" fillId="33" borderId="11" xfId="0" applyFont="1" applyFill="1" applyBorder="1" applyAlignment="1">
      <alignment horizontal="center" vertical="center"/>
    </xf>
    <xf numFmtId="0" fontId="31" fillId="0" borderId="11" xfId="0" applyFont="1" applyBorder="1" applyAlignment="1">
      <alignment horizontal="center" vertical="center"/>
    </xf>
    <xf numFmtId="0" fontId="31" fillId="0" borderId="11" xfId="0" applyFont="1" applyBorder="1"/>
    <xf numFmtId="168" fontId="31" fillId="0" borderId="11" xfId="0" applyNumberFormat="1" applyFont="1" applyBorder="1" applyAlignment="1">
      <alignment horizontal="center"/>
    </xf>
    <xf numFmtId="2" fontId="31" fillId="0" borderId="11" xfId="0" applyNumberFormat="1" applyFont="1" applyBorder="1" applyAlignment="1">
      <alignment horizontal="center" vertical="center"/>
    </xf>
    <xf numFmtId="164" fontId="31" fillId="0" borderId="11" xfId="42" applyNumberFormat="1" applyFont="1" applyBorder="1" applyAlignment="1">
      <alignment horizontal="center" vertical="center"/>
    </xf>
    <xf numFmtId="166" fontId="31" fillId="0" borderId="11" xfId="0" applyNumberFormat="1" applyFont="1" applyBorder="1" applyAlignment="1">
      <alignment horizontal="center" vertical="center"/>
    </xf>
    <xf numFmtId="167" fontId="31" fillId="0" borderId="11" xfId="0" applyNumberFormat="1" applyFont="1" applyBorder="1" applyAlignment="1">
      <alignment horizontal="center" vertical="center"/>
    </xf>
    <xf numFmtId="167" fontId="20" fillId="0" borderId="11" xfId="0" applyNumberFormat="1" applyFont="1" applyBorder="1" applyAlignment="1">
      <alignment horizontal="center" vertical="center"/>
    </xf>
    <xf numFmtId="0" fontId="31" fillId="0" borderId="12" xfId="0" applyFont="1" applyBorder="1" applyAlignment="1">
      <alignment horizontal="center" vertical="center"/>
    </xf>
    <xf numFmtId="164" fontId="31" fillId="0" borderId="12" xfId="42" applyNumberFormat="1" applyFont="1" applyBorder="1" applyAlignment="1">
      <alignment horizontal="center" vertical="center"/>
    </xf>
    <xf numFmtId="166" fontId="31" fillId="0" borderId="12" xfId="0" applyNumberFormat="1" applyFont="1" applyBorder="1" applyAlignment="1">
      <alignment horizontal="center" vertical="center"/>
    </xf>
    <xf numFmtId="167" fontId="31" fillId="0" borderId="12" xfId="0" applyNumberFormat="1" applyFont="1" applyBorder="1" applyAlignment="1">
      <alignment horizontal="center" vertical="center"/>
    </xf>
    <xf numFmtId="6" fontId="31" fillId="0" borderId="12" xfId="0" applyNumberFormat="1" applyFont="1" applyBorder="1" applyAlignment="1">
      <alignment horizontal="center" vertical="center"/>
    </xf>
    <xf numFmtId="165" fontId="31" fillId="0" borderId="12" xfId="0" applyNumberFormat="1" applyFont="1" applyBorder="1" applyAlignment="1">
      <alignment horizontal="center" vertical="center"/>
    </xf>
    <xf numFmtId="165" fontId="31" fillId="0" borderId="11" xfId="0" applyNumberFormat="1" applyFont="1" applyBorder="1" applyAlignment="1">
      <alignment horizontal="center" vertical="center"/>
    </xf>
    <xf numFmtId="167" fontId="25" fillId="0" borderId="11" xfId="0" applyNumberFormat="1" applyFont="1" applyBorder="1" applyAlignment="1">
      <alignment horizontal="center"/>
    </xf>
    <xf numFmtId="167" fontId="31" fillId="0" borderId="11" xfId="42" applyNumberFormat="1" applyFont="1" applyBorder="1" applyAlignment="1">
      <alignment horizontal="center" vertical="center"/>
    </xf>
    <xf numFmtId="167" fontId="31" fillId="0" borderId="12" xfId="42" applyNumberFormat="1" applyFont="1" applyBorder="1" applyAlignment="1">
      <alignment horizontal="center" vertical="center"/>
    </xf>
    <xf numFmtId="0" fontId="18" fillId="0" borderId="11" xfId="0" applyFont="1" applyBorder="1" applyAlignment="1">
      <alignment horizontal="center" vertical="center"/>
    </xf>
    <xf numFmtId="2" fontId="18" fillId="0" borderId="11" xfId="0" applyNumberFormat="1" applyFont="1" applyBorder="1" applyAlignment="1">
      <alignment horizontal="center" vertical="center"/>
    </xf>
    <xf numFmtId="164" fontId="31" fillId="0" borderId="11" xfId="42" applyNumberFormat="1" applyFont="1" applyFill="1" applyBorder="1" applyAlignment="1">
      <alignment horizontal="center" vertical="center"/>
    </xf>
    <xf numFmtId="0" fontId="31" fillId="55" borderId="11" xfId="0" applyFont="1" applyFill="1" applyBorder="1" applyAlignment="1">
      <alignment horizontal="center" vertical="center"/>
    </xf>
    <xf numFmtId="165" fontId="31" fillId="54" borderId="11" xfId="0" applyNumberFormat="1" applyFont="1" applyFill="1" applyBorder="1" applyAlignment="1">
      <alignment horizontal="center" vertical="center"/>
    </xf>
    <xf numFmtId="0" fontId="16" fillId="41" borderId="14" xfId="0" applyFont="1" applyFill="1" applyBorder="1" applyAlignment="1">
      <alignment horizontal="center" vertical="center"/>
    </xf>
    <xf numFmtId="9" fontId="16" fillId="37" borderId="11" xfId="42" quotePrefix="1" applyFont="1" applyFill="1" applyBorder="1" applyAlignment="1">
      <alignment horizontal="center" vertical="center"/>
    </xf>
    <xf numFmtId="0" fontId="32" fillId="0" borderId="11" xfId="0" applyFont="1" applyBorder="1" applyAlignment="1">
      <alignment horizontal="center" vertical="center"/>
    </xf>
    <xf numFmtId="0" fontId="31" fillId="39" borderId="11" xfId="0" applyFont="1" applyFill="1" applyBorder="1" applyAlignment="1">
      <alignment horizontal="center" vertical="center" wrapText="1"/>
    </xf>
    <xf numFmtId="0" fontId="21" fillId="39" borderId="11" xfId="0" applyFont="1" applyFill="1" applyBorder="1" applyAlignment="1">
      <alignment horizontal="center" vertical="center" wrapText="1"/>
    </xf>
    <xf numFmtId="164" fontId="21" fillId="37" borderId="11" xfId="0" applyNumberFormat="1" applyFont="1" applyFill="1" applyBorder="1" applyAlignment="1">
      <alignment horizontal="center" vertical="center"/>
    </xf>
    <xf numFmtId="0" fontId="35" fillId="39" borderId="11" xfId="0" applyFont="1" applyFill="1" applyBorder="1" applyAlignment="1">
      <alignment horizontal="center" vertical="center"/>
    </xf>
    <xf numFmtId="164" fontId="21" fillId="37" borderId="18" xfId="0" applyNumberFormat="1" applyFont="1" applyFill="1" applyBorder="1" applyAlignment="1">
      <alignment horizontal="center" vertical="center"/>
    </xf>
    <xf numFmtId="0" fontId="16" fillId="0" borderId="0" xfId="0" applyFont="1"/>
    <xf numFmtId="0" fontId="31" fillId="48" borderId="11" xfId="0" applyFont="1" applyFill="1" applyBorder="1" applyAlignment="1">
      <alignment horizontal="center" vertical="center" wrapText="1"/>
    </xf>
    <xf numFmtId="0" fontId="31" fillId="46" borderId="11" xfId="0" applyFont="1" applyFill="1" applyBorder="1" applyAlignment="1">
      <alignment horizontal="center" vertical="center" wrapText="1"/>
    </xf>
    <xf numFmtId="0" fontId="31" fillId="43" borderId="11" xfId="0" applyFont="1" applyFill="1" applyBorder="1" applyAlignment="1">
      <alignment horizontal="center" vertical="center" wrapText="1"/>
    </xf>
    <xf numFmtId="0" fontId="35" fillId="48" borderId="11" xfId="0" applyFont="1" applyFill="1" applyBorder="1" applyAlignment="1">
      <alignment horizontal="center" vertical="center"/>
    </xf>
    <xf numFmtId="0" fontId="35" fillId="43" borderId="11" xfId="0" applyFont="1" applyFill="1" applyBorder="1" applyAlignment="1">
      <alignment horizontal="center" vertical="center"/>
    </xf>
    <xf numFmtId="0" fontId="35" fillId="46" borderId="11" xfId="0" applyFont="1" applyFill="1" applyBorder="1" applyAlignment="1">
      <alignment horizontal="center" vertical="center"/>
    </xf>
    <xf numFmtId="9" fontId="21" fillId="37" borderId="18" xfId="0" applyNumberFormat="1" applyFont="1" applyFill="1" applyBorder="1" applyAlignment="1">
      <alignment horizontal="center" vertical="center"/>
    </xf>
    <xf numFmtId="0" fontId="31" fillId="56" borderId="11" xfId="0" applyFont="1" applyFill="1" applyBorder="1" applyAlignment="1">
      <alignment horizontal="center" vertical="center" wrapText="1"/>
    </xf>
    <xf numFmtId="0" fontId="37" fillId="56" borderId="11" xfId="0" applyFont="1" applyFill="1" applyBorder="1" applyAlignment="1">
      <alignment horizontal="center" vertical="center"/>
    </xf>
    <xf numFmtId="164" fontId="21" fillId="50" borderId="11" xfId="0" applyNumberFormat="1" applyFont="1" applyFill="1" applyBorder="1" applyAlignment="1">
      <alignment horizontal="center" vertical="center"/>
    </xf>
    <xf numFmtId="0" fontId="21" fillId="45" borderId="14" xfId="0" applyFont="1" applyFill="1" applyBorder="1" applyAlignment="1">
      <alignment horizontal="center" vertical="center" wrapText="1"/>
    </xf>
    <xf numFmtId="0" fontId="31" fillId="45" borderId="11" xfId="0" applyFont="1" applyFill="1" applyBorder="1" applyAlignment="1">
      <alignment horizontal="center" vertical="center" wrapText="1"/>
    </xf>
    <xf numFmtId="0" fontId="37" fillId="45" borderId="14" xfId="0" applyFont="1" applyFill="1" applyBorder="1" applyAlignment="1">
      <alignment horizontal="center" vertical="center"/>
    </xf>
    <xf numFmtId="0" fontId="31" fillId="57" borderId="11" xfId="0" applyFont="1" applyFill="1" applyBorder="1" applyAlignment="1">
      <alignment horizontal="center" vertical="center" wrapText="1"/>
    </xf>
    <xf numFmtId="0" fontId="37" fillId="57" borderId="11" xfId="0" applyFont="1" applyFill="1" applyBorder="1" applyAlignment="1">
      <alignment horizontal="center" vertical="center"/>
    </xf>
    <xf numFmtId="0" fontId="31" fillId="58" borderId="11" xfId="0" applyFont="1" applyFill="1" applyBorder="1" applyAlignment="1">
      <alignment horizontal="center" vertical="center" wrapText="1"/>
    </xf>
    <xf numFmtId="0" fontId="37" fillId="58" borderId="11" xfId="0" applyFont="1" applyFill="1" applyBorder="1" applyAlignment="1">
      <alignment horizontal="center" vertical="center"/>
    </xf>
    <xf numFmtId="9" fontId="21" fillId="50" borderId="18" xfId="0" applyNumberFormat="1" applyFont="1" applyFill="1" applyBorder="1" applyAlignment="1">
      <alignment horizontal="center" vertical="center"/>
    </xf>
    <xf numFmtId="0" fontId="0" fillId="39" borderId="13" xfId="0" applyFill="1" applyBorder="1"/>
    <xf numFmtId="6" fontId="31" fillId="0" borderId="11" xfId="0" applyNumberFormat="1" applyFont="1" applyBorder="1" applyAlignment="1">
      <alignment horizontal="center" vertical="center"/>
    </xf>
    <xf numFmtId="0" fontId="36" fillId="36" borderId="13" xfId="0" applyFont="1" applyFill="1" applyBorder="1" applyAlignment="1">
      <alignment vertical="center"/>
    </xf>
    <xf numFmtId="0" fontId="18" fillId="36" borderId="11" xfId="0" applyFont="1" applyFill="1" applyBorder="1" applyAlignment="1">
      <alignment horizontal="center" vertical="center"/>
    </xf>
    <xf numFmtId="0" fontId="18" fillId="39" borderId="11" xfId="0" applyFont="1" applyFill="1" applyBorder="1" applyAlignment="1">
      <alignment horizontal="center" vertical="center"/>
    </xf>
    <xf numFmtId="0" fontId="38" fillId="36" borderId="12" xfId="0" applyFont="1" applyFill="1" applyBorder="1" applyAlignment="1">
      <alignment horizontal="center" vertical="center"/>
    </xf>
    <xf numFmtId="0" fontId="39" fillId="39" borderId="12" xfId="0" applyFont="1" applyFill="1" applyBorder="1" applyAlignment="1">
      <alignment horizontal="center" vertical="center"/>
    </xf>
    <xf numFmtId="165" fontId="22" fillId="0" borderId="11" xfId="0" applyNumberFormat="1" applyFont="1" applyBorder="1" applyAlignment="1">
      <alignment horizontal="center"/>
    </xf>
    <xf numFmtId="0" fontId="0" fillId="60" borderId="11" xfId="0" applyFill="1" applyBorder="1" applyAlignment="1">
      <alignment horizontal="center" vertical="center"/>
    </xf>
    <xf numFmtId="0" fontId="0" fillId="59" borderId="11" xfId="0" applyFill="1" applyBorder="1" applyAlignment="1">
      <alignment horizontal="center" vertical="center"/>
    </xf>
    <xf numFmtId="0" fontId="17" fillId="61" borderId="11" xfId="0" applyFont="1" applyFill="1" applyBorder="1" applyAlignment="1">
      <alignment horizontal="center" vertical="center"/>
    </xf>
    <xf numFmtId="0" fontId="0" fillId="52" borderId="11" xfId="0" applyFill="1" applyBorder="1" applyAlignment="1">
      <alignment horizontal="center" vertical="center"/>
    </xf>
    <xf numFmtId="0" fontId="0" fillId="62" borderId="11" xfId="0" applyFill="1" applyBorder="1" applyAlignment="1">
      <alignment horizontal="center" vertical="center"/>
    </xf>
    <xf numFmtId="0" fontId="0" fillId="63" borderId="11" xfId="0" applyFill="1" applyBorder="1" applyAlignment="1">
      <alignment horizontal="center" vertical="center"/>
    </xf>
    <xf numFmtId="0" fontId="0" fillId="64" borderId="11" xfId="0" applyFill="1" applyBorder="1" applyAlignment="1">
      <alignment horizontal="center" vertical="center"/>
    </xf>
    <xf numFmtId="0" fontId="31" fillId="54" borderId="12" xfId="0" applyFont="1" applyFill="1" applyBorder="1" applyAlignment="1">
      <alignment horizontal="center" vertical="center" wrapText="1"/>
    </xf>
    <xf numFmtId="0" fontId="36" fillId="54" borderId="15" xfId="0" applyFont="1" applyFill="1" applyBorder="1" applyAlignment="1">
      <alignment horizontal="center"/>
    </xf>
    <xf numFmtId="0" fontId="18" fillId="54" borderId="13" xfId="0" applyFont="1" applyFill="1" applyBorder="1" applyAlignment="1">
      <alignment horizontal="center" vertical="center"/>
    </xf>
    <xf numFmtId="1" fontId="19" fillId="54" borderId="11" xfId="0" applyNumberFormat="1" applyFont="1" applyFill="1" applyBorder="1" applyAlignment="1">
      <alignment horizontal="center" vertical="center"/>
    </xf>
    <xf numFmtId="9" fontId="19" fillId="54" borderId="11" xfId="42" applyFont="1" applyFill="1" applyBorder="1" applyAlignment="1">
      <alignment horizontal="center" vertical="center"/>
    </xf>
    <xf numFmtId="0" fontId="19" fillId="50" borderId="15" xfId="0" applyFont="1" applyFill="1" applyBorder="1" applyAlignment="1">
      <alignment vertical="center" wrapText="1"/>
    </xf>
    <xf numFmtId="0" fontId="19" fillId="56" borderId="15" xfId="0" applyFont="1" applyFill="1" applyBorder="1" applyAlignment="1">
      <alignment vertical="center" wrapText="1"/>
    </xf>
    <xf numFmtId="2" fontId="31" fillId="39" borderId="11" xfId="0" applyNumberFormat="1" applyFont="1" applyFill="1" applyBorder="1" applyAlignment="1">
      <alignment horizontal="center" vertical="center"/>
    </xf>
    <xf numFmtId="0" fontId="31" fillId="39" borderId="11" xfId="0" applyFont="1" applyFill="1" applyBorder="1" applyAlignment="1">
      <alignment horizontal="center" vertical="center"/>
    </xf>
    <xf numFmtId="0" fontId="31" fillId="39" borderId="12" xfId="0" applyFont="1" applyFill="1" applyBorder="1" applyAlignment="1">
      <alignment horizontal="center" vertical="center"/>
    </xf>
    <xf numFmtId="168" fontId="42" fillId="65" borderId="11" xfId="0" applyNumberFormat="1" applyFont="1" applyFill="1" applyBorder="1" applyAlignment="1">
      <alignment horizontal="center" vertical="center" wrapText="1"/>
    </xf>
    <xf numFmtId="6" fontId="31" fillId="50" borderId="11" xfId="0" applyNumberFormat="1" applyFont="1" applyFill="1" applyBorder="1" applyAlignment="1">
      <alignment horizontal="center"/>
    </xf>
    <xf numFmtId="6" fontId="31" fillId="50" borderId="11" xfId="0" applyNumberFormat="1" applyFont="1" applyFill="1" applyBorder="1" applyAlignment="1">
      <alignment horizontal="center" vertical="center"/>
    </xf>
    <xf numFmtId="0" fontId="19" fillId="38" borderId="15" xfId="0" applyFont="1" applyFill="1" applyBorder="1" applyAlignment="1">
      <alignment vertical="center" wrapText="1"/>
    </xf>
    <xf numFmtId="6" fontId="31" fillId="38" borderId="11" xfId="0" applyNumberFormat="1" applyFont="1" applyFill="1" applyBorder="1" applyAlignment="1">
      <alignment horizontal="center"/>
    </xf>
    <xf numFmtId="6" fontId="31" fillId="38" borderId="11" xfId="0" applyNumberFormat="1" applyFont="1" applyFill="1" applyBorder="1" applyAlignment="1">
      <alignment horizontal="center" vertical="center"/>
    </xf>
    <xf numFmtId="6" fontId="31" fillId="56" borderId="11" xfId="0" applyNumberFormat="1" applyFont="1" applyFill="1" applyBorder="1" applyAlignment="1">
      <alignment horizontal="center"/>
    </xf>
    <xf numFmtId="6" fontId="31" fillId="56" borderId="11" xfId="0" applyNumberFormat="1" applyFont="1" applyFill="1" applyBorder="1" applyAlignment="1">
      <alignment horizontal="center" vertical="center"/>
    </xf>
    <xf numFmtId="0" fontId="46" fillId="43" borderId="0" xfId="0" applyFont="1" applyFill="1" applyAlignment="1">
      <alignment horizontal="center"/>
    </xf>
    <xf numFmtId="0" fontId="43" fillId="43" borderId="19" xfId="0" applyFont="1" applyFill="1" applyBorder="1" applyAlignment="1">
      <alignment vertical="center"/>
    </xf>
    <xf numFmtId="0" fontId="32" fillId="43" borderId="11" xfId="0" applyFont="1" applyFill="1" applyBorder="1" applyAlignment="1">
      <alignment horizontal="right" vertical="center" wrapText="1"/>
    </xf>
    <xf numFmtId="168" fontId="42" fillId="50" borderId="11" xfId="0" applyNumberFormat="1" applyFont="1" applyFill="1" applyBorder="1" applyAlignment="1">
      <alignment horizontal="center" vertical="center" wrapText="1"/>
    </xf>
    <xf numFmtId="168" fontId="45" fillId="58" borderId="11" xfId="0" applyNumberFormat="1" applyFont="1" applyFill="1" applyBorder="1" applyAlignment="1">
      <alignment horizontal="center" vertical="center" wrapText="1"/>
    </xf>
    <xf numFmtId="167" fontId="0" fillId="0" borderId="0" xfId="0" applyNumberFormat="1"/>
    <xf numFmtId="1" fontId="31" fillId="39" borderId="11" xfId="0" applyNumberFormat="1" applyFont="1" applyFill="1" applyBorder="1" applyAlignment="1">
      <alignment horizontal="center" vertical="center"/>
    </xf>
    <xf numFmtId="166" fontId="31" fillId="39" borderId="11" xfId="0" applyNumberFormat="1" applyFont="1" applyFill="1" applyBorder="1" applyAlignment="1">
      <alignment horizontal="center" vertical="center"/>
    </xf>
    <xf numFmtId="1" fontId="31" fillId="39" borderId="12" xfId="0" applyNumberFormat="1" applyFont="1" applyFill="1" applyBorder="1" applyAlignment="1">
      <alignment horizontal="center" vertical="center"/>
    </xf>
    <xf numFmtId="166" fontId="31" fillId="39" borderId="12" xfId="0" applyNumberFormat="1" applyFont="1" applyFill="1" applyBorder="1" applyAlignment="1">
      <alignment horizontal="center" vertical="center"/>
    </xf>
    <xf numFmtId="167" fontId="31" fillId="0" borderId="11" xfId="0" applyNumberFormat="1" applyFont="1" applyBorder="1" applyAlignment="1">
      <alignment horizontal="center"/>
    </xf>
    <xf numFmtId="167" fontId="32" fillId="0" borderId="11" xfId="0" applyNumberFormat="1" applyFont="1" applyBorder="1" applyAlignment="1">
      <alignment horizontal="center" vertical="center"/>
    </xf>
    <xf numFmtId="167" fontId="32" fillId="0" borderId="12" xfId="0" applyNumberFormat="1" applyFont="1" applyBorder="1" applyAlignment="1">
      <alignment horizontal="center" vertical="center"/>
    </xf>
    <xf numFmtId="6" fontId="31" fillId="0" borderId="11" xfId="0" applyNumberFormat="1" applyFont="1" applyBorder="1" applyAlignment="1">
      <alignment horizontal="center"/>
    </xf>
    <xf numFmtId="6" fontId="31" fillId="0" borderId="12" xfId="42" applyNumberFormat="1" applyFont="1" applyFill="1" applyBorder="1" applyAlignment="1">
      <alignment horizontal="center" vertical="center"/>
    </xf>
    <xf numFmtId="0" fontId="0" fillId="66" borderId="11" xfId="0" applyFill="1" applyBorder="1" applyAlignment="1">
      <alignment horizontal="center" vertical="center"/>
    </xf>
    <xf numFmtId="0" fontId="0" fillId="67" borderId="11" xfId="0" applyFill="1" applyBorder="1" applyAlignment="1">
      <alignment horizontal="center" vertical="center"/>
    </xf>
    <xf numFmtId="6" fontId="31" fillId="50" borderId="11" xfId="42" applyNumberFormat="1" applyFont="1" applyFill="1" applyBorder="1" applyAlignment="1">
      <alignment horizontal="center" vertical="center"/>
    </xf>
    <xf numFmtId="6" fontId="31" fillId="38" borderId="11" xfId="42" applyNumberFormat="1" applyFont="1" applyFill="1" applyBorder="1" applyAlignment="1">
      <alignment horizontal="center" vertical="center"/>
    </xf>
    <xf numFmtId="6" fontId="31" fillId="56" borderId="11" xfId="42" applyNumberFormat="1" applyFont="1" applyFill="1" applyBorder="1" applyAlignment="1">
      <alignment horizontal="center" vertical="center"/>
    </xf>
    <xf numFmtId="167" fontId="31" fillId="56" borderId="11" xfId="42" applyNumberFormat="1" applyFont="1" applyFill="1" applyBorder="1" applyAlignment="1">
      <alignment horizontal="center" vertical="center"/>
    </xf>
    <xf numFmtId="6" fontId="31" fillId="0" borderId="11" xfId="42" applyNumberFormat="1" applyFont="1" applyFill="1" applyBorder="1" applyAlignment="1">
      <alignment horizontal="center" vertical="center"/>
    </xf>
    <xf numFmtId="167" fontId="31" fillId="0" borderId="11" xfId="42" applyNumberFormat="1" applyFont="1" applyFill="1" applyBorder="1" applyAlignment="1">
      <alignment horizontal="center" vertical="center"/>
    </xf>
    <xf numFmtId="0" fontId="16" fillId="68" borderId="11" xfId="0" applyFont="1" applyFill="1" applyBorder="1" applyAlignment="1">
      <alignment horizontal="center" vertical="center"/>
    </xf>
    <xf numFmtId="0" fontId="21" fillId="0" borderId="0" xfId="0" applyFont="1" applyAlignment="1">
      <alignment horizontal="center" vertical="center"/>
    </xf>
    <xf numFmtId="0" fontId="32" fillId="39" borderId="15" xfId="0" applyFont="1" applyFill="1" applyBorder="1" applyAlignment="1">
      <alignment horizontal="center" vertical="top" wrapText="1"/>
    </xf>
    <xf numFmtId="0" fontId="19" fillId="39" borderId="15" xfId="0" applyFont="1" applyFill="1" applyBorder="1" applyAlignment="1">
      <alignment horizontal="center" vertical="top" wrapText="1"/>
    </xf>
    <xf numFmtId="0" fontId="32" fillId="39" borderId="23" xfId="0" applyFont="1" applyFill="1" applyBorder="1" applyAlignment="1">
      <alignment horizontal="center" vertical="top" wrapText="1"/>
    </xf>
    <xf numFmtId="0" fontId="32" fillId="39" borderId="15" xfId="0" applyFont="1" applyFill="1" applyBorder="1" applyAlignment="1">
      <alignment vertical="top" wrapText="1"/>
    </xf>
    <xf numFmtId="0" fontId="19" fillId="46" borderId="15" xfId="0" applyFont="1" applyFill="1" applyBorder="1" applyAlignment="1">
      <alignment horizontal="left" vertical="top" wrapText="1"/>
    </xf>
    <xf numFmtId="0" fontId="19" fillId="50" borderId="15" xfId="0" applyFont="1" applyFill="1" applyBorder="1" applyAlignment="1">
      <alignment horizontal="left" vertical="top" wrapText="1"/>
    </xf>
    <xf numFmtId="0" fontId="31" fillId="44" borderId="15" xfId="0" applyFont="1" applyFill="1" applyBorder="1" applyAlignment="1">
      <alignment horizontal="left" vertical="top" wrapText="1"/>
    </xf>
    <xf numFmtId="0" fontId="32" fillId="44" borderId="15" xfId="0" applyFont="1" applyFill="1" applyBorder="1" applyAlignment="1">
      <alignment horizontal="left" vertical="top" wrapText="1"/>
    </xf>
    <xf numFmtId="0" fontId="30" fillId="43" borderId="11" xfId="0" applyFont="1" applyFill="1" applyBorder="1" applyAlignment="1">
      <alignment horizontal="center" vertical="center" wrapText="1"/>
    </xf>
    <xf numFmtId="0" fontId="21" fillId="47" borderId="11" xfId="0" applyFont="1" applyFill="1" applyBorder="1" applyAlignment="1">
      <alignment horizontal="center" vertical="center"/>
    </xf>
    <xf numFmtId="0" fontId="18" fillId="47" borderId="11" xfId="0" applyFont="1" applyFill="1" applyBorder="1" applyAlignment="1">
      <alignment horizontal="center" vertical="center"/>
    </xf>
    <xf numFmtId="0" fontId="18" fillId="44" borderId="11" xfId="0" applyFont="1" applyFill="1" applyBorder="1" applyAlignment="1">
      <alignment horizontal="center" vertical="center"/>
    </xf>
    <xf numFmtId="1" fontId="18" fillId="0" borderId="11" xfId="0" applyNumberFormat="1" applyFont="1" applyBorder="1" applyAlignment="1">
      <alignment horizontal="center" vertical="center"/>
    </xf>
    <xf numFmtId="1" fontId="31" fillId="0" borderId="11" xfId="0" applyNumberFormat="1" applyFont="1" applyBorder="1" applyAlignment="1">
      <alignment horizontal="center" vertical="center"/>
    </xf>
    <xf numFmtId="165" fontId="18" fillId="0" borderId="11" xfId="0" applyNumberFormat="1" applyFont="1" applyBorder="1" applyAlignment="1">
      <alignment horizontal="center" vertical="center"/>
    </xf>
    <xf numFmtId="2" fontId="20" fillId="0" borderId="11" xfId="0" applyNumberFormat="1" applyFont="1" applyBorder="1" applyAlignment="1">
      <alignment horizontal="center" vertical="center"/>
    </xf>
    <xf numFmtId="169" fontId="20" fillId="0" borderId="0" xfId="0" applyNumberFormat="1" applyFont="1" applyAlignment="1">
      <alignment horizontal="center" vertical="center"/>
    </xf>
    <xf numFmtId="0" fontId="27" fillId="0" borderId="0" xfId="0" applyFont="1" applyAlignment="1">
      <alignment horizontal="center" vertical="center" textRotation="90"/>
    </xf>
    <xf numFmtId="2" fontId="31" fillId="0" borderId="12" xfId="0" applyNumberFormat="1" applyFont="1" applyBorder="1" applyAlignment="1">
      <alignment horizontal="center" vertical="center"/>
    </xf>
    <xf numFmtId="0" fontId="0" fillId="37" borderId="10" xfId="0" applyFill="1" applyBorder="1"/>
    <xf numFmtId="0" fontId="21" fillId="0" borderId="0" xfId="0" applyFont="1"/>
    <xf numFmtId="165" fontId="31" fillId="39" borderId="12" xfId="0" applyNumberFormat="1" applyFont="1" applyFill="1" applyBorder="1" applyAlignment="1">
      <alignment horizontal="center" vertical="center"/>
    </xf>
    <xf numFmtId="165" fontId="31" fillId="0" borderId="11" xfId="42" applyNumberFormat="1" applyFont="1" applyFill="1" applyBorder="1" applyAlignment="1">
      <alignment horizontal="center" vertical="center"/>
    </xf>
    <xf numFmtId="1" fontId="31" fillId="0" borderId="11" xfId="42" applyNumberFormat="1" applyFont="1" applyFill="1" applyBorder="1" applyAlignment="1">
      <alignment horizontal="center" vertical="center"/>
    </xf>
    <xf numFmtId="1" fontId="31" fillId="0" borderId="12" xfId="0" applyNumberFormat="1" applyFont="1" applyBorder="1" applyAlignment="1">
      <alignment horizontal="center" vertical="center"/>
    </xf>
    <xf numFmtId="165" fontId="31" fillId="54" borderId="11" xfId="42" applyNumberFormat="1" applyFont="1" applyFill="1" applyBorder="1" applyAlignment="1">
      <alignment horizontal="center" vertical="center"/>
    </xf>
    <xf numFmtId="0" fontId="31" fillId="0" borderId="0" xfId="0" applyFont="1" applyAlignment="1">
      <alignment horizontal="left" vertical="center"/>
    </xf>
    <xf numFmtId="0" fontId="31" fillId="0" borderId="0" xfId="0" applyFont="1" applyAlignment="1">
      <alignment horizontal="center" vertical="center"/>
    </xf>
    <xf numFmtId="0" fontId="0" fillId="37" borderId="10" xfId="0" applyFill="1" applyBorder="1" applyAlignment="1">
      <alignment horizontal="center" vertical="center"/>
    </xf>
    <xf numFmtId="0" fontId="19" fillId="39" borderId="15" xfId="0" applyFont="1" applyFill="1" applyBorder="1" applyAlignment="1">
      <alignment vertical="center" wrapText="1"/>
    </xf>
    <xf numFmtId="0" fontId="19" fillId="48" borderId="15" xfId="0" applyFont="1" applyFill="1" applyBorder="1" applyAlignment="1">
      <alignment vertical="center" wrapText="1"/>
    </xf>
    <xf numFmtId="0" fontId="19" fillId="43" borderId="15" xfId="0" applyFont="1" applyFill="1" applyBorder="1" applyAlignment="1">
      <alignment vertical="center" wrapText="1"/>
    </xf>
    <xf numFmtId="165" fontId="31" fillId="50" borderId="11" xfId="42" applyNumberFormat="1" applyFont="1" applyFill="1" applyBorder="1" applyAlignment="1">
      <alignment horizontal="center" vertical="center"/>
    </xf>
    <xf numFmtId="165" fontId="31" fillId="38" borderId="11" xfId="42" applyNumberFormat="1" applyFont="1" applyFill="1" applyBorder="1" applyAlignment="1">
      <alignment horizontal="center" vertical="center"/>
    </xf>
    <xf numFmtId="165" fontId="31" fillId="56" borderId="11" xfId="42" applyNumberFormat="1" applyFont="1" applyFill="1" applyBorder="1" applyAlignment="1">
      <alignment horizontal="center" vertical="center"/>
    </xf>
    <xf numFmtId="165" fontId="31" fillId="50" borderId="11" xfId="0" applyNumberFormat="1" applyFont="1" applyFill="1" applyBorder="1" applyAlignment="1">
      <alignment horizontal="center" vertical="center"/>
    </xf>
    <xf numFmtId="165" fontId="31" fillId="38" borderId="11" xfId="0" applyNumberFormat="1" applyFont="1" applyFill="1" applyBorder="1" applyAlignment="1">
      <alignment horizontal="center" vertical="center"/>
    </xf>
    <xf numFmtId="165" fontId="31" fillId="56" borderId="11" xfId="0" applyNumberFormat="1" applyFont="1" applyFill="1" applyBorder="1" applyAlignment="1">
      <alignment horizontal="center" vertical="center"/>
    </xf>
    <xf numFmtId="165" fontId="31" fillId="50" borderId="11" xfId="0" applyNumberFormat="1" applyFont="1" applyFill="1" applyBorder="1" applyAlignment="1">
      <alignment horizontal="center"/>
    </xf>
    <xf numFmtId="165" fontId="31" fillId="38" borderId="11" xfId="0" applyNumberFormat="1" applyFont="1" applyFill="1" applyBorder="1" applyAlignment="1">
      <alignment horizontal="center"/>
    </xf>
    <xf numFmtId="165" fontId="31" fillId="56" borderId="11" xfId="0" applyNumberFormat="1" applyFont="1" applyFill="1" applyBorder="1" applyAlignment="1">
      <alignment horizontal="center"/>
    </xf>
    <xf numFmtId="2" fontId="31" fillId="50" borderId="11" xfId="42" applyNumberFormat="1" applyFont="1" applyFill="1" applyBorder="1" applyAlignment="1">
      <alignment horizontal="center" vertical="center"/>
    </xf>
    <xf numFmtId="2" fontId="31" fillId="38" borderId="11" xfId="42" applyNumberFormat="1" applyFont="1" applyFill="1" applyBorder="1" applyAlignment="1">
      <alignment horizontal="center" vertical="center"/>
    </xf>
    <xf numFmtId="2" fontId="31" fillId="56" borderId="11" xfId="42" applyNumberFormat="1" applyFont="1" applyFill="1" applyBorder="1" applyAlignment="1">
      <alignment horizontal="center" vertical="center"/>
    </xf>
    <xf numFmtId="2" fontId="31" fillId="50" borderId="11" xfId="0" applyNumberFormat="1" applyFont="1" applyFill="1" applyBorder="1" applyAlignment="1">
      <alignment horizontal="center" vertical="center"/>
    </xf>
    <xf numFmtId="2" fontId="31" fillId="38" borderId="11" xfId="0" applyNumberFormat="1" applyFont="1" applyFill="1" applyBorder="1" applyAlignment="1">
      <alignment horizontal="center" vertical="center"/>
    </xf>
    <xf numFmtId="2" fontId="31" fillId="56" borderId="11" xfId="0" applyNumberFormat="1" applyFont="1" applyFill="1" applyBorder="1" applyAlignment="1">
      <alignment horizontal="center" vertical="center"/>
    </xf>
    <xf numFmtId="2" fontId="31" fillId="50" borderId="11" xfId="0" applyNumberFormat="1" applyFont="1" applyFill="1" applyBorder="1" applyAlignment="1">
      <alignment horizontal="center"/>
    </xf>
    <xf numFmtId="2" fontId="31" fillId="38" borderId="11" xfId="0" applyNumberFormat="1" applyFont="1" applyFill="1" applyBorder="1" applyAlignment="1">
      <alignment horizontal="center"/>
    </xf>
    <xf numFmtId="2" fontId="31" fillId="56" borderId="11" xfId="0" applyNumberFormat="1" applyFont="1" applyFill="1" applyBorder="1" applyAlignment="1">
      <alignment horizontal="center"/>
    </xf>
    <xf numFmtId="167" fontId="31" fillId="0" borderId="0" xfId="0" applyNumberFormat="1" applyFont="1" applyAlignment="1">
      <alignment horizontal="center" vertical="center"/>
    </xf>
    <xf numFmtId="166" fontId="31" fillId="0" borderId="0" xfId="0" applyNumberFormat="1" applyFont="1" applyAlignment="1">
      <alignment horizontal="center" vertical="center"/>
    </xf>
    <xf numFmtId="167" fontId="31" fillId="0" borderId="0" xfId="0" applyNumberFormat="1" applyFont="1" applyAlignment="1">
      <alignment horizontal="center"/>
    </xf>
    <xf numFmtId="0" fontId="23" fillId="0" borderId="0" xfId="0" applyFont="1" applyAlignment="1">
      <alignment horizontal="center" vertical="center"/>
    </xf>
    <xf numFmtId="168" fontId="42" fillId="0" borderId="0" xfId="0" applyNumberFormat="1" applyFont="1" applyAlignment="1">
      <alignment horizontal="center" vertical="center" wrapText="1"/>
    </xf>
    <xf numFmtId="0" fontId="31" fillId="0" borderId="0" xfId="0" applyFont="1" applyAlignment="1">
      <alignment horizontal="left" vertical="top" wrapText="1"/>
    </xf>
    <xf numFmtId="0" fontId="31" fillId="46" borderId="11" xfId="0" applyFont="1" applyFill="1" applyBorder="1" applyAlignment="1">
      <alignment horizontal="center" vertical="center"/>
    </xf>
    <xf numFmtId="0" fontId="31" fillId="41" borderId="11" xfId="0" applyFont="1" applyFill="1" applyBorder="1" applyAlignment="1">
      <alignment horizontal="center" vertical="center"/>
    </xf>
    <xf numFmtId="165" fontId="20" fillId="0" borderId="11" xfId="0" applyNumberFormat="1" applyFont="1" applyBorder="1" applyAlignment="1">
      <alignment horizontal="center" vertical="center"/>
    </xf>
    <xf numFmtId="165" fontId="16" fillId="0" borderId="11" xfId="0" applyNumberFormat="1" applyFont="1" applyBorder="1" applyAlignment="1">
      <alignment horizontal="center" vertical="center"/>
    </xf>
    <xf numFmtId="0" fontId="22" fillId="0" borderId="11" xfId="0" applyFont="1" applyBorder="1" applyAlignment="1">
      <alignment horizontal="center"/>
    </xf>
    <xf numFmtId="0" fontId="22" fillId="0" borderId="12" xfId="0" applyFont="1" applyBorder="1" applyAlignment="1">
      <alignment horizontal="center"/>
    </xf>
    <xf numFmtId="0" fontId="22" fillId="34" borderId="11" xfId="0" applyFont="1" applyFill="1" applyBorder="1" applyAlignment="1">
      <alignment horizontal="center" vertical="center" wrapText="1"/>
    </xf>
    <xf numFmtId="0" fontId="22" fillId="48" borderId="11" xfId="0" applyFont="1" applyFill="1" applyBorder="1" applyAlignment="1">
      <alignment horizontal="center" vertical="center" wrapText="1"/>
    </xf>
    <xf numFmtId="0" fontId="16" fillId="33" borderId="11" xfId="0" applyFont="1" applyFill="1" applyBorder="1" applyAlignment="1">
      <alignment horizontal="center" vertical="center"/>
    </xf>
    <xf numFmtId="0" fontId="0" fillId="48" borderId="12" xfId="0" applyFill="1" applyBorder="1" applyAlignment="1">
      <alignment horizontal="center" vertical="center"/>
    </xf>
    <xf numFmtId="0" fontId="31" fillId="48" borderId="12" xfId="0" applyFont="1" applyFill="1" applyBorder="1" applyAlignment="1">
      <alignment horizontal="center" vertical="center"/>
    </xf>
    <xf numFmtId="170" fontId="16" fillId="33" borderId="11" xfId="0" applyNumberFormat="1" applyFont="1" applyFill="1" applyBorder="1" applyAlignment="1">
      <alignment horizontal="center" vertical="center"/>
    </xf>
    <xf numFmtId="0" fontId="21" fillId="37" borderId="11" xfId="0" applyFont="1" applyFill="1" applyBorder="1" applyAlignment="1">
      <alignment horizontal="center" vertical="center"/>
    </xf>
    <xf numFmtId="170" fontId="21" fillId="37" borderId="11" xfId="0" applyNumberFormat="1" applyFont="1" applyFill="1" applyBorder="1" applyAlignment="1">
      <alignment horizontal="center" vertical="center"/>
    </xf>
    <xf numFmtId="0" fontId="31" fillId="0" borderId="11" xfId="0" applyFont="1" applyBorder="1" applyAlignment="1">
      <alignment horizontal="center"/>
    </xf>
    <xf numFmtId="0" fontId="31" fillId="0" borderId="12" xfId="0" applyFont="1" applyBorder="1" applyAlignment="1">
      <alignment horizontal="center"/>
    </xf>
    <xf numFmtId="168" fontId="32" fillId="50" borderId="11" xfId="0" applyNumberFormat="1" applyFont="1" applyFill="1" applyBorder="1" applyAlignment="1">
      <alignment horizontal="center" vertical="center" wrapText="1"/>
    </xf>
    <xf numFmtId="2" fontId="31" fillId="0" borderId="0" xfId="42" applyNumberFormat="1" applyFont="1" applyAlignment="1">
      <alignment horizontal="center" vertical="center"/>
    </xf>
    <xf numFmtId="0" fontId="0" fillId="37" borderId="10" xfId="0" applyFill="1" applyBorder="1" applyAlignment="1">
      <alignment horizontal="center"/>
    </xf>
    <xf numFmtId="0" fontId="22" fillId="48" borderId="12" xfId="0" applyFont="1" applyFill="1" applyBorder="1" applyAlignment="1">
      <alignment horizontal="center" vertical="center"/>
    </xf>
    <xf numFmtId="0" fontId="52" fillId="52" borderId="11" xfId="0" applyFont="1" applyFill="1" applyBorder="1" applyAlignment="1">
      <alignment horizontal="center" vertical="center"/>
    </xf>
    <xf numFmtId="1" fontId="34" fillId="52" borderId="11" xfId="0" applyNumberFormat="1" applyFont="1" applyFill="1" applyBorder="1" applyAlignment="1">
      <alignment horizontal="center" vertical="center"/>
    </xf>
    <xf numFmtId="1" fontId="52" fillId="52" borderId="11" xfId="0" applyNumberFormat="1" applyFont="1" applyFill="1" applyBorder="1" applyAlignment="1">
      <alignment horizontal="center" vertical="center"/>
    </xf>
    <xf numFmtId="165" fontId="34" fillId="52" borderId="11" xfId="0" applyNumberFormat="1" applyFont="1" applyFill="1" applyBorder="1" applyAlignment="1">
      <alignment horizontal="center" vertical="center"/>
    </xf>
    <xf numFmtId="165" fontId="52" fillId="52" borderId="11" xfId="0" applyNumberFormat="1" applyFont="1" applyFill="1" applyBorder="1" applyAlignment="1">
      <alignment horizontal="center" vertical="center"/>
    </xf>
    <xf numFmtId="165" fontId="53" fillId="52" borderId="11" xfId="0" applyNumberFormat="1" applyFont="1" applyFill="1" applyBorder="1" applyAlignment="1">
      <alignment horizontal="center" vertical="center"/>
    </xf>
    <xf numFmtId="2" fontId="53" fillId="52" borderId="11" xfId="0" applyNumberFormat="1" applyFont="1" applyFill="1" applyBorder="1" applyAlignment="1">
      <alignment horizontal="center" vertical="center"/>
    </xf>
    <xf numFmtId="0" fontId="21" fillId="0" borderId="11" xfId="0" applyFont="1" applyBorder="1" applyAlignment="1">
      <alignment horizontal="center" vertical="center"/>
    </xf>
    <xf numFmtId="9" fontId="21" fillId="0" borderId="11" xfId="42" applyFont="1" applyBorder="1" applyAlignment="1">
      <alignment horizontal="center" vertical="center"/>
    </xf>
    <xf numFmtId="0" fontId="18" fillId="67" borderId="11" xfId="0" applyFont="1" applyFill="1" applyBorder="1" applyAlignment="1">
      <alignment horizontal="center" vertical="center"/>
    </xf>
    <xf numFmtId="0" fontId="18" fillId="63" borderId="11" xfId="0" applyFont="1" applyFill="1" applyBorder="1" applyAlignment="1">
      <alignment horizontal="center" vertical="center"/>
    </xf>
    <xf numFmtId="0" fontId="18" fillId="70" borderId="11" xfId="0" applyFont="1" applyFill="1" applyBorder="1" applyAlignment="1">
      <alignment horizontal="center" vertical="center"/>
    </xf>
    <xf numFmtId="2" fontId="21" fillId="0" borderId="11" xfId="0" applyNumberFormat="1" applyFont="1" applyBorder="1" applyAlignment="1">
      <alignment horizontal="center" vertical="center"/>
    </xf>
    <xf numFmtId="165" fontId="21" fillId="0" borderId="11" xfId="0" applyNumberFormat="1" applyFont="1" applyBorder="1" applyAlignment="1">
      <alignment horizontal="center" vertical="center"/>
    </xf>
    <xf numFmtId="0" fontId="18" fillId="71" borderId="11" xfId="0" applyFont="1" applyFill="1" applyBorder="1" applyAlignment="1">
      <alignment horizontal="center" vertical="center"/>
    </xf>
    <xf numFmtId="168" fontId="42" fillId="56" borderId="18" xfId="0" applyNumberFormat="1" applyFont="1" applyFill="1" applyBorder="1" applyAlignment="1">
      <alignment horizontal="center" vertical="center" wrapText="1"/>
    </xf>
    <xf numFmtId="0" fontId="19" fillId="56" borderId="15" xfId="0" applyFont="1" applyFill="1" applyBorder="1" applyAlignment="1">
      <alignment horizontal="left" vertical="top" wrapText="1"/>
    </xf>
    <xf numFmtId="0" fontId="0" fillId="0" borderId="0" xfId="0" quotePrefix="1"/>
    <xf numFmtId="0" fontId="57" fillId="0" borderId="0" xfId="0" applyFont="1"/>
    <xf numFmtId="168" fontId="42" fillId="37" borderId="18" xfId="0" applyNumberFormat="1" applyFont="1" applyFill="1" applyBorder="1" applyAlignment="1">
      <alignment horizontal="center" vertical="center" wrapText="1"/>
    </xf>
    <xf numFmtId="0" fontId="19" fillId="37" borderId="15" xfId="0" applyFont="1" applyFill="1" applyBorder="1" applyAlignment="1">
      <alignment horizontal="left" vertical="top" wrapText="1"/>
    </xf>
    <xf numFmtId="0" fontId="54" fillId="0" borderId="16" xfId="0" applyFont="1" applyBorder="1" applyAlignment="1">
      <alignment horizontal="center" vertical="center"/>
    </xf>
    <xf numFmtId="1" fontId="18" fillId="0" borderId="0" xfId="0" applyNumberFormat="1" applyFont="1" applyAlignment="1">
      <alignment horizontal="left" vertical="top"/>
    </xf>
    <xf numFmtId="0" fontId="21" fillId="0" borderId="0" xfId="0" applyFont="1" applyAlignment="1">
      <alignment vertical="top"/>
    </xf>
    <xf numFmtId="0" fontId="21" fillId="0" borderId="25" xfId="0" applyFont="1" applyBorder="1" applyAlignment="1">
      <alignment vertical="top"/>
    </xf>
    <xf numFmtId="0" fontId="0" fillId="0" borderId="16" xfId="0" applyBorder="1"/>
    <xf numFmtId="0" fontId="0" fillId="0" borderId="25" xfId="0" applyBorder="1"/>
    <xf numFmtId="1" fontId="18" fillId="0" borderId="0" xfId="0" applyNumberFormat="1" applyFont="1" applyAlignment="1">
      <alignment horizontal="center" vertical="top"/>
    </xf>
    <xf numFmtId="0" fontId="0" fillId="0" borderId="17" xfId="0" applyBorder="1"/>
    <xf numFmtId="0" fontId="0" fillId="0" borderId="10" xfId="0" applyBorder="1"/>
    <xf numFmtId="0" fontId="0" fillId="0" borderId="20" xfId="0" applyBorder="1"/>
    <xf numFmtId="0" fontId="60" fillId="0" borderId="16" xfId="0" applyFont="1" applyBorder="1" applyAlignment="1">
      <alignment horizontal="center" vertical="center"/>
    </xf>
    <xf numFmtId="0" fontId="61" fillId="0" borderId="16" xfId="0" applyFont="1" applyBorder="1" applyAlignment="1">
      <alignment horizontal="center" vertical="center"/>
    </xf>
    <xf numFmtId="1" fontId="21" fillId="0" borderId="0" xfId="0" applyNumberFormat="1" applyFont="1" applyAlignment="1">
      <alignment horizontal="left" vertical="top"/>
    </xf>
    <xf numFmtId="1" fontId="18" fillId="0" borderId="0" xfId="0" applyNumberFormat="1" applyFont="1" applyAlignment="1">
      <alignment horizontal="left" vertical="center"/>
    </xf>
    <xf numFmtId="0" fontId="21" fillId="0" borderId="0" xfId="0" applyFont="1" applyAlignment="1">
      <alignment horizontal="left" vertical="center"/>
    </xf>
    <xf numFmtId="0" fontId="21" fillId="0" borderId="0" xfId="0" applyFont="1" applyAlignment="1">
      <alignment vertical="center"/>
    </xf>
    <xf numFmtId="0" fontId="21" fillId="0" borderId="25" xfId="0" applyFont="1" applyBorder="1" applyAlignment="1">
      <alignment vertical="center"/>
    </xf>
    <xf numFmtId="0" fontId="62" fillId="0" borderId="0" xfId="0" applyFont="1"/>
    <xf numFmtId="1" fontId="20" fillId="39" borderId="11" xfId="0" applyNumberFormat="1" applyFont="1" applyFill="1" applyBorder="1" applyAlignment="1">
      <alignment horizontal="center" vertical="center"/>
    </xf>
    <xf numFmtId="0" fontId="63" fillId="0" borderId="11" xfId="0" applyFont="1" applyBorder="1" applyAlignment="1">
      <alignment horizontal="center" vertical="center"/>
    </xf>
    <xf numFmtId="0" fontId="63" fillId="0" borderId="11" xfId="0" applyFont="1" applyBorder="1" applyAlignment="1">
      <alignment horizontal="center"/>
    </xf>
    <xf numFmtId="0" fontId="64" fillId="0" borderId="11" xfId="0" applyFont="1" applyBorder="1" applyAlignment="1">
      <alignment horizontal="center"/>
    </xf>
    <xf numFmtId="2" fontId="31" fillId="39" borderId="12" xfId="0" applyNumberFormat="1" applyFont="1" applyFill="1" applyBorder="1" applyAlignment="1">
      <alignment horizontal="center" vertical="center"/>
    </xf>
    <xf numFmtId="165" fontId="31" fillId="0" borderId="12" xfId="42" applyNumberFormat="1" applyFont="1" applyBorder="1" applyAlignment="1">
      <alignment horizontal="center" vertical="center"/>
    </xf>
    <xf numFmtId="0" fontId="18" fillId="34" borderId="11" xfId="0" applyFont="1" applyFill="1" applyBorder="1" applyAlignment="1">
      <alignment horizontal="center" vertical="center"/>
    </xf>
    <xf numFmtId="9" fontId="1" fillId="37" borderId="11" xfId="42" quotePrefix="1" applyFont="1" applyFill="1" applyBorder="1" applyAlignment="1">
      <alignment horizontal="center" vertical="center"/>
    </xf>
    <xf numFmtId="0" fontId="0" fillId="41" borderId="11" xfId="0" applyFill="1" applyBorder="1" applyAlignment="1">
      <alignment horizontal="center" vertical="center"/>
    </xf>
    <xf numFmtId="0" fontId="65" fillId="33" borderId="11" xfId="0" applyFont="1" applyFill="1" applyBorder="1" applyAlignment="1">
      <alignment horizontal="center" vertical="center"/>
    </xf>
    <xf numFmtId="0" fontId="66" fillId="33" borderId="0" xfId="0" applyFont="1" applyFill="1" applyAlignment="1">
      <alignment horizontal="center" vertical="center"/>
    </xf>
    <xf numFmtId="0" fontId="0" fillId="48" borderId="10" xfId="0" applyFill="1" applyBorder="1"/>
    <xf numFmtId="0" fontId="56" fillId="0" borderId="0" xfId="0" applyFont="1"/>
    <xf numFmtId="167" fontId="31" fillId="0" borderId="12" xfId="42" applyNumberFormat="1" applyFont="1" applyFill="1" applyBorder="1" applyAlignment="1">
      <alignment horizontal="center" vertical="center"/>
    </xf>
    <xf numFmtId="167" fontId="20" fillId="0" borderId="12" xfId="0" applyNumberFormat="1" applyFont="1" applyBorder="1" applyAlignment="1">
      <alignment horizontal="center" vertical="center"/>
    </xf>
    <xf numFmtId="0" fontId="31" fillId="0" borderId="12" xfId="0" applyFont="1" applyBorder="1"/>
    <xf numFmtId="168" fontId="31" fillId="0" borderId="12" xfId="0" applyNumberFormat="1" applyFont="1" applyBorder="1" applyAlignment="1">
      <alignment horizontal="center"/>
    </xf>
    <xf numFmtId="165" fontId="31" fillId="0" borderId="12" xfId="42" applyNumberFormat="1" applyFont="1" applyFill="1" applyBorder="1" applyAlignment="1">
      <alignment horizontal="center" vertical="center"/>
    </xf>
    <xf numFmtId="0" fontId="31" fillId="0" borderId="26" xfId="0" applyFont="1" applyBorder="1" applyAlignment="1">
      <alignment horizontal="center" vertical="center"/>
    </xf>
    <xf numFmtId="0" fontId="31" fillId="0" borderId="26" xfId="0" applyFont="1" applyBorder="1"/>
    <xf numFmtId="0" fontId="31" fillId="0" borderId="26" xfId="0" applyFont="1" applyBorder="1" applyAlignment="1">
      <alignment horizontal="center"/>
    </xf>
    <xf numFmtId="0" fontId="22" fillId="0" borderId="26" xfId="0" applyFont="1" applyBorder="1" applyAlignment="1">
      <alignment horizontal="center"/>
    </xf>
    <xf numFmtId="168" fontId="31" fillId="0" borderId="26" xfId="0" applyNumberFormat="1" applyFont="1" applyBorder="1" applyAlignment="1">
      <alignment horizontal="center"/>
    </xf>
    <xf numFmtId="0" fontId="31" fillId="39" borderId="26" xfId="0" applyFont="1" applyFill="1" applyBorder="1" applyAlignment="1">
      <alignment horizontal="center" vertical="center"/>
    </xf>
    <xf numFmtId="164" fontId="31" fillId="0" borderId="26" xfId="42" applyNumberFormat="1" applyFont="1" applyBorder="1" applyAlignment="1">
      <alignment horizontal="center" vertical="center"/>
    </xf>
    <xf numFmtId="167" fontId="31" fillId="0" borderId="26" xfId="42" applyNumberFormat="1" applyFont="1" applyBorder="1" applyAlignment="1">
      <alignment horizontal="center" vertical="center"/>
    </xf>
    <xf numFmtId="167" fontId="31" fillId="0" borderId="26" xfId="0" applyNumberFormat="1" applyFont="1" applyBorder="1" applyAlignment="1">
      <alignment horizontal="center" vertical="center"/>
    </xf>
    <xf numFmtId="6" fontId="31" fillId="0" borderId="26" xfId="42" applyNumberFormat="1" applyFont="1" applyFill="1" applyBorder="1" applyAlignment="1">
      <alignment horizontal="center" vertical="center"/>
    </xf>
    <xf numFmtId="167" fontId="31" fillId="0" borderId="26" xfId="42" applyNumberFormat="1" applyFont="1" applyFill="1" applyBorder="1" applyAlignment="1">
      <alignment horizontal="center" vertical="center"/>
    </xf>
    <xf numFmtId="2" fontId="31" fillId="0" borderId="26" xfId="0" applyNumberFormat="1" applyFont="1" applyBorder="1" applyAlignment="1">
      <alignment horizontal="center" vertical="center"/>
    </xf>
    <xf numFmtId="1" fontId="31" fillId="0" borderId="26" xfId="0" applyNumberFormat="1" applyFont="1" applyBorder="1" applyAlignment="1">
      <alignment horizontal="center" vertical="center"/>
    </xf>
    <xf numFmtId="165" fontId="31" fillId="0" borderId="26" xfId="0" applyNumberFormat="1" applyFont="1" applyBorder="1" applyAlignment="1">
      <alignment horizontal="center" vertical="center"/>
    </xf>
    <xf numFmtId="165" fontId="31" fillId="54" borderId="26" xfId="0" applyNumberFormat="1" applyFont="1" applyFill="1" applyBorder="1" applyAlignment="1">
      <alignment horizontal="center" vertical="center"/>
    </xf>
    <xf numFmtId="165" fontId="31" fillId="0" borderId="26" xfId="42" applyNumberFormat="1" applyFont="1" applyBorder="1" applyAlignment="1">
      <alignment horizontal="center" vertical="center"/>
    </xf>
    <xf numFmtId="166" fontId="31" fillId="0" borderId="26" xfId="0" applyNumberFormat="1" applyFont="1" applyBorder="1" applyAlignment="1">
      <alignment horizontal="center" vertical="center"/>
    </xf>
    <xf numFmtId="167" fontId="32" fillId="0" borderId="26" xfId="0" applyNumberFormat="1" applyFont="1" applyBorder="1" applyAlignment="1">
      <alignment horizontal="center" vertical="center"/>
    </xf>
    <xf numFmtId="1" fontId="31" fillId="39" borderId="26" xfId="0" applyNumberFormat="1" applyFont="1" applyFill="1" applyBorder="1" applyAlignment="1">
      <alignment horizontal="center" vertical="center"/>
    </xf>
    <xf numFmtId="166" fontId="31" fillId="39" borderId="26" xfId="0" applyNumberFormat="1" applyFont="1" applyFill="1" applyBorder="1" applyAlignment="1">
      <alignment horizontal="center" vertical="center"/>
    </xf>
    <xf numFmtId="167" fontId="20" fillId="0" borderId="26" xfId="0" applyNumberFormat="1" applyFont="1" applyBorder="1" applyAlignment="1">
      <alignment horizontal="center" vertical="center"/>
    </xf>
    <xf numFmtId="2" fontId="31" fillId="39" borderId="26" xfId="0" applyNumberFormat="1" applyFont="1" applyFill="1" applyBorder="1" applyAlignment="1">
      <alignment horizontal="center" vertical="center"/>
    </xf>
    <xf numFmtId="165" fontId="31" fillId="0" borderId="26" xfId="42" applyNumberFormat="1" applyFont="1" applyFill="1" applyBorder="1" applyAlignment="1">
      <alignment horizontal="center" vertical="center"/>
    </xf>
    <xf numFmtId="0" fontId="32" fillId="0" borderId="12" xfId="0" applyFont="1" applyBorder="1" applyAlignment="1">
      <alignment horizontal="center" vertical="center"/>
    </xf>
    <xf numFmtId="0" fontId="31" fillId="0" borderId="27" xfId="0" applyFont="1" applyBorder="1" applyAlignment="1">
      <alignment horizontal="center" vertical="center"/>
    </xf>
    <xf numFmtId="0" fontId="31" fillId="0" borderId="27" xfId="0" applyFont="1" applyBorder="1"/>
    <xf numFmtId="0" fontId="31" fillId="0" borderId="27" xfId="0" applyFont="1" applyBorder="1" applyAlignment="1">
      <alignment horizontal="center"/>
    </xf>
    <xf numFmtId="0" fontId="22" fillId="0" borderId="27" xfId="0" applyFont="1" applyBorder="1" applyAlignment="1">
      <alignment horizontal="center" vertical="center"/>
    </xf>
    <xf numFmtId="168" fontId="31" fillId="0" borderId="27" xfId="0" applyNumberFormat="1" applyFont="1" applyBorder="1" applyAlignment="1">
      <alignment horizontal="center"/>
    </xf>
    <xf numFmtId="2" fontId="31" fillId="39" borderId="27" xfId="0" applyNumberFormat="1" applyFont="1" applyFill="1" applyBorder="1" applyAlignment="1">
      <alignment horizontal="center" vertical="center"/>
    </xf>
    <xf numFmtId="164" fontId="31" fillId="0" borderId="27" xfId="42" applyNumberFormat="1" applyFont="1" applyBorder="1" applyAlignment="1">
      <alignment horizontal="center" vertical="center"/>
    </xf>
    <xf numFmtId="167" fontId="31" fillId="0" borderId="27" xfId="42" applyNumberFormat="1" applyFont="1" applyBorder="1" applyAlignment="1">
      <alignment horizontal="center" vertical="center"/>
    </xf>
    <xf numFmtId="167" fontId="31" fillId="0" borderId="27" xfId="0" applyNumberFormat="1" applyFont="1" applyBorder="1" applyAlignment="1">
      <alignment horizontal="center" vertical="center"/>
    </xf>
    <xf numFmtId="6" fontId="31" fillId="0" borderId="27" xfId="42" applyNumberFormat="1" applyFont="1" applyFill="1" applyBorder="1" applyAlignment="1">
      <alignment horizontal="center" vertical="center"/>
    </xf>
    <xf numFmtId="167" fontId="31" fillId="0" borderId="27" xfId="42" applyNumberFormat="1" applyFont="1" applyFill="1" applyBorder="1" applyAlignment="1">
      <alignment horizontal="center" vertical="center"/>
    </xf>
    <xf numFmtId="2" fontId="31" fillId="0" borderId="27" xfId="0" applyNumberFormat="1" applyFont="1" applyBorder="1" applyAlignment="1">
      <alignment horizontal="center" vertical="center"/>
    </xf>
    <xf numFmtId="1" fontId="31" fillId="0" borderId="27" xfId="0" applyNumberFormat="1" applyFont="1" applyBorder="1" applyAlignment="1">
      <alignment horizontal="center" vertical="center"/>
    </xf>
    <xf numFmtId="165" fontId="31" fillId="0" borderId="27" xfId="42" applyNumberFormat="1" applyFont="1" applyFill="1" applyBorder="1" applyAlignment="1">
      <alignment horizontal="center" vertical="center"/>
    </xf>
    <xf numFmtId="2" fontId="31" fillId="0" borderId="27" xfId="42" applyNumberFormat="1" applyFont="1" applyFill="1" applyBorder="1" applyAlignment="1">
      <alignment horizontal="center" vertical="center"/>
    </xf>
    <xf numFmtId="165" fontId="31" fillId="0" borderId="27" xfId="0" applyNumberFormat="1" applyFont="1" applyBorder="1" applyAlignment="1">
      <alignment horizontal="center" vertical="center"/>
    </xf>
    <xf numFmtId="1" fontId="31" fillId="0" borderId="27" xfId="42" applyNumberFormat="1" applyFont="1" applyFill="1" applyBorder="1" applyAlignment="1">
      <alignment horizontal="center" vertical="center"/>
    </xf>
    <xf numFmtId="165" fontId="31" fillId="0" borderId="27" xfId="42" applyNumberFormat="1" applyFont="1" applyBorder="1" applyAlignment="1">
      <alignment horizontal="center" vertical="center"/>
    </xf>
    <xf numFmtId="166" fontId="31" fillId="0" borderId="27" xfId="0" applyNumberFormat="1" applyFont="1" applyBorder="1" applyAlignment="1">
      <alignment horizontal="center" vertical="center"/>
    </xf>
    <xf numFmtId="167" fontId="32" fillId="0" borderId="27" xfId="0" applyNumberFormat="1" applyFont="1" applyBorder="1" applyAlignment="1">
      <alignment horizontal="center" vertical="center"/>
    </xf>
    <xf numFmtId="1" fontId="31" fillId="39" borderId="27" xfId="0" applyNumberFormat="1" applyFont="1" applyFill="1" applyBorder="1" applyAlignment="1">
      <alignment horizontal="center" vertical="center"/>
    </xf>
    <xf numFmtId="0" fontId="31" fillId="39" borderId="27" xfId="0" applyFont="1" applyFill="1" applyBorder="1" applyAlignment="1">
      <alignment horizontal="center" vertical="center"/>
    </xf>
    <xf numFmtId="167" fontId="20" fillId="0" borderId="27" xfId="0" applyNumberFormat="1" applyFont="1" applyBorder="1" applyAlignment="1">
      <alignment horizontal="center" vertical="center"/>
    </xf>
    <xf numFmtId="0" fontId="32" fillId="0" borderId="26" xfId="0" applyFont="1" applyBorder="1" applyAlignment="1">
      <alignment horizontal="center" vertical="center"/>
    </xf>
    <xf numFmtId="165" fontId="31" fillId="54" borderId="12" xfId="0" applyNumberFormat="1" applyFont="1" applyFill="1" applyBorder="1" applyAlignment="1">
      <alignment horizontal="center" vertical="center"/>
    </xf>
    <xf numFmtId="6" fontId="31" fillId="0" borderId="26" xfId="0" applyNumberFormat="1" applyFont="1" applyBorder="1" applyAlignment="1">
      <alignment horizontal="center" vertical="center"/>
    </xf>
    <xf numFmtId="2" fontId="32" fillId="39" borderId="12" xfId="0" applyNumberFormat="1" applyFont="1" applyFill="1" applyBorder="1" applyAlignment="1">
      <alignment horizontal="center" vertical="center"/>
    </xf>
    <xf numFmtId="2" fontId="32" fillId="39" borderId="11" xfId="0" applyNumberFormat="1" applyFont="1" applyFill="1" applyBorder="1" applyAlignment="1">
      <alignment horizontal="center" vertical="center"/>
    </xf>
    <xf numFmtId="0" fontId="32" fillId="39" borderId="11" xfId="0" applyFont="1" applyFill="1" applyBorder="1" applyAlignment="1">
      <alignment horizontal="center" vertical="center"/>
    </xf>
    <xf numFmtId="0" fontId="32" fillId="39" borderId="26" xfId="0" applyFont="1" applyFill="1" applyBorder="1" applyAlignment="1">
      <alignment horizontal="center" vertical="center"/>
    </xf>
    <xf numFmtId="0" fontId="21" fillId="0" borderId="10" xfId="0" applyFont="1" applyBorder="1" applyAlignment="1">
      <alignment horizontal="center" vertical="center"/>
    </xf>
    <xf numFmtId="9" fontId="18" fillId="0" borderId="11" xfId="42" applyFont="1" applyBorder="1" applyAlignment="1">
      <alignment horizontal="center" vertical="center"/>
    </xf>
    <xf numFmtId="167" fontId="20" fillId="0" borderId="26" xfId="0" applyNumberFormat="1" applyFont="1" applyBorder="1" applyAlignment="1">
      <alignment horizontal="center"/>
    </xf>
    <xf numFmtId="167" fontId="20" fillId="0" borderId="11" xfId="0" applyNumberFormat="1" applyFont="1" applyBorder="1" applyAlignment="1">
      <alignment horizontal="center"/>
    </xf>
    <xf numFmtId="165" fontId="31" fillId="0" borderId="11" xfId="0" applyNumberFormat="1" applyFont="1" applyBorder="1" applyAlignment="1">
      <alignment horizontal="center"/>
    </xf>
    <xf numFmtId="167" fontId="20" fillId="0" borderId="12" xfId="0" applyNumberFormat="1" applyFont="1" applyBorder="1" applyAlignment="1">
      <alignment horizontal="center"/>
    </xf>
    <xf numFmtId="0" fontId="31" fillId="41" borderId="18" xfId="0" applyFont="1" applyFill="1" applyBorder="1" applyAlignment="1">
      <alignment horizontal="center" vertical="center"/>
    </xf>
    <xf numFmtId="2" fontId="18" fillId="0" borderId="18" xfId="0" applyNumberFormat="1" applyFont="1" applyBorder="1" applyAlignment="1">
      <alignment horizontal="center" vertical="center"/>
    </xf>
    <xf numFmtId="0" fontId="31" fillId="69" borderId="14" xfId="0" applyFont="1" applyFill="1" applyBorder="1" applyAlignment="1">
      <alignment horizontal="center" vertical="center" wrapText="1"/>
    </xf>
    <xf numFmtId="0" fontId="31" fillId="47" borderId="28" xfId="0" applyFont="1" applyFill="1" applyBorder="1" applyAlignment="1">
      <alignment horizontal="center" vertical="center" wrapText="1"/>
    </xf>
    <xf numFmtId="165" fontId="18" fillId="0" borderId="29" xfId="0" applyNumberFormat="1" applyFont="1" applyBorder="1" applyAlignment="1">
      <alignment horizontal="center" vertical="center"/>
    </xf>
    <xf numFmtId="0" fontId="31" fillId="46" borderId="14" xfId="0" applyFont="1" applyFill="1" applyBorder="1" applyAlignment="1">
      <alignment horizontal="center" vertical="center"/>
    </xf>
    <xf numFmtId="0" fontId="18" fillId="0" borderId="14" xfId="0" applyFont="1" applyBorder="1" applyAlignment="1">
      <alignment horizontal="center" vertical="center"/>
    </xf>
    <xf numFmtId="165" fontId="31" fillId="0" borderId="11" xfId="42" applyNumberFormat="1" applyFont="1" applyBorder="1" applyAlignment="1">
      <alignment horizontal="center" vertical="center"/>
    </xf>
    <xf numFmtId="165" fontId="31" fillId="0" borderId="26" xfId="0" applyNumberFormat="1" applyFont="1" applyBorder="1" applyAlignment="1">
      <alignment horizontal="center"/>
    </xf>
    <xf numFmtId="0" fontId="0" fillId="72" borderId="11" xfId="0" applyFill="1" applyBorder="1" applyAlignment="1">
      <alignment horizontal="center" vertical="center"/>
    </xf>
    <xf numFmtId="0" fontId="21" fillId="0" borderId="17" xfId="0" applyFont="1" applyBorder="1" applyAlignment="1">
      <alignment horizontal="center" vertical="center"/>
    </xf>
    <xf numFmtId="0" fontId="21" fillId="0" borderId="25" xfId="0" applyFont="1" applyBorder="1" applyAlignment="1">
      <alignment horizontal="center" vertical="center"/>
    </xf>
    <xf numFmtId="0" fontId="21" fillId="0" borderId="20" xfId="0" applyFont="1" applyBorder="1" applyAlignment="1">
      <alignment horizontal="center" vertical="center"/>
    </xf>
    <xf numFmtId="0" fontId="18" fillId="49" borderId="11" xfId="0" applyFont="1" applyFill="1" applyBorder="1" applyAlignment="1">
      <alignment horizontal="center" vertical="center"/>
    </xf>
    <xf numFmtId="14" fontId="21" fillId="49" borderId="11" xfId="0" applyNumberFormat="1" applyFont="1" applyFill="1" applyBorder="1" applyAlignment="1">
      <alignment horizontal="center" vertical="center"/>
    </xf>
    <xf numFmtId="0" fontId="18" fillId="49" borderId="11" xfId="0" applyFont="1" applyFill="1" applyBorder="1" applyAlignment="1">
      <alignment horizontal="right" vertical="center"/>
    </xf>
    <xf numFmtId="0" fontId="68" fillId="43" borderId="19" xfId="0" applyFont="1" applyFill="1" applyBorder="1" applyAlignment="1">
      <alignment horizontal="center" vertical="center" wrapText="1"/>
    </xf>
    <xf numFmtId="168" fontId="69" fillId="43" borderId="19" xfId="0" applyNumberFormat="1" applyFont="1" applyFill="1" applyBorder="1" applyAlignment="1">
      <alignment horizontal="center" vertical="center" wrapText="1"/>
    </xf>
    <xf numFmtId="0" fontId="31" fillId="47" borderId="11" xfId="0" applyFont="1" applyFill="1" applyBorder="1" applyAlignment="1">
      <alignment horizontal="center" vertical="center" wrapText="1"/>
    </xf>
    <xf numFmtId="167" fontId="45" fillId="0" borderId="11" xfId="0" applyNumberFormat="1" applyFont="1" applyBorder="1" applyAlignment="1">
      <alignment horizontal="center" vertical="center"/>
    </xf>
    <xf numFmtId="2" fontId="31" fillId="0" borderId="0" xfId="42" applyNumberFormat="1" applyFont="1" applyBorder="1" applyAlignment="1">
      <alignment horizontal="center" vertical="center"/>
    </xf>
    <xf numFmtId="167" fontId="18" fillId="0" borderId="11" xfId="0" applyNumberFormat="1" applyFont="1" applyBorder="1" applyAlignment="1">
      <alignment horizontal="center" vertical="center"/>
    </xf>
    <xf numFmtId="5" fontId="18" fillId="0" borderId="11" xfId="0" applyNumberFormat="1" applyFont="1" applyBorder="1" applyAlignment="1">
      <alignment horizontal="center" vertical="center"/>
    </xf>
    <xf numFmtId="171" fontId="18" fillId="0" borderId="11" xfId="0" applyNumberFormat="1" applyFont="1" applyBorder="1" applyAlignment="1">
      <alignment horizontal="center" vertical="center"/>
    </xf>
    <xf numFmtId="0" fontId="32" fillId="39" borderId="12" xfId="0" applyFont="1" applyFill="1" applyBorder="1" applyAlignment="1">
      <alignment horizontal="center" vertical="center"/>
    </xf>
    <xf numFmtId="0" fontId="70" fillId="0" borderId="0" xfId="0" applyFont="1"/>
    <xf numFmtId="0" fontId="16" fillId="33" borderId="10" xfId="0" applyFont="1" applyFill="1" applyBorder="1" applyAlignment="1">
      <alignment horizontal="left" vertical="center"/>
    </xf>
    <xf numFmtId="22" fontId="70" fillId="0" borderId="0" xfId="0" applyNumberFormat="1" applyFont="1" applyAlignment="1">
      <alignment horizontal="left"/>
    </xf>
    <xf numFmtId="22" fontId="0" fillId="0" borderId="0" xfId="0" applyNumberFormat="1" applyAlignment="1">
      <alignment horizontal="left"/>
    </xf>
    <xf numFmtId="0" fontId="0" fillId="0" borderId="0" xfId="0" applyAlignment="1">
      <alignment horizontal="left" vertical="center"/>
    </xf>
    <xf numFmtId="0" fontId="70" fillId="0" borderId="0" xfId="0" applyFont="1" applyAlignment="1">
      <alignment horizontal="center"/>
    </xf>
    <xf numFmtId="165" fontId="31" fillId="0" borderId="12" xfId="0" applyNumberFormat="1" applyFont="1" applyBorder="1" applyAlignment="1">
      <alignment horizontal="center"/>
    </xf>
    <xf numFmtId="0" fontId="22" fillId="0" borderId="27" xfId="0" applyFont="1" applyBorder="1" applyAlignment="1">
      <alignment horizontal="center"/>
    </xf>
    <xf numFmtId="0" fontId="32" fillId="39" borderId="27" xfId="0" applyFont="1" applyFill="1" applyBorder="1" applyAlignment="1">
      <alignment horizontal="center" vertical="center"/>
    </xf>
    <xf numFmtId="1" fontId="16" fillId="0" borderId="11" xfId="0" applyNumberFormat="1" applyFont="1" applyBorder="1" applyAlignment="1">
      <alignment horizontal="center" vertical="center"/>
    </xf>
    <xf numFmtId="0" fontId="18" fillId="39" borderId="14" xfId="0" applyFont="1" applyFill="1" applyBorder="1" applyAlignment="1">
      <alignment horizontal="center" vertical="center" wrapText="1"/>
    </xf>
    <xf numFmtId="0" fontId="16" fillId="39" borderId="30" xfId="0" applyFont="1" applyFill="1" applyBorder="1" applyAlignment="1">
      <alignment horizontal="center" vertical="center" wrapText="1"/>
    </xf>
    <xf numFmtId="0" fontId="16" fillId="39" borderId="31" xfId="0" applyFont="1" applyFill="1" applyBorder="1" applyAlignment="1">
      <alignment horizontal="center" vertical="center" wrapText="1"/>
    </xf>
    <xf numFmtId="6" fontId="21" fillId="0" borderId="32" xfId="0" applyNumberFormat="1" applyFont="1" applyBorder="1" applyAlignment="1">
      <alignment horizontal="center" vertical="center"/>
    </xf>
    <xf numFmtId="6" fontId="21" fillId="0" borderId="33" xfId="0" applyNumberFormat="1" applyFont="1" applyBorder="1" applyAlignment="1">
      <alignment horizontal="center" vertical="center"/>
    </xf>
    <xf numFmtId="6" fontId="21" fillId="0" borderId="14" xfId="0" applyNumberFormat="1" applyFont="1" applyBorder="1" applyAlignment="1">
      <alignment horizontal="center" vertical="center"/>
    </xf>
    <xf numFmtId="6" fontId="21" fillId="0" borderId="11" xfId="0" applyNumberFormat="1" applyFont="1" applyBorder="1" applyAlignment="1">
      <alignment horizontal="center" vertical="center"/>
    </xf>
    <xf numFmtId="0" fontId="21" fillId="39" borderId="14" xfId="0" applyFont="1" applyFill="1" applyBorder="1" applyAlignment="1">
      <alignment horizontal="center" vertical="center"/>
    </xf>
    <xf numFmtId="165" fontId="32" fillId="39" borderId="11" xfId="0" applyNumberFormat="1" applyFont="1" applyFill="1" applyBorder="1" applyAlignment="1">
      <alignment horizontal="center" vertical="center"/>
    </xf>
    <xf numFmtId="0" fontId="20" fillId="0" borderId="11" xfId="0" applyFont="1" applyBorder="1" applyAlignment="1">
      <alignment horizontal="center" vertical="center"/>
    </xf>
    <xf numFmtId="0" fontId="20" fillId="0" borderId="12" xfId="0" applyFont="1" applyBorder="1" applyAlignment="1">
      <alignment horizontal="center" vertical="center"/>
    </xf>
    <xf numFmtId="0" fontId="22" fillId="44" borderId="11" xfId="0" applyFont="1" applyFill="1" applyBorder="1" applyAlignment="1">
      <alignment horizontal="center" vertical="center" wrapText="1"/>
    </xf>
    <xf numFmtId="0" fontId="19" fillId="60" borderId="11" xfId="0" applyFont="1" applyFill="1" applyBorder="1" applyAlignment="1">
      <alignment horizontal="center" vertical="center" wrapText="1"/>
    </xf>
    <xf numFmtId="2" fontId="16" fillId="0" borderId="11" xfId="0" applyNumberFormat="1" applyFont="1" applyBorder="1" applyAlignment="1">
      <alignment horizontal="center" vertical="center"/>
    </xf>
    <xf numFmtId="0" fontId="20" fillId="38" borderId="11" xfId="0" applyFont="1" applyFill="1" applyBorder="1" applyAlignment="1">
      <alignment vertical="center"/>
    </xf>
    <xf numFmtId="2" fontId="32" fillId="39" borderId="26" xfId="0" applyNumberFormat="1" applyFont="1" applyFill="1" applyBorder="1" applyAlignment="1">
      <alignment horizontal="center" vertical="center"/>
    </xf>
    <xf numFmtId="0" fontId="31" fillId="0" borderId="10" xfId="0" applyFont="1" applyBorder="1" applyAlignment="1">
      <alignment horizontal="left" vertical="center"/>
    </xf>
    <xf numFmtId="2" fontId="31" fillId="0" borderId="10" xfId="42" applyNumberFormat="1" applyFont="1" applyBorder="1" applyAlignment="1">
      <alignment horizontal="center" vertical="center"/>
    </xf>
    <xf numFmtId="0" fontId="31" fillId="0" borderId="10" xfId="0" applyFont="1" applyBorder="1" applyAlignment="1">
      <alignment horizontal="center" vertical="center"/>
    </xf>
    <xf numFmtId="167" fontId="25" fillId="0" borderId="26" xfId="0" applyNumberFormat="1" applyFont="1" applyBorder="1" applyAlignment="1">
      <alignment horizontal="center"/>
    </xf>
    <xf numFmtId="0" fontId="19" fillId="38" borderId="15" xfId="0" applyFont="1" applyFill="1" applyBorder="1" applyAlignment="1">
      <alignment horizontal="center" vertical="top" wrapText="1"/>
    </xf>
    <xf numFmtId="0" fontId="18" fillId="39" borderId="0" xfId="0" applyFont="1" applyFill="1" applyAlignment="1">
      <alignment vertical="center"/>
    </xf>
    <xf numFmtId="0" fontId="21" fillId="39" borderId="0" xfId="0" applyFont="1" applyFill="1" applyAlignment="1">
      <alignment horizontal="center" vertical="center"/>
    </xf>
    <xf numFmtId="2" fontId="21" fillId="39" borderId="0" xfId="0" applyNumberFormat="1" applyFont="1" applyFill="1" applyAlignment="1">
      <alignment horizontal="center" vertical="center"/>
    </xf>
    <xf numFmtId="2" fontId="18" fillId="39" borderId="0" xfId="0" applyNumberFormat="1" applyFont="1" applyFill="1" applyAlignment="1">
      <alignment horizontal="center" vertical="center"/>
    </xf>
    <xf numFmtId="1" fontId="73" fillId="39" borderId="12" xfId="0" applyNumberFormat="1" applyFont="1" applyFill="1" applyBorder="1" applyAlignment="1">
      <alignment horizontal="center" vertical="center"/>
    </xf>
    <xf numFmtId="0" fontId="74" fillId="0" borderId="11" xfId="0" applyFont="1" applyBorder="1" applyAlignment="1">
      <alignment horizontal="center" vertical="center"/>
    </xf>
    <xf numFmtId="0" fontId="0" fillId="56" borderId="11" xfId="0" applyFill="1" applyBorder="1" applyAlignment="1">
      <alignment horizontal="center" vertical="center"/>
    </xf>
    <xf numFmtId="9" fontId="16" fillId="33" borderId="11" xfId="42" applyFont="1" applyFill="1" applyBorder="1" applyAlignment="1">
      <alignment horizontal="center" vertical="center"/>
    </xf>
    <xf numFmtId="1" fontId="31" fillId="54" borderId="11" xfId="0" applyNumberFormat="1" applyFont="1" applyFill="1" applyBorder="1" applyAlignment="1">
      <alignment horizontal="center" vertical="center"/>
    </xf>
    <xf numFmtId="0" fontId="20" fillId="0" borderId="26" xfId="0" applyFont="1" applyBorder="1" applyAlignment="1">
      <alignment horizontal="center" vertical="center"/>
    </xf>
    <xf numFmtId="165" fontId="22" fillId="0" borderId="26" xfId="0" applyNumberFormat="1" applyFont="1" applyBorder="1" applyAlignment="1">
      <alignment horizontal="center"/>
    </xf>
    <xf numFmtId="6" fontId="31" fillId="0" borderId="12" xfId="0" applyNumberFormat="1" applyFont="1" applyBorder="1" applyAlignment="1">
      <alignment horizontal="center"/>
    </xf>
    <xf numFmtId="165" fontId="22" fillId="0" borderId="12" xfId="0" applyNumberFormat="1" applyFont="1" applyBorder="1" applyAlignment="1">
      <alignment horizontal="center"/>
    </xf>
    <xf numFmtId="167" fontId="25" fillId="0" borderId="12" xfId="0" applyNumberFormat="1" applyFont="1" applyBorder="1" applyAlignment="1">
      <alignment horizontal="center"/>
    </xf>
    <xf numFmtId="0" fontId="21" fillId="0" borderId="37" xfId="0" applyFont="1" applyBorder="1" applyAlignment="1">
      <alignment horizontal="center" vertical="center"/>
    </xf>
    <xf numFmtId="9" fontId="31" fillId="39" borderId="36" xfId="42" applyFont="1" applyFill="1" applyBorder="1" applyAlignment="1">
      <alignment horizontal="center" vertical="center"/>
    </xf>
    <xf numFmtId="22" fontId="70" fillId="0" borderId="10" xfId="0" applyNumberFormat="1" applyFont="1" applyBorder="1" applyAlignment="1">
      <alignment horizontal="left"/>
    </xf>
    <xf numFmtId="0" fontId="70" fillId="0" borderId="10" xfId="0" applyFont="1" applyBorder="1" applyAlignment="1">
      <alignment horizontal="center"/>
    </xf>
    <xf numFmtId="0" fontId="70" fillId="0" borderId="10" xfId="0" applyFont="1" applyBorder="1"/>
    <xf numFmtId="0" fontId="31" fillId="0" borderId="15" xfId="0" applyFont="1" applyBorder="1" applyAlignment="1">
      <alignment horizontal="center" vertical="center"/>
    </xf>
    <xf numFmtId="0" fontId="31" fillId="0" borderId="15" xfId="0" applyFont="1" applyBorder="1"/>
    <xf numFmtId="0" fontId="31" fillId="0" borderId="15" xfId="0" applyFont="1" applyBorder="1" applyAlignment="1">
      <alignment horizontal="center"/>
    </xf>
    <xf numFmtId="0" fontId="22" fillId="0" borderId="15" xfId="0" applyFont="1" applyBorder="1" applyAlignment="1">
      <alignment horizontal="center"/>
    </xf>
    <xf numFmtId="168" fontId="31" fillId="0" borderId="15" xfId="0" applyNumberFormat="1" applyFont="1" applyBorder="1" applyAlignment="1">
      <alignment horizontal="center"/>
    </xf>
    <xf numFmtId="0" fontId="31" fillId="39" borderId="15" xfId="0" applyFont="1" applyFill="1" applyBorder="1" applyAlignment="1">
      <alignment horizontal="center" vertical="center"/>
    </xf>
    <xf numFmtId="164" fontId="31" fillId="0" borderId="15" xfId="42" applyNumberFormat="1" applyFont="1" applyBorder="1" applyAlignment="1">
      <alignment horizontal="center" vertical="center"/>
    </xf>
    <xf numFmtId="167" fontId="31" fillId="0" borderId="15" xfId="42" applyNumberFormat="1" applyFont="1" applyBorder="1" applyAlignment="1">
      <alignment horizontal="center" vertical="center"/>
    </xf>
    <xf numFmtId="167" fontId="31" fillId="0" borderId="15" xfId="0" applyNumberFormat="1" applyFont="1" applyBorder="1" applyAlignment="1">
      <alignment horizontal="center" vertical="center"/>
    </xf>
    <xf numFmtId="165" fontId="31" fillId="0" borderId="15" xfId="0" applyNumberFormat="1" applyFont="1" applyBorder="1" applyAlignment="1">
      <alignment horizontal="center" vertical="center"/>
    </xf>
    <xf numFmtId="6" fontId="31" fillId="0" borderId="15" xfId="0" applyNumberFormat="1" applyFont="1" applyBorder="1" applyAlignment="1">
      <alignment horizontal="center" vertical="center"/>
    </xf>
    <xf numFmtId="6" fontId="31" fillId="0" borderId="15" xfId="42" applyNumberFormat="1" applyFont="1" applyFill="1" applyBorder="1" applyAlignment="1">
      <alignment horizontal="center" vertical="center"/>
    </xf>
    <xf numFmtId="2" fontId="31" fillId="0" borderId="15" xfId="0" applyNumberFormat="1" applyFont="1" applyBorder="1" applyAlignment="1">
      <alignment horizontal="center" vertical="center"/>
    </xf>
    <xf numFmtId="1" fontId="31" fillId="0" borderId="15" xfId="0" applyNumberFormat="1" applyFont="1" applyBorder="1" applyAlignment="1">
      <alignment horizontal="center" vertical="center"/>
    </xf>
    <xf numFmtId="165" fontId="31" fillId="0" borderId="15" xfId="42" applyNumberFormat="1" applyFont="1" applyBorder="1" applyAlignment="1">
      <alignment horizontal="center" vertical="center"/>
    </xf>
    <xf numFmtId="166" fontId="31" fillId="0" borderId="15" xfId="0" applyNumberFormat="1" applyFont="1" applyBorder="1" applyAlignment="1">
      <alignment horizontal="center" vertical="center"/>
    </xf>
    <xf numFmtId="167" fontId="32" fillId="0" borderId="15" xfId="0" applyNumberFormat="1" applyFont="1" applyBorder="1" applyAlignment="1">
      <alignment horizontal="center" vertical="center"/>
    </xf>
    <xf numFmtId="1" fontId="31" fillId="39" borderId="15" xfId="0" applyNumberFormat="1" applyFont="1" applyFill="1" applyBorder="1" applyAlignment="1">
      <alignment horizontal="center" vertical="center"/>
    </xf>
    <xf numFmtId="166" fontId="31" fillId="39" borderId="15" xfId="0" applyNumberFormat="1" applyFont="1" applyFill="1" applyBorder="1" applyAlignment="1">
      <alignment horizontal="center" vertical="center"/>
    </xf>
    <xf numFmtId="165" fontId="22" fillId="0" borderId="15" xfId="0" applyNumberFormat="1" applyFont="1" applyBorder="1" applyAlignment="1">
      <alignment horizontal="center"/>
    </xf>
    <xf numFmtId="167" fontId="25" fillId="0" borderId="15" xfId="0" applyNumberFormat="1" applyFont="1" applyBorder="1" applyAlignment="1">
      <alignment horizontal="center"/>
    </xf>
    <xf numFmtId="0" fontId="0" fillId="57" borderId="37" xfId="0" applyFill="1" applyBorder="1"/>
    <xf numFmtId="0" fontId="31" fillId="0" borderId="36" xfId="0" applyFont="1" applyBorder="1"/>
    <xf numFmtId="0" fontId="0" fillId="48" borderId="37" xfId="0" applyFill="1" applyBorder="1"/>
    <xf numFmtId="164" fontId="21" fillId="39" borderId="0" xfId="42" applyNumberFormat="1" applyFont="1" applyFill="1" applyAlignment="1">
      <alignment horizontal="center" vertical="center"/>
    </xf>
    <xf numFmtId="0" fontId="21" fillId="0" borderId="23" xfId="0" applyFont="1" applyBorder="1" applyAlignment="1">
      <alignment horizontal="center" vertical="center"/>
    </xf>
    <xf numFmtId="0" fontId="21" fillId="0" borderId="21" xfId="0" applyFont="1" applyBorder="1" applyAlignment="1">
      <alignment horizontal="center" vertical="center"/>
    </xf>
    <xf numFmtId="0" fontId="21" fillId="0" borderId="24" xfId="0" applyFont="1" applyBorder="1" applyAlignment="1">
      <alignment horizontal="center" vertical="center"/>
    </xf>
    <xf numFmtId="0" fontId="17" fillId="73" borderId="11" xfId="0" applyFont="1" applyFill="1" applyBorder="1" applyAlignment="1">
      <alignment horizontal="center" vertical="center"/>
    </xf>
    <xf numFmtId="9" fontId="21" fillId="0" borderId="24" xfId="42" applyFont="1" applyBorder="1" applyAlignment="1">
      <alignment horizontal="center" vertical="center"/>
    </xf>
    <xf numFmtId="0" fontId="21" fillId="0" borderId="16" xfId="0" applyFont="1" applyBorder="1" applyAlignment="1">
      <alignment horizontal="center" vertical="center"/>
    </xf>
    <xf numFmtId="9" fontId="21" fillId="0" borderId="25" xfId="42" applyFont="1" applyBorder="1" applyAlignment="1">
      <alignment horizontal="center" vertical="center"/>
    </xf>
    <xf numFmtId="9" fontId="21" fillId="0" borderId="20" xfId="42" applyFont="1" applyBorder="1" applyAlignment="1">
      <alignment horizontal="center" vertical="center"/>
    </xf>
    <xf numFmtId="22" fontId="0" fillId="0" borderId="0" xfId="0" applyNumberFormat="1"/>
    <xf numFmtId="0" fontId="32" fillId="39" borderId="15" xfId="0" applyFont="1" applyFill="1" applyBorder="1" applyAlignment="1">
      <alignment horizontal="center" vertical="center"/>
    </xf>
    <xf numFmtId="0" fontId="33" fillId="0" borderId="26" xfId="0" applyFont="1" applyBorder="1" applyAlignment="1">
      <alignment horizontal="center"/>
    </xf>
    <xf numFmtId="0" fontId="19" fillId="0" borderId="26" xfId="0" applyFont="1" applyBorder="1" applyAlignment="1">
      <alignment horizontal="center"/>
    </xf>
    <xf numFmtId="1" fontId="31" fillId="54" borderId="26" xfId="0" applyNumberFormat="1" applyFont="1" applyFill="1" applyBorder="1" applyAlignment="1">
      <alignment horizontal="center" vertical="center"/>
    </xf>
    <xf numFmtId="0" fontId="31" fillId="42" borderId="11" xfId="0" applyFont="1" applyFill="1" applyBorder="1" applyAlignment="1">
      <alignment horizontal="center" vertical="center" wrapText="1"/>
    </xf>
    <xf numFmtId="6" fontId="31" fillId="0" borderId="27" xfId="0" applyNumberFormat="1" applyFont="1" applyBorder="1" applyAlignment="1">
      <alignment horizontal="center" vertical="center"/>
    </xf>
    <xf numFmtId="167" fontId="25" fillId="0" borderId="27" xfId="0" applyNumberFormat="1" applyFont="1" applyBorder="1" applyAlignment="1">
      <alignment horizontal="center"/>
    </xf>
    <xf numFmtId="0" fontId="20" fillId="0" borderId="11" xfId="0" applyFont="1" applyBorder="1"/>
    <xf numFmtId="9" fontId="20" fillId="0" borderId="11" xfId="42" applyFont="1" applyBorder="1" applyAlignment="1">
      <alignment horizontal="center" vertical="center"/>
    </xf>
    <xf numFmtId="0" fontId="31" fillId="63" borderId="11" xfId="0" applyFont="1" applyFill="1" applyBorder="1"/>
    <xf numFmtId="0" fontId="31" fillId="63" borderId="11" xfId="0" applyFont="1" applyFill="1" applyBorder="1" applyAlignment="1">
      <alignment horizontal="center" vertical="center"/>
    </xf>
    <xf numFmtId="0" fontId="31" fillId="35" borderId="11" xfId="0" applyFont="1" applyFill="1" applyBorder="1"/>
    <xf numFmtId="0" fontId="31" fillId="35" borderId="11" xfId="0" applyFont="1" applyFill="1" applyBorder="1" applyAlignment="1">
      <alignment horizontal="center" vertical="center"/>
    </xf>
    <xf numFmtId="0" fontId="31" fillId="60" borderId="11" xfId="0" applyFont="1" applyFill="1" applyBorder="1"/>
    <xf numFmtId="0" fontId="31" fillId="60" borderId="11" xfId="0" applyFont="1" applyFill="1" applyBorder="1" applyAlignment="1">
      <alignment horizontal="center" vertical="center"/>
    </xf>
    <xf numFmtId="0" fontId="20" fillId="52" borderId="11" xfId="0" applyFont="1" applyFill="1" applyBorder="1"/>
    <xf numFmtId="9" fontId="20" fillId="52" borderId="11" xfId="42" applyFont="1" applyFill="1" applyBorder="1" applyAlignment="1">
      <alignment horizontal="center" vertical="center"/>
    </xf>
    <xf numFmtId="2" fontId="32" fillId="39" borderId="15" xfId="0" applyNumberFormat="1" applyFont="1" applyFill="1" applyBorder="1" applyAlignment="1">
      <alignment horizontal="center" vertical="center"/>
    </xf>
    <xf numFmtId="0" fontId="31" fillId="70" borderId="11" xfId="0" applyFont="1" applyFill="1" applyBorder="1"/>
    <xf numFmtId="0" fontId="31" fillId="70" borderId="11" xfId="0" applyFont="1" applyFill="1" applyBorder="1" applyAlignment="1">
      <alignment horizontal="center" vertical="center"/>
    </xf>
    <xf numFmtId="0" fontId="75" fillId="67" borderId="11" xfId="0" applyFont="1" applyFill="1" applyBorder="1"/>
    <xf numFmtId="0" fontId="75" fillId="67" borderId="11" xfId="0" applyFont="1" applyFill="1" applyBorder="1" applyAlignment="1">
      <alignment horizontal="center" vertical="center"/>
    </xf>
    <xf numFmtId="0" fontId="31" fillId="37" borderId="11" xfId="0" applyFont="1" applyFill="1" applyBorder="1"/>
    <xf numFmtId="0" fontId="31" fillId="37" borderId="11" xfId="0" applyFont="1" applyFill="1" applyBorder="1" applyAlignment="1">
      <alignment horizontal="center" vertical="center"/>
    </xf>
    <xf numFmtId="0" fontId="31" fillId="41" borderId="11" xfId="0" applyFont="1" applyFill="1" applyBorder="1"/>
    <xf numFmtId="0" fontId="63" fillId="0" borderId="12" xfId="0" applyFont="1" applyBorder="1" applyAlignment="1">
      <alignment horizontal="center" vertical="center"/>
    </xf>
    <xf numFmtId="0" fontId="63" fillId="0" borderId="12" xfId="0" applyFont="1" applyBorder="1" applyAlignment="1">
      <alignment horizontal="center"/>
    </xf>
    <xf numFmtId="0" fontId="64" fillId="0" borderId="12" xfId="0" applyFont="1" applyBorder="1" applyAlignment="1">
      <alignment horizontal="center"/>
    </xf>
    <xf numFmtId="9" fontId="31" fillId="0" borderId="11" xfId="42" applyFont="1" applyBorder="1" applyAlignment="1">
      <alignment horizontal="center" vertical="center"/>
    </xf>
    <xf numFmtId="165" fontId="31" fillId="39" borderId="11" xfId="0" applyNumberFormat="1" applyFont="1" applyFill="1" applyBorder="1" applyAlignment="1">
      <alignment horizontal="center" vertical="center"/>
    </xf>
    <xf numFmtId="2" fontId="31" fillId="39" borderId="15" xfId="0" applyNumberFormat="1" applyFont="1" applyFill="1" applyBorder="1" applyAlignment="1">
      <alignment horizontal="center" vertical="center"/>
    </xf>
    <xf numFmtId="38" fontId="18" fillId="0" borderId="14" xfId="0" applyNumberFormat="1" applyFont="1" applyBorder="1" applyAlignment="1">
      <alignment horizontal="center" vertical="center"/>
    </xf>
    <xf numFmtId="167" fontId="31" fillId="0" borderId="12" xfId="0" applyNumberFormat="1" applyFont="1" applyBorder="1" applyAlignment="1">
      <alignment horizontal="center"/>
    </xf>
    <xf numFmtId="168" fontId="31" fillId="0" borderId="13" xfId="0" applyNumberFormat="1" applyFont="1" applyBorder="1" applyAlignment="1">
      <alignment horizontal="center"/>
    </xf>
    <xf numFmtId="165" fontId="31" fillId="0" borderId="13" xfId="42" applyNumberFormat="1" applyFont="1" applyBorder="1" applyAlignment="1">
      <alignment horizontal="center" vertical="center"/>
    </xf>
    <xf numFmtId="0" fontId="31" fillId="0" borderId="13" xfId="0" applyFont="1" applyBorder="1"/>
    <xf numFmtId="0" fontId="31" fillId="0" borderId="13" xfId="0" applyFont="1" applyBorder="1" applyAlignment="1">
      <alignment horizontal="center" vertical="center"/>
    </xf>
    <xf numFmtId="164" fontId="31" fillId="0" borderId="13" xfId="42" applyNumberFormat="1" applyFont="1" applyBorder="1" applyAlignment="1">
      <alignment horizontal="center" vertical="center"/>
    </xf>
    <xf numFmtId="167" fontId="31" fillId="0" borderId="13" xfId="42" applyNumberFormat="1" applyFont="1" applyBorder="1" applyAlignment="1">
      <alignment horizontal="center" vertical="center"/>
    </xf>
    <xf numFmtId="167" fontId="31" fillId="0" borderId="13" xfId="0" applyNumberFormat="1" applyFont="1" applyBorder="1" applyAlignment="1">
      <alignment horizontal="center" vertical="center"/>
    </xf>
    <xf numFmtId="165" fontId="31" fillId="0" borderId="13" xfId="0" applyNumberFormat="1" applyFont="1" applyBorder="1" applyAlignment="1">
      <alignment horizontal="center" vertical="center"/>
    </xf>
    <xf numFmtId="6" fontId="31" fillId="0" borderId="13" xfId="0" applyNumberFormat="1" applyFont="1" applyBorder="1" applyAlignment="1">
      <alignment horizontal="center" vertical="center"/>
    </xf>
    <xf numFmtId="6" fontId="31" fillId="0" borderId="13" xfId="42" applyNumberFormat="1" applyFont="1" applyFill="1" applyBorder="1" applyAlignment="1">
      <alignment horizontal="center" vertical="center"/>
    </xf>
    <xf numFmtId="2" fontId="31" fillId="0" borderId="13" xfId="0" applyNumberFormat="1" applyFont="1" applyBorder="1" applyAlignment="1">
      <alignment horizontal="center" vertical="center"/>
    </xf>
    <xf numFmtId="1" fontId="31" fillId="0" borderId="13" xfId="0" applyNumberFormat="1" applyFont="1" applyBorder="1" applyAlignment="1">
      <alignment horizontal="center" vertical="center"/>
    </xf>
    <xf numFmtId="166" fontId="31" fillId="0" borderId="13" xfId="0" applyNumberFormat="1" applyFont="1" applyBorder="1" applyAlignment="1">
      <alignment horizontal="center" vertical="center"/>
    </xf>
    <xf numFmtId="167" fontId="32" fillId="0" borderId="13" xfId="0" applyNumberFormat="1" applyFont="1" applyBorder="1" applyAlignment="1">
      <alignment horizontal="center" vertical="center"/>
    </xf>
    <xf numFmtId="1" fontId="31" fillId="39" borderId="13" xfId="0" applyNumberFormat="1" applyFont="1" applyFill="1" applyBorder="1" applyAlignment="1">
      <alignment horizontal="center" vertical="center"/>
    </xf>
    <xf numFmtId="166" fontId="31" fillId="39" borderId="13" xfId="0" applyNumberFormat="1" applyFont="1" applyFill="1" applyBorder="1" applyAlignment="1">
      <alignment horizontal="center" vertical="center"/>
    </xf>
    <xf numFmtId="0" fontId="31" fillId="39" borderId="13" xfId="0" applyFont="1" applyFill="1" applyBorder="1" applyAlignment="1">
      <alignment horizontal="center" vertical="center"/>
    </xf>
    <xf numFmtId="165" fontId="22" fillId="0" borderId="13" xfId="0" applyNumberFormat="1" applyFont="1" applyBorder="1" applyAlignment="1">
      <alignment horizontal="center"/>
    </xf>
    <xf numFmtId="167" fontId="25" fillId="0" borderId="13" xfId="0" applyNumberFormat="1" applyFont="1" applyBorder="1" applyAlignment="1">
      <alignment horizontal="center"/>
    </xf>
    <xf numFmtId="9" fontId="20" fillId="0" borderId="11" xfId="42" applyFont="1" applyFill="1" applyBorder="1" applyAlignment="1">
      <alignment horizontal="center" vertical="center"/>
    </xf>
    <xf numFmtId="0" fontId="31" fillId="0" borderId="13" xfId="0" applyFont="1" applyBorder="1" applyAlignment="1">
      <alignment horizontal="center"/>
    </xf>
    <xf numFmtId="0" fontId="22" fillId="0" borderId="13" xfId="0" applyFont="1" applyBorder="1" applyAlignment="1">
      <alignment horizontal="center"/>
    </xf>
    <xf numFmtId="0" fontId="18" fillId="41" borderId="10" xfId="0" applyFont="1" applyFill="1" applyBorder="1" applyAlignment="1">
      <alignment vertical="center"/>
    </xf>
    <xf numFmtId="0" fontId="21" fillId="41" borderId="10" xfId="0" applyFont="1" applyFill="1" applyBorder="1" applyAlignment="1">
      <alignment horizontal="center" vertical="center"/>
    </xf>
    <xf numFmtId="9" fontId="31" fillId="41" borderId="37" xfId="42" applyFont="1" applyFill="1" applyBorder="1" applyAlignment="1">
      <alignment horizontal="center" vertical="center"/>
    </xf>
    <xf numFmtId="2" fontId="21" fillId="41" borderId="10" xfId="0" applyNumberFormat="1" applyFont="1" applyFill="1" applyBorder="1" applyAlignment="1">
      <alignment horizontal="center" vertical="center"/>
    </xf>
    <xf numFmtId="2" fontId="18" fillId="41" borderId="10" xfId="0" applyNumberFormat="1" applyFont="1" applyFill="1" applyBorder="1" applyAlignment="1">
      <alignment horizontal="center" vertical="center"/>
    </xf>
    <xf numFmtId="164" fontId="21" fillId="41" borderId="10" xfId="42" applyNumberFormat="1" applyFont="1" applyFill="1" applyBorder="1" applyAlignment="1">
      <alignment horizontal="center" vertical="center"/>
    </xf>
    <xf numFmtId="0" fontId="69" fillId="74" borderId="11" xfId="0" applyFont="1" applyFill="1" applyBorder="1" applyAlignment="1">
      <alignment vertical="center"/>
    </xf>
    <xf numFmtId="0" fontId="69" fillId="74" borderId="11" xfId="0" applyFont="1" applyFill="1" applyBorder="1" applyAlignment="1">
      <alignment horizontal="center" vertical="center"/>
    </xf>
    <xf numFmtId="0" fontId="48" fillId="47" borderId="10" xfId="0" applyFont="1" applyFill="1" applyBorder="1" applyAlignment="1">
      <alignment vertical="center"/>
    </xf>
    <xf numFmtId="0" fontId="19" fillId="50" borderId="11" xfId="0" applyFont="1" applyFill="1" applyBorder="1" applyAlignment="1">
      <alignment horizontal="left" vertical="top" wrapText="1"/>
    </xf>
    <xf numFmtId="0" fontId="78" fillId="37" borderId="15" xfId="0" applyFont="1" applyFill="1" applyBorder="1" applyAlignment="1">
      <alignment horizontal="center" vertical="center" wrapText="1"/>
    </xf>
    <xf numFmtId="1" fontId="42" fillId="33" borderId="11" xfId="0" applyNumberFormat="1" applyFont="1" applyFill="1" applyBorder="1" applyAlignment="1">
      <alignment horizontal="center" vertical="center" wrapText="1"/>
    </xf>
    <xf numFmtId="1" fontId="57" fillId="60" borderId="11" xfId="0" applyNumberFormat="1" applyFont="1" applyFill="1" applyBorder="1" applyAlignment="1">
      <alignment horizontal="center" vertical="center" wrapText="1"/>
    </xf>
    <xf numFmtId="9" fontId="45" fillId="33" borderId="11" xfId="42" applyFont="1" applyFill="1" applyBorder="1" applyAlignment="1">
      <alignment horizontal="center" vertical="center" wrapText="1"/>
    </xf>
    <xf numFmtId="168" fontId="82" fillId="43" borderId="11" xfId="0" applyNumberFormat="1" applyFont="1" applyFill="1" applyBorder="1" applyAlignment="1">
      <alignment horizontal="center" vertical="center" wrapText="1"/>
    </xf>
    <xf numFmtId="168" fontId="83" fillId="46" borderId="11" xfId="0" applyNumberFormat="1" applyFont="1" applyFill="1" applyBorder="1" applyAlignment="1">
      <alignment horizontal="center" vertical="center" wrapText="1"/>
    </xf>
    <xf numFmtId="168" fontId="83" fillId="44" borderId="11" xfId="0" applyNumberFormat="1" applyFont="1" applyFill="1" applyBorder="1" applyAlignment="1">
      <alignment horizontal="center" vertical="center" wrapText="1"/>
    </xf>
    <xf numFmtId="168" fontId="81" fillId="47" borderId="11" xfId="0" applyNumberFormat="1" applyFont="1" applyFill="1" applyBorder="1" applyAlignment="1">
      <alignment horizontal="center" vertical="center" wrapText="1"/>
    </xf>
    <xf numFmtId="0" fontId="19" fillId="44" borderId="15" xfId="0" applyFont="1" applyFill="1" applyBorder="1" applyAlignment="1">
      <alignment horizontal="left" vertical="top" wrapText="1"/>
    </xf>
    <xf numFmtId="0" fontId="19" fillId="44" borderId="15" xfId="0" applyFont="1" applyFill="1" applyBorder="1" applyAlignment="1">
      <alignment vertical="top" wrapText="1"/>
    </xf>
    <xf numFmtId="0" fontId="32" fillId="39" borderId="15" xfId="0" applyFont="1" applyFill="1" applyBorder="1" applyAlignment="1">
      <alignment horizontal="left" vertical="top" wrapText="1"/>
    </xf>
    <xf numFmtId="2" fontId="31" fillId="54" borderId="26" xfId="0" applyNumberFormat="1" applyFont="1" applyFill="1" applyBorder="1" applyAlignment="1">
      <alignment horizontal="center" vertical="center"/>
    </xf>
    <xf numFmtId="2" fontId="31" fillId="54" borderId="11" xfId="0" applyNumberFormat="1" applyFont="1" applyFill="1" applyBorder="1" applyAlignment="1">
      <alignment horizontal="center" vertical="center"/>
    </xf>
    <xf numFmtId="0" fontId="22" fillId="58" borderId="15" xfId="0" applyFont="1" applyFill="1" applyBorder="1" applyAlignment="1">
      <alignment horizontal="center" vertical="top" wrapText="1"/>
    </xf>
    <xf numFmtId="0" fontId="31" fillId="39" borderId="15" xfId="0" applyFont="1" applyFill="1" applyBorder="1" applyAlignment="1">
      <alignment horizontal="center" vertical="center" wrapText="1"/>
    </xf>
    <xf numFmtId="0" fontId="78" fillId="43" borderId="10" xfId="0" applyFont="1" applyFill="1" applyBorder="1" applyAlignment="1">
      <alignment horizontal="center" vertical="center" wrapText="1"/>
    </xf>
    <xf numFmtId="172" fontId="31" fillId="0" borderId="26" xfId="0" applyNumberFormat="1" applyFont="1" applyBorder="1" applyAlignment="1">
      <alignment horizontal="center" vertical="center"/>
    </xf>
    <xf numFmtId="172" fontId="31" fillId="0" borderId="27" xfId="42" applyNumberFormat="1" applyFont="1" applyFill="1" applyBorder="1" applyAlignment="1">
      <alignment horizontal="center" vertical="center"/>
    </xf>
    <xf numFmtId="172" fontId="31" fillId="0" borderId="12" xfId="42" applyNumberFormat="1" applyFont="1" applyFill="1" applyBorder="1" applyAlignment="1">
      <alignment horizontal="center" vertical="center"/>
    </xf>
    <xf numFmtId="172" fontId="31" fillId="0" borderId="11" xfId="42" applyNumberFormat="1" applyFont="1" applyFill="1" applyBorder="1" applyAlignment="1">
      <alignment horizontal="center" vertical="center"/>
    </xf>
    <xf numFmtId="172" fontId="31" fillId="0" borderId="26" xfId="42" applyNumberFormat="1" applyFont="1" applyFill="1" applyBorder="1" applyAlignment="1">
      <alignment horizontal="center" vertical="center"/>
    </xf>
    <xf numFmtId="172" fontId="31" fillId="0" borderId="15" xfId="42" applyNumberFormat="1" applyFont="1" applyFill="1" applyBorder="1" applyAlignment="1">
      <alignment horizontal="center" vertical="center"/>
    </xf>
    <xf numFmtId="172" fontId="31" fillId="0" borderId="13" xfId="42" applyNumberFormat="1" applyFont="1" applyFill="1" applyBorder="1" applyAlignment="1">
      <alignment horizontal="center" vertical="center"/>
    </xf>
    <xf numFmtId="0" fontId="32" fillId="39" borderId="13" xfId="0" applyFont="1" applyFill="1" applyBorder="1" applyAlignment="1">
      <alignment horizontal="center" vertical="center"/>
    </xf>
    <xf numFmtId="166" fontId="32" fillId="0" borderId="11" xfId="0" applyNumberFormat="1" applyFont="1" applyBorder="1" applyAlignment="1">
      <alignment horizontal="center" vertical="center"/>
    </xf>
    <xf numFmtId="168" fontId="89" fillId="43" borderId="19" xfId="0" applyNumberFormat="1" applyFont="1" applyFill="1" applyBorder="1" applyAlignment="1">
      <alignment horizontal="center" vertical="center" wrapText="1"/>
    </xf>
    <xf numFmtId="0" fontId="90" fillId="43" borderId="18" xfId="0" applyFont="1" applyFill="1" applyBorder="1" applyAlignment="1">
      <alignment horizontal="center" vertical="center" wrapText="1"/>
    </xf>
    <xf numFmtId="0" fontId="91" fillId="43" borderId="16" xfId="0" applyFont="1" applyFill="1" applyBorder="1" applyAlignment="1">
      <alignment horizontal="right" vertical="center" wrapText="1"/>
    </xf>
    <xf numFmtId="0" fontId="31" fillId="0" borderId="0" xfId="0" applyFont="1"/>
    <xf numFmtId="166" fontId="31" fillId="39" borderId="27" xfId="0" applyNumberFormat="1" applyFont="1" applyFill="1" applyBorder="1" applyAlignment="1">
      <alignment horizontal="center" vertical="center"/>
    </xf>
    <xf numFmtId="165" fontId="22" fillId="0" borderId="27" xfId="0" applyNumberFormat="1" applyFont="1" applyBorder="1" applyAlignment="1">
      <alignment horizontal="center"/>
    </xf>
    <xf numFmtId="165" fontId="31" fillId="39" borderId="26" xfId="0" applyNumberFormat="1" applyFont="1" applyFill="1" applyBorder="1" applyAlignment="1">
      <alignment horizontal="center" vertical="center"/>
    </xf>
    <xf numFmtId="0" fontId="31" fillId="0" borderId="38" xfId="0" applyFont="1" applyBorder="1" applyAlignment="1">
      <alignment horizontal="center" vertical="center"/>
    </xf>
    <xf numFmtId="0" fontId="31" fillId="0" borderId="38" xfId="0" applyFont="1" applyBorder="1"/>
    <xf numFmtId="0" fontId="31" fillId="0" borderId="38" xfId="0" applyFont="1" applyBorder="1" applyAlignment="1">
      <alignment horizontal="center"/>
    </xf>
    <xf numFmtId="0" fontId="22" fillId="0" borderId="38" xfId="0" applyFont="1" applyBorder="1" applyAlignment="1">
      <alignment horizontal="center"/>
    </xf>
    <xf numFmtId="168" fontId="31" fillId="0" borderId="38" xfId="0" applyNumberFormat="1" applyFont="1" applyBorder="1" applyAlignment="1">
      <alignment horizontal="center"/>
    </xf>
    <xf numFmtId="0" fontId="31" fillId="39" borderId="38" xfId="0" applyFont="1" applyFill="1" applyBorder="1" applyAlignment="1">
      <alignment horizontal="center" vertical="center"/>
    </xf>
    <xf numFmtId="164" fontId="31" fillId="0" borderId="38" xfId="42" applyNumberFormat="1" applyFont="1" applyBorder="1" applyAlignment="1">
      <alignment horizontal="center" vertical="center"/>
    </xf>
    <xf numFmtId="167" fontId="31" fillId="0" borderId="38" xfId="42" applyNumberFormat="1" applyFont="1" applyBorder="1" applyAlignment="1">
      <alignment horizontal="center" vertical="center"/>
    </xf>
    <xf numFmtId="167" fontId="31" fillId="0" borderId="38" xfId="0" applyNumberFormat="1" applyFont="1" applyBorder="1" applyAlignment="1">
      <alignment horizontal="center" vertical="center"/>
    </xf>
    <xf numFmtId="6" fontId="31" fillId="0" borderId="38" xfId="0" applyNumberFormat="1" applyFont="1" applyBorder="1" applyAlignment="1">
      <alignment horizontal="center" vertical="center"/>
    </xf>
    <xf numFmtId="165" fontId="31" fillId="0" borderId="38" xfId="0" applyNumberFormat="1" applyFont="1" applyBorder="1" applyAlignment="1">
      <alignment horizontal="center" vertical="center"/>
    </xf>
    <xf numFmtId="1" fontId="31" fillId="0" borderId="38" xfId="0" applyNumberFormat="1" applyFont="1" applyBorder="1" applyAlignment="1">
      <alignment horizontal="center" vertical="center"/>
    </xf>
    <xf numFmtId="165" fontId="31" fillId="0" borderId="38" xfId="42" applyNumberFormat="1" applyFont="1" applyBorder="1" applyAlignment="1">
      <alignment horizontal="center" vertical="center"/>
    </xf>
    <xf numFmtId="166" fontId="31" fillId="0" borderId="38" xfId="0" applyNumberFormat="1" applyFont="1" applyBorder="1" applyAlignment="1">
      <alignment horizontal="center" vertical="center"/>
    </xf>
    <xf numFmtId="1" fontId="31" fillId="39" borderId="38" xfId="0" applyNumberFormat="1" applyFont="1" applyFill="1" applyBorder="1" applyAlignment="1">
      <alignment horizontal="center" vertical="center"/>
    </xf>
    <xf numFmtId="167" fontId="32" fillId="0" borderId="38" xfId="0" applyNumberFormat="1" applyFont="1" applyBorder="1" applyAlignment="1">
      <alignment horizontal="center" vertical="center"/>
    </xf>
    <xf numFmtId="166" fontId="31" fillId="39" borderId="38" xfId="0" applyNumberFormat="1" applyFont="1" applyFill="1" applyBorder="1" applyAlignment="1">
      <alignment horizontal="center" vertical="center"/>
    </xf>
    <xf numFmtId="6" fontId="31" fillId="0" borderId="38" xfId="42" applyNumberFormat="1" applyFont="1" applyFill="1" applyBorder="1" applyAlignment="1">
      <alignment horizontal="center" vertical="center"/>
    </xf>
    <xf numFmtId="172" fontId="31" fillId="0" borderId="38" xfId="42" applyNumberFormat="1" applyFont="1" applyFill="1" applyBorder="1" applyAlignment="1">
      <alignment horizontal="center" vertical="center"/>
    </xf>
    <xf numFmtId="165" fontId="22" fillId="0" borderId="38" xfId="0" applyNumberFormat="1" applyFont="1" applyBorder="1" applyAlignment="1">
      <alignment horizontal="center"/>
    </xf>
    <xf numFmtId="167" fontId="25" fillId="0" borderId="38" xfId="0" applyNumberFormat="1" applyFont="1" applyBorder="1" applyAlignment="1">
      <alignment horizontal="center"/>
    </xf>
    <xf numFmtId="165" fontId="21" fillId="39" borderId="0" xfId="0" applyNumberFormat="1" applyFont="1" applyFill="1" applyAlignment="1">
      <alignment horizontal="center" vertical="center"/>
    </xf>
    <xf numFmtId="165" fontId="21" fillId="41" borderId="10" xfId="0" applyNumberFormat="1" applyFont="1" applyFill="1" applyBorder="1" applyAlignment="1">
      <alignment horizontal="center" vertical="center"/>
    </xf>
    <xf numFmtId="166" fontId="31" fillId="54" borderId="26" xfId="0" applyNumberFormat="1" applyFont="1" applyFill="1" applyBorder="1" applyAlignment="1">
      <alignment horizontal="center" vertical="center"/>
    </xf>
    <xf numFmtId="2" fontId="32" fillId="39" borderId="38" xfId="0" applyNumberFormat="1" applyFont="1" applyFill="1" applyBorder="1" applyAlignment="1">
      <alignment horizontal="center" vertical="center"/>
    </xf>
    <xf numFmtId="164" fontId="18" fillId="39" borderId="0" xfId="42" applyNumberFormat="1" applyFont="1" applyFill="1" applyAlignment="1">
      <alignment horizontal="center" vertical="center"/>
    </xf>
    <xf numFmtId="164" fontId="18" fillId="41" borderId="10" xfId="42" applyNumberFormat="1" applyFont="1" applyFill="1" applyBorder="1" applyAlignment="1">
      <alignment horizontal="center" vertical="center"/>
    </xf>
    <xf numFmtId="0" fontId="31" fillId="0" borderId="39" xfId="0" applyFont="1" applyBorder="1" applyAlignment="1">
      <alignment horizontal="center" vertical="center"/>
    </xf>
    <xf numFmtId="0" fontId="31" fillId="0" borderId="39" xfId="0" applyFont="1" applyBorder="1"/>
    <xf numFmtId="0" fontId="31" fillId="0" borderId="39" xfId="0" applyFont="1" applyBorder="1" applyAlignment="1">
      <alignment horizontal="center"/>
    </xf>
    <xf numFmtId="0" fontId="22" fillId="0" borderId="39" xfId="0" applyFont="1" applyBorder="1" applyAlignment="1">
      <alignment horizontal="center"/>
    </xf>
    <xf numFmtId="168" fontId="31" fillId="0" borderId="39" xfId="0" applyNumberFormat="1" applyFont="1" applyBorder="1" applyAlignment="1">
      <alignment horizontal="center"/>
    </xf>
    <xf numFmtId="0" fontId="32" fillId="39" borderId="39" xfId="0" applyFont="1" applyFill="1" applyBorder="1" applyAlignment="1">
      <alignment horizontal="center" vertical="center"/>
    </xf>
    <xf numFmtId="0" fontId="31" fillId="39" borderId="39" xfId="0" applyFont="1" applyFill="1" applyBorder="1" applyAlignment="1">
      <alignment horizontal="center" vertical="center"/>
    </xf>
    <xf numFmtId="164" fontId="31" fillId="0" borderId="39" xfId="42" applyNumberFormat="1" applyFont="1" applyBorder="1" applyAlignment="1">
      <alignment horizontal="center" vertical="center"/>
    </xf>
    <xf numFmtId="167" fontId="31" fillId="0" borderId="39" xfId="42" applyNumberFormat="1" applyFont="1" applyBorder="1" applyAlignment="1">
      <alignment horizontal="center" vertical="center"/>
    </xf>
    <xf numFmtId="167" fontId="31" fillId="0" borderId="39" xfId="0" applyNumberFormat="1" applyFont="1" applyBorder="1" applyAlignment="1">
      <alignment horizontal="center" vertical="center"/>
    </xf>
    <xf numFmtId="6" fontId="31" fillId="0" borderId="39" xfId="0" applyNumberFormat="1" applyFont="1" applyBorder="1" applyAlignment="1">
      <alignment horizontal="center" vertical="center"/>
    </xf>
    <xf numFmtId="165" fontId="31" fillId="0" borderId="39" xfId="0" applyNumberFormat="1" applyFont="1" applyBorder="1" applyAlignment="1">
      <alignment horizontal="center" vertical="center"/>
    </xf>
    <xf numFmtId="1" fontId="31" fillId="0" borderId="39" xfId="0" applyNumberFormat="1" applyFont="1" applyBorder="1" applyAlignment="1">
      <alignment horizontal="center" vertical="center"/>
    </xf>
    <xf numFmtId="165" fontId="31" fillId="0" borderId="39" xfId="42" applyNumberFormat="1" applyFont="1" applyBorder="1" applyAlignment="1">
      <alignment horizontal="center" vertical="center"/>
    </xf>
    <xf numFmtId="166" fontId="31" fillId="0" borderId="39" xfId="0" applyNumberFormat="1" applyFont="1" applyBorder="1" applyAlignment="1">
      <alignment horizontal="center" vertical="center"/>
    </xf>
    <xf numFmtId="165" fontId="31" fillId="54" borderId="39" xfId="0" applyNumberFormat="1" applyFont="1" applyFill="1" applyBorder="1" applyAlignment="1">
      <alignment horizontal="center" vertical="center"/>
    </xf>
    <xf numFmtId="167" fontId="32" fillId="0" borderId="39" xfId="0" applyNumberFormat="1" applyFont="1" applyBorder="1" applyAlignment="1">
      <alignment horizontal="center" vertical="center"/>
    </xf>
    <xf numFmtId="166" fontId="31" fillId="54" borderId="39" xfId="0" applyNumberFormat="1" applyFont="1" applyFill="1" applyBorder="1" applyAlignment="1">
      <alignment horizontal="center" vertical="center"/>
    </xf>
    <xf numFmtId="6" fontId="31" fillId="0" borderId="39" xfId="42" applyNumberFormat="1" applyFont="1" applyFill="1" applyBorder="1" applyAlignment="1">
      <alignment horizontal="center" vertical="center"/>
    </xf>
    <xf numFmtId="172" fontId="31" fillId="0" borderId="39" xfId="42" applyNumberFormat="1" applyFont="1" applyFill="1" applyBorder="1" applyAlignment="1">
      <alignment horizontal="center" vertical="center"/>
    </xf>
    <xf numFmtId="165" fontId="22" fillId="0" borderId="39" xfId="0" applyNumberFormat="1" applyFont="1" applyBorder="1" applyAlignment="1">
      <alignment horizontal="center"/>
    </xf>
    <xf numFmtId="167" fontId="25" fillId="0" borderId="39" xfId="0" applyNumberFormat="1" applyFont="1" applyBorder="1" applyAlignment="1">
      <alignment horizontal="center"/>
    </xf>
    <xf numFmtId="1" fontId="31" fillId="39" borderId="39" xfId="0" applyNumberFormat="1" applyFont="1" applyFill="1" applyBorder="1" applyAlignment="1">
      <alignment horizontal="center" vertical="center"/>
    </xf>
    <xf numFmtId="166" fontId="31" fillId="39" borderId="39" xfId="0" applyNumberFormat="1" applyFont="1" applyFill="1" applyBorder="1" applyAlignment="1">
      <alignment horizontal="center" vertical="center"/>
    </xf>
    <xf numFmtId="167" fontId="25" fillId="0" borderId="26" xfId="0" applyNumberFormat="1" applyFont="1" applyBorder="1" applyAlignment="1">
      <alignment horizontal="center" vertical="center"/>
    </xf>
    <xf numFmtId="165" fontId="31" fillId="0" borderId="17" xfId="0" applyNumberFormat="1" applyFont="1" applyBorder="1" applyAlignment="1">
      <alignment horizontal="center" vertical="center"/>
    </xf>
    <xf numFmtId="166" fontId="31" fillId="0" borderId="20" xfId="0" applyNumberFormat="1" applyFont="1" applyBorder="1" applyAlignment="1">
      <alignment horizontal="center" vertical="center"/>
    </xf>
    <xf numFmtId="1" fontId="16" fillId="0" borderId="40" xfId="0" applyNumberFormat="1" applyFont="1" applyBorder="1" applyAlignment="1">
      <alignment horizontal="center" vertical="center"/>
    </xf>
    <xf numFmtId="164" fontId="18" fillId="0" borderId="11" xfId="42" applyNumberFormat="1" applyFont="1" applyBorder="1" applyAlignment="1">
      <alignment horizontal="center" vertical="center"/>
    </xf>
    <xf numFmtId="164" fontId="0" fillId="0" borderId="11" xfId="42" applyNumberFormat="1" applyFont="1" applyBorder="1"/>
    <xf numFmtId="0" fontId="92" fillId="0" borderId="0" xfId="0" applyFont="1" applyAlignment="1">
      <alignment horizontal="center"/>
    </xf>
    <xf numFmtId="164" fontId="18" fillId="33" borderId="11" xfId="42" applyNumberFormat="1" applyFont="1" applyFill="1" applyBorder="1" applyAlignment="1">
      <alignment horizontal="center" vertical="center"/>
    </xf>
    <xf numFmtId="164" fontId="18" fillId="41" borderId="11" xfId="42" applyNumberFormat="1" applyFont="1" applyFill="1" applyBorder="1" applyAlignment="1">
      <alignment horizontal="center" vertical="center"/>
    </xf>
    <xf numFmtId="0" fontId="22" fillId="0" borderId="0" xfId="0" applyFont="1"/>
    <xf numFmtId="0" fontId="31" fillId="0" borderId="16" xfId="0" applyFont="1" applyBorder="1" applyAlignment="1">
      <alignment horizontal="center" vertical="center" wrapText="1"/>
    </xf>
    <xf numFmtId="0" fontId="20" fillId="33" borderId="11" xfId="0" applyFont="1" applyFill="1" applyBorder="1" applyAlignment="1">
      <alignment horizontal="center" vertical="center"/>
    </xf>
    <xf numFmtId="0" fontId="20" fillId="37" borderId="11" xfId="0" applyFont="1" applyFill="1" applyBorder="1" applyAlignment="1">
      <alignment horizontal="center" vertical="center"/>
    </xf>
    <xf numFmtId="0" fontId="0" fillId="33" borderId="26" xfId="0" applyFill="1" applyBorder="1" applyAlignment="1">
      <alignment horizontal="center" vertical="center"/>
    </xf>
    <xf numFmtId="167" fontId="31" fillId="44" borderId="26" xfId="0" applyNumberFormat="1" applyFont="1" applyFill="1" applyBorder="1" applyAlignment="1">
      <alignment horizontal="center" vertical="center"/>
    </xf>
    <xf numFmtId="0" fontId="22" fillId="49" borderId="13" xfId="0" applyFont="1" applyFill="1" applyBorder="1" applyAlignment="1">
      <alignment horizontal="center" vertical="center"/>
    </xf>
    <xf numFmtId="6" fontId="20" fillId="0" borderId="15" xfId="0" applyNumberFormat="1" applyFont="1" applyBorder="1" applyAlignment="1">
      <alignment horizontal="center" vertical="center"/>
    </xf>
    <xf numFmtId="0" fontId="22" fillId="49" borderId="11" xfId="0" applyFont="1" applyFill="1" applyBorder="1" applyAlignment="1">
      <alignment horizontal="center" vertical="center"/>
    </xf>
    <xf numFmtId="0" fontId="72" fillId="43" borderId="11" xfId="0" applyFont="1" applyFill="1" applyBorder="1" applyAlignment="1">
      <alignment horizontal="center" vertical="center"/>
    </xf>
    <xf numFmtId="168" fontId="45" fillId="50" borderId="18" xfId="0" applyNumberFormat="1" applyFont="1" applyFill="1" applyBorder="1" applyAlignment="1">
      <alignment horizontal="center" vertical="center" wrapText="1"/>
    </xf>
    <xf numFmtId="168" fontId="45" fillId="50" borderId="19" xfId="0" applyNumberFormat="1" applyFont="1" applyFill="1" applyBorder="1" applyAlignment="1">
      <alignment horizontal="center" vertical="center" wrapText="1"/>
    </xf>
    <xf numFmtId="168" fontId="45" fillId="50" borderId="14" xfId="0" applyNumberFormat="1" applyFont="1" applyFill="1" applyBorder="1" applyAlignment="1">
      <alignment horizontal="center" vertical="center" wrapText="1"/>
    </xf>
    <xf numFmtId="168" fontId="45" fillId="56" borderId="18" xfId="0" applyNumberFormat="1" applyFont="1" applyFill="1" applyBorder="1" applyAlignment="1">
      <alignment horizontal="center" vertical="center" wrapText="1"/>
    </xf>
    <xf numFmtId="168" fontId="45" fillId="56" borderId="19" xfId="0" applyNumberFormat="1" applyFont="1" applyFill="1" applyBorder="1" applyAlignment="1">
      <alignment horizontal="center" vertical="center" wrapText="1"/>
    </xf>
    <xf numFmtId="168" fontId="45" fillId="56" borderId="14" xfId="0" applyNumberFormat="1" applyFont="1" applyFill="1" applyBorder="1" applyAlignment="1">
      <alignment horizontal="center" vertical="center" wrapText="1"/>
    </xf>
    <xf numFmtId="0" fontId="77" fillId="43" borderId="17" xfId="0" quotePrefix="1" applyFont="1" applyFill="1" applyBorder="1" applyAlignment="1">
      <alignment horizontal="center" vertical="center" wrapText="1"/>
    </xf>
    <xf numFmtId="0" fontId="77" fillId="43" borderId="10" xfId="0" applyFont="1" applyFill="1" applyBorder="1" applyAlignment="1">
      <alignment horizontal="center" vertical="center"/>
    </xf>
    <xf numFmtId="0" fontId="77" fillId="43" borderId="20" xfId="0" applyFont="1" applyFill="1" applyBorder="1" applyAlignment="1">
      <alignment horizontal="center" vertical="center"/>
    </xf>
    <xf numFmtId="0" fontId="77" fillId="43" borderId="17" xfId="0" applyFont="1" applyFill="1" applyBorder="1" applyAlignment="1">
      <alignment horizontal="center" vertical="center" wrapText="1"/>
    </xf>
    <xf numFmtId="0" fontId="77" fillId="43" borderId="20" xfId="0" applyFont="1" applyFill="1" applyBorder="1" applyAlignment="1">
      <alignment horizontal="center" vertical="center" wrapText="1"/>
    </xf>
    <xf numFmtId="0" fontId="85" fillId="46" borderId="17" xfId="0" quotePrefix="1" applyFont="1" applyFill="1" applyBorder="1" applyAlignment="1">
      <alignment horizontal="center" vertical="center" wrapText="1"/>
    </xf>
    <xf numFmtId="0" fontId="85" fillId="46" borderId="10" xfId="0" applyFont="1" applyFill="1" applyBorder="1" applyAlignment="1">
      <alignment horizontal="center" vertical="center" wrapText="1"/>
    </xf>
    <xf numFmtId="0" fontId="85" fillId="46" borderId="20" xfId="0" applyFont="1" applyFill="1" applyBorder="1" applyAlignment="1">
      <alignment horizontal="center" vertical="center" wrapText="1"/>
    </xf>
    <xf numFmtId="0" fontId="87" fillId="44" borderId="11" xfId="0" quotePrefix="1" applyFont="1" applyFill="1" applyBorder="1" applyAlignment="1">
      <alignment horizontal="center" vertical="center"/>
    </xf>
    <xf numFmtId="0" fontId="86" fillId="43" borderId="18" xfId="0" quotePrefix="1" applyFont="1" applyFill="1" applyBorder="1" applyAlignment="1">
      <alignment horizontal="center" vertical="center" wrapText="1"/>
    </xf>
    <xf numFmtId="0" fontId="86" fillId="43" borderId="19" xfId="0" applyFont="1" applyFill="1" applyBorder="1" applyAlignment="1">
      <alignment horizontal="center" vertical="center" wrapText="1"/>
    </xf>
    <xf numFmtId="0" fontId="86" fillId="43" borderId="14" xfId="0" applyFont="1" applyFill="1" applyBorder="1" applyAlignment="1">
      <alignment horizontal="center" vertical="center" wrapText="1"/>
    </xf>
    <xf numFmtId="0" fontId="23" fillId="50" borderId="10" xfId="0" applyFont="1" applyFill="1" applyBorder="1" applyAlignment="1">
      <alignment horizontal="center" vertical="center" wrapText="1"/>
    </xf>
    <xf numFmtId="0" fontId="23" fillId="50" borderId="22" xfId="0" applyFont="1" applyFill="1" applyBorder="1" applyAlignment="1">
      <alignment horizontal="center" vertical="center" wrapText="1"/>
    </xf>
    <xf numFmtId="0" fontId="23" fillId="50" borderId="10" xfId="0" applyFont="1" applyFill="1" applyBorder="1" applyAlignment="1">
      <alignment horizontal="center" vertical="center"/>
    </xf>
    <xf numFmtId="0" fontId="88" fillId="58" borderId="17" xfId="0" quotePrefix="1" applyFont="1" applyFill="1" applyBorder="1" applyAlignment="1">
      <alignment horizontal="center" vertical="center" wrapText="1"/>
    </xf>
    <xf numFmtId="0" fontId="88" fillId="58" borderId="10" xfId="0" quotePrefix="1" applyFont="1" applyFill="1" applyBorder="1" applyAlignment="1">
      <alignment horizontal="center" vertical="center" wrapText="1"/>
    </xf>
    <xf numFmtId="0" fontId="88" fillId="58" borderId="20" xfId="0" quotePrefix="1" applyFont="1" applyFill="1" applyBorder="1" applyAlignment="1">
      <alignment horizontal="center" vertical="center" wrapText="1"/>
    </xf>
    <xf numFmtId="0" fontId="47" fillId="38" borderId="17" xfId="0" applyFont="1" applyFill="1" applyBorder="1" applyAlignment="1">
      <alignment horizontal="center" vertical="center" wrapText="1"/>
    </xf>
    <xf numFmtId="0" fontId="47" fillId="38" borderId="10" xfId="0" applyFont="1" applyFill="1" applyBorder="1" applyAlignment="1">
      <alignment horizontal="center" vertical="center" wrapText="1"/>
    </xf>
    <xf numFmtId="0" fontId="23" fillId="38" borderId="11" xfId="0" applyFont="1" applyFill="1" applyBorder="1" applyAlignment="1">
      <alignment horizontal="center" vertical="center" wrapText="1"/>
    </xf>
    <xf numFmtId="0" fontId="23" fillId="38" borderId="11" xfId="0" applyFont="1" applyFill="1" applyBorder="1" applyAlignment="1">
      <alignment horizontal="center" vertical="center"/>
    </xf>
    <xf numFmtId="0" fontId="84" fillId="44" borderId="18" xfId="0" quotePrefix="1" applyFont="1" applyFill="1" applyBorder="1" applyAlignment="1">
      <alignment horizontal="center" vertical="center"/>
    </xf>
    <xf numFmtId="0" fontId="84" fillId="44" borderId="19" xfId="0" quotePrefix="1" applyFont="1" applyFill="1" applyBorder="1" applyAlignment="1">
      <alignment horizontal="center" vertical="center"/>
    </xf>
    <xf numFmtId="0" fontId="84" fillId="44" borderId="14" xfId="0" quotePrefix="1" applyFont="1" applyFill="1" applyBorder="1" applyAlignment="1">
      <alignment horizontal="center" vertical="center"/>
    </xf>
    <xf numFmtId="0" fontId="77" fillId="43" borderId="10" xfId="0" quotePrefix="1" applyFont="1" applyFill="1" applyBorder="1" applyAlignment="1">
      <alignment horizontal="center" vertical="center"/>
    </xf>
    <xf numFmtId="0" fontId="80" fillId="75" borderId="10" xfId="0" applyFont="1" applyFill="1" applyBorder="1" applyAlignment="1">
      <alignment horizontal="center" vertical="center" wrapText="1"/>
    </xf>
    <xf numFmtId="168" fontId="32" fillId="50" borderId="18" xfId="0" applyNumberFormat="1" applyFont="1" applyFill="1" applyBorder="1" applyAlignment="1">
      <alignment horizontal="center" vertical="center" wrapText="1"/>
    </xf>
    <xf numFmtId="168" fontId="32" fillId="50" borderId="14" xfId="0" applyNumberFormat="1" applyFont="1" applyFill="1" applyBorder="1" applyAlignment="1">
      <alignment horizontal="center" vertical="center" wrapText="1"/>
    </xf>
    <xf numFmtId="0" fontId="16" fillId="50" borderId="11" xfId="0" applyFont="1" applyFill="1" applyBorder="1" applyAlignment="1">
      <alignment horizontal="center" vertical="center"/>
    </xf>
    <xf numFmtId="0" fontId="16" fillId="50" borderId="11" xfId="0" applyFont="1" applyFill="1" applyBorder="1" applyAlignment="1">
      <alignment horizontal="center" vertical="center" wrapText="1"/>
    </xf>
    <xf numFmtId="0" fontId="18" fillId="37" borderId="11" xfId="0" applyFont="1" applyFill="1" applyBorder="1" applyAlignment="1">
      <alignment horizontal="left" vertical="center"/>
    </xf>
    <xf numFmtId="0" fontId="18" fillId="42" borderId="11" xfId="0" applyFont="1" applyFill="1" applyBorder="1" applyAlignment="1">
      <alignment horizontal="left" vertical="center"/>
    </xf>
    <xf numFmtId="0" fontId="18" fillId="45" borderId="11" xfId="0" applyFont="1" applyFill="1" applyBorder="1" applyAlignment="1">
      <alignment horizontal="left" vertical="center"/>
    </xf>
    <xf numFmtId="0" fontId="59" fillId="67" borderId="11" xfId="0" applyFont="1" applyFill="1" applyBorder="1" applyAlignment="1">
      <alignment horizontal="center" vertical="center"/>
    </xf>
    <xf numFmtId="0" fontId="58" fillId="67" borderId="11" xfId="0" applyFont="1" applyFill="1" applyBorder="1" applyAlignment="1">
      <alignment horizontal="center" vertical="center"/>
    </xf>
    <xf numFmtId="0" fontId="55" fillId="33" borderId="18" xfId="0" applyFont="1" applyFill="1" applyBorder="1" applyAlignment="1">
      <alignment horizontal="left" vertical="center"/>
    </xf>
    <xf numFmtId="0" fontId="55" fillId="33" borderId="19" xfId="0" applyFont="1" applyFill="1" applyBorder="1" applyAlignment="1">
      <alignment horizontal="left" vertical="center"/>
    </xf>
    <xf numFmtId="0" fontId="55" fillId="33" borderId="14" xfId="0" applyFont="1" applyFill="1" applyBorder="1" applyAlignment="1">
      <alignment horizontal="left" vertical="center"/>
    </xf>
    <xf numFmtId="0" fontId="21" fillId="0" borderId="0" xfId="0" applyFont="1" applyAlignment="1">
      <alignment horizontal="left" vertical="top"/>
    </xf>
    <xf numFmtId="2" fontId="20" fillId="0" borderId="0" xfId="0" applyNumberFormat="1" applyFont="1" applyAlignment="1">
      <alignment horizontal="center" vertical="center"/>
    </xf>
    <xf numFmtId="0" fontId="21" fillId="0" borderId="25" xfId="0" applyFont="1" applyBorder="1" applyAlignment="1">
      <alignment horizontal="left" vertical="top"/>
    </xf>
    <xf numFmtId="2" fontId="20" fillId="0" borderId="0" xfId="0" applyNumberFormat="1" applyFont="1" applyAlignment="1">
      <alignment horizontal="left" vertical="center"/>
    </xf>
    <xf numFmtId="0" fontId="20" fillId="0" borderId="0" xfId="0" applyFont="1" applyAlignment="1">
      <alignment horizontal="left" vertical="center"/>
    </xf>
    <xf numFmtId="0" fontId="20" fillId="0" borderId="0" xfId="0" applyFont="1" applyAlignment="1">
      <alignment horizontal="center" vertical="center"/>
    </xf>
    <xf numFmtId="0" fontId="21" fillId="0" borderId="0" xfId="0" applyFont="1" applyAlignment="1">
      <alignment horizontal="center" vertical="top"/>
    </xf>
    <xf numFmtId="0" fontId="21" fillId="0" borderId="23" xfId="0" applyFont="1" applyBorder="1" applyAlignment="1">
      <alignment horizontal="left" vertical="center"/>
    </xf>
    <xf numFmtId="0" fontId="21" fillId="0" borderId="21" xfId="0" applyFont="1" applyBorder="1" applyAlignment="1">
      <alignment horizontal="left" vertical="center"/>
    </xf>
    <xf numFmtId="0" fontId="21" fillId="0" borderId="24" xfId="0" applyFont="1" applyBorder="1" applyAlignment="1">
      <alignment horizontal="left" vertical="center"/>
    </xf>
    <xf numFmtId="0" fontId="21" fillId="0" borderId="10" xfId="0" applyFont="1" applyBorder="1" applyAlignment="1">
      <alignment horizontal="center" vertical="center"/>
    </xf>
    <xf numFmtId="0" fontId="18" fillId="0" borderId="10" xfId="0" applyFont="1" applyBorder="1" applyAlignment="1">
      <alignment horizontal="center" vertical="center"/>
    </xf>
    <xf numFmtId="0" fontId="21" fillId="0" borderId="10" xfId="0" applyFont="1" applyBorder="1" applyAlignment="1">
      <alignment horizontal="left" vertical="center"/>
    </xf>
    <xf numFmtId="0" fontId="21" fillId="0" borderId="20" xfId="0" applyFont="1" applyBorder="1" applyAlignment="1">
      <alignment horizontal="left" vertical="center"/>
    </xf>
    <xf numFmtId="0" fontId="18" fillId="76" borderId="41" xfId="0" applyFont="1" applyFill="1" applyBorder="1" applyAlignment="1">
      <alignment horizontal="center" vertical="center"/>
    </xf>
    <xf numFmtId="0" fontId="18" fillId="76" borderId="12" xfId="0" applyFont="1" applyFill="1" applyBorder="1" applyAlignment="1">
      <alignment horizontal="center" vertical="center"/>
    </xf>
    <xf numFmtId="0" fontId="18" fillId="48" borderId="15" xfId="0" applyFont="1" applyFill="1" applyBorder="1" applyAlignment="1">
      <alignment horizontal="center" vertical="center"/>
    </xf>
    <xf numFmtId="0" fontId="18" fillId="48" borderId="12" xfId="0" applyFont="1" applyFill="1" applyBorder="1" applyAlignment="1">
      <alignment horizontal="center" vertical="center"/>
    </xf>
    <xf numFmtId="0" fontId="18" fillId="70" borderId="15" xfId="0" applyFont="1" applyFill="1" applyBorder="1" applyAlignment="1">
      <alignment horizontal="center" vertical="center"/>
    </xf>
    <xf numFmtId="0" fontId="18" fillId="70" borderId="12" xfId="0" applyFont="1" applyFill="1" applyBorder="1" applyAlignment="1">
      <alignment horizontal="center" vertical="center"/>
    </xf>
    <xf numFmtId="0" fontId="18" fillId="41" borderId="15" xfId="0" applyFont="1" applyFill="1" applyBorder="1" applyAlignment="1">
      <alignment horizontal="center" vertical="center"/>
    </xf>
    <xf numFmtId="0" fontId="18" fillId="41" borderId="12" xfId="0" applyFont="1" applyFill="1" applyBorder="1" applyAlignment="1">
      <alignment horizontal="center" vertical="center"/>
    </xf>
    <xf numFmtId="0" fontId="18" fillId="42" borderId="15" xfId="0" applyFont="1" applyFill="1" applyBorder="1" applyAlignment="1">
      <alignment horizontal="center" vertical="center"/>
    </xf>
    <xf numFmtId="0" fontId="18" fillId="42" borderId="12" xfId="0" applyFont="1" applyFill="1" applyBorder="1" applyAlignment="1">
      <alignment horizontal="center" vertical="center"/>
    </xf>
    <xf numFmtId="0" fontId="16" fillId="46" borderId="11" xfId="0" applyFont="1" applyFill="1" applyBorder="1" applyAlignment="1">
      <alignment horizontal="center" vertical="center"/>
    </xf>
    <xf numFmtId="0" fontId="16" fillId="39" borderId="21" xfId="0" applyFont="1" applyFill="1" applyBorder="1" applyAlignment="1">
      <alignment horizontal="center" vertical="center"/>
    </xf>
    <xf numFmtId="0" fontId="16" fillId="39" borderId="10" xfId="0" applyFont="1" applyFill="1" applyBorder="1" applyAlignment="1">
      <alignment horizontal="center" vertical="center"/>
    </xf>
    <xf numFmtId="0" fontId="18" fillId="47" borderId="11" xfId="0" applyFont="1" applyFill="1" applyBorder="1" applyAlignment="1">
      <alignment horizontal="center" vertical="center"/>
    </xf>
    <xf numFmtId="0" fontId="23" fillId="39" borderId="0" xfId="0" applyFont="1" applyFill="1" applyAlignment="1">
      <alignment horizontal="center" vertical="center" textRotation="90"/>
    </xf>
    <xf numFmtId="0" fontId="76" fillId="0" borderId="0" xfId="0" applyFont="1" applyAlignment="1">
      <alignment horizontal="center" vertical="center"/>
    </xf>
    <xf numFmtId="0" fontId="67" fillId="44" borderId="0" xfId="0" quotePrefix="1" applyFont="1" applyFill="1" applyAlignment="1">
      <alignment horizontal="center" vertical="center"/>
    </xf>
    <xf numFmtId="0" fontId="67" fillId="44" borderId="0" xfId="0" applyFont="1" applyFill="1" applyAlignment="1">
      <alignment horizontal="center" vertical="center"/>
    </xf>
    <xf numFmtId="0" fontId="18" fillId="34" borderId="11" xfId="0" applyFont="1" applyFill="1" applyBorder="1" applyAlignment="1">
      <alignment horizontal="center" vertical="center" wrapText="1"/>
    </xf>
    <xf numFmtId="0" fontId="27" fillId="47" borderId="11" xfId="0" applyFont="1" applyFill="1" applyBorder="1" applyAlignment="1">
      <alignment horizontal="center" vertical="center"/>
    </xf>
    <xf numFmtId="0" fontId="27" fillId="47" borderId="15" xfId="0" applyFont="1" applyFill="1" applyBorder="1" applyAlignment="1">
      <alignment horizontal="center" vertical="center"/>
    </xf>
    <xf numFmtId="0" fontId="27" fillId="47" borderId="11" xfId="0" applyFont="1" applyFill="1" applyBorder="1" applyAlignment="1">
      <alignment horizontal="center" vertical="center" wrapText="1"/>
    </xf>
    <xf numFmtId="0" fontId="27" fillId="47" borderId="15" xfId="0" applyFont="1" applyFill="1" applyBorder="1" applyAlignment="1">
      <alignment horizontal="center" vertical="center" wrapText="1"/>
    </xf>
    <xf numFmtId="165" fontId="16" fillId="0" borderId="15" xfId="0" applyNumberFormat="1" applyFont="1" applyBorder="1" applyAlignment="1">
      <alignment horizontal="center" vertical="center"/>
    </xf>
    <xf numFmtId="165" fontId="16" fillId="0" borderId="13" xfId="0" applyNumberFormat="1" applyFont="1" applyBorder="1" applyAlignment="1">
      <alignment horizontal="center" vertical="center"/>
    </xf>
    <xf numFmtId="165" fontId="16" fillId="0" borderId="12" xfId="0" applyNumberFormat="1" applyFont="1" applyBorder="1" applyAlignment="1">
      <alignment horizontal="center" vertical="center"/>
    </xf>
    <xf numFmtId="0" fontId="20" fillId="47" borderId="15" xfId="0" applyFont="1" applyFill="1" applyBorder="1" applyAlignment="1">
      <alignment horizontal="center" vertical="center" wrapText="1"/>
    </xf>
    <xf numFmtId="0" fontId="20" fillId="47" borderId="13" xfId="0" applyFont="1" applyFill="1" applyBorder="1" applyAlignment="1">
      <alignment horizontal="center" vertical="center" wrapText="1"/>
    </xf>
    <xf numFmtId="0" fontId="20" fillId="47" borderId="12" xfId="0" applyFont="1" applyFill="1" applyBorder="1" applyAlignment="1">
      <alignment horizontal="center" vertical="center" wrapText="1"/>
    </xf>
    <xf numFmtId="164" fontId="1" fillId="37" borderId="15" xfId="42" applyNumberFormat="1" applyFont="1" applyFill="1" applyBorder="1" applyAlignment="1">
      <alignment horizontal="center" vertical="center"/>
    </xf>
    <xf numFmtId="164" fontId="1" fillId="37" borderId="12" xfId="42" applyNumberFormat="1" applyFont="1" applyFill="1" applyBorder="1" applyAlignment="1">
      <alignment horizontal="center" vertical="center"/>
    </xf>
    <xf numFmtId="164" fontId="1" fillId="41" borderId="15" xfId="42" applyNumberFormat="1" applyFont="1" applyFill="1" applyBorder="1" applyAlignment="1">
      <alignment horizontal="center" vertical="center"/>
    </xf>
    <xf numFmtId="164" fontId="1" fillId="41" borderId="12" xfId="42" applyNumberFormat="1" applyFont="1" applyFill="1" applyBorder="1" applyAlignment="1">
      <alignment horizontal="center" vertical="center"/>
    </xf>
    <xf numFmtId="164" fontId="1" fillId="37" borderId="11" xfId="42" applyNumberFormat="1" applyFont="1" applyFill="1" applyBorder="1" applyAlignment="1">
      <alignment horizontal="center" vertical="center"/>
    </xf>
    <xf numFmtId="165" fontId="16" fillId="0" borderId="11" xfId="0" applyNumberFormat="1" applyFont="1" applyBorder="1" applyAlignment="1">
      <alignment horizontal="center" vertical="center"/>
    </xf>
    <xf numFmtId="1" fontId="16" fillId="0" borderId="11" xfId="0" applyNumberFormat="1" applyFont="1" applyBorder="1" applyAlignment="1">
      <alignment horizontal="center" vertical="center"/>
    </xf>
    <xf numFmtId="164" fontId="16" fillId="37" borderId="15" xfId="42" applyNumberFormat="1" applyFont="1" applyFill="1" applyBorder="1" applyAlignment="1">
      <alignment horizontal="center" vertical="center"/>
    </xf>
    <xf numFmtId="164" fontId="16" fillId="37" borderId="12" xfId="42" applyNumberFormat="1" applyFont="1" applyFill="1" applyBorder="1" applyAlignment="1">
      <alignment horizontal="center" vertical="center"/>
    </xf>
    <xf numFmtId="164" fontId="16" fillId="41" borderId="15" xfId="42" applyNumberFormat="1" applyFont="1" applyFill="1" applyBorder="1" applyAlignment="1">
      <alignment horizontal="center" vertical="center"/>
    </xf>
    <xf numFmtId="164" fontId="16" fillId="41" borderId="12" xfId="42" applyNumberFormat="1" applyFont="1" applyFill="1" applyBorder="1" applyAlignment="1">
      <alignment horizontal="center" vertical="center"/>
    </xf>
    <xf numFmtId="164" fontId="16" fillId="37" borderId="11" xfId="42" applyNumberFormat="1" applyFont="1" applyFill="1" applyBorder="1" applyAlignment="1">
      <alignment horizontal="center" vertical="center"/>
    </xf>
    <xf numFmtId="164" fontId="0" fillId="37" borderId="11" xfId="42" applyNumberFormat="1" applyFont="1" applyFill="1" applyBorder="1" applyAlignment="1">
      <alignment horizontal="center" vertical="center"/>
    </xf>
    <xf numFmtId="164" fontId="0" fillId="41" borderId="15" xfId="42" applyNumberFormat="1" applyFont="1" applyFill="1" applyBorder="1" applyAlignment="1">
      <alignment horizontal="center" vertical="center"/>
    </xf>
    <xf numFmtId="164" fontId="0" fillId="41" borderId="12" xfId="42" applyNumberFormat="1" applyFont="1" applyFill="1" applyBorder="1" applyAlignment="1">
      <alignment horizontal="center" vertical="center"/>
    </xf>
    <xf numFmtId="6" fontId="16" fillId="37" borderId="34" xfId="0" applyNumberFormat="1" applyFont="1" applyFill="1" applyBorder="1" applyAlignment="1">
      <alignment horizontal="center" vertical="center"/>
    </xf>
    <xf numFmtId="0" fontId="16" fillId="37" borderId="35" xfId="0" applyFont="1" applyFill="1" applyBorder="1" applyAlignment="1">
      <alignment horizontal="center" vertical="center"/>
    </xf>
    <xf numFmtId="0" fontId="18" fillId="46" borderId="11" xfId="0" applyFont="1" applyFill="1" applyBorder="1" applyAlignment="1">
      <alignment horizontal="center" vertical="center" wrapText="1"/>
    </xf>
    <xf numFmtId="1" fontId="16" fillId="0" borderId="15" xfId="0" applyNumberFormat="1" applyFont="1" applyBorder="1" applyAlignment="1">
      <alignment horizontal="center" vertical="center"/>
    </xf>
    <xf numFmtId="1" fontId="16" fillId="0" borderId="12" xfId="0" applyNumberFormat="1" applyFont="1" applyBorder="1" applyAlignment="1">
      <alignment horizontal="center" vertical="center"/>
    </xf>
    <xf numFmtId="164" fontId="0" fillId="41" borderId="11" xfId="42" applyNumberFormat="1" applyFont="1" applyFill="1" applyBorder="1" applyAlignment="1">
      <alignment horizontal="center" vertical="center"/>
    </xf>
    <xf numFmtId="1" fontId="16" fillId="53" borderId="15" xfId="0" applyNumberFormat="1" applyFont="1" applyFill="1" applyBorder="1" applyAlignment="1">
      <alignment horizontal="center" vertical="center"/>
    </xf>
    <xf numFmtId="1" fontId="16" fillId="53" borderId="13" xfId="0" applyNumberFormat="1" applyFont="1" applyFill="1" applyBorder="1" applyAlignment="1">
      <alignment horizontal="center" vertical="center"/>
    </xf>
    <xf numFmtId="1" fontId="16" fillId="53" borderId="12" xfId="0" applyNumberFormat="1" applyFont="1" applyFill="1" applyBorder="1" applyAlignment="1">
      <alignment horizontal="center" vertical="center"/>
    </xf>
    <xf numFmtId="1" fontId="16" fillId="53" borderId="11" xfId="0" applyNumberFormat="1" applyFont="1" applyFill="1" applyBorder="1" applyAlignment="1">
      <alignment horizontal="center" vertical="center"/>
    </xf>
    <xf numFmtId="0" fontId="0" fillId="58" borderId="15" xfId="0" applyFill="1" applyBorder="1" applyAlignment="1">
      <alignment horizontal="center" vertical="center" wrapText="1"/>
    </xf>
    <xf numFmtId="0" fontId="0" fillId="58" borderId="13" xfId="0" applyFill="1" applyBorder="1" applyAlignment="1">
      <alignment horizontal="center" vertical="center" wrapText="1"/>
    </xf>
    <xf numFmtId="0" fontId="0" fillId="58" borderId="12" xfId="0" applyFill="1" applyBorder="1" applyAlignment="1">
      <alignment horizontal="center" vertical="center" wrapText="1"/>
    </xf>
    <xf numFmtId="0" fontId="40" fillId="45" borderId="17" xfId="0" applyFont="1" applyFill="1" applyBorder="1" applyAlignment="1">
      <alignment horizontal="center" vertical="center"/>
    </xf>
    <xf numFmtId="0" fontId="40" fillId="45" borderId="10" xfId="0" applyFont="1" applyFill="1" applyBorder="1" applyAlignment="1">
      <alignment horizontal="center" vertical="center"/>
    </xf>
    <xf numFmtId="0" fontId="40" fillId="45" borderId="20" xfId="0" applyFont="1" applyFill="1" applyBorder="1" applyAlignment="1">
      <alignment horizontal="center" vertical="center"/>
    </xf>
    <xf numFmtId="0" fontId="18" fillId="58" borderId="17" xfId="0" applyFont="1" applyFill="1" applyBorder="1" applyAlignment="1">
      <alignment horizontal="center" vertical="center"/>
    </xf>
    <xf numFmtId="0" fontId="18" fillId="58" borderId="10" xfId="0" applyFont="1" applyFill="1" applyBorder="1" applyAlignment="1">
      <alignment horizontal="center" vertical="center"/>
    </xf>
    <xf numFmtId="0" fontId="18" fillId="58" borderId="20" xfId="0" applyFont="1" applyFill="1" applyBorder="1" applyAlignment="1">
      <alignment horizontal="center" vertical="center"/>
    </xf>
    <xf numFmtId="0" fontId="36" fillId="47" borderId="11" xfId="0" applyFont="1" applyFill="1" applyBorder="1" applyAlignment="1">
      <alignment horizontal="center"/>
    </xf>
    <xf numFmtId="0" fontId="36" fillId="51" borderId="11" xfId="0" applyFont="1" applyFill="1" applyBorder="1" applyAlignment="1">
      <alignment horizontal="center" vertical="center"/>
    </xf>
    <xf numFmtId="0" fontId="41" fillId="39" borderId="18" xfId="0" applyFont="1" applyFill="1" applyBorder="1" applyAlignment="1">
      <alignment horizontal="center" vertical="center"/>
    </xf>
    <xf numFmtId="0" fontId="41" fillId="39" borderId="19" xfId="0" applyFont="1" applyFill="1" applyBorder="1" applyAlignment="1">
      <alignment horizontal="center" vertical="center"/>
    </xf>
    <xf numFmtId="0" fontId="41" fillId="39" borderId="14" xfId="0" applyFont="1" applyFill="1" applyBorder="1" applyAlignment="1">
      <alignment horizontal="center" vertical="center"/>
    </xf>
    <xf numFmtId="0" fontId="18" fillId="48" borderId="17" xfId="0" applyFont="1" applyFill="1" applyBorder="1" applyAlignment="1">
      <alignment horizontal="center" vertical="center"/>
    </xf>
    <xf numFmtId="0" fontId="18" fillId="48" borderId="10" xfId="0" applyFont="1" applyFill="1" applyBorder="1" applyAlignment="1">
      <alignment horizontal="center" vertical="center"/>
    </xf>
    <xf numFmtId="0" fontId="18" fillId="48" borderId="20" xfId="0" applyFont="1" applyFill="1" applyBorder="1" applyAlignment="1">
      <alignment horizontal="center" vertical="center"/>
    </xf>
    <xf numFmtId="0" fontId="18" fillId="56" borderId="17" xfId="0" applyFont="1" applyFill="1" applyBorder="1" applyAlignment="1">
      <alignment horizontal="center" vertical="center"/>
    </xf>
    <xf numFmtId="0" fontId="18" fillId="56" borderId="10" xfId="0" applyFont="1" applyFill="1" applyBorder="1" applyAlignment="1">
      <alignment horizontal="center" vertical="center"/>
    </xf>
    <xf numFmtId="0" fontId="18" fillId="56" borderId="20" xfId="0" applyFont="1" applyFill="1" applyBorder="1" applyAlignment="1">
      <alignment horizontal="center" vertical="center"/>
    </xf>
    <xf numFmtId="0" fontId="18" fillId="46" borderId="17" xfId="0" applyFont="1" applyFill="1" applyBorder="1" applyAlignment="1">
      <alignment horizontal="center" vertical="center"/>
    </xf>
    <xf numFmtId="0" fontId="18" fillId="46" borderId="10" xfId="0" applyFont="1" applyFill="1" applyBorder="1" applyAlignment="1">
      <alignment horizontal="center" vertical="center"/>
    </xf>
    <xf numFmtId="0" fontId="18" fillId="46" borderId="20" xfId="0" applyFont="1" applyFill="1" applyBorder="1" applyAlignment="1">
      <alignment horizontal="center" vertical="center"/>
    </xf>
    <xf numFmtId="0" fontId="18" fillId="43" borderId="17" xfId="0" applyFont="1" applyFill="1" applyBorder="1" applyAlignment="1">
      <alignment horizontal="center" vertical="center"/>
    </xf>
    <xf numFmtId="0" fontId="18" fillId="43" borderId="10" xfId="0" applyFont="1" applyFill="1" applyBorder="1" applyAlignment="1">
      <alignment horizontal="center" vertical="center"/>
    </xf>
    <xf numFmtId="0" fontId="18" fillId="43" borderId="20" xfId="0" applyFont="1" applyFill="1" applyBorder="1" applyAlignment="1">
      <alignment horizontal="center" vertical="center"/>
    </xf>
    <xf numFmtId="0" fontId="18" fillId="57" borderId="17" xfId="0" applyFont="1" applyFill="1" applyBorder="1" applyAlignment="1">
      <alignment horizontal="center" vertical="center"/>
    </xf>
    <xf numFmtId="0" fontId="18" fillId="57" borderId="10" xfId="0" applyFont="1" applyFill="1" applyBorder="1" applyAlignment="1">
      <alignment horizontal="center" vertical="center"/>
    </xf>
    <xf numFmtId="0" fontId="18" fillId="57" borderId="20" xfId="0" applyFont="1" applyFill="1" applyBorder="1" applyAlignment="1">
      <alignment horizontal="center" vertical="center"/>
    </xf>
    <xf numFmtId="0" fontId="18" fillId="43" borderId="0" xfId="0" applyFont="1" applyFill="1" applyAlignment="1">
      <alignment horizontal="left" vertical="center"/>
    </xf>
    <xf numFmtId="0" fontId="20" fillId="0" borderId="0" xfId="0" applyFont="1" applyAlignment="1">
      <alignment horizontal="center"/>
    </xf>
    <xf numFmtId="172" fontId="31" fillId="0" borderId="0" xfId="42" applyNumberFormat="1" applyFont="1" applyFill="1" applyBorder="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46">
    <dxf>
      <font>
        <strike val="0"/>
        <color theme="0" tint="-4.9989318521683403E-2"/>
      </font>
    </dxf>
    <dxf>
      <font>
        <b/>
        <i val="0"/>
        <strike val="0"/>
      </font>
    </dxf>
    <dxf>
      <fill>
        <patternFill>
          <bgColor rgb="FF00B0F0"/>
        </patternFill>
      </fill>
    </dxf>
    <dxf>
      <font>
        <b/>
        <i val="0"/>
        <strike val="0"/>
        <color theme="1"/>
      </font>
      <fill>
        <patternFill>
          <bgColor rgb="FF00FF00"/>
        </patternFill>
      </fill>
    </dxf>
    <dxf>
      <font>
        <b/>
        <i val="0"/>
        <strike val="0"/>
        <color theme="1"/>
      </font>
    </dxf>
    <dxf>
      <font>
        <strike val="0"/>
        <color theme="1"/>
      </font>
    </dxf>
    <dxf>
      <font>
        <b/>
        <i val="0"/>
      </font>
    </dxf>
    <dxf>
      <font>
        <color rgb="FFFF0000"/>
      </font>
    </dxf>
    <dxf>
      <fill>
        <patternFill>
          <bgColor rgb="FFC6EBB7"/>
        </patternFill>
      </fill>
    </dxf>
    <dxf>
      <fill>
        <patternFill>
          <bgColor rgb="FFFFCCCC"/>
        </patternFill>
      </fill>
    </dxf>
    <dxf>
      <font>
        <strike val="0"/>
        <color rgb="FFFF0000"/>
      </font>
      <fill>
        <patternFill>
          <bgColor rgb="FFFFFF00"/>
        </patternFill>
      </fill>
    </dxf>
    <dxf>
      <fill>
        <patternFill>
          <bgColor theme="9" tint="0.39994506668294322"/>
        </patternFill>
      </fill>
    </dxf>
    <dxf>
      <font>
        <strike val="0"/>
        <color theme="0" tint="-0.24994659260841701"/>
      </font>
    </dxf>
    <dxf>
      <font>
        <strike val="0"/>
        <color rgb="FFFF0000"/>
      </font>
    </dxf>
    <dxf>
      <fill>
        <patternFill>
          <bgColor theme="0" tint="-0.24994659260841701"/>
        </patternFill>
      </fill>
    </dxf>
    <dxf>
      <fill>
        <patternFill>
          <bgColor theme="7" tint="0.79998168889431442"/>
        </patternFill>
      </fill>
    </dxf>
    <dxf>
      <fill>
        <patternFill>
          <bgColor theme="0" tint="-0.24994659260841701"/>
        </patternFill>
      </fill>
    </dxf>
    <dxf>
      <font>
        <color rgb="FF0000FF"/>
      </font>
      <fill>
        <patternFill>
          <bgColor theme="0" tint="-4.9989318521683403E-2"/>
        </patternFill>
      </fill>
    </dxf>
    <dxf>
      <fill>
        <patternFill>
          <bgColor theme="9" tint="0.79998168889431442"/>
        </patternFill>
      </fill>
    </dxf>
    <dxf>
      <font>
        <strike val="0"/>
        <color theme="0" tint="-4.9989318521683403E-2"/>
      </font>
    </dxf>
    <dxf>
      <font>
        <strike val="0"/>
        <color theme="0" tint="-0.24994659260841701"/>
      </font>
    </dxf>
    <dxf>
      <font>
        <strike val="0"/>
        <color rgb="FFFF0000"/>
      </font>
    </dxf>
    <dxf>
      <font>
        <strike val="0"/>
        <color theme="1"/>
      </font>
      <fill>
        <patternFill>
          <bgColor theme="0" tint="-0.24994659260841701"/>
        </patternFill>
      </fill>
    </dxf>
    <dxf>
      <font>
        <b/>
        <i val="0"/>
        <strike val="0"/>
        <color theme="6" tint="-0.499984740745262"/>
      </font>
      <fill>
        <patternFill>
          <bgColor rgb="FFE7F7E1"/>
        </patternFill>
      </fill>
    </dxf>
    <dxf>
      <font>
        <b/>
        <i val="0"/>
        <color rgb="FF461700"/>
      </font>
      <fill>
        <patternFill>
          <bgColor rgb="FFFDEEE3"/>
        </patternFill>
      </fill>
    </dxf>
    <dxf>
      <fill>
        <patternFill>
          <bgColor theme="9" tint="0.59996337778862885"/>
        </patternFill>
      </fill>
    </dxf>
    <dxf>
      <fill>
        <patternFill>
          <bgColor theme="5" tint="0.79998168889431442"/>
        </patternFill>
      </fill>
    </dxf>
    <dxf>
      <font>
        <strike val="0"/>
        <color theme="3" tint="9.9948118533890809E-2"/>
      </font>
      <fill>
        <patternFill>
          <bgColor theme="3" tint="0.89996032593768116"/>
        </patternFill>
      </fill>
    </dxf>
    <dxf>
      <font>
        <strike val="0"/>
        <color theme="8" tint="-0.499984740745262"/>
      </font>
      <fill>
        <patternFill>
          <bgColor theme="8" tint="0.79998168889431442"/>
        </patternFill>
      </fill>
    </dxf>
    <dxf>
      <font>
        <strike val="0"/>
        <color theme="5" tint="-0.499984740745262"/>
      </font>
      <fill>
        <patternFill>
          <bgColor rgb="FFFFFFCC"/>
        </patternFill>
      </fill>
    </dxf>
    <dxf>
      <font>
        <b val="0"/>
        <i val="0"/>
        <strike val="0"/>
        <color rgb="FFC00000"/>
      </font>
    </dxf>
    <dxf>
      <font>
        <strike val="0"/>
        <color theme="0" tint="-0.24994659260841701"/>
      </font>
      <fill>
        <patternFill>
          <bgColor theme="0" tint="-0.24994659260841701"/>
        </patternFill>
      </fill>
    </dxf>
    <dxf>
      <fill>
        <patternFill>
          <bgColor theme="6" tint="0.79998168889431442"/>
        </patternFill>
      </fill>
    </dxf>
    <dxf>
      <fill>
        <patternFill>
          <bgColor theme="0"/>
        </patternFill>
      </fill>
    </dxf>
    <dxf>
      <fill>
        <patternFill>
          <bgColor rgb="FFFFC000"/>
        </patternFill>
      </fill>
    </dxf>
    <dxf>
      <fill>
        <patternFill>
          <bgColor theme="6" tint="0.79998168889431442"/>
        </patternFill>
      </fill>
    </dxf>
    <dxf>
      <font>
        <strike val="0"/>
      </font>
      <fill>
        <patternFill>
          <bgColor theme="0" tint="-0.24994659260841701"/>
        </patternFill>
      </fill>
    </dxf>
    <dxf>
      <fill>
        <patternFill>
          <bgColor rgb="FFFFFFCC"/>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FFCC"/>
        </patternFill>
      </fill>
    </dxf>
    <dxf>
      <fill>
        <patternFill>
          <bgColor theme="0" tint="-0.24994659260841701"/>
        </patternFill>
      </fill>
    </dxf>
    <dxf>
      <font>
        <strike val="0"/>
      </font>
      <fill>
        <patternFill>
          <bgColor rgb="FF92D050"/>
        </patternFill>
      </fill>
    </dxf>
    <dxf>
      <font>
        <strike val="0"/>
        <color theme="0" tint="-4.9989318521683403E-2"/>
      </font>
    </dxf>
    <dxf>
      <font>
        <strike val="0"/>
        <color theme="0" tint="-4.9989318521683403E-2"/>
      </font>
    </dxf>
  </dxfs>
  <tableStyles count="0" defaultTableStyle="TableStyleMedium2" defaultPivotStyle="PivotStyleLight16"/>
  <colors>
    <mruColors>
      <color rgb="FF0000FF"/>
      <color rgb="FF47FF47"/>
      <color rgb="FF00FF00"/>
      <color rgb="FFFF9999"/>
      <color rgb="FFFFFF99"/>
      <color rgb="FF00D600"/>
      <color rgb="FFFF9900"/>
      <color rgb="FFFFCCCC"/>
      <color rgb="FFA5E9AF"/>
      <color rgb="FFFF99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3.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4.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5.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6.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7.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8.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9.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30.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1.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2.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3.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4.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5.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6.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7.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8.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9.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38.xml"/><Relationship Id="rId1" Type="http://schemas.microsoft.com/office/2011/relationships/chartStyle" Target="style38.xml"/></Relationships>
</file>

<file path=xl/charts/_rels/chart40.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39.xml"/><Relationship Id="rId1" Type="http://schemas.microsoft.com/office/2011/relationships/chartStyle" Target="style39.xml"/></Relationships>
</file>

<file path=xl/charts/_rels/chart41.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2.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3.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4.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5.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6.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7.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8.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9.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50.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49.xml"/><Relationship Id="rId1" Type="http://schemas.microsoft.com/office/2011/relationships/chartStyle" Target="style49.xml"/></Relationships>
</file>

<file path=xl/charts/_rels/chart51.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7.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[2025-Q2 Earnings.xlsx]Pivot!PivotTable1</c:name>
    <c:fmtId val="0"/>
  </c:pivotSource>
  <c:chart>
    <c:title>
      <c:tx>
        <c:rich>
          <a:bodyPr rot="0" spcFirstLastPara="1" vertOverflow="ellipsis" vert="horz" wrap="square" anchor="ctr" anchorCtr="1"/>
          <a:lstStyle/>
          <a:p>
            <a:pPr>
              <a:defRPr sz="1100" b="1" i="0" u="none" strike="noStrike" kern="1200" spc="0" baseline="0">
                <a:solidFill>
                  <a:sysClr val="windowText" lastClr="000000"/>
                </a:solidFill>
                <a:latin typeface="+mn-lt"/>
                <a:ea typeface="+mn-ea"/>
                <a:cs typeface="+mn-cs"/>
              </a:defRPr>
            </a:pPr>
            <a:r>
              <a:rPr lang="en-US" sz="1100" b="1">
                <a:solidFill>
                  <a:sysClr val="windowText" lastClr="000000"/>
                </a:solidFill>
              </a:rPr>
              <a:t>2025 - Q2</a:t>
            </a:r>
          </a:p>
        </c:rich>
      </c:tx>
      <c:overlay val="0"/>
      <c:spPr>
        <a:noFill/>
        <a:ln>
          <a:noFill/>
        </a:ln>
        <a:effectLst/>
      </c:spPr>
      <c:txPr>
        <a:bodyPr rot="0" spcFirstLastPara="1" vertOverflow="ellipsis" vert="horz" wrap="square" anchor="ctr" anchorCtr="1"/>
        <a:lstStyle/>
        <a:p>
          <a:pPr>
            <a:defRPr sz="11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6"/>
          </a:solidFill>
          <a:ln>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Total</c:v>
                </c:pt>
              </c:strCache>
            </c:strRef>
          </c:tx>
          <c:spPr>
            <a:solidFill>
              <a:schemeClr val="accent6"/>
            </a:solidFill>
            <a:ln>
              <a:solidFill>
                <a:sysClr val="windowText" lastClr="000000"/>
              </a:solidFill>
            </a:ln>
            <a:effectLst/>
          </c:spPr>
          <c:invertIfNegative val="0"/>
          <c:cat>
            <c:strRef>
              <c:f>Pivot!$A$4:$A$59</c:f>
              <c:strCache>
                <c:ptCount val="55"/>
                <c:pt idx="0">
                  <c:v>1-Apr</c:v>
                </c:pt>
                <c:pt idx="1">
                  <c:v>2-Apr</c:v>
                </c:pt>
                <c:pt idx="2">
                  <c:v>3-Apr</c:v>
                </c:pt>
                <c:pt idx="3">
                  <c:v>4-Apr</c:v>
                </c:pt>
                <c:pt idx="4">
                  <c:v>7-Apr</c:v>
                </c:pt>
                <c:pt idx="5">
                  <c:v>8-Apr</c:v>
                </c:pt>
                <c:pt idx="6">
                  <c:v>9-Apr</c:v>
                </c:pt>
                <c:pt idx="7">
                  <c:v>10-Apr</c:v>
                </c:pt>
                <c:pt idx="8">
                  <c:v>11-Apr</c:v>
                </c:pt>
                <c:pt idx="9">
                  <c:v>14-Apr</c:v>
                </c:pt>
                <c:pt idx="10">
                  <c:v>15-Apr</c:v>
                </c:pt>
                <c:pt idx="11">
                  <c:v>16-Apr</c:v>
                </c:pt>
                <c:pt idx="12">
                  <c:v>17-Apr</c:v>
                </c:pt>
                <c:pt idx="13">
                  <c:v>18-Apr</c:v>
                </c:pt>
                <c:pt idx="14">
                  <c:v>19-Apr</c:v>
                </c:pt>
                <c:pt idx="15">
                  <c:v>21-Apr</c:v>
                </c:pt>
                <c:pt idx="16">
                  <c:v>22-Apr</c:v>
                </c:pt>
                <c:pt idx="17">
                  <c:v>23-Apr</c:v>
                </c:pt>
                <c:pt idx="18">
                  <c:v>24-Apr</c:v>
                </c:pt>
                <c:pt idx="19">
                  <c:v>25-Apr</c:v>
                </c:pt>
                <c:pt idx="20">
                  <c:v>28-Apr</c:v>
                </c:pt>
                <c:pt idx="21">
                  <c:v>29-Apr</c:v>
                </c:pt>
                <c:pt idx="22">
                  <c:v>30-Apr</c:v>
                </c:pt>
                <c:pt idx="23">
                  <c:v>1-May</c:v>
                </c:pt>
                <c:pt idx="24">
                  <c:v>2-May</c:v>
                </c:pt>
                <c:pt idx="25">
                  <c:v>3-May</c:v>
                </c:pt>
                <c:pt idx="26">
                  <c:v>5-May</c:v>
                </c:pt>
                <c:pt idx="27">
                  <c:v>6-May</c:v>
                </c:pt>
                <c:pt idx="28">
                  <c:v>7-May</c:v>
                </c:pt>
                <c:pt idx="29">
                  <c:v>8-May</c:v>
                </c:pt>
                <c:pt idx="30">
                  <c:v>9-May</c:v>
                </c:pt>
                <c:pt idx="31">
                  <c:v>12-May</c:v>
                </c:pt>
                <c:pt idx="32">
                  <c:v>13-May</c:v>
                </c:pt>
                <c:pt idx="33">
                  <c:v>14-May</c:v>
                </c:pt>
                <c:pt idx="34">
                  <c:v>15-May</c:v>
                </c:pt>
                <c:pt idx="35">
                  <c:v>16-May</c:v>
                </c:pt>
                <c:pt idx="36">
                  <c:v>19-May</c:v>
                </c:pt>
                <c:pt idx="37">
                  <c:v>20-May</c:v>
                </c:pt>
                <c:pt idx="38">
                  <c:v>21-May</c:v>
                </c:pt>
                <c:pt idx="39">
                  <c:v>22-May</c:v>
                </c:pt>
                <c:pt idx="40">
                  <c:v>23-May</c:v>
                </c:pt>
                <c:pt idx="41">
                  <c:v>26-May</c:v>
                </c:pt>
                <c:pt idx="42">
                  <c:v>27-May</c:v>
                </c:pt>
                <c:pt idx="43">
                  <c:v>28-May</c:v>
                </c:pt>
                <c:pt idx="44">
                  <c:v>29-May</c:v>
                </c:pt>
                <c:pt idx="45">
                  <c:v>30-May</c:v>
                </c:pt>
                <c:pt idx="46">
                  <c:v>2-Jun</c:v>
                </c:pt>
                <c:pt idx="47">
                  <c:v>3-Jun</c:v>
                </c:pt>
                <c:pt idx="48">
                  <c:v>4-Jun</c:v>
                </c:pt>
                <c:pt idx="49">
                  <c:v>5-Jun</c:v>
                </c:pt>
                <c:pt idx="50">
                  <c:v>6-Jun</c:v>
                </c:pt>
                <c:pt idx="51">
                  <c:v>9-Jun</c:v>
                </c:pt>
                <c:pt idx="52">
                  <c:v>10-Jun</c:v>
                </c:pt>
                <c:pt idx="53">
                  <c:v>11-Jun</c:v>
                </c:pt>
                <c:pt idx="54">
                  <c:v>12-Jun</c:v>
                </c:pt>
              </c:strCache>
            </c:strRef>
          </c:cat>
          <c:val>
            <c:numRef>
              <c:f>Pivot!$B$4:$B$59</c:f>
              <c:numCache>
                <c:formatCode>General</c:formatCode>
                <c:ptCount val="55"/>
                <c:pt idx="0">
                  <c:v>11</c:v>
                </c:pt>
                <c:pt idx="1">
                  <c:v>17</c:v>
                </c:pt>
                <c:pt idx="2">
                  <c:v>12</c:v>
                </c:pt>
                <c:pt idx="3">
                  <c:v>3</c:v>
                </c:pt>
                <c:pt idx="4">
                  <c:v>33</c:v>
                </c:pt>
                <c:pt idx="5">
                  <c:v>29</c:v>
                </c:pt>
                <c:pt idx="6">
                  <c:v>25</c:v>
                </c:pt>
                <c:pt idx="7">
                  <c:v>20</c:v>
                </c:pt>
                <c:pt idx="8">
                  <c:v>28</c:v>
                </c:pt>
                <c:pt idx="9">
                  <c:v>11</c:v>
                </c:pt>
                <c:pt idx="10">
                  <c:v>32</c:v>
                </c:pt>
                <c:pt idx="11">
                  <c:v>44</c:v>
                </c:pt>
                <c:pt idx="12">
                  <c:v>40</c:v>
                </c:pt>
                <c:pt idx="13">
                  <c:v>3</c:v>
                </c:pt>
                <c:pt idx="14">
                  <c:v>2</c:v>
                </c:pt>
                <c:pt idx="15">
                  <c:v>41</c:v>
                </c:pt>
                <c:pt idx="16">
                  <c:v>77</c:v>
                </c:pt>
                <c:pt idx="17">
                  <c:v>158</c:v>
                </c:pt>
                <c:pt idx="18">
                  <c:v>229</c:v>
                </c:pt>
                <c:pt idx="19">
                  <c:v>50</c:v>
                </c:pt>
                <c:pt idx="20">
                  <c:v>91</c:v>
                </c:pt>
                <c:pt idx="21">
                  <c:v>236</c:v>
                </c:pt>
                <c:pt idx="22">
                  <c:v>308</c:v>
                </c:pt>
                <c:pt idx="23">
                  <c:v>338</c:v>
                </c:pt>
                <c:pt idx="24">
                  <c:v>46</c:v>
                </c:pt>
                <c:pt idx="25">
                  <c:v>2</c:v>
                </c:pt>
                <c:pt idx="26">
                  <c:v>129</c:v>
                </c:pt>
                <c:pt idx="27">
                  <c:v>334</c:v>
                </c:pt>
                <c:pt idx="28">
                  <c:v>410</c:v>
                </c:pt>
                <c:pt idx="29">
                  <c:v>572</c:v>
                </c:pt>
                <c:pt idx="30">
                  <c:v>55</c:v>
                </c:pt>
                <c:pt idx="31">
                  <c:v>184</c:v>
                </c:pt>
                <c:pt idx="32">
                  <c:v>127</c:v>
                </c:pt>
                <c:pt idx="33">
                  <c:v>140</c:v>
                </c:pt>
                <c:pt idx="34">
                  <c:v>243</c:v>
                </c:pt>
                <c:pt idx="35">
                  <c:v>7</c:v>
                </c:pt>
                <c:pt idx="36">
                  <c:v>15</c:v>
                </c:pt>
                <c:pt idx="37">
                  <c:v>29</c:v>
                </c:pt>
                <c:pt idx="38">
                  <c:v>37</c:v>
                </c:pt>
                <c:pt idx="39">
                  <c:v>53</c:v>
                </c:pt>
                <c:pt idx="40">
                  <c:v>2</c:v>
                </c:pt>
                <c:pt idx="41">
                  <c:v>1</c:v>
                </c:pt>
                <c:pt idx="42">
                  <c:v>20</c:v>
                </c:pt>
                <c:pt idx="43">
                  <c:v>46</c:v>
                </c:pt>
                <c:pt idx="44">
                  <c:v>48</c:v>
                </c:pt>
                <c:pt idx="45">
                  <c:v>9</c:v>
                </c:pt>
                <c:pt idx="46">
                  <c:v>6</c:v>
                </c:pt>
                <c:pt idx="47">
                  <c:v>13</c:v>
                </c:pt>
                <c:pt idx="48">
                  <c:v>28</c:v>
                </c:pt>
                <c:pt idx="49">
                  <c:v>31</c:v>
                </c:pt>
                <c:pt idx="50">
                  <c:v>5</c:v>
                </c:pt>
                <c:pt idx="51">
                  <c:v>10</c:v>
                </c:pt>
                <c:pt idx="52">
                  <c:v>7</c:v>
                </c:pt>
                <c:pt idx="53">
                  <c:v>8</c:v>
                </c:pt>
                <c:pt idx="54">
                  <c:v>13</c:v>
                </c:pt>
              </c:numCache>
            </c:numRef>
          </c:val>
          <c:extLst>
            <c:ext xmlns:c16="http://schemas.microsoft.com/office/drawing/2014/chart" uri="{C3380CC4-5D6E-409C-BE32-E72D297353CC}">
              <c16:uniqueId val="{00000000-B756-44BD-A438-7403F71202F6}"/>
            </c:ext>
          </c:extLst>
        </c:ser>
        <c:dLbls>
          <c:showLegendKey val="0"/>
          <c:showVal val="0"/>
          <c:showCatName val="0"/>
          <c:showSerName val="0"/>
          <c:showPercent val="0"/>
          <c:showBubbleSize val="0"/>
        </c:dLbls>
        <c:gapWidth val="50"/>
        <c:overlap val="-27"/>
        <c:axId val="61383952"/>
        <c:axId val="61366672"/>
      </c:barChart>
      <c:catAx>
        <c:axId val="61383952"/>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800" b="1" i="0" u="none" strike="noStrike" kern="1200" baseline="0">
                <a:solidFill>
                  <a:sysClr val="windowText" lastClr="000000"/>
                </a:solidFill>
                <a:latin typeface="+mn-lt"/>
                <a:ea typeface="+mn-ea"/>
                <a:cs typeface="+mn-cs"/>
              </a:defRPr>
            </a:pPr>
            <a:endParaRPr lang="en-US"/>
          </a:p>
        </c:txPr>
        <c:crossAx val="61366672"/>
        <c:crosses val="autoZero"/>
        <c:auto val="1"/>
        <c:lblAlgn val="ctr"/>
        <c:lblOffset val="100"/>
        <c:noMultiLvlLbl val="0"/>
      </c:catAx>
      <c:valAx>
        <c:axId val="61366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383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sz="1400" b="1">
                <a:solidFill>
                  <a:sysClr val="windowText" lastClr="000000"/>
                </a:solidFill>
              </a:rPr>
              <a:t>Earnings By Sector, S&amp;P 500</a:t>
            </a:r>
          </a:p>
        </c:rich>
      </c:tx>
      <c:layout>
        <c:manualLayout>
          <c:xMode val="edge"/>
          <c:yMode val="edge"/>
          <c:x val="8.7105512779102647E-3"/>
          <c:y val="1.024660495991626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3.8719521883772055E-2"/>
          <c:y val="0.13342914990652968"/>
          <c:w val="0.9160616158201178"/>
          <c:h val="0.73851460504042787"/>
        </c:manualLayout>
      </c:layout>
      <c:barChart>
        <c:barDir val="col"/>
        <c:grouping val="stacked"/>
        <c:varyColors val="0"/>
        <c:ser>
          <c:idx val="0"/>
          <c:order val="0"/>
          <c:tx>
            <c:strRef>
              <c:f>'SPDR Chart'!$C$3</c:f>
              <c:strCache>
                <c:ptCount val="1"/>
                <c:pt idx="0">
                  <c:v>XLP</c:v>
                </c:pt>
              </c:strCache>
            </c:strRef>
          </c:tx>
          <c:spPr>
            <a:solidFill>
              <a:schemeClr val="accent2"/>
            </a:solidFill>
            <a:ln>
              <a:solidFill>
                <a:sysClr val="windowText" lastClr="000000"/>
              </a:solidFill>
            </a:ln>
            <a:effectLst/>
          </c:spPr>
          <c:invertIfNegative val="0"/>
          <c:cat>
            <c:numRef>
              <c:f>'SPDR Chart'!$B$4:$B$86</c:f>
              <c:numCache>
                <c:formatCode>m/d/yyyy</c:formatCode>
                <c:ptCount val="83"/>
                <c:pt idx="0">
                  <c:v>45756</c:v>
                </c:pt>
                <c:pt idx="1">
                  <c:v>45757</c:v>
                </c:pt>
                <c:pt idx="2">
                  <c:v>45758</c:v>
                </c:pt>
                <c:pt idx="3">
                  <c:v>45759</c:v>
                </c:pt>
                <c:pt idx="4">
                  <c:v>45760</c:v>
                </c:pt>
                <c:pt idx="5">
                  <c:v>45761</c:v>
                </c:pt>
                <c:pt idx="6">
                  <c:v>45762</c:v>
                </c:pt>
                <c:pt idx="7">
                  <c:v>45763</c:v>
                </c:pt>
                <c:pt idx="8">
                  <c:v>45764</c:v>
                </c:pt>
                <c:pt idx="9">
                  <c:v>45765</c:v>
                </c:pt>
                <c:pt idx="10">
                  <c:v>45766</c:v>
                </c:pt>
                <c:pt idx="11">
                  <c:v>45767</c:v>
                </c:pt>
                <c:pt idx="12">
                  <c:v>45768</c:v>
                </c:pt>
                <c:pt idx="13">
                  <c:v>45769</c:v>
                </c:pt>
                <c:pt idx="14">
                  <c:v>45770</c:v>
                </c:pt>
                <c:pt idx="15">
                  <c:v>45771</c:v>
                </c:pt>
                <c:pt idx="16">
                  <c:v>45772</c:v>
                </c:pt>
                <c:pt idx="17">
                  <c:v>45773</c:v>
                </c:pt>
                <c:pt idx="18">
                  <c:v>45774</c:v>
                </c:pt>
                <c:pt idx="19">
                  <c:v>45775</c:v>
                </c:pt>
                <c:pt idx="20">
                  <c:v>45776</c:v>
                </c:pt>
                <c:pt idx="21">
                  <c:v>45777</c:v>
                </c:pt>
                <c:pt idx="22">
                  <c:v>45778</c:v>
                </c:pt>
                <c:pt idx="23">
                  <c:v>45779</c:v>
                </c:pt>
                <c:pt idx="24">
                  <c:v>45780</c:v>
                </c:pt>
                <c:pt idx="25">
                  <c:v>45781</c:v>
                </c:pt>
                <c:pt idx="26">
                  <c:v>45782</c:v>
                </c:pt>
                <c:pt idx="27">
                  <c:v>45783</c:v>
                </c:pt>
                <c:pt idx="28">
                  <c:v>45784</c:v>
                </c:pt>
                <c:pt idx="29">
                  <c:v>45785</c:v>
                </c:pt>
                <c:pt idx="30">
                  <c:v>45786</c:v>
                </c:pt>
                <c:pt idx="31">
                  <c:v>45787</c:v>
                </c:pt>
                <c:pt idx="32">
                  <c:v>45788</c:v>
                </c:pt>
                <c:pt idx="33">
                  <c:v>45789</c:v>
                </c:pt>
                <c:pt idx="34">
                  <c:v>45790</c:v>
                </c:pt>
                <c:pt idx="35">
                  <c:v>45791</c:v>
                </c:pt>
                <c:pt idx="36">
                  <c:v>45792</c:v>
                </c:pt>
                <c:pt idx="37">
                  <c:v>45793</c:v>
                </c:pt>
                <c:pt idx="38">
                  <c:v>45794</c:v>
                </c:pt>
                <c:pt idx="39">
                  <c:v>45795</c:v>
                </c:pt>
                <c:pt idx="40">
                  <c:v>45796</c:v>
                </c:pt>
                <c:pt idx="41">
                  <c:v>45797</c:v>
                </c:pt>
                <c:pt idx="42">
                  <c:v>45798</c:v>
                </c:pt>
                <c:pt idx="43">
                  <c:v>45799</c:v>
                </c:pt>
                <c:pt idx="44">
                  <c:v>45800</c:v>
                </c:pt>
                <c:pt idx="45">
                  <c:v>45801</c:v>
                </c:pt>
                <c:pt idx="46">
                  <c:v>45802</c:v>
                </c:pt>
                <c:pt idx="47">
                  <c:v>45803</c:v>
                </c:pt>
                <c:pt idx="48">
                  <c:v>45804</c:v>
                </c:pt>
                <c:pt idx="49">
                  <c:v>45805</c:v>
                </c:pt>
                <c:pt idx="50">
                  <c:v>45806</c:v>
                </c:pt>
                <c:pt idx="51">
                  <c:v>45807</c:v>
                </c:pt>
                <c:pt idx="52">
                  <c:v>45808</c:v>
                </c:pt>
                <c:pt idx="53">
                  <c:v>45809</c:v>
                </c:pt>
                <c:pt idx="54">
                  <c:v>45810</c:v>
                </c:pt>
                <c:pt idx="55">
                  <c:v>45811</c:v>
                </c:pt>
                <c:pt idx="56">
                  <c:v>45812</c:v>
                </c:pt>
                <c:pt idx="57">
                  <c:v>45813</c:v>
                </c:pt>
                <c:pt idx="58">
                  <c:v>45814</c:v>
                </c:pt>
                <c:pt idx="59">
                  <c:v>45815</c:v>
                </c:pt>
                <c:pt idx="60">
                  <c:v>45816</c:v>
                </c:pt>
                <c:pt idx="61">
                  <c:v>45817</c:v>
                </c:pt>
                <c:pt idx="62">
                  <c:v>45818</c:v>
                </c:pt>
                <c:pt idx="63">
                  <c:v>45819</c:v>
                </c:pt>
                <c:pt idx="64">
                  <c:v>45820</c:v>
                </c:pt>
                <c:pt idx="65">
                  <c:v>45821</c:v>
                </c:pt>
                <c:pt idx="66">
                  <c:v>45822</c:v>
                </c:pt>
                <c:pt idx="67">
                  <c:v>45823</c:v>
                </c:pt>
                <c:pt idx="68">
                  <c:v>45824</c:v>
                </c:pt>
                <c:pt idx="69">
                  <c:v>45825</c:v>
                </c:pt>
                <c:pt idx="70">
                  <c:v>45826</c:v>
                </c:pt>
                <c:pt idx="71">
                  <c:v>45827</c:v>
                </c:pt>
                <c:pt idx="72">
                  <c:v>45828</c:v>
                </c:pt>
                <c:pt idx="73">
                  <c:v>45829</c:v>
                </c:pt>
                <c:pt idx="74">
                  <c:v>45830</c:v>
                </c:pt>
                <c:pt idx="75">
                  <c:v>45831</c:v>
                </c:pt>
                <c:pt idx="76">
                  <c:v>45832</c:v>
                </c:pt>
                <c:pt idx="77">
                  <c:v>45833</c:v>
                </c:pt>
                <c:pt idx="78">
                  <c:v>45834</c:v>
                </c:pt>
                <c:pt idx="79">
                  <c:v>45835</c:v>
                </c:pt>
                <c:pt idx="80">
                  <c:v>45836</c:v>
                </c:pt>
                <c:pt idx="81">
                  <c:v>45837</c:v>
                </c:pt>
                <c:pt idx="82">
                  <c:v>45838</c:v>
                </c:pt>
              </c:numCache>
            </c:numRef>
          </c:cat>
          <c:val>
            <c:numRef>
              <c:f>'SPDR Chart'!$C$4:$C$86</c:f>
              <c:numCache>
                <c:formatCode>General</c:formatCode>
                <c:ptCount val="83"/>
                <c:pt idx="0">
                  <c:v>1</c:v>
                </c:pt>
                <c:pt idx="1">
                  <c:v>0</c:v>
                </c:pt>
                <c:pt idx="2">
                  <c:v>0</c:v>
                </c:pt>
                <c:pt idx="3">
                  <c:v>0</c:v>
                </c:pt>
                <c:pt idx="4">
                  <c:v>0</c:v>
                </c:pt>
                <c:pt idx="5">
                  <c:v>0</c:v>
                </c:pt>
                <c:pt idx="6">
                  <c:v>0</c:v>
                </c:pt>
                <c:pt idx="7">
                  <c:v>0</c:v>
                </c:pt>
                <c:pt idx="8">
                  <c:v>0</c:v>
                </c:pt>
                <c:pt idx="9">
                  <c:v>0</c:v>
                </c:pt>
                <c:pt idx="10">
                  <c:v>0</c:v>
                </c:pt>
                <c:pt idx="11">
                  <c:v>0</c:v>
                </c:pt>
                <c:pt idx="12">
                  <c:v>0</c:v>
                </c:pt>
                <c:pt idx="13">
                  <c:v>1</c:v>
                </c:pt>
                <c:pt idx="14">
                  <c:v>1</c:v>
                </c:pt>
                <c:pt idx="15">
                  <c:v>3</c:v>
                </c:pt>
                <c:pt idx="16">
                  <c:v>1</c:v>
                </c:pt>
                <c:pt idx="17">
                  <c:v>0</c:v>
                </c:pt>
                <c:pt idx="18">
                  <c:v>0</c:v>
                </c:pt>
                <c:pt idx="19">
                  <c:v>0</c:v>
                </c:pt>
                <c:pt idx="20">
                  <c:v>4</c:v>
                </c:pt>
                <c:pt idx="21">
                  <c:v>0</c:v>
                </c:pt>
                <c:pt idx="22">
                  <c:v>4</c:v>
                </c:pt>
                <c:pt idx="23">
                  <c:v>0</c:v>
                </c:pt>
                <c:pt idx="24">
                  <c:v>0</c:v>
                </c:pt>
                <c:pt idx="25">
                  <c:v>0</c:v>
                </c:pt>
                <c:pt idx="26">
                  <c:v>2</c:v>
                </c:pt>
                <c:pt idx="27">
                  <c:v>1</c:v>
                </c:pt>
                <c:pt idx="28">
                  <c:v>1</c:v>
                </c:pt>
                <c:pt idx="29">
                  <c:v>2</c:v>
                </c:pt>
                <c:pt idx="30">
                  <c:v>0</c:v>
                </c:pt>
                <c:pt idx="31">
                  <c:v>0</c:v>
                </c:pt>
                <c:pt idx="32">
                  <c:v>0</c:v>
                </c:pt>
                <c:pt idx="33">
                  <c:v>0</c:v>
                </c:pt>
                <c:pt idx="34">
                  <c:v>0</c:v>
                </c:pt>
                <c:pt idx="35">
                  <c:v>0</c:v>
                </c:pt>
                <c:pt idx="36">
                  <c:v>1</c:v>
                </c:pt>
                <c:pt idx="37">
                  <c:v>0</c:v>
                </c:pt>
                <c:pt idx="38">
                  <c:v>0</c:v>
                </c:pt>
                <c:pt idx="39">
                  <c:v>0</c:v>
                </c:pt>
                <c:pt idx="40">
                  <c:v>0</c:v>
                </c:pt>
                <c:pt idx="41">
                  <c:v>0</c:v>
                </c:pt>
                <c:pt idx="42">
                  <c:v>1</c:v>
                </c:pt>
                <c:pt idx="43">
                  <c:v>0</c:v>
                </c:pt>
                <c:pt idx="44">
                  <c:v>0</c:v>
                </c:pt>
                <c:pt idx="45">
                  <c:v>0</c:v>
                </c:pt>
                <c:pt idx="46">
                  <c:v>0</c:v>
                </c:pt>
                <c:pt idx="47">
                  <c:v>0</c:v>
                </c:pt>
                <c:pt idx="48">
                  <c:v>0</c:v>
                </c:pt>
                <c:pt idx="49">
                  <c:v>0</c:v>
                </c:pt>
                <c:pt idx="50">
                  <c:v>2</c:v>
                </c:pt>
                <c:pt idx="51">
                  <c:v>0</c:v>
                </c:pt>
                <c:pt idx="52">
                  <c:v>0</c:v>
                </c:pt>
                <c:pt idx="53">
                  <c:v>0</c:v>
                </c:pt>
                <c:pt idx="54">
                  <c:v>1</c:v>
                </c:pt>
                <c:pt idx="55">
                  <c:v>1</c:v>
                </c:pt>
                <c:pt idx="56">
                  <c:v>1</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1</c:v>
                </c:pt>
                <c:pt idx="78">
                  <c:v>1</c:v>
                </c:pt>
                <c:pt idx="79">
                  <c:v>0</c:v>
                </c:pt>
                <c:pt idx="80">
                  <c:v>0</c:v>
                </c:pt>
                <c:pt idx="81">
                  <c:v>0</c:v>
                </c:pt>
                <c:pt idx="82">
                  <c:v>0</c:v>
                </c:pt>
              </c:numCache>
            </c:numRef>
          </c:val>
          <c:extLst>
            <c:ext xmlns:c16="http://schemas.microsoft.com/office/drawing/2014/chart" uri="{C3380CC4-5D6E-409C-BE32-E72D297353CC}">
              <c16:uniqueId val="{00000000-19AB-4261-AA68-8B38F7436A12}"/>
            </c:ext>
          </c:extLst>
        </c:ser>
        <c:ser>
          <c:idx val="1"/>
          <c:order val="1"/>
          <c:tx>
            <c:strRef>
              <c:f>'SPDR Chart'!$D$3</c:f>
              <c:strCache>
                <c:ptCount val="1"/>
                <c:pt idx="0">
                  <c:v>XLI</c:v>
                </c:pt>
              </c:strCache>
            </c:strRef>
          </c:tx>
          <c:spPr>
            <a:solidFill>
              <a:srgbClr val="FF3300"/>
            </a:solidFill>
            <a:ln>
              <a:solidFill>
                <a:sysClr val="windowText" lastClr="000000"/>
              </a:solidFill>
            </a:ln>
            <a:effectLst/>
          </c:spPr>
          <c:invertIfNegative val="0"/>
          <c:cat>
            <c:numRef>
              <c:f>'SPDR Chart'!$B$4:$B$86</c:f>
              <c:numCache>
                <c:formatCode>m/d/yyyy</c:formatCode>
                <c:ptCount val="83"/>
                <c:pt idx="0">
                  <c:v>45756</c:v>
                </c:pt>
                <c:pt idx="1">
                  <c:v>45757</c:v>
                </c:pt>
                <c:pt idx="2">
                  <c:v>45758</c:v>
                </c:pt>
                <c:pt idx="3">
                  <c:v>45759</c:v>
                </c:pt>
                <c:pt idx="4">
                  <c:v>45760</c:v>
                </c:pt>
                <c:pt idx="5">
                  <c:v>45761</c:v>
                </c:pt>
                <c:pt idx="6">
                  <c:v>45762</c:v>
                </c:pt>
                <c:pt idx="7">
                  <c:v>45763</c:v>
                </c:pt>
                <c:pt idx="8">
                  <c:v>45764</c:v>
                </c:pt>
                <c:pt idx="9">
                  <c:v>45765</c:v>
                </c:pt>
                <c:pt idx="10">
                  <c:v>45766</c:v>
                </c:pt>
                <c:pt idx="11">
                  <c:v>45767</c:v>
                </c:pt>
                <c:pt idx="12">
                  <c:v>45768</c:v>
                </c:pt>
                <c:pt idx="13">
                  <c:v>45769</c:v>
                </c:pt>
                <c:pt idx="14">
                  <c:v>45770</c:v>
                </c:pt>
                <c:pt idx="15">
                  <c:v>45771</c:v>
                </c:pt>
                <c:pt idx="16">
                  <c:v>45772</c:v>
                </c:pt>
                <c:pt idx="17">
                  <c:v>45773</c:v>
                </c:pt>
                <c:pt idx="18">
                  <c:v>45774</c:v>
                </c:pt>
                <c:pt idx="19">
                  <c:v>45775</c:v>
                </c:pt>
                <c:pt idx="20">
                  <c:v>45776</c:v>
                </c:pt>
                <c:pt idx="21">
                  <c:v>45777</c:v>
                </c:pt>
                <c:pt idx="22">
                  <c:v>45778</c:v>
                </c:pt>
                <c:pt idx="23">
                  <c:v>45779</c:v>
                </c:pt>
                <c:pt idx="24">
                  <c:v>45780</c:v>
                </c:pt>
                <c:pt idx="25">
                  <c:v>45781</c:v>
                </c:pt>
                <c:pt idx="26">
                  <c:v>45782</c:v>
                </c:pt>
                <c:pt idx="27">
                  <c:v>45783</c:v>
                </c:pt>
                <c:pt idx="28">
                  <c:v>45784</c:v>
                </c:pt>
                <c:pt idx="29">
                  <c:v>45785</c:v>
                </c:pt>
                <c:pt idx="30">
                  <c:v>45786</c:v>
                </c:pt>
                <c:pt idx="31">
                  <c:v>45787</c:v>
                </c:pt>
                <c:pt idx="32">
                  <c:v>45788</c:v>
                </c:pt>
                <c:pt idx="33">
                  <c:v>45789</c:v>
                </c:pt>
                <c:pt idx="34">
                  <c:v>45790</c:v>
                </c:pt>
                <c:pt idx="35">
                  <c:v>45791</c:v>
                </c:pt>
                <c:pt idx="36">
                  <c:v>45792</c:v>
                </c:pt>
                <c:pt idx="37">
                  <c:v>45793</c:v>
                </c:pt>
                <c:pt idx="38">
                  <c:v>45794</c:v>
                </c:pt>
                <c:pt idx="39">
                  <c:v>45795</c:v>
                </c:pt>
                <c:pt idx="40">
                  <c:v>45796</c:v>
                </c:pt>
                <c:pt idx="41">
                  <c:v>45797</c:v>
                </c:pt>
                <c:pt idx="42">
                  <c:v>45798</c:v>
                </c:pt>
                <c:pt idx="43">
                  <c:v>45799</c:v>
                </c:pt>
                <c:pt idx="44">
                  <c:v>45800</c:v>
                </c:pt>
                <c:pt idx="45">
                  <c:v>45801</c:v>
                </c:pt>
                <c:pt idx="46">
                  <c:v>45802</c:v>
                </c:pt>
                <c:pt idx="47">
                  <c:v>45803</c:v>
                </c:pt>
                <c:pt idx="48">
                  <c:v>45804</c:v>
                </c:pt>
                <c:pt idx="49">
                  <c:v>45805</c:v>
                </c:pt>
                <c:pt idx="50">
                  <c:v>45806</c:v>
                </c:pt>
                <c:pt idx="51">
                  <c:v>45807</c:v>
                </c:pt>
                <c:pt idx="52">
                  <c:v>45808</c:v>
                </c:pt>
                <c:pt idx="53">
                  <c:v>45809</c:v>
                </c:pt>
                <c:pt idx="54">
                  <c:v>45810</c:v>
                </c:pt>
                <c:pt idx="55">
                  <c:v>45811</c:v>
                </c:pt>
                <c:pt idx="56">
                  <c:v>45812</c:v>
                </c:pt>
                <c:pt idx="57">
                  <c:v>45813</c:v>
                </c:pt>
                <c:pt idx="58">
                  <c:v>45814</c:v>
                </c:pt>
                <c:pt idx="59">
                  <c:v>45815</c:v>
                </c:pt>
                <c:pt idx="60">
                  <c:v>45816</c:v>
                </c:pt>
                <c:pt idx="61">
                  <c:v>45817</c:v>
                </c:pt>
                <c:pt idx="62">
                  <c:v>45818</c:v>
                </c:pt>
                <c:pt idx="63">
                  <c:v>45819</c:v>
                </c:pt>
                <c:pt idx="64">
                  <c:v>45820</c:v>
                </c:pt>
                <c:pt idx="65">
                  <c:v>45821</c:v>
                </c:pt>
                <c:pt idx="66">
                  <c:v>45822</c:v>
                </c:pt>
                <c:pt idx="67">
                  <c:v>45823</c:v>
                </c:pt>
                <c:pt idx="68">
                  <c:v>45824</c:v>
                </c:pt>
                <c:pt idx="69">
                  <c:v>45825</c:v>
                </c:pt>
                <c:pt idx="70">
                  <c:v>45826</c:v>
                </c:pt>
                <c:pt idx="71">
                  <c:v>45827</c:v>
                </c:pt>
                <c:pt idx="72">
                  <c:v>45828</c:v>
                </c:pt>
                <c:pt idx="73">
                  <c:v>45829</c:v>
                </c:pt>
                <c:pt idx="74">
                  <c:v>45830</c:v>
                </c:pt>
                <c:pt idx="75">
                  <c:v>45831</c:v>
                </c:pt>
                <c:pt idx="76">
                  <c:v>45832</c:v>
                </c:pt>
                <c:pt idx="77">
                  <c:v>45833</c:v>
                </c:pt>
                <c:pt idx="78">
                  <c:v>45834</c:v>
                </c:pt>
                <c:pt idx="79">
                  <c:v>45835</c:v>
                </c:pt>
                <c:pt idx="80">
                  <c:v>45836</c:v>
                </c:pt>
                <c:pt idx="81">
                  <c:v>45837</c:v>
                </c:pt>
                <c:pt idx="82">
                  <c:v>45838</c:v>
                </c:pt>
              </c:numCache>
            </c:numRef>
          </c:cat>
          <c:val>
            <c:numRef>
              <c:f>'SPDR Chart'!$D$4:$D$86</c:f>
              <c:numCache>
                <c:formatCode>General</c:formatCode>
                <c:ptCount val="83"/>
                <c:pt idx="0">
                  <c:v>1</c:v>
                </c:pt>
                <c:pt idx="1">
                  <c:v>0</c:v>
                </c:pt>
                <c:pt idx="2">
                  <c:v>1</c:v>
                </c:pt>
                <c:pt idx="3">
                  <c:v>0</c:v>
                </c:pt>
                <c:pt idx="4">
                  <c:v>0</c:v>
                </c:pt>
                <c:pt idx="5">
                  <c:v>0</c:v>
                </c:pt>
                <c:pt idx="6">
                  <c:v>2</c:v>
                </c:pt>
                <c:pt idx="7">
                  <c:v>1</c:v>
                </c:pt>
                <c:pt idx="8">
                  <c:v>1</c:v>
                </c:pt>
                <c:pt idx="9">
                  <c:v>0</c:v>
                </c:pt>
                <c:pt idx="10">
                  <c:v>0</c:v>
                </c:pt>
                <c:pt idx="11">
                  <c:v>0</c:v>
                </c:pt>
                <c:pt idx="12">
                  <c:v>0</c:v>
                </c:pt>
                <c:pt idx="13">
                  <c:v>6</c:v>
                </c:pt>
                <c:pt idx="14">
                  <c:v>7</c:v>
                </c:pt>
                <c:pt idx="15">
                  <c:v>5</c:v>
                </c:pt>
                <c:pt idx="16">
                  <c:v>0</c:v>
                </c:pt>
                <c:pt idx="17">
                  <c:v>0</c:v>
                </c:pt>
                <c:pt idx="18">
                  <c:v>0</c:v>
                </c:pt>
                <c:pt idx="19">
                  <c:v>1</c:v>
                </c:pt>
                <c:pt idx="20">
                  <c:v>5</c:v>
                </c:pt>
                <c:pt idx="21">
                  <c:v>7</c:v>
                </c:pt>
                <c:pt idx="22">
                  <c:v>11</c:v>
                </c:pt>
                <c:pt idx="23">
                  <c:v>1</c:v>
                </c:pt>
                <c:pt idx="24">
                  <c:v>0</c:v>
                </c:pt>
                <c:pt idx="25">
                  <c:v>0</c:v>
                </c:pt>
                <c:pt idx="26">
                  <c:v>1</c:v>
                </c:pt>
                <c:pt idx="27">
                  <c:v>2</c:v>
                </c:pt>
                <c:pt idx="28">
                  <c:v>7</c:v>
                </c:pt>
                <c:pt idx="29">
                  <c:v>0</c:v>
                </c:pt>
                <c:pt idx="30">
                  <c:v>0</c:v>
                </c:pt>
                <c:pt idx="31">
                  <c:v>0</c:v>
                </c:pt>
                <c:pt idx="32">
                  <c:v>0</c:v>
                </c:pt>
                <c:pt idx="33">
                  <c:v>0</c:v>
                </c:pt>
                <c:pt idx="34">
                  <c:v>0</c:v>
                </c:pt>
                <c:pt idx="35">
                  <c:v>0</c:v>
                </c:pt>
                <c:pt idx="36">
                  <c:v>1</c:v>
                </c:pt>
                <c:pt idx="37">
                  <c:v>0</c:v>
                </c:pt>
                <c:pt idx="38">
                  <c:v>0</c:v>
                </c:pt>
                <c:pt idx="39">
                  <c:v>0</c:v>
                </c:pt>
                <c:pt idx="40">
                  <c:v>0</c:v>
                </c:pt>
                <c:pt idx="41">
                  <c:v>0</c:v>
                </c:pt>
                <c:pt idx="42">
                  <c:v>0</c:v>
                </c:pt>
                <c:pt idx="43">
                  <c:v>1</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numCache>
            </c:numRef>
          </c:val>
          <c:extLst>
            <c:ext xmlns:c16="http://schemas.microsoft.com/office/drawing/2014/chart" uri="{C3380CC4-5D6E-409C-BE32-E72D297353CC}">
              <c16:uniqueId val="{00000001-19AB-4261-AA68-8B38F7436A12}"/>
            </c:ext>
          </c:extLst>
        </c:ser>
        <c:ser>
          <c:idx val="2"/>
          <c:order val="2"/>
          <c:tx>
            <c:strRef>
              <c:f>'SPDR Chart'!$F$3</c:f>
              <c:strCache>
                <c:ptCount val="1"/>
                <c:pt idx="0">
                  <c:v>XLF</c:v>
                </c:pt>
              </c:strCache>
            </c:strRef>
          </c:tx>
          <c:spPr>
            <a:solidFill>
              <a:schemeClr val="accent6"/>
            </a:solidFill>
            <a:ln>
              <a:solidFill>
                <a:sysClr val="windowText" lastClr="000000"/>
              </a:solidFill>
            </a:ln>
            <a:effectLst/>
          </c:spPr>
          <c:invertIfNegative val="0"/>
          <c:cat>
            <c:numRef>
              <c:f>'SPDR Chart'!$B$4:$B$86</c:f>
              <c:numCache>
                <c:formatCode>m/d/yyyy</c:formatCode>
                <c:ptCount val="83"/>
                <c:pt idx="0">
                  <c:v>45756</c:v>
                </c:pt>
                <c:pt idx="1">
                  <c:v>45757</c:v>
                </c:pt>
                <c:pt idx="2">
                  <c:v>45758</c:v>
                </c:pt>
                <c:pt idx="3">
                  <c:v>45759</c:v>
                </c:pt>
                <c:pt idx="4">
                  <c:v>45760</c:v>
                </c:pt>
                <c:pt idx="5">
                  <c:v>45761</c:v>
                </c:pt>
                <c:pt idx="6">
                  <c:v>45762</c:v>
                </c:pt>
                <c:pt idx="7">
                  <c:v>45763</c:v>
                </c:pt>
                <c:pt idx="8">
                  <c:v>45764</c:v>
                </c:pt>
                <c:pt idx="9">
                  <c:v>45765</c:v>
                </c:pt>
                <c:pt idx="10">
                  <c:v>45766</c:v>
                </c:pt>
                <c:pt idx="11">
                  <c:v>45767</c:v>
                </c:pt>
                <c:pt idx="12">
                  <c:v>45768</c:v>
                </c:pt>
                <c:pt idx="13">
                  <c:v>45769</c:v>
                </c:pt>
                <c:pt idx="14">
                  <c:v>45770</c:v>
                </c:pt>
                <c:pt idx="15">
                  <c:v>45771</c:v>
                </c:pt>
                <c:pt idx="16">
                  <c:v>45772</c:v>
                </c:pt>
                <c:pt idx="17">
                  <c:v>45773</c:v>
                </c:pt>
                <c:pt idx="18">
                  <c:v>45774</c:v>
                </c:pt>
                <c:pt idx="19">
                  <c:v>45775</c:v>
                </c:pt>
                <c:pt idx="20">
                  <c:v>45776</c:v>
                </c:pt>
                <c:pt idx="21">
                  <c:v>45777</c:v>
                </c:pt>
                <c:pt idx="22">
                  <c:v>45778</c:v>
                </c:pt>
                <c:pt idx="23">
                  <c:v>45779</c:v>
                </c:pt>
                <c:pt idx="24">
                  <c:v>45780</c:v>
                </c:pt>
                <c:pt idx="25">
                  <c:v>45781</c:v>
                </c:pt>
                <c:pt idx="26">
                  <c:v>45782</c:v>
                </c:pt>
                <c:pt idx="27">
                  <c:v>45783</c:v>
                </c:pt>
                <c:pt idx="28">
                  <c:v>45784</c:v>
                </c:pt>
                <c:pt idx="29">
                  <c:v>45785</c:v>
                </c:pt>
                <c:pt idx="30">
                  <c:v>45786</c:v>
                </c:pt>
                <c:pt idx="31">
                  <c:v>45787</c:v>
                </c:pt>
                <c:pt idx="32">
                  <c:v>45788</c:v>
                </c:pt>
                <c:pt idx="33">
                  <c:v>45789</c:v>
                </c:pt>
                <c:pt idx="34">
                  <c:v>45790</c:v>
                </c:pt>
                <c:pt idx="35">
                  <c:v>45791</c:v>
                </c:pt>
                <c:pt idx="36">
                  <c:v>45792</c:v>
                </c:pt>
                <c:pt idx="37">
                  <c:v>45793</c:v>
                </c:pt>
                <c:pt idx="38">
                  <c:v>45794</c:v>
                </c:pt>
                <c:pt idx="39">
                  <c:v>45795</c:v>
                </c:pt>
                <c:pt idx="40">
                  <c:v>45796</c:v>
                </c:pt>
                <c:pt idx="41">
                  <c:v>45797</c:v>
                </c:pt>
                <c:pt idx="42">
                  <c:v>45798</c:v>
                </c:pt>
                <c:pt idx="43">
                  <c:v>45799</c:v>
                </c:pt>
                <c:pt idx="44">
                  <c:v>45800</c:v>
                </c:pt>
                <c:pt idx="45">
                  <c:v>45801</c:v>
                </c:pt>
                <c:pt idx="46">
                  <c:v>45802</c:v>
                </c:pt>
                <c:pt idx="47">
                  <c:v>45803</c:v>
                </c:pt>
                <c:pt idx="48">
                  <c:v>45804</c:v>
                </c:pt>
                <c:pt idx="49">
                  <c:v>45805</c:v>
                </c:pt>
                <c:pt idx="50">
                  <c:v>45806</c:v>
                </c:pt>
                <c:pt idx="51">
                  <c:v>45807</c:v>
                </c:pt>
                <c:pt idx="52">
                  <c:v>45808</c:v>
                </c:pt>
                <c:pt idx="53">
                  <c:v>45809</c:v>
                </c:pt>
                <c:pt idx="54">
                  <c:v>45810</c:v>
                </c:pt>
                <c:pt idx="55">
                  <c:v>45811</c:v>
                </c:pt>
                <c:pt idx="56">
                  <c:v>45812</c:v>
                </c:pt>
                <c:pt idx="57">
                  <c:v>45813</c:v>
                </c:pt>
                <c:pt idx="58">
                  <c:v>45814</c:v>
                </c:pt>
                <c:pt idx="59">
                  <c:v>45815</c:v>
                </c:pt>
                <c:pt idx="60">
                  <c:v>45816</c:v>
                </c:pt>
                <c:pt idx="61">
                  <c:v>45817</c:v>
                </c:pt>
                <c:pt idx="62">
                  <c:v>45818</c:v>
                </c:pt>
                <c:pt idx="63">
                  <c:v>45819</c:v>
                </c:pt>
                <c:pt idx="64">
                  <c:v>45820</c:v>
                </c:pt>
                <c:pt idx="65">
                  <c:v>45821</c:v>
                </c:pt>
                <c:pt idx="66">
                  <c:v>45822</c:v>
                </c:pt>
                <c:pt idx="67">
                  <c:v>45823</c:v>
                </c:pt>
                <c:pt idx="68">
                  <c:v>45824</c:v>
                </c:pt>
                <c:pt idx="69">
                  <c:v>45825</c:v>
                </c:pt>
                <c:pt idx="70">
                  <c:v>45826</c:v>
                </c:pt>
                <c:pt idx="71">
                  <c:v>45827</c:v>
                </c:pt>
                <c:pt idx="72">
                  <c:v>45828</c:v>
                </c:pt>
                <c:pt idx="73">
                  <c:v>45829</c:v>
                </c:pt>
                <c:pt idx="74">
                  <c:v>45830</c:v>
                </c:pt>
                <c:pt idx="75">
                  <c:v>45831</c:v>
                </c:pt>
                <c:pt idx="76">
                  <c:v>45832</c:v>
                </c:pt>
                <c:pt idx="77">
                  <c:v>45833</c:v>
                </c:pt>
                <c:pt idx="78">
                  <c:v>45834</c:v>
                </c:pt>
                <c:pt idx="79">
                  <c:v>45835</c:v>
                </c:pt>
                <c:pt idx="80">
                  <c:v>45836</c:v>
                </c:pt>
                <c:pt idx="81">
                  <c:v>45837</c:v>
                </c:pt>
                <c:pt idx="82">
                  <c:v>45838</c:v>
                </c:pt>
              </c:numCache>
            </c:numRef>
          </c:cat>
          <c:val>
            <c:numRef>
              <c:f>'SPDR Chart'!$F$4:$F$86</c:f>
              <c:numCache>
                <c:formatCode>General</c:formatCode>
                <c:ptCount val="83"/>
                <c:pt idx="0">
                  <c:v>0</c:v>
                </c:pt>
                <c:pt idx="1">
                  <c:v>0</c:v>
                </c:pt>
                <c:pt idx="2">
                  <c:v>5</c:v>
                </c:pt>
                <c:pt idx="3">
                  <c:v>0</c:v>
                </c:pt>
                <c:pt idx="4">
                  <c:v>0</c:v>
                </c:pt>
                <c:pt idx="5">
                  <c:v>2</c:v>
                </c:pt>
                <c:pt idx="6">
                  <c:v>3</c:v>
                </c:pt>
                <c:pt idx="7">
                  <c:v>2</c:v>
                </c:pt>
                <c:pt idx="8">
                  <c:v>9</c:v>
                </c:pt>
                <c:pt idx="9">
                  <c:v>0</c:v>
                </c:pt>
                <c:pt idx="10">
                  <c:v>0</c:v>
                </c:pt>
                <c:pt idx="11">
                  <c:v>0</c:v>
                </c:pt>
                <c:pt idx="12">
                  <c:v>0</c:v>
                </c:pt>
                <c:pt idx="13">
                  <c:v>2</c:v>
                </c:pt>
                <c:pt idx="14">
                  <c:v>2</c:v>
                </c:pt>
                <c:pt idx="15">
                  <c:v>2</c:v>
                </c:pt>
                <c:pt idx="16">
                  <c:v>0</c:v>
                </c:pt>
                <c:pt idx="17">
                  <c:v>0</c:v>
                </c:pt>
                <c:pt idx="18">
                  <c:v>0</c:v>
                </c:pt>
                <c:pt idx="19">
                  <c:v>0</c:v>
                </c:pt>
                <c:pt idx="20">
                  <c:v>3</c:v>
                </c:pt>
                <c:pt idx="21">
                  <c:v>0</c:v>
                </c:pt>
                <c:pt idx="22">
                  <c:v>4</c:v>
                </c:pt>
                <c:pt idx="23">
                  <c:v>2</c:v>
                </c:pt>
                <c:pt idx="24">
                  <c:v>0</c:v>
                </c:pt>
                <c:pt idx="25">
                  <c:v>0</c:v>
                </c:pt>
                <c:pt idx="26">
                  <c:v>0</c:v>
                </c:pt>
                <c:pt idx="27">
                  <c:v>3</c:v>
                </c:pt>
                <c:pt idx="28">
                  <c:v>1</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numCache>
            </c:numRef>
          </c:val>
          <c:extLst>
            <c:ext xmlns:c16="http://schemas.microsoft.com/office/drawing/2014/chart" uri="{C3380CC4-5D6E-409C-BE32-E72D297353CC}">
              <c16:uniqueId val="{00000002-19AB-4261-AA68-8B38F7436A12}"/>
            </c:ext>
          </c:extLst>
        </c:ser>
        <c:ser>
          <c:idx val="3"/>
          <c:order val="3"/>
          <c:tx>
            <c:strRef>
              <c:f>'SPDR Chart'!$G$3</c:f>
              <c:strCache>
                <c:ptCount val="1"/>
                <c:pt idx="0">
                  <c:v>XLV</c:v>
                </c:pt>
              </c:strCache>
            </c:strRef>
          </c:tx>
          <c:spPr>
            <a:solidFill>
              <a:schemeClr val="accent5">
                <a:lumMod val="75000"/>
              </a:schemeClr>
            </a:solidFill>
            <a:ln>
              <a:solidFill>
                <a:sysClr val="windowText" lastClr="000000"/>
              </a:solidFill>
            </a:ln>
            <a:effectLst/>
          </c:spPr>
          <c:invertIfNegative val="0"/>
          <c:cat>
            <c:numRef>
              <c:f>'SPDR Chart'!$B$4:$B$86</c:f>
              <c:numCache>
                <c:formatCode>m/d/yyyy</c:formatCode>
                <c:ptCount val="83"/>
                <c:pt idx="0">
                  <c:v>45756</c:v>
                </c:pt>
                <c:pt idx="1">
                  <c:v>45757</c:v>
                </c:pt>
                <c:pt idx="2">
                  <c:v>45758</c:v>
                </c:pt>
                <c:pt idx="3">
                  <c:v>45759</c:v>
                </c:pt>
                <c:pt idx="4">
                  <c:v>45760</c:v>
                </c:pt>
                <c:pt idx="5">
                  <c:v>45761</c:v>
                </c:pt>
                <c:pt idx="6">
                  <c:v>45762</c:v>
                </c:pt>
                <c:pt idx="7">
                  <c:v>45763</c:v>
                </c:pt>
                <c:pt idx="8">
                  <c:v>45764</c:v>
                </c:pt>
                <c:pt idx="9">
                  <c:v>45765</c:v>
                </c:pt>
                <c:pt idx="10">
                  <c:v>45766</c:v>
                </c:pt>
                <c:pt idx="11">
                  <c:v>45767</c:v>
                </c:pt>
                <c:pt idx="12">
                  <c:v>45768</c:v>
                </c:pt>
                <c:pt idx="13">
                  <c:v>45769</c:v>
                </c:pt>
                <c:pt idx="14">
                  <c:v>45770</c:v>
                </c:pt>
                <c:pt idx="15">
                  <c:v>45771</c:v>
                </c:pt>
                <c:pt idx="16">
                  <c:v>45772</c:v>
                </c:pt>
                <c:pt idx="17">
                  <c:v>45773</c:v>
                </c:pt>
                <c:pt idx="18">
                  <c:v>45774</c:v>
                </c:pt>
                <c:pt idx="19">
                  <c:v>45775</c:v>
                </c:pt>
                <c:pt idx="20">
                  <c:v>45776</c:v>
                </c:pt>
                <c:pt idx="21">
                  <c:v>45777</c:v>
                </c:pt>
                <c:pt idx="22">
                  <c:v>45778</c:v>
                </c:pt>
                <c:pt idx="23">
                  <c:v>45779</c:v>
                </c:pt>
                <c:pt idx="24">
                  <c:v>45780</c:v>
                </c:pt>
                <c:pt idx="25">
                  <c:v>45781</c:v>
                </c:pt>
                <c:pt idx="26">
                  <c:v>45782</c:v>
                </c:pt>
                <c:pt idx="27">
                  <c:v>45783</c:v>
                </c:pt>
                <c:pt idx="28">
                  <c:v>45784</c:v>
                </c:pt>
                <c:pt idx="29">
                  <c:v>45785</c:v>
                </c:pt>
                <c:pt idx="30">
                  <c:v>45786</c:v>
                </c:pt>
                <c:pt idx="31">
                  <c:v>45787</c:v>
                </c:pt>
                <c:pt idx="32">
                  <c:v>45788</c:v>
                </c:pt>
                <c:pt idx="33">
                  <c:v>45789</c:v>
                </c:pt>
                <c:pt idx="34">
                  <c:v>45790</c:v>
                </c:pt>
                <c:pt idx="35">
                  <c:v>45791</c:v>
                </c:pt>
                <c:pt idx="36">
                  <c:v>45792</c:v>
                </c:pt>
                <c:pt idx="37">
                  <c:v>45793</c:v>
                </c:pt>
                <c:pt idx="38">
                  <c:v>45794</c:v>
                </c:pt>
                <c:pt idx="39">
                  <c:v>45795</c:v>
                </c:pt>
                <c:pt idx="40">
                  <c:v>45796</c:v>
                </c:pt>
                <c:pt idx="41">
                  <c:v>45797</c:v>
                </c:pt>
                <c:pt idx="42">
                  <c:v>45798</c:v>
                </c:pt>
                <c:pt idx="43">
                  <c:v>45799</c:v>
                </c:pt>
                <c:pt idx="44">
                  <c:v>45800</c:v>
                </c:pt>
                <c:pt idx="45">
                  <c:v>45801</c:v>
                </c:pt>
                <c:pt idx="46">
                  <c:v>45802</c:v>
                </c:pt>
                <c:pt idx="47">
                  <c:v>45803</c:v>
                </c:pt>
                <c:pt idx="48">
                  <c:v>45804</c:v>
                </c:pt>
                <c:pt idx="49">
                  <c:v>45805</c:v>
                </c:pt>
                <c:pt idx="50">
                  <c:v>45806</c:v>
                </c:pt>
                <c:pt idx="51">
                  <c:v>45807</c:v>
                </c:pt>
                <c:pt idx="52">
                  <c:v>45808</c:v>
                </c:pt>
                <c:pt idx="53">
                  <c:v>45809</c:v>
                </c:pt>
                <c:pt idx="54">
                  <c:v>45810</c:v>
                </c:pt>
                <c:pt idx="55">
                  <c:v>45811</c:v>
                </c:pt>
                <c:pt idx="56">
                  <c:v>45812</c:v>
                </c:pt>
                <c:pt idx="57">
                  <c:v>45813</c:v>
                </c:pt>
                <c:pt idx="58">
                  <c:v>45814</c:v>
                </c:pt>
                <c:pt idx="59">
                  <c:v>45815</c:v>
                </c:pt>
                <c:pt idx="60">
                  <c:v>45816</c:v>
                </c:pt>
                <c:pt idx="61">
                  <c:v>45817</c:v>
                </c:pt>
                <c:pt idx="62">
                  <c:v>45818</c:v>
                </c:pt>
                <c:pt idx="63">
                  <c:v>45819</c:v>
                </c:pt>
                <c:pt idx="64">
                  <c:v>45820</c:v>
                </c:pt>
                <c:pt idx="65">
                  <c:v>45821</c:v>
                </c:pt>
                <c:pt idx="66">
                  <c:v>45822</c:v>
                </c:pt>
                <c:pt idx="67">
                  <c:v>45823</c:v>
                </c:pt>
                <c:pt idx="68">
                  <c:v>45824</c:v>
                </c:pt>
                <c:pt idx="69">
                  <c:v>45825</c:v>
                </c:pt>
                <c:pt idx="70">
                  <c:v>45826</c:v>
                </c:pt>
                <c:pt idx="71">
                  <c:v>45827</c:v>
                </c:pt>
                <c:pt idx="72">
                  <c:v>45828</c:v>
                </c:pt>
                <c:pt idx="73">
                  <c:v>45829</c:v>
                </c:pt>
                <c:pt idx="74">
                  <c:v>45830</c:v>
                </c:pt>
                <c:pt idx="75">
                  <c:v>45831</c:v>
                </c:pt>
                <c:pt idx="76">
                  <c:v>45832</c:v>
                </c:pt>
                <c:pt idx="77">
                  <c:v>45833</c:v>
                </c:pt>
                <c:pt idx="78">
                  <c:v>45834</c:v>
                </c:pt>
                <c:pt idx="79">
                  <c:v>45835</c:v>
                </c:pt>
                <c:pt idx="80">
                  <c:v>45836</c:v>
                </c:pt>
                <c:pt idx="81">
                  <c:v>45837</c:v>
                </c:pt>
                <c:pt idx="82">
                  <c:v>45838</c:v>
                </c:pt>
              </c:numCache>
            </c:numRef>
          </c:cat>
          <c:val>
            <c:numRef>
              <c:f>'SPDR Chart'!$G$4:$G$86</c:f>
              <c:numCache>
                <c:formatCode>General</c:formatCode>
                <c:ptCount val="83"/>
                <c:pt idx="0">
                  <c:v>0</c:v>
                </c:pt>
                <c:pt idx="1">
                  <c:v>0</c:v>
                </c:pt>
                <c:pt idx="2">
                  <c:v>0</c:v>
                </c:pt>
                <c:pt idx="3">
                  <c:v>0</c:v>
                </c:pt>
                <c:pt idx="4">
                  <c:v>0</c:v>
                </c:pt>
                <c:pt idx="5">
                  <c:v>0</c:v>
                </c:pt>
                <c:pt idx="6">
                  <c:v>1</c:v>
                </c:pt>
                <c:pt idx="7">
                  <c:v>1</c:v>
                </c:pt>
                <c:pt idx="8">
                  <c:v>0</c:v>
                </c:pt>
                <c:pt idx="9">
                  <c:v>0</c:v>
                </c:pt>
                <c:pt idx="10">
                  <c:v>0</c:v>
                </c:pt>
                <c:pt idx="11">
                  <c:v>0</c:v>
                </c:pt>
                <c:pt idx="12">
                  <c:v>0</c:v>
                </c:pt>
                <c:pt idx="13">
                  <c:v>2</c:v>
                </c:pt>
                <c:pt idx="14">
                  <c:v>3</c:v>
                </c:pt>
                <c:pt idx="15">
                  <c:v>3</c:v>
                </c:pt>
                <c:pt idx="16">
                  <c:v>2</c:v>
                </c:pt>
                <c:pt idx="17">
                  <c:v>0</c:v>
                </c:pt>
                <c:pt idx="18">
                  <c:v>0</c:v>
                </c:pt>
                <c:pt idx="19">
                  <c:v>1</c:v>
                </c:pt>
                <c:pt idx="20">
                  <c:v>3</c:v>
                </c:pt>
                <c:pt idx="21">
                  <c:v>2</c:v>
                </c:pt>
                <c:pt idx="22">
                  <c:v>10</c:v>
                </c:pt>
                <c:pt idx="23">
                  <c:v>0</c:v>
                </c:pt>
                <c:pt idx="24">
                  <c:v>0</c:v>
                </c:pt>
                <c:pt idx="25">
                  <c:v>0</c:v>
                </c:pt>
                <c:pt idx="26">
                  <c:v>2</c:v>
                </c:pt>
                <c:pt idx="27">
                  <c:v>3</c:v>
                </c:pt>
                <c:pt idx="28">
                  <c:v>2</c:v>
                </c:pt>
                <c:pt idx="29">
                  <c:v>4</c:v>
                </c:pt>
                <c:pt idx="30">
                  <c:v>0</c:v>
                </c:pt>
                <c:pt idx="31">
                  <c:v>0</c:v>
                </c:pt>
                <c:pt idx="32">
                  <c:v>0</c:v>
                </c:pt>
                <c:pt idx="33">
                  <c:v>1</c:v>
                </c:pt>
                <c:pt idx="34">
                  <c:v>0</c:v>
                </c:pt>
                <c:pt idx="35">
                  <c:v>1</c:v>
                </c:pt>
                <c:pt idx="36">
                  <c:v>0</c:v>
                </c:pt>
                <c:pt idx="37">
                  <c:v>0</c:v>
                </c:pt>
                <c:pt idx="38">
                  <c:v>0</c:v>
                </c:pt>
                <c:pt idx="39">
                  <c:v>0</c:v>
                </c:pt>
                <c:pt idx="40">
                  <c:v>0</c:v>
                </c:pt>
                <c:pt idx="41">
                  <c:v>0</c:v>
                </c:pt>
                <c:pt idx="42">
                  <c:v>1</c:v>
                </c:pt>
                <c:pt idx="43">
                  <c:v>0</c:v>
                </c:pt>
                <c:pt idx="44">
                  <c:v>0</c:v>
                </c:pt>
                <c:pt idx="45">
                  <c:v>0</c:v>
                </c:pt>
                <c:pt idx="46">
                  <c:v>0</c:v>
                </c:pt>
                <c:pt idx="47">
                  <c:v>0</c:v>
                </c:pt>
                <c:pt idx="48">
                  <c:v>0</c:v>
                </c:pt>
                <c:pt idx="49">
                  <c:v>1</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numCache>
            </c:numRef>
          </c:val>
          <c:extLst>
            <c:ext xmlns:c16="http://schemas.microsoft.com/office/drawing/2014/chart" uri="{C3380CC4-5D6E-409C-BE32-E72D297353CC}">
              <c16:uniqueId val="{00000003-19AB-4261-AA68-8B38F7436A12}"/>
            </c:ext>
          </c:extLst>
        </c:ser>
        <c:ser>
          <c:idx val="4"/>
          <c:order val="4"/>
          <c:tx>
            <c:strRef>
              <c:f>'SPDR Chart'!$H$3</c:f>
              <c:strCache>
                <c:ptCount val="1"/>
                <c:pt idx="0">
                  <c:v>XLE</c:v>
                </c:pt>
              </c:strCache>
            </c:strRef>
          </c:tx>
          <c:spPr>
            <a:solidFill>
              <a:srgbClr val="0000FF"/>
            </a:solidFill>
            <a:ln>
              <a:solidFill>
                <a:sysClr val="windowText" lastClr="000000"/>
              </a:solidFill>
            </a:ln>
            <a:effectLst/>
          </c:spPr>
          <c:invertIfNegative val="0"/>
          <c:cat>
            <c:numRef>
              <c:f>'SPDR Chart'!$B$4:$B$86</c:f>
              <c:numCache>
                <c:formatCode>m/d/yyyy</c:formatCode>
                <c:ptCount val="83"/>
                <c:pt idx="0">
                  <c:v>45756</c:v>
                </c:pt>
                <c:pt idx="1">
                  <c:v>45757</c:v>
                </c:pt>
                <c:pt idx="2">
                  <c:v>45758</c:v>
                </c:pt>
                <c:pt idx="3">
                  <c:v>45759</c:v>
                </c:pt>
                <c:pt idx="4">
                  <c:v>45760</c:v>
                </c:pt>
                <c:pt idx="5">
                  <c:v>45761</c:v>
                </c:pt>
                <c:pt idx="6">
                  <c:v>45762</c:v>
                </c:pt>
                <c:pt idx="7">
                  <c:v>45763</c:v>
                </c:pt>
                <c:pt idx="8">
                  <c:v>45764</c:v>
                </c:pt>
                <c:pt idx="9">
                  <c:v>45765</c:v>
                </c:pt>
                <c:pt idx="10">
                  <c:v>45766</c:v>
                </c:pt>
                <c:pt idx="11">
                  <c:v>45767</c:v>
                </c:pt>
                <c:pt idx="12">
                  <c:v>45768</c:v>
                </c:pt>
                <c:pt idx="13">
                  <c:v>45769</c:v>
                </c:pt>
                <c:pt idx="14">
                  <c:v>45770</c:v>
                </c:pt>
                <c:pt idx="15">
                  <c:v>45771</c:v>
                </c:pt>
                <c:pt idx="16">
                  <c:v>45772</c:v>
                </c:pt>
                <c:pt idx="17">
                  <c:v>45773</c:v>
                </c:pt>
                <c:pt idx="18">
                  <c:v>45774</c:v>
                </c:pt>
                <c:pt idx="19">
                  <c:v>45775</c:v>
                </c:pt>
                <c:pt idx="20">
                  <c:v>45776</c:v>
                </c:pt>
                <c:pt idx="21">
                  <c:v>45777</c:v>
                </c:pt>
                <c:pt idx="22">
                  <c:v>45778</c:v>
                </c:pt>
                <c:pt idx="23">
                  <c:v>45779</c:v>
                </c:pt>
                <c:pt idx="24">
                  <c:v>45780</c:v>
                </c:pt>
                <c:pt idx="25">
                  <c:v>45781</c:v>
                </c:pt>
                <c:pt idx="26">
                  <c:v>45782</c:v>
                </c:pt>
                <c:pt idx="27">
                  <c:v>45783</c:v>
                </c:pt>
                <c:pt idx="28">
                  <c:v>45784</c:v>
                </c:pt>
                <c:pt idx="29">
                  <c:v>45785</c:v>
                </c:pt>
                <c:pt idx="30">
                  <c:v>45786</c:v>
                </c:pt>
                <c:pt idx="31">
                  <c:v>45787</c:v>
                </c:pt>
                <c:pt idx="32">
                  <c:v>45788</c:v>
                </c:pt>
                <c:pt idx="33">
                  <c:v>45789</c:v>
                </c:pt>
                <c:pt idx="34">
                  <c:v>45790</c:v>
                </c:pt>
                <c:pt idx="35">
                  <c:v>45791</c:v>
                </c:pt>
                <c:pt idx="36">
                  <c:v>45792</c:v>
                </c:pt>
                <c:pt idx="37">
                  <c:v>45793</c:v>
                </c:pt>
                <c:pt idx="38">
                  <c:v>45794</c:v>
                </c:pt>
                <c:pt idx="39">
                  <c:v>45795</c:v>
                </c:pt>
                <c:pt idx="40">
                  <c:v>45796</c:v>
                </c:pt>
                <c:pt idx="41">
                  <c:v>45797</c:v>
                </c:pt>
                <c:pt idx="42">
                  <c:v>45798</c:v>
                </c:pt>
                <c:pt idx="43">
                  <c:v>45799</c:v>
                </c:pt>
                <c:pt idx="44">
                  <c:v>45800</c:v>
                </c:pt>
                <c:pt idx="45">
                  <c:v>45801</c:v>
                </c:pt>
                <c:pt idx="46">
                  <c:v>45802</c:v>
                </c:pt>
                <c:pt idx="47">
                  <c:v>45803</c:v>
                </c:pt>
                <c:pt idx="48">
                  <c:v>45804</c:v>
                </c:pt>
                <c:pt idx="49">
                  <c:v>45805</c:v>
                </c:pt>
                <c:pt idx="50">
                  <c:v>45806</c:v>
                </c:pt>
                <c:pt idx="51">
                  <c:v>45807</c:v>
                </c:pt>
                <c:pt idx="52">
                  <c:v>45808</c:v>
                </c:pt>
                <c:pt idx="53">
                  <c:v>45809</c:v>
                </c:pt>
                <c:pt idx="54">
                  <c:v>45810</c:v>
                </c:pt>
                <c:pt idx="55">
                  <c:v>45811</c:v>
                </c:pt>
                <c:pt idx="56">
                  <c:v>45812</c:v>
                </c:pt>
                <c:pt idx="57">
                  <c:v>45813</c:v>
                </c:pt>
                <c:pt idx="58">
                  <c:v>45814</c:v>
                </c:pt>
                <c:pt idx="59">
                  <c:v>45815</c:v>
                </c:pt>
                <c:pt idx="60">
                  <c:v>45816</c:v>
                </c:pt>
                <c:pt idx="61">
                  <c:v>45817</c:v>
                </c:pt>
                <c:pt idx="62">
                  <c:v>45818</c:v>
                </c:pt>
                <c:pt idx="63">
                  <c:v>45819</c:v>
                </c:pt>
                <c:pt idx="64">
                  <c:v>45820</c:v>
                </c:pt>
                <c:pt idx="65">
                  <c:v>45821</c:v>
                </c:pt>
                <c:pt idx="66">
                  <c:v>45822</c:v>
                </c:pt>
                <c:pt idx="67">
                  <c:v>45823</c:v>
                </c:pt>
                <c:pt idx="68">
                  <c:v>45824</c:v>
                </c:pt>
                <c:pt idx="69">
                  <c:v>45825</c:v>
                </c:pt>
                <c:pt idx="70">
                  <c:v>45826</c:v>
                </c:pt>
                <c:pt idx="71">
                  <c:v>45827</c:v>
                </c:pt>
                <c:pt idx="72">
                  <c:v>45828</c:v>
                </c:pt>
                <c:pt idx="73">
                  <c:v>45829</c:v>
                </c:pt>
                <c:pt idx="74">
                  <c:v>45830</c:v>
                </c:pt>
                <c:pt idx="75">
                  <c:v>45831</c:v>
                </c:pt>
                <c:pt idx="76">
                  <c:v>45832</c:v>
                </c:pt>
                <c:pt idx="77">
                  <c:v>45833</c:v>
                </c:pt>
                <c:pt idx="78">
                  <c:v>45834</c:v>
                </c:pt>
                <c:pt idx="79">
                  <c:v>45835</c:v>
                </c:pt>
                <c:pt idx="80">
                  <c:v>45836</c:v>
                </c:pt>
                <c:pt idx="81">
                  <c:v>45837</c:v>
                </c:pt>
                <c:pt idx="82">
                  <c:v>45838</c:v>
                </c:pt>
              </c:numCache>
            </c:numRef>
          </c:cat>
          <c:val>
            <c:numRef>
              <c:f>'SPDR Chart'!$H$4:$H$86</c:f>
              <c:numCache>
                <c:formatCode>General</c:formatCode>
                <c:ptCount val="83"/>
                <c:pt idx="0">
                  <c:v>0</c:v>
                </c:pt>
                <c:pt idx="1">
                  <c:v>0</c:v>
                </c:pt>
                <c:pt idx="2">
                  <c:v>0</c:v>
                </c:pt>
                <c:pt idx="3">
                  <c:v>0</c:v>
                </c:pt>
                <c:pt idx="4">
                  <c:v>0</c:v>
                </c:pt>
                <c:pt idx="5">
                  <c:v>0</c:v>
                </c:pt>
                <c:pt idx="6">
                  <c:v>0</c:v>
                </c:pt>
                <c:pt idx="7">
                  <c:v>1</c:v>
                </c:pt>
                <c:pt idx="8">
                  <c:v>0</c:v>
                </c:pt>
                <c:pt idx="9">
                  <c:v>0</c:v>
                </c:pt>
                <c:pt idx="10">
                  <c:v>0</c:v>
                </c:pt>
                <c:pt idx="11">
                  <c:v>0</c:v>
                </c:pt>
                <c:pt idx="12">
                  <c:v>0</c:v>
                </c:pt>
                <c:pt idx="13">
                  <c:v>3</c:v>
                </c:pt>
                <c:pt idx="14">
                  <c:v>0</c:v>
                </c:pt>
                <c:pt idx="15">
                  <c:v>1</c:v>
                </c:pt>
                <c:pt idx="16">
                  <c:v>2</c:v>
                </c:pt>
                <c:pt idx="17">
                  <c:v>0</c:v>
                </c:pt>
                <c:pt idx="18">
                  <c:v>0</c:v>
                </c:pt>
                <c:pt idx="19">
                  <c:v>0</c:v>
                </c:pt>
                <c:pt idx="20">
                  <c:v>0</c:v>
                </c:pt>
                <c:pt idx="21">
                  <c:v>0</c:v>
                </c:pt>
                <c:pt idx="22">
                  <c:v>1</c:v>
                </c:pt>
                <c:pt idx="23">
                  <c:v>2</c:v>
                </c:pt>
                <c:pt idx="24">
                  <c:v>0</c:v>
                </c:pt>
                <c:pt idx="25">
                  <c:v>0</c:v>
                </c:pt>
                <c:pt idx="26">
                  <c:v>1</c:v>
                </c:pt>
                <c:pt idx="27">
                  <c:v>1</c:v>
                </c:pt>
                <c:pt idx="28">
                  <c:v>0</c:v>
                </c:pt>
                <c:pt idx="29">
                  <c:v>1</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numCache>
            </c:numRef>
          </c:val>
          <c:extLst>
            <c:ext xmlns:c16="http://schemas.microsoft.com/office/drawing/2014/chart" uri="{C3380CC4-5D6E-409C-BE32-E72D297353CC}">
              <c16:uniqueId val="{00000004-19AB-4261-AA68-8B38F7436A12}"/>
            </c:ext>
          </c:extLst>
        </c:ser>
        <c:ser>
          <c:idx val="6"/>
          <c:order val="6"/>
          <c:tx>
            <c:strRef>
              <c:f>'SPDR Chart'!$J$3</c:f>
              <c:strCache>
                <c:ptCount val="1"/>
                <c:pt idx="0">
                  <c:v>XLY</c:v>
                </c:pt>
              </c:strCache>
            </c:strRef>
          </c:tx>
          <c:spPr>
            <a:solidFill>
              <a:srgbClr val="65FF65"/>
            </a:solidFill>
            <a:ln>
              <a:solidFill>
                <a:sysClr val="windowText" lastClr="000000"/>
              </a:solidFill>
            </a:ln>
            <a:effectLst/>
          </c:spPr>
          <c:invertIfNegative val="0"/>
          <c:cat>
            <c:numRef>
              <c:f>'SPDR Chart'!$B$4:$B$86</c:f>
              <c:numCache>
                <c:formatCode>m/d/yyyy</c:formatCode>
                <c:ptCount val="83"/>
                <c:pt idx="0">
                  <c:v>45756</c:v>
                </c:pt>
                <c:pt idx="1">
                  <c:v>45757</c:v>
                </c:pt>
                <c:pt idx="2">
                  <c:v>45758</c:v>
                </c:pt>
                <c:pt idx="3">
                  <c:v>45759</c:v>
                </c:pt>
                <c:pt idx="4">
                  <c:v>45760</c:v>
                </c:pt>
                <c:pt idx="5">
                  <c:v>45761</c:v>
                </c:pt>
                <c:pt idx="6">
                  <c:v>45762</c:v>
                </c:pt>
                <c:pt idx="7">
                  <c:v>45763</c:v>
                </c:pt>
                <c:pt idx="8">
                  <c:v>45764</c:v>
                </c:pt>
                <c:pt idx="9">
                  <c:v>45765</c:v>
                </c:pt>
                <c:pt idx="10">
                  <c:v>45766</c:v>
                </c:pt>
                <c:pt idx="11">
                  <c:v>45767</c:v>
                </c:pt>
                <c:pt idx="12">
                  <c:v>45768</c:v>
                </c:pt>
                <c:pt idx="13">
                  <c:v>45769</c:v>
                </c:pt>
                <c:pt idx="14">
                  <c:v>45770</c:v>
                </c:pt>
                <c:pt idx="15">
                  <c:v>45771</c:v>
                </c:pt>
                <c:pt idx="16">
                  <c:v>45772</c:v>
                </c:pt>
                <c:pt idx="17">
                  <c:v>45773</c:v>
                </c:pt>
                <c:pt idx="18">
                  <c:v>45774</c:v>
                </c:pt>
                <c:pt idx="19">
                  <c:v>45775</c:v>
                </c:pt>
                <c:pt idx="20">
                  <c:v>45776</c:v>
                </c:pt>
                <c:pt idx="21">
                  <c:v>45777</c:v>
                </c:pt>
                <c:pt idx="22">
                  <c:v>45778</c:v>
                </c:pt>
                <c:pt idx="23">
                  <c:v>45779</c:v>
                </c:pt>
                <c:pt idx="24">
                  <c:v>45780</c:v>
                </c:pt>
                <c:pt idx="25">
                  <c:v>45781</c:v>
                </c:pt>
                <c:pt idx="26">
                  <c:v>45782</c:v>
                </c:pt>
                <c:pt idx="27">
                  <c:v>45783</c:v>
                </c:pt>
                <c:pt idx="28">
                  <c:v>45784</c:v>
                </c:pt>
                <c:pt idx="29">
                  <c:v>45785</c:v>
                </c:pt>
                <c:pt idx="30">
                  <c:v>45786</c:v>
                </c:pt>
                <c:pt idx="31">
                  <c:v>45787</c:v>
                </c:pt>
                <c:pt idx="32">
                  <c:v>45788</c:v>
                </c:pt>
                <c:pt idx="33">
                  <c:v>45789</c:v>
                </c:pt>
                <c:pt idx="34">
                  <c:v>45790</c:v>
                </c:pt>
                <c:pt idx="35">
                  <c:v>45791</c:v>
                </c:pt>
                <c:pt idx="36">
                  <c:v>45792</c:v>
                </c:pt>
                <c:pt idx="37">
                  <c:v>45793</c:v>
                </c:pt>
                <c:pt idx="38">
                  <c:v>45794</c:v>
                </c:pt>
                <c:pt idx="39">
                  <c:v>45795</c:v>
                </c:pt>
                <c:pt idx="40">
                  <c:v>45796</c:v>
                </c:pt>
                <c:pt idx="41">
                  <c:v>45797</c:v>
                </c:pt>
                <c:pt idx="42">
                  <c:v>45798</c:v>
                </c:pt>
                <c:pt idx="43">
                  <c:v>45799</c:v>
                </c:pt>
                <c:pt idx="44">
                  <c:v>45800</c:v>
                </c:pt>
                <c:pt idx="45">
                  <c:v>45801</c:v>
                </c:pt>
                <c:pt idx="46">
                  <c:v>45802</c:v>
                </c:pt>
                <c:pt idx="47">
                  <c:v>45803</c:v>
                </c:pt>
                <c:pt idx="48">
                  <c:v>45804</c:v>
                </c:pt>
                <c:pt idx="49">
                  <c:v>45805</c:v>
                </c:pt>
                <c:pt idx="50">
                  <c:v>45806</c:v>
                </c:pt>
                <c:pt idx="51">
                  <c:v>45807</c:v>
                </c:pt>
                <c:pt idx="52">
                  <c:v>45808</c:v>
                </c:pt>
                <c:pt idx="53">
                  <c:v>45809</c:v>
                </c:pt>
                <c:pt idx="54">
                  <c:v>45810</c:v>
                </c:pt>
                <c:pt idx="55">
                  <c:v>45811</c:v>
                </c:pt>
                <c:pt idx="56">
                  <c:v>45812</c:v>
                </c:pt>
                <c:pt idx="57">
                  <c:v>45813</c:v>
                </c:pt>
                <c:pt idx="58">
                  <c:v>45814</c:v>
                </c:pt>
                <c:pt idx="59">
                  <c:v>45815</c:v>
                </c:pt>
                <c:pt idx="60">
                  <c:v>45816</c:v>
                </c:pt>
                <c:pt idx="61">
                  <c:v>45817</c:v>
                </c:pt>
                <c:pt idx="62">
                  <c:v>45818</c:v>
                </c:pt>
                <c:pt idx="63">
                  <c:v>45819</c:v>
                </c:pt>
                <c:pt idx="64">
                  <c:v>45820</c:v>
                </c:pt>
                <c:pt idx="65">
                  <c:v>45821</c:v>
                </c:pt>
                <c:pt idx="66">
                  <c:v>45822</c:v>
                </c:pt>
                <c:pt idx="67">
                  <c:v>45823</c:v>
                </c:pt>
                <c:pt idx="68">
                  <c:v>45824</c:v>
                </c:pt>
                <c:pt idx="69">
                  <c:v>45825</c:v>
                </c:pt>
                <c:pt idx="70">
                  <c:v>45826</c:v>
                </c:pt>
                <c:pt idx="71">
                  <c:v>45827</c:v>
                </c:pt>
                <c:pt idx="72">
                  <c:v>45828</c:v>
                </c:pt>
                <c:pt idx="73">
                  <c:v>45829</c:v>
                </c:pt>
                <c:pt idx="74">
                  <c:v>45830</c:v>
                </c:pt>
                <c:pt idx="75">
                  <c:v>45831</c:v>
                </c:pt>
                <c:pt idx="76">
                  <c:v>45832</c:v>
                </c:pt>
                <c:pt idx="77">
                  <c:v>45833</c:v>
                </c:pt>
                <c:pt idx="78">
                  <c:v>45834</c:v>
                </c:pt>
                <c:pt idx="79">
                  <c:v>45835</c:v>
                </c:pt>
                <c:pt idx="80">
                  <c:v>45836</c:v>
                </c:pt>
                <c:pt idx="81">
                  <c:v>45837</c:v>
                </c:pt>
                <c:pt idx="82">
                  <c:v>45838</c:v>
                </c:pt>
              </c:numCache>
            </c:numRef>
          </c:cat>
          <c:val>
            <c:numRef>
              <c:f>'SPDR Chart'!$J$4:$J$86</c:f>
              <c:numCache>
                <c:formatCode>General</c:formatCode>
                <c:ptCount val="83"/>
                <c:pt idx="0">
                  <c:v>0</c:v>
                </c:pt>
                <c:pt idx="1">
                  <c:v>0</c:v>
                </c:pt>
                <c:pt idx="2">
                  <c:v>0</c:v>
                </c:pt>
                <c:pt idx="3">
                  <c:v>0</c:v>
                </c:pt>
                <c:pt idx="4">
                  <c:v>0</c:v>
                </c:pt>
                <c:pt idx="5">
                  <c:v>0</c:v>
                </c:pt>
                <c:pt idx="6">
                  <c:v>0</c:v>
                </c:pt>
                <c:pt idx="7">
                  <c:v>0</c:v>
                </c:pt>
                <c:pt idx="8">
                  <c:v>0</c:v>
                </c:pt>
                <c:pt idx="9">
                  <c:v>0</c:v>
                </c:pt>
                <c:pt idx="10">
                  <c:v>0</c:v>
                </c:pt>
                <c:pt idx="11">
                  <c:v>0</c:v>
                </c:pt>
                <c:pt idx="12">
                  <c:v>0</c:v>
                </c:pt>
                <c:pt idx="13">
                  <c:v>2</c:v>
                </c:pt>
                <c:pt idx="14">
                  <c:v>2</c:v>
                </c:pt>
                <c:pt idx="15">
                  <c:v>3</c:v>
                </c:pt>
                <c:pt idx="16">
                  <c:v>0</c:v>
                </c:pt>
                <c:pt idx="17">
                  <c:v>0</c:v>
                </c:pt>
                <c:pt idx="18">
                  <c:v>0</c:v>
                </c:pt>
                <c:pt idx="19">
                  <c:v>0</c:v>
                </c:pt>
                <c:pt idx="20">
                  <c:v>5</c:v>
                </c:pt>
                <c:pt idx="21">
                  <c:v>5</c:v>
                </c:pt>
                <c:pt idx="22">
                  <c:v>5</c:v>
                </c:pt>
                <c:pt idx="23">
                  <c:v>0</c:v>
                </c:pt>
                <c:pt idx="24">
                  <c:v>0</c:v>
                </c:pt>
                <c:pt idx="25">
                  <c:v>0</c:v>
                </c:pt>
                <c:pt idx="26">
                  <c:v>0</c:v>
                </c:pt>
                <c:pt idx="27">
                  <c:v>3</c:v>
                </c:pt>
                <c:pt idx="28">
                  <c:v>0</c:v>
                </c:pt>
                <c:pt idx="29">
                  <c:v>2</c:v>
                </c:pt>
                <c:pt idx="30">
                  <c:v>0</c:v>
                </c:pt>
                <c:pt idx="31">
                  <c:v>0</c:v>
                </c:pt>
                <c:pt idx="32">
                  <c:v>0</c:v>
                </c:pt>
                <c:pt idx="33">
                  <c:v>0</c:v>
                </c:pt>
                <c:pt idx="34">
                  <c:v>0</c:v>
                </c:pt>
                <c:pt idx="35">
                  <c:v>0</c:v>
                </c:pt>
                <c:pt idx="36">
                  <c:v>0</c:v>
                </c:pt>
                <c:pt idx="37">
                  <c:v>0</c:v>
                </c:pt>
                <c:pt idx="38">
                  <c:v>0</c:v>
                </c:pt>
                <c:pt idx="39">
                  <c:v>0</c:v>
                </c:pt>
                <c:pt idx="40">
                  <c:v>0</c:v>
                </c:pt>
                <c:pt idx="41">
                  <c:v>1</c:v>
                </c:pt>
                <c:pt idx="42">
                  <c:v>2</c:v>
                </c:pt>
                <c:pt idx="43">
                  <c:v>4</c:v>
                </c:pt>
                <c:pt idx="44">
                  <c:v>0</c:v>
                </c:pt>
                <c:pt idx="45">
                  <c:v>0</c:v>
                </c:pt>
                <c:pt idx="46">
                  <c:v>0</c:v>
                </c:pt>
                <c:pt idx="47">
                  <c:v>0</c:v>
                </c:pt>
                <c:pt idx="48">
                  <c:v>0</c:v>
                </c:pt>
                <c:pt idx="49">
                  <c:v>0</c:v>
                </c:pt>
                <c:pt idx="50">
                  <c:v>2</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1</c:v>
                </c:pt>
                <c:pt idx="73">
                  <c:v>0</c:v>
                </c:pt>
                <c:pt idx="74">
                  <c:v>0</c:v>
                </c:pt>
                <c:pt idx="75">
                  <c:v>0</c:v>
                </c:pt>
                <c:pt idx="76">
                  <c:v>1</c:v>
                </c:pt>
                <c:pt idx="77">
                  <c:v>0</c:v>
                </c:pt>
                <c:pt idx="78">
                  <c:v>1</c:v>
                </c:pt>
                <c:pt idx="79">
                  <c:v>0</c:v>
                </c:pt>
                <c:pt idx="80">
                  <c:v>0</c:v>
                </c:pt>
                <c:pt idx="81">
                  <c:v>0</c:v>
                </c:pt>
                <c:pt idx="82">
                  <c:v>0</c:v>
                </c:pt>
              </c:numCache>
            </c:numRef>
          </c:val>
          <c:extLst>
            <c:ext xmlns:c16="http://schemas.microsoft.com/office/drawing/2014/chart" uri="{C3380CC4-5D6E-409C-BE32-E72D297353CC}">
              <c16:uniqueId val="{00000006-19AB-4261-AA68-8B38F7436A12}"/>
            </c:ext>
          </c:extLst>
        </c:ser>
        <c:ser>
          <c:idx val="7"/>
          <c:order val="7"/>
          <c:tx>
            <c:strRef>
              <c:f>'SPDR Chart'!$K$3</c:f>
              <c:strCache>
                <c:ptCount val="1"/>
                <c:pt idx="0">
                  <c:v>XLC</c:v>
                </c:pt>
              </c:strCache>
            </c:strRef>
          </c:tx>
          <c:spPr>
            <a:solidFill>
              <a:schemeClr val="accent4">
                <a:lumMod val="20000"/>
                <a:lumOff val="80000"/>
              </a:schemeClr>
            </a:solidFill>
            <a:ln>
              <a:solidFill>
                <a:sysClr val="windowText" lastClr="000000"/>
              </a:solidFill>
            </a:ln>
            <a:effectLst/>
          </c:spPr>
          <c:invertIfNegative val="0"/>
          <c:cat>
            <c:numRef>
              <c:f>'SPDR Chart'!$B$4:$B$86</c:f>
              <c:numCache>
                <c:formatCode>m/d/yyyy</c:formatCode>
                <c:ptCount val="83"/>
                <c:pt idx="0">
                  <c:v>45756</c:v>
                </c:pt>
                <c:pt idx="1">
                  <c:v>45757</c:v>
                </c:pt>
                <c:pt idx="2">
                  <c:v>45758</c:v>
                </c:pt>
                <c:pt idx="3">
                  <c:v>45759</c:v>
                </c:pt>
                <c:pt idx="4">
                  <c:v>45760</c:v>
                </c:pt>
                <c:pt idx="5">
                  <c:v>45761</c:v>
                </c:pt>
                <c:pt idx="6">
                  <c:v>45762</c:v>
                </c:pt>
                <c:pt idx="7">
                  <c:v>45763</c:v>
                </c:pt>
                <c:pt idx="8">
                  <c:v>45764</c:v>
                </c:pt>
                <c:pt idx="9">
                  <c:v>45765</c:v>
                </c:pt>
                <c:pt idx="10">
                  <c:v>45766</c:v>
                </c:pt>
                <c:pt idx="11">
                  <c:v>45767</c:v>
                </c:pt>
                <c:pt idx="12">
                  <c:v>45768</c:v>
                </c:pt>
                <c:pt idx="13">
                  <c:v>45769</c:v>
                </c:pt>
                <c:pt idx="14">
                  <c:v>45770</c:v>
                </c:pt>
                <c:pt idx="15">
                  <c:v>45771</c:v>
                </c:pt>
                <c:pt idx="16">
                  <c:v>45772</c:v>
                </c:pt>
                <c:pt idx="17">
                  <c:v>45773</c:v>
                </c:pt>
                <c:pt idx="18">
                  <c:v>45774</c:v>
                </c:pt>
                <c:pt idx="19">
                  <c:v>45775</c:v>
                </c:pt>
                <c:pt idx="20">
                  <c:v>45776</c:v>
                </c:pt>
                <c:pt idx="21">
                  <c:v>45777</c:v>
                </c:pt>
                <c:pt idx="22">
                  <c:v>45778</c:v>
                </c:pt>
                <c:pt idx="23">
                  <c:v>45779</c:v>
                </c:pt>
                <c:pt idx="24">
                  <c:v>45780</c:v>
                </c:pt>
                <c:pt idx="25">
                  <c:v>45781</c:v>
                </c:pt>
                <c:pt idx="26">
                  <c:v>45782</c:v>
                </c:pt>
                <c:pt idx="27">
                  <c:v>45783</c:v>
                </c:pt>
                <c:pt idx="28">
                  <c:v>45784</c:v>
                </c:pt>
                <c:pt idx="29">
                  <c:v>45785</c:v>
                </c:pt>
                <c:pt idx="30">
                  <c:v>45786</c:v>
                </c:pt>
                <c:pt idx="31">
                  <c:v>45787</c:v>
                </c:pt>
                <c:pt idx="32">
                  <c:v>45788</c:v>
                </c:pt>
                <c:pt idx="33">
                  <c:v>45789</c:v>
                </c:pt>
                <c:pt idx="34">
                  <c:v>45790</c:v>
                </c:pt>
                <c:pt idx="35">
                  <c:v>45791</c:v>
                </c:pt>
                <c:pt idx="36">
                  <c:v>45792</c:v>
                </c:pt>
                <c:pt idx="37">
                  <c:v>45793</c:v>
                </c:pt>
                <c:pt idx="38">
                  <c:v>45794</c:v>
                </c:pt>
                <c:pt idx="39">
                  <c:v>45795</c:v>
                </c:pt>
                <c:pt idx="40">
                  <c:v>45796</c:v>
                </c:pt>
                <c:pt idx="41">
                  <c:v>45797</c:v>
                </c:pt>
                <c:pt idx="42">
                  <c:v>45798</c:v>
                </c:pt>
                <c:pt idx="43">
                  <c:v>45799</c:v>
                </c:pt>
                <c:pt idx="44">
                  <c:v>45800</c:v>
                </c:pt>
                <c:pt idx="45">
                  <c:v>45801</c:v>
                </c:pt>
                <c:pt idx="46">
                  <c:v>45802</c:v>
                </c:pt>
                <c:pt idx="47">
                  <c:v>45803</c:v>
                </c:pt>
                <c:pt idx="48">
                  <c:v>45804</c:v>
                </c:pt>
                <c:pt idx="49">
                  <c:v>45805</c:v>
                </c:pt>
                <c:pt idx="50">
                  <c:v>45806</c:v>
                </c:pt>
                <c:pt idx="51">
                  <c:v>45807</c:v>
                </c:pt>
                <c:pt idx="52">
                  <c:v>45808</c:v>
                </c:pt>
                <c:pt idx="53">
                  <c:v>45809</c:v>
                </c:pt>
                <c:pt idx="54">
                  <c:v>45810</c:v>
                </c:pt>
                <c:pt idx="55">
                  <c:v>45811</c:v>
                </c:pt>
                <c:pt idx="56">
                  <c:v>45812</c:v>
                </c:pt>
                <c:pt idx="57">
                  <c:v>45813</c:v>
                </c:pt>
                <c:pt idx="58">
                  <c:v>45814</c:v>
                </c:pt>
                <c:pt idx="59">
                  <c:v>45815</c:v>
                </c:pt>
                <c:pt idx="60">
                  <c:v>45816</c:v>
                </c:pt>
                <c:pt idx="61">
                  <c:v>45817</c:v>
                </c:pt>
                <c:pt idx="62">
                  <c:v>45818</c:v>
                </c:pt>
                <c:pt idx="63">
                  <c:v>45819</c:v>
                </c:pt>
                <c:pt idx="64">
                  <c:v>45820</c:v>
                </c:pt>
                <c:pt idx="65">
                  <c:v>45821</c:v>
                </c:pt>
                <c:pt idx="66">
                  <c:v>45822</c:v>
                </c:pt>
                <c:pt idx="67">
                  <c:v>45823</c:v>
                </c:pt>
                <c:pt idx="68">
                  <c:v>45824</c:v>
                </c:pt>
                <c:pt idx="69">
                  <c:v>45825</c:v>
                </c:pt>
                <c:pt idx="70">
                  <c:v>45826</c:v>
                </c:pt>
                <c:pt idx="71">
                  <c:v>45827</c:v>
                </c:pt>
                <c:pt idx="72">
                  <c:v>45828</c:v>
                </c:pt>
                <c:pt idx="73">
                  <c:v>45829</c:v>
                </c:pt>
                <c:pt idx="74">
                  <c:v>45830</c:v>
                </c:pt>
                <c:pt idx="75">
                  <c:v>45831</c:v>
                </c:pt>
                <c:pt idx="76">
                  <c:v>45832</c:v>
                </c:pt>
                <c:pt idx="77">
                  <c:v>45833</c:v>
                </c:pt>
                <c:pt idx="78">
                  <c:v>45834</c:v>
                </c:pt>
                <c:pt idx="79">
                  <c:v>45835</c:v>
                </c:pt>
                <c:pt idx="80">
                  <c:v>45836</c:v>
                </c:pt>
                <c:pt idx="81">
                  <c:v>45837</c:v>
                </c:pt>
                <c:pt idx="82">
                  <c:v>45838</c:v>
                </c:pt>
              </c:numCache>
            </c:numRef>
          </c:cat>
          <c:val>
            <c:numRef>
              <c:f>'SPDR Chart'!$K$4:$K$86</c:f>
              <c:numCache>
                <c:formatCode>General</c:formatCode>
                <c:ptCount val="83"/>
                <c:pt idx="0">
                  <c:v>0</c:v>
                </c:pt>
                <c:pt idx="1">
                  <c:v>0</c:v>
                </c:pt>
                <c:pt idx="2">
                  <c:v>0</c:v>
                </c:pt>
                <c:pt idx="3">
                  <c:v>0</c:v>
                </c:pt>
                <c:pt idx="4">
                  <c:v>0</c:v>
                </c:pt>
                <c:pt idx="5">
                  <c:v>0</c:v>
                </c:pt>
                <c:pt idx="6">
                  <c:v>1</c:v>
                </c:pt>
                <c:pt idx="7">
                  <c:v>0</c:v>
                </c:pt>
                <c:pt idx="8">
                  <c:v>1</c:v>
                </c:pt>
                <c:pt idx="9">
                  <c:v>0</c:v>
                </c:pt>
                <c:pt idx="10">
                  <c:v>0</c:v>
                </c:pt>
                <c:pt idx="11">
                  <c:v>0</c:v>
                </c:pt>
                <c:pt idx="12">
                  <c:v>0</c:v>
                </c:pt>
                <c:pt idx="13">
                  <c:v>1</c:v>
                </c:pt>
                <c:pt idx="14">
                  <c:v>1</c:v>
                </c:pt>
                <c:pt idx="15">
                  <c:v>4</c:v>
                </c:pt>
                <c:pt idx="16">
                  <c:v>1</c:v>
                </c:pt>
                <c:pt idx="17">
                  <c:v>0</c:v>
                </c:pt>
                <c:pt idx="18">
                  <c:v>0</c:v>
                </c:pt>
                <c:pt idx="19">
                  <c:v>0</c:v>
                </c:pt>
                <c:pt idx="20">
                  <c:v>0</c:v>
                </c:pt>
                <c:pt idx="21">
                  <c:v>1</c:v>
                </c:pt>
                <c:pt idx="22">
                  <c:v>1</c:v>
                </c:pt>
                <c:pt idx="23">
                  <c:v>0</c:v>
                </c:pt>
                <c:pt idx="24">
                  <c:v>0</c:v>
                </c:pt>
                <c:pt idx="25">
                  <c:v>0</c:v>
                </c:pt>
                <c:pt idx="26">
                  <c:v>0</c:v>
                </c:pt>
                <c:pt idx="27">
                  <c:v>0</c:v>
                </c:pt>
                <c:pt idx="28">
                  <c:v>1</c:v>
                </c:pt>
                <c:pt idx="29">
                  <c:v>3</c:v>
                </c:pt>
                <c:pt idx="30">
                  <c:v>0</c:v>
                </c:pt>
                <c:pt idx="31">
                  <c:v>0</c:v>
                </c:pt>
                <c:pt idx="32">
                  <c:v>0</c:v>
                </c:pt>
                <c:pt idx="33">
                  <c:v>1</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numCache>
            </c:numRef>
          </c:val>
          <c:extLst>
            <c:ext xmlns:c16="http://schemas.microsoft.com/office/drawing/2014/chart" uri="{C3380CC4-5D6E-409C-BE32-E72D297353CC}">
              <c16:uniqueId val="{00000007-19AB-4261-AA68-8B38F7436A12}"/>
            </c:ext>
          </c:extLst>
        </c:ser>
        <c:ser>
          <c:idx val="8"/>
          <c:order val="8"/>
          <c:tx>
            <c:strRef>
              <c:f>'SPDR Chart'!$L$3</c:f>
              <c:strCache>
                <c:ptCount val="1"/>
                <c:pt idx="0">
                  <c:v>XLK</c:v>
                </c:pt>
              </c:strCache>
            </c:strRef>
          </c:tx>
          <c:spPr>
            <a:solidFill>
              <a:srgbClr val="FFFF00"/>
            </a:solidFill>
            <a:ln>
              <a:solidFill>
                <a:sysClr val="windowText" lastClr="000000"/>
              </a:solidFill>
            </a:ln>
            <a:effectLst/>
          </c:spPr>
          <c:invertIfNegative val="0"/>
          <c:cat>
            <c:numRef>
              <c:f>'SPDR Chart'!$B$4:$B$86</c:f>
              <c:numCache>
                <c:formatCode>m/d/yyyy</c:formatCode>
                <c:ptCount val="83"/>
                <c:pt idx="0">
                  <c:v>45756</c:v>
                </c:pt>
                <c:pt idx="1">
                  <c:v>45757</c:v>
                </c:pt>
                <c:pt idx="2">
                  <c:v>45758</c:v>
                </c:pt>
                <c:pt idx="3">
                  <c:v>45759</c:v>
                </c:pt>
                <c:pt idx="4">
                  <c:v>45760</c:v>
                </c:pt>
                <c:pt idx="5">
                  <c:v>45761</c:v>
                </c:pt>
                <c:pt idx="6">
                  <c:v>45762</c:v>
                </c:pt>
                <c:pt idx="7">
                  <c:v>45763</c:v>
                </c:pt>
                <c:pt idx="8">
                  <c:v>45764</c:v>
                </c:pt>
                <c:pt idx="9">
                  <c:v>45765</c:v>
                </c:pt>
                <c:pt idx="10">
                  <c:v>45766</c:v>
                </c:pt>
                <c:pt idx="11">
                  <c:v>45767</c:v>
                </c:pt>
                <c:pt idx="12">
                  <c:v>45768</c:v>
                </c:pt>
                <c:pt idx="13">
                  <c:v>45769</c:v>
                </c:pt>
                <c:pt idx="14">
                  <c:v>45770</c:v>
                </c:pt>
                <c:pt idx="15">
                  <c:v>45771</c:v>
                </c:pt>
                <c:pt idx="16">
                  <c:v>45772</c:v>
                </c:pt>
                <c:pt idx="17">
                  <c:v>45773</c:v>
                </c:pt>
                <c:pt idx="18">
                  <c:v>45774</c:v>
                </c:pt>
                <c:pt idx="19">
                  <c:v>45775</c:v>
                </c:pt>
                <c:pt idx="20">
                  <c:v>45776</c:v>
                </c:pt>
                <c:pt idx="21">
                  <c:v>45777</c:v>
                </c:pt>
                <c:pt idx="22">
                  <c:v>45778</c:v>
                </c:pt>
                <c:pt idx="23">
                  <c:v>45779</c:v>
                </c:pt>
                <c:pt idx="24">
                  <c:v>45780</c:v>
                </c:pt>
                <c:pt idx="25">
                  <c:v>45781</c:v>
                </c:pt>
                <c:pt idx="26">
                  <c:v>45782</c:v>
                </c:pt>
                <c:pt idx="27">
                  <c:v>45783</c:v>
                </c:pt>
                <c:pt idx="28">
                  <c:v>45784</c:v>
                </c:pt>
                <c:pt idx="29">
                  <c:v>45785</c:v>
                </c:pt>
                <c:pt idx="30">
                  <c:v>45786</c:v>
                </c:pt>
                <c:pt idx="31">
                  <c:v>45787</c:v>
                </c:pt>
                <c:pt idx="32">
                  <c:v>45788</c:v>
                </c:pt>
                <c:pt idx="33">
                  <c:v>45789</c:v>
                </c:pt>
                <c:pt idx="34">
                  <c:v>45790</c:v>
                </c:pt>
                <c:pt idx="35">
                  <c:v>45791</c:v>
                </c:pt>
                <c:pt idx="36">
                  <c:v>45792</c:v>
                </c:pt>
                <c:pt idx="37">
                  <c:v>45793</c:v>
                </c:pt>
                <c:pt idx="38">
                  <c:v>45794</c:v>
                </c:pt>
                <c:pt idx="39">
                  <c:v>45795</c:v>
                </c:pt>
                <c:pt idx="40">
                  <c:v>45796</c:v>
                </c:pt>
                <c:pt idx="41">
                  <c:v>45797</c:v>
                </c:pt>
                <c:pt idx="42">
                  <c:v>45798</c:v>
                </c:pt>
                <c:pt idx="43">
                  <c:v>45799</c:v>
                </c:pt>
                <c:pt idx="44">
                  <c:v>45800</c:v>
                </c:pt>
                <c:pt idx="45">
                  <c:v>45801</c:v>
                </c:pt>
                <c:pt idx="46">
                  <c:v>45802</c:v>
                </c:pt>
                <c:pt idx="47">
                  <c:v>45803</c:v>
                </c:pt>
                <c:pt idx="48">
                  <c:v>45804</c:v>
                </c:pt>
                <c:pt idx="49">
                  <c:v>45805</c:v>
                </c:pt>
                <c:pt idx="50">
                  <c:v>45806</c:v>
                </c:pt>
                <c:pt idx="51">
                  <c:v>45807</c:v>
                </c:pt>
                <c:pt idx="52">
                  <c:v>45808</c:v>
                </c:pt>
                <c:pt idx="53">
                  <c:v>45809</c:v>
                </c:pt>
                <c:pt idx="54">
                  <c:v>45810</c:v>
                </c:pt>
                <c:pt idx="55">
                  <c:v>45811</c:v>
                </c:pt>
                <c:pt idx="56">
                  <c:v>45812</c:v>
                </c:pt>
                <c:pt idx="57">
                  <c:v>45813</c:v>
                </c:pt>
                <c:pt idx="58">
                  <c:v>45814</c:v>
                </c:pt>
                <c:pt idx="59">
                  <c:v>45815</c:v>
                </c:pt>
                <c:pt idx="60">
                  <c:v>45816</c:v>
                </c:pt>
                <c:pt idx="61">
                  <c:v>45817</c:v>
                </c:pt>
                <c:pt idx="62">
                  <c:v>45818</c:v>
                </c:pt>
                <c:pt idx="63">
                  <c:v>45819</c:v>
                </c:pt>
                <c:pt idx="64">
                  <c:v>45820</c:v>
                </c:pt>
                <c:pt idx="65">
                  <c:v>45821</c:v>
                </c:pt>
                <c:pt idx="66">
                  <c:v>45822</c:v>
                </c:pt>
                <c:pt idx="67">
                  <c:v>45823</c:v>
                </c:pt>
                <c:pt idx="68">
                  <c:v>45824</c:v>
                </c:pt>
                <c:pt idx="69">
                  <c:v>45825</c:v>
                </c:pt>
                <c:pt idx="70">
                  <c:v>45826</c:v>
                </c:pt>
                <c:pt idx="71">
                  <c:v>45827</c:v>
                </c:pt>
                <c:pt idx="72">
                  <c:v>45828</c:v>
                </c:pt>
                <c:pt idx="73">
                  <c:v>45829</c:v>
                </c:pt>
                <c:pt idx="74">
                  <c:v>45830</c:v>
                </c:pt>
                <c:pt idx="75">
                  <c:v>45831</c:v>
                </c:pt>
                <c:pt idx="76">
                  <c:v>45832</c:v>
                </c:pt>
                <c:pt idx="77">
                  <c:v>45833</c:v>
                </c:pt>
                <c:pt idx="78">
                  <c:v>45834</c:v>
                </c:pt>
                <c:pt idx="79">
                  <c:v>45835</c:v>
                </c:pt>
                <c:pt idx="80">
                  <c:v>45836</c:v>
                </c:pt>
                <c:pt idx="81">
                  <c:v>45837</c:v>
                </c:pt>
                <c:pt idx="82">
                  <c:v>45838</c:v>
                </c:pt>
              </c:numCache>
            </c:numRef>
          </c:cat>
          <c:val>
            <c:numRef>
              <c:f>'SPDR Chart'!$L$4:$L$86</c:f>
              <c:numCache>
                <c:formatCode>General</c:formatCode>
                <c:ptCount val="83"/>
                <c:pt idx="0">
                  <c:v>0</c:v>
                </c:pt>
                <c:pt idx="1">
                  <c:v>0</c:v>
                </c:pt>
                <c:pt idx="2">
                  <c:v>0</c:v>
                </c:pt>
                <c:pt idx="3">
                  <c:v>0</c:v>
                </c:pt>
                <c:pt idx="4">
                  <c:v>0</c:v>
                </c:pt>
                <c:pt idx="5">
                  <c:v>0</c:v>
                </c:pt>
                <c:pt idx="6">
                  <c:v>0</c:v>
                </c:pt>
                <c:pt idx="7">
                  <c:v>0</c:v>
                </c:pt>
                <c:pt idx="8">
                  <c:v>0</c:v>
                </c:pt>
                <c:pt idx="9">
                  <c:v>0</c:v>
                </c:pt>
                <c:pt idx="10">
                  <c:v>0</c:v>
                </c:pt>
                <c:pt idx="11">
                  <c:v>0</c:v>
                </c:pt>
                <c:pt idx="12">
                  <c:v>0</c:v>
                </c:pt>
                <c:pt idx="13">
                  <c:v>1</c:v>
                </c:pt>
                <c:pt idx="14">
                  <c:v>3</c:v>
                </c:pt>
                <c:pt idx="15">
                  <c:v>0</c:v>
                </c:pt>
                <c:pt idx="16">
                  <c:v>0</c:v>
                </c:pt>
                <c:pt idx="17">
                  <c:v>0</c:v>
                </c:pt>
                <c:pt idx="18">
                  <c:v>0</c:v>
                </c:pt>
                <c:pt idx="19">
                  <c:v>1</c:v>
                </c:pt>
                <c:pt idx="20">
                  <c:v>4</c:v>
                </c:pt>
                <c:pt idx="21">
                  <c:v>3</c:v>
                </c:pt>
                <c:pt idx="22">
                  <c:v>3</c:v>
                </c:pt>
                <c:pt idx="23">
                  <c:v>0</c:v>
                </c:pt>
                <c:pt idx="24">
                  <c:v>0</c:v>
                </c:pt>
                <c:pt idx="25">
                  <c:v>0</c:v>
                </c:pt>
                <c:pt idx="26">
                  <c:v>0</c:v>
                </c:pt>
                <c:pt idx="27">
                  <c:v>2</c:v>
                </c:pt>
                <c:pt idx="28">
                  <c:v>2</c:v>
                </c:pt>
                <c:pt idx="29">
                  <c:v>1</c:v>
                </c:pt>
                <c:pt idx="30">
                  <c:v>0</c:v>
                </c:pt>
                <c:pt idx="31">
                  <c:v>0</c:v>
                </c:pt>
                <c:pt idx="32">
                  <c:v>0</c:v>
                </c:pt>
                <c:pt idx="33">
                  <c:v>0</c:v>
                </c:pt>
                <c:pt idx="34">
                  <c:v>0</c:v>
                </c:pt>
                <c:pt idx="35">
                  <c:v>1</c:v>
                </c:pt>
                <c:pt idx="36">
                  <c:v>0</c:v>
                </c:pt>
                <c:pt idx="37">
                  <c:v>0</c:v>
                </c:pt>
                <c:pt idx="38">
                  <c:v>0</c:v>
                </c:pt>
                <c:pt idx="39">
                  <c:v>0</c:v>
                </c:pt>
                <c:pt idx="40">
                  <c:v>0</c:v>
                </c:pt>
                <c:pt idx="41">
                  <c:v>0</c:v>
                </c:pt>
                <c:pt idx="42">
                  <c:v>0</c:v>
                </c:pt>
                <c:pt idx="43">
                  <c:v>0</c:v>
                </c:pt>
                <c:pt idx="44">
                  <c:v>0</c:v>
                </c:pt>
                <c:pt idx="45">
                  <c:v>0</c:v>
                </c:pt>
                <c:pt idx="46">
                  <c:v>0</c:v>
                </c:pt>
                <c:pt idx="47">
                  <c:v>0</c:v>
                </c:pt>
                <c:pt idx="48">
                  <c:v>0</c:v>
                </c:pt>
                <c:pt idx="49">
                  <c:v>1</c:v>
                </c:pt>
                <c:pt idx="50">
                  <c:v>2</c:v>
                </c:pt>
                <c:pt idx="51">
                  <c:v>0</c:v>
                </c:pt>
                <c:pt idx="52">
                  <c:v>0</c:v>
                </c:pt>
                <c:pt idx="53">
                  <c:v>0</c:v>
                </c:pt>
                <c:pt idx="54">
                  <c:v>0</c:v>
                </c:pt>
                <c:pt idx="55">
                  <c:v>1</c:v>
                </c:pt>
                <c:pt idx="56">
                  <c:v>0</c:v>
                </c:pt>
                <c:pt idx="57">
                  <c:v>0</c:v>
                </c:pt>
                <c:pt idx="58">
                  <c:v>0</c:v>
                </c:pt>
                <c:pt idx="59">
                  <c:v>0</c:v>
                </c:pt>
                <c:pt idx="60">
                  <c:v>0</c:v>
                </c:pt>
                <c:pt idx="61">
                  <c:v>0</c:v>
                </c:pt>
                <c:pt idx="62">
                  <c:v>0</c:v>
                </c:pt>
                <c:pt idx="63">
                  <c:v>0</c:v>
                </c:pt>
                <c:pt idx="64">
                  <c:v>0</c:v>
                </c:pt>
                <c:pt idx="65">
                  <c:v>0</c:v>
                </c:pt>
                <c:pt idx="66">
                  <c:v>0</c:v>
                </c:pt>
                <c:pt idx="67">
                  <c:v>0</c:v>
                </c:pt>
                <c:pt idx="68">
                  <c:v>0</c:v>
                </c:pt>
                <c:pt idx="69">
                  <c:v>1</c:v>
                </c:pt>
                <c:pt idx="70">
                  <c:v>0</c:v>
                </c:pt>
                <c:pt idx="71">
                  <c:v>0</c:v>
                </c:pt>
                <c:pt idx="72">
                  <c:v>0</c:v>
                </c:pt>
                <c:pt idx="73">
                  <c:v>0</c:v>
                </c:pt>
                <c:pt idx="74">
                  <c:v>0</c:v>
                </c:pt>
                <c:pt idx="75">
                  <c:v>0</c:v>
                </c:pt>
                <c:pt idx="76">
                  <c:v>0</c:v>
                </c:pt>
                <c:pt idx="77">
                  <c:v>0</c:v>
                </c:pt>
                <c:pt idx="78">
                  <c:v>0</c:v>
                </c:pt>
                <c:pt idx="79">
                  <c:v>0</c:v>
                </c:pt>
                <c:pt idx="80">
                  <c:v>0</c:v>
                </c:pt>
                <c:pt idx="81">
                  <c:v>0</c:v>
                </c:pt>
                <c:pt idx="82">
                  <c:v>0</c:v>
                </c:pt>
              </c:numCache>
            </c:numRef>
          </c:val>
          <c:extLst>
            <c:ext xmlns:c16="http://schemas.microsoft.com/office/drawing/2014/chart" uri="{C3380CC4-5D6E-409C-BE32-E72D297353CC}">
              <c16:uniqueId val="{00000008-19AB-4261-AA68-8B38F7436A12}"/>
            </c:ext>
          </c:extLst>
        </c:ser>
        <c:ser>
          <c:idx val="13"/>
          <c:order val="9"/>
          <c:tx>
            <c:strRef>
              <c:f>'SPDR Chart'!$Q$3</c:f>
              <c:strCache>
                <c:ptCount val="1"/>
                <c:pt idx="0">
                  <c:v>IGV</c:v>
                </c:pt>
              </c:strCache>
            </c:strRef>
          </c:tx>
          <c:spPr>
            <a:pattFill prst="zigZag">
              <a:fgClr>
                <a:schemeClr val="tx1">
                  <a:lumMod val="50000"/>
                  <a:lumOff val="50000"/>
                </a:schemeClr>
              </a:fgClr>
              <a:bgClr>
                <a:srgbClr val="00FF00"/>
              </a:bgClr>
            </a:pattFill>
            <a:ln>
              <a:solidFill>
                <a:sysClr val="windowText" lastClr="000000"/>
              </a:solidFill>
            </a:ln>
            <a:effectLst/>
          </c:spPr>
          <c:invertIfNegative val="0"/>
          <c:cat>
            <c:numRef>
              <c:f>'SPDR Chart'!$B$4:$B$86</c:f>
              <c:numCache>
                <c:formatCode>m/d/yyyy</c:formatCode>
                <c:ptCount val="83"/>
                <c:pt idx="0">
                  <c:v>45756</c:v>
                </c:pt>
                <c:pt idx="1">
                  <c:v>45757</c:v>
                </c:pt>
                <c:pt idx="2">
                  <c:v>45758</c:v>
                </c:pt>
                <c:pt idx="3">
                  <c:v>45759</c:v>
                </c:pt>
                <c:pt idx="4">
                  <c:v>45760</c:v>
                </c:pt>
                <c:pt idx="5">
                  <c:v>45761</c:v>
                </c:pt>
                <c:pt idx="6">
                  <c:v>45762</c:v>
                </c:pt>
                <c:pt idx="7">
                  <c:v>45763</c:v>
                </c:pt>
                <c:pt idx="8">
                  <c:v>45764</c:v>
                </c:pt>
                <c:pt idx="9">
                  <c:v>45765</c:v>
                </c:pt>
                <c:pt idx="10">
                  <c:v>45766</c:v>
                </c:pt>
                <c:pt idx="11">
                  <c:v>45767</c:v>
                </c:pt>
                <c:pt idx="12">
                  <c:v>45768</c:v>
                </c:pt>
                <c:pt idx="13">
                  <c:v>45769</c:v>
                </c:pt>
                <c:pt idx="14">
                  <c:v>45770</c:v>
                </c:pt>
                <c:pt idx="15">
                  <c:v>45771</c:v>
                </c:pt>
                <c:pt idx="16">
                  <c:v>45772</c:v>
                </c:pt>
                <c:pt idx="17">
                  <c:v>45773</c:v>
                </c:pt>
                <c:pt idx="18">
                  <c:v>45774</c:v>
                </c:pt>
                <c:pt idx="19">
                  <c:v>45775</c:v>
                </c:pt>
                <c:pt idx="20">
                  <c:v>45776</c:v>
                </c:pt>
                <c:pt idx="21">
                  <c:v>45777</c:v>
                </c:pt>
                <c:pt idx="22">
                  <c:v>45778</c:v>
                </c:pt>
                <c:pt idx="23">
                  <c:v>45779</c:v>
                </c:pt>
                <c:pt idx="24">
                  <c:v>45780</c:v>
                </c:pt>
                <c:pt idx="25">
                  <c:v>45781</c:v>
                </c:pt>
                <c:pt idx="26">
                  <c:v>45782</c:v>
                </c:pt>
                <c:pt idx="27">
                  <c:v>45783</c:v>
                </c:pt>
                <c:pt idx="28">
                  <c:v>45784</c:v>
                </c:pt>
                <c:pt idx="29">
                  <c:v>45785</c:v>
                </c:pt>
                <c:pt idx="30">
                  <c:v>45786</c:v>
                </c:pt>
                <c:pt idx="31">
                  <c:v>45787</c:v>
                </c:pt>
                <c:pt idx="32">
                  <c:v>45788</c:v>
                </c:pt>
                <c:pt idx="33">
                  <c:v>45789</c:v>
                </c:pt>
                <c:pt idx="34">
                  <c:v>45790</c:v>
                </c:pt>
                <c:pt idx="35">
                  <c:v>45791</c:v>
                </c:pt>
                <c:pt idx="36">
                  <c:v>45792</c:v>
                </c:pt>
                <c:pt idx="37">
                  <c:v>45793</c:v>
                </c:pt>
                <c:pt idx="38">
                  <c:v>45794</c:v>
                </c:pt>
                <c:pt idx="39">
                  <c:v>45795</c:v>
                </c:pt>
                <c:pt idx="40">
                  <c:v>45796</c:v>
                </c:pt>
                <c:pt idx="41">
                  <c:v>45797</c:v>
                </c:pt>
                <c:pt idx="42">
                  <c:v>45798</c:v>
                </c:pt>
                <c:pt idx="43">
                  <c:v>45799</c:v>
                </c:pt>
                <c:pt idx="44">
                  <c:v>45800</c:v>
                </c:pt>
                <c:pt idx="45">
                  <c:v>45801</c:v>
                </c:pt>
                <c:pt idx="46">
                  <c:v>45802</c:v>
                </c:pt>
                <c:pt idx="47">
                  <c:v>45803</c:v>
                </c:pt>
                <c:pt idx="48">
                  <c:v>45804</c:v>
                </c:pt>
                <c:pt idx="49">
                  <c:v>45805</c:v>
                </c:pt>
                <c:pt idx="50">
                  <c:v>45806</c:v>
                </c:pt>
                <c:pt idx="51">
                  <c:v>45807</c:v>
                </c:pt>
                <c:pt idx="52">
                  <c:v>45808</c:v>
                </c:pt>
                <c:pt idx="53">
                  <c:v>45809</c:v>
                </c:pt>
                <c:pt idx="54">
                  <c:v>45810</c:v>
                </c:pt>
                <c:pt idx="55">
                  <c:v>45811</c:v>
                </c:pt>
                <c:pt idx="56">
                  <c:v>45812</c:v>
                </c:pt>
                <c:pt idx="57">
                  <c:v>45813</c:v>
                </c:pt>
                <c:pt idx="58">
                  <c:v>45814</c:v>
                </c:pt>
                <c:pt idx="59">
                  <c:v>45815</c:v>
                </c:pt>
                <c:pt idx="60">
                  <c:v>45816</c:v>
                </c:pt>
                <c:pt idx="61">
                  <c:v>45817</c:v>
                </c:pt>
                <c:pt idx="62">
                  <c:v>45818</c:v>
                </c:pt>
                <c:pt idx="63">
                  <c:v>45819</c:v>
                </c:pt>
                <c:pt idx="64">
                  <c:v>45820</c:v>
                </c:pt>
                <c:pt idx="65">
                  <c:v>45821</c:v>
                </c:pt>
                <c:pt idx="66">
                  <c:v>45822</c:v>
                </c:pt>
                <c:pt idx="67">
                  <c:v>45823</c:v>
                </c:pt>
                <c:pt idx="68">
                  <c:v>45824</c:v>
                </c:pt>
                <c:pt idx="69">
                  <c:v>45825</c:v>
                </c:pt>
                <c:pt idx="70">
                  <c:v>45826</c:v>
                </c:pt>
                <c:pt idx="71">
                  <c:v>45827</c:v>
                </c:pt>
                <c:pt idx="72">
                  <c:v>45828</c:v>
                </c:pt>
                <c:pt idx="73">
                  <c:v>45829</c:v>
                </c:pt>
                <c:pt idx="74">
                  <c:v>45830</c:v>
                </c:pt>
                <c:pt idx="75">
                  <c:v>45831</c:v>
                </c:pt>
                <c:pt idx="76">
                  <c:v>45832</c:v>
                </c:pt>
                <c:pt idx="77">
                  <c:v>45833</c:v>
                </c:pt>
                <c:pt idx="78">
                  <c:v>45834</c:v>
                </c:pt>
                <c:pt idx="79">
                  <c:v>45835</c:v>
                </c:pt>
                <c:pt idx="80">
                  <c:v>45836</c:v>
                </c:pt>
                <c:pt idx="81">
                  <c:v>45837</c:v>
                </c:pt>
                <c:pt idx="82">
                  <c:v>45838</c:v>
                </c:pt>
              </c:numCache>
            </c:numRef>
          </c:cat>
          <c:val>
            <c:numRef>
              <c:f>'SPDR Chart'!$Q$4:$Q$86</c:f>
              <c:numCache>
                <c:formatCode>General</c:formatCode>
                <c:ptCount val="8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1</c:v>
                </c:pt>
                <c:pt idx="22">
                  <c:v>0</c:v>
                </c:pt>
                <c:pt idx="23">
                  <c:v>0</c:v>
                </c:pt>
                <c:pt idx="24">
                  <c:v>0</c:v>
                </c:pt>
                <c:pt idx="25">
                  <c:v>0</c:v>
                </c:pt>
                <c:pt idx="26">
                  <c:v>1</c:v>
                </c:pt>
                <c:pt idx="27">
                  <c:v>3</c:v>
                </c:pt>
                <c:pt idx="28">
                  <c:v>1</c:v>
                </c:pt>
                <c:pt idx="29">
                  <c:v>0</c:v>
                </c:pt>
                <c:pt idx="30">
                  <c:v>0</c:v>
                </c:pt>
                <c:pt idx="31">
                  <c:v>0</c:v>
                </c:pt>
                <c:pt idx="32">
                  <c:v>0</c:v>
                </c:pt>
                <c:pt idx="33">
                  <c:v>0</c:v>
                </c:pt>
                <c:pt idx="34">
                  <c:v>0</c:v>
                </c:pt>
                <c:pt idx="35">
                  <c:v>0</c:v>
                </c:pt>
                <c:pt idx="36">
                  <c:v>1</c:v>
                </c:pt>
                <c:pt idx="37">
                  <c:v>0</c:v>
                </c:pt>
                <c:pt idx="38">
                  <c:v>0</c:v>
                </c:pt>
                <c:pt idx="39">
                  <c:v>0</c:v>
                </c:pt>
                <c:pt idx="40">
                  <c:v>0</c:v>
                </c:pt>
                <c:pt idx="41">
                  <c:v>1</c:v>
                </c:pt>
                <c:pt idx="42">
                  <c:v>0</c:v>
                </c:pt>
                <c:pt idx="43">
                  <c:v>3</c:v>
                </c:pt>
                <c:pt idx="44">
                  <c:v>0</c:v>
                </c:pt>
                <c:pt idx="45">
                  <c:v>0</c:v>
                </c:pt>
                <c:pt idx="46">
                  <c:v>0</c:v>
                </c:pt>
                <c:pt idx="47">
                  <c:v>0</c:v>
                </c:pt>
                <c:pt idx="48">
                  <c:v>0</c:v>
                </c:pt>
                <c:pt idx="49">
                  <c:v>1</c:v>
                </c:pt>
                <c:pt idx="50">
                  <c:v>0</c:v>
                </c:pt>
                <c:pt idx="51">
                  <c:v>0</c:v>
                </c:pt>
                <c:pt idx="52">
                  <c:v>0</c:v>
                </c:pt>
                <c:pt idx="53">
                  <c:v>0</c:v>
                </c:pt>
                <c:pt idx="54">
                  <c:v>0</c:v>
                </c:pt>
                <c:pt idx="55">
                  <c:v>1</c:v>
                </c:pt>
                <c:pt idx="56">
                  <c:v>0</c:v>
                </c:pt>
                <c:pt idx="57">
                  <c:v>0</c:v>
                </c:pt>
                <c:pt idx="58">
                  <c:v>0</c:v>
                </c:pt>
                <c:pt idx="59">
                  <c:v>0</c:v>
                </c:pt>
                <c:pt idx="60">
                  <c:v>0</c:v>
                </c:pt>
                <c:pt idx="61">
                  <c:v>0</c:v>
                </c:pt>
                <c:pt idx="62">
                  <c:v>0</c:v>
                </c:pt>
                <c:pt idx="63">
                  <c:v>1</c:v>
                </c:pt>
                <c:pt idx="64">
                  <c:v>1</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numCache>
            </c:numRef>
          </c:val>
          <c:extLst>
            <c:ext xmlns:c16="http://schemas.microsoft.com/office/drawing/2014/chart" uri="{C3380CC4-5D6E-409C-BE32-E72D297353CC}">
              <c16:uniqueId val="{00000000-E8AA-438F-8E03-10B9873A0AEE}"/>
            </c:ext>
          </c:extLst>
        </c:ser>
        <c:ser>
          <c:idx val="11"/>
          <c:order val="10"/>
          <c:tx>
            <c:strRef>
              <c:f>'SPDR Chart'!$O$3</c:f>
              <c:strCache>
                <c:ptCount val="1"/>
                <c:pt idx="0">
                  <c:v>SMH</c:v>
                </c:pt>
              </c:strCache>
            </c:strRef>
          </c:tx>
          <c:spPr>
            <a:pattFill prst="lgCheck">
              <a:fgClr>
                <a:srgbClr val="FFFF00"/>
              </a:fgClr>
              <a:bgClr>
                <a:schemeClr val="bg1"/>
              </a:bgClr>
            </a:pattFill>
            <a:ln>
              <a:solidFill>
                <a:sysClr val="windowText" lastClr="000000"/>
              </a:solidFill>
            </a:ln>
            <a:effectLst/>
          </c:spPr>
          <c:invertIfNegative val="0"/>
          <c:cat>
            <c:numRef>
              <c:f>'SPDR Chart'!$B$4:$B$86</c:f>
              <c:numCache>
                <c:formatCode>m/d/yyyy</c:formatCode>
                <c:ptCount val="83"/>
                <c:pt idx="0">
                  <c:v>45756</c:v>
                </c:pt>
                <c:pt idx="1">
                  <c:v>45757</c:v>
                </c:pt>
                <c:pt idx="2">
                  <c:v>45758</c:v>
                </c:pt>
                <c:pt idx="3">
                  <c:v>45759</c:v>
                </c:pt>
                <c:pt idx="4">
                  <c:v>45760</c:v>
                </c:pt>
                <c:pt idx="5">
                  <c:v>45761</c:v>
                </c:pt>
                <c:pt idx="6">
                  <c:v>45762</c:v>
                </c:pt>
                <c:pt idx="7">
                  <c:v>45763</c:v>
                </c:pt>
                <c:pt idx="8">
                  <c:v>45764</c:v>
                </c:pt>
                <c:pt idx="9">
                  <c:v>45765</c:v>
                </c:pt>
                <c:pt idx="10">
                  <c:v>45766</c:v>
                </c:pt>
                <c:pt idx="11">
                  <c:v>45767</c:v>
                </c:pt>
                <c:pt idx="12">
                  <c:v>45768</c:v>
                </c:pt>
                <c:pt idx="13">
                  <c:v>45769</c:v>
                </c:pt>
                <c:pt idx="14">
                  <c:v>45770</c:v>
                </c:pt>
                <c:pt idx="15">
                  <c:v>45771</c:v>
                </c:pt>
                <c:pt idx="16">
                  <c:v>45772</c:v>
                </c:pt>
                <c:pt idx="17">
                  <c:v>45773</c:v>
                </c:pt>
                <c:pt idx="18">
                  <c:v>45774</c:v>
                </c:pt>
                <c:pt idx="19">
                  <c:v>45775</c:v>
                </c:pt>
                <c:pt idx="20">
                  <c:v>45776</c:v>
                </c:pt>
                <c:pt idx="21">
                  <c:v>45777</c:v>
                </c:pt>
                <c:pt idx="22">
                  <c:v>45778</c:v>
                </c:pt>
                <c:pt idx="23">
                  <c:v>45779</c:v>
                </c:pt>
                <c:pt idx="24">
                  <c:v>45780</c:v>
                </c:pt>
                <c:pt idx="25">
                  <c:v>45781</c:v>
                </c:pt>
                <c:pt idx="26">
                  <c:v>45782</c:v>
                </c:pt>
                <c:pt idx="27">
                  <c:v>45783</c:v>
                </c:pt>
                <c:pt idx="28">
                  <c:v>45784</c:v>
                </c:pt>
                <c:pt idx="29">
                  <c:v>45785</c:v>
                </c:pt>
                <c:pt idx="30">
                  <c:v>45786</c:v>
                </c:pt>
                <c:pt idx="31">
                  <c:v>45787</c:v>
                </c:pt>
                <c:pt idx="32">
                  <c:v>45788</c:v>
                </c:pt>
                <c:pt idx="33">
                  <c:v>45789</c:v>
                </c:pt>
                <c:pt idx="34">
                  <c:v>45790</c:v>
                </c:pt>
                <c:pt idx="35">
                  <c:v>45791</c:v>
                </c:pt>
                <c:pt idx="36">
                  <c:v>45792</c:v>
                </c:pt>
                <c:pt idx="37">
                  <c:v>45793</c:v>
                </c:pt>
                <c:pt idx="38">
                  <c:v>45794</c:v>
                </c:pt>
                <c:pt idx="39">
                  <c:v>45795</c:v>
                </c:pt>
                <c:pt idx="40">
                  <c:v>45796</c:v>
                </c:pt>
                <c:pt idx="41">
                  <c:v>45797</c:v>
                </c:pt>
                <c:pt idx="42">
                  <c:v>45798</c:v>
                </c:pt>
                <c:pt idx="43">
                  <c:v>45799</c:v>
                </c:pt>
                <c:pt idx="44">
                  <c:v>45800</c:v>
                </c:pt>
                <c:pt idx="45">
                  <c:v>45801</c:v>
                </c:pt>
                <c:pt idx="46">
                  <c:v>45802</c:v>
                </c:pt>
                <c:pt idx="47">
                  <c:v>45803</c:v>
                </c:pt>
                <c:pt idx="48">
                  <c:v>45804</c:v>
                </c:pt>
                <c:pt idx="49">
                  <c:v>45805</c:v>
                </c:pt>
                <c:pt idx="50">
                  <c:v>45806</c:v>
                </c:pt>
                <c:pt idx="51">
                  <c:v>45807</c:v>
                </c:pt>
                <c:pt idx="52">
                  <c:v>45808</c:v>
                </c:pt>
                <c:pt idx="53">
                  <c:v>45809</c:v>
                </c:pt>
                <c:pt idx="54">
                  <c:v>45810</c:v>
                </c:pt>
                <c:pt idx="55">
                  <c:v>45811</c:v>
                </c:pt>
                <c:pt idx="56">
                  <c:v>45812</c:v>
                </c:pt>
                <c:pt idx="57">
                  <c:v>45813</c:v>
                </c:pt>
                <c:pt idx="58">
                  <c:v>45814</c:v>
                </c:pt>
                <c:pt idx="59">
                  <c:v>45815</c:v>
                </c:pt>
                <c:pt idx="60">
                  <c:v>45816</c:v>
                </c:pt>
                <c:pt idx="61">
                  <c:v>45817</c:v>
                </c:pt>
                <c:pt idx="62">
                  <c:v>45818</c:v>
                </c:pt>
                <c:pt idx="63">
                  <c:v>45819</c:v>
                </c:pt>
                <c:pt idx="64">
                  <c:v>45820</c:v>
                </c:pt>
                <c:pt idx="65">
                  <c:v>45821</c:v>
                </c:pt>
                <c:pt idx="66">
                  <c:v>45822</c:v>
                </c:pt>
                <c:pt idx="67">
                  <c:v>45823</c:v>
                </c:pt>
                <c:pt idx="68">
                  <c:v>45824</c:v>
                </c:pt>
                <c:pt idx="69">
                  <c:v>45825</c:v>
                </c:pt>
                <c:pt idx="70">
                  <c:v>45826</c:v>
                </c:pt>
                <c:pt idx="71">
                  <c:v>45827</c:v>
                </c:pt>
                <c:pt idx="72">
                  <c:v>45828</c:v>
                </c:pt>
                <c:pt idx="73">
                  <c:v>45829</c:v>
                </c:pt>
                <c:pt idx="74">
                  <c:v>45830</c:v>
                </c:pt>
                <c:pt idx="75">
                  <c:v>45831</c:v>
                </c:pt>
                <c:pt idx="76">
                  <c:v>45832</c:v>
                </c:pt>
                <c:pt idx="77">
                  <c:v>45833</c:v>
                </c:pt>
                <c:pt idx="78">
                  <c:v>45834</c:v>
                </c:pt>
                <c:pt idx="79">
                  <c:v>45835</c:v>
                </c:pt>
                <c:pt idx="80">
                  <c:v>45836</c:v>
                </c:pt>
                <c:pt idx="81">
                  <c:v>45837</c:v>
                </c:pt>
                <c:pt idx="82">
                  <c:v>45838</c:v>
                </c:pt>
              </c:numCache>
            </c:numRef>
          </c:cat>
          <c:val>
            <c:numRef>
              <c:f>'SPDR Chart'!$O$4:$O$86</c:f>
              <c:numCache>
                <c:formatCode>General</c:formatCode>
                <c:ptCount val="8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2</c:v>
                </c:pt>
                <c:pt idx="15">
                  <c:v>1</c:v>
                </c:pt>
                <c:pt idx="16">
                  <c:v>0</c:v>
                </c:pt>
                <c:pt idx="17">
                  <c:v>0</c:v>
                </c:pt>
                <c:pt idx="18">
                  <c:v>0</c:v>
                </c:pt>
                <c:pt idx="19">
                  <c:v>3</c:v>
                </c:pt>
                <c:pt idx="20">
                  <c:v>0</c:v>
                </c:pt>
                <c:pt idx="21">
                  <c:v>2</c:v>
                </c:pt>
                <c:pt idx="22">
                  <c:v>1</c:v>
                </c:pt>
                <c:pt idx="23">
                  <c:v>0</c:v>
                </c:pt>
                <c:pt idx="24">
                  <c:v>0</c:v>
                </c:pt>
                <c:pt idx="25">
                  <c:v>0</c:v>
                </c:pt>
                <c:pt idx="26">
                  <c:v>1</c:v>
                </c:pt>
                <c:pt idx="27">
                  <c:v>1</c:v>
                </c:pt>
                <c:pt idx="28">
                  <c:v>1</c:v>
                </c:pt>
                <c:pt idx="29">
                  <c:v>1</c:v>
                </c:pt>
                <c:pt idx="30">
                  <c:v>0</c:v>
                </c:pt>
                <c:pt idx="31">
                  <c:v>0</c:v>
                </c:pt>
                <c:pt idx="32">
                  <c:v>0</c:v>
                </c:pt>
                <c:pt idx="33">
                  <c:v>0</c:v>
                </c:pt>
                <c:pt idx="34">
                  <c:v>0</c:v>
                </c:pt>
                <c:pt idx="35">
                  <c:v>0</c:v>
                </c:pt>
                <c:pt idx="36">
                  <c:v>1</c:v>
                </c:pt>
                <c:pt idx="37">
                  <c:v>0</c:v>
                </c:pt>
                <c:pt idx="38">
                  <c:v>0</c:v>
                </c:pt>
                <c:pt idx="39">
                  <c:v>0</c:v>
                </c:pt>
                <c:pt idx="40">
                  <c:v>0</c:v>
                </c:pt>
                <c:pt idx="41">
                  <c:v>0</c:v>
                </c:pt>
                <c:pt idx="42">
                  <c:v>0</c:v>
                </c:pt>
                <c:pt idx="43">
                  <c:v>1</c:v>
                </c:pt>
                <c:pt idx="44">
                  <c:v>0</c:v>
                </c:pt>
                <c:pt idx="45">
                  <c:v>0</c:v>
                </c:pt>
                <c:pt idx="46">
                  <c:v>0</c:v>
                </c:pt>
                <c:pt idx="47">
                  <c:v>0</c:v>
                </c:pt>
                <c:pt idx="48">
                  <c:v>0</c:v>
                </c:pt>
                <c:pt idx="49">
                  <c:v>2</c:v>
                </c:pt>
                <c:pt idx="50">
                  <c:v>0</c:v>
                </c:pt>
                <c:pt idx="51">
                  <c:v>0</c:v>
                </c:pt>
                <c:pt idx="52">
                  <c:v>0</c:v>
                </c:pt>
                <c:pt idx="53">
                  <c:v>0</c:v>
                </c:pt>
                <c:pt idx="54">
                  <c:v>0</c:v>
                </c:pt>
                <c:pt idx="55">
                  <c:v>0</c:v>
                </c:pt>
                <c:pt idx="56">
                  <c:v>0</c:v>
                </c:pt>
                <c:pt idx="57">
                  <c:v>1</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1</c:v>
                </c:pt>
                <c:pt idx="78">
                  <c:v>0</c:v>
                </c:pt>
                <c:pt idx="79">
                  <c:v>0</c:v>
                </c:pt>
                <c:pt idx="80">
                  <c:v>0</c:v>
                </c:pt>
                <c:pt idx="81">
                  <c:v>0</c:v>
                </c:pt>
                <c:pt idx="82">
                  <c:v>0</c:v>
                </c:pt>
              </c:numCache>
            </c:numRef>
          </c:val>
          <c:extLst>
            <c:ext xmlns:c16="http://schemas.microsoft.com/office/drawing/2014/chart" uri="{C3380CC4-5D6E-409C-BE32-E72D297353CC}">
              <c16:uniqueId val="{00000000-2C73-4E11-A5C6-5C38BF5B6380}"/>
            </c:ext>
          </c:extLst>
        </c:ser>
        <c:ser>
          <c:idx val="9"/>
          <c:order val="11"/>
          <c:tx>
            <c:strRef>
              <c:f>'SPDR Chart'!$M$3</c:f>
              <c:strCache>
                <c:ptCount val="1"/>
                <c:pt idx="0">
                  <c:v>XLB</c:v>
                </c:pt>
              </c:strCache>
            </c:strRef>
          </c:tx>
          <c:spPr>
            <a:solidFill>
              <a:schemeClr val="accent2">
                <a:lumMod val="50000"/>
              </a:schemeClr>
            </a:solidFill>
            <a:ln>
              <a:solidFill>
                <a:sysClr val="windowText" lastClr="000000"/>
              </a:solidFill>
            </a:ln>
            <a:effectLst/>
          </c:spPr>
          <c:invertIfNegative val="0"/>
          <c:cat>
            <c:numRef>
              <c:f>'SPDR Chart'!$B$4:$B$86</c:f>
              <c:numCache>
                <c:formatCode>m/d/yyyy</c:formatCode>
                <c:ptCount val="83"/>
                <c:pt idx="0">
                  <c:v>45756</c:v>
                </c:pt>
                <c:pt idx="1">
                  <c:v>45757</c:v>
                </c:pt>
                <c:pt idx="2">
                  <c:v>45758</c:v>
                </c:pt>
                <c:pt idx="3">
                  <c:v>45759</c:v>
                </c:pt>
                <c:pt idx="4">
                  <c:v>45760</c:v>
                </c:pt>
                <c:pt idx="5">
                  <c:v>45761</c:v>
                </c:pt>
                <c:pt idx="6">
                  <c:v>45762</c:v>
                </c:pt>
                <c:pt idx="7">
                  <c:v>45763</c:v>
                </c:pt>
                <c:pt idx="8">
                  <c:v>45764</c:v>
                </c:pt>
                <c:pt idx="9">
                  <c:v>45765</c:v>
                </c:pt>
                <c:pt idx="10">
                  <c:v>45766</c:v>
                </c:pt>
                <c:pt idx="11">
                  <c:v>45767</c:v>
                </c:pt>
                <c:pt idx="12">
                  <c:v>45768</c:v>
                </c:pt>
                <c:pt idx="13">
                  <c:v>45769</c:v>
                </c:pt>
                <c:pt idx="14">
                  <c:v>45770</c:v>
                </c:pt>
                <c:pt idx="15">
                  <c:v>45771</c:v>
                </c:pt>
                <c:pt idx="16">
                  <c:v>45772</c:v>
                </c:pt>
                <c:pt idx="17">
                  <c:v>45773</c:v>
                </c:pt>
                <c:pt idx="18">
                  <c:v>45774</c:v>
                </c:pt>
                <c:pt idx="19">
                  <c:v>45775</c:v>
                </c:pt>
                <c:pt idx="20">
                  <c:v>45776</c:v>
                </c:pt>
                <c:pt idx="21">
                  <c:v>45777</c:v>
                </c:pt>
                <c:pt idx="22">
                  <c:v>45778</c:v>
                </c:pt>
                <c:pt idx="23">
                  <c:v>45779</c:v>
                </c:pt>
                <c:pt idx="24">
                  <c:v>45780</c:v>
                </c:pt>
                <c:pt idx="25">
                  <c:v>45781</c:v>
                </c:pt>
                <c:pt idx="26">
                  <c:v>45782</c:v>
                </c:pt>
                <c:pt idx="27">
                  <c:v>45783</c:v>
                </c:pt>
                <c:pt idx="28">
                  <c:v>45784</c:v>
                </c:pt>
                <c:pt idx="29">
                  <c:v>45785</c:v>
                </c:pt>
                <c:pt idx="30">
                  <c:v>45786</c:v>
                </c:pt>
                <c:pt idx="31">
                  <c:v>45787</c:v>
                </c:pt>
                <c:pt idx="32">
                  <c:v>45788</c:v>
                </c:pt>
                <c:pt idx="33">
                  <c:v>45789</c:v>
                </c:pt>
                <c:pt idx="34">
                  <c:v>45790</c:v>
                </c:pt>
                <c:pt idx="35">
                  <c:v>45791</c:v>
                </c:pt>
                <c:pt idx="36">
                  <c:v>45792</c:v>
                </c:pt>
                <c:pt idx="37">
                  <c:v>45793</c:v>
                </c:pt>
                <c:pt idx="38">
                  <c:v>45794</c:v>
                </c:pt>
                <c:pt idx="39">
                  <c:v>45795</c:v>
                </c:pt>
                <c:pt idx="40">
                  <c:v>45796</c:v>
                </c:pt>
                <c:pt idx="41">
                  <c:v>45797</c:v>
                </c:pt>
                <c:pt idx="42">
                  <c:v>45798</c:v>
                </c:pt>
                <c:pt idx="43">
                  <c:v>45799</c:v>
                </c:pt>
                <c:pt idx="44">
                  <c:v>45800</c:v>
                </c:pt>
                <c:pt idx="45">
                  <c:v>45801</c:v>
                </c:pt>
                <c:pt idx="46">
                  <c:v>45802</c:v>
                </c:pt>
                <c:pt idx="47">
                  <c:v>45803</c:v>
                </c:pt>
                <c:pt idx="48">
                  <c:v>45804</c:v>
                </c:pt>
                <c:pt idx="49">
                  <c:v>45805</c:v>
                </c:pt>
                <c:pt idx="50">
                  <c:v>45806</c:v>
                </c:pt>
                <c:pt idx="51">
                  <c:v>45807</c:v>
                </c:pt>
                <c:pt idx="52">
                  <c:v>45808</c:v>
                </c:pt>
                <c:pt idx="53">
                  <c:v>45809</c:v>
                </c:pt>
                <c:pt idx="54">
                  <c:v>45810</c:v>
                </c:pt>
                <c:pt idx="55">
                  <c:v>45811</c:v>
                </c:pt>
                <c:pt idx="56">
                  <c:v>45812</c:v>
                </c:pt>
                <c:pt idx="57">
                  <c:v>45813</c:v>
                </c:pt>
                <c:pt idx="58">
                  <c:v>45814</c:v>
                </c:pt>
                <c:pt idx="59">
                  <c:v>45815</c:v>
                </c:pt>
                <c:pt idx="60">
                  <c:v>45816</c:v>
                </c:pt>
                <c:pt idx="61">
                  <c:v>45817</c:v>
                </c:pt>
                <c:pt idx="62">
                  <c:v>45818</c:v>
                </c:pt>
                <c:pt idx="63">
                  <c:v>45819</c:v>
                </c:pt>
                <c:pt idx="64">
                  <c:v>45820</c:v>
                </c:pt>
                <c:pt idx="65">
                  <c:v>45821</c:v>
                </c:pt>
                <c:pt idx="66">
                  <c:v>45822</c:v>
                </c:pt>
                <c:pt idx="67">
                  <c:v>45823</c:v>
                </c:pt>
                <c:pt idx="68">
                  <c:v>45824</c:v>
                </c:pt>
                <c:pt idx="69">
                  <c:v>45825</c:v>
                </c:pt>
                <c:pt idx="70">
                  <c:v>45826</c:v>
                </c:pt>
                <c:pt idx="71">
                  <c:v>45827</c:v>
                </c:pt>
                <c:pt idx="72">
                  <c:v>45828</c:v>
                </c:pt>
                <c:pt idx="73">
                  <c:v>45829</c:v>
                </c:pt>
                <c:pt idx="74">
                  <c:v>45830</c:v>
                </c:pt>
                <c:pt idx="75">
                  <c:v>45831</c:v>
                </c:pt>
                <c:pt idx="76">
                  <c:v>45832</c:v>
                </c:pt>
                <c:pt idx="77">
                  <c:v>45833</c:v>
                </c:pt>
                <c:pt idx="78">
                  <c:v>45834</c:v>
                </c:pt>
                <c:pt idx="79">
                  <c:v>45835</c:v>
                </c:pt>
                <c:pt idx="80">
                  <c:v>45836</c:v>
                </c:pt>
                <c:pt idx="81">
                  <c:v>45837</c:v>
                </c:pt>
                <c:pt idx="82">
                  <c:v>45838</c:v>
                </c:pt>
              </c:numCache>
            </c:numRef>
          </c:cat>
          <c:val>
            <c:numRef>
              <c:f>'SPDR Chart'!$M$4:$M$86</c:f>
              <c:numCache>
                <c:formatCode>General</c:formatCode>
                <c:ptCount val="83"/>
                <c:pt idx="0">
                  <c:v>0</c:v>
                </c:pt>
                <c:pt idx="1">
                  <c:v>0</c:v>
                </c:pt>
                <c:pt idx="2">
                  <c:v>0</c:v>
                </c:pt>
                <c:pt idx="3">
                  <c:v>0</c:v>
                </c:pt>
                <c:pt idx="4">
                  <c:v>0</c:v>
                </c:pt>
                <c:pt idx="5">
                  <c:v>0</c:v>
                </c:pt>
                <c:pt idx="6">
                  <c:v>0</c:v>
                </c:pt>
                <c:pt idx="7">
                  <c:v>0</c:v>
                </c:pt>
                <c:pt idx="8">
                  <c:v>0</c:v>
                </c:pt>
                <c:pt idx="9">
                  <c:v>0</c:v>
                </c:pt>
                <c:pt idx="10">
                  <c:v>0</c:v>
                </c:pt>
                <c:pt idx="11">
                  <c:v>0</c:v>
                </c:pt>
                <c:pt idx="12">
                  <c:v>0</c:v>
                </c:pt>
                <c:pt idx="13">
                  <c:v>2</c:v>
                </c:pt>
                <c:pt idx="14">
                  <c:v>1</c:v>
                </c:pt>
                <c:pt idx="15">
                  <c:v>2</c:v>
                </c:pt>
                <c:pt idx="16">
                  <c:v>1</c:v>
                </c:pt>
                <c:pt idx="17">
                  <c:v>0</c:v>
                </c:pt>
                <c:pt idx="18">
                  <c:v>0</c:v>
                </c:pt>
                <c:pt idx="19">
                  <c:v>1</c:v>
                </c:pt>
                <c:pt idx="20">
                  <c:v>4</c:v>
                </c:pt>
                <c:pt idx="21">
                  <c:v>3</c:v>
                </c:pt>
                <c:pt idx="22">
                  <c:v>3</c:v>
                </c:pt>
                <c:pt idx="23">
                  <c:v>0</c:v>
                </c:pt>
                <c:pt idx="24">
                  <c:v>0</c:v>
                </c:pt>
                <c:pt idx="25">
                  <c:v>0</c:v>
                </c:pt>
                <c:pt idx="26">
                  <c:v>0</c:v>
                </c:pt>
                <c:pt idx="27">
                  <c:v>3</c:v>
                </c:pt>
                <c:pt idx="28">
                  <c:v>2</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numCache>
            </c:numRef>
          </c:val>
          <c:extLst>
            <c:ext xmlns:c16="http://schemas.microsoft.com/office/drawing/2014/chart" uri="{C3380CC4-5D6E-409C-BE32-E72D297353CC}">
              <c16:uniqueId val="{00000009-19AB-4261-AA68-8B38F7436A12}"/>
            </c:ext>
          </c:extLst>
        </c:ser>
        <c:ser>
          <c:idx val="12"/>
          <c:order val="13"/>
          <c:tx>
            <c:strRef>
              <c:f>'SPDR Chart'!$P$3</c:f>
              <c:strCache>
                <c:ptCount val="1"/>
                <c:pt idx="0">
                  <c:v>INS</c:v>
                </c:pt>
              </c:strCache>
            </c:strRef>
          </c:tx>
          <c:spPr>
            <a:solidFill>
              <a:schemeClr val="tx1"/>
            </a:solidFill>
            <a:ln>
              <a:solidFill>
                <a:sysClr val="windowText" lastClr="000000"/>
              </a:solidFill>
            </a:ln>
            <a:effectLst/>
          </c:spPr>
          <c:invertIfNegative val="0"/>
          <c:cat>
            <c:numRef>
              <c:f>'SPDR Chart'!$B$4:$B$86</c:f>
              <c:numCache>
                <c:formatCode>m/d/yyyy</c:formatCode>
                <c:ptCount val="83"/>
                <c:pt idx="0">
                  <c:v>45756</c:v>
                </c:pt>
                <c:pt idx="1">
                  <c:v>45757</c:v>
                </c:pt>
                <c:pt idx="2">
                  <c:v>45758</c:v>
                </c:pt>
                <c:pt idx="3">
                  <c:v>45759</c:v>
                </c:pt>
                <c:pt idx="4">
                  <c:v>45760</c:v>
                </c:pt>
                <c:pt idx="5">
                  <c:v>45761</c:v>
                </c:pt>
                <c:pt idx="6">
                  <c:v>45762</c:v>
                </c:pt>
                <c:pt idx="7">
                  <c:v>45763</c:v>
                </c:pt>
                <c:pt idx="8">
                  <c:v>45764</c:v>
                </c:pt>
                <c:pt idx="9">
                  <c:v>45765</c:v>
                </c:pt>
                <c:pt idx="10">
                  <c:v>45766</c:v>
                </c:pt>
                <c:pt idx="11">
                  <c:v>45767</c:v>
                </c:pt>
                <c:pt idx="12">
                  <c:v>45768</c:v>
                </c:pt>
                <c:pt idx="13">
                  <c:v>45769</c:v>
                </c:pt>
                <c:pt idx="14">
                  <c:v>45770</c:v>
                </c:pt>
                <c:pt idx="15">
                  <c:v>45771</c:v>
                </c:pt>
                <c:pt idx="16">
                  <c:v>45772</c:v>
                </c:pt>
                <c:pt idx="17">
                  <c:v>45773</c:v>
                </c:pt>
                <c:pt idx="18">
                  <c:v>45774</c:v>
                </c:pt>
                <c:pt idx="19">
                  <c:v>45775</c:v>
                </c:pt>
                <c:pt idx="20">
                  <c:v>45776</c:v>
                </c:pt>
                <c:pt idx="21">
                  <c:v>45777</c:v>
                </c:pt>
                <c:pt idx="22">
                  <c:v>45778</c:v>
                </c:pt>
                <c:pt idx="23">
                  <c:v>45779</c:v>
                </c:pt>
                <c:pt idx="24">
                  <c:v>45780</c:v>
                </c:pt>
                <c:pt idx="25">
                  <c:v>45781</c:v>
                </c:pt>
                <c:pt idx="26">
                  <c:v>45782</c:v>
                </c:pt>
                <c:pt idx="27">
                  <c:v>45783</c:v>
                </c:pt>
                <c:pt idx="28">
                  <c:v>45784</c:v>
                </c:pt>
                <c:pt idx="29">
                  <c:v>45785</c:v>
                </c:pt>
                <c:pt idx="30">
                  <c:v>45786</c:v>
                </c:pt>
                <c:pt idx="31">
                  <c:v>45787</c:v>
                </c:pt>
                <c:pt idx="32">
                  <c:v>45788</c:v>
                </c:pt>
                <c:pt idx="33">
                  <c:v>45789</c:v>
                </c:pt>
                <c:pt idx="34">
                  <c:v>45790</c:v>
                </c:pt>
                <c:pt idx="35">
                  <c:v>45791</c:v>
                </c:pt>
                <c:pt idx="36">
                  <c:v>45792</c:v>
                </c:pt>
                <c:pt idx="37">
                  <c:v>45793</c:v>
                </c:pt>
                <c:pt idx="38">
                  <c:v>45794</c:v>
                </c:pt>
                <c:pt idx="39">
                  <c:v>45795</c:v>
                </c:pt>
                <c:pt idx="40">
                  <c:v>45796</c:v>
                </c:pt>
                <c:pt idx="41">
                  <c:v>45797</c:v>
                </c:pt>
                <c:pt idx="42">
                  <c:v>45798</c:v>
                </c:pt>
                <c:pt idx="43">
                  <c:v>45799</c:v>
                </c:pt>
                <c:pt idx="44">
                  <c:v>45800</c:v>
                </c:pt>
                <c:pt idx="45">
                  <c:v>45801</c:v>
                </c:pt>
                <c:pt idx="46">
                  <c:v>45802</c:v>
                </c:pt>
                <c:pt idx="47">
                  <c:v>45803</c:v>
                </c:pt>
                <c:pt idx="48">
                  <c:v>45804</c:v>
                </c:pt>
                <c:pt idx="49">
                  <c:v>45805</c:v>
                </c:pt>
                <c:pt idx="50">
                  <c:v>45806</c:v>
                </c:pt>
                <c:pt idx="51">
                  <c:v>45807</c:v>
                </c:pt>
                <c:pt idx="52">
                  <c:v>45808</c:v>
                </c:pt>
                <c:pt idx="53">
                  <c:v>45809</c:v>
                </c:pt>
                <c:pt idx="54">
                  <c:v>45810</c:v>
                </c:pt>
                <c:pt idx="55">
                  <c:v>45811</c:v>
                </c:pt>
                <c:pt idx="56">
                  <c:v>45812</c:v>
                </c:pt>
                <c:pt idx="57">
                  <c:v>45813</c:v>
                </c:pt>
                <c:pt idx="58">
                  <c:v>45814</c:v>
                </c:pt>
                <c:pt idx="59">
                  <c:v>45815</c:v>
                </c:pt>
                <c:pt idx="60">
                  <c:v>45816</c:v>
                </c:pt>
                <c:pt idx="61">
                  <c:v>45817</c:v>
                </c:pt>
                <c:pt idx="62">
                  <c:v>45818</c:v>
                </c:pt>
                <c:pt idx="63">
                  <c:v>45819</c:v>
                </c:pt>
                <c:pt idx="64">
                  <c:v>45820</c:v>
                </c:pt>
                <c:pt idx="65">
                  <c:v>45821</c:v>
                </c:pt>
                <c:pt idx="66">
                  <c:v>45822</c:v>
                </c:pt>
                <c:pt idx="67">
                  <c:v>45823</c:v>
                </c:pt>
                <c:pt idx="68">
                  <c:v>45824</c:v>
                </c:pt>
                <c:pt idx="69">
                  <c:v>45825</c:v>
                </c:pt>
                <c:pt idx="70">
                  <c:v>45826</c:v>
                </c:pt>
                <c:pt idx="71">
                  <c:v>45827</c:v>
                </c:pt>
                <c:pt idx="72">
                  <c:v>45828</c:v>
                </c:pt>
                <c:pt idx="73">
                  <c:v>45829</c:v>
                </c:pt>
                <c:pt idx="74">
                  <c:v>45830</c:v>
                </c:pt>
                <c:pt idx="75">
                  <c:v>45831</c:v>
                </c:pt>
                <c:pt idx="76">
                  <c:v>45832</c:v>
                </c:pt>
                <c:pt idx="77">
                  <c:v>45833</c:v>
                </c:pt>
                <c:pt idx="78">
                  <c:v>45834</c:v>
                </c:pt>
                <c:pt idx="79">
                  <c:v>45835</c:v>
                </c:pt>
                <c:pt idx="80">
                  <c:v>45836</c:v>
                </c:pt>
                <c:pt idx="81">
                  <c:v>45837</c:v>
                </c:pt>
                <c:pt idx="82">
                  <c:v>45838</c:v>
                </c:pt>
              </c:numCache>
            </c:numRef>
          </c:cat>
          <c:val>
            <c:numRef>
              <c:f>'SPDR Chart'!$P$4:$P$86</c:f>
              <c:numCache>
                <c:formatCode>General</c:formatCode>
                <c:ptCount val="83"/>
                <c:pt idx="0">
                  <c:v>0</c:v>
                </c:pt>
                <c:pt idx="1">
                  <c:v>0</c:v>
                </c:pt>
                <c:pt idx="2">
                  <c:v>0</c:v>
                </c:pt>
                <c:pt idx="3">
                  <c:v>0</c:v>
                </c:pt>
                <c:pt idx="4">
                  <c:v>0</c:v>
                </c:pt>
                <c:pt idx="5">
                  <c:v>0</c:v>
                </c:pt>
                <c:pt idx="6">
                  <c:v>0</c:v>
                </c:pt>
                <c:pt idx="7">
                  <c:v>2</c:v>
                </c:pt>
                <c:pt idx="8">
                  <c:v>1</c:v>
                </c:pt>
                <c:pt idx="9">
                  <c:v>0</c:v>
                </c:pt>
                <c:pt idx="10">
                  <c:v>0</c:v>
                </c:pt>
                <c:pt idx="11">
                  <c:v>0</c:v>
                </c:pt>
                <c:pt idx="12">
                  <c:v>1</c:v>
                </c:pt>
                <c:pt idx="13">
                  <c:v>0</c:v>
                </c:pt>
                <c:pt idx="14">
                  <c:v>0</c:v>
                </c:pt>
                <c:pt idx="15">
                  <c:v>1</c:v>
                </c:pt>
                <c:pt idx="16">
                  <c:v>0</c:v>
                </c:pt>
                <c:pt idx="17">
                  <c:v>0</c:v>
                </c:pt>
                <c:pt idx="18">
                  <c:v>0</c:v>
                </c:pt>
                <c:pt idx="19">
                  <c:v>2</c:v>
                </c:pt>
                <c:pt idx="20">
                  <c:v>1</c:v>
                </c:pt>
                <c:pt idx="21">
                  <c:v>4</c:v>
                </c:pt>
                <c:pt idx="22">
                  <c:v>2</c:v>
                </c:pt>
                <c:pt idx="23">
                  <c:v>0</c:v>
                </c:pt>
                <c:pt idx="24">
                  <c:v>0</c:v>
                </c:pt>
                <c:pt idx="25">
                  <c:v>0</c:v>
                </c:pt>
                <c:pt idx="26">
                  <c:v>0</c:v>
                </c:pt>
                <c:pt idx="27">
                  <c:v>1</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numCache>
            </c:numRef>
          </c:val>
          <c:extLst>
            <c:ext xmlns:c16="http://schemas.microsoft.com/office/drawing/2014/chart" uri="{C3380CC4-5D6E-409C-BE32-E72D297353CC}">
              <c16:uniqueId val="{00000001-2C73-4E11-A5C6-5C38BF5B6380}"/>
            </c:ext>
          </c:extLst>
        </c:ser>
        <c:ser>
          <c:idx val="14"/>
          <c:order val="14"/>
          <c:tx>
            <c:strRef>
              <c:f>'SPDR Chart'!$E$3</c:f>
              <c:strCache>
                <c:ptCount val="1"/>
                <c:pt idx="0">
                  <c:v>XHB</c:v>
                </c:pt>
              </c:strCache>
            </c:strRef>
          </c:tx>
          <c:spPr>
            <a:solidFill>
              <a:schemeClr val="accent3">
                <a:lumMod val="75000"/>
              </a:schemeClr>
            </a:solidFill>
            <a:ln>
              <a:solidFill>
                <a:sysClr val="windowText" lastClr="000000"/>
              </a:solidFill>
            </a:ln>
            <a:effectLst/>
          </c:spPr>
          <c:invertIfNegative val="0"/>
          <c:cat>
            <c:numRef>
              <c:f>'SPDR Chart'!$B$4:$B$86</c:f>
              <c:numCache>
                <c:formatCode>m/d/yyyy</c:formatCode>
                <c:ptCount val="83"/>
                <c:pt idx="0">
                  <c:v>45756</c:v>
                </c:pt>
                <c:pt idx="1">
                  <c:v>45757</c:v>
                </c:pt>
                <c:pt idx="2">
                  <c:v>45758</c:v>
                </c:pt>
                <c:pt idx="3">
                  <c:v>45759</c:v>
                </c:pt>
                <c:pt idx="4">
                  <c:v>45760</c:v>
                </c:pt>
                <c:pt idx="5">
                  <c:v>45761</c:v>
                </c:pt>
                <c:pt idx="6">
                  <c:v>45762</c:v>
                </c:pt>
                <c:pt idx="7">
                  <c:v>45763</c:v>
                </c:pt>
                <c:pt idx="8">
                  <c:v>45764</c:v>
                </c:pt>
                <c:pt idx="9">
                  <c:v>45765</c:v>
                </c:pt>
                <c:pt idx="10">
                  <c:v>45766</c:v>
                </c:pt>
                <c:pt idx="11">
                  <c:v>45767</c:v>
                </c:pt>
                <c:pt idx="12">
                  <c:v>45768</c:v>
                </c:pt>
                <c:pt idx="13">
                  <c:v>45769</c:v>
                </c:pt>
                <c:pt idx="14">
                  <c:v>45770</c:v>
                </c:pt>
                <c:pt idx="15">
                  <c:v>45771</c:v>
                </c:pt>
                <c:pt idx="16">
                  <c:v>45772</c:v>
                </c:pt>
                <c:pt idx="17">
                  <c:v>45773</c:v>
                </c:pt>
                <c:pt idx="18">
                  <c:v>45774</c:v>
                </c:pt>
                <c:pt idx="19">
                  <c:v>45775</c:v>
                </c:pt>
                <c:pt idx="20">
                  <c:v>45776</c:v>
                </c:pt>
                <c:pt idx="21">
                  <c:v>45777</c:v>
                </c:pt>
                <c:pt idx="22">
                  <c:v>45778</c:v>
                </c:pt>
                <c:pt idx="23">
                  <c:v>45779</c:v>
                </c:pt>
                <c:pt idx="24">
                  <c:v>45780</c:v>
                </c:pt>
                <c:pt idx="25">
                  <c:v>45781</c:v>
                </c:pt>
                <c:pt idx="26">
                  <c:v>45782</c:v>
                </c:pt>
                <c:pt idx="27">
                  <c:v>45783</c:v>
                </c:pt>
                <c:pt idx="28">
                  <c:v>45784</c:v>
                </c:pt>
                <c:pt idx="29">
                  <c:v>45785</c:v>
                </c:pt>
                <c:pt idx="30">
                  <c:v>45786</c:v>
                </c:pt>
                <c:pt idx="31">
                  <c:v>45787</c:v>
                </c:pt>
                <c:pt idx="32">
                  <c:v>45788</c:v>
                </c:pt>
                <c:pt idx="33">
                  <c:v>45789</c:v>
                </c:pt>
                <c:pt idx="34">
                  <c:v>45790</c:v>
                </c:pt>
                <c:pt idx="35">
                  <c:v>45791</c:v>
                </c:pt>
                <c:pt idx="36">
                  <c:v>45792</c:v>
                </c:pt>
                <c:pt idx="37">
                  <c:v>45793</c:v>
                </c:pt>
                <c:pt idx="38">
                  <c:v>45794</c:v>
                </c:pt>
                <c:pt idx="39">
                  <c:v>45795</c:v>
                </c:pt>
                <c:pt idx="40">
                  <c:v>45796</c:v>
                </c:pt>
                <c:pt idx="41">
                  <c:v>45797</c:v>
                </c:pt>
                <c:pt idx="42">
                  <c:v>45798</c:v>
                </c:pt>
                <c:pt idx="43">
                  <c:v>45799</c:v>
                </c:pt>
                <c:pt idx="44">
                  <c:v>45800</c:v>
                </c:pt>
                <c:pt idx="45">
                  <c:v>45801</c:v>
                </c:pt>
                <c:pt idx="46">
                  <c:v>45802</c:v>
                </c:pt>
                <c:pt idx="47">
                  <c:v>45803</c:v>
                </c:pt>
                <c:pt idx="48">
                  <c:v>45804</c:v>
                </c:pt>
                <c:pt idx="49">
                  <c:v>45805</c:v>
                </c:pt>
                <c:pt idx="50">
                  <c:v>45806</c:v>
                </c:pt>
                <c:pt idx="51">
                  <c:v>45807</c:v>
                </c:pt>
                <c:pt idx="52">
                  <c:v>45808</c:v>
                </c:pt>
                <c:pt idx="53">
                  <c:v>45809</c:v>
                </c:pt>
                <c:pt idx="54">
                  <c:v>45810</c:v>
                </c:pt>
                <c:pt idx="55">
                  <c:v>45811</c:v>
                </c:pt>
                <c:pt idx="56">
                  <c:v>45812</c:v>
                </c:pt>
                <c:pt idx="57">
                  <c:v>45813</c:v>
                </c:pt>
                <c:pt idx="58">
                  <c:v>45814</c:v>
                </c:pt>
                <c:pt idx="59">
                  <c:v>45815</c:v>
                </c:pt>
                <c:pt idx="60">
                  <c:v>45816</c:v>
                </c:pt>
                <c:pt idx="61">
                  <c:v>45817</c:v>
                </c:pt>
                <c:pt idx="62">
                  <c:v>45818</c:v>
                </c:pt>
                <c:pt idx="63">
                  <c:v>45819</c:v>
                </c:pt>
                <c:pt idx="64">
                  <c:v>45820</c:v>
                </c:pt>
                <c:pt idx="65">
                  <c:v>45821</c:v>
                </c:pt>
                <c:pt idx="66">
                  <c:v>45822</c:v>
                </c:pt>
                <c:pt idx="67">
                  <c:v>45823</c:v>
                </c:pt>
                <c:pt idx="68">
                  <c:v>45824</c:v>
                </c:pt>
                <c:pt idx="69">
                  <c:v>45825</c:v>
                </c:pt>
                <c:pt idx="70">
                  <c:v>45826</c:v>
                </c:pt>
                <c:pt idx="71">
                  <c:v>45827</c:v>
                </c:pt>
                <c:pt idx="72">
                  <c:v>45828</c:v>
                </c:pt>
                <c:pt idx="73">
                  <c:v>45829</c:v>
                </c:pt>
                <c:pt idx="74">
                  <c:v>45830</c:v>
                </c:pt>
                <c:pt idx="75">
                  <c:v>45831</c:v>
                </c:pt>
                <c:pt idx="76">
                  <c:v>45832</c:v>
                </c:pt>
                <c:pt idx="77">
                  <c:v>45833</c:v>
                </c:pt>
                <c:pt idx="78">
                  <c:v>45834</c:v>
                </c:pt>
                <c:pt idx="79">
                  <c:v>45835</c:v>
                </c:pt>
                <c:pt idx="80">
                  <c:v>45836</c:v>
                </c:pt>
                <c:pt idx="81">
                  <c:v>45837</c:v>
                </c:pt>
                <c:pt idx="82">
                  <c:v>45838</c:v>
                </c:pt>
              </c:numCache>
            </c:numRef>
          </c:cat>
          <c:val>
            <c:numRef>
              <c:f>'SPDR Chart'!$E$4:$E$86</c:f>
              <c:numCache>
                <c:formatCode>General</c:formatCode>
                <c:ptCount val="83"/>
                <c:pt idx="0">
                  <c:v>0</c:v>
                </c:pt>
                <c:pt idx="1">
                  <c:v>0</c:v>
                </c:pt>
                <c:pt idx="2">
                  <c:v>0</c:v>
                </c:pt>
                <c:pt idx="3">
                  <c:v>0</c:v>
                </c:pt>
                <c:pt idx="4">
                  <c:v>0</c:v>
                </c:pt>
                <c:pt idx="5">
                  <c:v>0</c:v>
                </c:pt>
                <c:pt idx="6">
                  <c:v>0</c:v>
                </c:pt>
                <c:pt idx="7">
                  <c:v>0</c:v>
                </c:pt>
                <c:pt idx="8">
                  <c:v>1</c:v>
                </c:pt>
                <c:pt idx="9">
                  <c:v>0</c:v>
                </c:pt>
                <c:pt idx="10">
                  <c:v>0</c:v>
                </c:pt>
                <c:pt idx="11">
                  <c:v>0</c:v>
                </c:pt>
                <c:pt idx="12">
                  <c:v>0</c:v>
                </c:pt>
                <c:pt idx="13">
                  <c:v>1</c:v>
                </c:pt>
                <c:pt idx="14">
                  <c:v>1</c:v>
                </c:pt>
                <c:pt idx="15">
                  <c:v>0</c:v>
                </c:pt>
                <c:pt idx="16">
                  <c:v>0</c:v>
                </c:pt>
                <c:pt idx="17">
                  <c:v>0</c:v>
                </c:pt>
                <c:pt idx="18">
                  <c:v>0</c:v>
                </c:pt>
                <c:pt idx="19">
                  <c:v>0</c:v>
                </c:pt>
                <c:pt idx="20">
                  <c:v>1</c:v>
                </c:pt>
                <c:pt idx="21">
                  <c:v>0</c:v>
                </c:pt>
                <c:pt idx="22">
                  <c:v>2</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1</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numCache>
            </c:numRef>
          </c:val>
          <c:extLst>
            <c:ext xmlns:c16="http://schemas.microsoft.com/office/drawing/2014/chart" uri="{C3380CC4-5D6E-409C-BE32-E72D297353CC}">
              <c16:uniqueId val="{00000000-96EC-4445-8294-B5769638A01A}"/>
            </c:ext>
          </c:extLst>
        </c:ser>
        <c:dLbls>
          <c:showLegendKey val="0"/>
          <c:showVal val="0"/>
          <c:showCatName val="0"/>
          <c:showSerName val="0"/>
          <c:showPercent val="0"/>
          <c:showBubbleSize val="0"/>
        </c:dLbls>
        <c:gapWidth val="10"/>
        <c:overlap val="100"/>
        <c:axId val="1489289600"/>
        <c:axId val="1489292960"/>
        <c:extLst>
          <c:ext xmlns:c15="http://schemas.microsoft.com/office/drawing/2012/chart" uri="{02D57815-91ED-43cb-92C2-25804820EDAC}">
            <c15:filteredBarSeries>
              <c15:ser>
                <c:idx val="5"/>
                <c:order val="5"/>
                <c:tx>
                  <c:strRef>
                    <c:extLst>
                      <c:ext uri="{02D57815-91ED-43cb-92C2-25804820EDAC}">
                        <c15:formulaRef>
                          <c15:sqref>'SPDR Chart'!$I$3</c15:sqref>
                        </c15:formulaRef>
                      </c:ext>
                    </c:extLst>
                    <c:strCache>
                      <c:ptCount val="1"/>
                      <c:pt idx="0">
                        <c:v>XLRE</c:v>
                      </c:pt>
                    </c:strCache>
                  </c:strRef>
                </c:tx>
                <c:spPr>
                  <a:solidFill>
                    <a:schemeClr val="tx1">
                      <a:lumMod val="50000"/>
                      <a:lumOff val="50000"/>
                    </a:schemeClr>
                  </a:solidFill>
                  <a:ln>
                    <a:solidFill>
                      <a:sysClr val="windowText" lastClr="000000"/>
                    </a:solidFill>
                  </a:ln>
                  <a:effectLst/>
                </c:spPr>
                <c:invertIfNegative val="0"/>
                <c:cat>
                  <c:numRef>
                    <c:extLst>
                      <c:ext uri="{02D57815-91ED-43cb-92C2-25804820EDAC}">
                        <c15:formulaRef>
                          <c15:sqref>'SPDR Chart'!$B$4:$B$86</c15:sqref>
                        </c15:formulaRef>
                      </c:ext>
                    </c:extLst>
                    <c:numCache>
                      <c:formatCode>m/d/yyyy</c:formatCode>
                      <c:ptCount val="83"/>
                      <c:pt idx="0">
                        <c:v>45756</c:v>
                      </c:pt>
                      <c:pt idx="1">
                        <c:v>45757</c:v>
                      </c:pt>
                      <c:pt idx="2">
                        <c:v>45758</c:v>
                      </c:pt>
                      <c:pt idx="3">
                        <c:v>45759</c:v>
                      </c:pt>
                      <c:pt idx="4">
                        <c:v>45760</c:v>
                      </c:pt>
                      <c:pt idx="5">
                        <c:v>45761</c:v>
                      </c:pt>
                      <c:pt idx="6">
                        <c:v>45762</c:v>
                      </c:pt>
                      <c:pt idx="7">
                        <c:v>45763</c:v>
                      </c:pt>
                      <c:pt idx="8">
                        <c:v>45764</c:v>
                      </c:pt>
                      <c:pt idx="9">
                        <c:v>45765</c:v>
                      </c:pt>
                      <c:pt idx="10">
                        <c:v>45766</c:v>
                      </c:pt>
                      <c:pt idx="11">
                        <c:v>45767</c:v>
                      </c:pt>
                      <c:pt idx="12">
                        <c:v>45768</c:v>
                      </c:pt>
                      <c:pt idx="13">
                        <c:v>45769</c:v>
                      </c:pt>
                      <c:pt idx="14">
                        <c:v>45770</c:v>
                      </c:pt>
                      <c:pt idx="15">
                        <c:v>45771</c:v>
                      </c:pt>
                      <c:pt idx="16">
                        <c:v>45772</c:v>
                      </c:pt>
                      <c:pt idx="17">
                        <c:v>45773</c:v>
                      </c:pt>
                      <c:pt idx="18">
                        <c:v>45774</c:v>
                      </c:pt>
                      <c:pt idx="19">
                        <c:v>45775</c:v>
                      </c:pt>
                      <c:pt idx="20">
                        <c:v>45776</c:v>
                      </c:pt>
                      <c:pt idx="21">
                        <c:v>45777</c:v>
                      </c:pt>
                      <c:pt idx="22">
                        <c:v>45778</c:v>
                      </c:pt>
                      <c:pt idx="23">
                        <c:v>45779</c:v>
                      </c:pt>
                      <c:pt idx="24">
                        <c:v>45780</c:v>
                      </c:pt>
                      <c:pt idx="25">
                        <c:v>45781</c:v>
                      </c:pt>
                      <c:pt idx="26">
                        <c:v>45782</c:v>
                      </c:pt>
                      <c:pt idx="27">
                        <c:v>45783</c:v>
                      </c:pt>
                      <c:pt idx="28">
                        <c:v>45784</c:v>
                      </c:pt>
                      <c:pt idx="29">
                        <c:v>45785</c:v>
                      </c:pt>
                      <c:pt idx="30">
                        <c:v>45786</c:v>
                      </c:pt>
                      <c:pt idx="31">
                        <c:v>45787</c:v>
                      </c:pt>
                      <c:pt idx="32">
                        <c:v>45788</c:v>
                      </c:pt>
                      <c:pt idx="33">
                        <c:v>45789</c:v>
                      </c:pt>
                      <c:pt idx="34">
                        <c:v>45790</c:v>
                      </c:pt>
                      <c:pt idx="35">
                        <c:v>45791</c:v>
                      </c:pt>
                      <c:pt idx="36">
                        <c:v>45792</c:v>
                      </c:pt>
                      <c:pt idx="37">
                        <c:v>45793</c:v>
                      </c:pt>
                      <c:pt idx="38">
                        <c:v>45794</c:v>
                      </c:pt>
                      <c:pt idx="39">
                        <c:v>45795</c:v>
                      </c:pt>
                      <c:pt idx="40">
                        <c:v>45796</c:v>
                      </c:pt>
                      <c:pt idx="41">
                        <c:v>45797</c:v>
                      </c:pt>
                      <c:pt idx="42">
                        <c:v>45798</c:v>
                      </c:pt>
                      <c:pt idx="43">
                        <c:v>45799</c:v>
                      </c:pt>
                      <c:pt idx="44">
                        <c:v>45800</c:v>
                      </c:pt>
                      <c:pt idx="45">
                        <c:v>45801</c:v>
                      </c:pt>
                      <c:pt idx="46">
                        <c:v>45802</c:v>
                      </c:pt>
                      <c:pt idx="47">
                        <c:v>45803</c:v>
                      </c:pt>
                      <c:pt idx="48">
                        <c:v>45804</c:v>
                      </c:pt>
                      <c:pt idx="49">
                        <c:v>45805</c:v>
                      </c:pt>
                      <c:pt idx="50">
                        <c:v>45806</c:v>
                      </c:pt>
                      <c:pt idx="51">
                        <c:v>45807</c:v>
                      </c:pt>
                      <c:pt idx="52">
                        <c:v>45808</c:v>
                      </c:pt>
                      <c:pt idx="53">
                        <c:v>45809</c:v>
                      </c:pt>
                      <c:pt idx="54">
                        <c:v>45810</c:v>
                      </c:pt>
                      <c:pt idx="55">
                        <c:v>45811</c:v>
                      </c:pt>
                      <c:pt idx="56">
                        <c:v>45812</c:v>
                      </c:pt>
                      <c:pt idx="57">
                        <c:v>45813</c:v>
                      </c:pt>
                      <c:pt idx="58">
                        <c:v>45814</c:v>
                      </c:pt>
                      <c:pt idx="59">
                        <c:v>45815</c:v>
                      </c:pt>
                      <c:pt idx="60">
                        <c:v>45816</c:v>
                      </c:pt>
                      <c:pt idx="61">
                        <c:v>45817</c:v>
                      </c:pt>
                      <c:pt idx="62">
                        <c:v>45818</c:v>
                      </c:pt>
                      <c:pt idx="63">
                        <c:v>45819</c:v>
                      </c:pt>
                      <c:pt idx="64">
                        <c:v>45820</c:v>
                      </c:pt>
                      <c:pt idx="65">
                        <c:v>45821</c:v>
                      </c:pt>
                      <c:pt idx="66">
                        <c:v>45822</c:v>
                      </c:pt>
                      <c:pt idx="67">
                        <c:v>45823</c:v>
                      </c:pt>
                      <c:pt idx="68">
                        <c:v>45824</c:v>
                      </c:pt>
                      <c:pt idx="69">
                        <c:v>45825</c:v>
                      </c:pt>
                      <c:pt idx="70">
                        <c:v>45826</c:v>
                      </c:pt>
                      <c:pt idx="71">
                        <c:v>45827</c:v>
                      </c:pt>
                      <c:pt idx="72">
                        <c:v>45828</c:v>
                      </c:pt>
                      <c:pt idx="73">
                        <c:v>45829</c:v>
                      </c:pt>
                      <c:pt idx="74">
                        <c:v>45830</c:v>
                      </c:pt>
                      <c:pt idx="75">
                        <c:v>45831</c:v>
                      </c:pt>
                      <c:pt idx="76">
                        <c:v>45832</c:v>
                      </c:pt>
                      <c:pt idx="77">
                        <c:v>45833</c:v>
                      </c:pt>
                      <c:pt idx="78">
                        <c:v>45834</c:v>
                      </c:pt>
                      <c:pt idx="79">
                        <c:v>45835</c:v>
                      </c:pt>
                      <c:pt idx="80">
                        <c:v>45836</c:v>
                      </c:pt>
                      <c:pt idx="81">
                        <c:v>45837</c:v>
                      </c:pt>
                      <c:pt idx="82">
                        <c:v>45838</c:v>
                      </c:pt>
                    </c:numCache>
                  </c:numRef>
                </c:cat>
                <c:val>
                  <c:numRef>
                    <c:extLst>
                      <c:ext uri="{02D57815-91ED-43cb-92C2-25804820EDAC}">
                        <c15:formulaRef>
                          <c15:sqref>'SPDR Chart'!$I$4:$I$86</c15:sqref>
                        </c15:formulaRef>
                      </c:ext>
                    </c:extLst>
                    <c:numCache>
                      <c:formatCode>General</c:formatCode>
                      <c:ptCount val="8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numCache>
                  </c:numRef>
                </c:val>
                <c:extLst>
                  <c:ext xmlns:c16="http://schemas.microsoft.com/office/drawing/2014/chart" uri="{C3380CC4-5D6E-409C-BE32-E72D297353CC}">
                    <c16:uniqueId val="{00000005-19AB-4261-AA68-8B38F7436A12}"/>
                  </c:ext>
                </c:extLst>
              </c15:ser>
            </c15:filteredBarSeries>
            <c15:filteredBarSeries>
              <c15:ser>
                <c:idx val="10"/>
                <c:order val="12"/>
                <c:tx>
                  <c:strRef>
                    <c:extLst xmlns:c15="http://schemas.microsoft.com/office/drawing/2012/chart">
                      <c:ext xmlns:c15="http://schemas.microsoft.com/office/drawing/2012/chart" uri="{02D57815-91ED-43cb-92C2-25804820EDAC}">
                        <c15:formulaRef>
                          <c15:sqref>'SPDR Chart'!$N$3</c15:sqref>
                        </c15:formulaRef>
                      </c:ext>
                    </c:extLst>
                    <c:strCache>
                      <c:ptCount val="1"/>
                      <c:pt idx="0">
                        <c:v>XLU</c:v>
                      </c:pt>
                    </c:strCache>
                  </c:strRef>
                </c:tx>
                <c:spPr>
                  <a:solidFill>
                    <a:schemeClr val="bg1">
                      <a:lumMod val="95000"/>
                    </a:schemeClr>
                  </a:solidFill>
                  <a:ln>
                    <a:solidFill>
                      <a:sysClr val="windowText" lastClr="000000"/>
                    </a:solidFill>
                  </a:ln>
                  <a:effectLst/>
                </c:spPr>
                <c:invertIfNegative val="0"/>
                <c:cat>
                  <c:numRef>
                    <c:extLst xmlns:c15="http://schemas.microsoft.com/office/drawing/2012/chart">
                      <c:ext xmlns:c15="http://schemas.microsoft.com/office/drawing/2012/chart" uri="{02D57815-91ED-43cb-92C2-25804820EDAC}">
                        <c15:formulaRef>
                          <c15:sqref>'SPDR Chart'!$B$4:$B$86</c15:sqref>
                        </c15:formulaRef>
                      </c:ext>
                    </c:extLst>
                    <c:numCache>
                      <c:formatCode>m/d/yyyy</c:formatCode>
                      <c:ptCount val="83"/>
                      <c:pt idx="0">
                        <c:v>45756</c:v>
                      </c:pt>
                      <c:pt idx="1">
                        <c:v>45757</c:v>
                      </c:pt>
                      <c:pt idx="2">
                        <c:v>45758</c:v>
                      </c:pt>
                      <c:pt idx="3">
                        <c:v>45759</c:v>
                      </c:pt>
                      <c:pt idx="4">
                        <c:v>45760</c:v>
                      </c:pt>
                      <c:pt idx="5">
                        <c:v>45761</c:v>
                      </c:pt>
                      <c:pt idx="6">
                        <c:v>45762</c:v>
                      </c:pt>
                      <c:pt idx="7">
                        <c:v>45763</c:v>
                      </c:pt>
                      <c:pt idx="8">
                        <c:v>45764</c:v>
                      </c:pt>
                      <c:pt idx="9">
                        <c:v>45765</c:v>
                      </c:pt>
                      <c:pt idx="10">
                        <c:v>45766</c:v>
                      </c:pt>
                      <c:pt idx="11">
                        <c:v>45767</c:v>
                      </c:pt>
                      <c:pt idx="12">
                        <c:v>45768</c:v>
                      </c:pt>
                      <c:pt idx="13">
                        <c:v>45769</c:v>
                      </c:pt>
                      <c:pt idx="14">
                        <c:v>45770</c:v>
                      </c:pt>
                      <c:pt idx="15">
                        <c:v>45771</c:v>
                      </c:pt>
                      <c:pt idx="16">
                        <c:v>45772</c:v>
                      </c:pt>
                      <c:pt idx="17">
                        <c:v>45773</c:v>
                      </c:pt>
                      <c:pt idx="18">
                        <c:v>45774</c:v>
                      </c:pt>
                      <c:pt idx="19">
                        <c:v>45775</c:v>
                      </c:pt>
                      <c:pt idx="20">
                        <c:v>45776</c:v>
                      </c:pt>
                      <c:pt idx="21">
                        <c:v>45777</c:v>
                      </c:pt>
                      <c:pt idx="22">
                        <c:v>45778</c:v>
                      </c:pt>
                      <c:pt idx="23">
                        <c:v>45779</c:v>
                      </c:pt>
                      <c:pt idx="24">
                        <c:v>45780</c:v>
                      </c:pt>
                      <c:pt idx="25">
                        <c:v>45781</c:v>
                      </c:pt>
                      <c:pt idx="26">
                        <c:v>45782</c:v>
                      </c:pt>
                      <c:pt idx="27">
                        <c:v>45783</c:v>
                      </c:pt>
                      <c:pt idx="28">
                        <c:v>45784</c:v>
                      </c:pt>
                      <c:pt idx="29">
                        <c:v>45785</c:v>
                      </c:pt>
                      <c:pt idx="30">
                        <c:v>45786</c:v>
                      </c:pt>
                      <c:pt idx="31">
                        <c:v>45787</c:v>
                      </c:pt>
                      <c:pt idx="32">
                        <c:v>45788</c:v>
                      </c:pt>
                      <c:pt idx="33">
                        <c:v>45789</c:v>
                      </c:pt>
                      <c:pt idx="34">
                        <c:v>45790</c:v>
                      </c:pt>
                      <c:pt idx="35">
                        <c:v>45791</c:v>
                      </c:pt>
                      <c:pt idx="36">
                        <c:v>45792</c:v>
                      </c:pt>
                      <c:pt idx="37">
                        <c:v>45793</c:v>
                      </c:pt>
                      <c:pt idx="38">
                        <c:v>45794</c:v>
                      </c:pt>
                      <c:pt idx="39">
                        <c:v>45795</c:v>
                      </c:pt>
                      <c:pt idx="40">
                        <c:v>45796</c:v>
                      </c:pt>
                      <c:pt idx="41">
                        <c:v>45797</c:v>
                      </c:pt>
                      <c:pt idx="42">
                        <c:v>45798</c:v>
                      </c:pt>
                      <c:pt idx="43">
                        <c:v>45799</c:v>
                      </c:pt>
                      <c:pt idx="44">
                        <c:v>45800</c:v>
                      </c:pt>
                      <c:pt idx="45">
                        <c:v>45801</c:v>
                      </c:pt>
                      <c:pt idx="46">
                        <c:v>45802</c:v>
                      </c:pt>
                      <c:pt idx="47">
                        <c:v>45803</c:v>
                      </c:pt>
                      <c:pt idx="48">
                        <c:v>45804</c:v>
                      </c:pt>
                      <c:pt idx="49">
                        <c:v>45805</c:v>
                      </c:pt>
                      <c:pt idx="50">
                        <c:v>45806</c:v>
                      </c:pt>
                      <c:pt idx="51">
                        <c:v>45807</c:v>
                      </c:pt>
                      <c:pt idx="52">
                        <c:v>45808</c:v>
                      </c:pt>
                      <c:pt idx="53">
                        <c:v>45809</c:v>
                      </c:pt>
                      <c:pt idx="54">
                        <c:v>45810</c:v>
                      </c:pt>
                      <c:pt idx="55">
                        <c:v>45811</c:v>
                      </c:pt>
                      <c:pt idx="56">
                        <c:v>45812</c:v>
                      </c:pt>
                      <c:pt idx="57">
                        <c:v>45813</c:v>
                      </c:pt>
                      <c:pt idx="58">
                        <c:v>45814</c:v>
                      </c:pt>
                      <c:pt idx="59">
                        <c:v>45815</c:v>
                      </c:pt>
                      <c:pt idx="60">
                        <c:v>45816</c:v>
                      </c:pt>
                      <c:pt idx="61">
                        <c:v>45817</c:v>
                      </c:pt>
                      <c:pt idx="62">
                        <c:v>45818</c:v>
                      </c:pt>
                      <c:pt idx="63">
                        <c:v>45819</c:v>
                      </c:pt>
                      <c:pt idx="64">
                        <c:v>45820</c:v>
                      </c:pt>
                      <c:pt idx="65">
                        <c:v>45821</c:v>
                      </c:pt>
                      <c:pt idx="66">
                        <c:v>45822</c:v>
                      </c:pt>
                      <c:pt idx="67">
                        <c:v>45823</c:v>
                      </c:pt>
                      <c:pt idx="68">
                        <c:v>45824</c:v>
                      </c:pt>
                      <c:pt idx="69">
                        <c:v>45825</c:v>
                      </c:pt>
                      <c:pt idx="70">
                        <c:v>45826</c:v>
                      </c:pt>
                      <c:pt idx="71">
                        <c:v>45827</c:v>
                      </c:pt>
                      <c:pt idx="72">
                        <c:v>45828</c:v>
                      </c:pt>
                      <c:pt idx="73">
                        <c:v>45829</c:v>
                      </c:pt>
                      <c:pt idx="74">
                        <c:v>45830</c:v>
                      </c:pt>
                      <c:pt idx="75">
                        <c:v>45831</c:v>
                      </c:pt>
                      <c:pt idx="76">
                        <c:v>45832</c:v>
                      </c:pt>
                      <c:pt idx="77">
                        <c:v>45833</c:v>
                      </c:pt>
                      <c:pt idx="78">
                        <c:v>45834</c:v>
                      </c:pt>
                      <c:pt idx="79">
                        <c:v>45835</c:v>
                      </c:pt>
                      <c:pt idx="80">
                        <c:v>45836</c:v>
                      </c:pt>
                      <c:pt idx="81">
                        <c:v>45837</c:v>
                      </c:pt>
                      <c:pt idx="82">
                        <c:v>45838</c:v>
                      </c:pt>
                    </c:numCache>
                  </c:numRef>
                </c:cat>
                <c:val>
                  <c:numRef>
                    <c:extLst xmlns:c15="http://schemas.microsoft.com/office/drawing/2012/chart">
                      <c:ext xmlns:c15="http://schemas.microsoft.com/office/drawing/2012/chart" uri="{02D57815-91ED-43cb-92C2-25804820EDAC}">
                        <c15:formulaRef>
                          <c15:sqref>'SPDR Chart'!$N$4:$N$86</c15:sqref>
                        </c15:formulaRef>
                      </c:ext>
                    </c:extLst>
                    <c:numCache>
                      <c:formatCode>General</c:formatCode>
                      <c:ptCount val="8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numCache>
                  </c:numRef>
                </c:val>
                <c:extLst xmlns:c15="http://schemas.microsoft.com/office/drawing/2012/chart">
                  <c:ext xmlns:c16="http://schemas.microsoft.com/office/drawing/2014/chart" uri="{C3380CC4-5D6E-409C-BE32-E72D297353CC}">
                    <c16:uniqueId val="{0000000A-19AB-4261-AA68-8B38F7436A12}"/>
                  </c:ext>
                </c:extLst>
              </c15:ser>
            </c15:filteredBarSeries>
          </c:ext>
        </c:extLst>
      </c:barChart>
      <c:lineChart>
        <c:grouping val="standard"/>
        <c:varyColors val="0"/>
        <c:ser>
          <c:idx val="15"/>
          <c:order val="15"/>
          <c:tx>
            <c:v>%</c:v>
          </c:tx>
          <c:spPr>
            <a:ln w="28575" cap="rnd">
              <a:solidFill>
                <a:sysClr val="windowText" lastClr="000000"/>
              </a:solidFill>
              <a:round/>
            </a:ln>
            <a:effectLst/>
          </c:spPr>
          <c:marker>
            <c:symbol val="none"/>
          </c:marker>
          <c:dLbls>
            <c:spPr>
              <a:noFill/>
              <a:ln>
                <a:noFill/>
              </a:ln>
              <a:effectLst/>
            </c:spPr>
            <c:txPr>
              <a:bodyPr rot="-5400000" spcFirstLastPara="1" vertOverflow="ellipsis" wrap="square" lIns="38100" tIns="19050" rIns="38100" bIns="19050" anchor="ctr" anchorCtr="1">
                <a:spAutoFit/>
              </a:bodyPr>
              <a:lstStyle/>
              <a:p>
                <a:pPr>
                  <a:defRPr sz="7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'SPDR Chart'!$S$4:$S$86</c:f>
              <c:numCache>
                <c:formatCode>0%</c:formatCode>
                <c:ptCount val="83"/>
                <c:pt idx="0">
                  <c:v>5.7803468208092483E-3</c:v>
                </c:pt>
                <c:pt idx="1">
                  <c:v>5.7803468208092483E-3</c:v>
                </c:pt>
                <c:pt idx="2">
                  <c:v>2.3121387283236993E-2</c:v>
                </c:pt>
                <c:pt idx="3">
                  <c:v>2.3121387283236993E-2</c:v>
                </c:pt>
                <c:pt idx="4">
                  <c:v>2.3121387283236993E-2</c:v>
                </c:pt>
                <c:pt idx="5">
                  <c:v>2.8901734104046242E-2</c:v>
                </c:pt>
                <c:pt idx="6">
                  <c:v>4.9132947976878616E-2</c:v>
                </c:pt>
                <c:pt idx="7">
                  <c:v>6.9364161849710976E-2</c:v>
                </c:pt>
                <c:pt idx="8">
                  <c:v>0.1069364161849711</c:v>
                </c:pt>
                <c:pt idx="9">
                  <c:v>0.1069364161849711</c:v>
                </c:pt>
                <c:pt idx="10">
                  <c:v>0.1069364161849711</c:v>
                </c:pt>
                <c:pt idx="11">
                  <c:v>0.1069364161849711</c:v>
                </c:pt>
                <c:pt idx="12">
                  <c:v>0.10982658959537572</c:v>
                </c:pt>
                <c:pt idx="13">
                  <c:v>0.17052023121387283</c:v>
                </c:pt>
                <c:pt idx="14">
                  <c:v>0.23699421965317918</c:v>
                </c:pt>
                <c:pt idx="15">
                  <c:v>0.30924855491329478</c:v>
                </c:pt>
                <c:pt idx="16">
                  <c:v>0.32947976878612717</c:v>
                </c:pt>
                <c:pt idx="17">
                  <c:v>0.32947976878612717</c:v>
                </c:pt>
                <c:pt idx="18">
                  <c:v>0.32947976878612717</c:v>
                </c:pt>
                <c:pt idx="19">
                  <c:v>0.3554913294797688</c:v>
                </c:pt>
                <c:pt idx="20">
                  <c:v>0.44219653179190749</c:v>
                </c:pt>
                <c:pt idx="21">
                  <c:v>0.52312138728323698</c:v>
                </c:pt>
                <c:pt idx="22">
                  <c:v>0.65895953757225434</c:v>
                </c:pt>
                <c:pt idx="23">
                  <c:v>0.67341040462427748</c:v>
                </c:pt>
                <c:pt idx="24">
                  <c:v>0.67341040462427748</c:v>
                </c:pt>
                <c:pt idx="25">
                  <c:v>0.67341040462427748</c:v>
                </c:pt>
                <c:pt idx="26">
                  <c:v>0.69653179190751446</c:v>
                </c:pt>
                <c:pt idx="27">
                  <c:v>0.76300578034682076</c:v>
                </c:pt>
                <c:pt idx="28">
                  <c:v>0.81502890173410403</c:v>
                </c:pt>
                <c:pt idx="29">
                  <c:v>0.8554913294797688</c:v>
                </c:pt>
                <c:pt idx="30">
                  <c:v>0.8554913294797688</c:v>
                </c:pt>
                <c:pt idx="31">
                  <c:v>0.8554913294797688</c:v>
                </c:pt>
                <c:pt idx="32">
                  <c:v>0.8554913294797688</c:v>
                </c:pt>
                <c:pt idx="33">
                  <c:v>0.86127167630057799</c:v>
                </c:pt>
                <c:pt idx="34">
                  <c:v>0.86127167630057799</c:v>
                </c:pt>
                <c:pt idx="35">
                  <c:v>0.86705202312138729</c:v>
                </c:pt>
                <c:pt idx="36">
                  <c:v>0.87861271676300579</c:v>
                </c:pt>
                <c:pt idx="37">
                  <c:v>0.87861271676300579</c:v>
                </c:pt>
                <c:pt idx="38">
                  <c:v>0.87861271676300579</c:v>
                </c:pt>
                <c:pt idx="39">
                  <c:v>0.87861271676300579</c:v>
                </c:pt>
                <c:pt idx="40">
                  <c:v>0.87861271676300579</c:v>
                </c:pt>
                <c:pt idx="41">
                  <c:v>0.88439306358381498</c:v>
                </c:pt>
                <c:pt idx="42">
                  <c:v>0.89595375722543358</c:v>
                </c:pt>
                <c:pt idx="43">
                  <c:v>0.9219653179190751</c:v>
                </c:pt>
                <c:pt idx="44">
                  <c:v>0.9219653179190751</c:v>
                </c:pt>
                <c:pt idx="45">
                  <c:v>0.9219653179190751</c:v>
                </c:pt>
                <c:pt idx="46">
                  <c:v>0.9219653179190751</c:v>
                </c:pt>
                <c:pt idx="47">
                  <c:v>0.9219653179190751</c:v>
                </c:pt>
                <c:pt idx="48">
                  <c:v>0.9219653179190751</c:v>
                </c:pt>
                <c:pt idx="49">
                  <c:v>0.93641618497109824</c:v>
                </c:pt>
                <c:pt idx="50">
                  <c:v>0.95375722543352603</c:v>
                </c:pt>
                <c:pt idx="51">
                  <c:v>0.95375722543352603</c:v>
                </c:pt>
                <c:pt idx="52">
                  <c:v>0.95375722543352603</c:v>
                </c:pt>
                <c:pt idx="53">
                  <c:v>0.95375722543352603</c:v>
                </c:pt>
                <c:pt idx="54">
                  <c:v>0.95664739884393069</c:v>
                </c:pt>
                <c:pt idx="55">
                  <c:v>0.96531791907514453</c:v>
                </c:pt>
                <c:pt idx="56">
                  <c:v>0.96820809248554918</c:v>
                </c:pt>
                <c:pt idx="57">
                  <c:v>0.97109826589595372</c:v>
                </c:pt>
                <c:pt idx="58">
                  <c:v>0.97109826589595372</c:v>
                </c:pt>
                <c:pt idx="59">
                  <c:v>0.97109826589595372</c:v>
                </c:pt>
                <c:pt idx="60">
                  <c:v>0.97109826589595372</c:v>
                </c:pt>
                <c:pt idx="61">
                  <c:v>0.97109826589595372</c:v>
                </c:pt>
                <c:pt idx="62">
                  <c:v>0.97109826589595372</c:v>
                </c:pt>
                <c:pt idx="63">
                  <c:v>0.97398843930635837</c:v>
                </c:pt>
                <c:pt idx="64">
                  <c:v>0.97687861271676302</c:v>
                </c:pt>
                <c:pt idx="65">
                  <c:v>0.97687861271676302</c:v>
                </c:pt>
                <c:pt idx="66">
                  <c:v>0.97687861271676302</c:v>
                </c:pt>
                <c:pt idx="67">
                  <c:v>0.97687861271676302</c:v>
                </c:pt>
                <c:pt idx="68">
                  <c:v>0.97976878612716767</c:v>
                </c:pt>
                <c:pt idx="69">
                  <c:v>0.98265895953757221</c:v>
                </c:pt>
                <c:pt idx="70">
                  <c:v>0.98265895953757221</c:v>
                </c:pt>
                <c:pt idx="71">
                  <c:v>0.98265895953757221</c:v>
                </c:pt>
                <c:pt idx="72">
                  <c:v>0.98554913294797686</c:v>
                </c:pt>
                <c:pt idx="73">
                  <c:v>0.98554913294797686</c:v>
                </c:pt>
                <c:pt idx="74">
                  <c:v>0.98554913294797686</c:v>
                </c:pt>
                <c:pt idx="75">
                  <c:v>0.98554913294797686</c:v>
                </c:pt>
                <c:pt idx="76">
                  <c:v>0.98843930635838151</c:v>
                </c:pt>
                <c:pt idx="77">
                  <c:v>0.9942196531791907</c:v>
                </c:pt>
                <c:pt idx="78">
                  <c:v>1</c:v>
                </c:pt>
                <c:pt idx="79">
                  <c:v>1</c:v>
                </c:pt>
                <c:pt idx="80">
                  <c:v>1</c:v>
                </c:pt>
                <c:pt idx="81">
                  <c:v>1</c:v>
                </c:pt>
                <c:pt idx="82">
                  <c:v>1</c:v>
                </c:pt>
              </c:numCache>
            </c:numRef>
          </c:val>
          <c:smooth val="1"/>
          <c:extLst>
            <c:ext xmlns:c16="http://schemas.microsoft.com/office/drawing/2014/chart" uri="{C3380CC4-5D6E-409C-BE32-E72D297353CC}">
              <c16:uniqueId val="{00000000-0E3A-496C-9B10-03C996D155FC}"/>
            </c:ext>
          </c:extLst>
        </c:ser>
        <c:dLbls>
          <c:showLegendKey val="0"/>
          <c:showVal val="0"/>
          <c:showCatName val="0"/>
          <c:showSerName val="0"/>
          <c:showPercent val="0"/>
          <c:showBubbleSize val="0"/>
        </c:dLbls>
        <c:marker val="1"/>
        <c:smooth val="0"/>
        <c:axId val="1418412816"/>
        <c:axId val="1418412336"/>
      </c:lineChart>
      <c:dateAx>
        <c:axId val="1489289600"/>
        <c:scaling>
          <c:orientation val="minMax"/>
        </c:scaling>
        <c:delete val="0"/>
        <c:axPos val="b"/>
        <c:numFmt formatCode="m/d/yyyy" sourceLinked="1"/>
        <c:majorTickMark val="out"/>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89292960"/>
        <c:crosses val="autoZero"/>
        <c:auto val="1"/>
        <c:lblOffset val="100"/>
        <c:baseTimeUnit val="days"/>
      </c:dateAx>
      <c:valAx>
        <c:axId val="1489292960"/>
        <c:scaling>
          <c:orientation val="minMax"/>
        </c:scaling>
        <c:delete val="0"/>
        <c:axPos val="l"/>
        <c:majorGridlines>
          <c:spPr>
            <a:ln w="9525" cap="flat" cmpd="sng" algn="ctr">
              <a:noFill/>
              <a:prstDash val="dash"/>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1489289600"/>
        <c:crosses val="autoZero"/>
        <c:crossBetween val="between"/>
      </c:valAx>
      <c:valAx>
        <c:axId val="1418412336"/>
        <c:scaling>
          <c:orientation val="minMax"/>
        </c:scaling>
        <c:delete val="0"/>
        <c:axPos val="r"/>
        <c:title>
          <c:tx>
            <c:rich>
              <a:bodyPr rot="-54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r>
                  <a:rPr lang="en-US" sz="1050" b="1">
                    <a:solidFill>
                      <a:sysClr val="windowText" lastClr="000000"/>
                    </a:solidFill>
                  </a:rPr>
                  <a:t>Percent Completed</a:t>
                </a:r>
              </a:p>
            </c:rich>
          </c:tx>
          <c:layout>
            <c:manualLayout>
              <c:xMode val="edge"/>
              <c:yMode val="edge"/>
              <c:x val="0.98137538072783703"/>
              <c:y val="0.38838835626789442"/>
            </c:manualLayout>
          </c:layout>
          <c:overlay val="0"/>
          <c:spPr>
            <a:noFill/>
            <a:ln>
              <a:noFill/>
            </a:ln>
            <a:effectLst/>
          </c:spPr>
          <c:txPr>
            <a:bodyPr rot="-54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18412816"/>
        <c:crosses val="max"/>
        <c:crossBetween val="between"/>
      </c:valAx>
      <c:catAx>
        <c:axId val="1418412816"/>
        <c:scaling>
          <c:orientation val="minMax"/>
        </c:scaling>
        <c:delete val="1"/>
        <c:axPos val="b"/>
        <c:majorTickMark val="out"/>
        <c:minorTickMark val="none"/>
        <c:tickLblPos val="nextTo"/>
        <c:crossAx val="1418412336"/>
        <c:crosses val="autoZero"/>
        <c:auto val="1"/>
        <c:lblAlgn val="ctr"/>
        <c:lblOffset val="100"/>
        <c:noMultiLvlLbl val="0"/>
      </c:catAx>
      <c:spPr>
        <a:noFill/>
        <a:ln>
          <a:noFill/>
        </a:ln>
        <a:effectLst/>
      </c:spPr>
    </c:plotArea>
    <c:legend>
      <c:legendPos val="b"/>
      <c:layout>
        <c:manualLayout>
          <c:xMode val="edge"/>
          <c:yMode val="edge"/>
          <c:x val="5.8325680565600842E-2"/>
          <c:y val="6.454904104068461E-2"/>
          <c:w val="0.89277788610676345"/>
          <c:h val="4.5336397626913549E-2"/>
        </c:manualLayout>
      </c:layou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sz="1400" b="1">
                <a:solidFill>
                  <a:sysClr val="windowText" lastClr="000000"/>
                </a:solidFill>
              </a:rPr>
              <a:t>Earnings By Sector, Not in the S&amp;P 500</a:t>
            </a:r>
          </a:p>
        </c:rich>
      </c:tx>
      <c:layout>
        <c:manualLayout>
          <c:xMode val="edge"/>
          <c:yMode val="edge"/>
          <c:x val="8.7105512779102647E-3"/>
          <c:y val="1.024660495991626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3.8719521883772055E-2"/>
          <c:y val="0.13342914990652968"/>
          <c:w val="0.92191526471359697"/>
          <c:h val="0.73851460504042787"/>
        </c:manualLayout>
      </c:layout>
      <c:barChart>
        <c:barDir val="col"/>
        <c:grouping val="stacked"/>
        <c:varyColors val="0"/>
        <c:ser>
          <c:idx val="0"/>
          <c:order val="0"/>
          <c:tx>
            <c:strRef>
              <c:f>'SPDR Chart'!$C$3</c:f>
              <c:strCache>
                <c:ptCount val="1"/>
                <c:pt idx="0">
                  <c:v>XLP</c:v>
                </c:pt>
              </c:strCache>
            </c:strRef>
          </c:tx>
          <c:spPr>
            <a:solidFill>
              <a:schemeClr val="accent2"/>
            </a:solidFill>
            <a:ln>
              <a:solidFill>
                <a:sysClr val="windowText" lastClr="000000"/>
              </a:solidFill>
            </a:ln>
            <a:effectLst/>
          </c:spPr>
          <c:invertIfNegative val="0"/>
          <c:cat>
            <c:numRef>
              <c:f>'SPDR Chart'!$B$4:$B$86</c:f>
              <c:numCache>
                <c:formatCode>m/d/yyyy</c:formatCode>
                <c:ptCount val="83"/>
                <c:pt idx="0">
                  <c:v>45756</c:v>
                </c:pt>
                <c:pt idx="1">
                  <c:v>45757</c:v>
                </c:pt>
                <c:pt idx="2">
                  <c:v>45758</c:v>
                </c:pt>
                <c:pt idx="3">
                  <c:v>45759</c:v>
                </c:pt>
                <c:pt idx="4">
                  <c:v>45760</c:v>
                </c:pt>
                <c:pt idx="5">
                  <c:v>45761</c:v>
                </c:pt>
                <c:pt idx="6">
                  <c:v>45762</c:v>
                </c:pt>
                <c:pt idx="7">
                  <c:v>45763</c:v>
                </c:pt>
                <c:pt idx="8">
                  <c:v>45764</c:v>
                </c:pt>
                <c:pt idx="9">
                  <c:v>45765</c:v>
                </c:pt>
                <c:pt idx="10">
                  <c:v>45766</c:v>
                </c:pt>
                <c:pt idx="11">
                  <c:v>45767</c:v>
                </c:pt>
                <c:pt idx="12">
                  <c:v>45768</c:v>
                </c:pt>
                <c:pt idx="13">
                  <c:v>45769</c:v>
                </c:pt>
                <c:pt idx="14">
                  <c:v>45770</c:v>
                </c:pt>
                <c:pt idx="15">
                  <c:v>45771</c:v>
                </c:pt>
                <c:pt idx="16">
                  <c:v>45772</c:v>
                </c:pt>
                <c:pt idx="17">
                  <c:v>45773</c:v>
                </c:pt>
                <c:pt idx="18">
                  <c:v>45774</c:v>
                </c:pt>
                <c:pt idx="19">
                  <c:v>45775</c:v>
                </c:pt>
                <c:pt idx="20">
                  <c:v>45776</c:v>
                </c:pt>
                <c:pt idx="21">
                  <c:v>45777</c:v>
                </c:pt>
                <c:pt idx="22">
                  <c:v>45778</c:v>
                </c:pt>
                <c:pt idx="23">
                  <c:v>45779</c:v>
                </c:pt>
                <c:pt idx="24">
                  <c:v>45780</c:v>
                </c:pt>
                <c:pt idx="25">
                  <c:v>45781</c:v>
                </c:pt>
                <c:pt idx="26">
                  <c:v>45782</c:v>
                </c:pt>
                <c:pt idx="27">
                  <c:v>45783</c:v>
                </c:pt>
                <c:pt idx="28">
                  <c:v>45784</c:v>
                </c:pt>
                <c:pt idx="29">
                  <c:v>45785</c:v>
                </c:pt>
                <c:pt idx="30">
                  <c:v>45786</c:v>
                </c:pt>
                <c:pt idx="31">
                  <c:v>45787</c:v>
                </c:pt>
                <c:pt idx="32">
                  <c:v>45788</c:v>
                </c:pt>
                <c:pt idx="33">
                  <c:v>45789</c:v>
                </c:pt>
                <c:pt idx="34">
                  <c:v>45790</c:v>
                </c:pt>
                <c:pt idx="35">
                  <c:v>45791</c:v>
                </c:pt>
                <c:pt idx="36">
                  <c:v>45792</c:v>
                </c:pt>
                <c:pt idx="37">
                  <c:v>45793</c:v>
                </c:pt>
                <c:pt idx="38">
                  <c:v>45794</c:v>
                </c:pt>
                <c:pt idx="39">
                  <c:v>45795</c:v>
                </c:pt>
                <c:pt idx="40">
                  <c:v>45796</c:v>
                </c:pt>
                <c:pt idx="41">
                  <c:v>45797</c:v>
                </c:pt>
                <c:pt idx="42">
                  <c:v>45798</c:v>
                </c:pt>
                <c:pt idx="43">
                  <c:v>45799</c:v>
                </c:pt>
                <c:pt idx="44">
                  <c:v>45800</c:v>
                </c:pt>
                <c:pt idx="45">
                  <c:v>45801</c:v>
                </c:pt>
                <c:pt idx="46">
                  <c:v>45802</c:v>
                </c:pt>
                <c:pt idx="47">
                  <c:v>45803</c:v>
                </c:pt>
                <c:pt idx="48">
                  <c:v>45804</c:v>
                </c:pt>
                <c:pt idx="49">
                  <c:v>45805</c:v>
                </c:pt>
                <c:pt idx="50">
                  <c:v>45806</c:v>
                </c:pt>
                <c:pt idx="51">
                  <c:v>45807</c:v>
                </c:pt>
                <c:pt idx="52">
                  <c:v>45808</c:v>
                </c:pt>
                <c:pt idx="53">
                  <c:v>45809</c:v>
                </c:pt>
                <c:pt idx="54">
                  <c:v>45810</c:v>
                </c:pt>
                <c:pt idx="55">
                  <c:v>45811</c:v>
                </c:pt>
                <c:pt idx="56">
                  <c:v>45812</c:v>
                </c:pt>
                <c:pt idx="57">
                  <c:v>45813</c:v>
                </c:pt>
                <c:pt idx="58">
                  <c:v>45814</c:v>
                </c:pt>
                <c:pt idx="59">
                  <c:v>45815</c:v>
                </c:pt>
                <c:pt idx="60">
                  <c:v>45816</c:v>
                </c:pt>
                <c:pt idx="61">
                  <c:v>45817</c:v>
                </c:pt>
                <c:pt idx="62">
                  <c:v>45818</c:v>
                </c:pt>
                <c:pt idx="63">
                  <c:v>45819</c:v>
                </c:pt>
                <c:pt idx="64">
                  <c:v>45820</c:v>
                </c:pt>
                <c:pt idx="65">
                  <c:v>45821</c:v>
                </c:pt>
                <c:pt idx="66">
                  <c:v>45822</c:v>
                </c:pt>
                <c:pt idx="67">
                  <c:v>45823</c:v>
                </c:pt>
                <c:pt idx="68">
                  <c:v>45824</c:v>
                </c:pt>
                <c:pt idx="69">
                  <c:v>45825</c:v>
                </c:pt>
                <c:pt idx="70">
                  <c:v>45826</c:v>
                </c:pt>
                <c:pt idx="71">
                  <c:v>45827</c:v>
                </c:pt>
                <c:pt idx="72">
                  <c:v>45828</c:v>
                </c:pt>
                <c:pt idx="73">
                  <c:v>45829</c:v>
                </c:pt>
                <c:pt idx="74">
                  <c:v>45830</c:v>
                </c:pt>
                <c:pt idx="75">
                  <c:v>45831</c:v>
                </c:pt>
                <c:pt idx="76">
                  <c:v>45832</c:v>
                </c:pt>
                <c:pt idx="77">
                  <c:v>45833</c:v>
                </c:pt>
                <c:pt idx="78">
                  <c:v>45834</c:v>
                </c:pt>
                <c:pt idx="79">
                  <c:v>45835</c:v>
                </c:pt>
                <c:pt idx="80">
                  <c:v>45836</c:v>
                </c:pt>
                <c:pt idx="81">
                  <c:v>45837</c:v>
                </c:pt>
                <c:pt idx="82">
                  <c:v>45838</c:v>
                </c:pt>
              </c:numCache>
            </c:numRef>
          </c:cat>
          <c:val>
            <c:numRef>
              <c:f>'SPDR Chart'!$V$4:$V$86</c:f>
              <c:numCache>
                <c:formatCode>General</c:formatCode>
                <c:ptCount val="8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1</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1</c:v>
                </c:pt>
                <c:pt idx="38">
                  <c:v>0</c:v>
                </c:pt>
                <c:pt idx="39">
                  <c:v>0</c:v>
                </c:pt>
                <c:pt idx="40">
                  <c:v>0</c:v>
                </c:pt>
                <c:pt idx="41">
                  <c:v>0</c:v>
                </c:pt>
                <c:pt idx="42">
                  <c:v>0</c:v>
                </c:pt>
                <c:pt idx="43">
                  <c:v>1</c:v>
                </c:pt>
                <c:pt idx="44">
                  <c:v>0</c:v>
                </c:pt>
                <c:pt idx="45">
                  <c:v>0</c:v>
                </c:pt>
                <c:pt idx="46">
                  <c:v>0</c:v>
                </c:pt>
                <c:pt idx="47">
                  <c:v>0</c:v>
                </c:pt>
                <c:pt idx="48">
                  <c:v>0</c:v>
                </c:pt>
                <c:pt idx="49">
                  <c:v>1</c:v>
                </c:pt>
                <c:pt idx="50">
                  <c:v>0</c:v>
                </c:pt>
                <c:pt idx="51">
                  <c:v>0</c:v>
                </c:pt>
                <c:pt idx="52">
                  <c:v>0</c:v>
                </c:pt>
                <c:pt idx="53">
                  <c:v>0</c:v>
                </c:pt>
                <c:pt idx="54">
                  <c:v>0</c:v>
                </c:pt>
                <c:pt idx="55">
                  <c:v>1</c:v>
                </c:pt>
                <c:pt idx="56">
                  <c:v>0</c:v>
                </c:pt>
                <c:pt idx="57">
                  <c:v>0</c:v>
                </c:pt>
                <c:pt idx="58">
                  <c:v>0</c:v>
                </c:pt>
                <c:pt idx="59">
                  <c:v>0</c:v>
                </c:pt>
                <c:pt idx="60">
                  <c:v>0</c:v>
                </c:pt>
                <c:pt idx="61">
                  <c:v>1</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numCache>
            </c:numRef>
          </c:val>
          <c:extLst>
            <c:ext xmlns:c16="http://schemas.microsoft.com/office/drawing/2014/chart" uri="{C3380CC4-5D6E-409C-BE32-E72D297353CC}">
              <c16:uniqueId val="{00000000-7B90-4681-8438-19A0FEA2AB07}"/>
            </c:ext>
          </c:extLst>
        </c:ser>
        <c:ser>
          <c:idx val="1"/>
          <c:order val="1"/>
          <c:tx>
            <c:strRef>
              <c:f>'SPDR Chart'!$D$3</c:f>
              <c:strCache>
                <c:ptCount val="1"/>
                <c:pt idx="0">
                  <c:v>XLI</c:v>
                </c:pt>
              </c:strCache>
            </c:strRef>
          </c:tx>
          <c:spPr>
            <a:solidFill>
              <a:srgbClr val="FF3300"/>
            </a:solidFill>
            <a:ln>
              <a:solidFill>
                <a:sysClr val="windowText" lastClr="000000"/>
              </a:solidFill>
            </a:ln>
            <a:effectLst/>
          </c:spPr>
          <c:invertIfNegative val="0"/>
          <c:cat>
            <c:numRef>
              <c:f>'SPDR Chart'!$B$4:$B$86</c:f>
              <c:numCache>
                <c:formatCode>m/d/yyyy</c:formatCode>
                <c:ptCount val="83"/>
                <c:pt idx="0">
                  <c:v>45756</c:v>
                </c:pt>
                <c:pt idx="1">
                  <c:v>45757</c:v>
                </c:pt>
                <c:pt idx="2">
                  <c:v>45758</c:v>
                </c:pt>
                <c:pt idx="3">
                  <c:v>45759</c:v>
                </c:pt>
                <c:pt idx="4">
                  <c:v>45760</c:v>
                </c:pt>
                <c:pt idx="5">
                  <c:v>45761</c:v>
                </c:pt>
                <c:pt idx="6">
                  <c:v>45762</c:v>
                </c:pt>
                <c:pt idx="7">
                  <c:v>45763</c:v>
                </c:pt>
                <c:pt idx="8">
                  <c:v>45764</c:v>
                </c:pt>
                <c:pt idx="9">
                  <c:v>45765</c:v>
                </c:pt>
                <c:pt idx="10">
                  <c:v>45766</c:v>
                </c:pt>
                <c:pt idx="11">
                  <c:v>45767</c:v>
                </c:pt>
                <c:pt idx="12">
                  <c:v>45768</c:v>
                </c:pt>
                <c:pt idx="13">
                  <c:v>45769</c:v>
                </c:pt>
                <c:pt idx="14">
                  <c:v>45770</c:v>
                </c:pt>
                <c:pt idx="15">
                  <c:v>45771</c:v>
                </c:pt>
                <c:pt idx="16">
                  <c:v>45772</c:v>
                </c:pt>
                <c:pt idx="17">
                  <c:v>45773</c:v>
                </c:pt>
                <c:pt idx="18">
                  <c:v>45774</c:v>
                </c:pt>
                <c:pt idx="19">
                  <c:v>45775</c:v>
                </c:pt>
                <c:pt idx="20">
                  <c:v>45776</c:v>
                </c:pt>
                <c:pt idx="21">
                  <c:v>45777</c:v>
                </c:pt>
                <c:pt idx="22">
                  <c:v>45778</c:v>
                </c:pt>
                <c:pt idx="23">
                  <c:v>45779</c:v>
                </c:pt>
                <c:pt idx="24">
                  <c:v>45780</c:v>
                </c:pt>
                <c:pt idx="25">
                  <c:v>45781</c:v>
                </c:pt>
                <c:pt idx="26">
                  <c:v>45782</c:v>
                </c:pt>
                <c:pt idx="27">
                  <c:v>45783</c:v>
                </c:pt>
                <c:pt idx="28">
                  <c:v>45784</c:v>
                </c:pt>
                <c:pt idx="29">
                  <c:v>45785</c:v>
                </c:pt>
                <c:pt idx="30">
                  <c:v>45786</c:v>
                </c:pt>
                <c:pt idx="31">
                  <c:v>45787</c:v>
                </c:pt>
                <c:pt idx="32">
                  <c:v>45788</c:v>
                </c:pt>
                <c:pt idx="33">
                  <c:v>45789</c:v>
                </c:pt>
                <c:pt idx="34">
                  <c:v>45790</c:v>
                </c:pt>
                <c:pt idx="35">
                  <c:v>45791</c:v>
                </c:pt>
                <c:pt idx="36">
                  <c:v>45792</c:v>
                </c:pt>
                <c:pt idx="37">
                  <c:v>45793</c:v>
                </c:pt>
                <c:pt idx="38">
                  <c:v>45794</c:v>
                </c:pt>
                <c:pt idx="39">
                  <c:v>45795</c:v>
                </c:pt>
                <c:pt idx="40">
                  <c:v>45796</c:v>
                </c:pt>
                <c:pt idx="41">
                  <c:v>45797</c:v>
                </c:pt>
                <c:pt idx="42">
                  <c:v>45798</c:v>
                </c:pt>
                <c:pt idx="43">
                  <c:v>45799</c:v>
                </c:pt>
                <c:pt idx="44">
                  <c:v>45800</c:v>
                </c:pt>
                <c:pt idx="45">
                  <c:v>45801</c:v>
                </c:pt>
                <c:pt idx="46">
                  <c:v>45802</c:v>
                </c:pt>
                <c:pt idx="47">
                  <c:v>45803</c:v>
                </c:pt>
                <c:pt idx="48">
                  <c:v>45804</c:v>
                </c:pt>
                <c:pt idx="49">
                  <c:v>45805</c:v>
                </c:pt>
                <c:pt idx="50">
                  <c:v>45806</c:v>
                </c:pt>
                <c:pt idx="51">
                  <c:v>45807</c:v>
                </c:pt>
                <c:pt idx="52">
                  <c:v>45808</c:v>
                </c:pt>
                <c:pt idx="53">
                  <c:v>45809</c:v>
                </c:pt>
                <c:pt idx="54">
                  <c:v>45810</c:v>
                </c:pt>
                <c:pt idx="55">
                  <c:v>45811</c:v>
                </c:pt>
                <c:pt idx="56">
                  <c:v>45812</c:v>
                </c:pt>
                <c:pt idx="57">
                  <c:v>45813</c:v>
                </c:pt>
                <c:pt idx="58">
                  <c:v>45814</c:v>
                </c:pt>
                <c:pt idx="59">
                  <c:v>45815</c:v>
                </c:pt>
                <c:pt idx="60">
                  <c:v>45816</c:v>
                </c:pt>
                <c:pt idx="61">
                  <c:v>45817</c:v>
                </c:pt>
                <c:pt idx="62">
                  <c:v>45818</c:v>
                </c:pt>
                <c:pt idx="63">
                  <c:v>45819</c:v>
                </c:pt>
                <c:pt idx="64">
                  <c:v>45820</c:v>
                </c:pt>
                <c:pt idx="65">
                  <c:v>45821</c:v>
                </c:pt>
                <c:pt idx="66">
                  <c:v>45822</c:v>
                </c:pt>
                <c:pt idx="67">
                  <c:v>45823</c:v>
                </c:pt>
                <c:pt idx="68">
                  <c:v>45824</c:v>
                </c:pt>
                <c:pt idx="69">
                  <c:v>45825</c:v>
                </c:pt>
                <c:pt idx="70">
                  <c:v>45826</c:v>
                </c:pt>
                <c:pt idx="71">
                  <c:v>45827</c:v>
                </c:pt>
                <c:pt idx="72">
                  <c:v>45828</c:v>
                </c:pt>
                <c:pt idx="73">
                  <c:v>45829</c:v>
                </c:pt>
                <c:pt idx="74">
                  <c:v>45830</c:v>
                </c:pt>
                <c:pt idx="75">
                  <c:v>45831</c:v>
                </c:pt>
                <c:pt idx="76">
                  <c:v>45832</c:v>
                </c:pt>
                <c:pt idx="77">
                  <c:v>45833</c:v>
                </c:pt>
                <c:pt idx="78">
                  <c:v>45834</c:v>
                </c:pt>
                <c:pt idx="79">
                  <c:v>45835</c:v>
                </c:pt>
                <c:pt idx="80">
                  <c:v>45836</c:v>
                </c:pt>
                <c:pt idx="81">
                  <c:v>45837</c:v>
                </c:pt>
                <c:pt idx="82">
                  <c:v>45838</c:v>
                </c:pt>
              </c:numCache>
            </c:numRef>
          </c:cat>
          <c:val>
            <c:numRef>
              <c:f>'SPDR Chart'!$W$4:$W$86</c:f>
              <c:numCache>
                <c:formatCode>General</c:formatCode>
                <c:ptCount val="8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1</c:v>
                </c:pt>
                <c:pt idx="36">
                  <c:v>1</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1</c:v>
                </c:pt>
                <c:pt idx="57">
                  <c:v>0</c:v>
                </c:pt>
                <c:pt idx="58">
                  <c:v>0</c:v>
                </c:pt>
                <c:pt idx="59">
                  <c:v>0</c:v>
                </c:pt>
                <c:pt idx="60">
                  <c:v>0</c:v>
                </c:pt>
                <c:pt idx="61">
                  <c:v>0</c:v>
                </c:pt>
                <c:pt idx="62">
                  <c:v>1</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numCache>
            </c:numRef>
          </c:val>
          <c:extLst>
            <c:ext xmlns:c16="http://schemas.microsoft.com/office/drawing/2014/chart" uri="{C3380CC4-5D6E-409C-BE32-E72D297353CC}">
              <c16:uniqueId val="{00000001-7B90-4681-8438-19A0FEA2AB07}"/>
            </c:ext>
          </c:extLst>
        </c:ser>
        <c:ser>
          <c:idx val="2"/>
          <c:order val="2"/>
          <c:tx>
            <c:strRef>
              <c:f>'SPDR Chart'!$F$3</c:f>
              <c:strCache>
                <c:ptCount val="1"/>
                <c:pt idx="0">
                  <c:v>XLF</c:v>
                </c:pt>
              </c:strCache>
            </c:strRef>
          </c:tx>
          <c:spPr>
            <a:solidFill>
              <a:schemeClr val="accent6"/>
            </a:solidFill>
            <a:ln>
              <a:solidFill>
                <a:sysClr val="windowText" lastClr="000000"/>
              </a:solidFill>
            </a:ln>
            <a:effectLst/>
          </c:spPr>
          <c:invertIfNegative val="0"/>
          <c:cat>
            <c:numRef>
              <c:f>'SPDR Chart'!$B$4:$B$86</c:f>
              <c:numCache>
                <c:formatCode>m/d/yyyy</c:formatCode>
                <c:ptCount val="83"/>
                <c:pt idx="0">
                  <c:v>45756</c:v>
                </c:pt>
                <c:pt idx="1">
                  <c:v>45757</c:v>
                </c:pt>
                <c:pt idx="2">
                  <c:v>45758</c:v>
                </c:pt>
                <c:pt idx="3">
                  <c:v>45759</c:v>
                </c:pt>
                <c:pt idx="4">
                  <c:v>45760</c:v>
                </c:pt>
                <c:pt idx="5">
                  <c:v>45761</c:v>
                </c:pt>
                <c:pt idx="6">
                  <c:v>45762</c:v>
                </c:pt>
                <c:pt idx="7">
                  <c:v>45763</c:v>
                </c:pt>
                <c:pt idx="8">
                  <c:v>45764</c:v>
                </c:pt>
                <c:pt idx="9">
                  <c:v>45765</c:v>
                </c:pt>
                <c:pt idx="10">
                  <c:v>45766</c:v>
                </c:pt>
                <c:pt idx="11">
                  <c:v>45767</c:v>
                </c:pt>
                <c:pt idx="12">
                  <c:v>45768</c:v>
                </c:pt>
                <c:pt idx="13">
                  <c:v>45769</c:v>
                </c:pt>
                <c:pt idx="14">
                  <c:v>45770</c:v>
                </c:pt>
                <c:pt idx="15">
                  <c:v>45771</c:v>
                </c:pt>
                <c:pt idx="16">
                  <c:v>45772</c:v>
                </c:pt>
                <c:pt idx="17">
                  <c:v>45773</c:v>
                </c:pt>
                <c:pt idx="18">
                  <c:v>45774</c:v>
                </c:pt>
                <c:pt idx="19">
                  <c:v>45775</c:v>
                </c:pt>
                <c:pt idx="20">
                  <c:v>45776</c:v>
                </c:pt>
                <c:pt idx="21">
                  <c:v>45777</c:v>
                </c:pt>
                <c:pt idx="22">
                  <c:v>45778</c:v>
                </c:pt>
                <c:pt idx="23">
                  <c:v>45779</c:v>
                </c:pt>
                <c:pt idx="24">
                  <c:v>45780</c:v>
                </c:pt>
                <c:pt idx="25">
                  <c:v>45781</c:v>
                </c:pt>
                <c:pt idx="26">
                  <c:v>45782</c:v>
                </c:pt>
                <c:pt idx="27">
                  <c:v>45783</c:v>
                </c:pt>
                <c:pt idx="28">
                  <c:v>45784</c:v>
                </c:pt>
                <c:pt idx="29">
                  <c:v>45785</c:v>
                </c:pt>
                <c:pt idx="30">
                  <c:v>45786</c:v>
                </c:pt>
                <c:pt idx="31">
                  <c:v>45787</c:v>
                </c:pt>
                <c:pt idx="32">
                  <c:v>45788</c:v>
                </c:pt>
                <c:pt idx="33">
                  <c:v>45789</c:v>
                </c:pt>
                <c:pt idx="34">
                  <c:v>45790</c:v>
                </c:pt>
                <c:pt idx="35">
                  <c:v>45791</c:v>
                </c:pt>
                <c:pt idx="36">
                  <c:v>45792</c:v>
                </c:pt>
                <c:pt idx="37">
                  <c:v>45793</c:v>
                </c:pt>
                <c:pt idx="38">
                  <c:v>45794</c:v>
                </c:pt>
                <c:pt idx="39">
                  <c:v>45795</c:v>
                </c:pt>
                <c:pt idx="40">
                  <c:v>45796</c:v>
                </c:pt>
                <c:pt idx="41">
                  <c:v>45797</c:v>
                </c:pt>
                <c:pt idx="42">
                  <c:v>45798</c:v>
                </c:pt>
                <c:pt idx="43">
                  <c:v>45799</c:v>
                </c:pt>
                <c:pt idx="44">
                  <c:v>45800</c:v>
                </c:pt>
                <c:pt idx="45">
                  <c:v>45801</c:v>
                </c:pt>
                <c:pt idx="46">
                  <c:v>45802</c:v>
                </c:pt>
                <c:pt idx="47">
                  <c:v>45803</c:v>
                </c:pt>
                <c:pt idx="48">
                  <c:v>45804</c:v>
                </c:pt>
                <c:pt idx="49">
                  <c:v>45805</c:v>
                </c:pt>
                <c:pt idx="50">
                  <c:v>45806</c:v>
                </c:pt>
                <c:pt idx="51">
                  <c:v>45807</c:v>
                </c:pt>
                <c:pt idx="52">
                  <c:v>45808</c:v>
                </c:pt>
                <c:pt idx="53">
                  <c:v>45809</c:v>
                </c:pt>
                <c:pt idx="54">
                  <c:v>45810</c:v>
                </c:pt>
                <c:pt idx="55">
                  <c:v>45811</c:v>
                </c:pt>
                <c:pt idx="56">
                  <c:v>45812</c:v>
                </c:pt>
                <c:pt idx="57">
                  <c:v>45813</c:v>
                </c:pt>
                <c:pt idx="58">
                  <c:v>45814</c:v>
                </c:pt>
                <c:pt idx="59">
                  <c:v>45815</c:v>
                </c:pt>
                <c:pt idx="60">
                  <c:v>45816</c:v>
                </c:pt>
                <c:pt idx="61">
                  <c:v>45817</c:v>
                </c:pt>
                <c:pt idx="62">
                  <c:v>45818</c:v>
                </c:pt>
                <c:pt idx="63">
                  <c:v>45819</c:v>
                </c:pt>
                <c:pt idx="64">
                  <c:v>45820</c:v>
                </c:pt>
                <c:pt idx="65">
                  <c:v>45821</c:v>
                </c:pt>
                <c:pt idx="66">
                  <c:v>45822</c:v>
                </c:pt>
                <c:pt idx="67">
                  <c:v>45823</c:v>
                </c:pt>
                <c:pt idx="68">
                  <c:v>45824</c:v>
                </c:pt>
                <c:pt idx="69">
                  <c:v>45825</c:v>
                </c:pt>
                <c:pt idx="70">
                  <c:v>45826</c:v>
                </c:pt>
                <c:pt idx="71">
                  <c:v>45827</c:v>
                </c:pt>
                <c:pt idx="72">
                  <c:v>45828</c:v>
                </c:pt>
                <c:pt idx="73">
                  <c:v>45829</c:v>
                </c:pt>
                <c:pt idx="74">
                  <c:v>45830</c:v>
                </c:pt>
                <c:pt idx="75">
                  <c:v>45831</c:v>
                </c:pt>
                <c:pt idx="76">
                  <c:v>45832</c:v>
                </c:pt>
                <c:pt idx="77">
                  <c:v>45833</c:v>
                </c:pt>
                <c:pt idx="78">
                  <c:v>45834</c:v>
                </c:pt>
                <c:pt idx="79">
                  <c:v>45835</c:v>
                </c:pt>
                <c:pt idx="80">
                  <c:v>45836</c:v>
                </c:pt>
                <c:pt idx="81">
                  <c:v>45837</c:v>
                </c:pt>
                <c:pt idx="82">
                  <c:v>45838</c:v>
                </c:pt>
              </c:numCache>
            </c:numRef>
          </c:cat>
          <c:val>
            <c:numRef>
              <c:f>'SPDR Chart'!$Y$4:$Y$86</c:f>
              <c:numCache>
                <c:formatCode>General</c:formatCode>
                <c:ptCount val="83"/>
                <c:pt idx="0">
                  <c:v>0</c:v>
                </c:pt>
                <c:pt idx="1">
                  <c:v>0</c:v>
                </c:pt>
                <c:pt idx="2">
                  <c:v>0</c:v>
                </c:pt>
                <c:pt idx="3">
                  <c:v>0</c:v>
                </c:pt>
                <c:pt idx="4">
                  <c:v>0</c:v>
                </c:pt>
                <c:pt idx="5">
                  <c:v>0</c:v>
                </c:pt>
                <c:pt idx="6">
                  <c:v>0</c:v>
                </c:pt>
                <c:pt idx="7">
                  <c:v>0</c:v>
                </c:pt>
                <c:pt idx="8">
                  <c:v>1</c:v>
                </c:pt>
                <c:pt idx="9">
                  <c:v>0</c:v>
                </c:pt>
                <c:pt idx="10">
                  <c:v>0</c:v>
                </c:pt>
                <c:pt idx="11">
                  <c:v>0</c:v>
                </c:pt>
                <c:pt idx="12">
                  <c:v>0</c:v>
                </c:pt>
                <c:pt idx="13">
                  <c:v>0</c:v>
                </c:pt>
                <c:pt idx="14">
                  <c:v>0</c:v>
                </c:pt>
                <c:pt idx="15">
                  <c:v>0</c:v>
                </c:pt>
                <c:pt idx="16">
                  <c:v>0</c:v>
                </c:pt>
                <c:pt idx="17">
                  <c:v>0</c:v>
                </c:pt>
                <c:pt idx="18">
                  <c:v>0</c:v>
                </c:pt>
                <c:pt idx="19">
                  <c:v>0</c:v>
                </c:pt>
                <c:pt idx="20">
                  <c:v>1</c:v>
                </c:pt>
                <c:pt idx="21">
                  <c:v>1</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numCache>
            </c:numRef>
          </c:val>
          <c:extLst>
            <c:ext xmlns:c16="http://schemas.microsoft.com/office/drawing/2014/chart" uri="{C3380CC4-5D6E-409C-BE32-E72D297353CC}">
              <c16:uniqueId val="{00000002-7B90-4681-8438-19A0FEA2AB07}"/>
            </c:ext>
          </c:extLst>
        </c:ser>
        <c:ser>
          <c:idx val="3"/>
          <c:order val="3"/>
          <c:tx>
            <c:strRef>
              <c:f>'SPDR Chart'!$G$3</c:f>
              <c:strCache>
                <c:ptCount val="1"/>
                <c:pt idx="0">
                  <c:v>XLV</c:v>
                </c:pt>
              </c:strCache>
            </c:strRef>
          </c:tx>
          <c:spPr>
            <a:solidFill>
              <a:schemeClr val="accent5">
                <a:lumMod val="75000"/>
              </a:schemeClr>
            </a:solidFill>
            <a:ln>
              <a:solidFill>
                <a:sysClr val="windowText" lastClr="000000"/>
              </a:solidFill>
            </a:ln>
            <a:effectLst/>
          </c:spPr>
          <c:invertIfNegative val="0"/>
          <c:cat>
            <c:numRef>
              <c:f>'SPDR Chart'!$B$4:$B$86</c:f>
              <c:numCache>
                <c:formatCode>m/d/yyyy</c:formatCode>
                <c:ptCount val="83"/>
                <c:pt idx="0">
                  <c:v>45756</c:v>
                </c:pt>
                <c:pt idx="1">
                  <c:v>45757</c:v>
                </c:pt>
                <c:pt idx="2">
                  <c:v>45758</c:v>
                </c:pt>
                <c:pt idx="3">
                  <c:v>45759</c:v>
                </c:pt>
                <c:pt idx="4">
                  <c:v>45760</c:v>
                </c:pt>
                <c:pt idx="5">
                  <c:v>45761</c:v>
                </c:pt>
                <c:pt idx="6">
                  <c:v>45762</c:v>
                </c:pt>
                <c:pt idx="7">
                  <c:v>45763</c:v>
                </c:pt>
                <c:pt idx="8">
                  <c:v>45764</c:v>
                </c:pt>
                <c:pt idx="9">
                  <c:v>45765</c:v>
                </c:pt>
                <c:pt idx="10">
                  <c:v>45766</c:v>
                </c:pt>
                <c:pt idx="11">
                  <c:v>45767</c:v>
                </c:pt>
                <c:pt idx="12">
                  <c:v>45768</c:v>
                </c:pt>
                <c:pt idx="13">
                  <c:v>45769</c:v>
                </c:pt>
                <c:pt idx="14">
                  <c:v>45770</c:v>
                </c:pt>
                <c:pt idx="15">
                  <c:v>45771</c:v>
                </c:pt>
                <c:pt idx="16">
                  <c:v>45772</c:v>
                </c:pt>
                <c:pt idx="17">
                  <c:v>45773</c:v>
                </c:pt>
                <c:pt idx="18">
                  <c:v>45774</c:v>
                </c:pt>
                <c:pt idx="19">
                  <c:v>45775</c:v>
                </c:pt>
                <c:pt idx="20">
                  <c:v>45776</c:v>
                </c:pt>
                <c:pt idx="21">
                  <c:v>45777</c:v>
                </c:pt>
                <c:pt idx="22">
                  <c:v>45778</c:v>
                </c:pt>
                <c:pt idx="23">
                  <c:v>45779</c:v>
                </c:pt>
                <c:pt idx="24">
                  <c:v>45780</c:v>
                </c:pt>
                <c:pt idx="25">
                  <c:v>45781</c:v>
                </c:pt>
                <c:pt idx="26">
                  <c:v>45782</c:v>
                </c:pt>
                <c:pt idx="27">
                  <c:v>45783</c:v>
                </c:pt>
                <c:pt idx="28">
                  <c:v>45784</c:v>
                </c:pt>
                <c:pt idx="29">
                  <c:v>45785</c:v>
                </c:pt>
                <c:pt idx="30">
                  <c:v>45786</c:v>
                </c:pt>
                <c:pt idx="31">
                  <c:v>45787</c:v>
                </c:pt>
                <c:pt idx="32">
                  <c:v>45788</c:v>
                </c:pt>
                <c:pt idx="33">
                  <c:v>45789</c:v>
                </c:pt>
                <c:pt idx="34">
                  <c:v>45790</c:v>
                </c:pt>
                <c:pt idx="35">
                  <c:v>45791</c:v>
                </c:pt>
                <c:pt idx="36">
                  <c:v>45792</c:v>
                </c:pt>
                <c:pt idx="37">
                  <c:v>45793</c:v>
                </c:pt>
                <c:pt idx="38">
                  <c:v>45794</c:v>
                </c:pt>
                <c:pt idx="39">
                  <c:v>45795</c:v>
                </c:pt>
                <c:pt idx="40">
                  <c:v>45796</c:v>
                </c:pt>
                <c:pt idx="41">
                  <c:v>45797</c:v>
                </c:pt>
                <c:pt idx="42">
                  <c:v>45798</c:v>
                </c:pt>
                <c:pt idx="43">
                  <c:v>45799</c:v>
                </c:pt>
                <c:pt idx="44">
                  <c:v>45800</c:v>
                </c:pt>
                <c:pt idx="45">
                  <c:v>45801</c:v>
                </c:pt>
                <c:pt idx="46">
                  <c:v>45802</c:v>
                </c:pt>
                <c:pt idx="47">
                  <c:v>45803</c:v>
                </c:pt>
                <c:pt idx="48">
                  <c:v>45804</c:v>
                </c:pt>
                <c:pt idx="49">
                  <c:v>45805</c:v>
                </c:pt>
                <c:pt idx="50">
                  <c:v>45806</c:v>
                </c:pt>
                <c:pt idx="51">
                  <c:v>45807</c:v>
                </c:pt>
                <c:pt idx="52">
                  <c:v>45808</c:v>
                </c:pt>
                <c:pt idx="53">
                  <c:v>45809</c:v>
                </c:pt>
                <c:pt idx="54">
                  <c:v>45810</c:v>
                </c:pt>
                <c:pt idx="55">
                  <c:v>45811</c:v>
                </c:pt>
                <c:pt idx="56">
                  <c:v>45812</c:v>
                </c:pt>
                <c:pt idx="57">
                  <c:v>45813</c:v>
                </c:pt>
                <c:pt idx="58">
                  <c:v>45814</c:v>
                </c:pt>
                <c:pt idx="59">
                  <c:v>45815</c:v>
                </c:pt>
                <c:pt idx="60">
                  <c:v>45816</c:v>
                </c:pt>
                <c:pt idx="61">
                  <c:v>45817</c:v>
                </c:pt>
                <c:pt idx="62">
                  <c:v>45818</c:v>
                </c:pt>
                <c:pt idx="63">
                  <c:v>45819</c:v>
                </c:pt>
                <c:pt idx="64">
                  <c:v>45820</c:v>
                </c:pt>
                <c:pt idx="65">
                  <c:v>45821</c:v>
                </c:pt>
                <c:pt idx="66">
                  <c:v>45822</c:v>
                </c:pt>
                <c:pt idx="67">
                  <c:v>45823</c:v>
                </c:pt>
                <c:pt idx="68">
                  <c:v>45824</c:v>
                </c:pt>
                <c:pt idx="69">
                  <c:v>45825</c:v>
                </c:pt>
                <c:pt idx="70">
                  <c:v>45826</c:v>
                </c:pt>
                <c:pt idx="71">
                  <c:v>45827</c:v>
                </c:pt>
                <c:pt idx="72">
                  <c:v>45828</c:v>
                </c:pt>
                <c:pt idx="73">
                  <c:v>45829</c:v>
                </c:pt>
                <c:pt idx="74">
                  <c:v>45830</c:v>
                </c:pt>
                <c:pt idx="75">
                  <c:v>45831</c:v>
                </c:pt>
                <c:pt idx="76">
                  <c:v>45832</c:v>
                </c:pt>
                <c:pt idx="77">
                  <c:v>45833</c:v>
                </c:pt>
                <c:pt idx="78">
                  <c:v>45834</c:v>
                </c:pt>
                <c:pt idx="79">
                  <c:v>45835</c:v>
                </c:pt>
                <c:pt idx="80">
                  <c:v>45836</c:v>
                </c:pt>
                <c:pt idx="81">
                  <c:v>45837</c:v>
                </c:pt>
                <c:pt idx="82">
                  <c:v>45838</c:v>
                </c:pt>
              </c:numCache>
            </c:numRef>
          </c:cat>
          <c:val>
            <c:numRef>
              <c:f>'SPDR Chart'!$Z$4:$Z$86</c:f>
              <c:numCache>
                <c:formatCode>General</c:formatCode>
                <c:ptCount val="8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1</c:v>
                </c:pt>
                <c:pt idx="50">
                  <c:v>0</c:v>
                </c:pt>
                <c:pt idx="51">
                  <c:v>0</c:v>
                </c:pt>
                <c:pt idx="52">
                  <c:v>0</c:v>
                </c:pt>
                <c:pt idx="53">
                  <c:v>0</c:v>
                </c:pt>
                <c:pt idx="54">
                  <c:v>0</c:v>
                </c:pt>
                <c:pt idx="55">
                  <c:v>1</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numCache>
            </c:numRef>
          </c:val>
          <c:extLst>
            <c:ext xmlns:c16="http://schemas.microsoft.com/office/drawing/2014/chart" uri="{C3380CC4-5D6E-409C-BE32-E72D297353CC}">
              <c16:uniqueId val="{00000003-7B90-4681-8438-19A0FEA2AB07}"/>
            </c:ext>
          </c:extLst>
        </c:ser>
        <c:ser>
          <c:idx val="6"/>
          <c:order val="5"/>
          <c:tx>
            <c:strRef>
              <c:f>'SPDR Chart'!$J$3</c:f>
              <c:strCache>
                <c:ptCount val="1"/>
                <c:pt idx="0">
                  <c:v>XLY</c:v>
                </c:pt>
              </c:strCache>
            </c:strRef>
          </c:tx>
          <c:spPr>
            <a:solidFill>
              <a:srgbClr val="65FF65"/>
            </a:solidFill>
            <a:ln>
              <a:solidFill>
                <a:sysClr val="windowText" lastClr="000000"/>
              </a:solidFill>
            </a:ln>
            <a:effectLst/>
          </c:spPr>
          <c:invertIfNegative val="0"/>
          <c:cat>
            <c:numRef>
              <c:f>'SPDR Chart'!$B$4:$B$86</c:f>
              <c:numCache>
                <c:formatCode>m/d/yyyy</c:formatCode>
                <c:ptCount val="83"/>
                <c:pt idx="0">
                  <c:v>45756</c:v>
                </c:pt>
                <c:pt idx="1">
                  <c:v>45757</c:v>
                </c:pt>
                <c:pt idx="2">
                  <c:v>45758</c:v>
                </c:pt>
                <c:pt idx="3">
                  <c:v>45759</c:v>
                </c:pt>
                <c:pt idx="4">
                  <c:v>45760</c:v>
                </c:pt>
                <c:pt idx="5">
                  <c:v>45761</c:v>
                </c:pt>
                <c:pt idx="6">
                  <c:v>45762</c:v>
                </c:pt>
                <c:pt idx="7">
                  <c:v>45763</c:v>
                </c:pt>
                <c:pt idx="8">
                  <c:v>45764</c:v>
                </c:pt>
                <c:pt idx="9">
                  <c:v>45765</c:v>
                </c:pt>
                <c:pt idx="10">
                  <c:v>45766</c:v>
                </c:pt>
                <c:pt idx="11">
                  <c:v>45767</c:v>
                </c:pt>
                <c:pt idx="12">
                  <c:v>45768</c:v>
                </c:pt>
                <c:pt idx="13">
                  <c:v>45769</c:v>
                </c:pt>
                <c:pt idx="14">
                  <c:v>45770</c:v>
                </c:pt>
                <c:pt idx="15">
                  <c:v>45771</c:v>
                </c:pt>
                <c:pt idx="16">
                  <c:v>45772</c:v>
                </c:pt>
                <c:pt idx="17">
                  <c:v>45773</c:v>
                </c:pt>
                <c:pt idx="18">
                  <c:v>45774</c:v>
                </c:pt>
                <c:pt idx="19">
                  <c:v>45775</c:v>
                </c:pt>
                <c:pt idx="20">
                  <c:v>45776</c:v>
                </c:pt>
                <c:pt idx="21">
                  <c:v>45777</c:v>
                </c:pt>
                <c:pt idx="22">
                  <c:v>45778</c:v>
                </c:pt>
                <c:pt idx="23">
                  <c:v>45779</c:v>
                </c:pt>
                <c:pt idx="24">
                  <c:v>45780</c:v>
                </c:pt>
                <c:pt idx="25">
                  <c:v>45781</c:v>
                </c:pt>
                <c:pt idx="26">
                  <c:v>45782</c:v>
                </c:pt>
                <c:pt idx="27">
                  <c:v>45783</c:v>
                </c:pt>
                <c:pt idx="28">
                  <c:v>45784</c:v>
                </c:pt>
                <c:pt idx="29">
                  <c:v>45785</c:v>
                </c:pt>
                <c:pt idx="30">
                  <c:v>45786</c:v>
                </c:pt>
                <c:pt idx="31">
                  <c:v>45787</c:v>
                </c:pt>
                <c:pt idx="32">
                  <c:v>45788</c:v>
                </c:pt>
                <c:pt idx="33">
                  <c:v>45789</c:v>
                </c:pt>
                <c:pt idx="34">
                  <c:v>45790</c:v>
                </c:pt>
                <c:pt idx="35">
                  <c:v>45791</c:v>
                </c:pt>
                <c:pt idx="36">
                  <c:v>45792</c:v>
                </c:pt>
                <c:pt idx="37">
                  <c:v>45793</c:v>
                </c:pt>
                <c:pt idx="38">
                  <c:v>45794</c:v>
                </c:pt>
                <c:pt idx="39">
                  <c:v>45795</c:v>
                </c:pt>
                <c:pt idx="40">
                  <c:v>45796</c:v>
                </c:pt>
                <c:pt idx="41">
                  <c:v>45797</c:v>
                </c:pt>
                <c:pt idx="42">
                  <c:v>45798</c:v>
                </c:pt>
                <c:pt idx="43">
                  <c:v>45799</c:v>
                </c:pt>
                <c:pt idx="44">
                  <c:v>45800</c:v>
                </c:pt>
                <c:pt idx="45">
                  <c:v>45801</c:v>
                </c:pt>
                <c:pt idx="46">
                  <c:v>45802</c:v>
                </c:pt>
                <c:pt idx="47">
                  <c:v>45803</c:v>
                </c:pt>
                <c:pt idx="48">
                  <c:v>45804</c:v>
                </c:pt>
                <c:pt idx="49">
                  <c:v>45805</c:v>
                </c:pt>
                <c:pt idx="50">
                  <c:v>45806</c:v>
                </c:pt>
                <c:pt idx="51">
                  <c:v>45807</c:v>
                </c:pt>
                <c:pt idx="52">
                  <c:v>45808</c:v>
                </c:pt>
                <c:pt idx="53">
                  <c:v>45809</c:v>
                </c:pt>
                <c:pt idx="54">
                  <c:v>45810</c:v>
                </c:pt>
                <c:pt idx="55">
                  <c:v>45811</c:v>
                </c:pt>
                <c:pt idx="56">
                  <c:v>45812</c:v>
                </c:pt>
                <c:pt idx="57">
                  <c:v>45813</c:v>
                </c:pt>
                <c:pt idx="58">
                  <c:v>45814</c:v>
                </c:pt>
                <c:pt idx="59">
                  <c:v>45815</c:v>
                </c:pt>
                <c:pt idx="60">
                  <c:v>45816</c:v>
                </c:pt>
                <c:pt idx="61">
                  <c:v>45817</c:v>
                </c:pt>
                <c:pt idx="62">
                  <c:v>45818</c:v>
                </c:pt>
                <c:pt idx="63">
                  <c:v>45819</c:v>
                </c:pt>
                <c:pt idx="64">
                  <c:v>45820</c:v>
                </c:pt>
                <c:pt idx="65">
                  <c:v>45821</c:v>
                </c:pt>
                <c:pt idx="66">
                  <c:v>45822</c:v>
                </c:pt>
                <c:pt idx="67">
                  <c:v>45823</c:v>
                </c:pt>
                <c:pt idx="68">
                  <c:v>45824</c:v>
                </c:pt>
                <c:pt idx="69">
                  <c:v>45825</c:v>
                </c:pt>
                <c:pt idx="70">
                  <c:v>45826</c:v>
                </c:pt>
                <c:pt idx="71">
                  <c:v>45827</c:v>
                </c:pt>
                <c:pt idx="72">
                  <c:v>45828</c:v>
                </c:pt>
                <c:pt idx="73">
                  <c:v>45829</c:v>
                </c:pt>
                <c:pt idx="74">
                  <c:v>45830</c:v>
                </c:pt>
                <c:pt idx="75">
                  <c:v>45831</c:v>
                </c:pt>
                <c:pt idx="76">
                  <c:v>45832</c:v>
                </c:pt>
                <c:pt idx="77">
                  <c:v>45833</c:v>
                </c:pt>
                <c:pt idx="78">
                  <c:v>45834</c:v>
                </c:pt>
                <c:pt idx="79">
                  <c:v>45835</c:v>
                </c:pt>
                <c:pt idx="80">
                  <c:v>45836</c:v>
                </c:pt>
                <c:pt idx="81">
                  <c:v>45837</c:v>
                </c:pt>
                <c:pt idx="82">
                  <c:v>45838</c:v>
                </c:pt>
              </c:numCache>
            </c:numRef>
          </c:cat>
          <c:val>
            <c:numRef>
              <c:f>'SPDR Chart'!$AC$4:$AC$86</c:f>
              <c:numCache>
                <c:formatCode>General</c:formatCode>
                <c:ptCount val="8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1</c:v>
                </c:pt>
                <c:pt idx="27">
                  <c:v>1</c:v>
                </c:pt>
                <c:pt idx="28">
                  <c:v>1</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3</c:v>
                </c:pt>
                <c:pt idx="50">
                  <c:v>3</c:v>
                </c:pt>
                <c:pt idx="51">
                  <c:v>0</c:v>
                </c:pt>
                <c:pt idx="52">
                  <c:v>0</c:v>
                </c:pt>
                <c:pt idx="53">
                  <c:v>0</c:v>
                </c:pt>
                <c:pt idx="54">
                  <c:v>0</c:v>
                </c:pt>
                <c:pt idx="55">
                  <c:v>0</c:v>
                </c:pt>
                <c:pt idx="56">
                  <c:v>0</c:v>
                </c:pt>
                <c:pt idx="57">
                  <c:v>1</c:v>
                </c:pt>
                <c:pt idx="58">
                  <c:v>0</c:v>
                </c:pt>
                <c:pt idx="59">
                  <c:v>0</c:v>
                </c:pt>
                <c:pt idx="60">
                  <c:v>0</c:v>
                </c:pt>
                <c:pt idx="61">
                  <c:v>0</c:v>
                </c:pt>
                <c:pt idx="62">
                  <c:v>0</c:v>
                </c:pt>
                <c:pt idx="63">
                  <c:v>1</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numCache>
            </c:numRef>
          </c:val>
          <c:extLst>
            <c:ext xmlns:c16="http://schemas.microsoft.com/office/drawing/2014/chart" uri="{C3380CC4-5D6E-409C-BE32-E72D297353CC}">
              <c16:uniqueId val="{00000006-7B90-4681-8438-19A0FEA2AB07}"/>
            </c:ext>
          </c:extLst>
        </c:ser>
        <c:ser>
          <c:idx val="7"/>
          <c:order val="6"/>
          <c:tx>
            <c:strRef>
              <c:f>'SPDR Chart'!$K$3</c:f>
              <c:strCache>
                <c:ptCount val="1"/>
                <c:pt idx="0">
                  <c:v>XLC</c:v>
                </c:pt>
              </c:strCache>
            </c:strRef>
          </c:tx>
          <c:spPr>
            <a:solidFill>
              <a:schemeClr val="accent4">
                <a:lumMod val="20000"/>
                <a:lumOff val="80000"/>
              </a:schemeClr>
            </a:solidFill>
            <a:ln>
              <a:solidFill>
                <a:sysClr val="windowText" lastClr="000000"/>
              </a:solidFill>
            </a:ln>
            <a:effectLst/>
          </c:spPr>
          <c:invertIfNegative val="0"/>
          <c:cat>
            <c:numRef>
              <c:f>'SPDR Chart'!$B$4:$B$86</c:f>
              <c:numCache>
                <c:formatCode>m/d/yyyy</c:formatCode>
                <c:ptCount val="83"/>
                <c:pt idx="0">
                  <c:v>45756</c:v>
                </c:pt>
                <c:pt idx="1">
                  <c:v>45757</c:v>
                </c:pt>
                <c:pt idx="2">
                  <c:v>45758</c:v>
                </c:pt>
                <c:pt idx="3">
                  <c:v>45759</c:v>
                </c:pt>
                <c:pt idx="4">
                  <c:v>45760</c:v>
                </c:pt>
                <c:pt idx="5">
                  <c:v>45761</c:v>
                </c:pt>
                <c:pt idx="6">
                  <c:v>45762</c:v>
                </c:pt>
                <c:pt idx="7">
                  <c:v>45763</c:v>
                </c:pt>
                <c:pt idx="8">
                  <c:v>45764</c:v>
                </c:pt>
                <c:pt idx="9">
                  <c:v>45765</c:v>
                </c:pt>
                <c:pt idx="10">
                  <c:v>45766</c:v>
                </c:pt>
                <c:pt idx="11">
                  <c:v>45767</c:v>
                </c:pt>
                <c:pt idx="12">
                  <c:v>45768</c:v>
                </c:pt>
                <c:pt idx="13">
                  <c:v>45769</c:v>
                </c:pt>
                <c:pt idx="14">
                  <c:v>45770</c:v>
                </c:pt>
                <c:pt idx="15">
                  <c:v>45771</c:v>
                </c:pt>
                <c:pt idx="16">
                  <c:v>45772</c:v>
                </c:pt>
                <c:pt idx="17">
                  <c:v>45773</c:v>
                </c:pt>
                <c:pt idx="18">
                  <c:v>45774</c:v>
                </c:pt>
                <c:pt idx="19">
                  <c:v>45775</c:v>
                </c:pt>
                <c:pt idx="20">
                  <c:v>45776</c:v>
                </c:pt>
                <c:pt idx="21">
                  <c:v>45777</c:v>
                </c:pt>
                <c:pt idx="22">
                  <c:v>45778</c:v>
                </c:pt>
                <c:pt idx="23">
                  <c:v>45779</c:v>
                </c:pt>
                <c:pt idx="24">
                  <c:v>45780</c:v>
                </c:pt>
                <c:pt idx="25">
                  <c:v>45781</c:v>
                </c:pt>
                <c:pt idx="26">
                  <c:v>45782</c:v>
                </c:pt>
                <c:pt idx="27">
                  <c:v>45783</c:v>
                </c:pt>
                <c:pt idx="28">
                  <c:v>45784</c:v>
                </c:pt>
                <c:pt idx="29">
                  <c:v>45785</c:v>
                </c:pt>
                <c:pt idx="30">
                  <c:v>45786</c:v>
                </c:pt>
                <c:pt idx="31">
                  <c:v>45787</c:v>
                </c:pt>
                <c:pt idx="32">
                  <c:v>45788</c:v>
                </c:pt>
                <c:pt idx="33">
                  <c:v>45789</c:v>
                </c:pt>
                <c:pt idx="34">
                  <c:v>45790</c:v>
                </c:pt>
                <c:pt idx="35">
                  <c:v>45791</c:v>
                </c:pt>
                <c:pt idx="36">
                  <c:v>45792</c:v>
                </c:pt>
                <c:pt idx="37">
                  <c:v>45793</c:v>
                </c:pt>
                <c:pt idx="38">
                  <c:v>45794</c:v>
                </c:pt>
                <c:pt idx="39">
                  <c:v>45795</c:v>
                </c:pt>
                <c:pt idx="40">
                  <c:v>45796</c:v>
                </c:pt>
                <c:pt idx="41">
                  <c:v>45797</c:v>
                </c:pt>
                <c:pt idx="42">
                  <c:v>45798</c:v>
                </c:pt>
                <c:pt idx="43">
                  <c:v>45799</c:v>
                </c:pt>
                <c:pt idx="44">
                  <c:v>45800</c:v>
                </c:pt>
                <c:pt idx="45">
                  <c:v>45801</c:v>
                </c:pt>
                <c:pt idx="46">
                  <c:v>45802</c:v>
                </c:pt>
                <c:pt idx="47">
                  <c:v>45803</c:v>
                </c:pt>
                <c:pt idx="48">
                  <c:v>45804</c:v>
                </c:pt>
                <c:pt idx="49">
                  <c:v>45805</c:v>
                </c:pt>
                <c:pt idx="50">
                  <c:v>45806</c:v>
                </c:pt>
                <c:pt idx="51">
                  <c:v>45807</c:v>
                </c:pt>
                <c:pt idx="52">
                  <c:v>45808</c:v>
                </c:pt>
                <c:pt idx="53">
                  <c:v>45809</c:v>
                </c:pt>
                <c:pt idx="54">
                  <c:v>45810</c:v>
                </c:pt>
                <c:pt idx="55">
                  <c:v>45811</c:v>
                </c:pt>
                <c:pt idx="56">
                  <c:v>45812</c:v>
                </c:pt>
                <c:pt idx="57">
                  <c:v>45813</c:v>
                </c:pt>
                <c:pt idx="58">
                  <c:v>45814</c:v>
                </c:pt>
                <c:pt idx="59">
                  <c:v>45815</c:v>
                </c:pt>
                <c:pt idx="60">
                  <c:v>45816</c:v>
                </c:pt>
                <c:pt idx="61">
                  <c:v>45817</c:v>
                </c:pt>
                <c:pt idx="62">
                  <c:v>45818</c:v>
                </c:pt>
                <c:pt idx="63">
                  <c:v>45819</c:v>
                </c:pt>
                <c:pt idx="64">
                  <c:v>45820</c:v>
                </c:pt>
                <c:pt idx="65">
                  <c:v>45821</c:v>
                </c:pt>
                <c:pt idx="66">
                  <c:v>45822</c:v>
                </c:pt>
                <c:pt idx="67">
                  <c:v>45823</c:v>
                </c:pt>
                <c:pt idx="68">
                  <c:v>45824</c:v>
                </c:pt>
                <c:pt idx="69">
                  <c:v>45825</c:v>
                </c:pt>
                <c:pt idx="70">
                  <c:v>45826</c:v>
                </c:pt>
                <c:pt idx="71">
                  <c:v>45827</c:v>
                </c:pt>
                <c:pt idx="72">
                  <c:v>45828</c:v>
                </c:pt>
                <c:pt idx="73">
                  <c:v>45829</c:v>
                </c:pt>
                <c:pt idx="74">
                  <c:v>45830</c:v>
                </c:pt>
                <c:pt idx="75">
                  <c:v>45831</c:v>
                </c:pt>
                <c:pt idx="76">
                  <c:v>45832</c:v>
                </c:pt>
                <c:pt idx="77">
                  <c:v>45833</c:v>
                </c:pt>
                <c:pt idx="78">
                  <c:v>45834</c:v>
                </c:pt>
                <c:pt idx="79">
                  <c:v>45835</c:v>
                </c:pt>
                <c:pt idx="80">
                  <c:v>45836</c:v>
                </c:pt>
                <c:pt idx="81">
                  <c:v>45837</c:v>
                </c:pt>
                <c:pt idx="82">
                  <c:v>45838</c:v>
                </c:pt>
              </c:numCache>
            </c:numRef>
          </c:cat>
          <c:val>
            <c:numRef>
              <c:f>'SPDR Chart'!$AD$4:$AD$86</c:f>
              <c:numCache>
                <c:formatCode>General</c:formatCode>
                <c:ptCount val="8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1</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numCache>
            </c:numRef>
          </c:val>
          <c:extLst>
            <c:ext xmlns:c16="http://schemas.microsoft.com/office/drawing/2014/chart" uri="{C3380CC4-5D6E-409C-BE32-E72D297353CC}">
              <c16:uniqueId val="{00000007-7B90-4681-8438-19A0FEA2AB07}"/>
            </c:ext>
          </c:extLst>
        </c:ser>
        <c:ser>
          <c:idx val="8"/>
          <c:order val="7"/>
          <c:tx>
            <c:strRef>
              <c:f>'SPDR Chart'!$L$3</c:f>
              <c:strCache>
                <c:ptCount val="1"/>
                <c:pt idx="0">
                  <c:v>XLK</c:v>
                </c:pt>
              </c:strCache>
            </c:strRef>
          </c:tx>
          <c:spPr>
            <a:solidFill>
              <a:srgbClr val="FFFF00"/>
            </a:solidFill>
            <a:ln>
              <a:solidFill>
                <a:sysClr val="windowText" lastClr="000000"/>
              </a:solidFill>
            </a:ln>
            <a:effectLst/>
          </c:spPr>
          <c:invertIfNegative val="0"/>
          <c:cat>
            <c:numRef>
              <c:f>'SPDR Chart'!$B$4:$B$86</c:f>
              <c:numCache>
                <c:formatCode>m/d/yyyy</c:formatCode>
                <c:ptCount val="83"/>
                <c:pt idx="0">
                  <c:v>45756</c:v>
                </c:pt>
                <c:pt idx="1">
                  <c:v>45757</c:v>
                </c:pt>
                <c:pt idx="2">
                  <c:v>45758</c:v>
                </c:pt>
                <c:pt idx="3">
                  <c:v>45759</c:v>
                </c:pt>
                <c:pt idx="4">
                  <c:v>45760</c:v>
                </c:pt>
                <c:pt idx="5">
                  <c:v>45761</c:v>
                </c:pt>
                <c:pt idx="6">
                  <c:v>45762</c:v>
                </c:pt>
                <c:pt idx="7">
                  <c:v>45763</c:v>
                </c:pt>
                <c:pt idx="8">
                  <c:v>45764</c:v>
                </c:pt>
                <c:pt idx="9">
                  <c:v>45765</c:v>
                </c:pt>
                <c:pt idx="10">
                  <c:v>45766</c:v>
                </c:pt>
                <c:pt idx="11">
                  <c:v>45767</c:v>
                </c:pt>
                <c:pt idx="12">
                  <c:v>45768</c:v>
                </c:pt>
                <c:pt idx="13">
                  <c:v>45769</c:v>
                </c:pt>
                <c:pt idx="14">
                  <c:v>45770</c:v>
                </c:pt>
                <c:pt idx="15">
                  <c:v>45771</c:v>
                </c:pt>
                <c:pt idx="16">
                  <c:v>45772</c:v>
                </c:pt>
                <c:pt idx="17">
                  <c:v>45773</c:v>
                </c:pt>
                <c:pt idx="18">
                  <c:v>45774</c:v>
                </c:pt>
                <c:pt idx="19">
                  <c:v>45775</c:v>
                </c:pt>
                <c:pt idx="20">
                  <c:v>45776</c:v>
                </c:pt>
                <c:pt idx="21">
                  <c:v>45777</c:v>
                </c:pt>
                <c:pt idx="22">
                  <c:v>45778</c:v>
                </c:pt>
                <c:pt idx="23">
                  <c:v>45779</c:v>
                </c:pt>
                <c:pt idx="24">
                  <c:v>45780</c:v>
                </c:pt>
                <c:pt idx="25">
                  <c:v>45781</c:v>
                </c:pt>
                <c:pt idx="26">
                  <c:v>45782</c:v>
                </c:pt>
                <c:pt idx="27">
                  <c:v>45783</c:v>
                </c:pt>
                <c:pt idx="28">
                  <c:v>45784</c:v>
                </c:pt>
                <c:pt idx="29">
                  <c:v>45785</c:v>
                </c:pt>
                <c:pt idx="30">
                  <c:v>45786</c:v>
                </c:pt>
                <c:pt idx="31">
                  <c:v>45787</c:v>
                </c:pt>
                <c:pt idx="32">
                  <c:v>45788</c:v>
                </c:pt>
                <c:pt idx="33">
                  <c:v>45789</c:v>
                </c:pt>
                <c:pt idx="34">
                  <c:v>45790</c:v>
                </c:pt>
                <c:pt idx="35">
                  <c:v>45791</c:v>
                </c:pt>
                <c:pt idx="36">
                  <c:v>45792</c:v>
                </c:pt>
                <c:pt idx="37">
                  <c:v>45793</c:v>
                </c:pt>
                <c:pt idx="38">
                  <c:v>45794</c:v>
                </c:pt>
                <c:pt idx="39">
                  <c:v>45795</c:v>
                </c:pt>
                <c:pt idx="40">
                  <c:v>45796</c:v>
                </c:pt>
                <c:pt idx="41">
                  <c:v>45797</c:v>
                </c:pt>
                <c:pt idx="42">
                  <c:v>45798</c:v>
                </c:pt>
                <c:pt idx="43">
                  <c:v>45799</c:v>
                </c:pt>
                <c:pt idx="44">
                  <c:v>45800</c:v>
                </c:pt>
                <c:pt idx="45">
                  <c:v>45801</c:v>
                </c:pt>
                <c:pt idx="46">
                  <c:v>45802</c:v>
                </c:pt>
                <c:pt idx="47">
                  <c:v>45803</c:v>
                </c:pt>
                <c:pt idx="48">
                  <c:v>45804</c:v>
                </c:pt>
                <c:pt idx="49">
                  <c:v>45805</c:v>
                </c:pt>
                <c:pt idx="50">
                  <c:v>45806</c:v>
                </c:pt>
                <c:pt idx="51">
                  <c:v>45807</c:v>
                </c:pt>
                <c:pt idx="52">
                  <c:v>45808</c:v>
                </c:pt>
                <c:pt idx="53">
                  <c:v>45809</c:v>
                </c:pt>
                <c:pt idx="54">
                  <c:v>45810</c:v>
                </c:pt>
                <c:pt idx="55">
                  <c:v>45811</c:v>
                </c:pt>
                <c:pt idx="56">
                  <c:v>45812</c:v>
                </c:pt>
                <c:pt idx="57">
                  <c:v>45813</c:v>
                </c:pt>
                <c:pt idx="58">
                  <c:v>45814</c:v>
                </c:pt>
                <c:pt idx="59">
                  <c:v>45815</c:v>
                </c:pt>
                <c:pt idx="60">
                  <c:v>45816</c:v>
                </c:pt>
                <c:pt idx="61">
                  <c:v>45817</c:v>
                </c:pt>
                <c:pt idx="62">
                  <c:v>45818</c:v>
                </c:pt>
                <c:pt idx="63">
                  <c:v>45819</c:v>
                </c:pt>
                <c:pt idx="64">
                  <c:v>45820</c:v>
                </c:pt>
                <c:pt idx="65">
                  <c:v>45821</c:v>
                </c:pt>
                <c:pt idx="66">
                  <c:v>45822</c:v>
                </c:pt>
                <c:pt idx="67">
                  <c:v>45823</c:v>
                </c:pt>
                <c:pt idx="68">
                  <c:v>45824</c:v>
                </c:pt>
                <c:pt idx="69">
                  <c:v>45825</c:v>
                </c:pt>
                <c:pt idx="70">
                  <c:v>45826</c:v>
                </c:pt>
                <c:pt idx="71">
                  <c:v>45827</c:v>
                </c:pt>
                <c:pt idx="72">
                  <c:v>45828</c:v>
                </c:pt>
                <c:pt idx="73">
                  <c:v>45829</c:v>
                </c:pt>
                <c:pt idx="74">
                  <c:v>45830</c:v>
                </c:pt>
                <c:pt idx="75">
                  <c:v>45831</c:v>
                </c:pt>
                <c:pt idx="76">
                  <c:v>45832</c:v>
                </c:pt>
                <c:pt idx="77">
                  <c:v>45833</c:v>
                </c:pt>
                <c:pt idx="78">
                  <c:v>45834</c:v>
                </c:pt>
                <c:pt idx="79">
                  <c:v>45835</c:v>
                </c:pt>
                <c:pt idx="80">
                  <c:v>45836</c:v>
                </c:pt>
                <c:pt idx="81">
                  <c:v>45837</c:v>
                </c:pt>
                <c:pt idx="82">
                  <c:v>45838</c:v>
                </c:pt>
              </c:numCache>
            </c:numRef>
          </c:cat>
          <c:val>
            <c:numRef>
              <c:f>'SPDR Chart'!$AE$4:$AE$86</c:f>
              <c:numCache>
                <c:formatCode>General</c:formatCode>
                <c:ptCount val="8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2</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1</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1</c:v>
                </c:pt>
                <c:pt idx="77">
                  <c:v>0</c:v>
                </c:pt>
                <c:pt idx="78">
                  <c:v>0</c:v>
                </c:pt>
                <c:pt idx="79">
                  <c:v>0</c:v>
                </c:pt>
                <c:pt idx="80">
                  <c:v>0</c:v>
                </c:pt>
                <c:pt idx="81">
                  <c:v>0</c:v>
                </c:pt>
                <c:pt idx="82">
                  <c:v>0</c:v>
                </c:pt>
              </c:numCache>
            </c:numRef>
          </c:val>
          <c:extLst>
            <c:ext xmlns:c16="http://schemas.microsoft.com/office/drawing/2014/chart" uri="{C3380CC4-5D6E-409C-BE32-E72D297353CC}">
              <c16:uniqueId val="{00000008-7B90-4681-8438-19A0FEA2AB07}"/>
            </c:ext>
          </c:extLst>
        </c:ser>
        <c:ser>
          <c:idx val="13"/>
          <c:order val="8"/>
          <c:tx>
            <c:strRef>
              <c:f>'SPDR Chart'!$Q$3</c:f>
              <c:strCache>
                <c:ptCount val="1"/>
                <c:pt idx="0">
                  <c:v>IGV</c:v>
                </c:pt>
              </c:strCache>
            </c:strRef>
          </c:tx>
          <c:spPr>
            <a:pattFill prst="zigZag">
              <a:fgClr>
                <a:schemeClr val="tx1">
                  <a:lumMod val="50000"/>
                  <a:lumOff val="50000"/>
                </a:schemeClr>
              </a:fgClr>
              <a:bgClr>
                <a:srgbClr val="00FF00"/>
              </a:bgClr>
            </a:pattFill>
            <a:ln>
              <a:solidFill>
                <a:sysClr val="windowText" lastClr="000000"/>
              </a:solidFill>
            </a:ln>
            <a:effectLst/>
          </c:spPr>
          <c:invertIfNegative val="0"/>
          <c:cat>
            <c:numRef>
              <c:f>'SPDR Chart'!$B$4:$B$86</c:f>
              <c:numCache>
                <c:formatCode>m/d/yyyy</c:formatCode>
                <c:ptCount val="83"/>
                <c:pt idx="0">
                  <c:v>45756</c:v>
                </c:pt>
                <c:pt idx="1">
                  <c:v>45757</c:v>
                </c:pt>
                <c:pt idx="2">
                  <c:v>45758</c:v>
                </c:pt>
                <c:pt idx="3">
                  <c:v>45759</c:v>
                </c:pt>
                <c:pt idx="4">
                  <c:v>45760</c:v>
                </c:pt>
                <c:pt idx="5">
                  <c:v>45761</c:v>
                </c:pt>
                <c:pt idx="6">
                  <c:v>45762</c:v>
                </c:pt>
                <c:pt idx="7">
                  <c:v>45763</c:v>
                </c:pt>
                <c:pt idx="8">
                  <c:v>45764</c:v>
                </c:pt>
                <c:pt idx="9">
                  <c:v>45765</c:v>
                </c:pt>
                <c:pt idx="10">
                  <c:v>45766</c:v>
                </c:pt>
                <c:pt idx="11">
                  <c:v>45767</c:v>
                </c:pt>
                <c:pt idx="12">
                  <c:v>45768</c:v>
                </c:pt>
                <c:pt idx="13">
                  <c:v>45769</c:v>
                </c:pt>
                <c:pt idx="14">
                  <c:v>45770</c:v>
                </c:pt>
                <c:pt idx="15">
                  <c:v>45771</c:v>
                </c:pt>
                <c:pt idx="16">
                  <c:v>45772</c:v>
                </c:pt>
                <c:pt idx="17">
                  <c:v>45773</c:v>
                </c:pt>
                <c:pt idx="18">
                  <c:v>45774</c:v>
                </c:pt>
                <c:pt idx="19">
                  <c:v>45775</c:v>
                </c:pt>
                <c:pt idx="20">
                  <c:v>45776</c:v>
                </c:pt>
                <c:pt idx="21">
                  <c:v>45777</c:v>
                </c:pt>
                <c:pt idx="22">
                  <c:v>45778</c:v>
                </c:pt>
                <c:pt idx="23">
                  <c:v>45779</c:v>
                </c:pt>
                <c:pt idx="24">
                  <c:v>45780</c:v>
                </c:pt>
                <c:pt idx="25">
                  <c:v>45781</c:v>
                </c:pt>
                <c:pt idx="26">
                  <c:v>45782</c:v>
                </c:pt>
                <c:pt idx="27">
                  <c:v>45783</c:v>
                </c:pt>
                <c:pt idx="28">
                  <c:v>45784</c:v>
                </c:pt>
                <c:pt idx="29">
                  <c:v>45785</c:v>
                </c:pt>
                <c:pt idx="30">
                  <c:v>45786</c:v>
                </c:pt>
                <c:pt idx="31">
                  <c:v>45787</c:v>
                </c:pt>
                <c:pt idx="32">
                  <c:v>45788</c:v>
                </c:pt>
                <c:pt idx="33">
                  <c:v>45789</c:v>
                </c:pt>
                <c:pt idx="34">
                  <c:v>45790</c:v>
                </c:pt>
                <c:pt idx="35">
                  <c:v>45791</c:v>
                </c:pt>
                <c:pt idx="36">
                  <c:v>45792</c:v>
                </c:pt>
                <c:pt idx="37">
                  <c:v>45793</c:v>
                </c:pt>
                <c:pt idx="38">
                  <c:v>45794</c:v>
                </c:pt>
                <c:pt idx="39">
                  <c:v>45795</c:v>
                </c:pt>
                <c:pt idx="40">
                  <c:v>45796</c:v>
                </c:pt>
                <c:pt idx="41">
                  <c:v>45797</c:v>
                </c:pt>
                <c:pt idx="42">
                  <c:v>45798</c:v>
                </c:pt>
                <c:pt idx="43">
                  <c:v>45799</c:v>
                </c:pt>
                <c:pt idx="44">
                  <c:v>45800</c:v>
                </c:pt>
                <c:pt idx="45">
                  <c:v>45801</c:v>
                </c:pt>
                <c:pt idx="46">
                  <c:v>45802</c:v>
                </c:pt>
                <c:pt idx="47">
                  <c:v>45803</c:v>
                </c:pt>
                <c:pt idx="48">
                  <c:v>45804</c:v>
                </c:pt>
                <c:pt idx="49">
                  <c:v>45805</c:v>
                </c:pt>
                <c:pt idx="50">
                  <c:v>45806</c:v>
                </c:pt>
                <c:pt idx="51">
                  <c:v>45807</c:v>
                </c:pt>
                <c:pt idx="52">
                  <c:v>45808</c:v>
                </c:pt>
                <c:pt idx="53">
                  <c:v>45809</c:v>
                </c:pt>
                <c:pt idx="54">
                  <c:v>45810</c:v>
                </c:pt>
                <c:pt idx="55">
                  <c:v>45811</c:v>
                </c:pt>
                <c:pt idx="56">
                  <c:v>45812</c:v>
                </c:pt>
                <c:pt idx="57">
                  <c:v>45813</c:v>
                </c:pt>
                <c:pt idx="58">
                  <c:v>45814</c:v>
                </c:pt>
                <c:pt idx="59">
                  <c:v>45815</c:v>
                </c:pt>
                <c:pt idx="60">
                  <c:v>45816</c:v>
                </c:pt>
                <c:pt idx="61">
                  <c:v>45817</c:v>
                </c:pt>
                <c:pt idx="62">
                  <c:v>45818</c:v>
                </c:pt>
                <c:pt idx="63">
                  <c:v>45819</c:v>
                </c:pt>
                <c:pt idx="64">
                  <c:v>45820</c:v>
                </c:pt>
                <c:pt idx="65">
                  <c:v>45821</c:v>
                </c:pt>
                <c:pt idx="66">
                  <c:v>45822</c:v>
                </c:pt>
                <c:pt idx="67">
                  <c:v>45823</c:v>
                </c:pt>
                <c:pt idx="68">
                  <c:v>45824</c:v>
                </c:pt>
                <c:pt idx="69">
                  <c:v>45825</c:v>
                </c:pt>
                <c:pt idx="70">
                  <c:v>45826</c:v>
                </c:pt>
                <c:pt idx="71">
                  <c:v>45827</c:v>
                </c:pt>
                <c:pt idx="72">
                  <c:v>45828</c:v>
                </c:pt>
                <c:pt idx="73">
                  <c:v>45829</c:v>
                </c:pt>
                <c:pt idx="74">
                  <c:v>45830</c:v>
                </c:pt>
                <c:pt idx="75">
                  <c:v>45831</c:v>
                </c:pt>
                <c:pt idx="76">
                  <c:v>45832</c:v>
                </c:pt>
                <c:pt idx="77">
                  <c:v>45833</c:v>
                </c:pt>
                <c:pt idx="78">
                  <c:v>45834</c:v>
                </c:pt>
                <c:pt idx="79">
                  <c:v>45835</c:v>
                </c:pt>
                <c:pt idx="80">
                  <c:v>45836</c:v>
                </c:pt>
                <c:pt idx="81">
                  <c:v>45837</c:v>
                </c:pt>
                <c:pt idx="82">
                  <c:v>45838</c:v>
                </c:pt>
              </c:numCache>
            </c:numRef>
          </c:cat>
          <c:val>
            <c:numRef>
              <c:f>'SPDR Chart'!$AJ$4:$AJ$86</c:f>
              <c:numCache>
                <c:formatCode>General</c:formatCode>
                <c:ptCount val="8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3</c:v>
                </c:pt>
                <c:pt idx="21">
                  <c:v>2</c:v>
                </c:pt>
                <c:pt idx="22">
                  <c:v>3</c:v>
                </c:pt>
                <c:pt idx="23">
                  <c:v>0</c:v>
                </c:pt>
                <c:pt idx="24">
                  <c:v>0</c:v>
                </c:pt>
                <c:pt idx="25">
                  <c:v>0</c:v>
                </c:pt>
                <c:pt idx="26">
                  <c:v>0</c:v>
                </c:pt>
                <c:pt idx="27">
                  <c:v>3</c:v>
                </c:pt>
                <c:pt idx="28">
                  <c:v>2</c:v>
                </c:pt>
                <c:pt idx="29">
                  <c:v>1</c:v>
                </c:pt>
                <c:pt idx="30">
                  <c:v>0</c:v>
                </c:pt>
                <c:pt idx="31">
                  <c:v>0</c:v>
                </c:pt>
                <c:pt idx="32">
                  <c:v>0</c:v>
                </c:pt>
                <c:pt idx="33">
                  <c:v>0</c:v>
                </c:pt>
                <c:pt idx="34">
                  <c:v>0</c:v>
                </c:pt>
                <c:pt idx="35">
                  <c:v>1</c:v>
                </c:pt>
                <c:pt idx="36">
                  <c:v>1</c:v>
                </c:pt>
                <c:pt idx="37">
                  <c:v>0</c:v>
                </c:pt>
                <c:pt idx="38">
                  <c:v>0</c:v>
                </c:pt>
                <c:pt idx="39">
                  <c:v>0</c:v>
                </c:pt>
                <c:pt idx="40">
                  <c:v>0</c:v>
                </c:pt>
                <c:pt idx="41">
                  <c:v>0</c:v>
                </c:pt>
                <c:pt idx="42">
                  <c:v>1</c:v>
                </c:pt>
                <c:pt idx="43">
                  <c:v>0</c:v>
                </c:pt>
                <c:pt idx="44">
                  <c:v>0</c:v>
                </c:pt>
                <c:pt idx="45">
                  <c:v>0</c:v>
                </c:pt>
                <c:pt idx="46">
                  <c:v>0</c:v>
                </c:pt>
                <c:pt idx="47">
                  <c:v>0</c:v>
                </c:pt>
                <c:pt idx="48">
                  <c:v>2</c:v>
                </c:pt>
                <c:pt idx="49">
                  <c:v>4</c:v>
                </c:pt>
                <c:pt idx="50">
                  <c:v>3</c:v>
                </c:pt>
                <c:pt idx="51">
                  <c:v>0</c:v>
                </c:pt>
                <c:pt idx="52">
                  <c:v>0</c:v>
                </c:pt>
                <c:pt idx="53">
                  <c:v>0</c:v>
                </c:pt>
                <c:pt idx="54">
                  <c:v>0</c:v>
                </c:pt>
                <c:pt idx="55">
                  <c:v>1</c:v>
                </c:pt>
                <c:pt idx="56">
                  <c:v>0</c:v>
                </c:pt>
                <c:pt idx="57">
                  <c:v>1</c:v>
                </c:pt>
                <c:pt idx="58">
                  <c:v>0</c:v>
                </c:pt>
                <c:pt idx="59">
                  <c:v>0</c:v>
                </c:pt>
                <c:pt idx="60">
                  <c:v>0</c:v>
                </c:pt>
                <c:pt idx="61">
                  <c:v>0</c:v>
                </c:pt>
                <c:pt idx="62">
                  <c:v>1</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numCache>
            </c:numRef>
          </c:val>
          <c:extLst>
            <c:ext xmlns:c16="http://schemas.microsoft.com/office/drawing/2014/chart" uri="{C3380CC4-5D6E-409C-BE32-E72D297353CC}">
              <c16:uniqueId val="{00000009-7B90-4681-8438-19A0FEA2AB07}"/>
            </c:ext>
          </c:extLst>
        </c:ser>
        <c:ser>
          <c:idx val="11"/>
          <c:order val="9"/>
          <c:tx>
            <c:strRef>
              <c:f>'SPDR Chart'!$O$3</c:f>
              <c:strCache>
                <c:ptCount val="1"/>
                <c:pt idx="0">
                  <c:v>SMH</c:v>
                </c:pt>
              </c:strCache>
            </c:strRef>
          </c:tx>
          <c:spPr>
            <a:pattFill prst="lgCheck">
              <a:fgClr>
                <a:srgbClr val="FFFF00"/>
              </a:fgClr>
              <a:bgClr>
                <a:schemeClr val="bg1"/>
              </a:bgClr>
            </a:pattFill>
            <a:ln>
              <a:solidFill>
                <a:sysClr val="windowText" lastClr="000000"/>
              </a:solidFill>
            </a:ln>
            <a:effectLst/>
          </c:spPr>
          <c:invertIfNegative val="0"/>
          <c:cat>
            <c:numRef>
              <c:f>'SPDR Chart'!$B$4:$B$86</c:f>
              <c:numCache>
                <c:formatCode>m/d/yyyy</c:formatCode>
                <c:ptCount val="83"/>
                <c:pt idx="0">
                  <c:v>45756</c:v>
                </c:pt>
                <c:pt idx="1">
                  <c:v>45757</c:v>
                </c:pt>
                <c:pt idx="2">
                  <c:v>45758</c:v>
                </c:pt>
                <c:pt idx="3">
                  <c:v>45759</c:v>
                </c:pt>
                <c:pt idx="4">
                  <c:v>45760</c:v>
                </c:pt>
                <c:pt idx="5">
                  <c:v>45761</c:v>
                </c:pt>
                <c:pt idx="6">
                  <c:v>45762</c:v>
                </c:pt>
                <c:pt idx="7">
                  <c:v>45763</c:v>
                </c:pt>
                <c:pt idx="8">
                  <c:v>45764</c:v>
                </c:pt>
                <c:pt idx="9">
                  <c:v>45765</c:v>
                </c:pt>
                <c:pt idx="10">
                  <c:v>45766</c:v>
                </c:pt>
                <c:pt idx="11">
                  <c:v>45767</c:v>
                </c:pt>
                <c:pt idx="12">
                  <c:v>45768</c:v>
                </c:pt>
                <c:pt idx="13">
                  <c:v>45769</c:v>
                </c:pt>
                <c:pt idx="14">
                  <c:v>45770</c:v>
                </c:pt>
                <c:pt idx="15">
                  <c:v>45771</c:v>
                </c:pt>
                <c:pt idx="16">
                  <c:v>45772</c:v>
                </c:pt>
                <c:pt idx="17">
                  <c:v>45773</c:v>
                </c:pt>
                <c:pt idx="18">
                  <c:v>45774</c:v>
                </c:pt>
                <c:pt idx="19">
                  <c:v>45775</c:v>
                </c:pt>
                <c:pt idx="20">
                  <c:v>45776</c:v>
                </c:pt>
                <c:pt idx="21">
                  <c:v>45777</c:v>
                </c:pt>
                <c:pt idx="22">
                  <c:v>45778</c:v>
                </c:pt>
                <c:pt idx="23">
                  <c:v>45779</c:v>
                </c:pt>
                <c:pt idx="24">
                  <c:v>45780</c:v>
                </c:pt>
                <c:pt idx="25">
                  <c:v>45781</c:v>
                </c:pt>
                <c:pt idx="26">
                  <c:v>45782</c:v>
                </c:pt>
                <c:pt idx="27">
                  <c:v>45783</c:v>
                </c:pt>
                <c:pt idx="28">
                  <c:v>45784</c:v>
                </c:pt>
                <c:pt idx="29">
                  <c:v>45785</c:v>
                </c:pt>
                <c:pt idx="30">
                  <c:v>45786</c:v>
                </c:pt>
                <c:pt idx="31">
                  <c:v>45787</c:v>
                </c:pt>
                <c:pt idx="32">
                  <c:v>45788</c:v>
                </c:pt>
                <c:pt idx="33">
                  <c:v>45789</c:v>
                </c:pt>
                <c:pt idx="34">
                  <c:v>45790</c:v>
                </c:pt>
                <c:pt idx="35">
                  <c:v>45791</c:v>
                </c:pt>
                <c:pt idx="36">
                  <c:v>45792</c:v>
                </c:pt>
                <c:pt idx="37">
                  <c:v>45793</c:v>
                </c:pt>
                <c:pt idx="38">
                  <c:v>45794</c:v>
                </c:pt>
                <c:pt idx="39">
                  <c:v>45795</c:v>
                </c:pt>
                <c:pt idx="40">
                  <c:v>45796</c:v>
                </c:pt>
                <c:pt idx="41">
                  <c:v>45797</c:v>
                </c:pt>
                <c:pt idx="42">
                  <c:v>45798</c:v>
                </c:pt>
                <c:pt idx="43">
                  <c:v>45799</c:v>
                </c:pt>
                <c:pt idx="44">
                  <c:v>45800</c:v>
                </c:pt>
                <c:pt idx="45">
                  <c:v>45801</c:v>
                </c:pt>
                <c:pt idx="46">
                  <c:v>45802</c:v>
                </c:pt>
                <c:pt idx="47">
                  <c:v>45803</c:v>
                </c:pt>
                <c:pt idx="48">
                  <c:v>45804</c:v>
                </c:pt>
                <c:pt idx="49">
                  <c:v>45805</c:v>
                </c:pt>
                <c:pt idx="50">
                  <c:v>45806</c:v>
                </c:pt>
                <c:pt idx="51">
                  <c:v>45807</c:v>
                </c:pt>
                <c:pt idx="52">
                  <c:v>45808</c:v>
                </c:pt>
                <c:pt idx="53">
                  <c:v>45809</c:v>
                </c:pt>
                <c:pt idx="54">
                  <c:v>45810</c:v>
                </c:pt>
                <c:pt idx="55">
                  <c:v>45811</c:v>
                </c:pt>
                <c:pt idx="56">
                  <c:v>45812</c:v>
                </c:pt>
                <c:pt idx="57">
                  <c:v>45813</c:v>
                </c:pt>
                <c:pt idx="58">
                  <c:v>45814</c:v>
                </c:pt>
                <c:pt idx="59">
                  <c:v>45815</c:v>
                </c:pt>
                <c:pt idx="60">
                  <c:v>45816</c:v>
                </c:pt>
                <c:pt idx="61">
                  <c:v>45817</c:v>
                </c:pt>
                <c:pt idx="62">
                  <c:v>45818</c:v>
                </c:pt>
                <c:pt idx="63">
                  <c:v>45819</c:v>
                </c:pt>
                <c:pt idx="64">
                  <c:v>45820</c:v>
                </c:pt>
                <c:pt idx="65">
                  <c:v>45821</c:v>
                </c:pt>
                <c:pt idx="66">
                  <c:v>45822</c:v>
                </c:pt>
                <c:pt idx="67">
                  <c:v>45823</c:v>
                </c:pt>
                <c:pt idx="68">
                  <c:v>45824</c:v>
                </c:pt>
                <c:pt idx="69">
                  <c:v>45825</c:v>
                </c:pt>
                <c:pt idx="70">
                  <c:v>45826</c:v>
                </c:pt>
                <c:pt idx="71">
                  <c:v>45827</c:v>
                </c:pt>
                <c:pt idx="72">
                  <c:v>45828</c:v>
                </c:pt>
                <c:pt idx="73">
                  <c:v>45829</c:v>
                </c:pt>
                <c:pt idx="74">
                  <c:v>45830</c:v>
                </c:pt>
                <c:pt idx="75">
                  <c:v>45831</c:v>
                </c:pt>
                <c:pt idx="76">
                  <c:v>45832</c:v>
                </c:pt>
                <c:pt idx="77">
                  <c:v>45833</c:v>
                </c:pt>
                <c:pt idx="78">
                  <c:v>45834</c:v>
                </c:pt>
                <c:pt idx="79">
                  <c:v>45835</c:v>
                </c:pt>
                <c:pt idx="80">
                  <c:v>45836</c:v>
                </c:pt>
                <c:pt idx="81">
                  <c:v>45837</c:v>
                </c:pt>
                <c:pt idx="82">
                  <c:v>45838</c:v>
                </c:pt>
              </c:numCache>
            </c:numRef>
          </c:cat>
          <c:val>
            <c:numRef>
              <c:f>'SPDR Chart'!$AH$4:$AH$86</c:f>
              <c:numCache>
                <c:formatCode>General</c:formatCode>
                <c:ptCount val="8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1</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numCache>
            </c:numRef>
          </c:val>
          <c:extLst>
            <c:ext xmlns:c16="http://schemas.microsoft.com/office/drawing/2014/chart" uri="{C3380CC4-5D6E-409C-BE32-E72D297353CC}">
              <c16:uniqueId val="{0000000A-7B90-4681-8438-19A0FEA2AB07}"/>
            </c:ext>
          </c:extLst>
        </c:ser>
        <c:ser>
          <c:idx val="9"/>
          <c:order val="10"/>
          <c:tx>
            <c:strRef>
              <c:f>'SPDR Chart'!$M$3</c:f>
              <c:strCache>
                <c:ptCount val="1"/>
                <c:pt idx="0">
                  <c:v>XLB</c:v>
                </c:pt>
              </c:strCache>
            </c:strRef>
          </c:tx>
          <c:spPr>
            <a:solidFill>
              <a:schemeClr val="accent2">
                <a:lumMod val="50000"/>
              </a:schemeClr>
            </a:solidFill>
            <a:ln>
              <a:solidFill>
                <a:sysClr val="windowText" lastClr="000000"/>
              </a:solidFill>
            </a:ln>
            <a:effectLst/>
          </c:spPr>
          <c:invertIfNegative val="0"/>
          <c:cat>
            <c:numRef>
              <c:f>'SPDR Chart'!$B$4:$B$86</c:f>
              <c:numCache>
                <c:formatCode>m/d/yyyy</c:formatCode>
                <c:ptCount val="83"/>
                <c:pt idx="0">
                  <c:v>45756</c:v>
                </c:pt>
                <c:pt idx="1">
                  <c:v>45757</c:v>
                </c:pt>
                <c:pt idx="2">
                  <c:v>45758</c:v>
                </c:pt>
                <c:pt idx="3">
                  <c:v>45759</c:v>
                </c:pt>
                <c:pt idx="4">
                  <c:v>45760</c:v>
                </c:pt>
                <c:pt idx="5">
                  <c:v>45761</c:v>
                </c:pt>
                <c:pt idx="6">
                  <c:v>45762</c:v>
                </c:pt>
                <c:pt idx="7">
                  <c:v>45763</c:v>
                </c:pt>
                <c:pt idx="8">
                  <c:v>45764</c:v>
                </c:pt>
                <c:pt idx="9">
                  <c:v>45765</c:v>
                </c:pt>
                <c:pt idx="10">
                  <c:v>45766</c:v>
                </c:pt>
                <c:pt idx="11">
                  <c:v>45767</c:v>
                </c:pt>
                <c:pt idx="12">
                  <c:v>45768</c:v>
                </c:pt>
                <c:pt idx="13">
                  <c:v>45769</c:v>
                </c:pt>
                <c:pt idx="14">
                  <c:v>45770</c:v>
                </c:pt>
                <c:pt idx="15">
                  <c:v>45771</c:v>
                </c:pt>
                <c:pt idx="16">
                  <c:v>45772</c:v>
                </c:pt>
                <c:pt idx="17">
                  <c:v>45773</c:v>
                </c:pt>
                <c:pt idx="18">
                  <c:v>45774</c:v>
                </c:pt>
                <c:pt idx="19">
                  <c:v>45775</c:v>
                </c:pt>
                <c:pt idx="20">
                  <c:v>45776</c:v>
                </c:pt>
                <c:pt idx="21">
                  <c:v>45777</c:v>
                </c:pt>
                <c:pt idx="22">
                  <c:v>45778</c:v>
                </c:pt>
                <c:pt idx="23">
                  <c:v>45779</c:v>
                </c:pt>
                <c:pt idx="24">
                  <c:v>45780</c:v>
                </c:pt>
                <c:pt idx="25">
                  <c:v>45781</c:v>
                </c:pt>
                <c:pt idx="26">
                  <c:v>45782</c:v>
                </c:pt>
                <c:pt idx="27">
                  <c:v>45783</c:v>
                </c:pt>
                <c:pt idx="28">
                  <c:v>45784</c:v>
                </c:pt>
                <c:pt idx="29">
                  <c:v>45785</c:v>
                </c:pt>
                <c:pt idx="30">
                  <c:v>45786</c:v>
                </c:pt>
                <c:pt idx="31">
                  <c:v>45787</c:v>
                </c:pt>
                <c:pt idx="32">
                  <c:v>45788</c:v>
                </c:pt>
                <c:pt idx="33">
                  <c:v>45789</c:v>
                </c:pt>
                <c:pt idx="34">
                  <c:v>45790</c:v>
                </c:pt>
                <c:pt idx="35">
                  <c:v>45791</c:v>
                </c:pt>
                <c:pt idx="36">
                  <c:v>45792</c:v>
                </c:pt>
                <c:pt idx="37">
                  <c:v>45793</c:v>
                </c:pt>
                <c:pt idx="38">
                  <c:v>45794</c:v>
                </c:pt>
                <c:pt idx="39">
                  <c:v>45795</c:v>
                </c:pt>
                <c:pt idx="40">
                  <c:v>45796</c:v>
                </c:pt>
                <c:pt idx="41">
                  <c:v>45797</c:v>
                </c:pt>
                <c:pt idx="42">
                  <c:v>45798</c:v>
                </c:pt>
                <c:pt idx="43">
                  <c:v>45799</c:v>
                </c:pt>
                <c:pt idx="44">
                  <c:v>45800</c:v>
                </c:pt>
                <c:pt idx="45">
                  <c:v>45801</c:v>
                </c:pt>
                <c:pt idx="46">
                  <c:v>45802</c:v>
                </c:pt>
                <c:pt idx="47">
                  <c:v>45803</c:v>
                </c:pt>
                <c:pt idx="48">
                  <c:v>45804</c:v>
                </c:pt>
                <c:pt idx="49">
                  <c:v>45805</c:v>
                </c:pt>
                <c:pt idx="50">
                  <c:v>45806</c:v>
                </c:pt>
                <c:pt idx="51">
                  <c:v>45807</c:v>
                </c:pt>
                <c:pt idx="52">
                  <c:v>45808</c:v>
                </c:pt>
                <c:pt idx="53">
                  <c:v>45809</c:v>
                </c:pt>
                <c:pt idx="54">
                  <c:v>45810</c:v>
                </c:pt>
                <c:pt idx="55">
                  <c:v>45811</c:v>
                </c:pt>
                <c:pt idx="56">
                  <c:v>45812</c:v>
                </c:pt>
                <c:pt idx="57">
                  <c:v>45813</c:v>
                </c:pt>
                <c:pt idx="58">
                  <c:v>45814</c:v>
                </c:pt>
                <c:pt idx="59">
                  <c:v>45815</c:v>
                </c:pt>
                <c:pt idx="60">
                  <c:v>45816</c:v>
                </c:pt>
                <c:pt idx="61">
                  <c:v>45817</c:v>
                </c:pt>
                <c:pt idx="62">
                  <c:v>45818</c:v>
                </c:pt>
                <c:pt idx="63">
                  <c:v>45819</c:v>
                </c:pt>
                <c:pt idx="64">
                  <c:v>45820</c:v>
                </c:pt>
                <c:pt idx="65">
                  <c:v>45821</c:v>
                </c:pt>
                <c:pt idx="66">
                  <c:v>45822</c:v>
                </c:pt>
                <c:pt idx="67">
                  <c:v>45823</c:v>
                </c:pt>
                <c:pt idx="68">
                  <c:v>45824</c:v>
                </c:pt>
                <c:pt idx="69">
                  <c:v>45825</c:v>
                </c:pt>
                <c:pt idx="70">
                  <c:v>45826</c:v>
                </c:pt>
                <c:pt idx="71">
                  <c:v>45827</c:v>
                </c:pt>
                <c:pt idx="72">
                  <c:v>45828</c:v>
                </c:pt>
                <c:pt idx="73">
                  <c:v>45829</c:v>
                </c:pt>
                <c:pt idx="74">
                  <c:v>45830</c:v>
                </c:pt>
                <c:pt idx="75">
                  <c:v>45831</c:v>
                </c:pt>
                <c:pt idx="76">
                  <c:v>45832</c:v>
                </c:pt>
                <c:pt idx="77">
                  <c:v>45833</c:v>
                </c:pt>
                <c:pt idx="78">
                  <c:v>45834</c:v>
                </c:pt>
                <c:pt idx="79">
                  <c:v>45835</c:v>
                </c:pt>
                <c:pt idx="80">
                  <c:v>45836</c:v>
                </c:pt>
                <c:pt idx="81">
                  <c:v>45837</c:v>
                </c:pt>
                <c:pt idx="82">
                  <c:v>45838</c:v>
                </c:pt>
              </c:numCache>
            </c:numRef>
          </c:cat>
          <c:val>
            <c:numRef>
              <c:f>'SPDR Chart'!$AF$4:$AF$86</c:f>
              <c:numCache>
                <c:formatCode>General</c:formatCode>
                <c:ptCount val="8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1</c:v>
                </c:pt>
                <c:pt idx="16">
                  <c:v>0</c:v>
                </c:pt>
                <c:pt idx="17">
                  <c:v>0</c:v>
                </c:pt>
                <c:pt idx="18">
                  <c:v>0</c:v>
                </c:pt>
                <c:pt idx="19">
                  <c:v>0</c:v>
                </c:pt>
                <c:pt idx="20">
                  <c:v>0</c:v>
                </c:pt>
                <c:pt idx="21">
                  <c:v>1</c:v>
                </c:pt>
                <c:pt idx="22">
                  <c:v>0</c:v>
                </c:pt>
                <c:pt idx="23">
                  <c:v>0</c:v>
                </c:pt>
                <c:pt idx="24">
                  <c:v>0</c:v>
                </c:pt>
                <c:pt idx="25">
                  <c:v>0</c:v>
                </c:pt>
                <c:pt idx="26">
                  <c:v>1</c:v>
                </c:pt>
                <c:pt idx="27">
                  <c:v>0</c:v>
                </c:pt>
                <c:pt idx="28">
                  <c:v>1</c:v>
                </c:pt>
                <c:pt idx="29">
                  <c:v>0</c:v>
                </c:pt>
                <c:pt idx="30">
                  <c:v>0</c:v>
                </c:pt>
                <c:pt idx="31">
                  <c:v>0</c:v>
                </c:pt>
                <c:pt idx="32">
                  <c:v>0</c:v>
                </c:pt>
                <c:pt idx="33">
                  <c:v>0</c:v>
                </c:pt>
                <c:pt idx="34">
                  <c:v>0</c:v>
                </c:pt>
                <c:pt idx="35">
                  <c:v>0</c:v>
                </c:pt>
                <c:pt idx="36">
                  <c:v>0</c:v>
                </c:pt>
                <c:pt idx="37">
                  <c:v>0</c:v>
                </c:pt>
                <c:pt idx="38">
                  <c:v>0</c:v>
                </c:pt>
                <c:pt idx="39">
                  <c:v>0</c:v>
                </c:pt>
                <c:pt idx="40">
                  <c:v>0</c:v>
                </c:pt>
                <c:pt idx="41">
                  <c:v>1</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numCache>
            </c:numRef>
          </c:val>
          <c:extLst>
            <c:ext xmlns:c16="http://schemas.microsoft.com/office/drawing/2014/chart" uri="{C3380CC4-5D6E-409C-BE32-E72D297353CC}">
              <c16:uniqueId val="{0000000B-7B90-4681-8438-19A0FEA2AB07}"/>
            </c:ext>
          </c:extLst>
        </c:ser>
        <c:ser>
          <c:idx val="14"/>
          <c:order val="11"/>
          <c:tx>
            <c:strRef>
              <c:f>'SPDR Chart'!$E$3</c:f>
              <c:strCache>
                <c:ptCount val="1"/>
                <c:pt idx="0">
                  <c:v>XHB</c:v>
                </c:pt>
              </c:strCache>
            </c:strRef>
          </c:tx>
          <c:spPr>
            <a:solidFill>
              <a:schemeClr val="accent3">
                <a:lumMod val="75000"/>
              </a:schemeClr>
            </a:solidFill>
            <a:ln>
              <a:solidFill>
                <a:sysClr val="windowText" lastClr="000000"/>
              </a:solidFill>
            </a:ln>
            <a:effectLst/>
          </c:spPr>
          <c:invertIfNegative val="0"/>
          <c:cat>
            <c:numRef>
              <c:f>'SPDR Chart'!$B$4:$B$86</c:f>
              <c:numCache>
                <c:formatCode>m/d/yyyy</c:formatCode>
                <c:ptCount val="83"/>
                <c:pt idx="0">
                  <c:v>45756</c:v>
                </c:pt>
                <c:pt idx="1">
                  <c:v>45757</c:v>
                </c:pt>
                <c:pt idx="2">
                  <c:v>45758</c:v>
                </c:pt>
                <c:pt idx="3">
                  <c:v>45759</c:v>
                </c:pt>
                <c:pt idx="4">
                  <c:v>45760</c:v>
                </c:pt>
                <c:pt idx="5">
                  <c:v>45761</c:v>
                </c:pt>
                <c:pt idx="6">
                  <c:v>45762</c:v>
                </c:pt>
                <c:pt idx="7">
                  <c:v>45763</c:v>
                </c:pt>
                <c:pt idx="8">
                  <c:v>45764</c:v>
                </c:pt>
                <c:pt idx="9">
                  <c:v>45765</c:v>
                </c:pt>
                <c:pt idx="10">
                  <c:v>45766</c:v>
                </c:pt>
                <c:pt idx="11">
                  <c:v>45767</c:v>
                </c:pt>
                <c:pt idx="12">
                  <c:v>45768</c:v>
                </c:pt>
                <c:pt idx="13">
                  <c:v>45769</c:v>
                </c:pt>
                <c:pt idx="14">
                  <c:v>45770</c:v>
                </c:pt>
                <c:pt idx="15">
                  <c:v>45771</c:v>
                </c:pt>
                <c:pt idx="16">
                  <c:v>45772</c:v>
                </c:pt>
                <c:pt idx="17">
                  <c:v>45773</c:v>
                </c:pt>
                <c:pt idx="18">
                  <c:v>45774</c:v>
                </c:pt>
                <c:pt idx="19">
                  <c:v>45775</c:v>
                </c:pt>
                <c:pt idx="20">
                  <c:v>45776</c:v>
                </c:pt>
                <c:pt idx="21">
                  <c:v>45777</c:v>
                </c:pt>
                <c:pt idx="22">
                  <c:v>45778</c:v>
                </c:pt>
                <c:pt idx="23">
                  <c:v>45779</c:v>
                </c:pt>
                <c:pt idx="24">
                  <c:v>45780</c:v>
                </c:pt>
                <c:pt idx="25">
                  <c:v>45781</c:v>
                </c:pt>
                <c:pt idx="26">
                  <c:v>45782</c:v>
                </c:pt>
                <c:pt idx="27">
                  <c:v>45783</c:v>
                </c:pt>
                <c:pt idx="28">
                  <c:v>45784</c:v>
                </c:pt>
                <c:pt idx="29">
                  <c:v>45785</c:v>
                </c:pt>
                <c:pt idx="30">
                  <c:v>45786</c:v>
                </c:pt>
                <c:pt idx="31">
                  <c:v>45787</c:v>
                </c:pt>
                <c:pt idx="32">
                  <c:v>45788</c:v>
                </c:pt>
                <c:pt idx="33">
                  <c:v>45789</c:v>
                </c:pt>
                <c:pt idx="34">
                  <c:v>45790</c:v>
                </c:pt>
                <c:pt idx="35">
                  <c:v>45791</c:v>
                </c:pt>
                <c:pt idx="36">
                  <c:v>45792</c:v>
                </c:pt>
                <c:pt idx="37">
                  <c:v>45793</c:v>
                </c:pt>
                <c:pt idx="38">
                  <c:v>45794</c:v>
                </c:pt>
                <c:pt idx="39">
                  <c:v>45795</c:v>
                </c:pt>
                <c:pt idx="40">
                  <c:v>45796</c:v>
                </c:pt>
                <c:pt idx="41">
                  <c:v>45797</c:v>
                </c:pt>
                <c:pt idx="42">
                  <c:v>45798</c:v>
                </c:pt>
                <c:pt idx="43">
                  <c:v>45799</c:v>
                </c:pt>
                <c:pt idx="44">
                  <c:v>45800</c:v>
                </c:pt>
                <c:pt idx="45">
                  <c:v>45801</c:v>
                </c:pt>
                <c:pt idx="46">
                  <c:v>45802</c:v>
                </c:pt>
                <c:pt idx="47">
                  <c:v>45803</c:v>
                </c:pt>
                <c:pt idx="48">
                  <c:v>45804</c:v>
                </c:pt>
                <c:pt idx="49">
                  <c:v>45805</c:v>
                </c:pt>
                <c:pt idx="50">
                  <c:v>45806</c:v>
                </c:pt>
                <c:pt idx="51">
                  <c:v>45807</c:v>
                </c:pt>
                <c:pt idx="52">
                  <c:v>45808</c:v>
                </c:pt>
                <c:pt idx="53">
                  <c:v>45809</c:v>
                </c:pt>
                <c:pt idx="54">
                  <c:v>45810</c:v>
                </c:pt>
                <c:pt idx="55">
                  <c:v>45811</c:v>
                </c:pt>
                <c:pt idx="56">
                  <c:v>45812</c:v>
                </c:pt>
                <c:pt idx="57">
                  <c:v>45813</c:v>
                </c:pt>
                <c:pt idx="58">
                  <c:v>45814</c:v>
                </c:pt>
                <c:pt idx="59">
                  <c:v>45815</c:v>
                </c:pt>
                <c:pt idx="60">
                  <c:v>45816</c:v>
                </c:pt>
                <c:pt idx="61">
                  <c:v>45817</c:v>
                </c:pt>
                <c:pt idx="62">
                  <c:v>45818</c:v>
                </c:pt>
                <c:pt idx="63">
                  <c:v>45819</c:v>
                </c:pt>
                <c:pt idx="64">
                  <c:v>45820</c:v>
                </c:pt>
                <c:pt idx="65">
                  <c:v>45821</c:v>
                </c:pt>
                <c:pt idx="66">
                  <c:v>45822</c:v>
                </c:pt>
                <c:pt idx="67">
                  <c:v>45823</c:v>
                </c:pt>
                <c:pt idx="68">
                  <c:v>45824</c:v>
                </c:pt>
                <c:pt idx="69">
                  <c:v>45825</c:v>
                </c:pt>
                <c:pt idx="70">
                  <c:v>45826</c:v>
                </c:pt>
                <c:pt idx="71">
                  <c:v>45827</c:v>
                </c:pt>
                <c:pt idx="72">
                  <c:v>45828</c:v>
                </c:pt>
                <c:pt idx="73">
                  <c:v>45829</c:v>
                </c:pt>
                <c:pt idx="74">
                  <c:v>45830</c:v>
                </c:pt>
                <c:pt idx="75">
                  <c:v>45831</c:v>
                </c:pt>
                <c:pt idx="76">
                  <c:v>45832</c:v>
                </c:pt>
                <c:pt idx="77">
                  <c:v>45833</c:v>
                </c:pt>
                <c:pt idx="78">
                  <c:v>45834</c:v>
                </c:pt>
                <c:pt idx="79">
                  <c:v>45835</c:v>
                </c:pt>
                <c:pt idx="80">
                  <c:v>45836</c:v>
                </c:pt>
                <c:pt idx="81">
                  <c:v>45837</c:v>
                </c:pt>
                <c:pt idx="82">
                  <c:v>45838</c:v>
                </c:pt>
              </c:numCache>
            </c:numRef>
          </c:cat>
          <c:val>
            <c:numRef>
              <c:f>'SPDR Chart'!$X$4:$X$86</c:f>
              <c:numCache>
                <c:formatCode>General</c:formatCode>
                <c:ptCount val="8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1</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numCache>
            </c:numRef>
          </c:val>
          <c:extLst>
            <c:ext xmlns:c16="http://schemas.microsoft.com/office/drawing/2014/chart" uri="{C3380CC4-5D6E-409C-BE32-E72D297353CC}">
              <c16:uniqueId val="{0000000E-7B90-4681-8438-19A0FEA2AB07}"/>
            </c:ext>
          </c:extLst>
        </c:ser>
        <c:dLbls>
          <c:showLegendKey val="0"/>
          <c:showVal val="0"/>
          <c:showCatName val="0"/>
          <c:showSerName val="0"/>
          <c:showPercent val="0"/>
          <c:showBubbleSize val="0"/>
        </c:dLbls>
        <c:gapWidth val="10"/>
        <c:overlap val="100"/>
        <c:axId val="1489289600"/>
        <c:axId val="1489292960"/>
        <c:extLst>
          <c:ext xmlns:c15="http://schemas.microsoft.com/office/drawing/2012/chart" uri="{02D57815-91ED-43cb-92C2-25804820EDAC}">
            <c15:filteredBarSeries>
              <c15:ser>
                <c:idx val="4"/>
                <c:order val="4"/>
                <c:tx>
                  <c:strRef>
                    <c:extLst>
                      <c:ext uri="{02D57815-91ED-43cb-92C2-25804820EDAC}">
                        <c15:formulaRef>
                          <c15:sqref>'SPDR Chart'!$H$3</c15:sqref>
                        </c15:formulaRef>
                      </c:ext>
                    </c:extLst>
                    <c:strCache>
                      <c:ptCount val="1"/>
                      <c:pt idx="0">
                        <c:v>XLE</c:v>
                      </c:pt>
                    </c:strCache>
                  </c:strRef>
                </c:tx>
                <c:spPr>
                  <a:solidFill>
                    <a:srgbClr val="0000FF"/>
                  </a:solidFill>
                  <a:ln>
                    <a:solidFill>
                      <a:sysClr val="windowText" lastClr="000000"/>
                    </a:solidFill>
                  </a:ln>
                  <a:effectLst/>
                </c:spPr>
                <c:invertIfNegative val="0"/>
                <c:cat>
                  <c:numRef>
                    <c:extLst>
                      <c:ext uri="{02D57815-91ED-43cb-92C2-25804820EDAC}">
                        <c15:formulaRef>
                          <c15:sqref>'SPDR Chart'!$B$4:$B$86</c15:sqref>
                        </c15:formulaRef>
                      </c:ext>
                    </c:extLst>
                    <c:numCache>
                      <c:formatCode>m/d/yyyy</c:formatCode>
                      <c:ptCount val="83"/>
                      <c:pt idx="0">
                        <c:v>45756</c:v>
                      </c:pt>
                      <c:pt idx="1">
                        <c:v>45757</c:v>
                      </c:pt>
                      <c:pt idx="2">
                        <c:v>45758</c:v>
                      </c:pt>
                      <c:pt idx="3">
                        <c:v>45759</c:v>
                      </c:pt>
                      <c:pt idx="4">
                        <c:v>45760</c:v>
                      </c:pt>
                      <c:pt idx="5">
                        <c:v>45761</c:v>
                      </c:pt>
                      <c:pt idx="6">
                        <c:v>45762</c:v>
                      </c:pt>
                      <c:pt idx="7">
                        <c:v>45763</c:v>
                      </c:pt>
                      <c:pt idx="8">
                        <c:v>45764</c:v>
                      </c:pt>
                      <c:pt idx="9">
                        <c:v>45765</c:v>
                      </c:pt>
                      <c:pt idx="10">
                        <c:v>45766</c:v>
                      </c:pt>
                      <c:pt idx="11">
                        <c:v>45767</c:v>
                      </c:pt>
                      <c:pt idx="12">
                        <c:v>45768</c:v>
                      </c:pt>
                      <c:pt idx="13">
                        <c:v>45769</c:v>
                      </c:pt>
                      <c:pt idx="14">
                        <c:v>45770</c:v>
                      </c:pt>
                      <c:pt idx="15">
                        <c:v>45771</c:v>
                      </c:pt>
                      <c:pt idx="16">
                        <c:v>45772</c:v>
                      </c:pt>
                      <c:pt idx="17">
                        <c:v>45773</c:v>
                      </c:pt>
                      <c:pt idx="18">
                        <c:v>45774</c:v>
                      </c:pt>
                      <c:pt idx="19">
                        <c:v>45775</c:v>
                      </c:pt>
                      <c:pt idx="20">
                        <c:v>45776</c:v>
                      </c:pt>
                      <c:pt idx="21">
                        <c:v>45777</c:v>
                      </c:pt>
                      <c:pt idx="22">
                        <c:v>45778</c:v>
                      </c:pt>
                      <c:pt idx="23">
                        <c:v>45779</c:v>
                      </c:pt>
                      <c:pt idx="24">
                        <c:v>45780</c:v>
                      </c:pt>
                      <c:pt idx="25">
                        <c:v>45781</c:v>
                      </c:pt>
                      <c:pt idx="26">
                        <c:v>45782</c:v>
                      </c:pt>
                      <c:pt idx="27">
                        <c:v>45783</c:v>
                      </c:pt>
                      <c:pt idx="28">
                        <c:v>45784</c:v>
                      </c:pt>
                      <c:pt idx="29">
                        <c:v>45785</c:v>
                      </c:pt>
                      <c:pt idx="30">
                        <c:v>45786</c:v>
                      </c:pt>
                      <c:pt idx="31">
                        <c:v>45787</c:v>
                      </c:pt>
                      <c:pt idx="32">
                        <c:v>45788</c:v>
                      </c:pt>
                      <c:pt idx="33">
                        <c:v>45789</c:v>
                      </c:pt>
                      <c:pt idx="34">
                        <c:v>45790</c:v>
                      </c:pt>
                      <c:pt idx="35">
                        <c:v>45791</c:v>
                      </c:pt>
                      <c:pt idx="36">
                        <c:v>45792</c:v>
                      </c:pt>
                      <c:pt idx="37">
                        <c:v>45793</c:v>
                      </c:pt>
                      <c:pt idx="38">
                        <c:v>45794</c:v>
                      </c:pt>
                      <c:pt idx="39">
                        <c:v>45795</c:v>
                      </c:pt>
                      <c:pt idx="40">
                        <c:v>45796</c:v>
                      </c:pt>
                      <c:pt idx="41">
                        <c:v>45797</c:v>
                      </c:pt>
                      <c:pt idx="42">
                        <c:v>45798</c:v>
                      </c:pt>
                      <c:pt idx="43">
                        <c:v>45799</c:v>
                      </c:pt>
                      <c:pt idx="44">
                        <c:v>45800</c:v>
                      </c:pt>
                      <c:pt idx="45">
                        <c:v>45801</c:v>
                      </c:pt>
                      <c:pt idx="46">
                        <c:v>45802</c:v>
                      </c:pt>
                      <c:pt idx="47">
                        <c:v>45803</c:v>
                      </c:pt>
                      <c:pt idx="48">
                        <c:v>45804</c:v>
                      </c:pt>
                      <c:pt idx="49">
                        <c:v>45805</c:v>
                      </c:pt>
                      <c:pt idx="50">
                        <c:v>45806</c:v>
                      </c:pt>
                      <c:pt idx="51">
                        <c:v>45807</c:v>
                      </c:pt>
                      <c:pt idx="52">
                        <c:v>45808</c:v>
                      </c:pt>
                      <c:pt idx="53">
                        <c:v>45809</c:v>
                      </c:pt>
                      <c:pt idx="54">
                        <c:v>45810</c:v>
                      </c:pt>
                      <c:pt idx="55">
                        <c:v>45811</c:v>
                      </c:pt>
                      <c:pt idx="56">
                        <c:v>45812</c:v>
                      </c:pt>
                      <c:pt idx="57">
                        <c:v>45813</c:v>
                      </c:pt>
                      <c:pt idx="58">
                        <c:v>45814</c:v>
                      </c:pt>
                      <c:pt idx="59">
                        <c:v>45815</c:v>
                      </c:pt>
                      <c:pt idx="60">
                        <c:v>45816</c:v>
                      </c:pt>
                      <c:pt idx="61">
                        <c:v>45817</c:v>
                      </c:pt>
                      <c:pt idx="62">
                        <c:v>45818</c:v>
                      </c:pt>
                      <c:pt idx="63">
                        <c:v>45819</c:v>
                      </c:pt>
                      <c:pt idx="64">
                        <c:v>45820</c:v>
                      </c:pt>
                      <c:pt idx="65">
                        <c:v>45821</c:v>
                      </c:pt>
                      <c:pt idx="66">
                        <c:v>45822</c:v>
                      </c:pt>
                      <c:pt idx="67">
                        <c:v>45823</c:v>
                      </c:pt>
                      <c:pt idx="68">
                        <c:v>45824</c:v>
                      </c:pt>
                      <c:pt idx="69">
                        <c:v>45825</c:v>
                      </c:pt>
                      <c:pt idx="70">
                        <c:v>45826</c:v>
                      </c:pt>
                      <c:pt idx="71">
                        <c:v>45827</c:v>
                      </c:pt>
                      <c:pt idx="72">
                        <c:v>45828</c:v>
                      </c:pt>
                      <c:pt idx="73">
                        <c:v>45829</c:v>
                      </c:pt>
                      <c:pt idx="74">
                        <c:v>45830</c:v>
                      </c:pt>
                      <c:pt idx="75">
                        <c:v>45831</c:v>
                      </c:pt>
                      <c:pt idx="76">
                        <c:v>45832</c:v>
                      </c:pt>
                      <c:pt idx="77">
                        <c:v>45833</c:v>
                      </c:pt>
                      <c:pt idx="78">
                        <c:v>45834</c:v>
                      </c:pt>
                      <c:pt idx="79">
                        <c:v>45835</c:v>
                      </c:pt>
                      <c:pt idx="80">
                        <c:v>45836</c:v>
                      </c:pt>
                      <c:pt idx="81">
                        <c:v>45837</c:v>
                      </c:pt>
                      <c:pt idx="82">
                        <c:v>45838</c:v>
                      </c:pt>
                    </c:numCache>
                  </c:numRef>
                </c:cat>
                <c:val>
                  <c:numRef>
                    <c:extLst>
                      <c:ext uri="{02D57815-91ED-43cb-92C2-25804820EDAC}">
                        <c15:formulaRef>
                          <c15:sqref>'SPDR Chart'!$AA$4:$AA$86</c15:sqref>
                        </c15:formulaRef>
                      </c:ext>
                    </c:extLst>
                    <c:numCache>
                      <c:formatCode>General</c:formatCode>
                      <c:ptCount val="8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numCache>
                  </c:numRef>
                </c:val>
                <c:extLst>
                  <c:ext xmlns:c16="http://schemas.microsoft.com/office/drawing/2014/chart" uri="{C3380CC4-5D6E-409C-BE32-E72D297353CC}">
                    <c16:uniqueId val="{00000004-7B90-4681-8438-19A0FEA2AB07}"/>
                  </c:ext>
                </c:extLst>
              </c15:ser>
            </c15:filteredBarSeries>
          </c:ext>
        </c:extLst>
      </c:barChart>
      <c:lineChart>
        <c:grouping val="standard"/>
        <c:varyColors val="0"/>
        <c:ser>
          <c:idx val="15"/>
          <c:order val="12"/>
          <c:tx>
            <c:v>%</c:v>
          </c:tx>
          <c:spPr>
            <a:ln w="28575" cap="rnd">
              <a:solidFill>
                <a:sysClr val="windowText" lastClr="000000"/>
              </a:solidFill>
              <a:round/>
            </a:ln>
            <a:effectLst/>
          </c:spPr>
          <c:marker>
            <c:symbol val="none"/>
          </c:marker>
          <c:dLbls>
            <c:spPr>
              <a:noFill/>
              <a:ln>
                <a:noFill/>
              </a:ln>
              <a:effectLst/>
            </c:spPr>
            <c:txPr>
              <a:bodyPr rot="-5400000" spcFirstLastPara="1" vertOverflow="ellipsis" wrap="square" lIns="38100" tIns="19050" rIns="38100" bIns="19050" anchor="ctr" anchorCtr="1">
                <a:spAutoFit/>
              </a:bodyPr>
              <a:lstStyle/>
              <a:p>
                <a:pPr>
                  <a:defRPr sz="7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'SPDR Chart'!$AL$4:$AL$86</c:f>
              <c:numCache>
                <c:formatCode>0%</c:formatCode>
                <c:ptCount val="83"/>
                <c:pt idx="0">
                  <c:v>0</c:v>
                </c:pt>
                <c:pt idx="1">
                  <c:v>0</c:v>
                </c:pt>
                <c:pt idx="2">
                  <c:v>0</c:v>
                </c:pt>
                <c:pt idx="3">
                  <c:v>0</c:v>
                </c:pt>
                <c:pt idx="4">
                  <c:v>0</c:v>
                </c:pt>
                <c:pt idx="5">
                  <c:v>0</c:v>
                </c:pt>
                <c:pt idx="6">
                  <c:v>0</c:v>
                </c:pt>
                <c:pt idx="7">
                  <c:v>0</c:v>
                </c:pt>
                <c:pt idx="8">
                  <c:v>1.4925373134328358E-2</c:v>
                </c:pt>
                <c:pt idx="9">
                  <c:v>1.4925373134328358E-2</c:v>
                </c:pt>
                <c:pt idx="10">
                  <c:v>1.4925373134328358E-2</c:v>
                </c:pt>
                <c:pt idx="11">
                  <c:v>1.4925373134328358E-2</c:v>
                </c:pt>
                <c:pt idx="12">
                  <c:v>1.4925373134328358E-2</c:v>
                </c:pt>
                <c:pt idx="13">
                  <c:v>1.4925373134328358E-2</c:v>
                </c:pt>
                <c:pt idx="14">
                  <c:v>1.4925373134328358E-2</c:v>
                </c:pt>
                <c:pt idx="15">
                  <c:v>2.9850746268656716E-2</c:v>
                </c:pt>
                <c:pt idx="16">
                  <c:v>2.9850746268656716E-2</c:v>
                </c:pt>
                <c:pt idx="17">
                  <c:v>2.9850746268656716E-2</c:v>
                </c:pt>
                <c:pt idx="18">
                  <c:v>2.9850746268656716E-2</c:v>
                </c:pt>
                <c:pt idx="19">
                  <c:v>2.9850746268656716E-2</c:v>
                </c:pt>
                <c:pt idx="20">
                  <c:v>0.1044776119402985</c:v>
                </c:pt>
                <c:pt idx="21">
                  <c:v>0.16417910447761194</c:v>
                </c:pt>
                <c:pt idx="22">
                  <c:v>0.22388059701492538</c:v>
                </c:pt>
                <c:pt idx="23">
                  <c:v>0.22388059701492538</c:v>
                </c:pt>
                <c:pt idx="24">
                  <c:v>0.22388059701492538</c:v>
                </c:pt>
                <c:pt idx="25">
                  <c:v>0.22388059701492538</c:v>
                </c:pt>
                <c:pt idx="26">
                  <c:v>0.2537313432835821</c:v>
                </c:pt>
                <c:pt idx="27">
                  <c:v>0.31343283582089554</c:v>
                </c:pt>
                <c:pt idx="28">
                  <c:v>0.37313432835820898</c:v>
                </c:pt>
                <c:pt idx="29">
                  <c:v>0.38805970149253732</c:v>
                </c:pt>
                <c:pt idx="30">
                  <c:v>0.38805970149253732</c:v>
                </c:pt>
                <c:pt idx="31">
                  <c:v>0.38805970149253732</c:v>
                </c:pt>
                <c:pt idx="32">
                  <c:v>0.38805970149253732</c:v>
                </c:pt>
                <c:pt idx="33">
                  <c:v>0.41791044776119401</c:v>
                </c:pt>
                <c:pt idx="34">
                  <c:v>0.41791044776119401</c:v>
                </c:pt>
                <c:pt idx="35">
                  <c:v>0.44776119402985076</c:v>
                </c:pt>
                <c:pt idx="36">
                  <c:v>0.47761194029850745</c:v>
                </c:pt>
                <c:pt idx="37">
                  <c:v>0.4925373134328358</c:v>
                </c:pt>
                <c:pt idx="38">
                  <c:v>0.4925373134328358</c:v>
                </c:pt>
                <c:pt idx="39">
                  <c:v>0.4925373134328358</c:v>
                </c:pt>
                <c:pt idx="40">
                  <c:v>0.4925373134328358</c:v>
                </c:pt>
                <c:pt idx="41">
                  <c:v>0.52238805970149249</c:v>
                </c:pt>
                <c:pt idx="42">
                  <c:v>0.53731343283582089</c:v>
                </c:pt>
                <c:pt idx="43">
                  <c:v>0.55223880597014929</c:v>
                </c:pt>
                <c:pt idx="44">
                  <c:v>0.55223880597014929</c:v>
                </c:pt>
                <c:pt idx="45">
                  <c:v>0.55223880597014929</c:v>
                </c:pt>
                <c:pt idx="46">
                  <c:v>0.55223880597014929</c:v>
                </c:pt>
                <c:pt idx="47">
                  <c:v>0.55223880597014929</c:v>
                </c:pt>
                <c:pt idx="48">
                  <c:v>0.59701492537313428</c:v>
                </c:pt>
                <c:pt idx="49">
                  <c:v>0.73134328358208955</c:v>
                </c:pt>
                <c:pt idx="50">
                  <c:v>0.82089552238805974</c:v>
                </c:pt>
                <c:pt idx="51">
                  <c:v>0.82089552238805974</c:v>
                </c:pt>
                <c:pt idx="52">
                  <c:v>0.82089552238805974</c:v>
                </c:pt>
                <c:pt idx="53">
                  <c:v>0.82089552238805974</c:v>
                </c:pt>
                <c:pt idx="54">
                  <c:v>0.82089552238805974</c:v>
                </c:pt>
                <c:pt idx="55">
                  <c:v>0.86567164179104472</c:v>
                </c:pt>
                <c:pt idx="56">
                  <c:v>0.88059701492537312</c:v>
                </c:pt>
                <c:pt idx="57">
                  <c:v>0.92537313432835822</c:v>
                </c:pt>
                <c:pt idx="58">
                  <c:v>0.92537313432835822</c:v>
                </c:pt>
                <c:pt idx="59">
                  <c:v>0.92537313432835822</c:v>
                </c:pt>
                <c:pt idx="60">
                  <c:v>0.92537313432835822</c:v>
                </c:pt>
                <c:pt idx="61">
                  <c:v>0.94029850746268662</c:v>
                </c:pt>
                <c:pt idx="62">
                  <c:v>0.97014925373134331</c:v>
                </c:pt>
                <c:pt idx="63">
                  <c:v>0.9850746268656716</c:v>
                </c:pt>
                <c:pt idx="64">
                  <c:v>0.9850746268656716</c:v>
                </c:pt>
                <c:pt idx="65">
                  <c:v>0.9850746268656716</c:v>
                </c:pt>
                <c:pt idx="66">
                  <c:v>0.9850746268656716</c:v>
                </c:pt>
                <c:pt idx="67">
                  <c:v>0.9850746268656716</c:v>
                </c:pt>
                <c:pt idx="68">
                  <c:v>0.9850746268656716</c:v>
                </c:pt>
                <c:pt idx="69">
                  <c:v>0.9850746268656716</c:v>
                </c:pt>
                <c:pt idx="70">
                  <c:v>0.9850746268656716</c:v>
                </c:pt>
                <c:pt idx="71">
                  <c:v>0.9850746268656716</c:v>
                </c:pt>
                <c:pt idx="72">
                  <c:v>0.9850746268656716</c:v>
                </c:pt>
                <c:pt idx="73">
                  <c:v>0.9850746268656716</c:v>
                </c:pt>
                <c:pt idx="74">
                  <c:v>0.9850746268656716</c:v>
                </c:pt>
                <c:pt idx="75">
                  <c:v>0.9850746268656716</c:v>
                </c:pt>
                <c:pt idx="76">
                  <c:v>1</c:v>
                </c:pt>
                <c:pt idx="77">
                  <c:v>1</c:v>
                </c:pt>
                <c:pt idx="78">
                  <c:v>1</c:v>
                </c:pt>
                <c:pt idx="79">
                  <c:v>1</c:v>
                </c:pt>
                <c:pt idx="80">
                  <c:v>1</c:v>
                </c:pt>
                <c:pt idx="81">
                  <c:v>1</c:v>
                </c:pt>
                <c:pt idx="82">
                  <c:v>1</c:v>
                </c:pt>
              </c:numCache>
            </c:numRef>
          </c:val>
          <c:smooth val="1"/>
          <c:extLst>
            <c:ext xmlns:c16="http://schemas.microsoft.com/office/drawing/2014/chart" uri="{C3380CC4-5D6E-409C-BE32-E72D297353CC}">
              <c16:uniqueId val="{0000000F-7B90-4681-8438-19A0FEA2AB07}"/>
            </c:ext>
          </c:extLst>
        </c:ser>
        <c:dLbls>
          <c:showLegendKey val="0"/>
          <c:showVal val="0"/>
          <c:showCatName val="0"/>
          <c:showSerName val="0"/>
          <c:showPercent val="0"/>
          <c:showBubbleSize val="0"/>
        </c:dLbls>
        <c:marker val="1"/>
        <c:smooth val="0"/>
        <c:axId val="1418412816"/>
        <c:axId val="1418412336"/>
      </c:lineChart>
      <c:dateAx>
        <c:axId val="1489289600"/>
        <c:scaling>
          <c:orientation val="minMax"/>
        </c:scaling>
        <c:delete val="0"/>
        <c:axPos val="b"/>
        <c:numFmt formatCode="m/d/yyyy" sourceLinked="1"/>
        <c:majorTickMark val="out"/>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89292960"/>
        <c:crosses val="autoZero"/>
        <c:auto val="1"/>
        <c:lblOffset val="100"/>
        <c:baseTimeUnit val="days"/>
      </c:dateAx>
      <c:valAx>
        <c:axId val="1489292960"/>
        <c:scaling>
          <c:orientation val="minMax"/>
          <c:max val="50"/>
        </c:scaling>
        <c:delete val="0"/>
        <c:axPos val="l"/>
        <c:majorGridlines>
          <c:spPr>
            <a:ln w="9525" cap="flat" cmpd="sng" algn="ctr">
              <a:noFill/>
              <a:prstDash val="dash"/>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1489289600"/>
        <c:crosses val="autoZero"/>
        <c:crossBetween val="between"/>
      </c:valAx>
      <c:valAx>
        <c:axId val="1418412336"/>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18412816"/>
        <c:crosses val="max"/>
        <c:crossBetween val="between"/>
      </c:valAx>
      <c:catAx>
        <c:axId val="1418412816"/>
        <c:scaling>
          <c:orientation val="minMax"/>
        </c:scaling>
        <c:delete val="1"/>
        <c:axPos val="b"/>
        <c:majorTickMark val="out"/>
        <c:minorTickMark val="none"/>
        <c:tickLblPos val="nextTo"/>
        <c:crossAx val="1418412336"/>
        <c:crosses val="autoZero"/>
        <c:auto val="1"/>
        <c:lblAlgn val="ctr"/>
        <c:lblOffset val="100"/>
        <c:noMultiLvlLbl val="0"/>
      </c:catAx>
      <c:spPr>
        <a:noFill/>
        <a:ln>
          <a:noFill/>
        </a:ln>
        <a:effectLst/>
      </c:spPr>
    </c:plotArea>
    <c:legend>
      <c:legendPos val="b"/>
      <c:layout>
        <c:manualLayout>
          <c:xMode val="edge"/>
          <c:yMode val="edge"/>
          <c:x val="5.8325680565600842E-2"/>
          <c:y val="6.454904104068461E-2"/>
          <c:w val="0.89277788610676345"/>
          <c:h val="4.5336397626913549E-2"/>
        </c:manualLayout>
      </c:layou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7691347998540544E-2"/>
          <c:y val="5.0359898194543867E-2"/>
          <c:w val="0.93038538344141963"/>
          <c:h val="0.83198958084784846"/>
        </c:manualLayout>
      </c:layout>
      <c:barChart>
        <c:barDir val="col"/>
        <c:grouping val="clustered"/>
        <c:varyColors val="0"/>
        <c:ser>
          <c:idx val="0"/>
          <c:order val="0"/>
          <c:spPr>
            <a:solidFill>
              <a:srgbClr val="92D050"/>
            </a:solidFill>
            <a:ln w="6350">
              <a:solidFill>
                <a:schemeClr val="tx1"/>
              </a:solidFill>
            </a:ln>
            <a:effectLst/>
          </c:spPr>
          <c:invertIfNegative val="1"/>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Expectancy!$J$4:$J$16</c:f>
              <c:strCache>
                <c:ptCount val="13"/>
                <c:pt idx="0">
                  <c:v>XLF</c:v>
                </c:pt>
                <c:pt idx="1">
                  <c:v>INS</c:v>
                </c:pt>
                <c:pt idx="2">
                  <c:v>XLY</c:v>
                </c:pt>
                <c:pt idx="3">
                  <c:v>XHB</c:v>
                </c:pt>
                <c:pt idx="4">
                  <c:v>XLP</c:v>
                </c:pt>
                <c:pt idx="5">
                  <c:v>XLK</c:v>
                </c:pt>
                <c:pt idx="6">
                  <c:v>SMH</c:v>
                </c:pt>
                <c:pt idx="7">
                  <c:v>IGV</c:v>
                </c:pt>
                <c:pt idx="8">
                  <c:v>XLC</c:v>
                </c:pt>
                <c:pt idx="9">
                  <c:v>XLI</c:v>
                </c:pt>
                <c:pt idx="10">
                  <c:v>XLV</c:v>
                </c:pt>
                <c:pt idx="11">
                  <c:v>XLB</c:v>
                </c:pt>
                <c:pt idx="12">
                  <c:v>XLE</c:v>
                </c:pt>
              </c:strCache>
            </c:strRef>
          </c:cat>
          <c:val>
            <c:numRef>
              <c:f>Expectancy!$K$4:$K$16</c:f>
              <c:numCache>
                <c:formatCode>0.0</c:formatCode>
                <c:ptCount val="13"/>
                <c:pt idx="0">
                  <c:v>-0.55950946427675097</c:v>
                </c:pt>
                <c:pt idx="1">
                  <c:v>6.6834991831277585E-2</c:v>
                </c:pt>
                <c:pt idx="2">
                  <c:v>-7.7830097399790894</c:v>
                </c:pt>
                <c:pt idx="3">
                  <c:v>0</c:v>
                </c:pt>
                <c:pt idx="4">
                  <c:v>2.1903002454447948</c:v>
                </c:pt>
                <c:pt idx="5">
                  <c:v>0.40279467610514952</c:v>
                </c:pt>
                <c:pt idx="6">
                  <c:v>-0.26498852607816792</c:v>
                </c:pt>
                <c:pt idx="7">
                  <c:v>-2.7099780615005766</c:v>
                </c:pt>
                <c:pt idx="8">
                  <c:v>-0.84049791589649614</c:v>
                </c:pt>
                <c:pt idx="9">
                  <c:v>0.24785202869748424</c:v>
                </c:pt>
                <c:pt idx="10">
                  <c:v>0.65848341369884777</c:v>
                </c:pt>
                <c:pt idx="11">
                  <c:v>0</c:v>
                </c:pt>
                <c:pt idx="12">
                  <c:v>-0.27145310509113252</c:v>
                </c:pt>
              </c:numCache>
            </c:numRef>
          </c:val>
          <c:extLst>
            <c:ext xmlns:c14="http://schemas.microsoft.com/office/drawing/2007/8/2/chart" uri="{6F2FDCE9-48DA-4B69-8628-5D25D57E5C99}">
              <c14:invertSolidFillFmt>
                <c14:spPr xmlns:c14="http://schemas.microsoft.com/office/drawing/2007/8/2/chart">
                  <a:solidFill>
                    <a:srgbClr val="FFFF00"/>
                  </a:solidFill>
                  <a:ln w="6350">
                    <a:solidFill>
                      <a:schemeClr val="tx1"/>
                    </a:solidFill>
                  </a:ln>
                  <a:effectLst/>
                </c14:spPr>
              </c14:invertSolidFillFmt>
            </c:ext>
            <c:ext xmlns:c16="http://schemas.microsoft.com/office/drawing/2014/chart" uri="{C3380CC4-5D6E-409C-BE32-E72D297353CC}">
              <c16:uniqueId val="{00000000-84B6-448C-9079-EB9936618FF1}"/>
            </c:ext>
          </c:extLst>
        </c:ser>
        <c:dLbls>
          <c:showLegendKey val="0"/>
          <c:showVal val="0"/>
          <c:showCatName val="0"/>
          <c:showSerName val="0"/>
          <c:showPercent val="0"/>
          <c:showBubbleSize val="0"/>
        </c:dLbls>
        <c:gapWidth val="100"/>
        <c:overlap val="-27"/>
        <c:axId val="721908175"/>
        <c:axId val="721924975"/>
      </c:barChart>
      <c:catAx>
        <c:axId val="721908175"/>
        <c:scaling>
          <c:orientation val="minMax"/>
        </c:scaling>
        <c:delete val="0"/>
        <c:axPos val="b"/>
        <c:numFmt formatCode="General" sourceLinked="1"/>
        <c:majorTickMark val="none"/>
        <c:minorTickMark val="none"/>
        <c:tickLblPos val="low"/>
        <c:spPr>
          <a:noFill/>
          <a:ln w="3175" cap="flat" cmpd="sng" algn="ctr">
            <a:solidFill>
              <a:sysClr val="windowText" lastClr="000000"/>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721924975"/>
        <c:crosses val="autoZero"/>
        <c:auto val="1"/>
        <c:lblAlgn val="ctr"/>
        <c:lblOffset val="100"/>
        <c:noMultiLvlLbl val="0"/>
      </c:catAx>
      <c:valAx>
        <c:axId val="721924975"/>
        <c:scaling>
          <c:orientation val="minMax"/>
        </c:scaling>
        <c:delete val="0"/>
        <c:axPos val="l"/>
        <c:majorGridlines>
          <c:spPr>
            <a:ln w="9525" cap="flat" cmpd="sng" algn="ctr">
              <a:no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721908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305267943869204E-2"/>
          <c:y val="4.5267489711934158E-2"/>
          <c:w val="0.80216636699940069"/>
          <c:h val="0.86875214672240042"/>
        </c:manualLayout>
      </c:layout>
      <c:barChart>
        <c:barDir val="col"/>
        <c:grouping val="clustered"/>
        <c:varyColors val="0"/>
        <c:ser>
          <c:idx val="0"/>
          <c:order val="0"/>
          <c:tx>
            <c:strRef>
              <c:f>'Summary Data'!$B$8</c:f>
              <c:strCache>
                <c:ptCount val="1"/>
                <c:pt idx="0">
                  <c:v>Risk  Units</c:v>
                </c:pt>
              </c:strCache>
            </c:strRef>
          </c:tx>
          <c:spPr>
            <a:solidFill>
              <a:schemeClr val="accent3">
                <a:lumMod val="60000"/>
                <a:lumOff val="40000"/>
              </a:schemeClr>
            </a:solidFill>
            <a:ln>
              <a:solidFill>
                <a:sysClr val="windowText" lastClr="000000"/>
              </a:solidFill>
            </a:ln>
            <a:effectLst/>
          </c:spPr>
          <c:invertIfNegative val="0"/>
          <c:dPt>
            <c:idx val="1"/>
            <c:invertIfNegative val="0"/>
            <c:bubble3D val="0"/>
            <c:spPr>
              <a:solidFill>
                <a:schemeClr val="accent2">
                  <a:lumMod val="60000"/>
                  <a:lumOff val="40000"/>
                </a:schemeClr>
              </a:solidFill>
              <a:ln>
                <a:solidFill>
                  <a:sysClr val="windowText" lastClr="000000"/>
                </a:solidFill>
              </a:ln>
              <a:effectLst/>
            </c:spPr>
            <c:extLst>
              <c:ext xmlns:c16="http://schemas.microsoft.com/office/drawing/2014/chart" uri="{C3380CC4-5D6E-409C-BE32-E72D297353CC}">
                <c16:uniqueId val="{00000002-C0E4-450B-BC09-3353F425A6DE}"/>
              </c:ext>
            </c:extLst>
          </c:dPt>
          <c:dPt>
            <c:idx val="2"/>
            <c:invertIfNegative val="0"/>
            <c:bubble3D val="0"/>
            <c:spPr>
              <a:solidFill>
                <a:schemeClr val="accent4">
                  <a:lumMod val="60000"/>
                  <a:lumOff val="40000"/>
                </a:schemeClr>
              </a:solidFill>
              <a:ln>
                <a:solidFill>
                  <a:sysClr val="windowText" lastClr="000000"/>
                </a:solidFill>
              </a:ln>
              <a:effectLst/>
            </c:spPr>
            <c:extLst>
              <c:ext xmlns:c16="http://schemas.microsoft.com/office/drawing/2014/chart" uri="{C3380CC4-5D6E-409C-BE32-E72D297353CC}">
                <c16:uniqueId val="{00000003-C0E4-450B-BC09-3353F425A6DE}"/>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 Data'!$A$9:$A$11</c:f>
              <c:strCache>
                <c:ptCount val="3"/>
                <c:pt idx="0">
                  <c:v>Up</c:v>
                </c:pt>
                <c:pt idx="1">
                  <c:v>Down</c:v>
                </c:pt>
                <c:pt idx="2">
                  <c:v>SW</c:v>
                </c:pt>
              </c:strCache>
            </c:strRef>
          </c:cat>
          <c:val>
            <c:numRef>
              <c:f>'Summary Data'!$B$9:$B$11</c:f>
              <c:numCache>
                <c:formatCode>0.00</c:formatCode>
                <c:ptCount val="3"/>
                <c:pt idx="0">
                  <c:v>-8.3953556824505036</c:v>
                </c:pt>
                <c:pt idx="1">
                  <c:v>10.963955006451521</c:v>
                </c:pt>
                <c:pt idx="2">
                  <c:v>9.9627466694511693</c:v>
                </c:pt>
              </c:numCache>
            </c:numRef>
          </c:val>
          <c:extLst>
            <c:ext xmlns:c16="http://schemas.microsoft.com/office/drawing/2014/chart" uri="{C3380CC4-5D6E-409C-BE32-E72D297353CC}">
              <c16:uniqueId val="{00000000-C0E4-450B-BC09-3353F425A6DE}"/>
            </c:ext>
          </c:extLst>
        </c:ser>
        <c:dLbls>
          <c:showLegendKey val="0"/>
          <c:showVal val="0"/>
          <c:showCatName val="0"/>
          <c:showSerName val="0"/>
          <c:showPercent val="0"/>
          <c:showBubbleSize val="0"/>
        </c:dLbls>
        <c:gapWidth val="124"/>
        <c:axId val="1333234159"/>
        <c:axId val="1333234639"/>
      </c:barChart>
      <c:lineChart>
        <c:grouping val="standard"/>
        <c:varyColors val="0"/>
        <c:ser>
          <c:idx val="1"/>
          <c:order val="1"/>
          <c:tx>
            <c:strRef>
              <c:f>'Summary Data'!$C$8</c:f>
              <c:strCache>
                <c:ptCount val="1"/>
                <c:pt idx="0">
                  <c:v>Expectancy</c:v>
                </c:pt>
              </c:strCache>
            </c:strRef>
          </c:tx>
          <c:spPr>
            <a:ln w="19050" cap="rnd">
              <a:solidFill>
                <a:sysClr val="windowText" lastClr="000000"/>
              </a:solidFill>
              <a:prstDash val="sysDash"/>
              <a:round/>
            </a:ln>
            <a:effectLst/>
          </c:spPr>
          <c:marker>
            <c:symbol val="none"/>
          </c:marker>
          <c:dLbls>
            <c:dLbl>
              <c:idx val="0"/>
              <c:spPr>
                <a:solidFill>
                  <a:schemeClr val="accent6">
                    <a:lumMod val="20000"/>
                    <a:lumOff val="80000"/>
                  </a:schemeClr>
                </a:solidFill>
                <a:ln>
                  <a:solidFill>
                    <a:sysClr val="windowText" lastClr="000000"/>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6-C0E4-450B-BC09-3353F425A6DE}"/>
                </c:ext>
              </c:extLst>
            </c:dLbl>
            <c:dLbl>
              <c:idx val="1"/>
              <c:spPr>
                <a:solidFill>
                  <a:schemeClr val="accent2">
                    <a:lumMod val="20000"/>
                    <a:lumOff val="80000"/>
                  </a:schemeClr>
                </a:solidFill>
                <a:ln>
                  <a:solidFill>
                    <a:sysClr val="windowText" lastClr="000000"/>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5-C0E4-450B-BC09-3353F425A6DE}"/>
                </c:ext>
              </c:extLst>
            </c:dLbl>
            <c:dLbl>
              <c:idx val="2"/>
              <c:spPr>
                <a:solidFill>
                  <a:schemeClr val="accent4">
                    <a:lumMod val="20000"/>
                    <a:lumOff val="80000"/>
                  </a:schemeClr>
                </a:solidFill>
                <a:ln>
                  <a:solidFill>
                    <a:sysClr val="windowText" lastClr="000000"/>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4-C0E4-450B-BC09-3353F425A6DE}"/>
                </c:ext>
              </c:extLst>
            </c:dLbl>
            <c:spPr>
              <a:noFill/>
              <a:ln>
                <a:solidFill>
                  <a:sysClr val="windowText" lastClr="000000"/>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 Data'!$A$9:$A$11</c:f>
              <c:strCache>
                <c:ptCount val="3"/>
                <c:pt idx="0">
                  <c:v>Up</c:v>
                </c:pt>
                <c:pt idx="1">
                  <c:v>Down</c:v>
                </c:pt>
                <c:pt idx="2">
                  <c:v>SW</c:v>
                </c:pt>
              </c:strCache>
            </c:strRef>
          </c:cat>
          <c:val>
            <c:numRef>
              <c:f>'Summary Data'!$C$9:$C$11</c:f>
              <c:numCache>
                <c:formatCode>0.00</c:formatCode>
                <c:ptCount val="3"/>
                <c:pt idx="0">
                  <c:v>-0.16461481730295105</c:v>
                </c:pt>
                <c:pt idx="1">
                  <c:v>6.6047921725611566E-2</c:v>
                </c:pt>
                <c:pt idx="2">
                  <c:v>4.9320528066589944E-2</c:v>
                </c:pt>
              </c:numCache>
            </c:numRef>
          </c:val>
          <c:smooth val="0"/>
          <c:extLst>
            <c:ext xmlns:c16="http://schemas.microsoft.com/office/drawing/2014/chart" uri="{C3380CC4-5D6E-409C-BE32-E72D297353CC}">
              <c16:uniqueId val="{00000001-C0E4-450B-BC09-3353F425A6DE}"/>
            </c:ext>
          </c:extLst>
        </c:ser>
        <c:dLbls>
          <c:showLegendKey val="0"/>
          <c:showVal val="0"/>
          <c:showCatName val="0"/>
          <c:showSerName val="0"/>
          <c:showPercent val="0"/>
          <c:showBubbleSize val="0"/>
        </c:dLbls>
        <c:marker val="1"/>
        <c:smooth val="0"/>
        <c:axId val="1333133359"/>
        <c:axId val="1333119439"/>
      </c:lineChart>
      <c:catAx>
        <c:axId val="1333234159"/>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1333234639"/>
        <c:crosses val="autoZero"/>
        <c:auto val="1"/>
        <c:lblAlgn val="ctr"/>
        <c:lblOffset val="100"/>
        <c:noMultiLvlLbl val="0"/>
      </c:catAx>
      <c:valAx>
        <c:axId val="1333234639"/>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r>
                  <a:rPr lang="en-US" sz="1050" b="1">
                    <a:solidFill>
                      <a:sysClr val="windowText" lastClr="000000"/>
                    </a:solidFill>
                  </a:rPr>
                  <a:t>Risk Units</a:t>
                </a:r>
              </a:p>
            </c:rich>
          </c:tx>
          <c:layout>
            <c:manualLayout>
              <c:xMode val="edge"/>
              <c:yMode val="edge"/>
              <c:x val="1.1034038068076138E-2"/>
              <c:y val="0.41075467418424549"/>
            </c:manualLayout>
          </c:layout>
          <c:overlay val="0"/>
          <c:spPr>
            <a:noFill/>
            <a:ln>
              <a:noFill/>
            </a:ln>
            <a:effectLst/>
          </c:spPr>
          <c:txPr>
            <a:bodyPr rot="-54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333234159"/>
        <c:crosses val="autoZero"/>
        <c:crossBetween val="between"/>
      </c:valAx>
      <c:valAx>
        <c:axId val="1333119439"/>
        <c:scaling>
          <c:orientation val="minMax"/>
        </c:scaling>
        <c:delete val="0"/>
        <c:axPos val="r"/>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b="1">
                    <a:solidFill>
                      <a:sysClr val="windowText" lastClr="000000"/>
                    </a:solidFill>
                  </a:rPr>
                  <a:t>Expectancy</a:t>
                </a:r>
              </a:p>
            </c:rich>
          </c:tx>
          <c:layout>
            <c:manualLayout>
              <c:xMode val="edge"/>
              <c:yMode val="edge"/>
              <c:x val="0.95800524934383202"/>
              <c:y val="0.3895405203979132"/>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33133359"/>
        <c:crosses val="max"/>
        <c:crossBetween val="between"/>
      </c:valAx>
      <c:catAx>
        <c:axId val="1333133359"/>
        <c:scaling>
          <c:orientation val="minMax"/>
        </c:scaling>
        <c:delete val="1"/>
        <c:axPos val="b"/>
        <c:numFmt formatCode="General" sourceLinked="1"/>
        <c:majorTickMark val="out"/>
        <c:minorTickMark val="none"/>
        <c:tickLblPos val="nextTo"/>
        <c:crossAx val="133311943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156456339818509E-2"/>
          <c:y val="4.9904254925880735E-2"/>
          <c:w val="0.93630164070900834"/>
          <c:h val="0.83593138885808294"/>
        </c:manualLayout>
      </c:layout>
      <c:barChart>
        <c:barDir val="col"/>
        <c:grouping val="clustered"/>
        <c:varyColors val="0"/>
        <c:ser>
          <c:idx val="0"/>
          <c:order val="0"/>
          <c:spPr>
            <a:solidFill>
              <a:srgbClr val="92D050"/>
            </a:solidFill>
            <a:ln w="6350">
              <a:solidFill>
                <a:schemeClr val="tx1"/>
              </a:solidFill>
            </a:ln>
            <a:effectLst/>
          </c:spPr>
          <c:invertIfNegative val="1"/>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Expectancy!$J$4:$J$16</c:f>
              <c:strCache>
                <c:ptCount val="13"/>
                <c:pt idx="0">
                  <c:v>XLF</c:v>
                </c:pt>
                <c:pt idx="1">
                  <c:v>INS</c:v>
                </c:pt>
                <c:pt idx="2">
                  <c:v>XLY</c:v>
                </c:pt>
                <c:pt idx="3">
                  <c:v>XHB</c:v>
                </c:pt>
                <c:pt idx="4">
                  <c:v>XLP</c:v>
                </c:pt>
                <c:pt idx="5">
                  <c:v>XLK</c:v>
                </c:pt>
                <c:pt idx="6">
                  <c:v>SMH</c:v>
                </c:pt>
                <c:pt idx="7">
                  <c:v>IGV</c:v>
                </c:pt>
                <c:pt idx="8">
                  <c:v>XLC</c:v>
                </c:pt>
                <c:pt idx="9">
                  <c:v>XLI</c:v>
                </c:pt>
                <c:pt idx="10">
                  <c:v>XLV</c:v>
                </c:pt>
                <c:pt idx="11">
                  <c:v>XLB</c:v>
                </c:pt>
                <c:pt idx="12">
                  <c:v>XLE</c:v>
                </c:pt>
              </c:strCache>
            </c:strRef>
          </c:cat>
          <c:val>
            <c:numRef>
              <c:f>Expectancy!$L$4:$L$16</c:f>
              <c:numCache>
                <c:formatCode>0.0</c:formatCode>
                <c:ptCount val="13"/>
                <c:pt idx="0">
                  <c:v>-0.20750635820596686</c:v>
                </c:pt>
                <c:pt idx="1">
                  <c:v>-0.16102012791805576</c:v>
                </c:pt>
                <c:pt idx="2">
                  <c:v>-2.6367641712432155</c:v>
                </c:pt>
                <c:pt idx="3">
                  <c:v>-2.0621307233432784</c:v>
                </c:pt>
                <c:pt idx="4">
                  <c:v>3.4483799444276562</c:v>
                </c:pt>
                <c:pt idx="5">
                  <c:v>2.0825010564889137</c:v>
                </c:pt>
                <c:pt idx="6">
                  <c:v>7.9116394275462909E-2</c:v>
                </c:pt>
                <c:pt idx="7">
                  <c:v>3.2133390748971404</c:v>
                </c:pt>
                <c:pt idx="8">
                  <c:v>1.8657648196498773</c:v>
                </c:pt>
                <c:pt idx="9">
                  <c:v>4.3184391548878134</c:v>
                </c:pt>
                <c:pt idx="10">
                  <c:v>-3.5125331561187787</c:v>
                </c:pt>
                <c:pt idx="11">
                  <c:v>2.4788862078089964</c:v>
                </c:pt>
                <c:pt idx="12">
                  <c:v>0.89084290967454072</c:v>
                </c:pt>
              </c:numCache>
            </c:numRef>
          </c:val>
          <c:extLst>
            <c:ext xmlns:c14="http://schemas.microsoft.com/office/drawing/2007/8/2/chart" uri="{6F2FDCE9-48DA-4B69-8628-5D25D57E5C99}">
              <c14:invertSolidFillFmt>
                <c14:spPr xmlns:c14="http://schemas.microsoft.com/office/drawing/2007/8/2/chart">
                  <a:solidFill>
                    <a:srgbClr val="FFFF00"/>
                  </a:solidFill>
                  <a:ln w="6350">
                    <a:solidFill>
                      <a:schemeClr val="tx1"/>
                    </a:solidFill>
                  </a:ln>
                  <a:effectLst/>
                </c14:spPr>
              </c14:invertSolidFillFmt>
            </c:ext>
            <c:ext xmlns:c16="http://schemas.microsoft.com/office/drawing/2014/chart" uri="{C3380CC4-5D6E-409C-BE32-E72D297353CC}">
              <c16:uniqueId val="{00000000-B5BF-4747-BF9C-BF226C666148}"/>
            </c:ext>
          </c:extLst>
        </c:ser>
        <c:dLbls>
          <c:showLegendKey val="0"/>
          <c:showVal val="0"/>
          <c:showCatName val="0"/>
          <c:showSerName val="0"/>
          <c:showPercent val="0"/>
          <c:showBubbleSize val="0"/>
        </c:dLbls>
        <c:gapWidth val="100"/>
        <c:overlap val="-27"/>
        <c:axId val="721908175"/>
        <c:axId val="721924975"/>
      </c:barChart>
      <c:catAx>
        <c:axId val="721908175"/>
        <c:scaling>
          <c:orientation val="minMax"/>
        </c:scaling>
        <c:delete val="0"/>
        <c:axPos val="b"/>
        <c:numFmt formatCode="General" sourceLinked="1"/>
        <c:majorTickMark val="none"/>
        <c:minorTickMark val="none"/>
        <c:tickLblPos val="low"/>
        <c:spPr>
          <a:noFill/>
          <a:ln w="3175" cap="flat" cmpd="sng" algn="ctr">
            <a:solidFill>
              <a:sysClr val="windowText" lastClr="000000"/>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721924975"/>
        <c:crosses val="autoZero"/>
        <c:auto val="1"/>
        <c:lblAlgn val="ctr"/>
        <c:lblOffset val="100"/>
        <c:noMultiLvlLbl val="0"/>
      </c:catAx>
      <c:valAx>
        <c:axId val="721924975"/>
        <c:scaling>
          <c:orientation val="minMax"/>
        </c:scaling>
        <c:delete val="0"/>
        <c:axPos val="l"/>
        <c:majorGridlines>
          <c:spPr>
            <a:ln w="9525" cap="flat" cmpd="sng" algn="ctr">
              <a:no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721908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156456339818509E-2"/>
          <c:y val="4.9904254925880735E-2"/>
          <c:w val="0.93439002547133598"/>
          <c:h val="0.83593138885808294"/>
        </c:manualLayout>
      </c:layout>
      <c:barChart>
        <c:barDir val="col"/>
        <c:grouping val="clustered"/>
        <c:varyColors val="0"/>
        <c:ser>
          <c:idx val="0"/>
          <c:order val="0"/>
          <c:spPr>
            <a:solidFill>
              <a:srgbClr val="92D050"/>
            </a:solidFill>
            <a:ln w="6350">
              <a:solidFill>
                <a:schemeClr val="tx1"/>
              </a:solidFill>
            </a:ln>
            <a:effectLst/>
          </c:spPr>
          <c:invertIfNegative val="1"/>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Expectancy!$J$4:$J$16</c:f>
              <c:strCache>
                <c:ptCount val="13"/>
                <c:pt idx="0">
                  <c:v>XLF</c:v>
                </c:pt>
                <c:pt idx="1">
                  <c:v>INS</c:v>
                </c:pt>
                <c:pt idx="2">
                  <c:v>XLY</c:v>
                </c:pt>
                <c:pt idx="3">
                  <c:v>XHB</c:v>
                </c:pt>
                <c:pt idx="4">
                  <c:v>XLP</c:v>
                </c:pt>
                <c:pt idx="5">
                  <c:v>XLK</c:v>
                </c:pt>
                <c:pt idx="6">
                  <c:v>SMH</c:v>
                </c:pt>
                <c:pt idx="7">
                  <c:v>IGV</c:v>
                </c:pt>
                <c:pt idx="8">
                  <c:v>XLC</c:v>
                </c:pt>
                <c:pt idx="9">
                  <c:v>XLI</c:v>
                </c:pt>
                <c:pt idx="10">
                  <c:v>XLV</c:v>
                </c:pt>
                <c:pt idx="11">
                  <c:v>XLB</c:v>
                </c:pt>
                <c:pt idx="12">
                  <c:v>XLE</c:v>
                </c:pt>
              </c:strCache>
            </c:strRef>
          </c:cat>
          <c:val>
            <c:numRef>
              <c:f>Expectancy!$M$4:$M$16</c:f>
              <c:numCache>
                <c:formatCode>0.0</c:formatCode>
                <c:ptCount val="13"/>
                <c:pt idx="0">
                  <c:v>-2.3377035686214001</c:v>
                </c:pt>
                <c:pt idx="1">
                  <c:v>-0.69624339162892301</c:v>
                </c:pt>
                <c:pt idx="2">
                  <c:v>1.3305973851383228</c:v>
                </c:pt>
                <c:pt idx="3">
                  <c:v>0.79182748269313297</c:v>
                </c:pt>
                <c:pt idx="4">
                  <c:v>1.1482786833538656</c:v>
                </c:pt>
                <c:pt idx="5">
                  <c:v>-0.83431524840310756</c:v>
                </c:pt>
                <c:pt idx="6">
                  <c:v>0.62848633887309935</c:v>
                </c:pt>
                <c:pt idx="7">
                  <c:v>-12.045896072422382</c:v>
                </c:pt>
                <c:pt idx="8">
                  <c:v>3.4887162328793941</c:v>
                </c:pt>
                <c:pt idx="9">
                  <c:v>8.4384553208490907</c:v>
                </c:pt>
                <c:pt idx="10">
                  <c:v>13.156552985368888</c:v>
                </c:pt>
                <c:pt idx="11">
                  <c:v>1.7856049065476487</c:v>
                </c:pt>
                <c:pt idx="12">
                  <c:v>-0.28811149078748233</c:v>
                </c:pt>
              </c:numCache>
            </c:numRef>
          </c:val>
          <c:extLst>
            <c:ext xmlns:c14="http://schemas.microsoft.com/office/drawing/2007/8/2/chart" uri="{6F2FDCE9-48DA-4B69-8628-5D25D57E5C99}">
              <c14:invertSolidFillFmt>
                <c14:spPr xmlns:c14="http://schemas.microsoft.com/office/drawing/2007/8/2/chart">
                  <a:solidFill>
                    <a:srgbClr val="FFFF00"/>
                  </a:solidFill>
                  <a:ln w="6350">
                    <a:solidFill>
                      <a:schemeClr val="tx1"/>
                    </a:solidFill>
                  </a:ln>
                  <a:effectLst/>
                </c14:spPr>
              </c14:invertSolidFillFmt>
            </c:ext>
            <c:ext xmlns:c16="http://schemas.microsoft.com/office/drawing/2014/chart" uri="{C3380CC4-5D6E-409C-BE32-E72D297353CC}">
              <c16:uniqueId val="{00000000-18CC-4778-BB7B-AB761E9AA8DD}"/>
            </c:ext>
          </c:extLst>
        </c:ser>
        <c:dLbls>
          <c:showLegendKey val="0"/>
          <c:showVal val="0"/>
          <c:showCatName val="0"/>
          <c:showSerName val="0"/>
          <c:showPercent val="0"/>
          <c:showBubbleSize val="0"/>
        </c:dLbls>
        <c:gapWidth val="100"/>
        <c:overlap val="-27"/>
        <c:axId val="721908175"/>
        <c:axId val="721924975"/>
      </c:barChart>
      <c:catAx>
        <c:axId val="721908175"/>
        <c:scaling>
          <c:orientation val="minMax"/>
        </c:scaling>
        <c:delete val="0"/>
        <c:axPos val="b"/>
        <c:numFmt formatCode="General" sourceLinked="1"/>
        <c:majorTickMark val="none"/>
        <c:minorTickMark val="none"/>
        <c:tickLblPos val="low"/>
        <c:spPr>
          <a:noFill/>
          <a:ln w="3175" cap="flat" cmpd="sng" algn="ctr">
            <a:solidFill>
              <a:sysClr val="windowText" lastClr="000000"/>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721924975"/>
        <c:crosses val="autoZero"/>
        <c:auto val="1"/>
        <c:lblAlgn val="ctr"/>
        <c:lblOffset val="100"/>
        <c:noMultiLvlLbl val="0"/>
      </c:catAx>
      <c:valAx>
        <c:axId val="721924975"/>
        <c:scaling>
          <c:orientation val="minMax"/>
        </c:scaling>
        <c:delete val="0"/>
        <c:axPos val="l"/>
        <c:majorGridlines>
          <c:spPr>
            <a:ln w="9525" cap="flat" cmpd="sng" algn="ctr">
              <a:no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721908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5664271893020676E-2"/>
          <c:y val="4.9904254925880735E-2"/>
          <c:w val="0.84825947851409089"/>
          <c:h val="0.83593138885808294"/>
        </c:manualLayout>
      </c:layout>
      <c:barChart>
        <c:barDir val="col"/>
        <c:grouping val="clustered"/>
        <c:varyColors val="0"/>
        <c:ser>
          <c:idx val="0"/>
          <c:order val="0"/>
          <c:tx>
            <c:v>Risk Units</c:v>
          </c:tx>
          <c:spPr>
            <a:solidFill>
              <a:srgbClr val="92D050"/>
            </a:solidFill>
            <a:ln w="6350">
              <a:solidFill>
                <a:schemeClr val="tx1"/>
              </a:solidFill>
            </a:ln>
            <a:effectLst/>
          </c:spPr>
          <c:invertIfNegative val="1"/>
          <c:dLbls>
            <c:dLbl>
              <c:idx val="4"/>
              <c:dLblPos val="inBase"/>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2CF-44F9-A7B7-6954DD047306}"/>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Expectancy!$J$4:$J$16</c:f>
              <c:strCache>
                <c:ptCount val="13"/>
                <c:pt idx="0">
                  <c:v>XLF</c:v>
                </c:pt>
                <c:pt idx="1">
                  <c:v>INS</c:v>
                </c:pt>
                <c:pt idx="2">
                  <c:v>XLY</c:v>
                </c:pt>
                <c:pt idx="3">
                  <c:v>XHB</c:v>
                </c:pt>
                <c:pt idx="4">
                  <c:v>XLP</c:v>
                </c:pt>
                <c:pt idx="5">
                  <c:v>XLK</c:v>
                </c:pt>
                <c:pt idx="6">
                  <c:v>SMH</c:v>
                </c:pt>
                <c:pt idx="7">
                  <c:v>IGV</c:v>
                </c:pt>
                <c:pt idx="8">
                  <c:v>XLC</c:v>
                </c:pt>
                <c:pt idx="9">
                  <c:v>XLI</c:v>
                </c:pt>
                <c:pt idx="10">
                  <c:v>XLV</c:v>
                </c:pt>
                <c:pt idx="11">
                  <c:v>XLB</c:v>
                </c:pt>
                <c:pt idx="12">
                  <c:v>XLE</c:v>
                </c:pt>
              </c:strCache>
            </c:strRef>
          </c:cat>
          <c:val>
            <c:numRef>
              <c:f>Expectancy!$N$4:$N$16</c:f>
              <c:numCache>
                <c:formatCode>0.0</c:formatCode>
                <c:ptCount val="13"/>
                <c:pt idx="0">
                  <c:v>-3.1047193911041178</c:v>
                </c:pt>
                <c:pt idx="1">
                  <c:v>-0.79042852771570116</c:v>
                </c:pt>
                <c:pt idx="2">
                  <c:v>-9.0891765260839819</c:v>
                </c:pt>
                <c:pt idx="3">
                  <c:v>-1.2703032406501453</c:v>
                </c:pt>
                <c:pt idx="4">
                  <c:v>6.7869588732263164</c:v>
                </c:pt>
                <c:pt idx="5">
                  <c:v>1.6509804841909559</c:v>
                </c:pt>
                <c:pt idx="6">
                  <c:v>0.44261420707039434</c:v>
                </c:pt>
                <c:pt idx="7">
                  <c:v>-11.542535059025818</c:v>
                </c:pt>
                <c:pt idx="8">
                  <c:v>4.5139831366327758</c:v>
                </c:pt>
                <c:pt idx="9">
                  <c:v>13.004746504434388</c:v>
                </c:pt>
                <c:pt idx="10">
                  <c:v>10.302503242948958</c:v>
                </c:pt>
                <c:pt idx="11">
                  <c:v>4.2644911143566446</c:v>
                </c:pt>
                <c:pt idx="12">
                  <c:v>0.33127831379592587</c:v>
                </c:pt>
              </c:numCache>
            </c:numRef>
          </c:val>
          <c:extLst>
            <c:ext xmlns:c14="http://schemas.microsoft.com/office/drawing/2007/8/2/chart" uri="{6F2FDCE9-48DA-4B69-8628-5D25D57E5C99}">
              <c14:invertSolidFillFmt>
                <c14:spPr xmlns:c14="http://schemas.microsoft.com/office/drawing/2007/8/2/chart">
                  <a:solidFill>
                    <a:srgbClr val="FFFF00"/>
                  </a:solidFill>
                  <a:ln w="6350">
                    <a:solidFill>
                      <a:schemeClr val="tx1"/>
                    </a:solidFill>
                  </a:ln>
                  <a:effectLst/>
                </c14:spPr>
              </c14:invertSolidFillFmt>
            </c:ext>
            <c:ext xmlns:c16="http://schemas.microsoft.com/office/drawing/2014/chart" uri="{C3380CC4-5D6E-409C-BE32-E72D297353CC}">
              <c16:uniqueId val="{00000000-CA79-4C93-9DCD-B743D27F8047}"/>
            </c:ext>
          </c:extLst>
        </c:ser>
        <c:dLbls>
          <c:showLegendKey val="0"/>
          <c:showVal val="0"/>
          <c:showCatName val="0"/>
          <c:showSerName val="0"/>
          <c:showPercent val="0"/>
          <c:showBubbleSize val="0"/>
        </c:dLbls>
        <c:gapWidth val="100"/>
        <c:axId val="721908175"/>
        <c:axId val="721924975"/>
      </c:barChart>
      <c:lineChart>
        <c:grouping val="standard"/>
        <c:varyColors val="0"/>
        <c:ser>
          <c:idx val="1"/>
          <c:order val="1"/>
          <c:tx>
            <c:v>Expectancy</c:v>
          </c:tx>
          <c:spPr>
            <a:ln w="19050" cap="rnd">
              <a:solidFill>
                <a:sysClr val="windowText" lastClr="000000"/>
              </a:solidFill>
              <a:prstDash val="sysDash"/>
              <a:round/>
            </a:ln>
            <a:effectLst/>
          </c:spPr>
          <c:marker>
            <c:symbol val="none"/>
          </c:marker>
          <c:dLbls>
            <c:numFmt formatCode="#,##0.00_);[Red]\(#,##0.00\)" sourceLinked="0"/>
            <c:spPr>
              <a:solidFill>
                <a:schemeClr val="bg1">
                  <a:lumMod val="95000"/>
                </a:schemeClr>
              </a:solidFill>
              <a:ln>
                <a:solidFill>
                  <a:sysClr val="windowText" lastClr="000000"/>
                </a:solidFill>
              </a:ln>
              <a:effectLst/>
            </c:spPr>
            <c:txPr>
              <a:bodyPr rot="0" spcFirstLastPara="1" vertOverflow="ellipsis" vert="horz" wrap="square" lIns="18288" tIns="9144" rIns="18288" bIns="9144"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val>
            <c:numRef>
              <c:f>Expectancy!$T$4:$T$16</c:f>
              <c:numCache>
                <c:formatCode>0.00</c:formatCode>
                <c:ptCount val="13"/>
                <c:pt idx="0">
                  <c:v>-7.2202776537305058E-2</c:v>
                </c:pt>
                <c:pt idx="1">
                  <c:v>-5.2695235181046747E-2</c:v>
                </c:pt>
                <c:pt idx="2">
                  <c:v>-0.18178353052167964</c:v>
                </c:pt>
                <c:pt idx="3">
                  <c:v>-0.15878790508126817</c:v>
                </c:pt>
                <c:pt idx="4">
                  <c:v>0.18852663536739767</c:v>
                </c:pt>
                <c:pt idx="5">
                  <c:v>5.5032682806365196E-2</c:v>
                </c:pt>
                <c:pt idx="6">
                  <c:v>2.2130710353519718E-2</c:v>
                </c:pt>
                <c:pt idx="7">
                  <c:v>-0.26233034225058677</c:v>
                </c:pt>
                <c:pt idx="8">
                  <c:v>0.26552841980192798</c:v>
                </c:pt>
                <c:pt idx="9">
                  <c:v>0.20007302314514444</c:v>
                </c:pt>
                <c:pt idx="10">
                  <c:v>0.22894451650997685</c:v>
                </c:pt>
                <c:pt idx="11">
                  <c:v>0.1579441153465424</c:v>
                </c:pt>
                <c:pt idx="12">
                  <c:v>2.548294721507122E-2</c:v>
                </c:pt>
              </c:numCache>
            </c:numRef>
          </c:val>
          <c:smooth val="0"/>
          <c:extLst>
            <c:ext xmlns:c16="http://schemas.microsoft.com/office/drawing/2014/chart" uri="{C3380CC4-5D6E-409C-BE32-E72D297353CC}">
              <c16:uniqueId val="{00000001-CA79-4C93-9DCD-B743D27F8047}"/>
            </c:ext>
          </c:extLst>
        </c:ser>
        <c:dLbls>
          <c:showLegendKey val="0"/>
          <c:showVal val="0"/>
          <c:showCatName val="0"/>
          <c:showSerName val="0"/>
          <c:showPercent val="0"/>
          <c:showBubbleSize val="0"/>
        </c:dLbls>
        <c:marker val="1"/>
        <c:smooth val="0"/>
        <c:axId val="1333127599"/>
        <c:axId val="1333125199"/>
      </c:lineChart>
      <c:catAx>
        <c:axId val="721908175"/>
        <c:scaling>
          <c:orientation val="minMax"/>
        </c:scaling>
        <c:delete val="0"/>
        <c:axPos val="b"/>
        <c:numFmt formatCode="General" sourceLinked="1"/>
        <c:majorTickMark val="none"/>
        <c:minorTickMark val="none"/>
        <c:tickLblPos val="low"/>
        <c:spPr>
          <a:noFill/>
          <a:ln w="3175" cap="flat" cmpd="sng" algn="ctr">
            <a:solidFill>
              <a:sysClr val="windowText" lastClr="000000"/>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721924975"/>
        <c:crosses val="autoZero"/>
        <c:auto val="1"/>
        <c:lblAlgn val="ctr"/>
        <c:lblOffset val="100"/>
        <c:noMultiLvlLbl val="0"/>
      </c:catAx>
      <c:valAx>
        <c:axId val="721924975"/>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50" b="1" i="0" u="none" strike="noStrike" kern="1200" baseline="0">
                    <a:solidFill>
                      <a:schemeClr val="tx1"/>
                    </a:solidFill>
                    <a:latin typeface="+mn-lt"/>
                    <a:ea typeface="+mn-ea"/>
                    <a:cs typeface="+mn-cs"/>
                  </a:defRPr>
                </a:pPr>
                <a:r>
                  <a:rPr lang="en-US" sz="1050" b="1">
                    <a:solidFill>
                      <a:schemeClr val="tx1"/>
                    </a:solidFill>
                  </a:rPr>
                  <a:t>Risk Units</a:t>
                </a:r>
              </a:p>
            </c:rich>
          </c:tx>
          <c:layout>
            <c:manualLayout>
              <c:xMode val="edge"/>
              <c:yMode val="edge"/>
              <c:x val="2.296836982968369E-3"/>
              <c:y val="0.35743032120984874"/>
            </c:manualLayout>
          </c:layout>
          <c:overlay val="0"/>
          <c:spPr>
            <a:noFill/>
            <a:ln>
              <a:noFill/>
            </a:ln>
            <a:effectLst/>
          </c:sp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721908175"/>
        <c:crosses val="autoZero"/>
        <c:crossBetween val="between"/>
      </c:valAx>
      <c:valAx>
        <c:axId val="1333125199"/>
        <c:scaling>
          <c:orientation val="minMax"/>
        </c:scaling>
        <c:delete val="0"/>
        <c:axPos val="r"/>
        <c:title>
          <c:tx>
            <c:rich>
              <a:bodyPr rot="-5400000" spcFirstLastPara="1" vertOverflow="ellipsis" vert="horz" wrap="square" anchor="ctr" anchorCtr="1"/>
              <a:lstStyle/>
              <a:p>
                <a:pPr>
                  <a:defRPr sz="1050" b="1" i="0" u="none" strike="noStrike" kern="1200" baseline="0">
                    <a:solidFill>
                      <a:schemeClr val="tx1"/>
                    </a:solidFill>
                    <a:latin typeface="+mn-lt"/>
                    <a:ea typeface="+mn-ea"/>
                    <a:cs typeface="+mn-cs"/>
                  </a:defRPr>
                </a:pPr>
                <a:r>
                  <a:rPr lang="en-US" sz="1050" b="1">
                    <a:solidFill>
                      <a:schemeClr val="tx1"/>
                    </a:solidFill>
                  </a:rPr>
                  <a:t>Expectancy</a:t>
                </a:r>
              </a:p>
            </c:rich>
          </c:tx>
          <c:layout>
            <c:manualLayout>
              <c:xMode val="edge"/>
              <c:yMode val="edge"/>
              <c:x val="0.96885644768856449"/>
              <c:y val="0.36093449857229387"/>
            </c:manualLayout>
          </c:layout>
          <c:overlay val="0"/>
          <c:spPr>
            <a:noFill/>
            <a:ln>
              <a:noFill/>
            </a:ln>
            <a:effectLst/>
          </c:spPr>
        </c:title>
        <c:numFmt formatCode="0.0" sourceLinked="0"/>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33127599"/>
        <c:crosses val="max"/>
        <c:crossBetween val="between"/>
      </c:valAx>
      <c:catAx>
        <c:axId val="1333127599"/>
        <c:scaling>
          <c:orientation val="minMax"/>
        </c:scaling>
        <c:delete val="1"/>
        <c:axPos val="b"/>
        <c:majorTickMark val="out"/>
        <c:minorTickMark val="none"/>
        <c:tickLblPos val="nextTo"/>
        <c:crossAx val="133312519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none" strike="noStrike" kern="1200" spc="0" baseline="0">
                <a:solidFill>
                  <a:schemeClr val="accent3">
                    <a:lumMod val="75000"/>
                  </a:schemeClr>
                </a:solidFill>
                <a:latin typeface="+mn-lt"/>
                <a:ea typeface="+mn-ea"/>
                <a:cs typeface="+mn-cs"/>
              </a:defRPr>
            </a:pPr>
            <a:r>
              <a:rPr lang="en-US" sz="2400" b="1">
                <a:solidFill>
                  <a:schemeClr val="accent3">
                    <a:lumMod val="75000"/>
                  </a:schemeClr>
                </a:solidFill>
              </a:rPr>
              <a:t>2025-Q1 P&amp;L</a:t>
            </a:r>
            <a:r>
              <a:rPr lang="en-US" sz="2400" b="1" baseline="0">
                <a:solidFill>
                  <a:schemeClr val="accent3">
                    <a:lumMod val="75000"/>
                  </a:schemeClr>
                </a:solidFill>
              </a:rPr>
              <a:t> Curve</a:t>
            </a:r>
          </a:p>
        </c:rich>
      </c:tx>
      <c:layout>
        <c:manualLayout>
          <c:xMode val="edge"/>
          <c:yMode val="edge"/>
          <c:x val="4.491775664971339E-2"/>
          <c:y val="0"/>
        </c:manualLayout>
      </c:layout>
      <c:overlay val="0"/>
      <c:spPr>
        <a:noFill/>
        <a:ln>
          <a:noFill/>
        </a:ln>
        <a:effectLst/>
      </c:spPr>
      <c:txPr>
        <a:bodyPr rot="0" spcFirstLastPara="1" vertOverflow="ellipsis" vert="horz" wrap="square" anchor="ctr" anchorCtr="1"/>
        <a:lstStyle/>
        <a:p>
          <a:pPr>
            <a:defRPr sz="2400" b="1" i="0" u="none" strike="noStrike" kern="1200" spc="0" baseline="0">
              <a:solidFill>
                <a:schemeClr val="accent3">
                  <a:lumMod val="75000"/>
                </a:schemeClr>
              </a:solidFill>
              <a:latin typeface="+mn-lt"/>
              <a:ea typeface="+mn-ea"/>
              <a:cs typeface="+mn-cs"/>
            </a:defRPr>
          </a:pPr>
          <a:endParaRPr lang="en-US"/>
        </a:p>
      </c:txPr>
    </c:title>
    <c:autoTitleDeleted val="0"/>
    <c:plotArea>
      <c:layout>
        <c:manualLayout>
          <c:layoutTarget val="inner"/>
          <c:xMode val="edge"/>
          <c:yMode val="edge"/>
          <c:x val="3.9656227182128551E-2"/>
          <c:y val="7.1349947235976957E-2"/>
          <c:w val="0.95115413204928334"/>
          <c:h val="0.86729179471122808"/>
        </c:manualLayout>
      </c:layout>
      <c:lineChart>
        <c:grouping val="standard"/>
        <c:varyColors val="0"/>
        <c:ser>
          <c:idx val="2"/>
          <c:order val="0"/>
          <c:tx>
            <c:v>Strategy Revenue Curve</c:v>
          </c:tx>
          <c:spPr>
            <a:ln w="28575" cap="rnd">
              <a:solidFill>
                <a:schemeClr val="accent3">
                  <a:alpha val="67000"/>
                </a:schemeClr>
              </a:solidFill>
              <a:prstDash val="solid"/>
              <a:round/>
            </a:ln>
            <a:effectLst/>
          </c:spPr>
          <c:marker>
            <c:symbol val="none"/>
          </c:marker>
          <c:cat>
            <c:strRef>
              <c:f>'2025-Q2'!$A$4:$A$422</c:f>
              <c:strCache>
                <c:ptCount val="419"/>
                <c:pt idx="0">
                  <c:v>DAL</c:v>
                </c:pt>
                <c:pt idx="1">
                  <c:v>STZ</c:v>
                </c:pt>
                <c:pt idx="2">
                  <c:v>JPM</c:v>
                </c:pt>
                <c:pt idx="3">
                  <c:v>WFC</c:v>
                </c:pt>
                <c:pt idx="4">
                  <c:v>BLK</c:v>
                </c:pt>
                <c:pt idx="5">
                  <c:v>BK</c:v>
                </c:pt>
                <c:pt idx="6">
                  <c:v>MS</c:v>
                </c:pt>
                <c:pt idx="7">
                  <c:v>FAST</c:v>
                </c:pt>
                <c:pt idx="8">
                  <c:v>GS</c:v>
                </c:pt>
                <c:pt idx="9">
                  <c:v>MTB</c:v>
                </c:pt>
                <c:pt idx="10">
                  <c:v>C</c:v>
                </c:pt>
                <c:pt idx="11">
                  <c:v>BAC</c:v>
                </c:pt>
                <c:pt idx="12">
                  <c:v>PNC</c:v>
                </c:pt>
                <c:pt idx="13">
                  <c:v>JNJ</c:v>
                </c:pt>
                <c:pt idx="14">
                  <c:v>JBHT</c:v>
                </c:pt>
                <c:pt idx="15">
                  <c:v>UAL</c:v>
                </c:pt>
                <c:pt idx="16">
                  <c:v>OMC</c:v>
                </c:pt>
                <c:pt idx="17">
                  <c:v>USB</c:v>
                </c:pt>
                <c:pt idx="18">
                  <c:v>CFG</c:v>
                </c:pt>
                <c:pt idx="19">
                  <c:v>ABT</c:v>
                </c:pt>
                <c:pt idx="20">
                  <c:v>TRV</c:v>
                </c:pt>
                <c:pt idx="21">
                  <c:v>PGR</c:v>
                </c:pt>
                <c:pt idx="22">
                  <c:v>CSX</c:v>
                </c:pt>
                <c:pt idx="23">
                  <c:v>KMI</c:v>
                </c:pt>
                <c:pt idx="24">
                  <c:v>STT</c:v>
                </c:pt>
                <c:pt idx="25">
                  <c:v>UNH</c:v>
                </c:pt>
                <c:pt idx="26">
                  <c:v>TFC</c:v>
                </c:pt>
                <c:pt idx="27">
                  <c:v>HBAN</c:v>
                </c:pt>
                <c:pt idx="28">
                  <c:v>RF</c:v>
                </c:pt>
                <c:pt idx="29">
                  <c:v>SCHW</c:v>
                </c:pt>
                <c:pt idx="30">
                  <c:v>DHI</c:v>
                </c:pt>
                <c:pt idx="31">
                  <c:v>FITB</c:v>
                </c:pt>
                <c:pt idx="32">
                  <c:v>KEY</c:v>
                </c:pt>
                <c:pt idx="33">
                  <c:v>AXP</c:v>
                </c:pt>
                <c:pt idx="34">
                  <c:v>MMC</c:v>
                </c:pt>
                <c:pt idx="35">
                  <c:v>SNA</c:v>
                </c:pt>
                <c:pt idx="36">
                  <c:v>BX</c:v>
                </c:pt>
                <c:pt idx="37">
                  <c:v>ALLY</c:v>
                </c:pt>
                <c:pt idx="38">
                  <c:v>NFLX</c:v>
                </c:pt>
                <c:pt idx="39">
                  <c:v>WRB</c:v>
                </c:pt>
                <c:pt idx="40">
                  <c:v>EFX</c:v>
                </c:pt>
                <c:pt idx="41">
                  <c:v>GPC</c:v>
                </c:pt>
                <c:pt idx="42">
                  <c:v>HAL</c:v>
                </c:pt>
                <c:pt idx="43">
                  <c:v>GE</c:v>
                </c:pt>
                <c:pt idx="44">
                  <c:v>VZ</c:v>
                </c:pt>
                <c:pt idx="45">
                  <c:v>LMT</c:v>
                </c:pt>
                <c:pt idx="46">
                  <c:v>DHR</c:v>
                </c:pt>
                <c:pt idx="47">
                  <c:v>NOC</c:v>
                </c:pt>
                <c:pt idx="48">
                  <c:v>PHM</c:v>
                </c:pt>
                <c:pt idx="49">
                  <c:v>RTX</c:v>
                </c:pt>
                <c:pt idx="50">
                  <c:v>KMB</c:v>
                </c:pt>
                <c:pt idx="51">
                  <c:v>MMM</c:v>
                </c:pt>
                <c:pt idx="52">
                  <c:v>PNR</c:v>
                </c:pt>
                <c:pt idx="53">
                  <c:v>STLD</c:v>
                </c:pt>
                <c:pt idx="54">
                  <c:v>ISRG</c:v>
                </c:pt>
                <c:pt idx="55">
                  <c:v>PKG</c:v>
                </c:pt>
                <c:pt idx="56">
                  <c:v>BKR</c:v>
                </c:pt>
                <c:pt idx="57">
                  <c:v>ENPH</c:v>
                </c:pt>
                <c:pt idx="58">
                  <c:v>COF</c:v>
                </c:pt>
                <c:pt idx="59">
                  <c:v>TSLA</c:v>
                </c:pt>
                <c:pt idx="60">
                  <c:v>EQT</c:v>
                </c:pt>
                <c:pt idx="61">
                  <c:v>GEV</c:v>
                </c:pt>
                <c:pt idx="62">
                  <c:v>APH</c:v>
                </c:pt>
                <c:pt idx="63">
                  <c:v>TEL</c:v>
                </c:pt>
                <c:pt idx="64">
                  <c:v>T</c:v>
                </c:pt>
                <c:pt idx="65">
                  <c:v>BA</c:v>
                </c:pt>
                <c:pt idx="66">
                  <c:v>NSC</c:v>
                </c:pt>
                <c:pt idx="67">
                  <c:v>TMO</c:v>
                </c:pt>
                <c:pt idx="68">
                  <c:v>AVY</c:v>
                </c:pt>
                <c:pt idx="69">
                  <c:v>PM</c:v>
                </c:pt>
                <c:pt idx="70">
                  <c:v>MAS</c:v>
                </c:pt>
                <c:pt idx="71">
                  <c:v>CME</c:v>
                </c:pt>
                <c:pt idx="72">
                  <c:v>WAB</c:v>
                </c:pt>
                <c:pt idx="73">
                  <c:v>GD</c:v>
                </c:pt>
                <c:pt idx="74">
                  <c:v>BSX</c:v>
                </c:pt>
                <c:pt idx="75">
                  <c:v>OTIS</c:v>
                </c:pt>
                <c:pt idx="76">
                  <c:v>TXN</c:v>
                </c:pt>
                <c:pt idx="77">
                  <c:v>DFS</c:v>
                </c:pt>
                <c:pt idx="78">
                  <c:v>IBM</c:v>
                </c:pt>
                <c:pt idx="79">
                  <c:v>LVS</c:v>
                </c:pt>
                <c:pt idx="80">
                  <c:v>CMG</c:v>
                </c:pt>
                <c:pt idx="81">
                  <c:v>EW</c:v>
                </c:pt>
                <c:pt idx="82">
                  <c:v>LRCX</c:v>
                </c:pt>
                <c:pt idx="83">
                  <c:v>LUV</c:v>
                </c:pt>
                <c:pt idx="84">
                  <c:v>FI</c:v>
                </c:pt>
                <c:pt idx="85">
                  <c:v>FCX</c:v>
                </c:pt>
                <c:pt idx="86">
                  <c:v>PG</c:v>
                </c:pt>
                <c:pt idx="87">
                  <c:v>TXT</c:v>
                </c:pt>
                <c:pt idx="88">
                  <c:v>UNP</c:v>
                </c:pt>
                <c:pt idx="89">
                  <c:v>NDAQ</c:v>
                </c:pt>
                <c:pt idx="90">
                  <c:v>CMCSA</c:v>
                </c:pt>
                <c:pt idx="91">
                  <c:v>VLO</c:v>
                </c:pt>
                <c:pt idx="92">
                  <c:v>DOW</c:v>
                </c:pt>
                <c:pt idx="93">
                  <c:v>TSCO</c:v>
                </c:pt>
                <c:pt idx="94">
                  <c:v>DOV</c:v>
                </c:pt>
                <c:pt idx="95">
                  <c:v>MRK</c:v>
                </c:pt>
                <c:pt idx="96">
                  <c:v>PEP</c:v>
                </c:pt>
                <c:pt idx="97">
                  <c:v>BMY</c:v>
                </c:pt>
                <c:pt idx="98">
                  <c:v>IPG</c:v>
                </c:pt>
                <c:pt idx="99">
                  <c:v>LKQ</c:v>
                </c:pt>
                <c:pt idx="100">
                  <c:v>HAS</c:v>
                </c:pt>
                <c:pt idx="101">
                  <c:v>KDP</c:v>
                </c:pt>
                <c:pt idx="102">
                  <c:v>LHX</c:v>
                </c:pt>
                <c:pt idx="103">
                  <c:v>TMUS</c:v>
                </c:pt>
                <c:pt idx="104">
                  <c:v>HIG</c:v>
                </c:pt>
                <c:pt idx="105">
                  <c:v>EMN</c:v>
                </c:pt>
                <c:pt idx="106">
                  <c:v>RSG</c:v>
                </c:pt>
                <c:pt idx="107">
                  <c:v>INTC</c:v>
                </c:pt>
                <c:pt idx="108">
                  <c:v>GOOG</c:v>
                </c:pt>
                <c:pt idx="109">
                  <c:v>GILD</c:v>
                </c:pt>
                <c:pt idx="110">
                  <c:v>SLB</c:v>
                </c:pt>
                <c:pt idx="111">
                  <c:v>PSX</c:v>
                </c:pt>
                <c:pt idx="112">
                  <c:v>HCA</c:v>
                </c:pt>
                <c:pt idx="113">
                  <c:v>ABBV</c:v>
                </c:pt>
                <c:pt idx="114">
                  <c:v>CL</c:v>
                </c:pt>
                <c:pt idx="115">
                  <c:v>CHTR</c:v>
                </c:pt>
                <c:pt idx="116">
                  <c:v>LYB</c:v>
                </c:pt>
                <c:pt idx="117">
                  <c:v>TER</c:v>
                </c:pt>
                <c:pt idx="118">
                  <c:v>CINF</c:v>
                </c:pt>
                <c:pt idx="119">
                  <c:v>UHS</c:v>
                </c:pt>
                <c:pt idx="120">
                  <c:v>NUE</c:v>
                </c:pt>
                <c:pt idx="121">
                  <c:v>WM</c:v>
                </c:pt>
                <c:pt idx="122">
                  <c:v>BRO</c:v>
                </c:pt>
                <c:pt idx="123">
                  <c:v>FFIV</c:v>
                </c:pt>
                <c:pt idx="124">
                  <c:v>NXPI</c:v>
                </c:pt>
                <c:pt idx="125">
                  <c:v>CDNS</c:v>
                </c:pt>
                <c:pt idx="126">
                  <c:v>RCL</c:v>
                </c:pt>
                <c:pt idx="127">
                  <c:v>SHW</c:v>
                </c:pt>
                <c:pt idx="128">
                  <c:v>HLT</c:v>
                </c:pt>
                <c:pt idx="129">
                  <c:v>AOS</c:v>
                </c:pt>
                <c:pt idx="130">
                  <c:v>LH</c:v>
                </c:pt>
                <c:pt idx="131">
                  <c:v>SPGI</c:v>
                </c:pt>
                <c:pt idx="132">
                  <c:v>GM</c:v>
                </c:pt>
                <c:pt idx="133">
                  <c:v>PCAR</c:v>
                </c:pt>
                <c:pt idx="134">
                  <c:v>SYY</c:v>
                </c:pt>
                <c:pt idx="135">
                  <c:v>GLW</c:v>
                </c:pt>
                <c:pt idx="136">
                  <c:v>UPS</c:v>
                </c:pt>
                <c:pt idx="137">
                  <c:v>MO</c:v>
                </c:pt>
                <c:pt idx="138">
                  <c:v>PFE</c:v>
                </c:pt>
                <c:pt idx="139">
                  <c:v>AMCR</c:v>
                </c:pt>
                <c:pt idx="140">
                  <c:v>KO</c:v>
                </c:pt>
                <c:pt idx="141">
                  <c:v>ECL</c:v>
                </c:pt>
                <c:pt idx="142">
                  <c:v>ZBRA</c:v>
                </c:pt>
                <c:pt idx="143">
                  <c:v>PYPL</c:v>
                </c:pt>
                <c:pt idx="144">
                  <c:v>KHC</c:v>
                </c:pt>
                <c:pt idx="145">
                  <c:v>REGN</c:v>
                </c:pt>
                <c:pt idx="146">
                  <c:v>XYL</c:v>
                </c:pt>
                <c:pt idx="147">
                  <c:v>HON</c:v>
                </c:pt>
                <c:pt idx="148">
                  <c:v>SOFI</c:v>
                </c:pt>
                <c:pt idx="149">
                  <c:v>PPG</c:v>
                </c:pt>
                <c:pt idx="150">
                  <c:v>VLTO</c:v>
                </c:pt>
                <c:pt idx="151">
                  <c:v>STX</c:v>
                </c:pt>
                <c:pt idx="152">
                  <c:v>SNAP</c:v>
                </c:pt>
                <c:pt idx="153">
                  <c:v>SBUX</c:v>
                </c:pt>
                <c:pt idx="154">
                  <c:v>V</c:v>
                </c:pt>
                <c:pt idx="155">
                  <c:v>ACGL</c:v>
                </c:pt>
                <c:pt idx="156">
                  <c:v>FSLR</c:v>
                </c:pt>
                <c:pt idx="157">
                  <c:v>FRSH</c:v>
                </c:pt>
                <c:pt idx="158">
                  <c:v>CZR</c:v>
                </c:pt>
                <c:pt idx="159">
                  <c:v>TENB</c:v>
                </c:pt>
                <c:pt idx="160">
                  <c:v>MDLZ</c:v>
                </c:pt>
                <c:pt idx="161">
                  <c:v>GEHC</c:v>
                </c:pt>
                <c:pt idx="162">
                  <c:v>HES</c:v>
                </c:pt>
                <c:pt idx="163">
                  <c:v>WDC</c:v>
                </c:pt>
                <c:pt idx="164">
                  <c:v>CAT</c:v>
                </c:pt>
                <c:pt idx="165">
                  <c:v>TT</c:v>
                </c:pt>
                <c:pt idx="166">
                  <c:v>ITW</c:v>
                </c:pt>
                <c:pt idx="167">
                  <c:v>ADP</c:v>
                </c:pt>
                <c:pt idx="168">
                  <c:v>IP</c:v>
                </c:pt>
                <c:pt idx="169">
                  <c:v>YUM</c:v>
                </c:pt>
                <c:pt idx="170">
                  <c:v>GNRC</c:v>
                </c:pt>
                <c:pt idx="171">
                  <c:v>GRMN</c:v>
                </c:pt>
                <c:pt idx="172">
                  <c:v>SWK</c:v>
                </c:pt>
                <c:pt idx="173">
                  <c:v>VMC</c:v>
                </c:pt>
                <c:pt idx="174">
                  <c:v>NCLH</c:v>
                </c:pt>
                <c:pt idx="175">
                  <c:v>MSFT</c:v>
                </c:pt>
                <c:pt idx="176">
                  <c:v>PRU</c:v>
                </c:pt>
                <c:pt idx="177">
                  <c:v>META</c:v>
                </c:pt>
                <c:pt idx="178">
                  <c:v>CHRW</c:v>
                </c:pt>
                <c:pt idx="179">
                  <c:v>FMC</c:v>
                </c:pt>
                <c:pt idx="180">
                  <c:v>AFL</c:v>
                </c:pt>
                <c:pt idx="181">
                  <c:v>ALL</c:v>
                </c:pt>
                <c:pt idx="182">
                  <c:v>CTSH</c:v>
                </c:pt>
                <c:pt idx="183">
                  <c:v>PTC</c:v>
                </c:pt>
                <c:pt idx="184">
                  <c:v>ALGN</c:v>
                </c:pt>
                <c:pt idx="185">
                  <c:v>MGM</c:v>
                </c:pt>
                <c:pt idx="186">
                  <c:v>CWAN</c:v>
                </c:pt>
                <c:pt idx="187">
                  <c:v>EBAY</c:v>
                </c:pt>
                <c:pt idx="188">
                  <c:v>QCOM</c:v>
                </c:pt>
                <c:pt idx="189">
                  <c:v>MET</c:v>
                </c:pt>
                <c:pt idx="190">
                  <c:v>HOOD</c:v>
                </c:pt>
                <c:pt idx="191">
                  <c:v>ALB</c:v>
                </c:pt>
                <c:pt idx="192">
                  <c:v>KLAC</c:v>
                </c:pt>
                <c:pt idx="193">
                  <c:v>CFLT</c:v>
                </c:pt>
                <c:pt idx="194">
                  <c:v>IEX</c:v>
                </c:pt>
                <c:pt idx="195">
                  <c:v>HUBB</c:v>
                </c:pt>
                <c:pt idx="196">
                  <c:v>MA</c:v>
                </c:pt>
                <c:pt idx="197">
                  <c:v>SW</c:v>
                </c:pt>
                <c:pt idx="198">
                  <c:v>BIIB</c:v>
                </c:pt>
                <c:pt idx="199">
                  <c:v>APD</c:v>
                </c:pt>
                <c:pt idx="200">
                  <c:v>MCD</c:v>
                </c:pt>
                <c:pt idx="201">
                  <c:v>FTV</c:v>
                </c:pt>
                <c:pt idx="202">
                  <c:v>PH</c:v>
                </c:pt>
                <c:pt idx="203">
                  <c:v>CAH</c:v>
                </c:pt>
                <c:pt idx="204">
                  <c:v>GWW</c:v>
                </c:pt>
                <c:pt idx="205">
                  <c:v>CHD</c:v>
                </c:pt>
                <c:pt idx="206">
                  <c:v>IDXX</c:v>
                </c:pt>
                <c:pt idx="207">
                  <c:v>KKR</c:v>
                </c:pt>
                <c:pt idx="208">
                  <c:v>AME</c:v>
                </c:pt>
                <c:pt idx="209">
                  <c:v>EL</c:v>
                </c:pt>
                <c:pt idx="210">
                  <c:v>LLY</c:v>
                </c:pt>
                <c:pt idx="211">
                  <c:v>LIN</c:v>
                </c:pt>
                <c:pt idx="212">
                  <c:v>ICE</c:v>
                </c:pt>
                <c:pt idx="213">
                  <c:v>HSY</c:v>
                </c:pt>
                <c:pt idx="214">
                  <c:v>APTV</c:v>
                </c:pt>
                <c:pt idx="215">
                  <c:v>CARR</c:v>
                </c:pt>
                <c:pt idx="216">
                  <c:v>CVS</c:v>
                </c:pt>
                <c:pt idx="217">
                  <c:v>HWM</c:v>
                </c:pt>
                <c:pt idx="218">
                  <c:v>BAX</c:v>
                </c:pt>
                <c:pt idx="219">
                  <c:v>PWR</c:v>
                </c:pt>
                <c:pt idx="220">
                  <c:v>BLDR</c:v>
                </c:pt>
                <c:pt idx="221">
                  <c:v>HII</c:v>
                </c:pt>
                <c:pt idx="222">
                  <c:v>TRGP</c:v>
                </c:pt>
                <c:pt idx="223">
                  <c:v>BR</c:v>
                </c:pt>
                <c:pt idx="224">
                  <c:v>MPWR</c:v>
                </c:pt>
                <c:pt idx="225">
                  <c:v>PCOR</c:v>
                </c:pt>
                <c:pt idx="226">
                  <c:v>TEAM</c:v>
                </c:pt>
                <c:pt idx="227">
                  <c:v>MHK</c:v>
                </c:pt>
                <c:pt idx="228">
                  <c:v>SYK</c:v>
                </c:pt>
                <c:pt idx="229">
                  <c:v>AIG</c:v>
                </c:pt>
                <c:pt idx="230">
                  <c:v>DLB</c:v>
                </c:pt>
                <c:pt idx="231">
                  <c:v>AAPL</c:v>
                </c:pt>
                <c:pt idx="232">
                  <c:v>AJG</c:v>
                </c:pt>
                <c:pt idx="233">
                  <c:v>AMGN</c:v>
                </c:pt>
                <c:pt idx="234">
                  <c:v>HOLX</c:v>
                </c:pt>
                <c:pt idx="235">
                  <c:v>MTD</c:v>
                </c:pt>
                <c:pt idx="236">
                  <c:v>ROKU</c:v>
                </c:pt>
                <c:pt idx="237">
                  <c:v>IR</c:v>
                </c:pt>
                <c:pt idx="238">
                  <c:v>GDDY</c:v>
                </c:pt>
                <c:pt idx="239">
                  <c:v>LYV</c:v>
                </c:pt>
                <c:pt idx="240">
                  <c:v>MNST</c:v>
                </c:pt>
                <c:pt idx="241">
                  <c:v>XYZ</c:v>
                </c:pt>
                <c:pt idx="242">
                  <c:v>AMZN</c:v>
                </c:pt>
                <c:pt idx="243">
                  <c:v>ABNB</c:v>
                </c:pt>
                <c:pt idx="244">
                  <c:v>MSI</c:v>
                </c:pt>
                <c:pt idx="245">
                  <c:v>ETN</c:v>
                </c:pt>
                <c:pt idx="246">
                  <c:v>XOM</c:v>
                </c:pt>
                <c:pt idx="247">
                  <c:v>CVX</c:v>
                </c:pt>
                <c:pt idx="248">
                  <c:v>TROW</c:v>
                </c:pt>
                <c:pt idx="249">
                  <c:v>BEN</c:v>
                </c:pt>
                <c:pt idx="250">
                  <c:v>ZBH</c:v>
                </c:pt>
                <c:pt idx="251">
                  <c:v>TSN</c:v>
                </c:pt>
                <c:pt idx="252">
                  <c:v>CMI</c:v>
                </c:pt>
                <c:pt idx="253">
                  <c:v>ON</c:v>
                </c:pt>
                <c:pt idx="254">
                  <c:v>HSIC</c:v>
                </c:pt>
                <c:pt idx="255">
                  <c:v>CLX</c:v>
                </c:pt>
                <c:pt idx="256">
                  <c:v>F</c:v>
                </c:pt>
                <c:pt idx="257">
                  <c:v>PLTR</c:v>
                </c:pt>
                <c:pt idx="258">
                  <c:v>WMB</c:v>
                </c:pt>
                <c:pt idx="259">
                  <c:v>CE</c:v>
                </c:pt>
                <c:pt idx="260">
                  <c:v>IT</c:v>
                </c:pt>
                <c:pt idx="261">
                  <c:v>ADM</c:v>
                </c:pt>
                <c:pt idx="262">
                  <c:v>IQV</c:v>
                </c:pt>
                <c:pt idx="263">
                  <c:v>FIS</c:v>
                </c:pt>
                <c:pt idx="264">
                  <c:v>BALL</c:v>
                </c:pt>
                <c:pt idx="265">
                  <c:v>LDOS</c:v>
                </c:pt>
                <c:pt idx="266">
                  <c:v>MAR</c:v>
                </c:pt>
                <c:pt idx="267">
                  <c:v>GPN</c:v>
                </c:pt>
                <c:pt idx="268">
                  <c:v>MPC</c:v>
                </c:pt>
                <c:pt idx="269">
                  <c:v>J</c:v>
                </c:pt>
                <c:pt idx="270">
                  <c:v>WAT</c:v>
                </c:pt>
                <c:pt idx="271">
                  <c:v>ZTS</c:v>
                </c:pt>
                <c:pt idx="272">
                  <c:v>DDOG</c:v>
                </c:pt>
                <c:pt idx="273">
                  <c:v>DASH</c:v>
                </c:pt>
                <c:pt idx="274">
                  <c:v>VRNS</c:v>
                </c:pt>
                <c:pt idx="275">
                  <c:v>IFF</c:v>
                </c:pt>
                <c:pt idx="276">
                  <c:v>AMD</c:v>
                </c:pt>
                <c:pt idx="277">
                  <c:v>EA</c:v>
                </c:pt>
                <c:pt idx="278">
                  <c:v>INTA</c:v>
                </c:pt>
                <c:pt idx="279">
                  <c:v>LCID</c:v>
                </c:pt>
                <c:pt idx="280">
                  <c:v>AIZ</c:v>
                </c:pt>
                <c:pt idx="281">
                  <c:v>ANET</c:v>
                </c:pt>
                <c:pt idx="282">
                  <c:v>CPAY</c:v>
                </c:pt>
                <c:pt idx="283">
                  <c:v>KVYO</c:v>
                </c:pt>
                <c:pt idx="284">
                  <c:v>MOS</c:v>
                </c:pt>
                <c:pt idx="285">
                  <c:v>GEN</c:v>
                </c:pt>
                <c:pt idx="286">
                  <c:v>WYNN</c:v>
                </c:pt>
                <c:pt idx="287">
                  <c:v>CDW</c:v>
                </c:pt>
                <c:pt idx="288">
                  <c:v>ROK</c:v>
                </c:pt>
                <c:pt idx="289">
                  <c:v>BG</c:v>
                </c:pt>
                <c:pt idx="290">
                  <c:v>JCI</c:v>
                </c:pt>
                <c:pt idx="291">
                  <c:v>DAY</c:v>
                </c:pt>
                <c:pt idx="292">
                  <c:v>TECH</c:v>
                </c:pt>
                <c:pt idx="293">
                  <c:v>MKTX</c:v>
                </c:pt>
                <c:pt idx="294">
                  <c:v>DIS</c:v>
                </c:pt>
                <c:pt idx="295">
                  <c:v>UBER</c:v>
                </c:pt>
                <c:pt idx="296">
                  <c:v>EMR</c:v>
                </c:pt>
                <c:pt idx="297">
                  <c:v>COR</c:v>
                </c:pt>
                <c:pt idx="298">
                  <c:v>BWA</c:v>
                </c:pt>
                <c:pt idx="299">
                  <c:v>U</c:v>
                </c:pt>
                <c:pt idx="300">
                  <c:v>TRMB</c:v>
                </c:pt>
                <c:pt idx="301">
                  <c:v>AXON</c:v>
                </c:pt>
                <c:pt idx="302">
                  <c:v>SWKS</c:v>
                </c:pt>
                <c:pt idx="303">
                  <c:v>CTVA</c:v>
                </c:pt>
                <c:pt idx="304">
                  <c:v>FTNT</c:v>
                </c:pt>
                <c:pt idx="305">
                  <c:v>PAYC</c:v>
                </c:pt>
                <c:pt idx="306">
                  <c:v>APP</c:v>
                </c:pt>
                <c:pt idx="307">
                  <c:v>CF</c:v>
                </c:pt>
                <c:pt idx="308">
                  <c:v>CENX</c:v>
                </c:pt>
                <c:pt idx="309">
                  <c:v>KVUE</c:v>
                </c:pt>
                <c:pt idx="310">
                  <c:v>MTCH</c:v>
                </c:pt>
                <c:pt idx="311">
                  <c:v>TAP</c:v>
                </c:pt>
                <c:pt idx="312">
                  <c:v>COP</c:v>
                </c:pt>
                <c:pt idx="313">
                  <c:v>TPR</c:v>
                </c:pt>
                <c:pt idx="314">
                  <c:v>VTRS</c:v>
                </c:pt>
                <c:pt idx="315">
                  <c:v>WBD</c:v>
                </c:pt>
                <c:pt idx="316">
                  <c:v>MCK</c:v>
                </c:pt>
                <c:pt idx="317">
                  <c:v>NWS</c:v>
                </c:pt>
                <c:pt idx="318">
                  <c:v>EXPE</c:v>
                </c:pt>
                <c:pt idx="319">
                  <c:v>PODD</c:v>
                </c:pt>
                <c:pt idx="320">
                  <c:v>AKAM</c:v>
                </c:pt>
                <c:pt idx="321">
                  <c:v>DBX</c:v>
                </c:pt>
                <c:pt idx="322">
                  <c:v>SOLV</c:v>
                </c:pt>
                <c:pt idx="323">
                  <c:v>KODK</c:v>
                </c:pt>
                <c:pt idx="324">
                  <c:v>MCHP</c:v>
                </c:pt>
                <c:pt idx="325">
                  <c:v>FOX</c:v>
                </c:pt>
                <c:pt idx="326">
                  <c:v>GCT</c:v>
                </c:pt>
                <c:pt idx="327">
                  <c:v>DVA</c:v>
                </c:pt>
                <c:pt idx="328">
                  <c:v>ASTS</c:v>
                </c:pt>
                <c:pt idx="329">
                  <c:v>KRMN</c:v>
                </c:pt>
                <c:pt idx="330">
                  <c:v>QUIK</c:v>
                </c:pt>
                <c:pt idx="331">
                  <c:v>DT</c:v>
                </c:pt>
                <c:pt idx="332">
                  <c:v>STE</c:v>
                </c:pt>
                <c:pt idx="333">
                  <c:v>CSCO</c:v>
                </c:pt>
                <c:pt idx="334">
                  <c:v>STN</c:v>
                </c:pt>
                <c:pt idx="335">
                  <c:v>DE</c:v>
                </c:pt>
                <c:pt idx="336">
                  <c:v>WMT</c:v>
                </c:pt>
                <c:pt idx="337">
                  <c:v>WMS</c:v>
                </c:pt>
                <c:pt idx="338">
                  <c:v>TTWO</c:v>
                </c:pt>
                <c:pt idx="339">
                  <c:v>AMAT</c:v>
                </c:pt>
                <c:pt idx="340">
                  <c:v>DOCS</c:v>
                </c:pt>
                <c:pt idx="341">
                  <c:v>RBC</c:v>
                </c:pt>
                <c:pt idx="342">
                  <c:v>FLO</c:v>
                </c:pt>
                <c:pt idx="343">
                  <c:v>HD</c:v>
                </c:pt>
                <c:pt idx="344">
                  <c:v>EXP</c:v>
                </c:pt>
                <c:pt idx="345">
                  <c:v>PANW</c:v>
                </c:pt>
                <c:pt idx="346">
                  <c:v>TOL</c:v>
                </c:pt>
                <c:pt idx="347">
                  <c:v>MDT</c:v>
                </c:pt>
                <c:pt idx="348">
                  <c:v>LOW</c:v>
                </c:pt>
                <c:pt idx="349">
                  <c:v>TJX</c:v>
                </c:pt>
                <c:pt idx="350">
                  <c:v>TGT</c:v>
                </c:pt>
                <c:pt idx="351">
                  <c:v>ZM</c:v>
                </c:pt>
                <c:pt idx="352">
                  <c:v>ADI</c:v>
                </c:pt>
                <c:pt idx="353">
                  <c:v>RL</c:v>
                </c:pt>
                <c:pt idx="354">
                  <c:v>BJ</c:v>
                </c:pt>
                <c:pt idx="355">
                  <c:v>WSM</c:v>
                </c:pt>
                <c:pt idx="356">
                  <c:v>CPRT</c:v>
                </c:pt>
                <c:pt idx="357">
                  <c:v>DECK</c:v>
                </c:pt>
                <c:pt idx="358">
                  <c:v>INTU</c:v>
                </c:pt>
                <c:pt idx="359">
                  <c:v>ROST</c:v>
                </c:pt>
                <c:pt idx="360">
                  <c:v>WDAY</c:v>
                </c:pt>
                <c:pt idx="361">
                  <c:v>ADSK</c:v>
                </c:pt>
                <c:pt idx="362">
                  <c:v>BOX</c:v>
                </c:pt>
                <c:pt idx="363">
                  <c:v>OKTA</c:v>
                </c:pt>
                <c:pt idx="364">
                  <c:v>SMTC</c:v>
                </c:pt>
                <c:pt idx="365">
                  <c:v>M</c:v>
                </c:pt>
                <c:pt idx="366">
                  <c:v>ANF</c:v>
                </c:pt>
                <c:pt idx="367">
                  <c:v>DKS</c:v>
                </c:pt>
                <c:pt idx="368">
                  <c:v>ELF</c:v>
                </c:pt>
                <c:pt idx="369">
                  <c:v>SNPS</c:v>
                </c:pt>
                <c:pt idx="370">
                  <c:v>NTNX</c:v>
                </c:pt>
                <c:pt idx="371">
                  <c:v>NVDA</c:v>
                </c:pt>
                <c:pt idx="372">
                  <c:v>CRM</c:v>
                </c:pt>
                <c:pt idx="373">
                  <c:v>A</c:v>
                </c:pt>
                <c:pt idx="374">
                  <c:v>AI</c:v>
                </c:pt>
                <c:pt idx="375">
                  <c:v>HPQ</c:v>
                </c:pt>
                <c:pt idx="376">
                  <c:v>PSTG</c:v>
                </c:pt>
                <c:pt idx="377">
                  <c:v>VEEV</c:v>
                </c:pt>
                <c:pt idx="378">
                  <c:v>S</c:v>
                </c:pt>
                <c:pt idx="379">
                  <c:v>HRL</c:v>
                </c:pt>
                <c:pt idx="380">
                  <c:v>BBY</c:v>
                </c:pt>
                <c:pt idx="381">
                  <c:v>BURL</c:v>
                </c:pt>
                <c:pt idx="382">
                  <c:v>AEO</c:v>
                </c:pt>
                <c:pt idx="383">
                  <c:v>PATH</c:v>
                </c:pt>
                <c:pt idx="384">
                  <c:v>DELL</c:v>
                </c:pt>
                <c:pt idx="385">
                  <c:v>NTAP</c:v>
                </c:pt>
                <c:pt idx="386">
                  <c:v>ESTC</c:v>
                </c:pt>
                <c:pt idx="387">
                  <c:v>ZS</c:v>
                </c:pt>
                <c:pt idx="388">
                  <c:v>GAP</c:v>
                </c:pt>
                <c:pt idx="389">
                  <c:v>COST</c:v>
                </c:pt>
                <c:pt idx="390">
                  <c:v>ULTA</c:v>
                </c:pt>
                <c:pt idx="391">
                  <c:v>CPB</c:v>
                </c:pt>
                <c:pt idx="392">
                  <c:v>DG</c:v>
                </c:pt>
                <c:pt idx="393">
                  <c:v>OLLI</c:v>
                </c:pt>
                <c:pt idx="394">
                  <c:v>HQY</c:v>
                </c:pt>
                <c:pt idx="395">
                  <c:v>ASAN</c:v>
                </c:pt>
                <c:pt idx="396">
                  <c:v>CRWD</c:v>
                </c:pt>
                <c:pt idx="397">
                  <c:v>HPE</c:v>
                </c:pt>
                <c:pt idx="398">
                  <c:v>REVG</c:v>
                </c:pt>
                <c:pt idx="399">
                  <c:v>DLTR</c:v>
                </c:pt>
                <c:pt idx="400">
                  <c:v>VSCO</c:v>
                </c:pt>
                <c:pt idx="401">
                  <c:v>CIEN</c:v>
                </c:pt>
                <c:pt idx="402">
                  <c:v>DOCU</c:v>
                </c:pt>
                <c:pt idx="403">
                  <c:v>AVGO</c:v>
                </c:pt>
                <c:pt idx="404">
                  <c:v>CASY</c:v>
                </c:pt>
                <c:pt idx="405">
                  <c:v>CNM</c:v>
                </c:pt>
                <c:pt idx="406">
                  <c:v>GTLB</c:v>
                </c:pt>
                <c:pt idx="407">
                  <c:v>CHWY</c:v>
                </c:pt>
                <c:pt idx="408">
                  <c:v>ORCL</c:v>
                </c:pt>
                <c:pt idx="409">
                  <c:v>ADBE</c:v>
                </c:pt>
                <c:pt idx="410">
                  <c:v>LEN</c:v>
                </c:pt>
                <c:pt idx="411">
                  <c:v>JBL</c:v>
                </c:pt>
                <c:pt idx="412">
                  <c:v>DRI</c:v>
                </c:pt>
                <c:pt idx="413">
                  <c:v>SNX</c:v>
                </c:pt>
                <c:pt idx="414">
                  <c:v>CCL</c:v>
                </c:pt>
                <c:pt idx="415">
                  <c:v>GIS</c:v>
                </c:pt>
                <c:pt idx="416">
                  <c:v>MU</c:v>
                </c:pt>
                <c:pt idx="417">
                  <c:v>MKC</c:v>
                </c:pt>
                <c:pt idx="418">
                  <c:v>NKE</c:v>
                </c:pt>
              </c:strCache>
              <c:extLst xmlns:c15="http://schemas.microsoft.com/office/drawing/2012/chart"/>
            </c:strRef>
          </c:cat>
          <c:val>
            <c:numRef>
              <c:f>'2025-Q2'!$O$4:$O$422</c:f>
              <c:numCache>
                <c:formatCode>"$"#,##0</c:formatCode>
                <c:ptCount val="419"/>
                <c:pt idx="0">
                  <c:v>-30.899999999999864</c:v>
                </c:pt>
                <c:pt idx="1">
                  <c:v>13.9200000000003</c:v>
                </c:pt>
                <c:pt idx="2">
                  <c:v>9.9200000000000728</c:v>
                </c:pt>
                <c:pt idx="3">
                  <c:v>-16.769999999999754</c:v>
                </c:pt>
                <c:pt idx="4">
                  <c:v>-27.379999999999768</c:v>
                </c:pt>
                <c:pt idx="5">
                  <c:v>-69.379999999999768</c:v>
                </c:pt>
                <c:pt idx="6">
                  <c:v>-106.27999999999963</c:v>
                </c:pt>
                <c:pt idx="7">
                  <c:v>-114.9799999999999</c:v>
                </c:pt>
                <c:pt idx="8">
                  <c:v>-83.8599999999999</c:v>
                </c:pt>
                <c:pt idx="9">
                  <c:v>-77.143719531497254</c:v>
                </c:pt>
                <c:pt idx="10">
                  <c:v>-59.683719531497218</c:v>
                </c:pt>
                <c:pt idx="11">
                  <c:v>-25.783719531497354</c:v>
                </c:pt>
                <c:pt idx="12">
                  <c:v>-6.1137195314972814</c:v>
                </c:pt>
                <c:pt idx="13">
                  <c:v>3.2662804685026003</c:v>
                </c:pt>
                <c:pt idx="14">
                  <c:v>67.256280468502837</c:v>
                </c:pt>
                <c:pt idx="15">
                  <c:v>114.6862804685029</c:v>
                </c:pt>
                <c:pt idx="16">
                  <c:v>139.73628046850308</c:v>
                </c:pt>
                <c:pt idx="17">
                  <c:v>152.03628046850326</c:v>
                </c:pt>
                <c:pt idx="18">
                  <c:v>148.43628046850313</c:v>
                </c:pt>
                <c:pt idx="19">
                  <c:v>179.71128046850299</c:v>
                </c:pt>
                <c:pt idx="20">
                  <c:v>207.94768197455119</c:v>
                </c:pt>
                <c:pt idx="21">
                  <c:v>228.23126460466233</c:v>
                </c:pt>
                <c:pt idx="22">
                  <c:v>230.69126460466259</c:v>
                </c:pt>
                <c:pt idx="23">
                  <c:v>223.01037406662908</c:v>
                </c:pt>
                <c:pt idx="24">
                  <c:v>165.19037406662915</c:v>
                </c:pt>
                <c:pt idx="25">
                  <c:v>-40.989625933370803</c:v>
                </c:pt>
                <c:pt idx="26">
                  <c:v>-14.289625933370758</c:v>
                </c:pt>
                <c:pt idx="27">
                  <c:v>-52.539625933370758</c:v>
                </c:pt>
                <c:pt idx="28">
                  <c:v>-119.73962593337058</c:v>
                </c:pt>
                <c:pt idx="29">
                  <c:v>-90.264625933370439</c:v>
                </c:pt>
                <c:pt idx="30">
                  <c:v>-129.06462593337039</c:v>
                </c:pt>
                <c:pt idx="31">
                  <c:v>-96.964625933370371</c:v>
                </c:pt>
                <c:pt idx="32">
                  <c:v>-131.36462593337046</c:v>
                </c:pt>
                <c:pt idx="33">
                  <c:v>-131.21462593337037</c:v>
                </c:pt>
                <c:pt idx="34">
                  <c:v>-193.96462593337014</c:v>
                </c:pt>
                <c:pt idx="35">
                  <c:v>-243.04462593337018</c:v>
                </c:pt>
                <c:pt idx="36">
                  <c:v>-266.62462593337011</c:v>
                </c:pt>
                <c:pt idx="37">
                  <c:v>-252.97462593337002</c:v>
                </c:pt>
                <c:pt idx="38">
                  <c:v>-241.60462593337002</c:v>
                </c:pt>
                <c:pt idx="39">
                  <c:v>-237.0146259333701</c:v>
                </c:pt>
                <c:pt idx="40">
                  <c:v>-366.88962593336987</c:v>
                </c:pt>
                <c:pt idx="41">
                  <c:v>-409.33962593337014</c:v>
                </c:pt>
                <c:pt idx="42">
                  <c:v>-310.06462593336983</c:v>
                </c:pt>
                <c:pt idx="43">
                  <c:v>-253.01462593336987</c:v>
                </c:pt>
                <c:pt idx="44">
                  <c:v>-276.51462593336987</c:v>
                </c:pt>
                <c:pt idx="45">
                  <c:v>-277.35462593336979</c:v>
                </c:pt>
                <c:pt idx="46">
                  <c:v>-370.27962593336974</c:v>
                </c:pt>
                <c:pt idx="47">
                  <c:v>-463.43962593336983</c:v>
                </c:pt>
                <c:pt idx="48">
                  <c:v>-501.00962593336976</c:v>
                </c:pt>
                <c:pt idx="49">
                  <c:v>-608.22263972975429</c:v>
                </c:pt>
                <c:pt idx="50">
                  <c:v>-666.44369563037503</c:v>
                </c:pt>
                <c:pt idx="51">
                  <c:v>-601.68869563037492</c:v>
                </c:pt>
                <c:pt idx="52">
                  <c:v>-694.23869563037488</c:v>
                </c:pt>
                <c:pt idx="53">
                  <c:v>-669.94869563037491</c:v>
                </c:pt>
                <c:pt idx="54">
                  <c:v>-627.42869563037493</c:v>
                </c:pt>
                <c:pt idx="55">
                  <c:v>-599.90869563037495</c:v>
                </c:pt>
                <c:pt idx="56">
                  <c:v>-631.108695630375</c:v>
                </c:pt>
                <c:pt idx="57">
                  <c:v>-540.05869563037493</c:v>
                </c:pt>
                <c:pt idx="58">
                  <c:v>-506.05869563037493</c:v>
                </c:pt>
                <c:pt idx="59">
                  <c:v>-455.38869563037485</c:v>
                </c:pt>
                <c:pt idx="60">
                  <c:v>-433.48869563037476</c:v>
                </c:pt>
                <c:pt idx="61">
                  <c:v>-349.57869563037468</c:v>
                </c:pt>
                <c:pt idx="62">
                  <c:v>-226.33869563037467</c:v>
                </c:pt>
                <c:pt idx="63">
                  <c:v>-181.15869563037472</c:v>
                </c:pt>
                <c:pt idx="64">
                  <c:v>-193.90869563037484</c:v>
                </c:pt>
                <c:pt idx="65">
                  <c:v>-136.50869563037486</c:v>
                </c:pt>
                <c:pt idx="66">
                  <c:v>-151.50869563037486</c:v>
                </c:pt>
                <c:pt idx="67">
                  <c:v>-195.14869563037485</c:v>
                </c:pt>
                <c:pt idx="68">
                  <c:v>-189.74869563037475</c:v>
                </c:pt>
                <c:pt idx="69">
                  <c:v>-165.59869563037478</c:v>
                </c:pt>
                <c:pt idx="70">
                  <c:v>-133.87869563037475</c:v>
                </c:pt>
                <c:pt idx="71">
                  <c:v>-160.62369563037487</c:v>
                </c:pt>
                <c:pt idx="72">
                  <c:v>-113.18369563037481</c:v>
                </c:pt>
                <c:pt idx="73">
                  <c:v>-122.69369563037492</c:v>
                </c:pt>
                <c:pt idx="74">
                  <c:v>-83.093695630374896</c:v>
                </c:pt>
                <c:pt idx="75">
                  <c:v>-107.17369563037494</c:v>
                </c:pt>
                <c:pt idx="76">
                  <c:v>-44.773695630374959</c:v>
                </c:pt>
                <c:pt idx="77">
                  <c:v>-60.023695630375073</c:v>
                </c:pt>
                <c:pt idx="78">
                  <c:v>-117.24369563037499</c:v>
                </c:pt>
                <c:pt idx="79">
                  <c:v>-119.46882652042734</c:v>
                </c:pt>
                <c:pt idx="80">
                  <c:v>-111.98882652042721</c:v>
                </c:pt>
                <c:pt idx="81">
                  <c:v>-156.86882652042732</c:v>
                </c:pt>
                <c:pt idx="82">
                  <c:v>-192.14882652042729</c:v>
                </c:pt>
                <c:pt idx="83">
                  <c:v>-218.24882652042731</c:v>
                </c:pt>
                <c:pt idx="84">
                  <c:v>-314.48882652042732</c:v>
                </c:pt>
                <c:pt idx="85">
                  <c:v>-323.98882652042732</c:v>
                </c:pt>
                <c:pt idx="86">
                  <c:v>-350.1388265204273</c:v>
                </c:pt>
                <c:pt idx="87">
                  <c:v>-349.61882652042732</c:v>
                </c:pt>
                <c:pt idx="88">
                  <c:v>-303.49882652042731</c:v>
                </c:pt>
                <c:pt idx="89">
                  <c:v>-320.29882652042738</c:v>
                </c:pt>
                <c:pt idx="90">
                  <c:v>-258.04882652042738</c:v>
                </c:pt>
                <c:pt idx="91">
                  <c:v>-268.54882652042738</c:v>
                </c:pt>
                <c:pt idx="92">
                  <c:v>-254.14882652042741</c:v>
                </c:pt>
                <c:pt idx="93">
                  <c:v>-297.89759402190646</c:v>
                </c:pt>
                <c:pt idx="94">
                  <c:v>-329.74759402190648</c:v>
                </c:pt>
                <c:pt idx="95">
                  <c:v>-325.14759402190646</c:v>
                </c:pt>
                <c:pt idx="96">
                  <c:v>-320.28759402190644</c:v>
                </c:pt>
                <c:pt idx="97">
                  <c:v>-309.66759402190644</c:v>
                </c:pt>
                <c:pt idx="98">
                  <c:v>-328.56759402190653</c:v>
                </c:pt>
                <c:pt idx="99">
                  <c:v>-361.16759402190655</c:v>
                </c:pt>
                <c:pt idx="100">
                  <c:v>-424.52759402190657</c:v>
                </c:pt>
                <c:pt idx="101">
                  <c:v>-448.77759402190657</c:v>
                </c:pt>
                <c:pt idx="102">
                  <c:v>-449.77759402190657</c:v>
                </c:pt>
                <c:pt idx="103">
                  <c:v>-525.89759402190657</c:v>
                </c:pt>
                <c:pt idx="104">
                  <c:v>-527.33759402190651</c:v>
                </c:pt>
                <c:pt idx="105">
                  <c:v>-486.80259402190654</c:v>
                </c:pt>
                <c:pt idx="106">
                  <c:v>-475.48259402190649</c:v>
                </c:pt>
                <c:pt idx="107">
                  <c:v>-554.68259402190643</c:v>
                </c:pt>
                <c:pt idx="108">
                  <c:v>-520.90259402190645</c:v>
                </c:pt>
                <c:pt idx="109">
                  <c:v>-583.36259402190626</c:v>
                </c:pt>
                <c:pt idx="110">
                  <c:v>-567.36259402190626</c:v>
                </c:pt>
                <c:pt idx="111">
                  <c:v>-554.67259402190621</c:v>
                </c:pt>
                <c:pt idx="112">
                  <c:v>-528.15259402190622</c:v>
                </c:pt>
                <c:pt idx="113">
                  <c:v>-494.47182671026906</c:v>
                </c:pt>
                <c:pt idx="114">
                  <c:v>-466.57182671026908</c:v>
                </c:pt>
                <c:pt idx="115">
                  <c:v>-394.06182671026909</c:v>
                </c:pt>
                <c:pt idx="116">
                  <c:v>-368.56182671026909</c:v>
                </c:pt>
                <c:pt idx="117">
                  <c:v>-345.26363589938808</c:v>
                </c:pt>
                <c:pt idx="118">
                  <c:v>-270.2036358993879</c:v>
                </c:pt>
                <c:pt idx="119">
                  <c:v>-297.26363589938785</c:v>
                </c:pt>
                <c:pt idx="120">
                  <c:v>-284.12363589938798</c:v>
                </c:pt>
                <c:pt idx="121">
                  <c:v>-309.52363589938807</c:v>
                </c:pt>
                <c:pt idx="122">
                  <c:v>-381.52363589938784</c:v>
                </c:pt>
                <c:pt idx="123">
                  <c:v>-401.68363589938792</c:v>
                </c:pt>
                <c:pt idx="124">
                  <c:v>-328.05863589938781</c:v>
                </c:pt>
                <c:pt idx="125">
                  <c:v>-312.4586358993879</c:v>
                </c:pt>
                <c:pt idx="126">
                  <c:v>-285.4586358993879</c:v>
                </c:pt>
                <c:pt idx="127">
                  <c:v>-324.75863589938808</c:v>
                </c:pt>
                <c:pt idx="128">
                  <c:v>-309.75863589938808</c:v>
                </c:pt>
                <c:pt idx="129">
                  <c:v>-334.39863589938795</c:v>
                </c:pt>
                <c:pt idx="130">
                  <c:v>-365.35863589938788</c:v>
                </c:pt>
                <c:pt idx="131">
                  <c:v>-379.49863589938786</c:v>
                </c:pt>
                <c:pt idx="132">
                  <c:v>-406.098635899388</c:v>
                </c:pt>
                <c:pt idx="133">
                  <c:v>-352.29863589938782</c:v>
                </c:pt>
                <c:pt idx="134">
                  <c:v>-323.45863589938779</c:v>
                </c:pt>
                <c:pt idx="135">
                  <c:v>-302.75863589938774</c:v>
                </c:pt>
                <c:pt idx="136">
                  <c:v>-291.85863589938765</c:v>
                </c:pt>
                <c:pt idx="137">
                  <c:v>-315.6586358993876</c:v>
                </c:pt>
                <c:pt idx="138">
                  <c:v>-306.19863589938757</c:v>
                </c:pt>
                <c:pt idx="139">
                  <c:v>-300.94863589938745</c:v>
                </c:pt>
                <c:pt idx="140">
                  <c:v>-309.34863589938755</c:v>
                </c:pt>
                <c:pt idx="141">
                  <c:v>-335.22863589938754</c:v>
                </c:pt>
                <c:pt idx="142">
                  <c:v>-409.70863589938756</c:v>
                </c:pt>
                <c:pt idx="143">
                  <c:v>-432.74863589938752</c:v>
                </c:pt>
                <c:pt idx="144">
                  <c:v>-435.63863589938751</c:v>
                </c:pt>
                <c:pt idx="145">
                  <c:v>-337.41863589938748</c:v>
                </c:pt>
                <c:pt idx="146">
                  <c:v>-365.13863589938751</c:v>
                </c:pt>
                <c:pt idx="147">
                  <c:v>-399.08863589938755</c:v>
                </c:pt>
                <c:pt idx="148">
                  <c:v>-329.33863589938755</c:v>
                </c:pt>
                <c:pt idx="149">
                  <c:v>-266.43863589938746</c:v>
                </c:pt>
                <c:pt idx="150">
                  <c:v>-281.17863589938747</c:v>
                </c:pt>
                <c:pt idx="151">
                  <c:v>-209.22363589938732</c:v>
                </c:pt>
                <c:pt idx="152">
                  <c:v>-64.023635899387273</c:v>
                </c:pt>
                <c:pt idx="153">
                  <c:v>-165.78363589938715</c:v>
                </c:pt>
                <c:pt idx="154">
                  <c:v>-187.02363589938716</c:v>
                </c:pt>
                <c:pt idx="155">
                  <c:v>-230.80363589938713</c:v>
                </c:pt>
                <c:pt idx="156">
                  <c:v>-98.923635899387023</c:v>
                </c:pt>
                <c:pt idx="157">
                  <c:v>-94.12363589938704</c:v>
                </c:pt>
                <c:pt idx="158">
                  <c:v>-67.113635899387049</c:v>
                </c:pt>
                <c:pt idx="159">
                  <c:v>-203.76363589938703</c:v>
                </c:pt>
                <c:pt idx="160">
                  <c:v>-167.46363589938719</c:v>
                </c:pt>
                <c:pt idx="161">
                  <c:v>-101.31363589938721</c:v>
                </c:pt>
                <c:pt idx="162">
                  <c:v>-80.513635899387253</c:v>
                </c:pt>
                <c:pt idx="163">
                  <c:v>-139.51363589938737</c:v>
                </c:pt>
                <c:pt idx="164">
                  <c:v>-108.27363589938736</c:v>
                </c:pt>
                <c:pt idx="165">
                  <c:v>-46.563635899387322</c:v>
                </c:pt>
                <c:pt idx="166">
                  <c:v>-54.04363589938734</c:v>
                </c:pt>
                <c:pt idx="167">
                  <c:v>-74.163635899387231</c:v>
                </c:pt>
                <c:pt idx="168">
                  <c:v>0.80636410061279662</c:v>
                </c:pt>
                <c:pt idx="169">
                  <c:v>-0.59363589938706696</c:v>
                </c:pt>
                <c:pt idx="170">
                  <c:v>28.116364100612969</c:v>
                </c:pt>
                <c:pt idx="171">
                  <c:v>-62.483635899387053</c:v>
                </c:pt>
                <c:pt idx="172">
                  <c:v>-62.803635899387103</c:v>
                </c:pt>
                <c:pt idx="173">
                  <c:v>-32.203635899387081</c:v>
                </c:pt>
                <c:pt idx="174">
                  <c:v>72.196364100612783</c:v>
                </c:pt>
                <c:pt idx="175">
                  <c:v>179.74636410061274</c:v>
                </c:pt>
                <c:pt idx="176">
                  <c:v>183.59636410061265</c:v>
                </c:pt>
                <c:pt idx="177">
                  <c:v>269.74636410061271</c:v>
                </c:pt>
                <c:pt idx="178">
                  <c:v>290.67636410061255</c:v>
                </c:pt>
                <c:pt idx="179">
                  <c:v>326.85636410061284</c:v>
                </c:pt>
                <c:pt idx="180">
                  <c:v>295.05636410061265</c:v>
                </c:pt>
                <c:pt idx="181">
                  <c:v>272.85636410061261</c:v>
                </c:pt>
                <c:pt idx="182">
                  <c:v>319.95636410061252</c:v>
                </c:pt>
                <c:pt idx="183">
                  <c:v>346.13136410061259</c:v>
                </c:pt>
                <c:pt idx="184">
                  <c:v>245.93136410061277</c:v>
                </c:pt>
                <c:pt idx="185">
                  <c:v>190.63136410061304</c:v>
                </c:pt>
                <c:pt idx="186">
                  <c:v>184.13136410061304</c:v>
                </c:pt>
                <c:pt idx="187">
                  <c:v>214.37136410061305</c:v>
                </c:pt>
                <c:pt idx="188">
                  <c:v>291.73136410061318</c:v>
                </c:pt>
                <c:pt idx="189">
                  <c:v>276.95636410061331</c:v>
                </c:pt>
                <c:pt idx="190">
                  <c:v>325.31636410061344</c:v>
                </c:pt>
                <c:pt idx="191">
                  <c:v>268.91636410061358</c:v>
                </c:pt>
                <c:pt idx="192">
                  <c:v>241.93636410061356</c:v>
                </c:pt>
                <c:pt idx="193">
                  <c:v>371.65636410061359</c:v>
                </c:pt>
                <c:pt idx="194">
                  <c:v>301.44636410061355</c:v>
                </c:pt>
                <c:pt idx="195">
                  <c:v>309.69636410061355</c:v>
                </c:pt>
                <c:pt idx="196">
                  <c:v>313.57636410061366</c:v>
                </c:pt>
                <c:pt idx="197">
                  <c:v>328.65636410061359</c:v>
                </c:pt>
                <c:pt idx="198">
                  <c:v>335.04636410061369</c:v>
                </c:pt>
                <c:pt idx="199">
                  <c:v>384.92636410061357</c:v>
                </c:pt>
                <c:pt idx="200">
                  <c:v>365.44136410061355</c:v>
                </c:pt>
                <c:pt idx="201">
                  <c:v>436.0013641006135</c:v>
                </c:pt>
                <c:pt idx="202">
                  <c:v>454.74136410061351</c:v>
                </c:pt>
                <c:pt idx="203">
                  <c:v>445.78136410061347</c:v>
                </c:pt>
                <c:pt idx="204">
                  <c:v>467.19136410061355</c:v>
                </c:pt>
                <c:pt idx="205">
                  <c:v>397.28636410061358</c:v>
                </c:pt>
                <c:pt idx="206">
                  <c:v>468.34636410061364</c:v>
                </c:pt>
                <c:pt idx="207">
                  <c:v>456.73636410061374</c:v>
                </c:pt>
                <c:pt idx="208">
                  <c:v>446.7763641006137</c:v>
                </c:pt>
                <c:pt idx="209">
                  <c:v>462.97636410061375</c:v>
                </c:pt>
                <c:pt idx="210">
                  <c:v>408.0263641006137</c:v>
                </c:pt>
                <c:pt idx="211">
                  <c:v>376.44636410061366</c:v>
                </c:pt>
                <c:pt idx="212">
                  <c:v>365.2886520091688</c:v>
                </c:pt>
                <c:pt idx="213">
                  <c:v>371.44865200916865</c:v>
                </c:pt>
                <c:pt idx="214">
                  <c:v>408.6486520091687</c:v>
                </c:pt>
                <c:pt idx="215">
                  <c:v>315.40865200916869</c:v>
                </c:pt>
                <c:pt idx="216">
                  <c:v>408.04865200916879</c:v>
                </c:pt>
                <c:pt idx="217">
                  <c:v>463.20865200916876</c:v>
                </c:pt>
                <c:pt idx="218">
                  <c:v>428.9086520091688</c:v>
                </c:pt>
                <c:pt idx="219">
                  <c:v>538.98865200916873</c:v>
                </c:pt>
                <c:pt idx="220">
                  <c:v>571.20865200916876</c:v>
                </c:pt>
                <c:pt idx="221">
                  <c:v>608.8086520091689</c:v>
                </c:pt>
                <c:pt idx="222">
                  <c:v>622.10865200916885</c:v>
                </c:pt>
                <c:pt idx="223">
                  <c:v>601.22865200916885</c:v>
                </c:pt>
                <c:pt idx="224">
                  <c:v>627.32865200916876</c:v>
                </c:pt>
                <c:pt idx="225">
                  <c:v>599.51865200916882</c:v>
                </c:pt>
                <c:pt idx="226">
                  <c:v>477.81865200916889</c:v>
                </c:pt>
                <c:pt idx="227">
                  <c:v>510.48865200916896</c:v>
                </c:pt>
                <c:pt idx="228">
                  <c:v>510.08865200916887</c:v>
                </c:pt>
                <c:pt idx="229">
                  <c:v>507.14865200916881</c:v>
                </c:pt>
                <c:pt idx="230">
                  <c:v>556.64865200916904</c:v>
                </c:pt>
                <c:pt idx="231">
                  <c:v>518.01092465120939</c:v>
                </c:pt>
                <c:pt idx="232">
                  <c:v>569.07092465120934</c:v>
                </c:pt>
                <c:pt idx="233">
                  <c:v>599.95092465120945</c:v>
                </c:pt>
                <c:pt idx="234">
                  <c:v>639.35092465120931</c:v>
                </c:pt>
                <c:pt idx="235">
                  <c:v>621.19092465120923</c:v>
                </c:pt>
                <c:pt idx="236">
                  <c:v>732.41592465120925</c:v>
                </c:pt>
                <c:pt idx="237">
                  <c:v>729.1159246512093</c:v>
                </c:pt>
                <c:pt idx="238">
                  <c:v>611.15592465120903</c:v>
                </c:pt>
                <c:pt idx="239">
                  <c:v>613.87592465120906</c:v>
                </c:pt>
                <c:pt idx="240">
                  <c:v>620.87592465120883</c:v>
                </c:pt>
                <c:pt idx="241">
                  <c:v>818.20092465120877</c:v>
                </c:pt>
                <c:pt idx="242">
                  <c:v>825.61092465120907</c:v>
                </c:pt>
                <c:pt idx="243">
                  <c:v>851.80092465120936</c:v>
                </c:pt>
                <c:pt idx="244">
                  <c:v>786.37092465120952</c:v>
                </c:pt>
                <c:pt idx="245">
                  <c:v>810.19092465120946</c:v>
                </c:pt>
                <c:pt idx="246">
                  <c:v>790.79092465120937</c:v>
                </c:pt>
                <c:pt idx="247">
                  <c:v>774.64092465120927</c:v>
                </c:pt>
                <c:pt idx="248">
                  <c:v>746.69092465120923</c:v>
                </c:pt>
                <c:pt idx="249">
                  <c:v>719.690924651209</c:v>
                </c:pt>
                <c:pt idx="250">
                  <c:v>753.17092465120902</c:v>
                </c:pt>
                <c:pt idx="251">
                  <c:v>689.37092465120907</c:v>
                </c:pt>
                <c:pt idx="252">
                  <c:v>652.89092465120905</c:v>
                </c:pt>
                <c:pt idx="253">
                  <c:v>700.38392465120899</c:v>
                </c:pt>
                <c:pt idx="254">
                  <c:v>704.52392465120909</c:v>
                </c:pt>
                <c:pt idx="255">
                  <c:v>739.64392465120898</c:v>
                </c:pt>
                <c:pt idx="256">
                  <c:v>730.84392465120902</c:v>
                </c:pt>
                <c:pt idx="257">
                  <c:v>628.97432781837381</c:v>
                </c:pt>
                <c:pt idx="258">
                  <c:v>609.37432781837367</c:v>
                </c:pt>
                <c:pt idx="259">
                  <c:v>552.47432781837369</c:v>
                </c:pt>
                <c:pt idx="260">
                  <c:v>580.76432781837366</c:v>
                </c:pt>
                <c:pt idx="261">
                  <c:v>560.84432781837359</c:v>
                </c:pt>
                <c:pt idx="262">
                  <c:v>578.13432781837355</c:v>
                </c:pt>
                <c:pt idx="263">
                  <c:v>559.53432781837364</c:v>
                </c:pt>
                <c:pt idx="264">
                  <c:v>527.8543278183738</c:v>
                </c:pt>
                <c:pt idx="265">
                  <c:v>544.41432781837375</c:v>
                </c:pt>
                <c:pt idx="266">
                  <c:v>588.76432781837343</c:v>
                </c:pt>
                <c:pt idx="267">
                  <c:v>600.24432781837345</c:v>
                </c:pt>
                <c:pt idx="268">
                  <c:v>589.12432781837356</c:v>
                </c:pt>
                <c:pt idx="269">
                  <c:v>667.42432781837351</c:v>
                </c:pt>
                <c:pt idx="270">
                  <c:v>686.6843278183735</c:v>
                </c:pt>
                <c:pt idx="271">
                  <c:v>675.34432781837359</c:v>
                </c:pt>
                <c:pt idx="272">
                  <c:v>685.64432781837354</c:v>
                </c:pt>
                <c:pt idx="273">
                  <c:v>619.85075430328084</c:v>
                </c:pt>
                <c:pt idx="274">
                  <c:v>579.72575430328084</c:v>
                </c:pt>
                <c:pt idx="275">
                  <c:v>603.8757543032807</c:v>
                </c:pt>
                <c:pt idx="276">
                  <c:v>578.31575430328076</c:v>
                </c:pt>
                <c:pt idx="277">
                  <c:v>606.03575430328078</c:v>
                </c:pt>
                <c:pt idx="278">
                  <c:v>629.03575430328078</c:v>
                </c:pt>
                <c:pt idx="279">
                  <c:v>631.53575430328078</c:v>
                </c:pt>
                <c:pt idx="280">
                  <c:v>662.97575430328084</c:v>
                </c:pt>
                <c:pt idx="281">
                  <c:v>599.4057543032809</c:v>
                </c:pt>
                <c:pt idx="282">
                  <c:v>647.45575430328086</c:v>
                </c:pt>
                <c:pt idx="283">
                  <c:v>559.60575430328095</c:v>
                </c:pt>
                <c:pt idx="284">
                  <c:v>557.20575430328097</c:v>
                </c:pt>
                <c:pt idx="285">
                  <c:v>500.05575430328088</c:v>
                </c:pt>
                <c:pt idx="286">
                  <c:v>537.57575430328086</c:v>
                </c:pt>
                <c:pt idx="287">
                  <c:v>540.86575430328082</c:v>
                </c:pt>
                <c:pt idx="288">
                  <c:v>675.61575430328082</c:v>
                </c:pt>
                <c:pt idx="289">
                  <c:v>643.81575430328064</c:v>
                </c:pt>
                <c:pt idx="290">
                  <c:v>640.09575430328061</c:v>
                </c:pt>
                <c:pt idx="291">
                  <c:v>710.09575430328061</c:v>
                </c:pt>
                <c:pt idx="292">
                  <c:v>653.34575430328061</c:v>
                </c:pt>
                <c:pt idx="293">
                  <c:v>598.94575430328052</c:v>
                </c:pt>
                <c:pt idx="294">
                  <c:v>465.69575430328052</c:v>
                </c:pt>
                <c:pt idx="295">
                  <c:v>430.59575430328061</c:v>
                </c:pt>
                <c:pt idx="296">
                  <c:v>346.0057543032807</c:v>
                </c:pt>
                <c:pt idx="297">
                  <c:v>365.0057543032807</c:v>
                </c:pt>
                <c:pt idx="298">
                  <c:v>325.0057543032807</c:v>
                </c:pt>
                <c:pt idx="299">
                  <c:v>325.0057543032807</c:v>
                </c:pt>
                <c:pt idx="300">
                  <c:v>327.34575430328084</c:v>
                </c:pt>
                <c:pt idx="301">
                  <c:v>416.46575430328073</c:v>
                </c:pt>
                <c:pt idx="302">
                  <c:v>415.83575430328062</c:v>
                </c:pt>
                <c:pt idx="303">
                  <c:v>456.68575430328053</c:v>
                </c:pt>
                <c:pt idx="304">
                  <c:v>356.36575430328037</c:v>
                </c:pt>
                <c:pt idx="305">
                  <c:v>428.01575430328046</c:v>
                </c:pt>
                <c:pt idx="306">
                  <c:v>590.17575430328054</c:v>
                </c:pt>
                <c:pt idx="307">
                  <c:v>642.9757543032805</c:v>
                </c:pt>
                <c:pt idx="308">
                  <c:v>671.8000273753413</c:v>
                </c:pt>
                <c:pt idx="309">
                  <c:v>741.3000273753413</c:v>
                </c:pt>
                <c:pt idx="310">
                  <c:v>734.90002737534144</c:v>
                </c:pt>
                <c:pt idx="311">
                  <c:v>829.1900273753414</c:v>
                </c:pt>
                <c:pt idx="312">
                  <c:v>804.44002737534117</c:v>
                </c:pt>
                <c:pt idx="313">
                  <c:v>871.04002737534108</c:v>
                </c:pt>
                <c:pt idx="314">
                  <c:v>827.04002737534108</c:v>
                </c:pt>
                <c:pt idx="315">
                  <c:v>877.04002737534108</c:v>
                </c:pt>
                <c:pt idx="316">
                  <c:v>921.54002737534108</c:v>
                </c:pt>
                <c:pt idx="317">
                  <c:v>947.46002737534116</c:v>
                </c:pt>
                <c:pt idx="318">
                  <c:v>832.94437556162427</c:v>
                </c:pt>
                <c:pt idx="319">
                  <c:v>977.06437556162416</c:v>
                </c:pt>
                <c:pt idx="320">
                  <c:v>1011.224375561624</c:v>
                </c:pt>
                <c:pt idx="321">
                  <c:v>1034.4243755616239</c:v>
                </c:pt>
                <c:pt idx="322">
                  <c:v>1058.364375561624</c:v>
                </c:pt>
                <c:pt idx="323">
                  <c:v>941.114375561624</c:v>
                </c:pt>
                <c:pt idx="324">
                  <c:v>782.47437556162413</c:v>
                </c:pt>
                <c:pt idx="325">
                  <c:v>837.72437556162413</c:v>
                </c:pt>
                <c:pt idx="326">
                  <c:v>723.7243755616239</c:v>
                </c:pt>
                <c:pt idx="327">
                  <c:v>708.76437556162386</c:v>
                </c:pt>
                <c:pt idx="328">
                  <c:v>651.83937556162391</c:v>
                </c:pt>
                <c:pt idx="329">
                  <c:v>694.30937556162417</c:v>
                </c:pt>
                <c:pt idx="330">
                  <c:v>755.35937556162412</c:v>
                </c:pt>
                <c:pt idx="331">
                  <c:v>780.07937556162415</c:v>
                </c:pt>
                <c:pt idx="332">
                  <c:v>856.87937556162433</c:v>
                </c:pt>
                <c:pt idx="333">
                  <c:v>892.47937556162447</c:v>
                </c:pt>
                <c:pt idx="334">
                  <c:v>908.27437556162454</c:v>
                </c:pt>
                <c:pt idx="335">
                  <c:v>967.82437556162472</c:v>
                </c:pt>
                <c:pt idx="336">
                  <c:v>934.93437556162462</c:v>
                </c:pt>
                <c:pt idx="337">
                  <c:v>1084.0343755616248</c:v>
                </c:pt>
                <c:pt idx="338">
                  <c:v>1105.2343755616248</c:v>
                </c:pt>
                <c:pt idx="339">
                  <c:v>1060.9943755616248</c:v>
                </c:pt>
                <c:pt idx="340">
                  <c:v>851.41437556162475</c:v>
                </c:pt>
                <c:pt idx="341">
                  <c:v>844.7543755616249</c:v>
                </c:pt>
                <c:pt idx="342">
                  <c:v>875.55437556162508</c:v>
                </c:pt>
                <c:pt idx="343">
                  <c:v>903.51437556162512</c:v>
                </c:pt>
                <c:pt idx="344">
                  <c:v>824.01437556162512</c:v>
                </c:pt>
                <c:pt idx="345">
                  <c:v>755.97437556162515</c:v>
                </c:pt>
                <c:pt idx="346">
                  <c:v>725.09937556162515</c:v>
                </c:pt>
                <c:pt idx="347">
                  <c:v>728.39937556162511</c:v>
                </c:pt>
                <c:pt idx="348">
                  <c:v>719.69937556162529</c:v>
                </c:pt>
                <c:pt idx="349">
                  <c:v>681.89937556162511</c:v>
                </c:pt>
                <c:pt idx="350">
                  <c:v>774.57937556162517</c:v>
                </c:pt>
                <c:pt idx="351">
                  <c:v>748.57937556162517</c:v>
                </c:pt>
                <c:pt idx="352">
                  <c:v>744.01937556162522</c:v>
                </c:pt>
                <c:pt idx="353">
                  <c:v>693.46937556162504</c:v>
                </c:pt>
                <c:pt idx="354">
                  <c:v>721.84937556162492</c:v>
                </c:pt>
                <c:pt idx="355">
                  <c:v>630.48937556162502</c:v>
                </c:pt>
                <c:pt idx="356">
                  <c:v>561.84937556162492</c:v>
                </c:pt>
                <c:pt idx="357">
                  <c:v>871.55437556162485</c:v>
                </c:pt>
                <c:pt idx="358">
                  <c:v>979.41437556162475</c:v>
                </c:pt>
                <c:pt idx="359">
                  <c:v>820.56437556162462</c:v>
                </c:pt>
                <c:pt idx="360">
                  <c:v>668.18937556162462</c:v>
                </c:pt>
                <c:pt idx="361">
                  <c:v>668.18937556162462</c:v>
                </c:pt>
                <c:pt idx="362">
                  <c:v>818.22937556162458</c:v>
                </c:pt>
                <c:pt idx="363">
                  <c:v>638.37937556162467</c:v>
                </c:pt>
                <c:pt idx="364">
                  <c:v>615.93937556162462</c:v>
                </c:pt>
                <c:pt idx="365">
                  <c:v>561.65937556162442</c:v>
                </c:pt>
                <c:pt idx="366">
                  <c:v>53.789375561624752</c:v>
                </c:pt>
                <c:pt idx="367">
                  <c:v>-28.850624438375348</c:v>
                </c:pt>
                <c:pt idx="368">
                  <c:v>246.69937556162483</c:v>
                </c:pt>
                <c:pt idx="369">
                  <c:v>278.40937556162487</c:v>
                </c:pt>
                <c:pt idx="370">
                  <c:v>300.84937556162492</c:v>
                </c:pt>
                <c:pt idx="371">
                  <c:v>375.24937556162502</c:v>
                </c:pt>
                <c:pt idx="372">
                  <c:v>313.04937556162497</c:v>
                </c:pt>
                <c:pt idx="373">
                  <c:v>385.88937556162512</c:v>
                </c:pt>
                <c:pt idx="374">
                  <c:v>589.37937556162512</c:v>
                </c:pt>
                <c:pt idx="375">
                  <c:v>420.12937556162512</c:v>
                </c:pt>
                <c:pt idx="376">
                  <c:v>334.68937556162507</c:v>
                </c:pt>
                <c:pt idx="377">
                  <c:v>539.28937556162498</c:v>
                </c:pt>
                <c:pt idx="378">
                  <c:v>351.60937556162492</c:v>
                </c:pt>
                <c:pt idx="379">
                  <c:v>315.10937556162492</c:v>
                </c:pt>
                <c:pt idx="380">
                  <c:v>255.25937556162523</c:v>
                </c:pt>
                <c:pt idx="381">
                  <c:v>351.50607492035772</c:v>
                </c:pt>
                <c:pt idx="382">
                  <c:v>476.30607492035745</c:v>
                </c:pt>
                <c:pt idx="383">
                  <c:v>677.90607492035736</c:v>
                </c:pt>
                <c:pt idx="384">
                  <c:v>664.1060749203574</c:v>
                </c:pt>
                <c:pt idx="385">
                  <c:v>730.04607492035723</c:v>
                </c:pt>
                <c:pt idx="386">
                  <c:v>517.04607492035723</c:v>
                </c:pt>
                <c:pt idx="387">
                  <c:v>575.64607492035691</c:v>
                </c:pt>
                <c:pt idx="388">
                  <c:v>321.64607492035691</c:v>
                </c:pt>
                <c:pt idx="389">
                  <c:v>308.7660749203568</c:v>
                </c:pt>
                <c:pt idx="390">
                  <c:v>447.8760749203567</c:v>
                </c:pt>
                <c:pt idx="391">
                  <c:v>415.47607492035661</c:v>
                </c:pt>
                <c:pt idx="392">
                  <c:v>552.53607492035633</c:v>
                </c:pt>
                <c:pt idx="393">
                  <c:v>485.71607492035639</c:v>
                </c:pt>
                <c:pt idx="394">
                  <c:v>593.87607492035625</c:v>
                </c:pt>
                <c:pt idx="395">
                  <c:v>421.37607492035625</c:v>
                </c:pt>
                <c:pt idx="396">
                  <c:v>319.37607492035625</c:v>
                </c:pt>
                <c:pt idx="397">
                  <c:v>437.77607492035634</c:v>
                </c:pt>
                <c:pt idx="398">
                  <c:v>612.07607492035629</c:v>
                </c:pt>
                <c:pt idx="399">
                  <c:v>525.15107492035634</c:v>
                </c:pt>
                <c:pt idx="400">
                  <c:v>508.65107492035634</c:v>
                </c:pt>
                <c:pt idx="401">
                  <c:v>396.17107492035632</c:v>
                </c:pt>
                <c:pt idx="402">
                  <c:v>170.49107492035625</c:v>
                </c:pt>
                <c:pt idx="403">
                  <c:v>126.54107492035598</c:v>
                </c:pt>
                <c:pt idx="404">
                  <c:v>296.73107492035581</c:v>
                </c:pt>
                <c:pt idx="405">
                  <c:v>252.29107492035598</c:v>
                </c:pt>
                <c:pt idx="406">
                  <c:v>75.981074920355809</c:v>
                </c:pt>
                <c:pt idx="407">
                  <c:v>-48.218925079644237</c:v>
                </c:pt>
                <c:pt idx="408">
                  <c:v>60.421074920355863</c:v>
                </c:pt>
                <c:pt idx="409">
                  <c:v>123.96107492035583</c:v>
                </c:pt>
                <c:pt idx="410">
                  <c:v>191.17107492035586</c:v>
                </c:pt>
                <c:pt idx="411">
                  <c:v>221.76107492035578</c:v>
                </c:pt>
                <c:pt idx="412">
                  <c:v>226.73077189005278</c:v>
                </c:pt>
                <c:pt idx="413">
                  <c:v>231.24077189005277</c:v>
                </c:pt>
                <c:pt idx="414">
                  <c:v>293.04077189005295</c:v>
                </c:pt>
                <c:pt idx="415">
                  <c:v>327.04077189005295</c:v>
                </c:pt>
                <c:pt idx="416">
                  <c:v>352.12077189005288</c:v>
                </c:pt>
                <c:pt idx="417">
                  <c:v>291.64077189005286</c:v>
                </c:pt>
                <c:pt idx="418">
                  <c:v>451.14077189005309</c:v>
                </c:pt>
              </c:numCache>
              <c:extLst xmlns:c15="http://schemas.microsoft.com/office/drawing/2012/chart"/>
            </c:numRef>
          </c:val>
          <c:smooth val="1"/>
          <c:extLst xmlns:c15="http://schemas.microsoft.com/office/drawing/2012/chart">
            <c:ext xmlns:c16="http://schemas.microsoft.com/office/drawing/2014/chart" uri="{C3380CC4-5D6E-409C-BE32-E72D297353CC}">
              <c16:uniqueId val="{00000000-187C-4E5C-AF5C-3A16EB84652B}"/>
            </c:ext>
          </c:extLst>
        </c:ser>
        <c:ser>
          <c:idx val="0"/>
          <c:order val="1"/>
          <c:tx>
            <c:v>Actual Revenue Curve</c:v>
          </c:tx>
          <c:spPr>
            <a:ln w="28575" cap="rnd">
              <a:solidFill>
                <a:sysClr val="windowText" lastClr="000000"/>
              </a:solidFill>
              <a:round/>
            </a:ln>
            <a:effectLst/>
          </c:spPr>
          <c:marker>
            <c:symbol val="none"/>
          </c:marker>
          <c:dLbls>
            <c:dLbl>
              <c:idx val="19"/>
              <c:layout>
                <c:manualLayout>
                  <c:x val="-3.1687995124923832E-2"/>
                  <c:y val="-2.749140893470790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F24-4A37-ACB7-6B9B5D935FA2}"/>
                </c:ext>
              </c:extLst>
            </c:dLbl>
            <c:dLbl>
              <c:idx val="52"/>
              <c:layout>
                <c:manualLayout>
                  <c:x val="-3.1687995124923825E-2"/>
                  <c:y val="5.891016200294550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225-4B65-BB25-ED05CA296DCF}"/>
                </c:ext>
              </c:extLst>
            </c:dLbl>
            <c:dLbl>
              <c:idx val="144"/>
              <c:layout>
                <c:manualLayout>
                  <c:x val="-5.9583576022908918E-17"/>
                  <c:y val="1.96367206676485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218-4215-BE30-4FCBCA9D2554}"/>
                </c:ext>
              </c:extLst>
            </c:dLbl>
            <c:dLbl>
              <c:idx val="367"/>
              <c:layout>
                <c:manualLayout>
                  <c:x val="-3.0062969733902094E-2"/>
                  <c:y val="9.818360333824107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914-4749-9B2E-9B519C45CD57}"/>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'2025-Q2'!$A$4:$A$422</c:f>
              <c:strCache>
                <c:ptCount val="419"/>
                <c:pt idx="0">
                  <c:v>DAL</c:v>
                </c:pt>
                <c:pt idx="1">
                  <c:v>STZ</c:v>
                </c:pt>
                <c:pt idx="2">
                  <c:v>JPM</c:v>
                </c:pt>
                <c:pt idx="3">
                  <c:v>WFC</c:v>
                </c:pt>
                <c:pt idx="4">
                  <c:v>BLK</c:v>
                </c:pt>
                <c:pt idx="5">
                  <c:v>BK</c:v>
                </c:pt>
                <c:pt idx="6">
                  <c:v>MS</c:v>
                </c:pt>
                <c:pt idx="7">
                  <c:v>FAST</c:v>
                </c:pt>
                <c:pt idx="8">
                  <c:v>GS</c:v>
                </c:pt>
                <c:pt idx="9">
                  <c:v>MTB</c:v>
                </c:pt>
                <c:pt idx="10">
                  <c:v>C</c:v>
                </c:pt>
                <c:pt idx="11">
                  <c:v>BAC</c:v>
                </c:pt>
                <c:pt idx="12">
                  <c:v>PNC</c:v>
                </c:pt>
                <c:pt idx="13">
                  <c:v>JNJ</c:v>
                </c:pt>
                <c:pt idx="14">
                  <c:v>JBHT</c:v>
                </c:pt>
                <c:pt idx="15">
                  <c:v>UAL</c:v>
                </c:pt>
                <c:pt idx="16">
                  <c:v>OMC</c:v>
                </c:pt>
                <c:pt idx="17">
                  <c:v>USB</c:v>
                </c:pt>
                <c:pt idx="18">
                  <c:v>CFG</c:v>
                </c:pt>
                <c:pt idx="19">
                  <c:v>ABT</c:v>
                </c:pt>
                <c:pt idx="20">
                  <c:v>TRV</c:v>
                </c:pt>
                <c:pt idx="21">
                  <c:v>PGR</c:v>
                </c:pt>
                <c:pt idx="22">
                  <c:v>CSX</c:v>
                </c:pt>
                <c:pt idx="23">
                  <c:v>KMI</c:v>
                </c:pt>
                <c:pt idx="24">
                  <c:v>STT</c:v>
                </c:pt>
                <c:pt idx="25">
                  <c:v>UNH</c:v>
                </c:pt>
                <c:pt idx="26">
                  <c:v>TFC</c:v>
                </c:pt>
                <c:pt idx="27">
                  <c:v>HBAN</c:v>
                </c:pt>
                <c:pt idx="28">
                  <c:v>RF</c:v>
                </c:pt>
                <c:pt idx="29">
                  <c:v>SCHW</c:v>
                </c:pt>
                <c:pt idx="30">
                  <c:v>DHI</c:v>
                </c:pt>
                <c:pt idx="31">
                  <c:v>FITB</c:v>
                </c:pt>
                <c:pt idx="32">
                  <c:v>KEY</c:v>
                </c:pt>
                <c:pt idx="33">
                  <c:v>AXP</c:v>
                </c:pt>
                <c:pt idx="34">
                  <c:v>MMC</c:v>
                </c:pt>
                <c:pt idx="35">
                  <c:v>SNA</c:v>
                </c:pt>
                <c:pt idx="36">
                  <c:v>BX</c:v>
                </c:pt>
                <c:pt idx="37">
                  <c:v>ALLY</c:v>
                </c:pt>
                <c:pt idx="38">
                  <c:v>NFLX</c:v>
                </c:pt>
                <c:pt idx="39">
                  <c:v>WRB</c:v>
                </c:pt>
                <c:pt idx="40">
                  <c:v>EFX</c:v>
                </c:pt>
                <c:pt idx="41">
                  <c:v>GPC</c:v>
                </c:pt>
                <c:pt idx="42">
                  <c:v>HAL</c:v>
                </c:pt>
                <c:pt idx="43">
                  <c:v>GE</c:v>
                </c:pt>
                <c:pt idx="44">
                  <c:v>VZ</c:v>
                </c:pt>
                <c:pt idx="45">
                  <c:v>LMT</c:v>
                </c:pt>
                <c:pt idx="46">
                  <c:v>DHR</c:v>
                </c:pt>
                <c:pt idx="47">
                  <c:v>NOC</c:v>
                </c:pt>
                <c:pt idx="48">
                  <c:v>PHM</c:v>
                </c:pt>
                <c:pt idx="49">
                  <c:v>RTX</c:v>
                </c:pt>
                <c:pt idx="50">
                  <c:v>KMB</c:v>
                </c:pt>
                <c:pt idx="51">
                  <c:v>MMM</c:v>
                </c:pt>
                <c:pt idx="52">
                  <c:v>PNR</c:v>
                </c:pt>
                <c:pt idx="53">
                  <c:v>STLD</c:v>
                </c:pt>
                <c:pt idx="54">
                  <c:v>ISRG</c:v>
                </c:pt>
                <c:pt idx="55">
                  <c:v>PKG</c:v>
                </c:pt>
                <c:pt idx="56">
                  <c:v>BKR</c:v>
                </c:pt>
                <c:pt idx="57">
                  <c:v>ENPH</c:v>
                </c:pt>
                <c:pt idx="58">
                  <c:v>COF</c:v>
                </c:pt>
                <c:pt idx="59">
                  <c:v>TSLA</c:v>
                </c:pt>
                <c:pt idx="60">
                  <c:v>EQT</c:v>
                </c:pt>
                <c:pt idx="61">
                  <c:v>GEV</c:v>
                </c:pt>
                <c:pt idx="62">
                  <c:v>APH</c:v>
                </c:pt>
                <c:pt idx="63">
                  <c:v>TEL</c:v>
                </c:pt>
                <c:pt idx="64">
                  <c:v>T</c:v>
                </c:pt>
                <c:pt idx="65">
                  <c:v>BA</c:v>
                </c:pt>
                <c:pt idx="66">
                  <c:v>NSC</c:v>
                </c:pt>
                <c:pt idx="67">
                  <c:v>TMO</c:v>
                </c:pt>
                <c:pt idx="68">
                  <c:v>AVY</c:v>
                </c:pt>
                <c:pt idx="69">
                  <c:v>PM</c:v>
                </c:pt>
                <c:pt idx="70">
                  <c:v>MAS</c:v>
                </c:pt>
                <c:pt idx="71">
                  <c:v>CME</c:v>
                </c:pt>
                <c:pt idx="72">
                  <c:v>WAB</c:v>
                </c:pt>
                <c:pt idx="73">
                  <c:v>GD</c:v>
                </c:pt>
                <c:pt idx="74">
                  <c:v>BSX</c:v>
                </c:pt>
                <c:pt idx="75">
                  <c:v>OTIS</c:v>
                </c:pt>
                <c:pt idx="76">
                  <c:v>TXN</c:v>
                </c:pt>
                <c:pt idx="77">
                  <c:v>DFS</c:v>
                </c:pt>
                <c:pt idx="78">
                  <c:v>IBM</c:v>
                </c:pt>
                <c:pt idx="79">
                  <c:v>LVS</c:v>
                </c:pt>
                <c:pt idx="80">
                  <c:v>CMG</c:v>
                </c:pt>
                <c:pt idx="81">
                  <c:v>EW</c:v>
                </c:pt>
                <c:pt idx="82">
                  <c:v>LRCX</c:v>
                </c:pt>
                <c:pt idx="83">
                  <c:v>LUV</c:v>
                </c:pt>
                <c:pt idx="84">
                  <c:v>FI</c:v>
                </c:pt>
                <c:pt idx="85">
                  <c:v>FCX</c:v>
                </c:pt>
                <c:pt idx="86">
                  <c:v>PG</c:v>
                </c:pt>
                <c:pt idx="87">
                  <c:v>TXT</c:v>
                </c:pt>
                <c:pt idx="88">
                  <c:v>UNP</c:v>
                </c:pt>
                <c:pt idx="89">
                  <c:v>NDAQ</c:v>
                </c:pt>
                <c:pt idx="90">
                  <c:v>CMCSA</c:v>
                </c:pt>
                <c:pt idx="91">
                  <c:v>VLO</c:v>
                </c:pt>
                <c:pt idx="92">
                  <c:v>DOW</c:v>
                </c:pt>
                <c:pt idx="93">
                  <c:v>TSCO</c:v>
                </c:pt>
                <c:pt idx="94">
                  <c:v>DOV</c:v>
                </c:pt>
                <c:pt idx="95">
                  <c:v>MRK</c:v>
                </c:pt>
                <c:pt idx="96">
                  <c:v>PEP</c:v>
                </c:pt>
                <c:pt idx="97">
                  <c:v>BMY</c:v>
                </c:pt>
                <c:pt idx="98">
                  <c:v>IPG</c:v>
                </c:pt>
                <c:pt idx="99">
                  <c:v>LKQ</c:v>
                </c:pt>
                <c:pt idx="100">
                  <c:v>HAS</c:v>
                </c:pt>
                <c:pt idx="101">
                  <c:v>KDP</c:v>
                </c:pt>
                <c:pt idx="102">
                  <c:v>LHX</c:v>
                </c:pt>
                <c:pt idx="103">
                  <c:v>TMUS</c:v>
                </c:pt>
                <c:pt idx="104">
                  <c:v>HIG</c:v>
                </c:pt>
                <c:pt idx="105">
                  <c:v>EMN</c:v>
                </c:pt>
                <c:pt idx="106">
                  <c:v>RSG</c:v>
                </c:pt>
                <c:pt idx="107">
                  <c:v>INTC</c:v>
                </c:pt>
                <c:pt idx="108">
                  <c:v>GOOG</c:v>
                </c:pt>
                <c:pt idx="109">
                  <c:v>GILD</c:v>
                </c:pt>
                <c:pt idx="110">
                  <c:v>SLB</c:v>
                </c:pt>
                <c:pt idx="111">
                  <c:v>PSX</c:v>
                </c:pt>
                <c:pt idx="112">
                  <c:v>HCA</c:v>
                </c:pt>
                <c:pt idx="113">
                  <c:v>ABBV</c:v>
                </c:pt>
                <c:pt idx="114">
                  <c:v>CL</c:v>
                </c:pt>
                <c:pt idx="115">
                  <c:v>CHTR</c:v>
                </c:pt>
                <c:pt idx="116">
                  <c:v>LYB</c:v>
                </c:pt>
                <c:pt idx="117">
                  <c:v>TER</c:v>
                </c:pt>
                <c:pt idx="118">
                  <c:v>CINF</c:v>
                </c:pt>
                <c:pt idx="119">
                  <c:v>UHS</c:v>
                </c:pt>
                <c:pt idx="120">
                  <c:v>NUE</c:v>
                </c:pt>
                <c:pt idx="121">
                  <c:v>WM</c:v>
                </c:pt>
                <c:pt idx="122">
                  <c:v>BRO</c:v>
                </c:pt>
                <c:pt idx="123">
                  <c:v>FFIV</c:v>
                </c:pt>
                <c:pt idx="124">
                  <c:v>NXPI</c:v>
                </c:pt>
                <c:pt idx="125">
                  <c:v>CDNS</c:v>
                </c:pt>
                <c:pt idx="126">
                  <c:v>RCL</c:v>
                </c:pt>
                <c:pt idx="127">
                  <c:v>SHW</c:v>
                </c:pt>
                <c:pt idx="128">
                  <c:v>HLT</c:v>
                </c:pt>
                <c:pt idx="129">
                  <c:v>AOS</c:v>
                </c:pt>
                <c:pt idx="130">
                  <c:v>LH</c:v>
                </c:pt>
                <c:pt idx="131">
                  <c:v>SPGI</c:v>
                </c:pt>
                <c:pt idx="132">
                  <c:v>GM</c:v>
                </c:pt>
                <c:pt idx="133">
                  <c:v>PCAR</c:v>
                </c:pt>
                <c:pt idx="134">
                  <c:v>SYY</c:v>
                </c:pt>
                <c:pt idx="135">
                  <c:v>GLW</c:v>
                </c:pt>
                <c:pt idx="136">
                  <c:v>UPS</c:v>
                </c:pt>
                <c:pt idx="137">
                  <c:v>MO</c:v>
                </c:pt>
                <c:pt idx="138">
                  <c:v>PFE</c:v>
                </c:pt>
                <c:pt idx="139">
                  <c:v>AMCR</c:v>
                </c:pt>
                <c:pt idx="140">
                  <c:v>KO</c:v>
                </c:pt>
                <c:pt idx="141">
                  <c:v>ECL</c:v>
                </c:pt>
                <c:pt idx="142">
                  <c:v>ZBRA</c:v>
                </c:pt>
                <c:pt idx="143">
                  <c:v>PYPL</c:v>
                </c:pt>
                <c:pt idx="144">
                  <c:v>KHC</c:v>
                </c:pt>
                <c:pt idx="145">
                  <c:v>REGN</c:v>
                </c:pt>
                <c:pt idx="146">
                  <c:v>XYL</c:v>
                </c:pt>
                <c:pt idx="147">
                  <c:v>HON</c:v>
                </c:pt>
                <c:pt idx="148">
                  <c:v>SOFI</c:v>
                </c:pt>
                <c:pt idx="149">
                  <c:v>PPG</c:v>
                </c:pt>
                <c:pt idx="150">
                  <c:v>VLTO</c:v>
                </c:pt>
                <c:pt idx="151">
                  <c:v>STX</c:v>
                </c:pt>
                <c:pt idx="152">
                  <c:v>SNAP</c:v>
                </c:pt>
                <c:pt idx="153">
                  <c:v>SBUX</c:v>
                </c:pt>
                <c:pt idx="154">
                  <c:v>V</c:v>
                </c:pt>
                <c:pt idx="155">
                  <c:v>ACGL</c:v>
                </c:pt>
                <c:pt idx="156">
                  <c:v>FSLR</c:v>
                </c:pt>
                <c:pt idx="157">
                  <c:v>FRSH</c:v>
                </c:pt>
                <c:pt idx="158">
                  <c:v>CZR</c:v>
                </c:pt>
                <c:pt idx="159">
                  <c:v>TENB</c:v>
                </c:pt>
                <c:pt idx="160">
                  <c:v>MDLZ</c:v>
                </c:pt>
                <c:pt idx="161">
                  <c:v>GEHC</c:v>
                </c:pt>
                <c:pt idx="162">
                  <c:v>HES</c:v>
                </c:pt>
                <c:pt idx="163">
                  <c:v>WDC</c:v>
                </c:pt>
                <c:pt idx="164">
                  <c:v>CAT</c:v>
                </c:pt>
                <c:pt idx="165">
                  <c:v>TT</c:v>
                </c:pt>
                <c:pt idx="166">
                  <c:v>ITW</c:v>
                </c:pt>
                <c:pt idx="167">
                  <c:v>ADP</c:v>
                </c:pt>
                <c:pt idx="168">
                  <c:v>IP</c:v>
                </c:pt>
                <c:pt idx="169">
                  <c:v>YUM</c:v>
                </c:pt>
                <c:pt idx="170">
                  <c:v>GNRC</c:v>
                </c:pt>
                <c:pt idx="171">
                  <c:v>GRMN</c:v>
                </c:pt>
                <c:pt idx="172">
                  <c:v>SWK</c:v>
                </c:pt>
                <c:pt idx="173">
                  <c:v>VMC</c:v>
                </c:pt>
                <c:pt idx="174">
                  <c:v>NCLH</c:v>
                </c:pt>
                <c:pt idx="175">
                  <c:v>MSFT</c:v>
                </c:pt>
                <c:pt idx="176">
                  <c:v>PRU</c:v>
                </c:pt>
                <c:pt idx="177">
                  <c:v>META</c:v>
                </c:pt>
                <c:pt idx="178">
                  <c:v>CHRW</c:v>
                </c:pt>
                <c:pt idx="179">
                  <c:v>FMC</c:v>
                </c:pt>
                <c:pt idx="180">
                  <c:v>AFL</c:v>
                </c:pt>
                <c:pt idx="181">
                  <c:v>ALL</c:v>
                </c:pt>
                <c:pt idx="182">
                  <c:v>CTSH</c:v>
                </c:pt>
                <c:pt idx="183">
                  <c:v>PTC</c:v>
                </c:pt>
                <c:pt idx="184">
                  <c:v>ALGN</c:v>
                </c:pt>
                <c:pt idx="185">
                  <c:v>MGM</c:v>
                </c:pt>
                <c:pt idx="186">
                  <c:v>CWAN</c:v>
                </c:pt>
                <c:pt idx="187">
                  <c:v>EBAY</c:v>
                </c:pt>
                <c:pt idx="188">
                  <c:v>QCOM</c:v>
                </c:pt>
                <c:pt idx="189">
                  <c:v>MET</c:v>
                </c:pt>
                <c:pt idx="190">
                  <c:v>HOOD</c:v>
                </c:pt>
                <c:pt idx="191">
                  <c:v>ALB</c:v>
                </c:pt>
                <c:pt idx="192">
                  <c:v>KLAC</c:v>
                </c:pt>
                <c:pt idx="193">
                  <c:v>CFLT</c:v>
                </c:pt>
                <c:pt idx="194">
                  <c:v>IEX</c:v>
                </c:pt>
                <c:pt idx="195">
                  <c:v>HUBB</c:v>
                </c:pt>
                <c:pt idx="196">
                  <c:v>MA</c:v>
                </c:pt>
                <c:pt idx="197">
                  <c:v>SW</c:v>
                </c:pt>
                <c:pt idx="198">
                  <c:v>BIIB</c:v>
                </c:pt>
                <c:pt idx="199">
                  <c:v>APD</c:v>
                </c:pt>
                <c:pt idx="200">
                  <c:v>MCD</c:v>
                </c:pt>
                <c:pt idx="201">
                  <c:v>FTV</c:v>
                </c:pt>
                <c:pt idx="202">
                  <c:v>PH</c:v>
                </c:pt>
                <c:pt idx="203">
                  <c:v>CAH</c:v>
                </c:pt>
                <c:pt idx="204">
                  <c:v>GWW</c:v>
                </c:pt>
                <c:pt idx="205">
                  <c:v>CHD</c:v>
                </c:pt>
                <c:pt idx="206">
                  <c:v>IDXX</c:v>
                </c:pt>
                <c:pt idx="207">
                  <c:v>KKR</c:v>
                </c:pt>
                <c:pt idx="208">
                  <c:v>AME</c:v>
                </c:pt>
                <c:pt idx="209">
                  <c:v>EL</c:v>
                </c:pt>
                <c:pt idx="210">
                  <c:v>LLY</c:v>
                </c:pt>
                <c:pt idx="211">
                  <c:v>LIN</c:v>
                </c:pt>
                <c:pt idx="212">
                  <c:v>ICE</c:v>
                </c:pt>
                <c:pt idx="213">
                  <c:v>HSY</c:v>
                </c:pt>
                <c:pt idx="214">
                  <c:v>APTV</c:v>
                </c:pt>
                <c:pt idx="215">
                  <c:v>CARR</c:v>
                </c:pt>
                <c:pt idx="216">
                  <c:v>CVS</c:v>
                </c:pt>
                <c:pt idx="217">
                  <c:v>HWM</c:v>
                </c:pt>
                <c:pt idx="218">
                  <c:v>BAX</c:v>
                </c:pt>
                <c:pt idx="219">
                  <c:v>PWR</c:v>
                </c:pt>
                <c:pt idx="220">
                  <c:v>BLDR</c:v>
                </c:pt>
                <c:pt idx="221">
                  <c:v>HII</c:v>
                </c:pt>
                <c:pt idx="222">
                  <c:v>TRGP</c:v>
                </c:pt>
                <c:pt idx="223">
                  <c:v>BR</c:v>
                </c:pt>
                <c:pt idx="224">
                  <c:v>MPWR</c:v>
                </c:pt>
                <c:pt idx="225">
                  <c:v>PCOR</c:v>
                </c:pt>
                <c:pt idx="226">
                  <c:v>TEAM</c:v>
                </c:pt>
                <c:pt idx="227">
                  <c:v>MHK</c:v>
                </c:pt>
                <c:pt idx="228">
                  <c:v>SYK</c:v>
                </c:pt>
                <c:pt idx="229">
                  <c:v>AIG</c:v>
                </c:pt>
                <c:pt idx="230">
                  <c:v>DLB</c:v>
                </c:pt>
                <c:pt idx="231">
                  <c:v>AAPL</c:v>
                </c:pt>
                <c:pt idx="232">
                  <c:v>AJG</c:v>
                </c:pt>
                <c:pt idx="233">
                  <c:v>AMGN</c:v>
                </c:pt>
                <c:pt idx="234">
                  <c:v>HOLX</c:v>
                </c:pt>
                <c:pt idx="235">
                  <c:v>MTD</c:v>
                </c:pt>
                <c:pt idx="236">
                  <c:v>ROKU</c:v>
                </c:pt>
                <c:pt idx="237">
                  <c:v>IR</c:v>
                </c:pt>
                <c:pt idx="238">
                  <c:v>GDDY</c:v>
                </c:pt>
                <c:pt idx="239">
                  <c:v>LYV</c:v>
                </c:pt>
                <c:pt idx="240">
                  <c:v>MNST</c:v>
                </c:pt>
                <c:pt idx="241">
                  <c:v>XYZ</c:v>
                </c:pt>
                <c:pt idx="242">
                  <c:v>AMZN</c:v>
                </c:pt>
                <c:pt idx="243">
                  <c:v>ABNB</c:v>
                </c:pt>
                <c:pt idx="244">
                  <c:v>MSI</c:v>
                </c:pt>
                <c:pt idx="245">
                  <c:v>ETN</c:v>
                </c:pt>
                <c:pt idx="246">
                  <c:v>XOM</c:v>
                </c:pt>
                <c:pt idx="247">
                  <c:v>CVX</c:v>
                </c:pt>
                <c:pt idx="248">
                  <c:v>TROW</c:v>
                </c:pt>
                <c:pt idx="249">
                  <c:v>BEN</c:v>
                </c:pt>
                <c:pt idx="250">
                  <c:v>ZBH</c:v>
                </c:pt>
                <c:pt idx="251">
                  <c:v>TSN</c:v>
                </c:pt>
                <c:pt idx="252">
                  <c:v>CMI</c:v>
                </c:pt>
                <c:pt idx="253">
                  <c:v>ON</c:v>
                </c:pt>
                <c:pt idx="254">
                  <c:v>HSIC</c:v>
                </c:pt>
                <c:pt idx="255">
                  <c:v>CLX</c:v>
                </c:pt>
                <c:pt idx="256">
                  <c:v>F</c:v>
                </c:pt>
                <c:pt idx="257">
                  <c:v>PLTR</c:v>
                </c:pt>
                <c:pt idx="258">
                  <c:v>WMB</c:v>
                </c:pt>
                <c:pt idx="259">
                  <c:v>CE</c:v>
                </c:pt>
                <c:pt idx="260">
                  <c:v>IT</c:v>
                </c:pt>
                <c:pt idx="261">
                  <c:v>ADM</c:v>
                </c:pt>
                <c:pt idx="262">
                  <c:v>IQV</c:v>
                </c:pt>
                <c:pt idx="263">
                  <c:v>FIS</c:v>
                </c:pt>
                <c:pt idx="264">
                  <c:v>BALL</c:v>
                </c:pt>
                <c:pt idx="265">
                  <c:v>LDOS</c:v>
                </c:pt>
                <c:pt idx="266">
                  <c:v>MAR</c:v>
                </c:pt>
                <c:pt idx="267">
                  <c:v>GPN</c:v>
                </c:pt>
                <c:pt idx="268">
                  <c:v>MPC</c:v>
                </c:pt>
                <c:pt idx="269">
                  <c:v>J</c:v>
                </c:pt>
                <c:pt idx="270">
                  <c:v>WAT</c:v>
                </c:pt>
                <c:pt idx="271">
                  <c:v>ZTS</c:v>
                </c:pt>
                <c:pt idx="272">
                  <c:v>DDOG</c:v>
                </c:pt>
                <c:pt idx="273">
                  <c:v>DASH</c:v>
                </c:pt>
                <c:pt idx="274">
                  <c:v>VRNS</c:v>
                </c:pt>
                <c:pt idx="275">
                  <c:v>IFF</c:v>
                </c:pt>
                <c:pt idx="276">
                  <c:v>AMD</c:v>
                </c:pt>
                <c:pt idx="277">
                  <c:v>EA</c:v>
                </c:pt>
                <c:pt idx="278">
                  <c:v>INTA</c:v>
                </c:pt>
                <c:pt idx="279">
                  <c:v>LCID</c:v>
                </c:pt>
                <c:pt idx="280">
                  <c:v>AIZ</c:v>
                </c:pt>
                <c:pt idx="281">
                  <c:v>ANET</c:v>
                </c:pt>
                <c:pt idx="282">
                  <c:v>CPAY</c:v>
                </c:pt>
                <c:pt idx="283">
                  <c:v>KVYO</c:v>
                </c:pt>
                <c:pt idx="284">
                  <c:v>MOS</c:v>
                </c:pt>
                <c:pt idx="285">
                  <c:v>GEN</c:v>
                </c:pt>
                <c:pt idx="286">
                  <c:v>WYNN</c:v>
                </c:pt>
                <c:pt idx="287">
                  <c:v>CDW</c:v>
                </c:pt>
                <c:pt idx="288">
                  <c:v>ROK</c:v>
                </c:pt>
                <c:pt idx="289">
                  <c:v>BG</c:v>
                </c:pt>
                <c:pt idx="290">
                  <c:v>JCI</c:v>
                </c:pt>
                <c:pt idx="291">
                  <c:v>DAY</c:v>
                </c:pt>
                <c:pt idx="292">
                  <c:v>TECH</c:v>
                </c:pt>
                <c:pt idx="293">
                  <c:v>MKTX</c:v>
                </c:pt>
                <c:pt idx="294">
                  <c:v>DIS</c:v>
                </c:pt>
                <c:pt idx="295">
                  <c:v>UBER</c:v>
                </c:pt>
                <c:pt idx="296">
                  <c:v>EMR</c:v>
                </c:pt>
                <c:pt idx="297">
                  <c:v>COR</c:v>
                </c:pt>
                <c:pt idx="298">
                  <c:v>BWA</c:v>
                </c:pt>
                <c:pt idx="299">
                  <c:v>U</c:v>
                </c:pt>
                <c:pt idx="300">
                  <c:v>TRMB</c:v>
                </c:pt>
                <c:pt idx="301">
                  <c:v>AXON</c:v>
                </c:pt>
                <c:pt idx="302">
                  <c:v>SWKS</c:v>
                </c:pt>
                <c:pt idx="303">
                  <c:v>CTVA</c:v>
                </c:pt>
                <c:pt idx="304">
                  <c:v>FTNT</c:v>
                </c:pt>
                <c:pt idx="305">
                  <c:v>PAYC</c:v>
                </c:pt>
                <c:pt idx="306">
                  <c:v>APP</c:v>
                </c:pt>
                <c:pt idx="307">
                  <c:v>CF</c:v>
                </c:pt>
                <c:pt idx="308">
                  <c:v>CENX</c:v>
                </c:pt>
                <c:pt idx="309">
                  <c:v>KVUE</c:v>
                </c:pt>
                <c:pt idx="310">
                  <c:v>MTCH</c:v>
                </c:pt>
                <c:pt idx="311">
                  <c:v>TAP</c:v>
                </c:pt>
                <c:pt idx="312">
                  <c:v>COP</c:v>
                </c:pt>
                <c:pt idx="313">
                  <c:v>TPR</c:v>
                </c:pt>
                <c:pt idx="314">
                  <c:v>VTRS</c:v>
                </c:pt>
                <c:pt idx="315">
                  <c:v>WBD</c:v>
                </c:pt>
                <c:pt idx="316">
                  <c:v>MCK</c:v>
                </c:pt>
                <c:pt idx="317">
                  <c:v>NWS</c:v>
                </c:pt>
                <c:pt idx="318">
                  <c:v>EXPE</c:v>
                </c:pt>
                <c:pt idx="319">
                  <c:v>PODD</c:v>
                </c:pt>
                <c:pt idx="320">
                  <c:v>AKAM</c:v>
                </c:pt>
                <c:pt idx="321">
                  <c:v>DBX</c:v>
                </c:pt>
                <c:pt idx="322">
                  <c:v>SOLV</c:v>
                </c:pt>
                <c:pt idx="323">
                  <c:v>KODK</c:v>
                </c:pt>
                <c:pt idx="324">
                  <c:v>MCHP</c:v>
                </c:pt>
                <c:pt idx="325">
                  <c:v>FOX</c:v>
                </c:pt>
                <c:pt idx="326">
                  <c:v>GCT</c:v>
                </c:pt>
                <c:pt idx="327">
                  <c:v>DVA</c:v>
                </c:pt>
                <c:pt idx="328">
                  <c:v>ASTS</c:v>
                </c:pt>
                <c:pt idx="329">
                  <c:v>KRMN</c:v>
                </c:pt>
                <c:pt idx="330">
                  <c:v>QUIK</c:v>
                </c:pt>
                <c:pt idx="331">
                  <c:v>DT</c:v>
                </c:pt>
                <c:pt idx="332">
                  <c:v>STE</c:v>
                </c:pt>
                <c:pt idx="333">
                  <c:v>CSCO</c:v>
                </c:pt>
                <c:pt idx="334">
                  <c:v>STN</c:v>
                </c:pt>
                <c:pt idx="335">
                  <c:v>DE</c:v>
                </c:pt>
                <c:pt idx="336">
                  <c:v>WMT</c:v>
                </c:pt>
                <c:pt idx="337">
                  <c:v>WMS</c:v>
                </c:pt>
                <c:pt idx="338">
                  <c:v>TTWO</c:v>
                </c:pt>
                <c:pt idx="339">
                  <c:v>AMAT</c:v>
                </c:pt>
                <c:pt idx="340">
                  <c:v>DOCS</c:v>
                </c:pt>
                <c:pt idx="341">
                  <c:v>RBC</c:v>
                </c:pt>
                <c:pt idx="342">
                  <c:v>FLO</c:v>
                </c:pt>
                <c:pt idx="343">
                  <c:v>HD</c:v>
                </c:pt>
                <c:pt idx="344">
                  <c:v>EXP</c:v>
                </c:pt>
                <c:pt idx="345">
                  <c:v>PANW</c:v>
                </c:pt>
                <c:pt idx="346">
                  <c:v>TOL</c:v>
                </c:pt>
                <c:pt idx="347">
                  <c:v>MDT</c:v>
                </c:pt>
                <c:pt idx="348">
                  <c:v>LOW</c:v>
                </c:pt>
                <c:pt idx="349">
                  <c:v>TJX</c:v>
                </c:pt>
                <c:pt idx="350">
                  <c:v>TGT</c:v>
                </c:pt>
                <c:pt idx="351">
                  <c:v>ZM</c:v>
                </c:pt>
                <c:pt idx="352">
                  <c:v>ADI</c:v>
                </c:pt>
                <c:pt idx="353">
                  <c:v>RL</c:v>
                </c:pt>
                <c:pt idx="354">
                  <c:v>BJ</c:v>
                </c:pt>
                <c:pt idx="355">
                  <c:v>WSM</c:v>
                </c:pt>
                <c:pt idx="356">
                  <c:v>CPRT</c:v>
                </c:pt>
                <c:pt idx="357">
                  <c:v>DECK</c:v>
                </c:pt>
                <c:pt idx="358">
                  <c:v>INTU</c:v>
                </c:pt>
                <c:pt idx="359">
                  <c:v>ROST</c:v>
                </c:pt>
                <c:pt idx="360">
                  <c:v>WDAY</c:v>
                </c:pt>
                <c:pt idx="361">
                  <c:v>ADSK</c:v>
                </c:pt>
                <c:pt idx="362">
                  <c:v>BOX</c:v>
                </c:pt>
                <c:pt idx="363">
                  <c:v>OKTA</c:v>
                </c:pt>
                <c:pt idx="364">
                  <c:v>SMTC</c:v>
                </c:pt>
                <c:pt idx="365">
                  <c:v>M</c:v>
                </c:pt>
                <c:pt idx="366">
                  <c:v>ANF</c:v>
                </c:pt>
                <c:pt idx="367">
                  <c:v>DKS</c:v>
                </c:pt>
                <c:pt idx="368">
                  <c:v>ELF</c:v>
                </c:pt>
                <c:pt idx="369">
                  <c:v>SNPS</c:v>
                </c:pt>
                <c:pt idx="370">
                  <c:v>NTNX</c:v>
                </c:pt>
                <c:pt idx="371">
                  <c:v>NVDA</c:v>
                </c:pt>
                <c:pt idx="372">
                  <c:v>CRM</c:v>
                </c:pt>
                <c:pt idx="373">
                  <c:v>A</c:v>
                </c:pt>
                <c:pt idx="374">
                  <c:v>AI</c:v>
                </c:pt>
                <c:pt idx="375">
                  <c:v>HPQ</c:v>
                </c:pt>
                <c:pt idx="376">
                  <c:v>PSTG</c:v>
                </c:pt>
                <c:pt idx="377">
                  <c:v>VEEV</c:v>
                </c:pt>
                <c:pt idx="378">
                  <c:v>S</c:v>
                </c:pt>
                <c:pt idx="379">
                  <c:v>HRL</c:v>
                </c:pt>
                <c:pt idx="380">
                  <c:v>BBY</c:v>
                </c:pt>
                <c:pt idx="381">
                  <c:v>BURL</c:v>
                </c:pt>
                <c:pt idx="382">
                  <c:v>AEO</c:v>
                </c:pt>
                <c:pt idx="383">
                  <c:v>PATH</c:v>
                </c:pt>
                <c:pt idx="384">
                  <c:v>DELL</c:v>
                </c:pt>
                <c:pt idx="385">
                  <c:v>NTAP</c:v>
                </c:pt>
                <c:pt idx="386">
                  <c:v>ESTC</c:v>
                </c:pt>
                <c:pt idx="387">
                  <c:v>ZS</c:v>
                </c:pt>
                <c:pt idx="388">
                  <c:v>GAP</c:v>
                </c:pt>
                <c:pt idx="389">
                  <c:v>COST</c:v>
                </c:pt>
                <c:pt idx="390">
                  <c:v>ULTA</c:v>
                </c:pt>
                <c:pt idx="391">
                  <c:v>CPB</c:v>
                </c:pt>
                <c:pt idx="392">
                  <c:v>DG</c:v>
                </c:pt>
                <c:pt idx="393">
                  <c:v>OLLI</c:v>
                </c:pt>
                <c:pt idx="394">
                  <c:v>HQY</c:v>
                </c:pt>
                <c:pt idx="395">
                  <c:v>ASAN</c:v>
                </c:pt>
                <c:pt idx="396">
                  <c:v>CRWD</c:v>
                </c:pt>
                <c:pt idx="397">
                  <c:v>HPE</c:v>
                </c:pt>
                <c:pt idx="398">
                  <c:v>REVG</c:v>
                </c:pt>
                <c:pt idx="399">
                  <c:v>DLTR</c:v>
                </c:pt>
                <c:pt idx="400">
                  <c:v>VSCO</c:v>
                </c:pt>
                <c:pt idx="401">
                  <c:v>CIEN</c:v>
                </c:pt>
                <c:pt idx="402">
                  <c:v>DOCU</c:v>
                </c:pt>
                <c:pt idx="403">
                  <c:v>AVGO</c:v>
                </c:pt>
                <c:pt idx="404">
                  <c:v>CASY</c:v>
                </c:pt>
                <c:pt idx="405">
                  <c:v>CNM</c:v>
                </c:pt>
                <c:pt idx="406">
                  <c:v>GTLB</c:v>
                </c:pt>
                <c:pt idx="407">
                  <c:v>CHWY</c:v>
                </c:pt>
                <c:pt idx="408">
                  <c:v>ORCL</c:v>
                </c:pt>
                <c:pt idx="409">
                  <c:v>ADBE</c:v>
                </c:pt>
                <c:pt idx="410">
                  <c:v>LEN</c:v>
                </c:pt>
                <c:pt idx="411">
                  <c:v>JBL</c:v>
                </c:pt>
                <c:pt idx="412">
                  <c:v>DRI</c:v>
                </c:pt>
                <c:pt idx="413">
                  <c:v>SNX</c:v>
                </c:pt>
                <c:pt idx="414">
                  <c:v>CCL</c:v>
                </c:pt>
                <c:pt idx="415">
                  <c:v>GIS</c:v>
                </c:pt>
                <c:pt idx="416">
                  <c:v>MU</c:v>
                </c:pt>
                <c:pt idx="417">
                  <c:v>MKC</c:v>
                </c:pt>
                <c:pt idx="418">
                  <c:v>NKE</c:v>
                </c:pt>
              </c:strCache>
            </c:strRef>
          </c:cat>
          <c:val>
            <c:numRef>
              <c:f>'2025-Q2'!$AL$4:$AL$422</c:f>
              <c:numCache>
                <c:formatCode>"$"#,##0</c:formatCode>
                <c:ptCount val="419"/>
                <c:pt idx="0">
                  <c:v>-37.199999999999818</c:v>
                </c:pt>
                <c:pt idx="1">
                  <c:v>10.200000000000273</c:v>
                </c:pt>
                <c:pt idx="2">
                  <c:v>6.2000000000000455</c:v>
                </c:pt>
                <c:pt idx="3">
                  <c:v>-4.5099999999999909</c:v>
                </c:pt>
                <c:pt idx="4">
                  <c:v>-15.120000000000005</c:v>
                </c:pt>
                <c:pt idx="5">
                  <c:v>-57.120000000000005</c:v>
                </c:pt>
                <c:pt idx="6">
                  <c:v>-82.12</c:v>
                </c:pt>
                <c:pt idx="7">
                  <c:v>-88.720000000000141</c:v>
                </c:pt>
                <c:pt idx="8">
                  <c:v>-57.600000000000136</c:v>
                </c:pt>
                <c:pt idx="9">
                  <c:v>-57.600000000000136</c:v>
                </c:pt>
                <c:pt idx="10">
                  <c:v>-39.420000000000073</c:v>
                </c:pt>
                <c:pt idx="11">
                  <c:v>13.979999999999791</c:v>
                </c:pt>
                <c:pt idx="12">
                  <c:v>33.649999999999864</c:v>
                </c:pt>
                <c:pt idx="13">
                  <c:v>27.244999999999891</c:v>
                </c:pt>
                <c:pt idx="14">
                  <c:v>91.235000000000127</c:v>
                </c:pt>
                <c:pt idx="15">
                  <c:v>138.03500000000008</c:v>
                </c:pt>
                <c:pt idx="16">
                  <c:v>166.08500000000026</c:v>
                </c:pt>
                <c:pt idx="17">
                  <c:v>178.38500000000045</c:v>
                </c:pt>
                <c:pt idx="18">
                  <c:v>174.78500000000031</c:v>
                </c:pt>
                <c:pt idx="19">
                  <c:v>216.81500000000005</c:v>
                </c:pt>
                <c:pt idx="20">
                  <c:v>216.81500000000005</c:v>
                </c:pt>
                <c:pt idx="21">
                  <c:v>216.81500000000005</c:v>
                </c:pt>
                <c:pt idx="22">
                  <c:v>219.27500000000032</c:v>
                </c:pt>
                <c:pt idx="23">
                  <c:v>219.27500000000032</c:v>
                </c:pt>
                <c:pt idx="24">
                  <c:v>174.19500000000039</c:v>
                </c:pt>
                <c:pt idx="25">
                  <c:v>-35.884999999999536</c:v>
                </c:pt>
                <c:pt idx="26">
                  <c:v>-20.2849999999994</c:v>
                </c:pt>
                <c:pt idx="27">
                  <c:v>-61.084999999999354</c:v>
                </c:pt>
                <c:pt idx="28">
                  <c:v>-187.68499999999949</c:v>
                </c:pt>
                <c:pt idx="29">
                  <c:v>-153.48499999999945</c:v>
                </c:pt>
                <c:pt idx="30">
                  <c:v>-194.08499999999935</c:v>
                </c:pt>
                <c:pt idx="31">
                  <c:v>-161.98499999999933</c:v>
                </c:pt>
                <c:pt idx="32">
                  <c:v>-196.38499999999942</c:v>
                </c:pt>
                <c:pt idx="33">
                  <c:v>-188.03499999999929</c:v>
                </c:pt>
                <c:pt idx="34">
                  <c:v>-244.6349999999992</c:v>
                </c:pt>
                <c:pt idx="35">
                  <c:v>-289.03499999999929</c:v>
                </c:pt>
                <c:pt idx="36">
                  <c:v>-312.61499999999921</c:v>
                </c:pt>
                <c:pt idx="37">
                  <c:v>-298.96499999999912</c:v>
                </c:pt>
                <c:pt idx="38">
                  <c:v>-288.00999999999908</c:v>
                </c:pt>
                <c:pt idx="39">
                  <c:v>-294.97999999999888</c:v>
                </c:pt>
                <c:pt idx="40">
                  <c:v>-425.97999999999888</c:v>
                </c:pt>
                <c:pt idx="41">
                  <c:v>-467.77999999999906</c:v>
                </c:pt>
                <c:pt idx="42">
                  <c:v>-362.17999999999893</c:v>
                </c:pt>
                <c:pt idx="43">
                  <c:v>-419.22999999999888</c:v>
                </c:pt>
                <c:pt idx="44">
                  <c:v>-450.97999999999888</c:v>
                </c:pt>
                <c:pt idx="45">
                  <c:v>-453.22999999999888</c:v>
                </c:pt>
                <c:pt idx="46">
                  <c:v>-550.10999999999899</c:v>
                </c:pt>
                <c:pt idx="47">
                  <c:v>-642.76999999999907</c:v>
                </c:pt>
                <c:pt idx="48">
                  <c:v>-683.97999999999911</c:v>
                </c:pt>
                <c:pt idx="49">
                  <c:v>-683.97999999999911</c:v>
                </c:pt>
                <c:pt idx="50">
                  <c:v>-683.97999999999911</c:v>
                </c:pt>
                <c:pt idx="51">
                  <c:v>-746.16999999999916</c:v>
                </c:pt>
                <c:pt idx="52">
                  <c:v>-851.7699999999993</c:v>
                </c:pt>
                <c:pt idx="53">
                  <c:v>-827.47999999999934</c:v>
                </c:pt>
                <c:pt idx="54">
                  <c:v>-784.95999999999935</c:v>
                </c:pt>
                <c:pt idx="55">
                  <c:v>-758.43999999999937</c:v>
                </c:pt>
                <c:pt idx="56">
                  <c:v>-778.83999999999935</c:v>
                </c:pt>
                <c:pt idx="57">
                  <c:v>-687.78999999999928</c:v>
                </c:pt>
                <c:pt idx="58">
                  <c:v>-648.78999999999928</c:v>
                </c:pt>
                <c:pt idx="59">
                  <c:v>-597.69999999999925</c:v>
                </c:pt>
                <c:pt idx="60">
                  <c:v>-601.29999999999927</c:v>
                </c:pt>
                <c:pt idx="61">
                  <c:v>-512.94999999999936</c:v>
                </c:pt>
                <c:pt idx="62">
                  <c:v>-401.94999999999936</c:v>
                </c:pt>
                <c:pt idx="63">
                  <c:v>-356.6499999999993</c:v>
                </c:pt>
                <c:pt idx="64">
                  <c:v>-376.14999999999941</c:v>
                </c:pt>
                <c:pt idx="65">
                  <c:v>-321.49999999999943</c:v>
                </c:pt>
                <c:pt idx="66">
                  <c:v>-336.49999999999943</c:v>
                </c:pt>
                <c:pt idx="67">
                  <c:v>-387.0399999999994</c:v>
                </c:pt>
                <c:pt idx="68">
                  <c:v>-379.5199999999993</c:v>
                </c:pt>
                <c:pt idx="69">
                  <c:v>-365.56999999999937</c:v>
                </c:pt>
                <c:pt idx="70">
                  <c:v>-307.45999999999935</c:v>
                </c:pt>
                <c:pt idx="71">
                  <c:v>-334.5199999999993</c:v>
                </c:pt>
                <c:pt idx="72">
                  <c:v>-267.55999999999926</c:v>
                </c:pt>
                <c:pt idx="73">
                  <c:v>-277.06999999999937</c:v>
                </c:pt>
                <c:pt idx="74">
                  <c:v>-237.46999999999935</c:v>
                </c:pt>
                <c:pt idx="75">
                  <c:v>-261.54999999999939</c:v>
                </c:pt>
                <c:pt idx="76">
                  <c:v>-201.29999999999939</c:v>
                </c:pt>
                <c:pt idx="77">
                  <c:v>-216.5499999999995</c:v>
                </c:pt>
                <c:pt idx="78">
                  <c:v>-276.98999999999944</c:v>
                </c:pt>
                <c:pt idx="79">
                  <c:v>-276.98999999999944</c:v>
                </c:pt>
                <c:pt idx="80">
                  <c:v>-267.43769999999938</c:v>
                </c:pt>
                <c:pt idx="81">
                  <c:v>-321.9176999999994</c:v>
                </c:pt>
                <c:pt idx="82">
                  <c:v>-353.23769999999945</c:v>
                </c:pt>
                <c:pt idx="83">
                  <c:v>-375.43769999999938</c:v>
                </c:pt>
                <c:pt idx="84">
                  <c:v>-463.83769999999936</c:v>
                </c:pt>
                <c:pt idx="85">
                  <c:v>-470.08769999999936</c:v>
                </c:pt>
                <c:pt idx="86">
                  <c:v>-494.88769999999931</c:v>
                </c:pt>
                <c:pt idx="87">
                  <c:v>-506.97769999999923</c:v>
                </c:pt>
                <c:pt idx="88">
                  <c:v>-455.85769999999923</c:v>
                </c:pt>
                <c:pt idx="89">
                  <c:v>-472.65769999999929</c:v>
                </c:pt>
                <c:pt idx="90">
                  <c:v>-409.90769999999929</c:v>
                </c:pt>
                <c:pt idx="91">
                  <c:v>-420.40769999999929</c:v>
                </c:pt>
                <c:pt idx="92">
                  <c:v>-406.00769999999932</c:v>
                </c:pt>
                <c:pt idx="93">
                  <c:v>-406.00769999999932</c:v>
                </c:pt>
                <c:pt idx="94">
                  <c:v>-437.85769999999934</c:v>
                </c:pt>
                <c:pt idx="95">
                  <c:v>-437.05769999999927</c:v>
                </c:pt>
                <c:pt idx="96">
                  <c:v>-434.59769999999924</c:v>
                </c:pt>
                <c:pt idx="97">
                  <c:v>-425.05769999999927</c:v>
                </c:pt>
                <c:pt idx="98">
                  <c:v>-436.60769999999934</c:v>
                </c:pt>
                <c:pt idx="99">
                  <c:v>-478.40769999999941</c:v>
                </c:pt>
                <c:pt idx="100">
                  <c:v>-552.1676999999994</c:v>
                </c:pt>
                <c:pt idx="101">
                  <c:v>-580.1676999999994</c:v>
                </c:pt>
                <c:pt idx="102">
                  <c:v>-583.0476999999994</c:v>
                </c:pt>
                <c:pt idx="103">
                  <c:v>-659.1676999999994</c:v>
                </c:pt>
                <c:pt idx="104">
                  <c:v>-660.60769999999934</c:v>
                </c:pt>
                <c:pt idx="105">
                  <c:v>-614.73769999999945</c:v>
                </c:pt>
                <c:pt idx="106">
                  <c:v>-626.0576999999995</c:v>
                </c:pt>
                <c:pt idx="107">
                  <c:v>-706.15769999999941</c:v>
                </c:pt>
                <c:pt idx="108">
                  <c:v>-674.29769999999928</c:v>
                </c:pt>
                <c:pt idx="109">
                  <c:v>-734.59769999999946</c:v>
                </c:pt>
                <c:pt idx="110">
                  <c:v>-719.09769999999946</c:v>
                </c:pt>
                <c:pt idx="111">
                  <c:v>-702.08769999999936</c:v>
                </c:pt>
                <c:pt idx="112">
                  <c:v>-675.56769999999938</c:v>
                </c:pt>
                <c:pt idx="113">
                  <c:v>-642.53559931806774</c:v>
                </c:pt>
                <c:pt idx="114">
                  <c:v>-670.43559931806772</c:v>
                </c:pt>
                <c:pt idx="115">
                  <c:v>-589.73559931806767</c:v>
                </c:pt>
                <c:pt idx="116">
                  <c:v>-569.18559931806772</c:v>
                </c:pt>
                <c:pt idx="117">
                  <c:v>-545.88740850718671</c:v>
                </c:pt>
                <c:pt idx="118">
                  <c:v>-470.82740850718653</c:v>
                </c:pt>
                <c:pt idx="119">
                  <c:v>-497.88740850718648</c:v>
                </c:pt>
                <c:pt idx="120">
                  <c:v>-484.74740850718661</c:v>
                </c:pt>
                <c:pt idx="121">
                  <c:v>-519.1474085071867</c:v>
                </c:pt>
                <c:pt idx="122">
                  <c:v>-591.14740850718647</c:v>
                </c:pt>
                <c:pt idx="123">
                  <c:v>-611.30740850718655</c:v>
                </c:pt>
                <c:pt idx="124">
                  <c:v>-687.15740850718669</c:v>
                </c:pt>
                <c:pt idx="125">
                  <c:v>-662.11740850718672</c:v>
                </c:pt>
                <c:pt idx="126">
                  <c:v>-636.76740850718659</c:v>
                </c:pt>
                <c:pt idx="127">
                  <c:v>-675.16740850718668</c:v>
                </c:pt>
                <c:pt idx="128">
                  <c:v>-658.16740850718668</c:v>
                </c:pt>
                <c:pt idx="129">
                  <c:v>-689.36740850718672</c:v>
                </c:pt>
                <c:pt idx="130">
                  <c:v>-720.32740850718665</c:v>
                </c:pt>
                <c:pt idx="131">
                  <c:v>-734.46740850718663</c:v>
                </c:pt>
                <c:pt idx="132">
                  <c:v>-765.2674085071867</c:v>
                </c:pt>
                <c:pt idx="133">
                  <c:v>-711.46740850718652</c:v>
                </c:pt>
                <c:pt idx="134">
                  <c:v>-682.62740850718649</c:v>
                </c:pt>
                <c:pt idx="135">
                  <c:v>-645.82740850718642</c:v>
                </c:pt>
                <c:pt idx="136">
                  <c:v>-634.92740850718633</c:v>
                </c:pt>
                <c:pt idx="137">
                  <c:v>-657.72740850718628</c:v>
                </c:pt>
                <c:pt idx="138">
                  <c:v>-643.96740850718629</c:v>
                </c:pt>
                <c:pt idx="139">
                  <c:v>-638.71740850718618</c:v>
                </c:pt>
                <c:pt idx="140">
                  <c:v>-648.79740850718633</c:v>
                </c:pt>
                <c:pt idx="141">
                  <c:v>-672.67740850718633</c:v>
                </c:pt>
                <c:pt idx="142">
                  <c:v>-747.15740850718635</c:v>
                </c:pt>
                <c:pt idx="143">
                  <c:v>-770.19740850718631</c:v>
                </c:pt>
                <c:pt idx="144">
                  <c:v>-772.91740850718634</c:v>
                </c:pt>
                <c:pt idx="145">
                  <c:v>-674.69740850718631</c:v>
                </c:pt>
                <c:pt idx="146">
                  <c:v>-702.41740850718634</c:v>
                </c:pt>
                <c:pt idx="147">
                  <c:v>-736.36740850718638</c:v>
                </c:pt>
                <c:pt idx="148">
                  <c:v>-666.61740850718638</c:v>
                </c:pt>
                <c:pt idx="149">
                  <c:v>-608.11740850718638</c:v>
                </c:pt>
                <c:pt idx="150">
                  <c:v>-635.17740850718644</c:v>
                </c:pt>
                <c:pt idx="151">
                  <c:v>-558.60740850718651</c:v>
                </c:pt>
                <c:pt idx="152">
                  <c:v>-409.0074085071866</c:v>
                </c:pt>
                <c:pt idx="153">
                  <c:v>-509.80740850718644</c:v>
                </c:pt>
                <c:pt idx="154">
                  <c:v>-490.57740850718653</c:v>
                </c:pt>
                <c:pt idx="155">
                  <c:v>-534.35740850718651</c:v>
                </c:pt>
                <c:pt idx="156">
                  <c:v>-402.67740850718644</c:v>
                </c:pt>
                <c:pt idx="157">
                  <c:v>-396.57740850718642</c:v>
                </c:pt>
                <c:pt idx="158">
                  <c:v>-369.56740850718643</c:v>
                </c:pt>
                <c:pt idx="159">
                  <c:v>-499.16740850718645</c:v>
                </c:pt>
                <c:pt idx="160">
                  <c:v>-462.86740850718661</c:v>
                </c:pt>
                <c:pt idx="161">
                  <c:v>-396.71740850718663</c:v>
                </c:pt>
                <c:pt idx="162">
                  <c:v>-375.91740850718668</c:v>
                </c:pt>
                <c:pt idx="163">
                  <c:v>-433.66740850718679</c:v>
                </c:pt>
                <c:pt idx="164">
                  <c:v>-402.86740850718661</c:v>
                </c:pt>
                <c:pt idx="165">
                  <c:v>-323.18740850718655</c:v>
                </c:pt>
                <c:pt idx="166">
                  <c:v>-330.66740850718656</c:v>
                </c:pt>
                <c:pt idx="167">
                  <c:v>-350.78740850718646</c:v>
                </c:pt>
                <c:pt idx="168">
                  <c:v>-279.80740850718644</c:v>
                </c:pt>
                <c:pt idx="169">
                  <c:v>-263.56740850718643</c:v>
                </c:pt>
                <c:pt idx="170">
                  <c:v>-234.85740850718639</c:v>
                </c:pt>
                <c:pt idx="171">
                  <c:v>-353.85740850718639</c:v>
                </c:pt>
                <c:pt idx="172">
                  <c:v>-354.17740850718644</c:v>
                </c:pt>
                <c:pt idx="173">
                  <c:v>-323.57740850718642</c:v>
                </c:pt>
                <c:pt idx="174">
                  <c:v>-210.77740850718646</c:v>
                </c:pt>
                <c:pt idx="175">
                  <c:v>-140.36740850718638</c:v>
                </c:pt>
                <c:pt idx="176">
                  <c:v>-136.51740850718647</c:v>
                </c:pt>
                <c:pt idx="177">
                  <c:v>-49.357408507186392</c:v>
                </c:pt>
                <c:pt idx="178">
                  <c:v>-22.252408507186601</c:v>
                </c:pt>
                <c:pt idx="179">
                  <c:v>53.617591492813517</c:v>
                </c:pt>
                <c:pt idx="180">
                  <c:v>9.3175914928133352</c:v>
                </c:pt>
                <c:pt idx="181">
                  <c:v>-12.88240850718671</c:v>
                </c:pt>
                <c:pt idx="182">
                  <c:v>34.36759149281329</c:v>
                </c:pt>
                <c:pt idx="183">
                  <c:v>14.917591492813244</c:v>
                </c:pt>
                <c:pt idx="184">
                  <c:v>-85.282408507186574</c:v>
                </c:pt>
                <c:pt idx="185">
                  <c:v>-146.18240850718644</c:v>
                </c:pt>
                <c:pt idx="186">
                  <c:v>-146.68240850718644</c:v>
                </c:pt>
                <c:pt idx="187">
                  <c:v>-117.24240850718638</c:v>
                </c:pt>
                <c:pt idx="188">
                  <c:v>-51.162408507186228</c:v>
                </c:pt>
                <c:pt idx="189">
                  <c:v>-55.812408507186092</c:v>
                </c:pt>
                <c:pt idx="190">
                  <c:v>-6.3724085071860372</c:v>
                </c:pt>
                <c:pt idx="191">
                  <c:v>-62.772408507185901</c:v>
                </c:pt>
                <c:pt idx="192">
                  <c:v>-89.752408507185919</c:v>
                </c:pt>
                <c:pt idx="193">
                  <c:v>39.967591492814108</c:v>
                </c:pt>
                <c:pt idx="194">
                  <c:v>-30.242408507185928</c:v>
                </c:pt>
                <c:pt idx="195">
                  <c:v>-21.992408507185928</c:v>
                </c:pt>
                <c:pt idx="196">
                  <c:v>-25.872408507186037</c:v>
                </c:pt>
                <c:pt idx="197">
                  <c:v>-11.832408507186074</c:v>
                </c:pt>
                <c:pt idx="198">
                  <c:v>-5.4424085071859736</c:v>
                </c:pt>
                <c:pt idx="199">
                  <c:v>47.317591492814017</c:v>
                </c:pt>
                <c:pt idx="200">
                  <c:v>29.797591492814149</c:v>
                </c:pt>
                <c:pt idx="201">
                  <c:v>100.35759149281409</c:v>
                </c:pt>
                <c:pt idx="202">
                  <c:v>119.0975914928141</c:v>
                </c:pt>
                <c:pt idx="203">
                  <c:v>87.037591492814158</c:v>
                </c:pt>
                <c:pt idx="204">
                  <c:v>88.69759149281424</c:v>
                </c:pt>
                <c:pt idx="205">
                  <c:v>27.207591492814231</c:v>
                </c:pt>
                <c:pt idx="206">
                  <c:v>103.46759149281422</c:v>
                </c:pt>
                <c:pt idx="207">
                  <c:v>98.607591492814322</c:v>
                </c:pt>
                <c:pt idx="208">
                  <c:v>88.647591492814286</c:v>
                </c:pt>
                <c:pt idx="209">
                  <c:v>104.84759149281433</c:v>
                </c:pt>
                <c:pt idx="210">
                  <c:v>159.78759149281439</c:v>
                </c:pt>
                <c:pt idx="211">
                  <c:v>127.94759149281435</c:v>
                </c:pt>
                <c:pt idx="212">
                  <c:v>127.94759149281435</c:v>
                </c:pt>
                <c:pt idx="213">
                  <c:v>134.10759149281421</c:v>
                </c:pt>
                <c:pt idx="214">
                  <c:v>171.30759149281425</c:v>
                </c:pt>
                <c:pt idx="215">
                  <c:v>78.067591492814245</c:v>
                </c:pt>
                <c:pt idx="216">
                  <c:v>166.70759149281434</c:v>
                </c:pt>
                <c:pt idx="217">
                  <c:v>221.86759149281431</c:v>
                </c:pt>
                <c:pt idx="218">
                  <c:v>187.56759149281436</c:v>
                </c:pt>
                <c:pt idx="219">
                  <c:v>307.36759149281431</c:v>
                </c:pt>
                <c:pt idx="220">
                  <c:v>339.67759149281426</c:v>
                </c:pt>
                <c:pt idx="221">
                  <c:v>377.97759149281421</c:v>
                </c:pt>
                <c:pt idx="222">
                  <c:v>391.27759149281417</c:v>
                </c:pt>
                <c:pt idx="223">
                  <c:v>362.15759149281416</c:v>
                </c:pt>
                <c:pt idx="224">
                  <c:v>396.43759149281414</c:v>
                </c:pt>
                <c:pt idx="225">
                  <c:v>364.21759149281411</c:v>
                </c:pt>
                <c:pt idx="226">
                  <c:v>237.3675914928142</c:v>
                </c:pt>
                <c:pt idx="227">
                  <c:v>291.59759149281422</c:v>
                </c:pt>
                <c:pt idx="228">
                  <c:v>291.19759149281413</c:v>
                </c:pt>
                <c:pt idx="229">
                  <c:v>272.15759149281416</c:v>
                </c:pt>
                <c:pt idx="230">
                  <c:v>321.65759149281439</c:v>
                </c:pt>
                <c:pt idx="231">
                  <c:v>321.65759149281439</c:v>
                </c:pt>
                <c:pt idx="232">
                  <c:v>318.57759149281446</c:v>
                </c:pt>
                <c:pt idx="233">
                  <c:v>349.45759149281457</c:v>
                </c:pt>
                <c:pt idx="234">
                  <c:v>388.85759149281444</c:v>
                </c:pt>
                <c:pt idx="235">
                  <c:v>370.69759149281435</c:v>
                </c:pt>
                <c:pt idx="236">
                  <c:v>479.74759149281431</c:v>
                </c:pt>
                <c:pt idx="237">
                  <c:v>508.24759149281454</c:v>
                </c:pt>
                <c:pt idx="238">
                  <c:v>384.28759149281427</c:v>
                </c:pt>
                <c:pt idx="239">
                  <c:v>387.0075914928143</c:v>
                </c:pt>
                <c:pt idx="240">
                  <c:v>394.00759149281407</c:v>
                </c:pt>
                <c:pt idx="241">
                  <c:v>596.207591492814</c:v>
                </c:pt>
                <c:pt idx="242">
                  <c:v>604.36759149281431</c:v>
                </c:pt>
                <c:pt idx="243">
                  <c:v>622.45759149281446</c:v>
                </c:pt>
                <c:pt idx="244">
                  <c:v>528.97759149281444</c:v>
                </c:pt>
                <c:pt idx="245">
                  <c:v>555.25759149281453</c:v>
                </c:pt>
                <c:pt idx="246">
                  <c:v>530.55759149281448</c:v>
                </c:pt>
                <c:pt idx="247">
                  <c:v>508.35759149281444</c:v>
                </c:pt>
                <c:pt idx="248">
                  <c:v>475.75759149281453</c:v>
                </c:pt>
                <c:pt idx="249">
                  <c:v>448.7575914928143</c:v>
                </c:pt>
                <c:pt idx="250">
                  <c:v>482.23759149281432</c:v>
                </c:pt>
                <c:pt idx="251">
                  <c:v>409.23759149281432</c:v>
                </c:pt>
                <c:pt idx="252">
                  <c:v>372.7575914928143</c:v>
                </c:pt>
                <c:pt idx="253">
                  <c:v>408.39759149281417</c:v>
                </c:pt>
                <c:pt idx="254">
                  <c:v>412.53759149281427</c:v>
                </c:pt>
                <c:pt idx="255">
                  <c:v>447.73759149281409</c:v>
                </c:pt>
                <c:pt idx="256">
                  <c:v>443.33759149281423</c:v>
                </c:pt>
                <c:pt idx="257">
                  <c:v>443.33759149281423</c:v>
                </c:pt>
                <c:pt idx="258">
                  <c:v>418.73759149281409</c:v>
                </c:pt>
                <c:pt idx="259">
                  <c:v>364.13759149281418</c:v>
                </c:pt>
                <c:pt idx="260">
                  <c:v>391.10759149281421</c:v>
                </c:pt>
                <c:pt idx="261">
                  <c:v>364.94759149281413</c:v>
                </c:pt>
                <c:pt idx="262">
                  <c:v>396.93759149281436</c:v>
                </c:pt>
                <c:pt idx="263">
                  <c:v>373.98759149281454</c:v>
                </c:pt>
                <c:pt idx="264">
                  <c:v>342.30759149281471</c:v>
                </c:pt>
                <c:pt idx="265">
                  <c:v>368.78759149281473</c:v>
                </c:pt>
                <c:pt idx="266">
                  <c:v>414.83759149281468</c:v>
                </c:pt>
                <c:pt idx="267">
                  <c:v>430.65759149281462</c:v>
                </c:pt>
                <c:pt idx="268">
                  <c:v>419.53759149281473</c:v>
                </c:pt>
                <c:pt idx="269">
                  <c:v>488.2075914928148</c:v>
                </c:pt>
                <c:pt idx="270">
                  <c:v>518.59759149281467</c:v>
                </c:pt>
                <c:pt idx="271">
                  <c:v>507.25759149281475</c:v>
                </c:pt>
                <c:pt idx="272">
                  <c:v>523.65759149281484</c:v>
                </c:pt>
                <c:pt idx="273">
                  <c:v>523.65759149281484</c:v>
                </c:pt>
                <c:pt idx="274">
                  <c:v>499.15759149281484</c:v>
                </c:pt>
                <c:pt idx="275">
                  <c:v>523.30759149281471</c:v>
                </c:pt>
                <c:pt idx="276">
                  <c:v>499.30759149281471</c:v>
                </c:pt>
                <c:pt idx="277">
                  <c:v>470.02759149281474</c:v>
                </c:pt>
                <c:pt idx="278">
                  <c:v>493.02759149281474</c:v>
                </c:pt>
                <c:pt idx="279">
                  <c:v>485.52759149281474</c:v>
                </c:pt>
                <c:pt idx="280">
                  <c:v>516.96759149281479</c:v>
                </c:pt>
                <c:pt idx="281">
                  <c:v>455.08759149281491</c:v>
                </c:pt>
                <c:pt idx="282">
                  <c:v>503.13759149281486</c:v>
                </c:pt>
                <c:pt idx="283">
                  <c:v>451.68759149281482</c:v>
                </c:pt>
                <c:pt idx="284">
                  <c:v>427.68759149281482</c:v>
                </c:pt>
                <c:pt idx="285">
                  <c:v>370.53759149281473</c:v>
                </c:pt>
                <c:pt idx="286">
                  <c:v>408.05759149281471</c:v>
                </c:pt>
                <c:pt idx="287">
                  <c:v>411.34759149281467</c:v>
                </c:pt>
                <c:pt idx="288">
                  <c:v>546.09759149281467</c:v>
                </c:pt>
                <c:pt idx="289">
                  <c:v>514.29759149281449</c:v>
                </c:pt>
                <c:pt idx="290">
                  <c:v>514.29759149281449</c:v>
                </c:pt>
                <c:pt idx="291">
                  <c:v>578.09759149281444</c:v>
                </c:pt>
                <c:pt idx="292">
                  <c:v>521.09759149281444</c:v>
                </c:pt>
                <c:pt idx="293">
                  <c:v>466.69759149281435</c:v>
                </c:pt>
                <c:pt idx="294">
                  <c:v>340.20759149281434</c:v>
                </c:pt>
                <c:pt idx="295">
                  <c:v>371.79759149281426</c:v>
                </c:pt>
                <c:pt idx="296">
                  <c:v>286.76759149281429</c:v>
                </c:pt>
                <c:pt idx="297">
                  <c:v>305.76759149281429</c:v>
                </c:pt>
                <c:pt idx="298">
                  <c:v>265.76759149281429</c:v>
                </c:pt>
                <c:pt idx="299">
                  <c:v>265.76759149281429</c:v>
                </c:pt>
                <c:pt idx="300">
                  <c:v>265.94759149281435</c:v>
                </c:pt>
                <c:pt idx="301">
                  <c:v>350.30759149281425</c:v>
                </c:pt>
                <c:pt idx="302">
                  <c:v>340.04759149281404</c:v>
                </c:pt>
                <c:pt idx="303">
                  <c:v>375.76759149281406</c:v>
                </c:pt>
                <c:pt idx="304">
                  <c:v>285.03079149281393</c:v>
                </c:pt>
                <c:pt idx="305">
                  <c:v>384.48079149281398</c:v>
                </c:pt>
                <c:pt idx="306">
                  <c:v>574.34079149281411</c:v>
                </c:pt>
                <c:pt idx="307">
                  <c:v>618.59079149281411</c:v>
                </c:pt>
                <c:pt idx="308">
                  <c:v>618.59079149281411</c:v>
                </c:pt>
                <c:pt idx="309">
                  <c:v>549.09079149281411</c:v>
                </c:pt>
                <c:pt idx="310">
                  <c:v>533.89079149281406</c:v>
                </c:pt>
                <c:pt idx="311">
                  <c:v>632.17079149281426</c:v>
                </c:pt>
                <c:pt idx="312">
                  <c:v>599.47079149281421</c:v>
                </c:pt>
                <c:pt idx="313">
                  <c:v>559.50779149281425</c:v>
                </c:pt>
                <c:pt idx="314">
                  <c:v>515.50779149281425</c:v>
                </c:pt>
                <c:pt idx="315">
                  <c:v>465.50779149281425</c:v>
                </c:pt>
                <c:pt idx="316">
                  <c:v>510.84779149281417</c:v>
                </c:pt>
                <c:pt idx="317">
                  <c:v>536.76779149281424</c:v>
                </c:pt>
                <c:pt idx="318">
                  <c:v>418.13236927848197</c:v>
                </c:pt>
                <c:pt idx="319">
                  <c:v>562.25236927848186</c:v>
                </c:pt>
                <c:pt idx="320">
                  <c:v>596.41236927848172</c:v>
                </c:pt>
                <c:pt idx="321">
                  <c:v>619.61236927848154</c:v>
                </c:pt>
                <c:pt idx="322">
                  <c:v>670.01236927848186</c:v>
                </c:pt>
                <c:pt idx="323">
                  <c:v>547.51236927848186</c:v>
                </c:pt>
                <c:pt idx="324">
                  <c:v>387.43236927848193</c:v>
                </c:pt>
                <c:pt idx="325">
                  <c:v>442.68236927848193</c:v>
                </c:pt>
                <c:pt idx="326">
                  <c:v>315.18236927848193</c:v>
                </c:pt>
                <c:pt idx="327">
                  <c:v>300.22236927848189</c:v>
                </c:pt>
                <c:pt idx="328">
                  <c:v>248.02236927848185</c:v>
                </c:pt>
                <c:pt idx="329">
                  <c:v>300.72236927848212</c:v>
                </c:pt>
                <c:pt idx="330">
                  <c:v>239.67236927848217</c:v>
                </c:pt>
                <c:pt idx="331">
                  <c:v>264.39236927848219</c:v>
                </c:pt>
                <c:pt idx="332">
                  <c:v>341.19236927848237</c:v>
                </c:pt>
                <c:pt idx="333">
                  <c:v>375.99236927848233</c:v>
                </c:pt>
                <c:pt idx="334">
                  <c:v>392.63236927848243</c:v>
                </c:pt>
                <c:pt idx="335">
                  <c:v>460.85236927848246</c:v>
                </c:pt>
                <c:pt idx="336">
                  <c:v>421.46236927848236</c:v>
                </c:pt>
                <c:pt idx="337">
                  <c:v>561.36236927848245</c:v>
                </c:pt>
                <c:pt idx="338">
                  <c:v>533.36236927848245</c:v>
                </c:pt>
                <c:pt idx="339">
                  <c:v>469.10236927848246</c:v>
                </c:pt>
                <c:pt idx="340">
                  <c:v>340.8973692784823</c:v>
                </c:pt>
                <c:pt idx="341">
                  <c:v>334.23736927848245</c:v>
                </c:pt>
                <c:pt idx="342">
                  <c:v>344.73736927848245</c:v>
                </c:pt>
                <c:pt idx="343">
                  <c:v>380.05736927848238</c:v>
                </c:pt>
                <c:pt idx="344">
                  <c:v>316.03736927848263</c:v>
                </c:pt>
                <c:pt idx="345">
                  <c:v>247.99736927848267</c:v>
                </c:pt>
                <c:pt idx="346">
                  <c:v>219.52736927848264</c:v>
                </c:pt>
                <c:pt idx="347">
                  <c:v>222.82736927848259</c:v>
                </c:pt>
                <c:pt idx="348">
                  <c:v>218.68736927848272</c:v>
                </c:pt>
                <c:pt idx="349">
                  <c:v>180.68736927848249</c:v>
                </c:pt>
                <c:pt idx="350">
                  <c:v>273.36736927848256</c:v>
                </c:pt>
                <c:pt idx="351">
                  <c:v>248.88736927848254</c:v>
                </c:pt>
                <c:pt idx="352">
                  <c:v>244.44736927848248</c:v>
                </c:pt>
                <c:pt idx="353">
                  <c:v>191.49736927848244</c:v>
                </c:pt>
                <c:pt idx="354">
                  <c:v>219.87736927848232</c:v>
                </c:pt>
                <c:pt idx="355">
                  <c:v>132.51736927848242</c:v>
                </c:pt>
                <c:pt idx="356">
                  <c:v>72.897369278482529</c:v>
                </c:pt>
                <c:pt idx="357">
                  <c:v>378.69736927848248</c:v>
                </c:pt>
                <c:pt idx="358">
                  <c:v>464.73736927848245</c:v>
                </c:pt>
                <c:pt idx="359">
                  <c:v>300.57736927848237</c:v>
                </c:pt>
                <c:pt idx="360">
                  <c:v>148.20236927848237</c:v>
                </c:pt>
                <c:pt idx="361">
                  <c:v>145.15236927848218</c:v>
                </c:pt>
                <c:pt idx="362">
                  <c:v>318.95236927848214</c:v>
                </c:pt>
                <c:pt idx="363">
                  <c:v>137.56236927848227</c:v>
                </c:pt>
                <c:pt idx="364">
                  <c:v>115.12236927848221</c:v>
                </c:pt>
                <c:pt idx="365">
                  <c:v>52.58236927848202</c:v>
                </c:pt>
                <c:pt idx="366">
                  <c:v>-476.37763072151779</c:v>
                </c:pt>
                <c:pt idx="367">
                  <c:v>-559.01763072151789</c:v>
                </c:pt>
                <c:pt idx="368">
                  <c:v>-266.66763072151798</c:v>
                </c:pt>
                <c:pt idx="369">
                  <c:v>-234.95763072151794</c:v>
                </c:pt>
                <c:pt idx="370">
                  <c:v>-215.74763072151791</c:v>
                </c:pt>
                <c:pt idx="371">
                  <c:v>-143.64763072151777</c:v>
                </c:pt>
                <c:pt idx="372">
                  <c:v>-226.19763072151773</c:v>
                </c:pt>
                <c:pt idx="373">
                  <c:v>-185.03763072151764</c:v>
                </c:pt>
                <c:pt idx="374">
                  <c:v>3.0623692784824925</c:v>
                </c:pt>
                <c:pt idx="375">
                  <c:v>-174.43763072151751</c:v>
                </c:pt>
                <c:pt idx="376">
                  <c:v>-249.55763072151763</c:v>
                </c:pt>
                <c:pt idx="377">
                  <c:v>-52.697630721517498</c:v>
                </c:pt>
                <c:pt idx="378">
                  <c:v>-236.92763072151752</c:v>
                </c:pt>
                <c:pt idx="379">
                  <c:v>-283.92763072151752</c:v>
                </c:pt>
                <c:pt idx="380">
                  <c:v>-343.7776307215172</c:v>
                </c:pt>
                <c:pt idx="381">
                  <c:v>-343.7776307215172</c:v>
                </c:pt>
                <c:pt idx="382">
                  <c:v>-208.17763072151729</c:v>
                </c:pt>
                <c:pt idx="383">
                  <c:v>0.7723692784825289</c:v>
                </c:pt>
                <c:pt idx="384">
                  <c:v>-7.6276307215173347</c:v>
                </c:pt>
                <c:pt idx="385">
                  <c:v>53.832369278482474</c:v>
                </c:pt>
                <c:pt idx="386">
                  <c:v>-171.61763072151757</c:v>
                </c:pt>
                <c:pt idx="387">
                  <c:v>-113.01763072151789</c:v>
                </c:pt>
                <c:pt idx="388">
                  <c:v>142.98236927848211</c:v>
                </c:pt>
                <c:pt idx="389">
                  <c:v>130.102369278482</c:v>
                </c:pt>
                <c:pt idx="390">
                  <c:v>269.2123692784819</c:v>
                </c:pt>
                <c:pt idx="391">
                  <c:v>230.81236927848181</c:v>
                </c:pt>
                <c:pt idx="392">
                  <c:v>377.95236927848168</c:v>
                </c:pt>
                <c:pt idx="393">
                  <c:v>351.82236927848157</c:v>
                </c:pt>
                <c:pt idx="394">
                  <c:v>465.44236927848146</c:v>
                </c:pt>
                <c:pt idx="395">
                  <c:v>294.44236927848146</c:v>
                </c:pt>
                <c:pt idx="396">
                  <c:v>190.34236927848156</c:v>
                </c:pt>
                <c:pt idx="397">
                  <c:v>306.34236927848156</c:v>
                </c:pt>
                <c:pt idx="398">
                  <c:v>493.24236927848165</c:v>
                </c:pt>
                <c:pt idx="399">
                  <c:v>395.59236927848156</c:v>
                </c:pt>
                <c:pt idx="400">
                  <c:v>379.09236927848156</c:v>
                </c:pt>
                <c:pt idx="401">
                  <c:v>291.89236927848151</c:v>
                </c:pt>
                <c:pt idx="402">
                  <c:v>69.152369278481274</c:v>
                </c:pt>
                <c:pt idx="403">
                  <c:v>105.30236927848136</c:v>
                </c:pt>
                <c:pt idx="404">
                  <c:v>213.90236927848127</c:v>
                </c:pt>
                <c:pt idx="405">
                  <c:v>258.3423692784811</c:v>
                </c:pt>
                <c:pt idx="406">
                  <c:v>82.572369278481119</c:v>
                </c:pt>
                <c:pt idx="407">
                  <c:v>196.57236927848112</c:v>
                </c:pt>
                <c:pt idx="408">
                  <c:v>87.612369278481083</c:v>
                </c:pt>
                <c:pt idx="409">
                  <c:v>167.23236927848097</c:v>
                </c:pt>
                <c:pt idx="410">
                  <c:v>234.44236927848101</c:v>
                </c:pt>
                <c:pt idx="411">
                  <c:v>263.702369278481</c:v>
                </c:pt>
                <c:pt idx="412">
                  <c:v>263.702369278481</c:v>
                </c:pt>
                <c:pt idx="413">
                  <c:v>325.74236927848119</c:v>
                </c:pt>
                <c:pt idx="414">
                  <c:v>383.34236927848133</c:v>
                </c:pt>
                <c:pt idx="415">
                  <c:v>417.34236927848133</c:v>
                </c:pt>
                <c:pt idx="416">
                  <c:v>522.94236927848124</c:v>
                </c:pt>
                <c:pt idx="417">
                  <c:v>459.94236927848124</c:v>
                </c:pt>
                <c:pt idx="418">
                  <c:v>577.86236927848154</c:v>
                </c:pt>
              </c:numCache>
              <c:extLst xmlns:c15="http://schemas.microsoft.com/office/drawing/2012/chart"/>
            </c:numRef>
          </c:val>
          <c:smooth val="1"/>
          <c:extLst xmlns:c15="http://schemas.microsoft.com/office/drawing/2012/chart">
            <c:ext xmlns:c16="http://schemas.microsoft.com/office/drawing/2014/chart" uri="{C3380CC4-5D6E-409C-BE32-E72D297353CC}">
              <c16:uniqueId val="{00000000-32EC-4F77-AE99-591BE6637D8C}"/>
            </c:ext>
          </c:extLst>
        </c:ser>
        <c:dLbls>
          <c:showLegendKey val="0"/>
          <c:showVal val="0"/>
          <c:showCatName val="0"/>
          <c:showSerName val="0"/>
          <c:showPercent val="0"/>
          <c:showBubbleSize val="0"/>
        </c:dLbls>
        <c:marker val="1"/>
        <c:smooth val="0"/>
        <c:axId val="958105456"/>
        <c:axId val="958095376"/>
        <c:extLst/>
      </c:lineChart>
      <c:lineChart>
        <c:grouping val="standard"/>
        <c:varyColors val="0"/>
        <c:dLbls>
          <c:showLegendKey val="0"/>
          <c:showVal val="0"/>
          <c:showCatName val="0"/>
          <c:showSerName val="0"/>
          <c:showPercent val="0"/>
          <c:showBubbleSize val="0"/>
        </c:dLbls>
        <c:marker val="1"/>
        <c:smooth val="0"/>
        <c:axId val="890437600"/>
        <c:axId val="890433280"/>
        <c:extLst>
          <c:ext xmlns:c15="http://schemas.microsoft.com/office/drawing/2012/chart" uri="{02D57815-91ED-43cb-92C2-25804820EDAC}">
            <c15:filteredLineSeries>
              <c15:ser>
                <c:idx val="1"/>
                <c:order val="2"/>
                <c:tx>
                  <c:v>Risk Units (Strategy)</c:v>
                </c:tx>
                <c:spPr>
                  <a:ln w="28575" cap="rnd">
                    <a:solidFill>
                      <a:srgbClr val="00D600"/>
                    </a:solidFill>
                    <a:prstDash val="solid"/>
                    <a:round/>
                  </a:ln>
                  <a:effectLst/>
                </c:spPr>
                <c:marker>
                  <c:symbol val="none"/>
                </c:marker>
                <c:val>
                  <c:numRef>
                    <c:extLst>
                      <c:ext uri="{02D57815-91ED-43cb-92C2-25804820EDAC}">
                        <c15:formulaRef>
                          <c15:sqref>'2025-Q2'!$Q$4:$Q$422</c15:sqref>
                        </c15:formulaRef>
                      </c:ext>
                    </c:extLst>
                    <c:numCache>
                      <c:formatCode>0</c:formatCode>
                      <c:ptCount val="419"/>
                      <c:pt idx="0">
                        <c:v>-0.47844667409884589</c:v>
                      </c:pt>
                      <c:pt idx="1">
                        <c:v>0.20039738260780871</c:v>
                      </c:pt>
                      <c:pt idx="2">
                        <c:v>0.14168868051043698</c:v>
                      </c:pt>
                      <c:pt idx="3">
                        <c:v>-0.27293129519335796</c:v>
                      </c:pt>
                      <c:pt idx="4">
                        <c:v>-0.47884355832632985</c:v>
                      </c:pt>
                      <c:pt idx="5">
                        <c:v>-1.1314998695128593</c:v>
                      </c:pt>
                      <c:pt idx="6">
                        <c:v>-1.7085312074749515</c:v>
                      </c:pt>
                      <c:pt idx="7">
                        <c:v>-1.8360766180392338</c:v>
                      </c:pt>
                      <c:pt idx="8">
                        <c:v>-1.3115775214181404</c:v>
                      </c:pt>
                      <c:pt idx="9">
                        <c:v>-1.2113348285828556</c:v>
                      </c:pt>
                      <c:pt idx="10">
                        <c:v>-0.95561406511137981</c:v>
                      </c:pt>
                      <c:pt idx="11">
                        <c:v>-0.44202439144535155</c:v>
                      </c:pt>
                      <c:pt idx="12">
                        <c:v>-0.14049636328842707</c:v>
                      </c:pt>
                      <c:pt idx="13">
                        <c:v>4.1870607419762229E-3</c:v>
                      </c:pt>
                      <c:pt idx="14">
                        <c:v>0.88125019448485542</c:v>
                      </c:pt>
                      <c:pt idx="15">
                        <c:v>1.5367228313007768</c:v>
                      </c:pt>
                      <c:pt idx="16">
                        <c:v>1.8989945133694157</c:v>
                      </c:pt>
                      <c:pt idx="17">
                        <c:v>2.0758863936006722</c:v>
                      </c:pt>
                      <c:pt idx="18">
                        <c:v>2.0204847315508085</c:v>
                      </c:pt>
                      <c:pt idx="19">
                        <c:v>2.479339640968226</c:v>
                      </c:pt>
                      <c:pt idx="20">
                        <c:v>2.8885628512008088</c:v>
                      </c:pt>
                      <c:pt idx="21">
                        <c:v>3.1825278168545936</c:v>
                      </c:pt>
                      <c:pt idx="22">
                        <c:v>3.2190908881525866</c:v>
                      </c:pt>
                      <c:pt idx="23">
                        <c:v>3.1077736339781881</c:v>
                      </c:pt>
                      <c:pt idx="24">
                        <c:v>2.2433590498599756</c:v>
                      </c:pt>
                      <c:pt idx="25">
                        <c:v>-0.69347717786234497</c:v>
                      </c:pt>
                      <c:pt idx="26">
                        <c:v>-0.28144014082530722</c:v>
                      </c:pt>
                      <c:pt idx="27">
                        <c:v>-0.8466247678034533</c:v>
                      </c:pt>
                      <c:pt idx="28">
                        <c:v>-1.8203684645518421</c:v>
                      </c:pt>
                      <c:pt idx="29">
                        <c:v>-1.3877396666654465</c:v>
                      </c:pt>
                      <c:pt idx="30">
                        <c:v>-1.9379069855923361</c:v>
                      </c:pt>
                      <c:pt idx="31">
                        <c:v>-1.4194961328791575</c:v>
                      </c:pt>
                      <c:pt idx="32">
                        <c:v>-1.9288541049236982</c:v>
                      </c:pt>
                      <c:pt idx="33">
                        <c:v>-1.9268771952289319</c:v>
                      </c:pt>
                      <c:pt idx="34">
                        <c:v>-2.8311079866290094</c:v>
                      </c:pt>
                      <c:pt idx="35">
                        <c:v>-3.6523931271912593</c:v>
                      </c:pt>
                      <c:pt idx="36">
                        <c:v>-3.9899002122636547</c:v>
                      </c:pt>
                      <c:pt idx="37">
                        <c:v>-3.7879113993363691</c:v>
                      </c:pt>
                      <c:pt idx="38">
                        <c:v>-3.5931589251063865</c:v>
                      </c:pt>
                      <c:pt idx="39">
                        <c:v>-3.5263239332751088</c:v>
                      </c:pt>
                      <c:pt idx="40">
                        <c:v>-5.537177510620392</c:v>
                      </c:pt>
                      <c:pt idx="41">
                        <c:v>-6.1698907998352057</c:v>
                      </c:pt>
                      <c:pt idx="42">
                        <c:v>-4.7974759579860526</c:v>
                      </c:pt>
                      <c:pt idx="43">
                        <c:v>-4.0358648935995474</c:v>
                      </c:pt>
                      <c:pt idx="44">
                        <c:v>-4.4008000593732879</c:v>
                      </c:pt>
                      <c:pt idx="45">
                        <c:v>-4.4109819516052307</c:v>
                      </c:pt>
                      <c:pt idx="46">
                        <c:v>-5.6071865363803166</c:v>
                      </c:pt>
                      <c:pt idx="47">
                        <c:v>-7.0682998432392061</c:v>
                      </c:pt>
                      <c:pt idx="48">
                        <c:v>-7.5856091190062189</c:v>
                      </c:pt>
                      <c:pt idx="49">
                        <c:v>-9.1172192257828364</c:v>
                      </c:pt>
                      <c:pt idx="50">
                        <c:v>-9.9489462194288656</c:v>
                      </c:pt>
                      <c:pt idx="51">
                        <c:v>-8.9979059571823203</c:v>
                      </c:pt>
                      <c:pt idx="52">
                        <c:v>-10.300253137189074</c:v>
                      </c:pt>
                      <c:pt idx="53">
                        <c:v>-9.8075933422036989</c:v>
                      </c:pt>
                      <c:pt idx="54">
                        <c:v>-9.0674560373339723</c:v>
                      </c:pt>
                      <c:pt idx="55">
                        <c:v>-8.4523575142856586</c:v>
                      </c:pt>
                      <c:pt idx="56">
                        <c:v>-9.1301468782064106</c:v>
                      </c:pt>
                      <c:pt idx="57">
                        <c:v>-7.2367037438873627</c:v>
                      </c:pt>
                      <c:pt idx="58">
                        <c:v>-6.570820469308436</c:v>
                      </c:pt>
                      <c:pt idx="59">
                        <c:v>-5.3878982522222465</c:v>
                      </c:pt>
                      <c:pt idx="60">
                        <c:v>-4.8869031249145785</c:v>
                      </c:pt>
                      <c:pt idx="61">
                        <c:v>-3.4572510052265755</c:v>
                      </c:pt>
                      <c:pt idx="62">
                        <c:v>-0.85395569470692978</c:v>
                      </c:pt>
                      <c:pt idx="63">
                        <c:v>8.6471431557587852E-2</c:v>
                      </c:pt>
                      <c:pt idx="64">
                        <c:v>-0.17626348436724137</c:v>
                      </c:pt>
                      <c:pt idx="65">
                        <c:v>1.0010275157147994</c:v>
                      </c:pt>
                      <c:pt idx="66">
                        <c:v>0.62223963692692064</c:v>
                      </c:pt>
                      <c:pt idx="67">
                        <c:v>-0.21429491708744819</c:v>
                      </c:pt>
                      <c:pt idx="68">
                        <c:v>-8.5598469109410213E-2</c:v>
                      </c:pt>
                      <c:pt idx="69">
                        <c:v>0.40492617899247219</c:v>
                      </c:pt>
                      <c:pt idx="70">
                        <c:v>1.0669262875170809</c:v>
                      </c:pt>
                      <c:pt idx="71">
                        <c:v>0.50741682324032988</c:v>
                      </c:pt>
                      <c:pt idx="72">
                        <c:v>1.6582474396042501</c:v>
                      </c:pt>
                      <c:pt idx="73">
                        <c:v>1.4659864012733408</c:v>
                      </c:pt>
                      <c:pt idx="74">
                        <c:v>2.3339506306263136</c:v>
                      </c:pt>
                      <c:pt idx="75">
                        <c:v>1.8269605683052752</c:v>
                      </c:pt>
                      <c:pt idx="76">
                        <c:v>3.1940325367574602</c:v>
                      </c:pt>
                      <c:pt idx="77">
                        <c:v>2.9095547633323458</c:v>
                      </c:pt>
                      <c:pt idx="78">
                        <c:v>1.9383283226175572</c:v>
                      </c:pt>
                      <c:pt idx="79">
                        <c:v>1.8946983051655502</c:v>
                      </c:pt>
                      <c:pt idx="80">
                        <c:v>2.0450948050288287</c:v>
                      </c:pt>
                      <c:pt idx="81">
                        <c:v>1.1604321122480523</c:v>
                      </c:pt>
                      <c:pt idx="82">
                        <c:v>0.42612969954012547</c:v>
                      </c:pt>
                      <c:pt idx="83">
                        <c:v>-0.1420521186416932</c:v>
                      </c:pt>
                      <c:pt idx="84">
                        <c:v>-1.9891271992497082</c:v>
                      </c:pt>
                      <c:pt idx="85">
                        <c:v>-2.1691025710409368</c:v>
                      </c:pt>
                      <c:pt idx="86">
                        <c:v>-2.6950584430415798</c:v>
                      </c:pt>
                      <c:pt idx="87">
                        <c:v>-2.6849925111879389</c:v>
                      </c:pt>
                      <c:pt idx="88">
                        <c:v>-1.8106333034953979</c:v>
                      </c:pt>
                      <c:pt idx="89">
                        <c:v>-2.1280936209557169</c:v>
                      </c:pt>
                      <c:pt idx="90">
                        <c:v>-0.92414816113558329</c:v>
                      </c:pt>
                      <c:pt idx="91">
                        <c:v>-1.1424887724892951</c:v>
                      </c:pt>
                      <c:pt idx="92">
                        <c:v>-0.86662670352377824</c:v>
                      </c:pt>
                      <c:pt idx="93">
                        <c:v>-1.7244456741410146</c:v>
                      </c:pt>
                      <c:pt idx="94">
                        <c:v>-2.3626582780885155</c:v>
                      </c:pt>
                      <c:pt idx="95">
                        <c:v>-2.2652914166881257</c:v>
                      </c:pt>
                      <c:pt idx="96">
                        <c:v>-2.1703947486155823</c:v>
                      </c:pt>
                      <c:pt idx="97">
                        <c:v>-1.9677709420354601</c:v>
                      </c:pt>
                      <c:pt idx="98">
                        <c:v>-2.3429272571667665</c:v>
                      </c:pt>
                      <c:pt idx="99">
                        <c:v>-2.9877567531711975</c:v>
                      </c:pt>
                      <c:pt idx="100">
                        <c:v>-4.2403663565114904</c:v>
                      </c:pt>
                      <c:pt idx="101">
                        <c:v>-4.6997771739785739</c:v>
                      </c:pt>
                      <c:pt idx="102">
                        <c:v>-4.7190396522119737</c:v>
                      </c:pt>
                      <c:pt idx="103">
                        <c:v>-5.9287683373392399</c:v>
                      </c:pt>
                      <c:pt idx="104">
                        <c:v>-5.9539276798417546</c:v>
                      </c:pt>
                      <c:pt idx="105">
                        <c:v>-5.1940085179181388</c:v>
                      </c:pt>
                      <c:pt idx="106">
                        <c:v>-4.9981011135874072</c:v>
                      </c:pt>
                      <c:pt idx="107">
                        <c:v>-6.3630770713972407</c:v>
                      </c:pt>
                      <c:pt idx="108">
                        <c:v>-5.7819577716305144</c:v>
                      </c:pt>
                      <c:pt idx="109">
                        <c:v>-6.3267842750062391</c:v>
                      </c:pt>
                      <c:pt idx="110">
                        <c:v>-6.0214116249442107</c:v>
                      </c:pt>
                      <c:pt idx="111">
                        <c:v>-5.7969393735352881</c:v>
                      </c:pt>
                      <c:pt idx="112">
                        <c:v>-5.3653956772951865</c:v>
                      </c:pt>
                      <c:pt idx="113">
                        <c:v>-4.7416777641167203</c:v>
                      </c:pt>
                      <c:pt idx="114">
                        <c:v>-4.2400596411393741</c:v>
                      </c:pt>
                      <c:pt idx="115">
                        <c:v>-3.0387554532249812</c:v>
                      </c:pt>
                      <c:pt idx="116">
                        <c:v>-2.5605557345189331</c:v>
                      </c:pt>
                      <c:pt idx="117">
                        <c:v>-2.1722525543375828</c:v>
                      </c:pt>
                      <c:pt idx="118">
                        <c:v>-1.1492158280551046</c:v>
                      </c:pt>
                      <c:pt idx="119">
                        <c:v>-1.5839313833536213</c:v>
                      </c:pt>
                      <c:pt idx="120">
                        <c:v>-1.3751869951462514</c:v>
                      </c:pt>
                      <c:pt idx="121">
                        <c:v>-1.7447813144524631</c:v>
                      </c:pt>
                      <c:pt idx="122">
                        <c:v>-2.7893495595778077</c:v>
                      </c:pt>
                      <c:pt idx="123">
                        <c:v>-3.1062469828999504</c:v>
                      </c:pt>
                      <c:pt idx="124">
                        <c:v>-1.8556524727762904</c:v>
                      </c:pt>
                      <c:pt idx="125">
                        <c:v>-1.6281729459337075</c:v>
                      </c:pt>
                      <c:pt idx="126">
                        <c:v>-1.2121034160922763</c:v>
                      </c:pt>
                      <c:pt idx="127">
                        <c:v>-1.8693380137242281</c:v>
                      </c:pt>
                      <c:pt idx="128">
                        <c:v>-1.6437062447711597</c:v>
                      </c:pt>
                      <c:pt idx="129">
                        <c:v>-2.0399190676588801</c:v>
                      </c:pt>
                      <c:pt idx="130">
                        <c:v>-2.6017657575543494</c:v>
                      </c:pt>
                      <c:pt idx="131">
                        <c:v>-2.8475744926302475</c:v>
                      </c:pt>
                      <c:pt idx="132">
                        <c:v>-3.3168096041176898</c:v>
                      </c:pt>
                      <c:pt idx="133">
                        <c:v>-2.3425954943103564</c:v>
                      </c:pt>
                      <c:pt idx="134">
                        <c:v>-1.8550446091451565</c:v>
                      </c:pt>
                      <c:pt idx="135">
                        <c:v>-1.5149085547233869</c:v>
                      </c:pt>
                      <c:pt idx="136">
                        <c:v>-1.3277969400703142</c:v>
                      </c:pt>
                      <c:pt idx="137">
                        <c:v>-1.668634426465456</c:v>
                      </c:pt>
                      <c:pt idx="138">
                        <c:v>-1.5095599506881596</c:v>
                      </c:pt>
                      <c:pt idx="139">
                        <c:v>-1.4230248174240525</c:v>
                      </c:pt>
                      <c:pt idx="140">
                        <c:v>-1.5623199838817778</c:v>
                      </c:pt>
                      <c:pt idx="141">
                        <c:v>-2.0134488519457587</c:v>
                      </c:pt>
                      <c:pt idx="142">
                        <c:v>-3.2879707351168679</c:v>
                      </c:pt>
                      <c:pt idx="143">
                        <c:v>-3.6575995661656893</c:v>
                      </c:pt>
                      <c:pt idx="144">
                        <c:v>-3.7067723071121197</c:v>
                      </c:pt>
                      <c:pt idx="145">
                        <c:v>-2.3668580878147356</c:v>
                      </c:pt>
                      <c:pt idx="146">
                        <c:v>-2.8096922263010486</c:v>
                      </c:pt>
                      <c:pt idx="147">
                        <c:v>-3.3736644512919129</c:v>
                      </c:pt>
                      <c:pt idx="148">
                        <c:v>-2.1994220270494886</c:v>
                      </c:pt>
                      <c:pt idx="149">
                        <c:v>-1.1895642741033996</c:v>
                      </c:pt>
                      <c:pt idx="150">
                        <c:v>-1.4294754711528501</c:v>
                      </c:pt>
                      <c:pt idx="151">
                        <c:v>-0.29896076527049464</c:v>
                      </c:pt>
                      <c:pt idx="152">
                        <c:v>2.1212812589319263</c:v>
                      </c:pt>
                      <c:pt idx="153">
                        <c:v>0.45559671758445219</c:v>
                      </c:pt>
                      <c:pt idx="154">
                        <c:v>0.11008254564723019</c:v>
                      </c:pt>
                      <c:pt idx="155">
                        <c:v>-0.60788837472654722</c:v>
                      </c:pt>
                      <c:pt idx="156">
                        <c:v>1.3940789817292982</c:v>
                      </c:pt>
                      <c:pt idx="157">
                        <c:v>1.9519590375173019</c:v>
                      </c:pt>
                      <c:pt idx="158">
                        <c:v>2.3866380895596979</c:v>
                      </c:pt>
                      <c:pt idx="159">
                        <c:v>0.1325802906681699</c:v>
                      </c:pt>
                      <c:pt idx="160">
                        <c:v>0.7469494198887815</c:v>
                      </c:pt>
                      <c:pt idx="161">
                        <c:v>1.8264030841566621</c:v>
                      </c:pt>
                      <c:pt idx="162">
                        <c:v>2.1533484088385184</c:v>
                      </c:pt>
                      <c:pt idx="163">
                        <c:v>1.1850241022571937</c:v>
                      </c:pt>
                      <c:pt idx="164">
                        <c:v>1.6084680406653482</c:v>
                      </c:pt>
                      <c:pt idx="165">
                        <c:v>2.5784582323056084</c:v>
                      </c:pt>
                      <c:pt idx="166">
                        <c:v>2.4495371706027469</c:v>
                      </c:pt>
                      <c:pt idx="167">
                        <c:v>2.1660962085939803</c:v>
                      </c:pt>
                      <c:pt idx="168">
                        <c:v>3.4153088896773314</c:v>
                      </c:pt>
                      <c:pt idx="169">
                        <c:v>3.3927390925798093</c:v>
                      </c:pt>
                      <c:pt idx="170">
                        <c:v>3.8622433902367037</c:v>
                      </c:pt>
                      <c:pt idx="171">
                        <c:v>2.382576560251402</c:v>
                      </c:pt>
                      <c:pt idx="172">
                        <c:v>2.3771352717542849</c:v>
                      </c:pt>
                      <c:pt idx="173">
                        <c:v>2.8968010553287709</c:v>
                      </c:pt>
                      <c:pt idx="174">
                        <c:v>4.5653856353057538</c:v>
                      </c:pt>
                      <c:pt idx="175">
                        <c:v>6.0770488443327224</c:v>
                      </c:pt>
                      <c:pt idx="176">
                        <c:v>6.1338430545686604</c:v>
                      </c:pt>
                      <c:pt idx="177">
                        <c:v>7.4415236860197851</c:v>
                      </c:pt>
                      <c:pt idx="178">
                        <c:v>7.7422783748040613</c:v>
                      </c:pt>
                      <c:pt idx="179">
                        <c:v>8.2750391890534303</c:v>
                      </c:pt>
                      <c:pt idx="180">
                        <c:v>7.7873689645410975</c:v>
                      </c:pt>
                      <c:pt idx="181">
                        <c:v>7.4765334049530798</c:v>
                      </c:pt>
                      <c:pt idx="182">
                        <c:v>8.1878740782347599</c:v>
                      </c:pt>
                      <c:pt idx="183">
                        <c:v>8.7508862741436477</c:v>
                      </c:pt>
                      <c:pt idx="184">
                        <c:v>7.144808182202893</c:v>
                      </c:pt>
                      <c:pt idx="185">
                        <c:v>6.3077664360702421</c:v>
                      </c:pt>
                      <c:pt idx="186">
                        <c:v>6.2124864595237748</c:v>
                      </c:pt>
                      <c:pt idx="187">
                        <c:v>6.6746343468477187</c:v>
                      </c:pt>
                      <c:pt idx="188">
                        <c:v>7.7602241802484118</c:v>
                      </c:pt>
                      <c:pt idx="189">
                        <c:v>7.5424098420944183</c:v>
                      </c:pt>
                      <c:pt idx="190">
                        <c:v>8.2262488429767924</c:v>
                      </c:pt>
                      <c:pt idx="191">
                        <c:v>7.4235161358888355</c:v>
                      </c:pt>
                      <c:pt idx="192">
                        <c:v>7.1035552237749116</c:v>
                      </c:pt>
                      <c:pt idx="193">
                        <c:v>9.0775157445644972</c:v>
                      </c:pt>
                      <c:pt idx="194">
                        <c:v>8.1166221038984823</c:v>
                      </c:pt>
                      <c:pt idx="195">
                        <c:v>8.2428221516250453</c:v>
                      </c:pt>
                      <c:pt idx="196">
                        <c:v>8.3018181253018941</c:v>
                      </c:pt>
                      <c:pt idx="197">
                        <c:v>8.5318673082306571</c:v>
                      </c:pt>
                      <c:pt idx="198">
                        <c:v>8.6295988355954858</c:v>
                      </c:pt>
                      <c:pt idx="199">
                        <c:v>9.3962568950345382</c:v>
                      </c:pt>
                      <c:pt idx="200">
                        <c:v>9.0576052447920858</c:v>
                      </c:pt>
                      <c:pt idx="201">
                        <c:v>10.112275929251835</c:v>
                      </c:pt>
                      <c:pt idx="202">
                        <c:v>10.37037705420914</c:v>
                      </c:pt>
                      <c:pt idx="203">
                        <c:v>10.219387363973926</c:v>
                      </c:pt>
                      <c:pt idx="204">
                        <c:v>10.567751954120791</c:v>
                      </c:pt>
                      <c:pt idx="205">
                        <c:v>9.5015483436248509</c:v>
                      </c:pt>
                      <c:pt idx="206">
                        <c:v>10.8702451347185</c:v>
                      </c:pt>
                      <c:pt idx="207">
                        <c:v>10.682094263973774</c:v>
                      </c:pt>
                      <c:pt idx="208">
                        <c:v>10.518946093985173</c:v>
                      </c:pt>
                      <c:pt idx="209">
                        <c:v>10.744096194051885</c:v>
                      </c:pt>
                      <c:pt idx="210">
                        <c:v>9.7253150234268944</c:v>
                      </c:pt>
                      <c:pt idx="211">
                        <c:v>9.1446679641707398</c:v>
                      </c:pt>
                      <c:pt idx="212">
                        <c:v>8.9730103268942418</c:v>
                      </c:pt>
                      <c:pt idx="213">
                        <c:v>9.0607348718231631</c:v>
                      </c:pt>
                      <c:pt idx="214">
                        <c:v>9.6040226390856951</c:v>
                      </c:pt>
                      <c:pt idx="215">
                        <c:v>8.2235727936534389</c:v>
                      </c:pt>
                      <c:pt idx="216">
                        <c:v>9.6701325298249294</c:v>
                      </c:pt>
                      <c:pt idx="217">
                        <c:v>10.61784023175402</c:v>
                      </c:pt>
                      <c:pt idx="218">
                        <c:v>10.093832104281024</c:v>
                      </c:pt>
                      <c:pt idx="219">
                        <c:v>11.660905344455497</c:v>
                      </c:pt>
                      <c:pt idx="220">
                        <c:v>12.159665410213808</c:v>
                      </c:pt>
                      <c:pt idx="221">
                        <c:v>12.703788590440142</c:v>
                      </c:pt>
                      <c:pt idx="222">
                        <c:v>12.889082134422978</c:v>
                      </c:pt>
                      <c:pt idx="223">
                        <c:v>12.53017124333387</c:v>
                      </c:pt>
                      <c:pt idx="224">
                        <c:v>12.891689119769552</c:v>
                      </c:pt>
                      <c:pt idx="225">
                        <c:v>12.48431686854348</c:v>
                      </c:pt>
                      <c:pt idx="226">
                        <c:v>10.71338804038324</c:v>
                      </c:pt>
                      <c:pt idx="227">
                        <c:v>11.178395085944537</c:v>
                      </c:pt>
                      <c:pt idx="228">
                        <c:v>11.173938638802456</c:v>
                      </c:pt>
                      <c:pt idx="229">
                        <c:v>11.13064324048479</c:v>
                      </c:pt>
                      <c:pt idx="230">
                        <c:v>11.85261751194712</c:v>
                      </c:pt>
                      <c:pt idx="231">
                        <c:v>11.287738457006188</c:v>
                      </c:pt>
                      <c:pt idx="232">
                        <c:v>11.95752185960032</c:v>
                      </c:pt>
                      <c:pt idx="233">
                        <c:v>12.410924730368757</c:v>
                      </c:pt>
                      <c:pt idx="234">
                        <c:v>12.984132365378066</c:v>
                      </c:pt>
                      <c:pt idx="235">
                        <c:v>12.697673539102093</c:v>
                      </c:pt>
                      <c:pt idx="236">
                        <c:v>14.53479756665276</c:v>
                      </c:pt>
                      <c:pt idx="237">
                        <c:v>14.486684895524737</c:v>
                      </c:pt>
                      <c:pt idx="238">
                        <c:v>12.783281554566807</c:v>
                      </c:pt>
                      <c:pt idx="239">
                        <c:v>12.826426572586197</c:v>
                      </c:pt>
                      <c:pt idx="240">
                        <c:v>12.924432844987628</c:v>
                      </c:pt>
                      <c:pt idx="241">
                        <c:v>16.673577851827574</c:v>
                      </c:pt>
                      <c:pt idx="242">
                        <c:v>16.781797269983905</c:v>
                      </c:pt>
                      <c:pt idx="243">
                        <c:v>17.17289476212164</c:v>
                      </c:pt>
                      <c:pt idx="244">
                        <c:v>16.345178212344795</c:v>
                      </c:pt>
                      <c:pt idx="245">
                        <c:v>16.783861940161984</c:v>
                      </c:pt>
                      <c:pt idx="246">
                        <c:v>16.478196092805835</c:v>
                      </c:pt>
                      <c:pt idx="247">
                        <c:v>16.280657074262852</c:v>
                      </c:pt>
                      <c:pt idx="248">
                        <c:v>15.752021879831016</c:v>
                      </c:pt>
                      <c:pt idx="249">
                        <c:v>15.351808432659187</c:v>
                      </c:pt>
                      <c:pt idx="250">
                        <c:v>15.805998704196597</c:v>
                      </c:pt>
                      <c:pt idx="251">
                        <c:v>14.931403101849719</c:v>
                      </c:pt>
                      <c:pt idx="252">
                        <c:v>14.424482975119687</c:v>
                      </c:pt>
                      <c:pt idx="253">
                        <c:v>15.123997808492788</c:v>
                      </c:pt>
                      <c:pt idx="254">
                        <c:v>15.182701228605092</c:v>
                      </c:pt>
                      <c:pt idx="255">
                        <c:v>15.71140031572603</c:v>
                      </c:pt>
                      <c:pt idx="256">
                        <c:v>15.580295759842713</c:v>
                      </c:pt>
                      <c:pt idx="257">
                        <c:v>14.090974168719391</c:v>
                      </c:pt>
                      <c:pt idx="258">
                        <c:v>13.819521063628258</c:v>
                      </c:pt>
                      <c:pt idx="259">
                        <c:v>12.760404095420382</c:v>
                      </c:pt>
                      <c:pt idx="260">
                        <c:v>13.128493155017241</c:v>
                      </c:pt>
                      <c:pt idx="261">
                        <c:v>12.837265084841802</c:v>
                      </c:pt>
                      <c:pt idx="262">
                        <c:v>13.107564931635411</c:v>
                      </c:pt>
                      <c:pt idx="263">
                        <c:v>12.843690229558463</c:v>
                      </c:pt>
                      <c:pt idx="264">
                        <c:v>12.380816555498678</c:v>
                      </c:pt>
                      <c:pt idx="265">
                        <c:v>12.614019205221537</c:v>
                      </c:pt>
                      <c:pt idx="266">
                        <c:v>13.211881191444419</c:v>
                      </c:pt>
                      <c:pt idx="267">
                        <c:v>13.384331244020656</c:v>
                      </c:pt>
                      <c:pt idx="268">
                        <c:v>13.222699578167964</c:v>
                      </c:pt>
                      <c:pt idx="269">
                        <c:v>14.367767887415377</c:v>
                      </c:pt>
                      <c:pt idx="270">
                        <c:v>14.67490377351676</c:v>
                      </c:pt>
                      <c:pt idx="271">
                        <c:v>14.504082566380232</c:v>
                      </c:pt>
                      <c:pt idx="272">
                        <c:v>14.666491900974997</c:v>
                      </c:pt>
                      <c:pt idx="273">
                        <c:v>13.721181936677688</c:v>
                      </c:pt>
                      <c:pt idx="274">
                        <c:v>13.116935268505111</c:v>
                      </c:pt>
                      <c:pt idx="275">
                        <c:v>13.455739982309822</c:v>
                      </c:pt>
                      <c:pt idx="276">
                        <c:v>13.095772430089179</c:v>
                      </c:pt>
                      <c:pt idx="277">
                        <c:v>13.469462089724225</c:v>
                      </c:pt>
                      <c:pt idx="278">
                        <c:v>13.804602265745674</c:v>
                      </c:pt>
                      <c:pt idx="279">
                        <c:v>13.876133023971711</c:v>
                      </c:pt>
                      <c:pt idx="280">
                        <c:v>14.317611809399542</c:v>
                      </c:pt>
                      <c:pt idx="281">
                        <c:v>13.419738062566889</c:v>
                      </c:pt>
                      <c:pt idx="282">
                        <c:v>13.910610190632925</c:v>
                      </c:pt>
                      <c:pt idx="283">
                        <c:v>12.586770528185669</c:v>
                      </c:pt>
                      <c:pt idx="284">
                        <c:v>12.542982898191143</c:v>
                      </c:pt>
                      <c:pt idx="285">
                        <c:v>11.720017631213434</c:v>
                      </c:pt>
                      <c:pt idx="286">
                        <c:v>12.254819674636167</c:v>
                      </c:pt>
                      <c:pt idx="287">
                        <c:v>12.302604298154334</c:v>
                      </c:pt>
                      <c:pt idx="288">
                        <c:v>14.077615824203205</c:v>
                      </c:pt>
                      <c:pt idx="289">
                        <c:v>13.625551682272121</c:v>
                      </c:pt>
                      <c:pt idx="290">
                        <c:v>13.567375050511433</c:v>
                      </c:pt>
                      <c:pt idx="291">
                        <c:v>14.569838245791264</c:v>
                      </c:pt>
                      <c:pt idx="292">
                        <c:v>13.777019022544547</c:v>
                      </c:pt>
                      <c:pt idx="293">
                        <c:v>12.984755245310478</c:v>
                      </c:pt>
                      <c:pt idx="294">
                        <c:v>11.131296057577664</c:v>
                      </c:pt>
                      <c:pt idx="295">
                        <c:v>10.60700385205512</c:v>
                      </c:pt>
                      <c:pt idx="296">
                        <c:v>9.4121994643729483</c:v>
                      </c:pt>
                      <c:pt idx="297">
                        <c:v>9.6844276087512942</c:v>
                      </c:pt>
                      <c:pt idx="298">
                        <c:v>9.1097149650731328</c:v>
                      </c:pt>
                      <c:pt idx="299">
                        <c:v>9.1097149650731328</c:v>
                      </c:pt>
                      <c:pt idx="300">
                        <c:v>9.1439326951215669</c:v>
                      </c:pt>
                      <c:pt idx="301">
                        <c:v>10.377967234795666</c:v>
                      </c:pt>
                      <c:pt idx="302">
                        <c:v>10.36924514548147</c:v>
                      </c:pt>
                      <c:pt idx="303">
                        <c:v>10.942762004209595</c:v>
                      </c:pt>
                      <c:pt idx="304">
                        <c:v>9.5184741481376278</c:v>
                      </c:pt>
                      <c:pt idx="305">
                        <c:v>10.562919564385206</c:v>
                      </c:pt>
                      <c:pt idx="306">
                        <c:v>12.789462326748176</c:v>
                      </c:pt>
                      <c:pt idx="307">
                        <c:v>13.516524746709344</c:v>
                      </c:pt>
                      <c:pt idx="308">
                        <c:v>13.937932247762864</c:v>
                      </c:pt>
                      <c:pt idx="309">
                        <c:v>14.940384288726372</c:v>
                      </c:pt>
                      <c:pt idx="310">
                        <c:v>14.852607242423982</c:v>
                      </c:pt>
                      <c:pt idx="311">
                        <c:v>16.169168349625483</c:v>
                      </c:pt>
                      <c:pt idx="312">
                        <c:v>15.85563511510262</c:v>
                      </c:pt>
                      <c:pt idx="313">
                        <c:v>16.845601670286566</c:v>
                      </c:pt>
                      <c:pt idx="314">
                        <c:v>16.070407871836952</c:v>
                      </c:pt>
                      <c:pt idx="315">
                        <c:v>16.8492240712139</c:v>
                      </c:pt>
                      <c:pt idx="316">
                        <c:v>17.386469030769618</c:v>
                      </c:pt>
                      <c:pt idx="317">
                        <c:v>17.755699800000389</c:v>
                      </c:pt>
                      <c:pt idx="318">
                        <c:v>16.138247090767099</c:v>
                      </c:pt>
                      <c:pt idx="319">
                        <c:v>18.474822966253477</c:v>
                      </c:pt>
                      <c:pt idx="320">
                        <c:v>18.950790506827758</c:v>
                      </c:pt>
                      <c:pt idx="321">
                        <c:v>19.276377124095074</c:v>
                      </c:pt>
                      <c:pt idx="322">
                        <c:v>19.609060099731675</c:v>
                      </c:pt>
                      <c:pt idx="323">
                        <c:v>17.942393433065007</c:v>
                      </c:pt>
                      <c:pt idx="324">
                        <c:v>15.700499524504433</c:v>
                      </c:pt>
                      <c:pt idx="325">
                        <c:v>16.48888422770078</c:v>
                      </c:pt>
                      <c:pt idx="326">
                        <c:v>14.895592823088617</c:v>
                      </c:pt>
                      <c:pt idx="327">
                        <c:v>14.679802013238401</c:v>
                      </c:pt>
                      <c:pt idx="328">
                        <c:v>13.903537899345421</c:v>
                      </c:pt>
                      <c:pt idx="329">
                        <c:v>14.472096996290976</c:v>
                      </c:pt>
                      <c:pt idx="330">
                        <c:v>15.311791652779524</c:v>
                      </c:pt>
                      <c:pt idx="331">
                        <c:v>15.651456604632841</c:v>
                      </c:pt>
                      <c:pt idx="332">
                        <c:v>16.589185542361783</c:v>
                      </c:pt>
                      <c:pt idx="333">
                        <c:v>17.073223177647584</c:v>
                      </c:pt>
                      <c:pt idx="334">
                        <c:v>17.287011184404342</c:v>
                      </c:pt>
                      <c:pt idx="335">
                        <c:v>17.952002809194965</c:v>
                      </c:pt>
                      <c:pt idx="336">
                        <c:v>17.516531708640727</c:v>
                      </c:pt>
                      <c:pt idx="337">
                        <c:v>19.558773654728828</c:v>
                      </c:pt>
                      <c:pt idx="338">
                        <c:v>19.862925615935108</c:v>
                      </c:pt>
                      <c:pt idx="339">
                        <c:v>19.260159759950369</c:v>
                      </c:pt>
                      <c:pt idx="340">
                        <c:v>16.414422662716266</c:v>
                      </c:pt>
                      <c:pt idx="341">
                        <c:v>16.313679340364864</c:v>
                      </c:pt>
                      <c:pt idx="342">
                        <c:v>16.743282933413099</c:v>
                      </c:pt>
                      <c:pt idx="343">
                        <c:v>17.05036290599995</c:v>
                      </c:pt>
                      <c:pt idx="344">
                        <c:v>16.137639891603037</c:v>
                      </c:pt>
                      <c:pt idx="345">
                        <c:v>15.304649352730145</c:v>
                      </c:pt>
                      <c:pt idx="346">
                        <c:v>14.925897718117827</c:v>
                      </c:pt>
                      <c:pt idx="347">
                        <c:v>14.968350730352013</c:v>
                      </c:pt>
                      <c:pt idx="348">
                        <c:v>14.86384622584751</c:v>
                      </c:pt>
                      <c:pt idx="349">
                        <c:v>14.39693745833843</c:v>
                      </c:pt>
                      <c:pt idx="350">
                        <c:v>15.521410892228905</c:v>
                      </c:pt>
                      <c:pt idx="351">
                        <c:v>15.192210292577352</c:v>
                      </c:pt>
                      <c:pt idx="352">
                        <c:v>15.135209722571652</c:v>
                      </c:pt>
                      <c:pt idx="353">
                        <c:v>14.519976773834976</c:v>
                      </c:pt>
                      <c:pt idx="354">
                        <c:v>14.885934220643485</c:v>
                      </c:pt>
                      <c:pt idx="355">
                        <c:v>13.752457962107675</c:v>
                      </c:pt>
                      <c:pt idx="356">
                        <c:v>12.895220903090198</c:v>
                      </c:pt>
                      <c:pt idx="357">
                        <c:v>16.616769003653289</c:v>
                      </c:pt>
                      <c:pt idx="358">
                        <c:v>17.966226768352694</c:v>
                      </c:pt>
                      <c:pt idx="359">
                        <c:v>16.034097594844209</c:v>
                      </c:pt>
                      <c:pt idx="360">
                        <c:v>14.167237350544335</c:v>
                      </c:pt>
                      <c:pt idx="361">
                        <c:v>14.167237350544335</c:v>
                      </c:pt>
                      <c:pt idx="362">
                        <c:v>15.974338569410259</c:v>
                      </c:pt>
                      <c:pt idx="363">
                        <c:v>13.803023828374403</c:v>
                      </c:pt>
                      <c:pt idx="364">
                        <c:v>13.519372461690544</c:v>
                      </c:pt>
                      <c:pt idx="365">
                        <c:v>12.882606127249788</c:v>
                      </c:pt>
                      <c:pt idx="366">
                        <c:v>7.1081407999652821</c:v>
                      </c:pt>
                      <c:pt idx="367">
                        <c:v>6.119926664580901</c:v>
                      </c:pt>
                      <c:pt idx="368">
                        <c:v>9.5029837548203133</c:v>
                      </c:pt>
                      <c:pt idx="369">
                        <c:v>9.8839423143140035</c:v>
                      </c:pt>
                      <c:pt idx="370">
                        <c:v>10.162882342208007</c:v>
                      </c:pt>
                      <c:pt idx="371">
                        <c:v>11.082695412455022</c:v>
                      </c:pt>
                      <c:pt idx="372">
                        <c:v>10.331569327126132</c:v>
                      </c:pt>
                      <c:pt idx="373">
                        <c:v>11.243967114523922</c:v>
                      </c:pt>
                      <c:pt idx="374">
                        <c:v>13.828676063264149</c:v>
                      </c:pt>
                      <c:pt idx="375">
                        <c:v>11.754533906401404</c:v>
                      </c:pt>
                      <c:pt idx="376">
                        <c:v>10.678485061038085</c:v>
                      </c:pt>
                      <c:pt idx="377">
                        <c:v>13.102184721293675</c:v>
                      </c:pt>
                      <c:pt idx="378">
                        <c:v>10.797490601652935</c:v>
                      </c:pt>
                      <c:pt idx="379">
                        <c:v>10.392475066810503</c:v>
                      </c:pt>
                      <c:pt idx="380">
                        <c:v>9.6584146641259423</c:v>
                      </c:pt>
                      <c:pt idx="381">
                        <c:v>10.846645520406589</c:v>
                      </c:pt>
                      <c:pt idx="382">
                        <c:v>12.397033117305812</c:v>
                      </c:pt>
                      <c:pt idx="383">
                        <c:v>14.869985203859134</c:v>
                      </c:pt>
                      <c:pt idx="384">
                        <c:v>14.701309091330167</c:v>
                      </c:pt>
                      <c:pt idx="385">
                        <c:v>15.492559973297709</c:v>
                      </c:pt>
                      <c:pt idx="386">
                        <c:v>12.920934778614816</c:v>
                      </c:pt>
                      <c:pt idx="387">
                        <c:v>13.698814326754405</c:v>
                      </c:pt>
                      <c:pt idx="388">
                        <c:v>10.669595483582073</c:v>
                      </c:pt>
                      <c:pt idx="389">
                        <c:v>10.563192115684167</c:v>
                      </c:pt>
                      <c:pt idx="390">
                        <c:v>12.395462518807363</c:v>
                      </c:pt>
                      <c:pt idx="391">
                        <c:v>11.998870274389031</c:v>
                      </c:pt>
                      <c:pt idx="392">
                        <c:v>13.678057952341756</c:v>
                      </c:pt>
                      <c:pt idx="393">
                        <c:v>12.912630265899059</c:v>
                      </c:pt>
                      <c:pt idx="394">
                        <c:v>14.249047639324912</c:v>
                      </c:pt>
                      <c:pt idx="395">
                        <c:v>12.231503779675789</c:v>
                      </c:pt>
                      <c:pt idx="396">
                        <c:v>11.07210721148963</c:v>
                      </c:pt>
                      <c:pt idx="397">
                        <c:v>12.466491986315333</c:v>
                      </c:pt>
                      <c:pt idx="398">
                        <c:v>14.696475865949937</c:v>
                      </c:pt>
                      <c:pt idx="399">
                        <c:v>13.697888879459725</c:v>
                      </c:pt>
                      <c:pt idx="400">
                        <c:v>13.494338969021685</c:v>
                      </c:pt>
                      <c:pt idx="401">
                        <c:v>12.097668726243443</c:v>
                      </c:pt>
                      <c:pt idx="402">
                        <c:v>9.2056701614784622</c:v>
                      </c:pt>
                      <c:pt idx="403">
                        <c:v>8.6420568809798635</c:v>
                      </c:pt>
                      <c:pt idx="404">
                        <c:v>10.794393606150022</c:v>
                      </c:pt>
                      <c:pt idx="405">
                        <c:v>10.226945996733765</c:v>
                      </c:pt>
                      <c:pt idx="406">
                        <c:v>7.9834223246386617</c:v>
                      </c:pt>
                      <c:pt idx="407">
                        <c:v>6.4765430933654571</c:v>
                      </c:pt>
                      <c:pt idx="408">
                        <c:v>7.759757365580751</c:v>
                      </c:pt>
                      <c:pt idx="409">
                        <c:v>8.6130739387774238</c:v>
                      </c:pt>
                      <c:pt idx="410">
                        <c:v>9.4049014214705569</c:v>
                      </c:pt>
                      <c:pt idx="411">
                        <c:v>9.8076960975757057</c:v>
                      </c:pt>
                      <c:pt idx="412">
                        <c:v>9.8690503811522117</c:v>
                      </c:pt>
                      <c:pt idx="413">
                        <c:v>9.9226031502222227</c:v>
                      </c:pt>
                      <c:pt idx="414">
                        <c:v>10.636690781947127</c:v>
                      </c:pt>
                      <c:pt idx="415">
                        <c:v>11.06108072140915</c:v>
                      </c:pt>
                      <c:pt idx="416">
                        <c:v>11.359705475829582</c:v>
                      </c:pt>
                      <c:pt idx="417">
                        <c:v>10.599249202065323</c:v>
                      </c:pt>
                      <c:pt idx="418">
                        <c:v>12.531345993452172</c:v>
                      </c:pt>
                    </c:numCache>
                  </c:numRef>
                </c:val>
                <c:smooth val="0"/>
                <c:extLst>
                  <c:ext xmlns:c16="http://schemas.microsoft.com/office/drawing/2014/chart" uri="{C3380CC4-5D6E-409C-BE32-E72D297353CC}">
                    <c16:uniqueId val="{00000000-64C0-43C3-B584-6EBED46618AF}"/>
                  </c:ext>
                </c:extLst>
              </c15:ser>
            </c15:filteredLineSeries>
          </c:ext>
        </c:extLst>
      </c:lineChart>
      <c:catAx>
        <c:axId val="958105456"/>
        <c:scaling>
          <c:orientation val="minMax"/>
        </c:scaling>
        <c:delete val="0"/>
        <c:axPos val="b"/>
        <c:numFmt formatCode="General" sourceLinked="1"/>
        <c:majorTickMark val="none"/>
        <c:minorTickMark val="none"/>
        <c:tickLblPos val="low"/>
        <c:spPr>
          <a:noFill/>
          <a:ln w="19050" cap="flat" cmpd="sng" algn="ctr">
            <a:solidFill>
              <a:schemeClr val="tx1"/>
            </a:solidFill>
            <a:prstDash val="sysDash"/>
            <a:round/>
          </a:ln>
          <a:effectLst/>
        </c:spPr>
        <c:txPr>
          <a:bodyPr rot="-60000000" spcFirstLastPara="1" vertOverflow="ellipsis" vert="horz" wrap="square" anchor="ctr" anchorCtr="1"/>
          <a:lstStyle/>
          <a:p>
            <a:pPr>
              <a:defRPr sz="800" b="1" i="0" u="none" strike="noStrike" kern="1200" baseline="0">
                <a:solidFill>
                  <a:sysClr val="windowText" lastClr="000000"/>
                </a:solidFill>
                <a:latin typeface="+mn-lt"/>
                <a:ea typeface="+mn-ea"/>
                <a:cs typeface="+mn-cs"/>
              </a:defRPr>
            </a:pPr>
            <a:endParaRPr lang="en-US"/>
          </a:p>
        </c:txPr>
        <c:crossAx val="958095376"/>
        <c:crosses val="autoZero"/>
        <c:auto val="1"/>
        <c:lblAlgn val="ctr"/>
        <c:lblOffset val="100"/>
        <c:noMultiLvlLbl val="0"/>
      </c:catAx>
      <c:valAx>
        <c:axId val="958095376"/>
        <c:scaling>
          <c:orientation val="minMax"/>
          <c:max val="2000"/>
          <c:min val="-1000"/>
        </c:scaling>
        <c:delete val="0"/>
        <c:axPos val="l"/>
        <c:majorGridlines>
          <c:spPr>
            <a:ln w="9525" cap="flat" cmpd="sng" algn="ctr">
              <a:solidFill>
                <a:schemeClr val="accent3">
                  <a:lumMod val="60000"/>
                  <a:lumOff val="40000"/>
                </a:schemeClr>
              </a:solidFill>
              <a:round/>
            </a:ln>
            <a:effectLst/>
          </c:spPr>
        </c:majorGridlines>
        <c:minorGridlines>
          <c:spPr>
            <a:ln w="9525" cap="flat" cmpd="sng" algn="ctr">
              <a:noFill/>
              <a:prstDash val="sysDash"/>
              <a:round/>
            </a:ln>
            <a:effectLst/>
          </c:spPr>
        </c:minorGridlines>
        <c:numFmt formatCode="&quot;$&quot;0.0,&quot;k&quot;" sourceLinked="0"/>
        <c:majorTickMark val="none"/>
        <c:minorTickMark val="none"/>
        <c:tickLblPos val="high"/>
        <c:spPr>
          <a:noFill/>
          <a:ln>
            <a:noFill/>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958105456"/>
        <c:crosses val="autoZero"/>
        <c:crossBetween val="between"/>
        <c:minorUnit val="100"/>
      </c:valAx>
      <c:valAx>
        <c:axId val="890433280"/>
        <c:scaling>
          <c:orientation val="minMax"/>
          <c:max val="100"/>
          <c:min val="-10"/>
        </c:scaling>
        <c:delete val="1"/>
        <c:axPos val="r"/>
        <c:minorGridlines>
          <c:spPr>
            <a:ln w="9525" cap="flat" cmpd="sng" algn="ctr">
              <a:noFill/>
              <a:round/>
            </a:ln>
            <a:effectLst/>
          </c:spPr>
        </c:minorGridlines>
        <c:numFmt formatCode="0" sourceLinked="0"/>
        <c:majorTickMark val="out"/>
        <c:minorTickMark val="none"/>
        <c:tickLblPos val="nextTo"/>
        <c:crossAx val="890437600"/>
        <c:crosses val="max"/>
        <c:crossBetween val="between"/>
      </c:valAx>
      <c:catAx>
        <c:axId val="890437600"/>
        <c:scaling>
          <c:orientation val="minMax"/>
        </c:scaling>
        <c:delete val="1"/>
        <c:axPos val="b"/>
        <c:majorTickMark val="out"/>
        <c:minorTickMark val="none"/>
        <c:tickLblPos val="nextTo"/>
        <c:crossAx val="890433280"/>
        <c:crosses val="autoZero"/>
        <c:auto val="1"/>
        <c:lblAlgn val="ctr"/>
        <c:lblOffset val="100"/>
        <c:noMultiLvlLbl val="0"/>
      </c:catAx>
      <c:spPr>
        <a:gradFill>
          <a:gsLst>
            <a:gs pos="0">
              <a:srgbClr val="00FF00"/>
            </a:gs>
            <a:gs pos="44000">
              <a:srgbClr val="65FF65">
                <a:alpha val="79000"/>
              </a:srgbClr>
            </a:gs>
            <a:gs pos="100000">
              <a:schemeClr val="bg1"/>
            </a:gs>
          </a:gsLst>
          <a:lin ang="5400000" scaled="1"/>
        </a:gradFill>
        <a:ln>
          <a:solidFill>
            <a:sysClr val="windowText" lastClr="000000"/>
          </a:solidFill>
        </a:ln>
        <a:effectLst/>
      </c:spPr>
    </c:plotArea>
    <c:legend>
      <c:legendPos val="t"/>
      <c:layout>
        <c:manualLayout>
          <c:xMode val="edge"/>
          <c:yMode val="edge"/>
          <c:x val="0.35192848608731953"/>
          <c:y val="1.4963181148748159E-2"/>
          <c:w val="0.30757137076329816"/>
          <c:h val="3.5187147998252795E-2"/>
        </c:manualLayout>
      </c:layou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0"/>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accent3">
                    <a:lumMod val="75000"/>
                  </a:schemeClr>
                </a:solidFill>
                <a:latin typeface="+mn-lt"/>
                <a:ea typeface="+mn-ea"/>
                <a:cs typeface="+mn-cs"/>
              </a:defRPr>
            </a:pPr>
            <a:r>
              <a:rPr lang="en-US" sz="2000" b="1">
                <a:solidFill>
                  <a:schemeClr val="accent3">
                    <a:lumMod val="75000"/>
                  </a:schemeClr>
                </a:solidFill>
              </a:rPr>
              <a:t>The Three Tiers of The Strategy ($$$)</a:t>
            </a:r>
          </a:p>
        </c:rich>
      </c:tx>
      <c:layout>
        <c:manualLayout>
          <c:xMode val="edge"/>
          <c:yMode val="edge"/>
          <c:x val="2.203421174294962E-2"/>
          <c:y val="6.8846815834767644E-3"/>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accent3">
                  <a:lumMod val="75000"/>
                </a:schemeClr>
              </a:solidFill>
              <a:latin typeface="+mn-lt"/>
              <a:ea typeface="+mn-ea"/>
              <a:cs typeface="+mn-cs"/>
            </a:defRPr>
          </a:pPr>
          <a:endParaRPr lang="en-US"/>
        </a:p>
      </c:txPr>
    </c:title>
    <c:autoTitleDeleted val="0"/>
    <c:plotArea>
      <c:layout>
        <c:manualLayout>
          <c:layoutTarget val="inner"/>
          <c:xMode val="edge"/>
          <c:yMode val="edge"/>
          <c:x val="1.0171058714748035E-2"/>
          <c:y val="7.7350558040499021E-2"/>
          <c:w val="0.95283482768537431"/>
          <c:h val="0.86018548951798435"/>
        </c:manualLayout>
      </c:layout>
      <c:lineChart>
        <c:grouping val="standard"/>
        <c:varyColors val="0"/>
        <c:ser>
          <c:idx val="3"/>
          <c:order val="0"/>
          <c:tx>
            <c:v>Total P/L</c:v>
          </c:tx>
          <c:spPr>
            <a:ln w="28575" cap="rnd">
              <a:solidFill>
                <a:sysClr val="windowText" lastClr="000000"/>
              </a:solidFill>
              <a:round/>
            </a:ln>
            <a:effectLst/>
          </c:spPr>
          <c:marker>
            <c:symbol val="none"/>
          </c:marker>
          <c:val>
            <c:numRef>
              <c:f>'2025-Q2'!$O$4:$O$422</c:f>
              <c:numCache>
                <c:formatCode>"$"#,##0</c:formatCode>
                <c:ptCount val="419"/>
                <c:pt idx="0">
                  <c:v>-30.899999999999864</c:v>
                </c:pt>
                <c:pt idx="1">
                  <c:v>13.9200000000003</c:v>
                </c:pt>
                <c:pt idx="2">
                  <c:v>9.9200000000000728</c:v>
                </c:pt>
                <c:pt idx="3">
                  <c:v>-16.769999999999754</c:v>
                </c:pt>
                <c:pt idx="4">
                  <c:v>-27.379999999999768</c:v>
                </c:pt>
                <c:pt idx="5">
                  <c:v>-69.379999999999768</c:v>
                </c:pt>
                <c:pt idx="6">
                  <c:v>-106.27999999999963</c:v>
                </c:pt>
                <c:pt idx="7">
                  <c:v>-114.9799999999999</c:v>
                </c:pt>
                <c:pt idx="8">
                  <c:v>-83.8599999999999</c:v>
                </c:pt>
                <c:pt idx="9">
                  <c:v>-77.143719531497254</c:v>
                </c:pt>
                <c:pt idx="10">
                  <c:v>-59.683719531497218</c:v>
                </c:pt>
                <c:pt idx="11">
                  <c:v>-25.783719531497354</c:v>
                </c:pt>
                <c:pt idx="12">
                  <c:v>-6.1137195314972814</c:v>
                </c:pt>
                <c:pt idx="13">
                  <c:v>3.2662804685026003</c:v>
                </c:pt>
                <c:pt idx="14">
                  <c:v>67.256280468502837</c:v>
                </c:pt>
                <c:pt idx="15">
                  <c:v>114.6862804685029</c:v>
                </c:pt>
                <c:pt idx="16">
                  <c:v>139.73628046850308</c:v>
                </c:pt>
                <c:pt idx="17">
                  <c:v>152.03628046850326</c:v>
                </c:pt>
                <c:pt idx="18">
                  <c:v>148.43628046850313</c:v>
                </c:pt>
                <c:pt idx="19">
                  <c:v>179.71128046850299</c:v>
                </c:pt>
                <c:pt idx="20">
                  <c:v>207.94768197455119</c:v>
                </c:pt>
                <c:pt idx="21">
                  <c:v>228.23126460466233</c:v>
                </c:pt>
                <c:pt idx="22">
                  <c:v>230.69126460466259</c:v>
                </c:pt>
                <c:pt idx="23">
                  <c:v>223.01037406662908</c:v>
                </c:pt>
                <c:pt idx="24">
                  <c:v>165.19037406662915</c:v>
                </c:pt>
                <c:pt idx="25">
                  <c:v>-40.989625933370803</c:v>
                </c:pt>
                <c:pt idx="26">
                  <c:v>-14.289625933370758</c:v>
                </c:pt>
                <c:pt idx="27">
                  <c:v>-52.539625933370758</c:v>
                </c:pt>
                <c:pt idx="28">
                  <c:v>-119.73962593337058</c:v>
                </c:pt>
                <c:pt idx="29">
                  <c:v>-90.264625933370439</c:v>
                </c:pt>
                <c:pt idx="30">
                  <c:v>-129.06462593337039</c:v>
                </c:pt>
                <c:pt idx="31">
                  <c:v>-96.964625933370371</c:v>
                </c:pt>
                <c:pt idx="32">
                  <c:v>-131.36462593337046</c:v>
                </c:pt>
                <c:pt idx="33">
                  <c:v>-131.21462593337037</c:v>
                </c:pt>
                <c:pt idx="34">
                  <c:v>-193.96462593337014</c:v>
                </c:pt>
                <c:pt idx="35">
                  <c:v>-243.04462593337018</c:v>
                </c:pt>
                <c:pt idx="36">
                  <c:v>-266.62462593337011</c:v>
                </c:pt>
                <c:pt idx="37">
                  <c:v>-252.97462593337002</c:v>
                </c:pt>
                <c:pt idx="38">
                  <c:v>-241.60462593337002</c:v>
                </c:pt>
                <c:pt idx="39">
                  <c:v>-237.0146259333701</c:v>
                </c:pt>
                <c:pt idx="40">
                  <c:v>-366.88962593336987</c:v>
                </c:pt>
                <c:pt idx="41">
                  <c:v>-409.33962593337014</c:v>
                </c:pt>
                <c:pt idx="42">
                  <c:v>-310.06462593336983</c:v>
                </c:pt>
                <c:pt idx="43">
                  <c:v>-253.01462593336987</c:v>
                </c:pt>
                <c:pt idx="44">
                  <c:v>-276.51462593336987</c:v>
                </c:pt>
                <c:pt idx="45">
                  <c:v>-277.35462593336979</c:v>
                </c:pt>
                <c:pt idx="46">
                  <c:v>-370.27962593336974</c:v>
                </c:pt>
                <c:pt idx="47">
                  <c:v>-463.43962593336983</c:v>
                </c:pt>
                <c:pt idx="48">
                  <c:v>-501.00962593336976</c:v>
                </c:pt>
                <c:pt idx="49">
                  <c:v>-608.22263972975429</c:v>
                </c:pt>
                <c:pt idx="50">
                  <c:v>-666.44369563037503</c:v>
                </c:pt>
                <c:pt idx="51">
                  <c:v>-601.68869563037492</c:v>
                </c:pt>
                <c:pt idx="52">
                  <c:v>-694.23869563037488</c:v>
                </c:pt>
                <c:pt idx="53">
                  <c:v>-669.94869563037491</c:v>
                </c:pt>
                <c:pt idx="54">
                  <c:v>-627.42869563037493</c:v>
                </c:pt>
                <c:pt idx="55">
                  <c:v>-599.90869563037495</c:v>
                </c:pt>
                <c:pt idx="56">
                  <c:v>-631.108695630375</c:v>
                </c:pt>
                <c:pt idx="57">
                  <c:v>-540.05869563037493</c:v>
                </c:pt>
                <c:pt idx="58">
                  <c:v>-506.05869563037493</c:v>
                </c:pt>
                <c:pt idx="59">
                  <c:v>-455.38869563037485</c:v>
                </c:pt>
                <c:pt idx="60">
                  <c:v>-433.48869563037476</c:v>
                </c:pt>
                <c:pt idx="61">
                  <c:v>-349.57869563037468</c:v>
                </c:pt>
                <c:pt idx="62">
                  <c:v>-226.33869563037467</c:v>
                </c:pt>
                <c:pt idx="63">
                  <c:v>-181.15869563037472</c:v>
                </c:pt>
                <c:pt idx="64">
                  <c:v>-193.90869563037484</c:v>
                </c:pt>
                <c:pt idx="65">
                  <c:v>-136.50869563037486</c:v>
                </c:pt>
                <c:pt idx="66">
                  <c:v>-151.50869563037486</c:v>
                </c:pt>
                <c:pt idx="67">
                  <c:v>-195.14869563037485</c:v>
                </c:pt>
                <c:pt idx="68">
                  <c:v>-189.74869563037475</c:v>
                </c:pt>
                <c:pt idx="69">
                  <c:v>-165.59869563037478</c:v>
                </c:pt>
                <c:pt idx="70">
                  <c:v>-133.87869563037475</c:v>
                </c:pt>
                <c:pt idx="71">
                  <c:v>-160.62369563037487</c:v>
                </c:pt>
                <c:pt idx="72">
                  <c:v>-113.18369563037481</c:v>
                </c:pt>
                <c:pt idx="73">
                  <c:v>-122.69369563037492</c:v>
                </c:pt>
                <c:pt idx="74">
                  <c:v>-83.093695630374896</c:v>
                </c:pt>
                <c:pt idx="75">
                  <c:v>-107.17369563037494</c:v>
                </c:pt>
                <c:pt idx="76">
                  <c:v>-44.773695630374959</c:v>
                </c:pt>
                <c:pt idx="77">
                  <c:v>-60.023695630375073</c:v>
                </c:pt>
                <c:pt idx="78">
                  <c:v>-117.24369563037499</c:v>
                </c:pt>
                <c:pt idx="79">
                  <c:v>-119.46882652042734</c:v>
                </c:pt>
                <c:pt idx="80">
                  <c:v>-111.98882652042721</c:v>
                </c:pt>
                <c:pt idx="81">
                  <c:v>-156.86882652042732</c:v>
                </c:pt>
                <c:pt idx="82">
                  <c:v>-192.14882652042729</c:v>
                </c:pt>
                <c:pt idx="83">
                  <c:v>-218.24882652042731</c:v>
                </c:pt>
                <c:pt idx="84">
                  <c:v>-314.48882652042732</c:v>
                </c:pt>
                <c:pt idx="85">
                  <c:v>-323.98882652042732</c:v>
                </c:pt>
                <c:pt idx="86">
                  <c:v>-350.1388265204273</c:v>
                </c:pt>
                <c:pt idx="87">
                  <c:v>-349.61882652042732</c:v>
                </c:pt>
                <c:pt idx="88">
                  <c:v>-303.49882652042731</c:v>
                </c:pt>
                <c:pt idx="89">
                  <c:v>-320.29882652042738</c:v>
                </c:pt>
                <c:pt idx="90">
                  <c:v>-258.04882652042738</c:v>
                </c:pt>
                <c:pt idx="91">
                  <c:v>-268.54882652042738</c:v>
                </c:pt>
                <c:pt idx="92">
                  <c:v>-254.14882652042741</c:v>
                </c:pt>
                <c:pt idx="93">
                  <c:v>-297.89759402190646</c:v>
                </c:pt>
                <c:pt idx="94">
                  <c:v>-329.74759402190648</c:v>
                </c:pt>
                <c:pt idx="95">
                  <c:v>-325.14759402190646</c:v>
                </c:pt>
                <c:pt idx="96">
                  <c:v>-320.28759402190644</c:v>
                </c:pt>
                <c:pt idx="97">
                  <c:v>-309.66759402190644</c:v>
                </c:pt>
                <c:pt idx="98">
                  <c:v>-328.56759402190653</c:v>
                </c:pt>
                <c:pt idx="99">
                  <c:v>-361.16759402190655</c:v>
                </c:pt>
                <c:pt idx="100">
                  <c:v>-424.52759402190657</c:v>
                </c:pt>
                <c:pt idx="101">
                  <c:v>-448.77759402190657</c:v>
                </c:pt>
                <c:pt idx="102">
                  <c:v>-449.77759402190657</c:v>
                </c:pt>
                <c:pt idx="103">
                  <c:v>-525.89759402190657</c:v>
                </c:pt>
                <c:pt idx="104">
                  <c:v>-527.33759402190651</c:v>
                </c:pt>
                <c:pt idx="105">
                  <c:v>-486.80259402190654</c:v>
                </c:pt>
                <c:pt idx="106">
                  <c:v>-475.48259402190649</c:v>
                </c:pt>
                <c:pt idx="107">
                  <c:v>-554.68259402190643</c:v>
                </c:pt>
                <c:pt idx="108">
                  <c:v>-520.90259402190645</c:v>
                </c:pt>
                <c:pt idx="109">
                  <c:v>-583.36259402190626</c:v>
                </c:pt>
                <c:pt idx="110">
                  <c:v>-567.36259402190626</c:v>
                </c:pt>
                <c:pt idx="111">
                  <c:v>-554.67259402190621</c:v>
                </c:pt>
                <c:pt idx="112">
                  <c:v>-528.15259402190622</c:v>
                </c:pt>
                <c:pt idx="113">
                  <c:v>-494.47182671026906</c:v>
                </c:pt>
                <c:pt idx="114">
                  <c:v>-466.57182671026908</c:v>
                </c:pt>
                <c:pt idx="115">
                  <c:v>-394.06182671026909</c:v>
                </c:pt>
                <c:pt idx="116">
                  <c:v>-368.56182671026909</c:v>
                </c:pt>
                <c:pt idx="117">
                  <c:v>-345.26363589938808</c:v>
                </c:pt>
                <c:pt idx="118">
                  <c:v>-270.2036358993879</c:v>
                </c:pt>
                <c:pt idx="119">
                  <c:v>-297.26363589938785</c:v>
                </c:pt>
                <c:pt idx="120">
                  <c:v>-284.12363589938798</c:v>
                </c:pt>
                <c:pt idx="121">
                  <c:v>-309.52363589938807</c:v>
                </c:pt>
                <c:pt idx="122">
                  <c:v>-381.52363589938784</c:v>
                </c:pt>
                <c:pt idx="123">
                  <c:v>-401.68363589938792</c:v>
                </c:pt>
                <c:pt idx="124">
                  <c:v>-328.05863589938781</c:v>
                </c:pt>
                <c:pt idx="125">
                  <c:v>-312.4586358993879</c:v>
                </c:pt>
                <c:pt idx="126">
                  <c:v>-285.4586358993879</c:v>
                </c:pt>
                <c:pt idx="127">
                  <c:v>-324.75863589938808</c:v>
                </c:pt>
                <c:pt idx="128">
                  <c:v>-309.75863589938808</c:v>
                </c:pt>
                <c:pt idx="129">
                  <c:v>-334.39863589938795</c:v>
                </c:pt>
                <c:pt idx="130">
                  <c:v>-365.35863589938788</c:v>
                </c:pt>
                <c:pt idx="131">
                  <c:v>-379.49863589938786</c:v>
                </c:pt>
                <c:pt idx="132">
                  <c:v>-406.098635899388</c:v>
                </c:pt>
                <c:pt idx="133">
                  <c:v>-352.29863589938782</c:v>
                </c:pt>
                <c:pt idx="134">
                  <c:v>-323.45863589938779</c:v>
                </c:pt>
                <c:pt idx="135">
                  <c:v>-302.75863589938774</c:v>
                </c:pt>
                <c:pt idx="136">
                  <c:v>-291.85863589938765</c:v>
                </c:pt>
                <c:pt idx="137">
                  <c:v>-315.6586358993876</c:v>
                </c:pt>
                <c:pt idx="138">
                  <c:v>-306.19863589938757</c:v>
                </c:pt>
                <c:pt idx="139">
                  <c:v>-300.94863589938745</c:v>
                </c:pt>
                <c:pt idx="140">
                  <c:v>-309.34863589938755</c:v>
                </c:pt>
                <c:pt idx="141">
                  <c:v>-335.22863589938754</c:v>
                </c:pt>
                <c:pt idx="142">
                  <c:v>-409.70863589938756</c:v>
                </c:pt>
                <c:pt idx="143">
                  <c:v>-432.74863589938752</c:v>
                </c:pt>
                <c:pt idx="144">
                  <c:v>-435.63863589938751</c:v>
                </c:pt>
                <c:pt idx="145">
                  <c:v>-337.41863589938748</c:v>
                </c:pt>
                <c:pt idx="146">
                  <c:v>-365.13863589938751</c:v>
                </c:pt>
                <c:pt idx="147">
                  <c:v>-399.08863589938755</c:v>
                </c:pt>
                <c:pt idx="148">
                  <c:v>-329.33863589938755</c:v>
                </c:pt>
                <c:pt idx="149">
                  <c:v>-266.43863589938746</c:v>
                </c:pt>
                <c:pt idx="150">
                  <c:v>-281.17863589938747</c:v>
                </c:pt>
                <c:pt idx="151">
                  <c:v>-209.22363589938732</c:v>
                </c:pt>
                <c:pt idx="152">
                  <c:v>-64.023635899387273</c:v>
                </c:pt>
                <c:pt idx="153">
                  <c:v>-165.78363589938715</c:v>
                </c:pt>
                <c:pt idx="154">
                  <c:v>-187.02363589938716</c:v>
                </c:pt>
                <c:pt idx="155">
                  <c:v>-230.80363589938713</c:v>
                </c:pt>
                <c:pt idx="156">
                  <c:v>-98.923635899387023</c:v>
                </c:pt>
                <c:pt idx="157">
                  <c:v>-94.12363589938704</c:v>
                </c:pt>
                <c:pt idx="158">
                  <c:v>-67.113635899387049</c:v>
                </c:pt>
                <c:pt idx="159">
                  <c:v>-203.76363589938703</c:v>
                </c:pt>
                <c:pt idx="160">
                  <c:v>-167.46363589938719</c:v>
                </c:pt>
                <c:pt idx="161">
                  <c:v>-101.31363589938721</c:v>
                </c:pt>
                <c:pt idx="162">
                  <c:v>-80.513635899387253</c:v>
                </c:pt>
                <c:pt idx="163">
                  <c:v>-139.51363589938737</c:v>
                </c:pt>
                <c:pt idx="164">
                  <c:v>-108.27363589938736</c:v>
                </c:pt>
                <c:pt idx="165">
                  <c:v>-46.563635899387322</c:v>
                </c:pt>
                <c:pt idx="166">
                  <c:v>-54.04363589938734</c:v>
                </c:pt>
                <c:pt idx="167">
                  <c:v>-74.163635899387231</c:v>
                </c:pt>
                <c:pt idx="168">
                  <c:v>0.80636410061279662</c:v>
                </c:pt>
                <c:pt idx="169">
                  <c:v>-0.59363589938706696</c:v>
                </c:pt>
                <c:pt idx="170">
                  <c:v>28.116364100612969</c:v>
                </c:pt>
                <c:pt idx="171">
                  <c:v>-62.483635899387053</c:v>
                </c:pt>
                <c:pt idx="172">
                  <c:v>-62.803635899387103</c:v>
                </c:pt>
                <c:pt idx="173">
                  <c:v>-32.203635899387081</c:v>
                </c:pt>
                <c:pt idx="174">
                  <c:v>72.196364100612783</c:v>
                </c:pt>
                <c:pt idx="175">
                  <c:v>179.74636410061274</c:v>
                </c:pt>
                <c:pt idx="176">
                  <c:v>183.59636410061265</c:v>
                </c:pt>
                <c:pt idx="177">
                  <c:v>269.74636410061271</c:v>
                </c:pt>
                <c:pt idx="178">
                  <c:v>290.67636410061255</c:v>
                </c:pt>
                <c:pt idx="179">
                  <c:v>326.85636410061284</c:v>
                </c:pt>
                <c:pt idx="180">
                  <c:v>295.05636410061265</c:v>
                </c:pt>
                <c:pt idx="181">
                  <c:v>272.85636410061261</c:v>
                </c:pt>
                <c:pt idx="182">
                  <c:v>319.95636410061252</c:v>
                </c:pt>
                <c:pt idx="183">
                  <c:v>346.13136410061259</c:v>
                </c:pt>
                <c:pt idx="184">
                  <c:v>245.93136410061277</c:v>
                </c:pt>
                <c:pt idx="185">
                  <c:v>190.63136410061304</c:v>
                </c:pt>
                <c:pt idx="186">
                  <c:v>184.13136410061304</c:v>
                </c:pt>
                <c:pt idx="187">
                  <c:v>214.37136410061305</c:v>
                </c:pt>
                <c:pt idx="188">
                  <c:v>291.73136410061318</c:v>
                </c:pt>
                <c:pt idx="189">
                  <c:v>276.95636410061331</c:v>
                </c:pt>
                <c:pt idx="190">
                  <c:v>325.31636410061344</c:v>
                </c:pt>
                <c:pt idx="191">
                  <c:v>268.91636410061358</c:v>
                </c:pt>
                <c:pt idx="192">
                  <c:v>241.93636410061356</c:v>
                </c:pt>
                <c:pt idx="193">
                  <c:v>371.65636410061359</c:v>
                </c:pt>
                <c:pt idx="194">
                  <c:v>301.44636410061355</c:v>
                </c:pt>
                <c:pt idx="195">
                  <c:v>309.69636410061355</c:v>
                </c:pt>
                <c:pt idx="196">
                  <c:v>313.57636410061366</c:v>
                </c:pt>
                <c:pt idx="197">
                  <c:v>328.65636410061359</c:v>
                </c:pt>
                <c:pt idx="198">
                  <c:v>335.04636410061369</c:v>
                </c:pt>
                <c:pt idx="199">
                  <c:v>384.92636410061357</c:v>
                </c:pt>
                <c:pt idx="200">
                  <c:v>365.44136410061355</c:v>
                </c:pt>
                <c:pt idx="201">
                  <c:v>436.0013641006135</c:v>
                </c:pt>
                <c:pt idx="202">
                  <c:v>454.74136410061351</c:v>
                </c:pt>
                <c:pt idx="203">
                  <c:v>445.78136410061347</c:v>
                </c:pt>
                <c:pt idx="204">
                  <c:v>467.19136410061355</c:v>
                </c:pt>
                <c:pt idx="205">
                  <c:v>397.28636410061358</c:v>
                </c:pt>
                <c:pt idx="206">
                  <c:v>468.34636410061364</c:v>
                </c:pt>
                <c:pt idx="207">
                  <c:v>456.73636410061374</c:v>
                </c:pt>
                <c:pt idx="208">
                  <c:v>446.7763641006137</c:v>
                </c:pt>
                <c:pt idx="209">
                  <c:v>462.97636410061375</c:v>
                </c:pt>
                <c:pt idx="210">
                  <c:v>408.0263641006137</c:v>
                </c:pt>
                <c:pt idx="211">
                  <c:v>376.44636410061366</c:v>
                </c:pt>
                <c:pt idx="212">
                  <c:v>365.2886520091688</c:v>
                </c:pt>
                <c:pt idx="213">
                  <c:v>371.44865200916865</c:v>
                </c:pt>
                <c:pt idx="214">
                  <c:v>408.6486520091687</c:v>
                </c:pt>
                <c:pt idx="215">
                  <c:v>315.40865200916869</c:v>
                </c:pt>
                <c:pt idx="216">
                  <c:v>408.04865200916879</c:v>
                </c:pt>
                <c:pt idx="217">
                  <c:v>463.20865200916876</c:v>
                </c:pt>
                <c:pt idx="218">
                  <c:v>428.9086520091688</c:v>
                </c:pt>
                <c:pt idx="219">
                  <c:v>538.98865200916873</c:v>
                </c:pt>
                <c:pt idx="220">
                  <c:v>571.20865200916876</c:v>
                </c:pt>
                <c:pt idx="221">
                  <c:v>608.8086520091689</c:v>
                </c:pt>
                <c:pt idx="222">
                  <c:v>622.10865200916885</c:v>
                </c:pt>
                <c:pt idx="223">
                  <c:v>601.22865200916885</c:v>
                </c:pt>
                <c:pt idx="224">
                  <c:v>627.32865200916876</c:v>
                </c:pt>
                <c:pt idx="225">
                  <c:v>599.51865200916882</c:v>
                </c:pt>
                <c:pt idx="226">
                  <c:v>477.81865200916889</c:v>
                </c:pt>
                <c:pt idx="227">
                  <c:v>510.48865200916896</c:v>
                </c:pt>
                <c:pt idx="228">
                  <c:v>510.08865200916887</c:v>
                </c:pt>
                <c:pt idx="229">
                  <c:v>507.14865200916881</c:v>
                </c:pt>
                <c:pt idx="230">
                  <c:v>556.64865200916904</c:v>
                </c:pt>
                <c:pt idx="231">
                  <c:v>518.01092465120939</c:v>
                </c:pt>
                <c:pt idx="232">
                  <c:v>569.07092465120934</c:v>
                </c:pt>
                <c:pt idx="233">
                  <c:v>599.95092465120945</c:v>
                </c:pt>
                <c:pt idx="234">
                  <c:v>639.35092465120931</c:v>
                </c:pt>
                <c:pt idx="235">
                  <c:v>621.19092465120923</c:v>
                </c:pt>
                <c:pt idx="236">
                  <c:v>732.41592465120925</c:v>
                </c:pt>
                <c:pt idx="237">
                  <c:v>729.1159246512093</c:v>
                </c:pt>
                <c:pt idx="238">
                  <c:v>611.15592465120903</c:v>
                </c:pt>
                <c:pt idx="239">
                  <c:v>613.87592465120906</c:v>
                </c:pt>
                <c:pt idx="240">
                  <c:v>620.87592465120883</c:v>
                </c:pt>
                <c:pt idx="241">
                  <c:v>818.20092465120877</c:v>
                </c:pt>
                <c:pt idx="242">
                  <c:v>825.61092465120907</c:v>
                </c:pt>
                <c:pt idx="243">
                  <c:v>851.80092465120936</c:v>
                </c:pt>
                <c:pt idx="244">
                  <c:v>786.37092465120952</c:v>
                </c:pt>
                <c:pt idx="245">
                  <c:v>810.19092465120946</c:v>
                </c:pt>
                <c:pt idx="246">
                  <c:v>790.79092465120937</c:v>
                </c:pt>
                <c:pt idx="247">
                  <c:v>774.64092465120927</c:v>
                </c:pt>
                <c:pt idx="248">
                  <c:v>746.69092465120923</c:v>
                </c:pt>
                <c:pt idx="249">
                  <c:v>719.690924651209</c:v>
                </c:pt>
                <c:pt idx="250">
                  <c:v>753.17092465120902</c:v>
                </c:pt>
                <c:pt idx="251">
                  <c:v>689.37092465120907</c:v>
                </c:pt>
                <c:pt idx="252">
                  <c:v>652.89092465120905</c:v>
                </c:pt>
                <c:pt idx="253">
                  <c:v>700.38392465120899</c:v>
                </c:pt>
                <c:pt idx="254">
                  <c:v>704.52392465120909</c:v>
                </c:pt>
                <c:pt idx="255">
                  <c:v>739.64392465120898</c:v>
                </c:pt>
                <c:pt idx="256">
                  <c:v>730.84392465120902</c:v>
                </c:pt>
                <c:pt idx="257">
                  <c:v>628.97432781837381</c:v>
                </c:pt>
                <c:pt idx="258">
                  <c:v>609.37432781837367</c:v>
                </c:pt>
                <c:pt idx="259">
                  <c:v>552.47432781837369</c:v>
                </c:pt>
                <c:pt idx="260">
                  <c:v>580.76432781837366</c:v>
                </c:pt>
                <c:pt idx="261">
                  <c:v>560.84432781837359</c:v>
                </c:pt>
                <c:pt idx="262">
                  <c:v>578.13432781837355</c:v>
                </c:pt>
                <c:pt idx="263">
                  <c:v>559.53432781837364</c:v>
                </c:pt>
                <c:pt idx="264">
                  <c:v>527.8543278183738</c:v>
                </c:pt>
                <c:pt idx="265">
                  <c:v>544.41432781837375</c:v>
                </c:pt>
                <c:pt idx="266">
                  <c:v>588.76432781837343</c:v>
                </c:pt>
                <c:pt idx="267">
                  <c:v>600.24432781837345</c:v>
                </c:pt>
                <c:pt idx="268">
                  <c:v>589.12432781837356</c:v>
                </c:pt>
                <c:pt idx="269">
                  <c:v>667.42432781837351</c:v>
                </c:pt>
                <c:pt idx="270">
                  <c:v>686.6843278183735</c:v>
                </c:pt>
                <c:pt idx="271">
                  <c:v>675.34432781837359</c:v>
                </c:pt>
                <c:pt idx="272">
                  <c:v>685.64432781837354</c:v>
                </c:pt>
                <c:pt idx="273">
                  <c:v>619.85075430328084</c:v>
                </c:pt>
                <c:pt idx="274">
                  <c:v>579.72575430328084</c:v>
                </c:pt>
                <c:pt idx="275">
                  <c:v>603.8757543032807</c:v>
                </c:pt>
                <c:pt idx="276">
                  <c:v>578.31575430328076</c:v>
                </c:pt>
                <c:pt idx="277">
                  <c:v>606.03575430328078</c:v>
                </c:pt>
                <c:pt idx="278">
                  <c:v>629.03575430328078</c:v>
                </c:pt>
                <c:pt idx="279">
                  <c:v>631.53575430328078</c:v>
                </c:pt>
                <c:pt idx="280">
                  <c:v>662.97575430328084</c:v>
                </c:pt>
                <c:pt idx="281">
                  <c:v>599.4057543032809</c:v>
                </c:pt>
                <c:pt idx="282">
                  <c:v>647.45575430328086</c:v>
                </c:pt>
                <c:pt idx="283">
                  <c:v>559.60575430328095</c:v>
                </c:pt>
                <c:pt idx="284">
                  <c:v>557.20575430328097</c:v>
                </c:pt>
                <c:pt idx="285">
                  <c:v>500.05575430328088</c:v>
                </c:pt>
                <c:pt idx="286">
                  <c:v>537.57575430328086</c:v>
                </c:pt>
                <c:pt idx="287">
                  <c:v>540.86575430328082</c:v>
                </c:pt>
                <c:pt idx="288">
                  <c:v>675.61575430328082</c:v>
                </c:pt>
                <c:pt idx="289">
                  <c:v>643.81575430328064</c:v>
                </c:pt>
                <c:pt idx="290">
                  <c:v>640.09575430328061</c:v>
                </c:pt>
                <c:pt idx="291">
                  <c:v>710.09575430328061</c:v>
                </c:pt>
                <c:pt idx="292">
                  <c:v>653.34575430328061</c:v>
                </c:pt>
                <c:pt idx="293">
                  <c:v>598.94575430328052</c:v>
                </c:pt>
                <c:pt idx="294">
                  <c:v>465.69575430328052</c:v>
                </c:pt>
                <c:pt idx="295">
                  <c:v>430.59575430328061</c:v>
                </c:pt>
                <c:pt idx="296">
                  <c:v>346.0057543032807</c:v>
                </c:pt>
                <c:pt idx="297">
                  <c:v>365.0057543032807</c:v>
                </c:pt>
                <c:pt idx="298">
                  <c:v>325.0057543032807</c:v>
                </c:pt>
                <c:pt idx="299">
                  <c:v>325.0057543032807</c:v>
                </c:pt>
                <c:pt idx="300">
                  <c:v>327.34575430328084</c:v>
                </c:pt>
                <c:pt idx="301">
                  <c:v>416.46575430328073</c:v>
                </c:pt>
                <c:pt idx="302">
                  <c:v>415.83575430328062</c:v>
                </c:pt>
                <c:pt idx="303">
                  <c:v>456.68575430328053</c:v>
                </c:pt>
                <c:pt idx="304">
                  <c:v>356.36575430328037</c:v>
                </c:pt>
                <c:pt idx="305">
                  <c:v>428.01575430328046</c:v>
                </c:pt>
                <c:pt idx="306">
                  <c:v>590.17575430328054</c:v>
                </c:pt>
                <c:pt idx="307">
                  <c:v>642.9757543032805</c:v>
                </c:pt>
                <c:pt idx="308">
                  <c:v>671.8000273753413</c:v>
                </c:pt>
                <c:pt idx="309">
                  <c:v>741.3000273753413</c:v>
                </c:pt>
                <c:pt idx="310">
                  <c:v>734.90002737534144</c:v>
                </c:pt>
                <c:pt idx="311">
                  <c:v>829.1900273753414</c:v>
                </c:pt>
                <c:pt idx="312">
                  <c:v>804.44002737534117</c:v>
                </c:pt>
                <c:pt idx="313">
                  <c:v>871.04002737534108</c:v>
                </c:pt>
                <c:pt idx="314">
                  <c:v>827.04002737534108</c:v>
                </c:pt>
                <c:pt idx="315">
                  <c:v>877.04002737534108</c:v>
                </c:pt>
                <c:pt idx="316">
                  <c:v>921.54002737534108</c:v>
                </c:pt>
                <c:pt idx="317">
                  <c:v>947.46002737534116</c:v>
                </c:pt>
                <c:pt idx="318">
                  <c:v>832.94437556162427</c:v>
                </c:pt>
                <c:pt idx="319">
                  <c:v>977.06437556162416</c:v>
                </c:pt>
                <c:pt idx="320">
                  <c:v>1011.224375561624</c:v>
                </c:pt>
                <c:pt idx="321">
                  <c:v>1034.4243755616239</c:v>
                </c:pt>
                <c:pt idx="322">
                  <c:v>1058.364375561624</c:v>
                </c:pt>
                <c:pt idx="323">
                  <c:v>941.114375561624</c:v>
                </c:pt>
                <c:pt idx="324">
                  <c:v>782.47437556162413</c:v>
                </c:pt>
                <c:pt idx="325">
                  <c:v>837.72437556162413</c:v>
                </c:pt>
                <c:pt idx="326">
                  <c:v>723.7243755616239</c:v>
                </c:pt>
                <c:pt idx="327">
                  <c:v>708.76437556162386</c:v>
                </c:pt>
                <c:pt idx="328">
                  <c:v>651.83937556162391</c:v>
                </c:pt>
                <c:pt idx="329">
                  <c:v>694.30937556162417</c:v>
                </c:pt>
                <c:pt idx="330">
                  <c:v>755.35937556162412</c:v>
                </c:pt>
                <c:pt idx="331">
                  <c:v>780.07937556162415</c:v>
                </c:pt>
                <c:pt idx="332">
                  <c:v>856.87937556162433</c:v>
                </c:pt>
                <c:pt idx="333">
                  <c:v>892.47937556162447</c:v>
                </c:pt>
                <c:pt idx="334">
                  <c:v>908.27437556162454</c:v>
                </c:pt>
                <c:pt idx="335">
                  <c:v>967.82437556162472</c:v>
                </c:pt>
                <c:pt idx="336">
                  <c:v>934.93437556162462</c:v>
                </c:pt>
                <c:pt idx="337">
                  <c:v>1084.0343755616248</c:v>
                </c:pt>
                <c:pt idx="338">
                  <c:v>1105.2343755616248</c:v>
                </c:pt>
                <c:pt idx="339">
                  <c:v>1060.9943755616248</c:v>
                </c:pt>
                <c:pt idx="340">
                  <c:v>851.41437556162475</c:v>
                </c:pt>
                <c:pt idx="341">
                  <c:v>844.7543755616249</c:v>
                </c:pt>
                <c:pt idx="342">
                  <c:v>875.55437556162508</c:v>
                </c:pt>
                <c:pt idx="343">
                  <c:v>903.51437556162512</c:v>
                </c:pt>
                <c:pt idx="344">
                  <c:v>824.01437556162512</c:v>
                </c:pt>
                <c:pt idx="345">
                  <c:v>755.97437556162515</c:v>
                </c:pt>
                <c:pt idx="346">
                  <c:v>725.09937556162515</c:v>
                </c:pt>
                <c:pt idx="347">
                  <c:v>728.39937556162511</c:v>
                </c:pt>
                <c:pt idx="348">
                  <c:v>719.69937556162529</c:v>
                </c:pt>
                <c:pt idx="349">
                  <c:v>681.89937556162511</c:v>
                </c:pt>
                <c:pt idx="350">
                  <c:v>774.57937556162517</c:v>
                </c:pt>
                <c:pt idx="351">
                  <c:v>748.57937556162517</c:v>
                </c:pt>
                <c:pt idx="352">
                  <c:v>744.01937556162522</c:v>
                </c:pt>
                <c:pt idx="353">
                  <c:v>693.46937556162504</c:v>
                </c:pt>
                <c:pt idx="354">
                  <c:v>721.84937556162492</c:v>
                </c:pt>
                <c:pt idx="355">
                  <c:v>630.48937556162502</c:v>
                </c:pt>
                <c:pt idx="356">
                  <c:v>561.84937556162492</c:v>
                </c:pt>
                <c:pt idx="357">
                  <c:v>871.55437556162485</c:v>
                </c:pt>
                <c:pt idx="358">
                  <c:v>979.41437556162475</c:v>
                </c:pt>
                <c:pt idx="359">
                  <c:v>820.56437556162462</c:v>
                </c:pt>
                <c:pt idx="360">
                  <c:v>668.18937556162462</c:v>
                </c:pt>
                <c:pt idx="361">
                  <c:v>668.18937556162462</c:v>
                </c:pt>
                <c:pt idx="362">
                  <c:v>818.22937556162458</c:v>
                </c:pt>
                <c:pt idx="363">
                  <c:v>638.37937556162467</c:v>
                </c:pt>
                <c:pt idx="364">
                  <c:v>615.93937556162462</c:v>
                </c:pt>
                <c:pt idx="365">
                  <c:v>561.65937556162442</c:v>
                </c:pt>
                <c:pt idx="366">
                  <c:v>53.789375561624752</c:v>
                </c:pt>
                <c:pt idx="367">
                  <c:v>-28.850624438375348</c:v>
                </c:pt>
                <c:pt idx="368">
                  <c:v>246.69937556162483</c:v>
                </c:pt>
                <c:pt idx="369">
                  <c:v>278.40937556162487</c:v>
                </c:pt>
                <c:pt idx="370">
                  <c:v>300.84937556162492</c:v>
                </c:pt>
                <c:pt idx="371">
                  <c:v>375.24937556162502</c:v>
                </c:pt>
                <c:pt idx="372">
                  <c:v>313.04937556162497</c:v>
                </c:pt>
                <c:pt idx="373">
                  <c:v>385.88937556162512</c:v>
                </c:pt>
                <c:pt idx="374">
                  <c:v>589.37937556162512</c:v>
                </c:pt>
                <c:pt idx="375">
                  <c:v>420.12937556162512</c:v>
                </c:pt>
                <c:pt idx="376">
                  <c:v>334.68937556162507</c:v>
                </c:pt>
                <c:pt idx="377">
                  <c:v>539.28937556162498</c:v>
                </c:pt>
                <c:pt idx="378">
                  <c:v>351.60937556162492</c:v>
                </c:pt>
                <c:pt idx="379">
                  <c:v>315.10937556162492</c:v>
                </c:pt>
                <c:pt idx="380">
                  <c:v>255.25937556162523</c:v>
                </c:pt>
                <c:pt idx="381">
                  <c:v>351.50607492035772</c:v>
                </c:pt>
                <c:pt idx="382">
                  <c:v>476.30607492035745</c:v>
                </c:pt>
                <c:pt idx="383">
                  <c:v>677.90607492035736</c:v>
                </c:pt>
                <c:pt idx="384">
                  <c:v>664.1060749203574</c:v>
                </c:pt>
                <c:pt idx="385">
                  <c:v>730.04607492035723</c:v>
                </c:pt>
                <c:pt idx="386">
                  <c:v>517.04607492035723</c:v>
                </c:pt>
                <c:pt idx="387">
                  <c:v>575.64607492035691</c:v>
                </c:pt>
                <c:pt idx="388">
                  <c:v>321.64607492035691</c:v>
                </c:pt>
                <c:pt idx="389">
                  <c:v>308.7660749203568</c:v>
                </c:pt>
                <c:pt idx="390">
                  <c:v>447.8760749203567</c:v>
                </c:pt>
                <c:pt idx="391">
                  <c:v>415.47607492035661</c:v>
                </c:pt>
                <c:pt idx="392">
                  <c:v>552.53607492035633</c:v>
                </c:pt>
                <c:pt idx="393">
                  <c:v>485.71607492035639</c:v>
                </c:pt>
                <c:pt idx="394">
                  <c:v>593.87607492035625</c:v>
                </c:pt>
                <c:pt idx="395">
                  <c:v>421.37607492035625</c:v>
                </c:pt>
                <c:pt idx="396">
                  <c:v>319.37607492035625</c:v>
                </c:pt>
                <c:pt idx="397">
                  <c:v>437.77607492035634</c:v>
                </c:pt>
                <c:pt idx="398">
                  <c:v>612.07607492035629</c:v>
                </c:pt>
                <c:pt idx="399">
                  <c:v>525.15107492035634</c:v>
                </c:pt>
                <c:pt idx="400">
                  <c:v>508.65107492035634</c:v>
                </c:pt>
                <c:pt idx="401">
                  <c:v>396.17107492035632</c:v>
                </c:pt>
                <c:pt idx="402">
                  <c:v>170.49107492035625</c:v>
                </c:pt>
                <c:pt idx="403">
                  <c:v>126.54107492035598</c:v>
                </c:pt>
                <c:pt idx="404">
                  <c:v>296.73107492035581</c:v>
                </c:pt>
                <c:pt idx="405">
                  <c:v>252.29107492035598</c:v>
                </c:pt>
                <c:pt idx="406">
                  <c:v>75.981074920355809</c:v>
                </c:pt>
                <c:pt idx="407">
                  <c:v>-48.218925079644237</c:v>
                </c:pt>
                <c:pt idx="408">
                  <c:v>60.421074920355863</c:v>
                </c:pt>
                <c:pt idx="409">
                  <c:v>123.96107492035583</c:v>
                </c:pt>
                <c:pt idx="410">
                  <c:v>191.17107492035586</c:v>
                </c:pt>
                <c:pt idx="411">
                  <c:v>221.76107492035578</c:v>
                </c:pt>
                <c:pt idx="412">
                  <c:v>226.73077189005278</c:v>
                </c:pt>
                <c:pt idx="413">
                  <c:v>231.24077189005277</c:v>
                </c:pt>
                <c:pt idx="414">
                  <c:v>293.04077189005295</c:v>
                </c:pt>
                <c:pt idx="415">
                  <c:v>327.04077189005295</c:v>
                </c:pt>
                <c:pt idx="416">
                  <c:v>352.12077189005288</c:v>
                </c:pt>
                <c:pt idx="417">
                  <c:v>291.64077189005286</c:v>
                </c:pt>
                <c:pt idx="418">
                  <c:v>451.14077189005309</c:v>
                </c:pt>
              </c:numCache>
            </c:numRef>
          </c:val>
          <c:smooth val="1"/>
          <c:extLst>
            <c:ext xmlns:c16="http://schemas.microsoft.com/office/drawing/2014/chart" uri="{C3380CC4-5D6E-409C-BE32-E72D297353CC}">
              <c16:uniqueId val="{00000003-1693-4AB0-BA75-620A9224444E}"/>
            </c:ext>
          </c:extLst>
        </c:ser>
        <c:ser>
          <c:idx val="7"/>
          <c:order val="1"/>
          <c:tx>
            <c:v>Total (MOC)</c:v>
          </c:tx>
          <c:spPr>
            <a:ln w="19050" cap="rnd">
              <a:solidFill>
                <a:sysClr val="windowText" lastClr="000000"/>
              </a:solidFill>
              <a:prstDash val="sysDash"/>
              <a:round/>
            </a:ln>
            <a:effectLst/>
          </c:spPr>
          <c:marker>
            <c:symbol val="none"/>
          </c:marker>
          <c:val>
            <c:numRef>
              <c:f>'2025-Q2'!$AF$4:$AF$422</c:f>
              <c:numCache>
                <c:formatCode>"$"#,##0</c:formatCode>
                <c:ptCount val="419"/>
                <c:pt idx="0">
                  <c:v>-254.69999999999982</c:v>
                </c:pt>
                <c:pt idx="1">
                  <c:v>-262.79999999999973</c:v>
                </c:pt>
                <c:pt idx="2">
                  <c:v>-217.34999999999991</c:v>
                </c:pt>
                <c:pt idx="3">
                  <c:v>-227.54999999999973</c:v>
                </c:pt>
                <c:pt idx="4">
                  <c:v>-207.54999999999973</c:v>
                </c:pt>
                <c:pt idx="5">
                  <c:v>-192.70999999999958</c:v>
                </c:pt>
                <c:pt idx="6">
                  <c:v>-177.30999999999949</c:v>
                </c:pt>
                <c:pt idx="7">
                  <c:v>-104.55999999999972</c:v>
                </c:pt>
                <c:pt idx="8">
                  <c:v>-85.479999999999677</c:v>
                </c:pt>
                <c:pt idx="9">
                  <c:v>-89.368372902817214</c:v>
                </c:pt>
                <c:pt idx="10">
                  <c:v>-69.388372902817196</c:v>
                </c:pt>
                <c:pt idx="11">
                  <c:v>-29.788372902817287</c:v>
                </c:pt>
                <c:pt idx="12">
                  <c:v>-30.278372902817296</c:v>
                </c:pt>
                <c:pt idx="13">
                  <c:v>-35.458372902817132</c:v>
                </c:pt>
                <c:pt idx="14">
                  <c:v>57.961627097183168</c:v>
                </c:pt>
                <c:pt idx="15">
                  <c:v>57.781627097183105</c:v>
                </c:pt>
                <c:pt idx="16">
                  <c:v>141.63162709718324</c:v>
                </c:pt>
                <c:pt idx="17">
                  <c:v>165.93162709718342</c:v>
                </c:pt>
                <c:pt idx="18">
                  <c:v>146.73162709718338</c:v>
                </c:pt>
                <c:pt idx="19">
                  <c:v>178.05162709718331</c:v>
                </c:pt>
                <c:pt idx="20">
                  <c:v>191.04129304286937</c:v>
                </c:pt>
                <c:pt idx="21">
                  <c:v>186.95958647664577</c:v>
                </c:pt>
                <c:pt idx="22">
                  <c:v>173.42958647664602</c:v>
                </c:pt>
                <c:pt idx="23">
                  <c:v>179.83032859167395</c:v>
                </c:pt>
                <c:pt idx="24">
                  <c:v>202.65032859167411</c:v>
                </c:pt>
                <c:pt idx="25">
                  <c:v>-59.209671408325789</c:v>
                </c:pt>
                <c:pt idx="26">
                  <c:v>-56.209671408325789</c:v>
                </c:pt>
                <c:pt idx="27">
                  <c:v>-90.209671408325789</c:v>
                </c:pt>
                <c:pt idx="28">
                  <c:v>-98.609671408325653</c:v>
                </c:pt>
                <c:pt idx="29">
                  <c:v>-91.859671408325653</c:v>
                </c:pt>
                <c:pt idx="30">
                  <c:v>-128.95967140832556</c:v>
                </c:pt>
                <c:pt idx="31">
                  <c:v>-121.45967140832556</c:v>
                </c:pt>
                <c:pt idx="32">
                  <c:v>-137.45967140832556</c:v>
                </c:pt>
                <c:pt idx="33">
                  <c:v>-145.50967140832552</c:v>
                </c:pt>
                <c:pt idx="34">
                  <c:v>-201.75967140832552</c:v>
                </c:pt>
                <c:pt idx="35">
                  <c:v>-281.43967140832558</c:v>
                </c:pt>
                <c:pt idx="36">
                  <c:v>-290.52967140832527</c:v>
                </c:pt>
                <c:pt idx="37">
                  <c:v>-309.77967140832527</c:v>
                </c:pt>
                <c:pt idx="38">
                  <c:v>-294.89967140832528</c:v>
                </c:pt>
                <c:pt idx="39">
                  <c:v>-235.05967140832536</c:v>
                </c:pt>
                <c:pt idx="40">
                  <c:v>-384.0096714083254</c:v>
                </c:pt>
                <c:pt idx="41">
                  <c:v>-415.30967140832558</c:v>
                </c:pt>
                <c:pt idx="42">
                  <c:v>-348.20967140832545</c:v>
                </c:pt>
                <c:pt idx="43">
                  <c:v>-272.3996714083255</c:v>
                </c:pt>
                <c:pt idx="44">
                  <c:v>-265.8996714083255</c:v>
                </c:pt>
                <c:pt idx="45">
                  <c:v>-254.6496714083255</c:v>
                </c:pt>
                <c:pt idx="46">
                  <c:v>-304.41967140832548</c:v>
                </c:pt>
                <c:pt idx="47">
                  <c:v>-438.9196714083256</c:v>
                </c:pt>
                <c:pt idx="48">
                  <c:v>-540.05967140832547</c:v>
                </c:pt>
                <c:pt idx="49">
                  <c:v>-654.48805627987656</c:v>
                </c:pt>
                <c:pt idx="50">
                  <c:v>-672.39582025503171</c:v>
                </c:pt>
                <c:pt idx="51">
                  <c:v>-580.23582025503163</c:v>
                </c:pt>
                <c:pt idx="52">
                  <c:v>-689.43582025503167</c:v>
                </c:pt>
                <c:pt idx="53">
                  <c:v>-654.1558202550317</c:v>
                </c:pt>
                <c:pt idx="54">
                  <c:v>-635.7758202550317</c:v>
                </c:pt>
                <c:pt idx="55">
                  <c:v>-628.85582025503174</c:v>
                </c:pt>
                <c:pt idx="56">
                  <c:v>-678.45582025503177</c:v>
                </c:pt>
                <c:pt idx="57">
                  <c:v>-553.80582025503168</c:v>
                </c:pt>
                <c:pt idx="58">
                  <c:v>-522.50582025503161</c:v>
                </c:pt>
                <c:pt idx="59">
                  <c:v>-484.40582025503159</c:v>
                </c:pt>
                <c:pt idx="60">
                  <c:v>-481.70582025503154</c:v>
                </c:pt>
                <c:pt idx="61">
                  <c:v>-451.64582025503159</c:v>
                </c:pt>
                <c:pt idx="62">
                  <c:v>-386.84582025503153</c:v>
                </c:pt>
                <c:pt idx="63">
                  <c:v>-371.18582025503144</c:v>
                </c:pt>
                <c:pt idx="64">
                  <c:v>-364.28582025503147</c:v>
                </c:pt>
                <c:pt idx="65">
                  <c:v>-315.03582025503147</c:v>
                </c:pt>
                <c:pt idx="66">
                  <c:v>-320.88582025503138</c:v>
                </c:pt>
                <c:pt idx="67">
                  <c:v>-314.70582025503131</c:v>
                </c:pt>
                <c:pt idx="68">
                  <c:v>-296.38582025503126</c:v>
                </c:pt>
                <c:pt idx="69">
                  <c:v>-276.38582025503126</c:v>
                </c:pt>
                <c:pt idx="70">
                  <c:v>-248.9558202550312</c:v>
                </c:pt>
                <c:pt idx="71">
                  <c:v>-261.19582025503121</c:v>
                </c:pt>
                <c:pt idx="72">
                  <c:v>-220.35582025503118</c:v>
                </c:pt>
                <c:pt idx="73">
                  <c:v>-247.56582025503121</c:v>
                </c:pt>
                <c:pt idx="74">
                  <c:v>-216.60582025503118</c:v>
                </c:pt>
                <c:pt idx="75">
                  <c:v>-269.80582025503122</c:v>
                </c:pt>
                <c:pt idx="76">
                  <c:v>-219.90582025503124</c:v>
                </c:pt>
                <c:pt idx="77">
                  <c:v>-176.05582025503122</c:v>
                </c:pt>
                <c:pt idx="78">
                  <c:v>-240.65582025503113</c:v>
                </c:pt>
                <c:pt idx="79">
                  <c:v>-295.78961897521719</c:v>
                </c:pt>
                <c:pt idx="80">
                  <c:v>-282.5296189752172</c:v>
                </c:pt>
                <c:pt idx="81">
                  <c:v>-338.56961897521717</c:v>
                </c:pt>
                <c:pt idx="82">
                  <c:v>-388.60961897521724</c:v>
                </c:pt>
                <c:pt idx="83">
                  <c:v>-360.4096189752172</c:v>
                </c:pt>
                <c:pt idx="84">
                  <c:v>-521.20961897521715</c:v>
                </c:pt>
                <c:pt idx="85">
                  <c:v>-582.20961897521727</c:v>
                </c:pt>
                <c:pt idx="86">
                  <c:v>-613.20961897521727</c:v>
                </c:pt>
                <c:pt idx="87">
                  <c:v>-635.3096189752174</c:v>
                </c:pt>
                <c:pt idx="88">
                  <c:v>-617.98961897521735</c:v>
                </c:pt>
                <c:pt idx="89">
                  <c:v>-603.10961897521747</c:v>
                </c:pt>
                <c:pt idx="90">
                  <c:v>-571.10961897521747</c:v>
                </c:pt>
                <c:pt idx="91">
                  <c:v>-563.12961897521745</c:v>
                </c:pt>
                <c:pt idx="92">
                  <c:v>-585.92961897521752</c:v>
                </c:pt>
                <c:pt idx="93">
                  <c:v>-614.59260457963489</c:v>
                </c:pt>
                <c:pt idx="94">
                  <c:v>-597.74260457963487</c:v>
                </c:pt>
                <c:pt idx="95">
                  <c:v>-608.74260457963499</c:v>
                </c:pt>
                <c:pt idx="96">
                  <c:v>-567.04260457963505</c:v>
                </c:pt>
                <c:pt idx="97">
                  <c:v>-569.92260457963505</c:v>
                </c:pt>
                <c:pt idx="98">
                  <c:v>-608.07260457963503</c:v>
                </c:pt>
                <c:pt idx="99">
                  <c:v>-705.47260457963512</c:v>
                </c:pt>
                <c:pt idx="100">
                  <c:v>-828.35260457963511</c:v>
                </c:pt>
                <c:pt idx="101">
                  <c:v>-846.60260457963511</c:v>
                </c:pt>
                <c:pt idx="102">
                  <c:v>-846.76260457963508</c:v>
                </c:pt>
                <c:pt idx="103">
                  <c:v>-964.40260457963507</c:v>
                </c:pt>
                <c:pt idx="104">
                  <c:v>-968.24260457963499</c:v>
                </c:pt>
                <c:pt idx="105">
                  <c:v>-913.46260457963501</c:v>
                </c:pt>
                <c:pt idx="106">
                  <c:v>-902.26260457963497</c:v>
                </c:pt>
                <c:pt idx="107">
                  <c:v>-967.06260457963492</c:v>
                </c:pt>
                <c:pt idx="108">
                  <c:v>-952.78260457963495</c:v>
                </c:pt>
                <c:pt idx="109">
                  <c:v>-1006.422604579635</c:v>
                </c:pt>
                <c:pt idx="110">
                  <c:v>-996.17260457963516</c:v>
                </c:pt>
                <c:pt idx="111">
                  <c:v>-989.69260457963514</c:v>
                </c:pt>
                <c:pt idx="112">
                  <c:v>-1030.1626045796352</c:v>
                </c:pt>
                <c:pt idx="113">
                  <c:v>-1001.7709651717514</c:v>
                </c:pt>
                <c:pt idx="114">
                  <c:v>-989.6709651717515</c:v>
                </c:pt>
                <c:pt idx="115">
                  <c:v>-874.7109651717517</c:v>
                </c:pt>
                <c:pt idx="116">
                  <c:v>-877.5609651717516</c:v>
                </c:pt>
                <c:pt idx="117">
                  <c:v>-852.3104120024168</c:v>
                </c:pt>
                <c:pt idx="118">
                  <c:v>-816.49041200241686</c:v>
                </c:pt>
                <c:pt idx="119">
                  <c:v>-822.67041200241692</c:v>
                </c:pt>
                <c:pt idx="120">
                  <c:v>-842.47041200241711</c:v>
                </c:pt>
                <c:pt idx="121">
                  <c:v>-843.8704120024172</c:v>
                </c:pt>
                <c:pt idx="122">
                  <c:v>-912.77041200241729</c:v>
                </c:pt>
                <c:pt idx="123">
                  <c:v>-922.17041200241715</c:v>
                </c:pt>
                <c:pt idx="124">
                  <c:v>-854.07041200241713</c:v>
                </c:pt>
                <c:pt idx="125">
                  <c:v>-788.15041200241706</c:v>
                </c:pt>
                <c:pt idx="126">
                  <c:v>-786.80041200241692</c:v>
                </c:pt>
                <c:pt idx="127">
                  <c:v>-834.59041200241688</c:v>
                </c:pt>
                <c:pt idx="128">
                  <c:v>-810.54041200241693</c:v>
                </c:pt>
                <c:pt idx="129">
                  <c:v>-846.38041200241685</c:v>
                </c:pt>
                <c:pt idx="130">
                  <c:v>-803.10041200241687</c:v>
                </c:pt>
                <c:pt idx="131">
                  <c:v>-827.88041200241685</c:v>
                </c:pt>
                <c:pt idx="132">
                  <c:v>-833.88041200241696</c:v>
                </c:pt>
                <c:pt idx="133">
                  <c:v>-816.38041200241696</c:v>
                </c:pt>
                <c:pt idx="134">
                  <c:v>-813.86041200241687</c:v>
                </c:pt>
                <c:pt idx="135">
                  <c:v>-822.14041200241684</c:v>
                </c:pt>
                <c:pt idx="136">
                  <c:v>-818.54041200241682</c:v>
                </c:pt>
                <c:pt idx="137">
                  <c:v>-806.94041200241668</c:v>
                </c:pt>
                <c:pt idx="138">
                  <c:v>-838.76041200241661</c:v>
                </c:pt>
                <c:pt idx="139">
                  <c:v>-807.2604120024165</c:v>
                </c:pt>
                <c:pt idx="140">
                  <c:v>-799.4204120024167</c:v>
                </c:pt>
                <c:pt idx="141">
                  <c:v>-830.94041200241668</c:v>
                </c:pt>
                <c:pt idx="142">
                  <c:v>-881.18041200241669</c:v>
                </c:pt>
                <c:pt idx="143">
                  <c:v>-903.42041200241647</c:v>
                </c:pt>
                <c:pt idx="144">
                  <c:v>-905.46041200241655</c:v>
                </c:pt>
                <c:pt idx="145">
                  <c:v>-821.56041200241646</c:v>
                </c:pt>
                <c:pt idx="146">
                  <c:v>-845.86041200241641</c:v>
                </c:pt>
                <c:pt idx="147">
                  <c:v>-900.0104120024165</c:v>
                </c:pt>
                <c:pt idx="148">
                  <c:v>-894.7604120024165</c:v>
                </c:pt>
                <c:pt idx="149">
                  <c:v>-844.2604120024165</c:v>
                </c:pt>
                <c:pt idx="150">
                  <c:v>-813.35041200241642</c:v>
                </c:pt>
                <c:pt idx="151">
                  <c:v>-690.76041200241627</c:v>
                </c:pt>
                <c:pt idx="152">
                  <c:v>-566.46041200241632</c:v>
                </c:pt>
                <c:pt idx="153">
                  <c:v>-624.06041200241634</c:v>
                </c:pt>
                <c:pt idx="154">
                  <c:v>-612.12041200241629</c:v>
                </c:pt>
                <c:pt idx="155">
                  <c:v>-630.93041200241623</c:v>
                </c:pt>
                <c:pt idx="156">
                  <c:v>-539.57041200241611</c:v>
                </c:pt>
                <c:pt idx="157">
                  <c:v>-535.27041200241615</c:v>
                </c:pt>
                <c:pt idx="158">
                  <c:v>-569.68041200241612</c:v>
                </c:pt>
                <c:pt idx="159">
                  <c:v>-662.98041200241607</c:v>
                </c:pt>
                <c:pt idx="160">
                  <c:v>-625.78041200241626</c:v>
                </c:pt>
                <c:pt idx="161">
                  <c:v>-592.18041200241623</c:v>
                </c:pt>
                <c:pt idx="162">
                  <c:v>-564.26041200241639</c:v>
                </c:pt>
                <c:pt idx="163">
                  <c:v>-645.2604120024165</c:v>
                </c:pt>
                <c:pt idx="164">
                  <c:v>-637.78041200241648</c:v>
                </c:pt>
                <c:pt idx="165">
                  <c:v>-548.17041200241636</c:v>
                </c:pt>
                <c:pt idx="166">
                  <c:v>-555.53041200241637</c:v>
                </c:pt>
                <c:pt idx="167">
                  <c:v>-536.21041200241621</c:v>
                </c:pt>
                <c:pt idx="168">
                  <c:v>-495.26041200241616</c:v>
                </c:pt>
                <c:pt idx="169">
                  <c:v>-476.01041200241616</c:v>
                </c:pt>
                <c:pt idx="170">
                  <c:v>-486.27041200241626</c:v>
                </c:pt>
                <c:pt idx="171">
                  <c:v>-572.42041200241624</c:v>
                </c:pt>
                <c:pt idx="172">
                  <c:v>-552.58041200241632</c:v>
                </c:pt>
                <c:pt idx="173">
                  <c:v>-484.66041200241636</c:v>
                </c:pt>
                <c:pt idx="174">
                  <c:v>-403.66041200241648</c:v>
                </c:pt>
                <c:pt idx="175">
                  <c:v>-313.24041200241663</c:v>
                </c:pt>
                <c:pt idx="176">
                  <c:v>-302.46041200241666</c:v>
                </c:pt>
                <c:pt idx="177">
                  <c:v>-256.04041200241659</c:v>
                </c:pt>
                <c:pt idx="178">
                  <c:v>-269.82041200241679</c:v>
                </c:pt>
                <c:pt idx="179">
                  <c:v>-176.13041200241673</c:v>
                </c:pt>
                <c:pt idx="180">
                  <c:v>-227.73041200241687</c:v>
                </c:pt>
                <c:pt idx="181">
                  <c:v>-234.63041200241673</c:v>
                </c:pt>
                <c:pt idx="182">
                  <c:v>-209.73041200241664</c:v>
                </c:pt>
                <c:pt idx="183">
                  <c:v>-202.88041200241662</c:v>
                </c:pt>
                <c:pt idx="184">
                  <c:v>-223.52041200241649</c:v>
                </c:pt>
                <c:pt idx="185">
                  <c:v>-202.52041200241626</c:v>
                </c:pt>
                <c:pt idx="186">
                  <c:v>-211.02041200241626</c:v>
                </c:pt>
                <c:pt idx="187">
                  <c:v>-218.86041200241618</c:v>
                </c:pt>
                <c:pt idx="188">
                  <c:v>-112.86041200241618</c:v>
                </c:pt>
                <c:pt idx="189">
                  <c:v>-118.86041200241596</c:v>
                </c:pt>
                <c:pt idx="190">
                  <c:v>-178.62041200241595</c:v>
                </c:pt>
                <c:pt idx="191">
                  <c:v>-194.02041200241604</c:v>
                </c:pt>
                <c:pt idx="192">
                  <c:v>-246.78041200241626</c:v>
                </c:pt>
                <c:pt idx="193">
                  <c:v>-45.760412002416274</c:v>
                </c:pt>
                <c:pt idx="194">
                  <c:v>-54.72041200241631</c:v>
                </c:pt>
                <c:pt idx="195">
                  <c:v>-114.90041200241615</c:v>
                </c:pt>
                <c:pt idx="196">
                  <c:v>-117.76041200241605</c:v>
                </c:pt>
                <c:pt idx="197">
                  <c:v>-77.460412002416092</c:v>
                </c:pt>
                <c:pt idx="198">
                  <c:v>-76.110412002416183</c:v>
                </c:pt>
                <c:pt idx="199">
                  <c:v>-80.390412002416383</c:v>
                </c:pt>
                <c:pt idx="200">
                  <c:v>-98.420412002416356</c:v>
                </c:pt>
                <c:pt idx="201">
                  <c:v>-51.86041200241641</c:v>
                </c:pt>
                <c:pt idx="202">
                  <c:v>-41.740412002416292</c:v>
                </c:pt>
                <c:pt idx="203">
                  <c:v>-12.060412002416228</c:v>
                </c:pt>
                <c:pt idx="204">
                  <c:v>17.05958799758389</c:v>
                </c:pt>
                <c:pt idx="205">
                  <c:v>-59.500412002416169</c:v>
                </c:pt>
                <c:pt idx="206">
                  <c:v>17.959587997583867</c:v>
                </c:pt>
                <c:pt idx="207">
                  <c:v>15.979587997584076</c:v>
                </c:pt>
                <c:pt idx="208">
                  <c:v>2.0595879975840035</c:v>
                </c:pt>
                <c:pt idx="209">
                  <c:v>23.459587997584094</c:v>
                </c:pt>
                <c:pt idx="210">
                  <c:v>-81.390412002415928</c:v>
                </c:pt>
                <c:pt idx="211">
                  <c:v>-91.750412002415942</c:v>
                </c:pt>
                <c:pt idx="212">
                  <c:v>-73.240219110828093</c:v>
                </c:pt>
                <c:pt idx="213">
                  <c:v>-29.910219110828166</c:v>
                </c:pt>
                <c:pt idx="214">
                  <c:v>-27.910219110828166</c:v>
                </c:pt>
                <c:pt idx="215">
                  <c:v>-158.590219110828</c:v>
                </c:pt>
                <c:pt idx="216">
                  <c:v>-114.75021911082786</c:v>
                </c:pt>
                <c:pt idx="217">
                  <c:v>-48.600219110827879</c:v>
                </c:pt>
                <c:pt idx="218">
                  <c:v>-31.100219110827879</c:v>
                </c:pt>
                <c:pt idx="219">
                  <c:v>85.859780889172157</c:v>
                </c:pt>
                <c:pt idx="220">
                  <c:v>155.15978088917211</c:v>
                </c:pt>
                <c:pt idx="221">
                  <c:v>140.85978088917193</c:v>
                </c:pt>
                <c:pt idx="222">
                  <c:v>200.77978088917178</c:v>
                </c:pt>
                <c:pt idx="223">
                  <c:v>143.21978088917172</c:v>
                </c:pt>
                <c:pt idx="224">
                  <c:v>213.7397808891717</c:v>
                </c:pt>
                <c:pt idx="225">
                  <c:v>184.21978088917172</c:v>
                </c:pt>
                <c:pt idx="226">
                  <c:v>81.26978088917167</c:v>
                </c:pt>
                <c:pt idx="227">
                  <c:v>100.6297808891718</c:v>
                </c:pt>
                <c:pt idx="228">
                  <c:v>117.54978088917187</c:v>
                </c:pt>
                <c:pt idx="229">
                  <c:v>157.02978088917189</c:v>
                </c:pt>
                <c:pt idx="230">
                  <c:v>176.67978088917175</c:v>
                </c:pt>
                <c:pt idx="231">
                  <c:v>134.14087220737929</c:v>
                </c:pt>
                <c:pt idx="232">
                  <c:v>187.90087220737928</c:v>
                </c:pt>
                <c:pt idx="233">
                  <c:v>177.6608722073795</c:v>
                </c:pt>
                <c:pt idx="234">
                  <c:v>240.06087220737959</c:v>
                </c:pt>
                <c:pt idx="235">
                  <c:v>196.63087220737953</c:v>
                </c:pt>
                <c:pt idx="236">
                  <c:v>282.43087220737948</c:v>
                </c:pt>
                <c:pt idx="237">
                  <c:v>290.23087220737966</c:v>
                </c:pt>
                <c:pt idx="238">
                  <c:v>193.6908722073797</c:v>
                </c:pt>
                <c:pt idx="239">
                  <c:v>213.13087220737975</c:v>
                </c:pt>
                <c:pt idx="240">
                  <c:v>223.73087220737966</c:v>
                </c:pt>
                <c:pt idx="241">
                  <c:v>402.98087220737955</c:v>
                </c:pt>
                <c:pt idx="242">
                  <c:v>401.66087220737961</c:v>
                </c:pt>
                <c:pt idx="243">
                  <c:v>390.41087220737961</c:v>
                </c:pt>
                <c:pt idx="244">
                  <c:v>292.19087220737958</c:v>
                </c:pt>
                <c:pt idx="245">
                  <c:v>298.04087220737972</c:v>
                </c:pt>
                <c:pt idx="246">
                  <c:v>293.74087220737977</c:v>
                </c:pt>
                <c:pt idx="247">
                  <c:v>271.34087220737968</c:v>
                </c:pt>
                <c:pt idx="248">
                  <c:v>236.04087220737972</c:v>
                </c:pt>
                <c:pt idx="249">
                  <c:v>156.84087220737968</c:v>
                </c:pt>
                <c:pt idx="250">
                  <c:v>299.64087220737963</c:v>
                </c:pt>
                <c:pt idx="251">
                  <c:v>205.44087220737958</c:v>
                </c:pt>
                <c:pt idx="252">
                  <c:v>215.24087220737954</c:v>
                </c:pt>
                <c:pt idx="253">
                  <c:v>309.74087220737954</c:v>
                </c:pt>
                <c:pt idx="254">
                  <c:v>286.70087220737935</c:v>
                </c:pt>
                <c:pt idx="255">
                  <c:v>313.42087220737915</c:v>
                </c:pt>
                <c:pt idx="256">
                  <c:v>343.12087220737897</c:v>
                </c:pt>
                <c:pt idx="257">
                  <c:v>205.7903397681772</c:v>
                </c:pt>
                <c:pt idx="258">
                  <c:v>176.39033976817711</c:v>
                </c:pt>
                <c:pt idx="259">
                  <c:v>90.790339768177205</c:v>
                </c:pt>
                <c:pt idx="260">
                  <c:v>72.970339768177269</c:v>
                </c:pt>
                <c:pt idx="261">
                  <c:v>53.290339768177205</c:v>
                </c:pt>
                <c:pt idx="262">
                  <c:v>95.990339768177478</c:v>
                </c:pt>
                <c:pt idx="263">
                  <c:v>59.540339768177432</c:v>
                </c:pt>
                <c:pt idx="264">
                  <c:v>63.280339768177441</c:v>
                </c:pt>
                <c:pt idx="265">
                  <c:v>8.8003397681774231</c:v>
                </c:pt>
                <c:pt idx="266">
                  <c:v>32.250339768177241</c:v>
                </c:pt>
                <c:pt idx="267">
                  <c:v>31.830339768177168</c:v>
                </c:pt>
                <c:pt idx="268">
                  <c:v>22.070339768177178</c:v>
                </c:pt>
                <c:pt idx="269">
                  <c:v>86.510339768177232</c:v>
                </c:pt>
                <c:pt idx="270">
                  <c:v>114.59033976817716</c:v>
                </c:pt>
                <c:pt idx="271">
                  <c:v>171.92033976817709</c:v>
                </c:pt>
                <c:pt idx="272">
                  <c:v>168.32033976817718</c:v>
                </c:pt>
                <c:pt idx="273">
                  <c:v>81.969804227768122</c:v>
                </c:pt>
                <c:pt idx="274">
                  <c:v>56.719804227768122</c:v>
                </c:pt>
                <c:pt idx="275">
                  <c:v>140.86980422776799</c:v>
                </c:pt>
                <c:pt idx="276">
                  <c:v>119.9898042277681</c:v>
                </c:pt>
                <c:pt idx="277">
                  <c:v>127.66980422776817</c:v>
                </c:pt>
                <c:pt idx="278">
                  <c:v>203.06980422776803</c:v>
                </c:pt>
                <c:pt idx="279">
                  <c:v>223.06980422776803</c:v>
                </c:pt>
                <c:pt idx="280">
                  <c:v>218.50980422776809</c:v>
                </c:pt>
                <c:pt idx="281">
                  <c:v>162.34980422776823</c:v>
                </c:pt>
                <c:pt idx="282">
                  <c:v>164.54980422776828</c:v>
                </c:pt>
                <c:pt idx="283">
                  <c:v>93.849804227768459</c:v>
                </c:pt>
                <c:pt idx="284">
                  <c:v>127.14980422776841</c:v>
                </c:pt>
                <c:pt idx="285">
                  <c:v>31.749804227768323</c:v>
                </c:pt>
                <c:pt idx="286">
                  <c:v>40.149804227768414</c:v>
                </c:pt>
                <c:pt idx="287">
                  <c:v>-40.980195772231696</c:v>
                </c:pt>
                <c:pt idx="288">
                  <c:v>109.61980422776844</c:v>
                </c:pt>
                <c:pt idx="289">
                  <c:v>143.5198042277683</c:v>
                </c:pt>
                <c:pt idx="290">
                  <c:v>154.79980422776828</c:v>
                </c:pt>
                <c:pt idx="291">
                  <c:v>229.79980422776828</c:v>
                </c:pt>
                <c:pt idx="292">
                  <c:v>204.04980422776828</c:v>
                </c:pt>
                <c:pt idx="293">
                  <c:v>200.349804227768</c:v>
                </c:pt>
                <c:pt idx="294">
                  <c:v>71.389804227767968</c:v>
                </c:pt>
                <c:pt idx="295">
                  <c:v>43.04980422776805</c:v>
                </c:pt>
                <c:pt idx="296">
                  <c:v>14.559804227768041</c:v>
                </c:pt>
                <c:pt idx="297">
                  <c:v>69.639804227767968</c:v>
                </c:pt>
                <c:pt idx="298">
                  <c:v>18.439804227767922</c:v>
                </c:pt>
                <c:pt idx="299">
                  <c:v>-7.9601957722320549</c:v>
                </c:pt>
                <c:pt idx="300">
                  <c:v>45.679804227767818</c:v>
                </c:pt>
                <c:pt idx="301">
                  <c:v>215.6998042277678</c:v>
                </c:pt>
                <c:pt idx="302">
                  <c:v>208.31980422776769</c:v>
                </c:pt>
                <c:pt idx="303">
                  <c:v>291.53980422776772</c:v>
                </c:pt>
                <c:pt idx="304">
                  <c:v>192.75980422776752</c:v>
                </c:pt>
                <c:pt idx="305">
                  <c:v>296.15980422776761</c:v>
                </c:pt>
                <c:pt idx="306">
                  <c:v>440.35980422776765</c:v>
                </c:pt>
                <c:pt idx="307">
                  <c:v>449.8098042277677</c:v>
                </c:pt>
                <c:pt idx="308">
                  <c:v>472.1486158586149</c:v>
                </c:pt>
                <c:pt idx="309">
                  <c:v>519.6486158586149</c:v>
                </c:pt>
                <c:pt idx="310">
                  <c:v>636.04861585861499</c:v>
                </c:pt>
                <c:pt idx="311">
                  <c:v>690.22861585861506</c:v>
                </c:pt>
                <c:pt idx="312">
                  <c:v>673.57861585861497</c:v>
                </c:pt>
                <c:pt idx="313">
                  <c:v>715.4286158586151</c:v>
                </c:pt>
                <c:pt idx="314">
                  <c:v>661.52861585861513</c:v>
                </c:pt>
                <c:pt idx="315">
                  <c:v>605.27861585861513</c:v>
                </c:pt>
                <c:pt idx="316">
                  <c:v>611.6986158586152</c:v>
                </c:pt>
                <c:pt idx="317">
                  <c:v>614.21861585861518</c:v>
                </c:pt>
                <c:pt idx="318">
                  <c:v>528.12239714744862</c:v>
                </c:pt>
                <c:pt idx="319">
                  <c:v>742.80239714744869</c:v>
                </c:pt>
                <c:pt idx="320">
                  <c:v>871.46239714744854</c:v>
                </c:pt>
                <c:pt idx="321">
                  <c:v>862.2623971474485</c:v>
                </c:pt>
                <c:pt idx="322">
                  <c:v>927.06239714744868</c:v>
                </c:pt>
                <c:pt idx="323">
                  <c:v>697.81239714744868</c:v>
                </c:pt>
                <c:pt idx="324">
                  <c:v>549.25239714744873</c:v>
                </c:pt>
                <c:pt idx="325">
                  <c:v>599.25239714744873</c:v>
                </c:pt>
                <c:pt idx="326">
                  <c:v>463.50239714744873</c:v>
                </c:pt>
                <c:pt idx="327">
                  <c:v>459.9023971474486</c:v>
                </c:pt>
                <c:pt idx="328">
                  <c:v>432.45239714744855</c:v>
                </c:pt>
                <c:pt idx="329">
                  <c:v>531.96239714744877</c:v>
                </c:pt>
                <c:pt idx="330">
                  <c:v>692.91239714744881</c:v>
                </c:pt>
                <c:pt idx="331">
                  <c:v>763.95239714744878</c:v>
                </c:pt>
                <c:pt idx="332">
                  <c:v>880.23239714744875</c:v>
                </c:pt>
                <c:pt idx="333">
                  <c:v>939.63239714744884</c:v>
                </c:pt>
                <c:pt idx="334">
                  <c:v>1002.162397147449</c:v>
                </c:pt>
                <c:pt idx="335">
                  <c:v>1058.6223971474492</c:v>
                </c:pt>
                <c:pt idx="336">
                  <c:v>1052.3823971474492</c:v>
                </c:pt>
                <c:pt idx="337">
                  <c:v>1093.7823971474493</c:v>
                </c:pt>
                <c:pt idx="338">
                  <c:v>1065.7823971474493</c:v>
                </c:pt>
                <c:pt idx="339">
                  <c:v>1001.5223971474493</c:v>
                </c:pt>
                <c:pt idx="340">
                  <c:v>877.83239714744923</c:v>
                </c:pt>
                <c:pt idx="341">
                  <c:v>880.53239714744927</c:v>
                </c:pt>
                <c:pt idx="342">
                  <c:v>863.73239714744955</c:v>
                </c:pt>
                <c:pt idx="343">
                  <c:v>854.41239714744961</c:v>
                </c:pt>
                <c:pt idx="344">
                  <c:v>726.85239714744966</c:v>
                </c:pt>
                <c:pt idx="345">
                  <c:v>634.3123971474497</c:v>
                </c:pt>
                <c:pt idx="346">
                  <c:v>640.8123971474497</c:v>
                </c:pt>
                <c:pt idx="347">
                  <c:v>611.41239714744938</c:v>
                </c:pt>
                <c:pt idx="348">
                  <c:v>634.69239714744936</c:v>
                </c:pt>
                <c:pt idx="349">
                  <c:v>595.69239714744913</c:v>
                </c:pt>
                <c:pt idx="350">
                  <c:v>667.23239714744909</c:v>
                </c:pt>
                <c:pt idx="351">
                  <c:v>664.03239714744905</c:v>
                </c:pt>
                <c:pt idx="352">
                  <c:v>602.29239714744904</c:v>
                </c:pt>
                <c:pt idx="353">
                  <c:v>619.99239714744908</c:v>
                </c:pt>
                <c:pt idx="354">
                  <c:v>603.16239714744916</c:v>
                </c:pt>
                <c:pt idx="355">
                  <c:v>542.92239714744915</c:v>
                </c:pt>
                <c:pt idx="356">
                  <c:v>389.14239714744917</c:v>
                </c:pt>
                <c:pt idx="357">
                  <c:v>664.58239714744923</c:v>
                </c:pt>
                <c:pt idx="358">
                  <c:v>772.70239714744912</c:v>
                </c:pt>
                <c:pt idx="359">
                  <c:v>637.79239714744904</c:v>
                </c:pt>
                <c:pt idx="360">
                  <c:v>467.49239714744908</c:v>
                </c:pt>
                <c:pt idx="361">
                  <c:v>469.24239714744908</c:v>
                </c:pt>
                <c:pt idx="362">
                  <c:v>707.7223971474491</c:v>
                </c:pt>
                <c:pt idx="363">
                  <c:v>484.75239714744907</c:v>
                </c:pt>
                <c:pt idx="364">
                  <c:v>424.57239714744901</c:v>
                </c:pt>
                <c:pt idx="365">
                  <c:v>429.29239714744881</c:v>
                </c:pt>
                <c:pt idx="366">
                  <c:v>214.21239714744888</c:v>
                </c:pt>
                <c:pt idx="367">
                  <c:v>191.01239714744884</c:v>
                </c:pt>
                <c:pt idx="368">
                  <c:v>511.11239714744897</c:v>
                </c:pt>
                <c:pt idx="369">
                  <c:v>488.79239714744904</c:v>
                </c:pt>
                <c:pt idx="370">
                  <c:v>437.45239714744889</c:v>
                </c:pt>
                <c:pt idx="371">
                  <c:v>481.25239714744907</c:v>
                </c:pt>
                <c:pt idx="372">
                  <c:v>435.70239714744935</c:v>
                </c:pt>
                <c:pt idx="373">
                  <c:v>464.50239714744953</c:v>
                </c:pt>
                <c:pt idx="374">
                  <c:v>736.96239714744979</c:v>
                </c:pt>
                <c:pt idx="375">
                  <c:v>624.46239714744979</c:v>
                </c:pt>
                <c:pt idx="376">
                  <c:v>588.46239714744979</c:v>
                </c:pt>
                <c:pt idx="377">
                  <c:v>855.76239714744997</c:v>
                </c:pt>
                <c:pt idx="378">
                  <c:v>698.44239714745004</c:v>
                </c:pt>
                <c:pt idx="379">
                  <c:v>715.44239714745004</c:v>
                </c:pt>
                <c:pt idx="380">
                  <c:v>616.64239714745008</c:v>
                </c:pt>
                <c:pt idx="381">
                  <c:v>555.58996410331565</c:v>
                </c:pt>
                <c:pt idx="382">
                  <c:v>581.98996410331551</c:v>
                </c:pt>
                <c:pt idx="383">
                  <c:v>620.83996410331542</c:v>
                </c:pt>
                <c:pt idx="384">
                  <c:v>592.51996410331549</c:v>
                </c:pt>
                <c:pt idx="385">
                  <c:v>658.45996410331531</c:v>
                </c:pt>
                <c:pt idx="386">
                  <c:v>491.05996410331545</c:v>
                </c:pt>
                <c:pt idx="387">
                  <c:v>614.00996410331527</c:v>
                </c:pt>
                <c:pt idx="388">
                  <c:v>332.00996410331527</c:v>
                </c:pt>
                <c:pt idx="389">
                  <c:v>394.88996410331538</c:v>
                </c:pt>
                <c:pt idx="390">
                  <c:v>543.89996410331514</c:v>
                </c:pt>
                <c:pt idx="391">
                  <c:v>535.49996410331505</c:v>
                </c:pt>
                <c:pt idx="392">
                  <c:v>751.09996410331496</c:v>
                </c:pt>
                <c:pt idx="393">
                  <c:v>724.96996410331485</c:v>
                </c:pt>
                <c:pt idx="394">
                  <c:v>845.86996410331471</c:v>
                </c:pt>
                <c:pt idx="395">
                  <c:v>554.11996410331471</c:v>
                </c:pt>
                <c:pt idx="396">
                  <c:v>469.51996410331481</c:v>
                </c:pt>
                <c:pt idx="397">
                  <c:v>481.51996410331481</c:v>
                </c:pt>
                <c:pt idx="398">
                  <c:v>681.71996410331462</c:v>
                </c:pt>
                <c:pt idx="399">
                  <c:v>560.21996410331485</c:v>
                </c:pt>
                <c:pt idx="400">
                  <c:v>533.15996410331491</c:v>
                </c:pt>
                <c:pt idx="401">
                  <c:v>359.71996410331485</c:v>
                </c:pt>
                <c:pt idx="402">
                  <c:v>113.03996410331479</c:v>
                </c:pt>
                <c:pt idx="403">
                  <c:v>48.039964103314787</c:v>
                </c:pt>
                <c:pt idx="404">
                  <c:v>200.76996410331458</c:v>
                </c:pt>
                <c:pt idx="405">
                  <c:v>173.70996410331463</c:v>
                </c:pt>
                <c:pt idx="406">
                  <c:v>34.92996410331466</c:v>
                </c:pt>
                <c:pt idx="407">
                  <c:v>-115.97003589668543</c:v>
                </c:pt>
                <c:pt idx="408">
                  <c:v>71.869964103314715</c:v>
                </c:pt>
                <c:pt idx="409">
                  <c:v>137.86996410331471</c:v>
                </c:pt>
                <c:pt idx="410">
                  <c:v>83.139964103314924</c:v>
                </c:pt>
                <c:pt idx="411">
                  <c:v>195.62996410331493</c:v>
                </c:pt>
                <c:pt idx="412">
                  <c:v>213.99360046695119</c:v>
                </c:pt>
                <c:pt idx="413">
                  <c:v>316.07360046695112</c:v>
                </c:pt>
                <c:pt idx="414">
                  <c:v>415.67360046695126</c:v>
                </c:pt>
                <c:pt idx="415">
                  <c:v>483.92360046695126</c:v>
                </c:pt>
                <c:pt idx="416">
                  <c:v>470.17360046695126</c:v>
                </c:pt>
                <c:pt idx="417">
                  <c:v>399.43360046695148</c:v>
                </c:pt>
                <c:pt idx="418">
                  <c:v>608.4336004669517</c:v>
                </c:pt>
              </c:numCache>
              <c:extLst xmlns:c15="http://schemas.microsoft.com/office/drawing/2012/chart"/>
            </c:numRef>
          </c:val>
          <c:smooth val="0"/>
          <c:extLst xmlns:c15="http://schemas.microsoft.com/office/drawing/2012/chart">
            <c:ext xmlns:c16="http://schemas.microsoft.com/office/drawing/2014/chart" uri="{C3380CC4-5D6E-409C-BE32-E72D297353CC}">
              <c16:uniqueId val="{00000003-E40B-4614-BAB7-0785497FEB68}"/>
            </c:ext>
          </c:extLst>
        </c:ser>
        <c:dLbls>
          <c:showLegendKey val="0"/>
          <c:showVal val="0"/>
          <c:showCatName val="0"/>
          <c:showSerName val="0"/>
          <c:showPercent val="0"/>
          <c:showBubbleSize val="0"/>
        </c:dLbls>
        <c:smooth val="0"/>
        <c:axId val="147683023"/>
        <c:axId val="146645279"/>
        <c:extLst>
          <c:ext xmlns:c15="http://schemas.microsoft.com/office/drawing/2012/chart" uri="{02D57815-91ED-43cb-92C2-25804820EDAC}">
            <c15:filteredLineSeries>
              <c15:ser>
                <c:idx val="0"/>
                <c:order val="2"/>
                <c:tx>
                  <c:v>Up</c:v>
                </c:tx>
                <c:spPr>
                  <a:ln w="28575" cap="rnd">
                    <a:solidFill>
                      <a:schemeClr val="accent6">
                        <a:lumMod val="75000"/>
                      </a:schemeClr>
                    </a:solidFill>
                    <a:prstDash val="solid"/>
                    <a:round/>
                  </a:ln>
                  <a:effectLst/>
                </c:spPr>
                <c:marker>
                  <c:symbol val="none"/>
                </c:marker>
                <c:val>
                  <c:numRef>
                    <c:extLst>
                      <c:ext uri="{02D57815-91ED-43cb-92C2-25804820EDAC}">
                        <c15:formulaRef>
                          <c15:sqref>'2025-Q2'!$BX$4:$BX$422</c15:sqref>
                        </c15:formulaRef>
                      </c:ext>
                    </c:extLst>
                    <c:numCache>
                      <c:formatCode>"$"#,##0_);[Red]\("$"#,##0\)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4.5899999999999181</c:v>
                      </c:pt>
                      <c:pt idx="40">
                        <c:v>4.5899999999999181</c:v>
                      </c:pt>
                      <c:pt idx="41">
                        <c:v>4.5899999999999181</c:v>
                      </c:pt>
                      <c:pt idx="42">
                        <c:v>4.5899999999999181</c:v>
                      </c:pt>
                      <c:pt idx="43">
                        <c:v>4.5899999999999181</c:v>
                      </c:pt>
                      <c:pt idx="44">
                        <c:v>4.5899999999999181</c:v>
                      </c:pt>
                      <c:pt idx="45">
                        <c:v>4.5899999999999181</c:v>
                      </c:pt>
                      <c:pt idx="46">
                        <c:v>4.5899999999999181</c:v>
                      </c:pt>
                      <c:pt idx="47">
                        <c:v>-88.570000000000164</c:v>
                      </c:pt>
                      <c:pt idx="48">
                        <c:v>-88.570000000000164</c:v>
                      </c:pt>
                      <c:pt idx="49">
                        <c:v>-88.570000000000164</c:v>
                      </c:pt>
                      <c:pt idx="50">
                        <c:v>-88.570000000000164</c:v>
                      </c:pt>
                      <c:pt idx="51">
                        <c:v>-88.570000000000164</c:v>
                      </c:pt>
                      <c:pt idx="52">
                        <c:v>-88.570000000000164</c:v>
                      </c:pt>
                      <c:pt idx="53">
                        <c:v>-88.570000000000164</c:v>
                      </c:pt>
                      <c:pt idx="54">
                        <c:v>-88.570000000000164</c:v>
                      </c:pt>
                      <c:pt idx="55">
                        <c:v>-88.570000000000164</c:v>
                      </c:pt>
                      <c:pt idx="56">
                        <c:v>-88.570000000000164</c:v>
                      </c:pt>
                      <c:pt idx="57">
                        <c:v>-88.570000000000164</c:v>
                      </c:pt>
                      <c:pt idx="58">
                        <c:v>-88.570000000000164</c:v>
                      </c:pt>
                      <c:pt idx="59">
                        <c:v>-88.570000000000164</c:v>
                      </c:pt>
                      <c:pt idx="60">
                        <c:v>-88.570000000000164</c:v>
                      </c:pt>
                      <c:pt idx="61">
                        <c:v>-88.570000000000164</c:v>
                      </c:pt>
                      <c:pt idx="62">
                        <c:v>-88.570000000000164</c:v>
                      </c:pt>
                      <c:pt idx="63">
                        <c:v>-88.570000000000164</c:v>
                      </c:pt>
                      <c:pt idx="64">
                        <c:v>-88.570000000000164</c:v>
                      </c:pt>
                      <c:pt idx="65">
                        <c:v>-88.570000000000164</c:v>
                      </c:pt>
                      <c:pt idx="66">
                        <c:v>-88.570000000000164</c:v>
                      </c:pt>
                      <c:pt idx="67">
                        <c:v>-88.570000000000164</c:v>
                      </c:pt>
                      <c:pt idx="68">
                        <c:v>-88.570000000000164</c:v>
                      </c:pt>
                      <c:pt idx="69">
                        <c:v>-64.420000000000186</c:v>
                      </c:pt>
                      <c:pt idx="70">
                        <c:v>-64.420000000000186</c:v>
                      </c:pt>
                      <c:pt idx="71">
                        <c:v>-91.165000000000305</c:v>
                      </c:pt>
                      <c:pt idx="72">
                        <c:v>-91.165000000000305</c:v>
                      </c:pt>
                      <c:pt idx="73">
                        <c:v>-91.165000000000305</c:v>
                      </c:pt>
                      <c:pt idx="74">
                        <c:v>-91.165000000000305</c:v>
                      </c:pt>
                      <c:pt idx="75">
                        <c:v>-91.165000000000305</c:v>
                      </c:pt>
                      <c:pt idx="76">
                        <c:v>-91.165000000000305</c:v>
                      </c:pt>
                      <c:pt idx="77">
                        <c:v>-91.165000000000305</c:v>
                      </c:pt>
                      <c:pt idx="78">
                        <c:v>-91.165000000000305</c:v>
                      </c:pt>
                      <c:pt idx="79">
                        <c:v>-91.165000000000305</c:v>
                      </c:pt>
                      <c:pt idx="80">
                        <c:v>-91.165000000000305</c:v>
                      </c:pt>
                      <c:pt idx="81">
                        <c:v>-91.165000000000305</c:v>
                      </c:pt>
                      <c:pt idx="82">
                        <c:v>-91.165000000000305</c:v>
                      </c:pt>
                      <c:pt idx="83">
                        <c:v>-91.165000000000305</c:v>
                      </c:pt>
                      <c:pt idx="84">
                        <c:v>-91.165000000000305</c:v>
                      </c:pt>
                      <c:pt idx="85">
                        <c:v>-91.165000000000305</c:v>
                      </c:pt>
                      <c:pt idx="86">
                        <c:v>-91.165000000000305</c:v>
                      </c:pt>
                      <c:pt idx="87">
                        <c:v>-91.165000000000305</c:v>
                      </c:pt>
                      <c:pt idx="88">
                        <c:v>-91.165000000000305</c:v>
                      </c:pt>
                      <c:pt idx="89">
                        <c:v>-91.165000000000305</c:v>
                      </c:pt>
                      <c:pt idx="90">
                        <c:v>-91.165000000000305</c:v>
                      </c:pt>
                      <c:pt idx="91">
                        <c:v>-91.165000000000305</c:v>
                      </c:pt>
                      <c:pt idx="92">
                        <c:v>-91.165000000000305</c:v>
                      </c:pt>
                      <c:pt idx="93">
                        <c:v>-91.165000000000305</c:v>
                      </c:pt>
                      <c:pt idx="94">
                        <c:v>-91.165000000000305</c:v>
                      </c:pt>
                      <c:pt idx="95">
                        <c:v>-91.165000000000305</c:v>
                      </c:pt>
                      <c:pt idx="96">
                        <c:v>-91.165000000000305</c:v>
                      </c:pt>
                      <c:pt idx="97">
                        <c:v>-91.165000000000305</c:v>
                      </c:pt>
                      <c:pt idx="98">
                        <c:v>-91.165000000000305</c:v>
                      </c:pt>
                      <c:pt idx="99">
                        <c:v>-91.165000000000305</c:v>
                      </c:pt>
                      <c:pt idx="100">
                        <c:v>-91.165000000000305</c:v>
                      </c:pt>
                      <c:pt idx="101">
                        <c:v>-91.165000000000305</c:v>
                      </c:pt>
                      <c:pt idx="102">
                        <c:v>-91.165000000000305</c:v>
                      </c:pt>
                      <c:pt idx="103">
                        <c:v>-167.28500000000031</c:v>
                      </c:pt>
                      <c:pt idx="104">
                        <c:v>-167.28500000000031</c:v>
                      </c:pt>
                      <c:pt idx="105">
                        <c:v>-167.28500000000031</c:v>
                      </c:pt>
                      <c:pt idx="106">
                        <c:v>-155.96500000000026</c:v>
                      </c:pt>
                      <c:pt idx="107">
                        <c:v>-155.96500000000026</c:v>
                      </c:pt>
                      <c:pt idx="108">
                        <c:v>-155.96500000000026</c:v>
                      </c:pt>
                      <c:pt idx="109">
                        <c:v>-155.96500000000026</c:v>
                      </c:pt>
                      <c:pt idx="110">
                        <c:v>-155.96500000000026</c:v>
                      </c:pt>
                      <c:pt idx="111">
                        <c:v>-155.96500000000026</c:v>
                      </c:pt>
                      <c:pt idx="112">
                        <c:v>-155.96500000000026</c:v>
                      </c:pt>
                      <c:pt idx="113">
                        <c:v>-155.96500000000026</c:v>
                      </c:pt>
                      <c:pt idx="114">
                        <c:v>-155.96500000000026</c:v>
                      </c:pt>
                      <c:pt idx="115">
                        <c:v>-155.96500000000026</c:v>
                      </c:pt>
                      <c:pt idx="116">
                        <c:v>-155.96500000000026</c:v>
                      </c:pt>
                      <c:pt idx="117">
                        <c:v>-155.96500000000026</c:v>
                      </c:pt>
                      <c:pt idx="118">
                        <c:v>-155.96500000000026</c:v>
                      </c:pt>
                      <c:pt idx="119">
                        <c:v>-155.96500000000026</c:v>
                      </c:pt>
                      <c:pt idx="120">
                        <c:v>-155.96500000000026</c:v>
                      </c:pt>
                      <c:pt idx="121">
                        <c:v>-181.36500000000035</c:v>
                      </c:pt>
                      <c:pt idx="122">
                        <c:v>-181.36500000000035</c:v>
                      </c:pt>
                      <c:pt idx="123">
                        <c:v>-181.36500000000035</c:v>
                      </c:pt>
                      <c:pt idx="124">
                        <c:v>-181.36500000000035</c:v>
                      </c:pt>
                      <c:pt idx="125">
                        <c:v>-181.36500000000035</c:v>
                      </c:pt>
                      <c:pt idx="126">
                        <c:v>-181.36500000000035</c:v>
                      </c:pt>
                      <c:pt idx="127">
                        <c:v>-181.36500000000035</c:v>
                      </c:pt>
                      <c:pt idx="128">
                        <c:v>-181.36500000000035</c:v>
                      </c:pt>
                      <c:pt idx="129">
                        <c:v>-181.36500000000035</c:v>
                      </c:pt>
                      <c:pt idx="130">
                        <c:v>-181.36500000000035</c:v>
                      </c:pt>
                      <c:pt idx="131">
                        <c:v>-181.36500000000035</c:v>
                      </c:pt>
                      <c:pt idx="132">
                        <c:v>-181.36500000000035</c:v>
                      </c:pt>
                      <c:pt idx="133">
                        <c:v>-181.36500000000035</c:v>
                      </c:pt>
                      <c:pt idx="134">
                        <c:v>-181.36500000000035</c:v>
                      </c:pt>
                      <c:pt idx="135">
                        <c:v>-181.36500000000035</c:v>
                      </c:pt>
                      <c:pt idx="136">
                        <c:v>-181.36500000000035</c:v>
                      </c:pt>
                      <c:pt idx="137">
                        <c:v>-205.1650000000003</c:v>
                      </c:pt>
                      <c:pt idx="138">
                        <c:v>-205.1650000000003</c:v>
                      </c:pt>
                      <c:pt idx="139">
                        <c:v>-205.1650000000003</c:v>
                      </c:pt>
                      <c:pt idx="140">
                        <c:v>-205.1650000000003</c:v>
                      </c:pt>
                      <c:pt idx="141">
                        <c:v>-205.1650000000003</c:v>
                      </c:pt>
                      <c:pt idx="142">
                        <c:v>-205.1650000000003</c:v>
                      </c:pt>
                      <c:pt idx="143">
                        <c:v>-205.1650000000003</c:v>
                      </c:pt>
                      <c:pt idx="144">
                        <c:v>-205.1650000000003</c:v>
                      </c:pt>
                      <c:pt idx="145">
                        <c:v>-205.1650000000003</c:v>
                      </c:pt>
                      <c:pt idx="146">
                        <c:v>-205.1650000000003</c:v>
                      </c:pt>
                      <c:pt idx="147">
                        <c:v>-205.1650000000003</c:v>
                      </c:pt>
                      <c:pt idx="148">
                        <c:v>-205.1650000000003</c:v>
                      </c:pt>
                      <c:pt idx="149">
                        <c:v>-205.1650000000003</c:v>
                      </c:pt>
                      <c:pt idx="150">
                        <c:v>-205.1650000000003</c:v>
                      </c:pt>
                      <c:pt idx="151">
                        <c:v>-205.1650000000003</c:v>
                      </c:pt>
                      <c:pt idx="152">
                        <c:v>-205.1650000000003</c:v>
                      </c:pt>
                      <c:pt idx="153">
                        <c:v>-205.1650000000003</c:v>
                      </c:pt>
                      <c:pt idx="154">
                        <c:v>-205.1650000000003</c:v>
                      </c:pt>
                      <c:pt idx="155">
                        <c:v>-205.1650000000003</c:v>
                      </c:pt>
                      <c:pt idx="156">
                        <c:v>-205.1650000000003</c:v>
                      </c:pt>
                      <c:pt idx="157">
                        <c:v>-205.1650000000003</c:v>
                      </c:pt>
                      <c:pt idx="158">
                        <c:v>-205.1650000000003</c:v>
                      </c:pt>
                      <c:pt idx="159">
                        <c:v>-205.1650000000003</c:v>
                      </c:pt>
                      <c:pt idx="160">
                        <c:v>-205.1650000000003</c:v>
                      </c:pt>
                      <c:pt idx="161">
                        <c:v>-205.1650000000003</c:v>
                      </c:pt>
                      <c:pt idx="162">
                        <c:v>-205.1650000000003</c:v>
                      </c:pt>
                      <c:pt idx="163">
                        <c:v>-205.1650000000003</c:v>
                      </c:pt>
                      <c:pt idx="164">
                        <c:v>-205.1650000000003</c:v>
                      </c:pt>
                      <c:pt idx="165">
                        <c:v>-205.1650000000003</c:v>
                      </c:pt>
                      <c:pt idx="166">
                        <c:v>-205.1650000000003</c:v>
                      </c:pt>
                      <c:pt idx="167">
                        <c:v>-205.1650000000003</c:v>
                      </c:pt>
                      <c:pt idx="168">
                        <c:v>-205.1650000000003</c:v>
                      </c:pt>
                      <c:pt idx="169">
                        <c:v>-205.1650000000003</c:v>
                      </c:pt>
                      <c:pt idx="170">
                        <c:v>-205.1650000000003</c:v>
                      </c:pt>
                      <c:pt idx="171">
                        <c:v>-205.1650000000003</c:v>
                      </c:pt>
                      <c:pt idx="172">
                        <c:v>-205.1650000000003</c:v>
                      </c:pt>
                      <c:pt idx="173">
                        <c:v>-205.1650000000003</c:v>
                      </c:pt>
                      <c:pt idx="174">
                        <c:v>-205.1650000000003</c:v>
                      </c:pt>
                      <c:pt idx="175">
                        <c:v>-205.1650000000003</c:v>
                      </c:pt>
                      <c:pt idx="176">
                        <c:v>-205.1650000000003</c:v>
                      </c:pt>
                      <c:pt idx="177">
                        <c:v>-205.1650000000003</c:v>
                      </c:pt>
                      <c:pt idx="178">
                        <c:v>-205.1650000000003</c:v>
                      </c:pt>
                      <c:pt idx="179">
                        <c:v>-205.1650000000003</c:v>
                      </c:pt>
                      <c:pt idx="180">
                        <c:v>-205.1650000000003</c:v>
                      </c:pt>
                      <c:pt idx="181">
                        <c:v>-205.1650000000003</c:v>
                      </c:pt>
                      <c:pt idx="182">
                        <c:v>-205.1650000000003</c:v>
                      </c:pt>
                      <c:pt idx="183">
                        <c:v>-205.1650000000003</c:v>
                      </c:pt>
                      <c:pt idx="184">
                        <c:v>-205.1650000000003</c:v>
                      </c:pt>
                      <c:pt idx="185">
                        <c:v>-205.1650000000003</c:v>
                      </c:pt>
                      <c:pt idx="186">
                        <c:v>-205.1650000000003</c:v>
                      </c:pt>
                      <c:pt idx="187">
                        <c:v>-205.1650000000003</c:v>
                      </c:pt>
                      <c:pt idx="188">
                        <c:v>-205.1650000000003</c:v>
                      </c:pt>
                      <c:pt idx="189">
                        <c:v>-205.1650000000003</c:v>
                      </c:pt>
                      <c:pt idx="190">
                        <c:v>-205.1650000000003</c:v>
                      </c:pt>
                      <c:pt idx="191">
                        <c:v>-205.1650000000003</c:v>
                      </c:pt>
                      <c:pt idx="192">
                        <c:v>-205.1650000000003</c:v>
                      </c:pt>
                      <c:pt idx="193">
                        <c:v>-205.1650000000003</c:v>
                      </c:pt>
                      <c:pt idx="194">
                        <c:v>-205.1650000000003</c:v>
                      </c:pt>
                      <c:pt idx="195">
                        <c:v>-205.1650000000003</c:v>
                      </c:pt>
                      <c:pt idx="196">
                        <c:v>-205.1650000000003</c:v>
                      </c:pt>
                      <c:pt idx="197">
                        <c:v>-205.1650000000003</c:v>
                      </c:pt>
                      <c:pt idx="198">
                        <c:v>-205.1650000000003</c:v>
                      </c:pt>
                      <c:pt idx="199">
                        <c:v>-205.1650000000003</c:v>
                      </c:pt>
                      <c:pt idx="200">
                        <c:v>-224.65000000000032</c:v>
                      </c:pt>
                      <c:pt idx="201">
                        <c:v>-224.65000000000032</c:v>
                      </c:pt>
                      <c:pt idx="202">
                        <c:v>-224.65000000000032</c:v>
                      </c:pt>
                      <c:pt idx="203">
                        <c:v>-233.61000000000035</c:v>
                      </c:pt>
                      <c:pt idx="204">
                        <c:v>-233.61000000000035</c:v>
                      </c:pt>
                      <c:pt idx="205">
                        <c:v>-233.61000000000035</c:v>
                      </c:pt>
                      <c:pt idx="206">
                        <c:v>-233.61000000000035</c:v>
                      </c:pt>
                      <c:pt idx="207">
                        <c:v>-233.61000000000035</c:v>
                      </c:pt>
                      <c:pt idx="208">
                        <c:v>-233.61000000000035</c:v>
                      </c:pt>
                      <c:pt idx="209">
                        <c:v>-233.61000000000035</c:v>
                      </c:pt>
                      <c:pt idx="210">
                        <c:v>-233.61000000000035</c:v>
                      </c:pt>
                      <c:pt idx="211">
                        <c:v>-233.61000000000035</c:v>
                      </c:pt>
                      <c:pt idx="212">
                        <c:v>-233.61000000000035</c:v>
                      </c:pt>
                      <c:pt idx="213">
                        <c:v>-233.61000000000035</c:v>
                      </c:pt>
                      <c:pt idx="214">
                        <c:v>-233.61000000000035</c:v>
                      </c:pt>
                      <c:pt idx="215">
                        <c:v>-233.61000000000035</c:v>
                      </c:pt>
                      <c:pt idx="216">
                        <c:v>-233.61000000000035</c:v>
                      </c:pt>
                      <c:pt idx="217">
                        <c:v>-178.45000000000039</c:v>
                      </c:pt>
                      <c:pt idx="218">
                        <c:v>-178.45000000000039</c:v>
                      </c:pt>
                      <c:pt idx="219">
                        <c:v>-178.45000000000039</c:v>
                      </c:pt>
                      <c:pt idx="220">
                        <c:v>-178.45000000000039</c:v>
                      </c:pt>
                      <c:pt idx="221">
                        <c:v>-178.45000000000039</c:v>
                      </c:pt>
                      <c:pt idx="222">
                        <c:v>-178.45000000000039</c:v>
                      </c:pt>
                      <c:pt idx="223">
                        <c:v>-199.33000000000038</c:v>
                      </c:pt>
                      <c:pt idx="224">
                        <c:v>-199.33000000000038</c:v>
                      </c:pt>
                      <c:pt idx="225">
                        <c:v>-199.33000000000038</c:v>
                      </c:pt>
                      <c:pt idx="226">
                        <c:v>-199.33000000000038</c:v>
                      </c:pt>
                      <c:pt idx="227">
                        <c:v>-199.33000000000038</c:v>
                      </c:pt>
                      <c:pt idx="228">
                        <c:v>-199.33000000000038</c:v>
                      </c:pt>
                      <c:pt idx="229">
                        <c:v>-199.33000000000038</c:v>
                      </c:pt>
                      <c:pt idx="230">
                        <c:v>-199.33000000000038</c:v>
                      </c:pt>
                      <c:pt idx="231">
                        <c:v>-199.33000000000038</c:v>
                      </c:pt>
                      <c:pt idx="232">
                        <c:v>-199.33000000000038</c:v>
                      </c:pt>
                      <c:pt idx="233">
                        <c:v>-199.33000000000038</c:v>
                      </c:pt>
                      <c:pt idx="234">
                        <c:v>-199.33000000000038</c:v>
                      </c:pt>
                      <c:pt idx="235">
                        <c:v>-199.33000000000038</c:v>
                      </c:pt>
                      <c:pt idx="236">
                        <c:v>-199.33000000000038</c:v>
                      </c:pt>
                      <c:pt idx="237">
                        <c:v>-199.33000000000038</c:v>
                      </c:pt>
                      <c:pt idx="238">
                        <c:v>-199.33000000000038</c:v>
                      </c:pt>
                      <c:pt idx="239">
                        <c:v>-199.33000000000038</c:v>
                      </c:pt>
                      <c:pt idx="240">
                        <c:v>-192.33000000000061</c:v>
                      </c:pt>
                      <c:pt idx="241">
                        <c:v>-192.33000000000061</c:v>
                      </c:pt>
                      <c:pt idx="242">
                        <c:v>-192.33000000000061</c:v>
                      </c:pt>
                      <c:pt idx="243">
                        <c:v>-192.33000000000061</c:v>
                      </c:pt>
                      <c:pt idx="244">
                        <c:v>-192.33000000000061</c:v>
                      </c:pt>
                      <c:pt idx="245">
                        <c:v>-192.33000000000061</c:v>
                      </c:pt>
                      <c:pt idx="246">
                        <c:v>-192.33000000000061</c:v>
                      </c:pt>
                      <c:pt idx="247">
                        <c:v>-192.33000000000061</c:v>
                      </c:pt>
                      <c:pt idx="248">
                        <c:v>-192.33000000000061</c:v>
                      </c:pt>
                      <c:pt idx="249">
                        <c:v>-192.33000000000061</c:v>
                      </c:pt>
                      <c:pt idx="250">
                        <c:v>-192.33000000000061</c:v>
                      </c:pt>
                      <c:pt idx="251">
                        <c:v>-192.33000000000061</c:v>
                      </c:pt>
                      <c:pt idx="252">
                        <c:v>-192.33000000000061</c:v>
                      </c:pt>
                      <c:pt idx="253">
                        <c:v>-192.33000000000061</c:v>
                      </c:pt>
                      <c:pt idx="254">
                        <c:v>-192.33000000000061</c:v>
                      </c:pt>
                      <c:pt idx="255">
                        <c:v>-192.33000000000061</c:v>
                      </c:pt>
                      <c:pt idx="256">
                        <c:v>-192.33000000000061</c:v>
                      </c:pt>
                      <c:pt idx="257">
                        <c:v>-294.19959683283582</c:v>
                      </c:pt>
                      <c:pt idx="258">
                        <c:v>-313.79959683283596</c:v>
                      </c:pt>
                      <c:pt idx="259">
                        <c:v>-313.79959683283596</c:v>
                      </c:pt>
                      <c:pt idx="260">
                        <c:v>-313.79959683283596</c:v>
                      </c:pt>
                      <c:pt idx="261">
                        <c:v>-313.79959683283596</c:v>
                      </c:pt>
                      <c:pt idx="262">
                        <c:v>-313.79959683283596</c:v>
                      </c:pt>
                      <c:pt idx="263">
                        <c:v>-313.79959683283596</c:v>
                      </c:pt>
                      <c:pt idx="264">
                        <c:v>-313.79959683283596</c:v>
                      </c:pt>
                      <c:pt idx="265">
                        <c:v>-313.79959683283596</c:v>
                      </c:pt>
                      <c:pt idx="266">
                        <c:v>-313.79959683283596</c:v>
                      </c:pt>
                      <c:pt idx="267">
                        <c:v>-313.79959683283596</c:v>
                      </c:pt>
                      <c:pt idx="268">
                        <c:v>-313.79959683283596</c:v>
                      </c:pt>
                      <c:pt idx="269">
                        <c:v>-313.79959683283596</c:v>
                      </c:pt>
                      <c:pt idx="270">
                        <c:v>-313.79959683283596</c:v>
                      </c:pt>
                      <c:pt idx="271">
                        <c:v>-313.79959683283596</c:v>
                      </c:pt>
                      <c:pt idx="272">
                        <c:v>-313.79959683283596</c:v>
                      </c:pt>
                      <c:pt idx="273">
                        <c:v>-379.59317034792866</c:v>
                      </c:pt>
                      <c:pt idx="274">
                        <c:v>-379.59317034792866</c:v>
                      </c:pt>
                      <c:pt idx="275">
                        <c:v>-379.59317034792866</c:v>
                      </c:pt>
                      <c:pt idx="276">
                        <c:v>-379.59317034792866</c:v>
                      </c:pt>
                      <c:pt idx="277">
                        <c:v>-351.87317034792864</c:v>
                      </c:pt>
                      <c:pt idx="278">
                        <c:v>-351.87317034792864</c:v>
                      </c:pt>
                      <c:pt idx="279">
                        <c:v>-351.87317034792864</c:v>
                      </c:pt>
                      <c:pt idx="280">
                        <c:v>-351.87317034792864</c:v>
                      </c:pt>
                      <c:pt idx="281">
                        <c:v>-351.87317034792864</c:v>
                      </c:pt>
                      <c:pt idx="282">
                        <c:v>-351.87317034792864</c:v>
                      </c:pt>
                      <c:pt idx="283">
                        <c:v>-351.87317034792864</c:v>
                      </c:pt>
                      <c:pt idx="284">
                        <c:v>-351.87317034792864</c:v>
                      </c:pt>
                      <c:pt idx="285">
                        <c:v>-351.87317034792864</c:v>
                      </c:pt>
                      <c:pt idx="286">
                        <c:v>-351.87317034792864</c:v>
                      </c:pt>
                      <c:pt idx="287">
                        <c:v>-351.87317034792864</c:v>
                      </c:pt>
                      <c:pt idx="288">
                        <c:v>-351.87317034792864</c:v>
                      </c:pt>
                      <c:pt idx="289">
                        <c:v>-351.87317034792864</c:v>
                      </c:pt>
                      <c:pt idx="290">
                        <c:v>-355.59317034792866</c:v>
                      </c:pt>
                      <c:pt idx="291">
                        <c:v>-355.59317034792866</c:v>
                      </c:pt>
                      <c:pt idx="292">
                        <c:v>-355.59317034792866</c:v>
                      </c:pt>
                      <c:pt idx="293">
                        <c:v>-355.59317034792866</c:v>
                      </c:pt>
                      <c:pt idx="294">
                        <c:v>-355.59317034792866</c:v>
                      </c:pt>
                      <c:pt idx="295">
                        <c:v>-390.69317034792857</c:v>
                      </c:pt>
                      <c:pt idx="296">
                        <c:v>-390.69317034792857</c:v>
                      </c:pt>
                      <c:pt idx="297">
                        <c:v>-371.69317034792857</c:v>
                      </c:pt>
                      <c:pt idx="298">
                        <c:v>-371.69317034792857</c:v>
                      </c:pt>
                      <c:pt idx="299">
                        <c:v>-371.69317034792857</c:v>
                      </c:pt>
                      <c:pt idx="300">
                        <c:v>-371.69317034792857</c:v>
                      </c:pt>
                      <c:pt idx="301">
                        <c:v>-371.69317034792857</c:v>
                      </c:pt>
                      <c:pt idx="302">
                        <c:v>-371.69317034792857</c:v>
                      </c:pt>
                      <c:pt idx="303">
                        <c:v>-371.69317034792857</c:v>
                      </c:pt>
                      <c:pt idx="304">
                        <c:v>-472.01317034792874</c:v>
                      </c:pt>
                      <c:pt idx="305">
                        <c:v>-472.01317034792874</c:v>
                      </c:pt>
                      <c:pt idx="306">
                        <c:v>-472.01317034792874</c:v>
                      </c:pt>
                      <c:pt idx="307">
                        <c:v>-472.01317034792874</c:v>
                      </c:pt>
                      <c:pt idx="308">
                        <c:v>-472.01317034792874</c:v>
                      </c:pt>
                      <c:pt idx="309">
                        <c:v>-402.51317034792874</c:v>
                      </c:pt>
                      <c:pt idx="310">
                        <c:v>-402.51317034792874</c:v>
                      </c:pt>
                      <c:pt idx="311">
                        <c:v>-402.51317034792874</c:v>
                      </c:pt>
                      <c:pt idx="312">
                        <c:v>-402.51317034792874</c:v>
                      </c:pt>
                      <c:pt idx="313">
                        <c:v>-335.91317034792883</c:v>
                      </c:pt>
                      <c:pt idx="314">
                        <c:v>-335.91317034792883</c:v>
                      </c:pt>
                      <c:pt idx="315">
                        <c:v>-335.91317034792883</c:v>
                      </c:pt>
                      <c:pt idx="316">
                        <c:v>-291.41317034792883</c:v>
                      </c:pt>
                      <c:pt idx="317">
                        <c:v>-265.49317034792875</c:v>
                      </c:pt>
                      <c:pt idx="318">
                        <c:v>-265.49317034792875</c:v>
                      </c:pt>
                      <c:pt idx="319">
                        <c:v>-265.49317034792875</c:v>
                      </c:pt>
                      <c:pt idx="320">
                        <c:v>-265.49317034792875</c:v>
                      </c:pt>
                      <c:pt idx="321">
                        <c:v>-265.49317034792875</c:v>
                      </c:pt>
                      <c:pt idx="322">
                        <c:v>-265.49317034792875</c:v>
                      </c:pt>
                      <c:pt idx="323">
                        <c:v>-265.49317034792875</c:v>
                      </c:pt>
                      <c:pt idx="324">
                        <c:v>-265.49317034792875</c:v>
                      </c:pt>
                      <c:pt idx="325">
                        <c:v>-265.49317034792875</c:v>
                      </c:pt>
                      <c:pt idx="326">
                        <c:v>-265.49317034792875</c:v>
                      </c:pt>
                      <c:pt idx="327">
                        <c:v>-265.49317034792875</c:v>
                      </c:pt>
                      <c:pt idx="328">
                        <c:v>-265.49317034792875</c:v>
                      </c:pt>
                      <c:pt idx="329">
                        <c:v>-223.0231703479285</c:v>
                      </c:pt>
                      <c:pt idx="330">
                        <c:v>-223.0231703479285</c:v>
                      </c:pt>
                      <c:pt idx="331">
                        <c:v>-223.0231703479285</c:v>
                      </c:pt>
                      <c:pt idx="332">
                        <c:v>-223.0231703479285</c:v>
                      </c:pt>
                      <c:pt idx="333">
                        <c:v>-223.0231703479285</c:v>
                      </c:pt>
                      <c:pt idx="334">
                        <c:v>-207.22817034792843</c:v>
                      </c:pt>
                      <c:pt idx="335">
                        <c:v>-207.22817034792843</c:v>
                      </c:pt>
                      <c:pt idx="336">
                        <c:v>-207.22817034792843</c:v>
                      </c:pt>
                      <c:pt idx="337">
                        <c:v>-207.22817034792843</c:v>
                      </c:pt>
                      <c:pt idx="338">
                        <c:v>-186.02817034792838</c:v>
                      </c:pt>
                      <c:pt idx="339">
                        <c:v>-186.02817034792838</c:v>
                      </c:pt>
                      <c:pt idx="340">
                        <c:v>-186.02817034792838</c:v>
                      </c:pt>
                      <c:pt idx="341">
                        <c:v>-192.68817034792824</c:v>
                      </c:pt>
                      <c:pt idx="342">
                        <c:v>-192.68817034792824</c:v>
                      </c:pt>
                      <c:pt idx="343">
                        <c:v>-192.68817034792824</c:v>
                      </c:pt>
                      <c:pt idx="344">
                        <c:v>-192.68817034792824</c:v>
                      </c:pt>
                      <c:pt idx="345">
                        <c:v>-260.7281703479282</c:v>
                      </c:pt>
                      <c:pt idx="346">
                        <c:v>-260.7281703479282</c:v>
                      </c:pt>
                      <c:pt idx="347">
                        <c:v>-260.7281703479282</c:v>
                      </c:pt>
                      <c:pt idx="348">
                        <c:v>-260.7281703479282</c:v>
                      </c:pt>
                      <c:pt idx="349">
                        <c:v>-298.52817034792838</c:v>
                      </c:pt>
                      <c:pt idx="350">
                        <c:v>-298.52817034792838</c:v>
                      </c:pt>
                      <c:pt idx="351">
                        <c:v>-298.52817034792838</c:v>
                      </c:pt>
                      <c:pt idx="352">
                        <c:v>-298.52817034792838</c:v>
                      </c:pt>
                      <c:pt idx="353">
                        <c:v>-349.07817034792856</c:v>
                      </c:pt>
                      <c:pt idx="354">
                        <c:v>-320.69817034792868</c:v>
                      </c:pt>
                      <c:pt idx="355">
                        <c:v>-320.69817034792868</c:v>
                      </c:pt>
                      <c:pt idx="356">
                        <c:v>-320.69817034792868</c:v>
                      </c:pt>
                      <c:pt idx="357">
                        <c:v>-320.69817034792868</c:v>
                      </c:pt>
                      <c:pt idx="358">
                        <c:v>-212.83817034792878</c:v>
                      </c:pt>
                      <c:pt idx="359">
                        <c:v>-371.68817034792892</c:v>
                      </c:pt>
                      <c:pt idx="360">
                        <c:v>-371.68817034792892</c:v>
                      </c:pt>
                      <c:pt idx="361">
                        <c:v>-371.68817034792892</c:v>
                      </c:pt>
                      <c:pt idx="362">
                        <c:v>-371.68817034792892</c:v>
                      </c:pt>
                      <c:pt idx="363">
                        <c:v>-551.53817034792883</c:v>
                      </c:pt>
                      <c:pt idx="364">
                        <c:v>-551.53817034792883</c:v>
                      </c:pt>
                      <c:pt idx="365">
                        <c:v>-551.53817034792883</c:v>
                      </c:pt>
                      <c:pt idx="366">
                        <c:v>-551.53817034792883</c:v>
                      </c:pt>
                      <c:pt idx="367">
                        <c:v>-551.53817034792883</c:v>
                      </c:pt>
                      <c:pt idx="368">
                        <c:v>-551.53817034792883</c:v>
                      </c:pt>
                      <c:pt idx="369">
                        <c:v>-551.53817034792883</c:v>
                      </c:pt>
                      <c:pt idx="370">
                        <c:v>-529.09817034792877</c:v>
                      </c:pt>
                      <c:pt idx="371">
                        <c:v>-529.09817034792877</c:v>
                      </c:pt>
                      <c:pt idx="372">
                        <c:v>-529.09817034792877</c:v>
                      </c:pt>
                      <c:pt idx="373">
                        <c:v>-529.09817034792877</c:v>
                      </c:pt>
                      <c:pt idx="374">
                        <c:v>-529.09817034792877</c:v>
                      </c:pt>
                      <c:pt idx="375">
                        <c:v>-529.09817034792877</c:v>
                      </c:pt>
                      <c:pt idx="376">
                        <c:v>-529.09817034792877</c:v>
                      </c:pt>
                      <c:pt idx="377">
                        <c:v>-529.09817034792877</c:v>
                      </c:pt>
                      <c:pt idx="378">
                        <c:v>-529.09817034792877</c:v>
                      </c:pt>
                      <c:pt idx="379">
                        <c:v>-529.09817034792877</c:v>
                      </c:pt>
                      <c:pt idx="380">
                        <c:v>-529.09817034792877</c:v>
                      </c:pt>
                      <c:pt idx="381">
                        <c:v>-529.09817034792877</c:v>
                      </c:pt>
                      <c:pt idx="382">
                        <c:v>-529.09817034792877</c:v>
                      </c:pt>
                      <c:pt idx="383">
                        <c:v>-529.09817034792877</c:v>
                      </c:pt>
                      <c:pt idx="384">
                        <c:v>-529.09817034792877</c:v>
                      </c:pt>
                      <c:pt idx="385">
                        <c:v>-529.09817034792877</c:v>
                      </c:pt>
                      <c:pt idx="386">
                        <c:v>-529.09817034792877</c:v>
                      </c:pt>
                      <c:pt idx="387">
                        <c:v>-470.49817034792909</c:v>
                      </c:pt>
                      <c:pt idx="388">
                        <c:v>-724.49817034792909</c:v>
                      </c:pt>
                      <c:pt idx="389">
                        <c:v>-737.3781703479292</c:v>
                      </c:pt>
                      <c:pt idx="390">
                        <c:v>-737.3781703479292</c:v>
                      </c:pt>
                      <c:pt idx="391">
                        <c:v>-737.3781703479292</c:v>
                      </c:pt>
                      <c:pt idx="392">
                        <c:v>-600.31817034792948</c:v>
                      </c:pt>
                      <c:pt idx="393">
                        <c:v>-600.31817034792948</c:v>
                      </c:pt>
                      <c:pt idx="394">
                        <c:v>-600.31817034792948</c:v>
                      </c:pt>
                      <c:pt idx="395">
                        <c:v>-600.31817034792948</c:v>
                      </c:pt>
                      <c:pt idx="396">
                        <c:v>-702.31817034792948</c:v>
                      </c:pt>
                      <c:pt idx="397">
                        <c:v>-702.31817034792948</c:v>
                      </c:pt>
                      <c:pt idx="398">
                        <c:v>-528.01817034792953</c:v>
                      </c:pt>
                      <c:pt idx="399">
                        <c:v>-614.94317034792948</c:v>
                      </c:pt>
                      <c:pt idx="400">
                        <c:v>-614.94317034792948</c:v>
                      </c:pt>
                      <c:pt idx="401">
                        <c:v>-614.94317034792948</c:v>
                      </c:pt>
                      <c:pt idx="402">
                        <c:v>-614.94317034792948</c:v>
                      </c:pt>
                      <c:pt idx="403">
                        <c:v>-658.89317034792975</c:v>
                      </c:pt>
                      <c:pt idx="404">
                        <c:v>-658.89317034792975</c:v>
                      </c:pt>
                      <c:pt idx="405">
                        <c:v>-703.33317034792958</c:v>
                      </c:pt>
                      <c:pt idx="406">
                        <c:v>-703.33317034792958</c:v>
                      </c:pt>
                      <c:pt idx="407">
                        <c:v>-827.53317034792963</c:v>
                      </c:pt>
                      <c:pt idx="408">
                        <c:v>-718.89317034792953</c:v>
                      </c:pt>
                      <c:pt idx="409">
                        <c:v>-718.89317034792953</c:v>
                      </c:pt>
                      <c:pt idx="410">
                        <c:v>-718.89317034792953</c:v>
                      </c:pt>
                      <c:pt idx="411">
                        <c:v>-688.30317034792961</c:v>
                      </c:pt>
                      <c:pt idx="412">
                        <c:v>-683.33347337823261</c:v>
                      </c:pt>
                      <c:pt idx="413">
                        <c:v>-683.33347337823261</c:v>
                      </c:pt>
                      <c:pt idx="414">
                        <c:v>-683.33347337823261</c:v>
                      </c:pt>
                      <c:pt idx="415">
                        <c:v>-683.33347337823261</c:v>
                      </c:pt>
                      <c:pt idx="416">
                        <c:v>-658.25347337823268</c:v>
                      </c:pt>
                      <c:pt idx="417">
                        <c:v>-658.25347337823268</c:v>
                      </c:pt>
                      <c:pt idx="418">
                        <c:v>-658.25347337823268</c:v>
                      </c:pt>
                    </c:numCache>
                  </c:numRef>
                </c:val>
                <c:smooth val="1"/>
                <c:extLst>
                  <c:ext xmlns:c16="http://schemas.microsoft.com/office/drawing/2014/chart" uri="{C3380CC4-5D6E-409C-BE32-E72D297353CC}">
                    <c16:uniqueId val="{00000000-1693-4AB0-BA75-620A9224444E}"/>
                  </c:ext>
                </c:extLst>
              </c15:ser>
            </c15:filteredLineSeries>
            <c15:filteredLineSeries>
              <c15:ser>
                <c:idx val="5"/>
                <c:order val="3"/>
                <c:tx>
                  <c:v>Up (MOC)</c:v>
                </c:tx>
                <c:spPr>
                  <a:ln w="19050" cap="rnd">
                    <a:solidFill>
                      <a:schemeClr val="accent6"/>
                    </a:solidFill>
                    <a:prstDash val="sysDash"/>
                    <a:round/>
                  </a:ln>
                  <a:effectLst/>
                </c:spPr>
                <c:marker>
                  <c:symbol val="none"/>
                </c:marker>
                <c:val>
                  <c:numRef>
                    <c:extLst xmlns:c15="http://schemas.microsoft.com/office/drawing/2012/chart">
                      <c:ext xmlns:c15="http://schemas.microsoft.com/office/drawing/2012/chart" uri="{02D57815-91ED-43cb-92C2-25804820EDAC}">
                        <c15:formulaRef>
                          <c15:sqref>'2025-Q2'!$AX$4:$AX$422</c15:sqref>
                        </c15:formulaRef>
                      </c:ext>
                    </c:extLst>
                    <c:numCache>
                      <c:formatCode>"$"#,##0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59.839999999999918</c:v>
                      </c:pt>
                      <c:pt idx="40">
                        <c:v>59.839999999999918</c:v>
                      </c:pt>
                      <c:pt idx="41">
                        <c:v>59.839999999999918</c:v>
                      </c:pt>
                      <c:pt idx="42">
                        <c:v>59.839999999999918</c:v>
                      </c:pt>
                      <c:pt idx="43">
                        <c:v>59.839999999999918</c:v>
                      </c:pt>
                      <c:pt idx="44">
                        <c:v>59.839999999999918</c:v>
                      </c:pt>
                      <c:pt idx="45">
                        <c:v>59.839999999999918</c:v>
                      </c:pt>
                      <c:pt idx="46">
                        <c:v>59.839999999999918</c:v>
                      </c:pt>
                      <c:pt idx="47">
                        <c:v>-74.660000000000196</c:v>
                      </c:pt>
                      <c:pt idx="48">
                        <c:v>-74.660000000000196</c:v>
                      </c:pt>
                      <c:pt idx="49">
                        <c:v>-74.660000000000196</c:v>
                      </c:pt>
                      <c:pt idx="50">
                        <c:v>-74.660000000000196</c:v>
                      </c:pt>
                      <c:pt idx="51">
                        <c:v>-74.660000000000196</c:v>
                      </c:pt>
                      <c:pt idx="52">
                        <c:v>-74.660000000000196</c:v>
                      </c:pt>
                      <c:pt idx="53">
                        <c:v>-74.660000000000196</c:v>
                      </c:pt>
                      <c:pt idx="54">
                        <c:v>-74.660000000000196</c:v>
                      </c:pt>
                      <c:pt idx="55">
                        <c:v>-74.660000000000196</c:v>
                      </c:pt>
                      <c:pt idx="56">
                        <c:v>-74.660000000000196</c:v>
                      </c:pt>
                      <c:pt idx="57">
                        <c:v>-74.660000000000196</c:v>
                      </c:pt>
                      <c:pt idx="58">
                        <c:v>-74.660000000000196</c:v>
                      </c:pt>
                      <c:pt idx="59">
                        <c:v>-74.660000000000196</c:v>
                      </c:pt>
                      <c:pt idx="60">
                        <c:v>-74.660000000000196</c:v>
                      </c:pt>
                      <c:pt idx="61">
                        <c:v>-74.660000000000196</c:v>
                      </c:pt>
                      <c:pt idx="62">
                        <c:v>-74.660000000000196</c:v>
                      </c:pt>
                      <c:pt idx="63">
                        <c:v>-74.660000000000196</c:v>
                      </c:pt>
                      <c:pt idx="64">
                        <c:v>-74.660000000000196</c:v>
                      </c:pt>
                      <c:pt idx="65">
                        <c:v>-74.660000000000196</c:v>
                      </c:pt>
                      <c:pt idx="66">
                        <c:v>-74.660000000000196</c:v>
                      </c:pt>
                      <c:pt idx="67">
                        <c:v>-74.660000000000196</c:v>
                      </c:pt>
                      <c:pt idx="68">
                        <c:v>-74.660000000000196</c:v>
                      </c:pt>
                      <c:pt idx="69">
                        <c:v>-54.660000000000196</c:v>
                      </c:pt>
                      <c:pt idx="70">
                        <c:v>-54.660000000000196</c:v>
                      </c:pt>
                      <c:pt idx="71">
                        <c:v>-66.900000000000205</c:v>
                      </c:pt>
                      <c:pt idx="72">
                        <c:v>-66.900000000000205</c:v>
                      </c:pt>
                      <c:pt idx="73">
                        <c:v>-66.900000000000205</c:v>
                      </c:pt>
                      <c:pt idx="74">
                        <c:v>-66.900000000000205</c:v>
                      </c:pt>
                      <c:pt idx="75">
                        <c:v>-66.900000000000205</c:v>
                      </c:pt>
                      <c:pt idx="76">
                        <c:v>-66.900000000000205</c:v>
                      </c:pt>
                      <c:pt idx="77">
                        <c:v>-66.900000000000205</c:v>
                      </c:pt>
                      <c:pt idx="78">
                        <c:v>-66.900000000000205</c:v>
                      </c:pt>
                      <c:pt idx="79">
                        <c:v>-66.900000000000205</c:v>
                      </c:pt>
                      <c:pt idx="80">
                        <c:v>-66.900000000000205</c:v>
                      </c:pt>
                      <c:pt idx="81">
                        <c:v>-66.900000000000205</c:v>
                      </c:pt>
                      <c:pt idx="82">
                        <c:v>-66.900000000000205</c:v>
                      </c:pt>
                      <c:pt idx="83">
                        <c:v>-66.900000000000205</c:v>
                      </c:pt>
                      <c:pt idx="84">
                        <c:v>-66.900000000000205</c:v>
                      </c:pt>
                      <c:pt idx="85">
                        <c:v>-66.900000000000205</c:v>
                      </c:pt>
                      <c:pt idx="86">
                        <c:v>-66.900000000000205</c:v>
                      </c:pt>
                      <c:pt idx="87">
                        <c:v>-66.900000000000205</c:v>
                      </c:pt>
                      <c:pt idx="88">
                        <c:v>-66.900000000000205</c:v>
                      </c:pt>
                      <c:pt idx="89">
                        <c:v>-66.900000000000205</c:v>
                      </c:pt>
                      <c:pt idx="90">
                        <c:v>-66.900000000000205</c:v>
                      </c:pt>
                      <c:pt idx="91">
                        <c:v>-66.900000000000205</c:v>
                      </c:pt>
                      <c:pt idx="92">
                        <c:v>-66.900000000000205</c:v>
                      </c:pt>
                      <c:pt idx="93">
                        <c:v>-66.900000000000205</c:v>
                      </c:pt>
                      <c:pt idx="94">
                        <c:v>-66.900000000000205</c:v>
                      </c:pt>
                      <c:pt idx="95">
                        <c:v>-66.900000000000205</c:v>
                      </c:pt>
                      <c:pt idx="96">
                        <c:v>-66.900000000000205</c:v>
                      </c:pt>
                      <c:pt idx="97">
                        <c:v>-66.900000000000205</c:v>
                      </c:pt>
                      <c:pt idx="98">
                        <c:v>-66.900000000000205</c:v>
                      </c:pt>
                      <c:pt idx="99">
                        <c:v>-66.900000000000205</c:v>
                      </c:pt>
                      <c:pt idx="100">
                        <c:v>-66.900000000000205</c:v>
                      </c:pt>
                      <c:pt idx="101">
                        <c:v>-66.900000000000205</c:v>
                      </c:pt>
                      <c:pt idx="102">
                        <c:v>-66.900000000000205</c:v>
                      </c:pt>
                      <c:pt idx="103">
                        <c:v>-184.54000000000019</c:v>
                      </c:pt>
                      <c:pt idx="104">
                        <c:v>-184.54000000000019</c:v>
                      </c:pt>
                      <c:pt idx="105">
                        <c:v>-184.54000000000019</c:v>
                      </c:pt>
                      <c:pt idx="106">
                        <c:v>-173.34000000000015</c:v>
                      </c:pt>
                      <c:pt idx="107">
                        <c:v>-173.34000000000015</c:v>
                      </c:pt>
                      <c:pt idx="108">
                        <c:v>-173.34000000000015</c:v>
                      </c:pt>
                      <c:pt idx="109">
                        <c:v>-173.34000000000015</c:v>
                      </c:pt>
                      <c:pt idx="110">
                        <c:v>-173.34000000000015</c:v>
                      </c:pt>
                      <c:pt idx="111">
                        <c:v>-173.34000000000015</c:v>
                      </c:pt>
                      <c:pt idx="112">
                        <c:v>-173.34000000000015</c:v>
                      </c:pt>
                      <c:pt idx="113">
                        <c:v>-173.34000000000015</c:v>
                      </c:pt>
                      <c:pt idx="114">
                        <c:v>-173.34000000000015</c:v>
                      </c:pt>
                      <c:pt idx="115">
                        <c:v>-173.34000000000015</c:v>
                      </c:pt>
                      <c:pt idx="116">
                        <c:v>-173.34000000000015</c:v>
                      </c:pt>
                      <c:pt idx="117">
                        <c:v>-173.34000000000015</c:v>
                      </c:pt>
                      <c:pt idx="118">
                        <c:v>-173.34000000000015</c:v>
                      </c:pt>
                      <c:pt idx="119">
                        <c:v>-173.34000000000015</c:v>
                      </c:pt>
                      <c:pt idx="120">
                        <c:v>-173.34000000000015</c:v>
                      </c:pt>
                      <c:pt idx="121">
                        <c:v>-174.74000000000024</c:v>
                      </c:pt>
                      <c:pt idx="122">
                        <c:v>-174.74000000000024</c:v>
                      </c:pt>
                      <c:pt idx="123">
                        <c:v>-174.74000000000024</c:v>
                      </c:pt>
                      <c:pt idx="124">
                        <c:v>-174.74000000000024</c:v>
                      </c:pt>
                      <c:pt idx="125">
                        <c:v>-174.74000000000024</c:v>
                      </c:pt>
                      <c:pt idx="126">
                        <c:v>-174.74000000000024</c:v>
                      </c:pt>
                      <c:pt idx="127">
                        <c:v>-174.74000000000024</c:v>
                      </c:pt>
                      <c:pt idx="128">
                        <c:v>-174.74000000000024</c:v>
                      </c:pt>
                      <c:pt idx="129">
                        <c:v>-174.74000000000024</c:v>
                      </c:pt>
                      <c:pt idx="130">
                        <c:v>-174.74000000000024</c:v>
                      </c:pt>
                      <c:pt idx="131">
                        <c:v>-174.74000000000024</c:v>
                      </c:pt>
                      <c:pt idx="132">
                        <c:v>-174.74000000000024</c:v>
                      </c:pt>
                      <c:pt idx="133">
                        <c:v>-174.74000000000024</c:v>
                      </c:pt>
                      <c:pt idx="134">
                        <c:v>-174.74000000000024</c:v>
                      </c:pt>
                      <c:pt idx="135">
                        <c:v>-174.74000000000024</c:v>
                      </c:pt>
                      <c:pt idx="136">
                        <c:v>-174.74000000000024</c:v>
                      </c:pt>
                      <c:pt idx="137">
                        <c:v>-163.1400000000001</c:v>
                      </c:pt>
                      <c:pt idx="138">
                        <c:v>-163.1400000000001</c:v>
                      </c:pt>
                      <c:pt idx="139">
                        <c:v>-163.1400000000001</c:v>
                      </c:pt>
                      <c:pt idx="140">
                        <c:v>-163.1400000000001</c:v>
                      </c:pt>
                      <c:pt idx="141">
                        <c:v>-163.1400000000001</c:v>
                      </c:pt>
                      <c:pt idx="142">
                        <c:v>-163.1400000000001</c:v>
                      </c:pt>
                      <c:pt idx="143">
                        <c:v>-163.1400000000001</c:v>
                      </c:pt>
                      <c:pt idx="144">
                        <c:v>-163.1400000000001</c:v>
                      </c:pt>
                      <c:pt idx="145">
                        <c:v>-163.1400000000001</c:v>
                      </c:pt>
                      <c:pt idx="146">
                        <c:v>-163.1400000000001</c:v>
                      </c:pt>
                      <c:pt idx="147">
                        <c:v>-163.1400000000001</c:v>
                      </c:pt>
                      <c:pt idx="148">
                        <c:v>-163.1400000000001</c:v>
                      </c:pt>
                      <c:pt idx="149">
                        <c:v>-163.1400000000001</c:v>
                      </c:pt>
                      <c:pt idx="150">
                        <c:v>-163.1400000000001</c:v>
                      </c:pt>
                      <c:pt idx="151">
                        <c:v>-163.1400000000001</c:v>
                      </c:pt>
                      <c:pt idx="152">
                        <c:v>-163.1400000000001</c:v>
                      </c:pt>
                      <c:pt idx="153">
                        <c:v>-163.1400000000001</c:v>
                      </c:pt>
                      <c:pt idx="154">
                        <c:v>-163.1400000000001</c:v>
                      </c:pt>
                      <c:pt idx="155">
                        <c:v>-163.1400000000001</c:v>
                      </c:pt>
                      <c:pt idx="156">
                        <c:v>-163.1400000000001</c:v>
                      </c:pt>
                      <c:pt idx="157">
                        <c:v>-163.1400000000001</c:v>
                      </c:pt>
                      <c:pt idx="158">
                        <c:v>-163.1400000000001</c:v>
                      </c:pt>
                      <c:pt idx="159">
                        <c:v>-163.1400000000001</c:v>
                      </c:pt>
                      <c:pt idx="160">
                        <c:v>-163.1400000000001</c:v>
                      </c:pt>
                      <c:pt idx="161">
                        <c:v>-163.1400000000001</c:v>
                      </c:pt>
                      <c:pt idx="162">
                        <c:v>-163.1400000000001</c:v>
                      </c:pt>
                      <c:pt idx="163">
                        <c:v>-163.1400000000001</c:v>
                      </c:pt>
                      <c:pt idx="164">
                        <c:v>-163.1400000000001</c:v>
                      </c:pt>
                      <c:pt idx="165">
                        <c:v>-163.1400000000001</c:v>
                      </c:pt>
                      <c:pt idx="166">
                        <c:v>-163.1400000000001</c:v>
                      </c:pt>
                      <c:pt idx="167">
                        <c:v>-163.1400000000001</c:v>
                      </c:pt>
                      <c:pt idx="168">
                        <c:v>-163.1400000000001</c:v>
                      </c:pt>
                      <c:pt idx="169">
                        <c:v>-163.1400000000001</c:v>
                      </c:pt>
                      <c:pt idx="170">
                        <c:v>-163.1400000000001</c:v>
                      </c:pt>
                      <c:pt idx="171">
                        <c:v>-163.1400000000001</c:v>
                      </c:pt>
                      <c:pt idx="172">
                        <c:v>-163.1400000000001</c:v>
                      </c:pt>
                      <c:pt idx="173">
                        <c:v>-163.1400000000001</c:v>
                      </c:pt>
                      <c:pt idx="174">
                        <c:v>-163.1400000000001</c:v>
                      </c:pt>
                      <c:pt idx="175">
                        <c:v>-163.1400000000001</c:v>
                      </c:pt>
                      <c:pt idx="176">
                        <c:v>-163.1400000000001</c:v>
                      </c:pt>
                      <c:pt idx="177">
                        <c:v>-163.1400000000001</c:v>
                      </c:pt>
                      <c:pt idx="178">
                        <c:v>-163.1400000000001</c:v>
                      </c:pt>
                      <c:pt idx="179">
                        <c:v>-163.1400000000001</c:v>
                      </c:pt>
                      <c:pt idx="180">
                        <c:v>-163.1400000000001</c:v>
                      </c:pt>
                      <c:pt idx="181">
                        <c:v>-163.1400000000001</c:v>
                      </c:pt>
                      <c:pt idx="182">
                        <c:v>-163.1400000000001</c:v>
                      </c:pt>
                      <c:pt idx="183">
                        <c:v>-163.1400000000001</c:v>
                      </c:pt>
                      <c:pt idx="184">
                        <c:v>-163.1400000000001</c:v>
                      </c:pt>
                      <c:pt idx="185">
                        <c:v>-163.1400000000001</c:v>
                      </c:pt>
                      <c:pt idx="186">
                        <c:v>-163.1400000000001</c:v>
                      </c:pt>
                      <c:pt idx="187">
                        <c:v>-163.1400000000001</c:v>
                      </c:pt>
                      <c:pt idx="188">
                        <c:v>-163.1400000000001</c:v>
                      </c:pt>
                      <c:pt idx="189">
                        <c:v>-163.1400000000001</c:v>
                      </c:pt>
                      <c:pt idx="190">
                        <c:v>-163.1400000000001</c:v>
                      </c:pt>
                      <c:pt idx="191">
                        <c:v>-163.1400000000001</c:v>
                      </c:pt>
                      <c:pt idx="192">
                        <c:v>-163.1400000000001</c:v>
                      </c:pt>
                      <c:pt idx="193">
                        <c:v>-163.1400000000001</c:v>
                      </c:pt>
                      <c:pt idx="194">
                        <c:v>-163.1400000000001</c:v>
                      </c:pt>
                      <c:pt idx="195">
                        <c:v>-163.1400000000001</c:v>
                      </c:pt>
                      <c:pt idx="196">
                        <c:v>-163.1400000000001</c:v>
                      </c:pt>
                      <c:pt idx="197">
                        <c:v>-163.1400000000001</c:v>
                      </c:pt>
                      <c:pt idx="198">
                        <c:v>-163.1400000000001</c:v>
                      </c:pt>
                      <c:pt idx="199">
                        <c:v>-163.1400000000001</c:v>
                      </c:pt>
                      <c:pt idx="200">
                        <c:v>-181.17000000000007</c:v>
                      </c:pt>
                      <c:pt idx="201">
                        <c:v>-181.17000000000007</c:v>
                      </c:pt>
                      <c:pt idx="202">
                        <c:v>-181.17000000000007</c:v>
                      </c:pt>
                      <c:pt idx="203">
                        <c:v>-151.49</c:v>
                      </c:pt>
                      <c:pt idx="204">
                        <c:v>-151.49</c:v>
                      </c:pt>
                      <c:pt idx="205">
                        <c:v>-151.49</c:v>
                      </c:pt>
                      <c:pt idx="206">
                        <c:v>-151.49</c:v>
                      </c:pt>
                      <c:pt idx="207">
                        <c:v>-151.49</c:v>
                      </c:pt>
                      <c:pt idx="208">
                        <c:v>-151.49</c:v>
                      </c:pt>
                      <c:pt idx="209">
                        <c:v>-151.49</c:v>
                      </c:pt>
                      <c:pt idx="210">
                        <c:v>-151.49</c:v>
                      </c:pt>
                      <c:pt idx="211">
                        <c:v>-151.49</c:v>
                      </c:pt>
                      <c:pt idx="212">
                        <c:v>-151.49</c:v>
                      </c:pt>
                      <c:pt idx="213">
                        <c:v>-151.49</c:v>
                      </c:pt>
                      <c:pt idx="214">
                        <c:v>-151.49</c:v>
                      </c:pt>
                      <c:pt idx="215">
                        <c:v>-151.49</c:v>
                      </c:pt>
                      <c:pt idx="216">
                        <c:v>-151.49</c:v>
                      </c:pt>
                      <c:pt idx="217">
                        <c:v>-85.340000000000032</c:v>
                      </c:pt>
                      <c:pt idx="218">
                        <c:v>-85.340000000000032</c:v>
                      </c:pt>
                      <c:pt idx="219">
                        <c:v>-85.340000000000032</c:v>
                      </c:pt>
                      <c:pt idx="220">
                        <c:v>-85.340000000000032</c:v>
                      </c:pt>
                      <c:pt idx="221">
                        <c:v>-85.340000000000032</c:v>
                      </c:pt>
                      <c:pt idx="222">
                        <c:v>-85.340000000000032</c:v>
                      </c:pt>
                      <c:pt idx="223">
                        <c:v>-142.90000000000009</c:v>
                      </c:pt>
                      <c:pt idx="224">
                        <c:v>-142.90000000000009</c:v>
                      </c:pt>
                      <c:pt idx="225">
                        <c:v>-142.90000000000009</c:v>
                      </c:pt>
                      <c:pt idx="226">
                        <c:v>-142.90000000000009</c:v>
                      </c:pt>
                      <c:pt idx="227">
                        <c:v>-142.90000000000009</c:v>
                      </c:pt>
                      <c:pt idx="228">
                        <c:v>-142.90000000000009</c:v>
                      </c:pt>
                      <c:pt idx="229">
                        <c:v>-142.90000000000009</c:v>
                      </c:pt>
                      <c:pt idx="230">
                        <c:v>-142.90000000000009</c:v>
                      </c:pt>
                      <c:pt idx="231">
                        <c:v>-142.90000000000009</c:v>
                      </c:pt>
                      <c:pt idx="232">
                        <c:v>-142.90000000000009</c:v>
                      </c:pt>
                      <c:pt idx="233">
                        <c:v>-142.90000000000009</c:v>
                      </c:pt>
                      <c:pt idx="234">
                        <c:v>-142.90000000000009</c:v>
                      </c:pt>
                      <c:pt idx="235">
                        <c:v>-142.90000000000009</c:v>
                      </c:pt>
                      <c:pt idx="236">
                        <c:v>-142.90000000000009</c:v>
                      </c:pt>
                      <c:pt idx="237">
                        <c:v>-142.90000000000009</c:v>
                      </c:pt>
                      <c:pt idx="238">
                        <c:v>-142.90000000000009</c:v>
                      </c:pt>
                      <c:pt idx="239">
                        <c:v>-142.90000000000009</c:v>
                      </c:pt>
                      <c:pt idx="240">
                        <c:v>-132.30000000000018</c:v>
                      </c:pt>
                      <c:pt idx="241">
                        <c:v>-132.30000000000018</c:v>
                      </c:pt>
                      <c:pt idx="242">
                        <c:v>-132.30000000000018</c:v>
                      </c:pt>
                      <c:pt idx="243">
                        <c:v>-132.30000000000018</c:v>
                      </c:pt>
                      <c:pt idx="244">
                        <c:v>-132.30000000000018</c:v>
                      </c:pt>
                      <c:pt idx="245">
                        <c:v>-132.30000000000018</c:v>
                      </c:pt>
                      <c:pt idx="246">
                        <c:v>-132.30000000000018</c:v>
                      </c:pt>
                      <c:pt idx="247">
                        <c:v>-132.30000000000018</c:v>
                      </c:pt>
                      <c:pt idx="248">
                        <c:v>-132.30000000000018</c:v>
                      </c:pt>
                      <c:pt idx="249">
                        <c:v>-132.30000000000018</c:v>
                      </c:pt>
                      <c:pt idx="250">
                        <c:v>-132.30000000000018</c:v>
                      </c:pt>
                      <c:pt idx="251">
                        <c:v>-132.30000000000018</c:v>
                      </c:pt>
                      <c:pt idx="252">
                        <c:v>-132.30000000000018</c:v>
                      </c:pt>
                      <c:pt idx="253">
                        <c:v>-132.30000000000018</c:v>
                      </c:pt>
                      <c:pt idx="254">
                        <c:v>-132.30000000000018</c:v>
                      </c:pt>
                      <c:pt idx="255">
                        <c:v>-132.30000000000018</c:v>
                      </c:pt>
                      <c:pt idx="256">
                        <c:v>-132.30000000000018</c:v>
                      </c:pt>
                      <c:pt idx="257">
                        <c:v>-269.63053243920194</c:v>
                      </c:pt>
                      <c:pt idx="258">
                        <c:v>-299.03053243920203</c:v>
                      </c:pt>
                      <c:pt idx="259">
                        <c:v>-299.03053243920203</c:v>
                      </c:pt>
                      <c:pt idx="260">
                        <c:v>-299.03053243920203</c:v>
                      </c:pt>
                      <c:pt idx="261">
                        <c:v>-299.03053243920203</c:v>
                      </c:pt>
                      <c:pt idx="262">
                        <c:v>-299.03053243920203</c:v>
                      </c:pt>
                      <c:pt idx="263">
                        <c:v>-299.03053243920203</c:v>
                      </c:pt>
                      <c:pt idx="264">
                        <c:v>-299.03053243920203</c:v>
                      </c:pt>
                      <c:pt idx="265">
                        <c:v>-299.03053243920203</c:v>
                      </c:pt>
                      <c:pt idx="266">
                        <c:v>-299.03053243920203</c:v>
                      </c:pt>
                      <c:pt idx="267">
                        <c:v>-299.03053243920203</c:v>
                      </c:pt>
                      <c:pt idx="268">
                        <c:v>-299.03053243920203</c:v>
                      </c:pt>
                      <c:pt idx="269">
                        <c:v>-299.03053243920203</c:v>
                      </c:pt>
                      <c:pt idx="270">
                        <c:v>-299.03053243920203</c:v>
                      </c:pt>
                      <c:pt idx="271">
                        <c:v>-299.03053243920203</c:v>
                      </c:pt>
                      <c:pt idx="272">
                        <c:v>-299.03053243920203</c:v>
                      </c:pt>
                      <c:pt idx="273">
                        <c:v>-385.38106797961109</c:v>
                      </c:pt>
                      <c:pt idx="274">
                        <c:v>-385.38106797961109</c:v>
                      </c:pt>
                      <c:pt idx="275">
                        <c:v>-385.38106797961109</c:v>
                      </c:pt>
                      <c:pt idx="276">
                        <c:v>-385.38106797961109</c:v>
                      </c:pt>
                      <c:pt idx="277">
                        <c:v>-377.70106797961103</c:v>
                      </c:pt>
                      <c:pt idx="278">
                        <c:v>-377.70106797961103</c:v>
                      </c:pt>
                      <c:pt idx="279">
                        <c:v>-377.70106797961103</c:v>
                      </c:pt>
                      <c:pt idx="280">
                        <c:v>-377.70106797961103</c:v>
                      </c:pt>
                      <c:pt idx="281">
                        <c:v>-377.70106797961103</c:v>
                      </c:pt>
                      <c:pt idx="282">
                        <c:v>-377.70106797961103</c:v>
                      </c:pt>
                      <c:pt idx="283">
                        <c:v>-377.70106797961103</c:v>
                      </c:pt>
                      <c:pt idx="284">
                        <c:v>-377.70106797961103</c:v>
                      </c:pt>
                      <c:pt idx="285">
                        <c:v>-377.70106797961103</c:v>
                      </c:pt>
                      <c:pt idx="286">
                        <c:v>-377.70106797961103</c:v>
                      </c:pt>
                      <c:pt idx="287">
                        <c:v>-377.70106797961103</c:v>
                      </c:pt>
                      <c:pt idx="288">
                        <c:v>-377.70106797961103</c:v>
                      </c:pt>
                      <c:pt idx="289">
                        <c:v>-377.70106797961103</c:v>
                      </c:pt>
                      <c:pt idx="290">
                        <c:v>-366.42106797961105</c:v>
                      </c:pt>
                      <c:pt idx="291">
                        <c:v>-366.42106797961105</c:v>
                      </c:pt>
                      <c:pt idx="292">
                        <c:v>-366.42106797961105</c:v>
                      </c:pt>
                      <c:pt idx="293">
                        <c:v>-366.42106797961105</c:v>
                      </c:pt>
                      <c:pt idx="294">
                        <c:v>-366.42106797961105</c:v>
                      </c:pt>
                      <c:pt idx="295">
                        <c:v>-394.76106797961097</c:v>
                      </c:pt>
                      <c:pt idx="296">
                        <c:v>-394.76106797961097</c:v>
                      </c:pt>
                      <c:pt idx="297">
                        <c:v>-339.68106797961104</c:v>
                      </c:pt>
                      <c:pt idx="298">
                        <c:v>-339.68106797961104</c:v>
                      </c:pt>
                      <c:pt idx="299">
                        <c:v>-339.68106797961104</c:v>
                      </c:pt>
                      <c:pt idx="300">
                        <c:v>-339.68106797961104</c:v>
                      </c:pt>
                      <c:pt idx="301">
                        <c:v>-339.68106797961104</c:v>
                      </c:pt>
                      <c:pt idx="302">
                        <c:v>-339.68106797961104</c:v>
                      </c:pt>
                      <c:pt idx="303">
                        <c:v>-339.68106797961104</c:v>
                      </c:pt>
                      <c:pt idx="304">
                        <c:v>-438.46106797961124</c:v>
                      </c:pt>
                      <c:pt idx="305">
                        <c:v>-438.46106797961124</c:v>
                      </c:pt>
                      <c:pt idx="306">
                        <c:v>-438.46106797961124</c:v>
                      </c:pt>
                      <c:pt idx="307">
                        <c:v>-438.46106797961124</c:v>
                      </c:pt>
                      <c:pt idx="308">
                        <c:v>-438.46106797961124</c:v>
                      </c:pt>
                      <c:pt idx="309">
                        <c:v>-390.96106797961124</c:v>
                      </c:pt>
                      <c:pt idx="310">
                        <c:v>-390.96106797961124</c:v>
                      </c:pt>
                      <c:pt idx="311">
                        <c:v>-390.96106797961124</c:v>
                      </c:pt>
                      <c:pt idx="312">
                        <c:v>-390.96106797961124</c:v>
                      </c:pt>
                      <c:pt idx="313">
                        <c:v>-349.11106797961111</c:v>
                      </c:pt>
                      <c:pt idx="314">
                        <c:v>-349.11106797961111</c:v>
                      </c:pt>
                      <c:pt idx="315">
                        <c:v>-349.11106797961111</c:v>
                      </c:pt>
                      <c:pt idx="316">
                        <c:v>-342.69106797961103</c:v>
                      </c:pt>
                      <c:pt idx="317">
                        <c:v>-340.17106797961105</c:v>
                      </c:pt>
                      <c:pt idx="318">
                        <c:v>-340.17106797961105</c:v>
                      </c:pt>
                      <c:pt idx="319">
                        <c:v>-340.17106797961105</c:v>
                      </c:pt>
                      <c:pt idx="320">
                        <c:v>-340.17106797961105</c:v>
                      </c:pt>
                      <c:pt idx="321">
                        <c:v>-340.17106797961105</c:v>
                      </c:pt>
                      <c:pt idx="322">
                        <c:v>-340.17106797961105</c:v>
                      </c:pt>
                      <c:pt idx="323">
                        <c:v>-340.17106797961105</c:v>
                      </c:pt>
                      <c:pt idx="324">
                        <c:v>-340.17106797961105</c:v>
                      </c:pt>
                      <c:pt idx="325">
                        <c:v>-340.17106797961105</c:v>
                      </c:pt>
                      <c:pt idx="326">
                        <c:v>-340.17106797961105</c:v>
                      </c:pt>
                      <c:pt idx="327">
                        <c:v>-340.17106797961105</c:v>
                      </c:pt>
                      <c:pt idx="328">
                        <c:v>-340.17106797961105</c:v>
                      </c:pt>
                      <c:pt idx="329">
                        <c:v>-240.66106797961083</c:v>
                      </c:pt>
                      <c:pt idx="330">
                        <c:v>-240.66106797961083</c:v>
                      </c:pt>
                      <c:pt idx="331">
                        <c:v>-240.66106797961083</c:v>
                      </c:pt>
                      <c:pt idx="332">
                        <c:v>-240.66106797961083</c:v>
                      </c:pt>
                      <c:pt idx="333">
                        <c:v>-240.66106797961083</c:v>
                      </c:pt>
                      <c:pt idx="334">
                        <c:v>-178.13106797961063</c:v>
                      </c:pt>
                      <c:pt idx="335">
                        <c:v>-178.13106797961063</c:v>
                      </c:pt>
                      <c:pt idx="336">
                        <c:v>-178.13106797961063</c:v>
                      </c:pt>
                      <c:pt idx="337">
                        <c:v>-178.13106797961063</c:v>
                      </c:pt>
                      <c:pt idx="338">
                        <c:v>-206.13106797961063</c:v>
                      </c:pt>
                      <c:pt idx="339">
                        <c:v>-206.13106797961063</c:v>
                      </c:pt>
                      <c:pt idx="340">
                        <c:v>-206.13106797961063</c:v>
                      </c:pt>
                      <c:pt idx="341">
                        <c:v>-203.43106797961059</c:v>
                      </c:pt>
                      <c:pt idx="342">
                        <c:v>-203.43106797961059</c:v>
                      </c:pt>
                      <c:pt idx="343">
                        <c:v>-203.43106797961059</c:v>
                      </c:pt>
                      <c:pt idx="344">
                        <c:v>-203.43106797961059</c:v>
                      </c:pt>
                      <c:pt idx="345">
                        <c:v>-295.97106797961055</c:v>
                      </c:pt>
                      <c:pt idx="346">
                        <c:v>-295.97106797961055</c:v>
                      </c:pt>
                      <c:pt idx="347">
                        <c:v>-295.97106797961055</c:v>
                      </c:pt>
                      <c:pt idx="348">
                        <c:v>-295.97106797961055</c:v>
                      </c:pt>
                      <c:pt idx="349">
                        <c:v>-334.97106797961078</c:v>
                      </c:pt>
                      <c:pt idx="350">
                        <c:v>-334.97106797961078</c:v>
                      </c:pt>
                      <c:pt idx="351">
                        <c:v>-334.97106797961078</c:v>
                      </c:pt>
                      <c:pt idx="352">
                        <c:v>-334.97106797961078</c:v>
                      </c:pt>
                      <c:pt idx="353">
                        <c:v>-317.27106797961073</c:v>
                      </c:pt>
                      <c:pt idx="354">
                        <c:v>-334.10106797961066</c:v>
                      </c:pt>
                      <c:pt idx="355">
                        <c:v>-334.10106797961066</c:v>
                      </c:pt>
                      <c:pt idx="356">
                        <c:v>-334.10106797961066</c:v>
                      </c:pt>
                      <c:pt idx="357">
                        <c:v>-334.10106797961066</c:v>
                      </c:pt>
                      <c:pt idx="358">
                        <c:v>-225.98106797961077</c:v>
                      </c:pt>
                      <c:pt idx="359">
                        <c:v>-360.89106797961085</c:v>
                      </c:pt>
                      <c:pt idx="360">
                        <c:v>-360.89106797961085</c:v>
                      </c:pt>
                      <c:pt idx="361">
                        <c:v>-360.89106797961085</c:v>
                      </c:pt>
                      <c:pt idx="362">
                        <c:v>-360.89106797961085</c:v>
                      </c:pt>
                      <c:pt idx="363">
                        <c:v>-583.86106797961088</c:v>
                      </c:pt>
                      <c:pt idx="364">
                        <c:v>-583.86106797961088</c:v>
                      </c:pt>
                      <c:pt idx="365">
                        <c:v>-583.86106797961088</c:v>
                      </c:pt>
                      <c:pt idx="366">
                        <c:v>-583.86106797961088</c:v>
                      </c:pt>
                      <c:pt idx="367">
                        <c:v>-583.86106797961088</c:v>
                      </c:pt>
                      <c:pt idx="368">
                        <c:v>-583.86106797961088</c:v>
                      </c:pt>
                      <c:pt idx="369">
                        <c:v>-583.86106797961088</c:v>
                      </c:pt>
                      <c:pt idx="370">
                        <c:v>-635.20106797961103</c:v>
                      </c:pt>
                      <c:pt idx="371">
                        <c:v>-635.20106797961103</c:v>
                      </c:pt>
                      <c:pt idx="372">
                        <c:v>-635.20106797961103</c:v>
                      </c:pt>
                      <c:pt idx="373">
                        <c:v>-635.20106797961103</c:v>
                      </c:pt>
                      <c:pt idx="374">
                        <c:v>-635.20106797961103</c:v>
                      </c:pt>
                      <c:pt idx="375">
                        <c:v>-635.20106797961103</c:v>
                      </c:pt>
                      <c:pt idx="376">
                        <c:v>-635.20106797961103</c:v>
                      </c:pt>
                      <c:pt idx="377">
                        <c:v>-635.20106797961103</c:v>
                      </c:pt>
                      <c:pt idx="378">
                        <c:v>-635.20106797961103</c:v>
                      </c:pt>
                      <c:pt idx="379">
                        <c:v>-635.20106797961103</c:v>
                      </c:pt>
                      <c:pt idx="380">
                        <c:v>-635.20106797961103</c:v>
                      </c:pt>
                      <c:pt idx="381">
                        <c:v>-635.20106797961103</c:v>
                      </c:pt>
                      <c:pt idx="382">
                        <c:v>-635.20106797961103</c:v>
                      </c:pt>
                      <c:pt idx="383">
                        <c:v>-635.20106797961103</c:v>
                      </c:pt>
                      <c:pt idx="384">
                        <c:v>-635.20106797961103</c:v>
                      </c:pt>
                      <c:pt idx="385">
                        <c:v>-635.20106797961103</c:v>
                      </c:pt>
                      <c:pt idx="386">
                        <c:v>-635.20106797961103</c:v>
                      </c:pt>
                      <c:pt idx="387">
                        <c:v>-512.25106797961121</c:v>
                      </c:pt>
                      <c:pt idx="388">
                        <c:v>-794.25106797961121</c:v>
                      </c:pt>
                      <c:pt idx="389">
                        <c:v>-731.3710679796111</c:v>
                      </c:pt>
                      <c:pt idx="390">
                        <c:v>-731.3710679796111</c:v>
                      </c:pt>
                      <c:pt idx="391">
                        <c:v>-731.3710679796111</c:v>
                      </c:pt>
                      <c:pt idx="392">
                        <c:v>-515.77106797961119</c:v>
                      </c:pt>
                      <c:pt idx="393">
                        <c:v>-515.77106797961119</c:v>
                      </c:pt>
                      <c:pt idx="394">
                        <c:v>-515.77106797961119</c:v>
                      </c:pt>
                      <c:pt idx="395">
                        <c:v>-515.77106797961119</c:v>
                      </c:pt>
                      <c:pt idx="396">
                        <c:v>-600.3710679796111</c:v>
                      </c:pt>
                      <c:pt idx="397">
                        <c:v>-600.3710679796111</c:v>
                      </c:pt>
                      <c:pt idx="398">
                        <c:v>-400.17106797961128</c:v>
                      </c:pt>
                      <c:pt idx="399">
                        <c:v>-521.67106797961105</c:v>
                      </c:pt>
                      <c:pt idx="400">
                        <c:v>-521.67106797961105</c:v>
                      </c:pt>
                      <c:pt idx="401">
                        <c:v>-521.67106797961105</c:v>
                      </c:pt>
                      <c:pt idx="402">
                        <c:v>-521.67106797961105</c:v>
                      </c:pt>
                      <c:pt idx="403">
                        <c:v>-586.67106797961105</c:v>
                      </c:pt>
                      <c:pt idx="404">
                        <c:v>-586.67106797961105</c:v>
                      </c:pt>
                      <c:pt idx="405">
                        <c:v>-613.731067979611</c:v>
                      </c:pt>
                      <c:pt idx="406">
                        <c:v>-613.731067979611</c:v>
                      </c:pt>
                      <c:pt idx="407">
                        <c:v>-764.63106797961109</c:v>
                      </c:pt>
                      <c:pt idx="408">
                        <c:v>-576.79106797961094</c:v>
                      </c:pt>
                      <c:pt idx="409">
                        <c:v>-576.79106797961094</c:v>
                      </c:pt>
                      <c:pt idx="410">
                        <c:v>-576.79106797961094</c:v>
                      </c:pt>
                      <c:pt idx="411">
                        <c:v>-464.30106797961093</c:v>
                      </c:pt>
                      <c:pt idx="412">
                        <c:v>-445.93743161597467</c:v>
                      </c:pt>
                      <c:pt idx="413">
                        <c:v>-445.93743161597467</c:v>
                      </c:pt>
                      <c:pt idx="414">
                        <c:v>-445.93743161597467</c:v>
                      </c:pt>
                      <c:pt idx="415">
                        <c:v>-445.93743161597467</c:v>
                      </c:pt>
                      <c:pt idx="416">
                        <c:v>-459.68743161597467</c:v>
                      </c:pt>
                      <c:pt idx="417">
                        <c:v>-459.68743161597467</c:v>
                      </c:pt>
                      <c:pt idx="418">
                        <c:v>-459.68743161597467</c:v>
                      </c:pt>
                    </c:numCache>
                  </c:numRef>
                </c:val>
                <c:smooth val="0"/>
                <c:extLst xmlns:c15="http://schemas.microsoft.com/office/drawing/2012/chart">
                  <c:ext xmlns:c16="http://schemas.microsoft.com/office/drawing/2014/chart" uri="{C3380CC4-5D6E-409C-BE32-E72D297353CC}">
                    <c16:uniqueId val="{00000001-E40B-4614-BAB7-0785497FEB68}"/>
                  </c:ext>
                </c:extLst>
              </c15:ser>
            </c15:filteredLineSeries>
            <c15:filteredLineSeries>
              <c15:ser>
                <c:idx val="1"/>
                <c:order val="4"/>
                <c:tx>
                  <c:v>Dwn</c:v>
                </c:tx>
                <c:spPr>
                  <a:ln w="28575" cap="rnd">
                    <a:solidFill>
                      <a:schemeClr val="accent2"/>
                    </a:solidFill>
                    <a:prstDash val="solid"/>
                    <a:round/>
                  </a:ln>
                  <a:effectLst/>
                </c:spPr>
                <c:marker>
                  <c:symbol val="none"/>
                </c:marker>
                <c:val>
                  <c:numRef>
                    <c:extLst xmlns:c15="http://schemas.microsoft.com/office/drawing/2012/chart">
                      <c:ext xmlns:c15="http://schemas.microsoft.com/office/drawing/2012/chart" uri="{02D57815-91ED-43cb-92C2-25804820EDAC}">
                        <c15:formulaRef>
                          <c15:sqref>'2025-Q2'!$BZ$4:$BZ$422</c15:sqref>
                        </c15:formulaRef>
                      </c:ext>
                    </c:extLst>
                    <c:numCache>
                      <c:formatCode>"$"#,##0_);[Red]\("$"#,##0\)</c:formatCode>
                      <c:ptCount val="419"/>
                      <c:pt idx="0">
                        <c:v>-30.899999999999864</c:v>
                      </c:pt>
                      <c:pt idx="1">
                        <c:v>13.9200000000003</c:v>
                      </c:pt>
                      <c:pt idx="2">
                        <c:v>13.9200000000003</c:v>
                      </c:pt>
                      <c:pt idx="3">
                        <c:v>13.9200000000003</c:v>
                      </c:pt>
                      <c:pt idx="4">
                        <c:v>13.9200000000003</c:v>
                      </c:pt>
                      <c:pt idx="5">
                        <c:v>13.9200000000003</c:v>
                      </c:pt>
                      <c:pt idx="6">
                        <c:v>13.9200000000003</c:v>
                      </c:pt>
                      <c:pt idx="7">
                        <c:v>13.9200000000003</c:v>
                      </c:pt>
                      <c:pt idx="8">
                        <c:v>13.9200000000003</c:v>
                      </c:pt>
                      <c:pt idx="9">
                        <c:v>20.636280468502946</c:v>
                      </c:pt>
                      <c:pt idx="10">
                        <c:v>20.636280468502946</c:v>
                      </c:pt>
                      <c:pt idx="11">
                        <c:v>20.636280468502946</c:v>
                      </c:pt>
                      <c:pt idx="12">
                        <c:v>40.306280468503019</c:v>
                      </c:pt>
                      <c:pt idx="13">
                        <c:v>40.306280468503019</c:v>
                      </c:pt>
                      <c:pt idx="14">
                        <c:v>104.29628046850326</c:v>
                      </c:pt>
                      <c:pt idx="15">
                        <c:v>104.29628046850326</c:v>
                      </c:pt>
                      <c:pt idx="16">
                        <c:v>129.34628046850344</c:v>
                      </c:pt>
                      <c:pt idx="17">
                        <c:v>141.64628046850362</c:v>
                      </c:pt>
                      <c:pt idx="18">
                        <c:v>141.64628046850362</c:v>
                      </c:pt>
                      <c:pt idx="19">
                        <c:v>141.64628046850362</c:v>
                      </c:pt>
                      <c:pt idx="20">
                        <c:v>141.64628046850362</c:v>
                      </c:pt>
                      <c:pt idx="21">
                        <c:v>141.64628046850362</c:v>
                      </c:pt>
                      <c:pt idx="22">
                        <c:v>144.10628046850388</c:v>
                      </c:pt>
                      <c:pt idx="23">
                        <c:v>144.10628046850388</c:v>
                      </c:pt>
                      <c:pt idx="24">
                        <c:v>144.10628046850388</c:v>
                      </c:pt>
                      <c:pt idx="25">
                        <c:v>144.10628046850388</c:v>
                      </c:pt>
                      <c:pt idx="26">
                        <c:v>170.80628046850393</c:v>
                      </c:pt>
                      <c:pt idx="27">
                        <c:v>132.55628046850393</c:v>
                      </c:pt>
                      <c:pt idx="28">
                        <c:v>65.35628046850411</c:v>
                      </c:pt>
                      <c:pt idx="29">
                        <c:v>65.35628046850411</c:v>
                      </c:pt>
                      <c:pt idx="30">
                        <c:v>26.556280468504156</c:v>
                      </c:pt>
                      <c:pt idx="31">
                        <c:v>58.656280468504178</c:v>
                      </c:pt>
                      <c:pt idx="32">
                        <c:v>24.256280468504087</c:v>
                      </c:pt>
                      <c:pt idx="33">
                        <c:v>24.256280468504087</c:v>
                      </c:pt>
                      <c:pt idx="34">
                        <c:v>24.256280468504087</c:v>
                      </c:pt>
                      <c:pt idx="35">
                        <c:v>24.256280468504087</c:v>
                      </c:pt>
                      <c:pt idx="36">
                        <c:v>0.67628046850416013</c:v>
                      </c:pt>
                      <c:pt idx="37">
                        <c:v>0.67628046850416013</c:v>
                      </c:pt>
                      <c:pt idx="38">
                        <c:v>0.67628046850416013</c:v>
                      </c:pt>
                      <c:pt idx="39">
                        <c:v>0.67628046850416013</c:v>
                      </c:pt>
                      <c:pt idx="40">
                        <c:v>-129.19871953149561</c:v>
                      </c:pt>
                      <c:pt idx="41">
                        <c:v>-171.64871953149589</c:v>
                      </c:pt>
                      <c:pt idx="42">
                        <c:v>-72.373719531495567</c:v>
                      </c:pt>
                      <c:pt idx="43">
                        <c:v>-72.373719531495567</c:v>
                      </c:pt>
                      <c:pt idx="44">
                        <c:v>-72.373719531495567</c:v>
                      </c:pt>
                      <c:pt idx="45">
                        <c:v>-72.373719531495567</c:v>
                      </c:pt>
                      <c:pt idx="46">
                        <c:v>-165.29871953149552</c:v>
                      </c:pt>
                      <c:pt idx="47">
                        <c:v>-165.29871953149552</c:v>
                      </c:pt>
                      <c:pt idx="48">
                        <c:v>-202.86871953149546</c:v>
                      </c:pt>
                      <c:pt idx="49">
                        <c:v>-202.86871953149546</c:v>
                      </c:pt>
                      <c:pt idx="50">
                        <c:v>-202.86871953149546</c:v>
                      </c:pt>
                      <c:pt idx="51">
                        <c:v>-202.86871953149546</c:v>
                      </c:pt>
                      <c:pt idx="52">
                        <c:v>-295.41871953149541</c:v>
                      </c:pt>
                      <c:pt idx="53">
                        <c:v>-295.41871953149541</c:v>
                      </c:pt>
                      <c:pt idx="54">
                        <c:v>-295.41871953149541</c:v>
                      </c:pt>
                      <c:pt idx="55">
                        <c:v>-267.89871953149543</c:v>
                      </c:pt>
                      <c:pt idx="56">
                        <c:v>-267.89871953149543</c:v>
                      </c:pt>
                      <c:pt idx="57">
                        <c:v>-176.84871953149536</c:v>
                      </c:pt>
                      <c:pt idx="58">
                        <c:v>-176.84871953149536</c:v>
                      </c:pt>
                      <c:pt idx="59">
                        <c:v>-176.84871953149536</c:v>
                      </c:pt>
                      <c:pt idx="60">
                        <c:v>-176.84871953149536</c:v>
                      </c:pt>
                      <c:pt idx="61">
                        <c:v>-176.84871953149536</c:v>
                      </c:pt>
                      <c:pt idx="62">
                        <c:v>-176.84871953149536</c:v>
                      </c:pt>
                      <c:pt idx="63">
                        <c:v>-176.84871953149536</c:v>
                      </c:pt>
                      <c:pt idx="64">
                        <c:v>-176.84871953149536</c:v>
                      </c:pt>
                      <c:pt idx="65">
                        <c:v>-176.84871953149536</c:v>
                      </c:pt>
                      <c:pt idx="66">
                        <c:v>-191.84871953149536</c:v>
                      </c:pt>
                      <c:pt idx="67">
                        <c:v>-235.48871953149535</c:v>
                      </c:pt>
                      <c:pt idx="68">
                        <c:v>-230.08871953149526</c:v>
                      </c:pt>
                      <c:pt idx="69">
                        <c:v>-230.08871953149526</c:v>
                      </c:pt>
                      <c:pt idx="70">
                        <c:v>-198.36871953149523</c:v>
                      </c:pt>
                      <c:pt idx="71">
                        <c:v>-198.36871953149523</c:v>
                      </c:pt>
                      <c:pt idx="72">
                        <c:v>-198.36871953149523</c:v>
                      </c:pt>
                      <c:pt idx="73">
                        <c:v>-198.36871953149523</c:v>
                      </c:pt>
                      <c:pt idx="74">
                        <c:v>-198.36871953149523</c:v>
                      </c:pt>
                      <c:pt idx="75">
                        <c:v>-198.36871953149523</c:v>
                      </c:pt>
                      <c:pt idx="76">
                        <c:v>-198.36871953149523</c:v>
                      </c:pt>
                      <c:pt idx="77">
                        <c:v>-198.36871953149523</c:v>
                      </c:pt>
                      <c:pt idx="78">
                        <c:v>-198.36871953149523</c:v>
                      </c:pt>
                      <c:pt idx="79">
                        <c:v>-200.59385042154759</c:v>
                      </c:pt>
                      <c:pt idx="80">
                        <c:v>-200.59385042154759</c:v>
                      </c:pt>
                      <c:pt idx="81">
                        <c:v>-245.4738504215477</c:v>
                      </c:pt>
                      <c:pt idx="82">
                        <c:v>-280.75385042154767</c:v>
                      </c:pt>
                      <c:pt idx="83">
                        <c:v>-280.75385042154767</c:v>
                      </c:pt>
                      <c:pt idx="84">
                        <c:v>-280.75385042154767</c:v>
                      </c:pt>
                      <c:pt idx="85">
                        <c:v>-290.25385042154767</c:v>
                      </c:pt>
                      <c:pt idx="86">
                        <c:v>-290.25385042154767</c:v>
                      </c:pt>
                      <c:pt idx="87">
                        <c:v>-289.73385042154769</c:v>
                      </c:pt>
                      <c:pt idx="88">
                        <c:v>-243.61385042154768</c:v>
                      </c:pt>
                      <c:pt idx="89">
                        <c:v>-243.61385042154768</c:v>
                      </c:pt>
                      <c:pt idx="90">
                        <c:v>-181.36385042154768</c:v>
                      </c:pt>
                      <c:pt idx="91">
                        <c:v>-191.86385042154768</c:v>
                      </c:pt>
                      <c:pt idx="92">
                        <c:v>-177.4638504215477</c:v>
                      </c:pt>
                      <c:pt idx="93">
                        <c:v>-177.4638504215477</c:v>
                      </c:pt>
                      <c:pt idx="94">
                        <c:v>-177.4638504215477</c:v>
                      </c:pt>
                      <c:pt idx="95">
                        <c:v>-172.86385042154768</c:v>
                      </c:pt>
                      <c:pt idx="96">
                        <c:v>-168.00385042154767</c:v>
                      </c:pt>
                      <c:pt idx="97">
                        <c:v>-157.38385042154766</c:v>
                      </c:pt>
                      <c:pt idx="98">
                        <c:v>-176.28385042154775</c:v>
                      </c:pt>
                      <c:pt idx="99">
                        <c:v>-176.28385042154775</c:v>
                      </c:pt>
                      <c:pt idx="100">
                        <c:v>-239.64385042154777</c:v>
                      </c:pt>
                      <c:pt idx="101">
                        <c:v>-239.64385042154777</c:v>
                      </c:pt>
                      <c:pt idx="102">
                        <c:v>-239.64385042154777</c:v>
                      </c:pt>
                      <c:pt idx="103">
                        <c:v>-239.64385042154777</c:v>
                      </c:pt>
                      <c:pt idx="104">
                        <c:v>-239.64385042154777</c:v>
                      </c:pt>
                      <c:pt idx="105">
                        <c:v>-199.1088504215478</c:v>
                      </c:pt>
                      <c:pt idx="106">
                        <c:v>-199.1088504215478</c:v>
                      </c:pt>
                      <c:pt idx="107">
                        <c:v>-199.1088504215478</c:v>
                      </c:pt>
                      <c:pt idx="108">
                        <c:v>-199.1088504215478</c:v>
                      </c:pt>
                      <c:pt idx="109">
                        <c:v>-199.1088504215478</c:v>
                      </c:pt>
                      <c:pt idx="110">
                        <c:v>-183.1088504215478</c:v>
                      </c:pt>
                      <c:pt idx="111">
                        <c:v>-170.41885042154775</c:v>
                      </c:pt>
                      <c:pt idx="112">
                        <c:v>-170.41885042154775</c:v>
                      </c:pt>
                      <c:pt idx="113">
                        <c:v>-170.41885042154775</c:v>
                      </c:pt>
                      <c:pt idx="114">
                        <c:v>-170.41885042154775</c:v>
                      </c:pt>
                      <c:pt idx="115">
                        <c:v>-170.41885042154775</c:v>
                      </c:pt>
                      <c:pt idx="116">
                        <c:v>-144.91885042154775</c:v>
                      </c:pt>
                      <c:pt idx="117">
                        <c:v>-121.62065961066673</c:v>
                      </c:pt>
                      <c:pt idx="118">
                        <c:v>-121.62065961066673</c:v>
                      </c:pt>
                      <c:pt idx="119">
                        <c:v>-121.62065961066673</c:v>
                      </c:pt>
                      <c:pt idx="120">
                        <c:v>-108.48065961066686</c:v>
                      </c:pt>
                      <c:pt idx="121">
                        <c:v>-108.48065961066686</c:v>
                      </c:pt>
                      <c:pt idx="122">
                        <c:v>-108.48065961066686</c:v>
                      </c:pt>
                      <c:pt idx="123">
                        <c:v>-108.48065961066686</c:v>
                      </c:pt>
                      <c:pt idx="124">
                        <c:v>-34.855659610666748</c:v>
                      </c:pt>
                      <c:pt idx="125">
                        <c:v>-34.855659610666748</c:v>
                      </c:pt>
                      <c:pt idx="126">
                        <c:v>-34.855659610666748</c:v>
                      </c:pt>
                      <c:pt idx="127">
                        <c:v>-74.15565961066693</c:v>
                      </c:pt>
                      <c:pt idx="128">
                        <c:v>-74.15565961066693</c:v>
                      </c:pt>
                      <c:pt idx="129">
                        <c:v>-98.795659610666803</c:v>
                      </c:pt>
                      <c:pt idx="130">
                        <c:v>-98.795659610666803</c:v>
                      </c:pt>
                      <c:pt idx="131">
                        <c:v>-112.93565961066679</c:v>
                      </c:pt>
                      <c:pt idx="132">
                        <c:v>-112.93565961066679</c:v>
                      </c:pt>
                      <c:pt idx="133">
                        <c:v>-59.135659610666607</c:v>
                      </c:pt>
                      <c:pt idx="134">
                        <c:v>-30.295659610666576</c:v>
                      </c:pt>
                      <c:pt idx="135">
                        <c:v>-9.5956596106665302</c:v>
                      </c:pt>
                      <c:pt idx="136">
                        <c:v>1.3043403893335608</c:v>
                      </c:pt>
                      <c:pt idx="137">
                        <c:v>1.3043403893335608</c:v>
                      </c:pt>
                      <c:pt idx="138">
                        <c:v>10.764340389333597</c:v>
                      </c:pt>
                      <c:pt idx="139">
                        <c:v>16.014340389333711</c:v>
                      </c:pt>
                      <c:pt idx="140">
                        <c:v>16.014340389333711</c:v>
                      </c:pt>
                      <c:pt idx="141">
                        <c:v>-9.8656596106662846</c:v>
                      </c:pt>
                      <c:pt idx="142">
                        <c:v>-84.345659610666303</c:v>
                      </c:pt>
                      <c:pt idx="143">
                        <c:v>-107.38565961066627</c:v>
                      </c:pt>
                      <c:pt idx="144">
                        <c:v>-110.27565961066625</c:v>
                      </c:pt>
                      <c:pt idx="145">
                        <c:v>-12.055659610666225</c:v>
                      </c:pt>
                      <c:pt idx="146">
                        <c:v>-39.775659610666253</c:v>
                      </c:pt>
                      <c:pt idx="147">
                        <c:v>-73.725659610666298</c:v>
                      </c:pt>
                      <c:pt idx="148">
                        <c:v>-73.725659610666298</c:v>
                      </c:pt>
                      <c:pt idx="149">
                        <c:v>-73.725659610666298</c:v>
                      </c:pt>
                      <c:pt idx="150">
                        <c:v>-73.725659610666298</c:v>
                      </c:pt>
                      <c:pt idx="151">
                        <c:v>-73.725659610666298</c:v>
                      </c:pt>
                      <c:pt idx="152">
                        <c:v>71.474340389333747</c:v>
                      </c:pt>
                      <c:pt idx="153">
                        <c:v>71.474340389333747</c:v>
                      </c:pt>
                      <c:pt idx="154">
                        <c:v>71.474340389333747</c:v>
                      </c:pt>
                      <c:pt idx="155">
                        <c:v>71.474340389333747</c:v>
                      </c:pt>
                      <c:pt idx="156">
                        <c:v>203.35434038933386</c:v>
                      </c:pt>
                      <c:pt idx="157">
                        <c:v>203.35434038933386</c:v>
                      </c:pt>
                      <c:pt idx="158">
                        <c:v>203.35434038933386</c:v>
                      </c:pt>
                      <c:pt idx="159">
                        <c:v>203.35434038933386</c:v>
                      </c:pt>
                      <c:pt idx="160">
                        <c:v>203.35434038933386</c:v>
                      </c:pt>
                      <c:pt idx="161">
                        <c:v>203.35434038933386</c:v>
                      </c:pt>
                      <c:pt idx="162">
                        <c:v>224.15434038933381</c:v>
                      </c:pt>
                      <c:pt idx="163">
                        <c:v>165.1543403893337</c:v>
                      </c:pt>
                      <c:pt idx="164">
                        <c:v>165.1543403893337</c:v>
                      </c:pt>
                      <c:pt idx="165">
                        <c:v>165.1543403893337</c:v>
                      </c:pt>
                      <c:pt idx="166">
                        <c:v>165.1543403893337</c:v>
                      </c:pt>
                      <c:pt idx="167">
                        <c:v>165.1543403893337</c:v>
                      </c:pt>
                      <c:pt idx="168">
                        <c:v>240.12434038933372</c:v>
                      </c:pt>
                      <c:pt idx="169">
                        <c:v>240.12434038933372</c:v>
                      </c:pt>
                      <c:pt idx="170">
                        <c:v>268.83434038933376</c:v>
                      </c:pt>
                      <c:pt idx="171">
                        <c:v>268.83434038933376</c:v>
                      </c:pt>
                      <c:pt idx="172">
                        <c:v>268.51434038933371</c:v>
                      </c:pt>
                      <c:pt idx="173">
                        <c:v>268.51434038933371</c:v>
                      </c:pt>
                      <c:pt idx="174">
                        <c:v>372.91434038933357</c:v>
                      </c:pt>
                      <c:pt idx="175">
                        <c:v>372.91434038933357</c:v>
                      </c:pt>
                      <c:pt idx="176">
                        <c:v>376.76434038933348</c:v>
                      </c:pt>
                      <c:pt idx="177">
                        <c:v>376.76434038933348</c:v>
                      </c:pt>
                      <c:pt idx="178">
                        <c:v>397.69434038933332</c:v>
                      </c:pt>
                      <c:pt idx="179">
                        <c:v>433.87434038933361</c:v>
                      </c:pt>
                      <c:pt idx="180">
                        <c:v>433.87434038933361</c:v>
                      </c:pt>
                      <c:pt idx="181">
                        <c:v>433.87434038933361</c:v>
                      </c:pt>
                      <c:pt idx="182">
                        <c:v>433.87434038933361</c:v>
                      </c:pt>
                      <c:pt idx="183">
                        <c:v>433.87434038933361</c:v>
                      </c:pt>
                      <c:pt idx="184">
                        <c:v>333.67434038933379</c:v>
                      </c:pt>
                      <c:pt idx="185">
                        <c:v>278.37434038933407</c:v>
                      </c:pt>
                      <c:pt idx="186">
                        <c:v>271.87434038933407</c:v>
                      </c:pt>
                      <c:pt idx="187">
                        <c:v>271.87434038933407</c:v>
                      </c:pt>
                      <c:pt idx="188">
                        <c:v>349.23434038933419</c:v>
                      </c:pt>
                      <c:pt idx="189">
                        <c:v>334.45934038933433</c:v>
                      </c:pt>
                      <c:pt idx="190">
                        <c:v>334.45934038933433</c:v>
                      </c:pt>
                      <c:pt idx="191">
                        <c:v>278.05934038933447</c:v>
                      </c:pt>
                      <c:pt idx="192">
                        <c:v>278.05934038933447</c:v>
                      </c:pt>
                      <c:pt idx="193">
                        <c:v>407.77934038933449</c:v>
                      </c:pt>
                      <c:pt idx="194">
                        <c:v>337.56934038933446</c:v>
                      </c:pt>
                      <c:pt idx="195">
                        <c:v>337.56934038933446</c:v>
                      </c:pt>
                      <c:pt idx="196">
                        <c:v>337.56934038933446</c:v>
                      </c:pt>
                      <c:pt idx="197">
                        <c:v>352.64934038933438</c:v>
                      </c:pt>
                      <c:pt idx="198">
                        <c:v>359.03934038933448</c:v>
                      </c:pt>
                      <c:pt idx="199">
                        <c:v>408.91934038933437</c:v>
                      </c:pt>
                      <c:pt idx="200">
                        <c:v>408.91934038933437</c:v>
                      </c:pt>
                      <c:pt idx="201">
                        <c:v>479.47934038933431</c:v>
                      </c:pt>
                      <c:pt idx="202">
                        <c:v>479.47934038933431</c:v>
                      </c:pt>
                      <c:pt idx="203">
                        <c:v>479.47934038933431</c:v>
                      </c:pt>
                      <c:pt idx="204">
                        <c:v>479.47934038933431</c:v>
                      </c:pt>
                      <c:pt idx="205">
                        <c:v>479.47934038933431</c:v>
                      </c:pt>
                      <c:pt idx="206">
                        <c:v>479.47934038933431</c:v>
                      </c:pt>
                      <c:pt idx="207">
                        <c:v>467.86934038933441</c:v>
                      </c:pt>
                      <c:pt idx="208">
                        <c:v>467.86934038933441</c:v>
                      </c:pt>
                      <c:pt idx="209">
                        <c:v>484.06934038933446</c:v>
                      </c:pt>
                      <c:pt idx="210">
                        <c:v>484.06934038933446</c:v>
                      </c:pt>
                      <c:pt idx="211">
                        <c:v>484.06934038933446</c:v>
                      </c:pt>
                      <c:pt idx="212">
                        <c:v>484.06934038933446</c:v>
                      </c:pt>
                      <c:pt idx="213">
                        <c:v>490.22934038933431</c:v>
                      </c:pt>
                      <c:pt idx="214">
                        <c:v>527.42934038933436</c:v>
                      </c:pt>
                      <c:pt idx="215">
                        <c:v>434.18934038933435</c:v>
                      </c:pt>
                      <c:pt idx="216">
                        <c:v>434.18934038933435</c:v>
                      </c:pt>
                      <c:pt idx="217">
                        <c:v>434.18934038933435</c:v>
                      </c:pt>
                      <c:pt idx="218">
                        <c:v>399.88934038933439</c:v>
                      </c:pt>
                      <c:pt idx="219">
                        <c:v>399.88934038933439</c:v>
                      </c:pt>
                      <c:pt idx="220">
                        <c:v>432.10934038933442</c:v>
                      </c:pt>
                      <c:pt idx="221">
                        <c:v>432.10934038933442</c:v>
                      </c:pt>
                      <c:pt idx="222">
                        <c:v>445.40934038933437</c:v>
                      </c:pt>
                      <c:pt idx="223">
                        <c:v>445.40934038933437</c:v>
                      </c:pt>
                      <c:pt idx="224">
                        <c:v>445.40934038933437</c:v>
                      </c:pt>
                      <c:pt idx="225">
                        <c:v>417.59934038933443</c:v>
                      </c:pt>
                      <c:pt idx="226">
                        <c:v>417.59934038933443</c:v>
                      </c:pt>
                      <c:pt idx="227">
                        <c:v>450.2693403893345</c:v>
                      </c:pt>
                      <c:pt idx="228">
                        <c:v>450.2693403893345</c:v>
                      </c:pt>
                      <c:pt idx="229">
                        <c:v>450.2693403893345</c:v>
                      </c:pt>
                      <c:pt idx="230">
                        <c:v>499.76934038933473</c:v>
                      </c:pt>
                      <c:pt idx="231">
                        <c:v>499.76934038933473</c:v>
                      </c:pt>
                      <c:pt idx="232">
                        <c:v>499.76934038933473</c:v>
                      </c:pt>
                      <c:pt idx="233">
                        <c:v>499.76934038933473</c:v>
                      </c:pt>
                      <c:pt idx="234">
                        <c:v>539.16934038933459</c:v>
                      </c:pt>
                      <c:pt idx="235">
                        <c:v>521.00934038933451</c:v>
                      </c:pt>
                      <c:pt idx="236">
                        <c:v>632.23434038933453</c:v>
                      </c:pt>
                      <c:pt idx="237">
                        <c:v>632.23434038933453</c:v>
                      </c:pt>
                      <c:pt idx="238">
                        <c:v>632.23434038933453</c:v>
                      </c:pt>
                      <c:pt idx="239">
                        <c:v>632.23434038933453</c:v>
                      </c:pt>
                      <c:pt idx="240">
                        <c:v>632.23434038933453</c:v>
                      </c:pt>
                      <c:pt idx="241">
                        <c:v>829.55934038933447</c:v>
                      </c:pt>
                      <c:pt idx="242">
                        <c:v>829.55934038933447</c:v>
                      </c:pt>
                      <c:pt idx="243">
                        <c:v>855.74934038933475</c:v>
                      </c:pt>
                      <c:pt idx="244">
                        <c:v>855.74934038933475</c:v>
                      </c:pt>
                      <c:pt idx="245">
                        <c:v>879.56934038933468</c:v>
                      </c:pt>
                      <c:pt idx="246">
                        <c:v>860.16934038933459</c:v>
                      </c:pt>
                      <c:pt idx="247">
                        <c:v>844.0193403893345</c:v>
                      </c:pt>
                      <c:pt idx="248">
                        <c:v>816.06934038933446</c:v>
                      </c:pt>
                      <c:pt idx="249">
                        <c:v>789.06934038933423</c:v>
                      </c:pt>
                      <c:pt idx="250">
                        <c:v>822.54934038933425</c:v>
                      </c:pt>
                      <c:pt idx="251">
                        <c:v>822.54934038933425</c:v>
                      </c:pt>
                      <c:pt idx="252">
                        <c:v>822.54934038933425</c:v>
                      </c:pt>
                      <c:pt idx="253">
                        <c:v>870.04234038933419</c:v>
                      </c:pt>
                      <c:pt idx="254">
                        <c:v>874.18234038933429</c:v>
                      </c:pt>
                      <c:pt idx="255">
                        <c:v>909.30234038933418</c:v>
                      </c:pt>
                      <c:pt idx="256">
                        <c:v>909.30234038933418</c:v>
                      </c:pt>
                      <c:pt idx="257">
                        <c:v>909.30234038933418</c:v>
                      </c:pt>
                      <c:pt idx="258">
                        <c:v>909.30234038933418</c:v>
                      </c:pt>
                      <c:pt idx="259">
                        <c:v>852.4023403893342</c:v>
                      </c:pt>
                      <c:pt idx="260">
                        <c:v>880.69234038933416</c:v>
                      </c:pt>
                      <c:pt idx="261">
                        <c:v>860.77234038933409</c:v>
                      </c:pt>
                      <c:pt idx="262">
                        <c:v>878.06234038933405</c:v>
                      </c:pt>
                      <c:pt idx="263">
                        <c:v>878.06234038933405</c:v>
                      </c:pt>
                      <c:pt idx="264">
                        <c:v>846.38234038933422</c:v>
                      </c:pt>
                      <c:pt idx="265">
                        <c:v>862.94234038933416</c:v>
                      </c:pt>
                      <c:pt idx="266">
                        <c:v>862.94234038933416</c:v>
                      </c:pt>
                      <c:pt idx="267">
                        <c:v>874.42234038933418</c:v>
                      </c:pt>
                      <c:pt idx="268">
                        <c:v>863.30234038933429</c:v>
                      </c:pt>
                      <c:pt idx="269">
                        <c:v>941.60234038933424</c:v>
                      </c:pt>
                      <c:pt idx="270">
                        <c:v>960.86234038933424</c:v>
                      </c:pt>
                      <c:pt idx="271">
                        <c:v>949.52234038933432</c:v>
                      </c:pt>
                      <c:pt idx="272">
                        <c:v>959.82234038933427</c:v>
                      </c:pt>
                      <c:pt idx="273">
                        <c:v>959.82234038933427</c:v>
                      </c:pt>
                      <c:pt idx="274">
                        <c:v>919.69734038933427</c:v>
                      </c:pt>
                      <c:pt idx="275">
                        <c:v>943.84734038933414</c:v>
                      </c:pt>
                      <c:pt idx="276">
                        <c:v>918.28734038933419</c:v>
                      </c:pt>
                      <c:pt idx="277">
                        <c:v>918.28734038933419</c:v>
                      </c:pt>
                      <c:pt idx="278">
                        <c:v>941.28734038933419</c:v>
                      </c:pt>
                      <c:pt idx="279">
                        <c:v>943.78734038933419</c:v>
                      </c:pt>
                      <c:pt idx="280">
                        <c:v>943.78734038933419</c:v>
                      </c:pt>
                      <c:pt idx="281">
                        <c:v>943.78734038933419</c:v>
                      </c:pt>
                      <c:pt idx="282">
                        <c:v>991.83734038933414</c:v>
                      </c:pt>
                      <c:pt idx="283">
                        <c:v>903.98734038933424</c:v>
                      </c:pt>
                      <c:pt idx="284">
                        <c:v>903.98734038933424</c:v>
                      </c:pt>
                      <c:pt idx="285">
                        <c:v>846.83734038933414</c:v>
                      </c:pt>
                      <c:pt idx="286">
                        <c:v>846.83734038933414</c:v>
                      </c:pt>
                      <c:pt idx="287">
                        <c:v>850.12734038933411</c:v>
                      </c:pt>
                      <c:pt idx="288">
                        <c:v>850.12734038933411</c:v>
                      </c:pt>
                      <c:pt idx="289">
                        <c:v>818.32734038933393</c:v>
                      </c:pt>
                      <c:pt idx="290">
                        <c:v>818.32734038933393</c:v>
                      </c:pt>
                      <c:pt idx="291">
                        <c:v>888.32734038933393</c:v>
                      </c:pt>
                      <c:pt idx="292">
                        <c:v>831.57734038933393</c:v>
                      </c:pt>
                      <c:pt idx="293">
                        <c:v>831.57734038933393</c:v>
                      </c:pt>
                      <c:pt idx="294">
                        <c:v>698.32734038933393</c:v>
                      </c:pt>
                      <c:pt idx="295">
                        <c:v>698.32734038933393</c:v>
                      </c:pt>
                      <c:pt idx="296">
                        <c:v>613.73734038933401</c:v>
                      </c:pt>
                      <c:pt idx="297">
                        <c:v>613.73734038933401</c:v>
                      </c:pt>
                      <c:pt idx="298">
                        <c:v>573.73734038933401</c:v>
                      </c:pt>
                      <c:pt idx="299">
                        <c:v>573.73734038933401</c:v>
                      </c:pt>
                      <c:pt idx="300">
                        <c:v>573.73734038933401</c:v>
                      </c:pt>
                      <c:pt idx="301">
                        <c:v>573.73734038933401</c:v>
                      </c:pt>
                      <c:pt idx="302">
                        <c:v>573.1073403893339</c:v>
                      </c:pt>
                      <c:pt idx="303">
                        <c:v>573.1073403893339</c:v>
                      </c:pt>
                      <c:pt idx="304">
                        <c:v>573.1073403893339</c:v>
                      </c:pt>
                      <c:pt idx="305">
                        <c:v>573.1073403893339</c:v>
                      </c:pt>
                      <c:pt idx="306">
                        <c:v>573.1073403893339</c:v>
                      </c:pt>
                      <c:pt idx="307">
                        <c:v>573.1073403893339</c:v>
                      </c:pt>
                      <c:pt idx="308">
                        <c:v>601.9316134613947</c:v>
                      </c:pt>
                      <c:pt idx="309">
                        <c:v>601.9316134613947</c:v>
                      </c:pt>
                      <c:pt idx="310">
                        <c:v>595.53161346139484</c:v>
                      </c:pt>
                      <c:pt idx="311">
                        <c:v>689.8216134613948</c:v>
                      </c:pt>
                      <c:pt idx="312">
                        <c:v>665.07161346139458</c:v>
                      </c:pt>
                      <c:pt idx="313">
                        <c:v>665.07161346139458</c:v>
                      </c:pt>
                      <c:pt idx="314">
                        <c:v>621.07161346139458</c:v>
                      </c:pt>
                      <c:pt idx="315">
                        <c:v>671.07161346139458</c:v>
                      </c:pt>
                      <c:pt idx="316">
                        <c:v>671.07161346139458</c:v>
                      </c:pt>
                      <c:pt idx="317">
                        <c:v>671.07161346139458</c:v>
                      </c:pt>
                      <c:pt idx="318">
                        <c:v>671.07161346139458</c:v>
                      </c:pt>
                      <c:pt idx="319">
                        <c:v>671.07161346139458</c:v>
                      </c:pt>
                      <c:pt idx="320">
                        <c:v>705.23161346139443</c:v>
                      </c:pt>
                      <c:pt idx="321">
                        <c:v>705.23161346139443</c:v>
                      </c:pt>
                      <c:pt idx="322">
                        <c:v>705.23161346139443</c:v>
                      </c:pt>
                      <c:pt idx="323">
                        <c:v>705.23161346139443</c:v>
                      </c:pt>
                      <c:pt idx="324">
                        <c:v>546.59161346139456</c:v>
                      </c:pt>
                      <c:pt idx="325">
                        <c:v>546.59161346139456</c:v>
                      </c:pt>
                      <c:pt idx="326">
                        <c:v>432.59161346139433</c:v>
                      </c:pt>
                      <c:pt idx="327">
                        <c:v>432.59161346139433</c:v>
                      </c:pt>
                      <c:pt idx="328">
                        <c:v>432.59161346139433</c:v>
                      </c:pt>
                      <c:pt idx="329">
                        <c:v>432.59161346139433</c:v>
                      </c:pt>
                      <c:pt idx="330">
                        <c:v>493.64161346139429</c:v>
                      </c:pt>
                      <c:pt idx="331">
                        <c:v>493.64161346139429</c:v>
                      </c:pt>
                      <c:pt idx="332">
                        <c:v>493.64161346139429</c:v>
                      </c:pt>
                      <c:pt idx="333">
                        <c:v>493.64161346139429</c:v>
                      </c:pt>
                      <c:pt idx="334">
                        <c:v>493.64161346139429</c:v>
                      </c:pt>
                      <c:pt idx="335">
                        <c:v>493.64161346139429</c:v>
                      </c:pt>
                      <c:pt idx="336">
                        <c:v>493.64161346139429</c:v>
                      </c:pt>
                      <c:pt idx="337">
                        <c:v>642.74161346139442</c:v>
                      </c:pt>
                      <c:pt idx="338">
                        <c:v>642.74161346139442</c:v>
                      </c:pt>
                      <c:pt idx="339">
                        <c:v>642.74161346139442</c:v>
                      </c:pt>
                      <c:pt idx="340">
                        <c:v>642.74161346139442</c:v>
                      </c:pt>
                      <c:pt idx="341">
                        <c:v>642.74161346139442</c:v>
                      </c:pt>
                      <c:pt idx="342">
                        <c:v>673.5416134613946</c:v>
                      </c:pt>
                      <c:pt idx="343">
                        <c:v>673.5416134613946</c:v>
                      </c:pt>
                      <c:pt idx="344">
                        <c:v>673.5416134613946</c:v>
                      </c:pt>
                      <c:pt idx="345">
                        <c:v>673.5416134613946</c:v>
                      </c:pt>
                      <c:pt idx="346">
                        <c:v>642.6666134613946</c:v>
                      </c:pt>
                      <c:pt idx="347">
                        <c:v>642.6666134613946</c:v>
                      </c:pt>
                      <c:pt idx="348">
                        <c:v>633.96661346139479</c:v>
                      </c:pt>
                      <c:pt idx="349">
                        <c:v>633.96661346139479</c:v>
                      </c:pt>
                      <c:pt idx="350">
                        <c:v>726.64661346139485</c:v>
                      </c:pt>
                      <c:pt idx="351">
                        <c:v>726.64661346139485</c:v>
                      </c:pt>
                      <c:pt idx="352">
                        <c:v>726.64661346139485</c:v>
                      </c:pt>
                      <c:pt idx="353">
                        <c:v>726.64661346139485</c:v>
                      </c:pt>
                      <c:pt idx="354">
                        <c:v>726.64661346139485</c:v>
                      </c:pt>
                      <c:pt idx="355">
                        <c:v>726.64661346139485</c:v>
                      </c:pt>
                      <c:pt idx="356">
                        <c:v>726.64661346139485</c:v>
                      </c:pt>
                      <c:pt idx="357">
                        <c:v>1036.3516134613947</c:v>
                      </c:pt>
                      <c:pt idx="358">
                        <c:v>1036.3516134613947</c:v>
                      </c:pt>
                      <c:pt idx="359">
                        <c:v>1036.3516134613947</c:v>
                      </c:pt>
                      <c:pt idx="360">
                        <c:v>1036.3516134613947</c:v>
                      </c:pt>
                      <c:pt idx="361">
                        <c:v>1036.3516134613947</c:v>
                      </c:pt>
                      <c:pt idx="362">
                        <c:v>1036.3516134613947</c:v>
                      </c:pt>
                      <c:pt idx="363">
                        <c:v>1036.3516134613947</c:v>
                      </c:pt>
                      <c:pt idx="364">
                        <c:v>1036.3516134613947</c:v>
                      </c:pt>
                      <c:pt idx="365">
                        <c:v>982.07161346139446</c:v>
                      </c:pt>
                      <c:pt idx="366">
                        <c:v>474.2016134613948</c:v>
                      </c:pt>
                      <c:pt idx="367">
                        <c:v>391.5616134613947</c:v>
                      </c:pt>
                      <c:pt idx="368">
                        <c:v>391.5616134613947</c:v>
                      </c:pt>
                      <c:pt idx="369">
                        <c:v>391.5616134613947</c:v>
                      </c:pt>
                      <c:pt idx="370">
                        <c:v>391.5616134613947</c:v>
                      </c:pt>
                      <c:pt idx="371">
                        <c:v>391.5616134613947</c:v>
                      </c:pt>
                      <c:pt idx="372">
                        <c:v>391.5616134613947</c:v>
                      </c:pt>
                      <c:pt idx="373">
                        <c:v>391.5616134613947</c:v>
                      </c:pt>
                      <c:pt idx="374">
                        <c:v>391.5616134613947</c:v>
                      </c:pt>
                      <c:pt idx="375">
                        <c:v>391.5616134613947</c:v>
                      </c:pt>
                      <c:pt idx="376">
                        <c:v>391.5616134613947</c:v>
                      </c:pt>
                      <c:pt idx="377">
                        <c:v>391.5616134613947</c:v>
                      </c:pt>
                      <c:pt idx="378">
                        <c:v>391.5616134613947</c:v>
                      </c:pt>
                      <c:pt idx="379">
                        <c:v>391.5616134613947</c:v>
                      </c:pt>
                      <c:pt idx="380">
                        <c:v>391.5616134613947</c:v>
                      </c:pt>
                      <c:pt idx="381">
                        <c:v>391.5616134613947</c:v>
                      </c:pt>
                      <c:pt idx="382">
                        <c:v>516.36161346139443</c:v>
                      </c:pt>
                      <c:pt idx="383">
                        <c:v>516.36161346139443</c:v>
                      </c:pt>
                      <c:pt idx="384">
                        <c:v>516.36161346139443</c:v>
                      </c:pt>
                      <c:pt idx="385">
                        <c:v>582.30161346139425</c:v>
                      </c:pt>
                      <c:pt idx="386">
                        <c:v>582.30161346139425</c:v>
                      </c:pt>
                      <c:pt idx="387">
                        <c:v>582.30161346139425</c:v>
                      </c:pt>
                      <c:pt idx="388">
                        <c:v>582.30161346139425</c:v>
                      </c:pt>
                      <c:pt idx="389">
                        <c:v>582.30161346139425</c:v>
                      </c:pt>
                      <c:pt idx="390">
                        <c:v>582.30161346139425</c:v>
                      </c:pt>
                      <c:pt idx="391">
                        <c:v>549.90161346139416</c:v>
                      </c:pt>
                      <c:pt idx="392">
                        <c:v>549.90161346139416</c:v>
                      </c:pt>
                      <c:pt idx="393">
                        <c:v>549.90161346139416</c:v>
                      </c:pt>
                      <c:pt idx="394">
                        <c:v>549.90161346139416</c:v>
                      </c:pt>
                      <c:pt idx="395">
                        <c:v>549.90161346139416</c:v>
                      </c:pt>
                      <c:pt idx="396">
                        <c:v>549.90161346139416</c:v>
                      </c:pt>
                      <c:pt idx="397">
                        <c:v>549.90161346139416</c:v>
                      </c:pt>
                      <c:pt idx="398">
                        <c:v>549.90161346139416</c:v>
                      </c:pt>
                      <c:pt idx="399">
                        <c:v>549.90161346139416</c:v>
                      </c:pt>
                      <c:pt idx="400">
                        <c:v>533.40161346139416</c:v>
                      </c:pt>
                      <c:pt idx="401">
                        <c:v>533.40161346139416</c:v>
                      </c:pt>
                      <c:pt idx="402">
                        <c:v>533.40161346139416</c:v>
                      </c:pt>
                      <c:pt idx="403">
                        <c:v>533.40161346139416</c:v>
                      </c:pt>
                      <c:pt idx="404">
                        <c:v>533.40161346139416</c:v>
                      </c:pt>
                      <c:pt idx="405">
                        <c:v>533.40161346139416</c:v>
                      </c:pt>
                      <c:pt idx="406">
                        <c:v>533.40161346139416</c:v>
                      </c:pt>
                      <c:pt idx="407">
                        <c:v>533.40161346139416</c:v>
                      </c:pt>
                      <c:pt idx="408">
                        <c:v>533.40161346139416</c:v>
                      </c:pt>
                      <c:pt idx="409">
                        <c:v>596.94161346139413</c:v>
                      </c:pt>
                      <c:pt idx="410">
                        <c:v>596.94161346139413</c:v>
                      </c:pt>
                      <c:pt idx="411">
                        <c:v>596.94161346139413</c:v>
                      </c:pt>
                      <c:pt idx="412">
                        <c:v>596.94161346139413</c:v>
                      </c:pt>
                      <c:pt idx="413">
                        <c:v>596.94161346139413</c:v>
                      </c:pt>
                      <c:pt idx="414">
                        <c:v>596.94161346139413</c:v>
                      </c:pt>
                      <c:pt idx="415">
                        <c:v>630.94161346139413</c:v>
                      </c:pt>
                      <c:pt idx="416">
                        <c:v>630.94161346139413</c:v>
                      </c:pt>
                      <c:pt idx="417">
                        <c:v>570.46161346139411</c:v>
                      </c:pt>
                      <c:pt idx="418">
                        <c:v>570.46161346139411</c:v>
                      </c:pt>
                    </c:numCache>
                  </c:numRef>
                </c:val>
                <c:smooth val="1"/>
                <c:extLst xmlns:c15="http://schemas.microsoft.com/office/drawing/2012/chart">
                  <c:ext xmlns:c16="http://schemas.microsoft.com/office/drawing/2014/chart" uri="{C3380CC4-5D6E-409C-BE32-E72D297353CC}">
                    <c16:uniqueId val="{00000001-1693-4AB0-BA75-620A9224444E}"/>
                  </c:ext>
                </c:extLst>
              </c15:ser>
            </c15:filteredLineSeries>
            <c15:filteredLineSeries>
              <c15:ser>
                <c:idx val="6"/>
                <c:order val="5"/>
                <c:tx>
                  <c:v>Dwn (MOC)</c:v>
                </c:tx>
                <c:spPr>
                  <a:ln w="19050" cap="rnd">
                    <a:solidFill>
                      <a:schemeClr val="accent2">
                        <a:lumMod val="60000"/>
                        <a:lumOff val="40000"/>
                      </a:schemeClr>
                    </a:solidFill>
                    <a:prstDash val="sysDash"/>
                    <a:round/>
                  </a:ln>
                  <a:effectLst/>
                </c:spPr>
                <c:marker>
                  <c:symbol val="none"/>
                </c:marker>
                <c:val>
                  <c:numRef>
                    <c:extLst xmlns:c15="http://schemas.microsoft.com/office/drawing/2012/chart">
                      <c:ext xmlns:c15="http://schemas.microsoft.com/office/drawing/2012/chart" uri="{02D57815-91ED-43cb-92C2-25804820EDAC}">
                        <c15:formulaRef>
                          <c15:sqref>'2025-Q2'!$AZ$4:$AZ$422</c15:sqref>
                        </c15:formulaRef>
                      </c:ext>
                    </c:extLst>
                    <c:numCache>
                      <c:formatCode>"$"#,##0</c:formatCode>
                      <c:ptCount val="419"/>
                      <c:pt idx="0">
                        <c:v>-254.69999999999982</c:v>
                      </c:pt>
                      <c:pt idx="1">
                        <c:v>-262.79999999999973</c:v>
                      </c:pt>
                      <c:pt idx="2">
                        <c:v>-262.79999999999973</c:v>
                      </c:pt>
                      <c:pt idx="3">
                        <c:v>-262.79999999999973</c:v>
                      </c:pt>
                      <c:pt idx="4">
                        <c:v>-262.79999999999973</c:v>
                      </c:pt>
                      <c:pt idx="5">
                        <c:v>-262.79999999999973</c:v>
                      </c:pt>
                      <c:pt idx="6">
                        <c:v>-262.79999999999973</c:v>
                      </c:pt>
                      <c:pt idx="7">
                        <c:v>-262.79999999999973</c:v>
                      </c:pt>
                      <c:pt idx="8">
                        <c:v>-262.79999999999973</c:v>
                      </c:pt>
                      <c:pt idx="9">
                        <c:v>-266.68837290281726</c:v>
                      </c:pt>
                      <c:pt idx="10">
                        <c:v>-266.68837290281726</c:v>
                      </c:pt>
                      <c:pt idx="11">
                        <c:v>-266.68837290281726</c:v>
                      </c:pt>
                      <c:pt idx="12">
                        <c:v>-267.17837290281727</c:v>
                      </c:pt>
                      <c:pt idx="13">
                        <c:v>-267.17837290281727</c:v>
                      </c:pt>
                      <c:pt idx="14">
                        <c:v>-173.75837290281697</c:v>
                      </c:pt>
                      <c:pt idx="15">
                        <c:v>-173.75837290281697</c:v>
                      </c:pt>
                      <c:pt idx="16">
                        <c:v>-89.908372902816836</c:v>
                      </c:pt>
                      <c:pt idx="17">
                        <c:v>-65.608372902816654</c:v>
                      </c:pt>
                      <c:pt idx="18">
                        <c:v>-65.608372902816654</c:v>
                      </c:pt>
                      <c:pt idx="19">
                        <c:v>-65.608372902816654</c:v>
                      </c:pt>
                      <c:pt idx="20">
                        <c:v>-65.608372902816654</c:v>
                      </c:pt>
                      <c:pt idx="21">
                        <c:v>-65.608372902816654</c:v>
                      </c:pt>
                      <c:pt idx="22">
                        <c:v>-79.1383729028164</c:v>
                      </c:pt>
                      <c:pt idx="23">
                        <c:v>-79.1383729028164</c:v>
                      </c:pt>
                      <c:pt idx="24">
                        <c:v>-79.1383729028164</c:v>
                      </c:pt>
                      <c:pt idx="25">
                        <c:v>-79.1383729028164</c:v>
                      </c:pt>
                      <c:pt idx="26">
                        <c:v>-76.1383729028164</c:v>
                      </c:pt>
                      <c:pt idx="27">
                        <c:v>-110.1383729028164</c:v>
                      </c:pt>
                      <c:pt idx="28">
                        <c:v>-118.53837290281626</c:v>
                      </c:pt>
                      <c:pt idx="29">
                        <c:v>-118.53837290281626</c:v>
                      </c:pt>
                      <c:pt idx="30">
                        <c:v>-155.63837290281617</c:v>
                      </c:pt>
                      <c:pt idx="31">
                        <c:v>-148.13837290281617</c:v>
                      </c:pt>
                      <c:pt idx="32">
                        <c:v>-164.13837290281617</c:v>
                      </c:pt>
                      <c:pt idx="33">
                        <c:v>-164.13837290281617</c:v>
                      </c:pt>
                      <c:pt idx="34">
                        <c:v>-164.13837290281617</c:v>
                      </c:pt>
                      <c:pt idx="35">
                        <c:v>-164.13837290281617</c:v>
                      </c:pt>
                      <c:pt idx="36">
                        <c:v>-173.22837290281586</c:v>
                      </c:pt>
                      <c:pt idx="37">
                        <c:v>-173.22837290281586</c:v>
                      </c:pt>
                      <c:pt idx="38">
                        <c:v>-173.22837290281586</c:v>
                      </c:pt>
                      <c:pt idx="39">
                        <c:v>-173.22837290281586</c:v>
                      </c:pt>
                      <c:pt idx="40">
                        <c:v>-322.17837290281591</c:v>
                      </c:pt>
                      <c:pt idx="41">
                        <c:v>-353.47837290281609</c:v>
                      </c:pt>
                      <c:pt idx="42">
                        <c:v>-286.37837290281595</c:v>
                      </c:pt>
                      <c:pt idx="43">
                        <c:v>-286.37837290281595</c:v>
                      </c:pt>
                      <c:pt idx="44">
                        <c:v>-286.37837290281595</c:v>
                      </c:pt>
                      <c:pt idx="45">
                        <c:v>-286.37837290281595</c:v>
                      </c:pt>
                      <c:pt idx="46">
                        <c:v>-336.14837290281594</c:v>
                      </c:pt>
                      <c:pt idx="47">
                        <c:v>-336.14837290281594</c:v>
                      </c:pt>
                      <c:pt idx="48">
                        <c:v>-437.28837290281581</c:v>
                      </c:pt>
                      <c:pt idx="49">
                        <c:v>-437.28837290281581</c:v>
                      </c:pt>
                      <c:pt idx="50">
                        <c:v>-437.28837290281581</c:v>
                      </c:pt>
                      <c:pt idx="51">
                        <c:v>-437.28837290281581</c:v>
                      </c:pt>
                      <c:pt idx="52">
                        <c:v>-546.48837290281585</c:v>
                      </c:pt>
                      <c:pt idx="53">
                        <c:v>-546.48837290281585</c:v>
                      </c:pt>
                      <c:pt idx="54">
                        <c:v>-546.48837290281585</c:v>
                      </c:pt>
                      <c:pt idx="55">
                        <c:v>-539.5683729028159</c:v>
                      </c:pt>
                      <c:pt idx="56">
                        <c:v>-539.5683729028159</c:v>
                      </c:pt>
                      <c:pt idx="57">
                        <c:v>-414.9183729028158</c:v>
                      </c:pt>
                      <c:pt idx="58">
                        <c:v>-414.9183729028158</c:v>
                      </c:pt>
                      <c:pt idx="59">
                        <c:v>-414.9183729028158</c:v>
                      </c:pt>
                      <c:pt idx="60">
                        <c:v>-414.9183729028158</c:v>
                      </c:pt>
                      <c:pt idx="61">
                        <c:v>-414.9183729028158</c:v>
                      </c:pt>
                      <c:pt idx="62">
                        <c:v>-414.9183729028158</c:v>
                      </c:pt>
                      <c:pt idx="63">
                        <c:v>-414.9183729028158</c:v>
                      </c:pt>
                      <c:pt idx="64">
                        <c:v>-414.9183729028158</c:v>
                      </c:pt>
                      <c:pt idx="65">
                        <c:v>-414.9183729028158</c:v>
                      </c:pt>
                      <c:pt idx="66">
                        <c:v>-420.76837290281571</c:v>
                      </c:pt>
                      <c:pt idx="67">
                        <c:v>-414.58837290281565</c:v>
                      </c:pt>
                      <c:pt idx="68">
                        <c:v>-396.2683729028156</c:v>
                      </c:pt>
                      <c:pt idx="69">
                        <c:v>-396.2683729028156</c:v>
                      </c:pt>
                      <c:pt idx="70">
                        <c:v>-368.83837290281554</c:v>
                      </c:pt>
                      <c:pt idx="71">
                        <c:v>-368.83837290281554</c:v>
                      </c:pt>
                      <c:pt idx="72">
                        <c:v>-368.83837290281554</c:v>
                      </c:pt>
                      <c:pt idx="73">
                        <c:v>-368.83837290281554</c:v>
                      </c:pt>
                      <c:pt idx="74">
                        <c:v>-368.83837290281554</c:v>
                      </c:pt>
                      <c:pt idx="75">
                        <c:v>-368.83837290281554</c:v>
                      </c:pt>
                      <c:pt idx="76">
                        <c:v>-368.83837290281554</c:v>
                      </c:pt>
                      <c:pt idx="77">
                        <c:v>-368.83837290281554</c:v>
                      </c:pt>
                      <c:pt idx="78">
                        <c:v>-368.83837290281554</c:v>
                      </c:pt>
                      <c:pt idx="79">
                        <c:v>-423.9721716230016</c:v>
                      </c:pt>
                      <c:pt idx="80">
                        <c:v>-423.9721716230016</c:v>
                      </c:pt>
                      <c:pt idx="81">
                        <c:v>-480.01217162300156</c:v>
                      </c:pt>
                      <c:pt idx="82">
                        <c:v>-530.05217162300164</c:v>
                      </c:pt>
                      <c:pt idx="83">
                        <c:v>-530.05217162300164</c:v>
                      </c:pt>
                      <c:pt idx="84">
                        <c:v>-530.05217162300164</c:v>
                      </c:pt>
                      <c:pt idx="85">
                        <c:v>-591.05217162300175</c:v>
                      </c:pt>
                      <c:pt idx="86">
                        <c:v>-591.05217162300175</c:v>
                      </c:pt>
                      <c:pt idx="87">
                        <c:v>-613.15217162300189</c:v>
                      </c:pt>
                      <c:pt idx="88">
                        <c:v>-595.83217162300184</c:v>
                      </c:pt>
                      <c:pt idx="89">
                        <c:v>-595.83217162300184</c:v>
                      </c:pt>
                      <c:pt idx="90">
                        <c:v>-563.83217162300184</c:v>
                      </c:pt>
                      <c:pt idx="91">
                        <c:v>-555.85217162300182</c:v>
                      </c:pt>
                      <c:pt idx="92">
                        <c:v>-578.65217162300189</c:v>
                      </c:pt>
                      <c:pt idx="93">
                        <c:v>-578.65217162300189</c:v>
                      </c:pt>
                      <c:pt idx="94">
                        <c:v>-578.65217162300189</c:v>
                      </c:pt>
                      <c:pt idx="95">
                        <c:v>-589.652171623002</c:v>
                      </c:pt>
                      <c:pt idx="96">
                        <c:v>-547.95217162300207</c:v>
                      </c:pt>
                      <c:pt idx="97">
                        <c:v>-550.83217162300207</c:v>
                      </c:pt>
                      <c:pt idx="98">
                        <c:v>-588.98217162300205</c:v>
                      </c:pt>
                      <c:pt idx="99">
                        <c:v>-588.98217162300205</c:v>
                      </c:pt>
                      <c:pt idx="100">
                        <c:v>-711.86217162300204</c:v>
                      </c:pt>
                      <c:pt idx="101">
                        <c:v>-711.86217162300204</c:v>
                      </c:pt>
                      <c:pt idx="102">
                        <c:v>-711.86217162300204</c:v>
                      </c:pt>
                      <c:pt idx="103">
                        <c:v>-711.86217162300204</c:v>
                      </c:pt>
                      <c:pt idx="104">
                        <c:v>-711.86217162300204</c:v>
                      </c:pt>
                      <c:pt idx="105">
                        <c:v>-657.08217162300207</c:v>
                      </c:pt>
                      <c:pt idx="106">
                        <c:v>-657.08217162300207</c:v>
                      </c:pt>
                      <c:pt idx="107">
                        <c:v>-657.08217162300207</c:v>
                      </c:pt>
                      <c:pt idx="108">
                        <c:v>-657.08217162300207</c:v>
                      </c:pt>
                      <c:pt idx="109">
                        <c:v>-657.08217162300207</c:v>
                      </c:pt>
                      <c:pt idx="110">
                        <c:v>-646.83217162300218</c:v>
                      </c:pt>
                      <c:pt idx="111">
                        <c:v>-640.35217162300216</c:v>
                      </c:pt>
                      <c:pt idx="112">
                        <c:v>-640.35217162300216</c:v>
                      </c:pt>
                      <c:pt idx="113">
                        <c:v>-640.35217162300216</c:v>
                      </c:pt>
                      <c:pt idx="114">
                        <c:v>-640.35217162300216</c:v>
                      </c:pt>
                      <c:pt idx="115">
                        <c:v>-640.35217162300216</c:v>
                      </c:pt>
                      <c:pt idx="116">
                        <c:v>-643.20217162300207</c:v>
                      </c:pt>
                      <c:pt idx="117">
                        <c:v>-617.95161845366727</c:v>
                      </c:pt>
                      <c:pt idx="118">
                        <c:v>-617.95161845366727</c:v>
                      </c:pt>
                      <c:pt idx="119">
                        <c:v>-617.95161845366727</c:v>
                      </c:pt>
                      <c:pt idx="120">
                        <c:v>-637.75161845366745</c:v>
                      </c:pt>
                      <c:pt idx="121">
                        <c:v>-637.75161845366745</c:v>
                      </c:pt>
                      <c:pt idx="122">
                        <c:v>-637.75161845366745</c:v>
                      </c:pt>
                      <c:pt idx="123">
                        <c:v>-637.75161845366745</c:v>
                      </c:pt>
                      <c:pt idx="124">
                        <c:v>-569.65161845366742</c:v>
                      </c:pt>
                      <c:pt idx="125">
                        <c:v>-569.65161845366742</c:v>
                      </c:pt>
                      <c:pt idx="126">
                        <c:v>-569.65161845366742</c:v>
                      </c:pt>
                      <c:pt idx="127">
                        <c:v>-617.44161845366739</c:v>
                      </c:pt>
                      <c:pt idx="128">
                        <c:v>-617.44161845366739</c:v>
                      </c:pt>
                      <c:pt idx="129">
                        <c:v>-653.28161845366731</c:v>
                      </c:pt>
                      <c:pt idx="130">
                        <c:v>-653.28161845366731</c:v>
                      </c:pt>
                      <c:pt idx="131">
                        <c:v>-678.06161845366728</c:v>
                      </c:pt>
                      <c:pt idx="132">
                        <c:v>-678.06161845366728</c:v>
                      </c:pt>
                      <c:pt idx="133">
                        <c:v>-660.56161845366728</c:v>
                      </c:pt>
                      <c:pt idx="134">
                        <c:v>-658.04161845366718</c:v>
                      </c:pt>
                      <c:pt idx="135">
                        <c:v>-666.32161845366716</c:v>
                      </c:pt>
                      <c:pt idx="136">
                        <c:v>-662.72161845366713</c:v>
                      </c:pt>
                      <c:pt idx="137">
                        <c:v>-662.72161845366713</c:v>
                      </c:pt>
                      <c:pt idx="138">
                        <c:v>-694.54161845366707</c:v>
                      </c:pt>
                      <c:pt idx="139">
                        <c:v>-663.04161845366696</c:v>
                      </c:pt>
                      <c:pt idx="140">
                        <c:v>-663.04161845366696</c:v>
                      </c:pt>
                      <c:pt idx="141">
                        <c:v>-694.56161845366694</c:v>
                      </c:pt>
                      <c:pt idx="142">
                        <c:v>-744.80161845366695</c:v>
                      </c:pt>
                      <c:pt idx="143">
                        <c:v>-767.04161845366673</c:v>
                      </c:pt>
                      <c:pt idx="144">
                        <c:v>-769.08161845366681</c:v>
                      </c:pt>
                      <c:pt idx="145">
                        <c:v>-685.18161845366672</c:v>
                      </c:pt>
                      <c:pt idx="146">
                        <c:v>-709.48161845366667</c:v>
                      </c:pt>
                      <c:pt idx="147">
                        <c:v>-763.63161845366676</c:v>
                      </c:pt>
                      <c:pt idx="148">
                        <c:v>-763.63161845366676</c:v>
                      </c:pt>
                      <c:pt idx="149">
                        <c:v>-763.63161845366676</c:v>
                      </c:pt>
                      <c:pt idx="150">
                        <c:v>-763.63161845366676</c:v>
                      </c:pt>
                      <c:pt idx="151">
                        <c:v>-763.63161845366676</c:v>
                      </c:pt>
                      <c:pt idx="152">
                        <c:v>-639.33161845366681</c:v>
                      </c:pt>
                      <c:pt idx="153">
                        <c:v>-639.33161845366681</c:v>
                      </c:pt>
                      <c:pt idx="154">
                        <c:v>-639.33161845366681</c:v>
                      </c:pt>
                      <c:pt idx="155">
                        <c:v>-639.33161845366681</c:v>
                      </c:pt>
                      <c:pt idx="156">
                        <c:v>-547.97161845366668</c:v>
                      </c:pt>
                      <c:pt idx="157">
                        <c:v>-547.97161845366668</c:v>
                      </c:pt>
                      <c:pt idx="158">
                        <c:v>-547.97161845366668</c:v>
                      </c:pt>
                      <c:pt idx="159">
                        <c:v>-547.97161845366668</c:v>
                      </c:pt>
                      <c:pt idx="160">
                        <c:v>-547.97161845366668</c:v>
                      </c:pt>
                      <c:pt idx="161">
                        <c:v>-547.97161845366668</c:v>
                      </c:pt>
                      <c:pt idx="162">
                        <c:v>-520.05161845366683</c:v>
                      </c:pt>
                      <c:pt idx="163">
                        <c:v>-601.05161845366695</c:v>
                      </c:pt>
                      <c:pt idx="164">
                        <c:v>-601.05161845366695</c:v>
                      </c:pt>
                      <c:pt idx="165">
                        <c:v>-601.05161845366695</c:v>
                      </c:pt>
                      <c:pt idx="166">
                        <c:v>-601.05161845366695</c:v>
                      </c:pt>
                      <c:pt idx="167">
                        <c:v>-601.05161845366695</c:v>
                      </c:pt>
                      <c:pt idx="168">
                        <c:v>-560.1016184536669</c:v>
                      </c:pt>
                      <c:pt idx="169">
                        <c:v>-560.1016184536669</c:v>
                      </c:pt>
                      <c:pt idx="170">
                        <c:v>-570.36161845366701</c:v>
                      </c:pt>
                      <c:pt idx="171">
                        <c:v>-570.36161845366701</c:v>
                      </c:pt>
                      <c:pt idx="172">
                        <c:v>-550.52161845366709</c:v>
                      </c:pt>
                      <c:pt idx="173">
                        <c:v>-550.52161845366709</c:v>
                      </c:pt>
                      <c:pt idx="174">
                        <c:v>-469.5216184536672</c:v>
                      </c:pt>
                      <c:pt idx="175">
                        <c:v>-469.5216184536672</c:v>
                      </c:pt>
                      <c:pt idx="176">
                        <c:v>-458.74161845366723</c:v>
                      </c:pt>
                      <c:pt idx="177">
                        <c:v>-458.74161845366723</c:v>
                      </c:pt>
                      <c:pt idx="178">
                        <c:v>-472.52161845366743</c:v>
                      </c:pt>
                      <c:pt idx="179">
                        <c:v>-378.83161845366737</c:v>
                      </c:pt>
                      <c:pt idx="180">
                        <c:v>-378.83161845366737</c:v>
                      </c:pt>
                      <c:pt idx="181">
                        <c:v>-378.83161845366737</c:v>
                      </c:pt>
                      <c:pt idx="182">
                        <c:v>-378.83161845366737</c:v>
                      </c:pt>
                      <c:pt idx="183">
                        <c:v>-378.83161845366737</c:v>
                      </c:pt>
                      <c:pt idx="184">
                        <c:v>-399.47161845366725</c:v>
                      </c:pt>
                      <c:pt idx="185">
                        <c:v>-378.47161845366702</c:v>
                      </c:pt>
                      <c:pt idx="186">
                        <c:v>-386.97161845366702</c:v>
                      </c:pt>
                      <c:pt idx="187">
                        <c:v>-386.97161845366702</c:v>
                      </c:pt>
                      <c:pt idx="188">
                        <c:v>-280.97161845366702</c:v>
                      </c:pt>
                      <c:pt idx="189">
                        <c:v>-286.97161845366679</c:v>
                      </c:pt>
                      <c:pt idx="190">
                        <c:v>-286.97161845366679</c:v>
                      </c:pt>
                      <c:pt idx="191">
                        <c:v>-302.37161845366688</c:v>
                      </c:pt>
                      <c:pt idx="192">
                        <c:v>-302.37161845366688</c:v>
                      </c:pt>
                      <c:pt idx="193">
                        <c:v>-101.3516184536669</c:v>
                      </c:pt>
                      <c:pt idx="194">
                        <c:v>-110.31161845366694</c:v>
                      </c:pt>
                      <c:pt idx="195">
                        <c:v>-110.31161845366694</c:v>
                      </c:pt>
                      <c:pt idx="196">
                        <c:v>-110.31161845366694</c:v>
                      </c:pt>
                      <c:pt idx="197">
                        <c:v>-70.011618453666983</c:v>
                      </c:pt>
                      <c:pt idx="198">
                        <c:v>-68.661618453667074</c:v>
                      </c:pt>
                      <c:pt idx="199">
                        <c:v>-72.941618453667274</c:v>
                      </c:pt>
                      <c:pt idx="200">
                        <c:v>-72.941618453667274</c:v>
                      </c:pt>
                      <c:pt idx="201">
                        <c:v>-26.381618453667329</c:v>
                      </c:pt>
                      <c:pt idx="202">
                        <c:v>-26.381618453667329</c:v>
                      </c:pt>
                      <c:pt idx="203">
                        <c:v>-26.381618453667329</c:v>
                      </c:pt>
                      <c:pt idx="204">
                        <c:v>-26.381618453667329</c:v>
                      </c:pt>
                      <c:pt idx="205">
                        <c:v>-26.381618453667329</c:v>
                      </c:pt>
                      <c:pt idx="206">
                        <c:v>-26.381618453667329</c:v>
                      </c:pt>
                      <c:pt idx="207">
                        <c:v>-28.36161845366712</c:v>
                      </c:pt>
                      <c:pt idx="208">
                        <c:v>-28.36161845366712</c:v>
                      </c:pt>
                      <c:pt idx="209">
                        <c:v>-6.9616184536670289</c:v>
                      </c:pt>
                      <c:pt idx="210">
                        <c:v>-6.9616184536670289</c:v>
                      </c:pt>
                      <c:pt idx="211">
                        <c:v>-6.9616184536670289</c:v>
                      </c:pt>
                      <c:pt idx="212">
                        <c:v>-6.9616184536670289</c:v>
                      </c:pt>
                      <c:pt idx="213">
                        <c:v>36.368381546332898</c:v>
                      </c:pt>
                      <c:pt idx="214">
                        <c:v>38.368381546332898</c:v>
                      </c:pt>
                      <c:pt idx="215">
                        <c:v>-92.311618453666938</c:v>
                      </c:pt>
                      <c:pt idx="216">
                        <c:v>-92.311618453666938</c:v>
                      </c:pt>
                      <c:pt idx="217">
                        <c:v>-92.311618453666938</c:v>
                      </c:pt>
                      <c:pt idx="218">
                        <c:v>-74.811618453666938</c:v>
                      </c:pt>
                      <c:pt idx="219">
                        <c:v>-74.811618453666938</c:v>
                      </c:pt>
                      <c:pt idx="220">
                        <c:v>-5.5116184536669834</c:v>
                      </c:pt>
                      <c:pt idx="221">
                        <c:v>-5.5116184536669834</c:v>
                      </c:pt>
                      <c:pt idx="222">
                        <c:v>54.408381546332862</c:v>
                      </c:pt>
                      <c:pt idx="223">
                        <c:v>54.408381546332862</c:v>
                      </c:pt>
                      <c:pt idx="224">
                        <c:v>54.408381546332862</c:v>
                      </c:pt>
                      <c:pt idx="225">
                        <c:v>24.88838154633288</c:v>
                      </c:pt>
                      <c:pt idx="226">
                        <c:v>24.88838154633288</c:v>
                      </c:pt>
                      <c:pt idx="227">
                        <c:v>44.248381546333007</c:v>
                      </c:pt>
                      <c:pt idx="228">
                        <c:v>44.248381546333007</c:v>
                      </c:pt>
                      <c:pt idx="229">
                        <c:v>44.248381546333007</c:v>
                      </c:pt>
                      <c:pt idx="230">
                        <c:v>63.898381546332871</c:v>
                      </c:pt>
                      <c:pt idx="231">
                        <c:v>63.898381546332871</c:v>
                      </c:pt>
                      <c:pt idx="232">
                        <c:v>63.898381546332871</c:v>
                      </c:pt>
                      <c:pt idx="233">
                        <c:v>63.898381546332871</c:v>
                      </c:pt>
                      <c:pt idx="234">
                        <c:v>126.29838154633296</c:v>
                      </c:pt>
                      <c:pt idx="235">
                        <c:v>82.868381546332898</c:v>
                      </c:pt>
                      <c:pt idx="236">
                        <c:v>168.66838154633285</c:v>
                      </c:pt>
                      <c:pt idx="237">
                        <c:v>168.66838154633285</c:v>
                      </c:pt>
                      <c:pt idx="238">
                        <c:v>168.66838154633285</c:v>
                      </c:pt>
                      <c:pt idx="239">
                        <c:v>168.66838154633285</c:v>
                      </c:pt>
                      <c:pt idx="240">
                        <c:v>168.66838154633285</c:v>
                      </c:pt>
                      <c:pt idx="241">
                        <c:v>347.91838154633274</c:v>
                      </c:pt>
                      <c:pt idx="242">
                        <c:v>347.91838154633274</c:v>
                      </c:pt>
                      <c:pt idx="243">
                        <c:v>336.66838154633274</c:v>
                      </c:pt>
                      <c:pt idx="244">
                        <c:v>336.66838154633274</c:v>
                      </c:pt>
                      <c:pt idx="245">
                        <c:v>342.51838154633288</c:v>
                      </c:pt>
                      <c:pt idx="246">
                        <c:v>338.21838154633292</c:v>
                      </c:pt>
                      <c:pt idx="247">
                        <c:v>315.81838154633283</c:v>
                      </c:pt>
                      <c:pt idx="248">
                        <c:v>280.51838154633288</c:v>
                      </c:pt>
                      <c:pt idx="249">
                        <c:v>201.31838154633283</c:v>
                      </c:pt>
                      <c:pt idx="250">
                        <c:v>344.11838154633278</c:v>
                      </c:pt>
                      <c:pt idx="251">
                        <c:v>344.11838154633278</c:v>
                      </c:pt>
                      <c:pt idx="252">
                        <c:v>344.11838154633278</c:v>
                      </c:pt>
                      <c:pt idx="253">
                        <c:v>438.61838154633278</c:v>
                      </c:pt>
                      <c:pt idx="254">
                        <c:v>415.57838154633259</c:v>
                      </c:pt>
                      <c:pt idx="255">
                        <c:v>442.29838154633239</c:v>
                      </c:pt>
                      <c:pt idx="256">
                        <c:v>442.29838154633239</c:v>
                      </c:pt>
                      <c:pt idx="257">
                        <c:v>442.29838154633239</c:v>
                      </c:pt>
                      <c:pt idx="258">
                        <c:v>442.29838154633239</c:v>
                      </c:pt>
                      <c:pt idx="259">
                        <c:v>356.69838154633248</c:v>
                      </c:pt>
                      <c:pt idx="260">
                        <c:v>338.87838154633255</c:v>
                      </c:pt>
                      <c:pt idx="261">
                        <c:v>319.19838154633248</c:v>
                      </c:pt>
                      <c:pt idx="262">
                        <c:v>361.89838154633276</c:v>
                      </c:pt>
                      <c:pt idx="263">
                        <c:v>361.89838154633276</c:v>
                      </c:pt>
                      <c:pt idx="264">
                        <c:v>365.63838154633277</c:v>
                      </c:pt>
                      <c:pt idx="265">
                        <c:v>311.15838154633275</c:v>
                      </c:pt>
                      <c:pt idx="266">
                        <c:v>311.15838154633275</c:v>
                      </c:pt>
                      <c:pt idx="267">
                        <c:v>310.73838154633268</c:v>
                      </c:pt>
                      <c:pt idx="268">
                        <c:v>300.97838154633268</c:v>
                      </c:pt>
                      <c:pt idx="269">
                        <c:v>365.41838154633274</c:v>
                      </c:pt>
                      <c:pt idx="270">
                        <c:v>393.49838154633267</c:v>
                      </c:pt>
                      <c:pt idx="271">
                        <c:v>450.82838154633259</c:v>
                      </c:pt>
                      <c:pt idx="272">
                        <c:v>447.22838154633268</c:v>
                      </c:pt>
                      <c:pt idx="273">
                        <c:v>447.22838154633268</c:v>
                      </c:pt>
                      <c:pt idx="274">
                        <c:v>421.97838154633268</c:v>
                      </c:pt>
                      <c:pt idx="275">
                        <c:v>506.12838154633255</c:v>
                      </c:pt>
                      <c:pt idx="276">
                        <c:v>485.24838154633267</c:v>
                      </c:pt>
                      <c:pt idx="277">
                        <c:v>485.24838154633267</c:v>
                      </c:pt>
                      <c:pt idx="278">
                        <c:v>560.64838154633253</c:v>
                      </c:pt>
                      <c:pt idx="279">
                        <c:v>580.64838154633253</c:v>
                      </c:pt>
                      <c:pt idx="280">
                        <c:v>580.64838154633253</c:v>
                      </c:pt>
                      <c:pt idx="281">
                        <c:v>580.64838154633253</c:v>
                      </c:pt>
                      <c:pt idx="282">
                        <c:v>582.84838154633258</c:v>
                      </c:pt>
                      <c:pt idx="283">
                        <c:v>512.14838154633276</c:v>
                      </c:pt>
                      <c:pt idx="284">
                        <c:v>512.14838154633276</c:v>
                      </c:pt>
                      <c:pt idx="285">
                        <c:v>416.74838154633267</c:v>
                      </c:pt>
                      <c:pt idx="286">
                        <c:v>416.74838154633267</c:v>
                      </c:pt>
                      <c:pt idx="287">
                        <c:v>335.61838154633256</c:v>
                      </c:pt>
                      <c:pt idx="288">
                        <c:v>335.61838154633256</c:v>
                      </c:pt>
                      <c:pt idx="289">
                        <c:v>369.51838154633242</c:v>
                      </c:pt>
                      <c:pt idx="290">
                        <c:v>369.51838154633242</c:v>
                      </c:pt>
                      <c:pt idx="291">
                        <c:v>444.51838154633242</c:v>
                      </c:pt>
                      <c:pt idx="292">
                        <c:v>418.76838154633242</c:v>
                      </c:pt>
                      <c:pt idx="293">
                        <c:v>418.76838154633242</c:v>
                      </c:pt>
                      <c:pt idx="294">
                        <c:v>289.80838154633238</c:v>
                      </c:pt>
                      <c:pt idx="295">
                        <c:v>289.80838154633238</c:v>
                      </c:pt>
                      <c:pt idx="296">
                        <c:v>261.31838154633238</c:v>
                      </c:pt>
                      <c:pt idx="297">
                        <c:v>261.31838154633238</c:v>
                      </c:pt>
                      <c:pt idx="298">
                        <c:v>210.11838154633233</c:v>
                      </c:pt>
                      <c:pt idx="299">
                        <c:v>210.11838154633233</c:v>
                      </c:pt>
                      <c:pt idx="300">
                        <c:v>210.11838154633233</c:v>
                      </c:pt>
                      <c:pt idx="301">
                        <c:v>210.11838154633233</c:v>
                      </c:pt>
                      <c:pt idx="302">
                        <c:v>202.73838154633222</c:v>
                      </c:pt>
                      <c:pt idx="303">
                        <c:v>202.73838154633222</c:v>
                      </c:pt>
                      <c:pt idx="304">
                        <c:v>202.73838154633222</c:v>
                      </c:pt>
                      <c:pt idx="305">
                        <c:v>202.73838154633222</c:v>
                      </c:pt>
                      <c:pt idx="306">
                        <c:v>202.73838154633222</c:v>
                      </c:pt>
                      <c:pt idx="307">
                        <c:v>202.73838154633222</c:v>
                      </c:pt>
                      <c:pt idx="308">
                        <c:v>225.07719317717942</c:v>
                      </c:pt>
                      <c:pt idx="309">
                        <c:v>225.07719317717942</c:v>
                      </c:pt>
                      <c:pt idx="310">
                        <c:v>341.47719317717952</c:v>
                      </c:pt>
                      <c:pt idx="311">
                        <c:v>395.65719317717958</c:v>
                      </c:pt>
                      <c:pt idx="312">
                        <c:v>379.00719317717949</c:v>
                      </c:pt>
                      <c:pt idx="313">
                        <c:v>379.00719317717949</c:v>
                      </c:pt>
                      <c:pt idx="314">
                        <c:v>325.10719317717951</c:v>
                      </c:pt>
                      <c:pt idx="315">
                        <c:v>268.85719317717951</c:v>
                      </c:pt>
                      <c:pt idx="316">
                        <c:v>268.85719317717951</c:v>
                      </c:pt>
                      <c:pt idx="317">
                        <c:v>268.85719317717951</c:v>
                      </c:pt>
                      <c:pt idx="318">
                        <c:v>268.85719317717951</c:v>
                      </c:pt>
                      <c:pt idx="319">
                        <c:v>268.85719317717951</c:v>
                      </c:pt>
                      <c:pt idx="320">
                        <c:v>397.51719317717937</c:v>
                      </c:pt>
                      <c:pt idx="321">
                        <c:v>397.51719317717937</c:v>
                      </c:pt>
                      <c:pt idx="322">
                        <c:v>397.51719317717937</c:v>
                      </c:pt>
                      <c:pt idx="323">
                        <c:v>397.51719317717937</c:v>
                      </c:pt>
                      <c:pt idx="324">
                        <c:v>248.95719317717942</c:v>
                      </c:pt>
                      <c:pt idx="325">
                        <c:v>248.95719317717942</c:v>
                      </c:pt>
                      <c:pt idx="326">
                        <c:v>113.20719317717942</c:v>
                      </c:pt>
                      <c:pt idx="327">
                        <c:v>113.20719317717942</c:v>
                      </c:pt>
                      <c:pt idx="328">
                        <c:v>113.20719317717942</c:v>
                      </c:pt>
                      <c:pt idx="329">
                        <c:v>113.20719317717942</c:v>
                      </c:pt>
                      <c:pt idx="330">
                        <c:v>274.15719317717947</c:v>
                      </c:pt>
                      <c:pt idx="331">
                        <c:v>274.15719317717947</c:v>
                      </c:pt>
                      <c:pt idx="332">
                        <c:v>274.15719317717947</c:v>
                      </c:pt>
                      <c:pt idx="333">
                        <c:v>274.15719317717947</c:v>
                      </c:pt>
                      <c:pt idx="334">
                        <c:v>274.15719317717947</c:v>
                      </c:pt>
                      <c:pt idx="335">
                        <c:v>274.15719317717947</c:v>
                      </c:pt>
                      <c:pt idx="336">
                        <c:v>274.15719317717947</c:v>
                      </c:pt>
                      <c:pt idx="337">
                        <c:v>315.55719317717956</c:v>
                      </c:pt>
                      <c:pt idx="338">
                        <c:v>315.55719317717956</c:v>
                      </c:pt>
                      <c:pt idx="339">
                        <c:v>315.55719317717956</c:v>
                      </c:pt>
                      <c:pt idx="340">
                        <c:v>315.55719317717956</c:v>
                      </c:pt>
                      <c:pt idx="341">
                        <c:v>315.55719317717956</c:v>
                      </c:pt>
                      <c:pt idx="342">
                        <c:v>298.75719317717983</c:v>
                      </c:pt>
                      <c:pt idx="343">
                        <c:v>298.75719317717983</c:v>
                      </c:pt>
                      <c:pt idx="344">
                        <c:v>298.75719317717983</c:v>
                      </c:pt>
                      <c:pt idx="345">
                        <c:v>298.75719317717983</c:v>
                      </c:pt>
                      <c:pt idx="346">
                        <c:v>305.25719317717983</c:v>
                      </c:pt>
                      <c:pt idx="347">
                        <c:v>305.25719317717983</c:v>
                      </c:pt>
                      <c:pt idx="348">
                        <c:v>328.5371931771798</c:v>
                      </c:pt>
                      <c:pt idx="349">
                        <c:v>328.5371931771798</c:v>
                      </c:pt>
                      <c:pt idx="350">
                        <c:v>400.07719317717977</c:v>
                      </c:pt>
                      <c:pt idx="351">
                        <c:v>400.07719317717977</c:v>
                      </c:pt>
                      <c:pt idx="352">
                        <c:v>400.07719317717977</c:v>
                      </c:pt>
                      <c:pt idx="353">
                        <c:v>400.07719317717977</c:v>
                      </c:pt>
                      <c:pt idx="354">
                        <c:v>400.07719317717977</c:v>
                      </c:pt>
                      <c:pt idx="355">
                        <c:v>400.07719317717977</c:v>
                      </c:pt>
                      <c:pt idx="356">
                        <c:v>400.07719317717977</c:v>
                      </c:pt>
                      <c:pt idx="357">
                        <c:v>675.51719317717982</c:v>
                      </c:pt>
                      <c:pt idx="358">
                        <c:v>675.51719317717982</c:v>
                      </c:pt>
                      <c:pt idx="359">
                        <c:v>675.51719317717982</c:v>
                      </c:pt>
                      <c:pt idx="360">
                        <c:v>675.51719317717982</c:v>
                      </c:pt>
                      <c:pt idx="361">
                        <c:v>675.51719317717982</c:v>
                      </c:pt>
                      <c:pt idx="362">
                        <c:v>675.51719317717982</c:v>
                      </c:pt>
                      <c:pt idx="363">
                        <c:v>675.51719317717982</c:v>
                      </c:pt>
                      <c:pt idx="364">
                        <c:v>675.51719317717982</c:v>
                      </c:pt>
                      <c:pt idx="365">
                        <c:v>680.23719317717962</c:v>
                      </c:pt>
                      <c:pt idx="366">
                        <c:v>465.15719317717969</c:v>
                      </c:pt>
                      <c:pt idx="367">
                        <c:v>441.95719317717965</c:v>
                      </c:pt>
                      <c:pt idx="368">
                        <c:v>441.95719317717965</c:v>
                      </c:pt>
                      <c:pt idx="369">
                        <c:v>441.95719317717965</c:v>
                      </c:pt>
                      <c:pt idx="370">
                        <c:v>441.95719317717965</c:v>
                      </c:pt>
                      <c:pt idx="371">
                        <c:v>441.95719317717965</c:v>
                      </c:pt>
                      <c:pt idx="372">
                        <c:v>441.95719317717965</c:v>
                      </c:pt>
                      <c:pt idx="373">
                        <c:v>441.95719317717965</c:v>
                      </c:pt>
                      <c:pt idx="374">
                        <c:v>441.95719317717965</c:v>
                      </c:pt>
                      <c:pt idx="375">
                        <c:v>441.95719317717965</c:v>
                      </c:pt>
                      <c:pt idx="376">
                        <c:v>441.95719317717965</c:v>
                      </c:pt>
                      <c:pt idx="377">
                        <c:v>441.95719317717965</c:v>
                      </c:pt>
                      <c:pt idx="378">
                        <c:v>441.95719317717965</c:v>
                      </c:pt>
                      <c:pt idx="379">
                        <c:v>441.95719317717965</c:v>
                      </c:pt>
                      <c:pt idx="380">
                        <c:v>441.95719317717965</c:v>
                      </c:pt>
                      <c:pt idx="381">
                        <c:v>441.95719317717965</c:v>
                      </c:pt>
                      <c:pt idx="382">
                        <c:v>468.35719317717951</c:v>
                      </c:pt>
                      <c:pt idx="383">
                        <c:v>468.35719317717951</c:v>
                      </c:pt>
                      <c:pt idx="384">
                        <c:v>468.35719317717951</c:v>
                      </c:pt>
                      <c:pt idx="385">
                        <c:v>534.29719317717934</c:v>
                      </c:pt>
                      <c:pt idx="386">
                        <c:v>534.29719317717934</c:v>
                      </c:pt>
                      <c:pt idx="387">
                        <c:v>534.29719317717934</c:v>
                      </c:pt>
                      <c:pt idx="388">
                        <c:v>534.29719317717934</c:v>
                      </c:pt>
                      <c:pt idx="389">
                        <c:v>534.29719317717934</c:v>
                      </c:pt>
                      <c:pt idx="390">
                        <c:v>534.29719317717934</c:v>
                      </c:pt>
                      <c:pt idx="391">
                        <c:v>525.89719317717925</c:v>
                      </c:pt>
                      <c:pt idx="392">
                        <c:v>525.89719317717925</c:v>
                      </c:pt>
                      <c:pt idx="393">
                        <c:v>525.89719317717925</c:v>
                      </c:pt>
                      <c:pt idx="394">
                        <c:v>525.89719317717925</c:v>
                      </c:pt>
                      <c:pt idx="395">
                        <c:v>525.89719317717925</c:v>
                      </c:pt>
                      <c:pt idx="396">
                        <c:v>525.89719317717925</c:v>
                      </c:pt>
                      <c:pt idx="397">
                        <c:v>525.89719317717925</c:v>
                      </c:pt>
                      <c:pt idx="398">
                        <c:v>525.89719317717925</c:v>
                      </c:pt>
                      <c:pt idx="399">
                        <c:v>525.89719317717925</c:v>
                      </c:pt>
                      <c:pt idx="400">
                        <c:v>498.8371931771793</c:v>
                      </c:pt>
                      <c:pt idx="401">
                        <c:v>498.8371931771793</c:v>
                      </c:pt>
                      <c:pt idx="402">
                        <c:v>498.8371931771793</c:v>
                      </c:pt>
                      <c:pt idx="403">
                        <c:v>498.8371931771793</c:v>
                      </c:pt>
                      <c:pt idx="404">
                        <c:v>498.8371931771793</c:v>
                      </c:pt>
                      <c:pt idx="405">
                        <c:v>498.8371931771793</c:v>
                      </c:pt>
                      <c:pt idx="406">
                        <c:v>498.8371931771793</c:v>
                      </c:pt>
                      <c:pt idx="407">
                        <c:v>498.8371931771793</c:v>
                      </c:pt>
                      <c:pt idx="408">
                        <c:v>498.8371931771793</c:v>
                      </c:pt>
                      <c:pt idx="409">
                        <c:v>564.8371931771793</c:v>
                      </c:pt>
                      <c:pt idx="410">
                        <c:v>564.8371931771793</c:v>
                      </c:pt>
                      <c:pt idx="411">
                        <c:v>564.8371931771793</c:v>
                      </c:pt>
                      <c:pt idx="412">
                        <c:v>564.8371931771793</c:v>
                      </c:pt>
                      <c:pt idx="413">
                        <c:v>564.8371931771793</c:v>
                      </c:pt>
                      <c:pt idx="414">
                        <c:v>564.8371931771793</c:v>
                      </c:pt>
                      <c:pt idx="415">
                        <c:v>633.0871931771793</c:v>
                      </c:pt>
                      <c:pt idx="416">
                        <c:v>633.0871931771793</c:v>
                      </c:pt>
                      <c:pt idx="417">
                        <c:v>562.34719317717952</c:v>
                      </c:pt>
                      <c:pt idx="418">
                        <c:v>562.34719317717952</c:v>
                      </c:pt>
                    </c:numCache>
                  </c:numRef>
                </c:val>
                <c:smooth val="0"/>
                <c:extLst xmlns:c15="http://schemas.microsoft.com/office/drawing/2012/chart">
                  <c:ext xmlns:c16="http://schemas.microsoft.com/office/drawing/2014/chart" uri="{C3380CC4-5D6E-409C-BE32-E72D297353CC}">
                    <c16:uniqueId val="{00000002-E40B-4614-BAB7-0785497FEB68}"/>
                  </c:ext>
                </c:extLst>
              </c15:ser>
            </c15:filteredLineSeries>
            <c15:filteredLineSeries>
              <c15:ser>
                <c:idx val="2"/>
                <c:order val="6"/>
                <c:tx>
                  <c:v>SW</c:v>
                </c:tx>
                <c:spPr>
                  <a:ln w="28575" cap="rnd">
                    <a:solidFill>
                      <a:srgbClr val="0070C0"/>
                    </a:solidFill>
                    <a:prstDash val="solid"/>
                    <a:round/>
                  </a:ln>
                  <a:effectLst/>
                </c:spPr>
                <c:marker>
                  <c:symbol val="none"/>
                </c:marker>
                <c:val>
                  <c:numRef>
                    <c:extLst xmlns:c15="http://schemas.microsoft.com/office/drawing/2012/chart">
                      <c:ext xmlns:c15="http://schemas.microsoft.com/office/drawing/2012/chart" uri="{02D57815-91ED-43cb-92C2-25804820EDAC}">
                        <c15:formulaRef>
                          <c15:sqref>'2025-Q2'!$CB$4:$CB$422</c15:sqref>
                        </c15:formulaRef>
                      </c:ext>
                    </c:extLst>
                    <c:numCache>
                      <c:formatCode>"$"#,##0</c:formatCode>
                      <c:ptCount val="419"/>
                      <c:pt idx="0">
                        <c:v>0</c:v>
                      </c:pt>
                      <c:pt idx="1">
                        <c:v>0</c:v>
                      </c:pt>
                      <c:pt idx="2">
                        <c:v>-4.0000000000002274</c:v>
                      </c:pt>
                      <c:pt idx="3">
                        <c:v>-30.690000000000055</c:v>
                      </c:pt>
                      <c:pt idx="4">
                        <c:v>-41.300000000000068</c:v>
                      </c:pt>
                      <c:pt idx="5">
                        <c:v>-83.300000000000068</c:v>
                      </c:pt>
                      <c:pt idx="6">
                        <c:v>-120.19999999999993</c:v>
                      </c:pt>
                      <c:pt idx="7">
                        <c:v>-128.9000000000002</c:v>
                      </c:pt>
                      <c:pt idx="8">
                        <c:v>-97.7800000000002</c:v>
                      </c:pt>
                      <c:pt idx="9">
                        <c:v>-97.7800000000002</c:v>
                      </c:pt>
                      <c:pt idx="10">
                        <c:v>-80.320000000000164</c:v>
                      </c:pt>
                      <c:pt idx="11">
                        <c:v>-46.4200000000003</c:v>
                      </c:pt>
                      <c:pt idx="12">
                        <c:v>-46.4200000000003</c:v>
                      </c:pt>
                      <c:pt idx="13">
                        <c:v>-37.040000000000418</c:v>
                      </c:pt>
                      <c:pt idx="14">
                        <c:v>-37.040000000000418</c:v>
                      </c:pt>
                      <c:pt idx="15">
                        <c:v>10.389999999999645</c:v>
                      </c:pt>
                      <c:pt idx="16" formatCode="&quot;$&quot;#,##0_);[Red]\(&quot;$&quot;#,##0\)">
                        <c:v>10.389999999999645</c:v>
                      </c:pt>
                      <c:pt idx="17">
                        <c:v>10.389999999999645</c:v>
                      </c:pt>
                      <c:pt idx="18">
                        <c:v>6.7899999999995089</c:v>
                      </c:pt>
                      <c:pt idx="19">
                        <c:v>38.064999999999372</c:v>
                      </c:pt>
                      <c:pt idx="20">
                        <c:v>66.301401506047569</c:v>
                      </c:pt>
                      <c:pt idx="21" formatCode="&quot;$&quot;#,##0_);[Red]\(&quot;$&quot;#,##0\)">
                        <c:v>86.58498413615871</c:v>
                      </c:pt>
                      <c:pt idx="22">
                        <c:v>86.58498413615871</c:v>
                      </c:pt>
                      <c:pt idx="23">
                        <c:v>78.904093598125201</c:v>
                      </c:pt>
                      <c:pt idx="24">
                        <c:v>21.084093598125264</c:v>
                      </c:pt>
                      <c:pt idx="25">
                        <c:v>-185.09590640187469</c:v>
                      </c:pt>
                      <c:pt idx="26">
                        <c:v>-185.09590640187469</c:v>
                      </c:pt>
                      <c:pt idx="27">
                        <c:v>-185.09590640187469</c:v>
                      </c:pt>
                      <c:pt idx="28">
                        <c:v>-185.09590640187469</c:v>
                      </c:pt>
                      <c:pt idx="29">
                        <c:v>-155.62090640187455</c:v>
                      </c:pt>
                      <c:pt idx="30">
                        <c:v>-155.62090640187455</c:v>
                      </c:pt>
                      <c:pt idx="31">
                        <c:v>-155.62090640187455</c:v>
                      </c:pt>
                      <c:pt idx="32">
                        <c:v>-155.62090640187455</c:v>
                      </c:pt>
                      <c:pt idx="33">
                        <c:v>-155.47090640187446</c:v>
                      </c:pt>
                      <c:pt idx="34" formatCode="&quot;$&quot;#,##0_);[Red]\(&quot;$&quot;#,##0\)">
                        <c:v>-218.22090640187423</c:v>
                      </c:pt>
                      <c:pt idx="35" formatCode="&quot;$&quot;#,##0_);[Red]\(&quot;$&quot;#,##0\)">
                        <c:v>-267.30090640187427</c:v>
                      </c:pt>
                      <c:pt idx="36" formatCode="&quot;$&quot;#,##0_);[Red]\(&quot;$&quot;#,##0\)">
                        <c:v>-267.30090640187427</c:v>
                      </c:pt>
                      <c:pt idx="37" formatCode="&quot;$&quot;#,##0_);[Red]\(&quot;$&quot;#,##0\)">
                        <c:v>-253.65090640187418</c:v>
                      </c:pt>
                      <c:pt idx="38">
                        <c:v>-242.28090640187418</c:v>
                      </c:pt>
                      <c:pt idx="39">
                        <c:v>-242.28090640187418</c:v>
                      </c:pt>
                      <c:pt idx="40" formatCode="&quot;$&quot;#,##0_);[Red]\(&quot;$&quot;#,##0\)">
                        <c:v>-242.28090640187418</c:v>
                      </c:pt>
                      <c:pt idx="41" formatCode="&quot;$&quot;#,##0_);[Red]\(&quot;$&quot;#,##0\)">
                        <c:v>-242.28090640187418</c:v>
                      </c:pt>
                      <c:pt idx="42">
                        <c:v>-242.28090640187418</c:v>
                      </c:pt>
                      <c:pt idx="43">
                        <c:v>-185.23090640187422</c:v>
                      </c:pt>
                      <c:pt idx="44">
                        <c:v>-208.73090640187422</c:v>
                      </c:pt>
                      <c:pt idx="45">
                        <c:v>-209.57090640187414</c:v>
                      </c:pt>
                      <c:pt idx="46" formatCode="&quot;$&quot;#,##0_);[Red]\(&quot;$&quot;#,##0\)">
                        <c:v>-209.57090640187414</c:v>
                      </c:pt>
                      <c:pt idx="47" formatCode="&quot;$&quot;#,##0_);[Red]\(&quot;$&quot;#,##0\)">
                        <c:v>-209.57090640187414</c:v>
                      </c:pt>
                      <c:pt idx="48" formatCode="&quot;$&quot;#,##0_);[Red]\(&quot;$&quot;#,##0\)">
                        <c:v>-209.57090640187414</c:v>
                      </c:pt>
                      <c:pt idx="49">
                        <c:v>-316.78392019825867</c:v>
                      </c:pt>
                      <c:pt idx="50">
                        <c:v>-375.00497609887941</c:v>
                      </c:pt>
                      <c:pt idx="51">
                        <c:v>-310.2499760988793</c:v>
                      </c:pt>
                      <c:pt idx="52" formatCode="&quot;$&quot;#,##0_);[Red]\(&quot;$&quot;#,##0\)">
                        <c:v>-310.2499760988793</c:v>
                      </c:pt>
                      <c:pt idx="53">
                        <c:v>-285.95997609887934</c:v>
                      </c:pt>
                      <c:pt idx="54">
                        <c:v>-243.43997609887936</c:v>
                      </c:pt>
                      <c:pt idx="55" formatCode="&quot;$&quot;#,##0_);[Red]\(&quot;$&quot;#,##0\)">
                        <c:v>-243.43997609887936</c:v>
                      </c:pt>
                      <c:pt idx="56" formatCode="&quot;$&quot;#,##0_);[Red]\(&quot;$&quot;#,##0\)">
                        <c:v>-274.6399760988794</c:v>
                      </c:pt>
                      <c:pt idx="57" formatCode="&quot;$&quot;#,##0_);[Red]\(&quot;$&quot;#,##0\)">
                        <c:v>-274.6399760988794</c:v>
                      </c:pt>
                      <c:pt idx="58">
                        <c:v>-240.6399760988794</c:v>
                      </c:pt>
                      <c:pt idx="59" formatCode="&quot;$&quot;#,##0_);[Red]\(&quot;$&quot;#,##0\)">
                        <c:v>-189.96997609887933</c:v>
                      </c:pt>
                      <c:pt idx="60" formatCode="&quot;$&quot;#,##0_);[Red]\(&quot;$&quot;#,##0\)">
                        <c:v>-168.06997609887924</c:v>
                      </c:pt>
                      <c:pt idx="61">
                        <c:v>-84.159976098879156</c:v>
                      </c:pt>
                      <c:pt idx="62">
                        <c:v>39.080023901120853</c:v>
                      </c:pt>
                      <c:pt idx="63">
                        <c:v>84.260023901120803</c:v>
                      </c:pt>
                      <c:pt idx="64">
                        <c:v>71.51002390112069</c:v>
                      </c:pt>
                      <c:pt idx="65">
                        <c:v>128.91002390112067</c:v>
                      </c:pt>
                      <c:pt idx="66" formatCode="&quot;$&quot;#,##0_);[Red]\(&quot;$&quot;#,##0\)">
                        <c:v>128.91002390112067</c:v>
                      </c:pt>
                      <c:pt idx="67" formatCode="&quot;$&quot;#,##0_);[Red]\(&quot;$&quot;#,##0\)">
                        <c:v>128.91002390112067</c:v>
                      </c:pt>
                      <c:pt idx="68" formatCode="&quot;$&quot;#,##0_);[Red]\(&quot;$&quot;#,##0\)">
                        <c:v>128.91002390112067</c:v>
                      </c:pt>
                      <c:pt idx="69" formatCode="&quot;$&quot;#,##0_);[Red]\(&quot;$&quot;#,##0\)">
                        <c:v>128.91002390112067</c:v>
                      </c:pt>
                      <c:pt idx="70" formatCode="&quot;$&quot;#,##0_);[Red]\(&quot;$&quot;#,##0\)">
                        <c:v>128.91002390112067</c:v>
                      </c:pt>
                      <c:pt idx="71" formatCode="&quot;$&quot;#,##0_);[Red]\(&quot;$&quot;#,##0\)">
                        <c:v>128.91002390112067</c:v>
                      </c:pt>
                      <c:pt idx="72" formatCode="&quot;$&quot;#,##0_);[Red]\(&quot;$&quot;#,##0\)">
                        <c:v>176.35002390112072</c:v>
                      </c:pt>
                      <c:pt idx="73" formatCode="&quot;$&quot;#,##0_);[Red]\(&quot;$&quot;#,##0\)">
                        <c:v>166.84002390112062</c:v>
                      </c:pt>
                      <c:pt idx="74" formatCode="&quot;$&quot;#,##0_);[Red]\(&quot;$&quot;#,##0\)">
                        <c:v>206.44002390112064</c:v>
                      </c:pt>
                      <c:pt idx="75" formatCode="&quot;$&quot;#,##0_);[Red]\(&quot;$&quot;#,##0\)">
                        <c:v>182.3600239011206</c:v>
                      </c:pt>
                      <c:pt idx="76">
                        <c:v>244.76002390112058</c:v>
                      </c:pt>
                      <c:pt idx="77">
                        <c:v>229.51002390112046</c:v>
                      </c:pt>
                      <c:pt idx="78" formatCode="&quot;$&quot;#,##0_);[Red]\(&quot;$&quot;#,##0\)">
                        <c:v>172.29002390112055</c:v>
                      </c:pt>
                      <c:pt idx="79" formatCode="&quot;$&quot;#,##0_);[Red]\(&quot;$&quot;#,##0\)">
                        <c:v>172.29002390112055</c:v>
                      </c:pt>
                      <c:pt idx="80" formatCode="&quot;$&quot;#,##0_);[Red]\(&quot;$&quot;#,##0\)">
                        <c:v>179.77002390112068</c:v>
                      </c:pt>
                      <c:pt idx="81" formatCode="&quot;$&quot;#,##0_);[Red]\(&quot;$&quot;#,##0\)">
                        <c:v>179.77002390112068</c:v>
                      </c:pt>
                      <c:pt idx="82" formatCode="&quot;$&quot;#,##0_);[Red]\(&quot;$&quot;#,##0\)">
                        <c:v>179.77002390112068</c:v>
                      </c:pt>
                      <c:pt idx="83" formatCode="&quot;$&quot;#,##0_);[Red]\(&quot;$&quot;#,##0\)">
                        <c:v>153.67002390112066</c:v>
                      </c:pt>
                      <c:pt idx="84" formatCode="&quot;$&quot;#,##0_);[Red]\(&quot;$&quot;#,##0\)">
                        <c:v>57.430023901120649</c:v>
                      </c:pt>
                      <c:pt idx="85">
                        <c:v>57.430023901120649</c:v>
                      </c:pt>
                      <c:pt idx="86">
                        <c:v>31.280023901120671</c:v>
                      </c:pt>
                      <c:pt idx="87">
                        <c:v>31.280023901120671</c:v>
                      </c:pt>
                      <c:pt idx="88">
                        <c:v>31.280023901120671</c:v>
                      </c:pt>
                      <c:pt idx="89" formatCode="&quot;$&quot;#,##0_);[Red]\(&quot;$&quot;#,##0\)">
                        <c:v>14.480023901120603</c:v>
                      </c:pt>
                      <c:pt idx="90" formatCode="&quot;$&quot;#,##0_);[Red]\(&quot;$&quot;#,##0\)">
                        <c:v>14.480023901120603</c:v>
                      </c:pt>
                      <c:pt idx="91" formatCode="&quot;$&quot;#,##0_);[Red]\(&quot;$&quot;#,##0\)">
                        <c:v>14.480023901120603</c:v>
                      </c:pt>
                      <c:pt idx="92" formatCode="&quot;$&quot;#,##0_);[Red]\(&quot;$&quot;#,##0\)">
                        <c:v>14.480023901120603</c:v>
                      </c:pt>
                      <c:pt idx="93" formatCode="&quot;$&quot;#,##0_);[Red]\(&quot;$&quot;#,##0\)">
                        <c:v>-29.268743600358448</c:v>
                      </c:pt>
                      <c:pt idx="94" formatCode="&quot;$&quot;#,##0_);[Red]\(&quot;$&quot;#,##0\)">
                        <c:v>-61.118743600358471</c:v>
                      </c:pt>
                      <c:pt idx="95" formatCode="&quot;$&quot;#,##0_);[Red]\(&quot;$&quot;#,##0\)">
                        <c:v>-61.118743600358471</c:v>
                      </c:pt>
                      <c:pt idx="96" formatCode="&quot;$&quot;#,##0_);[Red]\(&quot;$&quot;#,##0\)">
                        <c:v>-61.118743600358471</c:v>
                      </c:pt>
                      <c:pt idx="97" formatCode="&quot;$&quot;#,##0_);[Red]\(&quot;$&quot;#,##0\)">
                        <c:v>-61.118743600358471</c:v>
                      </c:pt>
                      <c:pt idx="98" formatCode="&quot;$&quot;#,##0_);[Red]\(&quot;$&quot;#,##0\)">
                        <c:v>-61.118743600358471</c:v>
                      </c:pt>
                      <c:pt idx="99" formatCode="&quot;$&quot;#,##0_);[Red]\(&quot;$&quot;#,##0\)">
                        <c:v>-93.718743600358493</c:v>
                      </c:pt>
                      <c:pt idx="100" formatCode="&quot;$&quot;#,##0_);[Red]\(&quot;$&quot;#,##0\)">
                        <c:v>-93.718743600358493</c:v>
                      </c:pt>
                      <c:pt idx="101" formatCode="&quot;$&quot;#,##0_);[Red]\(&quot;$&quot;#,##0\)">
                        <c:v>-117.96874360035849</c:v>
                      </c:pt>
                      <c:pt idx="102" formatCode="&quot;$&quot;#,##0_);[Red]\(&quot;$&quot;#,##0\)">
                        <c:v>-118.96874360035849</c:v>
                      </c:pt>
                      <c:pt idx="103" formatCode="&quot;$&quot;#,##0_);[Red]\(&quot;$&quot;#,##0\)">
                        <c:v>-118.96874360035849</c:v>
                      </c:pt>
                      <c:pt idx="104" formatCode="&quot;$&quot;#,##0_);[Red]\(&quot;$&quot;#,##0\)">
                        <c:v>-120.40874360035843</c:v>
                      </c:pt>
                      <c:pt idx="105" formatCode="&quot;$&quot;#,##0_);[Red]\(&quot;$&quot;#,##0\)">
                        <c:v>-120.40874360035843</c:v>
                      </c:pt>
                      <c:pt idx="106" formatCode="&quot;$&quot;#,##0_);[Red]\(&quot;$&quot;#,##0\)">
                        <c:v>-120.40874360035843</c:v>
                      </c:pt>
                      <c:pt idx="107" formatCode="&quot;$&quot;#,##0_);[Red]\(&quot;$&quot;#,##0\)">
                        <c:v>-199.60874360035837</c:v>
                      </c:pt>
                      <c:pt idx="108" formatCode="&quot;$&quot;#,##0_);[Red]\(&quot;$&quot;#,##0\)">
                        <c:v>-165.82874360035839</c:v>
                      </c:pt>
                      <c:pt idx="109" formatCode="&quot;$&quot;#,##0_);[Red]\(&quot;$&quot;#,##0\)">
                        <c:v>-228.2887436003582</c:v>
                      </c:pt>
                      <c:pt idx="110">
                        <c:v>-228.2887436003582</c:v>
                      </c:pt>
                      <c:pt idx="111" formatCode="&quot;$&quot;#,##0_);[Red]\(&quot;$&quot;#,##0\)">
                        <c:v>-228.2887436003582</c:v>
                      </c:pt>
                      <c:pt idx="112">
                        <c:v>-201.76874360035822</c:v>
                      </c:pt>
                      <c:pt idx="113" formatCode="&quot;$&quot;#,##0_);[Red]\(&quot;$&quot;#,##0\)">
                        <c:v>-168.08797628872105</c:v>
                      </c:pt>
                      <c:pt idx="114" formatCode="&quot;$&quot;#,##0_);[Red]\(&quot;$&quot;#,##0\)">
                        <c:v>-140.18797628872107</c:v>
                      </c:pt>
                      <c:pt idx="115" formatCode="&quot;$&quot;#,##0_);[Red]\(&quot;$&quot;#,##0\)">
                        <c:v>-67.677976288721084</c:v>
                      </c:pt>
                      <c:pt idx="116" formatCode="&quot;$&quot;#,##0_);[Red]\(&quot;$&quot;#,##0\)">
                        <c:v>-67.677976288721084</c:v>
                      </c:pt>
                      <c:pt idx="117" formatCode="&quot;$&quot;#,##0_);[Red]\(&quot;$&quot;#,##0\)">
                        <c:v>-67.677976288721084</c:v>
                      </c:pt>
                      <c:pt idx="118" formatCode="&quot;$&quot;#,##0_);[Red]\(&quot;$&quot;#,##0\)">
                        <c:v>7.3820237112790892</c:v>
                      </c:pt>
                      <c:pt idx="119" formatCode="&quot;$&quot;#,##0_);[Red]\(&quot;$&quot;#,##0\)">
                        <c:v>-19.677976288720856</c:v>
                      </c:pt>
                      <c:pt idx="120">
                        <c:v>-19.677976288720856</c:v>
                      </c:pt>
                      <c:pt idx="121" formatCode="&quot;$&quot;#,##0_);[Red]\(&quot;$&quot;#,##0\)">
                        <c:v>-19.677976288720856</c:v>
                      </c:pt>
                      <c:pt idx="122">
                        <c:v>-91.677976288720629</c:v>
                      </c:pt>
                      <c:pt idx="123" formatCode="&quot;$&quot;#,##0_);[Red]\(&quot;$&quot;#,##0\)">
                        <c:v>-111.83797628872071</c:v>
                      </c:pt>
                      <c:pt idx="124" formatCode="&quot;$&quot;#,##0_);[Red]\(&quot;$&quot;#,##0\)">
                        <c:v>-111.83797628872071</c:v>
                      </c:pt>
                      <c:pt idx="125" formatCode="&quot;$&quot;#,##0_);[Red]\(&quot;$&quot;#,##0\)">
                        <c:v>-96.237976288720802</c:v>
                      </c:pt>
                      <c:pt idx="126">
                        <c:v>-69.237976288720802</c:v>
                      </c:pt>
                      <c:pt idx="127" formatCode="&quot;$&quot;#,##0_);[Red]\(&quot;$&quot;#,##0\)">
                        <c:v>-69.237976288720802</c:v>
                      </c:pt>
                      <c:pt idx="128" formatCode="&quot;$&quot;#,##0_);[Red]\(&quot;$&quot;#,##0\)">
                        <c:v>-54.237976288720802</c:v>
                      </c:pt>
                      <c:pt idx="129" formatCode="&quot;$&quot;#,##0_);[Red]\(&quot;$&quot;#,##0\)">
                        <c:v>-54.237976288720802</c:v>
                      </c:pt>
                      <c:pt idx="130" formatCode="&quot;$&quot;#,##0_);[Red]\(&quot;$&quot;#,##0\)">
                        <c:v>-85.197976288720724</c:v>
                      </c:pt>
                      <c:pt idx="131" formatCode="&quot;$&quot;#,##0_);[Red]\(&quot;$&quot;#,##0\)">
                        <c:v>-85.197976288720724</c:v>
                      </c:pt>
                      <c:pt idx="132">
                        <c:v>-111.79797628872086</c:v>
                      </c:pt>
                      <c:pt idx="133">
                        <c:v>-111.79797628872086</c:v>
                      </c:pt>
                      <c:pt idx="134">
                        <c:v>-111.79797628872086</c:v>
                      </c:pt>
                      <c:pt idx="135" formatCode="&quot;$&quot;#,##0_);[Red]\(&quot;$&quot;#,##0\)">
                        <c:v>-111.79797628872086</c:v>
                      </c:pt>
                      <c:pt idx="136" formatCode="&quot;$&quot;#,##0_);[Red]\(&quot;$&quot;#,##0\)">
                        <c:v>-111.79797628872086</c:v>
                      </c:pt>
                      <c:pt idx="137" formatCode="&quot;$&quot;#,##0_);[Red]\(&quot;$&quot;#,##0\)">
                        <c:v>-111.79797628872086</c:v>
                      </c:pt>
                      <c:pt idx="138" formatCode="&quot;$&quot;#,##0_);[Red]\(&quot;$&quot;#,##0\)">
                        <c:v>-111.79797628872086</c:v>
                      </c:pt>
                      <c:pt idx="139" formatCode="&quot;$&quot;#,##0_);[Red]\(&quot;$&quot;#,##0\)">
                        <c:v>-111.79797628872086</c:v>
                      </c:pt>
                      <c:pt idx="140" formatCode="&quot;$&quot;#,##0_);[Red]\(&quot;$&quot;#,##0\)">
                        <c:v>-120.19797628872095</c:v>
                      </c:pt>
                      <c:pt idx="141" formatCode="&quot;$&quot;#,##0_);[Red]\(&quot;$&quot;#,##0\)">
                        <c:v>-120.19797628872095</c:v>
                      </c:pt>
                      <c:pt idx="142" formatCode="&quot;$&quot;#,##0_);[Red]\(&quot;$&quot;#,##0\)">
                        <c:v>-120.19797628872095</c:v>
                      </c:pt>
                      <c:pt idx="143" formatCode="&quot;$&quot;#,##0_);[Red]\(&quot;$&quot;#,##0\)">
                        <c:v>-120.19797628872095</c:v>
                      </c:pt>
                      <c:pt idx="144" formatCode="&quot;$&quot;#,##0_);[Red]\(&quot;$&quot;#,##0\)">
                        <c:v>-120.19797628872095</c:v>
                      </c:pt>
                      <c:pt idx="145" formatCode="&quot;$&quot;#,##0_);[Red]\(&quot;$&quot;#,##0\)">
                        <c:v>-120.19797628872095</c:v>
                      </c:pt>
                      <c:pt idx="146" formatCode="&quot;$&quot;#,##0_);[Red]\(&quot;$&quot;#,##0\)">
                        <c:v>-120.19797628872095</c:v>
                      </c:pt>
                      <c:pt idx="147" formatCode="&quot;$&quot;#,##0_);[Red]\(&quot;$&quot;#,##0\)">
                        <c:v>-120.19797628872095</c:v>
                      </c:pt>
                      <c:pt idx="148" formatCode="&quot;$&quot;#,##0_);[Red]\(&quot;$&quot;#,##0\)">
                        <c:v>-50.447976288720952</c:v>
                      </c:pt>
                      <c:pt idx="149" formatCode="&quot;$&quot;#,##0_);[Red]\(&quot;$&quot;#,##0\)">
                        <c:v>12.452023711279139</c:v>
                      </c:pt>
                      <c:pt idx="150" formatCode="&quot;$&quot;#,##0_);[Red]\(&quot;$&quot;#,##0\)">
                        <c:v>-2.2879762887208699</c:v>
                      </c:pt>
                      <c:pt idx="151">
                        <c:v>69.667023711279285</c:v>
                      </c:pt>
                      <c:pt idx="152" formatCode="&quot;$&quot;#,##0_);[Red]\(&quot;$&quot;#,##0\)">
                        <c:v>69.667023711279285</c:v>
                      </c:pt>
                      <c:pt idx="153" formatCode="&quot;$&quot;#,##0_);[Red]\(&quot;$&quot;#,##0\)">
                        <c:v>-32.092976288720592</c:v>
                      </c:pt>
                      <c:pt idx="154" formatCode="&quot;$&quot;#,##0_);[Red]\(&quot;$&quot;#,##0\)">
                        <c:v>-53.332976288720602</c:v>
                      </c:pt>
                      <c:pt idx="155" formatCode="&quot;$&quot;#,##0_);[Red]\(&quot;$&quot;#,##0\)">
                        <c:v>-97.112976288720574</c:v>
                      </c:pt>
                      <c:pt idx="156" formatCode="&quot;$&quot;#,##0_);[Red]\(&quot;$&quot;#,##0\)">
                        <c:v>-97.112976288720574</c:v>
                      </c:pt>
                      <c:pt idx="157" formatCode="&quot;$&quot;#,##0_);[Red]\(&quot;$&quot;#,##0\)">
                        <c:v>-92.312976288720591</c:v>
                      </c:pt>
                      <c:pt idx="158" formatCode="&quot;$&quot;#,##0_);[Red]\(&quot;$&quot;#,##0\)">
                        <c:v>-65.3029762887206</c:v>
                      </c:pt>
                      <c:pt idx="159" formatCode="&quot;$&quot;#,##0_);[Red]\(&quot;$&quot;#,##0\)">
                        <c:v>-201.95297628872058</c:v>
                      </c:pt>
                      <c:pt idx="160" formatCode="&quot;$&quot;#,##0_);[Red]\(&quot;$&quot;#,##0\)">
                        <c:v>-165.65297628872074</c:v>
                      </c:pt>
                      <c:pt idx="161" formatCode="&quot;$&quot;#,##0_);[Red]\(&quot;$&quot;#,##0\)">
                        <c:v>-99.50297628872076</c:v>
                      </c:pt>
                      <c:pt idx="162" formatCode="&quot;$&quot;#,##0_);[Red]\(&quot;$&quot;#,##0\)">
                        <c:v>-99.50297628872076</c:v>
                      </c:pt>
                      <c:pt idx="163" formatCode="&quot;$&quot;#,##0_);[Red]\(&quot;$&quot;#,##0\)">
                        <c:v>-99.50297628872076</c:v>
                      </c:pt>
                      <c:pt idx="164" formatCode="&quot;$&quot;#,##0_);[Red]\(&quot;$&quot;#,##0\)">
                        <c:v>-68.262976288720751</c:v>
                      </c:pt>
                      <c:pt idx="165" formatCode="&quot;$&quot;#,##0_);[Red]\(&quot;$&quot;#,##0\)">
                        <c:v>-6.5529762887207141</c:v>
                      </c:pt>
                      <c:pt idx="166" formatCode="&quot;$&quot;#,##0_);[Red]\(&quot;$&quot;#,##0\)">
                        <c:v>-14.032976288720732</c:v>
                      </c:pt>
                      <c:pt idx="167" formatCode="&quot;$&quot;#,##0_);[Red]\(&quot;$&quot;#,##0\)">
                        <c:v>-34.152976288720623</c:v>
                      </c:pt>
                      <c:pt idx="168" formatCode="&quot;$&quot;#,##0_);[Red]\(&quot;$&quot;#,##0\)">
                        <c:v>-34.152976288720623</c:v>
                      </c:pt>
                      <c:pt idx="169" formatCode="&quot;$&quot;#,##0_);[Red]\(&quot;$&quot;#,##0\)">
                        <c:v>-35.552976288720487</c:v>
                      </c:pt>
                      <c:pt idx="170" formatCode="&quot;$&quot;#,##0_);[Red]\(&quot;$&quot;#,##0\)">
                        <c:v>-35.552976288720487</c:v>
                      </c:pt>
                      <c:pt idx="171" formatCode="&quot;$&quot;#,##0_);[Red]\(&quot;$&quot;#,##0\)">
                        <c:v>-126.15297628872051</c:v>
                      </c:pt>
                      <c:pt idx="172" formatCode="&quot;$&quot;#,##0_);[Red]\(&quot;$&quot;#,##0\)">
                        <c:v>-126.15297628872051</c:v>
                      </c:pt>
                      <c:pt idx="173" formatCode="&quot;$&quot;#,##0_);[Red]\(&quot;$&quot;#,##0\)">
                        <c:v>-95.552976288720487</c:v>
                      </c:pt>
                      <c:pt idx="174" formatCode="&quot;$&quot;#,##0_);[Red]\(&quot;$&quot;#,##0\)">
                        <c:v>-95.552976288720487</c:v>
                      </c:pt>
                      <c:pt idx="175" formatCode="&quot;$&quot;#,##0_);[Red]\(&quot;$&quot;#,##0\)">
                        <c:v>11.997023711279468</c:v>
                      </c:pt>
                      <c:pt idx="176" formatCode="&quot;$&quot;#,##0_);[Red]\(&quot;$&quot;#,##0\)">
                        <c:v>11.997023711279468</c:v>
                      </c:pt>
                      <c:pt idx="177" formatCode="&quot;$&quot;#,##0_);[Red]\(&quot;$&quot;#,##0\)">
                        <c:v>98.147023711279559</c:v>
                      </c:pt>
                      <c:pt idx="178" formatCode="&quot;$&quot;#,##0_);[Red]\(&quot;$&quot;#,##0\)">
                        <c:v>98.147023711279559</c:v>
                      </c:pt>
                      <c:pt idx="179" formatCode="&quot;$&quot;#,##0_);[Red]\(&quot;$&quot;#,##0\)">
                        <c:v>98.147023711279559</c:v>
                      </c:pt>
                      <c:pt idx="180" formatCode="&quot;$&quot;#,##0_);[Red]\(&quot;$&quot;#,##0\)">
                        <c:v>66.347023711279377</c:v>
                      </c:pt>
                      <c:pt idx="181" formatCode="&quot;$&quot;#,##0_);[Red]\(&quot;$&quot;#,##0\)">
                        <c:v>44.147023711279331</c:v>
                      </c:pt>
                      <c:pt idx="182" formatCode="&quot;$&quot;#,##0_);[Red]\(&quot;$&quot;#,##0\)">
                        <c:v>91.24702371127924</c:v>
                      </c:pt>
                      <c:pt idx="183" formatCode="&quot;$&quot;#,##0_);[Red]\(&quot;$&quot;#,##0\)">
                        <c:v>117.42202371127931</c:v>
                      </c:pt>
                      <c:pt idx="184" formatCode="&quot;$&quot;#,##0_);[Red]\(&quot;$&quot;#,##0\)">
                        <c:v>117.42202371127931</c:v>
                      </c:pt>
                      <c:pt idx="185" formatCode="&quot;$&quot;#,##0_);[Red]\(&quot;$&quot;#,##0\)">
                        <c:v>117.42202371127931</c:v>
                      </c:pt>
                      <c:pt idx="186" formatCode="&quot;$&quot;#,##0_);[Red]\(&quot;$&quot;#,##0\)">
                        <c:v>117.42202371127931</c:v>
                      </c:pt>
                      <c:pt idx="187" formatCode="&quot;$&quot;#,##0_);[Red]\(&quot;$&quot;#,##0\)">
                        <c:v>147.66202371127932</c:v>
                      </c:pt>
                      <c:pt idx="188" formatCode="&quot;$&quot;#,##0_);[Red]\(&quot;$&quot;#,##0\)">
                        <c:v>147.66202371127932</c:v>
                      </c:pt>
                      <c:pt idx="189" formatCode="&quot;$&quot;#,##0_);[Red]\(&quot;$&quot;#,##0\)">
                        <c:v>147.66202371127932</c:v>
                      </c:pt>
                      <c:pt idx="190" formatCode="&quot;$&quot;#,##0_);[Red]\(&quot;$&quot;#,##0\)">
                        <c:v>196.02202371127945</c:v>
                      </c:pt>
                      <c:pt idx="191" formatCode="&quot;$&quot;#,##0_);[Red]\(&quot;$&quot;#,##0\)">
                        <c:v>196.02202371127945</c:v>
                      </c:pt>
                      <c:pt idx="192" formatCode="&quot;$&quot;#,##0_);[Red]\(&quot;$&quot;#,##0\)">
                        <c:v>169.04202371127943</c:v>
                      </c:pt>
                      <c:pt idx="193" formatCode="&quot;$&quot;#,##0_);[Red]\(&quot;$&quot;#,##0\)">
                        <c:v>169.04202371127943</c:v>
                      </c:pt>
                      <c:pt idx="194" formatCode="&quot;$&quot;#,##0_);[Red]\(&quot;$&quot;#,##0\)">
                        <c:v>169.04202371127943</c:v>
                      </c:pt>
                      <c:pt idx="195" formatCode="&quot;$&quot;#,##0_);[Red]\(&quot;$&quot;#,##0\)">
                        <c:v>177.29202371127943</c:v>
                      </c:pt>
                      <c:pt idx="196" formatCode="&quot;$&quot;#,##0_);[Red]\(&quot;$&quot;#,##0\)">
                        <c:v>181.17202371127954</c:v>
                      </c:pt>
                      <c:pt idx="197" formatCode="&quot;$&quot;#,##0_);[Red]\(&quot;$&quot;#,##0\)">
                        <c:v>181.17202371127954</c:v>
                      </c:pt>
                      <c:pt idx="198" formatCode="&quot;$&quot;#,##0_);[Red]\(&quot;$&quot;#,##0\)">
                        <c:v>181.17202371127954</c:v>
                      </c:pt>
                      <c:pt idx="199" formatCode="&quot;$&quot;#,##0_);[Red]\(&quot;$&quot;#,##0\)">
                        <c:v>181.17202371127954</c:v>
                      </c:pt>
                      <c:pt idx="200" formatCode="&quot;$&quot;#,##0_);[Red]\(&quot;$&quot;#,##0\)">
                        <c:v>181.17202371127954</c:v>
                      </c:pt>
                      <c:pt idx="201" formatCode="&quot;$&quot;#,##0_);[Red]\(&quot;$&quot;#,##0\)">
                        <c:v>181.17202371127954</c:v>
                      </c:pt>
                      <c:pt idx="202" formatCode="&quot;$&quot;#,##0_);[Red]\(&quot;$&quot;#,##0\)">
                        <c:v>199.91202371127955</c:v>
                      </c:pt>
                      <c:pt idx="203" formatCode="&quot;$&quot;#,##0_);[Red]\(&quot;$&quot;#,##0\)">
                        <c:v>199.91202371127955</c:v>
                      </c:pt>
                      <c:pt idx="204" formatCode="&quot;$&quot;#,##0_);[Red]\(&quot;$&quot;#,##0\)">
                        <c:v>221.32202371127963</c:v>
                      </c:pt>
                      <c:pt idx="205" formatCode="&quot;$&quot;#,##0_);[Red]\(&quot;$&quot;#,##0\)">
                        <c:v>151.41702371127965</c:v>
                      </c:pt>
                      <c:pt idx="206" formatCode="&quot;$&quot;#,##0_);[Red]\(&quot;$&quot;#,##0\)">
                        <c:v>222.47702371127971</c:v>
                      </c:pt>
                      <c:pt idx="207" formatCode="&quot;$&quot;#,##0_);[Red]\(&quot;$&quot;#,##0\)">
                        <c:v>222.47702371127971</c:v>
                      </c:pt>
                      <c:pt idx="208" formatCode="&quot;$&quot;#,##0_);[Red]\(&quot;$&quot;#,##0\)">
                        <c:v>212.51702371127968</c:v>
                      </c:pt>
                      <c:pt idx="209" formatCode="&quot;$&quot;#,##0_);[Red]\(&quot;$&quot;#,##0\)">
                        <c:v>212.51702371127968</c:v>
                      </c:pt>
                      <c:pt idx="210" formatCode="&quot;$&quot;#,##0_);[Red]\(&quot;$&quot;#,##0\)">
                        <c:v>157.56702371127963</c:v>
                      </c:pt>
                      <c:pt idx="211" formatCode="&quot;$&quot;#,##0_);[Red]\(&quot;$&quot;#,##0\)">
                        <c:v>125.98702371127959</c:v>
                      </c:pt>
                      <c:pt idx="212" formatCode="&quot;$&quot;#,##0_);[Red]\(&quot;$&quot;#,##0\)">
                        <c:v>114.82931161983473</c:v>
                      </c:pt>
                      <c:pt idx="213" formatCode="&quot;$&quot;#,##0_);[Red]\(&quot;$&quot;#,##0\)">
                        <c:v>114.82931161983473</c:v>
                      </c:pt>
                      <c:pt idx="214" formatCode="&quot;$&quot;#,##0_);[Red]\(&quot;$&quot;#,##0\)">
                        <c:v>114.82931161983473</c:v>
                      </c:pt>
                      <c:pt idx="215" formatCode="&quot;$&quot;#,##0_);[Red]\(&quot;$&quot;#,##0\)">
                        <c:v>114.82931161983473</c:v>
                      </c:pt>
                      <c:pt idx="216" formatCode="&quot;$&quot;#,##0_);[Red]\(&quot;$&quot;#,##0\)">
                        <c:v>207.46931161983483</c:v>
                      </c:pt>
                      <c:pt idx="217" formatCode="&quot;$&quot;#,##0_);[Red]\(&quot;$&quot;#,##0\)">
                        <c:v>207.46931161983483</c:v>
                      </c:pt>
                      <c:pt idx="218" formatCode="&quot;$&quot;#,##0_);[Red]\(&quot;$&quot;#,##0\)">
                        <c:v>207.46931161983483</c:v>
                      </c:pt>
                      <c:pt idx="219" formatCode="&quot;$&quot;#,##0_);[Red]\(&quot;$&quot;#,##0\)">
                        <c:v>317.54931161983473</c:v>
                      </c:pt>
                      <c:pt idx="220" formatCode="&quot;$&quot;#,##0_);[Red]\(&quot;$&quot;#,##0\)">
                        <c:v>317.54931161983473</c:v>
                      </c:pt>
                      <c:pt idx="221" formatCode="&quot;$&quot;#,##0_);[Red]\(&quot;$&quot;#,##0\)">
                        <c:v>355.14931161983486</c:v>
                      </c:pt>
                      <c:pt idx="222" formatCode="&quot;$&quot;#,##0_);[Red]\(&quot;$&quot;#,##0\)">
                        <c:v>355.14931161983486</c:v>
                      </c:pt>
                      <c:pt idx="223" formatCode="&quot;$&quot;#,##0_);[Red]\(&quot;$&quot;#,##0\)">
                        <c:v>355.14931161983486</c:v>
                      </c:pt>
                      <c:pt idx="224" formatCode="&quot;$&quot;#,##0_);[Red]\(&quot;$&quot;#,##0\)">
                        <c:v>381.24931161983477</c:v>
                      </c:pt>
                      <c:pt idx="225" formatCode="&quot;$&quot;#,##0_);[Red]\(&quot;$&quot;#,##0\)">
                        <c:v>381.24931161983477</c:v>
                      </c:pt>
                      <c:pt idx="226" formatCode="&quot;$&quot;#,##0_);[Red]\(&quot;$&quot;#,##0\)">
                        <c:v>259.54931161983484</c:v>
                      </c:pt>
                      <c:pt idx="227" formatCode="&quot;$&quot;#,##0_);[Red]\(&quot;$&quot;#,##0\)">
                        <c:v>259.54931161983484</c:v>
                      </c:pt>
                      <c:pt idx="228" formatCode="&quot;$&quot;#,##0_);[Red]\(&quot;$&quot;#,##0\)">
                        <c:v>259.14931161983475</c:v>
                      </c:pt>
                      <c:pt idx="229" formatCode="&quot;$&quot;#,##0_);[Red]\(&quot;$&quot;#,##0\)">
                        <c:v>256.20931161983469</c:v>
                      </c:pt>
                      <c:pt idx="230" formatCode="&quot;$&quot;#,##0_);[Red]\(&quot;$&quot;#,##0\)">
                        <c:v>256.20931161983469</c:v>
                      </c:pt>
                      <c:pt idx="231" formatCode="&quot;$&quot;#,##0_);[Red]\(&quot;$&quot;#,##0\)">
                        <c:v>217.57158426187505</c:v>
                      </c:pt>
                      <c:pt idx="232" formatCode="&quot;$&quot;#,##0_);[Red]\(&quot;$&quot;#,##0\)">
                        <c:v>268.63158426187499</c:v>
                      </c:pt>
                      <c:pt idx="233" formatCode="&quot;$&quot;#,##0_);[Red]\(&quot;$&quot;#,##0\)">
                        <c:v>299.5115842618751</c:v>
                      </c:pt>
                      <c:pt idx="234" formatCode="&quot;$&quot;#,##0_);[Red]\(&quot;$&quot;#,##0\)">
                        <c:v>299.5115842618751</c:v>
                      </c:pt>
                      <c:pt idx="235" formatCode="&quot;$&quot;#,##0_);[Red]\(&quot;$&quot;#,##0\)">
                        <c:v>299.5115842618751</c:v>
                      </c:pt>
                      <c:pt idx="236" formatCode="&quot;$&quot;#,##0_);[Red]\(&quot;$&quot;#,##0\)">
                        <c:v>299.5115842618751</c:v>
                      </c:pt>
                      <c:pt idx="237" formatCode="&quot;$&quot;#,##0_);[Red]\(&quot;$&quot;#,##0\)">
                        <c:v>296.21158426187515</c:v>
                      </c:pt>
                      <c:pt idx="238" formatCode="&quot;$&quot;#,##0_);[Red]\(&quot;$&quot;#,##0\)">
                        <c:v>178.25158426187488</c:v>
                      </c:pt>
                      <c:pt idx="239" formatCode="&quot;$&quot;#,##0_);[Red]\(&quot;$&quot;#,##0\)">
                        <c:v>180.97158426187491</c:v>
                      </c:pt>
                      <c:pt idx="240" formatCode="&quot;$&quot;#,##0_);[Red]\(&quot;$&quot;#,##0\)">
                        <c:v>180.97158426187491</c:v>
                      </c:pt>
                      <c:pt idx="241" formatCode="&quot;$&quot;#,##0_);[Red]\(&quot;$&quot;#,##0\)">
                        <c:v>180.97158426187491</c:v>
                      </c:pt>
                      <c:pt idx="242" formatCode="&quot;$&quot;#,##0_);[Red]\(&quot;$&quot;#,##0\)">
                        <c:v>188.38158426187522</c:v>
                      </c:pt>
                      <c:pt idx="243" formatCode="&quot;$&quot;#,##0_);[Red]\(&quot;$&quot;#,##0\)">
                        <c:v>188.38158426187522</c:v>
                      </c:pt>
                      <c:pt idx="244" formatCode="&quot;$&quot;#,##0_);[Red]\(&quot;$&quot;#,##0\)">
                        <c:v>122.95158426187538</c:v>
                      </c:pt>
                      <c:pt idx="245" formatCode="&quot;$&quot;#,##0_);[Red]\(&quot;$&quot;#,##0\)">
                        <c:v>122.95158426187538</c:v>
                      </c:pt>
                      <c:pt idx="246" formatCode="&quot;$&quot;#,##0_);[Red]\(&quot;$&quot;#,##0\)">
                        <c:v>122.95158426187538</c:v>
                      </c:pt>
                      <c:pt idx="247" formatCode="&quot;$&quot;#,##0_);[Red]\(&quot;$&quot;#,##0\)">
                        <c:v>122.95158426187538</c:v>
                      </c:pt>
                      <c:pt idx="248" formatCode="&quot;$&quot;#,##0_);[Red]\(&quot;$&quot;#,##0\)">
                        <c:v>122.95158426187538</c:v>
                      </c:pt>
                      <c:pt idx="249" formatCode="&quot;$&quot;#,##0_);[Red]\(&quot;$&quot;#,##0\)">
                        <c:v>122.95158426187538</c:v>
                      </c:pt>
                      <c:pt idx="250" formatCode="&quot;$&quot;#,##0_);[Red]\(&quot;$&quot;#,##0\)">
                        <c:v>122.95158426187538</c:v>
                      </c:pt>
                      <c:pt idx="251" formatCode="&quot;$&quot;#,##0_);[Red]\(&quot;$&quot;#,##0\)">
                        <c:v>59.151584261875428</c:v>
                      </c:pt>
                      <c:pt idx="252" formatCode="&quot;$&quot;#,##0_);[Red]\(&quot;$&quot;#,##0\)">
                        <c:v>22.67158426187541</c:v>
                      </c:pt>
                      <c:pt idx="253" formatCode="&quot;$&quot;#,##0_);[Red]\(&quot;$&quot;#,##0\)">
                        <c:v>22.67158426187541</c:v>
                      </c:pt>
                      <c:pt idx="254" formatCode="&quot;$&quot;#,##0_);[Red]\(&quot;$&quot;#,##0\)">
                        <c:v>22.67158426187541</c:v>
                      </c:pt>
                      <c:pt idx="255" formatCode="&quot;$&quot;#,##0_);[Red]\(&quot;$&quot;#,##0\)">
                        <c:v>22.67158426187541</c:v>
                      </c:pt>
                      <c:pt idx="256" formatCode="&quot;$&quot;#,##0_);[Red]\(&quot;$&quot;#,##0\)">
                        <c:v>13.871584261875455</c:v>
                      </c:pt>
                      <c:pt idx="257" formatCode="&quot;$&quot;#,##0_);[Red]\(&quot;$&quot;#,##0\)">
                        <c:v>13.871584261875455</c:v>
                      </c:pt>
                      <c:pt idx="258" formatCode="&quot;$&quot;#,##0_);[Red]\(&quot;$&quot;#,##0\)">
                        <c:v>13.871584261875455</c:v>
                      </c:pt>
                      <c:pt idx="259" formatCode="&quot;$&quot;#,##0_);[Red]\(&quot;$&quot;#,##0\)">
                        <c:v>13.871584261875455</c:v>
                      </c:pt>
                      <c:pt idx="260" formatCode="&quot;$&quot;#,##0_);[Red]\(&quot;$&quot;#,##0\)">
                        <c:v>13.871584261875455</c:v>
                      </c:pt>
                      <c:pt idx="261" formatCode="&quot;$&quot;#,##0_);[Red]\(&quot;$&quot;#,##0\)">
                        <c:v>13.871584261875455</c:v>
                      </c:pt>
                      <c:pt idx="262" formatCode="&quot;$&quot;#,##0_);[Red]\(&quot;$&quot;#,##0\)">
                        <c:v>13.871584261875455</c:v>
                      </c:pt>
                      <c:pt idx="263" formatCode="&quot;$&quot;#,##0_);[Red]\(&quot;$&quot;#,##0\)">
                        <c:v>-4.728415738124454</c:v>
                      </c:pt>
                      <c:pt idx="264" formatCode="&quot;$&quot;#,##0_);[Red]\(&quot;$&quot;#,##0\)">
                        <c:v>-4.728415738124454</c:v>
                      </c:pt>
                      <c:pt idx="265" formatCode="&quot;$&quot;#,##0_);[Red]\(&quot;$&quot;#,##0\)">
                        <c:v>-4.728415738124454</c:v>
                      </c:pt>
                      <c:pt idx="266" formatCode="&quot;$&quot;#,##0_);[Red]\(&quot;$&quot;#,##0\)">
                        <c:v>39.621584261875228</c:v>
                      </c:pt>
                      <c:pt idx="267" formatCode="&quot;$&quot;#,##0_);[Red]\(&quot;$&quot;#,##0\)">
                        <c:v>39.621584261875228</c:v>
                      </c:pt>
                      <c:pt idx="268" formatCode="&quot;$&quot;#,##0_);[Red]\(&quot;$&quot;#,##0\)">
                        <c:v>39.621584261875228</c:v>
                      </c:pt>
                      <c:pt idx="269" formatCode="&quot;$&quot;#,##0_);[Red]\(&quot;$&quot;#,##0\)">
                        <c:v>39.621584261875228</c:v>
                      </c:pt>
                      <c:pt idx="270" formatCode="&quot;$&quot;#,##0_);[Red]\(&quot;$&quot;#,##0\)">
                        <c:v>39.621584261875228</c:v>
                      </c:pt>
                      <c:pt idx="271" formatCode="&quot;$&quot;#,##0_);[Red]\(&quot;$&quot;#,##0\)">
                        <c:v>39.621584261875228</c:v>
                      </c:pt>
                      <c:pt idx="272" formatCode="&quot;$&quot;#,##0_);[Red]\(&quot;$&quot;#,##0\)">
                        <c:v>39.621584261875228</c:v>
                      </c:pt>
                      <c:pt idx="273" formatCode="&quot;$&quot;#,##0_);[Red]\(&quot;$&quot;#,##0\)">
                        <c:v>39.621584261875228</c:v>
                      </c:pt>
                      <c:pt idx="274" formatCode="&quot;$&quot;#,##0_);[Red]\(&quot;$&quot;#,##0\)">
                        <c:v>39.621584261875228</c:v>
                      </c:pt>
                      <c:pt idx="275" formatCode="&quot;$&quot;#,##0_);[Red]\(&quot;$&quot;#,##0\)">
                        <c:v>39.621584261875228</c:v>
                      </c:pt>
                      <c:pt idx="276" formatCode="&quot;$&quot;#,##0_);[Red]\(&quot;$&quot;#,##0\)">
                        <c:v>39.621584261875228</c:v>
                      </c:pt>
                      <c:pt idx="277" formatCode="&quot;$&quot;#,##0_);[Red]\(&quot;$&quot;#,##0\)">
                        <c:v>39.621584261875228</c:v>
                      </c:pt>
                      <c:pt idx="278" formatCode="&quot;$&quot;#,##0_);[Red]\(&quot;$&quot;#,##0\)">
                        <c:v>39.621584261875228</c:v>
                      </c:pt>
                      <c:pt idx="279" formatCode="&quot;$&quot;#,##0_);[Red]\(&quot;$&quot;#,##0\)">
                        <c:v>39.621584261875228</c:v>
                      </c:pt>
                      <c:pt idx="280" formatCode="&quot;$&quot;#,##0_);[Red]\(&quot;$&quot;#,##0\)">
                        <c:v>71.061584261875282</c:v>
                      </c:pt>
                      <c:pt idx="281" formatCode="&quot;$&quot;#,##0_);[Red]\(&quot;$&quot;#,##0\)">
                        <c:v>7.4915842618753459</c:v>
                      </c:pt>
                      <c:pt idx="282" formatCode="&quot;$&quot;#,##0_);[Red]\(&quot;$&quot;#,##0\)">
                        <c:v>7.4915842618753459</c:v>
                      </c:pt>
                      <c:pt idx="283" formatCode="&quot;$&quot;#,##0_);[Red]\(&quot;$&quot;#,##0\)">
                        <c:v>7.4915842618753459</c:v>
                      </c:pt>
                      <c:pt idx="284" formatCode="&quot;$&quot;#,##0_);[Red]\(&quot;$&quot;#,##0\)">
                        <c:v>5.0915842618753686</c:v>
                      </c:pt>
                      <c:pt idx="285" formatCode="&quot;$&quot;#,##0_);[Red]\(&quot;$&quot;#,##0\)">
                        <c:v>5.0915842618753686</c:v>
                      </c:pt>
                      <c:pt idx="286" formatCode="&quot;$&quot;#,##0_);[Red]\(&quot;$&quot;#,##0\)">
                        <c:v>42.61158426187535</c:v>
                      </c:pt>
                      <c:pt idx="287" formatCode="&quot;$&quot;#,##0_);[Red]\(&quot;$&quot;#,##0\)">
                        <c:v>42.61158426187535</c:v>
                      </c:pt>
                      <c:pt idx="288" formatCode="&quot;$&quot;#,##0_);[Red]\(&quot;$&quot;#,##0\)">
                        <c:v>177.36158426187535</c:v>
                      </c:pt>
                      <c:pt idx="289" formatCode="&quot;$&quot;#,##0_);[Red]\(&quot;$&quot;#,##0\)">
                        <c:v>177.36158426187535</c:v>
                      </c:pt>
                      <c:pt idx="290" formatCode="&quot;$&quot;#,##0_);[Red]\(&quot;$&quot;#,##0\)">
                        <c:v>177.36158426187535</c:v>
                      </c:pt>
                      <c:pt idx="291" formatCode="&quot;$&quot;#,##0_);[Red]\(&quot;$&quot;#,##0\)">
                        <c:v>177.36158426187535</c:v>
                      </c:pt>
                      <c:pt idx="292" formatCode="&quot;$&quot;#,##0_);[Red]\(&quot;$&quot;#,##0\)">
                        <c:v>177.36158426187535</c:v>
                      </c:pt>
                      <c:pt idx="293" formatCode="&quot;$&quot;#,##0_);[Red]\(&quot;$&quot;#,##0\)">
                        <c:v>122.96158426187526</c:v>
                      </c:pt>
                      <c:pt idx="294" formatCode="&quot;$&quot;#,##0_);[Red]\(&quot;$&quot;#,##0\)">
                        <c:v>122.96158426187526</c:v>
                      </c:pt>
                      <c:pt idx="295" formatCode="&quot;$&quot;#,##0_);[Red]\(&quot;$&quot;#,##0\)">
                        <c:v>122.96158426187526</c:v>
                      </c:pt>
                      <c:pt idx="296" formatCode="&quot;$&quot;#,##0_);[Red]\(&quot;$&quot;#,##0\)">
                        <c:v>122.96158426187526</c:v>
                      </c:pt>
                      <c:pt idx="297" formatCode="&quot;$&quot;#,##0_);[Red]\(&quot;$&quot;#,##0\)">
                        <c:v>122.96158426187526</c:v>
                      </c:pt>
                      <c:pt idx="298" formatCode="&quot;$&quot;#,##0_);[Red]\(&quot;$&quot;#,##0\)">
                        <c:v>122.96158426187526</c:v>
                      </c:pt>
                      <c:pt idx="299" formatCode="&quot;$&quot;#,##0_);[Red]\(&quot;$&quot;#,##0\)">
                        <c:v>122.96158426187526</c:v>
                      </c:pt>
                      <c:pt idx="300" formatCode="&quot;$&quot;#,##0_);[Red]\(&quot;$&quot;#,##0\)">
                        <c:v>125.3015842618754</c:v>
                      </c:pt>
                      <c:pt idx="301" formatCode="&quot;$&quot;#,##0_);[Red]\(&quot;$&quot;#,##0\)">
                        <c:v>214.4215842618753</c:v>
                      </c:pt>
                      <c:pt idx="302" formatCode="&quot;$&quot;#,##0_);[Red]\(&quot;$&quot;#,##0\)">
                        <c:v>214.4215842618753</c:v>
                      </c:pt>
                      <c:pt idx="303" formatCode="&quot;$&quot;#,##0_);[Red]\(&quot;$&quot;#,##0\)">
                        <c:v>255.2715842618752</c:v>
                      </c:pt>
                      <c:pt idx="304" formatCode="&quot;$&quot;#,##0_);[Red]\(&quot;$&quot;#,##0\)">
                        <c:v>255.2715842618752</c:v>
                      </c:pt>
                      <c:pt idx="305" formatCode="&quot;$&quot;#,##0_);[Red]\(&quot;$&quot;#,##0\)">
                        <c:v>326.9215842618753</c:v>
                      </c:pt>
                      <c:pt idx="306" formatCode="&quot;$&quot;#,##0_);[Red]\(&quot;$&quot;#,##0\)">
                        <c:v>489.08158426187538</c:v>
                      </c:pt>
                      <c:pt idx="307" formatCode="&quot;$&quot;#,##0_);[Red]\(&quot;$&quot;#,##0\)">
                        <c:v>541.88158426187533</c:v>
                      </c:pt>
                      <c:pt idx="308" formatCode="&quot;$&quot;#,##0_);[Red]\(&quot;$&quot;#,##0\)">
                        <c:v>541.88158426187533</c:v>
                      </c:pt>
                      <c:pt idx="309" formatCode="&quot;$&quot;#,##0_);[Red]\(&quot;$&quot;#,##0\)">
                        <c:v>541.88158426187533</c:v>
                      </c:pt>
                      <c:pt idx="310" formatCode="&quot;$&quot;#,##0_);[Red]\(&quot;$&quot;#,##0\)">
                        <c:v>541.88158426187533</c:v>
                      </c:pt>
                      <c:pt idx="311" formatCode="&quot;$&quot;#,##0_);[Red]\(&quot;$&quot;#,##0\)">
                        <c:v>541.88158426187533</c:v>
                      </c:pt>
                      <c:pt idx="312" formatCode="&quot;$&quot;#,##0_);[Red]\(&quot;$&quot;#,##0\)">
                        <c:v>541.88158426187533</c:v>
                      </c:pt>
                      <c:pt idx="313" formatCode="&quot;$&quot;#,##0_);[Red]\(&quot;$&quot;#,##0\)">
                        <c:v>541.88158426187533</c:v>
                      </c:pt>
                      <c:pt idx="314" formatCode="&quot;$&quot;#,##0_);[Red]\(&quot;$&quot;#,##0\)">
                        <c:v>541.88158426187533</c:v>
                      </c:pt>
                      <c:pt idx="315" formatCode="&quot;$&quot;#,##0_);[Red]\(&quot;$&quot;#,##0\)">
                        <c:v>541.88158426187533</c:v>
                      </c:pt>
                      <c:pt idx="316" formatCode="&quot;$&quot;#,##0_);[Red]\(&quot;$&quot;#,##0\)">
                        <c:v>541.88158426187533</c:v>
                      </c:pt>
                      <c:pt idx="317" formatCode="&quot;$&quot;#,##0_);[Red]\(&quot;$&quot;#,##0\)">
                        <c:v>541.88158426187533</c:v>
                      </c:pt>
                      <c:pt idx="318" formatCode="&quot;$&quot;#,##0_);[Red]\(&quot;$&quot;#,##0\)">
                        <c:v>427.36593244815845</c:v>
                      </c:pt>
                      <c:pt idx="319" formatCode="&quot;$&quot;#,##0_);[Red]\(&quot;$&quot;#,##0\)">
                        <c:v>571.48593244815834</c:v>
                      </c:pt>
                      <c:pt idx="320" formatCode="&quot;$&quot;#,##0_);[Red]\(&quot;$&quot;#,##0\)">
                        <c:v>571.48593244815834</c:v>
                      </c:pt>
                      <c:pt idx="321" formatCode="&quot;$&quot;#,##0_);[Red]\(&quot;$&quot;#,##0\)">
                        <c:v>594.68593244815816</c:v>
                      </c:pt>
                      <c:pt idx="322" formatCode="&quot;$&quot;#,##0_);[Red]\(&quot;$&quot;#,##0\)">
                        <c:v>618.62593244815821</c:v>
                      </c:pt>
                      <c:pt idx="323" formatCode="&quot;$&quot;#,##0_);[Red]\(&quot;$&quot;#,##0\)">
                        <c:v>501.37593244815821</c:v>
                      </c:pt>
                      <c:pt idx="324" formatCode="&quot;$&quot;#,##0_);[Red]\(&quot;$&quot;#,##0\)">
                        <c:v>501.37593244815821</c:v>
                      </c:pt>
                      <c:pt idx="325" formatCode="&quot;$&quot;#,##0_);[Red]\(&quot;$&quot;#,##0\)">
                        <c:v>556.62593244815821</c:v>
                      </c:pt>
                      <c:pt idx="326" formatCode="&quot;$&quot;#,##0_);[Red]\(&quot;$&quot;#,##0\)">
                        <c:v>556.62593244815821</c:v>
                      </c:pt>
                      <c:pt idx="327" formatCode="&quot;$&quot;#,##0_);[Red]\(&quot;$&quot;#,##0\)">
                        <c:v>541.66593244815817</c:v>
                      </c:pt>
                      <c:pt idx="328" formatCode="&quot;$&quot;#,##0_);[Red]\(&quot;$&quot;#,##0\)">
                        <c:v>484.74093244815822</c:v>
                      </c:pt>
                      <c:pt idx="329" formatCode="&quot;$&quot;#,##0_);[Red]\(&quot;$&quot;#,##0\)">
                        <c:v>484.74093244815822</c:v>
                      </c:pt>
                      <c:pt idx="330" formatCode="&quot;$&quot;#,##0_);[Red]\(&quot;$&quot;#,##0\)">
                        <c:v>484.74093244815822</c:v>
                      </c:pt>
                      <c:pt idx="331" formatCode="&quot;$&quot;#,##0_);[Red]\(&quot;$&quot;#,##0\)">
                        <c:v>509.46093244815825</c:v>
                      </c:pt>
                      <c:pt idx="332" formatCode="&quot;$&quot;#,##0_);[Red]\(&quot;$&quot;#,##0\)">
                        <c:v>586.26093244815843</c:v>
                      </c:pt>
                      <c:pt idx="333" formatCode="&quot;$&quot;#,##0_);[Red]\(&quot;$&quot;#,##0\)">
                        <c:v>621.86093244815856</c:v>
                      </c:pt>
                      <c:pt idx="334" formatCode="&quot;$&quot;#,##0_);[Red]\(&quot;$&quot;#,##0\)">
                        <c:v>621.86093244815856</c:v>
                      </c:pt>
                      <c:pt idx="335" formatCode="&quot;$&quot;#,##0_);[Red]\(&quot;$&quot;#,##0\)">
                        <c:v>681.41093244815875</c:v>
                      </c:pt>
                      <c:pt idx="336" formatCode="&quot;$&quot;#,##0_);[Red]\(&quot;$&quot;#,##0\)">
                        <c:v>648.52093244815865</c:v>
                      </c:pt>
                      <c:pt idx="337" formatCode="&quot;$&quot;#,##0_);[Red]\(&quot;$&quot;#,##0\)">
                        <c:v>648.52093244815865</c:v>
                      </c:pt>
                      <c:pt idx="338" formatCode="&quot;$&quot;#,##0_);[Red]\(&quot;$&quot;#,##0\)">
                        <c:v>648.52093244815865</c:v>
                      </c:pt>
                      <c:pt idx="339" formatCode="&quot;$&quot;#,##0_);[Red]\(&quot;$&quot;#,##0\)">
                        <c:v>604.28093244815864</c:v>
                      </c:pt>
                      <c:pt idx="340" formatCode="&quot;$&quot;#,##0_);[Red]\(&quot;$&quot;#,##0\)">
                        <c:v>394.7009324481586</c:v>
                      </c:pt>
                      <c:pt idx="341" formatCode="&quot;$&quot;#,##0_);[Red]\(&quot;$&quot;#,##0\)">
                        <c:v>394.7009324481586</c:v>
                      </c:pt>
                      <c:pt idx="342" formatCode="&quot;$&quot;#,##0_);[Red]\(&quot;$&quot;#,##0\)">
                        <c:v>394.7009324481586</c:v>
                      </c:pt>
                      <c:pt idx="343" formatCode="&quot;$&quot;#,##0_);[Red]\(&quot;$&quot;#,##0\)">
                        <c:v>422.66093244815863</c:v>
                      </c:pt>
                      <c:pt idx="344" formatCode="&quot;$&quot;#,##0_);[Red]\(&quot;$&quot;#,##0\)">
                        <c:v>343.16093244815863</c:v>
                      </c:pt>
                      <c:pt idx="345" formatCode="&quot;$&quot;#,##0_);[Red]\(&quot;$&quot;#,##0\)">
                        <c:v>343.16093244815863</c:v>
                      </c:pt>
                      <c:pt idx="346" formatCode="&quot;$&quot;#,##0_);[Red]\(&quot;$&quot;#,##0\)">
                        <c:v>343.16093244815863</c:v>
                      </c:pt>
                      <c:pt idx="347" formatCode="&quot;$&quot;#,##0_);[Red]\(&quot;$&quot;#,##0\)">
                        <c:v>346.46093244815859</c:v>
                      </c:pt>
                      <c:pt idx="348" formatCode="&quot;$&quot;#,##0_);[Red]\(&quot;$&quot;#,##0\)">
                        <c:v>346.46093244815859</c:v>
                      </c:pt>
                      <c:pt idx="349" formatCode="&quot;$&quot;#,##0_);[Red]\(&quot;$&quot;#,##0\)">
                        <c:v>346.46093244815859</c:v>
                      </c:pt>
                      <c:pt idx="350" formatCode="&quot;$&quot;#,##0_);[Red]\(&quot;$&quot;#,##0\)">
                        <c:v>346.46093244815859</c:v>
                      </c:pt>
                      <c:pt idx="351" formatCode="&quot;$&quot;#,##0_);[Red]\(&quot;$&quot;#,##0\)">
                        <c:v>320.46093244815859</c:v>
                      </c:pt>
                      <c:pt idx="352" formatCode="&quot;$&quot;#,##0_);[Red]\(&quot;$&quot;#,##0\)">
                        <c:v>315.90093244815864</c:v>
                      </c:pt>
                      <c:pt idx="353" formatCode="&quot;$&quot;#,##0_);[Red]\(&quot;$&quot;#,##0\)">
                        <c:v>315.90093244815864</c:v>
                      </c:pt>
                      <c:pt idx="354" formatCode="&quot;$&quot;#,##0_);[Red]\(&quot;$&quot;#,##0\)">
                        <c:v>315.90093244815864</c:v>
                      </c:pt>
                      <c:pt idx="355" formatCode="&quot;$&quot;#,##0_);[Red]\(&quot;$&quot;#,##0\)">
                        <c:v>224.54093244815874</c:v>
                      </c:pt>
                      <c:pt idx="356" formatCode="&quot;$&quot;#,##0_);[Red]\(&quot;$&quot;#,##0\)">
                        <c:v>155.90093244815864</c:v>
                      </c:pt>
                      <c:pt idx="357" formatCode="&quot;$&quot;#,##0_);[Red]\(&quot;$&quot;#,##0\)">
                        <c:v>155.90093244815864</c:v>
                      </c:pt>
                      <c:pt idx="358" formatCode="&quot;$&quot;#,##0_);[Red]\(&quot;$&quot;#,##0\)">
                        <c:v>155.90093244815864</c:v>
                      </c:pt>
                      <c:pt idx="359" formatCode="&quot;$&quot;#,##0_);[Red]\(&quot;$&quot;#,##0\)">
                        <c:v>155.90093244815864</c:v>
                      </c:pt>
                      <c:pt idx="360" formatCode="&quot;$&quot;#,##0_);[Red]\(&quot;$&quot;#,##0\)">
                        <c:v>3.5259324481586418</c:v>
                      </c:pt>
                      <c:pt idx="361" formatCode="&quot;$&quot;#,##0_);[Red]\(&quot;$&quot;#,##0\)">
                        <c:v>3.5259324481586418</c:v>
                      </c:pt>
                      <c:pt idx="362" formatCode="&quot;$&quot;#,##0_);[Red]\(&quot;$&quot;#,##0\)">
                        <c:v>153.56593244815861</c:v>
                      </c:pt>
                      <c:pt idx="363" formatCode="&quot;$&quot;#,##0_);[Red]\(&quot;$&quot;#,##0\)">
                        <c:v>153.56593244815861</c:v>
                      </c:pt>
                      <c:pt idx="364" formatCode="&quot;$&quot;#,##0_);[Red]\(&quot;$&quot;#,##0\)">
                        <c:v>131.12593244815855</c:v>
                      </c:pt>
                      <c:pt idx="365" formatCode="&quot;$&quot;#,##0_);[Red]\(&quot;$&quot;#,##0\)">
                        <c:v>131.12593244815855</c:v>
                      </c:pt>
                      <c:pt idx="366" formatCode="&quot;$&quot;#,##0_);[Red]\(&quot;$&quot;#,##0\)">
                        <c:v>131.12593244815855</c:v>
                      </c:pt>
                      <c:pt idx="367" formatCode="&quot;$&quot;#,##0_);[Red]\(&quot;$&quot;#,##0\)">
                        <c:v>131.12593244815855</c:v>
                      </c:pt>
                      <c:pt idx="368" formatCode="&quot;$&quot;#,##0_);[Red]\(&quot;$&quot;#,##0\)">
                        <c:v>406.67593244815873</c:v>
                      </c:pt>
                      <c:pt idx="369" formatCode="&quot;$&quot;#,##0_);[Red]\(&quot;$&quot;#,##0\)">
                        <c:v>438.38593244815877</c:v>
                      </c:pt>
                      <c:pt idx="370" formatCode="&quot;$&quot;#,##0_);[Red]\(&quot;$&quot;#,##0\)">
                        <c:v>438.38593244815877</c:v>
                      </c:pt>
                      <c:pt idx="371" formatCode="&quot;$&quot;#,##0_);[Red]\(&quot;$&quot;#,##0\)">
                        <c:v>512.78593244815886</c:v>
                      </c:pt>
                      <c:pt idx="372" formatCode="&quot;$&quot;#,##0_);[Red]\(&quot;$&quot;#,##0\)">
                        <c:v>450.58593244815881</c:v>
                      </c:pt>
                      <c:pt idx="373" formatCode="&quot;$&quot;#,##0_);[Red]\(&quot;$&quot;#,##0\)">
                        <c:v>523.42593244815896</c:v>
                      </c:pt>
                      <c:pt idx="374" formatCode="&quot;$&quot;#,##0_);[Red]\(&quot;$&quot;#,##0\)">
                        <c:v>726.91593244815897</c:v>
                      </c:pt>
                      <c:pt idx="375" formatCode="&quot;$&quot;#,##0_);[Red]\(&quot;$&quot;#,##0\)">
                        <c:v>557.66593244815897</c:v>
                      </c:pt>
                      <c:pt idx="376" formatCode="&quot;$&quot;#,##0_);[Red]\(&quot;$&quot;#,##0\)">
                        <c:v>472.22593244815891</c:v>
                      </c:pt>
                      <c:pt idx="377" formatCode="&quot;$&quot;#,##0_);[Red]\(&quot;$&quot;#,##0\)">
                        <c:v>676.82593244815882</c:v>
                      </c:pt>
                      <c:pt idx="378" formatCode="&quot;$&quot;#,##0_);[Red]\(&quot;$&quot;#,##0\)">
                        <c:v>489.14593244815876</c:v>
                      </c:pt>
                      <c:pt idx="379" formatCode="&quot;$&quot;#,##0_);[Red]\(&quot;$&quot;#,##0\)">
                        <c:v>452.64593244815876</c:v>
                      </c:pt>
                      <c:pt idx="380" formatCode="&quot;$&quot;#,##0_);[Red]\(&quot;$&quot;#,##0\)">
                        <c:v>392.79593244815908</c:v>
                      </c:pt>
                      <c:pt idx="381" formatCode="&quot;$&quot;#,##0_);[Red]\(&quot;$&quot;#,##0\)">
                        <c:v>489.04263180689156</c:v>
                      </c:pt>
                      <c:pt idx="382" formatCode="&quot;$&quot;#,##0_);[Red]\(&quot;$&quot;#,##0\)">
                        <c:v>489.04263180689156</c:v>
                      </c:pt>
                      <c:pt idx="383" formatCode="&quot;$&quot;#,##0_);[Red]\(&quot;$&quot;#,##0\)">
                        <c:v>690.64263180689147</c:v>
                      </c:pt>
                      <c:pt idx="384" formatCode="&quot;$&quot;#,##0_);[Red]\(&quot;$&quot;#,##0\)">
                        <c:v>676.84263180689152</c:v>
                      </c:pt>
                      <c:pt idx="385" formatCode="&quot;$&quot;#,##0_);[Red]\(&quot;$&quot;#,##0\)">
                        <c:v>676.84263180689152</c:v>
                      </c:pt>
                      <c:pt idx="386" formatCode="&quot;$&quot;#,##0_);[Red]\(&quot;$&quot;#,##0\)">
                        <c:v>463.84263180689152</c:v>
                      </c:pt>
                      <c:pt idx="387" formatCode="&quot;$&quot;#,##0_);[Red]\(&quot;$&quot;#,##0\)">
                        <c:v>463.84263180689152</c:v>
                      </c:pt>
                      <c:pt idx="388" formatCode="&quot;$&quot;#,##0_);[Red]\(&quot;$&quot;#,##0\)">
                        <c:v>463.84263180689152</c:v>
                      </c:pt>
                      <c:pt idx="389" formatCode="&quot;$&quot;#,##0_);[Red]\(&quot;$&quot;#,##0\)">
                        <c:v>463.84263180689152</c:v>
                      </c:pt>
                      <c:pt idx="390" formatCode="&quot;$&quot;#,##0_);[Red]\(&quot;$&quot;#,##0\)">
                        <c:v>602.95263180689142</c:v>
                      </c:pt>
                      <c:pt idx="391" formatCode="&quot;$&quot;#,##0_);[Red]\(&quot;$&quot;#,##0\)">
                        <c:v>602.95263180689142</c:v>
                      </c:pt>
                      <c:pt idx="392" formatCode="&quot;$&quot;#,##0_);[Red]\(&quot;$&quot;#,##0\)">
                        <c:v>602.95263180689142</c:v>
                      </c:pt>
                      <c:pt idx="393" formatCode="&quot;$&quot;#,##0_);[Red]\(&quot;$&quot;#,##0\)">
                        <c:v>536.13263180689148</c:v>
                      </c:pt>
                      <c:pt idx="394" formatCode="&quot;$&quot;#,##0_);[Red]\(&quot;$&quot;#,##0\)">
                        <c:v>644.29263180689134</c:v>
                      </c:pt>
                      <c:pt idx="395" formatCode="&quot;$&quot;#,##0_);[Red]\(&quot;$&quot;#,##0\)">
                        <c:v>471.79263180689134</c:v>
                      </c:pt>
                      <c:pt idx="396" formatCode="&quot;$&quot;#,##0_);[Red]\(&quot;$&quot;#,##0\)">
                        <c:v>471.79263180689134</c:v>
                      </c:pt>
                      <c:pt idx="397" formatCode="&quot;$&quot;#,##0_);[Red]\(&quot;$&quot;#,##0\)">
                        <c:v>590.19263180689143</c:v>
                      </c:pt>
                      <c:pt idx="398" formatCode="&quot;$&quot;#,##0_);[Red]\(&quot;$&quot;#,##0\)">
                        <c:v>590.19263180689143</c:v>
                      </c:pt>
                      <c:pt idx="399" formatCode="&quot;$&quot;#,##0_);[Red]\(&quot;$&quot;#,##0\)">
                        <c:v>590.19263180689143</c:v>
                      </c:pt>
                      <c:pt idx="400" formatCode="&quot;$&quot;#,##0_);[Red]\(&quot;$&quot;#,##0\)">
                        <c:v>590.19263180689143</c:v>
                      </c:pt>
                      <c:pt idx="401" formatCode="&quot;$&quot;#,##0_);[Red]\(&quot;$&quot;#,##0\)">
                        <c:v>477.71263180689141</c:v>
                      </c:pt>
                      <c:pt idx="402" formatCode="&quot;$&quot;#,##0_);[Red]\(&quot;$&quot;#,##0\)">
                        <c:v>252.03263180689135</c:v>
                      </c:pt>
                      <c:pt idx="403" formatCode="&quot;$&quot;#,##0_);[Red]\(&quot;$&quot;#,##0\)">
                        <c:v>252.03263180689135</c:v>
                      </c:pt>
                      <c:pt idx="404" formatCode="&quot;$&quot;#,##0_);[Red]\(&quot;$&quot;#,##0\)">
                        <c:v>422.22263180689117</c:v>
                      </c:pt>
                      <c:pt idx="405" formatCode="&quot;$&quot;#,##0_);[Red]\(&quot;$&quot;#,##0\)">
                        <c:v>422.22263180689117</c:v>
                      </c:pt>
                      <c:pt idx="406" formatCode="&quot;$&quot;#,##0_);[Red]\(&quot;$&quot;#,##0\)">
                        <c:v>245.912631806891</c:v>
                      </c:pt>
                      <c:pt idx="407" formatCode="&quot;$&quot;#,##0_);[Red]\(&quot;$&quot;#,##0\)">
                        <c:v>245.912631806891</c:v>
                      </c:pt>
                      <c:pt idx="408" formatCode="&quot;$&quot;#,##0_);[Red]\(&quot;$&quot;#,##0\)">
                        <c:v>245.912631806891</c:v>
                      </c:pt>
                      <c:pt idx="409" formatCode="&quot;$&quot;#,##0_);[Red]\(&quot;$&quot;#,##0\)">
                        <c:v>245.912631806891</c:v>
                      </c:pt>
                      <c:pt idx="410" formatCode="&quot;$&quot;#,##0_);[Red]\(&quot;$&quot;#,##0\)">
                        <c:v>313.12263180689104</c:v>
                      </c:pt>
                      <c:pt idx="411" formatCode="&quot;$&quot;#,##0_);[Red]\(&quot;$&quot;#,##0\)">
                        <c:v>313.12263180689104</c:v>
                      </c:pt>
                      <c:pt idx="412" formatCode="&quot;$&quot;#,##0_);[Red]\(&quot;$&quot;#,##0\)">
                        <c:v>313.12263180689104</c:v>
                      </c:pt>
                      <c:pt idx="413" formatCode="&quot;$&quot;#,##0_);[Red]\(&quot;$&quot;#,##0\)">
                        <c:v>317.63263180689103</c:v>
                      </c:pt>
                      <c:pt idx="414" formatCode="&quot;$&quot;#,##0_);[Red]\(&quot;$&quot;#,##0\)">
                        <c:v>379.43263180689121</c:v>
                      </c:pt>
                      <c:pt idx="415" formatCode="&quot;$&quot;#,##0_);[Red]\(&quot;$&quot;#,##0\)">
                        <c:v>379.43263180689121</c:v>
                      </c:pt>
                      <c:pt idx="416">
                        <c:v>379.43263180689121</c:v>
                      </c:pt>
                      <c:pt idx="417" formatCode="&quot;$&quot;#,##0_);[Red]\(&quot;$&quot;#,##0\)">
                        <c:v>379.43263180689121</c:v>
                      </c:pt>
                      <c:pt idx="418" formatCode="&quot;$&quot;#,##0_);[Red]\(&quot;$&quot;#,##0\)">
                        <c:v>538.93263180689144</c:v>
                      </c:pt>
                    </c:numCache>
                  </c:numRef>
                </c:val>
                <c:smooth val="1"/>
                <c:extLst xmlns:c15="http://schemas.microsoft.com/office/drawing/2012/chart">
                  <c:ext xmlns:c16="http://schemas.microsoft.com/office/drawing/2014/chart" uri="{C3380CC4-5D6E-409C-BE32-E72D297353CC}">
                    <c16:uniqueId val="{00000002-1693-4AB0-BA75-620A9224444E}"/>
                  </c:ext>
                </c:extLst>
              </c15:ser>
            </c15:filteredLineSeries>
            <c15:filteredLineSeries>
              <c15:ser>
                <c:idx val="4"/>
                <c:order val="7"/>
                <c:tx>
                  <c:v>SW (MOC)</c:v>
                </c:tx>
                <c:spPr>
                  <a:ln w="19050" cap="rnd">
                    <a:solidFill>
                      <a:schemeClr val="accent4">
                        <a:lumMod val="60000"/>
                        <a:lumOff val="40000"/>
                      </a:schemeClr>
                    </a:solidFill>
                    <a:prstDash val="sysDash"/>
                    <a:round/>
                  </a:ln>
                  <a:effectLst/>
                </c:spPr>
                <c:marker>
                  <c:symbol val="none"/>
                </c:marker>
                <c:val>
                  <c:numRef>
                    <c:extLst xmlns:c15="http://schemas.microsoft.com/office/drawing/2012/chart">
                      <c:ext xmlns:c15="http://schemas.microsoft.com/office/drawing/2012/chart" uri="{02D57815-91ED-43cb-92C2-25804820EDAC}">
                        <c15:formulaRef>
                          <c15:sqref>'2025-Q2'!$AV$4:$AV$422</c15:sqref>
                        </c15:formulaRef>
                      </c:ext>
                    </c:extLst>
                    <c:numCache>
                      <c:formatCode>"$"#,##0</c:formatCode>
                      <c:ptCount val="419"/>
                      <c:pt idx="0">
                        <c:v>0</c:v>
                      </c:pt>
                      <c:pt idx="1">
                        <c:v>0</c:v>
                      </c:pt>
                      <c:pt idx="2">
                        <c:v>45.449999999999818</c:v>
                      </c:pt>
                      <c:pt idx="3">
                        <c:v>35.25</c:v>
                      </c:pt>
                      <c:pt idx="4">
                        <c:v>55.25</c:v>
                      </c:pt>
                      <c:pt idx="5">
                        <c:v>70.090000000000146</c:v>
                      </c:pt>
                      <c:pt idx="6">
                        <c:v>85.490000000000236</c:v>
                      </c:pt>
                      <c:pt idx="7">
                        <c:v>158.24</c:v>
                      </c:pt>
                      <c:pt idx="8">
                        <c:v>177.32000000000005</c:v>
                      </c:pt>
                      <c:pt idx="9">
                        <c:v>177.32000000000005</c:v>
                      </c:pt>
                      <c:pt idx="10">
                        <c:v>197.30000000000007</c:v>
                      </c:pt>
                      <c:pt idx="11">
                        <c:v>236.89999999999998</c:v>
                      </c:pt>
                      <c:pt idx="12">
                        <c:v>236.89999999999998</c:v>
                      </c:pt>
                      <c:pt idx="13">
                        <c:v>231.72000000000014</c:v>
                      </c:pt>
                      <c:pt idx="14">
                        <c:v>231.72000000000014</c:v>
                      </c:pt>
                      <c:pt idx="15">
                        <c:v>231.54000000000008</c:v>
                      </c:pt>
                      <c:pt idx="16">
                        <c:v>231.54000000000008</c:v>
                      </c:pt>
                      <c:pt idx="17">
                        <c:v>231.54000000000008</c:v>
                      </c:pt>
                      <c:pt idx="18">
                        <c:v>212.34000000000003</c:v>
                      </c:pt>
                      <c:pt idx="19">
                        <c:v>243.65999999999997</c:v>
                      </c:pt>
                      <c:pt idx="20">
                        <c:v>256.64966594568602</c:v>
                      </c:pt>
                      <c:pt idx="21">
                        <c:v>252.56795937946242</c:v>
                      </c:pt>
                      <c:pt idx="22">
                        <c:v>252.56795937946242</c:v>
                      </c:pt>
                      <c:pt idx="23">
                        <c:v>258.96870149449035</c:v>
                      </c:pt>
                      <c:pt idx="24">
                        <c:v>281.78870149449051</c:v>
                      </c:pt>
                      <c:pt idx="25">
                        <c:v>19.92870149449061</c:v>
                      </c:pt>
                      <c:pt idx="26">
                        <c:v>19.92870149449061</c:v>
                      </c:pt>
                      <c:pt idx="27">
                        <c:v>19.92870149449061</c:v>
                      </c:pt>
                      <c:pt idx="28">
                        <c:v>19.92870149449061</c:v>
                      </c:pt>
                      <c:pt idx="29">
                        <c:v>26.67870149449061</c:v>
                      </c:pt>
                      <c:pt idx="30">
                        <c:v>26.67870149449061</c:v>
                      </c:pt>
                      <c:pt idx="31">
                        <c:v>26.67870149449061</c:v>
                      </c:pt>
                      <c:pt idx="32">
                        <c:v>26.67870149449061</c:v>
                      </c:pt>
                      <c:pt idx="33">
                        <c:v>18.628701494490656</c:v>
                      </c:pt>
                      <c:pt idx="34">
                        <c:v>-37.621298505509344</c:v>
                      </c:pt>
                      <c:pt idx="35">
                        <c:v>-117.30129850550941</c:v>
                      </c:pt>
                      <c:pt idx="36">
                        <c:v>-117.30129850550941</c:v>
                      </c:pt>
                      <c:pt idx="37">
                        <c:v>-136.55129850550941</c:v>
                      </c:pt>
                      <c:pt idx="38">
                        <c:v>-121.67129850550941</c:v>
                      </c:pt>
                      <c:pt idx="39">
                        <c:v>-121.67129850550941</c:v>
                      </c:pt>
                      <c:pt idx="40">
                        <c:v>-121.67129850550941</c:v>
                      </c:pt>
                      <c:pt idx="41">
                        <c:v>-121.67129850550941</c:v>
                      </c:pt>
                      <c:pt idx="42">
                        <c:v>-121.67129850550941</c:v>
                      </c:pt>
                      <c:pt idx="43">
                        <c:v>-45.861298505509467</c:v>
                      </c:pt>
                      <c:pt idx="44">
                        <c:v>-39.361298505509467</c:v>
                      </c:pt>
                      <c:pt idx="45">
                        <c:v>-28.111298505509467</c:v>
                      </c:pt>
                      <c:pt idx="46">
                        <c:v>-28.111298505509467</c:v>
                      </c:pt>
                      <c:pt idx="47">
                        <c:v>-28.111298505509467</c:v>
                      </c:pt>
                      <c:pt idx="48">
                        <c:v>-28.111298505509467</c:v>
                      </c:pt>
                      <c:pt idx="49">
                        <c:v>-142.53968337706056</c:v>
                      </c:pt>
                      <c:pt idx="50">
                        <c:v>-160.4474473522157</c:v>
                      </c:pt>
                      <c:pt idx="51">
                        <c:v>-68.287447352215622</c:v>
                      </c:pt>
                      <c:pt idx="52">
                        <c:v>-68.287447352215622</c:v>
                      </c:pt>
                      <c:pt idx="53">
                        <c:v>-33.00744735221565</c:v>
                      </c:pt>
                      <c:pt idx="54">
                        <c:v>-14.627447352215654</c:v>
                      </c:pt>
                      <c:pt idx="55">
                        <c:v>-14.627447352215654</c:v>
                      </c:pt>
                      <c:pt idx="56">
                        <c:v>-64.227447352215677</c:v>
                      </c:pt>
                      <c:pt idx="57">
                        <c:v>-64.227447352215677</c:v>
                      </c:pt>
                      <c:pt idx="58">
                        <c:v>-32.927447352215609</c:v>
                      </c:pt>
                      <c:pt idx="59">
                        <c:v>5.1725526477844141</c:v>
                      </c:pt>
                      <c:pt idx="60">
                        <c:v>7.8725526477844596</c:v>
                      </c:pt>
                      <c:pt idx="61">
                        <c:v>37.932552647784405</c:v>
                      </c:pt>
                      <c:pt idx="62">
                        <c:v>102.73255264778447</c:v>
                      </c:pt>
                      <c:pt idx="63">
                        <c:v>118.39255264778456</c:v>
                      </c:pt>
                      <c:pt idx="64">
                        <c:v>125.29255264778453</c:v>
                      </c:pt>
                      <c:pt idx="65">
                        <c:v>174.54255264778453</c:v>
                      </c:pt>
                      <c:pt idx="66">
                        <c:v>174.54255264778453</c:v>
                      </c:pt>
                      <c:pt idx="67">
                        <c:v>174.54255264778453</c:v>
                      </c:pt>
                      <c:pt idx="68">
                        <c:v>174.54255264778453</c:v>
                      </c:pt>
                      <c:pt idx="69">
                        <c:v>174.54255264778453</c:v>
                      </c:pt>
                      <c:pt idx="70">
                        <c:v>174.54255264778453</c:v>
                      </c:pt>
                      <c:pt idx="71">
                        <c:v>174.54255264778453</c:v>
                      </c:pt>
                      <c:pt idx="72">
                        <c:v>215.38255264778456</c:v>
                      </c:pt>
                      <c:pt idx="73">
                        <c:v>188.17255264778453</c:v>
                      </c:pt>
                      <c:pt idx="74">
                        <c:v>219.13255264778456</c:v>
                      </c:pt>
                      <c:pt idx="75">
                        <c:v>165.93255264778452</c:v>
                      </c:pt>
                      <c:pt idx="76">
                        <c:v>215.8325526477845</c:v>
                      </c:pt>
                      <c:pt idx="77">
                        <c:v>259.68255264778452</c:v>
                      </c:pt>
                      <c:pt idx="78">
                        <c:v>195.08255264778461</c:v>
                      </c:pt>
                      <c:pt idx="79">
                        <c:v>195.08255264778461</c:v>
                      </c:pt>
                      <c:pt idx="80">
                        <c:v>208.3425526477846</c:v>
                      </c:pt>
                      <c:pt idx="81">
                        <c:v>208.3425526477846</c:v>
                      </c:pt>
                      <c:pt idx="82">
                        <c:v>208.3425526477846</c:v>
                      </c:pt>
                      <c:pt idx="83">
                        <c:v>236.54255264778465</c:v>
                      </c:pt>
                      <c:pt idx="84">
                        <c:v>75.742552647784692</c:v>
                      </c:pt>
                      <c:pt idx="85">
                        <c:v>75.742552647784692</c:v>
                      </c:pt>
                      <c:pt idx="86">
                        <c:v>44.742552647784692</c:v>
                      </c:pt>
                      <c:pt idx="87">
                        <c:v>44.742552647784692</c:v>
                      </c:pt>
                      <c:pt idx="88">
                        <c:v>44.742552647784692</c:v>
                      </c:pt>
                      <c:pt idx="89">
                        <c:v>59.622552647784573</c:v>
                      </c:pt>
                      <c:pt idx="90">
                        <c:v>59.622552647784573</c:v>
                      </c:pt>
                      <c:pt idx="91">
                        <c:v>59.622552647784573</c:v>
                      </c:pt>
                      <c:pt idx="92">
                        <c:v>59.622552647784573</c:v>
                      </c:pt>
                      <c:pt idx="93">
                        <c:v>30.959567043367201</c:v>
                      </c:pt>
                      <c:pt idx="94">
                        <c:v>47.809567043367224</c:v>
                      </c:pt>
                      <c:pt idx="95">
                        <c:v>47.809567043367224</c:v>
                      </c:pt>
                      <c:pt idx="96">
                        <c:v>47.809567043367224</c:v>
                      </c:pt>
                      <c:pt idx="97">
                        <c:v>47.809567043367224</c:v>
                      </c:pt>
                      <c:pt idx="98">
                        <c:v>47.809567043367224</c:v>
                      </c:pt>
                      <c:pt idx="99">
                        <c:v>-49.590432956632867</c:v>
                      </c:pt>
                      <c:pt idx="100">
                        <c:v>-49.590432956632867</c:v>
                      </c:pt>
                      <c:pt idx="101">
                        <c:v>-67.840432956632867</c:v>
                      </c:pt>
                      <c:pt idx="102">
                        <c:v>-68.000432956632835</c:v>
                      </c:pt>
                      <c:pt idx="103">
                        <c:v>-68.000432956632835</c:v>
                      </c:pt>
                      <c:pt idx="104">
                        <c:v>-71.840432956632753</c:v>
                      </c:pt>
                      <c:pt idx="105">
                        <c:v>-71.840432956632753</c:v>
                      </c:pt>
                      <c:pt idx="106">
                        <c:v>-71.840432956632753</c:v>
                      </c:pt>
                      <c:pt idx="107">
                        <c:v>-136.64043295663271</c:v>
                      </c:pt>
                      <c:pt idx="108">
                        <c:v>-122.36043295663274</c:v>
                      </c:pt>
                      <c:pt idx="109">
                        <c:v>-176.00043295663284</c:v>
                      </c:pt>
                      <c:pt idx="110">
                        <c:v>-176.00043295663284</c:v>
                      </c:pt>
                      <c:pt idx="111">
                        <c:v>-176.00043295663284</c:v>
                      </c:pt>
                      <c:pt idx="112">
                        <c:v>-216.47043295663286</c:v>
                      </c:pt>
                      <c:pt idx="113">
                        <c:v>-188.0787935487491</c:v>
                      </c:pt>
                      <c:pt idx="114">
                        <c:v>-175.97879354874919</c:v>
                      </c:pt>
                      <c:pt idx="115">
                        <c:v>-61.018793548749386</c:v>
                      </c:pt>
                      <c:pt idx="116">
                        <c:v>-61.018793548749386</c:v>
                      </c:pt>
                      <c:pt idx="117">
                        <c:v>-61.018793548749386</c:v>
                      </c:pt>
                      <c:pt idx="118">
                        <c:v>-25.19879354874945</c:v>
                      </c:pt>
                      <c:pt idx="119">
                        <c:v>-31.378793548749513</c:v>
                      </c:pt>
                      <c:pt idx="120">
                        <c:v>-31.378793548749513</c:v>
                      </c:pt>
                      <c:pt idx="121">
                        <c:v>-31.378793548749513</c:v>
                      </c:pt>
                      <c:pt idx="122">
                        <c:v>-100.2787935487496</c:v>
                      </c:pt>
                      <c:pt idx="123">
                        <c:v>-109.67879354874947</c:v>
                      </c:pt>
                      <c:pt idx="124">
                        <c:v>-109.67879354874947</c:v>
                      </c:pt>
                      <c:pt idx="125">
                        <c:v>-43.758793548749395</c:v>
                      </c:pt>
                      <c:pt idx="126">
                        <c:v>-42.408793548749259</c:v>
                      </c:pt>
                      <c:pt idx="127">
                        <c:v>-42.408793548749259</c:v>
                      </c:pt>
                      <c:pt idx="128">
                        <c:v>-18.358793548749304</c:v>
                      </c:pt>
                      <c:pt idx="129">
                        <c:v>-18.358793548749304</c:v>
                      </c:pt>
                      <c:pt idx="130">
                        <c:v>24.921206451250669</c:v>
                      </c:pt>
                      <c:pt idx="131">
                        <c:v>24.921206451250669</c:v>
                      </c:pt>
                      <c:pt idx="132">
                        <c:v>18.921206451250555</c:v>
                      </c:pt>
                      <c:pt idx="133">
                        <c:v>18.921206451250555</c:v>
                      </c:pt>
                      <c:pt idx="134">
                        <c:v>18.921206451250555</c:v>
                      </c:pt>
                      <c:pt idx="135">
                        <c:v>18.921206451250555</c:v>
                      </c:pt>
                      <c:pt idx="136">
                        <c:v>18.921206451250555</c:v>
                      </c:pt>
                      <c:pt idx="137">
                        <c:v>18.921206451250555</c:v>
                      </c:pt>
                      <c:pt idx="138">
                        <c:v>18.921206451250555</c:v>
                      </c:pt>
                      <c:pt idx="139">
                        <c:v>18.921206451250555</c:v>
                      </c:pt>
                      <c:pt idx="140">
                        <c:v>26.761206451250359</c:v>
                      </c:pt>
                      <c:pt idx="141">
                        <c:v>26.761206451250359</c:v>
                      </c:pt>
                      <c:pt idx="142">
                        <c:v>26.761206451250359</c:v>
                      </c:pt>
                      <c:pt idx="143">
                        <c:v>26.761206451250359</c:v>
                      </c:pt>
                      <c:pt idx="144">
                        <c:v>26.761206451250359</c:v>
                      </c:pt>
                      <c:pt idx="145">
                        <c:v>26.761206451250359</c:v>
                      </c:pt>
                      <c:pt idx="146">
                        <c:v>26.761206451250359</c:v>
                      </c:pt>
                      <c:pt idx="147">
                        <c:v>26.761206451250359</c:v>
                      </c:pt>
                      <c:pt idx="148">
                        <c:v>32.011206451250359</c:v>
                      </c:pt>
                      <c:pt idx="149">
                        <c:v>82.511206451250359</c:v>
                      </c:pt>
                      <c:pt idx="150">
                        <c:v>113.42120645125044</c:v>
                      </c:pt>
                      <c:pt idx="151">
                        <c:v>236.01120645125059</c:v>
                      </c:pt>
                      <c:pt idx="152">
                        <c:v>236.01120645125059</c:v>
                      </c:pt>
                      <c:pt idx="153">
                        <c:v>178.41120645125056</c:v>
                      </c:pt>
                      <c:pt idx="154">
                        <c:v>190.35120645125062</c:v>
                      </c:pt>
                      <c:pt idx="155">
                        <c:v>171.54120645125067</c:v>
                      </c:pt>
                      <c:pt idx="156">
                        <c:v>171.54120645125067</c:v>
                      </c:pt>
                      <c:pt idx="157">
                        <c:v>175.84120645125066</c:v>
                      </c:pt>
                      <c:pt idx="158">
                        <c:v>141.43120645125069</c:v>
                      </c:pt>
                      <c:pt idx="159">
                        <c:v>48.131206451250733</c:v>
                      </c:pt>
                      <c:pt idx="160">
                        <c:v>85.331206451250551</c:v>
                      </c:pt>
                      <c:pt idx="161">
                        <c:v>118.93120645125057</c:v>
                      </c:pt>
                      <c:pt idx="162">
                        <c:v>118.93120645125057</c:v>
                      </c:pt>
                      <c:pt idx="163">
                        <c:v>118.93120645125057</c:v>
                      </c:pt>
                      <c:pt idx="164">
                        <c:v>126.41120645125059</c:v>
                      </c:pt>
                      <c:pt idx="165">
                        <c:v>216.02120645125072</c:v>
                      </c:pt>
                      <c:pt idx="166">
                        <c:v>208.66120645125071</c:v>
                      </c:pt>
                      <c:pt idx="167">
                        <c:v>227.98120645125087</c:v>
                      </c:pt>
                      <c:pt idx="168">
                        <c:v>227.98120645125087</c:v>
                      </c:pt>
                      <c:pt idx="169">
                        <c:v>247.23120645125087</c:v>
                      </c:pt>
                      <c:pt idx="170">
                        <c:v>247.23120645125087</c:v>
                      </c:pt>
                      <c:pt idx="171">
                        <c:v>161.08120645125089</c:v>
                      </c:pt>
                      <c:pt idx="172">
                        <c:v>161.08120645125089</c:v>
                      </c:pt>
                      <c:pt idx="173">
                        <c:v>229.00120645125085</c:v>
                      </c:pt>
                      <c:pt idx="174">
                        <c:v>229.00120645125085</c:v>
                      </c:pt>
                      <c:pt idx="175">
                        <c:v>319.42120645125067</c:v>
                      </c:pt>
                      <c:pt idx="176">
                        <c:v>319.42120645125067</c:v>
                      </c:pt>
                      <c:pt idx="177">
                        <c:v>365.84120645125074</c:v>
                      </c:pt>
                      <c:pt idx="178">
                        <c:v>365.84120645125074</c:v>
                      </c:pt>
                      <c:pt idx="179">
                        <c:v>365.84120645125074</c:v>
                      </c:pt>
                      <c:pt idx="180">
                        <c:v>314.2412064512506</c:v>
                      </c:pt>
                      <c:pt idx="181">
                        <c:v>307.34120645125074</c:v>
                      </c:pt>
                      <c:pt idx="182">
                        <c:v>332.24120645125083</c:v>
                      </c:pt>
                      <c:pt idx="183">
                        <c:v>339.09120645125086</c:v>
                      </c:pt>
                      <c:pt idx="184">
                        <c:v>339.09120645125086</c:v>
                      </c:pt>
                      <c:pt idx="185">
                        <c:v>339.09120645125086</c:v>
                      </c:pt>
                      <c:pt idx="186">
                        <c:v>339.09120645125086</c:v>
                      </c:pt>
                      <c:pt idx="187">
                        <c:v>331.25120645125094</c:v>
                      </c:pt>
                      <c:pt idx="188">
                        <c:v>331.25120645125094</c:v>
                      </c:pt>
                      <c:pt idx="189">
                        <c:v>331.25120645125094</c:v>
                      </c:pt>
                      <c:pt idx="190">
                        <c:v>271.49120645125095</c:v>
                      </c:pt>
                      <c:pt idx="191">
                        <c:v>271.49120645125095</c:v>
                      </c:pt>
                      <c:pt idx="192">
                        <c:v>218.73120645125073</c:v>
                      </c:pt>
                      <c:pt idx="193">
                        <c:v>218.73120645125073</c:v>
                      </c:pt>
                      <c:pt idx="194">
                        <c:v>218.73120645125073</c:v>
                      </c:pt>
                      <c:pt idx="195">
                        <c:v>158.55120645125089</c:v>
                      </c:pt>
                      <c:pt idx="196">
                        <c:v>155.69120645125099</c:v>
                      </c:pt>
                      <c:pt idx="197">
                        <c:v>155.69120645125099</c:v>
                      </c:pt>
                      <c:pt idx="198">
                        <c:v>155.69120645125099</c:v>
                      </c:pt>
                      <c:pt idx="199">
                        <c:v>155.69120645125099</c:v>
                      </c:pt>
                      <c:pt idx="200">
                        <c:v>155.69120645125099</c:v>
                      </c:pt>
                      <c:pt idx="201">
                        <c:v>155.69120645125099</c:v>
                      </c:pt>
                      <c:pt idx="202">
                        <c:v>165.81120645125111</c:v>
                      </c:pt>
                      <c:pt idx="203">
                        <c:v>165.81120645125111</c:v>
                      </c:pt>
                      <c:pt idx="204">
                        <c:v>194.93120645125123</c:v>
                      </c:pt>
                      <c:pt idx="205">
                        <c:v>118.37120645125117</c:v>
                      </c:pt>
                      <c:pt idx="206">
                        <c:v>195.83120645125121</c:v>
                      </c:pt>
                      <c:pt idx="207">
                        <c:v>195.83120645125121</c:v>
                      </c:pt>
                      <c:pt idx="208">
                        <c:v>181.91120645125113</c:v>
                      </c:pt>
                      <c:pt idx="209">
                        <c:v>181.91120645125113</c:v>
                      </c:pt>
                      <c:pt idx="210">
                        <c:v>77.06120645125111</c:v>
                      </c:pt>
                      <c:pt idx="211">
                        <c:v>66.701206451251096</c:v>
                      </c:pt>
                      <c:pt idx="212">
                        <c:v>85.211399342838945</c:v>
                      </c:pt>
                      <c:pt idx="213">
                        <c:v>85.211399342838945</c:v>
                      </c:pt>
                      <c:pt idx="214">
                        <c:v>85.211399342838945</c:v>
                      </c:pt>
                      <c:pt idx="215">
                        <c:v>85.211399342838945</c:v>
                      </c:pt>
                      <c:pt idx="216">
                        <c:v>129.05139934283909</c:v>
                      </c:pt>
                      <c:pt idx="217">
                        <c:v>129.05139934283909</c:v>
                      </c:pt>
                      <c:pt idx="218">
                        <c:v>129.05139934283909</c:v>
                      </c:pt>
                      <c:pt idx="219">
                        <c:v>246.01139934283913</c:v>
                      </c:pt>
                      <c:pt idx="220">
                        <c:v>246.01139934283913</c:v>
                      </c:pt>
                      <c:pt idx="221">
                        <c:v>231.71139934283894</c:v>
                      </c:pt>
                      <c:pt idx="222">
                        <c:v>231.71139934283894</c:v>
                      </c:pt>
                      <c:pt idx="223">
                        <c:v>231.71139934283894</c:v>
                      </c:pt>
                      <c:pt idx="224">
                        <c:v>302.23139934283893</c:v>
                      </c:pt>
                      <c:pt idx="225">
                        <c:v>302.23139934283893</c:v>
                      </c:pt>
                      <c:pt idx="226">
                        <c:v>199.28139934283888</c:v>
                      </c:pt>
                      <c:pt idx="227">
                        <c:v>199.28139934283888</c:v>
                      </c:pt>
                      <c:pt idx="228">
                        <c:v>216.20139934283895</c:v>
                      </c:pt>
                      <c:pt idx="229">
                        <c:v>255.68139934283897</c:v>
                      </c:pt>
                      <c:pt idx="230">
                        <c:v>255.68139934283897</c:v>
                      </c:pt>
                      <c:pt idx="231">
                        <c:v>213.14249066104651</c:v>
                      </c:pt>
                      <c:pt idx="232">
                        <c:v>266.9024906610465</c:v>
                      </c:pt>
                      <c:pt idx="233">
                        <c:v>256.66249066104672</c:v>
                      </c:pt>
                      <c:pt idx="234">
                        <c:v>256.66249066104672</c:v>
                      </c:pt>
                      <c:pt idx="235">
                        <c:v>256.66249066104672</c:v>
                      </c:pt>
                      <c:pt idx="236">
                        <c:v>256.66249066104672</c:v>
                      </c:pt>
                      <c:pt idx="237">
                        <c:v>264.4624906610469</c:v>
                      </c:pt>
                      <c:pt idx="238">
                        <c:v>167.92249066104694</c:v>
                      </c:pt>
                      <c:pt idx="239">
                        <c:v>187.36249066104699</c:v>
                      </c:pt>
                      <c:pt idx="240">
                        <c:v>187.36249066104699</c:v>
                      </c:pt>
                      <c:pt idx="241">
                        <c:v>187.36249066104699</c:v>
                      </c:pt>
                      <c:pt idx="242">
                        <c:v>186.04249066104705</c:v>
                      </c:pt>
                      <c:pt idx="243">
                        <c:v>186.04249066104705</c:v>
                      </c:pt>
                      <c:pt idx="244">
                        <c:v>87.822490661047027</c:v>
                      </c:pt>
                      <c:pt idx="245">
                        <c:v>87.822490661047027</c:v>
                      </c:pt>
                      <c:pt idx="246">
                        <c:v>87.822490661047027</c:v>
                      </c:pt>
                      <c:pt idx="247">
                        <c:v>87.822490661047027</c:v>
                      </c:pt>
                      <c:pt idx="248">
                        <c:v>87.822490661047027</c:v>
                      </c:pt>
                      <c:pt idx="249">
                        <c:v>87.822490661047027</c:v>
                      </c:pt>
                      <c:pt idx="250">
                        <c:v>87.822490661047027</c:v>
                      </c:pt>
                      <c:pt idx="251">
                        <c:v>-6.3775093389530184</c:v>
                      </c:pt>
                      <c:pt idx="252">
                        <c:v>3.4224906610469361</c:v>
                      </c:pt>
                      <c:pt idx="253">
                        <c:v>3.4224906610469361</c:v>
                      </c:pt>
                      <c:pt idx="254">
                        <c:v>3.4224906610469361</c:v>
                      </c:pt>
                      <c:pt idx="255">
                        <c:v>3.4224906610469361</c:v>
                      </c:pt>
                      <c:pt idx="256">
                        <c:v>33.122490661046754</c:v>
                      </c:pt>
                      <c:pt idx="257">
                        <c:v>33.122490661046754</c:v>
                      </c:pt>
                      <c:pt idx="258">
                        <c:v>33.122490661046754</c:v>
                      </c:pt>
                      <c:pt idx="259">
                        <c:v>33.122490661046754</c:v>
                      </c:pt>
                      <c:pt idx="260">
                        <c:v>33.122490661046754</c:v>
                      </c:pt>
                      <c:pt idx="261">
                        <c:v>33.122490661046754</c:v>
                      </c:pt>
                      <c:pt idx="262">
                        <c:v>33.122490661046754</c:v>
                      </c:pt>
                      <c:pt idx="263">
                        <c:v>-3.3275093389532913</c:v>
                      </c:pt>
                      <c:pt idx="264">
                        <c:v>-3.3275093389532913</c:v>
                      </c:pt>
                      <c:pt idx="265">
                        <c:v>-3.3275093389532913</c:v>
                      </c:pt>
                      <c:pt idx="266">
                        <c:v>20.122490661046527</c:v>
                      </c:pt>
                      <c:pt idx="267">
                        <c:v>20.122490661046527</c:v>
                      </c:pt>
                      <c:pt idx="268">
                        <c:v>20.122490661046527</c:v>
                      </c:pt>
                      <c:pt idx="269">
                        <c:v>20.122490661046527</c:v>
                      </c:pt>
                      <c:pt idx="270">
                        <c:v>20.122490661046527</c:v>
                      </c:pt>
                      <c:pt idx="271">
                        <c:v>20.122490661046527</c:v>
                      </c:pt>
                      <c:pt idx="272">
                        <c:v>20.122490661046527</c:v>
                      </c:pt>
                      <c:pt idx="273">
                        <c:v>20.122490661046527</c:v>
                      </c:pt>
                      <c:pt idx="274">
                        <c:v>20.122490661046527</c:v>
                      </c:pt>
                      <c:pt idx="275">
                        <c:v>20.122490661046527</c:v>
                      </c:pt>
                      <c:pt idx="276">
                        <c:v>20.122490661046527</c:v>
                      </c:pt>
                      <c:pt idx="277">
                        <c:v>20.122490661046527</c:v>
                      </c:pt>
                      <c:pt idx="278">
                        <c:v>20.122490661046527</c:v>
                      </c:pt>
                      <c:pt idx="279">
                        <c:v>20.122490661046527</c:v>
                      </c:pt>
                      <c:pt idx="280">
                        <c:v>15.562490661046581</c:v>
                      </c:pt>
                      <c:pt idx="281">
                        <c:v>-40.597509338953273</c:v>
                      </c:pt>
                      <c:pt idx="282">
                        <c:v>-40.597509338953273</c:v>
                      </c:pt>
                      <c:pt idx="283">
                        <c:v>-40.597509338953273</c:v>
                      </c:pt>
                      <c:pt idx="284">
                        <c:v>-7.2975093389533185</c:v>
                      </c:pt>
                      <c:pt idx="285">
                        <c:v>-7.2975093389533185</c:v>
                      </c:pt>
                      <c:pt idx="286">
                        <c:v>1.1024906610467724</c:v>
                      </c:pt>
                      <c:pt idx="287">
                        <c:v>1.1024906610467724</c:v>
                      </c:pt>
                      <c:pt idx="288">
                        <c:v>151.70249066104691</c:v>
                      </c:pt>
                      <c:pt idx="289">
                        <c:v>151.70249066104691</c:v>
                      </c:pt>
                      <c:pt idx="290">
                        <c:v>151.70249066104691</c:v>
                      </c:pt>
                      <c:pt idx="291">
                        <c:v>151.70249066104691</c:v>
                      </c:pt>
                      <c:pt idx="292">
                        <c:v>151.70249066104691</c:v>
                      </c:pt>
                      <c:pt idx="293">
                        <c:v>148.00249066104664</c:v>
                      </c:pt>
                      <c:pt idx="294">
                        <c:v>148.00249066104664</c:v>
                      </c:pt>
                      <c:pt idx="295">
                        <c:v>148.00249066104664</c:v>
                      </c:pt>
                      <c:pt idx="296">
                        <c:v>148.00249066104664</c:v>
                      </c:pt>
                      <c:pt idx="297">
                        <c:v>148.00249066104664</c:v>
                      </c:pt>
                      <c:pt idx="298">
                        <c:v>148.00249066104664</c:v>
                      </c:pt>
                      <c:pt idx="299">
                        <c:v>121.60249066104666</c:v>
                      </c:pt>
                      <c:pt idx="300">
                        <c:v>175.24249066104653</c:v>
                      </c:pt>
                      <c:pt idx="301">
                        <c:v>345.26249066104651</c:v>
                      </c:pt>
                      <c:pt idx="302">
                        <c:v>345.26249066104651</c:v>
                      </c:pt>
                      <c:pt idx="303">
                        <c:v>428.48249066104654</c:v>
                      </c:pt>
                      <c:pt idx="304">
                        <c:v>428.48249066104654</c:v>
                      </c:pt>
                      <c:pt idx="305">
                        <c:v>531.88249066104663</c:v>
                      </c:pt>
                      <c:pt idx="306">
                        <c:v>676.08249066104668</c:v>
                      </c:pt>
                      <c:pt idx="307">
                        <c:v>685.53249066104672</c:v>
                      </c:pt>
                      <c:pt idx="308">
                        <c:v>685.53249066104672</c:v>
                      </c:pt>
                      <c:pt idx="309">
                        <c:v>685.53249066104672</c:v>
                      </c:pt>
                      <c:pt idx="310">
                        <c:v>685.53249066104672</c:v>
                      </c:pt>
                      <c:pt idx="311">
                        <c:v>685.53249066104672</c:v>
                      </c:pt>
                      <c:pt idx="312">
                        <c:v>685.53249066104672</c:v>
                      </c:pt>
                      <c:pt idx="313">
                        <c:v>685.53249066104672</c:v>
                      </c:pt>
                      <c:pt idx="314">
                        <c:v>685.53249066104672</c:v>
                      </c:pt>
                      <c:pt idx="315">
                        <c:v>685.53249066104672</c:v>
                      </c:pt>
                      <c:pt idx="316">
                        <c:v>685.53249066104672</c:v>
                      </c:pt>
                      <c:pt idx="317">
                        <c:v>685.53249066104672</c:v>
                      </c:pt>
                      <c:pt idx="318">
                        <c:v>599.43627194988017</c:v>
                      </c:pt>
                      <c:pt idx="319">
                        <c:v>814.11627194988023</c:v>
                      </c:pt>
                      <c:pt idx="320">
                        <c:v>814.11627194988023</c:v>
                      </c:pt>
                      <c:pt idx="321">
                        <c:v>804.91627194988018</c:v>
                      </c:pt>
                      <c:pt idx="322">
                        <c:v>869.71627194988037</c:v>
                      </c:pt>
                      <c:pt idx="323">
                        <c:v>640.46627194988037</c:v>
                      </c:pt>
                      <c:pt idx="324">
                        <c:v>640.46627194988037</c:v>
                      </c:pt>
                      <c:pt idx="325">
                        <c:v>690.46627194988037</c:v>
                      </c:pt>
                      <c:pt idx="326">
                        <c:v>690.46627194988037</c:v>
                      </c:pt>
                      <c:pt idx="327">
                        <c:v>686.86627194988023</c:v>
                      </c:pt>
                      <c:pt idx="328">
                        <c:v>659.41627194988018</c:v>
                      </c:pt>
                      <c:pt idx="329">
                        <c:v>659.41627194988018</c:v>
                      </c:pt>
                      <c:pt idx="330">
                        <c:v>659.41627194988018</c:v>
                      </c:pt>
                      <c:pt idx="331">
                        <c:v>730.45627194988015</c:v>
                      </c:pt>
                      <c:pt idx="332">
                        <c:v>846.73627194988012</c:v>
                      </c:pt>
                      <c:pt idx="333">
                        <c:v>906.13627194988021</c:v>
                      </c:pt>
                      <c:pt idx="334">
                        <c:v>906.13627194988021</c:v>
                      </c:pt>
                      <c:pt idx="335">
                        <c:v>962.59627194988025</c:v>
                      </c:pt>
                      <c:pt idx="336">
                        <c:v>956.35627194988024</c:v>
                      </c:pt>
                      <c:pt idx="337">
                        <c:v>956.35627194988024</c:v>
                      </c:pt>
                      <c:pt idx="338">
                        <c:v>956.35627194988024</c:v>
                      </c:pt>
                      <c:pt idx="339">
                        <c:v>892.09627194988025</c:v>
                      </c:pt>
                      <c:pt idx="340">
                        <c:v>768.40627194988019</c:v>
                      </c:pt>
                      <c:pt idx="341">
                        <c:v>768.40627194988019</c:v>
                      </c:pt>
                      <c:pt idx="342">
                        <c:v>768.40627194988019</c:v>
                      </c:pt>
                      <c:pt idx="343">
                        <c:v>759.08627194988026</c:v>
                      </c:pt>
                      <c:pt idx="344">
                        <c:v>631.52627194988031</c:v>
                      </c:pt>
                      <c:pt idx="345">
                        <c:v>631.52627194988031</c:v>
                      </c:pt>
                      <c:pt idx="346">
                        <c:v>631.52627194988031</c:v>
                      </c:pt>
                      <c:pt idx="347">
                        <c:v>602.12627194987999</c:v>
                      </c:pt>
                      <c:pt idx="348">
                        <c:v>602.12627194987999</c:v>
                      </c:pt>
                      <c:pt idx="349">
                        <c:v>602.12627194987999</c:v>
                      </c:pt>
                      <c:pt idx="350">
                        <c:v>602.12627194987999</c:v>
                      </c:pt>
                      <c:pt idx="351">
                        <c:v>598.92627194987995</c:v>
                      </c:pt>
                      <c:pt idx="352">
                        <c:v>537.18627194987994</c:v>
                      </c:pt>
                      <c:pt idx="353">
                        <c:v>537.18627194987994</c:v>
                      </c:pt>
                      <c:pt idx="354">
                        <c:v>537.18627194987994</c:v>
                      </c:pt>
                      <c:pt idx="355">
                        <c:v>476.94627194987993</c:v>
                      </c:pt>
                      <c:pt idx="356">
                        <c:v>323.16627194987996</c:v>
                      </c:pt>
                      <c:pt idx="357">
                        <c:v>323.16627194987996</c:v>
                      </c:pt>
                      <c:pt idx="358">
                        <c:v>323.16627194987996</c:v>
                      </c:pt>
                      <c:pt idx="359">
                        <c:v>323.16627194987996</c:v>
                      </c:pt>
                      <c:pt idx="360">
                        <c:v>152.86627194988</c:v>
                      </c:pt>
                      <c:pt idx="361">
                        <c:v>154.61627194988</c:v>
                      </c:pt>
                      <c:pt idx="362">
                        <c:v>393.09627194988002</c:v>
                      </c:pt>
                      <c:pt idx="363">
                        <c:v>393.09627194988002</c:v>
                      </c:pt>
                      <c:pt idx="364">
                        <c:v>332.91627194987996</c:v>
                      </c:pt>
                      <c:pt idx="365">
                        <c:v>332.91627194987996</c:v>
                      </c:pt>
                      <c:pt idx="366">
                        <c:v>332.91627194987996</c:v>
                      </c:pt>
                      <c:pt idx="367">
                        <c:v>332.91627194987996</c:v>
                      </c:pt>
                      <c:pt idx="368">
                        <c:v>653.01627194988009</c:v>
                      </c:pt>
                      <c:pt idx="369">
                        <c:v>630.69627194988016</c:v>
                      </c:pt>
                      <c:pt idx="370">
                        <c:v>630.69627194988016</c:v>
                      </c:pt>
                      <c:pt idx="371">
                        <c:v>674.49627194988034</c:v>
                      </c:pt>
                      <c:pt idx="372">
                        <c:v>628.94627194988061</c:v>
                      </c:pt>
                      <c:pt idx="373">
                        <c:v>657.74627194988079</c:v>
                      </c:pt>
                      <c:pt idx="374">
                        <c:v>930.20627194988106</c:v>
                      </c:pt>
                      <c:pt idx="375">
                        <c:v>817.70627194988106</c:v>
                      </c:pt>
                      <c:pt idx="376">
                        <c:v>781.70627194988106</c:v>
                      </c:pt>
                      <c:pt idx="377">
                        <c:v>1049.0062719498812</c:v>
                      </c:pt>
                      <c:pt idx="378">
                        <c:v>891.6862719498813</c:v>
                      </c:pt>
                      <c:pt idx="379">
                        <c:v>908.6862719498813</c:v>
                      </c:pt>
                      <c:pt idx="380">
                        <c:v>809.88627194988135</c:v>
                      </c:pt>
                      <c:pt idx="381">
                        <c:v>748.83383890574692</c:v>
                      </c:pt>
                      <c:pt idx="382">
                        <c:v>748.83383890574692</c:v>
                      </c:pt>
                      <c:pt idx="383">
                        <c:v>787.68383890574682</c:v>
                      </c:pt>
                      <c:pt idx="384">
                        <c:v>759.36383890574689</c:v>
                      </c:pt>
                      <c:pt idx="385">
                        <c:v>759.36383890574689</c:v>
                      </c:pt>
                      <c:pt idx="386">
                        <c:v>591.96383890574702</c:v>
                      </c:pt>
                      <c:pt idx="387">
                        <c:v>591.96383890574702</c:v>
                      </c:pt>
                      <c:pt idx="388">
                        <c:v>591.96383890574702</c:v>
                      </c:pt>
                      <c:pt idx="389">
                        <c:v>591.96383890574702</c:v>
                      </c:pt>
                      <c:pt idx="390">
                        <c:v>740.97383890574679</c:v>
                      </c:pt>
                      <c:pt idx="391">
                        <c:v>740.97383890574679</c:v>
                      </c:pt>
                      <c:pt idx="392">
                        <c:v>740.97383890574679</c:v>
                      </c:pt>
                      <c:pt idx="393">
                        <c:v>714.84383890574668</c:v>
                      </c:pt>
                      <c:pt idx="394">
                        <c:v>835.74383890574654</c:v>
                      </c:pt>
                      <c:pt idx="395">
                        <c:v>543.99383890574654</c:v>
                      </c:pt>
                      <c:pt idx="396">
                        <c:v>543.99383890574654</c:v>
                      </c:pt>
                      <c:pt idx="397">
                        <c:v>555.99383890574654</c:v>
                      </c:pt>
                      <c:pt idx="398">
                        <c:v>555.99383890574654</c:v>
                      </c:pt>
                      <c:pt idx="399">
                        <c:v>555.99383890574654</c:v>
                      </c:pt>
                      <c:pt idx="400">
                        <c:v>555.99383890574654</c:v>
                      </c:pt>
                      <c:pt idx="401">
                        <c:v>382.55383890574649</c:v>
                      </c:pt>
                      <c:pt idx="402">
                        <c:v>135.87383890574642</c:v>
                      </c:pt>
                      <c:pt idx="403">
                        <c:v>135.87383890574642</c:v>
                      </c:pt>
                      <c:pt idx="404">
                        <c:v>288.60383890574622</c:v>
                      </c:pt>
                      <c:pt idx="405">
                        <c:v>288.60383890574622</c:v>
                      </c:pt>
                      <c:pt idx="406">
                        <c:v>149.82383890574624</c:v>
                      </c:pt>
                      <c:pt idx="407">
                        <c:v>149.82383890574624</c:v>
                      </c:pt>
                      <c:pt idx="408">
                        <c:v>149.82383890574624</c:v>
                      </c:pt>
                      <c:pt idx="409">
                        <c:v>149.82383890574624</c:v>
                      </c:pt>
                      <c:pt idx="410">
                        <c:v>95.093838905746452</c:v>
                      </c:pt>
                      <c:pt idx="411">
                        <c:v>95.093838905746452</c:v>
                      </c:pt>
                      <c:pt idx="412">
                        <c:v>95.093838905746452</c:v>
                      </c:pt>
                      <c:pt idx="413">
                        <c:v>197.17383890574638</c:v>
                      </c:pt>
                      <c:pt idx="414">
                        <c:v>296.77383890574652</c:v>
                      </c:pt>
                      <c:pt idx="415">
                        <c:v>296.77383890574652</c:v>
                      </c:pt>
                      <c:pt idx="416">
                        <c:v>296.77383890574652</c:v>
                      </c:pt>
                      <c:pt idx="417">
                        <c:v>296.77383890574652</c:v>
                      </c:pt>
                      <c:pt idx="418">
                        <c:v>505.77383890574674</c:v>
                      </c:pt>
                    </c:numCache>
                  </c:numRef>
                </c:val>
                <c:smooth val="0"/>
                <c:extLst xmlns:c15="http://schemas.microsoft.com/office/drawing/2012/chart">
                  <c:ext xmlns:c16="http://schemas.microsoft.com/office/drawing/2014/chart" uri="{C3380CC4-5D6E-409C-BE32-E72D297353CC}">
                    <c16:uniqueId val="{00000000-E40B-4614-BAB7-0785497FEB68}"/>
                  </c:ext>
                </c:extLst>
              </c15:ser>
            </c15:filteredLineSeries>
          </c:ext>
        </c:extLst>
      </c:lineChart>
      <c:catAx>
        <c:axId val="147683023"/>
        <c:scaling>
          <c:orientation val="minMax"/>
        </c:scaling>
        <c:delete val="0"/>
        <c:axPos val="b"/>
        <c:majorGridlines>
          <c:spPr>
            <a:ln w="9525" cap="flat" cmpd="sng" algn="ctr">
              <a:solidFill>
                <a:schemeClr val="tx1">
                  <a:lumMod val="75000"/>
                  <a:lumOff val="25000"/>
                </a:schemeClr>
              </a:solidFill>
              <a:prstDash val="dash"/>
              <a:round/>
            </a:ln>
            <a:effectLst/>
          </c:spPr>
        </c:majorGridlines>
        <c:majorTickMark val="none"/>
        <c:minorTickMark val="none"/>
        <c:tickLblPos val="low"/>
        <c:spPr>
          <a:noFill/>
          <a:ln w="12700" cap="flat" cmpd="sng" algn="ctr">
            <a:solidFill>
              <a:sysClr val="windowText" lastClr="000000"/>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6645279"/>
        <c:crosses val="autoZero"/>
        <c:auto val="1"/>
        <c:lblAlgn val="ctr"/>
        <c:lblOffset val="100"/>
        <c:tickLblSkip val="25"/>
        <c:tickMarkSkip val="25"/>
        <c:noMultiLvlLbl val="0"/>
      </c:catAx>
      <c:valAx>
        <c:axId val="146645279"/>
        <c:scaling>
          <c:orientation val="minMax"/>
        </c:scaling>
        <c:delete val="0"/>
        <c:axPos val="r"/>
        <c:majorGridlines>
          <c:spPr>
            <a:ln w="9525" cap="flat" cmpd="sng" algn="ctr">
              <a:solidFill>
                <a:schemeClr val="tx1">
                  <a:lumMod val="75000"/>
                  <a:lumOff val="25000"/>
                </a:schemeClr>
              </a:solidFill>
              <a:prstDash val="dash"/>
              <a:round/>
            </a:ln>
            <a:effectLst/>
          </c:spPr>
        </c:majorGridlines>
        <c:numFmt formatCode="&quot;$&quot;#,##0" sourceLinked="1"/>
        <c:majorTickMark val="none"/>
        <c:minorTickMark val="none"/>
        <c:tickLblPos val="high"/>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7683023"/>
        <c:crosses val="max"/>
        <c:crossBetween val="between"/>
      </c:valAx>
      <c:spPr>
        <a:solidFill>
          <a:schemeClr val="tx1">
            <a:lumMod val="65000"/>
            <a:lumOff val="35000"/>
          </a:schemeClr>
        </a:solidFill>
        <a:ln>
          <a:solidFill>
            <a:sysClr val="windowText" lastClr="000000"/>
          </a:solidFill>
        </a:ln>
        <a:effectLst/>
      </c:spPr>
    </c:plotArea>
    <c:legend>
      <c:legendPos val="t"/>
      <c:layout>
        <c:manualLayout>
          <c:xMode val="edge"/>
          <c:yMode val="edge"/>
          <c:x val="0.3000645783920331"/>
          <c:y val="1.2316999395039325E-2"/>
          <c:w val="0.67240452613176072"/>
          <c:h val="4.9614968727820091E-2"/>
        </c:manualLayout>
      </c:layout>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legend>
    <c:plotVisOnly val="0"/>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accent3">
                    <a:lumMod val="75000"/>
                  </a:schemeClr>
                </a:solidFill>
                <a:latin typeface="+mn-lt"/>
                <a:ea typeface="+mn-ea"/>
                <a:cs typeface="+mn-cs"/>
              </a:defRPr>
            </a:pPr>
            <a:r>
              <a:rPr lang="en-US" sz="2000" b="1">
                <a:solidFill>
                  <a:schemeClr val="accent3">
                    <a:lumMod val="75000"/>
                  </a:schemeClr>
                </a:solidFill>
              </a:rPr>
              <a:t>The Three Tiers (XLK)</a:t>
            </a:r>
          </a:p>
        </c:rich>
      </c:tx>
      <c:layout>
        <c:manualLayout>
          <c:xMode val="edge"/>
          <c:yMode val="edge"/>
          <c:x val="2.8694404591104734E-2"/>
          <c:y val="2.4198427102238356E-3"/>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accent3">
                  <a:lumMod val="75000"/>
                </a:schemeClr>
              </a:solidFill>
              <a:latin typeface="+mn-lt"/>
              <a:ea typeface="+mn-ea"/>
              <a:cs typeface="+mn-cs"/>
            </a:defRPr>
          </a:pPr>
          <a:endParaRPr lang="en-US"/>
        </a:p>
      </c:txPr>
    </c:title>
    <c:autoTitleDeleted val="0"/>
    <c:plotArea>
      <c:layout>
        <c:manualLayout>
          <c:layoutTarget val="inner"/>
          <c:xMode val="edge"/>
          <c:yMode val="edge"/>
          <c:x val="1.0171058714748035E-2"/>
          <c:y val="7.7350558040499021E-2"/>
          <c:w val="0.95283482768537431"/>
          <c:h val="0.86018548951798435"/>
        </c:manualLayout>
      </c:layout>
      <c:lineChart>
        <c:grouping val="standard"/>
        <c:varyColors val="0"/>
        <c:ser>
          <c:idx val="0"/>
          <c:order val="0"/>
          <c:tx>
            <c:v>Up</c:v>
          </c:tx>
          <c:spPr>
            <a:ln w="28575" cap="rnd">
              <a:solidFill>
                <a:schemeClr val="accent6">
                  <a:lumMod val="75000"/>
                </a:schemeClr>
              </a:solidFill>
              <a:prstDash val="solid"/>
              <a:round/>
            </a:ln>
            <a:effectLst/>
          </c:spPr>
          <c:marker>
            <c:symbol val="none"/>
          </c:marker>
          <c:val>
            <c:numRef>
              <c:f>'2025-Q2'!$CJ$4:$CJ$422</c:f>
              <c:numCache>
                <c:formatCode>0.00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0.40279467610514952</c:v>
                </c:pt>
                <c:pt idx="412">
                  <c:v>0.40279467610514952</c:v>
                </c:pt>
                <c:pt idx="413">
                  <c:v>0.40279467610514952</c:v>
                </c:pt>
                <c:pt idx="414">
                  <c:v>0.40279467610514952</c:v>
                </c:pt>
                <c:pt idx="415">
                  <c:v>0.40279467610514952</c:v>
                </c:pt>
                <c:pt idx="416">
                  <c:v>0.40279467610514952</c:v>
                </c:pt>
                <c:pt idx="417">
                  <c:v>0.40279467610514952</c:v>
                </c:pt>
                <c:pt idx="418">
                  <c:v>0.40279467610514952</c:v>
                </c:pt>
              </c:numCache>
            </c:numRef>
          </c:val>
          <c:smooth val="1"/>
          <c:extLst>
            <c:ext xmlns:c16="http://schemas.microsoft.com/office/drawing/2014/chart" uri="{C3380CC4-5D6E-409C-BE32-E72D297353CC}">
              <c16:uniqueId val="{00000000-C32E-43EB-ABBC-9B224275713E}"/>
            </c:ext>
          </c:extLst>
        </c:ser>
        <c:ser>
          <c:idx val="1"/>
          <c:order val="2"/>
          <c:tx>
            <c:v>Dwn</c:v>
          </c:tx>
          <c:spPr>
            <a:ln w="28575" cap="rnd">
              <a:solidFill>
                <a:schemeClr val="accent2"/>
              </a:solidFill>
              <a:prstDash val="solid"/>
              <a:round/>
            </a:ln>
            <a:effectLst/>
          </c:spPr>
          <c:marker>
            <c:symbol val="none"/>
          </c:marker>
          <c:val>
            <c:numRef>
              <c:f>'2025-Q2'!$CL$4:$CL$422</c:f>
              <c:numCache>
                <c:formatCode>0.00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1.8934431343190481</c:v>
                </c:pt>
                <c:pt idx="58">
                  <c:v>1.8934431343190481</c:v>
                </c:pt>
                <c:pt idx="59">
                  <c:v>1.8934431343190481</c:v>
                </c:pt>
                <c:pt idx="60">
                  <c:v>1.8934431343190481</c:v>
                </c:pt>
                <c:pt idx="61">
                  <c:v>1.8934431343190481</c:v>
                </c:pt>
                <c:pt idx="62">
                  <c:v>1.8934431343190481</c:v>
                </c:pt>
                <c:pt idx="63">
                  <c:v>1.8934431343190481</c:v>
                </c:pt>
                <c:pt idx="64">
                  <c:v>1.8934431343190481</c:v>
                </c:pt>
                <c:pt idx="65">
                  <c:v>1.8934431343190481</c:v>
                </c:pt>
                <c:pt idx="66">
                  <c:v>1.8934431343190481</c:v>
                </c:pt>
                <c:pt idx="67">
                  <c:v>1.8934431343190481</c:v>
                </c:pt>
                <c:pt idx="68">
                  <c:v>1.8934431343190481</c:v>
                </c:pt>
                <c:pt idx="69">
                  <c:v>1.8934431343190481</c:v>
                </c:pt>
                <c:pt idx="70">
                  <c:v>1.8934431343190481</c:v>
                </c:pt>
                <c:pt idx="71">
                  <c:v>1.8934431343190481</c:v>
                </c:pt>
                <c:pt idx="72">
                  <c:v>1.8934431343190481</c:v>
                </c:pt>
                <c:pt idx="73">
                  <c:v>1.8934431343190481</c:v>
                </c:pt>
                <c:pt idx="74">
                  <c:v>1.8934431343190481</c:v>
                </c:pt>
                <c:pt idx="75">
                  <c:v>1.8934431343190481</c:v>
                </c:pt>
                <c:pt idx="76">
                  <c:v>1.8934431343190481</c:v>
                </c:pt>
                <c:pt idx="77">
                  <c:v>1.8934431343190481</c:v>
                </c:pt>
                <c:pt idx="78">
                  <c:v>1.8934431343190481</c:v>
                </c:pt>
                <c:pt idx="79">
                  <c:v>1.8934431343190481</c:v>
                </c:pt>
                <c:pt idx="80">
                  <c:v>1.8934431343190481</c:v>
                </c:pt>
                <c:pt idx="81">
                  <c:v>1.8934431343190481</c:v>
                </c:pt>
                <c:pt idx="82">
                  <c:v>1.8934431343190481</c:v>
                </c:pt>
                <c:pt idx="83">
                  <c:v>1.8934431343190481</c:v>
                </c:pt>
                <c:pt idx="84">
                  <c:v>1.8934431343190481</c:v>
                </c:pt>
                <c:pt idx="85">
                  <c:v>1.8934431343190481</c:v>
                </c:pt>
                <c:pt idx="86">
                  <c:v>1.8934431343190481</c:v>
                </c:pt>
                <c:pt idx="87">
                  <c:v>1.8934431343190481</c:v>
                </c:pt>
                <c:pt idx="88">
                  <c:v>1.8934431343190481</c:v>
                </c:pt>
                <c:pt idx="89">
                  <c:v>1.8934431343190481</c:v>
                </c:pt>
                <c:pt idx="90">
                  <c:v>1.8934431343190481</c:v>
                </c:pt>
                <c:pt idx="91">
                  <c:v>1.8934431343190481</c:v>
                </c:pt>
                <c:pt idx="92">
                  <c:v>1.8934431343190481</c:v>
                </c:pt>
                <c:pt idx="93">
                  <c:v>1.8934431343190481</c:v>
                </c:pt>
                <c:pt idx="94">
                  <c:v>1.8934431343190481</c:v>
                </c:pt>
                <c:pt idx="95">
                  <c:v>1.8934431343190481</c:v>
                </c:pt>
                <c:pt idx="96">
                  <c:v>1.8934431343190481</c:v>
                </c:pt>
                <c:pt idx="97">
                  <c:v>1.8934431343190481</c:v>
                </c:pt>
                <c:pt idx="98">
                  <c:v>1.8934431343190481</c:v>
                </c:pt>
                <c:pt idx="99">
                  <c:v>1.8934431343190481</c:v>
                </c:pt>
                <c:pt idx="100">
                  <c:v>1.8934431343190481</c:v>
                </c:pt>
                <c:pt idx="101">
                  <c:v>1.8934431343190481</c:v>
                </c:pt>
                <c:pt idx="102">
                  <c:v>1.8934431343190481</c:v>
                </c:pt>
                <c:pt idx="103">
                  <c:v>1.8934431343190481</c:v>
                </c:pt>
                <c:pt idx="104">
                  <c:v>1.8934431343190481</c:v>
                </c:pt>
                <c:pt idx="105">
                  <c:v>1.8934431343190481</c:v>
                </c:pt>
                <c:pt idx="106">
                  <c:v>1.8934431343190481</c:v>
                </c:pt>
                <c:pt idx="107">
                  <c:v>1.8934431343190481</c:v>
                </c:pt>
                <c:pt idx="108">
                  <c:v>1.8934431343190481</c:v>
                </c:pt>
                <c:pt idx="109">
                  <c:v>1.8934431343190481</c:v>
                </c:pt>
                <c:pt idx="110">
                  <c:v>1.8934431343190481</c:v>
                </c:pt>
                <c:pt idx="111">
                  <c:v>1.8934431343190481</c:v>
                </c:pt>
                <c:pt idx="112">
                  <c:v>1.8934431343190481</c:v>
                </c:pt>
                <c:pt idx="113">
                  <c:v>1.8934431343190481</c:v>
                </c:pt>
                <c:pt idx="114">
                  <c:v>1.8934431343190481</c:v>
                </c:pt>
                <c:pt idx="115">
                  <c:v>1.8934431343190481</c:v>
                </c:pt>
                <c:pt idx="116">
                  <c:v>1.8934431343190481</c:v>
                </c:pt>
                <c:pt idx="117">
                  <c:v>1.8934431343190481</c:v>
                </c:pt>
                <c:pt idx="118">
                  <c:v>1.8934431343190481</c:v>
                </c:pt>
                <c:pt idx="119">
                  <c:v>1.8934431343190481</c:v>
                </c:pt>
                <c:pt idx="120">
                  <c:v>1.8934431343190481</c:v>
                </c:pt>
                <c:pt idx="121">
                  <c:v>1.8934431343190481</c:v>
                </c:pt>
                <c:pt idx="122">
                  <c:v>1.8934431343190481</c:v>
                </c:pt>
                <c:pt idx="123">
                  <c:v>1.8934431343190481</c:v>
                </c:pt>
                <c:pt idx="124">
                  <c:v>1.8934431343190481</c:v>
                </c:pt>
                <c:pt idx="125">
                  <c:v>1.8934431343190481</c:v>
                </c:pt>
                <c:pt idx="126">
                  <c:v>1.8934431343190481</c:v>
                </c:pt>
                <c:pt idx="127">
                  <c:v>1.8934431343190481</c:v>
                </c:pt>
                <c:pt idx="128">
                  <c:v>1.8934431343190481</c:v>
                </c:pt>
                <c:pt idx="129">
                  <c:v>1.8934431343190481</c:v>
                </c:pt>
                <c:pt idx="130">
                  <c:v>1.8934431343190481</c:v>
                </c:pt>
                <c:pt idx="131">
                  <c:v>1.8934431343190481</c:v>
                </c:pt>
                <c:pt idx="132">
                  <c:v>1.8934431343190481</c:v>
                </c:pt>
                <c:pt idx="133">
                  <c:v>1.8934431343190481</c:v>
                </c:pt>
                <c:pt idx="134">
                  <c:v>1.8934431343190481</c:v>
                </c:pt>
                <c:pt idx="135">
                  <c:v>2.2335791887408174</c:v>
                </c:pt>
                <c:pt idx="136">
                  <c:v>2.2335791887408174</c:v>
                </c:pt>
                <c:pt idx="137">
                  <c:v>2.2335791887408174</c:v>
                </c:pt>
                <c:pt idx="138">
                  <c:v>2.2335791887408174</c:v>
                </c:pt>
                <c:pt idx="139">
                  <c:v>2.2335791887408174</c:v>
                </c:pt>
                <c:pt idx="140">
                  <c:v>2.2335791887408174</c:v>
                </c:pt>
                <c:pt idx="141">
                  <c:v>2.2335791887408174</c:v>
                </c:pt>
                <c:pt idx="142">
                  <c:v>0.95905730556970825</c:v>
                </c:pt>
                <c:pt idx="143">
                  <c:v>0.95905730556970825</c:v>
                </c:pt>
                <c:pt idx="144">
                  <c:v>0.95905730556970825</c:v>
                </c:pt>
                <c:pt idx="145">
                  <c:v>0.95905730556970825</c:v>
                </c:pt>
                <c:pt idx="146">
                  <c:v>0.95905730556970825</c:v>
                </c:pt>
                <c:pt idx="147">
                  <c:v>0.95905730556970825</c:v>
                </c:pt>
                <c:pt idx="148">
                  <c:v>0.95905730556970825</c:v>
                </c:pt>
                <c:pt idx="149">
                  <c:v>0.95905730556970825</c:v>
                </c:pt>
                <c:pt idx="150">
                  <c:v>0.95905730556970825</c:v>
                </c:pt>
                <c:pt idx="151">
                  <c:v>0.95905730556970825</c:v>
                </c:pt>
                <c:pt idx="152">
                  <c:v>0.95905730556970825</c:v>
                </c:pt>
                <c:pt idx="153">
                  <c:v>0.95905730556970825</c:v>
                </c:pt>
                <c:pt idx="154">
                  <c:v>0.95905730556970825</c:v>
                </c:pt>
                <c:pt idx="155">
                  <c:v>0.95905730556970825</c:v>
                </c:pt>
                <c:pt idx="156">
                  <c:v>2.9610246620255536</c:v>
                </c:pt>
                <c:pt idx="157">
                  <c:v>2.9610246620255536</c:v>
                </c:pt>
                <c:pt idx="158">
                  <c:v>2.9610246620255536</c:v>
                </c:pt>
                <c:pt idx="159">
                  <c:v>2.9610246620255536</c:v>
                </c:pt>
                <c:pt idx="160">
                  <c:v>2.9610246620255536</c:v>
                </c:pt>
                <c:pt idx="161">
                  <c:v>2.9610246620255536</c:v>
                </c:pt>
                <c:pt idx="162">
                  <c:v>2.9610246620255536</c:v>
                </c:pt>
                <c:pt idx="163">
                  <c:v>1.9927003554442289</c:v>
                </c:pt>
                <c:pt idx="164">
                  <c:v>1.9927003554442289</c:v>
                </c:pt>
                <c:pt idx="165">
                  <c:v>1.9927003554442289</c:v>
                </c:pt>
                <c:pt idx="166">
                  <c:v>1.9927003554442289</c:v>
                </c:pt>
                <c:pt idx="167">
                  <c:v>1.9927003554442289</c:v>
                </c:pt>
                <c:pt idx="168">
                  <c:v>1.9927003554442289</c:v>
                </c:pt>
                <c:pt idx="169">
                  <c:v>1.9927003554442289</c:v>
                </c:pt>
                <c:pt idx="170">
                  <c:v>1.9927003554442289</c:v>
                </c:pt>
                <c:pt idx="171">
                  <c:v>1.9927003554442289</c:v>
                </c:pt>
                <c:pt idx="172">
                  <c:v>1.9927003554442289</c:v>
                </c:pt>
                <c:pt idx="173">
                  <c:v>1.9927003554442289</c:v>
                </c:pt>
                <c:pt idx="174">
                  <c:v>1.9927003554442289</c:v>
                </c:pt>
                <c:pt idx="175">
                  <c:v>1.9927003554442289</c:v>
                </c:pt>
                <c:pt idx="176">
                  <c:v>1.9927003554442289</c:v>
                </c:pt>
                <c:pt idx="177">
                  <c:v>1.9927003554442289</c:v>
                </c:pt>
                <c:pt idx="178">
                  <c:v>1.9927003554442289</c:v>
                </c:pt>
                <c:pt idx="179">
                  <c:v>1.9927003554442289</c:v>
                </c:pt>
                <c:pt idx="180">
                  <c:v>1.9927003554442289</c:v>
                </c:pt>
                <c:pt idx="181">
                  <c:v>1.9927003554442289</c:v>
                </c:pt>
                <c:pt idx="182">
                  <c:v>1.9927003554442289</c:v>
                </c:pt>
                <c:pt idx="183">
                  <c:v>1.9927003554442289</c:v>
                </c:pt>
                <c:pt idx="184">
                  <c:v>1.9927003554442289</c:v>
                </c:pt>
                <c:pt idx="185">
                  <c:v>1.9927003554442289</c:v>
                </c:pt>
                <c:pt idx="186">
                  <c:v>1.9927003554442289</c:v>
                </c:pt>
                <c:pt idx="187">
                  <c:v>1.9927003554442289</c:v>
                </c:pt>
                <c:pt idx="188">
                  <c:v>1.9927003554442289</c:v>
                </c:pt>
                <c:pt idx="189">
                  <c:v>1.9927003554442289</c:v>
                </c:pt>
                <c:pt idx="190">
                  <c:v>1.9927003554442289</c:v>
                </c:pt>
                <c:pt idx="191">
                  <c:v>1.9927003554442289</c:v>
                </c:pt>
                <c:pt idx="192">
                  <c:v>1.9927003554442289</c:v>
                </c:pt>
                <c:pt idx="193">
                  <c:v>1.9927003554442289</c:v>
                </c:pt>
                <c:pt idx="194">
                  <c:v>1.9927003554442289</c:v>
                </c:pt>
                <c:pt idx="195">
                  <c:v>1.9927003554442289</c:v>
                </c:pt>
                <c:pt idx="196">
                  <c:v>1.9927003554442289</c:v>
                </c:pt>
                <c:pt idx="197">
                  <c:v>1.9927003554442289</c:v>
                </c:pt>
                <c:pt idx="198">
                  <c:v>1.9927003554442289</c:v>
                </c:pt>
                <c:pt idx="199">
                  <c:v>1.9927003554442289</c:v>
                </c:pt>
                <c:pt idx="200">
                  <c:v>1.9927003554442289</c:v>
                </c:pt>
                <c:pt idx="201">
                  <c:v>1.9927003554442289</c:v>
                </c:pt>
                <c:pt idx="202">
                  <c:v>1.9927003554442289</c:v>
                </c:pt>
                <c:pt idx="203">
                  <c:v>1.9927003554442289</c:v>
                </c:pt>
                <c:pt idx="204">
                  <c:v>1.9927003554442289</c:v>
                </c:pt>
                <c:pt idx="205">
                  <c:v>1.9927003554442289</c:v>
                </c:pt>
                <c:pt idx="206">
                  <c:v>1.9927003554442289</c:v>
                </c:pt>
                <c:pt idx="207">
                  <c:v>1.9927003554442289</c:v>
                </c:pt>
                <c:pt idx="208">
                  <c:v>1.9927003554442289</c:v>
                </c:pt>
                <c:pt idx="209">
                  <c:v>1.9927003554442289</c:v>
                </c:pt>
                <c:pt idx="210">
                  <c:v>1.9927003554442289</c:v>
                </c:pt>
                <c:pt idx="211">
                  <c:v>1.9927003554442289</c:v>
                </c:pt>
                <c:pt idx="212">
                  <c:v>1.9927003554442289</c:v>
                </c:pt>
                <c:pt idx="213">
                  <c:v>1.9927003554442289</c:v>
                </c:pt>
                <c:pt idx="214">
                  <c:v>1.9927003554442289</c:v>
                </c:pt>
                <c:pt idx="215">
                  <c:v>1.9927003554442289</c:v>
                </c:pt>
                <c:pt idx="216">
                  <c:v>1.9927003554442289</c:v>
                </c:pt>
                <c:pt idx="217">
                  <c:v>1.9927003554442289</c:v>
                </c:pt>
                <c:pt idx="218">
                  <c:v>1.9927003554442289</c:v>
                </c:pt>
                <c:pt idx="219">
                  <c:v>1.9927003554442289</c:v>
                </c:pt>
                <c:pt idx="220">
                  <c:v>1.9927003554442289</c:v>
                </c:pt>
                <c:pt idx="221">
                  <c:v>1.9927003554442289</c:v>
                </c:pt>
                <c:pt idx="222">
                  <c:v>1.9927003554442289</c:v>
                </c:pt>
                <c:pt idx="223">
                  <c:v>1.9927003554442289</c:v>
                </c:pt>
                <c:pt idx="224">
                  <c:v>1.9927003554442289</c:v>
                </c:pt>
                <c:pt idx="225">
                  <c:v>1.9927003554442289</c:v>
                </c:pt>
                <c:pt idx="226">
                  <c:v>1.9927003554442289</c:v>
                </c:pt>
                <c:pt idx="227">
                  <c:v>1.9927003554442289</c:v>
                </c:pt>
                <c:pt idx="228">
                  <c:v>1.9927003554442289</c:v>
                </c:pt>
                <c:pt idx="229">
                  <c:v>1.9927003554442289</c:v>
                </c:pt>
                <c:pt idx="230">
                  <c:v>1.9927003554442289</c:v>
                </c:pt>
                <c:pt idx="231">
                  <c:v>1.9927003554442289</c:v>
                </c:pt>
                <c:pt idx="232">
                  <c:v>1.9927003554442289</c:v>
                </c:pt>
                <c:pt idx="233">
                  <c:v>1.9927003554442289</c:v>
                </c:pt>
                <c:pt idx="234">
                  <c:v>1.9927003554442289</c:v>
                </c:pt>
                <c:pt idx="235">
                  <c:v>1.9927003554442289</c:v>
                </c:pt>
                <c:pt idx="236">
                  <c:v>1.9927003554442289</c:v>
                </c:pt>
                <c:pt idx="237">
                  <c:v>1.9927003554442289</c:v>
                </c:pt>
                <c:pt idx="238">
                  <c:v>1.9927003554442289</c:v>
                </c:pt>
                <c:pt idx="239">
                  <c:v>1.9927003554442289</c:v>
                </c:pt>
                <c:pt idx="240">
                  <c:v>1.9927003554442289</c:v>
                </c:pt>
                <c:pt idx="241">
                  <c:v>1.9927003554442289</c:v>
                </c:pt>
                <c:pt idx="242">
                  <c:v>1.9927003554442289</c:v>
                </c:pt>
                <c:pt idx="243">
                  <c:v>1.9927003554442289</c:v>
                </c:pt>
                <c:pt idx="244">
                  <c:v>1.9927003554442289</c:v>
                </c:pt>
                <c:pt idx="245">
                  <c:v>1.9927003554442289</c:v>
                </c:pt>
                <c:pt idx="246">
                  <c:v>1.9927003554442289</c:v>
                </c:pt>
                <c:pt idx="247">
                  <c:v>1.9927003554442289</c:v>
                </c:pt>
                <c:pt idx="248">
                  <c:v>1.9927003554442289</c:v>
                </c:pt>
                <c:pt idx="249">
                  <c:v>1.9927003554442289</c:v>
                </c:pt>
                <c:pt idx="250">
                  <c:v>1.9927003554442289</c:v>
                </c:pt>
                <c:pt idx="251">
                  <c:v>1.9927003554442289</c:v>
                </c:pt>
                <c:pt idx="252">
                  <c:v>1.9927003554442289</c:v>
                </c:pt>
                <c:pt idx="253">
                  <c:v>1.9927003554442289</c:v>
                </c:pt>
                <c:pt idx="254">
                  <c:v>1.9927003554442289</c:v>
                </c:pt>
                <c:pt idx="255">
                  <c:v>1.9927003554442289</c:v>
                </c:pt>
                <c:pt idx="256">
                  <c:v>1.9927003554442289</c:v>
                </c:pt>
                <c:pt idx="257">
                  <c:v>1.9927003554442289</c:v>
                </c:pt>
                <c:pt idx="258">
                  <c:v>1.9927003554442289</c:v>
                </c:pt>
                <c:pt idx="259">
                  <c:v>1.9927003554442289</c:v>
                </c:pt>
                <c:pt idx="260">
                  <c:v>2.3607894150410869</c:v>
                </c:pt>
                <c:pt idx="261">
                  <c:v>2.3607894150410869</c:v>
                </c:pt>
                <c:pt idx="262">
                  <c:v>2.3607894150410869</c:v>
                </c:pt>
                <c:pt idx="263">
                  <c:v>2.3607894150410869</c:v>
                </c:pt>
                <c:pt idx="264">
                  <c:v>2.3607894150410869</c:v>
                </c:pt>
                <c:pt idx="265">
                  <c:v>2.3607894150410869</c:v>
                </c:pt>
                <c:pt idx="266">
                  <c:v>2.3607894150410869</c:v>
                </c:pt>
                <c:pt idx="267">
                  <c:v>2.3607894150410869</c:v>
                </c:pt>
                <c:pt idx="268">
                  <c:v>2.3607894150410869</c:v>
                </c:pt>
                <c:pt idx="269">
                  <c:v>2.3607894150410869</c:v>
                </c:pt>
                <c:pt idx="270">
                  <c:v>2.3607894150410869</c:v>
                </c:pt>
                <c:pt idx="271">
                  <c:v>2.3607894150410869</c:v>
                </c:pt>
                <c:pt idx="272">
                  <c:v>2.3607894150410869</c:v>
                </c:pt>
                <c:pt idx="273">
                  <c:v>2.3607894150410869</c:v>
                </c:pt>
                <c:pt idx="274">
                  <c:v>2.3607894150410869</c:v>
                </c:pt>
                <c:pt idx="275">
                  <c:v>2.3607894150410869</c:v>
                </c:pt>
                <c:pt idx="276">
                  <c:v>2.3607894150410869</c:v>
                </c:pt>
                <c:pt idx="277">
                  <c:v>2.3607894150410869</c:v>
                </c:pt>
                <c:pt idx="278">
                  <c:v>2.3607894150410869</c:v>
                </c:pt>
                <c:pt idx="279">
                  <c:v>2.3607894150410869</c:v>
                </c:pt>
                <c:pt idx="280">
                  <c:v>2.3607894150410869</c:v>
                </c:pt>
                <c:pt idx="281">
                  <c:v>2.3607894150410869</c:v>
                </c:pt>
                <c:pt idx="282">
                  <c:v>2.3607894150410869</c:v>
                </c:pt>
                <c:pt idx="283">
                  <c:v>2.3607894150410869</c:v>
                </c:pt>
                <c:pt idx="284">
                  <c:v>2.3607894150410869</c:v>
                </c:pt>
                <c:pt idx="285">
                  <c:v>2.3607894150410869</c:v>
                </c:pt>
                <c:pt idx="286">
                  <c:v>2.3607894150410869</c:v>
                </c:pt>
                <c:pt idx="287">
                  <c:v>2.4085740385592547</c:v>
                </c:pt>
                <c:pt idx="288">
                  <c:v>2.4085740385592547</c:v>
                </c:pt>
                <c:pt idx="289">
                  <c:v>2.4085740385592547</c:v>
                </c:pt>
                <c:pt idx="290">
                  <c:v>2.4085740385592547</c:v>
                </c:pt>
                <c:pt idx="291">
                  <c:v>2.4085740385592547</c:v>
                </c:pt>
                <c:pt idx="292">
                  <c:v>2.4085740385592547</c:v>
                </c:pt>
                <c:pt idx="293">
                  <c:v>2.4085740385592547</c:v>
                </c:pt>
                <c:pt idx="294">
                  <c:v>2.4085740385592547</c:v>
                </c:pt>
                <c:pt idx="295">
                  <c:v>2.4085740385592547</c:v>
                </c:pt>
                <c:pt idx="296">
                  <c:v>2.4085740385592547</c:v>
                </c:pt>
                <c:pt idx="297">
                  <c:v>2.4085740385592547</c:v>
                </c:pt>
                <c:pt idx="298">
                  <c:v>2.4085740385592547</c:v>
                </c:pt>
                <c:pt idx="299">
                  <c:v>2.4085740385592547</c:v>
                </c:pt>
                <c:pt idx="300">
                  <c:v>2.4085740385592547</c:v>
                </c:pt>
                <c:pt idx="301">
                  <c:v>2.4085740385592547</c:v>
                </c:pt>
                <c:pt idx="302">
                  <c:v>2.4085740385592547</c:v>
                </c:pt>
                <c:pt idx="303">
                  <c:v>2.4085740385592547</c:v>
                </c:pt>
                <c:pt idx="304">
                  <c:v>2.4085740385592547</c:v>
                </c:pt>
                <c:pt idx="305">
                  <c:v>2.4085740385592547</c:v>
                </c:pt>
                <c:pt idx="306">
                  <c:v>2.4085740385592547</c:v>
                </c:pt>
                <c:pt idx="307">
                  <c:v>2.4085740385592547</c:v>
                </c:pt>
                <c:pt idx="308">
                  <c:v>2.4085740385592547</c:v>
                </c:pt>
                <c:pt idx="309">
                  <c:v>2.4085740385592547</c:v>
                </c:pt>
                <c:pt idx="310">
                  <c:v>2.4085740385592547</c:v>
                </c:pt>
                <c:pt idx="311">
                  <c:v>2.4085740385592547</c:v>
                </c:pt>
                <c:pt idx="312">
                  <c:v>2.4085740385592547</c:v>
                </c:pt>
                <c:pt idx="313">
                  <c:v>2.4085740385592547</c:v>
                </c:pt>
                <c:pt idx="314">
                  <c:v>2.4085740385592547</c:v>
                </c:pt>
                <c:pt idx="315">
                  <c:v>2.4085740385592547</c:v>
                </c:pt>
                <c:pt idx="316">
                  <c:v>2.4085740385592547</c:v>
                </c:pt>
                <c:pt idx="317">
                  <c:v>2.4085740385592547</c:v>
                </c:pt>
                <c:pt idx="318">
                  <c:v>2.4085740385592547</c:v>
                </c:pt>
                <c:pt idx="319">
                  <c:v>2.4085740385592547</c:v>
                </c:pt>
                <c:pt idx="320">
                  <c:v>2.8845415791335349</c:v>
                </c:pt>
                <c:pt idx="321">
                  <c:v>2.8845415791335349</c:v>
                </c:pt>
                <c:pt idx="322">
                  <c:v>2.8845415791335349</c:v>
                </c:pt>
                <c:pt idx="323">
                  <c:v>2.8845415791335349</c:v>
                </c:pt>
                <c:pt idx="324">
                  <c:v>2.8845415791335349</c:v>
                </c:pt>
                <c:pt idx="325">
                  <c:v>2.8845415791335349</c:v>
                </c:pt>
                <c:pt idx="326">
                  <c:v>1.2912501745213723</c:v>
                </c:pt>
                <c:pt idx="327">
                  <c:v>1.2912501745213723</c:v>
                </c:pt>
                <c:pt idx="328">
                  <c:v>1.2912501745213723</c:v>
                </c:pt>
                <c:pt idx="329">
                  <c:v>1.2912501745213723</c:v>
                </c:pt>
                <c:pt idx="330">
                  <c:v>1.2912501745213723</c:v>
                </c:pt>
                <c:pt idx="331">
                  <c:v>1.2912501745213723</c:v>
                </c:pt>
                <c:pt idx="332">
                  <c:v>1.2912501745213723</c:v>
                </c:pt>
                <c:pt idx="333">
                  <c:v>1.2912501745213723</c:v>
                </c:pt>
                <c:pt idx="334">
                  <c:v>1.2912501745213723</c:v>
                </c:pt>
                <c:pt idx="335">
                  <c:v>1.2912501745213723</c:v>
                </c:pt>
                <c:pt idx="336">
                  <c:v>1.2912501745213723</c:v>
                </c:pt>
                <c:pt idx="337">
                  <c:v>1.2912501745213723</c:v>
                </c:pt>
                <c:pt idx="338">
                  <c:v>1.2912501745213723</c:v>
                </c:pt>
                <c:pt idx="339">
                  <c:v>1.2912501745213723</c:v>
                </c:pt>
                <c:pt idx="340">
                  <c:v>1.2912501745213723</c:v>
                </c:pt>
                <c:pt idx="341">
                  <c:v>1.2912501745213723</c:v>
                </c:pt>
                <c:pt idx="342">
                  <c:v>1.2912501745213723</c:v>
                </c:pt>
                <c:pt idx="343">
                  <c:v>1.2912501745213723</c:v>
                </c:pt>
                <c:pt idx="344">
                  <c:v>1.2912501745213723</c:v>
                </c:pt>
                <c:pt idx="345">
                  <c:v>1.2912501745213723</c:v>
                </c:pt>
                <c:pt idx="346">
                  <c:v>1.2912501745213723</c:v>
                </c:pt>
                <c:pt idx="347">
                  <c:v>1.2912501745213723</c:v>
                </c:pt>
                <c:pt idx="348">
                  <c:v>1.2912501745213723</c:v>
                </c:pt>
                <c:pt idx="349">
                  <c:v>1.2912501745213723</c:v>
                </c:pt>
                <c:pt idx="350">
                  <c:v>1.2912501745213723</c:v>
                </c:pt>
                <c:pt idx="351">
                  <c:v>1.2912501745213723</c:v>
                </c:pt>
                <c:pt idx="352">
                  <c:v>1.2912501745213723</c:v>
                </c:pt>
                <c:pt idx="353">
                  <c:v>1.2912501745213723</c:v>
                </c:pt>
                <c:pt idx="354">
                  <c:v>1.2912501745213723</c:v>
                </c:pt>
                <c:pt idx="355">
                  <c:v>1.2912501745213723</c:v>
                </c:pt>
                <c:pt idx="356">
                  <c:v>1.2912501745213723</c:v>
                </c:pt>
                <c:pt idx="357">
                  <c:v>1.2912501745213723</c:v>
                </c:pt>
                <c:pt idx="358">
                  <c:v>1.2912501745213723</c:v>
                </c:pt>
                <c:pt idx="359">
                  <c:v>1.2912501745213723</c:v>
                </c:pt>
                <c:pt idx="360">
                  <c:v>1.2912501745213723</c:v>
                </c:pt>
                <c:pt idx="361">
                  <c:v>1.2912501745213723</c:v>
                </c:pt>
                <c:pt idx="362">
                  <c:v>1.2912501745213723</c:v>
                </c:pt>
                <c:pt idx="363">
                  <c:v>1.2912501745213723</c:v>
                </c:pt>
                <c:pt idx="364">
                  <c:v>1.2912501745213723</c:v>
                </c:pt>
                <c:pt idx="365">
                  <c:v>1.2912501745213723</c:v>
                </c:pt>
                <c:pt idx="366">
                  <c:v>1.2912501745213723</c:v>
                </c:pt>
                <c:pt idx="367">
                  <c:v>1.2912501745213723</c:v>
                </c:pt>
                <c:pt idx="368">
                  <c:v>1.2912501745213723</c:v>
                </c:pt>
                <c:pt idx="369">
                  <c:v>1.2912501745213723</c:v>
                </c:pt>
                <c:pt idx="370">
                  <c:v>1.2912501745213723</c:v>
                </c:pt>
                <c:pt idx="371">
                  <c:v>1.2912501745213723</c:v>
                </c:pt>
                <c:pt idx="372">
                  <c:v>1.2912501745213723</c:v>
                </c:pt>
                <c:pt idx="373">
                  <c:v>1.2912501745213723</c:v>
                </c:pt>
                <c:pt idx="374">
                  <c:v>1.2912501745213723</c:v>
                </c:pt>
                <c:pt idx="375">
                  <c:v>1.2912501745213723</c:v>
                </c:pt>
                <c:pt idx="376">
                  <c:v>1.2912501745213723</c:v>
                </c:pt>
                <c:pt idx="377">
                  <c:v>1.2912501745213723</c:v>
                </c:pt>
                <c:pt idx="378">
                  <c:v>1.2912501745213723</c:v>
                </c:pt>
                <c:pt idx="379">
                  <c:v>1.2912501745213723</c:v>
                </c:pt>
                <c:pt idx="380">
                  <c:v>1.2912501745213723</c:v>
                </c:pt>
                <c:pt idx="381">
                  <c:v>1.2912501745213723</c:v>
                </c:pt>
                <c:pt idx="382">
                  <c:v>1.2912501745213723</c:v>
                </c:pt>
                <c:pt idx="383">
                  <c:v>1.2912501745213723</c:v>
                </c:pt>
                <c:pt idx="384">
                  <c:v>1.2912501745213723</c:v>
                </c:pt>
                <c:pt idx="385">
                  <c:v>2.0825010564889137</c:v>
                </c:pt>
                <c:pt idx="386">
                  <c:v>2.0825010564889137</c:v>
                </c:pt>
                <c:pt idx="387">
                  <c:v>2.0825010564889137</c:v>
                </c:pt>
                <c:pt idx="388">
                  <c:v>2.0825010564889137</c:v>
                </c:pt>
                <c:pt idx="389">
                  <c:v>2.0825010564889137</c:v>
                </c:pt>
                <c:pt idx="390">
                  <c:v>2.0825010564889137</c:v>
                </c:pt>
                <c:pt idx="391">
                  <c:v>2.0825010564889137</c:v>
                </c:pt>
                <c:pt idx="392">
                  <c:v>2.0825010564889137</c:v>
                </c:pt>
                <c:pt idx="393">
                  <c:v>2.0825010564889137</c:v>
                </c:pt>
                <c:pt idx="394">
                  <c:v>2.0825010564889137</c:v>
                </c:pt>
                <c:pt idx="395">
                  <c:v>2.0825010564889137</c:v>
                </c:pt>
                <c:pt idx="396">
                  <c:v>2.0825010564889137</c:v>
                </c:pt>
                <c:pt idx="397">
                  <c:v>2.0825010564889137</c:v>
                </c:pt>
                <c:pt idx="398">
                  <c:v>2.0825010564889137</c:v>
                </c:pt>
                <c:pt idx="399">
                  <c:v>2.0825010564889137</c:v>
                </c:pt>
                <c:pt idx="400">
                  <c:v>2.0825010564889137</c:v>
                </c:pt>
                <c:pt idx="401">
                  <c:v>2.0825010564889137</c:v>
                </c:pt>
                <c:pt idx="402">
                  <c:v>2.0825010564889137</c:v>
                </c:pt>
                <c:pt idx="403">
                  <c:v>2.0825010564889137</c:v>
                </c:pt>
                <c:pt idx="404">
                  <c:v>2.0825010564889137</c:v>
                </c:pt>
                <c:pt idx="405">
                  <c:v>2.0825010564889137</c:v>
                </c:pt>
                <c:pt idx="406">
                  <c:v>2.0825010564889137</c:v>
                </c:pt>
                <c:pt idx="407">
                  <c:v>2.0825010564889137</c:v>
                </c:pt>
                <c:pt idx="408">
                  <c:v>2.0825010564889137</c:v>
                </c:pt>
                <c:pt idx="409">
                  <c:v>2.0825010564889137</c:v>
                </c:pt>
                <c:pt idx="410">
                  <c:v>2.0825010564889137</c:v>
                </c:pt>
                <c:pt idx="411">
                  <c:v>2.0825010564889137</c:v>
                </c:pt>
                <c:pt idx="412">
                  <c:v>2.0825010564889137</c:v>
                </c:pt>
                <c:pt idx="413">
                  <c:v>2.0825010564889137</c:v>
                </c:pt>
                <c:pt idx="414">
                  <c:v>2.0825010564889137</c:v>
                </c:pt>
                <c:pt idx="415">
                  <c:v>2.0825010564889137</c:v>
                </c:pt>
                <c:pt idx="416">
                  <c:v>2.0825010564889137</c:v>
                </c:pt>
                <c:pt idx="417">
                  <c:v>2.0825010564889137</c:v>
                </c:pt>
                <c:pt idx="418">
                  <c:v>2.0825010564889137</c:v>
                </c:pt>
              </c:numCache>
            </c:numRef>
          </c:val>
          <c:smooth val="1"/>
          <c:extLst>
            <c:ext xmlns:c16="http://schemas.microsoft.com/office/drawing/2014/chart" uri="{C3380CC4-5D6E-409C-BE32-E72D297353CC}">
              <c16:uniqueId val="{00000002-C32E-43EB-ABBC-9B224275713E}"/>
            </c:ext>
          </c:extLst>
        </c:ser>
        <c:ser>
          <c:idx val="2"/>
          <c:order val="3"/>
          <c:tx>
            <c:v>SW</c:v>
          </c:tx>
          <c:spPr>
            <a:ln w="28575" cap="rnd">
              <a:solidFill>
                <a:srgbClr val="0070C0"/>
              </a:solidFill>
              <a:prstDash val="solid"/>
              <a:round/>
            </a:ln>
            <a:effectLst/>
          </c:spPr>
          <c:marker>
            <c:symbol val="none"/>
          </c:marker>
          <c:val>
            <c:numRef>
              <c:f>'2025-Q2'!$CN$4:$CN$422</c:f>
              <c:numCache>
                <c:formatCode>0.00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2.6032953105196457</c:v>
                </c:pt>
                <c:pt idx="63">
                  <c:v>3.5437224367841633</c:v>
                </c:pt>
                <c:pt idx="64">
                  <c:v>3.5437224367841633</c:v>
                </c:pt>
                <c:pt idx="65">
                  <c:v>3.5437224367841633</c:v>
                </c:pt>
                <c:pt idx="66">
                  <c:v>3.5437224367841633</c:v>
                </c:pt>
                <c:pt idx="67">
                  <c:v>3.5437224367841633</c:v>
                </c:pt>
                <c:pt idx="68">
                  <c:v>3.5437224367841633</c:v>
                </c:pt>
                <c:pt idx="69">
                  <c:v>3.5437224367841633</c:v>
                </c:pt>
                <c:pt idx="70">
                  <c:v>3.5437224367841633</c:v>
                </c:pt>
                <c:pt idx="71">
                  <c:v>3.5437224367841633</c:v>
                </c:pt>
                <c:pt idx="72">
                  <c:v>3.5437224367841633</c:v>
                </c:pt>
                <c:pt idx="73">
                  <c:v>3.5437224367841633</c:v>
                </c:pt>
                <c:pt idx="74">
                  <c:v>3.5437224367841633</c:v>
                </c:pt>
                <c:pt idx="75">
                  <c:v>3.5437224367841633</c:v>
                </c:pt>
                <c:pt idx="76">
                  <c:v>3.5437224367841633</c:v>
                </c:pt>
                <c:pt idx="77">
                  <c:v>3.5437224367841633</c:v>
                </c:pt>
                <c:pt idx="78">
                  <c:v>2.5724959960693745</c:v>
                </c:pt>
                <c:pt idx="79">
                  <c:v>2.5724959960693745</c:v>
                </c:pt>
                <c:pt idx="80">
                  <c:v>2.5724959960693745</c:v>
                </c:pt>
                <c:pt idx="81">
                  <c:v>2.5724959960693745</c:v>
                </c:pt>
                <c:pt idx="82">
                  <c:v>2.5724959960693745</c:v>
                </c:pt>
                <c:pt idx="83">
                  <c:v>2.5724959960693745</c:v>
                </c:pt>
                <c:pt idx="84">
                  <c:v>2.5724959960693745</c:v>
                </c:pt>
                <c:pt idx="85">
                  <c:v>2.5724959960693745</c:v>
                </c:pt>
                <c:pt idx="86">
                  <c:v>2.5724959960693745</c:v>
                </c:pt>
                <c:pt idx="87">
                  <c:v>2.5724959960693745</c:v>
                </c:pt>
                <c:pt idx="88">
                  <c:v>2.5724959960693745</c:v>
                </c:pt>
                <c:pt idx="89">
                  <c:v>2.5724959960693745</c:v>
                </c:pt>
                <c:pt idx="90">
                  <c:v>2.5724959960693745</c:v>
                </c:pt>
                <c:pt idx="91">
                  <c:v>2.5724959960693745</c:v>
                </c:pt>
                <c:pt idx="92">
                  <c:v>2.5724959960693745</c:v>
                </c:pt>
                <c:pt idx="93">
                  <c:v>2.5724959960693745</c:v>
                </c:pt>
                <c:pt idx="94">
                  <c:v>2.5724959960693745</c:v>
                </c:pt>
                <c:pt idx="95">
                  <c:v>2.5724959960693745</c:v>
                </c:pt>
                <c:pt idx="96">
                  <c:v>2.5724959960693745</c:v>
                </c:pt>
                <c:pt idx="97">
                  <c:v>2.5724959960693745</c:v>
                </c:pt>
                <c:pt idx="98">
                  <c:v>2.5724959960693745</c:v>
                </c:pt>
                <c:pt idx="99">
                  <c:v>2.5724959960693745</c:v>
                </c:pt>
                <c:pt idx="100">
                  <c:v>2.5724959960693745</c:v>
                </c:pt>
                <c:pt idx="101">
                  <c:v>2.5724959960693745</c:v>
                </c:pt>
                <c:pt idx="102">
                  <c:v>2.5724959960693745</c:v>
                </c:pt>
                <c:pt idx="103">
                  <c:v>2.5724959960693745</c:v>
                </c:pt>
                <c:pt idx="104">
                  <c:v>2.5724959960693745</c:v>
                </c:pt>
                <c:pt idx="105">
                  <c:v>2.5724959960693745</c:v>
                </c:pt>
                <c:pt idx="106">
                  <c:v>2.5724959960693745</c:v>
                </c:pt>
                <c:pt idx="107">
                  <c:v>2.5724959960693745</c:v>
                </c:pt>
                <c:pt idx="108">
                  <c:v>2.5724959960693745</c:v>
                </c:pt>
                <c:pt idx="109">
                  <c:v>2.5724959960693745</c:v>
                </c:pt>
                <c:pt idx="110">
                  <c:v>2.5724959960693745</c:v>
                </c:pt>
                <c:pt idx="111">
                  <c:v>2.5724959960693745</c:v>
                </c:pt>
                <c:pt idx="112">
                  <c:v>2.5724959960693745</c:v>
                </c:pt>
                <c:pt idx="113">
                  <c:v>2.5724959960693745</c:v>
                </c:pt>
                <c:pt idx="114">
                  <c:v>2.5724959960693745</c:v>
                </c:pt>
                <c:pt idx="115">
                  <c:v>2.5724959960693745</c:v>
                </c:pt>
                <c:pt idx="116">
                  <c:v>2.5724959960693745</c:v>
                </c:pt>
                <c:pt idx="117">
                  <c:v>2.5724959960693745</c:v>
                </c:pt>
                <c:pt idx="118">
                  <c:v>2.5724959960693745</c:v>
                </c:pt>
                <c:pt idx="119">
                  <c:v>2.5724959960693745</c:v>
                </c:pt>
                <c:pt idx="120">
                  <c:v>2.5724959960693745</c:v>
                </c:pt>
                <c:pt idx="121">
                  <c:v>2.5724959960693745</c:v>
                </c:pt>
                <c:pt idx="122">
                  <c:v>2.5724959960693745</c:v>
                </c:pt>
                <c:pt idx="123">
                  <c:v>2.2555985727472319</c:v>
                </c:pt>
                <c:pt idx="124">
                  <c:v>2.2555985727472319</c:v>
                </c:pt>
                <c:pt idx="125">
                  <c:v>2.2555985727472319</c:v>
                </c:pt>
                <c:pt idx="126">
                  <c:v>2.2555985727472319</c:v>
                </c:pt>
                <c:pt idx="127">
                  <c:v>2.2555985727472319</c:v>
                </c:pt>
                <c:pt idx="128">
                  <c:v>2.2555985727472319</c:v>
                </c:pt>
                <c:pt idx="129">
                  <c:v>2.2555985727472319</c:v>
                </c:pt>
                <c:pt idx="130">
                  <c:v>2.2555985727472319</c:v>
                </c:pt>
                <c:pt idx="131">
                  <c:v>2.2555985727472319</c:v>
                </c:pt>
                <c:pt idx="132">
                  <c:v>2.2555985727472319</c:v>
                </c:pt>
                <c:pt idx="133">
                  <c:v>2.2555985727472319</c:v>
                </c:pt>
                <c:pt idx="134">
                  <c:v>2.2555985727472319</c:v>
                </c:pt>
                <c:pt idx="135">
                  <c:v>2.2555985727472319</c:v>
                </c:pt>
                <c:pt idx="136">
                  <c:v>2.2555985727472319</c:v>
                </c:pt>
                <c:pt idx="137">
                  <c:v>2.2555985727472319</c:v>
                </c:pt>
                <c:pt idx="138">
                  <c:v>2.2555985727472319</c:v>
                </c:pt>
                <c:pt idx="139">
                  <c:v>2.2555985727472319</c:v>
                </c:pt>
                <c:pt idx="140">
                  <c:v>2.2555985727472319</c:v>
                </c:pt>
                <c:pt idx="141">
                  <c:v>2.2555985727472319</c:v>
                </c:pt>
                <c:pt idx="142">
                  <c:v>2.2555985727472319</c:v>
                </c:pt>
                <c:pt idx="143">
                  <c:v>2.2555985727472319</c:v>
                </c:pt>
                <c:pt idx="144">
                  <c:v>2.2555985727472319</c:v>
                </c:pt>
                <c:pt idx="145">
                  <c:v>2.2555985727472319</c:v>
                </c:pt>
                <c:pt idx="146">
                  <c:v>2.2555985727472319</c:v>
                </c:pt>
                <c:pt idx="147">
                  <c:v>2.2555985727472319</c:v>
                </c:pt>
                <c:pt idx="148">
                  <c:v>2.2555985727472319</c:v>
                </c:pt>
                <c:pt idx="149">
                  <c:v>2.2555985727472319</c:v>
                </c:pt>
                <c:pt idx="150">
                  <c:v>2.2555985727472319</c:v>
                </c:pt>
                <c:pt idx="151">
                  <c:v>3.3861132786295873</c:v>
                </c:pt>
                <c:pt idx="152">
                  <c:v>3.3861132786295873</c:v>
                </c:pt>
                <c:pt idx="153">
                  <c:v>3.3861132786295873</c:v>
                </c:pt>
                <c:pt idx="154">
                  <c:v>3.3861132786295873</c:v>
                </c:pt>
                <c:pt idx="155">
                  <c:v>3.3861132786295873</c:v>
                </c:pt>
                <c:pt idx="156">
                  <c:v>3.3861132786295873</c:v>
                </c:pt>
                <c:pt idx="157">
                  <c:v>3.3861132786295873</c:v>
                </c:pt>
                <c:pt idx="158">
                  <c:v>3.3861132786295873</c:v>
                </c:pt>
                <c:pt idx="159">
                  <c:v>3.3861132786295873</c:v>
                </c:pt>
                <c:pt idx="160">
                  <c:v>3.3861132786295873</c:v>
                </c:pt>
                <c:pt idx="161">
                  <c:v>3.3861132786295873</c:v>
                </c:pt>
                <c:pt idx="162">
                  <c:v>3.3861132786295873</c:v>
                </c:pt>
                <c:pt idx="163">
                  <c:v>3.3861132786295873</c:v>
                </c:pt>
                <c:pt idx="164">
                  <c:v>3.3861132786295873</c:v>
                </c:pt>
                <c:pt idx="165">
                  <c:v>3.3861132786295873</c:v>
                </c:pt>
                <c:pt idx="166">
                  <c:v>3.3861132786295873</c:v>
                </c:pt>
                <c:pt idx="167">
                  <c:v>3.3861132786295873</c:v>
                </c:pt>
                <c:pt idx="168">
                  <c:v>3.3861132786295873</c:v>
                </c:pt>
                <c:pt idx="169">
                  <c:v>3.3861132786295873</c:v>
                </c:pt>
                <c:pt idx="170">
                  <c:v>3.3861132786295873</c:v>
                </c:pt>
                <c:pt idx="171">
                  <c:v>3.3861132786295873</c:v>
                </c:pt>
                <c:pt idx="172">
                  <c:v>3.3861132786295873</c:v>
                </c:pt>
                <c:pt idx="173">
                  <c:v>3.3861132786295873</c:v>
                </c:pt>
                <c:pt idx="174">
                  <c:v>3.3861132786295873</c:v>
                </c:pt>
                <c:pt idx="175">
                  <c:v>4.8977764876565564</c:v>
                </c:pt>
                <c:pt idx="176">
                  <c:v>4.8977764876565564</c:v>
                </c:pt>
                <c:pt idx="177">
                  <c:v>4.8977764876565564</c:v>
                </c:pt>
                <c:pt idx="178">
                  <c:v>4.8977764876565564</c:v>
                </c:pt>
                <c:pt idx="179">
                  <c:v>4.8977764876565564</c:v>
                </c:pt>
                <c:pt idx="180">
                  <c:v>4.8977764876565564</c:v>
                </c:pt>
                <c:pt idx="181">
                  <c:v>4.8977764876565564</c:v>
                </c:pt>
                <c:pt idx="182">
                  <c:v>5.6091171609382364</c:v>
                </c:pt>
                <c:pt idx="183">
                  <c:v>5.6091171609382364</c:v>
                </c:pt>
                <c:pt idx="184">
                  <c:v>5.6091171609382364</c:v>
                </c:pt>
                <c:pt idx="185">
                  <c:v>5.6091171609382364</c:v>
                </c:pt>
                <c:pt idx="186">
                  <c:v>5.6091171609382364</c:v>
                </c:pt>
                <c:pt idx="187">
                  <c:v>5.6091171609382364</c:v>
                </c:pt>
                <c:pt idx="188">
                  <c:v>5.6091171609382364</c:v>
                </c:pt>
                <c:pt idx="189">
                  <c:v>5.6091171609382364</c:v>
                </c:pt>
                <c:pt idx="190">
                  <c:v>5.6091171609382364</c:v>
                </c:pt>
                <c:pt idx="191">
                  <c:v>5.6091171609382364</c:v>
                </c:pt>
                <c:pt idx="192">
                  <c:v>5.6091171609382364</c:v>
                </c:pt>
                <c:pt idx="193">
                  <c:v>5.6091171609382364</c:v>
                </c:pt>
                <c:pt idx="194">
                  <c:v>5.6091171609382364</c:v>
                </c:pt>
                <c:pt idx="195">
                  <c:v>5.6091171609382364</c:v>
                </c:pt>
                <c:pt idx="196">
                  <c:v>5.6091171609382364</c:v>
                </c:pt>
                <c:pt idx="197">
                  <c:v>5.6091171609382364</c:v>
                </c:pt>
                <c:pt idx="198">
                  <c:v>5.6091171609382364</c:v>
                </c:pt>
                <c:pt idx="199">
                  <c:v>5.6091171609382364</c:v>
                </c:pt>
                <c:pt idx="200">
                  <c:v>5.6091171609382364</c:v>
                </c:pt>
                <c:pt idx="201">
                  <c:v>5.6091171609382364</c:v>
                </c:pt>
                <c:pt idx="202">
                  <c:v>5.6091171609382364</c:v>
                </c:pt>
                <c:pt idx="203">
                  <c:v>5.6091171609382364</c:v>
                </c:pt>
                <c:pt idx="204">
                  <c:v>5.6091171609382364</c:v>
                </c:pt>
                <c:pt idx="205">
                  <c:v>5.6091171609382364</c:v>
                </c:pt>
                <c:pt idx="206">
                  <c:v>5.6091171609382364</c:v>
                </c:pt>
                <c:pt idx="207">
                  <c:v>5.6091171609382364</c:v>
                </c:pt>
                <c:pt idx="208">
                  <c:v>5.6091171609382364</c:v>
                </c:pt>
                <c:pt idx="209">
                  <c:v>5.6091171609382364</c:v>
                </c:pt>
                <c:pt idx="210">
                  <c:v>5.6091171609382364</c:v>
                </c:pt>
                <c:pt idx="211">
                  <c:v>5.6091171609382364</c:v>
                </c:pt>
                <c:pt idx="212">
                  <c:v>5.6091171609382364</c:v>
                </c:pt>
                <c:pt idx="213">
                  <c:v>5.6091171609382364</c:v>
                </c:pt>
                <c:pt idx="214">
                  <c:v>5.6091171609382364</c:v>
                </c:pt>
                <c:pt idx="215">
                  <c:v>5.6091171609382364</c:v>
                </c:pt>
                <c:pt idx="216">
                  <c:v>5.6091171609382364</c:v>
                </c:pt>
                <c:pt idx="217">
                  <c:v>5.6091171609382364</c:v>
                </c:pt>
                <c:pt idx="218">
                  <c:v>5.6091171609382364</c:v>
                </c:pt>
                <c:pt idx="219">
                  <c:v>5.6091171609382364</c:v>
                </c:pt>
                <c:pt idx="220">
                  <c:v>5.6091171609382364</c:v>
                </c:pt>
                <c:pt idx="221">
                  <c:v>5.6091171609382364</c:v>
                </c:pt>
                <c:pt idx="222">
                  <c:v>5.6091171609382364</c:v>
                </c:pt>
                <c:pt idx="223">
                  <c:v>5.6091171609382364</c:v>
                </c:pt>
                <c:pt idx="224">
                  <c:v>5.6091171609382364</c:v>
                </c:pt>
                <c:pt idx="225">
                  <c:v>5.6091171609382364</c:v>
                </c:pt>
                <c:pt idx="226">
                  <c:v>5.6091171609382364</c:v>
                </c:pt>
                <c:pt idx="227">
                  <c:v>5.6091171609382364</c:v>
                </c:pt>
                <c:pt idx="228">
                  <c:v>5.6091171609382364</c:v>
                </c:pt>
                <c:pt idx="229">
                  <c:v>5.6091171609382364</c:v>
                </c:pt>
                <c:pt idx="230">
                  <c:v>5.6091171609382364</c:v>
                </c:pt>
                <c:pt idx="231">
                  <c:v>5.044238105997306</c:v>
                </c:pt>
                <c:pt idx="232">
                  <c:v>5.044238105997306</c:v>
                </c:pt>
                <c:pt idx="233">
                  <c:v>5.044238105997306</c:v>
                </c:pt>
                <c:pt idx="234">
                  <c:v>5.044238105997306</c:v>
                </c:pt>
                <c:pt idx="235">
                  <c:v>5.044238105997306</c:v>
                </c:pt>
                <c:pt idx="236">
                  <c:v>5.044238105997306</c:v>
                </c:pt>
                <c:pt idx="237">
                  <c:v>5.044238105997306</c:v>
                </c:pt>
                <c:pt idx="238">
                  <c:v>3.3408347650393759</c:v>
                </c:pt>
                <c:pt idx="239">
                  <c:v>3.3408347650393759</c:v>
                </c:pt>
                <c:pt idx="240">
                  <c:v>3.3408347650393759</c:v>
                </c:pt>
                <c:pt idx="241">
                  <c:v>3.3408347650393759</c:v>
                </c:pt>
                <c:pt idx="242">
                  <c:v>3.3408347650393759</c:v>
                </c:pt>
                <c:pt idx="243">
                  <c:v>3.3408347650393759</c:v>
                </c:pt>
                <c:pt idx="244">
                  <c:v>2.5131182152625313</c:v>
                </c:pt>
                <c:pt idx="245">
                  <c:v>2.5131182152625313</c:v>
                </c:pt>
                <c:pt idx="246">
                  <c:v>2.5131182152625313</c:v>
                </c:pt>
                <c:pt idx="247">
                  <c:v>2.5131182152625313</c:v>
                </c:pt>
                <c:pt idx="248">
                  <c:v>2.5131182152625313</c:v>
                </c:pt>
                <c:pt idx="249">
                  <c:v>2.5131182152625313</c:v>
                </c:pt>
                <c:pt idx="250">
                  <c:v>2.5131182152625313</c:v>
                </c:pt>
                <c:pt idx="251">
                  <c:v>2.5131182152625313</c:v>
                </c:pt>
                <c:pt idx="252">
                  <c:v>2.5131182152625313</c:v>
                </c:pt>
                <c:pt idx="253">
                  <c:v>2.5131182152625313</c:v>
                </c:pt>
                <c:pt idx="254">
                  <c:v>2.5131182152625313</c:v>
                </c:pt>
                <c:pt idx="255">
                  <c:v>2.5131182152625313</c:v>
                </c:pt>
                <c:pt idx="256">
                  <c:v>2.5131182152625313</c:v>
                </c:pt>
                <c:pt idx="257">
                  <c:v>2.5131182152625313</c:v>
                </c:pt>
                <c:pt idx="258">
                  <c:v>2.5131182152625313</c:v>
                </c:pt>
                <c:pt idx="259">
                  <c:v>2.5131182152625313</c:v>
                </c:pt>
                <c:pt idx="260">
                  <c:v>2.5131182152625313</c:v>
                </c:pt>
                <c:pt idx="261">
                  <c:v>2.5131182152625313</c:v>
                </c:pt>
                <c:pt idx="262">
                  <c:v>2.5131182152625313</c:v>
                </c:pt>
                <c:pt idx="263">
                  <c:v>2.5131182152625313</c:v>
                </c:pt>
                <c:pt idx="264">
                  <c:v>2.5131182152625313</c:v>
                </c:pt>
                <c:pt idx="265">
                  <c:v>2.5131182152625313</c:v>
                </c:pt>
                <c:pt idx="266">
                  <c:v>2.5131182152625313</c:v>
                </c:pt>
                <c:pt idx="267">
                  <c:v>2.5131182152625313</c:v>
                </c:pt>
                <c:pt idx="268">
                  <c:v>2.5131182152625313</c:v>
                </c:pt>
                <c:pt idx="269">
                  <c:v>2.5131182152625313</c:v>
                </c:pt>
                <c:pt idx="270">
                  <c:v>2.5131182152625313</c:v>
                </c:pt>
                <c:pt idx="271">
                  <c:v>2.5131182152625313</c:v>
                </c:pt>
                <c:pt idx="272">
                  <c:v>2.5131182152625313</c:v>
                </c:pt>
                <c:pt idx="273">
                  <c:v>2.5131182152625313</c:v>
                </c:pt>
                <c:pt idx="274">
                  <c:v>2.5131182152625313</c:v>
                </c:pt>
                <c:pt idx="275">
                  <c:v>2.5131182152625313</c:v>
                </c:pt>
                <c:pt idx="276">
                  <c:v>2.5131182152625313</c:v>
                </c:pt>
                <c:pt idx="277">
                  <c:v>2.5131182152625313</c:v>
                </c:pt>
                <c:pt idx="278">
                  <c:v>2.5131182152625313</c:v>
                </c:pt>
                <c:pt idx="279">
                  <c:v>2.5131182152625313</c:v>
                </c:pt>
                <c:pt idx="280">
                  <c:v>2.5131182152625313</c:v>
                </c:pt>
                <c:pt idx="281">
                  <c:v>1.6152444684298783</c:v>
                </c:pt>
                <c:pt idx="282">
                  <c:v>1.6152444684298783</c:v>
                </c:pt>
                <c:pt idx="283">
                  <c:v>1.6152444684298783</c:v>
                </c:pt>
                <c:pt idx="284">
                  <c:v>1.6152444684298783</c:v>
                </c:pt>
                <c:pt idx="285">
                  <c:v>1.6152444684298783</c:v>
                </c:pt>
                <c:pt idx="286">
                  <c:v>1.6152444684298783</c:v>
                </c:pt>
                <c:pt idx="287">
                  <c:v>1.6152444684298783</c:v>
                </c:pt>
                <c:pt idx="288">
                  <c:v>1.6152444684298783</c:v>
                </c:pt>
                <c:pt idx="289">
                  <c:v>1.6152444684298783</c:v>
                </c:pt>
                <c:pt idx="290">
                  <c:v>1.6152444684298783</c:v>
                </c:pt>
                <c:pt idx="291">
                  <c:v>1.6152444684298783</c:v>
                </c:pt>
                <c:pt idx="292">
                  <c:v>1.6152444684298783</c:v>
                </c:pt>
                <c:pt idx="293">
                  <c:v>1.6152444684298783</c:v>
                </c:pt>
                <c:pt idx="294">
                  <c:v>1.6152444684298783</c:v>
                </c:pt>
                <c:pt idx="295">
                  <c:v>1.6152444684298783</c:v>
                </c:pt>
                <c:pt idx="296">
                  <c:v>1.6152444684298783</c:v>
                </c:pt>
                <c:pt idx="297">
                  <c:v>1.6152444684298783</c:v>
                </c:pt>
                <c:pt idx="298">
                  <c:v>1.6152444684298783</c:v>
                </c:pt>
                <c:pt idx="299">
                  <c:v>1.6152444684298783</c:v>
                </c:pt>
                <c:pt idx="300">
                  <c:v>1.6494621984783118</c:v>
                </c:pt>
                <c:pt idx="301">
                  <c:v>1.6494621984783118</c:v>
                </c:pt>
                <c:pt idx="302">
                  <c:v>1.6494621984783118</c:v>
                </c:pt>
                <c:pt idx="303">
                  <c:v>1.6494621984783118</c:v>
                </c:pt>
                <c:pt idx="304">
                  <c:v>1.6494621984783118</c:v>
                </c:pt>
                <c:pt idx="305">
                  <c:v>1.6494621984783118</c:v>
                </c:pt>
                <c:pt idx="306">
                  <c:v>1.6494621984783118</c:v>
                </c:pt>
                <c:pt idx="307">
                  <c:v>1.6494621984783118</c:v>
                </c:pt>
                <c:pt idx="308">
                  <c:v>1.6494621984783118</c:v>
                </c:pt>
                <c:pt idx="309">
                  <c:v>1.6494621984783118</c:v>
                </c:pt>
                <c:pt idx="310">
                  <c:v>1.6494621984783118</c:v>
                </c:pt>
                <c:pt idx="311">
                  <c:v>1.6494621984783118</c:v>
                </c:pt>
                <c:pt idx="312">
                  <c:v>1.6494621984783118</c:v>
                </c:pt>
                <c:pt idx="313">
                  <c:v>1.6494621984783118</c:v>
                </c:pt>
                <c:pt idx="314">
                  <c:v>1.6494621984783118</c:v>
                </c:pt>
                <c:pt idx="315">
                  <c:v>1.6494621984783118</c:v>
                </c:pt>
                <c:pt idx="316">
                  <c:v>1.6494621984783118</c:v>
                </c:pt>
                <c:pt idx="317">
                  <c:v>1.6494621984783118</c:v>
                </c:pt>
                <c:pt idx="318">
                  <c:v>1.6494621984783118</c:v>
                </c:pt>
                <c:pt idx="319">
                  <c:v>1.6494621984783118</c:v>
                </c:pt>
                <c:pt idx="320">
                  <c:v>1.6494621984783118</c:v>
                </c:pt>
                <c:pt idx="321">
                  <c:v>1.6494621984783118</c:v>
                </c:pt>
                <c:pt idx="322">
                  <c:v>1.6494621984783118</c:v>
                </c:pt>
                <c:pt idx="323">
                  <c:v>1.6494621984783118</c:v>
                </c:pt>
                <c:pt idx="324">
                  <c:v>1.6494621984783118</c:v>
                </c:pt>
                <c:pt idx="325">
                  <c:v>1.6494621984783118</c:v>
                </c:pt>
                <c:pt idx="326">
                  <c:v>1.6494621984783118</c:v>
                </c:pt>
                <c:pt idx="327">
                  <c:v>1.6494621984783118</c:v>
                </c:pt>
                <c:pt idx="328">
                  <c:v>0.87319808458533243</c:v>
                </c:pt>
                <c:pt idx="329">
                  <c:v>0.87319808458533243</c:v>
                </c:pt>
                <c:pt idx="330">
                  <c:v>0.87319808458533243</c:v>
                </c:pt>
                <c:pt idx="331">
                  <c:v>0.87319808458533243</c:v>
                </c:pt>
                <c:pt idx="332">
                  <c:v>0.87319808458533243</c:v>
                </c:pt>
                <c:pt idx="333">
                  <c:v>1.357235719871134</c:v>
                </c:pt>
                <c:pt idx="334">
                  <c:v>1.357235719871134</c:v>
                </c:pt>
                <c:pt idx="335">
                  <c:v>1.357235719871134</c:v>
                </c:pt>
                <c:pt idx="336">
                  <c:v>1.357235719871134</c:v>
                </c:pt>
                <c:pt idx="337">
                  <c:v>1.357235719871134</c:v>
                </c:pt>
                <c:pt idx="338">
                  <c:v>1.357235719871134</c:v>
                </c:pt>
                <c:pt idx="339">
                  <c:v>1.357235719871134</c:v>
                </c:pt>
                <c:pt idx="340">
                  <c:v>1.357235719871134</c:v>
                </c:pt>
                <c:pt idx="341">
                  <c:v>1.357235719871134</c:v>
                </c:pt>
                <c:pt idx="342">
                  <c:v>1.357235719871134</c:v>
                </c:pt>
                <c:pt idx="343">
                  <c:v>1.357235719871134</c:v>
                </c:pt>
                <c:pt idx="344">
                  <c:v>1.357235719871134</c:v>
                </c:pt>
                <c:pt idx="345">
                  <c:v>1.357235719871134</c:v>
                </c:pt>
                <c:pt idx="346">
                  <c:v>1.357235719871134</c:v>
                </c:pt>
                <c:pt idx="347">
                  <c:v>1.357235719871134</c:v>
                </c:pt>
                <c:pt idx="348">
                  <c:v>1.357235719871134</c:v>
                </c:pt>
                <c:pt idx="349">
                  <c:v>1.357235719871134</c:v>
                </c:pt>
                <c:pt idx="350">
                  <c:v>1.357235719871134</c:v>
                </c:pt>
                <c:pt idx="351">
                  <c:v>1.357235719871134</c:v>
                </c:pt>
                <c:pt idx="352">
                  <c:v>1.357235719871134</c:v>
                </c:pt>
                <c:pt idx="353">
                  <c:v>1.357235719871134</c:v>
                </c:pt>
                <c:pt idx="354">
                  <c:v>1.357235719871134</c:v>
                </c:pt>
                <c:pt idx="355">
                  <c:v>1.357235719871134</c:v>
                </c:pt>
                <c:pt idx="356">
                  <c:v>1.357235719871134</c:v>
                </c:pt>
                <c:pt idx="357">
                  <c:v>1.357235719871134</c:v>
                </c:pt>
                <c:pt idx="358">
                  <c:v>1.357235719871134</c:v>
                </c:pt>
                <c:pt idx="359">
                  <c:v>1.357235719871134</c:v>
                </c:pt>
                <c:pt idx="360">
                  <c:v>1.357235719871134</c:v>
                </c:pt>
                <c:pt idx="361">
                  <c:v>1.357235719871134</c:v>
                </c:pt>
                <c:pt idx="362">
                  <c:v>1.357235719871134</c:v>
                </c:pt>
                <c:pt idx="363">
                  <c:v>1.357235719871134</c:v>
                </c:pt>
                <c:pt idx="364">
                  <c:v>1.357235719871134</c:v>
                </c:pt>
                <c:pt idx="365">
                  <c:v>1.357235719871134</c:v>
                </c:pt>
                <c:pt idx="366">
                  <c:v>1.357235719871134</c:v>
                </c:pt>
                <c:pt idx="367">
                  <c:v>1.357235719871134</c:v>
                </c:pt>
                <c:pt idx="368">
                  <c:v>1.357235719871134</c:v>
                </c:pt>
                <c:pt idx="369">
                  <c:v>1.357235719871134</c:v>
                </c:pt>
                <c:pt idx="370">
                  <c:v>1.357235719871134</c:v>
                </c:pt>
                <c:pt idx="371">
                  <c:v>1.357235719871134</c:v>
                </c:pt>
                <c:pt idx="372">
                  <c:v>1.357235719871134</c:v>
                </c:pt>
                <c:pt idx="373">
                  <c:v>1.357235719871134</c:v>
                </c:pt>
                <c:pt idx="374">
                  <c:v>1.357235719871134</c:v>
                </c:pt>
                <c:pt idx="375">
                  <c:v>-0.71690643699161116</c:v>
                </c:pt>
                <c:pt idx="376">
                  <c:v>-0.71690643699161116</c:v>
                </c:pt>
                <c:pt idx="377">
                  <c:v>-0.71690643699161116</c:v>
                </c:pt>
                <c:pt idx="378">
                  <c:v>-0.71690643699161116</c:v>
                </c:pt>
                <c:pt idx="379">
                  <c:v>-0.71690643699161116</c:v>
                </c:pt>
                <c:pt idx="380">
                  <c:v>-0.71690643699161116</c:v>
                </c:pt>
                <c:pt idx="381">
                  <c:v>-0.71690643699161116</c:v>
                </c:pt>
                <c:pt idx="382">
                  <c:v>-0.71690643699161116</c:v>
                </c:pt>
                <c:pt idx="383">
                  <c:v>-0.71690643699161116</c:v>
                </c:pt>
                <c:pt idx="384">
                  <c:v>-0.88558254952057891</c:v>
                </c:pt>
                <c:pt idx="385">
                  <c:v>-0.88558254952057891</c:v>
                </c:pt>
                <c:pt idx="386">
                  <c:v>-0.88558254952057891</c:v>
                </c:pt>
                <c:pt idx="387">
                  <c:v>-0.88558254952057891</c:v>
                </c:pt>
                <c:pt idx="388">
                  <c:v>-0.88558254952057891</c:v>
                </c:pt>
                <c:pt idx="389">
                  <c:v>-0.88558254952057891</c:v>
                </c:pt>
                <c:pt idx="390">
                  <c:v>-0.88558254952057891</c:v>
                </c:pt>
                <c:pt idx="391">
                  <c:v>-0.88558254952057891</c:v>
                </c:pt>
                <c:pt idx="392">
                  <c:v>-0.88558254952057891</c:v>
                </c:pt>
                <c:pt idx="393">
                  <c:v>-0.88558254952057891</c:v>
                </c:pt>
                <c:pt idx="394">
                  <c:v>-0.88558254952057891</c:v>
                </c:pt>
                <c:pt idx="395">
                  <c:v>-0.88558254952057891</c:v>
                </c:pt>
                <c:pt idx="396">
                  <c:v>-0.88558254952057891</c:v>
                </c:pt>
                <c:pt idx="397">
                  <c:v>0.50880222530512387</c:v>
                </c:pt>
                <c:pt idx="398">
                  <c:v>0.50880222530512387</c:v>
                </c:pt>
                <c:pt idx="399">
                  <c:v>0.50880222530512387</c:v>
                </c:pt>
                <c:pt idx="400">
                  <c:v>0.50880222530512387</c:v>
                </c:pt>
                <c:pt idx="401">
                  <c:v>-0.88786801747311794</c:v>
                </c:pt>
                <c:pt idx="402">
                  <c:v>-0.88786801747311794</c:v>
                </c:pt>
                <c:pt idx="403">
                  <c:v>-0.88786801747311794</c:v>
                </c:pt>
                <c:pt idx="404">
                  <c:v>-0.88786801747311794</c:v>
                </c:pt>
                <c:pt idx="405">
                  <c:v>-0.88786801747311794</c:v>
                </c:pt>
                <c:pt idx="406">
                  <c:v>-0.88786801747311794</c:v>
                </c:pt>
                <c:pt idx="407">
                  <c:v>-0.88786801747311794</c:v>
                </c:pt>
                <c:pt idx="408">
                  <c:v>-0.88786801747311794</c:v>
                </c:pt>
                <c:pt idx="409">
                  <c:v>-0.88786801747311794</c:v>
                </c:pt>
                <c:pt idx="410">
                  <c:v>-0.88786801747311794</c:v>
                </c:pt>
                <c:pt idx="411">
                  <c:v>-0.88786801747311794</c:v>
                </c:pt>
                <c:pt idx="412">
                  <c:v>-0.88786801747311794</c:v>
                </c:pt>
                <c:pt idx="413">
                  <c:v>-0.83431524840310756</c:v>
                </c:pt>
                <c:pt idx="414">
                  <c:v>-0.83431524840310756</c:v>
                </c:pt>
                <c:pt idx="415">
                  <c:v>-0.83431524840310756</c:v>
                </c:pt>
                <c:pt idx="416">
                  <c:v>-0.83431524840310756</c:v>
                </c:pt>
                <c:pt idx="417">
                  <c:v>-0.83431524840310756</c:v>
                </c:pt>
                <c:pt idx="418">
                  <c:v>-0.83431524840310756</c:v>
                </c:pt>
              </c:numCache>
            </c:numRef>
          </c:val>
          <c:smooth val="1"/>
          <c:extLst>
            <c:ext xmlns:c16="http://schemas.microsoft.com/office/drawing/2014/chart" uri="{C3380CC4-5D6E-409C-BE32-E72D297353CC}">
              <c16:uniqueId val="{00000003-C32E-43EB-ABBC-9B224275713E}"/>
            </c:ext>
          </c:extLst>
        </c:ser>
        <c:ser>
          <c:idx val="3"/>
          <c:order val="5"/>
          <c:tx>
            <c:v>All Three</c:v>
          </c:tx>
          <c:spPr>
            <a:ln w="38100" cap="rnd">
              <a:solidFill>
                <a:sysClr val="windowText" lastClr="000000"/>
              </a:solidFill>
              <a:round/>
            </a:ln>
            <a:effectLst/>
          </c:spPr>
          <c:marker>
            <c:symbol val="none"/>
          </c:marker>
          <c:val>
            <c:numRef>
              <c:f>'2025-Q2'!$CO$4:$CO$422</c:f>
              <c:numCache>
                <c:formatCode>0.00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1.8934431343190481</c:v>
                </c:pt>
                <c:pt idx="58">
                  <c:v>1.8934431343190481</c:v>
                </c:pt>
                <c:pt idx="59">
                  <c:v>1.8934431343190481</c:v>
                </c:pt>
                <c:pt idx="60">
                  <c:v>1.8934431343190481</c:v>
                </c:pt>
                <c:pt idx="61">
                  <c:v>1.8934431343190481</c:v>
                </c:pt>
                <c:pt idx="62">
                  <c:v>4.4967384448386936</c:v>
                </c:pt>
                <c:pt idx="63">
                  <c:v>5.4371655711032112</c:v>
                </c:pt>
                <c:pt idx="64">
                  <c:v>5.4371655711032112</c:v>
                </c:pt>
                <c:pt idx="65">
                  <c:v>5.4371655711032112</c:v>
                </c:pt>
                <c:pt idx="66">
                  <c:v>5.4371655711032112</c:v>
                </c:pt>
                <c:pt idx="67">
                  <c:v>5.4371655711032112</c:v>
                </c:pt>
                <c:pt idx="68">
                  <c:v>5.4371655711032112</c:v>
                </c:pt>
                <c:pt idx="69">
                  <c:v>5.4371655711032112</c:v>
                </c:pt>
                <c:pt idx="70">
                  <c:v>5.4371655711032112</c:v>
                </c:pt>
                <c:pt idx="71">
                  <c:v>5.4371655711032112</c:v>
                </c:pt>
                <c:pt idx="72">
                  <c:v>5.4371655711032112</c:v>
                </c:pt>
                <c:pt idx="73">
                  <c:v>5.4371655711032112</c:v>
                </c:pt>
                <c:pt idx="74">
                  <c:v>5.4371655711032112</c:v>
                </c:pt>
                <c:pt idx="75">
                  <c:v>5.4371655711032112</c:v>
                </c:pt>
                <c:pt idx="76">
                  <c:v>5.4371655711032112</c:v>
                </c:pt>
                <c:pt idx="77">
                  <c:v>5.4371655711032112</c:v>
                </c:pt>
                <c:pt idx="78">
                  <c:v>4.4659391303884224</c:v>
                </c:pt>
                <c:pt idx="79">
                  <c:v>4.4659391303884224</c:v>
                </c:pt>
                <c:pt idx="80">
                  <c:v>4.4659391303884224</c:v>
                </c:pt>
                <c:pt idx="81">
                  <c:v>4.4659391303884224</c:v>
                </c:pt>
                <c:pt idx="82">
                  <c:v>4.4659391303884224</c:v>
                </c:pt>
                <c:pt idx="83">
                  <c:v>4.4659391303884224</c:v>
                </c:pt>
                <c:pt idx="84">
                  <c:v>4.4659391303884224</c:v>
                </c:pt>
                <c:pt idx="85">
                  <c:v>4.4659391303884224</c:v>
                </c:pt>
                <c:pt idx="86">
                  <c:v>4.4659391303884224</c:v>
                </c:pt>
                <c:pt idx="87">
                  <c:v>4.4659391303884224</c:v>
                </c:pt>
                <c:pt idx="88">
                  <c:v>4.4659391303884224</c:v>
                </c:pt>
                <c:pt idx="89">
                  <c:v>4.4659391303884224</c:v>
                </c:pt>
                <c:pt idx="90">
                  <c:v>4.4659391303884224</c:v>
                </c:pt>
                <c:pt idx="91">
                  <c:v>4.4659391303884224</c:v>
                </c:pt>
                <c:pt idx="92">
                  <c:v>4.4659391303884224</c:v>
                </c:pt>
                <c:pt idx="93">
                  <c:v>4.4659391303884224</c:v>
                </c:pt>
                <c:pt idx="94">
                  <c:v>4.4659391303884224</c:v>
                </c:pt>
                <c:pt idx="95">
                  <c:v>4.4659391303884224</c:v>
                </c:pt>
                <c:pt idx="96">
                  <c:v>4.4659391303884224</c:v>
                </c:pt>
                <c:pt idx="97">
                  <c:v>4.4659391303884224</c:v>
                </c:pt>
                <c:pt idx="98">
                  <c:v>4.4659391303884224</c:v>
                </c:pt>
                <c:pt idx="99">
                  <c:v>4.4659391303884224</c:v>
                </c:pt>
                <c:pt idx="100">
                  <c:v>4.4659391303884224</c:v>
                </c:pt>
                <c:pt idx="101">
                  <c:v>4.4659391303884224</c:v>
                </c:pt>
                <c:pt idx="102">
                  <c:v>4.4659391303884224</c:v>
                </c:pt>
                <c:pt idx="103">
                  <c:v>4.4659391303884224</c:v>
                </c:pt>
                <c:pt idx="104">
                  <c:v>4.4659391303884224</c:v>
                </c:pt>
                <c:pt idx="105">
                  <c:v>4.4659391303884224</c:v>
                </c:pt>
                <c:pt idx="106">
                  <c:v>4.4659391303884224</c:v>
                </c:pt>
                <c:pt idx="107">
                  <c:v>4.4659391303884224</c:v>
                </c:pt>
                <c:pt idx="108">
                  <c:v>4.4659391303884224</c:v>
                </c:pt>
                <c:pt idx="109">
                  <c:v>4.4659391303884224</c:v>
                </c:pt>
                <c:pt idx="110">
                  <c:v>4.4659391303884224</c:v>
                </c:pt>
                <c:pt idx="111">
                  <c:v>4.4659391303884224</c:v>
                </c:pt>
                <c:pt idx="112">
                  <c:v>4.4659391303884224</c:v>
                </c:pt>
                <c:pt idx="113">
                  <c:v>4.4659391303884224</c:v>
                </c:pt>
                <c:pt idx="114">
                  <c:v>4.4659391303884224</c:v>
                </c:pt>
                <c:pt idx="115">
                  <c:v>4.4659391303884224</c:v>
                </c:pt>
                <c:pt idx="116">
                  <c:v>4.4659391303884224</c:v>
                </c:pt>
                <c:pt idx="117">
                  <c:v>4.4659391303884224</c:v>
                </c:pt>
                <c:pt idx="118">
                  <c:v>4.4659391303884224</c:v>
                </c:pt>
                <c:pt idx="119">
                  <c:v>4.4659391303884224</c:v>
                </c:pt>
                <c:pt idx="120">
                  <c:v>4.4659391303884224</c:v>
                </c:pt>
                <c:pt idx="121">
                  <c:v>4.4659391303884224</c:v>
                </c:pt>
                <c:pt idx="122">
                  <c:v>4.4659391303884224</c:v>
                </c:pt>
                <c:pt idx="123">
                  <c:v>4.1490417070662797</c:v>
                </c:pt>
                <c:pt idx="124">
                  <c:v>4.1490417070662797</c:v>
                </c:pt>
                <c:pt idx="125">
                  <c:v>4.1490417070662797</c:v>
                </c:pt>
                <c:pt idx="126">
                  <c:v>4.1490417070662797</c:v>
                </c:pt>
                <c:pt idx="127">
                  <c:v>4.1490417070662797</c:v>
                </c:pt>
                <c:pt idx="128">
                  <c:v>4.1490417070662797</c:v>
                </c:pt>
                <c:pt idx="129">
                  <c:v>4.1490417070662797</c:v>
                </c:pt>
                <c:pt idx="130">
                  <c:v>4.1490417070662797</c:v>
                </c:pt>
                <c:pt idx="131">
                  <c:v>4.1490417070662797</c:v>
                </c:pt>
                <c:pt idx="132">
                  <c:v>4.1490417070662797</c:v>
                </c:pt>
                <c:pt idx="133">
                  <c:v>4.1490417070662797</c:v>
                </c:pt>
                <c:pt idx="134">
                  <c:v>4.1490417070662797</c:v>
                </c:pt>
                <c:pt idx="135">
                  <c:v>4.4891777614880493</c:v>
                </c:pt>
                <c:pt idx="136">
                  <c:v>4.4891777614880493</c:v>
                </c:pt>
                <c:pt idx="137">
                  <c:v>4.4891777614880493</c:v>
                </c:pt>
                <c:pt idx="138">
                  <c:v>4.4891777614880493</c:v>
                </c:pt>
                <c:pt idx="139">
                  <c:v>4.4891777614880493</c:v>
                </c:pt>
                <c:pt idx="140">
                  <c:v>4.4891777614880493</c:v>
                </c:pt>
                <c:pt idx="141">
                  <c:v>4.4891777614880493</c:v>
                </c:pt>
                <c:pt idx="142">
                  <c:v>3.2146558783169401</c:v>
                </c:pt>
                <c:pt idx="143">
                  <c:v>3.2146558783169401</c:v>
                </c:pt>
                <c:pt idx="144">
                  <c:v>3.2146558783169401</c:v>
                </c:pt>
                <c:pt idx="145">
                  <c:v>3.2146558783169401</c:v>
                </c:pt>
                <c:pt idx="146">
                  <c:v>3.2146558783169401</c:v>
                </c:pt>
                <c:pt idx="147">
                  <c:v>3.2146558783169401</c:v>
                </c:pt>
                <c:pt idx="148">
                  <c:v>3.2146558783169401</c:v>
                </c:pt>
                <c:pt idx="149">
                  <c:v>3.2146558783169401</c:v>
                </c:pt>
                <c:pt idx="150">
                  <c:v>3.2146558783169401</c:v>
                </c:pt>
                <c:pt idx="151">
                  <c:v>4.3451705841992965</c:v>
                </c:pt>
                <c:pt idx="152">
                  <c:v>4.3451705841992965</c:v>
                </c:pt>
                <c:pt idx="153">
                  <c:v>4.3451705841992965</c:v>
                </c:pt>
                <c:pt idx="154">
                  <c:v>4.3451705841992965</c:v>
                </c:pt>
                <c:pt idx="155">
                  <c:v>4.3451705841992965</c:v>
                </c:pt>
                <c:pt idx="156">
                  <c:v>6.3471379406551414</c:v>
                </c:pt>
                <c:pt idx="157">
                  <c:v>6.3471379406551414</c:v>
                </c:pt>
                <c:pt idx="158">
                  <c:v>6.3471379406551414</c:v>
                </c:pt>
                <c:pt idx="159">
                  <c:v>6.3471379406551414</c:v>
                </c:pt>
                <c:pt idx="160">
                  <c:v>6.3471379406551414</c:v>
                </c:pt>
                <c:pt idx="161">
                  <c:v>6.3471379406551414</c:v>
                </c:pt>
                <c:pt idx="162">
                  <c:v>6.3471379406551414</c:v>
                </c:pt>
                <c:pt idx="163">
                  <c:v>5.3788136340738166</c:v>
                </c:pt>
                <c:pt idx="164">
                  <c:v>5.3788136340738166</c:v>
                </c:pt>
                <c:pt idx="165">
                  <c:v>5.3788136340738166</c:v>
                </c:pt>
                <c:pt idx="166">
                  <c:v>5.3788136340738166</c:v>
                </c:pt>
                <c:pt idx="167">
                  <c:v>5.3788136340738166</c:v>
                </c:pt>
                <c:pt idx="168">
                  <c:v>5.3788136340738166</c:v>
                </c:pt>
                <c:pt idx="169">
                  <c:v>5.3788136340738166</c:v>
                </c:pt>
                <c:pt idx="170">
                  <c:v>5.3788136340738166</c:v>
                </c:pt>
                <c:pt idx="171">
                  <c:v>5.3788136340738166</c:v>
                </c:pt>
                <c:pt idx="172">
                  <c:v>5.3788136340738166</c:v>
                </c:pt>
                <c:pt idx="173">
                  <c:v>5.3788136340738166</c:v>
                </c:pt>
                <c:pt idx="174">
                  <c:v>5.3788136340738166</c:v>
                </c:pt>
                <c:pt idx="175">
                  <c:v>6.8904768431007852</c:v>
                </c:pt>
                <c:pt idx="176">
                  <c:v>6.8904768431007852</c:v>
                </c:pt>
                <c:pt idx="177">
                  <c:v>6.8904768431007852</c:v>
                </c:pt>
                <c:pt idx="178">
                  <c:v>6.8904768431007852</c:v>
                </c:pt>
                <c:pt idx="179">
                  <c:v>6.8904768431007852</c:v>
                </c:pt>
                <c:pt idx="180">
                  <c:v>6.8904768431007852</c:v>
                </c:pt>
                <c:pt idx="181">
                  <c:v>6.8904768431007852</c:v>
                </c:pt>
                <c:pt idx="182">
                  <c:v>7.6018175163824644</c:v>
                </c:pt>
                <c:pt idx="183">
                  <c:v>7.6018175163824644</c:v>
                </c:pt>
                <c:pt idx="184">
                  <c:v>7.6018175163824644</c:v>
                </c:pt>
                <c:pt idx="185">
                  <c:v>7.6018175163824644</c:v>
                </c:pt>
                <c:pt idx="186">
                  <c:v>7.6018175163824644</c:v>
                </c:pt>
                <c:pt idx="187">
                  <c:v>7.6018175163824644</c:v>
                </c:pt>
                <c:pt idx="188">
                  <c:v>7.6018175163824644</c:v>
                </c:pt>
                <c:pt idx="189">
                  <c:v>7.6018175163824644</c:v>
                </c:pt>
                <c:pt idx="190">
                  <c:v>7.6018175163824644</c:v>
                </c:pt>
                <c:pt idx="191">
                  <c:v>7.6018175163824644</c:v>
                </c:pt>
                <c:pt idx="192">
                  <c:v>7.6018175163824644</c:v>
                </c:pt>
                <c:pt idx="193">
                  <c:v>7.6018175163824644</c:v>
                </c:pt>
                <c:pt idx="194">
                  <c:v>7.6018175163824644</c:v>
                </c:pt>
                <c:pt idx="195">
                  <c:v>7.6018175163824644</c:v>
                </c:pt>
                <c:pt idx="196">
                  <c:v>7.6018175163824644</c:v>
                </c:pt>
                <c:pt idx="197">
                  <c:v>7.6018175163824644</c:v>
                </c:pt>
                <c:pt idx="198">
                  <c:v>7.6018175163824644</c:v>
                </c:pt>
                <c:pt idx="199">
                  <c:v>7.6018175163824644</c:v>
                </c:pt>
                <c:pt idx="200">
                  <c:v>7.6018175163824644</c:v>
                </c:pt>
                <c:pt idx="201">
                  <c:v>7.6018175163824644</c:v>
                </c:pt>
                <c:pt idx="202">
                  <c:v>7.6018175163824644</c:v>
                </c:pt>
                <c:pt idx="203">
                  <c:v>7.6018175163824644</c:v>
                </c:pt>
                <c:pt idx="204">
                  <c:v>7.6018175163824644</c:v>
                </c:pt>
                <c:pt idx="205">
                  <c:v>7.6018175163824644</c:v>
                </c:pt>
                <c:pt idx="206">
                  <c:v>7.6018175163824644</c:v>
                </c:pt>
                <c:pt idx="207">
                  <c:v>7.6018175163824644</c:v>
                </c:pt>
                <c:pt idx="208">
                  <c:v>7.6018175163824644</c:v>
                </c:pt>
                <c:pt idx="209">
                  <c:v>7.6018175163824644</c:v>
                </c:pt>
                <c:pt idx="210">
                  <c:v>7.6018175163824644</c:v>
                </c:pt>
                <c:pt idx="211">
                  <c:v>7.6018175163824644</c:v>
                </c:pt>
                <c:pt idx="212">
                  <c:v>7.6018175163824644</c:v>
                </c:pt>
                <c:pt idx="213">
                  <c:v>7.6018175163824644</c:v>
                </c:pt>
                <c:pt idx="214">
                  <c:v>7.6018175163824644</c:v>
                </c:pt>
                <c:pt idx="215">
                  <c:v>7.6018175163824644</c:v>
                </c:pt>
                <c:pt idx="216">
                  <c:v>7.6018175163824644</c:v>
                </c:pt>
                <c:pt idx="217">
                  <c:v>7.6018175163824644</c:v>
                </c:pt>
                <c:pt idx="218">
                  <c:v>7.6018175163824644</c:v>
                </c:pt>
                <c:pt idx="219">
                  <c:v>7.6018175163824644</c:v>
                </c:pt>
                <c:pt idx="220">
                  <c:v>7.6018175163824644</c:v>
                </c:pt>
                <c:pt idx="221">
                  <c:v>7.6018175163824644</c:v>
                </c:pt>
                <c:pt idx="222">
                  <c:v>7.6018175163824644</c:v>
                </c:pt>
                <c:pt idx="223">
                  <c:v>7.6018175163824644</c:v>
                </c:pt>
                <c:pt idx="224">
                  <c:v>7.6018175163824644</c:v>
                </c:pt>
                <c:pt idx="225">
                  <c:v>7.6018175163824644</c:v>
                </c:pt>
                <c:pt idx="226">
                  <c:v>7.6018175163824644</c:v>
                </c:pt>
                <c:pt idx="227">
                  <c:v>7.6018175163824644</c:v>
                </c:pt>
                <c:pt idx="228">
                  <c:v>7.6018175163824644</c:v>
                </c:pt>
                <c:pt idx="229">
                  <c:v>7.6018175163824644</c:v>
                </c:pt>
                <c:pt idx="230">
                  <c:v>7.6018175163824644</c:v>
                </c:pt>
                <c:pt idx="231">
                  <c:v>7.0369384614415349</c:v>
                </c:pt>
                <c:pt idx="232">
                  <c:v>7.0369384614415349</c:v>
                </c:pt>
                <c:pt idx="233">
                  <c:v>7.0369384614415349</c:v>
                </c:pt>
                <c:pt idx="234">
                  <c:v>7.0369384614415349</c:v>
                </c:pt>
                <c:pt idx="235">
                  <c:v>7.0369384614415349</c:v>
                </c:pt>
                <c:pt idx="236">
                  <c:v>7.0369384614415349</c:v>
                </c:pt>
                <c:pt idx="237">
                  <c:v>7.0369384614415349</c:v>
                </c:pt>
                <c:pt idx="238">
                  <c:v>5.3335351204836048</c:v>
                </c:pt>
                <c:pt idx="239">
                  <c:v>5.3335351204836048</c:v>
                </c:pt>
                <c:pt idx="240">
                  <c:v>5.3335351204836048</c:v>
                </c:pt>
                <c:pt idx="241">
                  <c:v>5.3335351204836048</c:v>
                </c:pt>
                <c:pt idx="242">
                  <c:v>5.3335351204836048</c:v>
                </c:pt>
                <c:pt idx="243">
                  <c:v>5.3335351204836048</c:v>
                </c:pt>
                <c:pt idx="244">
                  <c:v>4.5058185707067606</c:v>
                </c:pt>
                <c:pt idx="245">
                  <c:v>4.5058185707067606</c:v>
                </c:pt>
                <c:pt idx="246">
                  <c:v>4.5058185707067606</c:v>
                </c:pt>
                <c:pt idx="247">
                  <c:v>4.5058185707067606</c:v>
                </c:pt>
                <c:pt idx="248">
                  <c:v>4.5058185707067606</c:v>
                </c:pt>
                <c:pt idx="249">
                  <c:v>4.5058185707067606</c:v>
                </c:pt>
                <c:pt idx="250">
                  <c:v>4.5058185707067606</c:v>
                </c:pt>
                <c:pt idx="251">
                  <c:v>4.5058185707067606</c:v>
                </c:pt>
                <c:pt idx="252">
                  <c:v>4.5058185707067606</c:v>
                </c:pt>
                <c:pt idx="253">
                  <c:v>4.5058185707067606</c:v>
                </c:pt>
                <c:pt idx="254">
                  <c:v>4.5058185707067606</c:v>
                </c:pt>
                <c:pt idx="255">
                  <c:v>4.5058185707067606</c:v>
                </c:pt>
                <c:pt idx="256">
                  <c:v>4.5058185707067606</c:v>
                </c:pt>
                <c:pt idx="257">
                  <c:v>4.5058185707067606</c:v>
                </c:pt>
                <c:pt idx="258">
                  <c:v>4.5058185707067606</c:v>
                </c:pt>
                <c:pt idx="259">
                  <c:v>4.5058185707067606</c:v>
                </c:pt>
                <c:pt idx="260">
                  <c:v>4.8739076303036191</c:v>
                </c:pt>
                <c:pt idx="261">
                  <c:v>4.8739076303036191</c:v>
                </c:pt>
                <c:pt idx="262">
                  <c:v>4.8739076303036191</c:v>
                </c:pt>
                <c:pt idx="263">
                  <c:v>4.8739076303036191</c:v>
                </c:pt>
                <c:pt idx="264">
                  <c:v>4.8739076303036191</c:v>
                </c:pt>
                <c:pt idx="265">
                  <c:v>4.8739076303036191</c:v>
                </c:pt>
                <c:pt idx="266">
                  <c:v>4.8739076303036191</c:v>
                </c:pt>
                <c:pt idx="267">
                  <c:v>4.8739076303036191</c:v>
                </c:pt>
                <c:pt idx="268">
                  <c:v>4.8739076303036191</c:v>
                </c:pt>
                <c:pt idx="269">
                  <c:v>4.8739076303036191</c:v>
                </c:pt>
                <c:pt idx="270">
                  <c:v>4.8739076303036191</c:v>
                </c:pt>
                <c:pt idx="271">
                  <c:v>4.8739076303036191</c:v>
                </c:pt>
                <c:pt idx="272">
                  <c:v>4.8739076303036191</c:v>
                </c:pt>
                <c:pt idx="273">
                  <c:v>4.8739076303036191</c:v>
                </c:pt>
                <c:pt idx="274">
                  <c:v>4.8739076303036191</c:v>
                </c:pt>
                <c:pt idx="275">
                  <c:v>4.8739076303036191</c:v>
                </c:pt>
                <c:pt idx="276">
                  <c:v>4.8739076303036191</c:v>
                </c:pt>
                <c:pt idx="277">
                  <c:v>4.8739076303036191</c:v>
                </c:pt>
                <c:pt idx="278">
                  <c:v>4.8739076303036191</c:v>
                </c:pt>
                <c:pt idx="279">
                  <c:v>4.8739076303036191</c:v>
                </c:pt>
                <c:pt idx="280">
                  <c:v>4.8739076303036191</c:v>
                </c:pt>
                <c:pt idx="281">
                  <c:v>3.9760338834709654</c:v>
                </c:pt>
                <c:pt idx="282">
                  <c:v>3.9760338834709654</c:v>
                </c:pt>
                <c:pt idx="283">
                  <c:v>3.9760338834709654</c:v>
                </c:pt>
                <c:pt idx="284">
                  <c:v>3.9760338834709654</c:v>
                </c:pt>
                <c:pt idx="285">
                  <c:v>3.9760338834709654</c:v>
                </c:pt>
                <c:pt idx="286">
                  <c:v>3.9760338834709654</c:v>
                </c:pt>
                <c:pt idx="287">
                  <c:v>4.0238185069891328</c:v>
                </c:pt>
                <c:pt idx="288">
                  <c:v>4.0238185069891328</c:v>
                </c:pt>
                <c:pt idx="289">
                  <c:v>4.0238185069891328</c:v>
                </c:pt>
                <c:pt idx="290">
                  <c:v>4.0238185069891328</c:v>
                </c:pt>
                <c:pt idx="291">
                  <c:v>4.0238185069891328</c:v>
                </c:pt>
                <c:pt idx="292">
                  <c:v>4.0238185069891328</c:v>
                </c:pt>
                <c:pt idx="293">
                  <c:v>4.0238185069891328</c:v>
                </c:pt>
                <c:pt idx="294">
                  <c:v>4.0238185069891328</c:v>
                </c:pt>
                <c:pt idx="295">
                  <c:v>4.0238185069891328</c:v>
                </c:pt>
                <c:pt idx="296">
                  <c:v>4.0238185069891328</c:v>
                </c:pt>
                <c:pt idx="297">
                  <c:v>4.0238185069891328</c:v>
                </c:pt>
                <c:pt idx="298">
                  <c:v>4.0238185069891328</c:v>
                </c:pt>
                <c:pt idx="299">
                  <c:v>4.0238185069891328</c:v>
                </c:pt>
                <c:pt idx="300">
                  <c:v>4.0580362370375669</c:v>
                </c:pt>
                <c:pt idx="301">
                  <c:v>4.0580362370375669</c:v>
                </c:pt>
                <c:pt idx="302">
                  <c:v>4.0580362370375669</c:v>
                </c:pt>
                <c:pt idx="303">
                  <c:v>4.0580362370375669</c:v>
                </c:pt>
                <c:pt idx="304">
                  <c:v>4.0580362370375669</c:v>
                </c:pt>
                <c:pt idx="305">
                  <c:v>4.0580362370375669</c:v>
                </c:pt>
                <c:pt idx="306">
                  <c:v>4.0580362370375669</c:v>
                </c:pt>
                <c:pt idx="307">
                  <c:v>4.0580362370375669</c:v>
                </c:pt>
                <c:pt idx="308">
                  <c:v>4.0580362370375669</c:v>
                </c:pt>
                <c:pt idx="309">
                  <c:v>4.0580362370375669</c:v>
                </c:pt>
                <c:pt idx="310">
                  <c:v>4.0580362370375669</c:v>
                </c:pt>
                <c:pt idx="311">
                  <c:v>4.0580362370375669</c:v>
                </c:pt>
                <c:pt idx="312">
                  <c:v>4.0580362370375669</c:v>
                </c:pt>
                <c:pt idx="313">
                  <c:v>4.0580362370375669</c:v>
                </c:pt>
                <c:pt idx="314">
                  <c:v>4.0580362370375669</c:v>
                </c:pt>
                <c:pt idx="315">
                  <c:v>4.0580362370375669</c:v>
                </c:pt>
                <c:pt idx="316">
                  <c:v>4.0580362370375669</c:v>
                </c:pt>
                <c:pt idx="317">
                  <c:v>4.0580362370375669</c:v>
                </c:pt>
                <c:pt idx="318">
                  <c:v>4.0580362370375669</c:v>
                </c:pt>
                <c:pt idx="319">
                  <c:v>4.0580362370375669</c:v>
                </c:pt>
                <c:pt idx="320">
                  <c:v>4.5340037776118471</c:v>
                </c:pt>
                <c:pt idx="321">
                  <c:v>4.5340037776118471</c:v>
                </c:pt>
                <c:pt idx="322">
                  <c:v>4.5340037776118471</c:v>
                </c:pt>
                <c:pt idx="323">
                  <c:v>4.5340037776118471</c:v>
                </c:pt>
                <c:pt idx="324">
                  <c:v>4.5340037776118471</c:v>
                </c:pt>
                <c:pt idx="325">
                  <c:v>4.5340037776118471</c:v>
                </c:pt>
                <c:pt idx="326">
                  <c:v>2.9407123729996845</c:v>
                </c:pt>
                <c:pt idx="327">
                  <c:v>2.9407123729996845</c:v>
                </c:pt>
                <c:pt idx="328">
                  <c:v>2.1644482591067051</c:v>
                </c:pt>
                <c:pt idx="329">
                  <c:v>2.1644482591067051</c:v>
                </c:pt>
                <c:pt idx="330">
                  <c:v>2.1644482591067051</c:v>
                </c:pt>
                <c:pt idx="331">
                  <c:v>2.1644482591067051</c:v>
                </c:pt>
                <c:pt idx="332">
                  <c:v>2.1644482591067051</c:v>
                </c:pt>
                <c:pt idx="333">
                  <c:v>2.6484858943925063</c:v>
                </c:pt>
                <c:pt idx="334">
                  <c:v>2.6484858943925063</c:v>
                </c:pt>
                <c:pt idx="335">
                  <c:v>2.6484858943925063</c:v>
                </c:pt>
                <c:pt idx="336">
                  <c:v>2.6484858943925063</c:v>
                </c:pt>
                <c:pt idx="337">
                  <c:v>2.6484858943925063</c:v>
                </c:pt>
                <c:pt idx="338">
                  <c:v>2.6484858943925063</c:v>
                </c:pt>
                <c:pt idx="339">
                  <c:v>2.6484858943925063</c:v>
                </c:pt>
                <c:pt idx="340">
                  <c:v>2.6484858943925063</c:v>
                </c:pt>
                <c:pt idx="341">
                  <c:v>2.6484858943925063</c:v>
                </c:pt>
                <c:pt idx="342">
                  <c:v>2.6484858943925063</c:v>
                </c:pt>
                <c:pt idx="343">
                  <c:v>2.6484858943925063</c:v>
                </c:pt>
                <c:pt idx="344">
                  <c:v>2.6484858943925063</c:v>
                </c:pt>
                <c:pt idx="345">
                  <c:v>2.6484858943925063</c:v>
                </c:pt>
                <c:pt idx="346">
                  <c:v>2.6484858943925063</c:v>
                </c:pt>
                <c:pt idx="347">
                  <c:v>2.6484858943925063</c:v>
                </c:pt>
                <c:pt idx="348">
                  <c:v>2.6484858943925063</c:v>
                </c:pt>
                <c:pt idx="349">
                  <c:v>2.6484858943925063</c:v>
                </c:pt>
                <c:pt idx="350">
                  <c:v>2.6484858943925063</c:v>
                </c:pt>
                <c:pt idx="351">
                  <c:v>2.6484858943925063</c:v>
                </c:pt>
                <c:pt idx="352">
                  <c:v>2.6484858943925063</c:v>
                </c:pt>
                <c:pt idx="353">
                  <c:v>2.6484858943925063</c:v>
                </c:pt>
                <c:pt idx="354">
                  <c:v>2.6484858943925063</c:v>
                </c:pt>
                <c:pt idx="355">
                  <c:v>2.6484858943925063</c:v>
                </c:pt>
                <c:pt idx="356">
                  <c:v>2.6484858943925063</c:v>
                </c:pt>
                <c:pt idx="357">
                  <c:v>2.6484858943925063</c:v>
                </c:pt>
                <c:pt idx="358">
                  <c:v>2.6484858943925063</c:v>
                </c:pt>
                <c:pt idx="359">
                  <c:v>2.6484858943925063</c:v>
                </c:pt>
                <c:pt idx="360">
                  <c:v>2.6484858943925063</c:v>
                </c:pt>
                <c:pt idx="361">
                  <c:v>2.6484858943925063</c:v>
                </c:pt>
                <c:pt idx="362">
                  <c:v>2.6484858943925063</c:v>
                </c:pt>
                <c:pt idx="363">
                  <c:v>2.6484858943925063</c:v>
                </c:pt>
                <c:pt idx="364">
                  <c:v>2.6484858943925063</c:v>
                </c:pt>
                <c:pt idx="365">
                  <c:v>2.6484858943925063</c:v>
                </c:pt>
                <c:pt idx="366">
                  <c:v>2.6484858943925063</c:v>
                </c:pt>
                <c:pt idx="367">
                  <c:v>2.6484858943925063</c:v>
                </c:pt>
                <c:pt idx="368">
                  <c:v>2.6484858943925063</c:v>
                </c:pt>
                <c:pt idx="369">
                  <c:v>2.6484858943925063</c:v>
                </c:pt>
                <c:pt idx="370">
                  <c:v>2.6484858943925063</c:v>
                </c:pt>
                <c:pt idx="371">
                  <c:v>2.6484858943925063</c:v>
                </c:pt>
                <c:pt idx="372">
                  <c:v>2.6484858943925063</c:v>
                </c:pt>
                <c:pt idx="373">
                  <c:v>2.6484858943925063</c:v>
                </c:pt>
                <c:pt idx="374">
                  <c:v>2.6484858943925063</c:v>
                </c:pt>
                <c:pt idx="375">
                  <c:v>0.57434373752976109</c:v>
                </c:pt>
                <c:pt idx="376">
                  <c:v>0.57434373752976109</c:v>
                </c:pt>
                <c:pt idx="377">
                  <c:v>0.57434373752976109</c:v>
                </c:pt>
                <c:pt idx="378">
                  <c:v>0.57434373752976109</c:v>
                </c:pt>
                <c:pt idx="379">
                  <c:v>0.57434373752976109</c:v>
                </c:pt>
                <c:pt idx="380">
                  <c:v>0.57434373752976109</c:v>
                </c:pt>
                <c:pt idx="381">
                  <c:v>0.57434373752976109</c:v>
                </c:pt>
                <c:pt idx="382">
                  <c:v>0.57434373752976109</c:v>
                </c:pt>
                <c:pt idx="383">
                  <c:v>0.57434373752976109</c:v>
                </c:pt>
                <c:pt idx="384">
                  <c:v>0.40566762500079356</c:v>
                </c:pt>
                <c:pt idx="385">
                  <c:v>1.1969185069683352</c:v>
                </c:pt>
                <c:pt idx="386">
                  <c:v>1.1969185069683352</c:v>
                </c:pt>
                <c:pt idx="387">
                  <c:v>1.1969185069683352</c:v>
                </c:pt>
                <c:pt idx="388">
                  <c:v>1.1969185069683352</c:v>
                </c:pt>
                <c:pt idx="389">
                  <c:v>1.1969185069683352</c:v>
                </c:pt>
                <c:pt idx="390">
                  <c:v>1.1969185069683352</c:v>
                </c:pt>
                <c:pt idx="391">
                  <c:v>1.1969185069683352</c:v>
                </c:pt>
                <c:pt idx="392">
                  <c:v>1.1969185069683352</c:v>
                </c:pt>
                <c:pt idx="393">
                  <c:v>1.1969185069683352</c:v>
                </c:pt>
                <c:pt idx="394">
                  <c:v>1.1969185069683352</c:v>
                </c:pt>
                <c:pt idx="395">
                  <c:v>1.1969185069683352</c:v>
                </c:pt>
                <c:pt idx="396">
                  <c:v>1.1969185069683352</c:v>
                </c:pt>
                <c:pt idx="397">
                  <c:v>2.5913032817940378</c:v>
                </c:pt>
                <c:pt idx="398">
                  <c:v>2.5913032817940378</c:v>
                </c:pt>
                <c:pt idx="399">
                  <c:v>2.5913032817940378</c:v>
                </c:pt>
                <c:pt idx="400">
                  <c:v>2.5913032817940378</c:v>
                </c:pt>
                <c:pt idx="401">
                  <c:v>1.1946330390157962</c:v>
                </c:pt>
                <c:pt idx="402">
                  <c:v>1.1946330390157962</c:v>
                </c:pt>
                <c:pt idx="403">
                  <c:v>1.1946330390157962</c:v>
                </c:pt>
                <c:pt idx="404">
                  <c:v>1.1946330390157962</c:v>
                </c:pt>
                <c:pt idx="405">
                  <c:v>1.1946330390157962</c:v>
                </c:pt>
                <c:pt idx="406">
                  <c:v>1.1946330390157962</c:v>
                </c:pt>
                <c:pt idx="407">
                  <c:v>1.1946330390157962</c:v>
                </c:pt>
                <c:pt idx="408">
                  <c:v>1.1946330390157962</c:v>
                </c:pt>
                <c:pt idx="409">
                  <c:v>1.1946330390157962</c:v>
                </c:pt>
                <c:pt idx="410">
                  <c:v>1.1946330390157962</c:v>
                </c:pt>
                <c:pt idx="411">
                  <c:v>1.5974277151209457</c:v>
                </c:pt>
                <c:pt idx="412">
                  <c:v>1.5974277151209457</c:v>
                </c:pt>
                <c:pt idx="413">
                  <c:v>1.6509804841909559</c:v>
                </c:pt>
                <c:pt idx="414">
                  <c:v>1.6509804841909559</c:v>
                </c:pt>
                <c:pt idx="415">
                  <c:v>1.6509804841909559</c:v>
                </c:pt>
                <c:pt idx="416">
                  <c:v>1.6509804841909559</c:v>
                </c:pt>
                <c:pt idx="417">
                  <c:v>1.6509804841909559</c:v>
                </c:pt>
                <c:pt idx="418">
                  <c:v>1.6509804841909559</c:v>
                </c:pt>
              </c:numCache>
            </c:numRef>
          </c:val>
          <c:smooth val="1"/>
          <c:extLst>
            <c:ext xmlns:c16="http://schemas.microsoft.com/office/drawing/2014/chart" uri="{C3380CC4-5D6E-409C-BE32-E72D297353CC}">
              <c16:uniqueId val="{00000005-C32E-43EB-ABBC-9B224275713E}"/>
            </c:ext>
          </c:extLst>
        </c:ser>
        <c:dLbls>
          <c:showLegendKey val="0"/>
          <c:showVal val="0"/>
          <c:showCatName val="0"/>
          <c:showSerName val="0"/>
          <c:showPercent val="0"/>
          <c:showBubbleSize val="0"/>
        </c:dLbls>
        <c:smooth val="0"/>
        <c:axId val="147683023"/>
        <c:axId val="146645279"/>
        <c:extLst>
          <c:ext xmlns:c15="http://schemas.microsoft.com/office/drawing/2012/chart" uri="{02D57815-91ED-43cb-92C2-25804820EDAC}">
            <c15:filteredLineSeries>
              <c15:ser>
                <c:idx val="5"/>
                <c:order val="1"/>
                <c:tx>
                  <c:v>Up (MOC)</c:v>
                </c:tx>
                <c:spPr>
                  <a:ln w="28575" cap="rnd">
                    <a:solidFill>
                      <a:schemeClr val="accent6"/>
                    </a:solidFill>
                    <a:prstDash val="sysDash"/>
                    <a:round/>
                  </a:ln>
                  <a:effectLst/>
                </c:spPr>
                <c:marker>
                  <c:symbol val="none"/>
                </c:marker>
                <c:val>
                  <c:numRef>
                    <c:extLst>
                      <c:ext uri="{02D57815-91ED-43cb-92C2-25804820EDAC}">
                        <c15:formulaRef>
                          <c15:sqref>'2025-Q2'!$AX$4:$AX$350</c15:sqref>
                        </c15:formulaRef>
                      </c:ext>
                    </c:extLst>
                    <c:numCache>
                      <c:formatCode>"$"#,##0</c:formatCode>
                      <c:ptCount val="34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59.839999999999918</c:v>
                      </c:pt>
                      <c:pt idx="40">
                        <c:v>59.839999999999918</c:v>
                      </c:pt>
                      <c:pt idx="41">
                        <c:v>59.839999999999918</c:v>
                      </c:pt>
                      <c:pt idx="42">
                        <c:v>59.839999999999918</c:v>
                      </c:pt>
                      <c:pt idx="43">
                        <c:v>59.839999999999918</c:v>
                      </c:pt>
                      <c:pt idx="44">
                        <c:v>59.839999999999918</c:v>
                      </c:pt>
                      <c:pt idx="45">
                        <c:v>59.839999999999918</c:v>
                      </c:pt>
                      <c:pt idx="46">
                        <c:v>59.839999999999918</c:v>
                      </c:pt>
                      <c:pt idx="47">
                        <c:v>-74.660000000000196</c:v>
                      </c:pt>
                      <c:pt idx="48">
                        <c:v>-74.660000000000196</c:v>
                      </c:pt>
                      <c:pt idx="49">
                        <c:v>-74.660000000000196</c:v>
                      </c:pt>
                      <c:pt idx="50">
                        <c:v>-74.660000000000196</c:v>
                      </c:pt>
                      <c:pt idx="51">
                        <c:v>-74.660000000000196</c:v>
                      </c:pt>
                      <c:pt idx="52">
                        <c:v>-74.660000000000196</c:v>
                      </c:pt>
                      <c:pt idx="53">
                        <c:v>-74.660000000000196</c:v>
                      </c:pt>
                      <c:pt idx="54">
                        <c:v>-74.660000000000196</c:v>
                      </c:pt>
                      <c:pt idx="55">
                        <c:v>-74.660000000000196</c:v>
                      </c:pt>
                      <c:pt idx="56">
                        <c:v>-74.660000000000196</c:v>
                      </c:pt>
                      <c:pt idx="57">
                        <c:v>-74.660000000000196</c:v>
                      </c:pt>
                      <c:pt idx="58">
                        <c:v>-74.660000000000196</c:v>
                      </c:pt>
                      <c:pt idx="59">
                        <c:v>-74.660000000000196</c:v>
                      </c:pt>
                      <c:pt idx="60">
                        <c:v>-74.660000000000196</c:v>
                      </c:pt>
                      <c:pt idx="61">
                        <c:v>-74.660000000000196</c:v>
                      </c:pt>
                      <c:pt idx="62">
                        <c:v>-74.660000000000196</c:v>
                      </c:pt>
                      <c:pt idx="63">
                        <c:v>-74.660000000000196</c:v>
                      </c:pt>
                      <c:pt idx="64">
                        <c:v>-74.660000000000196</c:v>
                      </c:pt>
                      <c:pt idx="65">
                        <c:v>-74.660000000000196</c:v>
                      </c:pt>
                      <c:pt idx="66">
                        <c:v>-74.660000000000196</c:v>
                      </c:pt>
                      <c:pt idx="67">
                        <c:v>-74.660000000000196</c:v>
                      </c:pt>
                      <c:pt idx="68">
                        <c:v>-74.660000000000196</c:v>
                      </c:pt>
                      <c:pt idx="69">
                        <c:v>-54.660000000000196</c:v>
                      </c:pt>
                      <c:pt idx="70">
                        <c:v>-54.660000000000196</c:v>
                      </c:pt>
                      <c:pt idx="71">
                        <c:v>-66.900000000000205</c:v>
                      </c:pt>
                      <c:pt idx="72">
                        <c:v>-66.900000000000205</c:v>
                      </c:pt>
                      <c:pt idx="73">
                        <c:v>-66.900000000000205</c:v>
                      </c:pt>
                      <c:pt idx="74">
                        <c:v>-66.900000000000205</c:v>
                      </c:pt>
                      <c:pt idx="75">
                        <c:v>-66.900000000000205</c:v>
                      </c:pt>
                      <c:pt idx="76">
                        <c:v>-66.900000000000205</c:v>
                      </c:pt>
                      <c:pt idx="77">
                        <c:v>-66.900000000000205</c:v>
                      </c:pt>
                      <c:pt idx="78">
                        <c:v>-66.900000000000205</c:v>
                      </c:pt>
                      <c:pt idx="79">
                        <c:v>-66.900000000000205</c:v>
                      </c:pt>
                      <c:pt idx="80">
                        <c:v>-66.900000000000205</c:v>
                      </c:pt>
                      <c:pt idx="81">
                        <c:v>-66.900000000000205</c:v>
                      </c:pt>
                      <c:pt idx="82">
                        <c:v>-66.900000000000205</c:v>
                      </c:pt>
                      <c:pt idx="83">
                        <c:v>-66.900000000000205</c:v>
                      </c:pt>
                      <c:pt idx="84">
                        <c:v>-66.900000000000205</c:v>
                      </c:pt>
                      <c:pt idx="85">
                        <c:v>-66.900000000000205</c:v>
                      </c:pt>
                      <c:pt idx="86">
                        <c:v>-66.900000000000205</c:v>
                      </c:pt>
                      <c:pt idx="87">
                        <c:v>-66.900000000000205</c:v>
                      </c:pt>
                      <c:pt idx="88">
                        <c:v>-66.900000000000205</c:v>
                      </c:pt>
                      <c:pt idx="89">
                        <c:v>-66.900000000000205</c:v>
                      </c:pt>
                      <c:pt idx="90">
                        <c:v>-66.900000000000205</c:v>
                      </c:pt>
                      <c:pt idx="91">
                        <c:v>-66.900000000000205</c:v>
                      </c:pt>
                      <c:pt idx="92">
                        <c:v>-66.900000000000205</c:v>
                      </c:pt>
                      <c:pt idx="93">
                        <c:v>-66.900000000000205</c:v>
                      </c:pt>
                      <c:pt idx="94">
                        <c:v>-66.900000000000205</c:v>
                      </c:pt>
                      <c:pt idx="95">
                        <c:v>-66.900000000000205</c:v>
                      </c:pt>
                      <c:pt idx="96">
                        <c:v>-66.900000000000205</c:v>
                      </c:pt>
                      <c:pt idx="97">
                        <c:v>-66.900000000000205</c:v>
                      </c:pt>
                      <c:pt idx="98">
                        <c:v>-66.900000000000205</c:v>
                      </c:pt>
                      <c:pt idx="99">
                        <c:v>-66.900000000000205</c:v>
                      </c:pt>
                      <c:pt idx="100">
                        <c:v>-66.900000000000205</c:v>
                      </c:pt>
                      <c:pt idx="101">
                        <c:v>-66.900000000000205</c:v>
                      </c:pt>
                      <c:pt idx="102">
                        <c:v>-66.900000000000205</c:v>
                      </c:pt>
                      <c:pt idx="103">
                        <c:v>-184.54000000000019</c:v>
                      </c:pt>
                      <c:pt idx="104">
                        <c:v>-184.54000000000019</c:v>
                      </c:pt>
                      <c:pt idx="105">
                        <c:v>-184.54000000000019</c:v>
                      </c:pt>
                      <c:pt idx="106">
                        <c:v>-173.34000000000015</c:v>
                      </c:pt>
                      <c:pt idx="107">
                        <c:v>-173.34000000000015</c:v>
                      </c:pt>
                      <c:pt idx="108">
                        <c:v>-173.34000000000015</c:v>
                      </c:pt>
                      <c:pt idx="109">
                        <c:v>-173.34000000000015</c:v>
                      </c:pt>
                      <c:pt idx="110">
                        <c:v>-173.34000000000015</c:v>
                      </c:pt>
                      <c:pt idx="111">
                        <c:v>-173.34000000000015</c:v>
                      </c:pt>
                      <c:pt idx="112">
                        <c:v>-173.34000000000015</c:v>
                      </c:pt>
                      <c:pt idx="113">
                        <c:v>-173.34000000000015</c:v>
                      </c:pt>
                      <c:pt idx="114">
                        <c:v>-173.34000000000015</c:v>
                      </c:pt>
                      <c:pt idx="115">
                        <c:v>-173.34000000000015</c:v>
                      </c:pt>
                      <c:pt idx="116">
                        <c:v>-173.34000000000015</c:v>
                      </c:pt>
                      <c:pt idx="117">
                        <c:v>-173.34000000000015</c:v>
                      </c:pt>
                      <c:pt idx="118">
                        <c:v>-173.34000000000015</c:v>
                      </c:pt>
                      <c:pt idx="119">
                        <c:v>-173.34000000000015</c:v>
                      </c:pt>
                      <c:pt idx="120">
                        <c:v>-173.34000000000015</c:v>
                      </c:pt>
                      <c:pt idx="121">
                        <c:v>-174.74000000000024</c:v>
                      </c:pt>
                      <c:pt idx="122">
                        <c:v>-174.74000000000024</c:v>
                      </c:pt>
                      <c:pt idx="123">
                        <c:v>-174.74000000000024</c:v>
                      </c:pt>
                      <c:pt idx="124">
                        <c:v>-174.74000000000024</c:v>
                      </c:pt>
                      <c:pt idx="125">
                        <c:v>-174.74000000000024</c:v>
                      </c:pt>
                      <c:pt idx="126">
                        <c:v>-174.74000000000024</c:v>
                      </c:pt>
                      <c:pt idx="127">
                        <c:v>-174.74000000000024</c:v>
                      </c:pt>
                      <c:pt idx="128">
                        <c:v>-174.74000000000024</c:v>
                      </c:pt>
                      <c:pt idx="129">
                        <c:v>-174.74000000000024</c:v>
                      </c:pt>
                      <c:pt idx="130">
                        <c:v>-174.74000000000024</c:v>
                      </c:pt>
                      <c:pt idx="131">
                        <c:v>-174.74000000000024</c:v>
                      </c:pt>
                      <c:pt idx="132">
                        <c:v>-174.74000000000024</c:v>
                      </c:pt>
                      <c:pt idx="133">
                        <c:v>-174.74000000000024</c:v>
                      </c:pt>
                      <c:pt idx="134">
                        <c:v>-174.74000000000024</c:v>
                      </c:pt>
                      <c:pt idx="135">
                        <c:v>-174.74000000000024</c:v>
                      </c:pt>
                      <c:pt idx="136">
                        <c:v>-174.74000000000024</c:v>
                      </c:pt>
                      <c:pt idx="137">
                        <c:v>-163.1400000000001</c:v>
                      </c:pt>
                      <c:pt idx="138">
                        <c:v>-163.1400000000001</c:v>
                      </c:pt>
                      <c:pt idx="139">
                        <c:v>-163.1400000000001</c:v>
                      </c:pt>
                      <c:pt idx="140">
                        <c:v>-163.1400000000001</c:v>
                      </c:pt>
                      <c:pt idx="141">
                        <c:v>-163.1400000000001</c:v>
                      </c:pt>
                      <c:pt idx="142">
                        <c:v>-163.1400000000001</c:v>
                      </c:pt>
                      <c:pt idx="143">
                        <c:v>-163.1400000000001</c:v>
                      </c:pt>
                      <c:pt idx="144">
                        <c:v>-163.1400000000001</c:v>
                      </c:pt>
                      <c:pt idx="145">
                        <c:v>-163.1400000000001</c:v>
                      </c:pt>
                      <c:pt idx="146">
                        <c:v>-163.1400000000001</c:v>
                      </c:pt>
                      <c:pt idx="147">
                        <c:v>-163.1400000000001</c:v>
                      </c:pt>
                      <c:pt idx="148">
                        <c:v>-163.1400000000001</c:v>
                      </c:pt>
                      <c:pt idx="149">
                        <c:v>-163.1400000000001</c:v>
                      </c:pt>
                      <c:pt idx="150">
                        <c:v>-163.1400000000001</c:v>
                      </c:pt>
                      <c:pt idx="151">
                        <c:v>-163.1400000000001</c:v>
                      </c:pt>
                      <c:pt idx="152">
                        <c:v>-163.1400000000001</c:v>
                      </c:pt>
                      <c:pt idx="153">
                        <c:v>-163.1400000000001</c:v>
                      </c:pt>
                      <c:pt idx="154">
                        <c:v>-163.1400000000001</c:v>
                      </c:pt>
                      <c:pt idx="155">
                        <c:v>-163.1400000000001</c:v>
                      </c:pt>
                      <c:pt idx="156">
                        <c:v>-163.1400000000001</c:v>
                      </c:pt>
                      <c:pt idx="157">
                        <c:v>-163.1400000000001</c:v>
                      </c:pt>
                      <c:pt idx="158">
                        <c:v>-163.1400000000001</c:v>
                      </c:pt>
                      <c:pt idx="159">
                        <c:v>-163.1400000000001</c:v>
                      </c:pt>
                      <c:pt idx="160">
                        <c:v>-163.1400000000001</c:v>
                      </c:pt>
                      <c:pt idx="161">
                        <c:v>-163.1400000000001</c:v>
                      </c:pt>
                      <c:pt idx="162">
                        <c:v>-163.1400000000001</c:v>
                      </c:pt>
                      <c:pt idx="163">
                        <c:v>-163.1400000000001</c:v>
                      </c:pt>
                      <c:pt idx="164">
                        <c:v>-163.1400000000001</c:v>
                      </c:pt>
                      <c:pt idx="165">
                        <c:v>-163.1400000000001</c:v>
                      </c:pt>
                      <c:pt idx="166">
                        <c:v>-163.1400000000001</c:v>
                      </c:pt>
                      <c:pt idx="167">
                        <c:v>-163.1400000000001</c:v>
                      </c:pt>
                      <c:pt idx="168">
                        <c:v>-163.1400000000001</c:v>
                      </c:pt>
                      <c:pt idx="169">
                        <c:v>-163.1400000000001</c:v>
                      </c:pt>
                      <c:pt idx="170">
                        <c:v>-163.1400000000001</c:v>
                      </c:pt>
                      <c:pt idx="171">
                        <c:v>-163.1400000000001</c:v>
                      </c:pt>
                      <c:pt idx="172">
                        <c:v>-163.1400000000001</c:v>
                      </c:pt>
                      <c:pt idx="173">
                        <c:v>-163.1400000000001</c:v>
                      </c:pt>
                      <c:pt idx="174">
                        <c:v>-163.1400000000001</c:v>
                      </c:pt>
                      <c:pt idx="175">
                        <c:v>-163.1400000000001</c:v>
                      </c:pt>
                      <c:pt idx="176">
                        <c:v>-163.1400000000001</c:v>
                      </c:pt>
                      <c:pt idx="177">
                        <c:v>-163.1400000000001</c:v>
                      </c:pt>
                      <c:pt idx="178">
                        <c:v>-163.1400000000001</c:v>
                      </c:pt>
                      <c:pt idx="179">
                        <c:v>-163.1400000000001</c:v>
                      </c:pt>
                      <c:pt idx="180">
                        <c:v>-163.1400000000001</c:v>
                      </c:pt>
                      <c:pt idx="181">
                        <c:v>-163.1400000000001</c:v>
                      </c:pt>
                      <c:pt idx="182">
                        <c:v>-163.1400000000001</c:v>
                      </c:pt>
                      <c:pt idx="183">
                        <c:v>-163.1400000000001</c:v>
                      </c:pt>
                      <c:pt idx="184">
                        <c:v>-163.1400000000001</c:v>
                      </c:pt>
                      <c:pt idx="185">
                        <c:v>-163.1400000000001</c:v>
                      </c:pt>
                      <c:pt idx="186">
                        <c:v>-163.1400000000001</c:v>
                      </c:pt>
                      <c:pt idx="187">
                        <c:v>-163.1400000000001</c:v>
                      </c:pt>
                      <c:pt idx="188">
                        <c:v>-163.1400000000001</c:v>
                      </c:pt>
                      <c:pt idx="189">
                        <c:v>-163.1400000000001</c:v>
                      </c:pt>
                      <c:pt idx="190">
                        <c:v>-163.1400000000001</c:v>
                      </c:pt>
                      <c:pt idx="191">
                        <c:v>-163.1400000000001</c:v>
                      </c:pt>
                      <c:pt idx="192">
                        <c:v>-163.1400000000001</c:v>
                      </c:pt>
                      <c:pt idx="193">
                        <c:v>-163.1400000000001</c:v>
                      </c:pt>
                      <c:pt idx="194">
                        <c:v>-163.1400000000001</c:v>
                      </c:pt>
                      <c:pt idx="195">
                        <c:v>-163.1400000000001</c:v>
                      </c:pt>
                      <c:pt idx="196">
                        <c:v>-163.1400000000001</c:v>
                      </c:pt>
                      <c:pt idx="197">
                        <c:v>-163.1400000000001</c:v>
                      </c:pt>
                      <c:pt idx="198">
                        <c:v>-163.1400000000001</c:v>
                      </c:pt>
                      <c:pt idx="199">
                        <c:v>-163.1400000000001</c:v>
                      </c:pt>
                      <c:pt idx="200">
                        <c:v>-181.17000000000007</c:v>
                      </c:pt>
                      <c:pt idx="201">
                        <c:v>-181.17000000000007</c:v>
                      </c:pt>
                      <c:pt idx="202">
                        <c:v>-181.17000000000007</c:v>
                      </c:pt>
                      <c:pt idx="203">
                        <c:v>-151.49</c:v>
                      </c:pt>
                      <c:pt idx="204">
                        <c:v>-151.49</c:v>
                      </c:pt>
                      <c:pt idx="205">
                        <c:v>-151.49</c:v>
                      </c:pt>
                      <c:pt idx="206">
                        <c:v>-151.49</c:v>
                      </c:pt>
                      <c:pt idx="207">
                        <c:v>-151.49</c:v>
                      </c:pt>
                      <c:pt idx="208">
                        <c:v>-151.49</c:v>
                      </c:pt>
                      <c:pt idx="209">
                        <c:v>-151.49</c:v>
                      </c:pt>
                      <c:pt idx="210">
                        <c:v>-151.49</c:v>
                      </c:pt>
                      <c:pt idx="211">
                        <c:v>-151.49</c:v>
                      </c:pt>
                      <c:pt idx="212">
                        <c:v>-151.49</c:v>
                      </c:pt>
                      <c:pt idx="213">
                        <c:v>-151.49</c:v>
                      </c:pt>
                      <c:pt idx="214">
                        <c:v>-151.49</c:v>
                      </c:pt>
                      <c:pt idx="215">
                        <c:v>-151.49</c:v>
                      </c:pt>
                      <c:pt idx="216">
                        <c:v>-151.49</c:v>
                      </c:pt>
                      <c:pt idx="217">
                        <c:v>-85.340000000000032</c:v>
                      </c:pt>
                      <c:pt idx="218">
                        <c:v>-85.340000000000032</c:v>
                      </c:pt>
                      <c:pt idx="219">
                        <c:v>-85.340000000000032</c:v>
                      </c:pt>
                      <c:pt idx="220">
                        <c:v>-85.340000000000032</c:v>
                      </c:pt>
                      <c:pt idx="221">
                        <c:v>-85.340000000000032</c:v>
                      </c:pt>
                      <c:pt idx="222">
                        <c:v>-85.340000000000032</c:v>
                      </c:pt>
                      <c:pt idx="223">
                        <c:v>-142.90000000000009</c:v>
                      </c:pt>
                      <c:pt idx="224">
                        <c:v>-142.90000000000009</c:v>
                      </c:pt>
                      <c:pt idx="225">
                        <c:v>-142.90000000000009</c:v>
                      </c:pt>
                      <c:pt idx="226">
                        <c:v>-142.90000000000009</c:v>
                      </c:pt>
                      <c:pt idx="227">
                        <c:v>-142.90000000000009</c:v>
                      </c:pt>
                      <c:pt idx="228">
                        <c:v>-142.90000000000009</c:v>
                      </c:pt>
                      <c:pt idx="229">
                        <c:v>-142.90000000000009</c:v>
                      </c:pt>
                      <c:pt idx="230">
                        <c:v>-142.90000000000009</c:v>
                      </c:pt>
                      <c:pt idx="231">
                        <c:v>-142.90000000000009</c:v>
                      </c:pt>
                      <c:pt idx="232">
                        <c:v>-142.90000000000009</c:v>
                      </c:pt>
                      <c:pt idx="233">
                        <c:v>-142.90000000000009</c:v>
                      </c:pt>
                      <c:pt idx="234">
                        <c:v>-142.90000000000009</c:v>
                      </c:pt>
                      <c:pt idx="235">
                        <c:v>-142.90000000000009</c:v>
                      </c:pt>
                      <c:pt idx="236">
                        <c:v>-142.90000000000009</c:v>
                      </c:pt>
                      <c:pt idx="237">
                        <c:v>-142.90000000000009</c:v>
                      </c:pt>
                      <c:pt idx="238">
                        <c:v>-142.90000000000009</c:v>
                      </c:pt>
                      <c:pt idx="239">
                        <c:v>-142.90000000000009</c:v>
                      </c:pt>
                      <c:pt idx="240">
                        <c:v>-132.30000000000018</c:v>
                      </c:pt>
                      <c:pt idx="241">
                        <c:v>-132.30000000000018</c:v>
                      </c:pt>
                      <c:pt idx="242">
                        <c:v>-132.30000000000018</c:v>
                      </c:pt>
                      <c:pt idx="243">
                        <c:v>-132.30000000000018</c:v>
                      </c:pt>
                      <c:pt idx="244">
                        <c:v>-132.30000000000018</c:v>
                      </c:pt>
                      <c:pt idx="245">
                        <c:v>-132.30000000000018</c:v>
                      </c:pt>
                      <c:pt idx="246">
                        <c:v>-132.30000000000018</c:v>
                      </c:pt>
                      <c:pt idx="247">
                        <c:v>-132.30000000000018</c:v>
                      </c:pt>
                      <c:pt idx="248">
                        <c:v>-132.30000000000018</c:v>
                      </c:pt>
                      <c:pt idx="249">
                        <c:v>-132.30000000000018</c:v>
                      </c:pt>
                      <c:pt idx="250">
                        <c:v>-132.30000000000018</c:v>
                      </c:pt>
                      <c:pt idx="251">
                        <c:v>-132.30000000000018</c:v>
                      </c:pt>
                      <c:pt idx="252">
                        <c:v>-132.30000000000018</c:v>
                      </c:pt>
                      <c:pt idx="253">
                        <c:v>-132.30000000000018</c:v>
                      </c:pt>
                      <c:pt idx="254">
                        <c:v>-132.30000000000018</c:v>
                      </c:pt>
                      <c:pt idx="255">
                        <c:v>-132.30000000000018</c:v>
                      </c:pt>
                      <c:pt idx="256">
                        <c:v>-132.30000000000018</c:v>
                      </c:pt>
                      <c:pt idx="257">
                        <c:v>-269.63053243920194</c:v>
                      </c:pt>
                      <c:pt idx="258">
                        <c:v>-299.03053243920203</c:v>
                      </c:pt>
                      <c:pt idx="259">
                        <c:v>-299.03053243920203</c:v>
                      </c:pt>
                      <c:pt idx="260">
                        <c:v>-299.03053243920203</c:v>
                      </c:pt>
                      <c:pt idx="261">
                        <c:v>-299.03053243920203</c:v>
                      </c:pt>
                      <c:pt idx="262">
                        <c:v>-299.03053243920203</c:v>
                      </c:pt>
                      <c:pt idx="263">
                        <c:v>-299.03053243920203</c:v>
                      </c:pt>
                      <c:pt idx="264">
                        <c:v>-299.03053243920203</c:v>
                      </c:pt>
                      <c:pt idx="265">
                        <c:v>-299.03053243920203</c:v>
                      </c:pt>
                      <c:pt idx="266">
                        <c:v>-299.03053243920203</c:v>
                      </c:pt>
                      <c:pt idx="267">
                        <c:v>-299.03053243920203</c:v>
                      </c:pt>
                      <c:pt idx="268">
                        <c:v>-299.03053243920203</c:v>
                      </c:pt>
                      <c:pt idx="269">
                        <c:v>-299.03053243920203</c:v>
                      </c:pt>
                      <c:pt idx="270">
                        <c:v>-299.03053243920203</c:v>
                      </c:pt>
                      <c:pt idx="271">
                        <c:v>-299.03053243920203</c:v>
                      </c:pt>
                      <c:pt idx="272">
                        <c:v>-299.03053243920203</c:v>
                      </c:pt>
                      <c:pt idx="273">
                        <c:v>-385.38106797961109</c:v>
                      </c:pt>
                      <c:pt idx="274">
                        <c:v>-385.38106797961109</c:v>
                      </c:pt>
                      <c:pt idx="275">
                        <c:v>-385.38106797961109</c:v>
                      </c:pt>
                      <c:pt idx="276">
                        <c:v>-385.38106797961109</c:v>
                      </c:pt>
                      <c:pt idx="277">
                        <c:v>-377.70106797961103</c:v>
                      </c:pt>
                      <c:pt idx="278">
                        <c:v>-377.70106797961103</c:v>
                      </c:pt>
                      <c:pt idx="279">
                        <c:v>-377.70106797961103</c:v>
                      </c:pt>
                      <c:pt idx="280">
                        <c:v>-377.70106797961103</c:v>
                      </c:pt>
                      <c:pt idx="281">
                        <c:v>-377.70106797961103</c:v>
                      </c:pt>
                      <c:pt idx="282">
                        <c:v>-377.70106797961103</c:v>
                      </c:pt>
                      <c:pt idx="283">
                        <c:v>-377.70106797961103</c:v>
                      </c:pt>
                      <c:pt idx="284">
                        <c:v>-377.70106797961103</c:v>
                      </c:pt>
                      <c:pt idx="285">
                        <c:v>-377.70106797961103</c:v>
                      </c:pt>
                      <c:pt idx="286">
                        <c:v>-377.70106797961103</c:v>
                      </c:pt>
                      <c:pt idx="287">
                        <c:v>-377.70106797961103</c:v>
                      </c:pt>
                      <c:pt idx="288">
                        <c:v>-377.70106797961103</c:v>
                      </c:pt>
                      <c:pt idx="289">
                        <c:v>-377.70106797961103</c:v>
                      </c:pt>
                      <c:pt idx="290">
                        <c:v>-366.42106797961105</c:v>
                      </c:pt>
                      <c:pt idx="291">
                        <c:v>-366.42106797961105</c:v>
                      </c:pt>
                      <c:pt idx="292">
                        <c:v>-366.42106797961105</c:v>
                      </c:pt>
                      <c:pt idx="293">
                        <c:v>-366.42106797961105</c:v>
                      </c:pt>
                      <c:pt idx="294">
                        <c:v>-366.42106797961105</c:v>
                      </c:pt>
                      <c:pt idx="295">
                        <c:v>-394.76106797961097</c:v>
                      </c:pt>
                      <c:pt idx="296">
                        <c:v>-394.76106797961097</c:v>
                      </c:pt>
                      <c:pt idx="297">
                        <c:v>-339.68106797961104</c:v>
                      </c:pt>
                      <c:pt idx="298">
                        <c:v>-339.68106797961104</c:v>
                      </c:pt>
                      <c:pt idx="299">
                        <c:v>-339.68106797961104</c:v>
                      </c:pt>
                      <c:pt idx="300">
                        <c:v>-339.68106797961104</c:v>
                      </c:pt>
                      <c:pt idx="301">
                        <c:v>-339.68106797961104</c:v>
                      </c:pt>
                      <c:pt idx="302">
                        <c:v>-339.68106797961104</c:v>
                      </c:pt>
                      <c:pt idx="303">
                        <c:v>-339.68106797961104</c:v>
                      </c:pt>
                      <c:pt idx="304">
                        <c:v>-438.46106797961124</c:v>
                      </c:pt>
                      <c:pt idx="305">
                        <c:v>-438.46106797961124</c:v>
                      </c:pt>
                      <c:pt idx="306">
                        <c:v>-438.46106797961124</c:v>
                      </c:pt>
                      <c:pt idx="307">
                        <c:v>-438.46106797961124</c:v>
                      </c:pt>
                      <c:pt idx="308">
                        <c:v>-438.46106797961124</c:v>
                      </c:pt>
                      <c:pt idx="309">
                        <c:v>-390.96106797961124</c:v>
                      </c:pt>
                      <c:pt idx="310">
                        <c:v>-390.96106797961124</c:v>
                      </c:pt>
                      <c:pt idx="311">
                        <c:v>-390.96106797961124</c:v>
                      </c:pt>
                      <c:pt idx="312">
                        <c:v>-390.96106797961124</c:v>
                      </c:pt>
                      <c:pt idx="313">
                        <c:v>-349.11106797961111</c:v>
                      </c:pt>
                      <c:pt idx="314">
                        <c:v>-349.11106797961111</c:v>
                      </c:pt>
                      <c:pt idx="315">
                        <c:v>-349.11106797961111</c:v>
                      </c:pt>
                      <c:pt idx="316">
                        <c:v>-342.69106797961103</c:v>
                      </c:pt>
                      <c:pt idx="317">
                        <c:v>-340.17106797961105</c:v>
                      </c:pt>
                      <c:pt idx="318">
                        <c:v>-340.17106797961105</c:v>
                      </c:pt>
                      <c:pt idx="319">
                        <c:v>-340.17106797961105</c:v>
                      </c:pt>
                      <c:pt idx="320">
                        <c:v>-340.17106797961105</c:v>
                      </c:pt>
                      <c:pt idx="321">
                        <c:v>-340.17106797961105</c:v>
                      </c:pt>
                      <c:pt idx="322">
                        <c:v>-340.17106797961105</c:v>
                      </c:pt>
                      <c:pt idx="323">
                        <c:v>-340.17106797961105</c:v>
                      </c:pt>
                      <c:pt idx="324">
                        <c:v>-340.17106797961105</c:v>
                      </c:pt>
                      <c:pt idx="325">
                        <c:v>-340.17106797961105</c:v>
                      </c:pt>
                      <c:pt idx="326">
                        <c:v>-340.17106797961105</c:v>
                      </c:pt>
                      <c:pt idx="327">
                        <c:v>-340.17106797961105</c:v>
                      </c:pt>
                      <c:pt idx="328">
                        <c:v>-340.17106797961105</c:v>
                      </c:pt>
                      <c:pt idx="329">
                        <c:v>-240.66106797961083</c:v>
                      </c:pt>
                      <c:pt idx="330">
                        <c:v>-240.66106797961083</c:v>
                      </c:pt>
                      <c:pt idx="331">
                        <c:v>-240.66106797961083</c:v>
                      </c:pt>
                      <c:pt idx="332">
                        <c:v>-240.66106797961083</c:v>
                      </c:pt>
                      <c:pt idx="333">
                        <c:v>-240.66106797961083</c:v>
                      </c:pt>
                      <c:pt idx="334">
                        <c:v>-178.13106797961063</c:v>
                      </c:pt>
                      <c:pt idx="335">
                        <c:v>-178.13106797961063</c:v>
                      </c:pt>
                      <c:pt idx="336">
                        <c:v>-178.13106797961063</c:v>
                      </c:pt>
                      <c:pt idx="337">
                        <c:v>-178.13106797961063</c:v>
                      </c:pt>
                      <c:pt idx="338">
                        <c:v>-206.13106797961063</c:v>
                      </c:pt>
                      <c:pt idx="339">
                        <c:v>-206.13106797961063</c:v>
                      </c:pt>
                      <c:pt idx="340">
                        <c:v>-206.13106797961063</c:v>
                      </c:pt>
                      <c:pt idx="341">
                        <c:v>-203.43106797961059</c:v>
                      </c:pt>
                      <c:pt idx="342">
                        <c:v>-203.43106797961059</c:v>
                      </c:pt>
                      <c:pt idx="343">
                        <c:v>-203.43106797961059</c:v>
                      </c:pt>
                      <c:pt idx="344">
                        <c:v>-203.43106797961059</c:v>
                      </c:pt>
                      <c:pt idx="345">
                        <c:v>-295.97106797961055</c:v>
                      </c:pt>
                      <c:pt idx="346">
                        <c:v>-295.97106797961055</c:v>
                      </c:pt>
                    </c:numCache>
                  </c:numRef>
                </c:val>
                <c:smooth val="0"/>
                <c:extLst>
                  <c:ext xmlns:c16="http://schemas.microsoft.com/office/drawing/2014/chart" uri="{C3380CC4-5D6E-409C-BE32-E72D297353CC}">
                    <c16:uniqueId val="{00000001-C32E-43EB-ABBC-9B224275713E}"/>
                  </c:ext>
                </c:extLst>
              </c15:ser>
            </c15:filteredLineSeries>
            <c15:filteredLineSeries>
              <c15:ser>
                <c:idx val="4"/>
                <c:order val="4"/>
                <c:tx>
                  <c:v>SW (MOC)</c:v>
                </c:tx>
                <c:spPr>
                  <a:ln w="28575" cap="rnd">
                    <a:solidFill>
                      <a:schemeClr val="accent4">
                        <a:lumMod val="60000"/>
                        <a:lumOff val="40000"/>
                      </a:schemeClr>
                    </a:solidFill>
                    <a:prstDash val="sysDash"/>
                    <a:round/>
                  </a:ln>
                  <a:effectLst/>
                </c:spPr>
                <c:marker>
                  <c:symbol val="none"/>
                </c:marker>
                <c:val>
                  <c:numRef>
                    <c:extLst xmlns:c15="http://schemas.microsoft.com/office/drawing/2012/chart">
                      <c:ext xmlns:c15="http://schemas.microsoft.com/office/drawing/2012/chart" uri="{02D57815-91ED-43cb-92C2-25804820EDAC}">
                        <c15:formulaRef>
                          <c15:sqref>'2025-Q2'!$AV$4:$AV$350</c15:sqref>
                        </c15:formulaRef>
                      </c:ext>
                    </c:extLst>
                    <c:numCache>
                      <c:formatCode>"$"#,##0</c:formatCode>
                      <c:ptCount val="347"/>
                      <c:pt idx="0">
                        <c:v>0</c:v>
                      </c:pt>
                      <c:pt idx="1">
                        <c:v>0</c:v>
                      </c:pt>
                      <c:pt idx="2">
                        <c:v>45.449999999999818</c:v>
                      </c:pt>
                      <c:pt idx="3">
                        <c:v>35.25</c:v>
                      </c:pt>
                      <c:pt idx="4">
                        <c:v>55.25</c:v>
                      </c:pt>
                      <c:pt idx="5">
                        <c:v>70.090000000000146</c:v>
                      </c:pt>
                      <c:pt idx="6">
                        <c:v>85.490000000000236</c:v>
                      </c:pt>
                      <c:pt idx="7">
                        <c:v>158.24</c:v>
                      </c:pt>
                      <c:pt idx="8">
                        <c:v>177.32000000000005</c:v>
                      </c:pt>
                      <c:pt idx="9">
                        <c:v>177.32000000000005</c:v>
                      </c:pt>
                      <c:pt idx="10">
                        <c:v>197.30000000000007</c:v>
                      </c:pt>
                      <c:pt idx="11">
                        <c:v>236.89999999999998</c:v>
                      </c:pt>
                      <c:pt idx="12">
                        <c:v>236.89999999999998</c:v>
                      </c:pt>
                      <c:pt idx="13">
                        <c:v>231.72000000000014</c:v>
                      </c:pt>
                      <c:pt idx="14">
                        <c:v>231.72000000000014</c:v>
                      </c:pt>
                      <c:pt idx="15">
                        <c:v>231.54000000000008</c:v>
                      </c:pt>
                      <c:pt idx="16">
                        <c:v>231.54000000000008</c:v>
                      </c:pt>
                      <c:pt idx="17">
                        <c:v>231.54000000000008</c:v>
                      </c:pt>
                      <c:pt idx="18">
                        <c:v>212.34000000000003</c:v>
                      </c:pt>
                      <c:pt idx="19">
                        <c:v>243.65999999999997</c:v>
                      </c:pt>
                      <c:pt idx="20">
                        <c:v>256.64966594568602</c:v>
                      </c:pt>
                      <c:pt idx="21">
                        <c:v>252.56795937946242</c:v>
                      </c:pt>
                      <c:pt idx="22">
                        <c:v>252.56795937946242</c:v>
                      </c:pt>
                      <c:pt idx="23">
                        <c:v>258.96870149449035</c:v>
                      </c:pt>
                      <c:pt idx="24">
                        <c:v>281.78870149449051</c:v>
                      </c:pt>
                      <c:pt idx="25">
                        <c:v>19.92870149449061</c:v>
                      </c:pt>
                      <c:pt idx="26">
                        <c:v>19.92870149449061</c:v>
                      </c:pt>
                      <c:pt idx="27">
                        <c:v>19.92870149449061</c:v>
                      </c:pt>
                      <c:pt idx="28">
                        <c:v>19.92870149449061</c:v>
                      </c:pt>
                      <c:pt idx="29">
                        <c:v>26.67870149449061</c:v>
                      </c:pt>
                      <c:pt idx="30">
                        <c:v>26.67870149449061</c:v>
                      </c:pt>
                      <c:pt idx="31">
                        <c:v>26.67870149449061</c:v>
                      </c:pt>
                      <c:pt idx="32">
                        <c:v>26.67870149449061</c:v>
                      </c:pt>
                      <c:pt idx="33">
                        <c:v>18.628701494490656</c:v>
                      </c:pt>
                      <c:pt idx="34">
                        <c:v>-37.621298505509344</c:v>
                      </c:pt>
                      <c:pt idx="35">
                        <c:v>-117.30129850550941</c:v>
                      </c:pt>
                      <c:pt idx="36">
                        <c:v>-117.30129850550941</c:v>
                      </c:pt>
                      <c:pt idx="37">
                        <c:v>-136.55129850550941</c:v>
                      </c:pt>
                      <c:pt idx="38">
                        <c:v>-121.67129850550941</c:v>
                      </c:pt>
                      <c:pt idx="39">
                        <c:v>-121.67129850550941</c:v>
                      </c:pt>
                      <c:pt idx="40">
                        <c:v>-121.67129850550941</c:v>
                      </c:pt>
                      <c:pt idx="41">
                        <c:v>-121.67129850550941</c:v>
                      </c:pt>
                      <c:pt idx="42">
                        <c:v>-121.67129850550941</c:v>
                      </c:pt>
                      <c:pt idx="43">
                        <c:v>-45.861298505509467</c:v>
                      </c:pt>
                      <c:pt idx="44">
                        <c:v>-39.361298505509467</c:v>
                      </c:pt>
                      <c:pt idx="45">
                        <c:v>-28.111298505509467</c:v>
                      </c:pt>
                      <c:pt idx="46">
                        <c:v>-28.111298505509467</c:v>
                      </c:pt>
                      <c:pt idx="47">
                        <c:v>-28.111298505509467</c:v>
                      </c:pt>
                      <c:pt idx="48">
                        <c:v>-28.111298505509467</c:v>
                      </c:pt>
                      <c:pt idx="49">
                        <c:v>-142.53968337706056</c:v>
                      </c:pt>
                      <c:pt idx="50">
                        <c:v>-160.4474473522157</c:v>
                      </c:pt>
                      <c:pt idx="51">
                        <c:v>-68.287447352215622</c:v>
                      </c:pt>
                      <c:pt idx="52">
                        <c:v>-68.287447352215622</c:v>
                      </c:pt>
                      <c:pt idx="53">
                        <c:v>-33.00744735221565</c:v>
                      </c:pt>
                      <c:pt idx="54">
                        <c:v>-14.627447352215654</c:v>
                      </c:pt>
                      <c:pt idx="55">
                        <c:v>-14.627447352215654</c:v>
                      </c:pt>
                      <c:pt idx="56">
                        <c:v>-64.227447352215677</c:v>
                      </c:pt>
                      <c:pt idx="57">
                        <c:v>-64.227447352215677</c:v>
                      </c:pt>
                      <c:pt idx="58">
                        <c:v>-32.927447352215609</c:v>
                      </c:pt>
                      <c:pt idx="59">
                        <c:v>5.1725526477844141</c:v>
                      </c:pt>
                      <c:pt idx="60">
                        <c:v>7.8725526477844596</c:v>
                      </c:pt>
                      <c:pt idx="61">
                        <c:v>37.932552647784405</c:v>
                      </c:pt>
                      <c:pt idx="62">
                        <c:v>102.73255264778447</c:v>
                      </c:pt>
                      <c:pt idx="63">
                        <c:v>118.39255264778456</c:v>
                      </c:pt>
                      <c:pt idx="64">
                        <c:v>125.29255264778453</c:v>
                      </c:pt>
                      <c:pt idx="65">
                        <c:v>174.54255264778453</c:v>
                      </c:pt>
                      <c:pt idx="66">
                        <c:v>174.54255264778453</c:v>
                      </c:pt>
                      <c:pt idx="67">
                        <c:v>174.54255264778453</c:v>
                      </c:pt>
                      <c:pt idx="68">
                        <c:v>174.54255264778453</c:v>
                      </c:pt>
                      <c:pt idx="69">
                        <c:v>174.54255264778453</c:v>
                      </c:pt>
                      <c:pt idx="70">
                        <c:v>174.54255264778453</c:v>
                      </c:pt>
                      <c:pt idx="71">
                        <c:v>174.54255264778453</c:v>
                      </c:pt>
                      <c:pt idx="72">
                        <c:v>215.38255264778456</c:v>
                      </c:pt>
                      <c:pt idx="73">
                        <c:v>188.17255264778453</c:v>
                      </c:pt>
                      <c:pt idx="74">
                        <c:v>219.13255264778456</c:v>
                      </c:pt>
                      <c:pt idx="75">
                        <c:v>165.93255264778452</c:v>
                      </c:pt>
                      <c:pt idx="76">
                        <c:v>215.8325526477845</c:v>
                      </c:pt>
                      <c:pt idx="77">
                        <c:v>259.68255264778452</c:v>
                      </c:pt>
                      <c:pt idx="78">
                        <c:v>195.08255264778461</c:v>
                      </c:pt>
                      <c:pt idx="79">
                        <c:v>195.08255264778461</c:v>
                      </c:pt>
                      <c:pt idx="80">
                        <c:v>208.3425526477846</c:v>
                      </c:pt>
                      <c:pt idx="81">
                        <c:v>208.3425526477846</c:v>
                      </c:pt>
                      <c:pt idx="82">
                        <c:v>208.3425526477846</c:v>
                      </c:pt>
                      <c:pt idx="83">
                        <c:v>236.54255264778465</c:v>
                      </c:pt>
                      <c:pt idx="84">
                        <c:v>75.742552647784692</c:v>
                      </c:pt>
                      <c:pt idx="85">
                        <c:v>75.742552647784692</c:v>
                      </c:pt>
                      <c:pt idx="86">
                        <c:v>44.742552647784692</c:v>
                      </c:pt>
                      <c:pt idx="87">
                        <c:v>44.742552647784692</c:v>
                      </c:pt>
                      <c:pt idx="88">
                        <c:v>44.742552647784692</c:v>
                      </c:pt>
                      <c:pt idx="89">
                        <c:v>59.622552647784573</c:v>
                      </c:pt>
                      <c:pt idx="90">
                        <c:v>59.622552647784573</c:v>
                      </c:pt>
                      <c:pt idx="91">
                        <c:v>59.622552647784573</c:v>
                      </c:pt>
                      <c:pt idx="92">
                        <c:v>59.622552647784573</c:v>
                      </c:pt>
                      <c:pt idx="93">
                        <c:v>30.959567043367201</c:v>
                      </c:pt>
                      <c:pt idx="94">
                        <c:v>47.809567043367224</c:v>
                      </c:pt>
                      <c:pt idx="95">
                        <c:v>47.809567043367224</c:v>
                      </c:pt>
                      <c:pt idx="96">
                        <c:v>47.809567043367224</c:v>
                      </c:pt>
                      <c:pt idx="97">
                        <c:v>47.809567043367224</c:v>
                      </c:pt>
                      <c:pt idx="98">
                        <c:v>47.809567043367224</c:v>
                      </c:pt>
                      <c:pt idx="99">
                        <c:v>-49.590432956632867</c:v>
                      </c:pt>
                      <c:pt idx="100">
                        <c:v>-49.590432956632867</c:v>
                      </c:pt>
                      <c:pt idx="101">
                        <c:v>-67.840432956632867</c:v>
                      </c:pt>
                      <c:pt idx="102">
                        <c:v>-68.000432956632835</c:v>
                      </c:pt>
                      <c:pt idx="103">
                        <c:v>-68.000432956632835</c:v>
                      </c:pt>
                      <c:pt idx="104">
                        <c:v>-71.840432956632753</c:v>
                      </c:pt>
                      <c:pt idx="105">
                        <c:v>-71.840432956632753</c:v>
                      </c:pt>
                      <c:pt idx="106">
                        <c:v>-71.840432956632753</c:v>
                      </c:pt>
                      <c:pt idx="107">
                        <c:v>-136.64043295663271</c:v>
                      </c:pt>
                      <c:pt idx="108">
                        <c:v>-122.36043295663274</c:v>
                      </c:pt>
                      <c:pt idx="109">
                        <c:v>-176.00043295663284</c:v>
                      </c:pt>
                      <c:pt idx="110">
                        <c:v>-176.00043295663284</c:v>
                      </c:pt>
                      <c:pt idx="111">
                        <c:v>-176.00043295663284</c:v>
                      </c:pt>
                      <c:pt idx="112">
                        <c:v>-216.47043295663286</c:v>
                      </c:pt>
                      <c:pt idx="113">
                        <c:v>-188.0787935487491</c:v>
                      </c:pt>
                      <c:pt idx="114">
                        <c:v>-175.97879354874919</c:v>
                      </c:pt>
                      <c:pt idx="115">
                        <c:v>-61.018793548749386</c:v>
                      </c:pt>
                      <c:pt idx="116">
                        <c:v>-61.018793548749386</c:v>
                      </c:pt>
                      <c:pt idx="117">
                        <c:v>-61.018793548749386</c:v>
                      </c:pt>
                      <c:pt idx="118">
                        <c:v>-25.19879354874945</c:v>
                      </c:pt>
                      <c:pt idx="119">
                        <c:v>-31.378793548749513</c:v>
                      </c:pt>
                      <c:pt idx="120">
                        <c:v>-31.378793548749513</c:v>
                      </c:pt>
                      <c:pt idx="121">
                        <c:v>-31.378793548749513</c:v>
                      </c:pt>
                      <c:pt idx="122">
                        <c:v>-100.2787935487496</c:v>
                      </c:pt>
                      <c:pt idx="123">
                        <c:v>-109.67879354874947</c:v>
                      </c:pt>
                      <c:pt idx="124">
                        <c:v>-109.67879354874947</c:v>
                      </c:pt>
                      <c:pt idx="125">
                        <c:v>-43.758793548749395</c:v>
                      </c:pt>
                      <c:pt idx="126">
                        <c:v>-42.408793548749259</c:v>
                      </c:pt>
                      <c:pt idx="127">
                        <c:v>-42.408793548749259</c:v>
                      </c:pt>
                      <c:pt idx="128">
                        <c:v>-18.358793548749304</c:v>
                      </c:pt>
                      <c:pt idx="129">
                        <c:v>-18.358793548749304</c:v>
                      </c:pt>
                      <c:pt idx="130">
                        <c:v>24.921206451250669</c:v>
                      </c:pt>
                      <c:pt idx="131">
                        <c:v>24.921206451250669</c:v>
                      </c:pt>
                      <c:pt idx="132">
                        <c:v>18.921206451250555</c:v>
                      </c:pt>
                      <c:pt idx="133">
                        <c:v>18.921206451250555</c:v>
                      </c:pt>
                      <c:pt idx="134">
                        <c:v>18.921206451250555</c:v>
                      </c:pt>
                      <c:pt idx="135">
                        <c:v>18.921206451250555</c:v>
                      </c:pt>
                      <c:pt idx="136">
                        <c:v>18.921206451250555</c:v>
                      </c:pt>
                      <c:pt idx="137">
                        <c:v>18.921206451250555</c:v>
                      </c:pt>
                      <c:pt idx="138">
                        <c:v>18.921206451250555</c:v>
                      </c:pt>
                      <c:pt idx="139">
                        <c:v>18.921206451250555</c:v>
                      </c:pt>
                      <c:pt idx="140">
                        <c:v>26.761206451250359</c:v>
                      </c:pt>
                      <c:pt idx="141">
                        <c:v>26.761206451250359</c:v>
                      </c:pt>
                      <c:pt idx="142">
                        <c:v>26.761206451250359</c:v>
                      </c:pt>
                      <c:pt idx="143">
                        <c:v>26.761206451250359</c:v>
                      </c:pt>
                      <c:pt idx="144">
                        <c:v>26.761206451250359</c:v>
                      </c:pt>
                      <c:pt idx="145">
                        <c:v>26.761206451250359</c:v>
                      </c:pt>
                      <c:pt idx="146">
                        <c:v>26.761206451250359</c:v>
                      </c:pt>
                      <c:pt idx="147">
                        <c:v>26.761206451250359</c:v>
                      </c:pt>
                      <c:pt idx="148">
                        <c:v>32.011206451250359</c:v>
                      </c:pt>
                      <c:pt idx="149">
                        <c:v>82.511206451250359</c:v>
                      </c:pt>
                      <c:pt idx="150">
                        <c:v>113.42120645125044</c:v>
                      </c:pt>
                      <c:pt idx="151">
                        <c:v>236.01120645125059</c:v>
                      </c:pt>
                      <c:pt idx="152">
                        <c:v>236.01120645125059</c:v>
                      </c:pt>
                      <c:pt idx="153">
                        <c:v>178.41120645125056</c:v>
                      </c:pt>
                      <c:pt idx="154">
                        <c:v>190.35120645125062</c:v>
                      </c:pt>
                      <c:pt idx="155">
                        <c:v>171.54120645125067</c:v>
                      </c:pt>
                      <c:pt idx="156">
                        <c:v>171.54120645125067</c:v>
                      </c:pt>
                      <c:pt idx="157">
                        <c:v>175.84120645125066</c:v>
                      </c:pt>
                      <c:pt idx="158">
                        <c:v>141.43120645125069</c:v>
                      </c:pt>
                      <c:pt idx="159">
                        <c:v>48.131206451250733</c:v>
                      </c:pt>
                      <c:pt idx="160">
                        <c:v>85.331206451250551</c:v>
                      </c:pt>
                      <c:pt idx="161">
                        <c:v>118.93120645125057</c:v>
                      </c:pt>
                      <c:pt idx="162">
                        <c:v>118.93120645125057</c:v>
                      </c:pt>
                      <c:pt idx="163">
                        <c:v>118.93120645125057</c:v>
                      </c:pt>
                      <c:pt idx="164">
                        <c:v>126.41120645125059</c:v>
                      </c:pt>
                      <c:pt idx="165">
                        <c:v>216.02120645125072</c:v>
                      </c:pt>
                      <c:pt idx="166">
                        <c:v>208.66120645125071</c:v>
                      </c:pt>
                      <c:pt idx="167">
                        <c:v>227.98120645125087</c:v>
                      </c:pt>
                      <c:pt idx="168">
                        <c:v>227.98120645125087</c:v>
                      </c:pt>
                      <c:pt idx="169">
                        <c:v>247.23120645125087</c:v>
                      </c:pt>
                      <c:pt idx="170">
                        <c:v>247.23120645125087</c:v>
                      </c:pt>
                      <c:pt idx="171">
                        <c:v>161.08120645125089</c:v>
                      </c:pt>
                      <c:pt idx="172">
                        <c:v>161.08120645125089</c:v>
                      </c:pt>
                      <c:pt idx="173">
                        <c:v>229.00120645125085</c:v>
                      </c:pt>
                      <c:pt idx="174">
                        <c:v>229.00120645125085</c:v>
                      </c:pt>
                      <c:pt idx="175">
                        <c:v>319.42120645125067</c:v>
                      </c:pt>
                      <c:pt idx="176">
                        <c:v>319.42120645125067</c:v>
                      </c:pt>
                      <c:pt idx="177">
                        <c:v>365.84120645125074</c:v>
                      </c:pt>
                      <c:pt idx="178">
                        <c:v>365.84120645125074</c:v>
                      </c:pt>
                      <c:pt idx="179">
                        <c:v>365.84120645125074</c:v>
                      </c:pt>
                      <c:pt idx="180">
                        <c:v>314.2412064512506</c:v>
                      </c:pt>
                      <c:pt idx="181">
                        <c:v>307.34120645125074</c:v>
                      </c:pt>
                      <c:pt idx="182">
                        <c:v>332.24120645125083</c:v>
                      </c:pt>
                      <c:pt idx="183">
                        <c:v>339.09120645125086</c:v>
                      </c:pt>
                      <c:pt idx="184">
                        <c:v>339.09120645125086</c:v>
                      </c:pt>
                      <c:pt idx="185">
                        <c:v>339.09120645125086</c:v>
                      </c:pt>
                      <c:pt idx="186">
                        <c:v>339.09120645125086</c:v>
                      </c:pt>
                      <c:pt idx="187">
                        <c:v>331.25120645125094</c:v>
                      </c:pt>
                      <c:pt idx="188">
                        <c:v>331.25120645125094</c:v>
                      </c:pt>
                      <c:pt idx="189">
                        <c:v>331.25120645125094</c:v>
                      </c:pt>
                      <c:pt idx="190">
                        <c:v>271.49120645125095</c:v>
                      </c:pt>
                      <c:pt idx="191">
                        <c:v>271.49120645125095</c:v>
                      </c:pt>
                      <c:pt idx="192">
                        <c:v>218.73120645125073</c:v>
                      </c:pt>
                      <c:pt idx="193">
                        <c:v>218.73120645125073</c:v>
                      </c:pt>
                      <c:pt idx="194">
                        <c:v>218.73120645125073</c:v>
                      </c:pt>
                      <c:pt idx="195">
                        <c:v>158.55120645125089</c:v>
                      </c:pt>
                      <c:pt idx="196">
                        <c:v>155.69120645125099</c:v>
                      </c:pt>
                      <c:pt idx="197">
                        <c:v>155.69120645125099</c:v>
                      </c:pt>
                      <c:pt idx="198">
                        <c:v>155.69120645125099</c:v>
                      </c:pt>
                      <c:pt idx="199">
                        <c:v>155.69120645125099</c:v>
                      </c:pt>
                      <c:pt idx="200">
                        <c:v>155.69120645125099</c:v>
                      </c:pt>
                      <c:pt idx="201">
                        <c:v>155.69120645125099</c:v>
                      </c:pt>
                      <c:pt idx="202">
                        <c:v>165.81120645125111</c:v>
                      </c:pt>
                      <c:pt idx="203">
                        <c:v>165.81120645125111</c:v>
                      </c:pt>
                      <c:pt idx="204">
                        <c:v>194.93120645125123</c:v>
                      </c:pt>
                      <c:pt idx="205">
                        <c:v>118.37120645125117</c:v>
                      </c:pt>
                      <c:pt idx="206">
                        <c:v>195.83120645125121</c:v>
                      </c:pt>
                      <c:pt idx="207">
                        <c:v>195.83120645125121</c:v>
                      </c:pt>
                      <c:pt idx="208">
                        <c:v>181.91120645125113</c:v>
                      </c:pt>
                      <c:pt idx="209">
                        <c:v>181.91120645125113</c:v>
                      </c:pt>
                      <c:pt idx="210">
                        <c:v>77.06120645125111</c:v>
                      </c:pt>
                      <c:pt idx="211">
                        <c:v>66.701206451251096</c:v>
                      </c:pt>
                      <c:pt idx="212">
                        <c:v>85.211399342838945</c:v>
                      </c:pt>
                      <c:pt idx="213">
                        <c:v>85.211399342838945</c:v>
                      </c:pt>
                      <c:pt idx="214">
                        <c:v>85.211399342838945</c:v>
                      </c:pt>
                      <c:pt idx="215">
                        <c:v>85.211399342838945</c:v>
                      </c:pt>
                      <c:pt idx="216">
                        <c:v>129.05139934283909</c:v>
                      </c:pt>
                      <c:pt idx="217">
                        <c:v>129.05139934283909</c:v>
                      </c:pt>
                      <c:pt idx="218">
                        <c:v>129.05139934283909</c:v>
                      </c:pt>
                      <c:pt idx="219">
                        <c:v>246.01139934283913</c:v>
                      </c:pt>
                      <c:pt idx="220">
                        <c:v>246.01139934283913</c:v>
                      </c:pt>
                      <c:pt idx="221">
                        <c:v>231.71139934283894</c:v>
                      </c:pt>
                      <c:pt idx="222">
                        <c:v>231.71139934283894</c:v>
                      </c:pt>
                      <c:pt idx="223">
                        <c:v>231.71139934283894</c:v>
                      </c:pt>
                      <c:pt idx="224">
                        <c:v>302.23139934283893</c:v>
                      </c:pt>
                      <c:pt idx="225">
                        <c:v>302.23139934283893</c:v>
                      </c:pt>
                      <c:pt idx="226">
                        <c:v>199.28139934283888</c:v>
                      </c:pt>
                      <c:pt idx="227">
                        <c:v>199.28139934283888</c:v>
                      </c:pt>
                      <c:pt idx="228">
                        <c:v>216.20139934283895</c:v>
                      </c:pt>
                      <c:pt idx="229">
                        <c:v>255.68139934283897</c:v>
                      </c:pt>
                      <c:pt idx="230">
                        <c:v>255.68139934283897</c:v>
                      </c:pt>
                      <c:pt idx="231">
                        <c:v>213.14249066104651</c:v>
                      </c:pt>
                      <c:pt idx="232">
                        <c:v>266.9024906610465</c:v>
                      </c:pt>
                      <c:pt idx="233">
                        <c:v>256.66249066104672</c:v>
                      </c:pt>
                      <c:pt idx="234">
                        <c:v>256.66249066104672</c:v>
                      </c:pt>
                      <c:pt idx="235">
                        <c:v>256.66249066104672</c:v>
                      </c:pt>
                      <c:pt idx="236">
                        <c:v>256.66249066104672</c:v>
                      </c:pt>
                      <c:pt idx="237">
                        <c:v>264.4624906610469</c:v>
                      </c:pt>
                      <c:pt idx="238">
                        <c:v>167.92249066104694</c:v>
                      </c:pt>
                      <c:pt idx="239">
                        <c:v>187.36249066104699</c:v>
                      </c:pt>
                      <c:pt idx="240">
                        <c:v>187.36249066104699</c:v>
                      </c:pt>
                      <c:pt idx="241">
                        <c:v>187.36249066104699</c:v>
                      </c:pt>
                      <c:pt idx="242">
                        <c:v>186.04249066104705</c:v>
                      </c:pt>
                      <c:pt idx="243">
                        <c:v>186.04249066104705</c:v>
                      </c:pt>
                      <c:pt idx="244">
                        <c:v>87.822490661047027</c:v>
                      </c:pt>
                      <c:pt idx="245">
                        <c:v>87.822490661047027</c:v>
                      </c:pt>
                      <c:pt idx="246">
                        <c:v>87.822490661047027</c:v>
                      </c:pt>
                      <c:pt idx="247">
                        <c:v>87.822490661047027</c:v>
                      </c:pt>
                      <c:pt idx="248">
                        <c:v>87.822490661047027</c:v>
                      </c:pt>
                      <c:pt idx="249">
                        <c:v>87.822490661047027</c:v>
                      </c:pt>
                      <c:pt idx="250">
                        <c:v>87.822490661047027</c:v>
                      </c:pt>
                      <c:pt idx="251">
                        <c:v>-6.3775093389530184</c:v>
                      </c:pt>
                      <c:pt idx="252">
                        <c:v>3.4224906610469361</c:v>
                      </c:pt>
                      <c:pt idx="253">
                        <c:v>3.4224906610469361</c:v>
                      </c:pt>
                      <c:pt idx="254">
                        <c:v>3.4224906610469361</c:v>
                      </c:pt>
                      <c:pt idx="255">
                        <c:v>3.4224906610469361</c:v>
                      </c:pt>
                      <c:pt idx="256">
                        <c:v>33.122490661046754</c:v>
                      </c:pt>
                      <c:pt idx="257">
                        <c:v>33.122490661046754</c:v>
                      </c:pt>
                      <c:pt idx="258">
                        <c:v>33.122490661046754</c:v>
                      </c:pt>
                      <c:pt idx="259">
                        <c:v>33.122490661046754</c:v>
                      </c:pt>
                      <c:pt idx="260">
                        <c:v>33.122490661046754</c:v>
                      </c:pt>
                      <c:pt idx="261">
                        <c:v>33.122490661046754</c:v>
                      </c:pt>
                      <c:pt idx="262">
                        <c:v>33.122490661046754</c:v>
                      </c:pt>
                      <c:pt idx="263">
                        <c:v>-3.3275093389532913</c:v>
                      </c:pt>
                      <c:pt idx="264">
                        <c:v>-3.3275093389532913</c:v>
                      </c:pt>
                      <c:pt idx="265">
                        <c:v>-3.3275093389532913</c:v>
                      </c:pt>
                      <c:pt idx="266">
                        <c:v>20.122490661046527</c:v>
                      </c:pt>
                      <c:pt idx="267">
                        <c:v>20.122490661046527</c:v>
                      </c:pt>
                      <c:pt idx="268">
                        <c:v>20.122490661046527</c:v>
                      </c:pt>
                      <c:pt idx="269">
                        <c:v>20.122490661046527</c:v>
                      </c:pt>
                      <c:pt idx="270">
                        <c:v>20.122490661046527</c:v>
                      </c:pt>
                      <c:pt idx="271">
                        <c:v>20.122490661046527</c:v>
                      </c:pt>
                      <c:pt idx="272">
                        <c:v>20.122490661046527</c:v>
                      </c:pt>
                      <c:pt idx="273">
                        <c:v>20.122490661046527</c:v>
                      </c:pt>
                      <c:pt idx="274">
                        <c:v>20.122490661046527</c:v>
                      </c:pt>
                      <c:pt idx="275">
                        <c:v>20.122490661046527</c:v>
                      </c:pt>
                      <c:pt idx="276">
                        <c:v>20.122490661046527</c:v>
                      </c:pt>
                      <c:pt idx="277">
                        <c:v>20.122490661046527</c:v>
                      </c:pt>
                      <c:pt idx="278">
                        <c:v>20.122490661046527</c:v>
                      </c:pt>
                      <c:pt idx="279">
                        <c:v>20.122490661046527</c:v>
                      </c:pt>
                      <c:pt idx="280">
                        <c:v>15.562490661046581</c:v>
                      </c:pt>
                      <c:pt idx="281">
                        <c:v>-40.597509338953273</c:v>
                      </c:pt>
                      <c:pt idx="282">
                        <c:v>-40.597509338953273</c:v>
                      </c:pt>
                      <c:pt idx="283">
                        <c:v>-40.597509338953273</c:v>
                      </c:pt>
                      <c:pt idx="284">
                        <c:v>-7.2975093389533185</c:v>
                      </c:pt>
                      <c:pt idx="285">
                        <c:v>-7.2975093389533185</c:v>
                      </c:pt>
                      <c:pt idx="286">
                        <c:v>1.1024906610467724</c:v>
                      </c:pt>
                      <c:pt idx="287">
                        <c:v>1.1024906610467724</c:v>
                      </c:pt>
                      <c:pt idx="288">
                        <c:v>151.70249066104691</c:v>
                      </c:pt>
                      <c:pt idx="289">
                        <c:v>151.70249066104691</c:v>
                      </c:pt>
                      <c:pt idx="290">
                        <c:v>151.70249066104691</c:v>
                      </c:pt>
                      <c:pt idx="291">
                        <c:v>151.70249066104691</c:v>
                      </c:pt>
                      <c:pt idx="292">
                        <c:v>151.70249066104691</c:v>
                      </c:pt>
                      <c:pt idx="293">
                        <c:v>148.00249066104664</c:v>
                      </c:pt>
                      <c:pt idx="294">
                        <c:v>148.00249066104664</c:v>
                      </c:pt>
                      <c:pt idx="295">
                        <c:v>148.00249066104664</c:v>
                      </c:pt>
                      <c:pt idx="296">
                        <c:v>148.00249066104664</c:v>
                      </c:pt>
                      <c:pt idx="297">
                        <c:v>148.00249066104664</c:v>
                      </c:pt>
                      <c:pt idx="298">
                        <c:v>148.00249066104664</c:v>
                      </c:pt>
                      <c:pt idx="299">
                        <c:v>121.60249066104666</c:v>
                      </c:pt>
                      <c:pt idx="300">
                        <c:v>175.24249066104653</c:v>
                      </c:pt>
                      <c:pt idx="301">
                        <c:v>345.26249066104651</c:v>
                      </c:pt>
                      <c:pt idx="302">
                        <c:v>345.26249066104651</c:v>
                      </c:pt>
                      <c:pt idx="303">
                        <c:v>428.48249066104654</c:v>
                      </c:pt>
                      <c:pt idx="304">
                        <c:v>428.48249066104654</c:v>
                      </c:pt>
                      <c:pt idx="305">
                        <c:v>531.88249066104663</c:v>
                      </c:pt>
                      <c:pt idx="306">
                        <c:v>676.08249066104668</c:v>
                      </c:pt>
                      <c:pt idx="307">
                        <c:v>685.53249066104672</c:v>
                      </c:pt>
                      <c:pt idx="308">
                        <c:v>685.53249066104672</c:v>
                      </c:pt>
                      <c:pt idx="309">
                        <c:v>685.53249066104672</c:v>
                      </c:pt>
                      <c:pt idx="310">
                        <c:v>685.53249066104672</c:v>
                      </c:pt>
                      <c:pt idx="311">
                        <c:v>685.53249066104672</c:v>
                      </c:pt>
                      <c:pt idx="312">
                        <c:v>685.53249066104672</c:v>
                      </c:pt>
                      <c:pt idx="313">
                        <c:v>685.53249066104672</c:v>
                      </c:pt>
                      <c:pt idx="314">
                        <c:v>685.53249066104672</c:v>
                      </c:pt>
                      <c:pt idx="315">
                        <c:v>685.53249066104672</c:v>
                      </c:pt>
                      <c:pt idx="316">
                        <c:v>685.53249066104672</c:v>
                      </c:pt>
                      <c:pt idx="317">
                        <c:v>685.53249066104672</c:v>
                      </c:pt>
                      <c:pt idx="318">
                        <c:v>599.43627194988017</c:v>
                      </c:pt>
                      <c:pt idx="319">
                        <c:v>814.11627194988023</c:v>
                      </c:pt>
                      <c:pt idx="320">
                        <c:v>814.11627194988023</c:v>
                      </c:pt>
                      <c:pt idx="321">
                        <c:v>804.91627194988018</c:v>
                      </c:pt>
                      <c:pt idx="322">
                        <c:v>869.71627194988037</c:v>
                      </c:pt>
                      <c:pt idx="323">
                        <c:v>640.46627194988037</c:v>
                      </c:pt>
                      <c:pt idx="324">
                        <c:v>640.46627194988037</c:v>
                      </c:pt>
                      <c:pt idx="325">
                        <c:v>690.46627194988037</c:v>
                      </c:pt>
                      <c:pt idx="326">
                        <c:v>690.46627194988037</c:v>
                      </c:pt>
                      <c:pt idx="327">
                        <c:v>686.86627194988023</c:v>
                      </c:pt>
                      <c:pt idx="328">
                        <c:v>659.41627194988018</c:v>
                      </c:pt>
                      <c:pt idx="329">
                        <c:v>659.41627194988018</c:v>
                      </c:pt>
                      <c:pt idx="330">
                        <c:v>659.41627194988018</c:v>
                      </c:pt>
                      <c:pt idx="331">
                        <c:v>730.45627194988015</c:v>
                      </c:pt>
                      <c:pt idx="332">
                        <c:v>846.73627194988012</c:v>
                      </c:pt>
                      <c:pt idx="333">
                        <c:v>906.13627194988021</c:v>
                      </c:pt>
                      <c:pt idx="334">
                        <c:v>906.13627194988021</c:v>
                      </c:pt>
                      <c:pt idx="335">
                        <c:v>962.59627194988025</c:v>
                      </c:pt>
                      <c:pt idx="336">
                        <c:v>956.35627194988024</c:v>
                      </c:pt>
                      <c:pt idx="337">
                        <c:v>956.35627194988024</c:v>
                      </c:pt>
                      <c:pt idx="338">
                        <c:v>956.35627194988024</c:v>
                      </c:pt>
                      <c:pt idx="339">
                        <c:v>892.09627194988025</c:v>
                      </c:pt>
                      <c:pt idx="340">
                        <c:v>768.40627194988019</c:v>
                      </c:pt>
                      <c:pt idx="341">
                        <c:v>768.40627194988019</c:v>
                      </c:pt>
                      <c:pt idx="342">
                        <c:v>768.40627194988019</c:v>
                      </c:pt>
                      <c:pt idx="343">
                        <c:v>759.08627194988026</c:v>
                      </c:pt>
                      <c:pt idx="344">
                        <c:v>631.52627194988031</c:v>
                      </c:pt>
                      <c:pt idx="345">
                        <c:v>631.52627194988031</c:v>
                      </c:pt>
                      <c:pt idx="346">
                        <c:v>631.52627194988031</c:v>
                      </c:pt>
                    </c:numCache>
                  </c:numRef>
                </c:val>
                <c:smooth val="0"/>
                <c:extLst xmlns:c15="http://schemas.microsoft.com/office/drawing/2012/chart">
                  <c:ext xmlns:c16="http://schemas.microsoft.com/office/drawing/2014/chart" uri="{C3380CC4-5D6E-409C-BE32-E72D297353CC}">
                    <c16:uniqueId val="{00000004-C32E-43EB-ABBC-9B224275713E}"/>
                  </c:ext>
                </c:extLst>
              </c15:ser>
            </c15:filteredLineSeries>
            <c15:filteredLineSeries>
              <c15:ser>
                <c:idx val="6"/>
                <c:order val="6"/>
                <c:tx>
                  <c:v>Dwn (MOC)</c:v>
                </c:tx>
                <c:spPr>
                  <a:ln w="28575" cap="rnd">
                    <a:solidFill>
                      <a:schemeClr val="accent2">
                        <a:lumMod val="60000"/>
                        <a:lumOff val="40000"/>
                      </a:schemeClr>
                    </a:solidFill>
                    <a:prstDash val="sysDash"/>
                    <a:round/>
                  </a:ln>
                  <a:effectLst/>
                </c:spPr>
                <c:marker>
                  <c:symbol val="none"/>
                </c:marker>
                <c:val>
                  <c:numRef>
                    <c:extLst xmlns:c15="http://schemas.microsoft.com/office/drawing/2012/chart">
                      <c:ext xmlns:c15="http://schemas.microsoft.com/office/drawing/2012/chart" uri="{02D57815-91ED-43cb-92C2-25804820EDAC}">
                        <c15:formulaRef>
                          <c15:sqref>'2025-Q2'!$AZ$4:$AZ$350</c15:sqref>
                        </c15:formulaRef>
                      </c:ext>
                    </c:extLst>
                    <c:numCache>
                      <c:formatCode>"$"#,##0</c:formatCode>
                      <c:ptCount val="347"/>
                      <c:pt idx="0">
                        <c:v>-254.69999999999982</c:v>
                      </c:pt>
                      <c:pt idx="1">
                        <c:v>-262.79999999999973</c:v>
                      </c:pt>
                      <c:pt idx="2">
                        <c:v>-262.79999999999973</c:v>
                      </c:pt>
                      <c:pt idx="3">
                        <c:v>-262.79999999999973</c:v>
                      </c:pt>
                      <c:pt idx="4">
                        <c:v>-262.79999999999973</c:v>
                      </c:pt>
                      <c:pt idx="5">
                        <c:v>-262.79999999999973</c:v>
                      </c:pt>
                      <c:pt idx="6">
                        <c:v>-262.79999999999973</c:v>
                      </c:pt>
                      <c:pt idx="7">
                        <c:v>-262.79999999999973</c:v>
                      </c:pt>
                      <c:pt idx="8">
                        <c:v>-262.79999999999973</c:v>
                      </c:pt>
                      <c:pt idx="9">
                        <c:v>-266.68837290281726</c:v>
                      </c:pt>
                      <c:pt idx="10">
                        <c:v>-266.68837290281726</c:v>
                      </c:pt>
                      <c:pt idx="11">
                        <c:v>-266.68837290281726</c:v>
                      </c:pt>
                      <c:pt idx="12">
                        <c:v>-267.17837290281727</c:v>
                      </c:pt>
                      <c:pt idx="13">
                        <c:v>-267.17837290281727</c:v>
                      </c:pt>
                      <c:pt idx="14">
                        <c:v>-173.75837290281697</c:v>
                      </c:pt>
                      <c:pt idx="15">
                        <c:v>-173.75837290281697</c:v>
                      </c:pt>
                      <c:pt idx="16">
                        <c:v>-89.908372902816836</c:v>
                      </c:pt>
                      <c:pt idx="17">
                        <c:v>-65.608372902816654</c:v>
                      </c:pt>
                      <c:pt idx="18">
                        <c:v>-65.608372902816654</c:v>
                      </c:pt>
                      <c:pt idx="19">
                        <c:v>-65.608372902816654</c:v>
                      </c:pt>
                      <c:pt idx="20">
                        <c:v>-65.608372902816654</c:v>
                      </c:pt>
                      <c:pt idx="21">
                        <c:v>-65.608372902816654</c:v>
                      </c:pt>
                      <c:pt idx="22">
                        <c:v>-79.1383729028164</c:v>
                      </c:pt>
                      <c:pt idx="23">
                        <c:v>-79.1383729028164</c:v>
                      </c:pt>
                      <c:pt idx="24">
                        <c:v>-79.1383729028164</c:v>
                      </c:pt>
                      <c:pt idx="25">
                        <c:v>-79.1383729028164</c:v>
                      </c:pt>
                      <c:pt idx="26">
                        <c:v>-76.1383729028164</c:v>
                      </c:pt>
                      <c:pt idx="27">
                        <c:v>-110.1383729028164</c:v>
                      </c:pt>
                      <c:pt idx="28">
                        <c:v>-118.53837290281626</c:v>
                      </c:pt>
                      <c:pt idx="29">
                        <c:v>-118.53837290281626</c:v>
                      </c:pt>
                      <c:pt idx="30">
                        <c:v>-155.63837290281617</c:v>
                      </c:pt>
                      <c:pt idx="31">
                        <c:v>-148.13837290281617</c:v>
                      </c:pt>
                      <c:pt idx="32">
                        <c:v>-164.13837290281617</c:v>
                      </c:pt>
                      <c:pt idx="33">
                        <c:v>-164.13837290281617</c:v>
                      </c:pt>
                      <c:pt idx="34">
                        <c:v>-164.13837290281617</c:v>
                      </c:pt>
                      <c:pt idx="35">
                        <c:v>-164.13837290281617</c:v>
                      </c:pt>
                      <c:pt idx="36">
                        <c:v>-173.22837290281586</c:v>
                      </c:pt>
                      <c:pt idx="37">
                        <c:v>-173.22837290281586</c:v>
                      </c:pt>
                      <c:pt idx="38">
                        <c:v>-173.22837290281586</c:v>
                      </c:pt>
                      <c:pt idx="39">
                        <c:v>-173.22837290281586</c:v>
                      </c:pt>
                      <c:pt idx="40">
                        <c:v>-322.17837290281591</c:v>
                      </c:pt>
                      <c:pt idx="41">
                        <c:v>-353.47837290281609</c:v>
                      </c:pt>
                      <c:pt idx="42">
                        <c:v>-286.37837290281595</c:v>
                      </c:pt>
                      <c:pt idx="43">
                        <c:v>-286.37837290281595</c:v>
                      </c:pt>
                      <c:pt idx="44">
                        <c:v>-286.37837290281595</c:v>
                      </c:pt>
                      <c:pt idx="45">
                        <c:v>-286.37837290281595</c:v>
                      </c:pt>
                      <c:pt idx="46">
                        <c:v>-336.14837290281594</c:v>
                      </c:pt>
                      <c:pt idx="47">
                        <c:v>-336.14837290281594</c:v>
                      </c:pt>
                      <c:pt idx="48">
                        <c:v>-437.28837290281581</c:v>
                      </c:pt>
                      <c:pt idx="49">
                        <c:v>-437.28837290281581</c:v>
                      </c:pt>
                      <c:pt idx="50">
                        <c:v>-437.28837290281581</c:v>
                      </c:pt>
                      <c:pt idx="51">
                        <c:v>-437.28837290281581</c:v>
                      </c:pt>
                      <c:pt idx="52">
                        <c:v>-546.48837290281585</c:v>
                      </c:pt>
                      <c:pt idx="53">
                        <c:v>-546.48837290281585</c:v>
                      </c:pt>
                      <c:pt idx="54">
                        <c:v>-546.48837290281585</c:v>
                      </c:pt>
                      <c:pt idx="55">
                        <c:v>-539.5683729028159</c:v>
                      </c:pt>
                      <c:pt idx="56">
                        <c:v>-539.5683729028159</c:v>
                      </c:pt>
                      <c:pt idx="57">
                        <c:v>-414.9183729028158</c:v>
                      </c:pt>
                      <c:pt idx="58">
                        <c:v>-414.9183729028158</c:v>
                      </c:pt>
                      <c:pt idx="59">
                        <c:v>-414.9183729028158</c:v>
                      </c:pt>
                      <c:pt idx="60">
                        <c:v>-414.9183729028158</c:v>
                      </c:pt>
                      <c:pt idx="61">
                        <c:v>-414.9183729028158</c:v>
                      </c:pt>
                      <c:pt idx="62">
                        <c:v>-414.9183729028158</c:v>
                      </c:pt>
                      <c:pt idx="63">
                        <c:v>-414.9183729028158</c:v>
                      </c:pt>
                      <c:pt idx="64">
                        <c:v>-414.9183729028158</c:v>
                      </c:pt>
                      <c:pt idx="65">
                        <c:v>-414.9183729028158</c:v>
                      </c:pt>
                      <c:pt idx="66">
                        <c:v>-420.76837290281571</c:v>
                      </c:pt>
                      <c:pt idx="67">
                        <c:v>-414.58837290281565</c:v>
                      </c:pt>
                      <c:pt idx="68">
                        <c:v>-396.2683729028156</c:v>
                      </c:pt>
                      <c:pt idx="69">
                        <c:v>-396.2683729028156</c:v>
                      </c:pt>
                      <c:pt idx="70">
                        <c:v>-368.83837290281554</c:v>
                      </c:pt>
                      <c:pt idx="71">
                        <c:v>-368.83837290281554</c:v>
                      </c:pt>
                      <c:pt idx="72">
                        <c:v>-368.83837290281554</c:v>
                      </c:pt>
                      <c:pt idx="73">
                        <c:v>-368.83837290281554</c:v>
                      </c:pt>
                      <c:pt idx="74">
                        <c:v>-368.83837290281554</c:v>
                      </c:pt>
                      <c:pt idx="75">
                        <c:v>-368.83837290281554</c:v>
                      </c:pt>
                      <c:pt idx="76">
                        <c:v>-368.83837290281554</c:v>
                      </c:pt>
                      <c:pt idx="77">
                        <c:v>-368.83837290281554</c:v>
                      </c:pt>
                      <c:pt idx="78">
                        <c:v>-368.83837290281554</c:v>
                      </c:pt>
                      <c:pt idx="79">
                        <c:v>-423.9721716230016</c:v>
                      </c:pt>
                      <c:pt idx="80">
                        <c:v>-423.9721716230016</c:v>
                      </c:pt>
                      <c:pt idx="81">
                        <c:v>-480.01217162300156</c:v>
                      </c:pt>
                      <c:pt idx="82">
                        <c:v>-530.05217162300164</c:v>
                      </c:pt>
                      <c:pt idx="83">
                        <c:v>-530.05217162300164</c:v>
                      </c:pt>
                      <c:pt idx="84">
                        <c:v>-530.05217162300164</c:v>
                      </c:pt>
                      <c:pt idx="85">
                        <c:v>-591.05217162300175</c:v>
                      </c:pt>
                      <c:pt idx="86">
                        <c:v>-591.05217162300175</c:v>
                      </c:pt>
                      <c:pt idx="87">
                        <c:v>-613.15217162300189</c:v>
                      </c:pt>
                      <c:pt idx="88">
                        <c:v>-595.83217162300184</c:v>
                      </c:pt>
                      <c:pt idx="89">
                        <c:v>-595.83217162300184</c:v>
                      </c:pt>
                      <c:pt idx="90">
                        <c:v>-563.83217162300184</c:v>
                      </c:pt>
                      <c:pt idx="91">
                        <c:v>-555.85217162300182</c:v>
                      </c:pt>
                      <c:pt idx="92">
                        <c:v>-578.65217162300189</c:v>
                      </c:pt>
                      <c:pt idx="93">
                        <c:v>-578.65217162300189</c:v>
                      </c:pt>
                      <c:pt idx="94">
                        <c:v>-578.65217162300189</c:v>
                      </c:pt>
                      <c:pt idx="95">
                        <c:v>-589.652171623002</c:v>
                      </c:pt>
                      <c:pt idx="96">
                        <c:v>-547.95217162300207</c:v>
                      </c:pt>
                      <c:pt idx="97">
                        <c:v>-550.83217162300207</c:v>
                      </c:pt>
                      <c:pt idx="98">
                        <c:v>-588.98217162300205</c:v>
                      </c:pt>
                      <c:pt idx="99">
                        <c:v>-588.98217162300205</c:v>
                      </c:pt>
                      <c:pt idx="100">
                        <c:v>-711.86217162300204</c:v>
                      </c:pt>
                      <c:pt idx="101">
                        <c:v>-711.86217162300204</c:v>
                      </c:pt>
                      <c:pt idx="102">
                        <c:v>-711.86217162300204</c:v>
                      </c:pt>
                      <c:pt idx="103">
                        <c:v>-711.86217162300204</c:v>
                      </c:pt>
                      <c:pt idx="104">
                        <c:v>-711.86217162300204</c:v>
                      </c:pt>
                      <c:pt idx="105">
                        <c:v>-657.08217162300207</c:v>
                      </c:pt>
                      <c:pt idx="106">
                        <c:v>-657.08217162300207</c:v>
                      </c:pt>
                      <c:pt idx="107">
                        <c:v>-657.08217162300207</c:v>
                      </c:pt>
                      <c:pt idx="108">
                        <c:v>-657.08217162300207</c:v>
                      </c:pt>
                      <c:pt idx="109">
                        <c:v>-657.08217162300207</c:v>
                      </c:pt>
                      <c:pt idx="110">
                        <c:v>-646.83217162300218</c:v>
                      </c:pt>
                      <c:pt idx="111">
                        <c:v>-640.35217162300216</c:v>
                      </c:pt>
                      <c:pt idx="112">
                        <c:v>-640.35217162300216</c:v>
                      </c:pt>
                      <c:pt idx="113">
                        <c:v>-640.35217162300216</c:v>
                      </c:pt>
                      <c:pt idx="114">
                        <c:v>-640.35217162300216</c:v>
                      </c:pt>
                      <c:pt idx="115">
                        <c:v>-640.35217162300216</c:v>
                      </c:pt>
                      <c:pt idx="116">
                        <c:v>-643.20217162300207</c:v>
                      </c:pt>
                      <c:pt idx="117">
                        <c:v>-617.95161845366727</c:v>
                      </c:pt>
                      <c:pt idx="118">
                        <c:v>-617.95161845366727</c:v>
                      </c:pt>
                      <c:pt idx="119">
                        <c:v>-617.95161845366727</c:v>
                      </c:pt>
                      <c:pt idx="120">
                        <c:v>-637.75161845366745</c:v>
                      </c:pt>
                      <c:pt idx="121">
                        <c:v>-637.75161845366745</c:v>
                      </c:pt>
                      <c:pt idx="122">
                        <c:v>-637.75161845366745</c:v>
                      </c:pt>
                      <c:pt idx="123">
                        <c:v>-637.75161845366745</c:v>
                      </c:pt>
                      <c:pt idx="124">
                        <c:v>-569.65161845366742</c:v>
                      </c:pt>
                      <c:pt idx="125">
                        <c:v>-569.65161845366742</c:v>
                      </c:pt>
                      <c:pt idx="126">
                        <c:v>-569.65161845366742</c:v>
                      </c:pt>
                      <c:pt idx="127">
                        <c:v>-617.44161845366739</c:v>
                      </c:pt>
                      <c:pt idx="128">
                        <c:v>-617.44161845366739</c:v>
                      </c:pt>
                      <c:pt idx="129">
                        <c:v>-653.28161845366731</c:v>
                      </c:pt>
                      <c:pt idx="130">
                        <c:v>-653.28161845366731</c:v>
                      </c:pt>
                      <c:pt idx="131">
                        <c:v>-678.06161845366728</c:v>
                      </c:pt>
                      <c:pt idx="132">
                        <c:v>-678.06161845366728</c:v>
                      </c:pt>
                      <c:pt idx="133">
                        <c:v>-660.56161845366728</c:v>
                      </c:pt>
                      <c:pt idx="134">
                        <c:v>-658.04161845366718</c:v>
                      </c:pt>
                      <c:pt idx="135">
                        <c:v>-666.32161845366716</c:v>
                      </c:pt>
                      <c:pt idx="136">
                        <c:v>-662.72161845366713</c:v>
                      </c:pt>
                      <c:pt idx="137">
                        <c:v>-662.72161845366713</c:v>
                      </c:pt>
                      <c:pt idx="138">
                        <c:v>-694.54161845366707</c:v>
                      </c:pt>
                      <c:pt idx="139">
                        <c:v>-663.04161845366696</c:v>
                      </c:pt>
                      <c:pt idx="140">
                        <c:v>-663.04161845366696</c:v>
                      </c:pt>
                      <c:pt idx="141">
                        <c:v>-694.56161845366694</c:v>
                      </c:pt>
                      <c:pt idx="142">
                        <c:v>-744.80161845366695</c:v>
                      </c:pt>
                      <c:pt idx="143">
                        <c:v>-767.04161845366673</c:v>
                      </c:pt>
                      <c:pt idx="144">
                        <c:v>-769.08161845366681</c:v>
                      </c:pt>
                      <c:pt idx="145">
                        <c:v>-685.18161845366672</c:v>
                      </c:pt>
                      <c:pt idx="146">
                        <c:v>-709.48161845366667</c:v>
                      </c:pt>
                      <c:pt idx="147">
                        <c:v>-763.63161845366676</c:v>
                      </c:pt>
                      <c:pt idx="148">
                        <c:v>-763.63161845366676</c:v>
                      </c:pt>
                      <c:pt idx="149">
                        <c:v>-763.63161845366676</c:v>
                      </c:pt>
                      <c:pt idx="150">
                        <c:v>-763.63161845366676</c:v>
                      </c:pt>
                      <c:pt idx="151">
                        <c:v>-763.63161845366676</c:v>
                      </c:pt>
                      <c:pt idx="152">
                        <c:v>-639.33161845366681</c:v>
                      </c:pt>
                      <c:pt idx="153">
                        <c:v>-639.33161845366681</c:v>
                      </c:pt>
                      <c:pt idx="154">
                        <c:v>-639.33161845366681</c:v>
                      </c:pt>
                      <c:pt idx="155">
                        <c:v>-639.33161845366681</c:v>
                      </c:pt>
                      <c:pt idx="156">
                        <c:v>-547.97161845366668</c:v>
                      </c:pt>
                      <c:pt idx="157">
                        <c:v>-547.97161845366668</c:v>
                      </c:pt>
                      <c:pt idx="158">
                        <c:v>-547.97161845366668</c:v>
                      </c:pt>
                      <c:pt idx="159">
                        <c:v>-547.97161845366668</c:v>
                      </c:pt>
                      <c:pt idx="160">
                        <c:v>-547.97161845366668</c:v>
                      </c:pt>
                      <c:pt idx="161">
                        <c:v>-547.97161845366668</c:v>
                      </c:pt>
                      <c:pt idx="162">
                        <c:v>-520.05161845366683</c:v>
                      </c:pt>
                      <c:pt idx="163">
                        <c:v>-601.05161845366695</c:v>
                      </c:pt>
                      <c:pt idx="164">
                        <c:v>-601.05161845366695</c:v>
                      </c:pt>
                      <c:pt idx="165">
                        <c:v>-601.05161845366695</c:v>
                      </c:pt>
                      <c:pt idx="166">
                        <c:v>-601.05161845366695</c:v>
                      </c:pt>
                      <c:pt idx="167">
                        <c:v>-601.05161845366695</c:v>
                      </c:pt>
                      <c:pt idx="168">
                        <c:v>-560.1016184536669</c:v>
                      </c:pt>
                      <c:pt idx="169">
                        <c:v>-560.1016184536669</c:v>
                      </c:pt>
                      <c:pt idx="170">
                        <c:v>-570.36161845366701</c:v>
                      </c:pt>
                      <c:pt idx="171">
                        <c:v>-570.36161845366701</c:v>
                      </c:pt>
                      <c:pt idx="172">
                        <c:v>-550.52161845366709</c:v>
                      </c:pt>
                      <c:pt idx="173">
                        <c:v>-550.52161845366709</c:v>
                      </c:pt>
                      <c:pt idx="174">
                        <c:v>-469.5216184536672</c:v>
                      </c:pt>
                      <c:pt idx="175">
                        <c:v>-469.5216184536672</c:v>
                      </c:pt>
                      <c:pt idx="176">
                        <c:v>-458.74161845366723</c:v>
                      </c:pt>
                      <c:pt idx="177">
                        <c:v>-458.74161845366723</c:v>
                      </c:pt>
                      <c:pt idx="178">
                        <c:v>-472.52161845366743</c:v>
                      </c:pt>
                      <c:pt idx="179">
                        <c:v>-378.83161845366737</c:v>
                      </c:pt>
                      <c:pt idx="180">
                        <c:v>-378.83161845366737</c:v>
                      </c:pt>
                      <c:pt idx="181">
                        <c:v>-378.83161845366737</c:v>
                      </c:pt>
                      <c:pt idx="182">
                        <c:v>-378.83161845366737</c:v>
                      </c:pt>
                      <c:pt idx="183">
                        <c:v>-378.83161845366737</c:v>
                      </c:pt>
                      <c:pt idx="184">
                        <c:v>-399.47161845366725</c:v>
                      </c:pt>
                      <c:pt idx="185">
                        <c:v>-378.47161845366702</c:v>
                      </c:pt>
                      <c:pt idx="186">
                        <c:v>-386.97161845366702</c:v>
                      </c:pt>
                      <c:pt idx="187">
                        <c:v>-386.97161845366702</c:v>
                      </c:pt>
                      <c:pt idx="188">
                        <c:v>-280.97161845366702</c:v>
                      </c:pt>
                      <c:pt idx="189">
                        <c:v>-286.97161845366679</c:v>
                      </c:pt>
                      <c:pt idx="190">
                        <c:v>-286.97161845366679</c:v>
                      </c:pt>
                      <c:pt idx="191">
                        <c:v>-302.37161845366688</c:v>
                      </c:pt>
                      <c:pt idx="192">
                        <c:v>-302.37161845366688</c:v>
                      </c:pt>
                      <c:pt idx="193">
                        <c:v>-101.3516184536669</c:v>
                      </c:pt>
                      <c:pt idx="194">
                        <c:v>-110.31161845366694</c:v>
                      </c:pt>
                      <c:pt idx="195">
                        <c:v>-110.31161845366694</c:v>
                      </c:pt>
                      <c:pt idx="196">
                        <c:v>-110.31161845366694</c:v>
                      </c:pt>
                      <c:pt idx="197">
                        <c:v>-70.011618453666983</c:v>
                      </c:pt>
                      <c:pt idx="198">
                        <c:v>-68.661618453667074</c:v>
                      </c:pt>
                      <c:pt idx="199">
                        <c:v>-72.941618453667274</c:v>
                      </c:pt>
                      <c:pt idx="200">
                        <c:v>-72.941618453667274</c:v>
                      </c:pt>
                      <c:pt idx="201">
                        <c:v>-26.381618453667329</c:v>
                      </c:pt>
                      <c:pt idx="202">
                        <c:v>-26.381618453667329</c:v>
                      </c:pt>
                      <c:pt idx="203">
                        <c:v>-26.381618453667329</c:v>
                      </c:pt>
                      <c:pt idx="204">
                        <c:v>-26.381618453667329</c:v>
                      </c:pt>
                      <c:pt idx="205">
                        <c:v>-26.381618453667329</c:v>
                      </c:pt>
                      <c:pt idx="206">
                        <c:v>-26.381618453667329</c:v>
                      </c:pt>
                      <c:pt idx="207">
                        <c:v>-28.36161845366712</c:v>
                      </c:pt>
                      <c:pt idx="208">
                        <c:v>-28.36161845366712</c:v>
                      </c:pt>
                      <c:pt idx="209">
                        <c:v>-6.9616184536670289</c:v>
                      </c:pt>
                      <c:pt idx="210">
                        <c:v>-6.9616184536670289</c:v>
                      </c:pt>
                      <c:pt idx="211">
                        <c:v>-6.9616184536670289</c:v>
                      </c:pt>
                      <c:pt idx="212">
                        <c:v>-6.9616184536670289</c:v>
                      </c:pt>
                      <c:pt idx="213">
                        <c:v>36.368381546332898</c:v>
                      </c:pt>
                      <c:pt idx="214">
                        <c:v>38.368381546332898</c:v>
                      </c:pt>
                      <c:pt idx="215">
                        <c:v>-92.311618453666938</c:v>
                      </c:pt>
                      <c:pt idx="216">
                        <c:v>-92.311618453666938</c:v>
                      </c:pt>
                      <c:pt idx="217">
                        <c:v>-92.311618453666938</c:v>
                      </c:pt>
                      <c:pt idx="218">
                        <c:v>-74.811618453666938</c:v>
                      </c:pt>
                      <c:pt idx="219">
                        <c:v>-74.811618453666938</c:v>
                      </c:pt>
                      <c:pt idx="220">
                        <c:v>-5.5116184536669834</c:v>
                      </c:pt>
                      <c:pt idx="221">
                        <c:v>-5.5116184536669834</c:v>
                      </c:pt>
                      <c:pt idx="222">
                        <c:v>54.408381546332862</c:v>
                      </c:pt>
                      <c:pt idx="223">
                        <c:v>54.408381546332862</c:v>
                      </c:pt>
                      <c:pt idx="224">
                        <c:v>54.408381546332862</c:v>
                      </c:pt>
                      <c:pt idx="225">
                        <c:v>24.88838154633288</c:v>
                      </c:pt>
                      <c:pt idx="226">
                        <c:v>24.88838154633288</c:v>
                      </c:pt>
                      <c:pt idx="227">
                        <c:v>44.248381546333007</c:v>
                      </c:pt>
                      <c:pt idx="228">
                        <c:v>44.248381546333007</c:v>
                      </c:pt>
                      <c:pt idx="229">
                        <c:v>44.248381546333007</c:v>
                      </c:pt>
                      <c:pt idx="230">
                        <c:v>63.898381546332871</c:v>
                      </c:pt>
                      <c:pt idx="231">
                        <c:v>63.898381546332871</c:v>
                      </c:pt>
                      <c:pt idx="232">
                        <c:v>63.898381546332871</c:v>
                      </c:pt>
                      <c:pt idx="233">
                        <c:v>63.898381546332871</c:v>
                      </c:pt>
                      <c:pt idx="234">
                        <c:v>126.29838154633296</c:v>
                      </c:pt>
                      <c:pt idx="235">
                        <c:v>82.868381546332898</c:v>
                      </c:pt>
                      <c:pt idx="236">
                        <c:v>168.66838154633285</c:v>
                      </c:pt>
                      <c:pt idx="237">
                        <c:v>168.66838154633285</c:v>
                      </c:pt>
                      <c:pt idx="238">
                        <c:v>168.66838154633285</c:v>
                      </c:pt>
                      <c:pt idx="239">
                        <c:v>168.66838154633285</c:v>
                      </c:pt>
                      <c:pt idx="240">
                        <c:v>168.66838154633285</c:v>
                      </c:pt>
                      <c:pt idx="241">
                        <c:v>347.91838154633274</c:v>
                      </c:pt>
                      <c:pt idx="242">
                        <c:v>347.91838154633274</c:v>
                      </c:pt>
                      <c:pt idx="243">
                        <c:v>336.66838154633274</c:v>
                      </c:pt>
                      <c:pt idx="244">
                        <c:v>336.66838154633274</c:v>
                      </c:pt>
                      <c:pt idx="245">
                        <c:v>342.51838154633288</c:v>
                      </c:pt>
                      <c:pt idx="246">
                        <c:v>338.21838154633292</c:v>
                      </c:pt>
                      <c:pt idx="247">
                        <c:v>315.81838154633283</c:v>
                      </c:pt>
                      <c:pt idx="248">
                        <c:v>280.51838154633288</c:v>
                      </c:pt>
                      <c:pt idx="249">
                        <c:v>201.31838154633283</c:v>
                      </c:pt>
                      <c:pt idx="250">
                        <c:v>344.11838154633278</c:v>
                      </c:pt>
                      <c:pt idx="251">
                        <c:v>344.11838154633278</c:v>
                      </c:pt>
                      <c:pt idx="252">
                        <c:v>344.11838154633278</c:v>
                      </c:pt>
                      <c:pt idx="253">
                        <c:v>438.61838154633278</c:v>
                      </c:pt>
                      <c:pt idx="254">
                        <c:v>415.57838154633259</c:v>
                      </c:pt>
                      <c:pt idx="255">
                        <c:v>442.29838154633239</c:v>
                      </c:pt>
                      <c:pt idx="256">
                        <c:v>442.29838154633239</c:v>
                      </c:pt>
                      <c:pt idx="257">
                        <c:v>442.29838154633239</c:v>
                      </c:pt>
                      <c:pt idx="258">
                        <c:v>442.29838154633239</c:v>
                      </c:pt>
                      <c:pt idx="259">
                        <c:v>356.69838154633248</c:v>
                      </c:pt>
                      <c:pt idx="260">
                        <c:v>338.87838154633255</c:v>
                      </c:pt>
                      <c:pt idx="261">
                        <c:v>319.19838154633248</c:v>
                      </c:pt>
                      <c:pt idx="262">
                        <c:v>361.89838154633276</c:v>
                      </c:pt>
                      <c:pt idx="263">
                        <c:v>361.89838154633276</c:v>
                      </c:pt>
                      <c:pt idx="264">
                        <c:v>365.63838154633277</c:v>
                      </c:pt>
                      <c:pt idx="265">
                        <c:v>311.15838154633275</c:v>
                      </c:pt>
                      <c:pt idx="266">
                        <c:v>311.15838154633275</c:v>
                      </c:pt>
                      <c:pt idx="267">
                        <c:v>310.73838154633268</c:v>
                      </c:pt>
                      <c:pt idx="268">
                        <c:v>300.97838154633268</c:v>
                      </c:pt>
                      <c:pt idx="269">
                        <c:v>365.41838154633274</c:v>
                      </c:pt>
                      <c:pt idx="270">
                        <c:v>393.49838154633267</c:v>
                      </c:pt>
                      <c:pt idx="271">
                        <c:v>450.82838154633259</c:v>
                      </c:pt>
                      <c:pt idx="272">
                        <c:v>447.22838154633268</c:v>
                      </c:pt>
                      <c:pt idx="273">
                        <c:v>447.22838154633268</c:v>
                      </c:pt>
                      <c:pt idx="274">
                        <c:v>421.97838154633268</c:v>
                      </c:pt>
                      <c:pt idx="275">
                        <c:v>506.12838154633255</c:v>
                      </c:pt>
                      <c:pt idx="276">
                        <c:v>485.24838154633267</c:v>
                      </c:pt>
                      <c:pt idx="277">
                        <c:v>485.24838154633267</c:v>
                      </c:pt>
                      <c:pt idx="278">
                        <c:v>560.64838154633253</c:v>
                      </c:pt>
                      <c:pt idx="279">
                        <c:v>580.64838154633253</c:v>
                      </c:pt>
                      <c:pt idx="280">
                        <c:v>580.64838154633253</c:v>
                      </c:pt>
                      <c:pt idx="281">
                        <c:v>580.64838154633253</c:v>
                      </c:pt>
                      <c:pt idx="282">
                        <c:v>582.84838154633258</c:v>
                      </c:pt>
                      <c:pt idx="283">
                        <c:v>512.14838154633276</c:v>
                      </c:pt>
                      <c:pt idx="284">
                        <c:v>512.14838154633276</c:v>
                      </c:pt>
                      <c:pt idx="285">
                        <c:v>416.74838154633267</c:v>
                      </c:pt>
                      <c:pt idx="286">
                        <c:v>416.74838154633267</c:v>
                      </c:pt>
                      <c:pt idx="287">
                        <c:v>335.61838154633256</c:v>
                      </c:pt>
                      <c:pt idx="288">
                        <c:v>335.61838154633256</c:v>
                      </c:pt>
                      <c:pt idx="289">
                        <c:v>369.51838154633242</c:v>
                      </c:pt>
                      <c:pt idx="290">
                        <c:v>369.51838154633242</c:v>
                      </c:pt>
                      <c:pt idx="291">
                        <c:v>444.51838154633242</c:v>
                      </c:pt>
                      <c:pt idx="292">
                        <c:v>418.76838154633242</c:v>
                      </c:pt>
                      <c:pt idx="293">
                        <c:v>418.76838154633242</c:v>
                      </c:pt>
                      <c:pt idx="294">
                        <c:v>289.80838154633238</c:v>
                      </c:pt>
                      <c:pt idx="295">
                        <c:v>289.80838154633238</c:v>
                      </c:pt>
                      <c:pt idx="296">
                        <c:v>261.31838154633238</c:v>
                      </c:pt>
                      <c:pt idx="297">
                        <c:v>261.31838154633238</c:v>
                      </c:pt>
                      <c:pt idx="298">
                        <c:v>210.11838154633233</c:v>
                      </c:pt>
                      <c:pt idx="299">
                        <c:v>210.11838154633233</c:v>
                      </c:pt>
                      <c:pt idx="300">
                        <c:v>210.11838154633233</c:v>
                      </c:pt>
                      <c:pt idx="301">
                        <c:v>210.11838154633233</c:v>
                      </c:pt>
                      <c:pt idx="302">
                        <c:v>202.73838154633222</c:v>
                      </c:pt>
                      <c:pt idx="303">
                        <c:v>202.73838154633222</c:v>
                      </c:pt>
                      <c:pt idx="304">
                        <c:v>202.73838154633222</c:v>
                      </c:pt>
                      <c:pt idx="305">
                        <c:v>202.73838154633222</c:v>
                      </c:pt>
                      <c:pt idx="306">
                        <c:v>202.73838154633222</c:v>
                      </c:pt>
                      <c:pt idx="307">
                        <c:v>202.73838154633222</c:v>
                      </c:pt>
                      <c:pt idx="308">
                        <c:v>225.07719317717942</c:v>
                      </c:pt>
                      <c:pt idx="309">
                        <c:v>225.07719317717942</c:v>
                      </c:pt>
                      <c:pt idx="310">
                        <c:v>341.47719317717952</c:v>
                      </c:pt>
                      <c:pt idx="311">
                        <c:v>395.65719317717958</c:v>
                      </c:pt>
                      <c:pt idx="312">
                        <c:v>379.00719317717949</c:v>
                      </c:pt>
                      <c:pt idx="313">
                        <c:v>379.00719317717949</c:v>
                      </c:pt>
                      <c:pt idx="314">
                        <c:v>325.10719317717951</c:v>
                      </c:pt>
                      <c:pt idx="315">
                        <c:v>268.85719317717951</c:v>
                      </c:pt>
                      <c:pt idx="316">
                        <c:v>268.85719317717951</c:v>
                      </c:pt>
                      <c:pt idx="317">
                        <c:v>268.85719317717951</c:v>
                      </c:pt>
                      <c:pt idx="318">
                        <c:v>268.85719317717951</c:v>
                      </c:pt>
                      <c:pt idx="319">
                        <c:v>268.85719317717951</c:v>
                      </c:pt>
                      <c:pt idx="320">
                        <c:v>397.51719317717937</c:v>
                      </c:pt>
                      <c:pt idx="321">
                        <c:v>397.51719317717937</c:v>
                      </c:pt>
                      <c:pt idx="322">
                        <c:v>397.51719317717937</c:v>
                      </c:pt>
                      <c:pt idx="323">
                        <c:v>397.51719317717937</c:v>
                      </c:pt>
                      <c:pt idx="324">
                        <c:v>248.95719317717942</c:v>
                      </c:pt>
                      <c:pt idx="325">
                        <c:v>248.95719317717942</c:v>
                      </c:pt>
                      <c:pt idx="326">
                        <c:v>113.20719317717942</c:v>
                      </c:pt>
                      <c:pt idx="327">
                        <c:v>113.20719317717942</c:v>
                      </c:pt>
                      <c:pt idx="328">
                        <c:v>113.20719317717942</c:v>
                      </c:pt>
                      <c:pt idx="329">
                        <c:v>113.20719317717942</c:v>
                      </c:pt>
                      <c:pt idx="330">
                        <c:v>274.15719317717947</c:v>
                      </c:pt>
                      <c:pt idx="331">
                        <c:v>274.15719317717947</c:v>
                      </c:pt>
                      <c:pt idx="332">
                        <c:v>274.15719317717947</c:v>
                      </c:pt>
                      <c:pt idx="333">
                        <c:v>274.15719317717947</c:v>
                      </c:pt>
                      <c:pt idx="334">
                        <c:v>274.15719317717947</c:v>
                      </c:pt>
                      <c:pt idx="335">
                        <c:v>274.15719317717947</c:v>
                      </c:pt>
                      <c:pt idx="336">
                        <c:v>274.15719317717947</c:v>
                      </c:pt>
                      <c:pt idx="337">
                        <c:v>315.55719317717956</c:v>
                      </c:pt>
                      <c:pt idx="338">
                        <c:v>315.55719317717956</c:v>
                      </c:pt>
                      <c:pt idx="339">
                        <c:v>315.55719317717956</c:v>
                      </c:pt>
                      <c:pt idx="340">
                        <c:v>315.55719317717956</c:v>
                      </c:pt>
                      <c:pt idx="341">
                        <c:v>315.55719317717956</c:v>
                      </c:pt>
                      <c:pt idx="342">
                        <c:v>298.75719317717983</c:v>
                      </c:pt>
                      <c:pt idx="343">
                        <c:v>298.75719317717983</c:v>
                      </c:pt>
                      <c:pt idx="344">
                        <c:v>298.75719317717983</c:v>
                      </c:pt>
                      <c:pt idx="345">
                        <c:v>298.75719317717983</c:v>
                      </c:pt>
                      <c:pt idx="346">
                        <c:v>305.25719317717983</c:v>
                      </c:pt>
                    </c:numCache>
                  </c:numRef>
                </c:val>
                <c:smooth val="0"/>
                <c:extLst xmlns:c15="http://schemas.microsoft.com/office/drawing/2012/chart">
                  <c:ext xmlns:c16="http://schemas.microsoft.com/office/drawing/2014/chart" uri="{C3380CC4-5D6E-409C-BE32-E72D297353CC}">
                    <c16:uniqueId val="{00000006-C32E-43EB-ABBC-9B224275713E}"/>
                  </c:ext>
                </c:extLst>
              </c15:ser>
            </c15:filteredLineSeries>
          </c:ext>
        </c:extLst>
      </c:lineChart>
      <c:catAx>
        <c:axId val="147683023"/>
        <c:scaling>
          <c:orientation val="minMax"/>
        </c:scaling>
        <c:delete val="0"/>
        <c:axPos val="b"/>
        <c:majorGridlines>
          <c:spPr>
            <a:ln w="9525" cap="flat" cmpd="sng" algn="ctr">
              <a:solidFill>
                <a:schemeClr val="tx1">
                  <a:lumMod val="75000"/>
                  <a:lumOff val="25000"/>
                </a:schemeClr>
              </a:solidFill>
              <a:prstDash val="dash"/>
              <a:round/>
            </a:ln>
            <a:effectLst/>
          </c:spPr>
        </c:majorGridlines>
        <c:majorTickMark val="none"/>
        <c:minorTickMark val="none"/>
        <c:tickLblPos val="low"/>
        <c:spPr>
          <a:noFill/>
          <a:ln w="12700" cap="flat" cmpd="sng" algn="ctr">
            <a:solidFill>
              <a:sysClr val="windowText" lastClr="000000"/>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6645279"/>
        <c:crosses val="autoZero"/>
        <c:auto val="1"/>
        <c:lblAlgn val="ctr"/>
        <c:lblOffset val="100"/>
        <c:tickLblSkip val="25"/>
        <c:tickMarkSkip val="25"/>
        <c:noMultiLvlLbl val="0"/>
      </c:catAx>
      <c:valAx>
        <c:axId val="146645279"/>
        <c:scaling>
          <c:orientation val="minMax"/>
          <c:max val="20"/>
          <c:min val="-10"/>
        </c:scaling>
        <c:delete val="0"/>
        <c:axPos val="r"/>
        <c:majorGridlines>
          <c:spPr>
            <a:ln w="9525" cap="flat" cmpd="sng" algn="ctr">
              <a:solidFill>
                <a:schemeClr val="tx1">
                  <a:lumMod val="75000"/>
                  <a:lumOff val="25000"/>
                </a:schemeClr>
              </a:solidFill>
              <a:prstDash val="dash"/>
              <a:round/>
            </a:ln>
            <a:effectLst/>
          </c:spPr>
        </c:majorGridlines>
        <c:numFmt formatCode="0" sourceLinked="0"/>
        <c:majorTickMark val="none"/>
        <c:minorTickMark val="none"/>
        <c:tickLblPos val="high"/>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7683023"/>
        <c:crosses val="max"/>
        <c:crossBetween val="between"/>
      </c:valAx>
      <c:spPr>
        <a:solidFill>
          <a:schemeClr val="tx1">
            <a:lumMod val="65000"/>
            <a:lumOff val="35000"/>
          </a:schemeClr>
        </a:solidFill>
        <a:ln>
          <a:solidFill>
            <a:sysClr val="windowText" lastClr="000000"/>
          </a:solidFill>
        </a:ln>
        <a:effectLst/>
      </c:spPr>
    </c:plotArea>
    <c:legend>
      <c:legendPos val="t"/>
      <c:layout>
        <c:manualLayout>
          <c:xMode val="edge"/>
          <c:yMode val="edge"/>
          <c:x val="0.39634286005511454"/>
          <c:y val="1.2316999395039325E-2"/>
          <c:w val="0.57612618810998151"/>
          <c:h val="4.9614968727820091E-2"/>
        </c:manualLayout>
      </c:layout>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legend>
    <c:plotVisOnly val="0"/>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accent3">
                    <a:lumMod val="75000"/>
                  </a:schemeClr>
                </a:solidFill>
                <a:latin typeface="+mn-lt"/>
                <a:ea typeface="+mn-ea"/>
                <a:cs typeface="+mn-cs"/>
              </a:defRPr>
            </a:pPr>
            <a:r>
              <a:rPr lang="en-US" sz="2000" b="1">
                <a:solidFill>
                  <a:schemeClr val="accent3">
                    <a:lumMod val="75000"/>
                  </a:schemeClr>
                </a:solidFill>
              </a:rPr>
              <a:t>The Three Tiers (XLY)</a:t>
            </a:r>
          </a:p>
        </c:rich>
      </c:tx>
      <c:layout>
        <c:manualLayout>
          <c:xMode val="edge"/>
          <c:yMode val="edge"/>
          <c:x val="2.8694404591104734E-2"/>
          <c:y val="2.4198427102238356E-3"/>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accent3">
                  <a:lumMod val="75000"/>
                </a:schemeClr>
              </a:solidFill>
              <a:latin typeface="+mn-lt"/>
              <a:ea typeface="+mn-ea"/>
              <a:cs typeface="+mn-cs"/>
            </a:defRPr>
          </a:pPr>
          <a:endParaRPr lang="en-US"/>
        </a:p>
      </c:txPr>
    </c:title>
    <c:autoTitleDeleted val="0"/>
    <c:plotArea>
      <c:layout>
        <c:manualLayout>
          <c:layoutTarget val="inner"/>
          <c:xMode val="edge"/>
          <c:yMode val="edge"/>
          <c:x val="1.0171058714748035E-2"/>
          <c:y val="7.7350558040499021E-2"/>
          <c:w val="0.95283482768537431"/>
          <c:h val="0.86018548951798435"/>
        </c:manualLayout>
      </c:layout>
      <c:lineChart>
        <c:grouping val="standard"/>
        <c:varyColors val="0"/>
        <c:ser>
          <c:idx val="0"/>
          <c:order val="0"/>
          <c:tx>
            <c:v>Up</c:v>
          </c:tx>
          <c:spPr>
            <a:ln w="28575" cap="rnd">
              <a:solidFill>
                <a:schemeClr val="accent6">
                  <a:lumMod val="75000"/>
                </a:schemeClr>
              </a:solidFill>
              <a:prstDash val="solid"/>
              <a:round/>
            </a:ln>
            <a:effectLst/>
          </c:spPr>
          <c:marker>
            <c:symbol val="none"/>
          </c:marker>
          <c:val>
            <c:numRef>
              <c:f>'2025-Q2'!$CX$4:$CX$422</c:f>
              <c:numCache>
                <c:formatCode>0.00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-0.33865165024245297</c:v>
                </c:pt>
                <c:pt idx="201">
                  <c:v>-0.33865165024245297</c:v>
                </c:pt>
                <c:pt idx="202">
                  <c:v>-0.33865165024245297</c:v>
                </c:pt>
                <c:pt idx="203">
                  <c:v>-0.33865165024245297</c:v>
                </c:pt>
                <c:pt idx="204">
                  <c:v>-0.33865165024245297</c:v>
                </c:pt>
                <c:pt idx="205">
                  <c:v>-0.33865165024245297</c:v>
                </c:pt>
                <c:pt idx="206">
                  <c:v>-0.33865165024245297</c:v>
                </c:pt>
                <c:pt idx="207">
                  <c:v>-0.33865165024245297</c:v>
                </c:pt>
                <c:pt idx="208">
                  <c:v>-0.33865165024245297</c:v>
                </c:pt>
                <c:pt idx="209">
                  <c:v>-0.33865165024245297</c:v>
                </c:pt>
                <c:pt idx="210">
                  <c:v>-0.33865165024245297</c:v>
                </c:pt>
                <c:pt idx="211">
                  <c:v>-0.33865165024245297</c:v>
                </c:pt>
                <c:pt idx="212">
                  <c:v>-0.33865165024245297</c:v>
                </c:pt>
                <c:pt idx="213">
                  <c:v>-0.33865165024245297</c:v>
                </c:pt>
                <c:pt idx="214">
                  <c:v>-0.33865165024245297</c:v>
                </c:pt>
                <c:pt idx="215">
                  <c:v>-0.33865165024245297</c:v>
                </c:pt>
                <c:pt idx="216">
                  <c:v>-0.33865165024245297</c:v>
                </c:pt>
                <c:pt idx="217">
                  <c:v>-0.33865165024245297</c:v>
                </c:pt>
                <c:pt idx="218">
                  <c:v>-0.33865165024245297</c:v>
                </c:pt>
                <c:pt idx="219">
                  <c:v>-0.33865165024245297</c:v>
                </c:pt>
                <c:pt idx="220">
                  <c:v>-0.33865165024245297</c:v>
                </c:pt>
                <c:pt idx="221">
                  <c:v>-0.33865165024245297</c:v>
                </c:pt>
                <c:pt idx="222">
                  <c:v>-0.33865165024245297</c:v>
                </c:pt>
                <c:pt idx="223">
                  <c:v>-0.33865165024245297</c:v>
                </c:pt>
                <c:pt idx="224">
                  <c:v>-0.33865165024245297</c:v>
                </c:pt>
                <c:pt idx="225">
                  <c:v>-0.33865165024245297</c:v>
                </c:pt>
                <c:pt idx="226">
                  <c:v>-0.33865165024245297</c:v>
                </c:pt>
                <c:pt idx="227">
                  <c:v>-0.33865165024245297</c:v>
                </c:pt>
                <c:pt idx="228">
                  <c:v>-0.33865165024245297</c:v>
                </c:pt>
                <c:pt idx="229">
                  <c:v>-0.33865165024245297</c:v>
                </c:pt>
                <c:pt idx="230">
                  <c:v>-0.33865165024245297</c:v>
                </c:pt>
                <c:pt idx="231">
                  <c:v>-0.33865165024245297</c:v>
                </c:pt>
                <c:pt idx="232">
                  <c:v>-0.33865165024245297</c:v>
                </c:pt>
                <c:pt idx="233">
                  <c:v>-0.33865165024245297</c:v>
                </c:pt>
                <c:pt idx="234">
                  <c:v>-0.33865165024245297</c:v>
                </c:pt>
                <c:pt idx="235">
                  <c:v>-0.33865165024245297</c:v>
                </c:pt>
                <c:pt idx="236">
                  <c:v>-0.33865165024245297</c:v>
                </c:pt>
                <c:pt idx="237">
                  <c:v>-0.33865165024245297</c:v>
                </c:pt>
                <c:pt idx="238">
                  <c:v>-0.33865165024245297</c:v>
                </c:pt>
                <c:pt idx="239">
                  <c:v>-0.33865165024245297</c:v>
                </c:pt>
                <c:pt idx="240">
                  <c:v>-0.33865165024245297</c:v>
                </c:pt>
                <c:pt idx="241">
                  <c:v>-0.33865165024245297</c:v>
                </c:pt>
                <c:pt idx="242">
                  <c:v>-0.33865165024245297</c:v>
                </c:pt>
                <c:pt idx="243">
                  <c:v>-0.33865165024245297</c:v>
                </c:pt>
                <c:pt idx="244">
                  <c:v>-0.33865165024245297</c:v>
                </c:pt>
                <c:pt idx="245">
                  <c:v>-0.33865165024245297</c:v>
                </c:pt>
                <c:pt idx="246">
                  <c:v>-0.33865165024245297</c:v>
                </c:pt>
                <c:pt idx="247">
                  <c:v>-0.33865165024245297</c:v>
                </c:pt>
                <c:pt idx="248">
                  <c:v>-0.33865165024245297</c:v>
                </c:pt>
                <c:pt idx="249">
                  <c:v>-0.33865165024245297</c:v>
                </c:pt>
                <c:pt idx="250">
                  <c:v>-0.33865165024245297</c:v>
                </c:pt>
                <c:pt idx="251">
                  <c:v>-0.33865165024245297</c:v>
                </c:pt>
                <c:pt idx="252">
                  <c:v>-0.33865165024245297</c:v>
                </c:pt>
                <c:pt idx="253">
                  <c:v>-0.33865165024245297</c:v>
                </c:pt>
                <c:pt idx="254">
                  <c:v>-0.33865165024245297</c:v>
                </c:pt>
                <c:pt idx="255">
                  <c:v>-0.33865165024245297</c:v>
                </c:pt>
                <c:pt idx="256">
                  <c:v>-0.33865165024245297</c:v>
                </c:pt>
                <c:pt idx="257">
                  <c:v>-0.33865165024245297</c:v>
                </c:pt>
                <c:pt idx="258">
                  <c:v>-0.33865165024245297</c:v>
                </c:pt>
                <c:pt idx="259">
                  <c:v>-0.33865165024245297</c:v>
                </c:pt>
                <c:pt idx="260">
                  <c:v>-0.33865165024245297</c:v>
                </c:pt>
                <c:pt idx="261">
                  <c:v>-0.33865165024245297</c:v>
                </c:pt>
                <c:pt idx="262">
                  <c:v>-0.33865165024245297</c:v>
                </c:pt>
                <c:pt idx="263">
                  <c:v>-0.33865165024245297</c:v>
                </c:pt>
                <c:pt idx="264">
                  <c:v>-0.33865165024245297</c:v>
                </c:pt>
                <c:pt idx="265">
                  <c:v>-0.33865165024245297</c:v>
                </c:pt>
                <c:pt idx="266">
                  <c:v>-0.33865165024245297</c:v>
                </c:pt>
                <c:pt idx="267">
                  <c:v>-0.33865165024245297</c:v>
                </c:pt>
                <c:pt idx="268">
                  <c:v>-0.33865165024245297</c:v>
                </c:pt>
                <c:pt idx="269">
                  <c:v>-0.33865165024245297</c:v>
                </c:pt>
                <c:pt idx="270">
                  <c:v>-0.33865165024245297</c:v>
                </c:pt>
                <c:pt idx="271">
                  <c:v>-0.33865165024245297</c:v>
                </c:pt>
                <c:pt idx="272">
                  <c:v>-0.33865165024245297</c:v>
                </c:pt>
                <c:pt idx="273">
                  <c:v>-1.2839616145397621</c:v>
                </c:pt>
                <c:pt idx="274">
                  <c:v>-1.2839616145397621</c:v>
                </c:pt>
                <c:pt idx="275">
                  <c:v>-1.2839616145397621</c:v>
                </c:pt>
                <c:pt idx="276">
                  <c:v>-1.2839616145397621</c:v>
                </c:pt>
                <c:pt idx="277">
                  <c:v>-1.2839616145397621</c:v>
                </c:pt>
                <c:pt idx="278">
                  <c:v>-1.2839616145397621</c:v>
                </c:pt>
                <c:pt idx="279">
                  <c:v>-1.2839616145397621</c:v>
                </c:pt>
                <c:pt idx="280">
                  <c:v>-1.2839616145397621</c:v>
                </c:pt>
                <c:pt idx="281">
                  <c:v>-1.2839616145397621</c:v>
                </c:pt>
                <c:pt idx="282">
                  <c:v>-1.2839616145397621</c:v>
                </c:pt>
                <c:pt idx="283">
                  <c:v>-1.2839616145397621</c:v>
                </c:pt>
                <c:pt idx="284">
                  <c:v>-1.2839616145397621</c:v>
                </c:pt>
                <c:pt idx="285">
                  <c:v>-1.2839616145397621</c:v>
                </c:pt>
                <c:pt idx="286">
                  <c:v>-1.2839616145397621</c:v>
                </c:pt>
                <c:pt idx="287">
                  <c:v>-1.2839616145397621</c:v>
                </c:pt>
                <c:pt idx="288">
                  <c:v>-1.2839616145397621</c:v>
                </c:pt>
                <c:pt idx="289">
                  <c:v>-1.2839616145397621</c:v>
                </c:pt>
                <c:pt idx="290">
                  <c:v>-1.2839616145397621</c:v>
                </c:pt>
                <c:pt idx="291">
                  <c:v>-1.2839616145397621</c:v>
                </c:pt>
                <c:pt idx="292">
                  <c:v>-1.2839616145397621</c:v>
                </c:pt>
                <c:pt idx="293">
                  <c:v>-1.2839616145397621</c:v>
                </c:pt>
                <c:pt idx="294">
                  <c:v>-1.2839616145397621</c:v>
                </c:pt>
                <c:pt idx="295">
                  <c:v>-1.2839616145397621</c:v>
                </c:pt>
                <c:pt idx="296">
                  <c:v>-1.2839616145397621</c:v>
                </c:pt>
                <c:pt idx="297">
                  <c:v>-1.2839616145397621</c:v>
                </c:pt>
                <c:pt idx="298">
                  <c:v>-1.2839616145397621</c:v>
                </c:pt>
                <c:pt idx="299">
                  <c:v>-1.2839616145397621</c:v>
                </c:pt>
                <c:pt idx="300">
                  <c:v>-1.2839616145397621</c:v>
                </c:pt>
                <c:pt idx="301">
                  <c:v>-1.2839616145397621</c:v>
                </c:pt>
                <c:pt idx="302">
                  <c:v>-1.2839616145397621</c:v>
                </c:pt>
                <c:pt idx="303">
                  <c:v>-1.2839616145397621</c:v>
                </c:pt>
                <c:pt idx="304">
                  <c:v>-1.2839616145397621</c:v>
                </c:pt>
                <c:pt idx="305">
                  <c:v>-1.2839616145397621</c:v>
                </c:pt>
                <c:pt idx="306">
                  <c:v>-1.2839616145397621</c:v>
                </c:pt>
                <c:pt idx="307">
                  <c:v>-1.2839616145397621</c:v>
                </c:pt>
                <c:pt idx="308">
                  <c:v>-1.2839616145397621</c:v>
                </c:pt>
                <c:pt idx="309">
                  <c:v>-1.2839616145397621</c:v>
                </c:pt>
                <c:pt idx="310">
                  <c:v>-1.2839616145397621</c:v>
                </c:pt>
                <c:pt idx="311">
                  <c:v>-1.2839616145397621</c:v>
                </c:pt>
                <c:pt idx="312">
                  <c:v>-1.2839616145397621</c:v>
                </c:pt>
                <c:pt idx="313">
                  <c:v>-0.29399505935581682</c:v>
                </c:pt>
                <c:pt idx="314">
                  <c:v>-0.29399505935581682</c:v>
                </c:pt>
                <c:pt idx="315">
                  <c:v>-0.29399505935581682</c:v>
                </c:pt>
                <c:pt idx="316">
                  <c:v>-0.29399505935581682</c:v>
                </c:pt>
                <c:pt idx="317">
                  <c:v>-0.29399505935581682</c:v>
                </c:pt>
                <c:pt idx="318">
                  <c:v>-0.29399505935581682</c:v>
                </c:pt>
                <c:pt idx="319">
                  <c:v>-0.29399505935581682</c:v>
                </c:pt>
                <c:pt idx="320">
                  <c:v>-0.29399505935581682</c:v>
                </c:pt>
                <c:pt idx="321">
                  <c:v>-0.29399505935581682</c:v>
                </c:pt>
                <c:pt idx="322">
                  <c:v>-0.29399505935581682</c:v>
                </c:pt>
                <c:pt idx="323">
                  <c:v>-0.29399505935581682</c:v>
                </c:pt>
                <c:pt idx="324">
                  <c:v>-0.29399505935581682</c:v>
                </c:pt>
                <c:pt idx="325">
                  <c:v>-0.29399505935581682</c:v>
                </c:pt>
                <c:pt idx="326">
                  <c:v>-0.29399505935581682</c:v>
                </c:pt>
                <c:pt idx="327">
                  <c:v>-0.29399505935581682</c:v>
                </c:pt>
                <c:pt idx="328">
                  <c:v>-0.29399505935581682</c:v>
                </c:pt>
                <c:pt idx="329">
                  <c:v>-0.29399505935581682</c:v>
                </c:pt>
                <c:pt idx="330">
                  <c:v>-0.29399505935581682</c:v>
                </c:pt>
                <c:pt idx="331">
                  <c:v>-0.29399505935581682</c:v>
                </c:pt>
                <c:pt idx="332">
                  <c:v>-0.29399505935581682</c:v>
                </c:pt>
                <c:pt idx="333">
                  <c:v>-0.29399505935581682</c:v>
                </c:pt>
                <c:pt idx="334">
                  <c:v>-0.29399505935581682</c:v>
                </c:pt>
                <c:pt idx="335">
                  <c:v>-0.29399505935581682</c:v>
                </c:pt>
                <c:pt idx="336">
                  <c:v>-0.29399505935581682</c:v>
                </c:pt>
                <c:pt idx="337">
                  <c:v>-0.29399505935581682</c:v>
                </c:pt>
                <c:pt idx="338">
                  <c:v>-0.29399505935581682</c:v>
                </c:pt>
                <c:pt idx="339">
                  <c:v>-0.29399505935581682</c:v>
                </c:pt>
                <c:pt idx="340">
                  <c:v>-0.29399505935581682</c:v>
                </c:pt>
                <c:pt idx="341">
                  <c:v>-0.29399505935581682</c:v>
                </c:pt>
                <c:pt idx="342">
                  <c:v>-0.29399505935581682</c:v>
                </c:pt>
                <c:pt idx="343">
                  <c:v>-0.29399505935581682</c:v>
                </c:pt>
                <c:pt idx="344">
                  <c:v>-0.29399505935581682</c:v>
                </c:pt>
                <c:pt idx="345">
                  <c:v>-0.29399505935581682</c:v>
                </c:pt>
                <c:pt idx="346">
                  <c:v>-0.29399505935581682</c:v>
                </c:pt>
                <c:pt idx="347">
                  <c:v>-0.29399505935581682</c:v>
                </c:pt>
                <c:pt idx="348">
                  <c:v>-0.29399505935581682</c:v>
                </c:pt>
                <c:pt idx="349">
                  <c:v>-0.76090382686489777</c:v>
                </c:pt>
                <c:pt idx="350">
                  <c:v>-0.76090382686489777</c:v>
                </c:pt>
                <c:pt idx="351">
                  <c:v>-0.76090382686489777</c:v>
                </c:pt>
                <c:pt idx="352">
                  <c:v>-0.76090382686489777</c:v>
                </c:pt>
                <c:pt idx="353">
                  <c:v>-1.376136775601573</c:v>
                </c:pt>
                <c:pt idx="354">
                  <c:v>-1.376136775601573</c:v>
                </c:pt>
                <c:pt idx="355">
                  <c:v>-1.376136775601573</c:v>
                </c:pt>
                <c:pt idx="356">
                  <c:v>-1.376136775601573</c:v>
                </c:pt>
                <c:pt idx="357">
                  <c:v>-1.376136775601573</c:v>
                </c:pt>
                <c:pt idx="358">
                  <c:v>-1.376136775601573</c:v>
                </c:pt>
                <c:pt idx="359">
                  <c:v>-3.3082659491100586</c:v>
                </c:pt>
                <c:pt idx="360">
                  <c:v>-3.3082659491100586</c:v>
                </c:pt>
                <c:pt idx="361">
                  <c:v>-3.3082659491100586</c:v>
                </c:pt>
                <c:pt idx="362">
                  <c:v>-3.3082659491100586</c:v>
                </c:pt>
                <c:pt idx="363">
                  <c:v>-3.3082659491100586</c:v>
                </c:pt>
                <c:pt idx="364">
                  <c:v>-3.3082659491100586</c:v>
                </c:pt>
                <c:pt idx="365">
                  <c:v>-3.3082659491100586</c:v>
                </c:pt>
                <c:pt idx="366">
                  <c:v>-3.3082659491100586</c:v>
                </c:pt>
                <c:pt idx="367">
                  <c:v>-3.3082659491100586</c:v>
                </c:pt>
                <c:pt idx="368">
                  <c:v>-3.3082659491100586</c:v>
                </c:pt>
                <c:pt idx="369">
                  <c:v>-3.3082659491100586</c:v>
                </c:pt>
                <c:pt idx="370">
                  <c:v>-3.3082659491100586</c:v>
                </c:pt>
                <c:pt idx="371">
                  <c:v>-3.3082659491100586</c:v>
                </c:pt>
                <c:pt idx="372">
                  <c:v>-3.3082659491100586</c:v>
                </c:pt>
                <c:pt idx="373">
                  <c:v>-3.3082659491100586</c:v>
                </c:pt>
                <c:pt idx="374">
                  <c:v>-3.3082659491100586</c:v>
                </c:pt>
                <c:pt idx="375">
                  <c:v>-3.3082659491100586</c:v>
                </c:pt>
                <c:pt idx="376">
                  <c:v>-3.3082659491100586</c:v>
                </c:pt>
                <c:pt idx="377">
                  <c:v>-3.3082659491100586</c:v>
                </c:pt>
                <c:pt idx="378">
                  <c:v>-3.3082659491100586</c:v>
                </c:pt>
                <c:pt idx="379">
                  <c:v>-3.3082659491100586</c:v>
                </c:pt>
                <c:pt idx="380">
                  <c:v>-3.3082659491100586</c:v>
                </c:pt>
                <c:pt idx="381">
                  <c:v>-3.3082659491100586</c:v>
                </c:pt>
                <c:pt idx="382">
                  <c:v>-3.3082659491100586</c:v>
                </c:pt>
                <c:pt idx="383">
                  <c:v>-3.3082659491100586</c:v>
                </c:pt>
                <c:pt idx="384">
                  <c:v>-3.3082659491100586</c:v>
                </c:pt>
                <c:pt idx="385">
                  <c:v>-3.3082659491100586</c:v>
                </c:pt>
                <c:pt idx="386">
                  <c:v>-3.3082659491100586</c:v>
                </c:pt>
                <c:pt idx="387">
                  <c:v>-3.3082659491100586</c:v>
                </c:pt>
                <c:pt idx="388">
                  <c:v>-6.3374847922823907</c:v>
                </c:pt>
                <c:pt idx="389">
                  <c:v>-6.3374847922823907</c:v>
                </c:pt>
                <c:pt idx="390">
                  <c:v>-6.3374847922823907</c:v>
                </c:pt>
                <c:pt idx="391">
                  <c:v>-6.3374847922823907</c:v>
                </c:pt>
                <c:pt idx="392">
                  <c:v>-6.3374847922823907</c:v>
                </c:pt>
                <c:pt idx="393">
                  <c:v>-6.3374847922823907</c:v>
                </c:pt>
                <c:pt idx="394">
                  <c:v>-6.3374847922823907</c:v>
                </c:pt>
                <c:pt idx="395">
                  <c:v>-6.3374847922823907</c:v>
                </c:pt>
                <c:pt idx="396">
                  <c:v>-6.3374847922823907</c:v>
                </c:pt>
                <c:pt idx="397">
                  <c:v>-6.3374847922823907</c:v>
                </c:pt>
                <c:pt idx="398">
                  <c:v>-6.3374847922823907</c:v>
                </c:pt>
                <c:pt idx="399">
                  <c:v>-6.3374847922823907</c:v>
                </c:pt>
                <c:pt idx="400">
                  <c:v>-6.3374847922823907</c:v>
                </c:pt>
                <c:pt idx="401">
                  <c:v>-6.3374847922823907</c:v>
                </c:pt>
                <c:pt idx="402">
                  <c:v>-6.3374847922823907</c:v>
                </c:pt>
                <c:pt idx="403">
                  <c:v>-6.3374847922823907</c:v>
                </c:pt>
                <c:pt idx="404">
                  <c:v>-6.3374847922823907</c:v>
                </c:pt>
                <c:pt idx="405">
                  <c:v>-6.3374847922823907</c:v>
                </c:pt>
                <c:pt idx="406">
                  <c:v>-6.3374847922823907</c:v>
                </c:pt>
                <c:pt idx="407">
                  <c:v>-7.8443640235555954</c:v>
                </c:pt>
                <c:pt idx="408">
                  <c:v>-7.8443640235555954</c:v>
                </c:pt>
                <c:pt idx="409">
                  <c:v>-7.8443640235555954</c:v>
                </c:pt>
                <c:pt idx="410">
                  <c:v>-7.8443640235555954</c:v>
                </c:pt>
                <c:pt idx="411">
                  <c:v>-7.8443640235555954</c:v>
                </c:pt>
                <c:pt idx="412">
                  <c:v>-7.7830097399790894</c:v>
                </c:pt>
                <c:pt idx="413">
                  <c:v>-7.7830097399790894</c:v>
                </c:pt>
                <c:pt idx="414">
                  <c:v>-7.7830097399790894</c:v>
                </c:pt>
                <c:pt idx="415">
                  <c:v>-7.7830097399790894</c:v>
                </c:pt>
                <c:pt idx="416">
                  <c:v>-7.7830097399790894</c:v>
                </c:pt>
                <c:pt idx="417">
                  <c:v>-7.7830097399790894</c:v>
                </c:pt>
                <c:pt idx="418">
                  <c:v>-7.7830097399790894</c:v>
                </c:pt>
              </c:numCache>
            </c:numRef>
          </c:val>
          <c:smooth val="1"/>
          <c:extLst>
            <c:ext xmlns:c16="http://schemas.microsoft.com/office/drawing/2014/chart" uri="{C3380CC4-5D6E-409C-BE32-E72D297353CC}">
              <c16:uniqueId val="{00000000-5D40-40BD-9241-5753290D1030}"/>
            </c:ext>
          </c:extLst>
        </c:ser>
        <c:ser>
          <c:idx val="1"/>
          <c:order val="2"/>
          <c:tx>
            <c:v>Dwn</c:v>
          </c:tx>
          <c:spPr>
            <a:ln w="28575" cap="rnd">
              <a:solidFill>
                <a:schemeClr val="accent2"/>
              </a:solidFill>
              <a:prstDash val="solid"/>
              <a:round/>
            </a:ln>
            <a:effectLst/>
          </c:spPr>
          <c:marker>
            <c:symbol val="none"/>
          </c:marker>
          <c:val>
            <c:numRef>
              <c:f>'2025-Q2'!$CZ$4:$CZ$422</c:f>
              <c:numCache>
                <c:formatCode>0.00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-0.63271328921481373</c:v>
                </c:pt>
                <c:pt idx="42">
                  <c:v>-0.63271328921481373</c:v>
                </c:pt>
                <c:pt idx="43">
                  <c:v>-0.63271328921481373</c:v>
                </c:pt>
                <c:pt idx="44">
                  <c:v>-0.63271328921481373</c:v>
                </c:pt>
                <c:pt idx="45">
                  <c:v>-0.63271328921481373</c:v>
                </c:pt>
                <c:pt idx="46">
                  <c:v>-0.63271328921481373</c:v>
                </c:pt>
                <c:pt idx="47">
                  <c:v>-0.63271328921481373</c:v>
                </c:pt>
                <c:pt idx="48">
                  <c:v>-0.63271328921481373</c:v>
                </c:pt>
                <c:pt idx="49">
                  <c:v>-0.63271328921481373</c:v>
                </c:pt>
                <c:pt idx="50">
                  <c:v>-0.63271328921481373</c:v>
                </c:pt>
                <c:pt idx="51">
                  <c:v>-0.63271328921481373</c:v>
                </c:pt>
                <c:pt idx="52">
                  <c:v>-0.63271328921481373</c:v>
                </c:pt>
                <c:pt idx="53">
                  <c:v>-0.63271328921481373</c:v>
                </c:pt>
                <c:pt idx="54">
                  <c:v>-0.63271328921481373</c:v>
                </c:pt>
                <c:pt idx="55">
                  <c:v>-0.63271328921481373</c:v>
                </c:pt>
                <c:pt idx="56">
                  <c:v>-0.63271328921481373</c:v>
                </c:pt>
                <c:pt idx="57">
                  <c:v>-0.63271328921481373</c:v>
                </c:pt>
                <c:pt idx="58">
                  <c:v>-0.63271328921481373</c:v>
                </c:pt>
                <c:pt idx="59">
                  <c:v>-0.63271328921481373</c:v>
                </c:pt>
                <c:pt idx="60">
                  <c:v>-0.63271328921481373</c:v>
                </c:pt>
                <c:pt idx="61">
                  <c:v>-0.63271328921481373</c:v>
                </c:pt>
                <c:pt idx="62">
                  <c:v>-0.63271328921481373</c:v>
                </c:pt>
                <c:pt idx="63">
                  <c:v>-0.63271328921481373</c:v>
                </c:pt>
                <c:pt idx="64">
                  <c:v>-0.63271328921481373</c:v>
                </c:pt>
                <c:pt idx="65">
                  <c:v>-0.63271328921481373</c:v>
                </c:pt>
                <c:pt idx="66">
                  <c:v>-0.63271328921481373</c:v>
                </c:pt>
                <c:pt idx="67">
                  <c:v>-0.63271328921481373</c:v>
                </c:pt>
                <c:pt idx="68">
                  <c:v>-0.63271328921481373</c:v>
                </c:pt>
                <c:pt idx="69">
                  <c:v>-0.63271328921481373</c:v>
                </c:pt>
                <c:pt idx="70">
                  <c:v>-0.63271328921481373</c:v>
                </c:pt>
                <c:pt idx="71">
                  <c:v>-0.63271328921481373</c:v>
                </c:pt>
                <c:pt idx="72">
                  <c:v>-0.63271328921481373</c:v>
                </c:pt>
                <c:pt idx="73">
                  <c:v>-0.63271328921481373</c:v>
                </c:pt>
                <c:pt idx="74">
                  <c:v>-0.63271328921481373</c:v>
                </c:pt>
                <c:pt idx="75">
                  <c:v>-0.63271328921481373</c:v>
                </c:pt>
                <c:pt idx="76">
                  <c:v>-0.63271328921481373</c:v>
                </c:pt>
                <c:pt idx="77">
                  <c:v>-0.63271328921481373</c:v>
                </c:pt>
                <c:pt idx="78">
                  <c:v>-0.63271328921481373</c:v>
                </c:pt>
                <c:pt idx="79">
                  <c:v>-0.67634330666682074</c:v>
                </c:pt>
                <c:pt idx="80">
                  <c:v>-0.67634330666682074</c:v>
                </c:pt>
                <c:pt idx="81">
                  <c:v>-0.67634330666682074</c:v>
                </c:pt>
                <c:pt idx="82">
                  <c:v>-0.67634330666682074</c:v>
                </c:pt>
                <c:pt idx="83">
                  <c:v>-0.67634330666682074</c:v>
                </c:pt>
                <c:pt idx="84">
                  <c:v>-0.67634330666682074</c:v>
                </c:pt>
                <c:pt idx="85">
                  <c:v>-0.67634330666682074</c:v>
                </c:pt>
                <c:pt idx="86">
                  <c:v>-0.67634330666682074</c:v>
                </c:pt>
                <c:pt idx="87">
                  <c:v>-0.67634330666682074</c:v>
                </c:pt>
                <c:pt idx="88">
                  <c:v>-0.67634330666682074</c:v>
                </c:pt>
                <c:pt idx="89">
                  <c:v>-0.67634330666682074</c:v>
                </c:pt>
                <c:pt idx="90">
                  <c:v>-0.67634330666682074</c:v>
                </c:pt>
                <c:pt idx="91">
                  <c:v>-0.67634330666682074</c:v>
                </c:pt>
                <c:pt idx="92">
                  <c:v>-0.67634330666682074</c:v>
                </c:pt>
                <c:pt idx="93">
                  <c:v>-0.67634330666682074</c:v>
                </c:pt>
                <c:pt idx="94">
                  <c:v>-0.67634330666682074</c:v>
                </c:pt>
                <c:pt idx="95">
                  <c:v>-0.67634330666682074</c:v>
                </c:pt>
                <c:pt idx="96">
                  <c:v>-0.67634330666682074</c:v>
                </c:pt>
                <c:pt idx="97">
                  <c:v>-0.67634330666682074</c:v>
                </c:pt>
                <c:pt idx="98">
                  <c:v>-0.67634330666682074</c:v>
                </c:pt>
                <c:pt idx="99">
                  <c:v>-0.67634330666682074</c:v>
                </c:pt>
                <c:pt idx="100">
                  <c:v>-1.9289529100071134</c:v>
                </c:pt>
                <c:pt idx="101">
                  <c:v>-1.9289529100071134</c:v>
                </c:pt>
                <c:pt idx="102">
                  <c:v>-1.9289529100071134</c:v>
                </c:pt>
                <c:pt idx="103">
                  <c:v>-1.9289529100071134</c:v>
                </c:pt>
                <c:pt idx="104">
                  <c:v>-1.9289529100071134</c:v>
                </c:pt>
                <c:pt idx="105">
                  <c:v>-1.9289529100071134</c:v>
                </c:pt>
                <c:pt idx="106">
                  <c:v>-1.9289529100071134</c:v>
                </c:pt>
                <c:pt idx="107">
                  <c:v>-1.9289529100071134</c:v>
                </c:pt>
                <c:pt idx="108">
                  <c:v>-1.9289529100071134</c:v>
                </c:pt>
                <c:pt idx="109">
                  <c:v>-1.9289529100071134</c:v>
                </c:pt>
                <c:pt idx="110">
                  <c:v>-1.9289529100071134</c:v>
                </c:pt>
                <c:pt idx="111">
                  <c:v>-1.9289529100071134</c:v>
                </c:pt>
                <c:pt idx="112">
                  <c:v>-1.9289529100071134</c:v>
                </c:pt>
                <c:pt idx="113">
                  <c:v>-1.9289529100071134</c:v>
                </c:pt>
                <c:pt idx="114">
                  <c:v>-1.9289529100071134</c:v>
                </c:pt>
                <c:pt idx="115">
                  <c:v>-1.9289529100071134</c:v>
                </c:pt>
                <c:pt idx="116">
                  <c:v>-1.9289529100071134</c:v>
                </c:pt>
                <c:pt idx="117">
                  <c:v>-1.9289529100071134</c:v>
                </c:pt>
                <c:pt idx="118">
                  <c:v>-1.9289529100071134</c:v>
                </c:pt>
                <c:pt idx="119">
                  <c:v>-1.9289529100071134</c:v>
                </c:pt>
                <c:pt idx="120">
                  <c:v>-1.9289529100071134</c:v>
                </c:pt>
                <c:pt idx="121">
                  <c:v>-1.9289529100071134</c:v>
                </c:pt>
                <c:pt idx="122">
                  <c:v>-1.9289529100071134</c:v>
                </c:pt>
                <c:pt idx="123">
                  <c:v>-1.9289529100071134</c:v>
                </c:pt>
                <c:pt idx="124">
                  <c:v>-1.9289529100071134</c:v>
                </c:pt>
                <c:pt idx="125">
                  <c:v>-1.9289529100071134</c:v>
                </c:pt>
                <c:pt idx="126">
                  <c:v>-1.9289529100071134</c:v>
                </c:pt>
                <c:pt idx="127">
                  <c:v>-1.9289529100071134</c:v>
                </c:pt>
                <c:pt idx="128">
                  <c:v>-1.9289529100071134</c:v>
                </c:pt>
                <c:pt idx="129">
                  <c:v>-1.9289529100071134</c:v>
                </c:pt>
                <c:pt idx="130">
                  <c:v>-1.9289529100071134</c:v>
                </c:pt>
                <c:pt idx="131">
                  <c:v>-1.9289529100071134</c:v>
                </c:pt>
                <c:pt idx="132">
                  <c:v>-1.9289529100071134</c:v>
                </c:pt>
                <c:pt idx="133">
                  <c:v>-1.9289529100071134</c:v>
                </c:pt>
                <c:pt idx="134">
                  <c:v>-1.9289529100071134</c:v>
                </c:pt>
                <c:pt idx="135">
                  <c:v>-1.9289529100071134</c:v>
                </c:pt>
                <c:pt idx="136">
                  <c:v>-1.9289529100071134</c:v>
                </c:pt>
                <c:pt idx="137">
                  <c:v>-1.9289529100071134</c:v>
                </c:pt>
                <c:pt idx="138">
                  <c:v>-1.9289529100071134</c:v>
                </c:pt>
                <c:pt idx="139">
                  <c:v>-1.9289529100071134</c:v>
                </c:pt>
                <c:pt idx="140">
                  <c:v>-1.9289529100071134</c:v>
                </c:pt>
                <c:pt idx="141">
                  <c:v>-1.9289529100071134</c:v>
                </c:pt>
                <c:pt idx="142">
                  <c:v>-1.9289529100071134</c:v>
                </c:pt>
                <c:pt idx="143">
                  <c:v>-1.9289529100071134</c:v>
                </c:pt>
                <c:pt idx="144">
                  <c:v>-1.9289529100071134</c:v>
                </c:pt>
                <c:pt idx="145">
                  <c:v>-1.9289529100071134</c:v>
                </c:pt>
                <c:pt idx="146">
                  <c:v>-1.9289529100071134</c:v>
                </c:pt>
                <c:pt idx="147">
                  <c:v>-1.9289529100071134</c:v>
                </c:pt>
                <c:pt idx="148">
                  <c:v>-1.9289529100071134</c:v>
                </c:pt>
                <c:pt idx="149">
                  <c:v>-1.9289529100071134</c:v>
                </c:pt>
                <c:pt idx="150">
                  <c:v>-1.9289529100071134</c:v>
                </c:pt>
                <c:pt idx="151">
                  <c:v>-1.9289529100071134</c:v>
                </c:pt>
                <c:pt idx="152">
                  <c:v>-1.9289529100071134</c:v>
                </c:pt>
                <c:pt idx="153">
                  <c:v>-1.9289529100071134</c:v>
                </c:pt>
                <c:pt idx="154">
                  <c:v>-1.9289529100071134</c:v>
                </c:pt>
                <c:pt idx="155">
                  <c:v>-1.9289529100071134</c:v>
                </c:pt>
                <c:pt idx="156">
                  <c:v>-1.9289529100071134</c:v>
                </c:pt>
                <c:pt idx="157">
                  <c:v>-1.9289529100071134</c:v>
                </c:pt>
                <c:pt idx="158">
                  <c:v>-1.9289529100071134</c:v>
                </c:pt>
                <c:pt idx="159">
                  <c:v>-1.9289529100071134</c:v>
                </c:pt>
                <c:pt idx="160">
                  <c:v>-1.9289529100071134</c:v>
                </c:pt>
                <c:pt idx="161">
                  <c:v>-1.9289529100071134</c:v>
                </c:pt>
                <c:pt idx="162">
                  <c:v>-1.9289529100071134</c:v>
                </c:pt>
                <c:pt idx="163">
                  <c:v>-1.9289529100071134</c:v>
                </c:pt>
                <c:pt idx="164">
                  <c:v>-1.9289529100071134</c:v>
                </c:pt>
                <c:pt idx="165">
                  <c:v>-1.9289529100071134</c:v>
                </c:pt>
                <c:pt idx="166">
                  <c:v>-1.9289529100071134</c:v>
                </c:pt>
                <c:pt idx="167">
                  <c:v>-1.9289529100071134</c:v>
                </c:pt>
                <c:pt idx="168">
                  <c:v>-1.9289529100071134</c:v>
                </c:pt>
                <c:pt idx="169">
                  <c:v>-1.9289529100071134</c:v>
                </c:pt>
                <c:pt idx="170">
                  <c:v>-1.9289529100071134</c:v>
                </c:pt>
                <c:pt idx="171">
                  <c:v>-1.9289529100071134</c:v>
                </c:pt>
                <c:pt idx="172">
                  <c:v>-1.9289529100071134</c:v>
                </c:pt>
                <c:pt idx="173">
                  <c:v>-1.9289529100071134</c:v>
                </c:pt>
                <c:pt idx="174">
                  <c:v>-0.26036833003013049</c:v>
                </c:pt>
                <c:pt idx="175">
                  <c:v>-0.26036833003013049</c:v>
                </c:pt>
                <c:pt idx="176">
                  <c:v>-0.26036833003013049</c:v>
                </c:pt>
                <c:pt idx="177">
                  <c:v>-0.26036833003013049</c:v>
                </c:pt>
                <c:pt idx="178">
                  <c:v>-0.26036833003013049</c:v>
                </c:pt>
                <c:pt idx="179">
                  <c:v>-0.26036833003013049</c:v>
                </c:pt>
                <c:pt idx="180">
                  <c:v>-0.26036833003013049</c:v>
                </c:pt>
                <c:pt idx="181">
                  <c:v>-0.26036833003013049</c:v>
                </c:pt>
                <c:pt idx="182">
                  <c:v>-0.26036833003013049</c:v>
                </c:pt>
                <c:pt idx="183">
                  <c:v>-0.26036833003013049</c:v>
                </c:pt>
                <c:pt idx="184">
                  <c:v>-0.26036833003013049</c:v>
                </c:pt>
                <c:pt idx="185">
                  <c:v>-1.0974100761627814</c:v>
                </c:pt>
                <c:pt idx="186">
                  <c:v>-1.0974100761627814</c:v>
                </c:pt>
                <c:pt idx="187">
                  <c:v>-1.0974100761627814</c:v>
                </c:pt>
                <c:pt idx="188">
                  <c:v>-1.0974100761627814</c:v>
                </c:pt>
                <c:pt idx="189">
                  <c:v>-1.0974100761627814</c:v>
                </c:pt>
                <c:pt idx="190">
                  <c:v>-1.0974100761627814</c:v>
                </c:pt>
                <c:pt idx="191">
                  <c:v>-1.0974100761627814</c:v>
                </c:pt>
                <c:pt idx="192">
                  <c:v>-1.0974100761627814</c:v>
                </c:pt>
                <c:pt idx="193">
                  <c:v>-1.0974100761627814</c:v>
                </c:pt>
                <c:pt idx="194">
                  <c:v>-1.0974100761627814</c:v>
                </c:pt>
                <c:pt idx="195">
                  <c:v>-1.0974100761627814</c:v>
                </c:pt>
                <c:pt idx="196">
                  <c:v>-1.0974100761627814</c:v>
                </c:pt>
                <c:pt idx="197">
                  <c:v>-1.0974100761627814</c:v>
                </c:pt>
                <c:pt idx="198">
                  <c:v>-1.0974100761627814</c:v>
                </c:pt>
                <c:pt idx="199">
                  <c:v>-1.0974100761627814</c:v>
                </c:pt>
                <c:pt idx="200">
                  <c:v>-1.0974100761627814</c:v>
                </c:pt>
                <c:pt idx="201">
                  <c:v>-1.0974100761627814</c:v>
                </c:pt>
                <c:pt idx="202">
                  <c:v>-1.0974100761627814</c:v>
                </c:pt>
                <c:pt idx="203">
                  <c:v>-1.0974100761627814</c:v>
                </c:pt>
                <c:pt idx="204">
                  <c:v>-1.0974100761627814</c:v>
                </c:pt>
                <c:pt idx="205">
                  <c:v>-1.0974100761627814</c:v>
                </c:pt>
                <c:pt idx="206">
                  <c:v>-1.0974100761627814</c:v>
                </c:pt>
                <c:pt idx="207">
                  <c:v>-1.0974100761627814</c:v>
                </c:pt>
                <c:pt idx="208">
                  <c:v>-1.0974100761627814</c:v>
                </c:pt>
                <c:pt idx="209">
                  <c:v>-1.0974100761627814</c:v>
                </c:pt>
                <c:pt idx="210">
                  <c:v>-1.0974100761627814</c:v>
                </c:pt>
                <c:pt idx="211">
                  <c:v>-1.0974100761627814</c:v>
                </c:pt>
                <c:pt idx="212">
                  <c:v>-1.0974100761627814</c:v>
                </c:pt>
                <c:pt idx="213">
                  <c:v>-1.0974100761627814</c:v>
                </c:pt>
                <c:pt idx="214">
                  <c:v>-0.55412230890025005</c:v>
                </c:pt>
                <c:pt idx="215">
                  <c:v>-0.55412230890025005</c:v>
                </c:pt>
                <c:pt idx="216">
                  <c:v>-0.55412230890025005</c:v>
                </c:pt>
                <c:pt idx="217">
                  <c:v>-0.55412230890025005</c:v>
                </c:pt>
                <c:pt idx="218">
                  <c:v>-0.55412230890025005</c:v>
                </c:pt>
                <c:pt idx="219">
                  <c:v>-0.55412230890025005</c:v>
                </c:pt>
                <c:pt idx="220">
                  <c:v>-0.55412230890025005</c:v>
                </c:pt>
                <c:pt idx="221">
                  <c:v>-0.55412230890025005</c:v>
                </c:pt>
                <c:pt idx="222">
                  <c:v>-0.55412230890025005</c:v>
                </c:pt>
                <c:pt idx="223">
                  <c:v>-0.55412230890025005</c:v>
                </c:pt>
                <c:pt idx="224">
                  <c:v>-0.55412230890025005</c:v>
                </c:pt>
                <c:pt idx="225">
                  <c:v>-0.55412230890025005</c:v>
                </c:pt>
                <c:pt idx="226">
                  <c:v>-0.55412230890025005</c:v>
                </c:pt>
                <c:pt idx="227">
                  <c:v>-8.9115263338952644E-2</c:v>
                </c:pt>
                <c:pt idx="228">
                  <c:v>-8.9115263338952644E-2</c:v>
                </c:pt>
                <c:pt idx="229">
                  <c:v>-8.9115263338952644E-2</c:v>
                </c:pt>
                <c:pt idx="230">
                  <c:v>-8.9115263338952644E-2</c:v>
                </c:pt>
                <c:pt idx="231">
                  <c:v>-8.9115263338952644E-2</c:v>
                </c:pt>
                <c:pt idx="232">
                  <c:v>-8.9115263338952644E-2</c:v>
                </c:pt>
                <c:pt idx="233">
                  <c:v>-8.9115263338952644E-2</c:v>
                </c:pt>
                <c:pt idx="234">
                  <c:v>-8.9115263338952644E-2</c:v>
                </c:pt>
                <c:pt idx="235">
                  <c:v>-8.9115263338952644E-2</c:v>
                </c:pt>
                <c:pt idx="236">
                  <c:v>-8.9115263338952644E-2</c:v>
                </c:pt>
                <c:pt idx="237">
                  <c:v>-8.9115263338952644E-2</c:v>
                </c:pt>
                <c:pt idx="238">
                  <c:v>-8.9115263338952644E-2</c:v>
                </c:pt>
                <c:pt idx="239">
                  <c:v>-8.9115263338952644E-2</c:v>
                </c:pt>
                <c:pt idx="240">
                  <c:v>-8.9115263338952644E-2</c:v>
                </c:pt>
                <c:pt idx="241">
                  <c:v>-8.9115263338952644E-2</c:v>
                </c:pt>
                <c:pt idx="242">
                  <c:v>-8.9115263338952644E-2</c:v>
                </c:pt>
                <c:pt idx="243">
                  <c:v>0.30198222879878239</c:v>
                </c:pt>
                <c:pt idx="244">
                  <c:v>0.30198222879878239</c:v>
                </c:pt>
                <c:pt idx="245">
                  <c:v>0.30198222879878239</c:v>
                </c:pt>
                <c:pt idx="246">
                  <c:v>0.30198222879878239</c:v>
                </c:pt>
                <c:pt idx="247">
                  <c:v>0.30198222879878239</c:v>
                </c:pt>
                <c:pt idx="248">
                  <c:v>0.30198222879878239</c:v>
                </c:pt>
                <c:pt idx="249">
                  <c:v>0.30198222879878239</c:v>
                </c:pt>
                <c:pt idx="250">
                  <c:v>0.30198222879878239</c:v>
                </c:pt>
                <c:pt idx="251">
                  <c:v>0.30198222879878239</c:v>
                </c:pt>
                <c:pt idx="252">
                  <c:v>0.30198222879878239</c:v>
                </c:pt>
                <c:pt idx="253">
                  <c:v>0.30198222879878239</c:v>
                </c:pt>
                <c:pt idx="254">
                  <c:v>0.30198222879878239</c:v>
                </c:pt>
                <c:pt idx="255">
                  <c:v>0.30198222879878239</c:v>
                </c:pt>
                <c:pt idx="256">
                  <c:v>0.30198222879878239</c:v>
                </c:pt>
                <c:pt idx="257">
                  <c:v>0.30198222879878239</c:v>
                </c:pt>
                <c:pt idx="258">
                  <c:v>0.30198222879878239</c:v>
                </c:pt>
                <c:pt idx="259">
                  <c:v>0.30198222879878239</c:v>
                </c:pt>
                <c:pt idx="260">
                  <c:v>0.30198222879878239</c:v>
                </c:pt>
                <c:pt idx="261">
                  <c:v>0.30198222879878239</c:v>
                </c:pt>
                <c:pt idx="262">
                  <c:v>0.30198222879878239</c:v>
                </c:pt>
                <c:pt idx="263">
                  <c:v>0.30198222879878239</c:v>
                </c:pt>
                <c:pt idx="264">
                  <c:v>0.30198222879878239</c:v>
                </c:pt>
                <c:pt idx="265">
                  <c:v>0.30198222879878239</c:v>
                </c:pt>
                <c:pt idx="266">
                  <c:v>0.30198222879878239</c:v>
                </c:pt>
                <c:pt idx="267">
                  <c:v>0.30198222879878239</c:v>
                </c:pt>
                <c:pt idx="268">
                  <c:v>0.30198222879878239</c:v>
                </c:pt>
                <c:pt idx="269">
                  <c:v>0.30198222879878239</c:v>
                </c:pt>
                <c:pt idx="270">
                  <c:v>0.30198222879878239</c:v>
                </c:pt>
                <c:pt idx="271">
                  <c:v>0.30198222879878239</c:v>
                </c:pt>
                <c:pt idx="272">
                  <c:v>0.30198222879878239</c:v>
                </c:pt>
                <c:pt idx="273">
                  <c:v>0.30198222879878239</c:v>
                </c:pt>
                <c:pt idx="274">
                  <c:v>0.30198222879878239</c:v>
                </c:pt>
                <c:pt idx="275">
                  <c:v>0.30198222879878239</c:v>
                </c:pt>
                <c:pt idx="276">
                  <c:v>0.30198222879878239</c:v>
                </c:pt>
                <c:pt idx="277">
                  <c:v>0.30198222879878239</c:v>
                </c:pt>
                <c:pt idx="278">
                  <c:v>0.30198222879878239</c:v>
                </c:pt>
                <c:pt idx="279">
                  <c:v>0.37351298702481961</c:v>
                </c:pt>
                <c:pt idx="280">
                  <c:v>0.37351298702481961</c:v>
                </c:pt>
                <c:pt idx="281">
                  <c:v>0.37351298702481961</c:v>
                </c:pt>
                <c:pt idx="282">
                  <c:v>0.37351298702481961</c:v>
                </c:pt>
                <c:pt idx="283">
                  <c:v>0.37351298702481961</c:v>
                </c:pt>
                <c:pt idx="284">
                  <c:v>0.37351298702481961</c:v>
                </c:pt>
                <c:pt idx="285">
                  <c:v>0.37351298702481961</c:v>
                </c:pt>
                <c:pt idx="286">
                  <c:v>0.37351298702481961</c:v>
                </c:pt>
                <c:pt idx="287">
                  <c:v>0.37351298702481961</c:v>
                </c:pt>
                <c:pt idx="288">
                  <c:v>0.37351298702481961</c:v>
                </c:pt>
                <c:pt idx="289">
                  <c:v>0.37351298702481961</c:v>
                </c:pt>
                <c:pt idx="290">
                  <c:v>0.37351298702481961</c:v>
                </c:pt>
                <c:pt idx="291">
                  <c:v>0.37351298702481961</c:v>
                </c:pt>
                <c:pt idx="292">
                  <c:v>0.37351298702481961</c:v>
                </c:pt>
                <c:pt idx="293">
                  <c:v>0.37351298702481961</c:v>
                </c:pt>
                <c:pt idx="294">
                  <c:v>0.37351298702481961</c:v>
                </c:pt>
                <c:pt idx="295">
                  <c:v>0.37351298702481961</c:v>
                </c:pt>
                <c:pt idx="296">
                  <c:v>0.37351298702481961</c:v>
                </c:pt>
                <c:pt idx="297">
                  <c:v>0.37351298702481961</c:v>
                </c:pt>
                <c:pt idx="298">
                  <c:v>-0.20119965665334139</c:v>
                </c:pt>
                <c:pt idx="299">
                  <c:v>-0.20119965665334139</c:v>
                </c:pt>
                <c:pt idx="300">
                  <c:v>-0.20119965665334139</c:v>
                </c:pt>
                <c:pt idx="301">
                  <c:v>-0.20119965665334139</c:v>
                </c:pt>
                <c:pt idx="302">
                  <c:v>-0.20119965665334139</c:v>
                </c:pt>
                <c:pt idx="303">
                  <c:v>-0.20119965665334139</c:v>
                </c:pt>
                <c:pt idx="304">
                  <c:v>-0.20119965665334139</c:v>
                </c:pt>
                <c:pt idx="305">
                  <c:v>-0.20119965665334139</c:v>
                </c:pt>
                <c:pt idx="306">
                  <c:v>-0.20119965665334139</c:v>
                </c:pt>
                <c:pt idx="307">
                  <c:v>-0.20119965665334139</c:v>
                </c:pt>
                <c:pt idx="308">
                  <c:v>-0.20119965665334139</c:v>
                </c:pt>
                <c:pt idx="309">
                  <c:v>-0.20119965665334139</c:v>
                </c:pt>
                <c:pt idx="310">
                  <c:v>-0.20119965665334139</c:v>
                </c:pt>
                <c:pt idx="311">
                  <c:v>-0.20119965665334139</c:v>
                </c:pt>
                <c:pt idx="312">
                  <c:v>-0.20119965665334139</c:v>
                </c:pt>
                <c:pt idx="313">
                  <c:v>-0.20119965665334139</c:v>
                </c:pt>
                <c:pt idx="314">
                  <c:v>-0.20119965665334139</c:v>
                </c:pt>
                <c:pt idx="315">
                  <c:v>-0.20119965665334139</c:v>
                </c:pt>
                <c:pt idx="316">
                  <c:v>-0.20119965665334139</c:v>
                </c:pt>
                <c:pt idx="317">
                  <c:v>-0.20119965665334139</c:v>
                </c:pt>
                <c:pt idx="318">
                  <c:v>-0.20119965665334139</c:v>
                </c:pt>
                <c:pt idx="319">
                  <c:v>-0.20119965665334139</c:v>
                </c:pt>
                <c:pt idx="320">
                  <c:v>-0.20119965665334139</c:v>
                </c:pt>
                <c:pt idx="321">
                  <c:v>-0.20119965665334139</c:v>
                </c:pt>
                <c:pt idx="322">
                  <c:v>-0.20119965665334139</c:v>
                </c:pt>
                <c:pt idx="323">
                  <c:v>-0.20119965665334139</c:v>
                </c:pt>
                <c:pt idx="324">
                  <c:v>-0.20119965665334139</c:v>
                </c:pt>
                <c:pt idx="325">
                  <c:v>-0.20119965665334139</c:v>
                </c:pt>
                <c:pt idx="326">
                  <c:v>-0.20119965665334139</c:v>
                </c:pt>
                <c:pt idx="327">
                  <c:v>-0.20119965665334139</c:v>
                </c:pt>
                <c:pt idx="328">
                  <c:v>-0.20119965665334139</c:v>
                </c:pt>
                <c:pt idx="329">
                  <c:v>-0.20119965665334139</c:v>
                </c:pt>
                <c:pt idx="330">
                  <c:v>-0.20119965665334139</c:v>
                </c:pt>
                <c:pt idx="331">
                  <c:v>-0.20119965665334139</c:v>
                </c:pt>
                <c:pt idx="332">
                  <c:v>-0.20119965665334139</c:v>
                </c:pt>
                <c:pt idx="333">
                  <c:v>-0.20119965665334139</c:v>
                </c:pt>
                <c:pt idx="334">
                  <c:v>-0.20119965665334139</c:v>
                </c:pt>
                <c:pt idx="335">
                  <c:v>-0.20119965665334139</c:v>
                </c:pt>
                <c:pt idx="336">
                  <c:v>-0.20119965665334139</c:v>
                </c:pt>
                <c:pt idx="337">
                  <c:v>-0.20119965665334139</c:v>
                </c:pt>
                <c:pt idx="338">
                  <c:v>-0.20119965665334139</c:v>
                </c:pt>
                <c:pt idx="339">
                  <c:v>-0.20119965665334139</c:v>
                </c:pt>
                <c:pt idx="340">
                  <c:v>-0.20119965665334139</c:v>
                </c:pt>
                <c:pt idx="341">
                  <c:v>-0.20119965665334139</c:v>
                </c:pt>
                <c:pt idx="342">
                  <c:v>-0.20119965665334139</c:v>
                </c:pt>
                <c:pt idx="343">
                  <c:v>-0.20119965665334139</c:v>
                </c:pt>
                <c:pt idx="344">
                  <c:v>-0.20119965665334139</c:v>
                </c:pt>
                <c:pt idx="345">
                  <c:v>-0.20119965665334139</c:v>
                </c:pt>
                <c:pt idx="346">
                  <c:v>-0.20119965665334139</c:v>
                </c:pt>
                <c:pt idx="347">
                  <c:v>-0.20119965665334139</c:v>
                </c:pt>
                <c:pt idx="348">
                  <c:v>-0.30570416115784371</c:v>
                </c:pt>
                <c:pt idx="349">
                  <c:v>-0.30570416115784371</c:v>
                </c:pt>
                <c:pt idx="350">
                  <c:v>-0.30570416115784371</c:v>
                </c:pt>
                <c:pt idx="351">
                  <c:v>-0.30570416115784371</c:v>
                </c:pt>
                <c:pt idx="352">
                  <c:v>-0.30570416115784371</c:v>
                </c:pt>
                <c:pt idx="353">
                  <c:v>-0.30570416115784371</c:v>
                </c:pt>
                <c:pt idx="354">
                  <c:v>-0.30570416115784371</c:v>
                </c:pt>
                <c:pt idx="355">
                  <c:v>-0.30570416115784371</c:v>
                </c:pt>
                <c:pt idx="356">
                  <c:v>-0.30570416115784371</c:v>
                </c:pt>
                <c:pt idx="357">
                  <c:v>3.4158439394052458</c:v>
                </c:pt>
                <c:pt idx="358">
                  <c:v>3.4158439394052458</c:v>
                </c:pt>
                <c:pt idx="359">
                  <c:v>3.4158439394052458</c:v>
                </c:pt>
                <c:pt idx="360">
                  <c:v>3.4158439394052458</c:v>
                </c:pt>
                <c:pt idx="361">
                  <c:v>3.4158439394052458</c:v>
                </c:pt>
                <c:pt idx="362">
                  <c:v>3.4158439394052458</c:v>
                </c:pt>
                <c:pt idx="363">
                  <c:v>3.4158439394052458</c:v>
                </c:pt>
                <c:pt idx="364">
                  <c:v>3.4158439394052458</c:v>
                </c:pt>
                <c:pt idx="365">
                  <c:v>2.7790776049644901</c:v>
                </c:pt>
                <c:pt idx="366">
                  <c:v>-2.9953877223200163</c:v>
                </c:pt>
                <c:pt idx="367">
                  <c:v>-3.9836018577043975</c:v>
                </c:pt>
                <c:pt idx="368">
                  <c:v>-3.9836018577043975</c:v>
                </c:pt>
                <c:pt idx="369">
                  <c:v>-3.9836018577043975</c:v>
                </c:pt>
                <c:pt idx="370">
                  <c:v>-3.9836018577043975</c:v>
                </c:pt>
                <c:pt idx="371">
                  <c:v>-3.9836018577043975</c:v>
                </c:pt>
                <c:pt idx="372">
                  <c:v>-3.9836018577043975</c:v>
                </c:pt>
                <c:pt idx="373">
                  <c:v>-3.9836018577043975</c:v>
                </c:pt>
                <c:pt idx="374">
                  <c:v>-3.9836018577043975</c:v>
                </c:pt>
                <c:pt idx="375">
                  <c:v>-3.9836018577043975</c:v>
                </c:pt>
                <c:pt idx="376">
                  <c:v>-3.9836018577043975</c:v>
                </c:pt>
                <c:pt idx="377">
                  <c:v>-3.9836018577043975</c:v>
                </c:pt>
                <c:pt idx="378">
                  <c:v>-3.9836018577043975</c:v>
                </c:pt>
                <c:pt idx="379">
                  <c:v>-3.9836018577043975</c:v>
                </c:pt>
                <c:pt idx="380">
                  <c:v>-3.9836018577043975</c:v>
                </c:pt>
                <c:pt idx="381">
                  <c:v>-3.9836018577043975</c:v>
                </c:pt>
                <c:pt idx="382">
                  <c:v>-2.4332142608051761</c:v>
                </c:pt>
                <c:pt idx="383">
                  <c:v>-2.4332142608051761</c:v>
                </c:pt>
                <c:pt idx="384">
                  <c:v>-2.4332142608051761</c:v>
                </c:pt>
                <c:pt idx="385">
                  <c:v>-2.4332142608051761</c:v>
                </c:pt>
                <c:pt idx="386">
                  <c:v>-2.4332142608051761</c:v>
                </c:pt>
                <c:pt idx="387">
                  <c:v>-2.4332142608051761</c:v>
                </c:pt>
                <c:pt idx="388">
                  <c:v>-2.4332142608051761</c:v>
                </c:pt>
                <c:pt idx="389">
                  <c:v>-2.4332142608051761</c:v>
                </c:pt>
                <c:pt idx="390">
                  <c:v>-2.4332142608051761</c:v>
                </c:pt>
                <c:pt idx="391">
                  <c:v>-2.4332142608051761</c:v>
                </c:pt>
                <c:pt idx="392">
                  <c:v>-2.4332142608051761</c:v>
                </c:pt>
                <c:pt idx="393">
                  <c:v>-2.4332142608051761</c:v>
                </c:pt>
                <c:pt idx="394">
                  <c:v>-2.4332142608051761</c:v>
                </c:pt>
                <c:pt idx="395">
                  <c:v>-2.4332142608051761</c:v>
                </c:pt>
                <c:pt idx="396">
                  <c:v>-2.4332142608051761</c:v>
                </c:pt>
                <c:pt idx="397">
                  <c:v>-2.4332142608051761</c:v>
                </c:pt>
                <c:pt idx="398">
                  <c:v>-2.4332142608051761</c:v>
                </c:pt>
                <c:pt idx="399">
                  <c:v>-2.4332142608051761</c:v>
                </c:pt>
                <c:pt idx="400">
                  <c:v>-2.6367641712432155</c:v>
                </c:pt>
                <c:pt idx="401">
                  <c:v>-2.6367641712432155</c:v>
                </c:pt>
                <c:pt idx="402">
                  <c:v>-2.6367641712432155</c:v>
                </c:pt>
                <c:pt idx="403">
                  <c:v>-2.6367641712432155</c:v>
                </c:pt>
                <c:pt idx="404">
                  <c:v>-2.6367641712432155</c:v>
                </c:pt>
                <c:pt idx="405">
                  <c:v>-2.6367641712432155</c:v>
                </c:pt>
                <c:pt idx="406">
                  <c:v>-2.6367641712432155</c:v>
                </c:pt>
                <c:pt idx="407">
                  <c:v>-2.6367641712432155</c:v>
                </c:pt>
                <c:pt idx="408">
                  <c:v>-2.6367641712432155</c:v>
                </c:pt>
                <c:pt idx="409">
                  <c:v>-2.6367641712432155</c:v>
                </c:pt>
                <c:pt idx="410">
                  <c:v>-2.6367641712432155</c:v>
                </c:pt>
                <c:pt idx="411">
                  <c:v>-2.6367641712432155</c:v>
                </c:pt>
                <c:pt idx="412">
                  <c:v>-2.6367641712432155</c:v>
                </c:pt>
                <c:pt idx="413">
                  <c:v>-2.6367641712432155</c:v>
                </c:pt>
                <c:pt idx="414">
                  <c:v>-2.6367641712432155</c:v>
                </c:pt>
                <c:pt idx="415">
                  <c:v>-2.6367641712432155</c:v>
                </c:pt>
                <c:pt idx="416">
                  <c:v>-2.6367641712432155</c:v>
                </c:pt>
                <c:pt idx="417">
                  <c:v>-2.6367641712432155</c:v>
                </c:pt>
                <c:pt idx="418">
                  <c:v>-2.6367641712432155</c:v>
                </c:pt>
              </c:numCache>
            </c:numRef>
          </c:val>
          <c:smooth val="1"/>
          <c:extLst>
            <c:ext xmlns:c16="http://schemas.microsoft.com/office/drawing/2014/chart" uri="{C3380CC4-5D6E-409C-BE32-E72D297353CC}">
              <c16:uniqueId val="{00000001-5D40-40BD-9241-5753290D1030}"/>
            </c:ext>
          </c:extLst>
        </c:ser>
        <c:ser>
          <c:idx val="2"/>
          <c:order val="3"/>
          <c:tx>
            <c:v>SW</c:v>
          </c:tx>
          <c:spPr>
            <a:ln w="28575" cap="rnd">
              <a:solidFill>
                <a:srgbClr val="0070C0"/>
              </a:solidFill>
              <a:prstDash val="solid"/>
              <a:round/>
            </a:ln>
            <a:effectLst/>
          </c:spPr>
          <c:marker>
            <c:symbol val="none"/>
          </c:marker>
          <c:val>
            <c:numRef>
              <c:f>'2025-Q2'!$DB$4:$DB$422</c:f>
              <c:numCache>
                <c:formatCode>0.00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1.1829222170861893</c:v>
                </c:pt>
                <c:pt idx="60">
                  <c:v>1.1829222170861893</c:v>
                </c:pt>
                <c:pt idx="61">
                  <c:v>1.1829222170861893</c:v>
                </c:pt>
                <c:pt idx="62">
                  <c:v>1.1829222170861893</c:v>
                </c:pt>
                <c:pt idx="63">
                  <c:v>1.1829222170861893</c:v>
                </c:pt>
                <c:pt idx="64">
                  <c:v>1.1829222170861893</c:v>
                </c:pt>
                <c:pt idx="65">
                  <c:v>1.1829222170861893</c:v>
                </c:pt>
                <c:pt idx="66">
                  <c:v>1.1829222170861893</c:v>
                </c:pt>
                <c:pt idx="67">
                  <c:v>1.1829222170861893</c:v>
                </c:pt>
                <c:pt idx="68">
                  <c:v>1.1829222170861893</c:v>
                </c:pt>
                <c:pt idx="69">
                  <c:v>1.1829222170861893</c:v>
                </c:pt>
                <c:pt idx="70">
                  <c:v>1.1829222170861893</c:v>
                </c:pt>
                <c:pt idx="71">
                  <c:v>1.1829222170861893</c:v>
                </c:pt>
                <c:pt idx="72">
                  <c:v>1.1829222170861893</c:v>
                </c:pt>
                <c:pt idx="73">
                  <c:v>1.1829222170861893</c:v>
                </c:pt>
                <c:pt idx="74">
                  <c:v>1.1829222170861893</c:v>
                </c:pt>
                <c:pt idx="75">
                  <c:v>1.1829222170861893</c:v>
                </c:pt>
                <c:pt idx="76">
                  <c:v>1.1829222170861893</c:v>
                </c:pt>
                <c:pt idx="77">
                  <c:v>1.1829222170861893</c:v>
                </c:pt>
                <c:pt idx="78">
                  <c:v>1.1829222170861893</c:v>
                </c:pt>
                <c:pt idx="79">
                  <c:v>1.1829222170861893</c:v>
                </c:pt>
                <c:pt idx="80">
                  <c:v>1.3333187169494678</c:v>
                </c:pt>
                <c:pt idx="81">
                  <c:v>1.3333187169494678</c:v>
                </c:pt>
                <c:pt idx="82">
                  <c:v>1.3333187169494678</c:v>
                </c:pt>
                <c:pt idx="83">
                  <c:v>1.3333187169494678</c:v>
                </c:pt>
                <c:pt idx="84">
                  <c:v>1.3333187169494678</c:v>
                </c:pt>
                <c:pt idx="85">
                  <c:v>1.3333187169494678</c:v>
                </c:pt>
                <c:pt idx="86">
                  <c:v>1.3333187169494678</c:v>
                </c:pt>
                <c:pt idx="87">
                  <c:v>1.3333187169494678</c:v>
                </c:pt>
                <c:pt idx="88">
                  <c:v>1.3333187169494678</c:v>
                </c:pt>
                <c:pt idx="89">
                  <c:v>1.3333187169494678</c:v>
                </c:pt>
                <c:pt idx="90">
                  <c:v>1.3333187169494678</c:v>
                </c:pt>
                <c:pt idx="91">
                  <c:v>1.3333187169494678</c:v>
                </c:pt>
                <c:pt idx="92">
                  <c:v>1.3333187169494678</c:v>
                </c:pt>
                <c:pt idx="93">
                  <c:v>0.47549974633223147</c:v>
                </c:pt>
                <c:pt idx="94">
                  <c:v>0.47549974633223147</c:v>
                </c:pt>
                <c:pt idx="95">
                  <c:v>0.47549974633223147</c:v>
                </c:pt>
                <c:pt idx="96">
                  <c:v>0.47549974633223147</c:v>
                </c:pt>
                <c:pt idx="97">
                  <c:v>0.47549974633223147</c:v>
                </c:pt>
                <c:pt idx="98">
                  <c:v>0.47549974633223147</c:v>
                </c:pt>
                <c:pt idx="99">
                  <c:v>-0.16932974967219971</c:v>
                </c:pt>
                <c:pt idx="100">
                  <c:v>-0.16932974967219971</c:v>
                </c:pt>
                <c:pt idx="101">
                  <c:v>-0.16932974967219971</c:v>
                </c:pt>
                <c:pt idx="102">
                  <c:v>-0.16932974967219971</c:v>
                </c:pt>
                <c:pt idx="103">
                  <c:v>-0.16932974967219971</c:v>
                </c:pt>
                <c:pt idx="104">
                  <c:v>-0.16932974967219971</c:v>
                </c:pt>
                <c:pt idx="105">
                  <c:v>-0.16932974967219971</c:v>
                </c:pt>
                <c:pt idx="106">
                  <c:v>-0.16932974967219971</c:v>
                </c:pt>
                <c:pt idx="107">
                  <c:v>-0.16932974967219971</c:v>
                </c:pt>
                <c:pt idx="108">
                  <c:v>-0.16932974967219971</c:v>
                </c:pt>
                <c:pt idx="109">
                  <c:v>-0.16932974967219971</c:v>
                </c:pt>
                <c:pt idx="110">
                  <c:v>-0.16932974967219971</c:v>
                </c:pt>
                <c:pt idx="111">
                  <c:v>-0.16932974967219971</c:v>
                </c:pt>
                <c:pt idx="112">
                  <c:v>-0.16932974967219971</c:v>
                </c:pt>
                <c:pt idx="113">
                  <c:v>-0.16932974967219971</c:v>
                </c:pt>
                <c:pt idx="114">
                  <c:v>-0.16932974967219971</c:v>
                </c:pt>
                <c:pt idx="115">
                  <c:v>-0.16932974967219971</c:v>
                </c:pt>
                <c:pt idx="116">
                  <c:v>-0.16932974967219971</c:v>
                </c:pt>
                <c:pt idx="117">
                  <c:v>-0.16932974967219971</c:v>
                </c:pt>
                <c:pt idx="118">
                  <c:v>-0.16932974967219971</c:v>
                </c:pt>
                <c:pt idx="119">
                  <c:v>-0.16932974967219971</c:v>
                </c:pt>
                <c:pt idx="120">
                  <c:v>-0.16932974967219971</c:v>
                </c:pt>
                <c:pt idx="121">
                  <c:v>-0.16932974967219971</c:v>
                </c:pt>
                <c:pt idx="122">
                  <c:v>-0.16932974967219971</c:v>
                </c:pt>
                <c:pt idx="123">
                  <c:v>-0.16932974967219971</c:v>
                </c:pt>
                <c:pt idx="124">
                  <c:v>-0.16932974967219971</c:v>
                </c:pt>
                <c:pt idx="125">
                  <c:v>-0.16932974967219971</c:v>
                </c:pt>
                <c:pt idx="126">
                  <c:v>0.24673978016923154</c:v>
                </c:pt>
                <c:pt idx="127">
                  <c:v>0.24673978016923154</c:v>
                </c:pt>
                <c:pt idx="128">
                  <c:v>0.47237154912230012</c:v>
                </c:pt>
                <c:pt idx="129">
                  <c:v>0.47237154912230012</c:v>
                </c:pt>
                <c:pt idx="130">
                  <c:v>0.47237154912230012</c:v>
                </c:pt>
                <c:pt idx="131">
                  <c:v>0.47237154912230012</c:v>
                </c:pt>
                <c:pt idx="132">
                  <c:v>3.1364376348577139E-3</c:v>
                </c:pt>
                <c:pt idx="133">
                  <c:v>3.1364376348577139E-3</c:v>
                </c:pt>
                <c:pt idx="134">
                  <c:v>3.1364376348577139E-3</c:v>
                </c:pt>
                <c:pt idx="135">
                  <c:v>3.1364376348577139E-3</c:v>
                </c:pt>
                <c:pt idx="136">
                  <c:v>3.1364376348577139E-3</c:v>
                </c:pt>
                <c:pt idx="137">
                  <c:v>3.1364376348577139E-3</c:v>
                </c:pt>
                <c:pt idx="138">
                  <c:v>3.1364376348577139E-3</c:v>
                </c:pt>
                <c:pt idx="139">
                  <c:v>3.1364376348577139E-3</c:v>
                </c:pt>
                <c:pt idx="140">
                  <c:v>3.1364376348577139E-3</c:v>
                </c:pt>
                <c:pt idx="141">
                  <c:v>3.1364376348577139E-3</c:v>
                </c:pt>
                <c:pt idx="142">
                  <c:v>3.1364376348577139E-3</c:v>
                </c:pt>
                <c:pt idx="143">
                  <c:v>3.1364376348577139E-3</c:v>
                </c:pt>
                <c:pt idx="144">
                  <c:v>3.1364376348577139E-3</c:v>
                </c:pt>
                <c:pt idx="145">
                  <c:v>3.1364376348577139E-3</c:v>
                </c:pt>
                <c:pt idx="146">
                  <c:v>3.1364376348577139E-3</c:v>
                </c:pt>
                <c:pt idx="147">
                  <c:v>3.1364376348577139E-3</c:v>
                </c:pt>
                <c:pt idx="148">
                  <c:v>3.1364376348577139E-3</c:v>
                </c:pt>
                <c:pt idx="149">
                  <c:v>3.1364376348577139E-3</c:v>
                </c:pt>
                <c:pt idx="150">
                  <c:v>3.1364376348577139E-3</c:v>
                </c:pt>
                <c:pt idx="151">
                  <c:v>3.1364376348577139E-3</c:v>
                </c:pt>
                <c:pt idx="152">
                  <c:v>3.1364376348577139E-3</c:v>
                </c:pt>
                <c:pt idx="153">
                  <c:v>-1.6625481037126164</c:v>
                </c:pt>
                <c:pt idx="154">
                  <c:v>-1.6625481037126164</c:v>
                </c:pt>
                <c:pt idx="155">
                  <c:v>-1.6625481037126164</c:v>
                </c:pt>
                <c:pt idx="156">
                  <c:v>-1.6625481037126164</c:v>
                </c:pt>
                <c:pt idx="157">
                  <c:v>-1.6625481037126164</c:v>
                </c:pt>
                <c:pt idx="158">
                  <c:v>-1.2278690516702204</c:v>
                </c:pt>
                <c:pt idx="159">
                  <c:v>-1.2278690516702204</c:v>
                </c:pt>
                <c:pt idx="160">
                  <c:v>-1.2278690516702204</c:v>
                </c:pt>
                <c:pt idx="161">
                  <c:v>-1.2278690516702204</c:v>
                </c:pt>
                <c:pt idx="162">
                  <c:v>-1.2278690516702204</c:v>
                </c:pt>
                <c:pt idx="163">
                  <c:v>-1.2278690516702204</c:v>
                </c:pt>
                <c:pt idx="164">
                  <c:v>-1.2278690516702204</c:v>
                </c:pt>
                <c:pt idx="165">
                  <c:v>-1.2278690516702204</c:v>
                </c:pt>
                <c:pt idx="166">
                  <c:v>-1.2278690516702204</c:v>
                </c:pt>
                <c:pt idx="167">
                  <c:v>-1.2278690516702204</c:v>
                </c:pt>
                <c:pt idx="168">
                  <c:v>-1.2278690516702204</c:v>
                </c:pt>
                <c:pt idx="169">
                  <c:v>-1.2504388487677423</c:v>
                </c:pt>
                <c:pt idx="170">
                  <c:v>-1.2504388487677423</c:v>
                </c:pt>
                <c:pt idx="171">
                  <c:v>-2.730105678753044</c:v>
                </c:pt>
                <c:pt idx="172">
                  <c:v>-2.730105678753044</c:v>
                </c:pt>
                <c:pt idx="173">
                  <c:v>-2.730105678753044</c:v>
                </c:pt>
                <c:pt idx="174">
                  <c:v>-2.730105678753044</c:v>
                </c:pt>
                <c:pt idx="175">
                  <c:v>-2.730105678753044</c:v>
                </c:pt>
                <c:pt idx="176">
                  <c:v>-2.730105678753044</c:v>
                </c:pt>
                <c:pt idx="177">
                  <c:v>-2.730105678753044</c:v>
                </c:pt>
                <c:pt idx="178">
                  <c:v>-2.730105678753044</c:v>
                </c:pt>
                <c:pt idx="179">
                  <c:v>-2.730105678753044</c:v>
                </c:pt>
                <c:pt idx="180">
                  <c:v>-2.730105678753044</c:v>
                </c:pt>
                <c:pt idx="181">
                  <c:v>-2.730105678753044</c:v>
                </c:pt>
                <c:pt idx="182">
                  <c:v>-2.730105678753044</c:v>
                </c:pt>
                <c:pt idx="183">
                  <c:v>-2.730105678753044</c:v>
                </c:pt>
                <c:pt idx="184">
                  <c:v>-2.730105678753044</c:v>
                </c:pt>
                <c:pt idx="185">
                  <c:v>-2.730105678753044</c:v>
                </c:pt>
                <c:pt idx="186">
                  <c:v>-2.730105678753044</c:v>
                </c:pt>
                <c:pt idx="187">
                  <c:v>-2.2679577914291</c:v>
                </c:pt>
                <c:pt idx="188">
                  <c:v>-2.2679577914291</c:v>
                </c:pt>
                <c:pt idx="189">
                  <c:v>-2.2679577914291</c:v>
                </c:pt>
                <c:pt idx="190">
                  <c:v>-2.2679577914291</c:v>
                </c:pt>
                <c:pt idx="191">
                  <c:v>-2.2679577914291</c:v>
                </c:pt>
                <c:pt idx="192">
                  <c:v>-2.2679577914291</c:v>
                </c:pt>
                <c:pt idx="193">
                  <c:v>-2.2679577914291</c:v>
                </c:pt>
                <c:pt idx="194">
                  <c:v>-2.2679577914291</c:v>
                </c:pt>
                <c:pt idx="195">
                  <c:v>-2.2679577914291</c:v>
                </c:pt>
                <c:pt idx="196">
                  <c:v>-2.2679577914291</c:v>
                </c:pt>
                <c:pt idx="197">
                  <c:v>-2.2679577914291</c:v>
                </c:pt>
                <c:pt idx="198">
                  <c:v>-2.2679577914291</c:v>
                </c:pt>
                <c:pt idx="199">
                  <c:v>-2.2679577914291</c:v>
                </c:pt>
                <c:pt idx="200">
                  <c:v>-2.2679577914291</c:v>
                </c:pt>
                <c:pt idx="201">
                  <c:v>-2.2679577914291</c:v>
                </c:pt>
                <c:pt idx="202">
                  <c:v>-2.2679577914291</c:v>
                </c:pt>
                <c:pt idx="203">
                  <c:v>-2.2679577914291</c:v>
                </c:pt>
                <c:pt idx="204">
                  <c:v>-2.2679577914291</c:v>
                </c:pt>
                <c:pt idx="205">
                  <c:v>-2.2679577914291</c:v>
                </c:pt>
                <c:pt idx="206">
                  <c:v>-2.2679577914291</c:v>
                </c:pt>
                <c:pt idx="207">
                  <c:v>-2.2679577914291</c:v>
                </c:pt>
                <c:pt idx="208">
                  <c:v>-2.2679577914291</c:v>
                </c:pt>
                <c:pt idx="209">
                  <c:v>-2.2679577914291</c:v>
                </c:pt>
                <c:pt idx="210">
                  <c:v>-2.2679577914291</c:v>
                </c:pt>
                <c:pt idx="211">
                  <c:v>-2.2679577914291</c:v>
                </c:pt>
                <c:pt idx="212">
                  <c:v>-2.2679577914291</c:v>
                </c:pt>
                <c:pt idx="213">
                  <c:v>-2.2679577914291</c:v>
                </c:pt>
                <c:pt idx="214">
                  <c:v>-2.2679577914291</c:v>
                </c:pt>
                <c:pt idx="215">
                  <c:v>-2.2679577914291</c:v>
                </c:pt>
                <c:pt idx="216">
                  <c:v>-2.2679577914291</c:v>
                </c:pt>
                <c:pt idx="217">
                  <c:v>-2.2679577914291</c:v>
                </c:pt>
                <c:pt idx="218">
                  <c:v>-2.2679577914291</c:v>
                </c:pt>
                <c:pt idx="219">
                  <c:v>-2.2679577914291</c:v>
                </c:pt>
                <c:pt idx="220">
                  <c:v>-2.2679577914291</c:v>
                </c:pt>
                <c:pt idx="221">
                  <c:v>-2.2679577914291</c:v>
                </c:pt>
                <c:pt idx="222">
                  <c:v>-2.2679577914291</c:v>
                </c:pt>
                <c:pt idx="223">
                  <c:v>-2.2679577914291</c:v>
                </c:pt>
                <c:pt idx="224">
                  <c:v>-2.2679577914291</c:v>
                </c:pt>
                <c:pt idx="225">
                  <c:v>-2.2679577914291</c:v>
                </c:pt>
                <c:pt idx="226">
                  <c:v>-2.2679577914291</c:v>
                </c:pt>
                <c:pt idx="227">
                  <c:v>-2.2679577914291</c:v>
                </c:pt>
                <c:pt idx="228">
                  <c:v>-2.2679577914291</c:v>
                </c:pt>
                <c:pt idx="229">
                  <c:v>-2.2679577914291</c:v>
                </c:pt>
                <c:pt idx="230">
                  <c:v>-2.2679577914291</c:v>
                </c:pt>
                <c:pt idx="231">
                  <c:v>-2.2679577914291</c:v>
                </c:pt>
                <c:pt idx="232">
                  <c:v>-2.2679577914291</c:v>
                </c:pt>
                <c:pt idx="233">
                  <c:v>-2.2679577914291</c:v>
                </c:pt>
                <c:pt idx="234">
                  <c:v>-2.2679577914291</c:v>
                </c:pt>
                <c:pt idx="235">
                  <c:v>-2.2679577914291</c:v>
                </c:pt>
                <c:pt idx="236">
                  <c:v>-2.2679577914291</c:v>
                </c:pt>
                <c:pt idx="237">
                  <c:v>-2.2679577914291</c:v>
                </c:pt>
                <c:pt idx="238">
                  <c:v>-2.2679577914291</c:v>
                </c:pt>
                <c:pt idx="239">
                  <c:v>-2.2679577914291</c:v>
                </c:pt>
                <c:pt idx="240">
                  <c:v>-2.2679577914291</c:v>
                </c:pt>
                <c:pt idx="241">
                  <c:v>-2.2679577914291</c:v>
                </c:pt>
                <c:pt idx="242">
                  <c:v>-2.1597383732727686</c:v>
                </c:pt>
                <c:pt idx="243">
                  <c:v>-2.1597383732727686</c:v>
                </c:pt>
                <c:pt idx="244">
                  <c:v>-2.1597383732727686</c:v>
                </c:pt>
                <c:pt idx="245">
                  <c:v>-2.1597383732727686</c:v>
                </c:pt>
                <c:pt idx="246">
                  <c:v>-2.1597383732727686</c:v>
                </c:pt>
                <c:pt idx="247">
                  <c:v>-2.1597383732727686</c:v>
                </c:pt>
                <c:pt idx="248">
                  <c:v>-2.1597383732727686</c:v>
                </c:pt>
                <c:pt idx="249">
                  <c:v>-2.1597383732727686</c:v>
                </c:pt>
                <c:pt idx="250">
                  <c:v>-2.1597383732727686</c:v>
                </c:pt>
                <c:pt idx="251">
                  <c:v>-2.1597383732727686</c:v>
                </c:pt>
                <c:pt idx="252">
                  <c:v>-2.1597383732727686</c:v>
                </c:pt>
                <c:pt idx="253">
                  <c:v>-2.1597383732727686</c:v>
                </c:pt>
                <c:pt idx="254">
                  <c:v>-2.1597383732727686</c:v>
                </c:pt>
                <c:pt idx="255">
                  <c:v>-2.1597383732727686</c:v>
                </c:pt>
                <c:pt idx="256">
                  <c:v>-2.290842929156085</c:v>
                </c:pt>
                <c:pt idx="257">
                  <c:v>-2.290842929156085</c:v>
                </c:pt>
                <c:pt idx="258">
                  <c:v>-2.290842929156085</c:v>
                </c:pt>
                <c:pt idx="259">
                  <c:v>-2.290842929156085</c:v>
                </c:pt>
                <c:pt idx="260">
                  <c:v>-2.290842929156085</c:v>
                </c:pt>
                <c:pt idx="261">
                  <c:v>-2.290842929156085</c:v>
                </c:pt>
                <c:pt idx="262">
                  <c:v>-2.290842929156085</c:v>
                </c:pt>
                <c:pt idx="263">
                  <c:v>-2.290842929156085</c:v>
                </c:pt>
                <c:pt idx="264">
                  <c:v>-2.290842929156085</c:v>
                </c:pt>
                <c:pt idx="265">
                  <c:v>-2.290842929156085</c:v>
                </c:pt>
                <c:pt idx="266">
                  <c:v>-1.6929809429332021</c:v>
                </c:pt>
                <c:pt idx="267">
                  <c:v>-1.6929809429332021</c:v>
                </c:pt>
                <c:pt idx="268">
                  <c:v>-1.6929809429332021</c:v>
                </c:pt>
                <c:pt idx="269">
                  <c:v>-1.6929809429332021</c:v>
                </c:pt>
                <c:pt idx="270">
                  <c:v>-1.6929809429332021</c:v>
                </c:pt>
                <c:pt idx="271">
                  <c:v>-1.6929809429332021</c:v>
                </c:pt>
                <c:pt idx="272">
                  <c:v>-1.6929809429332021</c:v>
                </c:pt>
                <c:pt idx="273">
                  <c:v>-1.6929809429332021</c:v>
                </c:pt>
                <c:pt idx="274">
                  <c:v>-1.6929809429332021</c:v>
                </c:pt>
                <c:pt idx="275">
                  <c:v>-1.6929809429332021</c:v>
                </c:pt>
                <c:pt idx="276">
                  <c:v>-1.6929809429332021</c:v>
                </c:pt>
                <c:pt idx="277">
                  <c:v>-1.6929809429332021</c:v>
                </c:pt>
                <c:pt idx="278">
                  <c:v>-1.6929809429332021</c:v>
                </c:pt>
                <c:pt idx="279">
                  <c:v>-1.6929809429332021</c:v>
                </c:pt>
                <c:pt idx="280">
                  <c:v>-1.6929809429332021</c:v>
                </c:pt>
                <c:pt idx="281">
                  <c:v>-1.6929809429332021</c:v>
                </c:pt>
                <c:pt idx="282">
                  <c:v>-1.6929809429332021</c:v>
                </c:pt>
                <c:pt idx="283">
                  <c:v>-1.6929809429332021</c:v>
                </c:pt>
                <c:pt idx="284">
                  <c:v>-1.6929809429332021</c:v>
                </c:pt>
                <c:pt idx="285">
                  <c:v>-1.6929809429332021</c:v>
                </c:pt>
                <c:pt idx="286">
                  <c:v>-1.1581788995104692</c:v>
                </c:pt>
                <c:pt idx="287">
                  <c:v>-1.1581788995104692</c:v>
                </c:pt>
                <c:pt idx="288">
                  <c:v>-1.1581788995104692</c:v>
                </c:pt>
                <c:pt idx="289">
                  <c:v>-1.1581788995104692</c:v>
                </c:pt>
                <c:pt idx="290">
                  <c:v>-1.1581788995104692</c:v>
                </c:pt>
                <c:pt idx="291">
                  <c:v>-1.1581788995104692</c:v>
                </c:pt>
                <c:pt idx="292">
                  <c:v>-1.1581788995104692</c:v>
                </c:pt>
                <c:pt idx="293">
                  <c:v>-1.1581788995104692</c:v>
                </c:pt>
                <c:pt idx="294">
                  <c:v>-1.1581788995104692</c:v>
                </c:pt>
                <c:pt idx="295">
                  <c:v>-1.1581788995104692</c:v>
                </c:pt>
                <c:pt idx="296">
                  <c:v>-1.1581788995104692</c:v>
                </c:pt>
                <c:pt idx="297">
                  <c:v>-1.1581788995104692</c:v>
                </c:pt>
                <c:pt idx="298">
                  <c:v>-1.1581788995104692</c:v>
                </c:pt>
                <c:pt idx="299">
                  <c:v>-1.1581788995104692</c:v>
                </c:pt>
                <c:pt idx="300">
                  <c:v>-1.1581788995104692</c:v>
                </c:pt>
                <c:pt idx="301">
                  <c:v>-1.1581788995104692</c:v>
                </c:pt>
                <c:pt idx="302">
                  <c:v>-1.1581788995104692</c:v>
                </c:pt>
                <c:pt idx="303">
                  <c:v>-1.1581788995104692</c:v>
                </c:pt>
                <c:pt idx="304">
                  <c:v>-1.1581788995104692</c:v>
                </c:pt>
                <c:pt idx="305">
                  <c:v>-1.1581788995104692</c:v>
                </c:pt>
                <c:pt idx="306">
                  <c:v>-1.1581788995104692</c:v>
                </c:pt>
                <c:pt idx="307">
                  <c:v>-1.1581788995104692</c:v>
                </c:pt>
                <c:pt idx="308">
                  <c:v>-1.1581788995104692</c:v>
                </c:pt>
                <c:pt idx="309">
                  <c:v>-1.1581788995104692</c:v>
                </c:pt>
                <c:pt idx="310">
                  <c:v>-1.1581788995104692</c:v>
                </c:pt>
                <c:pt idx="311">
                  <c:v>-1.1581788995104692</c:v>
                </c:pt>
                <c:pt idx="312">
                  <c:v>-1.1581788995104692</c:v>
                </c:pt>
                <c:pt idx="313">
                  <c:v>-1.1581788995104692</c:v>
                </c:pt>
                <c:pt idx="314">
                  <c:v>-1.1581788995104692</c:v>
                </c:pt>
                <c:pt idx="315">
                  <c:v>-1.1581788995104692</c:v>
                </c:pt>
                <c:pt idx="316">
                  <c:v>-1.1581788995104692</c:v>
                </c:pt>
                <c:pt idx="317">
                  <c:v>-1.1581788995104692</c:v>
                </c:pt>
                <c:pt idx="318">
                  <c:v>-2.7756316087437582</c:v>
                </c:pt>
                <c:pt idx="319">
                  <c:v>-2.7756316087437582</c:v>
                </c:pt>
                <c:pt idx="320">
                  <c:v>-2.7756316087437582</c:v>
                </c:pt>
                <c:pt idx="321">
                  <c:v>-2.7756316087437582</c:v>
                </c:pt>
                <c:pt idx="322">
                  <c:v>-2.7756316087437582</c:v>
                </c:pt>
                <c:pt idx="323">
                  <c:v>-2.7756316087437582</c:v>
                </c:pt>
                <c:pt idx="324">
                  <c:v>-2.7756316087437582</c:v>
                </c:pt>
                <c:pt idx="325">
                  <c:v>-2.7756316087437582</c:v>
                </c:pt>
                <c:pt idx="326">
                  <c:v>-2.7756316087437582</c:v>
                </c:pt>
                <c:pt idx="327">
                  <c:v>-2.7756316087437582</c:v>
                </c:pt>
                <c:pt idx="328">
                  <c:v>-2.7756316087437582</c:v>
                </c:pt>
                <c:pt idx="329">
                  <c:v>-2.7756316087437582</c:v>
                </c:pt>
                <c:pt idx="330">
                  <c:v>-2.7756316087437582</c:v>
                </c:pt>
                <c:pt idx="331">
                  <c:v>-2.7756316087437582</c:v>
                </c:pt>
                <c:pt idx="332">
                  <c:v>-2.7756316087437582</c:v>
                </c:pt>
                <c:pt idx="333">
                  <c:v>-2.7756316087437582</c:v>
                </c:pt>
                <c:pt idx="334">
                  <c:v>-2.7756316087437582</c:v>
                </c:pt>
                <c:pt idx="335">
                  <c:v>-2.7756316087437582</c:v>
                </c:pt>
                <c:pt idx="336">
                  <c:v>-2.7756316087437582</c:v>
                </c:pt>
                <c:pt idx="337">
                  <c:v>-2.7756316087437582</c:v>
                </c:pt>
                <c:pt idx="338">
                  <c:v>-2.7756316087437582</c:v>
                </c:pt>
                <c:pt idx="339">
                  <c:v>-2.7756316087437582</c:v>
                </c:pt>
                <c:pt idx="340">
                  <c:v>-2.7756316087437582</c:v>
                </c:pt>
                <c:pt idx="341">
                  <c:v>-2.7756316087437582</c:v>
                </c:pt>
                <c:pt idx="342">
                  <c:v>-2.7756316087437582</c:v>
                </c:pt>
                <c:pt idx="343">
                  <c:v>-2.4685516361569055</c:v>
                </c:pt>
                <c:pt idx="344">
                  <c:v>-2.4685516361569055</c:v>
                </c:pt>
                <c:pt idx="345">
                  <c:v>-2.4685516361569055</c:v>
                </c:pt>
                <c:pt idx="346">
                  <c:v>-2.4685516361569055</c:v>
                </c:pt>
                <c:pt idx="347">
                  <c:v>-2.4685516361569055</c:v>
                </c:pt>
                <c:pt idx="348">
                  <c:v>-2.4685516361569055</c:v>
                </c:pt>
                <c:pt idx="349">
                  <c:v>-2.4685516361569055</c:v>
                </c:pt>
                <c:pt idx="350">
                  <c:v>-2.4685516361569055</c:v>
                </c:pt>
                <c:pt idx="351">
                  <c:v>-2.4685516361569055</c:v>
                </c:pt>
                <c:pt idx="352">
                  <c:v>-2.4685516361569055</c:v>
                </c:pt>
                <c:pt idx="353">
                  <c:v>-2.4685516361569055</c:v>
                </c:pt>
                <c:pt idx="354">
                  <c:v>-2.4685516361569055</c:v>
                </c:pt>
                <c:pt idx="355">
                  <c:v>-3.6020278946927151</c:v>
                </c:pt>
                <c:pt idx="356">
                  <c:v>-3.6020278946927151</c:v>
                </c:pt>
                <c:pt idx="357">
                  <c:v>-3.6020278946927151</c:v>
                </c:pt>
                <c:pt idx="358">
                  <c:v>-3.6020278946927151</c:v>
                </c:pt>
                <c:pt idx="359">
                  <c:v>-3.6020278946927151</c:v>
                </c:pt>
                <c:pt idx="360">
                  <c:v>-3.6020278946927151</c:v>
                </c:pt>
                <c:pt idx="361">
                  <c:v>-3.6020278946927151</c:v>
                </c:pt>
                <c:pt idx="362">
                  <c:v>-3.6020278946927151</c:v>
                </c:pt>
                <c:pt idx="363">
                  <c:v>-3.6020278946927151</c:v>
                </c:pt>
                <c:pt idx="364">
                  <c:v>-3.6020278946927151</c:v>
                </c:pt>
                <c:pt idx="365">
                  <c:v>-3.6020278946927151</c:v>
                </c:pt>
                <c:pt idx="366">
                  <c:v>-3.6020278946927151</c:v>
                </c:pt>
                <c:pt idx="367">
                  <c:v>-3.6020278946927151</c:v>
                </c:pt>
                <c:pt idx="368">
                  <c:v>-3.6020278946927151</c:v>
                </c:pt>
                <c:pt idx="369">
                  <c:v>-3.6020278946927151</c:v>
                </c:pt>
                <c:pt idx="370">
                  <c:v>-3.6020278946927151</c:v>
                </c:pt>
                <c:pt idx="371">
                  <c:v>-3.6020278946927151</c:v>
                </c:pt>
                <c:pt idx="372">
                  <c:v>-3.6020278946927151</c:v>
                </c:pt>
                <c:pt idx="373">
                  <c:v>-3.6020278946927151</c:v>
                </c:pt>
                <c:pt idx="374">
                  <c:v>-3.6020278946927151</c:v>
                </c:pt>
                <c:pt idx="375">
                  <c:v>-3.6020278946927151</c:v>
                </c:pt>
                <c:pt idx="376">
                  <c:v>-3.6020278946927151</c:v>
                </c:pt>
                <c:pt idx="377">
                  <c:v>-3.6020278946927151</c:v>
                </c:pt>
                <c:pt idx="378">
                  <c:v>-3.6020278946927151</c:v>
                </c:pt>
                <c:pt idx="379">
                  <c:v>-3.6020278946927151</c:v>
                </c:pt>
                <c:pt idx="380">
                  <c:v>-4.336088297377275</c:v>
                </c:pt>
                <c:pt idx="381">
                  <c:v>-3.1478574410966269</c:v>
                </c:pt>
                <c:pt idx="382">
                  <c:v>-3.1478574410966269</c:v>
                </c:pt>
                <c:pt idx="383">
                  <c:v>-3.1478574410966269</c:v>
                </c:pt>
                <c:pt idx="384">
                  <c:v>-3.1478574410966269</c:v>
                </c:pt>
                <c:pt idx="385">
                  <c:v>-3.1478574410966269</c:v>
                </c:pt>
                <c:pt idx="386">
                  <c:v>-3.1478574410966269</c:v>
                </c:pt>
                <c:pt idx="387">
                  <c:v>-3.1478574410966269</c:v>
                </c:pt>
                <c:pt idx="388">
                  <c:v>-3.1478574410966269</c:v>
                </c:pt>
                <c:pt idx="389">
                  <c:v>-3.1478574410966269</c:v>
                </c:pt>
                <c:pt idx="390">
                  <c:v>-1.3155870379734311</c:v>
                </c:pt>
                <c:pt idx="391">
                  <c:v>-1.3155870379734311</c:v>
                </c:pt>
                <c:pt idx="392">
                  <c:v>-1.3155870379734311</c:v>
                </c:pt>
                <c:pt idx="393">
                  <c:v>-1.3155870379734311</c:v>
                </c:pt>
                <c:pt idx="394">
                  <c:v>-1.3155870379734311</c:v>
                </c:pt>
                <c:pt idx="395">
                  <c:v>-1.3155870379734311</c:v>
                </c:pt>
                <c:pt idx="396">
                  <c:v>-1.3155870379734311</c:v>
                </c:pt>
                <c:pt idx="397">
                  <c:v>-1.3155870379734311</c:v>
                </c:pt>
                <c:pt idx="398">
                  <c:v>-1.3155870379734311</c:v>
                </c:pt>
                <c:pt idx="399">
                  <c:v>-1.3155870379734311</c:v>
                </c:pt>
                <c:pt idx="400">
                  <c:v>-1.3155870379734311</c:v>
                </c:pt>
                <c:pt idx="401">
                  <c:v>-1.3155870379734311</c:v>
                </c:pt>
                <c:pt idx="402">
                  <c:v>-1.3155870379734311</c:v>
                </c:pt>
                <c:pt idx="403">
                  <c:v>-1.3155870379734311</c:v>
                </c:pt>
                <c:pt idx="404">
                  <c:v>-1.3155870379734311</c:v>
                </c:pt>
                <c:pt idx="405">
                  <c:v>-1.3155870379734311</c:v>
                </c:pt>
                <c:pt idx="406">
                  <c:v>-1.3155870379734311</c:v>
                </c:pt>
                <c:pt idx="407">
                  <c:v>-1.3155870379734311</c:v>
                </c:pt>
                <c:pt idx="408">
                  <c:v>-1.3155870379734311</c:v>
                </c:pt>
                <c:pt idx="409">
                  <c:v>-1.3155870379734311</c:v>
                </c:pt>
                <c:pt idx="410">
                  <c:v>-1.3155870379734311</c:v>
                </c:pt>
                <c:pt idx="411">
                  <c:v>-1.3155870379734311</c:v>
                </c:pt>
                <c:pt idx="412">
                  <c:v>-1.3155870379734311</c:v>
                </c:pt>
                <c:pt idx="413">
                  <c:v>-1.3155870379734311</c:v>
                </c:pt>
                <c:pt idx="414">
                  <c:v>-0.60149940624852594</c:v>
                </c:pt>
                <c:pt idx="415">
                  <c:v>-0.60149940624852594</c:v>
                </c:pt>
                <c:pt idx="416">
                  <c:v>-0.60149940624852594</c:v>
                </c:pt>
                <c:pt idx="417">
                  <c:v>-0.60149940624852594</c:v>
                </c:pt>
                <c:pt idx="418">
                  <c:v>1.3305973851383228</c:v>
                </c:pt>
              </c:numCache>
            </c:numRef>
          </c:val>
          <c:smooth val="1"/>
          <c:extLst>
            <c:ext xmlns:c16="http://schemas.microsoft.com/office/drawing/2014/chart" uri="{C3380CC4-5D6E-409C-BE32-E72D297353CC}">
              <c16:uniqueId val="{00000002-5D40-40BD-9241-5753290D1030}"/>
            </c:ext>
          </c:extLst>
        </c:ser>
        <c:ser>
          <c:idx val="3"/>
          <c:order val="5"/>
          <c:tx>
            <c:v>All Three</c:v>
          </c:tx>
          <c:spPr>
            <a:ln w="38100" cap="rnd">
              <a:solidFill>
                <a:sysClr val="windowText" lastClr="000000"/>
              </a:solidFill>
              <a:round/>
            </a:ln>
            <a:effectLst/>
          </c:spPr>
          <c:marker>
            <c:symbol val="none"/>
          </c:marker>
          <c:val>
            <c:numRef>
              <c:f>'2025-Q2'!$DC$4:$DC$422</c:f>
              <c:numCache>
                <c:formatCode>0.00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-0.63271328921481373</c:v>
                </c:pt>
                <c:pt idx="42">
                  <c:v>-0.63271328921481373</c:v>
                </c:pt>
                <c:pt idx="43">
                  <c:v>-0.63271328921481373</c:v>
                </c:pt>
                <c:pt idx="44">
                  <c:v>-0.63271328921481373</c:v>
                </c:pt>
                <c:pt idx="45">
                  <c:v>-0.63271328921481373</c:v>
                </c:pt>
                <c:pt idx="46">
                  <c:v>-0.63271328921481373</c:v>
                </c:pt>
                <c:pt idx="47">
                  <c:v>-0.63271328921481373</c:v>
                </c:pt>
                <c:pt idx="48">
                  <c:v>-0.63271328921481373</c:v>
                </c:pt>
                <c:pt idx="49">
                  <c:v>-0.63271328921481373</c:v>
                </c:pt>
                <c:pt idx="50">
                  <c:v>-0.63271328921481373</c:v>
                </c:pt>
                <c:pt idx="51">
                  <c:v>-0.63271328921481373</c:v>
                </c:pt>
                <c:pt idx="52">
                  <c:v>-0.63271328921481373</c:v>
                </c:pt>
                <c:pt idx="53">
                  <c:v>-0.63271328921481373</c:v>
                </c:pt>
                <c:pt idx="54">
                  <c:v>-0.63271328921481373</c:v>
                </c:pt>
                <c:pt idx="55">
                  <c:v>-0.63271328921481373</c:v>
                </c:pt>
                <c:pt idx="56">
                  <c:v>-0.63271328921481373</c:v>
                </c:pt>
                <c:pt idx="57">
                  <c:v>-0.63271328921481373</c:v>
                </c:pt>
                <c:pt idx="58">
                  <c:v>-0.63271328921481373</c:v>
                </c:pt>
                <c:pt idx="59">
                  <c:v>0.55020892787137554</c:v>
                </c:pt>
                <c:pt idx="60">
                  <c:v>0.55020892787137554</c:v>
                </c:pt>
                <c:pt idx="61">
                  <c:v>0.55020892787137554</c:v>
                </c:pt>
                <c:pt idx="62">
                  <c:v>0.55020892787137554</c:v>
                </c:pt>
                <c:pt idx="63">
                  <c:v>0.55020892787137554</c:v>
                </c:pt>
                <c:pt idx="64">
                  <c:v>0.55020892787137554</c:v>
                </c:pt>
                <c:pt idx="65">
                  <c:v>0.55020892787137554</c:v>
                </c:pt>
                <c:pt idx="66">
                  <c:v>0.55020892787137554</c:v>
                </c:pt>
                <c:pt idx="67">
                  <c:v>0.55020892787137554</c:v>
                </c:pt>
                <c:pt idx="68">
                  <c:v>0.55020892787137554</c:v>
                </c:pt>
                <c:pt idx="69">
                  <c:v>0.55020892787137554</c:v>
                </c:pt>
                <c:pt idx="70">
                  <c:v>0.55020892787137554</c:v>
                </c:pt>
                <c:pt idx="71">
                  <c:v>0.55020892787137554</c:v>
                </c:pt>
                <c:pt idx="72">
                  <c:v>0.55020892787137554</c:v>
                </c:pt>
                <c:pt idx="73">
                  <c:v>0.55020892787137554</c:v>
                </c:pt>
                <c:pt idx="74">
                  <c:v>0.55020892787137554</c:v>
                </c:pt>
                <c:pt idx="75">
                  <c:v>0.55020892787137554</c:v>
                </c:pt>
                <c:pt idx="76">
                  <c:v>0.55020892787137554</c:v>
                </c:pt>
                <c:pt idx="77">
                  <c:v>0.55020892787137554</c:v>
                </c:pt>
                <c:pt idx="78">
                  <c:v>0.55020892787137554</c:v>
                </c:pt>
                <c:pt idx="79">
                  <c:v>0.50657891041936853</c:v>
                </c:pt>
                <c:pt idx="80">
                  <c:v>0.65697541028264705</c:v>
                </c:pt>
                <c:pt idx="81">
                  <c:v>0.65697541028264705</c:v>
                </c:pt>
                <c:pt idx="82">
                  <c:v>0.65697541028264705</c:v>
                </c:pt>
                <c:pt idx="83">
                  <c:v>0.65697541028264705</c:v>
                </c:pt>
                <c:pt idx="84">
                  <c:v>0.65697541028264705</c:v>
                </c:pt>
                <c:pt idx="85">
                  <c:v>0.65697541028264705</c:v>
                </c:pt>
                <c:pt idx="86">
                  <c:v>0.65697541028264705</c:v>
                </c:pt>
                <c:pt idx="87">
                  <c:v>0.65697541028264705</c:v>
                </c:pt>
                <c:pt idx="88">
                  <c:v>0.65697541028264705</c:v>
                </c:pt>
                <c:pt idx="89">
                  <c:v>0.65697541028264705</c:v>
                </c:pt>
                <c:pt idx="90">
                  <c:v>0.65697541028264705</c:v>
                </c:pt>
                <c:pt idx="91">
                  <c:v>0.65697541028264705</c:v>
                </c:pt>
                <c:pt idx="92">
                  <c:v>0.65697541028264705</c:v>
                </c:pt>
                <c:pt idx="93">
                  <c:v>-0.20084356033458922</c:v>
                </c:pt>
                <c:pt idx="94">
                  <c:v>-0.20084356033458922</c:v>
                </c:pt>
                <c:pt idx="95">
                  <c:v>-0.20084356033458922</c:v>
                </c:pt>
                <c:pt idx="96">
                  <c:v>-0.20084356033458922</c:v>
                </c:pt>
                <c:pt idx="97">
                  <c:v>-0.20084356033458922</c:v>
                </c:pt>
                <c:pt idx="98">
                  <c:v>-0.20084356033458922</c:v>
                </c:pt>
                <c:pt idx="99">
                  <c:v>-0.84567305633902046</c:v>
                </c:pt>
                <c:pt idx="100">
                  <c:v>-2.0982826596793132</c:v>
                </c:pt>
                <c:pt idx="101">
                  <c:v>-2.0982826596793132</c:v>
                </c:pt>
                <c:pt idx="102">
                  <c:v>-2.0982826596793132</c:v>
                </c:pt>
                <c:pt idx="103">
                  <c:v>-2.0982826596793132</c:v>
                </c:pt>
                <c:pt idx="104">
                  <c:v>-2.0982826596793132</c:v>
                </c:pt>
                <c:pt idx="105">
                  <c:v>-2.0982826596793132</c:v>
                </c:pt>
                <c:pt idx="106">
                  <c:v>-2.0982826596793132</c:v>
                </c:pt>
                <c:pt idx="107">
                  <c:v>-2.0982826596793132</c:v>
                </c:pt>
                <c:pt idx="108">
                  <c:v>-2.0982826596793132</c:v>
                </c:pt>
                <c:pt idx="109">
                  <c:v>-2.0982826596793132</c:v>
                </c:pt>
                <c:pt idx="110">
                  <c:v>-2.0982826596793132</c:v>
                </c:pt>
                <c:pt idx="111">
                  <c:v>-2.0982826596793132</c:v>
                </c:pt>
                <c:pt idx="112">
                  <c:v>-2.0982826596793132</c:v>
                </c:pt>
                <c:pt idx="113">
                  <c:v>-2.0982826596793132</c:v>
                </c:pt>
                <c:pt idx="114">
                  <c:v>-2.0982826596793132</c:v>
                </c:pt>
                <c:pt idx="115">
                  <c:v>-2.0982826596793132</c:v>
                </c:pt>
                <c:pt idx="116">
                  <c:v>-2.0982826596793132</c:v>
                </c:pt>
                <c:pt idx="117">
                  <c:v>-2.0982826596793132</c:v>
                </c:pt>
                <c:pt idx="118">
                  <c:v>-2.0982826596793132</c:v>
                </c:pt>
                <c:pt idx="119">
                  <c:v>-2.0982826596793132</c:v>
                </c:pt>
                <c:pt idx="120">
                  <c:v>-2.0982826596793132</c:v>
                </c:pt>
                <c:pt idx="121">
                  <c:v>-2.0982826596793132</c:v>
                </c:pt>
                <c:pt idx="122">
                  <c:v>-2.0982826596793132</c:v>
                </c:pt>
                <c:pt idx="123">
                  <c:v>-2.0982826596793132</c:v>
                </c:pt>
                <c:pt idx="124">
                  <c:v>-2.0982826596793132</c:v>
                </c:pt>
                <c:pt idx="125">
                  <c:v>-2.0982826596793132</c:v>
                </c:pt>
                <c:pt idx="126">
                  <c:v>-1.6822131298378817</c:v>
                </c:pt>
                <c:pt idx="127">
                  <c:v>-1.6822131298378817</c:v>
                </c:pt>
                <c:pt idx="128">
                  <c:v>-1.4565813608848133</c:v>
                </c:pt>
                <c:pt idx="129">
                  <c:v>-1.4565813608848133</c:v>
                </c:pt>
                <c:pt idx="130">
                  <c:v>-1.4565813608848133</c:v>
                </c:pt>
                <c:pt idx="131">
                  <c:v>-1.4565813608848133</c:v>
                </c:pt>
                <c:pt idx="132">
                  <c:v>-1.9258164723722557</c:v>
                </c:pt>
                <c:pt idx="133">
                  <c:v>-1.9258164723722557</c:v>
                </c:pt>
                <c:pt idx="134">
                  <c:v>-1.9258164723722557</c:v>
                </c:pt>
                <c:pt idx="135">
                  <c:v>-1.9258164723722557</c:v>
                </c:pt>
                <c:pt idx="136">
                  <c:v>-1.9258164723722557</c:v>
                </c:pt>
                <c:pt idx="137">
                  <c:v>-1.9258164723722557</c:v>
                </c:pt>
                <c:pt idx="138">
                  <c:v>-1.9258164723722557</c:v>
                </c:pt>
                <c:pt idx="139">
                  <c:v>-1.9258164723722557</c:v>
                </c:pt>
                <c:pt idx="140">
                  <c:v>-1.9258164723722557</c:v>
                </c:pt>
                <c:pt idx="141">
                  <c:v>-1.9258164723722557</c:v>
                </c:pt>
                <c:pt idx="142">
                  <c:v>-1.9258164723722557</c:v>
                </c:pt>
                <c:pt idx="143">
                  <c:v>-1.9258164723722557</c:v>
                </c:pt>
                <c:pt idx="144">
                  <c:v>-1.9258164723722557</c:v>
                </c:pt>
                <c:pt idx="145">
                  <c:v>-1.9258164723722557</c:v>
                </c:pt>
                <c:pt idx="146">
                  <c:v>-1.9258164723722557</c:v>
                </c:pt>
                <c:pt idx="147">
                  <c:v>-1.9258164723722557</c:v>
                </c:pt>
                <c:pt idx="148">
                  <c:v>-1.9258164723722557</c:v>
                </c:pt>
                <c:pt idx="149">
                  <c:v>-1.9258164723722557</c:v>
                </c:pt>
                <c:pt idx="150">
                  <c:v>-1.9258164723722557</c:v>
                </c:pt>
                <c:pt idx="151">
                  <c:v>-1.9258164723722557</c:v>
                </c:pt>
                <c:pt idx="152">
                  <c:v>-1.9258164723722557</c:v>
                </c:pt>
                <c:pt idx="153">
                  <c:v>-3.5915010137197294</c:v>
                </c:pt>
                <c:pt idx="154">
                  <c:v>-3.5915010137197294</c:v>
                </c:pt>
                <c:pt idx="155">
                  <c:v>-3.5915010137197294</c:v>
                </c:pt>
                <c:pt idx="156">
                  <c:v>-3.5915010137197294</c:v>
                </c:pt>
                <c:pt idx="157">
                  <c:v>-3.5915010137197294</c:v>
                </c:pt>
                <c:pt idx="158">
                  <c:v>-3.1568219616773341</c:v>
                </c:pt>
                <c:pt idx="159">
                  <c:v>-3.1568219616773341</c:v>
                </c:pt>
                <c:pt idx="160">
                  <c:v>-3.1568219616773341</c:v>
                </c:pt>
                <c:pt idx="161">
                  <c:v>-3.1568219616773341</c:v>
                </c:pt>
                <c:pt idx="162">
                  <c:v>-3.1568219616773341</c:v>
                </c:pt>
                <c:pt idx="163">
                  <c:v>-3.1568219616773341</c:v>
                </c:pt>
                <c:pt idx="164">
                  <c:v>-3.1568219616773341</c:v>
                </c:pt>
                <c:pt idx="165">
                  <c:v>-3.1568219616773341</c:v>
                </c:pt>
                <c:pt idx="166">
                  <c:v>-3.1568219616773341</c:v>
                </c:pt>
                <c:pt idx="167">
                  <c:v>-3.1568219616773341</c:v>
                </c:pt>
                <c:pt idx="168">
                  <c:v>-3.1568219616773341</c:v>
                </c:pt>
                <c:pt idx="169">
                  <c:v>-3.1793917587748557</c:v>
                </c:pt>
                <c:pt idx="170">
                  <c:v>-3.1793917587748557</c:v>
                </c:pt>
                <c:pt idx="171">
                  <c:v>-4.659058588760157</c:v>
                </c:pt>
                <c:pt idx="172">
                  <c:v>-4.659058588760157</c:v>
                </c:pt>
                <c:pt idx="173">
                  <c:v>-4.659058588760157</c:v>
                </c:pt>
                <c:pt idx="174">
                  <c:v>-2.990474008783174</c:v>
                </c:pt>
                <c:pt idx="175">
                  <c:v>-2.990474008783174</c:v>
                </c:pt>
                <c:pt idx="176">
                  <c:v>-2.990474008783174</c:v>
                </c:pt>
                <c:pt idx="177">
                  <c:v>-2.990474008783174</c:v>
                </c:pt>
                <c:pt idx="178">
                  <c:v>-2.990474008783174</c:v>
                </c:pt>
                <c:pt idx="179">
                  <c:v>-2.990474008783174</c:v>
                </c:pt>
                <c:pt idx="180">
                  <c:v>-2.990474008783174</c:v>
                </c:pt>
                <c:pt idx="181">
                  <c:v>-2.990474008783174</c:v>
                </c:pt>
                <c:pt idx="182">
                  <c:v>-2.990474008783174</c:v>
                </c:pt>
                <c:pt idx="183">
                  <c:v>-2.990474008783174</c:v>
                </c:pt>
                <c:pt idx="184">
                  <c:v>-2.990474008783174</c:v>
                </c:pt>
                <c:pt idx="185">
                  <c:v>-3.827515754915825</c:v>
                </c:pt>
                <c:pt idx="186">
                  <c:v>-3.827515754915825</c:v>
                </c:pt>
                <c:pt idx="187">
                  <c:v>-3.365367867591881</c:v>
                </c:pt>
                <c:pt idx="188">
                  <c:v>-3.365367867591881</c:v>
                </c:pt>
                <c:pt idx="189">
                  <c:v>-3.365367867591881</c:v>
                </c:pt>
                <c:pt idx="190">
                  <c:v>-3.365367867591881</c:v>
                </c:pt>
                <c:pt idx="191">
                  <c:v>-3.365367867591881</c:v>
                </c:pt>
                <c:pt idx="192">
                  <c:v>-3.365367867591881</c:v>
                </c:pt>
                <c:pt idx="193">
                  <c:v>-3.365367867591881</c:v>
                </c:pt>
                <c:pt idx="194">
                  <c:v>-3.365367867591881</c:v>
                </c:pt>
                <c:pt idx="195">
                  <c:v>-3.365367867591881</c:v>
                </c:pt>
                <c:pt idx="196">
                  <c:v>-3.365367867591881</c:v>
                </c:pt>
                <c:pt idx="197">
                  <c:v>-3.365367867591881</c:v>
                </c:pt>
                <c:pt idx="198">
                  <c:v>-3.365367867591881</c:v>
                </c:pt>
                <c:pt idx="199">
                  <c:v>-3.365367867591881</c:v>
                </c:pt>
                <c:pt idx="200">
                  <c:v>-3.7040195178343338</c:v>
                </c:pt>
                <c:pt idx="201">
                  <c:v>-3.7040195178343338</c:v>
                </c:pt>
                <c:pt idx="202">
                  <c:v>-3.7040195178343338</c:v>
                </c:pt>
                <c:pt idx="203">
                  <c:v>-3.7040195178343338</c:v>
                </c:pt>
                <c:pt idx="204">
                  <c:v>-3.7040195178343338</c:v>
                </c:pt>
                <c:pt idx="205">
                  <c:v>-3.7040195178343338</c:v>
                </c:pt>
                <c:pt idx="206">
                  <c:v>-3.7040195178343338</c:v>
                </c:pt>
                <c:pt idx="207">
                  <c:v>-3.7040195178343338</c:v>
                </c:pt>
                <c:pt idx="208">
                  <c:v>-3.7040195178343338</c:v>
                </c:pt>
                <c:pt idx="209">
                  <c:v>-3.7040195178343338</c:v>
                </c:pt>
                <c:pt idx="210">
                  <c:v>-3.7040195178343338</c:v>
                </c:pt>
                <c:pt idx="211">
                  <c:v>-3.7040195178343338</c:v>
                </c:pt>
                <c:pt idx="212">
                  <c:v>-3.7040195178343338</c:v>
                </c:pt>
                <c:pt idx="213">
                  <c:v>-3.7040195178343338</c:v>
                </c:pt>
                <c:pt idx="214">
                  <c:v>-3.1607317505718027</c:v>
                </c:pt>
                <c:pt idx="215">
                  <c:v>-3.1607317505718027</c:v>
                </c:pt>
                <c:pt idx="216">
                  <c:v>-3.1607317505718027</c:v>
                </c:pt>
                <c:pt idx="217">
                  <c:v>-3.1607317505718027</c:v>
                </c:pt>
                <c:pt idx="218">
                  <c:v>-3.1607317505718027</c:v>
                </c:pt>
                <c:pt idx="219">
                  <c:v>-3.1607317505718027</c:v>
                </c:pt>
                <c:pt idx="220">
                  <c:v>-3.1607317505718027</c:v>
                </c:pt>
                <c:pt idx="221">
                  <c:v>-3.1607317505718027</c:v>
                </c:pt>
                <c:pt idx="222">
                  <c:v>-3.1607317505718027</c:v>
                </c:pt>
                <c:pt idx="223">
                  <c:v>-3.1607317505718027</c:v>
                </c:pt>
                <c:pt idx="224">
                  <c:v>-3.1607317505718027</c:v>
                </c:pt>
                <c:pt idx="225">
                  <c:v>-3.1607317505718027</c:v>
                </c:pt>
                <c:pt idx="226">
                  <c:v>-3.1607317505718027</c:v>
                </c:pt>
                <c:pt idx="227">
                  <c:v>-2.6957247050105053</c:v>
                </c:pt>
                <c:pt idx="228">
                  <c:v>-2.6957247050105053</c:v>
                </c:pt>
                <c:pt idx="229">
                  <c:v>-2.6957247050105053</c:v>
                </c:pt>
                <c:pt idx="230">
                  <c:v>-2.6957247050105053</c:v>
                </c:pt>
                <c:pt idx="231">
                  <c:v>-2.6957247050105053</c:v>
                </c:pt>
                <c:pt idx="232">
                  <c:v>-2.6957247050105053</c:v>
                </c:pt>
                <c:pt idx="233">
                  <c:v>-2.6957247050105053</c:v>
                </c:pt>
                <c:pt idx="234">
                  <c:v>-2.6957247050105053</c:v>
                </c:pt>
                <c:pt idx="235">
                  <c:v>-2.6957247050105053</c:v>
                </c:pt>
                <c:pt idx="236">
                  <c:v>-2.6957247050105053</c:v>
                </c:pt>
                <c:pt idx="237">
                  <c:v>-2.6957247050105053</c:v>
                </c:pt>
                <c:pt idx="238">
                  <c:v>-2.6957247050105053</c:v>
                </c:pt>
                <c:pt idx="239">
                  <c:v>-2.6957247050105053</c:v>
                </c:pt>
                <c:pt idx="240">
                  <c:v>-2.6957247050105053</c:v>
                </c:pt>
                <c:pt idx="241">
                  <c:v>-2.6957247050105053</c:v>
                </c:pt>
                <c:pt idx="242">
                  <c:v>-2.5875052868541744</c:v>
                </c:pt>
                <c:pt idx="243">
                  <c:v>-2.1964077947164395</c:v>
                </c:pt>
                <c:pt idx="244">
                  <c:v>-2.1964077947164395</c:v>
                </c:pt>
                <c:pt idx="245">
                  <c:v>-2.1964077947164395</c:v>
                </c:pt>
                <c:pt idx="246">
                  <c:v>-2.1964077947164395</c:v>
                </c:pt>
                <c:pt idx="247">
                  <c:v>-2.1964077947164395</c:v>
                </c:pt>
                <c:pt idx="248">
                  <c:v>-2.1964077947164395</c:v>
                </c:pt>
                <c:pt idx="249">
                  <c:v>-2.1964077947164395</c:v>
                </c:pt>
                <c:pt idx="250">
                  <c:v>-2.1964077947164395</c:v>
                </c:pt>
                <c:pt idx="251">
                  <c:v>-2.1964077947164395</c:v>
                </c:pt>
                <c:pt idx="252">
                  <c:v>-2.1964077947164395</c:v>
                </c:pt>
                <c:pt idx="253">
                  <c:v>-2.1964077947164395</c:v>
                </c:pt>
                <c:pt idx="254">
                  <c:v>-2.1964077947164395</c:v>
                </c:pt>
                <c:pt idx="255">
                  <c:v>-2.1964077947164395</c:v>
                </c:pt>
                <c:pt idx="256">
                  <c:v>-2.3275123505997555</c:v>
                </c:pt>
                <c:pt idx="257">
                  <c:v>-2.3275123505997555</c:v>
                </c:pt>
                <c:pt idx="258">
                  <c:v>-2.3275123505997555</c:v>
                </c:pt>
                <c:pt idx="259">
                  <c:v>-2.3275123505997555</c:v>
                </c:pt>
                <c:pt idx="260">
                  <c:v>-2.3275123505997555</c:v>
                </c:pt>
                <c:pt idx="261">
                  <c:v>-2.3275123505997555</c:v>
                </c:pt>
                <c:pt idx="262">
                  <c:v>-2.3275123505997555</c:v>
                </c:pt>
                <c:pt idx="263">
                  <c:v>-2.3275123505997555</c:v>
                </c:pt>
                <c:pt idx="264">
                  <c:v>-2.3275123505997555</c:v>
                </c:pt>
                <c:pt idx="265">
                  <c:v>-2.3275123505997555</c:v>
                </c:pt>
                <c:pt idx="266">
                  <c:v>-1.7296503643768726</c:v>
                </c:pt>
                <c:pt idx="267">
                  <c:v>-1.7296503643768726</c:v>
                </c:pt>
                <c:pt idx="268">
                  <c:v>-1.7296503643768726</c:v>
                </c:pt>
                <c:pt idx="269">
                  <c:v>-1.7296503643768726</c:v>
                </c:pt>
                <c:pt idx="270">
                  <c:v>-1.7296503643768726</c:v>
                </c:pt>
                <c:pt idx="271">
                  <c:v>-1.7296503643768726</c:v>
                </c:pt>
                <c:pt idx="272">
                  <c:v>-1.7296503643768726</c:v>
                </c:pt>
                <c:pt idx="273">
                  <c:v>-2.6749603286741817</c:v>
                </c:pt>
                <c:pt idx="274">
                  <c:v>-2.6749603286741817</c:v>
                </c:pt>
                <c:pt idx="275">
                  <c:v>-2.6749603286741817</c:v>
                </c:pt>
                <c:pt idx="276">
                  <c:v>-2.6749603286741817</c:v>
                </c:pt>
                <c:pt idx="277">
                  <c:v>-2.6749603286741817</c:v>
                </c:pt>
                <c:pt idx="278">
                  <c:v>-2.6749603286741817</c:v>
                </c:pt>
                <c:pt idx="279">
                  <c:v>-2.6034295704481445</c:v>
                </c:pt>
                <c:pt idx="280">
                  <c:v>-2.6034295704481445</c:v>
                </c:pt>
                <c:pt idx="281">
                  <c:v>-2.6034295704481445</c:v>
                </c:pt>
                <c:pt idx="282">
                  <c:v>-2.6034295704481445</c:v>
                </c:pt>
                <c:pt idx="283">
                  <c:v>-2.6034295704481445</c:v>
                </c:pt>
                <c:pt idx="284">
                  <c:v>-2.6034295704481445</c:v>
                </c:pt>
                <c:pt idx="285">
                  <c:v>-2.6034295704481445</c:v>
                </c:pt>
                <c:pt idx="286">
                  <c:v>-2.068627527025412</c:v>
                </c:pt>
                <c:pt idx="287">
                  <c:v>-2.068627527025412</c:v>
                </c:pt>
                <c:pt idx="288">
                  <c:v>-2.068627527025412</c:v>
                </c:pt>
                <c:pt idx="289">
                  <c:v>-2.068627527025412</c:v>
                </c:pt>
                <c:pt idx="290">
                  <c:v>-2.068627527025412</c:v>
                </c:pt>
                <c:pt idx="291">
                  <c:v>-2.068627527025412</c:v>
                </c:pt>
                <c:pt idx="292">
                  <c:v>-2.068627527025412</c:v>
                </c:pt>
                <c:pt idx="293">
                  <c:v>-2.068627527025412</c:v>
                </c:pt>
                <c:pt idx="294">
                  <c:v>-2.068627527025412</c:v>
                </c:pt>
                <c:pt idx="295">
                  <c:v>-2.068627527025412</c:v>
                </c:pt>
                <c:pt idx="296">
                  <c:v>-2.068627527025412</c:v>
                </c:pt>
                <c:pt idx="297">
                  <c:v>-2.068627527025412</c:v>
                </c:pt>
                <c:pt idx="298">
                  <c:v>-2.6433401707035724</c:v>
                </c:pt>
                <c:pt idx="299">
                  <c:v>-2.6433401707035724</c:v>
                </c:pt>
                <c:pt idx="300">
                  <c:v>-2.6433401707035724</c:v>
                </c:pt>
                <c:pt idx="301">
                  <c:v>-2.6433401707035724</c:v>
                </c:pt>
                <c:pt idx="302">
                  <c:v>-2.6433401707035724</c:v>
                </c:pt>
                <c:pt idx="303">
                  <c:v>-2.6433401707035724</c:v>
                </c:pt>
                <c:pt idx="304">
                  <c:v>-2.6433401707035724</c:v>
                </c:pt>
                <c:pt idx="305">
                  <c:v>-2.6433401707035724</c:v>
                </c:pt>
                <c:pt idx="306">
                  <c:v>-2.6433401707035724</c:v>
                </c:pt>
                <c:pt idx="307">
                  <c:v>-2.6433401707035724</c:v>
                </c:pt>
                <c:pt idx="308">
                  <c:v>-2.6433401707035724</c:v>
                </c:pt>
                <c:pt idx="309">
                  <c:v>-2.6433401707035724</c:v>
                </c:pt>
                <c:pt idx="310">
                  <c:v>-2.6433401707035724</c:v>
                </c:pt>
                <c:pt idx="311">
                  <c:v>-2.6433401707035724</c:v>
                </c:pt>
                <c:pt idx="312">
                  <c:v>-2.6433401707035724</c:v>
                </c:pt>
                <c:pt idx="313">
                  <c:v>-1.653373615519627</c:v>
                </c:pt>
                <c:pt idx="314">
                  <c:v>-1.653373615519627</c:v>
                </c:pt>
                <c:pt idx="315">
                  <c:v>-1.653373615519627</c:v>
                </c:pt>
                <c:pt idx="316">
                  <c:v>-1.653373615519627</c:v>
                </c:pt>
                <c:pt idx="317">
                  <c:v>-1.653373615519627</c:v>
                </c:pt>
                <c:pt idx="318">
                  <c:v>-3.2708263247529161</c:v>
                </c:pt>
                <c:pt idx="319">
                  <c:v>-3.2708263247529161</c:v>
                </c:pt>
                <c:pt idx="320">
                  <c:v>-3.2708263247529161</c:v>
                </c:pt>
                <c:pt idx="321">
                  <c:v>-3.2708263247529161</c:v>
                </c:pt>
                <c:pt idx="322">
                  <c:v>-3.2708263247529161</c:v>
                </c:pt>
                <c:pt idx="323">
                  <c:v>-3.2708263247529161</c:v>
                </c:pt>
                <c:pt idx="324">
                  <c:v>-3.2708263247529161</c:v>
                </c:pt>
                <c:pt idx="325">
                  <c:v>-3.2708263247529161</c:v>
                </c:pt>
                <c:pt idx="326">
                  <c:v>-3.2708263247529161</c:v>
                </c:pt>
                <c:pt idx="327">
                  <c:v>-3.2708263247529161</c:v>
                </c:pt>
                <c:pt idx="328">
                  <c:v>-3.2708263247529161</c:v>
                </c:pt>
                <c:pt idx="329">
                  <c:v>-3.2708263247529161</c:v>
                </c:pt>
                <c:pt idx="330">
                  <c:v>-3.2708263247529161</c:v>
                </c:pt>
                <c:pt idx="331">
                  <c:v>-3.2708263247529161</c:v>
                </c:pt>
                <c:pt idx="332">
                  <c:v>-3.2708263247529161</c:v>
                </c:pt>
                <c:pt idx="333">
                  <c:v>-3.2708263247529161</c:v>
                </c:pt>
                <c:pt idx="334">
                  <c:v>-3.2708263247529161</c:v>
                </c:pt>
                <c:pt idx="335">
                  <c:v>-3.2708263247529161</c:v>
                </c:pt>
                <c:pt idx="336">
                  <c:v>-3.2708263247529161</c:v>
                </c:pt>
                <c:pt idx="337">
                  <c:v>-3.2708263247529161</c:v>
                </c:pt>
                <c:pt idx="338">
                  <c:v>-3.2708263247529161</c:v>
                </c:pt>
                <c:pt idx="339">
                  <c:v>-3.2708263247529161</c:v>
                </c:pt>
                <c:pt idx="340">
                  <c:v>-3.2708263247529161</c:v>
                </c:pt>
                <c:pt idx="341">
                  <c:v>-3.2708263247529161</c:v>
                </c:pt>
                <c:pt idx="342">
                  <c:v>-3.2708263247529161</c:v>
                </c:pt>
                <c:pt idx="343">
                  <c:v>-2.9637463521660634</c:v>
                </c:pt>
                <c:pt idx="344">
                  <c:v>-2.9637463521660634</c:v>
                </c:pt>
                <c:pt idx="345">
                  <c:v>-2.9637463521660634</c:v>
                </c:pt>
                <c:pt idx="346">
                  <c:v>-2.9637463521660634</c:v>
                </c:pt>
                <c:pt idx="347">
                  <c:v>-2.9637463521660634</c:v>
                </c:pt>
                <c:pt idx="348">
                  <c:v>-3.0682508566705651</c:v>
                </c:pt>
                <c:pt idx="349">
                  <c:v>-3.5351596241796459</c:v>
                </c:pt>
                <c:pt idx="350">
                  <c:v>-3.5351596241796459</c:v>
                </c:pt>
                <c:pt idx="351">
                  <c:v>-3.5351596241796459</c:v>
                </c:pt>
                <c:pt idx="352">
                  <c:v>-3.5351596241796459</c:v>
                </c:pt>
                <c:pt idx="353">
                  <c:v>-4.1503925729163207</c:v>
                </c:pt>
                <c:pt idx="354">
                  <c:v>-4.1503925729163207</c:v>
                </c:pt>
                <c:pt idx="355">
                  <c:v>-5.2838688314521338</c:v>
                </c:pt>
                <c:pt idx="356">
                  <c:v>-5.2838688314521338</c:v>
                </c:pt>
                <c:pt idx="357">
                  <c:v>-1.5623207308890432</c:v>
                </c:pt>
                <c:pt idx="358">
                  <c:v>-1.5623207308890432</c:v>
                </c:pt>
                <c:pt idx="359">
                  <c:v>-3.4944499043975288</c:v>
                </c:pt>
                <c:pt idx="360">
                  <c:v>-3.4944499043975288</c:v>
                </c:pt>
                <c:pt idx="361">
                  <c:v>-3.4944499043975288</c:v>
                </c:pt>
                <c:pt idx="362">
                  <c:v>-3.4944499043975288</c:v>
                </c:pt>
                <c:pt idx="363">
                  <c:v>-3.4944499043975288</c:v>
                </c:pt>
                <c:pt idx="364">
                  <c:v>-3.4944499043975288</c:v>
                </c:pt>
                <c:pt idx="365">
                  <c:v>-4.1312162388382836</c:v>
                </c:pt>
                <c:pt idx="366">
                  <c:v>-9.9056815661227926</c:v>
                </c:pt>
                <c:pt idx="367">
                  <c:v>-10.893895701507173</c:v>
                </c:pt>
                <c:pt idx="368">
                  <c:v>-10.893895701507173</c:v>
                </c:pt>
                <c:pt idx="369">
                  <c:v>-10.893895701507173</c:v>
                </c:pt>
                <c:pt idx="370">
                  <c:v>-10.893895701507173</c:v>
                </c:pt>
                <c:pt idx="371">
                  <c:v>-10.893895701507173</c:v>
                </c:pt>
                <c:pt idx="372">
                  <c:v>-10.893895701507173</c:v>
                </c:pt>
                <c:pt idx="373">
                  <c:v>-10.893895701507173</c:v>
                </c:pt>
                <c:pt idx="374">
                  <c:v>-10.893895701507173</c:v>
                </c:pt>
                <c:pt idx="375">
                  <c:v>-10.893895701507173</c:v>
                </c:pt>
                <c:pt idx="376">
                  <c:v>-10.893895701507173</c:v>
                </c:pt>
                <c:pt idx="377">
                  <c:v>-10.893895701507173</c:v>
                </c:pt>
                <c:pt idx="378">
                  <c:v>-10.893895701507173</c:v>
                </c:pt>
                <c:pt idx="379">
                  <c:v>-10.893895701507173</c:v>
                </c:pt>
                <c:pt idx="380">
                  <c:v>-11.62795610419173</c:v>
                </c:pt>
                <c:pt idx="381">
                  <c:v>-10.439725247911085</c:v>
                </c:pt>
                <c:pt idx="382">
                  <c:v>-8.8893376510118625</c:v>
                </c:pt>
                <c:pt idx="383">
                  <c:v>-8.8893376510118625</c:v>
                </c:pt>
                <c:pt idx="384">
                  <c:v>-8.8893376510118625</c:v>
                </c:pt>
                <c:pt idx="385">
                  <c:v>-8.8893376510118625</c:v>
                </c:pt>
                <c:pt idx="386">
                  <c:v>-8.8893376510118625</c:v>
                </c:pt>
                <c:pt idx="387">
                  <c:v>-8.8893376510118625</c:v>
                </c:pt>
                <c:pt idx="388">
                  <c:v>-11.918556494184195</c:v>
                </c:pt>
                <c:pt idx="389">
                  <c:v>-11.918556494184195</c:v>
                </c:pt>
                <c:pt idx="390">
                  <c:v>-10.086286091061</c:v>
                </c:pt>
                <c:pt idx="391">
                  <c:v>-10.086286091061</c:v>
                </c:pt>
                <c:pt idx="392">
                  <c:v>-10.086286091061</c:v>
                </c:pt>
                <c:pt idx="393">
                  <c:v>-10.086286091061</c:v>
                </c:pt>
                <c:pt idx="394">
                  <c:v>-10.086286091061</c:v>
                </c:pt>
                <c:pt idx="395">
                  <c:v>-10.086286091061</c:v>
                </c:pt>
                <c:pt idx="396">
                  <c:v>-10.086286091061</c:v>
                </c:pt>
                <c:pt idx="397">
                  <c:v>-10.086286091061</c:v>
                </c:pt>
                <c:pt idx="398">
                  <c:v>-10.086286091061</c:v>
                </c:pt>
                <c:pt idx="399">
                  <c:v>-10.086286091061</c:v>
                </c:pt>
                <c:pt idx="400">
                  <c:v>-10.289836001499038</c:v>
                </c:pt>
                <c:pt idx="401">
                  <c:v>-10.289836001499038</c:v>
                </c:pt>
                <c:pt idx="402">
                  <c:v>-10.289836001499038</c:v>
                </c:pt>
                <c:pt idx="403">
                  <c:v>-10.289836001499038</c:v>
                </c:pt>
                <c:pt idx="404">
                  <c:v>-10.289836001499038</c:v>
                </c:pt>
                <c:pt idx="405">
                  <c:v>-10.289836001499038</c:v>
                </c:pt>
                <c:pt idx="406">
                  <c:v>-10.289836001499038</c:v>
                </c:pt>
                <c:pt idx="407">
                  <c:v>-11.796715232772243</c:v>
                </c:pt>
                <c:pt idx="408">
                  <c:v>-11.796715232772243</c:v>
                </c:pt>
                <c:pt idx="409">
                  <c:v>-11.796715232772243</c:v>
                </c:pt>
                <c:pt idx="410">
                  <c:v>-11.796715232772243</c:v>
                </c:pt>
                <c:pt idx="411">
                  <c:v>-11.796715232772243</c:v>
                </c:pt>
                <c:pt idx="412">
                  <c:v>-11.735360949195737</c:v>
                </c:pt>
                <c:pt idx="413">
                  <c:v>-11.735360949195737</c:v>
                </c:pt>
                <c:pt idx="414">
                  <c:v>-11.021273317470831</c:v>
                </c:pt>
                <c:pt idx="415">
                  <c:v>-11.021273317470831</c:v>
                </c:pt>
                <c:pt idx="416">
                  <c:v>-11.021273317470831</c:v>
                </c:pt>
                <c:pt idx="417">
                  <c:v>-11.021273317470831</c:v>
                </c:pt>
                <c:pt idx="418">
                  <c:v>-9.0891765260839819</c:v>
                </c:pt>
              </c:numCache>
            </c:numRef>
          </c:val>
          <c:smooth val="1"/>
          <c:extLst>
            <c:ext xmlns:c16="http://schemas.microsoft.com/office/drawing/2014/chart" uri="{C3380CC4-5D6E-409C-BE32-E72D297353CC}">
              <c16:uniqueId val="{00000003-5D40-40BD-9241-5753290D1030}"/>
            </c:ext>
          </c:extLst>
        </c:ser>
        <c:dLbls>
          <c:showLegendKey val="0"/>
          <c:showVal val="0"/>
          <c:showCatName val="0"/>
          <c:showSerName val="0"/>
          <c:showPercent val="0"/>
          <c:showBubbleSize val="0"/>
        </c:dLbls>
        <c:smooth val="0"/>
        <c:axId val="147683023"/>
        <c:axId val="146645279"/>
        <c:extLst>
          <c:ext xmlns:c15="http://schemas.microsoft.com/office/drawing/2012/chart" uri="{02D57815-91ED-43cb-92C2-25804820EDAC}">
            <c15:filteredLineSeries>
              <c15:ser>
                <c:idx val="5"/>
                <c:order val="1"/>
                <c:tx>
                  <c:v>Up (MOC)</c:v>
                </c:tx>
                <c:spPr>
                  <a:ln w="28575" cap="rnd">
                    <a:solidFill>
                      <a:schemeClr val="accent6"/>
                    </a:solidFill>
                    <a:prstDash val="sysDash"/>
                    <a:round/>
                  </a:ln>
                  <a:effectLst/>
                </c:spPr>
                <c:marker>
                  <c:symbol val="none"/>
                </c:marker>
                <c:val>
                  <c:numRef>
                    <c:extLst>
                      <c:ext uri="{02D57815-91ED-43cb-92C2-25804820EDAC}">
                        <c15:formulaRef>
                          <c15:sqref>'2025-Q2'!$AX$4:$AX$350</c15:sqref>
                        </c15:formulaRef>
                      </c:ext>
                    </c:extLst>
                    <c:numCache>
                      <c:formatCode>"$"#,##0</c:formatCode>
                      <c:ptCount val="34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59.839999999999918</c:v>
                      </c:pt>
                      <c:pt idx="40">
                        <c:v>59.839999999999918</c:v>
                      </c:pt>
                      <c:pt idx="41">
                        <c:v>59.839999999999918</c:v>
                      </c:pt>
                      <c:pt idx="42">
                        <c:v>59.839999999999918</c:v>
                      </c:pt>
                      <c:pt idx="43">
                        <c:v>59.839999999999918</c:v>
                      </c:pt>
                      <c:pt idx="44">
                        <c:v>59.839999999999918</c:v>
                      </c:pt>
                      <c:pt idx="45">
                        <c:v>59.839999999999918</c:v>
                      </c:pt>
                      <c:pt idx="46">
                        <c:v>59.839999999999918</c:v>
                      </c:pt>
                      <c:pt idx="47">
                        <c:v>-74.660000000000196</c:v>
                      </c:pt>
                      <c:pt idx="48">
                        <c:v>-74.660000000000196</c:v>
                      </c:pt>
                      <c:pt idx="49">
                        <c:v>-74.660000000000196</c:v>
                      </c:pt>
                      <c:pt idx="50">
                        <c:v>-74.660000000000196</c:v>
                      </c:pt>
                      <c:pt idx="51">
                        <c:v>-74.660000000000196</c:v>
                      </c:pt>
                      <c:pt idx="52">
                        <c:v>-74.660000000000196</c:v>
                      </c:pt>
                      <c:pt idx="53">
                        <c:v>-74.660000000000196</c:v>
                      </c:pt>
                      <c:pt idx="54">
                        <c:v>-74.660000000000196</c:v>
                      </c:pt>
                      <c:pt idx="55">
                        <c:v>-74.660000000000196</c:v>
                      </c:pt>
                      <c:pt idx="56">
                        <c:v>-74.660000000000196</c:v>
                      </c:pt>
                      <c:pt idx="57">
                        <c:v>-74.660000000000196</c:v>
                      </c:pt>
                      <c:pt idx="58">
                        <c:v>-74.660000000000196</c:v>
                      </c:pt>
                      <c:pt idx="59">
                        <c:v>-74.660000000000196</c:v>
                      </c:pt>
                      <c:pt idx="60">
                        <c:v>-74.660000000000196</c:v>
                      </c:pt>
                      <c:pt idx="61">
                        <c:v>-74.660000000000196</c:v>
                      </c:pt>
                      <c:pt idx="62">
                        <c:v>-74.660000000000196</c:v>
                      </c:pt>
                      <c:pt idx="63">
                        <c:v>-74.660000000000196</c:v>
                      </c:pt>
                      <c:pt idx="64">
                        <c:v>-74.660000000000196</c:v>
                      </c:pt>
                      <c:pt idx="65">
                        <c:v>-74.660000000000196</c:v>
                      </c:pt>
                      <c:pt idx="66">
                        <c:v>-74.660000000000196</c:v>
                      </c:pt>
                      <c:pt idx="67">
                        <c:v>-74.660000000000196</c:v>
                      </c:pt>
                      <c:pt idx="68">
                        <c:v>-74.660000000000196</c:v>
                      </c:pt>
                      <c:pt idx="69">
                        <c:v>-54.660000000000196</c:v>
                      </c:pt>
                      <c:pt idx="70">
                        <c:v>-54.660000000000196</c:v>
                      </c:pt>
                      <c:pt idx="71">
                        <c:v>-66.900000000000205</c:v>
                      </c:pt>
                      <c:pt idx="72">
                        <c:v>-66.900000000000205</c:v>
                      </c:pt>
                      <c:pt idx="73">
                        <c:v>-66.900000000000205</c:v>
                      </c:pt>
                      <c:pt idx="74">
                        <c:v>-66.900000000000205</c:v>
                      </c:pt>
                      <c:pt idx="75">
                        <c:v>-66.900000000000205</c:v>
                      </c:pt>
                      <c:pt idx="76">
                        <c:v>-66.900000000000205</c:v>
                      </c:pt>
                      <c:pt idx="77">
                        <c:v>-66.900000000000205</c:v>
                      </c:pt>
                      <c:pt idx="78">
                        <c:v>-66.900000000000205</c:v>
                      </c:pt>
                      <c:pt idx="79">
                        <c:v>-66.900000000000205</c:v>
                      </c:pt>
                      <c:pt idx="80">
                        <c:v>-66.900000000000205</c:v>
                      </c:pt>
                      <c:pt idx="81">
                        <c:v>-66.900000000000205</c:v>
                      </c:pt>
                      <c:pt idx="82">
                        <c:v>-66.900000000000205</c:v>
                      </c:pt>
                      <c:pt idx="83">
                        <c:v>-66.900000000000205</c:v>
                      </c:pt>
                      <c:pt idx="84">
                        <c:v>-66.900000000000205</c:v>
                      </c:pt>
                      <c:pt idx="85">
                        <c:v>-66.900000000000205</c:v>
                      </c:pt>
                      <c:pt idx="86">
                        <c:v>-66.900000000000205</c:v>
                      </c:pt>
                      <c:pt idx="87">
                        <c:v>-66.900000000000205</c:v>
                      </c:pt>
                      <c:pt idx="88">
                        <c:v>-66.900000000000205</c:v>
                      </c:pt>
                      <c:pt idx="89">
                        <c:v>-66.900000000000205</c:v>
                      </c:pt>
                      <c:pt idx="90">
                        <c:v>-66.900000000000205</c:v>
                      </c:pt>
                      <c:pt idx="91">
                        <c:v>-66.900000000000205</c:v>
                      </c:pt>
                      <c:pt idx="92">
                        <c:v>-66.900000000000205</c:v>
                      </c:pt>
                      <c:pt idx="93">
                        <c:v>-66.900000000000205</c:v>
                      </c:pt>
                      <c:pt idx="94">
                        <c:v>-66.900000000000205</c:v>
                      </c:pt>
                      <c:pt idx="95">
                        <c:v>-66.900000000000205</c:v>
                      </c:pt>
                      <c:pt idx="96">
                        <c:v>-66.900000000000205</c:v>
                      </c:pt>
                      <c:pt idx="97">
                        <c:v>-66.900000000000205</c:v>
                      </c:pt>
                      <c:pt idx="98">
                        <c:v>-66.900000000000205</c:v>
                      </c:pt>
                      <c:pt idx="99">
                        <c:v>-66.900000000000205</c:v>
                      </c:pt>
                      <c:pt idx="100">
                        <c:v>-66.900000000000205</c:v>
                      </c:pt>
                      <c:pt idx="101">
                        <c:v>-66.900000000000205</c:v>
                      </c:pt>
                      <c:pt idx="102">
                        <c:v>-66.900000000000205</c:v>
                      </c:pt>
                      <c:pt idx="103">
                        <c:v>-184.54000000000019</c:v>
                      </c:pt>
                      <c:pt idx="104">
                        <c:v>-184.54000000000019</c:v>
                      </c:pt>
                      <c:pt idx="105">
                        <c:v>-184.54000000000019</c:v>
                      </c:pt>
                      <c:pt idx="106">
                        <c:v>-173.34000000000015</c:v>
                      </c:pt>
                      <c:pt idx="107">
                        <c:v>-173.34000000000015</c:v>
                      </c:pt>
                      <c:pt idx="108">
                        <c:v>-173.34000000000015</c:v>
                      </c:pt>
                      <c:pt idx="109">
                        <c:v>-173.34000000000015</c:v>
                      </c:pt>
                      <c:pt idx="110">
                        <c:v>-173.34000000000015</c:v>
                      </c:pt>
                      <c:pt idx="111">
                        <c:v>-173.34000000000015</c:v>
                      </c:pt>
                      <c:pt idx="112">
                        <c:v>-173.34000000000015</c:v>
                      </c:pt>
                      <c:pt idx="113">
                        <c:v>-173.34000000000015</c:v>
                      </c:pt>
                      <c:pt idx="114">
                        <c:v>-173.34000000000015</c:v>
                      </c:pt>
                      <c:pt idx="115">
                        <c:v>-173.34000000000015</c:v>
                      </c:pt>
                      <c:pt idx="116">
                        <c:v>-173.34000000000015</c:v>
                      </c:pt>
                      <c:pt idx="117">
                        <c:v>-173.34000000000015</c:v>
                      </c:pt>
                      <c:pt idx="118">
                        <c:v>-173.34000000000015</c:v>
                      </c:pt>
                      <c:pt idx="119">
                        <c:v>-173.34000000000015</c:v>
                      </c:pt>
                      <c:pt idx="120">
                        <c:v>-173.34000000000015</c:v>
                      </c:pt>
                      <c:pt idx="121">
                        <c:v>-174.74000000000024</c:v>
                      </c:pt>
                      <c:pt idx="122">
                        <c:v>-174.74000000000024</c:v>
                      </c:pt>
                      <c:pt idx="123">
                        <c:v>-174.74000000000024</c:v>
                      </c:pt>
                      <c:pt idx="124">
                        <c:v>-174.74000000000024</c:v>
                      </c:pt>
                      <c:pt idx="125">
                        <c:v>-174.74000000000024</c:v>
                      </c:pt>
                      <c:pt idx="126">
                        <c:v>-174.74000000000024</c:v>
                      </c:pt>
                      <c:pt idx="127">
                        <c:v>-174.74000000000024</c:v>
                      </c:pt>
                      <c:pt idx="128">
                        <c:v>-174.74000000000024</c:v>
                      </c:pt>
                      <c:pt idx="129">
                        <c:v>-174.74000000000024</c:v>
                      </c:pt>
                      <c:pt idx="130">
                        <c:v>-174.74000000000024</c:v>
                      </c:pt>
                      <c:pt idx="131">
                        <c:v>-174.74000000000024</c:v>
                      </c:pt>
                      <c:pt idx="132">
                        <c:v>-174.74000000000024</c:v>
                      </c:pt>
                      <c:pt idx="133">
                        <c:v>-174.74000000000024</c:v>
                      </c:pt>
                      <c:pt idx="134">
                        <c:v>-174.74000000000024</c:v>
                      </c:pt>
                      <c:pt idx="135">
                        <c:v>-174.74000000000024</c:v>
                      </c:pt>
                      <c:pt idx="136">
                        <c:v>-174.74000000000024</c:v>
                      </c:pt>
                      <c:pt idx="137">
                        <c:v>-163.1400000000001</c:v>
                      </c:pt>
                      <c:pt idx="138">
                        <c:v>-163.1400000000001</c:v>
                      </c:pt>
                      <c:pt idx="139">
                        <c:v>-163.1400000000001</c:v>
                      </c:pt>
                      <c:pt idx="140">
                        <c:v>-163.1400000000001</c:v>
                      </c:pt>
                      <c:pt idx="141">
                        <c:v>-163.1400000000001</c:v>
                      </c:pt>
                      <c:pt idx="142">
                        <c:v>-163.1400000000001</c:v>
                      </c:pt>
                      <c:pt idx="143">
                        <c:v>-163.1400000000001</c:v>
                      </c:pt>
                      <c:pt idx="144">
                        <c:v>-163.1400000000001</c:v>
                      </c:pt>
                      <c:pt idx="145">
                        <c:v>-163.1400000000001</c:v>
                      </c:pt>
                      <c:pt idx="146">
                        <c:v>-163.1400000000001</c:v>
                      </c:pt>
                      <c:pt idx="147">
                        <c:v>-163.1400000000001</c:v>
                      </c:pt>
                      <c:pt idx="148">
                        <c:v>-163.1400000000001</c:v>
                      </c:pt>
                      <c:pt idx="149">
                        <c:v>-163.1400000000001</c:v>
                      </c:pt>
                      <c:pt idx="150">
                        <c:v>-163.1400000000001</c:v>
                      </c:pt>
                      <c:pt idx="151">
                        <c:v>-163.1400000000001</c:v>
                      </c:pt>
                      <c:pt idx="152">
                        <c:v>-163.1400000000001</c:v>
                      </c:pt>
                      <c:pt idx="153">
                        <c:v>-163.1400000000001</c:v>
                      </c:pt>
                      <c:pt idx="154">
                        <c:v>-163.1400000000001</c:v>
                      </c:pt>
                      <c:pt idx="155">
                        <c:v>-163.1400000000001</c:v>
                      </c:pt>
                      <c:pt idx="156">
                        <c:v>-163.1400000000001</c:v>
                      </c:pt>
                      <c:pt idx="157">
                        <c:v>-163.1400000000001</c:v>
                      </c:pt>
                      <c:pt idx="158">
                        <c:v>-163.1400000000001</c:v>
                      </c:pt>
                      <c:pt idx="159">
                        <c:v>-163.1400000000001</c:v>
                      </c:pt>
                      <c:pt idx="160">
                        <c:v>-163.1400000000001</c:v>
                      </c:pt>
                      <c:pt idx="161">
                        <c:v>-163.1400000000001</c:v>
                      </c:pt>
                      <c:pt idx="162">
                        <c:v>-163.1400000000001</c:v>
                      </c:pt>
                      <c:pt idx="163">
                        <c:v>-163.1400000000001</c:v>
                      </c:pt>
                      <c:pt idx="164">
                        <c:v>-163.1400000000001</c:v>
                      </c:pt>
                      <c:pt idx="165">
                        <c:v>-163.1400000000001</c:v>
                      </c:pt>
                      <c:pt idx="166">
                        <c:v>-163.1400000000001</c:v>
                      </c:pt>
                      <c:pt idx="167">
                        <c:v>-163.1400000000001</c:v>
                      </c:pt>
                      <c:pt idx="168">
                        <c:v>-163.1400000000001</c:v>
                      </c:pt>
                      <c:pt idx="169">
                        <c:v>-163.1400000000001</c:v>
                      </c:pt>
                      <c:pt idx="170">
                        <c:v>-163.1400000000001</c:v>
                      </c:pt>
                      <c:pt idx="171">
                        <c:v>-163.1400000000001</c:v>
                      </c:pt>
                      <c:pt idx="172">
                        <c:v>-163.1400000000001</c:v>
                      </c:pt>
                      <c:pt idx="173">
                        <c:v>-163.1400000000001</c:v>
                      </c:pt>
                      <c:pt idx="174">
                        <c:v>-163.1400000000001</c:v>
                      </c:pt>
                      <c:pt idx="175">
                        <c:v>-163.1400000000001</c:v>
                      </c:pt>
                      <c:pt idx="176">
                        <c:v>-163.1400000000001</c:v>
                      </c:pt>
                      <c:pt idx="177">
                        <c:v>-163.1400000000001</c:v>
                      </c:pt>
                      <c:pt idx="178">
                        <c:v>-163.1400000000001</c:v>
                      </c:pt>
                      <c:pt idx="179">
                        <c:v>-163.1400000000001</c:v>
                      </c:pt>
                      <c:pt idx="180">
                        <c:v>-163.1400000000001</c:v>
                      </c:pt>
                      <c:pt idx="181">
                        <c:v>-163.1400000000001</c:v>
                      </c:pt>
                      <c:pt idx="182">
                        <c:v>-163.1400000000001</c:v>
                      </c:pt>
                      <c:pt idx="183">
                        <c:v>-163.1400000000001</c:v>
                      </c:pt>
                      <c:pt idx="184">
                        <c:v>-163.1400000000001</c:v>
                      </c:pt>
                      <c:pt idx="185">
                        <c:v>-163.1400000000001</c:v>
                      </c:pt>
                      <c:pt idx="186">
                        <c:v>-163.1400000000001</c:v>
                      </c:pt>
                      <c:pt idx="187">
                        <c:v>-163.1400000000001</c:v>
                      </c:pt>
                      <c:pt idx="188">
                        <c:v>-163.1400000000001</c:v>
                      </c:pt>
                      <c:pt idx="189">
                        <c:v>-163.1400000000001</c:v>
                      </c:pt>
                      <c:pt idx="190">
                        <c:v>-163.1400000000001</c:v>
                      </c:pt>
                      <c:pt idx="191">
                        <c:v>-163.1400000000001</c:v>
                      </c:pt>
                      <c:pt idx="192">
                        <c:v>-163.1400000000001</c:v>
                      </c:pt>
                      <c:pt idx="193">
                        <c:v>-163.1400000000001</c:v>
                      </c:pt>
                      <c:pt idx="194">
                        <c:v>-163.1400000000001</c:v>
                      </c:pt>
                      <c:pt idx="195">
                        <c:v>-163.1400000000001</c:v>
                      </c:pt>
                      <c:pt idx="196">
                        <c:v>-163.1400000000001</c:v>
                      </c:pt>
                      <c:pt idx="197">
                        <c:v>-163.1400000000001</c:v>
                      </c:pt>
                      <c:pt idx="198">
                        <c:v>-163.1400000000001</c:v>
                      </c:pt>
                      <c:pt idx="199">
                        <c:v>-163.1400000000001</c:v>
                      </c:pt>
                      <c:pt idx="200">
                        <c:v>-181.17000000000007</c:v>
                      </c:pt>
                      <c:pt idx="201">
                        <c:v>-181.17000000000007</c:v>
                      </c:pt>
                      <c:pt idx="202">
                        <c:v>-181.17000000000007</c:v>
                      </c:pt>
                      <c:pt idx="203">
                        <c:v>-151.49</c:v>
                      </c:pt>
                      <c:pt idx="204">
                        <c:v>-151.49</c:v>
                      </c:pt>
                      <c:pt idx="205">
                        <c:v>-151.49</c:v>
                      </c:pt>
                      <c:pt idx="206">
                        <c:v>-151.49</c:v>
                      </c:pt>
                      <c:pt idx="207">
                        <c:v>-151.49</c:v>
                      </c:pt>
                      <c:pt idx="208">
                        <c:v>-151.49</c:v>
                      </c:pt>
                      <c:pt idx="209">
                        <c:v>-151.49</c:v>
                      </c:pt>
                      <c:pt idx="210">
                        <c:v>-151.49</c:v>
                      </c:pt>
                      <c:pt idx="211">
                        <c:v>-151.49</c:v>
                      </c:pt>
                      <c:pt idx="212">
                        <c:v>-151.49</c:v>
                      </c:pt>
                      <c:pt idx="213">
                        <c:v>-151.49</c:v>
                      </c:pt>
                      <c:pt idx="214">
                        <c:v>-151.49</c:v>
                      </c:pt>
                      <c:pt idx="215">
                        <c:v>-151.49</c:v>
                      </c:pt>
                      <c:pt idx="216">
                        <c:v>-151.49</c:v>
                      </c:pt>
                      <c:pt idx="217">
                        <c:v>-85.340000000000032</c:v>
                      </c:pt>
                      <c:pt idx="218">
                        <c:v>-85.340000000000032</c:v>
                      </c:pt>
                      <c:pt idx="219">
                        <c:v>-85.340000000000032</c:v>
                      </c:pt>
                      <c:pt idx="220">
                        <c:v>-85.340000000000032</c:v>
                      </c:pt>
                      <c:pt idx="221">
                        <c:v>-85.340000000000032</c:v>
                      </c:pt>
                      <c:pt idx="222">
                        <c:v>-85.340000000000032</c:v>
                      </c:pt>
                      <c:pt idx="223">
                        <c:v>-142.90000000000009</c:v>
                      </c:pt>
                      <c:pt idx="224">
                        <c:v>-142.90000000000009</c:v>
                      </c:pt>
                      <c:pt idx="225">
                        <c:v>-142.90000000000009</c:v>
                      </c:pt>
                      <c:pt idx="226">
                        <c:v>-142.90000000000009</c:v>
                      </c:pt>
                      <c:pt idx="227">
                        <c:v>-142.90000000000009</c:v>
                      </c:pt>
                      <c:pt idx="228">
                        <c:v>-142.90000000000009</c:v>
                      </c:pt>
                      <c:pt idx="229">
                        <c:v>-142.90000000000009</c:v>
                      </c:pt>
                      <c:pt idx="230">
                        <c:v>-142.90000000000009</c:v>
                      </c:pt>
                      <c:pt idx="231">
                        <c:v>-142.90000000000009</c:v>
                      </c:pt>
                      <c:pt idx="232">
                        <c:v>-142.90000000000009</c:v>
                      </c:pt>
                      <c:pt idx="233">
                        <c:v>-142.90000000000009</c:v>
                      </c:pt>
                      <c:pt idx="234">
                        <c:v>-142.90000000000009</c:v>
                      </c:pt>
                      <c:pt idx="235">
                        <c:v>-142.90000000000009</c:v>
                      </c:pt>
                      <c:pt idx="236">
                        <c:v>-142.90000000000009</c:v>
                      </c:pt>
                      <c:pt idx="237">
                        <c:v>-142.90000000000009</c:v>
                      </c:pt>
                      <c:pt idx="238">
                        <c:v>-142.90000000000009</c:v>
                      </c:pt>
                      <c:pt idx="239">
                        <c:v>-142.90000000000009</c:v>
                      </c:pt>
                      <c:pt idx="240">
                        <c:v>-132.30000000000018</c:v>
                      </c:pt>
                      <c:pt idx="241">
                        <c:v>-132.30000000000018</c:v>
                      </c:pt>
                      <c:pt idx="242">
                        <c:v>-132.30000000000018</c:v>
                      </c:pt>
                      <c:pt idx="243">
                        <c:v>-132.30000000000018</c:v>
                      </c:pt>
                      <c:pt idx="244">
                        <c:v>-132.30000000000018</c:v>
                      </c:pt>
                      <c:pt idx="245">
                        <c:v>-132.30000000000018</c:v>
                      </c:pt>
                      <c:pt idx="246">
                        <c:v>-132.30000000000018</c:v>
                      </c:pt>
                      <c:pt idx="247">
                        <c:v>-132.30000000000018</c:v>
                      </c:pt>
                      <c:pt idx="248">
                        <c:v>-132.30000000000018</c:v>
                      </c:pt>
                      <c:pt idx="249">
                        <c:v>-132.30000000000018</c:v>
                      </c:pt>
                      <c:pt idx="250">
                        <c:v>-132.30000000000018</c:v>
                      </c:pt>
                      <c:pt idx="251">
                        <c:v>-132.30000000000018</c:v>
                      </c:pt>
                      <c:pt idx="252">
                        <c:v>-132.30000000000018</c:v>
                      </c:pt>
                      <c:pt idx="253">
                        <c:v>-132.30000000000018</c:v>
                      </c:pt>
                      <c:pt idx="254">
                        <c:v>-132.30000000000018</c:v>
                      </c:pt>
                      <c:pt idx="255">
                        <c:v>-132.30000000000018</c:v>
                      </c:pt>
                      <c:pt idx="256">
                        <c:v>-132.30000000000018</c:v>
                      </c:pt>
                      <c:pt idx="257">
                        <c:v>-269.63053243920194</c:v>
                      </c:pt>
                      <c:pt idx="258">
                        <c:v>-299.03053243920203</c:v>
                      </c:pt>
                      <c:pt idx="259">
                        <c:v>-299.03053243920203</c:v>
                      </c:pt>
                      <c:pt idx="260">
                        <c:v>-299.03053243920203</c:v>
                      </c:pt>
                      <c:pt idx="261">
                        <c:v>-299.03053243920203</c:v>
                      </c:pt>
                      <c:pt idx="262">
                        <c:v>-299.03053243920203</c:v>
                      </c:pt>
                      <c:pt idx="263">
                        <c:v>-299.03053243920203</c:v>
                      </c:pt>
                      <c:pt idx="264">
                        <c:v>-299.03053243920203</c:v>
                      </c:pt>
                      <c:pt idx="265">
                        <c:v>-299.03053243920203</c:v>
                      </c:pt>
                      <c:pt idx="266">
                        <c:v>-299.03053243920203</c:v>
                      </c:pt>
                      <c:pt idx="267">
                        <c:v>-299.03053243920203</c:v>
                      </c:pt>
                      <c:pt idx="268">
                        <c:v>-299.03053243920203</c:v>
                      </c:pt>
                      <c:pt idx="269">
                        <c:v>-299.03053243920203</c:v>
                      </c:pt>
                      <c:pt idx="270">
                        <c:v>-299.03053243920203</c:v>
                      </c:pt>
                      <c:pt idx="271">
                        <c:v>-299.03053243920203</c:v>
                      </c:pt>
                      <c:pt idx="272">
                        <c:v>-299.03053243920203</c:v>
                      </c:pt>
                      <c:pt idx="273">
                        <c:v>-385.38106797961109</c:v>
                      </c:pt>
                      <c:pt idx="274">
                        <c:v>-385.38106797961109</c:v>
                      </c:pt>
                      <c:pt idx="275">
                        <c:v>-385.38106797961109</c:v>
                      </c:pt>
                      <c:pt idx="276">
                        <c:v>-385.38106797961109</c:v>
                      </c:pt>
                      <c:pt idx="277">
                        <c:v>-377.70106797961103</c:v>
                      </c:pt>
                      <c:pt idx="278">
                        <c:v>-377.70106797961103</c:v>
                      </c:pt>
                      <c:pt idx="279">
                        <c:v>-377.70106797961103</c:v>
                      </c:pt>
                      <c:pt idx="280">
                        <c:v>-377.70106797961103</c:v>
                      </c:pt>
                      <c:pt idx="281">
                        <c:v>-377.70106797961103</c:v>
                      </c:pt>
                      <c:pt idx="282">
                        <c:v>-377.70106797961103</c:v>
                      </c:pt>
                      <c:pt idx="283">
                        <c:v>-377.70106797961103</c:v>
                      </c:pt>
                      <c:pt idx="284">
                        <c:v>-377.70106797961103</c:v>
                      </c:pt>
                      <c:pt idx="285">
                        <c:v>-377.70106797961103</c:v>
                      </c:pt>
                      <c:pt idx="286">
                        <c:v>-377.70106797961103</c:v>
                      </c:pt>
                      <c:pt idx="287">
                        <c:v>-377.70106797961103</c:v>
                      </c:pt>
                      <c:pt idx="288">
                        <c:v>-377.70106797961103</c:v>
                      </c:pt>
                      <c:pt idx="289">
                        <c:v>-377.70106797961103</c:v>
                      </c:pt>
                      <c:pt idx="290">
                        <c:v>-366.42106797961105</c:v>
                      </c:pt>
                      <c:pt idx="291">
                        <c:v>-366.42106797961105</c:v>
                      </c:pt>
                      <c:pt idx="292">
                        <c:v>-366.42106797961105</c:v>
                      </c:pt>
                      <c:pt idx="293">
                        <c:v>-366.42106797961105</c:v>
                      </c:pt>
                      <c:pt idx="294">
                        <c:v>-366.42106797961105</c:v>
                      </c:pt>
                      <c:pt idx="295">
                        <c:v>-394.76106797961097</c:v>
                      </c:pt>
                      <c:pt idx="296">
                        <c:v>-394.76106797961097</c:v>
                      </c:pt>
                      <c:pt idx="297">
                        <c:v>-339.68106797961104</c:v>
                      </c:pt>
                      <c:pt idx="298">
                        <c:v>-339.68106797961104</c:v>
                      </c:pt>
                      <c:pt idx="299">
                        <c:v>-339.68106797961104</c:v>
                      </c:pt>
                      <c:pt idx="300">
                        <c:v>-339.68106797961104</c:v>
                      </c:pt>
                      <c:pt idx="301">
                        <c:v>-339.68106797961104</c:v>
                      </c:pt>
                      <c:pt idx="302">
                        <c:v>-339.68106797961104</c:v>
                      </c:pt>
                      <c:pt idx="303">
                        <c:v>-339.68106797961104</c:v>
                      </c:pt>
                      <c:pt idx="304">
                        <c:v>-438.46106797961124</c:v>
                      </c:pt>
                      <c:pt idx="305">
                        <c:v>-438.46106797961124</c:v>
                      </c:pt>
                      <c:pt idx="306">
                        <c:v>-438.46106797961124</c:v>
                      </c:pt>
                      <c:pt idx="307">
                        <c:v>-438.46106797961124</c:v>
                      </c:pt>
                      <c:pt idx="308">
                        <c:v>-438.46106797961124</c:v>
                      </c:pt>
                      <c:pt idx="309">
                        <c:v>-390.96106797961124</c:v>
                      </c:pt>
                      <c:pt idx="310">
                        <c:v>-390.96106797961124</c:v>
                      </c:pt>
                      <c:pt idx="311">
                        <c:v>-390.96106797961124</c:v>
                      </c:pt>
                      <c:pt idx="312">
                        <c:v>-390.96106797961124</c:v>
                      </c:pt>
                      <c:pt idx="313">
                        <c:v>-349.11106797961111</c:v>
                      </c:pt>
                      <c:pt idx="314">
                        <c:v>-349.11106797961111</c:v>
                      </c:pt>
                      <c:pt idx="315">
                        <c:v>-349.11106797961111</c:v>
                      </c:pt>
                      <c:pt idx="316">
                        <c:v>-342.69106797961103</c:v>
                      </c:pt>
                      <c:pt idx="317">
                        <c:v>-340.17106797961105</c:v>
                      </c:pt>
                      <c:pt idx="318">
                        <c:v>-340.17106797961105</c:v>
                      </c:pt>
                      <c:pt idx="319">
                        <c:v>-340.17106797961105</c:v>
                      </c:pt>
                      <c:pt idx="320">
                        <c:v>-340.17106797961105</c:v>
                      </c:pt>
                      <c:pt idx="321">
                        <c:v>-340.17106797961105</c:v>
                      </c:pt>
                      <c:pt idx="322">
                        <c:v>-340.17106797961105</c:v>
                      </c:pt>
                      <c:pt idx="323">
                        <c:v>-340.17106797961105</c:v>
                      </c:pt>
                      <c:pt idx="324">
                        <c:v>-340.17106797961105</c:v>
                      </c:pt>
                      <c:pt idx="325">
                        <c:v>-340.17106797961105</c:v>
                      </c:pt>
                      <c:pt idx="326">
                        <c:v>-340.17106797961105</c:v>
                      </c:pt>
                      <c:pt idx="327">
                        <c:v>-340.17106797961105</c:v>
                      </c:pt>
                      <c:pt idx="328">
                        <c:v>-340.17106797961105</c:v>
                      </c:pt>
                      <c:pt idx="329">
                        <c:v>-240.66106797961083</c:v>
                      </c:pt>
                      <c:pt idx="330">
                        <c:v>-240.66106797961083</c:v>
                      </c:pt>
                      <c:pt idx="331">
                        <c:v>-240.66106797961083</c:v>
                      </c:pt>
                      <c:pt idx="332">
                        <c:v>-240.66106797961083</c:v>
                      </c:pt>
                      <c:pt idx="333">
                        <c:v>-240.66106797961083</c:v>
                      </c:pt>
                      <c:pt idx="334">
                        <c:v>-178.13106797961063</c:v>
                      </c:pt>
                      <c:pt idx="335">
                        <c:v>-178.13106797961063</c:v>
                      </c:pt>
                      <c:pt idx="336">
                        <c:v>-178.13106797961063</c:v>
                      </c:pt>
                      <c:pt idx="337">
                        <c:v>-178.13106797961063</c:v>
                      </c:pt>
                      <c:pt idx="338">
                        <c:v>-206.13106797961063</c:v>
                      </c:pt>
                      <c:pt idx="339">
                        <c:v>-206.13106797961063</c:v>
                      </c:pt>
                      <c:pt idx="340">
                        <c:v>-206.13106797961063</c:v>
                      </c:pt>
                      <c:pt idx="341">
                        <c:v>-203.43106797961059</c:v>
                      </c:pt>
                      <c:pt idx="342">
                        <c:v>-203.43106797961059</c:v>
                      </c:pt>
                      <c:pt idx="343">
                        <c:v>-203.43106797961059</c:v>
                      </c:pt>
                      <c:pt idx="344">
                        <c:v>-203.43106797961059</c:v>
                      </c:pt>
                      <c:pt idx="345">
                        <c:v>-295.97106797961055</c:v>
                      </c:pt>
                      <c:pt idx="346">
                        <c:v>-295.97106797961055</c:v>
                      </c:pt>
                    </c:numCache>
                  </c:numRef>
                </c:val>
                <c:smooth val="0"/>
                <c:extLst>
                  <c:ext xmlns:c16="http://schemas.microsoft.com/office/drawing/2014/chart" uri="{C3380CC4-5D6E-409C-BE32-E72D297353CC}">
                    <c16:uniqueId val="{00000004-5D40-40BD-9241-5753290D1030}"/>
                  </c:ext>
                </c:extLst>
              </c15:ser>
            </c15:filteredLineSeries>
            <c15:filteredLineSeries>
              <c15:ser>
                <c:idx val="4"/>
                <c:order val="4"/>
                <c:tx>
                  <c:v>SW (MOC)</c:v>
                </c:tx>
                <c:spPr>
                  <a:ln w="28575" cap="rnd">
                    <a:solidFill>
                      <a:schemeClr val="accent4">
                        <a:lumMod val="60000"/>
                        <a:lumOff val="40000"/>
                      </a:schemeClr>
                    </a:solidFill>
                    <a:prstDash val="sysDash"/>
                    <a:round/>
                  </a:ln>
                  <a:effectLst/>
                </c:spPr>
                <c:marker>
                  <c:symbol val="none"/>
                </c:marker>
                <c:val>
                  <c:numRef>
                    <c:extLst xmlns:c15="http://schemas.microsoft.com/office/drawing/2012/chart">
                      <c:ext xmlns:c15="http://schemas.microsoft.com/office/drawing/2012/chart" uri="{02D57815-91ED-43cb-92C2-25804820EDAC}">
                        <c15:formulaRef>
                          <c15:sqref>'2025-Q2'!$AV$4:$AV$350</c15:sqref>
                        </c15:formulaRef>
                      </c:ext>
                    </c:extLst>
                    <c:numCache>
                      <c:formatCode>"$"#,##0</c:formatCode>
                      <c:ptCount val="347"/>
                      <c:pt idx="0">
                        <c:v>0</c:v>
                      </c:pt>
                      <c:pt idx="1">
                        <c:v>0</c:v>
                      </c:pt>
                      <c:pt idx="2">
                        <c:v>45.449999999999818</c:v>
                      </c:pt>
                      <c:pt idx="3">
                        <c:v>35.25</c:v>
                      </c:pt>
                      <c:pt idx="4">
                        <c:v>55.25</c:v>
                      </c:pt>
                      <c:pt idx="5">
                        <c:v>70.090000000000146</c:v>
                      </c:pt>
                      <c:pt idx="6">
                        <c:v>85.490000000000236</c:v>
                      </c:pt>
                      <c:pt idx="7">
                        <c:v>158.24</c:v>
                      </c:pt>
                      <c:pt idx="8">
                        <c:v>177.32000000000005</c:v>
                      </c:pt>
                      <c:pt idx="9">
                        <c:v>177.32000000000005</c:v>
                      </c:pt>
                      <c:pt idx="10">
                        <c:v>197.30000000000007</c:v>
                      </c:pt>
                      <c:pt idx="11">
                        <c:v>236.89999999999998</c:v>
                      </c:pt>
                      <c:pt idx="12">
                        <c:v>236.89999999999998</c:v>
                      </c:pt>
                      <c:pt idx="13">
                        <c:v>231.72000000000014</c:v>
                      </c:pt>
                      <c:pt idx="14">
                        <c:v>231.72000000000014</c:v>
                      </c:pt>
                      <c:pt idx="15">
                        <c:v>231.54000000000008</c:v>
                      </c:pt>
                      <c:pt idx="16">
                        <c:v>231.54000000000008</c:v>
                      </c:pt>
                      <c:pt idx="17">
                        <c:v>231.54000000000008</c:v>
                      </c:pt>
                      <c:pt idx="18">
                        <c:v>212.34000000000003</c:v>
                      </c:pt>
                      <c:pt idx="19">
                        <c:v>243.65999999999997</c:v>
                      </c:pt>
                      <c:pt idx="20">
                        <c:v>256.64966594568602</c:v>
                      </c:pt>
                      <c:pt idx="21">
                        <c:v>252.56795937946242</c:v>
                      </c:pt>
                      <c:pt idx="22">
                        <c:v>252.56795937946242</c:v>
                      </c:pt>
                      <c:pt idx="23">
                        <c:v>258.96870149449035</c:v>
                      </c:pt>
                      <c:pt idx="24">
                        <c:v>281.78870149449051</c:v>
                      </c:pt>
                      <c:pt idx="25">
                        <c:v>19.92870149449061</c:v>
                      </c:pt>
                      <c:pt idx="26">
                        <c:v>19.92870149449061</c:v>
                      </c:pt>
                      <c:pt idx="27">
                        <c:v>19.92870149449061</c:v>
                      </c:pt>
                      <c:pt idx="28">
                        <c:v>19.92870149449061</c:v>
                      </c:pt>
                      <c:pt idx="29">
                        <c:v>26.67870149449061</c:v>
                      </c:pt>
                      <c:pt idx="30">
                        <c:v>26.67870149449061</c:v>
                      </c:pt>
                      <c:pt idx="31">
                        <c:v>26.67870149449061</c:v>
                      </c:pt>
                      <c:pt idx="32">
                        <c:v>26.67870149449061</c:v>
                      </c:pt>
                      <c:pt idx="33">
                        <c:v>18.628701494490656</c:v>
                      </c:pt>
                      <c:pt idx="34">
                        <c:v>-37.621298505509344</c:v>
                      </c:pt>
                      <c:pt idx="35">
                        <c:v>-117.30129850550941</c:v>
                      </c:pt>
                      <c:pt idx="36">
                        <c:v>-117.30129850550941</c:v>
                      </c:pt>
                      <c:pt idx="37">
                        <c:v>-136.55129850550941</c:v>
                      </c:pt>
                      <c:pt idx="38">
                        <c:v>-121.67129850550941</c:v>
                      </c:pt>
                      <c:pt idx="39">
                        <c:v>-121.67129850550941</c:v>
                      </c:pt>
                      <c:pt idx="40">
                        <c:v>-121.67129850550941</c:v>
                      </c:pt>
                      <c:pt idx="41">
                        <c:v>-121.67129850550941</c:v>
                      </c:pt>
                      <c:pt idx="42">
                        <c:v>-121.67129850550941</c:v>
                      </c:pt>
                      <c:pt idx="43">
                        <c:v>-45.861298505509467</c:v>
                      </c:pt>
                      <c:pt idx="44">
                        <c:v>-39.361298505509467</c:v>
                      </c:pt>
                      <c:pt idx="45">
                        <c:v>-28.111298505509467</c:v>
                      </c:pt>
                      <c:pt idx="46">
                        <c:v>-28.111298505509467</c:v>
                      </c:pt>
                      <c:pt idx="47">
                        <c:v>-28.111298505509467</c:v>
                      </c:pt>
                      <c:pt idx="48">
                        <c:v>-28.111298505509467</c:v>
                      </c:pt>
                      <c:pt idx="49">
                        <c:v>-142.53968337706056</c:v>
                      </c:pt>
                      <c:pt idx="50">
                        <c:v>-160.4474473522157</c:v>
                      </c:pt>
                      <c:pt idx="51">
                        <c:v>-68.287447352215622</c:v>
                      </c:pt>
                      <c:pt idx="52">
                        <c:v>-68.287447352215622</c:v>
                      </c:pt>
                      <c:pt idx="53">
                        <c:v>-33.00744735221565</c:v>
                      </c:pt>
                      <c:pt idx="54">
                        <c:v>-14.627447352215654</c:v>
                      </c:pt>
                      <c:pt idx="55">
                        <c:v>-14.627447352215654</c:v>
                      </c:pt>
                      <c:pt idx="56">
                        <c:v>-64.227447352215677</c:v>
                      </c:pt>
                      <c:pt idx="57">
                        <c:v>-64.227447352215677</c:v>
                      </c:pt>
                      <c:pt idx="58">
                        <c:v>-32.927447352215609</c:v>
                      </c:pt>
                      <c:pt idx="59">
                        <c:v>5.1725526477844141</c:v>
                      </c:pt>
                      <c:pt idx="60">
                        <c:v>7.8725526477844596</c:v>
                      </c:pt>
                      <c:pt idx="61">
                        <c:v>37.932552647784405</c:v>
                      </c:pt>
                      <c:pt idx="62">
                        <c:v>102.73255264778447</c:v>
                      </c:pt>
                      <c:pt idx="63">
                        <c:v>118.39255264778456</c:v>
                      </c:pt>
                      <c:pt idx="64">
                        <c:v>125.29255264778453</c:v>
                      </c:pt>
                      <c:pt idx="65">
                        <c:v>174.54255264778453</c:v>
                      </c:pt>
                      <c:pt idx="66">
                        <c:v>174.54255264778453</c:v>
                      </c:pt>
                      <c:pt idx="67">
                        <c:v>174.54255264778453</c:v>
                      </c:pt>
                      <c:pt idx="68">
                        <c:v>174.54255264778453</c:v>
                      </c:pt>
                      <c:pt idx="69">
                        <c:v>174.54255264778453</c:v>
                      </c:pt>
                      <c:pt idx="70">
                        <c:v>174.54255264778453</c:v>
                      </c:pt>
                      <c:pt idx="71">
                        <c:v>174.54255264778453</c:v>
                      </c:pt>
                      <c:pt idx="72">
                        <c:v>215.38255264778456</c:v>
                      </c:pt>
                      <c:pt idx="73">
                        <c:v>188.17255264778453</c:v>
                      </c:pt>
                      <c:pt idx="74">
                        <c:v>219.13255264778456</c:v>
                      </c:pt>
                      <c:pt idx="75">
                        <c:v>165.93255264778452</c:v>
                      </c:pt>
                      <c:pt idx="76">
                        <c:v>215.8325526477845</c:v>
                      </c:pt>
                      <c:pt idx="77">
                        <c:v>259.68255264778452</c:v>
                      </c:pt>
                      <c:pt idx="78">
                        <c:v>195.08255264778461</c:v>
                      </c:pt>
                      <c:pt idx="79">
                        <c:v>195.08255264778461</c:v>
                      </c:pt>
                      <c:pt idx="80">
                        <c:v>208.3425526477846</c:v>
                      </c:pt>
                      <c:pt idx="81">
                        <c:v>208.3425526477846</c:v>
                      </c:pt>
                      <c:pt idx="82">
                        <c:v>208.3425526477846</c:v>
                      </c:pt>
                      <c:pt idx="83">
                        <c:v>236.54255264778465</c:v>
                      </c:pt>
                      <c:pt idx="84">
                        <c:v>75.742552647784692</c:v>
                      </c:pt>
                      <c:pt idx="85">
                        <c:v>75.742552647784692</c:v>
                      </c:pt>
                      <c:pt idx="86">
                        <c:v>44.742552647784692</c:v>
                      </c:pt>
                      <c:pt idx="87">
                        <c:v>44.742552647784692</c:v>
                      </c:pt>
                      <c:pt idx="88">
                        <c:v>44.742552647784692</c:v>
                      </c:pt>
                      <c:pt idx="89">
                        <c:v>59.622552647784573</c:v>
                      </c:pt>
                      <c:pt idx="90">
                        <c:v>59.622552647784573</c:v>
                      </c:pt>
                      <c:pt idx="91">
                        <c:v>59.622552647784573</c:v>
                      </c:pt>
                      <c:pt idx="92">
                        <c:v>59.622552647784573</c:v>
                      </c:pt>
                      <c:pt idx="93">
                        <c:v>30.959567043367201</c:v>
                      </c:pt>
                      <c:pt idx="94">
                        <c:v>47.809567043367224</c:v>
                      </c:pt>
                      <c:pt idx="95">
                        <c:v>47.809567043367224</c:v>
                      </c:pt>
                      <c:pt idx="96">
                        <c:v>47.809567043367224</c:v>
                      </c:pt>
                      <c:pt idx="97">
                        <c:v>47.809567043367224</c:v>
                      </c:pt>
                      <c:pt idx="98">
                        <c:v>47.809567043367224</c:v>
                      </c:pt>
                      <c:pt idx="99">
                        <c:v>-49.590432956632867</c:v>
                      </c:pt>
                      <c:pt idx="100">
                        <c:v>-49.590432956632867</c:v>
                      </c:pt>
                      <c:pt idx="101">
                        <c:v>-67.840432956632867</c:v>
                      </c:pt>
                      <c:pt idx="102">
                        <c:v>-68.000432956632835</c:v>
                      </c:pt>
                      <c:pt idx="103">
                        <c:v>-68.000432956632835</c:v>
                      </c:pt>
                      <c:pt idx="104">
                        <c:v>-71.840432956632753</c:v>
                      </c:pt>
                      <c:pt idx="105">
                        <c:v>-71.840432956632753</c:v>
                      </c:pt>
                      <c:pt idx="106">
                        <c:v>-71.840432956632753</c:v>
                      </c:pt>
                      <c:pt idx="107">
                        <c:v>-136.64043295663271</c:v>
                      </c:pt>
                      <c:pt idx="108">
                        <c:v>-122.36043295663274</c:v>
                      </c:pt>
                      <c:pt idx="109">
                        <c:v>-176.00043295663284</c:v>
                      </c:pt>
                      <c:pt idx="110">
                        <c:v>-176.00043295663284</c:v>
                      </c:pt>
                      <c:pt idx="111">
                        <c:v>-176.00043295663284</c:v>
                      </c:pt>
                      <c:pt idx="112">
                        <c:v>-216.47043295663286</c:v>
                      </c:pt>
                      <c:pt idx="113">
                        <c:v>-188.0787935487491</c:v>
                      </c:pt>
                      <c:pt idx="114">
                        <c:v>-175.97879354874919</c:v>
                      </c:pt>
                      <c:pt idx="115">
                        <c:v>-61.018793548749386</c:v>
                      </c:pt>
                      <c:pt idx="116">
                        <c:v>-61.018793548749386</c:v>
                      </c:pt>
                      <c:pt idx="117">
                        <c:v>-61.018793548749386</c:v>
                      </c:pt>
                      <c:pt idx="118">
                        <c:v>-25.19879354874945</c:v>
                      </c:pt>
                      <c:pt idx="119">
                        <c:v>-31.378793548749513</c:v>
                      </c:pt>
                      <c:pt idx="120">
                        <c:v>-31.378793548749513</c:v>
                      </c:pt>
                      <c:pt idx="121">
                        <c:v>-31.378793548749513</c:v>
                      </c:pt>
                      <c:pt idx="122">
                        <c:v>-100.2787935487496</c:v>
                      </c:pt>
                      <c:pt idx="123">
                        <c:v>-109.67879354874947</c:v>
                      </c:pt>
                      <c:pt idx="124">
                        <c:v>-109.67879354874947</c:v>
                      </c:pt>
                      <c:pt idx="125">
                        <c:v>-43.758793548749395</c:v>
                      </c:pt>
                      <c:pt idx="126">
                        <c:v>-42.408793548749259</c:v>
                      </c:pt>
                      <c:pt idx="127">
                        <c:v>-42.408793548749259</c:v>
                      </c:pt>
                      <c:pt idx="128">
                        <c:v>-18.358793548749304</c:v>
                      </c:pt>
                      <c:pt idx="129">
                        <c:v>-18.358793548749304</c:v>
                      </c:pt>
                      <c:pt idx="130">
                        <c:v>24.921206451250669</c:v>
                      </c:pt>
                      <c:pt idx="131">
                        <c:v>24.921206451250669</c:v>
                      </c:pt>
                      <c:pt idx="132">
                        <c:v>18.921206451250555</c:v>
                      </c:pt>
                      <c:pt idx="133">
                        <c:v>18.921206451250555</c:v>
                      </c:pt>
                      <c:pt idx="134">
                        <c:v>18.921206451250555</c:v>
                      </c:pt>
                      <c:pt idx="135">
                        <c:v>18.921206451250555</c:v>
                      </c:pt>
                      <c:pt idx="136">
                        <c:v>18.921206451250555</c:v>
                      </c:pt>
                      <c:pt idx="137">
                        <c:v>18.921206451250555</c:v>
                      </c:pt>
                      <c:pt idx="138">
                        <c:v>18.921206451250555</c:v>
                      </c:pt>
                      <c:pt idx="139">
                        <c:v>18.921206451250555</c:v>
                      </c:pt>
                      <c:pt idx="140">
                        <c:v>26.761206451250359</c:v>
                      </c:pt>
                      <c:pt idx="141">
                        <c:v>26.761206451250359</c:v>
                      </c:pt>
                      <c:pt idx="142">
                        <c:v>26.761206451250359</c:v>
                      </c:pt>
                      <c:pt idx="143">
                        <c:v>26.761206451250359</c:v>
                      </c:pt>
                      <c:pt idx="144">
                        <c:v>26.761206451250359</c:v>
                      </c:pt>
                      <c:pt idx="145">
                        <c:v>26.761206451250359</c:v>
                      </c:pt>
                      <c:pt idx="146">
                        <c:v>26.761206451250359</c:v>
                      </c:pt>
                      <c:pt idx="147">
                        <c:v>26.761206451250359</c:v>
                      </c:pt>
                      <c:pt idx="148">
                        <c:v>32.011206451250359</c:v>
                      </c:pt>
                      <c:pt idx="149">
                        <c:v>82.511206451250359</c:v>
                      </c:pt>
                      <c:pt idx="150">
                        <c:v>113.42120645125044</c:v>
                      </c:pt>
                      <c:pt idx="151">
                        <c:v>236.01120645125059</c:v>
                      </c:pt>
                      <c:pt idx="152">
                        <c:v>236.01120645125059</c:v>
                      </c:pt>
                      <c:pt idx="153">
                        <c:v>178.41120645125056</c:v>
                      </c:pt>
                      <c:pt idx="154">
                        <c:v>190.35120645125062</c:v>
                      </c:pt>
                      <c:pt idx="155">
                        <c:v>171.54120645125067</c:v>
                      </c:pt>
                      <c:pt idx="156">
                        <c:v>171.54120645125067</c:v>
                      </c:pt>
                      <c:pt idx="157">
                        <c:v>175.84120645125066</c:v>
                      </c:pt>
                      <c:pt idx="158">
                        <c:v>141.43120645125069</c:v>
                      </c:pt>
                      <c:pt idx="159">
                        <c:v>48.131206451250733</c:v>
                      </c:pt>
                      <c:pt idx="160">
                        <c:v>85.331206451250551</c:v>
                      </c:pt>
                      <c:pt idx="161">
                        <c:v>118.93120645125057</c:v>
                      </c:pt>
                      <c:pt idx="162">
                        <c:v>118.93120645125057</c:v>
                      </c:pt>
                      <c:pt idx="163">
                        <c:v>118.93120645125057</c:v>
                      </c:pt>
                      <c:pt idx="164">
                        <c:v>126.41120645125059</c:v>
                      </c:pt>
                      <c:pt idx="165">
                        <c:v>216.02120645125072</c:v>
                      </c:pt>
                      <c:pt idx="166">
                        <c:v>208.66120645125071</c:v>
                      </c:pt>
                      <c:pt idx="167">
                        <c:v>227.98120645125087</c:v>
                      </c:pt>
                      <c:pt idx="168">
                        <c:v>227.98120645125087</c:v>
                      </c:pt>
                      <c:pt idx="169">
                        <c:v>247.23120645125087</c:v>
                      </c:pt>
                      <c:pt idx="170">
                        <c:v>247.23120645125087</c:v>
                      </c:pt>
                      <c:pt idx="171">
                        <c:v>161.08120645125089</c:v>
                      </c:pt>
                      <c:pt idx="172">
                        <c:v>161.08120645125089</c:v>
                      </c:pt>
                      <c:pt idx="173">
                        <c:v>229.00120645125085</c:v>
                      </c:pt>
                      <c:pt idx="174">
                        <c:v>229.00120645125085</c:v>
                      </c:pt>
                      <c:pt idx="175">
                        <c:v>319.42120645125067</c:v>
                      </c:pt>
                      <c:pt idx="176">
                        <c:v>319.42120645125067</c:v>
                      </c:pt>
                      <c:pt idx="177">
                        <c:v>365.84120645125074</c:v>
                      </c:pt>
                      <c:pt idx="178">
                        <c:v>365.84120645125074</c:v>
                      </c:pt>
                      <c:pt idx="179">
                        <c:v>365.84120645125074</c:v>
                      </c:pt>
                      <c:pt idx="180">
                        <c:v>314.2412064512506</c:v>
                      </c:pt>
                      <c:pt idx="181">
                        <c:v>307.34120645125074</c:v>
                      </c:pt>
                      <c:pt idx="182">
                        <c:v>332.24120645125083</c:v>
                      </c:pt>
                      <c:pt idx="183">
                        <c:v>339.09120645125086</c:v>
                      </c:pt>
                      <c:pt idx="184">
                        <c:v>339.09120645125086</c:v>
                      </c:pt>
                      <c:pt idx="185">
                        <c:v>339.09120645125086</c:v>
                      </c:pt>
                      <c:pt idx="186">
                        <c:v>339.09120645125086</c:v>
                      </c:pt>
                      <c:pt idx="187">
                        <c:v>331.25120645125094</c:v>
                      </c:pt>
                      <c:pt idx="188">
                        <c:v>331.25120645125094</c:v>
                      </c:pt>
                      <c:pt idx="189">
                        <c:v>331.25120645125094</c:v>
                      </c:pt>
                      <c:pt idx="190">
                        <c:v>271.49120645125095</c:v>
                      </c:pt>
                      <c:pt idx="191">
                        <c:v>271.49120645125095</c:v>
                      </c:pt>
                      <c:pt idx="192">
                        <c:v>218.73120645125073</c:v>
                      </c:pt>
                      <c:pt idx="193">
                        <c:v>218.73120645125073</c:v>
                      </c:pt>
                      <c:pt idx="194">
                        <c:v>218.73120645125073</c:v>
                      </c:pt>
                      <c:pt idx="195">
                        <c:v>158.55120645125089</c:v>
                      </c:pt>
                      <c:pt idx="196">
                        <c:v>155.69120645125099</c:v>
                      </c:pt>
                      <c:pt idx="197">
                        <c:v>155.69120645125099</c:v>
                      </c:pt>
                      <c:pt idx="198">
                        <c:v>155.69120645125099</c:v>
                      </c:pt>
                      <c:pt idx="199">
                        <c:v>155.69120645125099</c:v>
                      </c:pt>
                      <c:pt idx="200">
                        <c:v>155.69120645125099</c:v>
                      </c:pt>
                      <c:pt idx="201">
                        <c:v>155.69120645125099</c:v>
                      </c:pt>
                      <c:pt idx="202">
                        <c:v>165.81120645125111</c:v>
                      </c:pt>
                      <c:pt idx="203">
                        <c:v>165.81120645125111</c:v>
                      </c:pt>
                      <c:pt idx="204">
                        <c:v>194.93120645125123</c:v>
                      </c:pt>
                      <c:pt idx="205">
                        <c:v>118.37120645125117</c:v>
                      </c:pt>
                      <c:pt idx="206">
                        <c:v>195.83120645125121</c:v>
                      </c:pt>
                      <c:pt idx="207">
                        <c:v>195.83120645125121</c:v>
                      </c:pt>
                      <c:pt idx="208">
                        <c:v>181.91120645125113</c:v>
                      </c:pt>
                      <c:pt idx="209">
                        <c:v>181.91120645125113</c:v>
                      </c:pt>
                      <c:pt idx="210">
                        <c:v>77.06120645125111</c:v>
                      </c:pt>
                      <c:pt idx="211">
                        <c:v>66.701206451251096</c:v>
                      </c:pt>
                      <c:pt idx="212">
                        <c:v>85.211399342838945</c:v>
                      </c:pt>
                      <c:pt idx="213">
                        <c:v>85.211399342838945</c:v>
                      </c:pt>
                      <c:pt idx="214">
                        <c:v>85.211399342838945</c:v>
                      </c:pt>
                      <c:pt idx="215">
                        <c:v>85.211399342838945</c:v>
                      </c:pt>
                      <c:pt idx="216">
                        <c:v>129.05139934283909</c:v>
                      </c:pt>
                      <c:pt idx="217">
                        <c:v>129.05139934283909</c:v>
                      </c:pt>
                      <c:pt idx="218">
                        <c:v>129.05139934283909</c:v>
                      </c:pt>
                      <c:pt idx="219">
                        <c:v>246.01139934283913</c:v>
                      </c:pt>
                      <c:pt idx="220">
                        <c:v>246.01139934283913</c:v>
                      </c:pt>
                      <c:pt idx="221">
                        <c:v>231.71139934283894</c:v>
                      </c:pt>
                      <c:pt idx="222">
                        <c:v>231.71139934283894</c:v>
                      </c:pt>
                      <c:pt idx="223">
                        <c:v>231.71139934283894</c:v>
                      </c:pt>
                      <c:pt idx="224">
                        <c:v>302.23139934283893</c:v>
                      </c:pt>
                      <c:pt idx="225">
                        <c:v>302.23139934283893</c:v>
                      </c:pt>
                      <c:pt idx="226">
                        <c:v>199.28139934283888</c:v>
                      </c:pt>
                      <c:pt idx="227">
                        <c:v>199.28139934283888</c:v>
                      </c:pt>
                      <c:pt idx="228">
                        <c:v>216.20139934283895</c:v>
                      </c:pt>
                      <c:pt idx="229">
                        <c:v>255.68139934283897</c:v>
                      </c:pt>
                      <c:pt idx="230">
                        <c:v>255.68139934283897</c:v>
                      </c:pt>
                      <c:pt idx="231">
                        <c:v>213.14249066104651</c:v>
                      </c:pt>
                      <c:pt idx="232">
                        <c:v>266.9024906610465</c:v>
                      </c:pt>
                      <c:pt idx="233">
                        <c:v>256.66249066104672</c:v>
                      </c:pt>
                      <c:pt idx="234">
                        <c:v>256.66249066104672</c:v>
                      </c:pt>
                      <c:pt idx="235">
                        <c:v>256.66249066104672</c:v>
                      </c:pt>
                      <c:pt idx="236">
                        <c:v>256.66249066104672</c:v>
                      </c:pt>
                      <c:pt idx="237">
                        <c:v>264.4624906610469</c:v>
                      </c:pt>
                      <c:pt idx="238">
                        <c:v>167.92249066104694</c:v>
                      </c:pt>
                      <c:pt idx="239">
                        <c:v>187.36249066104699</c:v>
                      </c:pt>
                      <c:pt idx="240">
                        <c:v>187.36249066104699</c:v>
                      </c:pt>
                      <c:pt idx="241">
                        <c:v>187.36249066104699</c:v>
                      </c:pt>
                      <c:pt idx="242">
                        <c:v>186.04249066104705</c:v>
                      </c:pt>
                      <c:pt idx="243">
                        <c:v>186.04249066104705</c:v>
                      </c:pt>
                      <c:pt idx="244">
                        <c:v>87.822490661047027</c:v>
                      </c:pt>
                      <c:pt idx="245">
                        <c:v>87.822490661047027</c:v>
                      </c:pt>
                      <c:pt idx="246">
                        <c:v>87.822490661047027</c:v>
                      </c:pt>
                      <c:pt idx="247">
                        <c:v>87.822490661047027</c:v>
                      </c:pt>
                      <c:pt idx="248">
                        <c:v>87.822490661047027</c:v>
                      </c:pt>
                      <c:pt idx="249">
                        <c:v>87.822490661047027</c:v>
                      </c:pt>
                      <c:pt idx="250">
                        <c:v>87.822490661047027</c:v>
                      </c:pt>
                      <c:pt idx="251">
                        <c:v>-6.3775093389530184</c:v>
                      </c:pt>
                      <c:pt idx="252">
                        <c:v>3.4224906610469361</c:v>
                      </c:pt>
                      <c:pt idx="253">
                        <c:v>3.4224906610469361</c:v>
                      </c:pt>
                      <c:pt idx="254">
                        <c:v>3.4224906610469361</c:v>
                      </c:pt>
                      <c:pt idx="255">
                        <c:v>3.4224906610469361</c:v>
                      </c:pt>
                      <c:pt idx="256">
                        <c:v>33.122490661046754</c:v>
                      </c:pt>
                      <c:pt idx="257">
                        <c:v>33.122490661046754</c:v>
                      </c:pt>
                      <c:pt idx="258">
                        <c:v>33.122490661046754</c:v>
                      </c:pt>
                      <c:pt idx="259">
                        <c:v>33.122490661046754</c:v>
                      </c:pt>
                      <c:pt idx="260">
                        <c:v>33.122490661046754</c:v>
                      </c:pt>
                      <c:pt idx="261">
                        <c:v>33.122490661046754</c:v>
                      </c:pt>
                      <c:pt idx="262">
                        <c:v>33.122490661046754</c:v>
                      </c:pt>
                      <c:pt idx="263">
                        <c:v>-3.3275093389532913</c:v>
                      </c:pt>
                      <c:pt idx="264">
                        <c:v>-3.3275093389532913</c:v>
                      </c:pt>
                      <c:pt idx="265">
                        <c:v>-3.3275093389532913</c:v>
                      </c:pt>
                      <c:pt idx="266">
                        <c:v>20.122490661046527</c:v>
                      </c:pt>
                      <c:pt idx="267">
                        <c:v>20.122490661046527</c:v>
                      </c:pt>
                      <c:pt idx="268">
                        <c:v>20.122490661046527</c:v>
                      </c:pt>
                      <c:pt idx="269">
                        <c:v>20.122490661046527</c:v>
                      </c:pt>
                      <c:pt idx="270">
                        <c:v>20.122490661046527</c:v>
                      </c:pt>
                      <c:pt idx="271">
                        <c:v>20.122490661046527</c:v>
                      </c:pt>
                      <c:pt idx="272">
                        <c:v>20.122490661046527</c:v>
                      </c:pt>
                      <c:pt idx="273">
                        <c:v>20.122490661046527</c:v>
                      </c:pt>
                      <c:pt idx="274">
                        <c:v>20.122490661046527</c:v>
                      </c:pt>
                      <c:pt idx="275">
                        <c:v>20.122490661046527</c:v>
                      </c:pt>
                      <c:pt idx="276">
                        <c:v>20.122490661046527</c:v>
                      </c:pt>
                      <c:pt idx="277">
                        <c:v>20.122490661046527</c:v>
                      </c:pt>
                      <c:pt idx="278">
                        <c:v>20.122490661046527</c:v>
                      </c:pt>
                      <c:pt idx="279">
                        <c:v>20.122490661046527</c:v>
                      </c:pt>
                      <c:pt idx="280">
                        <c:v>15.562490661046581</c:v>
                      </c:pt>
                      <c:pt idx="281">
                        <c:v>-40.597509338953273</c:v>
                      </c:pt>
                      <c:pt idx="282">
                        <c:v>-40.597509338953273</c:v>
                      </c:pt>
                      <c:pt idx="283">
                        <c:v>-40.597509338953273</c:v>
                      </c:pt>
                      <c:pt idx="284">
                        <c:v>-7.2975093389533185</c:v>
                      </c:pt>
                      <c:pt idx="285">
                        <c:v>-7.2975093389533185</c:v>
                      </c:pt>
                      <c:pt idx="286">
                        <c:v>1.1024906610467724</c:v>
                      </c:pt>
                      <c:pt idx="287">
                        <c:v>1.1024906610467724</c:v>
                      </c:pt>
                      <c:pt idx="288">
                        <c:v>151.70249066104691</c:v>
                      </c:pt>
                      <c:pt idx="289">
                        <c:v>151.70249066104691</c:v>
                      </c:pt>
                      <c:pt idx="290">
                        <c:v>151.70249066104691</c:v>
                      </c:pt>
                      <c:pt idx="291">
                        <c:v>151.70249066104691</c:v>
                      </c:pt>
                      <c:pt idx="292">
                        <c:v>151.70249066104691</c:v>
                      </c:pt>
                      <c:pt idx="293">
                        <c:v>148.00249066104664</c:v>
                      </c:pt>
                      <c:pt idx="294">
                        <c:v>148.00249066104664</c:v>
                      </c:pt>
                      <c:pt idx="295">
                        <c:v>148.00249066104664</c:v>
                      </c:pt>
                      <c:pt idx="296">
                        <c:v>148.00249066104664</c:v>
                      </c:pt>
                      <c:pt idx="297">
                        <c:v>148.00249066104664</c:v>
                      </c:pt>
                      <c:pt idx="298">
                        <c:v>148.00249066104664</c:v>
                      </c:pt>
                      <c:pt idx="299">
                        <c:v>121.60249066104666</c:v>
                      </c:pt>
                      <c:pt idx="300">
                        <c:v>175.24249066104653</c:v>
                      </c:pt>
                      <c:pt idx="301">
                        <c:v>345.26249066104651</c:v>
                      </c:pt>
                      <c:pt idx="302">
                        <c:v>345.26249066104651</c:v>
                      </c:pt>
                      <c:pt idx="303">
                        <c:v>428.48249066104654</c:v>
                      </c:pt>
                      <c:pt idx="304">
                        <c:v>428.48249066104654</c:v>
                      </c:pt>
                      <c:pt idx="305">
                        <c:v>531.88249066104663</c:v>
                      </c:pt>
                      <c:pt idx="306">
                        <c:v>676.08249066104668</c:v>
                      </c:pt>
                      <c:pt idx="307">
                        <c:v>685.53249066104672</c:v>
                      </c:pt>
                      <c:pt idx="308">
                        <c:v>685.53249066104672</c:v>
                      </c:pt>
                      <c:pt idx="309">
                        <c:v>685.53249066104672</c:v>
                      </c:pt>
                      <c:pt idx="310">
                        <c:v>685.53249066104672</c:v>
                      </c:pt>
                      <c:pt idx="311">
                        <c:v>685.53249066104672</c:v>
                      </c:pt>
                      <c:pt idx="312">
                        <c:v>685.53249066104672</c:v>
                      </c:pt>
                      <c:pt idx="313">
                        <c:v>685.53249066104672</c:v>
                      </c:pt>
                      <c:pt idx="314">
                        <c:v>685.53249066104672</c:v>
                      </c:pt>
                      <c:pt idx="315">
                        <c:v>685.53249066104672</c:v>
                      </c:pt>
                      <c:pt idx="316">
                        <c:v>685.53249066104672</c:v>
                      </c:pt>
                      <c:pt idx="317">
                        <c:v>685.53249066104672</c:v>
                      </c:pt>
                      <c:pt idx="318">
                        <c:v>599.43627194988017</c:v>
                      </c:pt>
                      <c:pt idx="319">
                        <c:v>814.11627194988023</c:v>
                      </c:pt>
                      <c:pt idx="320">
                        <c:v>814.11627194988023</c:v>
                      </c:pt>
                      <c:pt idx="321">
                        <c:v>804.91627194988018</c:v>
                      </c:pt>
                      <c:pt idx="322">
                        <c:v>869.71627194988037</c:v>
                      </c:pt>
                      <c:pt idx="323">
                        <c:v>640.46627194988037</c:v>
                      </c:pt>
                      <c:pt idx="324">
                        <c:v>640.46627194988037</c:v>
                      </c:pt>
                      <c:pt idx="325">
                        <c:v>690.46627194988037</c:v>
                      </c:pt>
                      <c:pt idx="326">
                        <c:v>690.46627194988037</c:v>
                      </c:pt>
                      <c:pt idx="327">
                        <c:v>686.86627194988023</c:v>
                      </c:pt>
                      <c:pt idx="328">
                        <c:v>659.41627194988018</c:v>
                      </c:pt>
                      <c:pt idx="329">
                        <c:v>659.41627194988018</c:v>
                      </c:pt>
                      <c:pt idx="330">
                        <c:v>659.41627194988018</c:v>
                      </c:pt>
                      <c:pt idx="331">
                        <c:v>730.45627194988015</c:v>
                      </c:pt>
                      <c:pt idx="332">
                        <c:v>846.73627194988012</c:v>
                      </c:pt>
                      <c:pt idx="333">
                        <c:v>906.13627194988021</c:v>
                      </c:pt>
                      <c:pt idx="334">
                        <c:v>906.13627194988021</c:v>
                      </c:pt>
                      <c:pt idx="335">
                        <c:v>962.59627194988025</c:v>
                      </c:pt>
                      <c:pt idx="336">
                        <c:v>956.35627194988024</c:v>
                      </c:pt>
                      <c:pt idx="337">
                        <c:v>956.35627194988024</c:v>
                      </c:pt>
                      <c:pt idx="338">
                        <c:v>956.35627194988024</c:v>
                      </c:pt>
                      <c:pt idx="339">
                        <c:v>892.09627194988025</c:v>
                      </c:pt>
                      <c:pt idx="340">
                        <c:v>768.40627194988019</c:v>
                      </c:pt>
                      <c:pt idx="341">
                        <c:v>768.40627194988019</c:v>
                      </c:pt>
                      <c:pt idx="342">
                        <c:v>768.40627194988019</c:v>
                      </c:pt>
                      <c:pt idx="343">
                        <c:v>759.08627194988026</c:v>
                      </c:pt>
                      <c:pt idx="344">
                        <c:v>631.52627194988031</c:v>
                      </c:pt>
                      <c:pt idx="345">
                        <c:v>631.52627194988031</c:v>
                      </c:pt>
                      <c:pt idx="346">
                        <c:v>631.52627194988031</c:v>
                      </c:pt>
                    </c:numCache>
                  </c:numRef>
                </c:val>
                <c:smooth val="0"/>
                <c:extLst xmlns:c15="http://schemas.microsoft.com/office/drawing/2012/chart">
                  <c:ext xmlns:c16="http://schemas.microsoft.com/office/drawing/2014/chart" uri="{C3380CC4-5D6E-409C-BE32-E72D297353CC}">
                    <c16:uniqueId val="{00000005-5D40-40BD-9241-5753290D1030}"/>
                  </c:ext>
                </c:extLst>
              </c15:ser>
            </c15:filteredLineSeries>
            <c15:filteredLineSeries>
              <c15:ser>
                <c:idx val="6"/>
                <c:order val="6"/>
                <c:tx>
                  <c:v>Dwn (MOC)</c:v>
                </c:tx>
                <c:spPr>
                  <a:ln w="28575" cap="rnd">
                    <a:solidFill>
                      <a:schemeClr val="accent2">
                        <a:lumMod val="60000"/>
                        <a:lumOff val="40000"/>
                      </a:schemeClr>
                    </a:solidFill>
                    <a:prstDash val="sysDash"/>
                    <a:round/>
                  </a:ln>
                  <a:effectLst/>
                </c:spPr>
                <c:marker>
                  <c:symbol val="none"/>
                </c:marker>
                <c:val>
                  <c:numRef>
                    <c:extLst xmlns:c15="http://schemas.microsoft.com/office/drawing/2012/chart">
                      <c:ext xmlns:c15="http://schemas.microsoft.com/office/drawing/2012/chart" uri="{02D57815-91ED-43cb-92C2-25804820EDAC}">
                        <c15:formulaRef>
                          <c15:sqref>'2025-Q2'!$AZ$4:$AZ$350</c15:sqref>
                        </c15:formulaRef>
                      </c:ext>
                    </c:extLst>
                    <c:numCache>
                      <c:formatCode>"$"#,##0</c:formatCode>
                      <c:ptCount val="347"/>
                      <c:pt idx="0">
                        <c:v>-254.69999999999982</c:v>
                      </c:pt>
                      <c:pt idx="1">
                        <c:v>-262.79999999999973</c:v>
                      </c:pt>
                      <c:pt idx="2">
                        <c:v>-262.79999999999973</c:v>
                      </c:pt>
                      <c:pt idx="3">
                        <c:v>-262.79999999999973</c:v>
                      </c:pt>
                      <c:pt idx="4">
                        <c:v>-262.79999999999973</c:v>
                      </c:pt>
                      <c:pt idx="5">
                        <c:v>-262.79999999999973</c:v>
                      </c:pt>
                      <c:pt idx="6">
                        <c:v>-262.79999999999973</c:v>
                      </c:pt>
                      <c:pt idx="7">
                        <c:v>-262.79999999999973</c:v>
                      </c:pt>
                      <c:pt idx="8">
                        <c:v>-262.79999999999973</c:v>
                      </c:pt>
                      <c:pt idx="9">
                        <c:v>-266.68837290281726</c:v>
                      </c:pt>
                      <c:pt idx="10">
                        <c:v>-266.68837290281726</c:v>
                      </c:pt>
                      <c:pt idx="11">
                        <c:v>-266.68837290281726</c:v>
                      </c:pt>
                      <c:pt idx="12">
                        <c:v>-267.17837290281727</c:v>
                      </c:pt>
                      <c:pt idx="13">
                        <c:v>-267.17837290281727</c:v>
                      </c:pt>
                      <c:pt idx="14">
                        <c:v>-173.75837290281697</c:v>
                      </c:pt>
                      <c:pt idx="15">
                        <c:v>-173.75837290281697</c:v>
                      </c:pt>
                      <c:pt idx="16">
                        <c:v>-89.908372902816836</c:v>
                      </c:pt>
                      <c:pt idx="17">
                        <c:v>-65.608372902816654</c:v>
                      </c:pt>
                      <c:pt idx="18">
                        <c:v>-65.608372902816654</c:v>
                      </c:pt>
                      <c:pt idx="19">
                        <c:v>-65.608372902816654</c:v>
                      </c:pt>
                      <c:pt idx="20">
                        <c:v>-65.608372902816654</c:v>
                      </c:pt>
                      <c:pt idx="21">
                        <c:v>-65.608372902816654</c:v>
                      </c:pt>
                      <c:pt idx="22">
                        <c:v>-79.1383729028164</c:v>
                      </c:pt>
                      <c:pt idx="23">
                        <c:v>-79.1383729028164</c:v>
                      </c:pt>
                      <c:pt idx="24">
                        <c:v>-79.1383729028164</c:v>
                      </c:pt>
                      <c:pt idx="25">
                        <c:v>-79.1383729028164</c:v>
                      </c:pt>
                      <c:pt idx="26">
                        <c:v>-76.1383729028164</c:v>
                      </c:pt>
                      <c:pt idx="27">
                        <c:v>-110.1383729028164</c:v>
                      </c:pt>
                      <c:pt idx="28">
                        <c:v>-118.53837290281626</c:v>
                      </c:pt>
                      <c:pt idx="29">
                        <c:v>-118.53837290281626</c:v>
                      </c:pt>
                      <c:pt idx="30">
                        <c:v>-155.63837290281617</c:v>
                      </c:pt>
                      <c:pt idx="31">
                        <c:v>-148.13837290281617</c:v>
                      </c:pt>
                      <c:pt idx="32">
                        <c:v>-164.13837290281617</c:v>
                      </c:pt>
                      <c:pt idx="33">
                        <c:v>-164.13837290281617</c:v>
                      </c:pt>
                      <c:pt idx="34">
                        <c:v>-164.13837290281617</c:v>
                      </c:pt>
                      <c:pt idx="35">
                        <c:v>-164.13837290281617</c:v>
                      </c:pt>
                      <c:pt idx="36">
                        <c:v>-173.22837290281586</c:v>
                      </c:pt>
                      <c:pt idx="37">
                        <c:v>-173.22837290281586</c:v>
                      </c:pt>
                      <c:pt idx="38">
                        <c:v>-173.22837290281586</c:v>
                      </c:pt>
                      <c:pt idx="39">
                        <c:v>-173.22837290281586</c:v>
                      </c:pt>
                      <c:pt idx="40">
                        <c:v>-322.17837290281591</c:v>
                      </c:pt>
                      <c:pt idx="41">
                        <c:v>-353.47837290281609</c:v>
                      </c:pt>
                      <c:pt idx="42">
                        <c:v>-286.37837290281595</c:v>
                      </c:pt>
                      <c:pt idx="43">
                        <c:v>-286.37837290281595</c:v>
                      </c:pt>
                      <c:pt idx="44">
                        <c:v>-286.37837290281595</c:v>
                      </c:pt>
                      <c:pt idx="45">
                        <c:v>-286.37837290281595</c:v>
                      </c:pt>
                      <c:pt idx="46">
                        <c:v>-336.14837290281594</c:v>
                      </c:pt>
                      <c:pt idx="47">
                        <c:v>-336.14837290281594</c:v>
                      </c:pt>
                      <c:pt idx="48">
                        <c:v>-437.28837290281581</c:v>
                      </c:pt>
                      <c:pt idx="49">
                        <c:v>-437.28837290281581</c:v>
                      </c:pt>
                      <c:pt idx="50">
                        <c:v>-437.28837290281581</c:v>
                      </c:pt>
                      <c:pt idx="51">
                        <c:v>-437.28837290281581</c:v>
                      </c:pt>
                      <c:pt idx="52">
                        <c:v>-546.48837290281585</c:v>
                      </c:pt>
                      <c:pt idx="53">
                        <c:v>-546.48837290281585</c:v>
                      </c:pt>
                      <c:pt idx="54">
                        <c:v>-546.48837290281585</c:v>
                      </c:pt>
                      <c:pt idx="55">
                        <c:v>-539.5683729028159</c:v>
                      </c:pt>
                      <c:pt idx="56">
                        <c:v>-539.5683729028159</c:v>
                      </c:pt>
                      <c:pt idx="57">
                        <c:v>-414.9183729028158</c:v>
                      </c:pt>
                      <c:pt idx="58">
                        <c:v>-414.9183729028158</c:v>
                      </c:pt>
                      <c:pt idx="59">
                        <c:v>-414.9183729028158</c:v>
                      </c:pt>
                      <c:pt idx="60">
                        <c:v>-414.9183729028158</c:v>
                      </c:pt>
                      <c:pt idx="61">
                        <c:v>-414.9183729028158</c:v>
                      </c:pt>
                      <c:pt idx="62">
                        <c:v>-414.9183729028158</c:v>
                      </c:pt>
                      <c:pt idx="63">
                        <c:v>-414.9183729028158</c:v>
                      </c:pt>
                      <c:pt idx="64">
                        <c:v>-414.9183729028158</c:v>
                      </c:pt>
                      <c:pt idx="65">
                        <c:v>-414.9183729028158</c:v>
                      </c:pt>
                      <c:pt idx="66">
                        <c:v>-420.76837290281571</c:v>
                      </c:pt>
                      <c:pt idx="67">
                        <c:v>-414.58837290281565</c:v>
                      </c:pt>
                      <c:pt idx="68">
                        <c:v>-396.2683729028156</c:v>
                      </c:pt>
                      <c:pt idx="69">
                        <c:v>-396.2683729028156</c:v>
                      </c:pt>
                      <c:pt idx="70">
                        <c:v>-368.83837290281554</c:v>
                      </c:pt>
                      <c:pt idx="71">
                        <c:v>-368.83837290281554</c:v>
                      </c:pt>
                      <c:pt idx="72">
                        <c:v>-368.83837290281554</c:v>
                      </c:pt>
                      <c:pt idx="73">
                        <c:v>-368.83837290281554</c:v>
                      </c:pt>
                      <c:pt idx="74">
                        <c:v>-368.83837290281554</c:v>
                      </c:pt>
                      <c:pt idx="75">
                        <c:v>-368.83837290281554</c:v>
                      </c:pt>
                      <c:pt idx="76">
                        <c:v>-368.83837290281554</c:v>
                      </c:pt>
                      <c:pt idx="77">
                        <c:v>-368.83837290281554</c:v>
                      </c:pt>
                      <c:pt idx="78">
                        <c:v>-368.83837290281554</c:v>
                      </c:pt>
                      <c:pt idx="79">
                        <c:v>-423.9721716230016</c:v>
                      </c:pt>
                      <c:pt idx="80">
                        <c:v>-423.9721716230016</c:v>
                      </c:pt>
                      <c:pt idx="81">
                        <c:v>-480.01217162300156</c:v>
                      </c:pt>
                      <c:pt idx="82">
                        <c:v>-530.05217162300164</c:v>
                      </c:pt>
                      <c:pt idx="83">
                        <c:v>-530.05217162300164</c:v>
                      </c:pt>
                      <c:pt idx="84">
                        <c:v>-530.05217162300164</c:v>
                      </c:pt>
                      <c:pt idx="85">
                        <c:v>-591.05217162300175</c:v>
                      </c:pt>
                      <c:pt idx="86">
                        <c:v>-591.05217162300175</c:v>
                      </c:pt>
                      <c:pt idx="87">
                        <c:v>-613.15217162300189</c:v>
                      </c:pt>
                      <c:pt idx="88">
                        <c:v>-595.83217162300184</c:v>
                      </c:pt>
                      <c:pt idx="89">
                        <c:v>-595.83217162300184</c:v>
                      </c:pt>
                      <c:pt idx="90">
                        <c:v>-563.83217162300184</c:v>
                      </c:pt>
                      <c:pt idx="91">
                        <c:v>-555.85217162300182</c:v>
                      </c:pt>
                      <c:pt idx="92">
                        <c:v>-578.65217162300189</c:v>
                      </c:pt>
                      <c:pt idx="93">
                        <c:v>-578.65217162300189</c:v>
                      </c:pt>
                      <c:pt idx="94">
                        <c:v>-578.65217162300189</c:v>
                      </c:pt>
                      <c:pt idx="95">
                        <c:v>-589.652171623002</c:v>
                      </c:pt>
                      <c:pt idx="96">
                        <c:v>-547.95217162300207</c:v>
                      </c:pt>
                      <c:pt idx="97">
                        <c:v>-550.83217162300207</c:v>
                      </c:pt>
                      <c:pt idx="98">
                        <c:v>-588.98217162300205</c:v>
                      </c:pt>
                      <c:pt idx="99">
                        <c:v>-588.98217162300205</c:v>
                      </c:pt>
                      <c:pt idx="100">
                        <c:v>-711.86217162300204</c:v>
                      </c:pt>
                      <c:pt idx="101">
                        <c:v>-711.86217162300204</c:v>
                      </c:pt>
                      <c:pt idx="102">
                        <c:v>-711.86217162300204</c:v>
                      </c:pt>
                      <c:pt idx="103">
                        <c:v>-711.86217162300204</c:v>
                      </c:pt>
                      <c:pt idx="104">
                        <c:v>-711.86217162300204</c:v>
                      </c:pt>
                      <c:pt idx="105">
                        <c:v>-657.08217162300207</c:v>
                      </c:pt>
                      <c:pt idx="106">
                        <c:v>-657.08217162300207</c:v>
                      </c:pt>
                      <c:pt idx="107">
                        <c:v>-657.08217162300207</c:v>
                      </c:pt>
                      <c:pt idx="108">
                        <c:v>-657.08217162300207</c:v>
                      </c:pt>
                      <c:pt idx="109">
                        <c:v>-657.08217162300207</c:v>
                      </c:pt>
                      <c:pt idx="110">
                        <c:v>-646.83217162300218</c:v>
                      </c:pt>
                      <c:pt idx="111">
                        <c:v>-640.35217162300216</c:v>
                      </c:pt>
                      <c:pt idx="112">
                        <c:v>-640.35217162300216</c:v>
                      </c:pt>
                      <c:pt idx="113">
                        <c:v>-640.35217162300216</c:v>
                      </c:pt>
                      <c:pt idx="114">
                        <c:v>-640.35217162300216</c:v>
                      </c:pt>
                      <c:pt idx="115">
                        <c:v>-640.35217162300216</c:v>
                      </c:pt>
                      <c:pt idx="116">
                        <c:v>-643.20217162300207</c:v>
                      </c:pt>
                      <c:pt idx="117">
                        <c:v>-617.95161845366727</c:v>
                      </c:pt>
                      <c:pt idx="118">
                        <c:v>-617.95161845366727</c:v>
                      </c:pt>
                      <c:pt idx="119">
                        <c:v>-617.95161845366727</c:v>
                      </c:pt>
                      <c:pt idx="120">
                        <c:v>-637.75161845366745</c:v>
                      </c:pt>
                      <c:pt idx="121">
                        <c:v>-637.75161845366745</c:v>
                      </c:pt>
                      <c:pt idx="122">
                        <c:v>-637.75161845366745</c:v>
                      </c:pt>
                      <c:pt idx="123">
                        <c:v>-637.75161845366745</c:v>
                      </c:pt>
                      <c:pt idx="124">
                        <c:v>-569.65161845366742</c:v>
                      </c:pt>
                      <c:pt idx="125">
                        <c:v>-569.65161845366742</c:v>
                      </c:pt>
                      <c:pt idx="126">
                        <c:v>-569.65161845366742</c:v>
                      </c:pt>
                      <c:pt idx="127">
                        <c:v>-617.44161845366739</c:v>
                      </c:pt>
                      <c:pt idx="128">
                        <c:v>-617.44161845366739</c:v>
                      </c:pt>
                      <c:pt idx="129">
                        <c:v>-653.28161845366731</c:v>
                      </c:pt>
                      <c:pt idx="130">
                        <c:v>-653.28161845366731</c:v>
                      </c:pt>
                      <c:pt idx="131">
                        <c:v>-678.06161845366728</c:v>
                      </c:pt>
                      <c:pt idx="132">
                        <c:v>-678.06161845366728</c:v>
                      </c:pt>
                      <c:pt idx="133">
                        <c:v>-660.56161845366728</c:v>
                      </c:pt>
                      <c:pt idx="134">
                        <c:v>-658.04161845366718</c:v>
                      </c:pt>
                      <c:pt idx="135">
                        <c:v>-666.32161845366716</c:v>
                      </c:pt>
                      <c:pt idx="136">
                        <c:v>-662.72161845366713</c:v>
                      </c:pt>
                      <c:pt idx="137">
                        <c:v>-662.72161845366713</c:v>
                      </c:pt>
                      <c:pt idx="138">
                        <c:v>-694.54161845366707</c:v>
                      </c:pt>
                      <c:pt idx="139">
                        <c:v>-663.04161845366696</c:v>
                      </c:pt>
                      <c:pt idx="140">
                        <c:v>-663.04161845366696</c:v>
                      </c:pt>
                      <c:pt idx="141">
                        <c:v>-694.56161845366694</c:v>
                      </c:pt>
                      <c:pt idx="142">
                        <c:v>-744.80161845366695</c:v>
                      </c:pt>
                      <c:pt idx="143">
                        <c:v>-767.04161845366673</c:v>
                      </c:pt>
                      <c:pt idx="144">
                        <c:v>-769.08161845366681</c:v>
                      </c:pt>
                      <c:pt idx="145">
                        <c:v>-685.18161845366672</c:v>
                      </c:pt>
                      <c:pt idx="146">
                        <c:v>-709.48161845366667</c:v>
                      </c:pt>
                      <c:pt idx="147">
                        <c:v>-763.63161845366676</c:v>
                      </c:pt>
                      <c:pt idx="148">
                        <c:v>-763.63161845366676</c:v>
                      </c:pt>
                      <c:pt idx="149">
                        <c:v>-763.63161845366676</c:v>
                      </c:pt>
                      <c:pt idx="150">
                        <c:v>-763.63161845366676</c:v>
                      </c:pt>
                      <c:pt idx="151">
                        <c:v>-763.63161845366676</c:v>
                      </c:pt>
                      <c:pt idx="152">
                        <c:v>-639.33161845366681</c:v>
                      </c:pt>
                      <c:pt idx="153">
                        <c:v>-639.33161845366681</c:v>
                      </c:pt>
                      <c:pt idx="154">
                        <c:v>-639.33161845366681</c:v>
                      </c:pt>
                      <c:pt idx="155">
                        <c:v>-639.33161845366681</c:v>
                      </c:pt>
                      <c:pt idx="156">
                        <c:v>-547.97161845366668</c:v>
                      </c:pt>
                      <c:pt idx="157">
                        <c:v>-547.97161845366668</c:v>
                      </c:pt>
                      <c:pt idx="158">
                        <c:v>-547.97161845366668</c:v>
                      </c:pt>
                      <c:pt idx="159">
                        <c:v>-547.97161845366668</c:v>
                      </c:pt>
                      <c:pt idx="160">
                        <c:v>-547.97161845366668</c:v>
                      </c:pt>
                      <c:pt idx="161">
                        <c:v>-547.97161845366668</c:v>
                      </c:pt>
                      <c:pt idx="162">
                        <c:v>-520.05161845366683</c:v>
                      </c:pt>
                      <c:pt idx="163">
                        <c:v>-601.05161845366695</c:v>
                      </c:pt>
                      <c:pt idx="164">
                        <c:v>-601.05161845366695</c:v>
                      </c:pt>
                      <c:pt idx="165">
                        <c:v>-601.05161845366695</c:v>
                      </c:pt>
                      <c:pt idx="166">
                        <c:v>-601.05161845366695</c:v>
                      </c:pt>
                      <c:pt idx="167">
                        <c:v>-601.05161845366695</c:v>
                      </c:pt>
                      <c:pt idx="168">
                        <c:v>-560.1016184536669</c:v>
                      </c:pt>
                      <c:pt idx="169">
                        <c:v>-560.1016184536669</c:v>
                      </c:pt>
                      <c:pt idx="170">
                        <c:v>-570.36161845366701</c:v>
                      </c:pt>
                      <c:pt idx="171">
                        <c:v>-570.36161845366701</c:v>
                      </c:pt>
                      <c:pt idx="172">
                        <c:v>-550.52161845366709</c:v>
                      </c:pt>
                      <c:pt idx="173">
                        <c:v>-550.52161845366709</c:v>
                      </c:pt>
                      <c:pt idx="174">
                        <c:v>-469.5216184536672</c:v>
                      </c:pt>
                      <c:pt idx="175">
                        <c:v>-469.5216184536672</c:v>
                      </c:pt>
                      <c:pt idx="176">
                        <c:v>-458.74161845366723</c:v>
                      </c:pt>
                      <c:pt idx="177">
                        <c:v>-458.74161845366723</c:v>
                      </c:pt>
                      <c:pt idx="178">
                        <c:v>-472.52161845366743</c:v>
                      </c:pt>
                      <c:pt idx="179">
                        <c:v>-378.83161845366737</c:v>
                      </c:pt>
                      <c:pt idx="180">
                        <c:v>-378.83161845366737</c:v>
                      </c:pt>
                      <c:pt idx="181">
                        <c:v>-378.83161845366737</c:v>
                      </c:pt>
                      <c:pt idx="182">
                        <c:v>-378.83161845366737</c:v>
                      </c:pt>
                      <c:pt idx="183">
                        <c:v>-378.83161845366737</c:v>
                      </c:pt>
                      <c:pt idx="184">
                        <c:v>-399.47161845366725</c:v>
                      </c:pt>
                      <c:pt idx="185">
                        <c:v>-378.47161845366702</c:v>
                      </c:pt>
                      <c:pt idx="186">
                        <c:v>-386.97161845366702</c:v>
                      </c:pt>
                      <c:pt idx="187">
                        <c:v>-386.97161845366702</c:v>
                      </c:pt>
                      <c:pt idx="188">
                        <c:v>-280.97161845366702</c:v>
                      </c:pt>
                      <c:pt idx="189">
                        <c:v>-286.97161845366679</c:v>
                      </c:pt>
                      <c:pt idx="190">
                        <c:v>-286.97161845366679</c:v>
                      </c:pt>
                      <c:pt idx="191">
                        <c:v>-302.37161845366688</c:v>
                      </c:pt>
                      <c:pt idx="192">
                        <c:v>-302.37161845366688</c:v>
                      </c:pt>
                      <c:pt idx="193">
                        <c:v>-101.3516184536669</c:v>
                      </c:pt>
                      <c:pt idx="194">
                        <c:v>-110.31161845366694</c:v>
                      </c:pt>
                      <c:pt idx="195">
                        <c:v>-110.31161845366694</c:v>
                      </c:pt>
                      <c:pt idx="196">
                        <c:v>-110.31161845366694</c:v>
                      </c:pt>
                      <c:pt idx="197">
                        <c:v>-70.011618453666983</c:v>
                      </c:pt>
                      <c:pt idx="198">
                        <c:v>-68.661618453667074</c:v>
                      </c:pt>
                      <c:pt idx="199">
                        <c:v>-72.941618453667274</c:v>
                      </c:pt>
                      <c:pt idx="200">
                        <c:v>-72.941618453667274</c:v>
                      </c:pt>
                      <c:pt idx="201">
                        <c:v>-26.381618453667329</c:v>
                      </c:pt>
                      <c:pt idx="202">
                        <c:v>-26.381618453667329</c:v>
                      </c:pt>
                      <c:pt idx="203">
                        <c:v>-26.381618453667329</c:v>
                      </c:pt>
                      <c:pt idx="204">
                        <c:v>-26.381618453667329</c:v>
                      </c:pt>
                      <c:pt idx="205">
                        <c:v>-26.381618453667329</c:v>
                      </c:pt>
                      <c:pt idx="206">
                        <c:v>-26.381618453667329</c:v>
                      </c:pt>
                      <c:pt idx="207">
                        <c:v>-28.36161845366712</c:v>
                      </c:pt>
                      <c:pt idx="208">
                        <c:v>-28.36161845366712</c:v>
                      </c:pt>
                      <c:pt idx="209">
                        <c:v>-6.9616184536670289</c:v>
                      </c:pt>
                      <c:pt idx="210">
                        <c:v>-6.9616184536670289</c:v>
                      </c:pt>
                      <c:pt idx="211">
                        <c:v>-6.9616184536670289</c:v>
                      </c:pt>
                      <c:pt idx="212">
                        <c:v>-6.9616184536670289</c:v>
                      </c:pt>
                      <c:pt idx="213">
                        <c:v>36.368381546332898</c:v>
                      </c:pt>
                      <c:pt idx="214">
                        <c:v>38.368381546332898</c:v>
                      </c:pt>
                      <c:pt idx="215">
                        <c:v>-92.311618453666938</c:v>
                      </c:pt>
                      <c:pt idx="216">
                        <c:v>-92.311618453666938</c:v>
                      </c:pt>
                      <c:pt idx="217">
                        <c:v>-92.311618453666938</c:v>
                      </c:pt>
                      <c:pt idx="218">
                        <c:v>-74.811618453666938</c:v>
                      </c:pt>
                      <c:pt idx="219">
                        <c:v>-74.811618453666938</c:v>
                      </c:pt>
                      <c:pt idx="220">
                        <c:v>-5.5116184536669834</c:v>
                      </c:pt>
                      <c:pt idx="221">
                        <c:v>-5.5116184536669834</c:v>
                      </c:pt>
                      <c:pt idx="222">
                        <c:v>54.408381546332862</c:v>
                      </c:pt>
                      <c:pt idx="223">
                        <c:v>54.408381546332862</c:v>
                      </c:pt>
                      <c:pt idx="224">
                        <c:v>54.408381546332862</c:v>
                      </c:pt>
                      <c:pt idx="225">
                        <c:v>24.88838154633288</c:v>
                      </c:pt>
                      <c:pt idx="226">
                        <c:v>24.88838154633288</c:v>
                      </c:pt>
                      <c:pt idx="227">
                        <c:v>44.248381546333007</c:v>
                      </c:pt>
                      <c:pt idx="228">
                        <c:v>44.248381546333007</c:v>
                      </c:pt>
                      <c:pt idx="229">
                        <c:v>44.248381546333007</c:v>
                      </c:pt>
                      <c:pt idx="230">
                        <c:v>63.898381546332871</c:v>
                      </c:pt>
                      <c:pt idx="231">
                        <c:v>63.898381546332871</c:v>
                      </c:pt>
                      <c:pt idx="232">
                        <c:v>63.898381546332871</c:v>
                      </c:pt>
                      <c:pt idx="233">
                        <c:v>63.898381546332871</c:v>
                      </c:pt>
                      <c:pt idx="234">
                        <c:v>126.29838154633296</c:v>
                      </c:pt>
                      <c:pt idx="235">
                        <c:v>82.868381546332898</c:v>
                      </c:pt>
                      <c:pt idx="236">
                        <c:v>168.66838154633285</c:v>
                      </c:pt>
                      <c:pt idx="237">
                        <c:v>168.66838154633285</c:v>
                      </c:pt>
                      <c:pt idx="238">
                        <c:v>168.66838154633285</c:v>
                      </c:pt>
                      <c:pt idx="239">
                        <c:v>168.66838154633285</c:v>
                      </c:pt>
                      <c:pt idx="240">
                        <c:v>168.66838154633285</c:v>
                      </c:pt>
                      <c:pt idx="241">
                        <c:v>347.91838154633274</c:v>
                      </c:pt>
                      <c:pt idx="242">
                        <c:v>347.91838154633274</c:v>
                      </c:pt>
                      <c:pt idx="243">
                        <c:v>336.66838154633274</c:v>
                      </c:pt>
                      <c:pt idx="244">
                        <c:v>336.66838154633274</c:v>
                      </c:pt>
                      <c:pt idx="245">
                        <c:v>342.51838154633288</c:v>
                      </c:pt>
                      <c:pt idx="246">
                        <c:v>338.21838154633292</c:v>
                      </c:pt>
                      <c:pt idx="247">
                        <c:v>315.81838154633283</c:v>
                      </c:pt>
                      <c:pt idx="248">
                        <c:v>280.51838154633288</c:v>
                      </c:pt>
                      <c:pt idx="249">
                        <c:v>201.31838154633283</c:v>
                      </c:pt>
                      <c:pt idx="250">
                        <c:v>344.11838154633278</c:v>
                      </c:pt>
                      <c:pt idx="251">
                        <c:v>344.11838154633278</c:v>
                      </c:pt>
                      <c:pt idx="252">
                        <c:v>344.11838154633278</c:v>
                      </c:pt>
                      <c:pt idx="253">
                        <c:v>438.61838154633278</c:v>
                      </c:pt>
                      <c:pt idx="254">
                        <c:v>415.57838154633259</c:v>
                      </c:pt>
                      <c:pt idx="255">
                        <c:v>442.29838154633239</c:v>
                      </c:pt>
                      <c:pt idx="256">
                        <c:v>442.29838154633239</c:v>
                      </c:pt>
                      <c:pt idx="257">
                        <c:v>442.29838154633239</c:v>
                      </c:pt>
                      <c:pt idx="258">
                        <c:v>442.29838154633239</c:v>
                      </c:pt>
                      <c:pt idx="259">
                        <c:v>356.69838154633248</c:v>
                      </c:pt>
                      <c:pt idx="260">
                        <c:v>338.87838154633255</c:v>
                      </c:pt>
                      <c:pt idx="261">
                        <c:v>319.19838154633248</c:v>
                      </c:pt>
                      <c:pt idx="262">
                        <c:v>361.89838154633276</c:v>
                      </c:pt>
                      <c:pt idx="263">
                        <c:v>361.89838154633276</c:v>
                      </c:pt>
                      <c:pt idx="264">
                        <c:v>365.63838154633277</c:v>
                      </c:pt>
                      <c:pt idx="265">
                        <c:v>311.15838154633275</c:v>
                      </c:pt>
                      <c:pt idx="266">
                        <c:v>311.15838154633275</c:v>
                      </c:pt>
                      <c:pt idx="267">
                        <c:v>310.73838154633268</c:v>
                      </c:pt>
                      <c:pt idx="268">
                        <c:v>300.97838154633268</c:v>
                      </c:pt>
                      <c:pt idx="269">
                        <c:v>365.41838154633274</c:v>
                      </c:pt>
                      <c:pt idx="270">
                        <c:v>393.49838154633267</c:v>
                      </c:pt>
                      <c:pt idx="271">
                        <c:v>450.82838154633259</c:v>
                      </c:pt>
                      <c:pt idx="272">
                        <c:v>447.22838154633268</c:v>
                      </c:pt>
                      <c:pt idx="273">
                        <c:v>447.22838154633268</c:v>
                      </c:pt>
                      <c:pt idx="274">
                        <c:v>421.97838154633268</c:v>
                      </c:pt>
                      <c:pt idx="275">
                        <c:v>506.12838154633255</c:v>
                      </c:pt>
                      <c:pt idx="276">
                        <c:v>485.24838154633267</c:v>
                      </c:pt>
                      <c:pt idx="277">
                        <c:v>485.24838154633267</c:v>
                      </c:pt>
                      <c:pt idx="278">
                        <c:v>560.64838154633253</c:v>
                      </c:pt>
                      <c:pt idx="279">
                        <c:v>580.64838154633253</c:v>
                      </c:pt>
                      <c:pt idx="280">
                        <c:v>580.64838154633253</c:v>
                      </c:pt>
                      <c:pt idx="281">
                        <c:v>580.64838154633253</c:v>
                      </c:pt>
                      <c:pt idx="282">
                        <c:v>582.84838154633258</c:v>
                      </c:pt>
                      <c:pt idx="283">
                        <c:v>512.14838154633276</c:v>
                      </c:pt>
                      <c:pt idx="284">
                        <c:v>512.14838154633276</c:v>
                      </c:pt>
                      <c:pt idx="285">
                        <c:v>416.74838154633267</c:v>
                      </c:pt>
                      <c:pt idx="286">
                        <c:v>416.74838154633267</c:v>
                      </c:pt>
                      <c:pt idx="287">
                        <c:v>335.61838154633256</c:v>
                      </c:pt>
                      <c:pt idx="288">
                        <c:v>335.61838154633256</c:v>
                      </c:pt>
                      <c:pt idx="289">
                        <c:v>369.51838154633242</c:v>
                      </c:pt>
                      <c:pt idx="290">
                        <c:v>369.51838154633242</c:v>
                      </c:pt>
                      <c:pt idx="291">
                        <c:v>444.51838154633242</c:v>
                      </c:pt>
                      <c:pt idx="292">
                        <c:v>418.76838154633242</c:v>
                      </c:pt>
                      <c:pt idx="293">
                        <c:v>418.76838154633242</c:v>
                      </c:pt>
                      <c:pt idx="294">
                        <c:v>289.80838154633238</c:v>
                      </c:pt>
                      <c:pt idx="295">
                        <c:v>289.80838154633238</c:v>
                      </c:pt>
                      <c:pt idx="296">
                        <c:v>261.31838154633238</c:v>
                      </c:pt>
                      <c:pt idx="297">
                        <c:v>261.31838154633238</c:v>
                      </c:pt>
                      <c:pt idx="298">
                        <c:v>210.11838154633233</c:v>
                      </c:pt>
                      <c:pt idx="299">
                        <c:v>210.11838154633233</c:v>
                      </c:pt>
                      <c:pt idx="300">
                        <c:v>210.11838154633233</c:v>
                      </c:pt>
                      <c:pt idx="301">
                        <c:v>210.11838154633233</c:v>
                      </c:pt>
                      <c:pt idx="302">
                        <c:v>202.73838154633222</c:v>
                      </c:pt>
                      <c:pt idx="303">
                        <c:v>202.73838154633222</c:v>
                      </c:pt>
                      <c:pt idx="304">
                        <c:v>202.73838154633222</c:v>
                      </c:pt>
                      <c:pt idx="305">
                        <c:v>202.73838154633222</c:v>
                      </c:pt>
                      <c:pt idx="306">
                        <c:v>202.73838154633222</c:v>
                      </c:pt>
                      <c:pt idx="307">
                        <c:v>202.73838154633222</c:v>
                      </c:pt>
                      <c:pt idx="308">
                        <c:v>225.07719317717942</c:v>
                      </c:pt>
                      <c:pt idx="309">
                        <c:v>225.07719317717942</c:v>
                      </c:pt>
                      <c:pt idx="310">
                        <c:v>341.47719317717952</c:v>
                      </c:pt>
                      <c:pt idx="311">
                        <c:v>395.65719317717958</c:v>
                      </c:pt>
                      <c:pt idx="312">
                        <c:v>379.00719317717949</c:v>
                      </c:pt>
                      <c:pt idx="313">
                        <c:v>379.00719317717949</c:v>
                      </c:pt>
                      <c:pt idx="314">
                        <c:v>325.10719317717951</c:v>
                      </c:pt>
                      <c:pt idx="315">
                        <c:v>268.85719317717951</c:v>
                      </c:pt>
                      <c:pt idx="316">
                        <c:v>268.85719317717951</c:v>
                      </c:pt>
                      <c:pt idx="317">
                        <c:v>268.85719317717951</c:v>
                      </c:pt>
                      <c:pt idx="318">
                        <c:v>268.85719317717951</c:v>
                      </c:pt>
                      <c:pt idx="319">
                        <c:v>268.85719317717951</c:v>
                      </c:pt>
                      <c:pt idx="320">
                        <c:v>397.51719317717937</c:v>
                      </c:pt>
                      <c:pt idx="321">
                        <c:v>397.51719317717937</c:v>
                      </c:pt>
                      <c:pt idx="322">
                        <c:v>397.51719317717937</c:v>
                      </c:pt>
                      <c:pt idx="323">
                        <c:v>397.51719317717937</c:v>
                      </c:pt>
                      <c:pt idx="324">
                        <c:v>248.95719317717942</c:v>
                      </c:pt>
                      <c:pt idx="325">
                        <c:v>248.95719317717942</c:v>
                      </c:pt>
                      <c:pt idx="326">
                        <c:v>113.20719317717942</c:v>
                      </c:pt>
                      <c:pt idx="327">
                        <c:v>113.20719317717942</c:v>
                      </c:pt>
                      <c:pt idx="328">
                        <c:v>113.20719317717942</c:v>
                      </c:pt>
                      <c:pt idx="329">
                        <c:v>113.20719317717942</c:v>
                      </c:pt>
                      <c:pt idx="330">
                        <c:v>274.15719317717947</c:v>
                      </c:pt>
                      <c:pt idx="331">
                        <c:v>274.15719317717947</c:v>
                      </c:pt>
                      <c:pt idx="332">
                        <c:v>274.15719317717947</c:v>
                      </c:pt>
                      <c:pt idx="333">
                        <c:v>274.15719317717947</c:v>
                      </c:pt>
                      <c:pt idx="334">
                        <c:v>274.15719317717947</c:v>
                      </c:pt>
                      <c:pt idx="335">
                        <c:v>274.15719317717947</c:v>
                      </c:pt>
                      <c:pt idx="336">
                        <c:v>274.15719317717947</c:v>
                      </c:pt>
                      <c:pt idx="337">
                        <c:v>315.55719317717956</c:v>
                      </c:pt>
                      <c:pt idx="338">
                        <c:v>315.55719317717956</c:v>
                      </c:pt>
                      <c:pt idx="339">
                        <c:v>315.55719317717956</c:v>
                      </c:pt>
                      <c:pt idx="340">
                        <c:v>315.55719317717956</c:v>
                      </c:pt>
                      <c:pt idx="341">
                        <c:v>315.55719317717956</c:v>
                      </c:pt>
                      <c:pt idx="342">
                        <c:v>298.75719317717983</c:v>
                      </c:pt>
                      <c:pt idx="343">
                        <c:v>298.75719317717983</c:v>
                      </c:pt>
                      <c:pt idx="344">
                        <c:v>298.75719317717983</c:v>
                      </c:pt>
                      <c:pt idx="345">
                        <c:v>298.75719317717983</c:v>
                      </c:pt>
                      <c:pt idx="346">
                        <c:v>305.25719317717983</c:v>
                      </c:pt>
                    </c:numCache>
                  </c:numRef>
                </c:val>
                <c:smooth val="0"/>
                <c:extLst xmlns:c15="http://schemas.microsoft.com/office/drawing/2012/chart">
                  <c:ext xmlns:c16="http://schemas.microsoft.com/office/drawing/2014/chart" uri="{C3380CC4-5D6E-409C-BE32-E72D297353CC}">
                    <c16:uniqueId val="{00000006-5D40-40BD-9241-5753290D1030}"/>
                  </c:ext>
                </c:extLst>
              </c15:ser>
            </c15:filteredLineSeries>
          </c:ext>
        </c:extLst>
      </c:lineChart>
      <c:catAx>
        <c:axId val="147683023"/>
        <c:scaling>
          <c:orientation val="minMax"/>
        </c:scaling>
        <c:delete val="0"/>
        <c:axPos val="b"/>
        <c:majorGridlines>
          <c:spPr>
            <a:ln w="9525" cap="flat" cmpd="sng" algn="ctr">
              <a:solidFill>
                <a:schemeClr val="tx1">
                  <a:lumMod val="75000"/>
                  <a:lumOff val="25000"/>
                </a:schemeClr>
              </a:solidFill>
              <a:prstDash val="dash"/>
              <a:round/>
            </a:ln>
            <a:effectLst/>
          </c:spPr>
        </c:majorGridlines>
        <c:majorTickMark val="none"/>
        <c:minorTickMark val="none"/>
        <c:tickLblPos val="low"/>
        <c:spPr>
          <a:noFill/>
          <a:ln w="12700" cap="flat" cmpd="sng" algn="ctr">
            <a:solidFill>
              <a:sysClr val="windowText" lastClr="000000"/>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6645279"/>
        <c:crosses val="autoZero"/>
        <c:auto val="1"/>
        <c:lblAlgn val="ctr"/>
        <c:lblOffset val="100"/>
        <c:tickLblSkip val="25"/>
        <c:tickMarkSkip val="25"/>
        <c:noMultiLvlLbl val="0"/>
      </c:catAx>
      <c:valAx>
        <c:axId val="146645279"/>
        <c:scaling>
          <c:orientation val="minMax"/>
          <c:max val="20"/>
          <c:min val="-15"/>
        </c:scaling>
        <c:delete val="0"/>
        <c:axPos val="r"/>
        <c:majorGridlines>
          <c:spPr>
            <a:ln w="9525" cap="flat" cmpd="sng" algn="ctr">
              <a:solidFill>
                <a:schemeClr val="tx1">
                  <a:lumMod val="75000"/>
                  <a:lumOff val="25000"/>
                </a:schemeClr>
              </a:solidFill>
              <a:prstDash val="dash"/>
              <a:round/>
            </a:ln>
            <a:effectLst/>
          </c:spPr>
        </c:majorGridlines>
        <c:numFmt formatCode="0" sourceLinked="0"/>
        <c:majorTickMark val="none"/>
        <c:minorTickMark val="none"/>
        <c:tickLblPos val="high"/>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7683023"/>
        <c:crosses val="max"/>
        <c:crossBetween val="between"/>
      </c:valAx>
      <c:spPr>
        <a:solidFill>
          <a:schemeClr val="tx1">
            <a:lumMod val="65000"/>
            <a:lumOff val="35000"/>
          </a:schemeClr>
        </a:solidFill>
        <a:ln>
          <a:solidFill>
            <a:sysClr val="windowText" lastClr="000000"/>
          </a:solidFill>
        </a:ln>
        <a:effectLst/>
      </c:spPr>
    </c:plotArea>
    <c:legend>
      <c:legendPos val="t"/>
      <c:layout>
        <c:manualLayout>
          <c:xMode val="edge"/>
          <c:yMode val="edge"/>
          <c:x val="0.39634286005511454"/>
          <c:y val="1.2316999395039325E-2"/>
          <c:w val="0.57612618810998151"/>
          <c:h val="4.9614968727820091E-2"/>
        </c:manualLayout>
      </c:layout>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legend>
    <c:plotVisOnly val="0"/>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accent3">
                    <a:lumMod val="75000"/>
                  </a:schemeClr>
                </a:solidFill>
                <a:latin typeface="+mn-lt"/>
                <a:ea typeface="+mn-ea"/>
                <a:cs typeface="+mn-cs"/>
              </a:defRPr>
            </a:pPr>
            <a:r>
              <a:rPr lang="en-US" sz="2000" b="1">
                <a:solidFill>
                  <a:schemeClr val="accent3">
                    <a:lumMod val="75000"/>
                  </a:schemeClr>
                </a:solidFill>
              </a:rPr>
              <a:t>The Three Tiers (XLP)</a:t>
            </a:r>
          </a:p>
        </c:rich>
      </c:tx>
      <c:layout>
        <c:manualLayout>
          <c:xMode val="edge"/>
          <c:yMode val="edge"/>
          <c:x val="2.8694371536891222E-2"/>
          <c:y val="0"/>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accent3">
                  <a:lumMod val="75000"/>
                </a:schemeClr>
              </a:solidFill>
              <a:latin typeface="+mn-lt"/>
              <a:ea typeface="+mn-ea"/>
              <a:cs typeface="+mn-cs"/>
            </a:defRPr>
          </a:pPr>
          <a:endParaRPr lang="en-US"/>
        </a:p>
      </c:txPr>
    </c:title>
    <c:autoTitleDeleted val="0"/>
    <c:plotArea>
      <c:layout>
        <c:manualLayout>
          <c:layoutTarget val="inner"/>
          <c:xMode val="edge"/>
          <c:yMode val="edge"/>
          <c:x val="1.0171058714748035E-2"/>
          <c:y val="7.7350558040499021E-2"/>
          <c:w val="0.95283482768537431"/>
          <c:h val="0.86018548951798435"/>
        </c:manualLayout>
      </c:layout>
      <c:lineChart>
        <c:grouping val="standard"/>
        <c:varyColors val="0"/>
        <c:ser>
          <c:idx val="0"/>
          <c:order val="0"/>
          <c:tx>
            <c:v>Up</c:v>
          </c:tx>
          <c:spPr>
            <a:ln w="28575" cap="rnd">
              <a:solidFill>
                <a:schemeClr val="accent6">
                  <a:lumMod val="75000"/>
                </a:schemeClr>
              </a:solidFill>
              <a:prstDash val="solid"/>
              <a:round/>
            </a:ln>
            <a:effectLst/>
          </c:spPr>
          <c:marker>
            <c:symbol val="none"/>
          </c:marker>
          <c:val>
            <c:numRef>
              <c:f>'2025-Q2'!$DE$4:$DE$422</c:f>
              <c:numCache>
                <c:formatCode>0.00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0.4905246481018824</c:v>
                </c:pt>
                <c:pt idx="70">
                  <c:v>0.4905246481018824</c:v>
                </c:pt>
                <c:pt idx="71">
                  <c:v>0.4905246481018824</c:v>
                </c:pt>
                <c:pt idx="72">
                  <c:v>0.4905246481018824</c:v>
                </c:pt>
                <c:pt idx="73">
                  <c:v>0.4905246481018824</c:v>
                </c:pt>
                <c:pt idx="74">
                  <c:v>0.4905246481018824</c:v>
                </c:pt>
                <c:pt idx="75">
                  <c:v>0.4905246481018824</c:v>
                </c:pt>
                <c:pt idx="76">
                  <c:v>0.4905246481018824</c:v>
                </c:pt>
                <c:pt idx="77">
                  <c:v>0.4905246481018824</c:v>
                </c:pt>
                <c:pt idx="78">
                  <c:v>0.4905246481018824</c:v>
                </c:pt>
                <c:pt idx="79">
                  <c:v>0.4905246481018824</c:v>
                </c:pt>
                <c:pt idx="80">
                  <c:v>0.4905246481018824</c:v>
                </c:pt>
                <c:pt idx="81">
                  <c:v>0.4905246481018824</c:v>
                </c:pt>
                <c:pt idx="82">
                  <c:v>0.4905246481018824</c:v>
                </c:pt>
                <c:pt idx="83">
                  <c:v>0.4905246481018824</c:v>
                </c:pt>
                <c:pt idx="84">
                  <c:v>0.4905246481018824</c:v>
                </c:pt>
                <c:pt idx="85">
                  <c:v>0.4905246481018824</c:v>
                </c:pt>
                <c:pt idx="86">
                  <c:v>0.4905246481018824</c:v>
                </c:pt>
                <c:pt idx="87">
                  <c:v>0.4905246481018824</c:v>
                </c:pt>
                <c:pt idx="88">
                  <c:v>0.4905246481018824</c:v>
                </c:pt>
                <c:pt idx="89">
                  <c:v>0.4905246481018824</c:v>
                </c:pt>
                <c:pt idx="90">
                  <c:v>0.4905246481018824</c:v>
                </c:pt>
                <c:pt idx="91">
                  <c:v>0.4905246481018824</c:v>
                </c:pt>
                <c:pt idx="92">
                  <c:v>0.4905246481018824</c:v>
                </c:pt>
                <c:pt idx="93">
                  <c:v>0.4905246481018824</c:v>
                </c:pt>
                <c:pt idx="94">
                  <c:v>0.4905246481018824</c:v>
                </c:pt>
                <c:pt idx="95">
                  <c:v>0.4905246481018824</c:v>
                </c:pt>
                <c:pt idx="96">
                  <c:v>0.4905246481018824</c:v>
                </c:pt>
                <c:pt idx="97">
                  <c:v>0.4905246481018824</c:v>
                </c:pt>
                <c:pt idx="98">
                  <c:v>0.4905246481018824</c:v>
                </c:pt>
                <c:pt idx="99">
                  <c:v>0.4905246481018824</c:v>
                </c:pt>
                <c:pt idx="100">
                  <c:v>0.4905246481018824</c:v>
                </c:pt>
                <c:pt idx="101">
                  <c:v>0.4905246481018824</c:v>
                </c:pt>
                <c:pt idx="102">
                  <c:v>0.4905246481018824</c:v>
                </c:pt>
                <c:pt idx="103">
                  <c:v>0.4905246481018824</c:v>
                </c:pt>
                <c:pt idx="104">
                  <c:v>0.4905246481018824</c:v>
                </c:pt>
                <c:pt idx="105">
                  <c:v>0.4905246481018824</c:v>
                </c:pt>
                <c:pt idx="106">
                  <c:v>0.4905246481018824</c:v>
                </c:pt>
                <c:pt idx="107">
                  <c:v>0.4905246481018824</c:v>
                </c:pt>
                <c:pt idx="108">
                  <c:v>0.4905246481018824</c:v>
                </c:pt>
                <c:pt idx="109">
                  <c:v>0.4905246481018824</c:v>
                </c:pt>
                <c:pt idx="110">
                  <c:v>0.4905246481018824</c:v>
                </c:pt>
                <c:pt idx="111">
                  <c:v>0.4905246481018824</c:v>
                </c:pt>
                <c:pt idx="112">
                  <c:v>0.4905246481018824</c:v>
                </c:pt>
                <c:pt idx="113">
                  <c:v>0.4905246481018824</c:v>
                </c:pt>
                <c:pt idx="114">
                  <c:v>0.4905246481018824</c:v>
                </c:pt>
                <c:pt idx="115">
                  <c:v>0.4905246481018824</c:v>
                </c:pt>
                <c:pt idx="116">
                  <c:v>0.4905246481018824</c:v>
                </c:pt>
                <c:pt idx="117">
                  <c:v>0.4905246481018824</c:v>
                </c:pt>
                <c:pt idx="118">
                  <c:v>0.4905246481018824</c:v>
                </c:pt>
                <c:pt idx="119">
                  <c:v>0.4905246481018824</c:v>
                </c:pt>
                <c:pt idx="120">
                  <c:v>0.4905246481018824</c:v>
                </c:pt>
                <c:pt idx="121">
                  <c:v>0.4905246481018824</c:v>
                </c:pt>
                <c:pt idx="122">
                  <c:v>0.4905246481018824</c:v>
                </c:pt>
                <c:pt idx="123">
                  <c:v>0.4905246481018824</c:v>
                </c:pt>
                <c:pt idx="124">
                  <c:v>0.4905246481018824</c:v>
                </c:pt>
                <c:pt idx="125">
                  <c:v>0.4905246481018824</c:v>
                </c:pt>
                <c:pt idx="126">
                  <c:v>0.4905246481018824</c:v>
                </c:pt>
                <c:pt idx="127">
                  <c:v>0.4905246481018824</c:v>
                </c:pt>
                <c:pt idx="128">
                  <c:v>0.4905246481018824</c:v>
                </c:pt>
                <c:pt idx="129">
                  <c:v>0.4905246481018824</c:v>
                </c:pt>
                <c:pt idx="130">
                  <c:v>0.4905246481018824</c:v>
                </c:pt>
                <c:pt idx="131">
                  <c:v>0.4905246481018824</c:v>
                </c:pt>
                <c:pt idx="132">
                  <c:v>0.4905246481018824</c:v>
                </c:pt>
                <c:pt idx="133">
                  <c:v>0.4905246481018824</c:v>
                </c:pt>
                <c:pt idx="134">
                  <c:v>0.4905246481018824</c:v>
                </c:pt>
                <c:pt idx="135">
                  <c:v>0.4905246481018824</c:v>
                </c:pt>
                <c:pt idx="136">
                  <c:v>0.4905246481018824</c:v>
                </c:pt>
                <c:pt idx="137">
                  <c:v>0.14968716170674062</c:v>
                </c:pt>
                <c:pt idx="138">
                  <c:v>0.14968716170674062</c:v>
                </c:pt>
                <c:pt idx="139">
                  <c:v>0.14968716170674062</c:v>
                </c:pt>
                <c:pt idx="140">
                  <c:v>0.14968716170674062</c:v>
                </c:pt>
                <c:pt idx="141">
                  <c:v>0.14968716170674062</c:v>
                </c:pt>
                <c:pt idx="142">
                  <c:v>0.14968716170674062</c:v>
                </c:pt>
                <c:pt idx="143">
                  <c:v>0.14968716170674062</c:v>
                </c:pt>
                <c:pt idx="144">
                  <c:v>0.14968716170674062</c:v>
                </c:pt>
                <c:pt idx="145">
                  <c:v>0.14968716170674062</c:v>
                </c:pt>
                <c:pt idx="146">
                  <c:v>0.14968716170674062</c:v>
                </c:pt>
                <c:pt idx="147">
                  <c:v>0.14968716170674062</c:v>
                </c:pt>
                <c:pt idx="148">
                  <c:v>0.14968716170674062</c:v>
                </c:pt>
                <c:pt idx="149">
                  <c:v>0.14968716170674062</c:v>
                </c:pt>
                <c:pt idx="150">
                  <c:v>0.14968716170674062</c:v>
                </c:pt>
                <c:pt idx="151">
                  <c:v>0.14968716170674062</c:v>
                </c:pt>
                <c:pt idx="152">
                  <c:v>0.14968716170674062</c:v>
                </c:pt>
                <c:pt idx="153">
                  <c:v>0.14968716170674062</c:v>
                </c:pt>
                <c:pt idx="154">
                  <c:v>0.14968716170674062</c:v>
                </c:pt>
                <c:pt idx="155">
                  <c:v>0.14968716170674062</c:v>
                </c:pt>
                <c:pt idx="156">
                  <c:v>0.14968716170674062</c:v>
                </c:pt>
                <c:pt idx="157">
                  <c:v>0.14968716170674062</c:v>
                </c:pt>
                <c:pt idx="158">
                  <c:v>0.14968716170674062</c:v>
                </c:pt>
                <c:pt idx="159">
                  <c:v>0.14968716170674062</c:v>
                </c:pt>
                <c:pt idx="160">
                  <c:v>0.14968716170674062</c:v>
                </c:pt>
                <c:pt idx="161">
                  <c:v>0.14968716170674062</c:v>
                </c:pt>
                <c:pt idx="162">
                  <c:v>0.14968716170674062</c:v>
                </c:pt>
                <c:pt idx="163">
                  <c:v>0.14968716170674062</c:v>
                </c:pt>
                <c:pt idx="164">
                  <c:v>0.14968716170674062</c:v>
                </c:pt>
                <c:pt idx="165">
                  <c:v>0.14968716170674062</c:v>
                </c:pt>
                <c:pt idx="166">
                  <c:v>0.14968716170674062</c:v>
                </c:pt>
                <c:pt idx="167">
                  <c:v>0.14968716170674062</c:v>
                </c:pt>
                <c:pt idx="168">
                  <c:v>0.14968716170674062</c:v>
                </c:pt>
                <c:pt idx="169">
                  <c:v>0.14968716170674062</c:v>
                </c:pt>
                <c:pt idx="170">
                  <c:v>0.14968716170674062</c:v>
                </c:pt>
                <c:pt idx="171">
                  <c:v>0.14968716170674062</c:v>
                </c:pt>
                <c:pt idx="172">
                  <c:v>0.14968716170674062</c:v>
                </c:pt>
                <c:pt idx="173">
                  <c:v>0.14968716170674062</c:v>
                </c:pt>
                <c:pt idx="174">
                  <c:v>0.14968716170674062</c:v>
                </c:pt>
                <c:pt idx="175">
                  <c:v>0.14968716170674062</c:v>
                </c:pt>
                <c:pt idx="176">
                  <c:v>0.14968716170674062</c:v>
                </c:pt>
                <c:pt idx="177">
                  <c:v>0.14968716170674062</c:v>
                </c:pt>
                <c:pt idx="178">
                  <c:v>0.14968716170674062</c:v>
                </c:pt>
                <c:pt idx="179">
                  <c:v>0.14968716170674062</c:v>
                </c:pt>
                <c:pt idx="180">
                  <c:v>0.14968716170674062</c:v>
                </c:pt>
                <c:pt idx="181">
                  <c:v>0.14968716170674062</c:v>
                </c:pt>
                <c:pt idx="182">
                  <c:v>0.14968716170674062</c:v>
                </c:pt>
                <c:pt idx="183">
                  <c:v>0.14968716170674062</c:v>
                </c:pt>
                <c:pt idx="184">
                  <c:v>0.14968716170674062</c:v>
                </c:pt>
                <c:pt idx="185">
                  <c:v>0.14968716170674062</c:v>
                </c:pt>
                <c:pt idx="186">
                  <c:v>0.14968716170674062</c:v>
                </c:pt>
                <c:pt idx="187">
                  <c:v>0.14968716170674062</c:v>
                </c:pt>
                <c:pt idx="188">
                  <c:v>0.14968716170674062</c:v>
                </c:pt>
                <c:pt idx="189">
                  <c:v>0.14968716170674062</c:v>
                </c:pt>
                <c:pt idx="190">
                  <c:v>0.14968716170674062</c:v>
                </c:pt>
                <c:pt idx="191">
                  <c:v>0.14968716170674062</c:v>
                </c:pt>
                <c:pt idx="192">
                  <c:v>0.14968716170674062</c:v>
                </c:pt>
                <c:pt idx="193">
                  <c:v>0.14968716170674062</c:v>
                </c:pt>
                <c:pt idx="194">
                  <c:v>0.14968716170674062</c:v>
                </c:pt>
                <c:pt idx="195">
                  <c:v>0.14968716170674062</c:v>
                </c:pt>
                <c:pt idx="196">
                  <c:v>0.14968716170674062</c:v>
                </c:pt>
                <c:pt idx="197">
                  <c:v>0.14968716170674062</c:v>
                </c:pt>
                <c:pt idx="198">
                  <c:v>0.14968716170674062</c:v>
                </c:pt>
                <c:pt idx="199">
                  <c:v>0.14968716170674062</c:v>
                </c:pt>
                <c:pt idx="200">
                  <c:v>0.14968716170674062</c:v>
                </c:pt>
                <c:pt idx="201">
                  <c:v>0.14968716170674062</c:v>
                </c:pt>
                <c:pt idx="202">
                  <c:v>0.14968716170674062</c:v>
                </c:pt>
                <c:pt idx="203">
                  <c:v>0.14968716170674062</c:v>
                </c:pt>
                <c:pt idx="204">
                  <c:v>0.14968716170674062</c:v>
                </c:pt>
                <c:pt idx="205">
                  <c:v>0.14968716170674062</c:v>
                </c:pt>
                <c:pt idx="206">
                  <c:v>0.14968716170674062</c:v>
                </c:pt>
                <c:pt idx="207">
                  <c:v>0.14968716170674062</c:v>
                </c:pt>
                <c:pt idx="208">
                  <c:v>0.14968716170674062</c:v>
                </c:pt>
                <c:pt idx="209">
                  <c:v>0.14968716170674062</c:v>
                </c:pt>
                <c:pt idx="210">
                  <c:v>0.14968716170674062</c:v>
                </c:pt>
                <c:pt idx="211">
                  <c:v>0.14968716170674062</c:v>
                </c:pt>
                <c:pt idx="212">
                  <c:v>0.14968716170674062</c:v>
                </c:pt>
                <c:pt idx="213">
                  <c:v>0.14968716170674062</c:v>
                </c:pt>
                <c:pt idx="214">
                  <c:v>0.14968716170674062</c:v>
                </c:pt>
                <c:pt idx="215">
                  <c:v>0.14968716170674062</c:v>
                </c:pt>
                <c:pt idx="216">
                  <c:v>0.14968716170674062</c:v>
                </c:pt>
                <c:pt idx="217">
                  <c:v>0.14968716170674062</c:v>
                </c:pt>
                <c:pt idx="218">
                  <c:v>0.14968716170674062</c:v>
                </c:pt>
                <c:pt idx="219">
                  <c:v>0.14968716170674062</c:v>
                </c:pt>
                <c:pt idx="220">
                  <c:v>0.14968716170674062</c:v>
                </c:pt>
                <c:pt idx="221">
                  <c:v>0.14968716170674062</c:v>
                </c:pt>
                <c:pt idx="222">
                  <c:v>0.14968716170674062</c:v>
                </c:pt>
                <c:pt idx="223">
                  <c:v>0.14968716170674062</c:v>
                </c:pt>
                <c:pt idx="224">
                  <c:v>0.14968716170674062</c:v>
                </c:pt>
                <c:pt idx="225">
                  <c:v>0.14968716170674062</c:v>
                </c:pt>
                <c:pt idx="226">
                  <c:v>0.14968716170674062</c:v>
                </c:pt>
                <c:pt idx="227">
                  <c:v>0.14968716170674062</c:v>
                </c:pt>
                <c:pt idx="228">
                  <c:v>0.14968716170674062</c:v>
                </c:pt>
                <c:pt idx="229">
                  <c:v>0.14968716170674062</c:v>
                </c:pt>
                <c:pt idx="230">
                  <c:v>0.14968716170674062</c:v>
                </c:pt>
                <c:pt idx="231">
                  <c:v>0.14968716170674062</c:v>
                </c:pt>
                <c:pt idx="232">
                  <c:v>0.14968716170674062</c:v>
                </c:pt>
                <c:pt idx="233">
                  <c:v>0.14968716170674062</c:v>
                </c:pt>
                <c:pt idx="234">
                  <c:v>0.14968716170674062</c:v>
                </c:pt>
                <c:pt idx="235">
                  <c:v>0.14968716170674062</c:v>
                </c:pt>
                <c:pt idx="236">
                  <c:v>0.14968716170674062</c:v>
                </c:pt>
                <c:pt idx="237">
                  <c:v>0.14968716170674062</c:v>
                </c:pt>
                <c:pt idx="238">
                  <c:v>0.14968716170674062</c:v>
                </c:pt>
                <c:pt idx="239">
                  <c:v>0.14968716170674062</c:v>
                </c:pt>
                <c:pt idx="240">
                  <c:v>0.24769343410817113</c:v>
                </c:pt>
                <c:pt idx="241">
                  <c:v>0.24769343410817113</c:v>
                </c:pt>
                <c:pt idx="242">
                  <c:v>0.24769343410817113</c:v>
                </c:pt>
                <c:pt idx="243">
                  <c:v>0.24769343410817113</c:v>
                </c:pt>
                <c:pt idx="244">
                  <c:v>0.24769343410817113</c:v>
                </c:pt>
                <c:pt idx="245">
                  <c:v>0.24769343410817113</c:v>
                </c:pt>
                <c:pt idx="246">
                  <c:v>0.24769343410817113</c:v>
                </c:pt>
                <c:pt idx="247">
                  <c:v>0.24769343410817113</c:v>
                </c:pt>
                <c:pt idx="248">
                  <c:v>0.24769343410817113</c:v>
                </c:pt>
                <c:pt idx="249">
                  <c:v>0.24769343410817113</c:v>
                </c:pt>
                <c:pt idx="250">
                  <c:v>0.24769343410817113</c:v>
                </c:pt>
                <c:pt idx="251">
                  <c:v>0.24769343410817113</c:v>
                </c:pt>
                <c:pt idx="252">
                  <c:v>0.24769343410817113</c:v>
                </c:pt>
                <c:pt idx="253">
                  <c:v>0.24769343410817113</c:v>
                </c:pt>
                <c:pt idx="254">
                  <c:v>0.24769343410817113</c:v>
                </c:pt>
                <c:pt idx="255">
                  <c:v>0.24769343410817113</c:v>
                </c:pt>
                <c:pt idx="256">
                  <c:v>0.24769343410817113</c:v>
                </c:pt>
                <c:pt idx="257">
                  <c:v>0.24769343410817113</c:v>
                </c:pt>
                <c:pt idx="258">
                  <c:v>0.24769343410817113</c:v>
                </c:pt>
                <c:pt idx="259">
                  <c:v>0.24769343410817113</c:v>
                </c:pt>
                <c:pt idx="260">
                  <c:v>0.24769343410817113</c:v>
                </c:pt>
                <c:pt idx="261">
                  <c:v>0.24769343410817113</c:v>
                </c:pt>
                <c:pt idx="262">
                  <c:v>0.24769343410817113</c:v>
                </c:pt>
                <c:pt idx="263">
                  <c:v>0.24769343410817113</c:v>
                </c:pt>
                <c:pt idx="264">
                  <c:v>0.24769343410817113</c:v>
                </c:pt>
                <c:pt idx="265">
                  <c:v>0.24769343410817113</c:v>
                </c:pt>
                <c:pt idx="266">
                  <c:v>0.24769343410817113</c:v>
                </c:pt>
                <c:pt idx="267">
                  <c:v>0.24769343410817113</c:v>
                </c:pt>
                <c:pt idx="268">
                  <c:v>0.24769343410817113</c:v>
                </c:pt>
                <c:pt idx="269">
                  <c:v>0.24769343410817113</c:v>
                </c:pt>
                <c:pt idx="270">
                  <c:v>0.24769343410817113</c:v>
                </c:pt>
                <c:pt idx="271">
                  <c:v>0.24769343410817113</c:v>
                </c:pt>
                <c:pt idx="272">
                  <c:v>0.24769343410817113</c:v>
                </c:pt>
                <c:pt idx="273">
                  <c:v>0.24769343410817113</c:v>
                </c:pt>
                <c:pt idx="274">
                  <c:v>0.24769343410817113</c:v>
                </c:pt>
                <c:pt idx="275">
                  <c:v>0.24769343410817113</c:v>
                </c:pt>
                <c:pt idx="276">
                  <c:v>0.24769343410817113</c:v>
                </c:pt>
                <c:pt idx="277">
                  <c:v>0.24769343410817113</c:v>
                </c:pt>
                <c:pt idx="278">
                  <c:v>0.24769343410817113</c:v>
                </c:pt>
                <c:pt idx="279">
                  <c:v>0.24769343410817113</c:v>
                </c:pt>
                <c:pt idx="280">
                  <c:v>0.24769343410817113</c:v>
                </c:pt>
                <c:pt idx="281">
                  <c:v>0.24769343410817113</c:v>
                </c:pt>
                <c:pt idx="282">
                  <c:v>0.24769343410817113</c:v>
                </c:pt>
                <c:pt idx="283">
                  <c:v>0.24769343410817113</c:v>
                </c:pt>
                <c:pt idx="284">
                  <c:v>0.24769343410817113</c:v>
                </c:pt>
                <c:pt idx="285">
                  <c:v>0.24769343410817113</c:v>
                </c:pt>
                <c:pt idx="286">
                  <c:v>0.24769343410817113</c:v>
                </c:pt>
                <c:pt idx="287">
                  <c:v>0.24769343410817113</c:v>
                </c:pt>
                <c:pt idx="288">
                  <c:v>0.24769343410817113</c:v>
                </c:pt>
                <c:pt idx="289">
                  <c:v>0.24769343410817113</c:v>
                </c:pt>
                <c:pt idx="290">
                  <c:v>0.24769343410817113</c:v>
                </c:pt>
                <c:pt idx="291">
                  <c:v>0.24769343410817113</c:v>
                </c:pt>
                <c:pt idx="292">
                  <c:v>0.24769343410817113</c:v>
                </c:pt>
                <c:pt idx="293">
                  <c:v>0.24769343410817113</c:v>
                </c:pt>
                <c:pt idx="294">
                  <c:v>0.24769343410817113</c:v>
                </c:pt>
                <c:pt idx="295">
                  <c:v>0.24769343410817113</c:v>
                </c:pt>
                <c:pt idx="296">
                  <c:v>0.24769343410817113</c:v>
                </c:pt>
                <c:pt idx="297">
                  <c:v>0.24769343410817113</c:v>
                </c:pt>
                <c:pt idx="298">
                  <c:v>0.24769343410817113</c:v>
                </c:pt>
                <c:pt idx="299">
                  <c:v>0.24769343410817113</c:v>
                </c:pt>
                <c:pt idx="300">
                  <c:v>0.24769343410817113</c:v>
                </c:pt>
                <c:pt idx="301">
                  <c:v>0.24769343410817113</c:v>
                </c:pt>
                <c:pt idx="302">
                  <c:v>0.24769343410817113</c:v>
                </c:pt>
                <c:pt idx="303">
                  <c:v>0.24769343410817113</c:v>
                </c:pt>
                <c:pt idx="304">
                  <c:v>0.24769343410817113</c:v>
                </c:pt>
                <c:pt idx="305">
                  <c:v>0.24769343410817113</c:v>
                </c:pt>
                <c:pt idx="306">
                  <c:v>0.24769343410817113</c:v>
                </c:pt>
                <c:pt idx="307">
                  <c:v>0.24769343410817113</c:v>
                </c:pt>
                <c:pt idx="308">
                  <c:v>0.24769343410817113</c:v>
                </c:pt>
                <c:pt idx="309">
                  <c:v>1.2501454750716789</c:v>
                </c:pt>
                <c:pt idx="310">
                  <c:v>1.2501454750716789</c:v>
                </c:pt>
                <c:pt idx="311">
                  <c:v>1.2501454750716789</c:v>
                </c:pt>
                <c:pt idx="312">
                  <c:v>1.2501454750716789</c:v>
                </c:pt>
                <c:pt idx="313">
                  <c:v>1.2501454750716789</c:v>
                </c:pt>
                <c:pt idx="314">
                  <c:v>1.2501454750716789</c:v>
                </c:pt>
                <c:pt idx="315">
                  <c:v>1.2501454750716789</c:v>
                </c:pt>
                <c:pt idx="316">
                  <c:v>1.2501454750716789</c:v>
                </c:pt>
                <c:pt idx="317">
                  <c:v>1.2501454750716789</c:v>
                </c:pt>
                <c:pt idx="318">
                  <c:v>1.2501454750716789</c:v>
                </c:pt>
                <c:pt idx="319">
                  <c:v>1.2501454750716789</c:v>
                </c:pt>
                <c:pt idx="320">
                  <c:v>1.2501454750716789</c:v>
                </c:pt>
                <c:pt idx="321">
                  <c:v>1.2501454750716789</c:v>
                </c:pt>
                <c:pt idx="322">
                  <c:v>1.2501454750716789</c:v>
                </c:pt>
                <c:pt idx="323">
                  <c:v>1.2501454750716789</c:v>
                </c:pt>
                <c:pt idx="324">
                  <c:v>1.2501454750716789</c:v>
                </c:pt>
                <c:pt idx="325">
                  <c:v>1.2501454750716789</c:v>
                </c:pt>
                <c:pt idx="326">
                  <c:v>1.2501454750716789</c:v>
                </c:pt>
                <c:pt idx="327">
                  <c:v>1.2501454750716789</c:v>
                </c:pt>
                <c:pt idx="328">
                  <c:v>1.2501454750716789</c:v>
                </c:pt>
                <c:pt idx="329">
                  <c:v>1.2501454750716789</c:v>
                </c:pt>
                <c:pt idx="330">
                  <c:v>1.2501454750716789</c:v>
                </c:pt>
                <c:pt idx="331">
                  <c:v>1.2501454750716789</c:v>
                </c:pt>
                <c:pt idx="332">
                  <c:v>1.2501454750716789</c:v>
                </c:pt>
                <c:pt idx="333">
                  <c:v>1.2501454750716789</c:v>
                </c:pt>
                <c:pt idx="334">
                  <c:v>1.2501454750716789</c:v>
                </c:pt>
                <c:pt idx="335">
                  <c:v>1.2501454750716789</c:v>
                </c:pt>
                <c:pt idx="336">
                  <c:v>1.2501454750716789</c:v>
                </c:pt>
                <c:pt idx="337">
                  <c:v>1.2501454750716789</c:v>
                </c:pt>
                <c:pt idx="338">
                  <c:v>1.2501454750716789</c:v>
                </c:pt>
                <c:pt idx="339">
                  <c:v>1.2501454750716789</c:v>
                </c:pt>
                <c:pt idx="340">
                  <c:v>1.2501454750716789</c:v>
                </c:pt>
                <c:pt idx="341">
                  <c:v>1.2501454750716789</c:v>
                </c:pt>
                <c:pt idx="342">
                  <c:v>1.2501454750716789</c:v>
                </c:pt>
                <c:pt idx="343">
                  <c:v>1.2501454750716789</c:v>
                </c:pt>
                <c:pt idx="344">
                  <c:v>1.2501454750716789</c:v>
                </c:pt>
                <c:pt idx="345">
                  <c:v>1.2501454750716789</c:v>
                </c:pt>
                <c:pt idx="346">
                  <c:v>1.2501454750716789</c:v>
                </c:pt>
                <c:pt idx="347">
                  <c:v>1.2501454750716789</c:v>
                </c:pt>
                <c:pt idx="348">
                  <c:v>1.2501454750716789</c:v>
                </c:pt>
                <c:pt idx="349">
                  <c:v>1.2501454750716789</c:v>
                </c:pt>
                <c:pt idx="350">
                  <c:v>1.2501454750716789</c:v>
                </c:pt>
                <c:pt idx="351">
                  <c:v>1.2501454750716789</c:v>
                </c:pt>
                <c:pt idx="352">
                  <c:v>1.2501454750716789</c:v>
                </c:pt>
                <c:pt idx="353">
                  <c:v>1.2501454750716789</c:v>
                </c:pt>
                <c:pt idx="354">
                  <c:v>1.6161029218801881</c:v>
                </c:pt>
                <c:pt idx="355">
                  <c:v>1.6161029218801881</c:v>
                </c:pt>
                <c:pt idx="356">
                  <c:v>1.6161029218801881</c:v>
                </c:pt>
                <c:pt idx="357">
                  <c:v>1.6161029218801881</c:v>
                </c:pt>
                <c:pt idx="358">
                  <c:v>1.6161029218801881</c:v>
                </c:pt>
                <c:pt idx="359">
                  <c:v>1.6161029218801881</c:v>
                </c:pt>
                <c:pt idx="360">
                  <c:v>1.6161029218801881</c:v>
                </c:pt>
                <c:pt idx="361">
                  <c:v>1.6161029218801881</c:v>
                </c:pt>
                <c:pt idx="362">
                  <c:v>1.6161029218801881</c:v>
                </c:pt>
                <c:pt idx="363">
                  <c:v>1.6161029218801881</c:v>
                </c:pt>
                <c:pt idx="364">
                  <c:v>1.6161029218801881</c:v>
                </c:pt>
                <c:pt idx="365">
                  <c:v>1.6161029218801881</c:v>
                </c:pt>
                <c:pt idx="366">
                  <c:v>1.6161029218801881</c:v>
                </c:pt>
                <c:pt idx="367">
                  <c:v>1.6161029218801881</c:v>
                </c:pt>
                <c:pt idx="368">
                  <c:v>1.6161029218801881</c:v>
                </c:pt>
                <c:pt idx="369">
                  <c:v>1.6161029218801881</c:v>
                </c:pt>
                <c:pt idx="370">
                  <c:v>1.6161029218801881</c:v>
                </c:pt>
                <c:pt idx="371">
                  <c:v>1.6161029218801881</c:v>
                </c:pt>
                <c:pt idx="372">
                  <c:v>1.6161029218801881</c:v>
                </c:pt>
                <c:pt idx="373">
                  <c:v>1.6161029218801881</c:v>
                </c:pt>
                <c:pt idx="374">
                  <c:v>1.6161029218801881</c:v>
                </c:pt>
                <c:pt idx="375">
                  <c:v>1.6161029218801881</c:v>
                </c:pt>
                <c:pt idx="376">
                  <c:v>1.6161029218801881</c:v>
                </c:pt>
                <c:pt idx="377">
                  <c:v>1.6161029218801881</c:v>
                </c:pt>
                <c:pt idx="378">
                  <c:v>1.6161029218801881</c:v>
                </c:pt>
                <c:pt idx="379">
                  <c:v>1.6161029218801881</c:v>
                </c:pt>
                <c:pt idx="380">
                  <c:v>1.6161029218801881</c:v>
                </c:pt>
                <c:pt idx="381">
                  <c:v>1.6161029218801881</c:v>
                </c:pt>
                <c:pt idx="382">
                  <c:v>1.6161029218801881</c:v>
                </c:pt>
                <c:pt idx="383">
                  <c:v>1.6161029218801881</c:v>
                </c:pt>
                <c:pt idx="384">
                  <c:v>1.6161029218801881</c:v>
                </c:pt>
                <c:pt idx="385">
                  <c:v>1.6161029218801881</c:v>
                </c:pt>
                <c:pt idx="386">
                  <c:v>1.6161029218801881</c:v>
                </c:pt>
                <c:pt idx="387">
                  <c:v>1.6161029218801881</c:v>
                </c:pt>
                <c:pt idx="388">
                  <c:v>1.6161029218801881</c:v>
                </c:pt>
                <c:pt idx="389">
                  <c:v>1.5096995539822815</c:v>
                </c:pt>
                <c:pt idx="390">
                  <c:v>1.5096995539822815</c:v>
                </c:pt>
                <c:pt idx="391">
                  <c:v>1.5096995539822815</c:v>
                </c:pt>
                <c:pt idx="392">
                  <c:v>3.188887231935007</c:v>
                </c:pt>
                <c:pt idx="393">
                  <c:v>3.188887231935007</c:v>
                </c:pt>
                <c:pt idx="394">
                  <c:v>3.188887231935007</c:v>
                </c:pt>
                <c:pt idx="395">
                  <c:v>3.188887231935007</c:v>
                </c:pt>
                <c:pt idx="396">
                  <c:v>3.188887231935007</c:v>
                </c:pt>
                <c:pt idx="397">
                  <c:v>3.188887231935007</c:v>
                </c:pt>
                <c:pt idx="398">
                  <c:v>3.188887231935007</c:v>
                </c:pt>
                <c:pt idx="399">
                  <c:v>2.1903002454447948</c:v>
                </c:pt>
                <c:pt idx="400">
                  <c:v>2.1903002454447948</c:v>
                </c:pt>
                <c:pt idx="401">
                  <c:v>2.1903002454447948</c:v>
                </c:pt>
                <c:pt idx="402">
                  <c:v>2.1903002454447948</c:v>
                </c:pt>
                <c:pt idx="403">
                  <c:v>2.1903002454447948</c:v>
                </c:pt>
                <c:pt idx="404">
                  <c:v>2.1903002454447948</c:v>
                </c:pt>
                <c:pt idx="405">
                  <c:v>2.1903002454447948</c:v>
                </c:pt>
                <c:pt idx="406">
                  <c:v>2.1903002454447948</c:v>
                </c:pt>
                <c:pt idx="407">
                  <c:v>2.1903002454447948</c:v>
                </c:pt>
                <c:pt idx="408">
                  <c:v>2.1903002454447948</c:v>
                </c:pt>
                <c:pt idx="409">
                  <c:v>2.1903002454447948</c:v>
                </c:pt>
                <c:pt idx="410">
                  <c:v>2.1903002454447948</c:v>
                </c:pt>
                <c:pt idx="411">
                  <c:v>2.1903002454447948</c:v>
                </c:pt>
                <c:pt idx="412">
                  <c:v>2.1903002454447948</c:v>
                </c:pt>
                <c:pt idx="413">
                  <c:v>2.1903002454447948</c:v>
                </c:pt>
                <c:pt idx="414">
                  <c:v>2.1903002454447948</c:v>
                </c:pt>
                <c:pt idx="415">
                  <c:v>2.1903002454447948</c:v>
                </c:pt>
                <c:pt idx="416">
                  <c:v>2.1903002454447948</c:v>
                </c:pt>
                <c:pt idx="417">
                  <c:v>2.1903002454447948</c:v>
                </c:pt>
                <c:pt idx="418">
                  <c:v>2.1903002454447948</c:v>
                </c:pt>
              </c:numCache>
            </c:numRef>
          </c:val>
          <c:smooth val="1"/>
          <c:extLst>
            <c:ext xmlns:c16="http://schemas.microsoft.com/office/drawing/2014/chart" uri="{C3380CC4-5D6E-409C-BE32-E72D297353CC}">
              <c16:uniqueId val="{00000000-EBC8-4142-B284-300638C218BD}"/>
            </c:ext>
          </c:extLst>
        </c:ser>
        <c:ser>
          <c:idx val="1"/>
          <c:order val="2"/>
          <c:tx>
            <c:v>Dwn</c:v>
          </c:tx>
          <c:spPr>
            <a:ln w="28575" cap="rnd">
              <a:solidFill>
                <a:schemeClr val="accent2"/>
              </a:solidFill>
              <a:prstDash val="solid"/>
              <a:round/>
            </a:ln>
            <a:effectLst/>
          </c:spPr>
          <c:marker>
            <c:symbol val="none"/>
          </c:marker>
          <c:val>
            <c:numRef>
              <c:f>'2025-Q2'!$DG$4:$DG$422</c:f>
              <c:numCache>
                <c:formatCode>0.00</c:formatCode>
                <c:ptCount val="419"/>
                <c:pt idx="0">
                  <c:v>0</c:v>
                </c:pt>
                <c:pt idx="1">
                  <c:v>0.6788440567066546</c:v>
                </c:pt>
                <c:pt idx="2">
                  <c:v>0.6788440567066546</c:v>
                </c:pt>
                <c:pt idx="3">
                  <c:v>0.6788440567066546</c:v>
                </c:pt>
                <c:pt idx="4">
                  <c:v>0.6788440567066546</c:v>
                </c:pt>
                <c:pt idx="5">
                  <c:v>0.6788440567066546</c:v>
                </c:pt>
                <c:pt idx="6">
                  <c:v>0.6788440567066546</c:v>
                </c:pt>
                <c:pt idx="7">
                  <c:v>0.6788440567066546</c:v>
                </c:pt>
                <c:pt idx="8">
                  <c:v>0.6788440567066546</c:v>
                </c:pt>
                <c:pt idx="9">
                  <c:v>0.6788440567066546</c:v>
                </c:pt>
                <c:pt idx="10">
                  <c:v>0.6788440567066546</c:v>
                </c:pt>
                <c:pt idx="11">
                  <c:v>0.6788440567066546</c:v>
                </c:pt>
                <c:pt idx="12">
                  <c:v>0.6788440567066546</c:v>
                </c:pt>
                <c:pt idx="13">
                  <c:v>0.6788440567066546</c:v>
                </c:pt>
                <c:pt idx="14">
                  <c:v>0.6788440567066546</c:v>
                </c:pt>
                <c:pt idx="15">
                  <c:v>0.6788440567066546</c:v>
                </c:pt>
                <c:pt idx="16">
                  <c:v>0.6788440567066546</c:v>
                </c:pt>
                <c:pt idx="17">
                  <c:v>0.6788440567066546</c:v>
                </c:pt>
                <c:pt idx="18">
                  <c:v>0.6788440567066546</c:v>
                </c:pt>
                <c:pt idx="19">
                  <c:v>0.6788440567066546</c:v>
                </c:pt>
                <c:pt idx="20">
                  <c:v>0.6788440567066546</c:v>
                </c:pt>
                <c:pt idx="21">
                  <c:v>0.6788440567066546</c:v>
                </c:pt>
                <c:pt idx="22">
                  <c:v>0.6788440567066546</c:v>
                </c:pt>
                <c:pt idx="23">
                  <c:v>0.6788440567066546</c:v>
                </c:pt>
                <c:pt idx="24">
                  <c:v>0.6788440567066546</c:v>
                </c:pt>
                <c:pt idx="25">
                  <c:v>0.6788440567066546</c:v>
                </c:pt>
                <c:pt idx="26">
                  <c:v>0.6788440567066546</c:v>
                </c:pt>
                <c:pt idx="27">
                  <c:v>0.6788440567066546</c:v>
                </c:pt>
                <c:pt idx="28">
                  <c:v>0.6788440567066546</c:v>
                </c:pt>
                <c:pt idx="29">
                  <c:v>0.6788440567066546</c:v>
                </c:pt>
                <c:pt idx="30">
                  <c:v>0.6788440567066546</c:v>
                </c:pt>
                <c:pt idx="31">
                  <c:v>0.6788440567066546</c:v>
                </c:pt>
                <c:pt idx="32">
                  <c:v>0.6788440567066546</c:v>
                </c:pt>
                <c:pt idx="33">
                  <c:v>0.6788440567066546</c:v>
                </c:pt>
                <c:pt idx="34">
                  <c:v>0.6788440567066546</c:v>
                </c:pt>
                <c:pt idx="35">
                  <c:v>0.6788440567066546</c:v>
                </c:pt>
                <c:pt idx="36">
                  <c:v>0.6788440567066546</c:v>
                </c:pt>
                <c:pt idx="37">
                  <c:v>0.6788440567066546</c:v>
                </c:pt>
                <c:pt idx="38">
                  <c:v>0.6788440567066546</c:v>
                </c:pt>
                <c:pt idx="39">
                  <c:v>0.6788440567066546</c:v>
                </c:pt>
                <c:pt idx="40">
                  <c:v>0.6788440567066546</c:v>
                </c:pt>
                <c:pt idx="41">
                  <c:v>0.6788440567066546</c:v>
                </c:pt>
                <c:pt idx="42">
                  <c:v>0.6788440567066546</c:v>
                </c:pt>
                <c:pt idx="43">
                  <c:v>0.6788440567066546</c:v>
                </c:pt>
                <c:pt idx="44">
                  <c:v>0.6788440567066546</c:v>
                </c:pt>
                <c:pt idx="45">
                  <c:v>0.6788440567066546</c:v>
                </c:pt>
                <c:pt idx="46">
                  <c:v>0.6788440567066546</c:v>
                </c:pt>
                <c:pt idx="47">
                  <c:v>0.6788440567066546</c:v>
                </c:pt>
                <c:pt idx="48">
                  <c:v>0.6788440567066546</c:v>
                </c:pt>
                <c:pt idx="49">
                  <c:v>0.6788440567066546</c:v>
                </c:pt>
                <c:pt idx="50">
                  <c:v>0.6788440567066546</c:v>
                </c:pt>
                <c:pt idx="51">
                  <c:v>0.6788440567066546</c:v>
                </c:pt>
                <c:pt idx="52">
                  <c:v>0.6788440567066546</c:v>
                </c:pt>
                <c:pt idx="53">
                  <c:v>0.6788440567066546</c:v>
                </c:pt>
                <c:pt idx="54">
                  <c:v>0.6788440567066546</c:v>
                </c:pt>
                <c:pt idx="55">
                  <c:v>0.6788440567066546</c:v>
                </c:pt>
                <c:pt idx="56">
                  <c:v>0.6788440567066546</c:v>
                </c:pt>
                <c:pt idx="57">
                  <c:v>0.6788440567066546</c:v>
                </c:pt>
                <c:pt idx="58">
                  <c:v>0.6788440567066546</c:v>
                </c:pt>
                <c:pt idx="59">
                  <c:v>0.6788440567066546</c:v>
                </c:pt>
                <c:pt idx="60">
                  <c:v>0.6788440567066546</c:v>
                </c:pt>
                <c:pt idx="61">
                  <c:v>0.6788440567066546</c:v>
                </c:pt>
                <c:pt idx="62">
                  <c:v>0.6788440567066546</c:v>
                </c:pt>
                <c:pt idx="63">
                  <c:v>0.6788440567066546</c:v>
                </c:pt>
                <c:pt idx="64">
                  <c:v>0.6788440567066546</c:v>
                </c:pt>
                <c:pt idx="65">
                  <c:v>0.6788440567066546</c:v>
                </c:pt>
                <c:pt idx="66">
                  <c:v>0.6788440567066546</c:v>
                </c:pt>
                <c:pt idx="67">
                  <c:v>0.6788440567066546</c:v>
                </c:pt>
                <c:pt idx="68">
                  <c:v>0.6788440567066546</c:v>
                </c:pt>
                <c:pt idx="69">
                  <c:v>0.6788440567066546</c:v>
                </c:pt>
                <c:pt idx="70">
                  <c:v>0.6788440567066546</c:v>
                </c:pt>
                <c:pt idx="71">
                  <c:v>0.6788440567066546</c:v>
                </c:pt>
                <c:pt idx="72">
                  <c:v>0.6788440567066546</c:v>
                </c:pt>
                <c:pt idx="73">
                  <c:v>0.6788440567066546</c:v>
                </c:pt>
                <c:pt idx="74">
                  <c:v>0.6788440567066546</c:v>
                </c:pt>
                <c:pt idx="75">
                  <c:v>0.6788440567066546</c:v>
                </c:pt>
                <c:pt idx="76">
                  <c:v>0.6788440567066546</c:v>
                </c:pt>
                <c:pt idx="77">
                  <c:v>0.6788440567066546</c:v>
                </c:pt>
                <c:pt idx="78">
                  <c:v>0.6788440567066546</c:v>
                </c:pt>
                <c:pt idx="79">
                  <c:v>0.6788440567066546</c:v>
                </c:pt>
                <c:pt idx="80">
                  <c:v>0.6788440567066546</c:v>
                </c:pt>
                <c:pt idx="81">
                  <c:v>0.6788440567066546</c:v>
                </c:pt>
                <c:pt idx="82">
                  <c:v>0.6788440567066546</c:v>
                </c:pt>
                <c:pt idx="83">
                  <c:v>0.6788440567066546</c:v>
                </c:pt>
                <c:pt idx="84">
                  <c:v>0.6788440567066546</c:v>
                </c:pt>
                <c:pt idx="85">
                  <c:v>0.6788440567066546</c:v>
                </c:pt>
                <c:pt idx="86">
                  <c:v>0.6788440567066546</c:v>
                </c:pt>
                <c:pt idx="87">
                  <c:v>0.6788440567066546</c:v>
                </c:pt>
                <c:pt idx="88">
                  <c:v>0.6788440567066546</c:v>
                </c:pt>
                <c:pt idx="89">
                  <c:v>0.6788440567066546</c:v>
                </c:pt>
                <c:pt idx="90">
                  <c:v>0.6788440567066546</c:v>
                </c:pt>
                <c:pt idx="91">
                  <c:v>0.6788440567066546</c:v>
                </c:pt>
                <c:pt idx="92">
                  <c:v>0.6788440567066546</c:v>
                </c:pt>
                <c:pt idx="93">
                  <c:v>0.6788440567066546</c:v>
                </c:pt>
                <c:pt idx="94">
                  <c:v>0.6788440567066546</c:v>
                </c:pt>
                <c:pt idx="95">
                  <c:v>0.6788440567066546</c:v>
                </c:pt>
                <c:pt idx="96">
                  <c:v>0.77374072477919809</c:v>
                </c:pt>
                <c:pt idx="97">
                  <c:v>0.77374072477919809</c:v>
                </c:pt>
                <c:pt idx="98">
                  <c:v>0.77374072477919809</c:v>
                </c:pt>
                <c:pt idx="99">
                  <c:v>0.77374072477919809</c:v>
                </c:pt>
                <c:pt idx="100">
                  <c:v>0.77374072477919809</c:v>
                </c:pt>
                <c:pt idx="101">
                  <c:v>0.77374072477919809</c:v>
                </c:pt>
                <c:pt idx="102">
                  <c:v>0.77374072477919809</c:v>
                </c:pt>
                <c:pt idx="103">
                  <c:v>0.77374072477919809</c:v>
                </c:pt>
                <c:pt idx="104">
                  <c:v>0.77374072477919809</c:v>
                </c:pt>
                <c:pt idx="105">
                  <c:v>0.77374072477919809</c:v>
                </c:pt>
                <c:pt idx="106">
                  <c:v>0.77374072477919809</c:v>
                </c:pt>
                <c:pt idx="107">
                  <c:v>0.77374072477919809</c:v>
                </c:pt>
                <c:pt idx="108">
                  <c:v>0.77374072477919809</c:v>
                </c:pt>
                <c:pt idx="109">
                  <c:v>0.77374072477919809</c:v>
                </c:pt>
                <c:pt idx="110">
                  <c:v>0.77374072477919809</c:v>
                </c:pt>
                <c:pt idx="111">
                  <c:v>0.77374072477919809</c:v>
                </c:pt>
                <c:pt idx="112">
                  <c:v>0.77374072477919809</c:v>
                </c:pt>
                <c:pt idx="113">
                  <c:v>0.77374072477919809</c:v>
                </c:pt>
                <c:pt idx="114">
                  <c:v>0.77374072477919809</c:v>
                </c:pt>
                <c:pt idx="115">
                  <c:v>0.77374072477919809</c:v>
                </c:pt>
                <c:pt idx="116">
                  <c:v>0.77374072477919809</c:v>
                </c:pt>
                <c:pt idx="117">
                  <c:v>0.77374072477919809</c:v>
                </c:pt>
                <c:pt idx="118">
                  <c:v>0.77374072477919809</c:v>
                </c:pt>
                <c:pt idx="119">
                  <c:v>0.77374072477919809</c:v>
                </c:pt>
                <c:pt idx="120">
                  <c:v>0.77374072477919809</c:v>
                </c:pt>
                <c:pt idx="121">
                  <c:v>0.77374072477919809</c:v>
                </c:pt>
                <c:pt idx="122">
                  <c:v>0.77374072477919809</c:v>
                </c:pt>
                <c:pt idx="123">
                  <c:v>0.77374072477919809</c:v>
                </c:pt>
                <c:pt idx="124">
                  <c:v>0.77374072477919809</c:v>
                </c:pt>
                <c:pt idx="125">
                  <c:v>0.77374072477919809</c:v>
                </c:pt>
                <c:pt idx="126">
                  <c:v>0.77374072477919809</c:v>
                </c:pt>
                <c:pt idx="127">
                  <c:v>0.77374072477919809</c:v>
                </c:pt>
                <c:pt idx="128">
                  <c:v>0.77374072477919809</c:v>
                </c:pt>
                <c:pt idx="129">
                  <c:v>0.77374072477919809</c:v>
                </c:pt>
                <c:pt idx="130">
                  <c:v>0.77374072477919809</c:v>
                </c:pt>
                <c:pt idx="131">
                  <c:v>0.77374072477919809</c:v>
                </c:pt>
                <c:pt idx="132">
                  <c:v>0.77374072477919809</c:v>
                </c:pt>
                <c:pt idx="133">
                  <c:v>0.77374072477919809</c:v>
                </c:pt>
                <c:pt idx="134">
                  <c:v>1.261291609944398</c:v>
                </c:pt>
                <c:pt idx="135">
                  <c:v>1.261291609944398</c:v>
                </c:pt>
                <c:pt idx="136">
                  <c:v>1.261291609944398</c:v>
                </c:pt>
                <c:pt idx="137">
                  <c:v>1.261291609944398</c:v>
                </c:pt>
                <c:pt idx="138">
                  <c:v>1.261291609944398</c:v>
                </c:pt>
                <c:pt idx="139">
                  <c:v>1.261291609944398</c:v>
                </c:pt>
                <c:pt idx="140">
                  <c:v>1.261291609944398</c:v>
                </c:pt>
                <c:pt idx="141">
                  <c:v>1.261291609944398</c:v>
                </c:pt>
                <c:pt idx="142">
                  <c:v>1.261291609944398</c:v>
                </c:pt>
                <c:pt idx="143">
                  <c:v>1.261291609944398</c:v>
                </c:pt>
                <c:pt idx="144">
                  <c:v>1.2121188689979676</c:v>
                </c:pt>
                <c:pt idx="145">
                  <c:v>1.2121188689979676</c:v>
                </c:pt>
                <c:pt idx="146">
                  <c:v>1.2121188689979676</c:v>
                </c:pt>
                <c:pt idx="147">
                  <c:v>1.2121188689979676</c:v>
                </c:pt>
                <c:pt idx="148">
                  <c:v>1.2121188689979676</c:v>
                </c:pt>
                <c:pt idx="149">
                  <c:v>1.2121188689979676</c:v>
                </c:pt>
                <c:pt idx="150">
                  <c:v>1.2121188689979676</c:v>
                </c:pt>
                <c:pt idx="151">
                  <c:v>1.2121188689979676</c:v>
                </c:pt>
                <c:pt idx="152">
                  <c:v>1.2121188689979676</c:v>
                </c:pt>
                <c:pt idx="153">
                  <c:v>1.2121188689979676</c:v>
                </c:pt>
                <c:pt idx="154">
                  <c:v>1.2121188689979676</c:v>
                </c:pt>
                <c:pt idx="155">
                  <c:v>1.2121188689979676</c:v>
                </c:pt>
                <c:pt idx="156">
                  <c:v>1.2121188689979676</c:v>
                </c:pt>
                <c:pt idx="157">
                  <c:v>1.2121188689979676</c:v>
                </c:pt>
                <c:pt idx="158">
                  <c:v>1.2121188689979676</c:v>
                </c:pt>
                <c:pt idx="159">
                  <c:v>1.2121188689979676</c:v>
                </c:pt>
                <c:pt idx="160">
                  <c:v>1.2121188689979676</c:v>
                </c:pt>
                <c:pt idx="161">
                  <c:v>1.2121188689979676</c:v>
                </c:pt>
                <c:pt idx="162">
                  <c:v>1.2121188689979676</c:v>
                </c:pt>
                <c:pt idx="163">
                  <c:v>1.2121188689979676</c:v>
                </c:pt>
                <c:pt idx="164">
                  <c:v>1.2121188689979676</c:v>
                </c:pt>
                <c:pt idx="165">
                  <c:v>1.2121188689979676</c:v>
                </c:pt>
                <c:pt idx="166">
                  <c:v>1.2121188689979676</c:v>
                </c:pt>
                <c:pt idx="167">
                  <c:v>1.2121188689979676</c:v>
                </c:pt>
                <c:pt idx="168">
                  <c:v>1.2121188689979676</c:v>
                </c:pt>
                <c:pt idx="169">
                  <c:v>1.2121188689979676</c:v>
                </c:pt>
                <c:pt idx="170">
                  <c:v>1.2121188689979676</c:v>
                </c:pt>
                <c:pt idx="171">
                  <c:v>1.2121188689979676</c:v>
                </c:pt>
                <c:pt idx="172">
                  <c:v>1.2121188689979676</c:v>
                </c:pt>
                <c:pt idx="173">
                  <c:v>1.2121188689979676</c:v>
                </c:pt>
                <c:pt idx="174">
                  <c:v>1.2121188689979676</c:v>
                </c:pt>
                <c:pt idx="175">
                  <c:v>1.2121188689979676</c:v>
                </c:pt>
                <c:pt idx="176">
                  <c:v>1.2121188689979676</c:v>
                </c:pt>
                <c:pt idx="177">
                  <c:v>1.2121188689979676</c:v>
                </c:pt>
                <c:pt idx="178">
                  <c:v>1.2121188689979676</c:v>
                </c:pt>
                <c:pt idx="179">
                  <c:v>1.2121188689979676</c:v>
                </c:pt>
                <c:pt idx="180">
                  <c:v>1.2121188689979676</c:v>
                </c:pt>
                <c:pt idx="181">
                  <c:v>1.2121188689979676</c:v>
                </c:pt>
                <c:pt idx="182">
                  <c:v>1.2121188689979676</c:v>
                </c:pt>
                <c:pt idx="183">
                  <c:v>1.2121188689979676</c:v>
                </c:pt>
                <c:pt idx="184">
                  <c:v>1.2121188689979676</c:v>
                </c:pt>
                <c:pt idx="185">
                  <c:v>1.2121188689979676</c:v>
                </c:pt>
                <c:pt idx="186">
                  <c:v>1.2121188689979676</c:v>
                </c:pt>
                <c:pt idx="187">
                  <c:v>1.2121188689979676</c:v>
                </c:pt>
                <c:pt idx="188">
                  <c:v>1.2121188689979676</c:v>
                </c:pt>
                <c:pt idx="189">
                  <c:v>1.2121188689979676</c:v>
                </c:pt>
                <c:pt idx="190">
                  <c:v>1.2121188689979676</c:v>
                </c:pt>
                <c:pt idx="191">
                  <c:v>1.2121188689979676</c:v>
                </c:pt>
                <c:pt idx="192">
                  <c:v>1.2121188689979676</c:v>
                </c:pt>
                <c:pt idx="193">
                  <c:v>1.2121188689979676</c:v>
                </c:pt>
                <c:pt idx="194">
                  <c:v>1.2121188689979676</c:v>
                </c:pt>
                <c:pt idx="195">
                  <c:v>1.2121188689979676</c:v>
                </c:pt>
                <c:pt idx="196">
                  <c:v>1.2121188689979676</c:v>
                </c:pt>
                <c:pt idx="197">
                  <c:v>1.2121188689979676</c:v>
                </c:pt>
                <c:pt idx="198">
                  <c:v>1.2121188689979676</c:v>
                </c:pt>
                <c:pt idx="199">
                  <c:v>1.2121188689979676</c:v>
                </c:pt>
                <c:pt idx="200">
                  <c:v>1.2121188689979676</c:v>
                </c:pt>
                <c:pt idx="201">
                  <c:v>1.2121188689979676</c:v>
                </c:pt>
                <c:pt idx="202">
                  <c:v>1.2121188689979676</c:v>
                </c:pt>
                <c:pt idx="203">
                  <c:v>1.2121188689979676</c:v>
                </c:pt>
                <c:pt idx="204">
                  <c:v>1.2121188689979676</c:v>
                </c:pt>
                <c:pt idx="205">
                  <c:v>1.2121188689979676</c:v>
                </c:pt>
                <c:pt idx="206">
                  <c:v>1.2121188689979676</c:v>
                </c:pt>
                <c:pt idx="207">
                  <c:v>1.2121188689979676</c:v>
                </c:pt>
                <c:pt idx="208">
                  <c:v>1.2121188689979676</c:v>
                </c:pt>
                <c:pt idx="209">
                  <c:v>1.4372689690646794</c:v>
                </c:pt>
                <c:pt idx="210">
                  <c:v>1.4372689690646794</c:v>
                </c:pt>
                <c:pt idx="211">
                  <c:v>1.4372689690646794</c:v>
                </c:pt>
                <c:pt idx="212">
                  <c:v>1.4372689690646794</c:v>
                </c:pt>
                <c:pt idx="213">
                  <c:v>1.5249935139936004</c:v>
                </c:pt>
                <c:pt idx="214">
                  <c:v>1.5249935139936004</c:v>
                </c:pt>
                <c:pt idx="215">
                  <c:v>1.5249935139936004</c:v>
                </c:pt>
                <c:pt idx="216">
                  <c:v>1.5249935139936004</c:v>
                </c:pt>
                <c:pt idx="217">
                  <c:v>1.5249935139936004</c:v>
                </c:pt>
                <c:pt idx="218">
                  <c:v>1.5249935139936004</c:v>
                </c:pt>
                <c:pt idx="219">
                  <c:v>1.5249935139936004</c:v>
                </c:pt>
                <c:pt idx="220">
                  <c:v>1.5249935139936004</c:v>
                </c:pt>
                <c:pt idx="221">
                  <c:v>1.5249935139936004</c:v>
                </c:pt>
                <c:pt idx="222">
                  <c:v>1.5249935139936004</c:v>
                </c:pt>
                <c:pt idx="223">
                  <c:v>1.5249935139936004</c:v>
                </c:pt>
                <c:pt idx="224">
                  <c:v>1.5249935139936004</c:v>
                </c:pt>
                <c:pt idx="225">
                  <c:v>1.5249935139936004</c:v>
                </c:pt>
                <c:pt idx="226">
                  <c:v>1.5249935139936004</c:v>
                </c:pt>
                <c:pt idx="227">
                  <c:v>1.5249935139936004</c:v>
                </c:pt>
                <c:pt idx="228">
                  <c:v>1.5249935139936004</c:v>
                </c:pt>
                <c:pt idx="229">
                  <c:v>1.5249935139936004</c:v>
                </c:pt>
                <c:pt idx="230">
                  <c:v>1.5249935139936004</c:v>
                </c:pt>
                <c:pt idx="231">
                  <c:v>1.5249935139936004</c:v>
                </c:pt>
                <c:pt idx="232">
                  <c:v>1.5249935139936004</c:v>
                </c:pt>
                <c:pt idx="233">
                  <c:v>1.5249935139936004</c:v>
                </c:pt>
                <c:pt idx="234">
                  <c:v>1.5249935139936004</c:v>
                </c:pt>
                <c:pt idx="235">
                  <c:v>1.5249935139936004</c:v>
                </c:pt>
                <c:pt idx="236">
                  <c:v>1.5249935139936004</c:v>
                </c:pt>
                <c:pt idx="237">
                  <c:v>1.5249935139936004</c:v>
                </c:pt>
                <c:pt idx="238">
                  <c:v>1.5249935139936004</c:v>
                </c:pt>
                <c:pt idx="239">
                  <c:v>1.5249935139936004</c:v>
                </c:pt>
                <c:pt idx="240">
                  <c:v>1.5249935139936004</c:v>
                </c:pt>
                <c:pt idx="241">
                  <c:v>1.5249935139936004</c:v>
                </c:pt>
                <c:pt idx="242">
                  <c:v>1.5249935139936004</c:v>
                </c:pt>
                <c:pt idx="243">
                  <c:v>1.5249935139936004</c:v>
                </c:pt>
                <c:pt idx="244">
                  <c:v>1.5249935139936004</c:v>
                </c:pt>
                <c:pt idx="245">
                  <c:v>1.5249935139936004</c:v>
                </c:pt>
                <c:pt idx="246">
                  <c:v>1.5249935139936004</c:v>
                </c:pt>
                <c:pt idx="247">
                  <c:v>1.5249935139936004</c:v>
                </c:pt>
                <c:pt idx="248">
                  <c:v>1.5249935139936004</c:v>
                </c:pt>
                <c:pt idx="249">
                  <c:v>1.5249935139936004</c:v>
                </c:pt>
                <c:pt idx="250">
                  <c:v>1.5249935139936004</c:v>
                </c:pt>
                <c:pt idx="251">
                  <c:v>1.5249935139936004</c:v>
                </c:pt>
                <c:pt idx="252">
                  <c:v>1.5249935139936004</c:v>
                </c:pt>
                <c:pt idx="253">
                  <c:v>1.5249935139936004</c:v>
                </c:pt>
                <c:pt idx="254">
                  <c:v>1.5249935139936004</c:v>
                </c:pt>
                <c:pt idx="255">
                  <c:v>2.0536926011145376</c:v>
                </c:pt>
                <c:pt idx="256">
                  <c:v>2.0536926011145376</c:v>
                </c:pt>
                <c:pt idx="257">
                  <c:v>2.0536926011145376</c:v>
                </c:pt>
                <c:pt idx="258">
                  <c:v>2.0536926011145376</c:v>
                </c:pt>
                <c:pt idx="259">
                  <c:v>2.0536926011145376</c:v>
                </c:pt>
                <c:pt idx="260">
                  <c:v>2.0536926011145376</c:v>
                </c:pt>
                <c:pt idx="261">
                  <c:v>1.7624645309390978</c:v>
                </c:pt>
                <c:pt idx="262">
                  <c:v>1.7624645309390978</c:v>
                </c:pt>
                <c:pt idx="263">
                  <c:v>1.7624645309390978</c:v>
                </c:pt>
                <c:pt idx="264">
                  <c:v>1.7624645309390978</c:v>
                </c:pt>
                <c:pt idx="265">
                  <c:v>1.7624645309390978</c:v>
                </c:pt>
                <c:pt idx="266">
                  <c:v>1.7624645309390978</c:v>
                </c:pt>
                <c:pt idx="267">
                  <c:v>1.7624645309390978</c:v>
                </c:pt>
                <c:pt idx="268">
                  <c:v>1.7624645309390978</c:v>
                </c:pt>
                <c:pt idx="269">
                  <c:v>1.7624645309390978</c:v>
                </c:pt>
                <c:pt idx="270">
                  <c:v>1.7624645309390978</c:v>
                </c:pt>
                <c:pt idx="271">
                  <c:v>1.7624645309390978</c:v>
                </c:pt>
                <c:pt idx="272">
                  <c:v>1.7624645309390978</c:v>
                </c:pt>
                <c:pt idx="273">
                  <c:v>1.7624645309390978</c:v>
                </c:pt>
                <c:pt idx="274">
                  <c:v>1.7624645309390978</c:v>
                </c:pt>
                <c:pt idx="275">
                  <c:v>1.7624645309390978</c:v>
                </c:pt>
                <c:pt idx="276">
                  <c:v>1.7624645309390978</c:v>
                </c:pt>
                <c:pt idx="277">
                  <c:v>1.7624645309390978</c:v>
                </c:pt>
                <c:pt idx="278">
                  <c:v>1.7624645309390978</c:v>
                </c:pt>
                <c:pt idx="279">
                  <c:v>1.7624645309390978</c:v>
                </c:pt>
                <c:pt idx="280">
                  <c:v>1.7624645309390978</c:v>
                </c:pt>
                <c:pt idx="281">
                  <c:v>1.7624645309390978</c:v>
                </c:pt>
                <c:pt idx="282">
                  <c:v>1.7624645309390978</c:v>
                </c:pt>
                <c:pt idx="283">
                  <c:v>1.7624645309390978</c:v>
                </c:pt>
                <c:pt idx="284">
                  <c:v>1.7624645309390978</c:v>
                </c:pt>
                <c:pt idx="285">
                  <c:v>1.7624645309390978</c:v>
                </c:pt>
                <c:pt idx="286">
                  <c:v>1.7624645309390978</c:v>
                </c:pt>
                <c:pt idx="287">
                  <c:v>1.7624645309390978</c:v>
                </c:pt>
                <c:pt idx="288">
                  <c:v>1.7624645309390978</c:v>
                </c:pt>
                <c:pt idx="289">
                  <c:v>1.3104003890080136</c:v>
                </c:pt>
                <c:pt idx="290">
                  <c:v>1.3104003890080136</c:v>
                </c:pt>
                <c:pt idx="291">
                  <c:v>1.3104003890080136</c:v>
                </c:pt>
                <c:pt idx="292">
                  <c:v>1.3104003890080136</c:v>
                </c:pt>
                <c:pt idx="293">
                  <c:v>1.3104003890080136</c:v>
                </c:pt>
                <c:pt idx="294">
                  <c:v>1.3104003890080136</c:v>
                </c:pt>
                <c:pt idx="295">
                  <c:v>1.3104003890080136</c:v>
                </c:pt>
                <c:pt idx="296">
                  <c:v>1.3104003890080136</c:v>
                </c:pt>
                <c:pt idx="297">
                  <c:v>1.3104003890080136</c:v>
                </c:pt>
                <c:pt idx="298">
                  <c:v>1.3104003890080136</c:v>
                </c:pt>
                <c:pt idx="299">
                  <c:v>1.3104003890080136</c:v>
                </c:pt>
                <c:pt idx="300">
                  <c:v>1.3104003890080136</c:v>
                </c:pt>
                <c:pt idx="301">
                  <c:v>1.3104003890080136</c:v>
                </c:pt>
                <c:pt idx="302">
                  <c:v>1.3104003890080136</c:v>
                </c:pt>
                <c:pt idx="303">
                  <c:v>1.3104003890080136</c:v>
                </c:pt>
                <c:pt idx="304">
                  <c:v>1.3104003890080136</c:v>
                </c:pt>
                <c:pt idx="305">
                  <c:v>1.3104003890080136</c:v>
                </c:pt>
                <c:pt idx="306">
                  <c:v>1.3104003890080136</c:v>
                </c:pt>
                <c:pt idx="307">
                  <c:v>1.3104003890080136</c:v>
                </c:pt>
                <c:pt idx="308">
                  <c:v>1.3104003890080136</c:v>
                </c:pt>
                <c:pt idx="309">
                  <c:v>1.3104003890080136</c:v>
                </c:pt>
                <c:pt idx="310">
                  <c:v>1.3104003890080136</c:v>
                </c:pt>
                <c:pt idx="311">
                  <c:v>2.626961496209514</c:v>
                </c:pt>
                <c:pt idx="312">
                  <c:v>2.626961496209514</c:v>
                </c:pt>
                <c:pt idx="313">
                  <c:v>2.626961496209514</c:v>
                </c:pt>
                <c:pt idx="314">
                  <c:v>2.626961496209514</c:v>
                </c:pt>
                <c:pt idx="315">
                  <c:v>2.626961496209514</c:v>
                </c:pt>
                <c:pt idx="316">
                  <c:v>2.626961496209514</c:v>
                </c:pt>
                <c:pt idx="317">
                  <c:v>2.626961496209514</c:v>
                </c:pt>
                <c:pt idx="318">
                  <c:v>2.626961496209514</c:v>
                </c:pt>
                <c:pt idx="319">
                  <c:v>2.626961496209514</c:v>
                </c:pt>
                <c:pt idx="320">
                  <c:v>2.626961496209514</c:v>
                </c:pt>
                <c:pt idx="321">
                  <c:v>2.626961496209514</c:v>
                </c:pt>
                <c:pt idx="322">
                  <c:v>2.626961496209514</c:v>
                </c:pt>
                <c:pt idx="323">
                  <c:v>2.626961496209514</c:v>
                </c:pt>
                <c:pt idx="324">
                  <c:v>2.626961496209514</c:v>
                </c:pt>
                <c:pt idx="325">
                  <c:v>2.626961496209514</c:v>
                </c:pt>
                <c:pt idx="326">
                  <c:v>2.626961496209514</c:v>
                </c:pt>
                <c:pt idx="327">
                  <c:v>2.626961496209514</c:v>
                </c:pt>
                <c:pt idx="328">
                  <c:v>2.626961496209514</c:v>
                </c:pt>
                <c:pt idx="329">
                  <c:v>2.626961496209514</c:v>
                </c:pt>
                <c:pt idx="330">
                  <c:v>2.626961496209514</c:v>
                </c:pt>
                <c:pt idx="331">
                  <c:v>2.626961496209514</c:v>
                </c:pt>
                <c:pt idx="332">
                  <c:v>2.626961496209514</c:v>
                </c:pt>
                <c:pt idx="333">
                  <c:v>2.626961496209514</c:v>
                </c:pt>
                <c:pt idx="334">
                  <c:v>2.626961496209514</c:v>
                </c:pt>
                <c:pt idx="335">
                  <c:v>2.626961496209514</c:v>
                </c:pt>
                <c:pt idx="336">
                  <c:v>2.626961496209514</c:v>
                </c:pt>
                <c:pt idx="337">
                  <c:v>2.626961496209514</c:v>
                </c:pt>
                <c:pt idx="338">
                  <c:v>2.626961496209514</c:v>
                </c:pt>
                <c:pt idx="339">
                  <c:v>2.626961496209514</c:v>
                </c:pt>
                <c:pt idx="340">
                  <c:v>2.626961496209514</c:v>
                </c:pt>
                <c:pt idx="341">
                  <c:v>2.626961496209514</c:v>
                </c:pt>
                <c:pt idx="342">
                  <c:v>3.0565650892577492</c:v>
                </c:pt>
                <c:pt idx="343">
                  <c:v>3.0565650892577492</c:v>
                </c:pt>
                <c:pt idx="344">
                  <c:v>3.0565650892577492</c:v>
                </c:pt>
                <c:pt idx="345">
                  <c:v>3.0565650892577492</c:v>
                </c:pt>
                <c:pt idx="346">
                  <c:v>3.0565650892577492</c:v>
                </c:pt>
                <c:pt idx="347">
                  <c:v>3.0565650892577492</c:v>
                </c:pt>
                <c:pt idx="348">
                  <c:v>3.0565650892577492</c:v>
                </c:pt>
                <c:pt idx="349">
                  <c:v>3.0565650892577492</c:v>
                </c:pt>
                <c:pt idx="350">
                  <c:v>4.1810385231482243</c:v>
                </c:pt>
                <c:pt idx="351">
                  <c:v>4.1810385231482243</c:v>
                </c:pt>
                <c:pt idx="352">
                  <c:v>4.1810385231482243</c:v>
                </c:pt>
                <c:pt idx="353">
                  <c:v>4.1810385231482243</c:v>
                </c:pt>
                <c:pt idx="354">
                  <c:v>4.1810385231482243</c:v>
                </c:pt>
                <c:pt idx="355">
                  <c:v>4.1810385231482243</c:v>
                </c:pt>
                <c:pt idx="356">
                  <c:v>4.1810385231482243</c:v>
                </c:pt>
                <c:pt idx="357">
                  <c:v>4.1810385231482243</c:v>
                </c:pt>
                <c:pt idx="358">
                  <c:v>4.1810385231482243</c:v>
                </c:pt>
                <c:pt idx="359">
                  <c:v>4.1810385231482243</c:v>
                </c:pt>
                <c:pt idx="360">
                  <c:v>4.1810385231482243</c:v>
                </c:pt>
                <c:pt idx="361">
                  <c:v>4.1810385231482243</c:v>
                </c:pt>
                <c:pt idx="362">
                  <c:v>4.1810385231482243</c:v>
                </c:pt>
                <c:pt idx="363">
                  <c:v>4.1810385231482243</c:v>
                </c:pt>
                <c:pt idx="364">
                  <c:v>4.1810385231482243</c:v>
                </c:pt>
                <c:pt idx="365">
                  <c:v>4.1810385231482243</c:v>
                </c:pt>
                <c:pt idx="366">
                  <c:v>4.1810385231482243</c:v>
                </c:pt>
                <c:pt idx="367">
                  <c:v>4.1810385231482243</c:v>
                </c:pt>
                <c:pt idx="368">
                  <c:v>4.1810385231482243</c:v>
                </c:pt>
                <c:pt idx="369">
                  <c:v>4.1810385231482243</c:v>
                </c:pt>
                <c:pt idx="370">
                  <c:v>4.1810385231482243</c:v>
                </c:pt>
                <c:pt idx="371">
                  <c:v>4.1810385231482243</c:v>
                </c:pt>
                <c:pt idx="372">
                  <c:v>4.1810385231482243</c:v>
                </c:pt>
                <c:pt idx="373">
                  <c:v>4.1810385231482243</c:v>
                </c:pt>
                <c:pt idx="374">
                  <c:v>4.1810385231482243</c:v>
                </c:pt>
                <c:pt idx="375">
                  <c:v>4.1810385231482243</c:v>
                </c:pt>
                <c:pt idx="376">
                  <c:v>4.1810385231482243</c:v>
                </c:pt>
                <c:pt idx="377">
                  <c:v>4.1810385231482243</c:v>
                </c:pt>
                <c:pt idx="378">
                  <c:v>4.1810385231482243</c:v>
                </c:pt>
                <c:pt idx="379">
                  <c:v>4.1810385231482243</c:v>
                </c:pt>
                <c:pt idx="380">
                  <c:v>4.1810385231482243</c:v>
                </c:pt>
                <c:pt idx="381">
                  <c:v>4.1810385231482243</c:v>
                </c:pt>
                <c:pt idx="382">
                  <c:v>4.1810385231482243</c:v>
                </c:pt>
                <c:pt idx="383">
                  <c:v>4.1810385231482243</c:v>
                </c:pt>
                <c:pt idx="384">
                  <c:v>4.1810385231482243</c:v>
                </c:pt>
                <c:pt idx="385">
                  <c:v>4.1810385231482243</c:v>
                </c:pt>
                <c:pt idx="386">
                  <c:v>4.1810385231482243</c:v>
                </c:pt>
                <c:pt idx="387">
                  <c:v>4.1810385231482243</c:v>
                </c:pt>
                <c:pt idx="388">
                  <c:v>4.1810385231482243</c:v>
                </c:pt>
                <c:pt idx="389">
                  <c:v>4.1810385231482243</c:v>
                </c:pt>
                <c:pt idx="390">
                  <c:v>4.1810385231482243</c:v>
                </c:pt>
                <c:pt idx="391">
                  <c:v>3.7844462787298916</c:v>
                </c:pt>
                <c:pt idx="392">
                  <c:v>3.7844462787298916</c:v>
                </c:pt>
                <c:pt idx="393">
                  <c:v>3.7844462787298916</c:v>
                </c:pt>
                <c:pt idx="394">
                  <c:v>3.7844462787298916</c:v>
                </c:pt>
                <c:pt idx="395">
                  <c:v>3.7844462787298916</c:v>
                </c:pt>
                <c:pt idx="396">
                  <c:v>3.7844462787298916</c:v>
                </c:pt>
                <c:pt idx="397">
                  <c:v>3.7844462787298916</c:v>
                </c:pt>
                <c:pt idx="398">
                  <c:v>3.7844462787298916</c:v>
                </c:pt>
                <c:pt idx="399">
                  <c:v>3.7844462787298916</c:v>
                </c:pt>
                <c:pt idx="400">
                  <c:v>3.7844462787298916</c:v>
                </c:pt>
                <c:pt idx="401">
                  <c:v>3.7844462787298916</c:v>
                </c:pt>
                <c:pt idx="402">
                  <c:v>3.7844462787298916</c:v>
                </c:pt>
                <c:pt idx="403">
                  <c:v>3.7844462787298916</c:v>
                </c:pt>
                <c:pt idx="404">
                  <c:v>3.7844462787298916</c:v>
                </c:pt>
                <c:pt idx="405">
                  <c:v>3.7844462787298916</c:v>
                </c:pt>
                <c:pt idx="406">
                  <c:v>3.7844462787298916</c:v>
                </c:pt>
                <c:pt idx="407">
                  <c:v>3.7844462787298916</c:v>
                </c:pt>
                <c:pt idx="408">
                  <c:v>3.7844462787298916</c:v>
                </c:pt>
                <c:pt idx="409">
                  <c:v>3.7844462787298916</c:v>
                </c:pt>
                <c:pt idx="410">
                  <c:v>3.7844462787298916</c:v>
                </c:pt>
                <c:pt idx="411">
                  <c:v>3.7844462787298916</c:v>
                </c:pt>
                <c:pt idx="412">
                  <c:v>3.7844462787298916</c:v>
                </c:pt>
                <c:pt idx="413">
                  <c:v>3.7844462787298916</c:v>
                </c:pt>
                <c:pt idx="414">
                  <c:v>3.7844462787298916</c:v>
                </c:pt>
                <c:pt idx="415">
                  <c:v>4.208836218191915</c:v>
                </c:pt>
                <c:pt idx="416">
                  <c:v>4.208836218191915</c:v>
                </c:pt>
                <c:pt idx="417">
                  <c:v>3.4483799444276562</c:v>
                </c:pt>
                <c:pt idx="418">
                  <c:v>3.4483799444276562</c:v>
                </c:pt>
              </c:numCache>
            </c:numRef>
          </c:val>
          <c:smooth val="1"/>
          <c:extLst>
            <c:ext xmlns:c16="http://schemas.microsoft.com/office/drawing/2014/chart" uri="{C3380CC4-5D6E-409C-BE32-E72D297353CC}">
              <c16:uniqueId val="{00000001-EBC8-4142-B284-300638C218BD}"/>
            </c:ext>
          </c:extLst>
        </c:ser>
        <c:ser>
          <c:idx val="2"/>
          <c:order val="3"/>
          <c:tx>
            <c:v>SW</c:v>
          </c:tx>
          <c:spPr>
            <a:ln w="28575" cap="rnd">
              <a:solidFill>
                <a:srgbClr val="0070C0"/>
              </a:solidFill>
              <a:prstDash val="solid"/>
              <a:round/>
            </a:ln>
            <a:effectLst/>
          </c:spPr>
          <c:marker>
            <c:symbol val="none"/>
          </c:marker>
          <c:val>
            <c:numRef>
              <c:f>'2025-Q2'!$DI$4:$DI$422</c:f>
              <c:numCache>
                <c:formatCode>0.00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-0.83172699364602887</c:v>
                </c:pt>
                <c:pt idx="51">
                  <c:v>-0.83172699364602887</c:v>
                </c:pt>
                <c:pt idx="52">
                  <c:v>-0.83172699364602887</c:v>
                </c:pt>
                <c:pt idx="53">
                  <c:v>-0.83172699364602887</c:v>
                </c:pt>
                <c:pt idx="54">
                  <c:v>-0.83172699364602887</c:v>
                </c:pt>
                <c:pt idx="55">
                  <c:v>-0.83172699364602887</c:v>
                </c:pt>
                <c:pt idx="56">
                  <c:v>-0.83172699364602887</c:v>
                </c:pt>
                <c:pt idx="57">
                  <c:v>-0.83172699364602887</c:v>
                </c:pt>
                <c:pt idx="58">
                  <c:v>-0.83172699364602887</c:v>
                </c:pt>
                <c:pt idx="59">
                  <c:v>-0.83172699364602887</c:v>
                </c:pt>
                <c:pt idx="60">
                  <c:v>-0.83172699364602887</c:v>
                </c:pt>
                <c:pt idx="61">
                  <c:v>-0.83172699364602887</c:v>
                </c:pt>
                <c:pt idx="62">
                  <c:v>-0.83172699364602887</c:v>
                </c:pt>
                <c:pt idx="63">
                  <c:v>-0.83172699364602887</c:v>
                </c:pt>
                <c:pt idx="64">
                  <c:v>-0.83172699364602887</c:v>
                </c:pt>
                <c:pt idx="65">
                  <c:v>-0.83172699364602887</c:v>
                </c:pt>
                <c:pt idx="66">
                  <c:v>-0.83172699364602887</c:v>
                </c:pt>
                <c:pt idx="67">
                  <c:v>-0.83172699364602887</c:v>
                </c:pt>
                <c:pt idx="68">
                  <c:v>-0.83172699364602887</c:v>
                </c:pt>
                <c:pt idx="69">
                  <c:v>-0.83172699364602887</c:v>
                </c:pt>
                <c:pt idx="70">
                  <c:v>-0.83172699364602887</c:v>
                </c:pt>
                <c:pt idx="71">
                  <c:v>-0.83172699364602887</c:v>
                </c:pt>
                <c:pt idx="72">
                  <c:v>-0.83172699364602887</c:v>
                </c:pt>
                <c:pt idx="73">
                  <c:v>-0.83172699364602887</c:v>
                </c:pt>
                <c:pt idx="74">
                  <c:v>-0.83172699364602887</c:v>
                </c:pt>
                <c:pt idx="75">
                  <c:v>-0.83172699364602887</c:v>
                </c:pt>
                <c:pt idx="76">
                  <c:v>-0.83172699364602887</c:v>
                </c:pt>
                <c:pt idx="77">
                  <c:v>-0.83172699364602887</c:v>
                </c:pt>
                <c:pt idx="78">
                  <c:v>-0.83172699364602887</c:v>
                </c:pt>
                <c:pt idx="79">
                  <c:v>-0.83172699364602887</c:v>
                </c:pt>
                <c:pt idx="80">
                  <c:v>-0.83172699364602887</c:v>
                </c:pt>
                <c:pt idx="81">
                  <c:v>-0.83172699364602887</c:v>
                </c:pt>
                <c:pt idx="82">
                  <c:v>-0.83172699364602887</c:v>
                </c:pt>
                <c:pt idx="83">
                  <c:v>-0.83172699364602887</c:v>
                </c:pt>
                <c:pt idx="84">
                  <c:v>-0.83172699364602887</c:v>
                </c:pt>
                <c:pt idx="85">
                  <c:v>-0.83172699364602887</c:v>
                </c:pt>
                <c:pt idx="86">
                  <c:v>-1.3576828656466722</c:v>
                </c:pt>
                <c:pt idx="87">
                  <c:v>-1.3576828656466722</c:v>
                </c:pt>
                <c:pt idx="88">
                  <c:v>-1.3576828656466722</c:v>
                </c:pt>
                <c:pt idx="89">
                  <c:v>-1.3576828656466722</c:v>
                </c:pt>
                <c:pt idx="90">
                  <c:v>-1.3576828656466722</c:v>
                </c:pt>
                <c:pt idx="91">
                  <c:v>-1.3576828656466722</c:v>
                </c:pt>
                <c:pt idx="92">
                  <c:v>-1.3576828656466722</c:v>
                </c:pt>
                <c:pt idx="93">
                  <c:v>-1.3576828656466722</c:v>
                </c:pt>
                <c:pt idx="94">
                  <c:v>-1.3576828656466722</c:v>
                </c:pt>
                <c:pt idx="95">
                  <c:v>-1.3576828656466722</c:v>
                </c:pt>
                <c:pt idx="96">
                  <c:v>-1.3576828656466722</c:v>
                </c:pt>
                <c:pt idx="97">
                  <c:v>-1.3576828656466722</c:v>
                </c:pt>
                <c:pt idx="98">
                  <c:v>-1.3576828656466722</c:v>
                </c:pt>
                <c:pt idx="99">
                  <c:v>-1.3576828656466722</c:v>
                </c:pt>
                <c:pt idx="100">
                  <c:v>-1.3576828656466722</c:v>
                </c:pt>
                <c:pt idx="101">
                  <c:v>-1.8170936831137556</c:v>
                </c:pt>
                <c:pt idx="102">
                  <c:v>-1.8170936831137556</c:v>
                </c:pt>
                <c:pt idx="103">
                  <c:v>-1.8170936831137556</c:v>
                </c:pt>
                <c:pt idx="104">
                  <c:v>-1.8170936831137556</c:v>
                </c:pt>
                <c:pt idx="105">
                  <c:v>-1.8170936831137556</c:v>
                </c:pt>
                <c:pt idx="106">
                  <c:v>-1.8170936831137556</c:v>
                </c:pt>
                <c:pt idx="107">
                  <c:v>-1.8170936831137556</c:v>
                </c:pt>
                <c:pt idx="108">
                  <c:v>-1.8170936831137556</c:v>
                </c:pt>
                <c:pt idx="109">
                  <c:v>-1.8170936831137556</c:v>
                </c:pt>
                <c:pt idx="110">
                  <c:v>-1.8170936831137556</c:v>
                </c:pt>
                <c:pt idx="111">
                  <c:v>-1.8170936831137556</c:v>
                </c:pt>
                <c:pt idx="112">
                  <c:v>-1.8170936831137556</c:v>
                </c:pt>
                <c:pt idx="113">
                  <c:v>-1.8170936831137556</c:v>
                </c:pt>
                <c:pt idx="114">
                  <c:v>-1.3154755601364099</c:v>
                </c:pt>
                <c:pt idx="115">
                  <c:v>-1.3154755601364099</c:v>
                </c:pt>
                <c:pt idx="116">
                  <c:v>-1.3154755601364099</c:v>
                </c:pt>
                <c:pt idx="117">
                  <c:v>-1.3154755601364099</c:v>
                </c:pt>
                <c:pt idx="118">
                  <c:v>-1.3154755601364099</c:v>
                </c:pt>
                <c:pt idx="119">
                  <c:v>-1.3154755601364099</c:v>
                </c:pt>
                <c:pt idx="120">
                  <c:v>-1.3154755601364099</c:v>
                </c:pt>
                <c:pt idx="121">
                  <c:v>-1.3154755601364099</c:v>
                </c:pt>
                <c:pt idx="122">
                  <c:v>-1.3154755601364099</c:v>
                </c:pt>
                <c:pt idx="123">
                  <c:v>-1.3154755601364099</c:v>
                </c:pt>
                <c:pt idx="124">
                  <c:v>-1.3154755601364099</c:v>
                </c:pt>
                <c:pt idx="125">
                  <c:v>-1.3154755601364099</c:v>
                </c:pt>
                <c:pt idx="126">
                  <c:v>-1.3154755601364099</c:v>
                </c:pt>
                <c:pt idx="127">
                  <c:v>-1.3154755601364099</c:v>
                </c:pt>
                <c:pt idx="128">
                  <c:v>-1.3154755601364099</c:v>
                </c:pt>
                <c:pt idx="129">
                  <c:v>-1.3154755601364099</c:v>
                </c:pt>
                <c:pt idx="130">
                  <c:v>-1.3154755601364099</c:v>
                </c:pt>
                <c:pt idx="131">
                  <c:v>-1.3154755601364099</c:v>
                </c:pt>
                <c:pt idx="132">
                  <c:v>-1.3154755601364099</c:v>
                </c:pt>
                <c:pt idx="133">
                  <c:v>-1.3154755601364099</c:v>
                </c:pt>
                <c:pt idx="134">
                  <c:v>-1.3154755601364099</c:v>
                </c:pt>
                <c:pt idx="135">
                  <c:v>-1.3154755601364099</c:v>
                </c:pt>
                <c:pt idx="136">
                  <c:v>-1.3154755601364099</c:v>
                </c:pt>
                <c:pt idx="137">
                  <c:v>-1.3154755601364099</c:v>
                </c:pt>
                <c:pt idx="138">
                  <c:v>-1.3154755601364099</c:v>
                </c:pt>
                <c:pt idx="139">
                  <c:v>-1.3154755601364099</c:v>
                </c:pt>
                <c:pt idx="140">
                  <c:v>-1.4547707265941352</c:v>
                </c:pt>
                <c:pt idx="141">
                  <c:v>-1.4547707265941352</c:v>
                </c:pt>
                <c:pt idx="142">
                  <c:v>-1.4547707265941352</c:v>
                </c:pt>
                <c:pt idx="143">
                  <c:v>-1.4547707265941352</c:v>
                </c:pt>
                <c:pt idx="144">
                  <c:v>-1.4547707265941352</c:v>
                </c:pt>
                <c:pt idx="145">
                  <c:v>-1.4547707265941352</c:v>
                </c:pt>
                <c:pt idx="146">
                  <c:v>-1.4547707265941352</c:v>
                </c:pt>
                <c:pt idx="147">
                  <c:v>-1.4547707265941352</c:v>
                </c:pt>
                <c:pt idx="148">
                  <c:v>-1.4547707265941352</c:v>
                </c:pt>
                <c:pt idx="149">
                  <c:v>-1.4547707265941352</c:v>
                </c:pt>
                <c:pt idx="150">
                  <c:v>-1.4547707265941352</c:v>
                </c:pt>
                <c:pt idx="151">
                  <c:v>-1.4547707265941352</c:v>
                </c:pt>
                <c:pt idx="152">
                  <c:v>-1.4547707265941352</c:v>
                </c:pt>
                <c:pt idx="153">
                  <c:v>-1.4547707265941352</c:v>
                </c:pt>
                <c:pt idx="154">
                  <c:v>-1.4547707265941352</c:v>
                </c:pt>
                <c:pt idx="155">
                  <c:v>-1.4547707265941352</c:v>
                </c:pt>
                <c:pt idx="156">
                  <c:v>-1.4547707265941352</c:v>
                </c:pt>
                <c:pt idx="157">
                  <c:v>-1.4547707265941352</c:v>
                </c:pt>
                <c:pt idx="158">
                  <c:v>-1.4547707265941352</c:v>
                </c:pt>
                <c:pt idx="159">
                  <c:v>-1.4547707265941352</c:v>
                </c:pt>
                <c:pt idx="160">
                  <c:v>-0.8404015973735236</c:v>
                </c:pt>
                <c:pt idx="161">
                  <c:v>-0.8404015973735236</c:v>
                </c:pt>
                <c:pt idx="162">
                  <c:v>-0.8404015973735236</c:v>
                </c:pt>
                <c:pt idx="163">
                  <c:v>-0.8404015973735236</c:v>
                </c:pt>
                <c:pt idx="164">
                  <c:v>-0.8404015973735236</c:v>
                </c:pt>
                <c:pt idx="165">
                  <c:v>-0.8404015973735236</c:v>
                </c:pt>
                <c:pt idx="166">
                  <c:v>-0.8404015973735236</c:v>
                </c:pt>
                <c:pt idx="167">
                  <c:v>-0.8404015973735236</c:v>
                </c:pt>
                <c:pt idx="168">
                  <c:v>-0.8404015973735236</c:v>
                </c:pt>
                <c:pt idx="169">
                  <c:v>-0.8404015973735236</c:v>
                </c:pt>
                <c:pt idx="170">
                  <c:v>-0.8404015973735236</c:v>
                </c:pt>
                <c:pt idx="171">
                  <c:v>-0.8404015973735236</c:v>
                </c:pt>
                <c:pt idx="172">
                  <c:v>-0.8404015973735236</c:v>
                </c:pt>
                <c:pt idx="173">
                  <c:v>-0.8404015973735236</c:v>
                </c:pt>
                <c:pt idx="174">
                  <c:v>-0.8404015973735236</c:v>
                </c:pt>
                <c:pt idx="175">
                  <c:v>-0.8404015973735236</c:v>
                </c:pt>
                <c:pt idx="176">
                  <c:v>-0.8404015973735236</c:v>
                </c:pt>
                <c:pt idx="177">
                  <c:v>-0.8404015973735236</c:v>
                </c:pt>
                <c:pt idx="178">
                  <c:v>-0.8404015973735236</c:v>
                </c:pt>
                <c:pt idx="179">
                  <c:v>-0.8404015973735236</c:v>
                </c:pt>
                <c:pt idx="180">
                  <c:v>-0.8404015973735236</c:v>
                </c:pt>
                <c:pt idx="181">
                  <c:v>-0.8404015973735236</c:v>
                </c:pt>
                <c:pt idx="182">
                  <c:v>-0.8404015973735236</c:v>
                </c:pt>
                <c:pt idx="183">
                  <c:v>-0.8404015973735236</c:v>
                </c:pt>
                <c:pt idx="184">
                  <c:v>-0.8404015973735236</c:v>
                </c:pt>
                <c:pt idx="185">
                  <c:v>-0.8404015973735236</c:v>
                </c:pt>
                <c:pt idx="186">
                  <c:v>-0.8404015973735236</c:v>
                </c:pt>
                <c:pt idx="187">
                  <c:v>-0.8404015973735236</c:v>
                </c:pt>
                <c:pt idx="188">
                  <c:v>-0.8404015973735236</c:v>
                </c:pt>
                <c:pt idx="189">
                  <c:v>-0.8404015973735236</c:v>
                </c:pt>
                <c:pt idx="190">
                  <c:v>-0.8404015973735236</c:v>
                </c:pt>
                <c:pt idx="191">
                  <c:v>-0.8404015973735236</c:v>
                </c:pt>
                <c:pt idx="192">
                  <c:v>-0.8404015973735236</c:v>
                </c:pt>
                <c:pt idx="193">
                  <c:v>-0.8404015973735236</c:v>
                </c:pt>
                <c:pt idx="194">
                  <c:v>-0.8404015973735236</c:v>
                </c:pt>
                <c:pt idx="195">
                  <c:v>-0.8404015973735236</c:v>
                </c:pt>
                <c:pt idx="196">
                  <c:v>-0.8404015973735236</c:v>
                </c:pt>
                <c:pt idx="197">
                  <c:v>-0.8404015973735236</c:v>
                </c:pt>
                <c:pt idx="198">
                  <c:v>-0.8404015973735236</c:v>
                </c:pt>
                <c:pt idx="199">
                  <c:v>-0.8404015973735236</c:v>
                </c:pt>
                <c:pt idx="200">
                  <c:v>-0.8404015973735236</c:v>
                </c:pt>
                <c:pt idx="201">
                  <c:v>-0.8404015973735236</c:v>
                </c:pt>
                <c:pt idx="202">
                  <c:v>-0.8404015973735236</c:v>
                </c:pt>
                <c:pt idx="203">
                  <c:v>-0.8404015973735236</c:v>
                </c:pt>
                <c:pt idx="204">
                  <c:v>-0.8404015973735236</c:v>
                </c:pt>
                <c:pt idx="205">
                  <c:v>-1.9066052078694633</c:v>
                </c:pt>
                <c:pt idx="206">
                  <c:v>-1.9066052078694633</c:v>
                </c:pt>
                <c:pt idx="207">
                  <c:v>-1.9066052078694633</c:v>
                </c:pt>
                <c:pt idx="208">
                  <c:v>-1.9066052078694633</c:v>
                </c:pt>
                <c:pt idx="209">
                  <c:v>-1.9066052078694633</c:v>
                </c:pt>
                <c:pt idx="210">
                  <c:v>-1.9066052078694633</c:v>
                </c:pt>
                <c:pt idx="211">
                  <c:v>-1.9066052078694633</c:v>
                </c:pt>
                <c:pt idx="212">
                  <c:v>-1.9066052078694633</c:v>
                </c:pt>
                <c:pt idx="213">
                  <c:v>-1.9066052078694633</c:v>
                </c:pt>
                <c:pt idx="214">
                  <c:v>-1.9066052078694633</c:v>
                </c:pt>
                <c:pt idx="215">
                  <c:v>-1.9066052078694633</c:v>
                </c:pt>
                <c:pt idx="216">
                  <c:v>-1.9066052078694633</c:v>
                </c:pt>
                <c:pt idx="217">
                  <c:v>-1.9066052078694633</c:v>
                </c:pt>
                <c:pt idx="218">
                  <c:v>-1.9066052078694633</c:v>
                </c:pt>
                <c:pt idx="219">
                  <c:v>-1.9066052078694633</c:v>
                </c:pt>
                <c:pt idx="220">
                  <c:v>-1.9066052078694633</c:v>
                </c:pt>
                <c:pt idx="221">
                  <c:v>-1.9066052078694633</c:v>
                </c:pt>
                <c:pt idx="222">
                  <c:v>-1.9066052078694633</c:v>
                </c:pt>
                <c:pt idx="223">
                  <c:v>-1.9066052078694633</c:v>
                </c:pt>
                <c:pt idx="224">
                  <c:v>-1.9066052078694633</c:v>
                </c:pt>
                <c:pt idx="225">
                  <c:v>-1.9066052078694633</c:v>
                </c:pt>
                <c:pt idx="226">
                  <c:v>-1.9066052078694633</c:v>
                </c:pt>
                <c:pt idx="227">
                  <c:v>-1.9066052078694633</c:v>
                </c:pt>
                <c:pt idx="228">
                  <c:v>-1.9066052078694633</c:v>
                </c:pt>
                <c:pt idx="229">
                  <c:v>-1.9066052078694633</c:v>
                </c:pt>
                <c:pt idx="230">
                  <c:v>-1.9066052078694633</c:v>
                </c:pt>
                <c:pt idx="231">
                  <c:v>-1.9066052078694633</c:v>
                </c:pt>
                <c:pt idx="232">
                  <c:v>-1.9066052078694633</c:v>
                </c:pt>
                <c:pt idx="233">
                  <c:v>-1.9066052078694633</c:v>
                </c:pt>
                <c:pt idx="234">
                  <c:v>-1.9066052078694633</c:v>
                </c:pt>
                <c:pt idx="235">
                  <c:v>-1.9066052078694633</c:v>
                </c:pt>
                <c:pt idx="236">
                  <c:v>-1.9066052078694633</c:v>
                </c:pt>
                <c:pt idx="237">
                  <c:v>-1.9066052078694633</c:v>
                </c:pt>
                <c:pt idx="238">
                  <c:v>-1.9066052078694633</c:v>
                </c:pt>
                <c:pt idx="239">
                  <c:v>-1.9066052078694633</c:v>
                </c:pt>
                <c:pt idx="240">
                  <c:v>-1.9066052078694633</c:v>
                </c:pt>
                <c:pt idx="241">
                  <c:v>-1.9066052078694633</c:v>
                </c:pt>
                <c:pt idx="242">
                  <c:v>-1.9066052078694633</c:v>
                </c:pt>
                <c:pt idx="243">
                  <c:v>-1.9066052078694633</c:v>
                </c:pt>
                <c:pt idx="244">
                  <c:v>-1.9066052078694633</c:v>
                </c:pt>
                <c:pt idx="245">
                  <c:v>-1.9066052078694633</c:v>
                </c:pt>
                <c:pt idx="246">
                  <c:v>-1.9066052078694633</c:v>
                </c:pt>
                <c:pt idx="247">
                  <c:v>-1.9066052078694633</c:v>
                </c:pt>
                <c:pt idx="248">
                  <c:v>-1.9066052078694633</c:v>
                </c:pt>
                <c:pt idx="249">
                  <c:v>-1.9066052078694633</c:v>
                </c:pt>
                <c:pt idx="250">
                  <c:v>-1.9066052078694633</c:v>
                </c:pt>
                <c:pt idx="251">
                  <c:v>-2.7812008102163399</c:v>
                </c:pt>
                <c:pt idx="252">
                  <c:v>-2.7812008102163399</c:v>
                </c:pt>
                <c:pt idx="253">
                  <c:v>-2.7812008102163399</c:v>
                </c:pt>
                <c:pt idx="254">
                  <c:v>-2.7812008102163399</c:v>
                </c:pt>
                <c:pt idx="255">
                  <c:v>-2.7812008102163399</c:v>
                </c:pt>
                <c:pt idx="256">
                  <c:v>-2.7812008102163399</c:v>
                </c:pt>
                <c:pt idx="257">
                  <c:v>-2.7812008102163399</c:v>
                </c:pt>
                <c:pt idx="258">
                  <c:v>-2.7812008102163399</c:v>
                </c:pt>
                <c:pt idx="259">
                  <c:v>-2.7812008102163399</c:v>
                </c:pt>
                <c:pt idx="260">
                  <c:v>-2.7812008102163399</c:v>
                </c:pt>
                <c:pt idx="261">
                  <c:v>-2.7812008102163399</c:v>
                </c:pt>
                <c:pt idx="262">
                  <c:v>-2.7812008102163399</c:v>
                </c:pt>
                <c:pt idx="263">
                  <c:v>-2.7812008102163399</c:v>
                </c:pt>
                <c:pt idx="264">
                  <c:v>-2.7812008102163399</c:v>
                </c:pt>
                <c:pt idx="265">
                  <c:v>-2.7812008102163399</c:v>
                </c:pt>
                <c:pt idx="266">
                  <c:v>-2.7812008102163399</c:v>
                </c:pt>
                <c:pt idx="267">
                  <c:v>-2.7812008102163399</c:v>
                </c:pt>
                <c:pt idx="268">
                  <c:v>-2.7812008102163399</c:v>
                </c:pt>
                <c:pt idx="269">
                  <c:v>-2.7812008102163399</c:v>
                </c:pt>
                <c:pt idx="270">
                  <c:v>-2.7812008102163399</c:v>
                </c:pt>
                <c:pt idx="271">
                  <c:v>-2.7812008102163399</c:v>
                </c:pt>
                <c:pt idx="272">
                  <c:v>-2.7812008102163399</c:v>
                </c:pt>
                <c:pt idx="273">
                  <c:v>-2.7812008102163399</c:v>
                </c:pt>
                <c:pt idx="274">
                  <c:v>-2.7812008102163399</c:v>
                </c:pt>
                <c:pt idx="275">
                  <c:v>-2.7812008102163399</c:v>
                </c:pt>
                <c:pt idx="276">
                  <c:v>-2.7812008102163399</c:v>
                </c:pt>
                <c:pt idx="277">
                  <c:v>-2.7812008102163399</c:v>
                </c:pt>
                <c:pt idx="278">
                  <c:v>-2.7812008102163399</c:v>
                </c:pt>
                <c:pt idx="279">
                  <c:v>-2.7812008102163399</c:v>
                </c:pt>
                <c:pt idx="280">
                  <c:v>-2.7812008102163399</c:v>
                </c:pt>
                <c:pt idx="281">
                  <c:v>-2.7812008102163399</c:v>
                </c:pt>
                <c:pt idx="282">
                  <c:v>-2.7812008102163399</c:v>
                </c:pt>
                <c:pt idx="283">
                  <c:v>-2.7812008102163399</c:v>
                </c:pt>
                <c:pt idx="284">
                  <c:v>-2.7812008102163399</c:v>
                </c:pt>
                <c:pt idx="285">
                  <c:v>-2.7812008102163399</c:v>
                </c:pt>
                <c:pt idx="286">
                  <c:v>-2.7812008102163399</c:v>
                </c:pt>
                <c:pt idx="287">
                  <c:v>-2.7812008102163399</c:v>
                </c:pt>
                <c:pt idx="288">
                  <c:v>-2.7812008102163399</c:v>
                </c:pt>
                <c:pt idx="289">
                  <c:v>-2.7812008102163399</c:v>
                </c:pt>
                <c:pt idx="290">
                  <c:v>-2.7812008102163399</c:v>
                </c:pt>
                <c:pt idx="291">
                  <c:v>-2.7812008102163399</c:v>
                </c:pt>
                <c:pt idx="292">
                  <c:v>-2.7812008102163399</c:v>
                </c:pt>
                <c:pt idx="293">
                  <c:v>-2.7812008102163399</c:v>
                </c:pt>
                <c:pt idx="294">
                  <c:v>-2.7812008102163399</c:v>
                </c:pt>
                <c:pt idx="295">
                  <c:v>-2.7812008102163399</c:v>
                </c:pt>
                <c:pt idx="296">
                  <c:v>-2.7812008102163399</c:v>
                </c:pt>
                <c:pt idx="297">
                  <c:v>-2.7812008102163399</c:v>
                </c:pt>
                <c:pt idx="298">
                  <c:v>-2.7812008102163399</c:v>
                </c:pt>
                <c:pt idx="299">
                  <c:v>-2.7812008102163399</c:v>
                </c:pt>
                <c:pt idx="300">
                  <c:v>-2.7812008102163399</c:v>
                </c:pt>
                <c:pt idx="301">
                  <c:v>-2.7812008102163399</c:v>
                </c:pt>
                <c:pt idx="302">
                  <c:v>-2.7812008102163399</c:v>
                </c:pt>
                <c:pt idx="303">
                  <c:v>-2.7812008102163399</c:v>
                </c:pt>
                <c:pt idx="304">
                  <c:v>-2.7812008102163399</c:v>
                </c:pt>
                <c:pt idx="305">
                  <c:v>-2.7812008102163399</c:v>
                </c:pt>
                <c:pt idx="306">
                  <c:v>-2.7812008102163399</c:v>
                </c:pt>
                <c:pt idx="307">
                  <c:v>-2.7812008102163399</c:v>
                </c:pt>
                <c:pt idx="308">
                  <c:v>-2.7812008102163399</c:v>
                </c:pt>
                <c:pt idx="309">
                  <c:v>-2.7812008102163399</c:v>
                </c:pt>
                <c:pt idx="310">
                  <c:v>-2.7812008102163399</c:v>
                </c:pt>
                <c:pt idx="311">
                  <c:v>-2.7812008102163399</c:v>
                </c:pt>
                <c:pt idx="312">
                  <c:v>-2.7812008102163399</c:v>
                </c:pt>
                <c:pt idx="313">
                  <c:v>-2.7812008102163399</c:v>
                </c:pt>
                <c:pt idx="314">
                  <c:v>-2.7812008102163399</c:v>
                </c:pt>
                <c:pt idx="315">
                  <c:v>-2.7812008102163399</c:v>
                </c:pt>
                <c:pt idx="316">
                  <c:v>-2.7812008102163399</c:v>
                </c:pt>
                <c:pt idx="317">
                  <c:v>-2.7812008102163399</c:v>
                </c:pt>
                <c:pt idx="318">
                  <c:v>-2.7812008102163399</c:v>
                </c:pt>
                <c:pt idx="319">
                  <c:v>-2.7812008102163399</c:v>
                </c:pt>
                <c:pt idx="320">
                  <c:v>-2.7812008102163399</c:v>
                </c:pt>
                <c:pt idx="321">
                  <c:v>-2.7812008102163399</c:v>
                </c:pt>
                <c:pt idx="322">
                  <c:v>-2.7812008102163399</c:v>
                </c:pt>
                <c:pt idx="323">
                  <c:v>-2.7812008102163399</c:v>
                </c:pt>
                <c:pt idx="324">
                  <c:v>-2.7812008102163399</c:v>
                </c:pt>
                <c:pt idx="325">
                  <c:v>-2.7812008102163399</c:v>
                </c:pt>
                <c:pt idx="326">
                  <c:v>-2.7812008102163399</c:v>
                </c:pt>
                <c:pt idx="327">
                  <c:v>-2.7812008102163399</c:v>
                </c:pt>
                <c:pt idx="328">
                  <c:v>-2.7812008102163399</c:v>
                </c:pt>
                <c:pt idx="329">
                  <c:v>-2.7812008102163399</c:v>
                </c:pt>
                <c:pt idx="330">
                  <c:v>-2.7812008102163399</c:v>
                </c:pt>
                <c:pt idx="331">
                  <c:v>-2.7812008102163399</c:v>
                </c:pt>
                <c:pt idx="332">
                  <c:v>-2.7812008102163399</c:v>
                </c:pt>
                <c:pt idx="333">
                  <c:v>-2.7812008102163399</c:v>
                </c:pt>
                <c:pt idx="334">
                  <c:v>-2.7812008102163399</c:v>
                </c:pt>
                <c:pt idx="335">
                  <c:v>-2.7812008102163399</c:v>
                </c:pt>
                <c:pt idx="336">
                  <c:v>-3.216671910770577</c:v>
                </c:pt>
                <c:pt idx="337">
                  <c:v>-3.216671910770577</c:v>
                </c:pt>
                <c:pt idx="338">
                  <c:v>-3.216671910770577</c:v>
                </c:pt>
                <c:pt idx="339">
                  <c:v>-3.216671910770577</c:v>
                </c:pt>
                <c:pt idx="340">
                  <c:v>-3.216671910770577</c:v>
                </c:pt>
                <c:pt idx="341">
                  <c:v>-3.216671910770577</c:v>
                </c:pt>
                <c:pt idx="342">
                  <c:v>-3.216671910770577</c:v>
                </c:pt>
                <c:pt idx="343">
                  <c:v>-3.216671910770577</c:v>
                </c:pt>
                <c:pt idx="344">
                  <c:v>-3.216671910770577</c:v>
                </c:pt>
                <c:pt idx="345">
                  <c:v>-3.216671910770577</c:v>
                </c:pt>
                <c:pt idx="346">
                  <c:v>-3.216671910770577</c:v>
                </c:pt>
                <c:pt idx="347">
                  <c:v>-3.216671910770577</c:v>
                </c:pt>
                <c:pt idx="348">
                  <c:v>-3.216671910770577</c:v>
                </c:pt>
                <c:pt idx="349">
                  <c:v>-3.216671910770577</c:v>
                </c:pt>
                <c:pt idx="350">
                  <c:v>-3.216671910770577</c:v>
                </c:pt>
                <c:pt idx="351">
                  <c:v>-3.216671910770577</c:v>
                </c:pt>
                <c:pt idx="352">
                  <c:v>-3.216671910770577</c:v>
                </c:pt>
                <c:pt idx="353">
                  <c:v>-3.216671910770577</c:v>
                </c:pt>
                <c:pt idx="354">
                  <c:v>-3.216671910770577</c:v>
                </c:pt>
                <c:pt idx="355">
                  <c:v>-3.216671910770577</c:v>
                </c:pt>
                <c:pt idx="356">
                  <c:v>-3.216671910770577</c:v>
                </c:pt>
                <c:pt idx="357">
                  <c:v>-3.216671910770577</c:v>
                </c:pt>
                <c:pt idx="358">
                  <c:v>-3.216671910770577</c:v>
                </c:pt>
                <c:pt idx="359">
                  <c:v>-3.216671910770577</c:v>
                </c:pt>
                <c:pt idx="360">
                  <c:v>-3.216671910770577</c:v>
                </c:pt>
                <c:pt idx="361">
                  <c:v>-3.216671910770577</c:v>
                </c:pt>
                <c:pt idx="362">
                  <c:v>-3.216671910770577</c:v>
                </c:pt>
                <c:pt idx="363">
                  <c:v>-3.216671910770577</c:v>
                </c:pt>
                <c:pt idx="364">
                  <c:v>-3.216671910770577</c:v>
                </c:pt>
                <c:pt idx="365">
                  <c:v>-3.216671910770577</c:v>
                </c:pt>
                <c:pt idx="366">
                  <c:v>-3.216671910770577</c:v>
                </c:pt>
                <c:pt idx="367">
                  <c:v>-3.216671910770577</c:v>
                </c:pt>
                <c:pt idx="368">
                  <c:v>0.1663851794688358</c:v>
                </c:pt>
                <c:pt idx="369">
                  <c:v>0.1663851794688358</c:v>
                </c:pt>
                <c:pt idx="370">
                  <c:v>0.1663851794688358</c:v>
                </c:pt>
                <c:pt idx="371">
                  <c:v>0.1663851794688358</c:v>
                </c:pt>
                <c:pt idx="372">
                  <c:v>0.1663851794688358</c:v>
                </c:pt>
                <c:pt idx="373">
                  <c:v>0.1663851794688358</c:v>
                </c:pt>
                <c:pt idx="374">
                  <c:v>0.1663851794688358</c:v>
                </c:pt>
                <c:pt idx="375">
                  <c:v>0.1663851794688358</c:v>
                </c:pt>
                <c:pt idx="376">
                  <c:v>0.1663851794688358</c:v>
                </c:pt>
                <c:pt idx="377">
                  <c:v>0.1663851794688358</c:v>
                </c:pt>
                <c:pt idx="378">
                  <c:v>0.1663851794688358</c:v>
                </c:pt>
                <c:pt idx="379">
                  <c:v>-0.23863035537359656</c:v>
                </c:pt>
                <c:pt idx="380">
                  <c:v>-0.23863035537359656</c:v>
                </c:pt>
                <c:pt idx="381">
                  <c:v>-0.23863035537359656</c:v>
                </c:pt>
                <c:pt idx="382">
                  <c:v>-0.23863035537359656</c:v>
                </c:pt>
                <c:pt idx="383">
                  <c:v>-0.23863035537359656</c:v>
                </c:pt>
                <c:pt idx="384">
                  <c:v>-0.23863035537359656</c:v>
                </c:pt>
                <c:pt idx="385">
                  <c:v>-0.23863035537359656</c:v>
                </c:pt>
                <c:pt idx="386">
                  <c:v>-0.23863035537359656</c:v>
                </c:pt>
                <c:pt idx="387">
                  <c:v>-0.23863035537359656</c:v>
                </c:pt>
                <c:pt idx="388">
                  <c:v>-0.23863035537359656</c:v>
                </c:pt>
                <c:pt idx="389">
                  <c:v>-0.23863035537359656</c:v>
                </c:pt>
                <c:pt idx="390">
                  <c:v>-0.23863035537359656</c:v>
                </c:pt>
                <c:pt idx="391">
                  <c:v>-0.23863035537359656</c:v>
                </c:pt>
                <c:pt idx="392">
                  <c:v>-0.23863035537359656</c:v>
                </c:pt>
                <c:pt idx="393">
                  <c:v>-1.004058041816293</c:v>
                </c:pt>
                <c:pt idx="394">
                  <c:v>-1.004058041816293</c:v>
                </c:pt>
                <c:pt idx="395">
                  <c:v>-1.004058041816293</c:v>
                </c:pt>
                <c:pt idx="396">
                  <c:v>-1.004058041816293</c:v>
                </c:pt>
                <c:pt idx="397">
                  <c:v>-1.004058041816293</c:v>
                </c:pt>
                <c:pt idx="398">
                  <c:v>-1.004058041816293</c:v>
                </c:pt>
                <c:pt idx="399">
                  <c:v>-1.004058041816293</c:v>
                </c:pt>
                <c:pt idx="400">
                  <c:v>-1.004058041816293</c:v>
                </c:pt>
                <c:pt idx="401">
                  <c:v>-1.004058041816293</c:v>
                </c:pt>
                <c:pt idx="402">
                  <c:v>-1.004058041816293</c:v>
                </c:pt>
                <c:pt idx="403">
                  <c:v>-1.004058041816293</c:v>
                </c:pt>
                <c:pt idx="404">
                  <c:v>1.1482786833538656</c:v>
                </c:pt>
                <c:pt idx="405">
                  <c:v>1.1482786833538656</c:v>
                </c:pt>
                <c:pt idx="406">
                  <c:v>1.1482786833538656</c:v>
                </c:pt>
                <c:pt idx="407">
                  <c:v>1.1482786833538656</c:v>
                </c:pt>
                <c:pt idx="408">
                  <c:v>1.1482786833538656</c:v>
                </c:pt>
                <c:pt idx="409">
                  <c:v>1.1482786833538656</c:v>
                </c:pt>
                <c:pt idx="410">
                  <c:v>1.1482786833538656</c:v>
                </c:pt>
                <c:pt idx="411">
                  <c:v>1.1482786833538656</c:v>
                </c:pt>
                <c:pt idx="412">
                  <c:v>1.1482786833538656</c:v>
                </c:pt>
                <c:pt idx="413">
                  <c:v>1.1482786833538656</c:v>
                </c:pt>
                <c:pt idx="414">
                  <c:v>1.1482786833538656</c:v>
                </c:pt>
                <c:pt idx="415">
                  <c:v>1.1482786833538656</c:v>
                </c:pt>
                <c:pt idx="416">
                  <c:v>1.1482786833538656</c:v>
                </c:pt>
                <c:pt idx="417">
                  <c:v>1.1482786833538656</c:v>
                </c:pt>
                <c:pt idx="418">
                  <c:v>1.1482786833538656</c:v>
                </c:pt>
              </c:numCache>
            </c:numRef>
          </c:val>
          <c:smooth val="1"/>
          <c:extLst>
            <c:ext xmlns:c16="http://schemas.microsoft.com/office/drawing/2014/chart" uri="{C3380CC4-5D6E-409C-BE32-E72D297353CC}">
              <c16:uniqueId val="{00000002-EBC8-4142-B284-300638C218BD}"/>
            </c:ext>
          </c:extLst>
        </c:ser>
        <c:ser>
          <c:idx val="3"/>
          <c:order val="5"/>
          <c:tx>
            <c:v>All Three</c:v>
          </c:tx>
          <c:spPr>
            <a:ln w="38100" cap="rnd">
              <a:solidFill>
                <a:sysClr val="windowText" lastClr="000000"/>
              </a:solidFill>
              <a:round/>
            </a:ln>
            <a:effectLst/>
          </c:spPr>
          <c:marker>
            <c:symbol val="none"/>
          </c:marker>
          <c:val>
            <c:numRef>
              <c:f>'2025-Q2'!$DJ$4:$DJ$422</c:f>
              <c:numCache>
                <c:formatCode>0.00</c:formatCode>
                <c:ptCount val="419"/>
                <c:pt idx="0">
                  <c:v>0</c:v>
                </c:pt>
                <c:pt idx="1">
                  <c:v>0.6788440567066546</c:v>
                </c:pt>
                <c:pt idx="2">
                  <c:v>0.6788440567066546</c:v>
                </c:pt>
                <c:pt idx="3">
                  <c:v>0.6788440567066546</c:v>
                </c:pt>
                <c:pt idx="4">
                  <c:v>0.6788440567066546</c:v>
                </c:pt>
                <c:pt idx="5">
                  <c:v>0.6788440567066546</c:v>
                </c:pt>
                <c:pt idx="6">
                  <c:v>0.6788440567066546</c:v>
                </c:pt>
                <c:pt idx="7">
                  <c:v>0.6788440567066546</c:v>
                </c:pt>
                <c:pt idx="8">
                  <c:v>0.6788440567066546</c:v>
                </c:pt>
                <c:pt idx="9">
                  <c:v>0.6788440567066546</c:v>
                </c:pt>
                <c:pt idx="10">
                  <c:v>0.6788440567066546</c:v>
                </c:pt>
                <c:pt idx="11">
                  <c:v>0.6788440567066546</c:v>
                </c:pt>
                <c:pt idx="12">
                  <c:v>0.6788440567066546</c:v>
                </c:pt>
                <c:pt idx="13">
                  <c:v>0.6788440567066546</c:v>
                </c:pt>
                <c:pt idx="14">
                  <c:v>0.6788440567066546</c:v>
                </c:pt>
                <c:pt idx="15">
                  <c:v>0.6788440567066546</c:v>
                </c:pt>
                <c:pt idx="16">
                  <c:v>0.6788440567066546</c:v>
                </c:pt>
                <c:pt idx="17">
                  <c:v>0.6788440567066546</c:v>
                </c:pt>
                <c:pt idx="18">
                  <c:v>0.6788440567066546</c:v>
                </c:pt>
                <c:pt idx="19">
                  <c:v>0.6788440567066546</c:v>
                </c:pt>
                <c:pt idx="20">
                  <c:v>0.6788440567066546</c:v>
                </c:pt>
                <c:pt idx="21">
                  <c:v>0.6788440567066546</c:v>
                </c:pt>
                <c:pt idx="22">
                  <c:v>0.6788440567066546</c:v>
                </c:pt>
                <c:pt idx="23">
                  <c:v>0.6788440567066546</c:v>
                </c:pt>
                <c:pt idx="24">
                  <c:v>0.6788440567066546</c:v>
                </c:pt>
                <c:pt idx="25">
                  <c:v>0.6788440567066546</c:v>
                </c:pt>
                <c:pt idx="26">
                  <c:v>0.6788440567066546</c:v>
                </c:pt>
                <c:pt idx="27">
                  <c:v>0.6788440567066546</c:v>
                </c:pt>
                <c:pt idx="28">
                  <c:v>0.6788440567066546</c:v>
                </c:pt>
                <c:pt idx="29">
                  <c:v>0.6788440567066546</c:v>
                </c:pt>
                <c:pt idx="30">
                  <c:v>0.6788440567066546</c:v>
                </c:pt>
                <c:pt idx="31">
                  <c:v>0.6788440567066546</c:v>
                </c:pt>
                <c:pt idx="32">
                  <c:v>0.6788440567066546</c:v>
                </c:pt>
                <c:pt idx="33">
                  <c:v>0.6788440567066546</c:v>
                </c:pt>
                <c:pt idx="34">
                  <c:v>0.6788440567066546</c:v>
                </c:pt>
                <c:pt idx="35">
                  <c:v>0.6788440567066546</c:v>
                </c:pt>
                <c:pt idx="36">
                  <c:v>0.6788440567066546</c:v>
                </c:pt>
                <c:pt idx="37">
                  <c:v>0.6788440567066546</c:v>
                </c:pt>
                <c:pt idx="38">
                  <c:v>0.6788440567066546</c:v>
                </c:pt>
                <c:pt idx="39">
                  <c:v>0.6788440567066546</c:v>
                </c:pt>
                <c:pt idx="40">
                  <c:v>0.6788440567066546</c:v>
                </c:pt>
                <c:pt idx="41">
                  <c:v>0.6788440567066546</c:v>
                </c:pt>
                <c:pt idx="42">
                  <c:v>0.6788440567066546</c:v>
                </c:pt>
                <c:pt idx="43">
                  <c:v>0.6788440567066546</c:v>
                </c:pt>
                <c:pt idx="44">
                  <c:v>0.6788440567066546</c:v>
                </c:pt>
                <c:pt idx="45">
                  <c:v>0.6788440567066546</c:v>
                </c:pt>
                <c:pt idx="46">
                  <c:v>0.6788440567066546</c:v>
                </c:pt>
                <c:pt idx="47">
                  <c:v>0.6788440567066546</c:v>
                </c:pt>
                <c:pt idx="48">
                  <c:v>0.6788440567066546</c:v>
                </c:pt>
                <c:pt idx="49">
                  <c:v>0.6788440567066546</c:v>
                </c:pt>
                <c:pt idx="50">
                  <c:v>-0.15288293693937427</c:v>
                </c:pt>
                <c:pt idx="51">
                  <c:v>-0.15288293693937427</c:v>
                </c:pt>
                <c:pt idx="52">
                  <c:v>-0.15288293693937427</c:v>
                </c:pt>
                <c:pt idx="53">
                  <c:v>-0.15288293693937427</c:v>
                </c:pt>
                <c:pt idx="54">
                  <c:v>-0.15288293693937427</c:v>
                </c:pt>
                <c:pt idx="55">
                  <c:v>-0.15288293693937427</c:v>
                </c:pt>
                <c:pt idx="56">
                  <c:v>-0.15288293693937427</c:v>
                </c:pt>
                <c:pt idx="57">
                  <c:v>-0.15288293693937427</c:v>
                </c:pt>
                <c:pt idx="58">
                  <c:v>-0.15288293693937427</c:v>
                </c:pt>
                <c:pt idx="59">
                  <c:v>-0.15288293693937427</c:v>
                </c:pt>
                <c:pt idx="60">
                  <c:v>-0.15288293693937427</c:v>
                </c:pt>
                <c:pt idx="61">
                  <c:v>-0.15288293693937427</c:v>
                </c:pt>
                <c:pt idx="62">
                  <c:v>-0.15288293693937427</c:v>
                </c:pt>
                <c:pt idx="63">
                  <c:v>-0.15288293693937427</c:v>
                </c:pt>
                <c:pt idx="64">
                  <c:v>-0.15288293693937427</c:v>
                </c:pt>
                <c:pt idx="65">
                  <c:v>-0.15288293693937427</c:v>
                </c:pt>
                <c:pt idx="66">
                  <c:v>-0.15288293693937427</c:v>
                </c:pt>
                <c:pt idx="67">
                  <c:v>-0.15288293693937427</c:v>
                </c:pt>
                <c:pt idx="68">
                  <c:v>-0.15288293693937427</c:v>
                </c:pt>
                <c:pt idx="69">
                  <c:v>0.33764171116250813</c:v>
                </c:pt>
                <c:pt idx="70">
                  <c:v>0.33764171116250813</c:v>
                </c:pt>
                <c:pt idx="71">
                  <c:v>0.33764171116250813</c:v>
                </c:pt>
                <c:pt idx="72">
                  <c:v>0.33764171116250813</c:v>
                </c:pt>
                <c:pt idx="73">
                  <c:v>0.33764171116250813</c:v>
                </c:pt>
                <c:pt idx="74">
                  <c:v>0.33764171116250813</c:v>
                </c:pt>
                <c:pt idx="75">
                  <c:v>0.33764171116250813</c:v>
                </c:pt>
                <c:pt idx="76">
                  <c:v>0.33764171116250813</c:v>
                </c:pt>
                <c:pt idx="77">
                  <c:v>0.33764171116250813</c:v>
                </c:pt>
                <c:pt idx="78">
                  <c:v>0.33764171116250813</c:v>
                </c:pt>
                <c:pt idx="79">
                  <c:v>0.33764171116250813</c:v>
                </c:pt>
                <c:pt idx="80">
                  <c:v>0.33764171116250813</c:v>
                </c:pt>
                <c:pt idx="81">
                  <c:v>0.33764171116250813</c:v>
                </c:pt>
                <c:pt idx="82">
                  <c:v>0.33764171116250813</c:v>
                </c:pt>
                <c:pt idx="83">
                  <c:v>0.33764171116250813</c:v>
                </c:pt>
                <c:pt idx="84">
                  <c:v>0.33764171116250813</c:v>
                </c:pt>
                <c:pt idx="85">
                  <c:v>0.33764171116250813</c:v>
                </c:pt>
                <c:pt idx="86">
                  <c:v>-0.18831416083813518</c:v>
                </c:pt>
                <c:pt idx="87">
                  <c:v>-0.18831416083813518</c:v>
                </c:pt>
                <c:pt idx="88">
                  <c:v>-0.18831416083813518</c:v>
                </c:pt>
                <c:pt idx="89">
                  <c:v>-0.18831416083813518</c:v>
                </c:pt>
                <c:pt idx="90">
                  <c:v>-0.18831416083813518</c:v>
                </c:pt>
                <c:pt idx="91">
                  <c:v>-0.18831416083813518</c:v>
                </c:pt>
                <c:pt idx="92">
                  <c:v>-0.18831416083813518</c:v>
                </c:pt>
                <c:pt idx="93">
                  <c:v>-0.18831416083813518</c:v>
                </c:pt>
                <c:pt idx="94">
                  <c:v>-0.18831416083813518</c:v>
                </c:pt>
                <c:pt idx="95">
                  <c:v>-0.18831416083813518</c:v>
                </c:pt>
                <c:pt idx="96">
                  <c:v>-9.3417492765591692E-2</c:v>
                </c:pt>
                <c:pt idx="97">
                  <c:v>-9.3417492765591692E-2</c:v>
                </c:pt>
                <c:pt idx="98">
                  <c:v>-9.3417492765591692E-2</c:v>
                </c:pt>
                <c:pt idx="99">
                  <c:v>-9.3417492765591692E-2</c:v>
                </c:pt>
                <c:pt idx="100">
                  <c:v>-9.3417492765591692E-2</c:v>
                </c:pt>
                <c:pt idx="101">
                  <c:v>-0.55282831023267498</c:v>
                </c:pt>
                <c:pt idx="102">
                  <c:v>-0.55282831023267498</c:v>
                </c:pt>
                <c:pt idx="103">
                  <c:v>-0.55282831023267498</c:v>
                </c:pt>
                <c:pt idx="104">
                  <c:v>-0.55282831023267498</c:v>
                </c:pt>
                <c:pt idx="105">
                  <c:v>-0.55282831023267498</c:v>
                </c:pt>
                <c:pt idx="106">
                  <c:v>-0.55282831023267498</c:v>
                </c:pt>
                <c:pt idx="107">
                  <c:v>-0.55282831023267498</c:v>
                </c:pt>
                <c:pt idx="108">
                  <c:v>-0.55282831023267498</c:v>
                </c:pt>
                <c:pt idx="109">
                  <c:v>-0.55282831023267498</c:v>
                </c:pt>
                <c:pt idx="110">
                  <c:v>-0.55282831023267498</c:v>
                </c:pt>
                <c:pt idx="111">
                  <c:v>-0.55282831023267498</c:v>
                </c:pt>
                <c:pt idx="112">
                  <c:v>-0.55282831023267498</c:v>
                </c:pt>
                <c:pt idx="113">
                  <c:v>-0.55282831023267498</c:v>
                </c:pt>
                <c:pt idx="114">
                  <c:v>-5.1210187255329387E-2</c:v>
                </c:pt>
                <c:pt idx="115">
                  <c:v>-5.1210187255329387E-2</c:v>
                </c:pt>
                <c:pt idx="116">
                  <c:v>-5.1210187255329387E-2</c:v>
                </c:pt>
                <c:pt idx="117">
                  <c:v>-5.1210187255329387E-2</c:v>
                </c:pt>
                <c:pt idx="118">
                  <c:v>-5.1210187255329387E-2</c:v>
                </c:pt>
                <c:pt idx="119">
                  <c:v>-5.1210187255329387E-2</c:v>
                </c:pt>
                <c:pt idx="120">
                  <c:v>-5.1210187255329387E-2</c:v>
                </c:pt>
                <c:pt idx="121">
                  <c:v>-5.1210187255329387E-2</c:v>
                </c:pt>
                <c:pt idx="122">
                  <c:v>-5.1210187255329387E-2</c:v>
                </c:pt>
                <c:pt idx="123">
                  <c:v>-5.1210187255329387E-2</c:v>
                </c:pt>
                <c:pt idx="124">
                  <c:v>-5.1210187255329387E-2</c:v>
                </c:pt>
                <c:pt idx="125">
                  <c:v>-5.1210187255329387E-2</c:v>
                </c:pt>
                <c:pt idx="126">
                  <c:v>-5.1210187255329387E-2</c:v>
                </c:pt>
                <c:pt idx="127">
                  <c:v>-5.1210187255329387E-2</c:v>
                </c:pt>
                <c:pt idx="128">
                  <c:v>-5.1210187255329387E-2</c:v>
                </c:pt>
                <c:pt idx="129">
                  <c:v>-5.1210187255329387E-2</c:v>
                </c:pt>
                <c:pt idx="130">
                  <c:v>-5.1210187255329387E-2</c:v>
                </c:pt>
                <c:pt idx="131">
                  <c:v>-5.1210187255329387E-2</c:v>
                </c:pt>
                <c:pt idx="132">
                  <c:v>-5.1210187255329387E-2</c:v>
                </c:pt>
                <c:pt idx="133">
                  <c:v>-5.1210187255329387E-2</c:v>
                </c:pt>
                <c:pt idx="134">
                  <c:v>0.43634069790987046</c:v>
                </c:pt>
                <c:pt idx="135">
                  <c:v>0.43634069790987046</c:v>
                </c:pt>
                <c:pt idx="136">
                  <c:v>0.43634069790987046</c:v>
                </c:pt>
                <c:pt idx="137">
                  <c:v>9.5503211514728681E-2</c:v>
                </c:pt>
                <c:pt idx="138">
                  <c:v>9.5503211514728681E-2</c:v>
                </c:pt>
                <c:pt idx="139">
                  <c:v>9.5503211514728681E-2</c:v>
                </c:pt>
                <c:pt idx="140">
                  <c:v>-4.3791954942996647E-2</c:v>
                </c:pt>
                <c:pt idx="141">
                  <c:v>-4.3791954942996647E-2</c:v>
                </c:pt>
                <c:pt idx="142">
                  <c:v>-4.3791954942996647E-2</c:v>
                </c:pt>
                <c:pt idx="143">
                  <c:v>-4.3791954942996647E-2</c:v>
                </c:pt>
                <c:pt idx="144">
                  <c:v>-9.2964695889427046E-2</c:v>
                </c:pt>
                <c:pt idx="145">
                  <c:v>-9.2964695889427046E-2</c:v>
                </c:pt>
                <c:pt idx="146">
                  <c:v>-9.2964695889427046E-2</c:v>
                </c:pt>
                <c:pt idx="147">
                  <c:v>-9.2964695889427046E-2</c:v>
                </c:pt>
                <c:pt idx="148">
                  <c:v>-9.2964695889427046E-2</c:v>
                </c:pt>
                <c:pt idx="149">
                  <c:v>-9.2964695889427046E-2</c:v>
                </c:pt>
                <c:pt idx="150">
                  <c:v>-9.2964695889427046E-2</c:v>
                </c:pt>
                <c:pt idx="151">
                  <c:v>-9.2964695889427046E-2</c:v>
                </c:pt>
                <c:pt idx="152">
                  <c:v>-9.2964695889427046E-2</c:v>
                </c:pt>
                <c:pt idx="153">
                  <c:v>-9.2964695889427046E-2</c:v>
                </c:pt>
                <c:pt idx="154">
                  <c:v>-9.2964695889427046E-2</c:v>
                </c:pt>
                <c:pt idx="155">
                  <c:v>-9.2964695889427046E-2</c:v>
                </c:pt>
                <c:pt idx="156">
                  <c:v>-9.2964695889427046E-2</c:v>
                </c:pt>
                <c:pt idx="157">
                  <c:v>-9.2964695889427046E-2</c:v>
                </c:pt>
                <c:pt idx="158">
                  <c:v>-9.2964695889427046E-2</c:v>
                </c:pt>
                <c:pt idx="159">
                  <c:v>-9.2964695889427046E-2</c:v>
                </c:pt>
                <c:pt idx="160">
                  <c:v>0.52140443333118447</c:v>
                </c:pt>
                <c:pt idx="161">
                  <c:v>0.52140443333118447</c:v>
                </c:pt>
                <c:pt idx="162">
                  <c:v>0.52140443333118447</c:v>
                </c:pt>
                <c:pt idx="163">
                  <c:v>0.52140443333118447</c:v>
                </c:pt>
                <c:pt idx="164">
                  <c:v>0.52140443333118447</c:v>
                </c:pt>
                <c:pt idx="165">
                  <c:v>0.52140443333118447</c:v>
                </c:pt>
                <c:pt idx="166">
                  <c:v>0.52140443333118447</c:v>
                </c:pt>
                <c:pt idx="167">
                  <c:v>0.52140443333118447</c:v>
                </c:pt>
                <c:pt idx="168">
                  <c:v>0.52140443333118447</c:v>
                </c:pt>
                <c:pt idx="169">
                  <c:v>0.52140443333118447</c:v>
                </c:pt>
                <c:pt idx="170">
                  <c:v>0.52140443333118447</c:v>
                </c:pt>
                <c:pt idx="171">
                  <c:v>0.52140443333118447</c:v>
                </c:pt>
                <c:pt idx="172">
                  <c:v>0.52140443333118447</c:v>
                </c:pt>
                <c:pt idx="173">
                  <c:v>0.52140443333118447</c:v>
                </c:pt>
                <c:pt idx="174">
                  <c:v>0.52140443333118447</c:v>
                </c:pt>
                <c:pt idx="175">
                  <c:v>0.52140443333118447</c:v>
                </c:pt>
                <c:pt idx="176">
                  <c:v>0.52140443333118447</c:v>
                </c:pt>
                <c:pt idx="177">
                  <c:v>0.52140443333118447</c:v>
                </c:pt>
                <c:pt idx="178">
                  <c:v>0.52140443333118447</c:v>
                </c:pt>
                <c:pt idx="179">
                  <c:v>0.52140443333118447</c:v>
                </c:pt>
                <c:pt idx="180">
                  <c:v>0.52140443333118447</c:v>
                </c:pt>
                <c:pt idx="181">
                  <c:v>0.52140443333118447</c:v>
                </c:pt>
                <c:pt idx="182">
                  <c:v>0.52140443333118447</c:v>
                </c:pt>
                <c:pt idx="183">
                  <c:v>0.52140443333118447</c:v>
                </c:pt>
                <c:pt idx="184">
                  <c:v>0.52140443333118447</c:v>
                </c:pt>
                <c:pt idx="185">
                  <c:v>0.52140443333118447</c:v>
                </c:pt>
                <c:pt idx="186">
                  <c:v>0.52140443333118447</c:v>
                </c:pt>
                <c:pt idx="187">
                  <c:v>0.52140443333118447</c:v>
                </c:pt>
                <c:pt idx="188">
                  <c:v>0.52140443333118447</c:v>
                </c:pt>
                <c:pt idx="189">
                  <c:v>0.52140443333118447</c:v>
                </c:pt>
                <c:pt idx="190">
                  <c:v>0.52140443333118447</c:v>
                </c:pt>
                <c:pt idx="191">
                  <c:v>0.52140443333118447</c:v>
                </c:pt>
                <c:pt idx="192">
                  <c:v>0.52140443333118447</c:v>
                </c:pt>
                <c:pt idx="193">
                  <c:v>0.52140443333118447</c:v>
                </c:pt>
                <c:pt idx="194">
                  <c:v>0.52140443333118447</c:v>
                </c:pt>
                <c:pt idx="195">
                  <c:v>0.52140443333118447</c:v>
                </c:pt>
                <c:pt idx="196">
                  <c:v>0.52140443333118447</c:v>
                </c:pt>
                <c:pt idx="197">
                  <c:v>0.52140443333118447</c:v>
                </c:pt>
                <c:pt idx="198">
                  <c:v>0.52140443333118447</c:v>
                </c:pt>
                <c:pt idx="199">
                  <c:v>0.52140443333118447</c:v>
                </c:pt>
                <c:pt idx="200">
                  <c:v>0.52140443333118447</c:v>
                </c:pt>
                <c:pt idx="201">
                  <c:v>0.52140443333118447</c:v>
                </c:pt>
                <c:pt idx="202">
                  <c:v>0.52140443333118447</c:v>
                </c:pt>
                <c:pt idx="203">
                  <c:v>0.52140443333118447</c:v>
                </c:pt>
                <c:pt idx="204">
                  <c:v>0.52140443333118447</c:v>
                </c:pt>
                <c:pt idx="205">
                  <c:v>-0.5447991771647549</c:v>
                </c:pt>
                <c:pt idx="206">
                  <c:v>-0.5447991771647549</c:v>
                </c:pt>
                <c:pt idx="207">
                  <c:v>-0.5447991771647549</c:v>
                </c:pt>
                <c:pt idx="208">
                  <c:v>-0.5447991771647549</c:v>
                </c:pt>
                <c:pt idx="209">
                  <c:v>-0.31964907709804319</c:v>
                </c:pt>
                <c:pt idx="210">
                  <c:v>-0.31964907709804319</c:v>
                </c:pt>
                <c:pt idx="211">
                  <c:v>-0.31964907709804319</c:v>
                </c:pt>
                <c:pt idx="212">
                  <c:v>-0.31964907709804319</c:v>
                </c:pt>
                <c:pt idx="213">
                  <c:v>-0.23192453216912207</c:v>
                </c:pt>
                <c:pt idx="214">
                  <c:v>-0.23192453216912207</c:v>
                </c:pt>
                <c:pt idx="215">
                  <c:v>-0.23192453216912207</c:v>
                </c:pt>
                <c:pt idx="216">
                  <c:v>-0.23192453216912207</c:v>
                </c:pt>
                <c:pt idx="217">
                  <c:v>-0.23192453216912207</c:v>
                </c:pt>
                <c:pt idx="218">
                  <c:v>-0.23192453216912207</c:v>
                </c:pt>
                <c:pt idx="219">
                  <c:v>-0.23192453216912207</c:v>
                </c:pt>
                <c:pt idx="220">
                  <c:v>-0.23192453216912207</c:v>
                </c:pt>
                <c:pt idx="221">
                  <c:v>-0.23192453216912207</c:v>
                </c:pt>
                <c:pt idx="222">
                  <c:v>-0.23192453216912207</c:v>
                </c:pt>
                <c:pt idx="223">
                  <c:v>-0.23192453216912207</c:v>
                </c:pt>
                <c:pt idx="224">
                  <c:v>-0.23192453216912207</c:v>
                </c:pt>
                <c:pt idx="225">
                  <c:v>-0.23192453216912207</c:v>
                </c:pt>
                <c:pt idx="226">
                  <c:v>-0.23192453216912207</c:v>
                </c:pt>
                <c:pt idx="227">
                  <c:v>-0.23192453216912207</c:v>
                </c:pt>
                <c:pt idx="228">
                  <c:v>-0.23192453216912207</c:v>
                </c:pt>
                <c:pt idx="229">
                  <c:v>-0.23192453216912207</c:v>
                </c:pt>
                <c:pt idx="230">
                  <c:v>-0.23192453216912207</c:v>
                </c:pt>
                <c:pt idx="231">
                  <c:v>-0.23192453216912207</c:v>
                </c:pt>
                <c:pt idx="232">
                  <c:v>-0.23192453216912207</c:v>
                </c:pt>
                <c:pt idx="233">
                  <c:v>-0.23192453216912207</c:v>
                </c:pt>
                <c:pt idx="234">
                  <c:v>-0.23192453216912207</c:v>
                </c:pt>
                <c:pt idx="235">
                  <c:v>-0.23192453216912207</c:v>
                </c:pt>
                <c:pt idx="236">
                  <c:v>-0.23192453216912207</c:v>
                </c:pt>
                <c:pt idx="237">
                  <c:v>-0.23192453216912207</c:v>
                </c:pt>
                <c:pt idx="238">
                  <c:v>-0.23192453216912207</c:v>
                </c:pt>
                <c:pt idx="239">
                  <c:v>-0.23192453216912207</c:v>
                </c:pt>
                <c:pt idx="240">
                  <c:v>-0.13391825976769156</c:v>
                </c:pt>
                <c:pt idx="241">
                  <c:v>-0.13391825976769156</c:v>
                </c:pt>
                <c:pt idx="242">
                  <c:v>-0.13391825976769156</c:v>
                </c:pt>
                <c:pt idx="243">
                  <c:v>-0.13391825976769156</c:v>
                </c:pt>
                <c:pt idx="244">
                  <c:v>-0.13391825976769156</c:v>
                </c:pt>
                <c:pt idx="245">
                  <c:v>-0.13391825976769156</c:v>
                </c:pt>
                <c:pt idx="246">
                  <c:v>-0.13391825976769156</c:v>
                </c:pt>
                <c:pt idx="247">
                  <c:v>-0.13391825976769156</c:v>
                </c:pt>
                <c:pt idx="248">
                  <c:v>-0.13391825976769156</c:v>
                </c:pt>
                <c:pt idx="249">
                  <c:v>-0.13391825976769156</c:v>
                </c:pt>
                <c:pt idx="250">
                  <c:v>-0.13391825976769156</c:v>
                </c:pt>
                <c:pt idx="251">
                  <c:v>-1.0085138621145684</c:v>
                </c:pt>
                <c:pt idx="252">
                  <c:v>-1.0085138621145684</c:v>
                </c:pt>
                <c:pt idx="253">
                  <c:v>-1.0085138621145684</c:v>
                </c:pt>
                <c:pt idx="254">
                  <c:v>-1.0085138621145684</c:v>
                </c:pt>
                <c:pt idx="255">
                  <c:v>-0.47981477499363151</c:v>
                </c:pt>
                <c:pt idx="256">
                  <c:v>-0.47981477499363151</c:v>
                </c:pt>
                <c:pt idx="257">
                  <c:v>-0.47981477499363151</c:v>
                </c:pt>
                <c:pt idx="258">
                  <c:v>-0.47981477499363151</c:v>
                </c:pt>
                <c:pt idx="259">
                  <c:v>-0.47981477499363151</c:v>
                </c:pt>
                <c:pt idx="260">
                  <c:v>-0.47981477499363151</c:v>
                </c:pt>
                <c:pt idx="261">
                  <c:v>-0.77104284516907118</c:v>
                </c:pt>
                <c:pt idx="262">
                  <c:v>-0.77104284516907118</c:v>
                </c:pt>
                <c:pt idx="263">
                  <c:v>-0.77104284516907118</c:v>
                </c:pt>
                <c:pt idx="264">
                  <c:v>-0.77104284516907118</c:v>
                </c:pt>
                <c:pt idx="265">
                  <c:v>-0.77104284516907118</c:v>
                </c:pt>
                <c:pt idx="266">
                  <c:v>-0.77104284516907118</c:v>
                </c:pt>
                <c:pt idx="267">
                  <c:v>-0.77104284516907118</c:v>
                </c:pt>
                <c:pt idx="268">
                  <c:v>-0.77104284516907118</c:v>
                </c:pt>
                <c:pt idx="269">
                  <c:v>-0.77104284516907118</c:v>
                </c:pt>
                <c:pt idx="270">
                  <c:v>-0.77104284516907118</c:v>
                </c:pt>
                <c:pt idx="271">
                  <c:v>-0.77104284516907118</c:v>
                </c:pt>
                <c:pt idx="272">
                  <c:v>-0.77104284516907118</c:v>
                </c:pt>
                <c:pt idx="273">
                  <c:v>-0.77104284516907118</c:v>
                </c:pt>
                <c:pt idx="274">
                  <c:v>-0.77104284516907118</c:v>
                </c:pt>
                <c:pt idx="275">
                  <c:v>-0.77104284516907118</c:v>
                </c:pt>
                <c:pt idx="276">
                  <c:v>-0.77104284516907118</c:v>
                </c:pt>
                <c:pt idx="277">
                  <c:v>-0.77104284516907118</c:v>
                </c:pt>
                <c:pt idx="278">
                  <c:v>-0.77104284516907118</c:v>
                </c:pt>
                <c:pt idx="279">
                  <c:v>-0.77104284516907118</c:v>
                </c:pt>
                <c:pt idx="280">
                  <c:v>-0.77104284516907118</c:v>
                </c:pt>
                <c:pt idx="281">
                  <c:v>-0.77104284516907118</c:v>
                </c:pt>
                <c:pt idx="282">
                  <c:v>-0.77104284516907118</c:v>
                </c:pt>
                <c:pt idx="283">
                  <c:v>-0.77104284516907118</c:v>
                </c:pt>
                <c:pt idx="284">
                  <c:v>-0.77104284516907118</c:v>
                </c:pt>
                <c:pt idx="285">
                  <c:v>-0.77104284516907118</c:v>
                </c:pt>
                <c:pt idx="286">
                  <c:v>-0.77104284516907118</c:v>
                </c:pt>
                <c:pt idx="287">
                  <c:v>-0.77104284516907118</c:v>
                </c:pt>
                <c:pt idx="288">
                  <c:v>-0.77104284516907118</c:v>
                </c:pt>
                <c:pt idx="289">
                  <c:v>-1.2231069871001554</c:v>
                </c:pt>
                <c:pt idx="290">
                  <c:v>-1.2231069871001554</c:v>
                </c:pt>
                <c:pt idx="291">
                  <c:v>-1.2231069871001554</c:v>
                </c:pt>
                <c:pt idx="292">
                  <c:v>-1.2231069871001554</c:v>
                </c:pt>
                <c:pt idx="293">
                  <c:v>-1.2231069871001554</c:v>
                </c:pt>
                <c:pt idx="294">
                  <c:v>-1.2231069871001554</c:v>
                </c:pt>
                <c:pt idx="295">
                  <c:v>-1.2231069871001554</c:v>
                </c:pt>
                <c:pt idx="296">
                  <c:v>-1.2231069871001554</c:v>
                </c:pt>
                <c:pt idx="297">
                  <c:v>-1.2231069871001554</c:v>
                </c:pt>
                <c:pt idx="298">
                  <c:v>-1.2231069871001554</c:v>
                </c:pt>
                <c:pt idx="299">
                  <c:v>-1.2231069871001554</c:v>
                </c:pt>
                <c:pt idx="300">
                  <c:v>-1.2231069871001554</c:v>
                </c:pt>
                <c:pt idx="301">
                  <c:v>-1.2231069871001554</c:v>
                </c:pt>
                <c:pt idx="302">
                  <c:v>-1.2231069871001554</c:v>
                </c:pt>
                <c:pt idx="303">
                  <c:v>-1.2231069871001554</c:v>
                </c:pt>
                <c:pt idx="304">
                  <c:v>-1.2231069871001554</c:v>
                </c:pt>
                <c:pt idx="305">
                  <c:v>-1.2231069871001554</c:v>
                </c:pt>
                <c:pt idx="306">
                  <c:v>-1.2231069871001554</c:v>
                </c:pt>
                <c:pt idx="307">
                  <c:v>-1.2231069871001554</c:v>
                </c:pt>
                <c:pt idx="308">
                  <c:v>-1.2231069871001554</c:v>
                </c:pt>
                <c:pt idx="309">
                  <c:v>-0.2206549461366476</c:v>
                </c:pt>
                <c:pt idx="310">
                  <c:v>-0.2206549461366476</c:v>
                </c:pt>
                <c:pt idx="311">
                  <c:v>1.0959061610648531</c:v>
                </c:pt>
                <c:pt idx="312">
                  <c:v>1.0959061610648531</c:v>
                </c:pt>
                <c:pt idx="313">
                  <c:v>1.0959061610648531</c:v>
                </c:pt>
                <c:pt idx="314">
                  <c:v>1.0959061610648531</c:v>
                </c:pt>
                <c:pt idx="315">
                  <c:v>1.0959061610648531</c:v>
                </c:pt>
                <c:pt idx="316">
                  <c:v>1.0959061610648531</c:v>
                </c:pt>
                <c:pt idx="317">
                  <c:v>1.0959061610648531</c:v>
                </c:pt>
                <c:pt idx="318">
                  <c:v>1.0959061610648531</c:v>
                </c:pt>
                <c:pt idx="319">
                  <c:v>1.0959061610648531</c:v>
                </c:pt>
                <c:pt idx="320">
                  <c:v>1.0959061610648531</c:v>
                </c:pt>
                <c:pt idx="321">
                  <c:v>1.0959061610648531</c:v>
                </c:pt>
                <c:pt idx="322">
                  <c:v>1.0959061610648531</c:v>
                </c:pt>
                <c:pt idx="323">
                  <c:v>1.0959061610648531</c:v>
                </c:pt>
                <c:pt idx="324">
                  <c:v>1.0959061610648531</c:v>
                </c:pt>
                <c:pt idx="325">
                  <c:v>1.0959061610648531</c:v>
                </c:pt>
                <c:pt idx="326">
                  <c:v>1.0959061610648531</c:v>
                </c:pt>
                <c:pt idx="327">
                  <c:v>1.0959061610648531</c:v>
                </c:pt>
                <c:pt idx="328">
                  <c:v>1.0959061610648531</c:v>
                </c:pt>
                <c:pt idx="329">
                  <c:v>1.0959061610648531</c:v>
                </c:pt>
                <c:pt idx="330">
                  <c:v>1.0959061610648531</c:v>
                </c:pt>
                <c:pt idx="331">
                  <c:v>1.0959061610648531</c:v>
                </c:pt>
                <c:pt idx="332">
                  <c:v>1.0959061610648531</c:v>
                </c:pt>
                <c:pt idx="333">
                  <c:v>1.0959061610648531</c:v>
                </c:pt>
                <c:pt idx="334">
                  <c:v>1.0959061610648531</c:v>
                </c:pt>
                <c:pt idx="335">
                  <c:v>1.0959061610648531</c:v>
                </c:pt>
                <c:pt idx="336">
                  <c:v>0.66043506051061596</c:v>
                </c:pt>
                <c:pt idx="337">
                  <c:v>0.66043506051061596</c:v>
                </c:pt>
                <c:pt idx="338">
                  <c:v>0.66043506051061596</c:v>
                </c:pt>
                <c:pt idx="339">
                  <c:v>0.66043506051061596</c:v>
                </c:pt>
                <c:pt idx="340">
                  <c:v>0.66043506051061596</c:v>
                </c:pt>
                <c:pt idx="341">
                  <c:v>0.66043506051061596</c:v>
                </c:pt>
                <c:pt idx="342">
                  <c:v>1.0900386535588513</c:v>
                </c:pt>
                <c:pt idx="343">
                  <c:v>1.0900386535588513</c:v>
                </c:pt>
                <c:pt idx="344">
                  <c:v>1.0900386535588513</c:v>
                </c:pt>
                <c:pt idx="345">
                  <c:v>1.0900386535588513</c:v>
                </c:pt>
                <c:pt idx="346">
                  <c:v>1.0900386535588513</c:v>
                </c:pt>
                <c:pt idx="347">
                  <c:v>1.0900386535588513</c:v>
                </c:pt>
                <c:pt idx="348">
                  <c:v>1.0900386535588513</c:v>
                </c:pt>
                <c:pt idx="349">
                  <c:v>1.0900386535588513</c:v>
                </c:pt>
                <c:pt idx="350">
                  <c:v>2.214512087449326</c:v>
                </c:pt>
                <c:pt idx="351">
                  <c:v>2.214512087449326</c:v>
                </c:pt>
                <c:pt idx="352">
                  <c:v>2.214512087449326</c:v>
                </c:pt>
                <c:pt idx="353">
                  <c:v>2.214512087449326</c:v>
                </c:pt>
                <c:pt idx="354">
                  <c:v>2.5804695342578352</c:v>
                </c:pt>
                <c:pt idx="355">
                  <c:v>2.5804695342578352</c:v>
                </c:pt>
                <c:pt idx="356">
                  <c:v>2.5804695342578352</c:v>
                </c:pt>
                <c:pt idx="357">
                  <c:v>2.5804695342578352</c:v>
                </c:pt>
                <c:pt idx="358">
                  <c:v>2.5804695342578352</c:v>
                </c:pt>
                <c:pt idx="359">
                  <c:v>2.5804695342578352</c:v>
                </c:pt>
                <c:pt idx="360">
                  <c:v>2.5804695342578352</c:v>
                </c:pt>
                <c:pt idx="361">
                  <c:v>2.5804695342578352</c:v>
                </c:pt>
                <c:pt idx="362">
                  <c:v>2.5804695342578352</c:v>
                </c:pt>
                <c:pt idx="363">
                  <c:v>2.5804695342578352</c:v>
                </c:pt>
                <c:pt idx="364">
                  <c:v>2.5804695342578352</c:v>
                </c:pt>
                <c:pt idx="365">
                  <c:v>2.5804695342578352</c:v>
                </c:pt>
                <c:pt idx="366">
                  <c:v>2.5804695342578352</c:v>
                </c:pt>
                <c:pt idx="367">
                  <c:v>2.5804695342578352</c:v>
                </c:pt>
                <c:pt idx="368">
                  <c:v>5.9635266244972476</c:v>
                </c:pt>
                <c:pt idx="369">
                  <c:v>5.9635266244972476</c:v>
                </c:pt>
                <c:pt idx="370">
                  <c:v>5.9635266244972476</c:v>
                </c:pt>
                <c:pt idx="371">
                  <c:v>5.9635266244972476</c:v>
                </c:pt>
                <c:pt idx="372">
                  <c:v>5.9635266244972476</c:v>
                </c:pt>
                <c:pt idx="373">
                  <c:v>5.9635266244972476</c:v>
                </c:pt>
                <c:pt idx="374">
                  <c:v>5.9635266244972476</c:v>
                </c:pt>
                <c:pt idx="375">
                  <c:v>5.9635266244972476</c:v>
                </c:pt>
                <c:pt idx="376">
                  <c:v>5.9635266244972476</c:v>
                </c:pt>
                <c:pt idx="377">
                  <c:v>5.9635266244972476</c:v>
                </c:pt>
                <c:pt idx="378">
                  <c:v>5.9635266244972476</c:v>
                </c:pt>
                <c:pt idx="379">
                  <c:v>5.5585110896548153</c:v>
                </c:pt>
                <c:pt idx="380">
                  <c:v>5.5585110896548153</c:v>
                </c:pt>
                <c:pt idx="381">
                  <c:v>5.5585110896548153</c:v>
                </c:pt>
                <c:pt idx="382">
                  <c:v>5.5585110896548153</c:v>
                </c:pt>
                <c:pt idx="383">
                  <c:v>5.5585110896548153</c:v>
                </c:pt>
                <c:pt idx="384">
                  <c:v>5.5585110896548153</c:v>
                </c:pt>
                <c:pt idx="385">
                  <c:v>5.5585110896548153</c:v>
                </c:pt>
                <c:pt idx="386">
                  <c:v>5.5585110896548153</c:v>
                </c:pt>
                <c:pt idx="387">
                  <c:v>5.5585110896548153</c:v>
                </c:pt>
                <c:pt idx="388">
                  <c:v>5.5585110896548153</c:v>
                </c:pt>
                <c:pt idx="389">
                  <c:v>5.4521077217569092</c:v>
                </c:pt>
                <c:pt idx="390">
                  <c:v>5.4521077217569092</c:v>
                </c:pt>
                <c:pt idx="391">
                  <c:v>5.0555154773385764</c:v>
                </c:pt>
                <c:pt idx="392">
                  <c:v>6.7347031552913021</c:v>
                </c:pt>
                <c:pt idx="393">
                  <c:v>5.9692754688486058</c:v>
                </c:pt>
                <c:pt idx="394">
                  <c:v>5.9692754688486058</c:v>
                </c:pt>
                <c:pt idx="395">
                  <c:v>5.9692754688486058</c:v>
                </c:pt>
                <c:pt idx="396">
                  <c:v>5.9692754688486058</c:v>
                </c:pt>
                <c:pt idx="397">
                  <c:v>5.9692754688486058</c:v>
                </c:pt>
                <c:pt idx="398">
                  <c:v>5.9692754688486058</c:v>
                </c:pt>
                <c:pt idx="399">
                  <c:v>4.9706884823583941</c:v>
                </c:pt>
                <c:pt idx="400">
                  <c:v>4.9706884823583941</c:v>
                </c:pt>
                <c:pt idx="401">
                  <c:v>4.9706884823583941</c:v>
                </c:pt>
                <c:pt idx="402">
                  <c:v>4.9706884823583941</c:v>
                </c:pt>
                <c:pt idx="403">
                  <c:v>4.9706884823583941</c:v>
                </c:pt>
                <c:pt idx="404">
                  <c:v>7.1230252075285527</c:v>
                </c:pt>
                <c:pt idx="405">
                  <c:v>7.1230252075285527</c:v>
                </c:pt>
                <c:pt idx="406">
                  <c:v>7.1230252075285527</c:v>
                </c:pt>
                <c:pt idx="407">
                  <c:v>7.1230252075285527</c:v>
                </c:pt>
                <c:pt idx="408">
                  <c:v>7.1230252075285527</c:v>
                </c:pt>
                <c:pt idx="409">
                  <c:v>7.1230252075285527</c:v>
                </c:pt>
                <c:pt idx="410">
                  <c:v>7.1230252075285527</c:v>
                </c:pt>
                <c:pt idx="411">
                  <c:v>7.1230252075285527</c:v>
                </c:pt>
                <c:pt idx="412">
                  <c:v>7.1230252075285527</c:v>
                </c:pt>
                <c:pt idx="413">
                  <c:v>7.1230252075285527</c:v>
                </c:pt>
                <c:pt idx="414">
                  <c:v>7.1230252075285527</c:v>
                </c:pt>
                <c:pt idx="415">
                  <c:v>7.5474151469905753</c:v>
                </c:pt>
                <c:pt idx="416">
                  <c:v>7.5474151469905753</c:v>
                </c:pt>
                <c:pt idx="417">
                  <c:v>6.7869588732263173</c:v>
                </c:pt>
                <c:pt idx="418">
                  <c:v>6.7869588732263173</c:v>
                </c:pt>
              </c:numCache>
            </c:numRef>
          </c:val>
          <c:smooth val="1"/>
          <c:extLst>
            <c:ext xmlns:c16="http://schemas.microsoft.com/office/drawing/2014/chart" uri="{C3380CC4-5D6E-409C-BE32-E72D297353CC}">
              <c16:uniqueId val="{00000003-EBC8-4142-B284-300638C218BD}"/>
            </c:ext>
          </c:extLst>
        </c:ser>
        <c:dLbls>
          <c:showLegendKey val="0"/>
          <c:showVal val="0"/>
          <c:showCatName val="0"/>
          <c:showSerName val="0"/>
          <c:showPercent val="0"/>
          <c:showBubbleSize val="0"/>
        </c:dLbls>
        <c:smooth val="0"/>
        <c:axId val="147683023"/>
        <c:axId val="146645279"/>
        <c:extLst>
          <c:ext xmlns:c15="http://schemas.microsoft.com/office/drawing/2012/chart" uri="{02D57815-91ED-43cb-92C2-25804820EDAC}">
            <c15:filteredLineSeries>
              <c15:ser>
                <c:idx val="5"/>
                <c:order val="1"/>
                <c:tx>
                  <c:v>Up (MOC)</c:v>
                </c:tx>
                <c:spPr>
                  <a:ln w="28575" cap="rnd">
                    <a:solidFill>
                      <a:schemeClr val="accent6"/>
                    </a:solidFill>
                    <a:prstDash val="sysDash"/>
                    <a:round/>
                  </a:ln>
                  <a:effectLst/>
                </c:spPr>
                <c:marker>
                  <c:symbol val="none"/>
                </c:marker>
                <c:val>
                  <c:numRef>
                    <c:extLst>
                      <c:ext uri="{02D57815-91ED-43cb-92C2-25804820EDAC}">
                        <c15:formulaRef>
                          <c15:sqref>'2025-Q2'!$AX$4:$AX$350</c15:sqref>
                        </c15:formulaRef>
                      </c:ext>
                    </c:extLst>
                    <c:numCache>
                      <c:formatCode>"$"#,##0</c:formatCode>
                      <c:ptCount val="34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59.839999999999918</c:v>
                      </c:pt>
                      <c:pt idx="40">
                        <c:v>59.839999999999918</c:v>
                      </c:pt>
                      <c:pt idx="41">
                        <c:v>59.839999999999918</c:v>
                      </c:pt>
                      <c:pt idx="42">
                        <c:v>59.839999999999918</c:v>
                      </c:pt>
                      <c:pt idx="43">
                        <c:v>59.839999999999918</c:v>
                      </c:pt>
                      <c:pt idx="44">
                        <c:v>59.839999999999918</c:v>
                      </c:pt>
                      <c:pt idx="45">
                        <c:v>59.839999999999918</c:v>
                      </c:pt>
                      <c:pt idx="46">
                        <c:v>59.839999999999918</c:v>
                      </c:pt>
                      <c:pt idx="47">
                        <c:v>-74.660000000000196</c:v>
                      </c:pt>
                      <c:pt idx="48">
                        <c:v>-74.660000000000196</c:v>
                      </c:pt>
                      <c:pt idx="49">
                        <c:v>-74.660000000000196</c:v>
                      </c:pt>
                      <c:pt idx="50">
                        <c:v>-74.660000000000196</c:v>
                      </c:pt>
                      <c:pt idx="51">
                        <c:v>-74.660000000000196</c:v>
                      </c:pt>
                      <c:pt idx="52">
                        <c:v>-74.660000000000196</c:v>
                      </c:pt>
                      <c:pt idx="53">
                        <c:v>-74.660000000000196</c:v>
                      </c:pt>
                      <c:pt idx="54">
                        <c:v>-74.660000000000196</c:v>
                      </c:pt>
                      <c:pt idx="55">
                        <c:v>-74.660000000000196</c:v>
                      </c:pt>
                      <c:pt idx="56">
                        <c:v>-74.660000000000196</c:v>
                      </c:pt>
                      <c:pt idx="57">
                        <c:v>-74.660000000000196</c:v>
                      </c:pt>
                      <c:pt idx="58">
                        <c:v>-74.660000000000196</c:v>
                      </c:pt>
                      <c:pt idx="59">
                        <c:v>-74.660000000000196</c:v>
                      </c:pt>
                      <c:pt idx="60">
                        <c:v>-74.660000000000196</c:v>
                      </c:pt>
                      <c:pt idx="61">
                        <c:v>-74.660000000000196</c:v>
                      </c:pt>
                      <c:pt idx="62">
                        <c:v>-74.660000000000196</c:v>
                      </c:pt>
                      <c:pt idx="63">
                        <c:v>-74.660000000000196</c:v>
                      </c:pt>
                      <c:pt idx="64">
                        <c:v>-74.660000000000196</c:v>
                      </c:pt>
                      <c:pt idx="65">
                        <c:v>-74.660000000000196</c:v>
                      </c:pt>
                      <c:pt idx="66">
                        <c:v>-74.660000000000196</c:v>
                      </c:pt>
                      <c:pt idx="67">
                        <c:v>-74.660000000000196</c:v>
                      </c:pt>
                      <c:pt idx="68">
                        <c:v>-74.660000000000196</c:v>
                      </c:pt>
                      <c:pt idx="69">
                        <c:v>-54.660000000000196</c:v>
                      </c:pt>
                      <c:pt idx="70">
                        <c:v>-54.660000000000196</c:v>
                      </c:pt>
                      <c:pt idx="71">
                        <c:v>-66.900000000000205</c:v>
                      </c:pt>
                      <c:pt idx="72">
                        <c:v>-66.900000000000205</c:v>
                      </c:pt>
                      <c:pt idx="73">
                        <c:v>-66.900000000000205</c:v>
                      </c:pt>
                      <c:pt idx="74">
                        <c:v>-66.900000000000205</c:v>
                      </c:pt>
                      <c:pt idx="75">
                        <c:v>-66.900000000000205</c:v>
                      </c:pt>
                      <c:pt idx="76">
                        <c:v>-66.900000000000205</c:v>
                      </c:pt>
                      <c:pt idx="77">
                        <c:v>-66.900000000000205</c:v>
                      </c:pt>
                      <c:pt idx="78">
                        <c:v>-66.900000000000205</c:v>
                      </c:pt>
                      <c:pt idx="79">
                        <c:v>-66.900000000000205</c:v>
                      </c:pt>
                      <c:pt idx="80">
                        <c:v>-66.900000000000205</c:v>
                      </c:pt>
                      <c:pt idx="81">
                        <c:v>-66.900000000000205</c:v>
                      </c:pt>
                      <c:pt idx="82">
                        <c:v>-66.900000000000205</c:v>
                      </c:pt>
                      <c:pt idx="83">
                        <c:v>-66.900000000000205</c:v>
                      </c:pt>
                      <c:pt idx="84">
                        <c:v>-66.900000000000205</c:v>
                      </c:pt>
                      <c:pt idx="85">
                        <c:v>-66.900000000000205</c:v>
                      </c:pt>
                      <c:pt idx="86">
                        <c:v>-66.900000000000205</c:v>
                      </c:pt>
                      <c:pt idx="87">
                        <c:v>-66.900000000000205</c:v>
                      </c:pt>
                      <c:pt idx="88">
                        <c:v>-66.900000000000205</c:v>
                      </c:pt>
                      <c:pt idx="89">
                        <c:v>-66.900000000000205</c:v>
                      </c:pt>
                      <c:pt idx="90">
                        <c:v>-66.900000000000205</c:v>
                      </c:pt>
                      <c:pt idx="91">
                        <c:v>-66.900000000000205</c:v>
                      </c:pt>
                      <c:pt idx="92">
                        <c:v>-66.900000000000205</c:v>
                      </c:pt>
                      <c:pt idx="93">
                        <c:v>-66.900000000000205</c:v>
                      </c:pt>
                      <c:pt idx="94">
                        <c:v>-66.900000000000205</c:v>
                      </c:pt>
                      <c:pt idx="95">
                        <c:v>-66.900000000000205</c:v>
                      </c:pt>
                      <c:pt idx="96">
                        <c:v>-66.900000000000205</c:v>
                      </c:pt>
                      <c:pt idx="97">
                        <c:v>-66.900000000000205</c:v>
                      </c:pt>
                      <c:pt idx="98">
                        <c:v>-66.900000000000205</c:v>
                      </c:pt>
                      <c:pt idx="99">
                        <c:v>-66.900000000000205</c:v>
                      </c:pt>
                      <c:pt idx="100">
                        <c:v>-66.900000000000205</c:v>
                      </c:pt>
                      <c:pt idx="101">
                        <c:v>-66.900000000000205</c:v>
                      </c:pt>
                      <c:pt idx="102">
                        <c:v>-66.900000000000205</c:v>
                      </c:pt>
                      <c:pt idx="103">
                        <c:v>-184.54000000000019</c:v>
                      </c:pt>
                      <c:pt idx="104">
                        <c:v>-184.54000000000019</c:v>
                      </c:pt>
                      <c:pt idx="105">
                        <c:v>-184.54000000000019</c:v>
                      </c:pt>
                      <c:pt idx="106">
                        <c:v>-173.34000000000015</c:v>
                      </c:pt>
                      <c:pt idx="107">
                        <c:v>-173.34000000000015</c:v>
                      </c:pt>
                      <c:pt idx="108">
                        <c:v>-173.34000000000015</c:v>
                      </c:pt>
                      <c:pt idx="109">
                        <c:v>-173.34000000000015</c:v>
                      </c:pt>
                      <c:pt idx="110">
                        <c:v>-173.34000000000015</c:v>
                      </c:pt>
                      <c:pt idx="111">
                        <c:v>-173.34000000000015</c:v>
                      </c:pt>
                      <c:pt idx="112">
                        <c:v>-173.34000000000015</c:v>
                      </c:pt>
                      <c:pt idx="113">
                        <c:v>-173.34000000000015</c:v>
                      </c:pt>
                      <c:pt idx="114">
                        <c:v>-173.34000000000015</c:v>
                      </c:pt>
                      <c:pt idx="115">
                        <c:v>-173.34000000000015</c:v>
                      </c:pt>
                      <c:pt idx="116">
                        <c:v>-173.34000000000015</c:v>
                      </c:pt>
                      <c:pt idx="117">
                        <c:v>-173.34000000000015</c:v>
                      </c:pt>
                      <c:pt idx="118">
                        <c:v>-173.34000000000015</c:v>
                      </c:pt>
                      <c:pt idx="119">
                        <c:v>-173.34000000000015</c:v>
                      </c:pt>
                      <c:pt idx="120">
                        <c:v>-173.34000000000015</c:v>
                      </c:pt>
                      <c:pt idx="121">
                        <c:v>-174.74000000000024</c:v>
                      </c:pt>
                      <c:pt idx="122">
                        <c:v>-174.74000000000024</c:v>
                      </c:pt>
                      <c:pt idx="123">
                        <c:v>-174.74000000000024</c:v>
                      </c:pt>
                      <c:pt idx="124">
                        <c:v>-174.74000000000024</c:v>
                      </c:pt>
                      <c:pt idx="125">
                        <c:v>-174.74000000000024</c:v>
                      </c:pt>
                      <c:pt idx="126">
                        <c:v>-174.74000000000024</c:v>
                      </c:pt>
                      <c:pt idx="127">
                        <c:v>-174.74000000000024</c:v>
                      </c:pt>
                      <c:pt idx="128">
                        <c:v>-174.74000000000024</c:v>
                      </c:pt>
                      <c:pt idx="129">
                        <c:v>-174.74000000000024</c:v>
                      </c:pt>
                      <c:pt idx="130">
                        <c:v>-174.74000000000024</c:v>
                      </c:pt>
                      <c:pt idx="131">
                        <c:v>-174.74000000000024</c:v>
                      </c:pt>
                      <c:pt idx="132">
                        <c:v>-174.74000000000024</c:v>
                      </c:pt>
                      <c:pt idx="133">
                        <c:v>-174.74000000000024</c:v>
                      </c:pt>
                      <c:pt idx="134">
                        <c:v>-174.74000000000024</c:v>
                      </c:pt>
                      <c:pt idx="135">
                        <c:v>-174.74000000000024</c:v>
                      </c:pt>
                      <c:pt idx="136">
                        <c:v>-174.74000000000024</c:v>
                      </c:pt>
                      <c:pt idx="137">
                        <c:v>-163.1400000000001</c:v>
                      </c:pt>
                      <c:pt idx="138">
                        <c:v>-163.1400000000001</c:v>
                      </c:pt>
                      <c:pt idx="139">
                        <c:v>-163.1400000000001</c:v>
                      </c:pt>
                      <c:pt idx="140">
                        <c:v>-163.1400000000001</c:v>
                      </c:pt>
                      <c:pt idx="141">
                        <c:v>-163.1400000000001</c:v>
                      </c:pt>
                      <c:pt idx="142">
                        <c:v>-163.1400000000001</c:v>
                      </c:pt>
                      <c:pt idx="143">
                        <c:v>-163.1400000000001</c:v>
                      </c:pt>
                      <c:pt idx="144">
                        <c:v>-163.1400000000001</c:v>
                      </c:pt>
                      <c:pt idx="145">
                        <c:v>-163.1400000000001</c:v>
                      </c:pt>
                      <c:pt idx="146">
                        <c:v>-163.1400000000001</c:v>
                      </c:pt>
                      <c:pt idx="147">
                        <c:v>-163.1400000000001</c:v>
                      </c:pt>
                      <c:pt idx="148">
                        <c:v>-163.1400000000001</c:v>
                      </c:pt>
                      <c:pt idx="149">
                        <c:v>-163.1400000000001</c:v>
                      </c:pt>
                      <c:pt idx="150">
                        <c:v>-163.1400000000001</c:v>
                      </c:pt>
                      <c:pt idx="151">
                        <c:v>-163.1400000000001</c:v>
                      </c:pt>
                      <c:pt idx="152">
                        <c:v>-163.1400000000001</c:v>
                      </c:pt>
                      <c:pt idx="153">
                        <c:v>-163.1400000000001</c:v>
                      </c:pt>
                      <c:pt idx="154">
                        <c:v>-163.1400000000001</c:v>
                      </c:pt>
                      <c:pt idx="155">
                        <c:v>-163.1400000000001</c:v>
                      </c:pt>
                      <c:pt idx="156">
                        <c:v>-163.1400000000001</c:v>
                      </c:pt>
                      <c:pt idx="157">
                        <c:v>-163.1400000000001</c:v>
                      </c:pt>
                      <c:pt idx="158">
                        <c:v>-163.1400000000001</c:v>
                      </c:pt>
                      <c:pt idx="159">
                        <c:v>-163.1400000000001</c:v>
                      </c:pt>
                      <c:pt idx="160">
                        <c:v>-163.1400000000001</c:v>
                      </c:pt>
                      <c:pt idx="161">
                        <c:v>-163.1400000000001</c:v>
                      </c:pt>
                      <c:pt idx="162">
                        <c:v>-163.1400000000001</c:v>
                      </c:pt>
                      <c:pt idx="163">
                        <c:v>-163.1400000000001</c:v>
                      </c:pt>
                      <c:pt idx="164">
                        <c:v>-163.1400000000001</c:v>
                      </c:pt>
                      <c:pt idx="165">
                        <c:v>-163.1400000000001</c:v>
                      </c:pt>
                      <c:pt idx="166">
                        <c:v>-163.1400000000001</c:v>
                      </c:pt>
                      <c:pt idx="167">
                        <c:v>-163.1400000000001</c:v>
                      </c:pt>
                      <c:pt idx="168">
                        <c:v>-163.1400000000001</c:v>
                      </c:pt>
                      <c:pt idx="169">
                        <c:v>-163.1400000000001</c:v>
                      </c:pt>
                      <c:pt idx="170">
                        <c:v>-163.1400000000001</c:v>
                      </c:pt>
                      <c:pt idx="171">
                        <c:v>-163.1400000000001</c:v>
                      </c:pt>
                      <c:pt idx="172">
                        <c:v>-163.1400000000001</c:v>
                      </c:pt>
                      <c:pt idx="173">
                        <c:v>-163.1400000000001</c:v>
                      </c:pt>
                      <c:pt idx="174">
                        <c:v>-163.1400000000001</c:v>
                      </c:pt>
                      <c:pt idx="175">
                        <c:v>-163.1400000000001</c:v>
                      </c:pt>
                      <c:pt idx="176">
                        <c:v>-163.1400000000001</c:v>
                      </c:pt>
                      <c:pt idx="177">
                        <c:v>-163.1400000000001</c:v>
                      </c:pt>
                      <c:pt idx="178">
                        <c:v>-163.1400000000001</c:v>
                      </c:pt>
                      <c:pt idx="179">
                        <c:v>-163.1400000000001</c:v>
                      </c:pt>
                      <c:pt idx="180">
                        <c:v>-163.1400000000001</c:v>
                      </c:pt>
                      <c:pt idx="181">
                        <c:v>-163.1400000000001</c:v>
                      </c:pt>
                      <c:pt idx="182">
                        <c:v>-163.1400000000001</c:v>
                      </c:pt>
                      <c:pt idx="183">
                        <c:v>-163.1400000000001</c:v>
                      </c:pt>
                      <c:pt idx="184">
                        <c:v>-163.1400000000001</c:v>
                      </c:pt>
                      <c:pt idx="185">
                        <c:v>-163.1400000000001</c:v>
                      </c:pt>
                      <c:pt idx="186">
                        <c:v>-163.1400000000001</c:v>
                      </c:pt>
                      <c:pt idx="187">
                        <c:v>-163.1400000000001</c:v>
                      </c:pt>
                      <c:pt idx="188">
                        <c:v>-163.1400000000001</c:v>
                      </c:pt>
                      <c:pt idx="189">
                        <c:v>-163.1400000000001</c:v>
                      </c:pt>
                      <c:pt idx="190">
                        <c:v>-163.1400000000001</c:v>
                      </c:pt>
                      <c:pt idx="191">
                        <c:v>-163.1400000000001</c:v>
                      </c:pt>
                      <c:pt idx="192">
                        <c:v>-163.1400000000001</c:v>
                      </c:pt>
                      <c:pt idx="193">
                        <c:v>-163.1400000000001</c:v>
                      </c:pt>
                      <c:pt idx="194">
                        <c:v>-163.1400000000001</c:v>
                      </c:pt>
                      <c:pt idx="195">
                        <c:v>-163.1400000000001</c:v>
                      </c:pt>
                      <c:pt idx="196">
                        <c:v>-163.1400000000001</c:v>
                      </c:pt>
                      <c:pt idx="197">
                        <c:v>-163.1400000000001</c:v>
                      </c:pt>
                      <c:pt idx="198">
                        <c:v>-163.1400000000001</c:v>
                      </c:pt>
                      <c:pt idx="199">
                        <c:v>-163.1400000000001</c:v>
                      </c:pt>
                      <c:pt idx="200">
                        <c:v>-181.17000000000007</c:v>
                      </c:pt>
                      <c:pt idx="201">
                        <c:v>-181.17000000000007</c:v>
                      </c:pt>
                      <c:pt idx="202">
                        <c:v>-181.17000000000007</c:v>
                      </c:pt>
                      <c:pt idx="203">
                        <c:v>-151.49</c:v>
                      </c:pt>
                      <c:pt idx="204">
                        <c:v>-151.49</c:v>
                      </c:pt>
                      <c:pt idx="205">
                        <c:v>-151.49</c:v>
                      </c:pt>
                      <c:pt idx="206">
                        <c:v>-151.49</c:v>
                      </c:pt>
                      <c:pt idx="207">
                        <c:v>-151.49</c:v>
                      </c:pt>
                      <c:pt idx="208">
                        <c:v>-151.49</c:v>
                      </c:pt>
                      <c:pt idx="209">
                        <c:v>-151.49</c:v>
                      </c:pt>
                      <c:pt idx="210">
                        <c:v>-151.49</c:v>
                      </c:pt>
                      <c:pt idx="211">
                        <c:v>-151.49</c:v>
                      </c:pt>
                      <c:pt idx="212">
                        <c:v>-151.49</c:v>
                      </c:pt>
                      <c:pt idx="213">
                        <c:v>-151.49</c:v>
                      </c:pt>
                      <c:pt idx="214">
                        <c:v>-151.49</c:v>
                      </c:pt>
                      <c:pt idx="215">
                        <c:v>-151.49</c:v>
                      </c:pt>
                      <c:pt idx="216">
                        <c:v>-151.49</c:v>
                      </c:pt>
                      <c:pt idx="217">
                        <c:v>-85.340000000000032</c:v>
                      </c:pt>
                      <c:pt idx="218">
                        <c:v>-85.340000000000032</c:v>
                      </c:pt>
                      <c:pt idx="219">
                        <c:v>-85.340000000000032</c:v>
                      </c:pt>
                      <c:pt idx="220">
                        <c:v>-85.340000000000032</c:v>
                      </c:pt>
                      <c:pt idx="221">
                        <c:v>-85.340000000000032</c:v>
                      </c:pt>
                      <c:pt idx="222">
                        <c:v>-85.340000000000032</c:v>
                      </c:pt>
                      <c:pt idx="223">
                        <c:v>-142.90000000000009</c:v>
                      </c:pt>
                      <c:pt idx="224">
                        <c:v>-142.90000000000009</c:v>
                      </c:pt>
                      <c:pt idx="225">
                        <c:v>-142.90000000000009</c:v>
                      </c:pt>
                      <c:pt idx="226">
                        <c:v>-142.90000000000009</c:v>
                      </c:pt>
                      <c:pt idx="227">
                        <c:v>-142.90000000000009</c:v>
                      </c:pt>
                      <c:pt idx="228">
                        <c:v>-142.90000000000009</c:v>
                      </c:pt>
                      <c:pt idx="229">
                        <c:v>-142.90000000000009</c:v>
                      </c:pt>
                      <c:pt idx="230">
                        <c:v>-142.90000000000009</c:v>
                      </c:pt>
                      <c:pt idx="231">
                        <c:v>-142.90000000000009</c:v>
                      </c:pt>
                      <c:pt idx="232">
                        <c:v>-142.90000000000009</c:v>
                      </c:pt>
                      <c:pt idx="233">
                        <c:v>-142.90000000000009</c:v>
                      </c:pt>
                      <c:pt idx="234">
                        <c:v>-142.90000000000009</c:v>
                      </c:pt>
                      <c:pt idx="235">
                        <c:v>-142.90000000000009</c:v>
                      </c:pt>
                      <c:pt idx="236">
                        <c:v>-142.90000000000009</c:v>
                      </c:pt>
                      <c:pt idx="237">
                        <c:v>-142.90000000000009</c:v>
                      </c:pt>
                      <c:pt idx="238">
                        <c:v>-142.90000000000009</c:v>
                      </c:pt>
                      <c:pt idx="239">
                        <c:v>-142.90000000000009</c:v>
                      </c:pt>
                      <c:pt idx="240">
                        <c:v>-132.30000000000018</c:v>
                      </c:pt>
                      <c:pt idx="241">
                        <c:v>-132.30000000000018</c:v>
                      </c:pt>
                      <c:pt idx="242">
                        <c:v>-132.30000000000018</c:v>
                      </c:pt>
                      <c:pt idx="243">
                        <c:v>-132.30000000000018</c:v>
                      </c:pt>
                      <c:pt idx="244">
                        <c:v>-132.30000000000018</c:v>
                      </c:pt>
                      <c:pt idx="245">
                        <c:v>-132.30000000000018</c:v>
                      </c:pt>
                      <c:pt idx="246">
                        <c:v>-132.30000000000018</c:v>
                      </c:pt>
                      <c:pt idx="247">
                        <c:v>-132.30000000000018</c:v>
                      </c:pt>
                      <c:pt idx="248">
                        <c:v>-132.30000000000018</c:v>
                      </c:pt>
                      <c:pt idx="249">
                        <c:v>-132.30000000000018</c:v>
                      </c:pt>
                      <c:pt idx="250">
                        <c:v>-132.30000000000018</c:v>
                      </c:pt>
                      <c:pt idx="251">
                        <c:v>-132.30000000000018</c:v>
                      </c:pt>
                      <c:pt idx="252">
                        <c:v>-132.30000000000018</c:v>
                      </c:pt>
                      <c:pt idx="253">
                        <c:v>-132.30000000000018</c:v>
                      </c:pt>
                      <c:pt idx="254">
                        <c:v>-132.30000000000018</c:v>
                      </c:pt>
                      <c:pt idx="255">
                        <c:v>-132.30000000000018</c:v>
                      </c:pt>
                      <c:pt idx="256">
                        <c:v>-132.30000000000018</c:v>
                      </c:pt>
                      <c:pt idx="257">
                        <c:v>-269.63053243920194</c:v>
                      </c:pt>
                      <c:pt idx="258">
                        <c:v>-299.03053243920203</c:v>
                      </c:pt>
                      <c:pt idx="259">
                        <c:v>-299.03053243920203</c:v>
                      </c:pt>
                      <c:pt idx="260">
                        <c:v>-299.03053243920203</c:v>
                      </c:pt>
                      <c:pt idx="261">
                        <c:v>-299.03053243920203</c:v>
                      </c:pt>
                      <c:pt idx="262">
                        <c:v>-299.03053243920203</c:v>
                      </c:pt>
                      <c:pt idx="263">
                        <c:v>-299.03053243920203</c:v>
                      </c:pt>
                      <c:pt idx="264">
                        <c:v>-299.03053243920203</c:v>
                      </c:pt>
                      <c:pt idx="265">
                        <c:v>-299.03053243920203</c:v>
                      </c:pt>
                      <c:pt idx="266">
                        <c:v>-299.03053243920203</c:v>
                      </c:pt>
                      <c:pt idx="267">
                        <c:v>-299.03053243920203</c:v>
                      </c:pt>
                      <c:pt idx="268">
                        <c:v>-299.03053243920203</c:v>
                      </c:pt>
                      <c:pt idx="269">
                        <c:v>-299.03053243920203</c:v>
                      </c:pt>
                      <c:pt idx="270">
                        <c:v>-299.03053243920203</c:v>
                      </c:pt>
                      <c:pt idx="271">
                        <c:v>-299.03053243920203</c:v>
                      </c:pt>
                      <c:pt idx="272">
                        <c:v>-299.03053243920203</c:v>
                      </c:pt>
                      <c:pt idx="273">
                        <c:v>-385.38106797961109</c:v>
                      </c:pt>
                      <c:pt idx="274">
                        <c:v>-385.38106797961109</c:v>
                      </c:pt>
                      <c:pt idx="275">
                        <c:v>-385.38106797961109</c:v>
                      </c:pt>
                      <c:pt idx="276">
                        <c:v>-385.38106797961109</c:v>
                      </c:pt>
                      <c:pt idx="277">
                        <c:v>-377.70106797961103</c:v>
                      </c:pt>
                      <c:pt idx="278">
                        <c:v>-377.70106797961103</c:v>
                      </c:pt>
                      <c:pt idx="279">
                        <c:v>-377.70106797961103</c:v>
                      </c:pt>
                      <c:pt idx="280">
                        <c:v>-377.70106797961103</c:v>
                      </c:pt>
                      <c:pt idx="281">
                        <c:v>-377.70106797961103</c:v>
                      </c:pt>
                      <c:pt idx="282">
                        <c:v>-377.70106797961103</c:v>
                      </c:pt>
                      <c:pt idx="283">
                        <c:v>-377.70106797961103</c:v>
                      </c:pt>
                      <c:pt idx="284">
                        <c:v>-377.70106797961103</c:v>
                      </c:pt>
                      <c:pt idx="285">
                        <c:v>-377.70106797961103</c:v>
                      </c:pt>
                      <c:pt idx="286">
                        <c:v>-377.70106797961103</c:v>
                      </c:pt>
                      <c:pt idx="287">
                        <c:v>-377.70106797961103</c:v>
                      </c:pt>
                      <c:pt idx="288">
                        <c:v>-377.70106797961103</c:v>
                      </c:pt>
                      <c:pt idx="289">
                        <c:v>-377.70106797961103</c:v>
                      </c:pt>
                      <c:pt idx="290">
                        <c:v>-366.42106797961105</c:v>
                      </c:pt>
                      <c:pt idx="291">
                        <c:v>-366.42106797961105</c:v>
                      </c:pt>
                      <c:pt idx="292">
                        <c:v>-366.42106797961105</c:v>
                      </c:pt>
                      <c:pt idx="293">
                        <c:v>-366.42106797961105</c:v>
                      </c:pt>
                      <c:pt idx="294">
                        <c:v>-366.42106797961105</c:v>
                      </c:pt>
                      <c:pt idx="295">
                        <c:v>-394.76106797961097</c:v>
                      </c:pt>
                      <c:pt idx="296">
                        <c:v>-394.76106797961097</c:v>
                      </c:pt>
                      <c:pt idx="297">
                        <c:v>-339.68106797961104</c:v>
                      </c:pt>
                      <c:pt idx="298">
                        <c:v>-339.68106797961104</c:v>
                      </c:pt>
                      <c:pt idx="299">
                        <c:v>-339.68106797961104</c:v>
                      </c:pt>
                      <c:pt idx="300">
                        <c:v>-339.68106797961104</c:v>
                      </c:pt>
                      <c:pt idx="301">
                        <c:v>-339.68106797961104</c:v>
                      </c:pt>
                      <c:pt idx="302">
                        <c:v>-339.68106797961104</c:v>
                      </c:pt>
                      <c:pt idx="303">
                        <c:v>-339.68106797961104</c:v>
                      </c:pt>
                      <c:pt idx="304">
                        <c:v>-438.46106797961124</c:v>
                      </c:pt>
                      <c:pt idx="305">
                        <c:v>-438.46106797961124</c:v>
                      </c:pt>
                      <c:pt idx="306">
                        <c:v>-438.46106797961124</c:v>
                      </c:pt>
                      <c:pt idx="307">
                        <c:v>-438.46106797961124</c:v>
                      </c:pt>
                      <c:pt idx="308">
                        <c:v>-438.46106797961124</c:v>
                      </c:pt>
                      <c:pt idx="309">
                        <c:v>-390.96106797961124</c:v>
                      </c:pt>
                      <c:pt idx="310">
                        <c:v>-390.96106797961124</c:v>
                      </c:pt>
                      <c:pt idx="311">
                        <c:v>-390.96106797961124</c:v>
                      </c:pt>
                      <c:pt idx="312">
                        <c:v>-390.96106797961124</c:v>
                      </c:pt>
                      <c:pt idx="313">
                        <c:v>-349.11106797961111</c:v>
                      </c:pt>
                      <c:pt idx="314">
                        <c:v>-349.11106797961111</c:v>
                      </c:pt>
                      <c:pt idx="315">
                        <c:v>-349.11106797961111</c:v>
                      </c:pt>
                      <c:pt idx="316">
                        <c:v>-342.69106797961103</c:v>
                      </c:pt>
                      <c:pt idx="317">
                        <c:v>-340.17106797961105</c:v>
                      </c:pt>
                      <c:pt idx="318">
                        <c:v>-340.17106797961105</c:v>
                      </c:pt>
                      <c:pt idx="319">
                        <c:v>-340.17106797961105</c:v>
                      </c:pt>
                      <c:pt idx="320">
                        <c:v>-340.17106797961105</c:v>
                      </c:pt>
                      <c:pt idx="321">
                        <c:v>-340.17106797961105</c:v>
                      </c:pt>
                      <c:pt idx="322">
                        <c:v>-340.17106797961105</c:v>
                      </c:pt>
                      <c:pt idx="323">
                        <c:v>-340.17106797961105</c:v>
                      </c:pt>
                      <c:pt idx="324">
                        <c:v>-340.17106797961105</c:v>
                      </c:pt>
                      <c:pt idx="325">
                        <c:v>-340.17106797961105</c:v>
                      </c:pt>
                      <c:pt idx="326">
                        <c:v>-340.17106797961105</c:v>
                      </c:pt>
                      <c:pt idx="327">
                        <c:v>-340.17106797961105</c:v>
                      </c:pt>
                      <c:pt idx="328">
                        <c:v>-340.17106797961105</c:v>
                      </c:pt>
                      <c:pt idx="329">
                        <c:v>-240.66106797961083</c:v>
                      </c:pt>
                      <c:pt idx="330">
                        <c:v>-240.66106797961083</c:v>
                      </c:pt>
                      <c:pt idx="331">
                        <c:v>-240.66106797961083</c:v>
                      </c:pt>
                      <c:pt idx="332">
                        <c:v>-240.66106797961083</c:v>
                      </c:pt>
                      <c:pt idx="333">
                        <c:v>-240.66106797961083</c:v>
                      </c:pt>
                      <c:pt idx="334">
                        <c:v>-178.13106797961063</c:v>
                      </c:pt>
                      <c:pt idx="335">
                        <c:v>-178.13106797961063</c:v>
                      </c:pt>
                      <c:pt idx="336">
                        <c:v>-178.13106797961063</c:v>
                      </c:pt>
                      <c:pt idx="337">
                        <c:v>-178.13106797961063</c:v>
                      </c:pt>
                      <c:pt idx="338">
                        <c:v>-206.13106797961063</c:v>
                      </c:pt>
                      <c:pt idx="339">
                        <c:v>-206.13106797961063</c:v>
                      </c:pt>
                      <c:pt idx="340">
                        <c:v>-206.13106797961063</c:v>
                      </c:pt>
                      <c:pt idx="341">
                        <c:v>-203.43106797961059</c:v>
                      </c:pt>
                      <c:pt idx="342">
                        <c:v>-203.43106797961059</c:v>
                      </c:pt>
                      <c:pt idx="343">
                        <c:v>-203.43106797961059</c:v>
                      </c:pt>
                      <c:pt idx="344">
                        <c:v>-203.43106797961059</c:v>
                      </c:pt>
                      <c:pt idx="345">
                        <c:v>-295.97106797961055</c:v>
                      </c:pt>
                      <c:pt idx="346">
                        <c:v>-295.97106797961055</c:v>
                      </c:pt>
                    </c:numCache>
                  </c:numRef>
                </c:val>
                <c:smooth val="0"/>
                <c:extLst>
                  <c:ext xmlns:c16="http://schemas.microsoft.com/office/drawing/2014/chart" uri="{C3380CC4-5D6E-409C-BE32-E72D297353CC}">
                    <c16:uniqueId val="{00000004-EBC8-4142-B284-300638C218BD}"/>
                  </c:ext>
                </c:extLst>
              </c15:ser>
            </c15:filteredLineSeries>
            <c15:filteredLineSeries>
              <c15:ser>
                <c:idx val="4"/>
                <c:order val="4"/>
                <c:tx>
                  <c:v>SW (MOC)</c:v>
                </c:tx>
                <c:spPr>
                  <a:ln w="28575" cap="rnd">
                    <a:solidFill>
                      <a:schemeClr val="accent4">
                        <a:lumMod val="60000"/>
                        <a:lumOff val="40000"/>
                      </a:schemeClr>
                    </a:solidFill>
                    <a:prstDash val="sysDash"/>
                    <a:round/>
                  </a:ln>
                  <a:effectLst/>
                </c:spPr>
                <c:marker>
                  <c:symbol val="none"/>
                </c:marker>
                <c:val>
                  <c:numRef>
                    <c:extLst xmlns:c15="http://schemas.microsoft.com/office/drawing/2012/chart">
                      <c:ext xmlns:c15="http://schemas.microsoft.com/office/drawing/2012/chart" uri="{02D57815-91ED-43cb-92C2-25804820EDAC}">
                        <c15:formulaRef>
                          <c15:sqref>'2025-Q2'!$AV$4:$AV$350</c15:sqref>
                        </c15:formulaRef>
                      </c:ext>
                    </c:extLst>
                    <c:numCache>
                      <c:formatCode>"$"#,##0</c:formatCode>
                      <c:ptCount val="347"/>
                      <c:pt idx="0">
                        <c:v>0</c:v>
                      </c:pt>
                      <c:pt idx="1">
                        <c:v>0</c:v>
                      </c:pt>
                      <c:pt idx="2">
                        <c:v>45.449999999999818</c:v>
                      </c:pt>
                      <c:pt idx="3">
                        <c:v>35.25</c:v>
                      </c:pt>
                      <c:pt idx="4">
                        <c:v>55.25</c:v>
                      </c:pt>
                      <c:pt idx="5">
                        <c:v>70.090000000000146</c:v>
                      </c:pt>
                      <c:pt idx="6">
                        <c:v>85.490000000000236</c:v>
                      </c:pt>
                      <c:pt idx="7">
                        <c:v>158.24</c:v>
                      </c:pt>
                      <c:pt idx="8">
                        <c:v>177.32000000000005</c:v>
                      </c:pt>
                      <c:pt idx="9">
                        <c:v>177.32000000000005</c:v>
                      </c:pt>
                      <c:pt idx="10">
                        <c:v>197.30000000000007</c:v>
                      </c:pt>
                      <c:pt idx="11">
                        <c:v>236.89999999999998</c:v>
                      </c:pt>
                      <c:pt idx="12">
                        <c:v>236.89999999999998</c:v>
                      </c:pt>
                      <c:pt idx="13">
                        <c:v>231.72000000000014</c:v>
                      </c:pt>
                      <c:pt idx="14">
                        <c:v>231.72000000000014</c:v>
                      </c:pt>
                      <c:pt idx="15">
                        <c:v>231.54000000000008</c:v>
                      </c:pt>
                      <c:pt idx="16">
                        <c:v>231.54000000000008</c:v>
                      </c:pt>
                      <c:pt idx="17">
                        <c:v>231.54000000000008</c:v>
                      </c:pt>
                      <c:pt idx="18">
                        <c:v>212.34000000000003</c:v>
                      </c:pt>
                      <c:pt idx="19">
                        <c:v>243.65999999999997</c:v>
                      </c:pt>
                      <c:pt idx="20">
                        <c:v>256.64966594568602</c:v>
                      </c:pt>
                      <c:pt idx="21">
                        <c:v>252.56795937946242</c:v>
                      </c:pt>
                      <c:pt idx="22">
                        <c:v>252.56795937946242</c:v>
                      </c:pt>
                      <c:pt idx="23">
                        <c:v>258.96870149449035</c:v>
                      </c:pt>
                      <c:pt idx="24">
                        <c:v>281.78870149449051</c:v>
                      </c:pt>
                      <c:pt idx="25">
                        <c:v>19.92870149449061</c:v>
                      </c:pt>
                      <c:pt idx="26">
                        <c:v>19.92870149449061</c:v>
                      </c:pt>
                      <c:pt idx="27">
                        <c:v>19.92870149449061</c:v>
                      </c:pt>
                      <c:pt idx="28">
                        <c:v>19.92870149449061</c:v>
                      </c:pt>
                      <c:pt idx="29">
                        <c:v>26.67870149449061</c:v>
                      </c:pt>
                      <c:pt idx="30">
                        <c:v>26.67870149449061</c:v>
                      </c:pt>
                      <c:pt idx="31">
                        <c:v>26.67870149449061</c:v>
                      </c:pt>
                      <c:pt idx="32">
                        <c:v>26.67870149449061</c:v>
                      </c:pt>
                      <c:pt idx="33">
                        <c:v>18.628701494490656</c:v>
                      </c:pt>
                      <c:pt idx="34">
                        <c:v>-37.621298505509344</c:v>
                      </c:pt>
                      <c:pt idx="35">
                        <c:v>-117.30129850550941</c:v>
                      </c:pt>
                      <c:pt idx="36">
                        <c:v>-117.30129850550941</c:v>
                      </c:pt>
                      <c:pt idx="37">
                        <c:v>-136.55129850550941</c:v>
                      </c:pt>
                      <c:pt idx="38">
                        <c:v>-121.67129850550941</c:v>
                      </c:pt>
                      <c:pt idx="39">
                        <c:v>-121.67129850550941</c:v>
                      </c:pt>
                      <c:pt idx="40">
                        <c:v>-121.67129850550941</c:v>
                      </c:pt>
                      <c:pt idx="41">
                        <c:v>-121.67129850550941</c:v>
                      </c:pt>
                      <c:pt idx="42">
                        <c:v>-121.67129850550941</c:v>
                      </c:pt>
                      <c:pt idx="43">
                        <c:v>-45.861298505509467</c:v>
                      </c:pt>
                      <c:pt idx="44">
                        <c:v>-39.361298505509467</c:v>
                      </c:pt>
                      <c:pt idx="45">
                        <c:v>-28.111298505509467</c:v>
                      </c:pt>
                      <c:pt idx="46">
                        <c:v>-28.111298505509467</c:v>
                      </c:pt>
                      <c:pt idx="47">
                        <c:v>-28.111298505509467</c:v>
                      </c:pt>
                      <c:pt idx="48">
                        <c:v>-28.111298505509467</c:v>
                      </c:pt>
                      <c:pt idx="49">
                        <c:v>-142.53968337706056</c:v>
                      </c:pt>
                      <c:pt idx="50">
                        <c:v>-160.4474473522157</c:v>
                      </c:pt>
                      <c:pt idx="51">
                        <c:v>-68.287447352215622</c:v>
                      </c:pt>
                      <c:pt idx="52">
                        <c:v>-68.287447352215622</c:v>
                      </c:pt>
                      <c:pt idx="53">
                        <c:v>-33.00744735221565</c:v>
                      </c:pt>
                      <c:pt idx="54">
                        <c:v>-14.627447352215654</c:v>
                      </c:pt>
                      <c:pt idx="55">
                        <c:v>-14.627447352215654</c:v>
                      </c:pt>
                      <c:pt idx="56">
                        <c:v>-64.227447352215677</c:v>
                      </c:pt>
                      <c:pt idx="57">
                        <c:v>-64.227447352215677</c:v>
                      </c:pt>
                      <c:pt idx="58">
                        <c:v>-32.927447352215609</c:v>
                      </c:pt>
                      <c:pt idx="59">
                        <c:v>5.1725526477844141</c:v>
                      </c:pt>
                      <c:pt idx="60">
                        <c:v>7.8725526477844596</c:v>
                      </c:pt>
                      <c:pt idx="61">
                        <c:v>37.932552647784405</c:v>
                      </c:pt>
                      <c:pt idx="62">
                        <c:v>102.73255264778447</c:v>
                      </c:pt>
                      <c:pt idx="63">
                        <c:v>118.39255264778456</c:v>
                      </c:pt>
                      <c:pt idx="64">
                        <c:v>125.29255264778453</c:v>
                      </c:pt>
                      <c:pt idx="65">
                        <c:v>174.54255264778453</c:v>
                      </c:pt>
                      <c:pt idx="66">
                        <c:v>174.54255264778453</c:v>
                      </c:pt>
                      <c:pt idx="67">
                        <c:v>174.54255264778453</c:v>
                      </c:pt>
                      <c:pt idx="68">
                        <c:v>174.54255264778453</c:v>
                      </c:pt>
                      <c:pt idx="69">
                        <c:v>174.54255264778453</c:v>
                      </c:pt>
                      <c:pt idx="70">
                        <c:v>174.54255264778453</c:v>
                      </c:pt>
                      <c:pt idx="71">
                        <c:v>174.54255264778453</c:v>
                      </c:pt>
                      <c:pt idx="72">
                        <c:v>215.38255264778456</c:v>
                      </c:pt>
                      <c:pt idx="73">
                        <c:v>188.17255264778453</c:v>
                      </c:pt>
                      <c:pt idx="74">
                        <c:v>219.13255264778456</c:v>
                      </c:pt>
                      <c:pt idx="75">
                        <c:v>165.93255264778452</c:v>
                      </c:pt>
                      <c:pt idx="76">
                        <c:v>215.8325526477845</c:v>
                      </c:pt>
                      <c:pt idx="77">
                        <c:v>259.68255264778452</c:v>
                      </c:pt>
                      <c:pt idx="78">
                        <c:v>195.08255264778461</c:v>
                      </c:pt>
                      <c:pt idx="79">
                        <c:v>195.08255264778461</c:v>
                      </c:pt>
                      <c:pt idx="80">
                        <c:v>208.3425526477846</c:v>
                      </c:pt>
                      <c:pt idx="81">
                        <c:v>208.3425526477846</c:v>
                      </c:pt>
                      <c:pt idx="82">
                        <c:v>208.3425526477846</c:v>
                      </c:pt>
                      <c:pt idx="83">
                        <c:v>236.54255264778465</c:v>
                      </c:pt>
                      <c:pt idx="84">
                        <c:v>75.742552647784692</c:v>
                      </c:pt>
                      <c:pt idx="85">
                        <c:v>75.742552647784692</c:v>
                      </c:pt>
                      <c:pt idx="86">
                        <c:v>44.742552647784692</c:v>
                      </c:pt>
                      <c:pt idx="87">
                        <c:v>44.742552647784692</c:v>
                      </c:pt>
                      <c:pt idx="88">
                        <c:v>44.742552647784692</c:v>
                      </c:pt>
                      <c:pt idx="89">
                        <c:v>59.622552647784573</c:v>
                      </c:pt>
                      <c:pt idx="90">
                        <c:v>59.622552647784573</c:v>
                      </c:pt>
                      <c:pt idx="91">
                        <c:v>59.622552647784573</c:v>
                      </c:pt>
                      <c:pt idx="92">
                        <c:v>59.622552647784573</c:v>
                      </c:pt>
                      <c:pt idx="93">
                        <c:v>30.959567043367201</c:v>
                      </c:pt>
                      <c:pt idx="94">
                        <c:v>47.809567043367224</c:v>
                      </c:pt>
                      <c:pt idx="95">
                        <c:v>47.809567043367224</c:v>
                      </c:pt>
                      <c:pt idx="96">
                        <c:v>47.809567043367224</c:v>
                      </c:pt>
                      <c:pt idx="97">
                        <c:v>47.809567043367224</c:v>
                      </c:pt>
                      <c:pt idx="98">
                        <c:v>47.809567043367224</c:v>
                      </c:pt>
                      <c:pt idx="99">
                        <c:v>-49.590432956632867</c:v>
                      </c:pt>
                      <c:pt idx="100">
                        <c:v>-49.590432956632867</c:v>
                      </c:pt>
                      <c:pt idx="101">
                        <c:v>-67.840432956632867</c:v>
                      </c:pt>
                      <c:pt idx="102">
                        <c:v>-68.000432956632835</c:v>
                      </c:pt>
                      <c:pt idx="103">
                        <c:v>-68.000432956632835</c:v>
                      </c:pt>
                      <c:pt idx="104">
                        <c:v>-71.840432956632753</c:v>
                      </c:pt>
                      <c:pt idx="105">
                        <c:v>-71.840432956632753</c:v>
                      </c:pt>
                      <c:pt idx="106">
                        <c:v>-71.840432956632753</c:v>
                      </c:pt>
                      <c:pt idx="107">
                        <c:v>-136.64043295663271</c:v>
                      </c:pt>
                      <c:pt idx="108">
                        <c:v>-122.36043295663274</c:v>
                      </c:pt>
                      <c:pt idx="109">
                        <c:v>-176.00043295663284</c:v>
                      </c:pt>
                      <c:pt idx="110">
                        <c:v>-176.00043295663284</c:v>
                      </c:pt>
                      <c:pt idx="111">
                        <c:v>-176.00043295663284</c:v>
                      </c:pt>
                      <c:pt idx="112">
                        <c:v>-216.47043295663286</c:v>
                      </c:pt>
                      <c:pt idx="113">
                        <c:v>-188.0787935487491</c:v>
                      </c:pt>
                      <c:pt idx="114">
                        <c:v>-175.97879354874919</c:v>
                      </c:pt>
                      <c:pt idx="115">
                        <c:v>-61.018793548749386</c:v>
                      </c:pt>
                      <c:pt idx="116">
                        <c:v>-61.018793548749386</c:v>
                      </c:pt>
                      <c:pt idx="117">
                        <c:v>-61.018793548749386</c:v>
                      </c:pt>
                      <c:pt idx="118">
                        <c:v>-25.19879354874945</c:v>
                      </c:pt>
                      <c:pt idx="119">
                        <c:v>-31.378793548749513</c:v>
                      </c:pt>
                      <c:pt idx="120">
                        <c:v>-31.378793548749513</c:v>
                      </c:pt>
                      <c:pt idx="121">
                        <c:v>-31.378793548749513</c:v>
                      </c:pt>
                      <c:pt idx="122">
                        <c:v>-100.2787935487496</c:v>
                      </c:pt>
                      <c:pt idx="123">
                        <c:v>-109.67879354874947</c:v>
                      </c:pt>
                      <c:pt idx="124">
                        <c:v>-109.67879354874947</c:v>
                      </c:pt>
                      <c:pt idx="125">
                        <c:v>-43.758793548749395</c:v>
                      </c:pt>
                      <c:pt idx="126">
                        <c:v>-42.408793548749259</c:v>
                      </c:pt>
                      <c:pt idx="127">
                        <c:v>-42.408793548749259</c:v>
                      </c:pt>
                      <c:pt idx="128">
                        <c:v>-18.358793548749304</c:v>
                      </c:pt>
                      <c:pt idx="129">
                        <c:v>-18.358793548749304</c:v>
                      </c:pt>
                      <c:pt idx="130">
                        <c:v>24.921206451250669</c:v>
                      </c:pt>
                      <c:pt idx="131">
                        <c:v>24.921206451250669</c:v>
                      </c:pt>
                      <c:pt idx="132">
                        <c:v>18.921206451250555</c:v>
                      </c:pt>
                      <c:pt idx="133">
                        <c:v>18.921206451250555</c:v>
                      </c:pt>
                      <c:pt idx="134">
                        <c:v>18.921206451250555</c:v>
                      </c:pt>
                      <c:pt idx="135">
                        <c:v>18.921206451250555</c:v>
                      </c:pt>
                      <c:pt idx="136">
                        <c:v>18.921206451250555</c:v>
                      </c:pt>
                      <c:pt idx="137">
                        <c:v>18.921206451250555</c:v>
                      </c:pt>
                      <c:pt idx="138">
                        <c:v>18.921206451250555</c:v>
                      </c:pt>
                      <c:pt idx="139">
                        <c:v>18.921206451250555</c:v>
                      </c:pt>
                      <c:pt idx="140">
                        <c:v>26.761206451250359</c:v>
                      </c:pt>
                      <c:pt idx="141">
                        <c:v>26.761206451250359</c:v>
                      </c:pt>
                      <c:pt idx="142">
                        <c:v>26.761206451250359</c:v>
                      </c:pt>
                      <c:pt idx="143">
                        <c:v>26.761206451250359</c:v>
                      </c:pt>
                      <c:pt idx="144">
                        <c:v>26.761206451250359</c:v>
                      </c:pt>
                      <c:pt idx="145">
                        <c:v>26.761206451250359</c:v>
                      </c:pt>
                      <c:pt idx="146">
                        <c:v>26.761206451250359</c:v>
                      </c:pt>
                      <c:pt idx="147">
                        <c:v>26.761206451250359</c:v>
                      </c:pt>
                      <c:pt idx="148">
                        <c:v>32.011206451250359</c:v>
                      </c:pt>
                      <c:pt idx="149">
                        <c:v>82.511206451250359</c:v>
                      </c:pt>
                      <c:pt idx="150">
                        <c:v>113.42120645125044</c:v>
                      </c:pt>
                      <c:pt idx="151">
                        <c:v>236.01120645125059</c:v>
                      </c:pt>
                      <c:pt idx="152">
                        <c:v>236.01120645125059</c:v>
                      </c:pt>
                      <c:pt idx="153">
                        <c:v>178.41120645125056</c:v>
                      </c:pt>
                      <c:pt idx="154">
                        <c:v>190.35120645125062</c:v>
                      </c:pt>
                      <c:pt idx="155">
                        <c:v>171.54120645125067</c:v>
                      </c:pt>
                      <c:pt idx="156">
                        <c:v>171.54120645125067</c:v>
                      </c:pt>
                      <c:pt idx="157">
                        <c:v>175.84120645125066</c:v>
                      </c:pt>
                      <c:pt idx="158">
                        <c:v>141.43120645125069</c:v>
                      </c:pt>
                      <c:pt idx="159">
                        <c:v>48.131206451250733</c:v>
                      </c:pt>
                      <c:pt idx="160">
                        <c:v>85.331206451250551</c:v>
                      </c:pt>
                      <c:pt idx="161">
                        <c:v>118.93120645125057</c:v>
                      </c:pt>
                      <c:pt idx="162">
                        <c:v>118.93120645125057</c:v>
                      </c:pt>
                      <c:pt idx="163">
                        <c:v>118.93120645125057</c:v>
                      </c:pt>
                      <c:pt idx="164">
                        <c:v>126.41120645125059</c:v>
                      </c:pt>
                      <c:pt idx="165">
                        <c:v>216.02120645125072</c:v>
                      </c:pt>
                      <c:pt idx="166">
                        <c:v>208.66120645125071</c:v>
                      </c:pt>
                      <c:pt idx="167">
                        <c:v>227.98120645125087</c:v>
                      </c:pt>
                      <c:pt idx="168">
                        <c:v>227.98120645125087</c:v>
                      </c:pt>
                      <c:pt idx="169">
                        <c:v>247.23120645125087</c:v>
                      </c:pt>
                      <c:pt idx="170">
                        <c:v>247.23120645125087</c:v>
                      </c:pt>
                      <c:pt idx="171">
                        <c:v>161.08120645125089</c:v>
                      </c:pt>
                      <c:pt idx="172">
                        <c:v>161.08120645125089</c:v>
                      </c:pt>
                      <c:pt idx="173">
                        <c:v>229.00120645125085</c:v>
                      </c:pt>
                      <c:pt idx="174">
                        <c:v>229.00120645125085</c:v>
                      </c:pt>
                      <c:pt idx="175">
                        <c:v>319.42120645125067</c:v>
                      </c:pt>
                      <c:pt idx="176">
                        <c:v>319.42120645125067</c:v>
                      </c:pt>
                      <c:pt idx="177">
                        <c:v>365.84120645125074</c:v>
                      </c:pt>
                      <c:pt idx="178">
                        <c:v>365.84120645125074</c:v>
                      </c:pt>
                      <c:pt idx="179">
                        <c:v>365.84120645125074</c:v>
                      </c:pt>
                      <c:pt idx="180">
                        <c:v>314.2412064512506</c:v>
                      </c:pt>
                      <c:pt idx="181">
                        <c:v>307.34120645125074</c:v>
                      </c:pt>
                      <c:pt idx="182">
                        <c:v>332.24120645125083</c:v>
                      </c:pt>
                      <c:pt idx="183">
                        <c:v>339.09120645125086</c:v>
                      </c:pt>
                      <c:pt idx="184">
                        <c:v>339.09120645125086</c:v>
                      </c:pt>
                      <c:pt idx="185">
                        <c:v>339.09120645125086</c:v>
                      </c:pt>
                      <c:pt idx="186">
                        <c:v>339.09120645125086</c:v>
                      </c:pt>
                      <c:pt idx="187">
                        <c:v>331.25120645125094</c:v>
                      </c:pt>
                      <c:pt idx="188">
                        <c:v>331.25120645125094</c:v>
                      </c:pt>
                      <c:pt idx="189">
                        <c:v>331.25120645125094</c:v>
                      </c:pt>
                      <c:pt idx="190">
                        <c:v>271.49120645125095</c:v>
                      </c:pt>
                      <c:pt idx="191">
                        <c:v>271.49120645125095</c:v>
                      </c:pt>
                      <c:pt idx="192">
                        <c:v>218.73120645125073</c:v>
                      </c:pt>
                      <c:pt idx="193">
                        <c:v>218.73120645125073</c:v>
                      </c:pt>
                      <c:pt idx="194">
                        <c:v>218.73120645125073</c:v>
                      </c:pt>
                      <c:pt idx="195">
                        <c:v>158.55120645125089</c:v>
                      </c:pt>
                      <c:pt idx="196">
                        <c:v>155.69120645125099</c:v>
                      </c:pt>
                      <c:pt idx="197">
                        <c:v>155.69120645125099</c:v>
                      </c:pt>
                      <c:pt idx="198">
                        <c:v>155.69120645125099</c:v>
                      </c:pt>
                      <c:pt idx="199">
                        <c:v>155.69120645125099</c:v>
                      </c:pt>
                      <c:pt idx="200">
                        <c:v>155.69120645125099</c:v>
                      </c:pt>
                      <c:pt idx="201">
                        <c:v>155.69120645125099</c:v>
                      </c:pt>
                      <c:pt idx="202">
                        <c:v>165.81120645125111</c:v>
                      </c:pt>
                      <c:pt idx="203">
                        <c:v>165.81120645125111</c:v>
                      </c:pt>
                      <c:pt idx="204">
                        <c:v>194.93120645125123</c:v>
                      </c:pt>
                      <c:pt idx="205">
                        <c:v>118.37120645125117</c:v>
                      </c:pt>
                      <c:pt idx="206">
                        <c:v>195.83120645125121</c:v>
                      </c:pt>
                      <c:pt idx="207">
                        <c:v>195.83120645125121</c:v>
                      </c:pt>
                      <c:pt idx="208">
                        <c:v>181.91120645125113</c:v>
                      </c:pt>
                      <c:pt idx="209">
                        <c:v>181.91120645125113</c:v>
                      </c:pt>
                      <c:pt idx="210">
                        <c:v>77.06120645125111</c:v>
                      </c:pt>
                      <c:pt idx="211">
                        <c:v>66.701206451251096</c:v>
                      </c:pt>
                      <c:pt idx="212">
                        <c:v>85.211399342838945</c:v>
                      </c:pt>
                      <c:pt idx="213">
                        <c:v>85.211399342838945</c:v>
                      </c:pt>
                      <c:pt idx="214">
                        <c:v>85.211399342838945</c:v>
                      </c:pt>
                      <c:pt idx="215">
                        <c:v>85.211399342838945</c:v>
                      </c:pt>
                      <c:pt idx="216">
                        <c:v>129.05139934283909</c:v>
                      </c:pt>
                      <c:pt idx="217">
                        <c:v>129.05139934283909</c:v>
                      </c:pt>
                      <c:pt idx="218">
                        <c:v>129.05139934283909</c:v>
                      </c:pt>
                      <c:pt idx="219">
                        <c:v>246.01139934283913</c:v>
                      </c:pt>
                      <c:pt idx="220">
                        <c:v>246.01139934283913</c:v>
                      </c:pt>
                      <c:pt idx="221">
                        <c:v>231.71139934283894</c:v>
                      </c:pt>
                      <c:pt idx="222">
                        <c:v>231.71139934283894</c:v>
                      </c:pt>
                      <c:pt idx="223">
                        <c:v>231.71139934283894</c:v>
                      </c:pt>
                      <c:pt idx="224">
                        <c:v>302.23139934283893</c:v>
                      </c:pt>
                      <c:pt idx="225">
                        <c:v>302.23139934283893</c:v>
                      </c:pt>
                      <c:pt idx="226">
                        <c:v>199.28139934283888</c:v>
                      </c:pt>
                      <c:pt idx="227">
                        <c:v>199.28139934283888</c:v>
                      </c:pt>
                      <c:pt idx="228">
                        <c:v>216.20139934283895</c:v>
                      </c:pt>
                      <c:pt idx="229">
                        <c:v>255.68139934283897</c:v>
                      </c:pt>
                      <c:pt idx="230">
                        <c:v>255.68139934283897</c:v>
                      </c:pt>
                      <c:pt idx="231">
                        <c:v>213.14249066104651</c:v>
                      </c:pt>
                      <c:pt idx="232">
                        <c:v>266.9024906610465</c:v>
                      </c:pt>
                      <c:pt idx="233">
                        <c:v>256.66249066104672</c:v>
                      </c:pt>
                      <c:pt idx="234">
                        <c:v>256.66249066104672</c:v>
                      </c:pt>
                      <c:pt idx="235">
                        <c:v>256.66249066104672</c:v>
                      </c:pt>
                      <c:pt idx="236">
                        <c:v>256.66249066104672</c:v>
                      </c:pt>
                      <c:pt idx="237">
                        <c:v>264.4624906610469</c:v>
                      </c:pt>
                      <c:pt idx="238">
                        <c:v>167.92249066104694</c:v>
                      </c:pt>
                      <c:pt idx="239">
                        <c:v>187.36249066104699</c:v>
                      </c:pt>
                      <c:pt idx="240">
                        <c:v>187.36249066104699</c:v>
                      </c:pt>
                      <c:pt idx="241">
                        <c:v>187.36249066104699</c:v>
                      </c:pt>
                      <c:pt idx="242">
                        <c:v>186.04249066104705</c:v>
                      </c:pt>
                      <c:pt idx="243">
                        <c:v>186.04249066104705</c:v>
                      </c:pt>
                      <c:pt idx="244">
                        <c:v>87.822490661047027</c:v>
                      </c:pt>
                      <c:pt idx="245">
                        <c:v>87.822490661047027</c:v>
                      </c:pt>
                      <c:pt idx="246">
                        <c:v>87.822490661047027</c:v>
                      </c:pt>
                      <c:pt idx="247">
                        <c:v>87.822490661047027</c:v>
                      </c:pt>
                      <c:pt idx="248">
                        <c:v>87.822490661047027</c:v>
                      </c:pt>
                      <c:pt idx="249">
                        <c:v>87.822490661047027</c:v>
                      </c:pt>
                      <c:pt idx="250">
                        <c:v>87.822490661047027</c:v>
                      </c:pt>
                      <c:pt idx="251">
                        <c:v>-6.3775093389530184</c:v>
                      </c:pt>
                      <c:pt idx="252">
                        <c:v>3.4224906610469361</c:v>
                      </c:pt>
                      <c:pt idx="253">
                        <c:v>3.4224906610469361</c:v>
                      </c:pt>
                      <c:pt idx="254">
                        <c:v>3.4224906610469361</c:v>
                      </c:pt>
                      <c:pt idx="255">
                        <c:v>3.4224906610469361</c:v>
                      </c:pt>
                      <c:pt idx="256">
                        <c:v>33.122490661046754</c:v>
                      </c:pt>
                      <c:pt idx="257">
                        <c:v>33.122490661046754</c:v>
                      </c:pt>
                      <c:pt idx="258">
                        <c:v>33.122490661046754</c:v>
                      </c:pt>
                      <c:pt idx="259">
                        <c:v>33.122490661046754</c:v>
                      </c:pt>
                      <c:pt idx="260">
                        <c:v>33.122490661046754</c:v>
                      </c:pt>
                      <c:pt idx="261">
                        <c:v>33.122490661046754</c:v>
                      </c:pt>
                      <c:pt idx="262">
                        <c:v>33.122490661046754</c:v>
                      </c:pt>
                      <c:pt idx="263">
                        <c:v>-3.3275093389532913</c:v>
                      </c:pt>
                      <c:pt idx="264">
                        <c:v>-3.3275093389532913</c:v>
                      </c:pt>
                      <c:pt idx="265">
                        <c:v>-3.3275093389532913</c:v>
                      </c:pt>
                      <c:pt idx="266">
                        <c:v>20.122490661046527</c:v>
                      </c:pt>
                      <c:pt idx="267">
                        <c:v>20.122490661046527</c:v>
                      </c:pt>
                      <c:pt idx="268">
                        <c:v>20.122490661046527</c:v>
                      </c:pt>
                      <c:pt idx="269">
                        <c:v>20.122490661046527</c:v>
                      </c:pt>
                      <c:pt idx="270">
                        <c:v>20.122490661046527</c:v>
                      </c:pt>
                      <c:pt idx="271">
                        <c:v>20.122490661046527</c:v>
                      </c:pt>
                      <c:pt idx="272">
                        <c:v>20.122490661046527</c:v>
                      </c:pt>
                      <c:pt idx="273">
                        <c:v>20.122490661046527</c:v>
                      </c:pt>
                      <c:pt idx="274">
                        <c:v>20.122490661046527</c:v>
                      </c:pt>
                      <c:pt idx="275">
                        <c:v>20.122490661046527</c:v>
                      </c:pt>
                      <c:pt idx="276">
                        <c:v>20.122490661046527</c:v>
                      </c:pt>
                      <c:pt idx="277">
                        <c:v>20.122490661046527</c:v>
                      </c:pt>
                      <c:pt idx="278">
                        <c:v>20.122490661046527</c:v>
                      </c:pt>
                      <c:pt idx="279">
                        <c:v>20.122490661046527</c:v>
                      </c:pt>
                      <c:pt idx="280">
                        <c:v>15.562490661046581</c:v>
                      </c:pt>
                      <c:pt idx="281">
                        <c:v>-40.597509338953273</c:v>
                      </c:pt>
                      <c:pt idx="282">
                        <c:v>-40.597509338953273</c:v>
                      </c:pt>
                      <c:pt idx="283">
                        <c:v>-40.597509338953273</c:v>
                      </c:pt>
                      <c:pt idx="284">
                        <c:v>-7.2975093389533185</c:v>
                      </c:pt>
                      <c:pt idx="285">
                        <c:v>-7.2975093389533185</c:v>
                      </c:pt>
                      <c:pt idx="286">
                        <c:v>1.1024906610467724</c:v>
                      </c:pt>
                      <c:pt idx="287">
                        <c:v>1.1024906610467724</c:v>
                      </c:pt>
                      <c:pt idx="288">
                        <c:v>151.70249066104691</c:v>
                      </c:pt>
                      <c:pt idx="289">
                        <c:v>151.70249066104691</c:v>
                      </c:pt>
                      <c:pt idx="290">
                        <c:v>151.70249066104691</c:v>
                      </c:pt>
                      <c:pt idx="291">
                        <c:v>151.70249066104691</c:v>
                      </c:pt>
                      <c:pt idx="292">
                        <c:v>151.70249066104691</c:v>
                      </c:pt>
                      <c:pt idx="293">
                        <c:v>148.00249066104664</c:v>
                      </c:pt>
                      <c:pt idx="294">
                        <c:v>148.00249066104664</c:v>
                      </c:pt>
                      <c:pt idx="295">
                        <c:v>148.00249066104664</c:v>
                      </c:pt>
                      <c:pt idx="296">
                        <c:v>148.00249066104664</c:v>
                      </c:pt>
                      <c:pt idx="297">
                        <c:v>148.00249066104664</c:v>
                      </c:pt>
                      <c:pt idx="298">
                        <c:v>148.00249066104664</c:v>
                      </c:pt>
                      <c:pt idx="299">
                        <c:v>121.60249066104666</c:v>
                      </c:pt>
                      <c:pt idx="300">
                        <c:v>175.24249066104653</c:v>
                      </c:pt>
                      <c:pt idx="301">
                        <c:v>345.26249066104651</c:v>
                      </c:pt>
                      <c:pt idx="302">
                        <c:v>345.26249066104651</c:v>
                      </c:pt>
                      <c:pt idx="303">
                        <c:v>428.48249066104654</c:v>
                      </c:pt>
                      <c:pt idx="304">
                        <c:v>428.48249066104654</c:v>
                      </c:pt>
                      <c:pt idx="305">
                        <c:v>531.88249066104663</c:v>
                      </c:pt>
                      <c:pt idx="306">
                        <c:v>676.08249066104668</c:v>
                      </c:pt>
                      <c:pt idx="307">
                        <c:v>685.53249066104672</c:v>
                      </c:pt>
                      <c:pt idx="308">
                        <c:v>685.53249066104672</c:v>
                      </c:pt>
                      <c:pt idx="309">
                        <c:v>685.53249066104672</c:v>
                      </c:pt>
                      <c:pt idx="310">
                        <c:v>685.53249066104672</c:v>
                      </c:pt>
                      <c:pt idx="311">
                        <c:v>685.53249066104672</c:v>
                      </c:pt>
                      <c:pt idx="312">
                        <c:v>685.53249066104672</c:v>
                      </c:pt>
                      <c:pt idx="313">
                        <c:v>685.53249066104672</c:v>
                      </c:pt>
                      <c:pt idx="314">
                        <c:v>685.53249066104672</c:v>
                      </c:pt>
                      <c:pt idx="315">
                        <c:v>685.53249066104672</c:v>
                      </c:pt>
                      <c:pt idx="316">
                        <c:v>685.53249066104672</c:v>
                      </c:pt>
                      <c:pt idx="317">
                        <c:v>685.53249066104672</c:v>
                      </c:pt>
                      <c:pt idx="318">
                        <c:v>599.43627194988017</c:v>
                      </c:pt>
                      <c:pt idx="319">
                        <c:v>814.11627194988023</c:v>
                      </c:pt>
                      <c:pt idx="320">
                        <c:v>814.11627194988023</c:v>
                      </c:pt>
                      <c:pt idx="321">
                        <c:v>804.91627194988018</c:v>
                      </c:pt>
                      <c:pt idx="322">
                        <c:v>869.71627194988037</c:v>
                      </c:pt>
                      <c:pt idx="323">
                        <c:v>640.46627194988037</c:v>
                      </c:pt>
                      <c:pt idx="324">
                        <c:v>640.46627194988037</c:v>
                      </c:pt>
                      <c:pt idx="325">
                        <c:v>690.46627194988037</c:v>
                      </c:pt>
                      <c:pt idx="326">
                        <c:v>690.46627194988037</c:v>
                      </c:pt>
                      <c:pt idx="327">
                        <c:v>686.86627194988023</c:v>
                      </c:pt>
                      <c:pt idx="328">
                        <c:v>659.41627194988018</c:v>
                      </c:pt>
                      <c:pt idx="329">
                        <c:v>659.41627194988018</c:v>
                      </c:pt>
                      <c:pt idx="330">
                        <c:v>659.41627194988018</c:v>
                      </c:pt>
                      <c:pt idx="331">
                        <c:v>730.45627194988015</c:v>
                      </c:pt>
                      <c:pt idx="332">
                        <c:v>846.73627194988012</c:v>
                      </c:pt>
                      <c:pt idx="333">
                        <c:v>906.13627194988021</c:v>
                      </c:pt>
                      <c:pt idx="334">
                        <c:v>906.13627194988021</c:v>
                      </c:pt>
                      <c:pt idx="335">
                        <c:v>962.59627194988025</c:v>
                      </c:pt>
                      <c:pt idx="336">
                        <c:v>956.35627194988024</c:v>
                      </c:pt>
                      <c:pt idx="337">
                        <c:v>956.35627194988024</c:v>
                      </c:pt>
                      <c:pt idx="338">
                        <c:v>956.35627194988024</c:v>
                      </c:pt>
                      <c:pt idx="339">
                        <c:v>892.09627194988025</c:v>
                      </c:pt>
                      <c:pt idx="340">
                        <c:v>768.40627194988019</c:v>
                      </c:pt>
                      <c:pt idx="341">
                        <c:v>768.40627194988019</c:v>
                      </c:pt>
                      <c:pt idx="342">
                        <c:v>768.40627194988019</c:v>
                      </c:pt>
                      <c:pt idx="343">
                        <c:v>759.08627194988026</c:v>
                      </c:pt>
                      <c:pt idx="344">
                        <c:v>631.52627194988031</c:v>
                      </c:pt>
                      <c:pt idx="345">
                        <c:v>631.52627194988031</c:v>
                      </c:pt>
                      <c:pt idx="346">
                        <c:v>631.52627194988031</c:v>
                      </c:pt>
                    </c:numCache>
                  </c:numRef>
                </c:val>
                <c:smooth val="0"/>
                <c:extLst xmlns:c15="http://schemas.microsoft.com/office/drawing/2012/chart">
                  <c:ext xmlns:c16="http://schemas.microsoft.com/office/drawing/2014/chart" uri="{C3380CC4-5D6E-409C-BE32-E72D297353CC}">
                    <c16:uniqueId val="{00000005-EBC8-4142-B284-300638C218BD}"/>
                  </c:ext>
                </c:extLst>
              </c15:ser>
            </c15:filteredLineSeries>
            <c15:filteredLineSeries>
              <c15:ser>
                <c:idx val="6"/>
                <c:order val="6"/>
                <c:tx>
                  <c:v>Dwn (MOC)</c:v>
                </c:tx>
                <c:spPr>
                  <a:ln w="28575" cap="rnd">
                    <a:solidFill>
                      <a:schemeClr val="accent2">
                        <a:lumMod val="60000"/>
                        <a:lumOff val="40000"/>
                      </a:schemeClr>
                    </a:solidFill>
                    <a:prstDash val="sysDash"/>
                    <a:round/>
                  </a:ln>
                  <a:effectLst/>
                </c:spPr>
                <c:marker>
                  <c:symbol val="none"/>
                </c:marker>
                <c:val>
                  <c:numRef>
                    <c:extLst xmlns:c15="http://schemas.microsoft.com/office/drawing/2012/chart">
                      <c:ext xmlns:c15="http://schemas.microsoft.com/office/drawing/2012/chart" uri="{02D57815-91ED-43cb-92C2-25804820EDAC}">
                        <c15:formulaRef>
                          <c15:sqref>'2025-Q2'!$AZ$4:$AZ$350</c15:sqref>
                        </c15:formulaRef>
                      </c:ext>
                    </c:extLst>
                    <c:numCache>
                      <c:formatCode>"$"#,##0</c:formatCode>
                      <c:ptCount val="347"/>
                      <c:pt idx="0">
                        <c:v>-254.69999999999982</c:v>
                      </c:pt>
                      <c:pt idx="1">
                        <c:v>-262.79999999999973</c:v>
                      </c:pt>
                      <c:pt idx="2">
                        <c:v>-262.79999999999973</c:v>
                      </c:pt>
                      <c:pt idx="3">
                        <c:v>-262.79999999999973</c:v>
                      </c:pt>
                      <c:pt idx="4">
                        <c:v>-262.79999999999973</c:v>
                      </c:pt>
                      <c:pt idx="5">
                        <c:v>-262.79999999999973</c:v>
                      </c:pt>
                      <c:pt idx="6">
                        <c:v>-262.79999999999973</c:v>
                      </c:pt>
                      <c:pt idx="7">
                        <c:v>-262.79999999999973</c:v>
                      </c:pt>
                      <c:pt idx="8">
                        <c:v>-262.79999999999973</c:v>
                      </c:pt>
                      <c:pt idx="9">
                        <c:v>-266.68837290281726</c:v>
                      </c:pt>
                      <c:pt idx="10">
                        <c:v>-266.68837290281726</c:v>
                      </c:pt>
                      <c:pt idx="11">
                        <c:v>-266.68837290281726</c:v>
                      </c:pt>
                      <c:pt idx="12">
                        <c:v>-267.17837290281727</c:v>
                      </c:pt>
                      <c:pt idx="13">
                        <c:v>-267.17837290281727</c:v>
                      </c:pt>
                      <c:pt idx="14">
                        <c:v>-173.75837290281697</c:v>
                      </c:pt>
                      <c:pt idx="15">
                        <c:v>-173.75837290281697</c:v>
                      </c:pt>
                      <c:pt idx="16">
                        <c:v>-89.908372902816836</c:v>
                      </c:pt>
                      <c:pt idx="17">
                        <c:v>-65.608372902816654</c:v>
                      </c:pt>
                      <c:pt idx="18">
                        <c:v>-65.608372902816654</c:v>
                      </c:pt>
                      <c:pt idx="19">
                        <c:v>-65.608372902816654</c:v>
                      </c:pt>
                      <c:pt idx="20">
                        <c:v>-65.608372902816654</c:v>
                      </c:pt>
                      <c:pt idx="21">
                        <c:v>-65.608372902816654</c:v>
                      </c:pt>
                      <c:pt idx="22">
                        <c:v>-79.1383729028164</c:v>
                      </c:pt>
                      <c:pt idx="23">
                        <c:v>-79.1383729028164</c:v>
                      </c:pt>
                      <c:pt idx="24">
                        <c:v>-79.1383729028164</c:v>
                      </c:pt>
                      <c:pt idx="25">
                        <c:v>-79.1383729028164</c:v>
                      </c:pt>
                      <c:pt idx="26">
                        <c:v>-76.1383729028164</c:v>
                      </c:pt>
                      <c:pt idx="27">
                        <c:v>-110.1383729028164</c:v>
                      </c:pt>
                      <c:pt idx="28">
                        <c:v>-118.53837290281626</c:v>
                      </c:pt>
                      <c:pt idx="29">
                        <c:v>-118.53837290281626</c:v>
                      </c:pt>
                      <c:pt idx="30">
                        <c:v>-155.63837290281617</c:v>
                      </c:pt>
                      <c:pt idx="31">
                        <c:v>-148.13837290281617</c:v>
                      </c:pt>
                      <c:pt idx="32">
                        <c:v>-164.13837290281617</c:v>
                      </c:pt>
                      <c:pt idx="33">
                        <c:v>-164.13837290281617</c:v>
                      </c:pt>
                      <c:pt idx="34">
                        <c:v>-164.13837290281617</c:v>
                      </c:pt>
                      <c:pt idx="35">
                        <c:v>-164.13837290281617</c:v>
                      </c:pt>
                      <c:pt idx="36">
                        <c:v>-173.22837290281586</c:v>
                      </c:pt>
                      <c:pt idx="37">
                        <c:v>-173.22837290281586</c:v>
                      </c:pt>
                      <c:pt idx="38">
                        <c:v>-173.22837290281586</c:v>
                      </c:pt>
                      <c:pt idx="39">
                        <c:v>-173.22837290281586</c:v>
                      </c:pt>
                      <c:pt idx="40">
                        <c:v>-322.17837290281591</c:v>
                      </c:pt>
                      <c:pt idx="41">
                        <c:v>-353.47837290281609</c:v>
                      </c:pt>
                      <c:pt idx="42">
                        <c:v>-286.37837290281595</c:v>
                      </c:pt>
                      <c:pt idx="43">
                        <c:v>-286.37837290281595</c:v>
                      </c:pt>
                      <c:pt idx="44">
                        <c:v>-286.37837290281595</c:v>
                      </c:pt>
                      <c:pt idx="45">
                        <c:v>-286.37837290281595</c:v>
                      </c:pt>
                      <c:pt idx="46">
                        <c:v>-336.14837290281594</c:v>
                      </c:pt>
                      <c:pt idx="47">
                        <c:v>-336.14837290281594</c:v>
                      </c:pt>
                      <c:pt idx="48">
                        <c:v>-437.28837290281581</c:v>
                      </c:pt>
                      <c:pt idx="49">
                        <c:v>-437.28837290281581</c:v>
                      </c:pt>
                      <c:pt idx="50">
                        <c:v>-437.28837290281581</c:v>
                      </c:pt>
                      <c:pt idx="51">
                        <c:v>-437.28837290281581</c:v>
                      </c:pt>
                      <c:pt idx="52">
                        <c:v>-546.48837290281585</c:v>
                      </c:pt>
                      <c:pt idx="53">
                        <c:v>-546.48837290281585</c:v>
                      </c:pt>
                      <c:pt idx="54">
                        <c:v>-546.48837290281585</c:v>
                      </c:pt>
                      <c:pt idx="55">
                        <c:v>-539.5683729028159</c:v>
                      </c:pt>
                      <c:pt idx="56">
                        <c:v>-539.5683729028159</c:v>
                      </c:pt>
                      <c:pt idx="57">
                        <c:v>-414.9183729028158</c:v>
                      </c:pt>
                      <c:pt idx="58">
                        <c:v>-414.9183729028158</c:v>
                      </c:pt>
                      <c:pt idx="59">
                        <c:v>-414.9183729028158</c:v>
                      </c:pt>
                      <c:pt idx="60">
                        <c:v>-414.9183729028158</c:v>
                      </c:pt>
                      <c:pt idx="61">
                        <c:v>-414.9183729028158</c:v>
                      </c:pt>
                      <c:pt idx="62">
                        <c:v>-414.9183729028158</c:v>
                      </c:pt>
                      <c:pt idx="63">
                        <c:v>-414.9183729028158</c:v>
                      </c:pt>
                      <c:pt idx="64">
                        <c:v>-414.9183729028158</c:v>
                      </c:pt>
                      <c:pt idx="65">
                        <c:v>-414.9183729028158</c:v>
                      </c:pt>
                      <c:pt idx="66">
                        <c:v>-420.76837290281571</c:v>
                      </c:pt>
                      <c:pt idx="67">
                        <c:v>-414.58837290281565</c:v>
                      </c:pt>
                      <c:pt idx="68">
                        <c:v>-396.2683729028156</c:v>
                      </c:pt>
                      <c:pt idx="69">
                        <c:v>-396.2683729028156</c:v>
                      </c:pt>
                      <c:pt idx="70">
                        <c:v>-368.83837290281554</c:v>
                      </c:pt>
                      <c:pt idx="71">
                        <c:v>-368.83837290281554</c:v>
                      </c:pt>
                      <c:pt idx="72">
                        <c:v>-368.83837290281554</c:v>
                      </c:pt>
                      <c:pt idx="73">
                        <c:v>-368.83837290281554</c:v>
                      </c:pt>
                      <c:pt idx="74">
                        <c:v>-368.83837290281554</c:v>
                      </c:pt>
                      <c:pt idx="75">
                        <c:v>-368.83837290281554</c:v>
                      </c:pt>
                      <c:pt idx="76">
                        <c:v>-368.83837290281554</c:v>
                      </c:pt>
                      <c:pt idx="77">
                        <c:v>-368.83837290281554</c:v>
                      </c:pt>
                      <c:pt idx="78">
                        <c:v>-368.83837290281554</c:v>
                      </c:pt>
                      <c:pt idx="79">
                        <c:v>-423.9721716230016</c:v>
                      </c:pt>
                      <c:pt idx="80">
                        <c:v>-423.9721716230016</c:v>
                      </c:pt>
                      <c:pt idx="81">
                        <c:v>-480.01217162300156</c:v>
                      </c:pt>
                      <c:pt idx="82">
                        <c:v>-530.05217162300164</c:v>
                      </c:pt>
                      <c:pt idx="83">
                        <c:v>-530.05217162300164</c:v>
                      </c:pt>
                      <c:pt idx="84">
                        <c:v>-530.05217162300164</c:v>
                      </c:pt>
                      <c:pt idx="85">
                        <c:v>-591.05217162300175</c:v>
                      </c:pt>
                      <c:pt idx="86">
                        <c:v>-591.05217162300175</c:v>
                      </c:pt>
                      <c:pt idx="87">
                        <c:v>-613.15217162300189</c:v>
                      </c:pt>
                      <c:pt idx="88">
                        <c:v>-595.83217162300184</c:v>
                      </c:pt>
                      <c:pt idx="89">
                        <c:v>-595.83217162300184</c:v>
                      </c:pt>
                      <c:pt idx="90">
                        <c:v>-563.83217162300184</c:v>
                      </c:pt>
                      <c:pt idx="91">
                        <c:v>-555.85217162300182</c:v>
                      </c:pt>
                      <c:pt idx="92">
                        <c:v>-578.65217162300189</c:v>
                      </c:pt>
                      <c:pt idx="93">
                        <c:v>-578.65217162300189</c:v>
                      </c:pt>
                      <c:pt idx="94">
                        <c:v>-578.65217162300189</c:v>
                      </c:pt>
                      <c:pt idx="95">
                        <c:v>-589.652171623002</c:v>
                      </c:pt>
                      <c:pt idx="96">
                        <c:v>-547.95217162300207</c:v>
                      </c:pt>
                      <c:pt idx="97">
                        <c:v>-550.83217162300207</c:v>
                      </c:pt>
                      <c:pt idx="98">
                        <c:v>-588.98217162300205</c:v>
                      </c:pt>
                      <c:pt idx="99">
                        <c:v>-588.98217162300205</c:v>
                      </c:pt>
                      <c:pt idx="100">
                        <c:v>-711.86217162300204</c:v>
                      </c:pt>
                      <c:pt idx="101">
                        <c:v>-711.86217162300204</c:v>
                      </c:pt>
                      <c:pt idx="102">
                        <c:v>-711.86217162300204</c:v>
                      </c:pt>
                      <c:pt idx="103">
                        <c:v>-711.86217162300204</c:v>
                      </c:pt>
                      <c:pt idx="104">
                        <c:v>-711.86217162300204</c:v>
                      </c:pt>
                      <c:pt idx="105">
                        <c:v>-657.08217162300207</c:v>
                      </c:pt>
                      <c:pt idx="106">
                        <c:v>-657.08217162300207</c:v>
                      </c:pt>
                      <c:pt idx="107">
                        <c:v>-657.08217162300207</c:v>
                      </c:pt>
                      <c:pt idx="108">
                        <c:v>-657.08217162300207</c:v>
                      </c:pt>
                      <c:pt idx="109">
                        <c:v>-657.08217162300207</c:v>
                      </c:pt>
                      <c:pt idx="110">
                        <c:v>-646.83217162300218</c:v>
                      </c:pt>
                      <c:pt idx="111">
                        <c:v>-640.35217162300216</c:v>
                      </c:pt>
                      <c:pt idx="112">
                        <c:v>-640.35217162300216</c:v>
                      </c:pt>
                      <c:pt idx="113">
                        <c:v>-640.35217162300216</c:v>
                      </c:pt>
                      <c:pt idx="114">
                        <c:v>-640.35217162300216</c:v>
                      </c:pt>
                      <c:pt idx="115">
                        <c:v>-640.35217162300216</c:v>
                      </c:pt>
                      <c:pt idx="116">
                        <c:v>-643.20217162300207</c:v>
                      </c:pt>
                      <c:pt idx="117">
                        <c:v>-617.95161845366727</c:v>
                      </c:pt>
                      <c:pt idx="118">
                        <c:v>-617.95161845366727</c:v>
                      </c:pt>
                      <c:pt idx="119">
                        <c:v>-617.95161845366727</c:v>
                      </c:pt>
                      <c:pt idx="120">
                        <c:v>-637.75161845366745</c:v>
                      </c:pt>
                      <c:pt idx="121">
                        <c:v>-637.75161845366745</c:v>
                      </c:pt>
                      <c:pt idx="122">
                        <c:v>-637.75161845366745</c:v>
                      </c:pt>
                      <c:pt idx="123">
                        <c:v>-637.75161845366745</c:v>
                      </c:pt>
                      <c:pt idx="124">
                        <c:v>-569.65161845366742</c:v>
                      </c:pt>
                      <c:pt idx="125">
                        <c:v>-569.65161845366742</c:v>
                      </c:pt>
                      <c:pt idx="126">
                        <c:v>-569.65161845366742</c:v>
                      </c:pt>
                      <c:pt idx="127">
                        <c:v>-617.44161845366739</c:v>
                      </c:pt>
                      <c:pt idx="128">
                        <c:v>-617.44161845366739</c:v>
                      </c:pt>
                      <c:pt idx="129">
                        <c:v>-653.28161845366731</c:v>
                      </c:pt>
                      <c:pt idx="130">
                        <c:v>-653.28161845366731</c:v>
                      </c:pt>
                      <c:pt idx="131">
                        <c:v>-678.06161845366728</c:v>
                      </c:pt>
                      <c:pt idx="132">
                        <c:v>-678.06161845366728</c:v>
                      </c:pt>
                      <c:pt idx="133">
                        <c:v>-660.56161845366728</c:v>
                      </c:pt>
                      <c:pt idx="134">
                        <c:v>-658.04161845366718</c:v>
                      </c:pt>
                      <c:pt idx="135">
                        <c:v>-666.32161845366716</c:v>
                      </c:pt>
                      <c:pt idx="136">
                        <c:v>-662.72161845366713</c:v>
                      </c:pt>
                      <c:pt idx="137">
                        <c:v>-662.72161845366713</c:v>
                      </c:pt>
                      <c:pt idx="138">
                        <c:v>-694.54161845366707</c:v>
                      </c:pt>
                      <c:pt idx="139">
                        <c:v>-663.04161845366696</c:v>
                      </c:pt>
                      <c:pt idx="140">
                        <c:v>-663.04161845366696</c:v>
                      </c:pt>
                      <c:pt idx="141">
                        <c:v>-694.56161845366694</c:v>
                      </c:pt>
                      <c:pt idx="142">
                        <c:v>-744.80161845366695</c:v>
                      </c:pt>
                      <c:pt idx="143">
                        <c:v>-767.04161845366673</c:v>
                      </c:pt>
                      <c:pt idx="144">
                        <c:v>-769.08161845366681</c:v>
                      </c:pt>
                      <c:pt idx="145">
                        <c:v>-685.18161845366672</c:v>
                      </c:pt>
                      <c:pt idx="146">
                        <c:v>-709.48161845366667</c:v>
                      </c:pt>
                      <c:pt idx="147">
                        <c:v>-763.63161845366676</c:v>
                      </c:pt>
                      <c:pt idx="148">
                        <c:v>-763.63161845366676</c:v>
                      </c:pt>
                      <c:pt idx="149">
                        <c:v>-763.63161845366676</c:v>
                      </c:pt>
                      <c:pt idx="150">
                        <c:v>-763.63161845366676</c:v>
                      </c:pt>
                      <c:pt idx="151">
                        <c:v>-763.63161845366676</c:v>
                      </c:pt>
                      <c:pt idx="152">
                        <c:v>-639.33161845366681</c:v>
                      </c:pt>
                      <c:pt idx="153">
                        <c:v>-639.33161845366681</c:v>
                      </c:pt>
                      <c:pt idx="154">
                        <c:v>-639.33161845366681</c:v>
                      </c:pt>
                      <c:pt idx="155">
                        <c:v>-639.33161845366681</c:v>
                      </c:pt>
                      <c:pt idx="156">
                        <c:v>-547.97161845366668</c:v>
                      </c:pt>
                      <c:pt idx="157">
                        <c:v>-547.97161845366668</c:v>
                      </c:pt>
                      <c:pt idx="158">
                        <c:v>-547.97161845366668</c:v>
                      </c:pt>
                      <c:pt idx="159">
                        <c:v>-547.97161845366668</c:v>
                      </c:pt>
                      <c:pt idx="160">
                        <c:v>-547.97161845366668</c:v>
                      </c:pt>
                      <c:pt idx="161">
                        <c:v>-547.97161845366668</c:v>
                      </c:pt>
                      <c:pt idx="162">
                        <c:v>-520.05161845366683</c:v>
                      </c:pt>
                      <c:pt idx="163">
                        <c:v>-601.05161845366695</c:v>
                      </c:pt>
                      <c:pt idx="164">
                        <c:v>-601.05161845366695</c:v>
                      </c:pt>
                      <c:pt idx="165">
                        <c:v>-601.05161845366695</c:v>
                      </c:pt>
                      <c:pt idx="166">
                        <c:v>-601.05161845366695</c:v>
                      </c:pt>
                      <c:pt idx="167">
                        <c:v>-601.05161845366695</c:v>
                      </c:pt>
                      <c:pt idx="168">
                        <c:v>-560.1016184536669</c:v>
                      </c:pt>
                      <c:pt idx="169">
                        <c:v>-560.1016184536669</c:v>
                      </c:pt>
                      <c:pt idx="170">
                        <c:v>-570.36161845366701</c:v>
                      </c:pt>
                      <c:pt idx="171">
                        <c:v>-570.36161845366701</c:v>
                      </c:pt>
                      <c:pt idx="172">
                        <c:v>-550.52161845366709</c:v>
                      </c:pt>
                      <c:pt idx="173">
                        <c:v>-550.52161845366709</c:v>
                      </c:pt>
                      <c:pt idx="174">
                        <c:v>-469.5216184536672</c:v>
                      </c:pt>
                      <c:pt idx="175">
                        <c:v>-469.5216184536672</c:v>
                      </c:pt>
                      <c:pt idx="176">
                        <c:v>-458.74161845366723</c:v>
                      </c:pt>
                      <c:pt idx="177">
                        <c:v>-458.74161845366723</c:v>
                      </c:pt>
                      <c:pt idx="178">
                        <c:v>-472.52161845366743</c:v>
                      </c:pt>
                      <c:pt idx="179">
                        <c:v>-378.83161845366737</c:v>
                      </c:pt>
                      <c:pt idx="180">
                        <c:v>-378.83161845366737</c:v>
                      </c:pt>
                      <c:pt idx="181">
                        <c:v>-378.83161845366737</c:v>
                      </c:pt>
                      <c:pt idx="182">
                        <c:v>-378.83161845366737</c:v>
                      </c:pt>
                      <c:pt idx="183">
                        <c:v>-378.83161845366737</c:v>
                      </c:pt>
                      <c:pt idx="184">
                        <c:v>-399.47161845366725</c:v>
                      </c:pt>
                      <c:pt idx="185">
                        <c:v>-378.47161845366702</c:v>
                      </c:pt>
                      <c:pt idx="186">
                        <c:v>-386.97161845366702</c:v>
                      </c:pt>
                      <c:pt idx="187">
                        <c:v>-386.97161845366702</c:v>
                      </c:pt>
                      <c:pt idx="188">
                        <c:v>-280.97161845366702</c:v>
                      </c:pt>
                      <c:pt idx="189">
                        <c:v>-286.97161845366679</c:v>
                      </c:pt>
                      <c:pt idx="190">
                        <c:v>-286.97161845366679</c:v>
                      </c:pt>
                      <c:pt idx="191">
                        <c:v>-302.37161845366688</c:v>
                      </c:pt>
                      <c:pt idx="192">
                        <c:v>-302.37161845366688</c:v>
                      </c:pt>
                      <c:pt idx="193">
                        <c:v>-101.3516184536669</c:v>
                      </c:pt>
                      <c:pt idx="194">
                        <c:v>-110.31161845366694</c:v>
                      </c:pt>
                      <c:pt idx="195">
                        <c:v>-110.31161845366694</c:v>
                      </c:pt>
                      <c:pt idx="196">
                        <c:v>-110.31161845366694</c:v>
                      </c:pt>
                      <c:pt idx="197">
                        <c:v>-70.011618453666983</c:v>
                      </c:pt>
                      <c:pt idx="198">
                        <c:v>-68.661618453667074</c:v>
                      </c:pt>
                      <c:pt idx="199">
                        <c:v>-72.941618453667274</c:v>
                      </c:pt>
                      <c:pt idx="200">
                        <c:v>-72.941618453667274</c:v>
                      </c:pt>
                      <c:pt idx="201">
                        <c:v>-26.381618453667329</c:v>
                      </c:pt>
                      <c:pt idx="202">
                        <c:v>-26.381618453667329</c:v>
                      </c:pt>
                      <c:pt idx="203">
                        <c:v>-26.381618453667329</c:v>
                      </c:pt>
                      <c:pt idx="204">
                        <c:v>-26.381618453667329</c:v>
                      </c:pt>
                      <c:pt idx="205">
                        <c:v>-26.381618453667329</c:v>
                      </c:pt>
                      <c:pt idx="206">
                        <c:v>-26.381618453667329</c:v>
                      </c:pt>
                      <c:pt idx="207">
                        <c:v>-28.36161845366712</c:v>
                      </c:pt>
                      <c:pt idx="208">
                        <c:v>-28.36161845366712</c:v>
                      </c:pt>
                      <c:pt idx="209">
                        <c:v>-6.9616184536670289</c:v>
                      </c:pt>
                      <c:pt idx="210">
                        <c:v>-6.9616184536670289</c:v>
                      </c:pt>
                      <c:pt idx="211">
                        <c:v>-6.9616184536670289</c:v>
                      </c:pt>
                      <c:pt idx="212">
                        <c:v>-6.9616184536670289</c:v>
                      </c:pt>
                      <c:pt idx="213">
                        <c:v>36.368381546332898</c:v>
                      </c:pt>
                      <c:pt idx="214">
                        <c:v>38.368381546332898</c:v>
                      </c:pt>
                      <c:pt idx="215">
                        <c:v>-92.311618453666938</c:v>
                      </c:pt>
                      <c:pt idx="216">
                        <c:v>-92.311618453666938</c:v>
                      </c:pt>
                      <c:pt idx="217">
                        <c:v>-92.311618453666938</c:v>
                      </c:pt>
                      <c:pt idx="218">
                        <c:v>-74.811618453666938</c:v>
                      </c:pt>
                      <c:pt idx="219">
                        <c:v>-74.811618453666938</c:v>
                      </c:pt>
                      <c:pt idx="220">
                        <c:v>-5.5116184536669834</c:v>
                      </c:pt>
                      <c:pt idx="221">
                        <c:v>-5.5116184536669834</c:v>
                      </c:pt>
                      <c:pt idx="222">
                        <c:v>54.408381546332862</c:v>
                      </c:pt>
                      <c:pt idx="223">
                        <c:v>54.408381546332862</c:v>
                      </c:pt>
                      <c:pt idx="224">
                        <c:v>54.408381546332862</c:v>
                      </c:pt>
                      <c:pt idx="225">
                        <c:v>24.88838154633288</c:v>
                      </c:pt>
                      <c:pt idx="226">
                        <c:v>24.88838154633288</c:v>
                      </c:pt>
                      <c:pt idx="227">
                        <c:v>44.248381546333007</c:v>
                      </c:pt>
                      <c:pt idx="228">
                        <c:v>44.248381546333007</c:v>
                      </c:pt>
                      <c:pt idx="229">
                        <c:v>44.248381546333007</c:v>
                      </c:pt>
                      <c:pt idx="230">
                        <c:v>63.898381546332871</c:v>
                      </c:pt>
                      <c:pt idx="231">
                        <c:v>63.898381546332871</c:v>
                      </c:pt>
                      <c:pt idx="232">
                        <c:v>63.898381546332871</c:v>
                      </c:pt>
                      <c:pt idx="233">
                        <c:v>63.898381546332871</c:v>
                      </c:pt>
                      <c:pt idx="234">
                        <c:v>126.29838154633296</c:v>
                      </c:pt>
                      <c:pt idx="235">
                        <c:v>82.868381546332898</c:v>
                      </c:pt>
                      <c:pt idx="236">
                        <c:v>168.66838154633285</c:v>
                      </c:pt>
                      <c:pt idx="237">
                        <c:v>168.66838154633285</c:v>
                      </c:pt>
                      <c:pt idx="238">
                        <c:v>168.66838154633285</c:v>
                      </c:pt>
                      <c:pt idx="239">
                        <c:v>168.66838154633285</c:v>
                      </c:pt>
                      <c:pt idx="240">
                        <c:v>168.66838154633285</c:v>
                      </c:pt>
                      <c:pt idx="241">
                        <c:v>347.91838154633274</c:v>
                      </c:pt>
                      <c:pt idx="242">
                        <c:v>347.91838154633274</c:v>
                      </c:pt>
                      <c:pt idx="243">
                        <c:v>336.66838154633274</c:v>
                      </c:pt>
                      <c:pt idx="244">
                        <c:v>336.66838154633274</c:v>
                      </c:pt>
                      <c:pt idx="245">
                        <c:v>342.51838154633288</c:v>
                      </c:pt>
                      <c:pt idx="246">
                        <c:v>338.21838154633292</c:v>
                      </c:pt>
                      <c:pt idx="247">
                        <c:v>315.81838154633283</c:v>
                      </c:pt>
                      <c:pt idx="248">
                        <c:v>280.51838154633288</c:v>
                      </c:pt>
                      <c:pt idx="249">
                        <c:v>201.31838154633283</c:v>
                      </c:pt>
                      <c:pt idx="250">
                        <c:v>344.11838154633278</c:v>
                      </c:pt>
                      <c:pt idx="251">
                        <c:v>344.11838154633278</c:v>
                      </c:pt>
                      <c:pt idx="252">
                        <c:v>344.11838154633278</c:v>
                      </c:pt>
                      <c:pt idx="253">
                        <c:v>438.61838154633278</c:v>
                      </c:pt>
                      <c:pt idx="254">
                        <c:v>415.57838154633259</c:v>
                      </c:pt>
                      <c:pt idx="255">
                        <c:v>442.29838154633239</c:v>
                      </c:pt>
                      <c:pt idx="256">
                        <c:v>442.29838154633239</c:v>
                      </c:pt>
                      <c:pt idx="257">
                        <c:v>442.29838154633239</c:v>
                      </c:pt>
                      <c:pt idx="258">
                        <c:v>442.29838154633239</c:v>
                      </c:pt>
                      <c:pt idx="259">
                        <c:v>356.69838154633248</c:v>
                      </c:pt>
                      <c:pt idx="260">
                        <c:v>338.87838154633255</c:v>
                      </c:pt>
                      <c:pt idx="261">
                        <c:v>319.19838154633248</c:v>
                      </c:pt>
                      <c:pt idx="262">
                        <c:v>361.89838154633276</c:v>
                      </c:pt>
                      <c:pt idx="263">
                        <c:v>361.89838154633276</c:v>
                      </c:pt>
                      <c:pt idx="264">
                        <c:v>365.63838154633277</c:v>
                      </c:pt>
                      <c:pt idx="265">
                        <c:v>311.15838154633275</c:v>
                      </c:pt>
                      <c:pt idx="266">
                        <c:v>311.15838154633275</c:v>
                      </c:pt>
                      <c:pt idx="267">
                        <c:v>310.73838154633268</c:v>
                      </c:pt>
                      <c:pt idx="268">
                        <c:v>300.97838154633268</c:v>
                      </c:pt>
                      <c:pt idx="269">
                        <c:v>365.41838154633274</c:v>
                      </c:pt>
                      <c:pt idx="270">
                        <c:v>393.49838154633267</c:v>
                      </c:pt>
                      <c:pt idx="271">
                        <c:v>450.82838154633259</c:v>
                      </c:pt>
                      <c:pt idx="272">
                        <c:v>447.22838154633268</c:v>
                      </c:pt>
                      <c:pt idx="273">
                        <c:v>447.22838154633268</c:v>
                      </c:pt>
                      <c:pt idx="274">
                        <c:v>421.97838154633268</c:v>
                      </c:pt>
                      <c:pt idx="275">
                        <c:v>506.12838154633255</c:v>
                      </c:pt>
                      <c:pt idx="276">
                        <c:v>485.24838154633267</c:v>
                      </c:pt>
                      <c:pt idx="277">
                        <c:v>485.24838154633267</c:v>
                      </c:pt>
                      <c:pt idx="278">
                        <c:v>560.64838154633253</c:v>
                      </c:pt>
                      <c:pt idx="279">
                        <c:v>580.64838154633253</c:v>
                      </c:pt>
                      <c:pt idx="280">
                        <c:v>580.64838154633253</c:v>
                      </c:pt>
                      <c:pt idx="281">
                        <c:v>580.64838154633253</c:v>
                      </c:pt>
                      <c:pt idx="282">
                        <c:v>582.84838154633258</c:v>
                      </c:pt>
                      <c:pt idx="283">
                        <c:v>512.14838154633276</c:v>
                      </c:pt>
                      <c:pt idx="284">
                        <c:v>512.14838154633276</c:v>
                      </c:pt>
                      <c:pt idx="285">
                        <c:v>416.74838154633267</c:v>
                      </c:pt>
                      <c:pt idx="286">
                        <c:v>416.74838154633267</c:v>
                      </c:pt>
                      <c:pt idx="287">
                        <c:v>335.61838154633256</c:v>
                      </c:pt>
                      <c:pt idx="288">
                        <c:v>335.61838154633256</c:v>
                      </c:pt>
                      <c:pt idx="289">
                        <c:v>369.51838154633242</c:v>
                      </c:pt>
                      <c:pt idx="290">
                        <c:v>369.51838154633242</c:v>
                      </c:pt>
                      <c:pt idx="291">
                        <c:v>444.51838154633242</c:v>
                      </c:pt>
                      <c:pt idx="292">
                        <c:v>418.76838154633242</c:v>
                      </c:pt>
                      <c:pt idx="293">
                        <c:v>418.76838154633242</c:v>
                      </c:pt>
                      <c:pt idx="294">
                        <c:v>289.80838154633238</c:v>
                      </c:pt>
                      <c:pt idx="295">
                        <c:v>289.80838154633238</c:v>
                      </c:pt>
                      <c:pt idx="296">
                        <c:v>261.31838154633238</c:v>
                      </c:pt>
                      <c:pt idx="297">
                        <c:v>261.31838154633238</c:v>
                      </c:pt>
                      <c:pt idx="298">
                        <c:v>210.11838154633233</c:v>
                      </c:pt>
                      <c:pt idx="299">
                        <c:v>210.11838154633233</c:v>
                      </c:pt>
                      <c:pt idx="300">
                        <c:v>210.11838154633233</c:v>
                      </c:pt>
                      <c:pt idx="301">
                        <c:v>210.11838154633233</c:v>
                      </c:pt>
                      <c:pt idx="302">
                        <c:v>202.73838154633222</c:v>
                      </c:pt>
                      <c:pt idx="303">
                        <c:v>202.73838154633222</c:v>
                      </c:pt>
                      <c:pt idx="304">
                        <c:v>202.73838154633222</c:v>
                      </c:pt>
                      <c:pt idx="305">
                        <c:v>202.73838154633222</c:v>
                      </c:pt>
                      <c:pt idx="306">
                        <c:v>202.73838154633222</c:v>
                      </c:pt>
                      <c:pt idx="307">
                        <c:v>202.73838154633222</c:v>
                      </c:pt>
                      <c:pt idx="308">
                        <c:v>225.07719317717942</c:v>
                      </c:pt>
                      <c:pt idx="309">
                        <c:v>225.07719317717942</c:v>
                      </c:pt>
                      <c:pt idx="310">
                        <c:v>341.47719317717952</c:v>
                      </c:pt>
                      <c:pt idx="311">
                        <c:v>395.65719317717958</c:v>
                      </c:pt>
                      <c:pt idx="312">
                        <c:v>379.00719317717949</c:v>
                      </c:pt>
                      <c:pt idx="313">
                        <c:v>379.00719317717949</c:v>
                      </c:pt>
                      <c:pt idx="314">
                        <c:v>325.10719317717951</c:v>
                      </c:pt>
                      <c:pt idx="315">
                        <c:v>268.85719317717951</c:v>
                      </c:pt>
                      <c:pt idx="316">
                        <c:v>268.85719317717951</c:v>
                      </c:pt>
                      <c:pt idx="317">
                        <c:v>268.85719317717951</c:v>
                      </c:pt>
                      <c:pt idx="318">
                        <c:v>268.85719317717951</c:v>
                      </c:pt>
                      <c:pt idx="319">
                        <c:v>268.85719317717951</c:v>
                      </c:pt>
                      <c:pt idx="320">
                        <c:v>397.51719317717937</c:v>
                      </c:pt>
                      <c:pt idx="321">
                        <c:v>397.51719317717937</c:v>
                      </c:pt>
                      <c:pt idx="322">
                        <c:v>397.51719317717937</c:v>
                      </c:pt>
                      <c:pt idx="323">
                        <c:v>397.51719317717937</c:v>
                      </c:pt>
                      <c:pt idx="324">
                        <c:v>248.95719317717942</c:v>
                      </c:pt>
                      <c:pt idx="325">
                        <c:v>248.95719317717942</c:v>
                      </c:pt>
                      <c:pt idx="326">
                        <c:v>113.20719317717942</c:v>
                      </c:pt>
                      <c:pt idx="327">
                        <c:v>113.20719317717942</c:v>
                      </c:pt>
                      <c:pt idx="328">
                        <c:v>113.20719317717942</c:v>
                      </c:pt>
                      <c:pt idx="329">
                        <c:v>113.20719317717942</c:v>
                      </c:pt>
                      <c:pt idx="330">
                        <c:v>274.15719317717947</c:v>
                      </c:pt>
                      <c:pt idx="331">
                        <c:v>274.15719317717947</c:v>
                      </c:pt>
                      <c:pt idx="332">
                        <c:v>274.15719317717947</c:v>
                      </c:pt>
                      <c:pt idx="333">
                        <c:v>274.15719317717947</c:v>
                      </c:pt>
                      <c:pt idx="334">
                        <c:v>274.15719317717947</c:v>
                      </c:pt>
                      <c:pt idx="335">
                        <c:v>274.15719317717947</c:v>
                      </c:pt>
                      <c:pt idx="336">
                        <c:v>274.15719317717947</c:v>
                      </c:pt>
                      <c:pt idx="337">
                        <c:v>315.55719317717956</c:v>
                      </c:pt>
                      <c:pt idx="338">
                        <c:v>315.55719317717956</c:v>
                      </c:pt>
                      <c:pt idx="339">
                        <c:v>315.55719317717956</c:v>
                      </c:pt>
                      <c:pt idx="340">
                        <c:v>315.55719317717956</c:v>
                      </c:pt>
                      <c:pt idx="341">
                        <c:v>315.55719317717956</c:v>
                      </c:pt>
                      <c:pt idx="342">
                        <c:v>298.75719317717983</c:v>
                      </c:pt>
                      <c:pt idx="343">
                        <c:v>298.75719317717983</c:v>
                      </c:pt>
                      <c:pt idx="344">
                        <c:v>298.75719317717983</c:v>
                      </c:pt>
                      <c:pt idx="345">
                        <c:v>298.75719317717983</c:v>
                      </c:pt>
                      <c:pt idx="346">
                        <c:v>305.25719317717983</c:v>
                      </c:pt>
                    </c:numCache>
                  </c:numRef>
                </c:val>
                <c:smooth val="0"/>
                <c:extLst xmlns:c15="http://schemas.microsoft.com/office/drawing/2012/chart">
                  <c:ext xmlns:c16="http://schemas.microsoft.com/office/drawing/2014/chart" uri="{C3380CC4-5D6E-409C-BE32-E72D297353CC}">
                    <c16:uniqueId val="{00000006-EBC8-4142-B284-300638C218BD}"/>
                  </c:ext>
                </c:extLst>
              </c15:ser>
            </c15:filteredLineSeries>
          </c:ext>
        </c:extLst>
      </c:lineChart>
      <c:catAx>
        <c:axId val="147683023"/>
        <c:scaling>
          <c:orientation val="minMax"/>
        </c:scaling>
        <c:delete val="0"/>
        <c:axPos val="b"/>
        <c:majorGridlines>
          <c:spPr>
            <a:ln w="9525" cap="flat" cmpd="sng" algn="ctr">
              <a:solidFill>
                <a:schemeClr val="tx1">
                  <a:lumMod val="75000"/>
                  <a:lumOff val="25000"/>
                </a:schemeClr>
              </a:solidFill>
              <a:prstDash val="dash"/>
              <a:round/>
            </a:ln>
            <a:effectLst/>
          </c:spPr>
        </c:majorGridlines>
        <c:majorTickMark val="none"/>
        <c:minorTickMark val="none"/>
        <c:tickLblPos val="low"/>
        <c:spPr>
          <a:noFill/>
          <a:ln w="12700" cap="flat" cmpd="sng" algn="ctr">
            <a:solidFill>
              <a:sysClr val="windowText" lastClr="000000"/>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6645279"/>
        <c:crosses val="autoZero"/>
        <c:auto val="1"/>
        <c:lblAlgn val="ctr"/>
        <c:lblOffset val="100"/>
        <c:tickLblSkip val="25"/>
        <c:tickMarkSkip val="25"/>
        <c:noMultiLvlLbl val="0"/>
      </c:catAx>
      <c:valAx>
        <c:axId val="146645279"/>
        <c:scaling>
          <c:orientation val="minMax"/>
          <c:max val="20"/>
          <c:min val="-10"/>
        </c:scaling>
        <c:delete val="0"/>
        <c:axPos val="r"/>
        <c:majorGridlines>
          <c:spPr>
            <a:ln w="9525" cap="flat" cmpd="sng" algn="ctr">
              <a:solidFill>
                <a:schemeClr val="tx1">
                  <a:lumMod val="75000"/>
                  <a:lumOff val="25000"/>
                </a:schemeClr>
              </a:solidFill>
              <a:prstDash val="dash"/>
              <a:round/>
            </a:ln>
            <a:effectLst/>
          </c:spPr>
        </c:majorGridlines>
        <c:numFmt formatCode="0" sourceLinked="0"/>
        <c:majorTickMark val="none"/>
        <c:minorTickMark val="none"/>
        <c:tickLblPos val="high"/>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7683023"/>
        <c:crosses val="max"/>
        <c:crossBetween val="between"/>
      </c:valAx>
      <c:spPr>
        <a:solidFill>
          <a:schemeClr val="tx1">
            <a:lumMod val="65000"/>
            <a:lumOff val="35000"/>
          </a:schemeClr>
        </a:solidFill>
        <a:ln>
          <a:solidFill>
            <a:sysClr val="windowText" lastClr="000000"/>
          </a:solidFill>
        </a:ln>
        <a:effectLst/>
      </c:spPr>
    </c:plotArea>
    <c:legend>
      <c:legendPos val="t"/>
      <c:layout>
        <c:manualLayout>
          <c:xMode val="edge"/>
          <c:yMode val="edge"/>
          <c:x val="0.39634286005511454"/>
          <c:y val="1.2316999395039325E-2"/>
          <c:w val="0.57612618810998151"/>
          <c:h val="4.9614968727820091E-2"/>
        </c:manualLayout>
      </c:layout>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legend>
    <c:plotVisOnly val="0"/>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accent3">
                    <a:lumMod val="75000"/>
                  </a:schemeClr>
                </a:solidFill>
                <a:latin typeface="+mn-lt"/>
                <a:ea typeface="+mn-ea"/>
                <a:cs typeface="+mn-cs"/>
              </a:defRPr>
            </a:pPr>
            <a:r>
              <a:rPr lang="en-US" sz="2000" b="1">
                <a:solidFill>
                  <a:schemeClr val="accent3">
                    <a:lumMod val="75000"/>
                  </a:schemeClr>
                </a:solidFill>
              </a:rPr>
              <a:t>The Three Tiers (XLC)</a:t>
            </a:r>
          </a:p>
        </c:rich>
      </c:tx>
      <c:layout>
        <c:manualLayout>
          <c:xMode val="edge"/>
          <c:yMode val="edge"/>
          <c:x val="2.8694404591104734E-2"/>
          <c:y val="2.4198427102238356E-3"/>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accent3">
                  <a:lumMod val="75000"/>
                </a:schemeClr>
              </a:solidFill>
              <a:latin typeface="+mn-lt"/>
              <a:ea typeface="+mn-ea"/>
              <a:cs typeface="+mn-cs"/>
            </a:defRPr>
          </a:pPr>
          <a:endParaRPr lang="en-US"/>
        </a:p>
      </c:txPr>
    </c:title>
    <c:autoTitleDeleted val="0"/>
    <c:plotArea>
      <c:layout>
        <c:manualLayout>
          <c:layoutTarget val="inner"/>
          <c:xMode val="edge"/>
          <c:yMode val="edge"/>
          <c:x val="1.0171058714748035E-2"/>
          <c:y val="7.7350558040499021E-2"/>
          <c:w val="0.95283482768537431"/>
          <c:h val="0.86018548951798435"/>
        </c:manualLayout>
      </c:layout>
      <c:lineChart>
        <c:grouping val="standard"/>
        <c:varyColors val="0"/>
        <c:ser>
          <c:idx val="0"/>
          <c:order val="0"/>
          <c:tx>
            <c:v>Up</c:v>
          </c:tx>
          <c:spPr>
            <a:ln w="28575" cap="rnd">
              <a:solidFill>
                <a:schemeClr val="accent6">
                  <a:lumMod val="75000"/>
                </a:schemeClr>
              </a:solidFill>
              <a:prstDash val="solid"/>
              <a:round/>
            </a:ln>
            <a:effectLst/>
          </c:spPr>
          <c:marker>
            <c:symbol val="none"/>
          </c:marker>
          <c:val>
            <c:numRef>
              <c:f>'2025-Q2'!$DL$4:$DL$422</c:f>
              <c:numCache>
                <c:formatCode>0.00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-1.2097286851272664</c:v>
                </c:pt>
                <c:pt idx="104">
                  <c:v>-1.2097286851272664</c:v>
                </c:pt>
                <c:pt idx="105">
                  <c:v>-1.2097286851272664</c:v>
                </c:pt>
                <c:pt idx="106">
                  <c:v>-1.2097286851272664</c:v>
                </c:pt>
                <c:pt idx="107">
                  <c:v>-1.2097286851272664</c:v>
                </c:pt>
                <c:pt idx="108">
                  <c:v>-1.2097286851272664</c:v>
                </c:pt>
                <c:pt idx="109">
                  <c:v>-1.2097286851272664</c:v>
                </c:pt>
                <c:pt idx="110">
                  <c:v>-1.2097286851272664</c:v>
                </c:pt>
                <c:pt idx="111">
                  <c:v>-1.2097286851272664</c:v>
                </c:pt>
                <c:pt idx="112">
                  <c:v>-1.2097286851272664</c:v>
                </c:pt>
                <c:pt idx="113">
                  <c:v>-1.2097286851272664</c:v>
                </c:pt>
                <c:pt idx="114">
                  <c:v>-1.2097286851272664</c:v>
                </c:pt>
                <c:pt idx="115">
                  <c:v>-1.2097286851272664</c:v>
                </c:pt>
                <c:pt idx="116">
                  <c:v>-1.2097286851272664</c:v>
                </c:pt>
                <c:pt idx="117">
                  <c:v>-1.2097286851272664</c:v>
                </c:pt>
                <c:pt idx="118">
                  <c:v>-1.2097286851272664</c:v>
                </c:pt>
                <c:pt idx="119">
                  <c:v>-1.2097286851272664</c:v>
                </c:pt>
                <c:pt idx="120">
                  <c:v>-1.2097286851272664</c:v>
                </c:pt>
                <c:pt idx="121">
                  <c:v>-1.2097286851272664</c:v>
                </c:pt>
                <c:pt idx="122">
                  <c:v>-1.2097286851272664</c:v>
                </c:pt>
                <c:pt idx="123">
                  <c:v>-1.2097286851272664</c:v>
                </c:pt>
                <c:pt idx="124">
                  <c:v>-1.2097286851272664</c:v>
                </c:pt>
                <c:pt idx="125">
                  <c:v>-1.2097286851272664</c:v>
                </c:pt>
                <c:pt idx="126">
                  <c:v>-1.2097286851272664</c:v>
                </c:pt>
                <c:pt idx="127">
                  <c:v>-1.2097286851272664</c:v>
                </c:pt>
                <c:pt idx="128">
                  <c:v>-1.2097286851272664</c:v>
                </c:pt>
                <c:pt idx="129">
                  <c:v>-1.2097286851272664</c:v>
                </c:pt>
                <c:pt idx="130">
                  <c:v>-1.2097286851272664</c:v>
                </c:pt>
                <c:pt idx="131">
                  <c:v>-1.2097286851272664</c:v>
                </c:pt>
                <c:pt idx="132">
                  <c:v>-1.2097286851272664</c:v>
                </c:pt>
                <c:pt idx="133">
                  <c:v>-1.2097286851272664</c:v>
                </c:pt>
                <c:pt idx="134">
                  <c:v>-1.2097286851272664</c:v>
                </c:pt>
                <c:pt idx="135">
                  <c:v>-1.2097286851272664</c:v>
                </c:pt>
                <c:pt idx="136">
                  <c:v>-1.2097286851272664</c:v>
                </c:pt>
                <c:pt idx="137">
                  <c:v>-1.2097286851272664</c:v>
                </c:pt>
                <c:pt idx="138">
                  <c:v>-1.2097286851272664</c:v>
                </c:pt>
                <c:pt idx="139">
                  <c:v>-1.2097286851272664</c:v>
                </c:pt>
                <c:pt idx="140">
                  <c:v>-1.2097286851272664</c:v>
                </c:pt>
                <c:pt idx="141">
                  <c:v>-1.2097286851272664</c:v>
                </c:pt>
                <c:pt idx="142">
                  <c:v>-1.2097286851272664</c:v>
                </c:pt>
                <c:pt idx="143">
                  <c:v>-1.2097286851272664</c:v>
                </c:pt>
                <c:pt idx="144">
                  <c:v>-1.2097286851272664</c:v>
                </c:pt>
                <c:pt idx="145">
                  <c:v>-1.2097286851272664</c:v>
                </c:pt>
                <c:pt idx="146">
                  <c:v>-1.2097286851272664</c:v>
                </c:pt>
                <c:pt idx="147">
                  <c:v>-1.2097286851272664</c:v>
                </c:pt>
                <c:pt idx="148">
                  <c:v>-1.2097286851272664</c:v>
                </c:pt>
                <c:pt idx="149">
                  <c:v>-1.2097286851272664</c:v>
                </c:pt>
                <c:pt idx="150">
                  <c:v>-1.2097286851272664</c:v>
                </c:pt>
                <c:pt idx="151">
                  <c:v>-1.2097286851272664</c:v>
                </c:pt>
                <c:pt idx="152">
                  <c:v>-1.2097286851272664</c:v>
                </c:pt>
                <c:pt idx="153">
                  <c:v>-1.2097286851272664</c:v>
                </c:pt>
                <c:pt idx="154">
                  <c:v>-1.2097286851272664</c:v>
                </c:pt>
                <c:pt idx="155">
                  <c:v>-1.2097286851272664</c:v>
                </c:pt>
                <c:pt idx="156">
                  <c:v>-1.2097286851272664</c:v>
                </c:pt>
                <c:pt idx="157">
                  <c:v>-1.2097286851272664</c:v>
                </c:pt>
                <c:pt idx="158">
                  <c:v>-1.2097286851272664</c:v>
                </c:pt>
                <c:pt idx="159">
                  <c:v>-1.2097286851272664</c:v>
                </c:pt>
                <c:pt idx="160">
                  <c:v>-1.2097286851272664</c:v>
                </c:pt>
                <c:pt idx="161">
                  <c:v>-1.2097286851272664</c:v>
                </c:pt>
                <c:pt idx="162">
                  <c:v>-1.2097286851272664</c:v>
                </c:pt>
                <c:pt idx="163">
                  <c:v>-1.2097286851272664</c:v>
                </c:pt>
                <c:pt idx="164">
                  <c:v>-1.2097286851272664</c:v>
                </c:pt>
                <c:pt idx="165">
                  <c:v>-1.2097286851272664</c:v>
                </c:pt>
                <c:pt idx="166">
                  <c:v>-1.2097286851272664</c:v>
                </c:pt>
                <c:pt idx="167">
                  <c:v>-1.2097286851272664</c:v>
                </c:pt>
                <c:pt idx="168">
                  <c:v>-1.2097286851272664</c:v>
                </c:pt>
                <c:pt idx="169">
                  <c:v>-1.2097286851272664</c:v>
                </c:pt>
                <c:pt idx="170">
                  <c:v>-1.2097286851272664</c:v>
                </c:pt>
                <c:pt idx="171">
                  <c:v>-1.2097286851272664</c:v>
                </c:pt>
                <c:pt idx="172">
                  <c:v>-1.2097286851272664</c:v>
                </c:pt>
                <c:pt idx="173">
                  <c:v>-1.2097286851272664</c:v>
                </c:pt>
                <c:pt idx="174">
                  <c:v>-1.2097286851272664</c:v>
                </c:pt>
                <c:pt idx="175">
                  <c:v>-1.2097286851272664</c:v>
                </c:pt>
                <c:pt idx="176">
                  <c:v>-1.2097286851272664</c:v>
                </c:pt>
                <c:pt idx="177">
                  <c:v>-1.2097286851272664</c:v>
                </c:pt>
                <c:pt idx="178">
                  <c:v>-1.2097286851272664</c:v>
                </c:pt>
                <c:pt idx="179">
                  <c:v>-1.2097286851272664</c:v>
                </c:pt>
                <c:pt idx="180">
                  <c:v>-1.2097286851272664</c:v>
                </c:pt>
                <c:pt idx="181">
                  <c:v>-1.2097286851272664</c:v>
                </c:pt>
                <c:pt idx="182">
                  <c:v>-1.2097286851272664</c:v>
                </c:pt>
                <c:pt idx="183">
                  <c:v>-1.2097286851272664</c:v>
                </c:pt>
                <c:pt idx="184">
                  <c:v>-1.2097286851272664</c:v>
                </c:pt>
                <c:pt idx="185">
                  <c:v>-1.2097286851272664</c:v>
                </c:pt>
                <c:pt idx="186">
                  <c:v>-1.2097286851272664</c:v>
                </c:pt>
                <c:pt idx="187">
                  <c:v>-1.2097286851272664</c:v>
                </c:pt>
                <c:pt idx="188">
                  <c:v>-1.2097286851272664</c:v>
                </c:pt>
                <c:pt idx="189">
                  <c:v>-1.2097286851272664</c:v>
                </c:pt>
                <c:pt idx="190">
                  <c:v>-1.2097286851272664</c:v>
                </c:pt>
                <c:pt idx="191">
                  <c:v>-1.2097286851272664</c:v>
                </c:pt>
                <c:pt idx="192">
                  <c:v>-1.2097286851272664</c:v>
                </c:pt>
                <c:pt idx="193">
                  <c:v>-1.2097286851272664</c:v>
                </c:pt>
                <c:pt idx="194">
                  <c:v>-1.2097286851272664</c:v>
                </c:pt>
                <c:pt idx="195">
                  <c:v>-1.2097286851272664</c:v>
                </c:pt>
                <c:pt idx="196">
                  <c:v>-1.2097286851272664</c:v>
                </c:pt>
                <c:pt idx="197">
                  <c:v>-1.2097286851272664</c:v>
                </c:pt>
                <c:pt idx="198">
                  <c:v>-1.2097286851272664</c:v>
                </c:pt>
                <c:pt idx="199">
                  <c:v>-1.2097286851272664</c:v>
                </c:pt>
                <c:pt idx="200">
                  <c:v>-1.2097286851272664</c:v>
                </c:pt>
                <c:pt idx="201">
                  <c:v>-1.2097286851272664</c:v>
                </c:pt>
                <c:pt idx="202">
                  <c:v>-1.2097286851272664</c:v>
                </c:pt>
                <c:pt idx="203">
                  <c:v>-1.2097286851272664</c:v>
                </c:pt>
                <c:pt idx="204">
                  <c:v>-1.2097286851272664</c:v>
                </c:pt>
                <c:pt idx="205">
                  <c:v>-1.2097286851272664</c:v>
                </c:pt>
                <c:pt idx="206">
                  <c:v>-1.2097286851272664</c:v>
                </c:pt>
                <c:pt idx="207">
                  <c:v>-1.2097286851272664</c:v>
                </c:pt>
                <c:pt idx="208">
                  <c:v>-1.2097286851272664</c:v>
                </c:pt>
                <c:pt idx="209">
                  <c:v>-1.2097286851272664</c:v>
                </c:pt>
                <c:pt idx="210">
                  <c:v>-1.2097286851272664</c:v>
                </c:pt>
                <c:pt idx="211">
                  <c:v>-1.2097286851272664</c:v>
                </c:pt>
                <c:pt idx="212">
                  <c:v>-1.2097286851272664</c:v>
                </c:pt>
                <c:pt idx="213">
                  <c:v>-1.2097286851272664</c:v>
                </c:pt>
                <c:pt idx="214">
                  <c:v>-1.2097286851272664</c:v>
                </c:pt>
                <c:pt idx="215">
                  <c:v>-1.2097286851272664</c:v>
                </c:pt>
                <c:pt idx="216">
                  <c:v>-1.2097286851272664</c:v>
                </c:pt>
                <c:pt idx="217">
                  <c:v>-1.2097286851272664</c:v>
                </c:pt>
                <c:pt idx="218">
                  <c:v>-1.2097286851272664</c:v>
                </c:pt>
                <c:pt idx="219">
                  <c:v>-1.2097286851272664</c:v>
                </c:pt>
                <c:pt idx="220">
                  <c:v>-1.2097286851272664</c:v>
                </c:pt>
                <c:pt idx="221">
                  <c:v>-1.2097286851272664</c:v>
                </c:pt>
                <c:pt idx="222">
                  <c:v>-1.2097286851272664</c:v>
                </c:pt>
                <c:pt idx="223">
                  <c:v>-1.2097286851272664</c:v>
                </c:pt>
                <c:pt idx="224">
                  <c:v>-1.2097286851272664</c:v>
                </c:pt>
                <c:pt idx="225">
                  <c:v>-1.2097286851272664</c:v>
                </c:pt>
                <c:pt idx="226">
                  <c:v>-1.2097286851272664</c:v>
                </c:pt>
                <c:pt idx="227">
                  <c:v>-1.2097286851272664</c:v>
                </c:pt>
                <c:pt idx="228">
                  <c:v>-1.2097286851272664</c:v>
                </c:pt>
                <c:pt idx="229">
                  <c:v>-1.2097286851272664</c:v>
                </c:pt>
                <c:pt idx="230">
                  <c:v>-1.2097286851272664</c:v>
                </c:pt>
                <c:pt idx="231">
                  <c:v>-1.2097286851272664</c:v>
                </c:pt>
                <c:pt idx="232">
                  <c:v>-1.2097286851272664</c:v>
                </c:pt>
                <c:pt idx="233">
                  <c:v>-1.2097286851272664</c:v>
                </c:pt>
                <c:pt idx="234">
                  <c:v>-1.2097286851272664</c:v>
                </c:pt>
                <c:pt idx="235">
                  <c:v>-1.2097286851272664</c:v>
                </c:pt>
                <c:pt idx="236">
                  <c:v>-1.2097286851272664</c:v>
                </c:pt>
                <c:pt idx="237">
                  <c:v>-1.2097286851272664</c:v>
                </c:pt>
                <c:pt idx="238">
                  <c:v>-1.2097286851272664</c:v>
                </c:pt>
                <c:pt idx="239">
                  <c:v>-1.2097286851272664</c:v>
                </c:pt>
                <c:pt idx="240">
                  <c:v>-1.2097286851272664</c:v>
                </c:pt>
                <c:pt idx="241">
                  <c:v>-1.2097286851272664</c:v>
                </c:pt>
                <c:pt idx="242">
                  <c:v>-1.2097286851272664</c:v>
                </c:pt>
                <c:pt idx="243">
                  <c:v>-1.2097286851272664</c:v>
                </c:pt>
                <c:pt idx="244">
                  <c:v>-1.2097286851272664</c:v>
                </c:pt>
                <c:pt idx="245">
                  <c:v>-1.2097286851272664</c:v>
                </c:pt>
                <c:pt idx="246">
                  <c:v>-1.2097286851272664</c:v>
                </c:pt>
                <c:pt idx="247">
                  <c:v>-1.2097286851272664</c:v>
                </c:pt>
                <c:pt idx="248">
                  <c:v>-1.2097286851272664</c:v>
                </c:pt>
                <c:pt idx="249">
                  <c:v>-1.2097286851272664</c:v>
                </c:pt>
                <c:pt idx="250">
                  <c:v>-1.2097286851272664</c:v>
                </c:pt>
                <c:pt idx="251">
                  <c:v>-1.2097286851272664</c:v>
                </c:pt>
                <c:pt idx="252">
                  <c:v>-1.2097286851272664</c:v>
                </c:pt>
                <c:pt idx="253">
                  <c:v>-1.2097286851272664</c:v>
                </c:pt>
                <c:pt idx="254">
                  <c:v>-1.2097286851272664</c:v>
                </c:pt>
                <c:pt idx="255">
                  <c:v>-1.2097286851272664</c:v>
                </c:pt>
                <c:pt idx="256">
                  <c:v>-1.2097286851272664</c:v>
                </c:pt>
                <c:pt idx="257">
                  <c:v>-1.2097286851272664</c:v>
                </c:pt>
                <c:pt idx="258">
                  <c:v>-1.2097286851272664</c:v>
                </c:pt>
                <c:pt idx="259">
                  <c:v>-1.2097286851272664</c:v>
                </c:pt>
                <c:pt idx="260">
                  <c:v>-1.2097286851272664</c:v>
                </c:pt>
                <c:pt idx="261">
                  <c:v>-1.2097286851272664</c:v>
                </c:pt>
                <c:pt idx="262">
                  <c:v>-1.2097286851272664</c:v>
                </c:pt>
                <c:pt idx="263">
                  <c:v>-1.2097286851272664</c:v>
                </c:pt>
                <c:pt idx="264">
                  <c:v>-1.2097286851272664</c:v>
                </c:pt>
                <c:pt idx="265">
                  <c:v>-1.2097286851272664</c:v>
                </c:pt>
                <c:pt idx="266">
                  <c:v>-1.2097286851272664</c:v>
                </c:pt>
                <c:pt idx="267">
                  <c:v>-1.2097286851272664</c:v>
                </c:pt>
                <c:pt idx="268">
                  <c:v>-1.2097286851272664</c:v>
                </c:pt>
                <c:pt idx="269">
                  <c:v>-1.2097286851272664</c:v>
                </c:pt>
                <c:pt idx="270">
                  <c:v>-1.2097286851272664</c:v>
                </c:pt>
                <c:pt idx="271">
                  <c:v>-1.2097286851272664</c:v>
                </c:pt>
                <c:pt idx="272">
                  <c:v>-1.2097286851272664</c:v>
                </c:pt>
                <c:pt idx="273">
                  <c:v>-1.2097286851272664</c:v>
                </c:pt>
                <c:pt idx="274">
                  <c:v>-1.2097286851272664</c:v>
                </c:pt>
                <c:pt idx="275">
                  <c:v>-1.2097286851272664</c:v>
                </c:pt>
                <c:pt idx="276">
                  <c:v>-1.2097286851272664</c:v>
                </c:pt>
                <c:pt idx="277">
                  <c:v>-1.2097286851272664</c:v>
                </c:pt>
                <c:pt idx="278">
                  <c:v>-1.2097286851272664</c:v>
                </c:pt>
                <c:pt idx="279">
                  <c:v>-1.2097286851272664</c:v>
                </c:pt>
                <c:pt idx="280">
                  <c:v>-1.2097286851272664</c:v>
                </c:pt>
                <c:pt idx="281">
                  <c:v>-1.2097286851272664</c:v>
                </c:pt>
                <c:pt idx="282">
                  <c:v>-1.2097286851272664</c:v>
                </c:pt>
                <c:pt idx="283">
                  <c:v>-1.2097286851272664</c:v>
                </c:pt>
                <c:pt idx="284">
                  <c:v>-1.2097286851272664</c:v>
                </c:pt>
                <c:pt idx="285">
                  <c:v>-1.2097286851272664</c:v>
                </c:pt>
                <c:pt idx="286">
                  <c:v>-1.2097286851272664</c:v>
                </c:pt>
                <c:pt idx="287">
                  <c:v>-1.2097286851272664</c:v>
                </c:pt>
                <c:pt idx="288">
                  <c:v>-1.2097286851272664</c:v>
                </c:pt>
                <c:pt idx="289">
                  <c:v>-1.2097286851272664</c:v>
                </c:pt>
                <c:pt idx="290">
                  <c:v>-1.2097286851272664</c:v>
                </c:pt>
                <c:pt idx="291">
                  <c:v>-1.2097286851272664</c:v>
                </c:pt>
                <c:pt idx="292">
                  <c:v>-1.2097286851272664</c:v>
                </c:pt>
                <c:pt idx="293">
                  <c:v>-1.2097286851272664</c:v>
                </c:pt>
                <c:pt idx="294">
                  <c:v>-1.2097286851272664</c:v>
                </c:pt>
                <c:pt idx="295">
                  <c:v>-1.2097286851272664</c:v>
                </c:pt>
                <c:pt idx="296">
                  <c:v>-1.2097286851272664</c:v>
                </c:pt>
                <c:pt idx="297">
                  <c:v>-1.2097286851272664</c:v>
                </c:pt>
                <c:pt idx="298">
                  <c:v>-1.2097286851272664</c:v>
                </c:pt>
                <c:pt idx="299">
                  <c:v>-1.2097286851272664</c:v>
                </c:pt>
                <c:pt idx="300">
                  <c:v>-1.2097286851272664</c:v>
                </c:pt>
                <c:pt idx="301">
                  <c:v>-1.2097286851272664</c:v>
                </c:pt>
                <c:pt idx="302">
                  <c:v>-1.2097286851272664</c:v>
                </c:pt>
                <c:pt idx="303">
                  <c:v>-1.2097286851272664</c:v>
                </c:pt>
                <c:pt idx="304">
                  <c:v>-1.2097286851272664</c:v>
                </c:pt>
                <c:pt idx="305">
                  <c:v>-1.2097286851272664</c:v>
                </c:pt>
                <c:pt idx="306">
                  <c:v>-1.2097286851272664</c:v>
                </c:pt>
                <c:pt idx="307">
                  <c:v>-1.2097286851272664</c:v>
                </c:pt>
                <c:pt idx="308">
                  <c:v>-1.2097286851272664</c:v>
                </c:pt>
                <c:pt idx="309">
                  <c:v>-1.2097286851272664</c:v>
                </c:pt>
                <c:pt idx="310">
                  <c:v>-1.2097286851272664</c:v>
                </c:pt>
                <c:pt idx="311">
                  <c:v>-1.2097286851272664</c:v>
                </c:pt>
                <c:pt idx="312">
                  <c:v>-1.2097286851272664</c:v>
                </c:pt>
                <c:pt idx="313">
                  <c:v>-1.2097286851272664</c:v>
                </c:pt>
                <c:pt idx="314">
                  <c:v>-1.2097286851272664</c:v>
                </c:pt>
                <c:pt idx="315">
                  <c:v>-1.2097286851272664</c:v>
                </c:pt>
                <c:pt idx="316">
                  <c:v>-1.2097286851272664</c:v>
                </c:pt>
                <c:pt idx="317">
                  <c:v>-0.84049791589649614</c:v>
                </c:pt>
                <c:pt idx="318">
                  <c:v>-0.84049791589649614</c:v>
                </c:pt>
                <c:pt idx="319">
                  <c:v>-0.84049791589649614</c:v>
                </c:pt>
                <c:pt idx="320">
                  <c:v>-0.84049791589649614</c:v>
                </c:pt>
                <c:pt idx="321">
                  <c:v>-0.84049791589649614</c:v>
                </c:pt>
                <c:pt idx="322">
                  <c:v>-0.84049791589649614</c:v>
                </c:pt>
                <c:pt idx="323">
                  <c:v>-0.84049791589649614</c:v>
                </c:pt>
                <c:pt idx="324">
                  <c:v>-0.84049791589649614</c:v>
                </c:pt>
                <c:pt idx="325">
                  <c:v>-0.84049791589649614</c:v>
                </c:pt>
                <c:pt idx="326">
                  <c:v>-0.84049791589649614</c:v>
                </c:pt>
                <c:pt idx="327">
                  <c:v>-0.84049791589649614</c:v>
                </c:pt>
                <c:pt idx="328">
                  <c:v>-0.84049791589649614</c:v>
                </c:pt>
                <c:pt idx="329">
                  <c:v>-0.84049791589649614</c:v>
                </c:pt>
                <c:pt idx="330">
                  <c:v>-0.84049791589649614</c:v>
                </c:pt>
                <c:pt idx="331">
                  <c:v>-0.84049791589649614</c:v>
                </c:pt>
                <c:pt idx="332">
                  <c:v>-0.84049791589649614</c:v>
                </c:pt>
                <c:pt idx="333">
                  <c:v>-0.84049791589649614</c:v>
                </c:pt>
                <c:pt idx="334">
                  <c:v>-0.84049791589649614</c:v>
                </c:pt>
                <c:pt idx="335">
                  <c:v>-0.84049791589649614</c:v>
                </c:pt>
                <c:pt idx="336">
                  <c:v>-0.84049791589649614</c:v>
                </c:pt>
                <c:pt idx="337">
                  <c:v>-0.84049791589649614</c:v>
                </c:pt>
                <c:pt idx="338">
                  <c:v>-0.84049791589649614</c:v>
                </c:pt>
                <c:pt idx="339">
                  <c:v>-0.84049791589649614</c:v>
                </c:pt>
                <c:pt idx="340">
                  <c:v>-0.84049791589649614</c:v>
                </c:pt>
                <c:pt idx="341">
                  <c:v>-0.84049791589649614</c:v>
                </c:pt>
                <c:pt idx="342">
                  <c:v>-0.84049791589649614</c:v>
                </c:pt>
                <c:pt idx="343">
                  <c:v>-0.84049791589649614</c:v>
                </c:pt>
                <c:pt idx="344">
                  <c:v>-0.84049791589649614</c:v>
                </c:pt>
                <c:pt idx="345">
                  <c:v>-0.84049791589649614</c:v>
                </c:pt>
                <c:pt idx="346">
                  <c:v>-0.84049791589649614</c:v>
                </c:pt>
                <c:pt idx="347">
                  <c:v>-0.84049791589649614</c:v>
                </c:pt>
                <c:pt idx="348">
                  <c:v>-0.84049791589649614</c:v>
                </c:pt>
                <c:pt idx="349">
                  <c:v>-0.84049791589649614</c:v>
                </c:pt>
                <c:pt idx="350">
                  <c:v>-0.84049791589649614</c:v>
                </c:pt>
                <c:pt idx="351">
                  <c:v>-0.84049791589649614</c:v>
                </c:pt>
                <c:pt idx="352">
                  <c:v>-0.84049791589649614</c:v>
                </c:pt>
                <c:pt idx="353">
                  <c:v>-0.84049791589649614</c:v>
                </c:pt>
                <c:pt idx="354">
                  <c:v>-0.84049791589649614</c:v>
                </c:pt>
                <c:pt idx="355">
                  <c:v>-0.84049791589649614</c:v>
                </c:pt>
                <c:pt idx="356">
                  <c:v>-0.84049791589649614</c:v>
                </c:pt>
                <c:pt idx="357">
                  <c:v>-0.84049791589649614</c:v>
                </c:pt>
                <c:pt idx="358">
                  <c:v>-0.84049791589649614</c:v>
                </c:pt>
                <c:pt idx="359">
                  <c:v>-0.84049791589649614</c:v>
                </c:pt>
                <c:pt idx="360">
                  <c:v>-0.84049791589649614</c:v>
                </c:pt>
                <c:pt idx="361">
                  <c:v>-0.84049791589649614</c:v>
                </c:pt>
                <c:pt idx="362">
                  <c:v>-0.84049791589649614</c:v>
                </c:pt>
                <c:pt idx="363">
                  <c:v>-0.84049791589649614</c:v>
                </c:pt>
                <c:pt idx="364">
                  <c:v>-0.84049791589649614</c:v>
                </c:pt>
                <c:pt idx="365">
                  <c:v>-0.84049791589649614</c:v>
                </c:pt>
                <c:pt idx="366">
                  <c:v>-0.84049791589649614</c:v>
                </c:pt>
                <c:pt idx="367">
                  <c:v>-0.84049791589649614</c:v>
                </c:pt>
                <c:pt idx="368">
                  <c:v>-0.84049791589649614</c:v>
                </c:pt>
                <c:pt idx="369">
                  <c:v>-0.84049791589649614</c:v>
                </c:pt>
                <c:pt idx="370">
                  <c:v>-0.84049791589649614</c:v>
                </c:pt>
                <c:pt idx="371">
                  <c:v>-0.84049791589649614</c:v>
                </c:pt>
                <c:pt idx="372">
                  <c:v>-0.84049791589649614</c:v>
                </c:pt>
                <c:pt idx="373">
                  <c:v>-0.84049791589649614</c:v>
                </c:pt>
                <c:pt idx="374">
                  <c:v>-0.84049791589649614</c:v>
                </c:pt>
                <c:pt idx="375">
                  <c:v>-0.84049791589649614</c:v>
                </c:pt>
                <c:pt idx="376">
                  <c:v>-0.84049791589649614</c:v>
                </c:pt>
                <c:pt idx="377">
                  <c:v>-0.84049791589649614</c:v>
                </c:pt>
                <c:pt idx="378">
                  <c:v>-0.84049791589649614</c:v>
                </c:pt>
                <c:pt idx="379">
                  <c:v>-0.84049791589649614</c:v>
                </c:pt>
                <c:pt idx="380">
                  <c:v>-0.84049791589649614</c:v>
                </c:pt>
                <c:pt idx="381">
                  <c:v>-0.84049791589649614</c:v>
                </c:pt>
                <c:pt idx="382">
                  <c:v>-0.84049791589649614</c:v>
                </c:pt>
                <c:pt idx="383">
                  <c:v>-0.84049791589649614</c:v>
                </c:pt>
                <c:pt idx="384">
                  <c:v>-0.84049791589649614</c:v>
                </c:pt>
                <c:pt idx="385">
                  <c:v>-0.84049791589649614</c:v>
                </c:pt>
                <c:pt idx="386">
                  <c:v>-0.84049791589649614</c:v>
                </c:pt>
                <c:pt idx="387">
                  <c:v>-0.84049791589649614</c:v>
                </c:pt>
                <c:pt idx="388">
                  <c:v>-0.84049791589649614</c:v>
                </c:pt>
                <c:pt idx="389">
                  <c:v>-0.84049791589649614</c:v>
                </c:pt>
                <c:pt idx="390">
                  <c:v>-0.84049791589649614</c:v>
                </c:pt>
                <c:pt idx="391">
                  <c:v>-0.84049791589649614</c:v>
                </c:pt>
                <c:pt idx="392">
                  <c:v>-0.84049791589649614</c:v>
                </c:pt>
                <c:pt idx="393">
                  <c:v>-0.84049791589649614</c:v>
                </c:pt>
                <c:pt idx="394">
                  <c:v>-0.84049791589649614</c:v>
                </c:pt>
                <c:pt idx="395">
                  <c:v>-0.84049791589649614</c:v>
                </c:pt>
                <c:pt idx="396">
                  <c:v>-0.84049791589649614</c:v>
                </c:pt>
                <c:pt idx="397">
                  <c:v>-0.84049791589649614</c:v>
                </c:pt>
                <c:pt idx="398">
                  <c:v>-0.84049791589649614</c:v>
                </c:pt>
                <c:pt idx="399">
                  <c:v>-0.84049791589649614</c:v>
                </c:pt>
                <c:pt idx="400">
                  <c:v>-0.84049791589649614</c:v>
                </c:pt>
                <c:pt idx="401">
                  <c:v>-0.84049791589649614</c:v>
                </c:pt>
                <c:pt idx="402">
                  <c:v>-0.84049791589649614</c:v>
                </c:pt>
                <c:pt idx="403">
                  <c:v>-0.84049791589649614</c:v>
                </c:pt>
                <c:pt idx="404">
                  <c:v>-0.84049791589649614</c:v>
                </c:pt>
                <c:pt idx="405">
                  <c:v>-0.84049791589649614</c:v>
                </c:pt>
                <c:pt idx="406">
                  <c:v>-0.84049791589649614</c:v>
                </c:pt>
                <c:pt idx="407">
                  <c:v>-0.84049791589649614</c:v>
                </c:pt>
                <c:pt idx="408">
                  <c:v>-0.84049791589649614</c:v>
                </c:pt>
                <c:pt idx="409">
                  <c:v>-0.84049791589649614</c:v>
                </c:pt>
                <c:pt idx="410">
                  <c:v>-0.84049791589649614</c:v>
                </c:pt>
                <c:pt idx="411">
                  <c:v>-0.84049791589649614</c:v>
                </c:pt>
                <c:pt idx="412">
                  <c:v>-0.84049791589649614</c:v>
                </c:pt>
                <c:pt idx="413">
                  <c:v>-0.84049791589649614</c:v>
                </c:pt>
                <c:pt idx="414">
                  <c:v>-0.84049791589649614</c:v>
                </c:pt>
                <c:pt idx="415">
                  <c:v>-0.84049791589649614</c:v>
                </c:pt>
                <c:pt idx="416">
                  <c:v>-0.84049791589649614</c:v>
                </c:pt>
                <c:pt idx="417">
                  <c:v>-0.84049791589649614</c:v>
                </c:pt>
                <c:pt idx="418">
                  <c:v>-0.84049791589649614</c:v>
                </c:pt>
              </c:numCache>
            </c:numRef>
          </c:val>
          <c:smooth val="1"/>
          <c:extLst>
            <c:ext xmlns:c16="http://schemas.microsoft.com/office/drawing/2014/chart" uri="{C3380CC4-5D6E-409C-BE32-E72D297353CC}">
              <c16:uniqueId val="{00000000-73E2-4837-99C7-F287FF0F145B}"/>
            </c:ext>
          </c:extLst>
        </c:ser>
        <c:ser>
          <c:idx val="1"/>
          <c:order val="2"/>
          <c:tx>
            <c:v>Dwn</c:v>
          </c:tx>
          <c:spPr>
            <a:ln w="28575" cap="rnd">
              <a:solidFill>
                <a:schemeClr val="accent2"/>
              </a:solidFill>
              <a:prstDash val="solid"/>
              <a:round/>
            </a:ln>
            <a:effectLst/>
          </c:spPr>
          <c:marker>
            <c:symbol val="none"/>
          </c:marker>
          <c:val>
            <c:numRef>
              <c:f>'2025-Q2'!$DN$4:$DN$422</c:f>
              <c:numCache>
                <c:formatCode>0.00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0.36227168206863897</c:v>
                </c:pt>
                <c:pt idx="17">
                  <c:v>0.36227168206863897</c:v>
                </c:pt>
                <c:pt idx="18">
                  <c:v>0.36227168206863897</c:v>
                </c:pt>
                <c:pt idx="19">
                  <c:v>0.36227168206863897</c:v>
                </c:pt>
                <c:pt idx="20">
                  <c:v>0.36227168206863897</c:v>
                </c:pt>
                <c:pt idx="21">
                  <c:v>0.36227168206863897</c:v>
                </c:pt>
                <c:pt idx="22">
                  <c:v>0.36227168206863897</c:v>
                </c:pt>
                <c:pt idx="23">
                  <c:v>0.36227168206863897</c:v>
                </c:pt>
                <c:pt idx="24">
                  <c:v>0.36227168206863897</c:v>
                </c:pt>
                <c:pt idx="25">
                  <c:v>0.36227168206863897</c:v>
                </c:pt>
                <c:pt idx="26">
                  <c:v>0.36227168206863897</c:v>
                </c:pt>
                <c:pt idx="27">
                  <c:v>0.36227168206863897</c:v>
                </c:pt>
                <c:pt idx="28">
                  <c:v>0.36227168206863897</c:v>
                </c:pt>
                <c:pt idx="29">
                  <c:v>0.36227168206863897</c:v>
                </c:pt>
                <c:pt idx="30">
                  <c:v>0.36227168206863897</c:v>
                </c:pt>
                <c:pt idx="31">
                  <c:v>0.36227168206863897</c:v>
                </c:pt>
                <c:pt idx="32">
                  <c:v>0.36227168206863897</c:v>
                </c:pt>
                <c:pt idx="33">
                  <c:v>0.36227168206863897</c:v>
                </c:pt>
                <c:pt idx="34">
                  <c:v>0.36227168206863897</c:v>
                </c:pt>
                <c:pt idx="35">
                  <c:v>0.36227168206863897</c:v>
                </c:pt>
                <c:pt idx="36">
                  <c:v>0.36227168206863897</c:v>
                </c:pt>
                <c:pt idx="37">
                  <c:v>0.36227168206863897</c:v>
                </c:pt>
                <c:pt idx="38">
                  <c:v>0.36227168206863897</c:v>
                </c:pt>
                <c:pt idx="39">
                  <c:v>0.36227168206863897</c:v>
                </c:pt>
                <c:pt idx="40">
                  <c:v>0.36227168206863897</c:v>
                </c:pt>
                <c:pt idx="41">
                  <c:v>0.36227168206863897</c:v>
                </c:pt>
                <c:pt idx="42">
                  <c:v>0.36227168206863897</c:v>
                </c:pt>
                <c:pt idx="43">
                  <c:v>0.36227168206863897</c:v>
                </c:pt>
                <c:pt idx="44">
                  <c:v>0.36227168206863897</c:v>
                </c:pt>
                <c:pt idx="45">
                  <c:v>0.36227168206863897</c:v>
                </c:pt>
                <c:pt idx="46">
                  <c:v>0.36227168206863897</c:v>
                </c:pt>
                <c:pt idx="47">
                  <c:v>0.36227168206863897</c:v>
                </c:pt>
                <c:pt idx="48">
                  <c:v>0.36227168206863897</c:v>
                </c:pt>
                <c:pt idx="49">
                  <c:v>0.36227168206863897</c:v>
                </c:pt>
                <c:pt idx="50">
                  <c:v>0.36227168206863897</c:v>
                </c:pt>
                <c:pt idx="51">
                  <c:v>0.36227168206863897</c:v>
                </c:pt>
                <c:pt idx="52">
                  <c:v>0.36227168206863897</c:v>
                </c:pt>
                <c:pt idx="53">
                  <c:v>0.36227168206863897</c:v>
                </c:pt>
                <c:pt idx="54">
                  <c:v>0.36227168206863897</c:v>
                </c:pt>
                <c:pt idx="55">
                  <c:v>0.36227168206863897</c:v>
                </c:pt>
                <c:pt idx="56">
                  <c:v>0.36227168206863897</c:v>
                </c:pt>
                <c:pt idx="57">
                  <c:v>0.36227168206863897</c:v>
                </c:pt>
                <c:pt idx="58">
                  <c:v>0.36227168206863897</c:v>
                </c:pt>
                <c:pt idx="59">
                  <c:v>0.36227168206863897</c:v>
                </c:pt>
                <c:pt idx="60">
                  <c:v>0.36227168206863897</c:v>
                </c:pt>
                <c:pt idx="61">
                  <c:v>0.36227168206863897</c:v>
                </c:pt>
                <c:pt idx="62">
                  <c:v>0.36227168206863897</c:v>
                </c:pt>
                <c:pt idx="63">
                  <c:v>0.36227168206863897</c:v>
                </c:pt>
                <c:pt idx="64">
                  <c:v>0.36227168206863897</c:v>
                </c:pt>
                <c:pt idx="65">
                  <c:v>0.36227168206863897</c:v>
                </c:pt>
                <c:pt idx="66">
                  <c:v>0.36227168206863897</c:v>
                </c:pt>
                <c:pt idx="67">
                  <c:v>0.36227168206863897</c:v>
                </c:pt>
                <c:pt idx="68">
                  <c:v>0.36227168206863897</c:v>
                </c:pt>
                <c:pt idx="69">
                  <c:v>0.36227168206863897</c:v>
                </c:pt>
                <c:pt idx="70">
                  <c:v>0.36227168206863897</c:v>
                </c:pt>
                <c:pt idx="71">
                  <c:v>0.36227168206863897</c:v>
                </c:pt>
                <c:pt idx="72">
                  <c:v>0.36227168206863897</c:v>
                </c:pt>
                <c:pt idx="73">
                  <c:v>0.36227168206863897</c:v>
                </c:pt>
                <c:pt idx="74">
                  <c:v>0.36227168206863897</c:v>
                </c:pt>
                <c:pt idx="75">
                  <c:v>0.36227168206863897</c:v>
                </c:pt>
                <c:pt idx="76">
                  <c:v>0.36227168206863897</c:v>
                </c:pt>
                <c:pt idx="77">
                  <c:v>0.36227168206863897</c:v>
                </c:pt>
                <c:pt idx="78">
                  <c:v>0.36227168206863897</c:v>
                </c:pt>
                <c:pt idx="79">
                  <c:v>0.36227168206863897</c:v>
                </c:pt>
                <c:pt idx="80">
                  <c:v>0.36227168206863897</c:v>
                </c:pt>
                <c:pt idx="81">
                  <c:v>0.36227168206863897</c:v>
                </c:pt>
                <c:pt idx="82">
                  <c:v>0.36227168206863897</c:v>
                </c:pt>
                <c:pt idx="83">
                  <c:v>0.36227168206863897</c:v>
                </c:pt>
                <c:pt idx="84">
                  <c:v>0.36227168206863897</c:v>
                </c:pt>
                <c:pt idx="85">
                  <c:v>0.36227168206863897</c:v>
                </c:pt>
                <c:pt idx="86">
                  <c:v>0.36227168206863897</c:v>
                </c:pt>
                <c:pt idx="87">
                  <c:v>0.36227168206863897</c:v>
                </c:pt>
                <c:pt idx="88">
                  <c:v>0.36227168206863897</c:v>
                </c:pt>
                <c:pt idx="89">
                  <c:v>0.36227168206863897</c:v>
                </c:pt>
                <c:pt idx="90">
                  <c:v>1.5662171418887725</c:v>
                </c:pt>
                <c:pt idx="91">
                  <c:v>1.5662171418887725</c:v>
                </c:pt>
                <c:pt idx="92">
                  <c:v>1.5662171418887725</c:v>
                </c:pt>
                <c:pt idx="93">
                  <c:v>1.5662171418887725</c:v>
                </c:pt>
                <c:pt idx="94">
                  <c:v>1.5662171418887725</c:v>
                </c:pt>
                <c:pt idx="95">
                  <c:v>1.5662171418887725</c:v>
                </c:pt>
                <c:pt idx="96">
                  <c:v>1.5662171418887725</c:v>
                </c:pt>
                <c:pt idx="97">
                  <c:v>1.5662171418887725</c:v>
                </c:pt>
                <c:pt idx="98">
                  <c:v>1.1910608267574658</c:v>
                </c:pt>
                <c:pt idx="99">
                  <c:v>1.1910608267574658</c:v>
                </c:pt>
                <c:pt idx="100">
                  <c:v>1.1910608267574658</c:v>
                </c:pt>
                <c:pt idx="101">
                  <c:v>1.1910608267574658</c:v>
                </c:pt>
                <c:pt idx="102">
                  <c:v>1.1910608267574658</c:v>
                </c:pt>
                <c:pt idx="103">
                  <c:v>1.1910608267574658</c:v>
                </c:pt>
                <c:pt idx="104">
                  <c:v>1.1910608267574658</c:v>
                </c:pt>
                <c:pt idx="105">
                  <c:v>1.1910608267574658</c:v>
                </c:pt>
                <c:pt idx="106">
                  <c:v>1.1910608267574658</c:v>
                </c:pt>
                <c:pt idx="107">
                  <c:v>1.1910608267574658</c:v>
                </c:pt>
                <c:pt idx="108">
                  <c:v>1.1910608267574658</c:v>
                </c:pt>
                <c:pt idx="109">
                  <c:v>1.1910608267574658</c:v>
                </c:pt>
                <c:pt idx="110">
                  <c:v>1.1910608267574658</c:v>
                </c:pt>
                <c:pt idx="111">
                  <c:v>1.1910608267574658</c:v>
                </c:pt>
                <c:pt idx="112">
                  <c:v>1.1910608267574658</c:v>
                </c:pt>
                <c:pt idx="113">
                  <c:v>1.1910608267574658</c:v>
                </c:pt>
                <c:pt idx="114">
                  <c:v>1.1910608267574658</c:v>
                </c:pt>
                <c:pt idx="115">
                  <c:v>1.1910608267574658</c:v>
                </c:pt>
                <c:pt idx="116">
                  <c:v>1.1910608267574658</c:v>
                </c:pt>
                <c:pt idx="117">
                  <c:v>1.1910608267574658</c:v>
                </c:pt>
                <c:pt idx="118">
                  <c:v>1.1910608267574658</c:v>
                </c:pt>
                <c:pt idx="119">
                  <c:v>1.1910608267574658</c:v>
                </c:pt>
                <c:pt idx="120">
                  <c:v>1.1910608267574658</c:v>
                </c:pt>
                <c:pt idx="121">
                  <c:v>1.1910608267574658</c:v>
                </c:pt>
                <c:pt idx="122">
                  <c:v>1.1910608267574658</c:v>
                </c:pt>
                <c:pt idx="123">
                  <c:v>1.1910608267574658</c:v>
                </c:pt>
                <c:pt idx="124">
                  <c:v>1.1910608267574658</c:v>
                </c:pt>
                <c:pt idx="125">
                  <c:v>1.1910608267574658</c:v>
                </c:pt>
                <c:pt idx="126">
                  <c:v>1.1910608267574658</c:v>
                </c:pt>
                <c:pt idx="127">
                  <c:v>1.1910608267574658</c:v>
                </c:pt>
                <c:pt idx="128">
                  <c:v>1.1910608267574658</c:v>
                </c:pt>
                <c:pt idx="129">
                  <c:v>1.1910608267574658</c:v>
                </c:pt>
                <c:pt idx="130">
                  <c:v>1.1910608267574658</c:v>
                </c:pt>
                <c:pt idx="131">
                  <c:v>1.1910608267574658</c:v>
                </c:pt>
                <c:pt idx="132">
                  <c:v>1.1910608267574658</c:v>
                </c:pt>
                <c:pt idx="133">
                  <c:v>1.1910608267574658</c:v>
                </c:pt>
                <c:pt idx="134">
                  <c:v>1.1910608267574658</c:v>
                </c:pt>
                <c:pt idx="135">
                  <c:v>1.1910608267574658</c:v>
                </c:pt>
                <c:pt idx="136">
                  <c:v>1.1910608267574658</c:v>
                </c:pt>
                <c:pt idx="137">
                  <c:v>1.1910608267574658</c:v>
                </c:pt>
                <c:pt idx="138">
                  <c:v>1.1910608267574658</c:v>
                </c:pt>
                <c:pt idx="139">
                  <c:v>1.1910608267574658</c:v>
                </c:pt>
                <c:pt idx="140">
                  <c:v>1.1910608267574658</c:v>
                </c:pt>
                <c:pt idx="141">
                  <c:v>1.1910608267574658</c:v>
                </c:pt>
                <c:pt idx="142">
                  <c:v>1.1910608267574658</c:v>
                </c:pt>
                <c:pt idx="143">
                  <c:v>1.1910608267574658</c:v>
                </c:pt>
                <c:pt idx="144">
                  <c:v>1.1910608267574658</c:v>
                </c:pt>
                <c:pt idx="145">
                  <c:v>1.1910608267574658</c:v>
                </c:pt>
                <c:pt idx="146">
                  <c:v>1.1910608267574658</c:v>
                </c:pt>
                <c:pt idx="147">
                  <c:v>1.1910608267574658</c:v>
                </c:pt>
                <c:pt idx="148">
                  <c:v>1.1910608267574658</c:v>
                </c:pt>
                <c:pt idx="149">
                  <c:v>1.1910608267574658</c:v>
                </c:pt>
                <c:pt idx="150">
                  <c:v>1.1910608267574658</c:v>
                </c:pt>
                <c:pt idx="151">
                  <c:v>1.1910608267574658</c:v>
                </c:pt>
                <c:pt idx="152">
                  <c:v>1.1910608267574658</c:v>
                </c:pt>
                <c:pt idx="153">
                  <c:v>1.1910608267574658</c:v>
                </c:pt>
                <c:pt idx="154">
                  <c:v>1.1910608267574658</c:v>
                </c:pt>
                <c:pt idx="155">
                  <c:v>1.1910608267574658</c:v>
                </c:pt>
                <c:pt idx="156">
                  <c:v>1.1910608267574658</c:v>
                </c:pt>
                <c:pt idx="157">
                  <c:v>1.1910608267574658</c:v>
                </c:pt>
                <c:pt idx="158">
                  <c:v>1.1910608267574658</c:v>
                </c:pt>
                <c:pt idx="159">
                  <c:v>1.1910608267574658</c:v>
                </c:pt>
                <c:pt idx="160">
                  <c:v>1.1910608267574658</c:v>
                </c:pt>
                <c:pt idx="161">
                  <c:v>1.1910608267574658</c:v>
                </c:pt>
                <c:pt idx="162">
                  <c:v>1.1910608267574658</c:v>
                </c:pt>
                <c:pt idx="163">
                  <c:v>1.1910608267574658</c:v>
                </c:pt>
                <c:pt idx="164">
                  <c:v>1.1910608267574658</c:v>
                </c:pt>
                <c:pt idx="165">
                  <c:v>1.1910608267574658</c:v>
                </c:pt>
                <c:pt idx="166">
                  <c:v>1.1910608267574658</c:v>
                </c:pt>
                <c:pt idx="167">
                  <c:v>1.1910608267574658</c:v>
                </c:pt>
                <c:pt idx="168">
                  <c:v>1.1910608267574658</c:v>
                </c:pt>
                <c:pt idx="169">
                  <c:v>1.1910608267574658</c:v>
                </c:pt>
                <c:pt idx="170">
                  <c:v>1.1910608267574658</c:v>
                </c:pt>
                <c:pt idx="171">
                  <c:v>1.1910608267574658</c:v>
                </c:pt>
                <c:pt idx="172">
                  <c:v>1.1910608267574658</c:v>
                </c:pt>
                <c:pt idx="173">
                  <c:v>1.1910608267574658</c:v>
                </c:pt>
                <c:pt idx="174">
                  <c:v>1.1910608267574658</c:v>
                </c:pt>
                <c:pt idx="175">
                  <c:v>1.1910608267574658</c:v>
                </c:pt>
                <c:pt idx="176">
                  <c:v>1.1910608267574658</c:v>
                </c:pt>
                <c:pt idx="177">
                  <c:v>1.1910608267574658</c:v>
                </c:pt>
                <c:pt idx="178">
                  <c:v>1.1910608267574658</c:v>
                </c:pt>
                <c:pt idx="179">
                  <c:v>1.1910608267574658</c:v>
                </c:pt>
                <c:pt idx="180">
                  <c:v>1.1910608267574658</c:v>
                </c:pt>
                <c:pt idx="181">
                  <c:v>1.1910608267574658</c:v>
                </c:pt>
                <c:pt idx="182">
                  <c:v>1.1910608267574658</c:v>
                </c:pt>
                <c:pt idx="183">
                  <c:v>1.1910608267574658</c:v>
                </c:pt>
                <c:pt idx="184">
                  <c:v>1.1910608267574658</c:v>
                </c:pt>
                <c:pt idx="185">
                  <c:v>1.1910608267574658</c:v>
                </c:pt>
                <c:pt idx="186">
                  <c:v>1.1910608267574658</c:v>
                </c:pt>
                <c:pt idx="187">
                  <c:v>1.1910608267574658</c:v>
                </c:pt>
                <c:pt idx="188">
                  <c:v>1.1910608267574658</c:v>
                </c:pt>
                <c:pt idx="189">
                  <c:v>1.1910608267574658</c:v>
                </c:pt>
                <c:pt idx="190">
                  <c:v>1.1910608267574658</c:v>
                </c:pt>
                <c:pt idx="191">
                  <c:v>1.1910608267574658</c:v>
                </c:pt>
                <c:pt idx="192">
                  <c:v>1.1910608267574658</c:v>
                </c:pt>
                <c:pt idx="193">
                  <c:v>1.1910608267574658</c:v>
                </c:pt>
                <c:pt idx="194">
                  <c:v>1.1910608267574658</c:v>
                </c:pt>
                <c:pt idx="195">
                  <c:v>1.1910608267574658</c:v>
                </c:pt>
                <c:pt idx="196">
                  <c:v>1.1910608267574658</c:v>
                </c:pt>
                <c:pt idx="197">
                  <c:v>1.1910608267574658</c:v>
                </c:pt>
                <c:pt idx="198">
                  <c:v>1.1910608267574658</c:v>
                </c:pt>
                <c:pt idx="199">
                  <c:v>1.1910608267574658</c:v>
                </c:pt>
                <c:pt idx="200">
                  <c:v>1.1910608267574658</c:v>
                </c:pt>
                <c:pt idx="201">
                  <c:v>1.1910608267574658</c:v>
                </c:pt>
                <c:pt idx="202">
                  <c:v>1.1910608267574658</c:v>
                </c:pt>
                <c:pt idx="203">
                  <c:v>1.1910608267574658</c:v>
                </c:pt>
                <c:pt idx="204">
                  <c:v>1.1910608267574658</c:v>
                </c:pt>
                <c:pt idx="205">
                  <c:v>1.1910608267574658</c:v>
                </c:pt>
                <c:pt idx="206">
                  <c:v>1.1910608267574658</c:v>
                </c:pt>
                <c:pt idx="207">
                  <c:v>1.1910608267574658</c:v>
                </c:pt>
                <c:pt idx="208">
                  <c:v>1.1910608267574658</c:v>
                </c:pt>
                <c:pt idx="209">
                  <c:v>1.1910608267574658</c:v>
                </c:pt>
                <c:pt idx="210">
                  <c:v>1.1910608267574658</c:v>
                </c:pt>
                <c:pt idx="211">
                  <c:v>1.1910608267574658</c:v>
                </c:pt>
                <c:pt idx="212">
                  <c:v>1.1910608267574658</c:v>
                </c:pt>
                <c:pt idx="213">
                  <c:v>1.1910608267574658</c:v>
                </c:pt>
                <c:pt idx="214">
                  <c:v>1.1910608267574658</c:v>
                </c:pt>
                <c:pt idx="215">
                  <c:v>1.1910608267574658</c:v>
                </c:pt>
                <c:pt idx="216">
                  <c:v>1.1910608267574658</c:v>
                </c:pt>
                <c:pt idx="217">
                  <c:v>1.1910608267574658</c:v>
                </c:pt>
                <c:pt idx="218">
                  <c:v>1.1910608267574658</c:v>
                </c:pt>
                <c:pt idx="219">
                  <c:v>1.1910608267574658</c:v>
                </c:pt>
                <c:pt idx="220">
                  <c:v>1.1910608267574658</c:v>
                </c:pt>
                <c:pt idx="221">
                  <c:v>1.1910608267574658</c:v>
                </c:pt>
                <c:pt idx="222">
                  <c:v>1.1910608267574658</c:v>
                </c:pt>
                <c:pt idx="223">
                  <c:v>1.1910608267574658</c:v>
                </c:pt>
                <c:pt idx="224">
                  <c:v>1.1910608267574658</c:v>
                </c:pt>
                <c:pt idx="225">
                  <c:v>1.1910608267574658</c:v>
                </c:pt>
                <c:pt idx="226">
                  <c:v>1.1910608267574658</c:v>
                </c:pt>
                <c:pt idx="227">
                  <c:v>1.1910608267574658</c:v>
                </c:pt>
                <c:pt idx="228">
                  <c:v>1.1910608267574658</c:v>
                </c:pt>
                <c:pt idx="229">
                  <c:v>1.1910608267574658</c:v>
                </c:pt>
                <c:pt idx="230">
                  <c:v>1.1910608267574658</c:v>
                </c:pt>
                <c:pt idx="231">
                  <c:v>1.1910608267574658</c:v>
                </c:pt>
                <c:pt idx="232">
                  <c:v>1.1910608267574658</c:v>
                </c:pt>
                <c:pt idx="233">
                  <c:v>1.1910608267574658</c:v>
                </c:pt>
                <c:pt idx="234">
                  <c:v>1.1910608267574658</c:v>
                </c:pt>
                <c:pt idx="235">
                  <c:v>1.1910608267574658</c:v>
                </c:pt>
                <c:pt idx="236">
                  <c:v>3.0281848543081331</c:v>
                </c:pt>
                <c:pt idx="237">
                  <c:v>3.0281848543081331</c:v>
                </c:pt>
                <c:pt idx="238">
                  <c:v>3.0281848543081331</c:v>
                </c:pt>
                <c:pt idx="239">
                  <c:v>3.0281848543081331</c:v>
                </c:pt>
                <c:pt idx="240">
                  <c:v>3.0281848543081331</c:v>
                </c:pt>
                <c:pt idx="241">
                  <c:v>3.0281848543081331</c:v>
                </c:pt>
                <c:pt idx="242">
                  <c:v>3.0281848543081331</c:v>
                </c:pt>
                <c:pt idx="243">
                  <c:v>3.0281848543081331</c:v>
                </c:pt>
                <c:pt idx="244">
                  <c:v>3.0281848543081331</c:v>
                </c:pt>
                <c:pt idx="245">
                  <c:v>3.0281848543081331</c:v>
                </c:pt>
                <c:pt idx="246">
                  <c:v>3.0281848543081331</c:v>
                </c:pt>
                <c:pt idx="247">
                  <c:v>3.0281848543081331</c:v>
                </c:pt>
                <c:pt idx="248">
                  <c:v>3.0281848543081331</c:v>
                </c:pt>
                <c:pt idx="249">
                  <c:v>3.0281848543081331</c:v>
                </c:pt>
                <c:pt idx="250">
                  <c:v>3.0281848543081331</c:v>
                </c:pt>
                <c:pt idx="251">
                  <c:v>3.0281848543081331</c:v>
                </c:pt>
                <c:pt idx="252">
                  <c:v>3.0281848543081331</c:v>
                </c:pt>
                <c:pt idx="253">
                  <c:v>3.0281848543081331</c:v>
                </c:pt>
                <c:pt idx="254">
                  <c:v>3.0281848543081331</c:v>
                </c:pt>
                <c:pt idx="255">
                  <c:v>3.0281848543081331</c:v>
                </c:pt>
                <c:pt idx="256">
                  <c:v>3.0281848543081331</c:v>
                </c:pt>
                <c:pt idx="257">
                  <c:v>3.0281848543081331</c:v>
                </c:pt>
                <c:pt idx="258">
                  <c:v>3.0281848543081331</c:v>
                </c:pt>
                <c:pt idx="259">
                  <c:v>3.0281848543081331</c:v>
                </c:pt>
                <c:pt idx="260">
                  <c:v>3.0281848543081331</c:v>
                </c:pt>
                <c:pt idx="261">
                  <c:v>3.0281848543081331</c:v>
                </c:pt>
                <c:pt idx="262">
                  <c:v>3.0281848543081331</c:v>
                </c:pt>
                <c:pt idx="263">
                  <c:v>3.0281848543081331</c:v>
                </c:pt>
                <c:pt idx="264">
                  <c:v>3.0281848543081331</c:v>
                </c:pt>
                <c:pt idx="265">
                  <c:v>3.0281848543081331</c:v>
                </c:pt>
                <c:pt idx="266">
                  <c:v>3.0281848543081331</c:v>
                </c:pt>
                <c:pt idx="267">
                  <c:v>3.0281848543081331</c:v>
                </c:pt>
                <c:pt idx="268">
                  <c:v>3.0281848543081331</c:v>
                </c:pt>
                <c:pt idx="269">
                  <c:v>3.0281848543081331</c:v>
                </c:pt>
                <c:pt idx="270">
                  <c:v>3.0281848543081331</c:v>
                </c:pt>
                <c:pt idx="271">
                  <c:v>3.0281848543081331</c:v>
                </c:pt>
                <c:pt idx="272">
                  <c:v>3.0281848543081331</c:v>
                </c:pt>
                <c:pt idx="273">
                  <c:v>3.0281848543081331</c:v>
                </c:pt>
                <c:pt idx="274">
                  <c:v>3.0281848543081331</c:v>
                </c:pt>
                <c:pt idx="275">
                  <c:v>3.0281848543081331</c:v>
                </c:pt>
                <c:pt idx="276">
                  <c:v>3.0281848543081331</c:v>
                </c:pt>
                <c:pt idx="277">
                  <c:v>3.0281848543081331</c:v>
                </c:pt>
                <c:pt idx="278">
                  <c:v>3.0281848543081331</c:v>
                </c:pt>
                <c:pt idx="279">
                  <c:v>3.0281848543081331</c:v>
                </c:pt>
                <c:pt idx="280">
                  <c:v>3.0281848543081331</c:v>
                </c:pt>
                <c:pt idx="281">
                  <c:v>3.0281848543081331</c:v>
                </c:pt>
                <c:pt idx="282">
                  <c:v>3.0281848543081331</c:v>
                </c:pt>
                <c:pt idx="283">
                  <c:v>3.0281848543081331</c:v>
                </c:pt>
                <c:pt idx="284">
                  <c:v>3.0281848543081331</c:v>
                </c:pt>
                <c:pt idx="285">
                  <c:v>3.0281848543081331</c:v>
                </c:pt>
                <c:pt idx="286">
                  <c:v>3.0281848543081331</c:v>
                </c:pt>
                <c:pt idx="287">
                  <c:v>3.0281848543081331</c:v>
                </c:pt>
                <c:pt idx="288">
                  <c:v>3.0281848543081331</c:v>
                </c:pt>
                <c:pt idx="289">
                  <c:v>3.0281848543081331</c:v>
                </c:pt>
                <c:pt idx="290">
                  <c:v>3.0281848543081331</c:v>
                </c:pt>
                <c:pt idx="291">
                  <c:v>3.0281848543081331</c:v>
                </c:pt>
                <c:pt idx="292">
                  <c:v>3.0281848543081331</c:v>
                </c:pt>
                <c:pt idx="293">
                  <c:v>3.0281848543081331</c:v>
                </c:pt>
                <c:pt idx="294">
                  <c:v>1.1747256665753205</c:v>
                </c:pt>
                <c:pt idx="295">
                  <c:v>1.1747256665753205</c:v>
                </c:pt>
                <c:pt idx="296">
                  <c:v>1.1747256665753205</c:v>
                </c:pt>
                <c:pt idx="297">
                  <c:v>1.1747256665753205</c:v>
                </c:pt>
                <c:pt idx="298">
                  <c:v>1.1747256665753205</c:v>
                </c:pt>
                <c:pt idx="299">
                  <c:v>1.1747256665753205</c:v>
                </c:pt>
                <c:pt idx="300">
                  <c:v>1.1747256665753205</c:v>
                </c:pt>
                <c:pt idx="301">
                  <c:v>1.1747256665753205</c:v>
                </c:pt>
                <c:pt idx="302">
                  <c:v>1.1747256665753205</c:v>
                </c:pt>
                <c:pt idx="303">
                  <c:v>1.1747256665753205</c:v>
                </c:pt>
                <c:pt idx="304">
                  <c:v>1.1747256665753205</c:v>
                </c:pt>
                <c:pt idx="305">
                  <c:v>1.1747256665753205</c:v>
                </c:pt>
                <c:pt idx="306">
                  <c:v>1.1747256665753205</c:v>
                </c:pt>
                <c:pt idx="307">
                  <c:v>1.1747256665753205</c:v>
                </c:pt>
                <c:pt idx="308">
                  <c:v>1.1747256665753205</c:v>
                </c:pt>
                <c:pt idx="309">
                  <c:v>1.1747256665753205</c:v>
                </c:pt>
                <c:pt idx="310">
                  <c:v>1.0869486202729304</c:v>
                </c:pt>
                <c:pt idx="311">
                  <c:v>1.0869486202729304</c:v>
                </c:pt>
                <c:pt idx="312">
                  <c:v>1.0869486202729304</c:v>
                </c:pt>
                <c:pt idx="313">
                  <c:v>1.0869486202729304</c:v>
                </c:pt>
                <c:pt idx="314">
                  <c:v>1.0869486202729304</c:v>
                </c:pt>
                <c:pt idx="315">
                  <c:v>1.8657648196498773</c:v>
                </c:pt>
                <c:pt idx="316">
                  <c:v>1.8657648196498773</c:v>
                </c:pt>
                <c:pt idx="317">
                  <c:v>1.8657648196498773</c:v>
                </c:pt>
                <c:pt idx="318">
                  <c:v>1.8657648196498773</c:v>
                </c:pt>
                <c:pt idx="319">
                  <c:v>1.8657648196498773</c:v>
                </c:pt>
                <c:pt idx="320">
                  <c:v>1.8657648196498773</c:v>
                </c:pt>
                <c:pt idx="321">
                  <c:v>1.8657648196498773</c:v>
                </c:pt>
                <c:pt idx="322">
                  <c:v>1.8657648196498773</c:v>
                </c:pt>
                <c:pt idx="323">
                  <c:v>1.8657648196498773</c:v>
                </c:pt>
                <c:pt idx="324">
                  <c:v>1.8657648196498773</c:v>
                </c:pt>
                <c:pt idx="325">
                  <c:v>1.8657648196498773</c:v>
                </c:pt>
                <c:pt idx="326">
                  <c:v>1.8657648196498773</c:v>
                </c:pt>
                <c:pt idx="327">
                  <c:v>1.8657648196498773</c:v>
                </c:pt>
                <c:pt idx="328">
                  <c:v>1.8657648196498773</c:v>
                </c:pt>
                <c:pt idx="329">
                  <c:v>1.8657648196498773</c:v>
                </c:pt>
                <c:pt idx="330">
                  <c:v>1.8657648196498773</c:v>
                </c:pt>
                <c:pt idx="331">
                  <c:v>1.8657648196498773</c:v>
                </c:pt>
                <c:pt idx="332">
                  <c:v>1.8657648196498773</c:v>
                </c:pt>
                <c:pt idx="333">
                  <c:v>1.8657648196498773</c:v>
                </c:pt>
                <c:pt idx="334">
                  <c:v>1.8657648196498773</c:v>
                </c:pt>
                <c:pt idx="335">
                  <c:v>1.8657648196498773</c:v>
                </c:pt>
                <c:pt idx="336">
                  <c:v>1.8657648196498773</c:v>
                </c:pt>
                <c:pt idx="337">
                  <c:v>1.8657648196498773</c:v>
                </c:pt>
                <c:pt idx="338">
                  <c:v>1.8657648196498773</c:v>
                </c:pt>
                <c:pt idx="339">
                  <c:v>1.8657648196498773</c:v>
                </c:pt>
                <c:pt idx="340">
                  <c:v>1.8657648196498773</c:v>
                </c:pt>
                <c:pt idx="341">
                  <c:v>1.8657648196498773</c:v>
                </c:pt>
                <c:pt idx="342">
                  <c:v>1.8657648196498773</c:v>
                </c:pt>
                <c:pt idx="343">
                  <c:v>1.8657648196498773</c:v>
                </c:pt>
                <c:pt idx="344">
                  <c:v>1.8657648196498773</c:v>
                </c:pt>
                <c:pt idx="345">
                  <c:v>1.8657648196498773</c:v>
                </c:pt>
                <c:pt idx="346">
                  <c:v>1.8657648196498773</c:v>
                </c:pt>
                <c:pt idx="347">
                  <c:v>1.8657648196498773</c:v>
                </c:pt>
                <c:pt idx="348">
                  <c:v>1.8657648196498773</c:v>
                </c:pt>
                <c:pt idx="349">
                  <c:v>1.8657648196498773</c:v>
                </c:pt>
                <c:pt idx="350">
                  <c:v>1.8657648196498773</c:v>
                </c:pt>
                <c:pt idx="351">
                  <c:v>1.8657648196498773</c:v>
                </c:pt>
                <c:pt idx="352">
                  <c:v>1.8657648196498773</c:v>
                </c:pt>
                <c:pt idx="353">
                  <c:v>1.8657648196498773</c:v>
                </c:pt>
                <c:pt idx="354">
                  <c:v>1.8657648196498773</c:v>
                </c:pt>
                <c:pt idx="355">
                  <c:v>1.8657648196498773</c:v>
                </c:pt>
                <c:pt idx="356">
                  <c:v>1.8657648196498773</c:v>
                </c:pt>
                <c:pt idx="357">
                  <c:v>1.8657648196498773</c:v>
                </c:pt>
                <c:pt idx="358">
                  <c:v>1.8657648196498773</c:v>
                </c:pt>
                <c:pt idx="359">
                  <c:v>1.8657648196498773</c:v>
                </c:pt>
                <c:pt idx="360">
                  <c:v>1.8657648196498773</c:v>
                </c:pt>
                <c:pt idx="361">
                  <c:v>1.8657648196498773</c:v>
                </c:pt>
                <c:pt idx="362">
                  <c:v>1.8657648196498773</c:v>
                </c:pt>
                <c:pt idx="363">
                  <c:v>1.8657648196498773</c:v>
                </c:pt>
                <c:pt idx="364">
                  <c:v>1.8657648196498773</c:v>
                </c:pt>
                <c:pt idx="365">
                  <c:v>1.8657648196498773</c:v>
                </c:pt>
                <c:pt idx="366">
                  <c:v>1.8657648196498773</c:v>
                </c:pt>
                <c:pt idx="367">
                  <c:v>1.8657648196498773</c:v>
                </c:pt>
                <c:pt idx="368">
                  <c:v>1.8657648196498773</c:v>
                </c:pt>
                <c:pt idx="369">
                  <c:v>1.8657648196498773</c:v>
                </c:pt>
                <c:pt idx="370">
                  <c:v>1.8657648196498773</c:v>
                </c:pt>
                <c:pt idx="371">
                  <c:v>1.8657648196498773</c:v>
                </c:pt>
                <c:pt idx="372">
                  <c:v>1.8657648196498773</c:v>
                </c:pt>
                <c:pt idx="373">
                  <c:v>1.8657648196498773</c:v>
                </c:pt>
                <c:pt idx="374">
                  <c:v>1.8657648196498773</c:v>
                </c:pt>
                <c:pt idx="375">
                  <c:v>1.8657648196498773</c:v>
                </c:pt>
                <c:pt idx="376">
                  <c:v>1.8657648196498773</c:v>
                </c:pt>
                <c:pt idx="377">
                  <c:v>1.8657648196498773</c:v>
                </c:pt>
                <c:pt idx="378">
                  <c:v>1.8657648196498773</c:v>
                </c:pt>
                <c:pt idx="379">
                  <c:v>1.8657648196498773</c:v>
                </c:pt>
                <c:pt idx="380">
                  <c:v>1.8657648196498773</c:v>
                </c:pt>
                <c:pt idx="381">
                  <c:v>1.8657648196498773</c:v>
                </c:pt>
                <c:pt idx="382">
                  <c:v>1.8657648196498773</c:v>
                </c:pt>
                <c:pt idx="383">
                  <c:v>1.8657648196498773</c:v>
                </c:pt>
                <c:pt idx="384">
                  <c:v>1.8657648196498773</c:v>
                </c:pt>
                <c:pt idx="385">
                  <c:v>1.8657648196498773</c:v>
                </c:pt>
                <c:pt idx="386">
                  <c:v>1.8657648196498773</c:v>
                </c:pt>
                <c:pt idx="387">
                  <c:v>1.8657648196498773</c:v>
                </c:pt>
                <c:pt idx="388">
                  <c:v>1.8657648196498773</c:v>
                </c:pt>
                <c:pt idx="389">
                  <c:v>1.8657648196498773</c:v>
                </c:pt>
                <c:pt idx="390">
                  <c:v>1.8657648196498773</c:v>
                </c:pt>
                <c:pt idx="391">
                  <c:v>1.8657648196498773</c:v>
                </c:pt>
                <c:pt idx="392">
                  <c:v>1.8657648196498773</c:v>
                </c:pt>
                <c:pt idx="393">
                  <c:v>1.8657648196498773</c:v>
                </c:pt>
                <c:pt idx="394">
                  <c:v>1.8657648196498773</c:v>
                </c:pt>
                <c:pt idx="395">
                  <c:v>1.8657648196498773</c:v>
                </c:pt>
                <c:pt idx="396">
                  <c:v>1.8657648196498773</c:v>
                </c:pt>
                <c:pt idx="397">
                  <c:v>1.8657648196498773</c:v>
                </c:pt>
                <c:pt idx="398">
                  <c:v>1.8657648196498773</c:v>
                </c:pt>
                <c:pt idx="399">
                  <c:v>1.8657648196498773</c:v>
                </c:pt>
                <c:pt idx="400">
                  <c:v>1.8657648196498773</c:v>
                </c:pt>
                <c:pt idx="401">
                  <c:v>1.8657648196498773</c:v>
                </c:pt>
                <c:pt idx="402">
                  <c:v>1.8657648196498773</c:v>
                </c:pt>
                <c:pt idx="403">
                  <c:v>1.8657648196498773</c:v>
                </c:pt>
                <c:pt idx="404">
                  <c:v>1.8657648196498773</c:v>
                </c:pt>
                <c:pt idx="405">
                  <c:v>1.8657648196498773</c:v>
                </c:pt>
                <c:pt idx="406">
                  <c:v>1.8657648196498773</c:v>
                </c:pt>
                <c:pt idx="407">
                  <c:v>1.8657648196498773</c:v>
                </c:pt>
                <c:pt idx="408">
                  <c:v>1.8657648196498773</c:v>
                </c:pt>
                <c:pt idx="409">
                  <c:v>1.8657648196498773</c:v>
                </c:pt>
                <c:pt idx="410">
                  <c:v>1.8657648196498773</c:v>
                </c:pt>
                <c:pt idx="411">
                  <c:v>1.8657648196498773</c:v>
                </c:pt>
                <c:pt idx="412">
                  <c:v>1.8657648196498773</c:v>
                </c:pt>
                <c:pt idx="413">
                  <c:v>1.8657648196498773</c:v>
                </c:pt>
                <c:pt idx="414">
                  <c:v>1.8657648196498773</c:v>
                </c:pt>
                <c:pt idx="415">
                  <c:v>1.8657648196498773</c:v>
                </c:pt>
                <c:pt idx="416">
                  <c:v>1.8657648196498773</c:v>
                </c:pt>
                <c:pt idx="417">
                  <c:v>1.8657648196498773</c:v>
                </c:pt>
                <c:pt idx="418">
                  <c:v>1.8657648196498773</c:v>
                </c:pt>
              </c:numCache>
            </c:numRef>
          </c:val>
          <c:smooth val="1"/>
          <c:extLst>
            <c:ext xmlns:c16="http://schemas.microsoft.com/office/drawing/2014/chart" uri="{C3380CC4-5D6E-409C-BE32-E72D297353CC}">
              <c16:uniqueId val="{00000001-73E2-4837-99C7-F287FF0F145B}"/>
            </c:ext>
          </c:extLst>
        </c:ser>
        <c:ser>
          <c:idx val="2"/>
          <c:order val="3"/>
          <c:tx>
            <c:v>SW</c:v>
          </c:tx>
          <c:spPr>
            <a:ln w="28575" cap="rnd">
              <a:solidFill>
                <a:srgbClr val="0070C0"/>
              </a:solidFill>
              <a:prstDash val="solid"/>
              <a:round/>
            </a:ln>
            <a:effectLst/>
          </c:spPr>
          <c:marker>
            <c:symbol val="none"/>
          </c:marker>
          <c:val>
            <c:numRef>
              <c:f>'2025-Q2'!$DP$4:$DP$422</c:f>
              <c:numCache>
                <c:formatCode>0.00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0.19475247422998271</c:v>
                </c:pt>
                <c:pt idx="39">
                  <c:v>0.19475247422998271</c:v>
                </c:pt>
                <c:pt idx="40">
                  <c:v>0.19475247422998271</c:v>
                </c:pt>
                <c:pt idx="41">
                  <c:v>0.19475247422998271</c:v>
                </c:pt>
                <c:pt idx="42">
                  <c:v>0.19475247422998271</c:v>
                </c:pt>
                <c:pt idx="43">
                  <c:v>0.19475247422998271</c:v>
                </c:pt>
                <c:pt idx="44">
                  <c:v>-0.17018269154375754</c:v>
                </c:pt>
                <c:pt idx="45">
                  <c:v>-0.17018269154375754</c:v>
                </c:pt>
                <c:pt idx="46">
                  <c:v>-0.17018269154375754</c:v>
                </c:pt>
                <c:pt idx="47">
                  <c:v>-0.17018269154375754</c:v>
                </c:pt>
                <c:pt idx="48">
                  <c:v>-0.17018269154375754</c:v>
                </c:pt>
                <c:pt idx="49">
                  <c:v>-0.17018269154375754</c:v>
                </c:pt>
                <c:pt idx="50">
                  <c:v>-0.17018269154375754</c:v>
                </c:pt>
                <c:pt idx="51">
                  <c:v>-0.17018269154375754</c:v>
                </c:pt>
                <c:pt idx="52">
                  <c:v>-0.17018269154375754</c:v>
                </c:pt>
                <c:pt idx="53">
                  <c:v>-0.17018269154375754</c:v>
                </c:pt>
                <c:pt idx="54">
                  <c:v>-0.17018269154375754</c:v>
                </c:pt>
                <c:pt idx="55">
                  <c:v>-0.17018269154375754</c:v>
                </c:pt>
                <c:pt idx="56">
                  <c:v>-0.17018269154375754</c:v>
                </c:pt>
                <c:pt idx="57">
                  <c:v>-0.17018269154375754</c:v>
                </c:pt>
                <c:pt idx="58">
                  <c:v>-0.17018269154375754</c:v>
                </c:pt>
                <c:pt idx="59">
                  <c:v>-0.17018269154375754</c:v>
                </c:pt>
                <c:pt idx="60">
                  <c:v>-0.17018269154375754</c:v>
                </c:pt>
                <c:pt idx="61">
                  <c:v>-0.17018269154375754</c:v>
                </c:pt>
                <c:pt idx="62">
                  <c:v>-0.17018269154375754</c:v>
                </c:pt>
                <c:pt idx="63">
                  <c:v>-0.17018269154375754</c:v>
                </c:pt>
                <c:pt idx="64">
                  <c:v>-0.43291760746858676</c:v>
                </c:pt>
                <c:pt idx="65">
                  <c:v>-0.43291760746858676</c:v>
                </c:pt>
                <c:pt idx="66">
                  <c:v>-0.43291760746858676</c:v>
                </c:pt>
                <c:pt idx="67">
                  <c:v>-0.43291760746858676</c:v>
                </c:pt>
                <c:pt idx="68">
                  <c:v>-0.43291760746858676</c:v>
                </c:pt>
                <c:pt idx="69">
                  <c:v>-0.43291760746858676</c:v>
                </c:pt>
                <c:pt idx="70">
                  <c:v>-0.43291760746858676</c:v>
                </c:pt>
                <c:pt idx="71">
                  <c:v>-0.43291760746858676</c:v>
                </c:pt>
                <c:pt idx="72">
                  <c:v>-0.43291760746858676</c:v>
                </c:pt>
                <c:pt idx="73">
                  <c:v>-0.43291760746858676</c:v>
                </c:pt>
                <c:pt idx="74">
                  <c:v>-0.43291760746858676</c:v>
                </c:pt>
                <c:pt idx="75">
                  <c:v>-0.43291760746858676</c:v>
                </c:pt>
                <c:pt idx="76">
                  <c:v>-0.43291760746858676</c:v>
                </c:pt>
                <c:pt idx="77">
                  <c:v>-0.43291760746858676</c:v>
                </c:pt>
                <c:pt idx="78">
                  <c:v>-0.43291760746858676</c:v>
                </c:pt>
                <c:pt idx="79">
                  <c:v>-0.43291760746858676</c:v>
                </c:pt>
                <c:pt idx="80">
                  <c:v>-0.43291760746858676</c:v>
                </c:pt>
                <c:pt idx="81">
                  <c:v>-0.43291760746858676</c:v>
                </c:pt>
                <c:pt idx="82">
                  <c:v>-0.43291760746858676</c:v>
                </c:pt>
                <c:pt idx="83">
                  <c:v>-0.43291760746858676</c:v>
                </c:pt>
                <c:pt idx="84">
                  <c:v>-0.43291760746858676</c:v>
                </c:pt>
                <c:pt idx="85">
                  <c:v>-0.43291760746858676</c:v>
                </c:pt>
                <c:pt idx="86">
                  <c:v>-0.43291760746858676</c:v>
                </c:pt>
                <c:pt idx="87">
                  <c:v>-0.43291760746858676</c:v>
                </c:pt>
                <c:pt idx="88">
                  <c:v>-0.43291760746858676</c:v>
                </c:pt>
                <c:pt idx="89">
                  <c:v>-0.43291760746858676</c:v>
                </c:pt>
                <c:pt idx="90">
                  <c:v>-0.43291760746858676</c:v>
                </c:pt>
                <c:pt idx="91">
                  <c:v>-0.43291760746858676</c:v>
                </c:pt>
                <c:pt idx="92">
                  <c:v>-0.43291760746858676</c:v>
                </c:pt>
                <c:pt idx="93">
                  <c:v>-0.43291760746858676</c:v>
                </c:pt>
                <c:pt idx="94">
                  <c:v>-0.43291760746858676</c:v>
                </c:pt>
                <c:pt idx="95">
                  <c:v>-0.43291760746858676</c:v>
                </c:pt>
                <c:pt idx="96">
                  <c:v>-0.43291760746858676</c:v>
                </c:pt>
                <c:pt idx="97">
                  <c:v>-0.43291760746858676</c:v>
                </c:pt>
                <c:pt idx="98">
                  <c:v>-0.43291760746858676</c:v>
                </c:pt>
                <c:pt idx="99">
                  <c:v>-0.43291760746858676</c:v>
                </c:pt>
                <c:pt idx="100">
                  <c:v>-0.43291760746858676</c:v>
                </c:pt>
                <c:pt idx="101">
                  <c:v>-0.43291760746858676</c:v>
                </c:pt>
                <c:pt idx="102">
                  <c:v>-0.43291760746858676</c:v>
                </c:pt>
                <c:pt idx="103">
                  <c:v>-0.43291760746858676</c:v>
                </c:pt>
                <c:pt idx="104">
                  <c:v>-0.43291760746858676</c:v>
                </c:pt>
                <c:pt idx="105">
                  <c:v>-0.43291760746858676</c:v>
                </c:pt>
                <c:pt idx="106">
                  <c:v>-0.43291760746858676</c:v>
                </c:pt>
                <c:pt idx="107">
                  <c:v>-0.43291760746858676</c:v>
                </c:pt>
                <c:pt idx="108">
                  <c:v>0.14820169229813929</c:v>
                </c:pt>
                <c:pt idx="109">
                  <c:v>0.14820169229813929</c:v>
                </c:pt>
                <c:pt idx="110">
                  <c:v>0.14820169229813929</c:v>
                </c:pt>
                <c:pt idx="111">
                  <c:v>0.14820169229813929</c:v>
                </c:pt>
                <c:pt idx="112">
                  <c:v>0.14820169229813929</c:v>
                </c:pt>
                <c:pt idx="113">
                  <c:v>0.14820169229813929</c:v>
                </c:pt>
                <c:pt idx="114">
                  <c:v>0.14820169229813929</c:v>
                </c:pt>
                <c:pt idx="115">
                  <c:v>1.3495058802125319</c:v>
                </c:pt>
                <c:pt idx="116">
                  <c:v>1.3495058802125319</c:v>
                </c:pt>
                <c:pt idx="117">
                  <c:v>1.3495058802125319</c:v>
                </c:pt>
                <c:pt idx="118">
                  <c:v>1.3495058802125319</c:v>
                </c:pt>
                <c:pt idx="119">
                  <c:v>1.3495058802125319</c:v>
                </c:pt>
                <c:pt idx="120">
                  <c:v>1.3495058802125319</c:v>
                </c:pt>
                <c:pt idx="121">
                  <c:v>1.3495058802125319</c:v>
                </c:pt>
                <c:pt idx="122">
                  <c:v>1.3495058802125319</c:v>
                </c:pt>
                <c:pt idx="123">
                  <c:v>1.3495058802125319</c:v>
                </c:pt>
                <c:pt idx="124">
                  <c:v>1.3495058802125319</c:v>
                </c:pt>
                <c:pt idx="125">
                  <c:v>1.3495058802125319</c:v>
                </c:pt>
                <c:pt idx="126">
                  <c:v>1.3495058802125319</c:v>
                </c:pt>
                <c:pt idx="127">
                  <c:v>1.3495058802125319</c:v>
                </c:pt>
                <c:pt idx="128">
                  <c:v>1.3495058802125319</c:v>
                </c:pt>
                <c:pt idx="129">
                  <c:v>1.3495058802125319</c:v>
                </c:pt>
                <c:pt idx="130">
                  <c:v>1.3495058802125319</c:v>
                </c:pt>
                <c:pt idx="131">
                  <c:v>1.3495058802125319</c:v>
                </c:pt>
                <c:pt idx="132">
                  <c:v>1.3495058802125319</c:v>
                </c:pt>
                <c:pt idx="133">
                  <c:v>1.3495058802125319</c:v>
                </c:pt>
                <c:pt idx="134">
                  <c:v>1.3495058802125319</c:v>
                </c:pt>
                <c:pt idx="135">
                  <c:v>1.3495058802125319</c:v>
                </c:pt>
                <c:pt idx="136">
                  <c:v>1.3495058802125319</c:v>
                </c:pt>
                <c:pt idx="137">
                  <c:v>1.3495058802125319</c:v>
                </c:pt>
                <c:pt idx="138">
                  <c:v>1.3495058802125319</c:v>
                </c:pt>
                <c:pt idx="139">
                  <c:v>1.3495058802125319</c:v>
                </c:pt>
                <c:pt idx="140">
                  <c:v>1.3495058802125319</c:v>
                </c:pt>
                <c:pt idx="141">
                  <c:v>1.3495058802125319</c:v>
                </c:pt>
                <c:pt idx="142">
                  <c:v>1.3495058802125319</c:v>
                </c:pt>
                <c:pt idx="143">
                  <c:v>1.3495058802125319</c:v>
                </c:pt>
                <c:pt idx="144">
                  <c:v>1.3495058802125319</c:v>
                </c:pt>
                <c:pt idx="145">
                  <c:v>1.3495058802125319</c:v>
                </c:pt>
                <c:pt idx="146">
                  <c:v>1.3495058802125319</c:v>
                </c:pt>
                <c:pt idx="147">
                  <c:v>1.3495058802125319</c:v>
                </c:pt>
                <c:pt idx="148">
                  <c:v>1.3495058802125319</c:v>
                </c:pt>
                <c:pt idx="149">
                  <c:v>1.3495058802125319</c:v>
                </c:pt>
                <c:pt idx="150">
                  <c:v>1.3495058802125319</c:v>
                </c:pt>
                <c:pt idx="151">
                  <c:v>1.3495058802125319</c:v>
                </c:pt>
                <c:pt idx="152">
                  <c:v>1.3495058802125319</c:v>
                </c:pt>
                <c:pt idx="153">
                  <c:v>1.3495058802125319</c:v>
                </c:pt>
                <c:pt idx="154">
                  <c:v>1.3495058802125319</c:v>
                </c:pt>
                <c:pt idx="155">
                  <c:v>1.3495058802125319</c:v>
                </c:pt>
                <c:pt idx="156">
                  <c:v>1.3495058802125319</c:v>
                </c:pt>
                <c:pt idx="157">
                  <c:v>1.3495058802125319</c:v>
                </c:pt>
                <c:pt idx="158">
                  <c:v>1.3495058802125319</c:v>
                </c:pt>
                <c:pt idx="159">
                  <c:v>1.3495058802125319</c:v>
                </c:pt>
                <c:pt idx="160">
                  <c:v>1.3495058802125319</c:v>
                </c:pt>
                <c:pt idx="161">
                  <c:v>1.3495058802125319</c:v>
                </c:pt>
                <c:pt idx="162">
                  <c:v>1.3495058802125319</c:v>
                </c:pt>
                <c:pt idx="163">
                  <c:v>1.3495058802125319</c:v>
                </c:pt>
                <c:pt idx="164">
                  <c:v>1.3495058802125319</c:v>
                </c:pt>
                <c:pt idx="165">
                  <c:v>1.3495058802125319</c:v>
                </c:pt>
                <c:pt idx="166">
                  <c:v>1.3495058802125319</c:v>
                </c:pt>
                <c:pt idx="167">
                  <c:v>1.3495058802125319</c:v>
                </c:pt>
                <c:pt idx="168">
                  <c:v>1.3495058802125319</c:v>
                </c:pt>
                <c:pt idx="169">
                  <c:v>1.3495058802125319</c:v>
                </c:pt>
                <c:pt idx="170">
                  <c:v>1.3495058802125319</c:v>
                </c:pt>
                <c:pt idx="171">
                  <c:v>1.3495058802125319</c:v>
                </c:pt>
                <c:pt idx="172">
                  <c:v>1.3495058802125319</c:v>
                </c:pt>
                <c:pt idx="173">
                  <c:v>1.3495058802125319</c:v>
                </c:pt>
                <c:pt idx="174">
                  <c:v>1.3495058802125319</c:v>
                </c:pt>
                <c:pt idx="175">
                  <c:v>1.3495058802125319</c:v>
                </c:pt>
                <c:pt idx="176">
                  <c:v>1.3495058802125319</c:v>
                </c:pt>
                <c:pt idx="177">
                  <c:v>2.6571865116636566</c:v>
                </c:pt>
                <c:pt idx="178">
                  <c:v>2.6571865116636566</c:v>
                </c:pt>
                <c:pt idx="179">
                  <c:v>2.6571865116636566</c:v>
                </c:pt>
                <c:pt idx="180">
                  <c:v>2.6571865116636566</c:v>
                </c:pt>
                <c:pt idx="181">
                  <c:v>2.6571865116636566</c:v>
                </c:pt>
                <c:pt idx="182">
                  <c:v>2.6571865116636566</c:v>
                </c:pt>
                <c:pt idx="183">
                  <c:v>2.6571865116636566</c:v>
                </c:pt>
                <c:pt idx="184">
                  <c:v>2.6571865116636566</c:v>
                </c:pt>
                <c:pt idx="185">
                  <c:v>2.6571865116636566</c:v>
                </c:pt>
                <c:pt idx="186">
                  <c:v>2.6571865116636566</c:v>
                </c:pt>
                <c:pt idx="187">
                  <c:v>2.6571865116636566</c:v>
                </c:pt>
                <c:pt idx="188">
                  <c:v>2.6571865116636566</c:v>
                </c:pt>
                <c:pt idx="189">
                  <c:v>2.6571865116636566</c:v>
                </c:pt>
                <c:pt idx="190">
                  <c:v>2.6571865116636566</c:v>
                </c:pt>
                <c:pt idx="191">
                  <c:v>2.6571865116636566</c:v>
                </c:pt>
                <c:pt idx="192">
                  <c:v>2.6571865116636566</c:v>
                </c:pt>
                <c:pt idx="193">
                  <c:v>2.6571865116636566</c:v>
                </c:pt>
                <c:pt idx="194">
                  <c:v>2.6571865116636566</c:v>
                </c:pt>
                <c:pt idx="195">
                  <c:v>2.6571865116636566</c:v>
                </c:pt>
                <c:pt idx="196">
                  <c:v>2.6571865116636566</c:v>
                </c:pt>
                <c:pt idx="197">
                  <c:v>2.6571865116636566</c:v>
                </c:pt>
                <c:pt idx="198">
                  <c:v>2.6571865116636566</c:v>
                </c:pt>
                <c:pt idx="199">
                  <c:v>2.6571865116636566</c:v>
                </c:pt>
                <c:pt idx="200">
                  <c:v>2.6571865116636566</c:v>
                </c:pt>
                <c:pt idx="201">
                  <c:v>2.6571865116636566</c:v>
                </c:pt>
                <c:pt idx="202">
                  <c:v>2.6571865116636566</c:v>
                </c:pt>
                <c:pt idx="203">
                  <c:v>2.6571865116636566</c:v>
                </c:pt>
                <c:pt idx="204">
                  <c:v>2.6571865116636566</c:v>
                </c:pt>
                <c:pt idx="205">
                  <c:v>2.6571865116636566</c:v>
                </c:pt>
                <c:pt idx="206">
                  <c:v>2.6571865116636566</c:v>
                </c:pt>
                <c:pt idx="207">
                  <c:v>2.6571865116636566</c:v>
                </c:pt>
                <c:pt idx="208">
                  <c:v>2.6571865116636566</c:v>
                </c:pt>
                <c:pt idx="209">
                  <c:v>2.6571865116636566</c:v>
                </c:pt>
                <c:pt idx="210">
                  <c:v>2.6571865116636566</c:v>
                </c:pt>
                <c:pt idx="211">
                  <c:v>2.6571865116636566</c:v>
                </c:pt>
                <c:pt idx="212">
                  <c:v>2.6571865116636566</c:v>
                </c:pt>
                <c:pt idx="213">
                  <c:v>2.6571865116636566</c:v>
                </c:pt>
                <c:pt idx="214">
                  <c:v>2.6571865116636566</c:v>
                </c:pt>
                <c:pt idx="215">
                  <c:v>2.6571865116636566</c:v>
                </c:pt>
                <c:pt idx="216">
                  <c:v>2.6571865116636566</c:v>
                </c:pt>
                <c:pt idx="217">
                  <c:v>2.6571865116636566</c:v>
                </c:pt>
                <c:pt idx="218">
                  <c:v>2.6571865116636566</c:v>
                </c:pt>
                <c:pt idx="219">
                  <c:v>2.6571865116636566</c:v>
                </c:pt>
                <c:pt idx="220">
                  <c:v>2.6571865116636566</c:v>
                </c:pt>
                <c:pt idx="221">
                  <c:v>2.6571865116636566</c:v>
                </c:pt>
                <c:pt idx="222">
                  <c:v>2.6571865116636566</c:v>
                </c:pt>
                <c:pt idx="223">
                  <c:v>2.6571865116636566</c:v>
                </c:pt>
                <c:pt idx="224">
                  <c:v>2.6571865116636566</c:v>
                </c:pt>
                <c:pt idx="225">
                  <c:v>2.6571865116636566</c:v>
                </c:pt>
                <c:pt idx="226">
                  <c:v>2.6571865116636566</c:v>
                </c:pt>
                <c:pt idx="227">
                  <c:v>2.6571865116636566</c:v>
                </c:pt>
                <c:pt idx="228">
                  <c:v>2.6571865116636566</c:v>
                </c:pt>
                <c:pt idx="229">
                  <c:v>2.6571865116636566</c:v>
                </c:pt>
                <c:pt idx="230">
                  <c:v>2.6571865116636566</c:v>
                </c:pt>
                <c:pt idx="231">
                  <c:v>2.6571865116636566</c:v>
                </c:pt>
                <c:pt idx="232">
                  <c:v>2.6571865116636566</c:v>
                </c:pt>
                <c:pt idx="233">
                  <c:v>2.6571865116636566</c:v>
                </c:pt>
                <c:pt idx="234">
                  <c:v>2.6571865116636566</c:v>
                </c:pt>
                <c:pt idx="235">
                  <c:v>2.6571865116636566</c:v>
                </c:pt>
                <c:pt idx="236">
                  <c:v>2.6571865116636566</c:v>
                </c:pt>
                <c:pt idx="237">
                  <c:v>2.6571865116636566</c:v>
                </c:pt>
                <c:pt idx="238">
                  <c:v>2.6571865116636566</c:v>
                </c:pt>
                <c:pt idx="239">
                  <c:v>2.700331529683047</c:v>
                </c:pt>
                <c:pt idx="240">
                  <c:v>2.700331529683047</c:v>
                </c:pt>
                <c:pt idx="241">
                  <c:v>2.700331529683047</c:v>
                </c:pt>
                <c:pt idx="242">
                  <c:v>2.700331529683047</c:v>
                </c:pt>
                <c:pt idx="243">
                  <c:v>2.700331529683047</c:v>
                </c:pt>
                <c:pt idx="244">
                  <c:v>2.700331529683047</c:v>
                </c:pt>
                <c:pt idx="245">
                  <c:v>2.700331529683047</c:v>
                </c:pt>
                <c:pt idx="246">
                  <c:v>2.700331529683047</c:v>
                </c:pt>
                <c:pt idx="247">
                  <c:v>2.700331529683047</c:v>
                </c:pt>
                <c:pt idx="248">
                  <c:v>2.700331529683047</c:v>
                </c:pt>
                <c:pt idx="249">
                  <c:v>2.700331529683047</c:v>
                </c:pt>
                <c:pt idx="250">
                  <c:v>2.700331529683047</c:v>
                </c:pt>
                <c:pt idx="251">
                  <c:v>2.700331529683047</c:v>
                </c:pt>
                <c:pt idx="252">
                  <c:v>2.700331529683047</c:v>
                </c:pt>
                <c:pt idx="253">
                  <c:v>2.700331529683047</c:v>
                </c:pt>
                <c:pt idx="254">
                  <c:v>2.700331529683047</c:v>
                </c:pt>
                <c:pt idx="255">
                  <c:v>2.700331529683047</c:v>
                </c:pt>
                <c:pt idx="256">
                  <c:v>2.700331529683047</c:v>
                </c:pt>
                <c:pt idx="257">
                  <c:v>2.700331529683047</c:v>
                </c:pt>
                <c:pt idx="258">
                  <c:v>2.700331529683047</c:v>
                </c:pt>
                <c:pt idx="259">
                  <c:v>2.700331529683047</c:v>
                </c:pt>
                <c:pt idx="260">
                  <c:v>2.700331529683047</c:v>
                </c:pt>
                <c:pt idx="261">
                  <c:v>2.700331529683047</c:v>
                </c:pt>
                <c:pt idx="262">
                  <c:v>2.700331529683047</c:v>
                </c:pt>
                <c:pt idx="263">
                  <c:v>2.700331529683047</c:v>
                </c:pt>
                <c:pt idx="264">
                  <c:v>2.700331529683047</c:v>
                </c:pt>
                <c:pt idx="265">
                  <c:v>2.700331529683047</c:v>
                </c:pt>
                <c:pt idx="266">
                  <c:v>2.700331529683047</c:v>
                </c:pt>
                <c:pt idx="267">
                  <c:v>2.700331529683047</c:v>
                </c:pt>
                <c:pt idx="268">
                  <c:v>2.700331529683047</c:v>
                </c:pt>
                <c:pt idx="269">
                  <c:v>2.700331529683047</c:v>
                </c:pt>
                <c:pt idx="270">
                  <c:v>2.700331529683047</c:v>
                </c:pt>
                <c:pt idx="271">
                  <c:v>2.700331529683047</c:v>
                </c:pt>
                <c:pt idx="272">
                  <c:v>2.700331529683047</c:v>
                </c:pt>
                <c:pt idx="273">
                  <c:v>2.700331529683047</c:v>
                </c:pt>
                <c:pt idx="274">
                  <c:v>2.700331529683047</c:v>
                </c:pt>
                <c:pt idx="275">
                  <c:v>2.700331529683047</c:v>
                </c:pt>
                <c:pt idx="276">
                  <c:v>2.700331529683047</c:v>
                </c:pt>
                <c:pt idx="277">
                  <c:v>2.700331529683047</c:v>
                </c:pt>
                <c:pt idx="278">
                  <c:v>2.700331529683047</c:v>
                </c:pt>
                <c:pt idx="279">
                  <c:v>2.700331529683047</c:v>
                </c:pt>
                <c:pt idx="280">
                  <c:v>2.700331529683047</c:v>
                </c:pt>
                <c:pt idx="281">
                  <c:v>2.700331529683047</c:v>
                </c:pt>
                <c:pt idx="282">
                  <c:v>2.700331529683047</c:v>
                </c:pt>
                <c:pt idx="283">
                  <c:v>2.700331529683047</c:v>
                </c:pt>
                <c:pt idx="284">
                  <c:v>2.700331529683047</c:v>
                </c:pt>
                <c:pt idx="285">
                  <c:v>2.700331529683047</c:v>
                </c:pt>
                <c:pt idx="286">
                  <c:v>2.700331529683047</c:v>
                </c:pt>
                <c:pt idx="287">
                  <c:v>2.700331529683047</c:v>
                </c:pt>
                <c:pt idx="288">
                  <c:v>2.700331529683047</c:v>
                </c:pt>
                <c:pt idx="289">
                  <c:v>2.700331529683047</c:v>
                </c:pt>
                <c:pt idx="290">
                  <c:v>2.700331529683047</c:v>
                </c:pt>
                <c:pt idx="291">
                  <c:v>2.700331529683047</c:v>
                </c:pt>
                <c:pt idx="292">
                  <c:v>2.700331529683047</c:v>
                </c:pt>
                <c:pt idx="293">
                  <c:v>2.700331529683047</c:v>
                </c:pt>
                <c:pt idx="294">
                  <c:v>2.700331529683047</c:v>
                </c:pt>
                <c:pt idx="295">
                  <c:v>2.700331529683047</c:v>
                </c:pt>
                <c:pt idx="296">
                  <c:v>2.700331529683047</c:v>
                </c:pt>
                <c:pt idx="297">
                  <c:v>2.700331529683047</c:v>
                </c:pt>
                <c:pt idx="298">
                  <c:v>2.700331529683047</c:v>
                </c:pt>
                <c:pt idx="299">
                  <c:v>2.700331529683047</c:v>
                </c:pt>
                <c:pt idx="300">
                  <c:v>2.700331529683047</c:v>
                </c:pt>
                <c:pt idx="301">
                  <c:v>2.700331529683047</c:v>
                </c:pt>
                <c:pt idx="302">
                  <c:v>2.700331529683047</c:v>
                </c:pt>
                <c:pt idx="303">
                  <c:v>2.700331529683047</c:v>
                </c:pt>
                <c:pt idx="304">
                  <c:v>2.700331529683047</c:v>
                </c:pt>
                <c:pt idx="305">
                  <c:v>2.700331529683047</c:v>
                </c:pt>
                <c:pt idx="306">
                  <c:v>2.700331529683047</c:v>
                </c:pt>
                <c:pt idx="307">
                  <c:v>2.700331529683047</c:v>
                </c:pt>
                <c:pt idx="308">
                  <c:v>2.700331529683047</c:v>
                </c:pt>
                <c:pt idx="309">
                  <c:v>2.700331529683047</c:v>
                </c:pt>
                <c:pt idx="310">
                  <c:v>2.700331529683047</c:v>
                </c:pt>
                <c:pt idx="311">
                  <c:v>2.700331529683047</c:v>
                </c:pt>
                <c:pt idx="312">
                  <c:v>2.700331529683047</c:v>
                </c:pt>
                <c:pt idx="313">
                  <c:v>2.700331529683047</c:v>
                </c:pt>
                <c:pt idx="314">
                  <c:v>2.700331529683047</c:v>
                </c:pt>
                <c:pt idx="315">
                  <c:v>2.700331529683047</c:v>
                </c:pt>
                <c:pt idx="316">
                  <c:v>2.700331529683047</c:v>
                </c:pt>
                <c:pt idx="317">
                  <c:v>2.700331529683047</c:v>
                </c:pt>
                <c:pt idx="318">
                  <c:v>2.700331529683047</c:v>
                </c:pt>
                <c:pt idx="319">
                  <c:v>2.700331529683047</c:v>
                </c:pt>
                <c:pt idx="320">
                  <c:v>2.700331529683047</c:v>
                </c:pt>
                <c:pt idx="321">
                  <c:v>2.700331529683047</c:v>
                </c:pt>
                <c:pt idx="322">
                  <c:v>2.700331529683047</c:v>
                </c:pt>
                <c:pt idx="323">
                  <c:v>2.700331529683047</c:v>
                </c:pt>
                <c:pt idx="324">
                  <c:v>2.700331529683047</c:v>
                </c:pt>
                <c:pt idx="325">
                  <c:v>3.4887162328793941</c:v>
                </c:pt>
                <c:pt idx="326">
                  <c:v>3.4887162328793941</c:v>
                </c:pt>
                <c:pt idx="327">
                  <c:v>3.4887162328793941</c:v>
                </c:pt>
                <c:pt idx="328">
                  <c:v>3.4887162328793941</c:v>
                </c:pt>
                <c:pt idx="329">
                  <c:v>3.4887162328793941</c:v>
                </c:pt>
                <c:pt idx="330">
                  <c:v>3.4887162328793941</c:v>
                </c:pt>
                <c:pt idx="331">
                  <c:v>3.4887162328793941</c:v>
                </c:pt>
                <c:pt idx="332">
                  <c:v>3.4887162328793941</c:v>
                </c:pt>
                <c:pt idx="333">
                  <c:v>3.4887162328793941</c:v>
                </c:pt>
                <c:pt idx="334">
                  <c:v>3.4887162328793941</c:v>
                </c:pt>
                <c:pt idx="335">
                  <c:v>3.4887162328793941</c:v>
                </c:pt>
                <c:pt idx="336">
                  <c:v>3.4887162328793941</c:v>
                </c:pt>
                <c:pt idx="337">
                  <c:v>3.4887162328793941</c:v>
                </c:pt>
                <c:pt idx="338">
                  <c:v>3.4887162328793941</c:v>
                </c:pt>
                <c:pt idx="339">
                  <c:v>3.4887162328793941</c:v>
                </c:pt>
                <c:pt idx="340">
                  <c:v>3.4887162328793941</c:v>
                </c:pt>
                <c:pt idx="341">
                  <c:v>3.4887162328793941</c:v>
                </c:pt>
                <c:pt idx="342">
                  <c:v>3.4887162328793941</c:v>
                </c:pt>
                <c:pt idx="343">
                  <c:v>3.4887162328793941</c:v>
                </c:pt>
                <c:pt idx="344">
                  <c:v>3.4887162328793941</c:v>
                </c:pt>
                <c:pt idx="345">
                  <c:v>3.4887162328793941</c:v>
                </c:pt>
                <c:pt idx="346">
                  <c:v>3.4887162328793941</c:v>
                </c:pt>
                <c:pt idx="347">
                  <c:v>3.4887162328793941</c:v>
                </c:pt>
                <c:pt idx="348">
                  <c:v>3.4887162328793941</c:v>
                </c:pt>
                <c:pt idx="349">
                  <c:v>3.4887162328793941</c:v>
                </c:pt>
                <c:pt idx="350">
                  <c:v>3.4887162328793941</c:v>
                </c:pt>
                <c:pt idx="351">
                  <c:v>3.4887162328793941</c:v>
                </c:pt>
                <c:pt idx="352">
                  <c:v>3.4887162328793941</c:v>
                </c:pt>
                <c:pt idx="353">
                  <c:v>3.4887162328793941</c:v>
                </c:pt>
                <c:pt idx="354">
                  <c:v>3.4887162328793941</c:v>
                </c:pt>
                <c:pt idx="355">
                  <c:v>3.4887162328793941</c:v>
                </c:pt>
                <c:pt idx="356">
                  <c:v>3.4887162328793941</c:v>
                </c:pt>
                <c:pt idx="357">
                  <c:v>3.4887162328793941</c:v>
                </c:pt>
                <c:pt idx="358">
                  <c:v>3.4887162328793941</c:v>
                </c:pt>
                <c:pt idx="359">
                  <c:v>3.4887162328793941</c:v>
                </c:pt>
                <c:pt idx="360">
                  <c:v>3.4887162328793941</c:v>
                </c:pt>
                <c:pt idx="361">
                  <c:v>3.4887162328793941</c:v>
                </c:pt>
                <c:pt idx="362">
                  <c:v>3.4887162328793941</c:v>
                </c:pt>
                <c:pt idx="363">
                  <c:v>3.4887162328793941</c:v>
                </c:pt>
                <c:pt idx="364">
                  <c:v>3.4887162328793941</c:v>
                </c:pt>
                <c:pt idx="365">
                  <c:v>3.4887162328793941</c:v>
                </c:pt>
                <c:pt idx="366">
                  <c:v>3.4887162328793941</c:v>
                </c:pt>
                <c:pt idx="367">
                  <c:v>3.4887162328793941</c:v>
                </c:pt>
                <c:pt idx="368">
                  <c:v>3.4887162328793941</c:v>
                </c:pt>
                <c:pt idx="369">
                  <c:v>3.4887162328793941</c:v>
                </c:pt>
                <c:pt idx="370">
                  <c:v>3.4887162328793941</c:v>
                </c:pt>
                <c:pt idx="371">
                  <c:v>3.4887162328793941</c:v>
                </c:pt>
                <c:pt idx="372">
                  <c:v>3.4887162328793941</c:v>
                </c:pt>
                <c:pt idx="373">
                  <c:v>3.4887162328793941</c:v>
                </c:pt>
                <c:pt idx="374">
                  <c:v>3.4887162328793941</c:v>
                </c:pt>
                <c:pt idx="375">
                  <c:v>3.4887162328793941</c:v>
                </c:pt>
                <c:pt idx="376">
                  <c:v>3.4887162328793941</c:v>
                </c:pt>
                <c:pt idx="377">
                  <c:v>3.4887162328793941</c:v>
                </c:pt>
                <c:pt idx="378">
                  <c:v>3.4887162328793941</c:v>
                </c:pt>
                <c:pt idx="379">
                  <c:v>3.4887162328793941</c:v>
                </c:pt>
                <c:pt idx="380">
                  <c:v>3.4887162328793941</c:v>
                </c:pt>
                <c:pt idx="381">
                  <c:v>3.4887162328793941</c:v>
                </c:pt>
                <c:pt idx="382">
                  <c:v>3.4887162328793941</c:v>
                </c:pt>
                <c:pt idx="383">
                  <c:v>3.4887162328793941</c:v>
                </c:pt>
                <c:pt idx="384">
                  <c:v>3.4887162328793941</c:v>
                </c:pt>
                <c:pt idx="385">
                  <c:v>3.4887162328793941</c:v>
                </c:pt>
                <c:pt idx="386">
                  <c:v>3.4887162328793941</c:v>
                </c:pt>
                <c:pt idx="387">
                  <c:v>3.4887162328793941</c:v>
                </c:pt>
                <c:pt idx="388">
                  <c:v>3.4887162328793941</c:v>
                </c:pt>
                <c:pt idx="389">
                  <c:v>3.4887162328793941</c:v>
                </c:pt>
                <c:pt idx="390">
                  <c:v>3.4887162328793941</c:v>
                </c:pt>
                <c:pt idx="391">
                  <c:v>3.4887162328793941</c:v>
                </c:pt>
                <c:pt idx="392">
                  <c:v>3.4887162328793941</c:v>
                </c:pt>
                <c:pt idx="393">
                  <c:v>3.4887162328793941</c:v>
                </c:pt>
                <c:pt idx="394">
                  <c:v>3.4887162328793941</c:v>
                </c:pt>
                <c:pt idx="395">
                  <c:v>3.4887162328793941</c:v>
                </c:pt>
                <c:pt idx="396">
                  <c:v>3.4887162328793941</c:v>
                </c:pt>
                <c:pt idx="397">
                  <c:v>3.4887162328793941</c:v>
                </c:pt>
                <c:pt idx="398">
                  <c:v>3.4887162328793941</c:v>
                </c:pt>
                <c:pt idx="399">
                  <c:v>3.4887162328793941</c:v>
                </c:pt>
                <c:pt idx="400">
                  <c:v>3.4887162328793941</c:v>
                </c:pt>
                <c:pt idx="401">
                  <c:v>3.4887162328793941</c:v>
                </c:pt>
                <c:pt idx="402">
                  <c:v>3.4887162328793941</c:v>
                </c:pt>
                <c:pt idx="403">
                  <c:v>3.4887162328793941</c:v>
                </c:pt>
                <c:pt idx="404">
                  <c:v>3.4887162328793941</c:v>
                </c:pt>
                <c:pt idx="405">
                  <c:v>3.4887162328793941</c:v>
                </c:pt>
                <c:pt idx="406">
                  <c:v>3.4887162328793941</c:v>
                </c:pt>
                <c:pt idx="407">
                  <c:v>3.4887162328793941</c:v>
                </c:pt>
                <c:pt idx="408">
                  <c:v>3.4887162328793941</c:v>
                </c:pt>
                <c:pt idx="409">
                  <c:v>3.4887162328793941</c:v>
                </c:pt>
                <c:pt idx="410">
                  <c:v>3.4887162328793941</c:v>
                </c:pt>
                <c:pt idx="411">
                  <c:v>3.4887162328793941</c:v>
                </c:pt>
                <c:pt idx="412">
                  <c:v>3.4887162328793941</c:v>
                </c:pt>
                <c:pt idx="413">
                  <c:v>3.4887162328793941</c:v>
                </c:pt>
                <c:pt idx="414">
                  <c:v>3.4887162328793941</c:v>
                </c:pt>
                <c:pt idx="415">
                  <c:v>3.4887162328793941</c:v>
                </c:pt>
                <c:pt idx="416">
                  <c:v>3.4887162328793941</c:v>
                </c:pt>
                <c:pt idx="417">
                  <c:v>3.4887162328793941</c:v>
                </c:pt>
                <c:pt idx="418">
                  <c:v>3.4887162328793941</c:v>
                </c:pt>
              </c:numCache>
            </c:numRef>
          </c:val>
          <c:smooth val="1"/>
          <c:extLst>
            <c:ext xmlns:c16="http://schemas.microsoft.com/office/drawing/2014/chart" uri="{C3380CC4-5D6E-409C-BE32-E72D297353CC}">
              <c16:uniqueId val="{00000002-73E2-4837-99C7-F287FF0F145B}"/>
            </c:ext>
          </c:extLst>
        </c:ser>
        <c:ser>
          <c:idx val="3"/>
          <c:order val="5"/>
          <c:tx>
            <c:v>All Three</c:v>
          </c:tx>
          <c:spPr>
            <a:ln w="38100" cap="rnd">
              <a:solidFill>
                <a:sysClr val="windowText" lastClr="000000"/>
              </a:solidFill>
              <a:round/>
            </a:ln>
            <a:effectLst/>
          </c:spPr>
          <c:marker>
            <c:symbol val="none"/>
          </c:marker>
          <c:val>
            <c:numRef>
              <c:f>'2025-Q2'!$DQ$4:$DQ$422</c:f>
              <c:numCache>
                <c:formatCode>0.00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0.36227168206863897</c:v>
                </c:pt>
                <c:pt idx="17">
                  <c:v>0.36227168206863897</c:v>
                </c:pt>
                <c:pt idx="18">
                  <c:v>0.36227168206863897</c:v>
                </c:pt>
                <c:pt idx="19">
                  <c:v>0.36227168206863897</c:v>
                </c:pt>
                <c:pt idx="20">
                  <c:v>0.36227168206863897</c:v>
                </c:pt>
                <c:pt idx="21">
                  <c:v>0.36227168206863897</c:v>
                </c:pt>
                <c:pt idx="22">
                  <c:v>0.36227168206863897</c:v>
                </c:pt>
                <c:pt idx="23">
                  <c:v>0.36227168206863897</c:v>
                </c:pt>
                <c:pt idx="24">
                  <c:v>0.36227168206863897</c:v>
                </c:pt>
                <c:pt idx="25">
                  <c:v>0.36227168206863897</c:v>
                </c:pt>
                <c:pt idx="26">
                  <c:v>0.36227168206863897</c:v>
                </c:pt>
                <c:pt idx="27">
                  <c:v>0.36227168206863897</c:v>
                </c:pt>
                <c:pt idx="28">
                  <c:v>0.36227168206863897</c:v>
                </c:pt>
                <c:pt idx="29">
                  <c:v>0.36227168206863897</c:v>
                </c:pt>
                <c:pt idx="30">
                  <c:v>0.36227168206863897</c:v>
                </c:pt>
                <c:pt idx="31">
                  <c:v>0.36227168206863897</c:v>
                </c:pt>
                <c:pt idx="32">
                  <c:v>0.36227168206863897</c:v>
                </c:pt>
                <c:pt idx="33">
                  <c:v>0.36227168206863897</c:v>
                </c:pt>
                <c:pt idx="34">
                  <c:v>0.36227168206863897</c:v>
                </c:pt>
                <c:pt idx="35">
                  <c:v>0.36227168206863897</c:v>
                </c:pt>
                <c:pt idx="36">
                  <c:v>0.36227168206863897</c:v>
                </c:pt>
                <c:pt idx="37">
                  <c:v>0.36227168206863897</c:v>
                </c:pt>
                <c:pt idx="38">
                  <c:v>0.55702415629862168</c:v>
                </c:pt>
                <c:pt idx="39">
                  <c:v>0.55702415629862168</c:v>
                </c:pt>
                <c:pt idx="40">
                  <c:v>0.55702415629862168</c:v>
                </c:pt>
                <c:pt idx="41">
                  <c:v>0.55702415629862168</c:v>
                </c:pt>
                <c:pt idx="42">
                  <c:v>0.55702415629862168</c:v>
                </c:pt>
                <c:pt idx="43">
                  <c:v>0.55702415629862168</c:v>
                </c:pt>
                <c:pt idx="44">
                  <c:v>0.19208899052488143</c:v>
                </c:pt>
                <c:pt idx="45">
                  <c:v>0.19208899052488143</c:v>
                </c:pt>
                <c:pt idx="46">
                  <c:v>0.19208899052488143</c:v>
                </c:pt>
                <c:pt idx="47">
                  <c:v>0.19208899052488143</c:v>
                </c:pt>
                <c:pt idx="48">
                  <c:v>0.19208899052488143</c:v>
                </c:pt>
                <c:pt idx="49">
                  <c:v>0.19208899052488143</c:v>
                </c:pt>
                <c:pt idx="50">
                  <c:v>0.19208899052488143</c:v>
                </c:pt>
                <c:pt idx="51">
                  <c:v>0.19208899052488143</c:v>
                </c:pt>
                <c:pt idx="52">
                  <c:v>0.19208899052488143</c:v>
                </c:pt>
                <c:pt idx="53">
                  <c:v>0.19208899052488143</c:v>
                </c:pt>
                <c:pt idx="54">
                  <c:v>0.19208899052488143</c:v>
                </c:pt>
                <c:pt idx="55">
                  <c:v>0.19208899052488143</c:v>
                </c:pt>
                <c:pt idx="56">
                  <c:v>0.19208899052488143</c:v>
                </c:pt>
                <c:pt idx="57">
                  <c:v>0.19208899052488143</c:v>
                </c:pt>
                <c:pt idx="58">
                  <c:v>0.19208899052488143</c:v>
                </c:pt>
                <c:pt idx="59">
                  <c:v>0.19208899052488143</c:v>
                </c:pt>
                <c:pt idx="60">
                  <c:v>0.19208899052488143</c:v>
                </c:pt>
                <c:pt idx="61">
                  <c:v>0.19208899052488143</c:v>
                </c:pt>
                <c:pt idx="62">
                  <c:v>0.19208899052488143</c:v>
                </c:pt>
                <c:pt idx="63">
                  <c:v>0.19208899052488143</c:v>
                </c:pt>
                <c:pt idx="64">
                  <c:v>-7.0645925399947795E-2</c:v>
                </c:pt>
                <c:pt idx="65">
                  <c:v>-7.0645925399947795E-2</c:v>
                </c:pt>
                <c:pt idx="66">
                  <c:v>-7.0645925399947795E-2</c:v>
                </c:pt>
                <c:pt idx="67">
                  <c:v>-7.0645925399947795E-2</c:v>
                </c:pt>
                <c:pt idx="68">
                  <c:v>-7.0645925399947795E-2</c:v>
                </c:pt>
                <c:pt idx="69">
                  <c:v>-7.0645925399947795E-2</c:v>
                </c:pt>
                <c:pt idx="70">
                  <c:v>-7.0645925399947795E-2</c:v>
                </c:pt>
                <c:pt idx="71">
                  <c:v>-7.0645925399947795E-2</c:v>
                </c:pt>
                <c:pt idx="72">
                  <c:v>-7.0645925399947795E-2</c:v>
                </c:pt>
                <c:pt idx="73">
                  <c:v>-7.0645925399947795E-2</c:v>
                </c:pt>
                <c:pt idx="74">
                  <c:v>-7.0645925399947795E-2</c:v>
                </c:pt>
                <c:pt idx="75">
                  <c:v>-7.0645925399947795E-2</c:v>
                </c:pt>
                <c:pt idx="76">
                  <c:v>-7.0645925399947795E-2</c:v>
                </c:pt>
                <c:pt idx="77">
                  <c:v>-7.0645925399947795E-2</c:v>
                </c:pt>
                <c:pt idx="78">
                  <c:v>-7.0645925399947795E-2</c:v>
                </c:pt>
                <c:pt idx="79">
                  <c:v>-7.0645925399947795E-2</c:v>
                </c:pt>
                <c:pt idx="80">
                  <c:v>-7.0645925399947795E-2</c:v>
                </c:pt>
                <c:pt idx="81">
                  <c:v>-7.0645925399947795E-2</c:v>
                </c:pt>
                <c:pt idx="82">
                  <c:v>-7.0645925399947795E-2</c:v>
                </c:pt>
                <c:pt idx="83">
                  <c:v>-7.0645925399947795E-2</c:v>
                </c:pt>
                <c:pt idx="84">
                  <c:v>-7.0645925399947795E-2</c:v>
                </c:pt>
                <c:pt idx="85">
                  <c:v>-7.0645925399947795E-2</c:v>
                </c:pt>
                <c:pt idx="86">
                  <c:v>-7.0645925399947795E-2</c:v>
                </c:pt>
                <c:pt idx="87">
                  <c:v>-7.0645925399947795E-2</c:v>
                </c:pt>
                <c:pt idx="88">
                  <c:v>-7.0645925399947795E-2</c:v>
                </c:pt>
                <c:pt idx="89">
                  <c:v>-7.0645925399947795E-2</c:v>
                </c:pt>
                <c:pt idx="90">
                  <c:v>1.1332995344201857</c:v>
                </c:pt>
                <c:pt idx="91">
                  <c:v>1.1332995344201857</c:v>
                </c:pt>
                <c:pt idx="92">
                  <c:v>1.1332995344201857</c:v>
                </c:pt>
                <c:pt idx="93">
                  <c:v>1.1332995344201857</c:v>
                </c:pt>
                <c:pt idx="94">
                  <c:v>1.1332995344201857</c:v>
                </c:pt>
                <c:pt idx="95">
                  <c:v>1.1332995344201857</c:v>
                </c:pt>
                <c:pt idx="96">
                  <c:v>1.1332995344201857</c:v>
                </c:pt>
                <c:pt idx="97">
                  <c:v>1.1332995344201857</c:v>
                </c:pt>
                <c:pt idx="98">
                  <c:v>0.75814321928887918</c:v>
                </c:pt>
                <c:pt idx="99">
                  <c:v>0.75814321928887918</c:v>
                </c:pt>
                <c:pt idx="100">
                  <c:v>0.75814321928887918</c:v>
                </c:pt>
                <c:pt idx="101">
                  <c:v>0.75814321928887918</c:v>
                </c:pt>
                <c:pt idx="102">
                  <c:v>0.75814321928887918</c:v>
                </c:pt>
                <c:pt idx="103">
                  <c:v>-0.45158546583838721</c:v>
                </c:pt>
                <c:pt idx="104">
                  <c:v>-0.45158546583838721</c:v>
                </c:pt>
                <c:pt idx="105">
                  <c:v>-0.45158546583838721</c:v>
                </c:pt>
                <c:pt idx="106">
                  <c:v>-0.45158546583838721</c:v>
                </c:pt>
                <c:pt idx="107">
                  <c:v>-0.45158546583838721</c:v>
                </c:pt>
                <c:pt idx="108">
                  <c:v>0.12953383392833895</c:v>
                </c:pt>
                <c:pt idx="109">
                  <c:v>0.12953383392833895</c:v>
                </c:pt>
                <c:pt idx="110">
                  <c:v>0.12953383392833895</c:v>
                </c:pt>
                <c:pt idx="111">
                  <c:v>0.12953383392833895</c:v>
                </c:pt>
                <c:pt idx="112">
                  <c:v>0.12953383392833895</c:v>
                </c:pt>
                <c:pt idx="113">
                  <c:v>0.12953383392833895</c:v>
                </c:pt>
                <c:pt idx="114">
                  <c:v>0.12953383392833895</c:v>
                </c:pt>
                <c:pt idx="115">
                  <c:v>1.3308380218427318</c:v>
                </c:pt>
                <c:pt idx="116">
                  <c:v>1.3308380218427318</c:v>
                </c:pt>
                <c:pt idx="117">
                  <c:v>1.3308380218427318</c:v>
                </c:pt>
                <c:pt idx="118">
                  <c:v>1.3308380218427318</c:v>
                </c:pt>
                <c:pt idx="119">
                  <c:v>1.3308380218427318</c:v>
                </c:pt>
                <c:pt idx="120">
                  <c:v>1.3308380218427318</c:v>
                </c:pt>
                <c:pt idx="121">
                  <c:v>1.3308380218427318</c:v>
                </c:pt>
                <c:pt idx="122">
                  <c:v>1.3308380218427318</c:v>
                </c:pt>
                <c:pt idx="123">
                  <c:v>1.3308380218427318</c:v>
                </c:pt>
                <c:pt idx="124">
                  <c:v>1.3308380218427318</c:v>
                </c:pt>
                <c:pt idx="125">
                  <c:v>1.3308380218427318</c:v>
                </c:pt>
                <c:pt idx="126">
                  <c:v>1.3308380218427318</c:v>
                </c:pt>
                <c:pt idx="127">
                  <c:v>1.3308380218427318</c:v>
                </c:pt>
                <c:pt idx="128">
                  <c:v>1.3308380218427318</c:v>
                </c:pt>
                <c:pt idx="129">
                  <c:v>1.3308380218427318</c:v>
                </c:pt>
                <c:pt idx="130">
                  <c:v>1.3308380218427318</c:v>
                </c:pt>
                <c:pt idx="131">
                  <c:v>1.3308380218427318</c:v>
                </c:pt>
                <c:pt idx="132">
                  <c:v>1.3308380218427318</c:v>
                </c:pt>
                <c:pt idx="133">
                  <c:v>1.3308380218427318</c:v>
                </c:pt>
                <c:pt idx="134">
                  <c:v>1.3308380218427318</c:v>
                </c:pt>
                <c:pt idx="135">
                  <c:v>1.3308380218427318</c:v>
                </c:pt>
                <c:pt idx="136">
                  <c:v>1.3308380218427318</c:v>
                </c:pt>
                <c:pt idx="137">
                  <c:v>1.3308380218427318</c:v>
                </c:pt>
                <c:pt idx="138">
                  <c:v>1.3308380218427318</c:v>
                </c:pt>
                <c:pt idx="139">
                  <c:v>1.3308380218427318</c:v>
                </c:pt>
                <c:pt idx="140">
                  <c:v>1.3308380218427318</c:v>
                </c:pt>
                <c:pt idx="141">
                  <c:v>1.3308380218427318</c:v>
                </c:pt>
                <c:pt idx="142">
                  <c:v>1.3308380218427318</c:v>
                </c:pt>
                <c:pt idx="143">
                  <c:v>1.3308380218427318</c:v>
                </c:pt>
                <c:pt idx="144">
                  <c:v>1.3308380218427318</c:v>
                </c:pt>
                <c:pt idx="145">
                  <c:v>1.3308380218427318</c:v>
                </c:pt>
                <c:pt idx="146">
                  <c:v>1.3308380218427318</c:v>
                </c:pt>
                <c:pt idx="147">
                  <c:v>1.3308380218427318</c:v>
                </c:pt>
                <c:pt idx="148">
                  <c:v>1.3308380218427318</c:v>
                </c:pt>
                <c:pt idx="149">
                  <c:v>1.3308380218427318</c:v>
                </c:pt>
                <c:pt idx="150">
                  <c:v>1.3308380218427318</c:v>
                </c:pt>
                <c:pt idx="151">
                  <c:v>1.3308380218427318</c:v>
                </c:pt>
                <c:pt idx="152">
                  <c:v>1.3308380218427318</c:v>
                </c:pt>
                <c:pt idx="153">
                  <c:v>1.3308380218427318</c:v>
                </c:pt>
                <c:pt idx="154">
                  <c:v>1.3308380218427318</c:v>
                </c:pt>
                <c:pt idx="155">
                  <c:v>1.3308380218427318</c:v>
                </c:pt>
                <c:pt idx="156">
                  <c:v>1.3308380218427318</c:v>
                </c:pt>
                <c:pt idx="157">
                  <c:v>1.3308380218427318</c:v>
                </c:pt>
                <c:pt idx="158">
                  <c:v>1.3308380218427318</c:v>
                </c:pt>
                <c:pt idx="159">
                  <c:v>1.3308380218427318</c:v>
                </c:pt>
                <c:pt idx="160">
                  <c:v>1.3308380218427318</c:v>
                </c:pt>
                <c:pt idx="161">
                  <c:v>1.3308380218427318</c:v>
                </c:pt>
                <c:pt idx="162">
                  <c:v>1.3308380218427318</c:v>
                </c:pt>
                <c:pt idx="163">
                  <c:v>1.3308380218427318</c:v>
                </c:pt>
                <c:pt idx="164">
                  <c:v>1.3308380218427318</c:v>
                </c:pt>
                <c:pt idx="165">
                  <c:v>1.3308380218427318</c:v>
                </c:pt>
                <c:pt idx="166">
                  <c:v>1.3308380218427318</c:v>
                </c:pt>
                <c:pt idx="167">
                  <c:v>1.3308380218427318</c:v>
                </c:pt>
                <c:pt idx="168">
                  <c:v>1.3308380218427318</c:v>
                </c:pt>
                <c:pt idx="169">
                  <c:v>1.3308380218427318</c:v>
                </c:pt>
                <c:pt idx="170">
                  <c:v>1.3308380218427318</c:v>
                </c:pt>
                <c:pt idx="171">
                  <c:v>1.3308380218427318</c:v>
                </c:pt>
                <c:pt idx="172">
                  <c:v>1.3308380218427318</c:v>
                </c:pt>
                <c:pt idx="173">
                  <c:v>1.3308380218427318</c:v>
                </c:pt>
                <c:pt idx="174">
                  <c:v>1.3308380218427318</c:v>
                </c:pt>
                <c:pt idx="175">
                  <c:v>1.3308380218427318</c:v>
                </c:pt>
                <c:pt idx="176">
                  <c:v>1.3308380218427318</c:v>
                </c:pt>
                <c:pt idx="177">
                  <c:v>2.6385186532938567</c:v>
                </c:pt>
                <c:pt idx="178">
                  <c:v>2.6385186532938567</c:v>
                </c:pt>
                <c:pt idx="179">
                  <c:v>2.6385186532938567</c:v>
                </c:pt>
                <c:pt idx="180">
                  <c:v>2.6385186532938567</c:v>
                </c:pt>
                <c:pt idx="181">
                  <c:v>2.6385186532938567</c:v>
                </c:pt>
                <c:pt idx="182">
                  <c:v>2.6385186532938567</c:v>
                </c:pt>
                <c:pt idx="183">
                  <c:v>2.6385186532938567</c:v>
                </c:pt>
                <c:pt idx="184">
                  <c:v>2.6385186532938567</c:v>
                </c:pt>
                <c:pt idx="185">
                  <c:v>2.6385186532938567</c:v>
                </c:pt>
                <c:pt idx="186">
                  <c:v>2.6385186532938567</c:v>
                </c:pt>
                <c:pt idx="187">
                  <c:v>2.6385186532938567</c:v>
                </c:pt>
                <c:pt idx="188">
                  <c:v>2.6385186532938567</c:v>
                </c:pt>
                <c:pt idx="189">
                  <c:v>2.6385186532938567</c:v>
                </c:pt>
                <c:pt idx="190">
                  <c:v>2.6385186532938567</c:v>
                </c:pt>
                <c:pt idx="191">
                  <c:v>2.6385186532938567</c:v>
                </c:pt>
                <c:pt idx="192">
                  <c:v>2.6385186532938567</c:v>
                </c:pt>
                <c:pt idx="193">
                  <c:v>2.6385186532938567</c:v>
                </c:pt>
                <c:pt idx="194">
                  <c:v>2.6385186532938567</c:v>
                </c:pt>
                <c:pt idx="195">
                  <c:v>2.6385186532938567</c:v>
                </c:pt>
                <c:pt idx="196">
                  <c:v>2.6385186532938567</c:v>
                </c:pt>
                <c:pt idx="197">
                  <c:v>2.6385186532938567</c:v>
                </c:pt>
                <c:pt idx="198">
                  <c:v>2.6385186532938567</c:v>
                </c:pt>
                <c:pt idx="199">
                  <c:v>2.6385186532938567</c:v>
                </c:pt>
                <c:pt idx="200">
                  <c:v>2.6385186532938567</c:v>
                </c:pt>
                <c:pt idx="201">
                  <c:v>2.6385186532938567</c:v>
                </c:pt>
                <c:pt idx="202">
                  <c:v>2.6385186532938567</c:v>
                </c:pt>
                <c:pt idx="203">
                  <c:v>2.6385186532938567</c:v>
                </c:pt>
                <c:pt idx="204">
                  <c:v>2.6385186532938567</c:v>
                </c:pt>
                <c:pt idx="205">
                  <c:v>2.6385186532938567</c:v>
                </c:pt>
                <c:pt idx="206">
                  <c:v>2.6385186532938567</c:v>
                </c:pt>
                <c:pt idx="207">
                  <c:v>2.6385186532938567</c:v>
                </c:pt>
                <c:pt idx="208">
                  <c:v>2.6385186532938567</c:v>
                </c:pt>
                <c:pt idx="209">
                  <c:v>2.6385186532938567</c:v>
                </c:pt>
                <c:pt idx="210">
                  <c:v>2.6385186532938567</c:v>
                </c:pt>
                <c:pt idx="211">
                  <c:v>2.6385186532938567</c:v>
                </c:pt>
                <c:pt idx="212">
                  <c:v>2.6385186532938567</c:v>
                </c:pt>
                <c:pt idx="213">
                  <c:v>2.6385186532938567</c:v>
                </c:pt>
                <c:pt idx="214">
                  <c:v>2.6385186532938567</c:v>
                </c:pt>
                <c:pt idx="215">
                  <c:v>2.6385186532938567</c:v>
                </c:pt>
                <c:pt idx="216">
                  <c:v>2.6385186532938567</c:v>
                </c:pt>
                <c:pt idx="217">
                  <c:v>2.6385186532938567</c:v>
                </c:pt>
                <c:pt idx="218">
                  <c:v>2.6385186532938567</c:v>
                </c:pt>
                <c:pt idx="219">
                  <c:v>2.6385186532938567</c:v>
                </c:pt>
                <c:pt idx="220">
                  <c:v>2.6385186532938567</c:v>
                </c:pt>
                <c:pt idx="221">
                  <c:v>2.6385186532938567</c:v>
                </c:pt>
                <c:pt idx="222">
                  <c:v>2.6385186532938567</c:v>
                </c:pt>
                <c:pt idx="223">
                  <c:v>2.6385186532938567</c:v>
                </c:pt>
                <c:pt idx="224">
                  <c:v>2.6385186532938567</c:v>
                </c:pt>
                <c:pt idx="225">
                  <c:v>2.6385186532938567</c:v>
                </c:pt>
                <c:pt idx="226">
                  <c:v>2.6385186532938567</c:v>
                </c:pt>
                <c:pt idx="227">
                  <c:v>2.6385186532938567</c:v>
                </c:pt>
                <c:pt idx="228">
                  <c:v>2.6385186532938567</c:v>
                </c:pt>
                <c:pt idx="229">
                  <c:v>2.6385186532938567</c:v>
                </c:pt>
                <c:pt idx="230">
                  <c:v>2.6385186532938567</c:v>
                </c:pt>
                <c:pt idx="231">
                  <c:v>2.6385186532938567</c:v>
                </c:pt>
                <c:pt idx="232">
                  <c:v>2.6385186532938567</c:v>
                </c:pt>
                <c:pt idx="233">
                  <c:v>2.6385186532938567</c:v>
                </c:pt>
                <c:pt idx="234">
                  <c:v>2.6385186532938567</c:v>
                </c:pt>
                <c:pt idx="235">
                  <c:v>2.6385186532938567</c:v>
                </c:pt>
                <c:pt idx="236">
                  <c:v>4.4756426808445235</c:v>
                </c:pt>
                <c:pt idx="237">
                  <c:v>4.4756426808445235</c:v>
                </c:pt>
                <c:pt idx="238">
                  <c:v>4.4756426808445235</c:v>
                </c:pt>
                <c:pt idx="239">
                  <c:v>4.518787698863914</c:v>
                </c:pt>
                <c:pt idx="240">
                  <c:v>4.518787698863914</c:v>
                </c:pt>
                <c:pt idx="241">
                  <c:v>4.518787698863914</c:v>
                </c:pt>
                <c:pt idx="242">
                  <c:v>4.518787698863914</c:v>
                </c:pt>
                <c:pt idx="243">
                  <c:v>4.518787698863914</c:v>
                </c:pt>
                <c:pt idx="244">
                  <c:v>4.518787698863914</c:v>
                </c:pt>
                <c:pt idx="245">
                  <c:v>4.518787698863914</c:v>
                </c:pt>
                <c:pt idx="246">
                  <c:v>4.518787698863914</c:v>
                </c:pt>
                <c:pt idx="247">
                  <c:v>4.518787698863914</c:v>
                </c:pt>
                <c:pt idx="248">
                  <c:v>4.518787698863914</c:v>
                </c:pt>
                <c:pt idx="249">
                  <c:v>4.518787698863914</c:v>
                </c:pt>
                <c:pt idx="250">
                  <c:v>4.518787698863914</c:v>
                </c:pt>
                <c:pt idx="251">
                  <c:v>4.518787698863914</c:v>
                </c:pt>
                <c:pt idx="252">
                  <c:v>4.518787698863914</c:v>
                </c:pt>
                <c:pt idx="253">
                  <c:v>4.518787698863914</c:v>
                </c:pt>
                <c:pt idx="254">
                  <c:v>4.518787698863914</c:v>
                </c:pt>
                <c:pt idx="255">
                  <c:v>4.518787698863914</c:v>
                </c:pt>
                <c:pt idx="256">
                  <c:v>4.518787698863914</c:v>
                </c:pt>
                <c:pt idx="257">
                  <c:v>4.518787698863914</c:v>
                </c:pt>
                <c:pt idx="258">
                  <c:v>4.518787698863914</c:v>
                </c:pt>
                <c:pt idx="259">
                  <c:v>4.518787698863914</c:v>
                </c:pt>
                <c:pt idx="260">
                  <c:v>4.518787698863914</c:v>
                </c:pt>
                <c:pt idx="261">
                  <c:v>4.518787698863914</c:v>
                </c:pt>
                <c:pt idx="262">
                  <c:v>4.518787698863914</c:v>
                </c:pt>
                <c:pt idx="263">
                  <c:v>4.518787698863914</c:v>
                </c:pt>
                <c:pt idx="264">
                  <c:v>4.518787698863914</c:v>
                </c:pt>
                <c:pt idx="265">
                  <c:v>4.518787698863914</c:v>
                </c:pt>
                <c:pt idx="266">
                  <c:v>4.518787698863914</c:v>
                </c:pt>
                <c:pt idx="267">
                  <c:v>4.518787698863914</c:v>
                </c:pt>
                <c:pt idx="268">
                  <c:v>4.518787698863914</c:v>
                </c:pt>
                <c:pt idx="269">
                  <c:v>4.518787698863914</c:v>
                </c:pt>
                <c:pt idx="270">
                  <c:v>4.518787698863914</c:v>
                </c:pt>
                <c:pt idx="271">
                  <c:v>4.518787698863914</c:v>
                </c:pt>
                <c:pt idx="272">
                  <c:v>4.518787698863914</c:v>
                </c:pt>
                <c:pt idx="273">
                  <c:v>4.518787698863914</c:v>
                </c:pt>
                <c:pt idx="274">
                  <c:v>4.518787698863914</c:v>
                </c:pt>
                <c:pt idx="275">
                  <c:v>4.518787698863914</c:v>
                </c:pt>
                <c:pt idx="276">
                  <c:v>4.518787698863914</c:v>
                </c:pt>
                <c:pt idx="277">
                  <c:v>4.518787698863914</c:v>
                </c:pt>
                <c:pt idx="278">
                  <c:v>4.518787698863914</c:v>
                </c:pt>
                <c:pt idx="279">
                  <c:v>4.518787698863914</c:v>
                </c:pt>
                <c:pt idx="280">
                  <c:v>4.518787698863914</c:v>
                </c:pt>
                <c:pt idx="281">
                  <c:v>4.518787698863914</c:v>
                </c:pt>
                <c:pt idx="282">
                  <c:v>4.518787698863914</c:v>
                </c:pt>
                <c:pt idx="283">
                  <c:v>4.518787698863914</c:v>
                </c:pt>
                <c:pt idx="284">
                  <c:v>4.518787698863914</c:v>
                </c:pt>
                <c:pt idx="285">
                  <c:v>4.518787698863914</c:v>
                </c:pt>
                <c:pt idx="286">
                  <c:v>4.518787698863914</c:v>
                </c:pt>
                <c:pt idx="287">
                  <c:v>4.518787698863914</c:v>
                </c:pt>
                <c:pt idx="288">
                  <c:v>4.518787698863914</c:v>
                </c:pt>
                <c:pt idx="289">
                  <c:v>4.518787698863914</c:v>
                </c:pt>
                <c:pt idx="290">
                  <c:v>4.518787698863914</c:v>
                </c:pt>
                <c:pt idx="291">
                  <c:v>4.518787698863914</c:v>
                </c:pt>
                <c:pt idx="292">
                  <c:v>4.518787698863914</c:v>
                </c:pt>
                <c:pt idx="293">
                  <c:v>4.518787698863914</c:v>
                </c:pt>
                <c:pt idx="294">
                  <c:v>2.6653285111311016</c:v>
                </c:pt>
                <c:pt idx="295">
                  <c:v>2.6653285111311016</c:v>
                </c:pt>
                <c:pt idx="296">
                  <c:v>2.6653285111311016</c:v>
                </c:pt>
                <c:pt idx="297">
                  <c:v>2.6653285111311016</c:v>
                </c:pt>
                <c:pt idx="298">
                  <c:v>2.6653285111311016</c:v>
                </c:pt>
                <c:pt idx="299">
                  <c:v>2.6653285111311016</c:v>
                </c:pt>
                <c:pt idx="300">
                  <c:v>2.6653285111311016</c:v>
                </c:pt>
                <c:pt idx="301">
                  <c:v>2.6653285111311016</c:v>
                </c:pt>
                <c:pt idx="302">
                  <c:v>2.6653285111311016</c:v>
                </c:pt>
                <c:pt idx="303">
                  <c:v>2.6653285111311016</c:v>
                </c:pt>
                <c:pt idx="304">
                  <c:v>2.6653285111311016</c:v>
                </c:pt>
                <c:pt idx="305">
                  <c:v>2.6653285111311016</c:v>
                </c:pt>
                <c:pt idx="306">
                  <c:v>2.6653285111311016</c:v>
                </c:pt>
                <c:pt idx="307">
                  <c:v>2.6653285111311016</c:v>
                </c:pt>
                <c:pt idx="308">
                  <c:v>2.6653285111311016</c:v>
                </c:pt>
                <c:pt idx="309">
                  <c:v>2.6653285111311016</c:v>
                </c:pt>
                <c:pt idx="310">
                  <c:v>2.5775514648287112</c:v>
                </c:pt>
                <c:pt idx="311">
                  <c:v>2.5775514648287112</c:v>
                </c:pt>
                <c:pt idx="312">
                  <c:v>2.5775514648287112</c:v>
                </c:pt>
                <c:pt idx="313">
                  <c:v>2.5775514648287112</c:v>
                </c:pt>
                <c:pt idx="314">
                  <c:v>2.5775514648287112</c:v>
                </c:pt>
                <c:pt idx="315">
                  <c:v>3.356367664205659</c:v>
                </c:pt>
                <c:pt idx="316">
                  <c:v>3.356367664205659</c:v>
                </c:pt>
                <c:pt idx="317">
                  <c:v>3.7255984334364292</c:v>
                </c:pt>
                <c:pt idx="318">
                  <c:v>3.7255984334364292</c:v>
                </c:pt>
                <c:pt idx="319">
                  <c:v>3.7255984334364292</c:v>
                </c:pt>
                <c:pt idx="320">
                  <c:v>3.7255984334364292</c:v>
                </c:pt>
                <c:pt idx="321">
                  <c:v>3.7255984334364292</c:v>
                </c:pt>
                <c:pt idx="322">
                  <c:v>3.7255984334364292</c:v>
                </c:pt>
                <c:pt idx="323">
                  <c:v>3.7255984334364292</c:v>
                </c:pt>
                <c:pt idx="324">
                  <c:v>3.7255984334364292</c:v>
                </c:pt>
                <c:pt idx="325">
                  <c:v>4.5139831366327758</c:v>
                </c:pt>
                <c:pt idx="326">
                  <c:v>4.5139831366327758</c:v>
                </c:pt>
                <c:pt idx="327">
                  <c:v>4.5139831366327758</c:v>
                </c:pt>
                <c:pt idx="328">
                  <c:v>4.5139831366327758</c:v>
                </c:pt>
                <c:pt idx="329">
                  <c:v>4.5139831366327758</c:v>
                </c:pt>
                <c:pt idx="330">
                  <c:v>4.5139831366327758</c:v>
                </c:pt>
                <c:pt idx="331">
                  <c:v>4.5139831366327758</c:v>
                </c:pt>
                <c:pt idx="332">
                  <c:v>4.5139831366327758</c:v>
                </c:pt>
                <c:pt idx="333">
                  <c:v>4.5139831366327758</c:v>
                </c:pt>
                <c:pt idx="334">
                  <c:v>4.5139831366327758</c:v>
                </c:pt>
                <c:pt idx="335">
                  <c:v>4.5139831366327758</c:v>
                </c:pt>
                <c:pt idx="336">
                  <c:v>4.5139831366327758</c:v>
                </c:pt>
                <c:pt idx="337">
                  <c:v>4.5139831366327758</c:v>
                </c:pt>
                <c:pt idx="338">
                  <c:v>4.5139831366327758</c:v>
                </c:pt>
                <c:pt idx="339">
                  <c:v>4.5139831366327758</c:v>
                </c:pt>
                <c:pt idx="340">
                  <c:v>4.5139831366327758</c:v>
                </c:pt>
                <c:pt idx="341">
                  <c:v>4.5139831366327758</c:v>
                </c:pt>
                <c:pt idx="342">
                  <c:v>4.5139831366327758</c:v>
                </c:pt>
                <c:pt idx="343">
                  <c:v>4.5139831366327758</c:v>
                </c:pt>
                <c:pt idx="344">
                  <c:v>4.5139831366327758</c:v>
                </c:pt>
                <c:pt idx="345">
                  <c:v>4.5139831366327758</c:v>
                </c:pt>
                <c:pt idx="346">
                  <c:v>4.5139831366327758</c:v>
                </c:pt>
                <c:pt idx="347">
                  <c:v>4.5139831366327758</c:v>
                </c:pt>
                <c:pt idx="348">
                  <c:v>4.5139831366327758</c:v>
                </c:pt>
                <c:pt idx="349">
                  <c:v>4.5139831366327758</c:v>
                </c:pt>
                <c:pt idx="350">
                  <c:v>4.5139831366327758</c:v>
                </c:pt>
                <c:pt idx="351">
                  <c:v>4.5139831366327758</c:v>
                </c:pt>
                <c:pt idx="352">
                  <c:v>4.5139831366327758</c:v>
                </c:pt>
                <c:pt idx="353">
                  <c:v>4.5139831366327758</c:v>
                </c:pt>
                <c:pt idx="354">
                  <c:v>4.5139831366327758</c:v>
                </c:pt>
                <c:pt idx="355">
                  <c:v>4.5139831366327758</c:v>
                </c:pt>
                <c:pt idx="356">
                  <c:v>4.5139831366327758</c:v>
                </c:pt>
                <c:pt idx="357">
                  <c:v>4.5139831366327758</c:v>
                </c:pt>
                <c:pt idx="358">
                  <c:v>4.5139831366327758</c:v>
                </c:pt>
                <c:pt idx="359">
                  <c:v>4.5139831366327758</c:v>
                </c:pt>
                <c:pt idx="360">
                  <c:v>4.5139831366327758</c:v>
                </c:pt>
                <c:pt idx="361">
                  <c:v>4.5139831366327758</c:v>
                </c:pt>
                <c:pt idx="362">
                  <c:v>4.5139831366327758</c:v>
                </c:pt>
                <c:pt idx="363">
                  <c:v>4.5139831366327758</c:v>
                </c:pt>
                <c:pt idx="364">
                  <c:v>4.5139831366327758</c:v>
                </c:pt>
                <c:pt idx="365">
                  <c:v>4.5139831366327758</c:v>
                </c:pt>
                <c:pt idx="366">
                  <c:v>4.5139831366327758</c:v>
                </c:pt>
                <c:pt idx="367">
                  <c:v>4.5139831366327758</c:v>
                </c:pt>
                <c:pt idx="368">
                  <c:v>4.5139831366327758</c:v>
                </c:pt>
                <c:pt idx="369">
                  <c:v>4.5139831366327758</c:v>
                </c:pt>
                <c:pt idx="370">
                  <c:v>4.5139831366327758</c:v>
                </c:pt>
                <c:pt idx="371">
                  <c:v>4.5139831366327758</c:v>
                </c:pt>
                <c:pt idx="372">
                  <c:v>4.5139831366327758</c:v>
                </c:pt>
                <c:pt idx="373">
                  <c:v>4.5139831366327758</c:v>
                </c:pt>
                <c:pt idx="374">
                  <c:v>4.5139831366327758</c:v>
                </c:pt>
                <c:pt idx="375">
                  <c:v>4.5139831366327758</c:v>
                </c:pt>
                <c:pt idx="376">
                  <c:v>4.5139831366327758</c:v>
                </c:pt>
                <c:pt idx="377">
                  <c:v>4.5139831366327758</c:v>
                </c:pt>
                <c:pt idx="378">
                  <c:v>4.5139831366327758</c:v>
                </c:pt>
                <c:pt idx="379">
                  <c:v>4.5139831366327758</c:v>
                </c:pt>
                <c:pt idx="380">
                  <c:v>4.5139831366327758</c:v>
                </c:pt>
                <c:pt idx="381">
                  <c:v>4.5139831366327758</c:v>
                </c:pt>
                <c:pt idx="382">
                  <c:v>4.5139831366327758</c:v>
                </c:pt>
                <c:pt idx="383">
                  <c:v>4.5139831366327758</c:v>
                </c:pt>
                <c:pt idx="384">
                  <c:v>4.5139831366327758</c:v>
                </c:pt>
                <c:pt idx="385">
                  <c:v>4.5139831366327758</c:v>
                </c:pt>
                <c:pt idx="386">
                  <c:v>4.5139831366327758</c:v>
                </c:pt>
                <c:pt idx="387">
                  <c:v>4.5139831366327758</c:v>
                </c:pt>
                <c:pt idx="388">
                  <c:v>4.5139831366327758</c:v>
                </c:pt>
                <c:pt idx="389">
                  <c:v>4.5139831366327758</c:v>
                </c:pt>
                <c:pt idx="390">
                  <c:v>4.5139831366327758</c:v>
                </c:pt>
                <c:pt idx="391">
                  <c:v>4.5139831366327758</c:v>
                </c:pt>
                <c:pt idx="392">
                  <c:v>4.5139831366327758</c:v>
                </c:pt>
                <c:pt idx="393">
                  <c:v>4.5139831366327758</c:v>
                </c:pt>
                <c:pt idx="394">
                  <c:v>4.5139831366327758</c:v>
                </c:pt>
                <c:pt idx="395">
                  <c:v>4.5139831366327758</c:v>
                </c:pt>
                <c:pt idx="396">
                  <c:v>4.5139831366327758</c:v>
                </c:pt>
                <c:pt idx="397">
                  <c:v>4.5139831366327758</c:v>
                </c:pt>
                <c:pt idx="398">
                  <c:v>4.5139831366327758</c:v>
                </c:pt>
                <c:pt idx="399">
                  <c:v>4.5139831366327758</c:v>
                </c:pt>
                <c:pt idx="400">
                  <c:v>4.5139831366327758</c:v>
                </c:pt>
                <c:pt idx="401">
                  <c:v>4.5139831366327758</c:v>
                </c:pt>
                <c:pt idx="402">
                  <c:v>4.5139831366327758</c:v>
                </c:pt>
                <c:pt idx="403">
                  <c:v>4.5139831366327758</c:v>
                </c:pt>
                <c:pt idx="404">
                  <c:v>4.5139831366327758</c:v>
                </c:pt>
                <c:pt idx="405">
                  <c:v>4.5139831366327758</c:v>
                </c:pt>
                <c:pt idx="406">
                  <c:v>4.5139831366327758</c:v>
                </c:pt>
                <c:pt idx="407">
                  <c:v>4.5139831366327758</c:v>
                </c:pt>
                <c:pt idx="408">
                  <c:v>4.5139831366327758</c:v>
                </c:pt>
                <c:pt idx="409">
                  <c:v>4.5139831366327758</c:v>
                </c:pt>
                <c:pt idx="410">
                  <c:v>4.5139831366327758</c:v>
                </c:pt>
                <c:pt idx="411">
                  <c:v>4.5139831366327758</c:v>
                </c:pt>
                <c:pt idx="412">
                  <c:v>4.5139831366327758</c:v>
                </c:pt>
                <c:pt idx="413">
                  <c:v>4.5139831366327758</c:v>
                </c:pt>
                <c:pt idx="414">
                  <c:v>4.5139831366327758</c:v>
                </c:pt>
                <c:pt idx="415">
                  <c:v>4.5139831366327758</c:v>
                </c:pt>
                <c:pt idx="416">
                  <c:v>4.5139831366327758</c:v>
                </c:pt>
                <c:pt idx="417">
                  <c:v>4.5139831366327758</c:v>
                </c:pt>
                <c:pt idx="418">
                  <c:v>4.5139831366327758</c:v>
                </c:pt>
              </c:numCache>
            </c:numRef>
          </c:val>
          <c:smooth val="1"/>
          <c:extLst>
            <c:ext xmlns:c16="http://schemas.microsoft.com/office/drawing/2014/chart" uri="{C3380CC4-5D6E-409C-BE32-E72D297353CC}">
              <c16:uniqueId val="{00000003-73E2-4837-99C7-F287FF0F145B}"/>
            </c:ext>
          </c:extLst>
        </c:ser>
        <c:dLbls>
          <c:showLegendKey val="0"/>
          <c:showVal val="0"/>
          <c:showCatName val="0"/>
          <c:showSerName val="0"/>
          <c:showPercent val="0"/>
          <c:showBubbleSize val="0"/>
        </c:dLbls>
        <c:smooth val="0"/>
        <c:axId val="147683023"/>
        <c:axId val="146645279"/>
        <c:extLst>
          <c:ext xmlns:c15="http://schemas.microsoft.com/office/drawing/2012/chart" uri="{02D57815-91ED-43cb-92C2-25804820EDAC}">
            <c15:filteredLineSeries>
              <c15:ser>
                <c:idx val="5"/>
                <c:order val="1"/>
                <c:tx>
                  <c:v>Up (MOC)</c:v>
                </c:tx>
                <c:spPr>
                  <a:ln w="28575" cap="rnd">
                    <a:solidFill>
                      <a:schemeClr val="accent6"/>
                    </a:solidFill>
                    <a:prstDash val="sysDash"/>
                    <a:round/>
                  </a:ln>
                  <a:effectLst/>
                </c:spPr>
                <c:marker>
                  <c:symbol val="none"/>
                </c:marker>
                <c:val>
                  <c:numRef>
                    <c:extLst>
                      <c:ext uri="{02D57815-91ED-43cb-92C2-25804820EDAC}">
                        <c15:formulaRef>
                          <c15:sqref>'2025-Q2'!$AX$4:$AX$350</c15:sqref>
                        </c15:formulaRef>
                      </c:ext>
                    </c:extLst>
                    <c:numCache>
                      <c:formatCode>"$"#,##0</c:formatCode>
                      <c:ptCount val="34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59.839999999999918</c:v>
                      </c:pt>
                      <c:pt idx="40">
                        <c:v>59.839999999999918</c:v>
                      </c:pt>
                      <c:pt idx="41">
                        <c:v>59.839999999999918</c:v>
                      </c:pt>
                      <c:pt idx="42">
                        <c:v>59.839999999999918</c:v>
                      </c:pt>
                      <c:pt idx="43">
                        <c:v>59.839999999999918</c:v>
                      </c:pt>
                      <c:pt idx="44">
                        <c:v>59.839999999999918</c:v>
                      </c:pt>
                      <c:pt idx="45">
                        <c:v>59.839999999999918</c:v>
                      </c:pt>
                      <c:pt idx="46">
                        <c:v>59.839999999999918</c:v>
                      </c:pt>
                      <c:pt idx="47">
                        <c:v>-74.660000000000196</c:v>
                      </c:pt>
                      <c:pt idx="48">
                        <c:v>-74.660000000000196</c:v>
                      </c:pt>
                      <c:pt idx="49">
                        <c:v>-74.660000000000196</c:v>
                      </c:pt>
                      <c:pt idx="50">
                        <c:v>-74.660000000000196</c:v>
                      </c:pt>
                      <c:pt idx="51">
                        <c:v>-74.660000000000196</c:v>
                      </c:pt>
                      <c:pt idx="52">
                        <c:v>-74.660000000000196</c:v>
                      </c:pt>
                      <c:pt idx="53">
                        <c:v>-74.660000000000196</c:v>
                      </c:pt>
                      <c:pt idx="54">
                        <c:v>-74.660000000000196</c:v>
                      </c:pt>
                      <c:pt idx="55">
                        <c:v>-74.660000000000196</c:v>
                      </c:pt>
                      <c:pt idx="56">
                        <c:v>-74.660000000000196</c:v>
                      </c:pt>
                      <c:pt idx="57">
                        <c:v>-74.660000000000196</c:v>
                      </c:pt>
                      <c:pt idx="58">
                        <c:v>-74.660000000000196</c:v>
                      </c:pt>
                      <c:pt idx="59">
                        <c:v>-74.660000000000196</c:v>
                      </c:pt>
                      <c:pt idx="60">
                        <c:v>-74.660000000000196</c:v>
                      </c:pt>
                      <c:pt idx="61">
                        <c:v>-74.660000000000196</c:v>
                      </c:pt>
                      <c:pt idx="62">
                        <c:v>-74.660000000000196</c:v>
                      </c:pt>
                      <c:pt idx="63">
                        <c:v>-74.660000000000196</c:v>
                      </c:pt>
                      <c:pt idx="64">
                        <c:v>-74.660000000000196</c:v>
                      </c:pt>
                      <c:pt idx="65">
                        <c:v>-74.660000000000196</c:v>
                      </c:pt>
                      <c:pt idx="66">
                        <c:v>-74.660000000000196</c:v>
                      </c:pt>
                      <c:pt idx="67">
                        <c:v>-74.660000000000196</c:v>
                      </c:pt>
                      <c:pt idx="68">
                        <c:v>-74.660000000000196</c:v>
                      </c:pt>
                      <c:pt idx="69">
                        <c:v>-54.660000000000196</c:v>
                      </c:pt>
                      <c:pt idx="70">
                        <c:v>-54.660000000000196</c:v>
                      </c:pt>
                      <c:pt idx="71">
                        <c:v>-66.900000000000205</c:v>
                      </c:pt>
                      <c:pt idx="72">
                        <c:v>-66.900000000000205</c:v>
                      </c:pt>
                      <c:pt idx="73">
                        <c:v>-66.900000000000205</c:v>
                      </c:pt>
                      <c:pt idx="74">
                        <c:v>-66.900000000000205</c:v>
                      </c:pt>
                      <c:pt idx="75">
                        <c:v>-66.900000000000205</c:v>
                      </c:pt>
                      <c:pt idx="76">
                        <c:v>-66.900000000000205</c:v>
                      </c:pt>
                      <c:pt idx="77">
                        <c:v>-66.900000000000205</c:v>
                      </c:pt>
                      <c:pt idx="78">
                        <c:v>-66.900000000000205</c:v>
                      </c:pt>
                      <c:pt idx="79">
                        <c:v>-66.900000000000205</c:v>
                      </c:pt>
                      <c:pt idx="80">
                        <c:v>-66.900000000000205</c:v>
                      </c:pt>
                      <c:pt idx="81">
                        <c:v>-66.900000000000205</c:v>
                      </c:pt>
                      <c:pt idx="82">
                        <c:v>-66.900000000000205</c:v>
                      </c:pt>
                      <c:pt idx="83">
                        <c:v>-66.900000000000205</c:v>
                      </c:pt>
                      <c:pt idx="84">
                        <c:v>-66.900000000000205</c:v>
                      </c:pt>
                      <c:pt idx="85">
                        <c:v>-66.900000000000205</c:v>
                      </c:pt>
                      <c:pt idx="86">
                        <c:v>-66.900000000000205</c:v>
                      </c:pt>
                      <c:pt idx="87">
                        <c:v>-66.900000000000205</c:v>
                      </c:pt>
                      <c:pt idx="88">
                        <c:v>-66.900000000000205</c:v>
                      </c:pt>
                      <c:pt idx="89">
                        <c:v>-66.900000000000205</c:v>
                      </c:pt>
                      <c:pt idx="90">
                        <c:v>-66.900000000000205</c:v>
                      </c:pt>
                      <c:pt idx="91">
                        <c:v>-66.900000000000205</c:v>
                      </c:pt>
                      <c:pt idx="92">
                        <c:v>-66.900000000000205</c:v>
                      </c:pt>
                      <c:pt idx="93">
                        <c:v>-66.900000000000205</c:v>
                      </c:pt>
                      <c:pt idx="94">
                        <c:v>-66.900000000000205</c:v>
                      </c:pt>
                      <c:pt idx="95">
                        <c:v>-66.900000000000205</c:v>
                      </c:pt>
                      <c:pt idx="96">
                        <c:v>-66.900000000000205</c:v>
                      </c:pt>
                      <c:pt idx="97">
                        <c:v>-66.900000000000205</c:v>
                      </c:pt>
                      <c:pt idx="98">
                        <c:v>-66.900000000000205</c:v>
                      </c:pt>
                      <c:pt idx="99">
                        <c:v>-66.900000000000205</c:v>
                      </c:pt>
                      <c:pt idx="100">
                        <c:v>-66.900000000000205</c:v>
                      </c:pt>
                      <c:pt idx="101">
                        <c:v>-66.900000000000205</c:v>
                      </c:pt>
                      <c:pt idx="102">
                        <c:v>-66.900000000000205</c:v>
                      </c:pt>
                      <c:pt idx="103">
                        <c:v>-184.54000000000019</c:v>
                      </c:pt>
                      <c:pt idx="104">
                        <c:v>-184.54000000000019</c:v>
                      </c:pt>
                      <c:pt idx="105">
                        <c:v>-184.54000000000019</c:v>
                      </c:pt>
                      <c:pt idx="106">
                        <c:v>-173.34000000000015</c:v>
                      </c:pt>
                      <c:pt idx="107">
                        <c:v>-173.34000000000015</c:v>
                      </c:pt>
                      <c:pt idx="108">
                        <c:v>-173.34000000000015</c:v>
                      </c:pt>
                      <c:pt idx="109">
                        <c:v>-173.34000000000015</c:v>
                      </c:pt>
                      <c:pt idx="110">
                        <c:v>-173.34000000000015</c:v>
                      </c:pt>
                      <c:pt idx="111">
                        <c:v>-173.34000000000015</c:v>
                      </c:pt>
                      <c:pt idx="112">
                        <c:v>-173.34000000000015</c:v>
                      </c:pt>
                      <c:pt idx="113">
                        <c:v>-173.34000000000015</c:v>
                      </c:pt>
                      <c:pt idx="114">
                        <c:v>-173.34000000000015</c:v>
                      </c:pt>
                      <c:pt idx="115">
                        <c:v>-173.34000000000015</c:v>
                      </c:pt>
                      <c:pt idx="116">
                        <c:v>-173.34000000000015</c:v>
                      </c:pt>
                      <c:pt idx="117">
                        <c:v>-173.34000000000015</c:v>
                      </c:pt>
                      <c:pt idx="118">
                        <c:v>-173.34000000000015</c:v>
                      </c:pt>
                      <c:pt idx="119">
                        <c:v>-173.34000000000015</c:v>
                      </c:pt>
                      <c:pt idx="120">
                        <c:v>-173.34000000000015</c:v>
                      </c:pt>
                      <c:pt idx="121">
                        <c:v>-174.74000000000024</c:v>
                      </c:pt>
                      <c:pt idx="122">
                        <c:v>-174.74000000000024</c:v>
                      </c:pt>
                      <c:pt idx="123">
                        <c:v>-174.74000000000024</c:v>
                      </c:pt>
                      <c:pt idx="124">
                        <c:v>-174.74000000000024</c:v>
                      </c:pt>
                      <c:pt idx="125">
                        <c:v>-174.74000000000024</c:v>
                      </c:pt>
                      <c:pt idx="126">
                        <c:v>-174.74000000000024</c:v>
                      </c:pt>
                      <c:pt idx="127">
                        <c:v>-174.74000000000024</c:v>
                      </c:pt>
                      <c:pt idx="128">
                        <c:v>-174.74000000000024</c:v>
                      </c:pt>
                      <c:pt idx="129">
                        <c:v>-174.74000000000024</c:v>
                      </c:pt>
                      <c:pt idx="130">
                        <c:v>-174.74000000000024</c:v>
                      </c:pt>
                      <c:pt idx="131">
                        <c:v>-174.74000000000024</c:v>
                      </c:pt>
                      <c:pt idx="132">
                        <c:v>-174.74000000000024</c:v>
                      </c:pt>
                      <c:pt idx="133">
                        <c:v>-174.74000000000024</c:v>
                      </c:pt>
                      <c:pt idx="134">
                        <c:v>-174.74000000000024</c:v>
                      </c:pt>
                      <c:pt idx="135">
                        <c:v>-174.74000000000024</c:v>
                      </c:pt>
                      <c:pt idx="136">
                        <c:v>-174.74000000000024</c:v>
                      </c:pt>
                      <c:pt idx="137">
                        <c:v>-163.1400000000001</c:v>
                      </c:pt>
                      <c:pt idx="138">
                        <c:v>-163.1400000000001</c:v>
                      </c:pt>
                      <c:pt idx="139">
                        <c:v>-163.1400000000001</c:v>
                      </c:pt>
                      <c:pt idx="140">
                        <c:v>-163.1400000000001</c:v>
                      </c:pt>
                      <c:pt idx="141">
                        <c:v>-163.1400000000001</c:v>
                      </c:pt>
                      <c:pt idx="142">
                        <c:v>-163.1400000000001</c:v>
                      </c:pt>
                      <c:pt idx="143">
                        <c:v>-163.1400000000001</c:v>
                      </c:pt>
                      <c:pt idx="144">
                        <c:v>-163.1400000000001</c:v>
                      </c:pt>
                      <c:pt idx="145">
                        <c:v>-163.1400000000001</c:v>
                      </c:pt>
                      <c:pt idx="146">
                        <c:v>-163.1400000000001</c:v>
                      </c:pt>
                      <c:pt idx="147">
                        <c:v>-163.1400000000001</c:v>
                      </c:pt>
                      <c:pt idx="148">
                        <c:v>-163.1400000000001</c:v>
                      </c:pt>
                      <c:pt idx="149">
                        <c:v>-163.1400000000001</c:v>
                      </c:pt>
                      <c:pt idx="150">
                        <c:v>-163.1400000000001</c:v>
                      </c:pt>
                      <c:pt idx="151">
                        <c:v>-163.1400000000001</c:v>
                      </c:pt>
                      <c:pt idx="152">
                        <c:v>-163.1400000000001</c:v>
                      </c:pt>
                      <c:pt idx="153">
                        <c:v>-163.1400000000001</c:v>
                      </c:pt>
                      <c:pt idx="154">
                        <c:v>-163.1400000000001</c:v>
                      </c:pt>
                      <c:pt idx="155">
                        <c:v>-163.1400000000001</c:v>
                      </c:pt>
                      <c:pt idx="156">
                        <c:v>-163.1400000000001</c:v>
                      </c:pt>
                      <c:pt idx="157">
                        <c:v>-163.1400000000001</c:v>
                      </c:pt>
                      <c:pt idx="158">
                        <c:v>-163.1400000000001</c:v>
                      </c:pt>
                      <c:pt idx="159">
                        <c:v>-163.1400000000001</c:v>
                      </c:pt>
                      <c:pt idx="160">
                        <c:v>-163.1400000000001</c:v>
                      </c:pt>
                      <c:pt idx="161">
                        <c:v>-163.1400000000001</c:v>
                      </c:pt>
                      <c:pt idx="162">
                        <c:v>-163.1400000000001</c:v>
                      </c:pt>
                      <c:pt idx="163">
                        <c:v>-163.1400000000001</c:v>
                      </c:pt>
                      <c:pt idx="164">
                        <c:v>-163.1400000000001</c:v>
                      </c:pt>
                      <c:pt idx="165">
                        <c:v>-163.1400000000001</c:v>
                      </c:pt>
                      <c:pt idx="166">
                        <c:v>-163.1400000000001</c:v>
                      </c:pt>
                      <c:pt idx="167">
                        <c:v>-163.1400000000001</c:v>
                      </c:pt>
                      <c:pt idx="168">
                        <c:v>-163.1400000000001</c:v>
                      </c:pt>
                      <c:pt idx="169">
                        <c:v>-163.1400000000001</c:v>
                      </c:pt>
                      <c:pt idx="170">
                        <c:v>-163.1400000000001</c:v>
                      </c:pt>
                      <c:pt idx="171">
                        <c:v>-163.1400000000001</c:v>
                      </c:pt>
                      <c:pt idx="172">
                        <c:v>-163.1400000000001</c:v>
                      </c:pt>
                      <c:pt idx="173">
                        <c:v>-163.1400000000001</c:v>
                      </c:pt>
                      <c:pt idx="174">
                        <c:v>-163.1400000000001</c:v>
                      </c:pt>
                      <c:pt idx="175">
                        <c:v>-163.1400000000001</c:v>
                      </c:pt>
                      <c:pt idx="176">
                        <c:v>-163.1400000000001</c:v>
                      </c:pt>
                      <c:pt idx="177">
                        <c:v>-163.1400000000001</c:v>
                      </c:pt>
                      <c:pt idx="178">
                        <c:v>-163.1400000000001</c:v>
                      </c:pt>
                      <c:pt idx="179">
                        <c:v>-163.1400000000001</c:v>
                      </c:pt>
                      <c:pt idx="180">
                        <c:v>-163.1400000000001</c:v>
                      </c:pt>
                      <c:pt idx="181">
                        <c:v>-163.1400000000001</c:v>
                      </c:pt>
                      <c:pt idx="182">
                        <c:v>-163.1400000000001</c:v>
                      </c:pt>
                      <c:pt idx="183">
                        <c:v>-163.1400000000001</c:v>
                      </c:pt>
                      <c:pt idx="184">
                        <c:v>-163.1400000000001</c:v>
                      </c:pt>
                      <c:pt idx="185">
                        <c:v>-163.1400000000001</c:v>
                      </c:pt>
                      <c:pt idx="186">
                        <c:v>-163.1400000000001</c:v>
                      </c:pt>
                      <c:pt idx="187">
                        <c:v>-163.1400000000001</c:v>
                      </c:pt>
                      <c:pt idx="188">
                        <c:v>-163.1400000000001</c:v>
                      </c:pt>
                      <c:pt idx="189">
                        <c:v>-163.1400000000001</c:v>
                      </c:pt>
                      <c:pt idx="190">
                        <c:v>-163.1400000000001</c:v>
                      </c:pt>
                      <c:pt idx="191">
                        <c:v>-163.1400000000001</c:v>
                      </c:pt>
                      <c:pt idx="192">
                        <c:v>-163.1400000000001</c:v>
                      </c:pt>
                      <c:pt idx="193">
                        <c:v>-163.1400000000001</c:v>
                      </c:pt>
                      <c:pt idx="194">
                        <c:v>-163.1400000000001</c:v>
                      </c:pt>
                      <c:pt idx="195">
                        <c:v>-163.1400000000001</c:v>
                      </c:pt>
                      <c:pt idx="196">
                        <c:v>-163.1400000000001</c:v>
                      </c:pt>
                      <c:pt idx="197">
                        <c:v>-163.1400000000001</c:v>
                      </c:pt>
                      <c:pt idx="198">
                        <c:v>-163.1400000000001</c:v>
                      </c:pt>
                      <c:pt idx="199">
                        <c:v>-163.1400000000001</c:v>
                      </c:pt>
                      <c:pt idx="200">
                        <c:v>-181.17000000000007</c:v>
                      </c:pt>
                      <c:pt idx="201">
                        <c:v>-181.17000000000007</c:v>
                      </c:pt>
                      <c:pt idx="202">
                        <c:v>-181.17000000000007</c:v>
                      </c:pt>
                      <c:pt idx="203">
                        <c:v>-151.49</c:v>
                      </c:pt>
                      <c:pt idx="204">
                        <c:v>-151.49</c:v>
                      </c:pt>
                      <c:pt idx="205">
                        <c:v>-151.49</c:v>
                      </c:pt>
                      <c:pt idx="206">
                        <c:v>-151.49</c:v>
                      </c:pt>
                      <c:pt idx="207">
                        <c:v>-151.49</c:v>
                      </c:pt>
                      <c:pt idx="208">
                        <c:v>-151.49</c:v>
                      </c:pt>
                      <c:pt idx="209">
                        <c:v>-151.49</c:v>
                      </c:pt>
                      <c:pt idx="210">
                        <c:v>-151.49</c:v>
                      </c:pt>
                      <c:pt idx="211">
                        <c:v>-151.49</c:v>
                      </c:pt>
                      <c:pt idx="212">
                        <c:v>-151.49</c:v>
                      </c:pt>
                      <c:pt idx="213">
                        <c:v>-151.49</c:v>
                      </c:pt>
                      <c:pt idx="214">
                        <c:v>-151.49</c:v>
                      </c:pt>
                      <c:pt idx="215">
                        <c:v>-151.49</c:v>
                      </c:pt>
                      <c:pt idx="216">
                        <c:v>-151.49</c:v>
                      </c:pt>
                      <c:pt idx="217">
                        <c:v>-85.340000000000032</c:v>
                      </c:pt>
                      <c:pt idx="218">
                        <c:v>-85.340000000000032</c:v>
                      </c:pt>
                      <c:pt idx="219">
                        <c:v>-85.340000000000032</c:v>
                      </c:pt>
                      <c:pt idx="220">
                        <c:v>-85.340000000000032</c:v>
                      </c:pt>
                      <c:pt idx="221">
                        <c:v>-85.340000000000032</c:v>
                      </c:pt>
                      <c:pt idx="222">
                        <c:v>-85.340000000000032</c:v>
                      </c:pt>
                      <c:pt idx="223">
                        <c:v>-142.90000000000009</c:v>
                      </c:pt>
                      <c:pt idx="224">
                        <c:v>-142.90000000000009</c:v>
                      </c:pt>
                      <c:pt idx="225">
                        <c:v>-142.90000000000009</c:v>
                      </c:pt>
                      <c:pt idx="226">
                        <c:v>-142.90000000000009</c:v>
                      </c:pt>
                      <c:pt idx="227">
                        <c:v>-142.90000000000009</c:v>
                      </c:pt>
                      <c:pt idx="228">
                        <c:v>-142.90000000000009</c:v>
                      </c:pt>
                      <c:pt idx="229">
                        <c:v>-142.90000000000009</c:v>
                      </c:pt>
                      <c:pt idx="230">
                        <c:v>-142.90000000000009</c:v>
                      </c:pt>
                      <c:pt idx="231">
                        <c:v>-142.90000000000009</c:v>
                      </c:pt>
                      <c:pt idx="232">
                        <c:v>-142.90000000000009</c:v>
                      </c:pt>
                      <c:pt idx="233">
                        <c:v>-142.90000000000009</c:v>
                      </c:pt>
                      <c:pt idx="234">
                        <c:v>-142.90000000000009</c:v>
                      </c:pt>
                      <c:pt idx="235">
                        <c:v>-142.90000000000009</c:v>
                      </c:pt>
                      <c:pt idx="236">
                        <c:v>-142.90000000000009</c:v>
                      </c:pt>
                      <c:pt idx="237">
                        <c:v>-142.90000000000009</c:v>
                      </c:pt>
                      <c:pt idx="238">
                        <c:v>-142.90000000000009</c:v>
                      </c:pt>
                      <c:pt idx="239">
                        <c:v>-142.90000000000009</c:v>
                      </c:pt>
                      <c:pt idx="240">
                        <c:v>-132.30000000000018</c:v>
                      </c:pt>
                      <c:pt idx="241">
                        <c:v>-132.30000000000018</c:v>
                      </c:pt>
                      <c:pt idx="242">
                        <c:v>-132.30000000000018</c:v>
                      </c:pt>
                      <c:pt idx="243">
                        <c:v>-132.30000000000018</c:v>
                      </c:pt>
                      <c:pt idx="244">
                        <c:v>-132.30000000000018</c:v>
                      </c:pt>
                      <c:pt idx="245">
                        <c:v>-132.30000000000018</c:v>
                      </c:pt>
                      <c:pt idx="246">
                        <c:v>-132.30000000000018</c:v>
                      </c:pt>
                      <c:pt idx="247">
                        <c:v>-132.30000000000018</c:v>
                      </c:pt>
                      <c:pt idx="248">
                        <c:v>-132.30000000000018</c:v>
                      </c:pt>
                      <c:pt idx="249">
                        <c:v>-132.30000000000018</c:v>
                      </c:pt>
                      <c:pt idx="250">
                        <c:v>-132.30000000000018</c:v>
                      </c:pt>
                      <c:pt idx="251">
                        <c:v>-132.30000000000018</c:v>
                      </c:pt>
                      <c:pt idx="252">
                        <c:v>-132.30000000000018</c:v>
                      </c:pt>
                      <c:pt idx="253">
                        <c:v>-132.30000000000018</c:v>
                      </c:pt>
                      <c:pt idx="254">
                        <c:v>-132.30000000000018</c:v>
                      </c:pt>
                      <c:pt idx="255">
                        <c:v>-132.30000000000018</c:v>
                      </c:pt>
                      <c:pt idx="256">
                        <c:v>-132.30000000000018</c:v>
                      </c:pt>
                      <c:pt idx="257">
                        <c:v>-269.63053243920194</c:v>
                      </c:pt>
                      <c:pt idx="258">
                        <c:v>-299.03053243920203</c:v>
                      </c:pt>
                      <c:pt idx="259">
                        <c:v>-299.03053243920203</c:v>
                      </c:pt>
                      <c:pt idx="260">
                        <c:v>-299.03053243920203</c:v>
                      </c:pt>
                      <c:pt idx="261">
                        <c:v>-299.03053243920203</c:v>
                      </c:pt>
                      <c:pt idx="262">
                        <c:v>-299.03053243920203</c:v>
                      </c:pt>
                      <c:pt idx="263">
                        <c:v>-299.03053243920203</c:v>
                      </c:pt>
                      <c:pt idx="264">
                        <c:v>-299.03053243920203</c:v>
                      </c:pt>
                      <c:pt idx="265">
                        <c:v>-299.03053243920203</c:v>
                      </c:pt>
                      <c:pt idx="266">
                        <c:v>-299.03053243920203</c:v>
                      </c:pt>
                      <c:pt idx="267">
                        <c:v>-299.03053243920203</c:v>
                      </c:pt>
                      <c:pt idx="268">
                        <c:v>-299.03053243920203</c:v>
                      </c:pt>
                      <c:pt idx="269">
                        <c:v>-299.03053243920203</c:v>
                      </c:pt>
                      <c:pt idx="270">
                        <c:v>-299.03053243920203</c:v>
                      </c:pt>
                      <c:pt idx="271">
                        <c:v>-299.03053243920203</c:v>
                      </c:pt>
                      <c:pt idx="272">
                        <c:v>-299.03053243920203</c:v>
                      </c:pt>
                      <c:pt idx="273">
                        <c:v>-385.38106797961109</c:v>
                      </c:pt>
                      <c:pt idx="274">
                        <c:v>-385.38106797961109</c:v>
                      </c:pt>
                      <c:pt idx="275">
                        <c:v>-385.38106797961109</c:v>
                      </c:pt>
                      <c:pt idx="276">
                        <c:v>-385.38106797961109</c:v>
                      </c:pt>
                      <c:pt idx="277">
                        <c:v>-377.70106797961103</c:v>
                      </c:pt>
                      <c:pt idx="278">
                        <c:v>-377.70106797961103</c:v>
                      </c:pt>
                      <c:pt idx="279">
                        <c:v>-377.70106797961103</c:v>
                      </c:pt>
                      <c:pt idx="280">
                        <c:v>-377.70106797961103</c:v>
                      </c:pt>
                      <c:pt idx="281">
                        <c:v>-377.70106797961103</c:v>
                      </c:pt>
                      <c:pt idx="282">
                        <c:v>-377.70106797961103</c:v>
                      </c:pt>
                      <c:pt idx="283">
                        <c:v>-377.70106797961103</c:v>
                      </c:pt>
                      <c:pt idx="284">
                        <c:v>-377.70106797961103</c:v>
                      </c:pt>
                      <c:pt idx="285">
                        <c:v>-377.70106797961103</c:v>
                      </c:pt>
                      <c:pt idx="286">
                        <c:v>-377.70106797961103</c:v>
                      </c:pt>
                      <c:pt idx="287">
                        <c:v>-377.70106797961103</c:v>
                      </c:pt>
                      <c:pt idx="288">
                        <c:v>-377.70106797961103</c:v>
                      </c:pt>
                      <c:pt idx="289">
                        <c:v>-377.70106797961103</c:v>
                      </c:pt>
                      <c:pt idx="290">
                        <c:v>-366.42106797961105</c:v>
                      </c:pt>
                      <c:pt idx="291">
                        <c:v>-366.42106797961105</c:v>
                      </c:pt>
                      <c:pt idx="292">
                        <c:v>-366.42106797961105</c:v>
                      </c:pt>
                      <c:pt idx="293">
                        <c:v>-366.42106797961105</c:v>
                      </c:pt>
                      <c:pt idx="294">
                        <c:v>-366.42106797961105</c:v>
                      </c:pt>
                      <c:pt idx="295">
                        <c:v>-394.76106797961097</c:v>
                      </c:pt>
                      <c:pt idx="296">
                        <c:v>-394.76106797961097</c:v>
                      </c:pt>
                      <c:pt idx="297">
                        <c:v>-339.68106797961104</c:v>
                      </c:pt>
                      <c:pt idx="298">
                        <c:v>-339.68106797961104</c:v>
                      </c:pt>
                      <c:pt idx="299">
                        <c:v>-339.68106797961104</c:v>
                      </c:pt>
                      <c:pt idx="300">
                        <c:v>-339.68106797961104</c:v>
                      </c:pt>
                      <c:pt idx="301">
                        <c:v>-339.68106797961104</c:v>
                      </c:pt>
                      <c:pt idx="302">
                        <c:v>-339.68106797961104</c:v>
                      </c:pt>
                      <c:pt idx="303">
                        <c:v>-339.68106797961104</c:v>
                      </c:pt>
                      <c:pt idx="304">
                        <c:v>-438.46106797961124</c:v>
                      </c:pt>
                      <c:pt idx="305">
                        <c:v>-438.46106797961124</c:v>
                      </c:pt>
                      <c:pt idx="306">
                        <c:v>-438.46106797961124</c:v>
                      </c:pt>
                      <c:pt idx="307">
                        <c:v>-438.46106797961124</c:v>
                      </c:pt>
                      <c:pt idx="308">
                        <c:v>-438.46106797961124</c:v>
                      </c:pt>
                      <c:pt idx="309">
                        <c:v>-390.96106797961124</c:v>
                      </c:pt>
                      <c:pt idx="310">
                        <c:v>-390.96106797961124</c:v>
                      </c:pt>
                      <c:pt idx="311">
                        <c:v>-390.96106797961124</c:v>
                      </c:pt>
                      <c:pt idx="312">
                        <c:v>-390.96106797961124</c:v>
                      </c:pt>
                      <c:pt idx="313">
                        <c:v>-349.11106797961111</c:v>
                      </c:pt>
                      <c:pt idx="314">
                        <c:v>-349.11106797961111</c:v>
                      </c:pt>
                      <c:pt idx="315">
                        <c:v>-349.11106797961111</c:v>
                      </c:pt>
                      <c:pt idx="316">
                        <c:v>-342.69106797961103</c:v>
                      </c:pt>
                      <c:pt idx="317">
                        <c:v>-340.17106797961105</c:v>
                      </c:pt>
                      <c:pt idx="318">
                        <c:v>-340.17106797961105</c:v>
                      </c:pt>
                      <c:pt idx="319">
                        <c:v>-340.17106797961105</c:v>
                      </c:pt>
                      <c:pt idx="320">
                        <c:v>-340.17106797961105</c:v>
                      </c:pt>
                      <c:pt idx="321">
                        <c:v>-340.17106797961105</c:v>
                      </c:pt>
                      <c:pt idx="322">
                        <c:v>-340.17106797961105</c:v>
                      </c:pt>
                      <c:pt idx="323">
                        <c:v>-340.17106797961105</c:v>
                      </c:pt>
                      <c:pt idx="324">
                        <c:v>-340.17106797961105</c:v>
                      </c:pt>
                      <c:pt idx="325">
                        <c:v>-340.17106797961105</c:v>
                      </c:pt>
                      <c:pt idx="326">
                        <c:v>-340.17106797961105</c:v>
                      </c:pt>
                      <c:pt idx="327">
                        <c:v>-340.17106797961105</c:v>
                      </c:pt>
                      <c:pt idx="328">
                        <c:v>-340.17106797961105</c:v>
                      </c:pt>
                      <c:pt idx="329">
                        <c:v>-240.66106797961083</c:v>
                      </c:pt>
                      <c:pt idx="330">
                        <c:v>-240.66106797961083</c:v>
                      </c:pt>
                      <c:pt idx="331">
                        <c:v>-240.66106797961083</c:v>
                      </c:pt>
                      <c:pt idx="332">
                        <c:v>-240.66106797961083</c:v>
                      </c:pt>
                      <c:pt idx="333">
                        <c:v>-240.66106797961083</c:v>
                      </c:pt>
                      <c:pt idx="334">
                        <c:v>-178.13106797961063</c:v>
                      </c:pt>
                      <c:pt idx="335">
                        <c:v>-178.13106797961063</c:v>
                      </c:pt>
                      <c:pt idx="336">
                        <c:v>-178.13106797961063</c:v>
                      </c:pt>
                      <c:pt idx="337">
                        <c:v>-178.13106797961063</c:v>
                      </c:pt>
                      <c:pt idx="338">
                        <c:v>-206.13106797961063</c:v>
                      </c:pt>
                      <c:pt idx="339">
                        <c:v>-206.13106797961063</c:v>
                      </c:pt>
                      <c:pt idx="340">
                        <c:v>-206.13106797961063</c:v>
                      </c:pt>
                      <c:pt idx="341">
                        <c:v>-203.43106797961059</c:v>
                      </c:pt>
                      <c:pt idx="342">
                        <c:v>-203.43106797961059</c:v>
                      </c:pt>
                      <c:pt idx="343">
                        <c:v>-203.43106797961059</c:v>
                      </c:pt>
                      <c:pt idx="344">
                        <c:v>-203.43106797961059</c:v>
                      </c:pt>
                      <c:pt idx="345">
                        <c:v>-295.97106797961055</c:v>
                      </c:pt>
                      <c:pt idx="346">
                        <c:v>-295.97106797961055</c:v>
                      </c:pt>
                    </c:numCache>
                  </c:numRef>
                </c:val>
                <c:smooth val="0"/>
                <c:extLst>
                  <c:ext xmlns:c16="http://schemas.microsoft.com/office/drawing/2014/chart" uri="{C3380CC4-5D6E-409C-BE32-E72D297353CC}">
                    <c16:uniqueId val="{00000004-73E2-4837-99C7-F287FF0F145B}"/>
                  </c:ext>
                </c:extLst>
              </c15:ser>
            </c15:filteredLineSeries>
            <c15:filteredLineSeries>
              <c15:ser>
                <c:idx val="4"/>
                <c:order val="4"/>
                <c:tx>
                  <c:v>SW (MOC)</c:v>
                </c:tx>
                <c:spPr>
                  <a:ln w="28575" cap="rnd">
                    <a:solidFill>
                      <a:schemeClr val="accent4">
                        <a:lumMod val="60000"/>
                        <a:lumOff val="40000"/>
                      </a:schemeClr>
                    </a:solidFill>
                    <a:prstDash val="sysDash"/>
                    <a:round/>
                  </a:ln>
                  <a:effectLst/>
                </c:spPr>
                <c:marker>
                  <c:symbol val="none"/>
                </c:marker>
                <c:val>
                  <c:numRef>
                    <c:extLst xmlns:c15="http://schemas.microsoft.com/office/drawing/2012/chart">
                      <c:ext xmlns:c15="http://schemas.microsoft.com/office/drawing/2012/chart" uri="{02D57815-91ED-43cb-92C2-25804820EDAC}">
                        <c15:formulaRef>
                          <c15:sqref>'2025-Q2'!$AV$4:$AV$350</c15:sqref>
                        </c15:formulaRef>
                      </c:ext>
                    </c:extLst>
                    <c:numCache>
                      <c:formatCode>"$"#,##0</c:formatCode>
                      <c:ptCount val="347"/>
                      <c:pt idx="0">
                        <c:v>0</c:v>
                      </c:pt>
                      <c:pt idx="1">
                        <c:v>0</c:v>
                      </c:pt>
                      <c:pt idx="2">
                        <c:v>45.449999999999818</c:v>
                      </c:pt>
                      <c:pt idx="3">
                        <c:v>35.25</c:v>
                      </c:pt>
                      <c:pt idx="4">
                        <c:v>55.25</c:v>
                      </c:pt>
                      <c:pt idx="5">
                        <c:v>70.090000000000146</c:v>
                      </c:pt>
                      <c:pt idx="6">
                        <c:v>85.490000000000236</c:v>
                      </c:pt>
                      <c:pt idx="7">
                        <c:v>158.24</c:v>
                      </c:pt>
                      <c:pt idx="8">
                        <c:v>177.32000000000005</c:v>
                      </c:pt>
                      <c:pt idx="9">
                        <c:v>177.32000000000005</c:v>
                      </c:pt>
                      <c:pt idx="10">
                        <c:v>197.30000000000007</c:v>
                      </c:pt>
                      <c:pt idx="11">
                        <c:v>236.89999999999998</c:v>
                      </c:pt>
                      <c:pt idx="12">
                        <c:v>236.89999999999998</c:v>
                      </c:pt>
                      <c:pt idx="13">
                        <c:v>231.72000000000014</c:v>
                      </c:pt>
                      <c:pt idx="14">
                        <c:v>231.72000000000014</c:v>
                      </c:pt>
                      <c:pt idx="15">
                        <c:v>231.54000000000008</c:v>
                      </c:pt>
                      <c:pt idx="16">
                        <c:v>231.54000000000008</c:v>
                      </c:pt>
                      <c:pt idx="17">
                        <c:v>231.54000000000008</c:v>
                      </c:pt>
                      <c:pt idx="18">
                        <c:v>212.34000000000003</c:v>
                      </c:pt>
                      <c:pt idx="19">
                        <c:v>243.65999999999997</c:v>
                      </c:pt>
                      <c:pt idx="20">
                        <c:v>256.64966594568602</c:v>
                      </c:pt>
                      <c:pt idx="21">
                        <c:v>252.56795937946242</c:v>
                      </c:pt>
                      <c:pt idx="22">
                        <c:v>252.56795937946242</c:v>
                      </c:pt>
                      <c:pt idx="23">
                        <c:v>258.96870149449035</c:v>
                      </c:pt>
                      <c:pt idx="24">
                        <c:v>281.78870149449051</c:v>
                      </c:pt>
                      <c:pt idx="25">
                        <c:v>19.92870149449061</c:v>
                      </c:pt>
                      <c:pt idx="26">
                        <c:v>19.92870149449061</c:v>
                      </c:pt>
                      <c:pt idx="27">
                        <c:v>19.92870149449061</c:v>
                      </c:pt>
                      <c:pt idx="28">
                        <c:v>19.92870149449061</c:v>
                      </c:pt>
                      <c:pt idx="29">
                        <c:v>26.67870149449061</c:v>
                      </c:pt>
                      <c:pt idx="30">
                        <c:v>26.67870149449061</c:v>
                      </c:pt>
                      <c:pt idx="31">
                        <c:v>26.67870149449061</c:v>
                      </c:pt>
                      <c:pt idx="32">
                        <c:v>26.67870149449061</c:v>
                      </c:pt>
                      <c:pt idx="33">
                        <c:v>18.628701494490656</c:v>
                      </c:pt>
                      <c:pt idx="34">
                        <c:v>-37.621298505509344</c:v>
                      </c:pt>
                      <c:pt idx="35">
                        <c:v>-117.30129850550941</c:v>
                      </c:pt>
                      <c:pt idx="36">
                        <c:v>-117.30129850550941</c:v>
                      </c:pt>
                      <c:pt idx="37">
                        <c:v>-136.55129850550941</c:v>
                      </c:pt>
                      <c:pt idx="38">
                        <c:v>-121.67129850550941</c:v>
                      </c:pt>
                      <c:pt idx="39">
                        <c:v>-121.67129850550941</c:v>
                      </c:pt>
                      <c:pt idx="40">
                        <c:v>-121.67129850550941</c:v>
                      </c:pt>
                      <c:pt idx="41">
                        <c:v>-121.67129850550941</c:v>
                      </c:pt>
                      <c:pt idx="42">
                        <c:v>-121.67129850550941</c:v>
                      </c:pt>
                      <c:pt idx="43">
                        <c:v>-45.861298505509467</c:v>
                      </c:pt>
                      <c:pt idx="44">
                        <c:v>-39.361298505509467</c:v>
                      </c:pt>
                      <c:pt idx="45">
                        <c:v>-28.111298505509467</c:v>
                      </c:pt>
                      <c:pt idx="46">
                        <c:v>-28.111298505509467</c:v>
                      </c:pt>
                      <c:pt idx="47">
                        <c:v>-28.111298505509467</c:v>
                      </c:pt>
                      <c:pt idx="48">
                        <c:v>-28.111298505509467</c:v>
                      </c:pt>
                      <c:pt idx="49">
                        <c:v>-142.53968337706056</c:v>
                      </c:pt>
                      <c:pt idx="50">
                        <c:v>-160.4474473522157</c:v>
                      </c:pt>
                      <c:pt idx="51">
                        <c:v>-68.287447352215622</c:v>
                      </c:pt>
                      <c:pt idx="52">
                        <c:v>-68.287447352215622</c:v>
                      </c:pt>
                      <c:pt idx="53">
                        <c:v>-33.00744735221565</c:v>
                      </c:pt>
                      <c:pt idx="54">
                        <c:v>-14.627447352215654</c:v>
                      </c:pt>
                      <c:pt idx="55">
                        <c:v>-14.627447352215654</c:v>
                      </c:pt>
                      <c:pt idx="56">
                        <c:v>-64.227447352215677</c:v>
                      </c:pt>
                      <c:pt idx="57">
                        <c:v>-64.227447352215677</c:v>
                      </c:pt>
                      <c:pt idx="58">
                        <c:v>-32.927447352215609</c:v>
                      </c:pt>
                      <c:pt idx="59">
                        <c:v>5.1725526477844141</c:v>
                      </c:pt>
                      <c:pt idx="60">
                        <c:v>7.8725526477844596</c:v>
                      </c:pt>
                      <c:pt idx="61">
                        <c:v>37.932552647784405</c:v>
                      </c:pt>
                      <c:pt idx="62">
                        <c:v>102.73255264778447</c:v>
                      </c:pt>
                      <c:pt idx="63">
                        <c:v>118.39255264778456</c:v>
                      </c:pt>
                      <c:pt idx="64">
                        <c:v>125.29255264778453</c:v>
                      </c:pt>
                      <c:pt idx="65">
                        <c:v>174.54255264778453</c:v>
                      </c:pt>
                      <c:pt idx="66">
                        <c:v>174.54255264778453</c:v>
                      </c:pt>
                      <c:pt idx="67">
                        <c:v>174.54255264778453</c:v>
                      </c:pt>
                      <c:pt idx="68">
                        <c:v>174.54255264778453</c:v>
                      </c:pt>
                      <c:pt idx="69">
                        <c:v>174.54255264778453</c:v>
                      </c:pt>
                      <c:pt idx="70">
                        <c:v>174.54255264778453</c:v>
                      </c:pt>
                      <c:pt idx="71">
                        <c:v>174.54255264778453</c:v>
                      </c:pt>
                      <c:pt idx="72">
                        <c:v>215.38255264778456</c:v>
                      </c:pt>
                      <c:pt idx="73">
                        <c:v>188.17255264778453</c:v>
                      </c:pt>
                      <c:pt idx="74">
                        <c:v>219.13255264778456</c:v>
                      </c:pt>
                      <c:pt idx="75">
                        <c:v>165.93255264778452</c:v>
                      </c:pt>
                      <c:pt idx="76">
                        <c:v>215.8325526477845</c:v>
                      </c:pt>
                      <c:pt idx="77">
                        <c:v>259.68255264778452</c:v>
                      </c:pt>
                      <c:pt idx="78">
                        <c:v>195.08255264778461</c:v>
                      </c:pt>
                      <c:pt idx="79">
                        <c:v>195.08255264778461</c:v>
                      </c:pt>
                      <c:pt idx="80">
                        <c:v>208.3425526477846</c:v>
                      </c:pt>
                      <c:pt idx="81">
                        <c:v>208.3425526477846</c:v>
                      </c:pt>
                      <c:pt idx="82">
                        <c:v>208.3425526477846</c:v>
                      </c:pt>
                      <c:pt idx="83">
                        <c:v>236.54255264778465</c:v>
                      </c:pt>
                      <c:pt idx="84">
                        <c:v>75.742552647784692</c:v>
                      </c:pt>
                      <c:pt idx="85">
                        <c:v>75.742552647784692</c:v>
                      </c:pt>
                      <c:pt idx="86">
                        <c:v>44.742552647784692</c:v>
                      </c:pt>
                      <c:pt idx="87">
                        <c:v>44.742552647784692</c:v>
                      </c:pt>
                      <c:pt idx="88">
                        <c:v>44.742552647784692</c:v>
                      </c:pt>
                      <c:pt idx="89">
                        <c:v>59.622552647784573</c:v>
                      </c:pt>
                      <c:pt idx="90">
                        <c:v>59.622552647784573</c:v>
                      </c:pt>
                      <c:pt idx="91">
                        <c:v>59.622552647784573</c:v>
                      </c:pt>
                      <c:pt idx="92">
                        <c:v>59.622552647784573</c:v>
                      </c:pt>
                      <c:pt idx="93">
                        <c:v>30.959567043367201</c:v>
                      </c:pt>
                      <c:pt idx="94">
                        <c:v>47.809567043367224</c:v>
                      </c:pt>
                      <c:pt idx="95">
                        <c:v>47.809567043367224</c:v>
                      </c:pt>
                      <c:pt idx="96">
                        <c:v>47.809567043367224</c:v>
                      </c:pt>
                      <c:pt idx="97">
                        <c:v>47.809567043367224</c:v>
                      </c:pt>
                      <c:pt idx="98">
                        <c:v>47.809567043367224</c:v>
                      </c:pt>
                      <c:pt idx="99">
                        <c:v>-49.590432956632867</c:v>
                      </c:pt>
                      <c:pt idx="100">
                        <c:v>-49.590432956632867</c:v>
                      </c:pt>
                      <c:pt idx="101">
                        <c:v>-67.840432956632867</c:v>
                      </c:pt>
                      <c:pt idx="102">
                        <c:v>-68.000432956632835</c:v>
                      </c:pt>
                      <c:pt idx="103">
                        <c:v>-68.000432956632835</c:v>
                      </c:pt>
                      <c:pt idx="104">
                        <c:v>-71.840432956632753</c:v>
                      </c:pt>
                      <c:pt idx="105">
                        <c:v>-71.840432956632753</c:v>
                      </c:pt>
                      <c:pt idx="106">
                        <c:v>-71.840432956632753</c:v>
                      </c:pt>
                      <c:pt idx="107">
                        <c:v>-136.64043295663271</c:v>
                      </c:pt>
                      <c:pt idx="108">
                        <c:v>-122.36043295663274</c:v>
                      </c:pt>
                      <c:pt idx="109">
                        <c:v>-176.00043295663284</c:v>
                      </c:pt>
                      <c:pt idx="110">
                        <c:v>-176.00043295663284</c:v>
                      </c:pt>
                      <c:pt idx="111">
                        <c:v>-176.00043295663284</c:v>
                      </c:pt>
                      <c:pt idx="112">
                        <c:v>-216.47043295663286</c:v>
                      </c:pt>
                      <c:pt idx="113">
                        <c:v>-188.0787935487491</c:v>
                      </c:pt>
                      <c:pt idx="114">
                        <c:v>-175.97879354874919</c:v>
                      </c:pt>
                      <c:pt idx="115">
                        <c:v>-61.018793548749386</c:v>
                      </c:pt>
                      <c:pt idx="116">
                        <c:v>-61.018793548749386</c:v>
                      </c:pt>
                      <c:pt idx="117">
                        <c:v>-61.018793548749386</c:v>
                      </c:pt>
                      <c:pt idx="118">
                        <c:v>-25.19879354874945</c:v>
                      </c:pt>
                      <c:pt idx="119">
                        <c:v>-31.378793548749513</c:v>
                      </c:pt>
                      <c:pt idx="120">
                        <c:v>-31.378793548749513</c:v>
                      </c:pt>
                      <c:pt idx="121">
                        <c:v>-31.378793548749513</c:v>
                      </c:pt>
                      <c:pt idx="122">
                        <c:v>-100.2787935487496</c:v>
                      </c:pt>
                      <c:pt idx="123">
                        <c:v>-109.67879354874947</c:v>
                      </c:pt>
                      <c:pt idx="124">
                        <c:v>-109.67879354874947</c:v>
                      </c:pt>
                      <c:pt idx="125">
                        <c:v>-43.758793548749395</c:v>
                      </c:pt>
                      <c:pt idx="126">
                        <c:v>-42.408793548749259</c:v>
                      </c:pt>
                      <c:pt idx="127">
                        <c:v>-42.408793548749259</c:v>
                      </c:pt>
                      <c:pt idx="128">
                        <c:v>-18.358793548749304</c:v>
                      </c:pt>
                      <c:pt idx="129">
                        <c:v>-18.358793548749304</c:v>
                      </c:pt>
                      <c:pt idx="130">
                        <c:v>24.921206451250669</c:v>
                      </c:pt>
                      <c:pt idx="131">
                        <c:v>24.921206451250669</c:v>
                      </c:pt>
                      <c:pt idx="132">
                        <c:v>18.921206451250555</c:v>
                      </c:pt>
                      <c:pt idx="133">
                        <c:v>18.921206451250555</c:v>
                      </c:pt>
                      <c:pt idx="134">
                        <c:v>18.921206451250555</c:v>
                      </c:pt>
                      <c:pt idx="135">
                        <c:v>18.921206451250555</c:v>
                      </c:pt>
                      <c:pt idx="136">
                        <c:v>18.921206451250555</c:v>
                      </c:pt>
                      <c:pt idx="137">
                        <c:v>18.921206451250555</c:v>
                      </c:pt>
                      <c:pt idx="138">
                        <c:v>18.921206451250555</c:v>
                      </c:pt>
                      <c:pt idx="139">
                        <c:v>18.921206451250555</c:v>
                      </c:pt>
                      <c:pt idx="140">
                        <c:v>26.761206451250359</c:v>
                      </c:pt>
                      <c:pt idx="141">
                        <c:v>26.761206451250359</c:v>
                      </c:pt>
                      <c:pt idx="142">
                        <c:v>26.761206451250359</c:v>
                      </c:pt>
                      <c:pt idx="143">
                        <c:v>26.761206451250359</c:v>
                      </c:pt>
                      <c:pt idx="144">
                        <c:v>26.761206451250359</c:v>
                      </c:pt>
                      <c:pt idx="145">
                        <c:v>26.761206451250359</c:v>
                      </c:pt>
                      <c:pt idx="146">
                        <c:v>26.761206451250359</c:v>
                      </c:pt>
                      <c:pt idx="147">
                        <c:v>26.761206451250359</c:v>
                      </c:pt>
                      <c:pt idx="148">
                        <c:v>32.011206451250359</c:v>
                      </c:pt>
                      <c:pt idx="149">
                        <c:v>82.511206451250359</c:v>
                      </c:pt>
                      <c:pt idx="150">
                        <c:v>113.42120645125044</c:v>
                      </c:pt>
                      <c:pt idx="151">
                        <c:v>236.01120645125059</c:v>
                      </c:pt>
                      <c:pt idx="152">
                        <c:v>236.01120645125059</c:v>
                      </c:pt>
                      <c:pt idx="153">
                        <c:v>178.41120645125056</c:v>
                      </c:pt>
                      <c:pt idx="154">
                        <c:v>190.35120645125062</c:v>
                      </c:pt>
                      <c:pt idx="155">
                        <c:v>171.54120645125067</c:v>
                      </c:pt>
                      <c:pt idx="156">
                        <c:v>171.54120645125067</c:v>
                      </c:pt>
                      <c:pt idx="157">
                        <c:v>175.84120645125066</c:v>
                      </c:pt>
                      <c:pt idx="158">
                        <c:v>141.43120645125069</c:v>
                      </c:pt>
                      <c:pt idx="159">
                        <c:v>48.131206451250733</c:v>
                      </c:pt>
                      <c:pt idx="160">
                        <c:v>85.331206451250551</c:v>
                      </c:pt>
                      <c:pt idx="161">
                        <c:v>118.93120645125057</c:v>
                      </c:pt>
                      <c:pt idx="162">
                        <c:v>118.93120645125057</c:v>
                      </c:pt>
                      <c:pt idx="163">
                        <c:v>118.93120645125057</c:v>
                      </c:pt>
                      <c:pt idx="164">
                        <c:v>126.41120645125059</c:v>
                      </c:pt>
                      <c:pt idx="165">
                        <c:v>216.02120645125072</c:v>
                      </c:pt>
                      <c:pt idx="166">
                        <c:v>208.66120645125071</c:v>
                      </c:pt>
                      <c:pt idx="167">
                        <c:v>227.98120645125087</c:v>
                      </c:pt>
                      <c:pt idx="168">
                        <c:v>227.98120645125087</c:v>
                      </c:pt>
                      <c:pt idx="169">
                        <c:v>247.23120645125087</c:v>
                      </c:pt>
                      <c:pt idx="170">
                        <c:v>247.23120645125087</c:v>
                      </c:pt>
                      <c:pt idx="171">
                        <c:v>161.08120645125089</c:v>
                      </c:pt>
                      <c:pt idx="172">
                        <c:v>161.08120645125089</c:v>
                      </c:pt>
                      <c:pt idx="173">
                        <c:v>229.00120645125085</c:v>
                      </c:pt>
                      <c:pt idx="174">
                        <c:v>229.00120645125085</c:v>
                      </c:pt>
                      <c:pt idx="175">
                        <c:v>319.42120645125067</c:v>
                      </c:pt>
                      <c:pt idx="176">
                        <c:v>319.42120645125067</c:v>
                      </c:pt>
                      <c:pt idx="177">
                        <c:v>365.84120645125074</c:v>
                      </c:pt>
                      <c:pt idx="178">
                        <c:v>365.84120645125074</c:v>
                      </c:pt>
                      <c:pt idx="179">
                        <c:v>365.84120645125074</c:v>
                      </c:pt>
                      <c:pt idx="180">
                        <c:v>314.2412064512506</c:v>
                      </c:pt>
                      <c:pt idx="181">
                        <c:v>307.34120645125074</c:v>
                      </c:pt>
                      <c:pt idx="182">
                        <c:v>332.24120645125083</c:v>
                      </c:pt>
                      <c:pt idx="183">
                        <c:v>339.09120645125086</c:v>
                      </c:pt>
                      <c:pt idx="184">
                        <c:v>339.09120645125086</c:v>
                      </c:pt>
                      <c:pt idx="185">
                        <c:v>339.09120645125086</c:v>
                      </c:pt>
                      <c:pt idx="186">
                        <c:v>339.09120645125086</c:v>
                      </c:pt>
                      <c:pt idx="187">
                        <c:v>331.25120645125094</c:v>
                      </c:pt>
                      <c:pt idx="188">
                        <c:v>331.25120645125094</c:v>
                      </c:pt>
                      <c:pt idx="189">
                        <c:v>331.25120645125094</c:v>
                      </c:pt>
                      <c:pt idx="190">
                        <c:v>271.49120645125095</c:v>
                      </c:pt>
                      <c:pt idx="191">
                        <c:v>271.49120645125095</c:v>
                      </c:pt>
                      <c:pt idx="192">
                        <c:v>218.73120645125073</c:v>
                      </c:pt>
                      <c:pt idx="193">
                        <c:v>218.73120645125073</c:v>
                      </c:pt>
                      <c:pt idx="194">
                        <c:v>218.73120645125073</c:v>
                      </c:pt>
                      <c:pt idx="195">
                        <c:v>158.55120645125089</c:v>
                      </c:pt>
                      <c:pt idx="196">
                        <c:v>155.69120645125099</c:v>
                      </c:pt>
                      <c:pt idx="197">
                        <c:v>155.69120645125099</c:v>
                      </c:pt>
                      <c:pt idx="198">
                        <c:v>155.69120645125099</c:v>
                      </c:pt>
                      <c:pt idx="199">
                        <c:v>155.69120645125099</c:v>
                      </c:pt>
                      <c:pt idx="200">
                        <c:v>155.69120645125099</c:v>
                      </c:pt>
                      <c:pt idx="201">
                        <c:v>155.69120645125099</c:v>
                      </c:pt>
                      <c:pt idx="202">
                        <c:v>165.81120645125111</c:v>
                      </c:pt>
                      <c:pt idx="203">
                        <c:v>165.81120645125111</c:v>
                      </c:pt>
                      <c:pt idx="204">
                        <c:v>194.93120645125123</c:v>
                      </c:pt>
                      <c:pt idx="205">
                        <c:v>118.37120645125117</c:v>
                      </c:pt>
                      <c:pt idx="206">
                        <c:v>195.83120645125121</c:v>
                      </c:pt>
                      <c:pt idx="207">
                        <c:v>195.83120645125121</c:v>
                      </c:pt>
                      <c:pt idx="208">
                        <c:v>181.91120645125113</c:v>
                      </c:pt>
                      <c:pt idx="209">
                        <c:v>181.91120645125113</c:v>
                      </c:pt>
                      <c:pt idx="210">
                        <c:v>77.06120645125111</c:v>
                      </c:pt>
                      <c:pt idx="211">
                        <c:v>66.701206451251096</c:v>
                      </c:pt>
                      <c:pt idx="212">
                        <c:v>85.211399342838945</c:v>
                      </c:pt>
                      <c:pt idx="213">
                        <c:v>85.211399342838945</c:v>
                      </c:pt>
                      <c:pt idx="214">
                        <c:v>85.211399342838945</c:v>
                      </c:pt>
                      <c:pt idx="215">
                        <c:v>85.211399342838945</c:v>
                      </c:pt>
                      <c:pt idx="216">
                        <c:v>129.05139934283909</c:v>
                      </c:pt>
                      <c:pt idx="217">
                        <c:v>129.05139934283909</c:v>
                      </c:pt>
                      <c:pt idx="218">
                        <c:v>129.05139934283909</c:v>
                      </c:pt>
                      <c:pt idx="219">
                        <c:v>246.01139934283913</c:v>
                      </c:pt>
                      <c:pt idx="220">
                        <c:v>246.01139934283913</c:v>
                      </c:pt>
                      <c:pt idx="221">
                        <c:v>231.71139934283894</c:v>
                      </c:pt>
                      <c:pt idx="222">
                        <c:v>231.71139934283894</c:v>
                      </c:pt>
                      <c:pt idx="223">
                        <c:v>231.71139934283894</c:v>
                      </c:pt>
                      <c:pt idx="224">
                        <c:v>302.23139934283893</c:v>
                      </c:pt>
                      <c:pt idx="225">
                        <c:v>302.23139934283893</c:v>
                      </c:pt>
                      <c:pt idx="226">
                        <c:v>199.28139934283888</c:v>
                      </c:pt>
                      <c:pt idx="227">
                        <c:v>199.28139934283888</c:v>
                      </c:pt>
                      <c:pt idx="228">
                        <c:v>216.20139934283895</c:v>
                      </c:pt>
                      <c:pt idx="229">
                        <c:v>255.68139934283897</c:v>
                      </c:pt>
                      <c:pt idx="230">
                        <c:v>255.68139934283897</c:v>
                      </c:pt>
                      <c:pt idx="231">
                        <c:v>213.14249066104651</c:v>
                      </c:pt>
                      <c:pt idx="232">
                        <c:v>266.9024906610465</c:v>
                      </c:pt>
                      <c:pt idx="233">
                        <c:v>256.66249066104672</c:v>
                      </c:pt>
                      <c:pt idx="234">
                        <c:v>256.66249066104672</c:v>
                      </c:pt>
                      <c:pt idx="235">
                        <c:v>256.66249066104672</c:v>
                      </c:pt>
                      <c:pt idx="236">
                        <c:v>256.66249066104672</c:v>
                      </c:pt>
                      <c:pt idx="237">
                        <c:v>264.4624906610469</c:v>
                      </c:pt>
                      <c:pt idx="238">
                        <c:v>167.92249066104694</c:v>
                      </c:pt>
                      <c:pt idx="239">
                        <c:v>187.36249066104699</c:v>
                      </c:pt>
                      <c:pt idx="240">
                        <c:v>187.36249066104699</c:v>
                      </c:pt>
                      <c:pt idx="241">
                        <c:v>187.36249066104699</c:v>
                      </c:pt>
                      <c:pt idx="242">
                        <c:v>186.04249066104705</c:v>
                      </c:pt>
                      <c:pt idx="243">
                        <c:v>186.04249066104705</c:v>
                      </c:pt>
                      <c:pt idx="244">
                        <c:v>87.822490661047027</c:v>
                      </c:pt>
                      <c:pt idx="245">
                        <c:v>87.822490661047027</c:v>
                      </c:pt>
                      <c:pt idx="246">
                        <c:v>87.822490661047027</c:v>
                      </c:pt>
                      <c:pt idx="247">
                        <c:v>87.822490661047027</c:v>
                      </c:pt>
                      <c:pt idx="248">
                        <c:v>87.822490661047027</c:v>
                      </c:pt>
                      <c:pt idx="249">
                        <c:v>87.822490661047027</c:v>
                      </c:pt>
                      <c:pt idx="250">
                        <c:v>87.822490661047027</c:v>
                      </c:pt>
                      <c:pt idx="251">
                        <c:v>-6.3775093389530184</c:v>
                      </c:pt>
                      <c:pt idx="252">
                        <c:v>3.4224906610469361</c:v>
                      </c:pt>
                      <c:pt idx="253">
                        <c:v>3.4224906610469361</c:v>
                      </c:pt>
                      <c:pt idx="254">
                        <c:v>3.4224906610469361</c:v>
                      </c:pt>
                      <c:pt idx="255">
                        <c:v>3.4224906610469361</c:v>
                      </c:pt>
                      <c:pt idx="256">
                        <c:v>33.122490661046754</c:v>
                      </c:pt>
                      <c:pt idx="257">
                        <c:v>33.122490661046754</c:v>
                      </c:pt>
                      <c:pt idx="258">
                        <c:v>33.122490661046754</c:v>
                      </c:pt>
                      <c:pt idx="259">
                        <c:v>33.122490661046754</c:v>
                      </c:pt>
                      <c:pt idx="260">
                        <c:v>33.122490661046754</c:v>
                      </c:pt>
                      <c:pt idx="261">
                        <c:v>33.122490661046754</c:v>
                      </c:pt>
                      <c:pt idx="262">
                        <c:v>33.122490661046754</c:v>
                      </c:pt>
                      <c:pt idx="263">
                        <c:v>-3.3275093389532913</c:v>
                      </c:pt>
                      <c:pt idx="264">
                        <c:v>-3.3275093389532913</c:v>
                      </c:pt>
                      <c:pt idx="265">
                        <c:v>-3.3275093389532913</c:v>
                      </c:pt>
                      <c:pt idx="266">
                        <c:v>20.122490661046527</c:v>
                      </c:pt>
                      <c:pt idx="267">
                        <c:v>20.122490661046527</c:v>
                      </c:pt>
                      <c:pt idx="268">
                        <c:v>20.122490661046527</c:v>
                      </c:pt>
                      <c:pt idx="269">
                        <c:v>20.122490661046527</c:v>
                      </c:pt>
                      <c:pt idx="270">
                        <c:v>20.122490661046527</c:v>
                      </c:pt>
                      <c:pt idx="271">
                        <c:v>20.122490661046527</c:v>
                      </c:pt>
                      <c:pt idx="272">
                        <c:v>20.122490661046527</c:v>
                      </c:pt>
                      <c:pt idx="273">
                        <c:v>20.122490661046527</c:v>
                      </c:pt>
                      <c:pt idx="274">
                        <c:v>20.122490661046527</c:v>
                      </c:pt>
                      <c:pt idx="275">
                        <c:v>20.122490661046527</c:v>
                      </c:pt>
                      <c:pt idx="276">
                        <c:v>20.122490661046527</c:v>
                      </c:pt>
                      <c:pt idx="277">
                        <c:v>20.122490661046527</c:v>
                      </c:pt>
                      <c:pt idx="278">
                        <c:v>20.122490661046527</c:v>
                      </c:pt>
                      <c:pt idx="279">
                        <c:v>20.122490661046527</c:v>
                      </c:pt>
                      <c:pt idx="280">
                        <c:v>15.562490661046581</c:v>
                      </c:pt>
                      <c:pt idx="281">
                        <c:v>-40.597509338953273</c:v>
                      </c:pt>
                      <c:pt idx="282">
                        <c:v>-40.597509338953273</c:v>
                      </c:pt>
                      <c:pt idx="283">
                        <c:v>-40.597509338953273</c:v>
                      </c:pt>
                      <c:pt idx="284">
                        <c:v>-7.2975093389533185</c:v>
                      </c:pt>
                      <c:pt idx="285">
                        <c:v>-7.2975093389533185</c:v>
                      </c:pt>
                      <c:pt idx="286">
                        <c:v>1.1024906610467724</c:v>
                      </c:pt>
                      <c:pt idx="287">
                        <c:v>1.1024906610467724</c:v>
                      </c:pt>
                      <c:pt idx="288">
                        <c:v>151.70249066104691</c:v>
                      </c:pt>
                      <c:pt idx="289">
                        <c:v>151.70249066104691</c:v>
                      </c:pt>
                      <c:pt idx="290">
                        <c:v>151.70249066104691</c:v>
                      </c:pt>
                      <c:pt idx="291">
                        <c:v>151.70249066104691</c:v>
                      </c:pt>
                      <c:pt idx="292">
                        <c:v>151.70249066104691</c:v>
                      </c:pt>
                      <c:pt idx="293">
                        <c:v>148.00249066104664</c:v>
                      </c:pt>
                      <c:pt idx="294">
                        <c:v>148.00249066104664</c:v>
                      </c:pt>
                      <c:pt idx="295">
                        <c:v>148.00249066104664</c:v>
                      </c:pt>
                      <c:pt idx="296">
                        <c:v>148.00249066104664</c:v>
                      </c:pt>
                      <c:pt idx="297">
                        <c:v>148.00249066104664</c:v>
                      </c:pt>
                      <c:pt idx="298">
                        <c:v>148.00249066104664</c:v>
                      </c:pt>
                      <c:pt idx="299">
                        <c:v>121.60249066104666</c:v>
                      </c:pt>
                      <c:pt idx="300">
                        <c:v>175.24249066104653</c:v>
                      </c:pt>
                      <c:pt idx="301">
                        <c:v>345.26249066104651</c:v>
                      </c:pt>
                      <c:pt idx="302">
                        <c:v>345.26249066104651</c:v>
                      </c:pt>
                      <c:pt idx="303">
                        <c:v>428.48249066104654</c:v>
                      </c:pt>
                      <c:pt idx="304">
                        <c:v>428.48249066104654</c:v>
                      </c:pt>
                      <c:pt idx="305">
                        <c:v>531.88249066104663</c:v>
                      </c:pt>
                      <c:pt idx="306">
                        <c:v>676.08249066104668</c:v>
                      </c:pt>
                      <c:pt idx="307">
                        <c:v>685.53249066104672</c:v>
                      </c:pt>
                      <c:pt idx="308">
                        <c:v>685.53249066104672</c:v>
                      </c:pt>
                      <c:pt idx="309">
                        <c:v>685.53249066104672</c:v>
                      </c:pt>
                      <c:pt idx="310">
                        <c:v>685.53249066104672</c:v>
                      </c:pt>
                      <c:pt idx="311">
                        <c:v>685.53249066104672</c:v>
                      </c:pt>
                      <c:pt idx="312">
                        <c:v>685.53249066104672</c:v>
                      </c:pt>
                      <c:pt idx="313">
                        <c:v>685.53249066104672</c:v>
                      </c:pt>
                      <c:pt idx="314">
                        <c:v>685.53249066104672</c:v>
                      </c:pt>
                      <c:pt idx="315">
                        <c:v>685.53249066104672</c:v>
                      </c:pt>
                      <c:pt idx="316">
                        <c:v>685.53249066104672</c:v>
                      </c:pt>
                      <c:pt idx="317">
                        <c:v>685.53249066104672</c:v>
                      </c:pt>
                      <c:pt idx="318">
                        <c:v>599.43627194988017</c:v>
                      </c:pt>
                      <c:pt idx="319">
                        <c:v>814.11627194988023</c:v>
                      </c:pt>
                      <c:pt idx="320">
                        <c:v>814.11627194988023</c:v>
                      </c:pt>
                      <c:pt idx="321">
                        <c:v>804.91627194988018</c:v>
                      </c:pt>
                      <c:pt idx="322">
                        <c:v>869.71627194988037</c:v>
                      </c:pt>
                      <c:pt idx="323">
                        <c:v>640.46627194988037</c:v>
                      </c:pt>
                      <c:pt idx="324">
                        <c:v>640.46627194988037</c:v>
                      </c:pt>
                      <c:pt idx="325">
                        <c:v>690.46627194988037</c:v>
                      </c:pt>
                      <c:pt idx="326">
                        <c:v>690.46627194988037</c:v>
                      </c:pt>
                      <c:pt idx="327">
                        <c:v>686.86627194988023</c:v>
                      </c:pt>
                      <c:pt idx="328">
                        <c:v>659.41627194988018</c:v>
                      </c:pt>
                      <c:pt idx="329">
                        <c:v>659.41627194988018</c:v>
                      </c:pt>
                      <c:pt idx="330">
                        <c:v>659.41627194988018</c:v>
                      </c:pt>
                      <c:pt idx="331">
                        <c:v>730.45627194988015</c:v>
                      </c:pt>
                      <c:pt idx="332">
                        <c:v>846.73627194988012</c:v>
                      </c:pt>
                      <c:pt idx="333">
                        <c:v>906.13627194988021</c:v>
                      </c:pt>
                      <c:pt idx="334">
                        <c:v>906.13627194988021</c:v>
                      </c:pt>
                      <c:pt idx="335">
                        <c:v>962.59627194988025</c:v>
                      </c:pt>
                      <c:pt idx="336">
                        <c:v>956.35627194988024</c:v>
                      </c:pt>
                      <c:pt idx="337">
                        <c:v>956.35627194988024</c:v>
                      </c:pt>
                      <c:pt idx="338">
                        <c:v>956.35627194988024</c:v>
                      </c:pt>
                      <c:pt idx="339">
                        <c:v>892.09627194988025</c:v>
                      </c:pt>
                      <c:pt idx="340">
                        <c:v>768.40627194988019</c:v>
                      </c:pt>
                      <c:pt idx="341">
                        <c:v>768.40627194988019</c:v>
                      </c:pt>
                      <c:pt idx="342">
                        <c:v>768.40627194988019</c:v>
                      </c:pt>
                      <c:pt idx="343">
                        <c:v>759.08627194988026</c:v>
                      </c:pt>
                      <c:pt idx="344">
                        <c:v>631.52627194988031</c:v>
                      </c:pt>
                      <c:pt idx="345">
                        <c:v>631.52627194988031</c:v>
                      </c:pt>
                      <c:pt idx="346">
                        <c:v>631.52627194988031</c:v>
                      </c:pt>
                    </c:numCache>
                  </c:numRef>
                </c:val>
                <c:smooth val="0"/>
                <c:extLst xmlns:c15="http://schemas.microsoft.com/office/drawing/2012/chart">
                  <c:ext xmlns:c16="http://schemas.microsoft.com/office/drawing/2014/chart" uri="{C3380CC4-5D6E-409C-BE32-E72D297353CC}">
                    <c16:uniqueId val="{00000005-73E2-4837-99C7-F287FF0F145B}"/>
                  </c:ext>
                </c:extLst>
              </c15:ser>
            </c15:filteredLineSeries>
            <c15:filteredLineSeries>
              <c15:ser>
                <c:idx val="6"/>
                <c:order val="6"/>
                <c:tx>
                  <c:v>Dwn (MOC)</c:v>
                </c:tx>
                <c:spPr>
                  <a:ln w="28575" cap="rnd">
                    <a:solidFill>
                      <a:schemeClr val="accent2">
                        <a:lumMod val="60000"/>
                        <a:lumOff val="40000"/>
                      </a:schemeClr>
                    </a:solidFill>
                    <a:prstDash val="sysDash"/>
                    <a:round/>
                  </a:ln>
                  <a:effectLst/>
                </c:spPr>
                <c:marker>
                  <c:symbol val="none"/>
                </c:marker>
                <c:val>
                  <c:numRef>
                    <c:extLst xmlns:c15="http://schemas.microsoft.com/office/drawing/2012/chart">
                      <c:ext xmlns:c15="http://schemas.microsoft.com/office/drawing/2012/chart" uri="{02D57815-91ED-43cb-92C2-25804820EDAC}">
                        <c15:formulaRef>
                          <c15:sqref>'2025-Q2'!$AZ$4:$AZ$350</c15:sqref>
                        </c15:formulaRef>
                      </c:ext>
                    </c:extLst>
                    <c:numCache>
                      <c:formatCode>"$"#,##0</c:formatCode>
                      <c:ptCount val="347"/>
                      <c:pt idx="0">
                        <c:v>-254.69999999999982</c:v>
                      </c:pt>
                      <c:pt idx="1">
                        <c:v>-262.79999999999973</c:v>
                      </c:pt>
                      <c:pt idx="2">
                        <c:v>-262.79999999999973</c:v>
                      </c:pt>
                      <c:pt idx="3">
                        <c:v>-262.79999999999973</c:v>
                      </c:pt>
                      <c:pt idx="4">
                        <c:v>-262.79999999999973</c:v>
                      </c:pt>
                      <c:pt idx="5">
                        <c:v>-262.79999999999973</c:v>
                      </c:pt>
                      <c:pt idx="6">
                        <c:v>-262.79999999999973</c:v>
                      </c:pt>
                      <c:pt idx="7">
                        <c:v>-262.79999999999973</c:v>
                      </c:pt>
                      <c:pt idx="8">
                        <c:v>-262.79999999999973</c:v>
                      </c:pt>
                      <c:pt idx="9">
                        <c:v>-266.68837290281726</c:v>
                      </c:pt>
                      <c:pt idx="10">
                        <c:v>-266.68837290281726</c:v>
                      </c:pt>
                      <c:pt idx="11">
                        <c:v>-266.68837290281726</c:v>
                      </c:pt>
                      <c:pt idx="12">
                        <c:v>-267.17837290281727</c:v>
                      </c:pt>
                      <c:pt idx="13">
                        <c:v>-267.17837290281727</c:v>
                      </c:pt>
                      <c:pt idx="14">
                        <c:v>-173.75837290281697</c:v>
                      </c:pt>
                      <c:pt idx="15">
                        <c:v>-173.75837290281697</c:v>
                      </c:pt>
                      <c:pt idx="16">
                        <c:v>-89.908372902816836</c:v>
                      </c:pt>
                      <c:pt idx="17">
                        <c:v>-65.608372902816654</c:v>
                      </c:pt>
                      <c:pt idx="18">
                        <c:v>-65.608372902816654</c:v>
                      </c:pt>
                      <c:pt idx="19">
                        <c:v>-65.608372902816654</c:v>
                      </c:pt>
                      <c:pt idx="20">
                        <c:v>-65.608372902816654</c:v>
                      </c:pt>
                      <c:pt idx="21">
                        <c:v>-65.608372902816654</c:v>
                      </c:pt>
                      <c:pt idx="22">
                        <c:v>-79.1383729028164</c:v>
                      </c:pt>
                      <c:pt idx="23">
                        <c:v>-79.1383729028164</c:v>
                      </c:pt>
                      <c:pt idx="24">
                        <c:v>-79.1383729028164</c:v>
                      </c:pt>
                      <c:pt idx="25">
                        <c:v>-79.1383729028164</c:v>
                      </c:pt>
                      <c:pt idx="26">
                        <c:v>-76.1383729028164</c:v>
                      </c:pt>
                      <c:pt idx="27">
                        <c:v>-110.1383729028164</c:v>
                      </c:pt>
                      <c:pt idx="28">
                        <c:v>-118.53837290281626</c:v>
                      </c:pt>
                      <c:pt idx="29">
                        <c:v>-118.53837290281626</c:v>
                      </c:pt>
                      <c:pt idx="30">
                        <c:v>-155.63837290281617</c:v>
                      </c:pt>
                      <c:pt idx="31">
                        <c:v>-148.13837290281617</c:v>
                      </c:pt>
                      <c:pt idx="32">
                        <c:v>-164.13837290281617</c:v>
                      </c:pt>
                      <c:pt idx="33">
                        <c:v>-164.13837290281617</c:v>
                      </c:pt>
                      <c:pt idx="34">
                        <c:v>-164.13837290281617</c:v>
                      </c:pt>
                      <c:pt idx="35">
                        <c:v>-164.13837290281617</c:v>
                      </c:pt>
                      <c:pt idx="36">
                        <c:v>-173.22837290281586</c:v>
                      </c:pt>
                      <c:pt idx="37">
                        <c:v>-173.22837290281586</c:v>
                      </c:pt>
                      <c:pt idx="38">
                        <c:v>-173.22837290281586</c:v>
                      </c:pt>
                      <c:pt idx="39">
                        <c:v>-173.22837290281586</c:v>
                      </c:pt>
                      <c:pt idx="40">
                        <c:v>-322.17837290281591</c:v>
                      </c:pt>
                      <c:pt idx="41">
                        <c:v>-353.47837290281609</c:v>
                      </c:pt>
                      <c:pt idx="42">
                        <c:v>-286.37837290281595</c:v>
                      </c:pt>
                      <c:pt idx="43">
                        <c:v>-286.37837290281595</c:v>
                      </c:pt>
                      <c:pt idx="44">
                        <c:v>-286.37837290281595</c:v>
                      </c:pt>
                      <c:pt idx="45">
                        <c:v>-286.37837290281595</c:v>
                      </c:pt>
                      <c:pt idx="46">
                        <c:v>-336.14837290281594</c:v>
                      </c:pt>
                      <c:pt idx="47">
                        <c:v>-336.14837290281594</c:v>
                      </c:pt>
                      <c:pt idx="48">
                        <c:v>-437.28837290281581</c:v>
                      </c:pt>
                      <c:pt idx="49">
                        <c:v>-437.28837290281581</c:v>
                      </c:pt>
                      <c:pt idx="50">
                        <c:v>-437.28837290281581</c:v>
                      </c:pt>
                      <c:pt idx="51">
                        <c:v>-437.28837290281581</c:v>
                      </c:pt>
                      <c:pt idx="52">
                        <c:v>-546.48837290281585</c:v>
                      </c:pt>
                      <c:pt idx="53">
                        <c:v>-546.48837290281585</c:v>
                      </c:pt>
                      <c:pt idx="54">
                        <c:v>-546.48837290281585</c:v>
                      </c:pt>
                      <c:pt idx="55">
                        <c:v>-539.5683729028159</c:v>
                      </c:pt>
                      <c:pt idx="56">
                        <c:v>-539.5683729028159</c:v>
                      </c:pt>
                      <c:pt idx="57">
                        <c:v>-414.9183729028158</c:v>
                      </c:pt>
                      <c:pt idx="58">
                        <c:v>-414.9183729028158</c:v>
                      </c:pt>
                      <c:pt idx="59">
                        <c:v>-414.9183729028158</c:v>
                      </c:pt>
                      <c:pt idx="60">
                        <c:v>-414.9183729028158</c:v>
                      </c:pt>
                      <c:pt idx="61">
                        <c:v>-414.9183729028158</c:v>
                      </c:pt>
                      <c:pt idx="62">
                        <c:v>-414.9183729028158</c:v>
                      </c:pt>
                      <c:pt idx="63">
                        <c:v>-414.9183729028158</c:v>
                      </c:pt>
                      <c:pt idx="64">
                        <c:v>-414.9183729028158</c:v>
                      </c:pt>
                      <c:pt idx="65">
                        <c:v>-414.9183729028158</c:v>
                      </c:pt>
                      <c:pt idx="66">
                        <c:v>-420.76837290281571</c:v>
                      </c:pt>
                      <c:pt idx="67">
                        <c:v>-414.58837290281565</c:v>
                      </c:pt>
                      <c:pt idx="68">
                        <c:v>-396.2683729028156</c:v>
                      </c:pt>
                      <c:pt idx="69">
                        <c:v>-396.2683729028156</c:v>
                      </c:pt>
                      <c:pt idx="70">
                        <c:v>-368.83837290281554</c:v>
                      </c:pt>
                      <c:pt idx="71">
                        <c:v>-368.83837290281554</c:v>
                      </c:pt>
                      <c:pt idx="72">
                        <c:v>-368.83837290281554</c:v>
                      </c:pt>
                      <c:pt idx="73">
                        <c:v>-368.83837290281554</c:v>
                      </c:pt>
                      <c:pt idx="74">
                        <c:v>-368.83837290281554</c:v>
                      </c:pt>
                      <c:pt idx="75">
                        <c:v>-368.83837290281554</c:v>
                      </c:pt>
                      <c:pt idx="76">
                        <c:v>-368.83837290281554</c:v>
                      </c:pt>
                      <c:pt idx="77">
                        <c:v>-368.83837290281554</c:v>
                      </c:pt>
                      <c:pt idx="78">
                        <c:v>-368.83837290281554</c:v>
                      </c:pt>
                      <c:pt idx="79">
                        <c:v>-423.9721716230016</c:v>
                      </c:pt>
                      <c:pt idx="80">
                        <c:v>-423.9721716230016</c:v>
                      </c:pt>
                      <c:pt idx="81">
                        <c:v>-480.01217162300156</c:v>
                      </c:pt>
                      <c:pt idx="82">
                        <c:v>-530.05217162300164</c:v>
                      </c:pt>
                      <c:pt idx="83">
                        <c:v>-530.05217162300164</c:v>
                      </c:pt>
                      <c:pt idx="84">
                        <c:v>-530.05217162300164</c:v>
                      </c:pt>
                      <c:pt idx="85">
                        <c:v>-591.05217162300175</c:v>
                      </c:pt>
                      <c:pt idx="86">
                        <c:v>-591.05217162300175</c:v>
                      </c:pt>
                      <c:pt idx="87">
                        <c:v>-613.15217162300189</c:v>
                      </c:pt>
                      <c:pt idx="88">
                        <c:v>-595.83217162300184</c:v>
                      </c:pt>
                      <c:pt idx="89">
                        <c:v>-595.83217162300184</c:v>
                      </c:pt>
                      <c:pt idx="90">
                        <c:v>-563.83217162300184</c:v>
                      </c:pt>
                      <c:pt idx="91">
                        <c:v>-555.85217162300182</c:v>
                      </c:pt>
                      <c:pt idx="92">
                        <c:v>-578.65217162300189</c:v>
                      </c:pt>
                      <c:pt idx="93">
                        <c:v>-578.65217162300189</c:v>
                      </c:pt>
                      <c:pt idx="94">
                        <c:v>-578.65217162300189</c:v>
                      </c:pt>
                      <c:pt idx="95">
                        <c:v>-589.652171623002</c:v>
                      </c:pt>
                      <c:pt idx="96">
                        <c:v>-547.95217162300207</c:v>
                      </c:pt>
                      <c:pt idx="97">
                        <c:v>-550.83217162300207</c:v>
                      </c:pt>
                      <c:pt idx="98">
                        <c:v>-588.98217162300205</c:v>
                      </c:pt>
                      <c:pt idx="99">
                        <c:v>-588.98217162300205</c:v>
                      </c:pt>
                      <c:pt idx="100">
                        <c:v>-711.86217162300204</c:v>
                      </c:pt>
                      <c:pt idx="101">
                        <c:v>-711.86217162300204</c:v>
                      </c:pt>
                      <c:pt idx="102">
                        <c:v>-711.86217162300204</c:v>
                      </c:pt>
                      <c:pt idx="103">
                        <c:v>-711.86217162300204</c:v>
                      </c:pt>
                      <c:pt idx="104">
                        <c:v>-711.86217162300204</c:v>
                      </c:pt>
                      <c:pt idx="105">
                        <c:v>-657.08217162300207</c:v>
                      </c:pt>
                      <c:pt idx="106">
                        <c:v>-657.08217162300207</c:v>
                      </c:pt>
                      <c:pt idx="107">
                        <c:v>-657.08217162300207</c:v>
                      </c:pt>
                      <c:pt idx="108">
                        <c:v>-657.08217162300207</c:v>
                      </c:pt>
                      <c:pt idx="109">
                        <c:v>-657.08217162300207</c:v>
                      </c:pt>
                      <c:pt idx="110">
                        <c:v>-646.83217162300218</c:v>
                      </c:pt>
                      <c:pt idx="111">
                        <c:v>-640.35217162300216</c:v>
                      </c:pt>
                      <c:pt idx="112">
                        <c:v>-640.35217162300216</c:v>
                      </c:pt>
                      <c:pt idx="113">
                        <c:v>-640.35217162300216</c:v>
                      </c:pt>
                      <c:pt idx="114">
                        <c:v>-640.35217162300216</c:v>
                      </c:pt>
                      <c:pt idx="115">
                        <c:v>-640.35217162300216</c:v>
                      </c:pt>
                      <c:pt idx="116">
                        <c:v>-643.20217162300207</c:v>
                      </c:pt>
                      <c:pt idx="117">
                        <c:v>-617.95161845366727</c:v>
                      </c:pt>
                      <c:pt idx="118">
                        <c:v>-617.95161845366727</c:v>
                      </c:pt>
                      <c:pt idx="119">
                        <c:v>-617.95161845366727</c:v>
                      </c:pt>
                      <c:pt idx="120">
                        <c:v>-637.75161845366745</c:v>
                      </c:pt>
                      <c:pt idx="121">
                        <c:v>-637.75161845366745</c:v>
                      </c:pt>
                      <c:pt idx="122">
                        <c:v>-637.75161845366745</c:v>
                      </c:pt>
                      <c:pt idx="123">
                        <c:v>-637.75161845366745</c:v>
                      </c:pt>
                      <c:pt idx="124">
                        <c:v>-569.65161845366742</c:v>
                      </c:pt>
                      <c:pt idx="125">
                        <c:v>-569.65161845366742</c:v>
                      </c:pt>
                      <c:pt idx="126">
                        <c:v>-569.65161845366742</c:v>
                      </c:pt>
                      <c:pt idx="127">
                        <c:v>-617.44161845366739</c:v>
                      </c:pt>
                      <c:pt idx="128">
                        <c:v>-617.44161845366739</c:v>
                      </c:pt>
                      <c:pt idx="129">
                        <c:v>-653.28161845366731</c:v>
                      </c:pt>
                      <c:pt idx="130">
                        <c:v>-653.28161845366731</c:v>
                      </c:pt>
                      <c:pt idx="131">
                        <c:v>-678.06161845366728</c:v>
                      </c:pt>
                      <c:pt idx="132">
                        <c:v>-678.06161845366728</c:v>
                      </c:pt>
                      <c:pt idx="133">
                        <c:v>-660.56161845366728</c:v>
                      </c:pt>
                      <c:pt idx="134">
                        <c:v>-658.04161845366718</c:v>
                      </c:pt>
                      <c:pt idx="135">
                        <c:v>-666.32161845366716</c:v>
                      </c:pt>
                      <c:pt idx="136">
                        <c:v>-662.72161845366713</c:v>
                      </c:pt>
                      <c:pt idx="137">
                        <c:v>-662.72161845366713</c:v>
                      </c:pt>
                      <c:pt idx="138">
                        <c:v>-694.54161845366707</c:v>
                      </c:pt>
                      <c:pt idx="139">
                        <c:v>-663.04161845366696</c:v>
                      </c:pt>
                      <c:pt idx="140">
                        <c:v>-663.04161845366696</c:v>
                      </c:pt>
                      <c:pt idx="141">
                        <c:v>-694.56161845366694</c:v>
                      </c:pt>
                      <c:pt idx="142">
                        <c:v>-744.80161845366695</c:v>
                      </c:pt>
                      <c:pt idx="143">
                        <c:v>-767.04161845366673</c:v>
                      </c:pt>
                      <c:pt idx="144">
                        <c:v>-769.08161845366681</c:v>
                      </c:pt>
                      <c:pt idx="145">
                        <c:v>-685.18161845366672</c:v>
                      </c:pt>
                      <c:pt idx="146">
                        <c:v>-709.48161845366667</c:v>
                      </c:pt>
                      <c:pt idx="147">
                        <c:v>-763.63161845366676</c:v>
                      </c:pt>
                      <c:pt idx="148">
                        <c:v>-763.63161845366676</c:v>
                      </c:pt>
                      <c:pt idx="149">
                        <c:v>-763.63161845366676</c:v>
                      </c:pt>
                      <c:pt idx="150">
                        <c:v>-763.63161845366676</c:v>
                      </c:pt>
                      <c:pt idx="151">
                        <c:v>-763.63161845366676</c:v>
                      </c:pt>
                      <c:pt idx="152">
                        <c:v>-639.33161845366681</c:v>
                      </c:pt>
                      <c:pt idx="153">
                        <c:v>-639.33161845366681</c:v>
                      </c:pt>
                      <c:pt idx="154">
                        <c:v>-639.33161845366681</c:v>
                      </c:pt>
                      <c:pt idx="155">
                        <c:v>-639.33161845366681</c:v>
                      </c:pt>
                      <c:pt idx="156">
                        <c:v>-547.97161845366668</c:v>
                      </c:pt>
                      <c:pt idx="157">
                        <c:v>-547.97161845366668</c:v>
                      </c:pt>
                      <c:pt idx="158">
                        <c:v>-547.97161845366668</c:v>
                      </c:pt>
                      <c:pt idx="159">
                        <c:v>-547.97161845366668</c:v>
                      </c:pt>
                      <c:pt idx="160">
                        <c:v>-547.97161845366668</c:v>
                      </c:pt>
                      <c:pt idx="161">
                        <c:v>-547.97161845366668</c:v>
                      </c:pt>
                      <c:pt idx="162">
                        <c:v>-520.05161845366683</c:v>
                      </c:pt>
                      <c:pt idx="163">
                        <c:v>-601.05161845366695</c:v>
                      </c:pt>
                      <c:pt idx="164">
                        <c:v>-601.05161845366695</c:v>
                      </c:pt>
                      <c:pt idx="165">
                        <c:v>-601.05161845366695</c:v>
                      </c:pt>
                      <c:pt idx="166">
                        <c:v>-601.05161845366695</c:v>
                      </c:pt>
                      <c:pt idx="167">
                        <c:v>-601.05161845366695</c:v>
                      </c:pt>
                      <c:pt idx="168">
                        <c:v>-560.1016184536669</c:v>
                      </c:pt>
                      <c:pt idx="169">
                        <c:v>-560.1016184536669</c:v>
                      </c:pt>
                      <c:pt idx="170">
                        <c:v>-570.36161845366701</c:v>
                      </c:pt>
                      <c:pt idx="171">
                        <c:v>-570.36161845366701</c:v>
                      </c:pt>
                      <c:pt idx="172">
                        <c:v>-550.52161845366709</c:v>
                      </c:pt>
                      <c:pt idx="173">
                        <c:v>-550.52161845366709</c:v>
                      </c:pt>
                      <c:pt idx="174">
                        <c:v>-469.5216184536672</c:v>
                      </c:pt>
                      <c:pt idx="175">
                        <c:v>-469.5216184536672</c:v>
                      </c:pt>
                      <c:pt idx="176">
                        <c:v>-458.74161845366723</c:v>
                      </c:pt>
                      <c:pt idx="177">
                        <c:v>-458.74161845366723</c:v>
                      </c:pt>
                      <c:pt idx="178">
                        <c:v>-472.52161845366743</c:v>
                      </c:pt>
                      <c:pt idx="179">
                        <c:v>-378.83161845366737</c:v>
                      </c:pt>
                      <c:pt idx="180">
                        <c:v>-378.83161845366737</c:v>
                      </c:pt>
                      <c:pt idx="181">
                        <c:v>-378.83161845366737</c:v>
                      </c:pt>
                      <c:pt idx="182">
                        <c:v>-378.83161845366737</c:v>
                      </c:pt>
                      <c:pt idx="183">
                        <c:v>-378.83161845366737</c:v>
                      </c:pt>
                      <c:pt idx="184">
                        <c:v>-399.47161845366725</c:v>
                      </c:pt>
                      <c:pt idx="185">
                        <c:v>-378.47161845366702</c:v>
                      </c:pt>
                      <c:pt idx="186">
                        <c:v>-386.97161845366702</c:v>
                      </c:pt>
                      <c:pt idx="187">
                        <c:v>-386.97161845366702</c:v>
                      </c:pt>
                      <c:pt idx="188">
                        <c:v>-280.97161845366702</c:v>
                      </c:pt>
                      <c:pt idx="189">
                        <c:v>-286.97161845366679</c:v>
                      </c:pt>
                      <c:pt idx="190">
                        <c:v>-286.97161845366679</c:v>
                      </c:pt>
                      <c:pt idx="191">
                        <c:v>-302.37161845366688</c:v>
                      </c:pt>
                      <c:pt idx="192">
                        <c:v>-302.37161845366688</c:v>
                      </c:pt>
                      <c:pt idx="193">
                        <c:v>-101.3516184536669</c:v>
                      </c:pt>
                      <c:pt idx="194">
                        <c:v>-110.31161845366694</c:v>
                      </c:pt>
                      <c:pt idx="195">
                        <c:v>-110.31161845366694</c:v>
                      </c:pt>
                      <c:pt idx="196">
                        <c:v>-110.31161845366694</c:v>
                      </c:pt>
                      <c:pt idx="197">
                        <c:v>-70.011618453666983</c:v>
                      </c:pt>
                      <c:pt idx="198">
                        <c:v>-68.661618453667074</c:v>
                      </c:pt>
                      <c:pt idx="199">
                        <c:v>-72.941618453667274</c:v>
                      </c:pt>
                      <c:pt idx="200">
                        <c:v>-72.941618453667274</c:v>
                      </c:pt>
                      <c:pt idx="201">
                        <c:v>-26.381618453667329</c:v>
                      </c:pt>
                      <c:pt idx="202">
                        <c:v>-26.381618453667329</c:v>
                      </c:pt>
                      <c:pt idx="203">
                        <c:v>-26.381618453667329</c:v>
                      </c:pt>
                      <c:pt idx="204">
                        <c:v>-26.381618453667329</c:v>
                      </c:pt>
                      <c:pt idx="205">
                        <c:v>-26.381618453667329</c:v>
                      </c:pt>
                      <c:pt idx="206">
                        <c:v>-26.381618453667329</c:v>
                      </c:pt>
                      <c:pt idx="207">
                        <c:v>-28.36161845366712</c:v>
                      </c:pt>
                      <c:pt idx="208">
                        <c:v>-28.36161845366712</c:v>
                      </c:pt>
                      <c:pt idx="209">
                        <c:v>-6.9616184536670289</c:v>
                      </c:pt>
                      <c:pt idx="210">
                        <c:v>-6.9616184536670289</c:v>
                      </c:pt>
                      <c:pt idx="211">
                        <c:v>-6.9616184536670289</c:v>
                      </c:pt>
                      <c:pt idx="212">
                        <c:v>-6.9616184536670289</c:v>
                      </c:pt>
                      <c:pt idx="213">
                        <c:v>36.368381546332898</c:v>
                      </c:pt>
                      <c:pt idx="214">
                        <c:v>38.368381546332898</c:v>
                      </c:pt>
                      <c:pt idx="215">
                        <c:v>-92.311618453666938</c:v>
                      </c:pt>
                      <c:pt idx="216">
                        <c:v>-92.311618453666938</c:v>
                      </c:pt>
                      <c:pt idx="217">
                        <c:v>-92.311618453666938</c:v>
                      </c:pt>
                      <c:pt idx="218">
                        <c:v>-74.811618453666938</c:v>
                      </c:pt>
                      <c:pt idx="219">
                        <c:v>-74.811618453666938</c:v>
                      </c:pt>
                      <c:pt idx="220">
                        <c:v>-5.5116184536669834</c:v>
                      </c:pt>
                      <c:pt idx="221">
                        <c:v>-5.5116184536669834</c:v>
                      </c:pt>
                      <c:pt idx="222">
                        <c:v>54.408381546332862</c:v>
                      </c:pt>
                      <c:pt idx="223">
                        <c:v>54.408381546332862</c:v>
                      </c:pt>
                      <c:pt idx="224">
                        <c:v>54.408381546332862</c:v>
                      </c:pt>
                      <c:pt idx="225">
                        <c:v>24.88838154633288</c:v>
                      </c:pt>
                      <c:pt idx="226">
                        <c:v>24.88838154633288</c:v>
                      </c:pt>
                      <c:pt idx="227">
                        <c:v>44.248381546333007</c:v>
                      </c:pt>
                      <c:pt idx="228">
                        <c:v>44.248381546333007</c:v>
                      </c:pt>
                      <c:pt idx="229">
                        <c:v>44.248381546333007</c:v>
                      </c:pt>
                      <c:pt idx="230">
                        <c:v>63.898381546332871</c:v>
                      </c:pt>
                      <c:pt idx="231">
                        <c:v>63.898381546332871</c:v>
                      </c:pt>
                      <c:pt idx="232">
                        <c:v>63.898381546332871</c:v>
                      </c:pt>
                      <c:pt idx="233">
                        <c:v>63.898381546332871</c:v>
                      </c:pt>
                      <c:pt idx="234">
                        <c:v>126.29838154633296</c:v>
                      </c:pt>
                      <c:pt idx="235">
                        <c:v>82.868381546332898</c:v>
                      </c:pt>
                      <c:pt idx="236">
                        <c:v>168.66838154633285</c:v>
                      </c:pt>
                      <c:pt idx="237">
                        <c:v>168.66838154633285</c:v>
                      </c:pt>
                      <c:pt idx="238">
                        <c:v>168.66838154633285</c:v>
                      </c:pt>
                      <c:pt idx="239">
                        <c:v>168.66838154633285</c:v>
                      </c:pt>
                      <c:pt idx="240">
                        <c:v>168.66838154633285</c:v>
                      </c:pt>
                      <c:pt idx="241">
                        <c:v>347.91838154633274</c:v>
                      </c:pt>
                      <c:pt idx="242">
                        <c:v>347.91838154633274</c:v>
                      </c:pt>
                      <c:pt idx="243">
                        <c:v>336.66838154633274</c:v>
                      </c:pt>
                      <c:pt idx="244">
                        <c:v>336.66838154633274</c:v>
                      </c:pt>
                      <c:pt idx="245">
                        <c:v>342.51838154633288</c:v>
                      </c:pt>
                      <c:pt idx="246">
                        <c:v>338.21838154633292</c:v>
                      </c:pt>
                      <c:pt idx="247">
                        <c:v>315.81838154633283</c:v>
                      </c:pt>
                      <c:pt idx="248">
                        <c:v>280.51838154633288</c:v>
                      </c:pt>
                      <c:pt idx="249">
                        <c:v>201.31838154633283</c:v>
                      </c:pt>
                      <c:pt idx="250">
                        <c:v>344.11838154633278</c:v>
                      </c:pt>
                      <c:pt idx="251">
                        <c:v>344.11838154633278</c:v>
                      </c:pt>
                      <c:pt idx="252">
                        <c:v>344.11838154633278</c:v>
                      </c:pt>
                      <c:pt idx="253">
                        <c:v>438.61838154633278</c:v>
                      </c:pt>
                      <c:pt idx="254">
                        <c:v>415.57838154633259</c:v>
                      </c:pt>
                      <c:pt idx="255">
                        <c:v>442.29838154633239</c:v>
                      </c:pt>
                      <c:pt idx="256">
                        <c:v>442.29838154633239</c:v>
                      </c:pt>
                      <c:pt idx="257">
                        <c:v>442.29838154633239</c:v>
                      </c:pt>
                      <c:pt idx="258">
                        <c:v>442.29838154633239</c:v>
                      </c:pt>
                      <c:pt idx="259">
                        <c:v>356.69838154633248</c:v>
                      </c:pt>
                      <c:pt idx="260">
                        <c:v>338.87838154633255</c:v>
                      </c:pt>
                      <c:pt idx="261">
                        <c:v>319.19838154633248</c:v>
                      </c:pt>
                      <c:pt idx="262">
                        <c:v>361.89838154633276</c:v>
                      </c:pt>
                      <c:pt idx="263">
                        <c:v>361.89838154633276</c:v>
                      </c:pt>
                      <c:pt idx="264">
                        <c:v>365.63838154633277</c:v>
                      </c:pt>
                      <c:pt idx="265">
                        <c:v>311.15838154633275</c:v>
                      </c:pt>
                      <c:pt idx="266">
                        <c:v>311.15838154633275</c:v>
                      </c:pt>
                      <c:pt idx="267">
                        <c:v>310.73838154633268</c:v>
                      </c:pt>
                      <c:pt idx="268">
                        <c:v>300.97838154633268</c:v>
                      </c:pt>
                      <c:pt idx="269">
                        <c:v>365.41838154633274</c:v>
                      </c:pt>
                      <c:pt idx="270">
                        <c:v>393.49838154633267</c:v>
                      </c:pt>
                      <c:pt idx="271">
                        <c:v>450.82838154633259</c:v>
                      </c:pt>
                      <c:pt idx="272">
                        <c:v>447.22838154633268</c:v>
                      </c:pt>
                      <c:pt idx="273">
                        <c:v>447.22838154633268</c:v>
                      </c:pt>
                      <c:pt idx="274">
                        <c:v>421.97838154633268</c:v>
                      </c:pt>
                      <c:pt idx="275">
                        <c:v>506.12838154633255</c:v>
                      </c:pt>
                      <c:pt idx="276">
                        <c:v>485.24838154633267</c:v>
                      </c:pt>
                      <c:pt idx="277">
                        <c:v>485.24838154633267</c:v>
                      </c:pt>
                      <c:pt idx="278">
                        <c:v>560.64838154633253</c:v>
                      </c:pt>
                      <c:pt idx="279">
                        <c:v>580.64838154633253</c:v>
                      </c:pt>
                      <c:pt idx="280">
                        <c:v>580.64838154633253</c:v>
                      </c:pt>
                      <c:pt idx="281">
                        <c:v>580.64838154633253</c:v>
                      </c:pt>
                      <c:pt idx="282">
                        <c:v>582.84838154633258</c:v>
                      </c:pt>
                      <c:pt idx="283">
                        <c:v>512.14838154633276</c:v>
                      </c:pt>
                      <c:pt idx="284">
                        <c:v>512.14838154633276</c:v>
                      </c:pt>
                      <c:pt idx="285">
                        <c:v>416.74838154633267</c:v>
                      </c:pt>
                      <c:pt idx="286">
                        <c:v>416.74838154633267</c:v>
                      </c:pt>
                      <c:pt idx="287">
                        <c:v>335.61838154633256</c:v>
                      </c:pt>
                      <c:pt idx="288">
                        <c:v>335.61838154633256</c:v>
                      </c:pt>
                      <c:pt idx="289">
                        <c:v>369.51838154633242</c:v>
                      </c:pt>
                      <c:pt idx="290">
                        <c:v>369.51838154633242</c:v>
                      </c:pt>
                      <c:pt idx="291">
                        <c:v>444.51838154633242</c:v>
                      </c:pt>
                      <c:pt idx="292">
                        <c:v>418.76838154633242</c:v>
                      </c:pt>
                      <c:pt idx="293">
                        <c:v>418.76838154633242</c:v>
                      </c:pt>
                      <c:pt idx="294">
                        <c:v>289.80838154633238</c:v>
                      </c:pt>
                      <c:pt idx="295">
                        <c:v>289.80838154633238</c:v>
                      </c:pt>
                      <c:pt idx="296">
                        <c:v>261.31838154633238</c:v>
                      </c:pt>
                      <c:pt idx="297">
                        <c:v>261.31838154633238</c:v>
                      </c:pt>
                      <c:pt idx="298">
                        <c:v>210.11838154633233</c:v>
                      </c:pt>
                      <c:pt idx="299">
                        <c:v>210.11838154633233</c:v>
                      </c:pt>
                      <c:pt idx="300">
                        <c:v>210.11838154633233</c:v>
                      </c:pt>
                      <c:pt idx="301">
                        <c:v>210.11838154633233</c:v>
                      </c:pt>
                      <c:pt idx="302">
                        <c:v>202.73838154633222</c:v>
                      </c:pt>
                      <c:pt idx="303">
                        <c:v>202.73838154633222</c:v>
                      </c:pt>
                      <c:pt idx="304">
                        <c:v>202.73838154633222</c:v>
                      </c:pt>
                      <c:pt idx="305">
                        <c:v>202.73838154633222</c:v>
                      </c:pt>
                      <c:pt idx="306">
                        <c:v>202.73838154633222</c:v>
                      </c:pt>
                      <c:pt idx="307">
                        <c:v>202.73838154633222</c:v>
                      </c:pt>
                      <c:pt idx="308">
                        <c:v>225.07719317717942</c:v>
                      </c:pt>
                      <c:pt idx="309">
                        <c:v>225.07719317717942</c:v>
                      </c:pt>
                      <c:pt idx="310">
                        <c:v>341.47719317717952</c:v>
                      </c:pt>
                      <c:pt idx="311">
                        <c:v>395.65719317717958</c:v>
                      </c:pt>
                      <c:pt idx="312">
                        <c:v>379.00719317717949</c:v>
                      </c:pt>
                      <c:pt idx="313">
                        <c:v>379.00719317717949</c:v>
                      </c:pt>
                      <c:pt idx="314">
                        <c:v>325.10719317717951</c:v>
                      </c:pt>
                      <c:pt idx="315">
                        <c:v>268.85719317717951</c:v>
                      </c:pt>
                      <c:pt idx="316">
                        <c:v>268.85719317717951</c:v>
                      </c:pt>
                      <c:pt idx="317">
                        <c:v>268.85719317717951</c:v>
                      </c:pt>
                      <c:pt idx="318">
                        <c:v>268.85719317717951</c:v>
                      </c:pt>
                      <c:pt idx="319">
                        <c:v>268.85719317717951</c:v>
                      </c:pt>
                      <c:pt idx="320">
                        <c:v>397.51719317717937</c:v>
                      </c:pt>
                      <c:pt idx="321">
                        <c:v>397.51719317717937</c:v>
                      </c:pt>
                      <c:pt idx="322">
                        <c:v>397.51719317717937</c:v>
                      </c:pt>
                      <c:pt idx="323">
                        <c:v>397.51719317717937</c:v>
                      </c:pt>
                      <c:pt idx="324">
                        <c:v>248.95719317717942</c:v>
                      </c:pt>
                      <c:pt idx="325">
                        <c:v>248.95719317717942</c:v>
                      </c:pt>
                      <c:pt idx="326">
                        <c:v>113.20719317717942</c:v>
                      </c:pt>
                      <c:pt idx="327">
                        <c:v>113.20719317717942</c:v>
                      </c:pt>
                      <c:pt idx="328">
                        <c:v>113.20719317717942</c:v>
                      </c:pt>
                      <c:pt idx="329">
                        <c:v>113.20719317717942</c:v>
                      </c:pt>
                      <c:pt idx="330">
                        <c:v>274.15719317717947</c:v>
                      </c:pt>
                      <c:pt idx="331">
                        <c:v>274.15719317717947</c:v>
                      </c:pt>
                      <c:pt idx="332">
                        <c:v>274.15719317717947</c:v>
                      </c:pt>
                      <c:pt idx="333">
                        <c:v>274.15719317717947</c:v>
                      </c:pt>
                      <c:pt idx="334">
                        <c:v>274.15719317717947</c:v>
                      </c:pt>
                      <c:pt idx="335">
                        <c:v>274.15719317717947</c:v>
                      </c:pt>
                      <c:pt idx="336">
                        <c:v>274.15719317717947</c:v>
                      </c:pt>
                      <c:pt idx="337">
                        <c:v>315.55719317717956</c:v>
                      </c:pt>
                      <c:pt idx="338">
                        <c:v>315.55719317717956</c:v>
                      </c:pt>
                      <c:pt idx="339">
                        <c:v>315.55719317717956</c:v>
                      </c:pt>
                      <c:pt idx="340">
                        <c:v>315.55719317717956</c:v>
                      </c:pt>
                      <c:pt idx="341">
                        <c:v>315.55719317717956</c:v>
                      </c:pt>
                      <c:pt idx="342">
                        <c:v>298.75719317717983</c:v>
                      </c:pt>
                      <c:pt idx="343">
                        <c:v>298.75719317717983</c:v>
                      </c:pt>
                      <c:pt idx="344">
                        <c:v>298.75719317717983</c:v>
                      </c:pt>
                      <c:pt idx="345">
                        <c:v>298.75719317717983</c:v>
                      </c:pt>
                      <c:pt idx="346">
                        <c:v>305.25719317717983</c:v>
                      </c:pt>
                    </c:numCache>
                  </c:numRef>
                </c:val>
                <c:smooth val="0"/>
                <c:extLst xmlns:c15="http://schemas.microsoft.com/office/drawing/2012/chart">
                  <c:ext xmlns:c16="http://schemas.microsoft.com/office/drawing/2014/chart" uri="{C3380CC4-5D6E-409C-BE32-E72D297353CC}">
                    <c16:uniqueId val="{00000006-73E2-4837-99C7-F287FF0F145B}"/>
                  </c:ext>
                </c:extLst>
              </c15:ser>
            </c15:filteredLineSeries>
          </c:ext>
        </c:extLst>
      </c:lineChart>
      <c:catAx>
        <c:axId val="147683023"/>
        <c:scaling>
          <c:orientation val="minMax"/>
        </c:scaling>
        <c:delete val="0"/>
        <c:axPos val="b"/>
        <c:majorGridlines>
          <c:spPr>
            <a:ln w="9525" cap="flat" cmpd="sng" algn="ctr">
              <a:solidFill>
                <a:schemeClr val="tx1">
                  <a:lumMod val="75000"/>
                  <a:lumOff val="25000"/>
                </a:schemeClr>
              </a:solidFill>
              <a:prstDash val="dash"/>
              <a:round/>
            </a:ln>
            <a:effectLst/>
          </c:spPr>
        </c:majorGridlines>
        <c:majorTickMark val="none"/>
        <c:minorTickMark val="none"/>
        <c:tickLblPos val="low"/>
        <c:spPr>
          <a:noFill/>
          <a:ln w="12700" cap="flat" cmpd="sng" algn="ctr">
            <a:solidFill>
              <a:sysClr val="windowText" lastClr="000000"/>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6645279"/>
        <c:crosses val="autoZero"/>
        <c:auto val="1"/>
        <c:lblAlgn val="ctr"/>
        <c:lblOffset val="100"/>
        <c:tickLblSkip val="25"/>
        <c:tickMarkSkip val="25"/>
        <c:noMultiLvlLbl val="0"/>
      </c:catAx>
      <c:valAx>
        <c:axId val="146645279"/>
        <c:scaling>
          <c:orientation val="minMax"/>
          <c:max val="20"/>
          <c:min val="-10"/>
        </c:scaling>
        <c:delete val="0"/>
        <c:axPos val="r"/>
        <c:majorGridlines>
          <c:spPr>
            <a:ln w="9525" cap="flat" cmpd="sng" algn="ctr">
              <a:solidFill>
                <a:schemeClr val="tx1">
                  <a:lumMod val="75000"/>
                  <a:lumOff val="25000"/>
                </a:schemeClr>
              </a:solidFill>
              <a:prstDash val="dash"/>
              <a:round/>
            </a:ln>
            <a:effectLst/>
          </c:spPr>
        </c:majorGridlines>
        <c:numFmt formatCode="0" sourceLinked="0"/>
        <c:majorTickMark val="none"/>
        <c:minorTickMark val="none"/>
        <c:tickLblPos val="high"/>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7683023"/>
        <c:crosses val="max"/>
        <c:crossBetween val="between"/>
      </c:valAx>
      <c:spPr>
        <a:solidFill>
          <a:schemeClr val="tx1">
            <a:lumMod val="65000"/>
            <a:lumOff val="35000"/>
          </a:schemeClr>
        </a:solidFill>
        <a:ln>
          <a:solidFill>
            <a:sysClr val="windowText" lastClr="000000"/>
          </a:solidFill>
        </a:ln>
        <a:effectLst/>
      </c:spPr>
    </c:plotArea>
    <c:legend>
      <c:legendPos val="t"/>
      <c:layout>
        <c:manualLayout>
          <c:xMode val="edge"/>
          <c:yMode val="edge"/>
          <c:x val="0.39634286005511454"/>
          <c:y val="1.2316999395039325E-2"/>
          <c:w val="0.57612618810998151"/>
          <c:h val="4.9614968727820091E-2"/>
        </c:manualLayout>
      </c:layout>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legend>
    <c:plotVisOnly val="0"/>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accent3">
                    <a:lumMod val="75000"/>
                  </a:schemeClr>
                </a:solidFill>
                <a:latin typeface="+mn-lt"/>
                <a:ea typeface="+mn-ea"/>
                <a:cs typeface="+mn-cs"/>
              </a:defRPr>
            </a:pPr>
            <a:r>
              <a:rPr lang="en-US" sz="2000" b="1">
                <a:solidFill>
                  <a:schemeClr val="accent3">
                    <a:lumMod val="75000"/>
                  </a:schemeClr>
                </a:solidFill>
              </a:rPr>
              <a:t>The Three Tiers (XLI)</a:t>
            </a:r>
          </a:p>
        </c:rich>
      </c:tx>
      <c:layout>
        <c:manualLayout>
          <c:xMode val="edge"/>
          <c:yMode val="edge"/>
          <c:x val="2.8694404591104734E-2"/>
          <c:y val="2.4198427102238356E-3"/>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accent3">
                  <a:lumMod val="75000"/>
                </a:schemeClr>
              </a:solidFill>
              <a:latin typeface="+mn-lt"/>
              <a:ea typeface="+mn-ea"/>
              <a:cs typeface="+mn-cs"/>
            </a:defRPr>
          </a:pPr>
          <a:endParaRPr lang="en-US"/>
        </a:p>
      </c:txPr>
    </c:title>
    <c:autoTitleDeleted val="0"/>
    <c:plotArea>
      <c:layout>
        <c:manualLayout>
          <c:layoutTarget val="inner"/>
          <c:xMode val="edge"/>
          <c:yMode val="edge"/>
          <c:x val="1.0171058714748035E-2"/>
          <c:y val="7.7350558040499021E-2"/>
          <c:w val="0.95283482768537431"/>
          <c:h val="0.86018548951798435"/>
        </c:manualLayout>
      </c:layout>
      <c:lineChart>
        <c:grouping val="standard"/>
        <c:varyColors val="0"/>
        <c:ser>
          <c:idx val="0"/>
          <c:order val="0"/>
          <c:tx>
            <c:v>Up</c:v>
          </c:tx>
          <c:spPr>
            <a:ln w="28575" cap="rnd">
              <a:solidFill>
                <a:schemeClr val="accent6">
                  <a:lumMod val="75000"/>
                </a:schemeClr>
              </a:solidFill>
              <a:prstDash val="solid"/>
              <a:round/>
            </a:ln>
            <a:effectLst/>
          </c:spPr>
          <c:marker>
            <c:symbol val="none"/>
          </c:marker>
          <c:val>
            <c:numRef>
              <c:f>'2025-Q2'!$DZ$4:$DZ$422</c:f>
              <c:numCache>
                <c:formatCode>0.00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-1.4611133068588897</c:v>
                </c:pt>
                <c:pt idx="48">
                  <c:v>-1.4611133068588897</c:v>
                </c:pt>
                <c:pt idx="49">
                  <c:v>-1.4611133068588897</c:v>
                </c:pt>
                <c:pt idx="50">
                  <c:v>-1.4611133068588897</c:v>
                </c:pt>
                <c:pt idx="51">
                  <c:v>-1.4611133068588897</c:v>
                </c:pt>
                <c:pt idx="52">
                  <c:v>-1.4611133068588897</c:v>
                </c:pt>
                <c:pt idx="53">
                  <c:v>-1.4611133068588897</c:v>
                </c:pt>
                <c:pt idx="54">
                  <c:v>-1.4611133068588897</c:v>
                </c:pt>
                <c:pt idx="55">
                  <c:v>-1.4611133068588897</c:v>
                </c:pt>
                <c:pt idx="56">
                  <c:v>-1.4611133068588897</c:v>
                </c:pt>
                <c:pt idx="57">
                  <c:v>-1.4611133068588897</c:v>
                </c:pt>
                <c:pt idx="58">
                  <c:v>-1.4611133068588897</c:v>
                </c:pt>
                <c:pt idx="59">
                  <c:v>-1.4611133068588897</c:v>
                </c:pt>
                <c:pt idx="60">
                  <c:v>-1.4611133068588897</c:v>
                </c:pt>
                <c:pt idx="61">
                  <c:v>-1.4611133068588897</c:v>
                </c:pt>
                <c:pt idx="62">
                  <c:v>-1.4611133068588897</c:v>
                </c:pt>
                <c:pt idx="63">
                  <c:v>-1.4611133068588897</c:v>
                </c:pt>
                <c:pt idx="64">
                  <c:v>-1.4611133068588897</c:v>
                </c:pt>
                <c:pt idx="65">
                  <c:v>-1.4611133068588897</c:v>
                </c:pt>
                <c:pt idx="66">
                  <c:v>-1.4611133068588897</c:v>
                </c:pt>
                <c:pt idx="67">
                  <c:v>-1.4611133068588897</c:v>
                </c:pt>
                <c:pt idx="68">
                  <c:v>-1.4611133068588897</c:v>
                </c:pt>
                <c:pt idx="69">
                  <c:v>-1.4611133068588897</c:v>
                </c:pt>
                <c:pt idx="70">
                  <c:v>-1.4611133068588897</c:v>
                </c:pt>
                <c:pt idx="71">
                  <c:v>-1.4611133068588897</c:v>
                </c:pt>
                <c:pt idx="72">
                  <c:v>-1.4611133068588897</c:v>
                </c:pt>
                <c:pt idx="73">
                  <c:v>-1.4611133068588897</c:v>
                </c:pt>
                <c:pt idx="74">
                  <c:v>-1.4611133068588897</c:v>
                </c:pt>
                <c:pt idx="75">
                  <c:v>-1.4611133068588897</c:v>
                </c:pt>
                <c:pt idx="76">
                  <c:v>-1.4611133068588897</c:v>
                </c:pt>
                <c:pt idx="77">
                  <c:v>-1.4611133068588897</c:v>
                </c:pt>
                <c:pt idx="78">
                  <c:v>-1.4611133068588897</c:v>
                </c:pt>
                <c:pt idx="79">
                  <c:v>-1.4611133068588897</c:v>
                </c:pt>
                <c:pt idx="80">
                  <c:v>-1.4611133068588897</c:v>
                </c:pt>
                <c:pt idx="81">
                  <c:v>-1.4611133068588897</c:v>
                </c:pt>
                <c:pt idx="82">
                  <c:v>-1.4611133068588897</c:v>
                </c:pt>
                <c:pt idx="83">
                  <c:v>-1.4611133068588897</c:v>
                </c:pt>
                <c:pt idx="84">
                  <c:v>-1.4611133068588897</c:v>
                </c:pt>
                <c:pt idx="85">
                  <c:v>-1.4611133068588897</c:v>
                </c:pt>
                <c:pt idx="86">
                  <c:v>-1.4611133068588897</c:v>
                </c:pt>
                <c:pt idx="87">
                  <c:v>-1.4611133068588897</c:v>
                </c:pt>
                <c:pt idx="88">
                  <c:v>-1.4611133068588897</c:v>
                </c:pt>
                <c:pt idx="89">
                  <c:v>-1.4611133068588897</c:v>
                </c:pt>
                <c:pt idx="90">
                  <c:v>-1.4611133068588897</c:v>
                </c:pt>
                <c:pt idx="91">
                  <c:v>-1.4611133068588897</c:v>
                </c:pt>
                <c:pt idx="92">
                  <c:v>-1.4611133068588897</c:v>
                </c:pt>
                <c:pt idx="93">
                  <c:v>-1.4611133068588897</c:v>
                </c:pt>
                <c:pt idx="94">
                  <c:v>-1.4611133068588897</c:v>
                </c:pt>
                <c:pt idx="95">
                  <c:v>-1.4611133068588897</c:v>
                </c:pt>
                <c:pt idx="96">
                  <c:v>-1.4611133068588897</c:v>
                </c:pt>
                <c:pt idx="97">
                  <c:v>-1.4611133068588897</c:v>
                </c:pt>
                <c:pt idx="98">
                  <c:v>-1.4611133068588897</c:v>
                </c:pt>
                <c:pt idx="99">
                  <c:v>-1.4611133068588897</c:v>
                </c:pt>
                <c:pt idx="100">
                  <c:v>-1.4611133068588897</c:v>
                </c:pt>
                <c:pt idx="101">
                  <c:v>-1.4611133068588897</c:v>
                </c:pt>
                <c:pt idx="102">
                  <c:v>-1.4611133068588897</c:v>
                </c:pt>
                <c:pt idx="103">
                  <c:v>-1.4611133068588897</c:v>
                </c:pt>
                <c:pt idx="104">
                  <c:v>-1.4611133068588897</c:v>
                </c:pt>
                <c:pt idx="105">
                  <c:v>-1.4611133068588897</c:v>
                </c:pt>
                <c:pt idx="106">
                  <c:v>-1.2652059025281583</c:v>
                </c:pt>
                <c:pt idx="107">
                  <c:v>-1.2652059025281583</c:v>
                </c:pt>
                <c:pt idx="108">
                  <c:v>-1.2652059025281583</c:v>
                </c:pt>
                <c:pt idx="109">
                  <c:v>-1.2652059025281583</c:v>
                </c:pt>
                <c:pt idx="110">
                  <c:v>-1.2652059025281583</c:v>
                </c:pt>
                <c:pt idx="111">
                  <c:v>-1.2652059025281583</c:v>
                </c:pt>
                <c:pt idx="112">
                  <c:v>-1.2652059025281583</c:v>
                </c:pt>
                <c:pt idx="113">
                  <c:v>-1.2652059025281583</c:v>
                </c:pt>
                <c:pt idx="114">
                  <c:v>-1.2652059025281583</c:v>
                </c:pt>
                <c:pt idx="115">
                  <c:v>-1.2652059025281583</c:v>
                </c:pt>
                <c:pt idx="116">
                  <c:v>-1.2652059025281583</c:v>
                </c:pt>
                <c:pt idx="117">
                  <c:v>-1.2652059025281583</c:v>
                </c:pt>
                <c:pt idx="118">
                  <c:v>-1.2652059025281583</c:v>
                </c:pt>
                <c:pt idx="119">
                  <c:v>-1.2652059025281583</c:v>
                </c:pt>
                <c:pt idx="120">
                  <c:v>-1.2652059025281583</c:v>
                </c:pt>
                <c:pt idx="121">
                  <c:v>-1.63480022183437</c:v>
                </c:pt>
                <c:pt idx="122">
                  <c:v>-1.63480022183437</c:v>
                </c:pt>
                <c:pt idx="123">
                  <c:v>-1.63480022183437</c:v>
                </c:pt>
                <c:pt idx="124">
                  <c:v>-1.63480022183437</c:v>
                </c:pt>
                <c:pt idx="125">
                  <c:v>-1.63480022183437</c:v>
                </c:pt>
                <c:pt idx="126">
                  <c:v>-1.63480022183437</c:v>
                </c:pt>
                <c:pt idx="127">
                  <c:v>-1.63480022183437</c:v>
                </c:pt>
                <c:pt idx="128">
                  <c:v>-1.63480022183437</c:v>
                </c:pt>
                <c:pt idx="129">
                  <c:v>-1.63480022183437</c:v>
                </c:pt>
                <c:pt idx="130">
                  <c:v>-1.63480022183437</c:v>
                </c:pt>
                <c:pt idx="131">
                  <c:v>-1.63480022183437</c:v>
                </c:pt>
                <c:pt idx="132">
                  <c:v>-1.63480022183437</c:v>
                </c:pt>
                <c:pt idx="133">
                  <c:v>-1.63480022183437</c:v>
                </c:pt>
                <c:pt idx="134">
                  <c:v>-1.63480022183437</c:v>
                </c:pt>
                <c:pt idx="135">
                  <c:v>-1.63480022183437</c:v>
                </c:pt>
                <c:pt idx="136">
                  <c:v>-1.63480022183437</c:v>
                </c:pt>
                <c:pt idx="137">
                  <c:v>-1.63480022183437</c:v>
                </c:pt>
                <c:pt idx="138">
                  <c:v>-1.63480022183437</c:v>
                </c:pt>
                <c:pt idx="139">
                  <c:v>-1.63480022183437</c:v>
                </c:pt>
                <c:pt idx="140">
                  <c:v>-1.63480022183437</c:v>
                </c:pt>
                <c:pt idx="141">
                  <c:v>-1.63480022183437</c:v>
                </c:pt>
                <c:pt idx="142">
                  <c:v>-1.63480022183437</c:v>
                </c:pt>
                <c:pt idx="143">
                  <c:v>-1.63480022183437</c:v>
                </c:pt>
                <c:pt idx="144">
                  <c:v>-1.63480022183437</c:v>
                </c:pt>
                <c:pt idx="145">
                  <c:v>-1.63480022183437</c:v>
                </c:pt>
                <c:pt idx="146">
                  <c:v>-1.63480022183437</c:v>
                </c:pt>
                <c:pt idx="147">
                  <c:v>-1.63480022183437</c:v>
                </c:pt>
                <c:pt idx="148">
                  <c:v>-1.63480022183437</c:v>
                </c:pt>
                <c:pt idx="149">
                  <c:v>-1.63480022183437</c:v>
                </c:pt>
                <c:pt idx="150">
                  <c:v>-1.63480022183437</c:v>
                </c:pt>
                <c:pt idx="151">
                  <c:v>-1.63480022183437</c:v>
                </c:pt>
                <c:pt idx="152">
                  <c:v>-1.63480022183437</c:v>
                </c:pt>
                <c:pt idx="153">
                  <c:v>-1.63480022183437</c:v>
                </c:pt>
                <c:pt idx="154">
                  <c:v>-1.63480022183437</c:v>
                </c:pt>
                <c:pt idx="155">
                  <c:v>-1.63480022183437</c:v>
                </c:pt>
                <c:pt idx="156">
                  <c:v>-1.63480022183437</c:v>
                </c:pt>
                <c:pt idx="157">
                  <c:v>-1.63480022183437</c:v>
                </c:pt>
                <c:pt idx="158">
                  <c:v>-1.63480022183437</c:v>
                </c:pt>
                <c:pt idx="159">
                  <c:v>-1.63480022183437</c:v>
                </c:pt>
                <c:pt idx="160">
                  <c:v>-1.63480022183437</c:v>
                </c:pt>
                <c:pt idx="161">
                  <c:v>-1.63480022183437</c:v>
                </c:pt>
                <c:pt idx="162">
                  <c:v>-1.63480022183437</c:v>
                </c:pt>
                <c:pt idx="163">
                  <c:v>-1.63480022183437</c:v>
                </c:pt>
                <c:pt idx="164">
                  <c:v>-1.63480022183437</c:v>
                </c:pt>
                <c:pt idx="165">
                  <c:v>-1.63480022183437</c:v>
                </c:pt>
                <c:pt idx="166">
                  <c:v>-1.63480022183437</c:v>
                </c:pt>
                <c:pt idx="167">
                  <c:v>-1.63480022183437</c:v>
                </c:pt>
                <c:pt idx="168">
                  <c:v>-1.63480022183437</c:v>
                </c:pt>
                <c:pt idx="169">
                  <c:v>-1.63480022183437</c:v>
                </c:pt>
                <c:pt idx="170">
                  <c:v>-1.63480022183437</c:v>
                </c:pt>
                <c:pt idx="171">
                  <c:v>-1.63480022183437</c:v>
                </c:pt>
                <c:pt idx="172">
                  <c:v>-1.63480022183437</c:v>
                </c:pt>
                <c:pt idx="173">
                  <c:v>-1.63480022183437</c:v>
                </c:pt>
                <c:pt idx="174">
                  <c:v>-1.63480022183437</c:v>
                </c:pt>
                <c:pt idx="175">
                  <c:v>-1.63480022183437</c:v>
                </c:pt>
                <c:pt idx="176">
                  <c:v>-1.63480022183437</c:v>
                </c:pt>
                <c:pt idx="177">
                  <c:v>-1.63480022183437</c:v>
                </c:pt>
                <c:pt idx="178">
                  <c:v>-1.63480022183437</c:v>
                </c:pt>
                <c:pt idx="179">
                  <c:v>-1.63480022183437</c:v>
                </c:pt>
                <c:pt idx="180">
                  <c:v>-1.63480022183437</c:v>
                </c:pt>
                <c:pt idx="181">
                  <c:v>-1.63480022183437</c:v>
                </c:pt>
                <c:pt idx="182">
                  <c:v>-1.63480022183437</c:v>
                </c:pt>
                <c:pt idx="183">
                  <c:v>-1.63480022183437</c:v>
                </c:pt>
                <c:pt idx="184">
                  <c:v>-1.63480022183437</c:v>
                </c:pt>
                <c:pt idx="185">
                  <c:v>-1.63480022183437</c:v>
                </c:pt>
                <c:pt idx="186">
                  <c:v>-1.63480022183437</c:v>
                </c:pt>
                <c:pt idx="187">
                  <c:v>-1.63480022183437</c:v>
                </c:pt>
                <c:pt idx="188">
                  <c:v>-1.63480022183437</c:v>
                </c:pt>
                <c:pt idx="189">
                  <c:v>-1.63480022183437</c:v>
                </c:pt>
                <c:pt idx="190">
                  <c:v>-1.63480022183437</c:v>
                </c:pt>
                <c:pt idx="191">
                  <c:v>-1.63480022183437</c:v>
                </c:pt>
                <c:pt idx="192">
                  <c:v>-1.63480022183437</c:v>
                </c:pt>
                <c:pt idx="193">
                  <c:v>-1.63480022183437</c:v>
                </c:pt>
                <c:pt idx="194">
                  <c:v>-1.63480022183437</c:v>
                </c:pt>
                <c:pt idx="195">
                  <c:v>-1.63480022183437</c:v>
                </c:pt>
                <c:pt idx="196">
                  <c:v>-1.63480022183437</c:v>
                </c:pt>
                <c:pt idx="197">
                  <c:v>-1.63480022183437</c:v>
                </c:pt>
                <c:pt idx="198">
                  <c:v>-1.63480022183437</c:v>
                </c:pt>
                <c:pt idx="199">
                  <c:v>-1.63480022183437</c:v>
                </c:pt>
                <c:pt idx="200">
                  <c:v>-1.63480022183437</c:v>
                </c:pt>
                <c:pt idx="201">
                  <c:v>-1.63480022183437</c:v>
                </c:pt>
                <c:pt idx="202">
                  <c:v>-1.63480022183437</c:v>
                </c:pt>
                <c:pt idx="203">
                  <c:v>-1.63480022183437</c:v>
                </c:pt>
                <c:pt idx="204">
                  <c:v>-1.63480022183437</c:v>
                </c:pt>
                <c:pt idx="205">
                  <c:v>-1.63480022183437</c:v>
                </c:pt>
                <c:pt idx="206">
                  <c:v>-1.63480022183437</c:v>
                </c:pt>
                <c:pt idx="207">
                  <c:v>-1.63480022183437</c:v>
                </c:pt>
                <c:pt idx="208">
                  <c:v>-1.63480022183437</c:v>
                </c:pt>
                <c:pt idx="209">
                  <c:v>-1.63480022183437</c:v>
                </c:pt>
                <c:pt idx="210">
                  <c:v>-1.63480022183437</c:v>
                </c:pt>
                <c:pt idx="211">
                  <c:v>-1.63480022183437</c:v>
                </c:pt>
                <c:pt idx="212">
                  <c:v>-1.63480022183437</c:v>
                </c:pt>
                <c:pt idx="213">
                  <c:v>-1.63480022183437</c:v>
                </c:pt>
                <c:pt idx="214">
                  <c:v>-1.63480022183437</c:v>
                </c:pt>
                <c:pt idx="215">
                  <c:v>-1.63480022183437</c:v>
                </c:pt>
                <c:pt idx="216">
                  <c:v>-1.63480022183437</c:v>
                </c:pt>
                <c:pt idx="217">
                  <c:v>-0.68709251990528031</c:v>
                </c:pt>
                <c:pt idx="218">
                  <c:v>-0.68709251990528031</c:v>
                </c:pt>
                <c:pt idx="219">
                  <c:v>-0.68709251990528031</c:v>
                </c:pt>
                <c:pt idx="220">
                  <c:v>-0.68709251990528031</c:v>
                </c:pt>
                <c:pt idx="221">
                  <c:v>-0.68709251990528031</c:v>
                </c:pt>
                <c:pt idx="222">
                  <c:v>-0.68709251990528031</c:v>
                </c:pt>
                <c:pt idx="223">
                  <c:v>-1.0460034109943892</c:v>
                </c:pt>
                <c:pt idx="224">
                  <c:v>-1.0460034109943892</c:v>
                </c:pt>
                <c:pt idx="225">
                  <c:v>-1.0460034109943892</c:v>
                </c:pt>
                <c:pt idx="226">
                  <c:v>-1.0460034109943892</c:v>
                </c:pt>
                <c:pt idx="227">
                  <c:v>-1.0460034109943892</c:v>
                </c:pt>
                <c:pt idx="228">
                  <c:v>-1.0460034109943892</c:v>
                </c:pt>
                <c:pt idx="229">
                  <c:v>-1.0460034109943892</c:v>
                </c:pt>
                <c:pt idx="230">
                  <c:v>-1.0460034109943892</c:v>
                </c:pt>
                <c:pt idx="231">
                  <c:v>-1.0460034109943892</c:v>
                </c:pt>
                <c:pt idx="232">
                  <c:v>-1.0460034109943892</c:v>
                </c:pt>
                <c:pt idx="233">
                  <c:v>-1.0460034109943892</c:v>
                </c:pt>
                <c:pt idx="234">
                  <c:v>-1.0460034109943892</c:v>
                </c:pt>
                <c:pt idx="235">
                  <c:v>-1.0460034109943892</c:v>
                </c:pt>
                <c:pt idx="236">
                  <c:v>-1.0460034109943892</c:v>
                </c:pt>
                <c:pt idx="237">
                  <c:v>-1.0460034109943892</c:v>
                </c:pt>
                <c:pt idx="238">
                  <c:v>-1.0460034109943892</c:v>
                </c:pt>
                <c:pt idx="239">
                  <c:v>-1.0460034109943892</c:v>
                </c:pt>
                <c:pt idx="240">
                  <c:v>-1.0460034109943892</c:v>
                </c:pt>
                <c:pt idx="241">
                  <c:v>-1.0460034109943892</c:v>
                </c:pt>
                <c:pt idx="242">
                  <c:v>-1.0460034109943892</c:v>
                </c:pt>
                <c:pt idx="243">
                  <c:v>-1.0460034109943892</c:v>
                </c:pt>
                <c:pt idx="244">
                  <c:v>-1.0460034109943892</c:v>
                </c:pt>
                <c:pt idx="245">
                  <c:v>-1.0460034109943892</c:v>
                </c:pt>
                <c:pt idx="246">
                  <c:v>-1.0460034109943892</c:v>
                </c:pt>
                <c:pt idx="247">
                  <c:v>-1.0460034109943892</c:v>
                </c:pt>
                <c:pt idx="248">
                  <c:v>-1.0460034109943892</c:v>
                </c:pt>
                <c:pt idx="249">
                  <c:v>-1.0460034109943892</c:v>
                </c:pt>
                <c:pt idx="250">
                  <c:v>-1.0460034109943892</c:v>
                </c:pt>
                <c:pt idx="251">
                  <c:v>-1.0460034109943892</c:v>
                </c:pt>
                <c:pt idx="252">
                  <c:v>-1.0460034109943892</c:v>
                </c:pt>
                <c:pt idx="253">
                  <c:v>-1.0460034109943892</c:v>
                </c:pt>
                <c:pt idx="254">
                  <c:v>-1.0460034109943892</c:v>
                </c:pt>
                <c:pt idx="255">
                  <c:v>-1.0460034109943892</c:v>
                </c:pt>
                <c:pt idx="256">
                  <c:v>-1.0460034109943892</c:v>
                </c:pt>
                <c:pt idx="257">
                  <c:v>-1.0460034109943892</c:v>
                </c:pt>
                <c:pt idx="258">
                  <c:v>-1.0460034109943892</c:v>
                </c:pt>
                <c:pt idx="259">
                  <c:v>-1.0460034109943892</c:v>
                </c:pt>
                <c:pt idx="260">
                  <c:v>-1.0460034109943892</c:v>
                </c:pt>
                <c:pt idx="261">
                  <c:v>-1.0460034109943892</c:v>
                </c:pt>
                <c:pt idx="262">
                  <c:v>-1.0460034109943892</c:v>
                </c:pt>
                <c:pt idx="263">
                  <c:v>-1.0460034109943892</c:v>
                </c:pt>
                <c:pt idx="264">
                  <c:v>-1.0460034109943892</c:v>
                </c:pt>
                <c:pt idx="265">
                  <c:v>-1.0460034109943892</c:v>
                </c:pt>
                <c:pt idx="266">
                  <c:v>-1.0460034109943892</c:v>
                </c:pt>
                <c:pt idx="267">
                  <c:v>-1.0460034109943892</c:v>
                </c:pt>
                <c:pt idx="268">
                  <c:v>-1.0460034109943892</c:v>
                </c:pt>
                <c:pt idx="269">
                  <c:v>-1.0460034109943892</c:v>
                </c:pt>
                <c:pt idx="270">
                  <c:v>-1.0460034109943892</c:v>
                </c:pt>
                <c:pt idx="271">
                  <c:v>-1.0460034109943892</c:v>
                </c:pt>
                <c:pt idx="272">
                  <c:v>-1.0460034109943892</c:v>
                </c:pt>
                <c:pt idx="273">
                  <c:v>-1.0460034109943892</c:v>
                </c:pt>
                <c:pt idx="274">
                  <c:v>-1.0460034109943892</c:v>
                </c:pt>
                <c:pt idx="275">
                  <c:v>-1.0460034109943892</c:v>
                </c:pt>
                <c:pt idx="276">
                  <c:v>-1.0460034109943892</c:v>
                </c:pt>
                <c:pt idx="277">
                  <c:v>-1.0460034109943892</c:v>
                </c:pt>
                <c:pt idx="278">
                  <c:v>-1.0460034109943892</c:v>
                </c:pt>
                <c:pt idx="279">
                  <c:v>-1.0460034109943892</c:v>
                </c:pt>
                <c:pt idx="280">
                  <c:v>-1.0460034109943892</c:v>
                </c:pt>
                <c:pt idx="281">
                  <c:v>-1.0460034109943892</c:v>
                </c:pt>
                <c:pt idx="282">
                  <c:v>-1.0460034109943892</c:v>
                </c:pt>
                <c:pt idx="283">
                  <c:v>-1.0460034109943892</c:v>
                </c:pt>
                <c:pt idx="284">
                  <c:v>-1.0460034109943892</c:v>
                </c:pt>
                <c:pt idx="285">
                  <c:v>-1.0460034109943892</c:v>
                </c:pt>
                <c:pt idx="286">
                  <c:v>-1.0460034109943892</c:v>
                </c:pt>
                <c:pt idx="287">
                  <c:v>-1.0460034109943892</c:v>
                </c:pt>
                <c:pt idx="288">
                  <c:v>-1.0460034109943892</c:v>
                </c:pt>
                <c:pt idx="289">
                  <c:v>-1.0460034109943892</c:v>
                </c:pt>
                <c:pt idx="290">
                  <c:v>-1.1041800427550772</c:v>
                </c:pt>
                <c:pt idx="291">
                  <c:v>-1.1041800427550772</c:v>
                </c:pt>
                <c:pt idx="292">
                  <c:v>-1.1041800427550772</c:v>
                </c:pt>
                <c:pt idx="293">
                  <c:v>-1.1041800427550772</c:v>
                </c:pt>
                <c:pt idx="294">
                  <c:v>-1.1041800427550772</c:v>
                </c:pt>
                <c:pt idx="295">
                  <c:v>-1.6284722482776204</c:v>
                </c:pt>
                <c:pt idx="296">
                  <c:v>-1.6284722482776204</c:v>
                </c:pt>
                <c:pt idx="297">
                  <c:v>-1.6284722482776204</c:v>
                </c:pt>
                <c:pt idx="298">
                  <c:v>-1.6284722482776204</c:v>
                </c:pt>
                <c:pt idx="299">
                  <c:v>-1.6284722482776204</c:v>
                </c:pt>
                <c:pt idx="300">
                  <c:v>-1.6284722482776204</c:v>
                </c:pt>
                <c:pt idx="301">
                  <c:v>-1.6284722482776204</c:v>
                </c:pt>
                <c:pt idx="302">
                  <c:v>-1.6284722482776204</c:v>
                </c:pt>
                <c:pt idx="303">
                  <c:v>-1.6284722482776204</c:v>
                </c:pt>
                <c:pt idx="304">
                  <c:v>-1.6284722482776204</c:v>
                </c:pt>
                <c:pt idx="305">
                  <c:v>-1.6284722482776204</c:v>
                </c:pt>
                <c:pt idx="306">
                  <c:v>-1.6284722482776204</c:v>
                </c:pt>
                <c:pt idx="307">
                  <c:v>-1.6284722482776204</c:v>
                </c:pt>
                <c:pt idx="308">
                  <c:v>-1.6284722482776204</c:v>
                </c:pt>
                <c:pt idx="309">
                  <c:v>-1.6284722482776204</c:v>
                </c:pt>
                <c:pt idx="310">
                  <c:v>-1.6284722482776204</c:v>
                </c:pt>
                <c:pt idx="311">
                  <c:v>-1.6284722482776204</c:v>
                </c:pt>
                <c:pt idx="312">
                  <c:v>-1.6284722482776204</c:v>
                </c:pt>
                <c:pt idx="313">
                  <c:v>-1.6284722482776204</c:v>
                </c:pt>
                <c:pt idx="314">
                  <c:v>-1.6284722482776204</c:v>
                </c:pt>
                <c:pt idx="315">
                  <c:v>-1.6284722482776204</c:v>
                </c:pt>
                <c:pt idx="316">
                  <c:v>-1.6284722482776204</c:v>
                </c:pt>
                <c:pt idx="317">
                  <c:v>-1.6284722482776204</c:v>
                </c:pt>
                <c:pt idx="318">
                  <c:v>-1.6284722482776204</c:v>
                </c:pt>
                <c:pt idx="319">
                  <c:v>-1.6284722482776204</c:v>
                </c:pt>
                <c:pt idx="320">
                  <c:v>-1.6284722482776204</c:v>
                </c:pt>
                <c:pt idx="321">
                  <c:v>-1.6284722482776204</c:v>
                </c:pt>
                <c:pt idx="322">
                  <c:v>-1.6284722482776204</c:v>
                </c:pt>
                <c:pt idx="323">
                  <c:v>-1.6284722482776204</c:v>
                </c:pt>
                <c:pt idx="324">
                  <c:v>-1.6284722482776204</c:v>
                </c:pt>
                <c:pt idx="325">
                  <c:v>-1.6284722482776204</c:v>
                </c:pt>
                <c:pt idx="326">
                  <c:v>-1.6284722482776204</c:v>
                </c:pt>
                <c:pt idx="327">
                  <c:v>-1.6284722482776204</c:v>
                </c:pt>
                <c:pt idx="328">
                  <c:v>-1.6284722482776204</c:v>
                </c:pt>
                <c:pt idx="329">
                  <c:v>-1.6284722482776204</c:v>
                </c:pt>
                <c:pt idx="330">
                  <c:v>-1.6284722482776204</c:v>
                </c:pt>
                <c:pt idx="331">
                  <c:v>-1.6284722482776204</c:v>
                </c:pt>
                <c:pt idx="332">
                  <c:v>-1.6284722482776204</c:v>
                </c:pt>
                <c:pt idx="333">
                  <c:v>-1.6284722482776204</c:v>
                </c:pt>
                <c:pt idx="334">
                  <c:v>-1.4146842415208627</c:v>
                </c:pt>
                <c:pt idx="335">
                  <c:v>-1.4146842415208627</c:v>
                </c:pt>
                <c:pt idx="336">
                  <c:v>-1.4146842415208627</c:v>
                </c:pt>
                <c:pt idx="337">
                  <c:v>-1.4146842415208627</c:v>
                </c:pt>
                <c:pt idx="338">
                  <c:v>-1.4146842415208627</c:v>
                </c:pt>
                <c:pt idx="339">
                  <c:v>-1.4146842415208627</c:v>
                </c:pt>
                <c:pt idx="340">
                  <c:v>-1.4146842415208627</c:v>
                </c:pt>
                <c:pt idx="341">
                  <c:v>-1.4146842415208627</c:v>
                </c:pt>
                <c:pt idx="342">
                  <c:v>-1.4146842415208627</c:v>
                </c:pt>
                <c:pt idx="343">
                  <c:v>-1.4146842415208627</c:v>
                </c:pt>
                <c:pt idx="344">
                  <c:v>-1.4146842415208627</c:v>
                </c:pt>
                <c:pt idx="345">
                  <c:v>-1.4146842415208627</c:v>
                </c:pt>
                <c:pt idx="346">
                  <c:v>-1.4146842415208627</c:v>
                </c:pt>
                <c:pt idx="347">
                  <c:v>-1.4146842415208627</c:v>
                </c:pt>
                <c:pt idx="348">
                  <c:v>-1.4146842415208627</c:v>
                </c:pt>
                <c:pt idx="349">
                  <c:v>-1.4146842415208627</c:v>
                </c:pt>
                <c:pt idx="350">
                  <c:v>-1.4146842415208627</c:v>
                </c:pt>
                <c:pt idx="351">
                  <c:v>-1.4146842415208627</c:v>
                </c:pt>
                <c:pt idx="352">
                  <c:v>-1.4146842415208627</c:v>
                </c:pt>
                <c:pt idx="353">
                  <c:v>-1.4146842415208627</c:v>
                </c:pt>
                <c:pt idx="354">
                  <c:v>-1.4146842415208627</c:v>
                </c:pt>
                <c:pt idx="355">
                  <c:v>-1.4146842415208627</c:v>
                </c:pt>
                <c:pt idx="356">
                  <c:v>-1.4146842415208627</c:v>
                </c:pt>
                <c:pt idx="357">
                  <c:v>-1.4146842415208627</c:v>
                </c:pt>
                <c:pt idx="358">
                  <c:v>-1.4146842415208627</c:v>
                </c:pt>
                <c:pt idx="359">
                  <c:v>-1.4146842415208627</c:v>
                </c:pt>
                <c:pt idx="360">
                  <c:v>-1.4146842415208627</c:v>
                </c:pt>
                <c:pt idx="361">
                  <c:v>-1.4146842415208627</c:v>
                </c:pt>
                <c:pt idx="362">
                  <c:v>-1.4146842415208627</c:v>
                </c:pt>
                <c:pt idx="363">
                  <c:v>-1.4146842415208627</c:v>
                </c:pt>
                <c:pt idx="364">
                  <c:v>-1.4146842415208627</c:v>
                </c:pt>
                <c:pt idx="365">
                  <c:v>-1.4146842415208627</c:v>
                </c:pt>
                <c:pt idx="366">
                  <c:v>-1.4146842415208627</c:v>
                </c:pt>
                <c:pt idx="367">
                  <c:v>-1.4146842415208627</c:v>
                </c:pt>
                <c:pt idx="368">
                  <c:v>-1.4146842415208627</c:v>
                </c:pt>
                <c:pt idx="369">
                  <c:v>-1.4146842415208627</c:v>
                </c:pt>
                <c:pt idx="370">
                  <c:v>-1.4146842415208627</c:v>
                </c:pt>
                <c:pt idx="371">
                  <c:v>-1.4146842415208627</c:v>
                </c:pt>
                <c:pt idx="372">
                  <c:v>-1.4146842415208627</c:v>
                </c:pt>
                <c:pt idx="373">
                  <c:v>-1.4146842415208627</c:v>
                </c:pt>
                <c:pt idx="374">
                  <c:v>-1.4146842415208627</c:v>
                </c:pt>
                <c:pt idx="375">
                  <c:v>-1.4146842415208627</c:v>
                </c:pt>
                <c:pt idx="376">
                  <c:v>-1.4146842415208627</c:v>
                </c:pt>
                <c:pt idx="377">
                  <c:v>-1.4146842415208627</c:v>
                </c:pt>
                <c:pt idx="378">
                  <c:v>-1.4146842415208627</c:v>
                </c:pt>
                <c:pt idx="379">
                  <c:v>-1.4146842415208627</c:v>
                </c:pt>
                <c:pt idx="380">
                  <c:v>-1.4146842415208627</c:v>
                </c:pt>
                <c:pt idx="381">
                  <c:v>-1.4146842415208627</c:v>
                </c:pt>
                <c:pt idx="382">
                  <c:v>-1.4146842415208627</c:v>
                </c:pt>
                <c:pt idx="383">
                  <c:v>-1.4146842415208627</c:v>
                </c:pt>
                <c:pt idx="384">
                  <c:v>-1.4146842415208627</c:v>
                </c:pt>
                <c:pt idx="385">
                  <c:v>-1.4146842415208627</c:v>
                </c:pt>
                <c:pt idx="386">
                  <c:v>-1.4146842415208627</c:v>
                </c:pt>
                <c:pt idx="387">
                  <c:v>-1.4146842415208627</c:v>
                </c:pt>
                <c:pt idx="388">
                  <c:v>-1.4146842415208627</c:v>
                </c:pt>
                <c:pt idx="389">
                  <c:v>-1.4146842415208627</c:v>
                </c:pt>
                <c:pt idx="390">
                  <c:v>-1.4146842415208627</c:v>
                </c:pt>
                <c:pt idx="391">
                  <c:v>-1.4146842415208627</c:v>
                </c:pt>
                <c:pt idx="392">
                  <c:v>-1.4146842415208627</c:v>
                </c:pt>
                <c:pt idx="393">
                  <c:v>-1.4146842415208627</c:v>
                </c:pt>
                <c:pt idx="394">
                  <c:v>-1.4146842415208627</c:v>
                </c:pt>
                <c:pt idx="395">
                  <c:v>-1.4146842415208627</c:v>
                </c:pt>
                <c:pt idx="396">
                  <c:v>-1.4146842415208627</c:v>
                </c:pt>
                <c:pt idx="397">
                  <c:v>-1.4146842415208627</c:v>
                </c:pt>
                <c:pt idx="398">
                  <c:v>0.8152996381137414</c:v>
                </c:pt>
                <c:pt idx="399">
                  <c:v>0.8152996381137414</c:v>
                </c:pt>
                <c:pt idx="400">
                  <c:v>0.8152996381137414</c:v>
                </c:pt>
                <c:pt idx="401">
                  <c:v>0.8152996381137414</c:v>
                </c:pt>
                <c:pt idx="402">
                  <c:v>0.8152996381137414</c:v>
                </c:pt>
                <c:pt idx="403">
                  <c:v>0.8152996381137414</c:v>
                </c:pt>
                <c:pt idx="404">
                  <c:v>0.8152996381137414</c:v>
                </c:pt>
                <c:pt idx="405">
                  <c:v>0.24785202869748424</c:v>
                </c:pt>
                <c:pt idx="406">
                  <c:v>0.24785202869748424</c:v>
                </c:pt>
                <c:pt idx="407">
                  <c:v>0.24785202869748424</c:v>
                </c:pt>
                <c:pt idx="408">
                  <c:v>0.24785202869748424</c:v>
                </c:pt>
                <c:pt idx="409">
                  <c:v>0.24785202869748424</c:v>
                </c:pt>
                <c:pt idx="410">
                  <c:v>0.24785202869748424</c:v>
                </c:pt>
                <c:pt idx="411">
                  <c:v>0.24785202869748424</c:v>
                </c:pt>
                <c:pt idx="412">
                  <c:v>0.24785202869748424</c:v>
                </c:pt>
                <c:pt idx="413">
                  <c:v>0.24785202869748424</c:v>
                </c:pt>
                <c:pt idx="414">
                  <c:v>0.24785202869748424</c:v>
                </c:pt>
                <c:pt idx="415">
                  <c:v>0.24785202869748424</c:v>
                </c:pt>
                <c:pt idx="416">
                  <c:v>0.24785202869748424</c:v>
                </c:pt>
                <c:pt idx="417">
                  <c:v>0.24785202869748424</c:v>
                </c:pt>
                <c:pt idx="418">
                  <c:v>0.24785202869748424</c:v>
                </c:pt>
              </c:numCache>
            </c:numRef>
          </c:val>
          <c:smooth val="1"/>
          <c:extLst>
            <c:ext xmlns:c16="http://schemas.microsoft.com/office/drawing/2014/chart" uri="{C3380CC4-5D6E-409C-BE32-E72D297353CC}">
              <c16:uniqueId val="{00000000-5DD5-4FA1-AE49-D4B74D0A91B6}"/>
            </c:ext>
          </c:extLst>
        </c:ser>
        <c:ser>
          <c:idx val="1"/>
          <c:order val="2"/>
          <c:tx>
            <c:v>Dwn</c:v>
          </c:tx>
          <c:spPr>
            <a:ln w="28575" cap="rnd">
              <a:solidFill>
                <a:schemeClr val="accent2"/>
              </a:solidFill>
              <a:prstDash val="solid"/>
              <a:round/>
            </a:ln>
            <a:effectLst/>
          </c:spPr>
          <c:marker>
            <c:symbol val="none"/>
          </c:marker>
          <c:val>
            <c:numRef>
              <c:f>'2025-Q2'!$EB$4:$EB$422</c:f>
              <c:numCache>
                <c:formatCode>0.00</c:formatCode>
                <c:ptCount val="419"/>
                <c:pt idx="0">
                  <c:v>-0.47844667409884589</c:v>
                </c:pt>
                <c:pt idx="1">
                  <c:v>-0.47844667409884589</c:v>
                </c:pt>
                <c:pt idx="2">
                  <c:v>-0.47844667409884589</c:v>
                </c:pt>
                <c:pt idx="3">
                  <c:v>-0.47844667409884589</c:v>
                </c:pt>
                <c:pt idx="4">
                  <c:v>-0.47844667409884589</c:v>
                </c:pt>
                <c:pt idx="5">
                  <c:v>-0.47844667409884589</c:v>
                </c:pt>
                <c:pt idx="6">
                  <c:v>-0.47844667409884589</c:v>
                </c:pt>
                <c:pt idx="7">
                  <c:v>-0.47844667409884589</c:v>
                </c:pt>
                <c:pt idx="8">
                  <c:v>-0.47844667409884589</c:v>
                </c:pt>
                <c:pt idx="9">
                  <c:v>-0.47844667409884589</c:v>
                </c:pt>
                <c:pt idx="10">
                  <c:v>-0.47844667409884589</c:v>
                </c:pt>
                <c:pt idx="11">
                  <c:v>-0.47844667409884589</c:v>
                </c:pt>
                <c:pt idx="12">
                  <c:v>-0.47844667409884589</c:v>
                </c:pt>
                <c:pt idx="13">
                  <c:v>-0.47844667409884589</c:v>
                </c:pt>
                <c:pt idx="14">
                  <c:v>0.39861645964403336</c:v>
                </c:pt>
                <c:pt idx="15">
                  <c:v>0.39861645964403336</c:v>
                </c:pt>
                <c:pt idx="16">
                  <c:v>0.39861645964403336</c:v>
                </c:pt>
                <c:pt idx="17">
                  <c:v>0.39861645964403336</c:v>
                </c:pt>
                <c:pt idx="18">
                  <c:v>0.39861645964403336</c:v>
                </c:pt>
                <c:pt idx="19">
                  <c:v>0.39861645964403336</c:v>
                </c:pt>
                <c:pt idx="20">
                  <c:v>0.39861645964403336</c:v>
                </c:pt>
                <c:pt idx="21">
                  <c:v>0.39861645964403336</c:v>
                </c:pt>
                <c:pt idx="22">
                  <c:v>0.43517953094202633</c:v>
                </c:pt>
                <c:pt idx="23">
                  <c:v>0.43517953094202633</c:v>
                </c:pt>
                <c:pt idx="24">
                  <c:v>0.43517953094202633</c:v>
                </c:pt>
                <c:pt idx="25">
                  <c:v>0.43517953094202633</c:v>
                </c:pt>
                <c:pt idx="26">
                  <c:v>0.43517953094202633</c:v>
                </c:pt>
                <c:pt idx="27">
                  <c:v>0.43517953094202633</c:v>
                </c:pt>
                <c:pt idx="28">
                  <c:v>0.43517953094202633</c:v>
                </c:pt>
                <c:pt idx="29">
                  <c:v>0.43517953094202633</c:v>
                </c:pt>
                <c:pt idx="30">
                  <c:v>0.43517953094202633</c:v>
                </c:pt>
                <c:pt idx="31">
                  <c:v>0.43517953094202633</c:v>
                </c:pt>
                <c:pt idx="32">
                  <c:v>0.43517953094202633</c:v>
                </c:pt>
                <c:pt idx="33">
                  <c:v>0.43517953094202633</c:v>
                </c:pt>
                <c:pt idx="34">
                  <c:v>0.43517953094202633</c:v>
                </c:pt>
                <c:pt idx="35">
                  <c:v>0.43517953094202633</c:v>
                </c:pt>
                <c:pt idx="36">
                  <c:v>0.43517953094202633</c:v>
                </c:pt>
                <c:pt idx="37">
                  <c:v>0.43517953094202633</c:v>
                </c:pt>
                <c:pt idx="38">
                  <c:v>0.43517953094202633</c:v>
                </c:pt>
                <c:pt idx="39">
                  <c:v>0.43517953094202633</c:v>
                </c:pt>
                <c:pt idx="40">
                  <c:v>0.43517953094202633</c:v>
                </c:pt>
                <c:pt idx="41">
                  <c:v>0.43517953094202633</c:v>
                </c:pt>
                <c:pt idx="42">
                  <c:v>0.43517953094202633</c:v>
                </c:pt>
                <c:pt idx="43">
                  <c:v>0.43517953094202633</c:v>
                </c:pt>
                <c:pt idx="44">
                  <c:v>0.43517953094202633</c:v>
                </c:pt>
                <c:pt idx="45">
                  <c:v>0.43517953094202633</c:v>
                </c:pt>
                <c:pt idx="46">
                  <c:v>0.43517953094202633</c:v>
                </c:pt>
                <c:pt idx="47">
                  <c:v>0.43517953094202633</c:v>
                </c:pt>
                <c:pt idx="48">
                  <c:v>0.43517953094202633</c:v>
                </c:pt>
                <c:pt idx="49">
                  <c:v>0.43517953094202633</c:v>
                </c:pt>
                <c:pt idx="50">
                  <c:v>0.43517953094202633</c:v>
                </c:pt>
                <c:pt idx="51">
                  <c:v>0.43517953094202633</c:v>
                </c:pt>
                <c:pt idx="52">
                  <c:v>-0.86716764906472754</c:v>
                </c:pt>
                <c:pt idx="53">
                  <c:v>-0.86716764906472754</c:v>
                </c:pt>
                <c:pt idx="54">
                  <c:v>-0.86716764906472754</c:v>
                </c:pt>
                <c:pt idx="55">
                  <c:v>-0.86716764906472754</c:v>
                </c:pt>
                <c:pt idx="56">
                  <c:v>-0.86716764906472754</c:v>
                </c:pt>
                <c:pt idx="57">
                  <c:v>-0.86716764906472754</c:v>
                </c:pt>
                <c:pt idx="58">
                  <c:v>-0.86716764906472754</c:v>
                </c:pt>
                <c:pt idx="59">
                  <c:v>-0.86716764906472754</c:v>
                </c:pt>
                <c:pt idx="60">
                  <c:v>-0.86716764906472754</c:v>
                </c:pt>
                <c:pt idx="61">
                  <c:v>-0.86716764906472754</c:v>
                </c:pt>
                <c:pt idx="62">
                  <c:v>-0.86716764906472754</c:v>
                </c:pt>
                <c:pt idx="63">
                  <c:v>-0.86716764906472754</c:v>
                </c:pt>
                <c:pt idx="64">
                  <c:v>-0.86716764906472754</c:v>
                </c:pt>
                <c:pt idx="65">
                  <c:v>-0.86716764906472754</c:v>
                </c:pt>
                <c:pt idx="66">
                  <c:v>-1.2459555278526064</c:v>
                </c:pt>
                <c:pt idx="67">
                  <c:v>-1.2459555278526064</c:v>
                </c:pt>
                <c:pt idx="68">
                  <c:v>-1.2459555278526064</c:v>
                </c:pt>
                <c:pt idx="69">
                  <c:v>-1.2459555278526064</c:v>
                </c:pt>
                <c:pt idx="70">
                  <c:v>-1.2459555278526064</c:v>
                </c:pt>
                <c:pt idx="71">
                  <c:v>-1.2459555278526064</c:v>
                </c:pt>
                <c:pt idx="72">
                  <c:v>-1.2459555278526064</c:v>
                </c:pt>
                <c:pt idx="73">
                  <c:v>-1.2459555278526064</c:v>
                </c:pt>
                <c:pt idx="74">
                  <c:v>-1.2459555278526064</c:v>
                </c:pt>
                <c:pt idx="75">
                  <c:v>-1.2459555278526064</c:v>
                </c:pt>
                <c:pt idx="76">
                  <c:v>-1.2459555278526064</c:v>
                </c:pt>
                <c:pt idx="77">
                  <c:v>-1.2459555278526064</c:v>
                </c:pt>
                <c:pt idx="78">
                  <c:v>-1.2459555278526064</c:v>
                </c:pt>
                <c:pt idx="79">
                  <c:v>-1.2459555278526064</c:v>
                </c:pt>
                <c:pt idx="80">
                  <c:v>-1.2459555278526064</c:v>
                </c:pt>
                <c:pt idx="81">
                  <c:v>-1.2459555278526064</c:v>
                </c:pt>
                <c:pt idx="82">
                  <c:v>-1.2459555278526064</c:v>
                </c:pt>
                <c:pt idx="83">
                  <c:v>-1.2459555278526064</c:v>
                </c:pt>
                <c:pt idx="84">
                  <c:v>-1.2459555278526064</c:v>
                </c:pt>
                <c:pt idx="85">
                  <c:v>-1.2459555278526064</c:v>
                </c:pt>
                <c:pt idx="86">
                  <c:v>-1.2459555278526064</c:v>
                </c:pt>
                <c:pt idx="87">
                  <c:v>-1.2358895959989655</c:v>
                </c:pt>
                <c:pt idx="88">
                  <c:v>-0.36153038830642437</c:v>
                </c:pt>
                <c:pt idx="89">
                  <c:v>-0.36153038830642437</c:v>
                </c:pt>
                <c:pt idx="90">
                  <c:v>-0.36153038830642437</c:v>
                </c:pt>
                <c:pt idx="91">
                  <c:v>-0.36153038830642437</c:v>
                </c:pt>
                <c:pt idx="92">
                  <c:v>-0.36153038830642437</c:v>
                </c:pt>
                <c:pt idx="93">
                  <c:v>-0.36153038830642437</c:v>
                </c:pt>
                <c:pt idx="94">
                  <c:v>-0.36153038830642437</c:v>
                </c:pt>
                <c:pt idx="95">
                  <c:v>-0.36153038830642437</c:v>
                </c:pt>
                <c:pt idx="96">
                  <c:v>-0.36153038830642437</c:v>
                </c:pt>
                <c:pt idx="97">
                  <c:v>-0.36153038830642437</c:v>
                </c:pt>
                <c:pt idx="98">
                  <c:v>-0.36153038830642437</c:v>
                </c:pt>
                <c:pt idx="99">
                  <c:v>-0.36153038830642437</c:v>
                </c:pt>
                <c:pt idx="100">
                  <c:v>-0.36153038830642437</c:v>
                </c:pt>
                <c:pt idx="101">
                  <c:v>-0.36153038830642437</c:v>
                </c:pt>
                <c:pt idx="102">
                  <c:v>-0.36153038830642437</c:v>
                </c:pt>
                <c:pt idx="103">
                  <c:v>-0.36153038830642437</c:v>
                </c:pt>
                <c:pt idx="104">
                  <c:v>-0.36153038830642437</c:v>
                </c:pt>
                <c:pt idx="105">
                  <c:v>-0.36153038830642437</c:v>
                </c:pt>
                <c:pt idx="106">
                  <c:v>-0.36153038830642437</c:v>
                </c:pt>
                <c:pt idx="107">
                  <c:v>-0.36153038830642437</c:v>
                </c:pt>
                <c:pt idx="108">
                  <c:v>-0.36153038830642437</c:v>
                </c:pt>
                <c:pt idx="109">
                  <c:v>-0.36153038830642437</c:v>
                </c:pt>
                <c:pt idx="110">
                  <c:v>-0.36153038830642437</c:v>
                </c:pt>
                <c:pt idx="111">
                  <c:v>-0.36153038830642437</c:v>
                </c:pt>
                <c:pt idx="112">
                  <c:v>-0.36153038830642437</c:v>
                </c:pt>
                <c:pt idx="113">
                  <c:v>-0.36153038830642437</c:v>
                </c:pt>
                <c:pt idx="114">
                  <c:v>-0.36153038830642437</c:v>
                </c:pt>
                <c:pt idx="115">
                  <c:v>-0.36153038830642437</c:v>
                </c:pt>
                <c:pt idx="116">
                  <c:v>-0.36153038830642437</c:v>
                </c:pt>
                <c:pt idx="117">
                  <c:v>-0.36153038830642437</c:v>
                </c:pt>
                <c:pt idx="118">
                  <c:v>-0.36153038830642437</c:v>
                </c:pt>
                <c:pt idx="119">
                  <c:v>-0.36153038830642437</c:v>
                </c:pt>
                <c:pt idx="120">
                  <c:v>-0.36153038830642437</c:v>
                </c:pt>
                <c:pt idx="121">
                  <c:v>-0.36153038830642437</c:v>
                </c:pt>
                <c:pt idx="122">
                  <c:v>-0.36153038830642437</c:v>
                </c:pt>
                <c:pt idx="123">
                  <c:v>-0.36153038830642437</c:v>
                </c:pt>
                <c:pt idx="124">
                  <c:v>-0.36153038830642437</c:v>
                </c:pt>
                <c:pt idx="125">
                  <c:v>-0.36153038830642437</c:v>
                </c:pt>
                <c:pt idx="126">
                  <c:v>-0.36153038830642437</c:v>
                </c:pt>
                <c:pt idx="127">
                  <c:v>-0.36153038830642437</c:v>
                </c:pt>
                <c:pt idx="128">
                  <c:v>-0.36153038830642437</c:v>
                </c:pt>
                <c:pt idx="129">
                  <c:v>-0.36153038830642437</c:v>
                </c:pt>
                <c:pt idx="130">
                  <c:v>-0.36153038830642437</c:v>
                </c:pt>
                <c:pt idx="131">
                  <c:v>-0.36153038830642437</c:v>
                </c:pt>
                <c:pt idx="132">
                  <c:v>-0.36153038830642437</c:v>
                </c:pt>
                <c:pt idx="133">
                  <c:v>0.612683721500909</c:v>
                </c:pt>
                <c:pt idx="134">
                  <c:v>0.612683721500909</c:v>
                </c:pt>
                <c:pt idx="135">
                  <c:v>0.612683721500909</c:v>
                </c:pt>
                <c:pt idx="136">
                  <c:v>0.79979533615398157</c:v>
                </c:pt>
                <c:pt idx="137">
                  <c:v>0.79979533615398157</c:v>
                </c:pt>
                <c:pt idx="138">
                  <c:v>0.79979533615398157</c:v>
                </c:pt>
                <c:pt idx="139">
                  <c:v>0.79979533615398157</c:v>
                </c:pt>
                <c:pt idx="140">
                  <c:v>0.79979533615398157</c:v>
                </c:pt>
                <c:pt idx="141">
                  <c:v>0.79979533615398157</c:v>
                </c:pt>
                <c:pt idx="142">
                  <c:v>0.79979533615398157</c:v>
                </c:pt>
                <c:pt idx="143">
                  <c:v>0.79979533615398157</c:v>
                </c:pt>
                <c:pt idx="144">
                  <c:v>0.79979533615398157</c:v>
                </c:pt>
                <c:pt idx="145">
                  <c:v>0.79979533615398157</c:v>
                </c:pt>
                <c:pt idx="146">
                  <c:v>0.35696119766766871</c:v>
                </c:pt>
                <c:pt idx="147">
                  <c:v>-0.2070110273231956</c:v>
                </c:pt>
                <c:pt idx="148">
                  <c:v>-0.2070110273231956</c:v>
                </c:pt>
                <c:pt idx="149">
                  <c:v>-0.2070110273231956</c:v>
                </c:pt>
                <c:pt idx="150">
                  <c:v>-0.2070110273231956</c:v>
                </c:pt>
                <c:pt idx="151">
                  <c:v>-0.2070110273231956</c:v>
                </c:pt>
                <c:pt idx="152">
                  <c:v>-0.2070110273231956</c:v>
                </c:pt>
                <c:pt idx="153">
                  <c:v>-0.2070110273231956</c:v>
                </c:pt>
                <c:pt idx="154">
                  <c:v>-0.2070110273231956</c:v>
                </c:pt>
                <c:pt idx="155">
                  <c:v>-0.2070110273231956</c:v>
                </c:pt>
                <c:pt idx="156">
                  <c:v>-0.2070110273231956</c:v>
                </c:pt>
                <c:pt idx="157">
                  <c:v>-0.2070110273231956</c:v>
                </c:pt>
                <c:pt idx="158">
                  <c:v>-0.2070110273231956</c:v>
                </c:pt>
                <c:pt idx="159">
                  <c:v>-0.2070110273231956</c:v>
                </c:pt>
                <c:pt idx="160">
                  <c:v>-0.2070110273231956</c:v>
                </c:pt>
                <c:pt idx="161">
                  <c:v>-0.2070110273231956</c:v>
                </c:pt>
                <c:pt idx="162">
                  <c:v>-0.2070110273231956</c:v>
                </c:pt>
                <c:pt idx="163">
                  <c:v>-0.2070110273231956</c:v>
                </c:pt>
                <c:pt idx="164">
                  <c:v>-0.2070110273231956</c:v>
                </c:pt>
                <c:pt idx="165">
                  <c:v>-0.2070110273231956</c:v>
                </c:pt>
                <c:pt idx="166">
                  <c:v>-0.2070110273231956</c:v>
                </c:pt>
                <c:pt idx="167">
                  <c:v>-0.2070110273231956</c:v>
                </c:pt>
                <c:pt idx="168">
                  <c:v>-0.2070110273231956</c:v>
                </c:pt>
                <c:pt idx="169">
                  <c:v>-0.2070110273231956</c:v>
                </c:pt>
                <c:pt idx="170">
                  <c:v>0.26249327033369896</c:v>
                </c:pt>
                <c:pt idx="171">
                  <c:v>0.26249327033369896</c:v>
                </c:pt>
                <c:pt idx="172">
                  <c:v>0.25705198183658201</c:v>
                </c:pt>
                <c:pt idx="173">
                  <c:v>0.25705198183658201</c:v>
                </c:pt>
                <c:pt idx="174">
                  <c:v>0.25705198183658201</c:v>
                </c:pt>
                <c:pt idx="175">
                  <c:v>0.25705198183658201</c:v>
                </c:pt>
                <c:pt idx="176">
                  <c:v>0.25705198183658201</c:v>
                </c:pt>
                <c:pt idx="177">
                  <c:v>0.25705198183658201</c:v>
                </c:pt>
                <c:pt idx="178">
                  <c:v>0.5578066706208582</c:v>
                </c:pt>
                <c:pt idx="179">
                  <c:v>0.5578066706208582</c:v>
                </c:pt>
                <c:pt idx="180">
                  <c:v>0.5578066706208582</c:v>
                </c:pt>
                <c:pt idx="181">
                  <c:v>0.5578066706208582</c:v>
                </c:pt>
                <c:pt idx="182">
                  <c:v>0.5578066706208582</c:v>
                </c:pt>
                <c:pt idx="183">
                  <c:v>0.5578066706208582</c:v>
                </c:pt>
                <c:pt idx="184">
                  <c:v>0.5578066706208582</c:v>
                </c:pt>
                <c:pt idx="185">
                  <c:v>0.5578066706208582</c:v>
                </c:pt>
                <c:pt idx="186">
                  <c:v>0.5578066706208582</c:v>
                </c:pt>
                <c:pt idx="187">
                  <c:v>0.5578066706208582</c:v>
                </c:pt>
                <c:pt idx="188">
                  <c:v>0.5578066706208582</c:v>
                </c:pt>
                <c:pt idx="189">
                  <c:v>0.5578066706208582</c:v>
                </c:pt>
                <c:pt idx="190">
                  <c:v>0.5578066706208582</c:v>
                </c:pt>
                <c:pt idx="191">
                  <c:v>0.5578066706208582</c:v>
                </c:pt>
                <c:pt idx="192">
                  <c:v>0.5578066706208582</c:v>
                </c:pt>
                <c:pt idx="193">
                  <c:v>0.5578066706208582</c:v>
                </c:pt>
                <c:pt idx="194">
                  <c:v>-0.40308697004515759</c:v>
                </c:pt>
                <c:pt idx="195">
                  <c:v>-0.40308697004515759</c:v>
                </c:pt>
                <c:pt idx="196">
                  <c:v>-0.40308697004515759</c:v>
                </c:pt>
                <c:pt idx="197">
                  <c:v>-0.40308697004515759</c:v>
                </c:pt>
                <c:pt idx="198">
                  <c:v>-0.40308697004515759</c:v>
                </c:pt>
                <c:pt idx="199">
                  <c:v>-0.40308697004515759</c:v>
                </c:pt>
                <c:pt idx="200">
                  <c:v>-0.40308697004515759</c:v>
                </c:pt>
                <c:pt idx="201">
                  <c:v>0.65158371441459195</c:v>
                </c:pt>
                <c:pt idx="202">
                  <c:v>0.65158371441459195</c:v>
                </c:pt>
                <c:pt idx="203">
                  <c:v>0.65158371441459195</c:v>
                </c:pt>
                <c:pt idx="204">
                  <c:v>0.65158371441459195</c:v>
                </c:pt>
                <c:pt idx="205">
                  <c:v>0.65158371441459195</c:v>
                </c:pt>
                <c:pt idx="206">
                  <c:v>0.65158371441459195</c:v>
                </c:pt>
                <c:pt idx="207">
                  <c:v>0.65158371441459195</c:v>
                </c:pt>
                <c:pt idx="208">
                  <c:v>0.65158371441459195</c:v>
                </c:pt>
                <c:pt idx="209">
                  <c:v>0.65158371441459195</c:v>
                </c:pt>
                <c:pt idx="210">
                  <c:v>0.65158371441459195</c:v>
                </c:pt>
                <c:pt idx="211">
                  <c:v>0.65158371441459195</c:v>
                </c:pt>
                <c:pt idx="212">
                  <c:v>0.65158371441459195</c:v>
                </c:pt>
                <c:pt idx="213">
                  <c:v>0.65158371441459195</c:v>
                </c:pt>
                <c:pt idx="214">
                  <c:v>0.65158371441459195</c:v>
                </c:pt>
                <c:pt idx="215">
                  <c:v>0.65158371441459195</c:v>
                </c:pt>
                <c:pt idx="216">
                  <c:v>0.65158371441459195</c:v>
                </c:pt>
                <c:pt idx="217">
                  <c:v>0.65158371441459195</c:v>
                </c:pt>
                <c:pt idx="218">
                  <c:v>0.65158371441459195</c:v>
                </c:pt>
                <c:pt idx="219">
                  <c:v>0.65158371441459195</c:v>
                </c:pt>
                <c:pt idx="220">
                  <c:v>0.65158371441459195</c:v>
                </c:pt>
                <c:pt idx="221">
                  <c:v>0.65158371441459195</c:v>
                </c:pt>
                <c:pt idx="222">
                  <c:v>0.65158371441459195</c:v>
                </c:pt>
                <c:pt idx="223">
                  <c:v>0.65158371441459195</c:v>
                </c:pt>
                <c:pt idx="224">
                  <c:v>0.65158371441459195</c:v>
                </c:pt>
                <c:pt idx="225">
                  <c:v>0.65158371441459195</c:v>
                </c:pt>
                <c:pt idx="226">
                  <c:v>0.65158371441459195</c:v>
                </c:pt>
                <c:pt idx="227">
                  <c:v>0.65158371441459195</c:v>
                </c:pt>
                <c:pt idx="228">
                  <c:v>0.65158371441459195</c:v>
                </c:pt>
                <c:pt idx="229">
                  <c:v>0.65158371441459195</c:v>
                </c:pt>
                <c:pt idx="230">
                  <c:v>0.65158371441459195</c:v>
                </c:pt>
                <c:pt idx="231">
                  <c:v>0.65158371441459195</c:v>
                </c:pt>
                <c:pt idx="232">
                  <c:v>0.65158371441459195</c:v>
                </c:pt>
                <c:pt idx="233">
                  <c:v>0.65158371441459195</c:v>
                </c:pt>
                <c:pt idx="234">
                  <c:v>0.65158371441459195</c:v>
                </c:pt>
                <c:pt idx="235">
                  <c:v>0.65158371441459195</c:v>
                </c:pt>
                <c:pt idx="236">
                  <c:v>0.65158371441459195</c:v>
                </c:pt>
                <c:pt idx="237">
                  <c:v>0.65158371441459195</c:v>
                </c:pt>
                <c:pt idx="238">
                  <c:v>0.65158371441459195</c:v>
                </c:pt>
                <c:pt idx="239">
                  <c:v>0.65158371441459195</c:v>
                </c:pt>
                <c:pt idx="240">
                  <c:v>0.65158371441459195</c:v>
                </c:pt>
                <c:pt idx="241">
                  <c:v>0.65158371441459195</c:v>
                </c:pt>
                <c:pt idx="242">
                  <c:v>0.65158371441459195</c:v>
                </c:pt>
                <c:pt idx="243">
                  <c:v>0.65158371441459195</c:v>
                </c:pt>
                <c:pt idx="244">
                  <c:v>0.65158371441459195</c:v>
                </c:pt>
                <c:pt idx="245">
                  <c:v>1.0902674422317802</c:v>
                </c:pt>
                <c:pt idx="246">
                  <c:v>1.0902674422317802</c:v>
                </c:pt>
                <c:pt idx="247">
                  <c:v>1.0902674422317802</c:v>
                </c:pt>
                <c:pt idx="248">
                  <c:v>1.0902674422317802</c:v>
                </c:pt>
                <c:pt idx="249">
                  <c:v>1.0902674422317802</c:v>
                </c:pt>
                <c:pt idx="250">
                  <c:v>1.0902674422317802</c:v>
                </c:pt>
                <c:pt idx="251">
                  <c:v>1.0902674422317802</c:v>
                </c:pt>
                <c:pt idx="252">
                  <c:v>1.0902674422317802</c:v>
                </c:pt>
                <c:pt idx="253">
                  <c:v>1.0902674422317802</c:v>
                </c:pt>
                <c:pt idx="254">
                  <c:v>1.0902674422317802</c:v>
                </c:pt>
                <c:pt idx="255">
                  <c:v>1.0902674422317802</c:v>
                </c:pt>
                <c:pt idx="256">
                  <c:v>1.0902674422317802</c:v>
                </c:pt>
                <c:pt idx="257">
                  <c:v>1.0902674422317802</c:v>
                </c:pt>
                <c:pt idx="258">
                  <c:v>1.0902674422317802</c:v>
                </c:pt>
                <c:pt idx="259">
                  <c:v>1.0902674422317802</c:v>
                </c:pt>
                <c:pt idx="260">
                  <c:v>1.0902674422317802</c:v>
                </c:pt>
                <c:pt idx="261">
                  <c:v>1.0902674422317802</c:v>
                </c:pt>
                <c:pt idx="262">
                  <c:v>1.0902674422317802</c:v>
                </c:pt>
                <c:pt idx="263">
                  <c:v>1.0902674422317802</c:v>
                </c:pt>
                <c:pt idx="264">
                  <c:v>1.0902674422317802</c:v>
                </c:pt>
                <c:pt idx="265">
                  <c:v>1.32347009195464</c:v>
                </c:pt>
                <c:pt idx="266">
                  <c:v>1.32347009195464</c:v>
                </c:pt>
                <c:pt idx="267">
                  <c:v>1.32347009195464</c:v>
                </c:pt>
                <c:pt idx="268">
                  <c:v>1.32347009195464</c:v>
                </c:pt>
                <c:pt idx="269">
                  <c:v>2.468538401202053</c:v>
                </c:pt>
                <c:pt idx="270">
                  <c:v>2.468538401202053</c:v>
                </c:pt>
                <c:pt idx="271">
                  <c:v>2.468538401202053</c:v>
                </c:pt>
                <c:pt idx="272">
                  <c:v>2.468538401202053</c:v>
                </c:pt>
                <c:pt idx="273">
                  <c:v>2.468538401202053</c:v>
                </c:pt>
                <c:pt idx="274">
                  <c:v>2.468538401202053</c:v>
                </c:pt>
                <c:pt idx="275">
                  <c:v>2.468538401202053</c:v>
                </c:pt>
                <c:pt idx="276">
                  <c:v>2.468538401202053</c:v>
                </c:pt>
                <c:pt idx="277">
                  <c:v>2.468538401202053</c:v>
                </c:pt>
                <c:pt idx="278">
                  <c:v>2.468538401202053</c:v>
                </c:pt>
                <c:pt idx="279">
                  <c:v>2.468538401202053</c:v>
                </c:pt>
                <c:pt idx="280">
                  <c:v>2.468538401202053</c:v>
                </c:pt>
                <c:pt idx="281">
                  <c:v>2.468538401202053</c:v>
                </c:pt>
                <c:pt idx="282">
                  <c:v>2.468538401202053</c:v>
                </c:pt>
                <c:pt idx="283">
                  <c:v>2.468538401202053</c:v>
                </c:pt>
                <c:pt idx="284">
                  <c:v>2.468538401202053</c:v>
                </c:pt>
                <c:pt idx="285">
                  <c:v>2.468538401202053</c:v>
                </c:pt>
                <c:pt idx="286">
                  <c:v>2.468538401202053</c:v>
                </c:pt>
                <c:pt idx="287">
                  <c:v>2.468538401202053</c:v>
                </c:pt>
                <c:pt idx="288">
                  <c:v>2.468538401202053</c:v>
                </c:pt>
                <c:pt idx="289">
                  <c:v>2.468538401202053</c:v>
                </c:pt>
                <c:pt idx="290">
                  <c:v>2.468538401202053</c:v>
                </c:pt>
                <c:pt idx="291">
                  <c:v>3.4710015964818837</c:v>
                </c:pt>
                <c:pt idx="292">
                  <c:v>3.4710015964818837</c:v>
                </c:pt>
                <c:pt idx="293">
                  <c:v>3.4710015964818837</c:v>
                </c:pt>
                <c:pt idx="294">
                  <c:v>3.4710015964818837</c:v>
                </c:pt>
                <c:pt idx="295">
                  <c:v>3.4710015964818837</c:v>
                </c:pt>
                <c:pt idx="296">
                  <c:v>2.276197208799712</c:v>
                </c:pt>
                <c:pt idx="297">
                  <c:v>2.276197208799712</c:v>
                </c:pt>
                <c:pt idx="298">
                  <c:v>2.276197208799712</c:v>
                </c:pt>
                <c:pt idx="299">
                  <c:v>2.276197208799712</c:v>
                </c:pt>
                <c:pt idx="300">
                  <c:v>2.276197208799712</c:v>
                </c:pt>
                <c:pt idx="301">
                  <c:v>2.276197208799712</c:v>
                </c:pt>
                <c:pt idx="302">
                  <c:v>2.276197208799712</c:v>
                </c:pt>
                <c:pt idx="303">
                  <c:v>2.276197208799712</c:v>
                </c:pt>
                <c:pt idx="304">
                  <c:v>2.276197208799712</c:v>
                </c:pt>
                <c:pt idx="305">
                  <c:v>2.276197208799712</c:v>
                </c:pt>
                <c:pt idx="306">
                  <c:v>2.276197208799712</c:v>
                </c:pt>
                <c:pt idx="307">
                  <c:v>2.276197208799712</c:v>
                </c:pt>
                <c:pt idx="308">
                  <c:v>2.276197208799712</c:v>
                </c:pt>
                <c:pt idx="309">
                  <c:v>2.276197208799712</c:v>
                </c:pt>
                <c:pt idx="310">
                  <c:v>2.276197208799712</c:v>
                </c:pt>
                <c:pt idx="311">
                  <c:v>2.276197208799712</c:v>
                </c:pt>
                <c:pt idx="312">
                  <c:v>2.276197208799712</c:v>
                </c:pt>
                <c:pt idx="313">
                  <c:v>2.276197208799712</c:v>
                </c:pt>
                <c:pt idx="314">
                  <c:v>2.276197208799712</c:v>
                </c:pt>
                <c:pt idx="315">
                  <c:v>2.276197208799712</c:v>
                </c:pt>
                <c:pt idx="316">
                  <c:v>2.276197208799712</c:v>
                </c:pt>
                <c:pt idx="317">
                  <c:v>2.276197208799712</c:v>
                </c:pt>
                <c:pt idx="318">
                  <c:v>2.276197208799712</c:v>
                </c:pt>
                <c:pt idx="319">
                  <c:v>2.276197208799712</c:v>
                </c:pt>
                <c:pt idx="320">
                  <c:v>2.276197208799712</c:v>
                </c:pt>
                <c:pt idx="321">
                  <c:v>2.276197208799712</c:v>
                </c:pt>
                <c:pt idx="322">
                  <c:v>2.276197208799712</c:v>
                </c:pt>
                <c:pt idx="323">
                  <c:v>2.276197208799712</c:v>
                </c:pt>
                <c:pt idx="324">
                  <c:v>2.276197208799712</c:v>
                </c:pt>
                <c:pt idx="325">
                  <c:v>2.276197208799712</c:v>
                </c:pt>
                <c:pt idx="326">
                  <c:v>2.276197208799712</c:v>
                </c:pt>
                <c:pt idx="327">
                  <c:v>2.276197208799712</c:v>
                </c:pt>
                <c:pt idx="328">
                  <c:v>2.276197208799712</c:v>
                </c:pt>
                <c:pt idx="329">
                  <c:v>2.276197208799712</c:v>
                </c:pt>
                <c:pt idx="330">
                  <c:v>2.276197208799712</c:v>
                </c:pt>
                <c:pt idx="331">
                  <c:v>2.276197208799712</c:v>
                </c:pt>
                <c:pt idx="332">
                  <c:v>2.276197208799712</c:v>
                </c:pt>
                <c:pt idx="333">
                  <c:v>2.276197208799712</c:v>
                </c:pt>
                <c:pt idx="334">
                  <c:v>2.276197208799712</c:v>
                </c:pt>
                <c:pt idx="335">
                  <c:v>2.276197208799712</c:v>
                </c:pt>
                <c:pt idx="336">
                  <c:v>2.276197208799712</c:v>
                </c:pt>
                <c:pt idx="337">
                  <c:v>4.3184391548878134</c:v>
                </c:pt>
                <c:pt idx="338">
                  <c:v>4.3184391548878134</c:v>
                </c:pt>
                <c:pt idx="339">
                  <c:v>4.3184391548878134</c:v>
                </c:pt>
                <c:pt idx="340">
                  <c:v>4.3184391548878134</c:v>
                </c:pt>
                <c:pt idx="341">
                  <c:v>4.3184391548878134</c:v>
                </c:pt>
                <c:pt idx="342">
                  <c:v>4.3184391548878134</c:v>
                </c:pt>
                <c:pt idx="343">
                  <c:v>4.3184391548878134</c:v>
                </c:pt>
                <c:pt idx="344">
                  <c:v>4.3184391548878134</c:v>
                </c:pt>
                <c:pt idx="345">
                  <c:v>4.3184391548878134</c:v>
                </c:pt>
                <c:pt idx="346">
                  <c:v>4.3184391548878134</c:v>
                </c:pt>
                <c:pt idx="347">
                  <c:v>4.3184391548878134</c:v>
                </c:pt>
                <c:pt idx="348">
                  <c:v>4.3184391548878134</c:v>
                </c:pt>
                <c:pt idx="349">
                  <c:v>4.3184391548878134</c:v>
                </c:pt>
                <c:pt idx="350">
                  <c:v>4.3184391548878134</c:v>
                </c:pt>
                <c:pt idx="351">
                  <c:v>4.3184391548878134</c:v>
                </c:pt>
                <c:pt idx="352">
                  <c:v>4.3184391548878134</c:v>
                </c:pt>
                <c:pt idx="353">
                  <c:v>4.3184391548878134</c:v>
                </c:pt>
                <c:pt idx="354">
                  <c:v>4.3184391548878134</c:v>
                </c:pt>
                <c:pt idx="355">
                  <c:v>4.3184391548878134</c:v>
                </c:pt>
                <c:pt idx="356">
                  <c:v>4.3184391548878134</c:v>
                </c:pt>
                <c:pt idx="357">
                  <c:v>4.3184391548878134</c:v>
                </c:pt>
                <c:pt idx="358">
                  <c:v>4.3184391548878134</c:v>
                </c:pt>
                <c:pt idx="359">
                  <c:v>4.3184391548878134</c:v>
                </c:pt>
                <c:pt idx="360">
                  <c:v>4.3184391548878134</c:v>
                </c:pt>
                <c:pt idx="361">
                  <c:v>4.3184391548878134</c:v>
                </c:pt>
                <c:pt idx="362">
                  <c:v>4.3184391548878134</c:v>
                </c:pt>
                <c:pt idx="363">
                  <c:v>4.3184391548878134</c:v>
                </c:pt>
                <c:pt idx="364">
                  <c:v>4.3184391548878134</c:v>
                </c:pt>
                <c:pt idx="365">
                  <c:v>4.3184391548878134</c:v>
                </c:pt>
                <c:pt idx="366">
                  <c:v>4.3184391548878134</c:v>
                </c:pt>
                <c:pt idx="367">
                  <c:v>4.3184391548878134</c:v>
                </c:pt>
                <c:pt idx="368">
                  <c:v>4.3184391548878134</c:v>
                </c:pt>
                <c:pt idx="369">
                  <c:v>4.3184391548878134</c:v>
                </c:pt>
                <c:pt idx="370">
                  <c:v>4.3184391548878134</c:v>
                </c:pt>
                <c:pt idx="371">
                  <c:v>4.3184391548878134</c:v>
                </c:pt>
                <c:pt idx="372">
                  <c:v>4.3184391548878134</c:v>
                </c:pt>
                <c:pt idx="373">
                  <c:v>4.3184391548878134</c:v>
                </c:pt>
                <c:pt idx="374">
                  <c:v>4.3184391548878134</c:v>
                </c:pt>
                <c:pt idx="375">
                  <c:v>4.3184391548878134</c:v>
                </c:pt>
                <c:pt idx="376">
                  <c:v>4.3184391548878134</c:v>
                </c:pt>
                <c:pt idx="377">
                  <c:v>4.3184391548878134</c:v>
                </c:pt>
                <c:pt idx="378">
                  <c:v>4.3184391548878134</c:v>
                </c:pt>
                <c:pt idx="379">
                  <c:v>4.3184391548878134</c:v>
                </c:pt>
                <c:pt idx="380">
                  <c:v>4.3184391548878134</c:v>
                </c:pt>
                <c:pt idx="381">
                  <c:v>4.3184391548878134</c:v>
                </c:pt>
                <c:pt idx="382">
                  <c:v>4.3184391548878134</c:v>
                </c:pt>
                <c:pt idx="383">
                  <c:v>4.3184391548878134</c:v>
                </c:pt>
                <c:pt idx="384">
                  <c:v>4.3184391548878134</c:v>
                </c:pt>
                <c:pt idx="385">
                  <c:v>4.3184391548878134</c:v>
                </c:pt>
                <c:pt idx="386">
                  <c:v>4.3184391548878134</c:v>
                </c:pt>
                <c:pt idx="387">
                  <c:v>4.3184391548878134</c:v>
                </c:pt>
                <c:pt idx="388">
                  <c:v>4.3184391548878134</c:v>
                </c:pt>
                <c:pt idx="389">
                  <c:v>4.3184391548878134</c:v>
                </c:pt>
                <c:pt idx="390">
                  <c:v>4.3184391548878134</c:v>
                </c:pt>
                <c:pt idx="391">
                  <c:v>4.3184391548878134</c:v>
                </c:pt>
                <c:pt idx="392">
                  <c:v>4.3184391548878134</c:v>
                </c:pt>
                <c:pt idx="393">
                  <c:v>4.3184391548878134</c:v>
                </c:pt>
                <c:pt idx="394">
                  <c:v>4.3184391548878134</c:v>
                </c:pt>
                <c:pt idx="395">
                  <c:v>4.3184391548878134</c:v>
                </c:pt>
                <c:pt idx="396">
                  <c:v>4.3184391548878134</c:v>
                </c:pt>
                <c:pt idx="397">
                  <c:v>4.3184391548878134</c:v>
                </c:pt>
                <c:pt idx="398">
                  <c:v>4.3184391548878134</c:v>
                </c:pt>
                <c:pt idx="399">
                  <c:v>4.3184391548878134</c:v>
                </c:pt>
                <c:pt idx="400">
                  <c:v>4.3184391548878134</c:v>
                </c:pt>
                <c:pt idx="401">
                  <c:v>4.3184391548878134</c:v>
                </c:pt>
                <c:pt idx="402">
                  <c:v>4.3184391548878134</c:v>
                </c:pt>
                <c:pt idx="403">
                  <c:v>4.3184391548878134</c:v>
                </c:pt>
                <c:pt idx="404">
                  <c:v>4.3184391548878134</c:v>
                </c:pt>
                <c:pt idx="405">
                  <c:v>4.3184391548878134</c:v>
                </c:pt>
                <c:pt idx="406">
                  <c:v>4.3184391548878134</c:v>
                </c:pt>
                <c:pt idx="407">
                  <c:v>4.3184391548878134</c:v>
                </c:pt>
                <c:pt idx="408">
                  <c:v>4.3184391548878134</c:v>
                </c:pt>
                <c:pt idx="409">
                  <c:v>4.3184391548878134</c:v>
                </c:pt>
                <c:pt idx="410">
                  <c:v>4.3184391548878134</c:v>
                </c:pt>
                <c:pt idx="411">
                  <c:v>4.3184391548878134</c:v>
                </c:pt>
                <c:pt idx="412">
                  <c:v>4.3184391548878134</c:v>
                </c:pt>
                <c:pt idx="413">
                  <c:v>4.3184391548878134</c:v>
                </c:pt>
                <c:pt idx="414">
                  <c:v>4.3184391548878134</c:v>
                </c:pt>
                <c:pt idx="415">
                  <c:v>4.3184391548878134</c:v>
                </c:pt>
                <c:pt idx="416">
                  <c:v>4.3184391548878134</c:v>
                </c:pt>
                <c:pt idx="417">
                  <c:v>4.3184391548878134</c:v>
                </c:pt>
                <c:pt idx="418">
                  <c:v>4.3184391548878134</c:v>
                </c:pt>
              </c:numCache>
            </c:numRef>
          </c:val>
          <c:smooth val="1"/>
          <c:extLst>
            <c:ext xmlns:c16="http://schemas.microsoft.com/office/drawing/2014/chart" uri="{C3380CC4-5D6E-409C-BE32-E72D297353CC}">
              <c16:uniqueId val="{00000001-5DD5-4FA1-AE49-D4B74D0A91B6}"/>
            </c:ext>
          </c:extLst>
        </c:ser>
        <c:ser>
          <c:idx val="2"/>
          <c:order val="3"/>
          <c:tx>
            <c:v>SW</c:v>
          </c:tx>
          <c:spPr>
            <a:ln w="28575" cap="rnd">
              <a:solidFill>
                <a:srgbClr val="0070C0"/>
              </a:solidFill>
              <a:prstDash val="solid"/>
              <a:round/>
            </a:ln>
            <a:effectLst/>
          </c:spPr>
          <c:marker>
            <c:symbol val="none"/>
          </c:marker>
          <c:val>
            <c:numRef>
              <c:f>'2025-Q2'!$ED$4:$ED$422</c:f>
              <c:numCache>
                <c:formatCode>0.00</c:formatCode>
                <c:ptCount val="419"/>
                <c:pt idx="0">
                  <c:v>0</c:v>
                </c:pt>
                <c:pt idx="1">
                  <c:v>0</c:v>
                </c:pt>
                <c:pt idx="2">
                  <c:v>0</c:v>
                </c:pt>
                <c:pt idx="3">
                  <c:v>0</c:v>
                </c:pt>
                <c:pt idx="4">
                  <c:v>0</c:v>
                </c:pt>
                <c:pt idx="5">
                  <c:v>0</c:v>
                </c:pt>
                <c:pt idx="6">
                  <c:v>0</c:v>
                </c:pt>
                <c:pt idx="7">
                  <c:v>-0.12754541056428245</c:v>
                </c:pt>
                <c:pt idx="8">
                  <c:v>-0.12754541056428245</c:v>
                </c:pt>
                <c:pt idx="9">
                  <c:v>-0.12754541056428245</c:v>
                </c:pt>
                <c:pt idx="10">
                  <c:v>-0.12754541056428245</c:v>
                </c:pt>
                <c:pt idx="11">
                  <c:v>-0.12754541056428245</c:v>
                </c:pt>
                <c:pt idx="12">
                  <c:v>-0.12754541056428245</c:v>
                </c:pt>
                <c:pt idx="13">
                  <c:v>-0.12754541056428245</c:v>
                </c:pt>
                <c:pt idx="14">
                  <c:v>-0.12754541056428245</c:v>
                </c:pt>
                <c:pt idx="15">
                  <c:v>0.52792722625163879</c:v>
                </c:pt>
                <c:pt idx="16">
                  <c:v>0.52792722625163879</c:v>
                </c:pt>
                <c:pt idx="17">
                  <c:v>0.52792722625163879</c:v>
                </c:pt>
                <c:pt idx="18">
                  <c:v>0.52792722625163879</c:v>
                </c:pt>
                <c:pt idx="19">
                  <c:v>0.52792722625163879</c:v>
                </c:pt>
                <c:pt idx="20">
                  <c:v>0.52792722625163879</c:v>
                </c:pt>
                <c:pt idx="21">
                  <c:v>0.52792722625163879</c:v>
                </c:pt>
                <c:pt idx="22">
                  <c:v>0.52792722625163879</c:v>
                </c:pt>
                <c:pt idx="23">
                  <c:v>0.52792722625163879</c:v>
                </c:pt>
                <c:pt idx="24">
                  <c:v>0.52792722625163879</c:v>
                </c:pt>
                <c:pt idx="25">
                  <c:v>0.52792722625163879</c:v>
                </c:pt>
                <c:pt idx="26">
                  <c:v>0.52792722625163879</c:v>
                </c:pt>
                <c:pt idx="27">
                  <c:v>0.52792722625163879</c:v>
                </c:pt>
                <c:pt idx="28">
                  <c:v>0.52792722625163879</c:v>
                </c:pt>
                <c:pt idx="29">
                  <c:v>0.52792722625163879</c:v>
                </c:pt>
                <c:pt idx="30">
                  <c:v>0.52792722625163879</c:v>
                </c:pt>
                <c:pt idx="31">
                  <c:v>0.52792722625163879</c:v>
                </c:pt>
                <c:pt idx="32">
                  <c:v>0.52792722625163879</c:v>
                </c:pt>
                <c:pt idx="33">
                  <c:v>0.52792722625163879</c:v>
                </c:pt>
                <c:pt idx="34">
                  <c:v>0.52792722625163879</c:v>
                </c:pt>
                <c:pt idx="35">
                  <c:v>-0.29335791431061087</c:v>
                </c:pt>
                <c:pt idx="36">
                  <c:v>-0.29335791431061087</c:v>
                </c:pt>
                <c:pt idx="37">
                  <c:v>-0.29335791431061087</c:v>
                </c:pt>
                <c:pt idx="38">
                  <c:v>-0.29335791431061087</c:v>
                </c:pt>
                <c:pt idx="39">
                  <c:v>-0.29335791431061087</c:v>
                </c:pt>
                <c:pt idx="40">
                  <c:v>-0.29335791431061087</c:v>
                </c:pt>
                <c:pt idx="41">
                  <c:v>-0.29335791431061087</c:v>
                </c:pt>
                <c:pt idx="42">
                  <c:v>-0.29335791431061087</c:v>
                </c:pt>
                <c:pt idx="43">
                  <c:v>0.46825315007589452</c:v>
                </c:pt>
                <c:pt idx="44">
                  <c:v>0.46825315007589452</c:v>
                </c:pt>
                <c:pt idx="45">
                  <c:v>0.45807125784395203</c:v>
                </c:pt>
                <c:pt idx="46">
                  <c:v>0.45807125784395203</c:v>
                </c:pt>
                <c:pt idx="47">
                  <c:v>0.45807125784395203</c:v>
                </c:pt>
                <c:pt idx="48">
                  <c:v>0.45807125784395203</c:v>
                </c:pt>
                <c:pt idx="49">
                  <c:v>-1.0735388489326645</c:v>
                </c:pt>
                <c:pt idx="50">
                  <c:v>-1.0735388489326645</c:v>
                </c:pt>
                <c:pt idx="51">
                  <c:v>-0.12249858668611946</c:v>
                </c:pt>
                <c:pt idx="52">
                  <c:v>-0.12249858668611946</c:v>
                </c:pt>
                <c:pt idx="53">
                  <c:v>-0.12249858668611946</c:v>
                </c:pt>
                <c:pt idx="54">
                  <c:v>-0.12249858668611946</c:v>
                </c:pt>
                <c:pt idx="55">
                  <c:v>-0.12249858668611946</c:v>
                </c:pt>
                <c:pt idx="56">
                  <c:v>-0.12249858668611946</c:v>
                </c:pt>
                <c:pt idx="57">
                  <c:v>-0.12249858668611946</c:v>
                </c:pt>
                <c:pt idx="58">
                  <c:v>-0.12249858668611946</c:v>
                </c:pt>
                <c:pt idx="59">
                  <c:v>-0.12249858668611946</c:v>
                </c:pt>
                <c:pt idx="60">
                  <c:v>-0.12249858668611946</c:v>
                </c:pt>
                <c:pt idx="61">
                  <c:v>1.3071535330018835</c:v>
                </c:pt>
                <c:pt idx="62">
                  <c:v>1.3071535330018835</c:v>
                </c:pt>
                <c:pt idx="63">
                  <c:v>1.3071535330018835</c:v>
                </c:pt>
                <c:pt idx="64">
                  <c:v>1.3071535330018835</c:v>
                </c:pt>
                <c:pt idx="65">
                  <c:v>2.4844445330839244</c:v>
                </c:pt>
                <c:pt idx="66">
                  <c:v>2.4844445330839244</c:v>
                </c:pt>
                <c:pt idx="67">
                  <c:v>2.4844445330839244</c:v>
                </c:pt>
                <c:pt idx="68">
                  <c:v>2.4844445330839244</c:v>
                </c:pt>
                <c:pt idx="69">
                  <c:v>2.4844445330839244</c:v>
                </c:pt>
                <c:pt idx="70">
                  <c:v>2.4844445330839244</c:v>
                </c:pt>
                <c:pt idx="71">
                  <c:v>2.4844445330839244</c:v>
                </c:pt>
                <c:pt idx="72">
                  <c:v>3.6352751494478444</c:v>
                </c:pt>
                <c:pt idx="73">
                  <c:v>3.443014111116935</c:v>
                </c:pt>
                <c:pt idx="74">
                  <c:v>3.443014111116935</c:v>
                </c:pt>
                <c:pt idx="75">
                  <c:v>2.9360240487958968</c:v>
                </c:pt>
                <c:pt idx="76">
                  <c:v>2.9360240487958968</c:v>
                </c:pt>
                <c:pt idx="77">
                  <c:v>2.9360240487958968</c:v>
                </c:pt>
                <c:pt idx="78">
                  <c:v>2.9360240487958968</c:v>
                </c:pt>
                <c:pt idx="79">
                  <c:v>2.9360240487958968</c:v>
                </c:pt>
                <c:pt idx="80">
                  <c:v>2.9360240487958968</c:v>
                </c:pt>
                <c:pt idx="81">
                  <c:v>2.9360240487958968</c:v>
                </c:pt>
                <c:pt idx="82">
                  <c:v>2.9360240487958968</c:v>
                </c:pt>
                <c:pt idx="83">
                  <c:v>2.3678422306140781</c:v>
                </c:pt>
                <c:pt idx="84">
                  <c:v>2.3678422306140781</c:v>
                </c:pt>
                <c:pt idx="85">
                  <c:v>2.3678422306140781</c:v>
                </c:pt>
                <c:pt idx="86">
                  <c:v>2.3678422306140781</c:v>
                </c:pt>
                <c:pt idx="87">
                  <c:v>2.3678422306140781</c:v>
                </c:pt>
                <c:pt idx="88">
                  <c:v>2.3678422306140781</c:v>
                </c:pt>
                <c:pt idx="89">
                  <c:v>2.3678422306140781</c:v>
                </c:pt>
                <c:pt idx="90">
                  <c:v>2.3678422306140781</c:v>
                </c:pt>
                <c:pt idx="91">
                  <c:v>2.3678422306140781</c:v>
                </c:pt>
                <c:pt idx="92">
                  <c:v>2.3678422306140781</c:v>
                </c:pt>
                <c:pt idx="93">
                  <c:v>2.3678422306140781</c:v>
                </c:pt>
                <c:pt idx="94">
                  <c:v>1.7296296266665774</c:v>
                </c:pt>
                <c:pt idx="95">
                  <c:v>1.7296296266665774</c:v>
                </c:pt>
                <c:pt idx="96">
                  <c:v>1.7296296266665774</c:v>
                </c:pt>
                <c:pt idx="97">
                  <c:v>1.7296296266665774</c:v>
                </c:pt>
                <c:pt idx="98">
                  <c:v>1.7296296266665774</c:v>
                </c:pt>
                <c:pt idx="99">
                  <c:v>1.7296296266665774</c:v>
                </c:pt>
                <c:pt idx="100">
                  <c:v>1.7296296266665774</c:v>
                </c:pt>
                <c:pt idx="101">
                  <c:v>1.7296296266665774</c:v>
                </c:pt>
                <c:pt idx="102">
                  <c:v>1.7103671484331777</c:v>
                </c:pt>
                <c:pt idx="103">
                  <c:v>1.7103671484331777</c:v>
                </c:pt>
                <c:pt idx="104">
                  <c:v>1.7103671484331777</c:v>
                </c:pt>
                <c:pt idx="105">
                  <c:v>1.7103671484331777</c:v>
                </c:pt>
                <c:pt idx="106">
                  <c:v>1.7103671484331777</c:v>
                </c:pt>
                <c:pt idx="107">
                  <c:v>1.7103671484331777</c:v>
                </c:pt>
                <c:pt idx="108">
                  <c:v>1.7103671484331777</c:v>
                </c:pt>
                <c:pt idx="109">
                  <c:v>1.7103671484331777</c:v>
                </c:pt>
                <c:pt idx="110">
                  <c:v>1.7103671484331777</c:v>
                </c:pt>
                <c:pt idx="111">
                  <c:v>1.7103671484331777</c:v>
                </c:pt>
                <c:pt idx="112">
                  <c:v>1.7103671484331777</c:v>
                </c:pt>
                <c:pt idx="113">
                  <c:v>1.7103671484331777</c:v>
                </c:pt>
                <c:pt idx="114">
                  <c:v>1.7103671484331777</c:v>
                </c:pt>
                <c:pt idx="115">
                  <c:v>1.7103671484331777</c:v>
                </c:pt>
                <c:pt idx="116">
                  <c:v>1.7103671484331777</c:v>
                </c:pt>
                <c:pt idx="117">
                  <c:v>1.7103671484331777</c:v>
                </c:pt>
                <c:pt idx="118">
                  <c:v>1.7103671484331777</c:v>
                </c:pt>
                <c:pt idx="119">
                  <c:v>1.7103671484331777</c:v>
                </c:pt>
                <c:pt idx="120">
                  <c:v>1.7103671484331777</c:v>
                </c:pt>
                <c:pt idx="121">
                  <c:v>1.7103671484331777</c:v>
                </c:pt>
                <c:pt idx="122">
                  <c:v>1.7103671484331777</c:v>
                </c:pt>
                <c:pt idx="123">
                  <c:v>1.7103671484331777</c:v>
                </c:pt>
                <c:pt idx="124">
                  <c:v>1.7103671484331777</c:v>
                </c:pt>
                <c:pt idx="125">
                  <c:v>1.7103671484331777</c:v>
                </c:pt>
                <c:pt idx="126">
                  <c:v>1.7103671484331777</c:v>
                </c:pt>
                <c:pt idx="127">
                  <c:v>1.7103671484331777</c:v>
                </c:pt>
                <c:pt idx="128">
                  <c:v>1.7103671484331777</c:v>
                </c:pt>
                <c:pt idx="129">
                  <c:v>1.7103671484331777</c:v>
                </c:pt>
                <c:pt idx="130">
                  <c:v>1.7103671484331777</c:v>
                </c:pt>
                <c:pt idx="131">
                  <c:v>1.7103671484331777</c:v>
                </c:pt>
                <c:pt idx="132">
                  <c:v>1.7103671484331777</c:v>
                </c:pt>
                <c:pt idx="133">
                  <c:v>1.7103671484331777</c:v>
                </c:pt>
                <c:pt idx="134">
                  <c:v>1.7103671484331777</c:v>
                </c:pt>
                <c:pt idx="135">
                  <c:v>1.7103671484331777</c:v>
                </c:pt>
                <c:pt idx="136">
                  <c:v>1.7103671484331777</c:v>
                </c:pt>
                <c:pt idx="137">
                  <c:v>1.7103671484331777</c:v>
                </c:pt>
                <c:pt idx="138">
                  <c:v>1.7103671484331777</c:v>
                </c:pt>
                <c:pt idx="139">
                  <c:v>1.7103671484331777</c:v>
                </c:pt>
                <c:pt idx="140">
                  <c:v>1.7103671484331777</c:v>
                </c:pt>
                <c:pt idx="141">
                  <c:v>1.7103671484331777</c:v>
                </c:pt>
                <c:pt idx="142">
                  <c:v>1.7103671484331777</c:v>
                </c:pt>
                <c:pt idx="143">
                  <c:v>1.7103671484331777</c:v>
                </c:pt>
                <c:pt idx="144">
                  <c:v>1.7103671484331777</c:v>
                </c:pt>
                <c:pt idx="145">
                  <c:v>1.7103671484331777</c:v>
                </c:pt>
                <c:pt idx="146">
                  <c:v>1.7103671484331777</c:v>
                </c:pt>
                <c:pt idx="147">
                  <c:v>1.7103671484331777</c:v>
                </c:pt>
                <c:pt idx="148">
                  <c:v>1.7103671484331777</c:v>
                </c:pt>
                <c:pt idx="149">
                  <c:v>1.7103671484331777</c:v>
                </c:pt>
                <c:pt idx="150">
                  <c:v>1.4704559513837272</c:v>
                </c:pt>
                <c:pt idx="151">
                  <c:v>1.4704559513837272</c:v>
                </c:pt>
                <c:pt idx="152">
                  <c:v>1.4704559513837272</c:v>
                </c:pt>
                <c:pt idx="153">
                  <c:v>1.4704559513837272</c:v>
                </c:pt>
                <c:pt idx="154">
                  <c:v>1.4704559513837272</c:v>
                </c:pt>
                <c:pt idx="155">
                  <c:v>1.4704559513837272</c:v>
                </c:pt>
                <c:pt idx="156">
                  <c:v>1.4704559513837272</c:v>
                </c:pt>
                <c:pt idx="157">
                  <c:v>1.4704559513837272</c:v>
                </c:pt>
                <c:pt idx="158">
                  <c:v>1.4704559513837272</c:v>
                </c:pt>
                <c:pt idx="159">
                  <c:v>1.4704559513837272</c:v>
                </c:pt>
                <c:pt idx="160">
                  <c:v>1.4704559513837272</c:v>
                </c:pt>
                <c:pt idx="161">
                  <c:v>1.4704559513837272</c:v>
                </c:pt>
                <c:pt idx="162">
                  <c:v>1.4704559513837272</c:v>
                </c:pt>
                <c:pt idx="163">
                  <c:v>1.4704559513837272</c:v>
                </c:pt>
                <c:pt idx="164">
                  <c:v>1.8938998897918817</c:v>
                </c:pt>
                <c:pt idx="165">
                  <c:v>2.863890081432142</c:v>
                </c:pt>
                <c:pt idx="166">
                  <c:v>2.7349690197292804</c:v>
                </c:pt>
                <c:pt idx="167">
                  <c:v>2.4515280577205139</c:v>
                </c:pt>
                <c:pt idx="168">
                  <c:v>2.4515280577205139</c:v>
                </c:pt>
                <c:pt idx="169">
                  <c:v>2.4515280577205139</c:v>
                </c:pt>
                <c:pt idx="170">
                  <c:v>2.4515280577205139</c:v>
                </c:pt>
                <c:pt idx="171">
                  <c:v>2.4515280577205139</c:v>
                </c:pt>
                <c:pt idx="172">
                  <c:v>2.4515280577205139</c:v>
                </c:pt>
                <c:pt idx="173">
                  <c:v>2.4515280577205139</c:v>
                </c:pt>
                <c:pt idx="174">
                  <c:v>2.4515280577205139</c:v>
                </c:pt>
                <c:pt idx="175">
                  <c:v>2.4515280577205139</c:v>
                </c:pt>
                <c:pt idx="176">
                  <c:v>2.4515280577205139</c:v>
                </c:pt>
                <c:pt idx="177">
                  <c:v>2.4515280577205139</c:v>
                </c:pt>
                <c:pt idx="178">
                  <c:v>2.4515280577205139</c:v>
                </c:pt>
                <c:pt idx="179">
                  <c:v>2.4515280577205139</c:v>
                </c:pt>
                <c:pt idx="180">
                  <c:v>2.4515280577205139</c:v>
                </c:pt>
                <c:pt idx="181">
                  <c:v>2.4515280577205139</c:v>
                </c:pt>
                <c:pt idx="182">
                  <c:v>2.4515280577205139</c:v>
                </c:pt>
                <c:pt idx="183">
                  <c:v>2.4515280577205139</c:v>
                </c:pt>
                <c:pt idx="184">
                  <c:v>2.4515280577205139</c:v>
                </c:pt>
                <c:pt idx="185">
                  <c:v>2.4515280577205139</c:v>
                </c:pt>
                <c:pt idx="186">
                  <c:v>2.4515280577205139</c:v>
                </c:pt>
                <c:pt idx="187">
                  <c:v>2.4515280577205139</c:v>
                </c:pt>
                <c:pt idx="188">
                  <c:v>2.4515280577205139</c:v>
                </c:pt>
                <c:pt idx="189">
                  <c:v>2.4515280577205139</c:v>
                </c:pt>
                <c:pt idx="190">
                  <c:v>2.4515280577205139</c:v>
                </c:pt>
                <c:pt idx="191">
                  <c:v>2.4515280577205139</c:v>
                </c:pt>
                <c:pt idx="192">
                  <c:v>2.4515280577205139</c:v>
                </c:pt>
                <c:pt idx="193">
                  <c:v>2.4515280577205139</c:v>
                </c:pt>
                <c:pt idx="194">
                  <c:v>2.4515280577205139</c:v>
                </c:pt>
                <c:pt idx="195">
                  <c:v>2.5777281054470773</c:v>
                </c:pt>
                <c:pt idx="196">
                  <c:v>2.5777281054470773</c:v>
                </c:pt>
                <c:pt idx="197">
                  <c:v>2.5777281054470773</c:v>
                </c:pt>
                <c:pt idx="198">
                  <c:v>2.5777281054470773</c:v>
                </c:pt>
                <c:pt idx="199">
                  <c:v>2.5777281054470773</c:v>
                </c:pt>
                <c:pt idx="200">
                  <c:v>2.5777281054470773</c:v>
                </c:pt>
                <c:pt idx="201">
                  <c:v>2.5777281054470773</c:v>
                </c:pt>
                <c:pt idx="202">
                  <c:v>2.8358292304043822</c:v>
                </c:pt>
                <c:pt idx="203">
                  <c:v>2.8358292304043822</c:v>
                </c:pt>
                <c:pt idx="204">
                  <c:v>3.1841938205512466</c:v>
                </c:pt>
                <c:pt idx="205">
                  <c:v>3.1841938205512466</c:v>
                </c:pt>
                <c:pt idx="206">
                  <c:v>3.1841938205512466</c:v>
                </c:pt>
                <c:pt idx="207">
                  <c:v>3.1841938205512466</c:v>
                </c:pt>
                <c:pt idx="208">
                  <c:v>3.0210456505626468</c:v>
                </c:pt>
                <c:pt idx="209">
                  <c:v>3.0210456505626468</c:v>
                </c:pt>
                <c:pt idx="210">
                  <c:v>3.0210456505626468</c:v>
                </c:pt>
                <c:pt idx="211">
                  <c:v>3.0210456505626468</c:v>
                </c:pt>
                <c:pt idx="212">
                  <c:v>3.0210456505626468</c:v>
                </c:pt>
                <c:pt idx="213">
                  <c:v>3.0210456505626468</c:v>
                </c:pt>
                <c:pt idx="214">
                  <c:v>3.0210456505626468</c:v>
                </c:pt>
                <c:pt idx="215">
                  <c:v>3.0210456505626468</c:v>
                </c:pt>
                <c:pt idx="216">
                  <c:v>3.0210456505626468</c:v>
                </c:pt>
                <c:pt idx="217">
                  <c:v>3.0210456505626468</c:v>
                </c:pt>
                <c:pt idx="218">
                  <c:v>3.0210456505626468</c:v>
                </c:pt>
                <c:pt idx="219">
                  <c:v>4.5881188907371193</c:v>
                </c:pt>
                <c:pt idx="220">
                  <c:v>4.5881188907371193</c:v>
                </c:pt>
                <c:pt idx="221">
                  <c:v>5.1322420709634535</c:v>
                </c:pt>
                <c:pt idx="222">
                  <c:v>5.1322420709634535</c:v>
                </c:pt>
                <c:pt idx="223">
                  <c:v>5.1322420709634535</c:v>
                </c:pt>
                <c:pt idx="224">
                  <c:v>5.1322420709634535</c:v>
                </c:pt>
                <c:pt idx="225">
                  <c:v>5.1322420709634535</c:v>
                </c:pt>
                <c:pt idx="226">
                  <c:v>5.1322420709634535</c:v>
                </c:pt>
                <c:pt idx="227">
                  <c:v>5.1322420709634535</c:v>
                </c:pt>
                <c:pt idx="228">
                  <c:v>5.1322420709634535</c:v>
                </c:pt>
                <c:pt idx="229">
                  <c:v>5.1322420709634535</c:v>
                </c:pt>
                <c:pt idx="230">
                  <c:v>5.1322420709634535</c:v>
                </c:pt>
                <c:pt idx="231">
                  <c:v>5.1322420709634535</c:v>
                </c:pt>
                <c:pt idx="232">
                  <c:v>5.1322420709634535</c:v>
                </c:pt>
                <c:pt idx="233">
                  <c:v>5.1322420709634535</c:v>
                </c:pt>
                <c:pt idx="234">
                  <c:v>5.1322420709634535</c:v>
                </c:pt>
                <c:pt idx="235">
                  <c:v>5.1322420709634535</c:v>
                </c:pt>
                <c:pt idx="236">
                  <c:v>5.1322420709634535</c:v>
                </c:pt>
                <c:pt idx="237">
                  <c:v>5.0841293998354304</c:v>
                </c:pt>
                <c:pt idx="238">
                  <c:v>5.0841293998354304</c:v>
                </c:pt>
                <c:pt idx="239">
                  <c:v>5.0841293998354304</c:v>
                </c:pt>
                <c:pt idx="240">
                  <c:v>5.0841293998354304</c:v>
                </c:pt>
                <c:pt idx="241">
                  <c:v>5.0841293998354304</c:v>
                </c:pt>
                <c:pt idx="242">
                  <c:v>5.0841293998354304</c:v>
                </c:pt>
                <c:pt idx="243">
                  <c:v>5.0841293998354304</c:v>
                </c:pt>
                <c:pt idx="244">
                  <c:v>5.0841293998354304</c:v>
                </c:pt>
                <c:pt idx="245">
                  <c:v>5.0841293998354304</c:v>
                </c:pt>
                <c:pt idx="246">
                  <c:v>5.0841293998354304</c:v>
                </c:pt>
                <c:pt idx="247">
                  <c:v>5.0841293998354304</c:v>
                </c:pt>
                <c:pt idx="248">
                  <c:v>5.0841293998354304</c:v>
                </c:pt>
                <c:pt idx="249">
                  <c:v>5.0841293998354304</c:v>
                </c:pt>
                <c:pt idx="250">
                  <c:v>5.0841293998354304</c:v>
                </c:pt>
                <c:pt idx="251">
                  <c:v>5.0841293998354304</c:v>
                </c:pt>
                <c:pt idx="252">
                  <c:v>4.5772092731053986</c:v>
                </c:pt>
                <c:pt idx="253">
                  <c:v>4.5772092731053986</c:v>
                </c:pt>
                <c:pt idx="254">
                  <c:v>4.5772092731053986</c:v>
                </c:pt>
                <c:pt idx="255">
                  <c:v>4.5772092731053986</c:v>
                </c:pt>
                <c:pt idx="256">
                  <c:v>4.5772092731053986</c:v>
                </c:pt>
                <c:pt idx="257">
                  <c:v>4.5772092731053986</c:v>
                </c:pt>
                <c:pt idx="258">
                  <c:v>4.5772092731053986</c:v>
                </c:pt>
                <c:pt idx="259">
                  <c:v>4.5772092731053986</c:v>
                </c:pt>
                <c:pt idx="260">
                  <c:v>4.5772092731053986</c:v>
                </c:pt>
                <c:pt idx="261">
                  <c:v>4.5772092731053986</c:v>
                </c:pt>
                <c:pt idx="262">
                  <c:v>4.5772092731053986</c:v>
                </c:pt>
                <c:pt idx="263">
                  <c:v>4.5772092731053986</c:v>
                </c:pt>
                <c:pt idx="264">
                  <c:v>4.5772092731053986</c:v>
                </c:pt>
                <c:pt idx="265">
                  <c:v>4.5772092731053986</c:v>
                </c:pt>
                <c:pt idx="266">
                  <c:v>4.5772092731053986</c:v>
                </c:pt>
                <c:pt idx="267">
                  <c:v>4.5772092731053986</c:v>
                </c:pt>
                <c:pt idx="268">
                  <c:v>4.5772092731053986</c:v>
                </c:pt>
                <c:pt idx="269">
                  <c:v>4.5772092731053986</c:v>
                </c:pt>
                <c:pt idx="270">
                  <c:v>4.5772092731053986</c:v>
                </c:pt>
                <c:pt idx="271">
                  <c:v>4.5772092731053986</c:v>
                </c:pt>
                <c:pt idx="272">
                  <c:v>4.5772092731053986</c:v>
                </c:pt>
                <c:pt idx="273">
                  <c:v>4.5772092731053986</c:v>
                </c:pt>
                <c:pt idx="274">
                  <c:v>4.5772092731053986</c:v>
                </c:pt>
                <c:pt idx="275">
                  <c:v>4.5772092731053986</c:v>
                </c:pt>
                <c:pt idx="276">
                  <c:v>4.5772092731053986</c:v>
                </c:pt>
                <c:pt idx="277">
                  <c:v>4.5772092731053986</c:v>
                </c:pt>
                <c:pt idx="278">
                  <c:v>4.5772092731053986</c:v>
                </c:pt>
                <c:pt idx="279">
                  <c:v>4.5772092731053986</c:v>
                </c:pt>
                <c:pt idx="280">
                  <c:v>4.5772092731053986</c:v>
                </c:pt>
                <c:pt idx="281">
                  <c:v>4.5772092731053986</c:v>
                </c:pt>
                <c:pt idx="282">
                  <c:v>4.5772092731053986</c:v>
                </c:pt>
                <c:pt idx="283">
                  <c:v>4.5772092731053986</c:v>
                </c:pt>
                <c:pt idx="284">
                  <c:v>4.5772092731053986</c:v>
                </c:pt>
                <c:pt idx="285">
                  <c:v>4.5772092731053986</c:v>
                </c:pt>
                <c:pt idx="286">
                  <c:v>4.5772092731053986</c:v>
                </c:pt>
                <c:pt idx="287">
                  <c:v>4.5772092731053986</c:v>
                </c:pt>
                <c:pt idx="288">
                  <c:v>6.352220799154269</c:v>
                </c:pt>
                <c:pt idx="289">
                  <c:v>6.352220799154269</c:v>
                </c:pt>
                <c:pt idx="290">
                  <c:v>6.352220799154269</c:v>
                </c:pt>
                <c:pt idx="291">
                  <c:v>6.352220799154269</c:v>
                </c:pt>
                <c:pt idx="292">
                  <c:v>6.352220799154269</c:v>
                </c:pt>
                <c:pt idx="293">
                  <c:v>6.352220799154269</c:v>
                </c:pt>
                <c:pt idx="294">
                  <c:v>6.352220799154269</c:v>
                </c:pt>
                <c:pt idx="295">
                  <c:v>6.352220799154269</c:v>
                </c:pt>
                <c:pt idx="296">
                  <c:v>6.352220799154269</c:v>
                </c:pt>
                <c:pt idx="297">
                  <c:v>6.352220799154269</c:v>
                </c:pt>
                <c:pt idx="298">
                  <c:v>6.352220799154269</c:v>
                </c:pt>
                <c:pt idx="299">
                  <c:v>6.352220799154269</c:v>
                </c:pt>
                <c:pt idx="300">
                  <c:v>6.352220799154269</c:v>
                </c:pt>
                <c:pt idx="301">
                  <c:v>7.5862553388283676</c:v>
                </c:pt>
                <c:pt idx="302">
                  <c:v>7.5862553388283676</c:v>
                </c:pt>
                <c:pt idx="303">
                  <c:v>7.5862553388283676</c:v>
                </c:pt>
                <c:pt idx="304">
                  <c:v>7.5862553388283676</c:v>
                </c:pt>
                <c:pt idx="305">
                  <c:v>8.6307007550759458</c:v>
                </c:pt>
                <c:pt idx="306">
                  <c:v>8.6307007550759458</c:v>
                </c:pt>
                <c:pt idx="307">
                  <c:v>8.6307007550759458</c:v>
                </c:pt>
                <c:pt idx="308">
                  <c:v>8.6307007550759458</c:v>
                </c:pt>
                <c:pt idx="309">
                  <c:v>8.6307007550759458</c:v>
                </c:pt>
                <c:pt idx="310">
                  <c:v>8.6307007550759458</c:v>
                </c:pt>
                <c:pt idx="311">
                  <c:v>8.6307007550759458</c:v>
                </c:pt>
                <c:pt idx="312">
                  <c:v>8.6307007550759458</c:v>
                </c:pt>
                <c:pt idx="313">
                  <c:v>8.6307007550759458</c:v>
                </c:pt>
                <c:pt idx="314">
                  <c:v>8.6307007550759458</c:v>
                </c:pt>
                <c:pt idx="315">
                  <c:v>8.6307007550759458</c:v>
                </c:pt>
                <c:pt idx="316">
                  <c:v>8.6307007550759458</c:v>
                </c:pt>
                <c:pt idx="317">
                  <c:v>8.6307007550759458</c:v>
                </c:pt>
                <c:pt idx="318">
                  <c:v>8.6307007550759458</c:v>
                </c:pt>
                <c:pt idx="319">
                  <c:v>8.6307007550759458</c:v>
                </c:pt>
                <c:pt idx="320">
                  <c:v>8.6307007550759458</c:v>
                </c:pt>
                <c:pt idx="321">
                  <c:v>8.6307007550759458</c:v>
                </c:pt>
                <c:pt idx="322">
                  <c:v>8.6307007550759458</c:v>
                </c:pt>
                <c:pt idx="323">
                  <c:v>8.6307007550759458</c:v>
                </c:pt>
                <c:pt idx="324">
                  <c:v>8.6307007550759458</c:v>
                </c:pt>
                <c:pt idx="325">
                  <c:v>8.6307007550759458</c:v>
                </c:pt>
                <c:pt idx="326">
                  <c:v>8.6307007550759458</c:v>
                </c:pt>
                <c:pt idx="327">
                  <c:v>8.6307007550759458</c:v>
                </c:pt>
                <c:pt idx="328">
                  <c:v>8.6307007550759458</c:v>
                </c:pt>
                <c:pt idx="329">
                  <c:v>8.6307007550759458</c:v>
                </c:pt>
                <c:pt idx="330">
                  <c:v>8.6307007550759458</c:v>
                </c:pt>
                <c:pt idx="331">
                  <c:v>8.6307007550759458</c:v>
                </c:pt>
                <c:pt idx="332">
                  <c:v>8.6307007550759458</c:v>
                </c:pt>
                <c:pt idx="333">
                  <c:v>8.6307007550759458</c:v>
                </c:pt>
                <c:pt idx="334">
                  <c:v>8.6307007550759458</c:v>
                </c:pt>
                <c:pt idx="335">
                  <c:v>9.2956923798665674</c:v>
                </c:pt>
                <c:pt idx="336">
                  <c:v>9.2956923798665674</c:v>
                </c:pt>
                <c:pt idx="337">
                  <c:v>9.2956923798665674</c:v>
                </c:pt>
                <c:pt idx="338">
                  <c:v>9.2956923798665674</c:v>
                </c:pt>
                <c:pt idx="339">
                  <c:v>9.2956923798665674</c:v>
                </c:pt>
                <c:pt idx="340">
                  <c:v>9.2956923798665674</c:v>
                </c:pt>
                <c:pt idx="341">
                  <c:v>9.2956923798665674</c:v>
                </c:pt>
                <c:pt idx="342">
                  <c:v>9.2956923798665674</c:v>
                </c:pt>
                <c:pt idx="343">
                  <c:v>9.2956923798665674</c:v>
                </c:pt>
                <c:pt idx="344">
                  <c:v>9.2956923798665674</c:v>
                </c:pt>
                <c:pt idx="345">
                  <c:v>9.2956923798665674</c:v>
                </c:pt>
                <c:pt idx="346">
                  <c:v>9.2956923798665674</c:v>
                </c:pt>
                <c:pt idx="347">
                  <c:v>9.2956923798665674</c:v>
                </c:pt>
                <c:pt idx="348">
                  <c:v>9.2956923798665674</c:v>
                </c:pt>
                <c:pt idx="349">
                  <c:v>9.2956923798665674</c:v>
                </c:pt>
                <c:pt idx="350">
                  <c:v>9.2956923798665674</c:v>
                </c:pt>
                <c:pt idx="351">
                  <c:v>9.2956923798665674</c:v>
                </c:pt>
                <c:pt idx="352">
                  <c:v>9.2956923798665674</c:v>
                </c:pt>
                <c:pt idx="353">
                  <c:v>9.2956923798665674</c:v>
                </c:pt>
                <c:pt idx="354">
                  <c:v>9.2956923798665674</c:v>
                </c:pt>
                <c:pt idx="355">
                  <c:v>9.2956923798665674</c:v>
                </c:pt>
                <c:pt idx="356">
                  <c:v>8.4384553208490907</c:v>
                </c:pt>
                <c:pt idx="357">
                  <c:v>8.4384553208490907</c:v>
                </c:pt>
                <c:pt idx="358">
                  <c:v>8.4384553208490907</c:v>
                </c:pt>
                <c:pt idx="359">
                  <c:v>8.4384553208490907</c:v>
                </c:pt>
                <c:pt idx="360">
                  <c:v>8.4384553208490907</c:v>
                </c:pt>
                <c:pt idx="361">
                  <c:v>8.4384553208490907</c:v>
                </c:pt>
                <c:pt idx="362">
                  <c:v>8.4384553208490907</c:v>
                </c:pt>
                <c:pt idx="363">
                  <c:v>8.4384553208490907</c:v>
                </c:pt>
                <c:pt idx="364">
                  <c:v>8.4384553208490907</c:v>
                </c:pt>
                <c:pt idx="365">
                  <c:v>8.4384553208490907</c:v>
                </c:pt>
                <c:pt idx="366">
                  <c:v>8.4384553208490907</c:v>
                </c:pt>
                <c:pt idx="367">
                  <c:v>8.4384553208490907</c:v>
                </c:pt>
                <c:pt idx="368">
                  <c:v>8.4384553208490907</c:v>
                </c:pt>
                <c:pt idx="369">
                  <c:v>8.4384553208490907</c:v>
                </c:pt>
                <c:pt idx="370">
                  <c:v>8.4384553208490907</c:v>
                </c:pt>
                <c:pt idx="371">
                  <c:v>8.4384553208490907</c:v>
                </c:pt>
                <c:pt idx="372">
                  <c:v>8.4384553208490907</c:v>
                </c:pt>
                <c:pt idx="373">
                  <c:v>8.4384553208490907</c:v>
                </c:pt>
                <c:pt idx="374">
                  <c:v>8.4384553208490907</c:v>
                </c:pt>
                <c:pt idx="375">
                  <c:v>8.4384553208490907</c:v>
                </c:pt>
                <c:pt idx="376">
                  <c:v>8.4384553208490907</c:v>
                </c:pt>
                <c:pt idx="377">
                  <c:v>8.4384553208490907</c:v>
                </c:pt>
                <c:pt idx="378">
                  <c:v>8.4384553208490907</c:v>
                </c:pt>
                <c:pt idx="379">
                  <c:v>8.4384553208490907</c:v>
                </c:pt>
                <c:pt idx="380">
                  <c:v>8.4384553208490907</c:v>
                </c:pt>
                <c:pt idx="381">
                  <c:v>8.4384553208490907</c:v>
                </c:pt>
                <c:pt idx="382">
                  <c:v>8.4384553208490907</c:v>
                </c:pt>
                <c:pt idx="383">
                  <c:v>8.4384553208490907</c:v>
                </c:pt>
                <c:pt idx="384">
                  <c:v>8.4384553208490907</c:v>
                </c:pt>
                <c:pt idx="385">
                  <c:v>8.4384553208490907</c:v>
                </c:pt>
                <c:pt idx="386">
                  <c:v>8.4384553208490907</c:v>
                </c:pt>
                <c:pt idx="387">
                  <c:v>8.4384553208490907</c:v>
                </c:pt>
                <c:pt idx="388">
                  <c:v>8.4384553208490907</c:v>
                </c:pt>
                <c:pt idx="389">
                  <c:v>8.4384553208490907</c:v>
                </c:pt>
                <c:pt idx="390">
                  <c:v>8.4384553208490907</c:v>
                </c:pt>
                <c:pt idx="391">
                  <c:v>8.4384553208490907</c:v>
                </c:pt>
                <c:pt idx="392">
                  <c:v>8.4384553208490907</c:v>
                </c:pt>
                <c:pt idx="393">
                  <c:v>8.4384553208490907</c:v>
                </c:pt>
                <c:pt idx="394">
                  <c:v>8.4384553208490907</c:v>
                </c:pt>
                <c:pt idx="395">
                  <c:v>8.4384553208490907</c:v>
                </c:pt>
                <c:pt idx="396">
                  <c:v>8.4384553208490907</c:v>
                </c:pt>
                <c:pt idx="397">
                  <c:v>8.4384553208490907</c:v>
                </c:pt>
                <c:pt idx="398">
                  <c:v>8.4384553208490907</c:v>
                </c:pt>
                <c:pt idx="399">
                  <c:v>8.4384553208490907</c:v>
                </c:pt>
                <c:pt idx="400">
                  <c:v>8.4384553208490907</c:v>
                </c:pt>
                <c:pt idx="401">
                  <c:v>8.4384553208490907</c:v>
                </c:pt>
                <c:pt idx="402">
                  <c:v>8.4384553208490907</c:v>
                </c:pt>
                <c:pt idx="403">
                  <c:v>8.4384553208490907</c:v>
                </c:pt>
                <c:pt idx="404">
                  <c:v>8.4384553208490907</c:v>
                </c:pt>
                <c:pt idx="405">
                  <c:v>8.4384553208490907</c:v>
                </c:pt>
                <c:pt idx="406">
                  <c:v>8.4384553208490907</c:v>
                </c:pt>
                <c:pt idx="407">
                  <c:v>8.4384553208490907</c:v>
                </c:pt>
                <c:pt idx="408">
                  <c:v>8.4384553208490907</c:v>
                </c:pt>
                <c:pt idx="409">
                  <c:v>8.4384553208490907</c:v>
                </c:pt>
                <c:pt idx="410">
                  <c:v>8.4384553208490907</c:v>
                </c:pt>
                <c:pt idx="411">
                  <c:v>8.4384553208490907</c:v>
                </c:pt>
                <c:pt idx="412">
                  <c:v>8.4384553208490907</c:v>
                </c:pt>
                <c:pt idx="413">
                  <c:v>8.4384553208490907</c:v>
                </c:pt>
                <c:pt idx="414">
                  <c:v>8.4384553208490907</c:v>
                </c:pt>
                <c:pt idx="415">
                  <c:v>8.4384553208490907</c:v>
                </c:pt>
                <c:pt idx="416">
                  <c:v>8.4384553208490907</c:v>
                </c:pt>
                <c:pt idx="417">
                  <c:v>8.4384553208490907</c:v>
                </c:pt>
                <c:pt idx="418">
                  <c:v>8.4384553208490907</c:v>
                </c:pt>
              </c:numCache>
            </c:numRef>
          </c:val>
          <c:smooth val="1"/>
          <c:extLst>
            <c:ext xmlns:c16="http://schemas.microsoft.com/office/drawing/2014/chart" uri="{C3380CC4-5D6E-409C-BE32-E72D297353CC}">
              <c16:uniqueId val="{00000002-5DD5-4FA1-AE49-D4B74D0A91B6}"/>
            </c:ext>
          </c:extLst>
        </c:ser>
        <c:ser>
          <c:idx val="3"/>
          <c:order val="5"/>
          <c:tx>
            <c:v>All Three</c:v>
          </c:tx>
          <c:spPr>
            <a:ln w="28575" cap="rnd">
              <a:solidFill>
                <a:sysClr val="windowText" lastClr="000000"/>
              </a:solidFill>
              <a:round/>
            </a:ln>
            <a:effectLst/>
          </c:spPr>
          <c:marker>
            <c:symbol val="none"/>
          </c:marker>
          <c:val>
            <c:numRef>
              <c:f>'2025-Q2'!$EE$4:$EE$422</c:f>
              <c:numCache>
                <c:formatCode>0.00</c:formatCode>
                <c:ptCount val="419"/>
                <c:pt idx="0">
                  <c:v>-0.47844667409884589</c:v>
                </c:pt>
                <c:pt idx="1">
                  <c:v>-0.47844667409884589</c:v>
                </c:pt>
                <c:pt idx="2">
                  <c:v>-0.47844667409884589</c:v>
                </c:pt>
                <c:pt idx="3">
                  <c:v>-0.47844667409884589</c:v>
                </c:pt>
                <c:pt idx="4">
                  <c:v>-0.47844667409884589</c:v>
                </c:pt>
                <c:pt idx="5">
                  <c:v>-0.47844667409884589</c:v>
                </c:pt>
                <c:pt idx="6">
                  <c:v>-0.47844667409884589</c:v>
                </c:pt>
                <c:pt idx="7">
                  <c:v>-0.60599208466312837</c:v>
                </c:pt>
                <c:pt idx="8">
                  <c:v>-0.60599208466312837</c:v>
                </c:pt>
                <c:pt idx="9">
                  <c:v>-0.60599208466312837</c:v>
                </c:pt>
                <c:pt idx="10">
                  <c:v>-0.60599208466312837</c:v>
                </c:pt>
                <c:pt idx="11">
                  <c:v>-0.60599208466312837</c:v>
                </c:pt>
                <c:pt idx="12">
                  <c:v>-0.60599208466312837</c:v>
                </c:pt>
                <c:pt idx="13">
                  <c:v>-0.60599208466312837</c:v>
                </c:pt>
                <c:pt idx="14">
                  <c:v>0.27107104907975088</c:v>
                </c:pt>
                <c:pt idx="15">
                  <c:v>0.92654368589567215</c:v>
                </c:pt>
                <c:pt idx="16">
                  <c:v>0.92654368589567215</c:v>
                </c:pt>
                <c:pt idx="17">
                  <c:v>0.92654368589567215</c:v>
                </c:pt>
                <c:pt idx="18">
                  <c:v>0.92654368589567215</c:v>
                </c:pt>
                <c:pt idx="19">
                  <c:v>0.92654368589567215</c:v>
                </c:pt>
                <c:pt idx="20">
                  <c:v>0.92654368589567215</c:v>
                </c:pt>
                <c:pt idx="21">
                  <c:v>0.92654368589567215</c:v>
                </c:pt>
                <c:pt idx="22">
                  <c:v>0.96310675719366512</c:v>
                </c:pt>
                <c:pt idx="23">
                  <c:v>0.96310675719366512</c:v>
                </c:pt>
                <c:pt idx="24">
                  <c:v>0.96310675719366512</c:v>
                </c:pt>
                <c:pt idx="25">
                  <c:v>0.96310675719366512</c:v>
                </c:pt>
                <c:pt idx="26">
                  <c:v>0.96310675719366512</c:v>
                </c:pt>
                <c:pt idx="27">
                  <c:v>0.96310675719366512</c:v>
                </c:pt>
                <c:pt idx="28">
                  <c:v>0.96310675719366512</c:v>
                </c:pt>
                <c:pt idx="29">
                  <c:v>0.96310675719366512</c:v>
                </c:pt>
                <c:pt idx="30">
                  <c:v>0.96310675719366512</c:v>
                </c:pt>
                <c:pt idx="31">
                  <c:v>0.96310675719366512</c:v>
                </c:pt>
                <c:pt idx="32">
                  <c:v>0.96310675719366512</c:v>
                </c:pt>
                <c:pt idx="33">
                  <c:v>0.96310675719366512</c:v>
                </c:pt>
                <c:pt idx="34">
                  <c:v>0.96310675719366512</c:v>
                </c:pt>
                <c:pt idx="35">
                  <c:v>0.14182161663141543</c:v>
                </c:pt>
                <c:pt idx="36">
                  <c:v>0.14182161663141543</c:v>
                </c:pt>
                <c:pt idx="37">
                  <c:v>0.14182161663141543</c:v>
                </c:pt>
                <c:pt idx="38">
                  <c:v>0.14182161663141543</c:v>
                </c:pt>
                <c:pt idx="39">
                  <c:v>0.14182161663141543</c:v>
                </c:pt>
                <c:pt idx="40">
                  <c:v>0.14182161663141543</c:v>
                </c:pt>
                <c:pt idx="41">
                  <c:v>0.14182161663141543</c:v>
                </c:pt>
                <c:pt idx="42">
                  <c:v>0.14182161663141543</c:v>
                </c:pt>
                <c:pt idx="43">
                  <c:v>0.90343268101792085</c:v>
                </c:pt>
                <c:pt idx="44">
                  <c:v>0.90343268101792085</c:v>
                </c:pt>
                <c:pt idx="45">
                  <c:v>0.89325078878597841</c:v>
                </c:pt>
                <c:pt idx="46">
                  <c:v>0.89325078878597841</c:v>
                </c:pt>
                <c:pt idx="47">
                  <c:v>-0.56786251807291133</c:v>
                </c:pt>
                <c:pt idx="48">
                  <c:v>-0.56786251807291133</c:v>
                </c:pt>
                <c:pt idx="49">
                  <c:v>-2.0994726248495277</c:v>
                </c:pt>
                <c:pt idx="50">
                  <c:v>-2.0994726248495277</c:v>
                </c:pt>
                <c:pt idx="51">
                  <c:v>-1.1484323626029829</c:v>
                </c:pt>
                <c:pt idx="52">
                  <c:v>-2.4507795426097365</c:v>
                </c:pt>
                <c:pt idx="53">
                  <c:v>-2.4507795426097365</c:v>
                </c:pt>
                <c:pt idx="54">
                  <c:v>-2.4507795426097365</c:v>
                </c:pt>
                <c:pt idx="55">
                  <c:v>-2.4507795426097365</c:v>
                </c:pt>
                <c:pt idx="56">
                  <c:v>-2.4507795426097365</c:v>
                </c:pt>
                <c:pt idx="57">
                  <c:v>-2.4507795426097365</c:v>
                </c:pt>
                <c:pt idx="58">
                  <c:v>-2.4507795426097365</c:v>
                </c:pt>
                <c:pt idx="59">
                  <c:v>-2.4507795426097365</c:v>
                </c:pt>
                <c:pt idx="60">
                  <c:v>-2.4507795426097365</c:v>
                </c:pt>
                <c:pt idx="61">
                  <c:v>-1.0211274229217338</c:v>
                </c:pt>
                <c:pt idx="62">
                  <c:v>-1.0211274229217338</c:v>
                </c:pt>
                <c:pt idx="63">
                  <c:v>-1.0211274229217338</c:v>
                </c:pt>
                <c:pt idx="64">
                  <c:v>-1.0211274229217338</c:v>
                </c:pt>
                <c:pt idx="65">
                  <c:v>0.15616357716030693</c:v>
                </c:pt>
                <c:pt idx="66">
                  <c:v>-0.22262430162757174</c:v>
                </c:pt>
                <c:pt idx="67">
                  <c:v>-0.22262430162757174</c:v>
                </c:pt>
                <c:pt idx="68">
                  <c:v>-0.22262430162757174</c:v>
                </c:pt>
                <c:pt idx="69">
                  <c:v>-0.22262430162757174</c:v>
                </c:pt>
                <c:pt idx="70">
                  <c:v>-0.22262430162757174</c:v>
                </c:pt>
                <c:pt idx="71">
                  <c:v>-0.22262430162757174</c:v>
                </c:pt>
                <c:pt idx="72">
                  <c:v>0.92820631473634818</c:v>
                </c:pt>
                <c:pt idx="73">
                  <c:v>0.73594527640543883</c:v>
                </c:pt>
                <c:pt idx="74">
                  <c:v>0.73594527640543883</c:v>
                </c:pt>
                <c:pt idx="75">
                  <c:v>0.22895521408440067</c:v>
                </c:pt>
                <c:pt idx="76">
                  <c:v>0.22895521408440067</c:v>
                </c:pt>
                <c:pt idx="77">
                  <c:v>0.22895521408440067</c:v>
                </c:pt>
                <c:pt idx="78">
                  <c:v>0.22895521408440067</c:v>
                </c:pt>
                <c:pt idx="79">
                  <c:v>0.22895521408440067</c:v>
                </c:pt>
                <c:pt idx="80">
                  <c:v>0.22895521408440067</c:v>
                </c:pt>
                <c:pt idx="81">
                  <c:v>0.22895521408440067</c:v>
                </c:pt>
                <c:pt idx="82">
                  <c:v>0.22895521408440067</c:v>
                </c:pt>
                <c:pt idx="83">
                  <c:v>-0.33922660409741812</c:v>
                </c:pt>
                <c:pt idx="84">
                  <c:v>-0.33922660409741812</c:v>
                </c:pt>
                <c:pt idx="85">
                  <c:v>-0.33922660409741812</c:v>
                </c:pt>
                <c:pt idx="86">
                  <c:v>-0.33922660409741812</c:v>
                </c:pt>
                <c:pt idx="87">
                  <c:v>-0.32916067224377721</c:v>
                </c:pt>
                <c:pt idx="88">
                  <c:v>0.54519853544876384</c:v>
                </c:pt>
                <c:pt idx="89">
                  <c:v>0.54519853544876384</c:v>
                </c:pt>
                <c:pt idx="90">
                  <c:v>0.54519853544876384</c:v>
                </c:pt>
                <c:pt idx="91">
                  <c:v>0.54519853544876384</c:v>
                </c:pt>
                <c:pt idx="92">
                  <c:v>0.54519853544876384</c:v>
                </c:pt>
                <c:pt idx="93">
                  <c:v>0.54519853544876384</c:v>
                </c:pt>
                <c:pt idx="94">
                  <c:v>-9.3014068498736835E-2</c:v>
                </c:pt>
                <c:pt idx="95">
                  <c:v>-9.3014068498736835E-2</c:v>
                </c:pt>
                <c:pt idx="96">
                  <c:v>-9.3014068498736835E-2</c:v>
                </c:pt>
                <c:pt idx="97">
                  <c:v>-9.3014068498736835E-2</c:v>
                </c:pt>
                <c:pt idx="98">
                  <c:v>-9.3014068498736835E-2</c:v>
                </c:pt>
                <c:pt idx="99">
                  <c:v>-9.3014068498736835E-2</c:v>
                </c:pt>
                <c:pt idx="100">
                  <c:v>-9.3014068498736835E-2</c:v>
                </c:pt>
                <c:pt idx="101">
                  <c:v>-9.3014068498736835E-2</c:v>
                </c:pt>
                <c:pt idx="102">
                  <c:v>-0.11227654673213627</c:v>
                </c:pt>
                <c:pt idx="103">
                  <c:v>-0.11227654673213627</c:v>
                </c:pt>
                <c:pt idx="104">
                  <c:v>-0.11227654673213627</c:v>
                </c:pt>
                <c:pt idx="105">
                  <c:v>-0.11227654673213627</c:v>
                </c:pt>
                <c:pt idx="106">
                  <c:v>8.3630857598595065E-2</c:v>
                </c:pt>
                <c:pt idx="107">
                  <c:v>8.3630857598595065E-2</c:v>
                </c:pt>
                <c:pt idx="108">
                  <c:v>8.3630857598595065E-2</c:v>
                </c:pt>
                <c:pt idx="109">
                  <c:v>8.3630857598595065E-2</c:v>
                </c:pt>
                <c:pt idx="110">
                  <c:v>8.3630857598595065E-2</c:v>
                </c:pt>
                <c:pt idx="111">
                  <c:v>8.3630857598595065E-2</c:v>
                </c:pt>
                <c:pt idx="112">
                  <c:v>8.3630857598595065E-2</c:v>
                </c:pt>
                <c:pt idx="113">
                  <c:v>8.3630857598595065E-2</c:v>
                </c:pt>
                <c:pt idx="114">
                  <c:v>8.3630857598595065E-2</c:v>
                </c:pt>
                <c:pt idx="115">
                  <c:v>8.3630857598595065E-2</c:v>
                </c:pt>
                <c:pt idx="116">
                  <c:v>8.3630857598595065E-2</c:v>
                </c:pt>
                <c:pt idx="117">
                  <c:v>8.3630857598595065E-2</c:v>
                </c:pt>
                <c:pt idx="118">
                  <c:v>8.3630857598595065E-2</c:v>
                </c:pt>
                <c:pt idx="119">
                  <c:v>8.3630857598595065E-2</c:v>
                </c:pt>
                <c:pt idx="120">
                  <c:v>8.3630857598595065E-2</c:v>
                </c:pt>
                <c:pt idx="121">
                  <c:v>-0.28596346170761661</c:v>
                </c:pt>
                <c:pt idx="122">
                  <c:v>-0.28596346170761661</c:v>
                </c:pt>
                <c:pt idx="123">
                  <c:v>-0.28596346170761661</c:v>
                </c:pt>
                <c:pt idx="124">
                  <c:v>-0.28596346170761661</c:v>
                </c:pt>
                <c:pt idx="125">
                  <c:v>-0.28596346170761661</c:v>
                </c:pt>
                <c:pt idx="126">
                  <c:v>-0.28596346170761661</c:v>
                </c:pt>
                <c:pt idx="127">
                  <c:v>-0.28596346170761661</c:v>
                </c:pt>
                <c:pt idx="128">
                  <c:v>-0.28596346170761661</c:v>
                </c:pt>
                <c:pt idx="129">
                  <c:v>-0.28596346170761661</c:v>
                </c:pt>
                <c:pt idx="130">
                  <c:v>-0.28596346170761661</c:v>
                </c:pt>
                <c:pt idx="131">
                  <c:v>-0.28596346170761661</c:v>
                </c:pt>
                <c:pt idx="132">
                  <c:v>-0.28596346170761661</c:v>
                </c:pt>
                <c:pt idx="133">
                  <c:v>0.68825064809971681</c:v>
                </c:pt>
                <c:pt idx="134">
                  <c:v>0.68825064809971681</c:v>
                </c:pt>
                <c:pt idx="135">
                  <c:v>0.68825064809971681</c:v>
                </c:pt>
                <c:pt idx="136">
                  <c:v>0.8753622627527895</c:v>
                </c:pt>
                <c:pt idx="137">
                  <c:v>0.8753622627527895</c:v>
                </c:pt>
                <c:pt idx="138">
                  <c:v>0.8753622627527895</c:v>
                </c:pt>
                <c:pt idx="139">
                  <c:v>0.8753622627527895</c:v>
                </c:pt>
                <c:pt idx="140">
                  <c:v>0.8753622627527895</c:v>
                </c:pt>
                <c:pt idx="141">
                  <c:v>0.8753622627527895</c:v>
                </c:pt>
                <c:pt idx="142">
                  <c:v>0.8753622627527895</c:v>
                </c:pt>
                <c:pt idx="143">
                  <c:v>0.8753622627527895</c:v>
                </c:pt>
                <c:pt idx="144">
                  <c:v>0.8753622627527895</c:v>
                </c:pt>
                <c:pt idx="145">
                  <c:v>0.8753622627527895</c:v>
                </c:pt>
                <c:pt idx="146">
                  <c:v>0.43252812426647647</c:v>
                </c:pt>
                <c:pt idx="147">
                  <c:v>-0.13144410072438789</c:v>
                </c:pt>
                <c:pt idx="148">
                  <c:v>-0.13144410072438789</c:v>
                </c:pt>
                <c:pt idx="149">
                  <c:v>-0.13144410072438789</c:v>
                </c:pt>
                <c:pt idx="150">
                  <c:v>-0.37135529777383841</c:v>
                </c:pt>
                <c:pt idx="151">
                  <c:v>-0.37135529777383841</c:v>
                </c:pt>
                <c:pt idx="152">
                  <c:v>-0.37135529777383841</c:v>
                </c:pt>
                <c:pt idx="153">
                  <c:v>-0.37135529777383841</c:v>
                </c:pt>
                <c:pt idx="154">
                  <c:v>-0.37135529777383841</c:v>
                </c:pt>
                <c:pt idx="155">
                  <c:v>-0.37135529777383841</c:v>
                </c:pt>
                <c:pt idx="156">
                  <c:v>-0.37135529777383841</c:v>
                </c:pt>
                <c:pt idx="157">
                  <c:v>-0.37135529777383841</c:v>
                </c:pt>
                <c:pt idx="158">
                  <c:v>-0.37135529777383841</c:v>
                </c:pt>
                <c:pt idx="159">
                  <c:v>-0.37135529777383841</c:v>
                </c:pt>
                <c:pt idx="160">
                  <c:v>-0.37135529777383841</c:v>
                </c:pt>
                <c:pt idx="161">
                  <c:v>-0.37135529777383841</c:v>
                </c:pt>
                <c:pt idx="162">
                  <c:v>-0.37135529777383841</c:v>
                </c:pt>
                <c:pt idx="163">
                  <c:v>-0.37135529777383841</c:v>
                </c:pt>
                <c:pt idx="164">
                  <c:v>5.2088640634315897E-2</c:v>
                </c:pt>
                <c:pt idx="165">
                  <c:v>1.0220788322745762</c:v>
                </c:pt>
                <c:pt idx="166">
                  <c:v>0.89315777057171464</c:v>
                </c:pt>
                <c:pt idx="167">
                  <c:v>0.60971680856294808</c:v>
                </c:pt>
                <c:pt idx="168">
                  <c:v>0.60971680856294808</c:v>
                </c:pt>
                <c:pt idx="169">
                  <c:v>0.60971680856294808</c:v>
                </c:pt>
                <c:pt idx="170">
                  <c:v>1.0792211062198425</c:v>
                </c:pt>
                <c:pt idx="171">
                  <c:v>1.0792211062198425</c:v>
                </c:pt>
                <c:pt idx="172">
                  <c:v>1.0737798177227253</c:v>
                </c:pt>
                <c:pt idx="173">
                  <c:v>1.0737798177227253</c:v>
                </c:pt>
                <c:pt idx="174">
                  <c:v>1.0737798177227253</c:v>
                </c:pt>
                <c:pt idx="175">
                  <c:v>1.0737798177227253</c:v>
                </c:pt>
                <c:pt idx="176">
                  <c:v>1.0737798177227253</c:v>
                </c:pt>
                <c:pt idx="177">
                  <c:v>1.0737798177227253</c:v>
                </c:pt>
                <c:pt idx="178">
                  <c:v>1.3745345065070016</c:v>
                </c:pt>
                <c:pt idx="179">
                  <c:v>1.3745345065070016</c:v>
                </c:pt>
                <c:pt idx="180">
                  <c:v>1.3745345065070016</c:v>
                </c:pt>
                <c:pt idx="181">
                  <c:v>1.3745345065070016</c:v>
                </c:pt>
                <c:pt idx="182">
                  <c:v>1.3745345065070016</c:v>
                </c:pt>
                <c:pt idx="183">
                  <c:v>1.3745345065070016</c:v>
                </c:pt>
                <c:pt idx="184">
                  <c:v>1.3745345065070016</c:v>
                </c:pt>
                <c:pt idx="185">
                  <c:v>1.3745345065070016</c:v>
                </c:pt>
                <c:pt idx="186">
                  <c:v>1.3745345065070016</c:v>
                </c:pt>
                <c:pt idx="187">
                  <c:v>1.3745345065070016</c:v>
                </c:pt>
                <c:pt idx="188">
                  <c:v>1.3745345065070016</c:v>
                </c:pt>
                <c:pt idx="189">
                  <c:v>1.3745345065070016</c:v>
                </c:pt>
                <c:pt idx="190">
                  <c:v>1.3745345065070016</c:v>
                </c:pt>
                <c:pt idx="191">
                  <c:v>1.3745345065070016</c:v>
                </c:pt>
                <c:pt idx="192">
                  <c:v>1.3745345065070016</c:v>
                </c:pt>
                <c:pt idx="193">
                  <c:v>1.3745345065070016</c:v>
                </c:pt>
                <c:pt idx="194">
                  <c:v>0.41364086584098581</c:v>
                </c:pt>
                <c:pt idx="195">
                  <c:v>0.53984091356754926</c:v>
                </c:pt>
                <c:pt idx="196">
                  <c:v>0.53984091356754926</c:v>
                </c:pt>
                <c:pt idx="197">
                  <c:v>0.53984091356754926</c:v>
                </c:pt>
                <c:pt idx="198">
                  <c:v>0.53984091356754926</c:v>
                </c:pt>
                <c:pt idx="199">
                  <c:v>0.53984091356754926</c:v>
                </c:pt>
                <c:pt idx="200">
                  <c:v>0.53984091356754926</c:v>
                </c:pt>
                <c:pt idx="201">
                  <c:v>1.5945115980272988</c:v>
                </c:pt>
                <c:pt idx="202">
                  <c:v>1.8526127229846032</c:v>
                </c:pt>
                <c:pt idx="203">
                  <c:v>1.8526127229846032</c:v>
                </c:pt>
                <c:pt idx="204">
                  <c:v>2.2009773131314674</c:v>
                </c:pt>
                <c:pt idx="205">
                  <c:v>2.2009773131314674</c:v>
                </c:pt>
                <c:pt idx="206">
                  <c:v>2.2009773131314674</c:v>
                </c:pt>
                <c:pt idx="207">
                  <c:v>2.2009773131314674</c:v>
                </c:pt>
                <c:pt idx="208">
                  <c:v>2.0378291431428677</c:v>
                </c:pt>
                <c:pt idx="209">
                  <c:v>2.0378291431428677</c:v>
                </c:pt>
                <c:pt idx="210">
                  <c:v>2.0378291431428677</c:v>
                </c:pt>
                <c:pt idx="211">
                  <c:v>2.0378291431428677</c:v>
                </c:pt>
                <c:pt idx="212">
                  <c:v>2.0378291431428677</c:v>
                </c:pt>
                <c:pt idx="213">
                  <c:v>2.0378291431428677</c:v>
                </c:pt>
                <c:pt idx="214">
                  <c:v>2.0378291431428677</c:v>
                </c:pt>
                <c:pt idx="215">
                  <c:v>2.0378291431428677</c:v>
                </c:pt>
                <c:pt idx="216">
                  <c:v>2.0378291431428677</c:v>
                </c:pt>
                <c:pt idx="217">
                  <c:v>2.9855368450719575</c:v>
                </c:pt>
                <c:pt idx="218">
                  <c:v>2.9855368450719575</c:v>
                </c:pt>
                <c:pt idx="219">
                  <c:v>4.5526100852464308</c:v>
                </c:pt>
                <c:pt idx="220">
                  <c:v>4.5526100852464308</c:v>
                </c:pt>
                <c:pt idx="221">
                  <c:v>5.0967332654727651</c:v>
                </c:pt>
                <c:pt idx="222">
                  <c:v>5.0967332654727651</c:v>
                </c:pt>
                <c:pt idx="223">
                  <c:v>4.7378223743836561</c:v>
                </c:pt>
                <c:pt idx="224">
                  <c:v>4.7378223743836561</c:v>
                </c:pt>
                <c:pt idx="225">
                  <c:v>4.7378223743836561</c:v>
                </c:pt>
                <c:pt idx="226">
                  <c:v>4.7378223743836561</c:v>
                </c:pt>
                <c:pt idx="227">
                  <c:v>4.7378223743836561</c:v>
                </c:pt>
                <c:pt idx="228">
                  <c:v>4.7378223743836561</c:v>
                </c:pt>
                <c:pt idx="229">
                  <c:v>4.7378223743836561</c:v>
                </c:pt>
                <c:pt idx="230">
                  <c:v>4.7378223743836561</c:v>
                </c:pt>
                <c:pt idx="231">
                  <c:v>4.7378223743836561</c:v>
                </c:pt>
                <c:pt idx="232">
                  <c:v>4.7378223743836561</c:v>
                </c:pt>
                <c:pt idx="233">
                  <c:v>4.7378223743836561</c:v>
                </c:pt>
                <c:pt idx="234">
                  <c:v>4.7378223743836561</c:v>
                </c:pt>
                <c:pt idx="235">
                  <c:v>4.7378223743836561</c:v>
                </c:pt>
                <c:pt idx="236">
                  <c:v>4.7378223743836561</c:v>
                </c:pt>
                <c:pt idx="237">
                  <c:v>4.6897097032556321</c:v>
                </c:pt>
                <c:pt idx="238">
                  <c:v>4.6897097032556321</c:v>
                </c:pt>
                <c:pt idx="239">
                  <c:v>4.6897097032556321</c:v>
                </c:pt>
                <c:pt idx="240">
                  <c:v>4.6897097032556321</c:v>
                </c:pt>
                <c:pt idx="241">
                  <c:v>4.6897097032556321</c:v>
                </c:pt>
                <c:pt idx="242">
                  <c:v>4.6897097032556321</c:v>
                </c:pt>
                <c:pt idx="243">
                  <c:v>4.6897097032556321</c:v>
                </c:pt>
                <c:pt idx="244">
                  <c:v>4.6897097032556321</c:v>
                </c:pt>
                <c:pt idx="245">
                  <c:v>5.1283934310728201</c:v>
                </c:pt>
                <c:pt idx="246">
                  <c:v>5.1283934310728201</c:v>
                </c:pt>
                <c:pt idx="247">
                  <c:v>5.1283934310728201</c:v>
                </c:pt>
                <c:pt idx="248">
                  <c:v>5.1283934310728201</c:v>
                </c:pt>
                <c:pt idx="249">
                  <c:v>5.1283934310728201</c:v>
                </c:pt>
                <c:pt idx="250">
                  <c:v>5.1283934310728201</c:v>
                </c:pt>
                <c:pt idx="251">
                  <c:v>5.1283934310728201</c:v>
                </c:pt>
                <c:pt idx="252">
                  <c:v>4.6214733043427882</c:v>
                </c:pt>
                <c:pt idx="253">
                  <c:v>4.6214733043427882</c:v>
                </c:pt>
                <c:pt idx="254">
                  <c:v>4.6214733043427882</c:v>
                </c:pt>
                <c:pt idx="255">
                  <c:v>4.6214733043427882</c:v>
                </c:pt>
                <c:pt idx="256">
                  <c:v>4.6214733043427882</c:v>
                </c:pt>
                <c:pt idx="257">
                  <c:v>4.6214733043427882</c:v>
                </c:pt>
                <c:pt idx="258">
                  <c:v>4.6214733043427882</c:v>
                </c:pt>
                <c:pt idx="259">
                  <c:v>4.6214733043427882</c:v>
                </c:pt>
                <c:pt idx="260">
                  <c:v>4.6214733043427882</c:v>
                </c:pt>
                <c:pt idx="261">
                  <c:v>4.6214733043427882</c:v>
                </c:pt>
                <c:pt idx="262">
                  <c:v>4.6214733043427882</c:v>
                </c:pt>
                <c:pt idx="263">
                  <c:v>4.6214733043427882</c:v>
                </c:pt>
                <c:pt idx="264">
                  <c:v>4.6214733043427882</c:v>
                </c:pt>
                <c:pt idx="265">
                  <c:v>4.8546759540656481</c:v>
                </c:pt>
                <c:pt idx="266">
                  <c:v>4.8546759540656481</c:v>
                </c:pt>
                <c:pt idx="267">
                  <c:v>4.8546759540656481</c:v>
                </c:pt>
                <c:pt idx="268">
                  <c:v>4.8546759540656481</c:v>
                </c:pt>
                <c:pt idx="269">
                  <c:v>5.9997442633130609</c:v>
                </c:pt>
                <c:pt idx="270">
                  <c:v>5.9997442633130609</c:v>
                </c:pt>
                <c:pt idx="271">
                  <c:v>5.9997442633130609</c:v>
                </c:pt>
                <c:pt idx="272">
                  <c:v>5.9997442633130609</c:v>
                </c:pt>
                <c:pt idx="273">
                  <c:v>5.9997442633130609</c:v>
                </c:pt>
                <c:pt idx="274">
                  <c:v>5.9997442633130609</c:v>
                </c:pt>
                <c:pt idx="275">
                  <c:v>5.9997442633130609</c:v>
                </c:pt>
                <c:pt idx="276">
                  <c:v>5.9997442633130609</c:v>
                </c:pt>
                <c:pt idx="277">
                  <c:v>5.9997442633130609</c:v>
                </c:pt>
                <c:pt idx="278">
                  <c:v>5.9997442633130609</c:v>
                </c:pt>
                <c:pt idx="279">
                  <c:v>5.9997442633130609</c:v>
                </c:pt>
                <c:pt idx="280">
                  <c:v>5.9997442633130609</c:v>
                </c:pt>
                <c:pt idx="281">
                  <c:v>5.9997442633130609</c:v>
                </c:pt>
                <c:pt idx="282">
                  <c:v>5.9997442633130609</c:v>
                </c:pt>
                <c:pt idx="283">
                  <c:v>5.9997442633130609</c:v>
                </c:pt>
                <c:pt idx="284">
                  <c:v>5.9997442633130609</c:v>
                </c:pt>
                <c:pt idx="285">
                  <c:v>5.9997442633130609</c:v>
                </c:pt>
                <c:pt idx="286">
                  <c:v>5.9997442633130609</c:v>
                </c:pt>
                <c:pt idx="287">
                  <c:v>5.9997442633130609</c:v>
                </c:pt>
                <c:pt idx="288">
                  <c:v>7.7747557893619339</c:v>
                </c:pt>
                <c:pt idx="289">
                  <c:v>7.7747557893619339</c:v>
                </c:pt>
                <c:pt idx="290">
                  <c:v>7.7165791576012461</c:v>
                </c:pt>
                <c:pt idx="291">
                  <c:v>8.7190423528810772</c:v>
                </c:pt>
                <c:pt idx="292">
                  <c:v>8.7190423528810772</c:v>
                </c:pt>
                <c:pt idx="293">
                  <c:v>8.7190423528810772</c:v>
                </c:pt>
                <c:pt idx="294">
                  <c:v>8.7190423528810772</c:v>
                </c:pt>
                <c:pt idx="295">
                  <c:v>8.1947501473585334</c:v>
                </c:pt>
                <c:pt idx="296">
                  <c:v>6.9999457596763603</c:v>
                </c:pt>
                <c:pt idx="297">
                  <c:v>6.9999457596763603</c:v>
                </c:pt>
                <c:pt idx="298">
                  <c:v>6.9999457596763603</c:v>
                </c:pt>
                <c:pt idx="299">
                  <c:v>6.9999457596763603</c:v>
                </c:pt>
                <c:pt idx="300">
                  <c:v>6.9999457596763603</c:v>
                </c:pt>
                <c:pt idx="301">
                  <c:v>8.2339802993504616</c:v>
                </c:pt>
                <c:pt idx="302">
                  <c:v>8.2339802993504616</c:v>
                </c:pt>
                <c:pt idx="303">
                  <c:v>8.2339802993504616</c:v>
                </c:pt>
                <c:pt idx="304">
                  <c:v>8.2339802993504616</c:v>
                </c:pt>
                <c:pt idx="305">
                  <c:v>9.2784257155980399</c:v>
                </c:pt>
                <c:pt idx="306">
                  <c:v>9.2784257155980399</c:v>
                </c:pt>
                <c:pt idx="307">
                  <c:v>9.2784257155980399</c:v>
                </c:pt>
                <c:pt idx="308">
                  <c:v>9.2784257155980399</c:v>
                </c:pt>
                <c:pt idx="309">
                  <c:v>9.2784257155980399</c:v>
                </c:pt>
                <c:pt idx="310">
                  <c:v>9.2784257155980399</c:v>
                </c:pt>
                <c:pt idx="311">
                  <c:v>9.2784257155980399</c:v>
                </c:pt>
                <c:pt idx="312">
                  <c:v>9.2784257155980399</c:v>
                </c:pt>
                <c:pt idx="313">
                  <c:v>9.2784257155980399</c:v>
                </c:pt>
                <c:pt idx="314">
                  <c:v>9.2784257155980399</c:v>
                </c:pt>
                <c:pt idx="315">
                  <c:v>9.2784257155980399</c:v>
                </c:pt>
                <c:pt idx="316">
                  <c:v>9.2784257155980399</c:v>
                </c:pt>
                <c:pt idx="317">
                  <c:v>9.2784257155980399</c:v>
                </c:pt>
                <c:pt idx="318">
                  <c:v>9.2784257155980399</c:v>
                </c:pt>
                <c:pt idx="319">
                  <c:v>9.2784257155980399</c:v>
                </c:pt>
                <c:pt idx="320">
                  <c:v>9.2784257155980399</c:v>
                </c:pt>
                <c:pt idx="321">
                  <c:v>9.2784257155980399</c:v>
                </c:pt>
                <c:pt idx="322">
                  <c:v>9.2784257155980399</c:v>
                </c:pt>
                <c:pt idx="323">
                  <c:v>9.2784257155980399</c:v>
                </c:pt>
                <c:pt idx="324">
                  <c:v>9.2784257155980399</c:v>
                </c:pt>
                <c:pt idx="325">
                  <c:v>9.2784257155980399</c:v>
                </c:pt>
                <c:pt idx="326">
                  <c:v>9.2784257155980399</c:v>
                </c:pt>
                <c:pt idx="327">
                  <c:v>9.2784257155980399</c:v>
                </c:pt>
                <c:pt idx="328">
                  <c:v>9.2784257155980399</c:v>
                </c:pt>
                <c:pt idx="329">
                  <c:v>9.2784257155980399</c:v>
                </c:pt>
                <c:pt idx="330">
                  <c:v>9.2784257155980399</c:v>
                </c:pt>
                <c:pt idx="331">
                  <c:v>9.2784257155980399</c:v>
                </c:pt>
                <c:pt idx="332">
                  <c:v>9.2784257155980399</c:v>
                </c:pt>
                <c:pt idx="333">
                  <c:v>9.2784257155980399</c:v>
                </c:pt>
                <c:pt idx="334">
                  <c:v>9.4922137223547978</c:v>
                </c:pt>
                <c:pt idx="335">
                  <c:v>10.157205347145418</c:v>
                </c:pt>
                <c:pt idx="336">
                  <c:v>10.157205347145418</c:v>
                </c:pt>
                <c:pt idx="337">
                  <c:v>12.199447293233519</c:v>
                </c:pt>
                <c:pt idx="338">
                  <c:v>12.199447293233519</c:v>
                </c:pt>
                <c:pt idx="339">
                  <c:v>12.199447293233519</c:v>
                </c:pt>
                <c:pt idx="340">
                  <c:v>12.199447293233519</c:v>
                </c:pt>
                <c:pt idx="341">
                  <c:v>12.199447293233519</c:v>
                </c:pt>
                <c:pt idx="342">
                  <c:v>12.199447293233519</c:v>
                </c:pt>
                <c:pt idx="343">
                  <c:v>12.199447293233519</c:v>
                </c:pt>
                <c:pt idx="344">
                  <c:v>12.199447293233519</c:v>
                </c:pt>
                <c:pt idx="345">
                  <c:v>12.199447293233519</c:v>
                </c:pt>
                <c:pt idx="346">
                  <c:v>12.199447293233519</c:v>
                </c:pt>
                <c:pt idx="347">
                  <c:v>12.199447293233519</c:v>
                </c:pt>
                <c:pt idx="348">
                  <c:v>12.199447293233519</c:v>
                </c:pt>
                <c:pt idx="349">
                  <c:v>12.199447293233519</c:v>
                </c:pt>
                <c:pt idx="350">
                  <c:v>12.199447293233519</c:v>
                </c:pt>
                <c:pt idx="351">
                  <c:v>12.199447293233519</c:v>
                </c:pt>
                <c:pt idx="352">
                  <c:v>12.199447293233519</c:v>
                </c:pt>
                <c:pt idx="353">
                  <c:v>12.199447293233519</c:v>
                </c:pt>
                <c:pt idx="354">
                  <c:v>12.199447293233519</c:v>
                </c:pt>
                <c:pt idx="355">
                  <c:v>12.199447293233519</c:v>
                </c:pt>
                <c:pt idx="356">
                  <c:v>11.342210234216044</c:v>
                </c:pt>
                <c:pt idx="357">
                  <c:v>11.342210234216044</c:v>
                </c:pt>
                <c:pt idx="358">
                  <c:v>11.342210234216044</c:v>
                </c:pt>
                <c:pt idx="359">
                  <c:v>11.342210234216044</c:v>
                </c:pt>
                <c:pt idx="360">
                  <c:v>11.342210234216044</c:v>
                </c:pt>
                <c:pt idx="361">
                  <c:v>11.342210234216044</c:v>
                </c:pt>
                <c:pt idx="362">
                  <c:v>11.342210234216044</c:v>
                </c:pt>
                <c:pt idx="363">
                  <c:v>11.342210234216044</c:v>
                </c:pt>
                <c:pt idx="364">
                  <c:v>11.342210234216044</c:v>
                </c:pt>
                <c:pt idx="365">
                  <c:v>11.342210234216044</c:v>
                </c:pt>
                <c:pt idx="366">
                  <c:v>11.342210234216044</c:v>
                </c:pt>
                <c:pt idx="367">
                  <c:v>11.342210234216044</c:v>
                </c:pt>
                <c:pt idx="368">
                  <c:v>11.342210234216044</c:v>
                </c:pt>
                <c:pt idx="369">
                  <c:v>11.342210234216044</c:v>
                </c:pt>
                <c:pt idx="370">
                  <c:v>11.342210234216044</c:v>
                </c:pt>
                <c:pt idx="371">
                  <c:v>11.342210234216044</c:v>
                </c:pt>
                <c:pt idx="372">
                  <c:v>11.342210234216044</c:v>
                </c:pt>
                <c:pt idx="373">
                  <c:v>11.342210234216044</c:v>
                </c:pt>
                <c:pt idx="374">
                  <c:v>11.342210234216044</c:v>
                </c:pt>
                <c:pt idx="375">
                  <c:v>11.342210234216044</c:v>
                </c:pt>
                <c:pt idx="376">
                  <c:v>11.342210234216044</c:v>
                </c:pt>
                <c:pt idx="377">
                  <c:v>11.342210234216044</c:v>
                </c:pt>
                <c:pt idx="378">
                  <c:v>11.342210234216044</c:v>
                </c:pt>
                <c:pt idx="379">
                  <c:v>11.342210234216044</c:v>
                </c:pt>
                <c:pt idx="380">
                  <c:v>11.342210234216044</c:v>
                </c:pt>
                <c:pt idx="381">
                  <c:v>11.342210234216044</c:v>
                </c:pt>
                <c:pt idx="382">
                  <c:v>11.342210234216044</c:v>
                </c:pt>
                <c:pt idx="383">
                  <c:v>11.342210234216044</c:v>
                </c:pt>
                <c:pt idx="384">
                  <c:v>11.342210234216044</c:v>
                </c:pt>
                <c:pt idx="385">
                  <c:v>11.342210234216044</c:v>
                </c:pt>
                <c:pt idx="386">
                  <c:v>11.342210234216044</c:v>
                </c:pt>
                <c:pt idx="387">
                  <c:v>11.342210234216044</c:v>
                </c:pt>
                <c:pt idx="388">
                  <c:v>11.342210234216044</c:v>
                </c:pt>
                <c:pt idx="389">
                  <c:v>11.342210234216044</c:v>
                </c:pt>
                <c:pt idx="390">
                  <c:v>11.342210234216044</c:v>
                </c:pt>
                <c:pt idx="391">
                  <c:v>11.342210234216044</c:v>
                </c:pt>
                <c:pt idx="392">
                  <c:v>11.342210234216044</c:v>
                </c:pt>
                <c:pt idx="393">
                  <c:v>11.342210234216044</c:v>
                </c:pt>
                <c:pt idx="394">
                  <c:v>11.342210234216044</c:v>
                </c:pt>
                <c:pt idx="395">
                  <c:v>11.342210234216044</c:v>
                </c:pt>
                <c:pt idx="396">
                  <c:v>11.342210234216044</c:v>
                </c:pt>
                <c:pt idx="397">
                  <c:v>11.342210234216044</c:v>
                </c:pt>
                <c:pt idx="398">
                  <c:v>13.572194113850648</c:v>
                </c:pt>
                <c:pt idx="399">
                  <c:v>13.572194113850648</c:v>
                </c:pt>
                <c:pt idx="400">
                  <c:v>13.572194113850648</c:v>
                </c:pt>
                <c:pt idx="401">
                  <c:v>13.572194113850648</c:v>
                </c:pt>
                <c:pt idx="402">
                  <c:v>13.572194113850648</c:v>
                </c:pt>
                <c:pt idx="403">
                  <c:v>13.572194113850648</c:v>
                </c:pt>
                <c:pt idx="404">
                  <c:v>13.572194113850648</c:v>
                </c:pt>
                <c:pt idx="405">
                  <c:v>13.00474650443439</c:v>
                </c:pt>
                <c:pt idx="406">
                  <c:v>13.00474650443439</c:v>
                </c:pt>
                <c:pt idx="407">
                  <c:v>13.00474650443439</c:v>
                </c:pt>
                <c:pt idx="408">
                  <c:v>13.00474650443439</c:v>
                </c:pt>
                <c:pt idx="409">
                  <c:v>13.00474650443439</c:v>
                </c:pt>
                <c:pt idx="410">
                  <c:v>13.00474650443439</c:v>
                </c:pt>
                <c:pt idx="411">
                  <c:v>13.00474650443439</c:v>
                </c:pt>
                <c:pt idx="412">
                  <c:v>13.00474650443439</c:v>
                </c:pt>
                <c:pt idx="413">
                  <c:v>13.00474650443439</c:v>
                </c:pt>
                <c:pt idx="414">
                  <c:v>13.00474650443439</c:v>
                </c:pt>
                <c:pt idx="415">
                  <c:v>13.00474650443439</c:v>
                </c:pt>
                <c:pt idx="416">
                  <c:v>13.00474650443439</c:v>
                </c:pt>
                <c:pt idx="417">
                  <c:v>13.00474650443439</c:v>
                </c:pt>
                <c:pt idx="418">
                  <c:v>13.00474650443439</c:v>
                </c:pt>
              </c:numCache>
            </c:numRef>
          </c:val>
          <c:smooth val="1"/>
          <c:extLst>
            <c:ext xmlns:c16="http://schemas.microsoft.com/office/drawing/2014/chart" uri="{C3380CC4-5D6E-409C-BE32-E72D297353CC}">
              <c16:uniqueId val="{00000003-5DD5-4FA1-AE49-D4B74D0A91B6}"/>
            </c:ext>
          </c:extLst>
        </c:ser>
        <c:dLbls>
          <c:showLegendKey val="0"/>
          <c:showVal val="0"/>
          <c:showCatName val="0"/>
          <c:showSerName val="0"/>
          <c:showPercent val="0"/>
          <c:showBubbleSize val="0"/>
        </c:dLbls>
        <c:smooth val="0"/>
        <c:axId val="147683023"/>
        <c:axId val="146645279"/>
        <c:extLst>
          <c:ext xmlns:c15="http://schemas.microsoft.com/office/drawing/2012/chart" uri="{02D57815-91ED-43cb-92C2-25804820EDAC}">
            <c15:filteredLineSeries>
              <c15:ser>
                <c:idx val="5"/>
                <c:order val="1"/>
                <c:tx>
                  <c:v>Up (MOC)</c:v>
                </c:tx>
                <c:spPr>
                  <a:ln w="28575" cap="rnd">
                    <a:solidFill>
                      <a:schemeClr val="accent6"/>
                    </a:solidFill>
                    <a:prstDash val="sysDash"/>
                    <a:round/>
                  </a:ln>
                  <a:effectLst/>
                </c:spPr>
                <c:marker>
                  <c:symbol val="none"/>
                </c:marker>
                <c:val>
                  <c:numRef>
                    <c:extLst>
                      <c:ext uri="{02D57815-91ED-43cb-92C2-25804820EDAC}">
                        <c15:formulaRef>
                          <c15:sqref>'2025-Q2'!$AX$4:$AX$350</c15:sqref>
                        </c15:formulaRef>
                      </c:ext>
                    </c:extLst>
                    <c:numCache>
                      <c:formatCode>"$"#,##0</c:formatCode>
                      <c:ptCount val="34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59.839999999999918</c:v>
                      </c:pt>
                      <c:pt idx="40">
                        <c:v>59.839999999999918</c:v>
                      </c:pt>
                      <c:pt idx="41">
                        <c:v>59.839999999999918</c:v>
                      </c:pt>
                      <c:pt idx="42">
                        <c:v>59.839999999999918</c:v>
                      </c:pt>
                      <c:pt idx="43">
                        <c:v>59.839999999999918</c:v>
                      </c:pt>
                      <c:pt idx="44">
                        <c:v>59.839999999999918</c:v>
                      </c:pt>
                      <c:pt idx="45">
                        <c:v>59.839999999999918</c:v>
                      </c:pt>
                      <c:pt idx="46">
                        <c:v>59.839999999999918</c:v>
                      </c:pt>
                      <c:pt idx="47">
                        <c:v>-74.660000000000196</c:v>
                      </c:pt>
                      <c:pt idx="48">
                        <c:v>-74.660000000000196</c:v>
                      </c:pt>
                      <c:pt idx="49">
                        <c:v>-74.660000000000196</c:v>
                      </c:pt>
                      <c:pt idx="50">
                        <c:v>-74.660000000000196</c:v>
                      </c:pt>
                      <c:pt idx="51">
                        <c:v>-74.660000000000196</c:v>
                      </c:pt>
                      <c:pt idx="52">
                        <c:v>-74.660000000000196</c:v>
                      </c:pt>
                      <c:pt idx="53">
                        <c:v>-74.660000000000196</c:v>
                      </c:pt>
                      <c:pt idx="54">
                        <c:v>-74.660000000000196</c:v>
                      </c:pt>
                      <c:pt idx="55">
                        <c:v>-74.660000000000196</c:v>
                      </c:pt>
                      <c:pt idx="56">
                        <c:v>-74.660000000000196</c:v>
                      </c:pt>
                      <c:pt idx="57">
                        <c:v>-74.660000000000196</c:v>
                      </c:pt>
                      <c:pt idx="58">
                        <c:v>-74.660000000000196</c:v>
                      </c:pt>
                      <c:pt idx="59">
                        <c:v>-74.660000000000196</c:v>
                      </c:pt>
                      <c:pt idx="60">
                        <c:v>-74.660000000000196</c:v>
                      </c:pt>
                      <c:pt idx="61">
                        <c:v>-74.660000000000196</c:v>
                      </c:pt>
                      <c:pt idx="62">
                        <c:v>-74.660000000000196</c:v>
                      </c:pt>
                      <c:pt idx="63">
                        <c:v>-74.660000000000196</c:v>
                      </c:pt>
                      <c:pt idx="64">
                        <c:v>-74.660000000000196</c:v>
                      </c:pt>
                      <c:pt idx="65">
                        <c:v>-74.660000000000196</c:v>
                      </c:pt>
                      <c:pt idx="66">
                        <c:v>-74.660000000000196</c:v>
                      </c:pt>
                      <c:pt idx="67">
                        <c:v>-74.660000000000196</c:v>
                      </c:pt>
                      <c:pt idx="68">
                        <c:v>-74.660000000000196</c:v>
                      </c:pt>
                      <c:pt idx="69">
                        <c:v>-54.660000000000196</c:v>
                      </c:pt>
                      <c:pt idx="70">
                        <c:v>-54.660000000000196</c:v>
                      </c:pt>
                      <c:pt idx="71">
                        <c:v>-66.900000000000205</c:v>
                      </c:pt>
                      <c:pt idx="72">
                        <c:v>-66.900000000000205</c:v>
                      </c:pt>
                      <c:pt idx="73">
                        <c:v>-66.900000000000205</c:v>
                      </c:pt>
                      <c:pt idx="74">
                        <c:v>-66.900000000000205</c:v>
                      </c:pt>
                      <c:pt idx="75">
                        <c:v>-66.900000000000205</c:v>
                      </c:pt>
                      <c:pt idx="76">
                        <c:v>-66.900000000000205</c:v>
                      </c:pt>
                      <c:pt idx="77">
                        <c:v>-66.900000000000205</c:v>
                      </c:pt>
                      <c:pt idx="78">
                        <c:v>-66.900000000000205</c:v>
                      </c:pt>
                      <c:pt idx="79">
                        <c:v>-66.900000000000205</c:v>
                      </c:pt>
                      <c:pt idx="80">
                        <c:v>-66.900000000000205</c:v>
                      </c:pt>
                      <c:pt idx="81">
                        <c:v>-66.900000000000205</c:v>
                      </c:pt>
                      <c:pt idx="82">
                        <c:v>-66.900000000000205</c:v>
                      </c:pt>
                      <c:pt idx="83">
                        <c:v>-66.900000000000205</c:v>
                      </c:pt>
                      <c:pt idx="84">
                        <c:v>-66.900000000000205</c:v>
                      </c:pt>
                      <c:pt idx="85">
                        <c:v>-66.900000000000205</c:v>
                      </c:pt>
                      <c:pt idx="86">
                        <c:v>-66.900000000000205</c:v>
                      </c:pt>
                      <c:pt idx="87">
                        <c:v>-66.900000000000205</c:v>
                      </c:pt>
                      <c:pt idx="88">
                        <c:v>-66.900000000000205</c:v>
                      </c:pt>
                      <c:pt idx="89">
                        <c:v>-66.900000000000205</c:v>
                      </c:pt>
                      <c:pt idx="90">
                        <c:v>-66.900000000000205</c:v>
                      </c:pt>
                      <c:pt idx="91">
                        <c:v>-66.900000000000205</c:v>
                      </c:pt>
                      <c:pt idx="92">
                        <c:v>-66.900000000000205</c:v>
                      </c:pt>
                      <c:pt idx="93">
                        <c:v>-66.900000000000205</c:v>
                      </c:pt>
                      <c:pt idx="94">
                        <c:v>-66.900000000000205</c:v>
                      </c:pt>
                      <c:pt idx="95">
                        <c:v>-66.900000000000205</c:v>
                      </c:pt>
                      <c:pt idx="96">
                        <c:v>-66.900000000000205</c:v>
                      </c:pt>
                      <c:pt idx="97">
                        <c:v>-66.900000000000205</c:v>
                      </c:pt>
                      <c:pt idx="98">
                        <c:v>-66.900000000000205</c:v>
                      </c:pt>
                      <c:pt idx="99">
                        <c:v>-66.900000000000205</c:v>
                      </c:pt>
                      <c:pt idx="100">
                        <c:v>-66.900000000000205</c:v>
                      </c:pt>
                      <c:pt idx="101">
                        <c:v>-66.900000000000205</c:v>
                      </c:pt>
                      <c:pt idx="102">
                        <c:v>-66.900000000000205</c:v>
                      </c:pt>
                      <c:pt idx="103">
                        <c:v>-184.54000000000019</c:v>
                      </c:pt>
                      <c:pt idx="104">
                        <c:v>-184.54000000000019</c:v>
                      </c:pt>
                      <c:pt idx="105">
                        <c:v>-184.54000000000019</c:v>
                      </c:pt>
                      <c:pt idx="106">
                        <c:v>-173.34000000000015</c:v>
                      </c:pt>
                      <c:pt idx="107">
                        <c:v>-173.34000000000015</c:v>
                      </c:pt>
                      <c:pt idx="108">
                        <c:v>-173.34000000000015</c:v>
                      </c:pt>
                      <c:pt idx="109">
                        <c:v>-173.34000000000015</c:v>
                      </c:pt>
                      <c:pt idx="110">
                        <c:v>-173.34000000000015</c:v>
                      </c:pt>
                      <c:pt idx="111">
                        <c:v>-173.34000000000015</c:v>
                      </c:pt>
                      <c:pt idx="112">
                        <c:v>-173.34000000000015</c:v>
                      </c:pt>
                      <c:pt idx="113">
                        <c:v>-173.34000000000015</c:v>
                      </c:pt>
                      <c:pt idx="114">
                        <c:v>-173.34000000000015</c:v>
                      </c:pt>
                      <c:pt idx="115">
                        <c:v>-173.34000000000015</c:v>
                      </c:pt>
                      <c:pt idx="116">
                        <c:v>-173.34000000000015</c:v>
                      </c:pt>
                      <c:pt idx="117">
                        <c:v>-173.34000000000015</c:v>
                      </c:pt>
                      <c:pt idx="118">
                        <c:v>-173.34000000000015</c:v>
                      </c:pt>
                      <c:pt idx="119">
                        <c:v>-173.34000000000015</c:v>
                      </c:pt>
                      <c:pt idx="120">
                        <c:v>-173.34000000000015</c:v>
                      </c:pt>
                      <c:pt idx="121">
                        <c:v>-174.74000000000024</c:v>
                      </c:pt>
                      <c:pt idx="122">
                        <c:v>-174.74000000000024</c:v>
                      </c:pt>
                      <c:pt idx="123">
                        <c:v>-174.74000000000024</c:v>
                      </c:pt>
                      <c:pt idx="124">
                        <c:v>-174.74000000000024</c:v>
                      </c:pt>
                      <c:pt idx="125">
                        <c:v>-174.74000000000024</c:v>
                      </c:pt>
                      <c:pt idx="126">
                        <c:v>-174.74000000000024</c:v>
                      </c:pt>
                      <c:pt idx="127">
                        <c:v>-174.74000000000024</c:v>
                      </c:pt>
                      <c:pt idx="128">
                        <c:v>-174.74000000000024</c:v>
                      </c:pt>
                      <c:pt idx="129">
                        <c:v>-174.74000000000024</c:v>
                      </c:pt>
                      <c:pt idx="130">
                        <c:v>-174.74000000000024</c:v>
                      </c:pt>
                      <c:pt idx="131">
                        <c:v>-174.74000000000024</c:v>
                      </c:pt>
                      <c:pt idx="132">
                        <c:v>-174.74000000000024</c:v>
                      </c:pt>
                      <c:pt idx="133">
                        <c:v>-174.74000000000024</c:v>
                      </c:pt>
                      <c:pt idx="134">
                        <c:v>-174.74000000000024</c:v>
                      </c:pt>
                      <c:pt idx="135">
                        <c:v>-174.74000000000024</c:v>
                      </c:pt>
                      <c:pt idx="136">
                        <c:v>-174.74000000000024</c:v>
                      </c:pt>
                      <c:pt idx="137">
                        <c:v>-163.1400000000001</c:v>
                      </c:pt>
                      <c:pt idx="138">
                        <c:v>-163.1400000000001</c:v>
                      </c:pt>
                      <c:pt idx="139">
                        <c:v>-163.1400000000001</c:v>
                      </c:pt>
                      <c:pt idx="140">
                        <c:v>-163.1400000000001</c:v>
                      </c:pt>
                      <c:pt idx="141">
                        <c:v>-163.1400000000001</c:v>
                      </c:pt>
                      <c:pt idx="142">
                        <c:v>-163.1400000000001</c:v>
                      </c:pt>
                      <c:pt idx="143">
                        <c:v>-163.1400000000001</c:v>
                      </c:pt>
                      <c:pt idx="144">
                        <c:v>-163.1400000000001</c:v>
                      </c:pt>
                      <c:pt idx="145">
                        <c:v>-163.1400000000001</c:v>
                      </c:pt>
                      <c:pt idx="146">
                        <c:v>-163.1400000000001</c:v>
                      </c:pt>
                      <c:pt idx="147">
                        <c:v>-163.1400000000001</c:v>
                      </c:pt>
                      <c:pt idx="148">
                        <c:v>-163.1400000000001</c:v>
                      </c:pt>
                      <c:pt idx="149">
                        <c:v>-163.1400000000001</c:v>
                      </c:pt>
                      <c:pt idx="150">
                        <c:v>-163.1400000000001</c:v>
                      </c:pt>
                      <c:pt idx="151">
                        <c:v>-163.1400000000001</c:v>
                      </c:pt>
                      <c:pt idx="152">
                        <c:v>-163.1400000000001</c:v>
                      </c:pt>
                      <c:pt idx="153">
                        <c:v>-163.1400000000001</c:v>
                      </c:pt>
                      <c:pt idx="154">
                        <c:v>-163.1400000000001</c:v>
                      </c:pt>
                      <c:pt idx="155">
                        <c:v>-163.1400000000001</c:v>
                      </c:pt>
                      <c:pt idx="156">
                        <c:v>-163.1400000000001</c:v>
                      </c:pt>
                      <c:pt idx="157">
                        <c:v>-163.1400000000001</c:v>
                      </c:pt>
                      <c:pt idx="158">
                        <c:v>-163.1400000000001</c:v>
                      </c:pt>
                      <c:pt idx="159">
                        <c:v>-163.1400000000001</c:v>
                      </c:pt>
                      <c:pt idx="160">
                        <c:v>-163.1400000000001</c:v>
                      </c:pt>
                      <c:pt idx="161">
                        <c:v>-163.1400000000001</c:v>
                      </c:pt>
                      <c:pt idx="162">
                        <c:v>-163.1400000000001</c:v>
                      </c:pt>
                      <c:pt idx="163">
                        <c:v>-163.1400000000001</c:v>
                      </c:pt>
                      <c:pt idx="164">
                        <c:v>-163.1400000000001</c:v>
                      </c:pt>
                      <c:pt idx="165">
                        <c:v>-163.1400000000001</c:v>
                      </c:pt>
                      <c:pt idx="166">
                        <c:v>-163.1400000000001</c:v>
                      </c:pt>
                      <c:pt idx="167">
                        <c:v>-163.1400000000001</c:v>
                      </c:pt>
                      <c:pt idx="168">
                        <c:v>-163.1400000000001</c:v>
                      </c:pt>
                      <c:pt idx="169">
                        <c:v>-163.1400000000001</c:v>
                      </c:pt>
                      <c:pt idx="170">
                        <c:v>-163.1400000000001</c:v>
                      </c:pt>
                      <c:pt idx="171">
                        <c:v>-163.1400000000001</c:v>
                      </c:pt>
                      <c:pt idx="172">
                        <c:v>-163.1400000000001</c:v>
                      </c:pt>
                      <c:pt idx="173">
                        <c:v>-163.1400000000001</c:v>
                      </c:pt>
                      <c:pt idx="174">
                        <c:v>-163.1400000000001</c:v>
                      </c:pt>
                      <c:pt idx="175">
                        <c:v>-163.1400000000001</c:v>
                      </c:pt>
                      <c:pt idx="176">
                        <c:v>-163.1400000000001</c:v>
                      </c:pt>
                      <c:pt idx="177">
                        <c:v>-163.1400000000001</c:v>
                      </c:pt>
                      <c:pt idx="178">
                        <c:v>-163.1400000000001</c:v>
                      </c:pt>
                      <c:pt idx="179">
                        <c:v>-163.1400000000001</c:v>
                      </c:pt>
                      <c:pt idx="180">
                        <c:v>-163.1400000000001</c:v>
                      </c:pt>
                      <c:pt idx="181">
                        <c:v>-163.1400000000001</c:v>
                      </c:pt>
                      <c:pt idx="182">
                        <c:v>-163.1400000000001</c:v>
                      </c:pt>
                      <c:pt idx="183">
                        <c:v>-163.1400000000001</c:v>
                      </c:pt>
                      <c:pt idx="184">
                        <c:v>-163.1400000000001</c:v>
                      </c:pt>
                      <c:pt idx="185">
                        <c:v>-163.1400000000001</c:v>
                      </c:pt>
                      <c:pt idx="186">
                        <c:v>-163.1400000000001</c:v>
                      </c:pt>
                      <c:pt idx="187">
                        <c:v>-163.1400000000001</c:v>
                      </c:pt>
                      <c:pt idx="188">
                        <c:v>-163.1400000000001</c:v>
                      </c:pt>
                      <c:pt idx="189">
                        <c:v>-163.1400000000001</c:v>
                      </c:pt>
                      <c:pt idx="190">
                        <c:v>-163.1400000000001</c:v>
                      </c:pt>
                      <c:pt idx="191">
                        <c:v>-163.1400000000001</c:v>
                      </c:pt>
                      <c:pt idx="192">
                        <c:v>-163.1400000000001</c:v>
                      </c:pt>
                      <c:pt idx="193">
                        <c:v>-163.1400000000001</c:v>
                      </c:pt>
                      <c:pt idx="194">
                        <c:v>-163.1400000000001</c:v>
                      </c:pt>
                      <c:pt idx="195">
                        <c:v>-163.1400000000001</c:v>
                      </c:pt>
                      <c:pt idx="196">
                        <c:v>-163.1400000000001</c:v>
                      </c:pt>
                      <c:pt idx="197">
                        <c:v>-163.1400000000001</c:v>
                      </c:pt>
                      <c:pt idx="198">
                        <c:v>-163.1400000000001</c:v>
                      </c:pt>
                      <c:pt idx="199">
                        <c:v>-163.1400000000001</c:v>
                      </c:pt>
                      <c:pt idx="200">
                        <c:v>-181.17000000000007</c:v>
                      </c:pt>
                      <c:pt idx="201">
                        <c:v>-181.17000000000007</c:v>
                      </c:pt>
                      <c:pt idx="202">
                        <c:v>-181.17000000000007</c:v>
                      </c:pt>
                      <c:pt idx="203">
                        <c:v>-151.49</c:v>
                      </c:pt>
                      <c:pt idx="204">
                        <c:v>-151.49</c:v>
                      </c:pt>
                      <c:pt idx="205">
                        <c:v>-151.49</c:v>
                      </c:pt>
                      <c:pt idx="206">
                        <c:v>-151.49</c:v>
                      </c:pt>
                      <c:pt idx="207">
                        <c:v>-151.49</c:v>
                      </c:pt>
                      <c:pt idx="208">
                        <c:v>-151.49</c:v>
                      </c:pt>
                      <c:pt idx="209">
                        <c:v>-151.49</c:v>
                      </c:pt>
                      <c:pt idx="210">
                        <c:v>-151.49</c:v>
                      </c:pt>
                      <c:pt idx="211">
                        <c:v>-151.49</c:v>
                      </c:pt>
                      <c:pt idx="212">
                        <c:v>-151.49</c:v>
                      </c:pt>
                      <c:pt idx="213">
                        <c:v>-151.49</c:v>
                      </c:pt>
                      <c:pt idx="214">
                        <c:v>-151.49</c:v>
                      </c:pt>
                      <c:pt idx="215">
                        <c:v>-151.49</c:v>
                      </c:pt>
                      <c:pt idx="216">
                        <c:v>-151.49</c:v>
                      </c:pt>
                      <c:pt idx="217">
                        <c:v>-85.340000000000032</c:v>
                      </c:pt>
                      <c:pt idx="218">
                        <c:v>-85.340000000000032</c:v>
                      </c:pt>
                      <c:pt idx="219">
                        <c:v>-85.340000000000032</c:v>
                      </c:pt>
                      <c:pt idx="220">
                        <c:v>-85.340000000000032</c:v>
                      </c:pt>
                      <c:pt idx="221">
                        <c:v>-85.340000000000032</c:v>
                      </c:pt>
                      <c:pt idx="222">
                        <c:v>-85.340000000000032</c:v>
                      </c:pt>
                      <c:pt idx="223">
                        <c:v>-142.90000000000009</c:v>
                      </c:pt>
                      <c:pt idx="224">
                        <c:v>-142.90000000000009</c:v>
                      </c:pt>
                      <c:pt idx="225">
                        <c:v>-142.90000000000009</c:v>
                      </c:pt>
                      <c:pt idx="226">
                        <c:v>-142.90000000000009</c:v>
                      </c:pt>
                      <c:pt idx="227">
                        <c:v>-142.90000000000009</c:v>
                      </c:pt>
                      <c:pt idx="228">
                        <c:v>-142.90000000000009</c:v>
                      </c:pt>
                      <c:pt idx="229">
                        <c:v>-142.90000000000009</c:v>
                      </c:pt>
                      <c:pt idx="230">
                        <c:v>-142.90000000000009</c:v>
                      </c:pt>
                      <c:pt idx="231">
                        <c:v>-142.90000000000009</c:v>
                      </c:pt>
                      <c:pt idx="232">
                        <c:v>-142.90000000000009</c:v>
                      </c:pt>
                      <c:pt idx="233">
                        <c:v>-142.90000000000009</c:v>
                      </c:pt>
                      <c:pt idx="234">
                        <c:v>-142.90000000000009</c:v>
                      </c:pt>
                      <c:pt idx="235">
                        <c:v>-142.90000000000009</c:v>
                      </c:pt>
                      <c:pt idx="236">
                        <c:v>-142.90000000000009</c:v>
                      </c:pt>
                      <c:pt idx="237">
                        <c:v>-142.90000000000009</c:v>
                      </c:pt>
                      <c:pt idx="238">
                        <c:v>-142.90000000000009</c:v>
                      </c:pt>
                      <c:pt idx="239">
                        <c:v>-142.90000000000009</c:v>
                      </c:pt>
                      <c:pt idx="240">
                        <c:v>-132.30000000000018</c:v>
                      </c:pt>
                      <c:pt idx="241">
                        <c:v>-132.30000000000018</c:v>
                      </c:pt>
                      <c:pt idx="242">
                        <c:v>-132.30000000000018</c:v>
                      </c:pt>
                      <c:pt idx="243">
                        <c:v>-132.30000000000018</c:v>
                      </c:pt>
                      <c:pt idx="244">
                        <c:v>-132.30000000000018</c:v>
                      </c:pt>
                      <c:pt idx="245">
                        <c:v>-132.30000000000018</c:v>
                      </c:pt>
                      <c:pt idx="246">
                        <c:v>-132.30000000000018</c:v>
                      </c:pt>
                      <c:pt idx="247">
                        <c:v>-132.30000000000018</c:v>
                      </c:pt>
                      <c:pt idx="248">
                        <c:v>-132.30000000000018</c:v>
                      </c:pt>
                      <c:pt idx="249">
                        <c:v>-132.30000000000018</c:v>
                      </c:pt>
                      <c:pt idx="250">
                        <c:v>-132.30000000000018</c:v>
                      </c:pt>
                      <c:pt idx="251">
                        <c:v>-132.30000000000018</c:v>
                      </c:pt>
                      <c:pt idx="252">
                        <c:v>-132.30000000000018</c:v>
                      </c:pt>
                      <c:pt idx="253">
                        <c:v>-132.30000000000018</c:v>
                      </c:pt>
                      <c:pt idx="254">
                        <c:v>-132.30000000000018</c:v>
                      </c:pt>
                      <c:pt idx="255">
                        <c:v>-132.30000000000018</c:v>
                      </c:pt>
                      <c:pt idx="256">
                        <c:v>-132.30000000000018</c:v>
                      </c:pt>
                      <c:pt idx="257">
                        <c:v>-269.63053243920194</c:v>
                      </c:pt>
                      <c:pt idx="258">
                        <c:v>-299.03053243920203</c:v>
                      </c:pt>
                      <c:pt idx="259">
                        <c:v>-299.03053243920203</c:v>
                      </c:pt>
                      <c:pt idx="260">
                        <c:v>-299.03053243920203</c:v>
                      </c:pt>
                      <c:pt idx="261">
                        <c:v>-299.03053243920203</c:v>
                      </c:pt>
                      <c:pt idx="262">
                        <c:v>-299.03053243920203</c:v>
                      </c:pt>
                      <c:pt idx="263">
                        <c:v>-299.03053243920203</c:v>
                      </c:pt>
                      <c:pt idx="264">
                        <c:v>-299.03053243920203</c:v>
                      </c:pt>
                      <c:pt idx="265">
                        <c:v>-299.03053243920203</c:v>
                      </c:pt>
                      <c:pt idx="266">
                        <c:v>-299.03053243920203</c:v>
                      </c:pt>
                      <c:pt idx="267">
                        <c:v>-299.03053243920203</c:v>
                      </c:pt>
                      <c:pt idx="268">
                        <c:v>-299.03053243920203</c:v>
                      </c:pt>
                      <c:pt idx="269">
                        <c:v>-299.03053243920203</c:v>
                      </c:pt>
                      <c:pt idx="270">
                        <c:v>-299.03053243920203</c:v>
                      </c:pt>
                      <c:pt idx="271">
                        <c:v>-299.03053243920203</c:v>
                      </c:pt>
                      <c:pt idx="272">
                        <c:v>-299.03053243920203</c:v>
                      </c:pt>
                      <c:pt idx="273">
                        <c:v>-385.38106797961109</c:v>
                      </c:pt>
                      <c:pt idx="274">
                        <c:v>-385.38106797961109</c:v>
                      </c:pt>
                      <c:pt idx="275">
                        <c:v>-385.38106797961109</c:v>
                      </c:pt>
                      <c:pt idx="276">
                        <c:v>-385.38106797961109</c:v>
                      </c:pt>
                      <c:pt idx="277">
                        <c:v>-377.70106797961103</c:v>
                      </c:pt>
                      <c:pt idx="278">
                        <c:v>-377.70106797961103</c:v>
                      </c:pt>
                      <c:pt idx="279">
                        <c:v>-377.70106797961103</c:v>
                      </c:pt>
                      <c:pt idx="280">
                        <c:v>-377.70106797961103</c:v>
                      </c:pt>
                      <c:pt idx="281">
                        <c:v>-377.70106797961103</c:v>
                      </c:pt>
                      <c:pt idx="282">
                        <c:v>-377.70106797961103</c:v>
                      </c:pt>
                      <c:pt idx="283">
                        <c:v>-377.70106797961103</c:v>
                      </c:pt>
                      <c:pt idx="284">
                        <c:v>-377.70106797961103</c:v>
                      </c:pt>
                      <c:pt idx="285">
                        <c:v>-377.70106797961103</c:v>
                      </c:pt>
                      <c:pt idx="286">
                        <c:v>-377.70106797961103</c:v>
                      </c:pt>
                      <c:pt idx="287">
                        <c:v>-377.70106797961103</c:v>
                      </c:pt>
                      <c:pt idx="288">
                        <c:v>-377.70106797961103</c:v>
                      </c:pt>
                      <c:pt idx="289">
                        <c:v>-377.70106797961103</c:v>
                      </c:pt>
                      <c:pt idx="290">
                        <c:v>-366.42106797961105</c:v>
                      </c:pt>
                      <c:pt idx="291">
                        <c:v>-366.42106797961105</c:v>
                      </c:pt>
                      <c:pt idx="292">
                        <c:v>-366.42106797961105</c:v>
                      </c:pt>
                      <c:pt idx="293">
                        <c:v>-366.42106797961105</c:v>
                      </c:pt>
                      <c:pt idx="294">
                        <c:v>-366.42106797961105</c:v>
                      </c:pt>
                      <c:pt idx="295">
                        <c:v>-394.76106797961097</c:v>
                      </c:pt>
                      <c:pt idx="296">
                        <c:v>-394.76106797961097</c:v>
                      </c:pt>
                      <c:pt idx="297">
                        <c:v>-339.68106797961104</c:v>
                      </c:pt>
                      <c:pt idx="298">
                        <c:v>-339.68106797961104</c:v>
                      </c:pt>
                      <c:pt idx="299">
                        <c:v>-339.68106797961104</c:v>
                      </c:pt>
                      <c:pt idx="300">
                        <c:v>-339.68106797961104</c:v>
                      </c:pt>
                      <c:pt idx="301">
                        <c:v>-339.68106797961104</c:v>
                      </c:pt>
                      <c:pt idx="302">
                        <c:v>-339.68106797961104</c:v>
                      </c:pt>
                      <c:pt idx="303">
                        <c:v>-339.68106797961104</c:v>
                      </c:pt>
                      <c:pt idx="304">
                        <c:v>-438.46106797961124</c:v>
                      </c:pt>
                      <c:pt idx="305">
                        <c:v>-438.46106797961124</c:v>
                      </c:pt>
                      <c:pt idx="306">
                        <c:v>-438.46106797961124</c:v>
                      </c:pt>
                      <c:pt idx="307">
                        <c:v>-438.46106797961124</c:v>
                      </c:pt>
                      <c:pt idx="308">
                        <c:v>-438.46106797961124</c:v>
                      </c:pt>
                      <c:pt idx="309">
                        <c:v>-390.96106797961124</c:v>
                      </c:pt>
                      <c:pt idx="310">
                        <c:v>-390.96106797961124</c:v>
                      </c:pt>
                      <c:pt idx="311">
                        <c:v>-390.96106797961124</c:v>
                      </c:pt>
                      <c:pt idx="312">
                        <c:v>-390.96106797961124</c:v>
                      </c:pt>
                      <c:pt idx="313">
                        <c:v>-349.11106797961111</c:v>
                      </c:pt>
                      <c:pt idx="314">
                        <c:v>-349.11106797961111</c:v>
                      </c:pt>
                      <c:pt idx="315">
                        <c:v>-349.11106797961111</c:v>
                      </c:pt>
                      <c:pt idx="316">
                        <c:v>-342.69106797961103</c:v>
                      </c:pt>
                      <c:pt idx="317">
                        <c:v>-340.17106797961105</c:v>
                      </c:pt>
                      <c:pt idx="318">
                        <c:v>-340.17106797961105</c:v>
                      </c:pt>
                      <c:pt idx="319">
                        <c:v>-340.17106797961105</c:v>
                      </c:pt>
                      <c:pt idx="320">
                        <c:v>-340.17106797961105</c:v>
                      </c:pt>
                      <c:pt idx="321">
                        <c:v>-340.17106797961105</c:v>
                      </c:pt>
                      <c:pt idx="322">
                        <c:v>-340.17106797961105</c:v>
                      </c:pt>
                      <c:pt idx="323">
                        <c:v>-340.17106797961105</c:v>
                      </c:pt>
                      <c:pt idx="324">
                        <c:v>-340.17106797961105</c:v>
                      </c:pt>
                      <c:pt idx="325">
                        <c:v>-340.17106797961105</c:v>
                      </c:pt>
                      <c:pt idx="326">
                        <c:v>-340.17106797961105</c:v>
                      </c:pt>
                      <c:pt idx="327">
                        <c:v>-340.17106797961105</c:v>
                      </c:pt>
                      <c:pt idx="328">
                        <c:v>-340.17106797961105</c:v>
                      </c:pt>
                      <c:pt idx="329">
                        <c:v>-240.66106797961083</c:v>
                      </c:pt>
                      <c:pt idx="330">
                        <c:v>-240.66106797961083</c:v>
                      </c:pt>
                      <c:pt idx="331">
                        <c:v>-240.66106797961083</c:v>
                      </c:pt>
                      <c:pt idx="332">
                        <c:v>-240.66106797961083</c:v>
                      </c:pt>
                      <c:pt idx="333">
                        <c:v>-240.66106797961083</c:v>
                      </c:pt>
                      <c:pt idx="334">
                        <c:v>-178.13106797961063</c:v>
                      </c:pt>
                      <c:pt idx="335">
                        <c:v>-178.13106797961063</c:v>
                      </c:pt>
                      <c:pt idx="336">
                        <c:v>-178.13106797961063</c:v>
                      </c:pt>
                      <c:pt idx="337">
                        <c:v>-178.13106797961063</c:v>
                      </c:pt>
                      <c:pt idx="338">
                        <c:v>-206.13106797961063</c:v>
                      </c:pt>
                      <c:pt idx="339">
                        <c:v>-206.13106797961063</c:v>
                      </c:pt>
                      <c:pt idx="340">
                        <c:v>-206.13106797961063</c:v>
                      </c:pt>
                      <c:pt idx="341">
                        <c:v>-203.43106797961059</c:v>
                      </c:pt>
                      <c:pt idx="342">
                        <c:v>-203.43106797961059</c:v>
                      </c:pt>
                      <c:pt idx="343">
                        <c:v>-203.43106797961059</c:v>
                      </c:pt>
                      <c:pt idx="344">
                        <c:v>-203.43106797961059</c:v>
                      </c:pt>
                      <c:pt idx="345">
                        <c:v>-295.97106797961055</c:v>
                      </c:pt>
                      <c:pt idx="346">
                        <c:v>-295.97106797961055</c:v>
                      </c:pt>
                    </c:numCache>
                  </c:numRef>
                </c:val>
                <c:smooth val="0"/>
                <c:extLst>
                  <c:ext xmlns:c16="http://schemas.microsoft.com/office/drawing/2014/chart" uri="{C3380CC4-5D6E-409C-BE32-E72D297353CC}">
                    <c16:uniqueId val="{00000004-5DD5-4FA1-AE49-D4B74D0A91B6}"/>
                  </c:ext>
                </c:extLst>
              </c15:ser>
            </c15:filteredLineSeries>
            <c15:filteredLineSeries>
              <c15:ser>
                <c:idx val="4"/>
                <c:order val="4"/>
                <c:tx>
                  <c:v>SW (MOC)</c:v>
                </c:tx>
                <c:spPr>
                  <a:ln w="28575" cap="rnd">
                    <a:solidFill>
                      <a:schemeClr val="accent4">
                        <a:lumMod val="60000"/>
                        <a:lumOff val="40000"/>
                      </a:schemeClr>
                    </a:solidFill>
                    <a:prstDash val="sysDash"/>
                    <a:round/>
                  </a:ln>
                  <a:effectLst/>
                </c:spPr>
                <c:marker>
                  <c:symbol val="none"/>
                </c:marker>
                <c:val>
                  <c:numRef>
                    <c:extLst xmlns:c15="http://schemas.microsoft.com/office/drawing/2012/chart">
                      <c:ext xmlns:c15="http://schemas.microsoft.com/office/drawing/2012/chart" uri="{02D57815-91ED-43cb-92C2-25804820EDAC}">
                        <c15:formulaRef>
                          <c15:sqref>'2025-Q2'!$AV$4:$AV$350</c15:sqref>
                        </c15:formulaRef>
                      </c:ext>
                    </c:extLst>
                    <c:numCache>
                      <c:formatCode>"$"#,##0</c:formatCode>
                      <c:ptCount val="347"/>
                      <c:pt idx="0">
                        <c:v>0</c:v>
                      </c:pt>
                      <c:pt idx="1">
                        <c:v>0</c:v>
                      </c:pt>
                      <c:pt idx="2">
                        <c:v>45.449999999999818</c:v>
                      </c:pt>
                      <c:pt idx="3">
                        <c:v>35.25</c:v>
                      </c:pt>
                      <c:pt idx="4">
                        <c:v>55.25</c:v>
                      </c:pt>
                      <c:pt idx="5">
                        <c:v>70.090000000000146</c:v>
                      </c:pt>
                      <c:pt idx="6">
                        <c:v>85.490000000000236</c:v>
                      </c:pt>
                      <c:pt idx="7">
                        <c:v>158.24</c:v>
                      </c:pt>
                      <c:pt idx="8">
                        <c:v>177.32000000000005</c:v>
                      </c:pt>
                      <c:pt idx="9">
                        <c:v>177.32000000000005</c:v>
                      </c:pt>
                      <c:pt idx="10">
                        <c:v>197.30000000000007</c:v>
                      </c:pt>
                      <c:pt idx="11">
                        <c:v>236.89999999999998</c:v>
                      </c:pt>
                      <c:pt idx="12">
                        <c:v>236.89999999999998</c:v>
                      </c:pt>
                      <c:pt idx="13">
                        <c:v>231.72000000000014</c:v>
                      </c:pt>
                      <c:pt idx="14">
                        <c:v>231.72000000000014</c:v>
                      </c:pt>
                      <c:pt idx="15">
                        <c:v>231.54000000000008</c:v>
                      </c:pt>
                      <c:pt idx="16">
                        <c:v>231.54000000000008</c:v>
                      </c:pt>
                      <c:pt idx="17">
                        <c:v>231.54000000000008</c:v>
                      </c:pt>
                      <c:pt idx="18">
                        <c:v>212.34000000000003</c:v>
                      </c:pt>
                      <c:pt idx="19">
                        <c:v>243.65999999999997</c:v>
                      </c:pt>
                      <c:pt idx="20">
                        <c:v>256.64966594568602</c:v>
                      </c:pt>
                      <c:pt idx="21">
                        <c:v>252.56795937946242</c:v>
                      </c:pt>
                      <c:pt idx="22">
                        <c:v>252.56795937946242</c:v>
                      </c:pt>
                      <c:pt idx="23">
                        <c:v>258.96870149449035</c:v>
                      </c:pt>
                      <c:pt idx="24">
                        <c:v>281.78870149449051</c:v>
                      </c:pt>
                      <c:pt idx="25">
                        <c:v>19.92870149449061</c:v>
                      </c:pt>
                      <c:pt idx="26">
                        <c:v>19.92870149449061</c:v>
                      </c:pt>
                      <c:pt idx="27">
                        <c:v>19.92870149449061</c:v>
                      </c:pt>
                      <c:pt idx="28">
                        <c:v>19.92870149449061</c:v>
                      </c:pt>
                      <c:pt idx="29">
                        <c:v>26.67870149449061</c:v>
                      </c:pt>
                      <c:pt idx="30">
                        <c:v>26.67870149449061</c:v>
                      </c:pt>
                      <c:pt idx="31">
                        <c:v>26.67870149449061</c:v>
                      </c:pt>
                      <c:pt idx="32">
                        <c:v>26.67870149449061</c:v>
                      </c:pt>
                      <c:pt idx="33">
                        <c:v>18.628701494490656</c:v>
                      </c:pt>
                      <c:pt idx="34">
                        <c:v>-37.621298505509344</c:v>
                      </c:pt>
                      <c:pt idx="35">
                        <c:v>-117.30129850550941</c:v>
                      </c:pt>
                      <c:pt idx="36">
                        <c:v>-117.30129850550941</c:v>
                      </c:pt>
                      <c:pt idx="37">
                        <c:v>-136.55129850550941</c:v>
                      </c:pt>
                      <c:pt idx="38">
                        <c:v>-121.67129850550941</c:v>
                      </c:pt>
                      <c:pt idx="39">
                        <c:v>-121.67129850550941</c:v>
                      </c:pt>
                      <c:pt idx="40">
                        <c:v>-121.67129850550941</c:v>
                      </c:pt>
                      <c:pt idx="41">
                        <c:v>-121.67129850550941</c:v>
                      </c:pt>
                      <c:pt idx="42">
                        <c:v>-121.67129850550941</c:v>
                      </c:pt>
                      <c:pt idx="43">
                        <c:v>-45.861298505509467</c:v>
                      </c:pt>
                      <c:pt idx="44">
                        <c:v>-39.361298505509467</c:v>
                      </c:pt>
                      <c:pt idx="45">
                        <c:v>-28.111298505509467</c:v>
                      </c:pt>
                      <c:pt idx="46">
                        <c:v>-28.111298505509467</c:v>
                      </c:pt>
                      <c:pt idx="47">
                        <c:v>-28.111298505509467</c:v>
                      </c:pt>
                      <c:pt idx="48">
                        <c:v>-28.111298505509467</c:v>
                      </c:pt>
                      <c:pt idx="49">
                        <c:v>-142.53968337706056</c:v>
                      </c:pt>
                      <c:pt idx="50">
                        <c:v>-160.4474473522157</c:v>
                      </c:pt>
                      <c:pt idx="51">
                        <c:v>-68.287447352215622</c:v>
                      </c:pt>
                      <c:pt idx="52">
                        <c:v>-68.287447352215622</c:v>
                      </c:pt>
                      <c:pt idx="53">
                        <c:v>-33.00744735221565</c:v>
                      </c:pt>
                      <c:pt idx="54">
                        <c:v>-14.627447352215654</c:v>
                      </c:pt>
                      <c:pt idx="55">
                        <c:v>-14.627447352215654</c:v>
                      </c:pt>
                      <c:pt idx="56">
                        <c:v>-64.227447352215677</c:v>
                      </c:pt>
                      <c:pt idx="57">
                        <c:v>-64.227447352215677</c:v>
                      </c:pt>
                      <c:pt idx="58">
                        <c:v>-32.927447352215609</c:v>
                      </c:pt>
                      <c:pt idx="59">
                        <c:v>5.1725526477844141</c:v>
                      </c:pt>
                      <c:pt idx="60">
                        <c:v>7.8725526477844596</c:v>
                      </c:pt>
                      <c:pt idx="61">
                        <c:v>37.932552647784405</c:v>
                      </c:pt>
                      <c:pt idx="62">
                        <c:v>102.73255264778447</c:v>
                      </c:pt>
                      <c:pt idx="63">
                        <c:v>118.39255264778456</c:v>
                      </c:pt>
                      <c:pt idx="64">
                        <c:v>125.29255264778453</c:v>
                      </c:pt>
                      <c:pt idx="65">
                        <c:v>174.54255264778453</c:v>
                      </c:pt>
                      <c:pt idx="66">
                        <c:v>174.54255264778453</c:v>
                      </c:pt>
                      <c:pt idx="67">
                        <c:v>174.54255264778453</c:v>
                      </c:pt>
                      <c:pt idx="68">
                        <c:v>174.54255264778453</c:v>
                      </c:pt>
                      <c:pt idx="69">
                        <c:v>174.54255264778453</c:v>
                      </c:pt>
                      <c:pt idx="70">
                        <c:v>174.54255264778453</c:v>
                      </c:pt>
                      <c:pt idx="71">
                        <c:v>174.54255264778453</c:v>
                      </c:pt>
                      <c:pt idx="72">
                        <c:v>215.38255264778456</c:v>
                      </c:pt>
                      <c:pt idx="73">
                        <c:v>188.17255264778453</c:v>
                      </c:pt>
                      <c:pt idx="74">
                        <c:v>219.13255264778456</c:v>
                      </c:pt>
                      <c:pt idx="75">
                        <c:v>165.93255264778452</c:v>
                      </c:pt>
                      <c:pt idx="76">
                        <c:v>215.8325526477845</c:v>
                      </c:pt>
                      <c:pt idx="77">
                        <c:v>259.68255264778452</c:v>
                      </c:pt>
                      <c:pt idx="78">
                        <c:v>195.08255264778461</c:v>
                      </c:pt>
                      <c:pt idx="79">
                        <c:v>195.08255264778461</c:v>
                      </c:pt>
                      <c:pt idx="80">
                        <c:v>208.3425526477846</c:v>
                      </c:pt>
                      <c:pt idx="81">
                        <c:v>208.3425526477846</c:v>
                      </c:pt>
                      <c:pt idx="82">
                        <c:v>208.3425526477846</c:v>
                      </c:pt>
                      <c:pt idx="83">
                        <c:v>236.54255264778465</c:v>
                      </c:pt>
                      <c:pt idx="84">
                        <c:v>75.742552647784692</c:v>
                      </c:pt>
                      <c:pt idx="85">
                        <c:v>75.742552647784692</c:v>
                      </c:pt>
                      <c:pt idx="86">
                        <c:v>44.742552647784692</c:v>
                      </c:pt>
                      <c:pt idx="87">
                        <c:v>44.742552647784692</c:v>
                      </c:pt>
                      <c:pt idx="88">
                        <c:v>44.742552647784692</c:v>
                      </c:pt>
                      <c:pt idx="89">
                        <c:v>59.622552647784573</c:v>
                      </c:pt>
                      <c:pt idx="90">
                        <c:v>59.622552647784573</c:v>
                      </c:pt>
                      <c:pt idx="91">
                        <c:v>59.622552647784573</c:v>
                      </c:pt>
                      <c:pt idx="92">
                        <c:v>59.622552647784573</c:v>
                      </c:pt>
                      <c:pt idx="93">
                        <c:v>30.959567043367201</c:v>
                      </c:pt>
                      <c:pt idx="94">
                        <c:v>47.809567043367224</c:v>
                      </c:pt>
                      <c:pt idx="95">
                        <c:v>47.809567043367224</c:v>
                      </c:pt>
                      <c:pt idx="96">
                        <c:v>47.809567043367224</c:v>
                      </c:pt>
                      <c:pt idx="97">
                        <c:v>47.809567043367224</c:v>
                      </c:pt>
                      <c:pt idx="98">
                        <c:v>47.809567043367224</c:v>
                      </c:pt>
                      <c:pt idx="99">
                        <c:v>-49.590432956632867</c:v>
                      </c:pt>
                      <c:pt idx="100">
                        <c:v>-49.590432956632867</c:v>
                      </c:pt>
                      <c:pt idx="101">
                        <c:v>-67.840432956632867</c:v>
                      </c:pt>
                      <c:pt idx="102">
                        <c:v>-68.000432956632835</c:v>
                      </c:pt>
                      <c:pt idx="103">
                        <c:v>-68.000432956632835</c:v>
                      </c:pt>
                      <c:pt idx="104">
                        <c:v>-71.840432956632753</c:v>
                      </c:pt>
                      <c:pt idx="105">
                        <c:v>-71.840432956632753</c:v>
                      </c:pt>
                      <c:pt idx="106">
                        <c:v>-71.840432956632753</c:v>
                      </c:pt>
                      <c:pt idx="107">
                        <c:v>-136.64043295663271</c:v>
                      </c:pt>
                      <c:pt idx="108">
                        <c:v>-122.36043295663274</c:v>
                      </c:pt>
                      <c:pt idx="109">
                        <c:v>-176.00043295663284</c:v>
                      </c:pt>
                      <c:pt idx="110">
                        <c:v>-176.00043295663284</c:v>
                      </c:pt>
                      <c:pt idx="111">
                        <c:v>-176.00043295663284</c:v>
                      </c:pt>
                      <c:pt idx="112">
                        <c:v>-216.47043295663286</c:v>
                      </c:pt>
                      <c:pt idx="113">
                        <c:v>-188.0787935487491</c:v>
                      </c:pt>
                      <c:pt idx="114">
                        <c:v>-175.97879354874919</c:v>
                      </c:pt>
                      <c:pt idx="115">
                        <c:v>-61.018793548749386</c:v>
                      </c:pt>
                      <c:pt idx="116">
                        <c:v>-61.018793548749386</c:v>
                      </c:pt>
                      <c:pt idx="117">
                        <c:v>-61.018793548749386</c:v>
                      </c:pt>
                      <c:pt idx="118">
                        <c:v>-25.19879354874945</c:v>
                      </c:pt>
                      <c:pt idx="119">
                        <c:v>-31.378793548749513</c:v>
                      </c:pt>
                      <c:pt idx="120">
                        <c:v>-31.378793548749513</c:v>
                      </c:pt>
                      <c:pt idx="121">
                        <c:v>-31.378793548749513</c:v>
                      </c:pt>
                      <c:pt idx="122">
                        <c:v>-100.2787935487496</c:v>
                      </c:pt>
                      <c:pt idx="123">
                        <c:v>-109.67879354874947</c:v>
                      </c:pt>
                      <c:pt idx="124">
                        <c:v>-109.67879354874947</c:v>
                      </c:pt>
                      <c:pt idx="125">
                        <c:v>-43.758793548749395</c:v>
                      </c:pt>
                      <c:pt idx="126">
                        <c:v>-42.408793548749259</c:v>
                      </c:pt>
                      <c:pt idx="127">
                        <c:v>-42.408793548749259</c:v>
                      </c:pt>
                      <c:pt idx="128">
                        <c:v>-18.358793548749304</c:v>
                      </c:pt>
                      <c:pt idx="129">
                        <c:v>-18.358793548749304</c:v>
                      </c:pt>
                      <c:pt idx="130">
                        <c:v>24.921206451250669</c:v>
                      </c:pt>
                      <c:pt idx="131">
                        <c:v>24.921206451250669</c:v>
                      </c:pt>
                      <c:pt idx="132">
                        <c:v>18.921206451250555</c:v>
                      </c:pt>
                      <c:pt idx="133">
                        <c:v>18.921206451250555</c:v>
                      </c:pt>
                      <c:pt idx="134">
                        <c:v>18.921206451250555</c:v>
                      </c:pt>
                      <c:pt idx="135">
                        <c:v>18.921206451250555</c:v>
                      </c:pt>
                      <c:pt idx="136">
                        <c:v>18.921206451250555</c:v>
                      </c:pt>
                      <c:pt idx="137">
                        <c:v>18.921206451250555</c:v>
                      </c:pt>
                      <c:pt idx="138">
                        <c:v>18.921206451250555</c:v>
                      </c:pt>
                      <c:pt idx="139">
                        <c:v>18.921206451250555</c:v>
                      </c:pt>
                      <c:pt idx="140">
                        <c:v>26.761206451250359</c:v>
                      </c:pt>
                      <c:pt idx="141">
                        <c:v>26.761206451250359</c:v>
                      </c:pt>
                      <c:pt idx="142">
                        <c:v>26.761206451250359</c:v>
                      </c:pt>
                      <c:pt idx="143">
                        <c:v>26.761206451250359</c:v>
                      </c:pt>
                      <c:pt idx="144">
                        <c:v>26.761206451250359</c:v>
                      </c:pt>
                      <c:pt idx="145">
                        <c:v>26.761206451250359</c:v>
                      </c:pt>
                      <c:pt idx="146">
                        <c:v>26.761206451250359</c:v>
                      </c:pt>
                      <c:pt idx="147">
                        <c:v>26.761206451250359</c:v>
                      </c:pt>
                      <c:pt idx="148">
                        <c:v>32.011206451250359</c:v>
                      </c:pt>
                      <c:pt idx="149">
                        <c:v>82.511206451250359</c:v>
                      </c:pt>
                      <c:pt idx="150">
                        <c:v>113.42120645125044</c:v>
                      </c:pt>
                      <c:pt idx="151">
                        <c:v>236.01120645125059</c:v>
                      </c:pt>
                      <c:pt idx="152">
                        <c:v>236.01120645125059</c:v>
                      </c:pt>
                      <c:pt idx="153">
                        <c:v>178.41120645125056</c:v>
                      </c:pt>
                      <c:pt idx="154">
                        <c:v>190.35120645125062</c:v>
                      </c:pt>
                      <c:pt idx="155">
                        <c:v>171.54120645125067</c:v>
                      </c:pt>
                      <c:pt idx="156">
                        <c:v>171.54120645125067</c:v>
                      </c:pt>
                      <c:pt idx="157">
                        <c:v>175.84120645125066</c:v>
                      </c:pt>
                      <c:pt idx="158">
                        <c:v>141.43120645125069</c:v>
                      </c:pt>
                      <c:pt idx="159">
                        <c:v>48.131206451250733</c:v>
                      </c:pt>
                      <c:pt idx="160">
                        <c:v>85.331206451250551</c:v>
                      </c:pt>
                      <c:pt idx="161">
                        <c:v>118.93120645125057</c:v>
                      </c:pt>
                      <c:pt idx="162">
                        <c:v>118.93120645125057</c:v>
                      </c:pt>
                      <c:pt idx="163">
                        <c:v>118.93120645125057</c:v>
                      </c:pt>
                      <c:pt idx="164">
                        <c:v>126.41120645125059</c:v>
                      </c:pt>
                      <c:pt idx="165">
                        <c:v>216.02120645125072</c:v>
                      </c:pt>
                      <c:pt idx="166">
                        <c:v>208.66120645125071</c:v>
                      </c:pt>
                      <c:pt idx="167">
                        <c:v>227.98120645125087</c:v>
                      </c:pt>
                      <c:pt idx="168">
                        <c:v>227.98120645125087</c:v>
                      </c:pt>
                      <c:pt idx="169">
                        <c:v>247.23120645125087</c:v>
                      </c:pt>
                      <c:pt idx="170">
                        <c:v>247.23120645125087</c:v>
                      </c:pt>
                      <c:pt idx="171">
                        <c:v>161.08120645125089</c:v>
                      </c:pt>
                      <c:pt idx="172">
                        <c:v>161.08120645125089</c:v>
                      </c:pt>
                      <c:pt idx="173">
                        <c:v>229.00120645125085</c:v>
                      </c:pt>
                      <c:pt idx="174">
                        <c:v>229.00120645125085</c:v>
                      </c:pt>
                      <c:pt idx="175">
                        <c:v>319.42120645125067</c:v>
                      </c:pt>
                      <c:pt idx="176">
                        <c:v>319.42120645125067</c:v>
                      </c:pt>
                      <c:pt idx="177">
                        <c:v>365.84120645125074</c:v>
                      </c:pt>
                      <c:pt idx="178">
                        <c:v>365.84120645125074</c:v>
                      </c:pt>
                      <c:pt idx="179">
                        <c:v>365.84120645125074</c:v>
                      </c:pt>
                      <c:pt idx="180">
                        <c:v>314.2412064512506</c:v>
                      </c:pt>
                      <c:pt idx="181">
                        <c:v>307.34120645125074</c:v>
                      </c:pt>
                      <c:pt idx="182">
                        <c:v>332.24120645125083</c:v>
                      </c:pt>
                      <c:pt idx="183">
                        <c:v>339.09120645125086</c:v>
                      </c:pt>
                      <c:pt idx="184">
                        <c:v>339.09120645125086</c:v>
                      </c:pt>
                      <c:pt idx="185">
                        <c:v>339.09120645125086</c:v>
                      </c:pt>
                      <c:pt idx="186">
                        <c:v>339.09120645125086</c:v>
                      </c:pt>
                      <c:pt idx="187">
                        <c:v>331.25120645125094</c:v>
                      </c:pt>
                      <c:pt idx="188">
                        <c:v>331.25120645125094</c:v>
                      </c:pt>
                      <c:pt idx="189">
                        <c:v>331.25120645125094</c:v>
                      </c:pt>
                      <c:pt idx="190">
                        <c:v>271.49120645125095</c:v>
                      </c:pt>
                      <c:pt idx="191">
                        <c:v>271.49120645125095</c:v>
                      </c:pt>
                      <c:pt idx="192">
                        <c:v>218.73120645125073</c:v>
                      </c:pt>
                      <c:pt idx="193">
                        <c:v>218.73120645125073</c:v>
                      </c:pt>
                      <c:pt idx="194">
                        <c:v>218.73120645125073</c:v>
                      </c:pt>
                      <c:pt idx="195">
                        <c:v>158.55120645125089</c:v>
                      </c:pt>
                      <c:pt idx="196">
                        <c:v>155.69120645125099</c:v>
                      </c:pt>
                      <c:pt idx="197">
                        <c:v>155.69120645125099</c:v>
                      </c:pt>
                      <c:pt idx="198">
                        <c:v>155.69120645125099</c:v>
                      </c:pt>
                      <c:pt idx="199">
                        <c:v>155.69120645125099</c:v>
                      </c:pt>
                      <c:pt idx="200">
                        <c:v>155.69120645125099</c:v>
                      </c:pt>
                      <c:pt idx="201">
                        <c:v>155.69120645125099</c:v>
                      </c:pt>
                      <c:pt idx="202">
                        <c:v>165.81120645125111</c:v>
                      </c:pt>
                      <c:pt idx="203">
                        <c:v>165.81120645125111</c:v>
                      </c:pt>
                      <c:pt idx="204">
                        <c:v>194.93120645125123</c:v>
                      </c:pt>
                      <c:pt idx="205">
                        <c:v>118.37120645125117</c:v>
                      </c:pt>
                      <c:pt idx="206">
                        <c:v>195.83120645125121</c:v>
                      </c:pt>
                      <c:pt idx="207">
                        <c:v>195.83120645125121</c:v>
                      </c:pt>
                      <c:pt idx="208">
                        <c:v>181.91120645125113</c:v>
                      </c:pt>
                      <c:pt idx="209">
                        <c:v>181.91120645125113</c:v>
                      </c:pt>
                      <c:pt idx="210">
                        <c:v>77.06120645125111</c:v>
                      </c:pt>
                      <c:pt idx="211">
                        <c:v>66.701206451251096</c:v>
                      </c:pt>
                      <c:pt idx="212">
                        <c:v>85.211399342838945</c:v>
                      </c:pt>
                      <c:pt idx="213">
                        <c:v>85.211399342838945</c:v>
                      </c:pt>
                      <c:pt idx="214">
                        <c:v>85.211399342838945</c:v>
                      </c:pt>
                      <c:pt idx="215">
                        <c:v>85.211399342838945</c:v>
                      </c:pt>
                      <c:pt idx="216">
                        <c:v>129.05139934283909</c:v>
                      </c:pt>
                      <c:pt idx="217">
                        <c:v>129.05139934283909</c:v>
                      </c:pt>
                      <c:pt idx="218">
                        <c:v>129.05139934283909</c:v>
                      </c:pt>
                      <c:pt idx="219">
                        <c:v>246.01139934283913</c:v>
                      </c:pt>
                      <c:pt idx="220">
                        <c:v>246.01139934283913</c:v>
                      </c:pt>
                      <c:pt idx="221">
                        <c:v>231.71139934283894</c:v>
                      </c:pt>
                      <c:pt idx="222">
                        <c:v>231.71139934283894</c:v>
                      </c:pt>
                      <c:pt idx="223">
                        <c:v>231.71139934283894</c:v>
                      </c:pt>
                      <c:pt idx="224">
                        <c:v>302.23139934283893</c:v>
                      </c:pt>
                      <c:pt idx="225">
                        <c:v>302.23139934283893</c:v>
                      </c:pt>
                      <c:pt idx="226">
                        <c:v>199.28139934283888</c:v>
                      </c:pt>
                      <c:pt idx="227">
                        <c:v>199.28139934283888</c:v>
                      </c:pt>
                      <c:pt idx="228">
                        <c:v>216.20139934283895</c:v>
                      </c:pt>
                      <c:pt idx="229">
                        <c:v>255.68139934283897</c:v>
                      </c:pt>
                      <c:pt idx="230">
                        <c:v>255.68139934283897</c:v>
                      </c:pt>
                      <c:pt idx="231">
                        <c:v>213.14249066104651</c:v>
                      </c:pt>
                      <c:pt idx="232">
                        <c:v>266.9024906610465</c:v>
                      </c:pt>
                      <c:pt idx="233">
                        <c:v>256.66249066104672</c:v>
                      </c:pt>
                      <c:pt idx="234">
                        <c:v>256.66249066104672</c:v>
                      </c:pt>
                      <c:pt idx="235">
                        <c:v>256.66249066104672</c:v>
                      </c:pt>
                      <c:pt idx="236">
                        <c:v>256.66249066104672</c:v>
                      </c:pt>
                      <c:pt idx="237">
                        <c:v>264.4624906610469</c:v>
                      </c:pt>
                      <c:pt idx="238">
                        <c:v>167.92249066104694</c:v>
                      </c:pt>
                      <c:pt idx="239">
                        <c:v>187.36249066104699</c:v>
                      </c:pt>
                      <c:pt idx="240">
                        <c:v>187.36249066104699</c:v>
                      </c:pt>
                      <c:pt idx="241">
                        <c:v>187.36249066104699</c:v>
                      </c:pt>
                      <c:pt idx="242">
                        <c:v>186.04249066104705</c:v>
                      </c:pt>
                      <c:pt idx="243">
                        <c:v>186.04249066104705</c:v>
                      </c:pt>
                      <c:pt idx="244">
                        <c:v>87.822490661047027</c:v>
                      </c:pt>
                      <c:pt idx="245">
                        <c:v>87.822490661047027</c:v>
                      </c:pt>
                      <c:pt idx="246">
                        <c:v>87.822490661047027</c:v>
                      </c:pt>
                      <c:pt idx="247">
                        <c:v>87.822490661047027</c:v>
                      </c:pt>
                      <c:pt idx="248">
                        <c:v>87.822490661047027</c:v>
                      </c:pt>
                      <c:pt idx="249">
                        <c:v>87.822490661047027</c:v>
                      </c:pt>
                      <c:pt idx="250">
                        <c:v>87.822490661047027</c:v>
                      </c:pt>
                      <c:pt idx="251">
                        <c:v>-6.3775093389530184</c:v>
                      </c:pt>
                      <c:pt idx="252">
                        <c:v>3.4224906610469361</c:v>
                      </c:pt>
                      <c:pt idx="253">
                        <c:v>3.4224906610469361</c:v>
                      </c:pt>
                      <c:pt idx="254">
                        <c:v>3.4224906610469361</c:v>
                      </c:pt>
                      <c:pt idx="255">
                        <c:v>3.4224906610469361</c:v>
                      </c:pt>
                      <c:pt idx="256">
                        <c:v>33.122490661046754</c:v>
                      </c:pt>
                      <c:pt idx="257">
                        <c:v>33.122490661046754</c:v>
                      </c:pt>
                      <c:pt idx="258">
                        <c:v>33.122490661046754</c:v>
                      </c:pt>
                      <c:pt idx="259">
                        <c:v>33.122490661046754</c:v>
                      </c:pt>
                      <c:pt idx="260">
                        <c:v>33.122490661046754</c:v>
                      </c:pt>
                      <c:pt idx="261">
                        <c:v>33.122490661046754</c:v>
                      </c:pt>
                      <c:pt idx="262">
                        <c:v>33.122490661046754</c:v>
                      </c:pt>
                      <c:pt idx="263">
                        <c:v>-3.3275093389532913</c:v>
                      </c:pt>
                      <c:pt idx="264">
                        <c:v>-3.3275093389532913</c:v>
                      </c:pt>
                      <c:pt idx="265">
                        <c:v>-3.3275093389532913</c:v>
                      </c:pt>
                      <c:pt idx="266">
                        <c:v>20.122490661046527</c:v>
                      </c:pt>
                      <c:pt idx="267">
                        <c:v>20.122490661046527</c:v>
                      </c:pt>
                      <c:pt idx="268">
                        <c:v>20.122490661046527</c:v>
                      </c:pt>
                      <c:pt idx="269">
                        <c:v>20.122490661046527</c:v>
                      </c:pt>
                      <c:pt idx="270">
                        <c:v>20.122490661046527</c:v>
                      </c:pt>
                      <c:pt idx="271">
                        <c:v>20.122490661046527</c:v>
                      </c:pt>
                      <c:pt idx="272">
                        <c:v>20.122490661046527</c:v>
                      </c:pt>
                      <c:pt idx="273">
                        <c:v>20.122490661046527</c:v>
                      </c:pt>
                      <c:pt idx="274">
                        <c:v>20.122490661046527</c:v>
                      </c:pt>
                      <c:pt idx="275">
                        <c:v>20.122490661046527</c:v>
                      </c:pt>
                      <c:pt idx="276">
                        <c:v>20.122490661046527</c:v>
                      </c:pt>
                      <c:pt idx="277">
                        <c:v>20.122490661046527</c:v>
                      </c:pt>
                      <c:pt idx="278">
                        <c:v>20.122490661046527</c:v>
                      </c:pt>
                      <c:pt idx="279">
                        <c:v>20.122490661046527</c:v>
                      </c:pt>
                      <c:pt idx="280">
                        <c:v>15.562490661046581</c:v>
                      </c:pt>
                      <c:pt idx="281">
                        <c:v>-40.597509338953273</c:v>
                      </c:pt>
                      <c:pt idx="282">
                        <c:v>-40.597509338953273</c:v>
                      </c:pt>
                      <c:pt idx="283">
                        <c:v>-40.597509338953273</c:v>
                      </c:pt>
                      <c:pt idx="284">
                        <c:v>-7.2975093389533185</c:v>
                      </c:pt>
                      <c:pt idx="285">
                        <c:v>-7.2975093389533185</c:v>
                      </c:pt>
                      <c:pt idx="286">
                        <c:v>1.1024906610467724</c:v>
                      </c:pt>
                      <c:pt idx="287">
                        <c:v>1.1024906610467724</c:v>
                      </c:pt>
                      <c:pt idx="288">
                        <c:v>151.70249066104691</c:v>
                      </c:pt>
                      <c:pt idx="289">
                        <c:v>151.70249066104691</c:v>
                      </c:pt>
                      <c:pt idx="290">
                        <c:v>151.70249066104691</c:v>
                      </c:pt>
                      <c:pt idx="291">
                        <c:v>151.70249066104691</c:v>
                      </c:pt>
                      <c:pt idx="292">
                        <c:v>151.70249066104691</c:v>
                      </c:pt>
                      <c:pt idx="293">
                        <c:v>148.00249066104664</c:v>
                      </c:pt>
                      <c:pt idx="294">
                        <c:v>148.00249066104664</c:v>
                      </c:pt>
                      <c:pt idx="295">
                        <c:v>148.00249066104664</c:v>
                      </c:pt>
                      <c:pt idx="296">
                        <c:v>148.00249066104664</c:v>
                      </c:pt>
                      <c:pt idx="297">
                        <c:v>148.00249066104664</c:v>
                      </c:pt>
                      <c:pt idx="298">
                        <c:v>148.00249066104664</c:v>
                      </c:pt>
                      <c:pt idx="299">
                        <c:v>121.60249066104666</c:v>
                      </c:pt>
                      <c:pt idx="300">
                        <c:v>175.24249066104653</c:v>
                      </c:pt>
                      <c:pt idx="301">
                        <c:v>345.26249066104651</c:v>
                      </c:pt>
                      <c:pt idx="302">
                        <c:v>345.26249066104651</c:v>
                      </c:pt>
                      <c:pt idx="303">
                        <c:v>428.48249066104654</c:v>
                      </c:pt>
                      <c:pt idx="304">
                        <c:v>428.48249066104654</c:v>
                      </c:pt>
                      <c:pt idx="305">
                        <c:v>531.88249066104663</c:v>
                      </c:pt>
                      <c:pt idx="306">
                        <c:v>676.08249066104668</c:v>
                      </c:pt>
                      <c:pt idx="307">
                        <c:v>685.53249066104672</c:v>
                      </c:pt>
                      <c:pt idx="308">
                        <c:v>685.53249066104672</c:v>
                      </c:pt>
                      <c:pt idx="309">
                        <c:v>685.53249066104672</c:v>
                      </c:pt>
                      <c:pt idx="310">
                        <c:v>685.53249066104672</c:v>
                      </c:pt>
                      <c:pt idx="311">
                        <c:v>685.53249066104672</c:v>
                      </c:pt>
                      <c:pt idx="312">
                        <c:v>685.53249066104672</c:v>
                      </c:pt>
                      <c:pt idx="313">
                        <c:v>685.53249066104672</c:v>
                      </c:pt>
                      <c:pt idx="314">
                        <c:v>685.53249066104672</c:v>
                      </c:pt>
                      <c:pt idx="315">
                        <c:v>685.53249066104672</c:v>
                      </c:pt>
                      <c:pt idx="316">
                        <c:v>685.53249066104672</c:v>
                      </c:pt>
                      <c:pt idx="317">
                        <c:v>685.53249066104672</c:v>
                      </c:pt>
                      <c:pt idx="318">
                        <c:v>599.43627194988017</c:v>
                      </c:pt>
                      <c:pt idx="319">
                        <c:v>814.11627194988023</c:v>
                      </c:pt>
                      <c:pt idx="320">
                        <c:v>814.11627194988023</c:v>
                      </c:pt>
                      <c:pt idx="321">
                        <c:v>804.91627194988018</c:v>
                      </c:pt>
                      <c:pt idx="322">
                        <c:v>869.71627194988037</c:v>
                      </c:pt>
                      <c:pt idx="323">
                        <c:v>640.46627194988037</c:v>
                      </c:pt>
                      <c:pt idx="324">
                        <c:v>640.46627194988037</c:v>
                      </c:pt>
                      <c:pt idx="325">
                        <c:v>690.46627194988037</c:v>
                      </c:pt>
                      <c:pt idx="326">
                        <c:v>690.46627194988037</c:v>
                      </c:pt>
                      <c:pt idx="327">
                        <c:v>686.86627194988023</c:v>
                      </c:pt>
                      <c:pt idx="328">
                        <c:v>659.41627194988018</c:v>
                      </c:pt>
                      <c:pt idx="329">
                        <c:v>659.41627194988018</c:v>
                      </c:pt>
                      <c:pt idx="330">
                        <c:v>659.41627194988018</c:v>
                      </c:pt>
                      <c:pt idx="331">
                        <c:v>730.45627194988015</c:v>
                      </c:pt>
                      <c:pt idx="332">
                        <c:v>846.73627194988012</c:v>
                      </c:pt>
                      <c:pt idx="333">
                        <c:v>906.13627194988021</c:v>
                      </c:pt>
                      <c:pt idx="334">
                        <c:v>906.13627194988021</c:v>
                      </c:pt>
                      <c:pt idx="335">
                        <c:v>962.59627194988025</c:v>
                      </c:pt>
                      <c:pt idx="336">
                        <c:v>956.35627194988024</c:v>
                      </c:pt>
                      <c:pt idx="337">
                        <c:v>956.35627194988024</c:v>
                      </c:pt>
                      <c:pt idx="338">
                        <c:v>956.35627194988024</c:v>
                      </c:pt>
                      <c:pt idx="339">
                        <c:v>892.09627194988025</c:v>
                      </c:pt>
                      <c:pt idx="340">
                        <c:v>768.40627194988019</c:v>
                      </c:pt>
                      <c:pt idx="341">
                        <c:v>768.40627194988019</c:v>
                      </c:pt>
                      <c:pt idx="342">
                        <c:v>768.40627194988019</c:v>
                      </c:pt>
                      <c:pt idx="343">
                        <c:v>759.08627194988026</c:v>
                      </c:pt>
                      <c:pt idx="344">
                        <c:v>631.52627194988031</c:v>
                      </c:pt>
                      <c:pt idx="345">
                        <c:v>631.52627194988031</c:v>
                      </c:pt>
                      <c:pt idx="346">
                        <c:v>631.52627194988031</c:v>
                      </c:pt>
                    </c:numCache>
                  </c:numRef>
                </c:val>
                <c:smooth val="0"/>
                <c:extLst xmlns:c15="http://schemas.microsoft.com/office/drawing/2012/chart">
                  <c:ext xmlns:c16="http://schemas.microsoft.com/office/drawing/2014/chart" uri="{C3380CC4-5D6E-409C-BE32-E72D297353CC}">
                    <c16:uniqueId val="{00000005-5DD5-4FA1-AE49-D4B74D0A91B6}"/>
                  </c:ext>
                </c:extLst>
              </c15:ser>
            </c15:filteredLineSeries>
            <c15:filteredLineSeries>
              <c15:ser>
                <c:idx val="6"/>
                <c:order val="6"/>
                <c:tx>
                  <c:v>Dwn (MOC)</c:v>
                </c:tx>
                <c:spPr>
                  <a:ln w="28575" cap="rnd">
                    <a:solidFill>
                      <a:schemeClr val="accent2">
                        <a:lumMod val="60000"/>
                        <a:lumOff val="40000"/>
                      </a:schemeClr>
                    </a:solidFill>
                    <a:prstDash val="sysDash"/>
                    <a:round/>
                  </a:ln>
                  <a:effectLst/>
                </c:spPr>
                <c:marker>
                  <c:symbol val="none"/>
                </c:marker>
                <c:val>
                  <c:numRef>
                    <c:extLst xmlns:c15="http://schemas.microsoft.com/office/drawing/2012/chart">
                      <c:ext xmlns:c15="http://schemas.microsoft.com/office/drawing/2012/chart" uri="{02D57815-91ED-43cb-92C2-25804820EDAC}">
                        <c15:formulaRef>
                          <c15:sqref>'2025-Q2'!$AZ$4:$AZ$350</c15:sqref>
                        </c15:formulaRef>
                      </c:ext>
                    </c:extLst>
                    <c:numCache>
                      <c:formatCode>"$"#,##0</c:formatCode>
                      <c:ptCount val="347"/>
                      <c:pt idx="0">
                        <c:v>-254.69999999999982</c:v>
                      </c:pt>
                      <c:pt idx="1">
                        <c:v>-262.79999999999973</c:v>
                      </c:pt>
                      <c:pt idx="2">
                        <c:v>-262.79999999999973</c:v>
                      </c:pt>
                      <c:pt idx="3">
                        <c:v>-262.79999999999973</c:v>
                      </c:pt>
                      <c:pt idx="4">
                        <c:v>-262.79999999999973</c:v>
                      </c:pt>
                      <c:pt idx="5">
                        <c:v>-262.79999999999973</c:v>
                      </c:pt>
                      <c:pt idx="6">
                        <c:v>-262.79999999999973</c:v>
                      </c:pt>
                      <c:pt idx="7">
                        <c:v>-262.79999999999973</c:v>
                      </c:pt>
                      <c:pt idx="8">
                        <c:v>-262.79999999999973</c:v>
                      </c:pt>
                      <c:pt idx="9">
                        <c:v>-266.68837290281726</c:v>
                      </c:pt>
                      <c:pt idx="10">
                        <c:v>-266.68837290281726</c:v>
                      </c:pt>
                      <c:pt idx="11">
                        <c:v>-266.68837290281726</c:v>
                      </c:pt>
                      <c:pt idx="12">
                        <c:v>-267.17837290281727</c:v>
                      </c:pt>
                      <c:pt idx="13">
                        <c:v>-267.17837290281727</c:v>
                      </c:pt>
                      <c:pt idx="14">
                        <c:v>-173.75837290281697</c:v>
                      </c:pt>
                      <c:pt idx="15">
                        <c:v>-173.75837290281697</c:v>
                      </c:pt>
                      <c:pt idx="16">
                        <c:v>-89.908372902816836</c:v>
                      </c:pt>
                      <c:pt idx="17">
                        <c:v>-65.608372902816654</c:v>
                      </c:pt>
                      <c:pt idx="18">
                        <c:v>-65.608372902816654</c:v>
                      </c:pt>
                      <c:pt idx="19">
                        <c:v>-65.608372902816654</c:v>
                      </c:pt>
                      <c:pt idx="20">
                        <c:v>-65.608372902816654</c:v>
                      </c:pt>
                      <c:pt idx="21">
                        <c:v>-65.608372902816654</c:v>
                      </c:pt>
                      <c:pt idx="22">
                        <c:v>-79.1383729028164</c:v>
                      </c:pt>
                      <c:pt idx="23">
                        <c:v>-79.1383729028164</c:v>
                      </c:pt>
                      <c:pt idx="24">
                        <c:v>-79.1383729028164</c:v>
                      </c:pt>
                      <c:pt idx="25">
                        <c:v>-79.1383729028164</c:v>
                      </c:pt>
                      <c:pt idx="26">
                        <c:v>-76.1383729028164</c:v>
                      </c:pt>
                      <c:pt idx="27">
                        <c:v>-110.1383729028164</c:v>
                      </c:pt>
                      <c:pt idx="28">
                        <c:v>-118.53837290281626</c:v>
                      </c:pt>
                      <c:pt idx="29">
                        <c:v>-118.53837290281626</c:v>
                      </c:pt>
                      <c:pt idx="30">
                        <c:v>-155.63837290281617</c:v>
                      </c:pt>
                      <c:pt idx="31">
                        <c:v>-148.13837290281617</c:v>
                      </c:pt>
                      <c:pt idx="32">
                        <c:v>-164.13837290281617</c:v>
                      </c:pt>
                      <c:pt idx="33">
                        <c:v>-164.13837290281617</c:v>
                      </c:pt>
                      <c:pt idx="34">
                        <c:v>-164.13837290281617</c:v>
                      </c:pt>
                      <c:pt idx="35">
                        <c:v>-164.13837290281617</c:v>
                      </c:pt>
                      <c:pt idx="36">
                        <c:v>-173.22837290281586</c:v>
                      </c:pt>
                      <c:pt idx="37">
                        <c:v>-173.22837290281586</c:v>
                      </c:pt>
                      <c:pt idx="38">
                        <c:v>-173.22837290281586</c:v>
                      </c:pt>
                      <c:pt idx="39">
                        <c:v>-173.22837290281586</c:v>
                      </c:pt>
                      <c:pt idx="40">
                        <c:v>-322.17837290281591</c:v>
                      </c:pt>
                      <c:pt idx="41">
                        <c:v>-353.47837290281609</c:v>
                      </c:pt>
                      <c:pt idx="42">
                        <c:v>-286.37837290281595</c:v>
                      </c:pt>
                      <c:pt idx="43">
                        <c:v>-286.37837290281595</c:v>
                      </c:pt>
                      <c:pt idx="44">
                        <c:v>-286.37837290281595</c:v>
                      </c:pt>
                      <c:pt idx="45">
                        <c:v>-286.37837290281595</c:v>
                      </c:pt>
                      <c:pt idx="46">
                        <c:v>-336.14837290281594</c:v>
                      </c:pt>
                      <c:pt idx="47">
                        <c:v>-336.14837290281594</c:v>
                      </c:pt>
                      <c:pt idx="48">
                        <c:v>-437.28837290281581</c:v>
                      </c:pt>
                      <c:pt idx="49">
                        <c:v>-437.28837290281581</c:v>
                      </c:pt>
                      <c:pt idx="50">
                        <c:v>-437.28837290281581</c:v>
                      </c:pt>
                      <c:pt idx="51">
                        <c:v>-437.28837290281581</c:v>
                      </c:pt>
                      <c:pt idx="52">
                        <c:v>-546.48837290281585</c:v>
                      </c:pt>
                      <c:pt idx="53">
                        <c:v>-546.48837290281585</c:v>
                      </c:pt>
                      <c:pt idx="54">
                        <c:v>-546.48837290281585</c:v>
                      </c:pt>
                      <c:pt idx="55">
                        <c:v>-539.5683729028159</c:v>
                      </c:pt>
                      <c:pt idx="56">
                        <c:v>-539.5683729028159</c:v>
                      </c:pt>
                      <c:pt idx="57">
                        <c:v>-414.9183729028158</c:v>
                      </c:pt>
                      <c:pt idx="58">
                        <c:v>-414.9183729028158</c:v>
                      </c:pt>
                      <c:pt idx="59">
                        <c:v>-414.9183729028158</c:v>
                      </c:pt>
                      <c:pt idx="60">
                        <c:v>-414.9183729028158</c:v>
                      </c:pt>
                      <c:pt idx="61">
                        <c:v>-414.9183729028158</c:v>
                      </c:pt>
                      <c:pt idx="62">
                        <c:v>-414.9183729028158</c:v>
                      </c:pt>
                      <c:pt idx="63">
                        <c:v>-414.9183729028158</c:v>
                      </c:pt>
                      <c:pt idx="64">
                        <c:v>-414.9183729028158</c:v>
                      </c:pt>
                      <c:pt idx="65">
                        <c:v>-414.9183729028158</c:v>
                      </c:pt>
                      <c:pt idx="66">
                        <c:v>-420.76837290281571</c:v>
                      </c:pt>
                      <c:pt idx="67">
                        <c:v>-414.58837290281565</c:v>
                      </c:pt>
                      <c:pt idx="68">
                        <c:v>-396.2683729028156</c:v>
                      </c:pt>
                      <c:pt idx="69">
                        <c:v>-396.2683729028156</c:v>
                      </c:pt>
                      <c:pt idx="70">
                        <c:v>-368.83837290281554</c:v>
                      </c:pt>
                      <c:pt idx="71">
                        <c:v>-368.83837290281554</c:v>
                      </c:pt>
                      <c:pt idx="72">
                        <c:v>-368.83837290281554</c:v>
                      </c:pt>
                      <c:pt idx="73">
                        <c:v>-368.83837290281554</c:v>
                      </c:pt>
                      <c:pt idx="74">
                        <c:v>-368.83837290281554</c:v>
                      </c:pt>
                      <c:pt idx="75">
                        <c:v>-368.83837290281554</c:v>
                      </c:pt>
                      <c:pt idx="76">
                        <c:v>-368.83837290281554</c:v>
                      </c:pt>
                      <c:pt idx="77">
                        <c:v>-368.83837290281554</c:v>
                      </c:pt>
                      <c:pt idx="78">
                        <c:v>-368.83837290281554</c:v>
                      </c:pt>
                      <c:pt idx="79">
                        <c:v>-423.9721716230016</c:v>
                      </c:pt>
                      <c:pt idx="80">
                        <c:v>-423.9721716230016</c:v>
                      </c:pt>
                      <c:pt idx="81">
                        <c:v>-480.01217162300156</c:v>
                      </c:pt>
                      <c:pt idx="82">
                        <c:v>-530.05217162300164</c:v>
                      </c:pt>
                      <c:pt idx="83">
                        <c:v>-530.05217162300164</c:v>
                      </c:pt>
                      <c:pt idx="84">
                        <c:v>-530.05217162300164</c:v>
                      </c:pt>
                      <c:pt idx="85">
                        <c:v>-591.05217162300175</c:v>
                      </c:pt>
                      <c:pt idx="86">
                        <c:v>-591.05217162300175</c:v>
                      </c:pt>
                      <c:pt idx="87">
                        <c:v>-613.15217162300189</c:v>
                      </c:pt>
                      <c:pt idx="88">
                        <c:v>-595.83217162300184</c:v>
                      </c:pt>
                      <c:pt idx="89">
                        <c:v>-595.83217162300184</c:v>
                      </c:pt>
                      <c:pt idx="90">
                        <c:v>-563.83217162300184</c:v>
                      </c:pt>
                      <c:pt idx="91">
                        <c:v>-555.85217162300182</c:v>
                      </c:pt>
                      <c:pt idx="92">
                        <c:v>-578.65217162300189</c:v>
                      </c:pt>
                      <c:pt idx="93">
                        <c:v>-578.65217162300189</c:v>
                      </c:pt>
                      <c:pt idx="94">
                        <c:v>-578.65217162300189</c:v>
                      </c:pt>
                      <c:pt idx="95">
                        <c:v>-589.652171623002</c:v>
                      </c:pt>
                      <c:pt idx="96">
                        <c:v>-547.95217162300207</c:v>
                      </c:pt>
                      <c:pt idx="97">
                        <c:v>-550.83217162300207</c:v>
                      </c:pt>
                      <c:pt idx="98">
                        <c:v>-588.98217162300205</c:v>
                      </c:pt>
                      <c:pt idx="99">
                        <c:v>-588.98217162300205</c:v>
                      </c:pt>
                      <c:pt idx="100">
                        <c:v>-711.86217162300204</c:v>
                      </c:pt>
                      <c:pt idx="101">
                        <c:v>-711.86217162300204</c:v>
                      </c:pt>
                      <c:pt idx="102">
                        <c:v>-711.86217162300204</c:v>
                      </c:pt>
                      <c:pt idx="103">
                        <c:v>-711.86217162300204</c:v>
                      </c:pt>
                      <c:pt idx="104">
                        <c:v>-711.86217162300204</c:v>
                      </c:pt>
                      <c:pt idx="105">
                        <c:v>-657.08217162300207</c:v>
                      </c:pt>
                      <c:pt idx="106">
                        <c:v>-657.08217162300207</c:v>
                      </c:pt>
                      <c:pt idx="107">
                        <c:v>-657.08217162300207</c:v>
                      </c:pt>
                      <c:pt idx="108">
                        <c:v>-657.08217162300207</c:v>
                      </c:pt>
                      <c:pt idx="109">
                        <c:v>-657.08217162300207</c:v>
                      </c:pt>
                      <c:pt idx="110">
                        <c:v>-646.83217162300218</c:v>
                      </c:pt>
                      <c:pt idx="111">
                        <c:v>-640.35217162300216</c:v>
                      </c:pt>
                      <c:pt idx="112">
                        <c:v>-640.35217162300216</c:v>
                      </c:pt>
                      <c:pt idx="113">
                        <c:v>-640.35217162300216</c:v>
                      </c:pt>
                      <c:pt idx="114">
                        <c:v>-640.35217162300216</c:v>
                      </c:pt>
                      <c:pt idx="115">
                        <c:v>-640.35217162300216</c:v>
                      </c:pt>
                      <c:pt idx="116">
                        <c:v>-643.20217162300207</c:v>
                      </c:pt>
                      <c:pt idx="117">
                        <c:v>-617.95161845366727</c:v>
                      </c:pt>
                      <c:pt idx="118">
                        <c:v>-617.95161845366727</c:v>
                      </c:pt>
                      <c:pt idx="119">
                        <c:v>-617.95161845366727</c:v>
                      </c:pt>
                      <c:pt idx="120">
                        <c:v>-637.75161845366745</c:v>
                      </c:pt>
                      <c:pt idx="121">
                        <c:v>-637.75161845366745</c:v>
                      </c:pt>
                      <c:pt idx="122">
                        <c:v>-637.75161845366745</c:v>
                      </c:pt>
                      <c:pt idx="123">
                        <c:v>-637.75161845366745</c:v>
                      </c:pt>
                      <c:pt idx="124">
                        <c:v>-569.65161845366742</c:v>
                      </c:pt>
                      <c:pt idx="125">
                        <c:v>-569.65161845366742</c:v>
                      </c:pt>
                      <c:pt idx="126">
                        <c:v>-569.65161845366742</c:v>
                      </c:pt>
                      <c:pt idx="127">
                        <c:v>-617.44161845366739</c:v>
                      </c:pt>
                      <c:pt idx="128">
                        <c:v>-617.44161845366739</c:v>
                      </c:pt>
                      <c:pt idx="129">
                        <c:v>-653.28161845366731</c:v>
                      </c:pt>
                      <c:pt idx="130">
                        <c:v>-653.28161845366731</c:v>
                      </c:pt>
                      <c:pt idx="131">
                        <c:v>-678.06161845366728</c:v>
                      </c:pt>
                      <c:pt idx="132">
                        <c:v>-678.06161845366728</c:v>
                      </c:pt>
                      <c:pt idx="133">
                        <c:v>-660.56161845366728</c:v>
                      </c:pt>
                      <c:pt idx="134">
                        <c:v>-658.04161845366718</c:v>
                      </c:pt>
                      <c:pt idx="135">
                        <c:v>-666.32161845366716</c:v>
                      </c:pt>
                      <c:pt idx="136">
                        <c:v>-662.72161845366713</c:v>
                      </c:pt>
                      <c:pt idx="137">
                        <c:v>-662.72161845366713</c:v>
                      </c:pt>
                      <c:pt idx="138">
                        <c:v>-694.54161845366707</c:v>
                      </c:pt>
                      <c:pt idx="139">
                        <c:v>-663.04161845366696</c:v>
                      </c:pt>
                      <c:pt idx="140">
                        <c:v>-663.04161845366696</c:v>
                      </c:pt>
                      <c:pt idx="141">
                        <c:v>-694.56161845366694</c:v>
                      </c:pt>
                      <c:pt idx="142">
                        <c:v>-744.80161845366695</c:v>
                      </c:pt>
                      <c:pt idx="143">
                        <c:v>-767.04161845366673</c:v>
                      </c:pt>
                      <c:pt idx="144">
                        <c:v>-769.08161845366681</c:v>
                      </c:pt>
                      <c:pt idx="145">
                        <c:v>-685.18161845366672</c:v>
                      </c:pt>
                      <c:pt idx="146">
                        <c:v>-709.48161845366667</c:v>
                      </c:pt>
                      <c:pt idx="147">
                        <c:v>-763.63161845366676</c:v>
                      </c:pt>
                      <c:pt idx="148">
                        <c:v>-763.63161845366676</c:v>
                      </c:pt>
                      <c:pt idx="149">
                        <c:v>-763.63161845366676</c:v>
                      </c:pt>
                      <c:pt idx="150">
                        <c:v>-763.63161845366676</c:v>
                      </c:pt>
                      <c:pt idx="151">
                        <c:v>-763.63161845366676</c:v>
                      </c:pt>
                      <c:pt idx="152">
                        <c:v>-639.33161845366681</c:v>
                      </c:pt>
                      <c:pt idx="153">
                        <c:v>-639.33161845366681</c:v>
                      </c:pt>
                      <c:pt idx="154">
                        <c:v>-639.33161845366681</c:v>
                      </c:pt>
                      <c:pt idx="155">
                        <c:v>-639.33161845366681</c:v>
                      </c:pt>
                      <c:pt idx="156">
                        <c:v>-547.97161845366668</c:v>
                      </c:pt>
                      <c:pt idx="157">
                        <c:v>-547.97161845366668</c:v>
                      </c:pt>
                      <c:pt idx="158">
                        <c:v>-547.97161845366668</c:v>
                      </c:pt>
                      <c:pt idx="159">
                        <c:v>-547.97161845366668</c:v>
                      </c:pt>
                      <c:pt idx="160">
                        <c:v>-547.97161845366668</c:v>
                      </c:pt>
                      <c:pt idx="161">
                        <c:v>-547.97161845366668</c:v>
                      </c:pt>
                      <c:pt idx="162">
                        <c:v>-520.05161845366683</c:v>
                      </c:pt>
                      <c:pt idx="163">
                        <c:v>-601.05161845366695</c:v>
                      </c:pt>
                      <c:pt idx="164">
                        <c:v>-601.05161845366695</c:v>
                      </c:pt>
                      <c:pt idx="165">
                        <c:v>-601.05161845366695</c:v>
                      </c:pt>
                      <c:pt idx="166">
                        <c:v>-601.05161845366695</c:v>
                      </c:pt>
                      <c:pt idx="167">
                        <c:v>-601.05161845366695</c:v>
                      </c:pt>
                      <c:pt idx="168">
                        <c:v>-560.1016184536669</c:v>
                      </c:pt>
                      <c:pt idx="169">
                        <c:v>-560.1016184536669</c:v>
                      </c:pt>
                      <c:pt idx="170">
                        <c:v>-570.36161845366701</c:v>
                      </c:pt>
                      <c:pt idx="171">
                        <c:v>-570.36161845366701</c:v>
                      </c:pt>
                      <c:pt idx="172">
                        <c:v>-550.52161845366709</c:v>
                      </c:pt>
                      <c:pt idx="173">
                        <c:v>-550.52161845366709</c:v>
                      </c:pt>
                      <c:pt idx="174">
                        <c:v>-469.5216184536672</c:v>
                      </c:pt>
                      <c:pt idx="175">
                        <c:v>-469.5216184536672</c:v>
                      </c:pt>
                      <c:pt idx="176">
                        <c:v>-458.74161845366723</c:v>
                      </c:pt>
                      <c:pt idx="177">
                        <c:v>-458.74161845366723</c:v>
                      </c:pt>
                      <c:pt idx="178">
                        <c:v>-472.52161845366743</c:v>
                      </c:pt>
                      <c:pt idx="179">
                        <c:v>-378.83161845366737</c:v>
                      </c:pt>
                      <c:pt idx="180">
                        <c:v>-378.83161845366737</c:v>
                      </c:pt>
                      <c:pt idx="181">
                        <c:v>-378.83161845366737</c:v>
                      </c:pt>
                      <c:pt idx="182">
                        <c:v>-378.83161845366737</c:v>
                      </c:pt>
                      <c:pt idx="183">
                        <c:v>-378.83161845366737</c:v>
                      </c:pt>
                      <c:pt idx="184">
                        <c:v>-399.47161845366725</c:v>
                      </c:pt>
                      <c:pt idx="185">
                        <c:v>-378.47161845366702</c:v>
                      </c:pt>
                      <c:pt idx="186">
                        <c:v>-386.97161845366702</c:v>
                      </c:pt>
                      <c:pt idx="187">
                        <c:v>-386.97161845366702</c:v>
                      </c:pt>
                      <c:pt idx="188">
                        <c:v>-280.97161845366702</c:v>
                      </c:pt>
                      <c:pt idx="189">
                        <c:v>-286.97161845366679</c:v>
                      </c:pt>
                      <c:pt idx="190">
                        <c:v>-286.97161845366679</c:v>
                      </c:pt>
                      <c:pt idx="191">
                        <c:v>-302.37161845366688</c:v>
                      </c:pt>
                      <c:pt idx="192">
                        <c:v>-302.37161845366688</c:v>
                      </c:pt>
                      <c:pt idx="193">
                        <c:v>-101.3516184536669</c:v>
                      </c:pt>
                      <c:pt idx="194">
                        <c:v>-110.31161845366694</c:v>
                      </c:pt>
                      <c:pt idx="195">
                        <c:v>-110.31161845366694</c:v>
                      </c:pt>
                      <c:pt idx="196">
                        <c:v>-110.31161845366694</c:v>
                      </c:pt>
                      <c:pt idx="197">
                        <c:v>-70.011618453666983</c:v>
                      </c:pt>
                      <c:pt idx="198">
                        <c:v>-68.661618453667074</c:v>
                      </c:pt>
                      <c:pt idx="199">
                        <c:v>-72.941618453667274</c:v>
                      </c:pt>
                      <c:pt idx="200">
                        <c:v>-72.941618453667274</c:v>
                      </c:pt>
                      <c:pt idx="201">
                        <c:v>-26.381618453667329</c:v>
                      </c:pt>
                      <c:pt idx="202">
                        <c:v>-26.381618453667329</c:v>
                      </c:pt>
                      <c:pt idx="203">
                        <c:v>-26.381618453667329</c:v>
                      </c:pt>
                      <c:pt idx="204">
                        <c:v>-26.381618453667329</c:v>
                      </c:pt>
                      <c:pt idx="205">
                        <c:v>-26.381618453667329</c:v>
                      </c:pt>
                      <c:pt idx="206">
                        <c:v>-26.381618453667329</c:v>
                      </c:pt>
                      <c:pt idx="207">
                        <c:v>-28.36161845366712</c:v>
                      </c:pt>
                      <c:pt idx="208">
                        <c:v>-28.36161845366712</c:v>
                      </c:pt>
                      <c:pt idx="209">
                        <c:v>-6.9616184536670289</c:v>
                      </c:pt>
                      <c:pt idx="210">
                        <c:v>-6.9616184536670289</c:v>
                      </c:pt>
                      <c:pt idx="211">
                        <c:v>-6.9616184536670289</c:v>
                      </c:pt>
                      <c:pt idx="212">
                        <c:v>-6.9616184536670289</c:v>
                      </c:pt>
                      <c:pt idx="213">
                        <c:v>36.368381546332898</c:v>
                      </c:pt>
                      <c:pt idx="214">
                        <c:v>38.368381546332898</c:v>
                      </c:pt>
                      <c:pt idx="215">
                        <c:v>-92.311618453666938</c:v>
                      </c:pt>
                      <c:pt idx="216">
                        <c:v>-92.311618453666938</c:v>
                      </c:pt>
                      <c:pt idx="217">
                        <c:v>-92.311618453666938</c:v>
                      </c:pt>
                      <c:pt idx="218">
                        <c:v>-74.811618453666938</c:v>
                      </c:pt>
                      <c:pt idx="219">
                        <c:v>-74.811618453666938</c:v>
                      </c:pt>
                      <c:pt idx="220">
                        <c:v>-5.5116184536669834</c:v>
                      </c:pt>
                      <c:pt idx="221">
                        <c:v>-5.5116184536669834</c:v>
                      </c:pt>
                      <c:pt idx="222">
                        <c:v>54.408381546332862</c:v>
                      </c:pt>
                      <c:pt idx="223">
                        <c:v>54.408381546332862</c:v>
                      </c:pt>
                      <c:pt idx="224">
                        <c:v>54.408381546332862</c:v>
                      </c:pt>
                      <c:pt idx="225">
                        <c:v>24.88838154633288</c:v>
                      </c:pt>
                      <c:pt idx="226">
                        <c:v>24.88838154633288</c:v>
                      </c:pt>
                      <c:pt idx="227">
                        <c:v>44.248381546333007</c:v>
                      </c:pt>
                      <c:pt idx="228">
                        <c:v>44.248381546333007</c:v>
                      </c:pt>
                      <c:pt idx="229">
                        <c:v>44.248381546333007</c:v>
                      </c:pt>
                      <c:pt idx="230">
                        <c:v>63.898381546332871</c:v>
                      </c:pt>
                      <c:pt idx="231">
                        <c:v>63.898381546332871</c:v>
                      </c:pt>
                      <c:pt idx="232">
                        <c:v>63.898381546332871</c:v>
                      </c:pt>
                      <c:pt idx="233">
                        <c:v>63.898381546332871</c:v>
                      </c:pt>
                      <c:pt idx="234">
                        <c:v>126.29838154633296</c:v>
                      </c:pt>
                      <c:pt idx="235">
                        <c:v>82.868381546332898</c:v>
                      </c:pt>
                      <c:pt idx="236">
                        <c:v>168.66838154633285</c:v>
                      </c:pt>
                      <c:pt idx="237">
                        <c:v>168.66838154633285</c:v>
                      </c:pt>
                      <c:pt idx="238">
                        <c:v>168.66838154633285</c:v>
                      </c:pt>
                      <c:pt idx="239">
                        <c:v>168.66838154633285</c:v>
                      </c:pt>
                      <c:pt idx="240">
                        <c:v>168.66838154633285</c:v>
                      </c:pt>
                      <c:pt idx="241">
                        <c:v>347.91838154633274</c:v>
                      </c:pt>
                      <c:pt idx="242">
                        <c:v>347.91838154633274</c:v>
                      </c:pt>
                      <c:pt idx="243">
                        <c:v>336.66838154633274</c:v>
                      </c:pt>
                      <c:pt idx="244">
                        <c:v>336.66838154633274</c:v>
                      </c:pt>
                      <c:pt idx="245">
                        <c:v>342.51838154633288</c:v>
                      </c:pt>
                      <c:pt idx="246">
                        <c:v>338.21838154633292</c:v>
                      </c:pt>
                      <c:pt idx="247">
                        <c:v>315.81838154633283</c:v>
                      </c:pt>
                      <c:pt idx="248">
                        <c:v>280.51838154633288</c:v>
                      </c:pt>
                      <c:pt idx="249">
                        <c:v>201.31838154633283</c:v>
                      </c:pt>
                      <c:pt idx="250">
                        <c:v>344.11838154633278</c:v>
                      </c:pt>
                      <c:pt idx="251">
                        <c:v>344.11838154633278</c:v>
                      </c:pt>
                      <c:pt idx="252">
                        <c:v>344.11838154633278</c:v>
                      </c:pt>
                      <c:pt idx="253">
                        <c:v>438.61838154633278</c:v>
                      </c:pt>
                      <c:pt idx="254">
                        <c:v>415.57838154633259</c:v>
                      </c:pt>
                      <c:pt idx="255">
                        <c:v>442.29838154633239</c:v>
                      </c:pt>
                      <c:pt idx="256">
                        <c:v>442.29838154633239</c:v>
                      </c:pt>
                      <c:pt idx="257">
                        <c:v>442.29838154633239</c:v>
                      </c:pt>
                      <c:pt idx="258">
                        <c:v>442.29838154633239</c:v>
                      </c:pt>
                      <c:pt idx="259">
                        <c:v>356.69838154633248</c:v>
                      </c:pt>
                      <c:pt idx="260">
                        <c:v>338.87838154633255</c:v>
                      </c:pt>
                      <c:pt idx="261">
                        <c:v>319.19838154633248</c:v>
                      </c:pt>
                      <c:pt idx="262">
                        <c:v>361.89838154633276</c:v>
                      </c:pt>
                      <c:pt idx="263">
                        <c:v>361.89838154633276</c:v>
                      </c:pt>
                      <c:pt idx="264">
                        <c:v>365.63838154633277</c:v>
                      </c:pt>
                      <c:pt idx="265">
                        <c:v>311.15838154633275</c:v>
                      </c:pt>
                      <c:pt idx="266">
                        <c:v>311.15838154633275</c:v>
                      </c:pt>
                      <c:pt idx="267">
                        <c:v>310.73838154633268</c:v>
                      </c:pt>
                      <c:pt idx="268">
                        <c:v>300.97838154633268</c:v>
                      </c:pt>
                      <c:pt idx="269">
                        <c:v>365.41838154633274</c:v>
                      </c:pt>
                      <c:pt idx="270">
                        <c:v>393.49838154633267</c:v>
                      </c:pt>
                      <c:pt idx="271">
                        <c:v>450.82838154633259</c:v>
                      </c:pt>
                      <c:pt idx="272">
                        <c:v>447.22838154633268</c:v>
                      </c:pt>
                      <c:pt idx="273">
                        <c:v>447.22838154633268</c:v>
                      </c:pt>
                      <c:pt idx="274">
                        <c:v>421.97838154633268</c:v>
                      </c:pt>
                      <c:pt idx="275">
                        <c:v>506.12838154633255</c:v>
                      </c:pt>
                      <c:pt idx="276">
                        <c:v>485.24838154633267</c:v>
                      </c:pt>
                      <c:pt idx="277">
                        <c:v>485.24838154633267</c:v>
                      </c:pt>
                      <c:pt idx="278">
                        <c:v>560.64838154633253</c:v>
                      </c:pt>
                      <c:pt idx="279">
                        <c:v>580.64838154633253</c:v>
                      </c:pt>
                      <c:pt idx="280">
                        <c:v>580.64838154633253</c:v>
                      </c:pt>
                      <c:pt idx="281">
                        <c:v>580.64838154633253</c:v>
                      </c:pt>
                      <c:pt idx="282">
                        <c:v>582.84838154633258</c:v>
                      </c:pt>
                      <c:pt idx="283">
                        <c:v>512.14838154633276</c:v>
                      </c:pt>
                      <c:pt idx="284">
                        <c:v>512.14838154633276</c:v>
                      </c:pt>
                      <c:pt idx="285">
                        <c:v>416.74838154633267</c:v>
                      </c:pt>
                      <c:pt idx="286">
                        <c:v>416.74838154633267</c:v>
                      </c:pt>
                      <c:pt idx="287">
                        <c:v>335.61838154633256</c:v>
                      </c:pt>
                      <c:pt idx="288">
                        <c:v>335.61838154633256</c:v>
                      </c:pt>
                      <c:pt idx="289">
                        <c:v>369.51838154633242</c:v>
                      </c:pt>
                      <c:pt idx="290">
                        <c:v>369.51838154633242</c:v>
                      </c:pt>
                      <c:pt idx="291">
                        <c:v>444.51838154633242</c:v>
                      </c:pt>
                      <c:pt idx="292">
                        <c:v>418.76838154633242</c:v>
                      </c:pt>
                      <c:pt idx="293">
                        <c:v>418.76838154633242</c:v>
                      </c:pt>
                      <c:pt idx="294">
                        <c:v>289.80838154633238</c:v>
                      </c:pt>
                      <c:pt idx="295">
                        <c:v>289.80838154633238</c:v>
                      </c:pt>
                      <c:pt idx="296">
                        <c:v>261.31838154633238</c:v>
                      </c:pt>
                      <c:pt idx="297">
                        <c:v>261.31838154633238</c:v>
                      </c:pt>
                      <c:pt idx="298">
                        <c:v>210.11838154633233</c:v>
                      </c:pt>
                      <c:pt idx="299">
                        <c:v>210.11838154633233</c:v>
                      </c:pt>
                      <c:pt idx="300">
                        <c:v>210.11838154633233</c:v>
                      </c:pt>
                      <c:pt idx="301">
                        <c:v>210.11838154633233</c:v>
                      </c:pt>
                      <c:pt idx="302">
                        <c:v>202.73838154633222</c:v>
                      </c:pt>
                      <c:pt idx="303">
                        <c:v>202.73838154633222</c:v>
                      </c:pt>
                      <c:pt idx="304">
                        <c:v>202.73838154633222</c:v>
                      </c:pt>
                      <c:pt idx="305">
                        <c:v>202.73838154633222</c:v>
                      </c:pt>
                      <c:pt idx="306">
                        <c:v>202.73838154633222</c:v>
                      </c:pt>
                      <c:pt idx="307">
                        <c:v>202.73838154633222</c:v>
                      </c:pt>
                      <c:pt idx="308">
                        <c:v>225.07719317717942</c:v>
                      </c:pt>
                      <c:pt idx="309">
                        <c:v>225.07719317717942</c:v>
                      </c:pt>
                      <c:pt idx="310">
                        <c:v>341.47719317717952</c:v>
                      </c:pt>
                      <c:pt idx="311">
                        <c:v>395.65719317717958</c:v>
                      </c:pt>
                      <c:pt idx="312">
                        <c:v>379.00719317717949</c:v>
                      </c:pt>
                      <c:pt idx="313">
                        <c:v>379.00719317717949</c:v>
                      </c:pt>
                      <c:pt idx="314">
                        <c:v>325.10719317717951</c:v>
                      </c:pt>
                      <c:pt idx="315">
                        <c:v>268.85719317717951</c:v>
                      </c:pt>
                      <c:pt idx="316">
                        <c:v>268.85719317717951</c:v>
                      </c:pt>
                      <c:pt idx="317">
                        <c:v>268.85719317717951</c:v>
                      </c:pt>
                      <c:pt idx="318">
                        <c:v>268.85719317717951</c:v>
                      </c:pt>
                      <c:pt idx="319">
                        <c:v>268.85719317717951</c:v>
                      </c:pt>
                      <c:pt idx="320">
                        <c:v>397.51719317717937</c:v>
                      </c:pt>
                      <c:pt idx="321">
                        <c:v>397.51719317717937</c:v>
                      </c:pt>
                      <c:pt idx="322">
                        <c:v>397.51719317717937</c:v>
                      </c:pt>
                      <c:pt idx="323">
                        <c:v>397.51719317717937</c:v>
                      </c:pt>
                      <c:pt idx="324">
                        <c:v>248.95719317717942</c:v>
                      </c:pt>
                      <c:pt idx="325">
                        <c:v>248.95719317717942</c:v>
                      </c:pt>
                      <c:pt idx="326">
                        <c:v>113.20719317717942</c:v>
                      </c:pt>
                      <c:pt idx="327">
                        <c:v>113.20719317717942</c:v>
                      </c:pt>
                      <c:pt idx="328">
                        <c:v>113.20719317717942</c:v>
                      </c:pt>
                      <c:pt idx="329">
                        <c:v>113.20719317717942</c:v>
                      </c:pt>
                      <c:pt idx="330">
                        <c:v>274.15719317717947</c:v>
                      </c:pt>
                      <c:pt idx="331">
                        <c:v>274.15719317717947</c:v>
                      </c:pt>
                      <c:pt idx="332">
                        <c:v>274.15719317717947</c:v>
                      </c:pt>
                      <c:pt idx="333">
                        <c:v>274.15719317717947</c:v>
                      </c:pt>
                      <c:pt idx="334">
                        <c:v>274.15719317717947</c:v>
                      </c:pt>
                      <c:pt idx="335">
                        <c:v>274.15719317717947</c:v>
                      </c:pt>
                      <c:pt idx="336">
                        <c:v>274.15719317717947</c:v>
                      </c:pt>
                      <c:pt idx="337">
                        <c:v>315.55719317717956</c:v>
                      </c:pt>
                      <c:pt idx="338">
                        <c:v>315.55719317717956</c:v>
                      </c:pt>
                      <c:pt idx="339">
                        <c:v>315.55719317717956</c:v>
                      </c:pt>
                      <c:pt idx="340">
                        <c:v>315.55719317717956</c:v>
                      </c:pt>
                      <c:pt idx="341">
                        <c:v>315.55719317717956</c:v>
                      </c:pt>
                      <c:pt idx="342">
                        <c:v>298.75719317717983</c:v>
                      </c:pt>
                      <c:pt idx="343">
                        <c:v>298.75719317717983</c:v>
                      </c:pt>
                      <c:pt idx="344">
                        <c:v>298.75719317717983</c:v>
                      </c:pt>
                      <c:pt idx="345">
                        <c:v>298.75719317717983</c:v>
                      </c:pt>
                      <c:pt idx="346">
                        <c:v>305.25719317717983</c:v>
                      </c:pt>
                    </c:numCache>
                  </c:numRef>
                </c:val>
                <c:smooth val="0"/>
                <c:extLst xmlns:c15="http://schemas.microsoft.com/office/drawing/2012/chart">
                  <c:ext xmlns:c16="http://schemas.microsoft.com/office/drawing/2014/chart" uri="{C3380CC4-5D6E-409C-BE32-E72D297353CC}">
                    <c16:uniqueId val="{00000006-5DD5-4FA1-AE49-D4B74D0A91B6}"/>
                  </c:ext>
                </c:extLst>
              </c15:ser>
            </c15:filteredLineSeries>
          </c:ext>
        </c:extLst>
      </c:lineChart>
      <c:catAx>
        <c:axId val="147683023"/>
        <c:scaling>
          <c:orientation val="minMax"/>
        </c:scaling>
        <c:delete val="0"/>
        <c:axPos val="b"/>
        <c:majorGridlines>
          <c:spPr>
            <a:ln w="9525" cap="flat" cmpd="sng" algn="ctr">
              <a:solidFill>
                <a:schemeClr val="tx1">
                  <a:lumMod val="75000"/>
                  <a:lumOff val="25000"/>
                </a:schemeClr>
              </a:solidFill>
              <a:prstDash val="dash"/>
              <a:round/>
            </a:ln>
            <a:effectLst/>
          </c:spPr>
        </c:majorGridlines>
        <c:majorTickMark val="none"/>
        <c:minorTickMark val="none"/>
        <c:tickLblPos val="low"/>
        <c:spPr>
          <a:noFill/>
          <a:ln w="12700" cap="flat" cmpd="sng" algn="ctr">
            <a:solidFill>
              <a:sysClr val="windowText" lastClr="000000"/>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6645279"/>
        <c:crosses val="autoZero"/>
        <c:auto val="1"/>
        <c:lblAlgn val="ctr"/>
        <c:lblOffset val="100"/>
        <c:tickLblSkip val="25"/>
        <c:tickMarkSkip val="25"/>
        <c:noMultiLvlLbl val="0"/>
      </c:catAx>
      <c:valAx>
        <c:axId val="146645279"/>
        <c:scaling>
          <c:orientation val="minMax"/>
          <c:max val="20"/>
          <c:min val="-10"/>
        </c:scaling>
        <c:delete val="0"/>
        <c:axPos val="r"/>
        <c:majorGridlines>
          <c:spPr>
            <a:ln w="9525" cap="flat" cmpd="sng" algn="ctr">
              <a:solidFill>
                <a:schemeClr val="tx1">
                  <a:lumMod val="75000"/>
                  <a:lumOff val="25000"/>
                </a:schemeClr>
              </a:solidFill>
              <a:prstDash val="dash"/>
              <a:round/>
            </a:ln>
            <a:effectLst/>
          </c:spPr>
        </c:majorGridlines>
        <c:numFmt formatCode="0" sourceLinked="0"/>
        <c:majorTickMark val="none"/>
        <c:minorTickMark val="none"/>
        <c:tickLblPos val="high"/>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7683023"/>
        <c:crosses val="max"/>
        <c:crossBetween val="between"/>
      </c:valAx>
      <c:spPr>
        <a:solidFill>
          <a:schemeClr val="tx1">
            <a:lumMod val="65000"/>
            <a:lumOff val="35000"/>
          </a:schemeClr>
        </a:solidFill>
        <a:ln>
          <a:solidFill>
            <a:sysClr val="windowText" lastClr="000000"/>
          </a:solidFill>
        </a:ln>
        <a:effectLst/>
      </c:spPr>
    </c:plotArea>
    <c:legend>
      <c:legendPos val="t"/>
      <c:layout>
        <c:manualLayout>
          <c:xMode val="edge"/>
          <c:yMode val="edge"/>
          <c:x val="0.39634286005511454"/>
          <c:y val="1.2316999395039325E-2"/>
          <c:w val="0.57612618810998151"/>
          <c:h val="4.9614968727820091E-2"/>
        </c:manualLayout>
      </c:layout>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legend>
    <c:plotVisOnly val="0"/>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accent3">
                    <a:lumMod val="75000"/>
                  </a:schemeClr>
                </a:solidFill>
                <a:latin typeface="+mn-lt"/>
                <a:ea typeface="+mn-ea"/>
                <a:cs typeface="+mn-cs"/>
              </a:defRPr>
            </a:pPr>
            <a:r>
              <a:rPr lang="en-US" sz="2000" b="1">
                <a:solidFill>
                  <a:schemeClr val="accent3">
                    <a:lumMod val="75000"/>
                  </a:schemeClr>
                </a:solidFill>
              </a:rPr>
              <a:t>The Three Tiers (XLV)</a:t>
            </a:r>
          </a:p>
        </c:rich>
      </c:tx>
      <c:layout>
        <c:manualLayout>
          <c:xMode val="edge"/>
          <c:yMode val="edge"/>
          <c:x val="2.8694404591104734E-2"/>
          <c:y val="2.4198427102238356E-3"/>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accent3">
                  <a:lumMod val="75000"/>
                </a:schemeClr>
              </a:solidFill>
              <a:latin typeface="+mn-lt"/>
              <a:ea typeface="+mn-ea"/>
              <a:cs typeface="+mn-cs"/>
            </a:defRPr>
          </a:pPr>
          <a:endParaRPr lang="en-US"/>
        </a:p>
      </c:txPr>
    </c:title>
    <c:autoTitleDeleted val="0"/>
    <c:plotArea>
      <c:layout>
        <c:manualLayout>
          <c:layoutTarget val="inner"/>
          <c:xMode val="edge"/>
          <c:yMode val="edge"/>
          <c:x val="1.0171058714748035E-2"/>
          <c:y val="7.7350558040499021E-2"/>
          <c:w val="0.95283482768537431"/>
          <c:h val="0.86018548951798435"/>
        </c:manualLayout>
      </c:layout>
      <c:lineChart>
        <c:grouping val="standard"/>
        <c:varyColors val="0"/>
        <c:ser>
          <c:idx val="0"/>
          <c:order val="0"/>
          <c:tx>
            <c:v>Up</c:v>
          </c:tx>
          <c:spPr>
            <a:ln w="28575" cap="rnd">
              <a:solidFill>
                <a:schemeClr val="accent6">
                  <a:lumMod val="75000"/>
                </a:schemeClr>
              </a:solidFill>
              <a:prstDash val="solid"/>
              <a:round/>
            </a:ln>
            <a:effectLst/>
          </c:spPr>
          <c:marker>
            <c:symbol val="none"/>
          </c:marker>
          <c:val>
            <c:numRef>
              <c:f>'2025-Q2'!$EG$4:$EG$422</c:f>
              <c:numCache>
                <c:formatCode>0.00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-0.15098969023521425</c:v>
                </c:pt>
                <c:pt idx="204">
                  <c:v>-0.15098969023521425</c:v>
                </c:pt>
                <c:pt idx="205">
                  <c:v>-0.15098969023521425</c:v>
                </c:pt>
                <c:pt idx="206">
                  <c:v>-0.15098969023521425</c:v>
                </c:pt>
                <c:pt idx="207">
                  <c:v>-0.15098969023521425</c:v>
                </c:pt>
                <c:pt idx="208">
                  <c:v>-0.15098969023521425</c:v>
                </c:pt>
                <c:pt idx="209">
                  <c:v>-0.15098969023521425</c:v>
                </c:pt>
                <c:pt idx="210">
                  <c:v>-0.15098969023521425</c:v>
                </c:pt>
                <c:pt idx="211">
                  <c:v>-0.15098969023521425</c:v>
                </c:pt>
                <c:pt idx="212">
                  <c:v>-0.15098969023521425</c:v>
                </c:pt>
                <c:pt idx="213">
                  <c:v>-0.15098969023521425</c:v>
                </c:pt>
                <c:pt idx="214">
                  <c:v>-0.15098969023521425</c:v>
                </c:pt>
                <c:pt idx="215">
                  <c:v>-0.15098969023521425</c:v>
                </c:pt>
                <c:pt idx="216">
                  <c:v>-0.15098969023521425</c:v>
                </c:pt>
                <c:pt idx="217">
                  <c:v>-0.15098969023521425</c:v>
                </c:pt>
                <c:pt idx="218">
                  <c:v>-0.15098969023521425</c:v>
                </c:pt>
                <c:pt idx="219">
                  <c:v>-0.15098969023521425</c:v>
                </c:pt>
                <c:pt idx="220">
                  <c:v>-0.15098969023521425</c:v>
                </c:pt>
                <c:pt idx="221">
                  <c:v>-0.15098969023521425</c:v>
                </c:pt>
                <c:pt idx="222">
                  <c:v>-0.15098969023521425</c:v>
                </c:pt>
                <c:pt idx="223">
                  <c:v>-0.15098969023521425</c:v>
                </c:pt>
                <c:pt idx="224">
                  <c:v>-0.15098969023521425</c:v>
                </c:pt>
                <c:pt idx="225">
                  <c:v>-0.15098969023521425</c:v>
                </c:pt>
                <c:pt idx="226">
                  <c:v>-0.15098969023521425</c:v>
                </c:pt>
                <c:pt idx="227">
                  <c:v>-0.15098969023521425</c:v>
                </c:pt>
                <c:pt idx="228">
                  <c:v>-0.15098969023521425</c:v>
                </c:pt>
                <c:pt idx="229">
                  <c:v>-0.15098969023521425</c:v>
                </c:pt>
                <c:pt idx="230">
                  <c:v>-0.15098969023521425</c:v>
                </c:pt>
                <c:pt idx="231">
                  <c:v>-0.15098969023521425</c:v>
                </c:pt>
                <c:pt idx="232">
                  <c:v>-0.15098969023521425</c:v>
                </c:pt>
                <c:pt idx="233">
                  <c:v>-0.15098969023521425</c:v>
                </c:pt>
                <c:pt idx="234">
                  <c:v>-0.15098969023521425</c:v>
                </c:pt>
                <c:pt idx="235">
                  <c:v>-0.15098969023521425</c:v>
                </c:pt>
                <c:pt idx="236">
                  <c:v>-0.15098969023521425</c:v>
                </c:pt>
                <c:pt idx="237">
                  <c:v>-0.15098969023521425</c:v>
                </c:pt>
                <c:pt idx="238">
                  <c:v>-0.15098969023521425</c:v>
                </c:pt>
                <c:pt idx="239">
                  <c:v>-0.15098969023521425</c:v>
                </c:pt>
                <c:pt idx="240">
                  <c:v>-0.15098969023521425</c:v>
                </c:pt>
                <c:pt idx="241">
                  <c:v>-0.15098969023521425</c:v>
                </c:pt>
                <c:pt idx="242">
                  <c:v>-0.15098969023521425</c:v>
                </c:pt>
                <c:pt idx="243">
                  <c:v>-0.15098969023521425</c:v>
                </c:pt>
                <c:pt idx="244">
                  <c:v>-0.15098969023521425</c:v>
                </c:pt>
                <c:pt idx="245">
                  <c:v>-0.15098969023521425</c:v>
                </c:pt>
                <c:pt idx="246">
                  <c:v>-0.15098969023521425</c:v>
                </c:pt>
                <c:pt idx="247">
                  <c:v>-0.15098969023521425</c:v>
                </c:pt>
                <c:pt idx="248">
                  <c:v>-0.15098969023521425</c:v>
                </c:pt>
                <c:pt idx="249">
                  <c:v>-0.15098969023521425</c:v>
                </c:pt>
                <c:pt idx="250">
                  <c:v>-0.15098969023521425</c:v>
                </c:pt>
                <c:pt idx="251">
                  <c:v>-0.15098969023521425</c:v>
                </c:pt>
                <c:pt idx="252">
                  <c:v>-0.15098969023521425</c:v>
                </c:pt>
                <c:pt idx="253">
                  <c:v>-0.15098969023521425</c:v>
                </c:pt>
                <c:pt idx="254">
                  <c:v>-0.15098969023521425</c:v>
                </c:pt>
                <c:pt idx="255">
                  <c:v>-0.15098969023521425</c:v>
                </c:pt>
                <c:pt idx="256">
                  <c:v>-0.15098969023521425</c:v>
                </c:pt>
                <c:pt idx="257">
                  <c:v>-0.15098969023521425</c:v>
                </c:pt>
                <c:pt idx="258">
                  <c:v>-0.15098969023521425</c:v>
                </c:pt>
                <c:pt idx="259">
                  <c:v>-0.15098969023521425</c:v>
                </c:pt>
                <c:pt idx="260">
                  <c:v>-0.15098969023521425</c:v>
                </c:pt>
                <c:pt idx="261">
                  <c:v>-0.15098969023521425</c:v>
                </c:pt>
                <c:pt idx="262">
                  <c:v>-0.15098969023521425</c:v>
                </c:pt>
                <c:pt idx="263">
                  <c:v>-0.15098969023521425</c:v>
                </c:pt>
                <c:pt idx="264">
                  <c:v>-0.15098969023521425</c:v>
                </c:pt>
                <c:pt idx="265">
                  <c:v>-0.15098969023521425</c:v>
                </c:pt>
                <c:pt idx="266">
                  <c:v>-0.15098969023521425</c:v>
                </c:pt>
                <c:pt idx="267">
                  <c:v>-0.15098969023521425</c:v>
                </c:pt>
                <c:pt idx="268">
                  <c:v>-0.15098969023521425</c:v>
                </c:pt>
                <c:pt idx="269">
                  <c:v>-0.15098969023521425</c:v>
                </c:pt>
                <c:pt idx="270">
                  <c:v>-0.15098969023521425</c:v>
                </c:pt>
                <c:pt idx="271">
                  <c:v>-0.15098969023521425</c:v>
                </c:pt>
                <c:pt idx="272">
                  <c:v>-0.15098969023521425</c:v>
                </c:pt>
                <c:pt idx="273">
                  <c:v>-0.15098969023521425</c:v>
                </c:pt>
                <c:pt idx="274">
                  <c:v>-0.15098969023521425</c:v>
                </c:pt>
                <c:pt idx="275">
                  <c:v>-0.15098969023521425</c:v>
                </c:pt>
                <c:pt idx="276">
                  <c:v>-0.15098969023521425</c:v>
                </c:pt>
                <c:pt idx="277">
                  <c:v>-0.15098969023521425</c:v>
                </c:pt>
                <c:pt idx="278">
                  <c:v>-0.15098969023521425</c:v>
                </c:pt>
                <c:pt idx="279">
                  <c:v>-0.15098969023521425</c:v>
                </c:pt>
                <c:pt idx="280">
                  <c:v>-0.15098969023521425</c:v>
                </c:pt>
                <c:pt idx="281">
                  <c:v>-0.15098969023521425</c:v>
                </c:pt>
                <c:pt idx="282">
                  <c:v>-0.15098969023521425</c:v>
                </c:pt>
                <c:pt idx="283">
                  <c:v>-0.15098969023521425</c:v>
                </c:pt>
                <c:pt idx="284">
                  <c:v>-0.15098969023521425</c:v>
                </c:pt>
                <c:pt idx="285">
                  <c:v>-0.15098969023521425</c:v>
                </c:pt>
                <c:pt idx="286">
                  <c:v>-0.15098969023521425</c:v>
                </c:pt>
                <c:pt idx="287">
                  <c:v>-0.15098969023521425</c:v>
                </c:pt>
                <c:pt idx="288">
                  <c:v>-0.15098969023521425</c:v>
                </c:pt>
                <c:pt idx="289">
                  <c:v>-0.15098969023521425</c:v>
                </c:pt>
                <c:pt idx="290">
                  <c:v>-0.15098969023521425</c:v>
                </c:pt>
                <c:pt idx="291">
                  <c:v>-0.15098969023521425</c:v>
                </c:pt>
                <c:pt idx="292">
                  <c:v>-0.15098969023521425</c:v>
                </c:pt>
                <c:pt idx="293">
                  <c:v>-0.15098969023521425</c:v>
                </c:pt>
                <c:pt idx="294">
                  <c:v>-0.15098969023521425</c:v>
                </c:pt>
                <c:pt idx="295">
                  <c:v>-0.15098969023521425</c:v>
                </c:pt>
                <c:pt idx="296">
                  <c:v>-0.15098969023521425</c:v>
                </c:pt>
                <c:pt idx="297">
                  <c:v>0.12123845414313134</c:v>
                </c:pt>
                <c:pt idx="298">
                  <c:v>0.12123845414313134</c:v>
                </c:pt>
                <c:pt idx="299">
                  <c:v>0.12123845414313134</c:v>
                </c:pt>
                <c:pt idx="300">
                  <c:v>0.12123845414313134</c:v>
                </c:pt>
                <c:pt idx="301">
                  <c:v>0.12123845414313134</c:v>
                </c:pt>
                <c:pt idx="302">
                  <c:v>0.12123845414313134</c:v>
                </c:pt>
                <c:pt idx="303">
                  <c:v>0.12123845414313134</c:v>
                </c:pt>
                <c:pt idx="304">
                  <c:v>0.12123845414313134</c:v>
                </c:pt>
                <c:pt idx="305">
                  <c:v>0.12123845414313134</c:v>
                </c:pt>
                <c:pt idx="306">
                  <c:v>0.12123845414313134</c:v>
                </c:pt>
                <c:pt idx="307">
                  <c:v>0.12123845414313134</c:v>
                </c:pt>
                <c:pt idx="308">
                  <c:v>0.12123845414313134</c:v>
                </c:pt>
                <c:pt idx="309">
                  <c:v>0.12123845414313134</c:v>
                </c:pt>
                <c:pt idx="310">
                  <c:v>0.12123845414313134</c:v>
                </c:pt>
                <c:pt idx="311">
                  <c:v>0.12123845414313134</c:v>
                </c:pt>
                <c:pt idx="312">
                  <c:v>0.12123845414313134</c:v>
                </c:pt>
                <c:pt idx="313">
                  <c:v>0.12123845414313134</c:v>
                </c:pt>
                <c:pt idx="314">
                  <c:v>0.12123845414313134</c:v>
                </c:pt>
                <c:pt idx="315">
                  <c:v>0.12123845414313134</c:v>
                </c:pt>
                <c:pt idx="316">
                  <c:v>0.65848341369884777</c:v>
                </c:pt>
                <c:pt idx="317">
                  <c:v>0.65848341369884777</c:v>
                </c:pt>
                <c:pt idx="318">
                  <c:v>0.65848341369884777</c:v>
                </c:pt>
                <c:pt idx="319">
                  <c:v>0.65848341369884777</c:v>
                </c:pt>
                <c:pt idx="320">
                  <c:v>0.65848341369884777</c:v>
                </c:pt>
                <c:pt idx="321">
                  <c:v>0.65848341369884777</c:v>
                </c:pt>
                <c:pt idx="322">
                  <c:v>0.65848341369884777</c:v>
                </c:pt>
                <c:pt idx="323">
                  <c:v>0.65848341369884777</c:v>
                </c:pt>
                <c:pt idx="324">
                  <c:v>0.65848341369884777</c:v>
                </c:pt>
                <c:pt idx="325">
                  <c:v>0.65848341369884777</c:v>
                </c:pt>
                <c:pt idx="326">
                  <c:v>0.65848341369884777</c:v>
                </c:pt>
                <c:pt idx="327">
                  <c:v>0.65848341369884777</c:v>
                </c:pt>
                <c:pt idx="328">
                  <c:v>0.65848341369884777</c:v>
                </c:pt>
                <c:pt idx="329">
                  <c:v>0.65848341369884777</c:v>
                </c:pt>
                <c:pt idx="330">
                  <c:v>0.65848341369884777</c:v>
                </c:pt>
                <c:pt idx="331">
                  <c:v>0.65848341369884777</c:v>
                </c:pt>
                <c:pt idx="332">
                  <c:v>0.65848341369884777</c:v>
                </c:pt>
                <c:pt idx="333">
                  <c:v>0.65848341369884777</c:v>
                </c:pt>
                <c:pt idx="334">
                  <c:v>0.65848341369884777</c:v>
                </c:pt>
                <c:pt idx="335">
                  <c:v>0.65848341369884777</c:v>
                </c:pt>
                <c:pt idx="336">
                  <c:v>0.65848341369884777</c:v>
                </c:pt>
                <c:pt idx="337">
                  <c:v>0.65848341369884777</c:v>
                </c:pt>
                <c:pt idx="338">
                  <c:v>0.65848341369884777</c:v>
                </c:pt>
                <c:pt idx="339">
                  <c:v>0.65848341369884777</c:v>
                </c:pt>
                <c:pt idx="340">
                  <c:v>0.65848341369884777</c:v>
                </c:pt>
                <c:pt idx="341">
                  <c:v>0.65848341369884777</c:v>
                </c:pt>
                <c:pt idx="342">
                  <c:v>0.65848341369884777</c:v>
                </c:pt>
                <c:pt idx="343">
                  <c:v>0.65848341369884777</c:v>
                </c:pt>
                <c:pt idx="344">
                  <c:v>0.65848341369884777</c:v>
                </c:pt>
                <c:pt idx="345">
                  <c:v>0.65848341369884777</c:v>
                </c:pt>
                <c:pt idx="346">
                  <c:v>0.65848341369884777</c:v>
                </c:pt>
                <c:pt idx="347">
                  <c:v>0.65848341369884777</c:v>
                </c:pt>
                <c:pt idx="348">
                  <c:v>0.65848341369884777</c:v>
                </c:pt>
                <c:pt idx="349">
                  <c:v>0.65848341369884777</c:v>
                </c:pt>
                <c:pt idx="350">
                  <c:v>0.65848341369884777</c:v>
                </c:pt>
                <c:pt idx="351">
                  <c:v>0.65848341369884777</c:v>
                </c:pt>
                <c:pt idx="352">
                  <c:v>0.65848341369884777</c:v>
                </c:pt>
                <c:pt idx="353">
                  <c:v>0.65848341369884777</c:v>
                </c:pt>
                <c:pt idx="354">
                  <c:v>0.65848341369884777</c:v>
                </c:pt>
                <c:pt idx="355">
                  <c:v>0.65848341369884777</c:v>
                </c:pt>
                <c:pt idx="356">
                  <c:v>0.65848341369884777</c:v>
                </c:pt>
                <c:pt idx="357">
                  <c:v>0.65848341369884777</c:v>
                </c:pt>
                <c:pt idx="358">
                  <c:v>0.65848341369884777</c:v>
                </c:pt>
                <c:pt idx="359">
                  <c:v>0.65848341369884777</c:v>
                </c:pt>
                <c:pt idx="360">
                  <c:v>0.65848341369884777</c:v>
                </c:pt>
                <c:pt idx="361">
                  <c:v>0.65848341369884777</c:v>
                </c:pt>
                <c:pt idx="362">
                  <c:v>0.65848341369884777</c:v>
                </c:pt>
                <c:pt idx="363">
                  <c:v>0.65848341369884777</c:v>
                </c:pt>
                <c:pt idx="364">
                  <c:v>0.65848341369884777</c:v>
                </c:pt>
                <c:pt idx="365">
                  <c:v>0.65848341369884777</c:v>
                </c:pt>
                <c:pt idx="366">
                  <c:v>0.65848341369884777</c:v>
                </c:pt>
                <c:pt idx="367">
                  <c:v>0.65848341369884777</c:v>
                </c:pt>
                <c:pt idx="368">
                  <c:v>0.65848341369884777</c:v>
                </c:pt>
                <c:pt idx="369">
                  <c:v>0.65848341369884777</c:v>
                </c:pt>
                <c:pt idx="370">
                  <c:v>0.65848341369884777</c:v>
                </c:pt>
                <c:pt idx="371">
                  <c:v>0.65848341369884777</c:v>
                </c:pt>
                <c:pt idx="372">
                  <c:v>0.65848341369884777</c:v>
                </c:pt>
                <c:pt idx="373">
                  <c:v>0.65848341369884777</c:v>
                </c:pt>
                <c:pt idx="374">
                  <c:v>0.65848341369884777</c:v>
                </c:pt>
                <c:pt idx="375">
                  <c:v>0.65848341369884777</c:v>
                </c:pt>
                <c:pt idx="376">
                  <c:v>0.65848341369884777</c:v>
                </c:pt>
                <c:pt idx="377">
                  <c:v>0.65848341369884777</c:v>
                </c:pt>
                <c:pt idx="378">
                  <c:v>0.65848341369884777</c:v>
                </c:pt>
                <c:pt idx="379">
                  <c:v>0.65848341369884777</c:v>
                </c:pt>
                <c:pt idx="380">
                  <c:v>0.65848341369884777</c:v>
                </c:pt>
                <c:pt idx="381">
                  <c:v>0.65848341369884777</c:v>
                </c:pt>
                <c:pt idx="382">
                  <c:v>0.65848341369884777</c:v>
                </c:pt>
                <c:pt idx="383">
                  <c:v>0.65848341369884777</c:v>
                </c:pt>
                <c:pt idx="384">
                  <c:v>0.65848341369884777</c:v>
                </c:pt>
                <c:pt idx="385">
                  <c:v>0.65848341369884777</c:v>
                </c:pt>
                <c:pt idx="386">
                  <c:v>0.65848341369884777</c:v>
                </c:pt>
                <c:pt idx="387">
                  <c:v>0.65848341369884777</c:v>
                </c:pt>
                <c:pt idx="388">
                  <c:v>0.65848341369884777</c:v>
                </c:pt>
                <c:pt idx="389">
                  <c:v>0.65848341369884777</c:v>
                </c:pt>
                <c:pt idx="390">
                  <c:v>0.65848341369884777</c:v>
                </c:pt>
                <c:pt idx="391">
                  <c:v>0.65848341369884777</c:v>
                </c:pt>
                <c:pt idx="392">
                  <c:v>0.65848341369884777</c:v>
                </c:pt>
                <c:pt idx="393">
                  <c:v>0.65848341369884777</c:v>
                </c:pt>
                <c:pt idx="394">
                  <c:v>0.65848341369884777</c:v>
                </c:pt>
                <c:pt idx="395">
                  <c:v>0.65848341369884777</c:v>
                </c:pt>
                <c:pt idx="396">
                  <c:v>0.65848341369884777</c:v>
                </c:pt>
                <c:pt idx="397">
                  <c:v>0.65848341369884777</c:v>
                </c:pt>
                <c:pt idx="398">
                  <c:v>0.65848341369884777</c:v>
                </c:pt>
                <c:pt idx="399">
                  <c:v>0.65848341369884777</c:v>
                </c:pt>
                <c:pt idx="400">
                  <c:v>0.65848341369884777</c:v>
                </c:pt>
                <c:pt idx="401">
                  <c:v>0.65848341369884777</c:v>
                </c:pt>
                <c:pt idx="402">
                  <c:v>0.65848341369884777</c:v>
                </c:pt>
                <c:pt idx="403">
                  <c:v>0.65848341369884777</c:v>
                </c:pt>
                <c:pt idx="404">
                  <c:v>0.65848341369884777</c:v>
                </c:pt>
                <c:pt idx="405">
                  <c:v>0.65848341369884777</c:v>
                </c:pt>
                <c:pt idx="406">
                  <c:v>0.65848341369884777</c:v>
                </c:pt>
                <c:pt idx="407">
                  <c:v>0.65848341369884777</c:v>
                </c:pt>
                <c:pt idx="408">
                  <c:v>0.65848341369884777</c:v>
                </c:pt>
                <c:pt idx="409">
                  <c:v>0.65848341369884777</c:v>
                </c:pt>
                <c:pt idx="410">
                  <c:v>0.65848341369884777</c:v>
                </c:pt>
                <c:pt idx="411">
                  <c:v>0.65848341369884777</c:v>
                </c:pt>
                <c:pt idx="412">
                  <c:v>0.65848341369884777</c:v>
                </c:pt>
                <c:pt idx="413">
                  <c:v>0.65848341369884777</c:v>
                </c:pt>
                <c:pt idx="414">
                  <c:v>0.65848341369884777</c:v>
                </c:pt>
                <c:pt idx="415">
                  <c:v>0.65848341369884777</c:v>
                </c:pt>
                <c:pt idx="416">
                  <c:v>0.65848341369884777</c:v>
                </c:pt>
                <c:pt idx="417">
                  <c:v>0.65848341369884777</c:v>
                </c:pt>
                <c:pt idx="418">
                  <c:v>0.65848341369884777</c:v>
                </c:pt>
              </c:numCache>
            </c:numRef>
          </c:val>
          <c:smooth val="1"/>
          <c:extLst>
            <c:ext xmlns:c16="http://schemas.microsoft.com/office/drawing/2014/chart" uri="{C3380CC4-5D6E-409C-BE32-E72D297353CC}">
              <c16:uniqueId val="{00000000-2ABD-4318-B417-168281218F10}"/>
            </c:ext>
          </c:extLst>
        </c:ser>
        <c:ser>
          <c:idx val="1"/>
          <c:order val="2"/>
          <c:tx>
            <c:v>Dwn</c:v>
          </c:tx>
          <c:spPr>
            <a:ln w="28575" cap="rnd">
              <a:solidFill>
                <a:schemeClr val="accent2"/>
              </a:solidFill>
              <a:prstDash val="solid"/>
              <a:round/>
            </a:ln>
            <a:effectLst/>
          </c:spPr>
          <c:marker>
            <c:symbol val="none"/>
          </c:marker>
          <c:val>
            <c:numRef>
              <c:f>'2025-Q2'!$EI$4:$EI$422</c:f>
              <c:numCache>
                <c:formatCode>0.00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-1.196204584775086</c:v>
                </c:pt>
                <c:pt idx="47">
                  <c:v>-1.196204584775086</c:v>
                </c:pt>
                <c:pt idx="48">
                  <c:v>-1.196204584775086</c:v>
                </c:pt>
                <c:pt idx="49">
                  <c:v>-1.196204584775086</c:v>
                </c:pt>
                <c:pt idx="50">
                  <c:v>-1.196204584775086</c:v>
                </c:pt>
                <c:pt idx="51">
                  <c:v>-1.196204584775086</c:v>
                </c:pt>
                <c:pt idx="52">
                  <c:v>-1.196204584775086</c:v>
                </c:pt>
                <c:pt idx="53">
                  <c:v>-1.196204584775086</c:v>
                </c:pt>
                <c:pt idx="54">
                  <c:v>-1.196204584775086</c:v>
                </c:pt>
                <c:pt idx="55">
                  <c:v>-1.196204584775086</c:v>
                </c:pt>
                <c:pt idx="56">
                  <c:v>-1.196204584775086</c:v>
                </c:pt>
                <c:pt idx="57">
                  <c:v>-1.196204584775086</c:v>
                </c:pt>
                <c:pt idx="58">
                  <c:v>-1.196204584775086</c:v>
                </c:pt>
                <c:pt idx="59">
                  <c:v>-1.196204584775086</c:v>
                </c:pt>
                <c:pt idx="60">
                  <c:v>-1.196204584775086</c:v>
                </c:pt>
                <c:pt idx="61">
                  <c:v>-1.196204584775086</c:v>
                </c:pt>
                <c:pt idx="62">
                  <c:v>-1.196204584775086</c:v>
                </c:pt>
                <c:pt idx="63">
                  <c:v>-1.196204584775086</c:v>
                </c:pt>
                <c:pt idx="64">
                  <c:v>-1.196204584775086</c:v>
                </c:pt>
                <c:pt idx="65">
                  <c:v>-1.196204584775086</c:v>
                </c:pt>
                <c:pt idx="66">
                  <c:v>-1.196204584775086</c:v>
                </c:pt>
                <c:pt idx="67">
                  <c:v>-2.0327391387894549</c:v>
                </c:pt>
                <c:pt idx="68">
                  <c:v>-2.0327391387894549</c:v>
                </c:pt>
                <c:pt idx="69">
                  <c:v>-2.0327391387894549</c:v>
                </c:pt>
                <c:pt idx="70">
                  <c:v>-2.0327391387894549</c:v>
                </c:pt>
                <c:pt idx="71">
                  <c:v>-2.0327391387894549</c:v>
                </c:pt>
                <c:pt idx="72">
                  <c:v>-2.0327391387894549</c:v>
                </c:pt>
                <c:pt idx="73">
                  <c:v>-2.0327391387894549</c:v>
                </c:pt>
                <c:pt idx="74">
                  <c:v>-2.0327391387894549</c:v>
                </c:pt>
                <c:pt idx="75">
                  <c:v>-2.0327391387894549</c:v>
                </c:pt>
                <c:pt idx="76">
                  <c:v>-2.0327391387894549</c:v>
                </c:pt>
                <c:pt idx="77">
                  <c:v>-2.0327391387894549</c:v>
                </c:pt>
                <c:pt idx="78">
                  <c:v>-2.0327391387894549</c:v>
                </c:pt>
                <c:pt idx="79">
                  <c:v>-2.0327391387894549</c:v>
                </c:pt>
                <c:pt idx="80">
                  <c:v>-2.0327391387894549</c:v>
                </c:pt>
                <c:pt idx="81">
                  <c:v>-2.9174018315702313</c:v>
                </c:pt>
                <c:pt idx="82">
                  <c:v>-2.9174018315702313</c:v>
                </c:pt>
                <c:pt idx="83">
                  <c:v>-2.9174018315702313</c:v>
                </c:pt>
                <c:pt idx="84">
                  <c:v>-2.9174018315702313</c:v>
                </c:pt>
                <c:pt idx="85">
                  <c:v>-2.9174018315702313</c:v>
                </c:pt>
                <c:pt idx="86">
                  <c:v>-2.9174018315702313</c:v>
                </c:pt>
                <c:pt idx="87">
                  <c:v>-2.9174018315702313</c:v>
                </c:pt>
                <c:pt idx="88">
                  <c:v>-2.9174018315702313</c:v>
                </c:pt>
                <c:pt idx="89">
                  <c:v>-2.9174018315702313</c:v>
                </c:pt>
                <c:pt idx="90">
                  <c:v>-2.9174018315702313</c:v>
                </c:pt>
                <c:pt idx="91">
                  <c:v>-2.9174018315702313</c:v>
                </c:pt>
                <c:pt idx="92">
                  <c:v>-2.9174018315702313</c:v>
                </c:pt>
                <c:pt idx="93">
                  <c:v>-2.9174018315702313</c:v>
                </c:pt>
                <c:pt idx="94">
                  <c:v>-2.9174018315702313</c:v>
                </c:pt>
                <c:pt idx="95">
                  <c:v>-2.8200349701698415</c:v>
                </c:pt>
                <c:pt idx="96">
                  <c:v>-2.8200349701698415</c:v>
                </c:pt>
                <c:pt idx="97">
                  <c:v>-2.6174111635897193</c:v>
                </c:pt>
                <c:pt idx="98">
                  <c:v>-2.6174111635897193</c:v>
                </c:pt>
                <c:pt idx="99">
                  <c:v>-2.6174111635897193</c:v>
                </c:pt>
                <c:pt idx="100">
                  <c:v>-2.6174111635897193</c:v>
                </c:pt>
                <c:pt idx="101">
                  <c:v>-2.6174111635897193</c:v>
                </c:pt>
                <c:pt idx="102">
                  <c:v>-2.6174111635897193</c:v>
                </c:pt>
                <c:pt idx="103">
                  <c:v>-2.6174111635897193</c:v>
                </c:pt>
                <c:pt idx="104">
                  <c:v>-2.6174111635897193</c:v>
                </c:pt>
                <c:pt idx="105">
                  <c:v>-2.6174111635897193</c:v>
                </c:pt>
                <c:pt idx="106">
                  <c:v>-2.6174111635897193</c:v>
                </c:pt>
                <c:pt idx="107">
                  <c:v>-2.6174111635897193</c:v>
                </c:pt>
                <c:pt idx="108">
                  <c:v>-2.6174111635897193</c:v>
                </c:pt>
                <c:pt idx="109">
                  <c:v>-2.6174111635897193</c:v>
                </c:pt>
                <c:pt idx="110">
                  <c:v>-2.6174111635897193</c:v>
                </c:pt>
                <c:pt idx="111">
                  <c:v>-2.6174111635897193</c:v>
                </c:pt>
                <c:pt idx="112">
                  <c:v>-2.6174111635897193</c:v>
                </c:pt>
                <c:pt idx="113">
                  <c:v>-2.6174111635897193</c:v>
                </c:pt>
                <c:pt idx="114">
                  <c:v>-2.6174111635897193</c:v>
                </c:pt>
                <c:pt idx="115">
                  <c:v>-2.6174111635897193</c:v>
                </c:pt>
                <c:pt idx="116">
                  <c:v>-2.6174111635897193</c:v>
                </c:pt>
                <c:pt idx="117">
                  <c:v>-2.6174111635897193</c:v>
                </c:pt>
                <c:pt idx="118">
                  <c:v>-2.6174111635897193</c:v>
                </c:pt>
                <c:pt idx="119">
                  <c:v>-2.6174111635897193</c:v>
                </c:pt>
                <c:pt idx="120">
                  <c:v>-2.6174111635897193</c:v>
                </c:pt>
                <c:pt idx="121">
                  <c:v>-2.6174111635897193</c:v>
                </c:pt>
                <c:pt idx="122">
                  <c:v>-2.6174111635897193</c:v>
                </c:pt>
                <c:pt idx="123">
                  <c:v>-2.6174111635897193</c:v>
                </c:pt>
                <c:pt idx="124">
                  <c:v>-2.6174111635897193</c:v>
                </c:pt>
                <c:pt idx="125">
                  <c:v>-2.6174111635897193</c:v>
                </c:pt>
                <c:pt idx="126">
                  <c:v>-2.6174111635897193</c:v>
                </c:pt>
                <c:pt idx="127">
                  <c:v>-2.6174111635897193</c:v>
                </c:pt>
                <c:pt idx="128">
                  <c:v>-2.6174111635897193</c:v>
                </c:pt>
                <c:pt idx="129">
                  <c:v>-2.6174111635897193</c:v>
                </c:pt>
                <c:pt idx="130">
                  <c:v>-2.6174111635897193</c:v>
                </c:pt>
                <c:pt idx="131">
                  <c:v>-2.6174111635897193</c:v>
                </c:pt>
                <c:pt idx="132">
                  <c:v>-2.6174111635897193</c:v>
                </c:pt>
                <c:pt idx="133">
                  <c:v>-2.6174111635897193</c:v>
                </c:pt>
                <c:pt idx="134">
                  <c:v>-2.6174111635897193</c:v>
                </c:pt>
                <c:pt idx="135">
                  <c:v>-2.6174111635897193</c:v>
                </c:pt>
                <c:pt idx="136">
                  <c:v>-2.6174111635897193</c:v>
                </c:pt>
                <c:pt idx="137">
                  <c:v>-2.6174111635897193</c:v>
                </c:pt>
                <c:pt idx="138">
                  <c:v>-2.4583366878124231</c:v>
                </c:pt>
                <c:pt idx="139">
                  <c:v>-2.4583366878124231</c:v>
                </c:pt>
                <c:pt idx="140">
                  <c:v>-2.4583366878124231</c:v>
                </c:pt>
                <c:pt idx="141">
                  <c:v>-2.4583366878124231</c:v>
                </c:pt>
                <c:pt idx="142">
                  <c:v>-2.4583366878124231</c:v>
                </c:pt>
                <c:pt idx="143">
                  <c:v>-2.4583366878124231</c:v>
                </c:pt>
                <c:pt idx="144">
                  <c:v>-2.4583366878124231</c:v>
                </c:pt>
                <c:pt idx="145">
                  <c:v>-1.1184224685150388</c:v>
                </c:pt>
                <c:pt idx="146">
                  <c:v>-1.1184224685150388</c:v>
                </c:pt>
                <c:pt idx="147">
                  <c:v>-1.1184224685150388</c:v>
                </c:pt>
                <c:pt idx="148">
                  <c:v>-1.1184224685150388</c:v>
                </c:pt>
                <c:pt idx="149">
                  <c:v>-1.1184224685150388</c:v>
                </c:pt>
                <c:pt idx="150">
                  <c:v>-1.1184224685150388</c:v>
                </c:pt>
                <c:pt idx="151">
                  <c:v>-1.1184224685150388</c:v>
                </c:pt>
                <c:pt idx="152">
                  <c:v>-1.1184224685150388</c:v>
                </c:pt>
                <c:pt idx="153">
                  <c:v>-1.1184224685150388</c:v>
                </c:pt>
                <c:pt idx="154">
                  <c:v>-1.1184224685150388</c:v>
                </c:pt>
                <c:pt idx="155">
                  <c:v>-1.1184224685150388</c:v>
                </c:pt>
                <c:pt idx="156">
                  <c:v>-1.1184224685150388</c:v>
                </c:pt>
                <c:pt idx="157">
                  <c:v>-1.1184224685150388</c:v>
                </c:pt>
                <c:pt idx="158">
                  <c:v>-1.1184224685150388</c:v>
                </c:pt>
                <c:pt idx="159">
                  <c:v>-1.1184224685150388</c:v>
                </c:pt>
                <c:pt idx="160">
                  <c:v>-1.1184224685150388</c:v>
                </c:pt>
                <c:pt idx="161">
                  <c:v>-1.1184224685150388</c:v>
                </c:pt>
                <c:pt idx="162">
                  <c:v>-1.1184224685150388</c:v>
                </c:pt>
                <c:pt idx="163">
                  <c:v>-1.1184224685150388</c:v>
                </c:pt>
                <c:pt idx="164">
                  <c:v>-1.1184224685150388</c:v>
                </c:pt>
                <c:pt idx="165">
                  <c:v>-1.1184224685150388</c:v>
                </c:pt>
                <c:pt idx="166">
                  <c:v>-1.1184224685150388</c:v>
                </c:pt>
                <c:pt idx="167">
                  <c:v>-1.1184224685150388</c:v>
                </c:pt>
                <c:pt idx="168">
                  <c:v>-1.1184224685150388</c:v>
                </c:pt>
                <c:pt idx="169">
                  <c:v>-1.1184224685150388</c:v>
                </c:pt>
                <c:pt idx="170">
                  <c:v>-1.1184224685150388</c:v>
                </c:pt>
                <c:pt idx="171">
                  <c:v>-1.1184224685150388</c:v>
                </c:pt>
                <c:pt idx="172">
                  <c:v>-1.1184224685150388</c:v>
                </c:pt>
                <c:pt idx="173">
                  <c:v>-1.1184224685150388</c:v>
                </c:pt>
                <c:pt idx="174">
                  <c:v>-1.1184224685150388</c:v>
                </c:pt>
                <c:pt idx="175">
                  <c:v>-1.1184224685150388</c:v>
                </c:pt>
                <c:pt idx="176">
                  <c:v>-1.1184224685150388</c:v>
                </c:pt>
                <c:pt idx="177">
                  <c:v>-1.1184224685150388</c:v>
                </c:pt>
                <c:pt idx="178">
                  <c:v>-1.1184224685150388</c:v>
                </c:pt>
                <c:pt idx="179">
                  <c:v>-1.1184224685150388</c:v>
                </c:pt>
                <c:pt idx="180">
                  <c:v>-1.1184224685150388</c:v>
                </c:pt>
                <c:pt idx="181">
                  <c:v>-1.1184224685150388</c:v>
                </c:pt>
                <c:pt idx="182">
                  <c:v>-1.1184224685150388</c:v>
                </c:pt>
                <c:pt idx="183">
                  <c:v>-1.1184224685150388</c:v>
                </c:pt>
                <c:pt idx="184">
                  <c:v>-2.7245005604557937</c:v>
                </c:pt>
                <c:pt idx="185">
                  <c:v>-2.7245005604557937</c:v>
                </c:pt>
                <c:pt idx="186">
                  <c:v>-2.7245005604557937</c:v>
                </c:pt>
                <c:pt idx="187">
                  <c:v>-2.7245005604557937</c:v>
                </c:pt>
                <c:pt idx="188">
                  <c:v>-2.7245005604557937</c:v>
                </c:pt>
                <c:pt idx="189">
                  <c:v>-2.7245005604557937</c:v>
                </c:pt>
                <c:pt idx="190">
                  <c:v>-2.7245005604557937</c:v>
                </c:pt>
                <c:pt idx="191">
                  <c:v>-2.7245005604557937</c:v>
                </c:pt>
                <c:pt idx="192">
                  <c:v>-2.7245005604557937</c:v>
                </c:pt>
                <c:pt idx="193">
                  <c:v>-2.7245005604557937</c:v>
                </c:pt>
                <c:pt idx="194">
                  <c:v>-2.7245005604557937</c:v>
                </c:pt>
                <c:pt idx="195">
                  <c:v>-2.7245005604557937</c:v>
                </c:pt>
                <c:pt idx="196">
                  <c:v>-2.7245005604557937</c:v>
                </c:pt>
                <c:pt idx="197">
                  <c:v>-2.7245005604557937</c:v>
                </c:pt>
                <c:pt idx="198">
                  <c:v>-2.6267690330909645</c:v>
                </c:pt>
                <c:pt idx="199">
                  <c:v>-2.6267690330909645</c:v>
                </c:pt>
                <c:pt idx="200">
                  <c:v>-2.6267690330909645</c:v>
                </c:pt>
                <c:pt idx="201">
                  <c:v>-2.6267690330909645</c:v>
                </c:pt>
                <c:pt idx="202">
                  <c:v>-2.6267690330909645</c:v>
                </c:pt>
                <c:pt idx="203">
                  <c:v>-2.6267690330909645</c:v>
                </c:pt>
                <c:pt idx="204">
                  <c:v>-2.6267690330909645</c:v>
                </c:pt>
                <c:pt idx="205">
                  <c:v>-2.6267690330909645</c:v>
                </c:pt>
                <c:pt idx="206">
                  <c:v>-2.6267690330909645</c:v>
                </c:pt>
                <c:pt idx="207">
                  <c:v>-2.6267690330909645</c:v>
                </c:pt>
                <c:pt idx="208">
                  <c:v>-2.6267690330909645</c:v>
                </c:pt>
                <c:pt idx="209">
                  <c:v>-2.6267690330909645</c:v>
                </c:pt>
                <c:pt idx="210">
                  <c:v>-2.6267690330909645</c:v>
                </c:pt>
                <c:pt idx="211">
                  <c:v>-2.6267690330909645</c:v>
                </c:pt>
                <c:pt idx="212">
                  <c:v>-2.6267690330909645</c:v>
                </c:pt>
                <c:pt idx="213">
                  <c:v>-2.6267690330909645</c:v>
                </c:pt>
                <c:pt idx="214">
                  <c:v>-2.6267690330909645</c:v>
                </c:pt>
                <c:pt idx="215">
                  <c:v>-2.6267690330909645</c:v>
                </c:pt>
                <c:pt idx="216">
                  <c:v>-2.6267690330909645</c:v>
                </c:pt>
                <c:pt idx="217">
                  <c:v>-2.6267690330909645</c:v>
                </c:pt>
                <c:pt idx="218">
                  <c:v>-3.1507771605639614</c:v>
                </c:pt>
                <c:pt idx="219">
                  <c:v>-3.1507771605639614</c:v>
                </c:pt>
                <c:pt idx="220">
                  <c:v>-3.1507771605639614</c:v>
                </c:pt>
                <c:pt idx="221">
                  <c:v>-3.1507771605639614</c:v>
                </c:pt>
                <c:pt idx="222">
                  <c:v>-3.1507771605639614</c:v>
                </c:pt>
                <c:pt idx="223">
                  <c:v>-3.1507771605639614</c:v>
                </c:pt>
                <c:pt idx="224">
                  <c:v>-3.1507771605639614</c:v>
                </c:pt>
                <c:pt idx="225">
                  <c:v>-3.1507771605639614</c:v>
                </c:pt>
                <c:pt idx="226">
                  <c:v>-3.1507771605639614</c:v>
                </c:pt>
                <c:pt idx="227">
                  <c:v>-3.1507771605639614</c:v>
                </c:pt>
                <c:pt idx="228">
                  <c:v>-3.1507771605639614</c:v>
                </c:pt>
                <c:pt idx="229">
                  <c:v>-3.1507771605639614</c:v>
                </c:pt>
                <c:pt idx="230">
                  <c:v>-3.1507771605639614</c:v>
                </c:pt>
                <c:pt idx="231">
                  <c:v>-3.1507771605639614</c:v>
                </c:pt>
                <c:pt idx="232">
                  <c:v>-3.1507771605639614</c:v>
                </c:pt>
                <c:pt idx="233">
                  <c:v>-3.1507771605639614</c:v>
                </c:pt>
                <c:pt idx="234">
                  <c:v>-2.5775695255546522</c:v>
                </c:pt>
                <c:pt idx="235">
                  <c:v>-2.8640283518306258</c:v>
                </c:pt>
                <c:pt idx="236">
                  <c:v>-2.8640283518306258</c:v>
                </c:pt>
                <c:pt idx="237">
                  <c:v>-2.8640283518306258</c:v>
                </c:pt>
                <c:pt idx="238">
                  <c:v>-2.8640283518306258</c:v>
                </c:pt>
                <c:pt idx="239">
                  <c:v>-2.8640283518306258</c:v>
                </c:pt>
                <c:pt idx="240">
                  <c:v>-2.8640283518306258</c:v>
                </c:pt>
                <c:pt idx="241">
                  <c:v>-2.8640283518306258</c:v>
                </c:pt>
                <c:pt idx="242">
                  <c:v>-2.8640283518306258</c:v>
                </c:pt>
                <c:pt idx="243">
                  <c:v>-2.8640283518306258</c:v>
                </c:pt>
                <c:pt idx="244">
                  <c:v>-2.8640283518306258</c:v>
                </c:pt>
                <c:pt idx="245">
                  <c:v>-2.8640283518306258</c:v>
                </c:pt>
                <c:pt idx="246">
                  <c:v>-2.8640283518306258</c:v>
                </c:pt>
                <c:pt idx="247">
                  <c:v>-2.8640283518306258</c:v>
                </c:pt>
                <c:pt idx="248">
                  <c:v>-2.8640283518306258</c:v>
                </c:pt>
                <c:pt idx="249">
                  <c:v>-2.8640283518306258</c:v>
                </c:pt>
                <c:pt idx="250">
                  <c:v>-2.4098380802932158</c:v>
                </c:pt>
                <c:pt idx="251">
                  <c:v>-2.4098380802932158</c:v>
                </c:pt>
                <c:pt idx="252">
                  <c:v>-2.4098380802932158</c:v>
                </c:pt>
                <c:pt idx="253">
                  <c:v>-2.4098380802932158</c:v>
                </c:pt>
                <c:pt idx="254">
                  <c:v>-2.3511346601809122</c:v>
                </c:pt>
                <c:pt idx="255">
                  <c:v>-2.3511346601809122</c:v>
                </c:pt>
                <c:pt idx="256">
                  <c:v>-2.3511346601809122</c:v>
                </c:pt>
                <c:pt idx="257">
                  <c:v>-2.3511346601809122</c:v>
                </c:pt>
                <c:pt idx="258">
                  <c:v>-2.3511346601809122</c:v>
                </c:pt>
                <c:pt idx="259">
                  <c:v>-2.3511346601809122</c:v>
                </c:pt>
                <c:pt idx="260">
                  <c:v>-2.3511346601809122</c:v>
                </c:pt>
                <c:pt idx="261">
                  <c:v>-2.3511346601809122</c:v>
                </c:pt>
                <c:pt idx="262">
                  <c:v>-2.0808348133873036</c:v>
                </c:pt>
                <c:pt idx="263">
                  <c:v>-2.0808348133873036</c:v>
                </c:pt>
                <c:pt idx="264">
                  <c:v>-2.0808348133873036</c:v>
                </c:pt>
                <c:pt idx="265">
                  <c:v>-2.0808348133873036</c:v>
                </c:pt>
                <c:pt idx="266">
                  <c:v>-2.0808348133873036</c:v>
                </c:pt>
                <c:pt idx="267">
                  <c:v>-2.0808348133873036</c:v>
                </c:pt>
                <c:pt idx="268">
                  <c:v>-2.0808348133873036</c:v>
                </c:pt>
                <c:pt idx="269">
                  <c:v>-2.0808348133873036</c:v>
                </c:pt>
                <c:pt idx="270">
                  <c:v>-1.77369892728592</c:v>
                </c:pt>
                <c:pt idx="271">
                  <c:v>-1.9445201344224492</c:v>
                </c:pt>
                <c:pt idx="272">
                  <c:v>-1.9445201344224492</c:v>
                </c:pt>
                <c:pt idx="273">
                  <c:v>-1.9445201344224492</c:v>
                </c:pt>
                <c:pt idx="274">
                  <c:v>-1.9445201344224492</c:v>
                </c:pt>
                <c:pt idx="275">
                  <c:v>-1.9445201344224492</c:v>
                </c:pt>
                <c:pt idx="276">
                  <c:v>-1.9445201344224492</c:v>
                </c:pt>
                <c:pt idx="277">
                  <c:v>-1.9445201344224492</c:v>
                </c:pt>
                <c:pt idx="278">
                  <c:v>-1.9445201344224492</c:v>
                </c:pt>
                <c:pt idx="279">
                  <c:v>-1.9445201344224492</c:v>
                </c:pt>
                <c:pt idx="280">
                  <c:v>-1.9445201344224492</c:v>
                </c:pt>
                <c:pt idx="281">
                  <c:v>-1.9445201344224492</c:v>
                </c:pt>
                <c:pt idx="282">
                  <c:v>-1.9445201344224492</c:v>
                </c:pt>
                <c:pt idx="283">
                  <c:v>-1.9445201344224492</c:v>
                </c:pt>
                <c:pt idx="284">
                  <c:v>-1.9445201344224492</c:v>
                </c:pt>
                <c:pt idx="285">
                  <c:v>-1.9445201344224492</c:v>
                </c:pt>
                <c:pt idx="286">
                  <c:v>-1.9445201344224492</c:v>
                </c:pt>
                <c:pt idx="287">
                  <c:v>-1.9445201344224492</c:v>
                </c:pt>
                <c:pt idx="288">
                  <c:v>-1.9445201344224492</c:v>
                </c:pt>
                <c:pt idx="289">
                  <c:v>-1.9445201344224492</c:v>
                </c:pt>
                <c:pt idx="290">
                  <c:v>-1.9445201344224492</c:v>
                </c:pt>
                <c:pt idx="291">
                  <c:v>-1.9445201344224492</c:v>
                </c:pt>
                <c:pt idx="292">
                  <c:v>-2.7373393576691663</c:v>
                </c:pt>
                <c:pt idx="293">
                  <c:v>-2.7373393576691663</c:v>
                </c:pt>
                <c:pt idx="294">
                  <c:v>-2.7373393576691663</c:v>
                </c:pt>
                <c:pt idx="295">
                  <c:v>-2.7373393576691663</c:v>
                </c:pt>
                <c:pt idx="296">
                  <c:v>-2.7373393576691663</c:v>
                </c:pt>
                <c:pt idx="297">
                  <c:v>-2.7373393576691663</c:v>
                </c:pt>
                <c:pt idx="298">
                  <c:v>-2.7373393576691663</c:v>
                </c:pt>
                <c:pt idx="299">
                  <c:v>-2.7373393576691663</c:v>
                </c:pt>
                <c:pt idx="300">
                  <c:v>-2.7373393576691663</c:v>
                </c:pt>
                <c:pt idx="301">
                  <c:v>-2.7373393576691663</c:v>
                </c:pt>
                <c:pt idx="302">
                  <c:v>-2.7373393576691663</c:v>
                </c:pt>
                <c:pt idx="303">
                  <c:v>-2.7373393576691663</c:v>
                </c:pt>
                <c:pt idx="304">
                  <c:v>-2.7373393576691663</c:v>
                </c:pt>
                <c:pt idx="305">
                  <c:v>-2.7373393576691663</c:v>
                </c:pt>
                <c:pt idx="306">
                  <c:v>-2.7373393576691663</c:v>
                </c:pt>
                <c:pt idx="307">
                  <c:v>-2.7373393576691663</c:v>
                </c:pt>
                <c:pt idx="308">
                  <c:v>-2.7373393576691663</c:v>
                </c:pt>
                <c:pt idx="309">
                  <c:v>-2.7373393576691663</c:v>
                </c:pt>
                <c:pt idx="310">
                  <c:v>-2.7373393576691663</c:v>
                </c:pt>
                <c:pt idx="311">
                  <c:v>-2.7373393576691663</c:v>
                </c:pt>
                <c:pt idx="312">
                  <c:v>-2.7373393576691663</c:v>
                </c:pt>
                <c:pt idx="313">
                  <c:v>-2.7373393576691663</c:v>
                </c:pt>
                <c:pt idx="314">
                  <c:v>-3.5125331561187787</c:v>
                </c:pt>
                <c:pt idx="315">
                  <c:v>-3.5125331561187787</c:v>
                </c:pt>
                <c:pt idx="316">
                  <c:v>-3.5125331561187787</c:v>
                </c:pt>
                <c:pt idx="317">
                  <c:v>-3.5125331561187787</c:v>
                </c:pt>
                <c:pt idx="318">
                  <c:v>-3.5125331561187787</c:v>
                </c:pt>
                <c:pt idx="319">
                  <c:v>-3.5125331561187787</c:v>
                </c:pt>
                <c:pt idx="320">
                  <c:v>-3.5125331561187787</c:v>
                </c:pt>
                <c:pt idx="321">
                  <c:v>-3.5125331561187787</c:v>
                </c:pt>
                <c:pt idx="322">
                  <c:v>-3.5125331561187787</c:v>
                </c:pt>
                <c:pt idx="323">
                  <c:v>-3.5125331561187787</c:v>
                </c:pt>
                <c:pt idx="324">
                  <c:v>-3.5125331561187787</c:v>
                </c:pt>
                <c:pt idx="325">
                  <c:v>-3.5125331561187787</c:v>
                </c:pt>
                <c:pt idx="326">
                  <c:v>-3.5125331561187787</c:v>
                </c:pt>
                <c:pt idx="327">
                  <c:v>-3.5125331561187787</c:v>
                </c:pt>
                <c:pt idx="328">
                  <c:v>-3.5125331561187787</c:v>
                </c:pt>
                <c:pt idx="329">
                  <c:v>-3.5125331561187787</c:v>
                </c:pt>
                <c:pt idx="330">
                  <c:v>-3.5125331561187787</c:v>
                </c:pt>
                <c:pt idx="331">
                  <c:v>-3.5125331561187787</c:v>
                </c:pt>
                <c:pt idx="332">
                  <c:v>-3.5125331561187787</c:v>
                </c:pt>
                <c:pt idx="333">
                  <c:v>-3.5125331561187787</c:v>
                </c:pt>
                <c:pt idx="334">
                  <c:v>-3.5125331561187787</c:v>
                </c:pt>
                <c:pt idx="335">
                  <c:v>-3.5125331561187787</c:v>
                </c:pt>
                <c:pt idx="336">
                  <c:v>-3.5125331561187787</c:v>
                </c:pt>
                <c:pt idx="337">
                  <c:v>-3.5125331561187787</c:v>
                </c:pt>
                <c:pt idx="338">
                  <c:v>-3.5125331561187787</c:v>
                </c:pt>
                <c:pt idx="339">
                  <c:v>-3.5125331561187787</c:v>
                </c:pt>
                <c:pt idx="340">
                  <c:v>-3.5125331561187787</c:v>
                </c:pt>
                <c:pt idx="341">
                  <c:v>-3.5125331561187787</c:v>
                </c:pt>
                <c:pt idx="342">
                  <c:v>-3.5125331561187787</c:v>
                </c:pt>
                <c:pt idx="343">
                  <c:v>-3.5125331561187787</c:v>
                </c:pt>
                <c:pt idx="344">
                  <c:v>-3.5125331561187787</c:v>
                </c:pt>
                <c:pt idx="345">
                  <c:v>-3.5125331561187787</c:v>
                </c:pt>
                <c:pt idx="346">
                  <c:v>-3.5125331561187787</c:v>
                </c:pt>
                <c:pt idx="347">
                  <c:v>-3.5125331561187787</c:v>
                </c:pt>
                <c:pt idx="348">
                  <c:v>-3.5125331561187787</c:v>
                </c:pt>
                <c:pt idx="349">
                  <c:v>-3.5125331561187787</c:v>
                </c:pt>
                <c:pt idx="350">
                  <c:v>-3.5125331561187787</c:v>
                </c:pt>
                <c:pt idx="351">
                  <c:v>-3.5125331561187787</c:v>
                </c:pt>
                <c:pt idx="352">
                  <c:v>-3.5125331561187787</c:v>
                </c:pt>
                <c:pt idx="353">
                  <c:v>-3.5125331561187787</c:v>
                </c:pt>
                <c:pt idx="354">
                  <c:v>-3.5125331561187787</c:v>
                </c:pt>
                <c:pt idx="355">
                  <c:v>-3.5125331561187787</c:v>
                </c:pt>
                <c:pt idx="356">
                  <c:v>-3.5125331561187787</c:v>
                </c:pt>
                <c:pt idx="357">
                  <c:v>-3.5125331561187787</c:v>
                </c:pt>
                <c:pt idx="358">
                  <c:v>-3.5125331561187787</c:v>
                </c:pt>
                <c:pt idx="359">
                  <c:v>-3.5125331561187787</c:v>
                </c:pt>
                <c:pt idx="360">
                  <c:v>-3.5125331561187787</c:v>
                </c:pt>
                <c:pt idx="361">
                  <c:v>-3.5125331561187787</c:v>
                </c:pt>
                <c:pt idx="362">
                  <c:v>-3.5125331561187787</c:v>
                </c:pt>
                <c:pt idx="363">
                  <c:v>-3.5125331561187787</c:v>
                </c:pt>
                <c:pt idx="364">
                  <c:v>-3.5125331561187787</c:v>
                </c:pt>
                <c:pt idx="365">
                  <c:v>-3.5125331561187787</c:v>
                </c:pt>
                <c:pt idx="366">
                  <c:v>-3.5125331561187787</c:v>
                </c:pt>
                <c:pt idx="367">
                  <c:v>-3.5125331561187787</c:v>
                </c:pt>
                <c:pt idx="368">
                  <c:v>-3.5125331561187787</c:v>
                </c:pt>
                <c:pt idx="369">
                  <c:v>-3.5125331561187787</c:v>
                </c:pt>
                <c:pt idx="370">
                  <c:v>-3.5125331561187787</c:v>
                </c:pt>
                <c:pt idx="371">
                  <c:v>-3.5125331561187787</c:v>
                </c:pt>
                <c:pt idx="372">
                  <c:v>-3.5125331561187787</c:v>
                </c:pt>
                <c:pt idx="373">
                  <c:v>-3.5125331561187787</c:v>
                </c:pt>
                <c:pt idx="374">
                  <c:v>-3.5125331561187787</c:v>
                </c:pt>
                <c:pt idx="375">
                  <c:v>-3.5125331561187787</c:v>
                </c:pt>
                <c:pt idx="376">
                  <c:v>-3.5125331561187787</c:v>
                </c:pt>
                <c:pt idx="377">
                  <c:v>-3.5125331561187787</c:v>
                </c:pt>
                <c:pt idx="378">
                  <c:v>-3.5125331561187787</c:v>
                </c:pt>
                <c:pt idx="379">
                  <c:v>-3.5125331561187787</c:v>
                </c:pt>
                <c:pt idx="380">
                  <c:v>-3.5125331561187787</c:v>
                </c:pt>
                <c:pt idx="381">
                  <c:v>-3.5125331561187787</c:v>
                </c:pt>
                <c:pt idx="382">
                  <c:v>-3.5125331561187787</c:v>
                </c:pt>
                <c:pt idx="383">
                  <c:v>-3.5125331561187787</c:v>
                </c:pt>
                <c:pt idx="384">
                  <c:v>-3.5125331561187787</c:v>
                </c:pt>
                <c:pt idx="385">
                  <c:v>-3.5125331561187787</c:v>
                </c:pt>
                <c:pt idx="386">
                  <c:v>-3.5125331561187787</c:v>
                </c:pt>
                <c:pt idx="387">
                  <c:v>-3.5125331561187787</c:v>
                </c:pt>
                <c:pt idx="388">
                  <c:v>-3.5125331561187787</c:v>
                </c:pt>
                <c:pt idx="389">
                  <c:v>-3.5125331561187787</c:v>
                </c:pt>
                <c:pt idx="390">
                  <c:v>-3.5125331561187787</c:v>
                </c:pt>
                <c:pt idx="391">
                  <c:v>-3.5125331561187787</c:v>
                </c:pt>
                <c:pt idx="392">
                  <c:v>-3.5125331561187787</c:v>
                </c:pt>
                <c:pt idx="393">
                  <c:v>-3.5125331561187787</c:v>
                </c:pt>
                <c:pt idx="394">
                  <c:v>-3.5125331561187787</c:v>
                </c:pt>
                <c:pt idx="395">
                  <c:v>-3.5125331561187787</c:v>
                </c:pt>
                <c:pt idx="396">
                  <c:v>-3.5125331561187787</c:v>
                </c:pt>
                <c:pt idx="397">
                  <c:v>-3.5125331561187787</c:v>
                </c:pt>
                <c:pt idx="398">
                  <c:v>-3.5125331561187787</c:v>
                </c:pt>
                <c:pt idx="399">
                  <c:v>-3.5125331561187787</c:v>
                </c:pt>
                <c:pt idx="400">
                  <c:v>-3.5125331561187787</c:v>
                </c:pt>
                <c:pt idx="401">
                  <c:v>-3.5125331561187787</c:v>
                </c:pt>
                <c:pt idx="402">
                  <c:v>-3.5125331561187787</c:v>
                </c:pt>
                <c:pt idx="403">
                  <c:v>-3.5125331561187787</c:v>
                </c:pt>
                <c:pt idx="404">
                  <c:v>-3.5125331561187787</c:v>
                </c:pt>
                <c:pt idx="405">
                  <c:v>-3.5125331561187787</c:v>
                </c:pt>
                <c:pt idx="406">
                  <c:v>-3.5125331561187787</c:v>
                </c:pt>
                <c:pt idx="407">
                  <c:v>-3.5125331561187787</c:v>
                </c:pt>
                <c:pt idx="408">
                  <c:v>-3.5125331561187787</c:v>
                </c:pt>
                <c:pt idx="409">
                  <c:v>-3.5125331561187787</c:v>
                </c:pt>
                <c:pt idx="410">
                  <c:v>-3.5125331561187787</c:v>
                </c:pt>
                <c:pt idx="411">
                  <c:v>-3.5125331561187787</c:v>
                </c:pt>
                <c:pt idx="412">
                  <c:v>-3.5125331561187787</c:v>
                </c:pt>
                <c:pt idx="413">
                  <c:v>-3.5125331561187787</c:v>
                </c:pt>
                <c:pt idx="414">
                  <c:v>-3.5125331561187787</c:v>
                </c:pt>
                <c:pt idx="415">
                  <c:v>-3.5125331561187787</c:v>
                </c:pt>
                <c:pt idx="416">
                  <c:v>-3.5125331561187787</c:v>
                </c:pt>
                <c:pt idx="417">
                  <c:v>-3.5125331561187787</c:v>
                </c:pt>
                <c:pt idx="418">
                  <c:v>-3.5125331561187787</c:v>
                </c:pt>
              </c:numCache>
            </c:numRef>
          </c:val>
          <c:smooth val="1"/>
          <c:extLst>
            <c:ext xmlns:c16="http://schemas.microsoft.com/office/drawing/2014/chart" uri="{C3380CC4-5D6E-409C-BE32-E72D297353CC}">
              <c16:uniqueId val="{00000001-2ABD-4318-B417-168281218F10}"/>
            </c:ext>
          </c:extLst>
        </c:ser>
        <c:ser>
          <c:idx val="2"/>
          <c:order val="3"/>
          <c:tx>
            <c:v>SW</c:v>
          </c:tx>
          <c:spPr>
            <a:ln w="28575" cap="rnd">
              <a:solidFill>
                <a:srgbClr val="0070C0"/>
              </a:solidFill>
              <a:prstDash val="solid"/>
              <a:round/>
            </a:ln>
            <a:effectLst/>
          </c:spPr>
          <c:marker>
            <c:symbol val="none"/>
          </c:marker>
          <c:val>
            <c:numRef>
              <c:f>'2025-Q2'!$EK$4:$EK$422</c:f>
              <c:numCache>
                <c:formatCode>0.00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0.1446834240304033</c:v>
                </c:pt>
                <c:pt idx="14">
                  <c:v>0.1446834240304033</c:v>
                </c:pt>
                <c:pt idx="15">
                  <c:v>0.1446834240304033</c:v>
                </c:pt>
                <c:pt idx="16">
                  <c:v>0.1446834240304033</c:v>
                </c:pt>
                <c:pt idx="17">
                  <c:v>0.1446834240304033</c:v>
                </c:pt>
                <c:pt idx="18">
                  <c:v>0.1446834240304033</c:v>
                </c:pt>
                <c:pt idx="19">
                  <c:v>0.6035383334478206</c:v>
                </c:pt>
                <c:pt idx="20">
                  <c:v>0.6035383334478206</c:v>
                </c:pt>
                <c:pt idx="21">
                  <c:v>0.6035383334478206</c:v>
                </c:pt>
                <c:pt idx="22">
                  <c:v>0.6035383334478206</c:v>
                </c:pt>
                <c:pt idx="23">
                  <c:v>0.6035383334478206</c:v>
                </c:pt>
                <c:pt idx="24">
                  <c:v>0.6035383334478206</c:v>
                </c:pt>
                <c:pt idx="25">
                  <c:v>0.6035383334478206</c:v>
                </c:pt>
                <c:pt idx="26">
                  <c:v>0.6035383334478206</c:v>
                </c:pt>
                <c:pt idx="27">
                  <c:v>0.6035383334478206</c:v>
                </c:pt>
                <c:pt idx="28">
                  <c:v>0.6035383334478206</c:v>
                </c:pt>
                <c:pt idx="29">
                  <c:v>0.6035383334478206</c:v>
                </c:pt>
                <c:pt idx="30">
                  <c:v>0.6035383334478206</c:v>
                </c:pt>
                <c:pt idx="31">
                  <c:v>0.6035383334478206</c:v>
                </c:pt>
                <c:pt idx="32">
                  <c:v>0.6035383334478206</c:v>
                </c:pt>
                <c:pt idx="33">
                  <c:v>0.6035383334478206</c:v>
                </c:pt>
                <c:pt idx="34">
                  <c:v>0.6035383334478206</c:v>
                </c:pt>
                <c:pt idx="35">
                  <c:v>0.6035383334478206</c:v>
                </c:pt>
                <c:pt idx="36">
                  <c:v>0.6035383334478206</c:v>
                </c:pt>
                <c:pt idx="37">
                  <c:v>0.6035383334478206</c:v>
                </c:pt>
                <c:pt idx="38">
                  <c:v>0.6035383334478206</c:v>
                </c:pt>
                <c:pt idx="39">
                  <c:v>0.6035383334478206</c:v>
                </c:pt>
                <c:pt idx="40">
                  <c:v>0.6035383334478206</c:v>
                </c:pt>
                <c:pt idx="41">
                  <c:v>0.6035383334478206</c:v>
                </c:pt>
                <c:pt idx="42">
                  <c:v>0.6035383334478206</c:v>
                </c:pt>
                <c:pt idx="43">
                  <c:v>0.6035383334478206</c:v>
                </c:pt>
                <c:pt idx="44">
                  <c:v>0.6035383334478206</c:v>
                </c:pt>
                <c:pt idx="45">
                  <c:v>0.6035383334478206</c:v>
                </c:pt>
                <c:pt idx="46">
                  <c:v>0.6035383334478206</c:v>
                </c:pt>
                <c:pt idx="47">
                  <c:v>0.6035383334478206</c:v>
                </c:pt>
                <c:pt idx="48">
                  <c:v>0.6035383334478206</c:v>
                </c:pt>
                <c:pt idx="49">
                  <c:v>0.6035383334478206</c:v>
                </c:pt>
                <c:pt idx="50">
                  <c:v>0.6035383334478206</c:v>
                </c:pt>
                <c:pt idx="51">
                  <c:v>0.6035383334478206</c:v>
                </c:pt>
                <c:pt idx="52">
                  <c:v>0.6035383334478206</c:v>
                </c:pt>
                <c:pt idx="53">
                  <c:v>0.6035383334478206</c:v>
                </c:pt>
                <c:pt idx="54">
                  <c:v>1.3436756383175479</c:v>
                </c:pt>
                <c:pt idx="55">
                  <c:v>1.3436756383175479</c:v>
                </c:pt>
                <c:pt idx="56">
                  <c:v>1.3436756383175479</c:v>
                </c:pt>
                <c:pt idx="57">
                  <c:v>1.3436756383175479</c:v>
                </c:pt>
                <c:pt idx="58">
                  <c:v>1.3436756383175479</c:v>
                </c:pt>
                <c:pt idx="59">
                  <c:v>1.3436756383175479</c:v>
                </c:pt>
                <c:pt idx="60">
                  <c:v>1.3436756383175479</c:v>
                </c:pt>
                <c:pt idx="61">
                  <c:v>1.3436756383175479</c:v>
                </c:pt>
                <c:pt idx="62">
                  <c:v>1.3436756383175479</c:v>
                </c:pt>
                <c:pt idx="63">
                  <c:v>1.3436756383175479</c:v>
                </c:pt>
                <c:pt idx="64">
                  <c:v>1.3436756383175479</c:v>
                </c:pt>
                <c:pt idx="65">
                  <c:v>1.3436756383175479</c:v>
                </c:pt>
                <c:pt idx="66">
                  <c:v>1.3436756383175479</c:v>
                </c:pt>
                <c:pt idx="67">
                  <c:v>1.3436756383175479</c:v>
                </c:pt>
                <c:pt idx="68">
                  <c:v>1.3436756383175479</c:v>
                </c:pt>
                <c:pt idx="69">
                  <c:v>1.3436756383175479</c:v>
                </c:pt>
                <c:pt idx="70">
                  <c:v>1.3436756383175479</c:v>
                </c:pt>
                <c:pt idx="71">
                  <c:v>1.3436756383175479</c:v>
                </c:pt>
                <c:pt idx="72">
                  <c:v>1.3436756383175479</c:v>
                </c:pt>
                <c:pt idx="73">
                  <c:v>1.3436756383175479</c:v>
                </c:pt>
                <c:pt idx="74">
                  <c:v>2.2116398676705207</c:v>
                </c:pt>
                <c:pt idx="75">
                  <c:v>2.2116398676705207</c:v>
                </c:pt>
                <c:pt idx="76">
                  <c:v>2.2116398676705207</c:v>
                </c:pt>
                <c:pt idx="77">
                  <c:v>2.2116398676705207</c:v>
                </c:pt>
                <c:pt idx="78">
                  <c:v>2.2116398676705207</c:v>
                </c:pt>
                <c:pt idx="79">
                  <c:v>2.2116398676705207</c:v>
                </c:pt>
                <c:pt idx="80">
                  <c:v>2.2116398676705207</c:v>
                </c:pt>
                <c:pt idx="81">
                  <c:v>2.2116398676705207</c:v>
                </c:pt>
                <c:pt idx="82">
                  <c:v>2.2116398676705207</c:v>
                </c:pt>
                <c:pt idx="83">
                  <c:v>2.2116398676705207</c:v>
                </c:pt>
                <c:pt idx="84">
                  <c:v>2.2116398676705207</c:v>
                </c:pt>
                <c:pt idx="85">
                  <c:v>2.2116398676705207</c:v>
                </c:pt>
                <c:pt idx="86">
                  <c:v>2.2116398676705207</c:v>
                </c:pt>
                <c:pt idx="87">
                  <c:v>2.2116398676705207</c:v>
                </c:pt>
                <c:pt idx="88">
                  <c:v>2.2116398676705207</c:v>
                </c:pt>
                <c:pt idx="89">
                  <c:v>2.2116398676705207</c:v>
                </c:pt>
                <c:pt idx="90">
                  <c:v>2.2116398676705207</c:v>
                </c:pt>
                <c:pt idx="91">
                  <c:v>2.2116398676705207</c:v>
                </c:pt>
                <c:pt idx="92">
                  <c:v>2.2116398676705207</c:v>
                </c:pt>
                <c:pt idx="93">
                  <c:v>2.2116398676705207</c:v>
                </c:pt>
                <c:pt idx="94">
                  <c:v>2.2116398676705207</c:v>
                </c:pt>
                <c:pt idx="95">
                  <c:v>2.2116398676705207</c:v>
                </c:pt>
                <c:pt idx="96">
                  <c:v>2.2116398676705207</c:v>
                </c:pt>
                <c:pt idx="97">
                  <c:v>2.2116398676705207</c:v>
                </c:pt>
                <c:pt idx="98">
                  <c:v>2.2116398676705207</c:v>
                </c:pt>
                <c:pt idx="99">
                  <c:v>2.2116398676705207</c:v>
                </c:pt>
                <c:pt idx="100">
                  <c:v>2.2116398676705207</c:v>
                </c:pt>
                <c:pt idx="101">
                  <c:v>2.2116398676705207</c:v>
                </c:pt>
                <c:pt idx="102">
                  <c:v>2.2116398676705207</c:v>
                </c:pt>
                <c:pt idx="103">
                  <c:v>2.2116398676705207</c:v>
                </c:pt>
                <c:pt idx="104">
                  <c:v>2.2116398676705207</c:v>
                </c:pt>
                <c:pt idx="105">
                  <c:v>2.2116398676705207</c:v>
                </c:pt>
                <c:pt idx="106">
                  <c:v>2.2116398676705207</c:v>
                </c:pt>
                <c:pt idx="107">
                  <c:v>2.2116398676705207</c:v>
                </c:pt>
                <c:pt idx="108">
                  <c:v>2.2116398676705207</c:v>
                </c:pt>
                <c:pt idx="109">
                  <c:v>1.666813364294796</c:v>
                </c:pt>
                <c:pt idx="110">
                  <c:v>1.666813364294796</c:v>
                </c:pt>
                <c:pt idx="111">
                  <c:v>1.666813364294796</c:v>
                </c:pt>
                <c:pt idx="112">
                  <c:v>2.098357060534898</c:v>
                </c:pt>
                <c:pt idx="113">
                  <c:v>2.7220749737133643</c:v>
                </c:pt>
                <c:pt idx="114">
                  <c:v>2.7220749737133643</c:v>
                </c:pt>
                <c:pt idx="115">
                  <c:v>2.7220749737133643</c:v>
                </c:pt>
                <c:pt idx="116">
                  <c:v>2.7220749737133643</c:v>
                </c:pt>
                <c:pt idx="117">
                  <c:v>2.7220749737133643</c:v>
                </c:pt>
                <c:pt idx="118">
                  <c:v>2.7220749737133643</c:v>
                </c:pt>
                <c:pt idx="119">
                  <c:v>2.2873594184148476</c:v>
                </c:pt>
                <c:pt idx="120">
                  <c:v>2.2873594184148476</c:v>
                </c:pt>
                <c:pt idx="121">
                  <c:v>2.2873594184148476</c:v>
                </c:pt>
                <c:pt idx="122">
                  <c:v>2.2873594184148476</c:v>
                </c:pt>
                <c:pt idx="123">
                  <c:v>2.2873594184148476</c:v>
                </c:pt>
                <c:pt idx="124">
                  <c:v>2.2873594184148476</c:v>
                </c:pt>
                <c:pt idx="125">
                  <c:v>2.2873594184148476</c:v>
                </c:pt>
                <c:pt idx="126">
                  <c:v>2.2873594184148476</c:v>
                </c:pt>
                <c:pt idx="127">
                  <c:v>2.2873594184148476</c:v>
                </c:pt>
                <c:pt idx="128">
                  <c:v>2.2873594184148476</c:v>
                </c:pt>
                <c:pt idx="129">
                  <c:v>2.2873594184148476</c:v>
                </c:pt>
                <c:pt idx="130">
                  <c:v>1.7255127285193785</c:v>
                </c:pt>
                <c:pt idx="131">
                  <c:v>1.7255127285193785</c:v>
                </c:pt>
                <c:pt idx="132">
                  <c:v>1.7255127285193785</c:v>
                </c:pt>
                <c:pt idx="133">
                  <c:v>1.7255127285193785</c:v>
                </c:pt>
                <c:pt idx="134">
                  <c:v>1.7255127285193785</c:v>
                </c:pt>
                <c:pt idx="135">
                  <c:v>1.7255127285193785</c:v>
                </c:pt>
                <c:pt idx="136">
                  <c:v>1.7255127285193785</c:v>
                </c:pt>
                <c:pt idx="137">
                  <c:v>1.7255127285193785</c:v>
                </c:pt>
                <c:pt idx="138">
                  <c:v>1.7255127285193785</c:v>
                </c:pt>
                <c:pt idx="139">
                  <c:v>1.7255127285193785</c:v>
                </c:pt>
                <c:pt idx="140">
                  <c:v>1.7255127285193785</c:v>
                </c:pt>
                <c:pt idx="141">
                  <c:v>1.7255127285193785</c:v>
                </c:pt>
                <c:pt idx="142">
                  <c:v>1.7255127285193785</c:v>
                </c:pt>
                <c:pt idx="143">
                  <c:v>1.7255127285193785</c:v>
                </c:pt>
                <c:pt idx="144">
                  <c:v>1.7255127285193785</c:v>
                </c:pt>
                <c:pt idx="145">
                  <c:v>1.7255127285193785</c:v>
                </c:pt>
                <c:pt idx="146">
                  <c:v>1.7255127285193785</c:v>
                </c:pt>
                <c:pt idx="147">
                  <c:v>1.7255127285193785</c:v>
                </c:pt>
                <c:pt idx="148">
                  <c:v>1.7255127285193785</c:v>
                </c:pt>
                <c:pt idx="149">
                  <c:v>1.7255127285193785</c:v>
                </c:pt>
                <c:pt idx="150">
                  <c:v>1.7255127285193785</c:v>
                </c:pt>
                <c:pt idx="151">
                  <c:v>1.7255127285193785</c:v>
                </c:pt>
                <c:pt idx="152">
                  <c:v>1.7255127285193785</c:v>
                </c:pt>
                <c:pt idx="153">
                  <c:v>1.7255127285193785</c:v>
                </c:pt>
                <c:pt idx="154">
                  <c:v>1.7255127285193785</c:v>
                </c:pt>
                <c:pt idx="155">
                  <c:v>1.7255127285193785</c:v>
                </c:pt>
                <c:pt idx="156">
                  <c:v>1.7255127285193785</c:v>
                </c:pt>
                <c:pt idx="157">
                  <c:v>1.7255127285193785</c:v>
                </c:pt>
                <c:pt idx="158">
                  <c:v>1.7255127285193785</c:v>
                </c:pt>
                <c:pt idx="159">
                  <c:v>1.7255127285193785</c:v>
                </c:pt>
                <c:pt idx="160">
                  <c:v>1.7255127285193785</c:v>
                </c:pt>
                <c:pt idx="161">
                  <c:v>2.804966392787259</c:v>
                </c:pt>
                <c:pt idx="162">
                  <c:v>2.804966392787259</c:v>
                </c:pt>
                <c:pt idx="163">
                  <c:v>2.804966392787259</c:v>
                </c:pt>
                <c:pt idx="164">
                  <c:v>2.804966392787259</c:v>
                </c:pt>
                <c:pt idx="165">
                  <c:v>2.804966392787259</c:v>
                </c:pt>
                <c:pt idx="166">
                  <c:v>2.804966392787259</c:v>
                </c:pt>
                <c:pt idx="167">
                  <c:v>2.804966392787259</c:v>
                </c:pt>
                <c:pt idx="168">
                  <c:v>2.804966392787259</c:v>
                </c:pt>
                <c:pt idx="169">
                  <c:v>2.804966392787259</c:v>
                </c:pt>
                <c:pt idx="170">
                  <c:v>2.804966392787259</c:v>
                </c:pt>
                <c:pt idx="171">
                  <c:v>2.804966392787259</c:v>
                </c:pt>
                <c:pt idx="172">
                  <c:v>2.804966392787259</c:v>
                </c:pt>
                <c:pt idx="173">
                  <c:v>2.804966392787259</c:v>
                </c:pt>
                <c:pt idx="174">
                  <c:v>2.804966392787259</c:v>
                </c:pt>
                <c:pt idx="175">
                  <c:v>2.804966392787259</c:v>
                </c:pt>
                <c:pt idx="176">
                  <c:v>2.804966392787259</c:v>
                </c:pt>
                <c:pt idx="177">
                  <c:v>2.804966392787259</c:v>
                </c:pt>
                <c:pt idx="178">
                  <c:v>2.804966392787259</c:v>
                </c:pt>
                <c:pt idx="179">
                  <c:v>2.804966392787259</c:v>
                </c:pt>
                <c:pt idx="180">
                  <c:v>2.804966392787259</c:v>
                </c:pt>
                <c:pt idx="181">
                  <c:v>2.804966392787259</c:v>
                </c:pt>
                <c:pt idx="182">
                  <c:v>2.804966392787259</c:v>
                </c:pt>
                <c:pt idx="183">
                  <c:v>2.804966392787259</c:v>
                </c:pt>
                <c:pt idx="184">
                  <c:v>2.804966392787259</c:v>
                </c:pt>
                <c:pt idx="185">
                  <c:v>2.804966392787259</c:v>
                </c:pt>
                <c:pt idx="186">
                  <c:v>2.804966392787259</c:v>
                </c:pt>
                <c:pt idx="187">
                  <c:v>2.804966392787259</c:v>
                </c:pt>
                <c:pt idx="188">
                  <c:v>2.804966392787259</c:v>
                </c:pt>
                <c:pt idx="189">
                  <c:v>2.804966392787259</c:v>
                </c:pt>
                <c:pt idx="190">
                  <c:v>2.804966392787259</c:v>
                </c:pt>
                <c:pt idx="191">
                  <c:v>2.804966392787259</c:v>
                </c:pt>
                <c:pt idx="192">
                  <c:v>2.804966392787259</c:v>
                </c:pt>
                <c:pt idx="193">
                  <c:v>2.804966392787259</c:v>
                </c:pt>
                <c:pt idx="194">
                  <c:v>2.804966392787259</c:v>
                </c:pt>
                <c:pt idx="195">
                  <c:v>2.804966392787259</c:v>
                </c:pt>
                <c:pt idx="196">
                  <c:v>2.804966392787259</c:v>
                </c:pt>
                <c:pt idx="197">
                  <c:v>2.804966392787259</c:v>
                </c:pt>
                <c:pt idx="198">
                  <c:v>2.804966392787259</c:v>
                </c:pt>
                <c:pt idx="199">
                  <c:v>2.804966392787259</c:v>
                </c:pt>
                <c:pt idx="200">
                  <c:v>2.804966392787259</c:v>
                </c:pt>
                <c:pt idx="201">
                  <c:v>2.804966392787259</c:v>
                </c:pt>
                <c:pt idx="202">
                  <c:v>2.804966392787259</c:v>
                </c:pt>
                <c:pt idx="203">
                  <c:v>2.804966392787259</c:v>
                </c:pt>
                <c:pt idx="204">
                  <c:v>2.804966392787259</c:v>
                </c:pt>
                <c:pt idx="205">
                  <c:v>2.804966392787259</c:v>
                </c:pt>
                <c:pt idx="206">
                  <c:v>4.1736631838809082</c:v>
                </c:pt>
                <c:pt idx="207">
                  <c:v>4.1736631838809082</c:v>
                </c:pt>
                <c:pt idx="208">
                  <c:v>4.1736631838809082</c:v>
                </c:pt>
                <c:pt idx="209">
                  <c:v>4.1736631838809082</c:v>
                </c:pt>
                <c:pt idx="210">
                  <c:v>3.1548820132559188</c:v>
                </c:pt>
                <c:pt idx="211">
                  <c:v>3.1548820132559188</c:v>
                </c:pt>
                <c:pt idx="212">
                  <c:v>3.1548820132559188</c:v>
                </c:pt>
                <c:pt idx="213">
                  <c:v>3.1548820132559188</c:v>
                </c:pt>
                <c:pt idx="214">
                  <c:v>3.1548820132559188</c:v>
                </c:pt>
                <c:pt idx="215">
                  <c:v>3.1548820132559188</c:v>
                </c:pt>
                <c:pt idx="216">
                  <c:v>4.6014417494274094</c:v>
                </c:pt>
                <c:pt idx="217">
                  <c:v>4.6014417494274094</c:v>
                </c:pt>
                <c:pt idx="218">
                  <c:v>4.6014417494274094</c:v>
                </c:pt>
                <c:pt idx="219">
                  <c:v>4.6014417494274094</c:v>
                </c:pt>
                <c:pt idx="220">
                  <c:v>4.6014417494274094</c:v>
                </c:pt>
                <c:pt idx="221">
                  <c:v>4.6014417494274094</c:v>
                </c:pt>
                <c:pt idx="222">
                  <c:v>4.6014417494274094</c:v>
                </c:pt>
                <c:pt idx="223">
                  <c:v>4.6014417494274094</c:v>
                </c:pt>
                <c:pt idx="224">
                  <c:v>4.6014417494274094</c:v>
                </c:pt>
                <c:pt idx="225">
                  <c:v>4.6014417494274094</c:v>
                </c:pt>
                <c:pt idx="226">
                  <c:v>4.6014417494274094</c:v>
                </c:pt>
                <c:pt idx="227">
                  <c:v>4.6014417494274094</c:v>
                </c:pt>
                <c:pt idx="228">
                  <c:v>4.5969853022853275</c:v>
                </c:pt>
                <c:pt idx="229">
                  <c:v>4.5969853022853275</c:v>
                </c:pt>
                <c:pt idx="230">
                  <c:v>4.5969853022853275</c:v>
                </c:pt>
                <c:pt idx="231">
                  <c:v>4.5969853022853275</c:v>
                </c:pt>
                <c:pt idx="232">
                  <c:v>4.5969853022853275</c:v>
                </c:pt>
                <c:pt idx="233">
                  <c:v>5.050388173053765</c:v>
                </c:pt>
                <c:pt idx="234">
                  <c:v>5.050388173053765</c:v>
                </c:pt>
                <c:pt idx="235">
                  <c:v>5.050388173053765</c:v>
                </c:pt>
                <c:pt idx="236">
                  <c:v>5.050388173053765</c:v>
                </c:pt>
                <c:pt idx="237">
                  <c:v>5.050388173053765</c:v>
                </c:pt>
                <c:pt idx="238">
                  <c:v>5.050388173053765</c:v>
                </c:pt>
                <c:pt idx="239">
                  <c:v>5.050388173053765</c:v>
                </c:pt>
                <c:pt idx="240">
                  <c:v>5.050388173053765</c:v>
                </c:pt>
                <c:pt idx="241">
                  <c:v>5.050388173053765</c:v>
                </c:pt>
                <c:pt idx="242">
                  <c:v>5.050388173053765</c:v>
                </c:pt>
                <c:pt idx="243">
                  <c:v>5.050388173053765</c:v>
                </c:pt>
                <c:pt idx="244">
                  <c:v>5.050388173053765</c:v>
                </c:pt>
                <c:pt idx="245">
                  <c:v>5.050388173053765</c:v>
                </c:pt>
                <c:pt idx="246">
                  <c:v>5.050388173053765</c:v>
                </c:pt>
                <c:pt idx="247">
                  <c:v>5.050388173053765</c:v>
                </c:pt>
                <c:pt idx="248">
                  <c:v>5.050388173053765</c:v>
                </c:pt>
                <c:pt idx="249">
                  <c:v>5.050388173053765</c:v>
                </c:pt>
                <c:pt idx="250">
                  <c:v>5.050388173053765</c:v>
                </c:pt>
                <c:pt idx="251">
                  <c:v>5.050388173053765</c:v>
                </c:pt>
                <c:pt idx="252">
                  <c:v>5.050388173053765</c:v>
                </c:pt>
                <c:pt idx="253">
                  <c:v>5.050388173053765</c:v>
                </c:pt>
                <c:pt idx="254">
                  <c:v>5.050388173053765</c:v>
                </c:pt>
                <c:pt idx="255">
                  <c:v>5.050388173053765</c:v>
                </c:pt>
                <c:pt idx="256">
                  <c:v>5.050388173053765</c:v>
                </c:pt>
                <c:pt idx="257">
                  <c:v>5.050388173053765</c:v>
                </c:pt>
                <c:pt idx="258">
                  <c:v>5.050388173053765</c:v>
                </c:pt>
                <c:pt idx="259">
                  <c:v>5.050388173053765</c:v>
                </c:pt>
                <c:pt idx="260">
                  <c:v>5.050388173053765</c:v>
                </c:pt>
                <c:pt idx="261">
                  <c:v>5.050388173053765</c:v>
                </c:pt>
                <c:pt idx="262">
                  <c:v>5.050388173053765</c:v>
                </c:pt>
                <c:pt idx="263">
                  <c:v>5.050388173053765</c:v>
                </c:pt>
                <c:pt idx="264">
                  <c:v>5.050388173053765</c:v>
                </c:pt>
                <c:pt idx="265">
                  <c:v>5.050388173053765</c:v>
                </c:pt>
                <c:pt idx="266">
                  <c:v>5.050388173053765</c:v>
                </c:pt>
                <c:pt idx="267">
                  <c:v>5.050388173053765</c:v>
                </c:pt>
                <c:pt idx="268">
                  <c:v>5.050388173053765</c:v>
                </c:pt>
                <c:pt idx="269">
                  <c:v>5.050388173053765</c:v>
                </c:pt>
                <c:pt idx="270">
                  <c:v>5.050388173053765</c:v>
                </c:pt>
                <c:pt idx="271">
                  <c:v>5.050388173053765</c:v>
                </c:pt>
                <c:pt idx="272">
                  <c:v>5.050388173053765</c:v>
                </c:pt>
                <c:pt idx="273">
                  <c:v>5.050388173053765</c:v>
                </c:pt>
                <c:pt idx="274">
                  <c:v>5.050388173053765</c:v>
                </c:pt>
                <c:pt idx="275">
                  <c:v>5.050388173053765</c:v>
                </c:pt>
                <c:pt idx="276">
                  <c:v>5.050388173053765</c:v>
                </c:pt>
                <c:pt idx="277">
                  <c:v>5.050388173053765</c:v>
                </c:pt>
                <c:pt idx="278">
                  <c:v>5.050388173053765</c:v>
                </c:pt>
                <c:pt idx="279">
                  <c:v>5.050388173053765</c:v>
                </c:pt>
                <c:pt idx="280">
                  <c:v>5.050388173053765</c:v>
                </c:pt>
                <c:pt idx="281">
                  <c:v>5.050388173053765</c:v>
                </c:pt>
                <c:pt idx="282">
                  <c:v>5.050388173053765</c:v>
                </c:pt>
                <c:pt idx="283">
                  <c:v>5.050388173053765</c:v>
                </c:pt>
                <c:pt idx="284">
                  <c:v>5.050388173053765</c:v>
                </c:pt>
                <c:pt idx="285">
                  <c:v>5.050388173053765</c:v>
                </c:pt>
                <c:pt idx="286">
                  <c:v>5.050388173053765</c:v>
                </c:pt>
                <c:pt idx="287">
                  <c:v>5.050388173053765</c:v>
                </c:pt>
                <c:pt idx="288">
                  <c:v>5.050388173053765</c:v>
                </c:pt>
                <c:pt idx="289">
                  <c:v>5.050388173053765</c:v>
                </c:pt>
                <c:pt idx="290">
                  <c:v>5.050388173053765</c:v>
                </c:pt>
                <c:pt idx="291">
                  <c:v>5.050388173053765</c:v>
                </c:pt>
                <c:pt idx="292">
                  <c:v>5.050388173053765</c:v>
                </c:pt>
                <c:pt idx="293">
                  <c:v>5.050388173053765</c:v>
                </c:pt>
                <c:pt idx="294">
                  <c:v>5.050388173053765</c:v>
                </c:pt>
                <c:pt idx="295">
                  <c:v>5.050388173053765</c:v>
                </c:pt>
                <c:pt idx="296">
                  <c:v>5.050388173053765</c:v>
                </c:pt>
                <c:pt idx="297">
                  <c:v>5.050388173053765</c:v>
                </c:pt>
                <c:pt idx="298">
                  <c:v>5.050388173053765</c:v>
                </c:pt>
                <c:pt idx="299">
                  <c:v>5.050388173053765</c:v>
                </c:pt>
                <c:pt idx="300">
                  <c:v>5.050388173053765</c:v>
                </c:pt>
                <c:pt idx="301">
                  <c:v>5.050388173053765</c:v>
                </c:pt>
                <c:pt idx="302">
                  <c:v>5.050388173053765</c:v>
                </c:pt>
                <c:pt idx="303">
                  <c:v>5.050388173053765</c:v>
                </c:pt>
                <c:pt idx="304">
                  <c:v>5.050388173053765</c:v>
                </c:pt>
                <c:pt idx="305">
                  <c:v>5.050388173053765</c:v>
                </c:pt>
                <c:pt idx="306">
                  <c:v>5.050388173053765</c:v>
                </c:pt>
                <c:pt idx="307">
                  <c:v>5.050388173053765</c:v>
                </c:pt>
                <c:pt idx="308">
                  <c:v>5.050388173053765</c:v>
                </c:pt>
                <c:pt idx="309">
                  <c:v>5.050388173053765</c:v>
                </c:pt>
                <c:pt idx="310">
                  <c:v>5.050388173053765</c:v>
                </c:pt>
                <c:pt idx="311">
                  <c:v>5.050388173053765</c:v>
                </c:pt>
                <c:pt idx="312">
                  <c:v>5.050388173053765</c:v>
                </c:pt>
                <c:pt idx="313">
                  <c:v>5.050388173053765</c:v>
                </c:pt>
                <c:pt idx="314">
                  <c:v>5.050388173053765</c:v>
                </c:pt>
                <c:pt idx="315">
                  <c:v>5.050388173053765</c:v>
                </c:pt>
                <c:pt idx="316">
                  <c:v>5.050388173053765</c:v>
                </c:pt>
                <c:pt idx="317">
                  <c:v>5.050388173053765</c:v>
                </c:pt>
                <c:pt idx="318">
                  <c:v>5.050388173053765</c:v>
                </c:pt>
                <c:pt idx="319">
                  <c:v>7.3869640485401451</c:v>
                </c:pt>
                <c:pt idx="320">
                  <c:v>7.3869640485401451</c:v>
                </c:pt>
                <c:pt idx="321">
                  <c:v>7.3869640485401451</c:v>
                </c:pt>
                <c:pt idx="322">
                  <c:v>7.7196470241767461</c:v>
                </c:pt>
                <c:pt idx="323">
                  <c:v>7.7196470241767461</c:v>
                </c:pt>
                <c:pt idx="324">
                  <c:v>7.7196470241767461</c:v>
                </c:pt>
                <c:pt idx="325">
                  <c:v>7.7196470241767461</c:v>
                </c:pt>
                <c:pt idx="326">
                  <c:v>7.7196470241767461</c:v>
                </c:pt>
                <c:pt idx="327">
                  <c:v>7.5038562143265297</c:v>
                </c:pt>
                <c:pt idx="328">
                  <c:v>7.5038562143265297</c:v>
                </c:pt>
                <c:pt idx="329">
                  <c:v>7.5038562143265297</c:v>
                </c:pt>
                <c:pt idx="330">
                  <c:v>7.5038562143265297</c:v>
                </c:pt>
                <c:pt idx="331">
                  <c:v>7.5038562143265297</c:v>
                </c:pt>
                <c:pt idx="332">
                  <c:v>8.4415851520554703</c:v>
                </c:pt>
                <c:pt idx="333">
                  <c:v>8.4415851520554703</c:v>
                </c:pt>
                <c:pt idx="334">
                  <c:v>8.4415851520554703</c:v>
                </c:pt>
                <c:pt idx="335">
                  <c:v>8.4415851520554703</c:v>
                </c:pt>
                <c:pt idx="336">
                  <c:v>8.4415851520554703</c:v>
                </c:pt>
                <c:pt idx="337">
                  <c:v>8.4415851520554703</c:v>
                </c:pt>
                <c:pt idx="338">
                  <c:v>8.4415851520554703</c:v>
                </c:pt>
                <c:pt idx="339">
                  <c:v>8.4415851520554703</c:v>
                </c:pt>
                <c:pt idx="340">
                  <c:v>8.4415851520554703</c:v>
                </c:pt>
                <c:pt idx="341">
                  <c:v>8.4415851520554703</c:v>
                </c:pt>
                <c:pt idx="342">
                  <c:v>8.4415851520554703</c:v>
                </c:pt>
                <c:pt idx="343">
                  <c:v>8.4415851520554703</c:v>
                </c:pt>
                <c:pt idx="344">
                  <c:v>8.4415851520554703</c:v>
                </c:pt>
                <c:pt idx="345">
                  <c:v>8.4415851520554703</c:v>
                </c:pt>
                <c:pt idx="346">
                  <c:v>8.4415851520554703</c:v>
                </c:pt>
                <c:pt idx="347">
                  <c:v>8.4840381642896556</c:v>
                </c:pt>
                <c:pt idx="348">
                  <c:v>8.4840381642896556</c:v>
                </c:pt>
                <c:pt idx="349">
                  <c:v>8.4840381642896556</c:v>
                </c:pt>
                <c:pt idx="350">
                  <c:v>8.4840381642896556</c:v>
                </c:pt>
                <c:pt idx="351">
                  <c:v>8.4840381642896556</c:v>
                </c:pt>
                <c:pt idx="352">
                  <c:v>8.4840381642896556</c:v>
                </c:pt>
                <c:pt idx="353">
                  <c:v>8.4840381642896556</c:v>
                </c:pt>
                <c:pt idx="354">
                  <c:v>8.4840381642896556</c:v>
                </c:pt>
                <c:pt idx="355">
                  <c:v>8.4840381642896556</c:v>
                </c:pt>
                <c:pt idx="356">
                  <c:v>8.4840381642896556</c:v>
                </c:pt>
                <c:pt idx="357">
                  <c:v>8.4840381642896556</c:v>
                </c:pt>
                <c:pt idx="358">
                  <c:v>8.4840381642896556</c:v>
                </c:pt>
                <c:pt idx="359">
                  <c:v>8.4840381642896556</c:v>
                </c:pt>
                <c:pt idx="360">
                  <c:v>8.4840381642896556</c:v>
                </c:pt>
                <c:pt idx="361">
                  <c:v>8.4840381642896556</c:v>
                </c:pt>
                <c:pt idx="362">
                  <c:v>8.4840381642896556</c:v>
                </c:pt>
                <c:pt idx="363">
                  <c:v>8.4840381642896556</c:v>
                </c:pt>
                <c:pt idx="364">
                  <c:v>8.4840381642896556</c:v>
                </c:pt>
                <c:pt idx="365">
                  <c:v>8.4840381642896556</c:v>
                </c:pt>
                <c:pt idx="366">
                  <c:v>8.4840381642896556</c:v>
                </c:pt>
                <c:pt idx="367">
                  <c:v>8.4840381642896556</c:v>
                </c:pt>
                <c:pt idx="368">
                  <c:v>8.4840381642896556</c:v>
                </c:pt>
                <c:pt idx="369">
                  <c:v>8.4840381642896556</c:v>
                </c:pt>
                <c:pt idx="370">
                  <c:v>8.4840381642896556</c:v>
                </c:pt>
                <c:pt idx="371">
                  <c:v>8.4840381642896556</c:v>
                </c:pt>
                <c:pt idx="372">
                  <c:v>8.4840381642896556</c:v>
                </c:pt>
                <c:pt idx="373">
                  <c:v>9.3964359516874456</c:v>
                </c:pt>
                <c:pt idx="374">
                  <c:v>9.3964359516874456</c:v>
                </c:pt>
                <c:pt idx="375">
                  <c:v>9.3964359516874456</c:v>
                </c:pt>
                <c:pt idx="376">
                  <c:v>9.3964359516874456</c:v>
                </c:pt>
                <c:pt idx="377">
                  <c:v>11.820135611943035</c:v>
                </c:pt>
                <c:pt idx="378">
                  <c:v>11.820135611943035</c:v>
                </c:pt>
                <c:pt idx="379">
                  <c:v>11.820135611943035</c:v>
                </c:pt>
                <c:pt idx="380">
                  <c:v>11.820135611943035</c:v>
                </c:pt>
                <c:pt idx="381">
                  <c:v>11.820135611943035</c:v>
                </c:pt>
                <c:pt idx="382">
                  <c:v>11.820135611943035</c:v>
                </c:pt>
                <c:pt idx="383">
                  <c:v>11.820135611943035</c:v>
                </c:pt>
                <c:pt idx="384">
                  <c:v>11.820135611943035</c:v>
                </c:pt>
                <c:pt idx="385">
                  <c:v>11.820135611943035</c:v>
                </c:pt>
                <c:pt idx="386">
                  <c:v>11.820135611943035</c:v>
                </c:pt>
                <c:pt idx="387">
                  <c:v>11.820135611943035</c:v>
                </c:pt>
                <c:pt idx="388">
                  <c:v>11.820135611943035</c:v>
                </c:pt>
                <c:pt idx="389">
                  <c:v>11.820135611943035</c:v>
                </c:pt>
                <c:pt idx="390">
                  <c:v>11.820135611943035</c:v>
                </c:pt>
                <c:pt idx="391">
                  <c:v>11.820135611943035</c:v>
                </c:pt>
                <c:pt idx="392">
                  <c:v>11.820135611943035</c:v>
                </c:pt>
                <c:pt idx="393">
                  <c:v>11.820135611943035</c:v>
                </c:pt>
                <c:pt idx="394">
                  <c:v>13.156552985368888</c:v>
                </c:pt>
                <c:pt idx="395">
                  <c:v>13.156552985368888</c:v>
                </c:pt>
                <c:pt idx="396">
                  <c:v>13.156552985368888</c:v>
                </c:pt>
                <c:pt idx="397">
                  <c:v>13.156552985368888</c:v>
                </c:pt>
                <c:pt idx="398">
                  <c:v>13.156552985368888</c:v>
                </c:pt>
                <c:pt idx="399">
                  <c:v>13.156552985368888</c:v>
                </c:pt>
                <c:pt idx="400">
                  <c:v>13.156552985368888</c:v>
                </c:pt>
                <c:pt idx="401">
                  <c:v>13.156552985368888</c:v>
                </c:pt>
                <c:pt idx="402">
                  <c:v>13.156552985368888</c:v>
                </c:pt>
                <c:pt idx="403">
                  <c:v>13.156552985368888</c:v>
                </c:pt>
                <c:pt idx="404">
                  <c:v>13.156552985368888</c:v>
                </c:pt>
                <c:pt idx="405">
                  <c:v>13.156552985368888</c:v>
                </c:pt>
                <c:pt idx="406">
                  <c:v>13.156552985368888</c:v>
                </c:pt>
                <c:pt idx="407">
                  <c:v>13.156552985368888</c:v>
                </c:pt>
                <c:pt idx="408">
                  <c:v>13.156552985368888</c:v>
                </c:pt>
                <c:pt idx="409">
                  <c:v>13.156552985368888</c:v>
                </c:pt>
                <c:pt idx="410">
                  <c:v>13.156552985368888</c:v>
                </c:pt>
                <c:pt idx="411">
                  <c:v>13.156552985368888</c:v>
                </c:pt>
                <c:pt idx="412">
                  <c:v>13.156552985368888</c:v>
                </c:pt>
                <c:pt idx="413">
                  <c:v>13.156552985368888</c:v>
                </c:pt>
                <c:pt idx="414">
                  <c:v>13.156552985368888</c:v>
                </c:pt>
                <c:pt idx="415">
                  <c:v>13.156552985368888</c:v>
                </c:pt>
                <c:pt idx="416">
                  <c:v>13.156552985368888</c:v>
                </c:pt>
                <c:pt idx="417">
                  <c:v>13.156552985368888</c:v>
                </c:pt>
                <c:pt idx="418">
                  <c:v>13.156552985368888</c:v>
                </c:pt>
              </c:numCache>
            </c:numRef>
          </c:val>
          <c:smooth val="1"/>
          <c:extLst>
            <c:ext xmlns:c16="http://schemas.microsoft.com/office/drawing/2014/chart" uri="{C3380CC4-5D6E-409C-BE32-E72D297353CC}">
              <c16:uniqueId val="{00000002-2ABD-4318-B417-168281218F10}"/>
            </c:ext>
          </c:extLst>
        </c:ser>
        <c:ser>
          <c:idx val="3"/>
          <c:order val="5"/>
          <c:tx>
            <c:v>All Three</c:v>
          </c:tx>
          <c:spPr>
            <a:ln w="38100" cap="rnd">
              <a:solidFill>
                <a:sysClr val="windowText" lastClr="000000"/>
              </a:solidFill>
              <a:round/>
            </a:ln>
            <a:effectLst/>
          </c:spPr>
          <c:marker>
            <c:symbol val="none"/>
          </c:marker>
          <c:val>
            <c:numRef>
              <c:f>'2025-Q2'!$EL$4:$EL$422</c:f>
              <c:numCache>
                <c:formatCode>0.00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0.1446834240304033</c:v>
                </c:pt>
                <c:pt idx="14">
                  <c:v>0.1446834240304033</c:v>
                </c:pt>
                <c:pt idx="15">
                  <c:v>0.1446834240304033</c:v>
                </c:pt>
                <c:pt idx="16">
                  <c:v>0.1446834240304033</c:v>
                </c:pt>
                <c:pt idx="17">
                  <c:v>0.1446834240304033</c:v>
                </c:pt>
                <c:pt idx="18">
                  <c:v>0.1446834240304033</c:v>
                </c:pt>
                <c:pt idx="19">
                  <c:v>0.6035383334478206</c:v>
                </c:pt>
                <c:pt idx="20">
                  <c:v>0.6035383334478206</c:v>
                </c:pt>
                <c:pt idx="21">
                  <c:v>0.6035383334478206</c:v>
                </c:pt>
                <c:pt idx="22">
                  <c:v>0.6035383334478206</c:v>
                </c:pt>
                <c:pt idx="23">
                  <c:v>0.6035383334478206</c:v>
                </c:pt>
                <c:pt idx="24">
                  <c:v>0.6035383334478206</c:v>
                </c:pt>
                <c:pt idx="25">
                  <c:v>0.6035383334478206</c:v>
                </c:pt>
                <c:pt idx="26">
                  <c:v>0.6035383334478206</c:v>
                </c:pt>
                <c:pt idx="27">
                  <c:v>0.6035383334478206</c:v>
                </c:pt>
                <c:pt idx="28">
                  <c:v>0.6035383334478206</c:v>
                </c:pt>
                <c:pt idx="29">
                  <c:v>0.6035383334478206</c:v>
                </c:pt>
                <c:pt idx="30">
                  <c:v>0.6035383334478206</c:v>
                </c:pt>
                <c:pt idx="31">
                  <c:v>0.6035383334478206</c:v>
                </c:pt>
                <c:pt idx="32">
                  <c:v>0.6035383334478206</c:v>
                </c:pt>
                <c:pt idx="33">
                  <c:v>0.6035383334478206</c:v>
                </c:pt>
                <c:pt idx="34">
                  <c:v>0.6035383334478206</c:v>
                </c:pt>
                <c:pt idx="35">
                  <c:v>0.6035383334478206</c:v>
                </c:pt>
                <c:pt idx="36">
                  <c:v>0.6035383334478206</c:v>
                </c:pt>
                <c:pt idx="37">
                  <c:v>0.6035383334478206</c:v>
                </c:pt>
                <c:pt idx="38">
                  <c:v>0.6035383334478206</c:v>
                </c:pt>
                <c:pt idx="39">
                  <c:v>0.6035383334478206</c:v>
                </c:pt>
                <c:pt idx="40">
                  <c:v>0.6035383334478206</c:v>
                </c:pt>
                <c:pt idx="41">
                  <c:v>0.6035383334478206</c:v>
                </c:pt>
                <c:pt idx="42">
                  <c:v>0.6035383334478206</c:v>
                </c:pt>
                <c:pt idx="43">
                  <c:v>0.6035383334478206</c:v>
                </c:pt>
                <c:pt idx="44">
                  <c:v>0.6035383334478206</c:v>
                </c:pt>
                <c:pt idx="45">
                  <c:v>0.6035383334478206</c:v>
                </c:pt>
                <c:pt idx="46">
                  <c:v>-0.59266625132726536</c:v>
                </c:pt>
                <c:pt idx="47">
                  <c:v>-0.59266625132726536</c:v>
                </c:pt>
                <c:pt idx="48">
                  <c:v>-0.59266625132726536</c:v>
                </c:pt>
                <c:pt idx="49">
                  <c:v>-0.59266625132726536</c:v>
                </c:pt>
                <c:pt idx="50">
                  <c:v>-0.59266625132726536</c:v>
                </c:pt>
                <c:pt idx="51">
                  <c:v>-0.59266625132726536</c:v>
                </c:pt>
                <c:pt idx="52">
                  <c:v>-0.59266625132726536</c:v>
                </c:pt>
                <c:pt idx="53">
                  <c:v>-0.59266625132726536</c:v>
                </c:pt>
                <c:pt idx="54">
                  <c:v>0.14747105354246193</c:v>
                </c:pt>
                <c:pt idx="55">
                  <c:v>0.14747105354246193</c:v>
                </c:pt>
                <c:pt idx="56">
                  <c:v>0.14747105354246193</c:v>
                </c:pt>
                <c:pt idx="57">
                  <c:v>0.14747105354246193</c:v>
                </c:pt>
                <c:pt idx="58">
                  <c:v>0.14747105354246193</c:v>
                </c:pt>
                <c:pt idx="59">
                  <c:v>0.14747105354246193</c:v>
                </c:pt>
                <c:pt idx="60">
                  <c:v>0.14747105354246193</c:v>
                </c:pt>
                <c:pt idx="61">
                  <c:v>0.14747105354246193</c:v>
                </c:pt>
                <c:pt idx="62">
                  <c:v>0.14747105354246193</c:v>
                </c:pt>
                <c:pt idx="63">
                  <c:v>0.14747105354246193</c:v>
                </c:pt>
                <c:pt idx="64">
                  <c:v>0.14747105354246193</c:v>
                </c:pt>
                <c:pt idx="65">
                  <c:v>0.14747105354246193</c:v>
                </c:pt>
                <c:pt idx="66">
                  <c:v>0.14747105354246193</c:v>
                </c:pt>
                <c:pt idx="67">
                  <c:v>-0.6890635004719069</c:v>
                </c:pt>
                <c:pt idx="68">
                  <c:v>-0.6890635004719069</c:v>
                </c:pt>
                <c:pt idx="69">
                  <c:v>-0.6890635004719069</c:v>
                </c:pt>
                <c:pt idx="70">
                  <c:v>-0.6890635004719069</c:v>
                </c:pt>
                <c:pt idx="71">
                  <c:v>-0.6890635004719069</c:v>
                </c:pt>
                <c:pt idx="72">
                  <c:v>-0.6890635004719069</c:v>
                </c:pt>
                <c:pt idx="73">
                  <c:v>-0.6890635004719069</c:v>
                </c:pt>
                <c:pt idx="74">
                  <c:v>0.1789007288810659</c:v>
                </c:pt>
                <c:pt idx="75">
                  <c:v>0.1789007288810659</c:v>
                </c:pt>
                <c:pt idx="76">
                  <c:v>0.1789007288810659</c:v>
                </c:pt>
                <c:pt idx="77">
                  <c:v>0.1789007288810659</c:v>
                </c:pt>
                <c:pt idx="78">
                  <c:v>0.1789007288810659</c:v>
                </c:pt>
                <c:pt idx="79">
                  <c:v>0.1789007288810659</c:v>
                </c:pt>
                <c:pt idx="80">
                  <c:v>0.1789007288810659</c:v>
                </c:pt>
                <c:pt idx="81">
                  <c:v>-0.70576196389971035</c:v>
                </c:pt>
                <c:pt idx="82">
                  <c:v>-0.70576196389971035</c:v>
                </c:pt>
                <c:pt idx="83">
                  <c:v>-0.70576196389971035</c:v>
                </c:pt>
                <c:pt idx="84">
                  <c:v>-0.70576196389971035</c:v>
                </c:pt>
                <c:pt idx="85">
                  <c:v>-0.70576196389971035</c:v>
                </c:pt>
                <c:pt idx="86">
                  <c:v>-0.70576196389971035</c:v>
                </c:pt>
                <c:pt idx="87">
                  <c:v>-0.70576196389971035</c:v>
                </c:pt>
                <c:pt idx="88">
                  <c:v>-0.70576196389971035</c:v>
                </c:pt>
                <c:pt idx="89">
                  <c:v>-0.70576196389971035</c:v>
                </c:pt>
                <c:pt idx="90">
                  <c:v>-0.70576196389971035</c:v>
                </c:pt>
                <c:pt idx="91">
                  <c:v>-0.70576196389971035</c:v>
                </c:pt>
                <c:pt idx="92">
                  <c:v>-0.70576196389971035</c:v>
                </c:pt>
                <c:pt idx="93">
                  <c:v>-0.70576196389971035</c:v>
                </c:pt>
                <c:pt idx="94">
                  <c:v>-0.70576196389971035</c:v>
                </c:pt>
                <c:pt idx="95">
                  <c:v>-0.60839510249932038</c:v>
                </c:pt>
                <c:pt idx="96">
                  <c:v>-0.60839510249932038</c:v>
                </c:pt>
                <c:pt idx="97">
                  <c:v>-0.40577129591919803</c:v>
                </c:pt>
                <c:pt idx="98">
                  <c:v>-0.40577129591919803</c:v>
                </c:pt>
                <c:pt idx="99">
                  <c:v>-0.40577129591919803</c:v>
                </c:pt>
                <c:pt idx="100">
                  <c:v>-0.40577129591919803</c:v>
                </c:pt>
                <c:pt idx="101">
                  <c:v>-0.40577129591919803</c:v>
                </c:pt>
                <c:pt idx="102">
                  <c:v>-0.40577129591919803</c:v>
                </c:pt>
                <c:pt idx="103">
                  <c:v>-0.40577129591919803</c:v>
                </c:pt>
                <c:pt idx="104">
                  <c:v>-0.40577129591919803</c:v>
                </c:pt>
                <c:pt idx="105">
                  <c:v>-0.40577129591919803</c:v>
                </c:pt>
                <c:pt idx="106">
                  <c:v>-0.40577129591919803</c:v>
                </c:pt>
                <c:pt idx="107">
                  <c:v>-0.40577129591919803</c:v>
                </c:pt>
                <c:pt idx="108">
                  <c:v>-0.40577129591919803</c:v>
                </c:pt>
                <c:pt idx="109">
                  <c:v>-0.95059779929492272</c:v>
                </c:pt>
                <c:pt idx="110">
                  <c:v>-0.95059779929492272</c:v>
                </c:pt>
                <c:pt idx="111">
                  <c:v>-0.95059779929492272</c:v>
                </c:pt>
                <c:pt idx="112">
                  <c:v>-0.51905410305482069</c:v>
                </c:pt>
                <c:pt idx="113">
                  <c:v>0.10466381012364553</c:v>
                </c:pt>
                <c:pt idx="114">
                  <c:v>0.10466381012364553</c:v>
                </c:pt>
                <c:pt idx="115">
                  <c:v>0.10466381012364553</c:v>
                </c:pt>
                <c:pt idx="116">
                  <c:v>0.10466381012364553</c:v>
                </c:pt>
                <c:pt idx="117">
                  <c:v>0.10466381012364553</c:v>
                </c:pt>
                <c:pt idx="118">
                  <c:v>0.10466381012364553</c:v>
                </c:pt>
                <c:pt idx="119">
                  <c:v>-0.33005174517487113</c:v>
                </c:pt>
                <c:pt idx="120">
                  <c:v>-0.33005174517487113</c:v>
                </c:pt>
                <c:pt idx="121">
                  <c:v>-0.33005174517487113</c:v>
                </c:pt>
                <c:pt idx="122">
                  <c:v>-0.33005174517487113</c:v>
                </c:pt>
                <c:pt idx="123">
                  <c:v>-0.33005174517487113</c:v>
                </c:pt>
                <c:pt idx="124">
                  <c:v>-0.33005174517487113</c:v>
                </c:pt>
                <c:pt idx="125">
                  <c:v>-0.33005174517487113</c:v>
                </c:pt>
                <c:pt idx="126">
                  <c:v>-0.33005174517487113</c:v>
                </c:pt>
                <c:pt idx="127">
                  <c:v>-0.33005174517487113</c:v>
                </c:pt>
                <c:pt idx="128">
                  <c:v>-0.33005174517487113</c:v>
                </c:pt>
                <c:pt idx="129">
                  <c:v>-0.33005174517487113</c:v>
                </c:pt>
                <c:pt idx="130">
                  <c:v>-0.89189843507034017</c:v>
                </c:pt>
                <c:pt idx="131">
                  <c:v>-0.89189843507034017</c:v>
                </c:pt>
                <c:pt idx="132">
                  <c:v>-0.89189843507034017</c:v>
                </c:pt>
                <c:pt idx="133">
                  <c:v>-0.89189843507034017</c:v>
                </c:pt>
                <c:pt idx="134">
                  <c:v>-0.89189843507034017</c:v>
                </c:pt>
                <c:pt idx="135">
                  <c:v>-0.89189843507034017</c:v>
                </c:pt>
                <c:pt idx="136">
                  <c:v>-0.89189843507034017</c:v>
                </c:pt>
                <c:pt idx="137">
                  <c:v>-0.89189843507034017</c:v>
                </c:pt>
                <c:pt idx="138">
                  <c:v>-0.73282395929304378</c:v>
                </c:pt>
                <c:pt idx="139">
                  <c:v>-0.73282395929304378</c:v>
                </c:pt>
                <c:pt idx="140">
                  <c:v>-0.73282395929304378</c:v>
                </c:pt>
                <c:pt idx="141">
                  <c:v>-0.73282395929304378</c:v>
                </c:pt>
                <c:pt idx="142">
                  <c:v>-0.73282395929304378</c:v>
                </c:pt>
                <c:pt idx="143">
                  <c:v>-0.73282395929304378</c:v>
                </c:pt>
                <c:pt idx="144">
                  <c:v>-0.73282395929304378</c:v>
                </c:pt>
                <c:pt idx="145">
                  <c:v>0.60709026000434052</c:v>
                </c:pt>
                <c:pt idx="146">
                  <c:v>0.60709026000434052</c:v>
                </c:pt>
                <c:pt idx="147">
                  <c:v>0.60709026000434052</c:v>
                </c:pt>
                <c:pt idx="148">
                  <c:v>0.60709026000434052</c:v>
                </c:pt>
                <c:pt idx="149">
                  <c:v>0.60709026000434052</c:v>
                </c:pt>
                <c:pt idx="150">
                  <c:v>0.60709026000434052</c:v>
                </c:pt>
                <c:pt idx="151">
                  <c:v>0.60709026000434052</c:v>
                </c:pt>
                <c:pt idx="152">
                  <c:v>0.60709026000434052</c:v>
                </c:pt>
                <c:pt idx="153">
                  <c:v>0.60709026000434052</c:v>
                </c:pt>
                <c:pt idx="154">
                  <c:v>0.60709026000434052</c:v>
                </c:pt>
                <c:pt idx="155">
                  <c:v>0.60709026000434052</c:v>
                </c:pt>
                <c:pt idx="156">
                  <c:v>0.60709026000434052</c:v>
                </c:pt>
                <c:pt idx="157">
                  <c:v>0.60709026000434052</c:v>
                </c:pt>
                <c:pt idx="158">
                  <c:v>0.60709026000434052</c:v>
                </c:pt>
                <c:pt idx="159">
                  <c:v>0.60709026000434052</c:v>
                </c:pt>
                <c:pt idx="160">
                  <c:v>0.60709026000434052</c:v>
                </c:pt>
                <c:pt idx="161">
                  <c:v>1.6865439242722209</c:v>
                </c:pt>
                <c:pt idx="162">
                  <c:v>1.6865439242722209</c:v>
                </c:pt>
                <c:pt idx="163">
                  <c:v>1.6865439242722209</c:v>
                </c:pt>
                <c:pt idx="164">
                  <c:v>1.6865439242722209</c:v>
                </c:pt>
                <c:pt idx="165">
                  <c:v>1.6865439242722209</c:v>
                </c:pt>
                <c:pt idx="166">
                  <c:v>1.6865439242722209</c:v>
                </c:pt>
                <c:pt idx="167">
                  <c:v>1.6865439242722209</c:v>
                </c:pt>
                <c:pt idx="168">
                  <c:v>1.6865439242722209</c:v>
                </c:pt>
                <c:pt idx="169">
                  <c:v>1.6865439242722209</c:v>
                </c:pt>
                <c:pt idx="170">
                  <c:v>1.6865439242722209</c:v>
                </c:pt>
                <c:pt idx="171">
                  <c:v>1.6865439242722209</c:v>
                </c:pt>
                <c:pt idx="172">
                  <c:v>1.6865439242722209</c:v>
                </c:pt>
                <c:pt idx="173">
                  <c:v>1.6865439242722209</c:v>
                </c:pt>
                <c:pt idx="174">
                  <c:v>1.6865439242722209</c:v>
                </c:pt>
                <c:pt idx="175">
                  <c:v>1.6865439242722209</c:v>
                </c:pt>
                <c:pt idx="176">
                  <c:v>1.6865439242722209</c:v>
                </c:pt>
                <c:pt idx="177">
                  <c:v>1.6865439242722209</c:v>
                </c:pt>
                <c:pt idx="178">
                  <c:v>1.6865439242722209</c:v>
                </c:pt>
                <c:pt idx="179">
                  <c:v>1.6865439242722209</c:v>
                </c:pt>
                <c:pt idx="180">
                  <c:v>1.6865439242722209</c:v>
                </c:pt>
                <c:pt idx="181">
                  <c:v>1.6865439242722209</c:v>
                </c:pt>
                <c:pt idx="182">
                  <c:v>1.6865439242722209</c:v>
                </c:pt>
                <c:pt idx="183">
                  <c:v>1.6865439242722209</c:v>
                </c:pt>
                <c:pt idx="184">
                  <c:v>8.0465832331466203E-2</c:v>
                </c:pt>
                <c:pt idx="185">
                  <c:v>8.0465832331466203E-2</c:v>
                </c:pt>
                <c:pt idx="186">
                  <c:v>8.0465832331466203E-2</c:v>
                </c:pt>
                <c:pt idx="187">
                  <c:v>8.0465832331466203E-2</c:v>
                </c:pt>
                <c:pt idx="188">
                  <c:v>8.0465832331466203E-2</c:v>
                </c:pt>
                <c:pt idx="189">
                  <c:v>8.0465832331466203E-2</c:v>
                </c:pt>
                <c:pt idx="190">
                  <c:v>8.0465832331466203E-2</c:v>
                </c:pt>
                <c:pt idx="191">
                  <c:v>8.0465832331466203E-2</c:v>
                </c:pt>
                <c:pt idx="192">
                  <c:v>8.0465832331466203E-2</c:v>
                </c:pt>
                <c:pt idx="193">
                  <c:v>8.0465832331466203E-2</c:v>
                </c:pt>
                <c:pt idx="194">
                  <c:v>8.0465832331466203E-2</c:v>
                </c:pt>
                <c:pt idx="195">
                  <c:v>8.0465832331466203E-2</c:v>
                </c:pt>
                <c:pt idx="196">
                  <c:v>8.0465832331466203E-2</c:v>
                </c:pt>
                <c:pt idx="197">
                  <c:v>8.0465832331466203E-2</c:v>
                </c:pt>
                <c:pt idx="198">
                  <c:v>0.17819735969629541</c:v>
                </c:pt>
                <c:pt idx="199">
                  <c:v>0.17819735969629541</c:v>
                </c:pt>
                <c:pt idx="200">
                  <c:v>0.17819735969629541</c:v>
                </c:pt>
                <c:pt idx="201">
                  <c:v>0.17819735969629541</c:v>
                </c:pt>
                <c:pt idx="202">
                  <c:v>0.17819735969629541</c:v>
                </c:pt>
                <c:pt idx="203">
                  <c:v>2.7207669461081163E-2</c:v>
                </c:pt>
                <c:pt idx="204">
                  <c:v>2.7207669461081163E-2</c:v>
                </c:pt>
                <c:pt idx="205">
                  <c:v>2.7207669461081163E-2</c:v>
                </c:pt>
                <c:pt idx="206">
                  <c:v>1.3959044605547302</c:v>
                </c:pt>
                <c:pt idx="207">
                  <c:v>1.3959044605547302</c:v>
                </c:pt>
                <c:pt idx="208">
                  <c:v>1.3959044605547302</c:v>
                </c:pt>
                <c:pt idx="209">
                  <c:v>1.3959044605547302</c:v>
                </c:pt>
                <c:pt idx="210">
                  <c:v>0.37712328992974087</c:v>
                </c:pt>
                <c:pt idx="211">
                  <c:v>0.37712328992974087</c:v>
                </c:pt>
                <c:pt idx="212">
                  <c:v>0.37712328992974087</c:v>
                </c:pt>
                <c:pt idx="213">
                  <c:v>0.37712328992974087</c:v>
                </c:pt>
                <c:pt idx="214">
                  <c:v>0.37712328992974087</c:v>
                </c:pt>
                <c:pt idx="215">
                  <c:v>0.37712328992974087</c:v>
                </c:pt>
                <c:pt idx="216">
                  <c:v>1.8236830261012313</c:v>
                </c:pt>
                <c:pt idx="217">
                  <c:v>1.8236830261012313</c:v>
                </c:pt>
                <c:pt idx="218">
                  <c:v>1.2996748986282345</c:v>
                </c:pt>
                <c:pt idx="219">
                  <c:v>1.2996748986282345</c:v>
                </c:pt>
                <c:pt idx="220">
                  <c:v>1.2996748986282345</c:v>
                </c:pt>
                <c:pt idx="221">
                  <c:v>1.2996748986282345</c:v>
                </c:pt>
                <c:pt idx="222">
                  <c:v>1.2996748986282345</c:v>
                </c:pt>
                <c:pt idx="223">
                  <c:v>1.2996748986282345</c:v>
                </c:pt>
                <c:pt idx="224">
                  <c:v>1.2996748986282345</c:v>
                </c:pt>
                <c:pt idx="225">
                  <c:v>1.2996748986282345</c:v>
                </c:pt>
                <c:pt idx="226">
                  <c:v>1.2996748986282345</c:v>
                </c:pt>
                <c:pt idx="227">
                  <c:v>1.2996748986282345</c:v>
                </c:pt>
                <c:pt idx="228">
                  <c:v>1.2952184514861527</c:v>
                </c:pt>
                <c:pt idx="229">
                  <c:v>1.2952184514861527</c:v>
                </c:pt>
                <c:pt idx="230">
                  <c:v>1.2952184514861527</c:v>
                </c:pt>
                <c:pt idx="231">
                  <c:v>1.2952184514861527</c:v>
                </c:pt>
                <c:pt idx="232">
                  <c:v>1.2952184514861527</c:v>
                </c:pt>
                <c:pt idx="233">
                  <c:v>1.7486213222545892</c:v>
                </c:pt>
                <c:pt idx="234">
                  <c:v>2.3218289572638984</c:v>
                </c:pt>
                <c:pt idx="235">
                  <c:v>2.0353701309879249</c:v>
                </c:pt>
                <c:pt idx="236">
                  <c:v>2.0353701309879249</c:v>
                </c:pt>
                <c:pt idx="237">
                  <c:v>2.0353701309879249</c:v>
                </c:pt>
                <c:pt idx="238">
                  <c:v>2.0353701309879249</c:v>
                </c:pt>
                <c:pt idx="239">
                  <c:v>2.0353701309879249</c:v>
                </c:pt>
                <c:pt idx="240">
                  <c:v>2.0353701309879249</c:v>
                </c:pt>
                <c:pt idx="241">
                  <c:v>2.0353701309879249</c:v>
                </c:pt>
                <c:pt idx="242">
                  <c:v>2.0353701309879249</c:v>
                </c:pt>
                <c:pt idx="243">
                  <c:v>2.0353701309879249</c:v>
                </c:pt>
                <c:pt idx="244">
                  <c:v>2.0353701309879249</c:v>
                </c:pt>
                <c:pt idx="245">
                  <c:v>2.0353701309879249</c:v>
                </c:pt>
                <c:pt idx="246">
                  <c:v>2.0353701309879249</c:v>
                </c:pt>
                <c:pt idx="247">
                  <c:v>2.0353701309879249</c:v>
                </c:pt>
                <c:pt idx="248">
                  <c:v>2.0353701309879249</c:v>
                </c:pt>
                <c:pt idx="249">
                  <c:v>2.0353701309879249</c:v>
                </c:pt>
                <c:pt idx="250">
                  <c:v>2.4895604025253348</c:v>
                </c:pt>
                <c:pt idx="251">
                  <c:v>2.4895604025253348</c:v>
                </c:pt>
                <c:pt idx="252">
                  <c:v>2.4895604025253348</c:v>
                </c:pt>
                <c:pt idx="253">
                  <c:v>2.4895604025253348</c:v>
                </c:pt>
                <c:pt idx="254">
                  <c:v>2.5482638226376384</c:v>
                </c:pt>
                <c:pt idx="255">
                  <c:v>2.5482638226376384</c:v>
                </c:pt>
                <c:pt idx="256">
                  <c:v>2.5482638226376384</c:v>
                </c:pt>
                <c:pt idx="257">
                  <c:v>2.5482638226376384</c:v>
                </c:pt>
                <c:pt idx="258">
                  <c:v>2.5482638226376384</c:v>
                </c:pt>
                <c:pt idx="259">
                  <c:v>2.5482638226376384</c:v>
                </c:pt>
                <c:pt idx="260">
                  <c:v>2.5482638226376384</c:v>
                </c:pt>
                <c:pt idx="261">
                  <c:v>2.5482638226376384</c:v>
                </c:pt>
                <c:pt idx="262">
                  <c:v>2.818563669431247</c:v>
                </c:pt>
                <c:pt idx="263">
                  <c:v>2.818563669431247</c:v>
                </c:pt>
                <c:pt idx="264">
                  <c:v>2.818563669431247</c:v>
                </c:pt>
                <c:pt idx="265">
                  <c:v>2.818563669431247</c:v>
                </c:pt>
                <c:pt idx="266">
                  <c:v>2.818563669431247</c:v>
                </c:pt>
                <c:pt idx="267">
                  <c:v>2.818563669431247</c:v>
                </c:pt>
                <c:pt idx="268">
                  <c:v>2.818563669431247</c:v>
                </c:pt>
                <c:pt idx="269">
                  <c:v>2.818563669431247</c:v>
                </c:pt>
                <c:pt idx="270">
                  <c:v>3.1256995555326306</c:v>
                </c:pt>
                <c:pt idx="271">
                  <c:v>2.9548783483961012</c:v>
                </c:pt>
                <c:pt idx="272">
                  <c:v>2.9548783483961012</c:v>
                </c:pt>
                <c:pt idx="273">
                  <c:v>2.9548783483961012</c:v>
                </c:pt>
                <c:pt idx="274">
                  <c:v>2.9548783483961012</c:v>
                </c:pt>
                <c:pt idx="275">
                  <c:v>2.9548783483961012</c:v>
                </c:pt>
                <c:pt idx="276">
                  <c:v>2.9548783483961012</c:v>
                </c:pt>
                <c:pt idx="277">
                  <c:v>2.9548783483961012</c:v>
                </c:pt>
                <c:pt idx="278">
                  <c:v>2.9548783483961012</c:v>
                </c:pt>
                <c:pt idx="279">
                  <c:v>2.9548783483961012</c:v>
                </c:pt>
                <c:pt idx="280">
                  <c:v>2.9548783483961012</c:v>
                </c:pt>
                <c:pt idx="281">
                  <c:v>2.9548783483961012</c:v>
                </c:pt>
                <c:pt idx="282">
                  <c:v>2.9548783483961012</c:v>
                </c:pt>
                <c:pt idx="283">
                  <c:v>2.9548783483961012</c:v>
                </c:pt>
                <c:pt idx="284">
                  <c:v>2.9548783483961012</c:v>
                </c:pt>
                <c:pt idx="285">
                  <c:v>2.9548783483961012</c:v>
                </c:pt>
                <c:pt idx="286">
                  <c:v>2.9548783483961012</c:v>
                </c:pt>
                <c:pt idx="287">
                  <c:v>2.9548783483961012</c:v>
                </c:pt>
                <c:pt idx="288">
                  <c:v>2.9548783483961012</c:v>
                </c:pt>
                <c:pt idx="289">
                  <c:v>2.9548783483961012</c:v>
                </c:pt>
                <c:pt idx="290">
                  <c:v>2.9548783483961012</c:v>
                </c:pt>
                <c:pt idx="291">
                  <c:v>2.9548783483961012</c:v>
                </c:pt>
                <c:pt idx="292">
                  <c:v>2.1620591251493844</c:v>
                </c:pt>
                <c:pt idx="293">
                  <c:v>2.1620591251493844</c:v>
                </c:pt>
                <c:pt idx="294">
                  <c:v>2.1620591251493844</c:v>
                </c:pt>
                <c:pt idx="295">
                  <c:v>2.1620591251493844</c:v>
                </c:pt>
                <c:pt idx="296">
                  <c:v>2.1620591251493844</c:v>
                </c:pt>
                <c:pt idx="297">
                  <c:v>2.4342872695277298</c:v>
                </c:pt>
                <c:pt idx="298">
                  <c:v>2.4342872695277298</c:v>
                </c:pt>
                <c:pt idx="299">
                  <c:v>2.4342872695277298</c:v>
                </c:pt>
                <c:pt idx="300">
                  <c:v>2.4342872695277298</c:v>
                </c:pt>
                <c:pt idx="301">
                  <c:v>2.4342872695277298</c:v>
                </c:pt>
                <c:pt idx="302">
                  <c:v>2.4342872695277298</c:v>
                </c:pt>
                <c:pt idx="303">
                  <c:v>2.4342872695277298</c:v>
                </c:pt>
                <c:pt idx="304">
                  <c:v>2.4342872695277298</c:v>
                </c:pt>
                <c:pt idx="305">
                  <c:v>2.4342872695277298</c:v>
                </c:pt>
                <c:pt idx="306">
                  <c:v>2.4342872695277298</c:v>
                </c:pt>
                <c:pt idx="307">
                  <c:v>2.4342872695277298</c:v>
                </c:pt>
                <c:pt idx="308">
                  <c:v>2.4342872695277298</c:v>
                </c:pt>
                <c:pt idx="309">
                  <c:v>2.4342872695277298</c:v>
                </c:pt>
                <c:pt idx="310">
                  <c:v>2.4342872695277298</c:v>
                </c:pt>
                <c:pt idx="311">
                  <c:v>2.4342872695277298</c:v>
                </c:pt>
                <c:pt idx="312">
                  <c:v>2.4342872695277298</c:v>
                </c:pt>
                <c:pt idx="313">
                  <c:v>2.4342872695277298</c:v>
                </c:pt>
                <c:pt idx="314">
                  <c:v>1.6590934710781176</c:v>
                </c:pt>
                <c:pt idx="315">
                  <c:v>1.6590934710781176</c:v>
                </c:pt>
                <c:pt idx="316">
                  <c:v>2.1963384306338343</c:v>
                </c:pt>
                <c:pt idx="317">
                  <c:v>2.1963384306338343</c:v>
                </c:pt>
                <c:pt idx="318">
                  <c:v>2.1963384306338343</c:v>
                </c:pt>
                <c:pt idx="319">
                  <c:v>4.5329143061202144</c:v>
                </c:pt>
                <c:pt idx="320">
                  <c:v>4.5329143061202144</c:v>
                </c:pt>
                <c:pt idx="321">
                  <c:v>4.5329143061202144</c:v>
                </c:pt>
                <c:pt idx="322">
                  <c:v>4.8655972817568163</c:v>
                </c:pt>
                <c:pt idx="323">
                  <c:v>4.8655972817568163</c:v>
                </c:pt>
                <c:pt idx="324">
                  <c:v>4.8655972817568163</c:v>
                </c:pt>
                <c:pt idx="325">
                  <c:v>4.8655972817568163</c:v>
                </c:pt>
                <c:pt idx="326">
                  <c:v>4.8655972817568163</c:v>
                </c:pt>
                <c:pt idx="327">
                  <c:v>4.649806471906599</c:v>
                </c:pt>
                <c:pt idx="328">
                  <c:v>4.649806471906599</c:v>
                </c:pt>
                <c:pt idx="329">
                  <c:v>4.649806471906599</c:v>
                </c:pt>
                <c:pt idx="330">
                  <c:v>4.649806471906599</c:v>
                </c:pt>
                <c:pt idx="331">
                  <c:v>4.649806471906599</c:v>
                </c:pt>
                <c:pt idx="332">
                  <c:v>5.5875354096355405</c:v>
                </c:pt>
                <c:pt idx="333">
                  <c:v>5.5875354096355405</c:v>
                </c:pt>
                <c:pt idx="334">
                  <c:v>5.5875354096355405</c:v>
                </c:pt>
                <c:pt idx="335">
                  <c:v>5.5875354096355405</c:v>
                </c:pt>
                <c:pt idx="336">
                  <c:v>5.5875354096355405</c:v>
                </c:pt>
                <c:pt idx="337">
                  <c:v>5.5875354096355405</c:v>
                </c:pt>
                <c:pt idx="338">
                  <c:v>5.5875354096355405</c:v>
                </c:pt>
                <c:pt idx="339">
                  <c:v>5.5875354096355405</c:v>
                </c:pt>
                <c:pt idx="340">
                  <c:v>5.5875354096355405</c:v>
                </c:pt>
                <c:pt idx="341">
                  <c:v>5.5875354096355405</c:v>
                </c:pt>
                <c:pt idx="342">
                  <c:v>5.5875354096355405</c:v>
                </c:pt>
                <c:pt idx="343">
                  <c:v>5.5875354096355405</c:v>
                </c:pt>
                <c:pt idx="344">
                  <c:v>5.5875354096355405</c:v>
                </c:pt>
                <c:pt idx="345">
                  <c:v>5.5875354096355405</c:v>
                </c:pt>
                <c:pt idx="346">
                  <c:v>5.5875354096355405</c:v>
                </c:pt>
                <c:pt idx="347">
                  <c:v>5.6299884218697258</c:v>
                </c:pt>
                <c:pt idx="348">
                  <c:v>5.6299884218697258</c:v>
                </c:pt>
                <c:pt idx="349">
                  <c:v>5.6299884218697258</c:v>
                </c:pt>
                <c:pt idx="350">
                  <c:v>5.6299884218697258</c:v>
                </c:pt>
                <c:pt idx="351">
                  <c:v>5.6299884218697258</c:v>
                </c:pt>
                <c:pt idx="352">
                  <c:v>5.6299884218697258</c:v>
                </c:pt>
                <c:pt idx="353">
                  <c:v>5.6299884218697258</c:v>
                </c:pt>
                <c:pt idx="354">
                  <c:v>5.6299884218697258</c:v>
                </c:pt>
                <c:pt idx="355">
                  <c:v>5.6299884218697258</c:v>
                </c:pt>
                <c:pt idx="356">
                  <c:v>5.6299884218697258</c:v>
                </c:pt>
                <c:pt idx="357">
                  <c:v>5.6299884218697258</c:v>
                </c:pt>
                <c:pt idx="358">
                  <c:v>5.6299884218697258</c:v>
                </c:pt>
                <c:pt idx="359">
                  <c:v>5.6299884218697258</c:v>
                </c:pt>
                <c:pt idx="360">
                  <c:v>5.6299884218697258</c:v>
                </c:pt>
                <c:pt idx="361">
                  <c:v>5.6299884218697258</c:v>
                </c:pt>
                <c:pt idx="362">
                  <c:v>5.6299884218697258</c:v>
                </c:pt>
                <c:pt idx="363">
                  <c:v>5.6299884218697258</c:v>
                </c:pt>
                <c:pt idx="364">
                  <c:v>5.6299884218697258</c:v>
                </c:pt>
                <c:pt idx="365">
                  <c:v>5.6299884218697258</c:v>
                </c:pt>
                <c:pt idx="366">
                  <c:v>5.6299884218697258</c:v>
                </c:pt>
                <c:pt idx="367">
                  <c:v>5.6299884218697258</c:v>
                </c:pt>
                <c:pt idx="368">
                  <c:v>5.6299884218697258</c:v>
                </c:pt>
                <c:pt idx="369">
                  <c:v>5.6299884218697258</c:v>
                </c:pt>
                <c:pt idx="370">
                  <c:v>5.6299884218697258</c:v>
                </c:pt>
                <c:pt idx="371">
                  <c:v>5.6299884218697258</c:v>
                </c:pt>
                <c:pt idx="372">
                  <c:v>5.6299884218697258</c:v>
                </c:pt>
                <c:pt idx="373">
                  <c:v>6.542386209267514</c:v>
                </c:pt>
                <c:pt idx="374">
                  <c:v>6.542386209267514</c:v>
                </c:pt>
                <c:pt idx="375">
                  <c:v>6.542386209267514</c:v>
                </c:pt>
                <c:pt idx="376">
                  <c:v>6.542386209267514</c:v>
                </c:pt>
                <c:pt idx="377">
                  <c:v>8.9660858695231074</c:v>
                </c:pt>
                <c:pt idx="378">
                  <c:v>8.9660858695231074</c:v>
                </c:pt>
                <c:pt idx="379">
                  <c:v>8.9660858695231074</c:v>
                </c:pt>
                <c:pt idx="380">
                  <c:v>8.9660858695231074</c:v>
                </c:pt>
                <c:pt idx="381">
                  <c:v>8.9660858695231074</c:v>
                </c:pt>
                <c:pt idx="382">
                  <c:v>8.9660858695231074</c:v>
                </c:pt>
                <c:pt idx="383">
                  <c:v>8.9660858695231074</c:v>
                </c:pt>
                <c:pt idx="384">
                  <c:v>8.9660858695231074</c:v>
                </c:pt>
                <c:pt idx="385">
                  <c:v>8.9660858695231074</c:v>
                </c:pt>
                <c:pt idx="386">
                  <c:v>8.9660858695231074</c:v>
                </c:pt>
                <c:pt idx="387">
                  <c:v>8.9660858695231074</c:v>
                </c:pt>
                <c:pt idx="388">
                  <c:v>8.9660858695231074</c:v>
                </c:pt>
                <c:pt idx="389">
                  <c:v>8.9660858695231074</c:v>
                </c:pt>
                <c:pt idx="390">
                  <c:v>8.9660858695231074</c:v>
                </c:pt>
                <c:pt idx="391">
                  <c:v>8.9660858695231074</c:v>
                </c:pt>
                <c:pt idx="392">
                  <c:v>8.9660858695231074</c:v>
                </c:pt>
                <c:pt idx="393">
                  <c:v>8.9660858695231074</c:v>
                </c:pt>
                <c:pt idx="394">
                  <c:v>10.30250324294896</c:v>
                </c:pt>
                <c:pt idx="395">
                  <c:v>10.30250324294896</c:v>
                </c:pt>
                <c:pt idx="396">
                  <c:v>10.30250324294896</c:v>
                </c:pt>
                <c:pt idx="397">
                  <c:v>10.30250324294896</c:v>
                </c:pt>
                <c:pt idx="398">
                  <c:v>10.30250324294896</c:v>
                </c:pt>
                <c:pt idx="399">
                  <c:v>10.30250324294896</c:v>
                </c:pt>
                <c:pt idx="400">
                  <c:v>10.30250324294896</c:v>
                </c:pt>
                <c:pt idx="401">
                  <c:v>10.30250324294896</c:v>
                </c:pt>
                <c:pt idx="402">
                  <c:v>10.30250324294896</c:v>
                </c:pt>
                <c:pt idx="403">
                  <c:v>10.30250324294896</c:v>
                </c:pt>
                <c:pt idx="404">
                  <c:v>10.30250324294896</c:v>
                </c:pt>
                <c:pt idx="405">
                  <c:v>10.30250324294896</c:v>
                </c:pt>
                <c:pt idx="406">
                  <c:v>10.30250324294896</c:v>
                </c:pt>
                <c:pt idx="407">
                  <c:v>10.30250324294896</c:v>
                </c:pt>
                <c:pt idx="408">
                  <c:v>10.30250324294896</c:v>
                </c:pt>
                <c:pt idx="409">
                  <c:v>10.30250324294896</c:v>
                </c:pt>
                <c:pt idx="410">
                  <c:v>10.30250324294896</c:v>
                </c:pt>
                <c:pt idx="411">
                  <c:v>10.30250324294896</c:v>
                </c:pt>
                <c:pt idx="412">
                  <c:v>10.30250324294896</c:v>
                </c:pt>
                <c:pt idx="413">
                  <c:v>10.30250324294896</c:v>
                </c:pt>
                <c:pt idx="414">
                  <c:v>10.30250324294896</c:v>
                </c:pt>
                <c:pt idx="415">
                  <c:v>10.30250324294896</c:v>
                </c:pt>
                <c:pt idx="416">
                  <c:v>10.30250324294896</c:v>
                </c:pt>
                <c:pt idx="417">
                  <c:v>10.30250324294896</c:v>
                </c:pt>
                <c:pt idx="418">
                  <c:v>10.30250324294896</c:v>
                </c:pt>
              </c:numCache>
            </c:numRef>
          </c:val>
          <c:smooth val="1"/>
          <c:extLst>
            <c:ext xmlns:c16="http://schemas.microsoft.com/office/drawing/2014/chart" uri="{C3380CC4-5D6E-409C-BE32-E72D297353CC}">
              <c16:uniqueId val="{00000003-2ABD-4318-B417-168281218F10}"/>
            </c:ext>
          </c:extLst>
        </c:ser>
        <c:dLbls>
          <c:showLegendKey val="0"/>
          <c:showVal val="0"/>
          <c:showCatName val="0"/>
          <c:showSerName val="0"/>
          <c:showPercent val="0"/>
          <c:showBubbleSize val="0"/>
        </c:dLbls>
        <c:smooth val="0"/>
        <c:axId val="147683023"/>
        <c:axId val="146645279"/>
        <c:extLst>
          <c:ext xmlns:c15="http://schemas.microsoft.com/office/drawing/2012/chart" uri="{02D57815-91ED-43cb-92C2-25804820EDAC}">
            <c15:filteredLineSeries>
              <c15:ser>
                <c:idx val="5"/>
                <c:order val="1"/>
                <c:tx>
                  <c:v>Up (MOC)</c:v>
                </c:tx>
                <c:spPr>
                  <a:ln w="28575" cap="rnd">
                    <a:solidFill>
                      <a:schemeClr val="accent6"/>
                    </a:solidFill>
                    <a:prstDash val="sysDash"/>
                    <a:round/>
                  </a:ln>
                  <a:effectLst/>
                </c:spPr>
                <c:marker>
                  <c:symbol val="none"/>
                </c:marker>
                <c:val>
                  <c:numRef>
                    <c:extLst>
                      <c:ext uri="{02D57815-91ED-43cb-92C2-25804820EDAC}">
                        <c15:formulaRef>
                          <c15:sqref>'2025-Q2'!$AX$4:$AX$350</c15:sqref>
                        </c15:formulaRef>
                      </c:ext>
                    </c:extLst>
                    <c:numCache>
                      <c:formatCode>"$"#,##0</c:formatCode>
                      <c:ptCount val="34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59.839999999999918</c:v>
                      </c:pt>
                      <c:pt idx="40">
                        <c:v>59.839999999999918</c:v>
                      </c:pt>
                      <c:pt idx="41">
                        <c:v>59.839999999999918</c:v>
                      </c:pt>
                      <c:pt idx="42">
                        <c:v>59.839999999999918</c:v>
                      </c:pt>
                      <c:pt idx="43">
                        <c:v>59.839999999999918</c:v>
                      </c:pt>
                      <c:pt idx="44">
                        <c:v>59.839999999999918</c:v>
                      </c:pt>
                      <c:pt idx="45">
                        <c:v>59.839999999999918</c:v>
                      </c:pt>
                      <c:pt idx="46">
                        <c:v>59.839999999999918</c:v>
                      </c:pt>
                      <c:pt idx="47">
                        <c:v>-74.660000000000196</c:v>
                      </c:pt>
                      <c:pt idx="48">
                        <c:v>-74.660000000000196</c:v>
                      </c:pt>
                      <c:pt idx="49">
                        <c:v>-74.660000000000196</c:v>
                      </c:pt>
                      <c:pt idx="50">
                        <c:v>-74.660000000000196</c:v>
                      </c:pt>
                      <c:pt idx="51">
                        <c:v>-74.660000000000196</c:v>
                      </c:pt>
                      <c:pt idx="52">
                        <c:v>-74.660000000000196</c:v>
                      </c:pt>
                      <c:pt idx="53">
                        <c:v>-74.660000000000196</c:v>
                      </c:pt>
                      <c:pt idx="54">
                        <c:v>-74.660000000000196</c:v>
                      </c:pt>
                      <c:pt idx="55">
                        <c:v>-74.660000000000196</c:v>
                      </c:pt>
                      <c:pt idx="56">
                        <c:v>-74.660000000000196</c:v>
                      </c:pt>
                      <c:pt idx="57">
                        <c:v>-74.660000000000196</c:v>
                      </c:pt>
                      <c:pt idx="58">
                        <c:v>-74.660000000000196</c:v>
                      </c:pt>
                      <c:pt idx="59">
                        <c:v>-74.660000000000196</c:v>
                      </c:pt>
                      <c:pt idx="60">
                        <c:v>-74.660000000000196</c:v>
                      </c:pt>
                      <c:pt idx="61">
                        <c:v>-74.660000000000196</c:v>
                      </c:pt>
                      <c:pt idx="62">
                        <c:v>-74.660000000000196</c:v>
                      </c:pt>
                      <c:pt idx="63">
                        <c:v>-74.660000000000196</c:v>
                      </c:pt>
                      <c:pt idx="64">
                        <c:v>-74.660000000000196</c:v>
                      </c:pt>
                      <c:pt idx="65">
                        <c:v>-74.660000000000196</c:v>
                      </c:pt>
                      <c:pt idx="66">
                        <c:v>-74.660000000000196</c:v>
                      </c:pt>
                      <c:pt idx="67">
                        <c:v>-74.660000000000196</c:v>
                      </c:pt>
                      <c:pt idx="68">
                        <c:v>-74.660000000000196</c:v>
                      </c:pt>
                      <c:pt idx="69">
                        <c:v>-54.660000000000196</c:v>
                      </c:pt>
                      <c:pt idx="70">
                        <c:v>-54.660000000000196</c:v>
                      </c:pt>
                      <c:pt idx="71">
                        <c:v>-66.900000000000205</c:v>
                      </c:pt>
                      <c:pt idx="72">
                        <c:v>-66.900000000000205</c:v>
                      </c:pt>
                      <c:pt idx="73">
                        <c:v>-66.900000000000205</c:v>
                      </c:pt>
                      <c:pt idx="74">
                        <c:v>-66.900000000000205</c:v>
                      </c:pt>
                      <c:pt idx="75">
                        <c:v>-66.900000000000205</c:v>
                      </c:pt>
                      <c:pt idx="76">
                        <c:v>-66.900000000000205</c:v>
                      </c:pt>
                      <c:pt idx="77">
                        <c:v>-66.900000000000205</c:v>
                      </c:pt>
                      <c:pt idx="78">
                        <c:v>-66.900000000000205</c:v>
                      </c:pt>
                      <c:pt idx="79">
                        <c:v>-66.900000000000205</c:v>
                      </c:pt>
                      <c:pt idx="80">
                        <c:v>-66.900000000000205</c:v>
                      </c:pt>
                      <c:pt idx="81">
                        <c:v>-66.900000000000205</c:v>
                      </c:pt>
                      <c:pt idx="82">
                        <c:v>-66.900000000000205</c:v>
                      </c:pt>
                      <c:pt idx="83">
                        <c:v>-66.900000000000205</c:v>
                      </c:pt>
                      <c:pt idx="84">
                        <c:v>-66.900000000000205</c:v>
                      </c:pt>
                      <c:pt idx="85">
                        <c:v>-66.900000000000205</c:v>
                      </c:pt>
                      <c:pt idx="86">
                        <c:v>-66.900000000000205</c:v>
                      </c:pt>
                      <c:pt idx="87">
                        <c:v>-66.900000000000205</c:v>
                      </c:pt>
                      <c:pt idx="88">
                        <c:v>-66.900000000000205</c:v>
                      </c:pt>
                      <c:pt idx="89">
                        <c:v>-66.900000000000205</c:v>
                      </c:pt>
                      <c:pt idx="90">
                        <c:v>-66.900000000000205</c:v>
                      </c:pt>
                      <c:pt idx="91">
                        <c:v>-66.900000000000205</c:v>
                      </c:pt>
                      <c:pt idx="92">
                        <c:v>-66.900000000000205</c:v>
                      </c:pt>
                      <c:pt idx="93">
                        <c:v>-66.900000000000205</c:v>
                      </c:pt>
                      <c:pt idx="94">
                        <c:v>-66.900000000000205</c:v>
                      </c:pt>
                      <c:pt idx="95">
                        <c:v>-66.900000000000205</c:v>
                      </c:pt>
                      <c:pt idx="96">
                        <c:v>-66.900000000000205</c:v>
                      </c:pt>
                      <c:pt idx="97">
                        <c:v>-66.900000000000205</c:v>
                      </c:pt>
                      <c:pt idx="98">
                        <c:v>-66.900000000000205</c:v>
                      </c:pt>
                      <c:pt idx="99">
                        <c:v>-66.900000000000205</c:v>
                      </c:pt>
                      <c:pt idx="100">
                        <c:v>-66.900000000000205</c:v>
                      </c:pt>
                      <c:pt idx="101">
                        <c:v>-66.900000000000205</c:v>
                      </c:pt>
                      <c:pt idx="102">
                        <c:v>-66.900000000000205</c:v>
                      </c:pt>
                      <c:pt idx="103">
                        <c:v>-184.54000000000019</c:v>
                      </c:pt>
                      <c:pt idx="104">
                        <c:v>-184.54000000000019</c:v>
                      </c:pt>
                      <c:pt idx="105">
                        <c:v>-184.54000000000019</c:v>
                      </c:pt>
                      <c:pt idx="106">
                        <c:v>-173.34000000000015</c:v>
                      </c:pt>
                      <c:pt idx="107">
                        <c:v>-173.34000000000015</c:v>
                      </c:pt>
                      <c:pt idx="108">
                        <c:v>-173.34000000000015</c:v>
                      </c:pt>
                      <c:pt idx="109">
                        <c:v>-173.34000000000015</c:v>
                      </c:pt>
                      <c:pt idx="110">
                        <c:v>-173.34000000000015</c:v>
                      </c:pt>
                      <c:pt idx="111">
                        <c:v>-173.34000000000015</c:v>
                      </c:pt>
                      <c:pt idx="112">
                        <c:v>-173.34000000000015</c:v>
                      </c:pt>
                      <c:pt idx="113">
                        <c:v>-173.34000000000015</c:v>
                      </c:pt>
                      <c:pt idx="114">
                        <c:v>-173.34000000000015</c:v>
                      </c:pt>
                      <c:pt idx="115">
                        <c:v>-173.34000000000015</c:v>
                      </c:pt>
                      <c:pt idx="116">
                        <c:v>-173.34000000000015</c:v>
                      </c:pt>
                      <c:pt idx="117">
                        <c:v>-173.34000000000015</c:v>
                      </c:pt>
                      <c:pt idx="118">
                        <c:v>-173.34000000000015</c:v>
                      </c:pt>
                      <c:pt idx="119">
                        <c:v>-173.34000000000015</c:v>
                      </c:pt>
                      <c:pt idx="120">
                        <c:v>-173.34000000000015</c:v>
                      </c:pt>
                      <c:pt idx="121">
                        <c:v>-174.74000000000024</c:v>
                      </c:pt>
                      <c:pt idx="122">
                        <c:v>-174.74000000000024</c:v>
                      </c:pt>
                      <c:pt idx="123">
                        <c:v>-174.74000000000024</c:v>
                      </c:pt>
                      <c:pt idx="124">
                        <c:v>-174.74000000000024</c:v>
                      </c:pt>
                      <c:pt idx="125">
                        <c:v>-174.74000000000024</c:v>
                      </c:pt>
                      <c:pt idx="126">
                        <c:v>-174.74000000000024</c:v>
                      </c:pt>
                      <c:pt idx="127">
                        <c:v>-174.74000000000024</c:v>
                      </c:pt>
                      <c:pt idx="128">
                        <c:v>-174.74000000000024</c:v>
                      </c:pt>
                      <c:pt idx="129">
                        <c:v>-174.74000000000024</c:v>
                      </c:pt>
                      <c:pt idx="130">
                        <c:v>-174.74000000000024</c:v>
                      </c:pt>
                      <c:pt idx="131">
                        <c:v>-174.74000000000024</c:v>
                      </c:pt>
                      <c:pt idx="132">
                        <c:v>-174.74000000000024</c:v>
                      </c:pt>
                      <c:pt idx="133">
                        <c:v>-174.74000000000024</c:v>
                      </c:pt>
                      <c:pt idx="134">
                        <c:v>-174.74000000000024</c:v>
                      </c:pt>
                      <c:pt idx="135">
                        <c:v>-174.74000000000024</c:v>
                      </c:pt>
                      <c:pt idx="136">
                        <c:v>-174.74000000000024</c:v>
                      </c:pt>
                      <c:pt idx="137">
                        <c:v>-163.1400000000001</c:v>
                      </c:pt>
                      <c:pt idx="138">
                        <c:v>-163.1400000000001</c:v>
                      </c:pt>
                      <c:pt idx="139">
                        <c:v>-163.1400000000001</c:v>
                      </c:pt>
                      <c:pt idx="140">
                        <c:v>-163.1400000000001</c:v>
                      </c:pt>
                      <c:pt idx="141">
                        <c:v>-163.1400000000001</c:v>
                      </c:pt>
                      <c:pt idx="142">
                        <c:v>-163.1400000000001</c:v>
                      </c:pt>
                      <c:pt idx="143">
                        <c:v>-163.1400000000001</c:v>
                      </c:pt>
                      <c:pt idx="144">
                        <c:v>-163.1400000000001</c:v>
                      </c:pt>
                      <c:pt idx="145">
                        <c:v>-163.1400000000001</c:v>
                      </c:pt>
                      <c:pt idx="146">
                        <c:v>-163.1400000000001</c:v>
                      </c:pt>
                      <c:pt idx="147">
                        <c:v>-163.1400000000001</c:v>
                      </c:pt>
                      <c:pt idx="148">
                        <c:v>-163.1400000000001</c:v>
                      </c:pt>
                      <c:pt idx="149">
                        <c:v>-163.1400000000001</c:v>
                      </c:pt>
                      <c:pt idx="150">
                        <c:v>-163.1400000000001</c:v>
                      </c:pt>
                      <c:pt idx="151">
                        <c:v>-163.1400000000001</c:v>
                      </c:pt>
                      <c:pt idx="152">
                        <c:v>-163.1400000000001</c:v>
                      </c:pt>
                      <c:pt idx="153">
                        <c:v>-163.1400000000001</c:v>
                      </c:pt>
                      <c:pt idx="154">
                        <c:v>-163.1400000000001</c:v>
                      </c:pt>
                      <c:pt idx="155">
                        <c:v>-163.1400000000001</c:v>
                      </c:pt>
                      <c:pt idx="156">
                        <c:v>-163.1400000000001</c:v>
                      </c:pt>
                      <c:pt idx="157">
                        <c:v>-163.1400000000001</c:v>
                      </c:pt>
                      <c:pt idx="158">
                        <c:v>-163.1400000000001</c:v>
                      </c:pt>
                      <c:pt idx="159">
                        <c:v>-163.1400000000001</c:v>
                      </c:pt>
                      <c:pt idx="160">
                        <c:v>-163.1400000000001</c:v>
                      </c:pt>
                      <c:pt idx="161">
                        <c:v>-163.1400000000001</c:v>
                      </c:pt>
                      <c:pt idx="162">
                        <c:v>-163.1400000000001</c:v>
                      </c:pt>
                      <c:pt idx="163">
                        <c:v>-163.1400000000001</c:v>
                      </c:pt>
                      <c:pt idx="164">
                        <c:v>-163.1400000000001</c:v>
                      </c:pt>
                      <c:pt idx="165">
                        <c:v>-163.1400000000001</c:v>
                      </c:pt>
                      <c:pt idx="166">
                        <c:v>-163.1400000000001</c:v>
                      </c:pt>
                      <c:pt idx="167">
                        <c:v>-163.1400000000001</c:v>
                      </c:pt>
                      <c:pt idx="168">
                        <c:v>-163.1400000000001</c:v>
                      </c:pt>
                      <c:pt idx="169">
                        <c:v>-163.1400000000001</c:v>
                      </c:pt>
                      <c:pt idx="170">
                        <c:v>-163.1400000000001</c:v>
                      </c:pt>
                      <c:pt idx="171">
                        <c:v>-163.1400000000001</c:v>
                      </c:pt>
                      <c:pt idx="172">
                        <c:v>-163.1400000000001</c:v>
                      </c:pt>
                      <c:pt idx="173">
                        <c:v>-163.1400000000001</c:v>
                      </c:pt>
                      <c:pt idx="174">
                        <c:v>-163.1400000000001</c:v>
                      </c:pt>
                      <c:pt idx="175">
                        <c:v>-163.1400000000001</c:v>
                      </c:pt>
                      <c:pt idx="176">
                        <c:v>-163.1400000000001</c:v>
                      </c:pt>
                      <c:pt idx="177">
                        <c:v>-163.1400000000001</c:v>
                      </c:pt>
                      <c:pt idx="178">
                        <c:v>-163.1400000000001</c:v>
                      </c:pt>
                      <c:pt idx="179">
                        <c:v>-163.1400000000001</c:v>
                      </c:pt>
                      <c:pt idx="180">
                        <c:v>-163.1400000000001</c:v>
                      </c:pt>
                      <c:pt idx="181">
                        <c:v>-163.1400000000001</c:v>
                      </c:pt>
                      <c:pt idx="182">
                        <c:v>-163.1400000000001</c:v>
                      </c:pt>
                      <c:pt idx="183">
                        <c:v>-163.1400000000001</c:v>
                      </c:pt>
                      <c:pt idx="184">
                        <c:v>-163.1400000000001</c:v>
                      </c:pt>
                      <c:pt idx="185">
                        <c:v>-163.1400000000001</c:v>
                      </c:pt>
                      <c:pt idx="186">
                        <c:v>-163.1400000000001</c:v>
                      </c:pt>
                      <c:pt idx="187">
                        <c:v>-163.1400000000001</c:v>
                      </c:pt>
                      <c:pt idx="188">
                        <c:v>-163.1400000000001</c:v>
                      </c:pt>
                      <c:pt idx="189">
                        <c:v>-163.1400000000001</c:v>
                      </c:pt>
                      <c:pt idx="190">
                        <c:v>-163.1400000000001</c:v>
                      </c:pt>
                      <c:pt idx="191">
                        <c:v>-163.1400000000001</c:v>
                      </c:pt>
                      <c:pt idx="192">
                        <c:v>-163.1400000000001</c:v>
                      </c:pt>
                      <c:pt idx="193">
                        <c:v>-163.1400000000001</c:v>
                      </c:pt>
                      <c:pt idx="194">
                        <c:v>-163.1400000000001</c:v>
                      </c:pt>
                      <c:pt idx="195">
                        <c:v>-163.1400000000001</c:v>
                      </c:pt>
                      <c:pt idx="196">
                        <c:v>-163.1400000000001</c:v>
                      </c:pt>
                      <c:pt idx="197">
                        <c:v>-163.1400000000001</c:v>
                      </c:pt>
                      <c:pt idx="198">
                        <c:v>-163.1400000000001</c:v>
                      </c:pt>
                      <c:pt idx="199">
                        <c:v>-163.1400000000001</c:v>
                      </c:pt>
                      <c:pt idx="200">
                        <c:v>-181.17000000000007</c:v>
                      </c:pt>
                      <c:pt idx="201">
                        <c:v>-181.17000000000007</c:v>
                      </c:pt>
                      <c:pt idx="202">
                        <c:v>-181.17000000000007</c:v>
                      </c:pt>
                      <c:pt idx="203">
                        <c:v>-151.49</c:v>
                      </c:pt>
                      <c:pt idx="204">
                        <c:v>-151.49</c:v>
                      </c:pt>
                      <c:pt idx="205">
                        <c:v>-151.49</c:v>
                      </c:pt>
                      <c:pt idx="206">
                        <c:v>-151.49</c:v>
                      </c:pt>
                      <c:pt idx="207">
                        <c:v>-151.49</c:v>
                      </c:pt>
                      <c:pt idx="208">
                        <c:v>-151.49</c:v>
                      </c:pt>
                      <c:pt idx="209">
                        <c:v>-151.49</c:v>
                      </c:pt>
                      <c:pt idx="210">
                        <c:v>-151.49</c:v>
                      </c:pt>
                      <c:pt idx="211">
                        <c:v>-151.49</c:v>
                      </c:pt>
                      <c:pt idx="212">
                        <c:v>-151.49</c:v>
                      </c:pt>
                      <c:pt idx="213">
                        <c:v>-151.49</c:v>
                      </c:pt>
                      <c:pt idx="214">
                        <c:v>-151.49</c:v>
                      </c:pt>
                      <c:pt idx="215">
                        <c:v>-151.49</c:v>
                      </c:pt>
                      <c:pt idx="216">
                        <c:v>-151.49</c:v>
                      </c:pt>
                      <c:pt idx="217">
                        <c:v>-85.340000000000032</c:v>
                      </c:pt>
                      <c:pt idx="218">
                        <c:v>-85.340000000000032</c:v>
                      </c:pt>
                      <c:pt idx="219">
                        <c:v>-85.340000000000032</c:v>
                      </c:pt>
                      <c:pt idx="220">
                        <c:v>-85.340000000000032</c:v>
                      </c:pt>
                      <c:pt idx="221">
                        <c:v>-85.340000000000032</c:v>
                      </c:pt>
                      <c:pt idx="222">
                        <c:v>-85.340000000000032</c:v>
                      </c:pt>
                      <c:pt idx="223">
                        <c:v>-142.90000000000009</c:v>
                      </c:pt>
                      <c:pt idx="224">
                        <c:v>-142.90000000000009</c:v>
                      </c:pt>
                      <c:pt idx="225">
                        <c:v>-142.90000000000009</c:v>
                      </c:pt>
                      <c:pt idx="226">
                        <c:v>-142.90000000000009</c:v>
                      </c:pt>
                      <c:pt idx="227">
                        <c:v>-142.90000000000009</c:v>
                      </c:pt>
                      <c:pt idx="228">
                        <c:v>-142.90000000000009</c:v>
                      </c:pt>
                      <c:pt idx="229">
                        <c:v>-142.90000000000009</c:v>
                      </c:pt>
                      <c:pt idx="230">
                        <c:v>-142.90000000000009</c:v>
                      </c:pt>
                      <c:pt idx="231">
                        <c:v>-142.90000000000009</c:v>
                      </c:pt>
                      <c:pt idx="232">
                        <c:v>-142.90000000000009</c:v>
                      </c:pt>
                      <c:pt idx="233">
                        <c:v>-142.90000000000009</c:v>
                      </c:pt>
                      <c:pt idx="234">
                        <c:v>-142.90000000000009</c:v>
                      </c:pt>
                      <c:pt idx="235">
                        <c:v>-142.90000000000009</c:v>
                      </c:pt>
                      <c:pt idx="236">
                        <c:v>-142.90000000000009</c:v>
                      </c:pt>
                      <c:pt idx="237">
                        <c:v>-142.90000000000009</c:v>
                      </c:pt>
                      <c:pt idx="238">
                        <c:v>-142.90000000000009</c:v>
                      </c:pt>
                      <c:pt idx="239">
                        <c:v>-142.90000000000009</c:v>
                      </c:pt>
                      <c:pt idx="240">
                        <c:v>-132.30000000000018</c:v>
                      </c:pt>
                      <c:pt idx="241">
                        <c:v>-132.30000000000018</c:v>
                      </c:pt>
                      <c:pt idx="242">
                        <c:v>-132.30000000000018</c:v>
                      </c:pt>
                      <c:pt idx="243">
                        <c:v>-132.30000000000018</c:v>
                      </c:pt>
                      <c:pt idx="244">
                        <c:v>-132.30000000000018</c:v>
                      </c:pt>
                      <c:pt idx="245">
                        <c:v>-132.30000000000018</c:v>
                      </c:pt>
                      <c:pt idx="246">
                        <c:v>-132.30000000000018</c:v>
                      </c:pt>
                      <c:pt idx="247">
                        <c:v>-132.30000000000018</c:v>
                      </c:pt>
                      <c:pt idx="248">
                        <c:v>-132.30000000000018</c:v>
                      </c:pt>
                      <c:pt idx="249">
                        <c:v>-132.30000000000018</c:v>
                      </c:pt>
                      <c:pt idx="250">
                        <c:v>-132.30000000000018</c:v>
                      </c:pt>
                      <c:pt idx="251">
                        <c:v>-132.30000000000018</c:v>
                      </c:pt>
                      <c:pt idx="252">
                        <c:v>-132.30000000000018</c:v>
                      </c:pt>
                      <c:pt idx="253">
                        <c:v>-132.30000000000018</c:v>
                      </c:pt>
                      <c:pt idx="254">
                        <c:v>-132.30000000000018</c:v>
                      </c:pt>
                      <c:pt idx="255">
                        <c:v>-132.30000000000018</c:v>
                      </c:pt>
                      <c:pt idx="256">
                        <c:v>-132.30000000000018</c:v>
                      </c:pt>
                      <c:pt idx="257">
                        <c:v>-269.63053243920194</c:v>
                      </c:pt>
                      <c:pt idx="258">
                        <c:v>-299.03053243920203</c:v>
                      </c:pt>
                      <c:pt idx="259">
                        <c:v>-299.03053243920203</c:v>
                      </c:pt>
                      <c:pt idx="260">
                        <c:v>-299.03053243920203</c:v>
                      </c:pt>
                      <c:pt idx="261">
                        <c:v>-299.03053243920203</c:v>
                      </c:pt>
                      <c:pt idx="262">
                        <c:v>-299.03053243920203</c:v>
                      </c:pt>
                      <c:pt idx="263">
                        <c:v>-299.03053243920203</c:v>
                      </c:pt>
                      <c:pt idx="264">
                        <c:v>-299.03053243920203</c:v>
                      </c:pt>
                      <c:pt idx="265">
                        <c:v>-299.03053243920203</c:v>
                      </c:pt>
                      <c:pt idx="266">
                        <c:v>-299.03053243920203</c:v>
                      </c:pt>
                      <c:pt idx="267">
                        <c:v>-299.03053243920203</c:v>
                      </c:pt>
                      <c:pt idx="268">
                        <c:v>-299.03053243920203</c:v>
                      </c:pt>
                      <c:pt idx="269">
                        <c:v>-299.03053243920203</c:v>
                      </c:pt>
                      <c:pt idx="270">
                        <c:v>-299.03053243920203</c:v>
                      </c:pt>
                      <c:pt idx="271">
                        <c:v>-299.03053243920203</c:v>
                      </c:pt>
                      <c:pt idx="272">
                        <c:v>-299.03053243920203</c:v>
                      </c:pt>
                      <c:pt idx="273">
                        <c:v>-385.38106797961109</c:v>
                      </c:pt>
                      <c:pt idx="274">
                        <c:v>-385.38106797961109</c:v>
                      </c:pt>
                      <c:pt idx="275">
                        <c:v>-385.38106797961109</c:v>
                      </c:pt>
                      <c:pt idx="276">
                        <c:v>-385.38106797961109</c:v>
                      </c:pt>
                      <c:pt idx="277">
                        <c:v>-377.70106797961103</c:v>
                      </c:pt>
                      <c:pt idx="278">
                        <c:v>-377.70106797961103</c:v>
                      </c:pt>
                      <c:pt idx="279">
                        <c:v>-377.70106797961103</c:v>
                      </c:pt>
                      <c:pt idx="280">
                        <c:v>-377.70106797961103</c:v>
                      </c:pt>
                      <c:pt idx="281">
                        <c:v>-377.70106797961103</c:v>
                      </c:pt>
                      <c:pt idx="282">
                        <c:v>-377.70106797961103</c:v>
                      </c:pt>
                      <c:pt idx="283">
                        <c:v>-377.70106797961103</c:v>
                      </c:pt>
                      <c:pt idx="284">
                        <c:v>-377.70106797961103</c:v>
                      </c:pt>
                      <c:pt idx="285">
                        <c:v>-377.70106797961103</c:v>
                      </c:pt>
                      <c:pt idx="286">
                        <c:v>-377.70106797961103</c:v>
                      </c:pt>
                      <c:pt idx="287">
                        <c:v>-377.70106797961103</c:v>
                      </c:pt>
                      <c:pt idx="288">
                        <c:v>-377.70106797961103</c:v>
                      </c:pt>
                      <c:pt idx="289">
                        <c:v>-377.70106797961103</c:v>
                      </c:pt>
                      <c:pt idx="290">
                        <c:v>-366.42106797961105</c:v>
                      </c:pt>
                      <c:pt idx="291">
                        <c:v>-366.42106797961105</c:v>
                      </c:pt>
                      <c:pt idx="292">
                        <c:v>-366.42106797961105</c:v>
                      </c:pt>
                      <c:pt idx="293">
                        <c:v>-366.42106797961105</c:v>
                      </c:pt>
                      <c:pt idx="294">
                        <c:v>-366.42106797961105</c:v>
                      </c:pt>
                      <c:pt idx="295">
                        <c:v>-394.76106797961097</c:v>
                      </c:pt>
                      <c:pt idx="296">
                        <c:v>-394.76106797961097</c:v>
                      </c:pt>
                      <c:pt idx="297">
                        <c:v>-339.68106797961104</c:v>
                      </c:pt>
                      <c:pt idx="298">
                        <c:v>-339.68106797961104</c:v>
                      </c:pt>
                      <c:pt idx="299">
                        <c:v>-339.68106797961104</c:v>
                      </c:pt>
                      <c:pt idx="300">
                        <c:v>-339.68106797961104</c:v>
                      </c:pt>
                      <c:pt idx="301">
                        <c:v>-339.68106797961104</c:v>
                      </c:pt>
                      <c:pt idx="302">
                        <c:v>-339.68106797961104</c:v>
                      </c:pt>
                      <c:pt idx="303">
                        <c:v>-339.68106797961104</c:v>
                      </c:pt>
                      <c:pt idx="304">
                        <c:v>-438.46106797961124</c:v>
                      </c:pt>
                      <c:pt idx="305">
                        <c:v>-438.46106797961124</c:v>
                      </c:pt>
                      <c:pt idx="306">
                        <c:v>-438.46106797961124</c:v>
                      </c:pt>
                      <c:pt idx="307">
                        <c:v>-438.46106797961124</c:v>
                      </c:pt>
                      <c:pt idx="308">
                        <c:v>-438.46106797961124</c:v>
                      </c:pt>
                      <c:pt idx="309">
                        <c:v>-390.96106797961124</c:v>
                      </c:pt>
                      <c:pt idx="310">
                        <c:v>-390.96106797961124</c:v>
                      </c:pt>
                      <c:pt idx="311">
                        <c:v>-390.96106797961124</c:v>
                      </c:pt>
                      <c:pt idx="312">
                        <c:v>-390.96106797961124</c:v>
                      </c:pt>
                      <c:pt idx="313">
                        <c:v>-349.11106797961111</c:v>
                      </c:pt>
                      <c:pt idx="314">
                        <c:v>-349.11106797961111</c:v>
                      </c:pt>
                      <c:pt idx="315">
                        <c:v>-349.11106797961111</c:v>
                      </c:pt>
                      <c:pt idx="316">
                        <c:v>-342.69106797961103</c:v>
                      </c:pt>
                      <c:pt idx="317">
                        <c:v>-340.17106797961105</c:v>
                      </c:pt>
                      <c:pt idx="318">
                        <c:v>-340.17106797961105</c:v>
                      </c:pt>
                      <c:pt idx="319">
                        <c:v>-340.17106797961105</c:v>
                      </c:pt>
                      <c:pt idx="320">
                        <c:v>-340.17106797961105</c:v>
                      </c:pt>
                      <c:pt idx="321">
                        <c:v>-340.17106797961105</c:v>
                      </c:pt>
                      <c:pt idx="322">
                        <c:v>-340.17106797961105</c:v>
                      </c:pt>
                      <c:pt idx="323">
                        <c:v>-340.17106797961105</c:v>
                      </c:pt>
                      <c:pt idx="324">
                        <c:v>-340.17106797961105</c:v>
                      </c:pt>
                      <c:pt idx="325">
                        <c:v>-340.17106797961105</c:v>
                      </c:pt>
                      <c:pt idx="326">
                        <c:v>-340.17106797961105</c:v>
                      </c:pt>
                      <c:pt idx="327">
                        <c:v>-340.17106797961105</c:v>
                      </c:pt>
                      <c:pt idx="328">
                        <c:v>-340.17106797961105</c:v>
                      </c:pt>
                      <c:pt idx="329">
                        <c:v>-240.66106797961083</c:v>
                      </c:pt>
                      <c:pt idx="330">
                        <c:v>-240.66106797961083</c:v>
                      </c:pt>
                      <c:pt idx="331">
                        <c:v>-240.66106797961083</c:v>
                      </c:pt>
                      <c:pt idx="332">
                        <c:v>-240.66106797961083</c:v>
                      </c:pt>
                      <c:pt idx="333">
                        <c:v>-240.66106797961083</c:v>
                      </c:pt>
                      <c:pt idx="334">
                        <c:v>-178.13106797961063</c:v>
                      </c:pt>
                      <c:pt idx="335">
                        <c:v>-178.13106797961063</c:v>
                      </c:pt>
                      <c:pt idx="336">
                        <c:v>-178.13106797961063</c:v>
                      </c:pt>
                      <c:pt idx="337">
                        <c:v>-178.13106797961063</c:v>
                      </c:pt>
                      <c:pt idx="338">
                        <c:v>-206.13106797961063</c:v>
                      </c:pt>
                      <c:pt idx="339">
                        <c:v>-206.13106797961063</c:v>
                      </c:pt>
                      <c:pt idx="340">
                        <c:v>-206.13106797961063</c:v>
                      </c:pt>
                      <c:pt idx="341">
                        <c:v>-203.43106797961059</c:v>
                      </c:pt>
                      <c:pt idx="342">
                        <c:v>-203.43106797961059</c:v>
                      </c:pt>
                      <c:pt idx="343">
                        <c:v>-203.43106797961059</c:v>
                      </c:pt>
                      <c:pt idx="344">
                        <c:v>-203.43106797961059</c:v>
                      </c:pt>
                      <c:pt idx="345">
                        <c:v>-295.97106797961055</c:v>
                      </c:pt>
                      <c:pt idx="346">
                        <c:v>-295.97106797961055</c:v>
                      </c:pt>
                    </c:numCache>
                  </c:numRef>
                </c:val>
                <c:smooth val="0"/>
                <c:extLst>
                  <c:ext xmlns:c16="http://schemas.microsoft.com/office/drawing/2014/chart" uri="{C3380CC4-5D6E-409C-BE32-E72D297353CC}">
                    <c16:uniqueId val="{00000004-2ABD-4318-B417-168281218F10}"/>
                  </c:ext>
                </c:extLst>
              </c15:ser>
            </c15:filteredLineSeries>
            <c15:filteredLineSeries>
              <c15:ser>
                <c:idx val="4"/>
                <c:order val="4"/>
                <c:tx>
                  <c:v>SW (MOC)</c:v>
                </c:tx>
                <c:spPr>
                  <a:ln w="28575" cap="rnd">
                    <a:solidFill>
                      <a:schemeClr val="accent4">
                        <a:lumMod val="60000"/>
                        <a:lumOff val="40000"/>
                      </a:schemeClr>
                    </a:solidFill>
                    <a:prstDash val="sysDash"/>
                    <a:round/>
                  </a:ln>
                  <a:effectLst/>
                </c:spPr>
                <c:marker>
                  <c:symbol val="none"/>
                </c:marker>
                <c:val>
                  <c:numRef>
                    <c:extLst xmlns:c15="http://schemas.microsoft.com/office/drawing/2012/chart">
                      <c:ext xmlns:c15="http://schemas.microsoft.com/office/drawing/2012/chart" uri="{02D57815-91ED-43cb-92C2-25804820EDAC}">
                        <c15:formulaRef>
                          <c15:sqref>'2025-Q2'!$AV$4:$AV$350</c15:sqref>
                        </c15:formulaRef>
                      </c:ext>
                    </c:extLst>
                    <c:numCache>
                      <c:formatCode>"$"#,##0</c:formatCode>
                      <c:ptCount val="347"/>
                      <c:pt idx="0">
                        <c:v>0</c:v>
                      </c:pt>
                      <c:pt idx="1">
                        <c:v>0</c:v>
                      </c:pt>
                      <c:pt idx="2">
                        <c:v>45.449999999999818</c:v>
                      </c:pt>
                      <c:pt idx="3">
                        <c:v>35.25</c:v>
                      </c:pt>
                      <c:pt idx="4">
                        <c:v>55.25</c:v>
                      </c:pt>
                      <c:pt idx="5">
                        <c:v>70.090000000000146</c:v>
                      </c:pt>
                      <c:pt idx="6">
                        <c:v>85.490000000000236</c:v>
                      </c:pt>
                      <c:pt idx="7">
                        <c:v>158.24</c:v>
                      </c:pt>
                      <c:pt idx="8">
                        <c:v>177.32000000000005</c:v>
                      </c:pt>
                      <c:pt idx="9">
                        <c:v>177.32000000000005</c:v>
                      </c:pt>
                      <c:pt idx="10">
                        <c:v>197.30000000000007</c:v>
                      </c:pt>
                      <c:pt idx="11">
                        <c:v>236.89999999999998</c:v>
                      </c:pt>
                      <c:pt idx="12">
                        <c:v>236.89999999999998</c:v>
                      </c:pt>
                      <c:pt idx="13">
                        <c:v>231.72000000000014</c:v>
                      </c:pt>
                      <c:pt idx="14">
                        <c:v>231.72000000000014</c:v>
                      </c:pt>
                      <c:pt idx="15">
                        <c:v>231.54000000000008</c:v>
                      </c:pt>
                      <c:pt idx="16">
                        <c:v>231.54000000000008</c:v>
                      </c:pt>
                      <c:pt idx="17">
                        <c:v>231.54000000000008</c:v>
                      </c:pt>
                      <c:pt idx="18">
                        <c:v>212.34000000000003</c:v>
                      </c:pt>
                      <c:pt idx="19">
                        <c:v>243.65999999999997</c:v>
                      </c:pt>
                      <c:pt idx="20">
                        <c:v>256.64966594568602</c:v>
                      </c:pt>
                      <c:pt idx="21">
                        <c:v>252.56795937946242</c:v>
                      </c:pt>
                      <c:pt idx="22">
                        <c:v>252.56795937946242</c:v>
                      </c:pt>
                      <c:pt idx="23">
                        <c:v>258.96870149449035</c:v>
                      </c:pt>
                      <c:pt idx="24">
                        <c:v>281.78870149449051</c:v>
                      </c:pt>
                      <c:pt idx="25">
                        <c:v>19.92870149449061</c:v>
                      </c:pt>
                      <c:pt idx="26">
                        <c:v>19.92870149449061</c:v>
                      </c:pt>
                      <c:pt idx="27">
                        <c:v>19.92870149449061</c:v>
                      </c:pt>
                      <c:pt idx="28">
                        <c:v>19.92870149449061</c:v>
                      </c:pt>
                      <c:pt idx="29">
                        <c:v>26.67870149449061</c:v>
                      </c:pt>
                      <c:pt idx="30">
                        <c:v>26.67870149449061</c:v>
                      </c:pt>
                      <c:pt idx="31">
                        <c:v>26.67870149449061</c:v>
                      </c:pt>
                      <c:pt idx="32">
                        <c:v>26.67870149449061</c:v>
                      </c:pt>
                      <c:pt idx="33">
                        <c:v>18.628701494490656</c:v>
                      </c:pt>
                      <c:pt idx="34">
                        <c:v>-37.621298505509344</c:v>
                      </c:pt>
                      <c:pt idx="35">
                        <c:v>-117.30129850550941</c:v>
                      </c:pt>
                      <c:pt idx="36">
                        <c:v>-117.30129850550941</c:v>
                      </c:pt>
                      <c:pt idx="37">
                        <c:v>-136.55129850550941</c:v>
                      </c:pt>
                      <c:pt idx="38">
                        <c:v>-121.67129850550941</c:v>
                      </c:pt>
                      <c:pt idx="39">
                        <c:v>-121.67129850550941</c:v>
                      </c:pt>
                      <c:pt idx="40">
                        <c:v>-121.67129850550941</c:v>
                      </c:pt>
                      <c:pt idx="41">
                        <c:v>-121.67129850550941</c:v>
                      </c:pt>
                      <c:pt idx="42">
                        <c:v>-121.67129850550941</c:v>
                      </c:pt>
                      <c:pt idx="43">
                        <c:v>-45.861298505509467</c:v>
                      </c:pt>
                      <c:pt idx="44">
                        <c:v>-39.361298505509467</c:v>
                      </c:pt>
                      <c:pt idx="45">
                        <c:v>-28.111298505509467</c:v>
                      </c:pt>
                      <c:pt idx="46">
                        <c:v>-28.111298505509467</c:v>
                      </c:pt>
                      <c:pt idx="47">
                        <c:v>-28.111298505509467</c:v>
                      </c:pt>
                      <c:pt idx="48">
                        <c:v>-28.111298505509467</c:v>
                      </c:pt>
                      <c:pt idx="49">
                        <c:v>-142.53968337706056</c:v>
                      </c:pt>
                      <c:pt idx="50">
                        <c:v>-160.4474473522157</c:v>
                      </c:pt>
                      <c:pt idx="51">
                        <c:v>-68.287447352215622</c:v>
                      </c:pt>
                      <c:pt idx="52">
                        <c:v>-68.287447352215622</c:v>
                      </c:pt>
                      <c:pt idx="53">
                        <c:v>-33.00744735221565</c:v>
                      </c:pt>
                      <c:pt idx="54">
                        <c:v>-14.627447352215654</c:v>
                      </c:pt>
                      <c:pt idx="55">
                        <c:v>-14.627447352215654</c:v>
                      </c:pt>
                      <c:pt idx="56">
                        <c:v>-64.227447352215677</c:v>
                      </c:pt>
                      <c:pt idx="57">
                        <c:v>-64.227447352215677</c:v>
                      </c:pt>
                      <c:pt idx="58">
                        <c:v>-32.927447352215609</c:v>
                      </c:pt>
                      <c:pt idx="59">
                        <c:v>5.1725526477844141</c:v>
                      </c:pt>
                      <c:pt idx="60">
                        <c:v>7.8725526477844596</c:v>
                      </c:pt>
                      <c:pt idx="61">
                        <c:v>37.932552647784405</c:v>
                      </c:pt>
                      <c:pt idx="62">
                        <c:v>102.73255264778447</c:v>
                      </c:pt>
                      <c:pt idx="63">
                        <c:v>118.39255264778456</c:v>
                      </c:pt>
                      <c:pt idx="64">
                        <c:v>125.29255264778453</c:v>
                      </c:pt>
                      <c:pt idx="65">
                        <c:v>174.54255264778453</c:v>
                      </c:pt>
                      <c:pt idx="66">
                        <c:v>174.54255264778453</c:v>
                      </c:pt>
                      <c:pt idx="67">
                        <c:v>174.54255264778453</c:v>
                      </c:pt>
                      <c:pt idx="68">
                        <c:v>174.54255264778453</c:v>
                      </c:pt>
                      <c:pt idx="69">
                        <c:v>174.54255264778453</c:v>
                      </c:pt>
                      <c:pt idx="70">
                        <c:v>174.54255264778453</c:v>
                      </c:pt>
                      <c:pt idx="71">
                        <c:v>174.54255264778453</c:v>
                      </c:pt>
                      <c:pt idx="72">
                        <c:v>215.38255264778456</c:v>
                      </c:pt>
                      <c:pt idx="73">
                        <c:v>188.17255264778453</c:v>
                      </c:pt>
                      <c:pt idx="74">
                        <c:v>219.13255264778456</c:v>
                      </c:pt>
                      <c:pt idx="75">
                        <c:v>165.93255264778452</c:v>
                      </c:pt>
                      <c:pt idx="76">
                        <c:v>215.8325526477845</c:v>
                      </c:pt>
                      <c:pt idx="77">
                        <c:v>259.68255264778452</c:v>
                      </c:pt>
                      <c:pt idx="78">
                        <c:v>195.08255264778461</c:v>
                      </c:pt>
                      <c:pt idx="79">
                        <c:v>195.08255264778461</c:v>
                      </c:pt>
                      <c:pt idx="80">
                        <c:v>208.3425526477846</c:v>
                      </c:pt>
                      <c:pt idx="81">
                        <c:v>208.3425526477846</c:v>
                      </c:pt>
                      <c:pt idx="82">
                        <c:v>208.3425526477846</c:v>
                      </c:pt>
                      <c:pt idx="83">
                        <c:v>236.54255264778465</c:v>
                      </c:pt>
                      <c:pt idx="84">
                        <c:v>75.742552647784692</c:v>
                      </c:pt>
                      <c:pt idx="85">
                        <c:v>75.742552647784692</c:v>
                      </c:pt>
                      <c:pt idx="86">
                        <c:v>44.742552647784692</c:v>
                      </c:pt>
                      <c:pt idx="87">
                        <c:v>44.742552647784692</c:v>
                      </c:pt>
                      <c:pt idx="88">
                        <c:v>44.742552647784692</c:v>
                      </c:pt>
                      <c:pt idx="89">
                        <c:v>59.622552647784573</c:v>
                      </c:pt>
                      <c:pt idx="90">
                        <c:v>59.622552647784573</c:v>
                      </c:pt>
                      <c:pt idx="91">
                        <c:v>59.622552647784573</c:v>
                      </c:pt>
                      <c:pt idx="92">
                        <c:v>59.622552647784573</c:v>
                      </c:pt>
                      <c:pt idx="93">
                        <c:v>30.959567043367201</c:v>
                      </c:pt>
                      <c:pt idx="94">
                        <c:v>47.809567043367224</c:v>
                      </c:pt>
                      <c:pt idx="95">
                        <c:v>47.809567043367224</c:v>
                      </c:pt>
                      <c:pt idx="96">
                        <c:v>47.809567043367224</c:v>
                      </c:pt>
                      <c:pt idx="97">
                        <c:v>47.809567043367224</c:v>
                      </c:pt>
                      <c:pt idx="98">
                        <c:v>47.809567043367224</c:v>
                      </c:pt>
                      <c:pt idx="99">
                        <c:v>-49.590432956632867</c:v>
                      </c:pt>
                      <c:pt idx="100">
                        <c:v>-49.590432956632867</c:v>
                      </c:pt>
                      <c:pt idx="101">
                        <c:v>-67.840432956632867</c:v>
                      </c:pt>
                      <c:pt idx="102">
                        <c:v>-68.000432956632835</c:v>
                      </c:pt>
                      <c:pt idx="103">
                        <c:v>-68.000432956632835</c:v>
                      </c:pt>
                      <c:pt idx="104">
                        <c:v>-71.840432956632753</c:v>
                      </c:pt>
                      <c:pt idx="105">
                        <c:v>-71.840432956632753</c:v>
                      </c:pt>
                      <c:pt idx="106">
                        <c:v>-71.840432956632753</c:v>
                      </c:pt>
                      <c:pt idx="107">
                        <c:v>-136.64043295663271</c:v>
                      </c:pt>
                      <c:pt idx="108">
                        <c:v>-122.36043295663274</c:v>
                      </c:pt>
                      <c:pt idx="109">
                        <c:v>-176.00043295663284</c:v>
                      </c:pt>
                      <c:pt idx="110">
                        <c:v>-176.00043295663284</c:v>
                      </c:pt>
                      <c:pt idx="111">
                        <c:v>-176.00043295663284</c:v>
                      </c:pt>
                      <c:pt idx="112">
                        <c:v>-216.47043295663286</c:v>
                      </c:pt>
                      <c:pt idx="113">
                        <c:v>-188.0787935487491</c:v>
                      </c:pt>
                      <c:pt idx="114">
                        <c:v>-175.97879354874919</c:v>
                      </c:pt>
                      <c:pt idx="115">
                        <c:v>-61.018793548749386</c:v>
                      </c:pt>
                      <c:pt idx="116">
                        <c:v>-61.018793548749386</c:v>
                      </c:pt>
                      <c:pt idx="117">
                        <c:v>-61.018793548749386</c:v>
                      </c:pt>
                      <c:pt idx="118">
                        <c:v>-25.19879354874945</c:v>
                      </c:pt>
                      <c:pt idx="119">
                        <c:v>-31.378793548749513</c:v>
                      </c:pt>
                      <c:pt idx="120">
                        <c:v>-31.378793548749513</c:v>
                      </c:pt>
                      <c:pt idx="121">
                        <c:v>-31.378793548749513</c:v>
                      </c:pt>
                      <c:pt idx="122">
                        <c:v>-100.2787935487496</c:v>
                      </c:pt>
                      <c:pt idx="123">
                        <c:v>-109.67879354874947</c:v>
                      </c:pt>
                      <c:pt idx="124">
                        <c:v>-109.67879354874947</c:v>
                      </c:pt>
                      <c:pt idx="125">
                        <c:v>-43.758793548749395</c:v>
                      </c:pt>
                      <c:pt idx="126">
                        <c:v>-42.408793548749259</c:v>
                      </c:pt>
                      <c:pt idx="127">
                        <c:v>-42.408793548749259</c:v>
                      </c:pt>
                      <c:pt idx="128">
                        <c:v>-18.358793548749304</c:v>
                      </c:pt>
                      <c:pt idx="129">
                        <c:v>-18.358793548749304</c:v>
                      </c:pt>
                      <c:pt idx="130">
                        <c:v>24.921206451250669</c:v>
                      </c:pt>
                      <c:pt idx="131">
                        <c:v>24.921206451250669</c:v>
                      </c:pt>
                      <c:pt idx="132">
                        <c:v>18.921206451250555</c:v>
                      </c:pt>
                      <c:pt idx="133">
                        <c:v>18.921206451250555</c:v>
                      </c:pt>
                      <c:pt idx="134">
                        <c:v>18.921206451250555</c:v>
                      </c:pt>
                      <c:pt idx="135">
                        <c:v>18.921206451250555</c:v>
                      </c:pt>
                      <c:pt idx="136">
                        <c:v>18.921206451250555</c:v>
                      </c:pt>
                      <c:pt idx="137">
                        <c:v>18.921206451250555</c:v>
                      </c:pt>
                      <c:pt idx="138">
                        <c:v>18.921206451250555</c:v>
                      </c:pt>
                      <c:pt idx="139">
                        <c:v>18.921206451250555</c:v>
                      </c:pt>
                      <c:pt idx="140">
                        <c:v>26.761206451250359</c:v>
                      </c:pt>
                      <c:pt idx="141">
                        <c:v>26.761206451250359</c:v>
                      </c:pt>
                      <c:pt idx="142">
                        <c:v>26.761206451250359</c:v>
                      </c:pt>
                      <c:pt idx="143">
                        <c:v>26.761206451250359</c:v>
                      </c:pt>
                      <c:pt idx="144">
                        <c:v>26.761206451250359</c:v>
                      </c:pt>
                      <c:pt idx="145">
                        <c:v>26.761206451250359</c:v>
                      </c:pt>
                      <c:pt idx="146">
                        <c:v>26.761206451250359</c:v>
                      </c:pt>
                      <c:pt idx="147">
                        <c:v>26.761206451250359</c:v>
                      </c:pt>
                      <c:pt idx="148">
                        <c:v>32.011206451250359</c:v>
                      </c:pt>
                      <c:pt idx="149">
                        <c:v>82.511206451250359</c:v>
                      </c:pt>
                      <c:pt idx="150">
                        <c:v>113.42120645125044</c:v>
                      </c:pt>
                      <c:pt idx="151">
                        <c:v>236.01120645125059</c:v>
                      </c:pt>
                      <c:pt idx="152">
                        <c:v>236.01120645125059</c:v>
                      </c:pt>
                      <c:pt idx="153">
                        <c:v>178.41120645125056</c:v>
                      </c:pt>
                      <c:pt idx="154">
                        <c:v>190.35120645125062</c:v>
                      </c:pt>
                      <c:pt idx="155">
                        <c:v>171.54120645125067</c:v>
                      </c:pt>
                      <c:pt idx="156">
                        <c:v>171.54120645125067</c:v>
                      </c:pt>
                      <c:pt idx="157">
                        <c:v>175.84120645125066</c:v>
                      </c:pt>
                      <c:pt idx="158">
                        <c:v>141.43120645125069</c:v>
                      </c:pt>
                      <c:pt idx="159">
                        <c:v>48.131206451250733</c:v>
                      </c:pt>
                      <c:pt idx="160">
                        <c:v>85.331206451250551</c:v>
                      </c:pt>
                      <c:pt idx="161">
                        <c:v>118.93120645125057</c:v>
                      </c:pt>
                      <c:pt idx="162">
                        <c:v>118.93120645125057</c:v>
                      </c:pt>
                      <c:pt idx="163">
                        <c:v>118.93120645125057</c:v>
                      </c:pt>
                      <c:pt idx="164">
                        <c:v>126.41120645125059</c:v>
                      </c:pt>
                      <c:pt idx="165">
                        <c:v>216.02120645125072</c:v>
                      </c:pt>
                      <c:pt idx="166">
                        <c:v>208.66120645125071</c:v>
                      </c:pt>
                      <c:pt idx="167">
                        <c:v>227.98120645125087</c:v>
                      </c:pt>
                      <c:pt idx="168">
                        <c:v>227.98120645125087</c:v>
                      </c:pt>
                      <c:pt idx="169">
                        <c:v>247.23120645125087</c:v>
                      </c:pt>
                      <c:pt idx="170">
                        <c:v>247.23120645125087</c:v>
                      </c:pt>
                      <c:pt idx="171">
                        <c:v>161.08120645125089</c:v>
                      </c:pt>
                      <c:pt idx="172">
                        <c:v>161.08120645125089</c:v>
                      </c:pt>
                      <c:pt idx="173">
                        <c:v>229.00120645125085</c:v>
                      </c:pt>
                      <c:pt idx="174">
                        <c:v>229.00120645125085</c:v>
                      </c:pt>
                      <c:pt idx="175">
                        <c:v>319.42120645125067</c:v>
                      </c:pt>
                      <c:pt idx="176">
                        <c:v>319.42120645125067</c:v>
                      </c:pt>
                      <c:pt idx="177">
                        <c:v>365.84120645125074</c:v>
                      </c:pt>
                      <c:pt idx="178">
                        <c:v>365.84120645125074</c:v>
                      </c:pt>
                      <c:pt idx="179">
                        <c:v>365.84120645125074</c:v>
                      </c:pt>
                      <c:pt idx="180">
                        <c:v>314.2412064512506</c:v>
                      </c:pt>
                      <c:pt idx="181">
                        <c:v>307.34120645125074</c:v>
                      </c:pt>
                      <c:pt idx="182">
                        <c:v>332.24120645125083</c:v>
                      </c:pt>
                      <c:pt idx="183">
                        <c:v>339.09120645125086</c:v>
                      </c:pt>
                      <c:pt idx="184">
                        <c:v>339.09120645125086</c:v>
                      </c:pt>
                      <c:pt idx="185">
                        <c:v>339.09120645125086</c:v>
                      </c:pt>
                      <c:pt idx="186">
                        <c:v>339.09120645125086</c:v>
                      </c:pt>
                      <c:pt idx="187">
                        <c:v>331.25120645125094</c:v>
                      </c:pt>
                      <c:pt idx="188">
                        <c:v>331.25120645125094</c:v>
                      </c:pt>
                      <c:pt idx="189">
                        <c:v>331.25120645125094</c:v>
                      </c:pt>
                      <c:pt idx="190">
                        <c:v>271.49120645125095</c:v>
                      </c:pt>
                      <c:pt idx="191">
                        <c:v>271.49120645125095</c:v>
                      </c:pt>
                      <c:pt idx="192">
                        <c:v>218.73120645125073</c:v>
                      </c:pt>
                      <c:pt idx="193">
                        <c:v>218.73120645125073</c:v>
                      </c:pt>
                      <c:pt idx="194">
                        <c:v>218.73120645125073</c:v>
                      </c:pt>
                      <c:pt idx="195">
                        <c:v>158.55120645125089</c:v>
                      </c:pt>
                      <c:pt idx="196">
                        <c:v>155.69120645125099</c:v>
                      </c:pt>
                      <c:pt idx="197">
                        <c:v>155.69120645125099</c:v>
                      </c:pt>
                      <c:pt idx="198">
                        <c:v>155.69120645125099</c:v>
                      </c:pt>
                      <c:pt idx="199">
                        <c:v>155.69120645125099</c:v>
                      </c:pt>
                      <c:pt idx="200">
                        <c:v>155.69120645125099</c:v>
                      </c:pt>
                      <c:pt idx="201">
                        <c:v>155.69120645125099</c:v>
                      </c:pt>
                      <c:pt idx="202">
                        <c:v>165.81120645125111</c:v>
                      </c:pt>
                      <c:pt idx="203">
                        <c:v>165.81120645125111</c:v>
                      </c:pt>
                      <c:pt idx="204">
                        <c:v>194.93120645125123</c:v>
                      </c:pt>
                      <c:pt idx="205">
                        <c:v>118.37120645125117</c:v>
                      </c:pt>
                      <c:pt idx="206">
                        <c:v>195.83120645125121</c:v>
                      </c:pt>
                      <c:pt idx="207">
                        <c:v>195.83120645125121</c:v>
                      </c:pt>
                      <c:pt idx="208">
                        <c:v>181.91120645125113</c:v>
                      </c:pt>
                      <c:pt idx="209">
                        <c:v>181.91120645125113</c:v>
                      </c:pt>
                      <c:pt idx="210">
                        <c:v>77.06120645125111</c:v>
                      </c:pt>
                      <c:pt idx="211">
                        <c:v>66.701206451251096</c:v>
                      </c:pt>
                      <c:pt idx="212">
                        <c:v>85.211399342838945</c:v>
                      </c:pt>
                      <c:pt idx="213">
                        <c:v>85.211399342838945</c:v>
                      </c:pt>
                      <c:pt idx="214">
                        <c:v>85.211399342838945</c:v>
                      </c:pt>
                      <c:pt idx="215">
                        <c:v>85.211399342838945</c:v>
                      </c:pt>
                      <c:pt idx="216">
                        <c:v>129.05139934283909</c:v>
                      </c:pt>
                      <c:pt idx="217">
                        <c:v>129.05139934283909</c:v>
                      </c:pt>
                      <c:pt idx="218">
                        <c:v>129.05139934283909</c:v>
                      </c:pt>
                      <c:pt idx="219">
                        <c:v>246.01139934283913</c:v>
                      </c:pt>
                      <c:pt idx="220">
                        <c:v>246.01139934283913</c:v>
                      </c:pt>
                      <c:pt idx="221">
                        <c:v>231.71139934283894</c:v>
                      </c:pt>
                      <c:pt idx="222">
                        <c:v>231.71139934283894</c:v>
                      </c:pt>
                      <c:pt idx="223">
                        <c:v>231.71139934283894</c:v>
                      </c:pt>
                      <c:pt idx="224">
                        <c:v>302.23139934283893</c:v>
                      </c:pt>
                      <c:pt idx="225">
                        <c:v>302.23139934283893</c:v>
                      </c:pt>
                      <c:pt idx="226">
                        <c:v>199.28139934283888</c:v>
                      </c:pt>
                      <c:pt idx="227">
                        <c:v>199.28139934283888</c:v>
                      </c:pt>
                      <c:pt idx="228">
                        <c:v>216.20139934283895</c:v>
                      </c:pt>
                      <c:pt idx="229">
                        <c:v>255.68139934283897</c:v>
                      </c:pt>
                      <c:pt idx="230">
                        <c:v>255.68139934283897</c:v>
                      </c:pt>
                      <c:pt idx="231">
                        <c:v>213.14249066104651</c:v>
                      </c:pt>
                      <c:pt idx="232">
                        <c:v>266.9024906610465</c:v>
                      </c:pt>
                      <c:pt idx="233">
                        <c:v>256.66249066104672</c:v>
                      </c:pt>
                      <c:pt idx="234">
                        <c:v>256.66249066104672</c:v>
                      </c:pt>
                      <c:pt idx="235">
                        <c:v>256.66249066104672</c:v>
                      </c:pt>
                      <c:pt idx="236">
                        <c:v>256.66249066104672</c:v>
                      </c:pt>
                      <c:pt idx="237">
                        <c:v>264.4624906610469</c:v>
                      </c:pt>
                      <c:pt idx="238">
                        <c:v>167.92249066104694</c:v>
                      </c:pt>
                      <c:pt idx="239">
                        <c:v>187.36249066104699</c:v>
                      </c:pt>
                      <c:pt idx="240">
                        <c:v>187.36249066104699</c:v>
                      </c:pt>
                      <c:pt idx="241">
                        <c:v>187.36249066104699</c:v>
                      </c:pt>
                      <c:pt idx="242">
                        <c:v>186.04249066104705</c:v>
                      </c:pt>
                      <c:pt idx="243">
                        <c:v>186.04249066104705</c:v>
                      </c:pt>
                      <c:pt idx="244">
                        <c:v>87.822490661047027</c:v>
                      </c:pt>
                      <c:pt idx="245">
                        <c:v>87.822490661047027</c:v>
                      </c:pt>
                      <c:pt idx="246">
                        <c:v>87.822490661047027</c:v>
                      </c:pt>
                      <c:pt idx="247">
                        <c:v>87.822490661047027</c:v>
                      </c:pt>
                      <c:pt idx="248">
                        <c:v>87.822490661047027</c:v>
                      </c:pt>
                      <c:pt idx="249">
                        <c:v>87.822490661047027</c:v>
                      </c:pt>
                      <c:pt idx="250">
                        <c:v>87.822490661047027</c:v>
                      </c:pt>
                      <c:pt idx="251">
                        <c:v>-6.3775093389530184</c:v>
                      </c:pt>
                      <c:pt idx="252">
                        <c:v>3.4224906610469361</c:v>
                      </c:pt>
                      <c:pt idx="253">
                        <c:v>3.4224906610469361</c:v>
                      </c:pt>
                      <c:pt idx="254">
                        <c:v>3.4224906610469361</c:v>
                      </c:pt>
                      <c:pt idx="255">
                        <c:v>3.4224906610469361</c:v>
                      </c:pt>
                      <c:pt idx="256">
                        <c:v>33.122490661046754</c:v>
                      </c:pt>
                      <c:pt idx="257">
                        <c:v>33.122490661046754</c:v>
                      </c:pt>
                      <c:pt idx="258">
                        <c:v>33.122490661046754</c:v>
                      </c:pt>
                      <c:pt idx="259">
                        <c:v>33.122490661046754</c:v>
                      </c:pt>
                      <c:pt idx="260">
                        <c:v>33.122490661046754</c:v>
                      </c:pt>
                      <c:pt idx="261">
                        <c:v>33.122490661046754</c:v>
                      </c:pt>
                      <c:pt idx="262">
                        <c:v>33.122490661046754</c:v>
                      </c:pt>
                      <c:pt idx="263">
                        <c:v>-3.3275093389532913</c:v>
                      </c:pt>
                      <c:pt idx="264">
                        <c:v>-3.3275093389532913</c:v>
                      </c:pt>
                      <c:pt idx="265">
                        <c:v>-3.3275093389532913</c:v>
                      </c:pt>
                      <c:pt idx="266">
                        <c:v>20.122490661046527</c:v>
                      </c:pt>
                      <c:pt idx="267">
                        <c:v>20.122490661046527</c:v>
                      </c:pt>
                      <c:pt idx="268">
                        <c:v>20.122490661046527</c:v>
                      </c:pt>
                      <c:pt idx="269">
                        <c:v>20.122490661046527</c:v>
                      </c:pt>
                      <c:pt idx="270">
                        <c:v>20.122490661046527</c:v>
                      </c:pt>
                      <c:pt idx="271">
                        <c:v>20.122490661046527</c:v>
                      </c:pt>
                      <c:pt idx="272">
                        <c:v>20.122490661046527</c:v>
                      </c:pt>
                      <c:pt idx="273">
                        <c:v>20.122490661046527</c:v>
                      </c:pt>
                      <c:pt idx="274">
                        <c:v>20.122490661046527</c:v>
                      </c:pt>
                      <c:pt idx="275">
                        <c:v>20.122490661046527</c:v>
                      </c:pt>
                      <c:pt idx="276">
                        <c:v>20.122490661046527</c:v>
                      </c:pt>
                      <c:pt idx="277">
                        <c:v>20.122490661046527</c:v>
                      </c:pt>
                      <c:pt idx="278">
                        <c:v>20.122490661046527</c:v>
                      </c:pt>
                      <c:pt idx="279">
                        <c:v>20.122490661046527</c:v>
                      </c:pt>
                      <c:pt idx="280">
                        <c:v>15.562490661046581</c:v>
                      </c:pt>
                      <c:pt idx="281">
                        <c:v>-40.597509338953273</c:v>
                      </c:pt>
                      <c:pt idx="282">
                        <c:v>-40.597509338953273</c:v>
                      </c:pt>
                      <c:pt idx="283">
                        <c:v>-40.597509338953273</c:v>
                      </c:pt>
                      <c:pt idx="284">
                        <c:v>-7.2975093389533185</c:v>
                      </c:pt>
                      <c:pt idx="285">
                        <c:v>-7.2975093389533185</c:v>
                      </c:pt>
                      <c:pt idx="286">
                        <c:v>1.1024906610467724</c:v>
                      </c:pt>
                      <c:pt idx="287">
                        <c:v>1.1024906610467724</c:v>
                      </c:pt>
                      <c:pt idx="288">
                        <c:v>151.70249066104691</c:v>
                      </c:pt>
                      <c:pt idx="289">
                        <c:v>151.70249066104691</c:v>
                      </c:pt>
                      <c:pt idx="290">
                        <c:v>151.70249066104691</c:v>
                      </c:pt>
                      <c:pt idx="291">
                        <c:v>151.70249066104691</c:v>
                      </c:pt>
                      <c:pt idx="292">
                        <c:v>151.70249066104691</c:v>
                      </c:pt>
                      <c:pt idx="293">
                        <c:v>148.00249066104664</c:v>
                      </c:pt>
                      <c:pt idx="294">
                        <c:v>148.00249066104664</c:v>
                      </c:pt>
                      <c:pt idx="295">
                        <c:v>148.00249066104664</c:v>
                      </c:pt>
                      <c:pt idx="296">
                        <c:v>148.00249066104664</c:v>
                      </c:pt>
                      <c:pt idx="297">
                        <c:v>148.00249066104664</c:v>
                      </c:pt>
                      <c:pt idx="298">
                        <c:v>148.00249066104664</c:v>
                      </c:pt>
                      <c:pt idx="299">
                        <c:v>121.60249066104666</c:v>
                      </c:pt>
                      <c:pt idx="300">
                        <c:v>175.24249066104653</c:v>
                      </c:pt>
                      <c:pt idx="301">
                        <c:v>345.26249066104651</c:v>
                      </c:pt>
                      <c:pt idx="302">
                        <c:v>345.26249066104651</c:v>
                      </c:pt>
                      <c:pt idx="303">
                        <c:v>428.48249066104654</c:v>
                      </c:pt>
                      <c:pt idx="304">
                        <c:v>428.48249066104654</c:v>
                      </c:pt>
                      <c:pt idx="305">
                        <c:v>531.88249066104663</c:v>
                      </c:pt>
                      <c:pt idx="306">
                        <c:v>676.08249066104668</c:v>
                      </c:pt>
                      <c:pt idx="307">
                        <c:v>685.53249066104672</c:v>
                      </c:pt>
                      <c:pt idx="308">
                        <c:v>685.53249066104672</c:v>
                      </c:pt>
                      <c:pt idx="309">
                        <c:v>685.53249066104672</c:v>
                      </c:pt>
                      <c:pt idx="310">
                        <c:v>685.53249066104672</c:v>
                      </c:pt>
                      <c:pt idx="311">
                        <c:v>685.53249066104672</c:v>
                      </c:pt>
                      <c:pt idx="312">
                        <c:v>685.53249066104672</c:v>
                      </c:pt>
                      <c:pt idx="313">
                        <c:v>685.53249066104672</c:v>
                      </c:pt>
                      <c:pt idx="314">
                        <c:v>685.53249066104672</c:v>
                      </c:pt>
                      <c:pt idx="315">
                        <c:v>685.53249066104672</c:v>
                      </c:pt>
                      <c:pt idx="316">
                        <c:v>685.53249066104672</c:v>
                      </c:pt>
                      <c:pt idx="317">
                        <c:v>685.53249066104672</c:v>
                      </c:pt>
                      <c:pt idx="318">
                        <c:v>599.43627194988017</c:v>
                      </c:pt>
                      <c:pt idx="319">
                        <c:v>814.11627194988023</c:v>
                      </c:pt>
                      <c:pt idx="320">
                        <c:v>814.11627194988023</c:v>
                      </c:pt>
                      <c:pt idx="321">
                        <c:v>804.91627194988018</c:v>
                      </c:pt>
                      <c:pt idx="322">
                        <c:v>869.71627194988037</c:v>
                      </c:pt>
                      <c:pt idx="323">
                        <c:v>640.46627194988037</c:v>
                      </c:pt>
                      <c:pt idx="324">
                        <c:v>640.46627194988037</c:v>
                      </c:pt>
                      <c:pt idx="325">
                        <c:v>690.46627194988037</c:v>
                      </c:pt>
                      <c:pt idx="326">
                        <c:v>690.46627194988037</c:v>
                      </c:pt>
                      <c:pt idx="327">
                        <c:v>686.86627194988023</c:v>
                      </c:pt>
                      <c:pt idx="328">
                        <c:v>659.41627194988018</c:v>
                      </c:pt>
                      <c:pt idx="329">
                        <c:v>659.41627194988018</c:v>
                      </c:pt>
                      <c:pt idx="330">
                        <c:v>659.41627194988018</c:v>
                      </c:pt>
                      <c:pt idx="331">
                        <c:v>730.45627194988015</c:v>
                      </c:pt>
                      <c:pt idx="332">
                        <c:v>846.73627194988012</c:v>
                      </c:pt>
                      <c:pt idx="333">
                        <c:v>906.13627194988021</c:v>
                      </c:pt>
                      <c:pt idx="334">
                        <c:v>906.13627194988021</c:v>
                      </c:pt>
                      <c:pt idx="335">
                        <c:v>962.59627194988025</c:v>
                      </c:pt>
                      <c:pt idx="336">
                        <c:v>956.35627194988024</c:v>
                      </c:pt>
                      <c:pt idx="337">
                        <c:v>956.35627194988024</c:v>
                      </c:pt>
                      <c:pt idx="338">
                        <c:v>956.35627194988024</c:v>
                      </c:pt>
                      <c:pt idx="339">
                        <c:v>892.09627194988025</c:v>
                      </c:pt>
                      <c:pt idx="340">
                        <c:v>768.40627194988019</c:v>
                      </c:pt>
                      <c:pt idx="341">
                        <c:v>768.40627194988019</c:v>
                      </c:pt>
                      <c:pt idx="342">
                        <c:v>768.40627194988019</c:v>
                      </c:pt>
                      <c:pt idx="343">
                        <c:v>759.08627194988026</c:v>
                      </c:pt>
                      <c:pt idx="344">
                        <c:v>631.52627194988031</c:v>
                      </c:pt>
                      <c:pt idx="345">
                        <c:v>631.52627194988031</c:v>
                      </c:pt>
                      <c:pt idx="346">
                        <c:v>631.52627194988031</c:v>
                      </c:pt>
                    </c:numCache>
                  </c:numRef>
                </c:val>
                <c:smooth val="0"/>
                <c:extLst xmlns:c15="http://schemas.microsoft.com/office/drawing/2012/chart">
                  <c:ext xmlns:c16="http://schemas.microsoft.com/office/drawing/2014/chart" uri="{C3380CC4-5D6E-409C-BE32-E72D297353CC}">
                    <c16:uniqueId val="{00000005-2ABD-4318-B417-168281218F10}"/>
                  </c:ext>
                </c:extLst>
              </c15:ser>
            </c15:filteredLineSeries>
            <c15:filteredLineSeries>
              <c15:ser>
                <c:idx val="6"/>
                <c:order val="6"/>
                <c:tx>
                  <c:v>Dwn (MOC)</c:v>
                </c:tx>
                <c:spPr>
                  <a:ln w="28575" cap="rnd">
                    <a:solidFill>
                      <a:schemeClr val="accent2">
                        <a:lumMod val="60000"/>
                        <a:lumOff val="40000"/>
                      </a:schemeClr>
                    </a:solidFill>
                    <a:prstDash val="sysDash"/>
                    <a:round/>
                  </a:ln>
                  <a:effectLst/>
                </c:spPr>
                <c:marker>
                  <c:symbol val="none"/>
                </c:marker>
                <c:val>
                  <c:numRef>
                    <c:extLst xmlns:c15="http://schemas.microsoft.com/office/drawing/2012/chart">
                      <c:ext xmlns:c15="http://schemas.microsoft.com/office/drawing/2012/chart" uri="{02D57815-91ED-43cb-92C2-25804820EDAC}">
                        <c15:formulaRef>
                          <c15:sqref>'2025-Q2'!$AZ$4:$AZ$350</c15:sqref>
                        </c15:formulaRef>
                      </c:ext>
                    </c:extLst>
                    <c:numCache>
                      <c:formatCode>"$"#,##0</c:formatCode>
                      <c:ptCount val="347"/>
                      <c:pt idx="0">
                        <c:v>-254.69999999999982</c:v>
                      </c:pt>
                      <c:pt idx="1">
                        <c:v>-262.79999999999973</c:v>
                      </c:pt>
                      <c:pt idx="2">
                        <c:v>-262.79999999999973</c:v>
                      </c:pt>
                      <c:pt idx="3">
                        <c:v>-262.79999999999973</c:v>
                      </c:pt>
                      <c:pt idx="4">
                        <c:v>-262.79999999999973</c:v>
                      </c:pt>
                      <c:pt idx="5">
                        <c:v>-262.79999999999973</c:v>
                      </c:pt>
                      <c:pt idx="6">
                        <c:v>-262.79999999999973</c:v>
                      </c:pt>
                      <c:pt idx="7">
                        <c:v>-262.79999999999973</c:v>
                      </c:pt>
                      <c:pt idx="8">
                        <c:v>-262.79999999999973</c:v>
                      </c:pt>
                      <c:pt idx="9">
                        <c:v>-266.68837290281726</c:v>
                      </c:pt>
                      <c:pt idx="10">
                        <c:v>-266.68837290281726</c:v>
                      </c:pt>
                      <c:pt idx="11">
                        <c:v>-266.68837290281726</c:v>
                      </c:pt>
                      <c:pt idx="12">
                        <c:v>-267.17837290281727</c:v>
                      </c:pt>
                      <c:pt idx="13">
                        <c:v>-267.17837290281727</c:v>
                      </c:pt>
                      <c:pt idx="14">
                        <c:v>-173.75837290281697</c:v>
                      </c:pt>
                      <c:pt idx="15">
                        <c:v>-173.75837290281697</c:v>
                      </c:pt>
                      <c:pt idx="16">
                        <c:v>-89.908372902816836</c:v>
                      </c:pt>
                      <c:pt idx="17">
                        <c:v>-65.608372902816654</c:v>
                      </c:pt>
                      <c:pt idx="18">
                        <c:v>-65.608372902816654</c:v>
                      </c:pt>
                      <c:pt idx="19">
                        <c:v>-65.608372902816654</c:v>
                      </c:pt>
                      <c:pt idx="20">
                        <c:v>-65.608372902816654</c:v>
                      </c:pt>
                      <c:pt idx="21">
                        <c:v>-65.608372902816654</c:v>
                      </c:pt>
                      <c:pt idx="22">
                        <c:v>-79.1383729028164</c:v>
                      </c:pt>
                      <c:pt idx="23">
                        <c:v>-79.1383729028164</c:v>
                      </c:pt>
                      <c:pt idx="24">
                        <c:v>-79.1383729028164</c:v>
                      </c:pt>
                      <c:pt idx="25">
                        <c:v>-79.1383729028164</c:v>
                      </c:pt>
                      <c:pt idx="26">
                        <c:v>-76.1383729028164</c:v>
                      </c:pt>
                      <c:pt idx="27">
                        <c:v>-110.1383729028164</c:v>
                      </c:pt>
                      <c:pt idx="28">
                        <c:v>-118.53837290281626</c:v>
                      </c:pt>
                      <c:pt idx="29">
                        <c:v>-118.53837290281626</c:v>
                      </c:pt>
                      <c:pt idx="30">
                        <c:v>-155.63837290281617</c:v>
                      </c:pt>
                      <c:pt idx="31">
                        <c:v>-148.13837290281617</c:v>
                      </c:pt>
                      <c:pt idx="32">
                        <c:v>-164.13837290281617</c:v>
                      </c:pt>
                      <c:pt idx="33">
                        <c:v>-164.13837290281617</c:v>
                      </c:pt>
                      <c:pt idx="34">
                        <c:v>-164.13837290281617</c:v>
                      </c:pt>
                      <c:pt idx="35">
                        <c:v>-164.13837290281617</c:v>
                      </c:pt>
                      <c:pt idx="36">
                        <c:v>-173.22837290281586</c:v>
                      </c:pt>
                      <c:pt idx="37">
                        <c:v>-173.22837290281586</c:v>
                      </c:pt>
                      <c:pt idx="38">
                        <c:v>-173.22837290281586</c:v>
                      </c:pt>
                      <c:pt idx="39">
                        <c:v>-173.22837290281586</c:v>
                      </c:pt>
                      <c:pt idx="40">
                        <c:v>-322.17837290281591</c:v>
                      </c:pt>
                      <c:pt idx="41">
                        <c:v>-353.47837290281609</c:v>
                      </c:pt>
                      <c:pt idx="42">
                        <c:v>-286.37837290281595</c:v>
                      </c:pt>
                      <c:pt idx="43">
                        <c:v>-286.37837290281595</c:v>
                      </c:pt>
                      <c:pt idx="44">
                        <c:v>-286.37837290281595</c:v>
                      </c:pt>
                      <c:pt idx="45">
                        <c:v>-286.37837290281595</c:v>
                      </c:pt>
                      <c:pt idx="46">
                        <c:v>-336.14837290281594</c:v>
                      </c:pt>
                      <c:pt idx="47">
                        <c:v>-336.14837290281594</c:v>
                      </c:pt>
                      <c:pt idx="48">
                        <c:v>-437.28837290281581</c:v>
                      </c:pt>
                      <c:pt idx="49">
                        <c:v>-437.28837290281581</c:v>
                      </c:pt>
                      <c:pt idx="50">
                        <c:v>-437.28837290281581</c:v>
                      </c:pt>
                      <c:pt idx="51">
                        <c:v>-437.28837290281581</c:v>
                      </c:pt>
                      <c:pt idx="52">
                        <c:v>-546.48837290281585</c:v>
                      </c:pt>
                      <c:pt idx="53">
                        <c:v>-546.48837290281585</c:v>
                      </c:pt>
                      <c:pt idx="54">
                        <c:v>-546.48837290281585</c:v>
                      </c:pt>
                      <c:pt idx="55">
                        <c:v>-539.5683729028159</c:v>
                      </c:pt>
                      <c:pt idx="56">
                        <c:v>-539.5683729028159</c:v>
                      </c:pt>
                      <c:pt idx="57">
                        <c:v>-414.9183729028158</c:v>
                      </c:pt>
                      <c:pt idx="58">
                        <c:v>-414.9183729028158</c:v>
                      </c:pt>
                      <c:pt idx="59">
                        <c:v>-414.9183729028158</c:v>
                      </c:pt>
                      <c:pt idx="60">
                        <c:v>-414.9183729028158</c:v>
                      </c:pt>
                      <c:pt idx="61">
                        <c:v>-414.9183729028158</c:v>
                      </c:pt>
                      <c:pt idx="62">
                        <c:v>-414.9183729028158</c:v>
                      </c:pt>
                      <c:pt idx="63">
                        <c:v>-414.9183729028158</c:v>
                      </c:pt>
                      <c:pt idx="64">
                        <c:v>-414.9183729028158</c:v>
                      </c:pt>
                      <c:pt idx="65">
                        <c:v>-414.9183729028158</c:v>
                      </c:pt>
                      <c:pt idx="66">
                        <c:v>-420.76837290281571</c:v>
                      </c:pt>
                      <c:pt idx="67">
                        <c:v>-414.58837290281565</c:v>
                      </c:pt>
                      <c:pt idx="68">
                        <c:v>-396.2683729028156</c:v>
                      </c:pt>
                      <c:pt idx="69">
                        <c:v>-396.2683729028156</c:v>
                      </c:pt>
                      <c:pt idx="70">
                        <c:v>-368.83837290281554</c:v>
                      </c:pt>
                      <c:pt idx="71">
                        <c:v>-368.83837290281554</c:v>
                      </c:pt>
                      <c:pt idx="72">
                        <c:v>-368.83837290281554</c:v>
                      </c:pt>
                      <c:pt idx="73">
                        <c:v>-368.83837290281554</c:v>
                      </c:pt>
                      <c:pt idx="74">
                        <c:v>-368.83837290281554</c:v>
                      </c:pt>
                      <c:pt idx="75">
                        <c:v>-368.83837290281554</c:v>
                      </c:pt>
                      <c:pt idx="76">
                        <c:v>-368.83837290281554</c:v>
                      </c:pt>
                      <c:pt idx="77">
                        <c:v>-368.83837290281554</c:v>
                      </c:pt>
                      <c:pt idx="78">
                        <c:v>-368.83837290281554</c:v>
                      </c:pt>
                      <c:pt idx="79">
                        <c:v>-423.9721716230016</c:v>
                      </c:pt>
                      <c:pt idx="80">
                        <c:v>-423.9721716230016</c:v>
                      </c:pt>
                      <c:pt idx="81">
                        <c:v>-480.01217162300156</c:v>
                      </c:pt>
                      <c:pt idx="82">
                        <c:v>-530.05217162300164</c:v>
                      </c:pt>
                      <c:pt idx="83">
                        <c:v>-530.05217162300164</c:v>
                      </c:pt>
                      <c:pt idx="84">
                        <c:v>-530.05217162300164</c:v>
                      </c:pt>
                      <c:pt idx="85">
                        <c:v>-591.05217162300175</c:v>
                      </c:pt>
                      <c:pt idx="86">
                        <c:v>-591.05217162300175</c:v>
                      </c:pt>
                      <c:pt idx="87">
                        <c:v>-613.15217162300189</c:v>
                      </c:pt>
                      <c:pt idx="88">
                        <c:v>-595.83217162300184</c:v>
                      </c:pt>
                      <c:pt idx="89">
                        <c:v>-595.83217162300184</c:v>
                      </c:pt>
                      <c:pt idx="90">
                        <c:v>-563.83217162300184</c:v>
                      </c:pt>
                      <c:pt idx="91">
                        <c:v>-555.85217162300182</c:v>
                      </c:pt>
                      <c:pt idx="92">
                        <c:v>-578.65217162300189</c:v>
                      </c:pt>
                      <c:pt idx="93">
                        <c:v>-578.65217162300189</c:v>
                      </c:pt>
                      <c:pt idx="94">
                        <c:v>-578.65217162300189</c:v>
                      </c:pt>
                      <c:pt idx="95">
                        <c:v>-589.652171623002</c:v>
                      </c:pt>
                      <c:pt idx="96">
                        <c:v>-547.95217162300207</c:v>
                      </c:pt>
                      <c:pt idx="97">
                        <c:v>-550.83217162300207</c:v>
                      </c:pt>
                      <c:pt idx="98">
                        <c:v>-588.98217162300205</c:v>
                      </c:pt>
                      <c:pt idx="99">
                        <c:v>-588.98217162300205</c:v>
                      </c:pt>
                      <c:pt idx="100">
                        <c:v>-711.86217162300204</c:v>
                      </c:pt>
                      <c:pt idx="101">
                        <c:v>-711.86217162300204</c:v>
                      </c:pt>
                      <c:pt idx="102">
                        <c:v>-711.86217162300204</c:v>
                      </c:pt>
                      <c:pt idx="103">
                        <c:v>-711.86217162300204</c:v>
                      </c:pt>
                      <c:pt idx="104">
                        <c:v>-711.86217162300204</c:v>
                      </c:pt>
                      <c:pt idx="105">
                        <c:v>-657.08217162300207</c:v>
                      </c:pt>
                      <c:pt idx="106">
                        <c:v>-657.08217162300207</c:v>
                      </c:pt>
                      <c:pt idx="107">
                        <c:v>-657.08217162300207</c:v>
                      </c:pt>
                      <c:pt idx="108">
                        <c:v>-657.08217162300207</c:v>
                      </c:pt>
                      <c:pt idx="109">
                        <c:v>-657.08217162300207</c:v>
                      </c:pt>
                      <c:pt idx="110">
                        <c:v>-646.83217162300218</c:v>
                      </c:pt>
                      <c:pt idx="111">
                        <c:v>-640.35217162300216</c:v>
                      </c:pt>
                      <c:pt idx="112">
                        <c:v>-640.35217162300216</c:v>
                      </c:pt>
                      <c:pt idx="113">
                        <c:v>-640.35217162300216</c:v>
                      </c:pt>
                      <c:pt idx="114">
                        <c:v>-640.35217162300216</c:v>
                      </c:pt>
                      <c:pt idx="115">
                        <c:v>-640.35217162300216</c:v>
                      </c:pt>
                      <c:pt idx="116">
                        <c:v>-643.20217162300207</c:v>
                      </c:pt>
                      <c:pt idx="117">
                        <c:v>-617.95161845366727</c:v>
                      </c:pt>
                      <c:pt idx="118">
                        <c:v>-617.95161845366727</c:v>
                      </c:pt>
                      <c:pt idx="119">
                        <c:v>-617.95161845366727</c:v>
                      </c:pt>
                      <c:pt idx="120">
                        <c:v>-637.75161845366745</c:v>
                      </c:pt>
                      <c:pt idx="121">
                        <c:v>-637.75161845366745</c:v>
                      </c:pt>
                      <c:pt idx="122">
                        <c:v>-637.75161845366745</c:v>
                      </c:pt>
                      <c:pt idx="123">
                        <c:v>-637.75161845366745</c:v>
                      </c:pt>
                      <c:pt idx="124">
                        <c:v>-569.65161845366742</c:v>
                      </c:pt>
                      <c:pt idx="125">
                        <c:v>-569.65161845366742</c:v>
                      </c:pt>
                      <c:pt idx="126">
                        <c:v>-569.65161845366742</c:v>
                      </c:pt>
                      <c:pt idx="127">
                        <c:v>-617.44161845366739</c:v>
                      </c:pt>
                      <c:pt idx="128">
                        <c:v>-617.44161845366739</c:v>
                      </c:pt>
                      <c:pt idx="129">
                        <c:v>-653.28161845366731</c:v>
                      </c:pt>
                      <c:pt idx="130">
                        <c:v>-653.28161845366731</c:v>
                      </c:pt>
                      <c:pt idx="131">
                        <c:v>-678.06161845366728</c:v>
                      </c:pt>
                      <c:pt idx="132">
                        <c:v>-678.06161845366728</c:v>
                      </c:pt>
                      <c:pt idx="133">
                        <c:v>-660.56161845366728</c:v>
                      </c:pt>
                      <c:pt idx="134">
                        <c:v>-658.04161845366718</c:v>
                      </c:pt>
                      <c:pt idx="135">
                        <c:v>-666.32161845366716</c:v>
                      </c:pt>
                      <c:pt idx="136">
                        <c:v>-662.72161845366713</c:v>
                      </c:pt>
                      <c:pt idx="137">
                        <c:v>-662.72161845366713</c:v>
                      </c:pt>
                      <c:pt idx="138">
                        <c:v>-694.54161845366707</c:v>
                      </c:pt>
                      <c:pt idx="139">
                        <c:v>-663.04161845366696</c:v>
                      </c:pt>
                      <c:pt idx="140">
                        <c:v>-663.04161845366696</c:v>
                      </c:pt>
                      <c:pt idx="141">
                        <c:v>-694.56161845366694</c:v>
                      </c:pt>
                      <c:pt idx="142">
                        <c:v>-744.80161845366695</c:v>
                      </c:pt>
                      <c:pt idx="143">
                        <c:v>-767.04161845366673</c:v>
                      </c:pt>
                      <c:pt idx="144">
                        <c:v>-769.08161845366681</c:v>
                      </c:pt>
                      <c:pt idx="145">
                        <c:v>-685.18161845366672</c:v>
                      </c:pt>
                      <c:pt idx="146">
                        <c:v>-709.48161845366667</c:v>
                      </c:pt>
                      <c:pt idx="147">
                        <c:v>-763.63161845366676</c:v>
                      </c:pt>
                      <c:pt idx="148">
                        <c:v>-763.63161845366676</c:v>
                      </c:pt>
                      <c:pt idx="149">
                        <c:v>-763.63161845366676</c:v>
                      </c:pt>
                      <c:pt idx="150">
                        <c:v>-763.63161845366676</c:v>
                      </c:pt>
                      <c:pt idx="151">
                        <c:v>-763.63161845366676</c:v>
                      </c:pt>
                      <c:pt idx="152">
                        <c:v>-639.33161845366681</c:v>
                      </c:pt>
                      <c:pt idx="153">
                        <c:v>-639.33161845366681</c:v>
                      </c:pt>
                      <c:pt idx="154">
                        <c:v>-639.33161845366681</c:v>
                      </c:pt>
                      <c:pt idx="155">
                        <c:v>-639.33161845366681</c:v>
                      </c:pt>
                      <c:pt idx="156">
                        <c:v>-547.97161845366668</c:v>
                      </c:pt>
                      <c:pt idx="157">
                        <c:v>-547.97161845366668</c:v>
                      </c:pt>
                      <c:pt idx="158">
                        <c:v>-547.97161845366668</c:v>
                      </c:pt>
                      <c:pt idx="159">
                        <c:v>-547.97161845366668</c:v>
                      </c:pt>
                      <c:pt idx="160">
                        <c:v>-547.97161845366668</c:v>
                      </c:pt>
                      <c:pt idx="161">
                        <c:v>-547.97161845366668</c:v>
                      </c:pt>
                      <c:pt idx="162">
                        <c:v>-520.05161845366683</c:v>
                      </c:pt>
                      <c:pt idx="163">
                        <c:v>-601.05161845366695</c:v>
                      </c:pt>
                      <c:pt idx="164">
                        <c:v>-601.05161845366695</c:v>
                      </c:pt>
                      <c:pt idx="165">
                        <c:v>-601.05161845366695</c:v>
                      </c:pt>
                      <c:pt idx="166">
                        <c:v>-601.05161845366695</c:v>
                      </c:pt>
                      <c:pt idx="167">
                        <c:v>-601.05161845366695</c:v>
                      </c:pt>
                      <c:pt idx="168">
                        <c:v>-560.1016184536669</c:v>
                      </c:pt>
                      <c:pt idx="169">
                        <c:v>-560.1016184536669</c:v>
                      </c:pt>
                      <c:pt idx="170">
                        <c:v>-570.36161845366701</c:v>
                      </c:pt>
                      <c:pt idx="171">
                        <c:v>-570.36161845366701</c:v>
                      </c:pt>
                      <c:pt idx="172">
                        <c:v>-550.52161845366709</c:v>
                      </c:pt>
                      <c:pt idx="173">
                        <c:v>-550.52161845366709</c:v>
                      </c:pt>
                      <c:pt idx="174">
                        <c:v>-469.5216184536672</c:v>
                      </c:pt>
                      <c:pt idx="175">
                        <c:v>-469.5216184536672</c:v>
                      </c:pt>
                      <c:pt idx="176">
                        <c:v>-458.74161845366723</c:v>
                      </c:pt>
                      <c:pt idx="177">
                        <c:v>-458.74161845366723</c:v>
                      </c:pt>
                      <c:pt idx="178">
                        <c:v>-472.52161845366743</c:v>
                      </c:pt>
                      <c:pt idx="179">
                        <c:v>-378.83161845366737</c:v>
                      </c:pt>
                      <c:pt idx="180">
                        <c:v>-378.83161845366737</c:v>
                      </c:pt>
                      <c:pt idx="181">
                        <c:v>-378.83161845366737</c:v>
                      </c:pt>
                      <c:pt idx="182">
                        <c:v>-378.83161845366737</c:v>
                      </c:pt>
                      <c:pt idx="183">
                        <c:v>-378.83161845366737</c:v>
                      </c:pt>
                      <c:pt idx="184">
                        <c:v>-399.47161845366725</c:v>
                      </c:pt>
                      <c:pt idx="185">
                        <c:v>-378.47161845366702</c:v>
                      </c:pt>
                      <c:pt idx="186">
                        <c:v>-386.97161845366702</c:v>
                      </c:pt>
                      <c:pt idx="187">
                        <c:v>-386.97161845366702</c:v>
                      </c:pt>
                      <c:pt idx="188">
                        <c:v>-280.97161845366702</c:v>
                      </c:pt>
                      <c:pt idx="189">
                        <c:v>-286.97161845366679</c:v>
                      </c:pt>
                      <c:pt idx="190">
                        <c:v>-286.97161845366679</c:v>
                      </c:pt>
                      <c:pt idx="191">
                        <c:v>-302.37161845366688</c:v>
                      </c:pt>
                      <c:pt idx="192">
                        <c:v>-302.37161845366688</c:v>
                      </c:pt>
                      <c:pt idx="193">
                        <c:v>-101.3516184536669</c:v>
                      </c:pt>
                      <c:pt idx="194">
                        <c:v>-110.31161845366694</c:v>
                      </c:pt>
                      <c:pt idx="195">
                        <c:v>-110.31161845366694</c:v>
                      </c:pt>
                      <c:pt idx="196">
                        <c:v>-110.31161845366694</c:v>
                      </c:pt>
                      <c:pt idx="197">
                        <c:v>-70.011618453666983</c:v>
                      </c:pt>
                      <c:pt idx="198">
                        <c:v>-68.661618453667074</c:v>
                      </c:pt>
                      <c:pt idx="199">
                        <c:v>-72.941618453667274</c:v>
                      </c:pt>
                      <c:pt idx="200">
                        <c:v>-72.941618453667274</c:v>
                      </c:pt>
                      <c:pt idx="201">
                        <c:v>-26.381618453667329</c:v>
                      </c:pt>
                      <c:pt idx="202">
                        <c:v>-26.381618453667329</c:v>
                      </c:pt>
                      <c:pt idx="203">
                        <c:v>-26.381618453667329</c:v>
                      </c:pt>
                      <c:pt idx="204">
                        <c:v>-26.381618453667329</c:v>
                      </c:pt>
                      <c:pt idx="205">
                        <c:v>-26.381618453667329</c:v>
                      </c:pt>
                      <c:pt idx="206">
                        <c:v>-26.381618453667329</c:v>
                      </c:pt>
                      <c:pt idx="207">
                        <c:v>-28.36161845366712</c:v>
                      </c:pt>
                      <c:pt idx="208">
                        <c:v>-28.36161845366712</c:v>
                      </c:pt>
                      <c:pt idx="209">
                        <c:v>-6.9616184536670289</c:v>
                      </c:pt>
                      <c:pt idx="210">
                        <c:v>-6.9616184536670289</c:v>
                      </c:pt>
                      <c:pt idx="211">
                        <c:v>-6.9616184536670289</c:v>
                      </c:pt>
                      <c:pt idx="212">
                        <c:v>-6.9616184536670289</c:v>
                      </c:pt>
                      <c:pt idx="213">
                        <c:v>36.368381546332898</c:v>
                      </c:pt>
                      <c:pt idx="214">
                        <c:v>38.368381546332898</c:v>
                      </c:pt>
                      <c:pt idx="215">
                        <c:v>-92.311618453666938</c:v>
                      </c:pt>
                      <c:pt idx="216">
                        <c:v>-92.311618453666938</c:v>
                      </c:pt>
                      <c:pt idx="217">
                        <c:v>-92.311618453666938</c:v>
                      </c:pt>
                      <c:pt idx="218">
                        <c:v>-74.811618453666938</c:v>
                      </c:pt>
                      <c:pt idx="219">
                        <c:v>-74.811618453666938</c:v>
                      </c:pt>
                      <c:pt idx="220">
                        <c:v>-5.5116184536669834</c:v>
                      </c:pt>
                      <c:pt idx="221">
                        <c:v>-5.5116184536669834</c:v>
                      </c:pt>
                      <c:pt idx="222">
                        <c:v>54.408381546332862</c:v>
                      </c:pt>
                      <c:pt idx="223">
                        <c:v>54.408381546332862</c:v>
                      </c:pt>
                      <c:pt idx="224">
                        <c:v>54.408381546332862</c:v>
                      </c:pt>
                      <c:pt idx="225">
                        <c:v>24.88838154633288</c:v>
                      </c:pt>
                      <c:pt idx="226">
                        <c:v>24.88838154633288</c:v>
                      </c:pt>
                      <c:pt idx="227">
                        <c:v>44.248381546333007</c:v>
                      </c:pt>
                      <c:pt idx="228">
                        <c:v>44.248381546333007</c:v>
                      </c:pt>
                      <c:pt idx="229">
                        <c:v>44.248381546333007</c:v>
                      </c:pt>
                      <c:pt idx="230">
                        <c:v>63.898381546332871</c:v>
                      </c:pt>
                      <c:pt idx="231">
                        <c:v>63.898381546332871</c:v>
                      </c:pt>
                      <c:pt idx="232">
                        <c:v>63.898381546332871</c:v>
                      </c:pt>
                      <c:pt idx="233">
                        <c:v>63.898381546332871</c:v>
                      </c:pt>
                      <c:pt idx="234">
                        <c:v>126.29838154633296</c:v>
                      </c:pt>
                      <c:pt idx="235">
                        <c:v>82.868381546332898</c:v>
                      </c:pt>
                      <c:pt idx="236">
                        <c:v>168.66838154633285</c:v>
                      </c:pt>
                      <c:pt idx="237">
                        <c:v>168.66838154633285</c:v>
                      </c:pt>
                      <c:pt idx="238">
                        <c:v>168.66838154633285</c:v>
                      </c:pt>
                      <c:pt idx="239">
                        <c:v>168.66838154633285</c:v>
                      </c:pt>
                      <c:pt idx="240">
                        <c:v>168.66838154633285</c:v>
                      </c:pt>
                      <c:pt idx="241">
                        <c:v>347.91838154633274</c:v>
                      </c:pt>
                      <c:pt idx="242">
                        <c:v>347.91838154633274</c:v>
                      </c:pt>
                      <c:pt idx="243">
                        <c:v>336.66838154633274</c:v>
                      </c:pt>
                      <c:pt idx="244">
                        <c:v>336.66838154633274</c:v>
                      </c:pt>
                      <c:pt idx="245">
                        <c:v>342.51838154633288</c:v>
                      </c:pt>
                      <c:pt idx="246">
                        <c:v>338.21838154633292</c:v>
                      </c:pt>
                      <c:pt idx="247">
                        <c:v>315.81838154633283</c:v>
                      </c:pt>
                      <c:pt idx="248">
                        <c:v>280.51838154633288</c:v>
                      </c:pt>
                      <c:pt idx="249">
                        <c:v>201.31838154633283</c:v>
                      </c:pt>
                      <c:pt idx="250">
                        <c:v>344.11838154633278</c:v>
                      </c:pt>
                      <c:pt idx="251">
                        <c:v>344.11838154633278</c:v>
                      </c:pt>
                      <c:pt idx="252">
                        <c:v>344.11838154633278</c:v>
                      </c:pt>
                      <c:pt idx="253">
                        <c:v>438.61838154633278</c:v>
                      </c:pt>
                      <c:pt idx="254">
                        <c:v>415.57838154633259</c:v>
                      </c:pt>
                      <c:pt idx="255">
                        <c:v>442.29838154633239</c:v>
                      </c:pt>
                      <c:pt idx="256">
                        <c:v>442.29838154633239</c:v>
                      </c:pt>
                      <c:pt idx="257">
                        <c:v>442.29838154633239</c:v>
                      </c:pt>
                      <c:pt idx="258">
                        <c:v>442.29838154633239</c:v>
                      </c:pt>
                      <c:pt idx="259">
                        <c:v>356.69838154633248</c:v>
                      </c:pt>
                      <c:pt idx="260">
                        <c:v>338.87838154633255</c:v>
                      </c:pt>
                      <c:pt idx="261">
                        <c:v>319.19838154633248</c:v>
                      </c:pt>
                      <c:pt idx="262">
                        <c:v>361.89838154633276</c:v>
                      </c:pt>
                      <c:pt idx="263">
                        <c:v>361.89838154633276</c:v>
                      </c:pt>
                      <c:pt idx="264">
                        <c:v>365.63838154633277</c:v>
                      </c:pt>
                      <c:pt idx="265">
                        <c:v>311.15838154633275</c:v>
                      </c:pt>
                      <c:pt idx="266">
                        <c:v>311.15838154633275</c:v>
                      </c:pt>
                      <c:pt idx="267">
                        <c:v>310.73838154633268</c:v>
                      </c:pt>
                      <c:pt idx="268">
                        <c:v>300.97838154633268</c:v>
                      </c:pt>
                      <c:pt idx="269">
                        <c:v>365.41838154633274</c:v>
                      </c:pt>
                      <c:pt idx="270">
                        <c:v>393.49838154633267</c:v>
                      </c:pt>
                      <c:pt idx="271">
                        <c:v>450.82838154633259</c:v>
                      </c:pt>
                      <c:pt idx="272">
                        <c:v>447.22838154633268</c:v>
                      </c:pt>
                      <c:pt idx="273">
                        <c:v>447.22838154633268</c:v>
                      </c:pt>
                      <c:pt idx="274">
                        <c:v>421.97838154633268</c:v>
                      </c:pt>
                      <c:pt idx="275">
                        <c:v>506.12838154633255</c:v>
                      </c:pt>
                      <c:pt idx="276">
                        <c:v>485.24838154633267</c:v>
                      </c:pt>
                      <c:pt idx="277">
                        <c:v>485.24838154633267</c:v>
                      </c:pt>
                      <c:pt idx="278">
                        <c:v>560.64838154633253</c:v>
                      </c:pt>
                      <c:pt idx="279">
                        <c:v>580.64838154633253</c:v>
                      </c:pt>
                      <c:pt idx="280">
                        <c:v>580.64838154633253</c:v>
                      </c:pt>
                      <c:pt idx="281">
                        <c:v>580.64838154633253</c:v>
                      </c:pt>
                      <c:pt idx="282">
                        <c:v>582.84838154633258</c:v>
                      </c:pt>
                      <c:pt idx="283">
                        <c:v>512.14838154633276</c:v>
                      </c:pt>
                      <c:pt idx="284">
                        <c:v>512.14838154633276</c:v>
                      </c:pt>
                      <c:pt idx="285">
                        <c:v>416.74838154633267</c:v>
                      </c:pt>
                      <c:pt idx="286">
                        <c:v>416.74838154633267</c:v>
                      </c:pt>
                      <c:pt idx="287">
                        <c:v>335.61838154633256</c:v>
                      </c:pt>
                      <c:pt idx="288">
                        <c:v>335.61838154633256</c:v>
                      </c:pt>
                      <c:pt idx="289">
                        <c:v>369.51838154633242</c:v>
                      </c:pt>
                      <c:pt idx="290">
                        <c:v>369.51838154633242</c:v>
                      </c:pt>
                      <c:pt idx="291">
                        <c:v>444.51838154633242</c:v>
                      </c:pt>
                      <c:pt idx="292">
                        <c:v>418.76838154633242</c:v>
                      </c:pt>
                      <c:pt idx="293">
                        <c:v>418.76838154633242</c:v>
                      </c:pt>
                      <c:pt idx="294">
                        <c:v>289.80838154633238</c:v>
                      </c:pt>
                      <c:pt idx="295">
                        <c:v>289.80838154633238</c:v>
                      </c:pt>
                      <c:pt idx="296">
                        <c:v>261.31838154633238</c:v>
                      </c:pt>
                      <c:pt idx="297">
                        <c:v>261.31838154633238</c:v>
                      </c:pt>
                      <c:pt idx="298">
                        <c:v>210.11838154633233</c:v>
                      </c:pt>
                      <c:pt idx="299">
                        <c:v>210.11838154633233</c:v>
                      </c:pt>
                      <c:pt idx="300">
                        <c:v>210.11838154633233</c:v>
                      </c:pt>
                      <c:pt idx="301">
                        <c:v>210.11838154633233</c:v>
                      </c:pt>
                      <c:pt idx="302">
                        <c:v>202.73838154633222</c:v>
                      </c:pt>
                      <c:pt idx="303">
                        <c:v>202.73838154633222</c:v>
                      </c:pt>
                      <c:pt idx="304">
                        <c:v>202.73838154633222</c:v>
                      </c:pt>
                      <c:pt idx="305">
                        <c:v>202.73838154633222</c:v>
                      </c:pt>
                      <c:pt idx="306">
                        <c:v>202.73838154633222</c:v>
                      </c:pt>
                      <c:pt idx="307">
                        <c:v>202.73838154633222</c:v>
                      </c:pt>
                      <c:pt idx="308">
                        <c:v>225.07719317717942</c:v>
                      </c:pt>
                      <c:pt idx="309">
                        <c:v>225.07719317717942</c:v>
                      </c:pt>
                      <c:pt idx="310">
                        <c:v>341.47719317717952</c:v>
                      </c:pt>
                      <c:pt idx="311">
                        <c:v>395.65719317717958</c:v>
                      </c:pt>
                      <c:pt idx="312">
                        <c:v>379.00719317717949</c:v>
                      </c:pt>
                      <c:pt idx="313">
                        <c:v>379.00719317717949</c:v>
                      </c:pt>
                      <c:pt idx="314">
                        <c:v>325.10719317717951</c:v>
                      </c:pt>
                      <c:pt idx="315">
                        <c:v>268.85719317717951</c:v>
                      </c:pt>
                      <c:pt idx="316">
                        <c:v>268.85719317717951</c:v>
                      </c:pt>
                      <c:pt idx="317">
                        <c:v>268.85719317717951</c:v>
                      </c:pt>
                      <c:pt idx="318">
                        <c:v>268.85719317717951</c:v>
                      </c:pt>
                      <c:pt idx="319">
                        <c:v>268.85719317717951</c:v>
                      </c:pt>
                      <c:pt idx="320">
                        <c:v>397.51719317717937</c:v>
                      </c:pt>
                      <c:pt idx="321">
                        <c:v>397.51719317717937</c:v>
                      </c:pt>
                      <c:pt idx="322">
                        <c:v>397.51719317717937</c:v>
                      </c:pt>
                      <c:pt idx="323">
                        <c:v>397.51719317717937</c:v>
                      </c:pt>
                      <c:pt idx="324">
                        <c:v>248.95719317717942</c:v>
                      </c:pt>
                      <c:pt idx="325">
                        <c:v>248.95719317717942</c:v>
                      </c:pt>
                      <c:pt idx="326">
                        <c:v>113.20719317717942</c:v>
                      </c:pt>
                      <c:pt idx="327">
                        <c:v>113.20719317717942</c:v>
                      </c:pt>
                      <c:pt idx="328">
                        <c:v>113.20719317717942</c:v>
                      </c:pt>
                      <c:pt idx="329">
                        <c:v>113.20719317717942</c:v>
                      </c:pt>
                      <c:pt idx="330">
                        <c:v>274.15719317717947</c:v>
                      </c:pt>
                      <c:pt idx="331">
                        <c:v>274.15719317717947</c:v>
                      </c:pt>
                      <c:pt idx="332">
                        <c:v>274.15719317717947</c:v>
                      </c:pt>
                      <c:pt idx="333">
                        <c:v>274.15719317717947</c:v>
                      </c:pt>
                      <c:pt idx="334">
                        <c:v>274.15719317717947</c:v>
                      </c:pt>
                      <c:pt idx="335">
                        <c:v>274.15719317717947</c:v>
                      </c:pt>
                      <c:pt idx="336">
                        <c:v>274.15719317717947</c:v>
                      </c:pt>
                      <c:pt idx="337">
                        <c:v>315.55719317717956</c:v>
                      </c:pt>
                      <c:pt idx="338">
                        <c:v>315.55719317717956</c:v>
                      </c:pt>
                      <c:pt idx="339">
                        <c:v>315.55719317717956</c:v>
                      </c:pt>
                      <c:pt idx="340">
                        <c:v>315.55719317717956</c:v>
                      </c:pt>
                      <c:pt idx="341">
                        <c:v>315.55719317717956</c:v>
                      </c:pt>
                      <c:pt idx="342">
                        <c:v>298.75719317717983</c:v>
                      </c:pt>
                      <c:pt idx="343">
                        <c:v>298.75719317717983</c:v>
                      </c:pt>
                      <c:pt idx="344">
                        <c:v>298.75719317717983</c:v>
                      </c:pt>
                      <c:pt idx="345">
                        <c:v>298.75719317717983</c:v>
                      </c:pt>
                      <c:pt idx="346">
                        <c:v>305.25719317717983</c:v>
                      </c:pt>
                    </c:numCache>
                  </c:numRef>
                </c:val>
                <c:smooth val="0"/>
                <c:extLst xmlns:c15="http://schemas.microsoft.com/office/drawing/2012/chart">
                  <c:ext xmlns:c16="http://schemas.microsoft.com/office/drawing/2014/chart" uri="{C3380CC4-5D6E-409C-BE32-E72D297353CC}">
                    <c16:uniqueId val="{00000006-2ABD-4318-B417-168281218F10}"/>
                  </c:ext>
                </c:extLst>
              </c15:ser>
            </c15:filteredLineSeries>
          </c:ext>
        </c:extLst>
      </c:lineChart>
      <c:catAx>
        <c:axId val="147683023"/>
        <c:scaling>
          <c:orientation val="minMax"/>
        </c:scaling>
        <c:delete val="0"/>
        <c:axPos val="b"/>
        <c:majorGridlines>
          <c:spPr>
            <a:ln w="9525" cap="flat" cmpd="sng" algn="ctr">
              <a:solidFill>
                <a:schemeClr val="tx1">
                  <a:lumMod val="75000"/>
                  <a:lumOff val="25000"/>
                </a:schemeClr>
              </a:solidFill>
              <a:prstDash val="dash"/>
              <a:round/>
            </a:ln>
            <a:effectLst/>
          </c:spPr>
        </c:majorGridlines>
        <c:majorTickMark val="none"/>
        <c:minorTickMark val="none"/>
        <c:tickLblPos val="low"/>
        <c:spPr>
          <a:noFill/>
          <a:ln w="12700" cap="flat" cmpd="sng" algn="ctr">
            <a:solidFill>
              <a:sysClr val="windowText" lastClr="000000"/>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6645279"/>
        <c:crosses val="autoZero"/>
        <c:auto val="1"/>
        <c:lblAlgn val="ctr"/>
        <c:lblOffset val="100"/>
        <c:tickLblSkip val="25"/>
        <c:tickMarkSkip val="25"/>
        <c:noMultiLvlLbl val="0"/>
      </c:catAx>
      <c:valAx>
        <c:axId val="146645279"/>
        <c:scaling>
          <c:orientation val="minMax"/>
          <c:max val="20"/>
          <c:min val="-10"/>
        </c:scaling>
        <c:delete val="0"/>
        <c:axPos val="r"/>
        <c:majorGridlines>
          <c:spPr>
            <a:ln w="9525" cap="flat" cmpd="sng" algn="ctr">
              <a:solidFill>
                <a:schemeClr val="tx1">
                  <a:lumMod val="75000"/>
                  <a:lumOff val="25000"/>
                </a:schemeClr>
              </a:solidFill>
              <a:prstDash val="dash"/>
              <a:round/>
            </a:ln>
            <a:effectLst/>
          </c:spPr>
        </c:majorGridlines>
        <c:numFmt formatCode="0" sourceLinked="0"/>
        <c:majorTickMark val="none"/>
        <c:minorTickMark val="none"/>
        <c:tickLblPos val="high"/>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7683023"/>
        <c:crosses val="max"/>
        <c:crossBetween val="between"/>
      </c:valAx>
      <c:spPr>
        <a:solidFill>
          <a:schemeClr val="tx1">
            <a:lumMod val="65000"/>
            <a:lumOff val="35000"/>
          </a:schemeClr>
        </a:solidFill>
        <a:ln>
          <a:solidFill>
            <a:sysClr val="windowText" lastClr="000000"/>
          </a:solidFill>
        </a:ln>
        <a:effectLst/>
      </c:spPr>
    </c:plotArea>
    <c:legend>
      <c:legendPos val="t"/>
      <c:layout>
        <c:manualLayout>
          <c:xMode val="edge"/>
          <c:yMode val="edge"/>
          <c:x val="0.39634286005511454"/>
          <c:y val="1.2316999395039325E-2"/>
          <c:w val="0.57612618810998151"/>
          <c:h val="4.9614968727820091E-2"/>
        </c:manualLayout>
      </c:layout>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legend>
    <c:plotVisOnly val="0"/>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accent3">
                    <a:lumMod val="75000"/>
                  </a:schemeClr>
                </a:solidFill>
                <a:latin typeface="+mn-lt"/>
                <a:ea typeface="+mn-ea"/>
                <a:cs typeface="+mn-cs"/>
              </a:defRPr>
            </a:pPr>
            <a:r>
              <a:rPr lang="en-US" sz="2000" b="1">
                <a:solidFill>
                  <a:schemeClr val="accent3">
                    <a:lumMod val="75000"/>
                  </a:schemeClr>
                </a:solidFill>
              </a:rPr>
              <a:t>The Three Tiers (XLB)</a:t>
            </a:r>
          </a:p>
        </c:rich>
      </c:tx>
      <c:layout>
        <c:manualLayout>
          <c:xMode val="edge"/>
          <c:yMode val="edge"/>
          <c:x val="2.8694404591104734E-2"/>
          <c:y val="2.4198427102238356E-3"/>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accent3">
                  <a:lumMod val="75000"/>
                </a:schemeClr>
              </a:solidFill>
              <a:latin typeface="+mn-lt"/>
              <a:ea typeface="+mn-ea"/>
              <a:cs typeface="+mn-cs"/>
            </a:defRPr>
          </a:pPr>
          <a:endParaRPr lang="en-US"/>
        </a:p>
      </c:txPr>
    </c:title>
    <c:autoTitleDeleted val="0"/>
    <c:plotArea>
      <c:layout>
        <c:manualLayout>
          <c:layoutTarget val="inner"/>
          <c:xMode val="edge"/>
          <c:yMode val="edge"/>
          <c:x val="1.0171058714748035E-2"/>
          <c:y val="7.7350558040499021E-2"/>
          <c:w val="0.95283482768537431"/>
          <c:h val="0.86018548951798435"/>
        </c:manualLayout>
      </c:layout>
      <c:lineChart>
        <c:grouping val="standard"/>
        <c:varyColors val="0"/>
        <c:ser>
          <c:idx val="0"/>
          <c:order val="0"/>
          <c:tx>
            <c:v>Up</c:v>
          </c:tx>
          <c:spPr>
            <a:ln w="28575" cap="rnd">
              <a:solidFill>
                <a:schemeClr val="accent6">
                  <a:lumMod val="75000"/>
                </a:schemeClr>
              </a:solidFill>
              <a:prstDash val="solid"/>
              <a:round/>
            </a:ln>
            <a:effectLst/>
          </c:spPr>
          <c:marker>
            <c:symbol val="none"/>
          </c:marker>
          <c:val>
            <c:numRef>
              <c:f>'2025-Q2'!$EN$4:$EN$422</c:f>
              <c:numCache>
                <c:formatCode>0.00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numCache>
            </c:numRef>
          </c:val>
          <c:smooth val="1"/>
          <c:extLst>
            <c:ext xmlns:c16="http://schemas.microsoft.com/office/drawing/2014/chart" uri="{C3380CC4-5D6E-409C-BE32-E72D297353CC}">
              <c16:uniqueId val="{00000000-8B10-4F45-997A-CD7B20248F9C}"/>
            </c:ext>
          </c:extLst>
        </c:ser>
        <c:ser>
          <c:idx val="1"/>
          <c:order val="2"/>
          <c:tx>
            <c:v>Dwn</c:v>
          </c:tx>
          <c:spPr>
            <a:ln w="28575" cap="rnd">
              <a:solidFill>
                <a:schemeClr val="accent2"/>
              </a:solidFill>
              <a:prstDash val="solid"/>
              <a:round/>
            </a:ln>
            <a:effectLst/>
          </c:spPr>
          <c:marker>
            <c:symbol val="none"/>
          </c:marker>
          <c:val>
            <c:numRef>
              <c:f>'2025-Q2'!$EP$4:$EP$422</c:f>
              <c:numCache>
                <c:formatCode>0.00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0.61509852304831358</c:v>
                </c:pt>
                <c:pt idx="56">
                  <c:v>0.61509852304831358</c:v>
                </c:pt>
                <c:pt idx="57">
                  <c:v>0.61509852304831358</c:v>
                </c:pt>
                <c:pt idx="58">
                  <c:v>0.61509852304831358</c:v>
                </c:pt>
                <c:pt idx="59">
                  <c:v>0.61509852304831358</c:v>
                </c:pt>
                <c:pt idx="60">
                  <c:v>0.61509852304831358</c:v>
                </c:pt>
                <c:pt idx="61">
                  <c:v>0.61509852304831358</c:v>
                </c:pt>
                <c:pt idx="62">
                  <c:v>0.61509852304831358</c:v>
                </c:pt>
                <c:pt idx="63">
                  <c:v>0.61509852304831358</c:v>
                </c:pt>
                <c:pt idx="64">
                  <c:v>0.61509852304831358</c:v>
                </c:pt>
                <c:pt idx="65">
                  <c:v>0.61509852304831358</c:v>
                </c:pt>
                <c:pt idx="66">
                  <c:v>0.61509852304831358</c:v>
                </c:pt>
                <c:pt idx="67">
                  <c:v>0.61509852304831358</c:v>
                </c:pt>
                <c:pt idx="68">
                  <c:v>0.74379497102635161</c:v>
                </c:pt>
                <c:pt idx="69">
                  <c:v>0.74379497102635161</c:v>
                </c:pt>
                <c:pt idx="70">
                  <c:v>0.74379497102635161</c:v>
                </c:pt>
                <c:pt idx="71">
                  <c:v>0.74379497102635161</c:v>
                </c:pt>
                <c:pt idx="72">
                  <c:v>0.74379497102635161</c:v>
                </c:pt>
                <c:pt idx="73">
                  <c:v>0.74379497102635161</c:v>
                </c:pt>
                <c:pt idx="74">
                  <c:v>0.74379497102635161</c:v>
                </c:pt>
                <c:pt idx="75">
                  <c:v>0.74379497102635161</c:v>
                </c:pt>
                <c:pt idx="76">
                  <c:v>0.74379497102635161</c:v>
                </c:pt>
                <c:pt idx="77">
                  <c:v>0.74379497102635161</c:v>
                </c:pt>
                <c:pt idx="78">
                  <c:v>0.74379497102635161</c:v>
                </c:pt>
                <c:pt idx="79">
                  <c:v>0.74379497102635161</c:v>
                </c:pt>
                <c:pt idx="80">
                  <c:v>0.74379497102635161</c:v>
                </c:pt>
                <c:pt idx="81">
                  <c:v>0.74379497102635161</c:v>
                </c:pt>
                <c:pt idx="82">
                  <c:v>0.74379497102635161</c:v>
                </c:pt>
                <c:pt idx="83">
                  <c:v>0.74379497102635161</c:v>
                </c:pt>
                <c:pt idx="84">
                  <c:v>0.74379497102635161</c:v>
                </c:pt>
                <c:pt idx="85">
                  <c:v>0.56381959923512304</c:v>
                </c:pt>
                <c:pt idx="86">
                  <c:v>0.56381959923512304</c:v>
                </c:pt>
                <c:pt idx="87">
                  <c:v>0.56381959923512304</c:v>
                </c:pt>
                <c:pt idx="88">
                  <c:v>0.56381959923512304</c:v>
                </c:pt>
                <c:pt idx="89">
                  <c:v>0.56381959923512304</c:v>
                </c:pt>
                <c:pt idx="90">
                  <c:v>0.56381959923512304</c:v>
                </c:pt>
                <c:pt idx="91">
                  <c:v>0.56381959923512304</c:v>
                </c:pt>
                <c:pt idx="92">
                  <c:v>0.83968166820063983</c:v>
                </c:pt>
                <c:pt idx="93">
                  <c:v>0.83968166820063983</c:v>
                </c:pt>
                <c:pt idx="94">
                  <c:v>0.83968166820063983</c:v>
                </c:pt>
                <c:pt idx="95">
                  <c:v>0.83968166820063983</c:v>
                </c:pt>
                <c:pt idx="96">
                  <c:v>0.83968166820063983</c:v>
                </c:pt>
                <c:pt idx="97">
                  <c:v>0.83968166820063983</c:v>
                </c:pt>
                <c:pt idx="98">
                  <c:v>0.83968166820063983</c:v>
                </c:pt>
                <c:pt idx="99">
                  <c:v>0.83968166820063983</c:v>
                </c:pt>
                <c:pt idx="100">
                  <c:v>0.83968166820063983</c:v>
                </c:pt>
                <c:pt idx="101">
                  <c:v>0.83968166820063983</c:v>
                </c:pt>
                <c:pt idx="102">
                  <c:v>0.83968166820063983</c:v>
                </c:pt>
                <c:pt idx="103">
                  <c:v>0.83968166820063983</c:v>
                </c:pt>
                <c:pt idx="104">
                  <c:v>0.83968166820063983</c:v>
                </c:pt>
                <c:pt idx="105">
                  <c:v>1.5996008301242557</c:v>
                </c:pt>
                <c:pt idx="106">
                  <c:v>1.5996008301242557</c:v>
                </c:pt>
                <c:pt idx="107">
                  <c:v>1.5996008301242557</c:v>
                </c:pt>
                <c:pt idx="108">
                  <c:v>1.5996008301242557</c:v>
                </c:pt>
                <c:pt idx="109">
                  <c:v>1.5996008301242557</c:v>
                </c:pt>
                <c:pt idx="110">
                  <c:v>1.5996008301242557</c:v>
                </c:pt>
                <c:pt idx="111">
                  <c:v>1.5996008301242557</c:v>
                </c:pt>
                <c:pt idx="112">
                  <c:v>1.5996008301242557</c:v>
                </c:pt>
                <c:pt idx="113">
                  <c:v>1.5996008301242557</c:v>
                </c:pt>
                <c:pt idx="114">
                  <c:v>1.5996008301242557</c:v>
                </c:pt>
                <c:pt idx="115">
                  <c:v>1.5996008301242557</c:v>
                </c:pt>
                <c:pt idx="116">
                  <c:v>2.0778005488303037</c:v>
                </c:pt>
                <c:pt idx="117">
                  <c:v>2.0778005488303037</c:v>
                </c:pt>
                <c:pt idx="118">
                  <c:v>2.0778005488303037</c:v>
                </c:pt>
                <c:pt idx="119">
                  <c:v>2.0778005488303037</c:v>
                </c:pt>
                <c:pt idx="120">
                  <c:v>2.2865449370376734</c:v>
                </c:pt>
                <c:pt idx="121">
                  <c:v>2.2865449370376734</c:v>
                </c:pt>
                <c:pt idx="122">
                  <c:v>2.2865449370376734</c:v>
                </c:pt>
                <c:pt idx="123">
                  <c:v>2.2865449370376734</c:v>
                </c:pt>
                <c:pt idx="124">
                  <c:v>2.2865449370376734</c:v>
                </c:pt>
                <c:pt idx="125">
                  <c:v>2.2865449370376734</c:v>
                </c:pt>
                <c:pt idx="126">
                  <c:v>2.2865449370376734</c:v>
                </c:pt>
                <c:pt idx="127">
                  <c:v>1.6293103394057216</c:v>
                </c:pt>
                <c:pt idx="128">
                  <c:v>1.6293103394057216</c:v>
                </c:pt>
                <c:pt idx="129">
                  <c:v>1.6293103394057216</c:v>
                </c:pt>
                <c:pt idx="130">
                  <c:v>1.6293103394057216</c:v>
                </c:pt>
                <c:pt idx="131">
                  <c:v>1.6293103394057216</c:v>
                </c:pt>
                <c:pt idx="132">
                  <c:v>1.6293103394057216</c:v>
                </c:pt>
                <c:pt idx="133">
                  <c:v>1.6293103394057216</c:v>
                </c:pt>
                <c:pt idx="134">
                  <c:v>1.6293103394057216</c:v>
                </c:pt>
                <c:pt idx="135">
                  <c:v>1.6293103394057216</c:v>
                </c:pt>
                <c:pt idx="136">
                  <c:v>1.6293103394057216</c:v>
                </c:pt>
                <c:pt idx="137">
                  <c:v>1.6293103394057216</c:v>
                </c:pt>
                <c:pt idx="138">
                  <c:v>1.6293103394057216</c:v>
                </c:pt>
                <c:pt idx="139">
                  <c:v>1.7158454726698287</c:v>
                </c:pt>
                <c:pt idx="140">
                  <c:v>1.7158454726698287</c:v>
                </c:pt>
                <c:pt idx="141">
                  <c:v>1.264716604605848</c:v>
                </c:pt>
                <c:pt idx="142">
                  <c:v>1.264716604605848</c:v>
                </c:pt>
                <c:pt idx="143">
                  <c:v>1.264716604605848</c:v>
                </c:pt>
                <c:pt idx="144">
                  <c:v>1.264716604605848</c:v>
                </c:pt>
                <c:pt idx="145">
                  <c:v>1.264716604605848</c:v>
                </c:pt>
                <c:pt idx="146">
                  <c:v>1.264716604605848</c:v>
                </c:pt>
                <c:pt idx="147">
                  <c:v>1.264716604605848</c:v>
                </c:pt>
                <c:pt idx="148">
                  <c:v>1.264716604605848</c:v>
                </c:pt>
                <c:pt idx="149">
                  <c:v>1.264716604605848</c:v>
                </c:pt>
                <c:pt idx="150">
                  <c:v>1.264716604605848</c:v>
                </c:pt>
                <c:pt idx="151">
                  <c:v>1.264716604605848</c:v>
                </c:pt>
                <c:pt idx="152">
                  <c:v>1.264716604605848</c:v>
                </c:pt>
                <c:pt idx="153">
                  <c:v>1.264716604605848</c:v>
                </c:pt>
                <c:pt idx="154">
                  <c:v>1.264716604605848</c:v>
                </c:pt>
                <c:pt idx="155">
                  <c:v>1.264716604605848</c:v>
                </c:pt>
                <c:pt idx="156">
                  <c:v>1.264716604605848</c:v>
                </c:pt>
                <c:pt idx="157">
                  <c:v>1.264716604605848</c:v>
                </c:pt>
                <c:pt idx="158">
                  <c:v>1.264716604605848</c:v>
                </c:pt>
                <c:pt idx="159">
                  <c:v>1.264716604605848</c:v>
                </c:pt>
                <c:pt idx="160">
                  <c:v>1.264716604605848</c:v>
                </c:pt>
                <c:pt idx="161">
                  <c:v>1.264716604605848</c:v>
                </c:pt>
                <c:pt idx="162">
                  <c:v>1.264716604605848</c:v>
                </c:pt>
                <c:pt idx="163">
                  <c:v>1.264716604605848</c:v>
                </c:pt>
                <c:pt idx="164">
                  <c:v>1.264716604605848</c:v>
                </c:pt>
                <c:pt idx="165">
                  <c:v>1.264716604605848</c:v>
                </c:pt>
                <c:pt idx="166">
                  <c:v>1.264716604605848</c:v>
                </c:pt>
                <c:pt idx="167">
                  <c:v>1.264716604605848</c:v>
                </c:pt>
                <c:pt idx="168">
                  <c:v>2.5139292856891995</c:v>
                </c:pt>
                <c:pt idx="169">
                  <c:v>2.5139292856891995</c:v>
                </c:pt>
                <c:pt idx="170">
                  <c:v>2.5139292856891995</c:v>
                </c:pt>
                <c:pt idx="171">
                  <c:v>2.5139292856891995</c:v>
                </c:pt>
                <c:pt idx="172">
                  <c:v>2.5139292856891995</c:v>
                </c:pt>
                <c:pt idx="173">
                  <c:v>2.5139292856891995</c:v>
                </c:pt>
                <c:pt idx="174">
                  <c:v>2.5139292856891995</c:v>
                </c:pt>
                <c:pt idx="175">
                  <c:v>2.5139292856891995</c:v>
                </c:pt>
                <c:pt idx="176">
                  <c:v>2.5139292856891995</c:v>
                </c:pt>
                <c:pt idx="177">
                  <c:v>2.5139292856891995</c:v>
                </c:pt>
                <c:pt idx="178">
                  <c:v>2.5139292856891995</c:v>
                </c:pt>
                <c:pt idx="179">
                  <c:v>3.0466900999385675</c:v>
                </c:pt>
                <c:pt idx="180">
                  <c:v>3.0466900999385675</c:v>
                </c:pt>
                <c:pt idx="181">
                  <c:v>3.0466900999385675</c:v>
                </c:pt>
                <c:pt idx="182">
                  <c:v>3.0466900999385675</c:v>
                </c:pt>
                <c:pt idx="183">
                  <c:v>3.0466900999385675</c:v>
                </c:pt>
                <c:pt idx="184">
                  <c:v>3.0466900999385675</c:v>
                </c:pt>
                <c:pt idx="185">
                  <c:v>3.0466900999385675</c:v>
                </c:pt>
                <c:pt idx="186">
                  <c:v>3.0466900999385675</c:v>
                </c:pt>
                <c:pt idx="187">
                  <c:v>3.0466900999385675</c:v>
                </c:pt>
                <c:pt idx="188">
                  <c:v>3.0466900999385675</c:v>
                </c:pt>
                <c:pt idx="189">
                  <c:v>3.0466900999385675</c:v>
                </c:pt>
                <c:pt idx="190">
                  <c:v>3.0466900999385675</c:v>
                </c:pt>
                <c:pt idx="191">
                  <c:v>2.2439573928506102</c:v>
                </c:pt>
                <c:pt idx="192">
                  <c:v>2.2439573928506102</c:v>
                </c:pt>
                <c:pt idx="193">
                  <c:v>2.2439573928506102</c:v>
                </c:pt>
                <c:pt idx="194">
                  <c:v>2.2439573928506102</c:v>
                </c:pt>
                <c:pt idx="195">
                  <c:v>2.2439573928506102</c:v>
                </c:pt>
                <c:pt idx="196">
                  <c:v>2.2439573928506102</c:v>
                </c:pt>
                <c:pt idx="197">
                  <c:v>2.4740065757793732</c:v>
                </c:pt>
                <c:pt idx="198">
                  <c:v>2.4740065757793732</c:v>
                </c:pt>
                <c:pt idx="199">
                  <c:v>3.2406646352184261</c:v>
                </c:pt>
                <c:pt idx="200">
                  <c:v>3.2406646352184261</c:v>
                </c:pt>
                <c:pt idx="201">
                  <c:v>3.2406646352184261</c:v>
                </c:pt>
                <c:pt idx="202">
                  <c:v>3.2406646352184261</c:v>
                </c:pt>
                <c:pt idx="203">
                  <c:v>3.2406646352184261</c:v>
                </c:pt>
                <c:pt idx="204">
                  <c:v>3.2406646352184261</c:v>
                </c:pt>
                <c:pt idx="205">
                  <c:v>3.2406646352184261</c:v>
                </c:pt>
                <c:pt idx="206">
                  <c:v>3.2406646352184261</c:v>
                </c:pt>
                <c:pt idx="207">
                  <c:v>3.2406646352184261</c:v>
                </c:pt>
                <c:pt idx="208">
                  <c:v>3.2406646352184261</c:v>
                </c:pt>
                <c:pt idx="209">
                  <c:v>3.2406646352184261</c:v>
                </c:pt>
                <c:pt idx="210">
                  <c:v>3.2406646352184261</c:v>
                </c:pt>
                <c:pt idx="211">
                  <c:v>3.2406646352184261</c:v>
                </c:pt>
                <c:pt idx="212">
                  <c:v>3.2406646352184261</c:v>
                </c:pt>
                <c:pt idx="213">
                  <c:v>3.2406646352184261</c:v>
                </c:pt>
                <c:pt idx="214">
                  <c:v>3.2406646352184261</c:v>
                </c:pt>
                <c:pt idx="215">
                  <c:v>3.2406646352184261</c:v>
                </c:pt>
                <c:pt idx="216">
                  <c:v>3.2406646352184261</c:v>
                </c:pt>
                <c:pt idx="217">
                  <c:v>3.2406646352184261</c:v>
                </c:pt>
                <c:pt idx="218">
                  <c:v>3.2406646352184261</c:v>
                </c:pt>
                <c:pt idx="219">
                  <c:v>3.2406646352184261</c:v>
                </c:pt>
                <c:pt idx="220">
                  <c:v>3.2406646352184261</c:v>
                </c:pt>
                <c:pt idx="221">
                  <c:v>3.2406646352184261</c:v>
                </c:pt>
                <c:pt idx="222">
                  <c:v>3.2406646352184261</c:v>
                </c:pt>
                <c:pt idx="223">
                  <c:v>3.2406646352184261</c:v>
                </c:pt>
                <c:pt idx="224">
                  <c:v>3.2406646352184261</c:v>
                </c:pt>
                <c:pt idx="225">
                  <c:v>3.2406646352184261</c:v>
                </c:pt>
                <c:pt idx="226">
                  <c:v>3.2406646352184261</c:v>
                </c:pt>
                <c:pt idx="227">
                  <c:v>3.2406646352184261</c:v>
                </c:pt>
                <c:pt idx="228">
                  <c:v>3.2406646352184261</c:v>
                </c:pt>
                <c:pt idx="229">
                  <c:v>3.2406646352184261</c:v>
                </c:pt>
                <c:pt idx="230">
                  <c:v>3.2406646352184261</c:v>
                </c:pt>
                <c:pt idx="231">
                  <c:v>3.2406646352184261</c:v>
                </c:pt>
                <c:pt idx="232">
                  <c:v>3.2406646352184261</c:v>
                </c:pt>
                <c:pt idx="233">
                  <c:v>3.2406646352184261</c:v>
                </c:pt>
                <c:pt idx="234">
                  <c:v>3.2406646352184261</c:v>
                </c:pt>
                <c:pt idx="235">
                  <c:v>3.2406646352184261</c:v>
                </c:pt>
                <c:pt idx="236">
                  <c:v>3.2406646352184261</c:v>
                </c:pt>
                <c:pt idx="237">
                  <c:v>3.2406646352184261</c:v>
                </c:pt>
                <c:pt idx="238">
                  <c:v>3.2406646352184261</c:v>
                </c:pt>
                <c:pt idx="239">
                  <c:v>3.2406646352184261</c:v>
                </c:pt>
                <c:pt idx="240">
                  <c:v>3.2406646352184261</c:v>
                </c:pt>
                <c:pt idx="241">
                  <c:v>3.2406646352184261</c:v>
                </c:pt>
                <c:pt idx="242">
                  <c:v>3.2406646352184261</c:v>
                </c:pt>
                <c:pt idx="243">
                  <c:v>3.2406646352184261</c:v>
                </c:pt>
                <c:pt idx="244">
                  <c:v>3.2406646352184261</c:v>
                </c:pt>
                <c:pt idx="245">
                  <c:v>3.2406646352184261</c:v>
                </c:pt>
                <c:pt idx="246">
                  <c:v>3.2406646352184261</c:v>
                </c:pt>
                <c:pt idx="247">
                  <c:v>3.2406646352184261</c:v>
                </c:pt>
                <c:pt idx="248">
                  <c:v>3.2406646352184261</c:v>
                </c:pt>
                <c:pt idx="249">
                  <c:v>3.2406646352184261</c:v>
                </c:pt>
                <c:pt idx="250">
                  <c:v>3.2406646352184261</c:v>
                </c:pt>
                <c:pt idx="251">
                  <c:v>3.2406646352184261</c:v>
                </c:pt>
                <c:pt idx="252">
                  <c:v>3.2406646352184261</c:v>
                </c:pt>
                <c:pt idx="253">
                  <c:v>3.2406646352184261</c:v>
                </c:pt>
                <c:pt idx="254">
                  <c:v>3.2406646352184261</c:v>
                </c:pt>
                <c:pt idx="255">
                  <c:v>3.2406646352184261</c:v>
                </c:pt>
                <c:pt idx="256">
                  <c:v>3.2406646352184261</c:v>
                </c:pt>
                <c:pt idx="257">
                  <c:v>3.2406646352184261</c:v>
                </c:pt>
                <c:pt idx="258">
                  <c:v>3.2406646352184261</c:v>
                </c:pt>
                <c:pt idx="259">
                  <c:v>2.1815476670105491</c:v>
                </c:pt>
                <c:pt idx="260">
                  <c:v>2.1815476670105491</c:v>
                </c:pt>
                <c:pt idx="261">
                  <c:v>2.1815476670105491</c:v>
                </c:pt>
                <c:pt idx="262">
                  <c:v>2.1815476670105491</c:v>
                </c:pt>
                <c:pt idx="263">
                  <c:v>2.1815476670105491</c:v>
                </c:pt>
                <c:pt idx="264">
                  <c:v>1.7186739929507637</c:v>
                </c:pt>
                <c:pt idx="265">
                  <c:v>1.7186739929507637</c:v>
                </c:pt>
                <c:pt idx="266">
                  <c:v>1.7186739929507637</c:v>
                </c:pt>
                <c:pt idx="267">
                  <c:v>1.7186739929507637</c:v>
                </c:pt>
                <c:pt idx="268">
                  <c:v>1.7186739929507637</c:v>
                </c:pt>
                <c:pt idx="269">
                  <c:v>1.7186739929507637</c:v>
                </c:pt>
                <c:pt idx="270">
                  <c:v>1.7186739929507637</c:v>
                </c:pt>
                <c:pt idx="271">
                  <c:v>1.7186739929507637</c:v>
                </c:pt>
                <c:pt idx="272">
                  <c:v>1.7186739929507637</c:v>
                </c:pt>
                <c:pt idx="273">
                  <c:v>1.7186739929507637</c:v>
                </c:pt>
                <c:pt idx="274">
                  <c:v>1.7186739929507637</c:v>
                </c:pt>
                <c:pt idx="275">
                  <c:v>2.0574787067554756</c:v>
                </c:pt>
                <c:pt idx="276">
                  <c:v>2.0574787067554756</c:v>
                </c:pt>
                <c:pt idx="277">
                  <c:v>2.0574787067554756</c:v>
                </c:pt>
                <c:pt idx="278">
                  <c:v>2.0574787067554756</c:v>
                </c:pt>
                <c:pt idx="279">
                  <c:v>2.0574787067554756</c:v>
                </c:pt>
                <c:pt idx="280">
                  <c:v>2.0574787067554756</c:v>
                </c:pt>
                <c:pt idx="281">
                  <c:v>2.0574787067554756</c:v>
                </c:pt>
                <c:pt idx="282">
                  <c:v>2.0574787067554756</c:v>
                </c:pt>
                <c:pt idx="283">
                  <c:v>2.0574787067554756</c:v>
                </c:pt>
                <c:pt idx="284">
                  <c:v>2.0574787067554756</c:v>
                </c:pt>
                <c:pt idx="285">
                  <c:v>2.0574787067554756</c:v>
                </c:pt>
                <c:pt idx="286">
                  <c:v>2.0574787067554756</c:v>
                </c:pt>
                <c:pt idx="287">
                  <c:v>2.0574787067554756</c:v>
                </c:pt>
                <c:pt idx="288">
                  <c:v>2.0574787067554756</c:v>
                </c:pt>
                <c:pt idx="289">
                  <c:v>2.0574787067554756</c:v>
                </c:pt>
                <c:pt idx="290">
                  <c:v>2.0574787067554756</c:v>
                </c:pt>
                <c:pt idx="291">
                  <c:v>2.0574787067554756</c:v>
                </c:pt>
                <c:pt idx="292">
                  <c:v>2.0574787067554756</c:v>
                </c:pt>
                <c:pt idx="293">
                  <c:v>2.0574787067554756</c:v>
                </c:pt>
                <c:pt idx="294">
                  <c:v>2.0574787067554756</c:v>
                </c:pt>
                <c:pt idx="295">
                  <c:v>2.0574787067554756</c:v>
                </c:pt>
                <c:pt idx="296">
                  <c:v>2.0574787067554756</c:v>
                </c:pt>
                <c:pt idx="297">
                  <c:v>2.0574787067554756</c:v>
                </c:pt>
                <c:pt idx="298">
                  <c:v>2.0574787067554756</c:v>
                </c:pt>
                <c:pt idx="299">
                  <c:v>2.0574787067554756</c:v>
                </c:pt>
                <c:pt idx="300">
                  <c:v>2.0574787067554756</c:v>
                </c:pt>
                <c:pt idx="301">
                  <c:v>2.0574787067554756</c:v>
                </c:pt>
                <c:pt idx="302">
                  <c:v>2.0574787067554756</c:v>
                </c:pt>
                <c:pt idx="303">
                  <c:v>2.0574787067554756</c:v>
                </c:pt>
                <c:pt idx="304">
                  <c:v>2.0574787067554756</c:v>
                </c:pt>
                <c:pt idx="305">
                  <c:v>2.0574787067554756</c:v>
                </c:pt>
                <c:pt idx="306">
                  <c:v>2.0574787067554756</c:v>
                </c:pt>
                <c:pt idx="307">
                  <c:v>2.0574787067554756</c:v>
                </c:pt>
                <c:pt idx="308">
                  <c:v>2.4788862078089964</c:v>
                </c:pt>
                <c:pt idx="309">
                  <c:v>2.4788862078089964</c:v>
                </c:pt>
                <c:pt idx="310">
                  <c:v>2.4788862078089964</c:v>
                </c:pt>
                <c:pt idx="311">
                  <c:v>2.4788862078089964</c:v>
                </c:pt>
                <c:pt idx="312">
                  <c:v>2.4788862078089964</c:v>
                </c:pt>
                <c:pt idx="313">
                  <c:v>2.4788862078089964</c:v>
                </c:pt>
                <c:pt idx="314">
                  <c:v>2.4788862078089964</c:v>
                </c:pt>
                <c:pt idx="315">
                  <c:v>2.4788862078089964</c:v>
                </c:pt>
                <c:pt idx="316">
                  <c:v>2.4788862078089964</c:v>
                </c:pt>
                <c:pt idx="317">
                  <c:v>2.4788862078089964</c:v>
                </c:pt>
                <c:pt idx="318">
                  <c:v>2.4788862078089964</c:v>
                </c:pt>
                <c:pt idx="319">
                  <c:v>2.4788862078089964</c:v>
                </c:pt>
                <c:pt idx="320">
                  <c:v>2.4788862078089964</c:v>
                </c:pt>
                <c:pt idx="321">
                  <c:v>2.4788862078089964</c:v>
                </c:pt>
                <c:pt idx="322">
                  <c:v>2.4788862078089964</c:v>
                </c:pt>
                <c:pt idx="323">
                  <c:v>2.4788862078089964</c:v>
                </c:pt>
                <c:pt idx="324">
                  <c:v>2.4788862078089964</c:v>
                </c:pt>
                <c:pt idx="325">
                  <c:v>2.4788862078089964</c:v>
                </c:pt>
                <c:pt idx="326">
                  <c:v>2.4788862078089964</c:v>
                </c:pt>
                <c:pt idx="327">
                  <c:v>2.4788862078089964</c:v>
                </c:pt>
                <c:pt idx="328">
                  <c:v>2.4788862078089964</c:v>
                </c:pt>
                <c:pt idx="329">
                  <c:v>2.4788862078089964</c:v>
                </c:pt>
                <c:pt idx="330">
                  <c:v>2.4788862078089964</c:v>
                </c:pt>
                <c:pt idx="331">
                  <c:v>2.4788862078089964</c:v>
                </c:pt>
                <c:pt idx="332">
                  <c:v>2.4788862078089964</c:v>
                </c:pt>
                <c:pt idx="333">
                  <c:v>2.4788862078089964</c:v>
                </c:pt>
                <c:pt idx="334">
                  <c:v>2.4788862078089964</c:v>
                </c:pt>
                <c:pt idx="335">
                  <c:v>2.4788862078089964</c:v>
                </c:pt>
                <c:pt idx="336">
                  <c:v>2.4788862078089964</c:v>
                </c:pt>
                <c:pt idx="337">
                  <c:v>2.4788862078089964</c:v>
                </c:pt>
                <c:pt idx="338">
                  <c:v>2.4788862078089964</c:v>
                </c:pt>
                <c:pt idx="339">
                  <c:v>2.4788862078089964</c:v>
                </c:pt>
                <c:pt idx="340">
                  <c:v>2.4788862078089964</c:v>
                </c:pt>
                <c:pt idx="341">
                  <c:v>2.4788862078089964</c:v>
                </c:pt>
                <c:pt idx="342">
                  <c:v>2.4788862078089964</c:v>
                </c:pt>
                <c:pt idx="343">
                  <c:v>2.4788862078089964</c:v>
                </c:pt>
                <c:pt idx="344">
                  <c:v>2.4788862078089964</c:v>
                </c:pt>
                <c:pt idx="345">
                  <c:v>2.4788862078089964</c:v>
                </c:pt>
                <c:pt idx="346">
                  <c:v>2.4788862078089964</c:v>
                </c:pt>
                <c:pt idx="347">
                  <c:v>2.4788862078089964</c:v>
                </c:pt>
                <c:pt idx="348">
                  <c:v>2.4788862078089964</c:v>
                </c:pt>
                <c:pt idx="349">
                  <c:v>2.4788862078089964</c:v>
                </c:pt>
                <c:pt idx="350">
                  <c:v>2.4788862078089964</c:v>
                </c:pt>
                <c:pt idx="351">
                  <c:v>2.4788862078089964</c:v>
                </c:pt>
                <c:pt idx="352">
                  <c:v>2.4788862078089964</c:v>
                </c:pt>
                <c:pt idx="353">
                  <c:v>2.4788862078089964</c:v>
                </c:pt>
                <c:pt idx="354">
                  <c:v>2.4788862078089964</c:v>
                </c:pt>
                <c:pt idx="355">
                  <c:v>2.4788862078089964</c:v>
                </c:pt>
                <c:pt idx="356">
                  <c:v>2.4788862078089964</c:v>
                </c:pt>
                <c:pt idx="357">
                  <c:v>2.4788862078089964</c:v>
                </c:pt>
                <c:pt idx="358">
                  <c:v>2.4788862078089964</c:v>
                </c:pt>
                <c:pt idx="359">
                  <c:v>2.4788862078089964</c:v>
                </c:pt>
                <c:pt idx="360">
                  <c:v>2.4788862078089964</c:v>
                </c:pt>
                <c:pt idx="361">
                  <c:v>2.4788862078089964</c:v>
                </c:pt>
                <c:pt idx="362">
                  <c:v>2.4788862078089964</c:v>
                </c:pt>
                <c:pt idx="363">
                  <c:v>2.4788862078089964</c:v>
                </c:pt>
                <c:pt idx="364">
                  <c:v>2.4788862078089964</c:v>
                </c:pt>
                <c:pt idx="365">
                  <c:v>2.4788862078089964</c:v>
                </c:pt>
                <c:pt idx="366">
                  <c:v>2.4788862078089964</c:v>
                </c:pt>
                <c:pt idx="367">
                  <c:v>2.4788862078089964</c:v>
                </c:pt>
                <c:pt idx="368">
                  <c:v>2.4788862078089964</c:v>
                </c:pt>
                <c:pt idx="369">
                  <c:v>2.4788862078089964</c:v>
                </c:pt>
                <c:pt idx="370">
                  <c:v>2.4788862078089964</c:v>
                </c:pt>
                <c:pt idx="371">
                  <c:v>2.4788862078089964</c:v>
                </c:pt>
                <c:pt idx="372">
                  <c:v>2.4788862078089964</c:v>
                </c:pt>
                <c:pt idx="373">
                  <c:v>2.4788862078089964</c:v>
                </c:pt>
                <c:pt idx="374">
                  <c:v>2.4788862078089964</c:v>
                </c:pt>
                <c:pt idx="375">
                  <c:v>2.4788862078089964</c:v>
                </c:pt>
                <c:pt idx="376">
                  <c:v>2.4788862078089964</c:v>
                </c:pt>
                <c:pt idx="377">
                  <c:v>2.4788862078089964</c:v>
                </c:pt>
                <c:pt idx="378">
                  <c:v>2.4788862078089964</c:v>
                </c:pt>
                <c:pt idx="379">
                  <c:v>2.4788862078089964</c:v>
                </c:pt>
                <c:pt idx="380">
                  <c:v>2.4788862078089964</c:v>
                </c:pt>
                <c:pt idx="381">
                  <c:v>2.4788862078089964</c:v>
                </c:pt>
                <c:pt idx="382">
                  <c:v>2.4788862078089964</c:v>
                </c:pt>
                <c:pt idx="383">
                  <c:v>2.4788862078089964</c:v>
                </c:pt>
                <c:pt idx="384">
                  <c:v>2.4788862078089964</c:v>
                </c:pt>
                <c:pt idx="385">
                  <c:v>2.4788862078089964</c:v>
                </c:pt>
                <c:pt idx="386">
                  <c:v>2.4788862078089964</c:v>
                </c:pt>
                <c:pt idx="387">
                  <c:v>2.4788862078089964</c:v>
                </c:pt>
                <c:pt idx="388">
                  <c:v>2.4788862078089964</c:v>
                </c:pt>
                <c:pt idx="389">
                  <c:v>2.4788862078089964</c:v>
                </c:pt>
                <c:pt idx="390">
                  <c:v>2.4788862078089964</c:v>
                </c:pt>
                <c:pt idx="391">
                  <c:v>2.4788862078089964</c:v>
                </c:pt>
                <c:pt idx="392">
                  <c:v>2.4788862078089964</c:v>
                </c:pt>
                <c:pt idx="393">
                  <c:v>2.4788862078089964</c:v>
                </c:pt>
                <c:pt idx="394">
                  <c:v>2.4788862078089964</c:v>
                </c:pt>
                <c:pt idx="395">
                  <c:v>2.4788862078089964</c:v>
                </c:pt>
                <c:pt idx="396">
                  <c:v>2.4788862078089964</c:v>
                </c:pt>
                <c:pt idx="397">
                  <c:v>2.4788862078089964</c:v>
                </c:pt>
                <c:pt idx="398">
                  <c:v>2.4788862078089964</c:v>
                </c:pt>
                <c:pt idx="399">
                  <c:v>2.4788862078089964</c:v>
                </c:pt>
                <c:pt idx="400">
                  <c:v>2.4788862078089964</c:v>
                </c:pt>
                <c:pt idx="401">
                  <c:v>2.4788862078089964</c:v>
                </c:pt>
                <c:pt idx="402">
                  <c:v>2.4788862078089964</c:v>
                </c:pt>
                <c:pt idx="403">
                  <c:v>2.4788862078089964</c:v>
                </c:pt>
                <c:pt idx="404">
                  <c:v>2.4788862078089964</c:v>
                </c:pt>
                <c:pt idx="405">
                  <c:v>2.4788862078089964</c:v>
                </c:pt>
                <c:pt idx="406">
                  <c:v>2.4788862078089964</c:v>
                </c:pt>
                <c:pt idx="407">
                  <c:v>2.4788862078089964</c:v>
                </c:pt>
                <c:pt idx="408">
                  <c:v>2.4788862078089964</c:v>
                </c:pt>
                <c:pt idx="409">
                  <c:v>2.4788862078089964</c:v>
                </c:pt>
                <c:pt idx="410">
                  <c:v>2.4788862078089964</c:v>
                </c:pt>
                <c:pt idx="411">
                  <c:v>2.4788862078089964</c:v>
                </c:pt>
                <c:pt idx="412">
                  <c:v>2.4788862078089964</c:v>
                </c:pt>
                <c:pt idx="413">
                  <c:v>2.4788862078089964</c:v>
                </c:pt>
                <c:pt idx="414">
                  <c:v>2.4788862078089964</c:v>
                </c:pt>
                <c:pt idx="415">
                  <c:v>2.4788862078089964</c:v>
                </c:pt>
                <c:pt idx="416">
                  <c:v>2.4788862078089964</c:v>
                </c:pt>
                <c:pt idx="417">
                  <c:v>2.4788862078089964</c:v>
                </c:pt>
                <c:pt idx="418">
                  <c:v>2.4788862078089964</c:v>
                </c:pt>
              </c:numCache>
            </c:numRef>
          </c:val>
          <c:smooth val="1"/>
          <c:extLst>
            <c:ext xmlns:c16="http://schemas.microsoft.com/office/drawing/2014/chart" uri="{C3380CC4-5D6E-409C-BE32-E72D297353CC}">
              <c16:uniqueId val="{00000001-8B10-4F45-997A-CD7B20248F9C}"/>
            </c:ext>
          </c:extLst>
        </c:ser>
        <c:ser>
          <c:idx val="2"/>
          <c:order val="3"/>
          <c:tx>
            <c:v>SW</c:v>
          </c:tx>
          <c:spPr>
            <a:ln w="28575" cap="rnd">
              <a:solidFill>
                <a:srgbClr val="0070C0"/>
              </a:solidFill>
              <a:prstDash val="solid"/>
              <a:round/>
            </a:ln>
            <a:effectLst/>
          </c:spPr>
          <c:marker>
            <c:symbol val="none"/>
          </c:marker>
          <c:val>
            <c:numRef>
              <c:f>'2025-Q2'!$ER$4:$ER$422</c:f>
              <c:numCache>
                <c:formatCode>0.00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0.4926597949853756</c:v>
                </c:pt>
                <c:pt idx="54">
                  <c:v>0.4926597949853756</c:v>
                </c:pt>
                <c:pt idx="55">
                  <c:v>0.4926597949853756</c:v>
                </c:pt>
                <c:pt idx="56">
                  <c:v>0.4926597949853756</c:v>
                </c:pt>
                <c:pt idx="57">
                  <c:v>0.4926597949853756</c:v>
                </c:pt>
                <c:pt idx="58">
                  <c:v>0.4926597949853756</c:v>
                </c:pt>
                <c:pt idx="59">
                  <c:v>0.4926597949853756</c:v>
                </c:pt>
                <c:pt idx="60">
                  <c:v>0.4926597949853756</c:v>
                </c:pt>
                <c:pt idx="61">
                  <c:v>0.4926597949853756</c:v>
                </c:pt>
                <c:pt idx="62">
                  <c:v>0.4926597949853756</c:v>
                </c:pt>
                <c:pt idx="63">
                  <c:v>0.4926597949853756</c:v>
                </c:pt>
                <c:pt idx="64">
                  <c:v>0.4926597949853756</c:v>
                </c:pt>
                <c:pt idx="65">
                  <c:v>0.4926597949853756</c:v>
                </c:pt>
                <c:pt idx="66">
                  <c:v>0.4926597949853756</c:v>
                </c:pt>
                <c:pt idx="67">
                  <c:v>0.4926597949853756</c:v>
                </c:pt>
                <c:pt idx="68">
                  <c:v>0.4926597949853756</c:v>
                </c:pt>
                <c:pt idx="69">
                  <c:v>0.4926597949853756</c:v>
                </c:pt>
                <c:pt idx="70">
                  <c:v>0.4926597949853756</c:v>
                </c:pt>
                <c:pt idx="71">
                  <c:v>0.4926597949853756</c:v>
                </c:pt>
                <c:pt idx="72">
                  <c:v>0.4926597949853756</c:v>
                </c:pt>
                <c:pt idx="73">
                  <c:v>0.4926597949853756</c:v>
                </c:pt>
                <c:pt idx="74">
                  <c:v>0.4926597949853756</c:v>
                </c:pt>
                <c:pt idx="75">
                  <c:v>0.4926597949853756</c:v>
                </c:pt>
                <c:pt idx="76">
                  <c:v>0.4926597949853756</c:v>
                </c:pt>
                <c:pt idx="77">
                  <c:v>0.4926597949853756</c:v>
                </c:pt>
                <c:pt idx="78">
                  <c:v>0.4926597949853756</c:v>
                </c:pt>
                <c:pt idx="79">
                  <c:v>0.4926597949853756</c:v>
                </c:pt>
                <c:pt idx="80">
                  <c:v>0.4926597949853756</c:v>
                </c:pt>
                <c:pt idx="81">
                  <c:v>0.4926597949853756</c:v>
                </c:pt>
                <c:pt idx="82">
                  <c:v>0.4926597949853756</c:v>
                </c:pt>
                <c:pt idx="83">
                  <c:v>0.4926597949853756</c:v>
                </c:pt>
                <c:pt idx="84">
                  <c:v>0.4926597949853756</c:v>
                </c:pt>
                <c:pt idx="85">
                  <c:v>0.4926597949853756</c:v>
                </c:pt>
                <c:pt idx="86">
                  <c:v>0.4926597949853756</c:v>
                </c:pt>
                <c:pt idx="87">
                  <c:v>0.4926597949853756</c:v>
                </c:pt>
                <c:pt idx="88">
                  <c:v>0.4926597949853756</c:v>
                </c:pt>
                <c:pt idx="89">
                  <c:v>0.4926597949853756</c:v>
                </c:pt>
                <c:pt idx="90">
                  <c:v>0.4926597949853756</c:v>
                </c:pt>
                <c:pt idx="91">
                  <c:v>0.4926597949853756</c:v>
                </c:pt>
                <c:pt idx="92">
                  <c:v>0.4926597949853756</c:v>
                </c:pt>
                <c:pt idx="93">
                  <c:v>0.4926597949853756</c:v>
                </c:pt>
                <c:pt idx="94">
                  <c:v>0.4926597949853756</c:v>
                </c:pt>
                <c:pt idx="95">
                  <c:v>0.4926597949853756</c:v>
                </c:pt>
                <c:pt idx="96">
                  <c:v>0.4926597949853756</c:v>
                </c:pt>
                <c:pt idx="97">
                  <c:v>0.4926597949853756</c:v>
                </c:pt>
                <c:pt idx="98">
                  <c:v>0.4926597949853756</c:v>
                </c:pt>
                <c:pt idx="99">
                  <c:v>0.4926597949853756</c:v>
                </c:pt>
                <c:pt idx="100">
                  <c:v>0.4926597949853756</c:v>
                </c:pt>
                <c:pt idx="101">
                  <c:v>0.4926597949853756</c:v>
                </c:pt>
                <c:pt idx="102">
                  <c:v>0.4926597949853756</c:v>
                </c:pt>
                <c:pt idx="103">
                  <c:v>0.4926597949853756</c:v>
                </c:pt>
                <c:pt idx="104">
                  <c:v>0.4926597949853756</c:v>
                </c:pt>
                <c:pt idx="105">
                  <c:v>0.4926597949853756</c:v>
                </c:pt>
                <c:pt idx="106">
                  <c:v>0.4926597949853756</c:v>
                </c:pt>
                <c:pt idx="107">
                  <c:v>0.4926597949853756</c:v>
                </c:pt>
                <c:pt idx="108">
                  <c:v>0.4926597949853756</c:v>
                </c:pt>
                <c:pt idx="109">
                  <c:v>0.4926597949853756</c:v>
                </c:pt>
                <c:pt idx="110">
                  <c:v>0.4926597949853756</c:v>
                </c:pt>
                <c:pt idx="111">
                  <c:v>0.4926597949853756</c:v>
                </c:pt>
                <c:pt idx="112">
                  <c:v>0.4926597949853756</c:v>
                </c:pt>
                <c:pt idx="113">
                  <c:v>0.4926597949853756</c:v>
                </c:pt>
                <c:pt idx="114">
                  <c:v>0.4926597949853756</c:v>
                </c:pt>
                <c:pt idx="115">
                  <c:v>0.4926597949853756</c:v>
                </c:pt>
                <c:pt idx="116">
                  <c:v>0.4926597949853756</c:v>
                </c:pt>
                <c:pt idx="117">
                  <c:v>0.4926597949853756</c:v>
                </c:pt>
                <c:pt idx="118">
                  <c:v>0.4926597949853756</c:v>
                </c:pt>
                <c:pt idx="119">
                  <c:v>0.4926597949853756</c:v>
                </c:pt>
                <c:pt idx="120">
                  <c:v>0.4926597949853756</c:v>
                </c:pt>
                <c:pt idx="121">
                  <c:v>0.4926597949853756</c:v>
                </c:pt>
                <c:pt idx="122">
                  <c:v>0.4926597949853756</c:v>
                </c:pt>
                <c:pt idx="123">
                  <c:v>0.4926597949853756</c:v>
                </c:pt>
                <c:pt idx="124">
                  <c:v>0.4926597949853756</c:v>
                </c:pt>
                <c:pt idx="125">
                  <c:v>0.4926597949853756</c:v>
                </c:pt>
                <c:pt idx="126">
                  <c:v>0.4926597949853756</c:v>
                </c:pt>
                <c:pt idx="127">
                  <c:v>0.4926597949853756</c:v>
                </c:pt>
                <c:pt idx="128">
                  <c:v>0.4926597949853756</c:v>
                </c:pt>
                <c:pt idx="129">
                  <c:v>0.4926597949853756</c:v>
                </c:pt>
                <c:pt idx="130">
                  <c:v>0.4926597949853756</c:v>
                </c:pt>
                <c:pt idx="131">
                  <c:v>0.4926597949853756</c:v>
                </c:pt>
                <c:pt idx="132">
                  <c:v>0.4926597949853756</c:v>
                </c:pt>
                <c:pt idx="133">
                  <c:v>0.4926597949853756</c:v>
                </c:pt>
                <c:pt idx="134">
                  <c:v>0.4926597949853756</c:v>
                </c:pt>
                <c:pt idx="135">
                  <c:v>0.4926597949853756</c:v>
                </c:pt>
                <c:pt idx="136">
                  <c:v>0.4926597949853756</c:v>
                </c:pt>
                <c:pt idx="137">
                  <c:v>0.4926597949853756</c:v>
                </c:pt>
                <c:pt idx="138">
                  <c:v>0.4926597949853756</c:v>
                </c:pt>
                <c:pt idx="139">
                  <c:v>0.4926597949853756</c:v>
                </c:pt>
                <c:pt idx="140">
                  <c:v>0.4926597949853756</c:v>
                </c:pt>
                <c:pt idx="141">
                  <c:v>0.4926597949853756</c:v>
                </c:pt>
                <c:pt idx="142">
                  <c:v>0.4926597949853756</c:v>
                </c:pt>
                <c:pt idx="143">
                  <c:v>0.4926597949853756</c:v>
                </c:pt>
                <c:pt idx="144">
                  <c:v>0.4926597949853756</c:v>
                </c:pt>
                <c:pt idx="145">
                  <c:v>0.4926597949853756</c:v>
                </c:pt>
                <c:pt idx="146">
                  <c:v>0.4926597949853756</c:v>
                </c:pt>
                <c:pt idx="147">
                  <c:v>0.4926597949853756</c:v>
                </c:pt>
                <c:pt idx="148">
                  <c:v>0.4926597949853756</c:v>
                </c:pt>
                <c:pt idx="149">
                  <c:v>1.5025175479314647</c:v>
                </c:pt>
                <c:pt idx="150">
                  <c:v>1.5025175479314647</c:v>
                </c:pt>
                <c:pt idx="151">
                  <c:v>1.5025175479314647</c:v>
                </c:pt>
                <c:pt idx="152">
                  <c:v>1.5025175479314647</c:v>
                </c:pt>
                <c:pt idx="153">
                  <c:v>1.5025175479314647</c:v>
                </c:pt>
                <c:pt idx="154">
                  <c:v>1.5025175479314647</c:v>
                </c:pt>
                <c:pt idx="155">
                  <c:v>1.5025175479314647</c:v>
                </c:pt>
                <c:pt idx="156">
                  <c:v>1.5025175479314647</c:v>
                </c:pt>
                <c:pt idx="157">
                  <c:v>1.5025175479314647</c:v>
                </c:pt>
                <c:pt idx="158">
                  <c:v>1.5025175479314647</c:v>
                </c:pt>
                <c:pt idx="159">
                  <c:v>1.5025175479314647</c:v>
                </c:pt>
                <c:pt idx="160">
                  <c:v>1.5025175479314647</c:v>
                </c:pt>
                <c:pt idx="161">
                  <c:v>1.5025175479314647</c:v>
                </c:pt>
                <c:pt idx="162">
                  <c:v>1.5025175479314647</c:v>
                </c:pt>
                <c:pt idx="163">
                  <c:v>1.5025175479314647</c:v>
                </c:pt>
                <c:pt idx="164">
                  <c:v>1.5025175479314647</c:v>
                </c:pt>
                <c:pt idx="165">
                  <c:v>1.5025175479314647</c:v>
                </c:pt>
                <c:pt idx="166">
                  <c:v>1.5025175479314647</c:v>
                </c:pt>
                <c:pt idx="167">
                  <c:v>1.5025175479314647</c:v>
                </c:pt>
                <c:pt idx="168">
                  <c:v>1.5025175479314647</c:v>
                </c:pt>
                <c:pt idx="169">
                  <c:v>1.5025175479314647</c:v>
                </c:pt>
                <c:pt idx="170">
                  <c:v>1.5025175479314647</c:v>
                </c:pt>
                <c:pt idx="171">
                  <c:v>1.5025175479314647</c:v>
                </c:pt>
                <c:pt idx="172">
                  <c:v>1.5025175479314647</c:v>
                </c:pt>
                <c:pt idx="173">
                  <c:v>2.0221833315059508</c:v>
                </c:pt>
                <c:pt idx="174">
                  <c:v>2.0221833315059508</c:v>
                </c:pt>
                <c:pt idx="175">
                  <c:v>2.0221833315059508</c:v>
                </c:pt>
                <c:pt idx="176">
                  <c:v>2.0221833315059508</c:v>
                </c:pt>
                <c:pt idx="177">
                  <c:v>2.0221833315059508</c:v>
                </c:pt>
                <c:pt idx="178">
                  <c:v>2.0221833315059508</c:v>
                </c:pt>
                <c:pt idx="179">
                  <c:v>2.0221833315059508</c:v>
                </c:pt>
                <c:pt idx="180">
                  <c:v>2.0221833315059508</c:v>
                </c:pt>
                <c:pt idx="181">
                  <c:v>2.0221833315059508</c:v>
                </c:pt>
                <c:pt idx="182">
                  <c:v>2.0221833315059508</c:v>
                </c:pt>
                <c:pt idx="183">
                  <c:v>2.0221833315059508</c:v>
                </c:pt>
                <c:pt idx="184">
                  <c:v>2.0221833315059508</c:v>
                </c:pt>
                <c:pt idx="185">
                  <c:v>2.0221833315059508</c:v>
                </c:pt>
                <c:pt idx="186">
                  <c:v>2.0221833315059508</c:v>
                </c:pt>
                <c:pt idx="187">
                  <c:v>2.0221833315059508</c:v>
                </c:pt>
                <c:pt idx="188">
                  <c:v>2.0221833315059508</c:v>
                </c:pt>
                <c:pt idx="189">
                  <c:v>2.0221833315059508</c:v>
                </c:pt>
                <c:pt idx="190">
                  <c:v>2.0221833315059508</c:v>
                </c:pt>
                <c:pt idx="191">
                  <c:v>2.0221833315059508</c:v>
                </c:pt>
                <c:pt idx="192">
                  <c:v>2.0221833315059508</c:v>
                </c:pt>
                <c:pt idx="193">
                  <c:v>2.0221833315059508</c:v>
                </c:pt>
                <c:pt idx="194">
                  <c:v>2.0221833315059508</c:v>
                </c:pt>
                <c:pt idx="195">
                  <c:v>2.0221833315059508</c:v>
                </c:pt>
                <c:pt idx="196">
                  <c:v>2.0221833315059508</c:v>
                </c:pt>
                <c:pt idx="197">
                  <c:v>2.0221833315059508</c:v>
                </c:pt>
                <c:pt idx="198">
                  <c:v>2.0221833315059508</c:v>
                </c:pt>
                <c:pt idx="199">
                  <c:v>2.0221833315059508</c:v>
                </c:pt>
                <c:pt idx="200">
                  <c:v>2.0221833315059508</c:v>
                </c:pt>
                <c:pt idx="201">
                  <c:v>2.0221833315059508</c:v>
                </c:pt>
                <c:pt idx="202">
                  <c:v>2.0221833315059508</c:v>
                </c:pt>
                <c:pt idx="203">
                  <c:v>2.0221833315059508</c:v>
                </c:pt>
                <c:pt idx="204">
                  <c:v>2.0221833315059508</c:v>
                </c:pt>
                <c:pt idx="205">
                  <c:v>2.0221833315059508</c:v>
                </c:pt>
                <c:pt idx="206">
                  <c:v>2.0221833315059508</c:v>
                </c:pt>
                <c:pt idx="207">
                  <c:v>2.0221833315059508</c:v>
                </c:pt>
                <c:pt idx="208">
                  <c:v>2.0221833315059508</c:v>
                </c:pt>
                <c:pt idx="209">
                  <c:v>2.0221833315059508</c:v>
                </c:pt>
                <c:pt idx="210">
                  <c:v>2.0221833315059508</c:v>
                </c:pt>
                <c:pt idx="211">
                  <c:v>1.441536272249796</c:v>
                </c:pt>
                <c:pt idx="212">
                  <c:v>1.441536272249796</c:v>
                </c:pt>
                <c:pt idx="213">
                  <c:v>1.441536272249796</c:v>
                </c:pt>
                <c:pt idx="214">
                  <c:v>1.441536272249796</c:v>
                </c:pt>
                <c:pt idx="215">
                  <c:v>1.441536272249796</c:v>
                </c:pt>
                <c:pt idx="216">
                  <c:v>1.441536272249796</c:v>
                </c:pt>
                <c:pt idx="217">
                  <c:v>1.441536272249796</c:v>
                </c:pt>
                <c:pt idx="218">
                  <c:v>1.441536272249796</c:v>
                </c:pt>
                <c:pt idx="219">
                  <c:v>1.441536272249796</c:v>
                </c:pt>
                <c:pt idx="220">
                  <c:v>1.441536272249796</c:v>
                </c:pt>
                <c:pt idx="221">
                  <c:v>1.441536272249796</c:v>
                </c:pt>
                <c:pt idx="222">
                  <c:v>1.441536272249796</c:v>
                </c:pt>
                <c:pt idx="223">
                  <c:v>1.441536272249796</c:v>
                </c:pt>
                <c:pt idx="224">
                  <c:v>1.441536272249796</c:v>
                </c:pt>
                <c:pt idx="225">
                  <c:v>1.441536272249796</c:v>
                </c:pt>
                <c:pt idx="226">
                  <c:v>1.441536272249796</c:v>
                </c:pt>
                <c:pt idx="227">
                  <c:v>1.441536272249796</c:v>
                </c:pt>
                <c:pt idx="228">
                  <c:v>1.441536272249796</c:v>
                </c:pt>
                <c:pt idx="229">
                  <c:v>1.441536272249796</c:v>
                </c:pt>
                <c:pt idx="230">
                  <c:v>1.441536272249796</c:v>
                </c:pt>
                <c:pt idx="231">
                  <c:v>1.441536272249796</c:v>
                </c:pt>
                <c:pt idx="232">
                  <c:v>1.441536272249796</c:v>
                </c:pt>
                <c:pt idx="233">
                  <c:v>1.441536272249796</c:v>
                </c:pt>
                <c:pt idx="234">
                  <c:v>1.441536272249796</c:v>
                </c:pt>
                <c:pt idx="235">
                  <c:v>1.441536272249796</c:v>
                </c:pt>
                <c:pt idx="236">
                  <c:v>1.441536272249796</c:v>
                </c:pt>
                <c:pt idx="237">
                  <c:v>1.441536272249796</c:v>
                </c:pt>
                <c:pt idx="238">
                  <c:v>1.441536272249796</c:v>
                </c:pt>
                <c:pt idx="239">
                  <c:v>1.441536272249796</c:v>
                </c:pt>
                <c:pt idx="240">
                  <c:v>1.441536272249796</c:v>
                </c:pt>
                <c:pt idx="241">
                  <c:v>1.441536272249796</c:v>
                </c:pt>
                <c:pt idx="242">
                  <c:v>1.441536272249796</c:v>
                </c:pt>
                <c:pt idx="243">
                  <c:v>1.441536272249796</c:v>
                </c:pt>
                <c:pt idx="244">
                  <c:v>1.441536272249796</c:v>
                </c:pt>
                <c:pt idx="245">
                  <c:v>1.441536272249796</c:v>
                </c:pt>
                <c:pt idx="246">
                  <c:v>1.441536272249796</c:v>
                </c:pt>
                <c:pt idx="247">
                  <c:v>1.441536272249796</c:v>
                </c:pt>
                <c:pt idx="248">
                  <c:v>1.441536272249796</c:v>
                </c:pt>
                <c:pt idx="249">
                  <c:v>1.441536272249796</c:v>
                </c:pt>
                <c:pt idx="250">
                  <c:v>1.441536272249796</c:v>
                </c:pt>
                <c:pt idx="251">
                  <c:v>1.441536272249796</c:v>
                </c:pt>
                <c:pt idx="252">
                  <c:v>1.441536272249796</c:v>
                </c:pt>
                <c:pt idx="253">
                  <c:v>1.441536272249796</c:v>
                </c:pt>
                <c:pt idx="254">
                  <c:v>1.441536272249796</c:v>
                </c:pt>
                <c:pt idx="255">
                  <c:v>1.441536272249796</c:v>
                </c:pt>
                <c:pt idx="256">
                  <c:v>1.441536272249796</c:v>
                </c:pt>
                <c:pt idx="257">
                  <c:v>1.441536272249796</c:v>
                </c:pt>
                <c:pt idx="258">
                  <c:v>1.441536272249796</c:v>
                </c:pt>
                <c:pt idx="259">
                  <c:v>1.441536272249796</c:v>
                </c:pt>
                <c:pt idx="260">
                  <c:v>1.441536272249796</c:v>
                </c:pt>
                <c:pt idx="261">
                  <c:v>1.441536272249796</c:v>
                </c:pt>
                <c:pt idx="262">
                  <c:v>1.441536272249796</c:v>
                </c:pt>
                <c:pt idx="263">
                  <c:v>1.441536272249796</c:v>
                </c:pt>
                <c:pt idx="264">
                  <c:v>1.441536272249796</c:v>
                </c:pt>
                <c:pt idx="265">
                  <c:v>1.441536272249796</c:v>
                </c:pt>
                <c:pt idx="266">
                  <c:v>1.441536272249796</c:v>
                </c:pt>
                <c:pt idx="267">
                  <c:v>1.441536272249796</c:v>
                </c:pt>
                <c:pt idx="268">
                  <c:v>1.441536272249796</c:v>
                </c:pt>
                <c:pt idx="269">
                  <c:v>1.441536272249796</c:v>
                </c:pt>
                <c:pt idx="270">
                  <c:v>1.441536272249796</c:v>
                </c:pt>
                <c:pt idx="271">
                  <c:v>1.441536272249796</c:v>
                </c:pt>
                <c:pt idx="272">
                  <c:v>1.441536272249796</c:v>
                </c:pt>
                <c:pt idx="273">
                  <c:v>1.441536272249796</c:v>
                </c:pt>
                <c:pt idx="274">
                  <c:v>1.441536272249796</c:v>
                </c:pt>
                <c:pt idx="275">
                  <c:v>1.441536272249796</c:v>
                </c:pt>
                <c:pt idx="276">
                  <c:v>1.441536272249796</c:v>
                </c:pt>
                <c:pt idx="277">
                  <c:v>1.441536272249796</c:v>
                </c:pt>
                <c:pt idx="278">
                  <c:v>1.441536272249796</c:v>
                </c:pt>
                <c:pt idx="279">
                  <c:v>1.441536272249796</c:v>
                </c:pt>
                <c:pt idx="280">
                  <c:v>1.441536272249796</c:v>
                </c:pt>
                <c:pt idx="281">
                  <c:v>1.441536272249796</c:v>
                </c:pt>
                <c:pt idx="282">
                  <c:v>1.441536272249796</c:v>
                </c:pt>
                <c:pt idx="283">
                  <c:v>1.441536272249796</c:v>
                </c:pt>
                <c:pt idx="284">
                  <c:v>1.3977486422552698</c:v>
                </c:pt>
                <c:pt idx="285">
                  <c:v>1.3977486422552698</c:v>
                </c:pt>
                <c:pt idx="286">
                  <c:v>1.3977486422552698</c:v>
                </c:pt>
                <c:pt idx="287">
                  <c:v>1.3977486422552698</c:v>
                </c:pt>
                <c:pt idx="288">
                  <c:v>1.3977486422552698</c:v>
                </c:pt>
                <c:pt idx="289">
                  <c:v>1.3977486422552698</c:v>
                </c:pt>
                <c:pt idx="290">
                  <c:v>1.3977486422552698</c:v>
                </c:pt>
                <c:pt idx="291">
                  <c:v>1.3977486422552698</c:v>
                </c:pt>
                <c:pt idx="292">
                  <c:v>1.3977486422552698</c:v>
                </c:pt>
                <c:pt idx="293">
                  <c:v>1.3977486422552698</c:v>
                </c:pt>
                <c:pt idx="294">
                  <c:v>1.3977486422552698</c:v>
                </c:pt>
                <c:pt idx="295">
                  <c:v>1.3977486422552698</c:v>
                </c:pt>
                <c:pt idx="296">
                  <c:v>1.3977486422552698</c:v>
                </c:pt>
                <c:pt idx="297">
                  <c:v>1.3977486422552698</c:v>
                </c:pt>
                <c:pt idx="298">
                  <c:v>1.3977486422552698</c:v>
                </c:pt>
                <c:pt idx="299">
                  <c:v>1.3977486422552698</c:v>
                </c:pt>
                <c:pt idx="300">
                  <c:v>1.3977486422552698</c:v>
                </c:pt>
                <c:pt idx="301">
                  <c:v>1.3977486422552698</c:v>
                </c:pt>
                <c:pt idx="302">
                  <c:v>1.3977486422552698</c:v>
                </c:pt>
                <c:pt idx="303">
                  <c:v>1.971265500983395</c:v>
                </c:pt>
                <c:pt idx="304">
                  <c:v>1.971265500983395</c:v>
                </c:pt>
                <c:pt idx="305">
                  <c:v>1.971265500983395</c:v>
                </c:pt>
                <c:pt idx="306">
                  <c:v>1.971265500983395</c:v>
                </c:pt>
                <c:pt idx="307">
                  <c:v>2.6983279209445628</c:v>
                </c:pt>
                <c:pt idx="308">
                  <c:v>2.6983279209445628</c:v>
                </c:pt>
                <c:pt idx="309">
                  <c:v>2.6983279209445628</c:v>
                </c:pt>
                <c:pt idx="310">
                  <c:v>2.6983279209445628</c:v>
                </c:pt>
                <c:pt idx="311">
                  <c:v>2.6983279209445628</c:v>
                </c:pt>
                <c:pt idx="312">
                  <c:v>2.6983279209445628</c:v>
                </c:pt>
                <c:pt idx="313">
                  <c:v>2.6983279209445628</c:v>
                </c:pt>
                <c:pt idx="314">
                  <c:v>2.6983279209445628</c:v>
                </c:pt>
                <c:pt idx="315">
                  <c:v>2.6983279209445628</c:v>
                </c:pt>
                <c:pt idx="316">
                  <c:v>2.6983279209445628</c:v>
                </c:pt>
                <c:pt idx="317">
                  <c:v>2.6983279209445628</c:v>
                </c:pt>
                <c:pt idx="318">
                  <c:v>2.6983279209445628</c:v>
                </c:pt>
                <c:pt idx="319">
                  <c:v>2.6983279209445628</c:v>
                </c:pt>
                <c:pt idx="320">
                  <c:v>2.6983279209445628</c:v>
                </c:pt>
                <c:pt idx="321">
                  <c:v>2.6983279209445628</c:v>
                </c:pt>
                <c:pt idx="322">
                  <c:v>2.6983279209445628</c:v>
                </c:pt>
                <c:pt idx="323">
                  <c:v>2.6983279209445628</c:v>
                </c:pt>
                <c:pt idx="324">
                  <c:v>2.6983279209445628</c:v>
                </c:pt>
                <c:pt idx="325">
                  <c:v>2.6983279209445628</c:v>
                </c:pt>
                <c:pt idx="326">
                  <c:v>2.6983279209445628</c:v>
                </c:pt>
                <c:pt idx="327">
                  <c:v>2.6983279209445628</c:v>
                </c:pt>
                <c:pt idx="328">
                  <c:v>2.6983279209445628</c:v>
                </c:pt>
                <c:pt idx="329">
                  <c:v>2.6983279209445628</c:v>
                </c:pt>
                <c:pt idx="330">
                  <c:v>2.6983279209445628</c:v>
                </c:pt>
                <c:pt idx="331">
                  <c:v>2.6983279209445628</c:v>
                </c:pt>
                <c:pt idx="332">
                  <c:v>2.6983279209445628</c:v>
                </c:pt>
                <c:pt idx="333">
                  <c:v>2.6983279209445628</c:v>
                </c:pt>
                <c:pt idx="334">
                  <c:v>2.6983279209445628</c:v>
                </c:pt>
                <c:pt idx="335">
                  <c:v>2.6983279209445628</c:v>
                </c:pt>
                <c:pt idx="336">
                  <c:v>2.6983279209445628</c:v>
                </c:pt>
                <c:pt idx="337">
                  <c:v>2.6983279209445628</c:v>
                </c:pt>
                <c:pt idx="338">
                  <c:v>2.6983279209445628</c:v>
                </c:pt>
                <c:pt idx="339">
                  <c:v>2.6983279209445628</c:v>
                </c:pt>
                <c:pt idx="340">
                  <c:v>2.6983279209445628</c:v>
                </c:pt>
                <c:pt idx="341">
                  <c:v>2.6983279209445628</c:v>
                </c:pt>
                <c:pt idx="342">
                  <c:v>2.6983279209445628</c:v>
                </c:pt>
                <c:pt idx="343">
                  <c:v>2.6983279209445628</c:v>
                </c:pt>
                <c:pt idx="344">
                  <c:v>1.7856049065476487</c:v>
                </c:pt>
                <c:pt idx="345">
                  <c:v>1.7856049065476487</c:v>
                </c:pt>
                <c:pt idx="346">
                  <c:v>1.7856049065476487</c:v>
                </c:pt>
                <c:pt idx="347">
                  <c:v>1.7856049065476487</c:v>
                </c:pt>
                <c:pt idx="348">
                  <c:v>1.7856049065476487</c:v>
                </c:pt>
                <c:pt idx="349">
                  <c:v>1.7856049065476487</c:v>
                </c:pt>
                <c:pt idx="350">
                  <c:v>1.7856049065476487</c:v>
                </c:pt>
                <c:pt idx="351">
                  <c:v>1.7856049065476487</c:v>
                </c:pt>
                <c:pt idx="352">
                  <c:v>1.7856049065476487</c:v>
                </c:pt>
                <c:pt idx="353">
                  <c:v>1.7856049065476487</c:v>
                </c:pt>
                <c:pt idx="354">
                  <c:v>1.7856049065476487</c:v>
                </c:pt>
                <c:pt idx="355">
                  <c:v>1.7856049065476487</c:v>
                </c:pt>
                <c:pt idx="356">
                  <c:v>1.7856049065476487</c:v>
                </c:pt>
                <c:pt idx="357">
                  <c:v>1.7856049065476487</c:v>
                </c:pt>
                <c:pt idx="358">
                  <c:v>1.7856049065476487</c:v>
                </c:pt>
                <c:pt idx="359">
                  <c:v>1.7856049065476487</c:v>
                </c:pt>
                <c:pt idx="360">
                  <c:v>1.7856049065476487</c:v>
                </c:pt>
                <c:pt idx="361">
                  <c:v>1.7856049065476487</c:v>
                </c:pt>
                <c:pt idx="362">
                  <c:v>1.7856049065476487</c:v>
                </c:pt>
                <c:pt idx="363">
                  <c:v>1.7856049065476487</c:v>
                </c:pt>
                <c:pt idx="364">
                  <c:v>1.7856049065476487</c:v>
                </c:pt>
                <c:pt idx="365">
                  <c:v>1.7856049065476487</c:v>
                </c:pt>
                <c:pt idx="366">
                  <c:v>1.7856049065476487</c:v>
                </c:pt>
                <c:pt idx="367">
                  <c:v>1.7856049065476487</c:v>
                </c:pt>
                <c:pt idx="368">
                  <c:v>1.7856049065476487</c:v>
                </c:pt>
                <c:pt idx="369">
                  <c:v>1.7856049065476487</c:v>
                </c:pt>
                <c:pt idx="370">
                  <c:v>1.7856049065476487</c:v>
                </c:pt>
                <c:pt idx="371">
                  <c:v>1.7856049065476487</c:v>
                </c:pt>
                <c:pt idx="372">
                  <c:v>1.7856049065476487</c:v>
                </c:pt>
                <c:pt idx="373">
                  <c:v>1.7856049065476487</c:v>
                </c:pt>
                <c:pt idx="374">
                  <c:v>1.7856049065476487</c:v>
                </c:pt>
                <c:pt idx="375">
                  <c:v>1.7856049065476487</c:v>
                </c:pt>
                <c:pt idx="376">
                  <c:v>1.7856049065476487</c:v>
                </c:pt>
                <c:pt idx="377">
                  <c:v>1.7856049065476487</c:v>
                </c:pt>
                <c:pt idx="378">
                  <c:v>1.7856049065476487</c:v>
                </c:pt>
                <c:pt idx="379">
                  <c:v>1.7856049065476487</c:v>
                </c:pt>
                <c:pt idx="380">
                  <c:v>1.7856049065476487</c:v>
                </c:pt>
                <c:pt idx="381">
                  <c:v>1.7856049065476487</c:v>
                </c:pt>
                <c:pt idx="382">
                  <c:v>1.7856049065476487</c:v>
                </c:pt>
                <c:pt idx="383">
                  <c:v>1.7856049065476487</c:v>
                </c:pt>
                <c:pt idx="384">
                  <c:v>1.7856049065476487</c:v>
                </c:pt>
                <c:pt idx="385">
                  <c:v>1.7856049065476487</c:v>
                </c:pt>
                <c:pt idx="386">
                  <c:v>1.7856049065476487</c:v>
                </c:pt>
                <c:pt idx="387">
                  <c:v>1.7856049065476487</c:v>
                </c:pt>
                <c:pt idx="388">
                  <c:v>1.7856049065476487</c:v>
                </c:pt>
                <c:pt idx="389">
                  <c:v>1.7856049065476487</c:v>
                </c:pt>
                <c:pt idx="390">
                  <c:v>1.7856049065476487</c:v>
                </c:pt>
                <c:pt idx="391">
                  <c:v>1.7856049065476487</c:v>
                </c:pt>
                <c:pt idx="392">
                  <c:v>1.7856049065476487</c:v>
                </c:pt>
                <c:pt idx="393">
                  <c:v>1.7856049065476487</c:v>
                </c:pt>
                <c:pt idx="394">
                  <c:v>1.7856049065476487</c:v>
                </c:pt>
                <c:pt idx="395">
                  <c:v>1.7856049065476487</c:v>
                </c:pt>
                <c:pt idx="396">
                  <c:v>1.7856049065476487</c:v>
                </c:pt>
                <c:pt idx="397">
                  <c:v>1.7856049065476487</c:v>
                </c:pt>
                <c:pt idx="398">
                  <c:v>1.7856049065476487</c:v>
                </c:pt>
                <c:pt idx="399">
                  <c:v>1.7856049065476487</c:v>
                </c:pt>
                <c:pt idx="400">
                  <c:v>1.7856049065476487</c:v>
                </c:pt>
                <c:pt idx="401">
                  <c:v>1.7856049065476487</c:v>
                </c:pt>
                <c:pt idx="402">
                  <c:v>1.7856049065476487</c:v>
                </c:pt>
                <c:pt idx="403">
                  <c:v>1.7856049065476487</c:v>
                </c:pt>
                <c:pt idx="404">
                  <c:v>1.7856049065476487</c:v>
                </c:pt>
                <c:pt idx="405">
                  <c:v>1.7856049065476487</c:v>
                </c:pt>
                <c:pt idx="406">
                  <c:v>1.7856049065476487</c:v>
                </c:pt>
                <c:pt idx="407">
                  <c:v>1.7856049065476487</c:v>
                </c:pt>
                <c:pt idx="408">
                  <c:v>1.7856049065476487</c:v>
                </c:pt>
                <c:pt idx="409">
                  <c:v>1.7856049065476487</c:v>
                </c:pt>
                <c:pt idx="410">
                  <c:v>1.7856049065476487</c:v>
                </c:pt>
                <c:pt idx="411">
                  <c:v>1.7856049065476487</c:v>
                </c:pt>
                <c:pt idx="412">
                  <c:v>1.7856049065476487</c:v>
                </c:pt>
                <c:pt idx="413">
                  <c:v>1.7856049065476487</c:v>
                </c:pt>
                <c:pt idx="414">
                  <c:v>1.7856049065476487</c:v>
                </c:pt>
                <c:pt idx="415">
                  <c:v>1.7856049065476487</c:v>
                </c:pt>
                <c:pt idx="416">
                  <c:v>1.7856049065476487</c:v>
                </c:pt>
                <c:pt idx="417">
                  <c:v>1.7856049065476487</c:v>
                </c:pt>
                <c:pt idx="418">
                  <c:v>1.7856049065476487</c:v>
                </c:pt>
              </c:numCache>
            </c:numRef>
          </c:val>
          <c:smooth val="1"/>
          <c:extLst>
            <c:ext xmlns:c16="http://schemas.microsoft.com/office/drawing/2014/chart" uri="{C3380CC4-5D6E-409C-BE32-E72D297353CC}">
              <c16:uniqueId val="{00000002-8B10-4F45-997A-CD7B20248F9C}"/>
            </c:ext>
          </c:extLst>
        </c:ser>
        <c:ser>
          <c:idx val="3"/>
          <c:order val="5"/>
          <c:tx>
            <c:v>All Three</c:v>
          </c:tx>
          <c:spPr>
            <a:ln w="38100" cap="rnd">
              <a:solidFill>
                <a:sysClr val="windowText" lastClr="000000"/>
              </a:solidFill>
              <a:round/>
            </a:ln>
            <a:effectLst/>
          </c:spPr>
          <c:marker>
            <c:symbol val="none"/>
          </c:marker>
          <c:val>
            <c:numRef>
              <c:f>'2025-Q2'!$ES$4:$ES$422</c:f>
              <c:numCache>
                <c:formatCode>0.00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0.4926597949853756</c:v>
                </c:pt>
                <c:pt idx="54">
                  <c:v>0.4926597949853756</c:v>
                </c:pt>
                <c:pt idx="55">
                  <c:v>1.1077583180336892</c:v>
                </c:pt>
                <c:pt idx="56">
                  <c:v>1.1077583180336892</c:v>
                </c:pt>
                <c:pt idx="57">
                  <c:v>1.1077583180336892</c:v>
                </c:pt>
                <c:pt idx="58">
                  <c:v>1.1077583180336892</c:v>
                </c:pt>
                <c:pt idx="59">
                  <c:v>1.1077583180336892</c:v>
                </c:pt>
                <c:pt idx="60">
                  <c:v>1.1077583180336892</c:v>
                </c:pt>
                <c:pt idx="61">
                  <c:v>1.1077583180336892</c:v>
                </c:pt>
                <c:pt idx="62">
                  <c:v>1.1077583180336892</c:v>
                </c:pt>
                <c:pt idx="63">
                  <c:v>1.1077583180336892</c:v>
                </c:pt>
                <c:pt idx="64">
                  <c:v>1.1077583180336892</c:v>
                </c:pt>
                <c:pt idx="65">
                  <c:v>1.1077583180336892</c:v>
                </c:pt>
                <c:pt idx="66">
                  <c:v>1.1077583180336892</c:v>
                </c:pt>
                <c:pt idx="67">
                  <c:v>1.1077583180336892</c:v>
                </c:pt>
                <c:pt idx="68">
                  <c:v>1.2364547660117271</c:v>
                </c:pt>
                <c:pt idx="69">
                  <c:v>1.2364547660117271</c:v>
                </c:pt>
                <c:pt idx="70">
                  <c:v>1.2364547660117271</c:v>
                </c:pt>
                <c:pt idx="71">
                  <c:v>1.2364547660117271</c:v>
                </c:pt>
                <c:pt idx="72">
                  <c:v>1.2364547660117271</c:v>
                </c:pt>
                <c:pt idx="73">
                  <c:v>1.2364547660117271</c:v>
                </c:pt>
                <c:pt idx="74">
                  <c:v>1.2364547660117271</c:v>
                </c:pt>
                <c:pt idx="75">
                  <c:v>1.2364547660117271</c:v>
                </c:pt>
                <c:pt idx="76">
                  <c:v>1.2364547660117271</c:v>
                </c:pt>
                <c:pt idx="77">
                  <c:v>1.2364547660117271</c:v>
                </c:pt>
                <c:pt idx="78">
                  <c:v>1.2364547660117271</c:v>
                </c:pt>
                <c:pt idx="79">
                  <c:v>1.2364547660117271</c:v>
                </c:pt>
                <c:pt idx="80">
                  <c:v>1.2364547660117271</c:v>
                </c:pt>
                <c:pt idx="81">
                  <c:v>1.2364547660117271</c:v>
                </c:pt>
                <c:pt idx="82">
                  <c:v>1.2364547660117271</c:v>
                </c:pt>
                <c:pt idx="83">
                  <c:v>1.2364547660117271</c:v>
                </c:pt>
                <c:pt idx="84">
                  <c:v>1.2364547660117271</c:v>
                </c:pt>
                <c:pt idx="85">
                  <c:v>1.0564793942204984</c:v>
                </c:pt>
                <c:pt idx="86">
                  <c:v>1.0564793942204984</c:v>
                </c:pt>
                <c:pt idx="87">
                  <c:v>1.0564793942204984</c:v>
                </c:pt>
                <c:pt idx="88">
                  <c:v>1.0564793942204984</c:v>
                </c:pt>
                <c:pt idx="89">
                  <c:v>1.0564793942204984</c:v>
                </c:pt>
                <c:pt idx="90">
                  <c:v>1.0564793942204984</c:v>
                </c:pt>
                <c:pt idx="91">
                  <c:v>1.0564793942204984</c:v>
                </c:pt>
                <c:pt idx="92">
                  <c:v>1.3323414631860153</c:v>
                </c:pt>
                <c:pt idx="93">
                  <c:v>1.3323414631860153</c:v>
                </c:pt>
                <c:pt idx="94">
                  <c:v>1.3323414631860153</c:v>
                </c:pt>
                <c:pt idx="95">
                  <c:v>1.3323414631860153</c:v>
                </c:pt>
                <c:pt idx="96">
                  <c:v>1.3323414631860153</c:v>
                </c:pt>
                <c:pt idx="97">
                  <c:v>1.3323414631860153</c:v>
                </c:pt>
                <c:pt idx="98">
                  <c:v>1.3323414631860153</c:v>
                </c:pt>
                <c:pt idx="99">
                  <c:v>1.3323414631860153</c:v>
                </c:pt>
                <c:pt idx="100">
                  <c:v>1.3323414631860153</c:v>
                </c:pt>
                <c:pt idx="101">
                  <c:v>1.3323414631860153</c:v>
                </c:pt>
                <c:pt idx="102">
                  <c:v>1.3323414631860153</c:v>
                </c:pt>
                <c:pt idx="103">
                  <c:v>1.3323414631860153</c:v>
                </c:pt>
                <c:pt idx="104">
                  <c:v>1.3323414631860153</c:v>
                </c:pt>
                <c:pt idx="105">
                  <c:v>2.0922606251096312</c:v>
                </c:pt>
                <c:pt idx="106">
                  <c:v>2.0922606251096312</c:v>
                </c:pt>
                <c:pt idx="107">
                  <c:v>2.0922606251096312</c:v>
                </c:pt>
                <c:pt idx="108">
                  <c:v>2.0922606251096312</c:v>
                </c:pt>
                <c:pt idx="109">
                  <c:v>2.0922606251096312</c:v>
                </c:pt>
                <c:pt idx="110">
                  <c:v>2.0922606251096312</c:v>
                </c:pt>
                <c:pt idx="111">
                  <c:v>2.0922606251096312</c:v>
                </c:pt>
                <c:pt idx="112">
                  <c:v>2.0922606251096312</c:v>
                </c:pt>
                <c:pt idx="113">
                  <c:v>2.0922606251096312</c:v>
                </c:pt>
                <c:pt idx="114">
                  <c:v>2.0922606251096312</c:v>
                </c:pt>
                <c:pt idx="115">
                  <c:v>2.0922606251096312</c:v>
                </c:pt>
                <c:pt idx="116">
                  <c:v>2.5704603438156792</c:v>
                </c:pt>
                <c:pt idx="117">
                  <c:v>2.5704603438156792</c:v>
                </c:pt>
                <c:pt idx="118">
                  <c:v>2.5704603438156792</c:v>
                </c:pt>
                <c:pt idx="119">
                  <c:v>2.5704603438156792</c:v>
                </c:pt>
                <c:pt idx="120">
                  <c:v>2.7792047320230489</c:v>
                </c:pt>
                <c:pt idx="121">
                  <c:v>2.7792047320230489</c:v>
                </c:pt>
                <c:pt idx="122">
                  <c:v>2.7792047320230489</c:v>
                </c:pt>
                <c:pt idx="123">
                  <c:v>2.7792047320230489</c:v>
                </c:pt>
                <c:pt idx="124">
                  <c:v>2.7792047320230489</c:v>
                </c:pt>
                <c:pt idx="125">
                  <c:v>2.7792047320230489</c:v>
                </c:pt>
                <c:pt idx="126">
                  <c:v>2.7792047320230489</c:v>
                </c:pt>
                <c:pt idx="127">
                  <c:v>2.1219701343910971</c:v>
                </c:pt>
                <c:pt idx="128">
                  <c:v>2.1219701343910971</c:v>
                </c:pt>
                <c:pt idx="129">
                  <c:v>2.1219701343910971</c:v>
                </c:pt>
                <c:pt idx="130">
                  <c:v>2.1219701343910971</c:v>
                </c:pt>
                <c:pt idx="131">
                  <c:v>2.1219701343910971</c:v>
                </c:pt>
                <c:pt idx="132">
                  <c:v>2.1219701343910971</c:v>
                </c:pt>
                <c:pt idx="133">
                  <c:v>2.1219701343910971</c:v>
                </c:pt>
                <c:pt idx="134">
                  <c:v>2.1219701343910971</c:v>
                </c:pt>
                <c:pt idx="135">
                  <c:v>2.1219701343910971</c:v>
                </c:pt>
                <c:pt idx="136">
                  <c:v>2.1219701343910971</c:v>
                </c:pt>
                <c:pt idx="137">
                  <c:v>2.1219701343910971</c:v>
                </c:pt>
                <c:pt idx="138">
                  <c:v>2.1219701343910971</c:v>
                </c:pt>
                <c:pt idx="139">
                  <c:v>2.2085052676552039</c:v>
                </c:pt>
                <c:pt idx="140">
                  <c:v>2.2085052676552039</c:v>
                </c:pt>
                <c:pt idx="141">
                  <c:v>1.757376399591223</c:v>
                </c:pt>
                <c:pt idx="142">
                  <c:v>1.757376399591223</c:v>
                </c:pt>
                <c:pt idx="143">
                  <c:v>1.757376399591223</c:v>
                </c:pt>
                <c:pt idx="144">
                  <c:v>1.757376399591223</c:v>
                </c:pt>
                <c:pt idx="145">
                  <c:v>1.757376399591223</c:v>
                </c:pt>
                <c:pt idx="146">
                  <c:v>1.757376399591223</c:v>
                </c:pt>
                <c:pt idx="147">
                  <c:v>1.757376399591223</c:v>
                </c:pt>
                <c:pt idx="148">
                  <c:v>1.757376399591223</c:v>
                </c:pt>
                <c:pt idx="149">
                  <c:v>2.7672341525373123</c:v>
                </c:pt>
                <c:pt idx="150">
                  <c:v>2.7672341525373123</c:v>
                </c:pt>
                <c:pt idx="151">
                  <c:v>2.7672341525373123</c:v>
                </c:pt>
                <c:pt idx="152">
                  <c:v>2.7672341525373123</c:v>
                </c:pt>
                <c:pt idx="153">
                  <c:v>2.7672341525373123</c:v>
                </c:pt>
                <c:pt idx="154">
                  <c:v>2.7672341525373123</c:v>
                </c:pt>
                <c:pt idx="155">
                  <c:v>2.7672341525373123</c:v>
                </c:pt>
                <c:pt idx="156">
                  <c:v>2.7672341525373123</c:v>
                </c:pt>
                <c:pt idx="157">
                  <c:v>2.7672341525373123</c:v>
                </c:pt>
                <c:pt idx="158">
                  <c:v>2.7672341525373123</c:v>
                </c:pt>
                <c:pt idx="159">
                  <c:v>2.7672341525373123</c:v>
                </c:pt>
                <c:pt idx="160">
                  <c:v>2.7672341525373123</c:v>
                </c:pt>
                <c:pt idx="161">
                  <c:v>2.7672341525373123</c:v>
                </c:pt>
                <c:pt idx="162">
                  <c:v>2.7672341525373123</c:v>
                </c:pt>
                <c:pt idx="163">
                  <c:v>2.7672341525373123</c:v>
                </c:pt>
                <c:pt idx="164">
                  <c:v>2.7672341525373123</c:v>
                </c:pt>
                <c:pt idx="165">
                  <c:v>2.7672341525373123</c:v>
                </c:pt>
                <c:pt idx="166">
                  <c:v>2.7672341525373123</c:v>
                </c:pt>
                <c:pt idx="167">
                  <c:v>2.7672341525373123</c:v>
                </c:pt>
                <c:pt idx="168">
                  <c:v>4.0164468336206633</c:v>
                </c:pt>
                <c:pt idx="169">
                  <c:v>4.0164468336206633</c:v>
                </c:pt>
                <c:pt idx="170">
                  <c:v>4.0164468336206633</c:v>
                </c:pt>
                <c:pt idx="171">
                  <c:v>4.0164468336206633</c:v>
                </c:pt>
                <c:pt idx="172">
                  <c:v>4.0164468336206633</c:v>
                </c:pt>
                <c:pt idx="173">
                  <c:v>4.5361126171951494</c:v>
                </c:pt>
                <c:pt idx="174">
                  <c:v>4.5361126171951494</c:v>
                </c:pt>
                <c:pt idx="175">
                  <c:v>4.5361126171951494</c:v>
                </c:pt>
                <c:pt idx="176">
                  <c:v>4.5361126171951494</c:v>
                </c:pt>
                <c:pt idx="177">
                  <c:v>4.5361126171951494</c:v>
                </c:pt>
                <c:pt idx="178">
                  <c:v>4.5361126171951494</c:v>
                </c:pt>
                <c:pt idx="179">
                  <c:v>5.0688734314445174</c:v>
                </c:pt>
                <c:pt idx="180">
                  <c:v>5.0688734314445174</c:v>
                </c:pt>
                <c:pt idx="181">
                  <c:v>5.0688734314445174</c:v>
                </c:pt>
                <c:pt idx="182">
                  <c:v>5.0688734314445174</c:v>
                </c:pt>
                <c:pt idx="183">
                  <c:v>5.0688734314445174</c:v>
                </c:pt>
                <c:pt idx="184">
                  <c:v>5.0688734314445174</c:v>
                </c:pt>
                <c:pt idx="185">
                  <c:v>5.0688734314445174</c:v>
                </c:pt>
                <c:pt idx="186">
                  <c:v>5.0688734314445174</c:v>
                </c:pt>
                <c:pt idx="187">
                  <c:v>5.0688734314445174</c:v>
                </c:pt>
                <c:pt idx="188">
                  <c:v>5.0688734314445174</c:v>
                </c:pt>
                <c:pt idx="189">
                  <c:v>5.0688734314445174</c:v>
                </c:pt>
                <c:pt idx="190">
                  <c:v>5.0688734314445174</c:v>
                </c:pt>
                <c:pt idx="191">
                  <c:v>4.2661407243565606</c:v>
                </c:pt>
                <c:pt idx="192">
                  <c:v>4.2661407243565606</c:v>
                </c:pt>
                <c:pt idx="193">
                  <c:v>4.2661407243565606</c:v>
                </c:pt>
                <c:pt idx="194">
                  <c:v>4.2661407243565606</c:v>
                </c:pt>
                <c:pt idx="195">
                  <c:v>4.2661407243565606</c:v>
                </c:pt>
                <c:pt idx="196">
                  <c:v>4.2661407243565606</c:v>
                </c:pt>
                <c:pt idx="197">
                  <c:v>4.4961899072853235</c:v>
                </c:pt>
                <c:pt idx="198">
                  <c:v>4.4961899072853235</c:v>
                </c:pt>
                <c:pt idx="199">
                  <c:v>5.2628479667243759</c:v>
                </c:pt>
                <c:pt idx="200">
                  <c:v>5.2628479667243759</c:v>
                </c:pt>
                <c:pt idx="201">
                  <c:v>5.2628479667243759</c:v>
                </c:pt>
                <c:pt idx="202">
                  <c:v>5.2628479667243759</c:v>
                </c:pt>
                <c:pt idx="203">
                  <c:v>5.2628479667243759</c:v>
                </c:pt>
                <c:pt idx="204">
                  <c:v>5.2628479667243759</c:v>
                </c:pt>
                <c:pt idx="205">
                  <c:v>5.2628479667243759</c:v>
                </c:pt>
                <c:pt idx="206">
                  <c:v>5.2628479667243759</c:v>
                </c:pt>
                <c:pt idx="207">
                  <c:v>5.2628479667243759</c:v>
                </c:pt>
                <c:pt idx="208">
                  <c:v>5.2628479667243759</c:v>
                </c:pt>
                <c:pt idx="209">
                  <c:v>5.2628479667243759</c:v>
                </c:pt>
                <c:pt idx="210">
                  <c:v>5.2628479667243759</c:v>
                </c:pt>
                <c:pt idx="211">
                  <c:v>4.6822009074682214</c:v>
                </c:pt>
                <c:pt idx="212">
                  <c:v>4.6822009074682214</c:v>
                </c:pt>
                <c:pt idx="213">
                  <c:v>4.6822009074682214</c:v>
                </c:pt>
                <c:pt idx="214">
                  <c:v>4.6822009074682214</c:v>
                </c:pt>
                <c:pt idx="215">
                  <c:v>4.6822009074682214</c:v>
                </c:pt>
                <c:pt idx="216">
                  <c:v>4.6822009074682214</c:v>
                </c:pt>
                <c:pt idx="217">
                  <c:v>4.6822009074682214</c:v>
                </c:pt>
                <c:pt idx="218">
                  <c:v>4.6822009074682214</c:v>
                </c:pt>
                <c:pt idx="219">
                  <c:v>4.6822009074682214</c:v>
                </c:pt>
                <c:pt idx="220">
                  <c:v>4.6822009074682214</c:v>
                </c:pt>
                <c:pt idx="221">
                  <c:v>4.6822009074682214</c:v>
                </c:pt>
                <c:pt idx="222">
                  <c:v>4.6822009074682214</c:v>
                </c:pt>
                <c:pt idx="223">
                  <c:v>4.6822009074682214</c:v>
                </c:pt>
                <c:pt idx="224">
                  <c:v>4.6822009074682214</c:v>
                </c:pt>
                <c:pt idx="225">
                  <c:v>4.6822009074682214</c:v>
                </c:pt>
                <c:pt idx="226">
                  <c:v>4.6822009074682214</c:v>
                </c:pt>
                <c:pt idx="227">
                  <c:v>4.6822009074682214</c:v>
                </c:pt>
                <c:pt idx="228">
                  <c:v>4.6822009074682214</c:v>
                </c:pt>
                <c:pt idx="229">
                  <c:v>4.6822009074682214</c:v>
                </c:pt>
                <c:pt idx="230">
                  <c:v>4.6822009074682214</c:v>
                </c:pt>
                <c:pt idx="231">
                  <c:v>4.6822009074682214</c:v>
                </c:pt>
                <c:pt idx="232">
                  <c:v>4.6822009074682214</c:v>
                </c:pt>
                <c:pt idx="233">
                  <c:v>4.6822009074682214</c:v>
                </c:pt>
                <c:pt idx="234">
                  <c:v>4.6822009074682214</c:v>
                </c:pt>
                <c:pt idx="235">
                  <c:v>4.6822009074682214</c:v>
                </c:pt>
                <c:pt idx="236">
                  <c:v>4.6822009074682214</c:v>
                </c:pt>
                <c:pt idx="237">
                  <c:v>4.6822009074682214</c:v>
                </c:pt>
                <c:pt idx="238">
                  <c:v>4.6822009074682214</c:v>
                </c:pt>
                <c:pt idx="239">
                  <c:v>4.6822009074682214</c:v>
                </c:pt>
                <c:pt idx="240">
                  <c:v>4.6822009074682214</c:v>
                </c:pt>
                <c:pt idx="241">
                  <c:v>4.6822009074682214</c:v>
                </c:pt>
                <c:pt idx="242">
                  <c:v>4.6822009074682214</c:v>
                </c:pt>
                <c:pt idx="243">
                  <c:v>4.6822009074682214</c:v>
                </c:pt>
                <c:pt idx="244">
                  <c:v>4.6822009074682214</c:v>
                </c:pt>
                <c:pt idx="245">
                  <c:v>4.6822009074682214</c:v>
                </c:pt>
                <c:pt idx="246">
                  <c:v>4.6822009074682214</c:v>
                </c:pt>
                <c:pt idx="247">
                  <c:v>4.6822009074682214</c:v>
                </c:pt>
                <c:pt idx="248">
                  <c:v>4.6822009074682214</c:v>
                </c:pt>
                <c:pt idx="249">
                  <c:v>4.6822009074682214</c:v>
                </c:pt>
                <c:pt idx="250">
                  <c:v>4.6822009074682214</c:v>
                </c:pt>
                <c:pt idx="251">
                  <c:v>4.6822009074682214</c:v>
                </c:pt>
                <c:pt idx="252">
                  <c:v>4.6822009074682214</c:v>
                </c:pt>
                <c:pt idx="253">
                  <c:v>4.6822009074682214</c:v>
                </c:pt>
                <c:pt idx="254">
                  <c:v>4.6822009074682214</c:v>
                </c:pt>
                <c:pt idx="255">
                  <c:v>4.6822009074682214</c:v>
                </c:pt>
                <c:pt idx="256">
                  <c:v>4.6822009074682214</c:v>
                </c:pt>
                <c:pt idx="257">
                  <c:v>4.6822009074682214</c:v>
                </c:pt>
                <c:pt idx="258">
                  <c:v>4.6822009074682214</c:v>
                </c:pt>
                <c:pt idx="259">
                  <c:v>3.6230839392603444</c:v>
                </c:pt>
                <c:pt idx="260">
                  <c:v>3.6230839392603444</c:v>
                </c:pt>
                <c:pt idx="261">
                  <c:v>3.6230839392603444</c:v>
                </c:pt>
                <c:pt idx="262">
                  <c:v>3.6230839392603444</c:v>
                </c:pt>
                <c:pt idx="263">
                  <c:v>3.6230839392603444</c:v>
                </c:pt>
                <c:pt idx="264">
                  <c:v>3.160210265200559</c:v>
                </c:pt>
                <c:pt idx="265">
                  <c:v>3.160210265200559</c:v>
                </c:pt>
                <c:pt idx="266">
                  <c:v>3.160210265200559</c:v>
                </c:pt>
                <c:pt idx="267">
                  <c:v>3.160210265200559</c:v>
                </c:pt>
                <c:pt idx="268">
                  <c:v>3.160210265200559</c:v>
                </c:pt>
                <c:pt idx="269">
                  <c:v>3.160210265200559</c:v>
                </c:pt>
                <c:pt idx="270">
                  <c:v>3.160210265200559</c:v>
                </c:pt>
                <c:pt idx="271">
                  <c:v>3.160210265200559</c:v>
                </c:pt>
                <c:pt idx="272">
                  <c:v>3.160210265200559</c:v>
                </c:pt>
                <c:pt idx="273">
                  <c:v>3.160210265200559</c:v>
                </c:pt>
                <c:pt idx="274">
                  <c:v>3.160210265200559</c:v>
                </c:pt>
                <c:pt idx="275">
                  <c:v>3.4990149790052709</c:v>
                </c:pt>
                <c:pt idx="276">
                  <c:v>3.4990149790052709</c:v>
                </c:pt>
                <c:pt idx="277">
                  <c:v>3.4990149790052709</c:v>
                </c:pt>
                <c:pt idx="278">
                  <c:v>3.4990149790052709</c:v>
                </c:pt>
                <c:pt idx="279">
                  <c:v>3.4990149790052709</c:v>
                </c:pt>
                <c:pt idx="280">
                  <c:v>3.4990149790052709</c:v>
                </c:pt>
                <c:pt idx="281">
                  <c:v>3.4990149790052709</c:v>
                </c:pt>
                <c:pt idx="282">
                  <c:v>3.4990149790052709</c:v>
                </c:pt>
                <c:pt idx="283">
                  <c:v>3.4990149790052709</c:v>
                </c:pt>
                <c:pt idx="284">
                  <c:v>3.455227349010745</c:v>
                </c:pt>
                <c:pt idx="285">
                  <c:v>3.455227349010745</c:v>
                </c:pt>
                <c:pt idx="286">
                  <c:v>3.455227349010745</c:v>
                </c:pt>
                <c:pt idx="287">
                  <c:v>3.455227349010745</c:v>
                </c:pt>
                <c:pt idx="288">
                  <c:v>3.455227349010745</c:v>
                </c:pt>
                <c:pt idx="289">
                  <c:v>3.455227349010745</c:v>
                </c:pt>
                <c:pt idx="290">
                  <c:v>3.455227349010745</c:v>
                </c:pt>
                <c:pt idx="291">
                  <c:v>3.455227349010745</c:v>
                </c:pt>
                <c:pt idx="292">
                  <c:v>3.455227349010745</c:v>
                </c:pt>
                <c:pt idx="293">
                  <c:v>3.455227349010745</c:v>
                </c:pt>
                <c:pt idx="294">
                  <c:v>3.455227349010745</c:v>
                </c:pt>
                <c:pt idx="295">
                  <c:v>3.455227349010745</c:v>
                </c:pt>
                <c:pt idx="296">
                  <c:v>3.455227349010745</c:v>
                </c:pt>
                <c:pt idx="297">
                  <c:v>3.455227349010745</c:v>
                </c:pt>
                <c:pt idx="298">
                  <c:v>3.455227349010745</c:v>
                </c:pt>
                <c:pt idx="299">
                  <c:v>3.455227349010745</c:v>
                </c:pt>
                <c:pt idx="300">
                  <c:v>3.455227349010745</c:v>
                </c:pt>
                <c:pt idx="301">
                  <c:v>3.455227349010745</c:v>
                </c:pt>
                <c:pt idx="302">
                  <c:v>3.455227349010745</c:v>
                </c:pt>
                <c:pt idx="303">
                  <c:v>4.0287442077388693</c:v>
                </c:pt>
                <c:pt idx="304">
                  <c:v>4.0287442077388693</c:v>
                </c:pt>
                <c:pt idx="305">
                  <c:v>4.0287442077388693</c:v>
                </c:pt>
                <c:pt idx="306">
                  <c:v>4.0287442077388693</c:v>
                </c:pt>
                <c:pt idx="307">
                  <c:v>4.7558066277000384</c:v>
                </c:pt>
                <c:pt idx="308">
                  <c:v>5.1772141287535591</c:v>
                </c:pt>
                <c:pt idx="309">
                  <c:v>5.1772141287535591</c:v>
                </c:pt>
                <c:pt idx="310">
                  <c:v>5.1772141287535591</c:v>
                </c:pt>
                <c:pt idx="311">
                  <c:v>5.1772141287535591</c:v>
                </c:pt>
                <c:pt idx="312">
                  <c:v>5.1772141287535591</c:v>
                </c:pt>
                <c:pt idx="313">
                  <c:v>5.1772141287535591</c:v>
                </c:pt>
                <c:pt idx="314">
                  <c:v>5.1772141287535591</c:v>
                </c:pt>
                <c:pt idx="315">
                  <c:v>5.1772141287535591</c:v>
                </c:pt>
                <c:pt idx="316">
                  <c:v>5.1772141287535591</c:v>
                </c:pt>
                <c:pt idx="317">
                  <c:v>5.1772141287535591</c:v>
                </c:pt>
                <c:pt idx="318">
                  <c:v>5.1772141287535591</c:v>
                </c:pt>
                <c:pt idx="319">
                  <c:v>5.1772141287535591</c:v>
                </c:pt>
                <c:pt idx="320">
                  <c:v>5.1772141287535591</c:v>
                </c:pt>
                <c:pt idx="321">
                  <c:v>5.1772141287535591</c:v>
                </c:pt>
                <c:pt idx="322">
                  <c:v>5.1772141287535591</c:v>
                </c:pt>
                <c:pt idx="323">
                  <c:v>5.1772141287535591</c:v>
                </c:pt>
                <c:pt idx="324">
                  <c:v>5.1772141287535591</c:v>
                </c:pt>
                <c:pt idx="325">
                  <c:v>5.1772141287535591</c:v>
                </c:pt>
                <c:pt idx="326">
                  <c:v>5.1772141287535591</c:v>
                </c:pt>
                <c:pt idx="327">
                  <c:v>5.1772141287535591</c:v>
                </c:pt>
                <c:pt idx="328">
                  <c:v>5.1772141287535591</c:v>
                </c:pt>
                <c:pt idx="329">
                  <c:v>5.1772141287535591</c:v>
                </c:pt>
                <c:pt idx="330">
                  <c:v>5.1772141287535591</c:v>
                </c:pt>
                <c:pt idx="331">
                  <c:v>5.1772141287535591</c:v>
                </c:pt>
                <c:pt idx="332">
                  <c:v>5.1772141287535591</c:v>
                </c:pt>
                <c:pt idx="333">
                  <c:v>5.1772141287535591</c:v>
                </c:pt>
                <c:pt idx="334">
                  <c:v>5.1772141287535591</c:v>
                </c:pt>
                <c:pt idx="335">
                  <c:v>5.1772141287535591</c:v>
                </c:pt>
                <c:pt idx="336">
                  <c:v>5.1772141287535591</c:v>
                </c:pt>
                <c:pt idx="337">
                  <c:v>5.1772141287535591</c:v>
                </c:pt>
                <c:pt idx="338">
                  <c:v>5.1772141287535591</c:v>
                </c:pt>
                <c:pt idx="339">
                  <c:v>5.1772141287535591</c:v>
                </c:pt>
                <c:pt idx="340">
                  <c:v>5.1772141287535591</c:v>
                </c:pt>
                <c:pt idx="341">
                  <c:v>5.1772141287535591</c:v>
                </c:pt>
                <c:pt idx="342">
                  <c:v>5.1772141287535591</c:v>
                </c:pt>
                <c:pt idx="343">
                  <c:v>5.1772141287535591</c:v>
                </c:pt>
                <c:pt idx="344">
                  <c:v>4.2644911143566446</c:v>
                </c:pt>
                <c:pt idx="345">
                  <c:v>4.2644911143566446</c:v>
                </c:pt>
                <c:pt idx="346">
                  <c:v>4.2644911143566446</c:v>
                </c:pt>
                <c:pt idx="347">
                  <c:v>4.2644911143566446</c:v>
                </c:pt>
                <c:pt idx="348">
                  <c:v>4.2644911143566446</c:v>
                </c:pt>
                <c:pt idx="349">
                  <c:v>4.2644911143566446</c:v>
                </c:pt>
                <c:pt idx="350">
                  <c:v>4.2644911143566446</c:v>
                </c:pt>
                <c:pt idx="351">
                  <c:v>4.2644911143566446</c:v>
                </c:pt>
                <c:pt idx="352">
                  <c:v>4.2644911143566446</c:v>
                </c:pt>
                <c:pt idx="353">
                  <c:v>4.2644911143566446</c:v>
                </c:pt>
                <c:pt idx="354">
                  <c:v>4.2644911143566446</c:v>
                </c:pt>
                <c:pt idx="355">
                  <c:v>4.2644911143566446</c:v>
                </c:pt>
                <c:pt idx="356">
                  <c:v>4.2644911143566446</c:v>
                </c:pt>
                <c:pt idx="357">
                  <c:v>4.2644911143566446</c:v>
                </c:pt>
                <c:pt idx="358">
                  <c:v>4.2644911143566446</c:v>
                </c:pt>
                <c:pt idx="359">
                  <c:v>4.2644911143566446</c:v>
                </c:pt>
                <c:pt idx="360">
                  <c:v>4.2644911143566446</c:v>
                </c:pt>
                <c:pt idx="361">
                  <c:v>4.2644911143566446</c:v>
                </c:pt>
                <c:pt idx="362">
                  <c:v>4.2644911143566446</c:v>
                </c:pt>
                <c:pt idx="363">
                  <c:v>4.2644911143566446</c:v>
                </c:pt>
                <c:pt idx="364">
                  <c:v>4.2644911143566446</c:v>
                </c:pt>
                <c:pt idx="365">
                  <c:v>4.2644911143566446</c:v>
                </c:pt>
                <c:pt idx="366">
                  <c:v>4.2644911143566446</c:v>
                </c:pt>
                <c:pt idx="367">
                  <c:v>4.2644911143566446</c:v>
                </c:pt>
                <c:pt idx="368">
                  <c:v>4.2644911143566446</c:v>
                </c:pt>
                <c:pt idx="369">
                  <c:v>4.2644911143566446</c:v>
                </c:pt>
                <c:pt idx="370">
                  <c:v>4.2644911143566446</c:v>
                </c:pt>
                <c:pt idx="371">
                  <c:v>4.2644911143566446</c:v>
                </c:pt>
                <c:pt idx="372">
                  <c:v>4.2644911143566446</c:v>
                </c:pt>
                <c:pt idx="373">
                  <c:v>4.2644911143566446</c:v>
                </c:pt>
                <c:pt idx="374">
                  <c:v>4.2644911143566446</c:v>
                </c:pt>
                <c:pt idx="375">
                  <c:v>4.2644911143566446</c:v>
                </c:pt>
                <c:pt idx="376">
                  <c:v>4.2644911143566446</c:v>
                </c:pt>
                <c:pt idx="377">
                  <c:v>4.2644911143566446</c:v>
                </c:pt>
                <c:pt idx="378">
                  <c:v>4.2644911143566446</c:v>
                </c:pt>
                <c:pt idx="379">
                  <c:v>4.2644911143566446</c:v>
                </c:pt>
                <c:pt idx="380">
                  <c:v>4.2644911143566446</c:v>
                </c:pt>
                <c:pt idx="381">
                  <c:v>4.2644911143566446</c:v>
                </c:pt>
                <c:pt idx="382">
                  <c:v>4.2644911143566446</c:v>
                </c:pt>
                <c:pt idx="383">
                  <c:v>4.2644911143566446</c:v>
                </c:pt>
                <c:pt idx="384">
                  <c:v>4.2644911143566446</c:v>
                </c:pt>
                <c:pt idx="385">
                  <c:v>4.2644911143566446</c:v>
                </c:pt>
                <c:pt idx="386">
                  <c:v>4.2644911143566446</c:v>
                </c:pt>
                <c:pt idx="387">
                  <c:v>4.2644911143566446</c:v>
                </c:pt>
                <c:pt idx="388">
                  <c:v>4.2644911143566446</c:v>
                </c:pt>
                <c:pt idx="389">
                  <c:v>4.2644911143566446</c:v>
                </c:pt>
                <c:pt idx="390">
                  <c:v>4.2644911143566446</c:v>
                </c:pt>
                <c:pt idx="391">
                  <c:v>4.2644911143566446</c:v>
                </c:pt>
                <c:pt idx="392">
                  <c:v>4.2644911143566446</c:v>
                </c:pt>
                <c:pt idx="393">
                  <c:v>4.2644911143566446</c:v>
                </c:pt>
                <c:pt idx="394">
                  <c:v>4.2644911143566446</c:v>
                </c:pt>
                <c:pt idx="395">
                  <c:v>4.2644911143566446</c:v>
                </c:pt>
                <c:pt idx="396">
                  <c:v>4.2644911143566446</c:v>
                </c:pt>
                <c:pt idx="397">
                  <c:v>4.2644911143566446</c:v>
                </c:pt>
                <c:pt idx="398">
                  <c:v>4.2644911143566446</c:v>
                </c:pt>
                <c:pt idx="399">
                  <c:v>4.2644911143566446</c:v>
                </c:pt>
                <c:pt idx="400">
                  <c:v>4.2644911143566446</c:v>
                </c:pt>
                <c:pt idx="401">
                  <c:v>4.2644911143566446</c:v>
                </c:pt>
                <c:pt idx="402">
                  <c:v>4.2644911143566446</c:v>
                </c:pt>
                <c:pt idx="403">
                  <c:v>4.2644911143566446</c:v>
                </c:pt>
                <c:pt idx="404">
                  <c:v>4.2644911143566446</c:v>
                </c:pt>
                <c:pt idx="405">
                  <c:v>4.2644911143566446</c:v>
                </c:pt>
                <c:pt idx="406">
                  <c:v>4.2644911143566446</c:v>
                </c:pt>
                <c:pt idx="407">
                  <c:v>4.2644911143566446</c:v>
                </c:pt>
                <c:pt idx="408">
                  <c:v>4.2644911143566446</c:v>
                </c:pt>
                <c:pt idx="409">
                  <c:v>4.2644911143566446</c:v>
                </c:pt>
                <c:pt idx="410">
                  <c:v>4.2644911143566446</c:v>
                </c:pt>
                <c:pt idx="411">
                  <c:v>4.2644911143566446</c:v>
                </c:pt>
                <c:pt idx="412">
                  <c:v>4.2644911143566446</c:v>
                </c:pt>
                <c:pt idx="413">
                  <c:v>4.2644911143566446</c:v>
                </c:pt>
                <c:pt idx="414">
                  <c:v>4.2644911143566446</c:v>
                </c:pt>
                <c:pt idx="415">
                  <c:v>4.2644911143566446</c:v>
                </c:pt>
                <c:pt idx="416">
                  <c:v>4.2644911143566446</c:v>
                </c:pt>
                <c:pt idx="417">
                  <c:v>4.2644911143566446</c:v>
                </c:pt>
                <c:pt idx="418">
                  <c:v>4.2644911143566446</c:v>
                </c:pt>
              </c:numCache>
            </c:numRef>
          </c:val>
          <c:smooth val="1"/>
          <c:extLst>
            <c:ext xmlns:c16="http://schemas.microsoft.com/office/drawing/2014/chart" uri="{C3380CC4-5D6E-409C-BE32-E72D297353CC}">
              <c16:uniqueId val="{00000003-8B10-4F45-997A-CD7B20248F9C}"/>
            </c:ext>
          </c:extLst>
        </c:ser>
        <c:dLbls>
          <c:showLegendKey val="0"/>
          <c:showVal val="0"/>
          <c:showCatName val="0"/>
          <c:showSerName val="0"/>
          <c:showPercent val="0"/>
          <c:showBubbleSize val="0"/>
        </c:dLbls>
        <c:smooth val="0"/>
        <c:axId val="147683023"/>
        <c:axId val="146645279"/>
        <c:extLst>
          <c:ext xmlns:c15="http://schemas.microsoft.com/office/drawing/2012/chart" uri="{02D57815-91ED-43cb-92C2-25804820EDAC}">
            <c15:filteredLineSeries>
              <c15:ser>
                <c:idx val="5"/>
                <c:order val="1"/>
                <c:tx>
                  <c:v>Up (MOC)</c:v>
                </c:tx>
                <c:spPr>
                  <a:ln w="28575" cap="rnd">
                    <a:solidFill>
                      <a:schemeClr val="accent6"/>
                    </a:solidFill>
                    <a:prstDash val="sysDash"/>
                    <a:round/>
                  </a:ln>
                  <a:effectLst/>
                </c:spPr>
                <c:marker>
                  <c:symbol val="none"/>
                </c:marker>
                <c:val>
                  <c:numRef>
                    <c:extLst>
                      <c:ext uri="{02D57815-91ED-43cb-92C2-25804820EDAC}">
                        <c15:formulaRef>
                          <c15:sqref>'2025-Q2'!$AX$4:$AX$350</c15:sqref>
                        </c15:formulaRef>
                      </c:ext>
                    </c:extLst>
                    <c:numCache>
                      <c:formatCode>"$"#,##0</c:formatCode>
                      <c:ptCount val="34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59.839999999999918</c:v>
                      </c:pt>
                      <c:pt idx="40">
                        <c:v>59.839999999999918</c:v>
                      </c:pt>
                      <c:pt idx="41">
                        <c:v>59.839999999999918</c:v>
                      </c:pt>
                      <c:pt idx="42">
                        <c:v>59.839999999999918</c:v>
                      </c:pt>
                      <c:pt idx="43">
                        <c:v>59.839999999999918</c:v>
                      </c:pt>
                      <c:pt idx="44">
                        <c:v>59.839999999999918</c:v>
                      </c:pt>
                      <c:pt idx="45">
                        <c:v>59.839999999999918</c:v>
                      </c:pt>
                      <c:pt idx="46">
                        <c:v>59.839999999999918</c:v>
                      </c:pt>
                      <c:pt idx="47">
                        <c:v>-74.660000000000196</c:v>
                      </c:pt>
                      <c:pt idx="48">
                        <c:v>-74.660000000000196</c:v>
                      </c:pt>
                      <c:pt idx="49">
                        <c:v>-74.660000000000196</c:v>
                      </c:pt>
                      <c:pt idx="50">
                        <c:v>-74.660000000000196</c:v>
                      </c:pt>
                      <c:pt idx="51">
                        <c:v>-74.660000000000196</c:v>
                      </c:pt>
                      <c:pt idx="52">
                        <c:v>-74.660000000000196</c:v>
                      </c:pt>
                      <c:pt idx="53">
                        <c:v>-74.660000000000196</c:v>
                      </c:pt>
                      <c:pt idx="54">
                        <c:v>-74.660000000000196</c:v>
                      </c:pt>
                      <c:pt idx="55">
                        <c:v>-74.660000000000196</c:v>
                      </c:pt>
                      <c:pt idx="56">
                        <c:v>-74.660000000000196</c:v>
                      </c:pt>
                      <c:pt idx="57">
                        <c:v>-74.660000000000196</c:v>
                      </c:pt>
                      <c:pt idx="58">
                        <c:v>-74.660000000000196</c:v>
                      </c:pt>
                      <c:pt idx="59">
                        <c:v>-74.660000000000196</c:v>
                      </c:pt>
                      <c:pt idx="60">
                        <c:v>-74.660000000000196</c:v>
                      </c:pt>
                      <c:pt idx="61">
                        <c:v>-74.660000000000196</c:v>
                      </c:pt>
                      <c:pt idx="62">
                        <c:v>-74.660000000000196</c:v>
                      </c:pt>
                      <c:pt idx="63">
                        <c:v>-74.660000000000196</c:v>
                      </c:pt>
                      <c:pt idx="64">
                        <c:v>-74.660000000000196</c:v>
                      </c:pt>
                      <c:pt idx="65">
                        <c:v>-74.660000000000196</c:v>
                      </c:pt>
                      <c:pt idx="66">
                        <c:v>-74.660000000000196</c:v>
                      </c:pt>
                      <c:pt idx="67">
                        <c:v>-74.660000000000196</c:v>
                      </c:pt>
                      <c:pt idx="68">
                        <c:v>-74.660000000000196</c:v>
                      </c:pt>
                      <c:pt idx="69">
                        <c:v>-54.660000000000196</c:v>
                      </c:pt>
                      <c:pt idx="70">
                        <c:v>-54.660000000000196</c:v>
                      </c:pt>
                      <c:pt idx="71">
                        <c:v>-66.900000000000205</c:v>
                      </c:pt>
                      <c:pt idx="72">
                        <c:v>-66.900000000000205</c:v>
                      </c:pt>
                      <c:pt idx="73">
                        <c:v>-66.900000000000205</c:v>
                      </c:pt>
                      <c:pt idx="74">
                        <c:v>-66.900000000000205</c:v>
                      </c:pt>
                      <c:pt idx="75">
                        <c:v>-66.900000000000205</c:v>
                      </c:pt>
                      <c:pt idx="76">
                        <c:v>-66.900000000000205</c:v>
                      </c:pt>
                      <c:pt idx="77">
                        <c:v>-66.900000000000205</c:v>
                      </c:pt>
                      <c:pt idx="78">
                        <c:v>-66.900000000000205</c:v>
                      </c:pt>
                      <c:pt idx="79">
                        <c:v>-66.900000000000205</c:v>
                      </c:pt>
                      <c:pt idx="80">
                        <c:v>-66.900000000000205</c:v>
                      </c:pt>
                      <c:pt idx="81">
                        <c:v>-66.900000000000205</c:v>
                      </c:pt>
                      <c:pt idx="82">
                        <c:v>-66.900000000000205</c:v>
                      </c:pt>
                      <c:pt idx="83">
                        <c:v>-66.900000000000205</c:v>
                      </c:pt>
                      <c:pt idx="84">
                        <c:v>-66.900000000000205</c:v>
                      </c:pt>
                      <c:pt idx="85">
                        <c:v>-66.900000000000205</c:v>
                      </c:pt>
                      <c:pt idx="86">
                        <c:v>-66.900000000000205</c:v>
                      </c:pt>
                      <c:pt idx="87">
                        <c:v>-66.900000000000205</c:v>
                      </c:pt>
                      <c:pt idx="88">
                        <c:v>-66.900000000000205</c:v>
                      </c:pt>
                      <c:pt idx="89">
                        <c:v>-66.900000000000205</c:v>
                      </c:pt>
                      <c:pt idx="90">
                        <c:v>-66.900000000000205</c:v>
                      </c:pt>
                      <c:pt idx="91">
                        <c:v>-66.900000000000205</c:v>
                      </c:pt>
                      <c:pt idx="92">
                        <c:v>-66.900000000000205</c:v>
                      </c:pt>
                      <c:pt idx="93">
                        <c:v>-66.900000000000205</c:v>
                      </c:pt>
                      <c:pt idx="94">
                        <c:v>-66.900000000000205</c:v>
                      </c:pt>
                      <c:pt idx="95">
                        <c:v>-66.900000000000205</c:v>
                      </c:pt>
                      <c:pt idx="96">
                        <c:v>-66.900000000000205</c:v>
                      </c:pt>
                      <c:pt idx="97">
                        <c:v>-66.900000000000205</c:v>
                      </c:pt>
                      <c:pt idx="98">
                        <c:v>-66.900000000000205</c:v>
                      </c:pt>
                      <c:pt idx="99">
                        <c:v>-66.900000000000205</c:v>
                      </c:pt>
                      <c:pt idx="100">
                        <c:v>-66.900000000000205</c:v>
                      </c:pt>
                      <c:pt idx="101">
                        <c:v>-66.900000000000205</c:v>
                      </c:pt>
                      <c:pt idx="102">
                        <c:v>-66.900000000000205</c:v>
                      </c:pt>
                      <c:pt idx="103">
                        <c:v>-184.54000000000019</c:v>
                      </c:pt>
                      <c:pt idx="104">
                        <c:v>-184.54000000000019</c:v>
                      </c:pt>
                      <c:pt idx="105">
                        <c:v>-184.54000000000019</c:v>
                      </c:pt>
                      <c:pt idx="106">
                        <c:v>-173.34000000000015</c:v>
                      </c:pt>
                      <c:pt idx="107">
                        <c:v>-173.34000000000015</c:v>
                      </c:pt>
                      <c:pt idx="108">
                        <c:v>-173.34000000000015</c:v>
                      </c:pt>
                      <c:pt idx="109">
                        <c:v>-173.34000000000015</c:v>
                      </c:pt>
                      <c:pt idx="110">
                        <c:v>-173.34000000000015</c:v>
                      </c:pt>
                      <c:pt idx="111">
                        <c:v>-173.34000000000015</c:v>
                      </c:pt>
                      <c:pt idx="112">
                        <c:v>-173.34000000000015</c:v>
                      </c:pt>
                      <c:pt idx="113">
                        <c:v>-173.34000000000015</c:v>
                      </c:pt>
                      <c:pt idx="114">
                        <c:v>-173.34000000000015</c:v>
                      </c:pt>
                      <c:pt idx="115">
                        <c:v>-173.34000000000015</c:v>
                      </c:pt>
                      <c:pt idx="116">
                        <c:v>-173.34000000000015</c:v>
                      </c:pt>
                      <c:pt idx="117">
                        <c:v>-173.34000000000015</c:v>
                      </c:pt>
                      <c:pt idx="118">
                        <c:v>-173.34000000000015</c:v>
                      </c:pt>
                      <c:pt idx="119">
                        <c:v>-173.34000000000015</c:v>
                      </c:pt>
                      <c:pt idx="120">
                        <c:v>-173.34000000000015</c:v>
                      </c:pt>
                      <c:pt idx="121">
                        <c:v>-174.74000000000024</c:v>
                      </c:pt>
                      <c:pt idx="122">
                        <c:v>-174.74000000000024</c:v>
                      </c:pt>
                      <c:pt idx="123">
                        <c:v>-174.74000000000024</c:v>
                      </c:pt>
                      <c:pt idx="124">
                        <c:v>-174.74000000000024</c:v>
                      </c:pt>
                      <c:pt idx="125">
                        <c:v>-174.74000000000024</c:v>
                      </c:pt>
                      <c:pt idx="126">
                        <c:v>-174.74000000000024</c:v>
                      </c:pt>
                      <c:pt idx="127">
                        <c:v>-174.74000000000024</c:v>
                      </c:pt>
                      <c:pt idx="128">
                        <c:v>-174.74000000000024</c:v>
                      </c:pt>
                      <c:pt idx="129">
                        <c:v>-174.74000000000024</c:v>
                      </c:pt>
                      <c:pt idx="130">
                        <c:v>-174.74000000000024</c:v>
                      </c:pt>
                      <c:pt idx="131">
                        <c:v>-174.74000000000024</c:v>
                      </c:pt>
                      <c:pt idx="132">
                        <c:v>-174.74000000000024</c:v>
                      </c:pt>
                      <c:pt idx="133">
                        <c:v>-174.74000000000024</c:v>
                      </c:pt>
                      <c:pt idx="134">
                        <c:v>-174.74000000000024</c:v>
                      </c:pt>
                      <c:pt idx="135">
                        <c:v>-174.74000000000024</c:v>
                      </c:pt>
                      <c:pt idx="136">
                        <c:v>-174.74000000000024</c:v>
                      </c:pt>
                      <c:pt idx="137">
                        <c:v>-163.1400000000001</c:v>
                      </c:pt>
                      <c:pt idx="138">
                        <c:v>-163.1400000000001</c:v>
                      </c:pt>
                      <c:pt idx="139">
                        <c:v>-163.1400000000001</c:v>
                      </c:pt>
                      <c:pt idx="140">
                        <c:v>-163.1400000000001</c:v>
                      </c:pt>
                      <c:pt idx="141">
                        <c:v>-163.1400000000001</c:v>
                      </c:pt>
                      <c:pt idx="142">
                        <c:v>-163.1400000000001</c:v>
                      </c:pt>
                      <c:pt idx="143">
                        <c:v>-163.1400000000001</c:v>
                      </c:pt>
                      <c:pt idx="144">
                        <c:v>-163.1400000000001</c:v>
                      </c:pt>
                      <c:pt idx="145">
                        <c:v>-163.1400000000001</c:v>
                      </c:pt>
                      <c:pt idx="146">
                        <c:v>-163.1400000000001</c:v>
                      </c:pt>
                      <c:pt idx="147">
                        <c:v>-163.1400000000001</c:v>
                      </c:pt>
                      <c:pt idx="148">
                        <c:v>-163.1400000000001</c:v>
                      </c:pt>
                      <c:pt idx="149">
                        <c:v>-163.1400000000001</c:v>
                      </c:pt>
                      <c:pt idx="150">
                        <c:v>-163.1400000000001</c:v>
                      </c:pt>
                      <c:pt idx="151">
                        <c:v>-163.1400000000001</c:v>
                      </c:pt>
                      <c:pt idx="152">
                        <c:v>-163.1400000000001</c:v>
                      </c:pt>
                      <c:pt idx="153">
                        <c:v>-163.1400000000001</c:v>
                      </c:pt>
                      <c:pt idx="154">
                        <c:v>-163.1400000000001</c:v>
                      </c:pt>
                      <c:pt idx="155">
                        <c:v>-163.1400000000001</c:v>
                      </c:pt>
                      <c:pt idx="156">
                        <c:v>-163.1400000000001</c:v>
                      </c:pt>
                      <c:pt idx="157">
                        <c:v>-163.1400000000001</c:v>
                      </c:pt>
                      <c:pt idx="158">
                        <c:v>-163.1400000000001</c:v>
                      </c:pt>
                      <c:pt idx="159">
                        <c:v>-163.1400000000001</c:v>
                      </c:pt>
                      <c:pt idx="160">
                        <c:v>-163.1400000000001</c:v>
                      </c:pt>
                      <c:pt idx="161">
                        <c:v>-163.1400000000001</c:v>
                      </c:pt>
                      <c:pt idx="162">
                        <c:v>-163.1400000000001</c:v>
                      </c:pt>
                      <c:pt idx="163">
                        <c:v>-163.1400000000001</c:v>
                      </c:pt>
                      <c:pt idx="164">
                        <c:v>-163.1400000000001</c:v>
                      </c:pt>
                      <c:pt idx="165">
                        <c:v>-163.1400000000001</c:v>
                      </c:pt>
                      <c:pt idx="166">
                        <c:v>-163.1400000000001</c:v>
                      </c:pt>
                      <c:pt idx="167">
                        <c:v>-163.1400000000001</c:v>
                      </c:pt>
                      <c:pt idx="168">
                        <c:v>-163.1400000000001</c:v>
                      </c:pt>
                      <c:pt idx="169">
                        <c:v>-163.1400000000001</c:v>
                      </c:pt>
                      <c:pt idx="170">
                        <c:v>-163.1400000000001</c:v>
                      </c:pt>
                      <c:pt idx="171">
                        <c:v>-163.1400000000001</c:v>
                      </c:pt>
                      <c:pt idx="172">
                        <c:v>-163.1400000000001</c:v>
                      </c:pt>
                      <c:pt idx="173">
                        <c:v>-163.1400000000001</c:v>
                      </c:pt>
                      <c:pt idx="174">
                        <c:v>-163.1400000000001</c:v>
                      </c:pt>
                      <c:pt idx="175">
                        <c:v>-163.1400000000001</c:v>
                      </c:pt>
                      <c:pt idx="176">
                        <c:v>-163.1400000000001</c:v>
                      </c:pt>
                      <c:pt idx="177">
                        <c:v>-163.1400000000001</c:v>
                      </c:pt>
                      <c:pt idx="178">
                        <c:v>-163.1400000000001</c:v>
                      </c:pt>
                      <c:pt idx="179">
                        <c:v>-163.1400000000001</c:v>
                      </c:pt>
                      <c:pt idx="180">
                        <c:v>-163.1400000000001</c:v>
                      </c:pt>
                      <c:pt idx="181">
                        <c:v>-163.1400000000001</c:v>
                      </c:pt>
                      <c:pt idx="182">
                        <c:v>-163.1400000000001</c:v>
                      </c:pt>
                      <c:pt idx="183">
                        <c:v>-163.1400000000001</c:v>
                      </c:pt>
                      <c:pt idx="184">
                        <c:v>-163.1400000000001</c:v>
                      </c:pt>
                      <c:pt idx="185">
                        <c:v>-163.1400000000001</c:v>
                      </c:pt>
                      <c:pt idx="186">
                        <c:v>-163.1400000000001</c:v>
                      </c:pt>
                      <c:pt idx="187">
                        <c:v>-163.1400000000001</c:v>
                      </c:pt>
                      <c:pt idx="188">
                        <c:v>-163.1400000000001</c:v>
                      </c:pt>
                      <c:pt idx="189">
                        <c:v>-163.1400000000001</c:v>
                      </c:pt>
                      <c:pt idx="190">
                        <c:v>-163.1400000000001</c:v>
                      </c:pt>
                      <c:pt idx="191">
                        <c:v>-163.1400000000001</c:v>
                      </c:pt>
                      <c:pt idx="192">
                        <c:v>-163.1400000000001</c:v>
                      </c:pt>
                      <c:pt idx="193">
                        <c:v>-163.1400000000001</c:v>
                      </c:pt>
                      <c:pt idx="194">
                        <c:v>-163.1400000000001</c:v>
                      </c:pt>
                      <c:pt idx="195">
                        <c:v>-163.1400000000001</c:v>
                      </c:pt>
                      <c:pt idx="196">
                        <c:v>-163.1400000000001</c:v>
                      </c:pt>
                      <c:pt idx="197">
                        <c:v>-163.1400000000001</c:v>
                      </c:pt>
                      <c:pt idx="198">
                        <c:v>-163.1400000000001</c:v>
                      </c:pt>
                      <c:pt idx="199">
                        <c:v>-163.1400000000001</c:v>
                      </c:pt>
                      <c:pt idx="200">
                        <c:v>-181.17000000000007</c:v>
                      </c:pt>
                      <c:pt idx="201">
                        <c:v>-181.17000000000007</c:v>
                      </c:pt>
                      <c:pt idx="202">
                        <c:v>-181.17000000000007</c:v>
                      </c:pt>
                      <c:pt idx="203">
                        <c:v>-151.49</c:v>
                      </c:pt>
                      <c:pt idx="204">
                        <c:v>-151.49</c:v>
                      </c:pt>
                      <c:pt idx="205">
                        <c:v>-151.49</c:v>
                      </c:pt>
                      <c:pt idx="206">
                        <c:v>-151.49</c:v>
                      </c:pt>
                      <c:pt idx="207">
                        <c:v>-151.49</c:v>
                      </c:pt>
                      <c:pt idx="208">
                        <c:v>-151.49</c:v>
                      </c:pt>
                      <c:pt idx="209">
                        <c:v>-151.49</c:v>
                      </c:pt>
                      <c:pt idx="210">
                        <c:v>-151.49</c:v>
                      </c:pt>
                      <c:pt idx="211">
                        <c:v>-151.49</c:v>
                      </c:pt>
                      <c:pt idx="212">
                        <c:v>-151.49</c:v>
                      </c:pt>
                      <c:pt idx="213">
                        <c:v>-151.49</c:v>
                      </c:pt>
                      <c:pt idx="214">
                        <c:v>-151.49</c:v>
                      </c:pt>
                      <c:pt idx="215">
                        <c:v>-151.49</c:v>
                      </c:pt>
                      <c:pt idx="216">
                        <c:v>-151.49</c:v>
                      </c:pt>
                      <c:pt idx="217">
                        <c:v>-85.340000000000032</c:v>
                      </c:pt>
                      <c:pt idx="218">
                        <c:v>-85.340000000000032</c:v>
                      </c:pt>
                      <c:pt idx="219">
                        <c:v>-85.340000000000032</c:v>
                      </c:pt>
                      <c:pt idx="220">
                        <c:v>-85.340000000000032</c:v>
                      </c:pt>
                      <c:pt idx="221">
                        <c:v>-85.340000000000032</c:v>
                      </c:pt>
                      <c:pt idx="222">
                        <c:v>-85.340000000000032</c:v>
                      </c:pt>
                      <c:pt idx="223">
                        <c:v>-142.90000000000009</c:v>
                      </c:pt>
                      <c:pt idx="224">
                        <c:v>-142.90000000000009</c:v>
                      </c:pt>
                      <c:pt idx="225">
                        <c:v>-142.90000000000009</c:v>
                      </c:pt>
                      <c:pt idx="226">
                        <c:v>-142.90000000000009</c:v>
                      </c:pt>
                      <c:pt idx="227">
                        <c:v>-142.90000000000009</c:v>
                      </c:pt>
                      <c:pt idx="228">
                        <c:v>-142.90000000000009</c:v>
                      </c:pt>
                      <c:pt idx="229">
                        <c:v>-142.90000000000009</c:v>
                      </c:pt>
                      <c:pt idx="230">
                        <c:v>-142.90000000000009</c:v>
                      </c:pt>
                      <c:pt idx="231">
                        <c:v>-142.90000000000009</c:v>
                      </c:pt>
                      <c:pt idx="232">
                        <c:v>-142.90000000000009</c:v>
                      </c:pt>
                      <c:pt idx="233">
                        <c:v>-142.90000000000009</c:v>
                      </c:pt>
                      <c:pt idx="234">
                        <c:v>-142.90000000000009</c:v>
                      </c:pt>
                      <c:pt idx="235">
                        <c:v>-142.90000000000009</c:v>
                      </c:pt>
                      <c:pt idx="236">
                        <c:v>-142.90000000000009</c:v>
                      </c:pt>
                      <c:pt idx="237">
                        <c:v>-142.90000000000009</c:v>
                      </c:pt>
                      <c:pt idx="238">
                        <c:v>-142.90000000000009</c:v>
                      </c:pt>
                      <c:pt idx="239">
                        <c:v>-142.90000000000009</c:v>
                      </c:pt>
                      <c:pt idx="240">
                        <c:v>-132.30000000000018</c:v>
                      </c:pt>
                      <c:pt idx="241">
                        <c:v>-132.30000000000018</c:v>
                      </c:pt>
                      <c:pt idx="242">
                        <c:v>-132.30000000000018</c:v>
                      </c:pt>
                      <c:pt idx="243">
                        <c:v>-132.30000000000018</c:v>
                      </c:pt>
                      <c:pt idx="244">
                        <c:v>-132.30000000000018</c:v>
                      </c:pt>
                      <c:pt idx="245">
                        <c:v>-132.30000000000018</c:v>
                      </c:pt>
                      <c:pt idx="246">
                        <c:v>-132.30000000000018</c:v>
                      </c:pt>
                      <c:pt idx="247">
                        <c:v>-132.30000000000018</c:v>
                      </c:pt>
                      <c:pt idx="248">
                        <c:v>-132.30000000000018</c:v>
                      </c:pt>
                      <c:pt idx="249">
                        <c:v>-132.30000000000018</c:v>
                      </c:pt>
                      <c:pt idx="250">
                        <c:v>-132.30000000000018</c:v>
                      </c:pt>
                      <c:pt idx="251">
                        <c:v>-132.30000000000018</c:v>
                      </c:pt>
                      <c:pt idx="252">
                        <c:v>-132.30000000000018</c:v>
                      </c:pt>
                      <c:pt idx="253">
                        <c:v>-132.30000000000018</c:v>
                      </c:pt>
                      <c:pt idx="254">
                        <c:v>-132.30000000000018</c:v>
                      </c:pt>
                      <c:pt idx="255">
                        <c:v>-132.30000000000018</c:v>
                      </c:pt>
                      <c:pt idx="256">
                        <c:v>-132.30000000000018</c:v>
                      </c:pt>
                      <c:pt idx="257">
                        <c:v>-269.63053243920194</c:v>
                      </c:pt>
                      <c:pt idx="258">
                        <c:v>-299.03053243920203</c:v>
                      </c:pt>
                      <c:pt idx="259">
                        <c:v>-299.03053243920203</c:v>
                      </c:pt>
                      <c:pt idx="260">
                        <c:v>-299.03053243920203</c:v>
                      </c:pt>
                      <c:pt idx="261">
                        <c:v>-299.03053243920203</c:v>
                      </c:pt>
                      <c:pt idx="262">
                        <c:v>-299.03053243920203</c:v>
                      </c:pt>
                      <c:pt idx="263">
                        <c:v>-299.03053243920203</c:v>
                      </c:pt>
                      <c:pt idx="264">
                        <c:v>-299.03053243920203</c:v>
                      </c:pt>
                      <c:pt idx="265">
                        <c:v>-299.03053243920203</c:v>
                      </c:pt>
                      <c:pt idx="266">
                        <c:v>-299.03053243920203</c:v>
                      </c:pt>
                      <c:pt idx="267">
                        <c:v>-299.03053243920203</c:v>
                      </c:pt>
                      <c:pt idx="268">
                        <c:v>-299.03053243920203</c:v>
                      </c:pt>
                      <c:pt idx="269">
                        <c:v>-299.03053243920203</c:v>
                      </c:pt>
                      <c:pt idx="270">
                        <c:v>-299.03053243920203</c:v>
                      </c:pt>
                      <c:pt idx="271">
                        <c:v>-299.03053243920203</c:v>
                      </c:pt>
                      <c:pt idx="272">
                        <c:v>-299.03053243920203</c:v>
                      </c:pt>
                      <c:pt idx="273">
                        <c:v>-385.38106797961109</c:v>
                      </c:pt>
                      <c:pt idx="274">
                        <c:v>-385.38106797961109</c:v>
                      </c:pt>
                      <c:pt idx="275">
                        <c:v>-385.38106797961109</c:v>
                      </c:pt>
                      <c:pt idx="276">
                        <c:v>-385.38106797961109</c:v>
                      </c:pt>
                      <c:pt idx="277">
                        <c:v>-377.70106797961103</c:v>
                      </c:pt>
                      <c:pt idx="278">
                        <c:v>-377.70106797961103</c:v>
                      </c:pt>
                      <c:pt idx="279">
                        <c:v>-377.70106797961103</c:v>
                      </c:pt>
                      <c:pt idx="280">
                        <c:v>-377.70106797961103</c:v>
                      </c:pt>
                      <c:pt idx="281">
                        <c:v>-377.70106797961103</c:v>
                      </c:pt>
                      <c:pt idx="282">
                        <c:v>-377.70106797961103</c:v>
                      </c:pt>
                      <c:pt idx="283">
                        <c:v>-377.70106797961103</c:v>
                      </c:pt>
                      <c:pt idx="284">
                        <c:v>-377.70106797961103</c:v>
                      </c:pt>
                      <c:pt idx="285">
                        <c:v>-377.70106797961103</c:v>
                      </c:pt>
                      <c:pt idx="286">
                        <c:v>-377.70106797961103</c:v>
                      </c:pt>
                      <c:pt idx="287">
                        <c:v>-377.70106797961103</c:v>
                      </c:pt>
                      <c:pt idx="288">
                        <c:v>-377.70106797961103</c:v>
                      </c:pt>
                      <c:pt idx="289">
                        <c:v>-377.70106797961103</c:v>
                      </c:pt>
                      <c:pt idx="290">
                        <c:v>-366.42106797961105</c:v>
                      </c:pt>
                      <c:pt idx="291">
                        <c:v>-366.42106797961105</c:v>
                      </c:pt>
                      <c:pt idx="292">
                        <c:v>-366.42106797961105</c:v>
                      </c:pt>
                      <c:pt idx="293">
                        <c:v>-366.42106797961105</c:v>
                      </c:pt>
                      <c:pt idx="294">
                        <c:v>-366.42106797961105</c:v>
                      </c:pt>
                      <c:pt idx="295">
                        <c:v>-394.76106797961097</c:v>
                      </c:pt>
                      <c:pt idx="296">
                        <c:v>-394.76106797961097</c:v>
                      </c:pt>
                      <c:pt idx="297">
                        <c:v>-339.68106797961104</c:v>
                      </c:pt>
                      <c:pt idx="298">
                        <c:v>-339.68106797961104</c:v>
                      </c:pt>
                      <c:pt idx="299">
                        <c:v>-339.68106797961104</c:v>
                      </c:pt>
                      <c:pt idx="300">
                        <c:v>-339.68106797961104</c:v>
                      </c:pt>
                      <c:pt idx="301">
                        <c:v>-339.68106797961104</c:v>
                      </c:pt>
                      <c:pt idx="302">
                        <c:v>-339.68106797961104</c:v>
                      </c:pt>
                      <c:pt idx="303">
                        <c:v>-339.68106797961104</c:v>
                      </c:pt>
                      <c:pt idx="304">
                        <c:v>-438.46106797961124</c:v>
                      </c:pt>
                      <c:pt idx="305">
                        <c:v>-438.46106797961124</c:v>
                      </c:pt>
                      <c:pt idx="306">
                        <c:v>-438.46106797961124</c:v>
                      </c:pt>
                      <c:pt idx="307">
                        <c:v>-438.46106797961124</c:v>
                      </c:pt>
                      <c:pt idx="308">
                        <c:v>-438.46106797961124</c:v>
                      </c:pt>
                      <c:pt idx="309">
                        <c:v>-390.96106797961124</c:v>
                      </c:pt>
                      <c:pt idx="310">
                        <c:v>-390.96106797961124</c:v>
                      </c:pt>
                      <c:pt idx="311">
                        <c:v>-390.96106797961124</c:v>
                      </c:pt>
                      <c:pt idx="312">
                        <c:v>-390.96106797961124</c:v>
                      </c:pt>
                      <c:pt idx="313">
                        <c:v>-349.11106797961111</c:v>
                      </c:pt>
                      <c:pt idx="314">
                        <c:v>-349.11106797961111</c:v>
                      </c:pt>
                      <c:pt idx="315">
                        <c:v>-349.11106797961111</c:v>
                      </c:pt>
                      <c:pt idx="316">
                        <c:v>-342.69106797961103</c:v>
                      </c:pt>
                      <c:pt idx="317">
                        <c:v>-340.17106797961105</c:v>
                      </c:pt>
                      <c:pt idx="318">
                        <c:v>-340.17106797961105</c:v>
                      </c:pt>
                      <c:pt idx="319">
                        <c:v>-340.17106797961105</c:v>
                      </c:pt>
                      <c:pt idx="320">
                        <c:v>-340.17106797961105</c:v>
                      </c:pt>
                      <c:pt idx="321">
                        <c:v>-340.17106797961105</c:v>
                      </c:pt>
                      <c:pt idx="322">
                        <c:v>-340.17106797961105</c:v>
                      </c:pt>
                      <c:pt idx="323">
                        <c:v>-340.17106797961105</c:v>
                      </c:pt>
                      <c:pt idx="324">
                        <c:v>-340.17106797961105</c:v>
                      </c:pt>
                      <c:pt idx="325">
                        <c:v>-340.17106797961105</c:v>
                      </c:pt>
                      <c:pt idx="326">
                        <c:v>-340.17106797961105</c:v>
                      </c:pt>
                      <c:pt idx="327">
                        <c:v>-340.17106797961105</c:v>
                      </c:pt>
                      <c:pt idx="328">
                        <c:v>-340.17106797961105</c:v>
                      </c:pt>
                      <c:pt idx="329">
                        <c:v>-240.66106797961083</c:v>
                      </c:pt>
                      <c:pt idx="330">
                        <c:v>-240.66106797961083</c:v>
                      </c:pt>
                      <c:pt idx="331">
                        <c:v>-240.66106797961083</c:v>
                      </c:pt>
                      <c:pt idx="332">
                        <c:v>-240.66106797961083</c:v>
                      </c:pt>
                      <c:pt idx="333">
                        <c:v>-240.66106797961083</c:v>
                      </c:pt>
                      <c:pt idx="334">
                        <c:v>-178.13106797961063</c:v>
                      </c:pt>
                      <c:pt idx="335">
                        <c:v>-178.13106797961063</c:v>
                      </c:pt>
                      <c:pt idx="336">
                        <c:v>-178.13106797961063</c:v>
                      </c:pt>
                      <c:pt idx="337">
                        <c:v>-178.13106797961063</c:v>
                      </c:pt>
                      <c:pt idx="338">
                        <c:v>-206.13106797961063</c:v>
                      </c:pt>
                      <c:pt idx="339">
                        <c:v>-206.13106797961063</c:v>
                      </c:pt>
                      <c:pt idx="340">
                        <c:v>-206.13106797961063</c:v>
                      </c:pt>
                      <c:pt idx="341">
                        <c:v>-203.43106797961059</c:v>
                      </c:pt>
                      <c:pt idx="342">
                        <c:v>-203.43106797961059</c:v>
                      </c:pt>
                      <c:pt idx="343">
                        <c:v>-203.43106797961059</c:v>
                      </c:pt>
                      <c:pt idx="344">
                        <c:v>-203.43106797961059</c:v>
                      </c:pt>
                      <c:pt idx="345">
                        <c:v>-295.97106797961055</c:v>
                      </c:pt>
                      <c:pt idx="346">
                        <c:v>-295.97106797961055</c:v>
                      </c:pt>
                    </c:numCache>
                  </c:numRef>
                </c:val>
                <c:smooth val="0"/>
                <c:extLst>
                  <c:ext xmlns:c16="http://schemas.microsoft.com/office/drawing/2014/chart" uri="{C3380CC4-5D6E-409C-BE32-E72D297353CC}">
                    <c16:uniqueId val="{00000004-8B10-4F45-997A-CD7B20248F9C}"/>
                  </c:ext>
                </c:extLst>
              </c15:ser>
            </c15:filteredLineSeries>
            <c15:filteredLineSeries>
              <c15:ser>
                <c:idx val="4"/>
                <c:order val="4"/>
                <c:tx>
                  <c:v>SW (MOC)</c:v>
                </c:tx>
                <c:spPr>
                  <a:ln w="28575" cap="rnd">
                    <a:solidFill>
                      <a:schemeClr val="accent4">
                        <a:lumMod val="60000"/>
                        <a:lumOff val="40000"/>
                      </a:schemeClr>
                    </a:solidFill>
                    <a:prstDash val="sysDash"/>
                    <a:round/>
                  </a:ln>
                  <a:effectLst/>
                </c:spPr>
                <c:marker>
                  <c:symbol val="none"/>
                </c:marker>
                <c:val>
                  <c:numRef>
                    <c:extLst xmlns:c15="http://schemas.microsoft.com/office/drawing/2012/chart">
                      <c:ext xmlns:c15="http://schemas.microsoft.com/office/drawing/2012/chart" uri="{02D57815-91ED-43cb-92C2-25804820EDAC}">
                        <c15:formulaRef>
                          <c15:sqref>'2025-Q2'!$AV$4:$AV$350</c15:sqref>
                        </c15:formulaRef>
                      </c:ext>
                    </c:extLst>
                    <c:numCache>
                      <c:formatCode>"$"#,##0</c:formatCode>
                      <c:ptCount val="347"/>
                      <c:pt idx="0">
                        <c:v>0</c:v>
                      </c:pt>
                      <c:pt idx="1">
                        <c:v>0</c:v>
                      </c:pt>
                      <c:pt idx="2">
                        <c:v>45.449999999999818</c:v>
                      </c:pt>
                      <c:pt idx="3">
                        <c:v>35.25</c:v>
                      </c:pt>
                      <c:pt idx="4">
                        <c:v>55.25</c:v>
                      </c:pt>
                      <c:pt idx="5">
                        <c:v>70.090000000000146</c:v>
                      </c:pt>
                      <c:pt idx="6">
                        <c:v>85.490000000000236</c:v>
                      </c:pt>
                      <c:pt idx="7">
                        <c:v>158.24</c:v>
                      </c:pt>
                      <c:pt idx="8">
                        <c:v>177.32000000000005</c:v>
                      </c:pt>
                      <c:pt idx="9">
                        <c:v>177.32000000000005</c:v>
                      </c:pt>
                      <c:pt idx="10">
                        <c:v>197.30000000000007</c:v>
                      </c:pt>
                      <c:pt idx="11">
                        <c:v>236.89999999999998</c:v>
                      </c:pt>
                      <c:pt idx="12">
                        <c:v>236.89999999999998</c:v>
                      </c:pt>
                      <c:pt idx="13">
                        <c:v>231.72000000000014</c:v>
                      </c:pt>
                      <c:pt idx="14">
                        <c:v>231.72000000000014</c:v>
                      </c:pt>
                      <c:pt idx="15">
                        <c:v>231.54000000000008</c:v>
                      </c:pt>
                      <c:pt idx="16">
                        <c:v>231.54000000000008</c:v>
                      </c:pt>
                      <c:pt idx="17">
                        <c:v>231.54000000000008</c:v>
                      </c:pt>
                      <c:pt idx="18">
                        <c:v>212.34000000000003</c:v>
                      </c:pt>
                      <c:pt idx="19">
                        <c:v>243.65999999999997</c:v>
                      </c:pt>
                      <c:pt idx="20">
                        <c:v>256.64966594568602</c:v>
                      </c:pt>
                      <c:pt idx="21">
                        <c:v>252.56795937946242</c:v>
                      </c:pt>
                      <c:pt idx="22">
                        <c:v>252.56795937946242</c:v>
                      </c:pt>
                      <c:pt idx="23">
                        <c:v>258.96870149449035</c:v>
                      </c:pt>
                      <c:pt idx="24">
                        <c:v>281.78870149449051</c:v>
                      </c:pt>
                      <c:pt idx="25">
                        <c:v>19.92870149449061</c:v>
                      </c:pt>
                      <c:pt idx="26">
                        <c:v>19.92870149449061</c:v>
                      </c:pt>
                      <c:pt idx="27">
                        <c:v>19.92870149449061</c:v>
                      </c:pt>
                      <c:pt idx="28">
                        <c:v>19.92870149449061</c:v>
                      </c:pt>
                      <c:pt idx="29">
                        <c:v>26.67870149449061</c:v>
                      </c:pt>
                      <c:pt idx="30">
                        <c:v>26.67870149449061</c:v>
                      </c:pt>
                      <c:pt idx="31">
                        <c:v>26.67870149449061</c:v>
                      </c:pt>
                      <c:pt idx="32">
                        <c:v>26.67870149449061</c:v>
                      </c:pt>
                      <c:pt idx="33">
                        <c:v>18.628701494490656</c:v>
                      </c:pt>
                      <c:pt idx="34">
                        <c:v>-37.621298505509344</c:v>
                      </c:pt>
                      <c:pt idx="35">
                        <c:v>-117.30129850550941</c:v>
                      </c:pt>
                      <c:pt idx="36">
                        <c:v>-117.30129850550941</c:v>
                      </c:pt>
                      <c:pt idx="37">
                        <c:v>-136.55129850550941</c:v>
                      </c:pt>
                      <c:pt idx="38">
                        <c:v>-121.67129850550941</c:v>
                      </c:pt>
                      <c:pt idx="39">
                        <c:v>-121.67129850550941</c:v>
                      </c:pt>
                      <c:pt idx="40">
                        <c:v>-121.67129850550941</c:v>
                      </c:pt>
                      <c:pt idx="41">
                        <c:v>-121.67129850550941</c:v>
                      </c:pt>
                      <c:pt idx="42">
                        <c:v>-121.67129850550941</c:v>
                      </c:pt>
                      <c:pt idx="43">
                        <c:v>-45.861298505509467</c:v>
                      </c:pt>
                      <c:pt idx="44">
                        <c:v>-39.361298505509467</c:v>
                      </c:pt>
                      <c:pt idx="45">
                        <c:v>-28.111298505509467</c:v>
                      </c:pt>
                      <c:pt idx="46">
                        <c:v>-28.111298505509467</c:v>
                      </c:pt>
                      <c:pt idx="47">
                        <c:v>-28.111298505509467</c:v>
                      </c:pt>
                      <c:pt idx="48">
                        <c:v>-28.111298505509467</c:v>
                      </c:pt>
                      <c:pt idx="49">
                        <c:v>-142.53968337706056</c:v>
                      </c:pt>
                      <c:pt idx="50">
                        <c:v>-160.4474473522157</c:v>
                      </c:pt>
                      <c:pt idx="51">
                        <c:v>-68.287447352215622</c:v>
                      </c:pt>
                      <c:pt idx="52">
                        <c:v>-68.287447352215622</c:v>
                      </c:pt>
                      <c:pt idx="53">
                        <c:v>-33.00744735221565</c:v>
                      </c:pt>
                      <c:pt idx="54">
                        <c:v>-14.627447352215654</c:v>
                      </c:pt>
                      <c:pt idx="55">
                        <c:v>-14.627447352215654</c:v>
                      </c:pt>
                      <c:pt idx="56">
                        <c:v>-64.227447352215677</c:v>
                      </c:pt>
                      <c:pt idx="57">
                        <c:v>-64.227447352215677</c:v>
                      </c:pt>
                      <c:pt idx="58">
                        <c:v>-32.927447352215609</c:v>
                      </c:pt>
                      <c:pt idx="59">
                        <c:v>5.1725526477844141</c:v>
                      </c:pt>
                      <c:pt idx="60">
                        <c:v>7.8725526477844596</c:v>
                      </c:pt>
                      <c:pt idx="61">
                        <c:v>37.932552647784405</c:v>
                      </c:pt>
                      <c:pt idx="62">
                        <c:v>102.73255264778447</c:v>
                      </c:pt>
                      <c:pt idx="63">
                        <c:v>118.39255264778456</c:v>
                      </c:pt>
                      <c:pt idx="64">
                        <c:v>125.29255264778453</c:v>
                      </c:pt>
                      <c:pt idx="65">
                        <c:v>174.54255264778453</c:v>
                      </c:pt>
                      <c:pt idx="66">
                        <c:v>174.54255264778453</c:v>
                      </c:pt>
                      <c:pt idx="67">
                        <c:v>174.54255264778453</c:v>
                      </c:pt>
                      <c:pt idx="68">
                        <c:v>174.54255264778453</c:v>
                      </c:pt>
                      <c:pt idx="69">
                        <c:v>174.54255264778453</c:v>
                      </c:pt>
                      <c:pt idx="70">
                        <c:v>174.54255264778453</c:v>
                      </c:pt>
                      <c:pt idx="71">
                        <c:v>174.54255264778453</c:v>
                      </c:pt>
                      <c:pt idx="72">
                        <c:v>215.38255264778456</c:v>
                      </c:pt>
                      <c:pt idx="73">
                        <c:v>188.17255264778453</c:v>
                      </c:pt>
                      <c:pt idx="74">
                        <c:v>219.13255264778456</c:v>
                      </c:pt>
                      <c:pt idx="75">
                        <c:v>165.93255264778452</c:v>
                      </c:pt>
                      <c:pt idx="76">
                        <c:v>215.8325526477845</c:v>
                      </c:pt>
                      <c:pt idx="77">
                        <c:v>259.68255264778452</c:v>
                      </c:pt>
                      <c:pt idx="78">
                        <c:v>195.08255264778461</c:v>
                      </c:pt>
                      <c:pt idx="79">
                        <c:v>195.08255264778461</c:v>
                      </c:pt>
                      <c:pt idx="80">
                        <c:v>208.3425526477846</c:v>
                      </c:pt>
                      <c:pt idx="81">
                        <c:v>208.3425526477846</c:v>
                      </c:pt>
                      <c:pt idx="82">
                        <c:v>208.3425526477846</c:v>
                      </c:pt>
                      <c:pt idx="83">
                        <c:v>236.54255264778465</c:v>
                      </c:pt>
                      <c:pt idx="84">
                        <c:v>75.742552647784692</c:v>
                      </c:pt>
                      <c:pt idx="85">
                        <c:v>75.742552647784692</c:v>
                      </c:pt>
                      <c:pt idx="86">
                        <c:v>44.742552647784692</c:v>
                      </c:pt>
                      <c:pt idx="87">
                        <c:v>44.742552647784692</c:v>
                      </c:pt>
                      <c:pt idx="88">
                        <c:v>44.742552647784692</c:v>
                      </c:pt>
                      <c:pt idx="89">
                        <c:v>59.622552647784573</c:v>
                      </c:pt>
                      <c:pt idx="90">
                        <c:v>59.622552647784573</c:v>
                      </c:pt>
                      <c:pt idx="91">
                        <c:v>59.622552647784573</c:v>
                      </c:pt>
                      <c:pt idx="92">
                        <c:v>59.622552647784573</c:v>
                      </c:pt>
                      <c:pt idx="93">
                        <c:v>30.959567043367201</c:v>
                      </c:pt>
                      <c:pt idx="94">
                        <c:v>47.809567043367224</c:v>
                      </c:pt>
                      <c:pt idx="95">
                        <c:v>47.809567043367224</c:v>
                      </c:pt>
                      <c:pt idx="96">
                        <c:v>47.809567043367224</c:v>
                      </c:pt>
                      <c:pt idx="97">
                        <c:v>47.809567043367224</c:v>
                      </c:pt>
                      <c:pt idx="98">
                        <c:v>47.809567043367224</c:v>
                      </c:pt>
                      <c:pt idx="99">
                        <c:v>-49.590432956632867</c:v>
                      </c:pt>
                      <c:pt idx="100">
                        <c:v>-49.590432956632867</c:v>
                      </c:pt>
                      <c:pt idx="101">
                        <c:v>-67.840432956632867</c:v>
                      </c:pt>
                      <c:pt idx="102">
                        <c:v>-68.000432956632835</c:v>
                      </c:pt>
                      <c:pt idx="103">
                        <c:v>-68.000432956632835</c:v>
                      </c:pt>
                      <c:pt idx="104">
                        <c:v>-71.840432956632753</c:v>
                      </c:pt>
                      <c:pt idx="105">
                        <c:v>-71.840432956632753</c:v>
                      </c:pt>
                      <c:pt idx="106">
                        <c:v>-71.840432956632753</c:v>
                      </c:pt>
                      <c:pt idx="107">
                        <c:v>-136.64043295663271</c:v>
                      </c:pt>
                      <c:pt idx="108">
                        <c:v>-122.36043295663274</c:v>
                      </c:pt>
                      <c:pt idx="109">
                        <c:v>-176.00043295663284</c:v>
                      </c:pt>
                      <c:pt idx="110">
                        <c:v>-176.00043295663284</c:v>
                      </c:pt>
                      <c:pt idx="111">
                        <c:v>-176.00043295663284</c:v>
                      </c:pt>
                      <c:pt idx="112">
                        <c:v>-216.47043295663286</c:v>
                      </c:pt>
                      <c:pt idx="113">
                        <c:v>-188.0787935487491</c:v>
                      </c:pt>
                      <c:pt idx="114">
                        <c:v>-175.97879354874919</c:v>
                      </c:pt>
                      <c:pt idx="115">
                        <c:v>-61.018793548749386</c:v>
                      </c:pt>
                      <c:pt idx="116">
                        <c:v>-61.018793548749386</c:v>
                      </c:pt>
                      <c:pt idx="117">
                        <c:v>-61.018793548749386</c:v>
                      </c:pt>
                      <c:pt idx="118">
                        <c:v>-25.19879354874945</c:v>
                      </c:pt>
                      <c:pt idx="119">
                        <c:v>-31.378793548749513</c:v>
                      </c:pt>
                      <c:pt idx="120">
                        <c:v>-31.378793548749513</c:v>
                      </c:pt>
                      <c:pt idx="121">
                        <c:v>-31.378793548749513</c:v>
                      </c:pt>
                      <c:pt idx="122">
                        <c:v>-100.2787935487496</c:v>
                      </c:pt>
                      <c:pt idx="123">
                        <c:v>-109.67879354874947</c:v>
                      </c:pt>
                      <c:pt idx="124">
                        <c:v>-109.67879354874947</c:v>
                      </c:pt>
                      <c:pt idx="125">
                        <c:v>-43.758793548749395</c:v>
                      </c:pt>
                      <c:pt idx="126">
                        <c:v>-42.408793548749259</c:v>
                      </c:pt>
                      <c:pt idx="127">
                        <c:v>-42.408793548749259</c:v>
                      </c:pt>
                      <c:pt idx="128">
                        <c:v>-18.358793548749304</c:v>
                      </c:pt>
                      <c:pt idx="129">
                        <c:v>-18.358793548749304</c:v>
                      </c:pt>
                      <c:pt idx="130">
                        <c:v>24.921206451250669</c:v>
                      </c:pt>
                      <c:pt idx="131">
                        <c:v>24.921206451250669</c:v>
                      </c:pt>
                      <c:pt idx="132">
                        <c:v>18.921206451250555</c:v>
                      </c:pt>
                      <c:pt idx="133">
                        <c:v>18.921206451250555</c:v>
                      </c:pt>
                      <c:pt idx="134">
                        <c:v>18.921206451250555</c:v>
                      </c:pt>
                      <c:pt idx="135">
                        <c:v>18.921206451250555</c:v>
                      </c:pt>
                      <c:pt idx="136">
                        <c:v>18.921206451250555</c:v>
                      </c:pt>
                      <c:pt idx="137">
                        <c:v>18.921206451250555</c:v>
                      </c:pt>
                      <c:pt idx="138">
                        <c:v>18.921206451250555</c:v>
                      </c:pt>
                      <c:pt idx="139">
                        <c:v>18.921206451250555</c:v>
                      </c:pt>
                      <c:pt idx="140">
                        <c:v>26.761206451250359</c:v>
                      </c:pt>
                      <c:pt idx="141">
                        <c:v>26.761206451250359</c:v>
                      </c:pt>
                      <c:pt idx="142">
                        <c:v>26.761206451250359</c:v>
                      </c:pt>
                      <c:pt idx="143">
                        <c:v>26.761206451250359</c:v>
                      </c:pt>
                      <c:pt idx="144">
                        <c:v>26.761206451250359</c:v>
                      </c:pt>
                      <c:pt idx="145">
                        <c:v>26.761206451250359</c:v>
                      </c:pt>
                      <c:pt idx="146">
                        <c:v>26.761206451250359</c:v>
                      </c:pt>
                      <c:pt idx="147">
                        <c:v>26.761206451250359</c:v>
                      </c:pt>
                      <c:pt idx="148">
                        <c:v>32.011206451250359</c:v>
                      </c:pt>
                      <c:pt idx="149">
                        <c:v>82.511206451250359</c:v>
                      </c:pt>
                      <c:pt idx="150">
                        <c:v>113.42120645125044</c:v>
                      </c:pt>
                      <c:pt idx="151">
                        <c:v>236.01120645125059</c:v>
                      </c:pt>
                      <c:pt idx="152">
                        <c:v>236.01120645125059</c:v>
                      </c:pt>
                      <c:pt idx="153">
                        <c:v>178.41120645125056</c:v>
                      </c:pt>
                      <c:pt idx="154">
                        <c:v>190.35120645125062</c:v>
                      </c:pt>
                      <c:pt idx="155">
                        <c:v>171.54120645125067</c:v>
                      </c:pt>
                      <c:pt idx="156">
                        <c:v>171.54120645125067</c:v>
                      </c:pt>
                      <c:pt idx="157">
                        <c:v>175.84120645125066</c:v>
                      </c:pt>
                      <c:pt idx="158">
                        <c:v>141.43120645125069</c:v>
                      </c:pt>
                      <c:pt idx="159">
                        <c:v>48.131206451250733</c:v>
                      </c:pt>
                      <c:pt idx="160">
                        <c:v>85.331206451250551</c:v>
                      </c:pt>
                      <c:pt idx="161">
                        <c:v>118.93120645125057</c:v>
                      </c:pt>
                      <c:pt idx="162">
                        <c:v>118.93120645125057</c:v>
                      </c:pt>
                      <c:pt idx="163">
                        <c:v>118.93120645125057</c:v>
                      </c:pt>
                      <c:pt idx="164">
                        <c:v>126.41120645125059</c:v>
                      </c:pt>
                      <c:pt idx="165">
                        <c:v>216.02120645125072</c:v>
                      </c:pt>
                      <c:pt idx="166">
                        <c:v>208.66120645125071</c:v>
                      </c:pt>
                      <c:pt idx="167">
                        <c:v>227.98120645125087</c:v>
                      </c:pt>
                      <c:pt idx="168">
                        <c:v>227.98120645125087</c:v>
                      </c:pt>
                      <c:pt idx="169">
                        <c:v>247.23120645125087</c:v>
                      </c:pt>
                      <c:pt idx="170">
                        <c:v>247.23120645125087</c:v>
                      </c:pt>
                      <c:pt idx="171">
                        <c:v>161.08120645125089</c:v>
                      </c:pt>
                      <c:pt idx="172">
                        <c:v>161.08120645125089</c:v>
                      </c:pt>
                      <c:pt idx="173">
                        <c:v>229.00120645125085</c:v>
                      </c:pt>
                      <c:pt idx="174">
                        <c:v>229.00120645125085</c:v>
                      </c:pt>
                      <c:pt idx="175">
                        <c:v>319.42120645125067</c:v>
                      </c:pt>
                      <c:pt idx="176">
                        <c:v>319.42120645125067</c:v>
                      </c:pt>
                      <c:pt idx="177">
                        <c:v>365.84120645125074</c:v>
                      </c:pt>
                      <c:pt idx="178">
                        <c:v>365.84120645125074</c:v>
                      </c:pt>
                      <c:pt idx="179">
                        <c:v>365.84120645125074</c:v>
                      </c:pt>
                      <c:pt idx="180">
                        <c:v>314.2412064512506</c:v>
                      </c:pt>
                      <c:pt idx="181">
                        <c:v>307.34120645125074</c:v>
                      </c:pt>
                      <c:pt idx="182">
                        <c:v>332.24120645125083</c:v>
                      </c:pt>
                      <c:pt idx="183">
                        <c:v>339.09120645125086</c:v>
                      </c:pt>
                      <c:pt idx="184">
                        <c:v>339.09120645125086</c:v>
                      </c:pt>
                      <c:pt idx="185">
                        <c:v>339.09120645125086</c:v>
                      </c:pt>
                      <c:pt idx="186">
                        <c:v>339.09120645125086</c:v>
                      </c:pt>
                      <c:pt idx="187">
                        <c:v>331.25120645125094</c:v>
                      </c:pt>
                      <c:pt idx="188">
                        <c:v>331.25120645125094</c:v>
                      </c:pt>
                      <c:pt idx="189">
                        <c:v>331.25120645125094</c:v>
                      </c:pt>
                      <c:pt idx="190">
                        <c:v>271.49120645125095</c:v>
                      </c:pt>
                      <c:pt idx="191">
                        <c:v>271.49120645125095</c:v>
                      </c:pt>
                      <c:pt idx="192">
                        <c:v>218.73120645125073</c:v>
                      </c:pt>
                      <c:pt idx="193">
                        <c:v>218.73120645125073</c:v>
                      </c:pt>
                      <c:pt idx="194">
                        <c:v>218.73120645125073</c:v>
                      </c:pt>
                      <c:pt idx="195">
                        <c:v>158.55120645125089</c:v>
                      </c:pt>
                      <c:pt idx="196">
                        <c:v>155.69120645125099</c:v>
                      </c:pt>
                      <c:pt idx="197">
                        <c:v>155.69120645125099</c:v>
                      </c:pt>
                      <c:pt idx="198">
                        <c:v>155.69120645125099</c:v>
                      </c:pt>
                      <c:pt idx="199">
                        <c:v>155.69120645125099</c:v>
                      </c:pt>
                      <c:pt idx="200">
                        <c:v>155.69120645125099</c:v>
                      </c:pt>
                      <c:pt idx="201">
                        <c:v>155.69120645125099</c:v>
                      </c:pt>
                      <c:pt idx="202">
                        <c:v>165.81120645125111</c:v>
                      </c:pt>
                      <c:pt idx="203">
                        <c:v>165.81120645125111</c:v>
                      </c:pt>
                      <c:pt idx="204">
                        <c:v>194.93120645125123</c:v>
                      </c:pt>
                      <c:pt idx="205">
                        <c:v>118.37120645125117</c:v>
                      </c:pt>
                      <c:pt idx="206">
                        <c:v>195.83120645125121</c:v>
                      </c:pt>
                      <c:pt idx="207">
                        <c:v>195.83120645125121</c:v>
                      </c:pt>
                      <c:pt idx="208">
                        <c:v>181.91120645125113</c:v>
                      </c:pt>
                      <c:pt idx="209">
                        <c:v>181.91120645125113</c:v>
                      </c:pt>
                      <c:pt idx="210">
                        <c:v>77.06120645125111</c:v>
                      </c:pt>
                      <c:pt idx="211">
                        <c:v>66.701206451251096</c:v>
                      </c:pt>
                      <c:pt idx="212">
                        <c:v>85.211399342838945</c:v>
                      </c:pt>
                      <c:pt idx="213">
                        <c:v>85.211399342838945</c:v>
                      </c:pt>
                      <c:pt idx="214">
                        <c:v>85.211399342838945</c:v>
                      </c:pt>
                      <c:pt idx="215">
                        <c:v>85.211399342838945</c:v>
                      </c:pt>
                      <c:pt idx="216">
                        <c:v>129.05139934283909</c:v>
                      </c:pt>
                      <c:pt idx="217">
                        <c:v>129.05139934283909</c:v>
                      </c:pt>
                      <c:pt idx="218">
                        <c:v>129.05139934283909</c:v>
                      </c:pt>
                      <c:pt idx="219">
                        <c:v>246.01139934283913</c:v>
                      </c:pt>
                      <c:pt idx="220">
                        <c:v>246.01139934283913</c:v>
                      </c:pt>
                      <c:pt idx="221">
                        <c:v>231.71139934283894</c:v>
                      </c:pt>
                      <c:pt idx="222">
                        <c:v>231.71139934283894</c:v>
                      </c:pt>
                      <c:pt idx="223">
                        <c:v>231.71139934283894</c:v>
                      </c:pt>
                      <c:pt idx="224">
                        <c:v>302.23139934283893</c:v>
                      </c:pt>
                      <c:pt idx="225">
                        <c:v>302.23139934283893</c:v>
                      </c:pt>
                      <c:pt idx="226">
                        <c:v>199.28139934283888</c:v>
                      </c:pt>
                      <c:pt idx="227">
                        <c:v>199.28139934283888</c:v>
                      </c:pt>
                      <c:pt idx="228">
                        <c:v>216.20139934283895</c:v>
                      </c:pt>
                      <c:pt idx="229">
                        <c:v>255.68139934283897</c:v>
                      </c:pt>
                      <c:pt idx="230">
                        <c:v>255.68139934283897</c:v>
                      </c:pt>
                      <c:pt idx="231">
                        <c:v>213.14249066104651</c:v>
                      </c:pt>
                      <c:pt idx="232">
                        <c:v>266.9024906610465</c:v>
                      </c:pt>
                      <c:pt idx="233">
                        <c:v>256.66249066104672</c:v>
                      </c:pt>
                      <c:pt idx="234">
                        <c:v>256.66249066104672</c:v>
                      </c:pt>
                      <c:pt idx="235">
                        <c:v>256.66249066104672</c:v>
                      </c:pt>
                      <c:pt idx="236">
                        <c:v>256.66249066104672</c:v>
                      </c:pt>
                      <c:pt idx="237">
                        <c:v>264.4624906610469</c:v>
                      </c:pt>
                      <c:pt idx="238">
                        <c:v>167.92249066104694</c:v>
                      </c:pt>
                      <c:pt idx="239">
                        <c:v>187.36249066104699</c:v>
                      </c:pt>
                      <c:pt idx="240">
                        <c:v>187.36249066104699</c:v>
                      </c:pt>
                      <c:pt idx="241">
                        <c:v>187.36249066104699</c:v>
                      </c:pt>
                      <c:pt idx="242">
                        <c:v>186.04249066104705</c:v>
                      </c:pt>
                      <c:pt idx="243">
                        <c:v>186.04249066104705</c:v>
                      </c:pt>
                      <c:pt idx="244">
                        <c:v>87.822490661047027</c:v>
                      </c:pt>
                      <c:pt idx="245">
                        <c:v>87.822490661047027</c:v>
                      </c:pt>
                      <c:pt idx="246">
                        <c:v>87.822490661047027</c:v>
                      </c:pt>
                      <c:pt idx="247">
                        <c:v>87.822490661047027</c:v>
                      </c:pt>
                      <c:pt idx="248">
                        <c:v>87.822490661047027</c:v>
                      </c:pt>
                      <c:pt idx="249">
                        <c:v>87.822490661047027</c:v>
                      </c:pt>
                      <c:pt idx="250">
                        <c:v>87.822490661047027</c:v>
                      </c:pt>
                      <c:pt idx="251">
                        <c:v>-6.3775093389530184</c:v>
                      </c:pt>
                      <c:pt idx="252">
                        <c:v>3.4224906610469361</c:v>
                      </c:pt>
                      <c:pt idx="253">
                        <c:v>3.4224906610469361</c:v>
                      </c:pt>
                      <c:pt idx="254">
                        <c:v>3.4224906610469361</c:v>
                      </c:pt>
                      <c:pt idx="255">
                        <c:v>3.4224906610469361</c:v>
                      </c:pt>
                      <c:pt idx="256">
                        <c:v>33.122490661046754</c:v>
                      </c:pt>
                      <c:pt idx="257">
                        <c:v>33.122490661046754</c:v>
                      </c:pt>
                      <c:pt idx="258">
                        <c:v>33.122490661046754</c:v>
                      </c:pt>
                      <c:pt idx="259">
                        <c:v>33.122490661046754</c:v>
                      </c:pt>
                      <c:pt idx="260">
                        <c:v>33.122490661046754</c:v>
                      </c:pt>
                      <c:pt idx="261">
                        <c:v>33.122490661046754</c:v>
                      </c:pt>
                      <c:pt idx="262">
                        <c:v>33.122490661046754</c:v>
                      </c:pt>
                      <c:pt idx="263">
                        <c:v>-3.3275093389532913</c:v>
                      </c:pt>
                      <c:pt idx="264">
                        <c:v>-3.3275093389532913</c:v>
                      </c:pt>
                      <c:pt idx="265">
                        <c:v>-3.3275093389532913</c:v>
                      </c:pt>
                      <c:pt idx="266">
                        <c:v>20.122490661046527</c:v>
                      </c:pt>
                      <c:pt idx="267">
                        <c:v>20.122490661046527</c:v>
                      </c:pt>
                      <c:pt idx="268">
                        <c:v>20.122490661046527</c:v>
                      </c:pt>
                      <c:pt idx="269">
                        <c:v>20.122490661046527</c:v>
                      </c:pt>
                      <c:pt idx="270">
                        <c:v>20.122490661046527</c:v>
                      </c:pt>
                      <c:pt idx="271">
                        <c:v>20.122490661046527</c:v>
                      </c:pt>
                      <c:pt idx="272">
                        <c:v>20.122490661046527</c:v>
                      </c:pt>
                      <c:pt idx="273">
                        <c:v>20.122490661046527</c:v>
                      </c:pt>
                      <c:pt idx="274">
                        <c:v>20.122490661046527</c:v>
                      </c:pt>
                      <c:pt idx="275">
                        <c:v>20.122490661046527</c:v>
                      </c:pt>
                      <c:pt idx="276">
                        <c:v>20.122490661046527</c:v>
                      </c:pt>
                      <c:pt idx="277">
                        <c:v>20.122490661046527</c:v>
                      </c:pt>
                      <c:pt idx="278">
                        <c:v>20.122490661046527</c:v>
                      </c:pt>
                      <c:pt idx="279">
                        <c:v>20.122490661046527</c:v>
                      </c:pt>
                      <c:pt idx="280">
                        <c:v>15.562490661046581</c:v>
                      </c:pt>
                      <c:pt idx="281">
                        <c:v>-40.597509338953273</c:v>
                      </c:pt>
                      <c:pt idx="282">
                        <c:v>-40.597509338953273</c:v>
                      </c:pt>
                      <c:pt idx="283">
                        <c:v>-40.597509338953273</c:v>
                      </c:pt>
                      <c:pt idx="284">
                        <c:v>-7.2975093389533185</c:v>
                      </c:pt>
                      <c:pt idx="285">
                        <c:v>-7.2975093389533185</c:v>
                      </c:pt>
                      <c:pt idx="286">
                        <c:v>1.1024906610467724</c:v>
                      </c:pt>
                      <c:pt idx="287">
                        <c:v>1.1024906610467724</c:v>
                      </c:pt>
                      <c:pt idx="288">
                        <c:v>151.70249066104691</c:v>
                      </c:pt>
                      <c:pt idx="289">
                        <c:v>151.70249066104691</c:v>
                      </c:pt>
                      <c:pt idx="290">
                        <c:v>151.70249066104691</c:v>
                      </c:pt>
                      <c:pt idx="291">
                        <c:v>151.70249066104691</c:v>
                      </c:pt>
                      <c:pt idx="292">
                        <c:v>151.70249066104691</c:v>
                      </c:pt>
                      <c:pt idx="293">
                        <c:v>148.00249066104664</c:v>
                      </c:pt>
                      <c:pt idx="294">
                        <c:v>148.00249066104664</c:v>
                      </c:pt>
                      <c:pt idx="295">
                        <c:v>148.00249066104664</c:v>
                      </c:pt>
                      <c:pt idx="296">
                        <c:v>148.00249066104664</c:v>
                      </c:pt>
                      <c:pt idx="297">
                        <c:v>148.00249066104664</c:v>
                      </c:pt>
                      <c:pt idx="298">
                        <c:v>148.00249066104664</c:v>
                      </c:pt>
                      <c:pt idx="299">
                        <c:v>121.60249066104666</c:v>
                      </c:pt>
                      <c:pt idx="300">
                        <c:v>175.24249066104653</c:v>
                      </c:pt>
                      <c:pt idx="301">
                        <c:v>345.26249066104651</c:v>
                      </c:pt>
                      <c:pt idx="302">
                        <c:v>345.26249066104651</c:v>
                      </c:pt>
                      <c:pt idx="303">
                        <c:v>428.48249066104654</c:v>
                      </c:pt>
                      <c:pt idx="304">
                        <c:v>428.48249066104654</c:v>
                      </c:pt>
                      <c:pt idx="305">
                        <c:v>531.88249066104663</c:v>
                      </c:pt>
                      <c:pt idx="306">
                        <c:v>676.08249066104668</c:v>
                      </c:pt>
                      <c:pt idx="307">
                        <c:v>685.53249066104672</c:v>
                      </c:pt>
                      <c:pt idx="308">
                        <c:v>685.53249066104672</c:v>
                      </c:pt>
                      <c:pt idx="309">
                        <c:v>685.53249066104672</c:v>
                      </c:pt>
                      <c:pt idx="310">
                        <c:v>685.53249066104672</c:v>
                      </c:pt>
                      <c:pt idx="311">
                        <c:v>685.53249066104672</c:v>
                      </c:pt>
                      <c:pt idx="312">
                        <c:v>685.53249066104672</c:v>
                      </c:pt>
                      <c:pt idx="313">
                        <c:v>685.53249066104672</c:v>
                      </c:pt>
                      <c:pt idx="314">
                        <c:v>685.53249066104672</c:v>
                      </c:pt>
                      <c:pt idx="315">
                        <c:v>685.53249066104672</c:v>
                      </c:pt>
                      <c:pt idx="316">
                        <c:v>685.53249066104672</c:v>
                      </c:pt>
                      <c:pt idx="317">
                        <c:v>685.53249066104672</c:v>
                      </c:pt>
                      <c:pt idx="318">
                        <c:v>599.43627194988017</c:v>
                      </c:pt>
                      <c:pt idx="319">
                        <c:v>814.11627194988023</c:v>
                      </c:pt>
                      <c:pt idx="320">
                        <c:v>814.11627194988023</c:v>
                      </c:pt>
                      <c:pt idx="321">
                        <c:v>804.91627194988018</c:v>
                      </c:pt>
                      <c:pt idx="322">
                        <c:v>869.71627194988037</c:v>
                      </c:pt>
                      <c:pt idx="323">
                        <c:v>640.46627194988037</c:v>
                      </c:pt>
                      <c:pt idx="324">
                        <c:v>640.46627194988037</c:v>
                      </c:pt>
                      <c:pt idx="325">
                        <c:v>690.46627194988037</c:v>
                      </c:pt>
                      <c:pt idx="326">
                        <c:v>690.46627194988037</c:v>
                      </c:pt>
                      <c:pt idx="327">
                        <c:v>686.86627194988023</c:v>
                      </c:pt>
                      <c:pt idx="328">
                        <c:v>659.41627194988018</c:v>
                      </c:pt>
                      <c:pt idx="329">
                        <c:v>659.41627194988018</c:v>
                      </c:pt>
                      <c:pt idx="330">
                        <c:v>659.41627194988018</c:v>
                      </c:pt>
                      <c:pt idx="331">
                        <c:v>730.45627194988015</c:v>
                      </c:pt>
                      <c:pt idx="332">
                        <c:v>846.73627194988012</c:v>
                      </c:pt>
                      <c:pt idx="333">
                        <c:v>906.13627194988021</c:v>
                      </c:pt>
                      <c:pt idx="334">
                        <c:v>906.13627194988021</c:v>
                      </c:pt>
                      <c:pt idx="335">
                        <c:v>962.59627194988025</c:v>
                      </c:pt>
                      <c:pt idx="336">
                        <c:v>956.35627194988024</c:v>
                      </c:pt>
                      <c:pt idx="337">
                        <c:v>956.35627194988024</c:v>
                      </c:pt>
                      <c:pt idx="338">
                        <c:v>956.35627194988024</c:v>
                      </c:pt>
                      <c:pt idx="339">
                        <c:v>892.09627194988025</c:v>
                      </c:pt>
                      <c:pt idx="340">
                        <c:v>768.40627194988019</c:v>
                      </c:pt>
                      <c:pt idx="341">
                        <c:v>768.40627194988019</c:v>
                      </c:pt>
                      <c:pt idx="342">
                        <c:v>768.40627194988019</c:v>
                      </c:pt>
                      <c:pt idx="343">
                        <c:v>759.08627194988026</c:v>
                      </c:pt>
                      <c:pt idx="344">
                        <c:v>631.52627194988031</c:v>
                      </c:pt>
                      <c:pt idx="345">
                        <c:v>631.52627194988031</c:v>
                      </c:pt>
                      <c:pt idx="346">
                        <c:v>631.52627194988031</c:v>
                      </c:pt>
                    </c:numCache>
                  </c:numRef>
                </c:val>
                <c:smooth val="0"/>
                <c:extLst xmlns:c15="http://schemas.microsoft.com/office/drawing/2012/chart">
                  <c:ext xmlns:c16="http://schemas.microsoft.com/office/drawing/2014/chart" uri="{C3380CC4-5D6E-409C-BE32-E72D297353CC}">
                    <c16:uniqueId val="{00000005-8B10-4F45-997A-CD7B20248F9C}"/>
                  </c:ext>
                </c:extLst>
              </c15:ser>
            </c15:filteredLineSeries>
            <c15:filteredLineSeries>
              <c15:ser>
                <c:idx val="6"/>
                <c:order val="6"/>
                <c:tx>
                  <c:v>Dwn (MOC)</c:v>
                </c:tx>
                <c:spPr>
                  <a:ln w="28575" cap="rnd">
                    <a:solidFill>
                      <a:schemeClr val="accent2">
                        <a:lumMod val="60000"/>
                        <a:lumOff val="40000"/>
                      </a:schemeClr>
                    </a:solidFill>
                    <a:prstDash val="sysDash"/>
                    <a:round/>
                  </a:ln>
                  <a:effectLst/>
                </c:spPr>
                <c:marker>
                  <c:symbol val="none"/>
                </c:marker>
                <c:val>
                  <c:numRef>
                    <c:extLst xmlns:c15="http://schemas.microsoft.com/office/drawing/2012/chart">
                      <c:ext xmlns:c15="http://schemas.microsoft.com/office/drawing/2012/chart" uri="{02D57815-91ED-43cb-92C2-25804820EDAC}">
                        <c15:formulaRef>
                          <c15:sqref>'2025-Q2'!$AZ$4:$AZ$350</c15:sqref>
                        </c15:formulaRef>
                      </c:ext>
                    </c:extLst>
                    <c:numCache>
                      <c:formatCode>"$"#,##0</c:formatCode>
                      <c:ptCount val="347"/>
                      <c:pt idx="0">
                        <c:v>-254.69999999999982</c:v>
                      </c:pt>
                      <c:pt idx="1">
                        <c:v>-262.79999999999973</c:v>
                      </c:pt>
                      <c:pt idx="2">
                        <c:v>-262.79999999999973</c:v>
                      </c:pt>
                      <c:pt idx="3">
                        <c:v>-262.79999999999973</c:v>
                      </c:pt>
                      <c:pt idx="4">
                        <c:v>-262.79999999999973</c:v>
                      </c:pt>
                      <c:pt idx="5">
                        <c:v>-262.79999999999973</c:v>
                      </c:pt>
                      <c:pt idx="6">
                        <c:v>-262.79999999999973</c:v>
                      </c:pt>
                      <c:pt idx="7">
                        <c:v>-262.79999999999973</c:v>
                      </c:pt>
                      <c:pt idx="8">
                        <c:v>-262.79999999999973</c:v>
                      </c:pt>
                      <c:pt idx="9">
                        <c:v>-266.68837290281726</c:v>
                      </c:pt>
                      <c:pt idx="10">
                        <c:v>-266.68837290281726</c:v>
                      </c:pt>
                      <c:pt idx="11">
                        <c:v>-266.68837290281726</c:v>
                      </c:pt>
                      <c:pt idx="12">
                        <c:v>-267.17837290281727</c:v>
                      </c:pt>
                      <c:pt idx="13">
                        <c:v>-267.17837290281727</c:v>
                      </c:pt>
                      <c:pt idx="14">
                        <c:v>-173.75837290281697</c:v>
                      </c:pt>
                      <c:pt idx="15">
                        <c:v>-173.75837290281697</c:v>
                      </c:pt>
                      <c:pt idx="16">
                        <c:v>-89.908372902816836</c:v>
                      </c:pt>
                      <c:pt idx="17">
                        <c:v>-65.608372902816654</c:v>
                      </c:pt>
                      <c:pt idx="18">
                        <c:v>-65.608372902816654</c:v>
                      </c:pt>
                      <c:pt idx="19">
                        <c:v>-65.608372902816654</c:v>
                      </c:pt>
                      <c:pt idx="20">
                        <c:v>-65.608372902816654</c:v>
                      </c:pt>
                      <c:pt idx="21">
                        <c:v>-65.608372902816654</c:v>
                      </c:pt>
                      <c:pt idx="22">
                        <c:v>-79.1383729028164</c:v>
                      </c:pt>
                      <c:pt idx="23">
                        <c:v>-79.1383729028164</c:v>
                      </c:pt>
                      <c:pt idx="24">
                        <c:v>-79.1383729028164</c:v>
                      </c:pt>
                      <c:pt idx="25">
                        <c:v>-79.1383729028164</c:v>
                      </c:pt>
                      <c:pt idx="26">
                        <c:v>-76.1383729028164</c:v>
                      </c:pt>
                      <c:pt idx="27">
                        <c:v>-110.1383729028164</c:v>
                      </c:pt>
                      <c:pt idx="28">
                        <c:v>-118.53837290281626</c:v>
                      </c:pt>
                      <c:pt idx="29">
                        <c:v>-118.53837290281626</c:v>
                      </c:pt>
                      <c:pt idx="30">
                        <c:v>-155.63837290281617</c:v>
                      </c:pt>
                      <c:pt idx="31">
                        <c:v>-148.13837290281617</c:v>
                      </c:pt>
                      <c:pt idx="32">
                        <c:v>-164.13837290281617</c:v>
                      </c:pt>
                      <c:pt idx="33">
                        <c:v>-164.13837290281617</c:v>
                      </c:pt>
                      <c:pt idx="34">
                        <c:v>-164.13837290281617</c:v>
                      </c:pt>
                      <c:pt idx="35">
                        <c:v>-164.13837290281617</c:v>
                      </c:pt>
                      <c:pt idx="36">
                        <c:v>-173.22837290281586</c:v>
                      </c:pt>
                      <c:pt idx="37">
                        <c:v>-173.22837290281586</c:v>
                      </c:pt>
                      <c:pt idx="38">
                        <c:v>-173.22837290281586</c:v>
                      </c:pt>
                      <c:pt idx="39">
                        <c:v>-173.22837290281586</c:v>
                      </c:pt>
                      <c:pt idx="40">
                        <c:v>-322.17837290281591</c:v>
                      </c:pt>
                      <c:pt idx="41">
                        <c:v>-353.47837290281609</c:v>
                      </c:pt>
                      <c:pt idx="42">
                        <c:v>-286.37837290281595</c:v>
                      </c:pt>
                      <c:pt idx="43">
                        <c:v>-286.37837290281595</c:v>
                      </c:pt>
                      <c:pt idx="44">
                        <c:v>-286.37837290281595</c:v>
                      </c:pt>
                      <c:pt idx="45">
                        <c:v>-286.37837290281595</c:v>
                      </c:pt>
                      <c:pt idx="46">
                        <c:v>-336.14837290281594</c:v>
                      </c:pt>
                      <c:pt idx="47">
                        <c:v>-336.14837290281594</c:v>
                      </c:pt>
                      <c:pt idx="48">
                        <c:v>-437.28837290281581</c:v>
                      </c:pt>
                      <c:pt idx="49">
                        <c:v>-437.28837290281581</c:v>
                      </c:pt>
                      <c:pt idx="50">
                        <c:v>-437.28837290281581</c:v>
                      </c:pt>
                      <c:pt idx="51">
                        <c:v>-437.28837290281581</c:v>
                      </c:pt>
                      <c:pt idx="52">
                        <c:v>-546.48837290281585</c:v>
                      </c:pt>
                      <c:pt idx="53">
                        <c:v>-546.48837290281585</c:v>
                      </c:pt>
                      <c:pt idx="54">
                        <c:v>-546.48837290281585</c:v>
                      </c:pt>
                      <c:pt idx="55">
                        <c:v>-539.5683729028159</c:v>
                      </c:pt>
                      <c:pt idx="56">
                        <c:v>-539.5683729028159</c:v>
                      </c:pt>
                      <c:pt idx="57">
                        <c:v>-414.9183729028158</c:v>
                      </c:pt>
                      <c:pt idx="58">
                        <c:v>-414.9183729028158</c:v>
                      </c:pt>
                      <c:pt idx="59">
                        <c:v>-414.9183729028158</c:v>
                      </c:pt>
                      <c:pt idx="60">
                        <c:v>-414.9183729028158</c:v>
                      </c:pt>
                      <c:pt idx="61">
                        <c:v>-414.9183729028158</c:v>
                      </c:pt>
                      <c:pt idx="62">
                        <c:v>-414.9183729028158</c:v>
                      </c:pt>
                      <c:pt idx="63">
                        <c:v>-414.9183729028158</c:v>
                      </c:pt>
                      <c:pt idx="64">
                        <c:v>-414.9183729028158</c:v>
                      </c:pt>
                      <c:pt idx="65">
                        <c:v>-414.9183729028158</c:v>
                      </c:pt>
                      <c:pt idx="66">
                        <c:v>-420.76837290281571</c:v>
                      </c:pt>
                      <c:pt idx="67">
                        <c:v>-414.58837290281565</c:v>
                      </c:pt>
                      <c:pt idx="68">
                        <c:v>-396.2683729028156</c:v>
                      </c:pt>
                      <c:pt idx="69">
                        <c:v>-396.2683729028156</c:v>
                      </c:pt>
                      <c:pt idx="70">
                        <c:v>-368.83837290281554</c:v>
                      </c:pt>
                      <c:pt idx="71">
                        <c:v>-368.83837290281554</c:v>
                      </c:pt>
                      <c:pt idx="72">
                        <c:v>-368.83837290281554</c:v>
                      </c:pt>
                      <c:pt idx="73">
                        <c:v>-368.83837290281554</c:v>
                      </c:pt>
                      <c:pt idx="74">
                        <c:v>-368.83837290281554</c:v>
                      </c:pt>
                      <c:pt idx="75">
                        <c:v>-368.83837290281554</c:v>
                      </c:pt>
                      <c:pt idx="76">
                        <c:v>-368.83837290281554</c:v>
                      </c:pt>
                      <c:pt idx="77">
                        <c:v>-368.83837290281554</c:v>
                      </c:pt>
                      <c:pt idx="78">
                        <c:v>-368.83837290281554</c:v>
                      </c:pt>
                      <c:pt idx="79">
                        <c:v>-423.9721716230016</c:v>
                      </c:pt>
                      <c:pt idx="80">
                        <c:v>-423.9721716230016</c:v>
                      </c:pt>
                      <c:pt idx="81">
                        <c:v>-480.01217162300156</c:v>
                      </c:pt>
                      <c:pt idx="82">
                        <c:v>-530.05217162300164</c:v>
                      </c:pt>
                      <c:pt idx="83">
                        <c:v>-530.05217162300164</c:v>
                      </c:pt>
                      <c:pt idx="84">
                        <c:v>-530.05217162300164</c:v>
                      </c:pt>
                      <c:pt idx="85">
                        <c:v>-591.05217162300175</c:v>
                      </c:pt>
                      <c:pt idx="86">
                        <c:v>-591.05217162300175</c:v>
                      </c:pt>
                      <c:pt idx="87">
                        <c:v>-613.15217162300189</c:v>
                      </c:pt>
                      <c:pt idx="88">
                        <c:v>-595.83217162300184</c:v>
                      </c:pt>
                      <c:pt idx="89">
                        <c:v>-595.83217162300184</c:v>
                      </c:pt>
                      <c:pt idx="90">
                        <c:v>-563.83217162300184</c:v>
                      </c:pt>
                      <c:pt idx="91">
                        <c:v>-555.85217162300182</c:v>
                      </c:pt>
                      <c:pt idx="92">
                        <c:v>-578.65217162300189</c:v>
                      </c:pt>
                      <c:pt idx="93">
                        <c:v>-578.65217162300189</c:v>
                      </c:pt>
                      <c:pt idx="94">
                        <c:v>-578.65217162300189</c:v>
                      </c:pt>
                      <c:pt idx="95">
                        <c:v>-589.652171623002</c:v>
                      </c:pt>
                      <c:pt idx="96">
                        <c:v>-547.95217162300207</c:v>
                      </c:pt>
                      <c:pt idx="97">
                        <c:v>-550.83217162300207</c:v>
                      </c:pt>
                      <c:pt idx="98">
                        <c:v>-588.98217162300205</c:v>
                      </c:pt>
                      <c:pt idx="99">
                        <c:v>-588.98217162300205</c:v>
                      </c:pt>
                      <c:pt idx="100">
                        <c:v>-711.86217162300204</c:v>
                      </c:pt>
                      <c:pt idx="101">
                        <c:v>-711.86217162300204</c:v>
                      </c:pt>
                      <c:pt idx="102">
                        <c:v>-711.86217162300204</c:v>
                      </c:pt>
                      <c:pt idx="103">
                        <c:v>-711.86217162300204</c:v>
                      </c:pt>
                      <c:pt idx="104">
                        <c:v>-711.86217162300204</c:v>
                      </c:pt>
                      <c:pt idx="105">
                        <c:v>-657.08217162300207</c:v>
                      </c:pt>
                      <c:pt idx="106">
                        <c:v>-657.08217162300207</c:v>
                      </c:pt>
                      <c:pt idx="107">
                        <c:v>-657.08217162300207</c:v>
                      </c:pt>
                      <c:pt idx="108">
                        <c:v>-657.08217162300207</c:v>
                      </c:pt>
                      <c:pt idx="109">
                        <c:v>-657.08217162300207</c:v>
                      </c:pt>
                      <c:pt idx="110">
                        <c:v>-646.83217162300218</c:v>
                      </c:pt>
                      <c:pt idx="111">
                        <c:v>-640.35217162300216</c:v>
                      </c:pt>
                      <c:pt idx="112">
                        <c:v>-640.35217162300216</c:v>
                      </c:pt>
                      <c:pt idx="113">
                        <c:v>-640.35217162300216</c:v>
                      </c:pt>
                      <c:pt idx="114">
                        <c:v>-640.35217162300216</c:v>
                      </c:pt>
                      <c:pt idx="115">
                        <c:v>-640.35217162300216</c:v>
                      </c:pt>
                      <c:pt idx="116">
                        <c:v>-643.20217162300207</c:v>
                      </c:pt>
                      <c:pt idx="117">
                        <c:v>-617.95161845366727</c:v>
                      </c:pt>
                      <c:pt idx="118">
                        <c:v>-617.95161845366727</c:v>
                      </c:pt>
                      <c:pt idx="119">
                        <c:v>-617.95161845366727</c:v>
                      </c:pt>
                      <c:pt idx="120">
                        <c:v>-637.75161845366745</c:v>
                      </c:pt>
                      <c:pt idx="121">
                        <c:v>-637.75161845366745</c:v>
                      </c:pt>
                      <c:pt idx="122">
                        <c:v>-637.75161845366745</c:v>
                      </c:pt>
                      <c:pt idx="123">
                        <c:v>-637.75161845366745</c:v>
                      </c:pt>
                      <c:pt idx="124">
                        <c:v>-569.65161845366742</c:v>
                      </c:pt>
                      <c:pt idx="125">
                        <c:v>-569.65161845366742</c:v>
                      </c:pt>
                      <c:pt idx="126">
                        <c:v>-569.65161845366742</c:v>
                      </c:pt>
                      <c:pt idx="127">
                        <c:v>-617.44161845366739</c:v>
                      </c:pt>
                      <c:pt idx="128">
                        <c:v>-617.44161845366739</c:v>
                      </c:pt>
                      <c:pt idx="129">
                        <c:v>-653.28161845366731</c:v>
                      </c:pt>
                      <c:pt idx="130">
                        <c:v>-653.28161845366731</c:v>
                      </c:pt>
                      <c:pt idx="131">
                        <c:v>-678.06161845366728</c:v>
                      </c:pt>
                      <c:pt idx="132">
                        <c:v>-678.06161845366728</c:v>
                      </c:pt>
                      <c:pt idx="133">
                        <c:v>-660.56161845366728</c:v>
                      </c:pt>
                      <c:pt idx="134">
                        <c:v>-658.04161845366718</c:v>
                      </c:pt>
                      <c:pt idx="135">
                        <c:v>-666.32161845366716</c:v>
                      </c:pt>
                      <c:pt idx="136">
                        <c:v>-662.72161845366713</c:v>
                      </c:pt>
                      <c:pt idx="137">
                        <c:v>-662.72161845366713</c:v>
                      </c:pt>
                      <c:pt idx="138">
                        <c:v>-694.54161845366707</c:v>
                      </c:pt>
                      <c:pt idx="139">
                        <c:v>-663.04161845366696</c:v>
                      </c:pt>
                      <c:pt idx="140">
                        <c:v>-663.04161845366696</c:v>
                      </c:pt>
                      <c:pt idx="141">
                        <c:v>-694.56161845366694</c:v>
                      </c:pt>
                      <c:pt idx="142">
                        <c:v>-744.80161845366695</c:v>
                      </c:pt>
                      <c:pt idx="143">
                        <c:v>-767.04161845366673</c:v>
                      </c:pt>
                      <c:pt idx="144">
                        <c:v>-769.08161845366681</c:v>
                      </c:pt>
                      <c:pt idx="145">
                        <c:v>-685.18161845366672</c:v>
                      </c:pt>
                      <c:pt idx="146">
                        <c:v>-709.48161845366667</c:v>
                      </c:pt>
                      <c:pt idx="147">
                        <c:v>-763.63161845366676</c:v>
                      </c:pt>
                      <c:pt idx="148">
                        <c:v>-763.63161845366676</c:v>
                      </c:pt>
                      <c:pt idx="149">
                        <c:v>-763.63161845366676</c:v>
                      </c:pt>
                      <c:pt idx="150">
                        <c:v>-763.63161845366676</c:v>
                      </c:pt>
                      <c:pt idx="151">
                        <c:v>-763.63161845366676</c:v>
                      </c:pt>
                      <c:pt idx="152">
                        <c:v>-639.33161845366681</c:v>
                      </c:pt>
                      <c:pt idx="153">
                        <c:v>-639.33161845366681</c:v>
                      </c:pt>
                      <c:pt idx="154">
                        <c:v>-639.33161845366681</c:v>
                      </c:pt>
                      <c:pt idx="155">
                        <c:v>-639.33161845366681</c:v>
                      </c:pt>
                      <c:pt idx="156">
                        <c:v>-547.97161845366668</c:v>
                      </c:pt>
                      <c:pt idx="157">
                        <c:v>-547.97161845366668</c:v>
                      </c:pt>
                      <c:pt idx="158">
                        <c:v>-547.97161845366668</c:v>
                      </c:pt>
                      <c:pt idx="159">
                        <c:v>-547.97161845366668</c:v>
                      </c:pt>
                      <c:pt idx="160">
                        <c:v>-547.97161845366668</c:v>
                      </c:pt>
                      <c:pt idx="161">
                        <c:v>-547.97161845366668</c:v>
                      </c:pt>
                      <c:pt idx="162">
                        <c:v>-520.05161845366683</c:v>
                      </c:pt>
                      <c:pt idx="163">
                        <c:v>-601.05161845366695</c:v>
                      </c:pt>
                      <c:pt idx="164">
                        <c:v>-601.05161845366695</c:v>
                      </c:pt>
                      <c:pt idx="165">
                        <c:v>-601.05161845366695</c:v>
                      </c:pt>
                      <c:pt idx="166">
                        <c:v>-601.05161845366695</c:v>
                      </c:pt>
                      <c:pt idx="167">
                        <c:v>-601.05161845366695</c:v>
                      </c:pt>
                      <c:pt idx="168">
                        <c:v>-560.1016184536669</c:v>
                      </c:pt>
                      <c:pt idx="169">
                        <c:v>-560.1016184536669</c:v>
                      </c:pt>
                      <c:pt idx="170">
                        <c:v>-570.36161845366701</c:v>
                      </c:pt>
                      <c:pt idx="171">
                        <c:v>-570.36161845366701</c:v>
                      </c:pt>
                      <c:pt idx="172">
                        <c:v>-550.52161845366709</c:v>
                      </c:pt>
                      <c:pt idx="173">
                        <c:v>-550.52161845366709</c:v>
                      </c:pt>
                      <c:pt idx="174">
                        <c:v>-469.5216184536672</c:v>
                      </c:pt>
                      <c:pt idx="175">
                        <c:v>-469.5216184536672</c:v>
                      </c:pt>
                      <c:pt idx="176">
                        <c:v>-458.74161845366723</c:v>
                      </c:pt>
                      <c:pt idx="177">
                        <c:v>-458.74161845366723</c:v>
                      </c:pt>
                      <c:pt idx="178">
                        <c:v>-472.52161845366743</c:v>
                      </c:pt>
                      <c:pt idx="179">
                        <c:v>-378.83161845366737</c:v>
                      </c:pt>
                      <c:pt idx="180">
                        <c:v>-378.83161845366737</c:v>
                      </c:pt>
                      <c:pt idx="181">
                        <c:v>-378.83161845366737</c:v>
                      </c:pt>
                      <c:pt idx="182">
                        <c:v>-378.83161845366737</c:v>
                      </c:pt>
                      <c:pt idx="183">
                        <c:v>-378.83161845366737</c:v>
                      </c:pt>
                      <c:pt idx="184">
                        <c:v>-399.47161845366725</c:v>
                      </c:pt>
                      <c:pt idx="185">
                        <c:v>-378.47161845366702</c:v>
                      </c:pt>
                      <c:pt idx="186">
                        <c:v>-386.97161845366702</c:v>
                      </c:pt>
                      <c:pt idx="187">
                        <c:v>-386.97161845366702</c:v>
                      </c:pt>
                      <c:pt idx="188">
                        <c:v>-280.97161845366702</c:v>
                      </c:pt>
                      <c:pt idx="189">
                        <c:v>-286.97161845366679</c:v>
                      </c:pt>
                      <c:pt idx="190">
                        <c:v>-286.97161845366679</c:v>
                      </c:pt>
                      <c:pt idx="191">
                        <c:v>-302.37161845366688</c:v>
                      </c:pt>
                      <c:pt idx="192">
                        <c:v>-302.37161845366688</c:v>
                      </c:pt>
                      <c:pt idx="193">
                        <c:v>-101.3516184536669</c:v>
                      </c:pt>
                      <c:pt idx="194">
                        <c:v>-110.31161845366694</c:v>
                      </c:pt>
                      <c:pt idx="195">
                        <c:v>-110.31161845366694</c:v>
                      </c:pt>
                      <c:pt idx="196">
                        <c:v>-110.31161845366694</c:v>
                      </c:pt>
                      <c:pt idx="197">
                        <c:v>-70.011618453666983</c:v>
                      </c:pt>
                      <c:pt idx="198">
                        <c:v>-68.661618453667074</c:v>
                      </c:pt>
                      <c:pt idx="199">
                        <c:v>-72.941618453667274</c:v>
                      </c:pt>
                      <c:pt idx="200">
                        <c:v>-72.941618453667274</c:v>
                      </c:pt>
                      <c:pt idx="201">
                        <c:v>-26.381618453667329</c:v>
                      </c:pt>
                      <c:pt idx="202">
                        <c:v>-26.381618453667329</c:v>
                      </c:pt>
                      <c:pt idx="203">
                        <c:v>-26.381618453667329</c:v>
                      </c:pt>
                      <c:pt idx="204">
                        <c:v>-26.381618453667329</c:v>
                      </c:pt>
                      <c:pt idx="205">
                        <c:v>-26.381618453667329</c:v>
                      </c:pt>
                      <c:pt idx="206">
                        <c:v>-26.381618453667329</c:v>
                      </c:pt>
                      <c:pt idx="207">
                        <c:v>-28.36161845366712</c:v>
                      </c:pt>
                      <c:pt idx="208">
                        <c:v>-28.36161845366712</c:v>
                      </c:pt>
                      <c:pt idx="209">
                        <c:v>-6.9616184536670289</c:v>
                      </c:pt>
                      <c:pt idx="210">
                        <c:v>-6.9616184536670289</c:v>
                      </c:pt>
                      <c:pt idx="211">
                        <c:v>-6.9616184536670289</c:v>
                      </c:pt>
                      <c:pt idx="212">
                        <c:v>-6.9616184536670289</c:v>
                      </c:pt>
                      <c:pt idx="213">
                        <c:v>36.368381546332898</c:v>
                      </c:pt>
                      <c:pt idx="214">
                        <c:v>38.368381546332898</c:v>
                      </c:pt>
                      <c:pt idx="215">
                        <c:v>-92.311618453666938</c:v>
                      </c:pt>
                      <c:pt idx="216">
                        <c:v>-92.311618453666938</c:v>
                      </c:pt>
                      <c:pt idx="217">
                        <c:v>-92.311618453666938</c:v>
                      </c:pt>
                      <c:pt idx="218">
                        <c:v>-74.811618453666938</c:v>
                      </c:pt>
                      <c:pt idx="219">
                        <c:v>-74.811618453666938</c:v>
                      </c:pt>
                      <c:pt idx="220">
                        <c:v>-5.5116184536669834</c:v>
                      </c:pt>
                      <c:pt idx="221">
                        <c:v>-5.5116184536669834</c:v>
                      </c:pt>
                      <c:pt idx="222">
                        <c:v>54.408381546332862</c:v>
                      </c:pt>
                      <c:pt idx="223">
                        <c:v>54.408381546332862</c:v>
                      </c:pt>
                      <c:pt idx="224">
                        <c:v>54.408381546332862</c:v>
                      </c:pt>
                      <c:pt idx="225">
                        <c:v>24.88838154633288</c:v>
                      </c:pt>
                      <c:pt idx="226">
                        <c:v>24.88838154633288</c:v>
                      </c:pt>
                      <c:pt idx="227">
                        <c:v>44.248381546333007</c:v>
                      </c:pt>
                      <c:pt idx="228">
                        <c:v>44.248381546333007</c:v>
                      </c:pt>
                      <c:pt idx="229">
                        <c:v>44.248381546333007</c:v>
                      </c:pt>
                      <c:pt idx="230">
                        <c:v>63.898381546332871</c:v>
                      </c:pt>
                      <c:pt idx="231">
                        <c:v>63.898381546332871</c:v>
                      </c:pt>
                      <c:pt idx="232">
                        <c:v>63.898381546332871</c:v>
                      </c:pt>
                      <c:pt idx="233">
                        <c:v>63.898381546332871</c:v>
                      </c:pt>
                      <c:pt idx="234">
                        <c:v>126.29838154633296</c:v>
                      </c:pt>
                      <c:pt idx="235">
                        <c:v>82.868381546332898</c:v>
                      </c:pt>
                      <c:pt idx="236">
                        <c:v>168.66838154633285</c:v>
                      </c:pt>
                      <c:pt idx="237">
                        <c:v>168.66838154633285</c:v>
                      </c:pt>
                      <c:pt idx="238">
                        <c:v>168.66838154633285</c:v>
                      </c:pt>
                      <c:pt idx="239">
                        <c:v>168.66838154633285</c:v>
                      </c:pt>
                      <c:pt idx="240">
                        <c:v>168.66838154633285</c:v>
                      </c:pt>
                      <c:pt idx="241">
                        <c:v>347.91838154633274</c:v>
                      </c:pt>
                      <c:pt idx="242">
                        <c:v>347.91838154633274</c:v>
                      </c:pt>
                      <c:pt idx="243">
                        <c:v>336.66838154633274</c:v>
                      </c:pt>
                      <c:pt idx="244">
                        <c:v>336.66838154633274</c:v>
                      </c:pt>
                      <c:pt idx="245">
                        <c:v>342.51838154633288</c:v>
                      </c:pt>
                      <c:pt idx="246">
                        <c:v>338.21838154633292</c:v>
                      </c:pt>
                      <c:pt idx="247">
                        <c:v>315.81838154633283</c:v>
                      </c:pt>
                      <c:pt idx="248">
                        <c:v>280.51838154633288</c:v>
                      </c:pt>
                      <c:pt idx="249">
                        <c:v>201.31838154633283</c:v>
                      </c:pt>
                      <c:pt idx="250">
                        <c:v>344.11838154633278</c:v>
                      </c:pt>
                      <c:pt idx="251">
                        <c:v>344.11838154633278</c:v>
                      </c:pt>
                      <c:pt idx="252">
                        <c:v>344.11838154633278</c:v>
                      </c:pt>
                      <c:pt idx="253">
                        <c:v>438.61838154633278</c:v>
                      </c:pt>
                      <c:pt idx="254">
                        <c:v>415.57838154633259</c:v>
                      </c:pt>
                      <c:pt idx="255">
                        <c:v>442.29838154633239</c:v>
                      </c:pt>
                      <c:pt idx="256">
                        <c:v>442.29838154633239</c:v>
                      </c:pt>
                      <c:pt idx="257">
                        <c:v>442.29838154633239</c:v>
                      </c:pt>
                      <c:pt idx="258">
                        <c:v>442.29838154633239</c:v>
                      </c:pt>
                      <c:pt idx="259">
                        <c:v>356.69838154633248</c:v>
                      </c:pt>
                      <c:pt idx="260">
                        <c:v>338.87838154633255</c:v>
                      </c:pt>
                      <c:pt idx="261">
                        <c:v>319.19838154633248</c:v>
                      </c:pt>
                      <c:pt idx="262">
                        <c:v>361.89838154633276</c:v>
                      </c:pt>
                      <c:pt idx="263">
                        <c:v>361.89838154633276</c:v>
                      </c:pt>
                      <c:pt idx="264">
                        <c:v>365.63838154633277</c:v>
                      </c:pt>
                      <c:pt idx="265">
                        <c:v>311.15838154633275</c:v>
                      </c:pt>
                      <c:pt idx="266">
                        <c:v>311.15838154633275</c:v>
                      </c:pt>
                      <c:pt idx="267">
                        <c:v>310.73838154633268</c:v>
                      </c:pt>
                      <c:pt idx="268">
                        <c:v>300.97838154633268</c:v>
                      </c:pt>
                      <c:pt idx="269">
                        <c:v>365.41838154633274</c:v>
                      </c:pt>
                      <c:pt idx="270">
                        <c:v>393.49838154633267</c:v>
                      </c:pt>
                      <c:pt idx="271">
                        <c:v>450.82838154633259</c:v>
                      </c:pt>
                      <c:pt idx="272">
                        <c:v>447.22838154633268</c:v>
                      </c:pt>
                      <c:pt idx="273">
                        <c:v>447.22838154633268</c:v>
                      </c:pt>
                      <c:pt idx="274">
                        <c:v>421.97838154633268</c:v>
                      </c:pt>
                      <c:pt idx="275">
                        <c:v>506.12838154633255</c:v>
                      </c:pt>
                      <c:pt idx="276">
                        <c:v>485.24838154633267</c:v>
                      </c:pt>
                      <c:pt idx="277">
                        <c:v>485.24838154633267</c:v>
                      </c:pt>
                      <c:pt idx="278">
                        <c:v>560.64838154633253</c:v>
                      </c:pt>
                      <c:pt idx="279">
                        <c:v>580.64838154633253</c:v>
                      </c:pt>
                      <c:pt idx="280">
                        <c:v>580.64838154633253</c:v>
                      </c:pt>
                      <c:pt idx="281">
                        <c:v>580.64838154633253</c:v>
                      </c:pt>
                      <c:pt idx="282">
                        <c:v>582.84838154633258</c:v>
                      </c:pt>
                      <c:pt idx="283">
                        <c:v>512.14838154633276</c:v>
                      </c:pt>
                      <c:pt idx="284">
                        <c:v>512.14838154633276</c:v>
                      </c:pt>
                      <c:pt idx="285">
                        <c:v>416.74838154633267</c:v>
                      </c:pt>
                      <c:pt idx="286">
                        <c:v>416.74838154633267</c:v>
                      </c:pt>
                      <c:pt idx="287">
                        <c:v>335.61838154633256</c:v>
                      </c:pt>
                      <c:pt idx="288">
                        <c:v>335.61838154633256</c:v>
                      </c:pt>
                      <c:pt idx="289">
                        <c:v>369.51838154633242</c:v>
                      </c:pt>
                      <c:pt idx="290">
                        <c:v>369.51838154633242</c:v>
                      </c:pt>
                      <c:pt idx="291">
                        <c:v>444.51838154633242</c:v>
                      </c:pt>
                      <c:pt idx="292">
                        <c:v>418.76838154633242</c:v>
                      </c:pt>
                      <c:pt idx="293">
                        <c:v>418.76838154633242</c:v>
                      </c:pt>
                      <c:pt idx="294">
                        <c:v>289.80838154633238</c:v>
                      </c:pt>
                      <c:pt idx="295">
                        <c:v>289.80838154633238</c:v>
                      </c:pt>
                      <c:pt idx="296">
                        <c:v>261.31838154633238</c:v>
                      </c:pt>
                      <c:pt idx="297">
                        <c:v>261.31838154633238</c:v>
                      </c:pt>
                      <c:pt idx="298">
                        <c:v>210.11838154633233</c:v>
                      </c:pt>
                      <c:pt idx="299">
                        <c:v>210.11838154633233</c:v>
                      </c:pt>
                      <c:pt idx="300">
                        <c:v>210.11838154633233</c:v>
                      </c:pt>
                      <c:pt idx="301">
                        <c:v>210.11838154633233</c:v>
                      </c:pt>
                      <c:pt idx="302">
                        <c:v>202.73838154633222</c:v>
                      </c:pt>
                      <c:pt idx="303">
                        <c:v>202.73838154633222</c:v>
                      </c:pt>
                      <c:pt idx="304">
                        <c:v>202.73838154633222</c:v>
                      </c:pt>
                      <c:pt idx="305">
                        <c:v>202.73838154633222</c:v>
                      </c:pt>
                      <c:pt idx="306">
                        <c:v>202.73838154633222</c:v>
                      </c:pt>
                      <c:pt idx="307">
                        <c:v>202.73838154633222</c:v>
                      </c:pt>
                      <c:pt idx="308">
                        <c:v>225.07719317717942</c:v>
                      </c:pt>
                      <c:pt idx="309">
                        <c:v>225.07719317717942</c:v>
                      </c:pt>
                      <c:pt idx="310">
                        <c:v>341.47719317717952</c:v>
                      </c:pt>
                      <c:pt idx="311">
                        <c:v>395.65719317717958</c:v>
                      </c:pt>
                      <c:pt idx="312">
                        <c:v>379.00719317717949</c:v>
                      </c:pt>
                      <c:pt idx="313">
                        <c:v>379.00719317717949</c:v>
                      </c:pt>
                      <c:pt idx="314">
                        <c:v>325.10719317717951</c:v>
                      </c:pt>
                      <c:pt idx="315">
                        <c:v>268.85719317717951</c:v>
                      </c:pt>
                      <c:pt idx="316">
                        <c:v>268.85719317717951</c:v>
                      </c:pt>
                      <c:pt idx="317">
                        <c:v>268.85719317717951</c:v>
                      </c:pt>
                      <c:pt idx="318">
                        <c:v>268.85719317717951</c:v>
                      </c:pt>
                      <c:pt idx="319">
                        <c:v>268.85719317717951</c:v>
                      </c:pt>
                      <c:pt idx="320">
                        <c:v>397.51719317717937</c:v>
                      </c:pt>
                      <c:pt idx="321">
                        <c:v>397.51719317717937</c:v>
                      </c:pt>
                      <c:pt idx="322">
                        <c:v>397.51719317717937</c:v>
                      </c:pt>
                      <c:pt idx="323">
                        <c:v>397.51719317717937</c:v>
                      </c:pt>
                      <c:pt idx="324">
                        <c:v>248.95719317717942</c:v>
                      </c:pt>
                      <c:pt idx="325">
                        <c:v>248.95719317717942</c:v>
                      </c:pt>
                      <c:pt idx="326">
                        <c:v>113.20719317717942</c:v>
                      </c:pt>
                      <c:pt idx="327">
                        <c:v>113.20719317717942</c:v>
                      </c:pt>
                      <c:pt idx="328">
                        <c:v>113.20719317717942</c:v>
                      </c:pt>
                      <c:pt idx="329">
                        <c:v>113.20719317717942</c:v>
                      </c:pt>
                      <c:pt idx="330">
                        <c:v>274.15719317717947</c:v>
                      </c:pt>
                      <c:pt idx="331">
                        <c:v>274.15719317717947</c:v>
                      </c:pt>
                      <c:pt idx="332">
                        <c:v>274.15719317717947</c:v>
                      </c:pt>
                      <c:pt idx="333">
                        <c:v>274.15719317717947</c:v>
                      </c:pt>
                      <c:pt idx="334">
                        <c:v>274.15719317717947</c:v>
                      </c:pt>
                      <c:pt idx="335">
                        <c:v>274.15719317717947</c:v>
                      </c:pt>
                      <c:pt idx="336">
                        <c:v>274.15719317717947</c:v>
                      </c:pt>
                      <c:pt idx="337">
                        <c:v>315.55719317717956</c:v>
                      </c:pt>
                      <c:pt idx="338">
                        <c:v>315.55719317717956</c:v>
                      </c:pt>
                      <c:pt idx="339">
                        <c:v>315.55719317717956</c:v>
                      </c:pt>
                      <c:pt idx="340">
                        <c:v>315.55719317717956</c:v>
                      </c:pt>
                      <c:pt idx="341">
                        <c:v>315.55719317717956</c:v>
                      </c:pt>
                      <c:pt idx="342">
                        <c:v>298.75719317717983</c:v>
                      </c:pt>
                      <c:pt idx="343">
                        <c:v>298.75719317717983</c:v>
                      </c:pt>
                      <c:pt idx="344">
                        <c:v>298.75719317717983</c:v>
                      </c:pt>
                      <c:pt idx="345">
                        <c:v>298.75719317717983</c:v>
                      </c:pt>
                      <c:pt idx="346">
                        <c:v>305.25719317717983</c:v>
                      </c:pt>
                    </c:numCache>
                  </c:numRef>
                </c:val>
                <c:smooth val="0"/>
                <c:extLst xmlns:c15="http://schemas.microsoft.com/office/drawing/2012/chart">
                  <c:ext xmlns:c16="http://schemas.microsoft.com/office/drawing/2014/chart" uri="{C3380CC4-5D6E-409C-BE32-E72D297353CC}">
                    <c16:uniqueId val="{00000006-8B10-4F45-997A-CD7B20248F9C}"/>
                  </c:ext>
                </c:extLst>
              </c15:ser>
            </c15:filteredLineSeries>
          </c:ext>
        </c:extLst>
      </c:lineChart>
      <c:catAx>
        <c:axId val="147683023"/>
        <c:scaling>
          <c:orientation val="minMax"/>
        </c:scaling>
        <c:delete val="0"/>
        <c:axPos val="b"/>
        <c:majorGridlines>
          <c:spPr>
            <a:ln w="9525" cap="flat" cmpd="sng" algn="ctr">
              <a:solidFill>
                <a:schemeClr val="tx1">
                  <a:lumMod val="75000"/>
                  <a:lumOff val="25000"/>
                </a:schemeClr>
              </a:solidFill>
              <a:prstDash val="dash"/>
              <a:round/>
            </a:ln>
            <a:effectLst/>
          </c:spPr>
        </c:majorGridlines>
        <c:majorTickMark val="none"/>
        <c:minorTickMark val="none"/>
        <c:tickLblPos val="low"/>
        <c:spPr>
          <a:noFill/>
          <a:ln w="12700" cap="flat" cmpd="sng" algn="ctr">
            <a:solidFill>
              <a:sysClr val="windowText" lastClr="000000"/>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6645279"/>
        <c:crosses val="autoZero"/>
        <c:auto val="1"/>
        <c:lblAlgn val="ctr"/>
        <c:lblOffset val="100"/>
        <c:tickLblSkip val="25"/>
        <c:tickMarkSkip val="25"/>
        <c:noMultiLvlLbl val="0"/>
      </c:catAx>
      <c:valAx>
        <c:axId val="146645279"/>
        <c:scaling>
          <c:orientation val="minMax"/>
          <c:max val="20"/>
          <c:min val="-10"/>
        </c:scaling>
        <c:delete val="0"/>
        <c:axPos val="r"/>
        <c:majorGridlines>
          <c:spPr>
            <a:ln w="9525" cap="flat" cmpd="sng" algn="ctr">
              <a:solidFill>
                <a:schemeClr val="tx1">
                  <a:lumMod val="75000"/>
                  <a:lumOff val="25000"/>
                </a:schemeClr>
              </a:solidFill>
              <a:prstDash val="dash"/>
              <a:round/>
            </a:ln>
            <a:effectLst/>
          </c:spPr>
        </c:majorGridlines>
        <c:numFmt formatCode="0" sourceLinked="0"/>
        <c:majorTickMark val="none"/>
        <c:minorTickMark val="none"/>
        <c:tickLblPos val="high"/>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7683023"/>
        <c:crosses val="max"/>
        <c:crossBetween val="between"/>
      </c:valAx>
      <c:spPr>
        <a:solidFill>
          <a:schemeClr val="tx1">
            <a:lumMod val="65000"/>
            <a:lumOff val="35000"/>
          </a:schemeClr>
        </a:solidFill>
        <a:ln>
          <a:solidFill>
            <a:sysClr val="windowText" lastClr="000000"/>
          </a:solidFill>
        </a:ln>
        <a:effectLst/>
      </c:spPr>
    </c:plotArea>
    <c:legend>
      <c:legendPos val="t"/>
      <c:layout>
        <c:manualLayout>
          <c:xMode val="edge"/>
          <c:yMode val="edge"/>
          <c:x val="0.39634286005511454"/>
          <c:y val="1.2316999395039325E-2"/>
          <c:w val="0.57612618810998151"/>
          <c:h val="4.9614968727820091E-2"/>
        </c:manualLayout>
      </c:layout>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legend>
    <c:plotVisOnly val="0"/>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accent3">
                    <a:lumMod val="75000"/>
                  </a:schemeClr>
                </a:solidFill>
                <a:latin typeface="+mn-lt"/>
                <a:ea typeface="+mn-ea"/>
                <a:cs typeface="+mn-cs"/>
              </a:defRPr>
            </a:pPr>
            <a:r>
              <a:rPr lang="en-US" sz="2000" b="1">
                <a:solidFill>
                  <a:schemeClr val="accent3">
                    <a:lumMod val="75000"/>
                  </a:schemeClr>
                </a:solidFill>
              </a:rPr>
              <a:t>The Three Tiers (SMH)</a:t>
            </a:r>
          </a:p>
        </c:rich>
      </c:tx>
      <c:layout>
        <c:manualLayout>
          <c:xMode val="edge"/>
          <c:yMode val="edge"/>
          <c:x val="2.8694404591104734E-2"/>
          <c:y val="2.4198427102238356E-3"/>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accent3">
                  <a:lumMod val="75000"/>
                </a:schemeClr>
              </a:solidFill>
              <a:latin typeface="+mn-lt"/>
              <a:ea typeface="+mn-ea"/>
              <a:cs typeface="+mn-cs"/>
            </a:defRPr>
          </a:pPr>
          <a:endParaRPr lang="en-US"/>
        </a:p>
      </c:txPr>
    </c:title>
    <c:autoTitleDeleted val="0"/>
    <c:plotArea>
      <c:layout>
        <c:manualLayout>
          <c:layoutTarget val="inner"/>
          <c:xMode val="edge"/>
          <c:yMode val="edge"/>
          <c:x val="1.0171058714748035E-2"/>
          <c:y val="7.7350558040499021E-2"/>
          <c:w val="0.95283482768537431"/>
          <c:h val="0.86018548951798435"/>
        </c:manualLayout>
      </c:layout>
      <c:lineChart>
        <c:grouping val="standard"/>
        <c:varyColors val="0"/>
        <c:ser>
          <c:idx val="0"/>
          <c:order val="0"/>
          <c:tx>
            <c:v>Up</c:v>
          </c:tx>
          <c:spPr>
            <a:ln w="28575" cap="rnd">
              <a:solidFill>
                <a:schemeClr val="accent6">
                  <a:lumMod val="75000"/>
                </a:schemeClr>
              </a:solidFill>
              <a:prstDash val="solid"/>
              <a:round/>
            </a:ln>
            <a:effectLst/>
          </c:spPr>
          <c:marker>
            <c:symbol val="none"/>
          </c:marker>
          <c:val>
            <c:numRef>
              <c:f>'2025-Q2'!$EU$4:$EU$422</c:f>
              <c:numCache>
                <c:formatCode>0.00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-0.56361328049859927</c:v>
                </c:pt>
                <c:pt idx="404">
                  <c:v>-0.56361328049859927</c:v>
                </c:pt>
                <c:pt idx="405">
                  <c:v>-0.56361328049859927</c:v>
                </c:pt>
                <c:pt idx="406">
                  <c:v>-0.56361328049859927</c:v>
                </c:pt>
                <c:pt idx="407">
                  <c:v>-0.56361328049859927</c:v>
                </c:pt>
                <c:pt idx="408">
                  <c:v>-0.56361328049859927</c:v>
                </c:pt>
                <c:pt idx="409">
                  <c:v>-0.56361328049859927</c:v>
                </c:pt>
                <c:pt idx="410">
                  <c:v>-0.56361328049859927</c:v>
                </c:pt>
                <c:pt idx="411">
                  <c:v>-0.56361328049859927</c:v>
                </c:pt>
                <c:pt idx="412">
                  <c:v>-0.56361328049859927</c:v>
                </c:pt>
                <c:pt idx="413">
                  <c:v>-0.56361328049859927</c:v>
                </c:pt>
                <c:pt idx="414">
                  <c:v>-0.56361328049859927</c:v>
                </c:pt>
                <c:pt idx="415">
                  <c:v>-0.56361328049859927</c:v>
                </c:pt>
                <c:pt idx="416">
                  <c:v>-0.26498852607816792</c:v>
                </c:pt>
                <c:pt idx="417">
                  <c:v>-0.26498852607816792</c:v>
                </c:pt>
                <c:pt idx="418">
                  <c:v>-0.26498852607816792</c:v>
                </c:pt>
              </c:numCache>
            </c:numRef>
          </c:val>
          <c:smooth val="1"/>
          <c:extLst>
            <c:ext xmlns:c16="http://schemas.microsoft.com/office/drawing/2014/chart" uri="{C3380CC4-5D6E-409C-BE32-E72D297353CC}">
              <c16:uniqueId val="{00000000-CCEC-4BD8-9508-C56E4326B937}"/>
            </c:ext>
          </c:extLst>
        </c:ser>
        <c:ser>
          <c:idx val="1"/>
          <c:order val="2"/>
          <c:tx>
            <c:v>Dwn</c:v>
          </c:tx>
          <c:spPr>
            <a:ln w="28575" cap="rnd">
              <a:solidFill>
                <a:schemeClr val="accent2"/>
              </a:solidFill>
              <a:prstDash val="solid"/>
              <a:round/>
            </a:ln>
            <a:effectLst/>
          </c:spPr>
          <c:marker>
            <c:symbol val="none"/>
          </c:marker>
          <c:val>
            <c:numRef>
              <c:f>'2025-Q2'!$EW$4:$EW$422</c:f>
              <c:numCache>
                <c:formatCode>0.00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-0.73430241270792684</c:v>
                </c:pt>
                <c:pt idx="83">
                  <c:v>-0.73430241270792684</c:v>
                </c:pt>
                <c:pt idx="84">
                  <c:v>-0.73430241270792684</c:v>
                </c:pt>
                <c:pt idx="85">
                  <c:v>-0.73430241270792684</c:v>
                </c:pt>
                <c:pt idx="86">
                  <c:v>-0.73430241270792684</c:v>
                </c:pt>
                <c:pt idx="87">
                  <c:v>-0.73430241270792684</c:v>
                </c:pt>
                <c:pt idx="88">
                  <c:v>-0.73430241270792684</c:v>
                </c:pt>
                <c:pt idx="89">
                  <c:v>-0.73430241270792684</c:v>
                </c:pt>
                <c:pt idx="90">
                  <c:v>-0.73430241270792684</c:v>
                </c:pt>
                <c:pt idx="91">
                  <c:v>-0.73430241270792684</c:v>
                </c:pt>
                <c:pt idx="92">
                  <c:v>-0.73430241270792684</c:v>
                </c:pt>
                <c:pt idx="93">
                  <c:v>-0.73430241270792684</c:v>
                </c:pt>
                <c:pt idx="94">
                  <c:v>-0.73430241270792684</c:v>
                </c:pt>
                <c:pt idx="95">
                  <c:v>-0.73430241270792684</c:v>
                </c:pt>
                <c:pt idx="96">
                  <c:v>-0.73430241270792684</c:v>
                </c:pt>
                <c:pt idx="97">
                  <c:v>-0.73430241270792684</c:v>
                </c:pt>
                <c:pt idx="98">
                  <c:v>-0.73430241270792684</c:v>
                </c:pt>
                <c:pt idx="99">
                  <c:v>-0.73430241270792684</c:v>
                </c:pt>
                <c:pt idx="100">
                  <c:v>-0.73430241270792684</c:v>
                </c:pt>
                <c:pt idx="101">
                  <c:v>-0.73430241270792684</c:v>
                </c:pt>
                <c:pt idx="102">
                  <c:v>-0.73430241270792684</c:v>
                </c:pt>
                <c:pt idx="103">
                  <c:v>-0.73430241270792684</c:v>
                </c:pt>
                <c:pt idx="104">
                  <c:v>-0.73430241270792684</c:v>
                </c:pt>
                <c:pt idx="105">
                  <c:v>-0.73430241270792684</c:v>
                </c:pt>
                <c:pt idx="106">
                  <c:v>-0.73430241270792684</c:v>
                </c:pt>
                <c:pt idx="107">
                  <c:v>-0.73430241270792684</c:v>
                </c:pt>
                <c:pt idx="108">
                  <c:v>-0.73430241270792684</c:v>
                </c:pt>
                <c:pt idx="109">
                  <c:v>-0.73430241270792684</c:v>
                </c:pt>
                <c:pt idx="110">
                  <c:v>-0.73430241270792684</c:v>
                </c:pt>
                <c:pt idx="111">
                  <c:v>-0.73430241270792684</c:v>
                </c:pt>
                <c:pt idx="112">
                  <c:v>-0.73430241270792684</c:v>
                </c:pt>
                <c:pt idx="113">
                  <c:v>-0.73430241270792684</c:v>
                </c:pt>
                <c:pt idx="114">
                  <c:v>-0.73430241270792684</c:v>
                </c:pt>
                <c:pt idx="115">
                  <c:v>-0.73430241270792684</c:v>
                </c:pt>
                <c:pt idx="116">
                  <c:v>-0.73430241270792684</c:v>
                </c:pt>
                <c:pt idx="117">
                  <c:v>-0.34599923252657666</c:v>
                </c:pt>
                <c:pt idx="118">
                  <c:v>-0.34599923252657666</c:v>
                </c:pt>
                <c:pt idx="119">
                  <c:v>-0.34599923252657666</c:v>
                </c:pt>
                <c:pt idx="120">
                  <c:v>-0.34599923252657666</c:v>
                </c:pt>
                <c:pt idx="121">
                  <c:v>-0.34599923252657666</c:v>
                </c:pt>
                <c:pt idx="122">
                  <c:v>-0.34599923252657666</c:v>
                </c:pt>
                <c:pt idx="123">
                  <c:v>-0.34599923252657666</c:v>
                </c:pt>
                <c:pt idx="124">
                  <c:v>0.90459527759708336</c:v>
                </c:pt>
                <c:pt idx="125">
                  <c:v>0.90459527759708336</c:v>
                </c:pt>
                <c:pt idx="126">
                  <c:v>0.90459527759708336</c:v>
                </c:pt>
                <c:pt idx="127">
                  <c:v>0.90459527759708336</c:v>
                </c:pt>
                <c:pt idx="128">
                  <c:v>0.90459527759708336</c:v>
                </c:pt>
                <c:pt idx="129">
                  <c:v>0.90459527759708336</c:v>
                </c:pt>
                <c:pt idx="130">
                  <c:v>0.90459527759708336</c:v>
                </c:pt>
                <c:pt idx="131">
                  <c:v>0.90459527759708336</c:v>
                </c:pt>
                <c:pt idx="132">
                  <c:v>0.90459527759708336</c:v>
                </c:pt>
                <c:pt idx="133">
                  <c:v>0.90459527759708336</c:v>
                </c:pt>
                <c:pt idx="134">
                  <c:v>0.90459527759708336</c:v>
                </c:pt>
                <c:pt idx="135">
                  <c:v>0.90459527759708336</c:v>
                </c:pt>
                <c:pt idx="136">
                  <c:v>0.90459527759708336</c:v>
                </c:pt>
                <c:pt idx="137">
                  <c:v>0.90459527759708336</c:v>
                </c:pt>
                <c:pt idx="138">
                  <c:v>0.90459527759708336</c:v>
                </c:pt>
                <c:pt idx="139">
                  <c:v>0.90459527759708336</c:v>
                </c:pt>
                <c:pt idx="140">
                  <c:v>0.90459527759708336</c:v>
                </c:pt>
                <c:pt idx="141">
                  <c:v>0.90459527759708336</c:v>
                </c:pt>
                <c:pt idx="142">
                  <c:v>0.90459527759708336</c:v>
                </c:pt>
                <c:pt idx="143">
                  <c:v>0.90459527759708336</c:v>
                </c:pt>
                <c:pt idx="144">
                  <c:v>0.90459527759708336</c:v>
                </c:pt>
                <c:pt idx="145">
                  <c:v>0.90459527759708336</c:v>
                </c:pt>
                <c:pt idx="146">
                  <c:v>0.90459527759708336</c:v>
                </c:pt>
                <c:pt idx="147">
                  <c:v>0.90459527759708336</c:v>
                </c:pt>
                <c:pt idx="148">
                  <c:v>0.90459527759708336</c:v>
                </c:pt>
                <c:pt idx="149">
                  <c:v>0.90459527759708336</c:v>
                </c:pt>
                <c:pt idx="150">
                  <c:v>0.90459527759708336</c:v>
                </c:pt>
                <c:pt idx="151">
                  <c:v>0.90459527759708336</c:v>
                </c:pt>
                <c:pt idx="152">
                  <c:v>0.90459527759708336</c:v>
                </c:pt>
                <c:pt idx="153">
                  <c:v>0.90459527759708336</c:v>
                </c:pt>
                <c:pt idx="154">
                  <c:v>0.90459527759708336</c:v>
                </c:pt>
                <c:pt idx="155">
                  <c:v>0.90459527759708336</c:v>
                </c:pt>
                <c:pt idx="156">
                  <c:v>0.90459527759708336</c:v>
                </c:pt>
                <c:pt idx="157">
                  <c:v>0.90459527759708336</c:v>
                </c:pt>
                <c:pt idx="158">
                  <c:v>0.90459527759708336</c:v>
                </c:pt>
                <c:pt idx="159">
                  <c:v>0.90459527759708336</c:v>
                </c:pt>
                <c:pt idx="160">
                  <c:v>0.90459527759708336</c:v>
                </c:pt>
                <c:pt idx="161">
                  <c:v>0.90459527759708336</c:v>
                </c:pt>
                <c:pt idx="162">
                  <c:v>0.90459527759708336</c:v>
                </c:pt>
                <c:pt idx="163">
                  <c:v>0.90459527759708336</c:v>
                </c:pt>
                <c:pt idx="164">
                  <c:v>0.90459527759708336</c:v>
                </c:pt>
                <c:pt idx="165">
                  <c:v>0.90459527759708336</c:v>
                </c:pt>
                <c:pt idx="166">
                  <c:v>0.90459527759708336</c:v>
                </c:pt>
                <c:pt idx="167">
                  <c:v>0.90459527759708336</c:v>
                </c:pt>
                <c:pt idx="168">
                  <c:v>0.90459527759708336</c:v>
                </c:pt>
                <c:pt idx="169">
                  <c:v>0.90459527759708336</c:v>
                </c:pt>
                <c:pt idx="170">
                  <c:v>0.90459527759708336</c:v>
                </c:pt>
                <c:pt idx="171">
                  <c:v>0.90459527759708336</c:v>
                </c:pt>
                <c:pt idx="172">
                  <c:v>0.90459527759708336</c:v>
                </c:pt>
                <c:pt idx="173">
                  <c:v>0.90459527759708336</c:v>
                </c:pt>
                <c:pt idx="174">
                  <c:v>0.90459527759708336</c:v>
                </c:pt>
                <c:pt idx="175">
                  <c:v>0.90459527759708336</c:v>
                </c:pt>
                <c:pt idx="176">
                  <c:v>0.90459527759708336</c:v>
                </c:pt>
                <c:pt idx="177">
                  <c:v>0.90459527759708336</c:v>
                </c:pt>
                <c:pt idx="178">
                  <c:v>0.90459527759708336</c:v>
                </c:pt>
                <c:pt idx="179">
                  <c:v>0.90459527759708336</c:v>
                </c:pt>
                <c:pt idx="180">
                  <c:v>0.90459527759708336</c:v>
                </c:pt>
                <c:pt idx="181">
                  <c:v>0.90459527759708336</c:v>
                </c:pt>
                <c:pt idx="182">
                  <c:v>0.90459527759708336</c:v>
                </c:pt>
                <c:pt idx="183">
                  <c:v>0.90459527759708336</c:v>
                </c:pt>
                <c:pt idx="184">
                  <c:v>0.90459527759708336</c:v>
                </c:pt>
                <c:pt idx="185">
                  <c:v>0.90459527759708336</c:v>
                </c:pt>
                <c:pt idx="186">
                  <c:v>0.90459527759708336</c:v>
                </c:pt>
                <c:pt idx="187">
                  <c:v>0.90459527759708336</c:v>
                </c:pt>
                <c:pt idx="188">
                  <c:v>1.9901851109977766</c:v>
                </c:pt>
                <c:pt idx="189">
                  <c:v>1.9901851109977766</c:v>
                </c:pt>
                <c:pt idx="190">
                  <c:v>1.9901851109977766</c:v>
                </c:pt>
                <c:pt idx="191">
                  <c:v>1.9901851109977766</c:v>
                </c:pt>
                <c:pt idx="192">
                  <c:v>1.9901851109977766</c:v>
                </c:pt>
                <c:pt idx="193">
                  <c:v>1.9901851109977766</c:v>
                </c:pt>
                <c:pt idx="194">
                  <c:v>1.9901851109977766</c:v>
                </c:pt>
                <c:pt idx="195">
                  <c:v>1.9901851109977766</c:v>
                </c:pt>
                <c:pt idx="196">
                  <c:v>1.9901851109977766</c:v>
                </c:pt>
                <c:pt idx="197">
                  <c:v>1.9901851109977766</c:v>
                </c:pt>
                <c:pt idx="198">
                  <c:v>1.9901851109977766</c:v>
                </c:pt>
                <c:pt idx="199">
                  <c:v>1.9901851109977766</c:v>
                </c:pt>
                <c:pt idx="200">
                  <c:v>1.9901851109977766</c:v>
                </c:pt>
                <c:pt idx="201">
                  <c:v>1.9901851109977766</c:v>
                </c:pt>
                <c:pt idx="202">
                  <c:v>1.9901851109977766</c:v>
                </c:pt>
                <c:pt idx="203">
                  <c:v>1.9901851109977766</c:v>
                </c:pt>
                <c:pt idx="204">
                  <c:v>1.9901851109977766</c:v>
                </c:pt>
                <c:pt idx="205">
                  <c:v>1.9901851109977766</c:v>
                </c:pt>
                <c:pt idx="206">
                  <c:v>1.9901851109977766</c:v>
                </c:pt>
                <c:pt idx="207">
                  <c:v>1.9901851109977766</c:v>
                </c:pt>
                <c:pt idx="208">
                  <c:v>1.9901851109977766</c:v>
                </c:pt>
                <c:pt idx="209">
                  <c:v>1.9901851109977766</c:v>
                </c:pt>
                <c:pt idx="210">
                  <c:v>1.9901851109977766</c:v>
                </c:pt>
                <c:pt idx="211">
                  <c:v>1.9901851109977766</c:v>
                </c:pt>
                <c:pt idx="212">
                  <c:v>1.9901851109977766</c:v>
                </c:pt>
                <c:pt idx="213">
                  <c:v>1.9901851109977766</c:v>
                </c:pt>
                <c:pt idx="214">
                  <c:v>1.9901851109977766</c:v>
                </c:pt>
                <c:pt idx="215">
                  <c:v>1.9901851109977766</c:v>
                </c:pt>
                <c:pt idx="216">
                  <c:v>1.9901851109977766</c:v>
                </c:pt>
                <c:pt idx="217">
                  <c:v>1.9901851109977766</c:v>
                </c:pt>
                <c:pt idx="218">
                  <c:v>1.9901851109977766</c:v>
                </c:pt>
                <c:pt idx="219">
                  <c:v>1.9901851109977766</c:v>
                </c:pt>
                <c:pt idx="220">
                  <c:v>1.9901851109977766</c:v>
                </c:pt>
                <c:pt idx="221">
                  <c:v>1.9901851109977766</c:v>
                </c:pt>
                <c:pt idx="222">
                  <c:v>1.9901851109977766</c:v>
                </c:pt>
                <c:pt idx="223">
                  <c:v>1.9901851109977766</c:v>
                </c:pt>
                <c:pt idx="224">
                  <c:v>1.9901851109977766</c:v>
                </c:pt>
                <c:pt idx="225">
                  <c:v>1.9901851109977766</c:v>
                </c:pt>
                <c:pt idx="226">
                  <c:v>1.9901851109977766</c:v>
                </c:pt>
                <c:pt idx="227">
                  <c:v>1.9901851109977766</c:v>
                </c:pt>
                <c:pt idx="228">
                  <c:v>1.9901851109977766</c:v>
                </c:pt>
                <c:pt idx="229">
                  <c:v>1.9901851109977766</c:v>
                </c:pt>
                <c:pt idx="230">
                  <c:v>1.9901851109977766</c:v>
                </c:pt>
                <c:pt idx="231">
                  <c:v>1.9901851109977766</c:v>
                </c:pt>
                <c:pt idx="232">
                  <c:v>1.9901851109977766</c:v>
                </c:pt>
                <c:pt idx="233">
                  <c:v>1.9901851109977766</c:v>
                </c:pt>
                <c:pt idx="234">
                  <c:v>1.9901851109977766</c:v>
                </c:pt>
                <c:pt idx="235">
                  <c:v>1.9901851109977766</c:v>
                </c:pt>
                <c:pt idx="236">
                  <c:v>1.9901851109977766</c:v>
                </c:pt>
                <c:pt idx="237">
                  <c:v>1.9901851109977766</c:v>
                </c:pt>
                <c:pt idx="238">
                  <c:v>1.9901851109977766</c:v>
                </c:pt>
                <c:pt idx="239">
                  <c:v>1.9901851109977766</c:v>
                </c:pt>
                <c:pt idx="240">
                  <c:v>1.9901851109977766</c:v>
                </c:pt>
                <c:pt idx="241">
                  <c:v>1.9901851109977766</c:v>
                </c:pt>
                <c:pt idx="242">
                  <c:v>1.9901851109977766</c:v>
                </c:pt>
                <c:pt idx="243">
                  <c:v>1.9901851109977766</c:v>
                </c:pt>
                <c:pt idx="244">
                  <c:v>1.9901851109977766</c:v>
                </c:pt>
                <c:pt idx="245">
                  <c:v>1.9901851109977766</c:v>
                </c:pt>
                <c:pt idx="246">
                  <c:v>1.9901851109977766</c:v>
                </c:pt>
                <c:pt idx="247">
                  <c:v>1.9901851109977766</c:v>
                </c:pt>
                <c:pt idx="248">
                  <c:v>1.9901851109977766</c:v>
                </c:pt>
                <c:pt idx="249">
                  <c:v>1.9901851109977766</c:v>
                </c:pt>
                <c:pt idx="250">
                  <c:v>1.9901851109977766</c:v>
                </c:pt>
                <c:pt idx="251">
                  <c:v>1.9901851109977766</c:v>
                </c:pt>
                <c:pt idx="252">
                  <c:v>1.9901851109977766</c:v>
                </c:pt>
                <c:pt idx="253">
                  <c:v>2.6896999443708767</c:v>
                </c:pt>
                <c:pt idx="254">
                  <c:v>2.6896999443708767</c:v>
                </c:pt>
                <c:pt idx="255">
                  <c:v>2.6896999443708767</c:v>
                </c:pt>
                <c:pt idx="256">
                  <c:v>2.6896999443708767</c:v>
                </c:pt>
                <c:pt idx="257">
                  <c:v>2.6896999443708767</c:v>
                </c:pt>
                <c:pt idx="258">
                  <c:v>2.6896999443708767</c:v>
                </c:pt>
                <c:pt idx="259">
                  <c:v>2.6896999443708767</c:v>
                </c:pt>
                <c:pt idx="260">
                  <c:v>2.6896999443708767</c:v>
                </c:pt>
                <c:pt idx="261">
                  <c:v>2.6896999443708767</c:v>
                </c:pt>
                <c:pt idx="262">
                  <c:v>2.6896999443708767</c:v>
                </c:pt>
                <c:pt idx="263">
                  <c:v>2.6896999443708767</c:v>
                </c:pt>
                <c:pt idx="264">
                  <c:v>2.6896999443708767</c:v>
                </c:pt>
                <c:pt idx="265">
                  <c:v>2.6896999443708767</c:v>
                </c:pt>
                <c:pt idx="266">
                  <c:v>2.6896999443708767</c:v>
                </c:pt>
                <c:pt idx="267">
                  <c:v>2.6896999443708767</c:v>
                </c:pt>
                <c:pt idx="268">
                  <c:v>2.6896999443708767</c:v>
                </c:pt>
                <c:pt idx="269">
                  <c:v>2.6896999443708767</c:v>
                </c:pt>
                <c:pt idx="270">
                  <c:v>2.6896999443708767</c:v>
                </c:pt>
                <c:pt idx="271">
                  <c:v>2.6896999443708767</c:v>
                </c:pt>
                <c:pt idx="272">
                  <c:v>2.6896999443708767</c:v>
                </c:pt>
                <c:pt idx="273">
                  <c:v>2.6896999443708767</c:v>
                </c:pt>
                <c:pt idx="274">
                  <c:v>2.6896999443708767</c:v>
                </c:pt>
                <c:pt idx="275">
                  <c:v>2.6896999443708767</c:v>
                </c:pt>
                <c:pt idx="276">
                  <c:v>2.3297323921502326</c:v>
                </c:pt>
                <c:pt idx="277">
                  <c:v>2.3297323921502326</c:v>
                </c:pt>
                <c:pt idx="278">
                  <c:v>2.3297323921502326</c:v>
                </c:pt>
                <c:pt idx="279">
                  <c:v>2.3297323921502326</c:v>
                </c:pt>
                <c:pt idx="280">
                  <c:v>2.3297323921502326</c:v>
                </c:pt>
                <c:pt idx="281">
                  <c:v>2.3297323921502326</c:v>
                </c:pt>
                <c:pt idx="282">
                  <c:v>2.3297323921502326</c:v>
                </c:pt>
                <c:pt idx="283">
                  <c:v>2.3297323921502326</c:v>
                </c:pt>
                <c:pt idx="284">
                  <c:v>2.3297323921502326</c:v>
                </c:pt>
                <c:pt idx="285">
                  <c:v>2.3297323921502326</c:v>
                </c:pt>
                <c:pt idx="286">
                  <c:v>2.3297323921502326</c:v>
                </c:pt>
                <c:pt idx="287">
                  <c:v>2.3297323921502326</c:v>
                </c:pt>
                <c:pt idx="288">
                  <c:v>2.3297323921502326</c:v>
                </c:pt>
                <c:pt idx="289">
                  <c:v>2.3297323921502326</c:v>
                </c:pt>
                <c:pt idx="290">
                  <c:v>2.3297323921502326</c:v>
                </c:pt>
                <c:pt idx="291">
                  <c:v>2.3297323921502326</c:v>
                </c:pt>
                <c:pt idx="292">
                  <c:v>2.3297323921502326</c:v>
                </c:pt>
                <c:pt idx="293">
                  <c:v>2.3297323921502326</c:v>
                </c:pt>
                <c:pt idx="294">
                  <c:v>2.3297323921502326</c:v>
                </c:pt>
                <c:pt idx="295">
                  <c:v>2.3297323921502326</c:v>
                </c:pt>
                <c:pt idx="296">
                  <c:v>2.3297323921502326</c:v>
                </c:pt>
                <c:pt idx="297">
                  <c:v>2.3297323921502326</c:v>
                </c:pt>
                <c:pt idx="298">
                  <c:v>2.3297323921502326</c:v>
                </c:pt>
                <c:pt idx="299">
                  <c:v>2.3297323921502326</c:v>
                </c:pt>
                <c:pt idx="300">
                  <c:v>2.3297323921502326</c:v>
                </c:pt>
                <c:pt idx="301">
                  <c:v>2.3297323921502326</c:v>
                </c:pt>
                <c:pt idx="302">
                  <c:v>2.3210103028360365</c:v>
                </c:pt>
                <c:pt idx="303">
                  <c:v>2.3210103028360365</c:v>
                </c:pt>
                <c:pt idx="304">
                  <c:v>2.3210103028360365</c:v>
                </c:pt>
                <c:pt idx="305">
                  <c:v>2.3210103028360365</c:v>
                </c:pt>
                <c:pt idx="306">
                  <c:v>2.3210103028360365</c:v>
                </c:pt>
                <c:pt idx="307">
                  <c:v>2.3210103028360365</c:v>
                </c:pt>
                <c:pt idx="308">
                  <c:v>2.3210103028360365</c:v>
                </c:pt>
                <c:pt idx="309">
                  <c:v>2.3210103028360365</c:v>
                </c:pt>
                <c:pt idx="310">
                  <c:v>2.3210103028360365</c:v>
                </c:pt>
                <c:pt idx="311">
                  <c:v>2.3210103028360365</c:v>
                </c:pt>
                <c:pt idx="312">
                  <c:v>2.3210103028360365</c:v>
                </c:pt>
                <c:pt idx="313">
                  <c:v>2.3210103028360365</c:v>
                </c:pt>
                <c:pt idx="314">
                  <c:v>2.3210103028360365</c:v>
                </c:pt>
                <c:pt idx="315">
                  <c:v>2.3210103028360365</c:v>
                </c:pt>
                <c:pt idx="316">
                  <c:v>2.3210103028360365</c:v>
                </c:pt>
                <c:pt idx="317">
                  <c:v>2.3210103028360365</c:v>
                </c:pt>
                <c:pt idx="318">
                  <c:v>2.3210103028360365</c:v>
                </c:pt>
                <c:pt idx="319">
                  <c:v>2.3210103028360365</c:v>
                </c:pt>
                <c:pt idx="320">
                  <c:v>2.3210103028360365</c:v>
                </c:pt>
                <c:pt idx="321">
                  <c:v>2.3210103028360365</c:v>
                </c:pt>
                <c:pt idx="322">
                  <c:v>2.3210103028360365</c:v>
                </c:pt>
                <c:pt idx="323">
                  <c:v>2.3210103028360365</c:v>
                </c:pt>
                <c:pt idx="324">
                  <c:v>7.9116394275462909E-2</c:v>
                </c:pt>
                <c:pt idx="325">
                  <c:v>7.9116394275462909E-2</c:v>
                </c:pt>
                <c:pt idx="326">
                  <c:v>7.9116394275462909E-2</c:v>
                </c:pt>
                <c:pt idx="327">
                  <c:v>7.9116394275462909E-2</c:v>
                </c:pt>
                <c:pt idx="328">
                  <c:v>7.9116394275462909E-2</c:v>
                </c:pt>
                <c:pt idx="329">
                  <c:v>7.9116394275462909E-2</c:v>
                </c:pt>
                <c:pt idx="330">
                  <c:v>7.9116394275462909E-2</c:v>
                </c:pt>
                <c:pt idx="331">
                  <c:v>7.9116394275462909E-2</c:v>
                </c:pt>
                <c:pt idx="332">
                  <c:v>7.9116394275462909E-2</c:v>
                </c:pt>
                <c:pt idx="333">
                  <c:v>7.9116394275462909E-2</c:v>
                </c:pt>
                <c:pt idx="334">
                  <c:v>7.9116394275462909E-2</c:v>
                </c:pt>
                <c:pt idx="335">
                  <c:v>7.9116394275462909E-2</c:v>
                </c:pt>
                <c:pt idx="336">
                  <c:v>7.9116394275462909E-2</c:v>
                </c:pt>
                <c:pt idx="337">
                  <c:v>7.9116394275462909E-2</c:v>
                </c:pt>
                <c:pt idx="338">
                  <c:v>7.9116394275462909E-2</c:v>
                </c:pt>
                <c:pt idx="339">
                  <c:v>7.9116394275462909E-2</c:v>
                </c:pt>
                <c:pt idx="340">
                  <c:v>7.9116394275462909E-2</c:v>
                </c:pt>
                <c:pt idx="341">
                  <c:v>7.9116394275462909E-2</c:v>
                </c:pt>
                <c:pt idx="342">
                  <c:v>7.9116394275462909E-2</c:v>
                </c:pt>
                <c:pt idx="343">
                  <c:v>7.9116394275462909E-2</c:v>
                </c:pt>
                <c:pt idx="344">
                  <c:v>7.9116394275462909E-2</c:v>
                </c:pt>
                <c:pt idx="345">
                  <c:v>7.9116394275462909E-2</c:v>
                </c:pt>
                <c:pt idx="346">
                  <c:v>7.9116394275462909E-2</c:v>
                </c:pt>
                <c:pt idx="347">
                  <c:v>7.9116394275462909E-2</c:v>
                </c:pt>
                <c:pt idx="348">
                  <c:v>7.9116394275462909E-2</c:v>
                </c:pt>
                <c:pt idx="349">
                  <c:v>7.9116394275462909E-2</c:v>
                </c:pt>
                <c:pt idx="350">
                  <c:v>7.9116394275462909E-2</c:v>
                </c:pt>
                <c:pt idx="351">
                  <c:v>7.9116394275462909E-2</c:v>
                </c:pt>
                <c:pt idx="352">
                  <c:v>7.9116394275462909E-2</c:v>
                </c:pt>
                <c:pt idx="353">
                  <c:v>7.9116394275462909E-2</c:v>
                </c:pt>
                <c:pt idx="354">
                  <c:v>7.9116394275462909E-2</c:v>
                </c:pt>
                <c:pt idx="355">
                  <c:v>7.9116394275462909E-2</c:v>
                </c:pt>
                <c:pt idx="356">
                  <c:v>7.9116394275462909E-2</c:v>
                </c:pt>
                <c:pt idx="357">
                  <c:v>7.9116394275462909E-2</c:v>
                </c:pt>
                <c:pt idx="358">
                  <c:v>7.9116394275462909E-2</c:v>
                </c:pt>
                <c:pt idx="359">
                  <c:v>7.9116394275462909E-2</c:v>
                </c:pt>
                <c:pt idx="360">
                  <c:v>7.9116394275462909E-2</c:v>
                </c:pt>
                <c:pt idx="361">
                  <c:v>7.9116394275462909E-2</c:v>
                </c:pt>
                <c:pt idx="362">
                  <c:v>7.9116394275462909E-2</c:v>
                </c:pt>
                <c:pt idx="363">
                  <c:v>7.9116394275462909E-2</c:v>
                </c:pt>
                <c:pt idx="364">
                  <c:v>7.9116394275462909E-2</c:v>
                </c:pt>
                <c:pt idx="365">
                  <c:v>7.9116394275462909E-2</c:v>
                </c:pt>
                <c:pt idx="366">
                  <c:v>7.9116394275462909E-2</c:v>
                </c:pt>
                <c:pt idx="367">
                  <c:v>7.9116394275462909E-2</c:v>
                </c:pt>
                <c:pt idx="368">
                  <c:v>7.9116394275462909E-2</c:v>
                </c:pt>
                <c:pt idx="369">
                  <c:v>7.9116394275462909E-2</c:v>
                </c:pt>
                <c:pt idx="370">
                  <c:v>7.9116394275462909E-2</c:v>
                </c:pt>
                <c:pt idx="371">
                  <c:v>7.9116394275462909E-2</c:v>
                </c:pt>
                <c:pt idx="372">
                  <c:v>7.9116394275462909E-2</c:v>
                </c:pt>
                <c:pt idx="373">
                  <c:v>7.9116394275462909E-2</c:v>
                </c:pt>
                <c:pt idx="374">
                  <c:v>7.9116394275462909E-2</c:v>
                </c:pt>
                <c:pt idx="375">
                  <c:v>7.9116394275462909E-2</c:v>
                </c:pt>
                <c:pt idx="376">
                  <c:v>7.9116394275462909E-2</c:v>
                </c:pt>
                <c:pt idx="377">
                  <c:v>7.9116394275462909E-2</c:v>
                </c:pt>
                <c:pt idx="378">
                  <c:v>7.9116394275462909E-2</c:v>
                </c:pt>
                <c:pt idx="379">
                  <c:v>7.9116394275462909E-2</c:v>
                </c:pt>
                <c:pt idx="380">
                  <c:v>7.9116394275462909E-2</c:v>
                </c:pt>
                <c:pt idx="381">
                  <c:v>7.9116394275462909E-2</c:v>
                </c:pt>
                <c:pt idx="382">
                  <c:v>7.9116394275462909E-2</c:v>
                </c:pt>
                <c:pt idx="383">
                  <c:v>7.9116394275462909E-2</c:v>
                </c:pt>
                <c:pt idx="384">
                  <c:v>7.9116394275462909E-2</c:v>
                </c:pt>
                <c:pt idx="385">
                  <c:v>7.9116394275462909E-2</c:v>
                </c:pt>
                <c:pt idx="386">
                  <c:v>7.9116394275462909E-2</c:v>
                </c:pt>
                <c:pt idx="387">
                  <c:v>7.9116394275462909E-2</c:v>
                </c:pt>
                <c:pt idx="388">
                  <c:v>7.9116394275462909E-2</c:v>
                </c:pt>
                <c:pt idx="389">
                  <c:v>7.9116394275462909E-2</c:v>
                </c:pt>
                <c:pt idx="390">
                  <c:v>7.9116394275462909E-2</c:v>
                </c:pt>
                <c:pt idx="391">
                  <c:v>7.9116394275462909E-2</c:v>
                </c:pt>
                <c:pt idx="392">
                  <c:v>7.9116394275462909E-2</c:v>
                </c:pt>
                <c:pt idx="393">
                  <c:v>7.9116394275462909E-2</c:v>
                </c:pt>
                <c:pt idx="394">
                  <c:v>7.9116394275462909E-2</c:v>
                </c:pt>
                <c:pt idx="395">
                  <c:v>7.9116394275462909E-2</c:v>
                </c:pt>
                <c:pt idx="396">
                  <c:v>7.9116394275462909E-2</c:v>
                </c:pt>
                <c:pt idx="397">
                  <c:v>7.9116394275462909E-2</c:v>
                </c:pt>
                <c:pt idx="398">
                  <c:v>7.9116394275462909E-2</c:v>
                </c:pt>
                <c:pt idx="399">
                  <c:v>7.9116394275462909E-2</c:v>
                </c:pt>
                <c:pt idx="400">
                  <c:v>7.9116394275462909E-2</c:v>
                </c:pt>
                <c:pt idx="401">
                  <c:v>7.9116394275462909E-2</c:v>
                </c:pt>
                <c:pt idx="402">
                  <c:v>7.9116394275462909E-2</c:v>
                </c:pt>
                <c:pt idx="403">
                  <c:v>7.9116394275462909E-2</c:v>
                </c:pt>
                <c:pt idx="404">
                  <c:v>7.9116394275462909E-2</c:v>
                </c:pt>
                <c:pt idx="405">
                  <c:v>7.9116394275462909E-2</c:v>
                </c:pt>
                <c:pt idx="406">
                  <c:v>7.9116394275462909E-2</c:v>
                </c:pt>
                <c:pt idx="407">
                  <c:v>7.9116394275462909E-2</c:v>
                </c:pt>
                <c:pt idx="408">
                  <c:v>7.9116394275462909E-2</c:v>
                </c:pt>
                <c:pt idx="409">
                  <c:v>7.9116394275462909E-2</c:v>
                </c:pt>
                <c:pt idx="410">
                  <c:v>7.9116394275462909E-2</c:v>
                </c:pt>
                <c:pt idx="411">
                  <c:v>7.9116394275462909E-2</c:v>
                </c:pt>
                <c:pt idx="412">
                  <c:v>7.9116394275462909E-2</c:v>
                </c:pt>
                <c:pt idx="413">
                  <c:v>7.9116394275462909E-2</c:v>
                </c:pt>
                <c:pt idx="414">
                  <c:v>7.9116394275462909E-2</c:v>
                </c:pt>
                <c:pt idx="415">
                  <c:v>7.9116394275462909E-2</c:v>
                </c:pt>
                <c:pt idx="416">
                  <c:v>7.9116394275462909E-2</c:v>
                </c:pt>
                <c:pt idx="417">
                  <c:v>7.9116394275462909E-2</c:v>
                </c:pt>
                <c:pt idx="418">
                  <c:v>7.9116394275462909E-2</c:v>
                </c:pt>
              </c:numCache>
            </c:numRef>
          </c:val>
          <c:smooth val="1"/>
          <c:extLst>
            <c:ext xmlns:c16="http://schemas.microsoft.com/office/drawing/2014/chart" uri="{C3380CC4-5D6E-409C-BE32-E72D297353CC}">
              <c16:uniqueId val="{00000001-CCEC-4BD8-9508-C56E4326B937}"/>
            </c:ext>
          </c:extLst>
        </c:ser>
        <c:ser>
          <c:idx val="2"/>
          <c:order val="3"/>
          <c:tx>
            <c:v>SW</c:v>
          </c:tx>
          <c:spPr>
            <a:ln w="28575" cap="rnd">
              <a:solidFill>
                <a:srgbClr val="0070C0"/>
              </a:solidFill>
              <a:prstDash val="solid"/>
              <a:round/>
            </a:ln>
            <a:effectLst/>
          </c:spPr>
          <c:marker>
            <c:symbol val="none"/>
          </c:marker>
          <c:val>
            <c:numRef>
              <c:f>'2025-Q2'!$EY$4:$EY$422</c:f>
              <c:numCache>
                <c:formatCode>0.00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1.367071968452185</c:v>
                </c:pt>
                <c:pt idx="77">
                  <c:v>1.367071968452185</c:v>
                </c:pt>
                <c:pt idx="78">
                  <c:v>1.367071968452185</c:v>
                </c:pt>
                <c:pt idx="79">
                  <c:v>1.367071968452185</c:v>
                </c:pt>
                <c:pt idx="80">
                  <c:v>1.367071968452185</c:v>
                </c:pt>
                <c:pt idx="81">
                  <c:v>1.367071968452185</c:v>
                </c:pt>
                <c:pt idx="82">
                  <c:v>1.367071968452185</c:v>
                </c:pt>
                <c:pt idx="83">
                  <c:v>1.367071968452185</c:v>
                </c:pt>
                <c:pt idx="84">
                  <c:v>1.367071968452185</c:v>
                </c:pt>
                <c:pt idx="85">
                  <c:v>1.367071968452185</c:v>
                </c:pt>
                <c:pt idx="86">
                  <c:v>1.367071968452185</c:v>
                </c:pt>
                <c:pt idx="87">
                  <c:v>1.367071968452185</c:v>
                </c:pt>
                <c:pt idx="88">
                  <c:v>1.367071968452185</c:v>
                </c:pt>
                <c:pt idx="89">
                  <c:v>1.367071968452185</c:v>
                </c:pt>
                <c:pt idx="90">
                  <c:v>1.367071968452185</c:v>
                </c:pt>
                <c:pt idx="91">
                  <c:v>1.367071968452185</c:v>
                </c:pt>
                <c:pt idx="92">
                  <c:v>1.367071968452185</c:v>
                </c:pt>
                <c:pt idx="93">
                  <c:v>1.367071968452185</c:v>
                </c:pt>
                <c:pt idx="94">
                  <c:v>1.367071968452185</c:v>
                </c:pt>
                <c:pt idx="95">
                  <c:v>1.367071968452185</c:v>
                </c:pt>
                <c:pt idx="96">
                  <c:v>1.367071968452185</c:v>
                </c:pt>
                <c:pt idx="97">
                  <c:v>1.367071968452185</c:v>
                </c:pt>
                <c:pt idx="98">
                  <c:v>1.367071968452185</c:v>
                </c:pt>
                <c:pt idx="99">
                  <c:v>1.367071968452185</c:v>
                </c:pt>
                <c:pt idx="100">
                  <c:v>1.367071968452185</c:v>
                </c:pt>
                <c:pt idx="101">
                  <c:v>1.367071968452185</c:v>
                </c:pt>
                <c:pt idx="102">
                  <c:v>1.367071968452185</c:v>
                </c:pt>
                <c:pt idx="103">
                  <c:v>1.367071968452185</c:v>
                </c:pt>
                <c:pt idx="104">
                  <c:v>1.367071968452185</c:v>
                </c:pt>
                <c:pt idx="105">
                  <c:v>1.367071968452185</c:v>
                </c:pt>
                <c:pt idx="106">
                  <c:v>1.367071968452185</c:v>
                </c:pt>
                <c:pt idx="107">
                  <c:v>2.0960106423519864E-3</c:v>
                </c:pt>
                <c:pt idx="108">
                  <c:v>2.0960106423519864E-3</c:v>
                </c:pt>
                <c:pt idx="109">
                  <c:v>2.0960106423519864E-3</c:v>
                </c:pt>
                <c:pt idx="110">
                  <c:v>2.0960106423519864E-3</c:v>
                </c:pt>
                <c:pt idx="111">
                  <c:v>2.0960106423519864E-3</c:v>
                </c:pt>
                <c:pt idx="112">
                  <c:v>2.0960106423519864E-3</c:v>
                </c:pt>
                <c:pt idx="113">
                  <c:v>2.0960106423519864E-3</c:v>
                </c:pt>
                <c:pt idx="114">
                  <c:v>2.0960106423519864E-3</c:v>
                </c:pt>
                <c:pt idx="115">
                  <c:v>2.0960106423519864E-3</c:v>
                </c:pt>
                <c:pt idx="116">
                  <c:v>2.0960106423519864E-3</c:v>
                </c:pt>
                <c:pt idx="117">
                  <c:v>2.0960106423519864E-3</c:v>
                </c:pt>
                <c:pt idx="118">
                  <c:v>2.0960106423519864E-3</c:v>
                </c:pt>
                <c:pt idx="119">
                  <c:v>2.0960106423519864E-3</c:v>
                </c:pt>
                <c:pt idx="120">
                  <c:v>2.0960106423519864E-3</c:v>
                </c:pt>
                <c:pt idx="121">
                  <c:v>2.0960106423519864E-3</c:v>
                </c:pt>
                <c:pt idx="122">
                  <c:v>2.0960106423519864E-3</c:v>
                </c:pt>
                <c:pt idx="123">
                  <c:v>2.0960106423519864E-3</c:v>
                </c:pt>
                <c:pt idx="124">
                  <c:v>2.0960106423519864E-3</c:v>
                </c:pt>
                <c:pt idx="125">
                  <c:v>0.22957553748493481</c:v>
                </c:pt>
                <c:pt idx="126">
                  <c:v>0.22957553748493481</c:v>
                </c:pt>
                <c:pt idx="127">
                  <c:v>0.22957553748493481</c:v>
                </c:pt>
                <c:pt idx="128">
                  <c:v>0.22957553748493481</c:v>
                </c:pt>
                <c:pt idx="129">
                  <c:v>0.22957553748493481</c:v>
                </c:pt>
                <c:pt idx="130">
                  <c:v>0.22957553748493481</c:v>
                </c:pt>
                <c:pt idx="131">
                  <c:v>0.22957553748493481</c:v>
                </c:pt>
                <c:pt idx="132">
                  <c:v>0.22957553748493481</c:v>
                </c:pt>
                <c:pt idx="133">
                  <c:v>0.22957553748493481</c:v>
                </c:pt>
                <c:pt idx="134">
                  <c:v>0.22957553748493481</c:v>
                </c:pt>
                <c:pt idx="135">
                  <c:v>0.22957553748493481</c:v>
                </c:pt>
                <c:pt idx="136">
                  <c:v>0.22957553748493481</c:v>
                </c:pt>
                <c:pt idx="137">
                  <c:v>0.22957553748493481</c:v>
                </c:pt>
                <c:pt idx="138">
                  <c:v>0.22957553748493481</c:v>
                </c:pt>
                <c:pt idx="139">
                  <c:v>0.22957553748493481</c:v>
                </c:pt>
                <c:pt idx="140">
                  <c:v>0.22957553748493481</c:v>
                </c:pt>
                <c:pt idx="141">
                  <c:v>0.22957553748493481</c:v>
                </c:pt>
                <c:pt idx="142">
                  <c:v>0.22957553748493481</c:v>
                </c:pt>
                <c:pt idx="143">
                  <c:v>0.22957553748493481</c:v>
                </c:pt>
                <c:pt idx="144">
                  <c:v>0.22957553748493481</c:v>
                </c:pt>
                <c:pt idx="145">
                  <c:v>0.22957553748493481</c:v>
                </c:pt>
                <c:pt idx="146">
                  <c:v>0.22957553748493481</c:v>
                </c:pt>
                <c:pt idx="147">
                  <c:v>0.22957553748493481</c:v>
                </c:pt>
                <c:pt idx="148">
                  <c:v>0.22957553748493481</c:v>
                </c:pt>
                <c:pt idx="149">
                  <c:v>0.22957553748493481</c:v>
                </c:pt>
                <c:pt idx="150">
                  <c:v>0.22957553748493481</c:v>
                </c:pt>
                <c:pt idx="151">
                  <c:v>0.22957553748493481</c:v>
                </c:pt>
                <c:pt idx="152">
                  <c:v>0.22957553748493481</c:v>
                </c:pt>
                <c:pt idx="153">
                  <c:v>0.22957553748493481</c:v>
                </c:pt>
                <c:pt idx="154">
                  <c:v>0.22957553748493481</c:v>
                </c:pt>
                <c:pt idx="155">
                  <c:v>0.22957553748493481</c:v>
                </c:pt>
                <c:pt idx="156">
                  <c:v>0.22957553748493481</c:v>
                </c:pt>
                <c:pt idx="157">
                  <c:v>0.22957553748493481</c:v>
                </c:pt>
                <c:pt idx="158">
                  <c:v>0.22957553748493481</c:v>
                </c:pt>
                <c:pt idx="159">
                  <c:v>0.22957553748493481</c:v>
                </c:pt>
                <c:pt idx="160">
                  <c:v>0.22957553748493481</c:v>
                </c:pt>
                <c:pt idx="161">
                  <c:v>0.22957553748493481</c:v>
                </c:pt>
                <c:pt idx="162">
                  <c:v>0.22957553748493481</c:v>
                </c:pt>
                <c:pt idx="163">
                  <c:v>0.22957553748493481</c:v>
                </c:pt>
                <c:pt idx="164">
                  <c:v>0.22957553748493481</c:v>
                </c:pt>
                <c:pt idx="165">
                  <c:v>0.22957553748493481</c:v>
                </c:pt>
                <c:pt idx="166">
                  <c:v>0.22957553748493481</c:v>
                </c:pt>
                <c:pt idx="167">
                  <c:v>0.22957553748493481</c:v>
                </c:pt>
                <c:pt idx="168">
                  <c:v>0.22957553748493481</c:v>
                </c:pt>
                <c:pt idx="169">
                  <c:v>0.22957553748493481</c:v>
                </c:pt>
                <c:pt idx="170">
                  <c:v>0.22957553748493481</c:v>
                </c:pt>
                <c:pt idx="171">
                  <c:v>0.22957553748493481</c:v>
                </c:pt>
                <c:pt idx="172">
                  <c:v>0.22957553748493481</c:v>
                </c:pt>
                <c:pt idx="173">
                  <c:v>0.22957553748493481</c:v>
                </c:pt>
                <c:pt idx="174">
                  <c:v>0.22957553748493481</c:v>
                </c:pt>
                <c:pt idx="175">
                  <c:v>0.22957553748493481</c:v>
                </c:pt>
                <c:pt idx="176">
                  <c:v>0.22957553748493481</c:v>
                </c:pt>
                <c:pt idx="177">
                  <c:v>0.22957553748493481</c:v>
                </c:pt>
                <c:pt idx="178">
                  <c:v>0.22957553748493481</c:v>
                </c:pt>
                <c:pt idx="179">
                  <c:v>0.22957553748493481</c:v>
                </c:pt>
                <c:pt idx="180">
                  <c:v>0.22957553748493481</c:v>
                </c:pt>
                <c:pt idx="181">
                  <c:v>0.22957553748493481</c:v>
                </c:pt>
                <c:pt idx="182">
                  <c:v>0.22957553748493481</c:v>
                </c:pt>
                <c:pt idx="183">
                  <c:v>0.22957553748493481</c:v>
                </c:pt>
                <c:pt idx="184">
                  <c:v>0.22957553748493481</c:v>
                </c:pt>
                <c:pt idx="185">
                  <c:v>0.22957553748493481</c:v>
                </c:pt>
                <c:pt idx="186">
                  <c:v>0.22957553748493481</c:v>
                </c:pt>
                <c:pt idx="187">
                  <c:v>0.22957553748493481</c:v>
                </c:pt>
                <c:pt idx="188">
                  <c:v>0.22957553748493481</c:v>
                </c:pt>
                <c:pt idx="189">
                  <c:v>0.22957553748493481</c:v>
                </c:pt>
                <c:pt idx="190">
                  <c:v>0.22957553748493481</c:v>
                </c:pt>
                <c:pt idx="191">
                  <c:v>0.22957553748493481</c:v>
                </c:pt>
                <c:pt idx="192">
                  <c:v>-9.038537462898949E-2</c:v>
                </c:pt>
                <c:pt idx="193">
                  <c:v>-9.038537462898949E-2</c:v>
                </c:pt>
                <c:pt idx="194">
                  <c:v>-9.038537462898949E-2</c:v>
                </c:pt>
                <c:pt idx="195">
                  <c:v>-9.038537462898949E-2</c:v>
                </c:pt>
                <c:pt idx="196">
                  <c:v>-9.038537462898949E-2</c:v>
                </c:pt>
                <c:pt idx="197">
                  <c:v>-9.038537462898949E-2</c:v>
                </c:pt>
                <c:pt idx="198">
                  <c:v>-9.038537462898949E-2</c:v>
                </c:pt>
                <c:pt idx="199">
                  <c:v>-9.038537462898949E-2</c:v>
                </c:pt>
                <c:pt idx="200">
                  <c:v>-9.038537462898949E-2</c:v>
                </c:pt>
                <c:pt idx="201">
                  <c:v>-9.038537462898949E-2</c:v>
                </c:pt>
                <c:pt idx="202">
                  <c:v>-9.038537462898949E-2</c:v>
                </c:pt>
                <c:pt idx="203">
                  <c:v>-9.038537462898949E-2</c:v>
                </c:pt>
                <c:pt idx="204">
                  <c:v>-9.038537462898949E-2</c:v>
                </c:pt>
                <c:pt idx="205">
                  <c:v>-9.038537462898949E-2</c:v>
                </c:pt>
                <c:pt idx="206">
                  <c:v>-9.038537462898949E-2</c:v>
                </c:pt>
                <c:pt idx="207">
                  <c:v>-9.038537462898949E-2</c:v>
                </c:pt>
                <c:pt idx="208">
                  <c:v>-9.038537462898949E-2</c:v>
                </c:pt>
                <c:pt idx="209">
                  <c:v>-9.038537462898949E-2</c:v>
                </c:pt>
                <c:pt idx="210">
                  <c:v>-9.038537462898949E-2</c:v>
                </c:pt>
                <c:pt idx="211">
                  <c:v>-9.038537462898949E-2</c:v>
                </c:pt>
                <c:pt idx="212">
                  <c:v>-9.038537462898949E-2</c:v>
                </c:pt>
                <c:pt idx="213">
                  <c:v>-9.038537462898949E-2</c:v>
                </c:pt>
                <c:pt idx="214">
                  <c:v>-9.038537462898949E-2</c:v>
                </c:pt>
                <c:pt idx="215">
                  <c:v>-9.038537462898949E-2</c:v>
                </c:pt>
                <c:pt idx="216">
                  <c:v>-9.038537462898949E-2</c:v>
                </c:pt>
                <c:pt idx="217">
                  <c:v>-9.038537462898949E-2</c:v>
                </c:pt>
                <c:pt idx="218">
                  <c:v>-9.038537462898949E-2</c:v>
                </c:pt>
                <c:pt idx="219">
                  <c:v>-9.038537462898949E-2</c:v>
                </c:pt>
                <c:pt idx="220">
                  <c:v>-9.038537462898949E-2</c:v>
                </c:pt>
                <c:pt idx="221">
                  <c:v>-9.038537462898949E-2</c:v>
                </c:pt>
                <c:pt idx="222">
                  <c:v>-9.038537462898949E-2</c:v>
                </c:pt>
                <c:pt idx="223">
                  <c:v>-9.038537462898949E-2</c:v>
                </c:pt>
                <c:pt idx="224">
                  <c:v>0.27113250180669229</c:v>
                </c:pt>
                <c:pt idx="225">
                  <c:v>0.27113250180669229</c:v>
                </c:pt>
                <c:pt idx="226">
                  <c:v>0.27113250180669229</c:v>
                </c:pt>
                <c:pt idx="227">
                  <c:v>0.27113250180669229</c:v>
                </c:pt>
                <c:pt idx="228">
                  <c:v>0.27113250180669229</c:v>
                </c:pt>
                <c:pt idx="229">
                  <c:v>0.27113250180669229</c:v>
                </c:pt>
                <c:pt idx="230">
                  <c:v>0.27113250180669229</c:v>
                </c:pt>
                <c:pt idx="231">
                  <c:v>0.27113250180669229</c:v>
                </c:pt>
                <c:pt idx="232">
                  <c:v>0.27113250180669229</c:v>
                </c:pt>
                <c:pt idx="233">
                  <c:v>0.27113250180669229</c:v>
                </c:pt>
                <c:pt idx="234">
                  <c:v>0.27113250180669229</c:v>
                </c:pt>
                <c:pt idx="235">
                  <c:v>0.27113250180669229</c:v>
                </c:pt>
                <c:pt idx="236">
                  <c:v>0.27113250180669229</c:v>
                </c:pt>
                <c:pt idx="237">
                  <c:v>0.27113250180669229</c:v>
                </c:pt>
                <c:pt idx="238">
                  <c:v>0.27113250180669229</c:v>
                </c:pt>
                <c:pt idx="239">
                  <c:v>0.27113250180669229</c:v>
                </c:pt>
                <c:pt idx="240">
                  <c:v>0.27113250180669229</c:v>
                </c:pt>
                <c:pt idx="241">
                  <c:v>0.27113250180669229</c:v>
                </c:pt>
                <c:pt idx="242">
                  <c:v>0.27113250180669229</c:v>
                </c:pt>
                <c:pt idx="243">
                  <c:v>0.27113250180669229</c:v>
                </c:pt>
                <c:pt idx="244">
                  <c:v>0.27113250180669229</c:v>
                </c:pt>
                <c:pt idx="245">
                  <c:v>0.27113250180669229</c:v>
                </c:pt>
                <c:pt idx="246">
                  <c:v>0.27113250180669229</c:v>
                </c:pt>
                <c:pt idx="247">
                  <c:v>0.27113250180669229</c:v>
                </c:pt>
                <c:pt idx="248">
                  <c:v>0.27113250180669229</c:v>
                </c:pt>
                <c:pt idx="249">
                  <c:v>0.27113250180669229</c:v>
                </c:pt>
                <c:pt idx="250">
                  <c:v>0.27113250180669229</c:v>
                </c:pt>
                <c:pt idx="251">
                  <c:v>0.27113250180669229</c:v>
                </c:pt>
                <c:pt idx="252">
                  <c:v>0.27113250180669229</c:v>
                </c:pt>
                <c:pt idx="253">
                  <c:v>0.27113250180669229</c:v>
                </c:pt>
                <c:pt idx="254">
                  <c:v>0.27113250180669229</c:v>
                </c:pt>
                <c:pt idx="255">
                  <c:v>0.27113250180669229</c:v>
                </c:pt>
                <c:pt idx="256">
                  <c:v>0.27113250180669229</c:v>
                </c:pt>
                <c:pt idx="257">
                  <c:v>0.27113250180669229</c:v>
                </c:pt>
                <c:pt idx="258">
                  <c:v>0.27113250180669229</c:v>
                </c:pt>
                <c:pt idx="259">
                  <c:v>0.27113250180669229</c:v>
                </c:pt>
                <c:pt idx="260">
                  <c:v>0.27113250180669229</c:v>
                </c:pt>
                <c:pt idx="261">
                  <c:v>0.27113250180669229</c:v>
                </c:pt>
                <c:pt idx="262">
                  <c:v>0.27113250180669229</c:v>
                </c:pt>
                <c:pt idx="263">
                  <c:v>0.27113250180669229</c:v>
                </c:pt>
                <c:pt idx="264">
                  <c:v>0.27113250180669229</c:v>
                </c:pt>
                <c:pt idx="265">
                  <c:v>0.27113250180669229</c:v>
                </c:pt>
                <c:pt idx="266">
                  <c:v>0.27113250180669229</c:v>
                </c:pt>
                <c:pt idx="267">
                  <c:v>0.27113250180669229</c:v>
                </c:pt>
                <c:pt idx="268">
                  <c:v>0.27113250180669229</c:v>
                </c:pt>
                <c:pt idx="269">
                  <c:v>0.27113250180669229</c:v>
                </c:pt>
                <c:pt idx="270">
                  <c:v>0.27113250180669229</c:v>
                </c:pt>
                <c:pt idx="271">
                  <c:v>0.27113250180669229</c:v>
                </c:pt>
                <c:pt idx="272">
                  <c:v>0.27113250180669229</c:v>
                </c:pt>
                <c:pt idx="273">
                  <c:v>0.27113250180669229</c:v>
                </c:pt>
                <c:pt idx="274">
                  <c:v>0.27113250180669229</c:v>
                </c:pt>
                <c:pt idx="275">
                  <c:v>0.27113250180669229</c:v>
                </c:pt>
                <c:pt idx="276">
                  <c:v>0.27113250180669229</c:v>
                </c:pt>
                <c:pt idx="277">
                  <c:v>0.27113250180669229</c:v>
                </c:pt>
                <c:pt idx="278">
                  <c:v>0.27113250180669229</c:v>
                </c:pt>
                <c:pt idx="279">
                  <c:v>0.27113250180669229</c:v>
                </c:pt>
                <c:pt idx="280">
                  <c:v>0.27113250180669229</c:v>
                </c:pt>
                <c:pt idx="281">
                  <c:v>0.27113250180669229</c:v>
                </c:pt>
                <c:pt idx="282">
                  <c:v>0.27113250180669229</c:v>
                </c:pt>
                <c:pt idx="283">
                  <c:v>0.27113250180669229</c:v>
                </c:pt>
                <c:pt idx="284">
                  <c:v>0.27113250180669229</c:v>
                </c:pt>
                <c:pt idx="285">
                  <c:v>0.27113250180669229</c:v>
                </c:pt>
                <c:pt idx="286">
                  <c:v>0.27113250180669229</c:v>
                </c:pt>
                <c:pt idx="287">
                  <c:v>0.27113250180669229</c:v>
                </c:pt>
                <c:pt idx="288">
                  <c:v>0.27113250180669229</c:v>
                </c:pt>
                <c:pt idx="289">
                  <c:v>0.27113250180669229</c:v>
                </c:pt>
                <c:pt idx="290">
                  <c:v>0.27113250180669229</c:v>
                </c:pt>
                <c:pt idx="291">
                  <c:v>0.27113250180669229</c:v>
                </c:pt>
                <c:pt idx="292">
                  <c:v>0.27113250180669229</c:v>
                </c:pt>
                <c:pt idx="293">
                  <c:v>0.27113250180669229</c:v>
                </c:pt>
                <c:pt idx="294">
                  <c:v>0.27113250180669229</c:v>
                </c:pt>
                <c:pt idx="295">
                  <c:v>0.27113250180669229</c:v>
                </c:pt>
                <c:pt idx="296">
                  <c:v>0.27113250180669229</c:v>
                </c:pt>
                <c:pt idx="297">
                  <c:v>0.27113250180669229</c:v>
                </c:pt>
                <c:pt idx="298">
                  <c:v>0.27113250180669229</c:v>
                </c:pt>
                <c:pt idx="299">
                  <c:v>0.27113250180669229</c:v>
                </c:pt>
                <c:pt idx="300">
                  <c:v>0.27113250180669229</c:v>
                </c:pt>
                <c:pt idx="301">
                  <c:v>0.27113250180669229</c:v>
                </c:pt>
                <c:pt idx="302">
                  <c:v>0.27113250180669229</c:v>
                </c:pt>
                <c:pt idx="303">
                  <c:v>0.27113250180669229</c:v>
                </c:pt>
                <c:pt idx="304">
                  <c:v>0.27113250180669229</c:v>
                </c:pt>
                <c:pt idx="305">
                  <c:v>0.27113250180669229</c:v>
                </c:pt>
                <c:pt idx="306">
                  <c:v>0.27113250180669229</c:v>
                </c:pt>
                <c:pt idx="307">
                  <c:v>0.27113250180669229</c:v>
                </c:pt>
                <c:pt idx="308">
                  <c:v>0.27113250180669229</c:v>
                </c:pt>
                <c:pt idx="309">
                  <c:v>0.27113250180669229</c:v>
                </c:pt>
                <c:pt idx="310">
                  <c:v>0.27113250180669229</c:v>
                </c:pt>
                <c:pt idx="311">
                  <c:v>0.27113250180669229</c:v>
                </c:pt>
                <c:pt idx="312">
                  <c:v>0.27113250180669229</c:v>
                </c:pt>
                <c:pt idx="313">
                  <c:v>0.27113250180669229</c:v>
                </c:pt>
                <c:pt idx="314">
                  <c:v>0.27113250180669229</c:v>
                </c:pt>
                <c:pt idx="315">
                  <c:v>0.27113250180669229</c:v>
                </c:pt>
                <c:pt idx="316">
                  <c:v>0.27113250180669229</c:v>
                </c:pt>
                <c:pt idx="317">
                  <c:v>0.27113250180669229</c:v>
                </c:pt>
                <c:pt idx="318">
                  <c:v>0.27113250180669229</c:v>
                </c:pt>
                <c:pt idx="319">
                  <c:v>0.27113250180669229</c:v>
                </c:pt>
                <c:pt idx="320">
                  <c:v>0.27113250180669229</c:v>
                </c:pt>
                <c:pt idx="321">
                  <c:v>0.27113250180669229</c:v>
                </c:pt>
                <c:pt idx="322">
                  <c:v>0.27113250180669229</c:v>
                </c:pt>
                <c:pt idx="323">
                  <c:v>0.27113250180669229</c:v>
                </c:pt>
                <c:pt idx="324">
                  <c:v>0.27113250180669229</c:v>
                </c:pt>
                <c:pt idx="325">
                  <c:v>0.27113250180669229</c:v>
                </c:pt>
                <c:pt idx="326">
                  <c:v>0.27113250180669229</c:v>
                </c:pt>
                <c:pt idx="327">
                  <c:v>0.27113250180669229</c:v>
                </c:pt>
                <c:pt idx="328">
                  <c:v>0.27113250180669229</c:v>
                </c:pt>
                <c:pt idx="329">
                  <c:v>0.27113250180669229</c:v>
                </c:pt>
                <c:pt idx="330">
                  <c:v>0.27113250180669229</c:v>
                </c:pt>
                <c:pt idx="331">
                  <c:v>0.27113250180669229</c:v>
                </c:pt>
                <c:pt idx="332">
                  <c:v>0.27113250180669229</c:v>
                </c:pt>
                <c:pt idx="333">
                  <c:v>0.27113250180669229</c:v>
                </c:pt>
                <c:pt idx="334">
                  <c:v>0.27113250180669229</c:v>
                </c:pt>
                <c:pt idx="335">
                  <c:v>0.27113250180669229</c:v>
                </c:pt>
                <c:pt idx="336">
                  <c:v>0.27113250180669229</c:v>
                </c:pt>
                <c:pt idx="337">
                  <c:v>0.27113250180669229</c:v>
                </c:pt>
                <c:pt idx="338">
                  <c:v>0.27113250180669229</c:v>
                </c:pt>
                <c:pt idx="339">
                  <c:v>-0.33163335417804801</c:v>
                </c:pt>
                <c:pt idx="340">
                  <c:v>-0.33163335417804801</c:v>
                </c:pt>
                <c:pt idx="341">
                  <c:v>-0.33163335417804801</c:v>
                </c:pt>
                <c:pt idx="342">
                  <c:v>-0.33163335417804801</c:v>
                </c:pt>
                <c:pt idx="343">
                  <c:v>-0.33163335417804801</c:v>
                </c:pt>
                <c:pt idx="344">
                  <c:v>-0.33163335417804801</c:v>
                </c:pt>
                <c:pt idx="345">
                  <c:v>-0.33163335417804801</c:v>
                </c:pt>
                <c:pt idx="346">
                  <c:v>-0.33163335417804801</c:v>
                </c:pt>
                <c:pt idx="347">
                  <c:v>-0.33163335417804801</c:v>
                </c:pt>
                <c:pt idx="348">
                  <c:v>-0.33163335417804801</c:v>
                </c:pt>
                <c:pt idx="349">
                  <c:v>-0.33163335417804801</c:v>
                </c:pt>
                <c:pt idx="350">
                  <c:v>-0.33163335417804801</c:v>
                </c:pt>
                <c:pt idx="351">
                  <c:v>-0.33163335417804801</c:v>
                </c:pt>
                <c:pt idx="352">
                  <c:v>-0.38863392418374743</c:v>
                </c:pt>
                <c:pt idx="353">
                  <c:v>-0.38863392418374743</c:v>
                </c:pt>
                <c:pt idx="354">
                  <c:v>-0.38863392418374743</c:v>
                </c:pt>
                <c:pt idx="355">
                  <c:v>-0.38863392418374743</c:v>
                </c:pt>
                <c:pt idx="356">
                  <c:v>-0.38863392418374743</c:v>
                </c:pt>
                <c:pt idx="357">
                  <c:v>-0.38863392418374743</c:v>
                </c:pt>
                <c:pt idx="358">
                  <c:v>-0.38863392418374743</c:v>
                </c:pt>
                <c:pt idx="359">
                  <c:v>-0.38863392418374743</c:v>
                </c:pt>
                <c:pt idx="360">
                  <c:v>-0.38863392418374743</c:v>
                </c:pt>
                <c:pt idx="361">
                  <c:v>-0.38863392418374743</c:v>
                </c:pt>
                <c:pt idx="362">
                  <c:v>-0.38863392418374743</c:v>
                </c:pt>
                <c:pt idx="363">
                  <c:v>-0.38863392418374743</c:v>
                </c:pt>
                <c:pt idx="364">
                  <c:v>-0.6722852908676058</c:v>
                </c:pt>
                <c:pt idx="365">
                  <c:v>-0.6722852908676058</c:v>
                </c:pt>
                <c:pt idx="366">
                  <c:v>-0.6722852908676058</c:v>
                </c:pt>
                <c:pt idx="367">
                  <c:v>-0.6722852908676058</c:v>
                </c:pt>
                <c:pt idx="368">
                  <c:v>-0.6722852908676058</c:v>
                </c:pt>
                <c:pt idx="369">
                  <c:v>-0.29132673137391618</c:v>
                </c:pt>
                <c:pt idx="370">
                  <c:v>-0.29132673137391618</c:v>
                </c:pt>
                <c:pt idx="371">
                  <c:v>0.62848633887309935</c:v>
                </c:pt>
                <c:pt idx="372">
                  <c:v>0.62848633887309935</c:v>
                </c:pt>
                <c:pt idx="373">
                  <c:v>0.62848633887309935</c:v>
                </c:pt>
                <c:pt idx="374">
                  <c:v>0.62848633887309935</c:v>
                </c:pt>
                <c:pt idx="375">
                  <c:v>0.62848633887309935</c:v>
                </c:pt>
                <c:pt idx="376">
                  <c:v>0.62848633887309935</c:v>
                </c:pt>
                <c:pt idx="377">
                  <c:v>0.62848633887309935</c:v>
                </c:pt>
                <c:pt idx="378">
                  <c:v>0.62848633887309935</c:v>
                </c:pt>
                <c:pt idx="379">
                  <c:v>0.62848633887309935</c:v>
                </c:pt>
                <c:pt idx="380">
                  <c:v>0.62848633887309935</c:v>
                </c:pt>
                <c:pt idx="381">
                  <c:v>0.62848633887309935</c:v>
                </c:pt>
                <c:pt idx="382">
                  <c:v>0.62848633887309935</c:v>
                </c:pt>
                <c:pt idx="383">
                  <c:v>0.62848633887309935</c:v>
                </c:pt>
                <c:pt idx="384">
                  <c:v>0.62848633887309935</c:v>
                </c:pt>
                <c:pt idx="385">
                  <c:v>0.62848633887309935</c:v>
                </c:pt>
                <c:pt idx="386">
                  <c:v>0.62848633887309935</c:v>
                </c:pt>
                <c:pt idx="387">
                  <c:v>0.62848633887309935</c:v>
                </c:pt>
                <c:pt idx="388">
                  <c:v>0.62848633887309935</c:v>
                </c:pt>
                <c:pt idx="389">
                  <c:v>0.62848633887309935</c:v>
                </c:pt>
                <c:pt idx="390">
                  <c:v>0.62848633887309935</c:v>
                </c:pt>
                <c:pt idx="391">
                  <c:v>0.62848633887309935</c:v>
                </c:pt>
                <c:pt idx="392">
                  <c:v>0.62848633887309935</c:v>
                </c:pt>
                <c:pt idx="393">
                  <c:v>0.62848633887309935</c:v>
                </c:pt>
                <c:pt idx="394">
                  <c:v>0.62848633887309935</c:v>
                </c:pt>
                <c:pt idx="395">
                  <c:v>0.62848633887309935</c:v>
                </c:pt>
                <c:pt idx="396">
                  <c:v>0.62848633887309935</c:v>
                </c:pt>
                <c:pt idx="397">
                  <c:v>0.62848633887309935</c:v>
                </c:pt>
                <c:pt idx="398">
                  <c:v>0.62848633887309935</c:v>
                </c:pt>
                <c:pt idx="399">
                  <c:v>0.62848633887309935</c:v>
                </c:pt>
                <c:pt idx="400">
                  <c:v>0.62848633887309935</c:v>
                </c:pt>
                <c:pt idx="401">
                  <c:v>0.62848633887309935</c:v>
                </c:pt>
                <c:pt idx="402">
                  <c:v>0.62848633887309935</c:v>
                </c:pt>
                <c:pt idx="403">
                  <c:v>0.62848633887309935</c:v>
                </c:pt>
                <c:pt idx="404">
                  <c:v>0.62848633887309935</c:v>
                </c:pt>
                <c:pt idx="405">
                  <c:v>0.62848633887309935</c:v>
                </c:pt>
                <c:pt idx="406">
                  <c:v>0.62848633887309935</c:v>
                </c:pt>
                <c:pt idx="407">
                  <c:v>0.62848633887309935</c:v>
                </c:pt>
                <c:pt idx="408">
                  <c:v>0.62848633887309935</c:v>
                </c:pt>
                <c:pt idx="409">
                  <c:v>0.62848633887309935</c:v>
                </c:pt>
                <c:pt idx="410">
                  <c:v>0.62848633887309935</c:v>
                </c:pt>
                <c:pt idx="411">
                  <c:v>0.62848633887309935</c:v>
                </c:pt>
                <c:pt idx="412">
                  <c:v>0.62848633887309935</c:v>
                </c:pt>
                <c:pt idx="413">
                  <c:v>0.62848633887309935</c:v>
                </c:pt>
                <c:pt idx="414">
                  <c:v>0.62848633887309935</c:v>
                </c:pt>
                <c:pt idx="415">
                  <c:v>0.62848633887309935</c:v>
                </c:pt>
                <c:pt idx="416">
                  <c:v>0.62848633887309935</c:v>
                </c:pt>
                <c:pt idx="417">
                  <c:v>0.62848633887309935</c:v>
                </c:pt>
                <c:pt idx="418">
                  <c:v>0.62848633887309935</c:v>
                </c:pt>
              </c:numCache>
            </c:numRef>
          </c:val>
          <c:smooth val="1"/>
          <c:extLst>
            <c:ext xmlns:c16="http://schemas.microsoft.com/office/drawing/2014/chart" uri="{C3380CC4-5D6E-409C-BE32-E72D297353CC}">
              <c16:uniqueId val="{00000002-CCEC-4BD8-9508-C56E4326B937}"/>
            </c:ext>
          </c:extLst>
        </c:ser>
        <c:ser>
          <c:idx val="3"/>
          <c:order val="5"/>
          <c:tx>
            <c:v>All Three</c:v>
          </c:tx>
          <c:spPr>
            <a:ln w="38100" cap="rnd">
              <a:solidFill>
                <a:sysClr val="windowText" lastClr="000000"/>
              </a:solidFill>
              <a:round/>
            </a:ln>
            <a:effectLst/>
          </c:spPr>
          <c:marker>
            <c:symbol val="none"/>
          </c:marker>
          <c:val>
            <c:numRef>
              <c:f>'2025-Q2'!$EZ$4:$EZ$422</c:f>
              <c:numCache>
                <c:formatCode>0.00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1.367071968452185</c:v>
                </c:pt>
                <c:pt idx="77">
                  <c:v>1.367071968452185</c:v>
                </c:pt>
                <c:pt idx="78">
                  <c:v>1.367071968452185</c:v>
                </c:pt>
                <c:pt idx="79">
                  <c:v>1.367071968452185</c:v>
                </c:pt>
                <c:pt idx="80">
                  <c:v>1.367071968452185</c:v>
                </c:pt>
                <c:pt idx="81">
                  <c:v>1.367071968452185</c:v>
                </c:pt>
                <c:pt idx="82">
                  <c:v>0.63276955574425819</c:v>
                </c:pt>
                <c:pt idx="83">
                  <c:v>0.63276955574425819</c:v>
                </c:pt>
                <c:pt idx="84">
                  <c:v>0.63276955574425819</c:v>
                </c:pt>
                <c:pt idx="85">
                  <c:v>0.63276955574425819</c:v>
                </c:pt>
                <c:pt idx="86">
                  <c:v>0.63276955574425819</c:v>
                </c:pt>
                <c:pt idx="87">
                  <c:v>0.63276955574425819</c:v>
                </c:pt>
                <c:pt idx="88">
                  <c:v>0.63276955574425819</c:v>
                </c:pt>
                <c:pt idx="89">
                  <c:v>0.63276955574425819</c:v>
                </c:pt>
                <c:pt idx="90">
                  <c:v>0.63276955574425819</c:v>
                </c:pt>
                <c:pt idx="91">
                  <c:v>0.63276955574425819</c:v>
                </c:pt>
                <c:pt idx="92">
                  <c:v>0.63276955574425819</c:v>
                </c:pt>
                <c:pt idx="93">
                  <c:v>0.63276955574425819</c:v>
                </c:pt>
                <c:pt idx="94">
                  <c:v>0.63276955574425819</c:v>
                </c:pt>
                <c:pt idx="95">
                  <c:v>0.63276955574425819</c:v>
                </c:pt>
                <c:pt idx="96">
                  <c:v>0.63276955574425819</c:v>
                </c:pt>
                <c:pt idx="97">
                  <c:v>0.63276955574425819</c:v>
                </c:pt>
                <c:pt idx="98">
                  <c:v>0.63276955574425819</c:v>
                </c:pt>
                <c:pt idx="99">
                  <c:v>0.63276955574425819</c:v>
                </c:pt>
                <c:pt idx="100">
                  <c:v>0.63276955574425819</c:v>
                </c:pt>
                <c:pt idx="101">
                  <c:v>0.63276955574425819</c:v>
                </c:pt>
                <c:pt idx="102">
                  <c:v>0.63276955574425819</c:v>
                </c:pt>
                <c:pt idx="103">
                  <c:v>0.63276955574425819</c:v>
                </c:pt>
                <c:pt idx="104">
                  <c:v>0.63276955574425819</c:v>
                </c:pt>
                <c:pt idx="105">
                  <c:v>0.63276955574425819</c:v>
                </c:pt>
                <c:pt idx="106">
                  <c:v>0.63276955574425819</c:v>
                </c:pt>
                <c:pt idx="107">
                  <c:v>-0.73220640206557486</c:v>
                </c:pt>
                <c:pt idx="108">
                  <c:v>-0.73220640206557486</c:v>
                </c:pt>
                <c:pt idx="109">
                  <c:v>-0.73220640206557486</c:v>
                </c:pt>
                <c:pt idx="110">
                  <c:v>-0.73220640206557486</c:v>
                </c:pt>
                <c:pt idx="111">
                  <c:v>-0.73220640206557486</c:v>
                </c:pt>
                <c:pt idx="112">
                  <c:v>-0.73220640206557486</c:v>
                </c:pt>
                <c:pt idx="113">
                  <c:v>-0.73220640206557486</c:v>
                </c:pt>
                <c:pt idx="114">
                  <c:v>-0.73220640206557486</c:v>
                </c:pt>
                <c:pt idx="115">
                  <c:v>-0.73220640206557486</c:v>
                </c:pt>
                <c:pt idx="116">
                  <c:v>-0.73220640206557486</c:v>
                </c:pt>
                <c:pt idx="117">
                  <c:v>-0.34390322188422467</c:v>
                </c:pt>
                <c:pt idx="118">
                  <c:v>-0.34390322188422467</c:v>
                </c:pt>
                <c:pt idx="119">
                  <c:v>-0.34390322188422467</c:v>
                </c:pt>
                <c:pt idx="120">
                  <c:v>-0.34390322188422467</c:v>
                </c:pt>
                <c:pt idx="121">
                  <c:v>-0.34390322188422467</c:v>
                </c:pt>
                <c:pt idx="122">
                  <c:v>-0.34390322188422467</c:v>
                </c:pt>
                <c:pt idx="123">
                  <c:v>-0.34390322188422467</c:v>
                </c:pt>
                <c:pt idx="124">
                  <c:v>0.90669128823943534</c:v>
                </c:pt>
                <c:pt idx="125">
                  <c:v>1.134170815082018</c:v>
                </c:pt>
                <c:pt idx="126">
                  <c:v>1.134170815082018</c:v>
                </c:pt>
                <c:pt idx="127">
                  <c:v>1.134170815082018</c:v>
                </c:pt>
                <c:pt idx="128">
                  <c:v>1.134170815082018</c:v>
                </c:pt>
                <c:pt idx="129">
                  <c:v>1.134170815082018</c:v>
                </c:pt>
                <c:pt idx="130">
                  <c:v>1.134170815082018</c:v>
                </c:pt>
                <c:pt idx="131">
                  <c:v>1.134170815082018</c:v>
                </c:pt>
                <c:pt idx="132">
                  <c:v>1.134170815082018</c:v>
                </c:pt>
                <c:pt idx="133">
                  <c:v>1.134170815082018</c:v>
                </c:pt>
                <c:pt idx="134">
                  <c:v>1.134170815082018</c:v>
                </c:pt>
                <c:pt idx="135">
                  <c:v>1.134170815082018</c:v>
                </c:pt>
                <c:pt idx="136">
                  <c:v>1.134170815082018</c:v>
                </c:pt>
                <c:pt idx="137">
                  <c:v>1.134170815082018</c:v>
                </c:pt>
                <c:pt idx="138">
                  <c:v>1.134170815082018</c:v>
                </c:pt>
                <c:pt idx="139">
                  <c:v>1.134170815082018</c:v>
                </c:pt>
                <c:pt idx="140">
                  <c:v>1.134170815082018</c:v>
                </c:pt>
                <c:pt idx="141">
                  <c:v>1.134170815082018</c:v>
                </c:pt>
                <c:pt idx="142">
                  <c:v>1.134170815082018</c:v>
                </c:pt>
                <c:pt idx="143">
                  <c:v>1.134170815082018</c:v>
                </c:pt>
                <c:pt idx="144">
                  <c:v>1.134170815082018</c:v>
                </c:pt>
                <c:pt idx="145">
                  <c:v>1.134170815082018</c:v>
                </c:pt>
                <c:pt idx="146">
                  <c:v>1.134170815082018</c:v>
                </c:pt>
                <c:pt idx="147">
                  <c:v>1.134170815082018</c:v>
                </c:pt>
                <c:pt idx="148">
                  <c:v>1.134170815082018</c:v>
                </c:pt>
                <c:pt idx="149">
                  <c:v>1.134170815082018</c:v>
                </c:pt>
                <c:pt idx="150">
                  <c:v>1.134170815082018</c:v>
                </c:pt>
                <c:pt idx="151">
                  <c:v>1.134170815082018</c:v>
                </c:pt>
                <c:pt idx="152">
                  <c:v>1.134170815082018</c:v>
                </c:pt>
                <c:pt idx="153">
                  <c:v>1.134170815082018</c:v>
                </c:pt>
                <c:pt idx="154">
                  <c:v>1.134170815082018</c:v>
                </c:pt>
                <c:pt idx="155">
                  <c:v>1.134170815082018</c:v>
                </c:pt>
                <c:pt idx="156">
                  <c:v>1.134170815082018</c:v>
                </c:pt>
                <c:pt idx="157">
                  <c:v>1.134170815082018</c:v>
                </c:pt>
                <c:pt idx="158">
                  <c:v>1.134170815082018</c:v>
                </c:pt>
                <c:pt idx="159">
                  <c:v>1.134170815082018</c:v>
                </c:pt>
                <c:pt idx="160">
                  <c:v>1.134170815082018</c:v>
                </c:pt>
                <c:pt idx="161">
                  <c:v>1.134170815082018</c:v>
                </c:pt>
                <c:pt idx="162">
                  <c:v>1.134170815082018</c:v>
                </c:pt>
                <c:pt idx="163">
                  <c:v>1.134170815082018</c:v>
                </c:pt>
                <c:pt idx="164">
                  <c:v>1.134170815082018</c:v>
                </c:pt>
                <c:pt idx="165">
                  <c:v>1.134170815082018</c:v>
                </c:pt>
                <c:pt idx="166">
                  <c:v>1.134170815082018</c:v>
                </c:pt>
                <c:pt idx="167">
                  <c:v>1.134170815082018</c:v>
                </c:pt>
                <c:pt idx="168">
                  <c:v>1.134170815082018</c:v>
                </c:pt>
                <c:pt idx="169">
                  <c:v>1.134170815082018</c:v>
                </c:pt>
                <c:pt idx="170">
                  <c:v>1.134170815082018</c:v>
                </c:pt>
                <c:pt idx="171">
                  <c:v>1.134170815082018</c:v>
                </c:pt>
                <c:pt idx="172">
                  <c:v>1.134170815082018</c:v>
                </c:pt>
                <c:pt idx="173">
                  <c:v>1.134170815082018</c:v>
                </c:pt>
                <c:pt idx="174">
                  <c:v>1.134170815082018</c:v>
                </c:pt>
                <c:pt idx="175">
                  <c:v>1.134170815082018</c:v>
                </c:pt>
                <c:pt idx="176">
                  <c:v>1.134170815082018</c:v>
                </c:pt>
                <c:pt idx="177">
                  <c:v>1.134170815082018</c:v>
                </c:pt>
                <c:pt idx="178">
                  <c:v>1.134170815082018</c:v>
                </c:pt>
                <c:pt idx="179">
                  <c:v>1.134170815082018</c:v>
                </c:pt>
                <c:pt idx="180">
                  <c:v>1.134170815082018</c:v>
                </c:pt>
                <c:pt idx="181">
                  <c:v>1.134170815082018</c:v>
                </c:pt>
                <c:pt idx="182">
                  <c:v>1.134170815082018</c:v>
                </c:pt>
                <c:pt idx="183">
                  <c:v>1.134170815082018</c:v>
                </c:pt>
                <c:pt idx="184">
                  <c:v>1.134170815082018</c:v>
                </c:pt>
                <c:pt idx="185">
                  <c:v>1.134170815082018</c:v>
                </c:pt>
                <c:pt idx="186">
                  <c:v>1.134170815082018</c:v>
                </c:pt>
                <c:pt idx="187">
                  <c:v>1.134170815082018</c:v>
                </c:pt>
                <c:pt idx="188">
                  <c:v>2.219760648482711</c:v>
                </c:pt>
                <c:pt idx="189">
                  <c:v>2.219760648482711</c:v>
                </c:pt>
                <c:pt idx="190">
                  <c:v>2.219760648482711</c:v>
                </c:pt>
                <c:pt idx="191">
                  <c:v>2.219760648482711</c:v>
                </c:pt>
                <c:pt idx="192">
                  <c:v>1.8997997363687871</c:v>
                </c:pt>
                <c:pt idx="193">
                  <c:v>1.8997997363687871</c:v>
                </c:pt>
                <c:pt idx="194">
                  <c:v>1.8997997363687871</c:v>
                </c:pt>
                <c:pt idx="195">
                  <c:v>1.8997997363687871</c:v>
                </c:pt>
                <c:pt idx="196">
                  <c:v>1.8997997363687871</c:v>
                </c:pt>
                <c:pt idx="197">
                  <c:v>1.8997997363687871</c:v>
                </c:pt>
                <c:pt idx="198">
                  <c:v>1.8997997363687871</c:v>
                </c:pt>
                <c:pt idx="199">
                  <c:v>1.8997997363687871</c:v>
                </c:pt>
                <c:pt idx="200">
                  <c:v>1.8997997363687871</c:v>
                </c:pt>
                <c:pt idx="201">
                  <c:v>1.8997997363687871</c:v>
                </c:pt>
                <c:pt idx="202">
                  <c:v>1.8997997363687871</c:v>
                </c:pt>
                <c:pt idx="203">
                  <c:v>1.8997997363687871</c:v>
                </c:pt>
                <c:pt idx="204">
                  <c:v>1.8997997363687871</c:v>
                </c:pt>
                <c:pt idx="205">
                  <c:v>1.8997997363687871</c:v>
                </c:pt>
                <c:pt idx="206">
                  <c:v>1.8997997363687871</c:v>
                </c:pt>
                <c:pt idx="207">
                  <c:v>1.8997997363687871</c:v>
                </c:pt>
                <c:pt idx="208">
                  <c:v>1.8997997363687871</c:v>
                </c:pt>
                <c:pt idx="209">
                  <c:v>1.8997997363687871</c:v>
                </c:pt>
                <c:pt idx="210">
                  <c:v>1.8997997363687871</c:v>
                </c:pt>
                <c:pt idx="211">
                  <c:v>1.8997997363687871</c:v>
                </c:pt>
                <c:pt idx="212">
                  <c:v>1.8997997363687871</c:v>
                </c:pt>
                <c:pt idx="213">
                  <c:v>1.8997997363687871</c:v>
                </c:pt>
                <c:pt idx="214">
                  <c:v>1.8997997363687871</c:v>
                </c:pt>
                <c:pt idx="215">
                  <c:v>1.8997997363687871</c:v>
                </c:pt>
                <c:pt idx="216">
                  <c:v>1.8997997363687871</c:v>
                </c:pt>
                <c:pt idx="217">
                  <c:v>1.8997997363687871</c:v>
                </c:pt>
                <c:pt idx="218">
                  <c:v>1.8997997363687871</c:v>
                </c:pt>
                <c:pt idx="219">
                  <c:v>1.8997997363687871</c:v>
                </c:pt>
                <c:pt idx="220">
                  <c:v>1.8997997363687871</c:v>
                </c:pt>
                <c:pt idx="221">
                  <c:v>1.8997997363687871</c:v>
                </c:pt>
                <c:pt idx="222">
                  <c:v>1.8997997363687871</c:v>
                </c:pt>
                <c:pt idx="223">
                  <c:v>1.8997997363687871</c:v>
                </c:pt>
                <c:pt idx="224">
                  <c:v>2.2613176128044685</c:v>
                </c:pt>
                <c:pt idx="225">
                  <c:v>2.2613176128044685</c:v>
                </c:pt>
                <c:pt idx="226">
                  <c:v>2.2613176128044685</c:v>
                </c:pt>
                <c:pt idx="227">
                  <c:v>2.2613176128044685</c:v>
                </c:pt>
                <c:pt idx="228">
                  <c:v>2.2613176128044685</c:v>
                </c:pt>
                <c:pt idx="229">
                  <c:v>2.2613176128044685</c:v>
                </c:pt>
                <c:pt idx="230">
                  <c:v>2.2613176128044685</c:v>
                </c:pt>
                <c:pt idx="231">
                  <c:v>2.2613176128044685</c:v>
                </c:pt>
                <c:pt idx="232">
                  <c:v>2.2613176128044685</c:v>
                </c:pt>
                <c:pt idx="233">
                  <c:v>2.2613176128044685</c:v>
                </c:pt>
                <c:pt idx="234">
                  <c:v>2.2613176128044685</c:v>
                </c:pt>
                <c:pt idx="235">
                  <c:v>2.2613176128044685</c:v>
                </c:pt>
                <c:pt idx="236">
                  <c:v>2.2613176128044685</c:v>
                </c:pt>
                <c:pt idx="237">
                  <c:v>2.2613176128044685</c:v>
                </c:pt>
                <c:pt idx="238">
                  <c:v>2.2613176128044685</c:v>
                </c:pt>
                <c:pt idx="239">
                  <c:v>2.2613176128044685</c:v>
                </c:pt>
                <c:pt idx="240">
                  <c:v>2.2613176128044685</c:v>
                </c:pt>
                <c:pt idx="241">
                  <c:v>2.2613176128044685</c:v>
                </c:pt>
                <c:pt idx="242">
                  <c:v>2.2613176128044685</c:v>
                </c:pt>
                <c:pt idx="243">
                  <c:v>2.2613176128044685</c:v>
                </c:pt>
                <c:pt idx="244">
                  <c:v>2.2613176128044685</c:v>
                </c:pt>
                <c:pt idx="245">
                  <c:v>2.2613176128044685</c:v>
                </c:pt>
                <c:pt idx="246">
                  <c:v>2.2613176128044685</c:v>
                </c:pt>
                <c:pt idx="247">
                  <c:v>2.2613176128044685</c:v>
                </c:pt>
                <c:pt idx="248">
                  <c:v>2.2613176128044685</c:v>
                </c:pt>
                <c:pt idx="249">
                  <c:v>2.2613176128044685</c:v>
                </c:pt>
                <c:pt idx="250">
                  <c:v>2.2613176128044685</c:v>
                </c:pt>
                <c:pt idx="251">
                  <c:v>2.2613176128044685</c:v>
                </c:pt>
                <c:pt idx="252">
                  <c:v>2.2613176128044685</c:v>
                </c:pt>
                <c:pt idx="253">
                  <c:v>2.9608324461775686</c:v>
                </c:pt>
                <c:pt idx="254">
                  <c:v>2.9608324461775686</c:v>
                </c:pt>
                <c:pt idx="255">
                  <c:v>2.9608324461775686</c:v>
                </c:pt>
                <c:pt idx="256">
                  <c:v>2.9608324461775686</c:v>
                </c:pt>
                <c:pt idx="257">
                  <c:v>2.9608324461775686</c:v>
                </c:pt>
                <c:pt idx="258">
                  <c:v>2.9608324461775686</c:v>
                </c:pt>
                <c:pt idx="259">
                  <c:v>2.9608324461775686</c:v>
                </c:pt>
                <c:pt idx="260">
                  <c:v>2.9608324461775686</c:v>
                </c:pt>
                <c:pt idx="261">
                  <c:v>2.9608324461775686</c:v>
                </c:pt>
                <c:pt idx="262">
                  <c:v>2.9608324461775686</c:v>
                </c:pt>
                <c:pt idx="263">
                  <c:v>2.9608324461775686</c:v>
                </c:pt>
                <c:pt idx="264">
                  <c:v>2.9608324461775686</c:v>
                </c:pt>
                <c:pt idx="265">
                  <c:v>2.9608324461775686</c:v>
                </c:pt>
                <c:pt idx="266">
                  <c:v>2.9608324461775686</c:v>
                </c:pt>
                <c:pt idx="267">
                  <c:v>2.9608324461775686</c:v>
                </c:pt>
                <c:pt idx="268">
                  <c:v>2.9608324461775686</c:v>
                </c:pt>
                <c:pt idx="269">
                  <c:v>2.9608324461775686</c:v>
                </c:pt>
                <c:pt idx="270">
                  <c:v>2.9608324461775686</c:v>
                </c:pt>
                <c:pt idx="271">
                  <c:v>2.9608324461775686</c:v>
                </c:pt>
                <c:pt idx="272">
                  <c:v>2.9608324461775686</c:v>
                </c:pt>
                <c:pt idx="273">
                  <c:v>2.9608324461775686</c:v>
                </c:pt>
                <c:pt idx="274">
                  <c:v>2.9608324461775686</c:v>
                </c:pt>
                <c:pt idx="275">
                  <c:v>2.9608324461775686</c:v>
                </c:pt>
                <c:pt idx="276">
                  <c:v>2.6008648939569246</c:v>
                </c:pt>
                <c:pt idx="277">
                  <c:v>2.6008648939569246</c:v>
                </c:pt>
                <c:pt idx="278">
                  <c:v>2.6008648939569246</c:v>
                </c:pt>
                <c:pt idx="279">
                  <c:v>2.6008648939569246</c:v>
                </c:pt>
                <c:pt idx="280">
                  <c:v>2.6008648939569246</c:v>
                </c:pt>
                <c:pt idx="281">
                  <c:v>2.6008648939569246</c:v>
                </c:pt>
                <c:pt idx="282">
                  <c:v>2.6008648939569246</c:v>
                </c:pt>
                <c:pt idx="283">
                  <c:v>2.6008648939569246</c:v>
                </c:pt>
                <c:pt idx="284">
                  <c:v>2.6008648939569246</c:v>
                </c:pt>
                <c:pt idx="285">
                  <c:v>2.6008648939569246</c:v>
                </c:pt>
                <c:pt idx="286">
                  <c:v>2.6008648939569246</c:v>
                </c:pt>
                <c:pt idx="287">
                  <c:v>2.6008648939569246</c:v>
                </c:pt>
                <c:pt idx="288">
                  <c:v>2.6008648939569246</c:v>
                </c:pt>
                <c:pt idx="289">
                  <c:v>2.6008648939569246</c:v>
                </c:pt>
                <c:pt idx="290">
                  <c:v>2.6008648939569246</c:v>
                </c:pt>
                <c:pt idx="291">
                  <c:v>2.6008648939569246</c:v>
                </c:pt>
                <c:pt idx="292">
                  <c:v>2.6008648939569246</c:v>
                </c:pt>
                <c:pt idx="293">
                  <c:v>2.6008648939569246</c:v>
                </c:pt>
                <c:pt idx="294">
                  <c:v>2.6008648939569246</c:v>
                </c:pt>
                <c:pt idx="295">
                  <c:v>2.6008648939569246</c:v>
                </c:pt>
                <c:pt idx="296">
                  <c:v>2.6008648939569246</c:v>
                </c:pt>
                <c:pt idx="297">
                  <c:v>2.6008648939569246</c:v>
                </c:pt>
                <c:pt idx="298">
                  <c:v>2.6008648939569246</c:v>
                </c:pt>
                <c:pt idx="299">
                  <c:v>2.6008648939569246</c:v>
                </c:pt>
                <c:pt idx="300">
                  <c:v>2.6008648939569246</c:v>
                </c:pt>
                <c:pt idx="301">
                  <c:v>2.6008648939569246</c:v>
                </c:pt>
                <c:pt idx="302">
                  <c:v>2.5921428046427284</c:v>
                </c:pt>
                <c:pt idx="303">
                  <c:v>2.5921428046427284</c:v>
                </c:pt>
                <c:pt idx="304">
                  <c:v>2.5921428046427284</c:v>
                </c:pt>
                <c:pt idx="305">
                  <c:v>2.5921428046427284</c:v>
                </c:pt>
                <c:pt idx="306">
                  <c:v>2.5921428046427284</c:v>
                </c:pt>
                <c:pt idx="307">
                  <c:v>2.5921428046427284</c:v>
                </c:pt>
                <c:pt idx="308">
                  <c:v>2.5921428046427284</c:v>
                </c:pt>
                <c:pt idx="309">
                  <c:v>2.5921428046427284</c:v>
                </c:pt>
                <c:pt idx="310">
                  <c:v>2.5921428046427284</c:v>
                </c:pt>
                <c:pt idx="311">
                  <c:v>2.5921428046427284</c:v>
                </c:pt>
                <c:pt idx="312">
                  <c:v>2.5921428046427284</c:v>
                </c:pt>
                <c:pt idx="313">
                  <c:v>2.5921428046427284</c:v>
                </c:pt>
                <c:pt idx="314">
                  <c:v>2.5921428046427284</c:v>
                </c:pt>
                <c:pt idx="315">
                  <c:v>2.5921428046427284</c:v>
                </c:pt>
                <c:pt idx="316">
                  <c:v>2.5921428046427284</c:v>
                </c:pt>
                <c:pt idx="317">
                  <c:v>2.5921428046427284</c:v>
                </c:pt>
                <c:pt idx="318">
                  <c:v>2.5921428046427284</c:v>
                </c:pt>
                <c:pt idx="319">
                  <c:v>2.5921428046427284</c:v>
                </c:pt>
                <c:pt idx="320">
                  <c:v>2.5921428046427284</c:v>
                </c:pt>
                <c:pt idx="321">
                  <c:v>2.5921428046427284</c:v>
                </c:pt>
                <c:pt idx="322">
                  <c:v>2.5921428046427284</c:v>
                </c:pt>
                <c:pt idx="323">
                  <c:v>2.5921428046427284</c:v>
                </c:pt>
                <c:pt idx="324">
                  <c:v>0.35024889608215481</c:v>
                </c:pt>
                <c:pt idx="325">
                  <c:v>0.35024889608215481</c:v>
                </c:pt>
                <c:pt idx="326">
                  <c:v>0.35024889608215481</c:v>
                </c:pt>
                <c:pt idx="327">
                  <c:v>0.35024889608215481</c:v>
                </c:pt>
                <c:pt idx="328">
                  <c:v>0.35024889608215481</c:v>
                </c:pt>
                <c:pt idx="329">
                  <c:v>0.35024889608215481</c:v>
                </c:pt>
                <c:pt idx="330">
                  <c:v>0.35024889608215481</c:v>
                </c:pt>
                <c:pt idx="331">
                  <c:v>0.35024889608215481</c:v>
                </c:pt>
                <c:pt idx="332">
                  <c:v>0.35024889608215481</c:v>
                </c:pt>
                <c:pt idx="333">
                  <c:v>0.35024889608215481</c:v>
                </c:pt>
                <c:pt idx="334">
                  <c:v>0.35024889608215481</c:v>
                </c:pt>
                <c:pt idx="335">
                  <c:v>0.35024889608215481</c:v>
                </c:pt>
                <c:pt idx="336">
                  <c:v>0.35024889608215481</c:v>
                </c:pt>
                <c:pt idx="337">
                  <c:v>0.35024889608215481</c:v>
                </c:pt>
                <c:pt idx="338">
                  <c:v>0.35024889608215481</c:v>
                </c:pt>
                <c:pt idx="339">
                  <c:v>-0.25251695990258494</c:v>
                </c:pt>
                <c:pt idx="340">
                  <c:v>-0.25251695990258494</c:v>
                </c:pt>
                <c:pt idx="341">
                  <c:v>-0.25251695990258494</c:v>
                </c:pt>
                <c:pt idx="342">
                  <c:v>-0.25251695990258494</c:v>
                </c:pt>
                <c:pt idx="343">
                  <c:v>-0.25251695990258494</c:v>
                </c:pt>
                <c:pt idx="344">
                  <c:v>-0.25251695990258494</c:v>
                </c:pt>
                <c:pt idx="345">
                  <c:v>-0.25251695990258494</c:v>
                </c:pt>
                <c:pt idx="346">
                  <c:v>-0.25251695990258494</c:v>
                </c:pt>
                <c:pt idx="347">
                  <c:v>-0.25251695990258494</c:v>
                </c:pt>
                <c:pt idx="348">
                  <c:v>-0.25251695990258494</c:v>
                </c:pt>
                <c:pt idx="349">
                  <c:v>-0.25251695990258494</c:v>
                </c:pt>
                <c:pt idx="350">
                  <c:v>-0.25251695990258494</c:v>
                </c:pt>
                <c:pt idx="351">
                  <c:v>-0.25251695990258494</c:v>
                </c:pt>
                <c:pt idx="352">
                  <c:v>-0.30951752990828441</c:v>
                </c:pt>
                <c:pt idx="353">
                  <c:v>-0.30951752990828441</c:v>
                </c:pt>
                <c:pt idx="354">
                  <c:v>-0.30951752990828441</c:v>
                </c:pt>
                <c:pt idx="355">
                  <c:v>-0.30951752990828441</c:v>
                </c:pt>
                <c:pt idx="356">
                  <c:v>-0.30951752990828441</c:v>
                </c:pt>
                <c:pt idx="357">
                  <c:v>-0.30951752990828441</c:v>
                </c:pt>
                <c:pt idx="358">
                  <c:v>-0.30951752990828441</c:v>
                </c:pt>
                <c:pt idx="359">
                  <c:v>-0.30951752990828441</c:v>
                </c:pt>
                <c:pt idx="360">
                  <c:v>-0.30951752990828441</c:v>
                </c:pt>
                <c:pt idx="361">
                  <c:v>-0.30951752990828441</c:v>
                </c:pt>
                <c:pt idx="362">
                  <c:v>-0.30951752990828441</c:v>
                </c:pt>
                <c:pt idx="363">
                  <c:v>-0.30951752990828441</c:v>
                </c:pt>
                <c:pt idx="364">
                  <c:v>-0.59316889659214267</c:v>
                </c:pt>
                <c:pt idx="365">
                  <c:v>-0.59316889659214267</c:v>
                </c:pt>
                <c:pt idx="366">
                  <c:v>-0.59316889659214267</c:v>
                </c:pt>
                <c:pt idx="367">
                  <c:v>-0.59316889659214267</c:v>
                </c:pt>
                <c:pt idx="368">
                  <c:v>-0.59316889659214267</c:v>
                </c:pt>
                <c:pt idx="369">
                  <c:v>-0.21221033709845338</c:v>
                </c:pt>
                <c:pt idx="370">
                  <c:v>-0.21221033709845338</c:v>
                </c:pt>
                <c:pt idx="371">
                  <c:v>0.70760273314856192</c:v>
                </c:pt>
                <c:pt idx="372">
                  <c:v>0.70760273314856192</c:v>
                </c:pt>
                <c:pt idx="373">
                  <c:v>0.70760273314856192</c:v>
                </c:pt>
                <c:pt idx="374">
                  <c:v>0.70760273314856192</c:v>
                </c:pt>
                <c:pt idx="375">
                  <c:v>0.70760273314856192</c:v>
                </c:pt>
                <c:pt idx="376">
                  <c:v>0.70760273314856192</c:v>
                </c:pt>
                <c:pt idx="377">
                  <c:v>0.70760273314856192</c:v>
                </c:pt>
                <c:pt idx="378">
                  <c:v>0.70760273314856192</c:v>
                </c:pt>
                <c:pt idx="379">
                  <c:v>0.70760273314856192</c:v>
                </c:pt>
                <c:pt idx="380">
                  <c:v>0.70760273314856192</c:v>
                </c:pt>
                <c:pt idx="381">
                  <c:v>0.70760273314856192</c:v>
                </c:pt>
                <c:pt idx="382">
                  <c:v>0.70760273314856192</c:v>
                </c:pt>
                <c:pt idx="383">
                  <c:v>0.70760273314856192</c:v>
                </c:pt>
                <c:pt idx="384">
                  <c:v>0.70760273314856192</c:v>
                </c:pt>
                <c:pt idx="385">
                  <c:v>0.70760273314856192</c:v>
                </c:pt>
                <c:pt idx="386">
                  <c:v>0.70760273314856192</c:v>
                </c:pt>
                <c:pt idx="387">
                  <c:v>0.70760273314856192</c:v>
                </c:pt>
                <c:pt idx="388">
                  <c:v>0.70760273314856192</c:v>
                </c:pt>
                <c:pt idx="389">
                  <c:v>0.70760273314856192</c:v>
                </c:pt>
                <c:pt idx="390">
                  <c:v>0.70760273314856192</c:v>
                </c:pt>
                <c:pt idx="391">
                  <c:v>0.70760273314856192</c:v>
                </c:pt>
                <c:pt idx="392">
                  <c:v>0.70760273314856192</c:v>
                </c:pt>
                <c:pt idx="393">
                  <c:v>0.70760273314856192</c:v>
                </c:pt>
                <c:pt idx="394">
                  <c:v>0.70760273314856192</c:v>
                </c:pt>
                <c:pt idx="395">
                  <c:v>0.70760273314856192</c:v>
                </c:pt>
                <c:pt idx="396">
                  <c:v>0.70760273314856192</c:v>
                </c:pt>
                <c:pt idx="397">
                  <c:v>0.70760273314856192</c:v>
                </c:pt>
                <c:pt idx="398">
                  <c:v>0.70760273314856192</c:v>
                </c:pt>
                <c:pt idx="399">
                  <c:v>0.70760273314856192</c:v>
                </c:pt>
                <c:pt idx="400">
                  <c:v>0.70760273314856192</c:v>
                </c:pt>
                <c:pt idx="401">
                  <c:v>0.70760273314856192</c:v>
                </c:pt>
                <c:pt idx="402">
                  <c:v>0.70760273314856192</c:v>
                </c:pt>
                <c:pt idx="403">
                  <c:v>0.14398945264996266</c:v>
                </c:pt>
                <c:pt idx="404">
                  <c:v>0.14398945264996266</c:v>
                </c:pt>
                <c:pt idx="405">
                  <c:v>0.14398945264996266</c:v>
                </c:pt>
                <c:pt idx="406">
                  <c:v>0.14398945264996266</c:v>
                </c:pt>
                <c:pt idx="407">
                  <c:v>0.14398945264996266</c:v>
                </c:pt>
                <c:pt idx="408">
                  <c:v>0.14398945264996266</c:v>
                </c:pt>
                <c:pt idx="409">
                  <c:v>0.14398945264996266</c:v>
                </c:pt>
                <c:pt idx="410">
                  <c:v>0.14398945264996266</c:v>
                </c:pt>
                <c:pt idx="411">
                  <c:v>0.14398945264996266</c:v>
                </c:pt>
                <c:pt idx="412">
                  <c:v>0.14398945264996266</c:v>
                </c:pt>
                <c:pt idx="413">
                  <c:v>0.14398945264996266</c:v>
                </c:pt>
                <c:pt idx="414">
                  <c:v>0.14398945264996266</c:v>
                </c:pt>
                <c:pt idx="415">
                  <c:v>0.14398945264996266</c:v>
                </c:pt>
                <c:pt idx="416">
                  <c:v>0.44261420707039401</c:v>
                </c:pt>
                <c:pt idx="417">
                  <c:v>0.44261420707039401</c:v>
                </c:pt>
                <c:pt idx="418">
                  <c:v>0.44261420707039401</c:v>
                </c:pt>
              </c:numCache>
            </c:numRef>
          </c:val>
          <c:smooth val="1"/>
          <c:extLst>
            <c:ext xmlns:c16="http://schemas.microsoft.com/office/drawing/2014/chart" uri="{C3380CC4-5D6E-409C-BE32-E72D297353CC}">
              <c16:uniqueId val="{00000003-CCEC-4BD8-9508-C56E4326B937}"/>
            </c:ext>
          </c:extLst>
        </c:ser>
        <c:dLbls>
          <c:showLegendKey val="0"/>
          <c:showVal val="0"/>
          <c:showCatName val="0"/>
          <c:showSerName val="0"/>
          <c:showPercent val="0"/>
          <c:showBubbleSize val="0"/>
        </c:dLbls>
        <c:smooth val="0"/>
        <c:axId val="147683023"/>
        <c:axId val="146645279"/>
        <c:extLst>
          <c:ext xmlns:c15="http://schemas.microsoft.com/office/drawing/2012/chart" uri="{02D57815-91ED-43cb-92C2-25804820EDAC}">
            <c15:filteredLineSeries>
              <c15:ser>
                <c:idx val="5"/>
                <c:order val="1"/>
                <c:tx>
                  <c:v>Up (MOC)</c:v>
                </c:tx>
                <c:spPr>
                  <a:ln w="28575" cap="rnd">
                    <a:solidFill>
                      <a:schemeClr val="accent6"/>
                    </a:solidFill>
                    <a:prstDash val="sysDash"/>
                    <a:round/>
                  </a:ln>
                  <a:effectLst/>
                </c:spPr>
                <c:marker>
                  <c:symbol val="none"/>
                </c:marker>
                <c:val>
                  <c:numRef>
                    <c:extLst>
                      <c:ext uri="{02D57815-91ED-43cb-92C2-25804820EDAC}">
                        <c15:formulaRef>
                          <c15:sqref>'2025-Q2'!$AX$4:$AX$350</c15:sqref>
                        </c15:formulaRef>
                      </c:ext>
                    </c:extLst>
                    <c:numCache>
                      <c:formatCode>"$"#,##0</c:formatCode>
                      <c:ptCount val="34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59.839999999999918</c:v>
                      </c:pt>
                      <c:pt idx="40">
                        <c:v>59.839999999999918</c:v>
                      </c:pt>
                      <c:pt idx="41">
                        <c:v>59.839999999999918</c:v>
                      </c:pt>
                      <c:pt idx="42">
                        <c:v>59.839999999999918</c:v>
                      </c:pt>
                      <c:pt idx="43">
                        <c:v>59.839999999999918</c:v>
                      </c:pt>
                      <c:pt idx="44">
                        <c:v>59.839999999999918</c:v>
                      </c:pt>
                      <c:pt idx="45">
                        <c:v>59.839999999999918</c:v>
                      </c:pt>
                      <c:pt idx="46">
                        <c:v>59.839999999999918</c:v>
                      </c:pt>
                      <c:pt idx="47">
                        <c:v>-74.660000000000196</c:v>
                      </c:pt>
                      <c:pt idx="48">
                        <c:v>-74.660000000000196</c:v>
                      </c:pt>
                      <c:pt idx="49">
                        <c:v>-74.660000000000196</c:v>
                      </c:pt>
                      <c:pt idx="50">
                        <c:v>-74.660000000000196</c:v>
                      </c:pt>
                      <c:pt idx="51">
                        <c:v>-74.660000000000196</c:v>
                      </c:pt>
                      <c:pt idx="52">
                        <c:v>-74.660000000000196</c:v>
                      </c:pt>
                      <c:pt idx="53">
                        <c:v>-74.660000000000196</c:v>
                      </c:pt>
                      <c:pt idx="54">
                        <c:v>-74.660000000000196</c:v>
                      </c:pt>
                      <c:pt idx="55">
                        <c:v>-74.660000000000196</c:v>
                      </c:pt>
                      <c:pt idx="56">
                        <c:v>-74.660000000000196</c:v>
                      </c:pt>
                      <c:pt idx="57">
                        <c:v>-74.660000000000196</c:v>
                      </c:pt>
                      <c:pt idx="58">
                        <c:v>-74.660000000000196</c:v>
                      </c:pt>
                      <c:pt idx="59">
                        <c:v>-74.660000000000196</c:v>
                      </c:pt>
                      <c:pt idx="60">
                        <c:v>-74.660000000000196</c:v>
                      </c:pt>
                      <c:pt idx="61">
                        <c:v>-74.660000000000196</c:v>
                      </c:pt>
                      <c:pt idx="62">
                        <c:v>-74.660000000000196</c:v>
                      </c:pt>
                      <c:pt idx="63">
                        <c:v>-74.660000000000196</c:v>
                      </c:pt>
                      <c:pt idx="64">
                        <c:v>-74.660000000000196</c:v>
                      </c:pt>
                      <c:pt idx="65">
                        <c:v>-74.660000000000196</c:v>
                      </c:pt>
                      <c:pt idx="66">
                        <c:v>-74.660000000000196</c:v>
                      </c:pt>
                      <c:pt idx="67">
                        <c:v>-74.660000000000196</c:v>
                      </c:pt>
                      <c:pt idx="68">
                        <c:v>-74.660000000000196</c:v>
                      </c:pt>
                      <c:pt idx="69">
                        <c:v>-54.660000000000196</c:v>
                      </c:pt>
                      <c:pt idx="70">
                        <c:v>-54.660000000000196</c:v>
                      </c:pt>
                      <c:pt idx="71">
                        <c:v>-66.900000000000205</c:v>
                      </c:pt>
                      <c:pt idx="72">
                        <c:v>-66.900000000000205</c:v>
                      </c:pt>
                      <c:pt idx="73">
                        <c:v>-66.900000000000205</c:v>
                      </c:pt>
                      <c:pt idx="74">
                        <c:v>-66.900000000000205</c:v>
                      </c:pt>
                      <c:pt idx="75">
                        <c:v>-66.900000000000205</c:v>
                      </c:pt>
                      <c:pt idx="76">
                        <c:v>-66.900000000000205</c:v>
                      </c:pt>
                      <c:pt idx="77">
                        <c:v>-66.900000000000205</c:v>
                      </c:pt>
                      <c:pt idx="78">
                        <c:v>-66.900000000000205</c:v>
                      </c:pt>
                      <c:pt idx="79">
                        <c:v>-66.900000000000205</c:v>
                      </c:pt>
                      <c:pt idx="80">
                        <c:v>-66.900000000000205</c:v>
                      </c:pt>
                      <c:pt idx="81">
                        <c:v>-66.900000000000205</c:v>
                      </c:pt>
                      <c:pt idx="82">
                        <c:v>-66.900000000000205</c:v>
                      </c:pt>
                      <c:pt idx="83">
                        <c:v>-66.900000000000205</c:v>
                      </c:pt>
                      <c:pt idx="84">
                        <c:v>-66.900000000000205</c:v>
                      </c:pt>
                      <c:pt idx="85">
                        <c:v>-66.900000000000205</c:v>
                      </c:pt>
                      <c:pt idx="86">
                        <c:v>-66.900000000000205</c:v>
                      </c:pt>
                      <c:pt idx="87">
                        <c:v>-66.900000000000205</c:v>
                      </c:pt>
                      <c:pt idx="88">
                        <c:v>-66.900000000000205</c:v>
                      </c:pt>
                      <c:pt idx="89">
                        <c:v>-66.900000000000205</c:v>
                      </c:pt>
                      <c:pt idx="90">
                        <c:v>-66.900000000000205</c:v>
                      </c:pt>
                      <c:pt idx="91">
                        <c:v>-66.900000000000205</c:v>
                      </c:pt>
                      <c:pt idx="92">
                        <c:v>-66.900000000000205</c:v>
                      </c:pt>
                      <c:pt idx="93">
                        <c:v>-66.900000000000205</c:v>
                      </c:pt>
                      <c:pt idx="94">
                        <c:v>-66.900000000000205</c:v>
                      </c:pt>
                      <c:pt idx="95">
                        <c:v>-66.900000000000205</c:v>
                      </c:pt>
                      <c:pt idx="96">
                        <c:v>-66.900000000000205</c:v>
                      </c:pt>
                      <c:pt idx="97">
                        <c:v>-66.900000000000205</c:v>
                      </c:pt>
                      <c:pt idx="98">
                        <c:v>-66.900000000000205</c:v>
                      </c:pt>
                      <c:pt idx="99">
                        <c:v>-66.900000000000205</c:v>
                      </c:pt>
                      <c:pt idx="100">
                        <c:v>-66.900000000000205</c:v>
                      </c:pt>
                      <c:pt idx="101">
                        <c:v>-66.900000000000205</c:v>
                      </c:pt>
                      <c:pt idx="102">
                        <c:v>-66.900000000000205</c:v>
                      </c:pt>
                      <c:pt idx="103">
                        <c:v>-184.54000000000019</c:v>
                      </c:pt>
                      <c:pt idx="104">
                        <c:v>-184.54000000000019</c:v>
                      </c:pt>
                      <c:pt idx="105">
                        <c:v>-184.54000000000019</c:v>
                      </c:pt>
                      <c:pt idx="106">
                        <c:v>-173.34000000000015</c:v>
                      </c:pt>
                      <c:pt idx="107">
                        <c:v>-173.34000000000015</c:v>
                      </c:pt>
                      <c:pt idx="108">
                        <c:v>-173.34000000000015</c:v>
                      </c:pt>
                      <c:pt idx="109">
                        <c:v>-173.34000000000015</c:v>
                      </c:pt>
                      <c:pt idx="110">
                        <c:v>-173.34000000000015</c:v>
                      </c:pt>
                      <c:pt idx="111">
                        <c:v>-173.34000000000015</c:v>
                      </c:pt>
                      <c:pt idx="112">
                        <c:v>-173.34000000000015</c:v>
                      </c:pt>
                      <c:pt idx="113">
                        <c:v>-173.34000000000015</c:v>
                      </c:pt>
                      <c:pt idx="114">
                        <c:v>-173.34000000000015</c:v>
                      </c:pt>
                      <c:pt idx="115">
                        <c:v>-173.34000000000015</c:v>
                      </c:pt>
                      <c:pt idx="116">
                        <c:v>-173.34000000000015</c:v>
                      </c:pt>
                      <c:pt idx="117">
                        <c:v>-173.34000000000015</c:v>
                      </c:pt>
                      <c:pt idx="118">
                        <c:v>-173.34000000000015</c:v>
                      </c:pt>
                      <c:pt idx="119">
                        <c:v>-173.34000000000015</c:v>
                      </c:pt>
                      <c:pt idx="120">
                        <c:v>-173.34000000000015</c:v>
                      </c:pt>
                      <c:pt idx="121">
                        <c:v>-174.74000000000024</c:v>
                      </c:pt>
                      <c:pt idx="122">
                        <c:v>-174.74000000000024</c:v>
                      </c:pt>
                      <c:pt idx="123">
                        <c:v>-174.74000000000024</c:v>
                      </c:pt>
                      <c:pt idx="124">
                        <c:v>-174.74000000000024</c:v>
                      </c:pt>
                      <c:pt idx="125">
                        <c:v>-174.74000000000024</c:v>
                      </c:pt>
                      <c:pt idx="126">
                        <c:v>-174.74000000000024</c:v>
                      </c:pt>
                      <c:pt idx="127">
                        <c:v>-174.74000000000024</c:v>
                      </c:pt>
                      <c:pt idx="128">
                        <c:v>-174.74000000000024</c:v>
                      </c:pt>
                      <c:pt idx="129">
                        <c:v>-174.74000000000024</c:v>
                      </c:pt>
                      <c:pt idx="130">
                        <c:v>-174.74000000000024</c:v>
                      </c:pt>
                      <c:pt idx="131">
                        <c:v>-174.74000000000024</c:v>
                      </c:pt>
                      <c:pt idx="132">
                        <c:v>-174.74000000000024</c:v>
                      </c:pt>
                      <c:pt idx="133">
                        <c:v>-174.74000000000024</c:v>
                      </c:pt>
                      <c:pt idx="134">
                        <c:v>-174.74000000000024</c:v>
                      </c:pt>
                      <c:pt idx="135">
                        <c:v>-174.74000000000024</c:v>
                      </c:pt>
                      <c:pt idx="136">
                        <c:v>-174.74000000000024</c:v>
                      </c:pt>
                      <c:pt idx="137">
                        <c:v>-163.1400000000001</c:v>
                      </c:pt>
                      <c:pt idx="138">
                        <c:v>-163.1400000000001</c:v>
                      </c:pt>
                      <c:pt idx="139">
                        <c:v>-163.1400000000001</c:v>
                      </c:pt>
                      <c:pt idx="140">
                        <c:v>-163.1400000000001</c:v>
                      </c:pt>
                      <c:pt idx="141">
                        <c:v>-163.1400000000001</c:v>
                      </c:pt>
                      <c:pt idx="142">
                        <c:v>-163.1400000000001</c:v>
                      </c:pt>
                      <c:pt idx="143">
                        <c:v>-163.1400000000001</c:v>
                      </c:pt>
                      <c:pt idx="144">
                        <c:v>-163.1400000000001</c:v>
                      </c:pt>
                      <c:pt idx="145">
                        <c:v>-163.1400000000001</c:v>
                      </c:pt>
                      <c:pt idx="146">
                        <c:v>-163.1400000000001</c:v>
                      </c:pt>
                      <c:pt idx="147">
                        <c:v>-163.1400000000001</c:v>
                      </c:pt>
                      <c:pt idx="148">
                        <c:v>-163.1400000000001</c:v>
                      </c:pt>
                      <c:pt idx="149">
                        <c:v>-163.1400000000001</c:v>
                      </c:pt>
                      <c:pt idx="150">
                        <c:v>-163.1400000000001</c:v>
                      </c:pt>
                      <c:pt idx="151">
                        <c:v>-163.1400000000001</c:v>
                      </c:pt>
                      <c:pt idx="152">
                        <c:v>-163.1400000000001</c:v>
                      </c:pt>
                      <c:pt idx="153">
                        <c:v>-163.1400000000001</c:v>
                      </c:pt>
                      <c:pt idx="154">
                        <c:v>-163.1400000000001</c:v>
                      </c:pt>
                      <c:pt idx="155">
                        <c:v>-163.1400000000001</c:v>
                      </c:pt>
                      <c:pt idx="156">
                        <c:v>-163.1400000000001</c:v>
                      </c:pt>
                      <c:pt idx="157">
                        <c:v>-163.1400000000001</c:v>
                      </c:pt>
                      <c:pt idx="158">
                        <c:v>-163.1400000000001</c:v>
                      </c:pt>
                      <c:pt idx="159">
                        <c:v>-163.1400000000001</c:v>
                      </c:pt>
                      <c:pt idx="160">
                        <c:v>-163.1400000000001</c:v>
                      </c:pt>
                      <c:pt idx="161">
                        <c:v>-163.1400000000001</c:v>
                      </c:pt>
                      <c:pt idx="162">
                        <c:v>-163.1400000000001</c:v>
                      </c:pt>
                      <c:pt idx="163">
                        <c:v>-163.1400000000001</c:v>
                      </c:pt>
                      <c:pt idx="164">
                        <c:v>-163.1400000000001</c:v>
                      </c:pt>
                      <c:pt idx="165">
                        <c:v>-163.1400000000001</c:v>
                      </c:pt>
                      <c:pt idx="166">
                        <c:v>-163.1400000000001</c:v>
                      </c:pt>
                      <c:pt idx="167">
                        <c:v>-163.1400000000001</c:v>
                      </c:pt>
                      <c:pt idx="168">
                        <c:v>-163.1400000000001</c:v>
                      </c:pt>
                      <c:pt idx="169">
                        <c:v>-163.1400000000001</c:v>
                      </c:pt>
                      <c:pt idx="170">
                        <c:v>-163.1400000000001</c:v>
                      </c:pt>
                      <c:pt idx="171">
                        <c:v>-163.1400000000001</c:v>
                      </c:pt>
                      <c:pt idx="172">
                        <c:v>-163.1400000000001</c:v>
                      </c:pt>
                      <c:pt idx="173">
                        <c:v>-163.1400000000001</c:v>
                      </c:pt>
                      <c:pt idx="174">
                        <c:v>-163.1400000000001</c:v>
                      </c:pt>
                      <c:pt idx="175">
                        <c:v>-163.1400000000001</c:v>
                      </c:pt>
                      <c:pt idx="176">
                        <c:v>-163.1400000000001</c:v>
                      </c:pt>
                      <c:pt idx="177">
                        <c:v>-163.1400000000001</c:v>
                      </c:pt>
                      <c:pt idx="178">
                        <c:v>-163.1400000000001</c:v>
                      </c:pt>
                      <c:pt idx="179">
                        <c:v>-163.1400000000001</c:v>
                      </c:pt>
                      <c:pt idx="180">
                        <c:v>-163.1400000000001</c:v>
                      </c:pt>
                      <c:pt idx="181">
                        <c:v>-163.1400000000001</c:v>
                      </c:pt>
                      <c:pt idx="182">
                        <c:v>-163.1400000000001</c:v>
                      </c:pt>
                      <c:pt idx="183">
                        <c:v>-163.1400000000001</c:v>
                      </c:pt>
                      <c:pt idx="184">
                        <c:v>-163.1400000000001</c:v>
                      </c:pt>
                      <c:pt idx="185">
                        <c:v>-163.1400000000001</c:v>
                      </c:pt>
                      <c:pt idx="186">
                        <c:v>-163.1400000000001</c:v>
                      </c:pt>
                      <c:pt idx="187">
                        <c:v>-163.1400000000001</c:v>
                      </c:pt>
                      <c:pt idx="188">
                        <c:v>-163.1400000000001</c:v>
                      </c:pt>
                      <c:pt idx="189">
                        <c:v>-163.1400000000001</c:v>
                      </c:pt>
                      <c:pt idx="190">
                        <c:v>-163.1400000000001</c:v>
                      </c:pt>
                      <c:pt idx="191">
                        <c:v>-163.1400000000001</c:v>
                      </c:pt>
                      <c:pt idx="192">
                        <c:v>-163.1400000000001</c:v>
                      </c:pt>
                      <c:pt idx="193">
                        <c:v>-163.1400000000001</c:v>
                      </c:pt>
                      <c:pt idx="194">
                        <c:v>-163.1400000000001</c:v>
                      </c:pt>
                      <c:pt idx="195">
                        <c:v>-163.1400000000001</c:v>
                      </c:pt>
                      <c:pt idx="196">
                        <c:v>-163.1400000000001</c:v>
                      </c:pt>
                      <c:pt idx="197">
                        <c:v>-163.1400000000001</c:v>
                      </c:pt>
                      <c:pt idx="198">
                        <c:v>-163.1400000000001</c:v>
                      </c:pt>
                      <c:pt idx="199">
                        <c:v>-163.1400000000001</c:v>
                      </c:pt>
                      <c:pt idx="200">
                        <c:v>-181.17000000000007</c:v>
                      </c:pt>
                      <c:pt idx="201">
                        <c:v>-181.17000000000007</c:v>
                      </c:pt>
                      <c:pt idx="202">
                        <c:v>-181.17000000000007</c:v>
                      </c:pt>
                      <c:pt idx="203">
                        <c:v>-151.49</c:v>
                      </c:pt>
                      <c:pt idx="204">
                        <c:v>-151.49</c:v>
                      </c:pt>
                      <c:pt idx="205">
                        <c:v>-151.49</c:v>
                      </c:pt>
                      <c:pt idx="206">
                        <c:v>-151.49</c:v>
                      </c:pt>
                      <c:pt idx="207">
                        <c:v>-151.49</c:v>
                      </c:pt>
                      <c:pt idx="208">
                        <c:v>-151.49</c:v>
                      </c:pt>
                      <c:pt idx="209">
                        <c:v>-151.49</c:v>
                      </c:pt>
                      <c:pt idx="210">
                        <c:v>-151.49</c:v>
                      </c:pt>
                      <c:pt idx="211">
                        <c:v>-151.49</c:v>
                      </c:pt>
                      <c:pt idx="212">
                        <c:v>-151.49</c:v>
                      </c:pt>
                      <c:pt idx="213">
                        <c:v>-151.49</c:v>
                      </c:pt>
                      <c:pt idx="214">
                        <c:v>-151.49</c:v>
                      </c:pt>
                      <c:pt idx="215">
                        <c:v>-151.49</c:v>
                      </c:pt>
                      <c:pt idx="216">
                        <c:v>-151.49</c:v>
                      </c:pt>
                      <c:pt idx="217">
                        <c:v>-85.340000000000032</c:v>
                      </c:pt>
                      <c:pt idx="218">
                        <c:v>-85.340000000000032</c:v>
                      </c:pt>
                      <c:pt idx="219">
                        <c:v>-85.340000000000032</c:v>
                      </c:pt>
                      <c:pt idx="220">
                        <c:v>-85.340000000000032</c:v>
                      </c:pt>
                      <c:pt idx="221">
                        <c:v>-85.340000000000032</c:v>
                      </c:pt>
                      <c:pt idx="222">
                        <c:v>-85.340000000000032</c:v>
                      </c:pt>
                      <c:pt idx="223">
                        <c:v>-142.90000000000009</c:v>
                      </c:pt>
                      <c:pt idx="224">
                        <c:v>-142.90000000000009</c:v>
                      </c:pt>
                      <c:pt idx="225">
                        <c:v>-142.90000000000009</c:v>
                      </c:pt>
                      <c:pt idx="226">
                        <c:v>-142.90000000000009</c:v>
                      </c:pt>
                      <c:pt idx="227">
                        <c:v>-142.90000000000009</c:v>
                      </c:pt>
                      <c:pt idx="228">
                        <c:v>-142.90000000000009</c:v>
                      </c:pt>
                      <c:pt idx="229">
                        <c:v>-142.90000000000009</c:v>
                      </c:pt>
                      <c:pt idx="230">
                        <c:v>-142.90000000000009</c:v>
                      </c:pt>
                      <c:pt idx="231">
                        <c:v>-142.90000000000009</c:v>
                      </c:pt>
                      <c:pt idx="232">
                        <c:v>-142.90000000000009</c:v>
                      </c:pt>
                      <c:pt idx="233">
                        <c:v>-142.90000000000009</c:v>
                      </c:pt>
                      <c:pt idx="234">
                        <c:v>-142.90000000000009</c:v>
                      </c:pt>
                      <c:pt idx="235">
                        <c:v>-142.90000000000009</c:v>
                      </c:pt>
                      <c:pt idx="236">
                        <c:v>-142.90000000000009</c:v>
                      </c:pt>
                      <c:pt idx="237">
                        <c:v>-142.90000000000009</c:v>
                      </c:pt>
                      <c:pt idx="238">
                        <c:v>-142.90000000000009</c:v>
                      </c:pt>
                      <c:pt idx="239">
                        <c:v>-142.90000000000009</c:v>
                      </c:pt>
                      <c:pt idx="240">
                        <c:v>-132.30000000000018</c:v>
                      </c:pt>
                      <c:pt idx="241">
                        <c:v>-132.30000000000018</c:v>
                      </c:pt>
                      <c:pt idx="242">
                        <c:v>-132.30000000000018</c:v>
                      </c:pt>
                      <c:pt idx="243">
                        <c:v>-132.30000000000018</c:v>
                      </c:pt>
                      <c:pt idx="244">
                        <c:v>-132.30000000000018</c:v>
                      </c:pt>
                      <c:pt idx="245">
                        <c:v>-132.30000000000018</c:v>
                      </c:pt>
                      <c:pt idx="246">
                        <c:v>-132.30000000000018</c:v>
                      </c:pt>
                      <c:pt idx="247">
                        <c:v>-132.30000000000018</c:v>
                      </c:pt>
                      <c:pt idx="248">
                        <c:v>-132.30000000000018</c:v>
                      </c:pt>
                      <c:pt idx="249">
                        <c:v>-132.30000000000018</c:v>
                      </c:pt>
                      <c:pt idx="250">
                        <c:v>-132.30000000000018</c:v>
                      </c:pt>
                      <c:pt idx="251">
                        <c:v>-132.30000000000018</c:v>
                      </c:pt>
                      <c:pt idx="252">
                        <c:v>-132.30000000000018</c:v>
                      </c:pt>
                      <c:pt idx="253">
                        <c:v>-132.30000000000018</c:v>
                      </c:pt>
                      <c:pt idx="254">
                        <c:v>-132.30000000000018</c:v>
                      </c:pt>
                      <c:pt idx="255">
                        <c:v>-132.30000000000018</c:v>
                      </c:pt>
                      <c:pt idx="256">
                        <c:v>-132.30000000000018</c:v>
                      </c:pt>
                      <c:pt idx="257">
                        <c:v>-269.63053243920194</c:v>
                      </c:pt>
                      <c:pt idx="258">
                        <c:v>-299.03053243920203</c:v>
                      </c:pt>
                      <c:pt idx="259">
                        <c:v>-299.03053243920203</c:v>
                      </c:pt>
                      <c:pt idx="260">
                        <c:v>-299.03053243920203</c:v>
                      </c:pt>
                      <c:pt idx="261">
                        <c:v>-299.03053243920203</c:v>
                      </c:pt>
                      <c:pt idx="262">
                        <c:v>-299.03053243920203</c:v>
                      </c:pt>
                      <c:pt idx="263">
                        <c:v>-299.03053243920203</c:v>
                      </c:pt>
                      <c:pt idx="264">
                        <c:v>-299.03053243920203</c:v>
                      </c:pt>
                      <c:pt idx="265">
                        <c:v>-299.03053243920203</c:v>
                      </c:pt>
                      <c:pt idx="266">
                        <c:v>-299.03053243920203</c:v>
                      </c:pt>
                      <c:pt idx="267">
                        <c:v>-299.03053243920203</c:v>
                      </c:pt>
                      <c:pt idx="268">
                        <c:v>-299.03053243920203</c:v>
                      </c:pt>
                      <c:pt idx="269">
                        <c:v>-299.03053243920203</c:v>
                      </c:pt>
                      <c:pt idx="270">
                        <c:v>-299.03053243920203</c:v>
                      </c:pt>
                      <c:pt idx="271">
                        <c:v>-299.03053243920203</c:v>
                      </c:pt>
                      <c:pt idx="272">
                        <c:v>-299.03053243920203</c:v>
                      </c:pt>
                      <c:pt idx="273">
                        <c:v>-385.38106797961109</c:v>
                      </c:pt>
                      <c:pt idx="274">
                        <c:v>-385.38106797961109</c:v>
                      </c:pt>
                      <c:pt idx="275">
                        <c:v>-385.38106797961109</c:v>
                      </c:pt>
                      <c:pt idx="276">
                        <c:v>-385.38106797961109</c:v>
                      </c:pt>
                      <c:pt idx="277">
                        <c:v>-377.70106797961103</c:v>
                      </c:pt>
                      <c:pt idx="278">
                        <c:v>-377.70106797961103</c:v>
                      </c:pt>
                      <c:pt idx="279">
                        <c:v>-377.70106797961103</c:v>
                      </c:pt>
                      <c:pt idx="280">
                        <c:v>-377.70106797961103</c:v>
                      </c:pt>
                      <c:pt idx="281">
                        <c:v>-377.70106797961103</c:v>
                      </c:pt>
                      <c:pt idx="282">
                        <c:v>-377.70106797961103</c:v>
                      </c:pt>
                      <c:pt idx="283">
                        <c:v>-377.70106797961103</c:v>
                      </c:pt>
                      <c:pt idx="284">
                        <c:v>-377.70106797961103</c:v>
                      </c:pt>
                      <c:pt idx="285">
                        <c:v>-377.70106797961103</c:v>
                      </c:pt>
                      <c:pt idx="286">
                        <c:v>-377.70106797961103</c:v>
                      </c:pt>
                      <c:pt idx="287">
                        <c:v>-377.70106797961103</c:v>
                      </c:pt>
                      <c:pt idx="288">
                        <c:v>-377.70106797961103</c:v>
                      </c:pt>
                      <c:pt idx="289">
                        <c:v>-377.70106797961103</c:v>
                      </c:pt>
                      <c:pt idx="290">
                        <c:v>-366.42106797961105</c:v>
                      </c:pt>
                      <c:pt idx="291">
                        <c:v>-366.42106797961105</c:v>
                      </c:pt>
                      <c:pt idx="292">
                        <c:v>-366.42106797961105</c:v>
                      </c:pt>
                      <c:pt idx="293">
                        <c:v>-366.42106797961105</c:v>
                      </c:pt>
                      <c:pt idx="294">
                        <c:v>-366.42106797961105</c:v>
                      </c:pt>
                      <c:pt idx="295">
                        <c:v>-394.76106797961097</c:v>
                      </c:pt>
                      <c:pt idx="296">
                        <c:v>-394.76106797961097</c:v>
                      </c:pt>
                      <c:pt idx="297">
                        <c:v>-339.68106797961104</c:v>
                      </c:pt>
                      <c:pt idx="298">
                        <c:v>-339.68106797961104</c:v>
                      </c:pt>
                      <c:pt idx="299">
                        <c:v>-339.68106797961104</c:v>
                      </c:pt>
                      <c:pt idx="300">
                        <c:v>-339.68106797961104</c:v>
                      </c:pt>
                      <c:pt idx="301">
                        <c:v>-339.68106797961104</c:v>
                      </c:pt>
                      <c:pt idx="302">
                        <c:v>-339.68106797961104</c:v>
                      </c:pt>
                      <c:pt idx="303">
                        <c:v>-339.68106797961104</c:v>
                      </c:pt>
                      <c:pt idx="304">
                        <c:v>-438.46106797961124</c:v>
                      </c:pt>
                      <c:pt idx="305">
                        <c:v>-438.46106797961124</c:v>
                      </c:pt>
                      <c:pt idx="306">
                        <c:v>-438.46106797961124</c:v>
                      </c:pt>
                      <c:pt idx="307">
                        <c:v>-438.46106797961124</c:v>
                      </c:pt>
                      <c:pt idx="308">
                        <c:v>-438.46106797961124</c:v>
                      </c:pt>
                      <c:pt idx="309">
                        <c:v>-390.96106797961124</c:v>
                      </c:pt>
                      <c:pt idx="310">
                        <c:v>-390.96106797961124</c:v>
                      </c:pt>
                      <c:pt idx="311">
                        <c:v>-390.96106797961124</c:v>
                      </c:pt>
                      <c:pt idx="312">
                        <c:v>-390.96106797961124</c:v>
                      </c:pt>
                      <c:pt idx="313">
                        <c:v>-349.11106797961111</c:v>
                      </c:pt>
                      <c:pt idx="314">
                        <c:v>-349.11106797961111</c:v>
                      </c:pt>
                      <c:pt idx="315">
                        <c:v>-349.11106797961111</c:v>
                      </c:pt>
                      <c:pt idx="316">
                        <c:v>-342.69106797961103</c:v>
                      </c:pt>
                      <c:pt idx="317">
                        <c:v>-340.17106797961105</c:v>
                      </c:pt>
                      <c:pt idx="318">
                        <c:v>-340.17106797961105</c:v>
                      </c:pt>
                      <c:pt idx="319">
                        <c:v>-340.17106797961105</c:v>
                      </c:pt>
                      <c:pt idx="320">
                        <c:v>-340.17106797961105</c:v>
                      </c:pt>
                      <c:pt idx="321">
                        <c:v>-340.17106797961105</c:v>
                      </c:pt>
                      <c:pt idx="322">
                        <c:v>-340.17106797961105</c:v>
                      </c:pt>
                      <c:pt idx="323">
                        <c:v>-340.17106797961105</c:v>
                      </c:pt>
                      <c:pt idx="324">
                        <c:v>-340.17106797961105</c:v>
                      </c:pt>
                      <c:pt idx="325">
                        <c:v>-340.17106797961105</c:v>
                      </c:pt>
                      <c:pt idx="326">
                        <c:v>-340.17106797961105</c:v>
                      </c:pt>
                      <c:pt idx="327">
                        <c:v>-340.17106797961105</c:v>
                      </c:pt>
                      <c:pt idx="328">
                        <c:v>-340.17106797961105</c:v>
                      </c:pt>
                      <c:pt idx="329">
                        <c:v>-240.66106797961083</c:v>
                      </c:pt>
                      <c:pt idx="330">
                        <c:v>-240.66106797961083</c:v>
                      </c:pt>
                      <c:pt idx="331">
                        <c:v>-240.66106797961083</c:v>
                      </c:pt>
                      <c:pt idx="332">
                        <c:v>-240.66106797961083</c:v>
                      </c:pt>
                      <c:pt idx="333">
                        <c:v>-240.66106797961083</c:v>
                      </c:pt>
                      <c:pt idx="334">
                        <c:v>-178.13106797961063</c:v>
                      </c:pt>
                      <c:pt idx="335">
                        <c:v>-178.13106797961063</c:v>
                      </c:pt>
                      <c:pt idx="336">
                        <c:v>-178.13106797961063</c:v>
                      </c:pt>
                      <c:pt idx="337">
                        <c:v>-178.13106797961063</c:v>
                      </c:pt>
                      <c:pt idx="338">
                        <c:v>-206.13106797961063</c:v>
                      </c:pt>
                      <c:pt idx="339">
                        <c:v>-206.13106797961063</c:v>
                      </c:pt>
                      <c:pt idx="340">
                        <c:v>-206.13106797961063</c:v>
                      </c:pt>
                      <c:pt idx="341">
                        <c:v>-203.43106797961059</c:v>
                      </c:pt>
                      <c:pt idx="342">
                        <c:v>-203.43106797961059</c:v>
                      </c:pt>
                      <c:pt idx="343">
                        <c:v>-203.43106797961059</c:v>
                      </c:pt>
                      <c:pt idx="344">
                        <c:v>-203.43106797961059</c:v>
                      </c:pt>
                      <c:pt idx="345">
                        <c:v>-295.97106797961055</c:v>
                      </c:pt>
                      <c:pt idx="346">
                        <c:v>-295.97106797961055</c:v>
                      </c:pt>
                    </c:numCache>
                  </c:numRef>
                </c:val>
                <c:smooth val="0"/>
                <c:extLst>
                  <c:ext xmlns:c16="http://schemas.microsoft.com/office/drawing/2014/chart" uri="{C3380CC4-5D6E-409C-BE32-E72D297353CC}">
                    <c16:uniqueId val="{00000004-CCEC-4BD8-9508-C56E4326B937}"/>
                  </c:ext>
                </c:extLst>
              </c15:ser>
            </c15:filteredLineSeries>
            <c15:filteredLineSeries>
              <c15:ser>
                <c:idx val="4"/>
                <c:order val="4"/>
                <c:tx>
                  <c:v>SW (MOC)</c:v>
                </c:tx>
                <c:spPr>
                  <a:ln w="28575" cap="rnd">
                    <a:solidFill>
                      <a:schemeClr val="accent4">
                        <a:lumMod val="60000"/>
                        <a:lumOff val="40000"/>
                      </a:schemeClr>
                    </a:solidFill>
                    <a:prstDash val="sysDash"/>
                    <a:round/>
                  </a:ln>
                  <a:effectLst/>
                </c:spPr>
                <c:marker>
                  <c:symbol val="none"/>
                </c:marker>
                <c:val>
                  <c:numRef>
                    <c:extLst xmlns:c15="http://schemas.microsoft.com/office/drawing/2012/chart">
                      <c:ext xmlns:c15="http://schemas.microsoft.com/office/drawing/2012/chart" uri="{02D57815-91ED-43cb-92C2-25804820EDAC}">
                        <c15:formulaRef>
                          <c15:sqref>'2025-Q2'!$AV$4:$AV$350</c15:sqref>
                        </c15:formulaRef>
                      </c:ext>
                    </c:extLst>
                    <c:numCache>
                      <c:formatCode>"$"#,##0</c:formatCode>
                      <c:ptCount val="347"/>
                      <c:pt idx="0">
                        <c:v>0</c:v>
                      </c:pt>
                      <c:pt idx="1">
                        <c:v>0</c:v>
                      </c:pt>
                      <c:pt idx="2">
                        <c:v>45.449999999999818</c:v>
                      </c:pt>
                      <c:pt idx="3">
                        <c:v>35.25</c:v>
                      </c:pt>
                      <c:pt idx="4">
                        <c:v>55.25</c:v>
                      </c:pt>
                      <c:pt idx="5">
                        <c:v>70.090000000000146</c:v>
                      </c:pt>
                      <c:pt idx="6">
                        <c:v>85.490000000000236</c:v>
                      </c:pt>
                      <c:pt idx="7">
                        <c:v>158.24</c:v>
                      </c:pt>
                      <c:pt idx="8">
                        <c:v>177.32000000000005</c:v>
                      </c:pt>
                      <c:pt idx="9">
                        <c:v>177.32000000000005</c:v>
                      </c:pt>
                      <c:pt idx="10">
                        <c:v>197.30000000000007</c:v>
                      </c:pt>
                      <c:pt idx="11">
                        <c:v>236.89999999999998</c:v>
                      </c:pt>
                      <c:pt idx="12">
                        <c:v>236.89999999999998</c:v>
                      </c:pt>
                      <c:pt idx="13">
                        <c:v>231.72000000000014</c:v>
                      </c:pt>
                      <c:pt idx="14">
                        <c:v>231.72000000000014</c:v>
                      </c:pt>
                      <c:pt idx="15">
                        <c:v>231.54000000000008</c:v>
                      </c:pt>
                      <c:pt idx="16">
                        <c:v>231.54000000000008</c:v>
                      </c:pt>
                      <c:pt idx="17">
                        <c:v>231.54000000000008</c:v>
                      </c:pt>
                      <c:pt idx="18">
                        <c:v>212.34000000000003</c:v>
                      </c:pt>
                      <c:pt idx="19">
                        <c:v>243.65999999999997</c:v>
                      </c:pt>
                      <c:pt idx="20">
                        <c:v>256.64966594568602</c:v>
                      </c:pt>
                      <c:pt idx="21">
                        <c:v>252.56795937946242</c:v>
                      </c:pt>
                      <c:pt idx="22">
                        <c:v>252.56795937946242</c:v>
                      </c:pt>
                      <c:pt idx="23">
                        <c:v>258.96870149449035</c:v>
                      </c:pt>
                      <c:pt idx="24">
                        <c:v>281.78870149449051</c:v>
                      </c:pt>
                      <c:pt idx="25">
                        <c:v>19.92870149449061</c:v>
                      </c:pt>
                      <c:pt idx="26">
                        <c:v>19.92870149449061</c:v>
                      </c:pt>
                      <c:pt idx="27">
                        <c:v>19.92870149449061</c:v>
                      </c:pt>
                      <c:pt idx="28">
                        <c:v>19.92870149449061</c:v>
                      </c:pt>
                      <c:pt idx="29">
                        <c:v>26.67870149449061</c:v>
                      </c:pt>
                      <c:pt idx="30">
                        <c:v>26.67870149449061</c:v>
                      </c:pt>
                      <c:pt idx="31">
                        <c:v>26.67870149449061</c:v>
                      </c:pt>
                      <c:pt idx="32">
                        <c:v>26.67870149449061</c:v>
                      </c:pt>
                      <c:pt idx="33">
                        <c:v>18.628701494490656</c:v>
                      </c:pt>
                      <c:pt idx="34">
                        <c:v>-37.621298505509344</c:v>
                      </c:pt>
                      <c:pt idx="35">
                        <c:v>-117.30129850550941</c:v>
                      </c:pt>
                      <c:pt idx="36">
                        <c:v>-117.30129850550941</c:v>
                      </c:pt>
                      <c:pt idx="37">
                        <c:v>-136.55129850550941</c:v>
                      </c:pt>
                      <c:pt idx="38">
                        <c:v>-121.67129850550941</c:v>
                      </c:pt>
                      <c:pt idx="39">
                        <c:v>-121.67129850550941</c:v>
                      </c:pt>
                      <c:pt idx="40">
                        <c:v>-121.67129850550941</c:v>
                      </c:pt>
                      <c:pt idx="41">
                        <c:v>-121.67129850550941</c:v>
                      </c:pt>
                      <c:pt idx="42">
                        <c:v>-121.67129850550941</c:v>
                      </c:pt>
                      <c:pt idx="43">
                        <c:v>-45.861298505509467</c:v>
                      </c:pt>
                      <c:pt idx="44">
                        <c:v>-39.361298505509467</c:v>
                      </c:pt>
                      <c:pt idx="45">
                        <c:v>-28.111298505509467</c:v>
                      </c:pt>
                      <c:pt idx="46">
                        <c:v>-28.111298505509467</c:v>
                      </c:pt>
                      <c:pt idx="47">
                        <c:v>-28.111298505509467</c:v>
                      </c:pt>
                      <c:pt idx="48">
                        <c:v>-28.111298505509467</c:v>
                      </c:pt>
                      <c:pt idx="49">
                        <c:v>-142.53968337706056</c:v>
                      </c:pt>
                      <c:pt idx="50">
                        <c:v>-160.4474473522157</c:v>
                      </c:pt>
                      <c:pt idx="51">
                        <c:v>-68.287447352215622</c:v>
                      </c:pt>
                      <c:pt idx="52">
                        <c:v>-68.287447352215622</c:v>
                      </c:pt>
                      <c:pt idx="53">
                        <c:v>-33.00744735221565</c:v>
                      </c:pt>
                      <c:pt idx="54">
                        <c:v>-14.627447352215654</c:v>
                      </c:pt>
                      <c:pt idx="55">
                        <c:v>-14.627447352215654</c:v>
                      </c:pt>
                      <c:pt idx="56">
                        <c:v>-64.227447352215677</c:v>
                      </c:pt>
                      <c:pt idx="57">
                        <c:v>-64.227447352215677</c:v>
                      </c:pt>
                      <c:pt idx="58">
                        <c:v>-32.927447352215609</c:v>
                      </c:pt>
                      <c:pt idx="59">
                        <c:v>5.1725526477844141</c:v>
                      </c:pt>
                      <c:pt idx="60">
                        <c:v>7.8725526477844596</c:v>
                      </c:pt>
                      <c:pt idx="61">
                        <c:v>37.932552647784405</c:v>
                      </c:pt>
                      <c:pt idx="62">
                        <c:v>102.73255264778447</c:v>
                      </c:pt>
                      <c:pt idx="63">
                        <c:v>118.39255264778456</c:v>
                      </c:pt>
                      <c:pt idx="64">
                        <c:v>125.29255264778453</c:v>
                      </c:pt>
                      <c:pt idx="65">
                        <c:v>174.54255264778453</c:v>
                      </c:pt>
                      <c:pt idx="66">
                        <c:v>174.54255264778453</c:v>
                      </c:pt>
                      <c:pt idx="67">
                        <c:v>174.54255264778453</c:v>
                      </c:pt>
                      <c:pt idx="68">
                        <c:v>174.54255264778453</c:v>
                      </c:pt>
                      <c:pt idx="69">
                        <c:v>174.54255264778453</c:v>
                      </c:pt>
                      <c:pt idx="70">
                        <c:v>174.54255264778453</c:v>
                      </c:pt>
                      <c:pt idx="71">
                        <c:v>174.54255264778453</c:v>
                      </c:pt>
                      <c:pt idx="72">
                        <c:v>215.38255264778456</c:v>
                      </c:pt>
                      <c:pt idx="73">
                        <c:v>188.17255264778453</c:v>
                      </c:pt>
                      <c:pt idx="74">
                        <c:v>219.13255264778456</c:v>
                      </c:pt>
                      <c:pt idx="75">
                        <c:v>165.93255264778452</c:v>
                      </c:pt>
                      <c:pt idx="76">
                        <c:v>215.8325526477845</c:v>
                      </c:pt>
                      <c:pt idx="77">
                        <c:v>259.68255264778452</c:v>
                      </c:pt>
                      <c:pt idx="78">
                        <c:v>195.08255264778461</c:v>
                      </c:pt>
                      <c:pt idx="79">
                        <c:v>195.08255264778461</c:v>
                      </c:pt>
                      <c:pt idx="80">
                        <c:v>208.3425526477846</c:v>
                      </c:pt>
                      <c:pt idx="81">
                        <c:v>208.3425526477846</c:v>
                      </c:pt>
                      <c:pt idx="82">
                        <c:v>208.3425526477846</c:v>
                      </c:pt>
                      <c:pt idx="83">
                        <c:v>236.54255264778465</c:v>
                      </c:pt>
                      <c:pt idx="84">
                        <c:v>75.742552647784692</c:v>
                      </c:pt>
                      <c:pt idx="85">
                        <c:v>75.742552647784692</c:v>
                      </c:pt>
                      <c:pt idx="86">
                        <c:v>44.742552647784692</c:v>
                      </c:pt>
                      <c:pt idx="87">
                        <c:v>44.742552647784692</c:v>
                      </c:pt>
                      <c:pt idx="88">
                        <c:v>44.742552647784692</c:v>
                      </c:pt>
                      <c:pt idx="89">
                        <c:v>59.622552647784573</c:v>
                      </c:pt>
                      <c:pt idx="90">
                        <c:v>59.622552647784573</c:v>
                      </c:pt>
                      <c:pt idx="91">
                        <c:v>59.622552647784573</c:v>
                      </c:pt>
                      <c:pt idx="92">
                        <c:v>59.622552647784573</c:v>
                      </c:pt>
                      <c:pt idx="93">
                        <c:v>30.959567043367201</c:v>
                      </c:pt>
                      <c:pt idx="94">
                        <c:v>47.809567043367224</c:v>
                      </c:pt>
                      <c:pt idx="95">
                        <c:v>47.809567043367224</c:v>
                      </c:pt>
                      <c:pt idx="96">
                        <c:v>47.809567043367224</c:v>
                      </c:pt>
                      <c:pt idx="97">
                        <c:v>47.809567043367224</c:v>
                      </c:pt>
                      <c:pt idx="98">
                        <c:v>47.809567043367224</c:v>
                      </c:pt>
                      <c:pt idx="99">
                        <c:v>-49.590432956632867</c:v>
                      </c:pt>
                      <c:pt idx="100">
                        <c:v>-49.590432956632867</c:v>
                      </c:pt>
                      <c:pt idx="101">
                        <c:v>-67.840432956632867</c:v>
                      </c:pt>
                      <c:pt idx="102">
                        <c:v>-68.000432956632835</c:v>
                      </c:pt>
                      <c:pt idx="103">
                        <c:v>-68.000432956632835</c:v>
                      </c:pt>
                      <c:pt idx="104">
                        <c:v>-71.840432956632753</c:v>
                      </c:pt>
                      <c:pt idx="105">
                        <c:v>-71.840432956632753</c:v>
                      </c:pt>
                      <c:pt idx="106">
                        <c:v>-71.840432956632753</c:v>
                      </c:pt>
                      <c:pt idx="107">
                        <c:v>-136.64043295663271</c:v>
                      </c:pt>
                      <c:pt idx="108">
                        <c:v>-122.36043295663274</c:v>
                      </c:pt>
                      <c:pt idx="109">
                        <c:v>-176.00043295663284</c:v>
                      </c:pt>
                      <c:pt idx="110">
                        <c:v>-176.00043295663284</c:v>
                      </c:pt>
                      <c:pt idx="111">
                        <c:v>-176.00043295663284</c:v>
                      </c:pt>
                      <c:pt idx="112">
                        <c:v>-216.47043295663286</c:v>
                      </c:pt>
                      <c:pt idx="113">
                        <c:v>-188.0787935487491</c:v>
                      </c:pt>
                      <c:pt idx="114">
                        <c:v>-175.97879354874919</c:v>
                      </c:pt>
                      <c:pt idx="115">
                        <c:v>-61.018793548749386</c:v>
                      </c:pt>
                      <c:pt idx="116">
                        <c:v>-61.018793548749386</c:v>
                      </c:pt>
                      <c:pt idx="117">
                        <c:v>-61.018793548749386</c:v>
                      </c:pt>
                      <c:pt idx="118">
                        <c:v>-25.19879354874945</c:v>
                      </c:pt>
                      <c:pt idx="119">
                        <c:v>-31.378793548749513</c:v>
                      </c:pt>
                      <c:pt idx="120">
                        <c:v>-31.378793548749513</c:v>
                      </c:pt>
                      <c:pt idx="121">
                        <c:v>-31.378793548749513</c:v>
                      </c:pt>
                      <c:pt idx="122">
                        <c:v>-100.2787935487496</c:v>
                      </c:pt>
                      <c:pt idx="123">
                        <c:v>-109.67879354874947</c:v>
                      </c:pt>
                      <c:pt idx="124">
                        <c:v>-109.67879354874947</c:v>
                      </c:pt>
                      <c:pt idx="125">
                        <c:v>-43.758793548749395</c:v>
                      </c:pt>
                      <c:pt idx="126">
                        <c:v>-42.408793548749259</c:v>
                      </c:pt>
                      <c:pt idx="127">
                        <c:v>-42.408793548749259</c:v>
                      </c:pt>
                      <c:pt idx="128">
                        <c:v>-18.358793548749304</c:v>
                      </c:pt>
                      <c:pt idx="129">
                        <c:v>-18.358793548749304</c:v>
                      </c:pt>
                      <c:pt idx="130">
                        <c:v>24.921206451250669</c:v>
                      </c:pt>
                      <c:pt idx="131">
                        <c:v>24.921206451250669</c:v>
                      </c:pt>
                      <c:pt idx="132">
                        <c:v>18.921206451250555</c:v>
                      </c:pt>
                      <c:pt idx="133">
                        <c:v>18.921206451250555</c:v>
                      </c:pt>
                      <c:pt idx="134">
                        <c:v>18.921206451250555</c:v>
                      </c:pt>
                      <c:pt idx="135">
                        <c:v>18.921206451250555</c:v>
                      </c:pt>
                      <c:pt idx="136">
                        <c:v>18.921206451250555</c:v>
                      </c:pt>
                      <c:pt idx="137">
                        <c:v>18.921206451250555</c:v>
                      </c:pt>
                      <c:pt idx="138">
                        <c:v>18.921206451250555</c:v>
                      </c:pt>
                      <c:pt idx="139">
                        <c:v>18.921206451250555</c:v>
                      </c:pt>
                      <c:pt idx="140">
                        <c:v>26.761206451250359</c:v>
                      </c:pt>
                      <c:pt idx="141">
                        <c:v>26.761206451250359</c:v>
                      </c:pt>
                      <c:pt idx="142">
                        <c:v>26.761206451250359</c:v>
                      </c:pt>
                      <c:pt idx="143">
                        <c:v>26.761206451250359</c:v>
                      </c:pt>
                      <c:pt idx="144">
                        <c:v>26.761206451250359</c:v>
                      </c:pt>
                      <c:pt idx="145">
                        <c:v>26.761206451250359</c:v>
                      </c:pt>
                      <c:pt idx="146">
                        <c:v>26.761206451250359</c:v>
                      </c:pt>
                      <c:pt idx="147">
                        <c:v>26.761206451250359</c:v>
                      </c:pt>
                      <c:pt idx="148">
                        <c:v>32.011206451250359</c:v>
                      </c:pt>
                      <c:pt idx="149">
                        <c:v>82.511206451250359</c:v>
                      </c:pt>
                      <c:pt idx="150">
                        <c:v>113.42120645125044</c:v>
                      </c:pt>
                      <c:pt idx="151">
                        <c:v>236.01120645125059</c:v>
                      </c:pt>
                      <c:pt idx="152">
                        <c:v>236.01120645125059</c:v>
                      </c:pt>
                      <c:pt idx="153">
                        <c:v>178.41120645125056</c:v>
                      </c:pt>
                      <c:pt idx="154">
                        <c:v>190.35120645125062</c:v>
                      </c:pt>
                      <c:pt idx="155">
                        <c:v>171.54120645125067</c:v>
                      </c:pt>
                      <c:pt idx="156">
                        <c:v>171.54120645125067</c:v>
                      </c:pt>
                      <c:pt idx="157">
                        <c:v>175.84120645125066</c:v>
                      </c:pt>
                      <c:pt idx="158">
                        <c:v>141.43120645125069</c:v>
                      </c:pt>
                      <c:pt idx="159">
                        <c:v>48.131206451250733</c:v>
                      </c:pt>
                      <c:pt idx="160">
                        <c:v>85.331206451250551</c:v>
                      </c:pt>
                      <c:pt idx="161">
                        <c:v>118.93120645125057</c:v>
                      </c:pt>
                      <c:pt idx="162">
                        <c:v>118.93120645125057</c:v>
                      </c:pt>
                      <c:pt idx="163">
                        <c:v>118.93120645125057</c:v>
                      </c:pt>
                      <c:pt idx="164">
                        <c:v>126.41120645125059</c:v>
                      </c:pt>
                      <c:pt idx="165">
                        <c:v>216.02120645125072</c:v>
                      </c:pt>
                      <c:pt idx="166">
                        <c:v>208.66120645125071</c:v>
                      </c:pt>
                      <c:pt idx="167">
                        <c:v>227.98120645125087</c:v>
                      </c:pt>
                      <c:pt idx="168">
                        <c:v>227.98120645125087</c:v>
                      </c:pt>
                      <c:pt idx="169">
                        <c:v>247.23120645125087</c:v>
                      </c:pt>
                      <c:pt idx="170">
                        <c:v>247.23120645125087</c:v>
                      </c:pt>
                      <c:pt idx="171">
                        <c:v>161.08120645125089</c:v>
                      </c:pt>
                      <c:pt idx="172">
                        <c:v>161.08120645125089</c:v>
                      </c:pt>
                      <c:pt idx="173">
                        <c:v>229.00120645125085</c:v>
                      </c:pt>
                      <c:pt idx="174">
                        <c:v>229.00120645125085</c:v>
                      </c:pt>
                      <c:pt idx="175">
                        <c:v>319.42120645125067</c:v>
                      </c:pt>
                      <c:pt idx="176">
                        <c:v>319.42120645125067</c:v>
                      </c:pt>
                      <c:pt idx="177">
                        <c:v>365.84120645125074</c:v>
                      </c:pt>
                      <c:pt idx="178">
                        <c:v>365.84120645125074</c:v>
                      </c:pt>
                      <c:pt idx="179">
                        <c:v>365.84120645125074</c:v>
                      </c:pt>
                      <c:pt idx="180">
                        <c:v>314.2412064512506</c:v>
                      </c:pt>
                      <c:pt idx="181">
                        <c:v>307.34120645125074</c:v>
                      </c:pt>
                      <c:pt idx="182">
                        <c:v>332.24120645125083</c:v>
                      </c:pt>
                      <c:pt idx="183">
                        <c:v>339.09120645125086</c:v>
                      </c:pt>
                      <c:pt idx="184">
                        <c:v>339.09120645125086</c:v>
                      </c:pt>
                      <c:pt idx="185">
                        <c:v>339.09120645125086</c:v>
                      </c:pt>
                      <c:pt idx="186">
                        <c:v>339.09120645125086</c:v>
                      </c:pt>
                      <c:pt idx="187">
                        <c:v>331.25120645125094</c:v>
                      </c:pt>
                      <c:pt idx="188">
                        <c:v>331.25120645125094</c:v>
                      </c:pt>
                      <c:pt idx="189">
                        <c:v>331.25120645125094</c:v>
                      </c:pt>
                      <c:pt idx="190">
                        <c:v>271.49120645125095</c:v>
                      </c:pt>
                      <c:pt idx="191">
                        <c:v>271.49120645125095</c:v>
                      </c:pt>
                      <c:pt idx="192">
                        <c:v>218.73120645125073</c:v>
                      </c:pt>
                      <c:pt idx="193">
                        <c:v>218.73120645125073</c:v>
                      </c:pt>
                      <c:pt idx="194">
                        <c:v>218.73120645125073</c:v>
                      </c:pt>
                      <c:pt idx="195">
                        <c:v>158.55120645125089</c:v>
                      </c:pt>
                      <c:pt idx="196">
                        <c:v>155.69120645125099</c:v>
                      </c:pt>
                      <c:pt idx="197">
                        <c:v>155.69120645125099</c:v>
                      </c:pt>
                      <c:pt idx="198">
                        <c:v>155.69120645125099</c:v>
                      </c:pt>
                      <c:pt idx="199">
                        <c:v>155.69120645125099</c:v>
                      </c:pt>
                      <c:pt idx="200">
                        <c:v>155.69120645125099</c:v>
                      </c:pt>
                      <c:pt idx="201">
                        <c:v>155.69120645125099</c:v>
                      </c:pt>
                      <c:pt idx="202">
                        <c:v>165.81120645125111</c:v>
                      </c:pt>
                      <c:pt idx="203">
                        <c:v>165.81120645125111</c:v>
                      </c:pt>
                      <c:pt idx="204">
                        <c:v>194.93120645125123</c:v>
                      </c:pt>
                      <c:pt idx="205">
                        <c:v>118.37120645125117</c:v>
                      </c:pt>
                      <c:pt idx="206">
                        <c:v>195.83120645125121</c:v>
                      </c:pt>
                      <c:pt idx="207">
                        <c:v>195.83120645125121</c:v>
                      </c:pt>
                      <c:pt idx="208">
                        <c:v>181.91120645125113</c:v>
                      </c:pt>
                      <c:pt idx="209">
                        <c:v>181.91120645125113</c:v>
                      </c:pt>
                      <c:pt idx="210">
                        <c:v>77.06120645125111</c:v>
                      </c:pt>
                      <c:pt idx="211">
                        <c:v>66.701206451251096</c:v>
                      </c:pt>
                      <c:pt idx="212">
                        <c:v>85.211399342838945</c:v>
                      </c:pt>
                      <c:pt idx="213">
                        <c:v>85.211399342838945</c:v>
                      </c:pt>
                      <c:pt idx="214">
                        <c:v>85.211399342838945</c:v>
                      </c:pt>
                      <c:pt idx="215">
                        <c:v>85.211399342838945</c:v>
                      </c:pt>
                      <c:pt idx="216">
                        <c:v>129.05139934283909</c:v>
                      </c:pt>
                      <c:pt idx="217">
                        <c:v>129.05139934283909</c:v>
                      </c:pt>
                      <c:pt idx="218">
                        <c:v>129.05139934283909</c:v>
                      </c:pt>
                      <c:pt idx="219">
                        <c:v>246.01139934283913</c:v>
                      </c:pt>
                      <c:pt idx="220">
                        <c:v>246.01139934283913</c:v>
                      </c:pt>
                      <c:pt idx="221">
                        <c:v>231.71139934283894</c:v>
                      </c:pt>
                      <c:pt idx="222">
                        <c:v>231.71139934283894</c:v>
                      </c:pt>
                      <c:pt idx="223">
                        <c:v>231.71139934283894</c:v>
                      </c:pt>
                      <c:pt idx="224">
                        <c:v>302.23139934283893</c:v>
                      </c:pt>
                      <c:pt idx="225">
                        <c:v>302.23139934283893</c:v>
                      </c:pt>
                      <c:pt idx="226">
                        <c:v>199.28139934283888</c:v>
                      </c:pt>
                      <c:pt idx="227">
                        <c:v>199.28139934283888</c:v>
                      </c:pt>
                      <c:pt idx="228">
                        <c:v>216.20139934283895</c:v>
                      </c:pt>
                      <c:pt idx="229">
                        <c:v>255.68139934283897</c:v>
                      </c:pt>
                      <c:pt idx="230">
                        <c:v>255.68139934283897</c:v>
                      </c:pt>
                      <c:pt idx="231">
                        <c:v>213.14249066104651</c:v>
                      </c:pt>
                      <c:pt idx="232">
                        <c:v>266.9024906610465</c:v>
                      </c:pt>
                      <c:pt idx="233">
                        <c:v>256.66249066104672</c:v>
                      </c:pt>
                      <c:pt idx="234">
                        <c:v>256.66249066104672</c:v>
                      </c:pt>
                      <c:pt idx="235">
                        <c:v>256.66249066104672</c:v>
                      </c:pt>
                      <c:pt idx="236">
                        <c:v>256.66249066104672</c:v>
                      </c:pt>
                      <c:pt idx="237">
                        <c:v>264.4624906610469</c:v>
                      </c:pt>
                      <c:pt idx="238">
                        <c:v>167.92249066104694</c:v>
                      </c:pt>
                      <c:pt idx="239">
                        <c:v>187.36249066104699</c:v>
                      </c:pt>
                      <c:pt idx="240">
                        <c:v>187.36249066104699</c:v>
                      </c:pt>
                      <c:pt idx="241">
                        <c:v>187.36249066104699</c:v>
                      </c:pt>
                      <c:pt idx="242">
                        <c:v>186.04249066104705</c:v>
                      </c:pt>
                      <c:pt idx="243">
                        <c:v>186.04249066104705</c:v>
                      </c:pt>
                      <c:pt idx="244">
                        <c:v>87.822490661047027</c:v>
                      </c:pt>
                      <c:pt idx="245">
                        <c:v>87.822490661047027</c:v>
                      </c:pt>
                      <c:pt idx="246">
                        <c:v>87.822490661047027</c:v>
                      </c:pt>
                      <c:pt idx="247">
                        <c:v>87.822490661047027</c:v>
                      </c:pt>
                      <c:pt idx="248">
                        <c:v>87.822490661047027</c:v>
                      </c:pt>
                      <c:pt idx="249">
                        <c:v>87.822490661047027</c:v>
                      </c:pt>
                      <c:pt idx="250">
                        <c:v>87.822490661047027</c:v>
                      </c:pt>
                      <c:pt idx="251">
                        <c:v>-6.3775093389530184</c:v>
                      </c:pt>
                      <c:pt idx="252">
                        <c:v>3.4224906610469361</c:v>
                      </c:pt>
                      <c:pt idx="253">
                        <c:v>3.4224906610469361</c:v>
                      </c:pt>
                      <c:pt idx="254">
                        <c:v>3.4224906610469361</c:v>
                      </c:pt>
                      <c:pt idx="255">
                        <c:v>3.4224906610469361</c:v>
                      </c:pt>
                      <c:pt idx="256">
                        <c:v>33.122490661046754</c:v>
                      </c:pt>
                      <c:pt idx="257">
                        <c:v>33.122490661046754</c:v>
                      </c:pt>
                      <c:pt idx="258">
                        <c:v>33.122490661046754</c:v>
                      </c:pt>
                      <c:pt idx="259">
                        <c:v>33.122490661046754</c:v>
                      </c:pt>
                      <c:pt idx="260">
                        <c:v>33.122490661046754</c:v>
                      </c:pt>
                      <c:pt idx="261">
                        <c:v>33.122490661046754</c:v>
                      </c:pt>
                      <c:pt idx="262">
                        <c:v>33.122490661046754</c:v>
                      </c:pt>
                      <c:pt idx="263">
                        <c:v>-3.3275093389532913</c:v>
                      </c:pt>
                      <c:pt idx="264">
                        <c:v>-3.3275093389532913</c:v>
                      </c:pt>
                      <c:pt idx="265">
                        <c:v>-3.3275093389532913</c:v>
                      </c:pt>
                      <c:pt idx="266">
                        <c:v>20.122490661046527</c:v>
                      </c:pt>
                      <c:pt idx="267">
                        <c:v>20.122490661046527</c:v>
                      </c:pt>
                      <c:pt idx="268">
                        <c:v>20.122490661046527</c:v>
                      </c:pt>
                      <c:pt idx="269">
                        <c:v>20.122490661046527</c:v>
                      </c:pt>
                      <c:pt idx="270">
                        <c:v>20.122490661046527</c:v>
                      </c:pt>
                      <c:pt idx="271">
                        <c:v>20.122490661046527</c:v>
                      </c:pt>
                      <c:pt idx="272">
                        <c:v>20.122490661046527</c:v>
                      </c:pt>
                      <c:pt idx="273">
                        <c:v>20.122490661046527</c:v>
                      </c:pt>
                      <c:pt idx="274">
                        <c:v>20.122490661046527</c:v>
                      </c:pt>
                      <c:pt idx="275">
                        <c:v>20.122490661046527</c:v>
                      </c:pt>
                      <c:pt idx="276">
                        <c:v>20.122490661046527</c:v>
                      </c:pt>
                      <c:pt idx="277">
                        <c:v>20.122490661046527</c:v>
                      </c:pt>
                      <c:pt idx="278">
                        <c:v>20.122490661046527</c:v>
                      </c:pt>
                      <c:pt idx="279">
                        <c:v>20.122490661046527</c:v>
                      </c:pt>
                      <c:pt idx="280">
                        <c:v>15.562490661046581</c:v>
                      </c:pt>
                      <c:pt idx="281">
                        <c:v>-40.597509338953273</c:v>
                      </c:pt>
                      <c:pt idx="282">
                        <c:v>-40.597509338953273</c:v>
                      </c:pt>
                      <c:pt idx="283">
                        <c:v>-40.597509338953273</c:v>
                      </c:pt>
                      <c:pt idx="284">
                        <c:v>-7.2975093389533185</c:v>
                      </c:pt>
                      <c:pt idx="285">
                        <c:v>-7.2975093389533185</c:v>
                      </c:pt>
                      <c:pt idx="286">
                        <c:v>1.1024906610467724</c:v>
                      </c:pt>
                      <c:pt idx="287">
                        <c:v>1.1024906610467724</c:v>
                      </c:pt>
                      <c:pt idx="288">
                        <c:v>151.70249066104691</c:v>
                      </c:pt>
                      <c:pt idx="289">
                        <c:v>151.70249066104691</c:v>
                      </c:pt>
                      <c:pt idx="290">
                        <c:v>151.70249066104691</c:v>
                      </c:pt>
                      <c:pt idx="291">
                        <c:v>151.70249066104691</c:v>
                      </c:pt>
                      <c:pt idx="292">
                        <c:v>151.70249066104691</c:v>
                      </c:pt>
                      <c:pt idx="293">
                        <c:v>148.00249066104664</c:v>
                      </c:pt>
                      <c:pt idx="294">
                        <c:v>148.00249066104664</c:v>
                      </c:pt>
                      <c:pt idx="295">
                        <c:v>148.00249066104664</c:v>
                      </c:pt>
                      <c:pt idx="296">
                        <c:v>148.00249066104664</c:v>
                      </c:pt>
                      <c:pt idx="297">
                        <c:v>148.00249066104664</c:v>
                      </c:pt>
                      <c:pt idx="298">
                        <c:v>148.00249066104664</c:v>
                      </c:pt>
                      <c:pt idx="299">
                        <c:v>121.60249066104666</c:v>
                      </c:pt>
                      <c:pt idx="300">
                        <c:v>175.24249066104653</c:v>
                      </c:pt>
                      <c:pt idx="301">
                        <c:v>345.26249066104651</c:v>
                      </c:pt>
                      <c:pt idx="302">
                        <c:v>345.26249066104651</c:v>
                      </c:pt>
                      <c:pt idx="303">
                        <c:v>428.48249066104654</c:v>
                      </c:pt>
                      <c:pt idx="304">
                        <c:v>428.48249066104654</c:v>
                      </c:pt>
                      <c:pt idx="305">
                        <c:v>531.88249066104663</c:v>
                      </c:pt>
                      <c:pt idx="306">
                        <c:v>676.08249066104668</c:v>
                      </c:pt>
                      <c:pt idx="307">
                        <c:v>685.53249066104672</c:v>
                      </c:pt>
                      <c:pt idx="308">
                        <c:v>685.53249066104672</c:v>
                      </c:pt>
                      <c:pt idx="309">
                        <c:v>685.53249066104672</c:v>
                      </c:pt>
                      <c:pt idx="310">
                        <c:v>685.53249066104672</c:v>
                      </c:pt>
                      <c:pt idx="311">
                        <c:v>685.53249066104672</c:v>
                      </c:pt>
                      <c:pt idx="312">
                        <c:v>685.53249066104672</c:v>
                      </c:pt>
                      <c:pt idx="313">
                        <c:v>685.53249066104672</c:v>
                      </c:pt>
                      <c:pt idx="314">
                        <c:v>685.53249066104672</c:v>
                      </c:pt>
                      <c:pt idx="315">
                        <c:v>685.53249066104672</c:v>
                      </c:pt>
                      <c:pt idx="316">
                        <c:v>685.53249066104672</c:v>
                      </c:pt>
                      <c:pt idx="317">
                        <c:v>685.53249066104672</c:v>
                      </c:pt>
                      <c:pt idx="318">
                        <c:v>599.43627194988017</c:v>
                      </c:pt>
                      <c:pt idx="319">
                        <c:v>814.11627194988023</c:v>
                      </c:pt>
                      <c:pt idx="320">
                        <c:v>814.11627194988023</c:v>
                      </c:pt>
                      <c:pt idx="321">
                        <c:v>804.91627194988018</c:v>
                      </c:pt>
                      <c:pt idx="322">
                        <c:v>869.71627194988037</c:v>
                      </c:pt>
                      <c:pt idx="323">
                        <c:v>640.46627194988037</c:v>
                      </c:pt>
                      <c:pt idx="324">
                        <c:v>640.46627194988037</c:v>
                      </c:pt>
                      <c:pt idx="325">
                        <c:v>690.46627194988037</c:v>
                      </c:pt>
                      <c:pt idx="326">
                        <c:v>690.46627194988037</c:v>
                      </c:pt>
                      <c:pt idx="327">
                        <c:v>686.86627194988023</c:v>
                      </c:pt>
                      <c:pt idx="328">
                        <c:v>659.41627194988018</c:v>
                      </c:pt>
                      <c:pt idx="329">
                        <c:v>659.41627194988018</c:v>
                      </c:pt>
                      <c:pt idx="330">
                        <c:v>659.41627194988018</c:v>
                      </c:pt>
                      <c:pt idx="331">
                        <c:v>730.45627194988015</c:v>
                      </c:pt>
                      <c:pt idx="332">
                        <c:v>846.73627194988012</c:v>
                      </c:pt>
                      <c:pt idx="333">
                        <c:v>906.13627194988021</c:v>
                      </c:pt>
                      <c:pt idx="334">
                        <c:v>906.13627194988021</c:v>
                      </c:pt>
                      <c:pt idx="335">
                        <c:v>962.59627194988025</c:v>
                      </c:pt>
                      <c:pt idx="336">
                        <c:v>956.35627194988024</c:v>
                      </c:pt>
                      <c:pt idx="337">
                        <c:v>956.35627194988024</c:v>
                      </c:pt>
                      <c:pt idx="338">
                        <c:v>956.35627194988024</c:v>
                      </c:pt>
                      <c:pt idx="339">
                        <c:v>892.09627194988025</c:v>
                      </c:pt>
                      <c:pt idx="340">
                        <c:v>768.40627194988019</c:v>
                      </c:pt>
                      <c:pt idx="341">
                        <c:v>768.40627194988019</c:v>
                      </c:pt>
                      <c:pt idx="342">
                        <c:v>768.40627194988019</c:v>
                      </c:pt>
                      <c:pt idx="343">
                        <c:v>759.08627194988026</c:v>
                      </c:pt>
                      <c:pt idx="344">
                        <c:v>631.52627194988031</c:v>
                      </c:pt>
                      <c:pt idx="345">
                        <c:v>631.52627194988031</c:v>
                      </c:pt>
                      <c:pt idx="346">
                        <c:v>631.52627194988031</c:v>
                      </c:pt>
                    </c:numCache>
                  </c:numRef>
                </c:val>
                <c:smooth val="0"/>
                <c:extLst xmlns:c15="http://schemas.microsoft.com/office/drawing/2012/chart">
                  <c:ext xmlns:c16="http://schemas.microsoft.com/office/drawing/2014/chart" uri="{C3380CC4-5D6E-409C-BE32-E72D297353CC}">
                    <c16:uniqueId val="{00000005-CCEC-4BD8-9508-C56E4326B937}"/>
                  </c:ext>
                </c:extLst>
              </c15:ser>
            </c15:filteredLineSeries>
            <c15:filteredLineSeries>
              <c15:ser>
                <c:idx val="6"/>
                <c:order val="6"/>
                <c:tx>
                  <c:v>Dwn (MOC)</c:v>
                </c:tx>
                <c:spPr>
                  <a:ln w="28575" cap="rnd">
                    <a:solidFill>
                      <a:schemeClr val="accent2">
                        <a:lumMod val="60000"/>
                        <a:lumOff val="40000"/>
                      </a:schemeClr>
                    </a:solidFill>
                    <a:prstDash val="sysDash"/>
                    <a:round/>
                  </a:ln>
                  <a:effectLst/>
                </c:spPr>
                <c:marker>
                  <c:symbol val="none"/>
                </c:marker>
                <c:val>
                  <c:numRef>
                    <c:extLst xmlns:c15="http://schemas.microsoft.com/office/drawing/2012/chart">
                      <c:ext xmlns:c15="http://schemas.microsoft.com/office/drawing/2012/chart" uri="{02D57815-91ED-43cb-92C2-25804820EDAC}">
                        <c15:formulaRef>
                          <c15:sqref>'2025-Q2'!$AZ$4:$AZ$350</c15:sqref>
                        </c15:formulaRef>
                      </c:ext>
                    </c:extLst>
                    <c:numCache>
                      <c:formatCode>"$"#,##0</c:formatCode>
                      <c:ptCount val="347"/>
                      <c:pt idx="0">
                        <c:v>-254.69999999999982</c:v>
                      </c:pt>
                      <c:pt idx="1">
                        <c:v>-262.79999999999973</c:v>
                      </c:pt>
                      <c:pt idx="2">
                        <c:v>-262.79999999999973</c:v>
                      </c:pt>
                      <c:pt idx="3">
                        <c:v>-262.79999999999973</c:v>
                      </c:pt>
                      <c:pt idx="4">
                        <c:v>-262.79999999999973</c:v>
                      </c:pt>
                      <c:pt idx="5">
                        <c:v>-262.79999999999973</c:v>
                      </c:pt>
                      <c:pt idx="6">
                        <c:v>-262.79999999999973</c:v>
                      </c:pt>
                      <c:pt idx="7">
                        <c:v>-262.79999999999973</c:v>
                      </c:pt>
                      <c:pt idx="8">
                        <c:v>-262.79999999999973</c:v>
                      </c:pt>
                      <c:pt idx="9">
                        <c:v>-266.68837290281726</c:v>
                      </c:pt>
                      <c:pt idx="10">
                        <c:v>-266.68837290281726</c:v>
                      </c:pt>
                      <c:pt idx="11">
                        <c:v>-266.68837290281726</c:v>
                      </c:pt>
                      <c:pt idx="12">
                        <c:v>-267.17837290281727</c:v>
                      </c:pt>
                      <c:pt idx="13">
                        <c:v>-267.17837290281727</c:v>
                      </c:pt>
                      <c:pt idx="14">
                        <c:v>-173.75837290281697</c:v>
                      </c:pt>
                      <c:pt idx="15">
                        <c:v>-173.75837290281697</c:v>
                      </c:pt>
                      <c:pt idx="16">
                        <c:v>-89.908372902816836</c:v>
                      </c:pt>
                      <c:pt idx="17">
                        <c:v>-65.608372902816654</c:v>
                      </c:pt>
                      <c:pt idx="18">
                        <c:v>-65.608372902816654</c:v>
                      </c:pt>
                      <c:pt idx="19">
                        <c:v>-65.608372902816654</c:v>
                      </c:pt>
                      <c:pt idx="20">
                        <c:v>-65.608372902816654</c:v>
                      </c:pt>
                      <c:pt idx="21">
                        <c:v>-65.608372902816654</c:v>
                      </c:pt>
                      <c:pt idx="22">
                        <c:v>-79.1383729028164</c:v>
                      </c:pt>
                      <c:pt idx="23">
                        <c:v>-79.1383729028164</c:v>
                      </c:pt>
                      <c:pt idx="24">
                        <c:v>-79.1383729028164</c:v>
                      </c:pt>
                      <c:pt idx="25">
                        <c:v>-79.1383729028164</c:v>
                      </c:pt>
                      <c:pt idx="26">
                        <c:v>-76.1383729028164</c:v>
                      </c:pt>
                      <c:pt idx="27">
                        <c:v>-110.1383729028164</c:v>
                      </c:pt>
                      <c:pt idx="28">
                        <c:v>-118.53837290281626</c:v>
                      </c:pt>
                      <c:pt idx="29">
                        <c:v>-118.53837290281626</c:v>
                      </c:pt>
                      <c:pt idx="30">
                        <c:v>-155.63837290281617</c:v>
                      </c:pt>
                      <c:pt idx="31">
                        <c:v>-148.13837290281617</c:v>
                      </c:pt>
                      <c:pt idx="32">
                        <c:v>-164.13837290281617</c:v>
                      </c:pt>
                      <c:pt idx="33">
                        <c:v>-164.13837290281617</c:v>
                      </c:pt>
                      <c:pt idx="34">
                        <c:v>-164.13837290281617</c:v>
                      </c:pt>
                      <c:pt idx="35">
                        <c:v>-164.13837290281617</c:v>
                      </c:pt>
                      <c:pt idx="36">
                        <c:v>-173.22837290281586</c:v>
                      </c:pt>
                      <c:pt idx="37">
                        <c:v>-173.22837290281586</c:v>
                      </c:pt>
                      <c:pt idx="38">
                        <c:v>-173.22837290281586</c:v>
                      </c:pt>
                      <c:pt idx="39">
                        <c:v>-173.22837290281586</c:v>
                      </c:pt>
                      <c:pt idx="40">
                        <c:v>-322.17837290281591</c:v>
                      </c:pt>
                      <c:pt idx="41">
                        <c:v>-353.47837290281609</c:v>
                      </c:pt>
                      <c:pt idx="42">
                        <c:v>-286.37837290281595</c:v>
                      </c:pt>
                      <c:pt idx="43">
                        <c:v>-286.37837290281595</c:v>
                      </c:pt>
                      <c:pt idx="44">
                        <c:v>-286.37837290281595</c:v>
                      </c:pt>
                      <c:pt idx="45">
                        <c:v>-286.37837290281595</c:v>
                      </c:pt>
                      <c:pt idx="46">
                        <c:v>-336.14837290281594</c:v>
                      </c:pt>
                      <c:pt idx="47">
                        <c:v>-336.14837290281594</c:v>
                      </c:pt>
                      <c:pt idx="48">
                        <c:v>-437.28837290281581</c:v>
                      </c:pt>
                      <c:pt idx="49">
                        <c:v>-437.28837290281581</c:v>
                      </c:pt>
                      <c:pt idx="50">
                        <c:v>-437.28837290281581</c:v>
                      </c:pt>
                      <c:pt idx="51">
                        <c:v>-437.28837290281581</c:v>
                      </c:pt>
                      <c:pt idx="52">
                        <c:v>-546.48837290281585</c:v>
                      </c:pt>
                      <c:pt idx="53">
                        <c:v>-546.48837290281585</c:v>
                      </c:pt>
                      <c:pt idx="54">
                        <c:v>-546.48837290281585</c:v>
                      </c:pt>
                      <c:pt idx="55">
                        <c:v>-539.5683729028159</c:v>
                      </c:pt>
                      <c:pt idx="56">
                        <c:v>-539.5683729028159</c:v>
                      </c:pt>
                      <c:pt idx="57">
                        <c:v>-414.9183729028158</c:v>
                      </c:pt>
                      <c:pt idx="58">
                        <c:v>-414.9183729028158</c:v>
                      </c:pt>
                      <c:pt idx="59">
                        <c:v>-414.9183729028158</c:v>
                      </c:pt>
                      <c:pt idx="60">
                        <c:v>-414.9183729028158</c:v>
                      </c:pt>
                      <c:pt idx="61">
                        <c:v>-414.9183729028158</c:v>
                      </c:pt>
                      <c:pt idx="62">
                        <c:v>-414.9183729028158</c:v>
                      </c:pt>
                      <c:pt idx="63">
                        <c:v>-414.9183729028158</c:v>
                      </c:pt>
                      <c:pt idx="64">
                        <c:v>-414.9183729028158</c:v>
                      </c:pt>
                      <c:pt idx="65">
                        <c:v>-414.9183729028158</c:v>
                      </c:pt>
                      <c:pt idx="66">
                        <c:v>-420.76837290281571</c:v>
                      </c:pt>
                      <c:pt idx="67">
                        <c:v>-414.58837290281565</c:v>
                      </c:pt>
                      <c:pt idx="68">
                        <c:v>-396.2683729028156</c:v>
                      </c:pt>
                      <c:pt idx="69">
                        <c:v>-396.2683729028156</c:v>
                      </c:pt>
                      <c:pt idx="70">
                        <c:v>-368.83837290281554</c:v>
                      </c:pt>
                      <c:pt idx="71">
                        <c:v>-368.83837290281554</c:v>
                      </c:pt>
                      <c:pt idx="72">
                        <c:v>-368.83837290281554</c:v>
                      </c:pt>
                      <c:pt idx="73">
                        <c:v>-368.83837290281554</c:v>
                      </c:pt>
                      <c:pt idx="74">
                        <c:v>-368.83837290281554</c:v>
                      </c:pt>
                      <c:pt idx="75">
                        <c:v>-368.83837290281554</c:v>
                      </c:pt>
                      <c:pt idx="76">
                        <c:v>-368.83837290281554</c:v>
                      </c:pt>
                      <c:pt idx="77">
                        <c:v>-368.83837290281554</c:v>
                      </c:pt>
                      <c:pt idx="78">
                        <c:v>-368.83837290281554</c:v>
                      </c:pt>
                      <c:pt idx="79">
                        <c:v>-423.9721716230016</c:v>
                      </c:pt>
                      <c:pt idx="80">
                        <c:v>-423.9721716230016</c:v>
                      </c:pt>
                      <c:pt idx="81">
                        <c:v>-480.01217162300156</c:v>
                      </c:pt>
                      <c:pt idx="82">
                        <c:v>-530.05217162300164</c:v>
                      </c:pt>
                      <c:pt idx="83">
                        <c:v>-530.05217162300164</c:v>
                      </c:pt>
                      <c:pt idx="84">
                        <c:v>-530.05217162300164</c:v>
                      </c:pt>
                      <c:pt idx="85">
                        <c:v>-591.05217162300175</c:v>
                      </c:pt>
                      <c:pt idx="86">
                        <c:v>-591.05217162300175</c:v>
                      </c:pt>
                      <c:pt idx="87">
                        <c:v>-613.15217162300189</c:v>
                      </c:pt>
                      <c:pt idx="88">
                        <c:v>-595.83217162300184</c:v>
                      </c:pt>
                      <c:pt idx="89">
                        <c:v>-595.83217162300184</c:v>
                      </c:pt>
                      <c:pt idx="90">
                        <c:v>-563.83217162300184</c:v>
                      </c:pt>
                      <c:pt idx="91">
                        <c:v>-555.85217162300182</c:v>
                      </c:pt>
                      <c:pt idx="92">
                        <c:v>-578.65217162300189</c:v>
                      </c:pt>
                      <c:pt idx="93">
                        <c:v>-578.65217162300189</c:v>
                      </c:pt>
                      <c:pt idx="94">
                        <c:v>-578.65217162300189</c:v>
                      </c:pt>
                      <c:pt idx="95">
                        <c:v>-589.652171623002</c:v>
                      </c:pt>
                      <c:pt idx="96">
                        <c:v>-547.95217162300207</c:v>
                      </c:pt>
                      <c:pt idx="97">
                        <c:v>-550.83217162300207</c:v>
                      </c:pt>
                      <c:pt idx="98">
                        <c:v>-588.98217162300205</c:v>
                      </c:pt>
                      <c:pt idx="99">
                        <c:v>-588.98217162300205</c:v>
                      </c:pt>
                      <c:pt idx="100">
                        <c:v>-711.86217162300204</c:v>
                      </c:pt>
                      <c:pt idx="101">
                        <c:v>-711.86217162300204</c:v>
                      </c:pt>
                      <c:pt idx="102">
                        <c:v>-711.86217162300204</c:v>
                      </c:pt>
                      <c:pt idx="103">
                        <c:v>-711.86217162300204</c:v>
                      </c:pt>
                      <c:pt idx="104">
                        <c:v>-711.86217162300204</c:v>
                      </c:pt>
                      <c:pt idx="105">
                        <c:v>-657.08217162300207</c:v>
                      </c:pt>
                      <c:pt idx="106">
                        <c:v>-657.08217162300207</c:v>
                      </c:pt>
                      <c:pt idx="107">
                        <c:v>-657.08217162300207</c:v>
                      </c:pt>
                      <c:pt idx="108">
                        <c:v>-657.08217162300207</c:v>
                      </c:pt>
                      <c:pt idx="109">
                        <c:v>-657.08217162300207</c:v>
                      </c:pt>
                      <c:pt idx="110">
                        <c:v>-646.83217162300218</c:v>
                      </c:pt>
                      <c:pt idx="111">
                        <c:v>-640.35217162300216</c:v>
                      </c:pt>
                      <c:pt idx="112">
                        <c:v>-640.35217162300216</c:v>
                      </c:pt>
                      <c:pt idx="113">
                        <c:v>-640.35217162300216</c:v>
                      </c:pt>
                      <c:pt idx="114">
                        <c:v>-640.35217162300216</c:v>
                      </c:pt>
                      <c:pt idx="115">
                        <c:v>-640.35217162300216</c:v>
                      </c:pt>
                      <c:pt idx="116">
                        <c:v>-643.20217162300207</c:v>
                      </c:pt>
                      <c:pt idx="117">
                        <c:v>-617.95161845366727</c:v>
                      </c:pt>
                      <c:pt idx="118">
                        <c:v>-617.95161845366727</c:v>
                      </c:pt>
                      <c:pt idx="119">
                        <c:v>-617.95161845366727</c:v>
                      </c:pt>
                      <c:pt idx="120">
                        <c:v>-637.75161845366745</c:v>
                      </c:pt>
                      <c:pt idx="121">
                        <c:v>-637.75161845366745</c:v>
                      </c:pt>
                      <c:pt idx="122">
                        <c:v>-637.75161845366745</c:v>
                      </c:pt>
                      <c:pt idx="123">
                        <c:v>-637.75161845366745</c:v>
                      </c:pt>
                      <c:pt idx="124">
                        <c:v>-569.65161845366742</c:v>
                      </c:pt>
                      <c:pt idx="125">
                        <c:v>-569.65161845366742</c:v>
                      </c:pt>
                      <c:pt idx="126">
                        <c:v>-569.65161845366742</c:v>
                      </c:pt>
                      <c:pt idx="127">
                        <c:v>-617.44161845366739</c:v>
                      </c:pt>
                      <c:pt idx="128">
                        <c:v>-617.44161845366739</c:v>
                      </c:pt>
                      <c:pt idx="129">
                        <c:v>-653.28161845366731</c:v>
                      </c:pt>
                      <c:pt idx="130">
                        <c:v>-653.28161845366731</c:v>
                      </c:pt>
                      <c:pt idx="131">
                        <c:v>-678.06161845366728</c:v>
                      </c:pt>
                      <c:pt idx="132">
                        <c:v>-678.06161845366728</c:v>
                      </c:pt>
                      <c:pt idx="133">
                        <c:v>-660.56161845366728</c:v>
                      </c:pt>
                      <c:pt idx="134">
                        <c:v>-658.04161845366718</c:v>
                      </c:pt>
                      <c:pt idx="135">
                        <c:v>-666.32161845366716</c:v>
                      </c:pt>
                      <c:pt idx="136">
                        <c:v>-662.72161845366713</c:v>
                      </c:pt>
                      <c:pt idx="137">
                        <c:v>-662.72161845366713</c:v>
                      </c:pt>
                      <c:pt idx="138">
                        <c:v>-694.54161845366707</c:v>
                      </c:pt>
                      <c:pt idx="139">
                        <c:v>-663.04161845366696</c:v>
                      </c:pt>
                      <c:pt idx="140">
                        <c:v>-663.04161845366696</c:v>
                      </c:pt>
                      <c:pt idx="141">
                        <c:v>-694.56161845366694</c:v>
                      </c:pt>
                      <c:pt idx="142">
                        <c:v>-744.80161845366695</c:v>
                      </c:pt>
                      <c:pt idx="143">
                        <c:v>-767.04161845366673</c:v>
                      </c:pt>
                      <c:pt idx="144">
                        <c:v>-769.08161845366681</c:v>
                      </c:pt>
                      <c:pt idx="145">
                        <c:v>-685.18161845366672</c:v>
                      </c:pt>
                      <c:pt idx="146">
                        <c:v>-709.48161845366667</c:v>
                      </c:pt>
                      <c:pt idx="147">
                        <c:v>-763.63161845366676</c:v>
                      </c:pt>
                      <c:pt idx="148">
                        <c:v>-763.63161845366676</c:v>
                      </c:pt>
                      <c:pt idx="149">
                        <c:v>-763.63161845366676</c:v>
                      </c:pt>
                      <c:pt idx="150">
                        <c:v>-763.63161845366676</c:v>
                      </c:pt>
                      <c:pt idx="151">
                        <c:v>-763.63161845366676</c:v>
                      </c:pt>
                      <c:pt idx="152">
                        <c:v>-639.33161845366681</c:v>
                      </c:pt>
                      <c:pt idx="153">
                        <c:v>-639.33161845366681</c:v>
                      </c:pt>
                      <c:pt idx="154">
                        <c:v>-639.33161845366681</c:v>
                      </c:pt>
                      <c:pt idx="155">
                        <c:v>-639.33161845366681</c:v>
                      </c:pt>
                      <c:pt idx="156">
                        <c:v>-547.97161845366668</c:v>
                      </c:pt>
                      <c:pt idx="157">
                        <c:v>-547.97161845366668</c:v>
                      </c:pt>
                      <c:pt idx="158">
                        <c:v>-547.97161845366668</c:v>
                      </c:pt>
                      <c:pt idx="159">
                        <c:v>-547.97161845366668</c:v>
                      </c:pt>
                      <c:pt idx="160">
                        <c:v>-547.97161845366668</c:v>
                      </c:pt>
                      <c:pt idx="161">
                        <c:v>-547.97161845366668</c:v>
                      </c:pt>
                      <c:pt idx="162">
                        <c:v>-520.05161845366683</c:v>
                      </c:pt>
                      <c:pt idx="163">
                        <c:v>-601.05161845366695</c:v>
                      </c:pt>
                      <c:pt idx="164">
                        <c:v>-601.05161845366695</c:v>
                      </c:pt>
                      <c:pt idx="165">
                        <c:v>-601.05161845366695</c:v>
                      </c:pt>
                      <c:pt idx="166">
                        <c:v>-601.05161845366695</c:v>
                      </c:pt>
                      <c:pt idx="167">
                        <c:v>-601.05161845366695</c:v>
                      </c:pt>
                      <c:pt idx="168">
                        <c:v>-560.1016184536669</c:v>
                      </c:pt>
                      <c:pt idx="169">
                        <c:v>-560.1016184536669</c:v>
                      </c:pt>
                      <c:pt idx="170">
                        <c:v>-570.36161845366701</c:v>
                      </c:pt>
                      <c:pt idx="171">
                        <c:v>-570.36161845366701</c:v>
                      </c:pt>
                      <c:pt idx="172">
                        <c:v>-550.52161845366709</c:v>
                      </c:pt>
                      <c:pt idx="173">
                        <c:v>-550.52161845366709</c:v>
                      </c:pt>
                      <c:pt idx="174">
                        <c:v>-469.5216184536672</c:v>
                      </c:pt>
                      <c:pt idx="175">
                        <c:v>-469.5216184536672</c:v>
                      </c:pt>
                      <c:pt idx="176">
                        <c:v>-458.74161845366723</c:v>
                      </c:pt>
                      <c:pt idx="177">
                        <c:v>-458.74161845366723</c:v>
                      </c:pt>
                      <c:pt idx="178">
                        <c:v>-472.52161845366743</c:v>
                      </c:pt>
                      <c:pt idx="179">
                        <c:v>-378.83161845366737</c:v>
                      </c:pt>
                      <c:pt idx="180">
                        <c:v>-378.83161845366737</c:v>
                      </c:pt>
                      <c:pt idx="181">
                        <c:v>-378.83161845366737</c:v>
                      </c:pt>
                      <c:pt idx="182">
                        <c:v>-378.83161845366737</c:v>
                      </c:pt>
                      <c:pt idx="183">
                        <c:v>-378.83161845366737</c:v>
                      </c:pt>
                      <c:pt idx="184">
                        <c:v>-399.47161845366725</c:v>
                      </c:pt>
                      <c:pt idx="185">
                        <c:v>-378.47161845366702</c:v>
                      </c:pt>
                      <c:pt idx="186">
                        <c:v>-386.97161845366702</c:v>
                      </c:pt>
                      <c:pt idx="187">
                        <c:v>-386.97161845366702</c:v>
                      </c:pt>
                      <c:pt idx="188">
                        <c:v>-280.97161845366702</c:v>
                      </c:pt>
                      <c:pt idx="189">
                        <c:v>-286.97161845366679</c:v>
                      </c:pt>
                      <c:pt idx="190">
                        <c:v>-286.97161845366679</c:v>
                      </c:pt>
                      <c:pt idx="191">
                        <c:v>-302.37161845366688</c:v>
                      </c:pt>
                      <c:pt idx="192">
                        <c:v>-302.37161845366688</c:v>
                      </c:pt>
                      <c:pt idx="193">
                        <c:v>-101.3516184536669</c:v>
                      </c:pt>
                      <c:pt idx="194">
                        <c:v>-110.31161845366694</c:v>
                      </c:pt>
                      <c:pt idx="195">
                        <c:v>-110.31161845366694</c:v>
                      </c:pt>
                      <c:pt idx="196">
                        <c:v>-110.31161845366694</c:v>
                      </c:pt>
                      <c:pt idx="197">
                        <c:v>-70.011618453666983</c:v>
                      </c:pt>
                      <c:pt idx="198">
                        <c:v>-68.661618453667074</c:v>
                      </c:pt>
                      <c:pt idx="199">
                        <c:v>-72.941618453667274</c:v>
                      </c:pt>
                      <c:pt idx="200">
                        <c:v>-72.941618453667274</c:v>
                      </c:pt>
                      <c:pt idx="201">
                        <c:v>-26.381618453667329</c:v>
                      </c:pt>
                      <c:pt idx="202">
                        <c:v>-26.381618453667329</c:v>
                      </c:pt>
                      <c:pt idx="203">
                        <c:v>-26.381618453667329</c:v>
                      </c:pt>
                      <c:pt idx="204">
                        <c:v>-26.381618453667329</c:v>
                      </c:pt>
                      <c:pt idx="205">
                        <c:v>-26.381618453667329</c:v>
                      </c:pt>
                      <c:pt idx="206">
                        <c:v>-26.381618453667329</c:v>
                      </c:pt>
                      <c:pt idx="207">
                        <c:v>-28.36161845366712</c:v>
                      </c:pt>
                      <c:pt idx="208">
                        <c:v>-28.36161845366712</c:v>
                      </c:pt>
                      <c:pt idx="209">
                        <c:v>-6.9616184536670289</c:v>
                      </c:pt>
                      <c:pt idx="210">
                        <c:v>-6.9616184536670289</c:v>
                      </c:pt>
                      <c:pt idx="211">
                        <c:v>-6.9616184536670289</c:v>
                      </c:pt>
                      <c:pt idx="212">
                        <c:v>-6.9616184536670289</c:v>
                      </c:pt>
                      <c:pt idx="213">
                        <c:v>36.368381546332898</c:v>
                      </c:pt>
                      <c:pt idx="214">
                        <c:v>38.368381546332898</c:v>
                      </c:pt>
                      <c:pt idx="215">
                        <c:v>-92.311618453666938</c:v>
                      </c:pt>
                      <c:pt idx="216">
                        <c:v>-92.311618453666938</c:v>
                      </c:pt>
                      <c:pt idx="217">
                        <c:v>-92.311618453666938</c:v>
                      </c:pt>
                      <c:pt idx="218">
                        <c:v>-74.811618453666938</c:v>
                      </c:pt>
                      <c:pt idx="219">
                        <c:v>-74.811618453666938</c:v>
                      </c:pt>
                      <c:pt idx="220">
                        <c:v>-5.5116184536669834</c:v>
                      </c:pt>
                      <c:pt idx="221">
                        <c:v>-5.5116184536669834</c:v>
                      </c:pt>
                      <c:pt idx="222">
                        <c:v>54.408381546332862</c:v>
                      </c:pt>
                      <c:pt idx="223">
                        <c:v>54.408381546332862</c:v>
                      </c:pt>
                      <c:pt idx="224">
                        <c:v>54.408381546332862</c:v>
                      </c:pt>
                      <c:pt idx="225">
                        <c:v>24.88838154633288</c:v>
                      </c:pt>
                      <c:pt idx="226">
                        <c:v>24.88838154633288</c:v>
                      </c:pt>
                      <c:pt idx="227">
                        <c:v>44.248381546333007</c:v>
                      </c:pt>
                      <c:pt idx="228">
                        <c:v>44.248381546333007</c:v>
                      </c:pt>
                      <c:pt idx="229">
                        <c:v>44.248381546333007</c:v>
                      </c:pt>
                      <c:pt idx="230">
                        <c:v>63.898381546332871</c:v>
                      </c:pt>
                      <c:pt idx="231">
                        <c:v>63.898381546332871</c:v>
                      </c:pt>
                      <c:pt idx="232">
                        <c:v>63.898381546332871</c:v>
                      </c:pt>
                      <c:pt idx="233">
                        <c:v>63.898381546332871</c:v>
                      </c:pt>
                      <c:pt idx="234">
                        <c:v>126.29838154633296</c:v>
                      </c:pt>
                      <c:pt idx="235">
                        <c:v>82.868381546332898</c:v>
                      </c:pt>
                      <c:pt idx="236">
                        <c:v>168.66838154633285</c:v>
                      </c:pt>
                      <c:pt idx="237">
                        <c:v>168.66838154633285</c:v>
                      </c:pt>
                      <c:pt idx="238">
                        <c:v>168.66838154633285</c:v>
                      </c:pt>
                      <c:pt idx="239">
                        <c:v>168.66838154633285</c:v>
                      </c:pt>
                      <c:pt idx="240">
                        <c:v>168.66838154633285</c:v>
                      </c:pt>
                      <c:pt idx="241">
                        <c:v>347.91838154633274</c:v>
                      </c:pt>
                      <c:pt idx="242">
                        <c:v>347.91838154633274</c:v>
                      </c:pt>
                      <c:pt idx="243">
                        <c:v>336.66838154633274</c:v>
                      </c:pt>
                      <c:pt idx="244">
                        <c:v>336.66838154633274</c:v>
                      </c:pt>
                      <c:pt idx="245">
                        <c:v>342.51838154633288</c:v>
                      </c:pt>
                      <c:pt idx="246">
                        <c:v>338.21838154633292</c:v>
                      </c:pt>
                      <c:pt idx="247">
                        <c:v>315.81838154633283</c:v>
                      </c:pt>
                      <c:pt idx="248">
                        <c:v>280.51838154633288</c:v>
                      </c:pt>
                      <c:pt idx="249">
                        <c:v>201.31838154633283</c:v>
                      </c:pt>
                      <c:pt idx="250">
                        <c:v>344.11838154633278</c:v>
                      </c:pt>
                      <c:pt idx="251">
                        <c:v>344.11838154633278</c:v>
                      </c:pt>
                      <c:pt idx="252">
                        <c:v>344.11838154633278</c:v>
                      </c:pt>
                      <c:pt idx="253">
                        <c:v>438.61838154633278</c:v>
                      </c:pt>
                      <c:pt idx="254">
                        <c:v>415.57838154633259</c:v>
                      </c:pt>
                      <c:pt idx="255">
                        <c:v>442.29838154633239</c:v>
                      </c:pt>
                      <c:pt idx="256">
                        <c:v>442.29838154633239</c:v>
                      </c:pt>
                      <c:pt idx="257">
                        <c:v>442.29838154633239</c:v>
                      </c:pt>
                      <c:pt idx="258">
                        <c:v>442.29838154633239</c:v>
                      </c:pt>
                      <c:pt idx="259">
                        <c:v>356.69838154633248</c:v>
                      </c:pt>
                      <c:pt idx="260">
                        <c:v>338.87838154633255</c:v>
                      </c:pt>
                      <c:pt idx="261">
                        <c:v>319.19838154633248</c:v>
                      </c:pt>
                      <c:pt idx="262">
                        <c:v>361.89838154633276</c:v>
                      </c:pt>
                      <c:pt idx="263">
                        <c:v>361.89838154633276</c:v>
                      </c:pt>
                      <c:pt idx="264">
                        <c:v>365.63838154633277</c:v>
                      </c:pt>
                      <c:pt idx="265">
                        <c:v>311.15838154633275</c:v>
                      </c:pt>
                      <c:pt idx="266">
                        <c:v>311.15838154633275</c:v>
                      </c:pt>
                      <c:pt idx="267">
                        <c:v>310.73838154633268</c:v>
                      </c:pt>
                      <c:pt idx="268">
                        <c:v>300.97838154633268</c:v>
                      </c:pt>
                      <c:pt idx="269">
                        <c:v>365.41838154633274</c:v>
                      </c:pt>
                      <c:pt idx="270">
                        <c:v>393.49838154633267</c:v>
                      </c:pt>
                      <c:pt idx="271">
                        <c:v>450.82838154633259</c:v>
                      </c:pt>
                      <c:pt idx="272">
                        <c:v>447.22838154633268</c:v>
                      </c:pt>
                      <c:pt idx="273">
                        <c:v>447.22838154633268</c:v>
                      </c:pt>
                      <c:pt idx="274">
                        <c:v>421.97838154633268</c:v>
                      </c:pt>
                      <c:pt idx="275">
                        <c:v>506.12838154633255</c:v>
                      </c:pt>
                      <c:pt idx="276">
                        <c:v>485.24838154633267</c:v>
                      </c:pt>
                      <c:pt idx="277">
                        <c:v>485.24838154633267</c:v>
                      </c:pt>
                      <c:pt idx="278">
                        <c:v>560.64838154633253</c:v>
                      </c:pt>
                      <c:pt idx="279">
                        <c:v>580.64838154633253</c:v>
                      </c:pt>
                      <c:pt idx="280">
                        <c:v>580.64838154633253</c:v>
                      </c:pt>
                      <c:pt idx="281">
                        <c:v>580.64838154633253</c:v>
                      </c:pt>
                      <c:pt idx="282">
                        <c:v>582.84838154633258</c:v>
                      </c:pt>
                      <c:pt idx="283">
                        <c:v>512.14838154633276</c:v>
                      </c:pt>
                      <c:pt idx="284">
                        <c:v>512.14838154633276</c:v>
                      </c:pt>
                      <c:pt idx="285">
                        <c:v>416.74838154633267</c:v>
                      </c:pt>
                      <c:pt idx="286">
                        <c:v>416.74838154633267</c:v>
                      </c:pt>
                      <c:pt idx="287">
                        <c:v>335.61838154633256</c:v>
                      </c:pt>
                      <c:pt idx="288">
                        <c:v>335.61838154633256</c:v>
                      </c:pt>
                      <c:pt idx="289">
                        <c:v>369.51838154633242</c:v>
                      </c:pt>
                      <c:pt idx="290">
                        <c:v>369.51838154633242</c:v>
                      </c:pt>
                      <c:pt idx="291">
                        <c:v>444.51838154633242</c:v>
                      </c:pt>
                      <c:pt idx="292">
                        <c:v>418.76838154633242</c:v>
                      </c:pt>
                      <c:pt idx="293">
                        <c:v>418.76838154633242</c:v>
                      </c:pt>
                      <c:pt idx="294">
                        <c:v>289.80838154633238</c:v>
                      </c:pt>
                      <c:pt idx="295">
                        <c:v>289.80838154633238</c:v>
                      </c:pt>
                      <c:pt idx="296">
                        <c:v>261.31838154633238</c:v>
                      </c:pt>
                      <c:pt idx="297">
                        <c:v>261.31838154633238</c:v>
                      </c:pt>
                      <c:pt idx="298">
                        <c:v>210.11838154633233</c:v>
                      </c:pt>
                      <c:pt idx="299">
                        <c:v>210.11838154633233</c:v>
                      </c:pt>
                      <c:pt idx="300">
                        <c:v>210.11838154633233</c:v>
                      </c:pt>
                      <c:pt idx="301">
                        <c:v>210.11838154633233</c:v>
                      </c:pt>
                      <c:pt idx="302">
                        <c:v>202.73838154633222</c:v>
                      </c:pt>
                      <c:pt idx="303">
                        <c:v>202.73838154633222</c:v>
                      </c:pt>
                      <c:pt idx="304">
                        <c:v>202.73838154633222</c:v>
                      </c:pt>
                      <c:pt idx="305">
                        <c:v>202.73838154633222</c:v>
                      </c:pt>
                      <c:pt idx="306">
                        <c:v>202.73838154633222</c:v>
                      </c:pt>
                      <c:pt idx="307">
                        <c:v>202.73838154633222</c:v>
                      </c:pt>
                      <c:pt idx="308">
                        <c:v>225.07719317717942</c:v>
                      </c:pt>
                      <c:pt idx="309">
                        <c:v>225.07719317717942</c:v>
                      </c:pt>
                      <c:pt idx="310">
                        <c:v>341.47719317717952</c:v>
                      </c:pt>
                      <c:pt idx="311">
                        <c:v>395.65719317717958</c:v>
                      </c:pt>
                      <c:pt idx="312">
                        <c:v>379.00719317717949</c:v>
                      </c:pt>
                      <c:pt idx="313">
                        <c:v>379.00719317717949</c:v>
                      </c:pt>
                      <c:pt idx="314">
                        <c:v>325.10719317717951</c:v>
                      </c:pt>
                      <c:pt idx="315">
                        <c:v>268.85719317717951</c:v>
                      </c:pt>
                      <c:pt idx="316">
                        <c:v>268.85719317717951</c:v>
                      </c:pt>
                      <c:pt idx="317">
                        <c:v>268.85719317717951</c:v>
                      </c:pt>
                      <c:pt idx="318">
                        <c:v>268.85719317717951</c:v>
                      </c:pt>
                      <c:pt idx="319">
                        <c:v>268.85719317717951</c:v>
                      </c:pt>
                      <c:pt idx="320">
                        <c:v>397.51719317717937</c:v>
                      </c:pt>
                      <c:pt idx="321">
                        <c:v>397.51719317717937</c:v>
                      </c:pt>
                      <c:pt idx="322">
                        <c:v>397.51719317717937</c:v>
                      </c:pt>
                      <c:pt idx="323">
                        <c:v>397.51719317717937</c:v>
                      </c:pt>
                      <c:pt idx="324">
                        <c:v>248.95719317717942</c:v>
                      </c:pt>
                      <c:pt idx="325">
                        <c:v>248.95719317717942</c:v>
                      </c:pt>
                      <c:pt idx="326">
                        <c:v>113.20719317717942</c:v>
                      </c:pt>
                      <c:pt idx="327">
                        <c:v>113.20719317717942</c:v>
                      </c:pt>
                      <c:pt idx="328">
                        <c:v>113.20719317717942</c:v>
                      </c:pt>
                      <c:pt idx="329">
                        <c:v>113.20719317717942</c:v>
                      </c:pt>
                      <c:pt idx="330">
                        <c:v>274.15719317717947</c:v>
                      </c:pt>
                      <c:pt idx="331">
                        <c:v>274.15719317717947</c:v>
                      </c:pt>
                      <c:pt idx="332">
                        <c:v>274.15719317717947</c:v>
                      </c:pt>
                      <c:pt idx="333">
                        <c:v>274.15719317717947</c:v>
                      </c:pt>
                      <c:pt idx="334">
                        <c:v>274.15719317717947</c:v>
                      </c:pt>
                      <c:pt idx="335">
                        <c:v>274.15719317717947</c:v>
                      </c:pt>
                      <c:pt idx="336">
                        <c:v>274.15719317717947</c:v>
                      </c:pt>
                      <c:pt idx="337">
                        <c:v>315.55719317717956</c:v>
                      </c:pt>
                      <c:pt idx="338">
                        <c:v>315.55719317717956</c:v>
                      </c:pt>
                      <c:pt idx="339">
                        <c:v>315.55719317717956</c:v>
                      </c:pt>
                      <c:pt idx="340">
                        <c:v>315.55719317717956</c:v>
                      </c:pt>
                      <c:pt idx="341">
                        <c:v>315.55719317717956</c:v>
                      </c:pt>
                      <c:pt idx="342">
                        <c:v>298.75719317717983</c:v>
                      </c:pt>
                      <c:pt idx="343">
                        <c:v>298.75719317717983</c:v>
                      </c:pt>
                      <c:pt idx="344">
                        <c:v>298.75719317717983</c:v>
                      </c:pt>
                      <c:pt idx="345">
                        <c:v>298.75719317717983</c:v>
                      </c:pt>
                      <c:pt idx="346">
                        <c:v>305.25719317717983</c:v>
                      </c:pt>
                    </c:numCache>
                  </c:numRef>
                </c:val>
                <c:smooth val="0"/>
                <c:extLst xmlns:c15="http://schemas.microsoft.com/office/drawing/2012/chart">
                  <c:ext xmlns:c16="http://schemas.microsoft.com/office/drawing/2014/chart" uri="{C3380CC4-5D6E-409C-BE32-E72D297353CC}">
                    <c16:uniqueId val="{00000006-CCEC-4BD8-9508-C56E4326B937}"/>
                  </c:ext>
                </c:extLst>
              </c15:ser>
            </c15:filteredLineSeries>
          </c:ext>
        </c:extLst>
      </c:lineChart>
      <c:catAx>
        <c:axId val="147683023"/>
        <c:scaling>
          <c:orientation val="minMax"/>
        </c:scaling>
        <c:delete val="0"/>
        <c:axPos val="b"/>
        <c:majorGridlines>
          <c:spPr>
            <a:ln w="9525" cap="flat" cmpd="sng" algn="ctr">
              <a:solidFill>
                <a:schemeClr val="tx1">
                  <a:lumMod val="75000"/>
                  <a:lumOff val="25000"/>
                </a:schemeClr>
              </a:solidFill>
              <a:prstDash val="dash"/>
              <a:round/>
            </a:ln>
            <a:effectLst/>
          </c:spPr>
        </c:majorGridlines>
        <c:majorTickMark val="none"/>
        <c:minorTickMark val="none"/>
        <c:tickLblPos val="low"/>
        <c:spPr>
          <a:noFill/>
          <a:ln w="12700" cap="flat" cmpd="sng" algn="ctr">
            <a:solidFill>
              <a:sysClr val="windowText" lastClr="000000"/>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6645279"/>
        <c:crosses val="autoZero"/>
        <c:auto val="1"/>
        <c:lblAlgn val="ctr"/>
        <c:lblOffset val="100"/>
        <c:tickLblSkip val="25"/>
        <c:tickMarkSkip val="25"/>
        <c:noMultiLvlLbl val="0"/>
      </c:catAx>
      <c:valAx>
        <c:axId val="146645279"/>
        <c:scaling>
          <c:orientation val="minMax"/>
          <c:max val="20"/>
          <c:min val="-10"/>
        </c:scaling>
        <c:delete val="0"/>
        <c:axPos val="r"/>
        <c:majorGridlines>
          <c:spPr>
            <a:ln w="9525" cap="flat" cmpd="sng" algn="ctr">
              <a:solidFill>
                <a:schemeClr val="tx1">
                  <a:lumMod val="75000"/>
                  <a:lumOff val="25000"/>
                </a:schemeClr>
              </a:solidFill>
              <a:prstDash val="dash"/>
              <a:round/>
            </a:ln>
            <a:effectLst/>
          </c:spPr>
        </c:majorGridlines>
        <c:numFmt formatCode="0" sourceLinked="0"/>
        <c:majorTickMark val="none"/>
        <c:minorTickMark val="none"/>
        <c:tickLblPos val="high"/>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7683023"/>
        <c:crosses val="max"/>
        <c:crossBetween val="between"/>
      </c:valAx>
      <c:spPr>
        <a:solidFill>
          <a:schemeClr val="tx1">
            <a:lumMod val="65000"/>
            <a:lumOff val="35000"/>
          </a:schemeClr>
        </a:solidFill>
        <a:ln>
          <a:solidFill>
            <a:sysClr val="windowText" lastClr="000000"/>
          </a:solidFill>
        </a:ln>
        <a:effectLst/>
      </c:spPr>
    </c:plotArea>
    <c:legend>
      <c:legendPos val="t"/>
      <c:layout>
        <c:manualLayout>
          <c:xMode val="edge"/>
          <c:yMode val="edge"/>
          <c:x val="0.39634286005511454"/>
          <c:y val="1.2316999395039325E-2"/>
          <c:w val="0.57612618810998151"/>
          <c:h val="4.9614968727820091E-2"/>
        </c:manualLayout>
      </c:layout>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legend>
    <c:plotVisOnly val="0"/>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accent3">
                    <a:lumMod val="75000"/>
                  </a:schemeClr>
                </a:solidFill>
                <a:latin typeface="+mn-lt"/>
                <a:ea typeface="+mn-ea"/>
                <a:cs typeface="+mn-cs"/>
              </a:defRPr>
            </a:pPr>
            <a:r>
              <a:rPr lang="en-US" sz="2000" b="1">
                <a:solidFill>
                  <a:schemeClr val="accent3">
                    <a:lumMod val="75000"/>
                  </a:schemeClr>
                </a:solidFill>
              </a:rPr>
              <a:t>The Three Tiers (XLE)</a:t>
            </a:r>
          </a:p>
        </c:rich>
      </c:tx>
      <c:layout>
        <c:manualLayout>
          <c:xMode val="edge"/>
          <c:yMode val="edge"/>
          <c:x val="2.8694404591104734E-2"/>
          <c:y val="2.4198427102238356E-3"/>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accent3">
                  <a:lumMod val="75000"/>
                </a:schemeClr>
              </a:solidFill>
              <a:latin typeface="+mn-lt"/>
              <a:ea typeface="+mn-ea"/>
              <a:cs typeface="+mn-cs"/>
            </a:defRPr>
          </a:pPr>
          <a:endParaRPr lang="en-US"/>
        </a:p>
      </c:txPr>
    </c:title>
    <c:autoTitleDeleted val="0"/>
    <c:plotArea>
      <c:layout>
        <c:manualLayout>
          <c:layoutTarget val="inner"/>
          <c:xMode val="edge"/>
          <c:yMode val="edge"/>
          <c:x val="1.0171058714748035E-2"/>
          <c:y val="7.7350558040499021E-2"/>
          <c:w val="0.95283482768537431"/>
          <c:h val="0.86018548951798435"/>
        </c:manualLayout>
      </c:layout>
      <c:lineChart>
        <c:grouping val="standard"/>
        <c:varyColors val="0"/>
        <c:ser>
          <c:idx val="0"/>
          <c:order val="0"/>
          <c:tx>
            <c:v>Up</c:v>
          </c:tx>
          <c:spPr>
            <a:ln w="28575" cap="rnd">
              <a:solidFill>
                <a:schemeClr val="accent6">
                  <a:lumMod val="75000"/>
                </a:schemeClr>
              </a:solidFill>
              <a:prstDash val="solid"/>
              <a:round/>
            </a:ln>
            <a:effectLst/>
          </c:spPr>
          <c:marker>
            <c:symbol val="none"/>
          </c:marker>
          <c:val>
            <c:numRef>
              <c:f>'2025-Q2'!$FB$4:$FB$422</c:f>
              <c:numCache>
                <c:formatCode>0.00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-0.27145310509113252</c:v>
                </c:pt>
                <c:pt idx="259">
                  <c:v>-0.27145310509113252</c:v>
                </c:pt>
                <c:pt idx="260">
                  <c:v>-0.27145310509113252</c:v>
                </c:pt>
                <c:pt idx="261">
                  <c:v>-0.27145310509113252</c:v>
                </c:pt>
                <c:pt idx="262">
                  <c:v>-0.27145310509113252</c:v>
                </c:pt>
                <c:pt idx="263">
                  <c:v>-0.27145310509113252</c:v>
                </c:pt>
                <c:pt idx="264">
                  <c:v>-0.27145310509113252</c:v>
                </c:pt>
                <c:pt idx="265">
                  <c:v>-0.27145310509113252</c:v>
                </c:pt>
                <c:pt idx="266">
                  <c:v>-0.27145310509113252</c:v>
                </c:pt>
                <c:pt idx="267">
                  <c:v>-0.27145310509113252</c:v>
                </c:pt>
                <c:pt idx="268">
                  <c:v>-0.27145310509113252</c:v>
                </c:pt>
                <c:pt idx="269">
                  <c:v>-0.27145310509113252</c:v>
                </c:pt>
                <c:pt idx="270">
                  <c:v>-0.27145310509113252</c:v>
                </c:pt>
                <c:pt idx="271">
                  <c:v>-0.27145310509113252</c:v>
                </c:pt>
                <c:pt idx="272">
                  <c:v>-0.27145310509113252</c:v>
                </c:pt>
                <c:pt idx="273">
                  <c:v>-0.27145310509113252</c:v>
                </c:pt>
                <c:pt idx="274">
                  <c:v>-0.27145310509113252</c:v>
                </c:pt>
                <c:pt idx="275">
                  <c:v>-0.27145310509113252</c:v>
                </c:pt>
                <c:pt idx="276">
                  <c:v>-0.27145310509113252</c:v>
                </c:pt>
                <c:pt idx="277">
                  <c:v>-0.27145310509113252</c:v>
                </c:pt>
                <c:pt idx="278">
                  <c:v>-0.27145310509113252</c:v>
                </c:pt>
                <c:pt idx="279">
                  <c:v>-0.27145310509113252</c:v>
                </c:pt>
                <c:pt idx="280">
                  <c:v>-0.27145310509113252</c:v>
                </c:pt>
                <c:pt idx="281">
                  <c:v>-0.27145310509113252</c:v>
                </c:pt>
                <c:pt idx="282">
                  <c:v>-0.27145310509113252</c:v>
                </c:pt>
                <c:pt idx="283">
                  <c:v>-0.27145310509113252</c:v>
                </c:pt>
                <c:pt idx="284">
                  <c:v>-0.27145310509113252</c:v>
                </c:pt>
                <c:pt idx="285">
                  <c:v>-0.27145310509113252</c:v>
                </c:pt>
                <c:pt idx="286">
                  <c:v>-0.27145310509113252</c:v>
                </c:pt>
                <c:pt idx="287">
                  <c:v>-0.27145310509113252</c:v>
                </c:pt>
                <c:pt idx="288">
                  <c:v>-0.27145310509113252</c:v>
                </c:pt>
                <c:pt idx="289">
                  <c:v>-0.27145310509113252</c:v>
                </c:pt>
                <c:pt idx="290">
                  <c:v>-0.27145310509113252</c:v>
                </c:pt>
                <c:pt idx="291">
                  <c:v>-0.27145310509113252</c:v>
                </c:pt>
                <c:pt idx="292">
                  <c:v>-0.27145310509113252</c:v>
                </c:pt>
                <c:pt idx="293">
                  <c:v>-0.27145310509113252</c:v>
                </c:pt>
                <c:pt idx="294">
                  <c:v>-0.27145310509113252</c:v>
                </c:pt>
                <c:pt idx="295">
                  <c:v>-0.27145310509113252</c:v>
                </c:pt>
                <c:pt idx="296">
                  <c:v>-0.27145310509113252</c:v>
                </c:pt>
                <c:pt idx="297">
                  <c:v>-0.27145310509113252</c:v>
                </c:pt>
                <c:pt idx="298">
                  <c:v>-0.27145310509113252</c:v>
                </c:pt>
                <c:pt idx="299">
                  <c:v>-0.27145310509113252</c:v>
                </c:pt>
                <c:pt idx="300">
                  <c:v>-0.27145310509113252</c:v>
                </c:pt>
                <c:pt idx="301">
                  <c:v>-0.27145310509113252</c:v>
                </c:pt>
                <c:pt idx="302">
                  <c:v>-0.27145310509113252</c:v>
                </c:pt>
                <c:pt idx="303">
                  <c:v>-0.27145310509113252</c:v>
                </c:pt>
                <c:pt idx="304">
                  <c:v>-0.27145310509113252</c:v>
                </c:pt>
                <c:pt idx="305">
                  <c:v>-0.27145310509113252</c:v>
                </c:pt>
                <c:pt idx="306">
                  <c:v>-0.27145310509113252</c:v>
                </c:pt>
                <c:pt idx="307">
                  <c:v>-0.27145310509113252</c:v>
                </c:pt>
                <c:pt idx="308">
                  <c:v>-0.27145310509113252</c:v>
                </c:pt>
                <c:pt idx="309">
                  <c:v>-0.27145310509113252</c:v>
                </c:pt>
                <c:pt idx="310">
                  <c:v>-0.27145310509113252</c:v>
                </c:pt>
                <c:pt idx="311">
                  <c:v>-0.27145310509113252</c:v>
                </c:pt>
                <c:pt idx="312">
                  <c:v>-0.27145310509113252</c:v>
                </c:pt>
                <c:pt idx="313">
                  <c:v>-0.27145310509113252</c:v>
                </c:pt>
                <c:pt idx="314">
                  <c:v>-0.27145310509113252</c:v>
                </c:pt>
                <c:pt idx="315">
                  <c:v>-0.27145310509113252</c:v>
                </c:pt>
                <c:pt idx="316">
                  <c:v>-0.27145310509113252</c:v>
                </c:pt>
                <c:pt idx="317">
                  <c:v>-0.27145310509113252</c:v>
                </c:pt>
                <c:pt idx="318">
                  <c:v>-0.27145310509113252</c:v>
                </c:pt>
                <c:pt idx="319">
                  <c:v>-0.27145310509113252</c:v>
                </c:pt>
                <c:pt idx="320">
                  <c:v>-0.27145310509113252</c:v>
                </c:pt>
                <c:pt idx="321">
                  <c:v>-0.27145310509113252</c:v>
                </c:pt>
                <c:pt idx="322">
                  <c:v>-0.27145310509113252</c:v>
                </c:pt>
                <c:pt idx="323">
                  <c:v>-0.27145310509113252</c:v>
                </c:pt>
                <c:pt idx="324">
                  <c:v>-0.27145310509113252</c:v>
                </c:pt>
                <c:pt idx="325">
                  <c:v>-0.27145310509113252</c:v>
                </c:pt>
                <c:pt idx="326">
                  <c:v>-0.27145310509113252</c:v>
                </c:pt>
                <c:pt idx="327">
                  <c:v>-0.27145310509113252</c:v>
                </c:pt>
                <c:pt idx="328">
                  <c:v>-0.27145310509113252</c:v>
                </c:pt>
                <c:pt idx="329">
                  <c:v>-0.27145310509113252</c:v>
                </c:pt>
                <c:pt idx="330">
                  <c:v>-0.27145310509113252</c:v>
                </c:pt>
                <c:pt idx="331">
                  <c:v>-0.27145310509113252</c:v>
                </c:pt>
                <c:pt idx="332">
                  <c:v>-0.27145310509113252</c:v>
                </c:pt>
                <c:pt idx="333">
                  <c:v>-0.27145310509113252</c:v>
                </c:pt>
                <c:pt idx="334">
                  <c:v>-0.27145310509113252</c:v>
                </c:pt>
                <c:pt idx="335">
                  <c:v>-0.27145310509113252</c:v>
                </c:pt>
                <c:pt idx="336">
                  <c:v>-0.27145310509113252</c:v>
                </c:pt>
                <c:pt idx="337">
                  <c:v>-0.27145310509113252</c:v>
                </c:pt>
                <c:pt idx="338">
                  <c:v>-0.27145310509113252</c:v>
                </c:pt>
                <c:pt idx="339">
                  <c:v>-0.27145310509113252</c:v>
                </c:pt>
                <c:pt idx="340">
                  <c:v>-0.27145310509113252</c:v>
                </c:pt>
                <c:pt idx="341">
                  <c:v>-0.27145310509113252</c:v>
                </c:pt>
                <c:pt idx="342">
                  <c:v>-0.27145310509113252</c:v>
                </c:pt>
                <c:pt idx="343">
                  <c:v>-0.27145310509113252</c:v>
                </c:pt>
                <c:pt idx="344">
                  <c:v>-0.27145310509113252</c:v>
                </c:pt>
                <c:pt idx="345">
                  <c:v>-0.27145310509113252</c:v>
                </c:pt>
                <c:pt idx="346">
                  <c:v>-0.27145310509113252</c:v>
                </c:pt>
                <c:pt idx="347">
                  <c:v>-0.27145310509113252</c:v>
                </c:pt>
                <c:pt idx="348">
                  <c:v>-0.27145310509113252</c:v>
                </c:pt>
                <c:pt idx="349">
                  <c:v>-0.27145310509113252</c:v>
                </c:pt>
                <c:pt idx="350">
                  <c:v>-0.27145310509113252</c:v>
                </c:pt>
                <c:pt idx="351">
                  <c:v>-0.27145310509113252</c:v>
                </c:pt>
                <c:pt idx="352">
                  <c:v>-0.27145310509113252</c:v>
                </c:pt>
                <c:pt idx="353">
                  <c:v>-0.27145310509113252</c:v>
                </c:pt>
                <c:pt idx="354">
                  <c:v>-0.27145310509113252</c:v>
                </c:pt>
                <c:pt idx="355">
                  <c:v>-0.27145310509113252</c:v>
                </c:pt>
                <c:pt idx="356">
                  <c:v>-0.27145310509113252</c:v>
                </c:pt>
                <c:pt idx="357">
                  <c:v>-0.27145310509113252</c:v>
                </c:pt>
                <c:pt idx="358">
                  <c:v>-0.27145310509113252</c:v>
                </c:pt>
                <c:pt idx="359">
                  <c:v>-0.27145310509113252</c:v>
                </c:pt>
                <c:pt idx="360">
                  <c:v>-0.27145310509113252</c:v>
                </c:pt>
                <c:pt idx="361">
                  <c:v>-0.27145310509113252</c:v>
                </c:pt>
                <c:pt idx="362">
                  <c:v>-0.27145310509113252</c:v>
                </c:pt>
                <c:pt idx="363">
                  <c:v>-0.27145310509113252</c:v>
                </c:pt>
                <c:pt idx="364">
                  <c:v>-0.27145310509113252</c:v>
                </c:pt>
                <c:pt idx="365">
                  <c:v>-0.27145310509113252</c:v>
                </c:pt>
                <c:pt idx="366">
                  <c:v>-0.27145310509113252</c:v>
                </c:pt>
                <c:pt idx="367">
                  <c:v>-0.27145310509113252</c:v>
                </c:pt>
                <c:pt idx="368">
                  <c:v>-0.27145310509113252</c:v>
                </c:pt>
                <c:pt idx="369">
                  <c:v>-0.27145310509113252</c:v>
                </c:pt>
                <c:pt idx="370">
                  <c:v>-0.27145310509113252</c:v>
                </c:pt>
                <c:pt idx="371">
                  <c:v>-0.27145310509113252</c:v>
                </c:pt>
                <c:pt idx="372">
                  <c:v>-0.27145310509113252</c:v>
                </c:pt>
                <c:pt idx="373">
                  <c:v>-0.27145310509113252</c:v>
                </c:pt>
                <c:pt idx="374">
                  <c:v>-0.27145310509113252</c:v>
                </c:pt>
                <c:pt idx="375">
                  <c:v>-0.27145310509113252</c:v>
                </c:pt>
                <c:pt idx="376">
                  <c:v>-0.27145310509113252</c:v>
                </c:pt>
                <c:pt idx="377">
                  <c:v>-0.27145310509113252</c:v>
                </c:pt>
                <c:pt idx="378">
                  <c:v>-0.27145310509113252</c:v>
                </c:pt>
                <c:pt idx="379">
                  <c:v>-0.27145310509113252</c:v>
                </c:pt>
                <c:pt idx="380">
                  <c:v>-0.27145310509113252</c:v>
                </c:pt>
                <c:pt idx="381">
                  <c:v>-0.27145310509113252</c:v>
                </c:pt>
                <c:pt idx="382">
                  <c:v>-0.27145310509113252</c:v>
                </c:pt>
                <c:pt idx="383">
                  <c:v>-0.27145310509113252</c:v>
                </c:pt>
                <c:pt idx="384">
                  <c:v>-0.27145310509113252</c:v>
                </c:pt>
                <c:pt idx="385">
                  <c:v>-0.27145310509113252</c:v>
                </c:pt>
                <c:pt idx="386">
                  <c:v>-0.27145310509113252</c:v>
                </c:pt>
                <c:pt idx="387">
                  <c:v>-0.27145310509113252</c:v>
                </c:pt>
                <c:pt idx="388">
                  <c:v>-0.27145310509113252</c:v>
                </c:pt>
                <c:pt idx="389">
                  <c:v>-0.27145310509113252</c:v>
                </c:pt>
                <c:pt idx="390">
                  <c:v>-0.27145310509113252</c:v>
                </c:pt>
                <c:pt idx="391">
                  <c:v>-0.27145310509113252</c:v>
                </c:pt>
                <c:pt idx="392">
                  <c:v>-0.27145310509113252</c:v>
                </c:pt>
                <c:pt idx="393">
                  <c:v>-0.27145310509113252</c:v>
                </c:pt>
                <c:pt idx="394">
                  <c:v>-0.27145310509113252</c:v>
                </c:pt>
                <c:pt idx="395">
                  <c:v>-0.27145310509113252</c:v>
                </c:pt>
                <c:pt idx="396">
                  <c:v>-0.27145310509113252</c:v>
                </c:pt>
                <c:pt idx="397">
                  <c:v>-0.27145310509113252</c:v>
                </c:pt>
                <c:pt idx="398">
                  <c:v>-0.27145310509113252</c:v>
                </c:pt>
                <c:pt idx="399">
                  <c:v>-0.27145310509113252</c:v>
                </c:pt>
                <c:pt idx="400">
                  <c:v>-0.27145310509113252</c:v>
                </c:pt>
                <c:pt idx="401">
                  <c:v>-0.27145310509113252</c:v>
                </c:pt>
                <c:pt idx="402">
                  <c:v>-0.27145310509113252</c:v>
                </c:pt>
                <c:pt idx="403">
                  <c:v>-0.27145310509113252</c:v>
                </c:pt>
                <c:pt idx="404">
                  <c:v>-0.27145310509113252</c:v>
                </c:pt>
                <c:pt idx="405">
                  <c:v>-0.27145310509113252</c:v>
                </c:pt>
                <c:pt idx="406">
                  <c:v>-0.27145310509113252</c:v>
                </c:pt>
                <c:pt idx="407">
                  <c:v>-0.27145310509113252</c:v>
                </c:pt>
                <c:pt idx="408">
                  <c:v>-0.27145310509113252</c:v>
                </c:pt>
                <c:pt idx="409">
                  <c:v>-0.27145310509113252</c:v>
                </c:pt>
                <c:pt idx="410">
                  <c:v>-0.27145310509113252</c:v>
                </c:pt>
                <c:pt idx="411">
                  <c:v>-0.27145310509113252</c:v>
                </c:pt>
                <c:pt idx="412">
                  <c:v>-0.27145310509113252</c:v>
                </c:pt>
                <c:pt idx="413">
                  <c:v>-0.27145310509113252</c:v>
                </c:pt>
                <c:pt idx="414">
                  <c:v>-0.27145310509113252</c:v>
                </c:pt>
                <c:pt idx="415">
                  <c:v>-0.27145310509113252</c:v>
                </c:pt>
                <c:pt idx="416">
                  <c:v>-0.27145310509113252</c:v>
                </c:pt>
                <c:pt idx="417">
                  <c:v>-0.27145310509113252</c:v>
                </c:pt>
                <c:pt idx="418">
                  <c:v>-0.27145310509113252</c:v>
                </c:pt>
              </c:numCache>
            </c:numRef>
          </c:val>
          <c:smooth val="1"/>
          <c:extLst>
            <c:ext xmlns:c16="http://schemas.microsoft.com/office/drawing/2014/chart" uri="{C3380CC4-5D6E-409C-BE32-E72D297353CC}">
              <c16:uniqueId val="{00000000-2E46-40D7-92F2-A6C06678F79C}"/>
            </c:ext>
          </c:extLst>
        </c:ser>
        <c:ser>
          <c:idx val="1"/>
          <c:order val="2"/>
          <c:tx>
            <c:v>Dwn</c:v>
          </c:tx>
          <c:spPr>
            <a:ln w="28575" cap="rnd">
              <a:solidFill>
                <a:schemeClr val="accent2"/>
              </a:solidFill>
              <a:prstDash val="solid"/>
              <a:round/>
            </a:ln>
            <a:effectLst/>
          </c:spPr>
          <c:marker>
            <c:symbol val="none"/>
          </c:marker>
          <c:val>
            <c:numRef>
              <c:f>'2025-Q2'!$FD$4:$FD$422</c:f>
              <c:numCache>
                <c:formatCode>0.00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1.3724148418491529</c:v>
                </c:pt>
                <c:pt idx="43">
                  <c:v>1.3724148418491529</c:v>
                </c:pt>
                <c:pt idx="44">
                  <c:v>1.3724148418491529</c:v>
                </c:pt>
                <c:pt idx="45">
                  <c:v>1.3724148418491529</c:v>
                </c:pt>
                <c:pt idx="46">
                  <c:v>1.3724148418491529</c:v>
                </c:pt>
                <c:pt idx="47">
                  <c:v>1.3724148418491529</c:v>
                </c:pt>
                <c:pt idx="48">
                  <c:v>1.3724148418491529</c:v>
                </c:pt>
                <c:pt idx="49">
                  <c:v>1.3724148418491529</c:v>
                </c:pt>
                <c:pt idx="50">
                  <c:v>1.3724148418491529</c:v>
                </c:pt>
                <c:pt idx="51">
                  <c:v>1.3724148418491529</c:v>
                </c:pt>
                <c:pt idx="52">
                  <c:v>1.3724148418491529</c:v>
                </c:pt>
                <c:pt idx="53">
                  <c:v>1.3724148418491529</c:v>
                </c:pt>
                <c:pt idx="54">
                  <c:v>1.3724148418491529</c:v>
                </c:pt>
                <c:pt idx="55">
                  <c:v>1.3724148418491529</c:v>
                </c:pt>
                <c:pt idx="56">
                  <c:v>1.3724148418491529</c:v>
                </c:pt>
                <c:pt idx="57">
                  <c:v>1.3724148418491529</c:v>
                </c:pt>
                <c:pt idx="58">
                  <c:v>1.3724148418491529</c:v>
                </c:pt>
                <c:pt idx="59">
                  <c:v>1.3724148418491529</c:v>
                </c:pt>
                <c:pt idx="60">
                  <c:v>1.3724148418491529</c:v>
                </c:pt>
                <c:pt idx="61">
                  <c:v>1.3724148418491529</c:v>
                </c:pt>
                <c:pt idx="62">
                  <c:v>1.3724148418491529</c:v>
                </c:pt>
                <c:pt idx="63">
                  <c:v>1.3724148418491529</c:v>
                </c:pt>
                <c:pt idx="64">
                  <c:v>1.3724148418491529</c:v>
                </c:pt>
                <c:pt idx="65">
                  <c:v>1.3724148418491529</c:v>
                </c:pt>
                <c:pt idx="66">
                  <c:v>1.3724148418491529</c:v>
                </c:pt>
                <c:pt idx="67">
                  <c:v>1.3724148418491529</c:v>
                </c:pt>
                <c:pt idx="68">
                  <c:v>1.3724148418491529</c:v>
                </c:pt>
                <c:pt idx="69">
                  <c:v>1.3724148418491529</c:v>
                </c:pt>
                <c:pt idx="70">
                  <c:v>1.3724148418491529</c:v>
                </c:pt>
                <c:pt idx="71">
                  <c:v>1.3724148418491529</c:v>
                </c:pt>
                <c:pt idx="72">
                  <c:v>1.3724148418491529</c:v>
                </c:pt>
                <c:pt idx="73">
                  <c:v>1.3724148418491529</c:v>
                </c:pt>
                <c:pt idx="74">
                  <c:v>1.3724148418491529</c:v>
                </c:pt>
                <c:pt idx="75">
                  <c:v>1.3724148418491529</c:v>
                </c:pt>
                <c:pt idx="76">
                  <c:v>1.3724148418491529</c:v>
                </c:pt>
                <c:pt idx="77">
                  <c:v>1.3724148418491529</c:v>
                </c:pt>
                <c:pt idx="78">
                  <c:v>1.3724148418491529</c:v>
                </c:pt>
                <c:pt idx="79">
                  <c:v>1.3724148418491529</c:v>
                </c:pt>
                <c:pt idx="80">
                  <c:v>1.3724148418491529</c:v>
                </c:pt>
                <c:pt idx="81">
                  <c:v>1.3724148418491529</c:v>
                </c:pt>
                <c:pt idx="82">
                  <c:v>1.3724148418491529</c:v>
                </c:pt>
                <c:pt idx="83">
                  <c:v>1.3724148418491529</c:v>
                </c:pt>
                <c:pt idx="84">
                  <c:v>1.3724148418491529</c:v>
                </c:pt>
                <c:pt idx="85">
                  <c:v>1.3724148418491529</c:v>
                </c:pt>
                <c:pt idx="86">
                  <c:v>1.3724148418491529</c:v>
                </c:pt>
                <c:pt idx="87">
                  <c:v>1.3724148418491529</c:v>
                </c:pt>
                <c:pt idx="88">
                  <c:v>1.3724148418491529</c:v>
                </c:pt>
                <c:pt idx="89">
                  <c:v>1.3724148418491529</c:v>
                </c:pt>
                <c:pt idx="90">
                  <c:v>1.3724148418491529</c:v>
                </c:pt>
                <c:pt idx="91">
                  <c:v>1.154074230495441</c:v>
                </c:pt>
                <c:pt idx="92">
                  <c:v>1.154074230495441</c:v>
                </c:pt>
                <c:pt idx="93">
                  <c:v>1.154074230495441</c:v>
                </c:pt>
                <c:pt idx="94">
                  <c:v>1.154074230495441</c:v>
                </c:pt>
                <c:pt idx="95">
                  <c:v>1.154074230495441</c:v>
                </c:pt>
                <c:pt idx="96">
                  <c:v>1.154074230495441</c:v>
                </c:pt>
                <c:pt idx="97">
                  <c:v>1.154074230495441</c:v>
                </c:pt>
                <c:pt idx="98">
                  <c:v>1.154074230495441</c:v>
                </c:pt>
                <c:pt idx="99">
                  <c:v>1.154074230495441</c:v>
                </c:pt>
                <c:pt idx="100">
                  <c:v>1.154074230495441</c:v>
                </c:pt>
                <c:pt idx="101">
                  <c:v>1.154074230495441</c:v>
                </c:pt>
                <c:pt idx="102">
                  <c:v>1.154074230495441</c:v>
                </c:pt>
                <c:pt idx="103">
                  <c:v>1.154074230495441</c:v>
                </c:pt>
                <c:pt idx="104">
                  <c:v>1.154074230495441</c:v>
                </c:pt>
                <c:pt idx="105">
                  <c:v>1.154074230495441</c:v>
                </c:pt>
                <c:pt idx="106">
                  <c:v>1.154074230495441</c:v>
                </c:pt>
                <c:pt idx="107">
                  <c:v>1.154074230495441</c:v>
                </c:pt>
                <c:pt idx="108">
                  <c:v>1.154074230495441</c:v>
                </c:pt>
                <c:pt idx="109">
                  <c:v>1.154074230495441</c:v>
                </c:pt>
                <c:pt idx="110">
                  <c:v>1.4594468805574699</c:v>
                </c:pt>
                <c:pt idx="111">
                  <c:v>1.6839191319663924</c:v>
                </c:pt>
                <c:pt idx="112">
                  <c:v>1.6839191319663924</c:v>
                </c:pt>
                <c:pt idx="113">
                  <c:v>1.6839191319663924</c:v>
                </c:pt>
                <c:pt idx="114">
                  <c:v>1.6839191319663924</c:v>
                </c:pt>
                <c:pt idx="115">
                  <c:v>1.6839191319663924</c:v>
                </c:pt>
                <c:pt idx="116">
                  <c:v>1.6839191319663924</c:v>
                </c:pt>
                <c:pt idx="117">
                  <c:v>1.6839191319663924</c:v>
                </c:pt>
                <c:pt idx="118">
                  <c:v>1.6839191319663924</c:v>
                </c:pt>
                <c:pt idx="119">
                  <c:v>1.6839191319663924</c:v>
                </c:pt>
                <c:pt idx="120">
                  <c:v>1.6839191319663924</c:v>
                </c:pt>
                <c:pt idx="121">
                  <c:v>1.6839191319663924</c:v>
                </c:pt>
                <c:pt idx="122">
                  <c:v>1.6839191319663924</c:v>
                </c:pt>
                <c:pt idx="123">
                  <c:v>1.6839191319663924</c:v>
                </c:pt>
                <c:pt idx="124">
                  <c:v>1.6839191319663924</c:v>
                </c:pt>
                <c:pt idx="125">
                  <c:v>1.6839191319663924</c:v>
                </c:pt>
                <c:pt idx="126">
                  <c:v>1.6839191319663924</c:v>
                </c:pt>
                <c:pt idx="127">
                  <c:v>1.6839191319663924</c:v>
                </c:pt>
                <c:pt idx="128">
                  <c:v>1.6839191319663924</c:v>
                </c:pt>
                <c:pt idx="129">
                  <c:v>1.6839191319663924</c:v>
                </c:pt>
                <c:pt idx="130">
                  <c:v>1.6839191319663924</c:v>
                </c:pt>
                <c:pt idx="131">
                  <c:v>1.6839191319663924</c:v>
                </c:pt>
                <c:pt idx="132">
                  <c:v>1.6839191319663924</c:v>
                </c:pt>
                <c:pt idx="133">
                  <c:v>1.6839191319663924</c:v>
                </c:pt>
                <c:pt idx="134">
                  <c:v>1.6839191319663924</c:v>
                </c:pt>
                <c:pt idx="135">
                  <c:v>1.6839191319663924</c:v>
                </c:pt>
                <c:pt idx="136">
                  <c:v>1.6839191319663924</c:v>
                </c:pt>
                <c:pt idx="137">
                  <c:v>1.6839191319663924</c:v>
                </c:pt>
                <c:pt idx="138">
                  <c:v>1.6839191319663924</c:v>
                </c:pt>
                <c:pt idx="139">
                  <c:v>1.6839191319663924</c:v>
                </c:pt>
                <c:pt idx="140">
                  <c:v>1.6839191319663924</c:v>
                </c:pt>
                <c:pt idx="141">
                  <c:v>1.6839191319663924</c:v>
                </c:pt>
                <c:pt idx="142">
                  <c:v>1.6839191319663924</c:v>
                </c:pt>
                <c:pt idx="143">
                  <c:v>1.6839191319663924</c:v>
                </c:pt>
                <c:pt idx="144">
                  <c:v>1.6839191319663924</c:v>
                </c:pt>
                <c:pt idx="145">
                  <c:v>1.6839191319663924</c:v>
                </c:pt>
                <c:pt idx="146">
                  <c:v>1.6839191319663924</c:v>
                </c:pt>
                <c:pt idx="147">
                  <c:v>1.6839191319663924</c:v>
                </c:pt>
                <c:pt idx="148">
                  <c:v>1.6839191319663924</c:v>
                </c:pt>
                <c:pt idx="149">
                  <c:v>1.6839191319663924</c:v>
                </c:pt>
                <c:pt idx="150">
                  <c:v>1.6839191319663924</c:v>
                </c:pt>
                <c:pt idx="151">
                  <c:v>1.6839191319663924</c:v>
                </c:pt>
                <c:pt idx="152">
                  <c:v>1.6839191319663924</c:v>
                </c:pt>
                <c:pt idx="153">
                  <c:v>1.6839191319663924</c:v>
                </c:pt>
                <c:pt idx="154">
                  <c:v>1.6839191319663924</c:v>
                </c:pt>
                <c:pt idx="155">
                  <c:v>1.6839191319663924</c:v>
                </c:pt>
                <c:pt idx="156">
                  <c:v>1.6839191319663924</c:v>
                </c:pt>
                <c:pt idx="157">
                  <c:v>1.6839191319663924</c:v>
                </c:pt>
                <c:pt idx="158">
                  <c:v>1.6839191319663924</c:v>
                </c:pt>
                <c:pt idx="159">
                  <c:v>1.6839191319663924</c:v>
                </c:pt>
                <c:pt idx="160">
                  <c:v>1.6839191319663924</c:v>
                </c:pt>
                <c:pt idx="161">
                  <c:v>1.6839191319663924</c:v>
                </c:pt>
                <c:pt idx="162">
                  <c:v>1.6839191319663924</c:v>
                </c:pt>
                <c:pt idx="163">
                  <c:v>1.6839191319663924</c:v>
                </c:pt>
                <c:pt idx="164">
                  <c:v>1.6839191319663924</c:v>
                </c:pt>
                <c:pt idx="165">
                  <c:v>1.6839191319663924</c:v>
                </c:pt>
                <c:pt idx="166">
                  <c:v>1.6839191319663924</c:v>
                </c:pt>
                <c:pt idx="167">
                  <c:v>1.6839191319663924</c:v>
                </c:pt>
                <c:pt idx="168">
                  <c:v>1.6839191319663924</c:v>
                </c:pt>
                <c:pt idx="169">
                  <c:v>1.6839191319663924</c:v>
                </c:pt>
                <c:pt idx="170">
                  <c:v>1.6839191319663924</c:v>
                </c:pt>
                <c:pt idx="171">
                  <c:v>1.6839191319663924</c:v>
                </c:pt>
                <c:pt idx="172">
                  <c:v>1.6839191319663924</c:v>
                </c:pt>
                <c:pt idx="173">
                  <c:v>1.6839191319663924</c:v>
                </c:pt>
                <c:pt idx="174">
                  <c:v>1.6839191319663924</c:v>
                </c:pt>
                <c:pt idx="175">
                  <c:v>1.6839191319663924</c:v>
                </c:pt>
                <c:pt idx="176">
                  <c:v>1.6839191319663924</c:v>
                </c:pt>
                <c:pt idx="177">
                  <c:v>1.6839191319663924</c:v>
                </c:pt>
                <c:pt idx="178">
                  <c:v>1.6839191319663924</c:v>
                </c:pt>
                <c:pt idx="179">
                  <c:v>1.6839191319663924</c:v>
                </c:pt>
                <c:pt idx="180">
                  <c:v>1.6839191319663924</c:v>
                </c:pt>
                <c:pt idx="181">
                  <c:v>1.6839191319663924</c:v>
                </c:pt>
                <c:pt idx="182">
                  <c:v>1.6839191319663924</c:v>
                </c:pt>
                <c:pt idx="183">
                  <c:v>1.6839191319663924</c:v>
                </c:pt>
                <c:pt idx="184">
                  <c:v>1.6839191319663924</c:v>
                </c:pt>
                <c:pt idx="185">
                  <c:v>1.6839191319663924</c:v>
                </c:pt>
                <c:pt idx="186">
                  <c:v>1.6839191319663924</c:v>
                </c:pt>
                <c:pt idx="187">
                  <c:v>1.6839191319663924</c:v>
                </c:pt>
                <c:pt idx="188">
                  <c:v>1.6839191319663924</c:v>
                </c:pt>
                <c:pt idx="189">
                  <c:v>1.6839191319663924</c:v>
                </c:pt>
                <c:pt idx="190">
                  <c:v>1.6839191319663924</c:v>
                </c:pt>
                <c:pt idx="191">
                  <c:v>1.6839191319663924</c:v>
                </c:pt>
                <c:pt idx="192">
                  <c:v>1.6839191319663924</c:v>
                </c:pt>
                <c:pt idx="193">
                  <c:v>1.6839191319663924</c:v>
                </c:pt>
                <c:pt idx="194">
                  <c:v>1.6839191319663924</c:v>
                </c:pt>
                <c:pt idx="195">
                  <c:v>1.6839191319663924</c:v>
                </c:pt>
                <c:pt idx="196">
                  <c:v>1.6839191319663924</c:v>
                </c:pt>
                <c:pt idx="197">
                  <c:v>1.6839191319663924</c:v>
                </c:pt>
                <c:pt idx="198">
                  <c:v>1.6839191319663924</c:v>
                </c:pt>
                <c:pt idx="199">
                  <c:v>1.6839191319663924</c:v>
                </c:pt>
                <c:pt idx="200">
                  <c:v>1.6839191319663924</c:v>
                </c:pt>
                <c:pt idx="201">
                  <c:v>1.6839191319663924</c:v>
                </c:pt>
                <c:pt idx="202">
                  <c:v>1.6839191319663924</c:v>
                </c:pt>
                <c:pt idx="203">
                  <c:v>1.6839191319663924</c:v>
                </c:pt>
                <c:pt idx="204">
                  <c:v>1.6839191319663924</c:v>
                </c:pt>
                <c:pt idx="205">
                  <c:v>1.6839191319663924</c:v>
                </c:pt>
                <c:pt idx="206">
                  <c:v>1.6839191319663924</c:v>
                </c:pt>
                <c:pt idx="207">
                  <c:v>1.6839191319663924</c:v>
                </c:pt>
                <c:pt idx="208">
                  <c:v>1.6839191319663924</c:v>
                </c:pt>
                <c:pt idx="209">
                  <c:v>1.6839191319663924</c:v>
                </c:pt>
                <c:pt idx="210">
                  <c:v>1.6839191319663924</c:v>
                </c:pt>
                <c:pt idx="211">
                  <c:v>1.6839191319663924</c:v>
                </c:pt>
                <c:pt idx="212">
                  <c:v>1.6839191319663924</c:v>
                </c:pt>
                <c:pt idx="213">
                  <c:v>1.6839191319663924</c:v>
                </c:pt>
                <c:pt idx="214">
                  <c:v>1.6839191319663924</c:v>
                </c:pt>
                <c:pt idx="215">
                  <c:v>1.6839191319663924</c:v>
                </c:pt>
                <c:pt idx="216">
                  <c:v>1.6839191319663924</c:v>
                </c:pt>
                <c:pt idx="217">
                  <c:v>1.6839191319663924</c:v>
                </c:pt>
                <c:pt idx="218">
                  <c:v>1.6839191319663924</c:v>
                </c:pt>
                <c:pt idx="219">
                  <c:v>1.6839191319663924</c:v>
                </c:pt>
                <c:pt idx="220">
                  <c:v>1.6839191319663924</c:v>
                </c:pt>
                <c:pt idx="221">
                  <c:v>1.6839191319663924</c:v>
                </c:pt>
                <c:pt idx="222">
                  <c:v>1.8692126759492278</c:v>
                </c:pt>
                <c:pt idx="223">
                  <c:v>1.8692126759492278</c:v>
                </c:pt>
                <c:pt idx="224">
                  <c:v>1.8692126759492278</c:v>
                </c:pt>
                <c:pt idx="225">
                  <c:v>1.8692126759492278</c:v>
                </c:pt>
                <c:pt idx="226">
                  <c:v>1.8692126759492278</c:v>
                </c:pt>
                <c:pt idx="227">
                  <c:v>1.8692126759492278</c:v>
                </c:pt>
                <c:pt idx="228">
                  <c:v>1.8692126759492278</c:v>
                </c:pt>
                <c:pt idx="229">
                  <c:v>1.8692126759492278</c:v>
                </c:pt>
                <c:pt idx="230">
                  <c:v>1.8692126759492278</c:v>
                </c:pt>
                <c:pt idx="231">
                  <c:v>1.8692126759492278</c:v>
                </c:pt>
                <c:pt idx="232">
                  <c:v>1.8692126759492278</c:v>
                </c:pt>
                <c:pt idx="233">
                  <c:v>1.8692126759492278</c:v>
                </c:pt>
                <c:pt idx="234">
                  <c:v>1.8692126759492278</c:v>
                </c:pt>
                <c:pt idx="235">
                  <c:v>1.8692126759492278</c:v>
                </c:pt>
                <c:pt idx="236">
                  <c:v>1.8692126759492278</c:v>
                </c:pt>
                <c:pt idx="237">
                  <c:v>1.8692126759492278</c:v>
                </c:pt>
                <c:pt idx="238">
                  <c:v>1.8692126759492278</c:v>
                </c:pt>
                <c:pt idx="239">
                  <c:v>1.8692126759492278</c:v>
                </c:pt>
                <c:pt idx="240">
                  <c:v>1.8692126759492278</c:v>
                </c:pt>
                <c:pt idx="241">
                  <c:v>1.8692126759492278</c:v>
                </c:pt>
                <c:pt idx="242">
                  <c:v>1.8692126759492278</c:v>
                </c:pt>
                <c:pt idx="243">
                  <c:v>1.8692126759492278</c:v>
                </c:pt>
                <c:pt idx="244">
                  <c:v>1.8692126759492278</c:v>
                </c:pt>
                <c:pt idx="245">
                  <c:v>1.8692126759492278</c:v>
                </c:pt>
                <c:pt idx="246">
                  <c:v>1.5635468285930783</c:v>
                </c:pt>
                <c:pt idx="247">
                  <c:v>1.3660078100500956</c:v>
                </c:pt>
                <c:pt idx="248">
                  <c:v>1.3660078100500956</c:v>
                </c:pt>
                <c:pt idx="249">
                  <c:v>1.3660078100500956</c:v>
                </c:pt>
                <c:pt idx="250">
                  <c:v>1.3660078100500956</c:v>
                </c:pt>
                <c:pt idx="251">
                  <c:v>1.3660078100500956</c:v>
                </c:pt>
                <c:pt idx="252">
                  <c:v>1.3660078100500956</c:v>
                </c:pt>
                <c:pt idx="253">
                  <c:v>1.3660078100500956</c:v>
                </c:pt>
                <c:pt idx="254">
                  <c:v>1.3660078100500956</c:v>
                </c:pt>
                <c:pt idx="255">
                  <c:v>1.3660078100500956</c:v>
                </c:pt>
                <c:pt idx="256">
                  <c:v>1.3660078100500956</c:v>
                </c:pt>
                <c:pt idx="257">
                  <c:v>1.3660078100500956</c:v>
                </c:pt>
                <c:pt idx="258">
                  <c:v>1.3660078100500956</c:v>
                </c:pt>
                <c:pt idx="259">
                  <c:v>1.3660078100500956</c:v>
                </c:pt>
                <c:pt idx="260">
                  <c:v>1.3660078100500956</c:v>
                </c:pt>
                <c:pt idx="261">
                  <c:v>1.3660078100500956</c:v>
                </c:pt>
                <c:pt idx="262">
                  <c:v>1.3660078100500956</c:v>
                </c:pt>
                <c:pt idx="263">
                  <c:v>1.3660078100500956</c:v>
                </c:pt>
                <c:pt idx="264">
                  <c:v>1.3660078100500956</c:v>
                </c:pt>
                <c:pt idx="265">
                  <c:v>1.3660078100500956</c:v>
                </c:pt>
                <c:pt idx="266">
                  <c:v>1.3660078100500956</c:v>
                </c:pt>
                <c:pt idx="267">
                  <c:v>1.3660078100500956</c:v>
                </c:pt>
                <c:pt idx="268">
                  <c:v>1.204376144197403</c:v>
                </c:pt>
                <c:pt idx="269">
                  <c:v>1.204376144197403</c:v>
                </c:pt>
                <c:pt idx="270">
                  <c:v>1.204376144197403</c:v>
                </c:pt>
                <c:pt idx="271">
                  <c:v>1.204376144197403</c:v>
                </c:pt>
                <c:pt idx="272">
                  <c:v>1.204376144197403</c:v>
                </c:pt>
                <c:pt idx="273">
                  <c:v>1.204376144197403</c:v>
                </c:pt>
                <c:pt idx="274">
                  <c:v>1.204376144197403</c:v>
                </c:pt>
                <c:pt idx="275">
                  <c:v>1.204376144197403</c:v>
                </c:pt>
                <c:pt idx="276">
                  <c:v>1.204376144197403</c:v>
                </c:pt>
                <c:pt idx="277">
                  <c:v>1.204376144197403</c:v>
                </c:pt>
                <c:pt idx="278">
                  <c:v>1.204376144197403</c:v>
                </c:pt>
                <c:pt idx="279">
                  <c:v>1.204376144197403</c:v>
                </c:pt>
                <c:pt idx="280">
                  <c:v>1.204376144197403</c:v>
                </c:pt>
                <c:pt idx="281">
                  <c:v>1.204376144197403</c:v>
                </c:pt>
                <c:pt idx="282">
                  <c:v>1.204376144197403</c:v>
                </c:pt>
                <c:pt idx="283">
                  <c:v>1.204376144197403</c:v>
                </c:pt>
                <c:pt idx="284">
                  <c:v>1.204376144197403</c:v>
                </c:pt>
                <c:pt idx="285">
                  <c:v>1.204376144197403</c:v>
                </c:pt>
                <c:pt idx="286">
                  <c:v>1.204376144197403</c:v>
                </c:pt>
                <c:pt idx="287">
                  <c:v>1.204376144197403</c:v>
                </c:pt>
                <c:pt idx="288">
                  <c:v>1.204376144197403</c:v>
                </c:pt>
                <c:pt idx="289">
                  <c:v>1.204376144197403</c:v>
                </c:pt>
                <c:pt idx="290">
                  <c:v>1.204376144197403</c:v>
                </c:pt>
                <c:pt idx="291">
                  <c:v>1.204376144197403</c:v>
                </c:pt>
                <c:pt idx="292">
                  <c:v>1.204376144197403</c:v>
                </c:pt>
                <c:pt idx="293">
                  <c:v>1.204376144197403</c:v>
                </c:pt>
                <c:pt idx="294">
                  <c:v>1.204376144197403</c:v>
                </c:pt>
                <c:pt idx="295">
                  <c:v>1.204376144197403</c:v>
                </c:pt>
                <c:pt idx="296">
                  <c:v>1.204376144197403</c:v>
                </c:pt>
                <c:pt idx="297">
                  <c:v>1.204376144197403</c:v>
                </c:pt>
                <c:pt idx="298">
                  <c:v>1.204376144197403</c:v>
                </c:pt>
                <c:pt idx="299">
                  <c:v>1.204376144197403</c:v>
                </c:pt>
                <c:pt idx="300">
                  <c:v>1.204376144197403</c:v>
                </c:pt>
                <c:pt idx="301">
                  <c:v>1.204376144197403</c:v>
                </c:pt>
                <c:pt idx="302">
                  <c:v>1.204376144197403</c:v>
                </c:pt>
                <c:pt idx="303">
                  <c:v>1.204376144197403</c:v>
                </c:pt>
                <c:pt idx="304">
                  <c:v>1.204376144197403</c:v>
                </c:pt>
                <c:pt idx="305">
                  <c:v>1.204376144197403</c:v>
                </c:pt>
                <c:pt idx="306">
                  <c:v>1.204376144197403</c:v>
                </c:pt>
                <c:pt idx="307">
                  <c:v>1.204376144197403</c:v>
                </c:pt>
                <c:pt idx="308">
                  <c:v>1.204376144197403</c:v>
                </c:pt>
                <c:pt idx="309">
                  <c:v>1.204376144197403</c:v>
                </c:pt>
                <c:pt idx="310">
                  <c:v>1.204376144197403</c:v>
                </c:pt>
                <c:pt idx="311">
                  <c:v>1.204376144197403</c:v>
                </c:pt>
                <c:pt idx="312">
                  <c:v>0.89084290967454072</c:v>
                </c:pt>
                <c:pt idx="313">
                  <c:v>0.89084290967454072</c:v>
                </c:pt>
                <c:pt idx="314">
                  <c:v>0.89084290967454072</c:v>
                </c:pt>
                <c:pt idx="315">
                  <c:v>0.89084290967454072</c:v>
                </c:pt>
                <c:pt idx="316">
                  <c:v>0.89084290967454072</c:v>
                </c:pt>
                <c:pt idx="317">
                  <c:v>0.89084290967454072</c:v>
                </c:pt>
                <c:pt idx="318">
                  <c:v>0.89084290967454072</c:v>
                </c:pt>
                <c:pt idx="319">
                  <c:v>0.89084290967454072</c:v>
                </c:pt>
                <c:pt idx="320">
                  <c:v>0.89084290967454072</c:v>
                </c:pt>
                <c:pt idx="321">
                  <c:v>0.89084290967454072</c:v>
                </c:pt>
                <c:pt idx="322">
                  <c:v>0.89084290967454072</c:v>
                </c:pt>
                <c:pt idx="323">
                  <c:v>0.89084290967454072</c:v>
                </c:pt>
                <c:pt idx="324">
                  <c:v>0.89084290967454072</c:v>
                </c:pt>
                <c:pt idx="325">
                  <c:v>0.89084290967454072</c:v>
                </c:pt>
                <c:pt idx="326">
                  <c:v>0.89084290967454072</c:v>
                </c:pt>
                <c:pt idx="327">
                  <c:v>0.89084290967454072</c:v>
                </c:pt>
                <c:pt idx="328">
                  <c:v>0.89084290967454072</c:v>
                </c:pt>
                <c:pt idx="329">
                  <c:v>0.89084290967454072</c:v>
                </c:pt>
                <c:pt idx="330">
                  <c:v>0.89084290967454072</c:v>
                </c:pt>
                <c:pt idx="331">
                  <c:v>0.89084290967454072</c:v>
                </c:pt>
                <c:pt idx="332">
                  <c:v>0.89084290967454072</c:v>
                </c:pt>
                <c:pt idx="333">
                  <c:v>0.89084290967454072</c:v>
                </c:pt>
                <c:pt idx="334">
                  <c:v>0.89084290967454072</c:v>
                </c:pt>
                <c:pt idx="335">
                  <c:v>0.89084290967454072</c:v>
                </c:pt>
                <c:pt idx="336">
                  <c:v>0.89084290967454072</c:v>
                </c:pt>
                <c:pt idx="337">
                  <c:v>0.89084290967454072</c:v>
                </c:pt>
                <c:pt idx="338">
                  <c:v>0.89084290967454072</c:v>
                </c:pt>
                <c:pt idx="339">
                  <c:v>0.89084290967454072</c:v>
                </c:pt>
                <c:pt idx="340">
                  <c:v>0.89084290967454072</c:v>
                </c:pt>
                <c:pt idx="341">
                  <c:v>0.89084290967454072</c:v>
                </c:pt>
                <c:pt idx="342">
                  <c:v>0.89084290967454072</c:v>
                </c:pt>
                <c:pt idx="343">
                  <c:v>0.89084290967454072</c:v>
                </c:pt>
                <c:pt idx="344">
                  <c:v>0.89084290967454072</c:v>
                </c:pt>
                <c:pt idx="345">
                  <c:v>0.89084290967454072</c:v>
                </c:pt>
                <c:pt idx="346">
                  <c:v>0.89084290967454072</c:v>
                </c:pt>
                <c:pt idx="347">
                  <c:v>0.89084290967454072</c:v>
                </c:pt>
                <c:pt idx="348">
                  <c:v>0.89084290967454072</c:v>
                </c:pt>
                <c:pt idx="349">
                  <c:v>0.89084290967454072</c:v>
                </c:pt>
                <c:pt idx="350">
                  <c:v>0.89084290967454072</c:v>
                </c:pt>
                <c:pt idx="351">
                  <c:v>0.89084290967454072</c:v>
                </c:pt>
                <c:pt idx="352">
                  <c:v>0.89084290967454072</c:v>
                </c:pt>
                <c:pt idx="353">
                  <c:v>0.89084290967454072</c:v>
                </c:pt>
                <c:pt idx="354">
                  <c:v>0.89084290967454072</c:v>
                </c:pt>
                <c:pt idx="355">
                  <c:v>0.89084290967454072</c:v>
                </c:pt>
                <c:pt idx="356">
                  <c:v>0.89084290967454072</c:v>
                </c:pt>
                <c:pt idx="357">
                  <c:v>0.89084290967454072</c:v>
                </c:pt>
                <c:pt idx="358">
                  <c:v>0.89084290967454072</c:v>
                </c:pt>
                <c:pt idx="359">
                  <c:v>0.89084290967454072</c:v>
                </c:pt>
                <c:pt idx="360">
                  <c:v>0.89084290967454072</c:v>
                </c:pt>
                <c:pt idx="361">
                  <c:v>0.89084290967454072</c:v>
                </c:pt>
                <c:pt idx="362">
                  <c:v>0.89084290967454072</c:v>
                </c:pt>
                <c:pt idx="363">
                  <c:v>0.89084290967454072</c:v>
                </c:pt>
                <c:pt idx="364">
                  <c:v>0.89084290967454072</c:v>
                </c:pt>
                <c:pt idx="365">
                  <c:v>0.89084290967454072</c:v>
                </c:pt>
                <c:pt idx="366">
                  <c:v>0.89084290967454072</c:v>
                </c:pt>
                <c:pt idx="367">
                  <c:v>0.89084290967454072</c:v>
                </c:pt>
                <c:pt idx="368">
                  <c:v>0.89084290967454072</c:v>
                </c:pt>
                <c:pt idx="369">
                  <c:v>0.89084290967454072</c:v>
                </c:pt>
                <c:pt idx="370">
                  <c:v>0.89084290967454072</c:v>
                </c:pt>
                <c:pt idx="371">
                  <c:v>0.89084290967454072</c:v>
                </c:pt>
                <c:pt idx="372">
                  <c:v>0.89084290967454072</c:v>
                </c:pt>
                <c:pt idx="373">
                  <c:v>0.89084290967454072</c:v>
                </c:pt>
                <c:pt idx="374">
                  <c:v>0.89084290967454072</c:v>
                </c:pt>
                <c:pt idx="375">
                  <c:v>0.89084290967454072</c:v>
                </c:pt>
                <c:pt idx="376">
                  <c:v>0.89084290967454072</c:v>
                </c:pt>
                <c:pt idx="377">
                  <c:v>0.89084290967454072</c:v>
                </c:pt>
                <c:pt idx="378">
                  <c:v>0.89084290967454072</c:v>
                </c:pt>
                <c:pt idx="379">
                  <c:v>0.89084290967454072</c:v>
                </c:pt>
                <c:pt idx="380">
                  <c:v>0.89084290967454072</c:v>
                </c:pt>
                <c:pt idx="381">
                  <c:v>0.89084290967454072</c:v>
                </c:pt>
                <c:pt idx="382">
                  <c:v>0.89084290967454072</c:v>
                </c:pt>
                <c:pt idx="383">
                  <c:v>0.89084290967454072</c:v>
                </c:pt>
                <c:pt idx="384">
                  <c:v>0.89084290967454072</c:v>
                </c:pt>
                <c:pt idx="385">
                  <c:v>0.89084290967454072</c:v>
                </c:pt>
                <c:pt idx="386">
                  <c:v>0.89084290967454072</c:v>
                </c:pt>
                <c:pt idx="387">
                  <c:v>0.89084290967454072</c:v>
                </c:pt>
                <c:pt idx="388">
                  <c:v>0.89084290967454072</c:v>
                </c:pt>
                <c:pt idx="389">
                  <c:v>0.89084290967454072</c:v>
                </c:pt>
                <c:pt idx="390">
                  <c:v>0.89084290967454072</c:v>
                </c:pt>
                <c:pt idx="391">
                  <c:v>0.89084290967454072</c:v>
                </c:pt>
                <c:pt idx="392">
                  <c:v>0.89084290967454072</c:v>
                </c:pt>
                <c:pt idx="393">
                  <c:v>0.89084290967454072</c:v>
                </c:pt>
                <c:pt idx="394">
                  <c:v>0.89084290967454072</c:v>
                </c:pt>
                <c:pt idx="395">
                  <c:v>0.89084290967454072</c:v>
                </c:pt>
                <c:pt idx="396">
                  <c:v>0.89084290967454072</c:v>
                </c:pt>
                <c:pt idx="397">
                  <c:v>0.89084290967454072</c:v>
                </c:pt>
                <c:pt idx="398">
                  <c:v>0.89084290967454072</c:v>
                </c:pt>
                <c:pt idx="399">
                  <c:v>0.89084290967454072</c:v>
                </c:pt>
                <c:pt idx="400">
                  <c:v>0.89084290967454072</c:v>
                </c:pt>
                <c:pt idx="401">
                  <c:v>0.89084290967454072</c:v>
                </c:pt>
                <c:pt idx="402">
                  <c:v>0.89084290967454072</c:v>
                </c:pt>
                <c:pt idx="403">
                  <c:v>0.89084290967454072</c:v>
                </c:pt>
                <c:pt idx="404">
                  <c:v>0.89084290967454072</c:v>
                </c:pt>
                <c:pt idx="405">
                  <c:v>0.89084290967454072</c:v>
                </c:pt>
                <c:pt idx="406">
                  <c:v>0.89084290967454072</c:v>
                </c:pt>
                <c:pt idx="407">
                  <c:v>0.89084290967454072</c:v>
                </c:pt>
                <c:pt idx="408">
                  <c:v>0.89084290967454072</c:v>
                </c:pt>
                <c:pt idx="409">
                  <c:v>0.89084290967454072</c:v>
                </c:pt>
                <c:pt idx="410">
                  <c:v>0.89084290967454072</c:v>
                </c:pt>
                <c:pt idx="411">
                  <c:v>0.89084290967454072</c:v>
                </c:pt>
                <c:pt idx="412">
                  <c:v>0.89084290967454072</c:v>
                </c:pt>
                <c:pt idx="413">
                  <c:v>0.89084290967454072</c:v>
                </c:pt>
                <c:pt idx="414">
                  <c:v>0.89084290967454072</c:v>
                </c:pt>
                <c:pt idx="415">
                  <c:v>0.89084290967454072</c:v>
                </c:pt>
                <c:pt idx="416">
                  <c:v>0.89084290967454072</c:v>
                </c:pt>
                <c:pt idx="417">
                  <c:v>0.89084290967454072</c:v>
                </c:pt>
                <c:pt idx="418">
                  <c:v>0.89084290967454072</c:v>
                </c:pt>
              </c:numCache>
            </c:numRef>
          </c:val>
          <c:smooth val="1"/>
          <c:extLst>
            <c:ext xmlns:c16="http://schemas.microsoft.com/office/drawing/2014/chart" uri="{C3380CC4-5D6E-409C-BE32-E72D297353CC}">
              <c16:uniqueId val="{00000001-2E46-40D7-92F2-A6C06678F79C}"/>
            </c:ext>
          </c:extLst>
        </c:ser>
        <c:ser>
          <c:idx val="2"/>
          <c:order val="3"/>
          <c:tx>
            <c:v>SW</c:v>
          </c:tx>
          <c:spPr>
            <a:ln w="28575" cap="rnd">
              <a:solidFill>
                <a:srgbClr val="0070C0"/>
              </a:solidFill>
              <a:prstDash val="solid"/>
              <a:round/>
            </a:ln>
            <a:effectLst/>
          </c:spPr>
          <c:marker>
            <c:symbol val="none"/>
          </c:marker>
          <c:val>
            <c:numRef>
              <c:f>'2025-Q2'!$FF$4:$FF$422</c:f>
              <c:numCache>
                <c:formatCode>0.00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-0.11131725417439868</c:v>
                </c:pt>
                <c:pt idx="24">
                  <c:v>-0.11131725417439868</c:v>
                </c:pt>
                <c:pt idx="25">
                  <c:v>-0.11131725417439868</c:v>
                </c:pt>
                <c:pt idx="26">
                  <c:v>-0.11131725417439868</c:v>
                </c:pt>
                <c:pt idx="27">
                  <c:v>-0.11131725417439868</c:v>
                </c:pt>
                <c:pt idx="28">
                  <c:v>-0.11131725417439868</c:v>
                </c:pt>
                <c:pt idx="29">
                  <c:v>-0.11131725417439868</c:v>
                </c:pt>
                <c:pt idx="30">
                  <c:v>-0.11131725417439868</c:v>
                </c:pt>
                <c:pt idx="31">
                  <c:v>-0.11131725417439868</c:v>
                </c:pt>
                <c:pt idx="32">
                  <c:v>-0.11131725417439868</c:v>
                </c:pt>
                <c:pt idx="33">
                  <c:v>-0.11131725417439868</c:v>
                </c:pt>
                <c:pt idx="34">
                  <c:v>-0.11131725417439868</c:v>
                </c:pt>
                <c:pt idx="35">
                  <c:v>-0.11131725417439868</c:v>
                </c:pt>
                <c:pt idx="36">
                  <c:v>-0.11131725417439868</c:v>
                </c:pt>
                <c:pt idx="37">
                  <c:v>-0.11131725417439868</c:v>
                </c:pt>
                <c:pt idx="38">
                  <c:v>-0.11131725417439868</c:v>
                </c:pt>
                <c:pt idx="39">
                  <c:v>-0.11131725417439868</c:v>
                </c:pt>
                <c:pt idx="40">
                  <c:v>-0.11131725417439868</c:v>
                </c:pt>
                <c:pt idx="41">
                  <c:v>-0.11131725417439868</c:v>
                </c:pt>
                <c:pt idx="42">
                  <c:v>-0.11131725417439868</c:v>
                </c:pt>
                <c:pt idx="43">
                  <c:v>-0.11131725417439868</c:v>
                </c:pt>
                <c:pt idx="44">
                  <c:v>-0.11131725417439868</c:v>
                </c:pt>
                <c:pt idx="45">
                  <c:v>-0.11131725417439868</c:v>
                </c:pt>
                <c:pt idx="46">
                  <c:v>-0.11131725417439868</c:v>
                </c:pt>
                <c:pt idx="47">
                  <c:v>-0.11131725417439868</c:v>
                </c:pt>
                <c:pt idx="48">
                  <c:v>-0.11131725417439868</c:v>
                </c:pt>
                <c:pt idx="49">
                  <c:v>-0.11131725417439868</c:v>
                </c:pt>
                <c:pt idx="50">
                  <c:v>-0.11131725417439868</c:v>
                </c:pt>
                <c:pt idx="51">
                  <c:v>-0.11131725417439868</c:v>
                </c:pt>
                <c:pt idx="52">
                  <c:v>-0.11131725417439868</c:v>
                </c:pt>
                <c:pt idx="53">
                  <c:v>-0.11131725417439868</c:v>
                </c:pt>
                <c:pt idx="54">
                  <c:v>-0.11131725417439868</c:v>
                </c:pt>
                <c:pt idx="55">
                  <c:v>-0.11131725417439868</c:v>
                </c:pt>
                <c:pt idx="56">
                  <c:v>-0.78910661809515037</c:v>
                </c:pt>
                <c:pt idx="57">
                  <c:v>-0.78910661809515037</c:v>
                </c:pt>
                <c:pt idx="58">
                  <c:v>-0.78910661809515037</c:v>
                </c:pt>
                <c:pt idx="59">
                  <c:v>-0.78910661809515037</c:v>
                </c:pt>
                <c:pt idx="60">
                  <c:v>-0.28811149078748233</c:v>
                </c:pt>
                <c:pt idx="61">
                  <c:v>-0.28811149078748233</c:v>
                </c:pt>
                <c:pt idx="62">
                  <c:v>-0.28811149078748233</c:v>
                </c:pt>
                <c:pt idx="63">
                  <c:v>-0.28811149078748233</c:v>
                </c:pt>
                <c:pt idx="64">
                  <c:v>-0.28811149078748233</c:v>
                </c:pt>
                <c:pt idx="65">
                  <c:v>-0.28811149078748233</c:v>
                </c:pt>
                <c:pt idx="66">
                  <c:v>-0.28811149078748233</c:v>
                </c:pt>
                <c:pt idx="67">
                  <c:v>-0.28811149078748233</c:v>
                </c:pt>
                <c:pt idx="68">
                  <c:v>-0.28811149078748233</c:v>
                </c:pt>
                <c:pt idx="69">
                  <c:v>-0.28811149078748233</c:v>
                </c:pt>
                <c:pt idx="70">
                  <c:v>-0.28811149078748233</c:v>
                </c:pt>
                <c:pt idx="71">
                  <c:v>-0.28811149078748233</c:v>
                </c:pt>
                <c:pt idx="72">
                  <c:v>-0.28811149078748233</c:v>
                </c:pt>
                <c:pt idx="73">
                  <c:v>-0.28811149078748233</c:v>
                </c:pt>
                <c:pt idx="74">
                  <c:v>-0.28811149078748233</c:v>
                </c:pt>
                <c:pt idx="75">
                  <c:v>-0.28811149078748233</c:v>
                </c:pt>
                <c:pt idx="76">
                  <c:v>-0.28811149078748233</c:v>
                </c:pt>
                <c:pt idx="77">
                  <c:v>-0.28811149078748233</c:v>
                </c:pt>
                <c:pt idx="78">
                  <c:v>-0.28811149078748233</c:v>
                </c:pt>
                <c:pt idx="79">
                  <c:v>-0.28811149078748233</c:v>
                </c:pt>
                <c:pt idx="80">
                  <c:v>-0.28811149078748233</c:v>
                </c:pt>
                <c:pt idx="81">
                  <c:v>-0.28811149078748233</c:v>
                </c:pt>
                <c:pt idx="82">
                  <c:v>-0.28811149078748233</c:v>
                </c:pt>
                <c:pt idx="83">
                  <c:v>-0.28811149078748233</c:v>
                </c:pt>
                <c:pt idx="84">
                  <c:v>-0.28811149078748233</c:v>
                </c:pt>
                <c:pt idx="85">
                  <c:v>-0.28811149078748233</c:v>
                </c:pt>
                <c:pt idx="86">
                  <c:v>-0.28811149078748233</c:v>
                </c:pt>
                <c:pt idx="87">
                  <c:v>-0.28811149078748233</c:v>
                </c:pt>
                <c:pt idx="88">
                  <c:v>-0.28811149078748233</c:v>
                </c:pt>
                <c:pt idx="89">
                  <c:v>-0.28811149078748233</c:v>
                </c:pt>
                <c:pt idx="90">
                  <c:v>-0.28811149078748233</c:v>
                </c:pt>
                <c:pt idx="91">
                  <c:v>-0.28811149078748233</c:v>
                </c:pt>
                <c:pt idx="92">
                  <c:v>-0.28811149078748233</c:v>
                </c:pt>
                <c:pt idx="93">
                  <c:v>-0.28811149078748233</c:v>
                </c:pt>
                <c:pt idx="94">
                  <c:v>-0.28811149078748233</c:v>
                </c:pt>
                <c:pt idx="95">
                  <c:v>-0.28811149078748233</c:v>
                </c:pt>
                <c:pt idx="96">
                  <c:v>-0.28811149078748233</c:v>
                </c:pt>
                <c:pt idx="97">
                  <c:v>-0.28811149078748233</c:v>
                </c:pt>
                <c:pt idx="98">
                  <c:v>-0.28811149078748233</c:v>
                </c:pt>
                <c:pt idx="99">
                  <c:v>-0.28811149078748233</c:v>
                </c:pt>
                <c:pt idx="100">
                  <c:v>-0.28811149078748233</c:v>
                </c:pt>
                <c:pt idx="101">
                  <c:v>-0.28811149078748233</c:v>
                </c:pt>
                <c:pt idx="102">
                  <c:v>-0.28811149078748233</c:v>
                </c:pt>
                <c:pt idx="103">
                  <c:v>-0.28811149078748233</c:v>
                </c:pt>
                <c:pt idx="104">
                  <c:v>-0.28811149078748233</c:v>
                </c:pt>
                <c:pt idx="105">
                  <c:v>-0.28811149078748233</c:v>
                </c:pt>
                <c:pt idx="106">
                  <c:v>-0.28811149078748233</c:v>
                </c:pt>
                <c:pt idx="107">
                  <c:v>-0.28811149078748233</c:v>
                </c:pt>
                <c:pt idx="108">
                  <c:v>-0.28811149078748233</c:v>
                </c:pt>
                <c:pt idx="109">
                  <c:v>-0.28811149078748233</c:v>
                </c:pt>
                <c:pt idx="110">
                  <c:v>-0.28811149078748233</c:v>
                </c:pt>
                <c:pt idx="111">
                  <c:v>-0.28811149078748233</c:v>
                </c:pt>
                <c:pt idx="112">
                  <c:v>-0.28811149078748233</c:v>
                </c:pt>
                <c:pt idx="113">
                  <c:v>-0.28811149078748233</c:v>
                </c:pt>
                <c:pt idx="114">
                  <c:v>-0.28811149078748233</c:v>
                </c:pt>
                <c:pt idx="115">
                  <c:v>-0.28811149078748233</c:v>
                </c:pt>
                <c:pt idx="116">
                  <c:v>-0.28811149078748233</c:v>
                </c:pt>
                <c:pt idx="117">
                  <c:v>-0.28811149078748233</c:v>
                </c:pt>
                <c:pt idx="118">
                  <c:v>-0.28811149078748233</c:v>
                </c:pt>
                <c:pt idx="119">
                  <c:v>-0.28811149078748233</c:v>
                </c:pt>
                <c:pt idx="120">
                  <c:v>-0.28811149078748233</c:v>
                </c:pt>
                <c:pt idx="121">
                  <c:v>-0.28811149078748233</c:v>
                </c:pt>
                <c:pt idx="122">
                  <c:v>-0.28811149078748233</c:v>
                </c:pt>
                <c:pt idx="123">
                  <c:v>-0.28811149078748233</c:v>
                </c:pt>
                <c:pt idx="124">
                  <c:v>-0.28811149078748233</c:v>
                </c:pt>
                <c:pt idx="125">
                  <c:v>-0.28811149078748233</c:v>
                </c:pt>
                <c:pt idx="126">
                  <c:v>-0.28811149078748233</c:v>
                </c:pt>
                <c:pt idx="127">
                  <c:v>-0.28811149078748233</c:v>
                </c:pt>
                <c:pt idx="128">
                  <c:v>-0.28811149078748233</c:v>
                </c:pt>
                <c:pt idx="129">
                  <c:v>-0.28811149078748233</c:v>
                </c:pt>
                <c:pt idx="130">
                  <c:v>-0.28811149078748233</c:v>
                </c:pt>
                <c:pt idx="131">
                  <c:v>-0.28811149078748233</c:v>
                </c:pt>
                <c:pt idx="132">
                  <c:v>-0.28811149078748233</c:v>
                </c:pt>
                <c:pt idx="133">
                  <c:v>-0.28811149078748233</c:v>
                </c:pt>
                <c:pt idx="134">
                  <c:v>-0.28811149078748233</c:v>
                </c:pt>
                <c:pt idx="135">
                  <c:v>-0.28811149078748233</c:v>
                </c:pt>
                <c:pt idx="136">
                  <c:v>-0.28811149078748233</c:v>
                </c:pt>
                <c:pt idx="137">
                  <c:v>-0.28811149078748233</c:v>
                </c:pt>
                <c:pt idx="138">
                  <c:v>-0.28811149078748233</c:v>
                </c:pt>
                <c:pt idx="139">
                  <c:v>-0.28811149078748233</c:v>
                </c:pt>
                <c:pt idx="140">
                  <c:v>-0.28811149078748233</c:v>
                </c:pt>
                <c:pt idx="141">
                  <c:v>-0.28811149078748233</c:v>
                </c:pt>
                <c:pt idx="142">
                  <c:v>-0.28811149078748233</c:v>
                </c:pt>
                <c:pt idx="143">
                  <c:v>-0.28811149078748233</c:v>
                </c:pt>
                <c:pt idx="144">
                  <c:v>-0.28811149078748233</c:v>
                </c:pt>
                <c:pt idx="145">
                  <c:v>-0.28811149078748233</c:v>
                </c:pt>
                <c:pt idx="146">
                  <c:v>-0.28811149078748233</c:v>
                </c:pt>
                <c:pt idx="147">
                  <c:v>-0.28811149078748233</c:v>
                </c:pt>
                <c:pt idx="148">
                  <c:v>-0.28811149078748233</c:v>
                </c:pt>
                <c:pt idx="149">
                  <c:v>-0.28811149078748233</c:v>
                </c:pt>
                <c:pt idx="150">
                  <c:v>-0.28811149078748233</c:v>
                </c:pt>
                <c:pt idx="151">
                  <c:v>-0.28811149078748233</c:v>
                </c:pt>
                <c:pt idx="152">
                  <c:v>-0.28811149078748233</c:v>
                </c:pt>
                <c:pt idx="153">
                  <c:v>-0.28811149078748233</c:v>
                </c:pt>
                <c:pt idx="154">
                  <c:v>-0.28811149078748233</c:v>
                </c:pt>
                <c:pt idx="155">
                  <c:v>-0.28811149078748233</c:v>
                </c:pt>
                <c:pt idx="156">
                  <c:v>-0.28811149078748233</c:v>
                </c:pt>
                <c:pt idx="157">
                  <c:v>-0.28811149078748233</c:v>
                </c:pt>
                <c:pt idx="158">
                  <c:v>-0.28811149078748233</c:v>
                </c:pt>
                <c:pt idx="159">
                  <c:v>-0.28811149078748233</c:v>
                </c:pt>
                <c:pt idx="160">
                  <c:v>-0.28811149078748233</c:v>
                </c:pt>
                <c:pt idx="161">
                  <c:v>-0.28811149078748233</c:v>
                </c:pt>
                <c:pt idx="162">
                  <c:v>-0.28811149078748233</c:v>
                </c:pt>
                <c:pt idx="163">
                  <c:v>-0.28811149078748233</c:v>
                </c:pt>
                <c:pt idx="164">
                  <c:v>-0.28811149078748233</c:v>
                </c:pt>
                <c:pt idx="165">
                  <c:v>-0.28811149078748233</c:v>
                </c:pt>
                <c:pt idx="166">
                  <c:v>-0.28811149078748233</c:v>
                </c:pt>
                <c:pt idx="167">
                  <c:v>-0.28811149078748233</c:v>
                </c:pt>
                <c:pt idx="168">
                  <c:v>-0.28811149078748233</c:v>
                </c:pt>
                <c:pt idx="169">
                  <c:v>-0.28811149078748233</c:v>
                </c:pt>
                <c:pt idx="170">
                  <c:v>-0.28811149078748233</c:v>
                </c:pt>
                <c:pt idx="171">
                  <c:v>-0.28811149078748233</c:v>
                </c:pt>
                <c:pt idx="172">
                  <c:v>-0.28811149078748233</c:v>
                </c:pt>
                <c:pt idx="173">
                  <c:v>-0.28811149078748233</c:v>
                </c:pt>
                <c:pt idx="174">
                  <c:v>-0.28811149078748233</c:v>
                </c:pt>
                <c:pt idx="175">
                  <c:v>-0.28811149078748233</c:v>
                </c:pt>
                <c:pt idx="176">
                  <c:v>-0.28811149078748233</c:v>
                </c:pt>
                <c:pt idx="177">
                  <c:v>-0.28811149078748233</c:v>
                </c:pt>
                <c:pt idx="178">
                  <c:v>-0.28811149078748233</c:v>
                </c:pt>
                <c:pt idx="179">
                  <c:v>-0.28811149078748233</c:v>
                </c:pt>
                <c:pt idx="180">
                  <c:v>-0.28811149078748233</c:v>
                </c:pt>
                <c:pt idx="181">
                  <c:v>-0.28811149078748233</c:v>
                </c:pt>
                <c:pt idx="182">
                  <c:v>-0.28811149078748233</c:v>
                </c:pt>
                <c:pt idx="183">
                  <c:v>-0.28811149078748233</c:v>
                </c:pt>
                <c:pt idx="184">
                  <c:v>-0.28811149078748233</c:v>
                </c:pt>
                <c:pt idx="185">
                  <c:v>-0.28811149078748233</c:v>
                </c:pt>
                <c:pt idx="186">
                  <c:v>-0.28811149078748233</c:v>
                </c:pt>
                <c:pt idx="187">
                  <c:v>-0.28811149078748233</c:v>
                </c:pt>
                <c:pt idx="188">
                  <c:v>-0.28811149078748233</c:v>
                </c:pt>
                <c:pt idx="189">
                  <c:v>-0.28811149078748233</c:v>
                </c:pt>
                <c:pt idx="190">
                  <c:v>-0.28811149078748233</c:v>
                </c:pt>
                <c:pt idx="191">
                  <c:v>-0.28811149078748233</c:v>
                </c:pt>
                <c:pt idx="192">
                  <c:v>-0.28811149078748233</c:v>
                </c:pt>
                <c:pt idx="193">
                  <c:v>-0.28811149078748233</c:v>
                </c:pt>
                <c:pt idx="194">
                  <c:v>-0.28811149078748233</c:v>
                </c:pt>
                <c:pt idx="195">
                  <c:v>-0.28811149078748233</c:v>
                </c:pt>
                <c:pt idx="196">
                  <c:v>-0.28811149078748233</c:v>
                </c:pt>
                <c:pt idx="197">
                  <c:v>-0.28811149078748233</c:v>
                </c:pt>
                <c:pt idx="198">
                  <c:v>-0.28811149078748233</c:v>
                </c:pt>
                <c:pt idx="199">
                  <c:v>-0.28811149078748233</c:v>
                </c:pt>
                <c:pt idx="200">
                  <c:v>-0.28811149078748233</c:v>
                </c:pt>
                <c:pt idx="201">
                  <c:v>-0.28811149078748233</c:v>
                </c:pt>
                <c:pt idx="202">
                  <c:v>-0.28811149078748233</c:v>
                </c:pt>
                <c:pt idx="203">
                  <c:v>-0.28811149078748233</c:v>
                </c:pt>
                <c:pt idx="204">
                  <c:v>-0.28811149078748233</c:v>
                </c:pt>
                <c:pt idx="205">
                  <c:v>-0.28811149078748233</c:v>
                </c:pt>
                <c:pt idx="206">
                  <c:v>-0.28811149078748233</c:v>
                </c:pt>
                <c:pt idx="207">
                  <c:v>-0.28811149078748233</c:v>
                </c:pt>
                <c:pt idx="208">
                  <c:v>-0.28811149078748233</c:v>
                </c:pt>
                <c:pt idx="209">
                  <c:v>-0.28811149078748233</c:v>
                </c:pt>
                <c:pt idx="210">
                  <c:v>-0.28811149078748233</c:v>
                </c:pt>
                <c:pt idx="211">
                  <c:v>-0.28811149078748233</c:v>
                </c:pt>
                <c:pt idx="212">
                  <c:v>-0.28811149078748233</c:v>
                </c:pt>
                <c:pt idx="213">
                  <c:v>-0.28811149078748233</c:v>
                </c:pt>
                <c:pt idx="214">
                  <c:v>-0.28811149078748233</c:v>
                </c:pt>
                <c:pt idx="215">
                  <c:v>-0.28811149078748233</c:v>
                </c:pt>
                <c:pt idx="216">
                  <c:v>-0.28811149078748233</c:v>
                </c:pt>
                <c:pt idx="217">
                  <c:v>-0.28811149078748233</c:v>
                </c:pt>
                <c:pt idx="218">
                  <c:v>-0.28811149078748233</c:v>
                </c:pt>
                <c:pt idx="219">
                  <c:v>-0.28811149078748233</c:v>
                </c:pt>
                <c:pt idx="220">
                  <c:v>-0.28811149078748233</c:v>
                </c:pt>
                <c:pt idx="221">
                  <c:v>-0.28811149078748233</c:v>
                </c:pt>
                <c:pt idx="222">
                  <c:v>-0.28811149078748233</c:v>
                </c:pt>
                <c:pt idx="223">
                  <c:v>-0.28811149078748233</c:v>
                </c:pt>
                <c:pt idx="224">
                  <c:v>-0.28811149078748233</c:v>
                </c:pt>
                <c:pt idx="225">
                  <c:v>-0.28811149078748233</c:v>
                </c:pt>
                <c:pt idx="226">
                  <c:v>-0.28811149078748233</c:v>
                </c:pt>
                <c:pt idx="227">
                  <c:v>-0.28811149078748233</c:v>
                </c:pt>
                <c:pt idx="228">
                  <c:v>-0.28811149078748233</c:v>
                </c:pt>
                <c:pt idx="229">
                  <c:v>-0.28811149078748233</c:v>
                </c:pt>
                <c:pt idx="230">
                  <c:v>-0.28811149078748233</c:v>
                </c:pt>
                <c:pt idx="231">
                  <c:v>-0.28811149078748233</c:v>
                </c:pt>
                <c:pt idx="232">
                  <c:v>-0.28811149078748233</c:v>
                </c:pt>
                <c:pt idx="233">
                  <c:v>-0.28811149078748233</c:v>
                </c:pt>
                <c:pt idx="234">
                  <c:v>-0.28811149078748233</c:v>
                </c:pt>
                <c:pt idx="235">
                  <c:v>-0.28811149078748233</c:v>
                </c:pt>
                <c:pt idx="236">
                  <c:v>-0.28811149078748233</c:v>
                </c:pt>
                <c:pt idx="237">
                  <c:v>-0.28811149078748233</c:v>
                </c:pt>
                <c:pt idx="238">
                  <c:v>-0.28811149078748233</c:v>
                </c:pt>
                <c:pt idx="239">
                  <c:v>-0.28811149078748233</c:v>
                </c:pt>
                <c:pt idx="240">
                  <c:v>-0.28811149078748233</c:v>
                </c:pt>
                <c:pt idx="241">
                  <c:v>-0.28811149078748233</c:v>
                </c:pt>
                <c:pt idx="242">
                  <c:v>-0.28811149078748233</c:v>
                </c:pt>
                <c:pt idx="243">
                  <c:v>-0.28811149078748233</c:v>
                </c:pt>
                <c:pt idx="244">
                  <c:v>-0.28811149078748233</c:v>
                </c:pt>
                <c:pt idx="245">
                  <c:v>-0.28811149078748233</c:v>
                </c:pt>
                <c:pt idx="246">
                  <c:v>-0.28811149078748233</c:v>
                </c:pt>
                <c:pt idx="247">
                  <c:v>-0.28811149078748233</c:v>
                </c:pt>
                <c:pt idx="248">
                  <c:v>-0.28811149078748233</c:v>
                </c:pt>
                <c:pt idx="249">
                  <c:v>-0.28811149078748233</c:v>
                </c:pt>
                <c:pt idx="250">
                  <c:v>-0.28811149078748233</c:v>
                </c:pt>
                <c:pt idx="251">
                  <c:v>-0.28811149078748233</c:v>
                </c:pt>
                <c:pt idx="252">
                  <c:v>-0.28811149078748233</c:v>
                </c:pt>
                <c:pt idx="253">
                  <c:v>-0.28811149078748233</c:v>
                </c:pt>
                <c:pt idx="254">
                  <c:v>-0.28811149078748233</c:v>
                </c:pt>
                <c:pt idx="255">
                  <c:v>-0.28811149078748233</c:v>
                </c:pt>
                <c:pt idx="256">
                  <c:v>-0.28811149078748233</c:v>
                </c:pt>
                <c:pt idx="257">
                  <c:v>-0.28811149078748233</c:v>
                </c:pt>
                <c:pt idx="258">
                  <c:v>-0.28811149078748233</c:v>
                </c:pt>
                <c:pt idx="259">
                  <c:v>-0.28811149078748233</c:v>
                </c:pt>
                <c:pt idx="260">
                  <c:v>-0.28811149078748233</c:v>
                </c:pt>
                <c:pt idx="261">
                  <c:v>-0.28811149078748233</c:v>
                </c:pt>
                <c:pt idx="262">
                  <c:v>-0.28811149078748233</c:v>
                </c:pt>
                <c:pt idx="263">
                  <c:v>-0.28811149078748233</c:v>
                </c:pt>
                <c:pt idx="264">
                  <c:v>-0.28811149078748233</c:v>
                </c:pt>
                <c:pt idx="265">
                  <c:v>-0.28811149078748233</c:v>
                </c:pt>
                <c:pt idx="266">
                  <c:v>-0.28811149078748233</c:v>
                </c:pt>
                <c:pt idx="267">
                  <c:v>-0.28811149078748233</c:v>
                </c:pt>
                <c:pt idx="268">
                  <c:v>-0.28811149078748233</c:v>
                </c:pt>
                <c:pt idx="269">
                  <c:v>-0.28811149078748233</c:v>
                </c:pt>
                <c:pt idx="270">
                  <c:v>-0.28811149078748233</c:v>
                </c:pt>
                <c:pt idx="271">
                  <c:v>-0.28811149078748233</c:v>
                </c:pt>
                <c:pt idx="272">
                  <c:v>-0.28811149078748233</c:v>
                </c:pt>
                <c:pt idx="273">
                  <c:v>-0.28811149078748233</c:v>
                </c:pt>
                <c:pt idx="274">
                  <c:v>-0.28811149078748233</c:v>
                </c:pt>
                <c:pt idx="275">
                  <c:v>-0.28811149078748233</c:v>
                </c:pt>
                <c:pt idx="276">
                  <c:v>-0.28811149078748233</c:v>
                </c:pt>
                <c:pt idx="277">
                  <c:v>-0.28811149078748233</c:v>
                </c:pt>
                <c:pt idx="278">
                  <c:v>-0.28811149078748233</c:v>
                </c:pt>
                <c:pt idx="279">
                  <c:v>-0.28811149078748233</c:v>
                </c:pt>
                <c:pt idx="280">
                  <c:v>-0.28811149078748233</c:v>
                </c:pt>
                <c:pt idx="281">
                  <c:v>-0.28811149078748233</c:v>
                </c:pt>
                <c:pt idx="282">
                  <c:v>-0.28811149078748233</c:v>
                </c:pt>
                <c:pt idx="283">
                  <c:v>-0.28811149078748233</c:v>
                </c:pt>
                <c:pt idx="284">
                  <c:v>-0.28811149078748233</c:v>
                </c:pt>
                <c:pt idx="285">
                  <c:v>-0.28811149078748233</c:v>
                </c:pt>
                <c:pt idx="286">
                  <c:v>-0.28811149078748233</c:v>
                </c:pt>
                <c:pt idx="287">
                  <c:v>-0.28811149078748233</c:v>
                </c:pt>
                <c:pt idx="288">
                  <c:v>-0.28811149078748233</c:v>
                </c:pt>
                <c:pt idx="289">
                  <c:v>-0.28811149078748233</c:v>
                </c:pt>
                <c:pt idx="290">
                  <c:v>-0.28811149078748233</c:v>
                </c:pt>
                <c:pt idx="291">
                  <c:v>-0.28811149078748233</c:v>
                </c:pt>
                <c:pt idx="292">
                  <c:v>-0.28811149078748233</c:v>
                </c:pt>
                <c:pt idx="293">
                  <c:v>-0.28811149078748233</c:v>
                </c:pt>
                <c:pt idx="294">
                  <c:v>-0.28811149078748233</c:v>
                </c:pt>
                <c:pt idx="295">
                  <c:v>-0.28811149078748233</c:v>
                </c:pt>
                <c:pt idx="296">
                  <c:v>-0.28811149078748233</c:v>
                </c:pt>
                <c:pt idx="297">
                  <c:v>-0.28811149078748233</c:v>
                </c:pt>
                <c:pt idx="298">
                  <c:v>-0.28811149078748233</c:v>
                </c:pt>
                <c:pt idx="299">
                  <c:v>-0.28811149078748233</c:v>
                </c:pt>
                <c:pt idx="300">
                  <c:v>-0.28811149078748233</c:v>
                </c:pt>
                <c:pt idx="301">
                  <c:v>-0.28811149078748233</c:v>
                </c:pt>
                <c:pt idx="302">
                  <c:v>-0.28811149078748233</c:v>
                </c:pt>
                <c:pt idx="303">
                  <c:v>-0.28811149078748233</c:v>
                </c:pt>
                <c:pt idx="304">
                  <c:v>-0.28811149078748233</c:v>
                </c:pt>
                <c:pt idx="305">
                  <c:v>-0.28811149078748233</c:v>
                </c:pt>
                <c:pt idx="306">
                  <c:v>-0.28811149078748233</c:v>
                </c:pt>
                <c:pt idx="307">
                  <c:v>-0.28811149078748233</c:v>
                </c:pt>
                <c:pt idx="308">
                  <c:v>-0.28811149078748233</c:v>
                </c:pt>
                <c:pt idx="309">
                  <c:v>-0.28811149078748233</c:v>
                </c:pt>
                <c:pt idx="310">
                  <c:v>-0.28811149078748233</c:v>
                </c:pt>
                <c:pt idx="311">
                  <c:v>-0.28811149078748233</c:v>
                </c:pt>
                <c:pt idx="312">
                  <c:v>-0.28811149078748233</c:v>
                </c:pt>
                <c:pt idx="313">
                  <c:v>-0.28811149078748233</c:v>
                </c:pt>
                <c:pt idx="314">
                  <c:v>-0.28811149078748233</c:v>
                </c:pt>
                <c:pt idx="315">
                  <c:v>-0.28811149078748233</c:v>
                </c:pt>
                <c:pt idx="316">
                  <c:v>-0.28811149078748233</c:v>
                </c:pt>
                <c:pt idx="317">
                  <c:v>-0.28811149078748233</c:v>
                </c:pt>
                <c:pt idx="318">
                  <c:v>-0.28811149078748233</c:v>
                </c:pt>
                <c:pt idx="319">
                  <c:v>-0.28811149078748233</c:v>
                </c:pt>
                <c:pt idx="320">
                  <c:v>-0.28811149078748233</c:v>
                </c:pt>
                <c:pt idx="321">
                  <c:v>-0.28811149078748233</c:v>
                </c:pt>
                <c:pt idx="322">
                  <c:v>-0.28811149078748233</c:v>
                </c:pt>
                <c:pt idx="323">
                  <c:v>-0.28811149078748233</c:v>
                </c:pt>
                <c:pt idx="324">
                  <c:v>-0.28811149078748233</c:v>
                </c:pt>
                <c:pt idx="325">
                  <c:v>-0.28811149078748233</c:v>
                </c:pt>
                <c:pt idx="326">
                  <c:v>-0.28811149078748233</c:v>
                </c:pt>
                <c:pt idx="327">
                  <c:v>-0.28811149078748233</c:v>
                </c:pt>
                <c:pt idx="328">
                  <c:v>-0.28811149078748233</c:v>
                </c:pt>
                <c:pt idx="329">
                  <c:v>-0.28811149078748233</c:v>
                </c:pt>
                <c:pt idx="330">
                  <c:v>-0.28811149078748233</c:v>
                </c:pt>
                <c:pt idx="331">
                  <c:v>-0.28811149078748233</c:v>
                </c:pt>
                <c:pt idx="332">
                  <c:v>-0.28811149078748233</c:v>
                </c:pt>
                <c:pt idx="333">
                  <c:v>-0.28811149078748233</c:v>
                </c:pt>
                <c:pt idx="334">
                  <c:v>-0.28811149078748233</c:v>
                </c:pt>
                <c:pt idx="335">
                  <c:v>-0.28811149078748233</c:v>
                </c:pt>
                <c:pt idx="336">
                  <c:v>-0.28811149078748233</c:v>
                </c:pt>
                <c:pt idx="337">
                  <c:v>-0.28811149078748233</c:v>
                </c:pt>
                <c:pt idx="338">
                  <c:v>-0.28811149078748233</c:v>
                </c:pt>
                <c:pt idx="339">
                  <c:v>-0.28811149078748233</c:v>
                </c:pt>
                <c:pt idx="340">
                  <c:v>-0.28811149078748233</c:v>
                </c:pt>
                <c:pt idx="341">
                  <c:v>-0.28811149078748233</c:v>
                </c:pt>
                <c:pt idx="342">
                  <c:v>-0.28811149078748233</c:v>
                </c:pt>
                <c:pt idx="343">
                  <c:v>-0.28811149078748233</c:v>
                </c:pt>
                <c:pt idx="344">
                  <c:v>-0.28811149078748233</c:v>
                </c:pt>
                <c:pt idx="345">
                  <c:v>-0.28811149078748233</c:v>
                </c:pt>
                <c:pt idx="346">
                  <c:v>-0.28811149078748233</c:v>
                </c:pt>
                <c:pt idx="347">
                  <c:v>-0.28811149078748233</c:v>
                </c:pt>
                <c:pt idx="348">
                  <c:v>-0.28811149078748233</c:v>
                </c:pt>
                <c:pt idx="349">
                  <c:v>-0.28811149078748233</c:v>
                </c:pt>
                <c:pt idx="350">
                  <c:v>-0.28811149078748233</c:v>
                </c:pt>
                <c:pt idx="351">
                  <c:v>-0.28811149078748233</c:v>
                </c:pt>
                <c:pt idx="352">
                  <c:v>-0.28811149078748233</c:v>
                </c:pt>
                <c:pt idx="353">
                  <c:v>-0.28811149078748233</c:v>
                </c:pt>
                <c:pt idx="354">
                  <c:v>-0.28811149078748233</c:v>
                </c:pt>
                <c:pt idx="355">
                  <c:v>-0.28811149078748233</c:v>
                </c:pt>
                <c:pt idx="356">
                  <c:v>-0.28811149078748233</c:v>
                </c:pt>
                <c:pt idx="357">
                  <c:v>-0.28811149078748233</c:v>
                </c:pt>
                <c:pt idx="358">
                  <c:v>-0.28811149078748233</c:v>
                </c:pt>
                <c:pt idx="359">
                  <c:v>-0.28811149078748233</c:v>
                </c:pt>
                <c:pt idx="360">
                  <c:v>-0.28811149078748233</c:v>
                </c:pt>
                <c:pt idx="361">
                  <c:v>-0.28811149078748233</c:v>
                </c:pt>
                <c:pt idx="362">
                  <c:v>-0.28811149078748233</c:v>
                </c:pt>
                <c:pt idx="363">
                  <c:v>-0.28811149078748233</c:v>
                </c:pt>
                <c:pt idx="364">
                  <c:v>-0.28811149078748233</c:v>
                </c:pt>
                <c:pt idx="365">
                  <c:v>-0.28811149078748233</c:v>
                </c:pt>
                <c:pt idx="366">
                  <c:v>-0.28811149078748233</c:v>
                </c:pt>
                <c:pt idx="367">
                  <c:v>-0.28811149078748233</c:v>
                </c:pt>
                <c:pt idx="368">
                  <c:v>-0.28811149078748233</c:v>
                </c:pt>
                <c:pt idx="369">
                  <c:v>-0.28811149078748233</c:v>
                </c:pt>
                <c:pt idx="370">
                  <c:v>-0.28811149078748233</c:v>
                </c:pt>
                <c:pt idx="371">
                  <c:v>-0.28811149078748233</c:v>
                </c:pt>
                <c:pt idx="372">
                  <c:v>-0.28811149078748233</c:v>
                </c:pt>
                <c:pt idx="373">
                  <c:v>-0.28811149078748233</c:v>
                </c:pt>
                <c:pt idx="374">
                  <c:v>-0.28811149078748233</c:v>
                </c:pt>
                <c:pt idx="375">
                  <c:v>-0.28811149078748233</c:v>
                </c:pt>
                <c:pt idx="376">
                  <c:v>-0.28811149078748233</c:v>
                </c:pt>
                <c:pt idx="377">
                  <c:v>-0.28811149078748233</c:v>
                </c:pt>
                <c:pt idx="378">
                  <c:v>-0.28811149078748233</c:v>
                </c:pt>
                <c:pt idx="379">
                  <c:v>-0.28811149078748233</c:v>
                </c:pt>
                <c:pt idx="380">
                  <c:v>-0.28811149078748233</c:v>
                </c:pt>
                <c:pt idx="381">
                  <c:v>-0.28811149078748233</c:v>
                </c:pt>
                <c:pt idx="382">
                  <c:v>-0.28811149078748233</c:v>
                </c:pt>
                <c:pt idx="383">
                  <c:v>-0.28811149078748233</c:v>
                </c:pt>
                <c:pt idx="384">
                  <c:v>-0.28811149078748233</c:v>
                </c:pt>
                <c:pt idx="385">
                  <c:v>-0.28811149078748233</c:v>
                </c:pt>
                <c:pt idx="386">
                  <c:v>-0.28811149078748233</c:v>
                </c:pt>
                <c:pt idx="387">
                  <c:v>-0.28811149078748233</c:v>
                </c:pt>
                <c:pt idx="388">
                  <c:v>-0.28811149078748233</c:v>
                </c:pt>
                <c:pt idx="389">
                  <c:v>-0.28811149078748233</c:v>
                </c:pt>
                <c:pt idx="390">
                  <c:v>-0.28811149078748233</c:v>
                </c:pt>
                <c:pt idx="391">
                  <c:v>-0.28811149078748233</c:v>
                </c:pt>
                <c:pt idx="392">
                  <c:v>-0.28811149078748233</c:v>
                </c:pt>
                <c:pt idx="393">
                  <c:v>-0.28811149078748233</c:v>
                </c:pt>
                <c:pt idx="394">
                  <c:v>-0.28811149078748233</c:v>
                </c:pt>
                <c:pt idx="395">
                  <c:v>-0.28811149078748233</c:v>
                </c:pt>
                <c:pt idx="396">
                  <c:v>-0.28811149078748233</c:v>
                </c:pt>
                <c:pt idx="397">
                  <c:v>-0.28811149078748233</c:v>
                </c:pt>
                <c:pt idx="398">
                  <c:v>-0.28811149078748233</c:v>
                </c:pt>
                <c:pt idx="399">
                  <c:v>-0.28811149078748233</c:v>
                </c:pt>
                <c:pt idx="400">
                  <c:v>-0.28811149078748233</c:v>
                </c:pt>
                <c:pt idx="401">
                  <c:v>-0.28811149078748233</c:v>
                </c:pt>
                <c:pt idx="402">
                  <c:v>-0.28811149078748233</c:v>
                </c:pt>
                <c:pt idx="403">
                  <c:v>-0.28811149078748233</c:v>
                </c:pt>
                <c:pt idx="404">
                  <c:v>-0.28811149078748233</c:v>
                </c:pt>
                <c:pt idx="405">
                  <c:v>-0.28811149078748233</c:v>
                </c:pt>
                <c:pt idx="406">
                  <c:v>-0.28811149078748233</c:v>
                </c:pt>
                <c:pt idx="407">
                  <c:v>-0.28811149078748233</c:v>
                </c:pt>
                <c:pt idx="408">
                  <c:v>-0.28811149078748233</c:v>
                </c:pt>
                <c:pt idx="409">
                  <c:v>-0.28811149078748233</c:v>
                </c:pt>
                <c:pt idx="410">
                  <c:v>-0.28811149078748233</c:v>
                </c:pt>
                <c:pt idx="411">
                  <c:v>-0.28811149078748233</c:v>
                </c:pt>
                <c:pt idx="412">
                  <c:v>-0.28811149078748233</c:v>
                </c:pt>
                <c:pt idx="413">
                  <c:v>-0.28811149078748233</c:v>
                </c:pt>
                <c:pt idx="414">
                  <c:v>-0.28811149078748233</c:v>
                </c:pt>
                <c:pt idx="415">
                  <c:v>-0.28811149078748233</c:v>
                </c:pt>
                <c:pt idx="416">
                  <c:v>-0.28811149078748233</c:v>
                </c:pt>
                <c:pt idx="417">
                  <c:v>-0.28811149078748233</c:v>
                </c:pt>
                <c:pt idx="418">
                  <c:v>-0.28811149078748233</c:v>
                </c:pt>
              </c:numCache>
            </c:numRef>
          </c:val>
          <c:smooth val="1"/>
          <c:extLst>
            <c:ext xmlns:c16="http://schemas.microsoft.com/office/drawing/2014/chart" uri="{C3380CC4-5D6E-409C-BE32-E72D297353CC}">
              <c16:uniqueId val="{00000002-2E46-40D7-92F2-A6C06678F79C}"/>
            </c:ext>
          </c:extLst>
        </c:ser>
        <c:ser>
          <c:idx val="3"/>
          <c:order val="5"/>
          <c:tx>
            <c:v>All Three</c:v>
          </c:tx>
          <c:spPr>
            <a:ln w="38100" cap="rnd">
              <a:solidFill>
                <a:sysClr val="windowText" lastClr="000000"/>
              </a:solidFill>
              <a:round/>
            </a:ln>
            <a:effectLst/>
          </c:spPr>
          <c:marker>
            <c:symbol val="none"/>
          </c:marker>
          <c:val>
            <c:numRef>
              <c:f>'2025-Q2'!$FG$4:$FG$422</c:f>
              <c:numCache>
                <c:formatCode>0.00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-0.11131725417439868</c:v>
                </c:pt>
                <c:pt idx="24">
                  <c:v>-0.11131725417439868</c:v>
                </c:pt>
                <c:pt idx="25">
                  <c:v>-0.11131725417439868</c:v>
                </c:pt>
                <c:pt idx="26">
                  <c:v>-0.11131725417439868</c:v>
                </c:pt>
                <c:pt idx="27">
                  <c:v>-0.11131725417439868</c:v>
                </c:pt>
                <c:pt idx="28">
                  <c:v>-0.11131725417439868</c:v>
                </c:pt>
                <c:pt idx="29">
                  <c:v>-0.11131725417439868</c:v>
                </c:pt>
                <c:pt idx="30">
                  <c:v>-0.11131725417439868</c:v>
                </c:pt>
                <c:pt idx="31">
                  <c:v>-0.11131725417439868</c:v>
                </c:pt>
                <c:pt idx="32">
                  <c:v>-0.11131725417439868</c:v>
                </c:pt>
                <c:pt idx="33">
                  <c:v>-0.11131725417439868</c:v>
                </c:pt>
                <c:pt idx="34">
                  <c:v>-0.11131725417439868</c:v>
                </c:pt>
                <c:pt idx="35">
                  <c:v>-0.11131725417439868</c:v>
                </c:pt>
                <c:pt idx="36">
                  <c:v>-0.11131725417439868</c:v>
                </c:pt>
                <c:pt idx="37">
                  <c:v>-0.11131725417439868</c:v>
                </c:pt>
                <c:pt idx="38">
                  <c:v>-0.11131725417439868</c:v>
                </c:pt>
                <c:pt idx="39">
                  <c:v>-0.11131725417439868</c:v>
                </c:pt>
                <c:pt idx="40">
                  <c:v>-0.11131725417439868</c:v>
                </c:pt>
                <c:pt idx="41">
                  <c:v>-0.11131725417439868</c:v>
                </c:pt>
                <c:pt idx="42">
                  <c:v>1.2610975876747541</c:v>
                </c:pt>
                <c:pt idx="43">
                  <c:v>1.2610975876747541</c:v>
                </c:pt>
                <c:pt idx="44">
                  <c:v>1.2610975876747541</c:v>
                </c:pt>
                <c:pt idx="45">
                  <c:v>1.2610975876747541</c:v>
                </c:pt>
                <c:pt idx="46">
                  <c:v>1.2610975876747541</c:v>
                </c:pt>
                <c:pt idx="47">
                  <c:v>1.2610975876747541</c:v>
                </c:pt>
                <c:pt idx="48">
                  <c:v>1.2610975876747541</c:v>
                </c:pt>
                <c:pt idx="49">
                  <c:v>1.2610975876747541</c:v>
                </c:pt>
                <c:pt idx="50">
                  <c:v>1.2610975876747541</c:v>
                </c:pt>
                <c:pt idx="51">
                  <c:v>1.2610975876747541</c:v>
                </c:pt>
                <c:pt idx="52">
                  <c:v>1.2610975876747541</c:v>
                </c:pt>
                <c:pt idx="53">
                  <c:v>1.2610975876747541</c:v>
                </c:pt>
                <c:pt idx="54">
                  <c:v>1.2610975876747541</c:v>
                </c:pt>
                <c:pt idx="55">
                  <c:v>1.2610975876747541</c:v>
                </c:pt>
                <c:pt idx="56">
                  <c:v>0.58330822375400249</c:v>
                </c:pt>
                <c:pt idx="57">
                  <c:v>0.58330822375400249</c:v>
                </c:pt>
                <c:pt idx="58">
                  <c:v>0.58330822375400249</c:v>
                </c:pt>
                <c:pt idx="59">
                  <c:v>0.58330822375400249</c:v>
                </c:pt>
                <c:pt idx="60">
                  <c:v>1.0843033510616706</c:v>
                </c:pt>
                <c:pt idx="61">
                  <c:v>1.0843033510616706</c:v>
                </c:pt>
                <c:pt idx="62">
                  <c:v>1.0843033510616706</c:v>
                </c:pt>
                <c:pt idx="63">
                  <c:v>1.0843033510616706</c:v>
                </c:pt>
                <c:pt idx="64">
                  <c:v>1.0843033510616706</c:v>
                </c:pt>
                <c:pt idx="65">
                  <c:v>1.0843033510616706</c:v>
                </c:pt>
                <c:pt idx="66">
                  <c:v>1.0843033510616706</c:v>
                </c:pt>
                <c:pt idx="67">
                  <c:v>1.0843033510616706</c:v>
                </c:pt>
                <c:pt idx="68">
                  <c:v>1.0843033510616706</c:v>
                </c:pt>
                <c:pt idx="69">
                  <c:v>1.0843033510616706</c:v>
                </c:pt>
                <c:pt idx="70">
                  <c:v>1.0843033510616706</c:v>
                </c:pt>
                <c:pt idx="71">
                  <c:v>1.0843033510616706</c:v>
                </c:pt>
                <c:pt idx="72">
                  <c:v>1.0843033510616706</c:v>
                </c:pt>
                <c:pt idx="73">
                  <c:v>1.0843033510616706</c:v>
                </c:pt>
                <c:pt idx="74">
                  <c:v>1.0843033510616706</c:v>
                </c:pt>
                <c:pt idx="75">
                  <c:v>1.0843033510616706</c:v>
                </c:pt>
                <c:pt idx="76">
                  <c:v>1.0843033510616706</c:v>
                </c:pt>
                <c:pt idx="77">
                  <c:v>1.0843033510616706</c:v>
                </c:pt>
                <c:pt idx="78">
                  <c:v>1.0843033510616706</c:v>
                </c:pt>
                <c:pt idx="79">
                  <c:v>1.0843033510616706</c:v>
                </c:pt>
                <c:pt idx="80">
                  <c:v>1.0843033510616706</c:v>
                </c:pt>
                <c:pt idx="81">
                  <c:v>1.0843033510616706</c:v>
                </c:pt>
                <c:pt idx="82">
                  <c:v>1.0843033510616706</c:v>
                </c:pt>
                <c:pt idx="83">
                  <c:v>1.0843033510616706</c:v>
                </c:pt>
                <c:pt idx="84">
                  <c:v>1.0843033510616706</c:v>
                </c:pt>
                <c:pt idx="85">
                  <c:v>1.0843033510616706</c:v>
                </c:pt>
                <c:pt idx="86">
                  <c:v>1.0843033510616706</c:v>
                </c:pt>
                <c:pt idx="87">
                  <c:v>1.0843033510616706</c:v>
                </c:pt>
                <c:pt idx="88">
                  <c:v>1.0843033510616706</c:v>
                </c:pt>
                <c:pt idx="89">
                  <c:v>1.0843033510616706</c:v>
                </c:pt>
                <c:pt idx="90">
                  <c:v>1.0843033510616706</c:v>
                </c:pt>
                <c:pt idx="91">
                  <c:v>0.86596273970795878</c:v>
                </c:pt>
                <c:pt idx="92">
                  <c:v>0.86596273970795878</c:v>
                </c:pt>
                <c:pt idx="93">
                  <c:v>0.86596273970795878</c:v>
                </c:pt>
                <c:pt idx="94">
                  <c:v>0.86596273970795878</c:v>
                </c:pt>
                <c:pt idx="95">
                  <c:v>0.86596273970795878</c:v>
                </c:pt>
                <c:pt idx="96">
                  <c:v>0.86596273970795878</c:v>
                </c:pt>
                <c:pt idx="97">
                  <c:v>0.86596273970795878</c:v>
                </c:pt>
                <c:pt idx="98">
                  <c:v>0.86596273970795878</c:v>
                </c:pt>
                <c:pt idx="99">
                  <c:v>0.86596273970795878</c:v>
                </c:pt>
                <c:pt idx="100">
                  <c:v>0.86596273970795878</c:v>
                </c:pt>
                <c:pt idx="101">
                  <c:v>0.86596273970795878</c:v>
                </c:pt>
                <c:pt idx="102">
                  <c:v>0.86596273970795878</c:v>
                </c:pt>
                <c:pt idx="103">
                  <c:v>0.86596273970795878</c:v>
                </c:pt>
                <c:pt idx="104">
                  <c:v>0.86596273970795878</c:v>
                </c:pt>
                <c:pt idx="105">
                  <c:v>0.86596273970795878</c:v>
                </c:pt>
                <c:pt idx="106">
                  <c:v>0.86596273970795878</c:v>
                </c:pt>
                <c:pt idx="107">
                  <c:v>0.86596273970795878</c:v>
                </c:pt>
                <c:pt idx="108">
                  <c:v>0.86596273970795878</c:v>
                </c:pt>
                <c:pt idx="109">
                  <c:v>0.86596273970795878</c:v>
                </c:pt>
                <c:pt idx="110">
                  <c:v>1.1713353897699876</c:v>
                </c:pt>
                <c:pt idx="111">
                  <c:v>1.3958076411789102</c:v>
                </c:pt>
                <c:pt idx="112">
                  <c:v>1.3958076411789102</c:v>
                </c:pt>
                <c:pt idx="113">
                  <c:v>1.3958076411789102</c:v>
                </c:pt>
                <c:pt idx="114">
                  <c:v>1.3958076411789102</c:v>
                </c:pt>
                <c:pt idx="115">
                  <c:v>1.3958076411789102</c:v>
                </c:pt>
                <c:pt idx="116">
                  <c:v>1.3958076411789102</c:v>
                </c:pt>
                <c:pt idx="117">
                  <c:v>1.3958076411789102</c:v>
                </c:pt>
                <c:pt idx="118">
                  <c:v>1.3958076411789102</c:v>
                </c:pt>
                <c:pt idx="119">
                  <c:v>1.3958076411789102</c:v>
                </c:pt>
                <c:pt idx="120">
                  <c:v>1.3958076411789102</c:v>
                </c:pt>
                <c:pt idx="121">
                  <c:v>1.3958076411789102</c:v>
                </c:pt>
                <c:pt idx="122">
                  <c:v>1.3958076411789102</c:v>
                </c:pt>
                <c:pt idx="123">
                  <c:v>1.3958076411789102</c:v>
                </c:pt>
                <c:pt idx="124">
                  <c:v>1.3958076411789102</c:v>
                </c:pt>
                <c:pt idx="125">
                  <c:v>1.3958076411789102</c:v>
                </c:pt>
                <c:pt idx="126">
                  <c:v>1.3958076411789102</c:v>
                </c:pt>
                <c:pt idx="127">
                  <c:v>1.3958076411789102</c:v>
                </c:pt>
                <c:pt idx="128">
                  <c:v>1.3958076411789102</c:v>
                </c:pt>
                <c:pt idx="129">
                  <c:v>1.3958076411789102</c:v>
                </c:pt>
                <c:pt idx="130">
                  <c:v>1.3958076411789102</c:v>
                </c:pt>
                <c:pt idx="131">
                  <c:v>1.3958076411789102</c:v>
                </c:pt>
                <c:pt idx="132">
                  <c:v>1.3958076411789102</c:v>
                </c:pt>
                <c:pt idx="133">
                  <c:v>1.3958076411789102</c:v>
                </c:pt>
                <c:pt idx="134">
                  <c:v>1.3958076411789102</c:v>
                </c:pt>
                <c:pt idx="135">
                  <c:v>1.3958076411789102</c:v>
                </c:pt>
                <c:pt idx="136">
                  <c:v>1.3958076411789102</c:v>
                </c:pt>
                <c:pt idx="137">
                  <c:v>1.3958076411789102</c:v>
                </c:pt>
                <c:pt idx="138">
                  <c:v>1.3958076411789102</c:v>
                </c:pt>
                <c:pt idx="139">
                  <c:v>1.3958076411789102</c:v>
                </c:pt>
                <c:pt idx="140">
                  <c:v>1.3958076411789102</c:v>
                </c:pt>
                <c:pt idx="141">
                  <c:v>1.3958076411789102</c:v>
                </c:pt>
                <c:pt idx="142">
                  <c:v>1.3958076411789102</c:v>
                </c:pt>
                <c:pt idx="143">
                  <c:v>1.3958076411789102</c:v>
                </c:pt>
                <c:pt idx="144">
                  <c:v>1.3958076411789102</c:v>
                </c:pt>
                <c:pt idx="145">
                  <c:v>1.3958076411789102</c:v>
                </c:pt>
                <c:pt idx="146">
                  <c:v>1.3958076411789102</c:v>
                </c:pt>
                <c:pt idx="147">
                  <c:v>1.3958076411789102</c:v>
                </c:pt>
                <c:pt idx="148">
                  <c:v>1.3958076411789102</c:v>
                </c:pt>
                <c:pt idx="149">
                  <c:v>1.3958076411789102</c:v>
                </c:pt>
                <c:pt idx="150">
                  <c:v>1.3958076411789102</c:v>
                </c:pt>
                <c:pt idx="151">
                  <c:v>1.3958076411789102</c:v>
                </c:pt>
                <c:pt idx="152">
                  <c:v>1.3958076411789102</c:v>
                </c:pt>
                <c:pt idx="153">
                  <c:v>1.3958076411789102</c:v>
                </c:pt>
                <c:pt idx="154">
                  <c:v>1.3958076411789102</c:v>
                </c:pt>
                <c:pt idx="155">
                  <c:v>1.3958076411789102</c:v>
                </c:pt>
                <c:pt idx="156">
                  <c:v>1.3958076411789102</c:v>
                </c:pt>
                <c:pt idx="157">
                  <c:v>1.3958076411789102</c:v>
                </c:pt>
                <c:pt idx="158">
                  <c:v>1.3958076411789102</c:v>
                </c:pt>
                <c:pt idx="159">
                  <c:v>1.3958076411789102</c:v>
                </c:pt>
                <c:pt idx="160">
                  <c:v>1.3958076411789102</c:v>
                </c:pt>
                <c:pt idx="161">
                  <c:v>1.3958076411789102</c:v>
                </c:pt>
                <c:pt idx="162">
                  <c:v>1.3958076411789102</c:v>
                </c:pt>
                <c:pt idx="163">
                  <c:v>1.3958076411789102</c:v>
                </c:pt>
                <c:pt idx="164">
                  <c:v>1.3958076411789102</c:v>
                </c:pt>
                <c:pt idx="165">
                  <c:v>1.3958076411789102</c:v>
                </c:pt>
                <c:pt idx="166">
                  <c:v>1.3958076411789102</c:v>
                </c:pt>
                <c:pt idx="167">
                  <c:v>1.3958076411789102</c:v>
                </c:pt>
                <c:pt idx="168">
                  <c:v>1.3958076411789102</c:v>
                </c:pt>
                <c:pt idx="169">
                  <c:v>1.3958076411789102</c:v>
                </c:pt>
                <c:pt idx="170">
                  <c:v>1.3958076411789102</c:v>
                </c:pt>
                <c:pt idx="171">
                  <c:v>1.3958076411789102</c:v>
                </c:pt>
                <c:pt idx="172">
                  <c:v>1.3958076411789102</c:v>
                </c:pt>
                <c:pt idx="173">
                  <c:v>1.3958076411789102</c:v>
                </c:pt>
                <c:pt idx="174">
                  <c:v>1.3958076411789102</c:v>
                </c:pt>
                <c:pt idx="175">
                  <c:v>1.3958076411789102</c:v>
                </c:pt>
                <c:pt idx="176">
                  <c:v>1.3958076411789102</c:v>
                </c:pt>
                <c:pt idx="177">
                  <c:v>1.3958076411789102</c:v>
                </c:pt>
                <c:pt idx="178">
                  <c:v>1.3958076411789102</c:v>
                </c:pt>
                <c:pt idx="179">
                  <c:v>1.3958076411789102</c:v>
                </c:pt>
                <c:pt idx="180">
                  <c:v>1.3958076411789102</c:v>
                </c:pt>
                <c:pt idx="181">
                  <c:v>1.3958076411789102</c:v>
                </c:pt>
                <c:pt idx="182">
                  <c:v>1.3958076411789102</c:v>
                </c:pt>
                <c:pt idx="183">
                  <c:v>1.3958076411789102</c:v>
                </c:pt>
                <c:pt idx="184">
                  <c:v>1.3958076411789102</c:v>
                </c:pt>
                <c:pt idx="185">
                  <c:v>1.3958076411789102</c:v>
                </c:pt>
                <c:pt idx="186">
                  <c:v>1.3958076411789102</c:v>
                </c:pt>
                <c:pt idx="187">
                  <c:v>1.3958076411789102</c:v>
                </c:pt>
                <c:pt idx="188">
                  <c:v>1.3958076411789102</c:v>
                </c:pt>
                <c:pt idx="189">
                  <c:v>1.3958076411789102</c:v>
                </c:pt>
                <c:pt idx="190">
                  <c:v>1.3958076411789102</c:v>
                </c:pt>
                <c:pt idx="191">
                  <c:v>1.3958076411789102</c:v>
                </c:pt>
                <c:pt idx="192">
                  <c:v>1.3958076411789102</c:v>
                </c:pt>
                <c:pt idx="193">
                  <c:v>1.3958076411789102</c:v>
                </c:pt>
                <c:pt idx="194">
                  <c:v>1.3958076411789102</c:v>
                </c:pt>
                <c:pt idx="195">
                  <c:v>1.3958076411789102</c:v>
                </c:pt>
                <c:pt idx="196">
                  <c:v>1.3958076411789102</c:v>
                </c:pt>
                <c:pt idx="197">
                  <c:v>1.3958076411789102</c:v>
                </c:pt>
                <c:pt idx="198">
                  <c:v>1.3958076411789102</c:v>
                </c:pt>
                <c:pt idx="199">
                  <c:v>1.3958076411789102</c:v>
                </c:pt>
                <c:pt idx="200">
                  <c:v>1.3958076411789102</c:v>
                </c:pt>
                <c:pt idx="201">
                  <c:v>1.3958076411789102</c:v>
                </c:pt>
                <c:pt idx="202">
                  <c:v>1.3958076411789102</c:v>
                </c:pt>
                <c:pt idx="203">
                  <c:v>1.3958076411789102</c:v>
                </c:pt>
                <c:pt idx="204">
                  <c:v>1.3958076411789102</c:v>
                </c:pt>
                <c:pt idx="205">
                  <c:v>1.3958076411789102</c:v>
                </c:pt>
                <c:pt idx="206">
                  <c:v>1.3958076411789102</c:v>
                </c:pt>
                <c:pt idx="207">
                  <c:v>1.3958076411789102</c:v>
                </c:pt>
                <c:pt idx="208">
                  <c:v>1.3958076411789102</c:v>
                </c:pt>
                <c:pt idx="209">
                  <c:v>1.3958076411789102</c:v>
                </c:pt>
                <c:pt idx="210">
                  <c:v>1.3958076411789102</c:v>
                </c:pt>
                <c:pt idx="211">
                  <c:v>1.3958076411789102</c:v>
                </c:pt>
                <c:pt idx="212">
                  <c:v>1.3958076411789102</c:v>
                </c:pt>
                <c:pt idx="213">
                  <c:v>1.3958076411789102</c:v>
                </c:pt>
                <c:pt idx="214">
                  <c:v>1.3958076411789102</c:v>
                </c:pt>
                <c:pt idx="215">
                  <c:v>1.3958076411789102</c:v>
                </c:pt>
                <c:pt idx="216">
                  <c:v>1.3958076411789102</c:v>
                </c:pt>
                <c:pt idx="217">
                  <c:v>1.3958076411789102</c:v>
                </c:pt>
                <c:pt idx="218">
                  <c:v>1.3958076411789102</c:v>
                </c:pt>
                <c:pt idx="219">
                  <c:v>1.3958076411789102</c:v>
                </c:pt>
                <c:pt idx="220">
                  <c:v>1.3958076411789102</c:v>
                </c:pt>
                <c:pt idx="221">
                  <c:v>1.3958076411789102</c:v>
                </c:pt>
                <c:pt idx="222">
                  <c:v>1.5811011851617456</c:v>
                </c:pt>
                <c:pt idx="223">
                  <c:v>1.5811011851617456</c:v>
                </c:pt>
                <c:pt idx="224">
                  <c:v>1.5811011851617456</c:v>
                </c:pt>
                <c:pt idx="225">
                  <c:v>1.5811011851617456</c:v>
                </c:pt>
                <c:pt idx="226">
                  <c:v>1.5811011851617456</c:v>
                </c:pt>
                <c:pt idx="227">
                  <c:v>1.5811011851617456</c:v>
                </c:pt>
                <c:pt idx="228">
                  <c:v>1.5811011851617456</c:v>
                </c:pt>
                <c:pt idx="229">
                  <c:v>1.5811011851617456</c:v>
                </c:pt>
                <c:pt idx="230">
                  <c:v>1.5811011851617456</c:v>
                </c:pt>
                <c:pt idx="231">
                  <c:v>1.5811011851617456</c:v>
                </c:pt>
                <c:pt idx="232">
                  <c:v>1.5811011851617456</c:v>
                </c:pt>
                <c:pt idx="233">
                  <c:v>1.5811011851617456</c:v>
                </c:pt>
                <c:pt idx="234">
                  <c:v>1.5811011851617456</c:v>
                </c:pt>
                <c:pt idx="235">
                  <c:v>1.5811011851617456</c:v>
                </c:pt>
                <c:pt idx="236">
                  <c:v>1.5811011851617456</c:v>
                </c:pt>
                <c:pt idx="237">
                  <c:v>1.5811011851617456</c:v>
                </c:pt>
                <c:pt idx="238">
                  <c:v>1.5811011851617456</c:v>
                </c:pt>
                <c:pt idx="239">
                  <c:v>1.5811011851617456</c:v>
                </c:pt>
                <c:pt idx="240">
                  <c:v>1.5811011851617456</c:v>
                </c:pt>
                <c:pt idx="241">
                  <c:v>1.5811011851617456</c:v>
                </c:pt>
                <c:pt idx="242">
                  <c:v>1.5811011851617456</c:v>
                </c:pt>
                <c:pt idx="243">
                  <c:v>1.5811011851617456</c:v>
                </c:pt>
                <c:pt idx="244">
                  <c:v>1.5811011851617456</c:v>
                </c:pt>
                <c:pt idx="245">
                  <c:v>1.5811011851617456</c:v>
                </c:pt>
                <c:pt idx="246">
                  <c:v>1.2754353378055963</c:v>
                </c:pt>
                <c:pt idx="247">
                  <c:v>1.0778963192626136</c:v>
                </c:pt>
                <c:pt idx="248">
                  <c:v>1.0778963192626136</c:v>
                </c:pt>
                <c:pt idx="249">
                  <c:v>1.0778963192626136</c:v>
                </c:pt>
                <c:pt idx="250">
                  <c:v>1.0778963192626136</c:v>
                </c:pt>
                <c:pt idx="251">
                  <c:v>1.0778963192626136</c:v>
                </c:pt>
                <c:pt idx="252">
                  <c:v>1.0778963192626136</c:v>
                </c:pt>
                <c:pt idx="253">
                  <c:v>1.0778963192626136</c:v>
                </c:pt>
                <c:pt idx="254">
                  <c:v>1.0778963192626136</c:v>
                </c:pt>
                <c:pt idx="255">
                  <c:v>1.0778963192626136</c:v>
                </c:pt>
                <c:pt idx="256">
                  <c:v>1.0778963192626136</c:v>
                </c:pt>
                <c:pt idx="257">
                  <c:v>1.0778963192626136</c:v>
                </c:pt>
                <c:pt idx="258">
                  <c:v>0.80644321417148113</c:v>
                </c:pt>
                <c:pt idx="259">
                  <c:v>0.80644321417148113</c:v>
                </c:pt>
                <c:pt idx="260">
                  <c:v>0.80644321417148113</c:v>
                </c:pt>
                <c:pt idx="261">
                  <c:v>0.80644321417148113</c:v>
                </c:pt>
                <c:pt idx="262">
                  <c:v>0.80644321417148113</c:v>
                </c:pt>
                <c:pt idx="263">
                  <c:v>0.80644321417148113</c:v>
                </c:pt>
                <c:pt idx="264">
                  <c:v>0.80644321417148113</c:v>
                </c:pt>
                <c:pt idx="265">
                  <c:v>0.80644321417148113</c:v>
                </c:pt>
                <c:pt idx="266">
                  <c:v>0.80644321417148113</c:v>
                </c:pt>
                <c:pt idx="267">
                  <c:v>0.80644321417148113</c:v>
                </c:pt>
                <c:pt idx="268">
                  <c:v>0.64481154831878851</c:v>
                </c:pt>
                <c:pt idx="269">
                  <c:v>0.64481154831878851</c:v>
                </c:pt>
                <c:pt idx="270">
                  <c:v>0.64481154831878851</c:v>
                </c:pt>
                <c:pt idx="271">
                  <c:v>0.64481154831878851</c:v>
                </c:pt>
                <c:pt idx="272">
                  <c:v>0.64481154831878851</c:v>
                </c:pt>
                <c:pt idx="273">
                  <c:v>0.64481154831878851</c:v>
                </c:pt>
                <c:pt idx="274">
                  <c:v>0.64481154831878851</c:v>
                </c:pt>
                <c:pt idx="275">
                  <c:v>0.64481154831878851</c:v>
                </c:pt>
                <c:pt idx="276">
                  <c:v>0.64481154831878851</c:v>
                </c:pt>
                <c:pt idx="277">
                  <c:v>0.64481154831878851</c:v>
                </c:pt>
                <c:pt idx="278">
                  <c:v>0.64481154831878851</c:v>
                </c:pt>
                <c:pt idx="279">
                  <c:v>0.64481154831878851</c:v>
                </c:pt>
                <c:pt idx="280">
                  <c:v>0.64481154831878851</c:v>
                </c:pt>
                <c:pt idx="281">
                  <c:v>0.64481154831878851</c:v>
                </c:pt>
                <c:pt idx="282">
                  <c:v>0.64481154831878851</c:v>
                </c:pt>
                <c:pt idx="283">
                  <c:v>0.64481154831878851</c:v>
                </c:pt>
                <c:pt idx="284">
                  <c:v>0.64481154831878851</c:v>
                </c:pt>
                <c:pt idx="285">
                  <c:v>0.64481154831878851</c:v>
                </c:pt>
                <c:pt idx="286">
                  <c:v>0.64481154831878851</c:v>
                </c:pt>
                <c:pt idx="287">
                  <c:v>0.64481154831878851</c:v>
                </c:pt>
                <c:pt idx="288">
                  <c:v>0.64481154831878851</c:v>
                </c:pt>
                <c:pt idx="289">
                  <c:v>0.64481154831878851</c:v>
                </c:pt>
                <c:pt idx="290">
                  <c:v>0.64481154831878851</c:v>
                </c:pt>
                <c:pt idx="291">
                  <c:v>0.64481154831878851</c:v>
                </c:pt>
                <c:pt idx="292">
                  <c:v>0.64481154831878851</c:v>
                </c:pt>
                <c:pt idx="293">
                  <c:v>0.64481154831878851</c:v>
                </c:pt>
                <c:pt idx="294">
                  <c:v>0.64481154831878851</c:v>
                </c:pt>
                <c:pt idx="295">
                  <c:v>0.64481154831878851</c:v>
                </c:pt>
                <c:pt idx="296">
                  <c:v>0.64481154831878851</c:v>
                </c:pt>
                <c:pt idx="297">
                  <c:v>0.64481154831878851</c:v>
                </c:pt>
                <c:pt idx="298">
                  <c:v>0.64481154831878851</c:v>
                </c:pt>
                <c:pt idx="299">
                  <c:v>0.64481154831878851</c:v>
                </c:pt>
                <c:pt idx="300">
                  <c:v>0.64481154831878851</c:v>
                </c:pt>
                <c:pt idx="301">
                  <c:v>0.64481154831878851</c:v>
                </c:pt>
                <c:pt idx="302">
                  <c:v>0.64481154831878851</c:v>
                </c:pt>
                <c:pt idx="303">
                  <c:v>0.64481154831878851</c:v>
                </c:pt>
                <c:pt idx="304">
                  <c:v>0.64481154831878851</c:v>
                </c:pt>
                <c:pt idx="305">
                  <c:v>0.64481154831878851</c:v>
                </c:pt>
                <c:pt idx="306">
                  <c:v>0.64481154831878851</c:v>
                </c:pt>
                <c:pt idx="307">
                  <c:v>0.64481154831878851</c:v>
                </c:pt>
                <c:pt idx="308">
                  <c:v>0.64481154831878851</c:v>
                </c:pt>
                <c:pt idx="309">
                  <c:v>0.64481154831878851</c:v>
                </c:pt>
                <c:pt idx="310">
                  <c:v>0.64481154831878851</c:v>
                </c:pt>
                <c:pt idx="311">
                  <c:v>0.64481154831878851</c:v>
                </c:pt>
                <c:pt idx="312">
                  <c:v>0.3312783137959262</c:v>
                </c:pt>
                <c:pt idx="313">
                  <c:v>0.3312783137959262</c:v>
                </c:pt>
                <c:pt idx="314">
                  <c:v>0.3312783137959262</c:v>
                </c:pt>
                <c:pt idx="315">
                  <c:v>0.3312783137959262</c:v>
                </c:pt>
                <c:pt idx="316">
                  <c:v>0.3312783137959262</c:v>
                </c:pt>
                <c:pt idx="317">
                  <c:v>0.3312783137959262</c:v>
                </c:pt>
                <c:pt idx="318">
                  <c:v>0.3312783137959262</c:v>
                </c:pt>
                <c:pt idx="319">
                  <c:v>0.3312783137959262</c:v>
                </c:pt>
                <c:pt idx="320">
                  <c:v>0.3312783137959262</c:v>
                </c:pt>
                <c:pt idx="321">
                  <c:v>0.3312783137959262</c:v>
                </c:pt>
                <c:pt idx="322">
                  <c:v>0.3312783137959262</c:v>
                </c:pt>
                <c:pt idx="323">
                  <c:v>0.3312783137959262</c:v>
                </c:pt>
                <c:pt idx="324">
                  <c:v>0.3312783137959262</c:v>
                </c:pt>
                <c:pt idx="325">
                  <c:v>0.3312783137959262</c:v>
                </c:pt>
                <c:pt idx="326">
                  <c:v>0.3312783137959262</c:v>
                </c:pt>
                <c:pt idx="327">
                  <c:v>0.3312783137959262</c:v>
                </c:pt>
                <c:pt idx="328">
                  <c:v>0.3312783137959262</c:v>
                </c:pt>
                <c:pt idx="329">
                  <c:v>0.3312783137959262</c:v>
                </c:pt>
                <c:pt idx="330">
                  <c:v>0.3312783137959262</c:v>
                </c:pt>
                <c:pt idx="331">
                  <c:v>0.3312783137959262</c:v>
                </c:pt>
                <c:pt idx="332">
                  <c:v>0.3312783137959262</c:v>
                </c:pt>
                <c:pt idx="333">
                  <c:v>0.3312783137959262</c:v>
                </c:pt>
                <c:pt idx="334">
                  <c:v>0.3312783137959262</c:v>
                </c:pt>
                <c:pt idx="335">
                  <c:v>0.3312783137959262</c:v>
                </c:pt>
                <c:pt idx="336">
                  <c:v>0.3312783137959262</c:v>
                </c:pt>
                <c:pt idx="337">
                  <c:v>0.3312783137959262</c:v>
                </c:pt>
                <c:pt idx="338">
                  <c:v>0.3312783137959262</c:v>
                </c:pt>
                <c:pt idx="339">
                  <c:v>0.3312783137959262</c:v>
                </c:pt>
                <c:pt idx="340">
                  <c:v>0.3312783137959262</c:v>
                </c:pt>
                <c:pt idx="341">
                  <c:v>0.3312783137959262</c:v>
                </c:pt>
                <c:pt idx="342">
                  <c:v>0.3312783137959262</c:v>
                </c:pt>
                <c:pt idx="343">
                  <c:v>0.3312783137959262</c:v>
                </c:pt>
                <c:pt idx="344">
                  <c:v>0.3312783137959262</c:v>
                </c:pt>
                <c:pt idx="345">
                  <c:v>0.3312783137959262</c:v>
                </c:pt>
                <c:pt idx="346">
                  <c:v>0.3312783137959262</c:v>
                </c:pt>
                <c:pt idx="347">
                  <c:v>0.3312783137959262</c:v>
                </c:pt>
                <c:pt idx="348">
                  <c:v>0.3312783137959262</c:v>
                </c:pt>
                <c:pt idx="349">
                  <c:v>0.3312783137959262</c:v>
                </c:pt>
                <c:pt idx="350">
                  <c:v>0.3312783137959262</c:v>
                </c:pt>
                <c:pt idx="351">
                  <c:v>0.3312783137959262</c:v>
                </c:pt>
                <c:pt idx="352">
                  <c:v>0.3312783137959262</c:v>
                </c:pt>
                <c:pt idx="353">
                  <c:v>0.3312783137959262</c:v>
                </c:pt>
                <c:pt idx="354">
                  <c:v>0.3312783137959262</c:v>
                </c:pt>
                <c:pt idx="355">
                  <c:v>0.3312783137959262</c:v>
                </c:pt>
                <c:pt idx="356">
                  <c:v>0.3312783137959262</c:v>
                </c:pt>
                <c:pt idx="357">
                  <c:v>0.3312783137959262</c:v>
                </c:pt>
                <c:pt idx="358">
                  <c:v>0.3312783137959262</c:v>
                </c:pt>
                <c:pt idx="359">
                  <c:v>0.3312783137959262</c:v>
                </c:pt>
                <c:pt idx="360">
                  <c:v>0.3312783137959262</c:v>
                </c:pt>
                <c:pt idx="361">
                  <c:v>0.3312783137959262</c:v>
                </c:pt>
                <c:pt idx="362">
                  <c:v>0.3312783137959262</c:v>
                </c:pt>
                <c:pt idx="363">
                  <c:v>0.3312783137959262</c:v>
                </c:pt>
                <c:pt idx="364">
                  <c:v>0.3312783137959262</c:v>
                </c:pt>
                <c:pt idx="365">
                  <c:v>0.3312783137959262</c:v>
                </c:pt>
                <c:pt idx="366">
                  <c:v>0.3312783137959262</c:v>
                </c:pt>
                <c:pt idx="367">
                  <c:v>0.3312783137959262</c:v>
                </c:pt>
                <c:pt idx="368">
                  <c:v>0.3312783137959262</c:v>
                </c:pt>
                <c:pt idx="369">
                  <c:v>0.3312783137959262</c:v>
                </c:pt>
                <c:pt idx="370">
                  <c:v>0.3312783137959262</c:v>
                </c:pt>
                <c:pt idx="371">
                  <c:v>0.3312783137959262</c:v>
                </c:pt>
                <c:pt idx="372">
                  <c:v>0.3312783137959262</c:v>
                </c:pt>
                <c:pt idx="373">
                  <c:v>0.3312783137959262</c:v>
                </c:pt>
                <c:pt idx="374">
                  <c:v>0.3312783137959262</c:v>
                </c:pt>
                <c:pt idx="375">
                  <c:v>0.3312783137959262</c:v>
                </c:pt>
                <c:pt idx="376">
                  <c:v>0.3312783137959262</c:v>
                </c:pt>
                <c:pt idx="377">
                  <c:v>0.3312783137959262</c:v>
                </c:pt>
                <c:pt idx="378">
                  <c:v>0.3312783137959262</c:v>
                </c:pt>
                <c:pt idx="379">
                  <c:v>0.3312783137959262</c:v>
                </c:pt>
                <c:pt idx="380">
                  <c:v>0.3312783137959262</c:v>
                </c:pt>
                <c:pt idx="381">
                  <c:v>0.3312783137959262</c:v>
                </c:pt>
                <c:pt idx="382">
                  <c:v>0.3312783137959262</c:v>
                </c:pt>
                <c:pt idx="383">
                  <c:v>0.3312783137959262</c:v>
                </c:pt>
                <c:pt idx="384">
                  <c:v>0.3312783137959262</c:v>
                </c:pt>
                <c:pt idx="385">
                  <c:v>0.3312783137959262</c:v>
                </c:pt>
                <c:pt idx="386">
                  <c:v>0.3312783137959262</c:v>
                </c:pt>
                <c:pt idx="387">
                  <c:v>0.3312783137959262</c:v>
                </c:pt>
                <c:pt idx="388">
                  <c:v>0.3312783137959262</c:v>
                </c:pt>
                <c:pt idx="389">
                  <c:v>0.3312783137959262</c:v>
                </c:pt>
                <c:pt idx="390">
                  <c:v>0.3312783137959262</c:v>
                </c:pt>
                <c:pt idx="391">
                  <c:v>0.3312783137959262</c:v>
                </c:pt>
                <c:pt idx="392">
                  <c:v>0.3312783137959262</c:v>
                </c:pt>
                <c:pt idx="393">
                  <c:v>0.3312783137959262</c:v>
                </c:pt>
                <c:pt idx="394">
                  <c:v>0.3312783137959262</c:v>
                </c:pt>
                <c:pt idx="395">
                  <c:v>0.3312783137959262</c:v>
                </c:pt>
                <c:pt idx="396">
                  <c:v>0.3312783137959262</c:v>
                </c:pt>
                <c:pt idx="397">
                  <c:v>0.3312783137959262</c:v>
                </c:pt>
                <c:pt idx="398">
                  <c:v>0.3312783137959262</c:v>
                </c:pt>
                <c:pt idx="399">
                  <c:v>0.3312783137959262</c:v>
                </c:pt>
                <c:pt idx="400">
                  <c:v>0.3312783137959262</c:v>
                </c:pt>
                <c:pt idx="401">
                  <c:v>0.3312783137959262</c:v>
                </c:pt>
                <c:pt idx="402">
                  <c:v>0.3312783137959262</c:v>
                </c:pt>
                <c:pt idx="403">
                  <c:v>0.3312783137959262</c:v>
                </c:pt>
                <c:pt idx="404">
                  <c:v>0.3312783137959262</c:v>
                </c:pt>
                <c:pt idx="405">
                  <c:v>0.3312783137959262</c:v>
                </c:pt>
                <c:pt idx="406">
                  <c:v>0.3312783137959262</c:v>
                </c:pt>
                <c:pt idx="407">
                  <c:v>0.3312783137959262</c:v>
                </c:pt>
                <c:pt idx="408">
                  <c:v>0.3312783137959262</c:v>
                </c:pt>
                <c:pt idx="409">
                  <c:v>0.3312783137959262</c:v>
                </c:pt>
                <c:pt idx="410">
                  <c:v>0.3312783137959262</c:v>
                </c:pt>
                <c:pt idx="411">
                  <c:v>0.3312783137959262</c:v>
                </c:pt>
                <c:pt idx="412">
                  <c:v>0.3312783137959262</c:v>
                </c:pt>
                <c:pt idx="413">
                  <c:v>0.3312783137959262</c:v>
                </c:pt>
                <c:pt idx="414">
                  <c:v>0.3312783137959262</c:v>
                </c:pt>
                <c:pt idx="415">
                  <c:v>0.3312783137959262</c:v>
                </c:pt>
                <c:pt idx="416">
                  <c:v>0.3312783137959262</c:v>
                </c:pt>
                <c:pt idx="417">
                  <c:v>0.3312783137959262</c:v>
                </c:pt>
                <c:pt idx="418">
                  <c:v>0.3312783137959262</c:v>
                </c:pt>
              </c:numCache>
            </c:numRef>
          </c:val>
          <c:smooth val="1"/>
          <c:extLst>
            <c:ext xmlns:c16="http://schemas.microsoft.com/office/drawing/2014/chart" uri="{C3380CC4-5D6E-409C-BE32-E72D297353CC}">
              <c16:uniqueId val="{00000003-2E46-40D7-92F2-A6C06678F79C}"/>
            </c:ext>
          </c:extLst>
        </c:ser>
        <c:dLbls>
          <c:showLegendKey val="0"/>
          <c:showVal val="0"/>
          <c:showCatName val="0"/>
          <c:showSerName val="0"/>
          <c:showPercent val="0"/>
          <c:showBubbleSize val="0"/>
        </c:dLbls>
        <c:smooth val="0"/>
        <c:axId val="147683023"/>
        <c:axId val="146645279"/>
        <c:extLst>
          <c:ext xmlns:c15="http://schemas.microsoft.com/office/drawing/2012/chart" uri="{02D57815-91ED-43cb-92C2-25804820EDAC}">
            <c15:filteredLineSeries>
              <c15:ser>
                <c:idx val="5"/>
                <c:order val="1"/>
                <c:tx>
                  <c:v>Up (MOC)</c:v>
                </c:tx>
                <c:spPr>
                  <a:ln w="28575" cap="rnd">
                    <a:solidFill>
                      <a:schemeClr val="accent6"/>
                    </a:solidFill>
                    <a:prstDash val="sysDash"/>
                    <a:round/>
                  </a:ln>
                  <a:effectLst/>
                </c:spPr>
                <c:marker>
                  <c:symbol val="none"/>
                </c:marker>
                <c:val>
                  <c:numRef>
                    <c:extLst>
                      <c:ext uri="{02D57815-91ED-43cb-92C2-25804820EDAC}">
                        <c15:formulaRef>
                          <c15:sqref>'2025-Q2'!$AX$4:$AX$350</c15:sqref>
                        </c15:formulaRef>
                      </c:ext>
                    </c:extLst>
                    <c:numCache>
                      <c:formatCode>"$"#,##0</c:formatCode>
                      <c:ptCount val="34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59.839999999999918</c:v>
                      </c:pt>
                      <c:pt idx="40">
                        <c:v>59.839999999999918</c:v>
                      </c:pt>
                      <c:pt idx="41">
                        <c:v>59.839999999999918</c:v>
                      </c:pt>
                      <c:pt idx="42">
                        <c:v>59.839999999999918</c:v>
                      </c:pt>
                      <c:pt idx="43">
                        <c:v>59.839999999999918</c:v>
                      </c:pt>
                      <c:pt idx="44">
                        <c:v>59.839999999999918</c:v>
                      </c:pt>
                      <c:pt idx="45">
                        <c:v>59.839999999999918</c:v>
                      </c:pt>
                      <c:pt idx="46">
                        <c:v>59.839999999999918</c:v>
                      </c:pt>
                      <c:pt idx="47">
                        <c:v>-74.660000000000196</c:v>
                      </c:pt>
                      <c:pt idx="48">
                        <c:v>-74.660000000000196</c:v>
                      </c:pt>
                      <c:pt idx="49">
                        <c:v>-74.660000000000196</c:v>
                      </c:pt>
                      <c:pt idx="50">
                        <c:v>-74.660000000000196</c:v>
                      </c:pt>
                      <c:pt idx="51">
                        <c:v>-74.660000000000196</c:v>
                      </c:pt>
                      <c:pt idx="52">
                        <c:v>-74.660000000000196</c:v>
                      </c:pt>
                      <c:pt idx="53">
                        <c:v>-74.660000000000196</c:v>
                      </c:pt>
                      <c:pt idx="54">
                        <c:v>-74.660000000000196</c:v>
                      </c:pt>
                      <c:pt idx="55">
                        <c:v>-74.660000000000196</c:v>
                      </c:pt>
                      <c:pt idx="56">
                        <c:v>-74.660000000000196</c:v>
                      </c:pt>
                      <c:pt idx="57">
                        <c:v>-74.660000000000196</c:v>
                      </c:pt>
                      <c:pt idx="58">
                        <c:v>-74.660000000000196</c:v>
                      </c:pt>
                      <c:pt idx="59">
                        <c:v>-74.660000000000196</c:v>
                      </c:pt>
                      <c:pt idx="60">
                        <c:v>-74.660000000000196</c:v>
                      </c:pt>
                      <c:pt idx="61">
                        <c:v>-74.660000000000196</c:v>
                      </c:pt>
                      <c:pt idx="62">
                        <c:v>-74.660000000000196</c:v>
                      </c:pt>
                      <c:pt idx="63">
                        <c:v>-74.660000000000196</c:v>
                      </c:pt>
                      <c:pt idx="64">
                        <c:v>-74.660000000000196</c:v>
                      </c:pt>
                      <c:pt idx="65">
                        <c:v>-74.660000000000196</c:v>
                      </c:pt>
                      <c:pt idx="66">
                        <c:v>-74.660000000000196</c:v>
                      </c:pt>
                      <c:pt idx="67">
                        <c:v>-74.660000000000196</c:v>
                      </c:pt>
                      <c:pt idx="68">
                        <c:v>-74.660000000000196</c:v>
                      </c:pt>
                      <c:pt idx="69">
                        <c:v>-54.660000000000196</c:v>
                      </c:pt>
                      <c:pt idx="70">
                        <c:v>-54.660000000000196</c:v>
                      </c:pt>
                      <c:pt idx="71">
                        <c:v>-66.900000000000205</c:v>
                      </c:pt>
                      <c:pt idx="72">
                        <c:v>-66.900000000000205</c:v>
                      </c:pt>
                      <c:pt idx="73">
                        <c:v>-66.900000000000205</c:v>
                      </c:pt>
                      <c:pt idx="74">
                        <c:v>-66.900000000000205</c:v>
                      </c:pt>
                      <c:pt idx="75">
                        <c:v>-66.900000000000205</c:v>
                      </c:pt>
                      <c:pt idx="76">
                        <c:v>-66.900000000000205</c:v>
                      </c:pt>
                      <c:pt idx="77">
                        <c:v>-66.900000000000205</c:v>
                      </c:pt>
                      <c:pt idx="78">
                        <c:v>-66.900000000000205</c:v>
                      </c:pt>
                      <c:pt idx="79">
                        <c:v>-66.900000000000205</c:v>
                      </c:pt>
                      <c:pt idx="80">
                        <c:v>-66.900000000000205</c:v>
                      </c:pt>
                      <c:pt idx="81">
                        <c:v>-66.900000000000205</c:v>
                      </c:pt>
                      <c:pt idx="82">
                        <c:v>-66.900000000000205</c:v>
                      </c:pt>
                      <c:pt idx="83">
                        <c:v>-66.900000000000205</c:v>
                      </c:pt>
                      <c:pt idx="84">
                        <c:v>-66.900000000000205</c:v>
                      </c:pt>
                      <c:pt idx="85">
                        <c:v>-66.900000000000205</c:v>
                      </c:pt>
                      <c:pt idx="86">
                        <c:v>-66.900000000000205</c:v>
                      </c:pt>
                      <c:pt idx="87">
                        <c:v>-66.900000000000205</c:v>
                      </c:pt>
                      <c:pt idx="88">
                        <c:v>-66.900000000000205</c:v>
                      </c:pt>
                      <c:pt idx="89">
                        <c:v>-66.900000000000205</c:v>
                      </c:pt>
                      <c:pt idx="90">
                        <c:v>-66.900000000000205</c:v>
                      </c:pt>
                      <c:pt idx="91">
                        <c:v>-66.900000000000205</c:v>
                      </c:pt>
                      <c:pt idx="92">
                        <c:v>-66.900000000000205</c:v>
                      </c:pt>
                      <c:pt idx="93">
                        <c:v>-66.900000000000205</c:v>
                      </c:pt>
                      <c:pt idx="94">
                        <c:v>-66.900000000000205</c:v>
                      </c:pt>
                      <c:pt idx="95">
                        <c:v>-66.900000000000205</c:v>
                      </c:pt>
                      <c:pt idx="96">
                        <c:v>-66.900000000000205</c:v>
                      </c:pt>
                      <c:pt idx="97">
                        <c:v>-66.900000000000205</c:v>
                      </c:pt>
                      <c:pt idx="98">
                        <c:v>-66.900000000000205</c:v>
                      </c:pt>
                      <c:pt idx="99">
                        <c:v>-66.900000000000205</c:v>
                      </c:pt>
                      <c:pt idx="100">
                        <c:v>-66.900000000000205</c:v>
                      </c:pt>
                      <c:pt idx="101">
                        <c:v>-66.900000000000205</c:v>
                      </c:pt>
                      <c:pt idx="102">
                        <c:v>-66.900000000000205</c:v>
                      </c:pt>
                      <c:pt idx="103">
                        <c:v>-184.54000000000019</c:v>
                      </c:pt>
                      <c:pt idx="104">
                        <c:v>-184.54000000000019</c:v>
                      </c:pt>
                      <c:pt idx="105">
                        <c:v>-184.54000000000019</c:v>
                      </c:pt>
                      <c:pt idx="106">
                        <c:v>-173.34000000000015</c:v>
                      </c:pt>
                      <c:pt idx="107">
                        <c:v>-173.34000000000015</c:v>
                      </c:pt>
                      <c:pt idx="108">
                        <c:v>-173.34000000000015</c:v>
                      </c:pt>
                      <c:pt idx="109">
                        <c:v>-173.34000000000015</c:v>
                      </c:pt>
                      <c:pt idx="110">
                        <c:v>-173.34000000000015</c:v>
                      </c:pt>
                      <c:pt idx="111">
                        <c:v>-173.34000000000015</c:v>
                      </c:pt>
                      <c:pt idx="112">
                        <c:v>-173.34000000000015</c:v>
                      </c:pt>
                      <c:pt idx="113">
                        <c:v>-173.34000000000015</c:v>
                      </c:pt>
                      <c:pt idx="114">
                        <c:v>-173.34000000000015</c:v>
                      </c:pt>
                      <c:pt idx="115">
                        <c:v>-173.34000000000015</c:v>
                      </c:pt>
                      <c:pt idx="116">
                        <c:v>-173.34000000000015</c:v>
                      </c:pt>
                      <c:pt idx="117">
                        <c:v>-173.34000000000015</c:v>
                      </c:pt>
                      <c:pt idx="118">
                        <c:v>-173.34000000000015</c:v>
                      </c:pt>
                      <c:pt idx="119">
                        <c:v>-173.34000000000015</c:v>
                      </c:pt>
                      <c:pt idx="120">
                        <c:v>-173.34000000000015</c:v>
                      </c:pt>
                      <c:pt idx="121">
                        <c:v>-174.74000000000024</c:v>
                      </c:pt>
                      <c:pt idx="122">
                        <c:v>-174.74000000000024</c:v>
                      </c:pt>
                      <c:pt idx="123">
                        <c:v>-174.74000000000024</c:v>
                      </c:pt>
                      <c:pt idx="124">
                        <c:v>-174.74000000000024</c:v>
                      </c:pt>
                      <c:pt idx="125">
                        <c:v>-174.74000000000024</c:v>
                      </c:pt>
                      <c:pt idx="126">
                        <c:v>-174.74000000000024</c:v>
                      </c:pt>
                      <c:pt idx="127">
                        <c:v>-174.74000000000024</c:v>
                      </c:pt>
                      <c:pt idx="128">
                        <c:v>-174.74000000000024</c:v>
                      </c:pt>
                      <c:pt idx="129">
                        <c:v>-174.74000000000024</c:v>
                      </c:pt>
                      <c:pt idx="130">
                        <c:v>-174.74000000000024</c:v>
                      </c:pt>
                      <c:pt idx="131">
                        <c:v>-174.74000000000024</c:v>
                      </c:pt>
                      <c:pt idx="132">
                        <c:v>-174.74000000000024</c:v>
                      </c:pt>
                      <c:pt idx="133">
                        <c:v>-174.74000000000024</c:v>
                      </c:pt>
                      <c:pt idx="134">
                        <c:v>-174.74000000000024</c:v>
                      </c:pt>
                      <c:pt idx="135">
                        <c:v>-174.74000000000024</c:v>
                      </c:pt>
                      <c:pt idx="136">
                        <c:v>-174.74000000000024</c:v>
                      </c:pt>
                      <c:pt idx="137">
                        <c:v>-163.1400000000001</c:v>
                      </c:pt>
                      <c:pt idx="138">
                        <c:v>-163.1400000000001</c:v>
                      </c:pt>
                      <c:pt idx="139">
                        <c:v>-163.1400000000001</c:v>
                      </c:pt>
                      <c:pt idx="140">
                        <c:v>-163.1400000000001</c:v>
                      </c:pt>
                      <c:pt idx="141">
                        <c:v>-163.1400000000001</c:v>
                      </c:pt>
                      <c:pt idx="142">
                        <c:v>-163.1400000000001</c:v>
                      </c:pt>
                      <c:pt idx="143">
                        <c:v>-163.1400000000001</c:v>
                      </c:pt>
                      <c:pt idx="144">
                        <c:v>-163.1400000000001</c:v>
                      </c:pt>
                      <c:pt idx="145">
                        <c:v>-163.1400000000001</c:v>
                      </c:pt>
                      <c:pt idx="146">
                        <c:v>-163.1400000000001</c:v>
                      </c:pt>
                      <c:pt idx="147">
                        <c:v>-163.1400000000001</c:v>
                      </c:pt>
                      <c:pt idx="148">
                        <c:v>-163.1400000000001</c:v>
                      </c:pt>
                      <c:pt idx="149">
                        <c:v>-163.1400000000001</c:v>
                      </c:pt>
                      <c:pt idx="150">
                        <c:v>-163.1400000000001</c:v>
                      </c:pt>
                      <c:pt idx="151">
                        <c:v>-163.1400000000001</c:v>
                      </c:pt>
                      <c:pt idx="152">
                        <c:v>-163.1400000000001</c:v>
                      </c:pt>
                      <c:pt idx="153">
                        <c:v>-163.1400000000001</c:v>
                      </c:pt>
                      <c:pt idx="154">
                        <c:v>-163.1400000000001</c:v>
                      </c:pt>
                      <c:pt idx="155">
                        <c:v>-163.1400000000001</c:v>
                      </c:pt>
                      <c:pt idx="156">
                        <c:v>-163.1400000000001</c:v>
                      </c:pt>
                      <c:pt idx="157">
                        <c:v>-163.1400000000001</c:v>
                      </c:pt>
                      <c:pt idx="158">
                        <c:v>-163.1400000000001</c:v>
                      </c:pt>
                      <c:pt idx="159">
                        <c:v>-163.1400000000001</c:v>
                      </c:pt>
                      <c:pt idx="160">
                        <c:v>-163.1400000000001</c:v>
                      </c:pt>
                      <c:pt idx="161">
                        <c:v>-163.1400000000001</c:v>
                      </c:pt>
                      <c:pt idx="162">
                        <c:v>-163.1400000000001</c:v>
                      </c:pt>
                      <c:pt idx="163">
                        <c:v>-163.1400000000001</c:v>
                      </c:pt>
                      <c:pt idx="164">
                        <c:v>-163.1400000000001</c:v>
                      </c:pt>
                      <c:pt idx="165">
                        <c:v>-163.1400000000001</c:v>
                      </c:pt>
                      <c:pt idx="166">
                        <c:v>-163.1400000000001</c:v>
                      </c:pt>
                      <c:pt idx="167">
                        <c:v>-163.1400000000001</c:v>
                      </c:pt>
                      <c:pt idx="168">
                        <c:v>-163.1400000000001</c:v>
                      </c:pt>
                      <c:pt idx="169">
                        <c:v>-163.1400000000001</c:v>
                      </c:pt>
                      <c:pt idx="170">
                        <c:v>-163.1400000000001</c:v>
                      </c:pt>
                      <c:pt idx="171">
                        <c:v>-163.1400000000001</c:v>
                      </c:pt>
                      <c:pt idx="172">
                        <c:v>-163.1400000000001</c:v>
                      </c:pt>
                      <c:pt idx="173">
                        <c:v>-163.1400000000001</c:v>
                      </c:pt>
                      <c:pt idx="174">
                        <c:v>-163.1400000000001</c:v>
                      </c:pt>
                      <c:pt idx="175">
                        <c:v>-163.1400000000001</c:v>
                      </c:pt>
                      <c:pt idx="176">
                        <c:v>-163.1400000000001</c:v>
                      </c:pt>
                      <c:pt idx="177">
                        <c:v>-163.1400000000001</c:v>
                      </c:pt>
                      <c:pt idx="178">
                        <c:v>-163.1400000000001</c:v>
                      </c:pt>
                      <c:pt idx="179">
                        <c:v>-163.1400000000001</c:v>
                      </c:pt>
                      <c:pt idx="180">
                        <c:v>-163.1400000000001</c:v>
                      </c:pt>
                      <c:pt idx="181">
                        <c:v>-163.1400000000001</c:v>
                      </c:pt>
                      <c:pt idx="182">
                        <c:v>-163.1400000000001</c:v>
                      </c:pt>
                      <c:pt idx="183">
                        <c:v>-163.1400000000001</c:v>
                      </c:pt>
                      <c:pt idx="184">
                        <c:v>-163.1400000000001</c:v>
                      </c:pt>
                      <c:pt idx="185">
                        <c:v>-163.1400000000001</c:v>
                      </c:pt>
                      <c:pt idx="186">
                        <c:v>-163.1400000000001</c:v>
                      </c:pt>
                      <c:pt idx="187">
                        <c:v>-163.1400000000001</c:v>
                      </c:pt>
                      <c:pt idx="188">
                        <c:v>-163.1400000000001</c:v>
                      </c:pt>
                      <c:pt idx="189">
                        <c:v>-163.1400000000001</c:v>
                      </c:pt>
                      <c:pt idx="190">
                        <c:v>-163.1400000000001</c:v>
                      </c:pt>
                      <c:pt idx="191">
                        <c:v>-163.1400000000001</c:v>
                      </c:pt>
                      <c:pt idx="192">
                        <c:v>-163.1400000000001</c:v>
                      </c:pt>
                      <c:pt idx="193">
                        <c:v>-163.1400000000001</c:v>
                      </c:pt>
                      <c:pt idx="194">
                        <c:v>-163.1400000000001</c:v>
                      </c:pt>
                      <c:pt idx="195">
                        <c:v>-163.1400000000001</c:v>
                      </c:pt>
                      <c:pt idx="196">
                        <c:v>-163.1400000000001</c:v>
                      </c:pt>
                      <c:pt idx="197">
                        <c:v>-163.1400000000001</c:v>
                      </c:pt>
                      <c:pt idx="198">
                        <c:v>-163.1400000000001</c:v>
                      </c:pt>
                      <c:pt idx="199">
                        <c:v>-163.1400000000001</c:v>
                      </c:pt>
                      <c:pt idx="200">
                        <c:v>-181.17000000000007</c:v>
                      </c:pt>
                      <c:pt idx="201">
                        <c:v>-181.17000000000007</c:v>
                      </c:pt>
                      <c:pt idx="202">
                        <c:v>-181.17000000000007</c:v>
                      </c:pt>
                      <c:pt idx="203">
                        <c:v>-151.49</c:v>
                      </c:pt>
                      <c:pt idx="204">
                        <c:v>-151.49</c:v>
                      </c:pt>
                      <c:pt idx="205">
                        <c:v>-151.49</c:v>
                      </c:pt>
                      <c:pt idx="206">
                        <c:v>-151.49</c:v>
                      </c:pt>
                      <c:pt idx="207">
                        <c:v>-151.49</c:v>
                      </c:pt>
                      <c:pt idx="208">
                        <c:v>-151.49</c:v>
                      </c:pt>
                      <c:pt idx="209">
                        <c:v>-151.49</c:v>
                      </c:pt>
                      <c:pt idx="210">
                        <c:v>-151.49</c:v>
                      </c:pt>
                      <c:pt idx="211">
                        <c:v>-151.49</c:v>
                      </c:pt>
                      <c:pt idx="212">
                        <c:v>-151.49</c:v>
                      </c:pt>
                      <c:pt idx="213">
                        <c:v>-151.49</c:v>
                      </c:pt>
                      <c:pt idx="214">
                        <c:v>-151.49</c:v>
                      </c:pt>
                      <c:pt idx="215">
                        <c:v>-151.49</c:v>
                      </c:pt>
                      <c:pt idx="216">
                        <c:v>-151.49</c:v>
                      </c:pt>
                      <c:pt idx="217">
                        <c:v>-85.340000000000032</c:v>
                      </c:pt>
                      <c:pt idx="218">
                        <c:v>-85.340000000000032</c:v>
                      </c:pt>
                      <c:pt idx="219">
                        <c:v>-85.340000000000032</c:v>
                      </c:pt>
                      <c:pt idx="220">
                        <c:v>-85.340000000000032</c:v>
                      </c:pt>
                      <c:pt idx="221">
                        <c:v>-85.340000000000032</c:v>
                      </c:pt>
                      <c:pt idx="222">
                        <c:v>-85.340000000000032</c:v>
                      </c:pt>
                      <c:pt idx="223">
                        <c:v>-142.90000000000009</c:v>
                      </c:pt>
                      <c:pt idx="224">
                        <c:v>-142.90000000000009</c:v>
                      </c:pt>
                      <c:pt idx="225">
                        <c:v>-142.90000000000009</c:v>
                      </c:pt>
                      <c:pt idx="226">
                        <c:v>-142.90000000000009</c:v>
                      </c:pt>
                      <c:pt idx="227">
                        <c:v>-142.90000000000009</c:v>
                      </c:pt>
                      <c:pt idx="228">
                        <c:v>-142.90000000000009</c:v>
                      </c:pt>
                      <c:pt idx="229">
                        <c:v>-142.90000000000009</c:v>
                      </c:pt>
                      <c:pt idx="230">
                        <c:v>-142.90000000000009</c:v>
                      </c:pt>
                      <c:pt idx="231">
                        <c:v>-142.90000000000009</c:v>
                      </c:pt>
                      <c:pt idx="232">
                        <c:v>-142.90000000000009</c:v>
                      </c:pt>
                      <c:pt idx="233">
                        <c:v>-142.90000000000009</c:v>
                      </c:pt>
                      <c:pt idx="234">
                        <c:v>-142.90000000000009</c:v>
                      </c:pt>
                      <c:pt idx="235">
                        <c:v>-142.90000000000009</c:v>
                      </c:pt>
                      <c:pt idx="236">
                        <c:v>-142.90000000000009</c:v>
                      </c:pt>
                      <c:pt idx="237">
                        <c:v>-142.90000000000009</c:v>
                      </c:pt>
                      <c:pt idx="238">
                        <c:v>-142.90000000000009</c:v>
                      </c:pt>
                      <c:pt idx="239">
                        <c:v>-142.90000000000009</c:v>
                      </c:pt>
                      <c:pt idx="240">
                        <c:v>-132.30000000000018</c:v>
                      </c:pt>
                      <c:pt idx="241">
                        <c:v>-132.30000000000018</c:v>
                      </c:pt>
                      <c:pt idx="242">
                        <c:v>-132.30000000000018</c:v>
                      </c:pt>
                      <c:pt idx="243">
                        <c:v>-132.30000000000018</c:v>
                      </c:pt>
                      <c:pt idx="244">
                        <c:v>-132.30000000000018</c:v>
                      </c:pt>
                      <c:pt idx="245">
                        <c:v>-132.30000000000018</c:v>
                      </c:pt>
                      <c:pt idx="246">
                        <c:v>-132.30000000000018</c:v>
                      </c:pt>
                      <c:pt idx="247">
                        <c:v>-132.30000000000018</c:v>
                      </c:pt>
                      <c:pt idx="248">
                        <c:v>-132.30000000000018</c:v>
                      </c:pt>
                      <c:pt idx="249">
                        <c:v>-132.30000000000018</c:v>
                      </c:pt>
                      <c:pt idx="250">
                        <c:v>-132.30000000000018</c:v>
                      </c:pt>
                      <c:pt idx="251">
                        <c:v>-132.30000000000018</c:v>
                      </c:pt>
                      <c:pt idx="252">
                        <c:v>-132.30000000000018</c:v>
                      </c:pt>
                      <c:pt idx="253">
                        <c:v>-132.30000000000018</c:v>
                      </c:pt>
                      <c:pt idx="254">
                        <c:v>-132.30000000000018</c:v>
                      </c:pt>
                      <c:pt idx="255">
                        <c:v>-132.30000000000018</c:v>
                      </c:pt>
                      <c:pt idx="256">
                        <c:v>-132.30000000000018</c:v>
                      </c:pt>
                      <c:pt idx="257">
                        <c:v>-269.63053243920194</c:v>
                      </c:pt>
                      <c:pt idx="258">
                        <c:v>-299.03053243920203</c:v>
                      </c:pt>
                      <c:pt idx="259">
                        <c:v>-299.03053243920203</c:v>
                      </c:pt>
                      <c:pt idx="260">
                        <c:v>-299.03053243920203</c:v>
                      </c:pt>
                      <c:pt idx="261">
                        <c:v>-299.03053243920203</c:v>
                      </c:pt>
                      <c:pt idx="262">
                        <c:v>-299.03053243920203</c:v>
                      </c:pt>
                      <c:pt idx="263">
                        <c:v>-299.03053243920203</c:v>
                      </c:pt>
                      <c:pt idx="264">
                        <c:v>-299.03053243920203</c:v>
                      </c:pt>
                      <c:pt idx="265">
                        <c:v>-299.03053243920203</c:v>
                      </c:pt>
                      <c:pt idx="266">
                        <c:v>-299.03053243920203</c:v>
                      </c:pt>
                      <c:pt idx="267">
                        <c:v>-299.03053243920203</c:v>
                      </c:pt>
                      <c:pt idx="268">
                        <c:v>-299.03053243920203</c:v>
                      </c:pt>
                      <c:pt idx="269">
                        <c:v>-299.03053243920203</c:v>
                      </c:pt>
                      <c:pt idx="270">
                        <c:v>-299.03053243920203</c:v>
                      </c:pt>
                      <c:pt idx="271">
                        <c:v>-299.03053243920203</c:v>
                      </c:pt>
                      <c:pt idx="272">
                        <c:v>-299.03053243920203</c:v>
                      </c:pt>
                      <c:pt idx="273">
                        <c:v>-385.38106797961109</c:v>
                      </c:pt>
                      <c:pt idx="274">
                        <c:v>-385.38106797961109</c:v>
                      </c:pt>
                      <c:pt idx="275">
                        <c:v>-385.38106797961109</c:v>
                      </c:pt>
                      <c:pt idx="276">
                        <c:v>-385.38106797961109</c:v>
                      </c:pt>
                      <c:pt idx="277">
                        <c:v>-377.70106797961103</c:v>
                      </c:pt>
                      <c:pt idx="278">
                        <c:v>-377.70106797961103</c:v>
                      </c:pt>
                      <c:pt idx="279">
                        <c:v>-377.70106797961103</c:v>
                      </c:pt>
                      <c:pt idx="280">
                        <c:v>-377.70106797961103</c:v>
                      </c:pt>
                      <c:pt idx="281">
                        <c:v>-377.70106797961103</c:v>
                      </c:pt>
                      <c:pt idx="282">
                        <c:v>-377.70106797961103</c:v>
                      </c:pt>
                      <c:pt idx="283">
                        <c:v>-377.70106797961103</c:v>
                      </c:pt>
                      <c:pt idx="284">
                        <c:v>-377.70106797961103</c:v>
                      </c:pt>
                      <c:pt idx="285">
                        <c:v>-377.70106797961103</c:v>
                      </c:pt>
                      <c:pt idx="286">
                        <c:v>-377.70106797961103</c:v>
                      </c:pt>
                      <c:pt idx="287">
                        <c:v>-377.70106797961103</c:v>
                      </c:pt>
                      <c:pt idx="288">
                        <c:v>-377.70106797961103</c:v>
                      </c:pt>
                      <c:pt idx="289">
                        <c:v>-377.70106797961103</c:v>
                      </c:pt>
                      <c:pt idx="290">
                        <c:v>-366.42106797961105</c:v>
                      </c:pt>
                      <c:pt idx="291">
                        <c:v>-366.42106797961105</c:v>
                      </c:pt>
                      <c:pt idx="292">
                        <c:v>-366.42106797961105</c:v>
                      </c:pt>
                      <c:pt idx="293">
                        <c:v>-366.42106797961105</c:v>
                      </c:pt>
                      <c:pt idx="294">
                        <c:v>-366.42106797961105</c:v>
                      </c:pt>
                      <c:pt idx="295">
                        <c:v>-394.76106797961097</c:v>
                      </c:pt>
                      <c:pt idx="296">
                        <c:v>-394.76106797961097</c:v>
                      </c:pt>
                      <c:pt idx="297">
                        <c:v>-339.68106797961104</c:v>
                      </c:pt>
                      <c:pt idx="298">
                        <c:v>-339.68106797961104</c:v>
                      </c:pt>
                      <c:pt idx="299">
                        <c:v>-339.68106797961104</c:v>
                      </c:pt>
                      <c:pt idx="300">
                        <c:v>-339.68106797961104</c:v>
                      </c:pt>
                      <c:pt idx="301">
                        <c:v>-339.68106797961104</c:v>
                      </c:pt>
                      <c:pt idx="302">
                        <c:v>-339.68106797961104</c:v>
                      </c:pt>
                      <c:pt idx="303">
                        <c:v>-339.68106797961104</c:v>
                      </c:pt>
                      <c:pt idx="304">
                        <c:v>-438.46106797961124</c:v>
                      </c:pt>
                      <c:pt idx="305">
                        <c:v>-438.46106797961124</c:v>
                      </c:pt>
                      <c:pt idx="306">
                        <c:v>-438.46106797961124</c:v>
                      </c:pt>
                      <c:pt idx="307">
                        <c:v>-438.46106797961124</c:v>
                      </c:pt>
                      <c:pt idx="308">
                        <c:v>-438.46106797961124</c:v>
                      </c:pt>
                      <c:pt idx="309">
                        <c:v>-390.96106797961124</c:v>
                      </c:pt>
                      <c:pt idx="310">
                        <c:v>-390.96106797961124</c:v>
                      </c:pt>
                      <c:pt idx="311">
                        <c:v>-390.96106797961124</c:v>
                      </c:pt>
                      <c:pt idx="312">
                        <c:v>-390.96106797961124</c:v>
                      </c:pt>
                      <c:pt idx="313">
                        <c:v>-349.11106797961111</c:v>
                      </c:pt>
                      <c:pt idx="314">
                        <c:v>-349.11106797961111</c:v>
                      </c:pt>
                      <c:pt idx="315">
                        <c:v>-349.11106797961111</c:v>
                      </c:pt>
                      <c:pt idx="316">
                        <c:v>-342.69106797961103</c:v>
                      </c:pt>
                      <c:pt idx="317">
                        <c:v>-340.17106797961105</c:v>
                      </c:pt>
                      <c:pt idx="318">
                        <c:v>-340.17106797961105</c:v>
                      </c:pt>
                      <c:pt idx="319">
                        <c:v>-340.17106797961105</c:v>
                      </c:pt>
                      <c:pt idx="320">
                        <c:v>-340.17106797961105</c:v>
                      </c:pt>
                      <c:pt idx="321">
                        <c:v>-340.17106797961105</c:v>
                      </c:pt>
                      <c:pt idx="322">
                        <c:v>-340.17106797961105</c:v>
                      </c:pt>
                      <c:pt idx="323">
                        <c:v>-340.17106797961105</c:v>
                      </c:pt>
                      <c:pt idx="324">
                        <c:v>-340.17106797961105</c:v>
                      </c:pt>
                      <c:pt idx="325">
                        <c:v>-340.17106797961105</c:v>
                      </c:pt>
                      <c:pt idx="326">
                        <c:v>-340.17106797961105</c:v>
                      </c:pt>
                      <c:pt idx="327">
                        <c:v>-340.17106797961105</c:v>
                      </c:pt>
                      <c:pt idx="328">
                        <c:v>-340.17106797961105</c:v>
                      </c:pt>
                      <c:pt idx="329">
                        <c:v>-240.66106797961083</c:v>
                      </c:pt>
                      <c:pt idx="330">
                        <c:v>-240.66106797961083</c:v>
                      </c:pt>
                      <c:pt idx="331">
                        <c:v>-240.66106797961083</c:v>
                      </c:pt>
                      <c:pt idx="332">
                        <c:v>-240.66106797961083</c:v>
                      </c:pt>
                      <c:pt idx="333">
                        <c:v>-240.66106797961083</c:v>
                      </c:pt>
                      <c:pt idx="334">
                        <c:v>-178.13106797961063</c:v>
                      </c:pt>
                      <c:pt idx="335">
                        <c:v>-178.13106797961063</c:v>
                      </c:pt>
                      <c:pt idx="336">
                        <c:v>-178.13106797961063</c:v>
                      </c:pt>
                      <c:pt idx="337">
                        <c:v>-178.13106797961063</c:v>
                      </c:pt>
                      <c:pt idx="338">
                        <c:v>-206.13106797961063</c:v>
                      </c:pt>
                      <c:pt idx="339">
                        <c:v>-206.13106797961063</c:v>
                      </c:pt>
                      <c:pt idx="340">
                        <c:v>-206.13106797961063</c:v>
                      </c:pt>
                      <c:pt idx="341">
                        <c:v>-203.43106797961059</c:v>
                      </c:pt>
                      <c:pt idx="342">
                        <c:v>-203.43106797961059</c:v>
                      </c:pt>
                      <c:pt idx="343">
                        <c:v>-203.43106797961059</c:v>
                      </c:pt>
                      <c:pt idx="344">
                        <c:v>-203.43106797961059</c:v>
                      </c:pt>
                      <c:pt idx="345">
                        <c:v>-295.97106797961055</c:v>
                      </c:pt>
                      <c:pt idx="346">
                        <c:v>-295.97106797961055</c:v>
                      </c:pt>
                    </c:numCache>
                  </c:numRef>
                </c:val>
                <c:smooth val="0"/>
                <c:extLst>
                  <c:ext xmlns:c16="http://schemas.microsoft.com/office/drawing/2014/chart" uri="{C3380CC4-5D6E-409C-BE32-E72D297353CC}">
                    <c16:uniqueId val="{00000004-2E46-40D7-92F2-A6C06678F79C}"/>
                  </c:ext>
                </c:extLst>
              </c15:ser>
            </c15:filteredLineSeries>
            <c15:filteredLineSeries>
              <c15:ser>
                <c:idx val="4"/>
                <c:order val="4"/>
                <c:tx>
                  <c:v>SW (MOC)</c:v>
                </c:tx>
                <c:spPr>
                  <a:ln w="28575" cap="rnd">
                    <a:solidFill>
                      <a:schemeClr val="accent4">
                        <a:lumMod val="60000"/>
                        <a:lumOff val="40000"/>
                      </a:schemeClr>
                    </a:solidFill>
                    <a:prstDash val="sysDash"/>
                    <a:round/>
                  </a:ln>
                  <a:effectLst/>
                </c:spPr>
                <c:marker>
                  <c:symbol val="none"/>
                </c:marker>
                <c:val>
                  <c:numRef>
                    <c:extLst xmlns:c15="http://schemas.microsoft.com/office/drawing/2012/chart">
                      <c:ext xmlns:c15="http://schemas.microsoft.com/office/drawing/2012/chart" uri="{02D57815-91ED-43cb-92C2-25804820EDAC}">
                        <c15:formulaRef>
                          <c15:sqref>'2025-Q2'!$AV$4:$AV$350</c15:sqref>
                        </c15:formulaRef>
                      </c:ext>
                    </c:extLst>
                    <c:numCache>
                      <c:formatCode>"$"#,##0</c:formatCode>
                      <c:ptCount val="347"/>
                      <c:pt idx="0">
                        <c:v>0</c:v>
                      </c:pt>
                      <c:pt idx="1">
                        <c:v>0</c:v>
                      </c:pt>
                      <c:pt idx="2">
                        <c:v>45.449999999999818</c:v>
                      </c:pt>
                      <c:pt idx="3">
                        <c:v>35.25</c:v>
                      </c:pt>
                      <c:pt idx="4">
                        <c:v>55.25</c:v>
                      </c:pt>
                      <c:pt idx="5">
                        <c:v>70.090000000000146</c:v>
                      </c:pt>
                      <c:pt idx="6">
                        <c:v>85.490000000000236</c:v>
                      </c:pt>
                      <c:pt idx="7">
                        <c:v>158.24</c:v>
                      </c:pt>
                      <c:pt idx="8">
                        <c:v>177.32000000000005</c:v>
                      </c:pt>
                      <c:pt idx="9">
                        <c:v>177.32000000000005</c:v>
                      </c:pt>
                      <c:pt idx="10">
                        <c:v>197.30000000000007</c:v>
                      </c:pt>
                      <c:pt idx="11">
                        <c:v>236.89999999999998</c:v>
                      </c:pt>
                      <c:pt idx="12">
                        <c:v>236.89999999999998</c:v>
                      </c:pt>
                      <c:pt idx="13">
                        <c:v>231.72000000000014</c:v>
                      </c:pt>
                      <c:pt idx="14">
                        <c:v>231.72000000000014</c:v>
                      </c:pt>
                      <c:pt idx="15">
                        <c:v>231.54000000000008</c:v>
                      </c:pt>
                      <c:pt idx="16">
                        <c:v>231.54000000000008</c:v>
                      </c:pt>
                      <c:pt idx="17">
                        <c:v>231.54000000000008</c:v>
                      </c:pt>
                      <c:pt idx="18">
                        <c:v>212.34000000000003</c:v>
                      </c:pt>
                      <c:pt idx="19">
                        <c:v>243.65999999999997</c:v>
                      </c:pt>
                      <c:pt idx="20">
                        <c:v>256.64966594568602</c:v>
                      </c:pt>
                      <c:pt idx="21">
                        <c:v>252.56795937946242</c:v>
                      </c:pt>
                      <c:pt idx="22">
                        <c:v>252.56795937946242</c:v>
                      </c:pt>
                      <c:pt idx="23">
                        <c:v>258.96870149449035</c:v>
                      </c:pt>
                      <c:pt idx="24">
                        <c:v>281.78870149449051</c:v>
                      </c:pt>
                      <c:pt idx="25">
                        <c:v>19.92870149449061</c:v>
                      </c:pt>
                      <c:pt idx="26">
                        <c:v>19.92870149449061</c:v>
                      </c:pt>
                      <c:pt idx="27">
                        <c:v>19.92870149449061</c:v>
                      </c:pt>
                      <c:pt idx="28">
                        <c:v>19.92870149449061</c:v>
                      </c:pt>
                      <c:pt idx="29">
                        <c:v>26.67870149449061</c:v>
                      </c:pt>
                      <c:pt idx="30">
                        <c:v>26.67870149449061</c:v>
                      </c:pt>
                      <c:pt idx="31">
                        <c:v>26.67870149449061</c:v>
                      </c:pt>
                      <c:pt idx="32">
                        <c:v>26.67870149449061</c:v>
                      </c:pt>
                      <c:pt idx="33">
                        <c:v>18.628701494490656</c:v>
                      </c:pt>
                      <c:pt idx="34">
                        <c:v>-37.621298505509344</c:v>
                      </c:pt>
                      <c:pt idx="35">
                        <c:v>-117.30129850550941</c:v>
                      </c:pt>
                      <c:pt idx="36">
                        <c:v>-117.30129850550941</c:v>
                      </c:pt>
                      <c:pt idx="37">
                        <c:v>-136.55129850550941</c:v>
                      </c:pt>
                      <c:pt idx="38">
                        <c:v>-121.67129850550941</c:v>
                      </c:pt>
                      <c:pt idx="39">
                        <c:v>-121.67129850550941</c:v>
                      </c:pt>
                      <c:pt idx="40">
                        <c:v>-121.67129850550941</c:v>
                      </c:pt>
                      <c:pt idx="41">
                        <c:v>-121.67129850550941</c:v>
                      </c:pt>
                      <c:pt idx="42">
                        <c:v>-121.67129850550941</c:v>
                      </c:pt>
                      <c:pt idx="43">
                        <c:v>-45.861298505509467</c:v>
                      </c:pt>
                      <c:pt idx="44">
                        <c:v>-39.361298505509467</c:v>
                      </c:pt>
                      <c:pt idx="45">
                        <c:v>-28.111298505509467</c:v>
                      </c:pt>
                      <c:pt idx="46">
                        <c:v>-28.111298505509467</c:v>
                      </c:pt>
                      <c:pt idx="47">
                        <c:v>-28.111298505509467</c:v>
                      </c:pt>
                      <c:pt idx="48">
                        <c:v>-28.111298505509467</c:v>
                      </c:pt>
                      <c:pt idx="49">
                        <c:v>-142.53968337706056</c:v>
                      </c:pt>
                      <c:pt idx="50">
                        <c:v>-160.4474473522157</c:v>
                      </c:pt>
                      <c:pt idx="51">
                        <c:v>-68.287447352215622</c:v>
                      </c:pt>
                      <c:pt idx="52">
                        <c:v>-68.287447352215622</c:v>
                      </c:pt>
                      <c:pt idx="53">
                        <c:v>-33.00744735221565</c:v>
                      </c:pt>
                      <c:pt idx="54">
                        <c:v>-14.627447352215654</c:v>
                      </c:pt>
                      <c:pt idx="55">
                        <c:v>-14.627447352215654</c:v>
                      </c:pt>
                      <c:pt idx="56">
                        <c:v>-64.227447352215677</c:v>
                      </c:pt>
                      <c:pt idx="57">
                        <c:v>-64.227447352215677</c:v>
                      </c:pt>
                      <c:pt idx="58">
                        <c:v>-32.927447352215609</c:v>
                      </c:pt>
                      <c:pt idx="59">
                        <c:v>5.1725526477844141</c:v>
                      </c:pt>
                      <c:pt idx="60">
                        <c:v>7.8725526477844596</c:v>
                      </c:pt>
                      <c:pt idx="61">
                        <c:v>37.932552647784405</c:v>
                      </c:pt>
                      <c:pt idx="62">
                        <c:v>102.73255264778447</c:v>
                      </c:pt>
                      <c:pt idx="63">
                        <c:v>118.39255264778456</c:v>
                      </c:pt>
                      <c:pt idx="64">
                        <c:v>125.29255264778453</c:v>
                      </c:pt>
                      <c:pt idx="65">
                        <c:v>174.54255264778453</c:v>
                      </c:pt>
                      <c:pt idx="66">
                        <c:v>174.54255264778453</c:v>
                      </c:pt>
                      <c:pt idx="67">
                        <c:v>174.54255264778453</c:v>
                      </c:pt>
                      <c:pt idx="68">
                        <c:v>174.54255264778453</c:v>
                      </c:pt>
                      <c:pt idx="69">
                        <c:v>174.54255264778453</c:v>
                      </c:pt>
                      <c:pt idx="70">
                        <c:v>174.54255264778453</c:v>
                      </c:pt>
                      <c:pt idx="71">
                        <c:v>174.54255264778453</c:v>
                      </c:pt>
                      <c:pt idx="72">
                        <c:v>215.38255264778456</c:v>
                      </c:pt>
                      <c:pt idx="73">
                        <c:v>188.17255264778453</c:v>
                      </c:pt>
                      <c:pt idx="74">
                        <c:v>219.13255264778456</c:v>
                      </c:pt>
                      <c:pt idx="75">
                        <c:v>165.93255264778452</c:v>
                      </c:pt>
                      <c:pt idx="76">
                        <c:v>215.8325526477845</c:v>
                      </c:pt>
                      <c:pt idx="77">
                        <c:v>259.68255264778452</c:v>
                      </c:pt>
                      <c:pt idx="78">
                        <c:v>195.08255264778461</c:v>
                      </c:pt>
                      <c:pt idx="79">
                        <c:v>195.08255264778461</c:v>
                      </c:pt>
                      <c:pt idx="80">
                        <c:v>208.3425526477846</c:v>
                      </c:pt>
                      <c:pt idx="81">
                        <c:v>208.3425526477846</c:v>
                      </c:pt>
                      <c:pt idx="82">
                        <c:v>208.3425526477846</c:v>
                      </c:pt>
                      <c:pt idx="83">
                        <c:v>236.54255264778465</c:v>
                      </c:pt>
                      <c:pt idx="84">
                        <c:v>75.742552647784692</c:v>
                      </c:pt>
                      <c:pt idx="85">
                        <c:v>75.742552647784692</c:v>
                      </c:pt>
                      <c:pt idx="86">
                        <c:v>44.742552647784692</c:v>
                      </c:pt>
                      <c:pt idx="87">
                        <c:v>44.742552647784692</c:v>
                      </c:pt>
                      <c:pt idx="88">
                        <c:v>44.742552647784692</c:v>
                      </c:pt>
                      <c:pt idx="89">
                        <c:v>59.622552647784573</c:v>
                      </c:pt>
                      <c:pt idx="90">
                        <c:v>59.622552647784573</c:v>
                      </c:pt>
                      <c:pt idx="91">
                        <c:v>59.622552647784573</c:v>
                      </c:pt>
                      <c:pt idx="92">
                        <c:v>59.622552647784573</c:v>
                      </c:pt>
                      <c:pt idx="93">
                        <c:v>30.959567043367201</c:v>
                      </c:pt>
                      <c:pt idx="94">
                        <c:v>47.809567043367224</c:v>
                      </c:pt>
                      <c:pt idx="95">
                        <c:v>47.809567043367224</c:v>
                      </c:pt>
                      <c:pt idx="96">
                        <c:v>47.809567043367224</c:v>
                      </c:pt>
                      <c:pt idx="97">
                        <c:v>47.809567043367224</c:v>
                      </c:pt>
                      <c:pt idx="98">
                        <c:v>47.809567043367224</c:v>
                      </c:pt>
                      <c:pt idx="99">
                        <c:v>-49.590432956632867</c:v>
                      </c:pt>
                      <c:pt idx="100">
                        <c:v>-49.590432956632867</c:v>
                      </c:pt>
                      <c:pt idx="101">
                        <c:v>-67.840432956632867</c:v>
                      </c:pt>
                      <c:pt idx="102">
                        <c:v>-68.000432956632835</c:v>
                      </c:pt>
                      <c:pt idx="103">
                        <c:v>-68.000432956632835</c:v>
                      </c:pt>
                      <c:pt idx="104">
                        <c:v>-71.840432956632753</c:v>
                      </c:pt>
                      <c:pt idx="105">
                        <c:v>-71.840432956632753</c:v>
                      </c:pt>
                      <c:pt idx="106">
                        <c:v>-71.840432956632753</c:v>
                      </c:pt>
                      <c:pt idx="107">
                        <c:v>-136.64043295663271</c:v>
                      </c:pt>
                      <c:pt idx="108">
                        <c:v>-122.36043295663274</c:v>
                      </c:pt>
                      <c:pt idx="109">
                        <c:v>-176.00043295663284</c:v>
                      </c:pt>
                      <c:pt idx="110">
                        <c:v>-176.00043295663284</c:v>
                      </c:pt>
                      <c:pt idx="111">
                        <c:v>-176.00043295663284</c:v>
                      </c:pt>
                      <c:pt idx="112">
                        <c:v>-216.47043295663286</c:v>
                      </c:pt>
                      <c:pt idx="113">
                        <c:v>-188.0787935487491</c:v>
                      </c:pt>
                      <c:pt idx="114">
                        <c:v>-175.97879354874919</c:v>
                      </c:pt>
                      <c:pt idx="115">
                        <c:v>-61.018793548749386</c:v>
                      </c:pt>
                      <c:pt idx="116">
                        <c:v>-61.018793548749386</c:v>
                      </c:pt>
                      <c:pt idx="117">
                        <c:v>-61.018793548749386</c:v>
                      </c:pt>
                      <c:pt idx="118">
                        <c:v>-25.19879354874945</c:v>
                      </c:pt>
                      <c:pt idx="119">
                        <c:v>-31.378793548749513</c:v>
                      </c:pt>
                      <c:pt idx="120">
                        <c:v>-31.378793548749513</c:v>
                      </c:pt>
                      <c:pt idx="121">
                        <c:v>-31.378793548749513</c:v>
                      </c:pt>
                      <c:pt idx="122">
                        <c:v>-100.2787935487496</c:v>
                      </c:pt>
                      <c:pt idx="123">
                        <c:v>-109.67879354874947</c:v>
                      </c:pt>
                      <c:pt idx="124">
                        <c:v>-109.67879354874947</c:v>
                      </c:pt>
                      <c:pt idx="125">
                        <c:v>-43.758793548749395</c:v>
                      </c:pt>
                      <c:pt idx="126">
                        <c:v>-42.408793548749259</c:v>
                      </c:pt>
                      <c:pt idx="127">
                        <c:v>-42.408793548749259</c:v>
                      </c:pt>
                      <c:pt idx="128">
                        <c:v>-18.358793548749304</c:v>
                      </c:pt>
                      <c:pt idx="129">
                        <c:v>-18.358793548749304</c:v>
                      </c:pt>
                      <c:pt idx="130">
                        <c:v>24.921206451250669</c:v>
                      </c:pt>
                      <c:pt idx="131">
                        <c:v>24.921206451250669</c:v>
                      </c:pt>
                      <c:pt idx="132">
                        <c:v>18.921206451250555</c:v>
                      </c:pt>
                      <c:pt idx="133">
                        <c:v>18.921206451250555</c:v>
                      </c:pt>
                      <c:pt idx="134">
                        <c:v>18.921206451250555</c:v>
                      </c:pt>
                      <c:pt idx="135">
                        <c:v>18.921206451250555</c:v>
                      </c:pt>
                      <c:pt idx="136">
                        <c:v>18.921206451250555</c:v>
                      </c:pt>
                      <c:pt idx="137">
                        <c:v>18.921206451250555</c:v>
                      </c:pt>
                      <c:pt idx="138">
                        <c:v>18.921206451250555</c:v>
                      </c:pt>
                      <c:pt idx="139">
                        <c:v>18.921206451250555</c:v>
                      </c:pt>
                      <c:pt idx="140">
                        <c:v>26.761206451250359</c:v>
                      </c:pt>
                      <c:pt idx="141">
                        <c:v>26.761206451250359</c:v>
                      </c:pt>
                      <c:pt idx="142">
                        <c:v>26.761206451250359</c:v>
                      </c:pt>
                      <c:pt idx="143">
                        <c:v>26.761206451250359</c:v>
                      </c:pt>
                      <c:pt idx="144">
                        <c:v>26.761206451250359</c:v>
                      </c:pt>
                      <c:pt idx="145">
                        <c:v>26.761206451250359</c:v>
                      </c:pt>
                      <c:pt idx="146">
                        <c:v>26.761206451250359</c:v>
                      </c:pt>
                      <c:pt idx="147">
                        <c:v>26.761206451250359</c:v>
                      </c:pt>
                      <c:pt idx="148">
                        <c:v>32.011206451250359</c:v>
                      </c:pt>
                      <c:pt idx="149">
                        <c:v>82.511206451250359</c:v>
                      </c:pt>
                      <c:pt idx="150">
                        <c:v>113.42120645125044</c:v>
                      </c:pt>
                      <c:pt idx="151">
                        <c:v>236.01120645125059</c:v>
                      </c:pt>
                      <c:pt idx="152">
                        <c:v>236.01120645125059</c:v>
                      </c:pt>
                      <c:pt idx="153">
                        <c:v>178.41120645125056</c:v>
                      </c:pt>
                      <c:pt idx="154">
                        <c:v>190.35120645125062</c:v>
                      </c:pt>
                      <c:pt idx="155">
                        <c:v>171.54120645125067</c:v>
                      </c:pt>
                      <c:pt idx="156">
                        <c:v>171.54120645125067</c:v>
                      </c:pt>
                      <c:pt idx="157">
                        <c:v>175.84120645125066</c:v>
                      </c:pt>
                      <c:pt idx="158">
                        <c:v>141.43120645125069</c:v>
                      </c:pt>
                      <c:pt idx="159">
                        <c:v>48.131206451250733</c:v>
                      </c:pt>
                      <c:pt idx="160">
                        <c:v>85.331206451250551</c:v>
                      </c:pt>
                      <c:pt idx="161">
                        <c:v>118.93120645125057</c:v>
                      </c:pt>
                      <c:pt idx="162">
                        <c:v>118.93120645125057</c:v>
                      </c:pt>
                      <c:pt idx="163">
                        <c:v>118.93120645125057</c:v>
                      </c:pt>
                      <c:pt idx="164">
                        <c:v>126.41120645125059</c:v>
                      </c:pt>
                      <c:pt idx="165">
                        <c:v>216.02120645125072</c:v>
                      </c:pt>
                      <c:pt idx="166">
                        <c:v>208.66120645125071</c:v>
                      </c:pt>
                      <c:pt idx="167">
                        <c:v>227.98120645125087</c:v>
                      </c:pt>
                      <c:pt idx="168">
                        <c:v>227.98120645125087</c:v>
                      </c:pt>
                      <c:pt idx="169">
                        <c:v>247.23120645125087</c:v>
                      </c:pt>
                      <c:pt idx="170">
                        <c:v>247.23120645125087</c:v>
                      </c:pt>
                      <c:pt idx="171">
                        <c:v>161.08120645125089</c:v>
                      </c:pt>
                      <c:pt idx="172">
                        <c:v>161.08120645125089</c:v>
                      </c:pt>
                      <c:pt idx="173">
                        <c:v>229.00120645125085</c:v>
                      </c:pt>
                      <c:pt idx="174">
                        <c:v>229.00120645125085</c:v>
                      </c:pt>
                      <c:pt idx="175">
                        <c:v>319.42120645125067</c:v>
                      </c:pt>
                      <c:pt idx="176">
                        <c:v>319.42120645125067</c:v>
                      </c:pt>
                      <c:pt idx="177">
                        <c:v>365.84120645125074</c:v>
                      </c:pt>
                      <c:pt idx="178">
                        <c:v>365.84120645125074</c:v>
                      </c:pt>
                      <c:pt idx="179">
                        <c:v>365.84120645125074</c:v>
                      </c:pt>
                      <c:pt idx="180">
                        <c:v>314.2412064512506</c:v>
                      </c:pt>
                      <c:pt idx="181">
                        <c:v>307.34120645125074</c:v>
                      </c:pt>
                      <c:pt idx="182">
                        <c:v>332.24120645125083</c:v>
                      </c:pt>
                      <c:pt idx="183">
                        <c:v>339.09120645125086</c:v>
                      </c:pt>
                      <c:pt idx="184">
                        <c:v>339.09120645125086</c:v>
                      </c:pt>
                      <c:pt idx="185">
                        <c:v>339.09120645125086</c:v>
                      </c:pt>
                      <c:pt idx="186">
                        <c:v>339.09120645125086</c:v>
                      </c:pt>
                      <c:pt idx="187">
                        <c:v>331.25120645125094</c:v>
                      </c:pt>
                      <c:pt idx="188">
                        <c:v>331.25120645125094</c:v>
                      </c:pt>
                      <c:pt idx="189">
                        <c:v>331.25120645125094</c:v>
                      </c:pt>
                      <c:pt idx="190">
                        <c:v>271.49120645125095</c:v>
                      </c:pt>
                      <c:pt idx="191">
                        <c:v>271.49120645125095</c:v>
                      </c:pt>
                      <c:pt idx="192">
                        <c:v>218.73120645125073</c:v>
                      </c:pt>
                      <c:pt idx="193">
                        <c:v>218.73120645125073</c:v>
                      </c:pt>
                      <c:pt idx="194">
                        <c:v>218.73120645125073</c:v>
                      </c:pt>
                      <c:pt idx="195">
                        <c:v>158.55120645125089</c:v>
                      </c:pt>
                      <c:pt idx="196">
                        <c:v>155.69120645125099</c:v>
                      </c:pt>
                      <c:pt idx="197">
                        <c:v>155.69120645125099</c:v>
                      </c:pt>
                      <c:pt idx="198">
                        <c:v>155.69120645125099</c:v>
                      </c:pt>
                      <c:pt idx="199">
                        <c:v>155.69120645125099</c:v>
                      </c:pt>
                      <c:pt idx="200">
                        <c:v>155.69120645125099</c:v>
                      </c:pt>
                      <c:pt idx="201">
                        <c:v>155.69120645125099</c:v>
                      </c:pt>
                      <c:pt idx="202">
                        <c:v>165.81120645125111</c:v>
                      </c:pt>
                      <c:pt idx="203">
                        <c:v>165.81120645125111</c:v>
                      </c:pt>
                      <c:pt idx="204">
                        <c:v>194.93120645125123</c:v>
                      </c:pt>
                      <c:pt idx="205">
                        <c:v>118.37120645125117</c:v>
                      </c:pt>
                      <c:pt idx="206">
                        <c:v>195.83120645125121</c:v>
                      </c:pt>
                      <c:pt idx="207">
                        <c:v>195.83120645125121</c:v>
                      </c:pt>
                      <c:pt idx="208">
                        <c:v>181.91120645125113</c:v>
                      </c:pt>
                      <c:pt idx="209">
                        <c:v>181.91120645125113</c:v>
                      </c:pt>
                      <c:pt idx="210">
                        <c:v>77.06120645125111</c:v>
                      </c:pt>
                      <c:pt idx="211">
                        <c:v>66.701206451251096</c:v>
                      </c:pt>
                      <c:pt idx="212">
                        <c:v>85.211399342838945</c:v>
                      </c:pt>
                      <c:pt idx="213">
                        <c:v>85.211399342838945</c:v>
                      </c:pt>
                      <c:pt idx="214">
                        <c:v>85.211399342838945</c:v>
                      </c:pt>
                      <c:pt idx="215">
                        <c:v>85.211399342838945</c:v>
                      </c:pt>
                      <c:pt idx="216">
                        <c:v>129.05139934283909</c:v>
                      </c:pt>
                      <c:pt idx="217">
                        <c:v>129.05139934283909</c:v>
                      </c:pt>
                      <c:pt idx="218">
                        <c:v>129.05139934283909</c:v>
                      </c:pt>
                      <c:pt idx="219">
                        <c:v>246.01139934283913</c:v>
                      </c:pt>
                      <c:pt idx="220">
                        <c:v>246.01139934283913</c:v>
                      </c:pt>
                      <c:pt idx="221">
                        <c:v>231.71139934283894</c:v>
                      </c:pt>
                      <c:pt idx="222">
                        <c:v>231.71139934283894</c:v>
                      </c:pt>
                      <c:pt idx="223">
                        <c:v>231.71139934283894</c:v>
                      </c:pt>
                      <c:pt idx="224">
                        <c:v>302.23139934283893</c:v>
                      </c:pt>
                      <c:pt idx="225">
                        <c:v>302.23139934283893</c:v>
                      </c:pt>
                      <c:pt idx="226">
                        <c:v>199.28139934283888</c:v>
                      </c:pt>
                      <c:pt idx="227">
                        <c:v>199.28139934283888</c:v>
                      </c:pt>
                      <c:pt idx="228">
                        <c:v>216.20139934283895</c:v>
                      </c:pt>
                      <c:pt idx="229">
                        <c:v>255.68139934283897</c:v>
                      </c:pt>
                      <c:pt idx="230">
                        <c:v>255.68139934283897</c:v>
                      </c:pt>
                      <c:pt idx="231">
                        <c:v>213.14249066104651</c:v>
                      </c:pt>
                      <c:pt idx="232">
                        <c:v>266.9024906610465</c:v>
                      </c:pt>
                      <c:pt idx="233">
                        <c:v>256.66249066104672</c:v>
                      </c:pt>
                      <c:pt idx="234">
                        <c:v>256.66249066104672</c:v>
                      </c:pt>
                      <c:pt idx="235">
                        <c:v>256.66249066104672</c:v>
                      </c:pt>
                      <c:pt idx="236">
                        <c:v>256.66249066104672</c:v>
                      </c:pt>
                      <c:pt idx="237">
                        <c:v>264.4624906610469</c:v>
                      </c:pt>
                      <c:pt idx="238">
                        <c:v>167.92249066104694</c:v>
                      </c:pt>
                      <c:pt idx="239">
                        <c:v>187.36249066104699</c:v>
                      </c:pt>
                      <c:pt idx="240">
                        <c:v>187.36249066104699</c:v>
                      </c:pt>
                      <c:pt idx="241">
                        <c:v>187.36249066104699</c:v>
                      </c:pt>
                      <c:pt idx="242">
                        <c:v>186.04249066104705</c:v>
                      </c:pt>
                      <c:pt idx="243">
                        <c:v>186.04249066104705</c:v>
                      </c:pt>
                      <c:pt idx="244">
                        <c:v>87.822490661047027</c:v>
                      </c:pt>
                      <c:pt idx="245">
                        <c:v>87.822490661047027</c:v>
                      </c:pt>
                      <c:pt idx="246">
                        <c:v>87.822490661047027</c:v>
                      </c:pt>
                      <c:pt idx="247">
                        <c:v>87.822490661047027</c:v>
                      </c:pt>
                      <c:pt idx="248">
                        <c:v>87.822490661047027</c:v>
                      </c:pt>
                      <c:pt idx="249">
                        <c:v>87.822490661047027</c:v>
                      </c:pt>
                      <c:pt idx="250">
                        <c:v>87.822490661047027</c:v>
                      </c:pt>
                      <c:pt idx="251">
                        <c:v>-6.3775093389530184</c:v>
                      </c:pt>
                      <c:pt idx="252">
                        <c:v>3.4224906610469361</c:v>
                      </c:pt>
                      <c:pt idx="253">
                        <c:v>3.4224906610469361</c:v>
                      </c:pt>
                      <c:pt idx="254">
                        <c:v>3.4224906610469361</c:v>
                      </c:pt>
                      <c:pt idx="255">
                        <c:v>3.4224906610469361</c:v>
                      </c:pt>
                      <c:pt idx="256">
                        <c:v>33.122490661046754</c:v>
                      </c:pt>
                      <c:pt idx="257">
                        <c:v>33.122490661046754</c:v>
                      </c:pt>
                      <c:pt idx="258">
                        <c:v>33.122490661046754</c:v>
                      </c:pt>
                      <c:pt idx="259">
                        <c:v>33.122490661046754</c:v>
                      </c:pt>
                      <c:pt idx="260">
                        <c:v>33.122490661046754</c:v>
                      </c:pt>
                      <c:pt idx="261">
                        <c:v>33.122490661046754</c:v>
                      </c:pt>
                      <c:pt idx="262">
                        <c:v>33.122490661046754</c:v>
                      </c:pt>
                      <c:pt idx="263">
                        <c:v>-3.3275093389532913</c:v>
                      </c:pt>
                      <c:pt idx="264">
                        <c:v>-3.3275093389532913</c:v>
                      </c:pt>
                      <c:pt idx="265">
                        <c:v>-3.3275093389532913</c:v>
                      </c:pt>
                      <c:pt idx="266">
                        <c:v>20.122490661046527</c:v>
                      </c:pt>
                      <c:pt idx="267">
                        <c:v>20.122490661046527</c:v>
                      </c:pt>
                      <c:pt idx="268">
                        <c:v>20.122490661046527</c:v>
                      </c:pt>
                      <c:pt idx="269">
                        <c:v>20.122490661046527</c:v>
                      </c:pt>
                      <c:pt idx="270">
                        <c:v>20.122490661046527</c:v>
                      </c:pt>
                      <c:pt idx="271">
                        <c:v>20.122490661046527</c:v>
                      </c:pt>
                      <c:pt idx="272">
                        <c:v>20.122490661046527</c:v>
                      </c:pt>
                      <c:pt idx="273">
                        <c:v>20.122490661046527</c:v>
                      </c:pt>
                      <c:pt idx="274">
                        <c:v>20.122490661046527</c:v>
                      </c:pt>
                      <c:pt idx="275">
                        <c:v>20.122490661046527</c:v>
                      </c:pt>
                      <c:pt idx="276">
                        <c:v>20.122490661046527</c:v>
                      </c:pt>
                      <c:pt idx="277">
                        <c:v>20.122490661046527</c:v>
                      </c:pt>
                      <c:pt idx="278">
                        <c:v>20.122490661046527</c:v>
                      </c:pt>
                      <c:pt idx="279">
                        <c:v>20.122490661046527</c:v>
                      </c:pt>
                      <c:pt idx="280">
                        <c:v>15.562490661046581</c:v>
                      </c:pt>
                      <c:pt idx="281">
                        <c:v>-40.597509338953273</c:v>
                      </c:pt>
                      <c:pt idx="282">
                        <c:v>-40.597509338953273</c:v>
                      </c:pt>
                      <c:pt idx="283">
                        <c:v>-40.597509338953273</c:v>
                      </c:pt>
                      <c:pt idx="284">
                        <c:v>-7.2975093389533185</c:v>
                      </c:pt>
                      <c:pt idx="285">
                        <c:v>-7.2975093389533185</c:v>
                      </c:pt>
                      <c:pt idx="286">
                        <c:v>1.1024906610467724</c:v>
                      </c:pt>
                      <c:pt idx="287">
                        <c:v>1.1024906610467724</c:v>
                      </c:pt>
                      <c:pt idx="288">
                        <c:v>151.70249066104691</c:v>
                      </c:pt>
                      <c:pt idx="289">
                        <c:v>151.70249066104691</c:v>
                      </c:pt>
                      <c:pt idx="290">
                        <c:v>151.70249066104691</c:v>
                      </c:pt>
                      <c:pt idx="291">
                        <c:v>151.70249066104691</c:v>
                      </c:pt>
                      <c:pt idx="292">
                        <c:v>151.70249066104691</c:v>
                      </c:pt>
                      <c:pt idx="293">
                        <c:v>148.00249066104664</c:v>
                      </c:pt>
                      <c:pt idx="294">
                        <c:v>148.00249066104664</c:v>
                      </c:pt>
                      <c:pt idx="295">
                        <c:v>148.00249066104664</c:v>
                      </c:pt>
                      <c:pt idx="296">
                        <c:v>148.00249066104664</c:v>
                      </c:pt>
                      <c:pt idx="297">
                        <c:v>148.00249066104664</c:v>
                      </c:pt>
                      <c:pt idx="298">
                        <c:v>148.00249066104664</c:v>
                      </c:pt>
                      <c:pt idx="299">
                        <c:v>121.60249066104666</c:v>
                      </c:pt>
                      <c:pt idx="300">
                        <c:v>175.24249066104653</c:v>
                      </c:pt>
                      <c:pt idx="301">
                        <c:v>345.26249066104651</c:v>
                      </c:pt>
                      <c:pt idx="302">
                        <c:v>345.26249066104651</c:v>
                      </c:pt>
                      <c:pt idx="303">
                        <c:v>428.48249066104654</c:v>
                      </c:pt>
                      <c:pt idx="304">
                        <c:v>428.48249066104654</c:v>
                      </c:pt>
                      <c:pt idx="305">
                        <c:v>531.88249066104663</c:v>
                      </c:pt>
                      <c:pt idx="306">
                        <c:v>676.08249066104668</c:v>
                      </c:pt>
                      <c:pt idx="307">
                        <c:v>685.53249066104672</c:v>
                      </c:pt>
                      <c:pt idx="308">
                        <c:v>685.53249066104672</c:v>
                      </c:pt>
                      <c:pt idx="309">
                        <c:v>685.53249066104672</c:v>
                      </c:pt>
                      <c:pt idx="310">
                        <c:v>685.53249066104672</c:v>
                      </c:pt>
                      <c:pt idx="311">
                        <c:v>685.53249066104672</c:v>
                      </c:pt>
                      <c:pt idx="312">
                        <c:v>685.53249066104672</c:v>
                      </c:pt>
                      <c:pt idx="313">
                        <c:v>685.53249066104672</c:v>
                      </c:pt>
                      <c:pt idx="314">
                        <c:v>685.53249066104672</c:v>
                      </c:pt>
                      <c:pt idx="315">
                        <c:v>685.53249066104672</c:v>
                      </c:pt>
                      <c:pt idx="316">
                        <c:v>685.53249066104672</c:v>
                      </c:pt>
                      <c:pt idx="317">
                        <c:v>685.53249066104672</c:v>
                      </c:pt>
                      <c:pt idx="318">
                        <c:v>599.43627194988017</c:v>
                      </c:pt>
                      <c:pt idx="319">
                        <c:v>814.11627194988023</c:v>
                      </c:pt>
                      <c:pt idx="320">
                        <c:v>814.11627194988023</c:v>
                      </c:pt>
                      <c:pt idx="321">
                        <c:v>804.91627194988018</c:v>
                      </c:pt>
                      <c:pt idx="322">
                        <c:v>869.71627194988037</c:v>
                      </c:pt>
                      <c:pt idx="323">
                        <c:v>640.46627194988037</c:v>
                      </c:pt>
                      <c:pt idx="324">
                        <c:v>640.46627194988037</c:v>
                      </c:pt>
                      <c:pt idx="325">
                        <c:v>690.46627194988037</c:v>
                      </c:pt>
                      <c:pt idx="326">
                        <c:v>690.46627194988037</c:v>
                      </c:pt>
                      <c:pt idx="327">
                        <c:v>686.86627194988023</c:v>
                      </c:pt>
                      <c:pt idx="328">
                        <c:v>659.41627194988018</c:v>
                      </c:pt>
                      <c:pt idx="329">
                        <c:v>659.41627194988018</c:v>
                      </c:pt>
                      <c:pt idx="330">
                        <c:v>659.41627194988018</c:v>
                      </c:pt>
                      <c:pt idx="331">
                        <c:v>730.45627194988015</c:v>
                      </c:pt>
                      <c:pt idx="332">
                        <c:v>846.73627194988012</c:v>
                      </c:pt>
                      <c:pt idx="333">
                        <c:v>906.13627194988021</c:v>
                      </c:pt>
                      <c:pt idx="334">
                        <c:v>906.13627194988021</c:v>
                      </c:pt>
                      <c:pt idx="335">
                        <c:v>962.59627194988025</c:v>
                      </c:pt>
                      <c:pt idx="336">
                        <c:v>956.35627194988024</c:v>
                      </c:pt>
                      <c:pt idx="337">
                        <c:v>956.35627194988024</c:v>
                      </c:pt>
                      <c:pt idx="338">
                        <c:v>956.35627194988024</c:v>
                      </c:pt>
                      <c:pt idx="339">
                        <c:v>892.09627194988025</c:v>
                      </c:pt>
                      <c:pt idx="340">
                        <c:v>768.40627194988019</c:v>
                      </c:pt>
                      <c:pt idx="341">
                        <c:v>768.40627194988019</c:v>
                      </c:pt>
                      <c:pt idx="342">
                        <c:v>768.40627194988019</c:v>
                      </c:pt>
                      <c:pt idx="343">
                        <c:v>759.08627194988026</c:v>
                      </c:pt>
                      <c:pt idx="344">
                        <c:v>631.52627194988031</c:v>
                      </c:pt>
                      <c:pt idx="345">
                        <c:v>631.52627194988031</c:v>
                      </c:pt>
                      <c:pt idx="346">
                        <c:v>631.52627194988031</c:v>
                      </c:pt>
                    </c:numCache>
                  </c:numRef>
                </c:val>
                <c:smooth val="0"/>
                <c:extLst xmlns:c15="http://schemas.microsoft.com/office/drawing/2012/chart">
                  <c:ext xmlns:c16="http://schemas.microsoft.com/office/drawing/2014/chart" uri="{C3380CC4-5D6E-409C-BE32-E72D297353CC}">
                    <c16:uniqueId val="{00000005-2E46-40D7-92F2-A6C06678F79C}"/>
                  </c:ext>
                </c:extLst>
              </c15:ser>
            </c15:filteredLineSeries>
            <c15:filteredLineSeries>
              <c15:ser>
                <c:idx val="6"/>
                <c:order val="6"/>
                <c:tx>
                  <c:v>Dwn (MOC)</c:v>
                </c:tx>
                <c:spPr>
                  <a:ln w="28575" cap="rnd">
                    <a:solidFill>
                      <a:schemeClr val="accent2">
                        <a:lumMod val="60000"/>
                        <a:lumOff val="40000"/>
                      </a:schemeClr>
                    </a:solidFill>
                    <a:prstDash val="sysDash"/>
                    <a:round/>
                  </a:ln>
                  <a:effectLst/>
                </c:spPr>
                <c:marker>
                  <c:symbol val="none"/>
                </c:marker>
                <c:val>
                  <c:numRef>
                    <c:extLst xmlns:c15="http://schemas.microsoft.com/office/drawing/2012/chart">
                      <c:ext xmlns:c15="http://schemas.microsoft.com/office/drawing/2012/chart" uri="{02D57815-91ED-43cb-92C2-25804820EDAC}">
                        <c15:formulaRef>
                          <c15:sqref>'2025-Q2'!$AZ$4:$AZ$350</c15:sqref>
                        </c15:formulaRef>
                      </c:ext>
                    </c:extLst>
                    <c:numCache>
                      <c:formatCode>"$"#,##0</c:formatCode>
                      <c:ptCount val="347"/>
                      <c:pt idx="0">
                        <c:v>-254.69999999999982</c:v>
                      </c:pt>
                      <c:pt idx="1">
                        <c:v>-262.79999999999973</c:v>
                      </c:pt>
                      <c:pt idx="2">
                        <c:v>-262.79999999999973</c:v>
                      </c:pt>
                      <c:pt idx="3">
                        <c:v>-262.79999999999973</c:v>
                      </c:pt>
                      <c:pt idx="4">
                        <c:v>-262.79999999999973</c:v>
                      </c:pt>
                      <c:pt idx="5">
                        <c:v>-262.79999999999973</c:v>
                      </c:pt>
                      <c:pt idx="6">
                        <c:v>-262.79999999999973</c:v>
                      </c:pt>
                      <c:pt idx="7">
                        <c:v>-262.79999999999973</c:v>
                      </c:pt>
                      <c:pt idx="8">
                        <c:v>-262.79999999999973</c:v>
                      </c:pt>
                      <c:pt idx="9">
                        <c:v>-266.68837290281726</c:v>
                      </c:pt>
                      <c:pt idx="10">
                        <c:v>-266.68837290281726</c:v>
                      </c:pt>
                      <c:pt idx="11">
                        <c:v>-266.68837290281726</c:v>
                      </c:pt>
                      <c:pt idx="12">
                        <c:v>-267.17837290281727</c:v>
                      </c:pt>
                      <c:pt idx="13">
                        <c:v>-267.17837290281727</c:v>
                      </c:pt>
                      <c:pt idx="14">
                        <c:v>-173.75837290281697</c:v>
                      </c:pt>
                      <c:pt idx="15">
                        <c:v>-173.75837290281697</c:v>
                      </c:pt>
                      <c:pt idx="16">
                        <c:v>-89.908372902816836</c:v>
                      </c:pt>
                      <c:pt idx="17">
                        <c:v>-65.608372902816654</c:v>
                      </c:pt>
                      <c:pt idx="18">
                        <c:v>-65.608372902816654</c:v>
                      </c:pt>
                      <c:pt idx="19">
                        <c:v>-65.608372902816654</c:v>
                      </c:pt>
                      <c:pt idx="20">
                        <c:v>-65.608372902816654</c:v>
                      </c:pt>
                      <c:pt idx="21">
                        <c:v>-65.608372902816654</c:v>
                      </c:pt>
                      <c:pt idx="22">
                        <c:v>-79.1383729028164</c:v>
                      </c:pt>
                      <c:pt idx="23">
                        <c:v>-79.1383729028164</c:v>
                      </c:pt>
                      <c:pt idx="24">
                        <c:v>-79.1383729028164</c:v>
                      </c:pt>
                      <c:pt idx="25">
                        <c:v>-79.1383729028164</c:v>
                      </c:pt>
                      <c:pt idx="26">
                        <c:v>-76.1383729028164</c:v>
                      </c:pt>
                      <c:pt idx="27">
                        <c:v>-110.1383729028164</c:v>
                      </c:pt>
                      <c:pt idx="28">
                        <c:v>-118.53837290281626</c:v>
                      </c:pt>
                      <c:pt idx="29">
                        <c:v>-118.53837290281626</c:v>
                      </c:pt>
                      <c:pt idx="30">
                        <c:v>-155.63837290281617</c:v>
                      </c:pt>
                      <c:pt idx="31">
                        <c:v>-148.13837290281617</c:v>
                      </c:pt>
                      <c:pt idx="32">
                        <c:v>-164.13837290281617</c:v>
                      </c:pt>
                      <c:pt idx="33">
                        <c:v>-164.13837290281617</c:v>
                      </c:pt>
                      <c:pt idx="34">
                        <c:v>-164.13837290281617</c:v>
                      </c:pt>
                      <c:pt idx="35">
                        <c:v>-164.13837290281617</c:v>
                      </c:pt>
                      <c:pt idx="36">
                        <c:v>-173.22837290281586</c:v>
                      </c:pt>
                      <c:pt idx="37">
                        <c:v>-173.22837290281586</c:v>
                      </c:pt>
                      <c:pt idx="38">
                        <c:v>-173.22837290281586</c:v>
                      </c:pt>
                      <c:pt idx="39">
                        <c:v>-173.22837290281586</c:v>
                      </c:pt>
                      <c:pt idx="40">
                        <c:v>-322.17837290281591</c:v>
                      </c:pt>
                      <c:pt idx="41">
                        <c:v>-353.47837290281609</c:v>
                      </c:pt>
                      <c:pt idx="42">
                        <c:v>-286.37837290281595</c:v>
                      </c:pt>
                      <c:pt idx="43">
                        <c:v>-286.37837290281595</c:v>
                      </c:pt>
                      <c:pt idx="44">
                        <c:v>-286.37837290281595</c:v>
                      </c:pt>
                      <c:pt idx="45">
                        <c:v>-286.37837290281595</c:v>
                      </c:pt>
                      <c:pt idx="46">
                        <c:v>-336.14837290281594</c:v>
                      </c:pt>
                      <c:pt idx="47">
                        <c:v>-336.14837290281594</c:v>
                      </c:pt>
                      <c:pt idx="48">
                        <c:v>-437.28837290281581</c:v>
                      </c:pt>
                      <c:pt idx="49">
                        <c:v>-437.28837290281581</c:v>
                      </c:pt>
                      <c:pt idx="50">
                        <c:v>-437.28837290281581</c:v>
                      </c:pt>
                      <c:pt idx="51">
                        <c:v>-437.28837290281581</c:v>
                      </c:pt>
                      <c:pt idx="52">
                        <c:v>-546.48837290281585</c:v>
                      </c:pt>
                      <c:pt idx="53">
                        <c:v>-546.48837290281585</c:v>
                      </c:pt>
                      <c:pt idx="54">
                        <c:v>-546.48837290281585</c:v>
                      </c:pt>
                      <c:pt idx="55">
                        <c:v>-539.5683729028159</c:v>
                      </c:pt>
                      <c:pt idx="56">
                        <c:v>-539.5683729028159</c:v>
                      </c:pt>
                      <c:pt idx="57">
                        <c:v>-414.9183729028158</c:v>
                      </c:pt>
                      <c:pt idx="58">
                        <c:v>-414.9183729028158</c:v>
                      </c:pt>
                      <c:pt idx="59">
                        <c:v>-414.9183729028158</c:v>
                      </c:pt>
                      <c:pt idx="60">
                        <c:v>-414.9183729028158</c:v>
                      </c:pt>
                      <c:pt idx="61">
                        <c:v>-414.9183729028158</c:v>
                      </c:pt>
                      <c:pt idx="62">
                        <c:v>-414.9183729028158</c:v>
                      </c:pt>
                      <c:pt idx="63">
                        <c:v>-414.9183729028158</c:v>
                      </c:pt>
                      <c:pt idx="64">
                        <c:v>-414.9183729028158</c:v>
                      </c:pt>
                      <c:pt idx="65">
                        <c:v>-414.9183729028158</c:v>
                      </c:pt>
                      <c:pt idx="66">
                        <c:v>-420.76837290281571</c:v>
                      </c:pt>
                      <c:pt idx="67">
                        <c:v>-414.58837290281565</c:v>
                      </c:pt>
                      <c:pt idx="68">
                        <c:v>-396.2683729028156</c:v>
                      </c:pt>
                      <c:pt idx="69">
                        <c:v>-396.2683729028156</c:v>
                      </c:pt>
                      <c:pt idx="70">
                        <c:v>-368.83837290281554</c:v>
                      </c:pt>
                      <c:pt idx="71">
                        <c:v>-368.83837290281554</c:v>
                      </c:pt>
                      <c:pt idx="72">
                        <c:v>-368.83837290281554</c:v>
                      </c:pt>
                      <c:pt idx="73">
                        <c:v>-368.83837290281554</c:v>
                      </c:pt>
                      <c:pt idx="74">
                        <c:v>-368.83837290281554</c:v>
                      </c:pt>
                      <c:pt idx="75">
                        <c:v>-368.83837290281554</c:v>
                      </c:pt>
                      <c:pt idx="76">
                        <c:v>-368.83837290281554</c:v>
                      </c:pt>
                      <c:pt idx="77">
                        <c:v>-368.83837290281554</c:v>
                      </c:pt>
                      <c:pt idx="78">
                        <c:v>-368.83837290281554</c:v>
                      </c:pt>
                      <c:pt idx="79">
                        <c:v>-423.9721716230016</c:v>
                      </c:pt>
                      <c:pt idx="80">
                        <c:v>-423.9721716230016</c:v>
                      </c:pt>
                      <c:pt idx="81">
                        <c:v>-480.01217162300156</c:v>
                      </c:pt>
                      <c:pt idx="82">
                        <c:v>-530.05217162300164</c:v>
                      </c:pt>
                      <c:pt idx="83">
                        <c:v>-530.05217162300164</c:v>
                      </c:pt>
                      <c:pt idx="84">
                        <c:v>-530.05217162300164</c:v>
                      </c:pt>
                      <c:pt idx="85">
                        <c:v>-591.05217162300175</c:v>
                      </c:pt>
                      <c:pt idx="86">
                        <c:v>-591.05217162300175</c:v>
                      </c:pt>
                      <c:pt idx="87">
                        <c:v>-613.15217162300189</c:v>
                      </c:pt>
                      <c:pt idx="88">
                        <c:v>-595.83217162300184</c:v>
                      </c:pt>
                      <c:pt idx="89">
                        <c:v>-595.83217162300184</c:v>
                      </c:pt>
                      <c:pt idx="90">
                        <c:v>-563.83217162300184</c:v>
                      </c:pt>
                      <c:pt idx="91">
                        <c:v>-555.85217162300182</c:v>
                      </c:pt>
                      <c:pt idx="92">
                        <c:v>-578.65217162300189</c:v>
                      </c:pt>
                      <c:pt idx="93">
                        <c:v>-578.65217162300189</c:v>
                      </c:pt>
                      <c:pt idx="94">
                        <c:v>-578.65217162300189</c:v>
                      </c:pt>
                      <c:pt idx="95">
                        <c:v>-589.652171623002</c:v>
                      </c:pt>
                      <c:pt idx="96">
                        <c:v>-547.95217162300207</c:v>
                      </c:pt>
                      <c:pt idx="97">
                        <c:v>-550.83217162300207</c:v>
                      </c:pt>
                      <c:pt idx="98">
                        <c:v>-588.98217162300205</c:v>
                      </c:pt>
                      <c:pt idx="99">
                        <c:v>-588.98217162300205</c:v>
                      </c:pt>
                      <c:pt idx="100">
                        <c:v>-711.86217162300204</c:v>
                      </c:pt>
                      <c:pt idx="101">
                        <c:v>-711.86217162300204</c:v>
                      </c:pt>
                      <c:pt idx="102">
                        <c:v>-711.86217162300204</c:v>
                      </c:pt>
                      <c:pt idx="103">
                        <c:v>-711.86217162300204</c:v>
                      </c:pt>
                      <c:pt idx="104">
                        <c:v>-711.86217162300204</c:v>
                      </c:pt>
                      <c:pt idx="105">
                        <c:v>-657.08217162300207</c:v>
                      </c:pt>
                      <c:pt idx="106">
                        <c:v>-657.08217162300207</c:v>
                      </c:pt>
                      <c:pt idx="107">
                        <c:v>-657.08217162300207</c:v>
                      </c:pt>
                      <c:pt idx="108">
                        <c:v>-657.08217162300207</c:v>
                      </c:pt>
                      <c:pt idx="109">
                        <c:v>-657.08217162300207</c:v>
                      </c:pt>
                      <c:pt idx="110">
                        <c:v>-646.83217162300218</c:v>
                      </c:pt>
                      <c:pt idx="111">
                        <c:v>-640.35217162300216</c:v>
                      </c:pt>
                      <c:pt idx="112">
                        <c:v>-640.35217162300216</c:v>
                      </c:pt>
                      <c:pt idx="113">
                        <c:v>-640.35217162300216</c:v>
                      </c:pt>
                      <c:pt idx="114">
                        <c:v>-640.35217162300216</c:v>
                      </c:pt>
                      <c:pt idx="115">
                        <c:v>-640.35217162300216</c:v>
                      </c:pt>
                      <c:pt idx="116">
                        <c:v>-643.20217162300207</c:v>
                      </c:pt>
                      <c:pt idx="117">
                        <c:v>-617.95161845366727</c:v>
                      </c:pt>
                      <c:pt idx="118">
                        <c:v>-617.95161845366727</c:v>
                      </c:pt>
                      <c:pt idx="119">
                        <c:v>-617.95161845366727</c:v>
                      </c:pt>
                      <c:pt idx="120">
                        <c:v>-637.75161845366745</c:v>
                      </c:pt>
                      <c:pt idx="121">
                        <c:v>-637.75161845366745</c:v>
                      </c:pt>
                      <c:pt idx="122">
                        <c:v>-637.75161845366745</c:v>
                      </c:pt>
                      <c:pt idx="123">
                        <c:v>-637.75161845366745</c:v>
                      </c:pt>
                      <c:pt idx="124">
                        <c:v>-569.65161845366742</c:v>
                      </c:pt>
                      <c:pt idx="125">
                        <c:v>-569.65161845366742</c:v>
                      </c:pt>
                      <c:pt idx="126">
                        <c:v>-569.65161845366742</c:v>
                      </c:pt>
                      <c:pt idx="127">
                        <c:v>-617.44161845366739</c:v>
                      </c:pt>
                      <c:pt idx="128">
                        <c:v>-617.44161845366739</c:v>
                      </c:pt>
                      <c:pt idx="129">
                        <c:v>-653.28161845366731</c:v>
                      </c:pt>
                      <c:pt idx="130">
                        <c:v>-653.28161845366731</c:v>
                      </c:pt>
                      <c:pt idx="131">
                        <c:v>-678.06161845366728</c:v>
                      </c:pt>
                      <c:pt idx="132">
                        <c:v>-678.06161845366728</c:v>
                      </c:pt>
                      <c:pt idx="133">
                        <c:v>-660.56161845366728</c:v>
                      </c:pt>
                      <c:pt idx="134">
                        <c:v>-658.04161845366718</c:v>
                      </c:pt>
                      <c:pt idx="135">
                        <c:v>-666.32161845366716</c:v>
                      </c:pt>
                      <c:pt idx="136">
                        <c:v>-662.72161845366713</c:v>
                      </c:pt>
                      <c:pt idx="137">
                        <c:v>-662.72161845366713</c:v>
                      </c:pt>
                      <c:pt idx="138">
                        <c:v>-694.54161845366707</c:v>
                      </c:pt>
                      <c:pt idx="139">
                        <c:v>-663.04161845366696</c:v>
                      </c:pt>
                      <c:pt idx="140">
                        <c:v>-663.04161845366696</c:v>
                      </c:pt>
                      <c:pt idx="141">
                        <c:v>-694.56161845366694</c:v>
                      </c:pt>
                      <c:pt idx="142">
                        <c:v>-744.80161845366695</c:v>
                      </c:pt>
                      <c:pt idx="143">
                        <c:v>-767.04161845366673</c:v>
                      </c:pt>
                      <c:pt idx="144">
                        <c:v>-769.08161845366681</c:v>
                      </c:pt>
                      <c:pt idx="145">
                        <c:v>-685.18161845366672</c:v>
                      </c:pt>
                      <c:pt idx="146">
                        <c:v>-709.48161845366667</c:v>
                      </c:pt>
                      <c:pt idx="147">
                        <c:v>-763.63161845366676</c:v>
                      </c:pt>
                      <c:pt idx="148">
                        <c:v>-763.63161845366676</c:v>
                      </c:pt>
                      <c:pt idx="149">
                        <c:v>-763.63161845366676</c:v>
                      </c:pt>
                      <c:pt idx="150">
                        <c:v>-763.63161845366676</c:v>
                      </c:pt>
                      <c:pt idx="151">
                        <c:v>-763.63161845366676</c:v>
                      </c:pt>
                      <c:pt idx="152">
                        <c:v>-639.33161845366681</c:v>
                      </c:pt>
                      <c:pt idx="153">
                        <c:v>-639.33161845366681</c:v>
                      </c:pt>
                      <c:pt idx="154">
                        <c:v>-639.33161845366681</c:v>
                      </c:pt>
                      <c:pt idx="155">
                        <c:v>-639.33161845366681</c:v>
                      </c:pt>
                      <c:pt idx="156">
                        <c:v>-547.97161845366668</c:v>
                      </c:pt>
                      <c:pt idx="157">
                        <c:v>-547.97161845366668</c:v>
                      </c:pt>
                      <c:pt idx="158">
                        <c:v>-547.97161845366668</c:v>
                      </c:pt>
                      <c:pt idx="159">
                        <c:v>-547.97161845366668</c:v>
                      </c:pt>
                      <c:pt idx="160">
                        <c:v>-547.97161845366668</c:v>
                      </c:pt>
                      <c:pt idx="161">
                        <c:v>-547.97161845366668</c:v>
                      </c:pt>
                      <c:pt idx="162">
                        <c:v>-520.05161845366683</c:v>
                      </c:pt>
                      <c:pt idx="163">
                        <c:v>-601.05161845366695</c:v>
                      </c:pt>
                      <c:pt idx="164">
                        <c:v>-601.05161845366695</c:v>
                      </c:pt>
                      <c:pt idx="165">
                        <c:v>-601.05161845366695</c:v>
                      </c:pt>
                      <c:pt idx="166">
                        <c:v>-601.05161845366695</c:v>
                      </c:pt>
                      <c:pt idx="167">
                        <c:v>-601.05161845366695</c:v>
                      </c:pt>
                      <c:pt idx="168">
                        <c:v>-560.1016184536669</c:v>
                      </c:pt>
                      <c:pt idx="169">
                        <c:v>-560.1016184536669</c:v>
                      </c:pt>
                      <c:pt idx="170">
                        <c:v>-570.36161845366701</c:v>
                      </c:pt>
                      <c:pt idx="171">
                        <c:v>-570.36161845366701</c:v>
                      </c:pt>
                      <c:pt idx="172">
                        <c:v>-550.52161845366709</c:v>
                      </c:pt>
                      <c:pt idx="173">
                        <c:v>-550.52161845366709</c:v>
                      </c:pt>
                      <c:pt idx="174">
                        <c:v>-469.5216184536672</c:v>
                      </c:pt>
                      <c:pt idx="175">
                        <c:v>-469.5216184536672</c:v>
                      </c:pt>
                      <c:pt idx="176">
                        <c:v>-458.74161845366723</c:v>
                      </c:pt>
                      <c:pt idx="177">
                        <c:v>-458.74161845366723</c:v>
                      </c:pt>
                      <c:pt idx="178">
                        <c:v>-472.52161845366743</c:v>
                      </c:pt>
                      <c:pt idx="179">
                        <c:v>-378.83161845366737</c:v>
                      </c:pt>
                      <c:pt idx="180">
                        <c:v>-378.83161845366737</c:v>
                      </c:pt>
                      <c:pt idx="181">
                        <c:v>-378.83161845366737</c:v>
                      </c:pt>
                      <c:pt idx="182">
                        <c:v>-378.83161845366737</c:v>
                      </c:pt>
                      <c:pt idx="183">
                        <c:v>-378.83161845366737</c:v>
                      </c:pt>
                      <c:pt idx="184">
                        <c:v>-399.47161845366725</c:v>
                      </c:pt>
                      <c:pt idx="185">
                        <c:v>-378.47161845366702</c:v>
                      </c:pt>
                      <c:pt idx="186">
                        <c:v>-386.97161845366702</c:v>
                      </c:pt>
                      <c:pt idx="187">
                        <c:v>-386.97161845366702</c:v>
                      </c:pt>
                      <c:pt idx="188">
                        <c:v>-280.97161845366702</c:v>
                      </c:pt>
                      <c:pt idx="189">
                        <c:v>-286.97161845366679</c:v>
                      </c:pt>
                      <c:pt idx="190">
                        <c:v>-286.97161845366679</c:v>
                      </c:pt>
                      <c:pt idx="191">
                        <c:v>-302.37161845366688</c:v>
                      </c:pt>
                      <c:pt idx="192">
                        <c:v>-302.37161845366688</c:v>
                      </c:pt>
                      <c:pt idx="193">
                        <c:v>-101.3516184536669</c:v>
                      </c:pt>
                      <c:pt idx="194">
                        <c:v>-110.31161845366694</c:v>
                      </c:pt>
                      <c:pt idx="195">
                        <c:v>-110.31161845366694</c:v>
                      </c:pt>
                      <c:pt idx="196">
                        <c:v>-110.31161845366694</c:v>
                      </c:pt>
                      <c:pt idx="197">
                        <c:v>-70.011618453666983</c:v>
                      </c:pt>
                      <c:pt idx="198">
                        <c:v>-68.661618453667074</c:v>
                      </c:pt>
                      <c:pt idx="199">
                        <c:v>-72.941618453667274</c:v>
                      </c:pt>
                      <c:pt idx="200">
                        <c:v>-72.941618453667274</c:v>
                      </c:pt>
                      <c:pt idx="201">
                        <c:v>-26.381618453667329</c:v>
                      </c:pt>
                      <c:pt idx="202">
                        <c:v>-26.381618453667329</c:v>
                      </c:pt>
                      <c:pt idx="203">
                        <c:v>-26.381618453667329</c:v>
                      </c:pt>
                      <c:pt idx="204">
                        <c:v>-26.381618453667329</c:v>
                      </c:pt>
                      <c:pt idx="205">
                        <c:v>-26.381618453667329</c:v>
                      </c:pt>
                      <c:pt idx="206">
                        <c:v>-26.381618453667329</c:v>
                      </c:pt>
                      <c:pt idx="207">
                        <c:v>-28.36161845366712</c:v>
                      </c:pt>
                      <c:pt idx="208">
                        <c:v>-28.36161845366712</c:v>
                      </c:pt>
                      <c:pt idx="209">
                        <c:v>-6.9616184536670289</c:v>
                      </c:pt>
                      <c:pt idx="210">
                        <c:v>-6.9616184536670289</c:v>
                      </c:pt>
                      <c:pt idx="211">
                        <c:v>-6.9616184536670289</c:v>
                      </c:pt>
                      <c:pt idx="212">
                        <c:v>-6.9616184536670289</c:v>
                      </c:pt>
                      <c:pt idx="213">
                        <c:v>36.368381546332898</c:v>
                      </c:pt>
                      <c:pt idx="214">
                        <c:v>38.368381546332898</c:v>
                      </c:pt>
                      <c:pt idx="215">
                        <c:v>-92.311618453666938</c:v>
                      </c:pt>
                      <c:pt idx="216">
                        <c:v>-92.311618453666938</c:v>
                      </c:pt>
                      <c:pt idx="217">
                        <c:v>-92.311618453666938</c:v>
                      </c:pt>
                      <c:pt idx="218">
                        <c:v>-74.811618453666938</c:v>
                      </c:pt>
                      <c:pt idx="219">
                        <c:v>-74.811618453666938</c:v>
                      </c:pt>
                      <c:pt idx="220">
                        <c:v>-5.5116184536669834</c:v>
                      </c:pt>
                      <c:pt idx="221">
                        <c:v>-5.5116184536669834</c:v>
                      </c:pt>
                      <c:pt idx="222">
                        <c:v>54.408381546332862</c:v>
                      </c:pt>
                      <c:pt idx="223">
                        <c:v>54.408381546332862</c:v>
                      </c:pt>
                      <c:pt idx="224">
                        <c:v>54.408381546332862</c:v>
                      </c:pt>
                      <c:pt idx="225">
                        <c:v>24.88838154633288</c:v>
                      </c:pt>
                      <c:pt idx="226">
                        <c:v>24.88838154633288</c:v>
                      </c:pt>
                      <c:pt idx="227">
                        <c:v>44.248381546333007</c:v>
                      </c:pt>
                      <c:pt idx="228">
                        <c:v>44.248381546333007</c:v>
                      </c:pt>
                      <c:pt idx="229">
                        <c:v>44.248381546333007</c:v>
                      </c:pt>
                      <c:pt idx="230">
                        <c:v>63.898381546332871</c:v>
                      </c:pt>
                      <c:pt idx="231">
                        <c:v>63.898381546332871</c:v>
                      </c:pt>
                      <c:pt idx="232">
                        <c:v>63.898381546332871</c:v>
                      </c:pt>
                      <c:pt idx="233">
                        <c:v>63.898381546332871</c:v>
                      </c:pt>
                      <c:pt idx="234">
                        <c:v>126.29838154633296</c:v>
                      </c:pt>
                      <c:pt idx="235">
                        <c:v>82.868381546332898</c:v>
                      </c:pt>
                      <c:pt idx="236">
                        <c:v>168.66838154633285</c:v>
                      </c:pt>
                      <c:pt idx="237">
                        <c:v>168.66838154633285</c:v>
                      </c:pt>
                      <c:pt idx="238">
                        <c:v>168.66838154633285</c:v>
                      </c:pt>
                      <c:pt idx="239">
                        <c:v>168.66838154633285</c:v>
                      </c:pt>
                      <c:pt idx="240">
                        <c:v>168.66838154633285</c:v>
                      </c:pt>
                      <c:pt idx="241">
                        <c:v>347.91838154633274</c:v>
                      </c:pt>
                      <c:pt idx="242">
                        <c:v>347.91838154633274</c:v>
                      </c:pt>
                      <c:pt idx="243">
                        <c:v>336.66838154633274</c:v>
                      </c:pt>
                      <c:pt idx="244">
                        <c:v>336.66838154633274</c:v>
                      </c:pt>
                      <c:pt idx="245">
                        <c:v>342.51838154633288</c:v>
                      </c:pt>
                      <c:pt idx="246">
                        <c:v>338.21838154633292</c:v>
                      </c:pt>
                      <c:pt idx="247">
                        <c:v>315.81838154633283</c:v>
                      </c:pt>
                      <c:pt idx="248">
                        <c:v>280.51838154633288</c:v>
                      </c:pt>
                      <c:pt idx="249">
                        <c:v>201.31838154633283</c:v>
                      </c:pt>
                      <c:pt idx="250">
                        <c:v>344.11838154633278</c:v>
                      </c:pt>
                      <c:pt idx="251">
                        <c:v>344.11838154633278</c:v>
                      </c:pt>
                      <c:pt idx="252">
                        <c:v>344.11838154633278</c:v>
                      </c:pt>
                      <c:pt idx="253">
                        <c:v>438.61838154633278</c:v>
                      </c:pt>
                      <c:pt idx="254">
                        <c:v>415.57838154633259</c:v>
                      </c:pt>
                      <c:pt idx="255">
                        <c:v>442.29838154633239</c:v>
                      </c:pt>
                      <c:pt idx="256">
                        <c:v>442.29838154633239</c:v>
                      </c:pt>
                      <c:pt idx="257">
                        <c:v>442.29838154633239</c:v>
                      </c:pt>
                      <c:pt idx="258">
                        <c:v>442.29838154633239</c:v>
                      </c:pt>
                      <c:pt idx="259">
                        <c:v>356.69838154633248</c:v>
                      </c:pt>
                      <c:pt idx="260">
                        <c:v>338.87838154633255</c:v>
                      </c:pt>
                      <c:pt idx="261">
                        <c:v>319.19838154633248</c:v>
                      </c:pt>
                      <c:pt idx="262">
                        <c:v>361.89838154633276</c:v>
                      </c:pt>
                      <c:pt idx="263">
                        <c:v>361.89838154633276</c:v>
                      </c:pt>
                      <c:pt idx="264">
                        <c:v>365.63838154633277</c:v>
                      </c:pt>
                      <c:pt idx="265">
                        <c:v>311.15838154633275</c:v>
                      </c:pt>
                      <c:pt idx="266">
                        <c:v>311.15838154633275</c:v>
                      </c:pt>
                      <c:pt idx="267">
                        <c:v>310.73838154633268</c:v>
                      </c:pt>
                      <c:pt idx="268">
                        <c:v>300.97838154633268</c:v>
                      </c:pt>
                      <c:pt idx="269">
                        <c:v>365.41838154633274</c:v>
                      </c:pt>
                      <c:pt idx="270">
                        <c:v>393.49838154633267</c:v>
                      </c:pt>
                      <c:pt idx="271">
                        <c:v>450.82838154633259</c:v>
                      </c:pt>
                      <c:pt idx="272">
                        <c:v>447.22838154633268</c:v>
                      </c:pt>
                      <c:pt idx="273">
                        <c:v>447.22838154633268</c:v>
                      </c:pt>
                      <c:pt idx="274">
                        <c:v>421.97838154633268</c:v>
                      </c:pt>
                      <c:pt idx="275">
                        <c:v>506.12838154633255</c:v>
                      </c:pt>
                      <c:pt idx="276">
                        <c:v>485.24838154633267</c:v>
                      </c:pt>
                      <c:pt idx="277">
                        <c:v>485.24838154633267</c:v>
                      </c:pt>
                      <c:pt idx="278">
                        <c:v>560.64838154633253</c:v>
                      </c:pt>
                      <c:pt idx="279">
                        <c:v>580.64838154633253</c:v>
                      </c:pt>
                      <c:pt idx="280">
                        <c:v>580.64838154633253</c:v>
                      </c:pt>
                      <c:pt idx="281">
                        <c:v>580.64838154633253</c:v>
                      </c:pt>
                      <c:pt idx="282">
                        <c:v>582.84838154633258</c:v>
                      </c:pt>
                      <c:pt idx="283">
                        <c:v>512.14838154633276</c:v>
                      </c:pt>
                      <c:pt idx="284">
                        <c:v>512.14838154633276</c:v>
                      </c:pt>
                      <c:pt idx="285">
                        <c:v>416.74838154633267</c:v>
                      </c:pt>
                      <c:pt idx="286">
                        <c:v>416.74838154633267</c:v>
                      </c:pt>
                      <c:pt idx="287">
                        <c:v>335.61838154633256</c:v>
                      </c:pt>
                      <c:pt idx="288">
                        <c:v>335.61838154633256</c:v>
                      </c:pt>
                      <c:pt idx="289">
                        <c:v>369.51838154633242</c:v>
                      </c:pt>
                      <c:pt idx="290">
                        <c:v>369.51838154633242</c:v>
                      </c:pt>
                      <c:pt idx="291">
                        <c:v>444.51838154633242</c:v>
                      </c:pt>
                      <c:pt idx="292">
                        <c:v>418.76838154633242</c:v>
                      </c:pt>
                      <c:pt idx="293">
                        <c:v>418.76838154633242</c:v>
                      </c:pt>
                      <c:pt idx="294">
                        <c:v>289.80838154633238</c:v>
                      </c:pt>
                      <c:pt idx="295">
                        <c:v>289.80838154633238</c:v>
                      </c:pt>
                      <c:pt idx="296">
                        <c:v>261.31838154633238</c:v>
                      </c:pt>
                      <c:pt idx="297">
                        <c:v>261.31838154633238</c:v>
                      </c:pt>
                      <c:pt idx="298">
                        <c:v>210.11838154633233</c:v>
                      </c:pt>
                      <c:pt idx="299">
                        <c:v>210.11838154633233</c:v>
                      </c:pt>
                      <c:pt idx="300">
                        <c:v>210.11838154633233</c:v>
                      </c:pt>
                      <c:pt idx="301">
                        <c:v>210.11838154633233</c:v>
                      </c:pt>
                      <c:pt idx="302">
                        <c:v>202.73838154633222</c:v>
                      </c:pt>
                      <c:pt idx="303">
                        <c:v>202.73838154633222</c:v>
                      </c:pt>
                      <c:pt idx="304">
                        <c:v>202.73838154633222</c:v>
                      </c:pt>
                      <c:pt idx="305">
                        <c:v>202.73838154633222</c:v>
                      </c:pt>
                      <c:pt idx="306">
                        <c:v>202.73838154633222</c:v>
                      </c:pt>
                      <c:pt idx="307">
                        <c:v>202.73838154633222</c:v>
                      </c:pt>
                      <c:pt idx="308">
                        <c:v>225.07719317717942</c:v>
                      </c:pt>
                      <c:pt idx="309">
                        <c:v>225.07719317717942</c:v>
                      </c:pt>
                      <c:pt idx="310">
                        <c:v>341.47719317717952</c:v>
                      </c:pt>
                      <c:pt idx="311">
                        <c:v>395.65719317717958</c:v>
                      </c:pt>
                      <c:pt idx="312">
                        <c:v>379.00719317717949</c:v>
                      </c:pt>
                      <c:pt idx="313">
                        <c:v>379.00719317717949</c:v>
                      </c:pt>
                      <c:pt idx="314">
                        <c:v>325.10719317717951</c:v>
                      </c:pt>
                      <c:pt idx="315">
                        <c:v>268.85719317717951</c:v>
                      </c:pt>
                      <c:pt idx="316">
                        <c:v>268.85719317717951</c:v>
                      </c:pt>
                      <c:pt idx="317">
                        <c:v>268.85719317717951</c:v>
                      </c:pt>
                      <c:pt idx="318">
                        <c:v>268.85719317717951</c:v>
                      </c:pt>
                      <c:pt idx="319">
                        <c:v>268.85719317717951</c:v>
                      </c:pt>
                      <c:pt idx="320">
                        <c:v>397.51719317717937</c:v>
                      </c:pt>
                      <c:pt idx="321">
                        <c:v>397.51719317717937</c:v>
                      </c:pt>
                      <c:pt idx="322">
                        <c:v>397.51719317717937</c:v>
                      </c:pt>
                      <c:pt idx="323">
                        <c:v>397.51719317717937</c:v>
                      </c:pt>
                      <c:pt idx="324">
                        <c:v>248.95719317717942</c:v>
                      </c:pt>
                      <c:pt idx="325">
                        <c:v>248.95719317717942</c:v>
                      </c:pt>
                      <c:pt idx="326">
                        <c:v>113.20719317717942</c:v>
                      </c:pt>
                      <c:pt idx="327">
                        <c:v>113.20719317717942</c:v>
                      </c:pt>
                      <c:pt idx="328">
                        <c:v>113.20719317717942</c:v>
                      </c:pt>
                      <c:pt idx="329">
                        <c:v>113.20719317717942</c:v>
                      </c:pt>
                      <c:pt idx="330">
                        <c:v>274.15719317717947</c:v>
                      </c:pt>
                      <c:pt idx="331">
                        <c:v>274.15719317717947</c:v>
                      </c:pt>
                      <c:pt idx="332">
                        <c:v>274.15719317717947</c:v>
                      </c:pt>
                      <c:pt idx="333">
                        <c:v>274.15719317717947</c:v>
                      </c:pt>
                      <c:pt idx="334">
                        <c:v>274.15719317717947</c:v>
                      </c:pt>
                      <c:pt idx="335">
                        <c:v>274.15719317717947</c:v>
                      </c:pt>
                      <c:pt idx="336">
                        <c:v>274.15719317717947</c:v>
                      </c:pt>
                      <c:pt idx="337">
                        <c:v>315.55719317717956</c:v>
                      </c:pt>
                      <c:pt idx="338">
                        <c:v>315.55719317717956</c:v>
                      </c:pt>
                      <c:pt idx="339">
                        <c:v>315.55719317717956</c:v>
                      </c:pt>
                      <c:pt idx="340">
                        <c:v>315.55719317717956</c:v>
                      </c:pt>
                      <c:pt idx="341">
                        <c:v>315.55719317717956</c:v>
                      </c:pt>
                      <c:pt idx="342">
                        <c:v>298.75719317717983</c:v>
                      </c:pt>
                      <c:pt idx="343">
                        <c:v>298.75719317717983</c:v>
                      </c:pt>
                      <c:pt idx="344">
                        <c:v>298.75719317717983</c:v>
                      </c:pt>
                      <c:pt idx="345">
                        <c:v>298.75719317717983</c:v>
                      </c:pt>
                      <c:pt idx="346">
                        <c:v>305.25719317717983</c:v>
                      </c:pt>
                    </c:numCache>
                  </c:numRef>
                </c:val>
                <c:smooth val="0"/>
                <c:extLst xmlns:c15="http://schemas.microsoft.com/office/drawing/2012/chart">
                  <c:ext xmlns:c16="http://schemas.microsoft.com/office/drawing/2014/chart" uri="{C3380CC4-5D6E-409C-BE32-E72D297353CC}">
                    <c16:uniqueId val="{00000006-2E46-40D7-92F2-A6C06678F79C}"/>
                  </c:ext>
                </c:extLst>
              </c15:ser>
            </c15:filteredLineSeries>
          </c:ext>
        </c:extLst>
      </c:lineChart>
      <c:catAx>
        <c:axId val="147683023"/>
        <c:scaling>
          <c:orientation val="minMax"/>
        </c:scaling>
        <c:delete val="0"/>
        <c:axPos val="b"/>
        <c:majorGridlines>
          <c:spPr>
            <a:ln w="9525" cap="flat" cmpd="sng" algn="ctr">
              <a:solidFill>
                <a:schemeClr val="tx1">
                  <a:lumMod val="75000"/>
                  <a:lumOff val="25000"/>
                </a:schemeClr>
              </a:solidFill>
              <a:prstDash val="dash"/>
              <a:round/>
            </a:ln>
            <a:effectLst/>
          </c:spPr>
        </c:majorGridlines>
        <c:majorTickMark val="none"/>
        <c:minorTickMark val="none"/>
        <c:tickLblPos val="low"/>
        <c:spPr>
          <a:noFill/>
          <a:ln w="12700" cap="flat" cmpd="sng" algn="ctr">
            <a:solidFill>
              <a:sysClr val="windowText" lastClr="000000"/>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6645279"/>
        <c:crosses val="autoZero"/>
        <c:auto val="1"/>
        <c:lblAlgn val="ctr"/>
        <c:lblOffset val="100"/>
        <c:tickLblSkip val="25"/>
        <c:tickMarkSkip val="25"/>
        <c:noMultiLvlLbl val="0"/>
      </c:catAx>
      <c:valAx>
        <c:axId val="146645279"/>
        <c:scaling>
          <c:orientation val="minMax"/>
          <c:max val="10"/>
          <c:min val="-5"/>
        </c:scaling>
        <c:delete val="0"/>
        <c:axPos val="r"/>
        <c:majorGridlines>
          <c:spPr>
            <a:ln w="9525" cap="flat" cmpd="sng" algn="ctr">
              <a:solidFill>
                <a:schemeClr val="tx1">
                  <a:lumMod val="75000"/>
                  <a:lumOff val="25000"/>
                </a:schemeClr>
              </a:solidFill>
              <a:prstDash val="dash"/>
              <a:round/>
            </a:ln>
            <a:effectLst/>
          </c:spPr>
        </c:majorGridlines>
        <c:numFmt formatCode="0" sourceLinked="0"/>
        <c:majorTickMark val="none"/>
        <c:minorTickMark val="none"/>
        <c:tickLblPos val="high"/>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7683023"/>
        <c:crosses val="max"/>
        <c:crossBetween val="between"/>
      </c:valAx>
      <c:spPr>
        <a:solidFill>
          <a:schemeClr val="tx1">
            <a:lumMod val="65000"/>
            <a:lumOff val="35000"/>
          </a:schemeClr>
        </a:solidFill>
        <a:ln>
          <a:solidFill>
            <a:sysClr val="windowText" lastClr="000000"/>
          </a:solidFill>
        </a:ln>
        <a:effectLst/>
      </c:spPr>
    </c:plotArea>
    <c:legend>
      <c:legendPos val="t"/>
      <c:layout>
        <c:manualLayout>
          <c:xMode val="edge"/>
          <c:yMode val="edge"/>
          <c:x val="0.39634286005511454"/>
          <c:y val="1.2316999395039325E-2"/>
          <c:w val="0.57612618810998151"/>
          <c:h val="4.9614968727820091E-2"/>
        </c:manualLayout>
      </c:layout>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legend>
    <c:plotVisOnly val="0"/>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accent3">
                    <a:lumMod val="75000"/>
                  </a:schemeClr>
                </a:solidFill>
                <a:latin typeface="+mn-lt"/>
                <a:ea typeface="+mn-ea"/>
                <a:cs typeface="+mn-cs"/>
              </a:defRPr>
            </a:pPr>
            <a:r>
              <a:rPr lang="en-US" sz="2000" b="1">
                <a:solidFill>
                  <a:schemeClr val="accent3">
                    <a:lumMod val="75000"/>
                  </a:schemeClr>
                </a:solidFill>
              </a:rPr>
              <a:t>The Three Tiers (XLU)</a:t>
            </a:r>
          </a:p>
        </c:rich>
      </c:tx>
      <c:layout>
        <c:manualLayout>
          <c:xMode val="edge"/>
          <c:yMode val="edge"/>
          <c:x val="2.8694404591104734E-2"/>
          <c:y val="2.4198427102238356E-3"/>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accent3">
                  <a:lumMod val="75000"/>
                </a:schemeClr>
              </a:solidFill>
              <a:latin typeface="+mn-lt"/>
              <a:ea typeface="+mn-ea"/>
              <a:cs typeface="+mn-cs"/>
            </a:defRPr>
          </a:pPr>
          <a:endParaRPr lang="en-US"/>
        </a:p>
      </c:txPr>
    </c:title>
    <c:autoTitleDeleted val="0"/>
    <c:plotArea>
      <c:layout>
        <c:manualLayout>
          <c:layoutTarget val="inner"/>
          <c:xMode val="edge"/>
          <c:yMode val="edge"/>
          <c:x val="1.0171058714748035E-2"/>
          <c:y val="7.7350558040499021E-2"/>
          <c:w val="0.95283482768537431"/>
          <c:h val="0.86018548951798435"/>
        </c:manualLayout>
      </c:layout>
      <c:lineChart>
        <c:grouping val="standard"/>
        <c:varyColors val="0"/>
        <c:ser>
          <c:idx val="0"/>
          <c:order val="0"/>
          <c:tx>
            <c:v>Up</c:v>
          </c:tx>
          <c:spPr>
            <a:ln w="28575" cap="rnd">
              <a:solidFill>
                <a:schemeClr val="accent6">
                  <a:lumMod val="75000"/>
                </a:schemeClr>
              </a:solidFill>
              <a:prstDash val="solid"/>
              <a:round/>
            </a:ln>
            <a:effectLst/>
          </c:spPr>
          <c:marker>
            <c:symbol val="none"/>
          </c:marker>
          <c:val>
            <c:numRef>
              <c:f>'2025-Q2'!$FI$4:$FI$422</c:f>
              <c:numCache>
                <c:formatCode>0.00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numCache>
            </c:numRef>
          </c:val>
          <c:smooth val="1"/>
          <c:extLst>
            <c:ext xmlns:c16="http://schemas.microsoft.com/office/drawing/2014/chart" uri="{C3380CC4-5D6E-409C-BE32-E72D297353CC}">
              <c16:uniqueId val="{00000000-25A9-4B4A-8343-57270F941044}"/>
            </c:ext>
          </c:extLst>
        </c:ser>
        <c:ser>
          <c:idx val="1"/>
          <c:order val="2"/>
          <c:tx>
            <c:v>Dwn</c:v>
          </c:tx>
          <c:spPr>
            <a:ln w="28575" cap="rnd">
              <a:solidFill>
                <a:schemeClr val="accent2"/>
              </a:solidFill>
              <a:prstDash val="solid"/>
              <a:round/>
            </a:ln>
            <a:effectLst/>
          </c:spPr>
          <c:marker>
            <c:symbol val="none"/>
          </c:marker>
          <c:val>
            <c:numRef>
              <c:f>'2025-Q2'!$FK$4:$FK$422</c:f>
              <c:numCache>
                <c:formatCode>0.00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numCache>
            </c:numRef>
          </c:val>
          <c:smooth val="1"/>
          <c:extLst>
            <c:ext xmlns:c16="http://schemas.microsoft.com/office/drawing/2014/chart" uri="{C3380CC4-5D6E-409C-BE32-E72D297353CC}">
              <c16:uniqueId val="{00000001-25A9-4B4A-8343-57270F941044}"/>
            </c:ext>
          </c:extLst>
        </c:ser>
        <c:ser>
          <c:idx val="2"/>
          <c:order val="3"/>
          <c:tx>
            <c:v>SW</c:v>
          </c:tx>
          <c:spPr>
            <a:ln w="28575" cap="rnd">
              <a:solidFill>
                <a:srgbClr val="0070C0"/>
              </a:solidFill>
              <a:prstDash val="solid"/>
              <a:round/>
            </a:ln>
            <a:effectLst/>
          </c:spPr>
          <c:marker>
            <c:symbol val="none"/>
          </c:marker>
          <c:val>
            <c:numRef>
              <c:f>'2025-Q2'!$FM$4:$FM$422</c:f>
              <c:numCache>
                <c:formatCode>0.00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numCache>
            </c:numRef>
          </c:val>
          <c:smooth val="1"/>
          <c:extLst>
            <c:ext xmlns:c16="http://schemas.microsoft.com/office/drawing/2014/chart" uri="{C3380CC4-5D6E-409C-BE32-E72D297353CC}">
              <c16:uniqueId val="{00000002-25A9-4B4A-8343-57270F941044}"/>
            </c:ext>
          </c:extLst>
        </c:ser>
        <c:ser>
          <c:idx val="3"/>
          <c:order val="5"/>
          <c:tx>
            <c:v>All Three</c:v>
          </c:tx>
          <c:spPr>
            <a:ln w="38100" cap="rnd">
              <a:solidFill>
                <a:sysClr val="windowText" lastClr="000000"/>
              </a:solidFill>
              <a:round/>
            </a:ln>
            <a:effectLst/>
          </c:spPr>
          <c:marker>
            <c:symbol val="none"/>
          </c:marker>
          <c:val>
            <c:numRef>
              <c:f>'2025-Q2'!$FN$4:$FN$422</c:f>
              <c:numCache>
                <c:formatCode>0.00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numCache>
            </c:numRef>
          </c:val>
          <c:smooth val="1"/>
          <c:extLst>
            <c:ext xmlns:c16="http://schemas.microsoft.com/office/drawing/2014/chart" uri="{C3380CC4-5D6E-409C-BE32-E72D297353CC}">
              <c16:uniqueId val="{00000003-25A9-4B4A-8343-57270F941044}"/>
            </c:ext>
          </c:extLst>
        </c:ser>
        <c:dLbls>
          <c:showLegendKey val="0"/>
          <c:showVal val="0"/>
          <c:showCatName val="0"/>
          <c:showSerName val="0"/>
          <c:showPercent val="0"/>
          <c:showBubbleSize val="0"/>
        </c:dLbls>
        <c:smooth val="0"/>
        <c:axId val="147683023"/>
        <c:axId val="146645279"/>
        <c:extLst>
          <c:ext xmlns:c15="http://schemas.microsoft.com/office/drawing/2012/chart" uri="{02D57815-91ED-43cb-92C2-25804820EDAC}">
            <c15:filteredLineSeries>
              <c15:ser>
                <c:idx val="5"/>
                <c:order val="1"/>
                <c:tx>
                  <c:v>Up (MOC)</c:v>
                </c:tx>
                <c:spPr>
                  <a:ln w="28575" cap="rnd">
                    <a:solidFill>
                      <a:schemeClr val="accent6"/>
                    </a:solidFill>
                    <a:prstDash val="sysDash"/>
                    <a:round/>
                  </a:ln>
                  <a:effectLst/>
                </c:spPr>
                <c:marker>
                  <c:symbol val="none"/>
                </c:marker>
                <c:val>
                  <c:numRef>
                    <c:extLst>
                      <c:ext uri="{02D57815-91ED-43cb-92C2-25804820EDAC}">
                        <c15:formulaRef>
                          <c15:sqref>'2025-Q2'!$AX$4:$AX$350</c15:sqref>
                        </c15:formulaRef>
                      </c:ext>
                    </c:extLst>
                    <c:numCache>
                      <c:formatCode>"$"#,##0</c:formatCode>
                      <c:ptCount val="34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59.839999999999918</c:v>
                      </c:pt>
                      <c:pt idx="40">
                        <c:v>59.839999999999918</c:v>
                      </c:pt>
                      <c:pt idx="41">
                        <c:v>59.839999999999918</c:v>
                      </c:pt>
                      <c:pt idx="42">
                        <c:v>59.839999999999918</c:v>
                      </c:pt>
                      <c:pt idx="43">
                        <c:v>59.839999999999918</c:v>
                      </c:pt>
                      <c:pt idx="44">
                        <c:v>59.839999999999918</c:v>
                      </c:pt>
                      <c:pt idx="45">
                        <c:v>59.839999999999918</c:v>
                      </c:pt>
                      <c:pt idx="46">
                        <c:v>59.839999999999918</c:v>
                      </c:pt>
                      <c:pt idx="47">
                        <c:v>-74.660000000000196</c:v>
                      </c:pt>
                      <c:pt idx="48">
                        <c:v>-74.660000000000196</c:v>
                      </c:pt>
                      <c:pt idx="49">
                        <c:v>-74.660000000000196</c:v>
                      </c:pt>
                      <c:pt idx="50">
                        <c:v>-74.660000000000196</c:v>
                      </c:pt>
                      <c:pt idx="51">
                        <c:v>-74.660000000000196</c:v>
                      </c:pt>
                      <c:pt idx="52">
                        <c:v>-74.660000000000196</c:v>
                      </c:pt>
                      <c:pt idx="53">
                        <c:v>-74.660000000000196</c:v>
                      </c:pt>
                      <c:pt idx="54">
                        <c:v>-74.660000000000196</c:v>
                      </c:pt>
                      <c:pt idx="55">
                        <c:v>-74.660000000000196</c:v>
                      </c:pt>
                      <c:pt idx="56">
                        <c:v>-74.660000000000196</c:v>
                      </c:pt>
                      <c:pt idx="57">
                        <c:v>-74.660000000000196</c:v>
                      </c:pt>
                      <c:pt idx="58">
                        <c:v>-74.660000000000196</c:v>
                      </c:pt>
                      <c:pt idx="59">
                        <c:v>-74.660000000000196</c:v>
                      </c:pt>
                      <c:pt idx="60">
                        <c:v>-74.660000000000196</c:v>
                      </c:pt>
                      <c:pt idx="61">
                        <c:v>-74.660000000000196</c:v>
                      </c:pt>
                      <c:pt idx="62">
                        <c:v>-74.660000000000196</c:v>
                      </c:pt>
                      <c:pt idx="63">
                        <c:v>-74.660000000000196</c:v>
                      </c:pt>
                      <c:pt idx="64">
                        <c:v>-74.660000000000196</c:v>
                      </c:pt>
                      <c:pt idx="65">
                        <c:v>-74.660000000000196</c:v>
                      </c:pt>
                      <c:pt idx="66">
                        <c:v>-74.660000000000196</c:v>
                      </c:pt>
                      <c:pt idx="67">
                        <c:v>-74.660000000000196</c:v>
                      </c:pt>
                      <c:pt idx="68">
                        <c:v>-74.660000000000196</c:v>
                      </c:pt>
                      <c:pt idx="69">
                        <c:v>-54.660000000000196</c:v>
                      </c:pt>
                      <c:pt idx="70">
                        <c:v>-54.660000000000196</c:v>
                      </c:pt>
                      <c:pt idx="71">
                        <c:v>-66.900000000000205</c:v>
                      </c:pt>
                      <c:pt idx="72">
                        <c:v>-66.900000000000205</c:v>
                      </c:pt>
                      <c:pt idx="73">
                        <c:v>-66.900000000000205</c:v>
                      </c:pt>
                      <c:pt idx="74">
                        <c:v>-66.900000000000205</c:v>
                      </c:pt>
                      <c:pt idx="75">
                        <c:v>-66.900000000000205</c:v>
                      </c:pt>
                      <c:pt idx="76">
                        <c:v>-66.900000000000205</c:v>
                      </c:pt>
                      <c:pt idx="77">
                        <c:v>-66.900000000000205</c:v>
                      </c:pt>
                      <c:pt idx="78">
                        <c:v>-66.900000000000205</c:v>
                      </c:pt>
                      <c:pt idx="79">
                        <c:v>-66.900000000000205</c:v>
                      </c:pt>
                      <c:pt idx="80">
                        <c:v>-66.900000000000205</c:v>
                      </c:pt>
                      <c:pt idx="81">
                        <c:v>-66.900000000000205</c:v>
                      </c:pt>
                      <c:pt idx="82">
                        <c:v>-66.900000000000205</c:v>
                      </c:pt>
                      <c:pt idx="83">
                        <c:v>-66.900000000000205</c:v>
                      </c:pt>
                      <c:pt idx="84">
                        <c:v>-66.900000000000205</c:v>
                      </c:pt>
                      <c:pt idx="85">
                        <c:v>-66.900000000000205</c:v>
                      </c:pt>
                      <c:pt idx="86">
                        <c:v>-66.900000000000205</c:v>
                      </c:pt>
                      <c:pt idx="87">
                        <c:v>-66.900000000000205</c:v>
                      </c:pt>
                      <c:pt idx="88">
                        <c:v>-66.900000000000205</c:v>
                      </c:pt>
                      <c:pt idx="89">
                        <c:v>-66.900000000000205</c:v>
                      </c:pt>
                      <c:pt idx="90">
                        <c:v>-66.900000000000205</c:v>
                      </c:pt>
                      <c:pt idx="91">
                        <c:v>-66.900000000000205</c:v>
                      </c:pt>
                      <c:pt idx="92">
                        <c:v>-66.900000000000205</c:v>
                      </c:pt>
                      <c:pt idx="93">
                        <c:v>-66.900000000000205</c:v>
                      </c:pt>
                      <c:pt idx="94">
                        <c:v>-66.900000000000205</c:v>
                      </c:pt>
                      <c:pt idx="95">
                        <c:v>-66.900000000000205</c:v>
                      </c:pt>
                      <c:pt idx="96">
                        <c:v>-66.900000000000205</c:v>
                      </c:pt>
                      <c:pt idx="97">
                        <c:v>-66.900000000000205</c:v>
                      </c:pt>
                      <c:pt idx="98">
                        <c:v>-66.900000000000205</c:v>
                      </c:pt>
                      <c:pt idx="99">
                        <c:v>-66.900000000000205</c:v>
                      </c:pt>
                      <c:pt idx="100">
                        <c:v>-66.900000000000205</c:v>
                      </c:pt>
                      <c:pt idx="101">
                        <c:v>-66.900000000000205</c:v>
                      </c:pt>
                      <c:pt idx="102">
                        <c:v>-66.900000000000205</c:v>
                      </c:pt>
                      <c:pt idx="103">
                        <c:v>-184.54000000000019</c:v>
                      </c:pt>
                      <c:pt idx="104">
                        <c:v>-184.54000000000019</c:v>
                      </c:pt>
                      <c:pt idx="105">
                        <c:v>-184.54000000000019</c:v>
                      </c:pt>
                      <c:pt idx="106">
                        <c:v>-173.34000000000015</c:v>
                      </c:pt>
                      <c:pt idx="107">
                        <c:v>-173.34000000000015</c:v>
                      </c:pt>
                      <c:pt idx="108">
                        <c:v>-173.34000000000015</c:v>
                      </c:pt>
                      <c:pt idx="109">
                        <c:v>-173.34000000000015</c:v>
                      </c:pt>
                      <c:pt idx="110">
                        <c:v>-173.34000000000015</c:v>
                      </c:pt>
                      <c:pt idx="111">
                        <c:v>-173.34000000000015</c:v>
                      </c:pt>
                      <c:pt idx="112">
                        <c:v>-173.34000000000015</c:v>
                      </c:pt>
                      <c:pt idx="113">
                        <c:v>-173.34000000000015</c:v>
                      </c:pt>
                      <c:pt idx="114">
                        <c:v>-173.34000000000015</c:v>
                      </c:pt>
                      <c:pt idx="115">
                        <c:v>-173.34000000000015</c:v>
                      </c:pt>
                      <c:pt idx="116">
                        <c:v>-173.34000000000015</c:v>
                      </c:pt>
                      <c:pt idx="117">
                        <c:v>-173.34000000000015</c:v>
                      </c:pt>
                      <c:pt idx="118">
                        <c:v>-173.34000000000015</c:v>
                      </c:pt>
                      <c:pt idx="119">
                        <c:v>-173.34000000000015</c:v>
                      </c:pt>
                      <c:pt idx="120">
                        <c:v>-173.34000000000015</c:v>
                      </c:pt>
                      <c:pt idx="121">
                        <c:v>-174.74000000000024</c:v>
                      </c:pt>
                      <c:pt idx="122">
                        <c:v>-174.74000000000024</c:v>
                      </c:pt>
                      <c:pt idx="123">
                        <c:v>-174.74000000000024</c:v>
                      </c:pt>
                      <c:pt idx="124">
                        <c:v>-174.74000000000024</c:v>
                      </c:pt>
                      <c:pt idx="125">
                        <c:v>-174.74000000000024</c:v>
                      </c:pt>
                      <c:pt idx="126">
                        <c:v>-174.74000000000024</c:v>
                      </c:pt>
                      <c:pt idx="127">
                        <c:v>-174.74000000000024</c:v>
                      </c:pt>
                      <c:pt idx="128">
                        <c:v>-174.74000000000024</c:v>
                      </c:pt>
                      <c:pt idx="129">
                        <c:v>-174.74000000000024</c:v>
                      </c:pt>
                      <c:pt idx="130">
                        <c:v>-174.74000000000024</c:v>
                      </c:pt>
                      <c:pt idx="131">
                        <c:v>-174.74000000000024</c:v>
                      </c:pt>
                      <c:pt idx="132">
                        <c:v>-174.74000000000024</c:v>
                      </c:pt>
                      <c:pt idx="133">
                        <c:v>-174.74000000000024</c:v>
                      </c:pt>
                      <c:pt idx="134">
                        <c:v>-174.74000000000024</c:v>
                      </c:pt>
                      <c:pt idx="135">
                        <c:v>-174.74000000000024</c:v>
                      </c:pt>
                      <c:pt idx="136">
                        <c:v>-174.74000000000024</c:v>
                      </c:pt>
                      <c:pt idx="137">
                        <c:v>-163.1400000000001</c:v>
                      </c:pt>
                      <c:pt idx="138">
                        <c:v>-163.1400000000001</c:v>
                      </c:pt>
                      <c:pt idx="139">
                        <c:v>-163.1400000000001</c:v>
                      </c:pt>
                      <c:pt idx="140">
                        <c:v>-163.1400000000001</c:v>
                      </c:pt>
                      <c:pt idx="141">
                        <c:v>-163.1400000000001</c:v>
                      </c:pt>
                      <c:pt idx="142">
                        <c:v>-163.1400000000001</c:v>
                      </c:pt>
                      <c:pt idx="143">
                        <c:v>-163.1400000000001</c:v>
                      </c:pt>
                      <c:pt idx="144">
                        <c:v>-163.1400000000001</c:v>
                      </c:pt>
                      <c:pt idx="145">
                        <c:v>-163.1400000000001</c:v>
                      </c:pt>
                      <c:pt idx="146">
                        <c:v>-163.1400000000001</c:v>
                      </c:pt>
                      <c:pt idx="147">
                        <c:v>-163.1400000000001</c:v>
                      </c:pt>
                      <c:pt idx="148">
                        <c:v>-163.1400000000001</c:v>
                      </c:pt>
                      <c:pt idx="149">
                        <c:v>-163.1400000000001</c:v>
                      </c:pt>
                      <c:pt idx="150">
                        <c:v>-163.1400000000001</c:v>
                      </c:pt>
                      <c:pt idx="151">
                        <c:v>-163.1400000000001</c:v>
                      </c:pt>
                      <c:pt idx="152">
                        <c:v>-163.1400000000001</c:v>
                      </c:pt>
                      <c:pt idx="153">
                        <c:v>-163.1400000000001</c:v>
                      </c:pt>
                      <c:pt idx="154">
                        <c:v>-163.1400000000001</c:v>
                      </c:pt>
                      <c:pt idx="155">
                        <c:v>-163.1400000000001</c:v>
                      </c:pt>
                      <c:pt idx="156">
                        <c:v>-163.1400000000001</c:v>
                      </c:pt>
                      <c:pt idx="157">
                        <c:v>-163.1400000000001</c:v>
                      </c:pt>
                      <c:pt idx="158">
                        <c:v>-163.1400000000001</c:v>
                      </c:pt>
                      <c:pt idx="159">
                        <c:v>-163.1400000000001</c:v>
                      </c:pt>
                      <c:pt idx="160">
                        <c:v>-163.1400000000001</c:v>
                      </c:pt>
                      <c:pt idx="161">
                        <c:v>-163.1400000000001</c:v>
                      </c:pt>
                      <c:pt idx="162">
                        <c:v>-163.1400000000001</c:v>
                      </c:pt>
                      <c:pt idx="163">
                        <c:v>-163.1400000000001</c:v>
                      </c:pt>
                      <c:pt idx="164">
                        <c:v>-163.1400000000001</c:v>
                      </c:pt>
                      <c:pt idx="165">
                        <c:v>-163.1400000000001</c:v>
                      </c:pt>
                      <c:pt idx="166">
                        <c:v>-163.1400000000001</c:v>
                      </c:pt>
                      <c:pt idx="167">
                        <c:v>-163.1400000000001</c:v>
                      </c:pt>
                      <c:pt idx="168">
                        <c:v>-163.1400000000001</c:v>
                      </c:pt>
                      <c:pt idx="169">
                        <c:v>-163.1400000000001</c:v>
                      </c:pt>
                      <c:pt idx="170">
                        <c:v>-163.1400000000001</c:v>
                      </c:pt>
                      <c:pt idx="171">
                        <c:v>-163.1400000000001</c:v>
                      </c:pt>
                      <c:pt idx="172">
                        <c:v>-163.1400000000001</c:v>
                      </c:pt>
                      <c:pt idx="173">
                        <c:v>-163.1400000000001</c:v>
                      </c:pt>
                      <c:pt idx="174">
                        <c:v>-163.1400000000001</c:v>
                      </c:pt>
                      <c:pt idx="175">
                        <c:v>-163.1400000000001</c:v>
                      </c:pt>
                      <c:pt idx="176">
                        <c:v>-163.1400000000001</c:v>
                      </c:pt>
                      <c:pt idx="177">
                        <c:v>-163.1400000000001</c:v>
                      </c:pt>
                      <c:pt idx="178">
                        <c:v>-163.1400000000001</c:v>
                      </c:pt>
                      <c:pt idx="179">
                        <c:v>-163.1400000000001</c:v>
                      </c:pt>
                      <c:pt idx="180">
                        <c:v>-163.1400000000001</c:v>
                      </c:pt>
                      <c:pt idx="181">
                        <c:v>-163.1400000000001</c:v>
                      </c:pt>
                      <c:pt idx="182">
                        <c:v>-163.1400000000001</c:v>
                      </c:pt>
                      <c:pt idx="183">
                        <c:v>-163.1400000000001</c:v>
                      </c:pt>
                      <c:pt idx="184">
                        <c:v>-163.1400000000001</c:v>
                      </c:pt>
                      <c:pt idx="185">
                        <c:v>-163.1400000000001</c:v>
                      </c:pt>
                      <c:pt idx="186">
                        <c:v>-163.1400000000001</c:v>
                      </c:pt>
                      <c:pt idx="187">
                        <c:v>-163.1400000000001</c:v>
                      </c:pt>
                      <c:pt idx="188">
                        <c:v>-163.1400000000001</c:v>
                      </c:pt>
                      <c:pt idx="189">
                        <c:v>-163.1400000000001</c:v>
                      </c:pt>
                      <c:pt idx="190">
                        <c:v>-163.1400000000001</c:v>
                      </c:pt>
                      <c:pt idx="191">
                        <c:v>-163.1400000000001</c:v>
                      </c:pt>
                      <c:pt idx="192">
                        <c:v>-163.1400000000001</c:v>
                      </c:pt>
                      <c:pt idx="193">
                        <c:v>-163.1400000000001</c:v>
                      </c:pt>
                      <c:pt idx="194">
                        <c:v>-163.1400000000001</c:v>
                      </c:pt>
                      <c:pt idx="195">
                        <c:v>-163.1400000000001</c:v>
                      </c:pt>
                      <c:pt idx="196">
                        <c:v>-163.1400000000001</c:v>
                      </c:pt>
                      <c:pt idx="197">
                        <c:v>-163.1400000000001</c:v>
                      </c:pt>
                      <c:pt idx="198">
                        <c:v>-163.1400000000001</c:v>
                      </c:pt>
                      <c:pt idx="199">
                        <c:v>-163.1400000000001</c:v>
                      </c:pt>
                      <c:pt idx="200">
                        <c:v>-181.17000000000007</c:v>
                      </c:pt>
                      <c:pt idx="201">
                        <c:v>-181.17000000000007</c:v>
                      </c:pt>
                      <c:pt idx="202">
                        <c:v>-181.17000000000007</c:v>
                      </c:pt>
                      <c:pt idx="203">
                        <c:v>-151.49</c:v>
                      </c:pt>
                      <c:pt idx="204">
                        <c:v>-151.49</c:v>
                      </c:pt>
                      <c:pt idx="205">
                        <c:v>-151.49</c:v>
                      </c:pt>
                      <c:pt idx="206">
                        <c:v>-151.49</c:v>
                      </c:pt>
                      <c:pt idx="207">
                        <c:v>-151.49</c:v>
                      </c:pt>
                      <c:pt idx="208">
                        <c:v>-151.49</c:v>
                      </c:pt>
                      <c:pt idx="209">
                        <c:v>-151.49</c:v>
                      </c:pt>
                      <c:pt idx="210">
                        <c:v>-151.49</c:v>
                      </c:pt>
                      <c:pt idx="211">
                        <c:v>-151.49</c:v>
                      </c:pt>
                      <c:pt idx="212">
                        <c:v>-151.49</c:v>
                      </c:pt>
                      <c:pt idx="213">
                        <c:v>-151.49</c:v>
                      </c:pt>
                      <c:pt idx="214">
                        <c:v>-151.49</c:v>
                      </c:pt>
                      <c:pt idx="215">
                        <c:v>-151.49</c:v>
                      </c:pt>
                      <c:pt idx="216">
                        <c:v>-151.49</c:v>
                      </c:pt>
                      <c:pt idx="217">
                        <c:v>-85.340000000000032</c:v>
                      </c:pt>
                      <c:pt idx="218">
                        <c:v>-85.340000000000032</c:v>
                      </c:pt>
                      <c:pt idx="219">
                        <c:v>-85.340000000000032</c:v>
                      </c:pt>
                      <c:pt idx="220">
                        <c:v>-85.340000000000032</c:v>
                      </c:pt>
                      <c:pt idx="221">
                        <c:v>-85.340000000000032</c:v>
                      </c:pt>
                      <c:pt idx="222">
                        <c:v>-85.340000000000032</c:v>
                      </c:pt>
                      <c:pt idx="223">
                        <c:v>-142.90000000000009</c:v>
                      </c:pt>
                      <c:pt idx="224">
                        <c:v>-142.90000000000009</c:v>
                      </c:pt>
                      <c:pt idx="225">
                        <c:v>-142.90000000000009</c:v>
                      </c:pt>
                      <c:pt idx="226">
                        <c:v>-142.90000000000009</c:v>
                      </c:pt>
                      <c:pt idx="227">
                        <c:v>-142.90000000000009</c:v>
                      </c:pt>
                      <c:pt idx="228">
                        <c:v>-142.90000000000009</c:v>
                      </c:pt>
                      <c:pt idx="229">
                        <c:v>-142.90000000000009</c:v>
                      </c:pt>
                      <c:pt idx="230">
                        <c:v>-142.90000000000009</c:v>
                      </c:pt>
                      <c:pt idx="231">
                        <c:v>-142.90000000000009</c:v>
                      </c:pt>
                      <c:pt idx="232">
                        <c:v>-142.90000000000009</c:v>
                      </c:pt>
                      <c:pt idx="233">
                        <c:v>-142.90000000000009</c:v>
                      </c:pt>
                      <c:pt idx="234">
                        <c:v>-142.90000000000009</c:v>
                      </c:pt>
                      <c:pt idx="235">
                        <c:v>-142.90000000000009</c:v>
                      </c:pt>
                      <c:pt idx="236">
                        <c:v>-142.90000000000009</c:v>
                      </c:pt>
                      <c:pt idx="237">
                        <c:v>-142.90000000000009</c:v>
                      </c:pt>
                      <c:pt idx="238">
                        <c:v>-142.90000000000009</c:v>
                      </c:pt>
                      <c:pt idx="239">
                        <c:v>-142.90000000000009</c:v>
                      </c:pt>
                      <c:pt idx="240">
                        <c:v>-132.30000000000018</c:v>
                      </c:pt>
                      <c:pt idx="241">
                        <c:v>-132.30000000000018</c:v>
                      </c:pt>
                      <c:pt idx="242">
                        <c:v>-132.30000000000018</c:v>
                      </c:pt>
                      <c:pt idx="243">
                        <c:v>-132.30000000000018</c:v>
                      </c:pt>
                      <c:pt idx="244">
                        <c:v>-132.30000000000018</c:v>
                      </c:pt>
                      <c:pt idx="245">
                        <c:v>-132.30000000000018</c:v>
                      </c:pt>
                      <c:pt idx="246">
                        <c:v>-132.30000000000018</c:v>
                      </c:pt>
                      <c:pt idx="247">
                        <c:v>-132.30000000000018</c:v>
                      </c:pt>
                      <c:pt idx="248">
                        <c:v>-132.30000000000018</c:v>
                      </c:pt>
                      <c:pt idx="249">
                        <c:v>-132.30000000000018</c:v>
                      </c:pt>
                      <c:pt idx="250">
                        <c:v>-132.30000000000018</c:v>
                      </c:pt>
                      <c:pt idx="251">
                        <c:v>-132.30000000000018</c:v>
                      </c:pt>
                      <c:pt idx="252">
                        <c:v>-132.30000000000018</c:v>
                      </c:pt>
                      <c:pt idx="253">
                        <c:v>-132.30000000000018</c:v>
                      </c:pt>
                      <c:pt idx="254">
                        <c:v>-132.30000000000018</c:v>
                      </c:pt>
                      <c:pt idx="255">
                        <c:v>-132.30000000000018</c:v>
                      </c:pt>
                      <c:pt idx="256">
                        <c:v>-132.30000000000018</c:v>
                      </c:pt>
                      <c:pt idx="257">
                        <c:v>-269.63053243920194</c:v>
                      </c:pt>
                      <c:pt idx="258">
                        <c:v>-299.03053243920203</c:v>
                      </c:pt>
                      <c:pt idx="259">
                        <c:v>-299.03053243920203</c:v>
                      </c:pt>
                      <c:pt idx="260">
                        <c:v>-299.03053243920203</c:v>
                      </c:pt>
                      <c:pt idx="261">
                        <c:v>-299.03053243920203</c:v>
                      </c:pt>
                      <c:pt idx="262">
                        <c:v>-299.03053243920203</c:v>
                      </c:pt>
                      <c:pt idx="263">
                        <c:v>-299.03053243920203</c:v>
                      </c:pt>
                      <c:pt idx="264">
                        <c:v>-299.03053243920203</c:v>
                      </c:pt>
                      <c:pt idx="265">
                        <c:v>-299.03053243920203</c:v>
                      </c:pt>
                      <c:pt idx="266">
                        <c:v>-299.03053243920203</c:v>
                      </c:pt>
                      <c:pt idx="267">
                        <c:v>-299.03053243920203</c:v>
                      </c:pt>
                      <c:pt idx="268">
                        <c:v>-299.03053243920203</c:v>
                      </c:pt>
                      <c:pt idx="269">
                        <c:v>-299.03053243920203</c:v>
                      </c:pt>
                      <c:pt idx="270">
                        <c:v>-299.03053243920203</c:v>
                      </c:pt>
                      <c:pt idx="271">
                        <c:v>-299.03053243920203</c:v>
                      </c:pt>
                      <c:pt idx="272">
                        <c:v>-299.03053243920203</c:v>
                      </c:pt>
                      <c:pt idx="273">
                        <c:v>-385.38106797961109</c:v>
                      </c:pt>
                      <c:pt idx="274">
                        <c:v>-385.38106797961109</c:v>
                      </c:pt>
                      <c:pt idx="275">
                        <c:v>-385.38106797961109</c:v>
                      </c:pt>
                      <c:pt idx="276">
                        <c:v>-385.38106797961109</c:v>
                      </c:pt>
                      <c:pt idx="277">
                        <c:v>-377.70106797961103</c:v>
                      </c:pt>
                      <c:pt idx="278">
                        <c:v>-377.70106797961103</c:v>
                      </c:pt>
                      <c:pt idx="279">
                        <c:v>-377.70106797961103</c:v>
                      </c:pt>
                      <c:pt idx="280">
                        <c:v>-377.70106797961103</c:v>
                      </c:pt>
                      <c:pt idx="281">
                        <c:v>-377.70106797961103</c:v>
                      </c:pt>
                      <c:pt idx="282">
                        <c:v>-377.70106797961103</c:v>
                      </c:pt>
                      <c:pt idx="283">
                        <c:v>-377.70106797961103</c:v>
                      </c:pt>
                      <c:pt idx="284">
                        <c:v>-377.70106797961103</c:v>
                      </c:pt>
                      <c:pt idx="285">
                        <c:v>-377.70106797961103</c:v>
                      </c:pt>
                      <c:pt idx="286">
                        <c:v>-377.70106797961103</c:v>
                      </c:pt>
                      <c:pt idx="287">
                        <c:v>-377.70106797961103</c:v>
                      </c:pt>
                      <c:pt idx="288">
                        <c:v>-377.70106797961103</c:v>
                      </c:pt>
                      <c:pt idx="289">
                        <c:v>-377.70106797961103</c:v>
                      </c:pt>
                      <c:pt idx="290">
                        <c:v>-366.42106797961105</c:v>
                      </c:pt>
                      <c:pt idx="291">
                        <c:v>-366.42106797961105</c:v>
                      </c:pt>
                      <c:pt idx="292">
                        <c:v>-366.42106797961105</c:v>
                      </c:pt>
                      <c:pt idx="293">
                        <c:v>-366.42106797961105</c:v>
                      </c:pt>
                      <c:pt idx="294">
                        <c:v>-366.42106797961105</c:v>
                      </c:pt>
                      <c:pt idx="295">
                        <c:v>-394.76106797961097</c:v>
                      </c:pt>
                      <c:pt idx="296">
                        <c:v>-394.76106797961097</c:v>
                      </c:pt>
                      <c:pt idx="297">
                        <c:v>-339.68106797961104</c:v>
                      </c:pt>
                      <c:pt idx="298">
                        <c:v>-339.68106797961104</c:v>
                      </c:pt>
                      <c:pt idx="299">
                        <c:v>-339.68106797961104</c:v>
                      </c:pt>
                      <c:pt idx="300">
                        <c:v>-339.68106797961104</c:v>
                      </c:pt>
                      <c:pt idx="301">
                        <c:v>-339.68106797961104</c:v>
                      </c:pt>
                      <c:pt idx="302">
                        <c:v>-339.68106797961104</c:v>
                      </c:pt>
                      <c:pt idx="303">
                        <c:v>-339.68106797961104</c:v>
                      </c:pt>
                      <c:pt idx="304">
                        <c:v>-438.46106797961124</c:v>
                      </c:pt>
                      <c:pt idx="305">
                        <c:v>-438.46106797961124</c:v>
                      </c:pt>
                      <c:pt idx="306">
                        <c:v>-438.46106797961124</c:v>
                      </c:pt>
                      <c:pt idx="307">
                        <c:v>-438.46106797961124</c:v>
                      </c:pt>
                      <c:pt idx="308">
                        <c:v>-438.46106797961124</c:v>
                      </c:pt>
                      <c:pt idx="309">
                        <c:v>-390.96106797961124</c:v>
                      </c:pt>
                      <c:pt idx="310">
                        <c:v>-390.96106797961124</c:v>
                      </c:pt>
                      <c:pt idx="311">
                        <c:v>-390.96106797961124</c:v>
                      </c:pt>
                      <c:pt idx="312">
                        <c:v>-390.96106797961124</c:v>
                      </c:pt>
                      <c:pt idx="313">
                        <c:v>-349.11106797961111</c:v>
                      </c:pt>
                      <c:pt idx="314">
                        <c:v>-349.11106797961111</c:v>
                      </c:pt>
                      <c:pt idx="315">
                        <c:v>-349.11106797961111</c:v>
                      </c:pt>
                      <c:pt idx="316">
                        <c:v>-342.69106797961103</c:v>
                      </c:pt>
                      <c:pt idx="317">
                        <c:v>-340.17106797961105</c:v>
                      </c:pt>
                      <c:pt idx="318">
                        <c:v>-340.17106797961105</c:v>
                      </c:pt>
                      <c:pt idx="319">
                        <c:v>-340.17106797961105</c:v>
                      </c:pt>
                      <c:pt idx="320">
                        <c:v>-340.17106797961105</c:v>
                      </c:pt>
                      <c:pt idx="321">
                        <c:v>-340.17106797961105</c:v>
                      </c:pt>
                      <c:pt idx="322">
                        <c:v>-340.17106797961105</c:v>
                      </c:pt>
                      <c:pt idx="323">
                        <c:v>-340.17106797961105</c:v>
                      </c:pt>
                      <c:pt idx="324">
                        <c:v>-340.17106797961105</c:v>
                      </c:pt>
                      <c:pt idx="325">
                        <c:v>-340.17106797961105</c:v>
                      </c:pt>
                      <c:pt idx="326">
                        <c:v>-340.17106797961105</c:v>
                      </c:pt>
                      <c:pt idx="327">
                        <c:v>-340.17106797961105</c:v>
                      </c:pt>
                      <c:pt idx="328">
                        <c:v>-340.17106797961105</c:v>
                      </c:pt>
                      <c:pt idx="329">
                        <c:v>-240.66106797961083</c:v>
                      </c:pt>
                      <c:pt idx="330">
                        <c:v>-240.66106797961083</c:v>
                      </c:pt>
                      <c:pt idx="331">
                        <c:v>-240.66106797961083</c:v>
                      </c:pt>
                      <c:pt idx="332">
                        <c:v>-240.66106797961083</c:v>
                      </c:pt>
                      <c:pt idx="333">
                        <c:v>-240.66106797961083</c:v>
                      </c:pt>
                      <c:pt idx="334">
                        <c:v>-178.13106797961063</c:v>
                      </c:pt>
                      <c:pt idx="335">
                        <c:v>-178.13106797961063</c:v>
                      </c:pt>
                      <c:pt idx="336">
                        <c:v>-178.13106797961063</c:v>
                      </c:pt>
                      <c:pt idx="337">
                        <c:v>-178.13106797961063</c:v>
                      </c:pt>
                      <c:pt idx="338">
                        <c:v>-206.13106797961063</c:v>
                      </c:pt>
                      <c:pt idx="339">
                        <c:v>-206.13106797961063</c:v>
                      </c:pt>
                      <c:pt idx="340">
                        <c:v>-206.13106797961063</c:v>
                      </c:pt>
                      <c:pt idx="341">
                        <c:v>-203.43106797961059</c:v>
                      </c:pt>
                      <c:pt idx="342">
                        <c:v>-203.43106797961059</c:v>
                      </c:pt>
                      <c:pt idx="343">
                        <c:v>-203.43106797961059</c:v>
                      </c:pt>
                      <c:pt idx="344">
                        <c:v>-203.43106797961059</c:v>
                      </c:pt>
                      <c:pt idx="345">
                        <c:v>-295.97106797961055</c:v>
                      </c:pt>
                      <c:pt idx="346">
                        <c:v>-295.97106797961055</c:v>
                      </c:pt>
                    </c:numCache>
                  </c:numRef>
                </c:val>
                <c:smooth val="0"/>
                <c:extLst>
                  <c:ext xmlns:c16="http://schemas.microsoft.com/office/drawing/2014/chart" uri="{C3380CC4-5D6E-409C-BE32-E72D297353CC}">
                    <c16:uniqueId val="{00000004-25A9-4B4A-8343-57270F941044}"/>
                  </c:ext>
                </c:extLst>
              </c15:ser>
            </c15:filteredLineSeries>
            <c15:filteredLineSeries>
              <c15:ser>
                <c:idx val="4"/>
                <c:order val="4"/>
                <c:tx>
                  <c:v>SW (MOC)</c:v>
                </c:tx>
                <c:spPr>
                  <a:ln w="28575" cap="rnd">
                    <a:solidFill>
                      <a:schemeClr val="accent4">
                        <a:lumMod val="60000"/>
                        <a:lumOff val="40000"/>
                      </a:schemeClr>
                    </a:solidFill>
                    <a:prstDash val="sysDash"/>
                    <a:round/>
                  </a:ln>
                  <a:effectLst/>
                </c:spPr>
                <c:marker>
                  <c:symbol val="none"/>
                </c:marker>
                <c:val>
                  <c:numRef>
                    <c:extLst xmlns:c15="http://schemas.microsoft.com/office/drawing/2012/chart">
                      <c:ext xmlns:c15="http://schemas.microsoft.com/office/drawing/2012/chart" uri="{02D57815-91ED-43cb-92C2-25804820EDAC}">
                        <c15:formulaRef>
                          <c15:sqref>'2025-Q2'!$AV$4:$AV$350</c15:sqref>
                        </c15:formulaRef>
                      </c:ext>
                    </c:extLst>
                    <c:numCache>
                      <c:formatCode>"$"#,##0</c:formatCode>
                      <c:ptCount val="347"/>
                      <c:pt idx="0">
                        <c:v>0</c:v>
                      </c:pt>
                      <c:pt idx="1">
                        <c:v>0</c:v>
                      </c:pt>
                      <c:pt idx="2">
                        <c:v>45.449999999999818</c:v>
                      </c:pt>
                      <c:pt idx="3">
                        <c:v>35.25</c:v>
                      </c:pt>
                      <c:pt idx="4">
                        <c:v>55.25</c:v>
                      </c:pt>
                      <c:pt idx="5">
                        <c:v>70.090000000000146</c:v>
                      </c:pt>
                      <c:pt idx="6">
                        <c:v>85.490000000000236</c:v>
                      </c:pt>
                      <c:pt idx="7">
                        <c:v>158.24</c:v>
                      </c:pt>
                      <c:pt idx="8">
                        <c:v>177.32000000000005</c:v>
                      </c:pt>
                      <c:pt idx="9">
                        <c:v>177.32000000000005</c:v>
                      </c:pt>
                      <c:pt idx="10">
                        <c:v>197.30000000000007</c:v>
                      </c:pt>
                      <c:pt idx="11">
                        <c:v>236.89999999999998</c:v>
                      </c:pt>
                      <c:pt idx="12">
                        <c:v>236.89999999999998</c:v>
                      </c:pt>
                      <c:pt idx="13">
                        <c:v>231.72000000000014</c:v>
                      </c:pt>
                      <c:pt idx="14">
                        <c:v>231.72000000000014</c:v>
                      </c:pt>
                      <c:pt idx="15">
                        <c:v>231.54000000000008</c:v>
                      </c:pt>
                      <c:pt idx="16">
                        <c:v>231.54000000000008</c:v>
                      </c:pt>
                      <c:pt idx="17">
                        <c:v>231.54000000000008</c:v>
                      </c:pt>
                      <c:pt idx="18">
                        <c:v>212.34000000000003</c:v>
                      </c:pt>
                      <c:pt idx="19">
                        <c:v>243.65999999999997</c:v>
                      </c:pt>
                      <c:pt idx="20">
                        <c:v>256.64966594568602</c:v>
                      </c:pt>
                      <c:pt idx="21">
                        <c:v>252.56795937946242</c:v>
                      </c:pt>
                      <c:pt idx="22">
                        <c:v>252.56795937946242</c:v>
                      </c:pt>
                      <c:pt idx="23">
                        <c:v>258.96870149449035</c:v>
                      </c:pt>
                      <c:pt idx="24">
                        <c:v>281.78870149449051</c:v>
                      </c:pt>
                      <c:pt idx="25">
                        <c:v>19.92870149449061</c:v>
                      </c:pt>
                      <c:pt idx="26">
                        <c:v>19.92870149449061</c:v>
                      </c:pt>
                      <c:pt idx="27">
                        <c:v>19.92870149449061</c:v>
                      </c:pt>
                      <c:pt idx="28">
                        <c:v>19.92870149449061</c:v>
                      </c:pt>
                      <c:pt idx="29">
                        <c:v>26.67870149449061</c:v>
                      </c:pt>
                      <c:pt idx="30">
                        <c:v>26.67870149449061</c:v>
                      </c:pt>
                      <c:pt idx="31">
                        <c:v>26.67870149449061</c:v>
                      </c:pt>
                      <c:pt idx="32">
                        <c:v>26.67870149449061</c:v>
                      </c:pt>
                      <c:pt idx="33">
                        <c:v>18.628701494490656</c:v>
                      </c:pt>
                      <c:pt idx="34">
                        <c:v>-37.621298505509344</c:v>
                      </c:pt>
                      <c:pt idx="35">
                        <c:v>-117.30129850550941</c:v>
                      </c:pt>
                      <c:pt idx="36">
                        <c:v>-117.30129850550941</c:v>
                      </c:pt>
                      <c:pt idx="37">
                        <c:v>-136.55129850550941</c:v>
                      </c:pt>
                      <c:pt idx="38">
                        <c:v>-121.67129850550941</c:v>
                      </c:pt>
                      <c:pt idx="39">
                        <c:v>-121.67129850550941</c:v>
                      </c:pt>
                      <c:pt idx="40">
                        <c:v>-121.67129850550941</c:v>
                      </c:pt>
                      <c:pt idx="41">
                        <c:v>-121.67129850550941</c:v>
                      </c:pt>
                      <c:pt idx="42">
                        <c:v>-121.67129850550941</c:v>
                      </c:pt>
                      <c:pt idx="43">
                        <c:v>-45.861298505509467</c:v>
                      </c:pt>
                      <c:pt idx="44">
                        <c:v>-39.361298505509467</c:v>
                      </c:pt>
                      <c:pt idx="45">
                        <c:v>-28.111298505509467</c:v>
                      </c:pt>
                      <c:pt idx="46">
                        <c:v>-28.111298505509467</c:v>
                      </c:pt>
                      <c:pt idx="47">
                        <c:v>-28.111298505509467</c:v>
                      </c:pt>
                      <c:pt idx="48">
                        <c:v>-28.111298505509467</c:v>
                      </c:pt>
                      <c:pt idx="49">
                        <c:v>-142.53968337706056</c:v>
                      </c:pt>
                      <c:pt idx="50">
                        <c:v>-160.4474473522157</c:v>
                      </c:pt>
                      <c:pt idx="51">
                        <c:v>-68.287447352215622</c:v>
                      </c:pt>
                      <c:pt idx="52">
                        <c:v>-68.287447352215622</c:v>
                      </c:pt>
                      <c:pt idx="53">
                        <c:v>-33.00744735221565</c:v>
                      </c:pt>
                      <c:pt idx="54">
                        <c:v>-14.627447352215654</c:v>
                      </c:pt>
                      <c:pt idx="55">
                        <c:v>-14.627447352215654</c:v>
                      </c:pt>
                      <c:pt idx="56">
                        <c:v>-64.227447352215677</c:v>
                      </c:pt>
                      <c:pt idx="57">
                        <c:v>-64.227447352215677</c:v>
                      </c:pt>
                      <c:pt idx="58">
                        <c:v>-32.927447352215609</c:v>
                      </c:pt>
                      <c:pt idx="59">
                        <c:v>5.1725526477844141</c:v>
                      </c:pt>
                      <c:pt idx="60">
                        <c:v>7.8725526477844596</c:v>
                      </c:pt>
                      <c:pt idx="61">
                        <c:v>37.932552647784405</c:v>
                      </c:pt>
                      <c:pt idx="62">
                        <c:v>102.73255264778447</c:v>
                      </c:pt>
                      <c:pt idx="63">
                        <c:v>118.39255264778456</c:v>
                      </c:pt>
                      <c:pt idx="64">
                        <c:v>125.29255264778453</c:v>
                      </c:pt>
                      <c:pt idx="65">
                        <c:v>174.54255264778453</c:v>
                      </c:pt>
                      <c:pt idx="66">
                        <c:v>174.54255264778453</c:v>
                      </c:pt>
                      <c:pt idx="67">
                        <c:v>174.54255264778453</c:v>
                      </c:pt>
                      <c:pt idx="68">
                        <c:v>174.54255264778453</c:v>
                      </c:pt>
                      <c:pt idx="69">
                        <c:v>174.54255264778453</c:v>
                      </c:pt>
                      <c:pt idx="70">
                        <c:v>174.54255264778453</c:v>
                      </c:pt>
                      <c:pt idx="71">
                        <c:v>174.54255264778453</c:v>
                      </c:pt>
                      <c:pt idx="72">
                        <c:v>215.38255264778456</c:v>
                      </c:pt>
                      <c:pt idx="73">
                        <c:v>188.17255264778453</c:v>
                      </c:pt>
                      <c:pt idx="74">
                        <c:v>219.13255264778456</c:v>
                      </c:pt>
                      <c:pt idx="75">
                        <c:v>165.93255264778452</c:v>
                      </c:pt>
                      <c:pt idx="76">
                        <c:v>215.8325526477845</c:v>
                      </c:pt>
                      <c:pt idx="77">
                        <c:v>259.68255264778452</c:v>
                      </c:pt>
                      <c:pt idx="78">
                        <c:v>195.08255264778461</c:v>
                      </c:pt>
                      <c:pt idx="79">
                        <c:v>195.08255264778461</c:v>
                      </c:pt>
                      <c:pt idx="80">
                        <c:v>208.3425526477846</c:v>
                      </c:pt>
                      <c:pt idx="81">
                        <c:v>208.3425526477846</c:v>
                      </c:pt>
                      <c:pt idx="82">
                        <c:v>208.3425526477846</c:v>
                      </c:pt>
                      <c:pt idx="83">
                        <c:v>236.54255264778465</c:v>
                      </c:pt>
                      <c:pt idx="84">
                        <c:v>75.742552647784692</c:v>
                      </c:pt>
                      <c:pt idx="85">
                        <c:v>75.742552647784692</c:v>
                      </c:pt>
                      <c:pt idx="86">
                        <c:v>44.742552647784692</c:v>
                      </c:pt>
                      <c:pt idx="87">
                        <c:v>44.742552647784692</c:v>
                      </c:pt>
                      <c:pt idx="88">
                        <c:v>44.742552647784692</c:v>
                      </c:pt>
                      <c:pt idx="89">
                        <c:v>59.622552647784573</c:v>
                      </c:pt>
                      <c:pt idx="90">
                        <c:v>59.622552647784573</c:v>
                      </c:pt>
                      <c:pt idx="91">
                        <c:v>59.622552647784573</c:v>
                      </c:pt>
                      <c:pt idx="92">
                        <c:v>59.622552647784573</c:v>
                      </c:pt>
                      <c:pt idx="93">
                        <c:v>30.959567043367201</c:v>
                      </c:pt>
                      <c:pt idx="94">
                        <c:v>47.809567043367224</c:v>
                      </c:pt>
                      <c:pt idx="95">
                        <c:v>47.809567043367224</c:v>
                      </c:pt>
                      <c:pt idx="96">
                        <c:v>47.809567043367224</c:v>
                      </c:pt>
                      <c:pt idx="97">
                        <c:v>47.809567043367224</c:v>
                      </c:pt>
                      <c:pt idx="98">
                        <c:v>47.809567043367224</c:v>
                      </c:pt>
                      <c:pt idx="99">
                        <c:v>-49.590432956632867</c:v>
                      </c:pt>
                      <c:pt idx="100">
                        <c:v>-49.590432956632867</c:v>
                      </c:pt>
                      <c:pt idx="101">
                        <c:v>-67.840432956632867</c:v>
                      </c:pt>
                      <c:pt idx="102">
                        <c:v>-68.000432956632835</c:v>
                      </c:pt>
                      <c:pt idx="103">
                        <c:v>-68.000432956632835</c:v>
                      </c:pt>
                      <c:pt idx="104">
                        <c:v>-71.840432956632753</c:v>
                      </c:pt>
                      <c:pt idx="105">
                        <c:v>-71.840432956632753</c:v>
                      </c:pt>
                      <c:pt idx="106">
                        <c:v>-71.840432956632753</c:v>
                      </c:pt>
                      <c:pt idx="107">
                        <c:v>-136.64043295663271</c:v>
                      </c:pt>
                      <c:pt idx="108">
                        <c:v>-122.36043295663274</c:v>
                      </c:pt>
                      <c:pt idx="109">
                        <c:v>-176.00043295663284</c:v>
                      </c:pt>
                      <c:pt idx="110">
                        <c:v>-176.00043295663284</c:v>
                      </c:pt>
                      <c:pt idx="111">
                        <c:v>-176.00043295663284</c:v>
                      </c:pt>
                      <c:pt idx="112">
                        <c:v>-216.47043295663286</c:v>
                      </c:pt>
                      <c:pt idx="113">
                        <c:v>-188.0787935487491</c:v>
                      </c:pt>
                      <c:pt idx="114">
                        <c:v>-175.97879354874919</c:v>
                      </c:pt>
                      <c:pt idx="115">
                        <c:v>-61.018793548749386</c:v>
                      </c:pt>
                      <c:pt idx="116">
                        <c:v>-61.018793548749386</c:v>
                      </c:pt>
                      <c:pt idx="117">
                        <c:v>-61.018793548749386</c:v>
                      </c:pt>
                      <c:pt idx="118">
                        <c:v>-25.19879354874945</c:v>
                      </c:pt>
                      <c:pt idx="119">
                        <c:v>-31.378793548749513</c:v>
                      </c:pt>
                      <c:pt idx="120">
                        <c:v>-31.378793548749513</c:v>
                      </c:pt>
                      <c:pt idx="121">
                        <c:v>-31.378793548749513</c:v>
                      </c:pt>
                      <c:pt idx="122">
                        <c:v>-100.2787935487496</c:v>
                      </c:pt>
                      <c:pt idx="123">
                        <c:v>-109.67879354874947</c:v>
                      </c:pt>
                      <c:pt idx="124">
                        <c:v>-109.67879354874947</c:v>
                      </c:pt>
                      <c:pt idx="125">
                        <c:v>-43.758793548749395</c:v>
                      </c:pt>
                      <c:pt idx="126">
                        <c:v>-42.408793548749259</c:v>
                      </c:pt>
                      <c:pt idx="127">
                        <c:v>-42.408793548749259</c:v>
                      </c:pt>
                      <c:pt idx="128">
                        <c:v>-18.358793548749304</c:v>
                      </c:pt>
                      <c:pt idx="129">
                        <c:v>-18.358793548749304</c:v>
                      </c:pt>
                      <c:pt idx="130">
                        <c:v>24.921206451250669</c:v>
                      </c:pt>
                      <c:pt idx="131">
                        <c:v>24.921206451250669</c:v>
                      </c:pt>
                      <c:pt idx="132">
                        <c:v>18.921206451250555</c:v>
                      </c:pt>
                      <c:pt idx="133">
                        <c:v>18.921206451250555</c:v>
                      </c:pt>
                      <c:pt idx="134">
                        <c:v>18.921206451250555</c:v>
                      </c:pt>
                      <c:pt idx="135">
                        <c:v>18.921206451250555</c:v>
                      </c:pt>
                      <c:pt idx="136">
                        <c:v>18.921206451250555</c:v>
                      </c:pt>
                      <c:pt idx="137">
                        <c:v>18.921206451250555</c:v>
                      </c:pt>
                      <c:pt idx="138">
                        <c:v>18.921206451250555</c:v>
                      </c:pt>
                      <c:pt idx="139">
                        <c:v>18.921206451250555</c:v>
                      </c:pt>
                      <c:pt idx="140">
                        <c:v>26.761206451250359</c:v>
                      </c:pt>
                      <c:pt idx="141">
                        <c:v>26.761206451250359</c:v>
                      </c:pt>
                      <c:pt idx="142">
                        <c:v>26.761206451250359</c:v>
                      </c:pt>
                      <c:pt idx="143">
                        <c:v>26.761206451250359</c:v>
                      </c:pt>
                      <c:pt idx="144">
                        <c:v>26.761206451250359</c:v>
                      </c:pt>
                      <c:pt idx="145">
                        <c:v>26.761206451250359</c:v>
                      </c:pt>
                      <c:pt idx="146">
                        <c:v>26.761206451250359</c:v>
                      </c:pt>
                      <c:pt idx="147">
                        <c:v>26.761206451250359</c:v>
                      </c:pt>
                      <c:pt idx="148">
                        <c:v>32.011206451250359</c:v>
                      </c:pt>
                      <c:pt idx="149">
                        <c:v>82.511206451250359</c:v>
                      </c:pt>
                      <c:pt idx="150">
                        <c:v>113.42120645125044</c:v>
                      </c:pt>
                      <c:pt idx="151">
                        <c:v>236.01120645125059</c:v>
                      </c:pt>
                      <c:pt idx="152">
                        <c:v>236.01120645125059</c:v>
                      </c:pt>
                      <c:pt idx="153">
                        <c:v>178.41120645125056</c:v>
                      </c:pt>
                      <c:pt idx="154">
                        <c:v>190.35120645125062</c:v>
                      </c:pt>
                      <c:pt idx="155">
                        <c:v>171.54120645125067</c:v>
                      </c:pt>
                      <c:pt idx="156">
                        <c:v>171.54120645125067</c:v>
                      </c:pt>
                      <c:pt idx="157">
                        <c:v>175.84120645125066</c:v>
                      </c:pt>
                      <c:pt idx="158">
                        <c:v>141.43120645125069</c:v>
                      </c:pt>
                      <c:pt idx="159">
                        <c:v>48.131206451250733</c:v>
                      </c:pt>
                      <c:pt idx="160">
                        <c:v>85.331206451250551</c:v>
                      </c:pt>
                      <c:pt idx="161">
                        <c:v>118.93120645125057</c:v>
                      </c:pt>
                      <c:pt idx="162">
                        <c:v>118.93120645125057</c:v>
                      </c:pt>
                      <c:pt idx="163">
                        <c:v>118.93120645125057</c:v>
                      </c:pt>
                      <c:pt idx="164">
                        <c:v>126.41120645125059</c:v>
                      </c:pt>
                      <c:pt idx="165">
                        <c:v>216.02120645125072</c:v>
                      </c:pt>
                      <c:pt idx="166">
                        <c:v>208.66120645125071</c:v>
                      </c:pt>
                      <c:pt idx="167">
                        <c:v>227.98120645125087</c:v>
                      </c:pt>
                      <c:pt idx="168">
                        <c:v>227.98120645125087</c:v>
                      </c:pt>
                      <c:pt idx="169">
                        <c:v>247.23120645125087</c:v>
                      </c:pt>
                      <c:pt idx="170">
                        <c:v>247.23120645125087</c:v>
                      </c:pt>
                      <c:pt idx="171">
                        <c:v>161.08120645125089</c:v>
                      </c:pt>
                      <c:pt idx="172">
                        <c:v>161.08120645125089</c:v>
                      </c:pt>
                      <c:pt idx="173">
                        <c:v>229.00120645125085</c:v>
                      </c:pt>
                      <c:pt idx="174">
                        <c:v>229.00120645125085</c:v>
                      </c:pt>
                      <c:pt idx="175">
                        <c:v>319.42120645125067</c:v>
                      </c:pt>
                      <c:pt idx="176">
                        <c:v>319.42120645125067</c:v>
                      </c:pt>
                      <c:pt idx="177">
                        <c:v>365.84120645125074</c:v>
                      </c:pt>
                      <c:pt idx="178">
                        <c:v>365.84120645125074</c:v>
                      </c:pt>
                      <c:pt idx="179">
                        <c:v>365.84120645125074</c:v>
                      </c:pt>
                      <c:pt idx="180">
                        <c:v>314.2412064512506</c:v>
                      </c:pt>
                      <c:pt idx="181">
                        <c:v>307.34120645125074</c:v>
                      </c:pt>
                      <c:pt idx="182">
                        <c:v>332.24120645125083</c:v>
                      </c:pt>
                      <c:pt idx="183">
                        <c:v>339.09120645125086</c:v>
                      </c:pt>
                      <c:pt idx="184">
                        <c:v>339.09120645125086</c:v>
                      </c:pt>
                      <c:pt idx="185">
                        <c:v>339.09120645125086</c:v>
                      </c:pt>
                      <c:pt idx="186">
                        <c:v>339.09120645125086</c:v>
                      </c:pt>
                      <c:pt idx="187">
                        <c:v>331.25120645125094</c:v>
                      </c:pt>
                      <c:pt idx="188">
                        <c:v>331.25120645125094</c:v>
                      </c:pt>
                      <c:pt idx="189">
                        <c:v>331.25120645125094</c:v>
                      </c:pt>
                      <c:pt idx="190">
                        <c:v>271.49120645125095</c:v>
                      </c:pt>
                      <c:pt idx="191">
                        <c:v>271.49120645125095</c:v>
                      </c:pt>
                      <c:pt idx="192">
                        <c:v>218.73120645125073</c:v>
                      </c:pt>
                      <c:pt idx="193">
                        <c:v>218.73120645125073</c:v>
                      </c:pt>
                      <c:pt idx="194">
                        <c:v>218.73120645125073</c:v>
                      </c:pt>
                      <c:pt idx="195">
                        <c:v>158.55120645125089</c:v>
                      </c:pt>
                      <c:pt idx="196">
                        <c:v>155.69120645125099</c:v>
                      </c:pt>
                      <c:pt idx="197">
                        <c:v>155.69120645125099</c:v>
                      </c:pt>
                      <c:pt idx="198">
                        <c:v>155.69120645125099</c:v>
                      </c:pt>
                      <c:pt idx="199">
                        <c:v>155.69120645125099</c:v>
                      </c:pt>
                      <c:pt idx="200">
                        <c:v>155.69120645125099</c:v>
                      </c:pt>
                      <c:pt idx="201">
                        <c:v>155.69120645125099</c:v>
                      </c:pt>
                      <c:pt idx="202">
                        <c:v>165.81120645125111</c:v>
                      </c:pt>
                      <c:pt idx="203">
                        <c:v>165.81120645125111</c:v>
                      </c:pt>
                      <c:pt idx="204">
                        <c:v>194.93120645125123</c:v>
                      </c:pt>
                      <c:pt idx="205">
                        <c:v>118.37120645125117</c:v>
                      </c:pt>
                      <c:pt idx="206">
                        <c:v>195.83120645125121</c:v>
                      </c:pt>
                      <c:pt idx="207">
                        <c:v>195.83120645125121</c:v>
                      </c:pt>
                      <c:pt idx="208">
                        <c:v>181.91120645125113</c:v>
                      </c:pt>
                      <c:pt idx="209">
                        <c:v>181.91120645125113</c:v>
                      </c:pt>
                      <c:pt idx="210">
                        <c:v>77.06120645125111</c:v>
                      </c:pt>
                      <c:pt idx="211">
                        <c:v>66.701206451251096</c:v>
                      </c:pt>
                      <c:pt idx="212">
                        <c:v>85.211399342838945</c:v>
                      </c:pt>
                      <c:pt idx="213">
                        <c:v>85.211399342838945</c:v>
                      </c:pt>
                      <c:pt idx="214">
                        <c:v>85.211399342838945</c:v>
                      </c:pt>
                      <c:pt idx="215">
                        <c:v>85.211399342838945</c:v>
                      </c:pt>
                      <c:pt idx="216">
                        <c:v>129.05139934283909</c:v>
                      </c:pt>
                      <c:pt idx="217">
                        <c:v>129.05139934283909</c:v>
                      </c:pt>
                      <c:pt idx="218">
                        <c:v>129.05139934283909</c:v>
                      </c:pt>
                      <c:pt idx="219">
                        <c:v>246.01139934283913</c:v>
                      </c:pt>
                      <c:pt idx="220">
                        <c:v>246.01139934283913</c:v>
                      </c:pt>
                      <c:pt idx="221">
                        <c:v>231.71139934283894</c:v>
                      </c:pt>
                      <c:pt idx="222">
                        <c:v>231.71139934283894</c:v>
                      </c:pt>
                      <c:pt idx="223">
                        <c:v>231.71139934283894</c:v>
                      </c:pt>
                      <c:pt idx="224">
                        <c:v>302.23139934283893</c:v>
                      </c:pt>
                      <c:pt idx="225">
                        <c:v>302.23139934283893</c:v>
                      </c:pt>
                      <c:pt idx="226">
                        <c:v>199.28139934283888</c:v>
                      </c:pt>
                      <c:pt idx="227">
                        <c:v>199.28139934283888</c:v>
                      </c:pt>
                      <c:pt idx="228">
                        <c:v>216.20139934283895</c:v>
                      </c:pt>
                      <c:pt idx="229">
                        <c:v>255.68139934283897</c:v>
                      </c:pt>
                      <c:pt idx="230">
                        <c:v>255.68139934283897</c:v>
                      </c:pt>
                      <c:pt idx="231">
                        <c:v>213.14249066104651</c:v>
                      </c:pt>
                      <c:pt idx="232">
                        <c:v>266.9024906610465</c:v>
                      </c:pt>
                      <c:pt idx="233">
                        <c:v>256.66249066104672</c:v>
                      </c:pt>
                      <c:pt idx="234">
                        <c:v>256.66249066104672</c:v>
                      </c:pt>
                      <c:pt idx="235">
                        <c:v>256.66249066104672</c:v>
                      </c:pt>
                      <c:pt idx="236">
                        <c:v>256.66249066104672</c:v>
                      </c:pt>
                      <c:pt idx="237">
                        <c:v>264.4624906610469</c:v>
                      </c:pt>
                      <c:pt idx="238">
                        <c:v>167.92249066104694</c:v>
                      </c:pt>
                      <c:pt idx="239">
                        <c:v>187.36249066104699</c:v>
                      </c:pt>
                      <c:pt idx="240">
                        <c:v>187.36249066104699</c:v>
                      </c:pt>
                      <c:pt idx="241">
                        <c:v>187.36249066104699</c:v>
                      </c:pt>
                      <c:pt idx="242">
                        <c:v>186.04249066104705</c:v>
                      </c:pt>
                      <c:pt idx="243">
                        <c:v>186.04249066104705</c:v>
                      </c:pt>
                      <c:pt idx="244">
                        <c:v>87.822490661047027</c:v>
                      </c:pt>
                      <c:pt idx="245">
                        <c:v>87.822490661047027</c:v>
                      </c:pt>
                      <c:pt idx="246">
                        <c:v>87.822490661047027</c:v>
                      </c:pt>
                      <c:pt idx="247">
                        <c:v>87.822490661047027</c:v>
                      </c:pt>
                      <c:pt idx="248">
                        <c:v>87.822490661047027</c:v>
                      </c:pt>
                      <c:pt idx="249">
                        <c:v>87.822490661047027</c:v>
                      </c:pt>
                      <c:pt idx="250">
                        <c:v>87.822490661047027</c:v>
                      </c:pt>
                      <c:pt idx="251">
                        <c:v>-6.3775093389530184</c:v>
                      </c:pt>
                      <c:pt idx="252">
                        <c:v>3.4224906610469361</c:v>
                      </c:pt>
                      <c:pt idx="253">
                        <c:v>3.4224906610469361</c:v>
                      </c:pt>
                      <c:pt idx="254">
                        <c:v>3.4224906610469361</c:v>
                      </c:pt>
                      <c:pt idx="255">
                        <c:v>3.4224906610469361</c:v>
                      </c:pt>
                      <c:pt idx="256">
                        <c:v>33.122490661046754</c:v>
                      </c:pt>
                      <c:pt idx="257">
                        <c:v>33.122490661046754</c:v>
                      </c:pt>
                      <c:pt idx="258">
                        <c:v>33.122490661046754</c:v>
                      </c:pt>
                      <c:pt idx="259">
                        <c:v>33.122490661046754</c:v>
                      </c:pt>
                      <c:pt idx="260">
                        <c:v>33.122490661046754</c:v>
                      </c:pt>
                      <c:pt idx="261">
                        <c:v>33.122490661046754</c:v>
                      </c:pt>
                      <c:pt idx="262">
                        <c:v>33.122490661046754</c:v>
                      </c:pt>
                      <c:pt idx="263">
                        <c:v>-3.3275093389532913</c:v>
                      </c:pt>
                      <c:pt idx="264">
                        <c:v>-3.3275093389532913</c:v>
                      </c:pt>
                      <c:pt idx="265">
                        <c:v>-3.3275093389532913</c:v>
                      </c:pt>
                      <c:pt idx="266">
                        <c:v>20.122490661046527</c:v>
                      </c:pt>
                      <c:pt idx="267">
                        <c:v>20.122490661046527</c:v>
                      </c:pt>
                      <c:pt idx="268">
                        <c:v>20.122490661046527</c:v>
                      </c:pt>
                      <c:pt idx="269">
                        <c:v>20.122490661046527</c:v>
                      </c:pt>
                      <c:pt idx="270">
                        <c:v>20.122490661046527</c:v>
                      </c:pt>
                      <c:pt idx="271">
                        <c:v>20.122490661046527</c:v>
                      </c:pt>
                      <c:pt idx="272">
                        <c:v>20.122490661046527</c:v>
                      </c:pt>
                      <c:pt idx="273">
                        <c:v>20.122490661046527</c:v>
                      </c:pt>
                      <c:pt idx="274">
                        <c:v>20.122490661046527</c:v>
                      </c:pt>
                      <c:pt idx="275">
                        <c:v>20.122490661046527</c:v>
                      </c:pt>
                      <c:pt idx="276">
                        <c:v>20.122490661046527</c:v>
                      </c:pt>
                      <c:pt idx="277">
                        <c:v>20.122490661046527</c:v>
                      </c:pt>
                      <c:pt idx="278">
                        <c:v>20.122490661046527</c:v>
                      </c:pt>
                      <c:pt idx="279">
                        <c:v>20.122490661046527</c:v>
                      </c:pt>
                      <c:pt idx="280">
                        <c:v>15.562490661046581</c:v>
                      </c:pt>
                      <c:pt idx="281">
                        <c:v>-40.597509338953273</c:v>
                      </c:pt>
                      <c:pt idx="282">
                        <c:v>-40.597509338953273</c:v>
                      </c:pt>
                      <c:pt idx="283">
                        <c:v>-40.597509338953273</c:v>
                      </c:pt>
                      <c:pt idx="284">
                        <c:v>-7.2975093389533185</c:v>
                      </c:pt>
                      <c:pt idx="285">
                        <c:v>-7.2975093389533185</c:v>
                      </c:pt>
                      <c:pt idx="286">
                        <c:v>1.1024906610467724</c:v>
                      </c:pt>
                      <c:pt idx="287">
                        <c:v>1.1024906610467724</c:v>
                      </c:pt>
                      <c:pt idx="288">
                        <c:v>151.70249066104691</c:v>
                      </c:pt>
                      <c:pt idx="289">
                        <c:v>151.70249066104691</c:v>
                      </c:pt>
                      <c:pt idx="290">
                        <c:v>151.70249066104691</c:v>
                      </c:pt>
                      <c:pt idx="291">
                        <c:v>151.70249066104691</c:v>
                      </c:pt>
                      <c:pt idx="292">
                        <c:v>151.70249066104691</c:v>
                      </c:pt>
                      <c:pt idx="293">
                        <c:v>148.00249066104664</c:v>
                      </c:pt>
                      <c:pt idx="294">
                        <c:v>148.00249066104664</c:v>
                      </c:pt>
                      <c:pt idx="295">
                        <c:v>148.00249066104664</c:v>
                      </c:pt>
                      <c:pt idx="296">
                        <c:v>148.00249066104664</c:v>
                      </c:pt>
                      <c:pt idx="297">
                        <c:v>148.00249066104664</c:v>
                      </c:pt>
                      <c:pt idx="298">
                        <c:v>148.00249066104664</c:v>
                      </c:pt>
                      <c:pt idx="299">
                        <c:v>121.60249066104666</c:v>
                      </c:pt>
                      <c:pt idx="300">
                        <c:v>175.24249066104653</c:v>
                      </c:pt>
                      <c:pt idx="301">
                        <c:v>345.26249066104651</c:v>
                      </c:pt>
                      <c:pt idx="302">
                        <c:v>345.26249066104651</c:v>
                      </c:pt>
                      <c:pt idx="303">
                        <c:v>428.48249066104654</c:v>
                      </c:pt>
                      <c:pt idx="304">
                        <c:v>428.48249066104654</c:v>
                      </c:pt>
                      <c:pt idx="305">
                        <c:v>531.88249066104663</c:v>
                      </c:pt>
                      <c:pt idx="306">
                        <c:v>676.08249066104668</c:v>
                      </c:pt>
                      <c:pt idx="307">
                        <c:v>685.53249066104672</c:v>
                      </c:pt>
                      <c:pt idx="308">
                        <c:v>685.53249066104672</c:v>
                      </c:pt>
                      <c:pt idx="309">
                        <c:v>685.53249066104672</c:v>
                      </c:pt>
                      <c:pt idx="310">
                        <c:v>685.53249066104672</c:v>
                      </c:pt>
                      <c:pt idx="311">
                        <c:v>685.53249066104672</c:v>
                      </c:pt>
                      <c:pt idx="312">
                        <c:v>685.53249066104672</c:v>
                      </c:pt>
                      <c:pt idx="313">
                        <c:v>685.53249066104672</c:v>
                      </c:pt>
                      <c:pt idx="314">
                        <c:v>685.53249066104672</c:v>
                      </c:pt>
                      <c:pt idx="315">
                        <c:v>685.53249066104672</c:v>
                      </c:pt>
                      <c:pt idx="316">
                        <c:v>685.53249066104672</c:v>
                      </c:pt>
                      <c:pt idx="317">
                        <c:v>685.53249066104672</c:v>
                      </c:pt>
                      <c:pt idx="318">
                        <c:v>599.43627194988017</c:v>
                      </c:pt>
                      <c:pt idx="319">
                        <c:v>814.11627194988023</c:v>
                      </c:pt>
                      <c:pt idx="320">
                        <c:v>814.11627194988023</c:v>
                      </c:pt>
                      <c:pt idx="321">
                        <c:v>804.91627194988018</c:v>
                      </c:pt>
                      <c:pt idx="322">
                        <c:v>869.71627194988037</c:v>
                      </c:pt>
                      <c:pt idx="323">
                        <c:v>640.46627194988037</c:v>
                      </c:pt>
                      <c:pt idx="324">
                        <c:v>640.46627194988037</c:v>
                      </c:pt>
                      <c:pt idx="325">
                        <c:v>690.46627194988037</c:v>
                      </c:pt>
                      <c:pt idx="326">
                        <c:v>690.46627194988037</c:v>
                      </c:pt>
                      <c:pt idx="327">
                        <c:v>686.86627194988023</c:v>
                      </c:pt>
                      <c:pt idx="328">
                        <c:v>659.41627194988018</c:v>
                      </c:pt>
                      <c:pt idx="329">
                        <c:v>659.41627194988018</c:v>
                      </c:pt>
                      <c:pt idx="330">
                        <c:v>659.41627194988018</c:v>
                      </c:pt>
                      <c:pt idx="331">
                        <c:v>730.45627194988015</c:v>
                      </c:pt>
                      <c:pt idx="332">
                        <c:v>846.73627194988012</c:v>
                      </c:pt>
                      <c:pt idx="333">
                        <c:v>906.13627194988021</c:v>
                      </c:pt>
                      <c:pt idx="334">
                        <c:v>906.13627194988021</c:v>
                      </c:pt>
                      <c:pt idx="335">
                        <c:v>962.59627194988025</c:v>
                      </c:pt>
                      <c:pt idx="336">
                        <c:v>956.35627194988024</c:v>
                      </c:pt>
                      <c:pt idx="337">
                        <c:v>956.35627194988024</c:v>
                      </c:pt>
                      <c:pt idx="338">
                        <c:v>956.35627194988024</c:v>
                      </c:pt>
                      <c:pt idx="339">
                        <c:v>892.09627194988025</c:v>
                      </c:pt>
                      <c:pt idx="340">
                        <c:v>768.40627194988019</c:v>
                      </c:pt>
                      <c:pt idx="341">
                        <c:v>768.40627194988019</c:v>
                      </c:pt>
                      <c:pt idx="342">
                        <c:v>768.40627194988019</c:v>
                      </c:pt>
                      <c:pt idx="343">
                        <c:v>759.08627194988026</c:v>
                      </c:pt>
                      <c:pt idx="344">
                        <c:v>631.52627194988031</c:v>
                      </c:pt>
                      <c:pt idx="345">
                        <c:v>631.52627194988031</c:v>
                      </c:pt>
                      <c:pt idx="346">
                        <c:v>631.52627194988031</c:v>
                      </c:pt>
                    </c:numCache>
                  </c:numRef>
                </c:val>
                <c:smooth val="0"/>
                <c:extLst xmlns:c15="http://schemas.microsoft.com/office/drawing/2012/chart">
                  <c:ext xmlns:c16="http://schemas.microsoft.com/office/drawing/2014/chart" uri="{C3380CC4-5D6E-409C-BE32-E72D297353CC}">
                    <c16:uniqueId val="{00000005-25A9-4B4A-8343-57270F941044}"/>
                  </c:ext>
                </c:extLst>
              </c15:ser>
            </c15:filteredLineSeries>
            <c15:filteredLineSeries>
              <c15:ser>
                <c:idx val="6"/>
                <c:order val="6"/>
                <c:tx>
                  <c:v>Dwn (MOC)</c:v>
                </c:tx>
                <c:spPr>
                  <a:ln w="28575" cap="rnd">
                    <a:solidFill>
                      <a:schemeClr val="accent2">
                        <a:lumMod val="60000"/>
                        <a:lumOff val="40000"/>
                      </a:schemeClr>
                    </a:solidFill>
                    <a:prstDash val="sysDash"/>
                    <a:round/>
                  </a:ln>
                  <a:effectLst/>
                </c:spPr>
                <c:marker>
                  <c:symbol val="none"/>
                </c:marker>
                <c:val>
                  <c:numRef>
                    <c:extLst xmlns:c15="http://schemas.microsoft.com/office/drawing/2012/chart">
                      <c:ext xmlns:c15="http://schemas.microsoft.com/office/drawing/2012/chart" uri="{02D57815-91ED-43cb-92C2-25804820EDAC}">
                        <c15:formulaRef>
                          <c15:sqref>'2025-Q2'!$AZ$4:$AZ$350</c15:sqref>
                        </c15:formulaRef>
                      </c:ext>
                    </c:extLst>
                    <c:numCache>
                      <c:formatCode>"$"#,##0</c:formatCode>
                      <c:ptCount val="347"/>
                      <c:pt idx="0">
                        <c:v>-254.69999999999982</c:v>
                      </c:pt>
                      <c:pt idx="1">
                        <c:v>-262.79999999999973</c:v>
                      </c:pt>
                      <c:pt idx="2">
                        <c:v>-262.79999999999973</c:v>
                      </c:pt>
                      <c:pt idx="3">
                        <c:v>-262.79999999999973</c:v>
                      </c:pt>
                      <c:pt idx="4">
                        <c:v>-262.79999999999973</c:v>
                      </c:pt>
                      <c:pt idx="5">
                        <c:v>-262.79999999999973</c:v>
                      </c:pt>
                      <c:pt idx="6">
                        <c:v>-262.79999999999973</c:v>
                      </c:pt>
                      <c:pt idx="7">
                        <c:v>-262.79999999999973</c:v>
                      </c:pt>
                      <c:pt idx="8">
                        <c:v>-262.79999999999973</c:v>
                      </c:pt>
                      <c:pt idx="9">
                        <c:v>-266.68837290281726</c:v>
                      </c:pt>
                      <c:pt idx="10">
                        <c:v>-266.68837290281726</c:v>
                      </c:pt>
                      <c:pt idx="11">
                        <c:v>-266.68837290281726</c:v>
                      </c:pt>
                      <c:pt idx="12">
                        <c:v>-267.17837290281727</c:v>
                      </c:pt>
                      <c:pt idx="13">
                        <c:v>-267.17837290281727</c:v>
                      </c:pt>
                      <c:pt idx="14">
                        <c:v>-173.75837290281697</c:v>
                      </c:pt>
                      <c:pt idx="15">
                        <c:v>-173.75837290281697</c:v>
                      </c:pt>
                      <c:pt idx="16">
                        <c:v>-89.908372902816836</c:v>
                      </c:pt>
                      <c:pt idx="17">
                        <c:v>-65.608372902816654</c:v>
                      </c:pt>
                      <c:pt idx="18">
                        <c:v>-65.608372902816654</c:v>
                      </c:pt>
                      <c:pt idx="19">
                        <c:v>-65.608372902816654</c:v>
                      </c:pt>
                      <c:pt idx="20">
                        <c:v>-65.608372902816654</c:v>
                      </c:pt>
                      <c:pt idx="21">
                        <c:v>-65.608372902816654</c:v>
                      </c:pt>
                      <c:pt idx="22">
                        <c:v>-79.1383729028164</c:v>
                      </c:pt>
                      <c:pt idx="23">
                        <c:v>-79.1383729028164</c:v>
                      </c:pt>
                      <c:pt idx="24">
                        <c:v>-79.1383729028164</c:v>
                      </c:pt>
                      <c:pt idx="25">
                        <c:v>-79.1383729028164</c:v>
                      </c:pt>
                      <c:pt idx="26">
                        <c:v>-76.1383729028164</c:v>
                      </c:pt>
                      <c:pt idx="27">
                        <c:v>-110.1383729028164</c:v>
                      </c:pt>
                      <c:pt idx="28">
                        <c:v>-118.53837290281626</c:v>
                      </c:pt>
                      <c:pt idx="29">
                        <c:v>-118.53837290281626</c:v>
                      </c:pt>
                      <c:pt idx="30">
                        <c:v>-155.63837290281617</c:v>
                      </c:pt>
                      <c:pt idx="31">
                        <c:v>-148.13837290281617</c:v>
                      </c:pt>
                      <c:pt idx="32">
                        <c:v>-164.13837290281617</c:v>
                      </c:pt>
                      <c:pt idx="33">
                        <c:v>-164.13837290281617</c:v>
                      </c:pt>
                      <c:pt idx="34">
                        <c:v>-164.13837290281617</c:v>
                      </c:pt>
                      <c:pt idx="35">
                        <c:v>-164.13837290281617</c:v>
                      </c:pt>
                      <c:pt idx="36">
                        <c:v>-173.22837290281586</c:v>
                      </c:pt>
                      <c:pt idx="37">
                        <c:v>-173.22837290281586</c:v>
                      </c:pt>
                      <c:pt idx="38">
                        <c:v>-173.22837290281586</c:v>
                      </c:pt>
                      <c:pt idx="39">
                        <c:v>-173.22837290281586</c:v>
                      </c:pt>
                      <c:pt idx="40">
                        <c:v>-322.17837290281591</c:v>
                      </c:pt>
                      <c:pt idx="41">
                        <c:v>-353.47837290281609</c:v>
                      </c:pt>
                      <c:pt idx="42">
                        <c:v>-286.37837290281595</c:v>
                      </c:pt>
                      <c:pt idx="43">
                        <c:v>-286.37837290281595</c:v>
                      </c:pt>
                      <c:pt idx="44">
                        <c:v>-286.37837290281595</c:v>
                      </c:pt>
                      <c:pt idx="45">
                        <c:v>-286.37837290281595</c:v>
                      </c:pt>
                      <c:pt idx="46">
                        <c:v>-336.14837290281594</c:v>
                      </c:pt>
                      <c:pt idx="47">
                        <c:v>-336.14837290281594</c:v>
                      </c:pt>
                      <c:pt idx="48">
                        <c:v>-437.28837290281581</c:v>
                      </c:pt>
                      <c:pt idx="49">
                        <c:v>-437.28837290281581</c:v>
                      </c:pt>
                      <c:pt idx="50">
                        <c:v>-437.28837290281581</c:v>
                      </c:pt>
                      <c:pt idx="51">
                        <c:v>-437.28837290281581</c:v>
                      </c:pt>
                      <c:pt idx="52">
                        <c:v>-546.48837290281585</c:v>
                      </c:pt>
                      <c:pt idx="53">
                        <c:v>-546.48837290281585</c:v>
                      </c:pt>
                      <c:pt idx="54">
                        <c:v>-546.48837290281585</c:v>
                      </c:pt>
                      <c:pt idx="55">
                        <c:v>-539.5683729028159</c:v>
                      </c:pt>
                      <c:pt idx="56">
                        <c:v>-539.5683729028159</c:v>
                      </c:pt>
                      <c:pt idx="57">
                        <c:v>-414.9183729028158</c:v>
                      </c:pt>
                      <c:pt idx="58">
                        <c:v>-414.9183729028158</c:v>
                      </c:pt>
                      <c:pt idx="59">
                        <c:v>-414.9183729028158</c:v>
                      </c:pt>
                      <c:pt idx="60">
                        <c:v>-414.9183729028158</c:v>
                      </c:pt>
                      <c:pt idx="61">
                        <c:v>-414.9183729028158</c:v>
                      </c:pt>
                      <c:pt idx="62">
                        <c:v>-414.9183729028158</c:v>
                      </c:pt>
                      <c:pt idx="63">
                        <c:v>-414.9183729028158</c:v>
                      </c:pt>
                      <c:pt idx="64">
                        <c:v>-414.9183729028158</c:v>
                      </c:pt>
                      <c:pt idx="65">
                        <c:v>-414.9183729028158</c:v>
                      </c:pt>
                      <c:pt idx="66">
                        <c:v>-420.76837290281571</c:v>
                      </c:pt>
                      <c:pt idx="67">
                        <c:v>-414.58837290281565</c:v>
                      </c:pt>
                      <c:pt idx="68">
                        <c:v>-396.2683729028156</c:v>
                      </c:pt>
                      <c:pt idx="69">
                        <c:v>-396.2683729028156</c:v>
                      </c:pt>
                      <c:pt idx="70">
                        <c:v>-368.83837290281554</c:v>
                      </c:pt>
                      <c:pt idx="71">
                        <c:v>-368.83837290281554</c:v>
                      </c:pt>
                      <c:pt idx="72">
                        <c:v>-368.83837290281554</c:v>
                      </c:pt>
                      <c:pt idx="73">
                        <c:v>-368.83837290281554</c:v>
                      </c:pt>
                      <c:pt idx="74">
                        <c:v>-368.83837290281554</c:v>
                      </c:pt>
                      <c:pt idx="75">
                        <c:v>-368.83837290281554</c:v>
                      </c:pt>
                      <c:pt idx="76">
                        <c:v>-368.83837290281554</c:v>
                      </c:pt>
                      <c:pt idx="77">
                        <c:v>-368.83837290281554</c:v>
                      </c:pt>
                      <c:pt idx="78">
                        <c:v>-368.83837290281554</c:v>
                      </c:pt>
                      <c:pt idx="79">
                        <c:v>-423.9721716230016</c:v>
                      </c:pt>
                      <c:pt idx="80">
                        <c:v>-423.9721716230016</c:v>
                      </c:pt>
                      <c:pt idx="81">
                        <c:v>-480.01217162300156</c:v>
                      </c:pt>
                      <c:pt idx="82">
                        <c:v>-530.05217162300164</c:v>
                      </c:pt>
                      <c:pt idx="83">
                        <c:v>-530.05217162300164</c:v>
                      </c:pt>
                      <c:pt idx="84">
                        <c:v>-530.05217162300164</c:v>
                      </c:pt>
                      <c:pt idx="85">
                        <c:v>-591.05217162300175</c:v>
                      </c:pt>
                      <c:pt idx="86">
                        <c:v>-591.05217162300175</c:v>
                      </c:pt>
                      <c:pt idx="87">
                        <c:v>-613.15217162300189</c:v>
                      </c:pt>
                      <c:pt idx="88">
                        <c:v>-595.83217162300184</c:v>
                      </c:pt>
                      <c:pt idx="89">
                        <c:v>-595.83217162300184</c:v>
                      </c:pt>
                      <c:pt idx="90">
                        <c:v>-563.83217162300184</c:v>
                      </c:pt>
                      <c:pt idx="91">
                        <c:v>-555.85217162300182</c:v>
                      </c:pt>
                      <c:pt idx="92">
                        <c:v>-578.65217162300189</c:v>
                      </c:pt>
                      <c:pt idx="93">
                        <c:v>-578.65217162300189</c:v>
                      </c:pt>
                      <c:pt idx="94">
                        <c:v>-578.65217162300189</c:v>
                      </c:pt>
                      <c:pt idx="95">
                        <c:v>-589.652171623002</c:v>
                      </c:pt>
                      <c:pt idx="96">
                        <c:v>-547.95217162300207</c:v>
                      </c:pt>
                      <c:pt idx="97">
                        <c:v>-550.83217162300207</c:v>
                      </c:pt>
                      <c:pt idx="98">
                        <c:v>-588.98217162300205</c:v>
                      </c:pt>
                      <c:pt idx="99">
                        <c:v>-588.98217162300205</c:v>
                      </c:pt>
                      <c:pt idx="100">
                        <c:v>-711.86217162300204</c:v>
                      </c:pt>
                      <c:pt idx="101">
                        <c:v>-711.86217162300204</c:v>
                      </c:pt>
                      <c:pt idx="102">
                        <c:v>-711.86217162300204</c:v>
                      </c:pt>
                      <c:pt idx="103">
                        <c:v>-711.86217162300204</c:v>
                      </c:pt>
                      <c:pt idx="104">
                        <c:v>-711.86217162300204</c:v>
                      </c:pt>
                      <c:pt idx="105">
                        <c:v>-657.08217162300207</c:v>
                      </c:pt>
                      <c:pt idx="106">
                        <c:v>-657.08217162300207</c:v>
                      </c:pt>
                      <c:pt idx="107">
                        <c:v>-657.08217162300207</c:v>
                      </c:pt>
                      <c:pt idx="108">
                        <c:v>-657.08217162300207</c:v>
                      </c:pt>
                      <c:pt idx="109">
                        <c:v>-657.08217162300207</c:v>
                      </c:pt>
                      <c:pt idx="110">
                        <c:v>-646.83217162300218</c:v>
                      </c:pt>
                      <c:pt idx="111">
                        <c:v>-640.35217162300216</c:v>
                      </c:pt>
                      <c:pt idx="112">
                        <c:v>-640.35217162300216</c:v>
                      </c:pt>
                      <c:pt idx="113">
                        <c:v>-640.35217162300216</c:v>
                      </c:pt>
                      <c:pt idx="114">
                        <c:v>-640.35217162300216</c:v>
                      </c:pt>
                      <c:pt idx="115">
                        <c:v>-640.35217162300216</c:v>
                      </c:pt>
                      <c:pt idx="116">
                        <c:v>-643.20217162300207</c:v>
                      </c:pt>
                      <c:pt idx="117">
                        <c:v>-617.95161845366727</c:v>
                      </c:pt>
                      <c:pt idx="118">
                        <c:v>-617.95161845366727</c:v>
                      </c:pt>
                      <c:pt idx="119">
                        <c:v>-617.95161845366727</c:v>
                      </c:pt>
                      <c:pt idx="120">
                        <c:v>-637.75161845366745</c:v>
                      </c:pt>
                      <c:pt idx="121">
                        <c:v>-637.75161845366745</c:v>
                      </c:pt>
                      <c:pt idx="122">
                        <c:v>-637.75161845366745</c:v>
                      </c:pt>
                      <c:pt idx="123">
                        <c:v>-637.75161845366745</c:v>
                      </c:pt>
                      <c:pt idx="124">
                        <c:v>-569.65161845366742</c:v>
                      </c:pt>
                      <c:pt idx="125">
                        <c:v>-569.65161845366742</c:v>
                      </c:pt>
                      <c:pt idx="126">
                        <c:v>-569.65161845366742</c:v>
                      </c:pt>
                      <c:pt idx="127">
                        <c:v>-617.44161845366739</c:v>
                      </c:pt>
                      <c:pt idx="128">
                        <c:v>-617.44161845366739</c:v>
                      </c:pt>
                      <c:pt idx="129">
                        <c:v>-653.28161845366731</c:v>
                      </c:pt>
                      <c:pt idx="130">
                        <c:v>-653.28161845366731</c:v>
                      </c:pt>
                      <c:pt idx="131">
                        <c:v>-678.06161845366728</c:v>
                      </c:pt>
                      <c:pt idx="132">
                        <c:v>-678.06161845366728</c:v>
                      </c:pt>
                      <c:pt idx="133">
                        <c:v>-660.56161845366728</c:v>
                      </c:pt>
                      <c:pt idx="134">
                        <c:v>-658.04161845366718</c:v>
                      </c:pt>
                      <c:pt idx="135">
                        <c:v>-666.32161845366716</c:v>
                      </c:pt>
                      <c:pt idx="136">
                        <c:v>-662.72161845366713</c:v>
                      </c:pt>
                      <c:pt idx="137">
                        <c:v>-662.72161845366713</c:v>
                      </c:pt>
                      <c:pt idx="138">
                        <c:v>-694.54161845366707</c:v>
                      </c:pt>
                      <c:pt idx="139">
                        <c:v>-663.04161845366696</c:v>
                      </c:pt>
                      <c:pt idx="140">
                        <c:v>-663.04161845366696</c:v>
                      </c:pt>
                      <c:pt idx="141">
                        <c:v>-694.56161845366694</c:v>
                      </c:pt>
                      <c:pt idx="142">
                        <c:v>-744.80161845366695</c:v>
                      </c:pt>
                      <c:pt idx="143">
                        <c:v>-767.04161845366673</c:v>
                      </c:pt>
                      <c:pt idx="144">
                        <c:v>-769.08161845366681</c:v>
                      </c:pt>
                      <c:pt idx="145">
                        <c:v>-685.18161845366672</c:v>
                      </c:pt>
                      <c:pt idx="146">
                        <c:v>-709.48161845366667</c:v>
                      </c:pt>
                      <c:pt idx="147">
                        <c:v>-763.63161845366676</c:v>
                      </c:pt>
                      <c:pt idx="148">
                        <c:v>-763.63161845366676</c:v>
                      </c:pt>
                      <c:pt idx="149">
                        <c:v>-763.63161845366676</c:v>
                      </c:pt>
                      <c:pt idx="150">
                        <c:v>-763.63161845366676</c:v>
                      </c:pt>
                      <c:pt idx="151">
                        <c:v>-763.63161845366676</c:v>
                      </c:pt>
                      <c:pt idx="152">
                        <c:v>-639.33161845366681</c:v>
                      </c:pt>
                      <c:pt idx="153">
                        <c:v>-639.33161845366681</c:v>
                      </c:pt>
                      <c:pt idx="154">
                        <c:v>-639.33161845366681</c:v>
                      </c:pt>
                      <c:pt idx="155">
                        <c:v>-639.33161845366681</c:v>
                      </c:pt>
                      <c:pt idx="156">
                        <c:v>-547.97161845366668</c:v>
                      </c:pt>
                      <c:pt idx="157">
                        <c:v>-547.97161845366668</c:v>
                      </c:pt>
                      <c:pt idx="158">
                        <c:v>-547.97161845366668</c:v>
                      </c:pt>
                      <c:pt idx="159">
                        <c:v>-547.97161845366668</c:v>
                      </c:pt>
                      <c:pt idx="160">
                        <c:v>-547.97161845366668</c:v>
                      </c:pt>
                      <c:pt idx="161">
                        <c:v>-547.97161845366668</c:v>
                      </c:pt>
                      <c:pt idx="162">
                        <c:v>-520.05161845366683</c:v>
                      </c:pt>
                      <c:pt idx="163">
                        <c:v>-601.05161845366695</c:v>
                      </c:pt>
                      <c:pt idx="164">
                        <c:v>-601.05161845366695</c:v>
                      </c:pt>
                      <c:pt idx="165">
                        <c:v>-601.05161845366695</c:v>
                      </c:pt>
                      <c:pt idx="166">
                        <c:v>-601.05161845366695</c:v>
                      </c:pt>
                      <c:pt idx="167">
                        <c:v>-601.05161845366695</c:v>
                      </c:pt>
                      <c:pt idx="168">
                        <c:v>-560.1016184536669</c:v>
                      </c:pt>
                      <c:pt idx="169">
                        <c:v>-560.1016184536669</c:v>
                      </c:pt>
                      <c:pt idx="170">
                        <c:v>-570.36161845366701</c:v>
                      </c:pt>
                      <c:pt idx="171">
                        <c:v>-570.36161845366701</c:v>
                      </c:pt>
                      <c:pt idx="172">
                        <c:v>-550.52161845366709</c:v>
                      </c:pt>
                      <c:pt idx="173">
                        <c:v>-550.52161845366709</c:v>
                      </c:pt>
                      <c:pt idx="174">
                        <c:v>-469.5216184536672</c:v>
                      </c:pt>
                      <c:pt idx="175">
                        <c:v>-469.5216184536672</c:v>
                      </c:pt>
                      <c:pt idx="176">
                        <c:v>-458.74161845366723</c:v>
                      </c:pt>
                      <c:pt idx="177">
                        <c:v>-458.74161845366723</c:v>
                      </c:pt>
                      <c:pt idx="178">
                        <c:v>-472.52161845366743</c:v>
                      </c:pt>
                      <c:pt idx="179">
                        <c:v>-378.83161845366737</c:v>
                      </c:pt>
                      <c:pt idx="180">
                        <c:v>-378.83161845366737</c:v>
                      </c:pt>
                      <c:pt idx="181">
                        <c:v>-378.83161845366737</c:v>
                      </c:pt>
                      <c:pt idx="182">
                        <c:v>-378.83161845366737</c:v>
                      </c:pt>
                      <c:pt idx="183">
                        <c:v>-378.83161845366737</c:v>
                      </c:pt>
                      <c:pt idx="184">
                        <c:v>-399.47161845366725</c:v>
                      </c:pt>
                      <c:pt idx="185">
                        <c:v>-378.47161845366702</c:v>
                      </c:pt>
                      <c:pt idx="186">
                        <c:v>-386.97161845366702</c:v>
                      </c:pt>
                      <c:pt idx="187">
                        <c:v>-386.97161845366702</c:v>
                      </c:pt>
                      <c:pt idx="188">
                        <c:v>-280.97161845366702</c:v>
                      </c:pt>
                      <c:pt idx="189">
                        <c:v>-286.97161845366679</c:v>
                      </c:pt>
                      <c:pt idx="190">
                        <c:v>-286.97161845366679</c:v>
                      </c:pt>
                      <c:pt idx="191">
                        <c:v>-302.37161845366688</c:v>
                      </c:pt>
                      <c:pt idx="192">
                        <c:v>-302.37161845366688</c:v>
                      </c:pt>
                      <c:pt idx="193">
                        <c:v>-101.3516184536669</c:v>
                      </c:pt>
                      <c:pt idx="194">
                        <c:v>-110.31161845366694</c:v>
                      </c:pt>
                      <c:pt idx="195">
                        <c:v>-110.31161845366694</c:v>
                      </c:pt>
                      <c:pt idx="196">
                        <c:v>-110.31161845366694</c:v>
                      </c:pt>
                      <c:pt idx="197">
                        <c:v>-70.011618453666983</c:v>
                      </c:pt>
                      <c:pt idx="198">
                        <c:v>-68.661618453667074</c:v>
                      </c:pt>
                      <c:pt idx="199">
                        <c:v>-72.941618453667274</c:v>
                      </c:pt>
                      <c:pt idx="200">
                        <c:v>-72.941618453667274</c:v>
                      </c:pt>
                      <c:pt idx="201">
                        <c:v>-26.381618453667329</c:v>
                      </c:pt>
                      <c:pt idx="202">
                        <c:v>-26.381618453667329</c:v>
                      </c:pt>
                      <c:pt idx="203">
                        <c:v>-26.381618453667329</c:v>
                      </c:pt>
                      <c:pt idx="204">
                        <c:v>-26.381618453667329</c:v>
                      </c:pt>
                      <c:pt idx="205">
                        <c:v>-26.381618453667329</c:v>
                      </c:pt>
                      <c:pt idx="206">
                        <c:v>-26.381618453667329</c:v>
                      </c:pt>
                      <c:pt idx="207">
                        <c:v>-28.36161845366712</c:v>
                      </c:pt>
                      <c:pt idx="208">
                        <c:v>-28.36161845366712</c:v>
                      </c:pt>
                      <c:pt idx="209">
                        <c:v>-6.9616184536670289</c:v>
                      </c:pt>
                      <c:pt idx="210">
                        <c:v>-6.9616184536670289</c:v>
                      </c:pt>
                      <c:pt idx="211">
                        <c:v>-6.9616184536670289</c:v>
                      </c:pt>
                      <c:pt idx="212">
                        <c:v>-6.9616184536670289</c:v>
                      </c:pt>
                      <c:pt idx="213">
                        <c:v>36.368381546332898</c:v>
                      </c:pt>
                      <c:pt idx="214">
                        <c:v>38.368381546332898</c:v>
                      </c:pt>
                      <c:pt idx="215">
                        <c:v>-92.311618453666938</c:v>
                      </c:pt>
                      <c:pt idx="216">
                        <c:v>-92.311618453666938</c:v>
                      </c:pt>
                      <c:pt idx="217">
                        <c:v>-92.311618453666938</c:v>
                      </c:pt>
                      <c:pt idx="218">
                        <c:v>-74.811618453666938</c:v>
                      </c:pt>
                      <c:pt idx="219">
                        <c:v>-74.811618453666938</c:v>
                      </c:pt>
                      <c:pt idx="220">
                        <c:v>-5.5116184536669834</c:v>
                      </c:pt>
                      <c:pt idx="221">
                        <c:v>-5.5116184536669834</c:v>
                      </c:pt>
                      <c:pt idx="222">
                        <c:v>54.408381546332862</c:v>
                      </c:pt>
                      <c:pt idx="223">
                        <c:v>54.408381546332862</c:v>
                      </c:pt>
                      <c:pt idx="224">
                        <c:v>54.408381546332862</c:v>
                      </c:pt>
                      <c:pt idx="225">
                        <c:v>24.88838154633288</c:v>
                      </c:pt>
                      <c:pt idx="226">
                        <c:v>24.88838154633288</c:v>
                      </c:pt>
                      <c:pt idx="227">
                        <c:v>44.248381546333007</c:v>
                      </c:pt>
                      <c:pt idx="228">
                        <c:v>44.248381546333007</c:v>
                      </c:pt>
                      <c:pt idx="229">
                        <c:v>44.248381546333007</c:v>
                      </c:pt>
                      <c:pt idx="230">
                        <c:v>63.898381546332871</c:v>
                      </c:pt>
                      <c:pt idx="231">
                        <c:v>63.898381546332871</c:v>
                      </c:pt>
                      <c:pt idx="232">
                        <c:v>63.898381546332871</c:v>
                      </c:pt>
                      <c:pt idx="233">
                        <c:v>63.898381546332871</c:v>
                      </c:pt>
                      <c:pt idx="234">
                        <c:v>126.29838154633296</c:v>
                      </c:pt>
                      <c:pt idx="235">
                        <c:v>82.868381546332898</c:v>
                      </c:pt>
                      <c:pt idx="236">
                        <c:v>168.66838154633285</c:v>
                      </c:pt>
                      <c:pt idx="237">
                        <c:v>168.66838154633285</c:v>
                      </c:pt>
                      <c:pt idx="238">
                        <c:v>168.66838154633285</c:v>
                      </c:pt>
                      <c:pt idx="239">
                        <c:v>168.66838154633285</c:v>
                      </c:pt>
                      <c:pt idx="240">
                        <c:v>168.66838154633285</c:v>
                      </c:pt>
                      <c:pt idx="241">
                        <c:v>347.91838154633274</c:v>
                      </c:pt>
                      <c:pt idx="242">
                        <c:v>347.91838154633274</c:v>
                      </c:pt>
                      <c:pt idx="243">
                        <c:v>336.66838154633274</c:v>
                      </c:pt>
                      <c:pt idx="244">
                        <c:v>336.66838154633274</c:v>
                      </c:pt>
                      <c:pt idx="245">
                        <c:v>342.51838154633288</c:v>
                      </c:pt>
                      <c:pt idx="246">
                        <c:v>338.21838154633292</c:v>
                      </c:pt>
                      <c:pt idx="247">
                        <c:v>315.81838154633283</c:v>
                      </c:pt>
                      <c:pt idx="248">
                        <c:v>280.51838154633288</c:v>
                      </c:pt>
                      <c:pt idx="249">
                        <c:v>201.31838154633283</c:v>
                      </c:pt>
                      <c:pt idx="250">
                        <c:v>344.11838154633278</c:v>
                      </c:pt>
                      <c:pt idx="251">
                        <c:v>344.11838154633278</c:v>
                      </c:pt>
                      <c:pt idx="252">
                        <c:v>344.11838154633278</c:v>
                      </c:pt>
                      <c:pt idx="253">
                        <c:v>438.61838154633278</c:v>
                      </c:pt>
                      <c:pt idx="254">
                        <c:v>415.57838154633259</c:v>
                      </c:pt>
                      <c:pt idx="255">
                        <c:v>442.29838154633239</c:v>
                      </c:pt>
                      <c:pt idx="256">
                        <c:v>442.29838154633239</c:v>
                      </c:pt>
                      <c:pt idx="257">
                        <c:v>442.29838154633239</c:v>
                      </c:pt>
                      <c:pt idx="258">
                        <c:v>442.29838154633239</c:v>
                      </c:pt>
                      <c:pt idx="259">
                        <c:v>356.69838154633248</c:v>
                      </c:pt>
                      <c:pt idx="260">
                        <c:v>338.87838154633255</c:v>
                      </c:pt>
                      <c:pt idx="261">
                        <c:v>319.19838154633248</c:v>
                      </c:pt>
                      <c:pt idx="262">
                        <c:v>361.89838154633276</c:v>
                      </c:pt>
                      <c:pt idx="263">
                        <c:v>361.89838154633276</c:v>
                      </c:pt>
                      <c:pt idx="264">
                        <c:v>365.63838154633277</c:v>
                      </c:pt>
                      <c:pt idx="265">
                        <c:v>311.15838154633275</c:v>
                      </c:pt>
                      <c:pt idx="266">
                        <c:v>311.15838154633275</c:v>
                      </c:pt>
                      <c:pt idx="267">
                        <c:v>310.73838154633268</c:v>
                      </c:pt>
                      <c:pt idx="268">
                        <c:v>300.97838154633268</c:v>
                      </c:pt>
                      <c:pt idx="269">
                        <c:v>365.41838154633274</c:v>
                      </c:pt>
                      <c:pt idx="270">
                        <c:v>393.49838154633267</c:v>
                      </c:pt>
                      <c:pt idx="271">
                        <c:v>450.82838154633259</c:v>
                      </c:pt>
                      <c:pt idx="272">
                        <c:v>447.22838154633268</c:v>
                      </c:pt>
                      <c:pt idx="273">
                        <c:v>447.22838154633268</c:v>
                      </c:pt>
                      <c:pt idx="274">
                        <c:v>421.97838154633268</c:v>
                      </c:pt>
                      <c:pt idx="275">
                        <c:v>506.12838154633255</c:v>
                      </c:pt>
                      <c:pt idx="276">
                        <c:v>485.24838154633267</c:v>
                      </c:pt>
                      <c:pt idx="277">
                        <c:v>485.24838154633267</c:v>
                      </c:pt>
                      <c:pt idx="278">
                        <c:v>560.64838154633253</c:v>
                      </c:pt>
                      <c:pt idx="279">
                        <c:v>580.64838154633253</c:v>
                      </c:pt>
                      <c:pt idx="280">
                        <c:v>580.64838154633253</c:v>
                      </c:pt>
                      <c:pt idx="281">
                        <c:v>580.64838154633253</c:v>
                      </c:pt>
                      <c:pt idx="282">
                        <c:v>582.84838154633258</c:v>
                      </c:pt>
                      <c:pt idx="283">
                        <c:v>512.14838154633276</c:v>
                      </c:pt>
                      <c:pt idx="284">
                        <c:v>512.14838154633276</c:v>
                      </c:pt>
                      <c:pt idx="285">
                        <c:v>416.74838154633267</c:v>
                      </c:pt>
                      <c:pt idx="286">
                        <c:v>416.74838154633267</c:v>
                      </c:pt>
                      <c:pt idx="287">
                        <c:v>335.61838154633256</c:v>
                      </c:pt>
                      <c:pt idx="288">
                        <c:v>335.61838154633256</c:v>
                      </c:pt>
                      <c:pt idx="289">
                        <c:v>369.51838154633242</c:v>
                      </c:pt>
                      <c:pt idx="290">
                        <c:v>369.51838154633242</c:v>
                      </c:pt>
                      <c:pt idx="291">
                        <c:v>444.51838154633242</c:v>
                      </c:pt>
                      <c:pt idx="292">
                        <c:v>418.76838154633242</c:v>
                      </c:pt>
                      <c:pt idx="293">
                        <c:v>418.76838154633242</c:v>
                      </c:pt>
                      <c:pt idx="294">
                        <c:v>289.80838154633238</c:v>
                      </c:pt>
                      <c:pt idx="295">
                        <c:v>289.80838154633238</c:v>
                      </c:pt>
                      <c:pt idx="296">
                        <c:v>261.31838154633238</c:v>
                      </c:pt>
                      <c:pt idx="297">
                        <c:v>261.31838154633238</c:v>
                      </c:pt>
                      <c:pt idx="298">
                        <c:v>210.11838154633233</c:v>
                      </c:pt>
                      <c:pt idx="299">
                        <c:v>210.11838154633233</c:v>
                      </c:pt>
                      <c:pt idx="300">
                        <c:v>210.11838154633233</c:v>
                      </c:pt>
                      <c:pt idx="301">
                        <c:v>210.11838154633233</c:v>
                      </c:pt>
                      <c:pt idx="302">
                        <c:v>202.73838154633222</c:v>
                      </c:pt>
                      <c:pt idx="303">
                        <c:v>202.73838154633222</c:v>
                      </c:pt>
                      <c:pt idx="304">
                        <c:v>202.73838154633222</c:v>
                      </c:pt>
                      <c:pt idx="305">
                        <c:v>202.73838154633222</c:v>
                      </c:pt>
                      <c:pt idx="306">
                        <c:v>202.73838154633222</c:v>
                      </c:pt>
                      <c:pt idx="307">
                        <c:v>202.73838154633222</c:v>
                      </c:pt>
                      <c:pt idx="308">
                        <c:v>225.07719317717942</c:v>
                      </c:pt>
                      <c:pt idx="309">
                        <c:v>225.07719317717942</c:v>
                      </c:pt>
                      <c:pt idx="310">
                        <c:v>341.47719317717952</c:v>
                      </c:pt>
                      <c:pt idx="311">
                        <c:v>395.65719317717958</c:v>
                      </c:pt>
                      <c:pt idx="312">
                        <c:v>379.00719317717949</c:v>
                      </c:pt>
                      <c:pt idx="313">
                        <c:v>379.00719317717949</c:v>
                      </c:pt>
                      <c:pt idx="314">
                        <c:v>325.10719317717951</c:v>
                      </c:pt>
                      <c:pt idx="315">
                        <c:v>268.85719317717951</c:v>
                      </c:pt>
                      <c:pt idx="316">
                        <c:v>268.85719317717951</c:v>
                      </c:pt>
                      <c:pt idx="317">
                        <c:v>268.85719317717951</c:v>
                      </c:pt>
                      <c:pt idx="318">
                        <c:v>268.85719317717951</c:v>
                      </c:pt>
                      <c:pt idx="319">
                        <c:v>268.85719317717951</c:v>
                      </c:pt>
                      <c:pt idx="320">
                        <c:v>397.51719317717937</c:v>
                      </c:pt>
                      <c:pt idx="321">
                        <c:v>397.51719317717937</c:v>
                      </c:pt>
                      <c:pt idx="322">
                        <c:v>397.51719317717937</c:v>
                      </c:pt>
                      <c:pt idx="323">
                        <c:v>397.51719317717937</c:v>
                      </c:pt>
                      <c:pt idx="324">
                        <c:v>248.95719317717942</c:v>
                      </c:pt>
                      <c:pt idx="325">
                        <c:v>248.95719317717942</c:v>
                      </c:pt>
                      <c:pt idx="326">
                        <c:v>113.20719317717942</c:v>
                      </c:pt>
                      <c:pt idx="327">
                        <c:v>113.20719317717942</c:v>
                      </c:pt>
                      <c:pt idx="328">
                        <c:v>113.20719317717942</c:v>
                      </c:pt>
                      <c:pt idx="329">
                        <c:v>113.20719317717942</c:v>
                      </c:pt>
                      <c:pt idx="330">
                        <c:v>274.15719317717947</c:v>
                      </c:pt>
                      <c:pt idx="331">
                        <c:v>274.15719317717947</c:v>
                      </c:pt>
                      <c:pt idx="332">
                        <c:v>274.15719317717947</c:v>
                      </c:pt>
                      <c:pt idx="333">
                        <c:v>274.15719317717947</c:v>
                      </c:pt>
                      <c:pt idx="334">
                        <c:v>274.15719317717947</c:v>
                      </c:pt>
                      <c:pt idx="335">
                        <c:v>274.15719317717947</c:v>
                      </c:pt>
                      <c:pt idx="336">
                        <c:v>274.15719317717947</c:v>
                      </c:pt>
                      <c:pt idx="337">
                        <c:v>315.55719317717956</c:v>
                      </c:pt>
                      <c:pt idx="338">
                        <c:v>315.55719317717956</c:v>
                      </c:pt>
                      <c:pt idx="339">
                        <c:v>315.55719317717956</c:v>
                      </c:pt>
                      <c:pt idx="340">
                        <c:v>315.55719317717956</c:v>
                      </c:pt>
                      <c:pt idx="341">
                        <c:v>315.55719317717956</c:v>
                      </c:pt>
                      <c:pt idx="342">
                        <c:v>298.75719317717983</c:v>
                      </c:pt>
                      <c:pt idx="343">
                        <c:v>298.75719317717983</c:v>
                      </c:pt>
                      <c:pt idx="344">
                        <c:v>298.75719317717983</c:v>
                      </c:pt>
                      <c:pt idx="345">
                        <c:v>298.75719317717983</c:v>
                      </c:pt>
                      <c:pt idx="346">
                        <c:v>305.25719317717983</c:v>
                      </c:pt>
                    </c:numCache>
                  </c:numRef>
                </c:val>
                <c:smooth val="0"/>
                <c:extLst xmlns:c15="http://schemas.microsoft.com/office/drawing/2012/chart">
                  <c:ext xmlns:c16="http://schemas.microsoft.com/office/drawing/2014/chart" uri="{C3380CC4-5D6E-409C-BE32-E72D297353CC}">
                    <c16:uniqueId val="{00000006-25A9-4B4A-8343-57270F941044}"/>
                  </c:ext>
                </c:extLst>
              </c15:ser>
            </c15:filteredLineSeries>
          </c:ext>
        </c:extLst>
      </c:lineChart>
      <c:catAx>
        <c:axId val="147683023"/>
        <c:scaling>
          <c:orientation val="minMax"/>
        </c:scaling>
        <c:delete val="0"/>
        <c:axPos val="b"/>
        <c:majorGridlines>
          <c:spPr>
            <a:ln w="9525" cap="flat" cmpd="sng" algn="ctr">
              <a:solidFill>
                <a:schemeClr val="tx1">
                  <a:lumMod val="75000"/>
                  <a:lumOff val="25000"/>
                </a:schemeClr>
              </a:solidFill>
              <a:prstDash val="dash"/>
              <a:round/>
            </a:ln>
            <a:effectLst/>
          </c:spPr>
        </c:majorGridlines>
        <c:majorTickMark val="none"/>
        <c:minorTickMark val="none"/>
        <c:tickLblPos val="low"/>
        <c:spPr>
          <a:noFill/>
          <a:ln w="12700" cap="flat" cmpd="sng" algn="ctr">
            <a:solidFill>
              <a:sysClr val="windowText" lastClr="000000"/>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6645279"/>
        <c:crosses val="autoZero"/>
        <c:auto val="1"/>
        <c:lblAlgn val="ctr"/>
        <c:lblOffset val="100"/>
        <c:tickLblSkip val="25"/>
        <c:tickMarkSkip val="25"/>
        <c:noMultiLvlLbl val="0"/>
      </c:catAx>
      <c:valAx>
        <c:axId val="146645279"/>
        <c:scaling>
          <c:orientation val="minMax"/>
          <c:max val="10"/>
          <c:min val="-5"/>
        </c:scaling>
        <c:delete val="0"/>
        <c:axPos val="r"/>
        <c:majorGridlines>
          <c:spPr>
            <a:ln w="9525" cap="flat" cmpd="sng" algn="ctr">
              <a:solidFill>
                <a:schemeClr val="tx1">
                  <a:lumMod val="75000"/>
                  <a:lumOff val="25000"/>
                </a:schemeClr>
              </a:solidFill>
              <a:prstDash val="dash"/>
              <a:round/>
            </a:ln>
            <a:effectLst/>
          </c:spPr>
        </c:majorGridlines>
        <c:numFmt formatCode="0" sourceLinked="0"/>
        <c:majorTickMark val="none"/>
        <c:minorTickMark val="none"/>
        <c:tickLblPos val="high"/>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7683023"/>
        <c:crosses val="max"/>
        <c:crossBetween val="between"/>
      </c:valAx>
      <c:spPr>
        <a:solidFill>
          <a:schemeClr val="tx1">
            <a:lumMod val="65000"/>
            <a:lumOff val="35000"/>
          </a:schemeClr>
        </a:solidFill>
        <a:ln>
          <a:solidFill>
            <a:sysClr val="windowText" lastClr="000000"/>
          </a:solidFill>
        </a:ln>
        <a:effectLst/>
      </c:spPr>
    </c:plotArea>
    <c:legend>
      <c:legendPos val="t"/>
      <c:layout>
        <c:manualLayout>
          <c:xMode val="edge"/>
          <c:yMode val="edge"/>
          <c:x val="0.39634286005511454"/>
          <c:y val="1.2316999395039325E-2"/>
          <c:w val="0.57612618810998151"/>
          <c:h val="4.9614968727820091E-2"/>
        </c:manualLayout>
      </c:layout>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legend>
    <c:plotVisOnly val="0"/>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accent3">
                    <a:lumMod val="75000"/>
                  </a:schemeClr>
                </a:solidFill>
                <a:latin typeface="+mn-lt"/>
                <a:ea typeface="+mn-ea"/>
                <a:cs typeface="+mn-cs"/>
              </a:defRPr>
            </a:pPr>
            <a:r>
              <a:rPr lang="en-US" sz="2000" b="1">
                <a:solidFill>
                  <a:schemeClr val="accent3">
                    <a:lumMod val="75000"/>
                  </a:schemeClr>
                </a:solidFill>
              </a:rPr>
              <a:t>The Three Tiers (INS)</a:t>
            </a:r>
          </a:p>
        </c:rich>
      </c:tx>
      <c:layout>
        <c:manualLayout>
          <c:xMode val="edge"/>
          <c:yMode val="edge"/>
          <c:x val="3.2398075240594924E-2"/>
          <c:y val="2.4198427102238356E-3"/>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accent3">
                  <a:lumMod val="75000"/>
                </a:schemeClr>
              </a:solidFill>
              <a:latin typeface="+mn-lt"/>
              <a:ea typeface="+mn-ea"/>
              <a:cs typeface="+mn-cs"/>
            </a:defRPr>
          </a:pPr>
          <a:endParaRPr lang="en-US"/>
        </a:p>
      </c:txPr>
    </c:title>
    <c:autoTitleDeleted val="0"/>
    <c:plotArea>
      <c:layout>
        <c:manualLayout>
          <c:layoutTarget val="inner"/>
          <c:xMode val="edge"/>
          <c:yMode val="edge"/>
          <c:x val="1.0171058714748035E-2"/>
          <c:y val="7.7350558040499021E-2"/>
          <c:w val="0.95283482768537431"/>
          <c:h val="0.86018548951798435"/>
        </c:manualLayout>
      </c:layout>
      <c:lineChart>
        <c:grouping val="standard"/>
        <c:varyColors val="0"/>
        <c:ser>
          <c:idx val="0"/>
          <c:order val="0"/>
          <c:tx>
            <c:v>Up</c:v>
          </c:tx>
          <c:spPr>
            <a:ln w="28575" cap="rnd">
              <a:solidFill>
                <a:schemeClr val="accent6">
                  <a:lumMod val="75000"/>
                </a:schemeClr>
              </a:solidFill>
              <a:prstDash val="solid"/>
              <a:round/>
            </a:ln>
            <a:effectLst/>
          </c:spPr>
          <c:marker>
            <c:symbol val="none"/>
          </c:marker>
          <c:val>
            <c:numRef>
              <c:f>'2025-Q2'!$FW$4:$FW$422</c:f>
              <c:numCache>
                <c:formatCode>0.00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6.6834991831277585E-2</c:v>
                </c:pt>
                <c:pt idx="40">
                  <c:v>6.6834991831277585E-2</c:v>
                </c:pt>
                <c:pt idx="41">
                  <c:v>6.6834991831277585E-2</c:v>
                </c:pt>
                <c:pt idx="42">
                  <c:v>6.6834991831277585E-2</c:v>
                </c:pt>
                <c:pt idx="43">
                  <c:v>6.6834991831277585E-2</c:v>
                </c:pt>
                <c:pt idx="44">
                  <c:v>6.6834991831277585E-2</c:v>
                </c:pt>
                <c:pt idx="45">
                  <c:v>6.6834991831277585E-2</c:v>
                </c:pt>
                <c:pt idx="46">
                  <c:v>6.6834991831277585E-2</c:v>
                </c:pt>
                <c:pt idx="47">
                  <c:v>6.6834991831277585E-2</c:v>
                </c:pt>
                <c:pt idx="48">
                  <c:v>6.6834991831277585E-2</c:v>
                </c:pt>
                <c:pt idx="49">
                  <c:v>6.6834991831277585E-2</c:v>
                </c:pt>
                <c:pt idx="50">
                  <c:v>6.6834991831277585E-2</c:v>
                </c:pt>
                <c:pt idx="51">
                  <c:v>6.6834991831277585E-2</c:v>
                </c:pt>
                <c:pt idx="52">
                  <c:v>6.6834991831277585E-2</c:v>
                </c:pt>
                <c:pt idx="53">
                  <c:v>6.6834991831277585E-2</c:v>
                </c:pt>
                <c:pt idx="54">
                  <c:v>6.6834991831277585E-2</c:v>
                </c:pt>
                <c:pt idx="55">
                  <c:v>6.6834991831277585E-2</c:v>
                </c:pt>
                <c:pt idx="56">
                  <c:v>6.6834991831277585E-2</c:v>
                </c:pt>
                <c:pt idx="57">
                  <c:v>6.6834991831277585E-2</c:v>
                </c:pt>
                <c:pt idx="58">
                  <c:v>6.6834991831277585E-2</c:v>
                </c:pt>
                <c:pt idx="59">
                  <c:v>6.6834991831277585E-2</c:v>
                </c:pt>
                <c:pt idx="60">
                  <c:v>6.6834991831277585E-2</c:v>
                </c:pt>
                <c:pt idx="61">
                  <c:v>6.6834991831277585E-2</c:v>
                </c:pt>
                <c:pt idx="62">
                  <c:v>6.6834991831277585E-2</c:v>
                </c:pt>
                <c:pt idx="63">
                  <c:v>6.6834991831277585E-2</c:v>
                </c:pt>
                <c:pt idx="64">
                  <c:v>6.6834991831277585E-2</c:v>
                </c:pt>
                <c:pt idx="65">
                  <c:v>6.6834991831277585E-2</c:v>
                </c:pt>
                <c:pt idx="66">
                  <c:v>6.6834991831277585E-2</c:v>
                </c:pt>
                <c:pt idx="67">
                  <c:v>6.6834991831277585E-2</c:v>
                </c:pt>
                <c:pt idx="68">
                  <c:v>6.6834991831277585E-2</c:v>
                </c:pt>
                <c:pt idx="69">
                  <c:v>6.6834991831277585E-2</c:v>
                </c:pt>
                <c:pt idx="70">
                  <c:v>6.6834991831277585E-2</c:v>
                </c:pt>
                <c:pt idx="71">
                  <c:v>6.6834991831277585E-2</c:v>
                </c:pt>
                <c:pt idx="72">
                  <c:v>6.6834991831277585E-2</c:v>
                </c:pt>
                <c:pt idx="73">
                  <c:v>6.6834991831277585E-2</c:v>
                </c:pt>
                <c:pt idx="74">
                  <c:v>6.6834991831277585E-2</c:v>
                </c:pt>
                <c:pt idx="75">
                  <c:v>6.6834991831277585E-2</c:v>
                </c:pt>
                <c:pt idx="76">
                  <c:v>6.6834991831277585E-2</c:v>
                </c:pt>
                <c:pt idx="77">
                  <c:v>6.6834991831277585E-2</c:v>
                </c:pt>
                <c:pt idx="78">
                  <c:v>6.6834991831277585E-2</c:v>
                </c:pt>
                <c:pt idx="79">
                  <c:v>6.6834991831277585E-2</c:v>
                </c:pt>
                <c:pt idx="80">
                  <c:v>6.6834991831277585E-2</c:v>
                </c:pt>
                <c:pt idx="81">
                  <c:v>6.6834991831277585E-2</c:v>
                </c:pt>
                <c:pt idx="82">
                  <c:v>6.6834991831277585E-2</c:v>
                </c:pt>
                <c:pt idx="83">
                  <c:v>6.6834991831277585E-2</c:v>
                </c:pt>
                <c:pt idx="84">
                  <c:v>6.6834991831277585E-2</c:v>
                </c:pt>
                <c:pt idx="85">
                  <c:v>6.6834991831277585E-2</c:v>
                </c:pt>
                <c:pt idx="86">
                  <c:v>6.6834991831277585E-2</c:v>
                </c:pt>
                <c:pt idx="87">
                  <c:v>6.6834991831277585E-2</c:v>
                </c:pt>
                <c:pt idx="88">
                  <c:v>6.6834991831277585E-2</c:v>
                </c:pt>
                <c:pt idx="89">
                  <c:v>6.6834991831277585E-2</c:v>
                </c:pt>
                <c:pt idx="90">
                  <c:v>6.6834991831277585E-2</c:v>
                </c:pt>
                <c:pt idx="91">
                  <c:v>6.6834991831277585E-2</c:v>
                </c:pt>
                <c:pt idx="92">
                  <c:v>6.6834991831277585E-2</c:v>
                </c:pt>
                <c:pt idx="93">
                  <c:v>6.6834991831277585E-2</c:v>
                </c:pt>
                <c:pt idx="94">
                  <c:v>6.6834991831277585E-2</c:v>
                </c:pt>
                <c:pt idx="95">
                  <c:v>6.6834991831277585E-2</c:v>
                </c:pt>
                <c:pt idx="96">
                  <c:v>6.6834991831277585E-2</c:v>
                </c:pt>
                <c:pt idx="97">
                  <c:v>6.6834991831277585E-2</c:v>
                </c:pt>
                <c:pt idx="98">
                  <c:v>6.6834991831277585E-2</c:v>
                </c:pt>
                <c:pt idx="99">
                  <c:v>6.6834991831277585E-2</c:v>
                </c:pt>
                <c:pt idx="100">
                  <c:v>6.6834991831277585E-2</c:v>
                </c:pt>
                <c:pt idx="101">
                  <c:v>6.6834991831277585E-2</c:v>
                </c:pt>
                <c:pt idx="102">
                  <c:v>6.6834991831277585E-2</c:v>
                </c:pt>
                <c:pt idx="103">
                  <c:v>6.6834991831277585E-2</c:v>
                </c:pt>
                <c:pt idx="104">
                  <c:v>6.6834991831277585E-2</c:v>
                </c:pt>
                <c:pt idx="105">
                  <c:v>6.6834991831277585E-2</c:v>
                </c:pt>
                <c:pt idx="106">
                  <c:v>6.6834991831277585E-2</c:v>
                </c:pt>
                <c:pt idx="107">
                  <c:v>6.6834991831277585E-2</c:v>
                </c:pt>
                <c:pt idx="108">
                  <c:v>6.6834991831277585E-2</c:v>
                </c:pt>
                <c:pt idx="109">
                  <c:v>6.6834991831277585E-2</c:v>
                </c:pt>
                <c:pt idx="110">
                  <c:v>6.6834991831277585E-2</c:v>
                </c:pt>
                <c:pt idx="111">
                  <c:v>6.6834991831277585E-2</c:v>
                </c:pt>
                <c:pt idx="112">
                  <c:v>6.6834991831277585E-2</c:v>
                </c:pt>
                <c:pt idx="113">
                  <c:v>6.6834991831277585E-2</c:v>
                </c:pt>
                <c:pt idx="114">
                  <c:v>6.6834991831277585E-2</c:v>
                </c:pt>
                <c:pt idx="115">
                  <c:v>6.6834991831277585E-2</c:v>
                </c:pt>
                <c:pt idx="116">
                  <c:v>6.6834991831277585E-2</c:v>
                </c:pt>
                <c:pt idx="117">
                  <c:v>6.6834991831277585E-2</c:v>
                </c:pt>
                <c:pt idx="118">
                  <c:v>6.6834991831277585E-2</c:v>
                </c:pt>
                <c:pt idx="119">
                  <c:v>6.6834991831277585E-2</c:v>
                </c:pt>
                <c:pt idx="120">
                  <c:v>6.6834991831277585E-2</c:v>
                </c:pt>
                <c:pt idx="121">
                  <c:v>6.6834991831277585E-2</c:v>
                </c:pt>
                <c:pt idx="122">
                  <c:v>6.6834991831277585E-2</c:v>
                </c:pt>
                <c:pt idx="123">
                  <c:v>6.6834991831277585E-2</c:v>
                </c:pt>
                <c:pt idx="124">
                  <c:v>6.6834991831277585E-2</c:v>
                </c:pt>
                <c:pt idx="125">
                  <c:v>6.6834991831277585E-2</c:v>
                </c:pt>
                <c:pt idx="126">
                  <c:v>6.6834991831277585E-2</c:v>
                </c:pt>
                <c:pt idx="127">
                  <c:v>6.6834991831277585E-2</c:v>
                </c:pt>
                <c:pt idx="128">
                  <c:v>6.6834991831277585E-2</c:v>
                </c:pt>
                <c:pt idx="129">
                  <c:v>6.6834991831277585E-2</c:v>
                </c:pt>
                <c:pt idx="130">
                  <c:v>6.6834991831277585E-2</c:v>
                </c:pt>
                <c:pt idx="131">
                  <c:v>6.6834991831277585E-2</c:v>
                </c:pt>
                <c:pt idx="132">
                  <c:v>6.6834991831277585E-2</c:v>
                </c:pt>
                <c:pt idx="133">
                  <c:v>6.6834991831277585E-2</c:v>
                </c:pt>
                <c:pt idx="134">
                  <c:v>6.6834991831277585E-2</c:v>
                </c:pt>
                <c:pt idx="135">
                  <c:v>6.6834991831277585E-2</c:v>
                </c:pt>
                <c:pt idx="136">
                  <c:v>6.6834991831277585E-2</c:v>
                </c:pt>
                <c:pt idx="137">
                  <c:v>6.6834991831277585E-2</c:v>
                </c:pt>
                <c:pt idx="138">
                  <c:v>6.6834991831277585E-2</c:v>
                </c:pt>
                <c:pt idx="139">
                  <c:v>6.6834991831277585E-2</c:v>
                </c:pt>
                <c:pt idx="140">
                  <c:v>6.6834991831277585E-2</c:v>
                </c:pt>
                <c:pt idx="141">
                  <c:v>6.6834991831277585E-2</c:v>
                </c:pt>
                <c:pt idx="142">
                  <c:v>6.6834991831277585E-2</c:v>
                </c:pt>
                <c:pt idx="143">
                  <c:v>6.6834991831277585E-2</c:v>
                </c:pt>
                <c:pt idx="144">
                  <c:v>6.6834991831277585E-2</c:v>
                </c:pt>
                <c:pt idx="145">
                  <c:v>6.6834991831277585E-2</c:v>
                </c:pt>
                <c:pt idx="146">
                  <c:v>6.6834991831277585E-2</c:v>
                </c:pt>
                <c:pt idx="147">
                  <c:v>6.6834991831277585E-2</c:v>
                </c:pt>
                <c:pt idx="148">
                  <c:v>6.6834991831277585E-2</c:v>
                </c:pt>
                <c:pt idx="149">
                  <c:v>6.6834991831277585E-2</c:v>
                </c:pt>
                <c:pt idx="150">
                  <c:v>6.6834991831277585E-2</c:v>
                </c:pt>
                <c:pt idx="151">
                  <c:v>6.6834991831277585E-2</c:v>
                </c:pt>
                <c:pt idx="152">
                  <c:v>6.6834991831277585E-2</c:v>
                </c:pt>
                <c:pt idx="153">
                  <c:v>6.6834991831277585E-2</c:v>
                </c:pt>
                <c:pt idx="154">
                  <c:v>6.6834991831277585E-2</c:v>
                </c:pt>
                <c:pt idx="155">
                  <c:v>6.6834991831277585E-2</c:v>
                </c:pt>
                <c:pt idx="156">
                  <c:v>6.6834991831277585E-2</c:v>
                </c:pt>
                <c:pt idx="157">
                  <c:v>6.6834991831277585E-2</c:v>
                </c:pt>
                <c:pt idx="158">
                  <c:v>6.6834991831277585E-2</c:v>
                </c:pt>
                <c:pt idx="159">
                  <c:v>6.6834991831277585E-2</c:v>
                </c:pt>
                <c:pt idx="160">
                  <c:v>6.6834991831277585E-2</c:v>
                </c:pt>
                <c:pt idx="161">
                  <c:v>6.6834991831277585E-2</c:v>
                </c:pt>
                <c:pt idx="162">
                  <c:v>6.6834991831277585E-2</c:v>
                </c:pt>
                <c:pt idx="163">
                  <c:v>6.6834991831277585E-2</c:v>
                </c:pt>
                <c:pt idx="164">
                  <c:v>6.6834991831277585E-2</c:v>
                </c:pt>
                <c:pt idx="165">
                  <c:v>6.6834991831277585E-2</c:v>
                </c:pt>
                <c:pt idx="166">
                  <c:v>6.6834991831277585E-2</c:v>
                </c:pt>
                <c:pt idx="167">
                  <c:v>6.6834991831277585E-2</c:v>
                </c:pt>
                <c:pt idx="168">
                  <c:v>6.6834991831277585E-2</c:v>
                </c:pt>
                <c:pt idx="169">
                  <c:v>6.6834991831277585E-2</c:v>
                </c:pt>
                <c:pt idx="170">
                  <c:v>6.6834991831277585E-2</c:v>
                </c:pt>
                <c:pt idx="171">
                  <c:v>6.6834991831277585E-2</c:v>
                </c:pt>
                <c:pt idx="172">
                  <c:v>6.6834991831277585E-2</c:v>
                </c:pt>
                <c:pt idx="173">
                  <c:v>6.6834991831277585E-2</c:v>
                </c:pt>
                <c:pt idx="174">
                  <c:v>6.6834991831277585E-2</c:v>
                </c:pt>
                <c:pt idx="175">
                  <c:v>6.6834991831277585E-2</c:v>
                </c:pt>
                <c:pt idx="176">
                  <c:v>6.6834991831277585E-2</c:v>
                </c:pt>
                <c:pt idx="177">
                  <c:v>6.6834991831277585E-2</c:v>
                </c:pt>
                <c:pt idx="178">
                  <c:v>6.6834991831277585E-2</c:v>
                </c:pt>
                <c:pt idx="179">
                  <c:v>6.6834991831277585E-2</c:v>
                </c:pt>
                <c:pt idx="180">
                  <c:v>6.6834991831277585E-2</c:v>
                </c:pt>
                <c:pt idx="181">
                  <c:v>6.6834991831277585E-2</c:v>
                </c:pt>
                <c:pt idx="182">
                  <c:v>6.6834991831277585E-2</c:v>
                </c:pt>
                <c:pt idx="183">
                  <c:v>6.6834991831277585E-2</c:v>
                </c:pt>
                <c:pt idx="184">
                  <c:v>6.6834991831277585E-2</c:v>
                </c:pt>
                <c:pt idx="185">
                  <c:v>6.6834991831277585E-2</c:v>
                </c:pt>
                <c:pt idx="186">
                  <c:v>6.6834991831277585E-2</c:v>
                </c:pt>
                <c:pt idx="187">
                  <c:v>6.6834991831277585E-2</c:v>
                </c:pt>
                <c:pt idx="188">
                  <c:v>6.6834991831277585E-2</c:v>
                </c:pt>
                <c:pt idx="189">
                  <c:v>6.6834991831277585E-2</c:v>
                </c:pt>
                <c:pt idx="190">
                  <c:v>6.6834991831277585E-2</c:v>
                </c:pt>
                <c:pt idx="191">
                  <c:v>6.6834991831277585E-2</c:v>
                </c:pt>
                <c:pt idx="192">
                  <c:v>6.6834991831277585E-2</c:v>
                </c:pt>
                <c:pt idx="193">
                  <c:v>6.6834991831277585E-2</c:v>
                </c:pt>
                <c:pt idx="194">
                  <c:v>6.6834991831277585E-2</c:v>
                </c:pt>
                <c:pt idx="195">
                  <c:v>6.6834991831277585E-2</c:v>
                </c:pt>
                <c:pt idx="196">
                  <c:v>6.6834991831277585E-2</c:v>
                </c:pt>
                <c:pt idx="197">
                  <c:v>6.6834991831277585E-2</c:v>
                </c:pt>
                <c:pt idx="198">
                  <c:v>6.6834991831277585E-2</c:v>
                </c:pt>
                <c:pt idx="199">
                  <c:v>6.6834991831277585E-2</c:v>
                </c:pt>
                <c:pt idx="200">
                  <c:v>6.6834991831277585E-2</c:v>
                </c:pt>
                <c:pt idx="201">
                  <c:v>6.6834991831277585E-2</c:v>
                </c:pt>
                <c:pt idx="202">
                  <c:v>6.6834991831277585E-2</c:v>
                </c:pt>
                <c:pt idx="203">
                  <c:v>6.6834991831277585E-2</c:v>
                </c:pt>
                <c:pt idx="204">
                  <c:v>6.6834991831277585E-2</c:v>
                </c:pt>
                <c:pt idx="205">
                  <c:v>6.6834991831277585E-2</c:v>
                </c:pt>
                <c:pt idx="206">
                  <c:v>6.6834991831277585E-2</c:v>
                </c:pt>
                <c:pt idx="207">
                  <c:v>6.6834991831277585E-2</c:v>
                </c:pt>
                <c:pt idx="208">
                  <c:v>6.6834991831277585E-2</c:v>
                </c:pt>
                <c:pt idx="209">
                  <c:v>6.6834991831277585E-2</c:v>
                </c:pt>
                <c:pt idx="210">
                  <c:v>6.6834991831277585E-2</c:v>
                </c:pt>
                <c:pt idx="211">
                  <c:v>6.6834991831277585E-2</c:v>
                </c:pt>
                <c:pt idx="212">
                  <c:v>6.6834991831277585E-2</c:v>
                </c:pt>
                <c:pt idx="213">
                  <c:v>6.6834991831277585E-2</c:v>
                </c:pt>
                <c:pt idx="214">
                  <c:v>6.6834991831277585E-2</c:v>
                </c:pt>
                <c:pt idx="215">
                  <c:v>6.6834991831277585E-2</c:v>
                </c:pt>
                <c:pt idx="216">
                  <c:v>6.6834991831277585E-2</c:v>
                </c:pt>
                <c:pt idx="217">
                  <c:v>6.6834991831277585E-2</c:v>
                </c:pt>
                <c:pt idx="218">
                  <c:v>6.6834991831277585E-2</c:v>
                </c:pt>
                <c:pt idx="219">
                  <c:v>6.6834991831277585E-2</c:v>
                </c:pt>
                <c:pt idx="220">
                  <c:v>6.6834991831277585E-2</c:v>
                </c:pt>
                <c:pt idx="221">
                  <c:v>6.6834991831277585E-2</c:v>
                </c:pt>
                <c:pt idx="222">
                  <c:v>6.6834991831277585E-2</c:v>
                </c:pt>
                <c:pt idx="223">
                  <c:v>6.6834991831277585E-2</c:v>
                </c:pt>
                <c:pt idx="224">
                  <c:v>6.6834991831277585E-2</c:v>
                </c:pt>
                <c:pt idx="225">
                  <c:v>6.6834991831277585E-2</c:v>
                </c:pt>
                <c:pt idx="226">
                  <c:v>6.6834991831277585E-2</c:v>
                </c:pt>
                <c:pt idx="227">
                  <c:v>6.6834991831277585E-2</c:v>
                </c:pt>
                <c:pt idx="228">
                  <c:v>6.6834991831277585E-2</c:v>
                </c:pt>
                <c:pt idx="229">
                  <c:v>6.6834991831277585E-2</c:v>
                </c:pt>
                <c:pt idx="230">
                  <c:v>6.6834991831277585E-2</c:v>
                </c:pt>
                <c:pt idx="231">
                  <c:v>6.6834991831277585E-2</c:v>
                </c:pt>
                <c:pt idx="232">
                  <c:v>6.6834991831277585E-2</c:v>
                </c:pt>
                <c:pt idx="233">
                  <c:v>6.6834991831277585E-2</c:v>
                </c:pt>
                <c:pt idx="234">
                  <c:v>6.6834991831277585E-2</c:v>
                </c:pt>
                <c:pt idx="235">
                  <c:v>6.6834991831277585E-2</c:v>
                </c:pt>
                <c:pt idx="236">
                  <c:v>6.6834991831277585E-2</c:v>
                </c:pt>
                <c:pt idx="237">
                  <c:v>6.6834991831277585E-2</c:v>
                </c:pt>
                <c:pt idx="238">
                  <c:v>6.6834991831277585E-2</c:v>
                </c:pt>
                <c:pt idx="239">
                  <c:v>6.6834991831277585E-2</c:v>
                </c:pt>
                <c:pt idx="240">
                  <c:v>6.6834991831277585E-2</c:v>
                </c:pt>
                <c:pt idx="241">
                  <c:v>6.6834991831277585E-2</c:v>
                </c:pt>
                <c:pt idx="242">
                  <c:v>6.6834991831277585E-2</c:v>
                </c:pt>
                <c:pt idx="243">
                  <c:v>6.6834991831277585E-2</c:v>
                </c:pt>
                <c:pt idx="244">
                  <c:v>6.6834991831277585E-2</c:v>
                </c:pt>
                <c:pt idx="245">
                  <c:v>6.6834991831277585E-2</c:v>
                </c:pt>
                <c:pt idx="246">
                  <c:v>6.6834991831277585E-2</c:v>
                </c:pt>
                <c:pt idx="247">
                  <c:v>6.6834991831277585E-2</c:v>
                </c:pt>
                <c:pt idx="248">
                  <c:v>6.6834991831277585E-2</c:v>
                </c:pt>
                <c:pt idx="249">
                  <c:v>6.6834991831277585E-2</c:v>
                </c:pt>
                <c:pt idx="250">
                  <c:v>6.6834991831277585E-2</c:v>
                </c:pt>
                <c:pt idx="251">
                  <c:v>6.6834991831277585E-2</c:v>
                </c:pt>
                <c:pt idx="252">
                  <c:v>6.6834991831277585E-2</c:v>
                </c:pt>
                <c:pt idx="253">
                  <c:v>6.6834991831277585E-2</c:v>
                </c:pt>
                <c:pt idx="254">
                  <c:v>6.6834991831277585E-2</c:v>
                </c:pt>
                <c:pt idx="255">
                  <c:v>6.6834991831277585E-2</c:v>
                </c:pt>
                <c:pt idx="256">
                  <c:v>6.6834991831277585E-2</c:v>
                </c:pt>
                <c:pt idx="257">
                  <c:v>6.6834991831277585E-2</c:v>
                </c:pt>
                <c:pt idx="258">
                  <c:v>6.6834991831277585E-2</c:v>
                </c:pt>
                <c:pt idx="259">
                  <c:v>6.6834991831277585E-2</c:v>
                </c:pt>
                <c:pt idx="260">
                  <c:v>6.6834991831277585E-2</c:v>
                </c:pt>
                <c:pt idx="261">
                  <c:v>6.6834991831277585E-2</c:v>
                </c:pt>
                <c:pt idx="262">
                  <c:v>6.6834991831277585E-2</c:v>
                </c:pt>
                <c:pt idx="263">
                  <c:v>6.6834991831277585E-2</c:v>
                </c:pt>
                <c:pt idx="264">
                  <c:v>6.6834991831277585E-2</c:v>
                </c:pt>
                <c:pt idx="265">
                  <c:v>6.6834991831277585E-2</c:v>
                </c:pt>
                <c:pt idx="266">
                  <c:v>6.6834991831277585E-2</c:v>
                </c:pt>
                <c:pt idx="267">
                  <c:v>6.6834991831277585E-2</c:v>
                </c:pt>
                <c:pt idx="268">
                  <c:v>6.6834991831277585E-2</c:v>
                </c:pt>
                <c:pt idx="269">
                  <c:v>6.6834991831277585E-2</c:v>
                </c:pt>
                <c:pt idx="270">
                  <c:v>6.6834991831277585E-2</c:v>
                </c:pt>
                <c:pt idx="271">
                  <c:v>6.6834991831277585E-2</c:v>
                </c:pt>
                <c:pt idx="272">
                  <c:v>6.6834991831277585E-2</c:v>
                </c:pt>
                <c:pt idx="273">
                  <c:v>6.6834991831277585E-2</c:v>
                </c:pt>
                <c:pt idx="274">
                  <c:v>6.6834991831277585E-2</c:v>
                </c:pt>
                <c:pt idx="275">
                  <c:v>6.6834991831277585E-2</c:v>
                </c:pt>
                <c:pt idx="276">
                  <c:v>6.6834991831277585E-2</c:v>
                </c:pt>
                <c:pt idx="277">
                  <c:v>6.6834991831277585E-2</c:v>
                </c:pt>
                <c:pt idx="278">
                  <c:v>6.6834991831277585E-2</c:v>
                </c:pt>
                <c:pt idx="279">
                  <c:v>6.6834991831277585E-2</c:v>
                </c:pt>
                <c:pt idx="280">
                  <c:v>6.6834991831277585E-2</c:v>
                </c:pt>
                <c:pt idx="281">
                  <c:v>6.6834991831277585E-2</c:v>
                </c:pt>
                <c:pt idx="282">
                  <c:v>6.6834991831277585E-2</c:v>
                </c:pt>
                <c:pt idx="283">
                  <c:v>6.6834991831277585E-2</c:v>
                </c:pt>
                <c:pt idx="284">
                  <c:v>6.6834991831277585E-2</c:v>
                </c:pt>
                <c:pt idx="285">
                  <c:v>6.6834991831277585E-2</c:v>
                </c:pt>
                <c:pt idx="286">
                  <c:v>6.6834991831277585E-2</c:v>
                </c:pt>
                <c:pt idx="287">
                  <c:v>6.6834991831277585E-2</c:v>
                </c:pt>
                <c:pt idx="288">
                  <c:v>6.6834991831277585E-2</c:v>
                </c:pt>
                <c:pt idx="289">
                  <c:v>6.6834991831277585E-2</c:v>
                </c:pt>
                <c:pt idx="290">
                  <c:v>6.6834991831277585E-2</c:v>
                </c:pt>
                <c:pt idx="291">
                  <c:v>6.6834991831277585E-2</c:v>
                </c:pt>
                <c:pt idx="292">
                  <c:v>6.6834991831277585E-2</c:v>
                </c:pt>
                <c:pt idx="293">
                  <c:v>6.6834991831277585E-2</c:v>
                </c:pt>
                <c:pt idx="294">
                  <c:v>6.6834991831277585E-2</c:v>
                </c:pt>
                <c:pt idx="295">
                  <c:v>6.6834991831277585E-2</c:v>
                </c:pt>
                <c:pt idx="296">
                  <c:v>6.6834991831277585E-2</c:v>
                </c:pt>
                <c:pt idx="297">
                  <c:v>6.6834991831277585E-2</c:v>
                </c:pt>
                <c:pt idx="298">
                  <c:v>6.6834991831277585E-2</c:v>
                </c:pt>
                <c:pt idx="299">
                  <c:v>6.6834991831277585E-2</c:v>
                </c:pt>
                <c:pt idx="300">
                  <c:v>6.6834991831277585E-2</c:v>
                </c:pt>
                <c:pt idx="301">
                  <c:v>6.6834991831277585E-2</c:v>
                </c:pt>
                <c:pt idx="302">
                  <c:v>6.6834991831277585E-2</c:v>
                </c:pt>
                <c:pt idx="303">
                  <c:v>6.6834991831277585E-2</c:v>
                </c:pt>
                <c:pt idx="304">
                  <c:v>6.6834991831277585E-2</c:v>
                </c:pt>
                <c:pt idx="305">
                  <c:v>6.6834991831277585E-2</c:v>
                </c:pt>
                <c:pt idx="306">
                  <c:v>6.6834991831277585E-2</c:v>
                </c:pt>
                <c:pt idx="307">
                  <c:v>6.6834991831277585E-2</c:v>
                </c:pt>
                <c:pt idx="308">
                  <c:v>6.6834991831277585E-2</c:v>
                </c:pt>
                <c:pt idx="309">
                  <c:v>6.6834991831277585E-2</c:v>
                </c:pt>
                <c:pt idx="310">
                  <c:v>6.6834991831277585E-2</c:v>
                </c:pt>
                <c:pt idx="311">
                  <c:v>6.6834991831277585E-2</c:v>
                </c:pt>
                <c:pt idx="312">
                  <c:v>6.6834991831277585E-2</c:v>
                </c:pt>
                <c:pt idx="313">
                  <c:v>6.6834991831277585E-2</c:v>
                </c:pt>
                <c:pt idx="314">
                  <c:v>6.6834991831277585E-2</c:v>
                </c:pt>
                <c:pt idx="315">
                  <c:v>6.6834991831277585E-2</c:v>
                </c:pt>
                <c:pt idx="316">
                  <c:v>6.6834991831277585E-2</c:v>
                </c:pt>
                <c:pt idx="317">
                  <c:v>6.6834991831277585E-2</c:v>
                </c:pt>
                <c:pt idx="318">
                  <c:v>6.6834991831277585E-2</c:v>
                </c:pt>
                <c:pt idx="319">
                  <c:v>6.6834991831277585E-2</c:v>
                </c:pt>
                <c:pt idx="320">
                  <c:v>6.6834991831277585E-2</c:v>
                </c:pt>
                <c:pt idx="321">
                  <c:v>6.6834991831277585E-2</c:v>
                </c:pt>
                <c:pt idx="322">
                  <c:v>6.6834991831277585E-2</c:v>
                </c:pt>
                <c:pt idx="323">
                  <c:v>6.6834991831277585E-2</c:v>
                </c:pt>
                <c:pt idx="324">
                  <c:v>6.6834991831277585E-2</c:v>
                </c:pt>
                <c:pt idx="325">
                  <c:v>6.6834991831277585E-2</c:v>
                </c:pt>
                <c:pt idx="326">
                  <c:v>6.6834991831277585E-2</c:v>
                </c:pt>
                <c:pt idx="327">
                  <c:v>6.6834991831277585E-2</c:v>
                </c:pt>
                <c:pt idx="328">
                  <c:v>6.6834991831277585E-2</c:v>
                </c:pt>
                <c:pt idx="329">
                  <c:v>6.6834991831277585E-2</c:v>
                </c:pt>
                <c:pt idx="330">
                  <c:v>6.6834991831277585E-2</c:v>
                </c:pt>
                <c:pt idx="331">
                  <c:v>6.6834991831277585E-2</c:v>
                </c:pt>
                <c:pt idx="332">
                  <c:v>6.6834991831277585E-2</c:v>
                </c:pt>
                <c:pt idx="333">
                  <c:v>6.6834991831277585E-2</c:v>
                </c:pt>
                <c:pt idx="334">
                  <c:v>6.6834991831277585E-2</c:v>
                </c:pt>
                <c:pt idx="335">
                  <c:v>6.6834991831277585E-2</c:v>
                </c:pt>
                <c:pt idx="336">
                  <c:v>6.6834991831277585E-2</c:v>
                </c:pt>
                <c:pt idx="337">
                  <c:v>6.6834991831277585E-2</c:v>
                </c:pt>
                <c:pt idx="338">
                  <c:v>6.6834991831277585E-2</c:v>
                </c:pt>
                <c:pt idx="339">
                  <c:v>6.6834991831277585E-2</c:v>
                </c:pt>
                <c:pt idx="340">
                  <c:v>6.6834991831277585E-2</c:v>
                </c:pt>
                <c:pt idx="341">
                  <c:v>6.6834991831277585E-2</c:v>
                </c:pt>
                <c:pt idx="342">
                  <c:v>6.6834991831277585E-2</c:v>
                </c:pt>
                <c:pt idx="343">
                  <c:v>6.6834991831277585E-2</c:v>
                </c:pt>
                <c:pt idx="344">
                  <c:v>6.6834991831277585E-2</c:v>
                </c:pt>
                <c:pt idx="345">
                  <c:v>6.6834991831277585E-2</c:v>
                </c:pt>
                <c:pt idx="346">
                  <c:v>6.6834991831277585E-2</c:v>
                </c:pt>
                <c:pt idx="347">
                  <c:v>6.6834991831277585E-2</c:v>
                </c:pt>
                <c:pt idx="348">
                  <c:v>6.6834991831277585E-2</c:v>
                </c:pt>
                <c:pt idx="349">
                  <c:v>6.6834991831277585E-2</c:v>
                </c:pt>
                <c:pt idx="350">
                  <c:v>6.6834991831277585E-2</c:v>
                </c:pt>
                <c:pt idx="351">
                  <c:v>6.6834991831277585E-2</c:v>
                </c:pt>
                <c:pt idx="352">
                  <c:v>6.6834991831277585E-2</c:v>
                </c:pt>
                <c:pt idx="353">
                  <c:v>6.6834991831277585E-2</c:v>
                </c:pt>
                <c:pt idx="354">
                  <c:v>6.6834991831277585E-2</c:v>
                </c:pt>
                <c:pt idx="355">
                  <c:v>6.6834991831277585E-2</c:v>
                </c:pt>
                <c:pt idx="356">
                  <c:v>6.6834991831277585E-2</c:v>
                </c:pt>
                <c:pt idx="357">
                  <c:v>6.6834991831277585E-2</c:v>
                </c:pt>
                <c:pt idx="358">
                  <c:v>6.6834991831277585E-2</c:v>
                </c:pt>
                <c:pt idx="359">
                  <c:v>6.6834991831277585E-2</c:v>
                </c:pt>
                <c:pt idx="360">
                  <c:v>6.6834991831277585E-2</c:v>
                </c:pt>
                <c:pt idx="361">
                  <c:v>6.6834991831277585E-2</c:v>
                </c:pt>
                <c:pt idx="362">
                  <c:v>6.6834991831277585E-2</c:v>
                </c:pt>
                <c:pt idx="363">
                  <c:v>6.6834991831277585E-2</c:v>
                </c:pt>
                <c:pt idx="364">
                  <c:v>6.6834991831277585E-2</c:v>
                </c:pt>
                <c:pt idx="365">
                  <c:v>6.6834991831277585E-2</c:v>
                </c:pt>
                <c:pt idx="366">
                  <c:v>6.6834991831277585E-2</c:v>
                </c:pt>
                <c:pt idx="367">
                  <c:v>6.6834991831277585E-2</c:v>
                </c:pt>
                <c:pt idx="368">
                  <c:v>6.6834991831277585E-2</c:v>
                </c:pt>
                <c:pt idx="369">
                  <c:v>6.6834991831277585E-2</c:v>
                </c:pt>
                <c:pt idx="370">
                  <c:v>6.6834991831277585E-2</c:v>
                </c:pt>
                <c:pt idx="371">
                  <c:v>6.6834991831277585E-2</c:v>
                </c:pt>
                <c:pt idx="372">
                  <c:v>6.6834991831277585E-2</c:v>
                </c:pt>
                <c:pt idx="373">
                  <c:v>6.6834991831277585E-2</c:v>
                </c:pt>
                <c:pt idx="374">
                  <c:v>6.6834991831277585E-2</c:v>
                </c:pt>
                <c:pt idx="375">
                  <c:v>6.6834991831277585E-2</c:v>
                </c:pt>
                <c:pt idx="376">
                  <c:v>6.6834991831277585E-2</c:v>
                </c:pt>
                <c:pt idx="377">
                  <c:v>6.6834991831277585E-2</c:v>
                </c:pt>
                <c:pt idx="378">
                  <c:v>6.6834991831277585E-2</c:v>
                </c:pt>
                <c:pt idx="379">
                  <c:v>6.6834991831277585E-2</c:v>
                </c:pt>
                <c:pt idx="380">
                  <c:v>6.6834991831277585E-2</c:v>
                </c:pt>
                <c:pt idx="381">
                  <c:v>6.6834991831277585E-2</c:v>
                </c:pt>
                <c:pt idx="382">
                  <c:v>6.6834991831277585E-2</c:v>
                </c:pt>
                <c:pt idx="383">
                  <c:v>6.6834991831277585E-2</c:v>
                </c:pt>
                <c:pt idx="384">
                  <c:v>6.6834991831277585E-2</c:v>
                </c:pt>
                <c:pt idx="385">
                  <c:v>6.6834991831277585E-2</c:v>
                </c:pt>
                <c:pt idx="386">
                  <c:v>6.6834991831277585E-2</c:v>
                </c:pt>
                <c:pt idx="387">
                  <c:v>6.6834991831277585E-2</c:v>
                </c:pt>
                <c:pt idx="388">
                  <c:v>6.6834991831277585E-2</c:v>
                </c:pt>
                <c:pt idx="389">
                  <c:v>6.6834991831277585E-2</c:v>
                </c:pt>
                <c:pt idx="390">
                  <c:v>6.6834991831277585E-2</c:v>
                </c:pt>
                <c:pt idx="391">
                  <c:v>6.6834991831277585E-2</c:v>
                </c:pt>
                <c:pt idx="392">
                  <c:v>6.6834991831277585E-2</c:v>
                </c:pt>
                <c:pt idx="393">
                  <c:v>6.6834991831277585E-2</c:v>
                </c:pt>
                <c:pt idx="394">
                  <c:v>6.6834991831277585E-2</c:v>
                </c:pt>
                <c:pt idx="395">
                  <c:v>6.6834991831277585E-2</c:v>
                </c:pt>
                <c:pt idx="396">
                  <c:v>6.6834991831277585E-2</c:v>
                </c:pt>
                <c:pt idx="397">
                  <c:v>6.6834991831277585E-2</c:v>
                </c:pt>
                <c:pt idx="398">
                  <c:v>6.6834991831277585E-2</c:v>
                </c:pt>
                <c:pt idx="399">
                  <c:v>6.6834991831277585E-2</c:v>
                </c:pt>
                <c:pt idx="400">
                  <c:v>6.6834991831277585E-2</c:v>
                </c:pt>
                <c:pt idx="401">
                  <c:v>6.6834991831277585E-2</c:v>
                </c:pt>
                <c:pt idx="402">
                  <c:v>6.6834991831277585E-2</c:v>
                </c:pt>
                <c:pt idx="403">
                  <c:v>6.6834991831277585E-2</c:v>
                </c:pt>
                <c:pt idx="404">
                  <c:v>6.6834991831277585E-2</c:v>
                </c:pt>
                <c:pt idx="405">
                  <c:v>6.6834991831277585E-2</c:v>
                </c:pt>
                <c:pt idx="406">
                  <c:v>6.6834991831277585E-2</c:v>
                </c:pt>
                <c:pt idx="407">
                  <c:v>6.6834991831277585E-2</c:v>
                </c:pt>
                <c:pt idx="408">
                  <c:v>6.6834991831277585E-2</c:v>
                </c:pt>
                <c:pt idx="409">
                  <c:v>6.6834991831277585E-2</c:v>
                </c:pt>
                <c:pt idx="410">
                  <c:v>6.6834991831277585E-2</c:v>
                </c:pt>
                <c:pt idx="411">
                  <c:v>6.6834991831277585E-2</c:v>
                </c:pt>
                <c:pt idx="412">
                  <c:v>6.6834991831277585E-2</c:v>
                </c:pt>
                <c:pt idx="413">
                  <c:v>6.6834991831277585E-2</c:v>
                </c:pt>
                <c:pt idx="414">
                  <c:v>6.6834991831277585E-2</c:v>
                </c:pt>
                <c:pt idx="415">
                  <c:v>6.6834991831277585E-2</c:v>
                </c:pt>
                <c:pt idx="416">
                  <c:v>6.6834991831277585E-2</c:v>
                </c:pt>
                <c:pt idx="417">
                  <c:v>6.6834991831277585E-2</c:v>
                </c:pt>
                <c:pt idx="418">
                  <c:v>6.6834991831277585E-2</c:v>
                </c:pt>
              </c:numCache>
            </c:numRef>
          </c:val>
          <c:smooth val="1"/>
          <c:extLst>
            <c:ext xmlns:c16="http://schemas.microsoft.com/office/drawing/2014/chart" uri="{C3380CC4-5D6E-409C-BE32-E72D297353CC}">
              <c16:uniqueId val="{00000000-77EB-4CF6-A82F-87CE09EC25EC}"/>
            </c:ext>
          </c:extLst>
        </c:ser>
        <c:ser>
          <c:idx val="1"/>
          <c:order val="2"/>
          <c:tx>
            <c:v>Dwn</c:v>
          </c:tx>
          <c:spPr>
            <a:ln w="28575" cap="rnd">
              <a:solidFill>
                <a:schemeClr val="accent2"/>
              </a:solidFill>
              <a:prstDash val="solid"/>
              <a:round/>
            </a:ln>
            <a:effectLst/>
          </c:spPr>
          <c:marker>
            <c:symbol val="none"/>
          </c:marker>
          <c:val>
            <c:numRef>
              <c:f>'2025-Q2'!$FY$4:$FY$422</c:f>
              <c:numCache>
                <c:formatCode>0.00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5.6794210235938045E-2</c:v>
                </c:pt>
                <c:pt idx="177">
                  <c:v>5.6794210235938045E-2</c:v>
                </c:pt>
                <c:pt idx="178">
                  <c:v>5.6794210235938045E-2</c:v>
                </c:pt>
                <c:pt idx="179">
                  <c:v>5.6794210235938045E-2</c:v>
                </c:pt>
                <c:pt idx="180">
                  <c:v>5.6794210235938045E-2</c:v>
                </c:pt>
                <c:pt idx="181">
                  <c:v>5.6794210235938045E-2</c:v>
                </c:pt>
                <c:pt idx="182">
                  <c:v>5.6794210235938045E-2</c:v>
                </c:pt>
                <c:pt idx="183">
                  <c:v>5.6794210235938045E-2</c:v>
                </c:pt>
                <c:pt idx="184">
                  <c:v>5.6794210235938045E-2</c:v>
                </c:pt>
                <c:pt idx="185">
                  <c:v>5.6794210235938045E-2</c:v>
                </c:pt>
                <c:pt idx="186">
                  <c:v>5.6794210235938045E-2</c:v>
                </c:pt>
                <c:pt idx="187">
                  <c:v>5.6794210235938045E-2</c:v>
                </c:pt>
                <c:pt idx="188">
                  <c:v>5.6794210235938045E-2</c:v>
                </c:pt>
                <c:pt idx="189">
                  <c:v>-0.16102012791805576</c:v>
                </c:pt>
                <c:pt idx="190">
                  <c:v>-0.16102012791805576</c:v>
                </c:pt>
                <c:pt idx="191">
                  <c:v>-0.16102012791805576</c:v>
                </c:pt>
                <c:pt idx="192">
                  <c:v>-0.16102012791805576</c:v>
                </c:pt>
                <c:pt idx="193">
                  <c:v>-0.16102012791805576</c:v>
                </c:pt>
                <c:pt idx="194">
                  <c:v>-0.16102012791805576</c:v>
                </c:pt>
                <c:pt idx="195">
                  <c:v>-0.16102012791805576</c:v>
                </c:pt>
                <c:pt idx="196">
                  <c:v>-0.16102012791805576</c:v>
                </c:pt>
                <c:pt idx="197">
                  <c:v>-0.16102012791805576</c:v>
                </c:pt>
                <c:pt idx="198">
                  <c:v>-0.16102012791805576</c:v>
                </c:pt>
                <c:pt idx="199">
                  <c:v>-0.16102012791805576</c:v>
                </c:pt>
                <c:pt idx="200">
                  <c:v>-0.16102012791805576</c:v>
                </c:pt>
                <c:pt idx="201">
                  <c:v>-0.16102012791805576</c:v>
                </c:pt>
                <c:pt idx="202">
                  <c:v>-0.16102012791805576</c:v>
                </c:pt>
                <c:pt idx="203">
                  <c:v>-0.16102012791805576</c:v>
                </c:pt>
                <c:pt idx="204">
                  <c:v>-0.16102012791805576</c:v>
                </c:pt>
                <c:pt idx="205">
                  <c:v>-0.16102012791805576</c:v>
                </c:pt>
                <c:pt idx="206">
                  <c:v>-0.16102012791805576</c:v>
                </c:pt>
                <c:pt idx="207">
                  <c:v>-0.16102012791805576</c:v>
                </c:pt>
                <c:pt idx="208">
                  <c:v>-0.16102012791805576</c:v>
                </c:pt>
                <c:pt idx="209">
                  <c:v>-0.16102012791805576</c:v>
                </c:pt>
                <c:pt idx="210">
                  <c:v>-0.16102012791805576</c:v>
                </c:pt>
                <c:pt idx="211">
                  <c:v>-0.16102012791805576</c:v>
                </c:pt>
                <c:pt idx="212">
                  <c:v>-0.16102012791805576</c:v>
                </c:pt>
                <c:pt idx="213">
                  <c:v>-0.16102012791805576</c:v>
                </c:pt>
                <c:pt idx="214">
                  <c:v>-0.16102012791805576</c:v>
                </c:pt>
                <c:pt idx="215">
                  <c:v>-0.16102012791805576</c:v>
                </c:pt>
                <c:pt idx="216">
                  <c:v>-0.16102012791805576</c:v>
                </c:pt>
                <c:pt idx="217">
                  <c:v>-0.16102012791805576</c:v>
                </c:pt>
                <c:pt idx="218">
                  <c:v>-0.16102012791805576</c:v>
                </c:pt>
                <c:pt idx="219">
                  <c:v>-0.16102012791805576</c:v>
                </c:pt>
                <c:pt idx="220">
                  <c:v>-0.16102012791805576</c:v>
                </c:pt>
                <c:pt idx="221">
                  <c:v>-0.16102012791805576</c:v>
                </c:pt>
                <c:pt idx="222">
                  <c:v>-0.16102012791805576</c:v>
                </c:pt>
                <c:pt idx="223">
                  <c:v>-0.16102012791805576</c:v>
                </c:pt>
                <c:pt idx="224">
                  <c:v>-0.16102012791805576</c:v>
                </c:pt>
                <c:pt idx="225">
                  <c:v>-0.16102012791805576</c:v>
                </c:pt>
                <c:pt idx="226">
                  <c:v>-0.16102012791805576</c:v>
                </c:pt>
                <c:pt idx="227">
                  <c:v>-0.16102012791805576</c:v>
                </c:pt>
                <c:pt idx="228">
                  <c:v>-0.16102012791805576</c:v>
                </c:pt>
                <c:pt idx="229">
                  <c:v>-0.16102012791805576</c:v>
                </c:pt>
                <c:pt idx="230">
                  <c:v>-0.16102012791805576</c:v>
                </c:pt>
                <c:pt idx="231">
                  <c:v>-0.16102012791805576</c:v>
                </c:pt>
                <c:pt idx="232">
                  <c:v>-0.16102012791805576</c:v>
                </c:pt>
                <c:pt idx="233">
                  <c:v>-0.16102012791805576</c:v>
                </c:pt>
                <c:pt idx="234">
                  <c:v>-0.16102012791805576</c:v>
                </c:pt>
                <c:pt idx="235">
                  <c:v>-0.16102012791805576</c:v>
                </c:pt>
                <c:pt idx="236">
                  <c:v>-0.16102012791805576</c:v>
                </c:pt>
                <c:pt idx="237">
                  <c:v>-0.16102012791805576</c:v>
                </c:pt>
                <c:pt idx="238">
                  <c:v>-0.16102012791805576</c:v>
                </c:pt>
                <c:pt idx="239">
                  <c:v>-0.16102012791805576</c:v>
                </c:pt>
                <c:pt idx="240">
                  <c:v>-0.16102012791805576</c:v>
                </c:pt>
                <c:pt idx="241">
                  <c:v>-0.16102012791805576</c:v>
                </c:pt>
                <c:pt idx="242">
                  <c:v>-0.16102012791805576</c:v>
                </c:pt>
                <c:pt idx="243">
                  <c:v>-0.16102012791805576</c:v>
                </c:pt>
                <c:pt idx="244">
                  <c:v>-0.16102012791805576</c:v>
                </c:pt>
                <c:pt idx="245">
                  <c:v>-0.16102012791805576</c:v>
                </c:pt>
                <c:pt idx="246">
                  <c:v>-0.16102012791805576</c:v>
                </c:pt>
                <c:pt idx="247">
                  <c:v>-0.16102012791805576</c:v>
                </c:pt>
                <c:pt idx="248">
                  <c:v>-0.16102012791805576</c:v>
                </c:pt>
                <c:pt idx="249">
                  <c:v>-0.16102012791805576</c:v>
                </c:pt>
                <c:pt idx="250">
                  <c:v>-0.16102012791805576</c:v>
                </c:pt>
                <c:pt idx="251">
                  <c:v>-0.16102012791805576</c:v>
                </c:pt>
                <c:pt idx="252">
                  <c:v>-0.16102012791805576</c:v>
                </c:pt>
                <c:pt idx="253">
                  <c:v>-0.16102012791805576</c:v>
                </c:pt>
                <c:pt idx="254">
                  <c:v>-0.16102012791805576</c:v>
                </c:pt>
                <c:pt idx="255">
                  <c:v>-0.16102012791805576</c:v>
                </c:pt>
                <c:pt idx="256">
                  <c:v>-0.16102012791805576</c:v>
                </c:pt>
                <c:pt idx="257">
                  <c:v>-0.16102012791805576</c:v>
                </c:pt>
                <c:pt idx="258">
                  <c:v>-0.16102012791805576</c:v>
                </c:pt>
                <c:pt idx="259">
                  <c:v>-0.16102012791805576</c:v>
                </c:pt>
                <c:pt idx="260">
                  <c:v>-0.16102012791805576</c:v>
                </c:pt>
                <c:pt idx="261">
                  <c:v>-0.16102012791805576</c:v>
                </c:pt>
                <c:pt idx="262">
                  <c:v>-0.16102012791805576</c:v>
                </c:pt>
                <c:pt idx="263">
                  <c:v>-0.16102012791805576</c:v>
                </c:pt>
                <c:pt idx="264">
                  <c:v>-0.16102012791805576</c:v>
                </c:pt>
                <c:pt idx="265">
                  <c:v>-0.16102012791805576</c:v>
                </c:pt>
                <c:pt idx="266">
                  <c:v>-0.16102012791805576</c:v>
                </c:pt>
                <c:pt idx="267">
                  <c:v>-0.16102012791805576</c:v>
                </c:pt>
                <c:pt idx="268">
                  <c:v>-0.16102012791805576</c:v>
                </c:pt>
                <c:pt idx="269">
                  <c:v>-0.16102012791805576</c:v>
                </c:pt>
                <c:pt idx="270">
                  <c:v>-0.16102012791805576</c:v>
                </c:pt>
                <c:pt idx="271">
                  <c:v>-0.16102012791805576</c:v>
                </c:pt>
                <c:pt idx="272">
                  <c:v>-0.16102012791805576</c:v>
                </c:pt>
                <c:pt idx="273">
                  <c:v>-0.16102012791805576</c:v>
                </c:pt>
                <c:pt idx="274">
                  <c:v>-0.16102012791805576</c:v>
                </c:pt>
                <c:pt idx="275">
                  <c:v>-0.16102012791805576</c:v>
                </c:pt>
                <c:pt idx="276">
                  <c:v>-0.16102012791805576</c:v>
                </c:pt>
                <c:pt idx="277">
                  <c:v>-0.16102012791805576</c:v>
                </c:pt>
                <c:pt idx="278">
                  <c:v>-0.16102012791805576</c:v>
                </c:pt>
                <c:pt idx="279">
                  <c:v>-0.16102012791805576</c:v>
                </c:pt>
                <c:pt idx="280">
                  <c:v>-0.16102012791805576</c:v>
                </c:pt>
                <c:pt idx="281">
                  <c:v>-0.16102012791805576</c:v>
                </c:pt>
                <c:pt idx="282">
                  <c:v>-0.16102012791805576</c:v>
                </c:pt>
                <c:pt idx="283">
                  <c:v>-0.16102012791805576</c:v>
                </c:pt>
                <c:pt idx="284">
                  <c:v>-0.16102012791805576</c:v>
                </c:pt>
                <c:pt idx="285">
                  <c:v>-0.16102012791805576</c:v>
                </c:pt>
                <c:pt idx="286">
                  <c:v>-0.16102012791805576</c:v>
                </c:pt>
                <c:pt idx="287">
                  <c:v>-0.16102012791805576</c:v>
                </c:pt>
                <c:pt idx="288">
                  <c:v>-0.16102012791805576</c:v>
                </c:pt>
                <c:pt idx="289">
                  <c:v>-0.16102012791805576</c:v>
                </c:pt>
                <c:pt idx="290">
                  <c:v>-0.16102012791805576</c:v>
                </c:pt>
                <c:pt idx="291">
                  <c:v>-0.16102012791805576</c:v>
                </c:pt>
                <c:pt idx="292">
                  <c:v>-0.16102012791805576</c:v>
                </c:pt>
                <c:pt idx="293">
                  <c:v>-0.16102012791805576</c:v>
                </c:pt>
                <c:pt idx="294">
                  <c:v>-0.16102012791805576</c:v>
                </c:pt>
                <c:pt idx="295">
                  <c:v>-0.16102012791805576</c:v>
                </c:pt>
                <c:pt idx="296">
                  <c:v>-0.16102012791805576</c:v>
                </c:pt>
                <c:pt idx="297">
                  <c:v>-0.16102012791805576</c:v>
                </c:pt>
                <c:pt idx="298">
                  <c:v>-0.16102012791805576</c:v>
                </c:pt>
                <c:pt idx="299">
                  <c:v>-0.16102012791805576</c:v>
                </c:pt>
                <c:pt idx="300">
                  <c:v>-0.16102012791805576</c:v>
                </c:pt>
                <c:pt idx="301">
                  <c:v>-0.16102012791805576</c:v>
                </c:pt>
                <c:pt idx="302">
                  <c:v>-0.16102012791805576</c:v>
                </c:pt>
                <c:pt idx="303">
                  <c:v>-0.16102012791805576</c:v>
                </c:pt>
                <c:pt idx="304">
                  <c:v>-0.16102012791805576</c:v>
                </c:pt>
                <c:pt idx="305">
                  <c:v>-0.16102012791805576</c:v>
                </c:pt>
                <c:pt idx="306">
                  <c:v>-0.16102012791805576</c:v>
                </c:pt>
                <c:pt idx="307">
                  <c:v>-0.16102012791805576</c:v>
                </c:pt>
                <c:pt idx="308">
                  <c:v>-0.16102012791805576</c:v>
                </c:pt>
                <c:pt idx="309">
                  <c:v>-0.16102012791805576</c:v>
                </c:pt>
                <c:pt idx="310">
                  <c:v>-0.16102012791805576</c:v>
                </c:pt>
                <c:pt idx="311">
                  <c:v>-0.16102012791805576</c:v>
                </c:pt>
                <c:pt idx="312">
                  <c:v>-0.16102012791805576</c:v>
                </c:pt>
                <c:pt idx="313">
                  <c:v>-0.16102012791805576</c:v>
                </c:pt>
                <c:pt idx="314">
                  <c:v>-0.16102012791805576</c:v>
                </c:pt>
                <c:pt idx="315">
                  <c:v>-0.16102012791805576</c:v>
                </c:pt>
                <c:pt idx="316">
                  <c:v>-0.16102012791805576</c:v>
                </c:pt>
                <c:pt idx="317">
                  <c:v>-0.16102012791805576</c:v>
                </c:pt>
                <c:pt idx="318">
                  <c:v>-0.16102012791805576</c:v>
                </c:pt>
                <c:pt idx="319">
                  <c:v>-0.16102012791805576</c:v>
                </c:pt>
                <c:pt idx="320">
                  <c:v>-0.16102012791805576</c:v>
                </c:pt>
                <c:pt idx="321">
                  <c:v>-0.16102012791805576</c:v>
                </c:pt>
                <c:pt idx="322">
                  <c:v>-0.16102012791805576</c:v>
                </c:pt>
                <c:pt idx="323">
                  <c:v>-0.16102012791805576</c:v>
                </c:pt>
                <c:pt idx="324">
                  <c:v>-0.16102012791805576</c:v>
                </c:pt>
                <c:pt idx="325">
                  <c:v>-0.16102012791805576</c:v>
                </c:pt>
                <c:pt idx="326">
                  <c:v>-0.16102012791805576</c:v>
                </c:pt>
                <c:pt idx="327">
                  <c:v>-0.16102012791805576</c:v>
                </c:pt>
                <c:pt idx="328">
                  <c:v>-0.16102012791805576</c:v>
                </c:pt>
                <c:pt idx="329">
                  <c:v>-0.16102012791805576</c:v>
                </c:pt>
                <c:pt idx="330">
                  <c:v>-0.16102012791805576</c:v>
                </c:pt>
                <c:pt idx="331">
                  <c:v>-0.16102012791805576</c:v>
                </c:pt>
                <c:pt idx="332">
                  <c:v>-0.16102012791805576</c:v>
                </c:pt>
                <c:pt idx="333">
                  <c:v>-0.16102012791805576</c:v>
                </c:pt>
                <c:pt idx="334">
                  <c:v>-0.16102012791805576</c:v>
                </c:pt>
                <c:pt idx="335">
                  <c:v>-0.16102012791805576</c:v>
                </c:pt>
                <c:pt idx="336">
                  <c:v>-0.16102012791805576</c:v>
                </c:pt>
                <c:pt idx="337">
                  <c:v>-0.16102012791805576</c:v>
                </c:pt>
                <c:pt idx="338">
                  <c:v>-0.16102012791805576</c:v>
                </c:pt>
                <c:pt idx="339">
                  <c:v>-0.16102012791805576</c:v>
                </c:pt>
                <c:pt idx="340">
                  <c:v>-0.16102012791805576</c:v>
                </c:pt>
                <c:pt idx="341">
                  <c:v>-0.16102012791805576</c:v>
                </c:pt>
                <c:pt idx="342">
                  <c:v>-0.16102012791805576</c:v>
                </c:pt>
                <c:pt idx="343">
                  <c:v>-0.16102012791805576</c:v>
                </c:pt>
                <c:pt idx="344">
                  <c:v>-0.16102012791805576</c:v>
                </c:pt>
                <c:pt idx="345">
                  <c:v>-0.16102012791805576</c:v>
                </c:pt>
                <c:pt idx="346">
                  <c:v>-0.16102012791805576</c:v>
                </c:pt>
                <c:pt idx="347">
                  <c:v>-0.16102012791805576</c:v>
                </c:pt>
                <c:pt idx="348">
                  <c:v>-0.16102012791805576</c:v>
                </c:pt>
                <c:pt idx="349">
                  <c:v>-0.16102012791805576</c:v>
                </c:pt>
                <c:pt idx="350">
                  <c:v>-0.16102012791805576</c:v>
                </c:pt>
                <c:pt idx="351">
                  <c:v>-0.16102012791805576</c:v>
                </c:pt>
                <c:pt idx="352">
                  <c:v>-0.16102012791805576</c:v>
                </c:pt>
                <c:pt idx="353">
                  <c:v>-0.16102012791805576</c:v>
                </c:pt>
                <c:pt idx="354">
                  <c:v>-0.16102012791805576</c:v>
                </c:pt>
                <c:pt idx="355">
                  <c:v>-0.16102012791805576</c:v>
                </c:pt>
                <c:pt idx="356">
                  <c:v>-0.16102012791805576</c:v>
                </c:pt>
                <c:pt idx="357">
                  <c:v>-0.16102012791805576</c:v>
                </c:pt>
                <c:pt idx="358">
                  <c:v>-0.16102012791805576</c:v>
                </c:pt>
                <c:pt idx="359">
                  <c:v>-0.16102012791805576</c:v>
                </c:pt>
                <c:pt idx="360">
                  <c:v>-0.16102012791805576</c:v>
                </c:pt>
                <c:pt idx="361">
                  <c:v>-0.16102012791805576</c:v>
                </c:pt>
                <c:pt idx="362">
                  <c:v>-0.16102012791805576</c:v>
                </c:pt>
                <c:pt idx="363">
                  <c:v>-0.16102012791805576</c:v>
                </c:pt>
                <c:pt idx="364">
                  <c:v>-0.16102012791805576</c:v>
                </c:pt>
                <c:pt idx="365">
                  <c:v>-0.16102012791805576</c:v>
                </c:pt>
                <c:pt idx="366">
                  <c:v>-0.16102012791805576</c:v>
                </c:pt>
                <c:pt idx="367">
                  <c:v>-0.16102012791805576</c:v>
                </c:pt>
                <c:pt idx="368">
                  <c:v>-0.16102012791805576</c:v>
                </c:pt>
                <c:pt idx="369">
                  <c:v>-0.16102012791805576</c:v>
                </c:pt>
                <c:pt idx="370">
                  <c:v>-0.16102012791805576</c:v>
                </c:pt>
                <c:pt idx="371">
                  <c:v>-0.16102012791805576</c:v>
                </c:pt>
                <c:pt idx="372">
                  <c:v>-0.16102012791805576</c:v>
                </c:pt>
                <c:pt idx="373">
                  <c:v>-0.16102012791805576</c:v>
                </c:pt>
                <c:pt idx="374">
                  <c:v>-0.16102012791805576</c:v>
                </c:pt>
                <c:pt idx="375">
                  <c:v>-0.16102012791805576</c:v>
                </c:pt>
                <c:pt idx="376">
                  <c:v>-0.16102012791805576</c:v>
                </c:pt>
                <c:pt idx="377">
                  <c:v>-0.16102012791805576</c:v>
                </c:pt>
                <c:pt idx="378">
                  <c:v>-0.16102012791805576</c:v>
                </c:pt>
                <c:pt idx="379">
                  <c:v>-0.16102012791805576</c:v>
                </c:pt>
                <c:pt idx="380">
                  <c:v>-0.16102012791805576</c:v>
                </c:pt>
                <c:pt idx="381">
                  <c:v>-0.16102012791805576</c:v>
                </c:pt>
                <c:pt idx="382">
                  <c:v>-0.16102012791805576</c:v>
                </c:pt>
                <c:pt idx="383">
                  <c:v>-0.16102012791805576</c:v>
                </c:pt>
                <c:pt idx="384">
                  <c:v>-0.16102012791805576</c:v>
                </c:pt>
                <c:pt idx="385">
                  <c:v>-0.16102012791805576</c:v>
                </c:pt>
                <c:pt idx="386">
                  <c:v>-0.16102012791805576</c:v>
                </c:pt>
                <c:pt idx="387">
                  <c:v>-0.16102012791805576</c:v>
                </c:pt>
                <c:pt idx="388">
                  <c:v>-0.16102012791805576</c:v>
                </c:pt>
                <c:pt idx="389">
                  <c:v>-0.16102012791805576</c:v>
                </c:pt>
                <c:pt idx="390">
                  <c:v>-0.16102012791805576</c:v>
                </c:pt>
                <c:pt idx="391">
                  <c:v>-0.16102012791805576</c:v>
                </c:pt>
                <c:pt idx="392">
                  <c:v>-0.16102012791805576</c:v>
                </c:pt>
                <c:pt idx="393">
                  <c:v>-0.16102012791805576</c:v>
                </c:pt>
                <c:pt idx="394">
                  <c:v>-0.16102012791805576</c:v>
                </c:pt>
                <c:pt idx="395">
                  <c:v>-0.16102012791805576</c:v>
                </c:pt>
                <c:pt idx="396">
                  <c:v>-0.16102012791805576</c:v>
                </c:pt>
                <c:pt idx="397">
                  <c:v>-0.16102012791805576</c:v>
                </c:pt>
                <c:pt idx="398">
                  <c:v>-0.16102012791805576</c:v>
                </c:pt>
                <c:pt idx="399">
                  <c:v>-0.16102012791805576</c:v>
                </c:pt>
                <c:pt idx="400">
                  <c:v>-0.16102012791805576</c:v>
                </c:pt>
                <c:pt idx="401">
                  <c:v>-0.16102012791805576</c:v>
                </c:pt>
                <c:pt idx="402">
                  <c:v>-0.16102012791805576</c:v>
                </c:pt>
                <c:pt idx="403">
                  <c:v>-0.16102012791805576</c:v>
                </c:pt>
                <c:pt idx="404">
                  <c:v>-0.16102012791805576</c:v>
                </c:pt>
                <c:pt idx="405">
                  <c:v>-0.16102012791805576</c:v>
                </c:pt>
                <c:pt idx="406">
                  <c:v>-0.16102012791805576</c:v>
                </c:pt>
                <c:pt idx="407">
                  <c:v>-0.16102012791805576</c:v>
                </c:pt>
                <c:pt idx="408">
                  <c:v>-0.16102012791805576</c:v>
                </c:pt>
                <c:pt idx="409">
                  <c:v>-0.16102012791805576</c:v>
                </c:pt>
                <c:pt idx="410">
                  <c:v>-0.16102012791805576</c:v>
                </c:pt>
                <c:pt idx="411">
                  <c:v>-0.16102012791805576</c:v>
                </c:pt>
                <c:pt idx="412">
                  <c:v>-0.16102012791805576</c:v>
                </c:pt>
                <c:pt idx="413">
                  <c:v>-0.16102012791805576</c:v>
                </c:pt>
                <c:pt idx="414">
                  <c:v>-0.16102012791805576</c:v>
                </c:pt>
                <c:pt idx="415">
                  <c:v>-0.16102012791805576</c:v>
                </c:pt>
                <c:pt idx="416">
                  <c:v>-0.16102012791805576</c:v>
                </c:pt>
                <c:pt idx="417">
                  <c:v>-0.16102012791805576</c:v>
                </c:pt>
                <c:pt idx="418">
                  <c:v>-0.16102012791805576</c:v>
                </c:pt>
              </c:numCache>
            </c:numRef>
          </c:val>
          <c:smooth val="1"/>
          <c:extLst>
            <c:ext xmlns:c16="http://schemas.microsoft.com/office/drawing/2014/chart" uri="{C3380CC4-5D6E-409C-BE32-E72D297353CC}">
              <c16:uniqueId val="{00000001-77EB-4CF6-A82F-87CE09EC25EC}"/>
            </c:ext>
          </c:extLst>
        </c:ser>
        <c:ser>
          <c:idx val="2"/>
          <c:order val="3"/>
          <c:tx>
            <c:v>SW</c:v>
          </c:tx>
          <c:spPr>
            <a:ln w="28575" cap="rnd">
              <a:solidFill>
                <a:srgbClr val="0070C0"/>
              </a:solidFill>
              <a:prstDash val="solid"/>
              <a:round/>
            </a:ln>
            <a:effectLst/>
          </c:spPr>
          <c:marker>
            <c:symbol val="none"/>
          </c:marker>
          <c:val>
            <c:numRef>
              <c:f>'2025-Q2'!$GA$4:$GA$422</c:f>
              <c:numCache>
                <c:formatCode>0.00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0.40922321023258257</c:v>
                </c:pt>
                <c:pt idx="21">
                  <c:v>0.70318817588636717</c:v>
                </c:pt>
                <c:pt idx="22">
                  <c:v>0.70318817588636717</c:v>
                </c:pt>
                <c:pt idx="23">
                  <c:v>0.70318817588636717</c:v>
                </c:pt>
                <c:pt idx="24">
                  <c:v>0.70318817588636717</c:v>
                </c:pt>
                <c:pt idx="25">
                  <c:v>0.70318817588636717</c:v>
                </c:pt>
                <c:pt idx="26">
                  <c:v>0.70318817588636717</c:v>
                </c:pt>
                <c:pt idx="27">
                  <c:v>0.70318817588636717</c:v>
                </c:pt>
                <c:pt idx="28">
                  <c:v>0.70318817588636717</c:v>
                </c:pt>
                <c:pt idx="29">
                  <c:v>0.70318817588636717</c:v>
                </c:pt>
                <c:pt idx="30">
                  <c:v>0.70318817588636717</c:v>
                </c:pt>
                <c:pt idx="31">
                  <c:v>0.70318817588636717</c:v>
                </c:pt>
                <c:pt idx="32">
                  <c:v>0.70318817588636717</c:v>
                </c:pt>
                <c:pt idx="33">
                  <c:v>0.70318817588636717</c:v>
                </c:pt>
                <c:pt idx="34">
                  <c:v>-0.20104261551371039</c:v>
                </c:pt>
                <c:pt idx="35">
                  <c:v>-0.20104261551371039</c:v>
                </c:pt>
                <c:pt idx="36">
                  <c:v>-0.20104261551371039</c:v>
                </c:pt>
                <c:pt idx="37">
                  <c:v>-0.20104261551371039</c:v>
                </c:pt>
                <c:pt idx="38">
                  <c:v>-0.20104261551371039</c:v>
                </c:pt>
                <c:pt idx="39">
                  <c:v>-0.20104261551371039</c:v>
                </c:pt>
                <c:pt idx="40">
                  <c:v>-0.20104261551371039</c:v>
                </c:pt>
                <c:pt idx="41">
                  <c:v>-0.20104261551371039</c:v>
                </c:pt>
                <c:pt idx="42">
                  <c:v>-0.20104261551371039</c:v>
                </c:pt>
                <c:pt idx="43">
                  <c:v>-0.20104261551371039</c:v>
                </c:pt>
                <c:pt idx="44">
                  <c:v>-0.20104261551371039</c:v>
                </c:pt>
                <c:pt idx="45">
                  <c:v>-0.20104261551371039</c:v>
                </c:pt>
                <c:pt idx="46">
                  <c:v>-0.20104261551371039</c:v>
                </c:pt>
                <c:pt idx="47">
                  <c:v>-0.20104261551371039</c:v>
                </c:pt>
                <c:pt idx="48">
                  <c:v>-0.20104261551371039</c:v>
                </c:pt>
                <c:pt idx="49">
                  <c:v>-0.20104261551371039</c:v>
                </c:pt>
                <c:pt idx="50">
                  <c:v>-0.20104261551371039</c:v>
                </c:pt>
                <c:pt idx="51">
                  <c:v>-0.20104261551371039</c:v>
                </c:pt>
                <c:pt idx="52">
                  <c:v>-0.20104261551371039</c:v>
                </c:pt>
                <c:pt idx="53">
                  <c:v>-0.20104261551371039</c:v>
                </c:pt>
                <c:pt idx="54">
                  <c:v>-0.20104261551371039</c:v>
                </c:pt>
                <c:pt idx="55">
                  <c:v>-0.20104261551371039</c:v>
                </c:pt>
                <c:pt idx="56">
                  <c:v>-0.20104261551371039</c:v>
                </c:pt>
                <c:pt idx="57">
                  <c:v>-0.20104261551371039</c:v>
                </c:pt>
                <c:pt idx="58">
                  <c:v>-0.20104261551371039</c:v>
                </c:pt>
                <c:pt idx="59">
                  <c:v>-0.20104261551371039</c:v>
                </c:pt>
                <c:pt idx="60">
                  <c:v>-0.20104261551371039</c:v>
                </c:pt>
                <c:pt idx="61">
                  <c:v>-0.20104261551371039</c:v>
                </c:pt>
                <c:pt idx="62">
                  <c:v>-0.20104261551371039</c:v>
                </c:pt>
                <c:pt idx="63">
                  <c:v>-0.20104261551371039</c:v>
                </c:pt>
                <c:pt idx="64">
                  <c:v>-0.20104261551371039</c:v>
                </c:pt>
                <c:pt idx="65">
                  <c:v>-0.20104261551371039</c:v>
                </c:pt>
                <c:pt idx="66">
                  <c:v>-0.20104261551371039</c:v>
                </c:pt>
                <c:pt idx="67">
                  <c:v>-0.20104261551371039</c:v>
                </c:pt>
                <c:pt idx="68">
                  <c:v>-0.20104261551371039</c:v>
                </c:pt>
                <c:pt idx="69">
                  <c:v>-0.20104261551371039</c:v>
                </c:pt>
                <c:pt idx="70">
                  <c:v>-0.20104261551371039</c:v>
                </c:pt>
                <c:pt idx="71">
                  <c:v>-0.20104261551371039</c:v>
                </c:pt>
                <c:pt idx="72">
                  <c:v>-0.20104261551371039</c:v>
                </c:pt>
                <c:pt idx="73">
                  <c:v>-0.20104261551371039</c:v>
                </c:pt>
                <c:pt idx="74">
                  <c:v>-0.20104261551371039</c:v>
                </c:pt>
                <c:pt idx="75">
                  <c:v>-0.20104261551371039</c:v>
                </c:pt>
                <c:pt idx="76">
                  <c:v>-0.20104261551371039</c:v>
                </c:pt>
                <c:pt idx="77">
                  <c:v>-0.20104261551371039</c:v>
                </c:pt>
                <c:pt idx="78">
                  <c:v>-0.20104261551371039</c:v>
                </c:pt>
                <c:pt idx="79">
                  <c:v>-0.20104261551371039</c:v>
                </c:pt>
                <c:pt idx="80">
                  <c:v>-0.20104261551371039</c:v>
                </c:pt>
                <c:pt idx="81">
                  <c:v>-0.20104261551371039</c:v>
                </c:pt>
                <c:pt idx="82">
                  <c:v>-0.20104261551371039</c:v>
                </c:pt>
                <c:pt idx="83">
                  <c:v>-0.20104261551371039</c:v>
                </c:pt>
                <c:pt idx="84">
                  <c:v>-0.20104261551371039</c:v>
                </c:pt>
                <c:pt idx="85">
                  <c:v>-0.20104261551371039</c:v>
                </c:pt>
                <c:pt idx="86">
                  <c:v>-0.20104261551371039</c:v>
                </c:pt>
                <c:pt idx="87">
                  <c:v>-0.20104261551371039</c:v>
                </c:pt>
                <c:pt idx="88">
                  <c:v>-0.20104261551371039</c:v>
                </c:pt>
                <c:pt idx="89">
                  <c:v>-0.20104261551371039</c:v>
                </c:pt>
                <c:pt idx="90">
                  <c:v>-0.20104261551371039</c:v>
                </c:pt>
                <c:pt idx="91">
                  <c:v>-0.20104261551371039</c:v>
                </c:pt>
                <c:pt idx="92">
                  <c:v>-0.20104261551371039</c:v>
                </c:pt>
                <c:pt idx="93">
                  <c:v>-0.20104261551371039</c:v>
                </c:pt>
                <c:pt idx="94">
                  <c:v>-0.20104261551371039</c:v>
                </c:pt>
                <c:pt idx="95">
                  <c:v>-0.20104261551371039</c:v>
                </c:pt>
                <c:pt idx="96">
                  <c:v>-0.20104261551371039</c:v>
                </c:pt>
                <c:pt idx="97">
                  <c:v>-0.20104261551371039</c:v>
                </c:pt>
                <c:pt idx="98">
                  <c:v>-0.20104261551371039</c:v>
                </c:pt>
                <c:pt idx="99">
                  <c:v>-0.20104261551371039</c:v>
                </c:pt>
                <c:pt idx="100">
                  <c:v>-0.20104261551371039</c:v>
                </c:pt>
                <c:pt idx="101">
                  <c:v>-0.20104261551371039</c:v>
                </c:pt>
                <c:pt idx="102">
                  <c:v>-0.20104261551371039</c:v>
                </c:pt>
                <c:pt idx="103">
                  <c:v>-0.20104261551371039</c:v>
                </c:pt>
                <c:pt idx="104">
                  <c:v>-0.22620195801622528</c:v>
                </c:pt>
                <c:pt idx="105">
                  <c:v>-0.22620195801622528</c:v>
                </c:pt>
                <c:pt idx="106">
                  <c:v>-0.22620195801622528</c:v>
                </c:pt>
                <c:pt idx="107">
                  <c:v>-0.22620195801622528</c:v>
                </c:pt>
                <c:pt idx="108">
                  <c:v>-0.22620195801622528</c:v>
                </c:pt>
                <c:pt idx="109">
                  <c:v>-0.22620195801622528</c:v>
                </c:pt>
                <c:pt idx="110">
                  <c:v>-0.22620195801622528</c:v>
                </c:pt>
                <c:pt idx="111">
                  <c:v>-0.22620195801622528</c:v>
                </c:pt>
                <c:pt idx="112">
                  <c:v>-0.22620195801622528</c:v>
                </c:pt>
                <c:pt idx="113">
                  <c:v>-0.22620195801622528</c:v>
                </c:pt>
                <c:pt idx="114">
                  <c:v>-0.22620195801622528</c:v>
                </c:pt>
                <c:pt idx="115">
                  <c:v>-0.22620195801622528</c:v>
                </c:pt>
                <c:pt idx="116">
                  <c:v>-0.22620195801622528</c:v>
                </c:pt>
                <c:pt idx="117">
                  <c:v>-0.22620195801622528</c:v>
                </c:pt>
                <c:pt idx="118">
                  <c:v>0.79683476826625288</c:v>
                </c:pt>
                <c:pt idx="119">
                  <c:v>0.79683476826625288</c:v>
                </c:pt>
                <c:pt idx="120">
                  <c:v>0.79683476826625288</c:v>
                </c:pt>
                <c:pt idx="121">
                  <c:v>0.79683476826625288</c:v>
                </c:pt>
                <c:pt idx="122">
                  <c:v>-0.24773347685909197</c:v>
                </c:pt>
                <c:pt idx="123">
                  <c:v>-0.24773347685909197</c:v>
                </c:pt>
                <c:pt idx="124">
                  <c:v>-0.24773347685909197</c:v>
                </c:pt>
                <c:pt idx="125">
                  <c:v>-0.24773347685909197</c:v>
                </c:pt>
                <c:pt idx="126">
                  <c:v>-0.24773347685909197</c:v>
                </c:pt>
                <c:pt idx="127">
                  <c:v>-0.24773347685909197</c:v>
                </c:pt>
                <c:pt idx="128">
                  <c:v>-0.24773347685909197</c:v>
                </c:pt>
                <c:pt idx="129">
                  <c:v>-0.24773347685909197</c:v>
                </c:pt>
                <c:pt idx="130">
                  <c:v>-0.24773347685909197</c:v>
                </c:pt>
                <c:pt idx="131">
                  <c:v>-0.24773347685909197</c:v>
                </c:pt>
                <c:pt idx="132">
                  <c:v>-0.24773347685909197</c:v>
                </c:pt>
                <c:pt idx="133">
                  <c:v>-0.24773347685909197</c:v>
                </c:pt>
                <c:pt idx="134">
                  <c:v>-0.24773347685909197</c:v>
                </c:pt>
                <c:pt idx="135">
                  <c:v>-0.24773347685909197</c:v>
                </c:pt>
                <c:pt idx="136">
                  <c:v>-0.24773347685909197</c:v>
                </c:pt>
                <c:pt idx="137">
                  <c:v>-0.24773347685909197</c:v>
                </c:pt>
                <c:pt idx="138">
                  <c:v>-0.24773347685909197</c:v>
                </c:pt>
                <c:pt idx="139">
                  <c:v>-0.24773347685909197</c:v>
                </c:pt>
                <c:pt idx="140">
                  <c:v>-0.24773347685909197</c:v>
                </c:pt>
                <c:pt idx="141">
                  <c:v>-0.24773347685909197</c:v>
                </c:pt>
                <c:pt idx="142">
                  <c:v>-0.24773347685909197</c:v>
                </c:pt>
                <c:pt idx="143">
                  <c:v>-0.24773347685909197</c:v>
                </c:pt>
                <c:pt idx="144">
                  <c:v>-0.24773347685909197</c:v>
                </c:pt>
                <c:pt idx="145">
                  <c:v>-0.24773347685909197</c:v>
                </c:pt>
                <c:pt idx="146">
                  <c:v>-0.24773347685909197</c:v>
                </c:pt>
                <c:pt idx="147">
                  <c:v>-0.24773347685909197</c:v>
                </c:pt>
                <c:pt idx="148">
                  <c:v>-0.24773347685909197</c:v>
                </c:pt>
                <c:pt idx="149">
                  <c:v>-0.24773347685909197</c:v>
                </c:pt>
                <c:pt idx="150">
                  <c:v>-0.24773347685909197</c:v>
                </c:pt>
                <c:pt idx="151">
                  <c:v>-0.24773347685909197</c:v>
                </c:pt>
                <c:pt idx="152">
                  <c:v>-0.24773347685909197</c:v>
                </c:pt>
                <c:pt idx="153">
                  <c:v>-0.24773347685909197</c:v>
                </c:pt>
                <c:pt idx="154">
                  <c:v>-0.24773347685909197</c:v>
                </c:pt>
                <c:pt idx="155">
                  <c:v>-0.96570439723286938</c:v>
                </c:pt>
                <c:pt idx="156">
                  <c:v>-0.96570439723286938</c:v>
                </c:pt>
                <c:pt idx="157">
                  <c:v>-0.96570439723286938</c:v>
                </c:pt>
                <c:pt idx="158">
                  <c:v>-0.96570439723286938</c:v>
                </c:pt>
                <c:pt idx="159">
                  <c:v>-0.96570439723286938</c:v>
                </c:pt>
                <c:pt idx="160">
                  <c:v>-0.96570439723286938</c:v>
                </c:pt>
                <c:pt idx="161">
                  <c:v>-0.96570439723286938</c:v>
                </c:pt>
                <c:pt idx="162">
                  <c:v>-0.96570439723286938</c:v>
                </c:pt>
                <c:pt idx="163">
                  <c:v>-0.96570439723286938</c:v>
                </c:pt>
                <c:pt idx="164">
                  <c:v>-0.96570439723286938</c:v>
                </c:pt>
                <c:pt idx="165">
                  <c:v>-0.96570439723286938</c:v>
                </c:pt>
                <c:pt idx="166">
                  <c:v>-0.96570439723286938</c:v>
                </c:pt>
                <c:pt idx="167">
                  <c:v>-0.96570439723286938</c:v>
                </c:pt>
                <c:pt idx="168">
                  <c:v>-0.96570439723286938</c:v>
                </c:pt>
                <c:pt idx="169">
                  <c:v>-0.96570439723286938</c:v>
                </c:pt>
                <c:pt idx="170">
                  <c:v>-0.96570439723286938</c:v>
                </c:pt>
                <c:pt idx="171">
                  <c:v>-0.96570439723286938</c:v>
                </c:pt>
                <c:pt idx="172">
                  <c:v>-0.96570439723286938</c:v>
                </c:pt>
                <c:pt idx="173">
                  <c:v>-0.96570439723286938</c:v>
                </c:pt>
                <c:pt idx="174">
                  <c:v>-0.96570439723286938</c:v>
                </c:pt>
                <c:pt idx="175">
                  <c:v>-0.96570439723286938</c:v>
                </c:pt>
                <c:pt idx="176">
                  <c:v>-0.96570439723286938</c:v>
                </c:pt>
                <c:pt idx="177">
                  <c:v>-0.96570439723286938</c:v>
                </c:pt>
                <c:pt idx="178">
                  <c:v>-0.96570439723286938</c:v>
                </c:pt>
                <c:pt idx="179">
                  <c:v>-0.96570439723286938</c:v>
                </c:pt>
                <c:pt idx="180">
                  <c:v>-1.4533746217452019</c:v>
                </c:pt>
                <c:pt idx="181">
                  <c:v>-1.7642101813332194</c:v>
                </c:pt>
                <c:pt idx="182">
                  <c:v>-1.7642101813332194</c:v>
                </c:pt>
                <c:pt idx="183">
                  <c:v>-1.7642101813332194</c:v>
                </c:pt>
                <c:pt idx="184">
                  <c:v>-1.7642101813332194</c:v>
                </c:pt>
                <c:pt idx="185">
                  <c:v>-1.7642101813332194</c:v>
                </c:pt>
                <c:pt idx="186">
                  <c:v>-1.7642101813332194</c:v>
                </c:pt>
                <c:pt idx="187">
                  <c:v>-1.7642101813332194</c:v>
                </c:pt>
                <c:pt idx="188">
                  <c:v>-1.7642101813332194</c:v>
                </c:pt>
                <c:pt idx="189">
                  <c:v>-1.7642101813332194</c:v>
                </c:pt>
                <c:pt idx="190">
                  <c:v>-1.7642101813332194</c:v>
                </c:pt>
                <c:pt idx="191">
                  <c:v>-1.7642101813332194</c:v>
                </c:pt>
                <c:pt idx="192">
                  <c:v>-1.7642101813332194</c:v>
                </c:pt>
                <c:pt idx="193">
                  <c:v>-1.7642101813332194</c:v>
                </c:pt>
                <c:pt idx="194">
                  <c:v>-1.7642101813332194</c:v>
                </c:pt>
                <c:pt idx="195">
                  <c:v>-1.7642101813332194</c:v>
                </c:pt>
                <c:pt idx="196">
                  <c:v>-1.7642101813332194</c:v>
                </c:pt>
                <c:pt idx="197">
                  <c:v>-1.7642101813332194</c:v>
                </c:pt>
                <c:pt idx="198">
                  <c:v>-1.7642101813332194</c:v>
                </c:pt>
                <c:pt idx="199">
                  <c:v>-1.7642101813332194</c:v>
                </c:pt>
                <c:pt idx="200">
                  <c:v>-1.7642101813332194</c:v>
                </c:pt>
                <c:pt idx="201">
                  <c:v>-1.7642101813332194</c:v>
                </c:pt>
                <c:pt idx="202">
                  <c:v>-1.7642101813332194</c:v>
                </c:pt>
                <c:pt idx="203">
                  <c:v>-1.7642101813332194</c:v>
                </c:pt>
                <c:pt idx="204">
                  <c:v>-1.7642101813332194</c:v>
                </c:pt>
                <c:pt idx="205">
                  <c:v>-1.7642101813332194</c:v>
                </c:pt>
                <c:pt idx="206">
                  <c:v>-1.7642101813332194</c:v>
                </c:pt>
                <c:pt idx="207">
                  <c:v>-1.7642101813332194</c:v>
                </c:pt>
                <c:pt idx="208">
                  <c:v>-1.7642101813332194</c:v>
                </c:pt>
                <c:pt idx="209">
                  <c:v>-1.7642101813332194</c:v>
                </c:pt>
                <c:pt idx="210">
                  <c:v>-1.7642101813332194</c:v>
                </c:pt>
                <c:pt idx="211">
                  <c:v>-1.7642101813332194</c:v>
                </c:pt>
                <c:pt idx="212">
                  <c:v>-1.7642101813332194</c:v>
                </c:pt>
                <c:pt idx="213">
                  <c:v>-1.7642101813332194</c:v>
                </c:pt>
                <c:pt idx="214">
                  <c:v>-1.7642101813332194</c:v>
                </c:pt>
                <c:pt idx="215">
                  <c:v>-1.7642101813332194</c:v>
                </c:pt>
                <c:pt idx="216">
                  <c:v>-1.7642101813332194</c:v>
                </c:pt>
                <c:pt idx="217">
                  <c:v>-1.7642101813332194</c:v>
                </c:pt>
                <c:pt idx="218">
                  <c:v>-1.7642101813332194</c:v>
                </c:pt>
                <c:pt idx="219">
                  <c:v>-1.7642101813332194</c:v>
                </c:pt>
                <c:pt idx="220">
                  <c:v>-1.7642101813332194</c:v>
                </c:pt>
                <c:pt idx="221">
                  <c:v>-1.7642101813332194</c:v>
                </c:pt>
                <c:pt idx="222">
                  <c:v>-1.7642101813332194</c:v>
                </c:pt>
                <c:pt idx="223">
                  <c:v>-1.7642101813332194</c:v>
                </c:pt>
                <c:pt idx="224">
                  <c:v>-1.7642101813332194</c:v>
                </c:pt>
                <c:pt idx="225">
                  <c:v>-1.7642101813332194</c:v>
                </c:pt>
                <c:pt idx="226">
                  <c:v>-1.7642101813332194</c:v>
                </c:pt>
                <c:pt idx="227">
                  <c:v>-1.7642101813332194</c:v>
                </c:pt>
                <c:pt idx="228">
                  <c:v>-1.7642101813332194</c:v>
                </c:pt>
                <c:pt idx="229">
                  <c:v>-1.8075055796508848</c:v>
                </c:pt>
                <c:pt idx="230">
                  <c:v>-1.8075055796508848</c:v>
                </c:pt>
                <c:pt idx="231">
                  <c:v>-1.8075055796508848</c:v>
                </c:pt>
                <c:pt idx="232">
                  <c:v>-1.1377221770567538</c:v>
                </c:pt>
                <c:pt idx="233">
                  <c:v>-1.1377221770567538</c:v>
                </c:pt>
                <c:pt idx="234">
                  <c:v>-1.1377221770567538</c:v>
                </c:pt>
                <c:pt idx="235">
                  <c:v>-1.1377221770567538</c:v>
                </c:pt>
                <c:pt idx="236">
                  <c:v>-1.1377221770567538</c:v>
                </c:pt>
                <c:pt idx="237">
                  <c:v>-1.1377221770567538</c:v>
                </c:pt>
                <c:pt idx="238">
                  <c:v>-1.1377221770567538</c:v>
                </c:pt>
                <c:pt idx="239">
                  <c:v>-1.1377221770567538</c:v>
                </c:pt>
                <c:pt idx="240">
                  <c:v>-1.1377221770567538</c:v>
                </c:pt>
                <c:pt idx="241">
                  <c:v>-1.1377221770567538</c:v>
                </c:pt>
                <c:pt idx="242">
                  <c:v>-1.1377221770567538</c:v>
                </c:pt>
                <c:pt idx="243">
                  <c:v>-1.1377221770567538</c:v>
                </c:pt>
                <c:pt idx="244">
                  <c:v>-1.1377221770567538</c:v>
                </c:pt>
                <c:pt idx="245">
                  <c:v>-1.1377221770567538</c:v>
                </c:pt>
                <c:pt idx="246">
                  <c:v>-1.1377221770567538</c:v>
                </c:pt>
                <c:pt idx="247">
                  <c:v>-1.1377221770567538</c:v>
                </c:pt>
                <c:pt idx="248">
                  <c:v>-1.1377221770567538</c:v>
                </c:pt>
                <c:pt idx="249">
                  <c:v>-1.1377221770567538</c:v>
                </c:pt>
                <c:pt idx="250">
                  <c:v>-1.1377221770567538</c:v>
                </c:pt>
                <c:pt idx="251">
                  <c:v>-1.1377221770567538</c:v>
                </c:pt>
                <c:pt idx="252">
                  <c:v>-1.1377221770567538</c:v>
                </c:pt>
                <c:pt idx="253">
                  <c:v>-1.1377221770567538</c:v>
                </c:pt>
                <c:pt idx="254">
                  <c:v>-1.1377221770567538</c:v>
                </c:pt>
                <c:pt idx="255">
                  <c:v>-1.1377221770567538</c:v>
                </c:pt>
                <c:pt idx="256">
                  <c:v>-1.1377221770567538</c:v>
                </c:pt>
                <c:pt idx="257">
                  <c:v>-1.1377221770567538</c:v>
                </c:pt>
                <c:pt idx="258">
                  <c:v>-1.1377221770567538</c:v>
                </c:pt>
                <c:pt idx="259">
                  <c:v>-1.1377221770567538</c:v>
                </c:pt>
                <c:pt idx="260">
                  <c:v>-1.1377221770567538</c:v>
                </c:pt>
                <c:pt idx="261">
                  <c:v>-1.1377221770567538</c:v>
                </c:pt>
                <c:pt idx="262">
                  <c:v>-1.1377221770567538</c:v>
                </c:pt>
                <c:pt idx="263">
                  <c:v>-1.1377221770567538</c:v>
                </c:pt>
                <c:pt idx="264">
                  <c:v>-1.1377221770567538</c:v>
                </c:pt>
                <c:pt idx="265">
                  <c:v>-1.1377221770567538</c:v>
                </c:pt>
                <c:pt idx="266">
                  <c:v>-1.1377221770567538</c:v>
                </c:pt>
                <c:pt idx="267">
                  <c:v>-1.1377221770567538</c:v>
                </c:pt>
                <c:pt idx="268">
                  <c:v>-1.1377221770567538</c:v>
                </c:pt>
                <c:pt idx="269">
                  <c:v>-1.1377221770567538</c:v>
                </c:pt>
                <c:pt idx="270">
                  <c:v>-1.1377221770567538</c:v>
                </c:pt>
                <c:pt idx="271">
                  <c:v>-1.1377221770567538</c:v>
                </c:pt>
                <c:pt idx="272">
                  <c:v>-1.1377221770567538</c:v>
                </c:pt>
                <c:pt idx="273">
                  <c:v>-1.1377221770567538</c:v>
                </c:pt>
                <c:pt idx="274">
                  <c:v>-1.1377221770567538</c:v>
                </c:pt>
                <c:pt idx="275">
                  <c:v>-1.1377221770567538</c:v>
                </c:pt>
                <c:pt idx="276">
                  <c:v>-1.1377221770567538</c:v>
                </c:pt>
                <c:pt idx="277">
                  <c:v>-1.1377221770567538</c:v>
                </c:pt>
                <c:pt idx="278">
                  <c:v>-1.1377221770567538</c:v>
                </c:pt>
                <c:pt idx="279">
                  <c:v>-1.1377221770567538</c:v>
                </c:pt>
                <c:pt idx="280">
                  <c:v>-0.69624339162892301</c:v>
                </c:pt>
                <c:pt idx="281">
                  <c:v>-0.69624339162892301</c:v>
                </c:pt>
                <c:pt idx="282">
                  <c:v>-0.69624339162892301</c:v>
                </c:pt>
                <c:pt idx="283">
                  <c:v>-0.69624339162892301</c:v>
                </c:pt>
                <c:pt idx="284">
                  <c:v>-0.69624339162892301</c:v>
                </c:pt>
                <c:pt idx="285">
                  <c:v>-0.69624339162892301</c:v>
                </c:pt>
                <c:pt idx="286">
                  <c:v>-0.69624339162892301</c:v>
                </c:pt>
                <c:pt idx="287">
                  <c:v>-0.69624339162892301</c:v>
                </c:pt>
                <c:pt idx="288">
                  <c:v>-0.69624339162892301</c:v>
                </c:pt>
                <c:pt idx="289">
                  <c:v>-0.69624339162892301</c:v>
                </c:pt>
                <c:pt idx="290">
                  <c:v>-0.69624339162892301</c:v>
                </c:pt>
                <c:pt idx="291">
                  <c:v>-0.69624339162892301</c:v>
                </c:pt>
                <c:pt idx="292">
                  <c:v>-0.69624339162892301</c:v>
                </c:pt>
                <c:pt idx="293">
                  <c:v>-0.69624339162892301</c:v>
                </c:pt>
                <c:pt idx="294">
                  <c:v>-0.69624339162892301</c:v>
                </c:pt>
                <c:pt idx="295">
                  <c:v>-0.69624339162892301</c:v>
                </c:pt>
                <c:pt idx="296">
                  <c:v>-0.69624339162892301</c:v>
                </c:pt>
                <c:pt idx="297">
                  <c:v>-0.69624339162892301</c:v>
                </c:pt>
                <c:pt idx="298">
                  <c:v>-0.69624339162892301</c:v>
                </c:pt>
                <c:pt idx="299">
                  <c:v>-0.69624339162892301</c:v>
                </c:pt>
                <c:pt idx="300">
                  <c:v>-0.69624339162892301</c:v>
                </c:pt>
                <c:pt idx="301">
                  <c:v>-0.69624339162892301</c:v>
                </c:pt>
                <c:pt idx="302">
                  <c:v>-0.69624339162892301</c:v>
                </c:pt>
                <c:pt idx="303">
                  <c:v>-0.69624339162892301</c:v>
                </c:pt>
                <c:pt idx="304">
                  <c:v>-0.69624339162892301</c:v>
                </c:pt>
                <c:pt idx="305">
                  <c:v>-0.69624339162892301</c:v>
                </c:pt>
                <c:pt idx="306">
                  <c:v>-0.69624339162892301</c:v>
                </c:pt>
                <c:pt idx="307">
                  <c:v>-0.69624339162892301</c:v>
                </c:pt>
                <c:pt idx="308">
                  <c:v>-0.69624339162892301</c:v>
                </c:pt>
                <c:pt idx="309">
                  <c:v>-0.69624339162892301</c:v>
                </c:pt>
                <c:pt idx="310">
                  <c:v>-0.69624339162892301</c:v>
                </c:pt>
                <c:pt idx="311">
                  <c:v>-0.69624339162892301</c:v>
                </c:pt>
                <c:pt idx="312">
                  <c:v>-0.69624339162892301</c:v>
                </c:pt>
                <c:pt idx="313">
                  <c:v>-0.69624339162892301</c:v>
                </c:pt>
                <c:pt idx="314">
                  <c:v>-0.69624339162892301</c:v>
                </c:pt>
                <c:pt idx="315">
                  <c:v>-0.69624339162892301</c:v>
                </c:pt>
                <c:pt idx="316">
                  <c:v>-0.69624339162892301</c:v>
                </c:pt>
                <c:pt idx="317">
                  <c:v>-0.69624339162892301</c:v>
                </c:pt>
                <c:pt idx="318">
                  <c:v>-0.69624339162892301</c:v>
                </c:pt>
                <c:pt idx="319">
                  <c:v>-0.69624339162892301</c:v>
                </c:pt>
                <c:pt idx="320">
                  <c:v>-0.69624339162892301</c:v>
                </c:pt>
                <c:pt idx="321">
                  <c:v>-0.69624339162892301</c:v>
                </c:pt>
                <c:pt idx="322">
                  <c:v>-0.69624339162892301</c:v>
                </c:pt>
                <c:pt idx="323">
                  <c:v>-0.69624339162892301</c:v>
                </c:pt>
                <c:pt idx="324">
                  <c:v>-0.69624339162892301</c:v>
                </c:pt>
                <c:pt idx="325">
                  <c:v>-0.69624339162892301</c:v>
                </c:pt>
                <c:pt idx="326">
                  <c:v>-0.69624339162892301</c:v>
                </c:pt>
                <c:pt idx="327">
                  <c:v>-0.69624339162892301</c:v>
                </c:pt>
                <c:pt idx="328">
                  <c:v>-0.69624339162892301</c:v>
                </c:pt>
                <c:pt idx="329">
                  <c:v>-0.69624339162892301</c:v>
                </c:pt>
                <c:pt idx="330">
                  <c:v>-0.69624339162892301</c:v>
                </c:pt>
                <c:pt idx="331">
                  <c:v>-0.69624339162892301</c:v>
                </c:pt>
                <c:pt idx="332">
                  <c:v>-0.69624339162892301</c:v>
                </c:pt>
                <c:pt idx="333">
                  <c:v>-0.69624339162892301</c:v>
                </c:pt>
                <c:pt idx="334">
                  <c:v>-0.69624339162892301</c:v>
                </c:pt>
                <c:pt idx="335">
                  <c:v>-0.69624339162892301</c:v>
                </c:pt>
                <c:pt idx="336">
                  <c:v>-0.69624339162892301</c:v>
                </c:pt>
                <c:pt idx="337">
                  <c:v>-0.69624339162892301</c:v>
                </c:pt>
                <c:pt idx="338">
                  <c:v>-0.69624339162892301</c:v>
                </c:pt>
                <c:pt idx="339">
                  <c:v>-0.69624339162892301</c:v>
                </c:pt>
                <c:pt idx="340">
                  <c:v>-0.69624339162892301</c:v>
                </c:pt>
                <c:pt idx="341">
                  <c:v>-0.69624339162892301</c:v>
                </c:pt>
                <c:pt idx="342">
                  <c:v>-0.69624339162892301</c:v>
                </c:pt>
                <c:pt idx="343">
                  <c:v>-0.69624339162892301</c:v>
                </c:pt>
                <c:pt idx="344">
                  <c:v>-0.69624339162892301</c:v>
                </c:pt>
                <c:pt idx="345">
                  <c:v>-0.69624339162892301</c:v>
                </c:pt>
                <c:pt idx="346">
                  <c:v>-0.69624339162892301</c:v>
                </c:pt>
                <c:pt idx="347">
                  <c:v>-0.69624339162892301</c:v>
                </c:pt>
                <c:pt idx="348">
                  <c:v>-0.69624339162892301</c:v>
                </c:pt>
                <c:pt idx="349">
                  <c:v>-0.69624339162892301</c:v>
                </c:pt>
                <c:pt idx="350">
                  <c:v>-0.69624339162892301</c:v>
                </c:pt>
                <c:pt idx="351">
                  <c:v>-0.69624339162892301</c:v>
                </c:pt>
                <c:pt idx="352">
                  <c:v>-0.69624339162892301</c:v>
                </c:pt>
                <c:pt idx="353">
                  <c:v>-0.69624339162892301</c:v>
                </c:pt>
                <c:pt idx="354">
                  <c:v>-0.69624339162892301</c:v>
                </c:pt>
                <c:pt idx="355">
                  <c:v>-0.69624339162892301</c:v>
                </c:pt>
                <c:pt idx="356">
                  <c:v>-0.69624339162892301</c:v>
                </c:pt>
                <c:pt idx="357">
                  <c:v>-0.69624339162892301</c:v>
                </c:pt>
                <c:pt idx="358">
                  <c:v>-0.69624339162892301</c:v>
                </c:pt>
                <c:pt idx="359">
                  <c:v>-0.69624339162892301</c:v>
                </c:pt>
                <c:pt idx="360">
                  <c:v>-0.69624339162892301</c:v>
                </c:pt>
                <c:pt idx="361">
                  <c:v>-0.69624339162892301</c:v>
                </c:pt>
                <c:pt idx="362">
                  <c:v>-0.69624339162892301</c:v>
                </c:pt>
                <c:pt idx="363">
                  <c:v>-0.69624339162892301</c:v>
                </c:pt>
                <c:pt idx="364">
                  <c:v>-0.69624339162892301</c:v>
                </c:pt>
                <c:pt idx="365">
                  <c:v>-0.69624339162892301</c:v>
                </c:pt>
                <c:pt idx="366">
                  <c:v>-0.69624339162892301</c:v>
                </c:pt>
                <c:pt idx="367">
                  <c:v>-0.69624339162892301</c:v>
                </c:pt>
                <c:pt idx="368">
                  <c:v>-0.69624339162892301</c:v>
                </c:pt>
                <c:pt idx="369">
                  <c:v>-0.69624339162892301</c:v>
                </c:pt>
                <c:pt idx="370">
                  <c:v>-0.69624339162892301</c:v>
                </c:pt>
                <c:pt idx="371">
                  <c:v>-0.69624339162892301</c:v>
                </c:pt>
                <c:pt idx="372">
                  <c:v>-0.69624339162892301</c:v>
                </c:pt>
                <c:pt idx="373">
                  <c:v>-0.69624339162892301</c:v>
                </c:pt>
                <c:pt idx="374">
                  <c:v>-0.69624339162892301</c:v>
                </c:pt>
                <c:pt idx="375">
                  <c:v>-0.69624339162892301</c:v>
                </c:pt>
                <c:pt idx="376">
                  <c:v>-0.69624339162892301</c:v>
                </c:pt>
                <c:pt idx="377">
                  <c:v>-0.69624339162892301</c:v>
                </c:pt>
                <c:pt idx="378">
                  <c:v>-0.69624339162892301</c:v>
                </c:pt>
                <c:pt idx="379">
                  <c:v>-0.69624339162892301</c:v>
                </c:pt>
                <c:pt idx="380">
                  <c:v>-0.69624339162892301</c:v>
                </c:pt>
                <c:pt idx="381">
                  <c:v>-0.69624339162892301</c:v>
                </c:pt>
                <c:pt idx="382">
                  <c:v>-0.69624339162892301</c:v>
                </c:pt>
                <c:pt idx="383">
                  <c:v>-0.69624339162892301</c:v>
                </c:pt>
                <c:pt idx="384">
                  <c:v>-0.69624339162892301</c:v>
                </c:pt>
                <c:pt idx="385">
                  <c:v>-0.69624339162892301</c:v>
                </c:pt>
                <c:pt idx="386">
                  <c:v>-0.69624339162892301</c:v>
                </c:pt>
                <c:pt idx="387">
                  <c:v>-0.69624339162892301</c:v>
                </c:pt>
                <c:pt idx="388">
                  <c:v>-0.69624339162892301</c:v>
                </c:pt>
                <c:pt idx="389">
                  <c:v>-0.69624339162892301</c:v>
                </c:pt>
                <c:pt idx="390">
                  <c:v>-0.69624339162892301</c:v>
                </c:pt>
                <c:pt idx="391">
                  <c:v>-0.69624339162892301</c:v>
                </c:pt>
                <c:pt idx="392">
                  <c:v>-0.69624339162892301</c:v>
                </c:pt>
                <c:pt idx="393">
                  <c:v>-0.69624339162892301</c:v>
                </c:pt>
                <c:pt idx="394">
                  <c:v>-0.69624339162892301</c:v>
                </c:pt>
                <c:pt idx="395">
                  <c:v>-0.69624339162892301</c:v>
                </c:pt>
                <c:pt idx="396">
                  <c:v>-0.69624339162892301</c:v>
                </c:pt>
                <c:pt idx="397">
                  <c:v>-0.69624339162892301</c:v>
                </c:pt>
                <c:pt idx="398">
                  <c:v>-0.69624339162892301</c:v>
                </c:pt>
                <c:pt idx="399">
                  <c:v>-0.69624339162892301</c:v>
                </c:pt>
                <c:pt idx="400">
                  <c:v>-0.69624339162892301</c:v>
                </c:pt>
                <c:pt idx="401">
                  <c:v>-0.69624339162892301</c:v>
                </c:pt>
                <c:pt idx="402">
                  <c:v>-0.69624339162892301</c:v>
                </c:pt>
                <c:pt idx="403">
                  <c:v>-0.69624339162892301</c:v>
                </c:pt>
                <c:pt idx="404">
                  <c:v>-0.69624339162892301</c:v>
                </c:pt>
                <c:pt idx="405">
                  <c:v>-0.69624339162892301</c:v>
                </c:pt>
                <c:pt idx="406">
                  <c:v>-0.69624339162892301</c:v>
                </c:pt>
                <c:pt idx="407">
                  <c:v>-0.69624339162892301</c:v>
                </c:pt>
                <c:pt idx="408">
                  <c:v>-0.69624339162892301</c:v>
                </c:pt>
                <c:pt idx="409">
                  <c:v>-0.69624339162892301</c:v>
                </c:pt>
                <c:pt idx="410">
                  <c:v>-0.69624339162892301</c:v>
                </c:pt>
                <c:pt idx="411">
                  <c:v>-0.69624339162892301</c:v>
                </c:pt>
                <c:pt idx="412">
                  <c:v>-0.69624339162892301</c:v>
                </c:pt>
                <c:pt idx="413">
                  <c:v>-0.69624339162892301</c:v>
                </c:pt>
                <c:pt idx="414">
                  <c:v>-0.69624339162892301</c:v>
                </c:pt>
                <c:pt idx="415">
                  <c:v>-0.69624339162892301</c:v>
                </c:pt>
                <c:pt idx="416">
                  <c:v>-0.69624339162892301</c:v>
                </c:pt>
                <c:pt idx="417">
                  <c:v>-0.69624339162892301</c:v>
                </c:pt>
                <c:pt idx="418">
                  <c:v>-0.69624339162892301</c:v>
                </c:pt>
              </c:numCache>
            </c:numRef>
          </c:val>
          <c:smooth val="1"/>
          <c:extLst>
            <c:ext xmlns:c16="http://schemas.microsoft.com/office/drawing/2014/chart" uri="{C3380CC4-5D6E-409C-BE32-E72D297353CC}">
              <c16:uniqueId val="{00000002-77EB-4CF6-A82F-87CE09EC25EC}"/>
            </c:ext>
          </c:extLst>
        </c:ser>
        <c:ser>
          <c:idx val="3"/>
          <c:order val="5"/>
          <c:tx>
            <c:v>All Three</c:v>
          </c:tx>
          <c:spPr>
            <a:ln w="38100" cap="rnd">
              <a:solidFill>
                <a:sysClr val="windowText" lastClr="000000"/>
              </a:solidFill>
              <a:round/>
            </a:ln>
            <a:effectLst/>
          </c:spPr>
          <c:marker>
            <c:symbol val="none"/>
          </c:marker>
          <c:val>
            <c:numRef>
              <c:f>'2025-Q2'!$GB$4:$GB$422</c:f>
              <c:numCache>
                <c:formatCode>0.00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0.40922321023258257</c:v>
                </c:pt>
                <c:pt idx="21">
                  <c:v>0.70318817588636717</c:v>
                </c:pt>
                <c:pt idx="22">
                  <c:v>0.70318817588636717</c:v>
                </c:pt>
                <c:pt idx="23">
                  <c:v>0.70318817588636717</c:v>
                </c:pt>
                <c:pt idx="24">
                  <c:v>0.70318817588636717</c:v>
                </c:pt>
                <c:pt idx="25">
                  <c:v>0.70318817588636717</c:v>
                </c:pt>
                <c:pt idx="26">
                  <c:v>0.70318817588636717</c:v>
                </c:pt>
                <c:pt idx="27">
                  <c:v>0.70318817588636717</c:v>
                </c:pt>
                <c:pt idx="28">
                  <c:v>0.70318817588636717</c:v>
                </c:pt>
                <c:pt idx="29">
                  <c:v>0.70318817588636717</c:v>
                </c:pt>
                <c:pt idx="30">
                  <c:v>0.70318817588636717</c:v>
                </c:pt>
                <c:pt idx="31">
                  <c:v>0.70318817588636717</c:v>
                </c:pt>
                <c:pt idx="32">
                  <c:v>0.70318817588636717</c:v>
                </c:pt>
                <c:pt idx="33">
                  <c:v>0.70318817588636717</c:v>
                </c:pt>
                <c:pt idx="34">
                  <c:v>-0.20104261551371039</c:v>
                </c:pt>
                <c:pt idx="35">
                  <c:v>-0.20104261551371039</c:v>
                </c:pt>
                <c:pt idx="36">
                  <c:v>-0.20104261551371039</c:v>
                </c:pt>
                <c:pt idx="37">
                  <c:v>-0.20104261551371039</c:v>
                </c:pt>
                <c:pt idx="38">
                  <c:v>-0.20104261551371039</c:v>
                </c:pt>
                <c:pt idx="39">
                  <c:v>-0.1342076236824328</c:v>
                </c:pt>
                <c:pt idx="40">
                  <c:v>-0.1342076236824328</c:v>
                </c:pt>
                <c:pt idx="41">
                  <c:v>-0.1342076236824328</c:v>
                </c:pt>
                <c:pt idx="42">
                  <c:v>-0.1342076236824328</c:v>
                </c:pt>
                <c:pt idx="43">
                  <c:v>-0.1342076236824328</c:v>
                </c:pt>
                <c:pt idx="44">
                  <c:v>-0.1342076236824328</c:v>
                </c:pt>
                <c:pt idx="45">
                  <c:v>-0.1342076236824328</c:v>
                </c:pt>
                <c:pt idx="46">
                  <c:v>-0.1342076236824328</c:v>
                </c:pt>
                <c:pt idx="47">
                  <c:v>-0.1342076236824328</c:v>
                </c:pt>
                <c:pt idx="48">
                  <c:v>-0.1342076236824328</c:v>
                </c:pt>
                <c:pt idx="49">
                  <c:v>-0.1342076236824328</c:v>
                </c:pt>
                <c:pt idx="50">
                  <c:v>-0.1342076236824328</c:v>
                </c:pt>
                <c:pt idx="51">
                  <c:v>-0.1342076236824328</c:v>
                </c:pt>
                <c:pt idx="52">
                  <c:v>-0.1342076236824328</c:v>
                </c:pt>
                <c:pt idx="53">
                  <c:v>-0.1342076236824328</c:v>
                </c:pt>
                <c:pt idx="54">
                  <c:v>-0.1342076236824328</c:v>
                </c:pt>
                <c:pt idx="55">
                  <c:v>-0.1342076236824328</c:v>
                </c:pt>
                <c:pt idx="56">
                  <c:v>-0.1342076236824328</c:v>
                </c:pt>
                <c:pt idx="57">
                  <c:v>-0.1342076236824328</c:v>
                </c:pt>
                <c:pt idx="58">
                  <c:v>-0.1342076236824328</c:v>
                </c:pt>
                <c:pt idx="59">
                  <c:v>-0.1342076236824328</c:v>
                </c:pt>
                <c:pt idx="60">
                  <c:v>-0.1342076236824328</c:v>
                </c:pt>
                <c:pt idx="61">
                  <c:v>-0.1342076236824328</c:v>
                </c:pt>
                <c:pt idx="62">
                  <c:v>-0.1342076236824328</c:v>
                </c:pt>
                <c:pt idx="63">
                  <c:v>-0.1342076236824328</c:v>
                </c:pt>
                <c:pt idx="64">
                  <c:v>-0.1342076236824328</c:v>
                </c:pt>
                <c:pt idx="65">
                  <c:v>-0.1342076236824328</c:v>
                </c:pt>
                <c:pt idx="66">
                  <c:v>-0.1342076236824328</c:v>
                </c:pt>
                <c:pt idx="67">
                  <c:v>-0.1342076236824328</c:v>
                </c:pt>
                <c:pt idx="68">
                  <c:v>-0.1342076236824328</c:v>
                </c:pt>
                <c:pt idx="69">
                  <c:v>-0.1342076236824328</c:v>
                </c:pt>
                <c:pt idx="70">
                  <c:v>-0.1342076236824328</c:v>
                </c:pt>
                <c:pt idx="71">
                  <c:v>-0.1342076236824328</c:v>
                </c:pt>
                <c:pt idx="72">
                  <c:v>-0.1342076236824328</c:v>
                </c:pt>
                <c:pt idx="73">
                  <c:v>-0.1342076236824328</c:v>
                </c:pt>
                <c:pt idx="74">
                  <c:v>-0.1342076236824328</c:v>
                </c:pt>
                <c:pt idx="75">
                  <c:v>-0.1342076236824328</c:v>
                </c:pt>
                <c:pt idx="76">
                  <c:v>-0.1342076236824328</c:v>
                </c:pt>
                <c:pt idx="77">
                  <c:v>-0.1342076236824328</c:v>
                </c:pt>
                <c:pt idx="78">
                  <c:v>-0.1342076236824328</c:v>
                </c:pt>
                <c:pt idx="79">
                  <c:v>-0.1342076236824328</c:v>
                </c:pt>
                <c:pt idx="80">
                  <c:v>-0.1342076236824328</c:v>
                </c:pt>
                <c:pt idx="81">
                  <c:v>-0.1342076236824328</c:v>
                </c:pt>
                <c:pt idx="82">
                  <c:v>-0.1342076236824328</c:v>
                </c:pt>
                <c:pt idx="83">
                  <c:v>-0.1342076236824328</c:v>
                </c:pt>
                <c:pt idx="84">
                  <c:v>-0.1342076236824328</c:v>
                </c:pt>
                <c:pt idx="85">
                  <c:v>-0.1342076236824328</c:v>
                </c:pt>
                <c:pt idx="86">
                  <c:v>-0.1342076236824328</c:v>
                </c:pt>
                <c:pt idx="87">
                  <c:v>-0.1342076236824328</c:v>
                </c:pt>
                <c:pt idx="88">
                  <c:v>-0.1342076236824328</c:v>
                </c:pt>
                <c:pt idx="89">
                  <c:v>-0.1342076236824328</c:v>
                </c:pt>
                <c:pt idx="90">
                  <c:v>-0.1342076236824328</c:v>
                </c:pt>
                <c:pt idx="91">
                  <c:v>-0.1342076236824328</c:v>
                </c:pt>
                <c:pt idx="92">
                  <c:v>-0.1342076236824328</c:v>
                </c:pt>
                <c:pt idx="93">
                  <c:v>-0.1342076236824328</c:v>
                </c:pt>
                <c:pt idx="94">
                  <c:v>-0.1342076236824328</c:v>
                </c:pt>
                <c:pt idx="95">
                  <c:v>-0.1342076236824328</c:v>
                </c:pt>
                <c:pt idx="96">
                  <c:v>-0.1342076236824328</c:v>
                </c:pt>
                <c:pt idx="97">
                  <c:v>-0.1342076236824328</c:v>
                </c:pt>
                <c:pt idx="98">
                  <c:v>-0.1342076236824328</c:v>
                </c:pt>
                <c:pt idx="99">
                  <c:v>-0.1342076236824328</c:v>
                </c:pt>
                <c:pt idx="100">
                  <c:v>-0.1342076236824328</c:v>
                </c:pt>
                <c:pt idx="101">
                  <c:v>-0.1342076236824328</c:v>
                </c:pt>
                <c:pt idx="102">
                  <c:v>-0.1342076236824328</c:v>
                </c:pt>
                <c:pt idx="103">
                  <c:v>-0.1342076236824328</c:v>
                </c:pt>
                <c:pt idx="104">
                  <c:v>-0.15936696618494769</c:v>
                </c:pt>
                <c:pt idx="105">
                  <c:v>-0.15936696618494769</c:v>
                </c:pt>
                <c:pt idx="106">
                  <c:v>-0.15936696618494769</c:v>
                </c:pt>
                <c:pt idx="107">
                  <c:v>-0.15936696618494769</c:v>
                </c:pt>
                <c:pt idx="108">
                  <c:v>-0.15936696618494769</c:v>
                </c:pt>
                <c:pt idx="109">
                  <c:v>-0.15936696618494769</c:v>
                </c:pt>
                <c:pt idx="110">
                  <c:v>-0.15936696618494769</c:v>
                </c:pt>
                <c:pt idx="111">
                  <c:v>-0.15936696618494769</c:v>
                </c:pt>
                <c:pt idx="112">
                  <c:v>-0.15936696618494769</c:v>
                </c:pt>
                <c:pt idx="113">
                  <c:v>-0.15936696618494769</c:v>
                </c:pt>
                <c:pt idx="114">
                  <c:v>-0.15936696618494769</c:v>
                </c:pt>
                <c:pt idx="115">
                  <c:v>-0.15936696618494769</c:v>
                </c:pt>
                <c:pt idx="116">
                  <c:v>-0.15936696618494769</c:v>
                </c:pt>
                <c:pt idx="117">
                  <c:v>-0.15936696618494769</c:v>
                </c:pt>
                <c:pt idx="118">
                  <c:v>0.86366976009753049</c:v>
                </c:pt>
                <c:pt idx="119">
                  <c:v>0.86366976009753049</c:v>
                </c:pt>
                <c:pt idx="120">
                  <c:v>0.86366976009753049</c:v>
                </c:pt>
                <c:pt idx="121">
                  <c:v>0.86366976009753049</c:v>
                </c:pt>
                <c:pt idx="122">
                  <c:v>-0.18089848502781439</c:v>
                </c:pt>
                <c:pt idx="123">
                  <c:v>-0.18089848502781439</c:v>
                </c:pt>
                <c:pt idx="124">
                  <c:v>-0.18089848502781439</c:v>
                </c:pt>
                <c:pt idx="125">
                  <c:v>-0.18089848502781439</c:v>
                </c:pt>
                <c:pt idx="126">
                  <c:v>-0.18089848502781439</c:v>
                </c:pt>
                <c:pt idx="127">
                  <c:v>-0.18089848502781439</c:v>
                </c:pt>
                <c:pt idx="128">
                  <c:v>-0.18089848502781439</c:v>
                </c:pt>
                <c:pt idx="129">
                  <c:v>-0.18089848502781439</c:v>
                </c:pt>
                <c:pt idx="130">
                  <c:v>-0.18089848502781439</c:v>
                </c:pt>
                <c:pt idx="131">
                  <c:v>-0.18089848502781439</c:v>
                </c:pt>
                <c:pt idx="132">
                  <c:v>-0.18089848502781439</c:v>
                </c:pt>
                <c:pt idx="133">
                  <c:v>-0.18089848502781439</c:v>
                </c:pt>
                <c:pt idx="134">
                  <c:v>-0.18089848502781439</c:v>
                </c:pt>
                <c:pt idx="135">
                  <c:v>-0.18089848502781439</c:v>
                </c:pt>
                <c:pt idx="136">
                  <c:v>-0.18089848502781439</c:v>
                </c:pt>
                <c:pt idx="137">
                  <c:v>-0.18089848502781439</c:v>
                </c:pt>
                <c:pt idx="138">
                  <c:v>-0.18089848502781439</c:v>
                </c:pt>
                <c:pt idx="139">
                  <c:v>-0.18089848502781439</c:v>
                </c:pt>
                <c:pt idx="140">
                  <c:v>-0.18089848502781439</c:v>
                </c:pt>
                <c:pt idx="141">
                  <c:v>-0.18089848502781439</c:v>
                </c:pt>
                <c:pt idx="142">
                  <c:v>-0.18089848502781439</c:v>
                </c:pt>
                <c:pt idx="143">
                  <c:v>-0.18089848502781439</c:v>
                </c:pt>
                <c:pt idx="144">
                  <c:v>-0.18089848502781439</c:v>
                </c:pt>
                <c:pt idx="145">
                  <c:v>-0.18089848502781439</c:v>
                </c:pt>
                <c:pt idx="146">
                  <c:v>-0.18089848502781439</c:v>
                </c:pt>
                <c:pt idx="147">
                  <c:v>-0.18089848502781439</c:v>
                </c:pt>
                <c:pt idx="148">
                  <c:v>-0.18089848502781439</c:v>
                </c:pt>
                <c:pt idx="149">
                  <c:v>-0.18089848502781439</c:v>
                </c:pt>
                <c:pt idx="150">
                  <c:v>-0.18089848502781439</c:v>
                </c:pt>
                <c:pt idx="151">
                  <c:v>-0.18089848502781439</c:v>
                </c:pt>
                <c:pt idx="152">
                  <c:v>-0.18089848502781439</c:v>
                </c:pt>
                <c:pt idx="153">
                  <c:v>-0.18089848502781439</c:v>
                </c:pt>
                <c:pt idx="154">
                  <c:v>-0.18089848502781439</c:v>
                </c:pt>
                <c:pt idx="155">
                  <c:v>-0.89886940540159177</c:v>
                </c:pt>
                <c:pt idx="156">
                  <c:v>-0.89886940540159177</c:v>
                </c:pt>
                <c:pt idx="157">
                  <c:v>-0.89886940540159177</c:v>
                </c:pt>
                <c:pt idx="158">
                  <c:v>-0.89886940540159177</c:v>
                </c:pt>
                <c:pt idx="159">
                  <c:v>-0.89886940540159177</c:v>
                </c:pt>
                <c:pt idx="160">
                  <c:v>-0.89886940540159177</c:v>
                </c:pt>
                <c:pt idx="161">
                  <c:v>-0.89886940540159177</c:v>
                </c:pt>
                <c:pt idx="162">
                  <c:v>-0.89886940540159177</c:v>
                </c:pt>
                <c:pt idx="163">
                  <c:v>-0.89886940540159177</c:v>
                </c:pt>
                <c:pt idx="164">
                  <c:v>-0.89886940540159177</c:v>
                </c:pt>
                <c:pt idx="165">
                  <c:v>-0.89886940540159177</c:v>
                </c:pt>
                <c:pt idx="166">
                  <c:v>-0.89886940540159177</c:v>
                </c:pt>
                <c:pt idx="167">
                  <c:v>-0.89886940540159177</c:v>
                </c:pt>
                <c:pt idx="168">
                  <c:v>-0.89886940540159177</c:v>
                </c:pt>
                <c:pt idx="169">
                  <c:v>-0.89886940540159177</c:v>
                </c:pt>
                <c:pt idx="170">
                  <c:v>-0.89886940540159177</c:v>
                </c:pt>
                <c:pt idx="171">
                  <c:v>-0.89886940540159177</c:v>
                </c:pt>
                <c:pt idx="172">
                  <c:v>-0.89886940540159177</c:v>
                </c:pt>
                <c:pt idx="173">
                  <c:v>-0.89886940540159177</c:v>
                </c:pt>
                <c:pt idx="174">
                  <c:v>-0.89886940540159177</c:v>
                </c:pt>
                <c:pt idx="175">
                  <c:v>-0.89886940540159177</c:v>
                </c:pt>
                <c:pt idx="176">
                  <c:v>-0.84207519516565377</c:v>
                </c:pt>
                <c:pt idx="177">
                  <c:v>-0.84207519516565377</c:v>
                </c:pt>
                <c:pt idx="178">
                  <c:v>-0.84207519516565377</c:v>
                </c:pt>
                <c:pt idx="179">
                  <c:v>-0.84207519516565377</c:v>
                </c:pt>
                <c:pt idx="180">
                  <c:v>-1.3297454196779863</c:v>
                </c:pt>
                <c:pt idx="181">
                  <c:v>-1.6405809792660038</c:v>
                </c:pt>
                <c:pt idx="182">
                  <c:v>-1.6405809792660038</c:v>
                </c:pt>
                <c:pt idx="183">
                  <c:v>-1.6405809792660038</c:v>
                </c:pt>
                <c:pt idx="184">
                  <c:v>-1.6405809792660038</c:v>
                </c:pt>
                <c:pt idx="185">
                  <c:v>-1.6405809792660038</c:v>
                </c:pt>
                <c:pt idx="186">
                  <c:v>-1.6405809792660038</c:v>
                </c:pt>
                <c:pt idx="187">
                  <c:v>-1.6405809792660038</c:v>
                </c:pt>
                <c:pt idx="188">
                  <c:v>-1.6405809792660038</c:v>
                </c:pt>
                <c:pt idx="189">
                  <c:v>-1.8583953174199976</c:v>
                </c:pt>
                <c:pt idx="190">
                  <c:v>-1.8583953174199976</c:v>
                </c:pt>
                <c:pt idx="191">
                  <c:v>-1.8583953174199976</c:v>
                </c:pt>
                <c:pt idx="192">
                  <c:v>-1.8583953174199976</c:v>
                </c:pt>
                <c:pt idx="193">
                  <c:v>-1.8583953174199976</c:v>
                </c:pt>
                <c:pt idx="194">
                  <c:v>-1.8583953174199976</c:v>
                </c:pt>
                <c:pt idx="195">
                  <c:v>-1.8583953174199976</c:v>
                </c:pt>
                <c:pt idx="196">
                  <c:v>-1.8583953174199976</c:v>
                </c:pt>
                <c:pt idx="197">
                  <c:v>-1.8583953174199976</c:v>
                </c:pt>
                <c:pt idx="198">
                  <c:v>-1.8583953174199976</c:v>
                </c:pt>
                <c:pt idx="199">
                  <c:v>-1.8583953174199976</c:v>
                </c:pt>
                <c:pt idx="200">
                  <c:v>-1.8583953174199976</c:v>
                </c:pt>
                <c:pt idx="201">
                  <c:v>-1.8583953174199976</c:v>
                </c:pt>
                <c:pt idx="202">
                  <c:v>-1.8583953174199976</c:v>
                </c:pt>
                <c:pt idx="203">
                  <c:v>-1.8583953174199976</c:v>
                </c:pt>
                <c:pt idx="204">
                  <c:v>-1.8583953174199976</c:v>
                </c:pt>
                <c:pt idx="205">
                  <c:v>-1.8583953174199976</c:v>
                </c:pt>
                <c:pt idx="206">
                  <c:v>-1.8583953174199976</c:v>
                </c:pt>
                <c:pt idx="207">
                  <c:v>-1.8583953174199976</c:v>
                </c:pt>
                <c:pt idx="208">
                  <c:v>-1.8583953174199976</c:v>
                </c:pt>
                <c:pt idx="209">
                  <c:v>-1.8583953174199976</c:v>
                </c:pt>
                <c:pt idx="210">
                  <c:v>-1.8583953174199976</c:v>
                </c:pt>
                <c:pt idx="211">
                  <c:v>-1.8583953174199976</c:v>
                </c:pt>
                <c:pt idx="212">
                  <c:v>-1.8583953174199976</c:v>
                </c:pt>
                <c:pt idx="213">
                  <c:v>-1.8583953174199976</c:v>
                </c:pt>
                <c:pt idx="214">
                  <c:v>-1.8583953174199976</c:v>
                </c:pt>
                <c:pt idx="215">
                  <c:v>-1.8583953174199976</c:v>
                </c:pt>
                <c:pt idx="216">
                  <c:v>-1.8583953174199976</c:v>
                </c:pt>
                <c:pt idx="217">
                  <c:v>-1.8583953174199976</c:v>
                </c:pt>
                <c:pt idx="218">
                  <c:v>-1.8583953174199976</c:v>
                </c:pt>
                <c:pt idx="219">
                  <c:v>-1.8583953174199976</c:v>
                </c:pt>
                <c:pt idx="220">
                  <c:v>-1.8583953174199976</c:v>
                </c:pt>
                <c:pt idx="221">
                  <c:v>-1.8583953174199976</c:v>
                </c:pt>
                <c:pt idx="222">
                  <c:v>-1.8583953174199976</c:v>
                </c:pt>
                <c:pt idx="223">
                  <c:v>-1.8583953174199976</c:v>
                </c:pt>
                <c:pt idx="224">
                  <c:v>-1.8583953174199976</c:v>
                </c:pt>
                <c:pt idx="225">
                  <c:v>-1.8583953174199976</c:v>
                </c:pt>
                <c:pt idx="226">
                  <c:v>-1.8583953174199976</c:v>
                </c:pt>
                <c:pt idx="227">
                  <c:v>-1.8583953174199976</c:v>
                </c:pt>
                <c:pt idx="228">
                  <c:v>-1.8583953174199976</c:v>
                </c:pt>
                <c:pt idx="229">
                  <c:v>-1.901690715737663</c:v>
                </c:pt>
                <c:pt idx="230">
                  <c:v>-1.901690715737663</c:v>
                </c:pt>
                <c:pt idx="231">
                  <c:v>-1.901690715737663</c:v>
                </c:pt>
                <c:pt idx="232">
                  <c:v>-1.2319073131435321</c:v>
                </c:pt>
                <c:pt idx="233">
                  <c:v>-1.2319073131435321</c:v>
                </c:pt>
                <c:pt idx="234">
                  <c:v>-1.2319073131435321</c:v>
                </c:pt>
                <c:pt idx="235">
                  <c:v>-1.2319073131435321</c:v>
                </c:pt>
                <c:pt idx="236">
                  <c:v>-1.2319073131435321</c:v>
                </c:pt>
                <c:pt idx="237">
                  <c:v>-1.2319073131435321</c:v>
                </c:pt>
                <c:pt idx="238">
                  <c:v>-1.2319073131435321</c:v>
                </c:pt>
                <c:pt idx="239">
                  <c:v>-1.2319073131435321</c:v>
                </c:pt>
                <c:pt idx="240">
                  <c:v>-1.2319073131435321</c:v>
                </c:pt>
                <c:pt idx="241">
                  <c:v>-1.2319073131435321</c:v>
                </c:pt>
                <c:pt idx="242">
                  <c:v>-1.2319073131435321</c:v>
                </c:pt>
                <c:pt idx="243">
                  <c:v>-1.2319073131435321</c:v>
                </c:pt>
                <c:pt idx="244">
                  <c:v>-1.2319073131435321</c:v>
                </c:pt>
                <c:pt idx="245">
                  <c:v>-1.2319073131435321</c:v>
                </c:pt>
                <c:pt idx="246">
                  <c:v>-1.2319073131435321</c:v>
                </c:pt>
                <c:pt idx="247">
                  <c:v>-1.2319073131435321</c:v>
                </c:pt>
                <c:pt idx="248">
                  <c:v>-1.2319073131435321</c:v>
                </c:pt>
                <c:pt idx="249">
                  <c:v>-1.2319073131435321</c:v>
                </c:pt>
                <c:pt idx="250">
                  <c:v>-1.2319073131435321</c:v>
                </c:pt>
                <c:pt idx="251">
                  <c:v>-1.2319073131435321</c:v>
                </c:pt>
                <c:pt idx="252">
                  <c:v>-1.2319073131435321</c:v>
                </c:pt>
                <c:pt idx="253">
                  <c:v>-1.2319073131435321</c:v>
                </c:pt>
                <c:pt idx="254">
                  <c:v>-1.2319073131435321</c:v>
                </c:pt>
                <c:pt idx="255">
                  <c:v>-1.2319073131435321</c:v>
                </c:pt>
                <c:pt idx="256">
                  <c:v>-1.2319073131435321</c:v>
                </c:pt>
                <c:pt idx="257">
                  <c:v>-1.2319073131435321</c:v>
                </c:pt>
                <c:pt idx="258">
                  <c:v>-1.2319073131435321</c:v>
                </c:pt>
                <c:pt idx="259">
                  <c:v>-1.2319073131435321</c:v>
                </c:pt>
                <c:pt idx="260">
                  <c:v>-1.2319073131435321</c:v>
                </c:pt>
                <c:pt idx="261">
                  <c:v>-1.2319073131435321</c:v>
                </c:pt>
                <c:pt idx="262">
                  <c:v>-1.2319073131435321</c:v>
                </c:pt>
                <c:pt idx="263">
                  <c:v>-1.2319073131435321</c:v>
                </c:pt>
                <c:pt idx="264">
                  <c:v>-1.2319073131435321</c:v>
                </c:pt>
                <c:pt idx="265">
                  <c:v>-1.2319073131435321</c:v>
                </c:pt>
                <c:pt idx="266">
                  <c:v>-1.2319073131435321</c:v>
                </c:pt>
                <c:pt idx="267">
                  <c:v>-1.2319073131435321</c:v>
                </c:pt>
                <c:pt idx="268">
                  <c:v>-1.2319073131435321</c:v>
                </c:pt>
                <c:pt idx="269">
                  <c:v>-1.2319073131435321</c:v>
                </c:pt>
                <c:pt idx="270">
                  <c:v>-1.2319073131435321</c:v>
                </c:pt>
                <c:pt idx="271">
                  <c:v>-1.2319073131435321</c:v>
                </c:pt>
                <c:pt idx="272">
                  <c:v>-1.2319073131435321</c:v>
                </c:pt>
                <c:pt idx="273">
                  <c:v>-1.2319073131435321</c:v>
                </c:pt>
                <c:pt idx="274">
                  <c:v>-1.2319073131435321</c:v>
                </c:pt>
                <c:pt idx="275">
                  <c:v>-1.2319073131435321</c:v>
                </c:pt>
                <c:pt idx="276">
                  <c:v>-1.2319073131435321</c:v>
                </c:pt>
                <c:pt idx="277">
                  <c:v>-1.2319073131435321</c:v>
                </c:pt>
                <c:pt idx="278">
                  <c:v>-1.2319073131435321</c:v>
                </c:pt>
                <c:pt idx="279">
                  <c:v>-1.2319073131435321</c:v>
                </c:pt>
                <c:pt idx="280">
                  <c:v>-0.79042852771570116</c:v>
                </c:pt>
                <c:pt idx="281">
                  <c:v>-0.79042852771570116</c:v>
                </c:pt>
                <c:pt idx="282">
                  <c:v>-0.79042852771570116</c:v>
                </c:pt>
                <c:pt idx="283">
                  <c:v>-0.79042852771570116</c:v>
                </c:pt>
                <c:pt idx="284">
                  <c:v>-0.79042852771570116</c:v>
                </c:pt>
                <c:pt idx="285">
                  <c:v>-0.79042852771570116</c:v>
                </c:pt>
                <c:pt idx="286">
                  <c:v>-0.79042852771570116</c:v>
                </c:pt>
                <c:pt idx="287">
                  <c:v>-0.79042852771570116</c:v>
                </c:pt>
                <c:pt idx="288">
                  <c:v>-0.79042852771570116</c:v>
                </c:pt>
                <c:pt idx="289">
                  <c:v>-0.79042852771570116</c:v>
                </c:pt>
                <c:pt idx="290">
                  <c:v>-0.79042852771570116</c:v>
                </c:pt>
                <c:pt idx="291">
                  <c:v>-0.79042852771570116</c:v>
                </c:pt>
                <c:pt idx="292">
                  <c:v>-0.79042852771570116</c:v>
                </c:pt>
                <c:pt idx="293">
                  <c:v>-0.79042852771570116</c:v>
                </c:pt>
                <c:pt idx="294">
                  <c:v>-0.79042852771570116</c:v>
                </c:pt>
                <c:pt idx="295">
                  <c:v>-0.79042852771570116</c:v>
                </c:pt>
                <c:pt idx="296">
                  <c:v>-0.79042852771570116</c:v>
                </c:pt>
                <c:pt idx="297">
                  <c:v>-0.79042852771570116</c:v>
                </c:pt>
                <c:pt idx="298">
                  <c:v>-0.79042852771570116</c:v>
                </c:pt>
                <c:pt idx="299">
                  <c:v>-0.79042852771570116</c:v>
                </c:pt>
                <c:pt idx="300">
                  <c:v>-0.79042852771570116</c:v>
                </c:pt>
                <c:pt idx="301">
                  <c:v>-0.79042852771570116</c:v>
                </c:pt>
                <c:pt idx="302">
                  <c:v>-0.79042852771570116</c:v>
                </c:pt>
                <c:pt idx="303">
                  <c:v>-0.79042852771570116</c:v>
                </c:pt>
                <c:pt idx="304">
                  <c:v>-0.79042852771570116</c:v>
                </c:pt>
                <c:pt idx="305">
                  <c:v>-0.79042852771570116</c:v>
                </c:pt>
                <c:pt idx="306">
                  <c:v>-0.79042852771570116</c:v>
                </c:pt>
                <c:pt idx="307">
                  <c:v>-0.79042852771570116</c:v>
                </c:pt>
                <c:pt idx="308">
                  <c:v>-0.79042852771570116</c:v>
                </c:pt>
                <c:pt idx="309">
                  <c:v>-0.79042852771570116</c:v>
                </c:pt>
                <c:pt idx="310">
                  <c:v>-0.79042852771570116</c:v>
                </c:pt>
                <c:pt idx="311">
                  <c:v>-0.79042852771570116</c:v>
                </c:pt>
                <c:pt idx="312">
                  <c:v>-0.79042852771570116</c:v>
                </c:pt>
                <c:pt idx="313">
                  <c:v>-0.79042852771570116</c:v>
                </c:pt>
                <c:pt idx="314">
                  <c:v>-0.79042852771570116</c:v>
                </c:pt>
                <c:pt idx="315">
                  <c:v>-0.79042852771570116</c:v>
                </c:pt>
                <c:pt idx="316">
                  <c:v>-0.79042852771570116</c:v>
                </c:pt>
                <c:pt idx="317">
                  <c:v>-0.79042852771570116</c:v>
                </c:pt>
                <c:pt idx="318">
                  <c:v>-0.79042852771570116</c:v>
                </c:pt>
                <c:pt idx="319">
                  <c:v>-0.79042852771570116</c:v>
                </c:pt>
                <c:pt idx="320">
                  <c:v>-0.79042852771570116</c:v>
                </c:pt>
                <c:pt idx="321">
                  <c:v>-0.79042852771570116</c:v>
                </c:pt>
                <c:pt idx="322">
                  <c:v>-0.79042852771570116</c:v>
                </c:pt>
                <c:pt idx="323">
                  <c:v>-0.79042852771570116</c:v>
                </c:pt>
                <c:pt idx="324">
                  <c:v>-0.79042852771570116</c:v>
                </c:pt>
                <c:pt idx="325">
                  <c:v>-0.79042852771570116</c:v>
                </c:pt>
                <c:pt idx="326">
                  <c:v>-0.79042852771570116</c:v>
                </c:pt>
                <c:pt idx="327">
                  <c:v>-0.79042852771570116</c:v>
                </c:pt>
                <c:pt idx="328">
                  <c:v>-0.79042852771570116</c:v>
                </c:pt>
                <c:pt idx="329">
                  <c:v>-0.79042852771570116</c:v>
                </c:pt>
                <c:pt idx="330">
                  <c:v>-0.79042852771570116</c:v>
                </c:pt>
                <c:pt idx="331">
                  <c:v>-0.79042852771570116</c:v>
                </c:pt>
                <c:pt idx="332">
                  <c:v>-0.79042852771570116</c:v>
                </c:pt>
                <c:pt idx="333">
                  <c:v>-0.79042852771570116</c:v>
                </c:pt>
                <c:pt idx="334">
                  <c:v>-0.79042852771570116</c:v>
                </c:pt>
                <c:pt idx="335">
                  <c:v>-0.79042852771570116</c:v>
                </c:pt>
                <c:pt idx="336">
                  <c:v>-0.79042852771570116</c:v>
                </c:pt>
                <c:pt idx="337">
                  <c:v>-0.79042852771570116</c:v>
                </c:pt>
                <c:pt idx="338">
                  <c:v>-0.79042852771570116</c:v>
                </c:pt>
                <c:pt idx="339">
                  <c:v>-0.79042852771570116</c:v>
                </c:pt>
                <c:pt idx="340">
                  <c:v>-0.79042852771570116</c:v>
                </c:pt>
                <c:pt idx="341">
                  <c:v>-0.79042852771570116</c:v>
                </c:pt>
                <c:pt idx="342">
                  <c:v>-0.79042852771570116</c:v>
                </c:pt>
                <c:pt idx="343">
                  <c:v>-0.79042852771570116</c:v>
                </c:pt>
                <c:pt idx="344">
                  <c:v>-0.79042852771570116</c:v>
                </c:pt>
                <c:pt idx="345">
                  <c:v>-0.79042852771570116</c:v>
                </c:pt>
                <c:pt idx="346">
                  <c:v>-0.79042852771570116</c:v>
                </c:pt>
                <c:pt idx="347">
                  <c:v>-0.79042852771570116</c:v>
                </c:pt>
                <c:pt idx="348">
                  <c:v>-0.79042852771570116</c:v>
                </c:pt>
                <c:pt idx="349">
                  <c:v>-0.79042852771570116</c:v>
                </c:pt>
                <c:pt idx="350">
                  <c:v>-0.79042852771570116</c:v>
                </c:pt>
                <c:pt idx="351">
                  <c:v>-0.79042852771570116</c:v>
                </c:pt>
                <c:pt idx="352">
                  <c:v>-0.79042852771570116</c:v>
                </c:pt>
                <c:pt idx="353">
                  <c:v>-0.79042852771570116</c:v>
                </c:pt>
                <c:pt idx="354">
                  <c:v>-0.79042852771570116</c:v>
                </c:pt>
                <c:pt idx="355">
                  <c:v>-0.79042852771570116</c:v>
                </c:pt>
                <c:pt idx="356">
                  <c:v>-0.79042852771570116</c:v>
                </c:pt>
                <c:pt idx="357">
                  <c:v>-0.79042852771570116</c:v>
                </c:pt>
                <c:pt idx="358">
                  <c:v>-0.79042852771570116</c:v>
                </c:pt>
                <c:pt idx="359">
                  <c:v>-0.79042852771570116</c:v>
                </c:pt>
                <c:pt idx="360">
                  <c:v>-0.79042852771570116</c:v>
                </c:pt>
                <c:pt idx="361">
                  <c:v>-0.79042852771570116</c:v>
                </c:pt>
                <c:pt idx="362">
                  <c:v>-0.79042852771570116</c:v>
                </c:pt>
                <c:pt idx="363">
                  <c:v>-0.79042852771570116</c:v>
                </c:pt>
                <c:pt idx="364">
                  <c:v>-0.79042852771570116</c:v>
                </c:pt>
                <c:pt idx="365">
                  <c:v>-0.79042852771570116</c:v>
                </c:pt>
                <c:pt idx="366">
                  <c:v>-0.79042852771570116</c:v>
                </c:pt>
                <c:pt idx="367">
                  <c:v>-0.79042852771570116</c:v>
                </c:pt>
                <c:pt idx="368">
                  <c:v>-0.79042852771570116</c:v>
                </c:pt>
                <c:pt idx="369">
                  <c:v>-0.79042852771570116</c:v>
                </c:pt>
                <c:pt idx="370">
                  <c:v>-0.79042852771570116</c:v>
                </c:pt>
                <c:pt idx="371">
                  <c:v>-0.79042852771570116</c:v>
                </c:pt>
                <c:pt idx="372">
                  <c:v>-0.79042852771570116</c:v>
                </c:pt>
                <c:pt idx="373">
                  <c:v>-0.79042852771570116</c:v>
                </c:pt>
                <c:pt idx="374">
                  <c:v>-0.79042852771570116</c:v>
                </c:pt>
                <c:pt idx="375">
                  <c:v>-0.79042852771570116</c:v>
                </c:pt>
                <c:pt idx="376">
                  <c:v>-0.79042852771570116</c:v>
                </c:pt>
                <c:pt idx="377">
                  <c:v>-0.79042852771570116</c:v>
                </c:pt>
                <c:pt idx="378">
                  <c:v>-0.79042852771570116</c:v>
                </c:pt>
                <c:pt idx="379">
                  <c:v>-0.79042852771570116</c:v>
                </c:pt>
                <c:pt idx="380">
                  <c:v>-0.79042852771570116</c:v>
                </c:pt>
                <c:pt idx="381">
                  <c:v>-0.79042852771570116</c:v>
                </c:pt>
                <c:pt idx="382">
                  <c:v>-0.79042852771570116</c:v>
                </c:pt>
                <c:pt idx="383">
                  <c:v>-0.79042852771570116</c:v>
                </c:pt>
                <c:pt idx="384">
                  <c:v>-0.79042852771570116</c:v>
                </c:pt>
                <c:pt idx="385">
                  <c:v>-0.79042852771570116</c:v>
                </c:pt>
                <c:pt idx="386">
                  <c:v>-0.79042852771570116</c:v>
                </c:pt>
                <c:pt idx="387">
                  <c:v>-0.79042852771570116</c:v>
                </c:pt>
                <c:pt idx="388">
                  <c:v>-0.79042852771570116</c:v>
                </c:pt>
                <c:pt idx="389">
                  <c:v>-0.79042852771570116</c:v>
                </c:pt>
                <c:pt idx="390">
                  <c:v>-0.79042852771570116</c:v>
                </c:pt>
                <c:pt idx="391">
                  <c:v>-0.79042852771570116</c:v>
                </c:pt>
                <c:pt idx="392">
                  <c:v>-0.79042852771570116</c:v>
                </c:pt>
                <c:pt idx="393">
                  <c:v>-0.79042852771570116</c:v>
                </c:pt>
                <c:pt idx="394">
                  <c:v>-0.79042852771570116</c:v>
                </c:pt>
                <c:pt idx="395">
                  <c:v>-0.79042852771570116</c:v>
                </c:pt>
                <c:pt idx="396">
                  <c:v>-0.79042852771570116</c:v>
                </c:pt>
                <c:pt idx="397">
                  <c:v>-0.79042852771570116</c:v>
                </c:pt>
                <c:pt idx="398">
                  <c:v>-0.79042852771570116</c:v>
                </c:pt>
                <c:pt idx="399">
                  <c:v>-0.79042852771570116</c:v>
                </c:pt>
                <c:pt idx="400">
                  <c:v>-0.79042852771570116</c:v>
                </c:pt>
                <c:pt idx="401">
                  <c:v>-0.79042852771570116</c:v>
                </c:pt>
                <c:pt idx="402">
                  <c:v>-0.79042852771570116</c:v>
                </c:pt>
                <c:pt idx="403">
                  <c:v>-0.79042852771570116</c:v>
                </c:pt>
                <c:pt idx="404">
                  <c:v>-0.79042852771570116</c:v>
                </c:pt>
                <c:pt idx="405">
                  <c:v>-0.79042852771570116</c:v>
                </c:pt>
                <c:pt idx="406">
                  <c:v>-0.79042852771570116</c:v>
                </c:pt>
                <c:pt idx="407">
                  <c:v>-0.79042852771570116</c:v>
                </c:pt>
                <c:pt idx="408">
                  <c:v>-0.79042852771570116</c:v>
                </c:pt>
                <c:pt idx="409">
                  <c:v>-0.79042852771570116</c:v>
                </c:pt>
                <c:pt idx="410">
                  <c:v>-0.79042852771570116</c:v>
                </c:pt>
                <c:pt idx="411">
                  <c:v>-0.79042852771570116</c:v>
                </c:pt>
                <c:pt idx="412">
                  <c:v>-0.79042852771570116</c:v>
                </c:pt>
                <c:pt idx="413">
                  <c:v>-0.79042852771570116</c:v>
                </c:pt>
                <c:pt idx="414">
                  <c:v>-0.79042852771570116</c:v>
                </c:pt>
                <c:pt idx="415">
                  <c:v>-0.79042852771570116</c:v>
                </c:pt>
                <c:pt idx="416">
                  <c:v>-0.79042852771570116</c:v>
                </c:pt>
                <c:pt idx="417">
                  <c:v>-0.79042852771570116</c:v>
                </c:pt>
                <c:pt idx="418">
                  <c:v>-0.79042852771570116</c:v>
                </c:pt>
              </c:numCache>
            </c:numRef>
          </c:val>
          <c:smooth val="1"/>
          <c:extLst>
            <c:ext xmlns:c16="http://schemas.microsoft.com/office/drawing/2014/chart" uri="{C3380CC4-5D6E-409C-BE32-E72D297353CC}">
              <c16:uniqueId val="{00000003-77EB-4CF6-A82F-87CE09EC25EC}"/>
            </c:ext>
          </c:extLst>
        </c:ser>
        <c:dLbls>
          <c:showLegendKey val="0"/>
          <c:showVal val="0"/>
          <c:showCatName val="0"/>
          <c:showSerName val="0"/>
          <c:showPercent val="0"/>
          <c:showBubbleSize val="0"/>
        </c:dLbls>
        <c:smooth val="0"/>
        <c:axId val="147683023"/>
        <c:axId val="146645279"/>
        <c:extLst>
          <c:ext xmlns:c15="http://schemas.microsoft.com/office/drawing/2012/chart" uri="{02D57815-91ED-43cb-92C2-25804820EDAC}">
            <c15:filteredLineSeries>
              <c15:ser>
                <c:idx val="5"/>
                <c:order val="1"/>
                <c:tx>
                  <c:v>Up (MOC)</c:v>
                </c:tx>
                <c:spPr>
                  <a:ln w="28575" cap="rnd">
                    <a:solidFill>
                      <a:schemeClr val="accent6"/>
                    </a:solidFill>
                    <a:prstDash val="sysDash"/>
                    <a:round/>
                  </a:ln>
                  <a:effectLst/>
                </c:spPr>
                <c:marker>
                  <c:symbol val="none"/>
                </c:marker>
                <c:val>
                  <c:numRef>
                    <c:extLst>
                      <c:ext uri="{02D57815-91ED-43cb-92C2-25804820EDAC}">
                        <c15:formulaRef>
                          <c15:sqref>'2025-Q2'!$AX$4:$AX$350</c15:sqref>
                        </c15:formulaRef>
                      </c:ext>
                    </c:extLst>
                    <c:numCache>
                      <c:formatCode>"$"#,##0</c:formatCode>
                      <c:ptCount val="34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59.839999999999918</c:v>
                      </c:pt>
                      <c:pt idx="40">
                        <c:v>59.839999999999918</c:v>
                      </c:pt>
                      <c:pt idx="41">
                        <c:v>59.839999999999918</c:v>
                      </c:pt>
                      <c:pt idx="42">
                        <c:v>59.839999999999918</c:v>
                      </c:pt>
                      <c:pt idx="43">
                        <c:v>59.839999999999918</c:v>
                      </c:pt>
                      <c:pt idx="44">
                        <c:v>59.839999999999918</c:v>
                      </c:pt>
                      <c:pt idx="45">
                        <c:v>59.839999999999918</c:v>
                      </c:pt>
                      <c:pt idx="46">
                        <c:v>59.839999999999918</c:v>
                      </c:pt>
                      <c:pt idx="47">
                        <c:v>-74.660000000000196</c:v>
                      </c:pt>
                      <c:pt idx="48">
                        <c:v>-74.660000000000196</c:v>
                      </c:pt>
                      <c:pt idx="49">
                        <c:v>-74.660000000000196</c:v>
                      </c:pt>
                      <c:pt idx="50">
                        <c:v>-74.660000000000196</c:v>
                      </c:pt>
                      <c:pt idx="51">
                        <c:v>-74.660000000000196</c:v>
                      </c:pt>
                      <c:pt idx="52">
                        <c:v>-74.660000000000196</c:v>
                      </c:pt>
                      <c:pt idx="53">
                        <c:v>-74.660000000000196</c:v>
                      </c:pt>
                      <c:pt idx="54">
                        <c:v>-74.660000000000196</c:v>
                      </c:pt>
                      <c:pt idx="55">
                        <c:v>-74.660000000000196</c:v>
                      </c:pt>
                      <c:pt idx="56">
                        <c:v>-74.660000000000196</c:v>
                      </c:pt>
                      <c:pt idx="57">
                        <c:v>-74.660000000000196</c:v>
                      </c:pt>
                      <c:pt idx="58">
                        <c:v>-74.660000000000196</c:v>
                      </c:pt>
                      <c:pt idx="59">
                        <c:v>-74.660000000000196</c:v>
                      </c:pt>
                      <c:pt idx="60">
                        <c:v>-74.660000000000196</c:v>
                      </c:pt>
                      <c:pt idx="61">
                        <c:v>-74.660000000000196</c:v>
                      </c:pt>
                      <c:pt idx="62">
                        <c:v>-74.660000000000196</c:v>
                      </c:pt>
                      <c:pt idx="63">
                        <c:v>-74.660000000000196</c:v>
                      </c:pt>
                      <c:pt idx="64">
                        <c:v>-74.660000000000196</c:v>
                      </c:pt>
                      <c:pt idx="65">
                        <c:v>-74.660000000000196</c:v>
                      </c:pt>
                      <c:pt idx="66">
                        <c:v>-74.660000000000196</c:v>
                      </c:pt>
                      <c:pt idx="67">
                        <c:v>-74.660000000000196</c:v>
                      </c:pt>
                      <c:pt idx="68">
                        <c:v>-74.660000000000196</c:v>
                      </c:pt>
                      <c:pt idx="69">
                        <c:v>-54.660000000000196</c:v>
                      </c:pt>
                      <c:pt idx="70">
                        <c:v>-54.660000000000196</c:v>
                      </c:pt>
                      <c:pt idx="71">
                        <c:v>-66.900000000000205</c:v>
                      </c:pt>
                      <c:pt idx="72">
                        <c:v>-66.900000000000205</c:v>
                      </c:pt>
                      <c:pt idx="73">
                        <c:v>-66.900000000000205</c:v>
                      </c:pt>
                      <c:pt idx="74">
                        <c:v>-66.900000000000205</c:v>
                      </c:pt>
                      <c:pt idx="75">
                        <c:v>-66.900000000000205</c:v>
                      </c:pt>
                      <c:pt idx="76">
                        <c:v>-66.900000000000205</c:v>
                      </c:pt>
                      <c:pt idx="77">
                        <c:v>-66.900000000000205</c:v>
                      </c:pt>
                      <c:pt idx="78">
                        <c:v>-66.900000000000205</c:v>
                      </c:pt>
                      <c:pt idx="79">
                        <c:v>-66.900000000000205</c:v>
                      </c:pt>
                      <c:pt idx="80">
                        <c:v>-66.900000000000205</c:v>
                      </c:pt>
                      <c:pt idx="81">
                        <c:v>-66.900000000000205</c:v>
                      </c:pt>
                      <c:pt idx="82">
                        <c:v>-66.900000000000205</c:v>
                      </c:pt>
                      <c:pt idx="83">
                        <c:v>-66.900000000000205</c:v>
                      </c:pt>
                      <c:pt idx="84">
                        <c:v>-66.900000000000205</c:v>
                      </c:pt>
                      <c:pt idx="85">
                        <c:v>-66.900000000000205</c:v>
                      </c:pt>
                      <c:pt idx="86">
                        <c:v>-66.900000000000205</c:v>
                      </c:pt>
                      <c:pt idx="87">
                        <c:v>-66.900000000000205</c:v>
                      </c:pt>
                      <c:pt idx="88">
                        <c:v>-66.900000000000205</c:v>
                      </c:pt>
                      <c:pt idx="89">
                        <c:v>-66.900000000000205</c:v>
                      </c:pt>
                      <c:pt idx="90">
                        <c:v>-66.900000000000205</c:v>
                      </c:pt>
                      <c:pt idx="91">
                        <c:v>-66.900000000000205</c:v>
                      </c:pt>
                      <c:pt idx="92">
                        <c:v>-66.900000000000205</c:v>
                      </c:pt>
                      <c:pt idx="93">
                        <c:v>-66.900000000000205</c:v>
                      </c:pt>
                      <c:pt idx="94">
                        <c:v>-66.900000000000205</c:v>
                      </c:pt>
                      <c:pt idx="95">
                        <c:v>-66.900000000000205</c:v>
                      </c:pt>
                      <c:pt idx="96">
                        <c:v>-66.900000000000205</c:v>
                      </c:pt>
                      <c:pt idx="97">
                        <c:v>-66.900000000000205</c:v>
                      </c:pt>
                      <c:pt idx="98">
                        <c:v>-66.900000000000205</c:v>
                      </c:pt>
                      <c:pt idx="99">
                        <c:v>-66.900000000000205</c:v>
                      </c:pt>
                      <c:pt idx="100">
                        <c:v>-66.900000000000205</c:v>
                      </c:pt>
                      <c:pt idx="101">
                        <c:v>-66.900000000000205</c:v>
                      </c:pt>
                      <c:pt idx="102">
                        <c:v>-66.900000000000205</c:v>
                      </c:pt>
                      <c:pt idx="103">
                        <c:v>-184.54000000000019</c:v>
                      </c:pt>
                      <c:pt idx="104">
                        <c:v>-184.54000000000019</c:v>
                      </c:pt>
                      <c:pt idx="105">
                        <c:v>-184.54000000000019</c:v>
                      </c:pt>
                      <c:pt idx="106">
                        <c:v>-173.34000000000015</c:v>
                      </c:pt>
                      <c:pt idx="107">
                        <c:v>-173.34000000000015</c:v>
                      </c:pt>
                      <c:pt idx="108">
                        <c:v>-173.34000000000015</c:v>
                      </c:pt>
                      <c:pt idx="109">
                        <c:v>-173.34000000000015</c:v>
                      </c:pt>
                      <c:pt idx="110">
                        <c:v>-173.34000000000015</c:v>
                      </c:pt>
                      <c:pt idx="111">
                        <c:v>-173.34000000000015</c:v>
                      </c:pt>
                      <c:pt idx="112">
                        <c:v>-173.34000000000015</c:v>
                      </c:pt>
                      <c:pt idx="113">
                        <c:v>-173.34000000000015</c:v>
                      </c:pt>
                      <c:pt idx="114">
                        <c:v>-173.34000000000015</c:v>
                      </c:pt>
                      <c:pt idx="115">
                        <c:v>-173.34000000000015</c:v>
                      </c:pt>
                      <c:pt idx="116">
                        <c:v>-173.34000000000015</c:v>
                      </c:pt>
                      <c:pt idx="117">
                        <c:v>-173.34000000000015</c:v>
                      </c:pt>
                      <c:pt idx="118">
                        <c:v>-173.34000000000015</c:v>
                      </c:pt>
                      <c:pt idx="119">
                        <c:v>-173.34000000000015</c:v>
                      </c:pt>
                      <c:pt idx="120">
                        <c:v>-173.34000000000015</c:v>
                      </c:pt>
                      <c:pt idx="121">
                        <c:v>-174.74000000000024</c:v>
                      </c:pt>
                      <c:pt idx="122">
                        <c:v>-174.74000000000024</c:v>
                      </c:pt>
                      <c:pt idx="123">
                        <c:v>-174.74000000000024</c:v>
                      </c:pt>
                      <c:pt idx="124">
                        <c:v>-174.74000000000024</c:v>
                      </c:pt>
                      <c:pt idx="125">
                        <c:v>-174.74000000000024</c:v>
                      </c:pt>
                      <c:pt idx="126">
                        <c:v>-174.74000000000024</c:v>
                      </c:pt>
                      <c:pt idx="127">
                        <c:v>-174.74000000000024</c:v>
                      </c:pt>
                      <c:pt idx="128">
                        <c:v>-174.74000000000024</c:v>
                      </c:pt>
                      <c:pt idx="129">
                        <c:v>-174.74000000000024</c:v>
                      </c:pt>
                      <c:pt idx="130">
                        <c:v>-174.74000000000024</c:v>
                      </c:pt>
                      <c:pt idx="131">
                        <c:v>-174.74000000000024</c:v>
                      </c:pt>
                      <c:pt idx="132">
                        <c:v>-174.74000000000024</c:v>
                      </c:pt>
                      <c:pt idx="133">
                        <c:v>-174.74000000000024</c:v>
                      </c:pt>
                      <c:pt idx="134">
                        <c:v>-174.74000000000024</c:v>
                      </c:pt>
                      <c:pt idx="135">
                        <c:v>-174.74000000000024</c:v>
                      </c:pt>
                      <c:pt idx="136">
                        <c:v>-174.74000000000024</c:v>
                      </c:pt>
                      <c:pt idx="137">
                        <c:v>-163.1400000000001</c:v>
                      </c:pt>
                      <c:pt idx="138">
                        <c:v>-163.1400000000001</c:v>
                      </c:pt>
                      <c:pt idx="139">
                        <c:v>-163.1400000000001</c:v>
                      </c:pt>
                      <c:pt idx="140">
                        <c:v>-163.1400000000001</c:v>
                      </c:pt>
                      <c:pt idx="141">
                        <c:v>-163.1400000000001</c:v>
                      </c:pt>
                      <c:pt idx="142">
                        <c:v>-163.1400000000001</c:v>
                      </c:pt>
                      <c:pt idx="143">
                        <c:v>-163.1400000000001</c:v>
                      </c:pt>
                      <c:pt idx="144">
                        <c:v>-163.1400000000001</c:v>
                      </c:pt>
                      <c:pt idx="145">
                        <c:v>-163.1400000000001</c:v>
                      </c:pt>
                      <c:pt idx="146">
                        <c:v>-163.1400000000001</c:v>
                      </c:pt>
                      <c:pt idx="147">
                        <c:v>-163.1400000000001</c:v>
                      </c:pt>
                      <c:pt idx="148">
                        <c:v>-163.1400000000001</c:v>
                      </c:pt>
                      <c:pt idx="149">
                        <c:v>-163.1400000000001</c:v>
                      </c:pt>
                      <c:pt idx="150">
                        <c:v>-163.1400000000001</c:v>
                      </c:pt>
                      <c:pt idx="151">
                        <c:v>-163.1400000000001</c:v>
                      </c:pt>
                      <c:pt idx="152">
                        <c:v>-163.1400000000001</c:v>
                      </c:pt>
                      <c:pt idx="153">
                        <c:v>-163.1400000000001</c:v>
                      </c:pt>
                      <c:pt idx="154">
                        <c:v>-163.1400000000001</c:v>
                      </c:pt>
                      <c:pt idx="155">
                        <c:v>-163.1400000000001</c:v>
                      </c:pt>
                      <c:pt idx="156">
                        <c:v>-163.1400000000001</c:v>
                      </c:pt>
                      <c:pt idx="157">
                        <c:v>-163.1400000000001</c:v>
                      </c:pt>
                      <c:pt idx="158">
                        <c:v>-163.1400000000001</c:v>
                      </c:pt>
                      <c:pt idx="159">
                        <c:v>-163.1400000000001</c:v>
                      </c:pt>
                      <c:pt idx="160">
                        <c:v>-163.1400000000001</c:v>
                      </c:pt>
                      <c:pt idx="161">
                        <c:v>-163.1400000000001</c:v>
                      </c:pt>
                      <c:pt idx="162">
                        <c:v>-163.1400000000001</c:v>
                      </c:pt>
                      <c:pt idx="163">
                        <c:v>-163.1400000000001</c:v>
                      </c:pt>
                      <c:pt idx="164">
                        <c:v>-163.1400000000001</c:v>
                      </c:pt>
                      <c:pt idx="165">
                        <c:v>-163.1400000000001</c:v>
                      </c:pt>
                      <c:pt idx="166">
                        <c:v>-163.1400000000001</c:v>
                      </c:pt>
                      <c:pt idx="167">
                        <c:v>-163.1400000000001</c:v>
                      </c:pt>
                      <c:pt idx="168">
                        <c:v>-163.1400000000001</c:v>
                      </c:pt>
                      <c:pt idx="169">
                        <c:v>-163.1400000000001</c:v>
                      </c:pt>
                      <c:pt idx="170">
                        <c:v>-163.1400000000001</c:v>
                      </c:pt>
                      <c:pt idx="171">
                        <c:v>-163.1400000000001</c:v>
                      </c:pt>
                      <c:pt idx="172">
                        <c:v>-163.1400000000001</c:v>
                      </c:pt>
                      <c:pt idx="173">
                        <c:v>-163.1400000000001</c:v>
                      </c:pt>
                      <c:pt idx="174">
                        <c:v>-163.1400000000001</c:v>
                      </c:pt>
                      <c:pt idx="175">
                        <c:v>-163.1400000000001</c:v>
                      </c:pt>
                      <c:pt idx="176">
                        <c:v>-163.1400000000001</c:v>
                      </c:pt>
                      <c:pt idx="177">
                        <c:v>-163.1400000000001</c:v>
                      </c:pt>
                      <c:pt idx="178">
                        <c:v>-163.1400000000001</c:v>
                      </c:pt>
                      <c:pt idx="179">
                        <c:v>-163.1400000000001</c:v>
                      </c:pt>
                      <c:pt idx="180">
                        <c:v>-163.1400000000001</c:v>
                      </c:pt>
                      <c:pt idx="181">
                        <c:v>-163.1400000000001</c:v>
                      </c:pt>
                      <c:pt idx="182">
                        <c:v>-163.1400000000001</c:v>
                      </c:pt>
                      <c:pt idx="183">
                        <c:v>-163.1400000000001</c:v>
                      </c:pt>
                      <c:pt idx="184">
                        <c:v>-163.1400000000001</c:v>
                      </c:pt>
                      <c:pt idx="185">
                        <c:v>-163.1400000000001</c:v>
                      </c:pt>
                      <c:pt idx="186">
                        <c:v>-163.1400000000001</c:v>
                      </c:pt>
                      <c:pt idx="187">
                        <c:v>-163.1400000000001</c:v>
                      </c:pt>
                      <c:pt idx="188">
                        <c:v>-163.1400000000001</c:v>
                      </c:pt>
                      <c:pt idx="189">
                        <c:v>-163.1400000000001</c:v>
                      </c:pt>
                      <c:pt idx="190">
                        <c:v>-163.1400000000001</c:v>
                      </c:pt>
                      <c:pt idx="191">
                        <c:v>-163.1400000000001</c:v>
                      </c:pt>
                      <c:pt idx="192">
                        <c:v>-163.1400000000001</c:v>
                      </c:pt>
                      <c:pt idx="193">
                        <c:v>-163.1400000000001</c:v>
                      </c:pt>
                      <c:pt idx="194">
                        <c:v>-163.1400000000001</c:v>
                      </c:pt>
                      <c:pt idx="195">
                        <c:v>-163.1400000000001</c:v>
                      </c:pt>
                      <c:pt idx="196">
                        <c:v>-163.1400000000001</c:v>
                      </c:pt>
                      <c:pt idx="197">
                        <c:v>-163.1400000000001</c:v>
                      </c:pt>
                      <c:pt idx="198">
                        <c:v>-163.1400000000001</c:v>
                      </c:pt>
                      <c:pt idx="199">
                        <c:v>-163.1400000000001</c:v>
                      </c:pt>
                      <c:pt idx="200">
                        <c:v>-181.17000000000007</c:v>
                      </c:pt>
                      <c:pt idx="201">
                        <c:v>-181.17000000000007</c:v>
                      </c:pt>
                      <c:pt idx="202">
                        <c:v>-181.17000000000007</c:v>
                      </c:pt>
                      <c:pt idx="203">
                        <c:v>-151.49</c:v>
                      </c:pt>
                      <c:pt idx="204">
                        <c:v>-151.49</c:v>
                      </c:pt>
                      <c:pt idx="205">
                        <c:v>-151.49</c:v>
                      </c:pt>
                      <c:pt idx="206">
                        <c:v>-151.49</c:v>
                      </c:pt>
                      <c:pt idx="207">
                        <c:v>-151.49</c:v>
                      </c:pt>
                      <c:pt idx="208">
                        <c:v>-151.49</c:v>
                      </c:pt>
                      <c:pt idx="209">
                        <c:v>-151.49</c:v>
                      </c:pt>
                      <c:pt idx="210">
                        <c:v>-151.49</c:v>
                      </c:pt>
                      <c:pt idx="211">
                        <c:v>-151.49</c:v>
                      </c:pt>
                      <c:pt idx="212">
                        <c:v>-151.49</c:v>
                      </c:pt>
                      <c:pt idx="213">
                        <c:v>-151.49</c:v>
                      </c:pt>
                      <c:pt idx="214">
                        <c:v>-151.49</c:v>
                      </c:pt>
                      <c:pt idx="215">
                        <c:v>-151.49</c:v>
                      </c:pt>
                      <c:pt idx="216">
                        <c:v>-151.49</c:v>
                      </c:pt>
                      <c:pt idx="217">
                        <c:v>-85.340000000000032</c:v>
                      </c:pt>
                      <c:pt idx="218">
                        <c:v>-85.340000000000032</c:v>
                      </c:pt>
                      <c:pt idx="219">
                        <c:v>-85.340000000000032</c:v>
                      </c:pt>
                      <c:pt idx="220">
                        <c:v>-85.340000000000032</c:v>
                      </c:pt>
                      <c:pt idx="221">
                        <c:v>-85.340000000000032</c:v>
                      </c:pt>
                      <c:pt idx="222">
                        <c:v>-85.340000000000032</c:v>
                      </c:pt>
                      <c:pt idx="223">
                        <c:v>-142.90000000000009</c:v>
                      </c:pt>
                      <c:pt idx="224">
                        <c:v>-142.90000000000009</c:v>
                      </c:pt>
                      <c:pt idx="225">
                        <c:v>-142.90000000000009</c:v>
                      </c:pt>
                      <c:pt idx="226">
                        <c:v>-142.90000000000009</c:v>
                      </c:pt>
                      <c:pt idx="227">
                        <c:v>-142.90000000000009</c:v>
                      </c:pt>
                      <c:pt idx="228">
                        <c:v>-142.90000000000009</c:v>
                      </c:pt>
                      <c:pt idx="229">
                        <c:v>-142.90000000000009</c:v>
                      </c:pt>
                      <c:pt idx="230">
                        <c:v>-142.90000000000009</c:v>
                      </c:pt>
                      <c:pt idx="231">
                        <c:v>-142.90000000000009</c:v>
                      </c:pt>
                      <c:pt idx="232">
                        <c:v>-142.90000000000009</c:v>
                      </c:pt>
                      <c:pt idx="233">
                        <c:v>-142.90000000000009</c:v>
                      </c:pt>
                      <c:pt idx="234">
                        <c:v>-142.90000000000009</c:v>
                      </c:pt>
                      <c:pt idx="235">
                        <c:v>-142.90000000000009</c:v>
                      </c:pt>
                      <c:pt idx="236">
                        <c:v>-142.90000000000009</c:v>
                      </c:pt>
                      <c:pt idx="237">
                        <c:v>-142.90000000000009</c:v>
                      </c:pt>
                      <c:pt idx="238">
                        <c:v>-142.90000000000009</c:v>
                      </c:pt>
                      <c:pt idx="239">
                        <c:v>-142.90000000000009</c:v>
                      </c:pt>
                      <c:pt idx="240">
                        <c:v>-132.30000000000018</c:v>
                      </c:pt>
                      <c:pt idx="241">
                        <c:v>-132.30000000000018</c:v>
                      </c:pt>
                      <c:pt idx="242">
                        <c:v>-132.30000000000018</c:v>
                      </c:pt>
                      <c:pt idx="243">
                        <c:v>-132.30000000000018</c:v>
                      </c:pt>
                      <c:pt idx="244">
                        <c:v>-132.30000000000018</c:v>
                      </c:pt>
                      <c:pt idx="245">
                        <c:v>-132.30000000000018</c:v>
                      </c:pt>
                      <c:pt idx="246">
                        <c:v>-132.30000000000018</c:v>
                      </c:pt>
                      <c:pt idx="247">
                        <c:v>-132.30000000000018</c:v>
                      </c:pt>
                      <c:pt idx="248">
                        <c:v>-132.30000000000018</c:v>
                      </c:pt>
                      <c:pt idx="249">
                        <c:v>-132.30000000000018</c:v>
                      </c:pt>
                      <c:pt idx="250">
                        <c:v>-132.30000000000018</c:v>
                      </c:pt>
                      <c:pt idx="251">
                        <c:v>-132.30000000000018</c:v>
                      </c:pt>
                      <c:pt idx="252">
                        <c:v>-132.30000000000018</c:v>
                      </c:pt>
                      <c:pt idx="253">
                        <c:v>-132.30000000000018</c:v>
                      </c:pt>
                      <c:pt idx="254">
                        <c:v>-132.30000000000018</c:v>
                      </c:pt>
                      <c:pt idx="255">
                        <c:v>-132.30000000000018</c:v>
                      </c:pt>
                      <c:pt idx="256">
                        <c:v>-132.30000000000018</c:v>
                      </c:pt>
                      <c:pt idx="257">
                        <c:v>-269.63053243920194</c:v>
                      </c:pt>
                      <c:pt idx="258">
                        <c:v>-299.03053243920203</c:v>
                      </c:pt>
                      <c:pt idx="259">
                        <c:v>-299.03053243920203</c:v>
                      </c:pt>
                      <c:pt idx="260">
                        <c:v>-299.03053243920203</c:v>
                      </c:pt>
                      <c:pt idx="261">
                        <c:v>-299.03053243920203</c:v>
                      </c:pt>
                      <c:pt idx="262">
                        <c:v>-299.03053243920203</c:v>
                      </c:pt>
                      <c:pt idx="263">
                        <c:v>-299.03053243920203</c:v>
                      </c:pt>
                      <c:pt idx="264">
                        <c:v>-299.03053243920203</c:v>
                      </c:pt>
                      <c:pt idx="265">
                        <c:v>-299.03053243920203</c:v>
                      </c:pt>
                      <c:pt idx="266">
                        <c:v>-299.03053243920203</c:v>
                      </c:pt>
                      <c:pt idx="267">
                        <c:v>-299.03053243920203</c:v>
                      </c:pt>
                      <c:pt idx="268">
                        <c:v>-299.03053243920203</c:v>
                      </c:pt>
                      <c:pt idx="269">
                        <c:v>-299.03053243920203</c:v>
                      </c:pt>
                      <c:pt idx="270">
                        <c:v>-299.03053243920203</c:v>
                      </c:pt>
                      <c:pt idx="271">
                        <c:v>-299.03053243920203</c:v>
                      </c:pt>
                      <c:pt idx="272">
                        <c:v>-299.03053243920203</c:v>
                      </c:pt>
                      <c:pt idx="273">
                        <c:v>-385.38106797961109</c:v>
                      </c:pt>
                      <c:pt idx="274">
                        <c:v>-385.38106797961109</c:v>
                      </c:pt>
                      <c:pt idx="275">
                        <c:v>-385.38106797961109</c:v>
                      </c:pt>
                      <c:pt idx="276">
                        <c:v>-385.38106797961109</c:v>
                      </c:pt>
                      <c:pt idx="277">
                        <c:v>-377.70106797961103</c:v>
                      </c:pt>
                      <c:pt idx="278">
                        <c:v>-377.70106797961103</c:v>
                      </c:pt>
                      <c:pt idx="279">
                        <c:v>-377.70106797961103</c:v>
                      </c:pt>
                      <c:pt idx="280">
                        <c:v>-377.70106797961103</c:v>
                      </c:pt>
                      <c:pt idx="281">
                        <c:v>-377.70106797961103</c:v>
                      </c:pt>
                      <c:pt idx="282">
                        <c:v>-377.70106797961103</c:v>
                      </c:pt>
                      <c:pt idx="283">
                        <c:v>-377.70106797961103</c:v>
                      </c:pt>
                      <c:pt idx="284">
                        <c:v>-377.70106797961103</c:v>
                      </c:pt>
                      <c:pt idx="285">
                        <c:v>-377.70106797961103</c:v>
                      </c:pt>
                      <c:pt idx="286">
                        <c:v>-377.70106797961103</c:v>
                      </c:pt>
                      <c:pt idx="287">
                        <c:v>-377.70106797961103</c:v>
                      </c:pt>
                      <c:pt idx="288">
                        <c:v>-377.70106797961103</c:v>
                      </c:pt>
                      <c:pt idx="289">
                        <c:v>-377.70106797961103</c:v>
                      </c:pt>
                      <c:pt idx="290">
                        <c:v>-366.42106797961105</c:v>
                      </c:pt>
                      <c:pt idx="291">
                        <c:v>-366.42106797961105</c:v>
                      </c:pt>
                      <c:pt idx="292">
                        <c:v>-366.42106797961105</c:v>
                      </c:pt>
                      <c:pt idx="293">
                        <c:v>-366.42106797961105</c:v>
                      </c:pt>
                      <c:pt idx="294">
                        <c:v>-366.42106797961105</c:v>
                      </c:pt>
                      <c:pt idx="295">
                        <c:v>-394.76106797961097</c:v>
                      </c:pt>
                      <c:pt idx="296">
                        <c:v>-394.76106797961097</c:v>
                      </c:pt>
                      <c:pt idx="297">
                        <c:v>-339.68106797961104</c:v>
                      </c:pt>
                      <c:pt idx="298">
                        <c:v>-339.68106797961104</c:v>
                      </c:pt>
                      <c:pt idx="299">
                        <c:v>-339.68106797961104</c:v>
                      </c:pt>
                      <c:pt idx="300">
                        <c:v>-339.68106797961104</c:v>
                      </c:pt>
                      <c:pt idx="301">
                        <c:v>-339.68106797961104</c:v>
                      </c:pt>
                      <c:pt idx="302">
                        <c:v>-339.68106797961104</c:v>
                      </c:pt>
                      <c:pt idx="303">
                        <c:v>-339.68106797961104</c:v>
                      </c:pt>
                      <c:pt idx="304">
                        <c:v>-438.46106797961124</c:v>
                      </c:pt>
                      <c:pt idx="305">
                        <c:v>-438.46106797961124</c:v>
                      </c:pt>
                      <c:pt idx="306">
                        <c:v>-438.46106797961124</c:v>
                      </c:pt>
                      <c:pt idx="307">
                        <c:v>-438.46106797961124</c:v>
                      </c:pt>
                      <c:pt idx="308">
                        <c:v>-438.46106797961124</c:v>
                      </c:pt>
                      <c:pt idx="309">
                        <c:v>-390.96106797961124</c:v>
                      </c:pt>
                      <c:pt idx="310">
                        <c:v>-390.96106797961124</c:v>
                      </c:pt>
                      <c:pt idx="311">
                        <c:v>-390.96106797961124</c:v>
                      </c:pt>
                      <c:pt idx="312">
                        <c:v>-390.96106797961124</c:v>
                      </c:pt>
                      <c:pt idx="313">
                        <c:v>-349.11106797961111</c:v>
                      </c:pt>
                      <c:pt idx="314">
                        <c:v>-349.11106797961111</c:v>
                      </c:pt>
                      <c:pt idx="315">
                        <c:v>-349.11106797961111</c:v>
                      </c:pt>
                      <c:pt idx="316">
                        <c:v>-342.69106797961103</c:v>
                      </c:pt>
                      <c:pt idx="317">
                        <c:v>-340.17106797961105</c:v>
                      </c:pt>
                      <c:pt idx="318">
                        <c:v>-340.17106797961105</c:v>
                      </c:pt>
                      <c:pt idx="319">
                        <c:v>-340.17106797961105</c:v>
                      </c:pt>
                      <c:pt idx="320">
                        <c:v>-340.17106797961105</c:v>
                      </c:pt>
                      <c:pt idx="321">
                        <c:v>-340.17106797961105</c:v>
                      </c:pt>
                      <c:pt idx="322">
                        <c:v>-340.17106797961105</c:v>
                      </c:pt>
                      <c:pt idx="323">
                        <c:v>-340.17106797961105</c:v>
                      </c:pt>
                      <c:pt idx="324">
                        <c:v>-340.17106797961105</c:v>
                      </c:pt>
                      <c:pt idx="325">
                        <c:v>-340.17106797961105</c:v>
                      </c:pt>
                      <c:pt idx="326">
                        <c:v>-340.17106797961105</c:v>
                      </c:pt>
                      <c:pt idx="327">
                        <c:v>-340.17106797961105</c:v>
                      </c:pt>
                      <c:pt idx="328">
                        <c:v>-340.17106797961105</c:v>
                      </c:pt>
                      <c:pt idx="329">
                        <c:v>-240.66106797961083</c:v>
                      </c:pt>
                      <c:pt idx="330">
                        <c:v>-240.66106797961083</c:v>
                      </c:pt>
                      <c:pt idx="331">
                        <c:v>-240.66106797961083</c:v>
                      </c:pt>
                      <c:pt idx="332">
                        <c:v>-240.66106797961083</c:v>
                      </c:pt>
                      <c:pt idx="333">
                        <c:v>-240.66106797961083</c:v>
                      </c:pt>
                      <c:pt idx="334">
                        <c:v>-178.13106797961063</c:v>
                      </c:pt>
                      <c:pt idx="335">
                        <c:v>-178.13106797961063</c:v>
                      </c:pt>
                      <c:pt idx="336">
                        <c:v>-178.13106797961063</c:v>
                      </c:pt>
                      <c:pt idx="337">
                        <c:v>-178.13106797961063</c:v>
                      </c:pt>
                      <c:pt idx="338">
                        <c:v>-206.13106797961063</c:v>
                      </c:pt>
                      <c:pt idx="339">
                        <c:v>-206.13106797961063</c:v>
                      </c:pt>
                      <c:pt idx="340">
                        <c:v>-206.13106797961063</c:v>
                      </c:pt>
                      <c:pt idx="341">
                        <c:v>-203.43106797961059</c:v>
                      </c:pt>
                      <c:pt idx="342">
                        <c:v>-203.43106797961059</c:v>
                      </c:pt>
                      <c:pt idx="343">
                        <c:v>-203.43106797961059</c:v>
                      </c:pt>
                      <c:pt idx="344">
                        <c:v>-203.43106797961059</c:v>
                      </c:pt>
                      <c:pt idx="345">
                        <c:v>-295.97106797961055</c:v>
                      </c:pt>
                      <c:pt idx="346">
                        <c:v>-295.97106797961055</c:v>
                      </c:pt>
                    </c:numCache>
                  </c:numRef>
                </c:val>
                <c:smooth val="0"/>
                <c:extLst>
                  <c:ext xmlns:c16="http://schemas.microsoft.com/office/drawing/2014/chart" uri="{C3380CC4-5D6E-409C-BE32-E72D297353CC}">
                    <c16:uniqueId val="{00000004-77EB-4CF6-A82F-87CE09EC25EC}"/>
                  </c:ext>
                </c:extLst>
              </c15:ser>
            </c15:filteredLineSeries>
            <c15:filteredLineSeries>
              <c15:ser>
                <c:idx val="4"/>
                <c:order val="4"/>
                <c:tx>
                  <c:v>SW (MOC)</c:v>
                </c:tx>
                <c:spPr>
                  <a:ln w="28575" cap="rnd">
                    <a:solidFill>
                      <a:schemeClr val="accent4">
                        <a:lumMod val="60000"/>
                        <a:lumOff val="40000"/>
                      </a:schemeClr>
                    </a:solidFill>
                    <a:prstDash val="sysDash"/>
                    <a:round/>
                  </a:ln>
                  <a:effectLst/>
                </c:spPr>
                <c:marker>
                  <c:symbol val="none"/>
                </c:marker>
                <c:val>
                  <c:numRef>
                    <c:extLst xmlns:c15="http://schemas.microsoft.com/office/drawing/2012/chart">
                      <c:ext xmlns:c15="http://schemas.microsoft.com/office/drawing/2012/chart" uri="{02D57815-91ED-43cb-92C2-25804820EDAC}">
                        <c15:formulaRef>
                          <c15:sqref>'2025-Q2'!$AV$4:$AV$350</c15:sqref>
                        </c15:formulaRef>
                      </c:ext>
                    </c:extLst>
                    <c:numCache>
                      <c:formatCode>"$"#,##0</c:formatCode>
                      <c:ptCount val="347"/>
                      <c:pt idx="0">
                        <c:v>0</c:v>
                      </c:pt>
                      <c:pt idx="1">
                        <c:v>0</c:v>
                      </c:pt>
                      <c:pt idx="2">
                        <c:v>45.449999999999818</c:v>
                      </c:pt>
                      <c:pt idx="3">
                        <c:v>35.25</c:v>
                      </c:pt>
                      <c:pt idx="4">
                        <c:v>55.25</c:v>
                      </c:pt>
                      <c:pt idx="5">
                        <c:v>70.090000000000146</c:v>
                      </c:pt>
                      <c:pt idx="6">
                        <c:v>85.490000000000236</c:v>
                      </c:pt>
                      <c:pt idx="7">
                        <c:v>158.24</c:v>
                      </c:pt>
                      <c:pt idx="8">
                        <c:v>177.32000000000005</c:v>
                      </c:pt>
                      <c:pt idx="9">
                        <c:v>177.32000000000005</c:v>
                      </c:pt>
                      <c:pt idx="10">
                        <c:v>197.30000000000007</c:v>
                      </c:pt>
                      <c:pt idx="11">
                        <c:v>236.89999999999998</c:v>
                      </c:pt>
                      <c:pt idx="12">
                        <c:v>236.89999999999998</c:v>
                      </c:pt>
                      <c:pt idx="13">
                        <c:v>231.72000000000014</c:v>
                      </c:pt>
                      <c:pt idx="14">
                        <c:v>231.72000000000014</c:v>
                      </c:pt>
                      <c:pt idx="15">
                        <c:v>231.54000000000008</c:v>
                      </c:pt>
                      <c:pt idx="16">
                        <c:v>231.54000000000008</c:v>
                      </c:pt>
                      <c:pt idx="17">
                        <c:v>231.54000000000008</c:v>
                      </c:pt>
                      <c:pt idx="18">
                        <c:v>212.34000000000003</c:v>
                      </c:pt>
                      <c:pt idx="19">
                        <c:v>243.65999999999997</c:v>
                      </c:pt>
                      <c:pt idx="20">
                        <c:v>256.64966594568602</c:v>
                      </c:pt>
                      <c:pt idx="21">
                        <c:v>252.56795937946242</c:v>
                      </c:pt>
                      <c:pt idx="22">
                        <c:v>252.56795937946242</c:v>
                      </c:pt>
                      <c:pt idx="23">
                        <c:v>258.96870149449035</c:v>
                      </c:pt>
                      <c:pt idx="24">
                        <c:v>281.78870149449051</c:v>
                      </c:pt>
                      <c:pt idx="25">
                        <c:v>19.92870149449061</c:v>
                      </c:pt>
                      <c:pt idx="26">
                        <c:v>19.92870149449061</c:v>
                      </c:pt>
                      <c:pt idx="27">
                        <c:v>19.92870149449061</c:v>
                      </c:pt>
                      <c:pt idx="28">
                        <c:v>19.92870149449061</c:v>
                      </c:pt>
                      <c:pt idx="29">
                        <c:v>26.67870149449061</c:v>
                      </c:pt>
                      <c:pt idx="30">
                        <c:v>26.67870149449061</c:v>
                      </c:pt>
                      <c:pt idx="31">
                        <c:v>26.67870149449061</c:v>
                      </c:pt>
                      <c:pt idx="32">
                        <c:v>26.67870149449061</c:v>
                      </c:pt>
                      <c:pt idx="33">
                        <c:v>18.628701494490656</c:v>
                      </c:pt>
                      <c:pt idx="34">
                        <c:v>-37.621298505509344</c:v>
                      </c:pt>
                      <c:pt idx="35">
                        <c:v>-117.30129850550941</c:v>
                      </c:pt>
                      <c:pt idx="36">
                        <c:v>-117.30129850550941</c:v>
                      </c:pt>
                      <c:pt idx="37">
                        <c:v>-136.55129850550941</c:v>
                      </c:pt>
                      <c:pt idx="38">
                        <c:v>-121.67129850550941</c:v>
                      </c:pt>
                      <c:pt idx="39">
                        <c:v>-121.67129850550941</c:v>
                      </c:pt>
                      <c:pt idx="40">
                        <c:v>-121.67129850550941</c:v>
                      </c:pt>
                      <c:pt idx="41">
                        <c:v>-121.67129850550941</c:v>
                      </c:pt>
                      <c:pt idx="42">
                        <c:v>-121.67129850550941</c:v>
                      </c:pt>
                      <c:pt idx="43">
                        <c:v>-45.861298505509467</c:v>
                      </c:pt>
                      <c:pt idx="44">
                        <c:v>-39.361298505509467</c:v>
                      </c:pt>
                      <c:pt idx="45">
                        <c:v>-28.111298505509467</c:v>
                      </c:pt>
                      <c:pt idx="46">
                        <c:v>-28.111298505509467</c:v>
                      </c:pt>
                      <c:pt idx="47">
                        <c:v>-28.111298505509467</c:v>
                      </c:pt>
                      <c:pt idx="48">
                        <c:v>-28.111298505509467</c:v>
                      </c:pt>
                      <c:pt idx="49">
                        <c:v>-142.53968337706056</c:v>
                      </c:pt>
                      <c:pt idx="50">
                        <c:v>-160.4474473522157</c:v>
                      </c:pt>
                      <c:pt idx="51">
                        <c:v>-68.287447352215622</c:v>
                      </c:pt>
                      <c:pt idx="52">
                        <c:v>-68.287447352215622</c:v>
                      </c:pt>
                      <c:pt idx="53">
                        <c:v>-33.00744735221565</c:v>
                      </c:pt>
                      <c:pt idx="54">
                        <c:v>-14.627447352215654</c:v>
                      </c:pt>
                      <c:pt idx="55">
                        <c:v>-14.627447352215654</c:v>
                      </c:pt>
                      <c:pt idx="56">
                        <c:v>-64.227447352215677</c:v>
                      </c:pt>
                      <c:pt idx="57">
                        <c:v>-64.227447352215677</c:v>
                      </c:pt>
                      <c:pt idx="58">
                        <c:v>-32.927447352215609</c:v>
                      </c:pt>
                      <c:pt idx="59">
                        <c:v>5.1725526477844141</c:v>
                      </c:pt>
                      <c:pt idx="60">
                        <c:v>7.8725526477844596</c:v>
                      </c:pt>
                      <c:pt idx="61">
                        <c:v>37.932552647784405</c:v>
                      </c:pt>
                      <c:pt idx="62">
                        <c:v>102.73255264778447</c:v>
                      </c:pt>
                      <c:pt idx="63">
                        <c:v>118.39255264778456</c:v>
                      </c:pt>
                      <c:pt idx="64">
                        <c:v>125.29255264778453</c:v>
                      </c:pt>
                      <c:pt idx="65">
                        <c:v>174.54255264778453</c:v>
                      </c:pt>
                      <c:pt idx="66">
                        <c:v>174.54255264778453</c:v>
                      </c:pt>
                      <c:pt idx="67">
                        <c:v>174.54255264778453</c:v>
                      </c:pt>
                      <c:pt idx="68">
                        <c:v>174.54255264778453</c:v>
                      </c:pt>
                      <c:pt idx="69">
                        <c:v>174.54255264778453</c:v>
                      </c:pt>
                      <c:pt idx="70">
                        <c:v>174.54255264778453</c:v>
                      </c:pt>
                      <c:pt idx="71">
                        <c:v>174.54255264778453</c:v>
                      </c:pt>
                      <c:pt idx="72">
                        <c:v>215.38255264778456</c:v>
                      </c:pt>
                      <c:pt idx="73">
                        <c:v>188.17255264778453</c:v>
                      </c:pt>
                      <c:pt idx="74">
                        <c:v>219.13255264778456</c:v>
                      </c:pt>
                      <c:pt idx="75">
                        <c:v>165.93255264778452</c:v>
                      </c:pt>
                      <c:pt idx="76">
                        <c:v>215.8325526477845</c:v>
                      </c:pt>
                      <c:pt idx="77">
                        <c:v>259.68255264778452</c:v>
                      </c:pt>
                      <c:pt idx="78">
                        <c:v>195.08255264778461</c:v>
                      </c:pt>
                      <c:pt idx="79">
                        <c:v>195.08255264778461</c:v>
                      </c:pt>
                      <c:pt idx="80">
                        <c:v>208.3425526477846</c:v>
                      </c:pt>
                      <c:pt idx="81">
                        <c:v>208.3425526477846</c:v>
                      </c:pt>
                      <c:pt idx="82">
                        <c:v>208.3425526477846</c:v>
                      </c:pt>
                      <c:pt idx="83">
                        <c:v>236.54255264778465</c:v>
                      </c:pt>
                      <c:pt idx="84">
                        <c:v>75.742552647784692</c:v>
                      </c:pt>
                      <c:pt idx="85">
                        <c:v>75.742552647784692</c:v>
                      </c:pt>
                      <c:pt idx="86">
                        <c:v>44.742552647784692</c:v>
                      </c:pt>
                      <c:pt idx="87">
                        <c:v>44.742552647784692</c:v>
                      </c:pt>
                      <c:pt idx="88">
                        <c:v>44.742552647784692</c:v>
                      </c:pt>
                      <c:pt idx="89">
                        <c:v>59.622552647784573</c:v>
                      </c:pt>
                      <c:pt idx="90">
                        <c:v>59.622552647784573</c:v>
                      </c:pt>
                      <c:pt idx="91">
                        <c:v>59.622552647784573</c:v>
                      </c:pt>
                      <c:pt idx="92">
                        <c:v>59.622552647784573</c:v>
                      </c:pt>
                      <c:pt idx="93">
                        <c:v>30.959567043367201</c:v>
                      </c:pt>
                      <c:pt idx="94">
                        <c:v>47.809567043367224</c:v>
                      </c:pt>
                      <c:pt idx="95">
                        <c:v>47.809567043367224</c:v>
                      </c:pt>
                      <c:pt idx="96">
                        <c:v>47.809567043367224</c:v>
                      </c:pt>
                      <c:pt idx="97">
                        <c:v>47.809567043367224</c:v>
                      </c:pt>
                      <c:pt idx="98">
                        <c:v>47.809567043367224</c:v>
                      </c:pt>
                      <c:pt idx="99">
                        <c:v>-49.590432956632867</c:v>
                      </c:pt>
                      <c:pt idx="100">
                        <c:v>-49.590432956632867</c:v>
                      </c:pt>
                      <c:pt idx="101">
                        <c:v>-67.840432956632867</c:v>
                      </c:pt>
                      <c:pt idx="102">
                        <c:v>-68.000432956632835</c:v>
                      </c:pt>
                      <c:pt idx="103">
                        <c:v>-68.000432956632835</c:v>
                      </c:pt>
                      <c:pt idx="104">
                        <c:v>-71.840432956632753</c:v>
                      </c:pt>
                      <c:pt idx="105">
                        <c:v>-71.840432956632753</c:v>
                      </c:pt>
                      <c:pt idx="106">
                        <c:v>-71.840432956632753</c:v>
                      </c:pt>
                      <c:pt idx="107">
                        <c:v>-136.64043295663271</c:v>
                      </c:pt>
                      <c:pt idx="108">
                        <c:v>-122.36043295663274</c:v>
                      </c:pt>
                      <c:pt idx="109">
                        <c:v>-176.00043295663284</c:v>
                      </c:pt>
                      <c:pt idx="110">
                        <c:v>-176.00043295663284</c:v>
                      </c:pt>
                      <c:pt idx="111">
                        <c:v>-176.00043295663284</c:v>
                      </c:pt>
                      <c:pt idx="112">
                        <c:v>-216.47043295663286</c:v>
                      </c:pt>
                      <c:pt idx="113">
                        <c:v>-188.0787935487491</c:v>
                      </c:pt>
                      <c:pt idx="114">
                        <c:v>-175.97879354874919</c:v>
                      </c:pt>
                      <c:pt idx="115">
                        <c:v>-61.018793548749386</c:v>
                      </c:pt>
                      <c:pt idx="116">
                        <c:v>-61.018793548749386</c:v>
                      </c:pt>
                      <c:pt idx="117">
                        <c:v>-61.018793548749386</c:v>
                      </c:pt>
                      <c:pt idx="118">
                        <c:v>-25.19879354874945</c:v>
                      </c:pt>
                      <c:pt idx="119">
                        <c:v>-31.378793548749513</c:v>
                      </c:pt>
                      <c:pt idx="120">
                        <c:v>-31.378793548749513</c:v>
                      </c:pt>
                      <c:pt idx="121">
                        <c:v>-31.378793548749513</c:v>
                      </c:pt>
                      <c:pt idx="122">
                        <c:v>-100.2787935487496</c:v>
                      </c:pt>
                      <c:pt idx="123">
                        <c:v>-109.67879354874947</c:v>
                      </c:pt>
                      <c:pt idx="124">
                        <c:v>-109.67879354874947</c:v>
                      </c:pt>
                      <c:pt idx="125">
                        <c:v>-43.758793548749395</c:v>
                      </c:pt>
                      <c:pt idx="126">
                        <c:v>-42.408793548749259</c:v>
                      </c:pt>
                      <c:pt idx="127">
                        <c:v>-42.408793548749259</c:v>
                      </c:pt>
                      <c:pt idx="128">
                        <c:v>-18.358793548749304</c:v>
                      </c:pt>
                      <c:pt idx="129">
                        <c:v>-18.358793548749304</c:v>
                      </c:pt>
                      <c:pt idx="130">
                        <c:v>24.921206451250669</c:v>
                      </c:pt>
                      <c:pt idx="131">
                        <c:v>24.921206451250669</c:v>
                      </c:pt>
                      <c:pt idx="132">
                        <c:v>18.921206451250555</c:v>
                      </c:pt>
                      <c:pt idx="133">
                        <c:v>18.921206451250555</c:v>
                      </c:pt>
                      <c:pt idx="134">
                        <c:v>18.921206451250555</c:v>
                      </c:pt>
                      <c:pt idx="135">
                        <c:v>18.921206451250555</c:v>
                      </c:pt>
                      <c:pt idx="136">
                        <c:v>18.921206451250555</c:v>
                      </c:pt>
                      <c:pt idx="137">
                        <c:v>18.921206451250555</c:v>
                      </c:pt>
                      <c:pt idx="138">
                        <c:v>18.921206451250555</c:v>
                      </c:pt>
                      <c:pt idx="139">
                        <c:v>18.921206451250555</c:v>
                      </c:pt>
                      <c:pt idx="140">
                        <c:v>26.761206451250359</c:v>
                      </c:pt>
                      <c:pt idx="141">
                        <c:v>26.761206451250359</c:v>
                      </c:pt>
                      <c:pt idx="142">
                        <c:v>26.761206451250359</c:v>
                      </c:pt>
                      <c:pt idx="143">
                        <c:v>26.761206451250359</c:v>
                      </c:pt>
                      <c:pt idx="144">
                        <c:v>26.761206451250359</c:v>
                      </c:pt>
                      <c:pt idx="145">
                        <c:v>26.761206451250359</c:v>
                      </c:pt>
                      <c:pt idx="146">
                        <c:v>26.761206451250359</c:v>
                      </c:pt>
                      <c:pt idx="147">
                        <c:v>26.761206451250359</c:v>
                      </c:pt>
                      <c:pt idx="148">
                        <c:v>32.011206451250359</c:v>
                      </c:pt>
                      <c:pt idx="149">
                        <c:v>82.511206451250359</c:v>
                      </c:pt>
                      <c:pt idx="150">
                        <c:v>113.42120645125044</c:v>
                      </c:pt>
                      <c:pt idx="151">
                        <c:v>236.01120645125059</c:v>
                      </c:pt>
                      <c:pt idx="152">
                        <c:v>236.01120645125059</c:v>
                      </c:pt>
                      <c:pt idx="153">
                        <c:v>178.41120645125056</c:v>
                      </c:pt>
                      <c:pt idx="154">
                        <c:v>190.35120645125062</c:v>
                      </c:pt>
                      <c:pt idx="155">
                        <c:v>171.54120645125067</c:v>
                      </c:pt>
                      <c:pt idx="156">
                        <c:v>171.54120645125067</c:v>
                      </c:pt>
                      <c:pt idx="157">
                        <c:v>175.84120645125066</c:v>
                      </c:pt>
                      <c:pt idx="158">
                        <c:v>141.43120645125069</c:v>
                      </c:pt>
                      <c:pt idx="159">
                        <c:v>48.131206451250733</c:v>
                      </c:pt>
                      <c:pt idx="160">
                        <c:v>85.331206451250551</c:v>
                      </c:pt>
                      <c:pt idx="161">
                        <c:v>118.93120645125057</c:v>
                      </c:pt>
                      <c:pt idx="162">
                        <c:v>118.93120645125057</c:v>
                      </c:pt>
                      <c:pt idx="163">
                        <c:v>118.93120645125057</c:v>
                      </c:pt>
                      <c:pt idx="164">
                        <c:v>126.41120645125059</c:v>
                      </c:pt>
                      <c:pt idx="165">
                        <c:v>216.02120645125072</c:v>
                      </c:pt>
                      <c:pt idx="166">
                        <c:v>208.66120645125071</c:v>
                      </c:pt>
                      <c:pt idx="167">
                        <c:v>227.98120645125087</c:v>
                      </c:pt>
                      <c:pt idx="168">
                        <c:v>227.98120645125087</c:v>
                      </c:pt>
                      <c:pt idx="169">
                        <c:v>247.23120645125087</c:v>
                      </c:pt>
                      <c:pt idx="170">
                        <c:v>247.23120645125087</c:v>
                      </c:pt>
                      <c:pt idx="171">
                        <c:v>161.08120645125089</c:v>
                      </c:pt>
                      <c:pt idx="172">
                        <c:v>161.08120645125089</c:v>
                      </c:pt>
                      <c:pt idx="173">
                        <c:v>229.00120645125085</c:v>
                      </c:pt>
                      <c:pt idx="174">
                        <c:v>229.00120645125085</c:v>
                      </c:pt>
                      <c:pt idx="175">
                        <c:v>319.42120645125067</c:v>
                      </c:pt>
                      <c:pt idx="176">
                        <c:v>319.42120645125067</c:v>
                      </c:pt>
                      <c:pt idx="177">
                        <c:v>365.84120645125074</c:v>
                      </c:pt>
                      <c:pt idx="178">
                        <c:v>365.84120645125074</c:v>
                      </c:pt>
                      <c:pt idx="179">
                        <c:v>365.84120645125074</c:v>
                      </c:pt>
                      <c:pt idx="180">
                        <c:v>314.2412064512506</c:v>
                      </c:pt>
                      <c:pt idx="181">
                        <c:v>307.34120645125074</c:v>
                      </c:pt>
                      <c:pt idx="182">
                        <c:v>332.24120645125083</c:v>
                      </c:pt>
                      <c:pt idx="183">
                        <c:v>339.09120645125086</c:v>
                      </c:pt>
                      <c:pt idx="184">
                        <c:v>339.09120645125086</c:v>
                      </c:pt>
                      <c:pt idx="185">
                        <c:v>339.09120645125086</c:v>
                      </c:pt>
                      <c:pt idx="186">
                        <c:v>339.09120645125086</c:v>
                      </c:pt>
                      <c:pt idx="187">
                        <c:v>331.25120645125094</c:v>
                      </c:pt>
                      <c:pt idx="188">
                        <c:v>331.25120645125094</c:v>
                      </c:pt>
                      <c:pt idx="189">
                        <c:v>331.25120645125094</c:v>
                      </c:pt>
                      <c:pt idx="190">
                        <c:v>271.49120645125095</c:v>
                      </c:pt>
                      <c:pt idx="191">
                        <c:v>271.49120645125095</c:v>
                      </c:pt>
                      <c:pt idx="192">
                        <c:v>218.73120645125073</c:v>
                      </c:pt>
                      <c:pt idx="193">
                        <c:v>218.73120645125073</c:v>
                      </c:pt>
                      <c:pt idx="194">
                        <c:v>218.73120645125073</c:v>
                      </c:pt>
                      <c:pt idx="195">
                        <c:v>158.55120645125089</c:v>
                      </c:pt>
                      <c:pt idx="196">
                        <c:v>155.69120645125099</c:v>
                      </c:pt>
                      <c:pt idx="197">
                        <c:v>155.69120645125099</c:v>
                      </c:pt>
                      <c:pt idx="198">
                        <c:v>155.69120645125099</c:v>
                      </c:pt>
                      <c:pt idx="199">
                        <c:v>155.69120645125099</c:v>
                      </c:pt>
                      <c:pt idx="200">
                        <c:v>155.69120645125099</c:v>
                      </c:pt>
                      <c:pt idx="201">
                        <c:v>155.69120645125099</c:v>
                      </c:pt>
                      <c:pt idx="202">
                        <c:v>165.81120645125111</c:v>
                      </c:pt>
                      <c:pt idx="203">
                        <c:v>165.81120645125111</c:v>
                      </c:pt>
                      <c:pt idx="204">
                        <c:v>194.93120645125123</c:v>
                      </c:pt>
                      <c:pt idx="205">
                        <c:v>118.37120645125117</c:v>
                      </c:pt>
                      <c:pt idx="206">
                        <c:v>195.83120645125121</c:v>
                      </c:pt>
                      <c:pt idx="207">
                        <c:v>195.83120645125121</c:v>
                      </c:pt>
                      <c:pt idx="208">
                        <c:v>181.91120645125113</c:v>
                      </c:pt>
                      <c:pt idx="209">
                        <c:v>181.91120645125113</c:v>
                      </c:pt>
                      <c:pt idx="210">
                        <c:v>77.06120645125111</c:v>
                      </c:pt>
                      <c:pt idx="211">
                        <c:v>66.701206451251096</c:v>
                      </c:pt>
                      <c:pt idx="212">
                        <c:v>85.211399342838945</c:v>
                      </c:pt>
                      <c:pt idx="213">
                        <c:v>85.211399342838945</c:v>
                      </c:pt>
                      <c:pt idx="214">
                        <c:v>85.211399342838945</c:v>
                      </c:pt>
                      <c:pt idx="215">
                        <c:v>85.211399342838945</c:v>
                      </c:pt>
                      <c:pt idx="216">
                        <c:v>129.05139934283909</c:v>
                      </c:pt>
                      <c:pt idx="217">
                        <c:v>129.05139934283909</c:v>
                      </c:pt>
                      <c:pt idx="218">
                        <c:v>129.05139934283909</c:v>
                      </c:pt>
                      <c:pt idx="219">
                        <c:v>246.01139934283913</c:v>
                      </c:pt>
                      <c:pt idx="220">
                        <c:v>246.01139934283913</c:v>
                      </c:pt>
                      <c:pt idx="221">
                        <c:v>231.71139934283894</c:v>
                      </c:pt>
                      <c:pt idx="222">
                        <c:v>231.71139934283894</c:v>
                      </c:pt>
                      <c:pt idx="223">
                        <c:v>231.71139934283894</c:v>
                      </c:pt>
                      <c:pt idx="224">
                        <c:v>302.23139934283893</c:v>
                      </c:pt>
                      <c:pt idx="225">
                        <c:v>302.23139934283893</c:v>
                      </c:pt>
                      <c:pt idx="226">
                        <c:v>199.28139934283888</c:v>
                      </c:pt>
                      <c:pt idx="227">
                        <c:v>199.28139934283888</c:v>
                      </c:pt>
                      <c:pt idx="228">
                        <c:v>216.20139934283895</c:v>
                      </c:pt>
                      <c:pt idx="229">
                        <c:v>255.68139934283897</c:v>
                      </c:pt>
                      <c:pt idx="230">
                        <c:v>255.68139934283897</c:v>
                      </c:pt>
                      <c:pt idx="231">
                        <c:v>213.14249066104651</c:v>
                      </c:pt>
                      <c:pt idx="232">
                        <c:v>266.9024906610465</c:v>
                      </c:pt>
                      <c:pt idx="233">
                        <c:v>256.66249066104672</c:v>
                      </c:pt>
                      <c:pt idx="234">
                        <c:v>256.66249066104672</c:v>
                      </c:pt>
                      <c:pt idx="235">
                        <c:v>256.66249066104672</c:v>
                      </c:pt>
                      <c:pt idx="236">
                        <c:v>256.66249066104672</c:v>
                      </c:pt>
                      <c:pt idx="237">
                        <c:v>264.4624906610469</c:v>
                      </c:pt>
                      <c:pt idx="238">
                        <c:v>167.92249066104694</c:v>
                      </c:pt>
                      <c:pt idx="239">
                        <c:v>187.36249066104699</c:v>
                      </c:pt>
                      <c:pt idx="240">
                        <c:v>187.36249066104699</c:v>
                      </c:pt>
                      <c:pt idx="241">
                        <c:v>187.36249066104699</c:v>
                      </c:pt>
                      <c:pt idx="242">
                        <c:v>186.04249066104705</c:v>
                      </c:pt>
                      <c:pt idx="243">
                        <c:v>186.04249066104705</c:v>
                      </c:pt>
                      <c:pt idx="244">
                        <c:v>87.822490661047027</c:v>
                      </c:pt>
                      <c:pt idx="245">
                        <c:v>87.822490661047027</c:v>
                      </c:pt>
                      <c:pt idx="246">
                        <c:v>87.822490661047027</c:v>
                      </c:pt>
                      <c:pt idx="247">
                        <c:v>87.822490661047027</c:v>
                      </c:pt>
                      <c:pt idx="248">
                        <c:v>87.822490661047027</c:v>
                      </c:pt>
                      <c:pt idx="249">
                        <c:v>87.822490661047027</c:v>
                      </c:pt>
                      <c:pt idx="250">
                        <c:v>87.822490661047027</c:v>
                      </c:pt>
                      <c:pt idx="251">
                        <c:v>-6.3775093389530184</c:v>
                      </c:pt>
                      <c:pt idx="252">
                        <c:v>3.4224906610469361</c:v>
                      </c:pt>
                      <c:pt idx="253">
                        <c:v>3.4224906610469361</c:v>
                      </c:pt>
                      <c:pt idx="254">
                        <c:v>3.4224906610469361</c:v>
                      </c:pt>
                      <c:pt idx="255">
                        <c:v>3.4224906610469361</c:v>
                      </c:pt>
                      <c:pt idx="256">
                        <c:v>33.122490661046754</c:v>
                      </c:pt>
                      <c:pt idx="257">
                        <c:v>33.122490661046754</c:v>
                      </c:pt>
                      <c:pt idx="258">
                        <c:v>33.122490661046754</c:v>
                      </c:pt>
                      <c:pt idx="259">
                        <c:v>33.122490661046754</c:v>
                      </c:pt>
                      <c:pt idx="260">
                        <c:v>33.122490661046754</c:v>
                      </c:pt>
                      <c:pt idx="261">
                        <c:v>33.122490661046754</c:v>
                      </c:pt>
                      <c:pt idx="262">
                        <c:v>33.122490661046754</c:v>
                      </c:pt>
                      <c:pt idx="263">
                        <c:v>-3.3275093389532913</c:v>
                      </c:pt>
                      <c:pt idx="264">
                        <c:v>-3.3275093389532913</c:v>
                      </c:pt>
                      <c:pt idx="265">
                        <c:v>-3.3275093389532913</c:v>
                      </c:pt>
                      <c:pt idx="266">
                        <c:v>20.122490661046527</c:v>
                      </c:pt>
                      <c:pt idx="267">
                        <c:v>20.122490661046527</c:v>
                      </c:pt>
                      <c:pt idx="268">
                        <c:v>20.122490661046527</c:v>
                      </c:pt>
                      <c:pt idx="269">
                        <c:v>20.122490661046527</c:v>
                      </c:pt>
                      <c:pt idx="270">
                        <c:v>20.122490661046527</c:v>
                      </c:pt>
                      <c:pt idx="271">
                        <c:v>20.122490661046527</c:v>
                      </c:pt>
                      <c:pt idx="272">
                        <c:v>20.122490661046527</c:v>
                      </c:pt>
                      <c:pt idx="273">
                        <c:v>20.122490661046527</c:v>
                      </c:pt>
                      <c:pt idx="274">
                        <c:v>20.122490661046527</c:v>
                      </c:pt>
                      <c:pt idx="275">
                        <c:v>20.122490661046527</c:v>
                      </c:pt>
                      <c:pt idx="276">
                        <c:v>20.122490661046527</c:v>
                      </c:pt>
                      <c:pt idx="277">
                        <c:v>20.122490661046527</c:v>
                      </c:pt>
                      <c:pt idx="278">
                        <c:v>20.122490661046527</c:v>
                      </c:pt>
                      <c:pt idx="279">
                        <c:v>20.122490661046527</c:v>
                      </c:pt>
                      <c:pt idx="280">
                        <c:v>15.562490661046581</c:v>
                      </c:pt>
                      <c:pt idx="281">
                        <c:v>-40.597509338953273</c:v>
                      </c:pt>
                      <c:pt idx="282">
                        <c:v>-40.597509338953273</c:v>
                      </c:pt>
                      <c:pt idx="283">
                        <c:v>-40.597509338953273</c:v>
                      </c:pt>
                      <c:pt idx="284">
                        <c:v>-7.2975093389533185</c:v>
                      </c:pt>
                      <c:pt idx="285">
                        <c:v>-7.2975093389533185</c:v>
                      </c:pt>
                      <c:pt idx="286">
                        <c:v>1.1024906610467724</c:v>
                      </c:pt>
                      <c:pt idx="287">
                        <c:v>1.1024906610467724</c:v>
                      </c:pt>
                      <c:pt idx="288">
                        <c:v>151.70249066104691</c:v>
                      </c:pt>
                      <c:pt idx="289">
                        <c:v>151.70249066104691</c:v>
                      </c:pt>
                      <c:pt idx="290">
                        <c:v>151.70249066104691</c:v>
                      </c:pt>
                      <c:pt idx="291">
                        <c:v>151.70249066104691</c:v>
                      </c:pt>
                      <c:pt idx="292">
                        <c:v>151.70249066104691</c:v>
                      </c:pt>
                      <c:pt idx="293">
                        <c:v>148.00249066104664</c:v>
                      </c:pt>
                      <c:pt idx="294">
                        <c:v>148.00249066104664</c:v>
                      </c:pt>
                      <c:pt idx="295">
                        <c:v>148.00249066104664</c:v>
                      </c:pt>
                      <c:pt idx="296">
                        <c:v>148.00249066104664</c:v>
                      </c:pt>
                      <c:pt idx="297">
                        <c:v>148.00249066104664</c:v>
                      </c:pt>
                      <c:pt idx="298">
                        <c:v>148.00249066104664</c:v>
                      </c:pt>
                      <c:pt idx="299">
                        <c:v>121.60249066104666</c:v>
                      </c:pt>
                      <c:pt idx="300">
                        <c:v>175.24249066104653</c:v>
                      </c:pt>
                      <c:pt idx="301">
                        <c:v>345.26249066104651</c:v>
                      </c:pt>
                      <c:pt idx="302">
                        <c:v>345.26249066104651</c:v>
                      </c:pt>
                      <c:pt idx="303">
                        <c:v>428.48249066104654</c:v>
                      </c:pt>
                      <c:pt idx="304">
                        <c:v>428.48249066104654</c:v>
                      </c:pt>
                      <c:pt idx="305">
                        <c:v>531.88249066104663</c:v>
                      </c:pt>
                      <c:pt idx="306">
                        <c:v>676.08249066104668</c:v>
                      </c:pt>
                      <c:pt idx="307">
                        <c:v>685.53249066104672</c:v>
                      </c:pt>
                      <c:pt idx="308">
                        <c:v>685.53249066104672</c:v>
                      </c:pt>
                      <c:pt idx="309">
                        <c:v>685.53249066104672</c:v>
                      </c:pt>
                      <c:pt idx="310">
                        <c:v>685.53249066104672</c:v>
                      </c:pt>
                      <c:pt idx="311">
                        <c:v>685.53249066104672</c:v>
                      </c:pt>
                      <c:pt idx="312">
                        <c:v>685.53249066104672</c:v>
                      </c:pt>
                      <c:pt idx="313">
                        <c:v>685.53249066104672</c:v>
                      </c:pt>
                      <c:pt idx="314">
                        <c:v>685.53249066104672</c:v>
                      </c:pt>
                      <c:pt idx="315">
                        <c:v>685.53249066104672</c:v>
                      </c:pt>
                      <c:pt idx="316">
                        <c:v>685.53249066104672</c:v>
                      </c:pt>
                      <c:pt idx="317">
                        <c:v>685.53249066104672</c:v>
                      </c:pt>
                      <c:pt idx="318">
                        <c:v>599.43627194988017</c:v>
                      </c:pt>
                      <c:pt idx="319">
                        <c:v>814.11627194988023</c:v>
                      </c:pt>
                      <c:pt idx="320">
                        <c:v>814.11627194988023</c:v>
                      </c:pt>
                      <c:pt idx="321">
                        <c:v>804.91627194988018</c:v>
                      </c:pt>
                      <c:pt idx="322">
                        <c:v>869.71627194988037</c:v>
                      </c:pt>
                      <c:pt idx="323">
                        <c:v>640.46627194988037</c:v>
                      </c:pt>
                      <c:pt idx="324">
                        <c:v>640.46627194988037</c:v>
                      </c:pt>
                      <c:pt idx="325">
                        <c:v>690.46627194988037</c:v>
                      </c:pt>
                      <c:pt idx="326">
                        <c:v>690.46627194988037</c:v>
                      </c:pt>
                      <c:pt idx="327">
                        <c:v>686.86627194988023</c:v>
                      </c:pt>
                      <c:pt idx="328">
                        <c:v>659.41627194988018</c:v>
                      </c:pt>
                      <c:pt idx="329">
                        <c:v>659.41627194988018</c:v>
                      </c:pt>
                      <c:pt idx="330">
                        <c:v>659.41627194988018</c:v>
                      </c:pt>
                      <c:pt idx="331">
                        <c:v>730.45627194988015</c:v>
                      </c:pt>
                      <c:pt idx="332">
                        <c:v>846.73627194988012</c:v>
                      </c:pt>
                      <c:pt idx="333">
                        <c:v>906.13627194988021</c:v>
                      </c:pt>
                      <c:pt idx="334">
                        <c:v>906.13627194988021</c:v>
                      </c:pt>
                      <c:pt idx="335">
                        <c:v>962.59627194988025</c:v>
                      </c:pt>
                      <c:pt idx="336">
                        <c:v>956.35627194988024</c:v>
                      </c:pt>
                      <c:pt idx="337">
                        <c:v>956.35627194988024</c:v>
                      </c:pt>
                      <c:pt idx="338">
                        <c:v>956.35627194988024</c:v>
                      </c:pt>
                      <c:pt idx="339">
                        <c:v>892.09627194988025</c:v>
                      </c:pt>
                      <c:pt idx="340">
                        <c:v>768.40627194988019</c:v>
                      </c:pt>
                      <c:pt idx="341">
                        <c:v>768.40627194988019</c:v>
                      </c:pt>
                      <c:pt idx="342">
                        <c:v>768.40627194988019</c:v>
                      </c:pt>
                      <c:pt idx="343">
                        <c:v>759.08627194988026</c:v>
                      </c:pt>
                      <c:pt idx="344">
                        <c:v>631.52627194988031</c:v>
                      </c:pt>
                      <c:pt idx="345">
                        <c:v>631.52627194988031</c:v>
                      </c:pt>
                      <c:pt idx="346">
                        <c:v>631.52627194988031</c:v>
                      </c:pt>
                    </c:numCache>
                  </c:numRef>
                </c:val>
                <c:smooth val="0"/>
                <c:extLst xmlns:c15="http://schemas.microsoft.com/office/drawing/2012/chart">
                  <c:ext xmlns:c16="http://schemas.microsoft.com/office/drawing/2014/chart" uri="{C3380CC4-5D6E-409C-BE32-E72D297353CC}">
                    <c16:uniqueId val="{00000005-77EB-4CF6-A82F-87CE09EC25EC}"/>
                  </c:ext>
                </c:extLst>
              </c15:ser>
            </c15:filteredLineSeries>
            <c15:filteredLineSeries>
              <c15:ser>
                <c:idx val="6"/>
                <c:order val="6"/>
                <c:tx>
                  <c:v>Dwn (MOC)</c:v>
                </c:tx>
                <c:spPr>
                  <a:ln w="28575" cap="rnd">
                    <a:solidFill>
                      <a:schemeClr val="accent2">
                        <a:lumMod val="60000"/>
                        <a:lumOff val="40000"/>
                      </a:schemeClr>
                    </a:solidFill>
                    <a:prstDash val="sysDash"/>
                    <a:round/>
                  </a:ln>
                  <a:effectLst/>
                </c:spPr>
                <c:marker>
                  <c:symbol val="none"/>
                </c:marker>
                <c:val>
                  <c:numRef>
                    <c:extLst xmlns:c15="http://schemas.microsoft.com/office/drawing/2012/chart">
                      <c:ext xmlns:c15="http://schemas.microsoft.com/office/drawing/2012/chart" uri="{02D57815-91ED-43cb-92C2-25804820EDAC}">
                        <c15:formulaRef>
                          <c15:sqref>'2025-Q2'!$AZ$4:$AZ$350</c15:sqref>
                        </c15:formulaRef>
                      </c:ext>
                    </c:extLst>
                    <c:numCache>
                      <c:formatCode>"$"#,##0</c:formatCode>
                      <c:ptCount val="347"/>
                      <c:pt idx="0">
                        <c:v>-254.69999999999982</c:v>
                      </c:pt>
                      <c:pt idx="1">
                        <c:v>-262.79999999999973</c:v>
                      </c:pt>
                      <c:pt idx="2">
                        <c:v>-262.79999999999973</c:v>
                      </c:pt>
                      <c:pt idx="3">
                        <c:v>-262.79999999999973</c:v>
                      </c:pt>
                      <c:pt idx="4">
                        <c:v>-262.79999999999973</c:v>
                      </c:pt>
                      <c:pt idx="5">
                        <c:v>-262.79999999999973</c:v>
                      </c:pt>
                      <c:pt idx="6">
                        <c:v>-262.79999999999973</c:v>
                      </c:pt>
                      <c:pt idx="7">
                        <c:v>-262.79999999999973</c:v>
                      </c:pt>
                      <c:pt idx="8">
                        <c:v>-262.79999999999973</c:v>
                      </c:pt>
                      <c:pt idx="9">
                        <c:v>-266.68837290281726</c:v>
                      </c:pt>
                      <c:pt idx="10">
                        <c:v>-266.68837290281726</c:v>
                      </c:pt>
                      <c:pt idx="11">
                        <c:v>-266.68837290281726</c:v>
                      </c:pt>
                      <c:pt idx="12">
                        <c:v>-267.17837290281727</c:v>
                      </c:pt>
                      <c:pt idx="13">
                        <c:v>-267.17837290281727</c:v>
                      </c:pt>
                      <c:pt idx="14">
                        <c:v>-173.75837290281697</c:v>
                      </c:pt>
                      <c:pt idx="15">
                        <c:v>-173.75837290281697</c:v>
                      </c:pt>
                      <c:pt idx="16">
                        <c:v>-89.908372902816836</c:v>
                      </c:pt>
                      <c:pt idx="17">
                        <c:v>-65.608372902816654</c:v>
                      </c:pt>
                      <c:pt idx="18">
                        <c:v>-65.608372902816654</c:v>
                      </c:pt>
                      <c:pt idx="19">
                        <c:v>-65.608372902816654</c:v>
                      </c:pt>
                      <c:pt idx="20">
                        <c:v>-65.608372902816654</c:v>
                      </c:pt>
                      <c:pt idx="21">
                        <c:v>-65.608372902816654</c:v>
                      </c:pt>
                      <c:pt idx="22">
                        <c:v>-79.1383729028164</c:v>
                      </c:pt>
                      <c:pt idx="23">
                        <c:v>-79.1383729028164</c:v>
                      </c:pt>
                      <c:pt idx="24">
                        <c:v>-79.1383729028164</c:v>
                      </c:pt>
                      <c:pt idx="25">
                        <c:v>-79.1383729028164</c:v>
                      </c:pt>
                      <c:pt idx="26">
                        <c:v>-76.1383729028164</c:v>
                      </c:pt>
                      <c:pt idx="27">
                        <c:v>-110.1383729028164</c:v>
                      </c:pt>
                      <c:pt idx="28">
                        <c:v>-118.53837290281626</c:v>
                      </c:pt>
                      <c:pt idx="29">
                        <c:v>-118.53837290281626</c:v>
                      </c:pt>
                      <c:pt idx="30">
                        <c:v>-155.63837290281617</c:v>
                      </c:pt>
                      <c:pt idx="31">
                        <c:v>-148.13837290281617</c:v>
                      </c:pt>
                      <c:pt idx="32">
                        <c:v>-164.13837290281617</c:v>
                      </c:pt>
                      <c:pt idx="33">
                        <c:v>-164.13837290281617</c:v>
                      </c:pt>
                      <c:pt idx="34">
                        <c:v>-164.13837290281617</c:v>
                      </c:pt>
                      <c:pt idx="35">
                        <c:v>-164.13837290281617</c:v>
                      </c:pt>
                      <c:pt idx="36">
                        <c:v>-173.22837290281586</c:v>
                      </c:pt>
                      <c:pt idx="37">
                        <c:v>-173.22837290281586</c:v>
                      </c:pt>
                      <c:pt idx="38">
                        <c:v>-173.22837290281586</c:v>
                      </c:pt>
                      <c:pt idx="39">
                        <c:v>-173.22837290281586</c:v>
                      </c:pt>
                      <c:pt idx="40">
                        <c:v>-322.17837290281591</c:v>
                      </c:pt>
                      <c:pt idx="41">
                        <c:v>-353.47837290281609</c:v>
                      </c:pt>
                      <c:pt idx="42">
                        <c:v>-286.37837290281595</c:v>
                      </c:pt>
                      <c:pt idx="43">
                        <c:v>-286.37837290281595</c:v>
                      </c:pt>
                      <c:pt idx="44">
                        <c:v>-286.37837290281595</c:v>
                      </c:pt>
                      <c:pt idx="45">
                        <c:v>-286.37837290281595</c:v>
                      </c:pt>
                      <c:pt idx="46">
                        <c:v>-336.14837290281594</c:v>
                      </c:pt>
                      <c:pt idx="47">
                        <c:v>-336.14837290281594</c:v>
                      </c:pt>
                      <c:pt idx="48">
                        <c:v>-437.28837290281581</c:v>
                      </c:pt>
                      <c:pt idx="49">
                        <c:v>-437.28837290281581</c:v>
                      </c:pt>
                      <c:pt idx="50">
                        <c:v>-437.28837290281581</c:v>
                      </c:pt>
                      <c:pt idx="51">
                        <c:v>-437.28837290281581</c:v>
                      </c:pt>
                      <c:pt idx="52">
                        <c:v>-546.48837290281585</c:v>
                      </c:pt>
                      <c:pt idx="53">
                        <c:v>-546.48837290281585</c:v>
                      </c:pt>
                      <c:pt idx="54">
                        <c:v>-546.48837290281585</c:v>
                      </c:pt>
                      <c:pt idx="55">
                        <c:v>-539.5683729028159</c:v>
                      </c:pt>
                      <c:pt idx="56">
                        <c:v>-539.5683729028159</c:v>
                      </c:pt>
                      <c:pt idx="57">
                        <c:v>-414.9183729028158</c:v>
                      </c:pt>
                      <c:pt idx="58">
                        <c:v>-414.9183729028158</c:v>
                      </c:pt>
                      <c:pt idx="59">
                        <c:v>-414.9183729028158</c:v>
                      </c:pt>
                      <c:pt idx="60">
                        <c:v>-414.9183729028158</c:v>
                      </c:pt>
                      <c:pt idx="61">
                        <c:v>-414.9183729028158</c:v>
                      </c:pt>
                      <c:pt idx="62">
                        <c:v>-414.9183729028158</c:v>
                      </c:pt>
                      <c:pt idx="63">
                        <c:v>-414.9183729028158</c:v>
                      </c:pt>
                      <c:pt idx="64">
                        <c:v>-414.9183729028158</c:v>
                      </c:pt>
                      <c:pt idx="65">
                        <c:v>-414.9183729028158</c:v>
                      </c:pt>
                      <c:pt idx="66">
                        <c:v>-420.76837290281571</c:v>
                      </c:pt>
                      <c:pt idx="67">
                        <c:v>-414.58837290281565</c:v>
                      </c:pt>
                      <c:pt idx="68">
                        <c:v>-396.2683729028156</c:v>
                      </c:pt>
                      <c:pt idx="69">
                        <c:v>-396.2683729028156</c:v>
                      </c:pt>
                      <c:pt idx="70">
                        <c:v>-368.83837290281554</c:v>
                      </c:pt>
                      <c:pt idx="71">
                        <c:v>-368.83837290281554</c:v>
                      </c:pt>
                      <c:pt idx="72">
                        <c:v>-368.83837290281554</c:v>
                      </c:pt>
                      <c:pt idx="73">
                        <c:v>-368.83837290281554</c:v>
                      </c:pt>
                      <c:pt idx="74">
                        <c:v>-368.83837290281554</c:v>
                      </c:pt>
                      <c:pt idx="75">
                        <c:v>-368.83837290281554</c:v>
                      </c:pt>
                      <c:pt idx="76">
                        <c:v>-368.83837290281554</c:v>
                      </c:pt>
                      <c:pt idx="77">
                        <c:v>-368.83837290281554</c:v>
                      </c:pt>
                      <c:pt idx="78">
                        <c:v>-368.83837290281554</c:v>
                      </c:pt>
                      <c:pt idx="79">
                        <c:v>-423.9721716230016</c:v>
                      </c:pt>
                      <c:pt idx="80">
                        <c:v>-423.9721716230016</c:v>
                      </c:pt>
                      <c:pt idx="81">
                        <c:v>-480.01217162300156</c:v>
                      </c:pt>
                      <c:pt idx="82">
                        <c:v>-530.05217162300164</c:v>
                      </c:pt>
                      <c:pt idx="83">
                        <c:v>-530.05217162300164</c:v>
                      </c:pt>
                      <c:pt idx="84">
                        <c:v>-530.05217162300164</c:v>
                      </c:pt>
                      <c:pt idx="85">
                        <c:v>-591.05217162300175</c:v>
                      </c:pt>
                      <c:pt idx="86">
                        <c:v>-591.05217162300175</c:v>
                      </c:pt>
                      <c:pt idx="87">
                        <c:v>-613.15217162300189</c:v>
                      </c:pt>
                      <c:pt idx="88">
                        <c:v>-595.83217162300184</c:v>
                      </c:pt>
                      <c:pt idx="89">
                        <c:v>-595.83217162300184</c:v>
                      </c:pt>
                      <c:pt idx="90">
                        <c:v>-563.83217162300184</c:v>
                      </c:pt>
                      <c:pt idx="91">
                        <c:v>-555.85217162300182</c:v>
                      </c:pt>
                      <c:pt idx="92">
                        <c:v>-578.65217162300189</c:v>
                      </c:pt>
                      <c:pt idx="93">
                        <c:v>-578.65217162300189</c:v>
                      </c:pt>
                      <c:pt idx="94">
                        <c:v>-578.65217162300189</c:v>
                      </c:pt>
                      <c:pt idx="95">
                        <c:v>-589.652171623002</c:v>
                      </c:pt>
                      <c:pt idx="96">
                        <c:v>-547.95217162300207</c:v>
                      </c:pt>
                      <c:pt idx="97">
                        <c:v>-550.83217162300207</c:v>
                      </c:pt>
                      <c:pt idx="98">
                        <c:v>-588.98217162300205</c:v>
                      </c:pt>
                      <c:pt idx="99">
                        <c:v>-588.98217162300205</c:v>
                      </c:pt>
                      <c:pt idx="100">
                        <c:v>-711.86217162300204</c:v>
                      </c:pt>
                      <c:pt idx="101">
                        <c:v>-711.86217162300204</c:v>
                      </c:pt>
                      <c:pt idx="102">
                        <c:v>-711.86217162300204</c:v>
                      </c:pt>
                      <c:pt idx="103">
                        <c:v>-711.86217162300204</c:v>
                      </c:pt>
                      <c:pt idx="104">
                        <c:v>-711.86217162300204</c:v>
                      </c:pt>
                      <c:pt idx="105">
                        <c:v>-657.08217162300207</c:v>
                      </c:pt>
                      <c:pt idx="106">
                        <c:v>-657.08217162300207</c:v>
                      </c:pt>
                      <c:pt idx="107">
                        <c:v>-657.08217162300207</c:v>
                      </c:pt>
                      <c:pt idx="108">
                        <c:v>-657.08217162300207</c:v>
                      </c:pt>
                      <c:pt idx="109">
                        <c:v>-657.08217162300207</c:v>
                      </c:pt>
                      <c:pt idx="110">
                        <c:v>-646.83217162300218</c:v>
                      </c:pt>
                      <c:pt idx="111">
                        <c:v>-640.35217162300216</c:v>
                      </c:pt>
                      <c:pt idx="112">
                        <c:v>-640.35217162300216</c:v>
                      </c:pt>
                      <c:pt idx="113">
                        <c:v>-640.35217162300216</c:v>
                      </c:pt>
                      <c:pt idx="114">
                        <c:v>-640.35217162300216</c:v>
                      </c:pt>
                      <c:pt idx="115">
                        <c:v>-640.35217162300216</c:v>
                      </c:pt>
                      <c:pt idx="116">
                        <c:v>-643.20217162300207</c:v>
                      </c:pt>
                      <c:pt idx="117">
                        <c:v>-617.95161845366727</c:v>
                      </c:pt>
                      <c:pt idx="118">
                        <c:v>-617.95161845366727</c:v>
                      </c:pt>
                      <c:pt idx="119">
                        <c:v>-617.95161845366727</c:v>
                      </c:pt>
                      <c:pt idx="120">
                        <c:v>-637.75161845366745</c:v>
                      </c:pt>
                      <c:pt idx="121">
                        <c:v>-637.75161845366745</c:v>
                      </c:pt>
                      <c:pt idx="122">
                        <c:v>-637.75161845366745</c:v>
                      </c:pt>
                      <c:pt idx="123">
                        <c:v>-637.75161845366745</c:v>
                      </c:pt>
                      <c:pt idx="124">
                        <c:v>-569.65161845366742</c:v>
                      </c:pt>
                      <c:pt idx="125">
                        <c:v>-569.65161845366742</c:v>
                      </c:pt>
                      <c:pt idx="126">
                        <c:v>-569.65161845366742</c:v>
                      </c:pt>
                      <c:pt idx="127">
                        <c:v>-617.44161845366739</c:v>
                      </c:pt>
                      <c:pt idx="128">
                        <c:v>-617.44161845366739</c:v>
                      </c:pt>
                      <c:pt idx="129">
                        <c:v>-653.28161845366731</c:v>
                      </c:pt>
                      <c:pt idx="130">
                        <c:v>-653.28161845366731</c:v>
                      </c:pt>
                      <c:pt idx="131">
                        <c:v>-678.06161845366728</c:v>
                      </c:pt>
                      <c:pt idx="132">
                        <c:v>-678.06161845366728</c:v>
                      </c:pt>
                      <c:pt idx="133">
                        <c:v>-660.56161845366728</c:v>
                      </c:pt>
                      <c:pt idx="134">
                        <c:v>-658.04161845366718</c:v>
                      </c:pt>
                      <c:pt idx="135">
                        <c:v>-666.32161845366716</c:v>
                      </c:pt>
                      <c:pt idx="136">
                        <c:v>-662.72161845366713</c:v>
                      </c:pt>
                      <c:pt idx="137">
                        <c:v>-662.72161845366713</c:v>
                      </c:pt>
                      <c:pt idx="138">
                        <c:v>-694.54161845366707</c:v>
                      </c:pt>
                      <c:pt idx="139">
                        <c:v>-663.04161845366696</c:v>
                      </c:pt>
                      <c:pt idx="140">
                        <c:v>-663.04161845366696</c:v>
                      </c:pt>
                      <c:pt idx="141">
                        <c:v>-694.56161845366694</c:v>
                      </c:pt>
                      <c:pt idx="142">
                        <c:v>-744.80161845366695</c:v>
                      </c:pt>
                      <c:pt idx="143">
                        <c:v>-767.04161845366673</c:v>
                      </c:pt>
                      <c:pt idx="144">
                        <c:v>-769.08161845366681</c:v>
                      </c:pt>
                      <c:pt idx="145">
                        <c:v>-685.18161845366672</c:v>
                      </c:pt>
                      <c:pt idx="146">
                        <c:v>-709.48161845366667</c:v>
                      </c:pt>
                      <c:pt idx="147">
                        <c:v>-763.63161845366676</c:v>
                      </c:pt>
                      <c:pt idx="148">
                        <c:v>-763.63161845366676</c:v>
                      </c:pt>
                      <c:pt idx="149">
                        <c:v>-763.63161845366676</c:v>
                      </c:pt>
                      <c:pt idx="150">
                        <c:v>-763.63161845366676</c:v>
                      </c:pt>
                      <c:pt idx="151">
                        <c:v>-763.63161845366676</c:v>
                      </c:pt>
                      <c:pt idx="152">
                        <c:v>-639.33161845366681</c:v>
                      </c:pt>
                      <c:pt idx="153">
                        <c:v>-639.33161845366681</c:v>
                      </c:pt>
                      <c:pt idx="154">
                        <c:v>-639.33161845366681</c:v>
                      </c:pt>
                      <c:pt idx="155">
                        <c:v>-639.33161845366681</c:v>
                      </c:pt>
                      <c:pt idx="156">
                        <c:v>-547.97161845366668</c:v>
                      </c:pt>
                      <c:pt idx="157">
                        <c:v>-547.97161845366668</c:v>
                      </c:pt>
                      <c:pt idx="158">
                        <c:v>-547.97161845366668</c:v>
                      </c:pt>
                      <c:pt idx="159">
                        <c:v>-547.97161845366668</c:v>
                      </c:pt>
                      <c:pt idx="160">
                        <c:v>-547.97161845366668</c:v>
                      </c:pt>
                      <c:pt idx="161">
                        <c:v>-547.97161845366668</c:v>
                      </c:pt>
                      <c:pt idx="162">
                        <c:v>-520.05161845366683</c:v>
                      </c:pt>
                      <c:pt idx="163">
                        <c:v>-601.05161845366695</c:v>
                      </c:pt>
                      <c:pt idx="164">
                        <c:v>-601.05161845366695</c:v>
                      </c:pt>
                      <c:pt idx="165">
                        <c:v>-601.05161845366695</c:v>
                      </c:pt>
                      <c:pt idx="166">
                        <c:v>-601.05161845366695</c:v>
                      </c:pt>
                      <c:pt idx="167">
                        <c:v>-601.05161845366695</c:v>
                      </c:pt>
                      <c:pt idx="168">
                        <c:v>-560.1016184536669</c:v>
                      </c:pt>
                      <c:pt idx="169">
                        <c:v>-560.1016184536669</c:v>
                      </c:pt>
                      <c:pt idx="170">
                        <c:v>-570.36161845366701</c:v>
                      </c:pt>
                      <c:pt idx="171">
                        <c:v>-570.36161845366701</c:v>
                      </c:pt>
                      <c:pt idx="172">
                        <c:v>-550.52161845366709</c:v>
                      </c:pt>
                      <c:pt idx="173">
                        <c:v>-550.52161845366709</c:v>
                      </c:pt>
                      <c:pt idx="174">
                        <c:v>-469.5216184536672</c:v>
                      </c:pt>
                      <c:pt idx="175">
                        <c:v>-469.5216184536672</c:v>
                      </c:pt>
                      <c:pt idx="176">
                        <c:v>-458.74161845366723</c:v>
                      </c:pt>
                      <c:pt idx="177">
                        <c:v>-458.74161845366723</c:v>
                      </c:pt>
                      <c:pt idx="178">
                        <c:v>-472.52161845366743</c:v>
                      </c:pt>
                      <c:pt idx="179">
                        <c:v>-378.83161845366737</c:v>
                      </c:pt>
                      <c:pt idx="180">
                        <c:v>-378.83161845366737</c:v>
                      </c:pt>
                      <c:pt idx="181">
                        <c:v>-378.83161845366737</c:v>
                      </c:pt>
                      <c:pt idx="182">
                        <c:v>-378.83161845366737</c:v>
                      </c:pt>
                      <c:pt idx="183">
                        <c:v>-378.83161845366737</c:v>
                      </c:pt>
                      <c:pt idx="184">
                        <c:v>-399.47161845366725</c:v>
                      </c:pt>
                      <c:pt idx="185">
                        <c:v>-378.47161845366702</c:v>
                      </c:pt>
                      <c:pt idx="186">
                        <c:v>-386.97161845366702</c:v>
                      </c:pt>
                      <c:pt idx="187">
                        <c:v>-386.97161845366702</c:v>
                      </c:pt>
                      <c:pt idx="188">
                        <c:v>-280.97161845366702</c:v>
                      </c:pt>
                      <c:pt idx="189">
                        <c:v>-286.97161845366679</c:v>
                      </c:pt>
                      <c:pt idx="190">
                        <c:v>-286.97161845366679</c:v>
                      </c:pt>
                      <c:pt idx="191">
                        <c:v>-302.37161845366688</c:v>
                      </c:pt>
                      <c:pt idx="192">
                        <c:v>-302.37161845366688</c:v>
                      </c:pt>
                      <c:pt idx="193">
                        <c:v>-101.3516184536669</c:v>
                      </c:pt>
                      <c:pt idx="194">
                        <c:v>-110.31161845366694</c:v>
                      </c:pt>
                      <c:pt idx="195">
                        <c:v>-110.31161845366694</c:v>
                      </c:pt>
                      <c:pt idx="196">
                        <c:v>-110.31161845366694</c:v>
                      </c:pt>
                      <c:pt idx="197">
                        <c:v>-70.011618453666983</c:v>
                      </c:pt>
                      <c:pt idx="198">
                        <c:v>-68.661618453667074</c:v>
                      </c:pt>
                      <c:pt idx="199">
                        <c:v>-72.941618453667274</c:v>
                      </c:pt>
                      <c:pt idx="200">
                        <c:v>-72.941618453667274</c:v>
                      </c:pt>
                      <c:pt idx="201">
                        <c:v>-26.381618453667329</c:v>
                      </c:pt>
                      <c:pt idx="202">
                        <c:v>-26.381618453667329</c:v>
                      </c:pt>
                      <c:pt idx="203">
                        <c:v>-26.381618453667329</c:v>
                      </c:pt>
                      <c:pt idx="204">
                        <c:v>-26.381618453667329</c:v>
                      </c:pt>
                      <c:pt idx="205">
                        <c:v>-26.381618453667329</c:v>
                      </c:pt>
                      <c:pt idx="206">
                        <c:v>-26.381618453667329</c:v>
                      </c:pt>
                      <c:pt idx="207">
                        <c:v>-28.36161845366712</c:v>
                      </c:pt>
                      <c:pt idx="208">
                        <c:v>-28.36161845366712</c:v>
                      </c:pt>
                      <c:pt idx="209">
                        <c:v>-6.9616184536670289</c:v>
                      </c:pt>
                      <c:pt idx="210">
                        <c:v>-6.9616184536670289</c:v>
                      </c:pt>
                      <c:pt idx="211">
                        <c:v>-6.9616184536670289</c:v>
                      </c:pt>
                      <c:pt idx="212">
                        <c:v>-6.9616184536670289</c:v>
                      </c:pt>
                      <c:pt idx="213">
                        <c:v>36.368381546332898</c:v>
                      </c:pt>
                      <c:pt idx="214">
                        <c:v>38.368381546332898</c:v>
                      </c:pt>
                      <c:pt idx="215">
                        <c:v>-92.311618453666938</c:v>
                      </c:pt>
                      <c:pt idx="216">
                        <c:v>-92.311618453666938</c:v>
                      </c:pt>
                      <c:pt idx="217">
                        <c:v>-92.311618453666938</c:v>
                      </c:pt>
                      <c:pt idx="218">
                        <c:v>-74.811618453666938</c:v>
                      </c:pt>
                      <c:pt idx="219">
                        <c:v>-74.811618453666938</c:v>
                      </c:pt>
                      <c:pt idx="220">
                        <c:v>-5.5116184536669834</c:v>
                      </c:pt>
                      <c:pt idx="221">
                        <c:v>-5.5116184536669834</c:v>
                      </c:pt>
                      <c:pt idx="222">
                        <c:v>54.408381546332862</c:v>
                      </c:pt>
                      <c:pt idx="223">
                        <c:v>54.408381546332862</c:v>
                      </c:pt>
                      <c:pt idx="224">
                        <c:v>54.408381546332862</c:v>
                      </c:pt>
                      <c:pt idx="225">
                        <c:v>24.88838154633288</c:v>
                      </c:pt>
                      <c:pt idx="226">
                        <c:v>24.88838154633288</c:v>
                      </c:pt>
                      <c:pt idx="227">
                        <c:v>44.248381546333007</c:v>
                      </c:pt>
                      <c:pt idx="228">
                        <c:v>44.248381546333007</c:v>
                      </c:pt>
                      <c:pt idx="229">
                        <c:v>44.248381546333007</c:v>
                      </c:pt>
                      <c:pt idx="230">
                        <c:v>63.898381546332871</c:v>
                      </c:pt>
                      <c:pt idx="231">
                        <c:v>63.898381546332871</c:v>
                      </c:pt>
                      <c:pt idx="232">
                        <c:v>63.898381546332871</c:v>
                      </c:pt>
                      <c:pt idx="233">
                        <c:v>63.898381546332871</c:v>
                      </c:pt>
                      <c:pt idx="234">
                        <c:v>126.29838154633296</c:v>
                      </c:pt>
                      <c:pt idx="235">
                        <c:v>82.868381546332898</c:v>
                      </c:pt>
                      <c:pt idx="236">
                        <c:v>168.66838154633285</c:v>
                      </c:pt>
                      <c:pt idx="237">
                        <c:v>168.66838154633285</c:v>
                      </c:pt>
                      <c:pt idx="238">
                        <c:v>168.66838154633285</c:v>
                      </c:pt>
                      <c:pt idx="239">
                        <c:v>168.66838154633285</c:v>
                      </c:pt>
                      <c:pt idx="240">
                        <c:v>168.66838154633285</c:v>
                      </c:pt>
                      <c:pt idx="241">
                        <c:v>347.91838154633274</c:v>
                      </c:pt>
                      <c:pt idx="242">
                        <c:v>347.91838154633274</c:v>
                      </c:pt>
                      <c:pt idx="243">
                        <c:v>336.66838154633274</c:v>
                      </c:pt>
                      <c:pt idx="244">
                        <c:v>336.66838154633274</c:v>
                      </c:pt>
                      <c:pt idx="245">
                        <c:v>342.51838154633288</c:v>
                      </c:pt>
                      <c:pt idx="246">
                        <c:v>338.21838154633292</c:v>
                      </c:pt>
                      <c:pt idx="247">
                        <c:v>315.81838154633283</c:v>
                      </c:pt>
                      <c:pt idx="248">
                        <c:v>280.51838154633288</c:v>
                      </c:pt>
                      <c:pt idx="249">
                        <c:v>201.31838154633283</c:v>
                      </c:pt>
                      <c:pt idx="250">
                        <c:v>344.11838154633278</c:v>
                      </c:pt>
                      <c:pt idx="251">
                        <c:v>344.11838154633278</c:v>
                      </c:pt>
                      <c:pt idx="252">
                        <c:v>344.11838154633278</c:v>
                      </c:pt>
                      <c:pt idx="253">
                        <c:v>438.61838154633278</c:v>
                      </c:pt>
                      <c:pt idx="254">
                        <c:v>415.57838154633259</c:v>
                      </c:pt>
                      <c:pt idx="255">
                        <c:v>442.29838154633239</c:v>
                      </c:pt>
                      <c:pt idx="256">
                        <c:v>442.29838154633239</c:v>
                      </c:pt>
                      <c:pt idx="257">
                        <c:v>442.29838154633239</c:v>
                      </c:pt>
                      <c:pt idx="258">
                        <c:v>442.29838154633239</c:v>
                      </c:pt>
                      <c:pt idx="259">
                        <c:v>356.69838154633248</c:v>
                      </c:pt>
                      <c:pt idx="260">
                        <c:v>338.87838154633255</c:v>
                      </c:pt>
                      <c:pt idx="261">
                        <c:v>319.19838154633248</c:v>
                      </c:pt>
                      <c:pt idx="262">
                        <c:v>361.89838154633276</c:v>
                      </c:pt>
                      <c:pt idx="263">
                        <c:v>361.89838154633276</c:v>
                      </c:pt>
                      <c:pt idx="264">
                        <c:v>365.63838154633277</c:v>
                      </c:pt>
                      <c:pt idx="265">
                        <c:v>311.15838154633275</c:v>
                      </c:pt>
                      <c:pt idx="266">
                        <c:v>311.15838154633275</c:v>
                      </c:pt>
                      <c:pt idx="267">
                        <c:v>310.73838154633268</c:v>
                      </c:pt>
                      <c:pt idx="268">
                        <c:v>300.97838154633268</c:v>
                      </c:pt>
                      <c:pt idx="269">
                        <c:v>365.41838154633274</c:v>
                      </c:pt>
                      <c:pt idx="270">
                        <c:v>393.49838154633267</c:v>
                      </c:pt>
                      <c:pt idx="271">
                        <c:v>450.82838154633259</c:v>
                      </c:pt>
                      <c:pt idx="272">
                        <c:v>447.22838154633268</c:v>
                      </c:pt>
                      <c:pt idx="273">
                        <c:v>447.22838154633268</c:v>
                      </c:pt>
                      <c:pt idx="274">
                        <c:v>421.97838154633268</c:v>
                      </c:pt>
                      <c:pt idx="275">
                        <c:v>506.12838154633255</c:v>
                      </c:pt>
                      <c:pt idx="276">
                        <c:v>485.24838154633267</c:v>
                      </c:pt>
                      <c:pt idx="277">
                        <c:v>485.24838154633267</c:v>
                      </c:pt>
                      <c:pt idx="278">
                        <c:v>560.64838154633253</c:v>
                      </c:pt>
                      <c:pt idx="279">
                        <c:v>580.64838154633253</c:v>
                      </c:pt>
                      <c:pt idx="280">
                        <c:v>580.64838154633253</c:v>
                      </c:pt>
                      <c:pt idx="281">
                        <c:v>580.64838154633253</c:v>
                      </c:pt>
                      <c:pt idx="282">
                        <c:v>582.84838154633258</c:v>
                      </c:pt>
                      <c:pt idx="283">
                        <c:v>512.14838154633276</c:v>
                      </c:pt>
                      <c:pt idx="284">
                        <c:v>512.14838154633276</c:v>
                      </c:pt>
                      <c:pt idx="285">
                        <c:v>416.74838154633267</c:v>
                      </c:pt>
                      <c:pt idx="286">
                        <c:v>416.74838154633267</c:v>
                      </c:pt>
                      <c:pt idx="287">
                        <c:v>335.61838154633256</c:v>
                      </c:pt>
                      <c:pt idx="288">
                        <c:v>335.61838154633256</c:v>
                      </c:pt>
                      <c:pt idx="289">
                        <c:v>369.51838154633242</c:v>
                      </c:pt>
                      <c:pt idx="290">
                        <c:v>369.51838154633242</c:v>
                      </c:pt>
                      <c:pt idx="291">
                        <c:v>444.51838154633242</c:v>
                      </c:pt>
                      <c:pt idx="292">
                        <c:v>418.76838154633242</c:v>
                      </c:pt>
                      <c:pt idx="293">
                        <c:v>418.76838154633242</c:v>
                      </c:pt>
                      <c:pt idx="294">
                        <c:v>289.80838154633238</c:v>
                      </c:pt>
                      <c:pt idx="295">
                        <c:v>289.80838154633238</c:v>
                      </c:pt>
                      <c:pt idx="296">
                        <c:v>261.31838154633238</c:v>
                      </c:pt>
                      <c:pt idx="297">
                        <c:v>261.31838154633238</c:v>
                      </c:pt>
                      <c:pt idx="298">
                        <c:v>210.11838154633233</c:v>
                      </c:pt>
                      <c:pt idx="299">
                        <c:v>210.11838154633233</c:v>
                      </c:pt>
                      <c:pt idx="300">
                        <c:v>210.11838154633233</c:v>
                      </c:pt>
                      <c:pt idx="301">
                        <c:v>210.11838154633233</c:v>
                      </c:pt>
                      <c:pt idx="302">
                        <c:v>202.73838154633222</c:v>
                      </c:pt>
                      <c:pt idx="303">
                        <c:v>202.73838154633222</c:v>
                      </c:pt>
                      <c:pt idx="304">
                        <c:v>202.73838154633222</c:v>
                      </c:pt>
                      <c:pt idx="305">
                        <c:v>202.73838154633222</c:v>
                      </c:pt>
                      <c:pt idx="306">
                        <c:v>202.73838154633222</c:v>
                      </c:pt>
                      <c:pt idx="307">
                        <c:v>202.73838154633222</c:v>
                      </c:pt>
                      <c:pt idx="308">
                        <c:v>225.07719317717942</c:v>
                      </c:pt>
                      <c:pt idx="309">
                        <c:v>225.07719317717942</c:v>
                      </c:pt>
                      <c:pt idx="310">
                        <c:v>341.47719317717952</c:v>
                      </c:pt>
                      <c:pt idx="311">
                        <c:v>395.65719317717958</c:v>
                      </c:pt>
                      <c:pt idx="312">
                        <c:v>379.00719317717949</c:v>
                      </c:pt>
                      <c:pt idx="313">
                        <c:v>379.00719317717949</c:v>
                      </c:pt>
                      <c:pt idx="314">
                        <c:v>325.10719317717951</c:v>
                      </c:pt>
                      <c:pt idx="315">
                        <c:v>268.85719317717951</c:v>
                      </c:pt>
                      <c:pt idx="316">
                        <c:v>268.85719317717951</c:v>
                      </c:pt>
                      <c:pt idx="317">
                        <c:v>268.85719317717951</c:v>
                      </c:pt>
                      <c:pt idx="318">
                        <c:v>268.85719317717951</c:v>
                      </c:pt>
                      <c:pt idx="319">
                        <c:v>268.85719317717951</c:v>
                      </c:pt>
                      <c:pt idx="320">
                        <c:v>397.51719317717937</c:v>
                      </c:pt>
                      <c:pt idx="321">
                        <c:v>397.51719317717937</c:v>
                      </c:pt>
                      <c:pt idx="322">
                        <c:v>397.51719317717937</c:v>
                      </c:pt>
                      <c:pt idx="323">
                        <c:v>397.51719317717937</c:v>
                      </c:pt>
                      <c:pt idx="324">
                        <c:v>248.95719317717942</c:v>
                      </c:pt>
                      <c:pt idx="325">
                        <c:v>248.95719317717942</c:v>
                      </c:pt>
                      <c:pt idx="326">
                        <c:v>113.20719317717942</c:v>
                      </c:pt>
                      <c:pt idx="327">
                        <c:v>113.20719317717942</c:v>
                      </c:pt>
                      <c:pt idx="328">
                        <c:v>113.20719317717942</c:v>
                      </c:pt>
                      <c:pt idx="329">
                        <c:v>113.20719317717942</c:v>
                      </c:pt>
                      <c:pt idx="330">
                        <c:v>274.15719317717947</c:v>
                      </c:pt>
                      <c:pt idx="331">
                        <c:v>274.15719317717947</c:v>
                      </c:pt>
                      <c:pt idx="332">
                        <c:v>274.15719317717947</c:v>
                      </c:pt>
                      <c:pt idx="333">
                        <c:v>274.15719317717947</c:v>
                      </c:pt>
                      <c:pt idx="334">
                        <c:v>274.15719317717947</c:v>
                      </c:pt>
                      <c:pt idx="335">
                        <c:v>274.15719317717947</c:v>
                      </c:pt>
                      <c:pt idx="336">
                        <c:v>274.15719317717947</c:v>
                      </c:pt>
                      <c:pt idx="337">
                        <c:v>315.55719317717956</c:v>
                      </c:pt>
                      <c:pt idx="338">
                        <c:v>315.55719317717956</c:v>
                      </c:pt>
                      <c:pt idx="339">
                        <c:v>315.55719317717956</c:v>
                      </c:pt>
                      <c:pt idx="340">
                        <c:v>315.55719317717956</c:v>
                      </c:pt>
                      <c:pt idx="341">
                        <c:v>315.55719317717956</c:v>
                      </c:pt>
                      <c:pt idx="342">
                        <c:v>298.75719317717983</c:v>
                      </c:pt>
                      <c:pt idx="343">
                        <c:v>298.75719317717983</c:v>
                      </c:pt>
                      <c:pt idx="344">
                        <c:v>298.75719317717983</c:v>
                      </c:pt>
                      <c:pt idx="345">
                        <c:v>298.75719317717983</c:v>
                      </c:pt>
                      <c:pt idx="346">
                        <c:v>305.25719317717983</c:v>
                      </c:pt>
                    </c:numCache>
                  </c:numRef>
                </c:val>
                <c:smooth val="0"/>
                <c:extLst xmlns:c15="http://schemas.microsoft.com/office/drawing/2012/chart">
                  <c:ext xmlns:c16="http://schemas.microsoft.com/office/drawing/2014/chart" uri="{C3380CC4-5D6E-409C-BE32-E72D297353CC}">
                    <c16:uniqueId val="{00000006-77EB-4CF6-A82F-87CE09EC25EC}"/>
                  </c:ext>
                </c:extLst>
              </c15:ser>
            </c15:filteredLineSeries>
          </c:ext>
        </c:extLst>
      </c:lineChart>
      <c:catAx>
        <c:axId val="147683023"/>
        <c:scaling>
          <c:orientation val="minMax"/>
        </c:scaling>
        <c:delete val="0"/>
        <c:axPos val="b"/>
        <c:majorGridlines>
          <c:spPr>
            <a:ln w="9525" cap="flat" cmpd="sng" algn="ctr">
              <a:solidFill>
                <a:schemeClr val="tx1">
                  <a:lumMod val="75000"/>
                  <a:lumOff val="25000"/>
                </a:schemeClr>
              </a:solidFill>
              <a:prstDash val="dash"/>
              <a:round/>
            </a:ln>
            <a:effectLst/>
          </c:spPr>
        </c:majorGridlines>
        <c:majorTickMark val="none"/>
        <c:minorTickMark val="none"/>
        <c:tickLblPos val="low"/>
        <c:spPr>
          <a:noFill/>
          <a:ln w="12700" cap="flat" cmpd="sng" algn="ctr">
            <a:solidFill>
              <a:sysClr val="windowText" lastClr="000000"/>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6645279"/>
        <c:crosses val="autoZero"/>
        <c:auto val="1"/>
        <c:lblAlgn val="ctr"/>
        <c:lblOffset val="100"/>
        <c:tickLblSkip val="25"/>
        <c:tickMarkSkip val="25"/>
        <c:noMultiLvlLbl val="0"/>
      </c:catAx>
      <c:valAx>
        <c:axId val="146645279"/>
        <c:scaling>
          <c:orientation val="minMax"/>
          <c:max val="10"/>
          <c:min val="-5"/>
        </c:scaling>
        <c:delete val="0"/>
        <c:axPos val="r"/>
        <c:majorGridlines>
          <c:spPr>
            <a:ln w="9525" cap="flat" cmpd="sng" algn="ctr">
              <a:solidFill>
                <a:schemeClr val="tx1">
                  <a:lumMod val="75000"/>
                  <a:lumOff val="25000"/>
                </a:schemeClr>
              </a:solidFill>
              <a:prstDash val="dash"/>
              <a:round/>
            </a:ln>
            <a:effectLst/>
          </c:spPr>
        </c:majorGridlines>
        <c:numFmt formatCode="0" sourceLinked="0"/>
        <c:majorTickMark val="none"/>
        <c:minorTickMark val="none"/>
        <c:tickLblPos val="high"/>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7683023"/>
        <c:crosses val="max"/>
        <c:crossBetween val="between"/>
      </c:valAx>
      <c:spPr>
        <a:solidFill>
          <a:schemeClr val="tx1">
            <a:lumMod val="65000"/>
            <a:lumOff val="35000"/>
          </a:schemeClr>
        </a:solidFill>
        <a:ln>
          <a:solidFill>
            <a:sysClr val="windowText" lastClr="000000"/>
          </a:solidFill>
        </a:ln>
        <a:effectLst/>
      </c:spPr>
    </c:plotArea>
    <c:legend>
      <c:legendPos val="t"/>
      <c:layout>
        <c:manualLayout>
          <c:xMode val="edge"/>
          <c:yMode val="edge"/>
          <c:x val="0.39634286005511454"/>
          <c:y val="1.2316999395039325E-2"/>
          <c:w val="0.57612618810998151"/>
          <c:h val="4.9614968727820091E-2"/>
        </c:manualLayout>
      </c:layout>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legend>
    <c:plotVisOnly val="0"/>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accent3">
                    <a:lumMod val="75000"/>
                  </a:schemeClr>
                </a:solidFill>
                <a:latin typeface="+mn-lt"/>
                <a:ea typeface="+mn-ea"/>
                <a:cs typeface="+mn-cs"/>
              </a:defRPr>
            </a:pPr>
            <a:r>
              <a:rPr lang="en-US" sz="2000" b="1">
                <a:solidFill>
                  <a:schemeClr val="accent3">
                    <a:lumMod val="75000"/>
                  </a:schemeClr>
                </a:solidFill>
              </a:rPr>
              <a:t>The Three Tiers (H-INS)</a:t>
            </a:r>
          </a:p>
        </c:rich>
      </c:tx>
      <c:layout>
        <c:manualLayout>
          <c:xMode val="edge"/>
          <c:yMode val="edge"/>
          <c:x val="3.2398075240594924E-2"/>
          <c:y val="2.4198427102238356E-3"/>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accent3">
                  <a:lumMod val="75000"/>
                </a:schemeClr>
              </a:solidFill>
              <a:latin typeface="+mn-lt"/>
              <a:ea typeface="+mn-ea"/>
              <a:cs typeface="+mn-cs"/>
            </a:defRPr>
          </a:pPr>
          <a:endParaRPr lang="en-US"/>
        </a:p>
      </c:txPr>
    </c:title>
    <c:autoTitleDeleted val="0"/>
    <c:plotArea>
      <c:layout>
        <c:manualLayout>
          <c:layoutTarget val="inner"/>
          <c:xMode val="edge"/>
          <c:yMode val="edge"/>
          <c:x val="1.0171058714748035E-2"/>
          <c:y val="7.7350558040499021E-2"/>
          <c:w val="0.95283482768537431"/>
          <c:h val="0.86018548951798435"/>
        </c:manualLayout>
      </c:layout>
      <c:lineChart>
        <c:grouping val="standard"/>
        <c:varyColors val="0"/>
        <c:ser>
          <c:idx val="0"/>
          <c:order val="0"/>
          <c:tx>
            <c:v>Up</c:v>
          </c:tx>
          <c:spPr>
            <a:ln w="28575" cap="rnd">
              <a:solidFill>
                <a:schemeClr val="accent6">
                  <a:lumMod val="75000"/>
                </a:schemeClr>
              </a:solidFill>
              <a:prstDash val="solid"/>
              <a:round/>
            </a:ln>
            <a:effectLst/>
          </c:spPr>
          <c:marker>
            <c:symbol val="none"/>
          </c:marker>
          <c:val>
            <c:numRef>
              <c:f>'2025-Q2'!$GD$4:$GD$422</c:f>
              <c:numCache>
                <c:formatCode>0.00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numCache>
            </c:numRef>
          </c:val>
          <c:smooth val="1"/>
          <c:extLst>
            <c:ext xmlns:c16="http://schemas.microsoft.com/office/drawing/2014/chart" uri="{C3380CC4-5D6E-409C-BE32-E72D297353CC}">
              <c16:uniqueId val="{00000000-EEC5-400F-A636-203E78EE28CF}"/>
            </c:ext>
          </c:extLst>
        </c:ser>
        <c:ser>
          <c:idx val="1"/>
          <c:order val="2"/>
          <c:tx>
            <c:v>Dwn</c:v>
          </c:tx>
          <c:spPr>
            <a:ln w="28575" cap="rnd">
              <a:solidFill>
                <a:schemeClr val="accent2"/>
              </a:solidFill>
              <a:prstDash val="solid"/>
              <a:round/>
            </a:ln>
            <a:effectLst/>
          </c:spPr>
          <c:marker>
            <c:symbol val="none"/>
          </c:marker>
          <c:val>
            <c:numRef>
              <c:f>'2025-Q2'!$GF$4:$GF$422</c:f>
              <c:numCache>
                <c:formatCode>0.00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numCache>
            </c:numRef>
          </c:val>
          <c:smooth val="1"/>
          <c:extLst>
            <c:ext xmlns:c16="http://schemas.microsoft.com/office/drawing/2014/chart" uri="{C3380CC4-5D6E-409C-BE32-E72D297353CC}">
              <c16:uniqueId val="{00000001-EEC5-400F-A636-203E78EE28CF}"/>
            </c:ext>
          </c:extLst>
        </c:ser>
        <c:ser>
          <c:idx val="2"/>
          <c:order val="3"/>
          <c:tx>
            <c:v>SW</c:v>
          </c:tx>
          <c:spPr>
            <a:ln w="28575" cap="rnd">
              <a:solidFill>
                <a:srgbClr val="0070C0"/>
              </a:solidFill>
              <a:prstDash val="solid"/>
              <a:round/>
            </a:ln>
            <a:effectLst/>
          </c:spPr>
          <c:marker>
            <c:symbol val="none"/>
          </c:marker>
          <c:val>
            <c:numRef>
              <c:f>'2025-Q2'!$GH$4:$GH$422</c:f>
              <c:numCache>
                <c:formatCode>0.00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-2.9368362277223206</c:v>
                </c:pt>
                <c:pt idx="26">
                  <c:v>-2.9368362277223206</c:v>
                </c:pt>
                <c:pt idx="27">
                  <c:v>-2.9368362277223206</c:v>
                </c:pt>
                <c:pt idx="28">
                  <c:v>-2.9368362277223206</c:v>
                </c:pt>
                <c:pt idx="29">
                  <c:v>-2.9368362277223206</c:v>
                </c:pt>
                <c:pt idx="30">
                  <c:v>-2.9368362277223206</c:v>
                </c:pt>
                <c:pt idx="31">
                  <c:v>-2.9368362277223206</c:v>
                </c:pt>
                <c:pt idx="32">
                  <c:v>-2.9368362277223206</c:v>
                </c:pt>
                <c:pt idx="33">
                  <c:v>-2.9368362277223206</c:v>
                </c:pt>
                <c:pt idx="34">
                  <c:v>-2.9368362277223206</c:v>
                </c:pt>
                <c:pt idx="35">
                  <c:v>-2.9368362277223206</c:v>
                </c:pt>
                <c:pt idx="36">
                  <c:v>-2.9368362277223206</c:v>
                </c:pt>
                <c:pt idx="37">
                  <c:v>-2.9368362277223206</c:v>
                </c:pt>
                <c:pt idx="38">
                  <c:v>-2.9368362277223206</c:v>
                </c:pt>
                <c:pt idx="39">
                  <c:v>-2.9368362277223206</c:v>
                </c:pt>
                <c:pt idx="40">
                  <c:v>-2.9368362277223206</c:v>
                </c:pt>
                <c:pt idx="41">
                  <c:v>-2.9368362277223206</c:v>
                </c:pt>
                <c:pt idx="42">
                  <c:v>-2.9368362277223206</c:v>
                </c:pt>
                <c:pt idx="43">
                  <c:v>-2.9368362277223206</c:v>
                </c:pt>
                <c:pt idx="44">
                  <c:v>-2.9368362277223206</c:v>
                </c:pt>
                <c:pt idx="45">
                  <c:v>-2.9368362277223206</c:v>
                </c:pt>
                <c:pt idx="46">
                  <c:v>-2.9368362277223206</c:v>
                </c:pt>
                <c:pt idx="47">
                  <c:v>-2.9368362277223206</c:v>
                </c:pt>
                <c:pt idx="48">
                  <c:v>-2.9368362277223206</c:v>
                </c:pt>
                <c:pt idx="49">
                  <c:v>-2.9368362277223206</c:v>
                </c:pt>
                <c:pt idx="50">
                  <c:v>-2.9368362277223206</c:v>
                </c:pt>
                <c:pt idx="51">
                  <c:v>-2.9368362277223206</c:v>
                </c:pt>
                <c:pt idx="52">
                  <c:v>-2.9368362277223206</c:v>
                </c:pt>
                <c:pt idx="53">
                  <c:v>-2.9368362277223206</c:v>
                </c:pt>
                <c:pt idx="54">
                  <c:v>-2.9368362277223206</c:v>
                </c:pt>
                <c:pt idx="55">
                  <c:v>-2.9368362277223206</c:v>
                </c:pt>
                <c:pt idx="56">
                  <c:v>-2.9368362277223206</c:v>
                </c:pt>
                <c:pt idx="57">
                  <c:v>-2.9368362277223206</c:v>
                </c:pt>
                <c:pt idx="58">
                  <c:v>-2.9368362277223206</c:v>
                </c:pt>
                <c:pt idx="59">
                  <c:v>-2.9368362277223206</c:v>
                </c:pt>
                <c:pt idx="60">
                  <c:v>-2.9368362277223206</c:v>
                </c:pt>
                <c:pt idx="61">
                  <c:v>-2.9368362277223206</c:v>
                </c:pt>
                <c:pt idx="62">
                  <c:v>-2.9368362277223206</c:v>
                </c:pt>
                <c:pt idx="63">
                  <c:v>-2.9368362277223206</c:v>
                </c:pt>
                <c:pt idx="64">
                  <c:v>-2.9368362277223206</c:v>
                </c:pt>
                <c:pt idx="65">
                  <c:v>-2.9368362277223206</c:v>
                </c:pt>
                <c:pt idx="66">
                  <c:v>-2.9368362277223206</c:v>
                </c:pt>
                <c:pt idx="67">
                  <c:v>-2.9368362277223206</c:v>
                </c:pt>
                <c:pt idx="68">
                  <c:v>-2.9368362277223206</c:v>
                </c:pt>
                <c:pt idx="69">
                  <c:v>-2.9368362277223206</c:v>
                </c:pt>
                <c:pt idx="70">
                  <c:v>-2.9368362277223206</c:v>
                </c:pt>
                <c:pt idx="71">
                  <c:v>-2.9368362277223206</c:v>
                </c:pt>
                <c:pt idx="72">
                  <c:v>-2.9368362277223206</c:v>
                </c:pt>
                <c:pt idx="73">
                  <c:v>-2.9368362277223206</c:v>
                </c:pt>
                <c:pt idx="74">
                  <c:v>-2.9368362277223206</c:v>
                </c:pt>
                <c:pt idx="75">
                  <c:v>-2.9368362277223206</c:v>
                </c:pt>
                <c:pt idx="76">
                  <c:v>-2.9368362277223206</c:v>
                </c:pt>
                <c:pt idx="77">
                  <c:v>-2.9368362277223206</c:v>
                </c:pt>
                <c:pt idx="78">
                  <c:v>-2.9368362277223206</c:v>
                </c:pt>
                <c:pt idx="79">
                  <c:v>-2.9368362277223206</c:v>
                </c:pt>
                <c:pt idx="80">
                  <c:v>-2.9368362277223206</c:v>
                </c:pt>
                <c:pt idx="81">
                  <c:v>-2.9368362277223206</c:v>
                </c:pt>
                <c:pt idx="82">
                  <c:v>-2.9368362277223206</c:v>
                </c:pt>
                <c:pt idx="83">
                  <c:v>-2.9368362277223206</c:v>
                </c:pt>
                <c:pt idx="84">
                  <c:v>-2.9368362277223206</c:v>
                </c:pt>
                <c:pt idx="85">
                  <c:v>-2.9368362277223206</c:v>
                </c:pt>
                <c:pt idx="86">
                  <c:v>-2.9368362277223206</c:v>
                </c:pt>
                <c:pt idx="87">
                  <c:v>-2.9368362277223206</c:v>
                </c:pt>
                <c:pt idx="88">
                  <c:v>-2.9368362277223206</c:v>
                </c:pt>
                <c:pt idx="89">
                  <c:v>-2.9368362277223206</c:v>
                </c:pt>
                <c:pt idx="90">
                  <c:v>-2.9368362277223206</c:v>
                </c:pt>
                <c:pt idx="91">
                  <c:v>-2.9368362277223206</c:v>
                </c:pt>
                <c:pt idx="92">
                  <c:v>-2.9368362277223206</c:v>
                </c:pt>
                <c:pt idx="93">
                  <c:v>-2.9368362277223206</c:v>
                </c:pt>
                <c:pt idx="94">
                  <c:v>-2.9368362277223206</c:v>
                </c:pt>
                <c:pt idx="95">
                  <c:v>-2.9368362277223206</c:v>
                </c:pt>
                <c:pt idx="96">
                  <c:v>-2.9368362277223206</c:v>
                </c:pt>
                <c:pt idx="97">
                  <c:v>-2.9368362277223206</c:v>
                </c:pt>
                <c:pt idx="98">
                  <c:v>-2.9368362277223206</c:v>
                </c:pt>
                <c:pt idx="99">
                  <c:v>-2.9368362277223206</c:v>
                </c:pt>
                <c:pt idx="100">
                  <c:v>-2.9368362277223206</c:v>
                </c:pt>
                <c:pt idx="101">
                  <c:v>-2.9368362277223206</c:v>
                </c:pt>
                <c:pt idx="102">
                  <c:v>-2.9368362277223206</c:v>
                </c:pt>
                <c:pt idx="103">
                  <c:v>-2.9368362277223206</c:v>
                </c:pt>
                <c:pt idx="104">
                  <c:v>-2.9368362277223206</c:v>
                </c:pt>
                <c:pt idx="105">
                  <c:v>-2.9368362277223206</c:v>
                </c:pt>
                <c:pt idx="106">
                  <c:v>-2.9368362277223206</c:v>
                </c:pt>
                <c:pt idx="107">
                  <c:v>-2.9368362277223206</c:v>
                </c:pt>
                <c:pt idx="108">
                  <c:v>-2.9368362277223206</c:v>
                </c:pt>
                <c:pt idx="109">
                  <c:v>-2.9368362277223206</c:v>
                </c:pt>
                <c:pt idx="110">
                  <c:v>-2.9368362277223206</c:v>
                </c:pt>
                <c:pt idx="111">
                  <c:v>-2.9368362277223206</c:v>
                </c:pt>
                <c:pt idx="112">
                  <c:v>-2.9368362277223206</c:v>
                </c:pt>
                <c:pt idx="113">
                  <c:v>-2.9368362277223206</c:v>
                </c:pt>
                <c:pt idx="114">
                  <c:v>-2.9368362277223206</c:v>
                </c:pt>
                <c:pt idx="115">
                  <c:v>-2.9368362277223206</c:v>
                </c:pt>
                <c:pt idx="116">
                  <c:v>-2.9368362277223206</c:v>
                </c:pt>
                <c:pt idx="117">
                  <c:v>-2.9368362277223206</c:v>
                </c:pt>
                <c:pt idx="118">
                  <c:v>-2.9368362277223206</c:v>
                </c:pt>
                <c:pt idx="119">
                  <c:v>-2.9368362277223206</c:v>
                </c:pt>
                <c:pt idx="120">
                  <c:v>-2.9368362277223206</c:v>
                </c:pt>
                <c:pt idx="121">
                  <c:v>-2.9368362277223206</c:v>
                </c:pt>
                <c:pt idx="122">
                  <c:v>-2.9368362277223206</c:v>
                </c:pt>
                <c:pt idx="123">
                  <c:v>-2.9368362277223206</c:v>
                </c:pt>
                <c:pt idx="124">
                  <c:v>-2.9368362277223206</c:v>
                </c:pt>
                <c:pt idx="125">
                  <c:v>-2.9368362277223206</c:v>
                </c:pt>
                <c:pt idx="126">
                  <c:v>-2.9368362277223206</c:v>
                </c:pt>
                <c:pt idx="127">
                  <c:v>-2.9368362277223206</c:v>
                </c:pt>
                <c:pt idx="128">
                  <c:v>-2.9368362277223206</c:v>
                </c:pt>
                <c:pt idx="129">
                  <c:v>-2.9368362277223206</c:v>
                </c:pt>
                <c:pt idx="130">
                  <c:v>-2.9368362277223206</c:v>
                </c:pt>
                <c:pt idx="131">
                  <c:v>-2.9368362277223206</c:v>
                </c:pt>
                <c:pt idx="132">
                  <c:v>-2.9368362277223206</c:v>
                </c:pt>
                <c:pt idx="133">
                  <c:v>-2.9368362277223206</c:v>
                </c:pt>
                <c:pt idx="134">
                  <c:v>-2.9368362277223206</c:v>
                </c:pt>
                <c:pt idx="135">
                  <c:v>-2.9368362277223206</c:v>
                </c:pt>
                <c:pt idx="136">
                  <c:v>-2.9368362277223206</c:v>
                </c:pt>
                <c:pt idx="137">
                  <c:v>-2.9368362277223206</c:v>
                </c:pt>
                <c:pt idx="138">
                  <c:v>-2.9368362277223206</c:v>
                </c:pt>
                <c:pt idx="139">
                  <c:v>-2.9368362277223206</c:v>
                </c:pt>
                <c:pt idx="140">
                  <c:v>-2.9368362277223206</c:v>
                </c:pt>
                <c:pt idx="141">
                  <c:v>-2.9368362277223206</c:v>
                </c:pt>
                <c:pt idx="142">
                  <c:v>-2.9368362277223206</c:v>
                </c:pt>
                <c:pt idx="143">
                  <c:v>-2.9368362277223206</c:v>
                </c:pt>
                <c:pt idx="144">
                  <c:v>-2.9368362277223206</c:v>
                </c:pt>
                <c:pt idx="145">
                  <c:v>-2.9368362277223206</c:v>
                </c:pt>
                <c:pt idx="146">
                  <c:v>-2.9368362277223206</c:v>
                </c:pt>
                <c:pt idx="147">
                  <c:v>-2.9368362277223206</c:v>
                </c:pt>
                <c:pt idx="148">
                  <c:v>-2.9368362277223206</c:v>
                </c:pt>
                <c:pt idx="149">
                  <c:v>-2.9368362277223206</c:v>
                </c:pt>
                <c:pt idx="150">
                  <c:v>-2.9368362277223206</c:v>
                </c:pt>
                <c:pt idx="151">
                  <c:v>-2.9368362277223206</c:v>
                </c:pt>
                <c:pt idx="152">
                  <c:v>-2.9368362277223206</c:v>
                </c:pt>
                <c:pt idx="153">
                  <c:v>-2.9368362277223206</c:v>
                </c:pt>
                <c:pt idx="154">
                  <c:v>-2.9368362277223206</c:v>
                </c:pt>
                <c:pt idx="155">
                  <c:v>-2.9368362277223206</c:v>
                </c:pt>
                <c:pt idx="156">
                  <c:v>-2.9368362277223206</c:v>
                </c:pt>
                <c:pt idx="157">
                  <c:v>-2.9368362277223206</c:v>
                </c:pt>
                <c:pt idx="158">
                  <c:v>-2.9368362277223206</c:v>
                </c:pt>
                <c:pt idx="159">
                  <c:v>-2.9368362277223206</c:v>
                </c:pt>
                <c:pt idx="160">
                  <c:v>-2.9368362277223206</c:v>
                </c:pt>
                <c:pt idx="161">
                  <c:v>-2.9368362277223206</c:v>
                </c:pt>
                <c:pt idx="162">
                  <c:v>-2.9368362277223206</c:v>
                </c:pt>
                <c:pt idx="163">
                  <c:v>-2.9368362277223206</c:v>
                </c:pt>
                <c:pt idx="164">
                  <c:v>-2.9368362277223206</c:v>
                </c:pt>
                <c:pt idx="165">
                  <c:v>-2.9368362277223206</c:v>
                </c:pt>
                <c:pt idx="166">
                  <c:v>-2.9368362277223206</c:v>
                </c:pt>
                <c:pt idx="167">
                  <c:v>-2.9368362277223206</c:v>
                </c:pt>
                <c:pt idx="168">
                  <c:v>-2.9368362277223206</c:v>
                </c:pt>
                <c:pt idx="169">
                  <c:v>-2.9368362277223206</c:v>
                </c:pt>
                <c:pt idx="170">
                  <c:v>-2.9368362277223206</c:v>
                </c:pt>
                <c:pt idx="171">
                  <c:v>-2.9368362277223206</c:v>
                </c:pt>
                <c:pt idx="172">
                  <c:v>-2.9368362277223206</c:v>
                </c:pt>
                <c:pt idx="173">
                  <c:v>-2.9368362277223206</c:v>
                </c:pt>
                <c:pt idx="174">
                  <c:v>-2.9368362277223206</c:v>
                </c:pt>
                <c:pt idx="175">
                  <c:v>-2.9368362277223206</c:v>
                </c:pt>
                <c:pt idx="176">
                  <c:v>-2.9368362277223206</c:v>
                </c:pt>
                <c:pt idx="177">
                  <c:v>-2.9368362277223206</c:v>
                </c:pt>
                <c:pt idx="178">
                  <c:v>-2.9368362277223206</c:v>
                </c:pt>
                <c:pt idx="179">
                  <c:v>-2.9368362277223206</c:v>
                </c:pt>
                <c:pt idx="180">
                  <c:v>-2.9368362277223206</c:v>
                </c:pt>
                <c:pt idx="181">
                  <c:v>-2.9368362277223206</c:v>
                </c:pt>
                <c:pt idx="182">
                  <c:v>-2.9368362277223206</c:v>
                </c:pt>
                <c:pt idx="183">
                  <c:v>-2.9368362277223206</c:v>
                </c:pt>
                <c:pt idx="184">
                  <c:v>-2.9368362277223206</c:v>
                </c:pt>
                <c:pt idx="185">
                  <c:v>-2.9368362277223206</c:v>
                </c:pt>
                <c:pt idx="186">
                  <c:v>-2.9368362277223206</c:v>
                </c:pt>
                <c:pt idx="187">
                  <c:v>-2.9368362277223206</c:v>
                </c:pt>
                <c:pt idx="188">
                  <c:v>-2.9368362277223206</c:v>
                </c:pt>
                <c:pt idx="189">
                  <c:v>-2.9368362277223206</c:v>
                </c:pt>
                <c:pt idx="190">
                  <c:v>-2.9368362277223206</c:v>
                </c:pt>
                <c:pt idx="191">
                  <c:v>-2.9368362277223206</c:v>
                </c:pt>
                <c:pt idx="192">
                  <c:v>-2.9368362277223206</c:v>
                </c:pt>
                <c:pt idx="193">
                  <c:v>-2.9368362277223206</c:v>
                </c:pt>
                <c:pt idx="194">
                  <c:v>-2.9368362277223206</c:v>
                </c:pt>
                <c:pt idx="195">
                  <c:v>-2.9368362277223206</c:v>
                </c:pt>
                <c:pt idx="196">
                  <c:v>-2.9368362277223206</c:v>
                </c:pt>
                <c:pt idx="197">
                  <c:v>-2.9368362277223206</c:v>
                </c:pt>
                <c:pt idx="198">
                  <c:v>-2.9368362277223206</c:v>
                </c:pt>
                <c:pt idx="199">
                  <c:v>-2.9368362277223206</c:v>
                </c:pt>
                <c:pt idx="200">
                  <c:v>-2.9368362277223206</c:v>
                </c:pt>
                <c:pt idx="201">
                  <c:v>-2.9368362277223206</c:v>
                </c:pt>
                <c:pt idx="202">
                  <c:v>-2.9368362277223206</c:v>
                </c:pt>
                <c:pt idx="203">
                  <c:v>-2.9368362277223206</c:v>
                </c:pt>
                <c:pt idx="204">
                  <c:v>-2.9368362277223206</c:v>
                </c:pt>
                <c:pt idx="205">
                  <c:v>-2.9368362277223206</c:v>
                </c:pt>
                <c:pt idx="206">
                  <c:v>-2.9368362277223206</c:v>
                </c:pt>
                <c:pt idx="207">
                  <c:v>-2.9368362277223206</c:v>
                </c:pt>
                <c:pt idx="208">
                  <c:v>-2.9368362277223206</c:v>
                </c:pt>
                <c:pt idx="209">
                  <c:v>-2.9368362277223206</c:v>
                </c:pt>
                <c:pt idx="210">
                  <c:v>-2.9368362277223206</c:v>
                </c:pt>
                <c:pt idx="211">
                  <c:v>-2.9368362277223206</c:v>
                </c:pt>
                <c:pt idx="212">
                  <c:v>-2.9368362277223206</c:v>
                </c:pt>
                <c:pt idx="213">
                  <c:v>-2.9368362277223206</c:v>
                </c:pt>
                <c:pt idx="214">
                  <c:v>-2.9368362277223206</c:v>
                </c:pt>
                <c:pt idx="215">
                  <c:v>-2.9368362277223206</c:v>
                </c:pt>
                <c:pt idx="216">
                  <c:v>-2.9368362277223206</c:v>
                </c:pt>
                <c:pt idx="217">
                  <c:v>-2.9368362277223206</c:v>
                </c:pt>
                <c:pt idx="218">
                  <c:v>-2.9368362277223206</c:v>
                </c:pt>
                <c:pt idx="219">
                  <c:v>-2.9368362277223206</c:v>
                </c:pt>
                <c:pt idx="220">
                  <c:v>-2.9368362277223206</c:v>
                </c:pt>
                <c:pt idx="221">
                  <c:v>-2.9368362277223206</c:v>
                </c:pt>
                <c:pt idx="222">
                  <c:v>-2.9368362277223206</c:v>
                </c:pt>
                <c:pt idx="223">
                  <c:v>-2.9368362277223206</c:v>
                </c:pt>
                <c:pt idx="224">
                  <c:v>-2.9368362277223206</c:v>
                </c:pt>
                <c:pt idx="225">
                  <c:v>-2.9368362277223206</c:v>
                </c:pt>
                <c:pt idx="226">
                  <c:v>-2.9368362277223206</c:v>
                </c:pt>
                <c:pt idx="227">
                  <c:v>-2.9368362277223206</c:v>
                </c:pt>
                <c:pt idx="228">
                  <c:v>-2.9368362277223206</c:v>
                </c:pt>
                <c:pt idx="229">
                  <c:v>-2.9368362277223206</c:v>
                </c:pt>
                <c:pt idx="230">
                  <c:v>-2.9368362277223206</c:v>
                </c:pt>
                <c:pt idx="231">
                  <c:v>-2.9368362277223206</c:v>
                </c:pt>
                <c:pt idx="232">
                  <c:v>-2.9368362277223206</c:v>
                </c:pt>
                <c:pt idx="233">
                  <c:v>-2.9368362277223206</c:v>
                </c:pt>
                <c:pt idx="234">
                  <c:v>-2.9368362277223206</c:v>
                </c:pt>
                <c:pt idx="235">
                  <c:v>-2.9368362277223206</c:v>
                </c:pt>
                <c:pt idx="236">
                  <c:v>-2.9368362277223206</c:v>
                </c:pt>
                <c:pt idx="237">
                  <c:v>-2.9368362277223206</c:v>
                </c:pt>
                <c:pt idx="238">
                  <c:v>-2.9368362277223206</c:v>
                </c:pt>
                <c:pt idx="239">
                  <c:v>-2.9368362277223206</c:v>
                </c:pt>
                <c:pt idx="240">
                  <c:v>-2.9368362277223206</c:v>
                </c:pt>
                <c:pt idx="241">
                  <c:v>-2.9368362277223206</c:v>
                </c:pt>
                <c:pt idx="242">
                  <c:v>-2.9368362277223206</c:v>
                </c:pt>
                <c:pt idx="243">
                  <c:v>-2.9368362277223206</c:v>
                </c:pt>
                <c:pt idx="244">
                  <c:v>-2.9368362277223206</c:v>
                </c:pt>
                <c:pt idx="245">
                  <c:v>-2.9368362277223206</c:v>
                </c:pt>
                <c:pt idx="246">
                  <c:v>-2.9368362277223206</c:v>
                </c:pt>
                <c:pt idx="247">
                  <c:v>-2.9368362277223206</c:v>
                </c:pt>
                <c:pt idx="248">
                  <c:v>-2.9368362277223206</c:v>
                </c:pt>
                <c:pt idx="249">
                  <c:v>-2.9368362277223206</c:v>
                </c:pt>
                <c:pt idx="250">
                  <c:v>-2.9368362277223206</c:v>
                </c:pt>
                <c:pt idx="251">
                  <c:v>-2.9368362277223206</c:v>
                </c:pt>
                <c:pt idx="252">
                  <c:v>-2.9368362277223206</c:v>
                </c:pt>
                <c:pt idx="253">
                  <c:v>-2.9368362277223206</c:v>
                </c:pt>
                <c:pt idx="254">
                  <c:v>-2.9368362277223206</c:v>
                </c:pt>
                <c:pt idx="255">
                  <c:v>-2.9368362277223206</c:v>
                </c:pt>
                <c:pt idx="256">
                  <c:v>-2.9368362277223206</c:v>
                </c:pt>
                <c:pt idx="257">
                  <c:v>-2.9368362277223206</c:v>
                </c:pt>
                <c:pt idx="258">
                  <c:v>-2.9368362277223206</c:v>
                </c:pt>
                <c:pt idx="259">
                  <c:v>-2.9368362277223206</c:v>
                </c:pt>
                <c:pt idx="260">
                  <c:v>-2.9368362277223206</c:v>
                </c:pt>
                <c:pt idx="261">
                  <c:v>-2.9368362277223206</c:v>
                </c:pt>
                <c:pt idx="262">
                  <c:v>-2.9368362277223206</c:v>
                </c:pt>
                <c:pt idx="263">
                  <c:v>-2.9368362277223206</c:v>
                </c:pt>
                <c:pt idx="264">
                  <c:v>-2.9368362277223206</c:v>
                </c:pt>
                <c:pt idx="265">
                  <c:v>-2.9368362277223206</c:v>
                </c:pt>
                <c:pt idx="266">
                  <c:v>-2.9368362277223206</c:v>
                </c:pt>
                <c:pt idx="267">
                  <c:v>-2.9368362277223206</c:v>
                </c:pt>
                <c:pt idx="268">
                  <c:v>-2.9368362277223206</c:v>
                </c:pt>
                <c:pt idx="269">
                  <c:v>-2.9368362277223206</c:v>
                </c:pt>
                <c:pt idx="270">
                  <c:v>-2.9368362277223206</c:v>
                </c:pt>
                <c:pt idx="271">
                  <c:v>-2.9368362277223206</c:v>
                </c:pt>
                <c:pt idx="272">
                  <c:v>-2.9368362277223206</c:v>
                </c:pt>
                <c:pt idx="273">
                  <c:v>-2.9368362277223206</c:v>
                </c:pt>
                <c:pt idx="274">
                  <c:v>-2.9368362277223206</c:v>
                </c:pt>
                <c:pt idx="275">
                  <c:v>-2.9368362277223206</c:v>
                </c:pt>
                <c:pt idx="276">
                  <c:v>-2.9368362277223206</c:v>
                </c:pt>
                <c:pt idx="277">
                  <c:v>-2.9368362277223206</c:v>
                </c:pt>
                <c:pt idx="278">
                  <c:v>-2.9368362277223206</c:v>
                </c:pt>
                <c:pt idx="279">
                  <c:v>-2.9368362277223206</c:v>
                </c:pt>
                <c:pt idx="280">
                  <c:v>-2.9368362277223206</c:v>
                </c:pt>
                <c:pt idx="281">
                  <c:v>-2.9368362277223206</c:v>
                </c:pt>
                <c:pt idx="282">
                  <c:v>-2.9368362277223206</c:v>
                </c:pt>
                <c:pt idx="283">
                  <c:v>-2.9368362277223206</c:v>
                </c:pt>
                <c:pt idx="284">
                  <c:v>-2.9368362277223206</c:v>
                </c:pt>
                <c:pt idx="285">
                  <c:v>-2.9368362277223206</c:v>
                </c:pt>
                <c:pt idx="286">
                  <c:v>-2.9368362277223206</c:v>
                </c:pt>
                <c:pt idx="287">
                  <c:v>-2.9368362277223206</c:v>
                </c:pt>
                <c:pt idx="288">
                  <c:v>-2.9368362277223206</c:v>
                </c:pt>
                <c:pt idx="289">
                  <c:v>-2.9368362277223206</c:v>
                </c:pt>
                <c:pt idx="290">
                  <c:v>-2.9368362277223206</c:v>
                </c:pt>
                <c:pt idx="291">
                  <c:v>-2.9368362277223206</c:v>
                </c:pt>
                <c:pt idx="292">
                  <c:v>-2.9368362277223206</c:v>
                </c:pt>
                <c:pt idx="293">
                  <c:v>-2.9368362277223206</c:v>
                </c:pt>
                <c:pt idx="294">
                  <c:v>-2.9368362277223206</c:v>
                </c:pt>
                <c:pt idx="295">
                  <c:v>-2.9368362277223206</c:v>
                </c:pt>
                <c:pt idx="296">
                  <c:v>-2.9368362277223206</c:v>
                </c:pt>
                <c:pt idx="297">
                  <c:v>-2.9368362277223206</c:v>
                </c:pt>
                <c:pt idx="298">
                  <c:v>-2.9368362277223206</c:v>
                </c:pt>
                <c:pt idx="299">
                  <c:v>-2.9368362277223206</c:v>
                </c:pt>
                <c:pt idx="300">
                  <c:v>-2.9368362277223206</c:v>
                </c:pt>
                <c:pt idx="301">
                  <c:v>-2.9368362277223206</c:v>
                </c:pt>
                <c:pt idx="302">
                  <c:v>-2.9368362277223206</c:v>
                </c:pt>
                <c:pt idx="303">
                  <c:v>-2.9368362277223206</c:v>
                </c:pt>
                <c:pt idx="304">
                  <c:v>-2.9368362277223206</c:v>
                </c:pt>
                <c:pt idx="305">
                  <c:v>-2.9368362277223206</c:v>
                </c:pt>
                <c:pt idx="306">
                  <c:v>-2.9368362277223206</c:v>
                </c:pt>
                <c:pt idx="307">
                  <c:v>-2.9368362277223206</c:v>
                </c:pt>
                <c:pt idx="308">
                  <c:v>-2.9368362277223206</c:v>
                </c:pt>
                <c:pt idx="309">
                  <c:v>-2.9368362277223206</c:v>
                </c:pt>
                <c:pt idx="310">
                  <c:v>-2.9368362277223206</c:v>
                </c:pt>
                <c:pt idx="311">
                  <c:v>-2.9368362277223206</c:v>
                </c:pt>
                <c:pt idx="312">
                  <c:v>-2.9368362277223206</c:v>
                </c:pt>
                <c:pt idx="313">
                  <c:v>-2.9368362277223206</c:v>
                </c:pt>
                <c:pt idx="314">
                  <c:v>-2.9368362277223206</c:v>
                </c:pt>
                <c:pt idx="315">
                  <c:v>-2.9368362277223206</c:v>
                </c:pt>
                <c:pt idx="316">
                  <c:v>-2.9368362277223206</c:v>
                </c:pt>
                <c:pt idx="317">
                  <c:v>-2.9368362277223206</c:v>
                </c:pt>
                <c:pt idx="318">
                  <c:v>-2.9368362277223206</c:v>
                </c:pt>
                <c:pt idx="319">
                  <c:v>-2.9368362277223206</c:v>
                </c:pt>
                <c:pt idx="320">
                  <c:v>-2.9368362277223206</c:v>
                </c:pt>
                <c:pt idx="321">
                  <c:v>-2.9368362277223206</c:v>
                </c:pt>
                <c:pt idx="322">
                  <c:v>-2.9368362277223206</c:v>
                </c:pt>
                <c:pt idx="323">
                  <c:v>-2.9368362277223206</c:v>
                </c:pt>
                <c:pt idx="324">
                  <c:v>-2.9368362277223206</c:v>
                </c:pt>
                <c:pt idx="325">
                  <c:v>-2.9368362277223206</c:v>
                </c:pt>
                <c:pt idx="326">
                  <c:v>-2.9368362277223206</c:v>
                </c:pt>
                <c:pt idx="327">
                  <c:v>-2.9368362277223206</c:v>
                </c:pt>
                <c:pt idx="328">
                  <c:v>-2.9368362277223206</c:v>
                </c:pt>
                <c:pt idx="329">
                  <c:v>-2.9368362277223206</c:v>
                </c:pt>
                <c:pt idx="330">
                  <c:v>-2.9368362277223206</c:v>
                </c:pt>
                <c:pt idx="331">
                  <c:v>-2.9368362277223206</c:v>
                </c:pt>
                <c:pt idx="332">
                  <c:v>-2.9368362277223206</c:v>
                </c:pt>
                <c:pt idx="333">
                  <c:v>-2.9368362277223206</c:v>
                </c:pt>
                <c:pt idx="334">
                  <c:v>-2.9368362277223206</c:v>
                </c:pt>
                <c:pt idx="335">
                  <c:v>-2.9368362277223206</c:v>
                </c:pt>
                <c:pt idx="336">
                  <c:v>-2.9368362277223206</c:v>
                </c:pt>
                <c:pt idx="337">
                  <c:v>-2.9368362277223206</c:v>
                </c:pt>
                <c:pt idx="338">
                  <c:v>-2.9368362277223206</c:v>
                </c:pt>
                <c:pt idx="339">
                  <c:v>-2.9368362277223206</c:v>
                </c:pt>
                <c:pt idx="340">
                  <c:v>-2.9368362277223206</c:v>
                </c:pt>
                <c:pt idx="341">
                  <c:v>-2.9368362277223206</c:v>
                </c:pt>
                <c:pt idx="342">
                  <c:v>-2.9368362277223206</c:v>
                </c:pt>
                <c:pt idx="343">
                  <c:v>-2.9368362277223206</c:v>
                </c:pt>
                <c:pt idx="344">
                  <c:v>-2.9368362277223206</c:v>
                </c:pt>
                <c:pt idx="345">
                  <c:v>-2.9368362277223206</c:v>
                </c:pt>
                <c:pt idx="346">
                  <c:v>-2.9368362277223206</c:v>
                </c:pt>
                <c:pt idx="347">
                  <c:v>-2.9368362277223206</c:v>
                </c:pt>
                <c:pt idx="348">
                  <c:v>-2.9368362277223206</c:v>
                </c:pt>
                <c:pt idx="349">
                  <c:v>-2.9368362277223206</c:v>
                </c:pt>
                <c:pt idx="350">
                  <c:v>-2.9368362277223206</c:v>
                </c:pt>
                <c:pt idx="351">
                  <c:v>-2.9368362277223206</c:v>
                </c:pt>
                <c:pt idx="352">
                  <c:v>-2.9368362277223206</c:v>
                </c:pt>
                <c:pt idx="353">
                  <c:v>-2.9368362277223206</c:v>
                </c:pt>
                <c:pt idx="354">
                  <c:v>-2.9368362277223206</c:v>
                </c:pt>
                <c:pt idx="355">
                  <c:v>-2.9368362277223206</c:v>
                </c:pt>
                <c:pt idx="356">
                  <c:v>-2.9368362277223206</c:v>
                </c:pt>
                <c:pt idx="357">
                  <c:v>-2.9368362277223206</c:v>
                </c:pt>
                <c:pt idx="358">
                  <c:v>-2.9368362277223206</c:v>
                </c:pt>
                <c:pt idx="359">
                  <c:v>-2.9368362277223206</c:v>
                </c:pt>
                <c:pt idx="360">
                  <c:v>-2.9368362277223206</c:v>
                </c:pt>
                <c:pt idx="361">
                  <c:v>-2.9368362277223206</c:v>
                </c:pt>
                <c:pt idx="362">
                  <c:v>-2.9368362277223206</c:v>
                </c:pt>
                <c:pt idx="363">
                  <c:v>-2.9368362277223206</c:v>
                </c:pt>
                <c:pt idx="364">
                  <c:v>-2.9368362277223206</c:v>
                </c:pt>
                <c:pt idx="365">
                  <c:v>-2.9368362277223206</c:v>
                </c:pt>
                <c:pt idx="366">
                  <c:v>-2.9368362277223206</c:v>
                </c:pt>
                <c:pt idx="367">
                  <c:v>-2.9368362277223206</c:v>
                </c:pt>
                <c:pt idx="368">
                  <c:v>-2.9368362277223206</c:v>
                </c:pt>
                <c:pt idx="369">
                  <c:v>-2.9368362277223206</c:v>
                </c:pt>
                <c:pt idx="370">
                  <c:v>-2.9368362277223206</c:v>
                </c:pt>
                <c:pt idx="371">
                  <c:v>-2.9368362277223206</c:v>
                </c:pt>
                <c:pt idx="372">
                  <c:v>-2.9368362277223206</c:v>
                </c:pt>
                <c:pt idx="373">
                  <c:v>-2.9368362277223206</c:v>
                </c:pt>
                <c:pt idx="374">
                  <c:v>-2.9368362277223206</c:v>
                </c:pt>
                <c:pt idx="375">
                  <c:v>-2.9368362277223206</c:v>
                </c:pt>
                <c:pt idx="376">
                  <c:v>-2.9368362277223206</c:v>
                </c:pt>
                <c:pt idx="377">
                  <c:v>-2.9368362277223206</c:v>
                </c:pt>
                <c:pt idx="378">
                  <c:v>-2.9368362277223206</c:v>
                </c:pt>
                <c:pt idx="379">
                  <c:v>-2.9368362277223206</c:v>
                </c:pt>
                <c:pt idx="380">
                  <c:v>-2.9368362277223206</c:v>
                </c:pt>
                <c:pt idx="381">
                  <c:v>-2.9368362277223206</c:v>
                </c:pt>
                <c:pt idx="382">
                  <c:v>-2.9368362277223206</c:v>
                </c:pt>
                <c:pt idx="383">
                  <c:v>-2.9368362277223206</c:v>
                </c:pt>
                <c:pt idx="384">
                  <c:v>-2.9368362277223206</c:v>
                </c:pt>
                <c:pt idx="385">
                  <c:v>-2.9368362277223206</c:v>
                </c:pt>
                <c:pt idx="386">
                  <c:v>-2.9368362277223206</c:v>
                </c:pt>
                <c:pt idx="387">
                  <c:v>-2.9368362277223206</c:v>
                </c:pt>
                <c:pt idx="388">
                  <c:v>-2.9368362277223206</c:v>
                </c:pt>
                <c:pt idx="389">
                  <c:v>-2.9368362277223206</c:v>
                </c:pt>
                <c:pt idx="390">
                  <c:v>-2.9368362277223206</c:v>
                </c:pt>
                <c:pt idx="391">
                  <c:v>-2.9368362277223206</c:v>
                </c:pt>
                <c:pt idx="392">
                  <c:v>-2.9368362277223206</c:v>
                </c:pt>
                <c:pt idx="393">
                  <c:v>-2.9368362277223206</c:v>
                </c:pt>
                <c:pt idx="394">
                  <c:v>-2.9368362277223206</c:v>
                </c:pt>
                <c:pt idx="395">
                  <c:v>-2.9368362277223206</c:v>
                </c:pt>
                <c:pt idx="396">
                  <c:v>-2.9368362277223206</c:v>
                </c:pt>
                <c:pt idx="397">
                  <c:v>-2.9368362277223206</c:v>
                </c:pt>
                <c:pt idx="398">
                  <c:v>-2.9368362277223206</c:v>
                </c:pt>
                <c:pt idx="399">
                  <c:v>-2.9368362277223206</c:v>
                </c:pt>
                <c:pt idx="400">
                  <c:v>-2.9368362277223206</c:v>
                </c:pt>
                <c:pt idx="401">
                  <c:v>-2.9368362277223206</c:v>
                </c:pt>
                <c:pt idx="402">
                  <c:v>-2.9368362277223206</c:v>
                </c:pt>
                <c:pt idx="403">
                  <c:v>-2.9368362277223206</c:v>
                </c:pt>
                <c:pt idx="404">
                  <c:v>-2.9368362277223206</c:v>
                </c:pt>
                <c:pt idx="405">
                  <c:v>-2.9368362277223206</c:v>
                </c:pt>
                <c:pt idx="406">
                  <c:v>-2.9368362277223206</c:v>
                </c:pt>
                <c:pt idx="407">
                  <c:v>-2.9368362277223206</c:v>
                </c:pt>
                <c:pt idx="408">
                  <c:v>-2.9368362277223206</c:v>
                </c:pt>
                <c:pt idx="409">
                  <c:v>-2.9368362277223206</c:v>
                </c:pt>
                <c:pt idx="410">
                  <c:v>-2.9368362277223206</c:v>
                </c:pt>
                <c:pt idx="411">
                  <c:v>-2.9368362277223206</c:v>
                </c:pt>
                <c:pt idx="412">
                  <c:v>-2.9368362277223206</c:v>
                </c:pt>
                <c:pt idx="413">
                  <c:v>-2.9368362277223206</c:v>
                </c:pt>
                <c:pt idx="414">
                  <c:v>-2.9368362277223206</c:v>
                </c:pt>
                <c:pt idx="415">
                  <c:v>-2.9368362277223206</c:v>
                </c:pt>
                <c:pt idx="416">
                  <c:v>-2.9368362277223206</c:v>
                </c:pt>
                <c:pt idx="417">
                  <c:v>-2.9368362277223206</c:v>
                </c:pt>
                <c:pt idx="418">
                  <c:v>-2.9368362277223206</c:v>
                </c:pt>
              </c:numCache>
            </c:numRef>
          </c:val>
          <c:smooth val="1"/>
          <c:extLst>
            <c:ext xmlns:c16="http://schemas.microsoft.com/office/drawing/2014/chart" uri="{C3380CC4-5D6E-409C-BE32-E72D297353CC}">
              <c16:uniqueId val="{00000002-EEC5-400F-A636-203E78EE28CF}"/>
            </c:ext>
          </c:extLst>
        </c:ser>
        <c:ser>
          <c:idx val="3"/>
          <c:order val="5"/>
          <c:tx>
            <c:v>All Three</c:v>
          </c:tx>
          <c:spPr>
            <a:ln w="38100" cap="rnd">
              <a:solidFill>
                <a:sysClr val="windowText" lastClr="000000"/>
              </a:solidFill>
              <a:round/>
            </a:ln>
            <a:effectLst/>
          </c:spPr>
          <c:marker>
            <c:symbol val="none"/>
          </c:marker>
          <c:val>
            <c:numRef>
              <c:f>'2025-Q2'!$GI$4:$GI$422</c:f>
              <c:numCache>
                <c:formatCode>0.00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-2.9368362277223206</c:v>
                </c:pt>
                <c:pt idx="26">
                  <c:v>-2.9368362277223206</c:v>
                </c:pt>
                <c:pt idx="27">
                  <c:v>-2.9368362277223206</c:v>
                </c:pt>
                <c:pt idx="28">
                  <c:v>-2.9368362277223206</c:v>
                </c:pt>
                <c:pt idx="29">
                  <c:v>-2.9368362277223206</c:v>
                </c:pt>
                <c:pt idx="30">
                  <c:v>-2.9368362277223206</c:v>
                </c:pt>
                <c:pt idx="31">
                  <c:v>-2.9368362277223206</c:v>
                </c:pt>
                <c:pt idx="32">
                  <c:v>-2.9368362277223206</c:v>
                </c:pt>
                <c:pt idx="33">
                  <c:v>-2.9368362277223206</c:v>
                </c:pt>
                <c:pt idx="34">
                  <c:v>-2.9368362277223206</c:v>
                </c:pt>
                <c:pt idx="35">
                  <c:v>-2.9368362277223206</c:v>
                </c:pt>
                <c:pt idx="36">
                  <c:v>-2.9368362277223206</c:v>
                </c:pt>
                <c:pt idx="37">
                  <c:v>-2.9368362277223206</c:v>
                </c:pt>
                <c:pt idx="38">
                  <c:v>-2.9368362277223206</c:v>
                </c:pt>
                <c:pt idx="39">
                  <c:v>-2.9368362277223206</c:v>
                </c:pt>
                <c:pt idx="40">
                  <c:v>-2.9368362277223206</c:v>
                </c:pt>
                <c:pt idx="41">
                  <c:v>-2.9368362277223206</c:v>
                </c:pt>
                <c:pt idx="42">
                  <c:v>-2.9368362277223206</c:v>
                </c:pt>
                <c:pt idx="43">
                  <c:v>-2.9368362277223206</c:v>
                </c:pt>
                <c:pt idx="44">
                  <c:v>-2.9368362277223206</c:v>
                </c:pt>
                <c:pt idx="45">
                  <c:v>-2.9368362277223206</c:v>
                </c:pt>
                <c:pt idx="46">
                  <c:v>-2.9368362277223206</c:v>
                </c:pt>
                <c:pt idx="47">
                  <c:v>-2.9368362277223206</c:v>
                </c:pt>
                <c:pt idx="48">
                  <c:v>-2.9368362277223206</c:v>
                </c:pt>
                <c:pt idx="49">
                  <c:v>-2.9368362277223206</c:v>
                </c:pt>
                <c:pt idx="50">
                  <c:v>-2.9368362277223206</c:v>
                </c:pt>
                <c:pt idx="51">
                  <c:v>-2.9368362277223206</c:v>
                </c:pt>
                <c:pt idx="52">
                  <c:v>-2.9368362277223206</c:v>
                </c:pt>
                <c:pt idx="53">
                  <c:v>-2.9368362277223206</c:v>
                </c:pt>
                <c:pt idx="54">
                  <c:v>-2.9368362277223206</c:v>
                </c:pt>
                <c:pt idx="55">
                  <c:v>-2.9368362277223206</c:v>
                </c:pt>
                <c:pt idx="56">
                  <c:v>-2.9368362277223206</c:v>
                </c:pt>
                <c:pt idx="57">
                  <c:v>-2.9368362277223206</c:v>
                </c:pt>
                <c:pt idx="58">
                  <c:v>-2.9368362277223206</c:v>
                </c:pt>
                <c:pt idx="59">
                  <c:v>-2.9368362277223206</c:v>
                </c:pt>
                <c:pt idx="60">
                  <c:v>-2.9368362277223206</c:v>
                </c:pt>
                <c:pt idx="61">
                  <c:v>-2.9368362277223206</c:v>
                </c:pt>
                <c:pt idx="62">
                  <c:v>-2.9368362277223206</c:v>
                </c:pt>
                <c:pt idx="63">
                  <c:v>-2.9368362277223206</c:v>
                </c:pt>
                <c:pt idx="64">
                  <c:v>-2.9368362277223206</c:v>
                </c:pt>
                <c:pt idx="65">
                  <c:v>-2.9368362277223206</c:v>
                </c:pt>
                <c:pt idx="66">
                  <c:v>-2.9368362277223206</c:v>
                </c:pt>
                <c:pt idx="67">
                  <c:v>-2.9368362277223206</c:v>
                </c:pt>
                <c:pt idx="68">
                  <c:v>-2.9368362277223206</c:v>
                </c:pt>
                <c:pt idx="69">
                  <c:v>-2.9368362277223206</c:v>
                </c:pt>
                <c:pt idx="70">
                  <c:v>-2.9368362277223206</c:v>
                </c:pt>
                <c:pt idx="71">
                  <c:v>-2.9368362277223206</c:v>
                </c:pt>
                <c:pt idx="72">
                  <c:v>-2.9368362277223206</c:v>
                </c:pt>
                <c:pt idx="73">
                  <c:v>-2.9368362277223206</c:v>
                </c:pt>
                <c:pt idx="74">
                  <c:v>-2.9368362277223206</c:v>
                </c:pt>
                <c:pt idx="75">
                  <c:v>-2.9368362277223206</c:v>
                </c:pt>
                <c:pt idx="76">
                  <c:v>-2.9368362277223206</c:v>
                </c:pt>
                <c:pt idx="77">
                  <c:v>-2.9368362277223206</c:v>
                </c:pt>
                <c:pt idx="78">
                  <c:v>-2.9368362277223206</c:v>
                </c:pt>
                <c:pt idx="79">
                  <c:v>-2.9368362277223206</c:v>
                </c:pt>
                <c:pt idx="80">
                  <c:v>-2.9368362277223206</c:v>
                </c:pt>
                <c:pt idx="81">
                  <c:v>-2.9368362277223206</c:v>
                </c:pt>
                <c:pt idx="82">
                  <c:v>-2.9368362277223206</c:v>
                </c:pt>
                <c:pt idx="83">
                  <c:v>-2.9368362277223206</c:v>
                </c:pt>
                <c:pt idx="84">
                  <c:v>-2.9368362277223206</c:v>
                </c:pt>
                <c:pt idx="85">
                  <c:v>-2.9368362277223206</c:v>
                </c:pt>
                <c:pt idx="86">
                  <c:v>-2.9368362277223206</c:v>
                </c:pt>
                <c:pt idx="87">
                  <c:v>-2.9368362277223206</c:v>
                </c:pt>
                <c:pt idx="88">
                  <c:v>-2.9368362277223206</c:v>
                </c:pt>
                <c:pt idx="89">
                  <c:v>-2.9368362277223206</c:v>
                </c:pt>
                <c:pt idx="90">
                  <c:v>-2.9368362277223206</c:v>
                </c:pt>
                <c:pt idx="91">
                  <c:v>-2.9368362277223206</c:v>
                </c:pt>
                <c:pt idx="92">
                  <c:v>-2.9368362277223206</c:v>
                </c:pt>
                <c:pt idx="93">
                  <c:v>-2.9368362277223206</c:v>
                </c:pt>
                <c:pt idx="94">
                  <c:v>-2.9368362277223206</c:v>
                </c:pt>
                <c:pt idx="95">
                  <c:v>-2.9368362277223206</c:v>
                </c:pt>
                <c:pt idx="96">
                  <c:v>-2.9368362277223206</c:v>
                </c:pt>
                <c:pt idx="97">
                  <c:v>-2.9368362277223206</c:v>
                </c:pt>
                <c:pt idx="98">
                  <c:v>-2.9368362277223206</c:v>
                </c:pt>
                <c:pt idx="99">
                  <c:v>-2.9368362277223206</c:v>
                </c:pt>
                <c:pt idx="100">
                  <c:v>-2.9368362277223206</c:v>
                </c:pt>
                <c:pt idx="101">
                  <c:v>-2.9368362277223206</c:v>
                </c:pt>
                <c:pt idx="102">
                  <c:v>-2.9368362277223206</c:v>
                </c:pt>
                <c:pt idx="103">
                  <c:v>-2.9368362277223206</c:v>
                </c:pt>
                <c:pt idx="104">
                  <c:v>-2.9368362277223206</c:v>
                </c:pt>
                <c:pt idx="105">
                  <c:v>-2.9368362277223206</c:v>
                </c:pt>
                <c:pt idx="106">
                  <c:v>-2.9368362277223206</c:v>
                </c:pt>
                <c:pt idx="107">
                  <c:v>-2.9368362277223206</c:v>
                </c:pt>
                <c:pt idx="108">
                  <c:v>-2.9368362277223206</c:v>
                </c:pt>
                <c:pt idx="109">
                  <c:v>-2.9368362277223206</c:v>
                </c:pt>
                <c:pt idx="110">
                  <c:v>-2.9368362277223206</c:v>
                </c:pt>
                <c:pt idx="111">
                  <c:v>-2.9368362277223206</c:v>
                </c:pt>
                <c:pt idx="112">
                  <c:v>-2.9368362277223206</c:v>
                </c:pt>
                <c:pt idx="113">
                  <c:v>-2.9368362277223206</c:v>
                </c:pt>
                <c:pt idx="114">
                  <c:v>-2.9368362277223206</c:v>
                </c:pt>
                <c:pt idx="115">
                  <c:v>-2.9368362277223206</c:v>
                </c:pt>
                <c:pt idx="116">
                  <c:v>-2.9368362277223206</c:v>
                </c:pt>
                <c:pt idx="117">
                  <c:v>-2.9368362277223206</c:v>
                </c:pt>
                <c:pt idx="118">
                  <c:v>-2.9368362277223206</c:v>
                </c:pt>
                <c:pt idx="119">
                  <c:v>-2.9368362277223206</c:v>
                </c:pt>
                <c:pt idx="120">
                  <c:v>-2.9368362277223206</c:v>
                </c:pt>
                <c:pt idx="121">
                  <c:v>-2.9368362277223206</c:v>
                </c:pt>
                <c:pt idx="122">
                  <c:v>-2.9368362277223206</c:v>
                </c:pt>
                <c:pt idx="123">
                  <c:v>-2.9368362277223206</c:v>
                </c:pt>
                <c:pt idx="124">
                  <c:v>-2.9368362277223206</c:v>
                </c:pt>
                <c:pt idx="125">
                  <c:v>-2.9368362277223206</c:v>
                </c:pt>
                <c:pt idx="126">
                  <c:v>-2.9368362277223206</c:v>
                </c:pt>
                <c:pt idx="127">
                  <c:v>-2.9368362277223206</c:v>
                </c:pt>
                <c:pt idx="128">
                  <c:v>-2.9368362277223206</c:v>
                </c:pt>
                <c:pt idx="129">
                  <c:v>-2.9368362277223206</c:v>
                </c:pt>
                <c:pt idx="130">
                  <c:v>-2.9368362277223206</c:v>
                </c:pt>
                <c:pt idx="131">
                  <c:v>-2.9368362277223206</c:v>
                </c:pt>
                <c:pt idx="132">
                  <c:v>-2.9368362277223206</c:v>
                </c:pt>
                <c:pt idx="133">
                  <c:v>-2.9368362277223206</c:v>
                </c:pt>
                <c:pt idx="134">
                  <c:v>-2.9368362277223206</c:v>
                </c:pt>
                <c:pt idx="135">
                  <c:v>-2.9368362277223206</c:v>
                </c:pt>
                <c:pt idx="136">
                  <c:v>-2.9368362277223206</c:v>
                </c:pt>
                <c:pt idx="137">
                  <c:v>-2.9368362277223206</c:v>
                </c:pt>
                <c:pt idx="138">
                  <c:v>-2.9368362277223206</c:v>
                </c:pt>
                <c:pt idx="139">
                  <c:v>-2.9368362277223206</c:v>
                </c:pt>
                <c:pt idx="140">
                  <c:v>-2.9368362277223206</c:v>
                </c:pt>
                <c:pt idx="141">
                  <c:v>-2.9368362277223206</c:v>
                </c:pt>
                <c:pt idx="142">
                  <c:v>-2.9368362277223206</c:v>
                </c:pt>
                <c:pt idx="143">
                  <c:v>-2.9368362277223206</c:v>
                </c:pt>
                <c:pt idx="144">
                  <c:v>-2.9368362277223206</c:v>
                </c:pt>
                <c:pt idx="145">
                  <c:v>-2.9368362277223206</c:v>
                </c:pt>
                <c:pt idx="146">
                  <c:v>-2.9368362277223206</c:v>
                </c:pt>
                <c:pt idx="147">
                  <c:v>-2.9368362277223206</c:v>
                </c:pt>
                <c:pt idx="148">
                  <c:v>-2.9368362277223206</c:v>
                </c:pt>
                <c:pt idx="149">
                  <c:v>-2.9368362277223206</c:v>
                </c:pt>
                <c:pt idx="150">
                  <c:v>-2.9368362277223206</c:v>
                </c:pt>
                <c:pt idx="151">
                  <c:v>-2.9368362277223206</c:v>
                </c:pt>
                <c:pt idx="152">
                  <c:v>-2.9368362277223206</c:v>
                </c:pt>
                <c:pt idx="153">
                  <c:v>-2.9368362277223206</c:v>
                </c:pt>
                <c:pt idx="154">
                  <c:v>-2.9368362277223206</c:v>
                </c:pt>
                <c:pt idx="155">
                  <c:v>-2.9368362277223206</c:v>
                </c:pt>
                <c:pt idx="156">
                  <c:v>-2.9368362277223206</c:v>
                </c:pt>
                <c:pt idx="157">
                  <c:v>-2.9368362277223206</c:v>
                </c:pt>
                <c:pt idx="158">
                  <c:v>-2.9368362277223206</c:v>
                </c:pt>
                <c:pt idx="159">
                  <c:v>-2.9368362277223206</c:v>
                </c:pt>
                <c:pt idx="160">
                  <c:v>-2.9368362277223206</c:v>
                </c:pt>
                <c:pt idx="161">
                  <c:v>-2.9368362277223206</c:v>
                </c:pt>
                <c:pt idx="162">
                  <c:v>-2.9368362277223206</c:v>
                </c:pt>
                <c:pt idx="163">
                  <c:v>-2.9368362277223206</c:v>
                </c:pt>
                <c:pt idx="164">
                  <c:v>-2.9368362277223206</c:v>
                </c:pt>
                <c:pt idx="165">
                  <c:v>-2.9368362277223206</c:v>
                </c:pt>
                <c:pt idx="166">
                  <c:v>-2.9368362277223206</c:v>
                </c:pt>
                <c:pt idx="167">
                  <c:v>-2.9368362277223206</c:v>
                </c:pt>
                <c:pt idx="168">
                  <c:v>-2.9368362277223206</c:v>
                </c:pt>
                <c:pt idx="169">
                  <c:v>-2.9368362277223206</c:v>
                </c:pt>
                <c:pt idx="170">
                  <c:v>-2.9368362277223206</c:v>
                </c:pt>
                <c:pt idx="171">
                  <c:v>-2.9368362277223206</c:v>
                </c:pt>
                <c:pt idx="172">
                  <c:v>-2.9368362277223206</c:v>
                </c:pt>
                <c:pt idx="173">
                  <c:v>-2.9368362277223206</c:v>
                </c:pt>
                <c:pt idx="174">
                  <c:v>-2.9368362277223206</c:v>
                </c:pt>
                <c:pt idx="175">
                  <c:v>-2.9368362277223206</c:v>
                </c:pt>
                <c:pt idx="176">
                  <c:v>-2.9368362277223206</c:v>
                </c:pt>
                <c:pt idx="177">
                  <c:v>-2.9368362277223206</c:v>
                </c:pt>
                <c:pt idx="178">
                  <c:v>-2.9368362277223206</c:v>
                </c:pt>
                <c:pt idx="179">
                  <c:v>-2.9368362277223206</c:v>
                </c:pt>
                <c:pt idx="180">
                  <c:v>-2.9368362277223206</c:v>
                </c:pt>
                <c:pt idx="181">
                  <c:v>-2.9368362277223206</c:v>
                </c:pt>
                <c:pt idx="182">
                  <c:v>-2.9368362277223206</c:v>
                </c:pt>
                <c:pt idx="183">
                  <c:v>-2.9368362277223206</c:v>
                </c:pt>
                <c:pt idx="184">
                  <c:v>-2.9368362277223206</c:v>
                </c:pt>
                <c:pt idx="185">
                  <c:v>-2.9368362277223206</c:v>
                </c:pt>
                <c:pt idx="186">
                  <c:v>-2.9368362277223206</c:v>
                </c:pt>
                <c:pt idx="187">
                  <c:v>-2.9368362277223206</c:v>
                </c:pt>
                <c:pt idx="188">
                  <c:v>-2.9368362277223206</c:v>
                </c:pt>
                <c:pt idx="189">
                  <c:v>-2.9368362277223206</c:v>
                </c:pt>
                <c:pt idx="190">
                  <c:v>-2.9368362277223206</c:v>
                </c:pt>
                <c:pt idx="191">
                  <c:v>-2.9368362277223206</c:v>
                </c:pt>
                <c:pt idx="192">
                  <c:v>-2.9368362277223206</c:v>
                </c:pt>
                <c:pt idx="193">
                  <c:v>-2.9368362277223206</c:v>
                </c:pt>
                <c:pt idx="194">
                  <c:v>-2.9368362277223206</c:v>
                </c:pt>
                <c:pt idx="195">
                  <c:v>-2.9368362277223206</c:v>
                </c:pt>
                <c:pt idx="196">
                  <c:v>-2.9368362277223206</c:v>
                </c:pt>
                <c:pt idx="197">
                  <c:v>-2.9368362277223206</c:v>
                </c:pt>
                <c:pt idx="198">
                  <c:v>-2.9368362277223206</c:v>
                </c:pt>
                <c:pt idx="199">
                  <c:v>-2.9368362277223206</c:v>
                </c:pt>
                <c:pt idx="200">
                  <c:v>-2.9368362277223206</c:v>
                </c:pt>
                <c:pt idx="201">
                  <c:v>-2.9368362277223206</c:v>
                </c:pt>
                <c:pt idx="202">
                  <c:v>-2.9368362277223206</c:v>
                </c:pt>
                <c:pt idx="203">
                  <c:v>-2.9368362277223206</c:v>
                </c:pt>
                <c:pt idx="204">
                  <c:v>-2.9368362277223206</c:v>
                </c:pt>
                <c:pt idx="205">
                  <c:v>-2.9368362277223206</c:v>
                </c:pt>
                <c:pt idx="206">
                  <c:v>-2.9368362277223206</c:v>
                </c:pt>
                <c:pt idx="207">
                  <c:v>-2.9368362277223206</c:v>
                </c:pt>
                <c:pt idx="208">
                  <c:v>-2.9368362277223206</c:v>
                </c:pt>
                <c:pt idx="209">
                  <c:v>-2.9368362277223206</c:v>
                </c:pt>
                <c:pt idx="210">
                  <c:v>-2.9368362277223206</c:v>
                </c:pt>
                <c:pt idx="211">
                  <c:v>-2.9368362277223206</c:v>
                </c:pt>
                <c:pt idx="212">
                  <c:v>-2.9368362277223206</c:v>
                </c:pt>
                <c:pt idx="213">
                  <c:v>-2.9368362277223206</c:v>
                </c:pt>
                <c:pt idx="214">
                  <c:v>-2.9368362277223206</c:v>
                </c:pt>
                <c:pt idx="215">
                  <c:v>-2.9368362277223206</c:v>
                </c:pt>
                <c:pt idx="216">
                  <c:v>-2.9368362277223206</c:v>
                </c:pt>
                <c:pt idx="217">
                  <c:v>-2.9368362277223206</c:v>
                </c:pt>
                <c:pt idx="218">
                  <c:v>-2.9368362277223206</c:v>
                </c:pt>
                <c:pt idx="219">
                  <c:v>-2.9368362277223206</c:v>
                </c:pt>
                <c:pt idx="220">
                  <c:v>-2.9368362277223206</c:v>
                </c:pt>
                <c:pt idx="221">
                  <c:v>-2.9368362277223206</c:v>
                </c:pt>
                <c:pt idx="222">
                  <c:v>-2.9368362277223206</c:v>
                </c:pt>
                <c:pt idx="223">
                  <c:v>-2.9368362277223206</c:v>
                </c:pt>
                <c:pt idx="224">
                  <c:v>-2.9368362277223206</c:v>
                </c:pt>
                <c:pt idx="225">
                  <c:v>-2.9368362277223206</c:v>
                </c:pt>
                <c:pt idx="226">
                  <c:v>-2.9368362277223206</c:v>
                </c:pt>
                <c:pt idx="227">
                  <c:v>-2.9368362277223206</c:v>
                </c:pt>
                <c:pt idx="228">
                  <c:v>-2.9368362277223206</c:v>
                </c:pt>
                <c:pt idx="229">
                  <c:v>-2.9368362277223206</c:v>
                </c:pt>
                <c:pt idx="230">
                  <c:v>-2.9368362277223206</c:v>
                </c:pt>
                <c:pt idx="231">
                  <c:v>-2.9368362277223206</c:v>
                </c:pt>
                <c:pt idx="232">
                  <c:v>-2.9368362277223206</c:v>
                </c:pt>
                <c:pt idx="233">
                  <c:v>-2.9368362277223206</c:v>
                </c:pt>
                <c:pt idx="234">
                  <c:v>-2.9368362277223206</c:v>
                </c:pt>
                <c:pt idx="235">
                  <c:v>-2.9368362277223206</c:v>
                </c:pt>
                <c:pt idx="236">
                  <c:v>-2.9368362277223206</c:v>
                </c:pt>
                <c:pt idx="237">
                  <c:v>-2.9368362277223206</c:v>
                </c:pt>
                <c:pt idx="238">
                  <c:v>-2.9368362277223206</c:v>
                </c:pt>
                <c:pt idx="239">
                  <c:v>-2.9368362277223206</c:v>
                </c:pt>
                <c:pt idx="240">
                  <c:v>-2.9368362277223206</c:v>
                </c:pt>
                <c:pt idx="241">
                  <c:v>-2.9368362277223206</c:v>
                </c:pt>
                <c:pt idx="242">
                  <c:v>-2.9368362277223206</c:v>
                </c:pt>
                <c:pt idx="243">
                  <c:v>-2.9368362277223206</c:v>
                </c:pt>
                <c:pt idx="244">
                  <c:v>-2.9368362277223206</c:v>
                </c:pt>
                <c:pt idx="245">
                  <c:v>-2.9368362277223206</c:v>
                </c:pt>
                <c:pt idx="246">
                  <c:v>-2.9368362277223206</c:v>
                </c:pt>
                <c:pt idx="247">
                  <c:v>-2.9368362277223206</c:v>
                </c:pt>
                <c:pt idx="248">
                  <c:v>-2.9368362277223206</c:v>
                </c:pt>
                <c:pt idx="249">
                  <c:v>-2.9368362277223206</c:v>
                </c:pt>
                <c:pt idx="250">
                  <c:v>-2.9368362277223206</c:v>
                </c:pt>
                <c:pt idx="251">
                  <c:v>-2.9368362277223206</c:v>
                </c:pt>
                <c:pt idx="252">
                  <c:v>-2.9368362277223206</c:v>
                </c:pt>
                <c:pt idx="253">
                  <c:v>-2.9368362277223206</c:v>
                </c:pt>
                <c:pt idx="254">
                  <c:v>-2.9368362277223206</c:v>
                </c:pt>
                <c:pt idx="255">
                  <c:v>-2.9368362277223206</c:v>
                </c:pt>
                <c:pt idx="256">
                  <c:v>-2.9368362277223206</c:v>
                </c:pt>
                <c:pt idx="257">
                  <c:v>-2.9368362277223206</c:v>
                </c:pt>
                <c:pt idx="258">
                  <c:v>-2.9368362277223206</c:v>
                </c:pt>
                <c:pt idx="259">
                  <c:v>-2.9368362277223206</c:v>
                </c:pt>
                <c:pt idx="260">
                  <c:v>-2.9368362277223206</c:v>
                </c:pt>
                <c:pt idx="261">
                  <c:v>-2.9368362277223206</c:v>
                </c:pt>
                <c:pt idx="262">
                  <c:v>-2.9368362277223206</c:v>
                </c:pt>
                <c:pt idx="263">
                  <c:v>-2.9368362277223206</c:v>
                </c:pt>
                <c:pt idx="264">
                  <c:v>-2.9368362277223206</c:v>
                </c:pt>
                <c:pt idx="265">
                  <c:v>-2.9368362277223206</c:v>
                </c:pt>
                <c:pt idx="266">
                  <c:v>-2.9368362277223206</c:v>
                </c:pt>
                <c:pt idx="267">
                  <c:v>-2.9368362277223206</c:v>
                </c:pt>
                <c:pt idx="268">
                  <c:v>-2.9368362277223206</c:v>
                </c:pt>
                <c:pt idx="269">
                  <c:v>-2.9368362277223206</c:v>
                </c:pt>
                <c:pt idx="270">
                  <c:v>-2.9368362277223206</c:v>
                </c:pt>
                <c:pt idx="271">
                  <c:v>-2.9368362277223206</c:v>
                </c:pt>
                <c:pt idx="272">
                  <c:v>-2.9368362277223206</c:v>
                </c:pt>
                <c:pt idx="273">
                  <c:v>-2.9368362277223206</c:v>
                </c:pt>
                <c:pt idx="274">
                  <c:v>-2.9368362277223206</c:v>
                </c:pt>
                <c:pt idx="275">
                  <c:v>-2.9368362277223206</c:v>
                </c:pt>
                <c:pt idx="276">
                  <c:v>-2.9368362277223206</c:v>
                </c:pt>
                <c:pt idx="277">
                  <c:v>-2.9368362277223206</c:v>
                </c:pt>
                <c:pt idx="278">
                  <c:v>-2.9368362277223206</c:v>
                </c:pt>
                <c:pt idx="279">
                  <c:v>-2.9368362277223206</c:v>
                </c:pt>
                <c:pt idx="280">
                  <c:v>-2.9368362277223206</c:v>
                </c:pt>
                <c:pt idx="281">
                  <c:v>-2.9368362277223206</c:v>
                </c:pt>
                <c:pt idx="282">
                  <c:v>-2.9368362277223206</c:v>
                </c:pt>
                <c:pt idx="283">
                  <c:v>-2.9368362277223206</c:v>
                </c:pt>
                <c:pt idx="284">
                  <c:v>-2.9368362277223206</c:v>
                </c:pt>
                <c:pt idx="285">
                  <c:v>-2.9368362277223206</c:v>
                </c:pt>
                <c:pt idx="286">
                  <c:v>-2.9368362277223206</c:v>
                </c:pt>
                <c:pt idx="287">
                  <c:v>-2.9368362277223206</c:v>
                </c:pt>
                <c:pt idx="288">
                  <c:v>-2.9368362277223206</c:v>
                </c:pt>
                <c:pt idx="289">
                  <c:v>-2.9368362277223206</c:v>
                </c:pt>
                <c:pt idx="290">
                  <c:v>-2.9368362277223206</c:v>
                </c:pt>
                <c:pt idx="291">
                  <c:v>-2.9368362277223206</c:v>
                </c:pt>
                <c:pt idx="292">
                  <c:v>-2.9368362277223206</c:v>
                </c:pt>
                <c:pt idx="293">
                  <c:v>-2.9368362277223206</c:v>
                </c:pt>
                <c:pt idx="294">
                  <c:v>-2.9368362277223206</c:v>
                </c:pt>
                <c:pt idx="295">
                  <c:v>-2.9368362277223206</c:v>
                </c:pt>
                <c:pt idx="296">
                  <c:v>-2.9368362277223206</c:v>
                </c:pt>
                <c:pt idx="297">
                  <c:v>-2.9368362277223206</c:v>
                </c:pt>
                <c:pt idx="298">
                  <c:v>-2.9368362277223206</c:v>
                </c:pt>
                <c:pt idx="299">
                  <c:v>-2.9368362277223206</c:v>
                </c:pt>
                <c:pt idx="300">
                  <c:v>-2.9368362277223206</c:v>
                </c:pt>
                <c:pt idx="301">
                  <c:v>-2.9368362277223206</c:v>
                </c:pt>
                <c:pt idx="302">
                  <c:v>-2.9368362277223206</c:v>
                </c:pt>
                <c:pt idx="303">
                  <c:v>-2.9368362277223206</c:v>
                </c:pt>
                <c:pt idx="304">
                  <c:v>-2.9368362277223206</c:v>
                </c:pt>
                <c:pt idx="305">
                  <c:v>-2.9368362277223206</c:v>
                </c:pt>
                <c:pt idx="306">
                  <c:v>-2.9368362277223206</c:v>
                </c:pt>
                <c:pt idx="307">
                  <c:v>-2.9368362277223206</c:v>
                </c:pt>
                <c:pt idx="308">
                  <c:v>-2.9368362277223206</c:v>
                </c:pt>
                <c:pt idx="309">
                  <c:v>-2.9368362277223206</c:v>
                </c:pt>
                <c:pt idx="310">
                  <c:v>-2.9368362277223206</c:v>
                </c:pt>
                <c:pt idx="311">
                  <c:v>-2.9368362277223206</c:v>
                </c:pt>
                <c:pt idx="312">
                  <c:v>-2.9368362277223206</c:v>
                </c:pt>
                <c:pt idx="313">
                  <c:v>-2.9368362277223206</c:v>
                </c:pt>
                <c:pt idx="314">
                  <c:v>-2.9368362277223206</c:v>
                </c:pt>
                <c:pt idx="315">
                  <c:v>-2.9368362277223206</c:v>
                </c:pt>
                <c:pt idx="316">
                  <c:v>-2.9368362277223206</c:v>
                </c:pt>
                <c:pt idx="317">
                  <c:v>-2.9368362277223206</c:v>
                </c:pt>
                <c:pt idx="318">
                  <c:v>-2.9368362277223206</c:v>
                </c:pt>
                <c:pt idx="319">
                  <c:v>-2.9368362277223206</c:v>
                </c:pt>
                <c:pt idx="320">
                  <c:v>-2.9368362277223206</c:v>
                </c:pt>
                <c:pt idx="321">
                  <c:v>-2.9368362277223206</c:v>
                </c:pt>
                <c:pt idx="322">
                  <c:v>-2.9368362277223206</c:v>
                </c:pt>
                <c:pt idx="323">
                  <c:v>-2.9368362277223206</c:v>
                </c:pt>
                <c:pt idx="324">
                  <c:v>-2.9368362277223206</c:v>
                </c:pt>
                <c:pt idx="325">
                  <c:v>-2.9368362277223206</c:v>
                </c:pt>
                <c:pt idx="326">
                  <c:v>-2.9368362277223206</c:v>
                </c:pt>
                <c:pt idx="327">
                  <c:v>-2.9368362277223206</c:v>
                </c:pt>
                <c:pt idx="328">
                  <c:v>-2.9368362277223206</c:v>
                </c:pt>
                <c:pt idx="329">
                  <c:v>-2.9368362277223206</c:v>
                </c:pt>
                <c:pt idx="330">
                  <c:v>-2.9368362277223206</c:v>
                </c:pt>
                <c:pt idx="331">
                  <c:v>-2.9368362277223206</c:v>
                </c:pt>
                <c:pt idx="332">
                  <c:v>-2.9368362277223206</c:v>
                </c:pt>
                <c:pt idx="333">
                  <c:v>-2.9368362277223206</c:v>
                </c:pt>
                <c:pt idx="334">
                  <c:v>-2.9368362277223206</c:v>
                </c:pt>
                <c:pt idx="335">
                  <c:v>-2.9368362277223206</c:v>
                </c:pt>
                <c:pt idx="336">
                  <c:v>-2.9368362277223206</c:v>
                </c:pt>
                <c:pt idx="337">
                  <c:v>-2.9368362277223206</c:v>
                </c:pt>
                <c:pt idx="338">
                  <c:v>-2.9368362277223206</c:v>
                </c:pt>
                <c:pt idx="339">
                  <c:v>-2.9368362277223206</c:v>
                </c:pt>
                <c:pt idx="340">
                  <c:v>-2.9368362277223206</c:v>
                </c:pt>
                <c:pt idx="341">
                  <c:v>-2.9368362277223206</c:v>
                </c:pt>
                <c:pt idx="342">
                  <c:v>-2.9368362277223206</c:v>
                </c:pt>
                <c:pt idx="343">
                  <c:v>-2.9368362277223206</c:v>
                </c:pt>
                <c:pt idx="344">
                  <c:v>-2.9368362277223206</c:v>
                </c:pt>
                <c:pt idx="345">
                  <c:v>-2.9368362277223206</c:v>
                </c:pt>
                <c:pt idx="346">
                  <c:v>-2.9368362277223206</c:v>
                </c:pt>
                <c:pt idx="347">
                  <c:v>-2.9368362277223206</c:v>
                </c:pt>
                <c:pt idx="348">
                  <c:v>-2.9368362277223206</c:v>
                </c:pt>
                <c:pt idx="349">
                  <c:v>-2.9368362277223206</c:v>
                </c:pt>
                <c:pt idx="350">
                  <c:v>-2.9368362277223206</c:v>
                </c:pt>
                <c:pt idx="351">
                  <c:v>-2.9368362277223206</c:v>
                </c:pt>
                <c:pt idx="352">
                  <c:v>-2.9368362277223206</c:v>
                </c:pt>
                <c:pt idx="353">
                  <c:v>-2.9368362277223206</c:v>
                </c:pt>
                <c:pt idx="354">
                  <c:v>-2.9368362277223206</c:v>
                </c:pt>
                <c:pt idx="355">
                  <c:v>-2.9368362277223206</c:v>
                </c:pt>
                <c:pt idx="356">
                  <c:v>-2.9368362277223206</c:v>
                </c:pt>
                <c:pt idx="357">
                  <c:v>-2.9368362277223206</c:v>
                </c:pt>
                <c:pt idx="358">
                  <c:v>-2.9368362277223206</c:v>
                </c:pt>
                <c:pt idx="359">
                  <c:v>-2.9368362277223206</c:v>
                </c:pt>
                <c:pt idx="360">
                  <c:v>-2.9368362277223206</c:v>
                </c:pt>
                <c:pt idx="361">
                  <c:v>-2.9368362277223206</c:v>
                </c:pt>
                <c:pt idx="362">
                  <c:v>-2.9368362277223206</c:v>
                </c:pt>
                <c:pt idx="363">
                  <c:v>-2.9368362277223206</c:v>
                </c:pt>
                <c:pt idx="364">
                  <c:v>-2.9368362277223206</c:v>
                </c:pt>
                <c:pt idx="365">
                  <c:v>-2.9368362277223206</c:v>
                </c:pt>
                <c:pt idx="366">
                  <c:v>-2.9368362277223206</c:v>
                </c:pt>
                <c:pt idx="367">
                  <c:v>-2.9368362277223206</c:v>
                </c:pt>
                <c:pt idx="368">
                  <c:v>-2.9368362277223206</c:v>
                </c:pt>
                <c:pt idx="369">
                  <c:v>-2.9368362277223206</c:v>
                </c:pt>
                <c:pt idx="370">
                  <c:v>-2.9368362277223206</c:v>
                </c:pt>
                <c:pt idx="371">
                  <c:v>-2.9368362277223206</c:v>
                </c:pt>
                <c:pt idx="372">
                  <c:v>-2.9368362277223206</c:v>
                </c:pt>
                <c:pt idx="373">
                  <c:v>-2.9368362277223206</c:v>
                </c:pt>
                <c:pt idx="374">
                  <c:v>-2.9368362277223206</c:v>
                </c:pt>
                <c:pt idx="375">
                  <c:v>-2.9368362277223206</c:v>
                </c:pt>
                <c:pt idx="376">
                  <c:v>-2.9368362277223206</c:v>
                </c:pt>
                <c:pt idx="377">
                  <c:v>-2.9368362277223206</c:v>
                </c:pt>
                <c:pt idx="378">
                  <c:v>-2.9368362277223206</c:v>
                </c:pt>
                <c:pt idx="379">
                  <c:v>-2.9368362277223206</c:v>
                </c:pt>
                <c:pt idx="380">
                  <c:v>-2.9368362277223206</c:v>
                </c:pt>
                <c:pt idx="381">
                  <c:v>-2.9368362277223206</c:v>
                </c:pt>
                <c:pt idx="382">
                  <c:v>-2.9368362277223206</c:v>
                </c:pt>
                <c:pt idx="383">
                  <c:v>-2.9368362277223206</c:v>
                </c:pt>
                <c:pt idx="384">
                  <c:v>-2.9368362277223206</c:v>
                </c:pt>
                <c:pt idx="385">
                  <c:v>-2.9368362277223206</c:v>
                </c:pt>
                <c:pt idx="386">
                  <c:v>-2.9368362277223206</c:v>
                </c:pt>
                <c:pt idx="387">
                  <c:v>-2.9368362277223206</c:v>
                </c:pt>
                <c:pt idx="388">
                  <c:v>-2.9368362277223206</c:v>
                </c:pt>
                <c:pt idx="389">
                  <c:v>-2.9368362277223206</c:v>
                </c:pt>
                <c:pt idx="390">
                  <c:v>-2.9368362277223206</c:v>
                </c:pt>
                <c:pt idx="391">
                  <c:v>-2.9368362277223206</c:v>
                </c:pt>
                <c:pt idx="392">
                  <c:v>-2.9368362277223206</c:v>
                </c:pt>
                <c:pt idx="393">
                  <c:v>-2.9368362277223206</c:v>
                </c:pt>
                <c:pt idx="394">
                  <c:v>-2.9368362277223206</c:v>
                </c:pt>
                <c:pt idx="395">
                  <c:v>-2.9368362277223206</c:v>
                </c:pt>
                <c:pt idx="396">
                  <c:v>-2.9368362277223206</c:v>
                </c:pt>
                <c:pt idx="397">
                  <c:v>-2.9368362277223206</c:v>
                </c:pt>
                <c:pt idx="398">
                  <c:v>-2.9368362277223206</c:v>
                </c:pt>
                <c:pt idx="399">
                  <c:v>-2.9368362277223206</c:v>
                </c:pt>
                <c:pt idx="400">
                  <c:v>-2.9368362277223206</c:v>
                </c:pt>
                <c:pt idx="401">
                  <c:v>-2.9368362277223206</c:v>
                </c:pt>
                <c:pt idx="402">
                  <c:v>-2.9368362277223206</c:v>
                </c:pt>
                <c:pt idx="403">
                  <c:v>-2.9368362277223206</c:v>
                </c:pt>
                <c:pt idx="404">
                  <c:v>-2.9368362277223206</c:v>
                </c:pt>
                <c:pt idx="405">
                  <c:v>-2.9368362277223206</c:v>
                </c:pt>
                <c:pt idx="406">
                  <c:v>-2.9368362277223206</c:v>
                </c:pt>
                <c:pt idx="407">
                  <c:v>-2.9368362277223206</c:v>
                </c:pt>
                <c:pt idx="408">
                  <c:v>-2.9368362277223206</c:v>
                </c:pt>
                <c:pt idx="409">
                  <c:v>-2.9368362277223206</c:v>
                </c:pt>
                <c:pt idx="410">
                  <c:v>-2.9368362277223206</c:v>
                </c:pt>
                <c:pt idx="411">
                  <c:v>-2.9368362277223206</c:v>
                </c:pt>
                <c:pt idx="412">
                  <c:v>-2.9368362277223206</c:v>
                </c:pt>
                <c:pt idx="413">
                  <c:v>-2.9368362277223206</c:v>
                </c:pt>
                <c:pt idx="414">
                  <c:v>-2.9368362277223206</c:v>
                </c:pt>
                <c:pt idx="415">
                  <c:v>-2.9368362277223206</c:v>
                </c:pt>
                <c:pt idx="416">
                  <c:v>-2.9368362277223206</c:v>
                </c:pt>
                <c:pt idx="417">
                  <c:v>-2.9368362277223206</c:v>
                </c:pt>
                <c:pt idx="418">
                  <c:v>-2.9368362277223206</c:v>
                </c:pt>
              </c:numCache>
            </c:numRef>
          </c:val>
          <c:smooth val="1"/>
          <c:extLst>
            <c:ext xmlns:c16="http://schemas.microsoft.com/office/drawing/2014/chart" uri="{C3380CC4-5D6E-409C-BE32-E72D297353CC}">
              <c16:uniqueId val="{00000003-EEC5-400F-A636-203E78EE28CF}"/>
            </c:ext>
          </c:extLst>
        </c:ser>
        <c:dLbls>
          <c:showLegendKey val="0"/>
          <c:showVal val="0"/>
          <c:showCatName val="0"/>
          <c:showSerName val="0"/>
          <c:showPercent val="0"/>
          <c:showBubbleSize val="0"/>
        </c:dLbls>
        <c:smooth val="0"/>
        <c:axId val="147683023"/>
        <c:axId val="146645279"/>
        <c:extLst>
          <c:ext xmlns:c15="http://schemas.microsoft.com/office/drawing/2012/chart" uri="{02D57815-91ED-43cb-92C2-25804820EDAC}">
            <c15:filteredLineSeries>
              <c15:ser>
                <c:idx val="5"/>
                <c:order val="1"/>
                <c:tx>
                  <c:v>Up (MOC)</c:v>
                </c:tx>
                <c:spPr>
                  <a:ln w="28575" cap="rnd">
                    <a:solidFill>
                      <a:schemeClr val="accent6"/>
                    </a:solidFill>
                    <a:prstDash val="sysDash"/>
                    <a:round/>
                  </a:ln>
                  <a:effectLst/>
                </c:spPr>
                <c:marker>
                  <c:symbol val="none"/>
                </c:marker>
                <c:val>
                  <c:numRef>
                    <c:extLst>
                      <c:ext uri="{02D57815-91ED-43cb-92C2-25804820EDAC}">
                        <c15:formulaRef>
                          <c15:sqref>'2025-Q2'!$AX$4:$AX$350</c15:sqref>
                        </c15:formulaRef>
                      </c:ext>
                    </c:extLst>
                    <c:numCache>
                      <c:formatCode>"$"#,##0</c:formatCode>
                      <c:ptCount val="34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59.839999999999918</c:v>
                      </c:pt>
                      <c:pt idx="40">
                        <c:v>59.839999999999918</c:v>
                      </c:pt>
                      <c:pt idx="41">
                        <c:v>59.839999999999918</c:v>
                      </c:pt>
                      <c:pt idx="42">
                        <c:v>59.839999999999918</c:v>
                      </c:pt>
                      <c:pt idx="43">
                        <c:v>59.839999999999918</c:v>
                      </c:pt>
                      <c:pt idx="44">
                        <c:v>59.839999999999918</c:v>
                      </c:pt>
                      <c:pt idx="45">
                        <c:v>59.839999999999918</c:v>
                      </c:pt>
                      <c:pt idx="46">
                        <c:v>59.839999999999918</c:v>
                      </c:pt>
                      <c:pt idx="47">
                        <c:v>-74.660000000000196</c:v>
                      </c:pt>
                      <c:pt idx="48">
                        <c:v>-74.660000000000196</c:v>
                      </c:pt>
                      <c:pt idx="49">
                        <c:v>-74.660000000000196</c:v>
                      </c:pt>
                      <c:pt idx="50">
                        <c:v>-74.660000000000196</c:v>
                      </c:pt>
                      <c:pt idx="51">
                        <c:v>-74.660000000000196</c:v>
                      </c:pt>
                      <c:pt idx="52">
                        <c:v>-74.660000000000196</c:v>
                      </c:pt>
                      <c:pt idx="53">
                        <c:v>-74.660000000000196</c:v>
                      </c:pt>
                      <c:pt idx="54">
                        <c:v>-74.660000000000196</c:v>
                      </c:pt>
                      <c:pt idx="55">
                        <c:v>-74.660000000000196</c:v>
                      </c:pt>
                      <c:pt idx="56">
                        <c:v>-74.660000000000196</c:v>
                      </c:pt>
                      <c:pt idx="57">
                        <c:v>-74.660000000000196</c:v>
                      </c:pt>
                      <c:pt idx="58">
                        <c:v>-74.660000000000196</c:v>
                      </c:pt>
                      <c:pt idx="59">
                        <c:v>-74.660000000000196</c:v>
                      </c:pt>
                      <c:pt idx="60">
                        <c:v>-74.660000000000196</c:v>
                      </c:pt>
                      <c:pt idx="61">
                        <c:v>-74.660000000000196</c:v>
                      </c:pt>
                      <c:pt idx="62">
                        <c:v>-74.660000000000196</c:v>
                      </c:pt>
                      <c:pt idx="63">
                        <c:v>-74.660000000000196</c:v>
                      </c:pt>
                      <c:pt idx="64">
                        <c:v>-74.660000000000196</c:v>
                      </c:pt>
                      <c:pt idx="65">
                        <c:v>-74.660000000000196</c:v>
                      </c:pt>
                      <c:pt idx="66">
                        <c:v>-74.660000000000196</c:v>
                      </c:pt>
                      <c:pt idx="67">
                        <c:v>-74.660000000000196</c:v>
                      </c:pt>
                      <c:pt idx="68">
                        <c:v>-74.660000000000196</c:v>
                      </c:pt>
                      <c:pt idx="69">
                        <c:v>-54.660000000000196</c:v>
                      </c:pt>
                      <c:pt idx="70">
                        <c:v>-54.660000000000196</c:v>
                      </c:pt>
                      <c:pt idx="71">
                        <c:v>-66.900000000000205</c:v>
                      </c:pt>
                      <c:pt idx="72">
                        <c:v>-66.900000000000205</c:v>
                      </c:pt>
                      <c:pt idx="73">
                        <c:v>-66.900000000000205</c:v>
                      </c:pt>
                      <c:pt idx="74">
                        <c:v>-66.900000000000205</c:v>
                      </c:pt>
                      <c:pt idx="75">
                        <c:v>-66.900000000000205</c:v>
                      </c:pt>
                      <c:pt idx="76">
                        <c:v>-66.900000000000205</c:v>
                      </c:pt>
                      <c:pt idx="77">
                        <c:v>-66.900000000000205</c:v>
                      </c:pt>
                      <c:pt idx="78">
                        <c:v>-66.900000000000205</c:v>
                      </c:pt>
                      <c:pt idx="79">
                        <c:v>-66.900000000000205</c:v>
                      </c:pt>
                      <c:pt idx="80">
                        <c:v>-66.900000000000205</c:v>
                      </c:pt>
                      <c:pt idx="81">
                        <c:v>-66.900000000000205</c:v>
                      </c:pt>
                      <c:pt idx="82">
                        <c:v>-66.900000000000205</c:v>
                      </c:pt>
                      <c:pt idx="83">
                        <c:v>-66.900000000000205</c:v>
                      </c:pt>
                      <c:pt idx="84">
                        <c:v>-66.900000000000205</c:v>
                      </c:pt>
                      <c:pt idx="85">
                        <c:v>-66.900000000000205</c:v>
                      </c:pt>
                      <c:pt idx="86">
                        <c:v>-66.900000000000205</c:v>
                      </c:pt>
                      <c:pt idx="87">
                        <c:v>-66.900000000000205</c:v>
                      </c:pt>
                      <c:pt idx="88">
                        <c:v>-66.900000000000205</c:v>
                      </c:pt>
                      <c:pt idx="89">
                        <c:v>-66.900000000000205</c:v>
                      </c:pt>
                      <c:pt idx="90">
                        <c:v>-66.900000000000205</c:v>
                      </c:pt>
                      <c:pt idx="91">
                        <c:v>-66.900000000000205</c:v>
                      </c:pt>
                      <c:pt idx="92">
                        <c:v>-66.900000000000205</c:v>
                      </c:pt>
                      <c:pt idx="93">
                        <c:v>-66.900000000000205</c:v>
                      </c:pt>
                      <c:pt idx="94">
                        <c:v>-66.900000000000205</c:v>
                      </c:pt>
                      <c:pt idx="95">
                        <c:v>-66.900000000000205</c:v>
                      </c:pt>
                      <c:pt idx="96">
                        <c:v>-66.900000000000205</c:v>
                      </c:pt>
                      <c:pt idx="97">
                        <c:v>-66.900000000000205</c:v>
                      </c:pt>
                      <c:pt idx="98">
                        <c:v>-66.900000000000205</c:v>
                      </c:pt>
                      <c:pt idx="99">
                        <c:v>-66.900000000000205</c:v>
                      </c:pt>
                      <c:pt idx="100">
                        <c:v>-66.900000000000205</c:v>
                      </c:pt>
                      <c:pt idx="101">
                        <c:v>-66.900000000000205</c:v>
                      </c:pt>
                      <c:pt idx="102">
                        <c:v>-66.900000000000205</c:v>
                      </c:pt>
                      <c:pt idx="103">
                        <c:v>-184.54000000000019</c:v>
                      </c:pt>
                      <c:pt idx="104">
                        <c:v>-184.54000000000019</c:v>
                      </c:pt>
                      <c:pt idx="105">
                        <c:v>-184.54000000000019</c:v>
                      </c:pt>
                      <c:pt idx="106">
                        <c:v>-173.34000000000015</c:v>
                      </c:pt>
                      <c:pt idx="107">
                        <c:v>-173.34000000000015</c:v>
                      </c:pt>
                      <c:pt idx="108">
                        <c:v>-173.34000000000015</c:v>
                      </c:pt>
                      <c:pt idx="109">
                        <c:v>-173.34000000000015</c:v>
                      </c:pt>
                      <c:pt idx="110">
                        <c:v>-173.34000000000015</c:v>
                      </c:pt>
                      <c:pt idx="111">
                        <c:v>-173.34000000000015</c:v>
                      </c:pt>
                      <c:pt idx="112">
                        <c:v>-173.34000000000015</c:v>
                      </c:pt>
                      <c:pt idx="113">
                        <c:v>-173.34000000000015</c:v>
                      </c:pt>
                      <c:pt idx="114">
                        <c:v>-173.34000000000015</c:v>
                      </c:pt>
                      <c:pt idx="115">
                        <c:v>-173.34000000000015</c:v>
                      </c:pt>
                      <c:pt idx="116">
                        <c:v>-173.34000000000015</c:v>
                      </c:pt>
                      <c:pt idx="117">
                        <c:v>-173.34000000000015</c:v>
                      </c:pt>
                      <c:pt idx="118">
                        <c:v>-173.34000000000015</c:v>
                      </c:pt>
                      <c:pt idx="119">
                        <c:v>-173.34000000000015</c:v>
                      </c:pt>
                      <c:pt idx="120">
                        <c:v>-173.34000000000015</c:v>
                      </c:pt>
                      <c:pt idx="121">
                        <c:v>-174.74000000000024</c:v>
                      </c:pt>
                      <c:pt idx="122">
                        <c:v>-174.74000000000024</c:v>
                      </c:pt>
                      <c:pt idx="123">
                        <c:v>-174.74000000000024</c:v>
                      </c:pt>
                      <c:pt idx="124">
                        <c:v>-174.74000000000024</c:v>
                      </c:pt>
                      <c:pt idx="125">
                        <c:v>-174.74000000000024</c:v>
                      </c:pt>
                      <c:pt idx="126">
                        <c:v>-174.74000000000024</c:v>
                      </c:pt>
                      <c:pt idx="127">
                        <c:v>-174.74000000000024</c:v>
                      </c:pt>
                      <c:pt idx="128">
                        <c:v>-174.74000000000024</c:v>
                      </c:pt>
                      <c:pt idx="129">
                        <c:v>-174.74000000000024</c:v>
                      </c:pt>
                      <c:pt idx="130">
                        <c:v>-174.74000000000024</c:v>
                      </c:pt>
                      <c:pt idx="131">
                        <c:v>-174.74000000000024</c:v>
                      </c:pt>
                      <c:pt idx="132">
                        <c:v>-174.74000000000024</c:v>
                      </c:pt>
                      <c:pt idx="133">
                        <c:v>-174.74000000000024</c:v>
                      </c:pt>
                      <c:pt idx="134">
                        <c:v>-174.74000000000024</c:v>
                      </c:pt>
                      <c:pt idx="135">
                        <c:v>-174.74000000000024</c:v>
                      </c:pt>
                      <c:pt idx="136">
                        <c:v>-174.74000000000024</c:v>
                      </c:pt>
                      <c:pt idx="137">
                        <c:v>-163.1400000000001</c:v>
                      </c:pt>
                      <c:pt idx="138">
                        <c:v>-163.1400000000001</c:v>
                      </c:pt>
                      <c:pt idx="139">
                        <c:v>-163.1400000000001</c:v>
                      </c:pt>
                      <c:pt idx="140">
                        <c:v>-163.1400000000001</c:v>
                      </c:pt>
                      <c:pt idx="141">
                        <c:v>-163.1400000000001</c:v>
                      </c:pt>
                      <c:pt idx="142">
                        <c:v>-163.1400000000001</c:v>
                      </c:pt>
                      <c:pt idx="143">
                        <c:v>-163.1400000000001</c:v>
                      </c:pt>
                      <c:pt idx="144">
                        <c:v>-163.1400000000001</c:v>
                      </c:pt>
                      <c:pt idx="145">
                        <c:v>-163.1400000000001</c:v>
                      </c:pt>
                      <c:pt idx="146">
                        <c:v>-163.1400000000001</c:v>
                      </c:pt>
                      <c:pt idx="147">
                        <c:v>-163.1400000000001</c:v>
                      </c:pt>
                      <c:pt idx="148">
                        <c:v>-163.1400000000001</c:v>
                      </c:pt>
                      <c:pt idx="149">
                        <c:v>-163.1400000000001</c:v>
                      </c:pt>
                      <c:pt idx="150">
                        <c:v>-163.1400000000001</c:v>
                      </c:pt>
                      <c:pt idx="151">
                        <c:v>-163.1400000000001</c:v>
                      </c:pt>
                      <c:pt idx="152">
                        <c:v>-163.1400000000001</c:v>
                      </c:pt>
                      <c:pt idx="153">
                        <c:v>-163.1400000000001</c:v>
                      </c:pt>
                      <c:pt idx="154">
                        <c:v>-163.1400000000001</c:v>
                      </c:pt>
                      <c:pt idx="155">
                        <c:v>-163.1400000000001</c:v>
                      </c:pt>
                      <c:pt idx="156">
                        <c:v>-163.1400000000001</c:v>
                      </c:pt>
                      <c:pt idx="157">
                        <c:v>-163.1400000000001</c:v>
                      </c:pt>
                      <c:pt idx="158">
                        <c:v>-163.1400000000001</c:v>
                      </c:pt>
                      <c:pt idx="159">
                        <c:v>-163.1400000000001</c:v>
                      </c:pt>
                      <c:pt idx="160">
                        <c:v>-163.1400000000001</c:v>
                      </c:pt>
                      <c:pt idx="161">
                        <c:v>-163.1400000000001</c:v>
                      </c:pt>
                      <c:pt idx="162">
                        <c:v>-163.1400000000001</c:v>
                      </c:pt>
                      <c:pt idx="163">
                        <c:v>-163.1400000000001</c:v>
                      </c:pt>
                      <c:pt idx="164">
                        <c:v>-163.1400000000001</c:v>
                      </c:pt>
                      <c:pt idx="165">
                        <c:v>-163.1400000000001</c:v>
                      </c:pt>
                      <c:pt idx="166">
                        <c:v>-163.1400000000001</c:v>
                      </c:pt>
                      <c:pt idx="167">
                        <c:v>-163.1400000000001</c:v>
                      </c:pt>
                      <c:pt idx="168">
                        <c:v>-163.1400000000001</c:v>
                      </c:pt>
                      <c:pt idx="169">
                        <c:v>-163.1400000000001</c:v>
                      </c:pt>
                      <c:pt idx="170">
                        <c:v>-163.1400000000001</c:v>
                      </c:pt>
                      <c:pt idx="171">
                        <c:v>-163.1400000000001</c:v>
                      </c:pt>
                      <c:pt idx="172">
                        <c:v>-163.1400000000001</c:v>
                      </c:pt>
                      <c:pt idx="173">
                        <c:v>-163.1400000000001</c:v>
                      </c:pt>
                      <c:pt idx="174">
                        <c:v>-163.1400000000001</c:v>
                      </c:pt>
                      <c:pt idx="175">
                        <c:v>-163.1400000000001</c:v>
                      </c:pt>
                      <c:pt idx="176">
                        <c:v>-163.1400000000001</c:v>
                      </c:pt>
                      <c:pt idx="177">
                        <c:v>-163.1400000000001</c:v>
                      </c:pt>
                      <c:pt idx="178">
                        <c:v>-163.1400000000001</c:v>
                      </c:pt>
                      <c:pt idx="179">
                        <c:v>-163.1400000000001</c:v>
                      </c:pt>
                      <c:pt idx="180">
                        <c:v>-163.1400000000001</c:v>
                      </c:pt>
                      <c:pt idx="181">
                        <c:v>-163.1400000000001</c:v>
                      </c:pt>
                      <c:pt idx="182">
                        <c:v>-163.1400000000001</c:v>
                      </c:pt>
                      <c:pt idx="183">
                        <c:v>-163.1400000000001</c:v>
                      </c:pt>
                      <c:pt idx="184">
                        <c:v>-163.1400000000001</c:v>
                      </c:pt>
                      <c:pt idx="185">
                        <c:v>-163.1400000000001</c:v>
                      </c:pt>
                      <c:pt idx="186">
                        <c:v>-163.1400000000001</c:v>
                      </c:pt>
                      <c:pt idx="187">
                        <c:v>-163.1400000000001</c:v>
                      </c:pt>
                      <c:pt idx="188">
                        <c:v>-163.1400000000001</c:v>
                      </c:pt>
                      <c:pt idx="189">
                        <c:v>-163.1400000000001</c:v>
                      </c:pt>
                      <c:pt idx="190">
                        <c:v>-163.1400000000001</c:v>
                      </c:pt>
                      <c:pt idx="191">
                        <c:v>-163.1400000000001</c:v>
                      </c:pt>
                      <c:pt idx="192">
                        <c:v>-163.1400000000001</c:v>
                      </c:pt>
                      <c:pt idx="193">
                        <c:v>-163.1400000000001</c:v>
                      </c:pt>
                      <c:pt idx="194">
                        <c:v>-163.1400000000001</c:v>
                      </c:pt>
                      <c:pt idx="195">
                        <c:v>-163.1400000000001</c:v>
                      </c:pt>
                      <c:pt idx="196">
                        <c:v>-163.1400000000001</c:v>
                      </c:pt>
                      <c:pt idx="197">
                        <c:v>-163.1400000000001</c:v>
                      </c:pt>
                      <c:pt idx="198">
                        <c:v>-163.1400000000001</c:v>
                      </c:pt>
                      <c:pt idx="199">
                        <c:v>-163.1400000000001</c:v>
                      </c:pt>
                      <c:pt idx="200">
                        <c:v>-181.17000000000007</c:v>
                      </c:pt>
                      <c:pt idx="201">
                        <c:v>-181.17000000000007</c:v>
                      </c:pt>
                      <c:pt idx="202">
                        <c:v>-181.17000000000007</c:v>
                      </c:pt>
                      <c:pt idx="203">
                        <c:v>-151.49</c:v>
                      </c:pt>
                      <c:pt idx="204">
                        <c:v>-151.49</c:v>
                      </c:pt>
                      <c:pt idx="205">
                        <c:v>-151.49</c:v>
                      </c:pt>
                      <c:pt idx="206">
                        <c:v>-151.49</c:v>
                      </c:pt>
                      <c:pt idx="207">
                        <c:v>-151.49</c:v>
                      </c:pt>
                      <c:pt idx="208">
                        <c:v>-151.49</c:v>
                      </c:pt>
                      <c:pt idx="209">
                        <c:v>-151.49</c:v>
                      </c:pt>
                      <c:pt idx="210">
                        <c:v>-151.49</c:v>
                      </c:pt>
                      <c:pt idx="211">
                        <c:v>-151.49</c:v>
                      </c:pt>
                      <c:pt idx="212">
                        <c:v>-151.49</c:v>
                      </c:pt>
                      <c:pt idx="213">
                        <c:v>-151.49</c:v>
                      </c:pt>
                      <c:pt idx="214">
                        <c:v>-151.49</c:v>
                      </c:pt>
                      <c:pt idx="215">
                        <c:v>-151.49</c:v>
                      </c:pt>
                      <c:pt idx="216">
                        <c:v>-151.49</c:v>
                      </c:pt>
                      <c:pt idx="217">
                        <c:v>-85.340000000000032</c:v>
                      </c:pt>
                      <c:pt idx="218">
                        <c:v>-85.340000000000032</c:v>
                      </c:pt>
                      <c:pt idx="219">
                        <c:v>-85.340000000000032</c:v>
                      </c:pt>
                      <c:pt idx="220">
                        <c:v>-85.340000000000032</c:v>
                      </c:pt>
                      <c:pt idx="221">
                        <c:v>-85.340000000000032</c:v>
                      </c:pt>
                      <c:pt idx="222">
                        <c:v>-85.340000000000032</c:v>
                      </c:pt>
                      <c:pt idx="223">
                        <c:v>-142.90000000000009</c:v>
                      </c:pt>
                      <c:pt idx="224">
                        <c:v>-142.90000000000009</c:v>
                      </c:pt>
                      <c:pt idx="225">
                        <c:v>-142.90000000000009</c:v>
                      </c:pt>
                      <c:pt idx="226">
                        <c:v>-142.90000000000009</c:v>
                      </c:pt>
                      <c:pt idx="227">
                        <c:v>-142.90000000000009</c:v>
                      </c:pt>
                      <c:pt idx="228">
                        <c:v>-142.90000000000009</c:v>
                      </c:pt>
                      <c:pt idx="229">
                        <c:v>-142.90000000000009</c:v>
                      </c:pt>
                      <c:pt idx="230">
                        <c:v>-142.90000000000009</c:v>
                      </c:pt>
                      <c:pt idx="231">
                        <c:v>-142.90000000000009</c:v>
                      </c:pt>
                      <c:pt idx="232">
                        <c:v>-142.90000000000009</c:v>
                      </c:pt>
                      <c:pt idx="233">
                        <c:v>-142.90000000000009</c:v>
                      </c:pt>
                      <c:pt idx="234">
                        <c:v>-142.90000000000009</c:v>
                      </c:pt>
                      <c:pt idx="235">
                        <c:v>-142.90000000000009</c:v>
                      </c:pt>
                      <c:pt idx="236">
                        <c:v>-142.90000000000009</c:v>
                      </c:pt>
                      <c:pt idx="237">
                        <c:v>-142.90000000000009</c:v>
                      </c:pt>
                      <c:pt idx="238">
                        <c:v>-142.90000000000009</c:v>
                      </c:pt>
                      <c:pt idx="239">
                        <c:v>-142.90000000000009</c:v>
                      </c:pt>
                      <c:pt idx="240">
                        <c:v>-132.30000000000018</c:v>
                      </c:pt>
                      <c:pt idx="241">
                        <c:v>-132.30000000000018</c:v>
                      </c:pt>
                      <c:pt idx="242">
                        <c:v>-132.30000000000018</c:v>
                      </c:pt>
                      <c:pt idx="243">
                        <c:v>-132.30000000000018</c:v>
                      </c:pt>
                      <c:pt idx="244">
                        <c:v>-132.30000000000018</c:v>
                      </c:pt>
                      <c:pt idx="245">
                        <c:v>-132.30000000000018</c:v>
                      </c:pt>
                      <c:pt idx="246">
                        <c:v>-132.30000000000018</c:v>
                      </c:pt>
                      <c:pt idx="247">
                        <c:v>-132.30000000000018</c:v>
                      </c:pt>
                      <c:pt idx="248">
                        <c:v>-132.30000000000018</c:v>
                      </c:pt>
                      <c:pt idx="249">
                        <c:v>-132.30000000000018</c:v>
                      </c:pt>
                      <c:pt idx="250">
                        <c:v>-132.30000000000018</c:v>
                      </c:pt>
                      <c:pt idx="251">
                        <c:v>-132.30000000000018</c:v>
                      </c:pt>
                      <c:pt idx="252">
                        <c:v>-132.30000000000018</c:v>
                      </c:pt>
                      <c:pt idx="253">
                        <c:v>-132.30000000000018</c:v>
                      </c:pt>
                      <c:pt idx="254">
                        <c:v>-132.30000000000018</c:v>
                      </c:pt>
                      <c:pt idx="255">
                        <c:v>-132.30000000000018</c:v>
                      </c:pt>
                      <c:pt idx="256">
                        <c:v>-132.30000000000018</c:v>
                      </c:pt>
                      <c:pt idx="257">
                        <c:v>-269.63053243920194</c:v>
                      </c:pt>
                      <c:pt idx="258">
                        <c:v>-299.03053243920203</c:v>
                      </c:pt>
                      <c:pt idx="259">
                        <c:v>-299.03053243920203</c:v>
                      </c:pt>
                      <c:pt idx="260">
                        <c:v>-299.03053243920203</c:v>
                      </c:pt>
                      <c:pt idx="261">
                        <c:v>-299.03053243920203</c:v>
                      </c:pt>
                      <c:pt idx="262">
                        <c:v>-299.03053243920203</c:v>
                      </c:pt>
                      <c:pt idx="263">
                        <c:v>-299.03053243920203</c:v>
                      </c:pt>
                      <c:pt idx="264">
                        <c:v>-299.03053243920203</c:v>
                      </c:pt>
                      <c:pt idx="265">
                        <c:v>-299.03053243920203</c:v>
                      </c:pt>
                      <c:pt idx="266">
                        <c:v>-299.03053243920203</c:v>
                      </c:pt>
                      <c:pt idx="267">
                        <c:v>-299.03053243920203</c:v>
                      </c:pt>
                      <c:pt idx="268">
                        <c:v>-299.03053243920203</c:v>
                      </c:pt>
                      <c:pt idx="269">
                        <c:v>-299.03053243920203</c:v>
                      </c:pt>
                      <c:pt idx="270">
                        <c:v>-299.03053243920203</c:v>
                      </c:pt>
                      <c:pt idx="271">
                        <c:v>-299.03053243920203</c:v>
                      </c:pt>
                      <c:pt idx="272">
                        <c:v>-299.03053243920203</c:v>
                      </c:pt>
                      <c:pt idx="273">
                        <c:v>-385.38106797961109</c:v>
                      </c:pt>
                      <c:pt idx="274">
                        <c:v>-385.38106797961109</c:v>
                      </c:pt>
                      <c:pt idx="275">
                        <c:v>-385.38106797961109</c:v>
                      </c:pt>
                      <c:pt idx="276">
                        <c:v>-385.38106797961109</c:v>
                      </c:pt>
                      <c:pt idx="277">
                        <c:v>-377.70106797961103</c:v>
                      </c:pt>
                      <c:pt idx="278">
                        <c:v>-377.70106797961103</c:v>
                      </c:pt>
                      <c:pt idx="279">
                        <c:v>-377.70106797961103</c:v>
                      </c:pt>
                      <c:pt idx="280">
                        <c:v>-377.70106797961103</c:v>
                      </c:pt>
                      <c:pt idx="281">
                        <c:v>-377.70106797961103</c:v>
                      </c:pt>
                      <c:pt idx="282">
                        <c:v>-377.70106797961103</c:v>
                      </c:pt>
                      <c:pt idx="283">
                        <c:v>-377.70106797961103</c:v>
                      </c:pt>
                      <c:pt idx="284">
                        <c:v>-377.70106797961103</c:v>
                      </c:pt>
                      <c:pt idx="285">
                        <c:v>-377.70106797961103</c:v>
                      </c:pt>
                      <c:pt idx="286">
                        <c:v>-377.70106797961103</c:v>
                      </c:pt>
                      <c:pt idx="287">
                        <c:v>-377.70106797961103</c:v>
                      </c:pt>
                      <c:pt idx="288">
                        <c:v>-377.70106797961103</c:v>
                      </c:pt>
                      <c:pt idx="289">
                        <c:v>-377.70106797961103</c:v>
                      </c:pt>
                      <c:pt idx="290">
                        <c:v>-366.42106797961105</c:v>
                      </c:pt>
                      <c:pt idx="291">
                        <c:v>-366.42106797961105</c:v>
                      </c:pt>
                      <c:pt idx="292">
                        <c:v>-366.42106797961105</c:v>
                      </c:pt>
                      <c:pt idx="293">
                        <c:v>-366.42106797961105</c:v>
                      </c:pt>
                      <c:pt idx="294">
                        <c:v>-366.42106797961105</c:v>
                      </c:pt>
                      <c:pt idx="295">
                        <c:v>-394.76106797961097</c:v>
                      </c:pt>
                      <c:pt idx="296">
                        <c:v>-394.76106797961097</c:v>
                      </c:pt>
                      <c:pt idx="297">
                        <c:v>-339.68106797961104</c:v>
                      </c:pt>
                      <c:pt idx="298">
                        <c:v>-339.68106797961104</c:v>
                      </c:pt>
                      <c:pt idx="299">
                        <c:v>-339.68106797961104</c:v>
                      </c:pt>
                      <c:pt idx="300">
                        <c:v>-339.68106797961104</c:v>
                      </c:pt>
                      <c:pt idx="301">
                        <c:v>-339.68106797961104</c:v>
                      </c:pt>
                      <c:pt idx="302">
                        <c:v>-339.68106797961104</c:v>
                      </c:pt>
                      <c:pt idx="303">
                        <c:v>-339.68106797961104</c:v>
                      </c:pt>
                      <c:pt idx="304">
                        <c:v>-438.46106797961124</c:v>
                      </c:pt>
                      <c:pt idx="305">
                        <c:v>-438.46106797961124</c:v>
                      </c:pt>
                      <c:pt idx="306">
                        <c:v>-438.46106797961124</c:v>
                      </c:pt>
                      <c:pt idx="307">
                        <c:v>-438.46106797961124</c:v>
                      </c:pt>
                      <c:pt idx="308">
                        <c:v>-438.46106797961124</c:v>
                      </c:pt>
                      <c:pt idx="309">
                        <c:v>-390.96106797961124</c:v>
                      </c:pt>
                      <c:pt idx="310">
                        <c:v>-390.96106797961124</c:v>
                      </c:pt>
                      <c:pt idx="311">
                        <c:v>-390.96106797961124</c:v>
                      </c:pt>
                      <c:pt idx="312">
                        <c:v>-390.96106797961124</c:v>
                      </c:pt>
                      <c:pt idx="313">
                        <c:v>-349.11106797961111</c:v>
                      </c:pt>
                      <c:pt idx="314">
                        <c:v>-349.11106797961111</c:v>
                      </c:pt>
                      <c:pt idx="315">
                        <c:v>-349.11106797961111</c:v>
                      </c:pt>
                      <c:pt idx="316">
                        <c:v>-342.69106797961103</c:v>
                      </c:pt>
                      <c:pt idx="317">
                        <c:v>-340.17106797961105</c:v>
                      </c:pt>
                      <c:pt idx="318">
                        <c:v>-340.17106797961105</c:v>
                      </c:pt>
                      <c:pt idx="319">
                        <c:v>-340.17106797961105</c:v>
                      </c:pt>
                      <c:pt idx="320">
                        <c:v>-340.17106797961105</c:v>
                      </c:pt>
                      <c:pt idx="321">
                        <c:v>-340.17106797961105</c:v>
                      </c:pt>
                      <c:pt idx="322">
                        <c:v>-340.17106797961105</c:v>
                      </c:pt>
                      <c:pt idx="323">
                        <c:v>-340.17106797961105</c:v>
                      </c:pt>
                      <c:pt idx="324">
                        <c:v>-340.17106797961105</c:v>
                      </c:pt>
                      <c:pt idx="325">
                        <c:v>-340.17106797961105</c:v>
                      </c:pt>
                      <c:pt idx="326">
                        <c:v>-340.17106797961105</c:v>
                      </c:pt>
                      <c:pt idx="327">
                        <c:v>-340.17106797961105</c:v>
                      </c:pt>
                      <c:pt idx="328">
                        <c:v>-340.17106797961105</c:v>
                      </c:pt>
                      <c:pt idx="329">
                        <c:v>-240.66106797961083</c:v>
                      </c:pt>
                      <c:pt idx="330">
                        <c:v>-240.66106797961083</c:v>
                      </c:pt>
                      <c:pt idx="331">
                        <c:v>-240.66106797961083</c:v>
                      </c:pt>
                      <c:pt idx="332">
                        <c:v>-240.66106797961083</c:v>
                      </c:pt>
                      <c:pt idx="333">
                        <c:v>-240.66106797961083</c:v>
                      </c:pt>
                      <c:pt idx="334">
                        <c:v>-178.13106797961063</c:v>
                      </c:pt>
                      <c:pt idx="335">
                        <c:v>-178.13106797961063</c:v>
                      </c:pt>
                      <c:pt idx="336">
                        <c:v>-178.13106797961063</c:v>
                      </c:pt>
                      <c:pt idx="337">
                        <c:v>-178.13106797961063</c:v>
                      </c:pt>
                      <c:pt idx="338">
                        <c:v>-206.13106797961063</c:v>
                      </c:pt>
                      <c:pt idx="339">
                        <c:v>-206.13106797961063</c:v>
                      </c:pt>
                      <c:pt idx="340">
                        <c:v>-206.13106797961063</c:v>
                      </c:pt>
                      <c:pt idx="341">
                        <c:v>-203.43106797961059</c:v>
                      </c:pt>
                      <c:pt idx="342">
                        <c:v>-203.43106797961059</c:v>
                      </c:pt>
                      <c:pt idx="343">
                        <c:v>-203.43106797961059</c:v>
                      </c:pt>
                      <c:pt idx="344">
                        <c:v>-203.43106797961059</c:v>
                      </c:pt>
                      <c:pt idx="345">
                        <c:v>-295.97106797961055</c:v>
                      </c:pt>
                      <c:pt idx="346">
                        <c:v>-295.97106797961055</c:v>
                      </c:pt>
                    </c:numCache>
                  </c:numRef>
                </c:val>
                <c:smooth val="0"/>
                <c:extLst>
                  <c:ext xmlns:c16="http://schemas.microsoft.com/office/drawing/2014/chart" uri="{C3380CC4-5D6E-409C-BE32-E72D297353CC}">
                    <c16:uniqueId val="{00000004-EEC5-400F-A636-203E78EE28CF}"/>
                  </c:ext>
                </c:extLst>
              </c15:ser>
            </c15:filteredLineSeries>
            <c15:filteredLineSeries>
              <c15:ser>
                <c:idx val="4"/>
                <c:order val="4"/>
                <c:tx>
                  <c:v>SW (MOC)</c:v>
                </c:tx>
                <c:spPr>
                  <a:ln w="28575" cap="rnd">
                    <a:solidFill>
                      <a:schemeClr val="accent4">
                        <a:lumMod val="60000"/>
                        <a:lumOff val="40000"/>
                      </a:schemeClr>
                    </a:solidFill>
                    <a:prstDash val="sysDash"/>
                    <a:round/>
                  </a:ln>
                  <a:effectLst/>
                </c:spPr>
                <c:marker>
                  <c:symbol val="none"/>
                </c:marker>
                <c:val>
                  <c:numRef>
                    <c:extLst xmlns:c15="http://schemas.microsoft.com/office/drawing/2012/chart">
                      <c:ext xmlns:c15="http://schemas.microsoft.com/office/drawing/2012/chart" uri="{02D57815-91ED-43cb-92C2-25804820EDAC}">
                        <c15:formulaRef>
                          <c15:sqref>'2025-Q2'!$AV$4:$AV$350</c15:sqref>
                        </c15:formulaRef>
                      </c:ext>
                    </c:extLst>
                    <c:numCache>
                      <c:formatCode>"$"#,##0</c:formatCode>
                      <c:ptCount val="347"/>
                      <c:pt idx="0">
                        <c:v>0</c:v>
                      </c:pt>
                      <c:pt idx="1">
                        <c:v>0</c:v>
                      </c:pt>
                      <c:pt idx="2">
                        <c:v>45.449999999999818</c:v>
                      </c:pt>
                      <c:pt idx="3">
                        <c:v>35.25</c:v>
                      </c:pt>
                      <c:pt idx="4">
                        <c:v>55.25</c:v>
                      </c:pt>
                      <c:pt idx="5">
                        <c:v>70.090000000000146</c:v>
                      </c:pt>
                      <c:pt idx="6">
                        <c:v>85.490000000000236</c:v>
                      </c:pt>
                      <c:pt idx="7">
                        <c:v>158.24</c:v>
                      </c:pt>
                      <c:pt idx="8">
                        <c:v>177.32000000000005</c:v>
                      </c:pt>
                      <c:pt idx="9">
                        <c:v>177.32000000000005</c:v>
                      </c:pt>
                      <c:pt idx="10">
                        <c:v>197.30000000000007</c:v>
                      </c:pt>
                      <c:pt idx="11">
                        <c:v>236.89999999999998</c:v>
                      </c:pt>
                      <c:pt idx="12">
                        <c:v>236.89999999999998</c:v>
                      </c:pt>
                      <c:pt idx="13">
                        <c:v>231.72000000000014</c:v>
                      </c:pt>
                      <c:pt idx="14">
                        <c:v>231.72000000000014</c:v>
                      </c:pt>
                      <c:pt idx="15">
                        <c:v>231.54000000000008</c:v>
                      </c:pt>
                      <c:pt idx="16">
                        <c:v>231.54000000000008</c:v>
                      </c:pt>
                      <c:pt idx="17">
                        <c:v>231.54000000000008</c:v>
                      </c:pt>
                      <c:pt idx="18">
                        <c:v>212.34000000000003</c:v>
                      </c:pt>
                      <c:pt idx="19">
                        <c:v>243.65999999999997</c:v>
                      </c:pt>
                      <c:pt idx="20">
                        <c:v>256.64966594568602</c:v>
                      </c:pt>
                      <c:pt idx="21">
                        <c:v>252.56795937946242</c:v>
                      </c:pt>
                      <c:pt idx="22">
                        <c:v>252.56795937946242</c:v>
                      </c:pt>
                      <c:pt idx="23">
                        <c:v>258.96870149449035</c:v>
                      </c:pt>
                      <c:pt idx="24">
                        <c:v>281.78870149449051</c:v>
                      </c:pt>
                      <c:pt idx="25">
                        <c:v>19.92870149449061</c:v>
                      </c:pt>
                      <c:pt idx="26">
                        <c:v>19.92870149449061</c:v>
                      </c:pt>
                      <c:pt idx="27">
                        <c:v>19.92870149449061</c:v>
                      </c:pt>
                      <c:pt idx="28">
                        <c:v>19.92870149449061</c:v>
                      </c:pt>
                      <c:pt idx="29">
                        <c:v>26.67870149449061</c:v>
                      </c:pt>
                      <c:pt idx="30">
                        <c:v>26.67870149449061</c:v>
                      </c:pt>
                      <c:pt idx="31">
                        <c:v>26.67870149449061</c:v>
                      </c:pt>
                      <c:pt idx="32">
                        <c:v>26.67870149449061</c:v>
                      </c:pt>
                      <c:pt idx="33">
                        <c:v>18.628701494490656</c:v>
                      </c:pt>
                      <c:pt idx="34">
                        <c:v>-37.621298505509344</c:v>
                      </c:pt>
                      <c:pt idx="35">
                        <c:v>-117.30129850550941</c:v>
                      </c:pt>
                      <c:pt idx="36">
                        <c:v>-117.30129850550941</c:v>
                      </c:pt>
                      <c:pt idx="37">
                        <c:v>-136.55129850550941</c:v>
                      </c:pt>
                      <c:pt idx="38">
                        <c:v>-121.67129850550941</c:v>
                      </c:pt>
                      <c:pt idx="39">
                        <c:v>-121.67129850550941</c:v>
                      </c:pt>
                      <c:pt idx="40">
                        <c:v>-121.67129850550941</c:v>
                      </c:pt>
                      <c:pt idx="41">
                        <c:v>-121.67129850550941</c:v>
                      </c:pt>
                      <c:pt idx="42">
                        <c:v>-121.67129850550941</c:v>
                      </c:pt>
                      <c:pt idx="43">
                        <c:v>-45.861298505509467</c:v>
                      </c:pt>
                      <c:pt idx="44">
                        <c:v>-39.361298505509467</c:v>
                      </c:pt>
                      <c:pt idx="45">
                        <c:v>-28.111298505509467</c:v>
                      </c:pt>
                      <c:pt idx="46">
                        <c:v>-28.111298505509467</c:v>
                      </c:pt>
                      <c:pt idx="47">
                        <c:v>-28.111298505509467</c:v>
                      </c:pt>
                      <c:pt idx="48">
                        <c:v>-28.111298505509467</c:v>
                      </c:pt>
                      <c:pt idx="49">
                        <c:v>-142.53968337706056</c:v>
                      </c:pt>
                      <c:pt idx="50">
                        <c:v>-160.4474473522157</c:v>
                      </c:pt>
                      <c:pt idx="51">
                        <c:v>-68.287447352215622</c:v>
                      </c:pt>
                      <c:pt idx="52">
                        <c:v>-68.287447352215622</c:v>
                      </c:pt>
                      <c:pt idx="53">
                        <c:v>-33.00744735221565</c:v>
                      </c:pt>
                      <c:pt idx="54">
                        <c:v>-14.627447352215654</c:v>
                      </c:pt>
                      <c:pt idx="55">
                        <c:v>-14.627447352215654</c:v>
                      </c:pt>
                      <c:pt idx="56">
                        <c:v>-64.227447352215677</c:v>
                      </c:pt>
                      <c:pt idx="57">
                        <c:v>-64.227447352215677</c:v>
                      </c:pt>
                      <c:pt idx="58">
                        <c:v>-32.927447352215609</c:v>
                      </c:pt>
                      <c:pt idx="59">
                        <c:v>5.1725526477844141</c:v>
                      </c:pt>
                      <c:pt idx="60">
                        <c:v>7.8725526477844596</c:v>
                      </c:pt>
                      <c:pt idx="61">
                        <c:v>37.932552647784405</c:v>
                      </c:pt>
                      <c:pt idx="62">
                        <c:v>102.73255264778447</c:v>
                      </c:pt>
                      <c:pt idx="63">
                        <c:v>118.39255264778456</c:v>
                      </c:pt>
                      <c:pt idx="64">
                        <c:v>125.29255264778453</c:v>
                      </c:pt>
                      <c:pt idx="65">
                        <c:v>174.54255264778453</c:v>
                      </c:pt>
                      <c:pt idx="66">
                        <c:v>174.54255264778453</c:v>
                      </c:pt>
                      <c:pt idx="67">
                        <c:v>174.54255264778453</c:v>
                      </c:pt>
                      <c:pt idx="68">
                        <c:v>174.54255264778453</c:v>
                      </c:pt>
                      <c:pt idx="69">
                        <c:v>174.54255264778453</c:v>
                      </c:pt>
                      <c:pt idx="70">
                        <c:v>174.54255264778453</c:v>
                      </c:pt>
                      <c:pt idx="71">
                        <c:v>174.54255264778453</c:v>
                      </c:pt>
                      <c:pt idx="72">
                        <c:v>215.38255264778456</c:v>
                      </c:pt>
                      <c:pt idx="73">
                        <c:v>188.17255264778453</c:v>
                      </c:pt>
                      <c:pt idx="74">
                        <c:v>219.13255264778456</c:v>
                      </c:pt>
                      <c:pt idx="75">
                        <c:v>165.93255264778452</c:v>
                      </c:pt>
                      <c:pt idx="76">
                        <c:v>215.8325526477845</c:v>
                      </c:pt>
                      <c:pt idx="77">
                        <c:v>259.68255264778452</c:v>
                      </c:pt>
                      <c:pt idx="78">
                        <c:v>195.08255264778461</c:v>
                      </c:pt>
                      <c:pt idx="79">
                        <c:v>195.08255264778461</c:v>
                      </c:pt>
                      <c:pt idx="80">
                        <c:v>208.3425526477846</c:v>
                      </c:pt>
                      <c:pt idx="81">
                        <c:v>208.3425526477846</c:v>
                      </c:pt>
                      <c:pt idx="82">
                        <c:v>208.3425526477846</c:v>
                      </c:pt>
                      <c:pt idx="83">
                        <c:v>236.54255264778465</c:v>
                      </c:pt>
                      <c:pt idx="84">
                        <c:v>75.742552647784692</c:v>
                      </c:pt>
                      <c:pt idx="85">
                        <c:v>75.742552647784692</c:v>
                      </c:pt>
                      <c:pt idx="86">
                        <c:v>44.742552647784692</c:v>
                      </c:pt>
                      <c:pt idx="87">
                        <c:v>44.742552647784692</c:v>
                      </c:pt>
                      <c:pt idx="88">
                        <c:v>44.742552647784692</c:v>
                      </c:pt>
                      <c:pt idx="89">
                        <c:v>59.622552647784573</c:v>
                      </c:pt>
                      <c:pt idx="90">
                        <c:v>59.622552647784573</c:v>
                      </c:pt>
                      <c:pt idx="91">
                        <c:v>59.622552647784573</c:v>
                      </c:pt>
                      <c:pt idx="92">
                        <c:v>59.622552647784573</c:v>
                      </c:pt>
                      <c:pt idx="93">
                        <c:v>30.959567043367201</c:v>
                      </c:pt>
                      <c:pt idx="94">
                        <c:v>47.809567043367224</c:v>
                      </c:pt>
                      <c:pt idx="95">
                        <c:v>47.809567043367224</c:v>
                      </c:pt>
                      <c:pt idx="96">
                        <c:v>47.809567043367224</c:v>
                      </c:pt>
                      <c:pt idx="97">
                        <c:v>47.809567043367224</c:v>
                      </c:pt>
                      <c:pt idx="98">
                        <c:v>47.809567043367224</c:v>
                      </c:pt>
                      <c:pt idx="99">
                        <c:v>-49.590432956632867</c:v>
                      </c:pt>
                      <c:pt idx="100">
                        <c:v>-49.590432956632867</c:v>
                      </c:pt>
                      <c:pt idx="101">
                        <c:v>-67.840432956632867</c:v>
                      </c:pt>
                      <c:pt idx="102">
                        <c:v>-68.000432956632835</c:v>
                      </c:pt>
                      <c:pt idx="103">
                        <c:v>-68.000432956632835</c:v>
                      </c:pt>
                      <c:pt idx="104">
                        <c:v>-71.840432956632753</c:v>
                      </c:pt>
                      <c:pt idx="105">
                        <c:v>-71.840432956632753</c:v>
                      </c:pt>
                      <c:pt idx="106">
                        <c:v>-71.840432956632753</c:v>
                      </c:pt>
                      <c:pt idx="107">
                        <c:v>-136.64043295663271</c:v>
                      </c:pt>
                      <c:pt idx="108">
                        <c:v>-122.36043295663274</c:v>
                      </c:pt>
                      <c:pt idx="109">
                        <c:v>-176.00043295663284</c:v>
                      </c:pt>
                      <c:pt idx="110">
                        <c:v>-176.00043295663284</c:v>
                      </c:pt>
                      <c:pt idx="111">
                        <c:v>-176.00043295663284</c:v>
                      </c:pt>
                      <c:pt idx="112">
                        <c:v>-216.47043295663286</c:v>
                      </c:pt>
                      <c:pt idx="113">
                        <c:v>-188.0787935487491</c:v>
                      </c:pt>
                      <c:pt idx="114">
                        <c:v>-175.97879354874919</c:v>
                      </c:pt>
                      <c:pt idx="115">
                        <c:v>-61.018793548749386</c:v>
                      </c:pt>
                      <c:pt idx="116">
                        <c:v>-61.018793548749386</c:v>
                      </c:pt>
                      <c:pt idx="117">
                        <c:v>-61.018793548749386</c:v>
                      </c:pt>
                      <c:pt idx="118">
                        <c:v>-25.19879354874945</c:v>
                      </c:pt>
                      <c:pt idx="119">
                        <c:v>-31.378793548749513</c:v>
                      </c:pt>
                      <c:pt idx="120">
                        <c:v>-31.378793548749513</c:v>
                      </c:pt>
                      <c:pt idx="121">
                        <c:v>-31.378793548749513</c:v>
                      </c:pt>
                      <c:pt idx="122">
                        <c:v>-100.2787935487496</c:v>
                      </c:pt>
                      <c:pt idx="123">
                        <c:v>-109.67879354874947</c:v>
                      </c:pt>
                      <c:pt idx="124">
                        <c:v>-109.67879354874947</c:v>
                      </c:pt>
                      <c:pt idx="125">
                        <c:v>-43.758793548749395</c:v>
                      </c:pt>
                      <c:pt idx="126">
                        <c:v>-42.408793548749259</c:v>
                      </c:pt>
                      <c:pt idx="127">
                        <c:v>-42.408793548749259</c:v>
                      </c:pt>
                      <c:pt idx="128">
                        <c:v>-18.358793548749304</c:v>
                      </c:pt>
                      <c:pt idx="129">
                        <c:v>-18.358793548749304</c:v>
                      </c:pt>
                      <c:pt idx="130">
                        <c:v>24.921206451250669</c:v>
                      </c:pt>
                      <c:pt idx="131">
                        <c:v>24.921206451250669</c:v>
                      </c:pt>
                      <c:pt idx="132">
                        <c:v>18.921206451250555</c:v>
                      </c:pt>
                      <c:pt idx="133">
                        <c:v>18.921206451250555</c:v>
                      </c:pt>
                      <c:pt idx="134">
                        <c:v>18.921206451250555</c:v>
                      </c:pt>
                      <c:pt idx="135">
                        <c:v>18.921206451250555</c:v>
                      </c:pt>
                      <c:pt idx="136">
                        <c:v>18.921206451250555</c:v>
                      </c:pt>
                      <c:pt idx="137">
                        <c:v>18.921206451250555</c:v>
                      </c:pt>
                      <c:pt idx="138">
                        <c:v>18.921206451250555</c:v>
                      </c:pt>
                      <c:pt idx="139">
                        <c:v>18.921206451250555</c:v>
                      </c:pt>
                      <c:pt idx="140">
                        <c:v>26.761206451250359</c:v>
                      </c:pt>
                      <c:pt idx="141">
                        <c:v>26.761206451250359</c:v>
                      </c:pt>
                      <c:pt idx="142">
                        <c:v>26.761206451250359</c:v>
                      </c:pt>
                      <c:pt idx="143">
                        <c:v>26.761206451250359</c:v>
                      </c:pt>
                      <c:pt idx="144">
                        <c:v>26.761206451250359</c:v>
                      </c:pt>
                      <c:pt idx="145">
                        <c:v>26.761206451250359</c:v>
                      </c:pt>
                      <c:pt idx="146">
                        <c:v>26.761206451250359</c:v>
                      </c:pt>
                      <c:pt idx="147">
                        <c:v>26.761206451250359</c:v>
                      </c:pt>
                      <c:pt idx="148">
                        <c:v>32.011206451250359</c:v>
                      </c:pt>
                      <c:pt idx="149">
                        <c:v>82.511206451250359</c:v>
                      </c:pt>
                      <c:pt idx="150">
                        <c:v>113.42120645125044</c:v>
                      </c:pt>
                      <c:pt idx="151">
                        <c:v>236.01120645125059</c:v>
                      </c:pt>
                      <c:pt idx="152">
                        <c:v>236.01120645125059</c:v>
                      </c:pt>
                      <c:pt idx="153">
                        <c:v>178.41120645125056</c:v>
                      </c:pt>
                      <c:pt idx="154">
                        <c:v>190.35120645125062</c:v>
                      </c:pt>
                      <c:pt idx="155">
                        <c:v>171.54120645125067</c:v>
                      </c:pt>
                      <c:pt idx="156">
                        <c:v>171.54120645125067</c:v>
                      </c:pt>
                      <c:pt idx="157">
                        <c:v>175.84120645125066</c:v>
                      </c:pt>
                      <c:pt idx="158">
                        <c:v>141.43120645125069</c:v>
                      </c:pt>
                      <c:pt idx="159">
                        <c:v>48.131206451250733</c:v>
                      </c:pt>
                      <c:pt idx="160">
                        <c:v>85.331206451250551</c:v>
                      </c:pt>
                      <c:pt idx="161">
                        <c:v>118.93120645125057</c:v>
                      </c:pt>
                      <c:pt idx="162">
                        <c:v>118.93120645125057</c:v>
                      </c:pt>
                      <c:pt idx="163">
                        <c:v>118.93120645125057</c:v>
                      </c:pt>
                      <c:pt idx="164">
                        <c:v>126.41120645125059</c:v>
                      </c:pt>
                      <c:pt idx="165">
                        <c:v>216.02120645125072</c:v>
                      </c:pt>
                      <c:pt idx="166">
                        <c:v>208.66120645125071</c:v>
                      </c:pt>
                      <c:pt idx="167">
                        <c:v>227.98120645125087</c:v>
                      </c:pt>
                      <c:pt idx="168">
                        <c:v>227.98120645125087</c:v>
                      </c:pt>
                      <c:pt idx="169">
                        <c:v>247.23120645125087</c:v>
                      </c:pt>
                      <c:pt idx="170">
                        <c:v>247.23120645125087</c:v>
                      </c:pt>
                      <c:pt idx="171">
                        <c:v>161.08120645125089</c:v>
                      </c:pt>
                      <c:pt idx="172">
                        <c:v>161.08120645125089</c:v>
                      </c:pt>
                      <c:pt idx="173">
                        <c:v>229.00120645125085</c:v>
                      </c:pt>
                      <c:pt idx="174">
                        <c:v>229.00120645125085</c:v>
                      </c:pt>
                      <c:pt idx="175">
                        <c:v>319.42120645125067</c:v>
                      </c:pt>
                      <c:pt idx="176">
                        <c:v>319.42120645125067</c:v>
                      </c:pt>
                      <c:pt idx="177">
                        <c:v>365.84120645125074</c:v>
                      </c:pt>
                      <c:pt idx="178">
                        <c:v>365.84120645125074</c:v>
                      </c:pt>
                      <c:pt idx="179">
                        <c:v>365.84120645125074</c:v>
                      </c:pt>
                      <c:pt idx="180">
                        <c:v>314.2412064512506</c:v>
                      </c:pt>
                      <c:pt idx="181">
                        <c:v>307.34120645125074</c:v>
                      </c:pt>
                      <c:pt idx="182">
                        <c:v>332.24120645125083</c:v>
                      </c:pt>
                      <c:pt idx="183">
                        <c:v>339.09120645125086</c:v>
                      </c:pt>
                      <c:pt idx="184">
                        <c:v>339.09120645125086</c:v>
                      </c:pt>
                      <c:pt idx="185">
                        <c:v>339.09120645125086</c:v>
                      </c:pt>
                      <c:pt idx="186">
                        <c:v>339.09120645125086</c:v>
                      </c:pt>
                      <c:pt idx="187">
                        <c:v>331.25120645125094</c:v>
                      </c:pt>
                      <c:pt idx="188">
                        <c:v>331.25120645125094</c:v>
                      </c:pt>
                      <c:pt idx="189">
                        <c:v>331.25120645125094</c:v>
                      </c:pt>
                      <c:pt idx="190">
                        <c:v>271.49120645125095</c:v>
                      </c:pt>
                      <c:pt idx="191">
                        <c:v>271.49120645125095</c:v>
                      </c:pt>
                      <c:pt idx="192">
                        <c:v>218.73120645125073</c:v>
                      </c:pt>
                      <c:pt idx="193">
                        <c:v>218.73120645125073</c:v>
                      </c:pt>
                      <c:pt idx="194">
                        <c:v>218.73120645125073</c:v>
                      </c:pt>
                      <c:pt idx="195">
                        <c:v>158.55120645125089</c:v>
                      </c:pt>
                      <c:pt idx="196">
                        <c:v>155.69120645125099</c:v>
                      </c:pt>
                      <c:pt idx="197">
                        <c:v>155.69120645125099</c:v>
                      </c:pt>
                      <c:pt idx="198">
                        <c:v>155.69120645125099</c:v>
                      </c:pt>
                      <c:pt idx="199">
                        <c:v>155.69120645125099</c:v>
                      </c:pt>
                      <c:pt idx="200">
                        <c:v>155.69120645125099</c:v>
                      </c:pt>
                      <c:pt idx="201">
                        <c:v>155.69120645125099</c:v>
                      </c:pt>
                      <c:pt idx="202">
                        <c:v>165.81120645125111</c:v>
                      </c:pt>
                      <c:pt idx="203">
                        <c:v>165.81120645125111</c:v>
                      </c:pt>
                      <c:pt idx="204">
                        <c:v>194.93120645125123</c:v>
                      </c:pt>
                      <c:pt idx="205">
                        <c:v>118.37120645125117</c:v>
                      </c:pt>
                      <c:pt idx="206">
                        <c:v>195.83120645125121</c:v>
                      </c:pt>
                      <c:pt idx="207">
                        <c:v>195.83120645125121</c:v>
                      </c:pt>
                      <c:pt idx="208">
                        <c:v>181.91120645125113</c:v>
                      </c:pt>
                      <c:pt idx="209">
                        <c:v>181.91120645125113</c:v>
                      </c:pt>
                      <c:pt idx="210">
                        <c:v>77.06120645125111</c:v>
                      </c:pt>
                      <c:pt idx="211">
                        <c:v>66.701206451251096</c:v>
                      </c:pt>
                      <c:pt idx="212">
                        <c:v>85.211399342838945</c:v>
                      </c:pt>
                      <c:pt idx="213">
                        <c:v>85.211399342838945</c:v>
                      </c:pt>
                      <c:pt idx="214">
                        <c:v>85.211399342838945</c:v>
                      </c:pt>
                      <c:pt idx="215">
                        <c:v>85.211399342838945</c:v>
                      </c:pt>
                      <c:pt idx="216">
                        <c:v>129.05139934283909</c:v>
                      </c:pt>
                      <c:pt idx="217">
                        <c:v>129.05139934283909</c:v>
                      </c:pt>
                      <c:pt idx="218">
                        <c:v>129.05139934283909</c:v>
                      </c:pt>
                      <c:pt idx="219">
                        <c:v>246.01139934283913</c:v>
                      </c:pt>
                      <c:pt idx="220">
                        <c:v>246.01139934283913</c:v>
                      </c:pt>
                      <c:pt idx="221">
                        <c:v>231.71139934283894</c:v>
                      </c:pt>
                      <c:pt idx="222">
                        <c:v>231.71139934283894</c:v>
                      </c:pt>
                      <c:pt idx="223">
                        <c:v>231.71139934283894</c:v>
                      </c:pt>
                      <c:pt idx="224">
                        <c:v>302.23139934283893</c:v>
                      </c:pt>
                      <c:pt idx="225">
                        <c:v>302.23139934283893</c:v>
                      </c:pt>
                      <c:pt idx="226">
                        <c:v>199.28139934283888</c:v>
                      </c:pt>
                      <c:pt idx="227">
                        <c:v>199.28139934283888</c:v>
                      </c:pt>
                      <c:pt idx="228">
                        <c:v>216.20139934283895</c:v>
                      </c:pt>
                      <c:pt idx="229">
                        <c:v>255.68139934283897</c:v>
                      </c:pt>
                      <c:pt idx="230">
                        <c:v>255.68139934283897</c:v>
                      </c:pt>
                      <c:pt idx="231">
                        <c:v>213.14249066104651</c:v>
                      </c:pt>
                      <c:pt idx="232">
                        <c:v>266.9024906610465</c:v>
                      </c:pt>
                      <c:pt idx="233">
                        <c:v>256.66249066104672</c:v>
                      </c:pt>
                      <c:pt idx="234">
                        <c:v>256.66249066104672</c:v>
                      </c:pt>
                      <c:pt idx="235">
                        <c:v>256.66249066104672</c:v>
                      </c:pt>
                      <c:pt idx="236">
                        <c:v>256.66249066104672</c:v>
                      </c:pt>
                      <c:pt idx="237">
                        <c:v>264.4624906610469</c:v>
                      </c:pt>
                      <c:pt idx="238">
                        <c:v>167.92249066104694</c:v>
                      </c:pt>
                      <c:pt idx="239">
                        <c:v>187.36249066104699</c:v>
                      </c:pt>
                      <c:pt idx="240">
                        <c:v>187.36249066104699</c:v>
                      </c:pt>
                      <c:pt idx="241">
                        <c:v>187.36249066104699</c:v>
                      </c:pt>
                      <c:pt idx="242">
                        <c:v>186.04249066104705</c:v>
                      </c:pt>
                      <c:pt idx="243">
                        <c:v>186.04249066104705</c:v>
                      </c:pt>
                      <c:pt idx="244">
                        <c:v>87.822490661047027</c:v>
                      </c:pt>
                      <c:pt idx="245">
                        <c:v>87.822490661047027</c:v>
                      </c:pt>
                      <c:pt idx="246">
                        <c:v>87.822490661047027</c:v>
                      </c:pt>
                      <c:pt idx="247">
                        <c:v>87.822490661047027</c:v>
                      </c:pt>
                      <c:pt idx="248">
                        <c:v>87.822490661047027</c:v>
                      </c:pt>
                      <c:pt idx="249">
                        <c:v>87.822490661047027</c:v>
                      </c:pt>
                      <c:pt idx="250">
                        <c:v>87.822490661047027</c:v>
                      </c:pt>
                      <c:pt idx="251">
                        <c:v>-6.3775093389530184</c:v>
                      </c:pt>
                      <c:pt idx="252">
                        <c:v>3.4224906610469361</c:v>
                      </c:pt>
                      <c:pt idx="253">
                        <c:v>3.4224906610469361</c:v>
                      </c:pt>
                      <c:pt idx="254">
                        <c:v>3.4224906610469361</c:v>
                      </c:pt>
                      <c:pt idx="255">
                        <c:v>3.4224906610469361</c:v>
                      </c:pt>
                      <c:pt idx="256">
                        <c:v>33.122490661046754</c:v>
                      </c:pt>
                      <c:pt idx="257">
                        <c:v>33.122490661046754</c:v>
                      </c:pt>
                      <c:pt idx="258">
                        <c:v>33.122490661046754</c:v>
                      </c:pt>
                      <c:pt idx="259">
                        <c:v>33.122490661046754</c:v>
                      </c:pt>
                      <c:pt idx="260">
                        <c:v>33.122490661046754</c:v>
                      </c:pt>
                      <c:pt idx="261">
                        <c:v>33.122490661046754</c:v>
                      </c:pt>
                      <c:pt idx="262">
                        <c:v>33.122490661046754</c:v>
                      </c:pt>
                      <c:pt idx="263">
                        <c:v>-3.3275093389532913</c:v>
                      </c:pt>
                      <c:pt idx="264">
                        <c:v>-3.3275093389532913</c:v>
                      </c:pt>
                      <c:pt idx="265">
                        <c:v>-3.3275093389532913</c:v>
                      </c:pt>
                      <c:pt idx="266">
                        <c:v>20.122490661046527</c:v>
                      </c:pt>
                      <c:pt idx="267">
                        <c:v>20.122490661046527</c:v>
                      </c:pt>
                      <c:pt idx="268">
                        <c:v>20.122490661046527</c:v>
                      </c:pt>
                      <c:pt idx="269">
                        <c:v>20.122490661046527</c:v>
                      </c:pt>
                      <c:pt idx="270">
                        <c:v>20.122490661046527</c:v>
                      </c:pt>
                      <c:pt idx="271">
                        <c:v>20.122490661046527</c:v>
                      </c:pt>
                      <c:pt idx="272">
                        <c:v>20.122490661046527</c:v>
                      </c:pt>
                      <c:pt idx="273">
                        <c:v>20.122490661046527</c:v>
                      </c:pt>
                      <c:pt idx="274">
                        <c:v>20.122490661046527</c:v>
                      </c:pt>
                      <c:pt idx="275">
                        <c:v>20.122490661046527</c:v>
                      </c:pt>
                      <c:pt idx="276">
                        <c:v>20.122490661046527</c:v>
                      </c:pt>
                      <c:pt idx="277">
                        <c:v>20.122490661046527</c:v>
                      </c:pt>
                      <c:pt idx="278">
                        <c:v>20.122490661046527</c:v>
                      </c:pt>
                      <c:pt idx="279">
                        <c:v>20.122490661046527</c:v>
                      </c:pt>
                      <c:pt idx="280">
                        <c:v>15.562490661046581</c:v>
                      </c:pt>
                      <c:pt idx="281">
                        <c:v>-40.597509338953273</c:v>
                      </c:pt>
                      <c:pt idx="282">
                        <c:v>-40.597509338953273</c:v>
                      </c:pt>
                      <c:pt idx="283">
                        <c:v>-40.597509338953273</c:v>
                      </c:pt>
                      <c:pt idx="284">
                        <c:v>-7.2975093389533185</c:v>
                      </c:pt>
                      <c:pt idx="285">
                        <c:v>-7.2975093389533185</c:v>
                      </c:pt>
                      <c:pt idx="286">
                        <c:v>1.1024906610467724</c:v>
                      </c:pt>
                      <c:pt idx="287">
                        <c:v>1.1024906610467724</c:v>
                      </c:pt>
                      <c:pt idx="288">
                        <c:v>151.70249066104691</c:v>
                      </c:pt>
                      <c:pt idx="289">
                        <c:v>151.70249066104691</c:v>
                      </c:pt>
                      <c:pt idx="290">
                        <c:v>151.70249066104691</c:v>
                      </c:pt>
                      <c:pt idx="291">
                        <c:v>151.70249066104691</c:v>
                      </c:pt>
                      <c:pt idx="292">
                        <c:v>151.70249066104691</c:v>
                      </c:pt>
                      <c:pt idx="293">
                        <c:v>148.00249066104664</c:v>
                      </c:pt>
                      <c:pt idx="294">
                        <c:v>148.00249066104664</c:v>
                      </c:pt>
                      <c:pt idx="295">
                        <c:v>148.00249066104664</c:v>
                      </c:pt>
                      <c:pt idx="296">
                        <c:v>148.00249066104664</c:v>
                      </c:pt>
                      <c:pt idx="297">
                        <c:v>148.00249066104664</c:v>
                      </c:pt>
                      <c:pt idx="298">
                        <c:v>148.00249066104664</c:v>
                      </c:pt>
                      <c:pt idx="299">
                        <c:v>121.60249066104666</c:v>
                      </c:pt>
                      <c:pt idx="300">
                        <c:v>175.24249066104653</c:v>
                      </c:pt>
                      <c:pt idx="301">
                        <c:v>345.26249066104651</c:v>
                      </c:pt>
                      <c:pt idx="302">
                        <c:v>345.26249066104651</c:v>
                      </c:pt>
                      <c:pt idx="303">
                        <c:v>428.48249066104654</c:v>
                      </c:pt>
                      <c:pt idx="304">
                        <c:v>428.48249066104654</c:v>
                      </c:pt>
                      <c:pt idx="305">
                        <c:v>531.88249066104663</c:v>
                      </c:pt>
                      <c:pt idx="306">
                        <c:v>676.08249066104668</c:v>
                      </c:pt>
                      <c:pt idx="307">
                        <c:v>685.53249066104672</c:v>
                      </c:pt>
                      <c:pt idx="308">
                        <c:v>685.53249066104672</c:v>
                      </c:pt>
                      <c:pt idx="309">
                        <c:v>685.53249066104672</c:v>
                      </c:pt>
                      <c:pt idx="310">
                        <c:v>685.53249066104672</c:v>
                      </c:pt>
                      <c:pt idx="311">
                        <c:v>685.53249066104672</c:v>
                      </c:pt>
                      <c:pt idx="312">
                        <c:v>685.53249066104672</c:v>
                      </c:pt>
                      <c:pt idx="313">
                        <c:v>685.53249066104672</c:v>
                      </c:pt>
                      <c:pt idx="314">
                        <c:v>685.53249066104672</c:v>
                      </c:pt>
                      <c:pt idx="315">
                        <c:v>685.53249066104672</c:v>
                      </c:pt>
                      <c:pt idx="316">
                        <c:v>685.53249066104672</c:v>
                      </c:pt>
                      <c:pt idx="317">
                        <c:v>685.53249066104672</c:v>
                      </c:pt>
                      <c:pt idx="318">
                        <c:v>599.43627194988017</c:v>
                      </c:pt>
                      <c:pt idx="319">
                        <c:v>814.11627194988023</c:v>
                      </c:pt>
                      <c:pt idx="320">
                        <c:v>814.11627194988023</c:v>
                      </c:pt>
                      <c:pt idx="321">
                        <c:v>804.91627194988018</c:v>
                      </c:pt>
                      <c:pt idx="322">
                        <c:v>869.71627194988037</c:v>
                      </c:pt>
                      <c:pt idx="323">
                        <c:v>640.46627194988037</c:v>
                      </c:pt>
                      <c:pt idx="324">
                        <c:v>640.46627194988037</c:v>
                      </c:pt>
                      <c:pt idx="325">
                        <c:v>690.46627194988037</c:v>
                      </c:pt>
                      <c:pt idx="326">
                        <c:v>690.46627194988037</c:v>
                      </c:pt>
                      <c:pt idx="327">
                        <c:v>686.86627194988023</c:v>
                      </c:pt>
                      <c:pt idx="328">
                        <c:v>659.41627194988018</c:v>
                      </c:pt>
                      <c:pt idx="329">
                        <c:v>659.41627194988018</c:v>
                      </c:pt>
                      <c:pt idx="330">
                        <c:v>659.41627194988018</c:v>
                      </c:pt>
                      <c:pt idx="331">
                        <c:v>730.45627194988015</c:v>
                      </c:pt>
                      <c:pt idx="332">
                        <c:v>846.73627194988012</c:v>
                      </c:pt>
                      <c:pt idx="333">
                        <c:v>906.13627194988021</c:v>
                      </c:pt>
                      <c:pt idx="334">
                        <c:v>906.13627194988021</c:v>
                      </c:pt>
                      <c:pt idx="335">
                        <c:v>962.59627194988025</c:v>
                      </c:pt>
                      <c:pt idx="336">
                        <c:v>956.35627194988024</c:v>
                      </c:pt>
                      <c:pt idx="337">
                        <c:v>956.35627194988024</c:v>
                      </c:pt>
                      <c:pt idx="338">
                        <c:v>956.35627194988024</c:v>
                      </c:pt>
                      <c:pt idx="339">
                        <c:v>892.09627194988025</c:v>
                      </c:pt>
                      <c:pt idx="340">
                        <c:v>768.40627194988019</c:v>
                      </c:pt>
                      <c:pt idx="341">
                        <c:v>768.40627194988019</c:v>
                      </c:pt>
                      <c:pt idx="342">
                        <c:v>768.40627194988019</c:v>
                      </c:pt>
                      <c:pt idx="343">
                        <c:v>759.08627194988026</c:v>
                      </c:pt>
                      <c:pt idx="344">
                        <c:v>631.52627194988031</c:v>
                      </c:pt>
                      <c:pt idx="345">
                        <c:v>631.52627194988031</c:v>
                      </c:pt>
                      <c:pt idx="346">
                        <c:v>631.52627194988031</c:v>
                      </c:pt>
                    </c:numCache>
                  </c:numRef>
                </c:val>
                <c:smooth val="0"/>
                <c:extLst xmlns:c15="http://schemas.microsoft.com/office/drawing/2012/chart">
                  <c:ext xmlns:c16="http://schemas.microsoft.com/office/drawing/2014/chart" uri="{C3380CC4-5D6E-409C-BE32-E72D297353CC}">
                    <c16:uniqueId val="{00000005-EEC5-400F-A636-203E78EE28CF}"/>
                  </c:ext>
                </c:extLst>
              </c15:ser>
            </c15:filteredLineSeries>
            <c15:filteredLineSeries>
              <c15:ser>
                <c:idx val="6"/>
                <c:order val="6"/>
                <c:tx>
                  <c:v>Dwn (MOC)</c:v>
                </c:tx>
                <c:spPr>
                  <a:ln w="28575" cap="rnd">
                    <a:solidFill>
                      <a:schemeClr val="accent2">
                        <a:lumMod val="60000"/>
                        <a:lumOff val="40000"/>
                      </a:schemeClr>
                    </a:solidFill>
                    <a:prstDash val="sysDash"/>
                    <a:round/>
                  </a:ln>
                  <a:effectLst/>
                </c:spPr>
                <c:marker>
                  <c:symbol val="none"/>
                </c:marker>
                <c:val>
                  <c:numRef>
                    <c:extLst xmlns:c15="http://schemas.microsoft.com/office/drawing/2012/chart">
                      <c:ext xmlns:c15="http://schemas.microsoft.com/office/drawing/2012/chart" uri="{02D57815-91ED-43cb-92C2-25804820EDAC}">
                        <c15:formulaRef>
                          <c15:sqref>'2025-Q2'!$AZ$4:$AZ$350</c15:sqref>
                        </c15:formulaRef>
                      </c:ext>
                    </c:extLst>
                    <c:numCache>
                      <c:formatCode>"$"#,##0</c:formatCode>
                      <c:ptCount val="347"/>
                      <c:pt idx="0">
                        <c:v>-254.69999999999982</c:v>
                      </c:pt>
                      <c:pt idx="1">
                        <c:v>-262.79999999999973</c:v>
                      </c:pt>
                      <c:pt idx="2">
                        <c:v>-262.79999999999973</c:v>
                      </c:pt>
                      <c:pt idx="3">
                        <c:v>-262.79999999999973</c:v>
                      </c:pt>
                      <c:pt idx="4">
                        <c:v>-262.79999999999973</c:v>
                      </c:pt>
                      <c:pt idx="5">
                        <c:v>-262.79999999999973</c:v>
                      </c:pt>
                      <c:pt idx="6">
                        <c:v>-262.79999999999973</c:v>
                      </c:pt>
                      <c:pt idx="7">
                        <c:v>-262.79999999999973</c:v>
                      </c:pt>
                      <c:pt idx="8">
                        <c:v>-262.79999999999973</c:v>
                      </c:pt>
                      <c:pt idx="9">
                        <c:v>-266.68837290281726</c:v>
                      </c:pt>
                      <c:pt idx="10">
                        <c:v>-266.68837290281726</c:v>
                      </c:pt>
                      <c:pt idx="11">
                        <c:v>-266.68837290281726</c:v>
                      </c:pt>
                      <c:pt idx="12">
                        <c:v>-267.17837290281727</c:v>
                      </c:pt>
                      <c:pt idx="13">
                        <c:v>-267.17837290281727</c:v>
                      </c:pt>
                      <c:pt idx="14">
                        <c:v>-173.75837290281697</c:v>
                      </c:pt>
                      <c:pt idx="15">
                        <c:v>-173.75837290281697</c:v>
                      </c:pt>
                      <c:pt idx="16">
                        <c:v>-89.908372902816836</c:v>
                      </c:pt>
                      <c:pt idx="17">
                        <c:v>-65.608372902816654</c:v>
                      </c:pt>
                      <c:pt idx="18">
                        <c:v>-65.608372902816654</c:v>
                      </c:pt>
                      <c:pt idx="19">
                        <c:v>-65.608372902816654</c:v>
                      </c:pt>
                      <c:pt idx="20">
                        <c:v>-65.608372902816654</c:v>
                      </c:pt>
                      <c:pt idx="21">
                        <c:v>-65.608372902816654</c:v>
                      </c:pt>
                      <c:pt idx="22">
                        <c:v>-79.1383729028164</c:v>
                      </c:pt>
                      <c:pt idx="23">
                        <c:v>-79.1383729028164</c:v>
                      </c:pt>
                      <c:pt idx="24">
                        <c:v>-79.1383729028164</c:v>
                      </c:pt>
                      <c:pt idx="25">
                        <c:v>-79.1383729028164</c:v>
                      </c:pt>
                      <c:pt idx="26">
                        <c:v>-76.1383729028164</c:v>
                      </c:pt>
                      <c:pt idx="27">
                        <c:v>-110.1383729028164</c:v>
                      </c:pt>
                      <c:pt idx="28">
                        <c:v>-118.53837290281626</c:v>
                      </c:pt>
                      <c:pt idx="29">
                        <c:v>-118.53837290281626</c:v>
                      </c:pt>
                      <c:pt idx="30">
                        <c:v>-155.63837290281617</c:v>
                      </c:pt>
                      <c:pt idx="31">
                        <c:v>-148.13837290281617</c:v>
                      </c:pt>
                      <c:pt idx="32">
                        <c:v>-164.13837290281617</c:v>
                      </c:pt>
                      <c:pt idx="33">
                        <c:v>-164.13837290281617</c:v>
                      </c:pt>
                      <c:pt idx="34">
                        <c:v>-164.13837290281617</c:v>
                      </c:pt>
                      <c:pt idx="35">
                        <c:v>-164.13837290281617</c:v>
                      </c:pt>
                      <c:pt idx="36">
                        <c:v>-173.22837290281586</c:v>
                      </c:pt>
                      <c:pt idx="37">
                        <c:v>-173.22837290281586</c:v>
                      </c:pt>
                      <c:pt idx="38">
                        <c:v>-173.22837290281586</c:v>
                      </c:pt>
                      <c:pt idx="39">
                        <c:v>-173.22837290281586</c:v>
                      </c:pt>
                      <c:pt idx="40">
                        <c:v>-322.17837290281591</c:v>
                      </c:pt>
                      <c:pt idx="41">
                        <c:v>-353.47837290281609</c:v>
                      </c:pt>
                      <c:pt idx="42">
                        <c:v>-286.37837290281595</c:v>
                      </c:pt>
                      <c:pt idx="43">
                        <c:v>-286.37837290281595</c:v>
                      </c:pt>
                      <c:pt idx="44">
                        <c:v>-286.37837290281595</c:v>
                      </c:pt>
                      <c:pt idx="45">
                        <c:v>-286.37837290281595</c:v>
                      </c:pt>
                      <c:pt idx="46">
                        <c:v>-336.14837290281594</c:v>
                      </c:pt>
                      <c:pt idx="47">
                        <c:v>-336.14837290281594</c:v>
                      </c:pt>
                      <c:pt idx="48">
                        <c:v>-437.28837290281581</c:v>
                      </c:pt>
                      <c:pt idx="49">
                        <c:v>-437.28837290281581</c:v>
                      </c:pt>
                      <c:pt idx="50">
                        <c:v>-437.28837290281581</c:v>
                      </c:pt>
                      <c:pt idx="51">
                        <c:v>-437.28837290281581</c:v>
                      </c:pt>
                      <c:pt idx="52">
                        <c:v>-546.48837290281585</c:v>
                      </c:pt>
                      <c:pt idx="53">
                        <c:v>-546.48837290281585</c:v>
                      </c:pt>
                      <c:pt idx="54">
                        <c:v>-546.48837290281585</c:v>
                      </c:pt>
                      <c:pt idx="55">
                        <c:v>-539.5683729028159</c:v>
                      </c:pt>
                      <c:pt idx="56">
                        <c:v>-539.5683729028159</c:v>
                      </c:pt>
                      <c:pt idx="57">
                        <c:v>-414.9183729028158</c:v>
                      </c:pt>
                      <c:pt idx="58">
                        <c:v>-414.9183729028158</c:v>
                      </c:pt>
                      <c:pt idx="59">
                        <c:v>-414.9183729028158</c:v>
                      </c:pt>
                      <c:pt idx="60">
                        <c:v>-414.9183729028158</c:v>
                      </c:pt>
                      <c:pt idx="61">
                        <c:v>-414.9183729028158</c:v>
                      </c:pt>
                      <c:pt idx="62">
                        <c:v>-414.9183729028158</c:v>
                      </c:pt>
                      <c:pt idx="63">
                        <c:v>-414.9183729028158</c:v>
                      </c:pt>
                      <c:pt idx="64">
                        <c:v>-414.9183729028158</c:v>
                      </c:pt>
                      <c:pt idx="65">
                        <c:v>-414.9183729028158</c:v>
                      </c:pt>
                      <c:pt idx="66">
                        <c:v>-420.76837290281571</c:v>
                      </c:pt>
                      <c:pt idx="67">
                        <c:v>-414.58837290281565</c:v>
                      </c:pt>
                      <c:pt idx="68">
                        <c:v>-396.2683729028156</c:v>
                      </c:pt>
                      <c:pt idx="69">
                        <c:v>-396.2683729028156</c:v>
                      </c:pt>
                      <c:pt idx="70">
                        <c:v>-368.83837290281554</c:v>
                      </c:pt>
                      <c:pt idx="71">
                        <c:v>-368.83837290281554</c:v>
                      </c:pt>
                      <c:pt idx="72">
                        <c:v>-368.83837290281554</c:v>
                      </c:pt>
                      <c:pt idx="73">
                        <c:v>-368.83837290281554</c:v>
                      </c:pt>
                      <c:pt idx="74">
                        <c:v>-368.83837290281554</c:v>
                      </c:pt>
                      <c:pt idx="75">
                        <c:v>-368.83837290281554</c:v>
                      </c:pt>
                      <c:pt idx="76">
                        <c:v>-368.83837290281554</c:v>
                      </c:pt>
                      <c:pt idx="77">
                        <c:v>-368.83837290281554</c:v>
                      </c:pt>
                      <c:pt idx="78">
                        <c:v>-368.83837290281554</c:v>
                      </c:pt>
                      <c:pt idx="79">
                        <c:v>-423.9721716230016</c:v>
                      </c:pt>
                      <c:pt idx="80">
                        <c:v>-423.9721716230016</c:v>
                      </c:pt>
                      <c:pt idx="81">
                        <c:v>-480.01217162300156</c:v>
                      </c:pt>
                      <c:pt idx="82">
                        <c:v>-530.05217162300164</c:v>
                      </c:pt>
                      <c:pt idx="83">
                        <c:v>-530.05217162300164</c:v>
                      </c:pt>
                      <c:pt idx="84">
                        <c:v>-530.05217162300164</c:v>
                      </c:pt>
                      <c:pt idx="85">
                        <c:v>-591.05217162300175</c:v>
                      </c:pt>
                      <c:pt idx="86">
                        <c:v>-591.05217162300175</c:v>
                      </c:pt>
                      <c:pt idx="87">
                        <c:v>-613.15217162300189</c:v>
                      </c:pt>
                      <c:pt idx="88">
                        <c:v>-595.83217162300184</c:v>
                      </c:pt>
                      <c:pt idx="89">
                        <c:v>-595.83217162300184</c:v>
                      </c:pt>
                      <c:pt idx="90">
                        <c:v>-563.83217162300184</c:v>
                      </c:pt>
                      <c:pt idx="91">
                        <c:v>-555.85217162300182</c:v>
                      </c:pt>
                      <c:pt idx="92">
                        <c:v>-578.65217162300189</c:v>
                      </c:pt>
                      <c:pt idx="93">
                        <c:v>-578.65217162300189</c:v>
                      </c:pt>
                      <c:pt idx="94">
                        <c:v>-578.65217162300189</c:v>
                      </c:pt>
                      <c:pt idx="95">
                        <c:v>-589.652171623002</c:v>
                      </c:pt>
                      <c:pt idx="96">
                        <c:v>-547.95217162300207</c:v>
                      </c:pt>
                      <c:pt idx="97">
                        <c:v>-550.83217162300207</c:v>
                      </c:pt>
                      <c:pt idx="98">
                        <c:v>-588.98217162300205</c:v>
                      </c:pt>
                      <c:pt idx="99">
                        <c:v>-588.98217162300205</c:v>
                      </c:pt>
                      <c:pt idx="100">
                        <c:v>-711.86217162300204</c:v>
                      </c:pt>
                      <c:pt idx="101">
                        <c:v>-711.86217162300204</c:v>
                      </c:pt>
                      <c:pt idx="102">
                        <c:v>-711.86217162300204</c:v>
                      </c:pt>
                      <c:pt idx="103">
                        <c:v>-711.86217162300204</c:v>
                      </c:pt>
                      <c:pt idx="104">
                        <c:v>-711.86217162300204</c:v>
                      </c:pt>
                      <c:pt idx="105">
                        <c:v>-657.08217162300207</c:v>
                      </c:pt>
                      <c:pt idx="106">
                        <c:v>-657.08217162300207</c:v>
                      </c:pt>
                      <c:pt idx="107">
                        <c:v>-657.08217162300207</c:v>
                      </c:pt>
                      <c:pt idx="108">
                        <c:v>-657.08217162300207</c:v>
                      </c:pt>
                      <c:pt idx="109">
                        <c:v>-657.08217162300207</c:v>
                      </c:pt>
                      <c:pt idx="110">
                        <c:v>-646.83217162300218</c:v>
                      </c:pt>
                      <c:pt idx="111">
                        <c:v>-640.35217162300216</c:v>
                      </c:pt>
                      <c:pt idx="112">
                        <c:v>-640.35217162300216</c:v>
                      </c:pt>
                      <c:pt idx="113">
                        <c:v>-640.35217162300216</c:v>
                      </c:pt>
                      <c:pt idx="114">
                        <c:v>-640.35217162300216</c:v>
                      </c:pt>
                      <c:pt idx="115">
                        <c:v>-640.35217162300216</c:v>
                      </c:pt>
                      <c:pt idx="116">
                        <c:v>-643.20217162300207</c:v>
                      </c:pt>
                      <c:pt idx="117">
                        <c:v>-617.95161845366727</c:v>
                      </c:pt>
                      <c:pt idx="118">
                        <c:v>-617.95161845366727</c:v>
                      </c:pt>
                      <c:pt idx="119">
                        <c:v>-617.95161845366727</c:v>
                      </c:pt>
                      <c:pt idx="120">
                        <c:v>-637.75161845366745</c:v>
                      </c:pt>
                      <c:pt idx="121">
                        <c:v>-637.75161845366745</c:v>
                      </c:pt>
                      <c:pt idx="122">
                        <c:v>-637.75161845366745</c:v>
                      </c:pt>
                      <c:pt idx="123">
                        <c:v>-637.75161845366745</c:v>
                      </c:pt>
                      <c:pt idx="124">
                        <c:v>-569.65161845366742</c:v>
                      </c:pt>
                      <c:pt idx="125">
                        <c:v>-569.65161845366742</c:v>
                      </c:pt>
                      <c:pt idx="126">
                        <c:v>-569.65161845366742</c:v>
                      </c:pt>
                      <c:pt idx="127">
                        <c:v>-617.44161845366739</c:v>
                      </c:pt>
                      <c:pt idx="128">
                        <c:v>-617.44161845366739</c:v>
                      </c:pt>
                      <c:pt idx="129">
                        <c:v>-653.28161845366731</c:v>
                      </c:pt>
                      <c:pt idx="130">
                        <c:v>-653.28161845366731</c:v>
                      </c:pt>
                      <c:pt idx="131">
                        <c:v>-678.06161845366728</c:v>
                      </c:pt>
                      <c:pt idx="132">
                        <c:v>-678.06161845366728</c:v>
                      </c:pt>
                      <c:pt idx="133">
                        <c:v>-660.56161845366728</c:v>
                      </c:pt>
                      <c:pt idx="134">
                        <c:v>-658.04161845366718</c:v>
                      </c:pt>
                      <c:pt idx="135">
                        <c:v>-666.32161845366716</c:v>
                      </c:pt>
                      <c:pt idx="136">
                        <c:v>-662.72161845366713</c:v>
                      </c:pt>
                      <c:pt idx="137">
                        <c:v>-662.72161845366713</c:v>
                      </c:pt>
                      <c:pt idx="138">
                        <c:v>-694.54161845366707</c:v>
                      </c:pt>
                      <c:pt idx="139">
                        <c:v>-663.04161845366696</c:v>
                      </c:pt>
                      <c:pt idx="140">
                        <c:v>-663.04161845366696</c:v>
                      </c:pt>
                      <c:pt idx="141">
                        <c:v>-694.56161845366694</c:v>
                      </c:pt>
                      <c:pt idx="142">
                        <c:v>-744.80161845366695</c:v>
                      </c:pt>
                      <c:pt idx="143">
                        <c:v>-767.04161845366673</c:v>
                      </c:pt>
                      <c:pt idx="144">
                        <c:v>-769.08161845366681</c:v>
                      </c:pt>
                      <c:pt idx="145">
                        <c:v>-685.18161845366672</c:v>
                      </c:pt>
                      <c:pt idx="146">
                        <c:v>-709.48161845366667</c:v>
                      </c:pt>
                      <c:pt idx="147">
                        <c:v>-763.63161845366676</c:v>
                      </c:pt>
                      <c:pt idx="148">
                        <c:v>-763.63161845366676</c:v>
                      </c:pt>
                      <c:pt idx="149">
                        <c:v>-763.63161845366676</c:v>
                      </c:pt>
                      <c:pt idx="150">
                        <c:v>-763.63161845366676</c:v>
                      </c:pt>
                      <c:pt idx="151">
                        <c:v>-763.63161845366676</c:v>
                      </c:pt>
                      <c:pt idx="152">
                        <c:v>-639.33161845366681</c:v>
                      </c:pt>
                      <c:pt idx="153">
                        <c:v>-639.33161845366681</c:v>
                      </c:pt>
                      <c:pt idx="154">
                        <c:v>-639.33161845366681</c:v>
                      </c:pt>
                      <c:pt idx="155">
                        <c:v>-639.33161845366681</c:v>
                      </c:pt>
                      <c:pt idx="156">
                        <c:v>-547.97161845366668</c:v>
                      </c:pt>
                      <c:pt idx="157">
                        <c:v>-547.97161845366668</c:v>
                      </c:pt>
                      <c:pt idx="158">
                        <c:v>-547.97161845366668</c:v>
                      </c:pt>
                      <c:pt idx="159">
                        <c:v>-547.97161845366668</c:v>
                      </c:pt>
                      <c:pt idx="160">
                        <c:v>-547.97161845366668</c:v>
                      </c:pt>
                      <c:pt idx="161">
                        <c:v>-547.97161845366668</c:v>
                      </c:pt>
                      <c:pt idx="162">
                        <c:v>-520.05161845366683</c:v>
                      </c:pt>
                      <c:pt idx="163">
                        <c:v>-601.05161845366695</c:v>
                      </c:pt>
                      <c:pt idx="164">
                        <c:v>-601.05161845366695</c:v>
                      </c:pt>
                      <c:pt idx="165">
                        <c:v>-601.05161845366695</c:v>
                      </c:pt>
                      <c:pt idx="166">
                        <c:v>-601.05161845366695</c:v>
                      </c:pt>
                      <c:pt idx="167">
                        <c:v>-601.05161845366695</c:v>
                      </c:pt>
                      <c:pt idx="168">
                        <c:v>-560.1016184536669</c:v>
                      </c:pt>
                      <c:pt idx="169">
                        <c:v>-560.1016184536669</c:v>
                      </c:pt>
                      <c:pt idx="170">
                        <c:v>-570.36161845366701</c:v>
                      </c:pt>
                      <c:pt idx="171">
                        <c:v>-570.36161845366701</c:v>
                      </c:pt>
                      <c:pt idx="172">
                        <c:v>-550.52161845366709</c:v>
                      </c:pt>
                      <c:pt idx="173">
                        <c:v>-550.52161845366709</c:v>
                      </c:pt>
                      <c:pt idx="174">
                        <c:v>-469.5216184536672</c:v>
                      </c:pt>
                      <c:pt idx="175">
                        <c:v>-469.5216184536672</c:v>
                      </c:pt>
                      <c:pt idx="176">
                        <c:v>-458.74161845366723</c:v>
                      </c:pt>
                      <c:pt idx="177">
                        <c:v>-458.74161845366723</c:v>
                      </c:pt>
                      <c:pt idx="178">
                        <c:v>-472.52161845366743</c:v>
                      </c:pt>
                      <c:pt idx="179">
                        <c:v>-378.83161845366737</c:v>
                      </c:pt>
                      <c:pt idx="180">
                        <c:v>-378.83161845366737</c:v>
                      </c:pt>
                      <c:pt idx="181">
                        <c:v>-378.83161845366737</c:v>
                      </c:pt>
                      <c:pt idx="182">
                        <c:v>-378.83161845366737</c:v>
                      </c:pt>
                      <c:pt idx="183">
                        <c:v>-378.83161845366737</c:v>
                      </c:pt>
                      <c:pt idx="184">
                        <c:v>-399.47161845366725</c:v>
                      </c:pt>
                      <c:pt idx="185">
                        <c:v>-378.47161845366702</c:v>
                      </c:pt>
                      <c:pt idx="186">
                        <c:v>-386.97161845366702</c:v>
                      </c:pt>
                      <c:pt idx="187">
                        <c:v>-386.97161845366702</c:v>
                      </c:pt>
                      <c:pt idx="188">
                        <c:v>-280.97161845366702</c:v>
                      </c:pt>
                      <c:pt idx="189">
                        <c:v>-286.97161845366679</c:v>
                      </c:pt>
                      <c:pt idx="190">
                        <c:v>-286.97161845366679</c:v>
                      </c:pt>
                      <c:pt idx="191">
                        <c:v>-302.37161845366688</c:v>
                      </c:pt>
                      <c:pt idx="192">
                        <c:v>-302.37161845366688</c:v>
                      </c:pt>
                      <c:pt idx="193">
                        <c:v>-101.3516184536669</c:v>
                      </c:pt>
                      <c:pt idx="194">
                        <c:v>-110.31161845366694</c:v>
                      </c:pt>
                      <c:pt idx="195">
                        <c:v>-110.31161845366694</c:v>
                      </c:pt>
                      <c:pt idx="196">
                        <c:v>-110.31161845366694</c:v>
                      </c:pt>
                      <c:pt idx="197">
                        <c:v>-70.011618453666983</c:v>
                      </c:pt>
                      <c:pt idx="198">
                        <c:v>-68.661618453667074</c:v>
                      </c:pt>
                      <c:pt idx="199">
                        <c:v>-72.941618453667274</c:v>
                      </c:pt>
                      <c:pt idx="200">
                        <c:v>-72.941618453667274</c:v>
                      </c:pt>
                      <c:pt idx="201">
                        <c:v>-26.381618453667329</c:v>
                      </c:pt>
                      <c:pt idx="202">
                        <c:v>-26.381618453667329</c:v>
                      </c:pt>
                      <c:pt idx="203">
                        <c:v>-26.381618453667329</c:v>
                      </c:pt>
                      <c:pt idx="204">
                        <c:v>-26.381618453667329</c:v>
                      </c:pt>
                      <c:pt idx="205">
                        <c:v>-26.381618453667329</c:v>
                      </c:pt>
                      <c:pt idx="206">
                        <c:v>-26.381618453667329</c:v>
                      </c:pt>
                      <c:pt idx="207">
                        <c:v>-28.36161845366712</c:v>
                      </c:pt>
                      <c:pt idx="208">
                        <c:v>-28.36161845366712</c:v>
                      </c:pt>
                      <c:pt idx="209">
                        <c:v>-6.9616184536670289</c:v>
                      </c:pt>
                      <c:pt idx="210">
                        <c:v>-6.9616184536670289</c:v>
                      </c:pt>
                      <c:pt idx="211">
                        <c:v>-6.9616184536670289</c:v>
                      </c:pt>
                      <c:pt idx="212">
                        <c:v>-6.9616184536670289</c:v>
                      </c:pt>
                      <c:pt idx="213">
                        <c:v>36.368381546332898</c:v>
                      </c:pt>
                      <c:pt idx="214">
                        <c:v>38.368381546332898</c:v>
                      </c:pt>
                      <c:pt idx="215">
                        <c:v>-92.311618453666938</c:v>
                      </c:pt>
                      <c:pt idx="216">
                        <c:v>-92.311618453666938</c:v>
                      </c:pt>
                      <c:pt idx="217">
                        <c:v>-92.311618453666938</c:v>
                      </c:pt>
                      <c:pt idx="218">
                        <c:v>-74.811618453666938</c:v>
                      </c:pt>
                      <c:pt idx="219">
                        <c:v>-74.811618453666938</c:v>
                      </c:pt>
                      <c:pt idx="220">
                        <c:v>-5.5116184536669834</c:v>
                      </c:pt>
                      <c:pt idx="221">
                        <c:v>-5.5116184536669834</c:v>
                      </c:pt>
                      <c:pt idx="222">
                        <c:v>54.408381546332862</c:v>
                      </c:pt>
                      <c:pt idx="223">
                        <c:v>54.408381546332862</c:v>
                      </c:pt>
                      <c:pt idx="224">
                        <c:v>54.408381546332862</c:v>
                      </c:pt>
                      <c:pt idx="225">
                        <c:v>24.88838154633288</c:v>
                      </c:pt>
                      <c:pt idx="226">
                        <c:v>24.88838154633288</c:v>
                      </c:pt>
                      <c:pt idx="227">
                        <c:v>44.248381546333007</c:v>
                      </c:pt>
                      <c:pt idx="228">
                        <c:v>44.248381546333007</c:v>
                      </c:pt>
                      <c:pt idx="229">
                        <c:v>44.248381546333007</c:v>
                      </c:pt>
                      <c:pt idx="230">
                        <c:v>63.898381546332871</c:v>
                      </c:pt>
                      <c:pt idx="231">
                        <c:v>63.898381546332871</c:v>
                      </c:pt>
                      <c:pt idx="232">
                        <c:v>63.898381546332871</c:v>
                      </c:pt>
                      <c:pt idx="233">
                        <c:v>63.898381546332871</c:v>
                      </c:pt>
                      <c:pt idx="234">
                        <c:v>126.29838154633296</c:v>
                      </c:pt>
                      <c:pt idx="235">
                        <c:v>82.868381546332898</c:v>
                      </c:pt>
                      <c:pt idx="236">
                        <c:v>168.66838154633285</c:v>
                      </c:pt>
                      <c:pt idx="237">
                        <c:v>168.66838154633285</c:v>
                      </c:pt>
                      <c:pt idx="238">
                        <c:v>168.66838154633285</c:v>
                      </c:pt>
                      <c:pt idx="239">
                        <c:v>168.66838154633285</c:v>
                      </c:pt>
                      <c:pt idx="240">
                        <c:v>168.66838154633285</c:v>
                      </c:pt>
                      <c:pt idx="241">
                        <c:v>347.91838154633274</c:v>
                      </c:pt>
                      <c:pt idx="242">
                        <c:v>347.91838154633274</c:v>
                      </c:pt>
                      <c:pt idx="243">
                        <c:v>336.66838154633274</c:v>
                      </c:pt>
                      <c:pt idx="244">
                        <c:v>336.66838154633274</c:v>
                      </c:pt>
                      <c:pt idx="245">
                        <c:v>342.51838154633288</c:v>
                      </c:pt>
                      <c:pt idx="246">
                        <c:v>338.21838154633292</c:v>
                      </c:pt>
                      <c:pt idx="247">
                        <c:v>315.81838154633283</c:v>
                      </c:pt>
                      <c:pt idx="248">
                        <c:v>280.51838154633288</c:v>
                      </c:pt>
                      <c:pt idx="249">
                        <c:v>201.31838154633283</c:v>
                      </c:pt>
                      <c:pt idx="250">
                        <c:v>344.11838154633278</c:v>
                      </c:pt>
                      <c:pt idx="251">
                        <c:v>344.11838154633278</c:v>
                      </c:pt>
                      <c:pt idx="252">
                        <c:v>344.11838154633278</c:v>
                      </c:pt>
                      <c:pt idx="253">
                        <c:v>438.61838154633278</c:v>
                      </c:pt>
                      <c:pt idx="254">
                        <c:v>415.57838154633259</c:v>
                      </c:pt>
                      <c:pt idx="255">
                        <c:v>442.29838154633239</c:v>
                      </c:pt>
                      <c:pt idx="256">
                        <c:v>442.29838154633239</c:v>
                      </c:pt>
                      <c:pt idx="257">
                        <c:v>442.29838154633239</c:v>
                      </c:pt>
                      <c:pt idx="258">
                        <c:v>442.29838154633239</c:v>
                      </c:pt>
                      <c:pt idx="259">
                        <c:v>356.69838154633248</c:v>
                      </c:pt>
                      <c:pt idx="260">
                        <c:v>338.87838154633255</c:v>
                      </c:pt>
                      <c:pt idx="261">
                        <c:v>319.19838154633248</c:v>
                      </c:pt>
                      <c:pt idx="262">
                        <c:v>361.89838154633276</c:v>
                      </c:pt>
                      <c:pt idx="263">
                        <c:v>361.89838154633276</c:v>
                      </c:pt>
                      <c:pt idx="264">
                        <c:v>365.63838154633277</c:v>
                      </c:pt>
                      <c:pt idx="265">
                        <c:v>311.15838154633275</c:v>
                      </c:pt>
                      <c:pt idx="266">
                        <c:v>311.15838154633275</c:v>
                      </c:pt>
                      <c:pt idx="267">
                        <c:v>310.73838154633268</c:v>
                      </c:pt>
                      <c:pt idx="268">
                        <c:v>300.97838154633268</c:v>
                      </c:pt>
                      <c:pt idx="269">
                        <c:v>365.41838154633274</c:v>
                      </c:pt>
                      <c:pt idx="270">
                        <c:v>393.49838154633267</c:v>
                      </c:pt>
                      <c:pt idx="271">
                        <c:v>450.82838154633259</c:v>
                      </c:pt>
                      <c:pt idx="272">
                        <c:v>447.22838154633268</c:v>
                      </c:pt>
                      <c:pt idx="273">
                        <c:v>447.22838154633268</c:v>
                      </c:pt>
                      <c:pt idx="274">
                        <c:v>421.97838154633268</c:v>
                      </c:pt>
                      <c:pt idx="275">
                        <c:v>506.12838154633255</c:v>
                      </c:pt>
                      <c:pt idx="276">
                        <c:v>485.24838154633267</c:v>
                      </c:pt>
                      <c:pt idx="277">
                        <c:v>485.24838154633267</c:v>
                      </c:pt>
                      <c:pt idx="278">
                        <c:v>560.64838154633253</c:v>
                      </c:pt>
                      <c:pt idx="279">
                        <c:v>580.64838154633253</c:v>
                      </c:pt>
                      <c:pt idx="280">
                        <c:v>580.64838154633253</c:v>
                      </c:pt>
                      <c:pt idx="281">
                        <c:v>580.64838154633253</c:v>
                      </c:pt>
                      <c:pt idx="282">
                        <c:v>582.84838154633258</c:v>
                      </c:pt>
                      <c:pt idx="283">
                        <c:v>512.14838154633276</c:v>
                      </c:pt>
                      <c:pt idx="284">
                        <c:v>512.14838154633276</c:v>
                      </c:pt>
                      <c:pt idx="285">
                        <c:v>416.74838154633267</c:v>
                      </c:pt>
                      <c:pt idx="286">
                        <c:v>416.74838154633267</c:v>
                      </c:pt>
                      <c:pt idx="287">
                        <c:v>335.61838154633256</c:v>
                      </c:pt>
                      <c:pt idx="288">
                        <c:v>335.61838154633256</c:v>
                      </c:pt>
                      <c:pt idx="289">
                        <c:v>369.51838154633242</c:v>
                      </c:pt>
                      <c:pt idx="290">
                        <c:v>369.51838154633242</c:v>
                      </c:pt>
                      <c:pt idx="291">
                        <c:v>444.51838154633242</c:v>
                      </c:pt>
                      <c:pt idx="292">
                        <c:v>418.76838154633242</c:v>
                      </c:pt>
                      <c:pt idx="293">
                        <c:v>418.76838154633242</c:v>
                      </c:pt>
                      <c:pt idx="294">
                        <c:v>289.80838154633238</c:v>
                      </c:pt>
                      <c:pt idx="295">
                        <c:v>289.80838154633238</c:v>
                      </c:pt>
                      <c:pt idx="296">
                        <c:v>261.31838154633238</c:v>
                      </c:pt>
                      <c:pt idx="297">
                        <c:v>261.31838154633238</c:v>
                      </c:pt>
                      <c:pt idx="298">
                        <c:v>210.11838154633233</c:v>
                      </c:pt>
                      <c:pt idx="299">
                        <c:v>210.11838154633233</c:v>
                      </c:pt>
                      <c:pt idx="300">
                        <c:v>210.11838154633233</c:v>
                      </c:pt>
                      <c:pt idx="301">
                        <c:v>210.11838154633233</c:v>
                      </c:pt>
                      <c:pt idx="302">
                        <c:v>202.73838154633222</c:v>
                      </c:pt>
                      <c:pt idx="303">
                        <c:v>202.73838154633222</c:v>
                      </c:pt>
                      <c:pt idx="304">
                        <c:v>202.73838154633222</c:v>
                      </c:pt>
                      <c:pt idx="305">
                        <c:v>202.73838154633222</c:v>
                      </c:pt>
                      <c:pt idx="306">
                        <c:v>202.73838154633222</c:v>
                      </c:pt>
                      <c:pt idx="307">
                        <c:v>202.73838154633222</c:v>
                      </c:pt>
                      <c:pt idx="308">
                        <c:v>225.07719317717942</c:v>
                      </c:pt>
                      <c:pt idx="309">
                        <c:v>225.07719317717942</c:v>
                      </c:pt>
                      <c:pt idx="310">
                        <c:v>341.47719317717952</c:v>
                      </c:pt>
                      <c:pt idx="311">
                        <c:v>395.65719317717958</c:v>
                      </c:pt>
                      <c:pt idx="312">
                        <c:v>379.00719317717949</c:v>
                      </c:pt>
                      <c:pt idx="313">
                        <c:v>379.00719317717949</c:v>
                      </c:pt>
                      <c:pt idx="314">
                        <c:v>325.10719317717951</c:v>
                      </c:pt>
                      <c:pt idx="315">
                        <c:v>268.85719317717951</c:v>
                      </c:pt>
                      <c:pt idx="316">
                        <c:v>268.85719317717951</c:v>
                      </c:pt>
                      <c:pt idx="317">
                        <c:v>268.85719317717951</c:v>
                      </c:pt>
                      <c:pt idx="318">
                        <c:v>268.85719317717951</c:v>
                      </c:pt>
                      <c:pt idx="319">
                        <c:v>268.85719317717951</c:v>
                      </c:pt>
                      <c:pt idx="320">
                        <c:v>397.51719317717937</c:v>
                      </c:pt>
                      <c:pt idx="321">
                        <c:v>397.51719317717937</c:v>
                      </c:pt>
                      <c:pt idx="322">
                        <c:v>397.51719317717937</c:v>
                      </c:pt>
                      <c:pt idx="323">
                        <c:v>397.51719317717937</c:v>
                      </c:pt>
                      <c:pt idx="324">
                        <c:v>248.95719317717942</c:v>
                      </c:pt>
                      <c:pt idx="325">
                        <c:v>248.95719317717942</c:v>
                      </c:pt>
                      <c:pt idx="326">
                        <c:v>113.20719317717942</c:v>
                      </c:pt>
                      <c:pt idx="327">
                        <c:v>113.20719317717942</c:v>
                      </c:pt>
                      <c:pt idx="328">
                        <c:v>113.20719317717942</c:v>
                      </c:pt>
                      <c:pt idx="329">
                        <c:v>113.20719317717942</c:v>
                      </c:pt>
                      <c:pt idx="330">
                        <c:v>274.15719317717947</c:v>
                      </c:pt>
                      <c:pt idx="331">
                        <c:v>274.15719317717947</c:v>
                      </c:pt>
                      <c:pt idx="332">
                        <c:v>274.15719317717947</c:v>
                      </c:pt>
                      <c:pt idx="333">
                        <c:v>274.15719317717947</c:v>
                      </c:pt>
                      <c:pt idx="334">
                        <c:v>274.15719317717947</c:v>
                      </c:pt>
                      <c:pt idx="335">
                        <c:v>274.15719317717947</c:v>
                      </c:pt>
                      <c:pt idx="336">
                        <c:v>274.15719317717947</c:v>
                      </c:pt>
                      <c:pt idx="337">
                        <c:v>315.55719317717956</c:v>
                      </c:pt>
                      <c:pt idx="338">
                        <c:v>315.55719317717956</c:v>
                      </c:pt>
                      <c:pt idx="339">
                        <c:v>315.55719317717956</c:v>
                      </c:pt>
                      <c:pt idx="340">
                        <c:v>315.55719317717956</c:v>
                      </c:pt>
                      <c:pt idx="341">
                        <c:v>315.55719317717956</c:v>
                      </c:pt>
                      <c:pt idx="342">
                        <c:v>298.75719317717983</c:v>
                      </c:pt>
                      <c:pt idx="343">
                        <c:v>298.75719317717983</c:v>
                      </c:pt>
                      <c:pt idx="344">
                        <c:v>298.75719317717983</c:v>
                      </c:pt>
                      <c:pt idx="345">
                        <c:v>298.75719317717983</c:v>
                      </c:pt>
                      <c:pt idx="346">
                        <c:v>305.25719317717983</c:v>
                      </c:pt>
                    </c:numCache>
                  </c:numRef>
                </c:val>
                <c:smooth val="0"/>
                <c:extLst xmlns:c15="http://schemas.microsoft.com/office/drawing/2012/chart">
                  <c:ext xmlns:c16="http://schemas.microsoft.com/office/drawing/2014/chart" uri="{C3380CC4-5D6E-409C-BE32-E72D297353CC}">
                    <c16:uniqueId val="{00000006-EEC5-400F-A636-203E78EE28CF}"/>
                  </c:ext>
                </c:extLst>
              </c15:ser>
            </c15:filteredLineSeries>
          </c:ext>
        </c:extLst>
      </c:lineChart>
      <c:catAx>
        <c:axId val="147683023"/>
        <c:scaling>
          <c:orientation val="minMax"/>
        </c:scaling>
        <c:delete val="0"/>
        <c:axPos val="b"/>
        <c:majorGridlines>
          <c:spPr>
            <a:ln w="9525" cap="flat" cmpd="sng" algn="ctr">
              <a:solidFill>
                <a:schemeClr val="tx1">
                  <a:lumMod val="75000"/>
                  <a:lumOff val="25000"/>
                </a:schemeClr>
              </a:solidFill>
              <a:prstDash val="dash"/>
              <a:round/>
            </a:ln>
            <a:effectLst/>
          </c:spPr>
        </c:majorGridlines>
        <c:majorTickMark val="none"/>
        <c:minorTickMark val="none"/>
        <c:tickLblPos val="low"/>
        <c:spPr>
          <a:noFill/>
          <a:ln w="12700" cap="flat" cmpd="sng" algn="ctr">
            <a:solidFill>
              <a:sysClr val="windowText" lastClr="000000"/>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6645279"/>
        <c:crosses val="autoZero"/>
        <c:auto val="1"/>
        <c:lblAlgn val="ctr"/>
        <c:lblOffset val="100"/>
        <c:tickLblSkip val="25"/>
        <c:tickMarkSkip val="25"/>
        <c:noMultiLvlLbl val="0"/>
      </c:catAx>
      <c:valAx>
        <c:axId val="146645279"/>
        <c:scaling>
          <c:orientation val="minMax"/>
          <c:max val="10"/>
          <c:min val="-5"/>
        </c:scaling>
        <c:delete val="0"/>
        <c:axPos val="r"/>
        <c:majorGridlines>
          <c:spPr>
            <a:ln w="9525" cap="flat" cmpd="sng" algn="ctr">
              <a:solidFill>
                <a:schemeClr val="tx1">
                  <a:lumMod val="75000"/>
                  <a:lumOff val="25000"/>
                </a:schemeClr>
              </a:solidFill>
              <a:prstDash val="dash"/>
              <a:round/>
            </a:ln>
            <a:effectLst/>
          </c:spPr>
        </c:majorGridlines>
        <c:numFmt formatCode="0" sourceLinked="0"/>
        <c:majorTickMark val="none"/>
        <c:minorTickMark val="none"/>
        <c:tickLblPos val="high"/>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7683023"/>
        <c:crosses val="max"/>
        <c:crossBetween val="between"/>
      </c:valAx>
      <c:spPr>
        <a:solidFill>
          <a:schemeClr val="tx1">
            <a:lumMod val="65000"/>
            <a:lumOff val="35000"/>
          </a:schemeClr>
        </a:solidFill>
        <a:ln>
          <a:solidFill>
            <a:sysClr val="windowText" lastClr="000000"/>
          </a:solidFill>
        </a:ln>
        <a:effectLst/>
      </c:spPr>
    </c:plotArea>
    <c:legend>
      <c:legendPos val="t"/>
      <c:layout>
        <c:manualLayout>
          <c:xMode val="edge"/>
          <c:yMode val="edge"/>
          <c:x val="0.39634286005511454"/>
          <c:y val="1.2316999395039325E-2"/>
          <c:w val="0.57612618810998151"/>
          <c:h val="4.9614968727820091E-2"/>
        </c:manualLayout>
      </c:layout>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legend>
    <c:plotVisOnly val="0"/>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accent3">
                    <a:lumMod val="75000"/>
                  </a:schemeClr>
                </a:solidFill>
                <a:latin typeface="+mn-lt"/>
                <a:ea typeface="+mn-ea"/>
                <a:cs typeface="+mn-cs"/>
              </a:defRPr>
            </a:pPr>
            <a:r>
              <a:rPr lang="en-US" sz="2000" b="1">
                <a:solidFill>
                  <a:schemeClr val="accent3">
                    <a:lumMod val="75000"/>
                  </a:schemeClr>
                </a:solidFill>
              </a:rPr>
              <a:t>The Three Tiers (XHB)</a:t>
            </a:r>
          </a:p>
        </c:rich>
      </c:tx>
      <c:layout>
        <c:manualLayout>
          <c:xMode val="edge"/>
          <c:yMode val="edge"/>
          <c:x val="3.2398075240594924E-2"/>
          <c:y val="2.4198427102238356E-3"/>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accent3">
                  <a:lumMod val="75000"/>
                </a:schemeClr>
              </a:solidFill>
              <a:latin typeface="+mn-lt"/>
              <a:ea typeface="+mn-ea"/>
              <a:cs typeface="+mn-cs"/>
            </a:defRPr>
          </a:pPr>
          <a:endParaRPr lang="en-US"/>
        </a:p>
      </c:txPr>
    </c:title>
    <c:autoTitleDeleted val="0"/>
    <c:plotArea>
      <c:layout>
        <c:manualLayout>
          <c:layoutTarget val="inner"/>
          <c:xMode val="edge"/>
          <c:yMode val="edge"/>
          <c:x val="1.0171058714748035E-2"/>
          <c:y val="7.7350558040499021E-2"/>
          <c:w val="0.95283482768537431"/>
          <c:h val="0.86018548951798435"/>
        </c:manualLayout>
      </c:layout>
      <c:lineChart>
        <c:grouping val="standard"/>
        <c:varyColors val="0"/>
        <c:ser>
          <c:idx val="0"/>
          <c:order val="0"/>
          <c:tx>
            <c:v>Up</c:v>
          </c:tx>
          <c:spPr>
            <a:ln w="28575" cap="rnd">
              <a:solidFill>
                <a:schemeClr val="accent6">
                  <a:lumMod val="75000"/>
                </a:schemeClr>
              </a:solidFill>
              <a:prstDash val="solid"/>
              <a:round/>
            </a:ln>
            <a:effectLst/>
          </c:spPr>
          <c:marker>
            <c:symbol val="none"/>
          </c:marker>
          <c:val>
            <c:numRef>
              <c:f>'2025-Q2'!$GK$4:$GK$350</c:f>
              <c:numCache>
                <c:formatCode>0.00</c:formatCode>
                <c:ptCount val="34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numCache>
            </c:numRef>
          </c:val>
          <c:smooth val="1"/>
          <c:extLst>
            <c:ext xmlns:c16="http://schemas.microsoft.com/office/drawing/2014/chart" uri="{C3380CC4-5D6E-409C-BE32-E72D297353CC}">
              <c16:uniqueId val="{00000000-893C-40BA-BB39-4B339B67538A}"/>
            </c:ext>
          </c:extLst>
        </c:ser>
        <c:ser>
          <c:idx val="1"/>
          <c:order val="1"/>
          <c:tx>
            <c:v>Dwn</c:v>
          </c:tx>
          <c:spPr>
            <a:ln w="28575" cap="rnd">
              <a:solidFill>
                <a:schemeClr val="accent2"/>
              </a:solidFill>
              <a:prstDash val="solid"/>
              <a:round/>
            </a:ln>
            <a:effectLst/>
          </c:spPr>
          <c:marker>
            <c:symbol val="none"/>
          </c:marker>
          <c:val>
            <c:numRef>
              <c:f>'2025-Q2'!$GM$4:$GM$350</c:f>
              <c:numCache>
                <c:formatCode>0.00</c:formatCode>
                <c:ptCount val="34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-0.55016731892688953</c:v>
                </c:pt>
                <c:pt idx="31">
                  <c:v>-0.55016731892688953</c:v>
                </c:pt>
                <c:pt idx="32">
                  <c:v>-0.55016731892688953</c:v>
                </c:pt>
                <c:pt idx="33">
                  <c:v>-0.55016731892688953</c:v>
                </c:pt>
                <c:pt idx="34">
                  <c:v>-0.55016731892688953</c:v>
                </c:pt>
                <c:pt idx="35">
                  <c:v>-0.55016731892688953</c:v>
                </c:pt>
                <c:pt idx="36">
                  <c:v>-0.55016731892688953</c:v>
                </c:pt>
                <c:pt idx="37">
                  <c:v>-0.55016731892688953</c:v>
                </c:pt>
                <c:pt idx="38">
                  <c:v>-0.55016731892688953</c:v>
                </c:pt>
                <c:pt idx="39">
                  <c:v>-0.55016731892688953</c:v>
                </c:pt>
                <c:pt idx="40">
                  <c:v>-0.55016731892688953</c:v>
                </c:pt>
                <c:pt idx="41">
                  <c:v>-0.55016731892688953</c:v>
                </c:pt>
                <c:pt idx="42">
                  <c:v>-0.55016731892688953</c:v>
                </c:pt>
                <c:pt idx="43">
                  <c:v>-0.55016731892688953</c:v>
                </c:pt>
                <c:pt idx="44">
                  <c:v>-0.55016731892688953</c:v>
                </c:pt>
                <c:pt idx="45">
                  <c:v>-0.55016731892688953</c:v>
                </c:pt>
                <c:pt idx="46">
                  <c:v>-0.55016731892688953</c:v>
                </c:pt>
                <c:pt idx="47">
                  <c:v>-0.55016731892688953</c:v>
                </c:pt>
                <c:pt idx="48">
                  <c:v>-1.0674765946939027</c:v>
                </c:pt>
                <c:pt idx="49">
                  <c:v>-1.0674765946939027</c:v>
                </c:pt>
                <c:pt idx="50">
                  <c:v>-1.0674765946939027</c:v>
                </c:pt>
                <c:pt idx="51">
                  <c:v>-1.0674765946939027</c:v>
                </c:pt>
                <c:pt idx="52">
                  <c:v>-1.0674765946939027</c:v>
                </c:pt>
                <c:pt idx="53">
                  <c:v>-1.0674765946939027</c:v>
                </c:pt>
                <c:pt idx="54">
                  <c:v>-1.0674765946939027</c:v>
                </c:pt>
                <c:pt idx="55">
                  <c:v>-1.0674765946939027</c:v>
                </c:pt>
                <c:pt idx="56">
                  <c:v>-1.0674765946939027</c:v>
                </c:pt>
                <c:pt idx="57">
                  <c:v>-1.0674765946939027</c:v>
                </c:pt>
                <c:pt idx="58">
                  <c:v>-1.0674765946939027</c:v>
                </c:pt>
                <c:pt idx="59">
                  <c:v>-1.0674765946939027</c:v>
                </c:pt>
                <c:pt idx="60">
                  <c:v>-1.0674765946939027</c:v>
                </c:pt>
                <c:pt idx="61">
                  <c:v>-1.0674765946939027</c:v>
                </c:pt>
                <c:pt idx="62">
                  <c:v>-1.0674765946939027</c:v>
                </c:pt>
                <c:pt idx="63">
                  <c:v>-1.0674765946939027</c:v>
                </c:pt>
                <c:pt idx="64">
                  <c:v>-1.0674765946939027</c:v>
                </c:pt>
                <c:pt idx="65">
                  <c:v>-1.0674765946939027</c:v>
                </c:pt>
                <c:pt idx="66">
                  <c:v>-1.0674765946939027</c:v>
                </c:pt>
                <c:pt idx="67">
                  <c:v>-1.0674765946939027</c:v>
                </c:pt>
                <c:pt idx="68">
                  <c:v>-1.0674765946939027</c:v>
                </c:pt>
                <c:pt idx="69">
                  <c:v>-1.0674765946939027</c:v>
                </c:pt>
                <c:pt idx="70">
                  <c:v>-0.4054764861692941</c:v>
                </c:pt>
                <c:pt idx="71">
                  <c:v>-0.4054764861692941</c:v>
                </c:pt>
                <c:pt idx="72">
                  <c:v>-0.4054764861692941</c:v>
                </c:pt>
                <c:pt idx="73">
                  <c:v>-0.4054764861692941</c:v>
                </c:pt>
                <c:pt idx="74">
                  <c:v>-0.4054764861692941</c:v>
                </c:pt>
                <c:pt idx="75">
                  <c:v>-0.4054764861692941</c:v>
                </c:pt>
                <c:pt idx="76">
                  <c:v>-0.4054764861692941</c:v>
                </c:pt>
                <c:pt idx="77">
                  <c:v>-0.4054764861692941</c:v>
                </c:pt>
                <c:pt idx="78">
                  <c:v>-0.4054764861692941</c:v>
                </c:pt>
                <c:pt idx="79">
                  <c:v>-0.4054764861692941</c:v>
                </c:pt>
                <c:pt idx="80">
                  <c:v>-0.4054764861692941</c:v>
                </c:pt>
                <c:pt idx="81">
                  <c:v>-0.4054764861692941</c:v>
                </c:pt>
                <c:pt idx="82">
                  <c:v>-0.4054764861692941</c:v>
                </c:pt>
                <c:pt idx="83">
                  <c:v>-0.4054764861692941</c:v>
                </c:pt>
                <c:pt idx="84">
                  <c:v>-0.4054764861692941</c:v>
                </c:pt>
                <c:pt idx="85">
                  <c:v>-0.4054764861692941</c:v>
                </c:pt>
                <c:pt idx="86">
                  <c:v>-0.4054764861692941</c:v>
                </c:pt>
                <c:pt idx="87">
                  <c:v>-0.4054764861692941</c:v>
                </c:pt>
                <c:pt idx="88">
                  <c:v>-0.4054764861692941</c:v>
                </c:pt>
                <c:pt idx="89">
                  <c:v>-0.4054764861692941</c:v>
                </c:pt>
                <c:pt idx="90">
                  <c:v>-0.4054764861692941</c:v>
                </c:pt>
                <c:pt idx="91">
                  <c:v>-0.4054764861692941</c:v>
                </c:pt>
                <c:pt idx="92">
                  <c:v>-0.4054764861692941</c:v>
                </c:pt>
                <c:pt idx="93">
                  <c:v>-0.4054764861692941</c:v>
                </c:pt>
                <c:pt idx="94">
                  <c:v>-0.4054764861692941</c:v>
                </c:pt>
                <c:pt idx="95">
                  <c:v>-0.4054764861692941</c:v>
                </c:pt>
                <c:pt idx="96">
                  <c:v>-0.4054764861692941</c:v>
                </c:pt>
                <c:pt idx="97">
                  <c:v>-0.4054764861692941</c:v>
                </c:pt>
                <c:pt idx="98">
                  <c:v>-0.4054764861692941</c:v>
                </c:pt>
                <c:pt idx="99">
                  <c:v>-0.4054764861692941</c:v>
                </c:pt>
                <c:pt idx="100">
                  <c:v>-0.4054764861692941</c:v>
                </c:pt>
                <c:pt idx="101">
                  <c:v>-0.4054764861692941</c:v>
                </c:pt>
                <c:pt idx="102">
                  <c:v>-0.4054764861692941</c:v>
                </c:pt>
                <c:pt idx="103">
                  <c:v>-0.4054764861692941</c:v>
                </c:pt>
                <c:pt idx="104">
                  <c:v>-0.4054764861692941</c:v>
                </c:pt>
                <c:pt idx="105">
                  <c:v>-0.4054764861692941</c:v>
                </c:pt>
                <c:pt idx="106">
                  <c:v>-0.4054764861692941</c:v>
                </c:pt>
                <c:pt idx="107">
                  <c:v>-0.4054764861692941</c:v>
                </c:pt>
                <c:pt idx="108">
                  <c:v>-0.4054764861692941</c:v>
                </c:pt>
                <c:pt idx="109">
                  <c:v>-0.4054764861692941</c:v>
                </c:pt>
                <c:pt idx="110">
                  <c:v>-0.4054764861692941</c:v>
                </c:pt>
                <c:pt idx="111">
                  <c:v>-0.4054764861692941</c:v>
                </c:pt>
                <c:pt idx="112">
                  <c:v>-0.4054764861692941</c:v>
                </c:pt>
                <c:pt idx="113">
                  <c:v>-0.4054764861692941</c:v>
                </c:pt>
                <c:pt idx="114">
                  <c:v>-0.4054764861692941</c:v>
                </c:pt>
                <c:pt idx="115">
                  <c:v>-0.4054764861692941</c:v>
                </c:pt>
                <c:pt idx="116">
                  <c:v>-0.4054764861692941</c:v>
                </c:pt>
                <c:pt idx="117">
                  <c:v>-0.4054764861692941</c:v>
                </c:pt>
                <c:pt idx="118">
                  <c:v>-0.4054764861692941</c:v>
                </c:pt>
                <c:pt idx="119">
                  <c:v>-0.4054764861692941</c:v>
                </c:pt>
                <c:pt idx="120">
                  <c:v>-0.4054764861692941</c:v>
                </c:pt>
                <c:pt idx="121">
                  <c:v>-0.4054764861692941</c:v>
                </c:pt>
                <c:pt idx="122">
                  <c:v>-0.4054764861692941</c:v>
                </c:pt>
                <c:pt idx="123">
                  <c:v>-0.4054764861692941</c:v>
                </c:pt>
                <c:pt idx="124">
                  <c:v>-0.4054764861692941</c:v>
                </c:pt>
                <c:pt idx="125">
                  <c:v>-0.4054764861692941</c:v>
                </c:pt>
                <c:pt idx="126">
                  <c:v>-0.4054764861692941</c:v>
                </c:pt>
                <c:pt idx="127">
                  <c:v>-0.4054764861692941</c:v>
                </c:pt>
                <c:pt idx="128">
                  <c:v>-0.4054764861692941</c:v>
                </c:pt>
                <c:pt idx="129">
                  <c:v>-0.80168930905701452</c:v>
                </c:pt>
                <c:pt idx="130">
                  <c:v>-0.80168930905701452</c:v>
                </c:pt>
                <c:pt idx="131">
                  <c:v>-0.80168930905701452</c:v>
                </c:pt>
                <c:pt idx="132">
                  <c:v>-0.80168930905701452</c:v>
                </c:pt>
                <c:pt idx="133">
                  <c:v>-0.80168930905701452</c:v>
                </c:pt>
                <c:pt idx="134">
                  <c:v>-0.80168930905701452</c:v>
                </c:pt>
                <c:pt idx="135">
                  <c:v>-0.80168930905701452</c:v>
                </c:pt>
                <c:pt idx="136">
                  <c:v>-0.80168930905701452</c:v>
                </c:pt>
                <c:pt idx="137">
                  <c:v>-0.80168930905701452</c:v>
                </c:pt>
                <c:pt idx="138">
                  <c:v>-0.80168930905701452</c:v>
                </c:pt>
                <c:pt idx="139">
                  <c:v>-0.80168930905701452</c:v>
                </c:pt>
                <c:pt idx="140">
                  <c:v>-0.80168930905701452</c:v>
                </c:pt>
                <c:pt idx="141">
                  <c:v>-0.80168930905701452</c:v>
                </c:pt>
                <c:pt idx="142">
                  <c:v>-0.80168930905701452</c:v>
                </c:pt>
                <c:pt idx="143">
                  <c:v>-0.80168930905701452</c:v>
                </c:pt>
                <c:pt idx="144">
                  <c:v>-0.80168930905701452</c:v>
                </c:pt>
                <c:pt idx="145">
                  <c:v>-0.80168930905701452</c:v>
                </c:pt>
                <c:pt idx="146">
                  <c:v>-0.80168930905701452</c:v>
                </c:pt>
                <c:pt idx="147">
                  <c:v>-0.80168930905701452</c:v>
                </c:pt>
                <c:pt idx="148">
                  <c:v>-0.80168930905701452</c:v>
                </c:pt>
                <c:pt idx="149">
                  <c:v>-0.80168930905701452</c:v>
                </c:pt>
                <c:pt idx="150">
                  <c:v>-0.80168930905701452</c:v>
                </c:pt>
                <c:pt idx="151">
                  <c:v>-0.80168930905701452</c:v>
                </c:pt>
                <c:pt idx="152">
                  <c:v>-0.80168930905701452</c:v>
                </c:pt>
                <c:pt idx="153">
                  <c:v>-0.80168930905701452</c:v>
                </c:pt>
                <c:pt idx="154">
                  <c:v>-0.80168930905701452</c:v>
                </c:pt>
                <c:pt idx="155">
                  <c:v>-0.80168930905701452</c:v>
                </c:pt>
                <c:pt idx="156">
                  <c:v>-0.80168930905701452</c:v>
                </c:pt>
                <c:pt idx="157">
                  <c:v>-0.80168930905701452</c:v>
                </c:pt>
                <c:pt idx="158">
                  <c:v>-0.80168930905701452</c:v>
                </c:pt>
                <c:pt idx="159">
                  <c:v>-0.80168930905701452</c:v>
                </c:pt>
                <c:pt idx="160">
                  <c:v>-0.80168930905701452</c:v>
                </c:pt>
                <c:pt idx="161">
                  <c:v>-0.80168930905701452</c:v>
                </c:pt>
                <c:pt idx="162">
                  <c:v>-0.80168930905701452</c:v>
                </c:pt>
                <c:pt idx="163">
                  <c:v>-0.80168930905701452</c:v>
                </c:pt>
                <c:pt idx="164">
                  <c:v>-0.80168930905701452</c:v>
                </c:pt>
                <c:pt idx="165">
                  <c:v>-0.80168930905701452</c:v>
                </c:pt>
                <c:pt idx="166">
                  <c:v>-0.80168930905701452</c:v>
                </c:pt>
                <c:pt idx="167">
                  <c:v>-0.80168930905701452</c:v>
                </c:pt>
                <c:pt idx="168">
                  <c:v>-0.80168930905701452</c:v>
                </c:pt>
                <c:pt idx="169">
                  <c:v>-0.80168930905701452</c:v>
                </c:pt>
                <c:pt idx="170">
                  <c:v>-0.80168930905701452</c:v>
                </c:pt>
                <c:pt idx="171">
                  <c:v>-0.80168930905701452</c:v>
                </c:pt>
                <c:pt idx="172">
                  <c:v>-0.80168930905701452</c:v>
                </c:pt>
                <c:pt idx="173">
                  <c:v>-0.80168930905701452</c:v>
                </c:pt>
                <c:pt idx="174">
                  <c:v>-0.80168930905701452</c:v>
                </c:pt>
                <c:pt idx="175">
                  <c:v>-0.80168930905701452</c:v>
                </c:pt>
                <c:pt idx="176">
                  <c:v>-0.80168930905701452</c:v>
                </c:pt>
                <c:pt idx="177">
                  <c:v>-0.80168930905701452</c:v>
                </c:pt>
                <c:pt idx="178">
                  <c:v>-0.80168930905701452</c:v>
                </c:pt>
                <c:pt idx="179">
                  <c:v>-0.80168930905701452</c:v>
                </c:pt>
                <c:pt idx="180">
                  <c:v>-0.80168930905701452</c:v>
                </c:pt>
                <c:pt idx="181">
                  <c:v>-0.80168930905701452</c:v>
                </c:pt>
                <c:pt idx="182">
                  <c:v>-0.80168930905701452</c:v>
                </c:pt>
                <c:pt idx="183">
                  <c:v>-0.80168930905701452</c:v>
                </c:pt>
                <c:pt idx="184">
                  <c:v>-0.80168930905701452</c:v>
                </c:pt>
                <c:pt idx="185">
                  <c:v>-0.80168930905701452</c:v>
                </c:pt>
                <c:pt idx="186">
                  <c:v>-0.80168930905701452</c:v>
                </c:pt>
                <c:pt idx="187">
                  <c:v>-0.80168930905701452</c:v>
                </c:pt>
                <c:pt idx="188">
                  <c:v>-0.80168930905701452</c:v>
                </c:pt>
                <c:pt idx="189">
                  <c:v>-0.80168930905701452</c:v>
                </c:pt>
                <c:pt idx="190">
                  <c:v>-0.80168930905701452</c:v>
                </c:pt>
                <c:pt idx="191">
                  <c:v>-0.80168930905701452</c:v>
                </c:pt>
                <c:pt idx="192">
                  <c:v>-0.80168930905701452</c:v>
                </c:pt>
                <c:pt idx="193">
                  <c:v>-0.80168930905701452</c:v>
                </c:pt>
                <c:pt idx="194">
                  <c:v>-0.80168930905701452</c:v>
                </c:pt>
                <c:pt idx="195">
                  <c:v>-0.80168930905701452</c:v>
                </c:pt>
                <c:pt idx="196">
                  <c:v>-0.80168930905701452</c:v>
                </c:pt>
                <c:pt idx="197">
                  <c:v>-0.80168930905701452</c:v>
                </c:pt>
                <c:pt idx="198">
                  <c:v>-0.80168930905701452</c:v>
                </c:pt>
                <c:pt idx="199">
                  <c:v>-0.80168930905701452</c:v>
                </c:pt>
                <c:pt idx="200">
                  <c:v>-0.80168930905701452</c:v>
                </c:pt>
                <c:pt idx="201">
                  <c:v>-0.80168930905701452</c:v>
                </c:pt>
                <c:pt idx="202">
                  <c:v>-0.80168930905701452</c:v>
                </c:pt>
                <c:pt idx="203">
                  <c:v>-0.80168930905701452</c:v>
                </c:pt>
                <c:pt idx="204">
                  <c:v>-0.80168930905701452</c:v>
                </c:pt>
                <c:pt idx="205">
                  <c:v>-0.80168930905701452</c:v>
                </c:pt>
                <c:pt idx="206">
                  <c:v>-0.80168930905701452</c:v>
                </c:pt>
                <c:pt idx="207">
                  <c:v>-0.80168930905701452</c:v>
                </c:pt>
                <c:pt idx="208">
                  <c:v>-0.80168930905701452</c:v>
                </c:pt>
                <c:pt idx="209">
                  <c:v>-0.80168930905701452</c:v>
                </c:pt>
                <c:pt idx="210">
                  <c:v>-0.80168930905701452</c:v>
                </c:pt>
                <c:pt idx="211">
                  <c:v>-0.80168930905701452</c:v>
                </c:pt>
                <c:pt idx="212">
                  <c:v>-0.80168930905701452</c:v>
                </c:pt>
                <c:pt idx="213">
                  <c:v>-0.80168930905701452</c:v>
                </c:pt>
                <c:pt idx="214">
                  <c:v>-0.80168930905701452</c:v>
                </c:pt>
                <c:pt idx="215">
                  <c:v>-2.1821391544892714</c:v>
                </c:pt>
                <c:pt idx="216">
                  <c:v>-2.1821391544892714</c:v>
                </c:pt>
                <c:pt idx="217">
                  <c:v>-2.1821391544892714</c:v>
                </c:pt>
                <c:pt idx="218">
                  <c:v>-2.1821391544892714</c:v>
                </c:pt>
                <c:pt idx="219">
                  <c:v>-2.1821391544892714</c:v>
                </c:pt>
                <c:pt idx="220">
                  <c:v>-1.6833790887309608</c:v>
                </c:pt>
                <c:pt idx="221">
                  <c:v>-1.6833790887309608</c:v>
                </c:pt>
                <c:pt idx="222">
                  <c:v>-1.6833790887309608</c:v>
                </c:pt>
                <c:pt idx="223">
                  <c:v>-1.6833790887309608</c:v>
                </c:pt>
                <c:pt idx="224">
                  <c:v>-1.6833790887309608</c:v>
                </c:pt>
                <c:pt idx="225">
                  <c:v>-1.6833790887309608</c:v>
                </c:pt>
                <c:pt idx="226">
                  <c:v>-1.6833790887309608</c:v>
                </c:pt>
                <c:pt idx="227">
                  <c:v>-1.6833790887309608</c:v>
                </c:pt>
                <c:pt idx="228">
                  <c:v>-1.6833790887309608</c:v>
                </c:pt>
                <c:pt idx="229">
                  <c:v>-1.6833790887309608</c:v>
                </c:pt>
                <c:pt idx="230">
                  <c:v>-1.6833790887309608</c:v>
                </c:pt>
                <c:pt idx="231">
                  <c:v>-1.6833790887309608</c:v>
                </c:pt>
                <c:pt idx="232">
                  <c:v>-1.6833790887309608</c:v>
                </c:pt>
                <c:pt idx="233">
                  <c:v>-1.6833790887309608</c:v>
                </c:pt>
                <c:pt idx="234">
                  <c:v>-1.6833790887309608</c:v>
                </c:pt>
                <c:pt idx="235">
                  <c:v>-1.6833790887309608</c:v>
                </c:pt>
                <c:pt idx="236">
                  <c:v>-1.6833790887309608</c:v>
                </c:pt>
                <c:pt idx="237">
                  <c:v>-1.6833790887309608</c:v>
                </c:pt>
                <c:pt idx="238">
                  <c:v>-1.6833790887309608</c:v>
                </c:pt>
                <c:pt idx="239">
                  <c:v>-1.6833790887309608</c:v>
                </c:pt>
                <c:pt idx="240">
                  <c:v>-1.6833790887309608</c:v>
                </c:pt>
                <c:pt idx="241">
                  <c:v>-1.6833790887309608</c:v>
                </c:pt>
                <c:pt idx="242">
                  <c:v>-1.6833790887309608</c:v>
                </c:pt>
                <c:pt idx="243">
                  <c:v>-1.6833790887309608</c:v>
                </c:pt>
                <c:pt idx="244">
                  <c:v>-1.6833790887309608</c:v>
                </c:pt>
                <c:pt idx="245">
                  <c:v>-1.6833790887309608</c:v>
                </c:pt>
                <c:pt idx="246">
                  <c:v>-1.6833790887309608</c:v>
                </c:pt>
                <c:pt idx="247">
                  <c:v>-1.6833790887309608</c:v>
                </c:pt>
                <c:pt idx="248">
                  <c:v>-1.6833790887309608</c:v>
                </c:pt>
                <c:pt idx="249">
                  <c:v>-1.6833790887309608</c:v>
                </c:pt>
                <c:pt idx="250">
                  <c:v>-1.6833790887309608</c:v>
                </c:pt>
                <c:pt idx="251">
                  <c:v>-1.6833790887309608</c:v>
                </c:pt>
                <c:pt idx="252">
                  <c:v>-1.6833790887309608</c:v>
                </c:pt>
                <c:pt idx="253">
                  <c:v>-1.6833790887309608</c:v>
                </c:pt>
                <c:pt idx="254">
                  <c:v>-1.6833790887309608</c:v>
                </c:pt>
                <c:pt idx="255">
                  <c:v>-1.6833790887309608</c:v>
                </c:pt>
                <c:pt idx="256">
                  <c:v>-1.6833790887309608</c:v>
                </c:pt>
                <c:pt idx="257">
                  <c:v>-1.6833790887309608</c:v>
                </c:pt>
                <c:pt idx="258">
                  <c:v>-1.6833790887309608</c:v>
                </c:pt>
                <c:pt idx="259">
                  <c:v>-1.6833790887309608</c:v>
                </c:pt>
                <c:pt idx="260">
                  <c:v>-1.6833790887309608</c:v>
                </c:pt>
                <c:pt idx="261">
                  <c:v>-1.6833790887309608</c:v>
                </c:pt>
                <c:pt idx="262">
                  <c:v>-1.6833790887309608</c:v>
                </c:pt>
                <c:pt idx="263">
                  <c:v>-1.6833790887309608</c:v>
                </c:pt>
                <c:pt idx="264">
                  <c:v>-1.6833790887309608</c:v>
                </c:pt>
                <c:pt idx="265">
                  <c:v>-1.6833790887309608</c:v>
                </c:pt>
                <c:pt idx="266">
                  <c:v>-1.6833790887309608</c:v>
                </c:pt>
                <c:pt idx="267">
                  <c:v>-1.6833790887309608</c:v>
                </c:pt>
                <c:pt idx="268">
                  <c:v>-1.6833790887309608</c:v>
                </c:pt>
                <c:pt idx="269">
                  <c:v>-1.6833790887309608</c:v>
                </c:pt>
                <c:pt idx="270">
                  <c:v>-1.6833790887309608</c:v>
                </c:pt>
                <c:pt idx="271">
                  <c:v>-1.6833790887309608</c:v>
                </c:pt>
                <c:pt idx="272">
                  <c:v>-1.6833790887309608</c:v>
                </c:pt>
                <c:pt idx="273">
                  <c:v>-1.6833790887309608</c:v>
                </c:pt>
                <c:pt idx="274">
                  <c:v>-1.6833790887309608</c:v>
                </c:pt>
                <c:pt idx="275">
                  <c:v>-1.6833790887309608</c:v>
                </c:pt>
                <c:pt idx="276">
                  <c:v>-1.6833790887309608</c:v>
                </c:pt>
                <c:pt idx="277">
                  <c:v>-1.6833790887309608</c:v>
                </c:pt>
                <c:pt idx="278">
                  <c:v>-1.6833790887309608</c:v>
                </c:pt>
                <c:pt idx="279">
                  <c:v>-1.6833790887309608</c:v>
                </c:pt>
                <c:pt idx="280">
                  <c:v>-1.6833790887309608</c:v>
                </c:pt>
                <c:pt idx="281">
                  <c:v>-1.6833790887309608</c:v>
                </c:pt>
                <c:pt idx="282">
                  <c:v>-1.6833790887309608</c:v>
                </c:pt>
                <c:pt idx="283">
                  <c:v>-1.6833790887309608</c:v>
                </c:pt>
                <c:pt idx="284">
                  <c:v>-1.6833790887309608</c:v>
                </c:pt>
                <c:pt idx="285">
                  <c:v>-1.6833790887309608</c:v>
                </c:pt>
                <c:pt idx="286">
                  <c:v>-1.6833790887309608</c:v>
                </c:pt>
                <c:pt idx="287">
                  <c:v>-1.6833790887309608</c:v>
                </c:pt>
                <c:pt idx="288">
                  <c:v>-1.6833790887309608</c:v>
                </c:pt>
                <c:pt idx="289">
                  <c:v>-1.6833790887309608</c:v>
                </c:pt>
                <c:pt idx="290">
                  <c:v>-1.6833790887309608</c:v>
                </c:pt>
                <c:pt idx="291">
                  <c:v>-1.6833790887309608</c:v>
                </c:pt>
                <c:pt idx="292">
                  <c:v>-1.6833790887309608</c:v>
                </c:pt>
                <c:pt idx="293">
                  <c:v>-1.6833790887309608</c:v>
                </c:pt>
                <c:pt idx="294">
                  <c:v>-1.6833790887309608</c:v>
                </c:pt>
                <c:pt idx="295">
                  <c:v>-1.6833790887309608</c:v>
                </c:pt>
                <c:pt idx="296">
                  <c:v>-1.6833790887309608</c:v>
                </c:pt>
                <c:pt idx="297">
                  <c:v>-1.6833790887309608</c:v>
                </c:pt>
                <c:pt idx="298">
                  <c:v>-1.6833790887309608</c:v>
                </c:pt>
                <c:pt idx="299">
                  <c:v>-1.6833790887309608</c:v>
                </c:pt>
                <c:pt idx="300">
                  <c:v>-1.6833790887309608</c:v>
                </c:pt>
                <c:pt idx="301">
                  <c:v>-1.6833790887309608</c:v>
                </c:pt>
                <c:pt idx="302">
                  <c:v>-1.6833790887309608</c:v>
                </c:pt>
                <c:pt idx="303">
                  <c:v>-1.6833790887309608</c:v>
                </c:pt>
                <c:pt idx="304">
                  <c:v>-1.6833790887309608</c:v>
                </c:pt>
                <c:pt idx="305">
                  <c:v>-1.6833790887309608</c:v>
                </c:pt>
                <c:pt idx="306">
                  <c:v>-1.6833790887309608</c:v>
                </c:pt>
                <c:pt idx="307">
                  <c:v>-1.6833790887309608</c:v>
                </c:pt>
                <c:pt idx="308">
                  <c:v>-1.6833790887309608</c:v>
                </c:pt>
                <c:pt idx="309">
                  <c:v>-1.6833790887309608</c:v>
                </c:pt>
                <c:pt idx="310">
                  <c:v>-1.6833790887309608</c:v>
                </c:pt>
                <c:pt idx="311">
                  <c:v>-1.6833790887309608</c:v>
                </c:pt>
                <c:pt idx="312">
                  <c:v>-1.6833790887309608</c:v>
                </c:pt>
                <c:pt idx="313">
                  <c:v>-1.6833790887309608</c:v>
                </c:pt>
                <c:pt idx="314">
                  <c:v>-1.6833790887309608</c:v>
                </c:pt>
                <c:pt idx="315">
                  <c:v>-1.6833790887309608</c:v>
                </c:pt>
                <c:pt idx="316">
                  <c:v>-1.6833790887309608</c:v>
                </c:pt>
                <c:pt idx="317">
                  <c:v>-1.6833790887309608</c:v>
                </c:pt>
                <c:pt idx="318">
                  <c:v>-1.6833790887309608</c:v>
                </c:pt>
                <c:pt idx="319">
                  <c:v>-1.6833790887309608</c:v>
                </c:pt>
                <c:pt idx="320">
                  <c:v>-1.6833790887309608</c:v>
                </c:pt>
                <c:pt idx="321">
                  <c:v>-1.6833790887309608</c:v>
                </c:pt>
                <c:pt idx="322">
                  <c:v>-1.6833790887309608</c:v>
                </c:pt>
                <c:pt idx="323">
                  <c:v>-1.6833790887309608</c:v>
                </c:pt>
                <c:pt idx="324">
                  <c:v>-1.6833790887309608</c:v>
                </c:pt>
                <c:pt idx="325">
                  <c:v>-1.6833790887309608</c:v>
                </c:pt>
                <c:pt idx="326">
                  <c:v>-1.6833790887309608</c:v>
                </c:pt>
                <c:pt idx="327">
                  <c:v>-1.6833790887309608</c:v>
                </c:pt>
                <c:pt idx="328">
                  <c:v>-1.6833790887309608</c:v>
                </c:pt>
                <c:pt idx="329">
                  <c:v>-1.6833790887309608</c:v>
                </c:pt>
                <c:pt idx="330">
                  <c:v>-1.6833790887309608</c:v>
                </c:pt>
                <c:pt idx="331">
                  <c:v>-1.6833790887309608</c:v>
                </c:pt>
                <c:pt idx="332">
                  <c:v>-1.6833790887309608</c:v>
                </c:pt>
                <c:pt idx="333">
                  <c:v>-1.6833790887309608</c:v>
                </c:pt>
                <c:pt idx="334">
                  <c:v>-1.6833790887309608</c:v>
                </c:pt>
                <c:pt idx="335">
                  <c:v>-1.6833790887309608</c:v>
                </c:pt>
                <c:pt idx="336">
                  <c:v>-1.6833790887309608</c:v>
                </c:pt>
                <c:pt idx="337">
                  <c:v>-1.6833790887309608</c:v>
                </c:pt>
                <c:pt idx="338">
                  <c:v>-1.6833790887309608</c:v>
                </c:pt>
                <c:pt idx="339">
                  <c:v>-1.6833790887309608</c:v>
                </c:pt>
                <c:pt idx="340">
                  <c:v>-1.6833790887309608</c:v>
                </c:pt>
                <c:pt idx="341">
                  <c:v>-1.6833790887309608</c:v>
                </c:pt>
                <c:pt idx="342">
                  <c:v>-1.6833790887309608</c:v>
                </c:pt>
                <c:pt idx="343">
                  <c:v>-1.6833790887309608</c:v>
                </c:pt>
                <c:pt idx="344">
                  <c:v>-1.6833790887309608</c:v>
                </c:pt>
                <c:pt idx="345">
                  <c:v>-1.6833790887309608</c:v>
                </c:pt>
                <c:pt idx="346">
                  <c:v>-2.0621307233432784</c:v>
                </c:pt>
              </c:numCache>
            </c:numRef>
          </c:val>
          <c:smooth val="1"/>
          <c:extLst>
            <c:ext xmlns:c16="http://schemas.microsoft.com/office/drawing/2014/chart" uri="{C3380CC4-5D6E-409C-BE32-E72D297353CC}">
              <c16:uniqueId val="{00000001-893C-40BA-BB39-4B339B67538A}"/>
            </c:ext>
          </c:extLst>
        </c:ser>
        <c:ser>
          <c:idx val="2"/>
          <c:order val="2"/>
          <c:tx>
            <c:v>SW</c:v>
          </c:tx>
          <c:spPr>
            <a:ln w="28575" cap="rnd">
              <a:solidFill>
                <a:srgbClr val="0070C0"/>
              </a:solidFill>
              <a:prstDash val="solid"/>
              <a:round/>
            </a:ln>
            <a:effectLst/>
          </c:spPr>
          <c:marker>
            <c:symbol val="none"/>
          </c:marker>
          <c:val>
            <c:numRef>
              <c:f>'2025-Q2'!$GO$4:$GO$422</c:f>
              <c:numCache>
                <c:formatCode>0.00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0.79182748269313297</c:v>
                </c:pt>
                <c:pt idx="411">
                  <c:v>0.79182748269313297</c:v>
                </c:pt>
                <c:pt idx="412">
                  <c:v>0.79182748269313297</c:v>
                </c:pt>
                <c:pt idx="413">
                  <c:v>0.79182748269313297</c:v>
                </c:pt>
                <c:pt idx="414">
                  <c:v>0.79182748269313297</c:v>
                </c:pt>
                <c:pt idx="415">
                  <c:v>0.79182748269313297</c:v>
                </c:pt>
                <c:pt idx="416">
                  <c:v>0.79182748269313297</c:v>
                </c:pt>
                <c:pt idx="417">
                  <c:v>0.79182748269313297</c:v>
                </c:pt>
                <c:pt idx="418">
                  <c:v>0.79182748269313297</c:v>
                </c:pt>
              </c:numCache>
            </c:numRef>
          </c:val>
          <c:smooth val="1"/>
          <c:extLst>
            <c:ext xmlns:c16="http://schemas.microsoft.com/office/drawing/2014/chart" uri="{C3380CC4-5D6E-409C-BE32-E72D297353CC}">
              <c16:uniqueId val="{00000002-893C-40BA-BB39-4B339B67538A}"/>
            </c:ext>
          </c:extLst>
        </c:ser>
        <c:ser>
          <c:idx val="3"/>
          <c:order val="3"/>
          <c:tx>
            <c:v>All Three</c:v>
          </c:tx>
          <c:spPr>
            <a:ln w="38100" cap="rnd">
              <a:solidFill>
                <a:sysClr val="windowText" lastClr="000000"/>
              </a:solidFill>
              <a:round/>
            </a:ln>
            <a:effectLst/>
          </c:spPr>
          <c:marker>
            <c:symbol val="none"/>
          </c:marker>
          <c:val>
            <c:numRef>
              <c:f>'2025-Q2'!$GP$4:$GP$422</c:f>
              <c:numCache>
                <c:formatCode>0.00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-0.55016731892688953</c:v>
                </c:pt>
                <c:pt idx="31">
                  <c:v>-0.55016731892688953</c:v>
                </c:pt>
                <c:pt idx="32">
                  <c:v>-0.55016731892688953</c:v>
                </c:pt>
                <c:pt idx="33">
                  <c:v>-0.55016731892688953</c:v>
                </c:pt>
                <c:pt idx="34">
                  <c:v>-0.55016731892688953</c:v>
                </c:pt>
                <c:pt idx="35">
                  <c:v>-0.55016731892688953</c:v>
                </c:pt>
                <c:pt idx="36">
                  <c:v>-0.55016731892688953</c:v>
                </c:pt>
                <c:pt idx="37">
                  <c:v>-0.55016731892688953</c:v>
                </c:pt>
                <c:pt idx="38">
                  <c:v>-0.55016731892688953</c:v>
                </c:pt>
                <c:pt idx="39">
                  <c:v>-0.55016731892688953</c:v>
                </c:pt>
                <c:pt idx="40">
                  <c:v>-0.55016731892688953</c:v>
                </c:pt>
                <c:pt idx="41">
                  <c:v>-0.55016731892688953</c:v>
                </c:pt>
                <c:pt idx="42">
                  <c:v>-0.55016731892688953</c:v>
                </c:pt>
                <c:pt idx="43">
                  <c:v>-0.55016731892688953</c:v>
                </c:pt>
                <c:pt idx="44">
                  <c:v>-0.55016731892688953</c:v>
                </c:pt>
                <c:pt idx="45">
                  <c:v>-0.55016731892688953</c:v>
                </c:pt>
                <c:pt idx="46">
                  <c:v>-0.55016731892688953</c:v>
                </c:pt>
                <c:pt idx="47">
                  <c:v>-0.55016731892688953</c:v>
                </c:pt>
                <c:pt idx="48">
                  <c:v>-1.0674765946939027</c:v>
                </c:pt>
                <c:pt idx="49">
                  <c:v>-1.0674765946939027</c:v>
                </c:pt>
                <c:pt idx="50">
                  <c:v>-1.0674765946939027</c:v>
                </c:pt>
                <c:pt idx="51">
                  <c:v>-1.0674765946939027</c:v>
                </c:pt>
                <c:pt idx="52">
                  <c:v>-1.0674765946939027</c:v>
                </c:pt>
                <c:pt idx="53">
                  <c:v>-1.0674765946939027</c:v>
                </c:pt>
                <c:pt idx="54">
                  <c:v>-1.0674765946939027</c:v>
                </c:pt>
                <c:pt idx="55">
                  <c:v>-1.0674765946939027</c:v>
                </c:pt>
                <c:pt idx="56">
                  <c:v>-1.0674765946939027</c:v>
                </c:pt>
                <c:pt idx="57">
                  <c:v>-1.0674765946939027</c:v>
                </c:pt>
                <c:pt idx="58">
                  <c:v>-1.0674765946939027</c:v>
                </c:pt>
                <c:pt idx="59">
                  <c:v>-1.0674765946939027</c:v>
                </c:pt>
                <c:pt idx="60">
                  <c:v>-1.0674765946939027</c:v>
                </c:pt>
                <c:pt idx="61">
                  <c:v>-1.0674765946939027</c:v>
                </c:pt>
                <c:pt idx="62">
                  <c:v>-1.0674765946939027</c:v>
                </c:pt>
                <c:pt idx="63">
                  <c:v>-1.0674765946939027</c:v>
                </c:pt>
                <c:pt idx="64">
                  <c:v>-1.0674765946939027</c:v>
                </c:pt>
                <c:pt idx="65">
                  <c:v>-1.0674765946939027</c:v>
                </c:pt>
                <c:pt idx="66">
                  <c:v>-1.0674765946939027</c:v>
                </c:pt>
                <c:pt idx="67">
                  <c:v>-1.0674765946939027</c:v>
                </c:pt>
                <c:pt idx="68">
                  <c:v>-1.0674765946939027</c:v>
                </c:pt>
                <c:pt idx="69">
                  <c:v>-1.0674765946939027</c:v>
                </c:pt>
                <c:pt idx="70">
                  <c:v>-0.4054764861692941</c:v>
                </c:pt>
                <c:pt idx="71">
                  <c:v>-0.4054764861692941</c:v>
                </c:pt>
                <c:pt idx="72">
                  <c:v>-0.4054764861692941</c:v>
                </c:pt>
                <c:pt idx="73">
                  <c:v>-0.4054764861692941</c:v>
                </c:pt>
                <c:pt idx="74">
                  <c:v>-0.4054764861692941</c:v>
                </c:pt>
                <c:pt idx="75">
                  <c:v>-0.4054764861692941</c:v>
                </c:pt>
                <c:pt idx="76">
                  <c:v>-0.4054764861692941</c:v>
                </c:pt>
                <c:pt idx="77">
                  <c:v>-0.4054764861692941</c:v>
                </c:pt>
                <c:pt idx="78">
                  <c:v>-0.4054764861692941</c:v>
                </c:pt>
                <c:pt idx="79">
                  <c:v>-0.4054764861692941</c:v>
                </c:pt>
                <c:pt idx="80">
                  <c:v>-0.4054764861692941</c:v>
                </c:pt>
                <c:pt idx="81">
                  <c:v>-0.4054764861692941</c:v>
                </c:pt>
                <c:pt idx="82">
                  <c:v>-0.4054764861692941</c:v>
                </c:pt>
                <c:pt idx="83">
                  <c:v>-0.4054764861692941</c:v>
                </c:pt>
                <c:pt idx="84">
                  <c:v>-0.4054764861692941</c:v>
                </c:pt>
                <c:pt idx="85">
                  <c:v>-0.4054764861692941</c:v>
                </c:pt>
                <c:pt idx="86">
                  <c:v>-0.4054764861692941</c:v>
                </c:pt>
                <c:pt idx="87">
                  <c:v>-0.4054764861692941</c:v>
                </c:pt>
                <c:pt idx="88">
                  <c:v>-0.4054764861692941</c:v>
                </c:pt>
                <c:pt idx="89">
                  <c:v>-0.4054764861692941</c:v>
                </c:pt>
                <c:pt idx="90">
                  <c:v>-0.4054764861692941</c:v>
                </c:pt>
                <c:pt idx="91">
                  <c:v>-0.4054764861692941</c:v>
                </c:pt>
                <c:pt idx="92">
                  <c:v>-0.4054764861692941</c:v>
                </c:pt>
                <c:pt idx="93">
                  <c:v>-0.4054764861692941</c:v>
                </c:pt>
                <c:pt idx="94">
                  <c:v>-0.4054764861692941</c:v>
                </c:pt>
                <c:pt idx="95">
                  <c:v>-0.4054764861692941</c:v>
                </c:pt>
                <c:pt idx="96">
                  <c:v>-0.4054764861692941</c:v>
                </c:pt>
                <c:pt idx="97">
                  <c:v>-0.4054764861692941</c:v>
                </c:pt>
                <c:pt idx="98">
                  <c:v>-0.4054764861692941</c:v>
                </c:pt>
                <c:pt idx="99">
                  <c:v>-0.4054764861692941</c:v>
                </c:pt>
                <c:pt idx="100">
                  <c:v>-0.4054764861692941</c:v>
                </c:pt>
                <c:pt idx="101">
                  <c:v>-0.4054764861692941</c:v>
                </c:pt>
                <c:pt idx="102">
                  <c:v>-0.4054764861692941</c:v>
                </c:pt>
                <c:pt idx="103">
                  <c:v>-0.4054764861692941</c:v>
                </c:pt>
                <c:pt idx="104">
                  <c:v>-0.4054764861692941</c:v>
                </c:pt>
                <c:pt idx="105">
                  <c:v>-0.4054764861692941</c:v>
                </c:pt>
                <c:pt idx="106">
                  <c:v>-0.4054764861692941</c:v>
                </c:pt>
                <c:pt idx="107">
                  <c:v>-0.4054764861692941</c:v>
                </c:pt>
                <c:pt idx="108">
                  <c:v>-0.4054764861692941</c:v>
                </c:pt>
                <c:pt idx="109">
                  <c:v>-0.4054764861692941</c:v>
                </c:pt>
                <c:pt idx="110">
                  <c:v>-0.4054764861692941</c:v>
                </c:pt>
                <c:pt idx="111">
                  <c:v>-0.4054764861692941</c:v>
                </c:pt>
                <c:pt idx="112">
                  <c:v>-0.4054764861692941</c:v>
                </c:pt>
                <c:pt idx="113">
                  <c:v>-0.4054764861692941</c:v>
                </c:pt>
                <c:pt idx="114">
                  <c:v>-0.4054764861692941</c:v>
                </c:pt>
                <c:pt idx="115">
                  <c:v>-0.4054764861692941</c:v>
                </c:pt>
                <c:pt idx="116">
                  <c:v>-0.4054764861692941</c:v>
                </c:pt>
                <c:pt idx="117">
                  <c:v>-0.4054764861692941</c:v>
                </c:pt>
                <c:pt idx="118">
                  <c:v>-0.4054764861692941</c:v>
                </c:pt>
                <c:pt idx="119">
                  <c:v>-0.4054764861692941</c:v>
                </c:pt>
                <c:pt idx="120">
                  <c:v>-0.4054764861692941</c:v>
                </c:pt>
                <c:pt idx="121">
                  <c:v>-0.4054764861692941</c:v>
                </c:pt>
                <c:pt idx="122">
                  <c:v>-0.4054764861692941</c:v>
                </c:pt>
                <c:pt idx="123">
                  <c:v>-0.4054764861692941</c:v>
                </c:pt>
                <c:pt idx="124">
                  <c:v>-0.4054764861692941</c:v>
                </c:pt>
                <c:pt idx="125">
                  <c:v>-0.4054764861692941</c:v>
                </c:pt>
                <c:pt idx="126">
                  <c:v>-0.4054764861692941</c:v>
                </c:pt>
                <c:pt idx="127">
                  <c:v>-0.4054764861692941</c:v>
                </c:pt>
                <c:pt idx="128">
                  <c:v>-0.4054764861692941</c:v>
                </c:pt>
                <c:pt idx="129">
                  <c:v>-0.80168930905701452</c:v>
                </c:pt>
                <c:pt idx="130">
                  <c:v>-0.80168930905701452</c:v>
                </c:pt>
                <c:pt idx="131">
                  <c:v>-0.80168930905701452</c:v>
                </c:pt>
                <c:pt idx="132">
                  <c:v>-0.80168930905701452</c:v>
                </c:pt>
                <c:pt idx="133">
                  <c:v>-0.80168930905701452</c:v>
                </c:pt>
                <c:pt idx="134">
                  <c:v>-0.80168930905701452</c:v>
                </c:pt>
                <c:pt idx="135">
                  <c:v>-0.80168930905701452</c:v>
                </c:pt>
                <c:pt idx="136">
                  <c:v>-0.80168930905701452</c:v>
                </c:pt>
                <c:pt idx="137">
                  <c:v>-0.80168930905701452</c:v>
                </c:pt>
                <c:pt idx="138">
                  <c:v>-0.80168930905701452</c:v>
                </c:pt>
                <c:pt idx="139">
                  <c:v>-0.80168930905701452</c:v>
                </c:pt>
                <c:pt idx="140">
                  <c:v>-0.80168930905701452</c:v>
                </c:pt>
                <c:pt idx="141">
                  <c:v>-0.80168930905701452</c:v>
                </c:pt>
                <c:pt idx="142">
                  <c:v>-0.80168930905701452</c:v>
                </c:pt>
                <c:pt idx="143">
                  <c:v>-0.80168930905701452</c:v>
                </c:pt>
                <c:pt idx="144">
                  <c:v>-0.80168930905701452</c:v>
                </c:pt>
                <c:pt idx="145">
                  <c:v>-0.80168930905701452</c:v>
                </c:pt>
                <c:pt idx="146">
                  <c:v>-0.80168930905701452</c:v>
                </c:pt>
                <c:pt idx="147">
                  <c:v>-0.80168930905701452</c:v>
                </c:pt>
                <c:pt idx="148">
                  <c:v>-0.80168930905701452</c:v>
                </c:pt>
                <c:pt idx="149">
                  <c:v>-0.80168930905701452</c:v>
                </c:pt>
                <c:pt idx="150">
                  <c:v>-0.80168930905701452</c:v>
                </c:pt>
                <c:pt idx="151">
                  <c:v>-0.80168930905701452</c:v>
                </c:pt>
                <c:pt idx="152">
                  <c:v>-0.80168930905701452</c:v>
                </c:pt>
                <c:pt idx="153">
                  <c:v>-0.80168930905701452</c:v>
                </c:pt>
                <c:pt idx="154">
                  <c:v>-0.80168930905701452</c:v>
                </c:pt>
                <c:pt idx="155">
                  <c:v>-0.80168930905701452</c:v>
                </c:pt>
                <c:pt idx="156">
                  <c:v>-0.80168930905701452</c:v>
                </c:pt>
                <c:pt idx="157">
                  <c:v>-0.80168930905701452</c:v>
                </c:pt>
                <c:pt idx="158">
                  <c:v>-0.80168930905701452</c:v>
                </c:pt>
                <c:pt idx="159">
                  <c:v>-0.80168930905701452</c:v>
                </c:pt>
                <c:pt idx="160">
                  <c:v>-0.80168930905701452</c:v>
                </c:pt>
                <c:pt idx="161">
                  <c:v>-0.80168930905701452</c:v>
                </c:pt>
                <c:pt idx="162">
                  <c:v>-0.80168930905701452</c:v>
                </c:pt>
                <c:pt idx="163">
                  <c:v>-0.80168930905701452</c:v>
                </c:pt>
                <c:pt idx="164">
                  <c:v>-0.80168930905701452</c:v>
                </c:pt>
                <c:pt idx="165">
                  <c:v>-0.80168930905701452</c:v>
                </c:pt>
                <c:pt idx="166">
                  <c:v>-0.80168930905701452</c:v>
                </c:pt>
                <c:pt idx="167">
                  <c:v>-0.80168930905701452</c:v>
                </c:pt>
                <c:pt idx="168">
                  <c:v>-0.80168930905701452</c:v>
                </c:pt>
                <c:pt idx="169">
                  <c:v>-0.80168930905701452</c:v>
                </c:pt>
                <c:pt idx="170">
                  <c:v>-0.80168930905701452</c:v>
                </c:pt>
                <c:pt idx="171">
                  <c:v>-0.80168930905701452</c:v>
                </c:pt>
                <c:pt idx="172">
                  <c:v>-0.80168930905701452</c:v>
                </c:pt>
                <c:pt idx="173">
                  <c:v>-0.80168930905701452</c:v>
                </c:pt>
                <c:pt idx="174">
                  <c:v>-0.80168930905701452</c:v>
                </c:pt>
                <c:pt idx="175">
                  <c:v>-0.80168930905701452</c:v>
                </c:pt>
                <c:pt idx="176">
                  <c:v>-0.80168930905701452</c:v>
                </c:pt>
                <c:pt idx="177">
                  <c:v>-0.80168930905701452</c:v>
                </c:pt>
                <c:pt idx="178">
                  <c:v>-0.80168930905701452</c:v>
                </c:pt>
                <c:pt idx="179">
                  <c:v>-0.80168930905701452</c:v>
                </c:pt>
                <c:pt idx="180">
                  <c:v>-0.80168930905701452</c:v>
                </c:pt>
                <c:pt idx="181">
                  <c:v>-0.80168930905701452</c:v>
                </c:pt>
                <c:pt idx="182">
                  <c:v>-0.80168930905701452</c:v>
                </c:pt>
                <c:pt idx="183">
                  <c:v>-0.80168930905701452</c:v>
                </c:pt>
                <c:pt idx="184">
                  <c:v>-0.80168930905701452</c:v>
                </c:pt>
                <c:pt idx="185">
                  <c:v>-0.80168930905701452</c:v>
                </c:pt>
                <c:pt idx="186">
                  <c:v>-0.80168930905701452</c:v>
                </c:pt>
                <c:pt idx="187">
                  <c:v>-0.80168930905701452</c:v>
                </c:pt>
                <c:pt idx="188">
                  <c:v>-0.80168930905701452</c:v>
                </c:pt>
                <c:pt idx="189">
                  <c:v>-0.80168930905701452</c:v>
                </c:pt>
                <c:pt idx="190">
                  <c:v>-0.80168930905701452</c:v>
                </c:pt>
                <c:pt idx="191">
                  <c:v>-0.80168930905701452</c:v>
                </c:pt>
                <c:pt idx="192">
                  <c:v>-0.80168930905701452</c:v>
                </c:pt>
                <c:pt idx="193">
                  <c:v>-0.80168930905701452</c:v>
                </c:pt>
                <c:pt idx="194">
                  <c:v>-0.80168930905701452</c:v>
                </c:pt>
                <c:pt idx="195">
                  <c:v>-0.80168930905701452</c:v>
                </c:pt>
                <c:pt idx="196">
                  <c:v>-0.80168930905701452</c:v>
                </c:pt>
                <c:pt idx="197">
                  <c:v>-0.80168930905701452</c:v>
                </c:pt>
                <c:pt idx="198">
                  <c:v>-0.80168930905701452</c:v>
                </c:pt>
                <c:pt idx="199">
                  <c:v>-0.80168930905701452</c:v>
                </c:pt>
                <c:pt idx="200">
                  <c:v>-0.80168930905701452</c:v>
                </c:pt>
                <c:pt idx="201">
                  <c:v>-0.80168930905701452</c:v>
                </c:pt>
                <c:pt idx="202">
                  <c:v>-0.80168930905701452</c:v>
                </c:pt>
                <c:pt idx="203">
                  <c:v>-0.80168930905701452</c:v>
                </c:pt>
                <c:pt idx="204">
                  <c:v>-0.80168930905701452</c:v>
                </c:pt>
                <c:pt idx="205">
                  <c:v>-0.80168930905701452</c:v>
                </c:pt>
                <c:pt idx="206">
                  <c:v>-0.80168930905701452</c:v>
                </c:pt>
                <c:pt idx="207">
                  <c:v>-0.80168930905701452</c:v>
                </c:pt>
                <c:pt idx="208">
                  <c:v>-0.80168930905701452</c:v>
                </c:pt>
                <c:pt idx="209">
                  <c:v>-0.80168930905701452</c:v>
                </c:pt>
                <c:pt idx="210">
                  <c:v>-0.80168930905701452</c:v>
                </c:pt>
                <c:pt idx="211">
                  <c:v>-0.80168930905701452</c:v>
                </c:pt>
                <c:pt idx="212">
                  <c:v>-0.80168930905701452</c:v>
                </c:pt>
                <c:pt idx="213">
                  <c:v>-0.80168930905701452</c:v>
                </c:pt>
                <c:pt idx="214">
                  <c:v>-0.80168930905701452</c:v>
                </c:pt>
                <c:pt idx="215">
                  <c:v>-2.1821391544892714</c:v>
                </c:pt>
                <c:pt idx="216">
                  <c:v>-2.1821391544892714</c:v>
                </c:pt>
                <c:pt idx="217">
                  <c:v>-2.1821391544892714</c:v>
                </c:pt>
                <c:pt idx="218">
                  <c:v>-2.1821391544892714</c:v>
                </c:pt>
                <c:pt idx="219">
                  <c:v>-2.1821391544892714</c:v>
                </c:pt>
                <c:pt idx="220">
                  <c:v>-1.6833790887309608</c:v>
                </c:pt>
                <c:pt idx="221">
                  <c:v>-1.6833790887309608</c:v>
                </c:pt>
                <c:pt idx="222">
                  <c:v>-1.6833790887309608</c:v>
                </c:pt>
                <c:pt idx="223">
                  <c:v>-1.6833790887309608</c:v>
                </c:pt>
                <c:pt idx="224">
                  <c:v>-1.6833790887309608</c:v>
                </c:pt>
                <c:pt idx="225">
                  <c:v>-1.6833790887309608</c:v>
                </c:pt>
                <c:pt idx="226">
                  <c:v>-1.6833790887309608</c:v>
                </c:pt>
                <c:pt idx="227">
                  <c:v>-1.6833790887309608</c:v>
                </c:pt>
                <c:pt idx="228">
                  <c:v>-1.6833790887309608</c:v>
                </c:pt>
                <c:pt idx="229">
                  <c:v>-1.6833790887309608</c:v>
                </c:pt>
                <c:pt idx="230">
                  <c:v>-1.6833790887309608</c:v>
                </c:pt>
                <c:pt idx="231">
                  <c:v>-1.6833790887309608</c:v>
                </c:pt>
                <c:pt idx="232">
                  <c:v>-1.6833790887309608</c:v>
                </c:pt>
                <c:pt idx="233">
                  <c:v>-1.6833790887309608</c:v>
                </c:pt>
                <c:pt idx="234">
                  <c:v>-1.6833790887309608</c:v>
                </c:pt>
                <c:pt idx="235">
                  <c:v>-1.6833790887309608</c:v>
                </c:pt>
                <c:pt idx="236">
                  <c:v>-1.6833790887309608</c:v>
                </c:pt>
                <c:pt idx="237">
                  <c:v>-1.6833790887309608</c:v>
                </c:pt>
                <c:pt idx="238">
                  <c:v>-1.6833790887309608</c:v>
                </c:pt>
                <c:pt idx="239">
                  <c:v>-1.6833790887309608</c:v>
                </c:pt>
                <c:pt idx="240">
                  <c:v>-1.6833790887309608</c:v>
                </c:pt>
                <c:pt idx="241">
                  <c:v>-1.6833790887309608</c:v>
                </c:pt>
                <c:pt idx="242">
                  <c:v>-1.6833790887309608</c:v>
                </c:pt>
                <c:pt idx="243">
                  <c:v>-1.6833790887309608</c:v>
                </c:pt>
                <c:pt idx="244">
                  <c:v>-1.6833790887309608</c:v>
                </c:pt>
                <c:pt idx="245">
                  <c:v>-1.6833790887309608</c:v>
                </c:pt>
                <c:pt idx="246">
                  <c:v>-1.6833790887309608</c:v>
                </c:pt>
                <c:pt idx="247">
                  <c:v>-1.6833790887309608</c:v>
                </c:pt>
                <c:pt idx="248">
                  <c:v>-1.6833790887309608</c:v>
                </c:pt>
                <c:pt idx="249">
                  <c:v>-1.6833790887309608</c:v>
                </c:pt>
                <c:pt idx="250">
                  <c:v>-1.6833790887309608</c:v>
                </c:pt>
                <c:pt idx="251">
                  <c:v>-1.6833790887309608</c:v>
                </c:pt>
                <c:pt idx="252">
                  <c:v>-1.6833790887309608</c:v>
                </c:pt>
                <c:pt idx="253">
                  <c:v>-1.6833790887309608</c:v>
                </c:pt>
                <c:pt idx="254">
                  <c:v>-1.6833790887309608</c:v>
                </c:pt>
                <c:pt idx="255">
                  <c:v>-1.6833790887309608</c:v>
                </c:pt>
                <c:pt idx="256">
                  <c:v>-1.6833790887309608</c:v>
                </c:pt>
                <c:pt idx="257">
                  <c:v>-1.6833790887309608</c:v>
                </c:pt>
                <c:pt idx="258">
                  <c:v>-1.6833790887309608</c:v>
                </c:pt>
                <c:pt idx="259">
                  <c:v>-1.6833790887309608</c:v>
                </c:pt>
                <c:pt idx="260">
                  <c:v>-1.6833790887309608</c:v>
                </c:pt>
                <c:pt idx="261">
                  <c:v>-1.6833790887309608</c:v>
                </c:pt>
                <c:pt idx="262">
                  <c:v>-1.6833790887309608</c:v>
                </c:pt>
                <c:pt idx="263">
                  <c:v>-1.6833790887309608</c:v>
                </c:pt>
                <c:pt idx="264">
                  <c:v>-1.6833790887309608</c:v>
                </c:pt>
                <c:pt idx="265">
                  <c:v>-1.6833790887309608</c:v>
                </c:pt>
                <c:pt idx="266">
                  <c:v>-1.6833790887309608</c:v>
                </c:pt>
                <c:pt idx="267">
                  <c:v>-1.6833790887309608</c:v>
                </c:pt>
                <c:pt idx="268">
                  <c:v>-1.6833790887309608</c:v>
                </c:pt>
                <c:pt idx="269">
                  <c:v>-1.6833790887309608</c:v>
                </c:pt>
                <c:pt idx="270">
                  <c:v>-1.6833790887309608</c:v>
                </c:pt>
                <c:pt idx="271">
                  <c:v>-1.6833790887309608</c:v>
                </c:pt>
                <c:pt idx="272">
                  <c:v>-1.6833790887309608</c:v>
                </c:pt>
                <c:pt idx="273">
                  <c:v>-1.6833790887309608</c:v>
                </c:pt>
                <c:pt idx="274">
                  <c:v>-1.6833790887309608</c:v>
                </c:pt>
                <c:pt idx="275">
                  <c:v>-1.6833790887309608</c:v>
                </c:pt>
                <c:pt idx="276">
                  <c:v>-1.6833790887309608</c:v>
                </c:pt>
                <c:pt idx="277">
                  <c:v>-1.6833790887309608</c:v>
                </c:pt>
                <c:pt idx="278">
                  <c:v>-1.6833790887309608</c:v>
                </c:pt>
                <c:pt idx="279">
                  <c:v>-1.6833790887309608</c:v>
                </c:pt>
                <c:pt idx="280">
                  <c:v>-1.6833790887309608</c:v>
                </c:pt>
                <c:pt idx="281">
                  <c:v>-1.6833790887309608</c:v>
                </c:pt>
                <c:pt idx="282">
                  <c:v>-1.6833790887309608</c:v>
                </c:pt>
                <c:pt idx="283">
                  <c:v>-1.6833790887309608</c:v>
                </c:pt>
                <c:pt idx="284">
                  <c:v>-1.6833790887309608</c:v>
                </c:pt>
                <c:pt idx="285">
                  <c:v>-1.6833790887309608</c:v>
                </c:pt>
                <c:pt idx="286">
                  <c:v>-1.6833790887309608</c:v>
                </c:pt>
                <c:pt idx="287">
                  <c:v>-1.6833790887309608</c:v>
                </c:pt>
                <c:pt idx="288">
                  <c:v>-1.6833790887309608</c:v>
                </c:pt>
                <c:pt idx="289">
                  <c:v>-1.6833790887309608</c:v>
                </c:pt>
                <c:pt idx="290">
                  <c:v>-1.6833790887309608</c:v>
                </c:pt>
                <c:pt idx="291">
                  <c:v>-1.6833790887309608</c:v>
                </c:pt>
                <c:pt idx="292">
                  <c:v>-1.6833790887309608</c:v>
                </c:pt>
                <c:pt idx="293">
                  <c:v>-1.6833790887309608</c:v>
                </c:pt>
                <c:pt idx="294">
                  <c:v>-1.6833790887309608</c:v>
                </c:pt>
                <c:pt idx="295">
                  <c:v>-1.6833790887309608</c:v>
                </c:pt>
                <c:pt idx="296">
                  <c:v>-1.6833790887309608</c:v>
                </c:pt>
                <c:pt idx="297">
                  <c:v>-1.6833790887309608</c:v>
                </c:pt>
                <c:pt idx="298">
                  <c:v>-1.6833790887309608</c:v>
                </c:pt>
                <c:pt idx="299">
                  <c:v>-1.6833790887309608</c:v>
                </c:pt>
                <c:pt idx="300">
                  <c:v>-1.6833790887309608</c:v>
                </c:pt>
                <c:pt idx="301">
                  <c:v>-1.6833790887309608</c:v>
                </c:pt>
                <c:pt idx="302">
                  <c:v>-1.6833790887309608</c:v>
                </c:pt>
                <c:pt idx="303">
                  <c:v>-1.6833790887309608</c:v>
                </c:pt>
                <c:pt idx="304">
                  <c:v>-1.6833790887309608</c:v>
                </c:pt>
                <c:pt idx="305">
                  <c:v>-1.6833790887309608</c:v>
                </c:pt>
                <c:pt idx="306">
                  <c:v>-1.6833790887309608</c:v>
                </c:pt>
                <c:pt idx="307">
                  <c:v>-1.6833790887309608</c:v>
                </c:pt>
                <c:pt idx="308">
                  <c:v>-1.6833790887309608</c:v>
                </c:pt>
                <c:pt idx="309">
                  <c:v>-1.6833790887309608</c:v>
                </c:pt>
                <c:pt idx="310">
                  <c:v>-1.6833790887309608</c:v>
                </c:pt>
                <c:pt idx="311">
                  <c:v>-1.6833790887309608</c:v>
                </c:pt>
                <c:pt idx="312">
                  <c:v>-1.6833790887309608</c:v>
                </c:pt>
                <c:pt idx="313">
                  <c:v>-1.6833790887309608</c:v>
                </c:pt>
                <c:pt idx="314">
                  <c:v>-1.6833790887309608</c:v>
                </c:pt>
                <c:pt idx="315">
                  <c:v>-1.6833790887309608</c:v>
                </c:pt>
                <c:pt idx="316">
                  <c:v>-1.6833790887309608</c:v>
                </c:pt>
                <c:pt idx="317">
                  <c:v>-1.6833790887309608</c:v>
                </c:pt>
                <c:pt idx="318">
                  <c:v>-1.6833790887309608</c:v>
                </c:pt>
                <c:pt idx="319">
                  <c:v>-1.6833790887309608</c:v>
                </c:pt>
                <c:pt idx="320">
                  <c:v>-1.6833790887309608</c:v>
                </c:pt>
                <c:pt idx="321">
                  <c:v>-1.6833790887309608</c:v>
                </c:pt>
                <c:pt idx="322">
                  <c:v>-1.6833790887309608</c:v>
                </c:pt>
                <c:pt idx="323">
                  <c:v>-1.6833790887309608</c:v>
                </c:pt>
                <c:pt idx="324">
                  <c:v>-1.6833790887309608</c:v>
                </c:pt>
                <c:pt idx="325">
                  <c:v>-1.6833790887309608</c:v>
                </c:pt>
                <c:pt idx="326">
                  <c:v>-1.6833790887309608</c:v>
                </c:pt>
                <c:pt idx="327">
                  <c:v>-1.6833790887309608</c:v>
                </c:pt>
                <c:pt idx="328">
                  <c:v>-1.6833790887309608</c:v>
                </c:pt>
                <c:pt idx="329">
                  <c:v>-1.6833790887309608</c:v>
                </c:pt>
                <c:pt idx="330">
                  <c:v>-1.6833790887309608</c:v>
                </c:pt>
                <c:pt idx="331">
                  <c:v>-1.6833790887309608</c:v>
                </c:pt>
                <c:pt idx="332">
                  <c:v>-1.6833790887309608</c:v>
                </c:pt>
                <c:pt idx="333">
                  <c:v>-1.6833790887309608</c:v>
                </c:pt>
                <c:pt idx="334">
                  <c:v>-1.6833790887309608</c:v>
                </c:pt>
                <c:pt idx="335">
                  <c:v>-1.6833790887309608</c:v>
                </c:pt>
                <c:pt idx="336">
                  <c:v>-1.6833790887309608</c:v>
                </c:pt>
                <c:pt idx="337">
                  <c:v>-1.6833790887309608</c:v>
                </c:pt>
                <c:pt idx="338">
                  <c:v>-1.6833790887309608</c:v>
                </c:pt>
                <c:pt idx="339">
                  <c:v>-1.6833790887309608</c:v>
                </c:pt>
                <c:pt idx="340">
                  <c:v>-1.6833790887309608</c:v>
                </c:pt>
                <c:pt idx="341">
                  <c:v>-1.6833790887309608</c:v>
                </c:pt>
                <c:pt idx="342">
                  <c:v>-1.6833790887309608</c:v>
                </c:pt>
                <c:pt idx="343">
                  <c:v>-1.6833790887309608</c:v>
                </c:pt>
                <c:pt idx="344">
                  <c:v>-1.6833790887309608</c:v>
                </c:pt>
                <c:pt idx="345">
                  <c:v>-1.6833790887309608</c:v>
                </c:pt>
                <c:pt idx="346">
                  <c:v>-2.0621307233432784</c:v>
                </c:pt>
                <c:pt idx="347">
                  <c:v>-2.0621307233432784</c:v>
                </c:pt>
                <c:pt idx="348">
                  <c:v>-2.0621307233432784</c:v>
                </c:pt>
                <c:pt idx="349">
                  <c:v>-2.0621307233432784</c:v>
                </c:pt>
                <c:pt idx="350">
                  <c:v>-2.0621307233432784</c:v>
                </c:pt>
                <c:pt idx="351">
                  <c:v>-2.0621307233432784</c:v>
                </c:pt>
                <c:pt idx="352">
                  <c:v>-2.0621307233432784</c:v>
                </c:pt>
                <c:pt idx="353">
                  <c:v>-2.0621307233432784</c:v>
                </c:pt>
                <c:pt idx="354">
                  <c:v>-2.0621307233432784</c:v>
                </c:pt>
                <c:pt idx="355">
                  <c:v>-2.0621307233432784</c:v>
                </c:pt>
                <c:pt idx="356">
                  <c:v>-2.0621307233432784</c:v>
                </c:pt>
                <c:pt idx="357">
                  <c:v>-2.0621307233432784</c:v>
                </c:pt>
                <c:pt idx="358">
                  <c:v>-2.0621307233432784</c:v>
                </c:pt>
                <c:pt idx="359">
                  <c:v>-2.0621307233432784</c:v>
                </c:pt>
                <c:pt idx="360">
                  <c:v>-2.0621307233432784</c:v>
                </c:pt>
                <c:pt idx="361">
                  <c:v>-2.0621307233432784</c:v>
                </c:pt>
                <c:pt idx="362">
                  <c:v>-2.0621307233432784</c:v>
                </c:pt>
                <c:pt idx="363">
                  <c:v>-2.0621307233432784</c:v>
                </c:pt>
                <c:pt idx="364">
                  <c:v>-2.0621307233432784</c:v>
                </c:pt>
                <c:pt idx="365">
                  <c:v>-2.0621307233432784</c:v>
                </c:pt>
                <c:pt idx="366">
                  <c:v>-2.0621307233432784</c:v>
                </c:pt>
                <c:pt idx="367">
                  <c:v>-2.0621307233432784</c:v>
                </c:pt>
                <c:pt idx="368">
                  <c:v>-2.0621307233432784</c:v>
                </c:pt>
                <c:pt idx="369">
                  <c:v>-2.0621307233432784</c:v>
                </c:pt>
                <c:pt idx="370">
                  <c:v>-2.0621307233432784</c:v>
                </c:pt>
                <c:pt idx="371">
                  <c:v>-2.0621307233432784</c:v>
                </c:pt>
                <c:pt idx="372">
                  <c:v>-2.0621307233432784</c:v>
                </c:pt>
                <c:pt idx="373">
                  <c:v>-2.0621307233432784</c:v>
                </c:pt>
                <c:pt idx="374">
                  <c:v>-2.0621307233432784</c:v>
                </c:pt>
                <c:pt idx="375">
                  <c:v>-2.0621307233432784</c:v>
                </c:pt>
                <c:pt idx="376">
                  <c:v>-2.0621307233432784</c:v>
                </c:pt>
                <c:pt idx="377">
                  <c:v>-2.0621307233432784</c:v>
                </c:pt>
                <c:pt idx="378">
                  <c:v>-2.0621307233432784</c:v>
                </c:pt>
                <c:pt idx="379">
                  <c:v>-2.0621307233432784</c:v>
                </c:pt>
                <c:pt idx="380">
                  <c:v>-2.0621307233432784</c:v>
                </c:pt>
                <c:pt idx="381">
                  <c:v>-2.0621307233432784</c:v>
                </c:pt>
                <c:pt idx="382">
                  <c:v>-2.0621307233432784</c:v>
                </c:pt>
                <c:pt idx="383">
                  <c:v>-2.0621307233432784</c:v>
                </c:pt>
                <c:pt idx="384">
                  <c:v>-2.0621307233432784</c:v>
                </c:pt>
                <c:pt idx="385">
                  <c:v>-2.0621307233432784</c:v>
                </c:pt>
                <c:pt idx="386">
                  <c:v>-2.0621307233432784</c:v>
                </c:pt>
                <c:pt idx="387">
                  <c:v>-2.0621307233432784</c:v>
                </c:pt>
                <c:pt idx="388">
                  <c:v>-2.0621307233432784</c:v>
                </c:pt>
                <c:pt idx="389">
                  <c:v>-2.0621307233432784</c:v>
                </c:pt>
                <c:pt idx="390">
                  <c:v>-2.0621307233432784</c:v>
                </c:pt>
                <c:pt idx="391">
                  <c:v>-2.0621307233432784</c:v>
                </c:pt>
                <c:pt idx="392">
                  <c:v>-2.0621307233432784</c:v>
                </c:pt>
                <c:pt idx="393">
                  <c:v>-2.0621307233432784</c:v>
                </c:pt>
                <c:pt idx="394">
                  <c:v>-2.0621307233432784</c:v>
                </c:pt>
                <c:pt idx="395">
                  <c:v>-2.0621307233432784</c:v>
                </c:pt>
                <c:pt idx="396">
                  <c:v>-2.0621307233432784</c:v>
                </c:pt>
                <c:pt idx="397">
                  <c:v>-2.0621307233432784</c:v>
                </c:pt>
                <c:pt idx="398">
                  <c:v>-2.0621307233432784</c:v>
                </c:pt>
                <c:pt idx="399">
                  <c:v>-2.0621307233432784</c:v>
                </c:pt>
                <c:pt idx="400">
                  <c:v>-2.0621307233432784</c:v>
                </c:pt>
                <c:pt idx="401">
                  <c:v>-2.0621307233432784</c:v>
                </c:pt>
                <c:pt idx="402">
                  <c:v>-2.0621307233432784</c:v>
                </c:pt>
                <c:pt idx="403">
                  <c:v>-2.0621307233432784</c:v>
                </c:pt>
                <c:pt idx="404">
                  <c:v>-2.0621307233432784</c:v>
                </c:pt>
                <c:pt idx="405">
                  <c:v>-2.0621307233432784</c:v>
                </c:pt>
                <c:pt idx="406">
                  <c:v>-2.0621307233432784</c:v>
                </c:pt>
                <c:pt idx="407">
                  <c:v>-2.0621307233432784</c:v>
                </c:pt>
                <c:pt idx="408">
                  <c:v>-2.0621307233432784</c:v>
                </c:pt>
                <c:pt idx="409">
                  <c:v>-2.0621307233432784</c:v>
                </c:pt>
                <c:pt idx="410">
                  <c:v>-1.2703032406501453</c:v>
                </c:pt>
                <c:pt idx="411">
                  <c:v>-1.2703032406501453</c:v>
                </c:pt>
                <c:pt idx="412">
                  <c:v>-1.2703032406501453</c:v>
                </c:pt>
                <c:pt idx="413">
                  <c:v>-1.2703032406501453</c:v>
                </c:pt>
                <c:pt idx="414">
                  <c:v>-1.2703032406501453</c:v>
                </c:pt>
                <c:pt idx="415">
                  <c:v>-1.2703032406501453</c:v>
                </c:pt>
                <c:pt idx="416">
                  <c:v>-1.2703032406501453</c:v>
                </c:pt>
                <c:pt idx="417">
                  <c:v>-1.2703032406501453</c:v>
                </c:pt>
                <c:pt idx="418">
                  <c:v>-1.2703032406501453</c:v>
                </c:pt>
              </c:numCache>
            </c:numRef>
          </c:val>
          <c:smooth val="1"/>
          <c:extLst>
            <c:ext xmlns:c16="http://schemas.microsoft.com/office/drawing/2014/chart" uri="{C3380CC4-5D6E-409C-BE32-E72D297353CC}">
              <c16:uniqueId val="{00000003-893C-40BA-BB39-4B339B67538A}"/>
            </c:ext>
          </c:extLst>
        </c:ser>
        <c:dLbls>
          <c:showLegendKey val="0"/>
          <c:showVal val="0"/>
          <c:showCatName val="0"/>
          <c:showSerName val="0"/>
          <c:showPercent val="0"/>
          <c:showBubbleSize val="0"/>
        </c:dLbls>
        <c:smooth val="0"/>
        <c:axId val="147683023"/>
        <c:axId val="146645279"/>
        <c:extLst>
          <c:ext xmlns:c15="http://schemas.microsoft.com/office/drawing/2012/chart" uri="{02D57815-91ED-43cb-92C2-25804820EDAC}">
            <c15:filteredLineSeries>
              <c15:ser>
                <c:idx val="5"/>
                <c:order val="4"/>
                <c:tx>
                  <c:v>Up (MOC)</c:v>
                </c:tx>
                <c:spPr>
                  <a:ln w="28575" cap="rnd">
                    <a:solidFill>
                      <a:schemeClr val="accent6"/>
                    </a:solidFill>
                    <a:prstDash val="sysDash"/>
                    <a:round/>
                  </a:ln>
                  <a:effectLst/>
                </c:spPr>
                <c:marker>
                  <c:symbol val="none"/>
                </c:marker>
                <c:val>
                  <c:numRef>
                    <c:extLst>
                      <c:ext uri="{02D57815-91ED-43cb-92C2-25804820EDAC}">
                        <c15:formulaRef>
                          <c15:sqref>'2025-Q2'!$AX$4:$AX$350</c15:sqref>
                        </c15:formulaRef>
                      </c:ext>
                    </c:extLst>
                    <c:numCache>
                      <c:formatCode>"$"#,##0</c:formatCode>
                      <c:ptCount val="34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59.839999999999918</c:v>
                      </c:pt>
                      <c:pt idx="40">
                        <c:v>59.839999999999918</c:v>
                      </c:pt>
                      <c:pt idx="41">
                        <c:v>59.839999999999918</c:v>
                      </c:pt>
                      <c:pt idx="42">
                        <c:v>59.839999999999918</c:v>
                      </c:pt>
                      <c:pt idx="43">
                        <c:v>59.839999999999918</c:v>
                      </c:pt>
                      <c:pt idx="44">
                        <c:v>59.839999999999918</c:v>
                      </c:pt>
                      <c:pt idx="45">
                        <c:v>59.839999999999918</c:v>
                      </c:pt>
                      <c:pt idx="46">
                        <c:v>59.839999999999918</c:v>
                      </c:pt>
                      <c:pt idx="47">
                        <c:v>-74.660000000000196</c:v>
                      </c:pt>
                      <c:pt idx="48">
                        <c:v>-74.660000000000196</c:v>
                      </c:pt>
                      <c:pt idx="49">
                        <c:v>-74.660000000000196</c:v>
                      </c:pt>
                      <c:pt idx="50">
                        <c:v>-74.660000000000196</c:v>
                      </c:pt>
                      <c:pt idx="51">
                        <c:v>-74.660000000000196</c:v>
                      </c:pt>
                      <c:pt idx="52">
                        <c:v>-74.660000000000196</c:v>
                      </c:pt>
                      <c:pt idx="53">
                        <c:v>-74.660000000000196</c:v>
                      </c:pt>
                      <c:pt idx="54">
                        <c:v>-74.660000000000196</c:v>
                      </c:pt>
                      <c:pt idx="55">
                        <c:v>-74.660000000000196</c:v>
                      </c:pt>
                      <c:pt idx="56">
                        <c:v>-74.660000000000196</c:v>
                      </c:pt>
                      <c:pt idx="57">
                        <c:v>-74.660000000000196</c:v>
                      </c:pt>
                      <c:pt idx="58">
                        <c:v>-74.660000000000196</c:v>
                      </c:pt>
                      <c:pt idx="59">
                        <c:v>-74.660000000000196</c:v>
                      </c:pt>
                      <c:pt idx="60">
                        <c:v>-74.660000000000196</c:v>
                      </c:pt>
                      <c:pt idx="61">
                        <c:v>-74.660000000000196</c:v>
                      </c:pt>
                      <c:pt idx="62">
                        <c:v>-74.660000000000196</c:v>
                      </c:pt>
                      <c:pt idx="63">
                        <c:v>-74.660000000000196</c:v>
                      </c:pt>
                      <c:pt idx="64">
                        <c:v>-74.660000000000196</c:v>
                      </c:pt>
                      <c:pt idx="65">
                        <c:v>-74.660000000000196</c:v>
                      </c:pt>
                      <c:pt idx="66">
                        <c:v>-74.660000000000196</c:v>
                      </c:pt>
                      <c:pt idx="67">
                        <c:v>-74.660000000000196</c:v>
                      </c:pt>
                      <c:pt idx="68">
                        <c:v>-74.660000000000196</c:v>
                      </c:pt>
                      <c:pt idx="69">
                        <c:v>-54.660000000000196</c:v>
                      </c:pt>
                      <c:pt idx="70">
                        <c:v>-54.660000000000196</c:v>
                      </c:pt>
                      <c:pt idx="71">
                        <c:v>-66.900000000000205</c:v>
                      </c:pt>
                      <c:pt idx="72">
                        <c:v>-66.900000000000205</c:v>
                      </c:pt>
                      <c:pt idx="73">
                        <c:v>-66.900000000000205</c:v>
                      </c:pt>
                      <c:pt idx="74">
                        <c:v>-66.900000000000205</c:v>
                      </c:pt>
                      <c:pt idx="75">
                        <c:v>-66.900000000000205</c:v>
                      </c:pt>
                      <c:pt idx="76">
                        <c:v>-66.900000000000205</c:v>
                      </c:pt>
                      <c:pt idx="77">
                        <c:v>-66.900000000000205</c:v>
                      </c:pt>
                      <c:pt idx="78">
                        <c:v>-66.900000000000205</c:v>
                      </c:pt>
                      <c:pt idx="79">
                        <c:v>-66.900000000000205</c:v>
                      </c:pt>
                      <c:pt idx="80">
                        <c:v>-66.900000000000205</c:v>
                      </c:pt>
                      <c:pt idx="81">
                        <c:v>-66.900000000000205</c:v>
                      </c:pt>
                      <c:pt idx="82">
                        <c:v>-66.900000000000205</c:v>
                      </c:pt>
                      <c:pt idx="83">
                        <c:v>-66.900000000000205</c:v>
                      </c:pt>
                      <c:pt idx="84">
                        <c:v>-66.900000000000205</c:v>
                      </c:pt>
                      <c:pt idx="85">
                        <c:v>-66.900000000000205</c:v>
                      </c:pt>
                      <c:pt idx="86">
                        <c:v>-66.900000000000205</c:v>
                      </c:pt>
                      <c:pt idx="87">
                        <c:v>-66.900000000000205</c:v>
                      </c:pt>
                      <c:pt idx="88">
                        <c:v>-66.900000000000205</c:v>
                      </c:pt>
                      <c:pt idx="89">
                        <c:v>-66.900000000000205</c:v>
                      </c:pt>
                      <c:pt idx="90">
                        <c:v>-66.900000000000205</c:v>
                      </c:pt>
                      <c:pt idx="91">
                        <c:v>-66.900000000000205</c:v>
                      </c:pt>
                      <c:pt idx="92">
                        <c:v>-66.900000000000205</c:v>
                      </c:pt>
                      <c:pt idx="93">
                        <c:v>-66.900000000000205</c:v>
                      </c:pt>
                      <c:pt idx="94">
                        <c:v>-66.900000000000205</c:v>
                      </c:pt>
                      <c:pt idx="95">
                        <c:v>-66.900000000000205</c:v>
                      </c:pt>
                      <c:pt idx="96">
                        <c:v>-66.900000000000205</c:v>
                      </c:pt>
                      <c:pt idx="97">
                        <c:v>-66.900000000000205</c:v>
                      </c:pt>
                      <c:pt idx="98">
                        <c:v>-66.900000000000205</c:v>
                      </c:pt>
                      <c:pt idx="99">
                        <c:v>-66.900000000000205</c:v>
                      </c:pt>
                      <c:pt idx="100">
                        <c:v>-66.900000000000205</c:v>
                      </c:pt>
                      <c:pt idx="101">
                        <c:v>-66.900000000000205</c:v>
                      </c:pt>
                      <c:pt idx="102">
                        <c:v>-66.900000000000205</c:v>
                      </c:pt>
                      <c:pt idx="103">
                        <c:v>-184.54000000000019</c:v>
                      </c:pt>
                      <c:pt idx="104">
                        <c:v>-184.54000000000019</c:v>
                      </c:pt>
                      <c:pt idx="105">
                        <c:v>-184.54000000000019</c:v>
                      </c:pt>
                      <c:pt idx="106">
                        <c:v>-173.34000000000015</c:v>
                      </c:pt>
                      <c:pt idx="107">
                        <c:v>-173.34000000000015</c:v>
                      </c:pt>
                      <c:pt idx="108">
                        <c:v>-173.34000000000015</c:v>
                      </c:pt>
                      <c:pt idx="109">
                        <c:v>-173.34000000000015</c:v>
                      </c:pt>
                      <c:pt idx="110">
                        <c:v>-173.34000000000015</c:v>
                      </c:pt>
                      <c:pt idx="111">
                        <c:v>-173.34000000000015</c:v>
                      </c:pt>
                      <c:pt idx="112">
                        <c:v>-173.34000000000015</c:v>
                      </c:pt>
                      <c:pt idx="113">
                        <c:v>-173.34000000000015</c:v>
                      </c:pt>
                      <c:pt idx="114">
                        <c:v>-173.34000000000015</c:v>
                      </c:pt>
                      <c:pt idx="115">
                        <c:v>-173.34000000000015</c:v>
                      </c:pt>
                      <c:pt idx="116">
                        <c:v>-173.34000000000015</c:v>
                      </c:pt>
                      <c:pt idx="117">
                        <c:v>-173.34000000000015</c:v>
                      </c:pt>
                      <c:pt idx="118">
                        <c:v>-173.34000000000015</c:v>
                      </c:pt>
                      <c:pt idx="119">
                        <c:v>-173.34000000000015</c:v>
                      </c:pt>
                      <c:pt idx="120">
                        <c:v>-173.34000000000015</c:v>
                      </c:pt>
                      <c:pt idx="121">
                        <c:v>-174.74000000000024</c:v>
                      </c:pt>
                      <c:pt idx="122">
                        <c:v>-174.74000000000024</c:v>
                      </c:pt>
                      <c:pt idx="123">
                        <c:v>-174.74000000000024</c:v>
                      </c:pt>
                      <c:pt idx="124">
                        <c:v>-174.74000000000024</c:v>
                      </c:pt>
                      <c:pt idx="125">
                        <c:v>-174.74000000000024</c:v>
                      </c:pt>
                      <c:pt idx="126">
                        <c:v>-174.74000000000024</c:v>
                      </c:pt>
                      <c:pt idx="127">
                        <c:v>-174.74000000000024</c:v>
                      </c:pt>
                      <c:pt idx="128">
                        <c:v>-174.74000000000024</c:v>
                      </c:pt>
                      <c:pt idx="129">
                        <c:v>-174.74000000000024</c:v>
                      </c:pt>
                      <c:pt idx="130">
                        <c:v>-174.74000000000024</c:v>
                      </c:pt>
                      <c:pt idx="131">
                        <c:v>-174.74000000000024</c:v>
                      </c:pt>
                      <c:pt idx="132">
                        <c:v>-174.74000000000024</c:v>
                      </c:pt>
                      <c:pt idx="133">
                        <c:v>-174.74000000000024</c:v>
                      </c:pt>
                      <c:pt idx="134">
                        <c:v>-174.74000000000024</c:v>
                      </c:pt>
                      <c:pt idx="135">
                        <c:v>-174.74000000000024</c:v>
                      </c:pt>
                      <c:pt idx="136">
                        <c:v>-174.74000000000024</c:v>
                      </c:pt>
                      <c:pt idx="137">
                        <c:v>-163.1400000000001</c:v>
                      </c:pt>
                      <c:pt idx="138">
                        <c:v>-163.1400000000001</c:v>
                      </c:pt>
                      <c:pt idx="139">
                        <c:v>-163.1400000000001</c:v>
                      </c:pt>
                      <c:pt idx="140">
                        <c:v>-163.1400000000001</c:v>
                      </c:pt>
                      <c:pt idx="141">
                        <c:v>-163.1400000000001</c:v>
                      </c:pt>
                      <c:pt idx="142">
                        <c:v>-163.1400000000001</c:v>
                      </c:pt>
                      <c:pt idx="143">
                        <c:v>-163.1400000000001</c:v>
                      </c:pt>
                      <c:pt idx="144">
                        <c:v>-163.1400000000001</c:v>
                      </c:pt>
                      <c:pt idx="145">
                        <c:v>-163.1400000000001</c:v>
                      </c:pt>
                      <c:pt idx="146">
                        <c:v>-163.1400000000001</c:v>
                      </c:pt>
                      <c:pt idx="147">
                        <c:v>-163.1400000000001</c:v>
                      </c:pt>
                      <c:pt idx="148">
                        <c:v>-163.1400000000001</c:v>
                      </c:pt>
                      <c:pt idx="149">
                        <c:v>-163.1400000000001</c:v>
                      </c:pt>
                      <c:pt idx="150">
                        <c:v>-163.1400000000001</c:v>
                      </c:pt>
                      <c:pt idx="151">
                        <c:v>-163.1400000000001</c:v>
                      </c:pt>
                      <c:pt idx="152">
                        <c:v>-163.1400000000001</c:v>
                      </c:pt>
                      <c:pt idx="153">
                        <c:v>-163.1400000000001</c:v>
                      </c:pt>
                      <c:pt idx="154">
                        <c:v>-163.1400000000001</c:v>
                      </c:pt>
                      <c:pt idx="155">
                        <c:v>-163.1400000000001</c:v>
                      </c:pt>
                      <c:pt idx="156">
                        <c:v>-163.1400000000001</c:v>
                      </c:pt>
                      <c:pt idx="157">
                        <c:v>-163.1400000000001</c:v>
                      </c:pt>
                      <c:pt idx="158">
                        <c:v>-163.1400000000001</c:v>
                      </c:pt>
                      <c:pt idx="159">
                        <c:v>-163.1400000000001</c:v>
                      </c:pt>
                      <c:pt idx="160">
                        <c:v>-163.1400000000001</c:v>
                      </c:pt>
                      <c:pt idx="161">
                        <c:v>-163.1400000000001</c:v>
                      </c:pt>
                      <c:pt idx="162">
                        <c:v>-163.1400000000001</c:v>
                      </c:pt>
                      <c:pt idx="163">
                        <c:v>-163.1400000000001</c:v>
                      </c:pt>
                      <c:pt idx="164">
                        <c:v>-163.1400000000001</c:v>
                      </c:pt>
                      <c:pt idx="165">
                        <c:v>-163.1400000000001</c:v>
                      </c:pt>
                      <c:pt idx="166">
                        <c:v>-163.1400000000001</c:v>
                      </c:pt>
                      <c:pt idx="167">
                        <c:v>-163.1400000000001</c:v>
                      </c:pt>
                      <c:pt idx="168">
                        <c:v>-163.1400000000001</c:v>
                      </c:pt>
                      <c:pt idx="169">
                        <c:v>-163.1400000000001</c:v>
                      </c:pt>
                      <c:pt idx="170">
                        <c:v>-163.1400000000001</c:v>
                      </c:pt>
                      <c:pt idx="171">
                        <c:v>-163.1400000000001</c:v>
                      </c:pt>
                      <c:pt idx="172">
                        <c:v>-163.1400000000001</c:v>
                      </c:pt>
                      <c:pt idx="173">
                        <c:v>-163.1400000000001</c:v>
                      </c:pt>
                      <c:pt idx="174">
                        <c:v>-163.1400000000001</c:v>
                      </c:pt>
                      <c:pt idx="175">
                        <c:v>-163.1400000000001</c:v>
                      </c:pt>
                      <c:pt idx="176">
                        <c:v>-163.1400000000001</c:v>
                      </c:pt>
                      <c:pt idx="177">
                        <c:v>-163.1400000000001</c:v>
                      </c:pt>
                      <c:pt idx="178">
                        <c:v>-163.1400000000001</c:v>
                      </c:pt>
                      <c:pt idx="179">
                        <c:v>-163.1400000000001</c:v>
                      </c:pt>
                      <c:pt idx="180">
                        <c:v>-163.1400000000001</c:v>
                      </c:pt>
                      <c:pt idx="181">
                        <c:v>-163.1400000000001</c:v>
                      </c:pt>
                      <c:pt idx="182">
                        <c:v>-163.1400000000001</c:v>
                      </c:pt>
                      <c:pt idx="183">
                        <c:v>-163.1400000000001</c:v>
                      </c:pt>
                      <c:pt idx="184">
                        <c:v>-163.1400000000001</c:v>
                      </c:pt>
                      <c:pt idx="185">
                        <c:v>-163.1400000000001</c:v>
                      </c:pt>
                      <c:pt idx="186">
                        <c:v>-163.1400000000001</c:v>
                      </c:pt>
                      <c:pt idx="187">
                        <c:v>-163.1400000000001</c:v>
                      </c:pt>
                      <c:pt idx="188">
                        <c:v>-163.1400000000001</c:v>
                      </c:pt>
                      <c:pt idx="189">
                        <c:v>-163.1400000000001</c:v>
                      </c:pt>
                      <c:pt idx="190">
                        <c:v>-163.1400000000001</c:v>
                      </c:pt>
                      <c:pt idx="191">
                        <c:v>-163.1400000000001</c:v>
                      </c:pt>
                      <c:pt idx="192">
                        <c:v>-163.1400000000001</c:v>
                      </c:pt>
                      <c:pt idx="193">
                        <c:v>-163.1400000000001</c:v>
                      </c:pt>
                      <c:pt idx="194">
                        <c:v>-163.1400000000001</c:v>
                      </c:pt>
                      <c:pt idx="195">
                        <c:v>-163.1400000000001</c:v>
                      </c:pt>
                      <c:pt idx="196">
                        <c:v>-163.1400000000001</c:v>
                      </c:pt>
                      <c:pt idx="197">
                        <c:v>-163.1400000000001</c:v>
                      </c:pt>
                      <c:pt idx="198">
                        <c:v>-163.1400000000001</c:v>
                      </c:pt>
                      <c:pt idx="199">
                        <c:v>-163.1400000000001</c:v>
                      </c:pt>
                      <c:pt idx="200">
                        <c:v>-181.17000000000007</c:v>
                      </c:pt>
                      <c:pt idx="201">
                        <c:v>-181.17000000000007</c:v>
                      </c:pt>
                      <c:pt idx="202">
                        <c:v>-181.17000000000007</c:v>
                      </c:pt>
                      <c:pt idx="203">
                        <c:v>-151.49</c:v>
                      </c:pt>
                      <c:pt idx="204">
                        <c:v>-151.49</c:v>
                      </c:pt>
                      <c:pt idx="205">
                        <c:v>-151.49</c:v>
                      </c:pt>
                      <c:pt idx="206">
                        <c:v>-151.49</c:v>
                      </c:pt>
                      <c:pt idx="207">
                        <c:v>-151.49</c:v>
                      </c:pt>
                      <c:pt idx="208">
                        <c:v>-151.49</c:v>
                      </c:pt>
                      <c:pt idx="209">
                        <c:v>-151.49</c:v>
                      </c:pt>
                      <c:pt idx="210">
                        <c:v>-151.49</c:v>
                      </c:pt>
                      <c:pt idx="211">
                        <c:v>-151.49</c:v>
                      </c:pt>
                      <c:pt idx="212">
                        <c:v>-151.49</c:v>
                      </c:pt>
                      <c:pt idx="213">
                        <c:v>-151.49</c:v>
                      </c:pt>
                      <c:pt idx="214">
                        <c:v>-151.49</c:v>
                      </c:pt>
                      <c:pt idx="215">
                        <c:v>-151.49</c:v>
                      </c:pt>
                      <c:pt idx="216">
                        <c:v>-151.49</c:v>
                      </c:pt>
                      <c:pt idx="217">
                        <c:v>-85.340000000000032</c:v>
                      </c:pt>
                      <c:pt idx="218">
                        <c:v>-85.340000000000032</c:v>
                      </c:pt>
                      <c:pt idx="219">
                        <c:v>-85.340000000000032</c:v>
                      </c:pt>
                      <c:pt idx="220">
                        <c:v>-85.340000000000032</c:v>
                      </c:pt>
                      <c:pt idx="221">
                        <c:v>-85.340000000000032</c:v>
                      </c:pt>
                      <c:pt idx="222">
                        <c:v>-85.340000000000032</c:v>
                      </c:pt>
                      <c:pt idx="223">
                        <c:v>-142.90000000000009</c:v>
                      </c:pt>
                      <c:pt idx="224">
                        <c:v>-142.90000000000009</c:v>
                      </c:pt>
                      <c:pt idx="225">
                        <c:v>-142.90000000000009</c:v>
                      </c:pt>
                      <c:pt idx="226">
                        <c:v>-142.90000000000009</c:v>
                      </c:pt>
                      <c:pt idx="227">
                        <c:v>-142.90000000000009</c:v>
                      </c:pt>
                      <c:pt idx="228">
                        <c:v>-142.90000000000009</c:v>
                      </c:pt>
                      <c:pt idx="229">
                        <c:v>-142.90000000000009</c:v>
                      </c:pt>
                      <c:pt idx="230">
                        <c:v>-142.90000000000009</c:v>
                      </c:pt>
                      <c:pt idx="231">
                        <c:v>-142.90000000000009</c:v>
                      </c:pt>
                      <c:pt idx="232">
                        <c:v>-142.90000000000009</c:v>
                      </c:pt>
                      <c:pt idx="233">
                        <c:v>-142.90000000000009</c:v>
                      </c:pt>
                      <c:pt idx="234">
                        <c:v>-142.90000000000009</c:v>
                      </c:pt>
                      <c:pt idx="235">
                        <c:v>-142.90000000000009</c:v>
                      </c:pt>
                      <c:pt idx="236">
                        <c:v>-142.90000000000009</c:v>
                      </c:pt>
                      <c:pt idx="237">
                        <c:v>-142.90000000000009</c:v>
                      </c:pt>
                      <c:pt idx="238">
                        <c:v>-142.90000000000009</c:v>
                      </c:pt>
                      <c:pt idx="239">
                        <c:v>-142.90000000000009</c:v>
                      </c:pt>
                      <c:pt idx="240">
                        <c:v>-132.30000000000018</c:v>
                      </c:pt>
                      <c:pt idx="241">
                        <c:v>-132.30000000000018</c:v>
                      </c:pt>
                      <c:pt idx="242">
                        <c:v>-132.30000000000018</c:v>
                      </c:pt>
                      <c:pt idx="243">
                        <c:v>-132.30000000000018</c:v>
                      </c:pt>
                      <c:pt idx="244">
                        <c:v>-132.30000000000018</c:v>
                      </c:pt>
                      <c:pt idx="245">
                        <c:v>-132.30000000000018</c:v>
                      </c:pt>
                      <c:pt idx="246">
                        <c:v>-132.30000000000018</c:v>
                      </c:pt>
                      <c:pt idx="247">
                        <c:v>-132.30000000000018</c:v>
                      </c:pt>
                      <c:pt idx="248">
                        <c:v>-132.30000000000018</c:v>
                      </c:pt>
                      <c:pt idx="249">
                        <c:v>-132.30000000000018</c:v>
                      </c:pt>
                      <c:pt idx="250">
                        <c:v>-132.30000000000018</c:v>
                      </c:pt>
                      <c:pt idx="251">
                        <c:v>-132.30000000000018</c:v>
                      </c:pt>
                      <c:pt idx="252">
                        <c:v>-132.30000000000018</c:v>
                      </c:pt>
                      <c:pt idx="253">
                        <c:v>-132.30000000000018</c:v>
                      </c:pt>
                      <c:pt idx="254">
                        <c:v>-132.30000000000018</c:v>
                      </c:pt>
                      <c:pt idx="255">
                        <c:v>-132.30000000000018</c:v>
                      </c:pt>
                      <c:pt idx="256">
                        <c:v>-132.30000000000018</c:v>
                      </c:pt>
                      <c:pt idx="257">
                        <c:v>-269.63053243920194</c:v>
                      </c:pt>
                      <c:pt idx="258">
                        <c:v>-299.03053243920203</c:v>
                      </c:pt>
                      <c:pt idx="259">
                        <c:v>-299.03053243920203</c:v>
                      </c:pt>
                      <c:pt idx="260">
                        <c:v>-299.03053243920203</c:v>
                      </c:pt>
                      <c:pt idx="261">
                        <c:v>-299.03053243920203</c:v>
                      </c:pt>
                      <c:pt idx="262">
                        <c:v>-299.03053243920203</c:v>
                      </c:pt>
                      <c:pt idx="263">
                        <c:v>-299.03053243920203</c:v>
                      </c:pt>
                      <c:pt idx="264">
                        <c:v>-299.03053243920203</c:v>
                      </c:pt>
                      <c:pt idx="265">
                        <c:v>-299.03053243920203</c:v>
                      </c:pt>
                      <c:pt idx="266">
                        <c:v>-299.03053243920203</c:v>
                      </c:pt>
                      <c:pt idx="267">
                        <c:v>-299.03053243920203</c:v>
                      </c:pt>
                      <c:pt idx="268">
                        <c:v>-299.03053243920203</c:v>
                      </c:pt>
                      <c:pt idx="269">
                        <c:v>-299.03053243920203</c:v>
                      </c:pt>
                      <c:pt idx="270">
                        <c:v>-299.03053243920203</c:v>
                      </c:pt>
                      <c:pt idx="271">
                        <c:v>-299.03053243920203</c:v>
                      </c:pt>
                      <c:pt idx="272">
                        <c:v>-299.03053243920203</c:v>
                      </c:pt>
                      <c:pt idx="273">
                        <c:v>-385.38106797961109</c:v>
                      </c:pt>
                      <c:pt idx="274">
                        <c:v>-385.38106797961109</c:v>
                      </c:pt>
                      <c:pt idx="275">
                        <c:v>-385.38106797961109</c:v>
                      </c:pt>
                      <c:pt idx="276">
                        <c:v>-385.38106797961109</c:v>
                      </c:pt>
                      <c:pt idx="277">
                        <c:v>-377.70106797961103</c:v>
                      </c:pt>
                      <c:pt idx="278">
                        <c:v>-377.70106797961103</c:v>
                      </c:pt>
                      <c:pt idx="279">
                        <c:v>-377.70106797961103</c:v>
                      </c:pt>
                      <c:pt idx="280">
                        <c:v>-377.70106797961103</c:v>
                      </c:pt>
                      <c:pt idx="281">
                        <c:v>-377.70106797961103</c:v>
                      </c:pt>
                      <c:pt idx="282">
                        <c:v>-377.70106797961103</c:v>
                      </c:pt>
                      <c:pt idx="283">
                        <c:v>-377.70106797961103</c:v>
                      </c:pt>
                      <c:pt idx="284">
                        <c:v>-377.70106797961103</c:v>
                      </c:pt>
                      <c:pt idx="285">
                        <c:v>-377.70106797961103</c:v>
                      </c:pt>
                      <c:pt idx="286">
                        <c:v>-377.70106797961103</c:v>
                      </c:pt>
                      <c:pt idx="287">
                        <c:v>-377.70106797961103</c:v>
                      </c:pt>
                      <c:pt idx="288">
                        <c:v>-377.70106797961103</c:v>
                      </c:pt>
                      <c:pt idx="289">
                        <c:v>-377.70106797961103</c:v>
                      </c:pt>
                      <c:pt idx="290">
                        <c:v>-366.42106797961105</c:v>
                      </c:pt>
                      <c:pt idx="291">
                        <c:v>-366.42106797961105</c:v>
                      </c:pt>
                      <c:pt idx="292">
                        <c:v>-366.42106797961105</c:v>
                      </c:pt>
                      <c:pt idx="293">
                        <c:v>-366.42106797961105</c:v>
                      </c:pt>
                      <c:pt idx="294">
                        <c:v>-366.42106797961105</c:v>
                      </c:pt>
                      <c:pt idx="295">
                        <c:v>-394.76106797961097</c:v>
                      </c:pt>
                      <c:pt idx="296">
                        <c:v>-394.76106797961097</c:v>
                      </c:pt>
                      <c:pt idx="297">
                        <c:v>-339.68106797961104</c:v>
                      </c:pt>
                      <c:pt idx="298">
                        <c:v>-339.68106797961104</c:v>
                      </c:pt>
                      <c:pt idx="299">
                        <c:v>-339.68106797961104</c:v>
                      </c:pt>
                      <c:pt idx="300">
                        <c:v>-339.68106797961104</c:v>
                      </c:pt>
                      <c:pt idx="301">
                        <c:v>-339.68106797961104</c:v>
                      </c:pt>
                      <c:pt idx="302">
                        <c:v>-339.68106797961104</c:v>
                      </c:pt>
                      <c:pt idx="303">
                        <c:v>-339.68106797961104</c:v>
                      </c:pt>
                      <c:pt idx="304">
                        <c:v>-438.46106797961124</c:v>
                      </c:pt>
                      <c:pt idx="305">
                        <c:v>-438.46106797961124</c:v>
                      </c:pt>
                      <c:pt idx="306">
                        <c:v>-438.46106797961124</c:v>
                      </c:pt>
                      <c:pt idx="307">
                        <c:v>-438.46106797961124</c:v>
                      </c:pt>
                      <c:pt idx="308">
                        <c:v>-438.46106797961124</c:v>
                      </c:pt>
                      <c:pt idx="309">
                        <c:v>-390.96106797961124</c:v>
                      </c:pt>
                      <c:pt idx="310">
                        <c:v>-390.96106797961124</c:v>
                      </c:pt>
                      <c:pt idx="311">
                        <c:v>-390.96106797961124</c:v>
                      </c:pt>
                      <c:pt idx="312">
                        <c:v>-390.96106797961124</c:v>
                      </c:pt>
                      <c:pt idx="313">
                        <c:v>-349.11106797961111</c:v>
                      </c:pt>
                      <c:pt idx="314">
                        <c:v>-349.11106797961111</c:v>
                      </c:pt>
                      <c:pt idx="315">
                        <c:v>-349.11106797961111</c:v>
                      </c:pt>
                      <c:pt idx="316">
                        <c:v>-342.69106797961103</c:v>
                      </c:pt>
                      <c:pt idx="317">
                        <c:v>-340.17106797961105</c:v>
                      </c:pt>
                      <c:pt idx="318">
                        <c:v>-340.17106797961105</c:v>
                      </c:pt>
                      <c:pt idx="319">
                        <c:v>-340.17106797961105</c:v>
                      </c:pt>
                      <c:pt idx="320">
                        <c:v>-340.17106797961105</c:v>
                      </c:pt>
                      <c:pt idx="321">
                        <c:v>-340.17106797961105</c:v>
                      </c:pt>
                      <c:pt idx="322">
                        <c:v>-340.17106797961105</c:v>
                      </c:pt>
                      <c:pt idx="323">
                        <c:v>-340.17106797961105</c:v>
                      </c:pt>
                      <c:pt idx="324">
                        <c:v>-340.17106797961105</c:v>
                      </c:pt>
                      <c:pt idx="325">
                        <c:v>-340.17106797961105</c:v>
                      </c:pt>
                      <c:pt idx="326">
                        <c:v>-340.17106797961105</c:v>
                      </c:pt>
                      <c:pt idx="327">
                        <c:v>-340.17106797961105</c:v>
                      </c:pt>
                      <c:pt idx="328">
                        <c:v>-340.17106797961105</c:v>
                      </c:pt>
                      <c:pt idx="329">
                        <c:v>-240.66106797961083</c:v>
                      </c:pt>
                      <c:pt idx="330">
                        <c:v>-240.66106797961083</c:v>
                      </c:pt>
                      <c:pt idx="331">
                        <c:v>-240.66106797961083</c:v>
                      </c:pt>
                      <c:pt idx="332">
                        <c:v>-240.66106797961083</c:v>
                      </c:pt>
                      <c:pt idx="333">
                        <c:v>-240.66106797961083</c:v>
                      </c:pt>
                      <c:pt idx="334">
                        <c:v>-178.13106797961063</c:v>
                      </c:pt>
                      <c:pt idx="335">
                        <c:v>-178.13106797961063</c:v>
                      </c:pt>
                      <c:pt idx="336">
                        <c:v>-178.13106797961063</c:v>
                      </c:pt>
                      <c:pt idx="337">
                        <c:v>-178.13106797961063</c:v>
                      </c:pt>
                      <c:pt idx="338">
                        <c:v>-206.13106797961063</c:v>
                      </c:pt>
                      <c:pt idx="339">
                        <c:v>-206.13106797961063</c:v>
                      </c:pt>
                      <c:pt idx="340">
                        <c:v>-206.13106797961063</c:v>
                      </c:pt>
                      <c:pt idx="341">
                        <c:v>-203.43106797961059</c:v>
                      </c:pt>
                      <c:pt idx="342">
                        <c:v>-203.43106797961059</c:v>
                      </c:pt>
                      <c:pt idx="343">
                        <c:v>-203.43106797961059</c:v>
                      </c:pt>
                      <c:pt idx="344">
                        <c:v>-203.43106797961059</c:v>
                      </c:pt>
                      <c:pt idx="345">
                        <c:v>-295.97106797961055</c:v>
                      </c:pt>
                      <c:pt idx="346">
                        <c:v>-295.97106797961055</c:v>
                      </c:pt>
                    </c:numCache>
                  </c:numRef>
                </c:val>
                <c:smooth val="0"/>
                <c:extLst>
                  <c:ext xmlns:c16="http://schemas.microsoft.com/office/drawing/2014/chart" uri="{C3380CC4-5D6E-409C-BE32-E72D297353CC}">
                    <c16:uniqueId val="{00000004-893C-40BA-BB39-4B339B67538A}"/>
                  </c:ext>
                </c:extLst>
              </c15:ser>
            </c15:filteredLineSeries>
            <c15:filteredLineSeries>
              <c15:ser>
                <c:idx val="4"/>
                <c:order val="5"/>
                <c:tx>
                  <c:v>SW (MOC)</c:v>
                </c:tx>
                <c:spPr>
                  <a:ln w="28575" cap="rnd">
                    <a:solidFill>
                      <a:schemeClr val="accent4">
                        <a:lumMod val="60000"/>
                        <a:lumOff val="40000"/>
                      </a:schemeClr>
                    </a:solidFill>
                    <a:prstDash val="sysDash"/>
                    <a:round/>
                  </a:ln>
                  <a:effectLst/>
                </c:spPr>
                <c:marker>
                  <c:symbol val="none"/>
                </c:marker>
                <c:val>
                  <c:numRef>
                    <c:extLst xmlns:c15="http://schemas.microsoft.com/office/drawing/2012/chart">
                      <c:ext xmlns:c15="http://schemas.microsoft.com/office/drawing/2012/chart" uri="{02D57815-91ED-43cb-92C2-25804820EDAC}">
                        <c15:formulaRef>
                          <c15:sqref>'2025-Q2'!$AV$4:$AV$350</c15:sqref>
                        </c15:formulaRef>
                      </c:ext>
                    </c:extLst>
                    <c:numCache>
                      <c:formatCode>"$"#,##0</c:formatCode>
                      <c:ptCount val="347"/>
                      <c:pt idx="0">
                        <c:v>0</c:v>
                      </c:pt>
                      <c:pt idx="1">
                        <c:v>0</c:v>
                      </c:pt>
                      <c:pt idx="2">
                        <c:v>45.449999999999818</c:v>
                      </c:pt>
                      <c:pt idx="3">
                        <c:v>35.25</c:v>
                      </c:pt>
                      <c:pt idx="4">
                        <c:v>55.25</c:v>
                      </c:pt>
                      <c:pt idx="5">
                        <c:v>70.090000000000146</c:v>
                      </c:pt>
                      <c:pt idx="6">
                        <c:v>85.490000000000236</c:v>
                      </c:pt>
                      <c:pt idx="7">
                        <c:v>158.24</c:v>
                      </c:pt>
                      <c:pt idx="8">
                        <c:v>177.32000000000005</c:v>
                      </c:pt>
                      <c:pt idx="9">
                        <c:v>177.32000000000005</c:v>
                      </c:pt>
                      <c:pt idx="10">
                        <c:v>197.30000000000007</c:v>
                      </c:pt>
                      <c:pt idx="11">
                        <c:v>236.89999999999998</c:v>
                      </c:pt>
                      <c:pt idx="12">
                        <c:v>236.89999999999998</c:v>
                      </c:pt>
                      <c:pt idx="13">
                        <c:v>231.72000000000014</c:v>
                      </c:pt>
                      <c:pt idx="14">
                        <c:v>231.72000000000014</c:v>
                      </c:pt>
                      <c:pt idx="15">
                        <c:v>231.54000000000008</c:v>
                      </c:pt>
                      <c:pt idx="16">
                        <c:v>231.54000000000008</c:v>
                      </c:pt>
                      <c:pt idx="17">
                        <c:v>231.54000000000008</c:v>
                      </c:pt>
                      <c:pt idx="18">
                        <c:v>212.34000000000003</c:v>
                      </c:pt>
                      <c:pt idx="19">
                        <c:v>243.65999999999997</c:v>
                      </c:pt>
                      <c:pt idx="20">
                        <c:v>256.64966594568602</c:v>
                      </c:pt>
                      <c:pt idx="21">
                        <c:v>252.56795937946242</c:v>
                      </c:pt>
                      <c:pt idx="22">
                        <c:v>252.56795937946242</c:v>
                      </c:pt>
                      <c:pt idx="23">
                        <c:v>258.96870149449035</c:v>
                      </c:pt>
                      <c:pt idx="24">
                        <c:v>281.78870149449051</c:v>
                      </c:pt>
                      <c:pt idx="25">
                        <c:v>19.92870149449061</c:v>
                      </c:pt>
                      <c:pt idx="26">
                        <c:v>19.92870149449061</c:v>
                      </c:pt>
                      <c:pt idx="27">
                        <c:v>19.92870149449061</c:v>
                      </c:pt>
                      <c:pt idx="28">
                        <c:v>19.92870149449061</c:v>
                      </c:pt>
                      <c:pt idx="29">
                        <c:v>26.67870149449061</c:v>
                      </c:pt>
                      <c:pt idx="30">
                        <c:v>26.67870149449061</c:v>
                      </c:pt>
                      <c:pt idx="31">
                        <c:v>26.67870149449061</c:v>
                      </c:pt>
                      <c:pt idx="32">
                        <c:v>26.67870149449061</c:v>
                      </c:pt>
                      <c:pt idx="33">
                        <c:v>18.628701494490656</c:v>
                      </c:pt>
                      <c:pt idx="34">
                        <c:v>-37.621298505509344</c:v>
                      </c:pt>
                      <c:pt idx="35">
                        <c:v>-117.30129850550941</c:v>
                      </c:pt>
                      <c:pt idx="36">
                        <c:v>-117.30129850550941</c:v>
                      </c:pt>
                      <c:pt idx="37">
                        <c:v>-136.55129850550941</c:v>
                      </c:pt>
                      <c:pt idx="38">
                        <c:v>-121.67129850550941</c:v>
                      </c:pt>
                      <c:pt idx="39">
                        <c:v>-121.67129850550941</c:v>
                      </c:pt>
                      <c:pt idx="40">
                        <c:v>-121.67129850550941</c:v>
                      </c:pt>
                      <c:pt idx="41">
                        <c:v>-121.67129850550941</c:v>
                      </c:pt>
                      <c:pt idx="42">
                        <c:v>-121.67129850550941</c:v>
                      </c:pt>
                      <c:pt idx="43">
                        <c:v>-45.861298505509467</c:v>
                      </c:pt>
                      <c:pt idx="44">
                        <c:v>-39.361298505509467</c:v>
                      </c:pt>
                      <c:pt idx="45">
                        <c:v>-28.111298505509467</c:v>
                      </c:pt>
                      <c:pt idx="46">
                        <c:v>-28.111298505509467</c:v>
                      </c:pt>
                      <c:pt idx="47">
                        <c:v>-28.111298505509467</c:v>
                      </c:pt>
                      <c:pt idx="48">
                        <c:v>-28.111298505509467</c:v>
                      </c:pt>
                      <c:pt idx="49">
                        <c:v>-142.53968337706056</c:v>
                      </c:pt>
                      <c:pt idx="50">
                        <c:v>-160.4474473522157</c:v>
                      </c:pt>
                      <c:pt idx="51">
                        <c:v>-68.287447352215622</c:v>
                      </c:pt>
                      <c:pt idx="52">
                        <c:v>-68.287447352215622</c:v>
                      </c:pt>
                      <c:pt idx="53">
                        <c:v>-33.00744735221565</c:v>
                      </c:pt>
                      <c:pt idx="54">
                        <c:v>-14.627447352215654</c:v>
                      </c:pt>
                      <c:pt idx="55">
                        <c:v>-14.627447352215654</c:v>
                      </c:pt>
                      <c:pt idx="56">
                        <c:v>-64.227447352215677</c:v>
                      </c:pt>
                      <c:pt idx="57">
                        <c:v>-64.227447352215677</c:v>
                      </c:pt>
                      <c:pt idx="58">
                        <c:v>-32.927447352215609</c:v>
                      </c:pt>
                      <c:pt idx="59">
                        <c:v>5.1725526477844141</c:v>
                      </c:pt>
                      <c:pt idx="60">
                        <c:v>7.8725526477844596</c:v>
                      </c:pt>
                      <c:pt idx="61">
                        <c:v>37.932552647784405</c:v>
                      </c:pt>
                      <c:pt idx="62">
                        <c:v>102.73255264778447</c:v>
                      </c:pt>
                      <c:pt idx="63">
                        <c:v>118.39255264778456</c:v>
                      </c:pt>
                      <c:pt idx="64">
                        <c:v>125.29255264778453</c:v>
                      </c:pt>
                      <c:pt idx="65">
                        <c:v>174.54255264778453</c:v>
                      </c:pt>
                      <c:pt idx="66">
                        <c:v>174.54255264778453</c:v>
                      </c:pt>
                      <c:pt idx="67">
                        <c:v>174.54255264778453</c:v>
                      </c:pt>
                      <c:pt idx="68">
                        <c:v>174.54255264778453</c:v>
                      </c:pt>
                      <c:pt idx="69">
                        <c:v>174.54255264778453</c:v>
                      </c:pt>
                      <c:pt idx="70">
                        <c:v>174.54255264778453</c:v>
                      </c:pt>
                      <c:pt idx="71">
                        <c:v>174.54255264778453</c:v>
                      </c:pt>
                      <c:pt idx="72">
                        <c:v>215.38255264778456</c:v>
                      </c:pt>
                      <c:pt idx="73">
                        <c:v>188.17255264778453</c:v>
                      </c:pt>
                      <c:pt idx="74">
                        <c:v>219.13255264778456</c:v>
                      </c:pt>
                      <c:pt idx="75">
                        <c:v>165.93255264778452</c:v>
                      </c:pt>
                      <c:pt idx="76">
                        <c:v>215.8325526477845</c:v>
                      </c:pt>
                      <c:pt idx="77">
                        <c:v>259.68255264778452</c:v>
                      </c:pt>
                      <c:pt idx="78">
                        <c:v>195.08255264778461</c:v>
                      </c:pt>
                      <c:pt idx="79">
                        <c:v>195.08255264778461</c:v>
                      </c:pt>
                      <c:pt idx="80">
                        <c:v>208.3425526477846</c:v>
                      </c:pt>
                      <c:pt idx="81">
                        <c:v>208.3425526477846</c:v>
                      </c:pt>
                      <c:pt idx="82">
                        <c:v>208.3425526477846</c:v>
                      </c:pt>
                      <c:pt idx="83">
                        <c:v>236.54255264778465</c:v>
                      </c:pt>
                      <c:pt idx="84">
                        <c:v>75.742552647784692</c:v>
                      </c:pt>
                      <c:pt idx="85">
                        <c:v>75.742552647784692</c:v>
                      </c:pt>
                      <c:pt idx="86">
                        <c:v>44.742552647784692</c:v>
                      </c:pt>
                      <c:pt idx="87">
                        <c:v>44.742552647784692</c:v>
                      </c:pt>
                      <c:pt idx="88">
                        <c:v>44.742552647784692</c:v>
                      </c:pt>
                      <c:pt idx="89">
                        <c:v>59.622552647784573</c:v>
                      </c:pt>
                      <c:pt idx="90">
                        <c:v>59.622552647784573</c:v>
                      </c:pt>
                      <c:pt idx="91">
                        <c:v>59.622552647784573</c:v>
                      </c:pt>
                      <c:pt idx="92">
                        <c:v>59.622552647784573</c:v>
                      </c:pt>
                      <c:pt idx="93">
                        <c:v>30.959567043367201</c:v>
                      </c:pt>
                      <c:pt idx="94">
                        <c:v>47.809567043367224</c:v>
                      </c:pt>
                      <c:pt idx="95">
                        <c:v>47.809567043367224</c:v>
                      </c:pt>
                      <c:pt idx="96">
                        <c:v>47.809567043367224</c:v>
                      </c:pt>
                      <c:pt idx="97">
                        <c:v>47.809567043367224</c:v>
                      </c:pt>
                      <c:pt idx="98">
                        <c:v>47.809567043367224</c:v>
                      </c:pt>
                      <c:pt idx="99">
                        <c:v>-49.590432956632867</c:v>
                      </c:pt>
                      <c:pt idx="100">
                        <c:v>-49.590432956632867</c:v>
                      </c:pt>
                      <c:pt idx="101">
                        <c:v>-67.840432956632867</c:v>
                      </c:pt>
                      <c:pt idx="102">
                        <c:v>-68.000432956632835</c:v>
                      </c:pt>
                      <c:pt idx="103">
                        <c:v>-68.000432956632835</c:v>
                      </c:pt>
                      <c:pt idx="104">
                        <c:v>-71.840432956632753</c:v>
                      </c:pt>
                      <c:pt idx="105">
                        <c:v>-71.840432956632753</c:v>
                      </c:pt>
                      <c:pt idx="106">
                        <c:v>-71.840432956632753</c:v>
                      </c:pt>
                      <c:pt idx="107">
                        <c:v>-136.64043295663271</c:v>
                      </c:pt>
                      <c:pt idx="108">
                        <c:v>-122.36043295663274</c:v>
                      </c:pt>
                      <c:pt idx="109">
                        <c:v>-176.00043295663284</c:v>
                      </c:pt>
                      <c:pt idx="110">
                        <c:v>-176.00043295663284</c:v>
                      </c:pt>
                      <c:pt idx="111">
                        <c:v>-176.00043295663284</c:v>
                      </c:pt>
                      <c:pt idx="112">
                        <c:v>-216.47043295663286</c:v>
                      </c:pt>
                      <c:pt idx="113">
                        <c:v>-188.0787935487491</c:v>
                      </c:pt>
                      <c:pt idx="114">
                        <c:v>-175.97879354874919</c:v>
                      </c:pt>
                      <c:pt idx="115">
                        <c:v>-61.018793548749386</c:v>
                      </c:pt>
                      <c:pt idx="116">
                        <c:v>-61.018793548749386</c:v>
                      </c:pt>
                      <c:pt idx="117">
                        <c:v>-61.018793548749386</c:v>
                      </c:pt>
                      <c:pt idx="118">
                        <c:v>-25.19879354874945</c:v>
                      </c:pt>
                      <c:pt idx="119">
                        <c:v>-31.378793548749513</c:v>
                      </c:pt>
                      <c:pt idx="120">
                        <c:v>-31.378793548749513</c:v>
                      </c:pt>
                      <c:pt idx="121">
                        <c:v>-31.378793548749513</c:v>
                      </c:pt>
                      <c:pt idx="122">
                        <c:v>-100.2787935487496</c:v>
                      </c:pt>
                      <c:pt idx="123">
                        <c:v>-109.67879354874947</c:v>
                      </c:pt>
                      <c:pt idx="124">
                        <c:v>-109.67879354874947</c:v>
                      </c:pt>
                      <c:pt idx="125">
                        <c:v>-43.758793548749395</c:v>
                      </c:pt>
                      <c:pt idx="126">
                        <c:v>-42.408793548749259</c:v>
                      </c:pt>
                      <c:pt idx="127">
                        <c:v>-42.408793548749259</c:v>
                      </c:pt>
                      <c:pt idx="128">
                        <c:v>-18.358793548749304</c:v>
                      </c:pt>
                      <c:pt idx="129">
                        <c:v>-18.358793548749304</c:v>
                      </c:pt>
                      <c:pt idx="130">
                        <c:v>24.921206451250669</c:v>
                      </c:pt>
                      <c:pt idx="131">
                        <c:v>24.921206451250669</c:v>
                      </c:pt>
                      <c:pt idx="132">
                        <c:v>18.921206451250555</c:v>
                      </c:pt>
                      <c:pt idx="133">
                        <c:v>18.921206451250555</c:v>
                      </c:pt>
                      <c:pt idx="134">
                        <c:v>18.921206451250555</c:v>
                      </c:pt>
                      <c:pt idx="135">
                        <c:v>18.921206451250555</c:v>
                      </c:pt>
                      <c:pt idx="136">
                        <c:v>18.921206451250555</c:v>
                      </c:pt>
                      <c:pt idx="137">
                        <c:v>18.921206451250555</c:v>
                      </c:pt>
                      <c:pt idx="138">
                        <c:v>18.921206451250555</c:v>
                      </c:pt>
                      <c:pt idx="139">
                        <c:v>18.921206451250555</c:v>
                      </c:pt>
                      <c:pt idx="140">
                        <c:v>26.761206451250359</c:v>
                      </c:pt>
                      <c:pt idx="141">
                        <c:v>26.761206451250359</c:v>
                      </c:pt>
                      <c:pt idx="142">
                        <c:v>26.761206451250359</c:v>
                      </c:pt>
                      <c:pt idx="143">
                        <c:v>26.761206451250359</c:v>
                      </c:pt>
                      <c:pt idx="144">
                        <c:v>26.761206451250359</c:v>
                      </c:pt>
                      <c:pt idx="145">
                        <c:v>26.761206451250359</c:v>
                      </c:pt>
                      <c:pt idx="146">
                        <c:v>26.761206451250359</c:v>
                      </c:pt>
                      <c:pt idx="147">
                        <c:v>26.761206451250359</c:v>
                      </c:pt>
                      <c:pt idx="148">
                        <c:v>32.011206451250359</c:v>
                      </c:pt>
                      <c:pt idx="149">
                        <c:v>82.511206451250359</c:v>
                      </c:pt>
                      <c:pt idx="150">
                        <c:v>113.42120645125044</c:v>
                      </c:pt>
                      <c:pt idx="151">
                        <c:v>236.01120645125059</c:v>
                      </c:pt>
                      <c:pt idx="152">
                        <c:v>236.01120645125059</c:v>
                      </c:pt>
                      <c:pt idx="153">
                        <c:v>178.41120645125056</c:v>
                      </c:pt>
                      <c:pt idx="154">
                        <c:v>190.35120645125062</c:v>
                      </c:pt>
                      <c:pt idx="155">
                        <c:v>171.54120645125067</c:v>
                      </c:pt>
                      <c:pt idx="156">
                        <c:v>171.54120645125067</c:v>
                      </c:pt>
                      <c:pt idx="157">
                        <c:v>175.84120645125066</c:v>
                      </c:pt>
                      <c:pt idx="158">
                        <c:v>141.43120645125069</c:v>
                      </c:pt>
                      <c:pt idx="159">
                        <c:v>48.131206451250733</c:v>
                      </c:pt>
                      <c:pt idx="160">
                        <c:v>85.331206451250551</c:v>
                      </c:pt>
                      <c:pt idx="161">
                        <c:v>118.93120645125057</c:v>
                      </c:pt>
                      <c:pt idx="162">
                        <c:v>118.93120645125057</c:v>
                      </c:pt>
                      <c:pt idx="163">
                        <c:v>118.93120645125057</c:v>
                      </c:pt>
                      <c:pt idx="164">
                        <c:v>126.41120645125059</c:v>
                      </c:pt>
                      <c:pt idx="165">
                        <c:v>216.02120645125072</c:v>
                      </c:pt>
                      <c:pt idx="166">
                        <c:v>208.66120645125071</c:v>
                      </c:pt>
                      <c:pt idx="167">
                        <c:v>227.98120645125087</c:v>
                      </c:pt>
                      <c:pt idx="168">
                        <c:v>227.98120645125087</c:v>
                      </c:pt>
                      <c:pt idx="169">
                        <c:v>247.23120645125087</c:v>
                      </c:pt>
                      <c:pt idx="170">
                        <c:v>247.23120645125087</c:v>
                      </c:pt>
                      <c:pt idx="171">
                        <c:v>161.08120645125089</c:v>
                      </c:pt>
                      <c:pt idx="172">
                        <c:v>161.08120645125089</c:v>
                      </c:pt>
                      <c:pt idx="173">
                        <c:v>229.00120645125085</c:v>
                      </c:pt>
                      <c:pt idx="174">
                        <c:v>229.00120645125085</c:v>
                      </c:pt>
                      <c:pt idx="175">
                        <c:v>319.42120645125067</c:v>
                      </c:pt>
                      <c:pt idx="176">
                        <c:v>319.42120645125067</c:v>
                      </c:pt>
                      <c:pt idx="177">
                        <c:v>365.84120645125074</c:v>
                      </c:pt>
                      <c:pt idx="178">
                        <c:v>365.84120645125074</c:v>
                      </c:pt>
                      <c:pt idx="179">
                        <c:v>365.84120645125074</c:v>
                      </c:pt>
                      <c:pt idx="180">
                        <c:v>314.2412064512506</c:v>
                      </c:pt>
                      <c:pt idx="181">
                        <c:v>307.34120645125074</c:v>
                      </c:pt>
                      <c:pt idx="182">
                        <c:v>332.24120645125083</c:v>
                      </c:pt>
                      <c:pt idx="183">
                        <c:v>339.09120645125086</c:v>
                      </c:pt>
                      <c:pt idx="184">
                        <c:v>339.09120645125086</c:v>
                      </c:pt>
                      <c:pt idx="185">
                        <c:v>339.09120645125086</c:v>
                      </c:pt>
                      <c:pt idx="186">
                        <c:v>339.09120645125086</c:v>
                      </c:pt>
                      <c:pt idx="187">
                        <c:v>331.25120645125094</c:v>
                      </c:pt>
                      <c:pt idx="188">
                        <c:v>331.25120645125094</c:v>
                      </c:pt>
                      <c:pt idx="189">
                        <c:v>331.25120645125094</c:v>
                      </c:pt>
                      <c:pt idx="190">
                        <c:v>271.49120645125095</c:v>
                      </c:pt>
                      <c:pt idx="191">
                        <c:v>271.49120645125095</c:v>
                      </c:pt>
                      <c:pt idx="192">
                        <c:v>218.73120645125073</c:v>
                      </c:pt>
                      <c:pt idx="193">
                        <c:v>218.73120645125073</c:v>
                      </c:pt>
                      <c:pt idx="194">
                        <c:v>218.73120645125073</c:v>
                      </c:pt>
                      <c:pt idx="195">
                        <c:v>158.55120645125089</c:v>
                      </c:pt>
                      <c:pt idx="196">
                        <c:v>155.69120645125099</c:v>
                      </c:pt>
                      <c:pt idx="197">
                        <c:v>155.69120645125099</c:v>
                      </c:pt>
                      <c:pt idx="198">
                        <c:v>155.69120645125099</c:v>
                      </c:pt>
                      <c:pt idx="199">
                        <c:v>155.69120645125099</c:v>
                      </c:pt>
                      <c:pt idx="200">
                        <c:v>155.69120645125099</c:v>
                      </c:pt>
                      <c:pt idx="201">
                        <c:v>155.69120645125099</c:v>
                      </c:pt>
                      <c:pt idx="202">
                        <c:v>165.81120645125111</c:v>
                      </c:pt>
                      <c:pt idx="203">
                        <c:v>165.81120645125111</c:v>
                      </c:pt>
                      <c:pt idx="204">
                        <c:v>194.93120645125123</c:v>
                      </c:pt>
                      <c:pt idx="205">
                        <c:v>118.37120645125117</c:v>
                      </c:pt>
                      <c:pt idx="206">
                        <c:v>195.83120645125121</c:v>
                      </c:pt>
                      <c:pt idx="207">
                        <c:v>195.83120645125121</c:v>
                      </c:pt>
                      <c:pt idx="208">
                        <c:v>181.91120645125113</c:v>
                      </c:pt>
                      <c:pt idx="209">
                        <c:v>181.91120645125113</c:v>
                      </c:pt>
                      <c:pt idx="210">
                        <c:v>77.06120645125111</c:v>
                      </c:pt>
                      <c:pt idx="211">
                        <c:v>66.701206451251096</c:v>
                      </c:pt>
                      <c:pt idx="212">
                        <c:v>85.211399342838945</c:v>
                      </c:pt>
                      <c:pt idx="213">
                        <c:v>85.211399342838945</c:v>
                      </c:pt>
                      <c:pt idx="214">
                        <c:v>85.211399342838945</c:v>
                      </c:pt>
                      <c:pt idx="215">
                        <c:v>85.211399342838945</c:v>
                      </c:pt>
                      <c:pt idx="216">
                        <c:v>129.05139934283909</c:v>
                      </c:pt>
                      <c:pt idx="217">
                        <c:v>129.05139934283909</c:v>
                      </c:pt>
                      <c:pt idx="218">
                        <c:v>129.05139934283909</c:v>
                      </c:pt>
                      <c:pt idx="219">
                        <c:v>246.01139934283913</c:v>
                      </c:pt>
                      <c:pt idx="220">
                        <c:v>246.01139934283913</c:v>
                      </c:pt>
                      <c:pt idx="221">
                        <c:v>231.71139934283894</c:v>
                      </c:pt>
                      <c:pt idx="222">
                        <c:v>231.71139934283894</c:v>
                      </c:pt>
                      <c:pt idx="223">
                        <c:v>231.71139934283894</c:v>
                      </c:pt>
                      <c:pt idx="224">
                        <c:v>302.23139934283893</c:v>
                      </c:pt>
                      <c:pt idx="225">
                        <c:v>302.23139934283893</c:v>
                      </c:pt>
                      <c:pt idx="226">
                        <c:v>199.28139934283888</c:v>
                      </c:pt>
                      <c:pt idx="227">
                        <c:v>199.28139934283888</c:v>
                      </c:pt>
                      <c:pt idx="228">
                        <c:v>216.20139934283895</c:v>
                      </c:pt>
                      <c:pt idx="229">
                        <c:v>255.68139934283897</c:v>
                      </c:pt>
                      <c:pt idx="230">
                        <c:v>255.68139934283897</c:v>
                      </c:pt>
                      <c:pt idx="231">
                        <c:v>213.14249066104651</c:v>
                      </c:pt>
                      <c:pt idx="232">
                        <c:v>266.9024906610465</c:v>
                      </c:pt>
                      <c:pt idx="233">
                        <c:v>256.66249066104672</c:v>
                      </c:pt>
                      <c:pt idx="234">
                        <c:v>256.66249066104672</c:v>
                      </c:pt>
                      <c:pt idx="235">
                        <c:v>256.66249066104672</c:v>
                      </c:pt>
                      <c:pt idx="236">
                        <c:v>256.66249066104672</c:v>
                      </c:pt>
                      <c:pt idx="237">
                        <c:v>264.4624906610469</c:v>
                      </c:pt>
                      <c:pt idx="238">
                        <c:v>167.92249066104694</c:v>
                      </c:pt>
                      <c:pt idx="239">
                        <c:v>187.36249066104699</c:v>
                      </c:pt>
                      <c:pt idx="240">
                        <c:v>187.36249066104699</c:v>
                      </c:pt>
                      <c:pt idx="241">
                        <c:v>187.36249066104699</c:v>
                      </c:pt>
                      <c:pt idx="242">
                        <c:v>186.04249066104705</c:v>
                      </c:pt>
                      <c:pt idx="243">
                        <c:v>186.04249066104705</c:v>
                      </c:pt>
                      <c:pt idx="244">
                        <c:v>87.822490661047027</c:v>
                      </c:pt>
                      <c:pt idx="245">
                        <c:v>87.822490661047027</c:v>
                      </c:pt>
                      <c:pt idx="246">
                        <c:v>87.822490661047027</c:v>
                      </c:pt>
                      <c:pt idx="247">
                        <c:v>87.822490661047027</c:v>
                      </c:pt>
                      <c:pt idx="248">
                        <c:v>87.822490661047027</c:v>
                      </c:pt>
                      <c:pt idx="249">
                        <c:v>87.822490661047027</c:v>
                      </c:pt>
                      <c:pt idx="250">
                        <c:v>87.822490661047027</c:v>
                      </c:pt>
                      <c:pt idx="251">
                        <c:v>-6.3775093389530184</c:v>
                      </c:pt>
                      <c:pt idx="252">
                        <c:v>3.4224906610469361</c:v>
                      </c:pt>
                      <c:pt idx="253">
                        <c:v>3.4224906610469361</c:v>
                      </c:pt>
                      <c:pt idx="254">
                        <c:v>3.4224906610469361</c:v>
                      </c:pt>
                      <c:pt idx="255">
                        <c:v>3.4224906610469361</c:v>
                      </c:pt>
                      <c:pt idx="256">
                        <c:v>33.122490661046754</c:v>
                      </c:pt>
                      <c:pt idx="257">
                        <c:v>33.122490661046754</c:v>
                      </c:pt>
                      <c:pt idx="258">
                        <c:v>33.122490661046754</c:v>
                      </c:pt>
                      <c:pt idx="259">
                        <c:v>33.122490661046754</c:v>
                      </c:pt>
                      <c:pt idx="260">
                        <c:v>33.122490661046754</c:v>
                      </c:pt>
                      <c:pt idx="261">
                        <c:v>33.122490661046754</c:v>
                      </c:pt>
                      <c:pt idx="262">
                        <c:v>33.122490661046754</c:v>
                      </c:pt>
                      <c:pt idx="263">
                        <c:v>-3.3275093389532913</c:v>
                      </c:pt>
                      <c:pt idx="264">
                        <c:v>-3.3275093389532913</c:v>
                      </c:pt>
                      <c:pt idx="265">
                        <c:v>-3.3275093389532913</c:v>
                      </c:pt>
                      <c:pt idx="266">
                        <c:v>20.122490661046527</c:v>
                      </c:pt>
                      <c:pt idx="267">
                        <c:v>20.122490661046527</c:v>
                      </c:pt>
                      <c:pt idx="268">
                        <c:v>20.122490661046527</c:v>
                      </c:pt>
                      <c:pt idx="269">
                        <c:v>20.122490661046527</c:v>
                      </c:pt>
                      <c:pt idx="270">
                        <c:v>20.122490661046527</c:v>
                      </c:pt>
                      <c:pt idx="271">
                        <c:v>20.122490661046527</c:v>
                      </c:pt>
                      <c:pt idx="272">
                        <c:v>20.122490661046527</c:v>
                      </c:pt>
                      <c:pt idx="273">
                        <c:v>20.122490661046527</c:v>
                      </c:pt>
                      <c:pt idx="274">
                        <c:v>20.122490661046527</c:v>
                      </c:pt>
                      <c:pt idx="275">
                        <c:v>20.122490661046527</c:v>
                      </c:pt>
                      <c:pt idx="276">
                        <c:v>20.122490661046527</c:v>
                      </c:pt>
                      <c:pt idx="277">
                        <c:v>20.122490661046527</c:v>
                      </c:pt>
                      <c:pt idx="278">
                        <c:v>20.122490661046527</c:v>
                      </c:pt>
                      <c:pt idx="279">
                        <c:v>20.122490661046527</c:v>
                      </c:pt>
                      <c:pt idx="280">
                        <c:v>15.562490661046581</c:v>
                      </c:pt>
                      <c:pt idx="281">
                        <c:v>-40.597509338953273</c:v>
                      </c:pt>
                      <c:pt idx="282">
                        <c:v>-40.597509338953273</c:v>
                      </c:pt>
                      <c:pt idx="283">
                        <c:v>-40.597509338953273</c:v>
                      </c:pt>
                      <c:pt idx="284">
                        <c:v>-7.2975093389533185</c:v>
                      </c:pt>
                      <c:pt idx="285">
                        <c:v>-7.2975093389533185</c:v>
                      </c:pt>
                      <c:pt idx="286">
                        <c:v>1.1024906610467724</c:v>
                      </c:pt>
                      <c:pt idx="287">
                        <c:v>1.1024906610467724</c:v>
                      </c:pt>
                      <c:pt idx="288">
                        <c:v>151.70249066104691</c:v>
                      </c:pt>
                      <c:pt idx="289">
                        <c:v>151.70249066104691</c:v>
                      </c:pt>
                      <c:pt idx="290">
                        <c:v>151.70249066104691</c:v>
                      </c:pt>
                      <c:pt idx="291">
                        <c:v>151.70249066104691</c:v>
                      </c:pt>
                      <c:pt idx="292">
                        <c:v>151.70249066104691</c:v>
                      </c:pt>
                      <c:pt idx="293">
                        <c:v>148.00249066104664</c:v>
                      </c:pt>
                      <c:pt idx="294">
                        <c:v>148.00249066104664</c:v>
                      </c:pt>
                      <c:pt idx="295">
                        <c:v>148.00249066104664</c:v>
                      </c:pt>
                      <c:pt idx="296">
                        <c:v>148.00249066104664</c:v>
                      </c:pt>
                      <c:pt idx="297">
                        <c:v>148.00249066104664</c:v>
                      </c:pt>
                      <c:pt idx="298">
                        <c:v>148.00249066104664</c:v>
                      </c:pt>
                      <c:pt idx="299">
                        <c:v>121.60249066104666</c:v>
                      </c:pt>
                      <c:pt idx="300">
                        <c:v>175.24249066104653</c:v>
                      </c:pt>
                      <c:pt idx="301">
                        <c:v>345.26249066104651</c:v>
                      </c:pt>
                      <c:pt idx="302">
                        <c:v>345.26249066104651</c:v>
                      </c:pt>
                      <c:pt idx="303">
                        <c:v>428.48249066104654</c:v>
                      </c:pt>
                      <c:pt idx="304">
                        <c:v>428.48249066104654</c:v>
                      </c:pt>
                      <c:pt idx="305">
                        <c:v>531.88249066104663</c:v>
                      </c:pt>
                      <c:pt idx="306">
                        <c:v>676.08249066104668</c:v>
                      </c:pt>
                      <c:pt idx="307">
                        <c:v>685.53249066104672</c:v>
                      </c:pt>
                      <c:pt idx="308">
                        <c:v>685.53249066104672</c:v>
                      </c:pt>
                      <c:pt idx="309">
                        <c:v>685.53249066104672</c:v>
                      </c:pt>
                      <c:pt idx="310">
                        <c:v>685.53249066104672</c:v>
                      </c:pt>
                      <c:pt idx="311">
                        <c:v>685.53249066104672</c:v>
                      </c:pt>
                      <c:pt idx="312">
                        <c:v>685.53249066104672</c:v>
                      </c:pt>
                      <c:pt idx="313">
                        <c:v>685.53249066104672</c:v>
                      </c:pt>
                      <c:pt idx="314">
                        <c:v>685.53249066104672</c:v>
                      </c:pt>
                      <c:pt idx="315">
                        <c:v>685.53249066104672</c:v>
                      </c:pt>
                      <c:pt idx="316">
                        <c:v>685.53249066104672</c:v>
                      </c:pt>
                      <c:pt idx="317">
                        <c:v>685.53249066104672</c:v>
                      </c:pt>
                      <c:pt idx="318">
                        <c:v>599.43627194988017</c:v>
                      </c:pt>
                      <c:pt idx="319">
                        <c:v>814.11627194988023</c:v>
                      </c:pt>
                      <c:pt idx="320">
                        <c:v>814.11627194988023</c:v>
                      </c:pt>
                      <c:pt idx="321">
                        <c:v>804.91627194988018</c:v>
                      </c:pt>
                      <c:pt idx="322">
                        <c:v>869.71627194988037</c:v>
                      </c:pt>
                      <c:pt idx="323">
                        <c:v>640.46627194988037</c:v>
                      </c:pt>
                      <c:pt idx="324">
                        <c:v>640.46627194988037</c:v>
                      </c:pt>
                      <c:pt idx="325">
                        <c:v>690.46627194988037</c:v>
                      </c:pt>
                      <c:pt idx="326">
                        <c:v>690.46627194988037</c:v>
                      </c:pt>
                      <c:pt idx="327">
                        <c:v>686.86627194988023</c:v>
                      </c:pt>
                      <c:pt idx="328">
                        <c:v>659.41627194988018</c:v>
                      </c:pt>
                      <c:pt idx="329">
                        <c:v>659.41627194988018</c:v>
                      </c:pt>
                      <c:pt idx="330">
                        <c:v>659.41627194988018</c:v>
                      </c:pt>
                      <c:pt idx="331">
                        <c:v>730.45627194988015</c:v>
                      </c:pt>
                      <c:pt idx="332">
                        <c:v>846.73627194988012</c:v>
                      </c:pt>
                      <c:pt idx="333">
                        <c:v>906.13627194988021</c:v>
                      </c:pt>
                      <c:pt idx="334">
                        <c:v>906.13627194988021</c:v>
                      </c:pt>
                      <c:pt idx="335">
                        <c:v>962.59627194988025</c:v>
                      </c:pt>
                      <c:pt idx="336">
                        <c:v>956.35627194988024</c:v>
                      </c:pt>
                      <c:pt idx="337">
                        <c:v>956.35627194988024</c:v>
                      </c:pt>
                      <c:pt idx="338">
                        <c:v>956.35627194988024</c:v>
                      </c:pt>
                      <c:pt idx="339">
                        <c:v>892.09627194988025</c:v>
                      </c:pt>
                      <c:pt idx="340">
                        <c:v>768.40627194988019</c:v>
                      </c:pt>
                      <c:pt idx="341">
                        <c:v>768.40627194988019</c:v>
                      </c:pt>
                      <c:pt idx="342">
                        <c:v>768.40627194988019</c:v>
                      </c:pt>
                      <c:pt idx="343">
                        <c:v>759.08627194988026</c:v>
                      </c:pt>
                      <c:pt idx="344">
                        <c:v>631.52627194988031</c:v>
                      </c:pt>
                      <c:pt idx="345">
                        <c:v>631.52627194988031</c:v>
                      </c:pt>
                      <c:pt idx="346">
                        <c:v>631.52627194988031</c:v>
                      </c:pt>
                    </c:numCache>
                  </c:numRef>
                </c:val>
                <c:smooth val="0"/>
                <c:extLst xmlns:c15="http://schemas.microsoft.com/office/drawing/2012/chart">
                  <c:ext xmlns:c16="http://schemas.microsoft.com/office/drawing/2014/chart" uri="{C3380CC4-5D6E-409C-BE32-E72D297353CC}">
                    <c16:uniqueId val="{00000005-893C-40BA-BB39-4B339B67538A}"/>
                  </c:ext>
                </c:extLst>
              </c15:ser>
            </c15:filteredLineSeries>
            <c15:filteredLineSeries>
              <c15:ser>
                <c:idx val="6"/>
                <c:order val="6"/>
                <c:tx>
                  <c:v>Dwn (MOC)</c:v>
                </c:tx>
                <c:spPr>
                  <a:ln w="28575" cap="rnd">
                    <a:solidFill>
                      <a:schemeClr val="accent2">
                        <a:lumMod val="60000"/>
                        <a:lumOff val="40000"/>
                      </a:schemeClr>
                    </a:solidFill>
                    <a:prstDash val="sysDash"/>
                    <a:round/>
                  </a:ln>
                  <a:effectLst/>
                </c:spPr>
                <c:marker>
                  <c:symbol val="none"/>
                </c:marker>
                <c:val>
                  <c:numRef>
                    <c:extLst xmlns:c15="http://schemas.microsoft.com/office/drawing/2012/chart">
                      <c:ext xmlns:c15="http://schemas.microsoft.com/office/drawing/2012/chart" uri="{02D57815-91ED-43cb-92C2-25804820EDAC}">
                        <c15:formulaRef>
                          <c15:sqref>'2025-Q2'!$AZ$4:$AZ$350</c15:sqref>
                        </c15:formulaRef>
                      </c:ext>
                    </c:extLst>
                    <c:numCache>
                      <c:formatCode>"$"#,##0</c:formatCode>
                      <c:ptCount val="347"/>
                      <c:pt idx="0">
                        <c:v>-254.69999999999982</c:v>
                      </c:pt>
                      <c:pt idx="1">
                        <c:v>-262.79999999999973</c:v>
                      </c:pt>
                      <c:pt idx="2">
                        <c:v>-262.79999999999973</c:v>
                      </c:pt>
                      <c:pt idx="3">
                        <c:v>-262.79999999999973</c:v>
                      </c:pt>
                      <c:pt idx="4">
                        <c:v>-262.79999999999973</c:v>
                      </c:pt>
                      <c:pt idx="5">
                        <c:v>-262.79999999999973</c:v>
                      </c:pt>
                      <c:pt idx="6">
                        <c:v>-262.79999999999973</c:v>
                      </c:pt>
                      <c:pt idx="7">
                        <c:v>-262.79999999999973</c:v>
                      </c:pt>
                      <c:pt idx="8">
                        <c:v>-262.79999999999973</c:v>
                      </c:pt>
                      <c:pt idx="9">
                        <c:v>-266.68837290281726</c:v>
                      </c:pt>
                      <c:pt idx="10">
                        <c:v>-266.68837290281726</c:v>
                      </c:pt>
                      <c:pt idx="11">
                        <c:v>-266.68837290281726</c:v>
                      </c:pt>
                      <c:pt idx="12">
                        <c:v>-267.17837290281727</c:v>
                      </c:pt>
                      <c:pt idx="13">
                        <c:v>-267.17837290281727</c:v>
                      </c:pt>
                      <c:pt idx="14">
                        <c:v>-173.75837290281697</c:v>
                      </c:pt>
                      <c:pt idx="15">
                        <c:v>-173.75837290281697</c:v>
                      </c:pt>
                      <c:pt idx="16">
                        <c:v>-89.908372902816836</c:v>
                      </c:pt>
                      <c:pt idx="17">
                        <c:v>-65.608372902816654</c:v>
                      </c:pt>
                      <c:pt idx="18">
                        <c:v>-65.608372902816654</c:v>
                      </c:pt>
                      <c:pt idx="19">
                        <c:v>-65.608372902816654</c:v>
                      </c:pt>
                      <c:pt idx="20">
                        <c:v>-65.608372902816654</c:v>
                      </c:pt>
                      <c:pt idx="21">
                        <c:v>-65.608372902816654</c:v>
                      </c:pt>
                      <c:pt idx="22">
                        <c:v>-79.1383729028164</c:v>
                      </c:pt>
                      <c:pt idx="23">
                        <c:v>-79.1383729028164</c:v>
                      </c:pt>
                      <c:pt idx="24">
                        <c:v>-79.1383729028164</c:v>
                      </c:pt>
                      <c:pt idx="25">
                        <c:v>-79.1383729028164</c:v>
                      </c:pt>
                      <c:pt idx="26">
                        <c:v>-76.1383729028164</c:v>
                      </c:pt>
                      <c:pt idx="27">
                        <c:v>-110.1383729028164</c:v>
                      </c:pt>
                      <c:pt idx="28">
                        <c:v>-118.53837290281626</c:v>
                      </c:pt>
                      <c:pt idx="29">
                        <c:v>-118.53837290281626</c:v>
                      </c:pt>
                      <c:pt idx="30">
                        <c:v>-155.63837290281617</c:v>
                      </c:pt>
                      <c:pt idx="31">
                        <c:v>-148.13837290281617</c:v>
                      </c:pt>
                      <c:pt idx="32">
                        <c:v>-164.13837290281617</c:v>
                      </c:pt>
                      <c:pt idx="33">
                        <c:v>-164.13837290281617</c:v>
                      </c:pt>
                      <c:pt idx="34">
                        <c:v>-164.13837290281617</c:v>
                      </c:pt>
                      <c:pt idx="35">
                        <c:v>-164.13837290281617</c:v>
                      </c:pt>
                      <c:pt idx="36">
                        <c:v>-173.22837290281586</c:v>
                      </c:pt>
                      <c:pt idx="37">
                        <c:v>-173.22837290281586</c:v>
                      </c:pt>
                      <c:pt idx="38">
                        <c:v>-173.22837290281586</c:v>
                      </c:pt>
                      <c:pt idx="39">
                        <c:v>-173.22837290281586</c:v>
                      </c:pt>
                      <c:pt idx="40">
                        <c:v>-322.17837290281591</c:v>
                      </c:pt>
                      <c:pt idx="41">
                        <c:v>-353.47837290281609</c:v>
                      </c:pt>
                      <c:pt idx="42">
                        <c:v>-286.37837290281595</c:v>
                      </c:pt>
                      <c:pt idx="43">
                        <c:v>-286.37837290281595</c:v>
                      </c:pt>
                      <c:pt idx="44">
                        <c:v>-286.37837290281595</c:v>
                      </c:pt>
                      <c:pt idx="45">
                        <c:v>-286.37837290281595</c:v>
                      </c:pt>
                      <c:pt idx="46">
                        <c:v>-336.14837290281594</c:v>
                      </c:pt>
                      <c:pt idx="47">
                        <c:v>-336.14837290281594</c:v>
                      </c:pt>
                      <c:pt idx="48">
                        <c:v>-437.28837290281581</c:v>
                      </c:pt>
                      <c:pt idx="49">
                        <c:v>-437.28837290281581</c:v>
                      </c:pt>
                      <c:pt idx="50">
                        <c:v>-437.28837290281581</c:v>
                      </c:pt>
                      <c:pt idx="51">
                        <c:v>-437.28837290281581</c:v>
                      </c:pt>
                      <c:pt idx="52">
                        <c:v>-546.48837290281585</c:v>
                      </c:pt>
                      <c:pt idx="53">
                        <c:v>-546.48837290281585</c:v>
                      </c:pt>
                      <c:pt idx="54">
                        <c:v>-546.48837290281585</c:v>
                      </c:pt>
                      <c:pt idx="55">
                        <c:v>-539.5683729028159</c:v>
                      </c:pt>
                      <c:pt idx="56">
                        <c:v>-539.5683729028159</c:v>
                      </c:pt>
                      <c:pt idx="57">
                        <c:v>-414.9183729028158</c:v>
                      </c:pt>
                      <c:pt idx="58">
                        <c:v>-414.9183729028158</c:v>
                      </c:pt>
                      <c:pt idx="59">
                        <c:v>-414.9183729028158</c:v>
                      </c:pt>
                      <c:pt idx="60">
                        <c:v>-414.9183729028158</c:v>
                      </c:pt>
                      <c:pt idx="61">
                        <c:v>-414.9183729028158</c:v>
                      </c:pt>
                      <c:pt idx="62">
                        <c:v>-414.9183729028158</c:v>
                      </c:pt>
                      <c:pt idx="63">
                        <c:v>-414.9183729028158</c:v>
                      </c:pt>
                      <c:pt idx="64">
                        <c:v>-414.9183729028158</c:v>
                      </c:pt>
                      <c:pt idx="65">
                        <c:v>-414.9183729028158</c:v>
                      </c:pt>
                      <c:pt idx="66">
                        <c:v>-420.76837290281571</c:v>
                      </c:pt>
                      <c:pt idx="67">
                        <c:v>-414.58837290281565</c:v>
                      </c:pt>
                      <c:pt idx="68">
                        <c:v>-396.2683729028156</c:v>
                      </c:pt>
                      <c:pt idx="69">
                        <c:v>-396.2683729028156</c:v>
                      </c:pt>
                      <c:pt idx="70">
                        <c:v>-368.83837290281554</c:v>
                      </c:pt>
                      <c:pt idx="71">
                        <c:v>-368.83837290281554</c:v>
                      </c:pt>
                      <c:pt idx="72">
                        <c:v>-368.83837290281554</c:v>
                      </c:pt>
                      <c:pt idx="73">
                        <c:v>-368.83837290281554</c:v>
                      </c:pt>
                      <c:pt idx="74">
                        <c:v>-368.83837290281554</c:v>
                      </c:pt>
                      <c:pt idx="75">
                        <c:v>-368.83837290281554</c:v>
                      </c:pt>
                      <c:pt idx="76">
                        <c:v>-368.83837290281554</c:v>
                      </c:pt>
                      <c:pt idx="77">
                        <c:v>-368.83837290281554</c:v>
                      </c:pt>
                      <c:pt idx="78">
                        <c:v>-368.83837290281554</c:v>
                      </c:pt>
                      <c:pt idx="79">
                        <c:v>-423.9721716230016</c:v>
                      </c:pt>
                      <c:pt idx="80">
                        <c:v>-423.9721716230016</c:v>
                      </c:pt>
                      <c:pt idx="81">
                        <c:v>-480.01217162300156</c:v>
                      </c:pt>
                      <c:pt idx="82">
                        <c:v>-530.05217162300164</c:v>
                      </c:pt>
                      <c:pt idx="83">
                        <c:v>-530.05217162300164</c:v>
                      </c:pt>
                      <c:pt idx="84">
                        <c:v>-530.05217162300164</c:v>
                      </c:pt>
                      <c:pt idx="85">
                        <c:v>-591.05217162300175</c:v>
                      </c:pt>
                      <c:pt idx="86">
                        <c:v>-591.05217162300175</c:v>
                      </c:pt>
                      <c:pt idx="87">
                        <c:v>-613.15217162300189</c:v>
                      </c:pt>
                      <c:pt idx="88">
                        <c:v>-595.83217162300184</c:v>
                      </c:pt>
                      <c:pt idx="89">
                        <c:v>-595.83217162300184</c:v>
                      </c:pt>
                      <c:pt idx="90">
                        <c:v>-563.83217162300184</c:v>
                      </c:pt>
                      <c:pt idx="91">
                        <c:v>-555.85217162300182</c:v>
                      </c:pt>
                      <c:pt idx="92">
                        <c:v>-578.65217162300189</c:v>
                      </c:pt>
                      <c:pt idx="93">
                        <c:v>-578.65217162300189</c:v>
                      </c:pt>
                      <c:pt idx="94">
                        <c:v>-578.65217162300189</c:v>
                      </c:pt>
                      <c:pt idx="95">
                        <c:v>-589.652171623002</c:v>
                      </c:pt>
                      <c:pt idx="96">
                        <c:v>-547.95217162300207</c:v>
                      </c:pt>
                      <c:pt idx="97">
                        <c:v>-550.83217162300207</c:v>
                      </c:pt>
                      <c:pt idx="98">
                        <c:v>-588.98217162300205</c:v>
                      </c:pt>
                      <c:pt idx="99">
                        <c:v>-588.98217162300205</c:v>
                      </c:pt>
                      <c:pt idx="100">
                        <c:v>-711.86217162300204</c:v>
                      </c:pt>
                      <c:pt idx="101">
                        <c:v>-711.86217162300204</c:v>
                      </c:pt>
                      <c:pt idx="102">
                        <c:v>-711.86217162300204</c:v>
                      </c:pt>
                      <c:pt idx="103">
                        <c:v>-711.86217162300204</c:v>
                      </c:pt>
                      <c:pt idx="104">
                        <c:v>-711.86217162300204</c:v>
                      </c:pt>
                      <c:pt idx="105">
                        <c:v>-657.08217162300207</c:v>
                      </c:pt>
                      <c:pt idx="106">
                        <c:v>-657.08217162300207</c:v>
                      </c:pt>
                      <c:pt idx="107">
                        <c:v>-657.08217162300207</c:v>
                      </c:pt>
                      <c:pt idx="108">
                        <c:v>-657.08217162300207</c:v>
                      </c:pt>
                      <c:pt idx="109">
                        <c:v>-657.08217162300207</c:v>
                      </c:pt>
                      <c:pt idx="110">
                        <c:v>-646.83217162300218</c:v>
                      </c:pt>
                      <c:pt idx="111">
                        <c:v>-640.35217162300216</c:v>
                      </c:pt>
                      <c:pt idx="112">
                        <c:v>-640.35217162300216</c:v>
                      </c:pt>
                      <c:pt idx="113">
                        <c:v>-640.35217162300216</c:v>
                      </c:pt>
                      <c:pt idx="114">
                        <c:v>-640.35217162300216</c:v>
                      </c:pt>
                      <c:pt idx="115">
                        <c:v>-640.35217162300216</c:v>
                      </c:pt>
                      <c:pt idx="116">
                        <c:v>-643.20217162300207</c:v>
                      </c:pt>
                      <c:pt idx="117">
                        <c:v>-617.95161845366727</c:v>
                      </c:pt>
                      <c:pt idx="118">
                        <c:v>-617.95161845366727</c:v>
                      </c:pt>
                      <c:pt idx="119">
                        <c:v>-617.95161845366727</c:v>
                      </c:pt>
                      <c:pt idx="120">
                        <c:v>-637.75161845366745</c:v>
                      </c:pt>
                      <c:pt idx="121">
                        <c:v>-637.75161845366745</c:v>
                      </c:pt>
                      <c:pt idx="122">
                        <c:v>-637.75161845366745</c:v>
                      </c:pt>
                      <c:pt idx="123">
                        <c:v>-637.75161845366745</c:v>
                      </c:pt>
                      <c:pt idx="124">
                        <c:v>-569.65161845366742</c:v>
                      </c:pt>
                      <c:pt idx="125">
                        <c:v>-569.65161845366742</c:v>
                      </c:pt>
                      <c:pt idx="126">
                        <c:v>-569.65161845366742</c:v>
                      </c:pt>
                      <c:pt idx="127">
                        <c:v>-617.44161845366739</c:v>
                      </c:pt>
                      <c:pt idx="128">
                        <c:v>-617.44161845366739</c:v>
                      </c:pt>
                      <c:pt idx="129">
                        <c:v>-653.28161845366731</c:v>
                      </c:pt>
                      <c:pt idx="130">
                        <c:v>-653.28161845366731</c:v>
                      </c:pt>
                      <c:pt idx="131">
                        <c:v>-678.06161845366728</c:v>
                      </c:pt>
                      <c:pt idx="132">
                        <c:v>-678.06161845366728</c:v>
                      </c:pt>
                      <c:pt idx="133">
                        <c:v>-660.56161845366728</c:v>
                      </c:pt>
                      <c:pt idx="134">
                        <c:v>-658.04161845366718</c:v>
                      </c:pt>
                      <c:pt idx="135">
                        <c:v>-666.32161845366716</c:v>
                      </c:pt>
                      <c:pt idx="136">
                        <c:v>-662.72161845366713</c:v>
                      </c:pt>
                      <c:pt idx="137">
                        <c:v>-662.72161845366713</c:v>
                      </c:pt>
                      <c:pt idx="138">
                        <c:v>-694.54161845366707</c:v>
                      </c:pt>
                      <c:pt idx="139">
                        <c:v>-663.04161845366696</c:v>
                      </c:pt>
                      <c:pt idx="140">
                        <c:v>-663.04161845366696</c:v>
                      </c:pt>
                      <c:pt idx="141">
                        <c:v>-694.56161845366694</c:v>
                      </c:pt>
                      <c:pt idx="142">
                        <c:v>-744.80161845366695</c:v>
                      </c:pt>
                      <c:pt idx="143">
                        <c:v>-767.04161845366673</c:v>
                      </c:pt>
                      <c:pt idx="144">
                        <c:v>-769.08161845366681</c:v>
                      </c:pt>
                      <c:pt idx="145">
                        <c:v>-685.18161845366672</c:v>
                      </c:pt>
                      <c:pt idx="146">
                        <c:v>-709.48161845366667</c:v>
                      </c:pt>
                      <c:pt idx="147">
                        <c:v>-763.63161845366676</c:v>
                      </c:pt>
                      <c:pt idx="148">
                        <c:v>-763.63161845366676</c:v>
                      </c:pt>
                      <c:pt idx="149">
                        <c:v>-763.63161845366676</c:v>
                      </c:pt>
                      <c:pt idx="150">
                        <c:v>-763.63161845366676</c:v>
                      </c:pt>
                      <c:pt idx="151">
                        <c:v>-763.63161845366676</c:v>
                      </c:pt>
                      <c:pt idx="152">
                        <c:v>-639.33161845366681</c:v>
                      </c:pt>
                      <c:pt idx="153">
                        <c:v>-639.33161845366681</c:v>
                      </c:pt>
                      <c:pt idx="154">
                        <c:v>-639.33161845366681</c:v>
                      </c:pt>
                      <c:pt idx="155">
                        <c:v>-639.33161845366681</c:v>
                      </c:pt>
                      <c:pt idx="156">
                        <c:v>-547.97161845366668</c:v>
                      </c:pt>
                      <c:pt idx="157">
                        <c:v>-547.97161845366668</c:v>
                      </c:pt>
                      <c:pt idx="158">
                        <c:v>-547.97161845366668</c:v>
                      </c:pt>
                      <c:pt idx="159">
                        <c:v>-547.97161845366668</c:v>
                      </c:pt>
                      <c:pt idx="160">
                        <c:v>-547.97161845366668</c:v>
                      </c:pt>
                      <c:pt idx="161">
                        <c:v>-547.97161845366668</c:v>
                      </c:pt>
                      <c:pt idx="162">
                        <c:v>-520.05161845366683</c:v>
                      </c:pt>
                      <c:pt idx="163">
                        <c:v>-601.05161845366695</c:v>
                      </c:pt>
                      <c:pt idx="164">
                        <c:v>-601.05161845366695</c:v>
                      </c:pt>
                      <c:pt idx="165">
                        <c:v>-601.05161845366695</c:v>
                      </c:pt>
                      <c:pt idx="166">
                        <c:v>-601.05161845366695</c:v>
                      </c:pt>
                      <c:pt idx="167">
                        <c:v>-601.05161845366695</c:v>
                      </c:pt>
                      <c:pt idx="168">
                        <c:v>-560.1016184536669</c:v>
                      </c:pt>
                      <c:pt idx="169">
                        <c:v>-560.1016184536669</c:v>
                      </c:pt>
                      <c:pt idx="170">
                        <c:v>-570.36161845366701</c:v>
                      </c:pt>
                      <c:pt idx="171">
                        <c:v>-570.36161845366701</c:v>
                      </c:pt>
                      <c:pt idx="172">
                        <c:v>-550.52161845366709</c:v>
                      </c:pt>
                      <c:pt idx="173">
                        <c:v>-550.52161845366709</c:v>
                      </c:pt>
                      <c:pt idx="174">
                        <c:v>-469.5216184536672</c:v>
                      </c:pt>
                      <c:pt idx="175">
                        <c:v>-469.5216184536672</c:v>
                      </c:pt>
                      <c:pt idx="176">
                        <c:v>-458.74161845366723</c:v>
                      </c:pt>
                      <c:pt idx="177">
                        <c:v>-458.74161845366723</c:v>
                      </c:pt>
                      <c:pt idx="178">
                        <c:v>-472.52161845366743</c:v>
                      </c:pt>
                      <c:pt idx="179">
                        <c:v>-378.83161845366737</c:v>
                      </c:pt>
                      <c:pt idx="180">
                        <c:v>-378.83161845366737</c:v>
                      </c:pt>
                      <c:pt idx="181">
                        <c:v>-378.83161845366737</c:v>
                      </c:pt>
                      <c:pt idx="182">
                        <c:v>-378.83161845366737</c:v>
                      </c:pt>
                      <c:pt idx="183">
                        <c:v>-378.83161845366737</c:v>
                      </c:pt>
                      <c:pt idx="184">
                        <c:v>-399.47161845366725</c:v>
                      </c:pt>
                      <c:pt idx="185">
                        <c:v>-378.47161845366702</c:v>
                      </c:pt>
                      <c:pt idx="186">
                        <c:v>-386.97161845366702</c:v>
                      </c:pt>
                      <c:pt idx="187">
                        <c:v>-386.97161845366702</c:v>
                      </c:pt>
                      <c:pt idx="188">
                        <c:v>-280.97161845366702</c:v>
                      </c:pt>
                      <c:pt idx="189">
                        <c:v>-286.97161845366679</c:v>
                      </c:pt>
                      <c:pt idx="190">
                        <c:v>-286.97161845366679</c:v>
                      </c:pt>
                      <c:pt idx="191">
                        <c:v>-302.37161845366688</c:v>
                      </c:pt>
                      <c:pt idx="192">
                        <c:v>-302.37161845366688</c:v>
                      </c:pt>
                      <c:pt idx="193">
                        <c:v>-101.3516184536669</c:v>
                      </c:pt>
                      <c:pt idx="194">
                        <c:v>-110.31161845366694</c:v>
                      </c:pt>
                      <c:pt idx="195">
                        <c:v>-110.31161845366694</c:v>
                      </c:pt>
                      <c:pt idx="196">
                        <c:v>-110.31161845366694</c:v>
                      </c:pt>
                      <c:pt idx="197">
                        <c:v>-70.011618453666983</c:v>
                      </c:pt>
                      <c:pt idx="198">
                        <c:v>-68.661618453667074</c:v>
                      </c:pt>
                      <c:pt idx="199">
                        <c:v>-72.941618453667274</c:v>
                      </c:pt>
                      <c:pt idx="200">
                        <c:v>-72.941618453667274</c:v>
                      </c:pt>
                      <c:pt idx="201">
                        <c:v>-26.381618453667329</c:v>
                      </c:pt>
                      <c:pt idx="202">
                        <c:v>-26.381618453667329</c:v>
                      </c:pt>
                      <c:pt idx="203">
                        <c:v>-26.381618453667329</c:v>
                      </c:pt>
                      <c:pt idx="204">
                        <c:v>-26.381618453667329</c:v>
                      </c:pt>
                      <c:pt idx="205">
                        <c:v>-26.381618453667329</c:v>
                      </c:pt>
                      <c:pt idx="206">
                        <c:v>-26.381618453667329</c:v>
                      </c:pt>
                      <c:pt idx="207">
                        <c:v>-28.36161845366712</c:v>
                      </c:pt>
                      <c:pt idx="208">
                        <c:v>-28.36161845366712</c:v>
                      </c:pt>
                      <c:pt idx="209">
                        <c:v>-6.9616184536670289</c:v>
                      </c:pt>
                      <c:pt idx="210">
                        <c:v>-6.9616184536670289</c:v>
                      </c:pt>
                      <c:pt idx="211">
                        <c:v>-6.9616184536670289</c:v>
                      </c:pt>
                      <c:pt idx="212">
                        <c:v>-6.9616184536670289</c:v>
                      </c:pt>
                      <c:pt idx="213">
                        <c:v>36.368381546332898</c:v>
                      </c:pt>
                      <c:pt idx="214">
                        <c:v>38.368381546332898</c:v>
                      </c:pt>
                      <c:pt idx="215">
                        <c:v>-92.311618453666938</c:v>
                      </c:pt>
                      <c:pt idx="216">
                        <c:v>-92.311618453666938</c:v>
                      </c:pt>
                      <c:pt idx="217">
                        <c:v>-92.311618453666938</c:v>
                      </c:pt>
                      <c:pt idx="218">
                        <c:v>-74.811618453666938</c:v>
                      </c:pt>
                      <c:pt idx="219">
                        <c:v>-74.811618453666938</c:v>
                      </c:pt>
                      <c:pt idx="220">
                        <c:v>-5.5116184536669834</c:v>
                      </c:pt>
                      <c:pt idx="221">
                        <c:v>-5.5116184536669834</c:v>
                      </c:pt>
                      <c:pt idx="222">
                        <c:v>54.408381546332862</c:v>
                      </c:pt>
                      <c:pt idx="223">
                        <c:v>54.408381546332862</c:v>
                      </c:pt>
                      <c:pt idx="224">
                        <c:v>54.408381546332862</c:v>
                      </c:pt>
                      <c:pt idx="225">
                        <c:v>24.88838154633288</c:v>
                      </c:pt>
                      <c:pt idx="226">
                        <c:v>24.88838154633288</c:v>
                      </c:pt>
                      <c:pt idx="227">
                        <c:v>44.248381546333007</c:v>
                      </c:pt>
                      <c:pt idx="228">
                        <c:v>44.248381546333007</c:v>
                      </c:pt>
                      <c:pt idx="229">
                        <c:v>44.248381546333007</c:v>
                      </c:pt>
                      <c:pt idx="230">
                        <c:v>63.898381546332871</c:v>
                      </c:pt>
                      <c:pt idx="231">
                        <c:v>63.898381546332871</c:v>
                      </c:pt>
                      <c:pt idx="232">
                        <c:v>63.898381546332871</c:v>
                      </c:pt>
                      <c:pt idx="233">
                        <c:v>63.898381546332871</c:v>
                      </c:pt>
                      <c:pt idx="234">
                        <c:v>126.29838154633296</c:v>
                      </c:pt>
                      <c:pt idx="235">
                        <c:v>82.868381546332898</c:v>
                      </c:pt>
                      <c:pt idx="236">
                        <c:v>168.66838154633285</c:v>
                      </c:pt>
                      <c:pt idx="237">
                        <c:v>168.66838154633285</c:v>
                      </c:pt>
                      <c:pt idx="238">
                        <c:v>168.66838154633285</c:v>
                      </c:pt>
                      <c:pt idx="239">
                        <c:v>168.66838154633285</c:v>
                      </c:pt>
                      <c:pt idx="240">
                        <c:v>168.66838154633285</c:v>
                      </c:pt>
                      <c:pt idx="241">
                        <c:v>347.91838154633274</c:v>
                      </c:pt>
                      <c:pt idx="242">
                        <c:v>347.91838154633274</c:v>
                      </c:pt>
                      <c:pt idx="243">
                        <c:v>336.66838154633274</c:v>
                      </c:pt>
                      <c:pt idx="244">
                        <c:v>336.66838154633274</c:v>
                      </c:pt>
                      <c:pt idx="245">
                        <c:v>342.51838154633288</c:v>
                      </c:pt>
                      <c:pt idx="246">
                        <c:v>338.21838154633292</c:v>
                      </c:pt>
                      <c:pt idx="247">
                        <c:v>315.81838154633283</c:v>
                      </c:pt>
                      <c:pt idx="248">
                        <c:v>280.51838154633288</c:v>
                      </c:pt>
                      <c:pt idx="249">
                        <c:v>201.31838154633283</c:v>
                      </c:pt>
                      <c:pt idx="250">
                        <c:v>344.11838154633278</c:v>
                      </c:pt>
                      <c:pt idx="251">
                        <c:v>344.11838154633278</c:v>
                      </c:pt>
                      <c:pt idx="252">
                        <c:v>344.11838154633278</c:v>
                      </c:pt>
                      <c:pt idx="253">
                        <c:v>438.61838154633278</c:v>
                      </c:pt>
                      <c:pt idx="254">
                        <c:v>415.57838154633259</c:v>
                      </c:pt>
                      <c:pt idx="255">
                        <c:v>442.29838154633239</c:v>
                      </c:pt>
                      <c:pt idx="256">
                        <c:v>442.29838154633239</c:v>
                      </c:pt>
                      <c:pt idx="257">
                        <c:v>442.29838154633239</c:v>
                      </c:pt>
                      <c:pt idx="258">
                        <c:v>442.29838154633239</c:v>
                      </c:pt>
                      <c:pt idx="259">
                        <c:v>356.69838154633248</c:v>
                      </c:pt>
                      <c:pt idx="260">
                        <c:v>338.87838154633255</c:v>
                      </c:pt>
                      <c:pt idx="261">
                        <c:v>319.19838154633248</c:v>
                      </c:pt>
                      <c:pt idx="262">
                        <c:v>361.89838154633276</c:v>
                      </c:pt>
                      <c:pt idx="263">
                        <c:v>361.89838154633276</c:v>
                      </c:pt>
                      <c:pt idx="264">
                        <c:v>365.63838154633277</c:v>
                      </c:pt>
                      <c:pt idx="265">
                        <c:v>311.15838154633275</c:v>
                      </c:pt>
                      <c:pt idx="266">
                        <c:v>311.15838154633275</c:v>
                      </c:pt>
                      <c:pt idx="267">
                        <c:v>310.73838154633268</c:v>
                      </c:pt>
                      <c:pt idx="268">
                        <c:v>300.97838154633268</c:v>
                      </c:pt>
                      <c:pt idx="269">
                        <c:v>365.41838154633274</c:v>
                      </c:pt>
                      <c:pt idx="270">
                        <c:v>393.49838154633267</c:v>
                      </c:pt>
                      <c:pt idx="271">
                        <c:v>450.82838154633259</c:v>
                      </c:pt>
                      <c:pt idx="272">
                        <c:v>447.22838154633268</c:v>
                      </c:pt>
                      <c:pt idx="273">
                        <c:v>447.22838154633268</c:v>
                      </c:pt>
                      <c:pt idx="274">
                        <c:v>421.97838154633268</c:v>
                      </c:pt>
                      <c:pt idx="275">
                        <c:v>506.12838154633255</c:v>
                      </c:pt>
                      <c:pt idx="276">
                        <c:v>485.24838154633267</c:v>
                      </c:pt>
                      <c:pt idx="277">
                        <c:v>485.24838154633267</c:v>
                      </c:pt>
                      <c:pt idx="278">
                        <c:v>560.64838154633253</c:v>
                      </c:pt>
                      <c:pt idx="279">
                        <c:v>580.64838154633253</c:v>
                      </c:pt>
                      <c:pt idx="280">
                        <c:v>580.64838154633253</c:v>
                      </c:pt>
                      <c:pt idx="281">
                        <c:v>580.64838154633253</c:v>
                      </c:pt>
                      <c:pt idx="282">
                        <c:v>582.84838154633258</c:v>
                      </c:pt>
                      <c:pt idx="283">
                        <c:v>512.14838154633276</c:v>
                      </c:pt>
                      <c:pt idx="284">
                        <c:v>512.14838154633276</c:v>
                      </c:pt>
                      <c:pt idx="285">
                        <c:v>416.74838154633267</c:v>
                      </c:pt>
                      <c:pt idx="286">
                        <c:v>416.74838154633267</c:v>
                      </c:pt>
                      <c:pt idx="287">
                        <c:v>335.61838154633256</c:v>
                      </c:pt>
                      <c:pt idx="288">
                        <c:v>335.61838154633256</c:v>
                      </c:pt>
                      <c:pt idx="289">
                        <c:v>369.51838154633242</c:v>
                      </c:pt>
                      <c:pt idx="290">
                        <c:v>369.51838154633242</c:v>
                      </c:pt>
                      <c:pt idx="291">
                        <c:v>444.51838154633242</c:v>
                      </c:pt>
                      <c:pt idx="292">
                        <c:v>418.76838154633242</c:v>
                      </c:pt>
                      <c:pt idx="293">
                        <c:v>418.76838154633242</c:v>
                      </c:pt>
                      <c:pt idx="294">
                        <c:v>289.80838154633238</c:v>
                      </c:pt>
                      <c:pt idx="295">
                        <c:v>289.80838154633238</c:v>
                      </c:pt>
                      <c:pt idx="296">
                        <c:v>261.31838154633238</c:v>
                      </c:pt>
                      <c:pt idx="297">
                        <c:v>261.31838154633238</c:v>
                      </c:pt>
                      <c:pt idx="298">
                        <c:v>210.11838154633233</c:v>
                      </c:pt>
                      <c:pt idx="299">
                        <c:v>210.11838154633233</c:v>
                      </c:pt>
                      <c:pt idx="300">
                        <c:v>210.11838154633233</c:v>
                      </c:pt>
                      <c:pt idx="301">
                        <c:v>210.11838154633233</c:v>
                      </c:pt>
                      <c:pt idx="302">
                        <c:v>202.73838154633222</c:v>
                      </c:pt>
                      <c:pt idx="303">
                        <c:v>202.73838154633222</c:v>
                      </c:pt>
                      <c:pt idx="304">
                        <c:v>202.73838154633222</c:v>
                      </c:pt>
                      <c:pt idx="305">
                        <c:v>202.73838154633222</c:v>
                      </c:pt>
                      <c:pt idx="306">
                        <c:v>202.73838154633222</c:v>
                      </c:pt>
                      <c:pt idx="307">
                        <c:v>202.73838154633222</c:v>
                      </c:pt>
                      <c:pt idx="308">
                        <c:v>225.07719317717942</c:v>
                      </c:pt>
                      <c:pt idx="309">
                        <c:v>225.07719317717942</c:v>
                      </c:pt>
                      <c:pt idx="310">
                        <c:v>341.47719317717952</c:v>
                      </c:pt>
                      <c:pt idx="311">
                        <c:v>395.65719317717958</c:v>
                      </c:pt>
                      <c:pt idx="312">
                        <c:v>379.00719317717949</c:v>
                      </c:pt>
                      <c:pt idx="313">
                        <c:v>379.00719317717949</c:v>
                      </c:pt>
                      <c:pt idx="314">
                        <c:v>325.10719317717951</c:v>
                      </c:pt>
                      <c:pt idx="315">
                        <c:v>268.85719317717951</c:v>
                      </c:pt>
                      <c:pt idx="316">
                        <c:v>268.85719317717951</c:v>
                      </c:pt>
                      <c:pt idx="317">
                        <c:v>268.85719317717951</c:v>
                      </c:pt>
                      <c:pt idx="318">
                        <c:v>268.85719317717951</c:v>
                      </c:pt>
                      <c:pt idx="319">
                        <c:v>268.85719317717951</c:v>
                      </c:pt>
                      <c:pt idx="320">
                        <c:v>397.51719317717937</c:v>
                      </c:pt>
                      <c:pt idx="321">
                        <c:v>397.51719317717937</c:v>
                      </c:pt>
                      <c:pt idx="322">
                        <c:v>397.51719317717937</c:v>
                      </c:pt>
                      <c:pt idx="323">
                        <c:v>397.51719317717937</c:v>
                      </c:pt>
                      <c:pt idx="324">
                        <c:v>248.95719317717942</c:v>
                      </c:pt>
                      <c:pt idx="325">
                        <c:v>248.95719317717942</c:v>
                      </c:pt>
                      <c:pt idx="326">
                        <c:v>113.20719317717942</c:v>
                      </c:pt>
                      <c:pt idx="327">
                        <c:v>113.20719317717942</c:v>
                      </c:pt>
                      <c:pt idx="328">
                        <c:v>113.20719317717942</c:v>
                      </c:pt>
                      <c:pt idx="329">
                        <c:v>113.20719317717942</c:v>
                      </c:pt>
                      <c:pt idx="330">
                        <c:v>274.15719317717947</c:v>
                      </c:pt>
                      <c:pt idx="331">
                        <c:v>274.15719317717947</c:v>
                      </c:pt>
                      <c:pt idx="332">
                        <c:v>274.15719317717947</c:v>
                      </c:pt>
                      <c:pt idx="333">
                        <c:v>274.15719317717947</c:v>
                      </c:pt>
                      <c:pt idx="334">
                        <c:v>274.15719317717947</c:v>
                      </c:pt>
                      <c:pt idx="335">
                        <c:v>274.15719317717947</c:v>
                      </c:pt>
                      <c:pt idx="336">
                        <c:v>274.15719317717947</c:v>
                      </c:pt>
                      <c:pt idx="337">
                        <c:v>315.55719317717956</c:v>
                      </c:pt>
                      <c:pt idx="338">
                        <c:v>315.55719317717956</c:v>
                      </c:pt>
                      <c:pt idx="339">
                        <c:v>315.55719317717956</c:v>
                      </c:pt>
                      <c:pt idx="340">
                        <c:v>315.55719317717956</c:v>
                      </c:pt>
                      <c:pt idx="341">
                        <c:v>315.55719317717956</c:v>
                      </c:pt>
                      <c:pt idx="342">
                        <c:v>298.75719317717983</c:v>
                      </c:pt>
                      <c:pt idx="343">
                        <c:v>298.75719317717983</c:v>
                      </c:pt>
                      <c:pt idx="344">
                        <c:v>298.75719317717983</c:v>
                      </c:pt>
                      <c:pt idx="345">
                        <c:v>298.75719317717983</c:v>
                      </c:pt>
                      <c:pt idx="346">
                        <c:v>305.25719317717983</c:v>
                      </c:pt>
                    </c:numCache>
                  </c:numRef>
                </c:val>
                <c:smooth val="0"/>
                <c:extLst xmlns:c15="http://schemas.microsoft.com/office/drawing/2012/chart">
                  <c:ext xmlns:c16="http://schemas.microsoft.com/office/drawing/2014/chart" uri="{C3380CC4-5D6E-409C-BE32-E72D297353CC}">
                    <c16:uniqueId val="{00000006-893C-40BA-BB39-4B339B67538A}"/>
                  </c:ext>
                </c:extLst>
              </c15:ser>
            </c15:filteredLineSeries>
          </c:ext>
        </c:extLst>
      </c:lineChart>
      <c:catAx>
        <c:axId val="147683023"/>
        <c:scaling>
          <c:orientation val="minMax"/>
        </c:scaling>
        <c:delete val="0"/>
        <c:axPos val="b"/>
        <c:majorGridlines>
          <c:spPr>
            <a:ln w="9525" cap="flat" cmpd="sng" algn="ctr">
              <a:solidFill>
                <a:schemeClr val="tx1">
                  <a:lumMod val="75000"/>
                  <a:lumOff val="25000"/>
                </a:schemeClr>
              </a:solidFill>
              <a:prstDash val="dash"/>
              <a:round/>
            </a:ln>
            <a:effectLst/>
          </c:spPr>
        </c:majorGridlines>
        <c:majorTickMark val="none"/>
        <c:minorTickMark val="none"/>
        <c:tickLblPos val="low"/>
        <c:spPr>
          <a:noFill/>
          <a:ln w="12700" cap="flat" cmpd="sng" algn="ctr">
            <a:solidFill>
              <a:sysClr val="windowText" lastClr="000000"/>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6645279"/>
        <c:crosses val="autoZero"/>
        <c:auto val="1"/>
        <c:lblAlgn val="ctr"/>
        <c:lblOffset val="100"/>
        <c:tickLblSkip val="25"/>
        <c:tickMarkSkip val="25"/>
        <c:noMultiLvlLbl val="0"/>
      </c:catAx>
      <c:valAx>
        <c:axId val="146645279"/>
        <c:scaling>
          <c:orientation val="minMax"/>
          <c:max val="10"/>
          <c:min val="-5"/>
        </c:scaling>
        <c:delete val="0"/>
        <c:axPos val="r"/>
        <c:majorGridlines>
          <c:spPr>
            <a:ln w="9525" cap="flat" cmpd="sng" algn="ctr">
              <a:solidFill>
                <a:schemeClr val="tx1">
                  <a:lumMod val="75000"/>
                  <a:lumOff val="25000"/>
                </a:schemeClr>
              </a:solidFill>
              <a:prstDash val="dash"/>
              <a:round/>
            </a:ln>
            <a:effectLst/>
          </c:spPr>
        </c:majorGridlines>
        <c:numFmt formatCode="0" sourceLinked="0"/>
        <c:majorTickMark val="none"/>
        <c:minorTickMark val="none"/>
        <c:tickLblPos val="high"/>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7683023"/>
        <c:crosses val="max"/>
        <c:crossBetween val="between"/>
      </c:valAx>
      <c:spPr>
        <a:solidFill>
          <a:schemeClr val="tx1">
            <a:lumMod val="65000"/>
            <a:lumOff val="35000"/>
          </a:schemeClr>
        </a:solidFill>
        <a:ln>
          <a:solidFill>
            <a:sysClr val="windowText" lastClr="000000"/>
          </a:solidFill>
        </a:ln>
        <a:effectLst/>
      </c:spPr>
    </c:plotArea>
    <c:legend>
      <c:legendPos val="t"/>
      <c:layout>
        <c:manualLayout>
          <c:xMode val="edge"/>
          <c:yMode val="edge"/>
          <c:x val="0.39634286005511454"/>
          <c:y val="1.2316999395039325E-2"/>
          <c:w val="0.57612618810998151"/>
          <c:h val="4.9614968727820091E-2"/>
        </c:manualLayout>
      </c:layout>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legend>
    <c:plotVisOnly val="0"/>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ysClr val="windowText" lastClr="000000"/>
                </a:solidFill>
                <a:latin typeface="+mn-lt"/>
                <a:ea typeface="+mn-ea"/>
                <a:cs typeface="+mn-cs"/>
              </a:defRPr>
            </a:pPr>
            <a:r>
              <a:rPr lang="en-US" sz="2000" b="1">
                <a:solidFill>
                  <a:sysClr val="windowText" lastClr="000000"/>
                </a:solidFill>
              </a:rPr>
              <a:t>Earnings Strategy By Sector (R)</a:t>
            </a:r>
          </a:p>
        </c:rich>
      </c:tx>
      <c:layout>
        <c:manualLayout>
          <c:xMode val="edge"/>
          <c:yMode val="edge"/>
          <c:x val="1.8335644937586697E-2"/>
          <c:y val="8.1674323634507405E-3"/>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1.0171058714748035E-2"/>
          <c:y val="7.7350558040499021E-2"/>
          <c:w val="0.95283482768537431"/>
          <c:h val="0.86018548951798435"/>
        </c:manualLayout>
      </c:layout>
      <c:lineChart>
        <c:grouping val="standard"/>
        <c:varyColors val="0"/>
        <c:ser>
          <c:idx val="3"/>
          <c:order val="0"/>
          <c:tx>
            <c:v>TOTAL</c:v>
          </c:tx>
          <c:spPr>
            <a:ln w="28575" cap="rnd">
              <a:solidFill>
                <a:sysClr val="windowText" lastClr="000000"/>
              </a:solidFill>
              <a:round/>
            </a:ln>
            <a:effectLst/>
          </c:spPr>
          <c:marker>
            <c:symbol val="none"/>
          </c:marker>
          <c:val>
            <c:numRef>
              <c:f>'2025-Q2'!$Q$4:$Q$422</c:f>
              <c:numCache>
                <c:formatCode>0</c:formatCode>
                <c:ptCount val="419"/>
                <c:pt idx="0">
                  <c:v>-0.47844667409884589</c:v>
                </c:pt>
                <c:pt idx="1">
                  <c:v>0.20039738260780871</c:v>
                </c:pt>
                <c:pt idx="2">
                  <c:v>0.14168868051043698</c:v>
                </c:pt>
                <c:pt idx="3">
                  <c:v>-0.27293129519335796</c:v>
                </c:pt>
                <c:pt idx="4">
                  <c:v>-0.47884355832632985</c:v>
                </c:pt>
                <c:pt idx="5">
                  <c:v>-1.1314998695128593</c:v>
                </c:pt>
                <c:pt idx="6">
                  <c:v>-1.7085312074749515</c:v>
                </c:pt>
                <c:pt idx="7">
                  <c:v>-1.8360766180392338</c:v>
                </c:pt>
                <c:pt idx="8">
                  <c:v>-1.3115775214181404</c:v>
                </c:pt>
                <c:pt idx="9">
                  <c:v>-1.2113348285828556</c:v>
                </c:pt>
                <c:pt idx="10">
                  <c:v>-0.95561406511137981</c:v>
                </c:pt>
                <c:pt idx="11">
                  <c:v>-0.44202439144535155</c:v>
                </c:pt>
                <c:pt idx="12">
                  <c:v>-0.14049636328842707</c:v>
                </c:pt>
                <c:pt idx="13">
                  <c:v>4.1870607419762229E-3</c:v>
                </c:pt>
                <c:pt idx="14">
                  <c:v>0.88125019448485542</c:v>
                </c:pt>
                <c:pt idx="15">
                  <c:v>1.5367228313007768</c:v>
                </c:pt>
                <c:pt idx="16">
                  <c:v>1.8989945133694157</c:v>
                </c:pt>
                <c:pt idx="17">
                  <c:v>2.0758863936006722</c:v>
                </c:pt>
                <c:pt idx="18">
                  <c:v>2.0204847315508085</c:v>
                </c:pt>
                <c:pt idx="19">
                  <c:v>2.479339640968226</c:v>
                </c:pt>
                <c:pt idx="20">
                  <c:v>2.8885628512008088</c:v>
                </c:pt>
                <c:pt idx="21">
                  <c:v>3.1825278168545936</c:v>
                </c:pt>
                <c:pt idx="22">
                  <c:v>3.2190908881525866</c:v>
                </c:pt>
                <c:pt idx="23">
                  <c:v>3.1077736339781881</c:v>
                </c:pt>
                <c:pt idx="24">
                  <c:v>2.2433590498599756</c:v>
                </c:pt>
                <c:pt idx="25">
                  <c:v>-0.69347717786234497</c:v>
                </c:pt>
                <c:pt idx="26">
                  <c:v>-0.28144014082530722</c:v>
                </c:pt>
                <c:pt idx="27">
                  <c:v>-0.8466247678034533</c:v>
                </c:pt>
                <c:pt idx="28">
                  <c:v>-1.8203684645518421</c:v>
                </c:pt>
                <c:pt idx="29">
                  <c:v>-1.3877396666654465</c:v>
                </c:pt>
                <c:pt idx="30">
                  <c:v>-1.9379069855923361</c:v>
                </c:pt>
                <c:pt idx="31">
                  <c:v>-1.4194961328791575</c:v>
                </c:pt>
                <c:pt idx="32">
                  <c:v>-1.9288541049236982</c:v>
                </c:pt>
                <c:pt idx="33">
                  <c:v>-1.9268771952289319</c:v>
                </c:pt>
                <c:pt idx="34">
                  <c:v>-2.8311079866290094</c:v>
                </c:pt>
                <c:pt idx="35">
                  <c:v>-3.6523931271912593</c:v>
                </c:pt>
                <c:pt idx="36">
                  <c:v>-3.9899002122636547</c:v>
                </c:pt>
                <c:pt idx="37">
                  <c:v>-3.7879113993363691</c:v>
                </c:pt>
                <c:pt idx="38">
                  <c:v>-3.5931589251063865</c:v>
                </c:pt>
                <c:pt idx="39">
                  <c:v>-3.5263239332751088</c:v>
                </c:pt>
                <c:pt idx="40">
                  <c:v>-5.537177510620392</c:v>
                </c:pt>
                <c:pt idx="41">
                  <c:v>-6.1698907998352057</c:v>
                </c:pt>
                <c:pt idx="42">
                  <c:v>-4.7974759579860526</c:v>
                </c:pt>
                <c:pt idx="43">
                  <c:v>-4.0358648935995474</c:v>
                </c:pt>
                <c:pt idx="44">
                  <c:v>-4.4008000593732879</c:v>
                </c:pt>
                <c:pt idx="45">
                  <c:v>-4.4109819516052307</c:v>
                </c:pt>
                <c:pt idx="46">
                  <c:v>-5.6071865363803166</c:v>
                </c:pt>
                <c:pt idx="47">
                  <c:v>-7.0682998432392061</c:v>
                </c:pt>
                <c:pt idx="48">
                  <c:v>-7.5856091190062189</c:v>
                </c:pt>
                <c:pt idx="49">
                  <c:v>-9.1172192257828364</c:v>
                </c:pt>
                <c:pt idx="50">
                  <c:v>-9.9489462194288656</c:v>
                </c:pt>
                <c:pt idx="51">
                  <c:v>-8.9979059571823203</c:v>
                </c:pt>
                <c:pt idx="52">
                  <c:v>-10.300253137189074</c:v>
                </c:pt>
                <c:pt idx="53">
                  <c:v>-9.8075933422036989</c:v>
                </c:pt>
                <c:pt idx="54">
                  <c:v>-9.0674560373339723</c:v>
                </c:pt>
                <c:pt idx="55">
                  <c:v>-8.4523575142856586</c:v>
                </c:pt>
                <c:pt idx="56">
                  <c:v>-9.1301468782064106</c:v>
                </c:pt>
                <c:pt idx="57">
                  <c:v>-7.2367037438873627</c:v>
                </c:pt>
                <c:pt idx="58">
                  <c:v>-6.570820469308436</c:v>
                </c:pt>
                <c:pt idx="59">
                  <c:v>-5.3878982522222465</c:v>
                </c:pt>
                <c:pt idx="60">
                  <c:v>-4.8869031249145785</c:v>
                </c:pt>
                <c:pt idx="61">
                  <c:v>-3.4572510052265755</c:v>
                </c:pt>
                <c:pt idx="62">
                  <c:v>-0.85395569470692978</c:v>
                </c:pt>
                <c:pt idx="63">
                  <c:v>8.6471431557587852E-2</c:v>
                </c:pt>
                <c:pt idx="64">
                  <c:v>-0.17626348436724137</c:v>
                </c:pt>
                <c:pt idx="65">
                  <c:v>1.0010275157147994</c:v>
                </c:pt>
                <c:pt idx="66">
                  <c:v>0.62223963692692064</c:v>
                </c:pt>
                <c:pt idx="67">
                  <c:v>-0.21429491708744819</c:v>
                </c:pt>
                <c:pt idx="68">
                  <c:v>-8.5598469109410213E-2</c:v>
                </c:pt>
                <c:pt idx="69">
                  <c:v>0.40492617899247219</c:v>
                </c:pt>
                <c:pt idx="70">
                  <c:v>1.0669262875170809</c:v>
                </c:pt>
                <c:pt idx="71">
                  <c:v>0.50741682324032988</c:v>
                </c:pt>
                <c:pt idx="72">
                  <c:v>1.6582474396042501</c:v>
                </c:pt>
                <c:pt idx="73">
                  <c:v>1.4659864012733408</c:v>
                </c:pt>
                <c:pt idx="74">
                  <c:v>2.3339506306263136</c:v>
                </c:pt>
                <c:pt idx="75">
                  <c:v>1.8269605683052752</c:v>
                </c:pt>
                <c:pt idx="76">
                  <c:v>3.1940325367574602</c:v>
                </c:pt>
                <c:pt idx="77">
                  <c:v>2.9095547633323458</c:v>
                </c:pt>
                <c:pt idx="78">
                  <c:v>1.9383283226175572</c:v>
                </c:pt>
                <c:pt idx="79">
                  <c:v>1.8946983051655502</c:v>
                </c:pt>
                <c:pt idx="80">
                  <c:v>2.0450948050288287</c:v>
                </c:pt>
                <c:pt idx="81">
                  <c:v>1.1604321122480523</c:v>
                </c:pt>
                <c:pt idx="82">
                  <c:v>0.42612969954012547</c:v>
                </c:pt>
                <c:pt idx="83">
                  <c:v>-0.1420521186416932</c:v>
                </c:pt>
                <c:pt idx="84">
                  <c:v>-1.9891271992497082</c:v>
                </c:pt>
                <c:pt idx="85">
                  <c:v>-2.1691025710409368</c:v>
                </c:pt>
                <c:pt idx="86">
                  <c:v>-2.6950584430415798</c:v>
                </c:pt>
                <c:pt idx="87">
                  <c:v>-2.6849925111879389</c:v>
                </c:pt>
                <c:pt idx="88">
                  <c:v>-1.8106333034953979</c:v>
                </c:pt>
                <c:pt idx="89">
                  <c:v>-2.1280936209557169</c:v>
                </c:pt>
                <c:pt idx="90">
                  <c:v>-0.92414816113558329</c:v>
                </c:pt>
                <c:pt idx="91">
                  <c:v>-1.1424887724892951</c:v>
                </c:pt>
                <c:pt idx="92">
                  <c:v>-0.86662670352377824</c:v>
                </c:pt>
                <c:pt idx="93">
                  <c:v>-1.7244456741410146</c:v>
                </c:pt>
                <c:pt idx="94">
                  <c:v>-2.3626582780885155</c:v>
                </c:pt>
                <c:pt idx="95">
                  <c:v>-2.2652914166881257</c:v>
                </c:pt>
                <c:pt idx="96">
                  <c:v>-2.1703947486155823</c:v>
                </c:pt>
                <c:pt idx="97">
                  <c:v>-1.9677709420354601</c:v>
                </c:pt>
                <c:pt idx="98">
                  <c:v>-2.3429272571667665</c:v>
                </c:pt>
                <c:pt idx="99">
                  <c:v>-2.9877567531711975</c:v>
                </c:pt>
                <c:pt idx="100">
                  <c:v>-4.2403663565114904</c:v>
                </c:pt>
                <c:pt idx="101">
                  <c:v>-4.6997771739785739</c:v>
                </c:pt>
                <c:pt idx="102">
                  <c:v>-4.7190396522119737</c:v>
                </c:pt>
                <c:pt idx="103">
                  <c:v>-5.9287683373392399</c:v>
                </c:pt>
                <c:pt idx="104">
                  <c:v>-5.9539276798417546</c:v>
                </c:pt>
                <c:pt idx="105">
                  <c:v>-5.1940085179181388</c:v>
                </c:pt>
                <c:pt idx="106">
                  <c:v>-4.9981011135874072</c:v>
                </c:pt>
                <c:pt idx="107">
                  <c:v>-6.3630770713972407</c:v>
                </c:pt>
                <c:pt idx="108">
                  <c:v>-5.7819577716305144</c:v>
                </c:pt>
                <c:pt idx="109">
                  <c:v>-6.3267842750062391</c:v>
                </c:pt>
                <c:pt idx="110">
                  <c:v>-6.0214116249442107</c:v>
                </c:pt>
                <c:pt idx="111">
                  <c:v>-5.7969393735352881</c:v>
                </c:pt>
                <c:pt idx="112">
                  <c:v>-5.3653956772951865</c:v>
                </c:pt>
                <c:pt idx="113">
                  <c:v>-4.7416777641167203</c:v>
                </c:pt>
                <c:pt idx="114">
                  <c:v>-4.2400596411393741</c:v>
                </c:pt>
                <c:pt idx="115">
                  <c:v>-3.0387554532249812</c:v>
                </c:pt>
                <c:pt idx="116">
                  <c:v>-2.5605557345189331</c:v>
                </c:pt>
                <c:pt idx="117">
                  <c:v>-2.1722525543375828</c:v>
                </c:pt>
                <c:pt idx="118">
                  <c:v>-1.1492158280551046</c:v>
                </c:pt>
                <c:pt idx="119">
                  <c:v>-1.5839313833536213</c:v>
                </c:pt>
                <c:pt idx="120">
                  <c:v>-1.3751869951462514</c:v>
                </c:pt>
                <c:pt idx="121">
                  <c:v>-1.7447813144524631</c:v>
                </c:pt>
                <c:pt idx="122">
                  <c:v>-2.7893495595778077</c:v>
                </c:pt>
                <c:pt idx="123">
                  <c:v>-3.1062469828999504</c:v>
                </c:pt>
                <c:pt idx="124">
                  <c:v>-1.8556524727762904</c:v>
                </c:pt>
                <c:pt idx="125">
                  <c:v>-1.6281729459337075</c:v>
                </c:pt>
                <c:pt idx="126">
                  <c:v>-1.2121034160922763</c:v>
                </c:pt>
                <c:pt idx="127">
                  <c:v>-1.8693380137242281</c:v>
                </c:pt>
                <c:pt idx="128">
                  <c:v>-1.6437062447711597</c:v>
                </c:pt>
                <c:pt idx="129">
                  <c:v>-2.0399190676588801</c:v>
                </c:pt>
                <c:pt idx="130">
                  <c:v>-2.6017657575543494</c:v>
                </c:pt>
                <c:pt idx="131">
                  <c:v>-2.8475744926302475</c:v>
                </c:pt>
                <c:pt idx="132">
                  <c:v>-3.3168096041176898</c:v>
                </c:pt>
                <c:pt idx="133">
                  <c:v>-2.3425954943103564</c:v>
                </c:pt>
                <c:pt idx="134">
                  <c:v>-1.8550446091451565</c:v>
                </c:pt>
                <c:pt idx="135">
                  <c:v>-1.5149085547233869</c:v>
                </c:pt>
                <c:pt idx="136">
                  <c:v>-1.3277969400703142</c:v>
                </c:pt>
                <c:pt idx="137">
                  <c:v>-1.668634426465456</c:v>
                </c:pt>
                <c:pt idx="138">
                  <c:v>-1.5095599506881596</c:v>
                </c:pt>
                <c:pt idx="139">
                  <c:v>-1.4230248174240525</c:v>
                </c:pt>
                <c:pt idx="140">
                  <c:v>-1.5623199838817778</c:v>
                </c:pt>
                <c:pt idx="141">
                  <c:v>-2.0134488519457587</c:v>
                </c:pt>
                <c:pt idx="142">
                  <c:v>-3.2879707351168679</c:v>
                </c:pt>
                <c:pt idx="143">
                  <c:v>-3.6575995661656893</c:v>
                </c:pt>
                <c:pt idx="144">
                  <c:v>-3.7067723071121197</c:v>
                </c:pt>
                <c:pt idx="145">
                  <c:v>-2.3668580878147356</c:v>
                </c:pt>
                <c:pt idx="146">
                  <c:v>-2.8096922263010486</c:v>
                </c:pt>
                <c:pt idx="147">
                  <c:v>-3.3736644512919129</c:v>
                </c:pt>
                <c:pt idx="148">
                  <c:v>-2.1994220270494886</c:v>
                </c:pt>
                <c:pt idx="149">
                  <c:v>-1.1895642741033996</c:v>
                </c:pt>
                <c:pt idx="150">
                  <c:v>-1.4294754711528501</c:v>
                </c:pt>
                <c:pt idx="151">
                  <c:v>-0.29896076527049464</c:v>
                </c:pt>
                <c:pt idx="152">
                  <c:v>2.1212812589319263</c:v>
                </c:pt>
                <c:pt idx="153">
                  <c:v>0.45559671758445219</c:v>
                </c:pt>
                <c:pt idx="154">
                  <c:v>0.11008254564723019</c:v>
                </c:pt>
                <c:pt idx="155">
                  <c:v>-0.60788837472654722</c:v>
                </c:pt>
                <c:pt idx="156">
                  <c:v>1.3940789817292982</c:v>
                </c:pt>
                <c:pt idx="157">
                  <c:v>1.9519590375173019</c:v>
                </c:pt>
                <c:pt idx="158">
                  <c:v>2.3866380895596979</c:v>
                </c:pt>
                <c:pt idx="159">
                  <c:v>0.1325802906681699</c:v>
                </c:pt>
                <c:pt idx="160">
                  <c:v>0.7469494198887815</c:v>
                </c:pt>
                <c:pt idx="161">
                  <c:v>1.8264030841566621</c:v>
                </c:pt>
                <c:pt idx="162">
                  <c:v>2.1533484088385184</c:v>
                </c:pt>
                <c:pt idx="163">
                  <c:v>1.1850241022571937</c:v>
                </c:pt>
                <c:pt idx="164">
                  <c:v>1.6084680406653482</c:v>
                </c:pt>
                <c:pt idx="165">
                  <c:v>2.5784582323056084</c:v>
                </c:pt>
                <c:pt idx="166">
                  <c:v>2.4495371706027469</c:v>
                </c:pt>
                <c:pt idx="167">
                  <c:v>2.1660962085939803</c:v>
                </c:pt>
                <c:pt idx="168">
                  <c:v>3.4153088896773314</c:v>
                </c:pt>
                <c:pt idx="169">
                  <c:v>3.3927390925798093</c:v>
                </c:pt>
                <c:pt idx="170">
                  <c:v>3.8622433902367037</c:v>
                </c:pt>
                <c:pt idx="171">
                  <c:v>2.382576560251402</c:v>
                </c:pt>
                <c:pt idx="172">
                  <c:v>2.3771352717542849</c:v>
                </c:pt>
                <c:pt idx="173">
                  <c:v>2.8968010553287709</c:v>
                </c:pt>
                <c:pt idx="174">
                  <c:v>4.5653856353057538</c:v>
                </c:pt>
                <c:pt idx="175">
                  <c:v>6.0770488443327224</c:v>
                </c:pt>
                <c:pt idx="176">
                  <c:v>6.1338430545686604</c:v>
                </c:pt>
                <c:pt idx="177">
                  <c:v>7.4415236860197851</c:v>
                </c:pt>
                <c:pt idx="178">
                  <c:v>7.7422783748040613</c:v>
                </c:pt>
                <c:pt idx="179">
                  <c:v>8.2750391890534303</c:v>
                </c:pt>
                <c:pt idx="180">
                  <c:v>7.7873689645410975</c:v>
                </c:pt>
                <c:pt idx="181">
                  <c:v>7.4765334049530798</c:v>
                </c:pt>
                <c:pt idx="182">
                  <c:v>8.1878740782347599</c:v>
                </c:pt>
                <c:pt idx="183">
                  <c:v>8.7508862741436477</c:v>
                </c:pt>
                <c:pt idx="184">
                  <c:v>7.144808182202893</c:v>
                </c:pt>
                <c:pt idx="185">
                  <c:v>6.3077664360702421</c:v>
                </c:pt>
                <c:pt idx="186">
                  <c:v>6.2124864595237748</c:v>
                </c:pt>
                <c:pt idx="187">
                  <c:v>6.6746343468477187</c:v>
                </c:pt>
                <c:pt idx="188">
                  <c:v>7.7602241802484118</c:v>
                </c:pt>
                <c:pt idx="189">
                  <c:v>7.5424098420944183</c:v>
                </c:pt>
                <c:pt idx="190">
                  <c:v>8.2262488429767924</c:v>
                </c:pt>
                <c:pt idx="191">
                  <c:v>7.4235161358888355</c:v>
                </c:pt>
                <c:pt idx="192">
                  <c:v>7.1035552237749116</c:v>
                </c:pt>
                <c:pt idx="193">
                  <c:v>9.0775157445644972</c:v>
                </c:pt>
                <c:pt idx="194">
                  <c:v>8.1166221038984823</c:v>
                </c:pt>
                <c:pt idx="195">
                  <c:v>8.2428221516250453</c:v>
                </c:pt>
                <c:pt idx="196">
                  <c:v>8.3018181253018941</c:v>
                </c:pt>
                <c:pt idx="197">
                  <c:v>8.5318673082306571</c:v>
                </c:pt>
                <c:pt idx="198">
                  <c:v>8.6295988355954858</c:v>
                </c:pt>
                <c:pt idx="199">
                  <c:v>9.3962568950345382</c:v>
                </c:pt>
                <c:pt idx="200">
                  <c:v>9.0576052447920858</c:v>
                </c:pt>
                <c:pt idx="201">
                  <c:v>10.112275929251835</c:v>
                </c:pt>
                <c:pt idx="202">
                  <c:v>10.37037705420914</c:v>
                </c:pt>
                <c:pt idx="203">
                  <c:v>10.219387363973926</c:v>
                </c:pt>
                <c:pt idx="204">
                  <c:v>10.567751954120791</c:v>
                </c:pt>
                <c:pt idx="205">
                  <c:v>9.5015483436248509</c:v>
                </c:pt>
                <c:pt idx="206">
                  <c:v>10.8702451347185</c:v>
                </c:pt>
                <c:pt idx="207">
                  <c:v>10.682094263973774</c:v>
                </c:pt>
                <c:pt idx="208">
                  <c:v>10.518946093985173</c:v>
                </c:pt>
                <c:pt idx="209">
                  <c:v>10.744096194051885</c:v>
                </c:pt>
                <c:pt idx="210">
                  <c:v>9.7253150234268944</c:v>
                </c:pt>
                <c:pt idx="211">
                  <c:v>9.1446679641707398</c:v>
                </c:pt>
                <c:pt idx="212">
                  <c:v>8.9730103268942418</c:v>
                </c:pt>
                <c:pt idx="213">
                  <c:v>9.0607348718231631</c:v>
                </c:pt>
                <c:pt idx="214">
                  <c:v>9.6040226390856951</c:v>
                </c:pt>
                <c:pt idx="215">
                  <c:v>8.2235727936534389</c:v>
                </c:pt>
                <c:pt idx="216">
                  <c:v>9.6701325298249294</c:v>
                </c:pt>
                <c:pt idx="217">
                  <c:v>10.61784023175402</c:v>
                </c:pt>
                <c:pt idx="218">
                  <c:v>10.093832104281024</c:v>
                </c:pt>
                <c:pt idx="219">
                  <c:v>11.660905344455497</c:v>
                </c:pt>
                <c:pt idx="220">
                  <c:v>12.159665410213808</c:v>
                </c:pt>
                <c:pt idx="221">
                  <c:v>12.703788590440142</c:v>
                </c:pt>
                <c:pt idx="222">
                  <c:v>12.889082134422978</c:v>
                </c:pt>
                <c:pt idx="223">
                  <c:v>12.53017124333387</c:v>
                </c:pt>
                <c:pt idx="224">
                  <c:v>12.891689119769552</c:v>
                </c:pt>
                <c:pt idx="225">
                  <c:v>12.48431686854348</c:v>
                </c:pt>
                <c:pt idx="226">
                  <c:v>10.71338804038324</c:v>
                </c:pt>
                <c:pt idx="227">
                  <c:v>11.178395085944537</c:v>
                </c:pt>
                <c:pt idx="228">
                  <c:v>11.173938638802456</c:v>
                </c:pt>
                <c:pt idx="229">
                  <c:v>11.13064324048479</c:v>
                </c:pt>
                <c:pt idx="230">
                  <c:v>11.85261751194712</c:v>
                </c:pt>
                <c:pt idx="231">
                  <c:v>11.287738457006188</c:v>
                </c:pt>
                <c:pt idx="232">
                  <c:v>11.95752185960032</c:v>
                </c:pt>
                <c:pt idx="233">
                  <c:v>12.410924730368757</c:v>
                </c:pt>
                <c:pt idx="234">
                  <c:v>12.984132365378066</c:v>
                </c:pt>
                <c:pt idx="235">
                  <c:v>12.697673539102093</c:v>
                </c:pt>
                <c:pt idx="236">
                  <c:v>14.53479756665276</c:v>
                </c:pt>
                <c:pt idx="237">
                  <c:v>14.486684895524737</c:v>
                </c:pt>
                <c:pt idx="238">
                  <c:v>12.783281554566807</c:v>
                </c:pt>
                <c:pt idx="239">
                  <c:v>12.826426572586197</c:v>
                </c:pt>
                <c:pt idx="240">
                  <c:v>12.924432844987628</c:v>
                </c:pt>
                <c:pt idx="241">
                  <c:v>16.673577851827574</c:v>
                </c:pt>
                <c:pt idx="242">
                  <c:v>16.781797269983905</c:v>
                </c:pt>
                <c:pt idx="243">
                  <c:v>17.17289476212164</c:v>
                </c:pt>
                <c:pt idx="244">
                  <c:v>16.345178212344795</c:v>
                </c:pt>
                <c:pt idx="245">
                  <c:v>16.783861940161984</c:v>
                </c:pt>
                <c:pt idx="246">
                  <c:v>16.478196092805835</c:v>
                </c:pt>
                <c:pt idx="247">
                  <c:v>16.280657074262852</c:v>
                </c:pt>
                <c:pt idx="248">
                  <c:v>15.752021879831016</c:v>
                </c:pt>
                <c:pt idx="249">
                  <c:v>15.351808432659187</c:v>
                </c:pt>
                <c:pt idx="250">
                  <c:v>15.805998704196597</c:v>
                </c:pt>
                <c:pt idx="251">
                  <c:v>14.931403101849719</c:v>
                </c:pt>
                <c:pt idx="252">
                  <c:v>14.424482975119687</c:v>
                </c:pt>
                <c:pt idx="253">
                  <c:v>15.123997808492788</c:v>
                </c:pt>
                <c:pt idx="254">
                  <c:v>15.182701228605092</c:v>
                </c:pt>
                <c:pt idx="255">
                  <c:v>15.71140031572603</c:v>
                </c:pt>
                <c:pt idx="256">
                  <c:v>15.580295759842713</c:v>
                </c:pt>
                <c:pt idx="257">
                  <c:v>14.090974168719391</c:v>
                </c:pt>
                <c:pt idx="258">
                  <c:v>13.819521063628258</c:v>
                </c:pt>
                <c:pt idx="259">
                  <c:v>12.760404095420382</c:v>
                </c:pt>
                <c:pt idx="260">
                  <c:v>13.128493155017241</c:v>
                </c:pt>
                <c:pt idx="261">
                  <c:v>12.837265084841802</c:v>
                </c:pt>
                <c:pt idx="262">
                  <c:v>13.107564931635411</c:v>
                </c:pt>
                <c:pt idx="263">
                  <c:v>12.843690229558463</c:v>
                </c:pt>
                <c:pt idx="264">
                  <c:v>12.380816555498678</c:v>
                </c:pt>
                <c:pt idx="265">
                  <c:v>12.614019205221537</c:v>
                </c:pt>
                <c:pt idx="266">
                  <c:v>13.211881191444419</c:v>
                </c:pt>
                <c:pt idx="267">
                  <c:v>13.384331244020656</c:v>
                </c:pt>
                <c:pt idx="268">
                  <c:v>13.222699578167964</c:v>
                </c:pt>
                <c:pt idx="269">
                  <c:v>14.367767887415377</c:v>
                </c:pt>
                <c:pt idx="270">
                  <c:v>14.67490377351676</c:v>
                </c:pt>
                <c:pt idx="271">
                  <c:v>14.504082566380232</c:v>
                </c:pt>
                <c:pt idx="272">
                  <c:v>14.666491900974997</c:v>
                </c:pt>
                <c:pt idx="273">
                  <c:v>13.721181936677688</c:v>
                </c:pt>
                <c:pt idx="274">
                  <c:v>13.116935268505111</c:v>
                </c:pt>
                <c:pt idx="275">
                  <c:v>13.455739982309822</c:v>
                </c:pt>
                <c:pt idx="276">
                  <c:v>13.095772430089179</c:v>
                </c:pt>
                <c:pt idx="277">
                  <c:v>13.469462089724225</c:v>
                </c:pt>
                <c:pt idx="278">
                  <c:v>13.804602265745674</c:v>
                </c:pt>
                <c:pt idx="279">
                  <c:v>13.876133023971711</c:v>
                </c:pt>
                <c:pt idx="280">
                  <c:v>14.317611809399542</c:v>
                </c:pt>
                <c:pt idx="281">
                  <c:v>13.419738062566889</c:v>
                </c:pt>
                <c:pt idx="282">
                  <c:v>13.910610190632925</c:v>
                </c:pt>
                <c:pt idx="283">
                  <c:v>12.586770528185669</c:v>
                </c:pt>
                <c:pt idx="284">
                  <c:v>12.542982898191143</c:v>
                </c:pt>
                <c:pt idx="285">
                  <c:v>11.720017631213434</c:v>
                </c:pt>
                <c:pt idx="286">
                  <c:v>12.254819674636167</c:v>
                </c:pt>
                <c:pt idx="287">
                  <c:v>12.302604298154334</c:v>
                </c:pt>
                <c:pt idx="288">
                  <c:v>14.077615824203205</c:v>
                </c:pt>
                <c:pt idx="289">
                  <c:v>13.625551682272121</c:v>
                </c:pt>
                <c:pt idx="290">
                  <c:v>13.567375050511433</c:v>
                </c:pt>
                <c:pt idx="291">
                  <c:v>14.569838245791264</c:v>
                </c:pt>
                <c:pt idx="292">
                  <c:v>13.777019022544547</c:v>
                </c:pt>
                <c:pt idx="293">
                  <c:v>12.984755245310478</c:v>
                </c:pt>
                <c:pt idx="294">
                  <c:v>11.131296057577664</c:v>
                </c:pt>
                <c:pt idx="295">
                  <c:v>10.60700385205512</c:v>
                </c:pt>
                <c:pt idx="296">
                  <c:v>9.4121994643729483</c:v>
                </c:pt>
                <c:pt idx="297">
                  <c:v>9.6844276087512942</c:v>
                </c:pt>
                <c:pt idx="298">
                  <c:v>9.1097149650731328</c:v>
                </c:pt>
                <c:pt idx="299">
                  <c:v>9.1097149650731328</c:v>
                </c:pt>
                <c:pt idx="300">
                  <c:v>9.1439326951215669</c:v>
                </c:pt>
                <c:pt idx="301">
                  <c:v>10.377967234795666</c:v>
                </c:pt>
                <c:pt idx="302">
                  <c:v>10.36924514548147</c:v>
                </c:pt>
                <c:pt idx="303">
                  <c:v>10.942762004209595</c:v>
                </c:pt>
                <c:pt idx="304">
                  <c:v>9.5184741481376278</c:v>
                </c:pt>
                <c:pt idx="305">
                  <c:v>10.562919564385206</c:v>
                </c:pt>
                <c:pt idx="306">
                  <c:v>12.789462326748176</c:v>
                </c:pt>
                <c:pt idx="307">
                  <c:v>13.516524746709344</c:v>
                </c:pt>
                <c:pt idx="308">
                  <c:v>13.937932247762864</c:v>
                </c:pt>
                <c:pt idx="309">
                  <c:v>14.940384288726372</c:v>
                </c:pt>
                <c:pt idx="310">
                  <c:v>14.852607242423982</c:v>
                </c:pt>
                <c:pt idx="311">
                  <c:v>16.169168349625483</c:v>
                </c:pt>
                <c:pt idx="312">
                  <c:v>15.85563511510262</c:v>
                </c:pt>
                <c:pt idx="313">
                  <c:v>16.845601670286566</c:v>
                </c:pt>
                <c:pt idx="314">
                  <c:v>16.070407871836952</c:v>
                </c:pt>
                <c:pt idx="315">
                  <c:v>16.8492240712139</c:v>
                </c:pt>
                <c:pt idx="316">
                  <c:v>17.386469030769618</c:v>
                </c:pt>
                <c:pt idx="317">
                  <c:v>17.755699800000389</c:v>
                </c:pt>
                <c:pt idx="318">
                  <c:v>16.138247090767099</c:v>
                </c:pt>
                <c:pt idx="319">
                  <c:v>18.474822966253477</c:v>
                </c:pt>
                <c:pt idx="320">
                  <c:v>18.950790506827758</c:v>
                </c:pt>
                <c:pt idx="321">
                  <c:v>19.276377124095074</c:v>
                </c:pt>
                <c:pt idx="322">
                  <c:v>19.609060099731675</c:v>
                </c:pt>
                <c:pt idx="323">
                  <c:v>17.942393433065007</c:v>
                </c:pt>
                <c:pt idx="324">
                  <c:v>15.700499524504433</c:v>
                </c:pt>
                <c:pt idx="325">
                  <c:v>16.48888422770078</c:v>
                </c:pt>
                <c:pt idx="326">
                  <c:v>14.895592823088617</c:v>
                </c:pt>
                <c:pt idx="327">
                  <c:v>14.679802013238401</c:v>
                </c:pt>
                <c:pt idx="328">
                  <c:v>13.903537899345421</c:v>
                </c:pt>
                <c:pt idx="329">
                  <c:v>14.472096996290976</c:v>
                </c:pt>
                <c:pt idx="330">
                  <c:v>15.311791652779524</c:v>
                </c:pt>
                <c:pt idx="331">
                  <c:v>15.651456604632841</c:v>
                </c:pt>
                <c:pt idx="332">
                  <c:v>16.589185542361783</c:v>
                </c:pt>
                <c:pt idx="333">
                  <c:v>17.073223177647584</c:v>
                </c:pt>
                <c:pt idx="334">
                  <c:v>17.287011184404342</c:v>
                </c:pt>
                <c:pt idx="335">
                  <c:v>17.952002809194965</c:v>
                </c:pt>
                <c:pt idx="336">
                  <c:v>17.516531708640727</c:v>
                </c:pt>
                <c:pt idx="337">
                  <c:v>19.558773654728828</c:v>
                </c:pt>
                <c:pt idx="338">
                  <c:v>19.862925615935108</c:v>
                </c:pt>
                <c:pt idx="339">
                  <c:v>19.260159759950369</c:v>
                </c:pt>
                <c:pt idx="340">
                  <c:v>16.414422662716266</c:v>
                </c:pt>
                <c:pt idx="341">
                  <c:v>16.313679340364864</c:v>
                </c:pt>
                <c:pt idx="342">
                  <c:v>16.743282933413099</c:v>
                </c:pt>
                <c:pt idx="343">
                  <c:v>17.05036290599995</c:v>
                </c:pt>
                <c:pt idx="344">
                  <c:v>16.137639891603037</c:v>
                </c:pt>
                <c:pt idx="345">
                  <c:v>15.304649352730145</c:v>
                </c:pt>
                <c:pt idx="346">
                  <c:v>14.925897718117827</c:v>
                </c:pt>
                <c:pt idx="347">
                  <c:v>14.968350730352013</c:v>
                </c:pt>
                <c:pt idx="348">
                  <c:v>14.86384622584751</c:v>
                </c:pt>
                <c:pt idx="349">
                  <c:v>14.39693745833843</c:v>
                </c:pt>
                <c:pt idx="350">
                  <c:v>15.521410892228905</c:v>
                </c:pt>
                <c:pt idx="351">
                  <c:v>15.192210292577352</c:v>
                </c:pt>
                <c:pt idx="352">
                  <c:v>15.135209722571652</c:v>
                </c:pt>
                <c:pt idx="353">
                  <c:v>14.519976773834976</c:v>
                </c:pt>
                <c:pt idx="354">
                  <c:v>14.885934220643485</c:v>
                </c:pt>
                <c:pt idx="355">
                  <c:v>13.752457962107675</c:v>
                </c:pt>
                <c:pt idx="356">
                  <c:v>12.895220903090198</c:v>
                </c:pt>
                <c:pt idx="357">
                  <c:v>16.616769003653289</c:v>
                </c:pt>
                <c:pt idx="358">
                  <c:v>17.966226768352694</c:v>
                </c:pt>
                <c:pt idx="359">
                  <c:v>16.034097594844209</c:v>
                </c:pt>
                <c:pt idx="360">
                  <c:v>14.167237350544335</c:v>
                </c:pt>
                <c:pt idx="361">
                  <c:v>14.167237350544335</c:v>
                </c:pt>
                <c:pt idx="362">
                  <c:v>15.974338569410259</c:v>
                </c:pt>
                <c:pt idx="363">
                  <c:v>13.803023828374403</c:v>
                </c:pt>
                <c:pt idx="364">
                  <c:v>13.519372461690544</c:v>
                </c:pt>
                <c:pt idx="365">
                  <c:v>12.882606127249788</c:v>
                </c:pt>
                <c:pt idx="366">
                  <c:v>7.1081407999652821</c:v>
                </c:pt>
                <c:pt idx="367">
                  <c:v>6.119926664580901</c:v>
                </c:pt>
                <c:pt idx="368">
                  <c:v>9.5029837548203133</c:v>
                </c:pt>
                <c:pt idx="369">
                  <c:v>9.8839423143140035</c:v>
                </c:pt>
                <c:pt idx="370">
                  <c:v>10.162882342208007</c:v>
                </c:pt>
                <c:pt idx="371">
                  <c:v>11.082695412455022</c:v>
                </c:pt>
                <c:pt idx="372">
                  <c:v>10.331569327126132</c:v>
                </c:pt>
                <c:pt idx="373">
                  <c:v>11.243967114523922</c:v>
                </c:pt>
                <c:pt idx="374">
                  <c:v>13.828676063264149</c:v>
                </c:pt>
                <c:pt idx="375">
                  <c:v>11.754533906401404</c:v>
                </c:pt>
                <c:pt idx="376">
                  <c:v>10.678485061038085</c:v>
                </c:pt>
                <c:pt idx="377">
                  <c:v>13.102184721293675</c:v>
                </c:pt>
                <c:pt idx="378">
                  <c:v>10.797490601652935</c:v>
                </c:pt>
                <c:pt idx="379">
                  <c:v>10.392475066810503</c:v>
                </c:pt>
                <c:pt idx="380">
                  <c:v>9.6584146641259423</c:v>
                </c:pt>
                <c:pt idx="381">
                  <c:v>10.846645520406589</c:v>
                </c:pt>
                <c:pt idx="382">
                  <c:v>12.397033117305812</c:v>
                </c:pt>
                <c:pt idx="383">
                  <c:v>14.869985203859134</c:v>
                </c:pt>
                <c:pt idx="384">
                  <c:v>14.701309091330167</c:v>
                </c:pt>
                <c:pt idx="385">
                  <c:v>15.492559973297709</c:v>
                </c:pt>
                <c:pt idx="386">
                  <c:v>12.920934778614816</c:v>
                </c:pt>
                <c:pt idx="387">
                  <c:v>13.698814326754405</c:v>
                </c:pt>
                <c:pt idx="388">
                  <c:v>10.669595483582073</c:v>
                </c:pt>
                <c:pt idx="389">
                  <c:v>10.563192115684167</c:v>
                </c:pt>
                <c:pt idx="390">
                  <c:v>12.395462518807363</c:v>
                </c:pt>
                <c:pt idx="391">
                  <c:v>11.998870274389031</c:v>
                </c:pt>
                <c:pt idx="392">
                  <c:v>13.678057952341756</c:v>
                </c:pt>
                <c:pt idx="393">
                  <c:v>12.912630265899059</c:v>
                </c:pt>
                <c:pt idx="394">
                  <c:v>14.249047639324912</c:v>
                </c:pt>
                <c:pt idx="395">
                  <c:v>12.231503779675789</c:v>
                </c:pt>
                <c:pt idx="396">
                  <c:v>11.07210721148963</c:v>
                </c:pt>
                <c:pt idx="397">
                  <c:v>12.466491986315333</c:v>
                </c:pt>
                <c:pt idx="398">
                  <c:v>14.696475865949937</c:v>
                </c:pt>
                <c:pt idx="399">
                  <c:v>13.697888879459725</c:v>
                </c:pt>
                <c:pt idx="400">
                  <c:v>13.494338969021685</c:v>
                </c:pt>
                <c:pt idx="401">
                  <c:v>12.097668726243443</c:v>
                </c:pt>
                <c:pt idx="402">
                  <c:v>9.2056701614784622</c:v>
                </c:pt>
                <c:pt idx="403">
                  <c:v>8.6420568809798635</c:v>
                </c:pt>
                <c:pt idx="404">
                  <c:v>10.794393606150022</c:v>
                </c:pt>
                <c:pt idx="405">
                  <c:v>10.226945996733765</c:v>
                </c:pt>
                <c:pt idx="406">
                  <c:v>7.9834223246386617</c:v>
                </c:pt>
                <c:pt idx="407">
                  <c:v>6.4765430933654571</c:v>
                </c:pt>
                <c:pt idx="408">
                  <c:v>7.759757365580751</c:v>
                </c:pt>
                <c:pt idx="409">
                  <c:v>8.6130739387774238</c:v>
                </c:pt>
                <c:pt idx="410">
                  <c:v>9.4049014214705569</c:v>
                </c:pt>
                <c:pt idx="411">
                  <c:v>9.8076960975757057</c:v>
                </c:pt>
                <c:pt idx="412">
                  <c:v>9.8690503811522117</c:v>
                </c:pt>
                <c:pt idx="413">
                  <c:v>9.9226031502222227</c:v>
                </c:pt>
                <c:pt idx="414">
                  <c:v>10.636690781947127</c:v>
                </c:pt>
                <c:pt idx="415">
                  <c:v>11.06108072140915</c:v>
                </c:pt>
                <c:pt idx="416">
                  <c:v>11.359705475829582</c:v>
                </c:pt>
                <c:pt idx="417">
                  <c:v>10.599249202065323</c:v>
                </c:pt>
                <c:pt idx="418">
                  <c:v>12.531345993452172</c:v>
                </c:pt>
              </c:numCache>
            </c:numRef>
          </c:val>
          <c:smooth val="0"/>
          <c:extLst>
            <c:ext xmlns:c16="http://schemas.microsoft.com/office/drawing/2014/chart" uri="{C3380CC4-5D6E-409C-BE32-E72D297353CC}">
              <c16:uniqueId val="{00000005-CFC7-4AE2-BBA7-ADFD494951EC}"/>
            </c:ext>
          </c:extLst>
        </c:ser>
        <c:ser>
          <c:idx val="0"/>
          <c:order val="1"/>
          <c:tx>
            <c:v>XLK</c:v>
          </c:tx>
          <c:spPr>
            <a:ln w="19050" cap="rnd">
              <a:solidFill>
                <a:srgbClr val="0000FF"/>
              </a:solidFill>
              <a:prstDash val="sysDash"/>
              <a:round/>
            </a:ln>
            <a:effectLst/>
          </c:spPr>
          <c:marker>
            <c:symbol val="none"/>
          </c:marker>
          <c:val>
            <c:numRef>
              <c:f>'2025-Q2'!$CO$4:$CO$422</c:f>
              <c:numCache>
                <c:formatCode>0.00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1.8934431343190481</c:v>
                </c:pt>
                <c:pt idx="58">
                  <c:v>1.8934431343190481</c:v>
                </c:pt>
                <c:pt idx="59">
                  <c:v>1.8934431343190481</c:v>
                </c:pt>
                <c:pt idx="60">
                  <c:v>1.8934431343190481</c:v>
                </c:pt>
                <c:pt idx="61">
                  <c:v>1.8934431343190481</c:v>
                </c:pt>
                <c:pt idx="62">
                  <c:v>4.4967384448386936</c:v>
                </c:pt>
                <c:pt idx="63">
                  <c:v>5.4371655711032112</c:v>
                </c:pt>
                <c:pt idx="64">
                  <c:v>5.4371655711032112</c:v>
                </c:pt>
                <c:pt idx="65">
                  <c:v>5.4371655711032112</c:v>
                </c:pt>
                <c:pt idx="66">
                  <c:v>5.4371655711032112</c:v>
                </c:pt>
                <c:pt idx="67">
                  <c:v>5.4371655711032112</c:v>
                </c:pt>
                <c:pt idx="68">
                  <c:v>5.4371655711032112</c:v>
                </c:pt>
                <c:pt idx="69">
                  <c:v>5.4371655711032112</c:v>
                </c:pt>
                <c:pt idx="70">
                  <c:v>5.4371655711032112</c:v>
                </c:pt>
                <c:pt idx="71">
                  <c:v>5.4371655711032112</c:v>
                </c:pt>
                <c:pt idx="72">
                  <c:v>5.4371655711032112</c:v>
                </c:pt>
                <c:pt idx="73">
                  <c:v>5.4371655711032112</c:v>
                </c:pt>
                <c:pt idx="74">
                  <c:v>5.4371655711032112</c:v>
                </c:pt>
                <c:pt idx="75">
                  <c:v>5.4371655711032112</c:v>
                </c:pt>
                <c:pt idx="76">
                  <c:v>5.4371655711032112</c:v>
                </c:pt>
                <c:pt idx="77">
                  <c:v>5.4371655711032112</c:v>
                </c:pt>
                <c:pt idx="78">
                  <c:v>4.4659391303884224</c:v>
                </c:pt>
                <c:pt idx="79">
                  <c:v>4.4659391303884224</c:v>
                </c:pt>
                <c:pt idx="80">
                  <c:v>4.4659391303884224</c:v>
                </c:pt>
                <c:pt idx="81">
                  <c:v>4.4659391303884224</c:v>
                </c:pt>
                <c:pt idx="82">
                  <c:v>4.4659391303884224</c:v>
                </c:pt>
                <c:pt idx="83">
                  <c:v>4.4659391303884224</c:v>
                </c:pt>
                <c:pt idx="84">
                  <c:v>4.4659391303884224</c:v>
                </c:pt>
                <c:pt idx="85">
                  <c:v>4.4659391303884224</c:v>
                </c:pt>
                <c:pt idx="86">
                  <c:v>4.4659391303884224</c:v>
                </c:pt>
                <c:pt idx="87">
                  <c:v>4.4659391303884224</c:v>
                </c:pt>
                <c:pt idx="88">
                  <c:v>4.4659391303884224</c:v>
                </c:pt>
                <c:pt idx="89">
                  <c:v>4.4659391303884224</c:v>
                </c:pt>
                <c:pt idx="90">
                  <c:v>4.4659391303884224</c:v>
                </c:pt>
                <c:pt idx="91">
                  <c:v>4.4659391303884224</c:v>
                </c:pt>
                <c:pt idx="92">
                  <c:v>4.4659391303884224</c:v>
                </c:pt>
                <c:pt idx="93">
                  <c:v>4.4659391303884224</c:v>
                </c:pt>
                <c:pt idx="94">
                  <c:v>4.4659391303884224</c:v>
                </c:pt>
                <c:pt idx="95">
                  <c:v>4.4659391303884224</c:v>
                </c:pt>
                <c:pt idx="96">
                  <c:v>4.4659391303884224</c:v>
                </c:pt>
                <c:pt idx="97">
                  <c:v>4.4659391303884224</c:v>
                </c:pt>
                <c:pt idx="98">
                  <c:v>4.4659391303884224</c:v>
                </c:pt>
                <c:pt idx="99">
                  <c:v>4.4659391303884224</c:v>
                </c:pt>
                <c:pt idx="100">
                  <c:v>4.4659391303884224</c:v>
                </c:pt>
                <c:pt idx="101">
                  <c:v>4.4659391303884224</c:v>
                </c:pt>
                <c:pt idx="102">
                  <c:v>4.4659391303884224</c:v>
                </c:pt>
                <c:pt idx="103">
                  <c:v>4.4659391303884224</c:v>
                </c:pt>
                <c:pt idx="104">
                  <c:v>4.4659391303884224</c:v>
                </c:pt>
                <c:pt idx="105">
                  <c:v>4.4659391303884224</c:v>
                </c:pt>
                <c:pt idx="106">
                  <c:v>4.4659391303884224</c:v>
                </c:pt>
                <c:pt idx="107">
                  <c:v>4.4659391303884224</c:v>
                </c:pt>
                <c:pt idx="108">
                  <c:v>4.4659391303884224</c:v>
                </c:pt>
                <c:pt idx="109">
                  <c:v>4.4659391303884224</c:v>
                </c:pt>
                <c:pt idx="110">
                  <c:v>4.4659391303884224</c:v>
                </c:pt>
                <c:pt idx="111">
                  <c:v>4.4659391303884224</c:v>
                </c:pt>
                <c:pt idx="112">
                  <c:v>4.4659391303884224</c:v>
                </c:pt>
                <c:pt idx="113">
                  <c:v>4.4659391303884224</c:v>
                </c:pt>
                <c:pt idx="114">
                  <c:v>4.4659391303884224</c:v>
                </c:pt>
                <c:pt idx="115">
                  <c:v>4.4659391303884224</c:v>
                </c:pt>
                <c:pt idx="116">
                  <c:v>4.4659391303884224</c:v>
                </c:pt>
                <c:pt idx="117">
                  <c:v>4.4659391303884224</c:v>
                </c:pt>
                <c:pt idx="118">
                  <c:v>4.4659391303884224</c:v>
                </c:pt>
                <c:pt idx="119">
                  <c:v>4.4659391303884224</c:v>
                </c:pt>
                <c:pt idx="120">
                  <c:v>4.4659391303884224</c:v>
                </c:pt>
                <c:pt idx="121">
                  <c:v>4.4659391303884224</c:v>
                </c:pt>
                <c:pt idx="122">
                  <c:v>4.4659391303884224</c:v>
                </c:pt>
                <c:pt idx="123">
                  <c:v>4.1490417070662797</c:v>
                </c:pt>
                <c:pt idx="124">
                  <c:v>4.1490417070662797</c:v>
                </c:pt>
                <c:pt idx="125">
                  <c:v>4.1490417070662797</c:v>
                </c:pt>
                <c:pt idx="126">
                  <c:v>4.1490417070662797</c:v>
                </c:pt>
                <c:pt idx="127">
                  <c:v>4.1490417070662797</c:v>
                </c:pt>
                <c:pt idx="128">
                  <c:v>4.1490417070662797</c:v>
                </c:pt>
                <c:pt idx="129">
                  <c:v>4.1490417070662797</c:v>
                </c:pt>
                <c:pt idx="130">
                  <c:v>4.1490417070662797</c:v>
                </c:pt>
                <c:pt idx="131">
                  <c:v>4.1490417070662797</c:v>
                </c:pt>
                <c:pt idx="132">
                  <c:v>4.1490417070662797</c:v>
                </c:pt>
                <c:pt idx="133">
                  <c:v>4.1490417070662797</c:v>
                </c:pt>
                <c:pt idx="134">
                  <c:v>4.1490417070662797</c:v>
                </c:pt>
                <c:pt idx="135">
                  <c:v>4.4891777614880493</c:v>
                </c:pt>
                <c:pt idx="136">
                  <c:v>4.4891777614880493</c:v>
                </c:pt>
                <c:pt idx="137">
                  <c:v>4.4891777614880493</c:v>
                </c:pt>
                <c:pt idx="138">
                  <c:v>4.4891777614880493</c:v>
                </c:pt>
                <c:pt idx="139">
                  <c:v>4.4891777614880493</c:v>
                </c:pt>
                <c:pt idx="140">
                  <c:v>4.4891777614880493</c:v>
                </c:pt>
                <c:pt idx="141">
                  <c:v>4.4891777614880493</c:v>
                </c:pt>
                <c:pt idx="142">
                  <c:v>3.2146558783169401</c:v>
                </c:pt>
                <c:pt idx="143">
                  <c:v>3.2146558783169401</c:v>
                </c:pt>
                <c:pt idx="144">
                  <c:v>3.2146558783169401</c:v>
                </c:pt>
                <c:pt idx="145">
                  <c:v>3.2146558783169401</c:v>
                </c:pt>
                <c:pt idx="146">
                  <c:v>3.2146558783169401</c:v>
                </c:pt>
                <c:pt idx="147">
                  <c:v>3.2146558783169401</c:v>
                </c:pt>
                <c:pt idx="148">
                  <c:v>3.2146558783169401</c:v>
                </c:pt>
                <c:pt idx="149">
                  <c:v>3.2146558783169401</c:v>
                </c:pt>
                <c:pt idx="150">
                  <c:v>3.2146558783169401</c:v>
                </c:pt>
                <c:pt idx="151">
                  <c:v>4.3451705841992965</c:v>
                </c:pt>
                <c:pt idx="152">
                  <c:v>4.3451705841992965</c:v>
                </c:pt>
                <c:pt idx="153">
                  <c:v>4.3451705841992965</c:v>
                </c:pt>
                <c:pt idx="154">
                  <c:v>4.3451705841992965</c:v>
                </c:pt>
                <c:pt idx="155">
                  <c:v>4.3451705841992965</c:v>
                </c:pt>
                <c:pt idx="156">
                  <c:v>6.3471379406551414</c:v>
                </c:pt>
                <c:pt idx="157">
                  <c:v>6.3471379406551414</c:v>
                </c:pt>
                <c:pt idx="158">
                  <c:v>6.3471379406551414</c:v>
                </c:pt>
                <c:pt idx="159">
                  <c:v>6.3471379406551414</c:v>
                </c:pt>
                <c:pt idx="160">
                  <c:v>6.3471379406551414</c:v>
                </c:pt>
                <c:pt idx="161">
                  <c:v>6.3471379406551414</c:v>
                </c:pt>
                <c:pt idx="162">
                  <c:v>6.3471379406551414</c:v>
                </c:pt>
                <c:pt idx="163">
                  <c:v>5.3788136340738166</c:v>
                </c:pt>
                <c:pt idx="164">
                  <c:v>5.3788136340738166</c:v>
                </c:pt>
                <c:pt idx="165">
                  <c:v>5.3788136340738166</c:v>
                </c:pt>
                <c:pt idx="166">
                  <c:v>5.3788136340738166</c:v>
                </c:pt>
                <c:pt idx="167">
                  <c:v>5.3788136340738166</c:v>
                </c:pt>
                <c:pt idx="168">
                  <c:v>5.3788136340738166</c:v>
                </c:pt>
                <c:pt idx="169">
                  <c:v>5.3788136340738166</c:v>
                </c:pt>
                <c:pt idx="170">
                  <c:v>5.3788136340738166</c:v>
                </c:pt>
                <c:pt idx="171">
                  <c:v>5.3788136340738166</c:v>
                </c:pt>
                <c:pt idx="172">
                  <c:v>5.3788136340738166</c:v>
                </c:pt>
                <c:pt idx="173">
                  <c:v>5.3788136340738166</c:v>
                </c:pt>
                <c:pt idx="174">
                  <c:v>5.3788136340738166</c:v>
                </c:pt>
                <c:pt idx="175">
                  <c:v>6.8904768431007852</c:v>
                </c:pt>
                <c:pt idx="176">
                  <c:v>6.8904768431007852</c:v>
                </c:pt>
                <c:pt idx="177">
                  <c:v>6.8904768431007852</c:v>
                </c:pt>
                <c:pt idx="178">
                  <c:v>6.8904768431007852</c:v>
                </c:pt>
                <c:pt idx="179">
                  <c:v>6.8904768431007852</c:v>
                </c:pt>
                <c:pt idx="180">
                  <c:v>6.8904768431007852</c:v>
                </c:pt>
                <c:pt idx="181">
                  <c:v>6.8904768431007852</c:v>
                </c:pt>
                <c:pt idx="182">
                  <c:v>7.6018175163824644</c:v>
                </c:pt>
                <c:pt idx="183">
                  <c:v>7.6018175163824644</c:v>
                </c:pt>
                <c:pt idx="184">
                  <c:v>7.6018175163824644</c:v>
                </c:pt>
                <c:pt idx="185">
                  <c:v>7.6018175163824644</c:v>
                </c:pt>
                <c:pt idx="186">
                  <c:v>7.6018175163824644</c:v>
                </c:pt>
                <c:pt idx="187">
                  <c:v>7.6018175163824644</c:v>
                </c:pt>
                <c:pt idx="188">
                  <c:v>7.6018175163824644</c:v>
                </c:pt>
                <c:pt idx="189">
                  <c:v>7.6018175163824644</c:v>
                </c:pt>
                <c:pt idx="190">
                  <c:v>7.6018175163824644</c:v>
                </c:pt>
                <c:pt idx="191">
                  <c:v>7.6018175163824644</c:v>
                </c:pt>
                <c:pt idx="192">
                  <c:v>7.6018175163824644</c:v>
                </c:pt>
                <c:pt idx="193">
                  <c:v>7.6018175163824644</c:v>
                </c:pt>
                <c:pt idx="194">
                  <c:v>7.6018175163824644</c:v>
                </c:pt>
                <c:pt idx="195">
                  <c:v>7.6018175163824644</c:v>
                </c:pt>
                <c:pt idx="196">
                  <c:v>7.6018175163824644</c:v>
                </c:pt>
                <c:pt idx="197">
                  <c:v>7.6018175163824644</c:v>
                </c:pt>
                <c:pt idx="198">
                  <c:v>7.6018175163824644</c:v>
                </c:pt>
                <c:pt idx="199">
                  <c:v>7.6018175163824644</c:v>
                </c:pt>
                <c:pt idx="200">
                  <c:v>7.6018175163824644</c:v>
                </c:pt>
                <c:pt idx="201">
                  <c:v>7.6018175163824644</c:v>
                </c:pt>
                <c:pt idx="202">
                  <c:v>7.6018175163824644</c:v>
                </c:pt>
                <c:pt idx="203">
                  <c:v>7.6018175163824644</c:v>
                </c:pt>
                <c:pt idx="204">
                  <c:v>7.6018175163824644</c:v>
                </c:pt>
                <c:pt idx="205">
                  <c:v>7.6018175163824644</c:v>
                </c:pt>
                <c:pt idx="206">
                  <c:v>7.6018175163824644</c:v>
                </c:pt>
                <c:pt idx="207">
                  <c:v>7.6018175163824644</c:v>
                </c:pt>
                <c:pt idx="208">
                  <c:v>7.6018175163824644</c:v>
                </c:pt>
                <c:pt idx="209">
                  <c:v>7.6018175163824644</c:v>
                </c:pt>
                <c:pt idx="210">
                  <c:v>7.6018175163824644</c:v>
                </c:pt>
                <c:pt idx="211">
                  <c:v>7.6018175163824644</c:v>
                </c:pt>
                <c:pt idx="212">
                  <c:v>7.6018175163824644</c:v>
                </c:pt>
                <c:pt idx="213">
                  <c:v>7.6018175163824644</c:v>
                </c:pt>
                <c:pt idx="214">
                  <c:v>7.6018175163824644</c:v>
                </c:pt>
                <c:pt idx="215">
                  <c:v>7.6018175163824644</c:v>
                </c:pt>
                <c:pt idx="216">
                  <c:v>7.6018175163824644</c:v>
                </c:pt>
                <c:pt idx="217">
                  <c:v>7.6018175163824644</c:v>
                </c:pt>
                <c:pt idx="218">
                  <c:v>7.6018175163824644</c:v>
                </c:pt>
                <c:pt idx="219">
                  <c:v>7.6018175163824644</c:v>
                </c:pt>
                <c:pt idx="220">
                  <c:v>7.6018175163824644</c:v>
                </c:pt>
                <c:pt idx="221">
                  <c:v>7.6018175163824644</c:v>
                </c:pt>
                <c:pt idx="222">
                  <c:v>7.6018175163824644</c:v>
                </c:pt>
                <c:pt idx="223">
                  <c:v>7.6018175163824644</c:v>
                </c:pt>
                <c:pt idx="224">
                  <c:v>7.6018175163824644</c:v>
                </c:pt>
                <c:pt idx="225">
                  <c:v>7.6018175163824644</c:v>
                </c:pt>
                <c:pt idx="226">
                  <c:v>7.6018175163824644</c:v>
                </c:pt>
                <c:pt idx="227">
                  <c:v>7.6018175163824644</c:v>
                </c:pt>
                <c:pt idx="228">
                  <c:v>7.6018175163824644</c:v>
                </c:pt>
                <c:pt idx="229">
                  <c:v>7.6018175163824644</c:v>
                </c:pt>
                <c:pt idx="230">
                  <c:v>7.6018175163824644</c:v>
                </c:pt>
                <c:pt idx="231">
                  <c:v>7.0369384614415349</c:v>
                </c:pt>
                <c:pt idx="232">
                  <c:v>7.0369384614415349</c:v>
                </c:pt>
                <c:pt idx="233">
                  <c:v>7.0369384614415349</c:v>
                </c:pt>
                <c:pt idx="234">
                  <c:v>7.0369384614415349</c:v>
                </c:pt>
                <c:pt idx="235">
                  <c:v>7.0369384614415349</c:v>
                </c:pt>
                <c:pt idx="236">
                  <c:v>7.0369384614415349</c:v>
                </c:pt>
                <c:pt idx="237">
                  <c:v>7.0369384614415349</c:v>
                </c:pt>
                <c:pt idx="238">
                  <c:v>5.3335351204836048</c:v>
                </c:pt>
                <c:pt idx="239">
                  <c:v>5.3335351204836048</c:v>
                </c:pt>
                <c:pt idx="240">
                  <c:v>5.3335351204836048</c:v>
                </c:pt>
                <c:pt idx="241">
                  <c:v>5.3335351204836048</c:v>
                </c:pt>
                <c:pt idx="242">
                  <c:v>5.3335351204836048</c:v>
                </c:pt>
                <c:pt idx="243">
                  <c:v>5.3335351204836048</c:v>
                </c:pt>
                <c:pt idx="244">
                  <c:v>4.5058185707067606</c:v>
                </c:pt>
                <c:pt idx="245">
                  <c:v>4.5058185707067606</c:v>
                </c:pt>
                <c:pt idx="246">
                  <c:v>4.5058185707067606</c:v>
                </c:pt>
                <c:pt idx="247">
                  <c:v>4.5058185707067606</c:v>
                </c:pt>
                <c:pt idx="248">
                  <c:v>4.5058185707067606</c:v>
                </c:pt>
                <c:pt idx="249">
                  <c:v>4.5058185707067606</c:v>
                </c:pt>
                <c:pt idx="250">
                  <c:v>4.5058185707067606</c:v>
                </c:pt>
                <c:pt idx="251">
                  <c:v>4.5058185707067606</c:v>
                </c:pt>
                <c:pt idx="252">
                  <c:v>4.5058185707067606</c:v>
                </c:pt>
                <c:pt idx="253">
                  <c:v>4.5058185707067606</c:v>
                </c:pt>
                <c:pt idx="254">
                  <c:v>4.5058185707067606</c:v>
                </c:pt>
                <c:pt idx="255">
                  <c:v>4.5058185707067606</c:v>
                </c:pt>
                <c:pt idx="256">
                  <c:v>4.5058185707067606</c:v>
                </c:pt>
                <c:pt idx="257">
                  <c:v>4.5058185707067606</c:v>
                </c:pt>
                <c:pt idx="258">
                  <c:v>4.5058185707067606</c:v>
                </c:pt>
                <c:pt idx="259">
                  <c:v>4.5058185707067606</c:v>
                </c:pt>
                <c:pt idx="260">
                  <c:v>4.8739076303036191</c:v>
                </c:pt>
                <c:pt idx="261">
                  <c:v>4.8739076303036191</c:v>
                </c:pt>
                <c:pt idx="262">
                  <c:v>4.8739076303036191</c:v>
                </c:pt>
                <c:pt idx="263">
                  <c:v>4.8739076303036191</c:v>
                </c:pt>
                <c:pt idx="264">
                  <c:v>4.8739076303036191</c:v>
                </c:pt>
                <c:pt idx="265">
                  <c:v>4.8739076303036191</c:v>
                </c:pt>
                <c:pt idx="266">
                  <c:v>4.8739076303036191</c:v>
                </c:pt>
                <c:pt idx="267">
                  <c:v>4.8739076303036191</c:v>
                </c:pt>
                <c:pt idx="268">
                  <c:v>4.8739076303036191</c:v>
                </c:pt>
                <c:pt idx="269">
                  <c:v>4.8739076303036191</c:v>
                </c:pt>
                <c:pt idx="270">
                  <c:v>4.8739076303036191</c:v>
                </c:pt>
                <c:pt idx="271">
                  <c:v>4.8739076303036191</c:v>
                </c:pt>
                <c:pt idx="272">
                  <c:v>4.8739076303036191</c:v>
                </c:pt>
                <c:pt idx="273">
                  <c:v>4.8739076303036191</c:v>
                </c:pt>
                <c:pt idx="274">
                  <c:v>4.8739076303036191</c:v>
                </c:pt>
                <c:pt idx="275">
                  <c:v>4.8739076303036191</c:v>
                </c:pt>
                <c:pt idx="276">
                  <c:v>4.8739076303036191</c:v>
                </c:pt>
                <c:pt idx="277">
                  <c:v>4.8739076303036191</c:v>
                </c:pt>
                <c:pt idx="278">
                  <c:v>4.8739076303036191</c:v>
                </c:pt>
                <c:pt idx="279">
                  <c:v>4.8739076303036191</c:v>
                </c:pt>
                <c:pt idx="280">
                  <c:v>4.8739076303036191</c:v>
                </c:pt>
                <c:pt idx="281">
                  <c:v>3.9760338834709654</c:v>
                </c:pt>
                <c:pt idx="282">
                  <c:v>3.9760338834709654</c:v>
                </c:pt>
                <c:pt idx="283">
                  <c:v>3.9760338834709654</c:v>
                </c:pt>
                <c:pt idx="284">
                  <c:v>3.9760338834709654</c:v>
                </c:pt>
                <c:pt idx="285">
                  <c:v>3.9760338834709654</c:v>
                </c:pt>
                <c:pt idx="286">
                  <c:v>3.9760338834709654</c:v>
                </c:pt>
                <c:pt idx="287">
                  <c:v>4.0238185069891328</c:v>
                </c:pt>
                <c:pt idx="288">
                  <c:v>4.0238185069891328</c:v>
                </c:pt>
                <c:pt idx="289">
                  <c:v>4.0238185069891328</c:v>
                </c:pt>
                <c:pt idx="290">
                  <c:v>4.0238185069891328</c:v>
                </c:pt>
                <c:pt idx="291">
                  <c:v>4.0238185069891328</c:v>
                </c:pt>
                <c:pt idx="292">
                  <c:v>4.0238185069891328</c:v>
                </c:pt>
                <c:pt idx="293">
                  <c:v>4.0238185069891328</c:v>
                </c:pt>
                <c:pt idx="294">
                  <c:v>4.0238185069891328</c:v>
                </c:pt>
                <c:pt idx="295">
                  <c:v>4.0238185069891328</c:v>
                </c:pt>
                <c:pt idx="296">
                  <c:v>4.0238185069891328</c:v>
                </c:pt>
                <c:pt idx="297">
                  <c:v>4.0238185069891328</c:v>
                </c:pt>
                <c:pt idx="298">
                  <c:v>4.0238185069891328</c:v>
                </c:pt>
                <c:pt idx="299">
                  <c:v>4.0238185069891328</c:v>
                </c:pt>
                <c:pt idx="300">
                  <c:v>4.0580362370375669</c:v>
                </c:pt>
                <c:pt idx="301">
                  <c:v>4.0580362370375669</c:v>
                </c:pt>
                <c:pt idx="302">
                  <c:v>4.0580362370375669</c:v>
                </c:pt>
                <c:pt idx="303">
                  <c:v>4.0580362370375669</c:v>
                </c:pt>
                <c:pt idx="304">
                  <c:v>4.0580362370375669</c:v>
                </c:pt>
                <c:pt idx="305">
                  <c:v>4.0580362370375669</c:v>
                </c:pt>
                <c:pt idx="306">
                  <c:v>4.0580362370375669</c:v>
                </c:pt>
                <c:pt idx="307">
                  <c:v>4.0580362370375669</c:v>
                </c:pt>
                <c:pt idx="308">
                  <c:v>4.0580362370375669</c:v>
                </c:pt>
                <c:pt idx="309">
                  <c:v>4.0580362370375669</c:v>
                </c:pt>
                <c:pt idx="310">
                  <c:v>4.0580362370375669</c:v>
                </c:pt>
                <c:pt idx="311">
                  <c:v>4.0580362370375669</c:v>
                </c:pt>
                <c:pt idx="312">
                  <c:v>4.0580362370375669</c:v>
                </c:pt>
                <c:pt idx="313">
                  <c:v>4.0580362370375669</c:v>
                </c:pt>
                <c:pt idx="314">
                  <c:v>4.0580362370375669</c:v>
                </c:pt>
                <c:pt idx="315">
                  <c:v>4.0580362370375669</c:v>
                </c:pt>
                <c:pt idx="316">
                  <c:v>4.0580362370375669</c:v>
                </c:pt>
                <c:pt idx="317">
                  <c:v>4.0580362370375669</c:v>
                </c:pt>
                <c:pt idx="318">
                  <c:v>4.0580362370375669</c:v>
                </c:pt>
                <c:pt idx="319">
                  <c:v>4.0580362370375669</c:v>
                </c:pt>
                <c:pt idx="320">
                  <c:v>4.5340037776118471</c:v>
                </c:pt>
                <c:pt idx="321">
                  <c:v>4.5340037776118471</c:v>
                </c:pt>
                <c:pt idx="322">
                  <c:v>4.5340037776118471</c:v>
                </c:pt>
                <c:pt idx="323">
                  <c:v>4.5340037776118471</c:v>
                </c:pt>
                <c:pt idx="324">
                  <c:v>4.5340037776118471</c:v>
                </c:pt>
                <c:pt idx="325">
                  <c:v>4.5340037776118471</c:v>
                </c:pt>
                <c:pt idx="326">
                  <c:v>2.9407123729996845</c:v>
                </c:pt>
                <c:pt idx="327">
                  <c:v>2.9407123729996845</c:v>
                </c:pt>
                <c:pt idx="328">
                  <c:v>2.1644482591067051</c:v>
                </c:pt>
                <c:pt idx="329">
                  <c:v>2.1644482591067051</c:v>
                </c:pt>
                <c:pt idx="330">
                  <c:v>2.1644482591067051</c:v>
                </c:pt>
                <c:pt idx="331">
                  <c:v>2.1644482591067051</c:v>
                </c:pt>
                <c:pt idx="332">
                  <c:v>2.1644482591067051</c:v>
                </c:pt>
                <c:pt idx="333">
                  <c:v>2.6484858943925063</c:v>
                </c:pt>
                <c:pt idx="334">
                  <c:v>2.6484858943925063</c:v>
                </c:pt>
                <c:pt idx="335">
                  <c:v>2.6484858943925063</c:v>
                </c:pt>
                <c:pt idx="336">
                  <c:v>2.6484858943925063</c:v>
                </c:pt>
                <c:pt idx="337">
                  <c:v>2.6484858943925063</c:v>
                </c:pt>
                <c:pt idx="338">
                  <c:v>2.6484858943925063</c:v>
                </c:pt>
                <c:pt idx="339">
                  <c:v>2.6484858943925063</c:v>
                </c:pt>
                <c:pt idx="340">
                  <c:v>2.6484858943925063</c:v>
                </c:pt>
                <c:pt idx="341">
                  <c:v>2.6484858943925063</c:v>
                </c:pt>
                <c:pt idx="342">
                  <c:v>2.6484858943925063</c:v>
                </c:pt>
                <c:pt idx="343">
                  <c:v>2.6484858943925063</c:v>
                </c:pt>
                <c:pt idx="344">
                  <c:v>2.6484858943925063</c:v>
                </c:pt>
                <c:pt idx="345">
                  <c:v>2.6484858943925063</c:v>
                </c:pt>
                <c:pt idx="346">
                  <c:v>2.6484858943925063</c:v>
                </c:pt>
                <c:pt idx="347">
                  <c:v>2.6484858943925063</c:v>
                </c:pt>
                <c:pt idx="348">
                  <c:v>2.6484858943925063</c:v>
                </c:pt>
                <c:pt idx="349">
                  <c:v>2.6484858943925063</c:v>
                </c:pt>
                <c:pt idx="350">
                  <c:v>2.6484858943925063</c:v>
                </c:pt>
                <c:pt idx="351">
                  <c:v>2.6484858943925063</c:v>
                </c:pt>
                <c:pt idx="352">
                  <c:v>2.6484858943925063</c:v>
                </c:pt>
                <c:pt idx="353">
                  <c:v>2.6484858943925063</c:v>
                </c:pt>
                <c:pt idx="354">
                  <c:v>2.6484858943925063</c:v>
                </c:pt>
                <c:pt idx="355">
                  <c:v>2.6484858943925063</c:v>
                </c:pt>
                <c:pt idx="356">
                  <c:v>2.6484858943925063</c:v>
                </c:pt>
                <c:pt idx="357">
                  <c:v>2.6484858943925063</c:v>
                </c:pt>
                <c:pt idx="358">
                  <c:v>2.6484858943925063</c:v>
                </c:pt>
                <c:pt idx="359">
                  <c:v>2.6484858943925063</c:v>
                </c:pt>
                <c:pt idx="360">
                  <c:v>2.6484858943925063</c:v>
                </c:pt>
                <c:pt idx="361">
                  <c:v>2.6484858943925063</c:v>
                </c:pt>
                <c:pt idx="362">
                  <c:v>2.6484858943925063</c:v>
                </c:pt>
                <c:pt idx="363">
                  <c:v>2.6484858943925063</c:v>
                </c:pt>
                <c:pt idx="364">
                  <c:v>2.6484858943925063</c:v>
                </c:pt>
                <c:pt idx="365">
                  <c:v>2.6484858943925063</c:v>
                </c:pt>
                <c:pt idx="366">
                  <c:v>2.6484858943925063</c:v>
                </c:pt>
                <c:pt idx="367">
                  <c:v>2.6484858943925063</c:v>
                </c:pt>
                <c:pt idx="368">
                  <c:v>2.6484858943925063</c:v>
                </c:pt>
                <c:pt idx="369">
                  <c:v>2.6484858943925063</c:v>
                </c:pt>
                <c:pt idx="370">
                  <c:v>2.6484858943925063</c:v>
                </c:pt>
                <c:pt idx="371">
                  <c:v>2.6484858943925063</c:v>
                </c:pt>
                <c:pt idx="372">
                  <c:v>2.6484858943925063</c:v>
                </c:pt>
                <c:pt idx="373">
                  <c:v>2.6484858943925063</c:v>
                </c:pt>
                <c:pt idx="374">
                  <c:v>2.6484858943925063</c:v>
                </c:pt>
                <c:pt idx="375">
                  <c:v>0.57434373752976109</c:v>
                </c:pt>
                <c:pt idx="376">
                  <c:v>0.57434373752976109</c:v>
                </c:pt>
                <c:pt idx="377">
                  <c:v>0.57434373752976109</c:v>
                </c:pt>
                <c:pt idx="378">
                  <c:v>0.57434373752976109</c:v>
                </c:pt>
                <c:pt idx="379">
                  <c:v>0.57434373752976109</c:v>
                </c:pt>
                <c:pt idx="380">
                  <c:v>0.57434373752976109</c:v>
                </c:pt>
                <c:pt idx="381">
                  <c:v>0.57434373752976109</c:v>
                </c:pt>
                <c:pt idx="382">
                  <c:v>0.57434373752976109</c:v>
                </c:pt>
                <c:pt idx="383">
                  <c:v>0.57434373752976109</c:v>
                </c:pt>
                <c:pt idx="384">
                  <c:v>0.40566762500079356</c:v>
                </c:pt>
                <c:pt idx="385">
                  <c:v>1.1969185069683352</c:v>
                </c:pt>
                <c:pt idx="386">
                  <c:v>1.1969185069683352</c:v>
                </c:pt>
                <c:pt idx="387">
                  <c:v>1.1969185069683352</c:v>
                </c:pt>
                <c:pt idx="388">
                  <c:v>1.1969185069683352</c:v>
                </c:pt>
                <c:pt idx="389">
                  <c:v>1.1969185069683352</c:v>
                </c:pt>
                <c:pt idx="390">
                  <c:v>1.1969185069683352</c:v>
                </c:pt>
                <c:pt idx="391">
                  <c:v>1.1969185069683352</c:v>
                </c:pt>
                <c:pt idx="392">
                  <c:v>1.1969185069683352</c:v>
                </c:pt>
                <c:pt idx="393">
                  <c:v>1.1969185069683352</c:v>
                </c:pt>
                <c:pt idx="394">
                  <c:v>1.1969185069683352</c:v>
                </c:pt>
                <c:pt idx="395">
                  <c:v>1.1969185069683352</c:v>
                </c:pt>
                <c:pt idx="396">
                  <c:v>1.1969185069683352</c:v>
                </c:pt>
                <c:pt idx="397">
                  <c:v>2.5913032817940378</c:v>
                </c:pt>
                <c:pt idx="398">
                  <c:v>2.5913032817940378</c:v>
                </c:pt>
                <c:pt idx="399">
                  <c:v>2.5913032817940378</c:v>
                </c:pt>
                <c:pt idx="400">
                  <c:v>2.5913032817940378</c:v>
                </c:pt>
                <c:pt idx="401">
                  <c:v>1.1946330390157962</c:v>
                </c:pt>
                <c:pt idx="402">
                  <c:v>1.1946330390157962</c:v>
                </c:pt>
                <c:pt idx="403">
                  <c:v>1.1946330390157962</c:v>
                </c:pt>
                <c:pt idx="404">
                  <c:v>1.1946330390157962</c:v>
                </c:pt>
                <c:pt idx="405">
                  <c:v>1.1946330390157962</c:v>
                </c:pt>
                <c:pt idx="406">
                  <c:v>1.1946330390157962</c:v>
                </c:pt>
                <c:pt idx="407">
                  <c:v>1.1946330390157962</c:v>
                </c:pt>
                <c:pt idx="408">
                  <c:v>1.1946330390157962</c:v>
                </c:pt>
                <c:pt idx="409">
                  <c:v>1.1946330390157962</c:v>
                </c:pt>
                <c:pt idx="410">
                  <c:v>1.1946330390157962</c:v>
                </c:pt>
                <c:pt idx="411">
                  <c:v>1.5974277151209457</c:v>
                </c:pt>
                <c:pt idx="412">
                  <c:v>1.5974277151209457</c:v>
                </c:pt>
                <c:pt idx="413">
                  <c:v>1.6509804841909559</c:v>
                </c:pt>
                <c:pt idx="414">
                  <c:v>1.6509804841909559</c:v>
                </c:pt>
                <c:pt idx="415">
                  <c:v>1.6509804841909559</c:v>
                </c:pt>
                <c:pt idx="416">
                  <c:v>1.6509804841909559</c:v>
                </c:pt>
                <c:pt idx="417">
                  <c:v>1.6509804841909559</c:v>
                </c:pt>
                <c:pt idx="418">
                  <c:v>1.6509804841909559</c:v>
                </c:pt>
              </c:numCache>
            </c:numRef>
          </c:val>
          <c:smooth val="0"/>
          <c:extLst>
            <c:ext xmlns:c16="http://schemas.microsoft.com/office/drawing/2014/chart" uri="{C3380CC4-5D6E-409C-BE32-E72D297353CC}">
              <c16:uniqueId val="{00000007-CFC7-4AE2-BBA7-ADFD494951EC}"/>
            </c:ext>
          </c:extLst>
        </c:ser>
        <c:ser>
          <c:idx val="4"/>
          <c:order val="2"/>
          <c:tx>
            <c:strRef>
              <c:f>'2025-Q2'!$DK$2</c:f>
              <c:strCache>
                <c:ptCount val="1"/>
                <c:pt idx="0">
                  <c:v>XLC</c:v>
                </c:pt>
              </c:strCache>
            </c:strRef>
          </c:tx>
          <c:spPr>
            <a:ln w="19050" cap="rnd">
              <a:solidFill>
                <a:srgbClr val="00B0F0"/>
              </a:solidFill>
              <a:prstDash val="sysDash"/>
              <a:round/>
            </a:ln>
            <a:effectLst/>
          </c:spPr>
          <c:marker>
            <c:symbol val="none"/>
          </c:marker>
          <c:val>
            <c:numRef>
              <c:f>'2025-Q2'!$DQ$4:$DQ$422</c:f>
              <c:numCache>
                <c:formatCode>0.00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0.36227168206863897</c:v>
                </c:pt>
                <c:pt idx="17">
                  <c:v>0.36227168206863897</c:v>
                </c:pt>
                <c:pt idx="18">
                  <c:v>0.36227168206863897</c:v>
                </c:pt>
                <c:pt idx="19">
                  <c:v>0.36227168206863897</c:v>
                </c:pt>
                <c:pt idx="20">
                  <c:v>0.36227168206863897</c:v>
                </c:pt>
                <c:pt idx="21">
                  <c:v>0.36227168206863897</c:v>
                </c:pt>
                <c:pt idx="22">
                  <c:v>0.36227168206863897</c:v>
                </c:pt>
                <c:pt idx="23">
                  <c:v>0.36227168206863897</c:v>
                </c:pt>
                <c:pt idx="24">
                  <c:v>0.36227168206863897</c:v>
                </c:pt>
                <c:pt idx="25">
                  <c:v>0.36227168206863897</c:v>
                </c:pt>
                <c:pt idx="26">
                  <c:v>0.36227168206863897</c:v>
                </c:pt>
                <c:pt idx="27">
                  <c:v>0.36227168206863897</c:v>
                </c:pt>
                <c:pt idx="28">
                  <c:v>0.36227168206863897</c:v>
                </c:pt>
                <c:pt idx="29">
                  <c:v>0.36227168206863897</c:v>
                </c:pt>
                <c:pt idx="30">
                  <c:v>0.36227168206863897</c:v>
                </c:pt>
                <c:pt idx="31">
                  <c:v>0.36227168206863897</c:v>
                </c:pt>
                <c:pt idx="32">
                  <c:v>0.36227168206863897</c:v>
                </c:pt>
                <c:pt idx="33">
                  <c:v>0.36227168206863897</c:v>
                </c:pt>
                <c:pt idx="34">
                  <c:v>0.36227168206863897</c:v>
                </c:pt>
                <c:pt idx="35">
                  <c:v>0.36227168206863897</c:v>
                </c:pt>
                <c:pt idx="36">
                  <c:v>0.36227168206863897</c:v>
                </c:pt>
                <c:pt idx="37">
                  <c:v>0.36227168206863897</c:v>
                </c:pt>
                <c:pt idx="38">
                  <c:v>0.55702415629862168</c:v>
                </c:pt>
                <c:pt idx="39">
                  <c:v>0.55702415629862168</c:v>
                </c:pt>
                <c:pt idx="40">
                  <c:v>0.55702415629862168</c:v>
                </c:pt>
                <c:pt idx="41">
                  <c:v>0.55702415629862168</c:v>
                </c:pt>
                <c:pt idx="42">
                  <c:v>0.55702415629862168</c:v>
                </c:pt>
                <c:pt idx="43">
                  <c:v>0.55702415629862168</c:v>
                </c:pt>
                <c:pt idx="44">
                  <c:v>0.19208899052488143</c:v>
                </c:pt>
                <c:pt idx="45">
                  <c:v>0.19208899052488143</c:v>
                </c:pt>
                <c:pt idx="46">
                  <c:v>0.19208899052488143</c:v>
                </c:pt>
                <c:pt idx="47">
                  <c:v>0.19208899052488143</c:v>
                </c:pt>
                <c:pt idx="48">
                  <c:v>0.19208899052488143</c:v>
                </c:pt>
                <c:pt idx="49">
                  <c:v>0.19208899052488143</c:v>
                </c:pt>
                <c:pt idx="50">
                  <c:v>0.19208899052488143</c:v>
                </c:pt>
                <c:pt idx="51">
                  <c:v>0.19208899052488143</c:v>
                </c:pt>
                <c:pt idx="52">
                  <c:v>0.19208899052488143</c:v>
                </c:pt>
                <c:pt idx="53">
                  <c:v>0.19208899052488143</c:v>
                </c:pt>
                <c:pt idx="54">
                  <c:v>0.19208899052488143</c:v>
                </c:pt>
                <c:pt idx="55">
                  <c:v>0.19208899052488143</c:v>
                </c:pt>
                <c:pt idx="56">
                  <c:v>0.19208899052488143</c:v>
                </c:pt>
                <c:pt idx="57">
                  <c:v>0.19208899052488143</c:v>
                </c:pt>
                <c:pt idx="58">
                  <c:v>0.19208899052488143</c:v>
                </c:pt>
                <c:pt idx="59">
                  <c:v>0.19208899052488143</c:v>
                </c:pt>
                <c:pt idx="60">
                  <c:v>0.19208899052488143</c:v>
                </c:pt>
                <c:pt idx="61">
                  <c:v>0.19208899052488143</c:v>
                </c:pt>
                <c:pt idx="62">
                  <c:v>0.19208899052488143</c:v>
                </c:pt>
                <c:pt idx="63">
                  <c:v>0.19208899052488143</c:v>
                </c:pt>
                <c:pt idx="64">
                  <c:v>-7.0645925399947795E-2</c:v>
                </c:pt>
                <c:pt idx="65">
                  <c:v>-7.0645925399947795E-2</c:v>
                </c:pt>
                <c:pt idx="66">
                  <c:v>-7.0645925399947795E-2</c:v>
                </c:pt>
                <c:pt idx="67">
                  <c:v>-7.0645925399947795E-2</c:v>
                </c:pt>
                <c:pt idx="68">
                  <c:v>-7.0645925399947795E-2</c:v>
                </c:pt>
                <c:pt idx="69">
                  <c:v>-7.0645925399947795E-2</c:v>
                </c:pt>
                <c:pt idx="70">
                  <c:v>-7.0645925399947795E-2</c:v>
                </c:pt>
                <c:pt idx="71">
                  <c:v>-7.0645925399947795E-2</c:v>
                </c:pt>
                <c:pt idx="72">
                  <c:v>-7.0645925399947795E-2</c:v>
                </c:pt>
                <c:pt idx="73">
                  <c:v>-7.0645925399947795E-2</c:v>
                </c:pt>
                <c:pt idx="74">
                  <c:v>-7.0645925399947795E-2</c:v>
                </c:pt>
                <c:pt idx="75">
                  <c:v>-7.0645925399947795E-2</c:v>
                </c:pt>
                <c:pt idx="76">
                  <c:v>-7.0645925399947795E-2</c:v>
                </c:pt>
                <c:pt idx="77">
                  <c:v>-7.0645925399947795E-2</c:v>
                </c:pt>
                <c:pt idx="78">
                  <c:v>-7.0645925399947795E-2</c:v>
                </c:pt>
                <c:pt idx="79">
                  <c:v>-7.0645925399947795E-2</c:v>
                </c:pt>
                <c:pt idx="80">
                  <c:v>-7.0645925399947795E-2</c:v>
                </c:pt>
                <c:pt idx="81">
                  <c:v>-7.0645925399947795E-2</c:v>
                </c:pt>
                <c:pt idx="82">
                  <c:v>-7.0645925399947795E-2</c:v>
                </c:pt>
                <c:pt idx="83">
                  <c:v>-7.0645925399947795E-2</c:v>
                </c:pt>
                <c:pt idx="84">
                  <c:v>-7.0645925399947795E-2</c:v>
                </c:pt>
                <c:pt idx="85">
                  <c:v>-7.0645925399947795E-2</c:v>
                </c:pt>
                <c:pt idx="86">
                  <c:v>-7.0645925399947795E-2</c:v>
                </c:pt>
                <c:pt idx="87">
                  <c:v>-7.0645925399947795E-2</c:v>
                </c:pt>
                <c:pt idx="88">
                  <c:v>-7.0645925399947795E-2</c:v>
                </c:pt>
                <c:pt idx="89">
                  <c:v>-7.0645925399947795E-2</c:v>
                </c:pt>
                <c:pt idx="90">
                  <c:v>1.1332995344201857</c:v>
                </c:pt>
                <c:pt idx="91">
                  <c:v>1.1332995344201857</c:v>
                </c:pt>
                <c:pt idx="92">
                  <c:v>1.1332995344201857</c:v>
                </c:pt>
                <c:pt idx="93">
                  <c:v>1.1332995344201857</c:v>
                </c:pt>
                <c:pt idx="94">
                  <c:v>1.1332995344201857</c:v>
                </c:pt>
                <c:pt idx="95">
                  <c:v>1.1332995344201857</c:v>
                </c:pt>
                <c:pt idx="96">
                  <c:v>1.1332995344201857</c:v>
                </c:pt>
                <c:pt idx="97">
                  <c:v>1.1332995344201857</c:v>
                </c:pt>
                <c:pt idx="98">
                  <c:v>0.75814321928887918</c:v>
                </c:pt>
                <c:pt idx="99">
                  <c:v>0.75814321928887918</c:v>
                </c:pt>
                <c:pt idx="100">
                  <c:v>0.75814321928887918</c:v>
                </c:pt>
                <c:pt idx="101">
                  <c:v>0.75814321928887918</c:v>
                </c:pt>
                <c:pt idx="102">
                  <c:v>0.75814321928887918</c:v>
                </c:pt>
                <c:pt idx="103">
                  <c:v>-0.45158546583838721</c:v>
                </c:pt>
                <c:pt idx="104">
                  <c:v>-0.45158546583838721</c:v>
                </c:pt>
                <c:pt idx="105">
                  <c:v>-0.45158546583838721</c:v>
                </c:pt>
                <c:pt idx="106">
                  <c:v>-0.45158546583838721</c:v>
                </c:pt>
                <c:pt idx="107">
                  <c:v>-0.45158546583838721</c:v>
                </c:pt>
                <c:pt idx="108">
                  <c:v>0.12953383392833895</c:v>
                </c:pt>
                <c:pt idx="109">
                  <c:v>0.12953383392833895</c:v>
                </c:pt>
                <c:pt idx="110">
                  <c:v>0.12953383392833895</c:v>
                </c:pt>
                <c:pt idx="111">
                  <c:v>0.12953383392833895</c:v>
                </c:pt>
                <c:pt idx="112">
                  <c:v>0.12953383392833895</c:v>
                </c:pt>
                <c:pt idx="113">
                  <c:v>0.12953383392833895</c:v>
                </c:pt>
                <c:pt idx="114">
                  <c:v>0.12953383392833895</c:v>
                </c:pt>
                <c:pt idx="115">
                  <c:v>1.3308380218427318</c:v>
                </c:pt>
                <c:pt idx="116">
                  <c:v>1.3308380218427318</c:v>
                </c:pt>
                <c:pt idx="117">
                  <c:v>1.3308380218427318</c:v>
                </c:pt>
                <c:pt idx="118">
                  <c:v>1.3308380218427318</c:v>
                </c:pt>
                <c:pt idx="119">
                  <c:v>1.3308380218427318</c:v>
                </c:pt>
                <c:pt idx="120">
                  <c:v>1.3308380218427318</c:v>
                </c:pt>
                <c:pt idx="121">
                  <c:v>1.3308380218427318</c:v>
                </c:pt>
                <c:pt idx="122">
                  <c:v>1.3308380218427318</c:v>
                </c:pt>
                <c:pt idx="123">
                  <c:v>1.3308380218427318</c:v>
                </c:pt>
                <c:pt idx="124">
                  <c:v>1.3308380218427318</c:v>
                </c:pt>
                <c:pt idx="125">
                  <c:v>1.3308380218427318</c:v>
                </c:pt>
                <c:pt idx="126">
                  <c:v>1.3308380218427318</c:v>
                </c:pt>
                <c:pt idx="127">
                  <c:v>1.3308380218427318</c:v>
                </c:pt>
                <c:pt idx="128">
                  <c:v>1.3308380218427318</c:v>
                </c:pt>
                <c:pt idx="129">
                  <c:v>1.3308380218427318</c:v>
                </c:pt>
                <c:pt idx="130">
                  <c:v>1.3308380218427318</c:v>
                </c:pt>
                <c:pt idx="131">
                  <c:v>1.3308380218427318</c:v>
                </c:pt>
                <c:pt idx="132">
                  <c:v>1.3308380218427318</c:v>
                </c:pt>
                <c:pt idx="133">
                  <c:v>1.3308380218427318</c:v>
                </c:pt>
                <c:pt idx="134">
                  <c:v>1.3308380218427318</c:v>
                </c:pt>
                <c:pt idx="135">
                  <c:v>1.3308380218427318</c:v>
                </c:pt>
                <c:pt idx="136">
                  <c:v>1.3308380218427318</c:v>
                </c:pt>
                <c:pt idx="137">
                  <c:v>1.3308380218427318</c:v>
                </c:pt>
                <c:pt idx="138">
                  <c:v>1.3308380218427318</c:v>
                </c:pt>
                <c:pt idx="139">
                  <c:v>1.3308380218427318</c:v>
                </c:pt>
                <c:pt idx="140">
                  <c:v>1.3308380218427318</c:v>
                </c:pt>
                <c:pt idx="141">
                  <c:v>1.3308380218427318</c:v>
                </c:pt>
                <c:pt idx="142">
                  <c:v>1.3308380218427318</c:v>
                </c:pt>
                <c:pt idx="143">
                  <c:v>1.3308380218427318</c:v>
                </c:pt>
                <c:pt idx="144">
                  <c:v>1.3308380218427318</c:v>
                </c:pt>
                <c:pt idx="145">
                  <c:v>1.3308380218427318</c:v>
                </c:pt>
                <c:pt idx="146">
                  <c:v>1.3308380218427318</c:v>
                </c:pt>
                <c:pt idx="147">
                  <c:v>1.3308380218427318</c:v>
                </c:pt>
                <c:pt idx="148">
                  <c:v>1.3308380218427318</c:v>
                </c:pt>
                <c:pt idx="149">
                  <c:v>1.3308380218427318</c:v>
                </c:pt>
                <c:pt idx="150">
                  <c:v>1.3308380218427318</c:v>
                </c:pt>
                <c:pt idx="151">
                  <c:v>1.3308380218427318</c:v>
                </c:pt>
                <c:pt idx="152">
                  <c:v>1.3308380218427318</c:v>
                </c:pt>
                <c:pt idx="153">
                  <c:v>1.3308380218427318</c:v>
                </c:pt>
                <c:pt idx="154">
                  <c:v>1.3308380218427318</c:v>
                </c:pt>
                <c:pt idx="155">
                  <c:v>1.3308380218427318</c:v>
                </c:pt>
                <c:pt idx="156">
                  <c:v>1.3308380218427318</c:v>
                </c:pt>
                <c:pt idx="157">
                  <c:v>1.3308380218427318</c:v>
                </c:pt>
                <c:pt idx="158">
                  <c:v>1.3308380218427318</c:v>
                </c:pt>
                <c:pt idx="159">
                  <c:v>1.3308380218427318</c:v>
                </c:pt>
                <c:pt idx="160">
                  <c:v>1.3308380218427318</c:v>
                </c:pt>
                <c:pt idx="161">
                  <c:v>1.3308380218427318</c:v>
                </c:pt>
                <c:pt idx="162">
                  <c:v>1.3308380218427318</c:v>
                </c:pt>
                <c:pt idx="163">
                  <c:v>1.3308380218427318</c:v>
                </c:pt>
                <c:pt idx="164">
                  <c:v>1.3308380218427318</c:v>
                </c:pt>
                <c:pt idx="165">
                  <c:v>1.3308380218427318</c:v>
                </c:pt>
                <c:pt idx="166">
                  <c:v>1.3308380218427318</c:v>
                </c:pt>
                <c:pt idx="167">
                  <c:v>1.3308380218427318</c:v>
                </c:pt>
                <c:pt idx="168">
                  <c:v>1.3308380218427318</c:v>
                </c:pt>
                <c:pt idx="169">
                  <c:v>1.3308380218427318</c:v>
                </c:pt>
                <c:pt idx="170">
                  <c:v>1.3308380218427318</c:v>
                </c:pt>
                <c:pt idx="171">
                  <c:v>1.3308380218427318</c:v>
                </c:pt>
                <c:pt idx="172">
                  <c:v>1.3308380218427318</c:v>
                </c:pt>
                <c:pt idx="173">
                  <c:v>1.3308380218427318</c:v>
                </c:pt>
                <c:pt idx="174">
                  <c:v>1.3308380218427318</c:v>
                </c:pt>
                <c:pt idx="175">
                  <c:v>1.3308380218427318</c:v>
                </c:pt>
                <c:pt idx="176">
                  <c:v>1.3308380218427318</c:v>
                </c:pt>
                <c:pt idx="177">
                  <c:v>2.6385186532938567</c:v>
                </c:pt>
                <c:pt idx="178">
                  <c:v>2.6385186532938567</c:v>
                </c:pt>
                <c:pt idx="179">
                  <c:v>2.6385186532938567</c:v>
                </c:pt>
                <c:pt idx="180">
                  <c:v>2.6385186532938567</c:v>
                </c:pt>
                <c:pt idx="181">
                  <c:v>2.6385186532938567</c:v>
                </c:pt>
                <c:pt idx="182">
                  <c:v>2.6385186532938567</c:v>
                </c:pt>
                <c:pt idx="183">
                  <c:v>2.6385186532938567</c:v>
                </c:pt>
                <c:pt idx="184">
                  <c:v>2.6385186532938567</c:v>
                </c:pt>
                <c:pt idx="185">
                  <c:v>2.6385186532938567</c:v>
                </c:pt>
                <c:pt idx="186">
                  <c:v>2.6385186532938567</c:v>
                </c:pt>
                <c:pt idx="187">
                  <c:v>2.6385186532938567</c:v>
                </c:pt>
                <c:pt idx="188">
                  <c:v>2.6385186532938567</c:v>
                </c:pt>
                <c:pt idx="189">
                  <c:v>2.6385186532938567</c:v>
                </c:pt>
                <c:pt idx="190">
                  <c:v>2.6385186532938567</c:v>
                </c:pt>
                <c:pt idx="191">
                  <c:v>2.6385186532938567</c:v>
                </c:pt>
                <c:pt idx="192">
                  <c:v>2.6385186532938567</c:v>
                </c:pt>
                <c:pt idx="193">
                  <c:v>2.6385186532938567</c:v>
                </c:pt>
                <c:pt idx="194">
                  <c:v>2.6385186532938567</c:v>
                </c:pt>
                <c:pt idx="195">
                  <c:v>2.6385186532938567</c:v>
                </c:pt>
                <c:pt idx="196">
                  <c:v>2.6385186532938567</c:v>
                </c:pt>
                <c:pt idx="197">
                  <c:v>2.6385186532938567</c:v>
                </c:pt>
                <c:pt idx="198">
                  <c:v>2.6385186532938567</c:v>
                </c:pt>
                <c:pt idx="199">
                  <c:v>2.6385186532938567</c:v>
                </c:pt>
                <c:pt idx="200">
                  <c:v>2.6385186532938567</c:v>
                </c:pt>
                <c:pt idx="201">
                  <c:v>2.6385186532938567</c:v>
                </c:pt>
                <c:pt idx="202">
                  <c:v>2.6385186532938567</c:v>
                </c:pt>
                <c:pt idx="203">
                  <c:v>2.6385186532938567</c:v>
                </c:pt>
                <c:pt idx="204">
                  <c:v>2.6385186532938567</c:v>
                </c:pt>
                <c:pt idx="205">
                  <c:v>2.6385186532938567</c:v>
                </c:pt>
                <c:pt idx="206">
                  <c:v>2.6385186532938567</c:v>
                </c:pt>
                <c:pt idx="207">
                  <c:v>2.6385186532938567</c:v>
                </c:pt>
                <c:pt idx="208">
                  <c:v>2.6385186532938567</c:v>
                </c:pt>
                <c:pt idx="209">
                  <c:v>2.6385186532938567</c:v>
                </c:pt>
                <c:pt idx="210">
                  <c:v>2.6385186532938567</c:v>
                </c:pt>
                <c:pt idx="211">
                  <c:v>2.6385186532938567</c:v>
                </c:pt>
                <c:pt idx="212">
                  <c:v>2.6385186532938567</c:v>
                </c:pt>
                <c:pt idx="213">
                  <c:v>2.6385186532938567</c:v>
                </c:pt>
                <c:pt idx="214">
                  <c:v>2.6385186532938567</c:v>
                </c:pt>
                <c:pt idx="215">
                  <c:v>2.6385186532938567</c:v>
                </c:pt>
                <c:pt idx="216">
                  <c:v>2.6385186532938567</c:v>
                </c:pt>
                <c:pt idx="217">
                  <c:v>2.6385186532938567</c:v>
                </c:pt>
                <c:pt idx="218">
                  <c:v>2.6385186532938567</c:v>
                </c:pt>
                <c:pt idx="219">
                  <c:v>2.6385186532938567</c:v>
                </c:pt>
                <c:pt idx="220">
                  <c:v>2.6385186532938567</c:v>
                </c:pt>
                <c:pt idx="221">
                  <c:v>2.6385186532938567</c:v>
                </c:pt>
                <c:pt idx="222">
                  <c:v>2.6385186532938567</c:v>
                </c:pt>
                <c:pt idx="223">
                  <c:v>2.6385186532938567</c:v>
                </c:pt>
                <c:pt idx="224">
                  <c:v>2.6385186532938567</c:v>
                </c:pt>
                <c:pt idx="225">
                  <c:v>2.6385186532938567</c:v>
                </c:pt>
                <c:pt idx="226">
                  <c:v>2.6385186532938567</c:v>
                </c:pt>
                <c:pt idx="227">
                  <c:v>2.6385186532938567</c:v>
                </c:pt>
                <c:pt idx="228">
                  <c:v>2.6385186532938567</c:v>
                </c:pt>
                <c:pt idx="229">
                  <c:v>2.6385186532938567</c:v>
                </c:pt>
                <c:pt idx="230">
                  <c:v>2.6385186532938567</c:v>
                </c:pt>
                <c:pt idx="231">
                  <c:v>2.6385186532938567</c:v>
                </c:pt>
                <c:pt idx="232">
                  <c:v>2.6385186532938567</c:v>
                </c:pt>
                <c:pt idx="233">
                  <c:v>2.6385186532938567</c:v>
                </c:pt>
                <c:pt idx="234">
                  <c:v>2.6385186532938567</c:v>
                </c:pt>
                <c:pt idx="235">
                  <c:v>2.6385186532938567</c:v>
                </c:pt>
                <c:pt idx="236">
                  <c:v>4.4756426808445235</c:v>
                </c:pt>
                <c:pt idx="237">
                  <c:v>4.4756426808445235</c:v>
                </c:pt>
                <c:pt idx="238">
                  <c:v>4.4756426808445235</c:v>
                </c:pt>
                <c:pt idx="239">
                  <c:v>4.518787698863914</c:v>
                </c:pt>
                <c:pt idx="240">
                  <c:v>4.518787698863914</c:v>
                </c:pt>
                <c:pt idx="241">
                  <c:v>4.518787698863914</c:v>
                </c:pt>
                <c:pt idx="242">
                  <c:v>4.518787698863914</c:v>
                </c:pt>
                <c:pt idx="243">
                  <c:v>4.518787698863914</c:v>
                </c:pt>
                <c:pt idx="244">
                  <c:v>4.518787698863914</c:v>
                </c:pt>
                <c:pt idx="245">
                  <c:v>4.518787698863914</c:v>
                </c:pt>
                <c:pt idx="246">
                  <c:v>4.518787698863914</c:v>
                </c:pt>
                <c:pt idx="247">
                  <c:v>4.518787698863914</c:v>
                </c:pt>
                <c:pt idx="248">
                  <c:v>4.518787698863914</c:v>
                </c:pt>
                <c:pt idx="249">
                  <c:v>4.518787698863914</c:v>
                </c:pt>
                <c:pt idx="250">
                  <c:v>4.518787698863914</c:v>
                </c:pt>
                <c:pt idx="251">
                  <c:v>4.518787698863914</c:v>
                </c:pt>
                <c:pt idx="252">
                  <c:v>4.518787698863914</c:v>
                </c:pt>
                <c:pt idx="253">
                  <c:v>4.518787698863914</c:v>
                </c:pt>
                <c:pt idx="254">
                  <c:v>4.518787698863914</c:v>
                </c:pt>
                <c:pt idx="255">
                  <c:v>4.518787698863914</c:v>
                </c:pt>
                <c:pt idx="256">
                  <c:v>4.518787698863914</c:v>
                </c:pt>
                <c:pt idx="257">
                  <c:v>4.518787698863914</c:v>
                </c:pt>
                <c:pt idx="258">
                  <c:v>4.518787698863914</c:v>
                </c:pt>
                <c:pt idx="259">
                  <c:v>4.518787698863914</c:v>
                </c:pt>
                <c:pt idx="260">
                  <c:v>4.518787698863914</c:v>
                </c:pt>
                <c:pt idx="261">
                  <c:v>4.518787698863914</c:v>
                </c:pt>
                <c:pt idx="262">
                  <c:v>4.518787698863914</c:v>
                </c:pt>
                <c:pt idx="263">
                  <c:v>4.518787698863914</c:v>
                </c:pt>
                <c:pt idx="264">
                  <c:v>4.518787698863914</c:v>
                </c:pt>
                <c:pt idx="265">
                  <c:v>4.518787698863914</c:v>
                </c:pt>
                <c:pt idx="266">
                  <c:v>4.518787698863914</c:v>
                </c:pt>
                <c:pt idx="267">
                  <c:v>4.518787698863914</c:v>
                </c:pt>
                <c:pt idx="268">
                  <c:v>4.518787698863914</c:v>
                </c:pt>
                <c:pt idx="269">
                  <c:v>4.518787698863914</c:v>
                </c:pt>
                <c:pt idx="270">
                  <c:v>4.518787698863914</c:v>
                </c:pt>
                <c:pt idx="271">
                  <c:v>4.518787698863914</c:v>
                </c:pt>
                <c:pt idx="272">
                  <c:v>4.518787698863914</c:v>
                </c:pt>
                <c:pt idx="273">
                  <c:v>4.518787698863914</c:v>
                </c:pt>
                <c:pt idx="274">
                  <c:v>4.518787698863914</c:v>
                </c:pt>
                <c:pt idx="275">
                  <c:v>4.518787698863914</c:v>
                </c:pt>
                <c:pt idx="276">
                  <c:v>4.518787698863914</c:v>
                </c:pt>
                <c:pt idx="277">
                  <c:v>4.518787698863914</c:v>
                </c:pt>
                <c:pt idx="278">
                  <c:v>4.518787698863914</c:v>
                </c:pt>
                <c:pt idx="279">
                  <c:v>4.518787698863914</c:v>
                </c:pt>
                <c:pt idx="280">
                  <c:v>4.518787698863914</c:v>
                </c:pt>
                <c:pt idx="281">
                  <c:v>4.518787698863914</c:v>
                </c:pt>
                <c:pt idx="282">
                  <c:v>4.518787698863914</c:v>
                </c:pt>
                <c:pt idx="283">
                  <c:v>4.518787698863914</c:v>
                </c:pt>
                <c:pt idx="284">
                  <c:v>4.518787698863914</c:v>
                </c:pt>
                <c:pt idx="285">
                  <c:v>4.518787698863914</c:v>
                </c:pt>
                <c:pt idx="286">
                  <c:v>4.518787698863914</c:v>
                </c:pt>
                <c:pt idx="287">
                  <c:v>4.518787698863914</c:v>
                </c:pt>
                <c:pt idx="288">
                  <c:v>4.518787698863914</c:v>
                </c:pt>
                <c:pt idx="289">
                  <c:v>4.518787698863914</c:v>
                </c:pt>
                <c:pt idx="290">
                  <c:v>4.518787698863914</c:v>
                </c:pt>
                <c:pt idx="291">
                  <c:v>4.518787698863914</c:v>
                </c:pt>
                <c:pt idx="292">
                  <c:v>4.518787698863914</c:v>
                </c:pt>
                <c:pt idx="293">
                  <c:v>4.518787698863914</c:v>
                </c:pt>
                <c:pt idx="294">
                  <c:v>2.6653285111311016</c:v>
                </c:pt>
                <c:pt idx="295">
                  <c:v>2.6653285111311016</c:v>
                </c:pt>
                <c:pt idx="296">
                  <c:v>2.6653285111311016</c:v>
                </c:pt>
                <c:pt idx="297">
                  <c:v>2.6653285111311016</c:v>
                </c:pt>
                <c:pt idx="298">
                  <c:v>2.6653285111311016</c:v>
                </c:pt>
                <c:pt idx="299">
                  <c:v>2.6653285111311016</c:v>
                </c:pt>
                <c:pt idx="300">
                  <c:v>2.6653285111311016</c:v>
                </c:pt>
                <c:pt idx="301">
                  <c:v>2.6653285111311016</c:v>
                </c:pt>
                <c:pt idx="302">
                  <c:v>2.6653285111311016</c:v>
                </c:pt>
                <c:pt idx="303">
                  <c:v>2.6653285111311016</c:v>
                </c:pt>
                <c:pt idx="304">
                  <c:v>2.6653285111311016</c:v>
                </c:pt>
                <c:pt idx="305">
                  <c:v>2.6653285111311016</c:v>
                </c:pt>
                <c:pt idx="306">
                  <c:v>2.6653285111311016</c:v>
                </c:pt>
                <c:pt idx="307">
                  <c:v>2.6653285111311016</c:v>
                </c:pt>
                <c:pt idx="308">
                  <c:v>2.6653285111311016</c:v>
                </c:pt>
                <c:pt idx="309">
                  <c:v>2.6653285111311016</c:v>
                </c:pt>
                <c:pt idx="310">
                  <c:v>2.5775514648287112</c:v>
                </c:pt>
                <c:pt idx="311">
                  <c:v>2.5775514648287112</c:v>
                </c:pt>
                <c:pt idx="312">
                  <c:v>2.5775514648287112</c:v>
                </c:pt>
                <c:pt idx="313">
                  <c:v>2.5775514648287112</c:v>
                </c:pt>
                <c:pt idx="314">
                  <c:v>2.5775514648287112</c:v>
                </c:pt>
                <c:pt idx="315">
                  <c:v>3.356367664205659</c:v>
                </c:pt>
                <c:pt idx="316">
                  <c:v>3.356367664205659</c:v>
                </c:pt>
                <c:pt idx="317">
                  <c:v>3.7255984334364292</c:v>
                </c:pt>
                <c:pt idx="318">
                  <c:v>3.7255984334364292</c:v>
                </c:pt>
                <c:pt idx="319">
                  <c:v>3.7255984334364292</c:v>
                </c:pt>
                <c:pt idx="320">
                  <c:v>3.7255984334364292</c:v>
                </c:pt>
                <c:pt idx="321">
                  <c:v>3.7255984334364292</c:v>
                </c:pt>
                <c:pt idx="322">
                  <c:v>3.7255984334364292</c:v>
                </c:pt>
                <c:pt idx="323">
                  <c:v>3.7255984334364292</c:v>
                </c:pt>
                <c:pt idx="324">
                  <c:v>3.7255984334364292</c:v>
                </c:pt>
                <c:pt idx="325">
                  <c:v>4.5139831366327758</c:v>
                </c:pt>
                <c:pt idx="326">
                  <c:v>4.5139831366327758</c:v>
                </c:pt>
                <c:pt idx="327">
                  <c:v>4.5139831366327758</c:v>
                </c:pt>
                <c:pt idx="328">
                  <c:v>4.5139831366327758</c:v>
                </c:pt>
                <c:pt idx="329">
                  <c:v>4.5139831366327758</c:v>
                </c:pt>
                <c:pt idx="330">
                  <c:v>4.5139831366327758</c:v>
                </c:pt>
                <c:pt idx="331">
                  <c:v>4.5139831366327758</c:v>
                </c:pt>
                <c:pt idx="332">
                  <c:v>4.5139831366327758</c:v>
                </c:pt>
                <c:pt idx="333">
                  <c:v>4.5139831366327758</c:v>
                </c:pt>
                <c:pt idx="334">
                  <c:v>4.5139831366327758</c:v>
                </c:pt>
                <c:pt idx="335">
                  <c:v>4.5139831366327758</c:v>
                </c:pt>
                <c:pt idx="336">
                  <c:v>4.5139831366327758</c:v>
                </c:pt>
                <c:pt idx="337">
                  <c:v>4.5139831366327758</c:v>
                </c:pt>
                <c:pt idx="338">
                  <c:v>4.5139831366327758</c:v>
                </c:pt>
                <c:pt idx="339">
                  <c:v>4.5139831366327758</c:v>
                </c:pt>
                <c:pt idx="340">
                  <c:v>4.5139831366327758</c:v>
                </c:pt>
                <c:pt idx="341">
                  <c:v>4.5139831366327758</c:v>
                </c:pt>
                <c:pt idx="342">
                  <c:v>4.5139831366327758</c:v>
                </c:pt>
                <c:pt idx="343">
                  <c:v>4.5139831366327758</c:v>
                </c:pt>
                <c:pt idx="344">
                  <c:v>4.5139831366327758</c:v>
                </c:pt>
                <c:pt idx="345">
                  <c:v>4.5139831366327758</c:v>
                </c:pt>
                <c:pt idx="346">
                  <c:v>4.5139831366327758</c:v>
                </c:pt>
                <c:pt idx="347">
                  <c:v>4.5139831366327758</c:v>
                </c:pt>
                <c:pt idx="348">
                  <c:v>4.5139831366327758</c:v>
                </c:pt>
                <c:pt idx="349">
                  <c:v>4.5139831366327758</c:v>
                </c:pt>
                <c:pt idx="350">
                  <c:v>4.5139831366327758</c:v>
                </c:pt>
                <c:pt idx="351">
                  <c:v>4.5139831366327758</c:v>
                </c:pt>
                <c:pt idx="352">
                  <c:v>4.5139831366327758</c:v>
                </c:pt>
                <c:pt idx="353">
                  <c:v>4.5139831366327758</c:v>
                </c:pt>
                <c:pt idx="354">
                  <c:v>4.5139831366327758</c:v>
                </c:pt>
                <c:pt idx="355">
                  <c:v>4.5139831366327758</c:v>
                </c:pt>
                <c:pt idx="356">
                  <c:v>4.5139831366327758</c:v>
                </c:pt>
                <c:pt idx="357">
                  <c:v>4.5139831366327758</c:v>
                </c:pt>
                <c:pt idx="358">
                  <c:v>4.5139831366327758</c:v>
                </c:pt>
                <c:pt idx="359">
                  <c:v>4.5139831366327758</c:v>
                </c:pt>
                <c:pt idx="360">
                  <c:v>4.5139831366327758</c:v>
                </c:pt>
                <c:pt idx="361">
                  <c:v>4.5139831366327758</c:v>
                </c:pt>
                <c:pt idx="362">
                  <c:v>4.5139831366327758</c:v>
                </c:pt>
                <c:pt idx="363">
                  <c:v>4.5139831366327758</c:v>
                </c:pt>
                <c:pt idx="364">
                  <c:v>4.5139831366327758</c:v>
                </c:pt>
                <c:pt idx="365">
                  <c:v>4.5139831366327758</c:v>
                </c:pt>
                <c:pt idx="366">
                  <c:v>4.5139831366327758</c:v>
                </c:pt>
                <c:pt idx="367">
                  <c:v>4.5139831366327758</c:v>
                </c:pt>
                <c:pt idx="368">
                  <c:v>4.5139831366327758</c:v>
                </c:pt>
                <c:pt idx="369">
                  <c:v>4.5139831366327758</c:v>
                </c:pt>
                <c:pt idx="370">
                  <c:v>4.5139831366327758</c:v>
                </c:pt>
                <c:pt idx="371">
                  <c:v>4.5139831366327758</c:v>
                </c:pt>
                <c:pt idx="372">
                  <c:v>4.5139831366327758</c:v>
                </c:pt>
                <c:pt idx="373">
                  <c:v>4.5139831366327758</c:v>
                </c:pt>
                <c:pt idx="374">
                  <c:v>4.5139831366327758</c:v>
                </c:pt>
                <c:pt idx="375">
                  <c:v>4.5139831366327758</c:v>
                </c:pt>
                <c:pt idx="376">
                  <c:v>4.5139831366327758</c:v>
                </c:pt>
                <c:pt idx="377">
                  <c:v>4.5139831366327758</c:v>
                </c:pt>
                <c:pt idx="378">
                  <c:v>4.5139831366327758</c:v>
                </c:pt>
                <c:pt idx="379">
                  <c:v>4.5139831366327758</c:v>
                </c:pt>
                <c:pt idx="380">
                  <c:v>4.5139831366327758</c:v>
                </c:pt>
                <c:pt idx="381">
                  <c:v>4.5139831366327758</c:v>
                </c:pt>
                <c:pt idx="382">
                  <c:v>4.5139831366327758</c:v>
                </c:pt>
                <c:pt idx="383">
                  <c:v>4.5139831366327758</c:v>
                </c:pt>
                <c:pt idx="384">
                  <c:v>4.5139831366327758</c:v>
                </c:pt>
                <c:pt idx="385">
                  <c:v>4.5139831366327758</c:v>
                </c:pt>
                <c:pt idx="386">
                  <c:v>4.5139831366327758</c:v>
                </c:pt>
                <c:pt idx="387">
                  <c:v>4.5139831366327758</c:v>
                </c:pt>
                <c:pt idx="388">
                  <c:v>4.5139831366327758</c:v>
                </c:pt>
                <c:pt idx="389">
                  <c:v>4.5139831366327758</c:v>
                </c:pt>
                <c:pt idx="390">
                  <c:v>4.5139831366327758</c:v>
                </c:pt>
                <c:pt idx="391">
                  <c:v>4.5139831366327758</c:v>
                </c:pt>
                <c:pt idx="392">
                  <c:v>4.5139831366327758</c:v>
                </c:pt>
                <c:pt idx="393">
                  <c:v>4.5139831366327758</c:v>
                </c:pt>
                <c:pt idx="394">
                  <c:v>4.5139831366327758</c:v>
                </c:pt>
                <c:pt idx="395">
                  <c:v>4.5139831366327758</c:v>
                </c:pt>
                <c:pt idx="396">
                  <c:v>4.5139831366327758</c:v>
                </c:pt>
                <c:pt idx="397">
                  <c:v>4.5139831366327758</c:v>
                </c:pt>
                <c:pt idx="398">
                  <c:v>4.5139831366327758</c:v>
                </c:pt>
                <c:pt idx="399">
                  <c:v>4.5139831366327758</c:v>
                </c:pt>
                <c:pt idx="400">
                  <c:v>4.5139831366327758</c:v>
                </c:pt>
                <c:pt idx="401">
                  <c:v>4.5139831366327758</c:v>
                </c:pt>
                <c:pt idx="402">
                  <c:v>4.5139831366327758</c:v>
                </c:pt>
                <c:pt idx="403">
                  <c:v>4.5139831366327758</c:v>
                </c:pt>
                <c:pt idx="404">
                  <c:v>4.5139831366327758</c:v>
                </c:pt>
                <c:pt idx="405">
                  <c:v>4.5139831366327758</c:v>
                </c:pt>
                <c:pt idx="406">
                  <c:v>4.5139831366327758</c:v>
                </c:pt>
                <c:pt idx="407">
                  <c:v>4.5139831366327758</c:v>
                </c:pt>
                <c:pt idx="408">
                  <c:v>4.5139831366327758</c:v>
                </c:pt>
                <c:pt idx="409">
                  <c:v>4.5139831366327758</c:v>
                </c:pt>
                <c:pt idx="410">
                  <c:v>4.5139831366327758</c:v>
                </c:pt>
                <c:pt idx="411">
                  <c:v>4.5139831366327758</c:v>
                </c:pt>
                <c:pt idx="412">
                  <c:v>4.5139831366327758</c:v>
                </c:pt>
                <c:pt idx="413">
                  <c:v>4.5139831366327758</c:v>
                </c:pt>
                <c:pt idx="414">
                  <c:v>4.5139831366327758</c:v>
                </c:pt>
                <c:pt idx="415">
                  <c:v>4.5139831366327758</c:v>
                </c:pt>
                <c:pt idx="416">
                  <c:v>4.5139831366327758</c:v>
                </c:pt>
                <c:pt idx="417">
                  <c:v>4.5139831366327758</c:v>
                </c:pt>
                <c:pt idx="418">
                  <c:v>4.5139831366327758</c:v>
                </c:pt>
              </c:numCache>
            </c:numRef>
          </c:val>
          <c:smooth val="0"/>
          <c:extLst>
            <c:ext xmlns:c16="http://schemas.microsoft.com/office/drawing/2014/chart" uri="{C3380CC4-5D6E-409C-BE32-E72D297353CC}">
              <c16:uniqueId val="{0000000A-CFC7-4AE2-BBA7-ADFD494951EC}"/>
            </c:ext>
          </c:extLst>
        </c:ser>
        <c:ser>
          <c:idx val="5"/>
          <c:order val="3"/>
          <c:tx>
            <c:strRef>
              <c:f>'2025-Q2'!$ET$2</c:f>
              <c:strCache>
                <c:ptCount val="1"/>
                <c:pt idx="0">
                  <c:v>SMH</c:v>
                </c:pt>
              </c:strCache>
            </c:strRef>
          </c:tx>
          <c:spPr>
            <a:ln w="19050" cap="rnd">
              <a:solidFill>
                <a:schemeClr val="tx2">
                  <a:lumMod val="25000"/>
                  <a:lumOff val="75000"/>
                </a:schemeClr>
              </a:solidFill>
              <a:prstDash val="sysDash"/>
              <a:round/>
            </a:ln>
            <a:effectLst/>
          </c:spPr>
          <c:marker>
            <c:symbol val="none"/>
          </c:marker>
          <c:val>
            <c:numRef>
              <c:f>'2025-Q2'!$EZ$4:$EZ$422</c:f>
              <c:numCache>
                <c:formatCode>0.00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1.367071968452185</c:v>
                </c:pt>
                <c:pt idx="77">
                  <c:v>1.367071968452185</c:v>
                </c:pt>
                <c:pt idx="78">
                  <c:v>1.367071968452185</c:v>
                </c:pt>
                <c:pt idx="79">
                  <c:v>1.367071968452185</c:v>
                </c:pt>
                <c:pt idx="80">
                  <c:v>1.367071968452185</c:v>
                </c:pt>
                <c:pt idx="81">
                  <c:v>1.367071968452185</c:v>
                </c:pt>
                <c:pt idx="82">
                  <c:v>0.63276955574425819</c:v>
                </c:pt>
                <c:pt idx="83">
                  <c:v>0.63276955574425819</c:v>
                </c:pt>
                <c:pt idx="84">
                  <c:v>0.63276955574425819</c:v>
                </c:pt>
                <c:pt idx="85">
                  <c:v>0.63276955574425819</c:v>
                </c:pt>
                <c:pt idx="86">
                  <c:v>0.63276955574425819</c:v>
                </c:pt>
                <c:pt idx="87">
                  <c:v>0.63276955574425819</c:v>
                </c:pt>
                <c:pt idx="88">
                  <c:v>0.63276955574425819</c:v>
                </c:pt>
                <c:pt idx="89">
                  <c:v>0.63276955574425819</c:v>
                </c:pt>
                <c:pt idx="90">
                  <c:v>0.63276955574425819</c:v>
                </c:pt>
                <c:pt idx="91">
                  <c:v>0.63276955574425819</c:v>
                </c:pt>
                <c:pt idx="92">
                  <c:v>0.63276955574425819</c:v>
                </c:pt>
                <c:pt idx="93">
                  <c:v>0.63276955574425819</c:v>
                </c:pt>
                <c:pt idx="94">
                  <c:v>0.63276955574425819</c:v>
                </c:pt>
                <c:pt idx="95">
                  <c:v>0.63276955574425819</c:v>
                </c:pt>
                <c:pt idx="96">
                  <c:v>0.63276955574425819</c:v>
                </c:pt>
                <c:pt idx="97">
                  <c:v>0.63276955574425819</c:v>
                </c:pt>
                <c:pt idx="98">
                  <c:v>0.63276955574425819</c:v>
                </c:pt>
                <c:pt idx="99">
                  <c:v>0.63276955574425819</c:v>
                </c:pt>
                <c:pt idx="100">
                  <c:v>0.63276955574425819</c:v>
                </c:pt>
                <c:pt idx="101">
                  <c:v>0.63276955574425819</c:v>
                </c:pt>
                <c:pt idx="102">
                  <c:v>0.63276955574425819</c:v>
                </c:pt>
                <c:pt idx="103">
                  <c:v>0.63276955574425819</c:v>
                </c:pt>
                <c:pt idx="104">
                  <c:v>0.63276955574425819</c:v>
                </c:pt>
                <c:pt idx="105">
                  <c:v>0.63276955574425819</c:v>
                </c:pt>
                <c:pt idx="106">
                  <c:v>0.63276955574425819</c:v>
                </c:pt>
                <c:pt idx="107">
                  <c:v>-0.73220640206557486</c:v>
                </c:pt>
                <c:pt idx="108">
                  <c:v>-0.73220640206557486</c:v>
                </c:pt>
                <c:pt idx="109">
                  <c:v>-0.73220640206557486</c:v>
                </c:pt>
                <c:pt idx="110">
                  <c:v>-0.73220640206557486</c:v>
                </c:pt>
                <c:pt idx="111">
                  <c:v>-0.73220640206557486</c:v>
                </c:pt>
                <c:pt idx="112">
                  <c:v>-0.73220640206557486</c:v>
                </c:pt>
                <c:pt idx="113">
                  <c:v>-0.73220640206557486</c:v>
                </c:pt>
                <c:pt idx="114">
                  <c:v>-0.73220640206557486</c:v>
                </c:pt>
                <c:pt idx="115">
                  <c:v>-0.73220640206557486</c:v>
                </c:pt>
                <c:pt idx="116">
                  <c:v>-0.73220640206557486</c:v>
                </c:pt>
                <c:pt idx="117">
                  <c:v>-0.34390322188422467</c:v>
                </c:pt>
                <c:pt idx="118">
                  <c:v>-0.34390322188422467</c:v>
                </c:pt>
                <c:pt idx="119">
                  <c:v>-0.34390322188422467</c:v>
                </c:pt>
                <c:pt idx="120">
                  <c:v>-0.34390322188422467</c:v>
                </c:pt>
                <c:pt idx="121">
                  <c:v>-0.34390322188422467</c:v>
                </c:pt>
                <c:pt idx="122">
                  <c:v>-0.34390322188422467</c:v>
                </c:pt>
                <c:pt idx="123">
                  <c:v>-0.34390322188422467</c:v>
                </c:pt>
                <c:pt idx="124">
                  <c:v>0.90669128823943534</c:v>
                </c:pt>
                <c:pt idx="125">
                  <c:v>1.134170815082018</c:v>
                </c:pt>
                <c:pt idx="126">
                  <c:v>1.134170815082018</c:v>
                </c:pt>
                <c:pt idx="127">
                  <c:v>1.134170815082018</c:v>
                </c:pt>
                <c:pt idx="128">
                  <c:v>1.134170815082018</c:v>
                </c:pt>
                <c:pt idx="129">
                  <c:v>1.134170815082018</c:v>
                </c:pt>
                <c:pt idx="130">
                  <c:v>1.134170815082018</c:v>
                </c:pt>
                <c:pt idx="131">
                  <c:v>1.134170815082018</c:v>
                </c:pt>
                <c:pt idx="132">
                  <c:v>1.134170815082018</c:v>
                </c:pt>
                <c:pt idx="133">
                  <c:v>1.134170815082018</c:v>
                </c:pt>
                <c:pt idx="134">
                  <c:v>1.134170815082018</c:v>
                </c:pt>
                <c:pt idx="135">
                  <c:v>1.134170815082018</c:v>
                </c:pt>
                <c:pt idx="136">
                  <c:v>1.134170815082018</c:v>
                </c:pt>
                <c:pt idx="137">
                  <c:v>1.134170815082018</c:v>
                </c:pt>
                <c:pt idx="138">
                  <c:v>1.134170815082018</c:v>
                </c:pt>
                <c:pt idx="139">
                  <c:v>1.134170815082018</c:v>
                </c:pt>
                <c:pt idx="140">
                  <c:v>1.134170815082018</c:v>
                </c:pt>
                <c:pt idx="141">
                  <c:v>1.134170815082018</c:v>
                </c:pt>
                <c:pt idx="142">
                  <c:v>1.134170815082018</c:v>
                </c:pt>
                <c:pt idx="143">
                  <c:v>1.134170815082018</c:v>
                </c:pt>
                <c:pt idx="144">
                  <c:v>1.134170815082018</c:v>
                </c:pt>
                <c:pt idx="145">
                  <c:v>1.134170815082018</c:v>
                </c:pt>
                <c:pt idx="146">
                  <c:v>1.134170815082018</c:v>
                </c:pt>
                <c:pt idx="147">
                  <c:v>1.134170815082018</c:v>
                </c:pt>
                <c:pt idx="148">
                  <c:v>1.134170815082018</c:v>
                </c:pt>
                <c:pt idx="149">
                  <c:v>1.134170815082018</c:v>
                </c:pt>
                <c:pt idx="150">
                  <c:v>1.134170815082018</c:v>
                </c:pt>
                <c:pt idx="151">
                  <c:v>1.134170815082018</c:v>
                </c:pt>
                <c:pt idx="152">
                  <c:v>1.134170815082018</c:v>
                </c:pt>
                <c:pt idx="153">
                  <c:v>1.134170815082018</c:v>
                </c:pt>
                <c:pt idx="154">
                  <c:v>1.134170815082018</c:v>
                </c:pt>
                <c:pt idx="155">
                  <c:v>1.134170815082018</c:v>
                </c:pt>
                <c:pt idx="156">
                  <c:v>1.134170815082018</c:v>
                </c:pt>
                <c:pt idx="157">
                  <c:v>1.134170815082018</c:v>
                </c:pt>
                <c:pt idx="158">
                  <c:v>1.134170815082018</c:v>
                </c:pt>
                <c:pt idx="159">
                  <c:v>1.134170815082018</c:v>
                </c:pt>
                <c:pt idx="160">
                  <c:v>1.134170815082018</c:v>
                </c:pt>
                <c:pt idx="161">
                  <c:v>1.134170815082018</c:v>
                </c:pt>
                <c:pt idx="162">
                  <c:v>1.134170815082018</c:v>
                </c:pt>
                <c:pt idx="163">
                  <c:v>1.134170815082018</c:v>
                </c:pt>
                <c:pt idx="164">
                  <c:v>1.134170815082018</c:v>
                </c:pt>
                <c:pt idx="165">
                  <c:v>1.134170815082018</c:v>
                </c:pt>
                <c:pt idx="166">
                  <c:v>1.134170815082018</c:v>
                </c:pt>
                <c:pt idx="167">
                  <c:v>1.134170815082018</c:v>
                </c:pt>
                <c:pt idx="168">
                  <c:v>1.134170815082018</c:v>
                </c:pt>
                <c:pt idx="169">
                  <c:v>1.134170815082018</c:v>
                </c:pt>
                <c:pt idx="170">
                  <c:v>1.134170815082018</c:v>
                </c:pt>
                <c:pt idx="171">
                  <c:v>1.134170815082018</c:v>
                </c:pt>
                <c:pt idx="172">
                  <c:v>1.134170815082018</c:v>
                </c:pt>
                <c:pt idx="173">
                  <c:v>1.134170815082018</c:v>
                </c:pt>
                <c:pt idx="174">
                  <c:v>1.134170815082018</c:v>
                </c:pt>
                <c:pt idx="175">
                  <c:v>1.134170815082018</c:v>
                </c:pt>
                <c:pt idx="176">
                  <c:v>1.134170815082018</c:v>
                </c:pt>
                <c:pt idx="177">
                  <c:v>1.134170815082018</c:v>
                </c:pt>
                <c:pt idx="178">
                  <c:v>1.134170815082018</c:v>
                </c:pt>
                <c:pt idx="179">
                  <c:v>1.134170815082018</c:v>
                </c:pt>
                <c:pt idx="180">
                  <c:v>1.134170815082018</c:v>
                </c:pt>
                <c:pt idx="181">
                  <c:v>1.134170815082018</c:v>
                </c:pt>
                <c:pt idx="182">
                  <c:v>1.134170815082018</c:v>
                </c:pt>
                <c:pt idx="183">
                  <c:v>1.134170815082018</c:v>
                </c:pt>
                <c:pt idx="184">
                  <c:v>1.134170815082018</c:v>
                </c:pt>
                <c:pt idx="185">
                  <c:v>1.134170815082018</c:v>
                </c:pt>
                <c:pt idx="186">
                  <c:v>1.134170815082018</c:v>
                </c:pt>
                <c:pt idx="187">
                  <c:v>1.134170815082018</c:v>
                </c:pt>
                <c:pt idx="188">
                  <c:v>2.219760648482711</c:v>
                </c:pt>
                <c:pt idx="189">
                  <c:v>2.219760648482711</c:v>
                </c:pt>
                <c:pt idx="190">
                  <c:v>2.219760648482711</c:v>
                </c:pt>
                <c:pt idx="191">
                  <c:v>2.219760648482711</c:v>
                </c:pt>
                <c:pt idx="192">
                  <c:v>1.8997997363687871</c:v>
                </c:pt>
                <c:pt idx="193">
                  <c:v>1.8997997363687871</c:v>
                </c:pt>
                <c:pt idx="194">
                  <c:v>1.8997997363687871</c:v>
                </c:pt>
                <c:pt idx="195">
                  <c:v>1.8997997363687871</c:v>
                </c:pt>
                <c:pt idx="196">
                  <c:v>1.8997997363687871</c:v>
                </c:pt>
                <c:pt idx="197">
                  <c:v>1.8997997363687871</c:v>
                </c:pt>
                <c:pt idx="198">
                  <c:v>1.8997997363687871</c:v>
                </c:pt>
                <c:pt idx="199">
                  <c:v>1.8997997363687871</c:v>
                </c:pt>
                <c:pt idx="200">
                  <c:v>1.8997997363687871</c:v>
                </c:pt>
                <c:pt idx="201">
                  <c:v>1.8997997363687871</c:v>
                </c:pt>
                <c:pt idx="202">
                  <c:v>1.8997997363687871</c:v>
                </c:pt>
                <c:pt idx="203">
                  <c:v>1.8997997363687871</c:v>
                </c:pt>
                <c:pt idx="204">
                  <c:v>1.8997997363687871</c:v>
                </c:pt>
                <c:pt idx="205">
                  <c:v>1.8997997363687871</c:v>
                </c:pt>
                <c:pt idx="206">
                  <c:v>1.8997997363687871</c:v>
                </c:pt>
                <c:pt idx="207">
                  <c:v>1.8997997363687871</c:v>
                </c:pt>
                <c:pt idx="208">
                  <c:v>1.8997997363687871</c:v>
                </c:pt>
                <c:pt idx="209">
                  <c:v>1.8997997363687871</c:v>
                </c:pt>
                <c:pt idx="210">
                  <c:v>1.8997997363687871</c:v>
                </c:pt>
                <c:pt idx="211">
                  <c:v>1.8997997363687871</c:v>
                </c:pt>
                <c:pt idx="212">
                  <c:v>1.8997997363687871</c:v>
                </c:pt>
                <c:pt idx="213">
                  <c:v>1.8997997363687871</c:v>
                </c:pt>
                <c:pt idx="214">
                  <c:v>1.8997997363687871</c:v>
                </c:pt>
                <c:pt idx="215">
                  <c:v>1.8997997363687871</c:v>
                </c:pt>
                <c:pt idx="216">
                  <c:v>1.8997997363687871</c:v>
                </c:pt>
                <c:pt idx="217">
                  <c:v>1.8997997363687871</c:v>
                </c:pt>
                <c:pt idx="218">
                  <c:v>1.8997997363687871</c:v>
                </c:pt>
                <c:pt idx="219">
                  <c:v>1.8997997363687871</c:v>
                </c:pt>
                <c:pt idx="220">
                  <c:v>1.8997997363687871</c:v>
                </c:pt>
                <c:pt idx="221">
                  <c:v>1.8997997363687871</c:v>
                </c:pt>
                <c:pt idx="222">
                  <c:v>1.8997997363687871</c:v>
                </c:pt>
                <c:pt idx="223">
                  <c:v>1.8997997363687871</c:v>
                </c:pt>
                <c:pt idx="224">
                  <c:v>2.2613176128044685</c:v>
                </c:pt>
                <c:pt idx="225">
                  <c:v>2.2613176128044685</c:v>
                </c:pt>
                <c:pt idx="226">
                  <c:v>2.2613176128044685</c:v>
                </c:pt>
                <c:pt idx="227">
                  <c:v>2.2613176128044685</c:v>
                </c:pt>
                <c:pt idx="228">
                  <c:v>2.2613176128044685</c:v>
                </c:pt>
                <c:pt idx="229">
                  <c:v>2.2613176128044685</c:v>
                </c:pt>
                <c:pt idx="230">
                  <c:v>2.2613176128044685</c:v>
                </c:pt>
                <c:pt idx="231">
                  <c:v>2.2613176128044685</c:v>
                </c:pt>
                <c:pt idx="232">
                  <c:v>2.2613176128044685</c:v>
                </c:pt>
                <c:pt idx="233">
                  <c:v>2.2613176128044685</c:v>
                </c:pt>
                <c:pt idx="234">
                  <c:v>2.2613176128044685</c:v>
                </c:pt>
                <c:pt idx="235">
                  <c:v>2.2613176128044685</c:v>
                </c:pt>
                <c:pt idx="236">
                  <c:v>2.2613176128044685</c:v>
                </c:pt>
                <c:pt idx="237">
                  <c:v>2.2613176128044685</c:v>
                </c:pt>
                <c:pt idx="238">
                  <c:v>2.2613176128044685</c:v>
                </c:pt>
                <c:pt idx="239">
                  <c:v>2.2613176128044685</c:v>
                </c:pt>
                <c:pt idx="240">
                  <c:v>2.2613176128044685</c:v>
                </c:pt>
                <c:pt idx="241">
                  <c:v>2.2613176128044685</c:v>
                </c:pt>
                <c:pt idx="242">
                  <c:v>2.2613176128044685</c:v>
                </c:pt>
                <c:pt idx="243">
                  <c:v>2.2613176128044685</c:v>
                </c:pt>
                <c:pt idx="244">
                  <c:v>2.2613176128044685</c:v>
                </c:pt>
                <c:pt idx="245">
                  <c:v>2.2613176128044685</c:v>
                </c:pt>
                <c:pt idx="246">
                  <c:v>2.2613176128044685</c:v>
                </c:pt>
                <c:pt idx="247">
                  <c:v>2.2613176128044685</c:v>
                </c:pt>
                <c:pt idx="248">
                  <c:v>2.2613176128044685</c:v>
                </c:pt>
                <c:pt idx="249">
                  <c:v>2.2613176128044685</c:v>
                </c:pt>
                <c:pt idx="250">
                  <c:v>2.2613176128044685</c:v>
                </c:pt>
                <c:pt idx="251">
                  <c:v>2.2613176128044685</c:v>
                </c:pt>
                <c:pt idx="252">
                  <c:v>2.2613176128044685</c:v>
                </c:pt>
                <c:pt idx="253">
                  <c:v>2.9608324461775686</c:v>
                </c:pt>
                <c:pt idx="254">
                  <c:v>2.9608324461775686</c:v>
                </c:pt>
                <c:pt idx="255">
                  <c:v>2.9608324461775686</c:v>
                </c:pt>
                <c:pt idx="256">
                  <c:v>2.9608324461775686</c:v>
                </c:pt>
                <c:pt idx="257">
                  <c:v>2.9608324461775686</c:v>
                </c:pt>
                <c:pt idx="258">
                  <c:v>2.9608324461775686</c:v>
                </c:pt>
                <c:pt idx="259">
                  <c:v>2.9608324461775686</c:v>
                </c:pt>
                <c:pt idx="260">
                  <c:v>2.9608324461775686</c:v>
                </c:pt>
                <c:pt idx="261">
                  <c:v>2.9608324461775686</c:v>
                </c:pt>
                <c:pt idx="262">
                  <c:v>2.9608324461775686</c:v>
                </c:pt>
                <c:pt idx="263">
                  <c:v>2.9608324461775686</c:v>
                </c:pt>
                <c:pt idx="264">
                  <c:v>2.9608324461775686</c:v>
                </c:pt>
                <c:pt idx="265">
                  <c:v>2.9608324461775686</c:v>
                </c:pt>
                <c:pt idx="266">
                  <c:v>2.9608324461775686</c:v>
                </c:pt>
                <c:pt idx="267">
                  <c:v>2.9608324461775686</c:v>
                </c:pt>
                <c:pt idx="268">
                  <c:v>2.9608324461775686</c:v>
                </c:pt>
                <c:pt idx="269">
                  <c:v>2.9608324461775686</c:v>
                </c:pt>
                <c:pt idx="270">
                  <c:v>2.9608324461775686</c:v>
                </c:pt>
                <c:pt idx="271">
                  <c:v>2.9608324461775686</c:v>
                </c:pt>
                <c:pt idx="272">
                  <c:v>2.9608324461775686</c:v>
                </c:pt>
                <c:pt idx="273">
                  <c:v>2.9608324461775686</c:v>
                </c:pt>
                <c:pt idx="274">
                  <c:v>2.9608324461775686</c:v>
                </c:pt>
                <c:pt idx="275">
                  <c:v>2.9608324461775686</c:v>
                </c:pt>
                <c:pt idx="276">
                  <c:v>2.6008648939569246</c:v>
                </c:pt>
                <c:pt idx="277">
                  <c:v>2.6008648939569246</c:v>
                </c:pt>
                <c:pt idx="278">
                  <c:v>2.6008648939569246</c:v>
                </c:pt>
                <c:pt idx="279">
                  <c:v>2.6008648939569246</c:v>
                </c:pt>
                <c:pt idx="280">
                  <c:v>2.6008648939569246</c:v>
                </c:pt>
                <c:pt idx="281">
                  <c:v>2.6008648939569246</c:v>
                </c:pt>
                <c:pt idx="282">
                  <c:v>2.6008648939569246</c:v>
                </c:pt>
                <c:pt idx="283">
                  <c:v>2.6008648939569246</c:v>
                </c:pt>
                <c:pt idx="284">
                  <c:v>2.6008648939569246</c:v>
                </c:pt>
                <c:pt idx="285">
                  <c:v>2.6008648939569246</c:v>
                </c:pt>
                <c:pt idx="286">
                  <c:v>2.6008648939569246</c:v>
                </c:pt>
                <c:pt idx="287">
                  <c:v>2.6008648939569246</c:v>
                </c:pt>
                <c:pt idx="288">
                  <c:v>2.6008648939569246</c:v>
                </c:pt>
                <c:pt idx="289">
                  <c:v>2.6008648939569246</c:v>
                </c:pt>
                <c:pt idx="290">
                  <c:v>2.6008648939569246</c:v>
                </c:pt>
                <c:pt idx="291">
                  <c:v>2.6008648939569246</c:v>
                </c:pt>
                <c:pt idx="292">
                  <c:v>2.6008648939569246</c:v>
                </c:pt>
                <c:pt idx="293">
                  <c:v>2.6008648939569246</c:v>
                </c:pt>
                <c:pt idx="294">
                  <c:v>2.6008648939569246</c:v>
                </c:pt>
                <c:pt idx="295">
                  <c:v>2.6008648939569246</c:v>
                </c:pt>
                <c:pt idx="296">
                  <c:v>2.6008648939569246</c:v>
                </c:pt>
                <c:pt idx="297">
                  <c:v>2.6008648939569246</c:v>
                </c:pt>
                <c:pt idx="298">
                  <c:v>2.6008648939569246</c:v>
                </c:pt>
                <c:pt idx="299">
                  <c:v>2.6008648939569246</c:v>
                </c:pt>
                <c:pt idx="300">
                  <c:v>2.6008648939569246</c:v>
                </c:pt>
                <c:pt idx="301">
                  <c:v>2.6008648939569246</c:v>
                </c:pt>
                <c:pt idx="302">
                  <c:v>2.5921428046427284</c:v>
                </c:pt>
                <c:pt idx="303">
                  <c:v>2.5921428046427284</c:v>
                </c:pt>
                <c:pt idx="304">
                  <c:v>2.5921428046427284</c:v>
                </c:pt>
                <c:pt idx="305">
                  <c:v>2.5921428046427284</c:v>
                </c:pt>
                <c:pt idx="306">
                  <c:v>2.5921428046427284</c:v>
                </c:pt>
                <c:pt idx="307">
                  <c:v>2.5921428046427284</c:v>
                </c:pt>
                <c:pt idx="308">
                  <c:v>2.5921428046427284</c:v>
                </c:pt>
                <c:pt idx="309">
                  <c:v>2.5921428046427284</c:v>
                </c:pt>
                <c:pt idx="310">
                  <c:v>2.5921428046427284</c:v>
                </c:pt>
                <c:pt idx="311">
                  <c:v>2.5921428046427284</c:v>
                </c:pt>
                <c:pt idx="312">
                  <c:v>2.5921428046427284</c:v>
                </c:pt>
                <c:pt idx="313">
                  <c:v>2.5921428046427284</c:v>
                </c:pt>
                <c:pt idx="314">
                  <c:v>2.5921428046427284</c:v>
                </c:pt>
                <c:pt idx="315">
                  <c:v>2.5921428046427284</c:v>
                </c:pt>
                <c:pt idx="316">
                  <c:v>2.5921428046427284</c:v>
                </c:pt>
                <c:pt idx="317">
                  <c:v>2.5921428046427284</c:v>
                </c:pt>
                <c:pt idx="318">
                  <c:v>2.5921428046427284</c:v>
                </c:pt>
                <c:pt idx="319">
                  <c:v>2.5921428046427284</c:v>
                </c:pt>
                <c:pt idx="320">
                  <c:v>2.5921428046427284</c:v>
                </c:pt>
                <c:pt idx="321">
                  <c:v>2.5921428046427284</c:v>
                </c:pt>
                <c:pt idx="322">
                  <c:v>2.5921428046427284</c:v>
                </c:pt>
                <c:pt idx="323">
                  <c:v>2.5921428046427284</c:v>
                </c:pt>
                <c:pt idx="324">
                  <c:v>0.35024889608215481</c:v>
                </c:pt>
                <c:pt idx="325">
                  <c:v>0.35024889608215481</c:v>
                </c:pt>
                <c:pt idx="326">
                  <c:v>0.35024889608215481</c:v>
                </c:pt>
                <c:pt idx="327">
                  <c:v>0.35024889608215481</c:v>
                </c:pt>
                <c:pt idx="328">
                  <c:v>0.35024889608215481</c:v>
                </c:pt>
                <c:pt idx="329">
                  <c:v>0.35024889608215481</c:v>
                </c:pt>
                <c:pt idx="330">
                  <c:v>0.35024889608215481</c:v>
                </c:pt>
                <c:pt idx="331">
                  <c:v>0.35024889608215481</c:v>
                </c:pt>
                <c:pt idx="332">
                  <c:v>0.35024889608215481</c:v>
                </c:pt>
                <c:pt idx="333">
                  <c:v>0.35024889608215481</c:v>
                </c:pt>
                <c:pt idx="334">
                  <c:v>0.35024889608215481</c:v>
                </c:pt>
                <c:pt idx="335">
                  <c:v>0.35024889608215481</c:v>
                </c:pt>
                <c:pt idx="336">
                  <c:v>0.35024889608215481</c:v>
                </c:pt>
                <c:pt idx="337">
                  <c:v>0.35024889608215481</c:v>
                </c:pt>
                <c:pt idx="338">
                  <c:v>0.35024889608215481</c:v>
                </c:pt>
                <c:pt idx="339">
                  <c:v>-0.25251695990258494</c:v>
                </c:pt>
                <c:pt idx="340">
                  <c:v>-0.25251695990258494</c:v>
                </c:pt>
                <c:pt idx="341">
                  <c:v>-0.25251695990258494</c:v>
                </c:pt>
                <c:pt idx="342">
                  <c:v>-0.25251695990258494</c:v>
                </c:pt>
                <c:pt idx="343">
                  <c:v>-0.25251695990258494</c:v>
                </c:pt>
                <c:pt idx="344">
                  <c:v>-0.25251695990258494</c:v>
                </c:pt>
                <c:pt idx="345">
                  <c:v>-0.25251695990258494</c:v>
                </c:pt>
                <c:pt idx="346">
                  <c:v>-0.25251695990258494</c:v>
                </c:pt>
                <c:pt idx="347">
                  <c:v>-0.25251695990258494</c:v>
                </c:pt>
                <c:pt idx="348">
                  <c:v>-0.25251695990258494</c:v>
                </c:pt>
                <c:pt idx="349">
                  <c:v>-0.25251695990258494</c:v>
                </c:pt>
                <c:pt idx="350">
                  <c:v>-0.25251695990258494</c:v>
                </c:pt>
                <c:pt idx="351">
                  <c:v>-0.25251695990258494</c:v>
                </c:pt>
                <c:pt idx="352">
                  <c:v>-0.30951752990828441</c:v>
                </c:pt>
                <c:pt idx="353">
                  <c:v>-0.30951752990828441</c:v>
                </c:pt>
                <c:pt idx="354">
                  <c:v>-0.30951752990828441</c:v>
                </c:pt>
                <c:pt idx="355">
                  <c:v>-0.30951752990828441</c:v>
                </c:pt>
                <c:pt idx="356">
                  <c:v>-0.30951752990828441</c:v>
                </c:pt>
                <c:pt idx="357">
                  <c:v>-0.30951752990828441</c:v>
                </c:pt>
                <c:pt idx="358">
                  <c:v>-0.30951752990828441</c:v>
                </c:pt>
                <c:pt idx="359">
                  <c:v>-0.30951752990828441</c:v>
                </c:pt>
                <c:pt idx="360">
                  <c:v>-0.30951752990828441</c:v>
                </c:pt>
                <c:pt idx="361">
                  <c:v>-0.30951752990828441</c:v>
                </c:pt>
                <c:pt idx="362">
                  <c:v>-0.30951752990828441</c:v>
                </c:pt>
                <c:pt idx="363">
                  <c:v>-0.30951752990828441</c:v>
                </c:pt>
                <c:pt idx="364">
                  <c:v>-0.59316889659214267</c:v>
                </c:pt>
                <c:pt idx="365">
                  <c:v>-0.59316889659214267</c:v>
                </c:pt>
                <c:pt idx="366">
                  <c:v>-0.59316889659214267</c:v>
                </c:pt>
                <c:pt idx="367">
                  <c:v>-0.59316889659214267</c:v>
                </c:pt>
                <c:pt idx="368">
                  <c:v>-0.59316889659214267</c:v>
                </c:pt>
                <c:pt idx="369">
                  <c:v>-0.21221033709845338</c:v>
                </c:pt>
                <c:pt idx="370">
                  <c:v>-0.21221033709845338</c:v>
                </c:pt>
                <c:pt idx="371">
                  <c:v>0.70760273314856192</c:v>
                </c:pt>
                <c:pt idx="372">
                  <c:v>0.70760273314856192</c:v>
                </c:pt>
                <c:pt idx="373">
                  <c:v>0.70760273314856192</c:v>
                </c:pt>
                <c:pt idx="374">
                  <c:v>0.70760273314856192</c:v>
                </c:pt>
                <c:pt idx="375">
                  <c:v>0.70760273314856192</c:v>
                </c:pt>
                <c:pt idx="376">
                  <c:v>0.70760273314856192</c:v>
                </c:pt>
                <c:pt idx="377">
                  <c:v>0.70760273314856192</c:v>
                </c:pt>
                <c:pt idx="378">
                  <c:v>0.70760273314856192</c:v>
                </c:pt>
                <c:pt idx="379">
                  <c:v>0.70760273314856192</c:v>
                </c:pt>
                <c:pt idx="380">
                  <c:v>0.70760273314856192</c:v>
                </c:pt>
                <c:pt idx="381">
                  <c:v>0.70760273314856192</c:v>
                </c:pt>
                <c:pt idx="382">
                  <c:v>0.70760273314856192</c:v>
                </c:pt>
                <c:pt idx="383">
                  <c:v>0.70760273314856192</c:v>
                </c:pt>
                <c:pt idx="384">
                  <c:v>0.70760273314856192</c:v>
                </c:pt>
                <c:pt idx="385">
                  <c:v>0.70760273314856192</c:v>
                </c:pt>
                <c:pt idx="386">
                  <c:v>0.70760273314856192</c:v>
                </c:pt>
                <c:pt idx="387">
                  <c:v>0.70760273314856192</c:v>
                </c:pt>
                <c:pt idx="388">
                  <c:v>0.70760273314856192</c:v>
                </c:pt>
                <c:pt idx="389">
                  <c:v>0.70760273314856192</c:v>
                </c:pt>
                <c:pt idx="390">
                  <c:v>0.70760273314856192</c:v>
                </c:pt>
                <c:pt idx="391">
                  <c:v>0.70760273314856192</c:v>
                </c:pt>
                <c:pt idx="392">
                  <c:v>0.70760273314856192</c:v>
                </c:pt>
                <c:pt idx="393">
                  <c:v>0.70760273314856192</c:v>
                </c:pt>
                <c:pt idx="394">
                  <c:v>0.70760273314856192</c:v>
                </c:pt>
                <c:pt idx="395">
                  <c:v>0.70760273314856192</c:v>
                </c:pt>
                <c:pt idx="396">
                  <c:v>0.70760273314856192</c:v>
                </c:pt>
                <c:pt idx="397">
                  <c:v>0.70760273314856192</c:v>
                </c:pt>
                <c:pt idx="398">
                  <c:v>0.70760273314856192</c:v>
                </c:pt>
                <c:pt idx="399">
                  <c:v>0.70760273314856192</c:v>
                </c:pt>
                <c:pt idx="400">
                  <c:v>0.70760273314856192</c:v>
                </c:pt>
                <c:pt idx="401">
                  <c:v>0.70760273314856192</c:v>
                </c:pt>
                <c:pt idx="402">
                  <c:v>0.70760273314856192</c:v>
                </c:pt>
                <c:pt idx="403">
                  <c:v>0.14398945264996266</c:v>
                </c:pt>
                <c:pt idx="404">
                  <c:v>0.14398945264996266</c:v>
                </c:pt>
                <c:pt idx="405">
                  <c:v>0.14398945264996266</c:v>
                </c:pt>
                <c:pt idx="406">
                  <c:v>0.14398945264996266</c:v>
                </c:pt>
                <c:pt idx="407">
                  <c:v>0.14398945264996266</c:v>
                </c:pt>
                <c:pt idx="408">
                  <c:v>0.14398945264996266</c:v>
                </c:pt>
                <c:pt idx="409">
                  <c:v>0.14398945264996266</c:v>
                </c:pt>
                <c:pt idx="410">
                  <c:v>0.14398945264996266</c:v>
                </c:pt>
                <c:pt idx="411">
                  <c:v>0.14398945264996266</c:v>
                </c:pt>
                <c:pt idx="412">
                  <c:v>0.14398945264996266</c:v>
                </c:pt>
                <c:pt idx="413">
                  <c:v>0.14398945264996266</c:v>
                </c:pt>
                <c:pt idx="414">
                  <c:v>0.14398945264996266</c:v>
                </c:pt>
                <c:pt idx="415">
                  <c:v>0.14398945264996266</c:v>
                </c:pt>
                <c:pt idx="416">
                  <c:v>0.44261420707039401</c:v>
                </c:pt>
                <c:pt idx="417">
                  <c:v>0.44261420707039401</c:v>
                </c:pt>
                <c:pt idx="418">
                  <c:v>0.44261420707039401</c:v>
                </c:pt>
              </c:numCache>
            </c:numRef>
          </c:val>
          <c:smooth val="0"/>
          <c:extLst>
            <c:ext xmlns:c16="http://schemas.microsoft.com/office/drawing/2014/chart" uri="{C3380CC4-5D6E-409C-BE32-E72D297353CC}">
              <c16:uniqueId val="{0000000B-CFC7-4AE2-BBA7-ADFD494951EC}"/>
            </c:ext>
          </c:extLst>
        </c:ser>
        <c:ser>
          <c:idx val="1"/>
          <c:order val="4"/>
          <c:tx>
            <c:strRef>
              <c:f>'2025-Q2'!$CW$2</c:f>
              <c:strCache>
                <c:ptCount val="1"/>
                <c:pt idx="0">
                  <c:v>XLY</c:v>
                </c:pt>
              </c:strCache>
            </c:strRef>
          </c:tx>
          <c:spPr>
            <a:ln w="19050" cap="rnd">
              <a:solidFill>
                <a:srgbClr val="FF0000"/>
              </a:solidFill>
              <a:prstDash val="sysDash"/>
              <a:round/>
            </a:ln>
            <a:effectLst/>
          </c:spPr>
          <c:marker>
            <c:symbol val="none"/>
          </c:marker>
          <c:val>
            <c:numRef>
              <c:f>'2025-Q2'!$DC$4:$DC$422</c:f>
              <c:numCache>
                <c:formatCode>0.00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-0.63271328921481373</c:v>
                </c:pt>
                <c:pt idx="42">
                  <c:v>-0.63271328921481373</c:v>
                </c:pt>
                <c:pt idx="43">
                  <c:v>-0.63271328921481373</c:v>
                </c:pt>
                <c:pt idx="44">
                  <c:v>-0.63271328921481373</c:v>
                </c:pt>
                <c:pt idx="45">
                  <c:v>-0.63271328921481373</c:v>
                </c:pt>
                <c:pt idx="46">
                  <c:v>-0.63271328921481373</c:v>
                </c:pt>
                <c:pt idx="47">
                  <c:v>-0.63271328921481373</c:v>
                </c:pt>
                <c:pt idx="48">
                  <c:v>-0.63271328921481373</c:v>
                </c:pt>
                <c:pt idx="49">
                  <c:v>-0.63271328921481373</c:v>
                </c:pt>
                <c:pt idx="50">
                  <c:v>-0.63271328921481373</c:v>
                </c:pt>
                <c:pt idx="51">
                  <c:v>-0.63271328921481373</c:v>
                </c:pt>
                <c:pt idx="52">
                  <c:v>-0.63271328921481373</c:v>
                </c:pt>
                <c:pt idx="53">
                  <c:v>-0.63271328921481373</c:v>
                </c:pt>
                <c:pt idx="54">
                  <c:v>-0.63271328921481373</c:v>
                </c:pt>
                <c:pt idx="55">
                  <c:v>-0.63271328921481373</c:v>
                </c:pt>
                <c:pt idx="56">
                  <c:v>-0.63271328921481373</c:v>
                </c:pt>
                <c:pt idx="57">
                  <c:v>-0.63271328921481373</c:v>
                </c:pt>
                <c:pt idx="58">
                  <c:v>-0.63271328921481373</c:v>
                </c:pt>
                <c:pt idx="59">
                  <c:v>0.55020892787137554</c:v>
                </c:pt>
                <c:pt idx="60">
                  <c:v>0.55020892787137554</c:v>
                </c:pt>
                <c:pt idx="61">
                  <c:v>0.55020892787137554</c:v>
                </c:pt>
                <c:pt idx="62">
                  <c:v>0.55020892787137554</c:v>
                </c:pt>
                <c:pt idx="63">
                  <c:v>0.55020892787137554</c:v>
                </c:pt>
                <c:pt idx="64">
                  <c:v>0.55020892787137554</c:v>
                </c:pt>
                <c:pt idx="65">
                  <c:v>0.55020892787137554</c:v>
                </c:pt>
                <c:pt idx="66">
                  <c:v>0.55020892787137554</c:v>
                </c:pt>
                <c:pt idx="67">
                  <c:v>0.55020892787137554</c:v>
                </c:pt>
                <c:pt idx="68">
                  <c:v>0.55020892787137554</c:v>
                </c:pt>
                <c:pt idx="69">
                  <c:v>0.55020892787137554</c:v>
                </c:pt>
                <c:pt idx="70">
                  <c:v>0.55020892787137554</c:v>
                </c:pt>
                <c:pt idx="71">
                  <c:v>0.55020892787137554</c:v>
                </c:pt>
                <c:pt idx="72">
                  <c:v>0.55020892787137554</c:v>
                </c:pt>
                <c:pt idx="73">
                  <c:v>0.55020892787137554</c:v>
                </c:pt>
                <c:pt idx="74">
                  <c:v>0.55020892787137554</c:v>
                </c:pt>
                <c:pt idx="75">
                  <c:v>0.55020892787137554</c:v>
                </c:pt>
                <c:pt idx="76">
                  <c:v>0.55020892787137554</c:v>
                </c:pt>
                <c:pt idx="77">
                  <c:v>0.55020892787137554</c:v>
                </c:pt>
                <c:pt idx="78">
                  <c:v>0.55020892787137554</c:v>
                </c:pt>
                <c:pt idx="79">
                  <c:v>0.50657891041936853</c:v>
                </c:pt>
                <c:pt idx="80">
                  <c:v>0.65697541028264705</c:v>
                </c:pt>
                <c:pt idx="81">
                  <c:v>0.65697541028264705</c:v>
                </c:pt>
                <c:pt idx="82">
                  <c:v>0.65697541028264705</c:v>
                </c:pt>
                <c:pt idx="83">
                  <c:v>0.65697541028264705</c:v>
                </c:pt>
                <c:pt idx="84">
                  <c:v>0.65697541028264705</c:v>
                </c:pt>
                <c:pt idx="85">
                  <c:v>0.65697541028264705</c:v>
                </c:pt>
                <c:pt idx="86">
                  <c:v>0.65697541028264705</c:v>
                </c:pt>
                <c:pt idx="87">
                  <c:v>0.65697541028264705</c:v>
                </c:pt>
                <c:pt idx="88">
                  <c:v>0.65697541028264705</c:v>
                </c:pt>
                <c:pt idx="89">
                  <c:v>0.65697541028264705</c:v>
                </c:pt>
                <c:pt idx="90">
                  <c:v>0.65697541028264705</c:v>
                </c:pt>
                <c:pt idx="91">
                  <c:v>0.65697541028264705</c:v>
                </c:pt>
                <c:pt idx="92">
                  <c:v>0.65697541028264705</c:v>
                </c:pt>
                <c:pt idx="93">
                  <c:v>-0.20084356033458922</c:v>
                </c:pt>
                <c:pt idx="94">
                  <c:v>-0.20084356033458922</c:v>
                </c:pt>
                <c:pt idx="95">
                  <c:v>-0.20084356033458922</c:v>
                </c:pt>
                <c:pt idx="96">
                  <c:v>-0.20084356033458922</c:v>
                </c:pt>
                <c:pt idx="97">
                  <c:v>-0.20084356033458922</c:v>
                </c:pt>
                <c:pt idx="98">
                  <c:v>-0.20084356033458922</c:v>
                </c:pt>
                <c:pt idx="99">
                  <c:v>-0.84567305633902046</c:v>
                </c:pt>
                <c:pt idx="100">
                  <c:v>-2.0982826596793132</c:v>
                </c:pt>
                <c:pt idx="101">
                  <c:v>-2.0982826596793132</c:v>
                </c:pt>
                <c:pt idx="102">
                  <c:v>-2.0982826596793132</c:v>
                </c:pt>
                <c:pt idx="103">
                  <c:v>-2.0982826596793132</c:v>
                </c:pt>
                <c:pt idx="104">
                  <c:v>-2.0982826596793132</c:v>
                </c:pt>
                <c:pt idx="105">
                  <c:v>-2.0982826596793132</c:v>
                </c:pt>
                <c:pt idx="106">
                  <c:v>-2.0982826596793132</c:v>
                </c:pt>
                <c:pt idx="107">
                  <c:v>-2.0982826596793132</c:v>
                </c:pt>
                <c:pt idx="108">
                  <c:v>-2.0982826596793132</c:v>
                </c:pt>
                <c:pt idx="109">
                  <c:v>-2.0982826596793132</c:v>
                </c:pt>
                <c:pt idx="110">
                  <c:v>-2.0982826596793132</c:v>
                </c:pt>
                <c:pt idx="111">
                  <c:v>-2.0982826596793132</c:v>
                </c:pt>
                <c:pt idx="112">
                  <c:v>-2.0982826596793132</c:v>
                </c:pt>
                <c:pt idx="113">
                  <c:v>-2.0982826596793132</c:v>
                </c:pt>
                <c:pt idx="114">
                  <c:v>-2.0982826596793132</c:v>
                </c:pt>
                <c:pt idx="115">
                  <c:v>-2.0982826596793132</c:v>
                </c:pt>
                <c:pt idx="116">
                  <c:v>-2.0982826596793132</c:v>
                </c:pt>
                <c:pt idx="117">
                  <c:v>-2.0982826596793132</c:v>
                </c:pt>
                <c:pt idx="118">
                  <c:v>-2.0982826596793132</c:v>
                </c:pt>
                <c:pt idx="119">
                  <c:v>-2.0982826596793132</c:v>
                </c:pt>
                <c:pt idx="120">
                  <c:v>-2.0982826596793132</c:v>
                </c:pt>
                <c:pt idx="121">
                  <c:v>-2.0982826596793132</c:v>
                </c:pt>
                <c:pt idx="122">
                  <c:v>-2.0982826596793132</c:v>
                </c:pt>
                <c:pt idx="123">
                  <c:v>-2.0982826596793132</c:v>
                </c:pt>
                <c:pt idx="124">
                  <c:v>-2.0982826596793132</c:v>
                </c:pt>
                <c:pt idx="125">
                  <c:v>-2.0982826596793132</c:v>
                </c:pt>
                <c:pt idx="126">
                  <c:v>-1.6822131298378817</c:v>
                </c:pt>
                <c:pt idx="127">
                  <c:v>-1.6822131298378817</c:v>
                </c:pt>
                <c:pt idx="128">
                  <c:v>-1.4565813608848133</c:v>
                </c:pt>
                <c:pt idx="129">
                  <c:v>-1.4565813608848133</c:v>
                </c:pt>
                <c:pt idx="130">
                  <c:v>-1.4565813608848133</c:v>
                </c:pt>
                <c:pt idx="131">
                  <c:v>-1.4565813608848133</c:v>
                </c:pt>
                <c:pt idx="132">
                  <c:v>-1.9258164723722557</c:v>
                </c:pt>
                <c:pt idx="133">
                  <c:v>-1.9258164723722557</c:v>
                </c:pt>
                <c:pt idx="134">
                  <c:v>-1.9258164723722557</c:v>
                </c:pt>
                <c:pt idx="135">
                  <c:v>-1.9258164723722557</c:v>
                </c:pt>
                <c:pt idx="136">
                  <c:v>-1.9258164723722557</c:v>
                </c:pt>
                <c:pt idx="137">
                  <c:v>-1.9258164723722557</c:v>
                </c:pt>
                <c:pt idx="138">
                  <c:v>-1.9258164723722557</c:v>
                </c:pt>
                <c:pt idx="139">
                  <c:v>-1.9258164723722557</c:v>
                </c:pt>
                <c:pt idx="140">
                  <c:v>-1.9258164723722557</c:v>
                </c:pt>
                <c:pt idx="141">
                  <c:v>-1.9258164723722557</c:v>
                </c:pt>
                <c:pt idx="142">
                  <c:v>-1.9258164723722557</c:v>
                </c:pt>
                <c:pt idx="143">
                  <c:v>-1.9258164723722557</c:v>
                </c:pt>
                <c:pt idx="144">
                  <c:v>-1.9258164723722557</c:v>
                </c:pt>
                <c:pt idx="145">
                  <c:v>-1.9258164723722557</c:v>
                </c:pt>
                <c:pt idx="146">
                  <c:v>-1.9258164723722557</c:v>
                </c:pt>
                <c:pt idx="147">
                  <c:v>-1.9258164723722557</c:v>
                </c:pt>
                <c:pt idx="148">
                  <c:v>-1.9258164723722557</c:v>
                </c:pt>
                <c:pt idx="149">
                  <c:v>-1.9258164723722557</c:v>
                </c:pt>
                <c:pt idx="150">
                  <c:v>-1.9258164723722557</c:v>
                </c:pt>
                <c:pt idx="151">
                  <c:v>-1.9258164723722557</c:v>
                </c:pt>
                <c:pt idx="152">
                  <c:v>-1.9258164723722557</c:v>
                </c:pt>
                <c:pt idx="153">
                  <c:v>-3.5915010137197294</c:v>
                </c:pt>
                <c:pt idx="154">
                  <c:v>-3.5915010137197294</c:v>
                </c:pt>
                <c:pt idx="155">
                  <c:v>-3.5915010137197294</c:v>
                </c:pt>
                <c:pt idx="156">
                  <c:v>-3.5915010137197294</c:v>
                </c:pt>
                <c:pt idx="157">
                  <c:v>-3.5915010137197294</c:v>
                </c:pt>
                <c:pt idx="158">
                  <c:v>-3.1568219616773341</c:v>
                </c:pt>
                <c:pt idx="159">
                  <c:v>-3.1568219616773341</c:v>
                </c:pt>
                <c:pt idx="160">
                  <c:v>-3.1568219616773341</c:v>
                </c:pt>
                <c:pt idx="161">
                  <c:v>-3.1568219616773341</c:v>
                </c:pt>
                <c:pt idx="162">
                  <c:v>-3.1568219616773341</c:v>
                </c:pt>
                <c:pt idx="163">
                  <c:v>-3.1568219616773341</c:v>
                </c:pt>
                <c:pt idx="164">
                  <c:v>-3.1568219616773341</c:v>
                </c:pt>
                <c:pt idx="165">
                  <c:v>-3.1568219616773341</c:v>
                </c:pt>
                <c:pt idx="166">
                  <c:v>-3.1568219616773341</c:v>
                </c:pt>
                <c:pt idx="167">
                  <c:v>-3.1568219616773341</c:v>
                </c:pt>
                <c:pt idx="168">
                  <c:v>-3.1568219616773341</c:v>
                </c:pt>
                <c:pt idx="169">
                  <c:v>-3.1793917587748557</c:v>
                </c:pt>
                <c:pt idx="170">
                  <c:v>-3.1793917587748557</c:v>
                </c:pt>
                <c:pt idx="171">
                  <c:v>-4.659058588760157</c:v>
                </c:pt>
                <c:pt idx="172">
                  <c:v>-4.659058588760157</c:v>
                </c:pt>
                <c:pt idx="173">
                  <c:v>-4.659058588760157</c:v>
                </c:pt>
                <c:pt idx="174">
                  <c:v>-2.990474008783174</c:v>
                </c:pt>
                <c:pt idx="175">
                  <c:v>-2.990474008783174</c:v>
                </c:pt>
                <c:pt idx="176">
                  <c:v>-2.990474008783174</c:v>
                </c:pt>
                <c:pt idx="177">
                  <c:v>-2.990474008783174</c:v>
                </c:pt>
                <c:pt idx="178">
                  <c:v>-2.990474008783174</c:v>
                </c:pt>
                <c:pt idx="179">
                  <c:v>-2.990474008783174</c:v>
                </c:pt>
                <c:pt idx="180">
                  <c:v>-2.990474008783174</c:v>
                </c:pt>
                <c:pt idx="181">
                  <c:v>-2.990474008783174</c:v>
                </c:pt>
                <c:pt idx="182">
                  <c:v>-2.990474008783174</c:v>
                </c:pt>
                <c:pt idx="183">
                  <c:v>-2.990474008783174</c:v>
                </c:pt>
                <c:pt idx="184">
                  <c:v>-2.990474008783174</c:v>
                </c:pt>
                <c:pt idx="185">
                  <c:v>-3.827515754915825</c:v>
                </c:pt>
                <c:pt idx="186">
                  <c:v>-3.827515754915825</c:v>
                </c:pt>
                <c:pt idx="187">
                  <c:v>-3.365367867591881</c:v>
                </c:pt>
                <c:pt idx="188">
                  <c:v>-3.365367867591881</c:v>
                </c:pt>
                <c:pt idx="189">
                  <c:v>-3.365367867591881</c:v>
                </c:pt>
                <c:pt idx="190">
                  <c:v>-3.365367867591881</c:v>
                </c:pt>
                <c:pt idx="191">
                  <c:v>-3.365367867591881</c:v>
                </c:pt>
                <c:pt idx="192">
                  <c:v>-3.365367867591881</c:v>
                </c:pt>
                <c:pt idx="193">
                  <c:v>-3.365367867591881</c:v>
                </c:pt>
                <c:pt idx="194">
                  <c:v>-3.365367867591881</c:v>
                </c:pt>
                <c:pt idx="195">
                  <c:v>-3.365367867591881</c:v>
                </c:pt>
                <c:pt idx="196">
                  <c:v>-3.365367867591881</c:v>
                </c:pt>
                <c:pt idx="197">
                  <c:v>-3.365367867591881</c:v>
                </c:pt>
                <c:pt idx="198">
                  <c:v>-3.365367867591881</c:v>
                </c:pt>
                <c:pt idx="199">
                  <c:v>-3.365367867591881</c:v>
                </c:pt>
                <c:pt idx="200">
                  <c:v>-3.7040195178343338</c:v>
                </c:pt>
                <c:pt idx="201">
                  <c:v>-3.7040195178343338</c:v>
                </c:pt>
                <c:pt idx="202">
                  <c:v>-3.7040195178343338</c:v>
                </c:pt>
                <c:pt idx="203">
                  <c:v>-3.7040195178343338</c:v>
                </c:pt>
                <c:pt idx="204">
                  <c:v>-3.7040195178343338</c:v>
                </c:pt>
                <c:pt idx="205">
                  <c:v>-3.7040195178343338</c:v>
                </c:pt>
                <c:pt idx="206">
                  <c:v>-3.7040195178343338</c:v>
                </c:pt>
                <c:pt idx="207">
                  <c:v>-3.7040195178343338</c:v>
                </c:pt>
                <c:pt idx="208">
                  <c:v>-3.7040195178343338</c:v>
                </c:pt>
                <c:pt idx="209">
                  <c:v>-3.7040195178343338</c:v>
                </c:pt>
                <c:pt idx="210">
                  <c:v>-3.7040195178343338</c:v>
                </c:pt>
                <c:pt idx="211">
                  <c:v>-3.7040195178343338</c:v>
                </c:pt>
                <c:pt idx="212">
                  <c:v>-3.7040195178343338</c:v>
                </c:pt>
                <c:pt idx="213">
                  <c:v>-3.7040195178343338</c:v>
                </c:pt>
                <c:pt idx="214">
                  <c:v>-3.1607317505718027</c:v>
                </c:pt>
                <c:pt idx="215">
                  <c:v>-3.1607317505718027</c:v>
                </c:pt>
                <c:pt idx="216">
                  <c:v>-3.1607317505718027</c:v>
                </c:pt>
                <c:pt idx="217">
                  <c:v>-3.1607317505718027</c:v>
                </c:pt>
                <c:pt idx="218">
                  <c:v>-3.1607317505718027</c:v>
                </c:pt>
                <c:pt idx="219">
                  <c:v>-3.1607317505718027</c:v>
                </c:pt>
                <c:pt idx="220">
                  <c:v>-3.1607317505718027</c:v>
                </c:pt>
                <c:pt idx="221">
                  <c:v>-3.1607317505718027</c:v>
                </c:pt>
                <c:pt idx="222">
                  <c:v>-3.1607317505718027</c:v>
                </c:pt>
                <c:pt idx="223">
                  <c:v>-3.1607317505718027</c:v>
                </c:pt>
                <c:pt idx="224">
                  <c:v>-3.1607317505718027</c:v>
                </c:pt>
                <c:pt idx="225">
                  <c:v>-3.1607317505718027</c:v>
                </c:pt>
                <c:pt idx="226">
                  <c:v>-3.1607317505718027</c:v>
                </c:pt>
                <c:pt idx="227">
                  <c:v>-2.6957247050105053</c:v>
                </c:pt>
                <c:pt idx="228">
                  <c:v>-2.6957247050105053</c:v>
                </c:pt>
                <c:pt idx="229">
                  <c:v>-2.6957247050105053</c:v>
                </c:pt>
                <c:pt idx="230">
                  <c:v>-2.6957247050105053</c:v>
                </c:pt>
                <c:pt idx="231">
                  <c:v>-2.6957247050105053</c:v>
                </c:pt>
                <c:pt idx="232">
                  <c:v>-2.6957247050105053</c:v>
                </c:pt>
                <c:pt idx="233">
                  <c:v>-2.6957247050105053</c:v>
                </c:pt>
                <c:pt idx="234">
                  <c:v>-2.6957247050105053</c:v>
                </c:pt>
                <c:pt idx="235">
                  <c:v>-2.6957247050105053</c:v>
                </c:pt>
                <c:pt idx="236">
                  <c:v>-2.6957247050105053</c:v>
                </c:pt>
                <c:pt idx="237">
                  <c:v>-2.6957247050105053</c:v>
                </c:pt>
                <c:pt idx="238">
                  <c:v>-2.6957247050105053</c:v>
                </c:pt>
                <c:pt idx="239">
                  <c:v>-2.6957247050105053</c:v>
                </c:pt>
                <c:pt idx="240">
                  <c:v>-2.6957247050105053</c:v>
                </c:pt>
                <c:pt idx="241">
                  <c:v>-2.6957247050105053</c:v>
                </c:pt>
                <c:pt idx="242">
                  <c:v>-2.5875052868541744</c:v>
                </c:pt>
                <c:pt idx="243">
                  <c:v>-2.1964077947164395</c:v>
                </c:pt>
                <c:pt idx="244">
                  <c:v>-2.1964077947164395</c:v>
                </c:pt>
                <c:pt idx="245">
                  <c:v>-2.1964077947164395</c:v>
                </c:pt>
                <c:pt idx="246">
                  <c:v>-2.1964077947164395</c:v>
                </c:pt>
                <c:pt idx="247">
                  <c:v>-2.1964077947164395</c:v>
                </c:pt>
                <c:pt idx="248">
                  <c:v>-2.1964077947164395</c:v>
                </c:pt>
                <c:pt idx="249">
                  <c:v>-2.1964077947164395</c:v>
                </c:pt>
                <c:pt idx="250">
                  <c:v>-2.1964077947164395</c:v>
                </c:pt>
                <c:pt idx="251">
                  <c:v>-2.1964077947164395</c:v>
                </c:pt>
                <c:pt idx="252">
                  <c:v>-2.1964077947164395</c:v>
                </c:pt>
                <c:pt idx="253">
                  <c:v>-2.1964077947164395</c:v>
                </c:pt>
                <c:pt idx="254">
                  <c:v>-2.1964077947164395</c:v>
                </c:pt>
                <c:pt idx="255">
                  <c:v>-2.1964077947164395</c:v>
                </c:pt>
                <c:pt idx="256">
                  <c:v>-2.3275123505997555</c:v>
                </c:pt>
                <c:pt idx="257">
                  <c:v>-2.3275123505997555</c:v>
                </c:pt>
                <c:pt idx="258">
                  <c:v>-2.3275123505997555</c:v>
                </c:pt>
                <c:pt idx="259">
                  <c:v>-2.3275123505997555</c:v>
                </c:pt>
                <c:pt idx="260">
                  <c:v>-2.3275123505997555</c:v>
                </c:pt>
                <c:pt idx="261">
                  <c:v>-2.3275123505997555</c:v>
                </c:pt>
                <c:pt idx="262">
                  <c:v>-2.3275123505997555</c:v>
                </c:pt>
                <c:pt idx="263">
                  <c:v>-2.3275123505997555</c:v>
                </c:pt>
                <c:pt idx="264">
                  <c:v>-2.3275123505997555</c:v>
                </c:pt>
                <c:pt idx="265">
                  <c:v>-2.3275123505997555</c:v>
                </c:pt>
                <c:pt idx="266">
                  <c:v>-1.7296503643768726</c:v>
                </c:pt>
                <c:pt idx="267">
                  <c:v>-1.7296503643768726</c:v>
                </c:pt>
                <c:pt idx="268">
                  <c:v>-1.7296503643768726</c:v>
                </c:pt>
                <c:pt idx="269">
                  <c:v>-1.7296503643768726</c:v>
                </c:pt>
                <c:pt idx="270">
                  <c:v>-1.7296503643768726</c:v>
                </c:pt>
                <c:pt idx="271">
                  <c:v>-1.7296503643768726</c:v>
                </c:pt>
                <c:pt idx="272">
                  <c:v>-1.7296503643768726</c:v>
                </c:pt>
                <c:pt idx="273">
                  <c:v>-2.6749603286741817</c:v>
                </c:pt>
                <c:pt idx="274">
                  <c:v>-2.6749603286741817</c:v>
                </c:pt>
                <c:pt idx="275">
                  <c:v>-2.6749603286741817</c:v>
                </c:pt>
                <c:pt idx="276">
                  <c:v>-2.6749603286741817</c:v>
                </c:pt>
                <c:pt idx="277">
                  <c:v>-2.6749603286741817</c:v>
                </c:pt>
                <c:pt idx="278">
                  <c:v>-2.6749603286741817</c:v>
                </c:pt>
                <c:pt idx="279">
                  <c:v>-2.6034295704481445</c:v>
                </c:pt>
                <c:pt idx="280">
                  <c:v>-2.6034295704481445</c:v>
                </c:pt>
                <c:pt idx="281">
                  <c:v>-2.6034295704481445</c:v>
                </c:pt>
                <c:pt idx="282">
                  <c:v>-2.6034295704481445</c:v>
                </c:pt>
                <c:pt idx="283">
                  <c:v>-2.6034295704481445</c:v>
                </c:pt>
                <c:pt idx="284">
                  <c:v>-2.6034295704481445</c:v>
                </c:pt>
                <c:pt idx="285">
                  <c:v>-2.6034295704481445</c:v>
                </c:pt>
                <c:pt idx="286">
                  <c:v>-2.068627527025412</c:v>
                </c:pt>
                <c:pt idx="287">
                  <c:v>-2.068627527025412</c:v>
                </c:pt>
                <c:pt idx="288">
                  <c:v>-2.068627527025412</c:v>
                </c:pt>
                <c:pt idx="289">
                  <c:v>-2.068627527025412</c:v>
                </c:pt>
                <c:pt idx="290">
                  <c:v>-2.068627527025412</c:v>
                </c:pt>
                <c:pt idx="291">
                  <c:v>-2.068627527025412</c:v>
                </c:pt>
                <c:pt idx="292">
                  <c:v>-2.068627527025412</c:v>
                </c:pt>
                <c:pt idx="293">
                  <c:v>-2.068627527025412</c:v>
                </c:pt>
                <c:pt idx="294">
                  <c:v>-2.068627527025412</c:v>
                </c:pt>
                <c:pt idx="295">
                  <c:v>-2.068627527025412</c:v>
                </c:pt>
                <c:pt idx="296">
                  <c:v>-2.068627527025412</c:v>
                </c:pt>
                <c:pt idx="297">
                  <c:v>-2.068627527025412</c:v>
                </c:pt>
                <c:pt idx="298">
                  <c:v>-2.6433401707035724</c:v>
                </c:pt>
                <c:pt idx="299">
                  <c:v>-2.6433401707035724</c:v>
                </c:pt>
                <c:pt idx="300">
                  <c:v>-2.6433401707035724</c:v>
                </c:pt>
                <c:pt idx="301">
                  <c:v>-2.6433401707035724</c:v>
                </c:pt>
                <c:pt idx="302">
                  <c:v>-2.6433401707035724</c:v>
                </c:pt>
                <c:pt idx="303">
                  <c:v>-2.6433401707035724</c:v>
                </c:pt>
                <c:pt idx="304">
                  <c:v>-2.6433401707035724</c:v>
                </c:pt>
                <c:pt idx="305">
                  <c:v>-2.6433401707035724</c:v>
                </c:pt>
                <c:pt idx="306">
                  <c:v>-2.6433401707035724</c:v>
                </c:pt>
                <c:pt idx="307">
                  <c:v>-2.6433401707035724</c:v>
                </c:pt>
                <c:pt idx="308">
                  <c:v>-2.6433401707035724</c:v>
                </c:pt>
                <c:pt idx="309">
                  <c:v>-2.6433401707035724</c:v>
                </c:pt>
                <c:pt idx="310">
                  <c:v>-2.6433401707035724</c:v>
                </c:pt>
                <c:pt idx="311">
                  <c:v>-2.6433401707035724</c:v>
                </c:pt>
                <c:pt idx="312">
                  <c:v>-2.6433401707035724</c:v>
                </c:pt>
                <c:pt idx="313">
                  <c:v>-1.653373615519627</c:v>
                </c:pt>
                <c:pt idx="314">
                  <c:v>-1.653373615519627</c:v>
                </c:pt>
                <c:pt idx="315">
                  <c:v>-1.653373615519627</c:v>
                </c:pt>
                <c:pt idx="316">
                  <c:v>-1.653373615519627</c:v>
                </c:pt>
                <c:pt idx="317">
                  <c:v>-1.653373615519627</c:v>
                </c:pt>
                <c:pt idx="318">
                  <c:v>-3.2708263247529161</c:v>
                </c:pt>
                <c:pt idx="319">
                  <c:v>-3.2708263247529161</c:v>
                </c:pt>
                <c:pt idx="320">
                  <c:v>-3.2708263247529161</c:v>
                </c:pt>
                <c:pt idx="321">
                  <c:v>-3.2708263247529161</c:v>
                </c:pt>
                <c:pt idx="322">
                  <c:v>-3.2708263247529161</c:v>
                </c:pt>
                <c:pt idx="323">
                  <c:v>-3.2708263247529161</c:v>
                </c:pt>
                <c:pt idx="324">
                  <c:v>-3.2708263247529161</c:v>
                </c:pt>
                <c:pt idx="325">
                  <c:v>-3.2708263247529161</c:v>
                </c:pt>
                <c:pt idx="326">
                  <c:v>-3.2708263247529161</c:v>
                </c:pt>
                <c:pt idx="327">
                  <c:v>-3.2708263247529161</c:v>
                </c:pt>
                <c:pt idx="328">
                  <c:v>-3.2708263247529161</c:v>
                </c:pt>
                <c:pt idx="329">
                  <c:v>-3.2708263247529161</c:v>
                </c:pt>
                <c:pt idx="330">
                  <c:v>-3.2708263247529161</c:v>
                </c:pt>
                <c:pt idx="331">
                  <c:v>-3.2708263247529161</c:v>
                </c:pt>
                <c:pt idx="332">
                  <c:v>-3.2708263247529161</c:v>
                </c:pt>
                <c:pt idx="333">
                  <c:v>-3.2708263247529161</c:v>
                </c:pt>
                <c:pt idx="334">
                  <c:v>-3.2708263247529161</c:v>
                </c:pt>
                <c:pt idx="335">
                  <c:v>-3.2708263247529161</c:v>
                </c:pt>
                <c:pt idx="336">
                  <c:v>-3.2708263247529161</c:v>
                </c:pt>
                <c:pt idx="337">
                  <c:v>-3.2708263247529161</c:v>
                </c:pt>
                <c:pt idx="338">
                  <c:v>-3.2708263247529161</c:v>
                </c:pt>
                <c:pt idx="339">
                  <c:v>-3.2708263247529161</c:v>
                </c:pt>
                <c:pt idx="340">
                  <c:v>-3.2708263247529161</c:v>
                </c:pt>
                <c:pt idx="341">
                  <c:v>-3.2708263247529161</c:v>
                </c:pt>
                <c:pt idx="342">
                  <c:v>-3.2708263247529161</c:v>
                </c:pt>
                <c:pt idx="343">
                  <c:v>-2.9637463521660634</c:v>
                </c:pt>
                <c:pt idx="344">
                  <c:v>-2.9637463521660634</c:v>
                </c:pt>
                <c:pt idx="345">
                  <c:v>-2.9637463521660634</c:v>
                </c:pt>
                <c:pt idx="346">
                  <c:v>-2.9637463521660634</c:v>
                </c:pt>
                <c:pt idx="347">
                  <c:v>-2.9637463521660634</c:v>
                </c:pt>
                <c:pt idx="348">
                  <c:v>-3.0682508566705651</c:v>
                </c:pt>
                <c:pt idx="349">
                  <c:v>-3.5351596241796459</c:v>
                </c:pt>
                <c:pt idx="350">
                  <c:v>-3.5351596241796459</c:v>
                </c:pt>
                <c:pt idx="351">
                  <c:v>-3.5351596241796459</c:v>
                </c:pt>
                <c:pt idx="352">
                  <c:v>-3.5351596241796459</c:v>
                </c:pt>
                <c:pt idx="353">
                  <c:v>-4.1503925729163207</c:v>
                </c:pt>
                <c:pt idx="354">
                  <c:v>-4.1503925729163207</c:v>
                </c:pt>
                <c:pt idx="355">
                  <c:v>-5.2838688314521338</c:v>
                </c:pt>
                <c:pt idx="356">
                  <c:v>-5.2838688314521338</c:v>
                </c:pt>
                <c:pt idx="357">
                  <c:v>-1.5623207308890432</c:v>
                </c:pt>
                <c:pt idx="358">
                  <c:v>-1.5623207308890432</c:v>
                </c:pt>
                <c:pt idx="359">
                  <c:v>-3.4944499043975288</c:v>
                </c:pt>
                <c:pt idx="360">
                  <c:v>-3.4944499043975288</c:v>
                </c:pt>
                <c:pt idx="361">
                  <c:v>-3.4944499043975288</c:v>
                </c:pt>
                <c:pt idx="362">
                  <c:v>-3.4944499043975288</c:v>
                </c:pt>
                <c:pt idx="363">
                  <c:v>-3.4944499043975288</c:v>
                </c:pt>
                <c:pt idx="364">
                  <c:v>-3.4944499043975288</c:v>
                </c:pt>
                <c:pt idx="365">
                  <c:v>-4.1312162388382836</c:v>
                </c:pt>
                <c:pt idx="366">
                  <c:v>-9.9056815661227926</c:v>
                </c:pt>
                <c:pt idx="367">
                  <c:v>-10.893895701507173</c:v>
                </c:pt>
                <c:pt idx="368">
                  <c:v>-10.893895701507173</c:v>
                </c:pt>
                <c:pt idx="369">
                  <c:v>-10.893895701507173</c:v>
                </c:pt>
                <c:pt idx="370">
                  <c:v>-10.893895701507173</c:v>
                </c:pt>
                <c:pt idx="371">
                  <c:v>-10.893895701507173</c:v>
                </c:pt>
                <c:pt idx="372">
                  <c:v>-10.893895701507173</c:v>
                </c:pt>
                <c:pt idx="373">
                  <c:v>-10.893895701507173</c:v>
                </c:pt>
                <c:pt idx="374">
                  <c:v>-10.893895701507173</c:v>
                </c:pt>
                <c:pt idx="375">
                  <c:v>-10.893895701507173</c:v>
                </c:pt>
                <c:pt idx="376">
                  <c:v>-10.893895701507173</c:v>
                </c:pt>
                <c:pt idx="377">
                  <c:v>-10.893895701507173</c:v>
                </c:pt>
                <c:pt idx="378">
                  <c:v>-10.893895701507173</c:v>
                </c:pt>
                <c:pt idx="379">
                  <c:v>-10.893895701507173</c:v>
                </c:pt>
                <c:pt idx="380">
                  <c:v>-11.62795610419173</c:v>
                </c:pt>
                <c:pt idx="381">
                  <c:v>-10.439725247911085</c:v>
                </c:pt>
                <c:pt idx="382">
                  <c:v>-8.8893376510118625</c:v>
                </c:pt>
                <c:pt idx="383">
                  <c:v>-8.8893376510118625</c:v>
                </c:pt>
                <c:pt idx="384">
                  <c:v>-8.8893376510118625</c:v>
                </c:pt>
                <c:pt idx="385">
                  <c:v>-8.8893376510118625</c:v>
                </c:pt>
                <c:pt idx="386">
                  <c:v>-8.8893376510118625</c:v>
                </c:pt>
                <c:pt idx="387">
                  <c:v>-8.8893376510118625</c:v>
                </c:pt>
                <c:pt idx="388">
                  <c:v>-11.918556494184195</c:v>
                </c:pt>
                <c:pt idx="389">
                  <c:v>-11.918556494184195</c:v>
                </c:pt>
                <c:pt idx="390">
                  <c:v>-10.086286091061</c:v>
                </c:pt>
                <c:pt idx="391">
                  <c:v>-10.086286091061</c:v>
                </c:pt>
                <c:pt idx="392">
                  <c:v>-10.086286091061</c:v>
                </c:pt>
                <c:pt idx="393">
                  <c:v>-10.086286091061</c:v>
                </c:pt>
                <c:pt idx="394">
                  <c:v>-10.086286091061</c:v>
                </c:pt>
                <c:pt idx="395">
                  <c:v>-10.086286091061</c:v>
                </c:pt>
                <c:pt idx="396">
                  <c:v>-10.086286091061</c:v>
                </c:pt>
                <c:pt idx="397">
                  <c:v>-10.086286091061</c:v>
                </c:pt>
                <c:pt idx="398">
                  <c:v>-10.086286091061</c:v>
                </c:pt>
                <c:pt idx="399">
                  <c:v>-10.086286091061</c:v>
                </c:pt>
                <c:pt idx="400">
                  <c:v>-10.289836001499038</c:v>
                </c:pt>
                <c:pt idx="401">
                  <c:v>-10.289836001499038</c:v>
                </c:pt>
                <c:pt idx="402">
                  <c:v>-10.289836001499038</c:v>
                </c:pt>
                <c:pt idx="403">
                  <c:v>-10.289836001499038</c:v>
                </c:pt>
                <c:pt idx="404">
                  <c:v>-10.289836001499038</c:v>
                </c:pt>
                <c:pt idx="405">
                  <c:v>-10.289836001499038</c:v>
                </c:pt>
                <c:pt idx="406">
                  <c:v>-10.289836001499038</c:v>
                </c:pt>
                <c:pt idx="407">
                  <c:v>-11.796715232772243</c:v>
                </c:pt>
                <c:pt idx="408">
                  <c:v>-11.796715232772243</c:v>
                </c:pt>
                <c:pt idx="409">
                  <c:v>-11.796715232772243</c:v>
                </c:pt>
                <c:pt idx="410">
                  <c:v>-11.796715232772243</c:v>
                </c:pt>
                <c:pt idx="411">
                  <c:v>-11.796715232772243</c:v>
                </c:pt>
                <c:pt idx="412">
                  <c:v>-11.735360949195737</c:v>
                </c:pt>
                <c:pt idx="413">
                  <c:v>-11.735360949195737</c:v>
                </c:pt>
                <c:pt idx="414">
                  <c:v>-11.021273317470831</c:v>
                </c:pt>
                <c:pt idx="415">
                  <c:v>-11.021273317470831</c:v>
                </c:pt>
                <c:pt idx="416">
                  <c:v>-11.021273317470831</c:v>
                </c:pt>
                <c:pt idx="417">
                  <c:v>-11.021273317470831</c:v>
                </c:pt>
                <c:pt idx="418">
                  <c:v>-9.0891765260839819</c:v>
                </c:pt>
              </c:numCache>
            </c:numRef>
          </c:val>
          <c:smooth val="0"/>
          <c:extLst>
            <c:ext xmlns:c16="http://schemas.microsoft.com/office/drawing/2014/chart" uri="{C3380CC4-5D6E-409C-BE32-E72D297353CC}">
              <c16:uniqueId val="{00000008-CFC7-4AE2-BBA7-ADFD494951EC}"/>
            </c:ext>
          </c:extLst>
        </c:ser>
        <c:ser>
          <c:idx val="2"/>
          <c:order val="5"/>
          <c:tx>
            <c:strRef>
              <c:f>'2025-Q2'!$DD$2</c:f>
              <c:strCache>
                <c:ptCount val="1"/>
                <c:pt idx="0">
                  <c:v>XLP</c:v>
                </c:pt>
              </c:strCache>
            </c:strRef>
          </c:tx>
          <c:spPr>
            <a:ln w="19050" cap="rnd">
              <a:solidFill>
                <a:srgbClr val="FF9900"/>
              </a:solidFill>
              <a:prstDash val="sysDash"/>
              <a:round/>
            </a:ln>
            <a:effectLst/>
          </c:spPr>
          <c:marker>
            <c:symbol val="none"/>
          </c:marker>
          <c:val>
            <c:numRef>
              <c:f>'2025-Q2'!$DJ$4:$DJ$422</c:f>
              <c:numCache>
                <c:formatCode>0.00</c:formatCode>
                <c:ptCount val="419"/>
                <c:pt idx="0">
                  <c:v>0</c:v>
                </c:pt>
                <c:pt idx="1">
                  <c:v>0.6788440567066546</c:v>
                </c:pt>
                <c:pt idx="2">
                  <c:v>0.6788440567066546</c:v>
                </c:pt>
                <c:pt idx="3">
                  <c:v>0.6788440567066546</c:v>
                </c:pt>
                <c:pt idx="4">
                  <c:v>0.6788440567066546</c:v>
                </c:pt>
                <c:pt idx="5">
                  <c:v>0.6788440567066546</c:v>
                </c:pt>
                <c:pt idx="6">
                  <c:v>0.6788440567066546</c:v>
                </c:pt>
                <c:pt idx="7">
                  <c:v>0.6788440567066546</c:v>
                </c:pt>
                <c:pt idx="8">
                  <c:v>0.6788440567066546</c:v>
                </c:pt>
                <c:pt idx="9">
                  <c:v>0.6788440567066546</c:v>
                </c:pt>
                <c:pt idx="10">
                  <c:v>0.6788440567066546</c:v>
                </c:pt>
                <c:pt idx="11">
                  <c:v>0.6788440567066546</c:v>
                </c:pt>
                <c:pt idx="12">
                  <c:v>0.6788440567066546</c:v>
                </c:pt>
                <c:pt idx="13">
                  <c:v>0.6788440567066546</c:v>
                </c:pt>
                <c:pt idx="14">
                  <c:v>0.6788440567066546</c:v>
                </c:pt>
                <c:pt idx="15">
                  <c:v>0.6788440567066546</c:v>
                </c:pt>
                <c:pt idx="16">
                  <c:v>0.6788440567066546</c:v>
                </c:pt>
                <c:pt idx="17">
                  <c:v>0.6788440567066546</c:v>
                </c:pt>
                <c:pt idx="18">
                  <c:v>0.6788440567066546</c:v>
                </c:pt>
                <c:pt idx="19">
                  <c:v>0.6788440567066546</c:v>
                </c:pt>
                <c:pt idx="20">
                  <c:v>0.6788440567066546</c:v>
                </c:pt>
                <c:pt idx="21">
                  <c:v>0.6788440567066546</c:v>
                </c:pt>
                <c:pt idx="22">
                  <c:v>0.6788440567066546</c:v>
                </c:pt>
                <c:pt idx="23">
                  <c:v>0.6788440567066546</c:v>
                </c:pt>
                <c:pt idx="24">
                  <c:v>0.6788440567066546</c:v>
                </c:pt>
                <c:pt idx="25">
                  <c:v>0.6788440567066546</c:v>
                </c:pt>
                <c:pt idx="26">
                  <c:v>0.6788440567066546</c:v>
                </c:pt>
                <c:pt idx="27">
                  <c:v>0.6788440567066546</c:v>
                </c:pt>
                <c:pt idx="28">
                  <c:v>0.6788440567066546</c:v>
                </c:pt>
                <c:pt idx="29">
                  <c:v>0.6788440567066546</c:v>
                </c:pt>
                <c:pt idx="30">
                  <c:v>0.6788440567066546</c:v>
                </c:pt>
                <c:pt idx="31">
                  <c:v>0.6788440567066546</c:v>
                </c:pt>
                <c:pt idx="32">
                  <c:v>0.6788440567066546</c:v>
                </c:pt>
                <c:pt idx="33">
                  <c:v>0.6788440567066546</c:v>
                </c:pt>
                <c:pt idx="34">
                  <c:v>0.6788440567066546</c:v>
                </c:pt>
                <c:pt idx="35">
                  <c:v>0.6788440567066546</c:v>
                </c:pt>
                <c:pt idx="36">
                  <c:v>0.6788440567066546</c:v>
                </c:pt>
                <c:pt idx="37">
                  <c:v>0.6788440567066546</c:v>
                </c:pt>
                <c:pt idx="38">
                  <c:v>0.6788440567066546</c:v>
                </c:pt>
                <c:pt idx="39">
                  <c:v>0.6788440567066546</c:v>
                </c:pt>
                <c:pt idx="40">
                  <c:v>0.6788440567066546</c:v>
                </c:pt>
                <c:pt idx="41">
                  <c:v>0.6788440567066546</c:v>
                </c:pt>
                <c:pt idx="42">
                  <c:v>0.6788440567066546</c:v>
                </c:pt>
                <c:pt idx="43">
                  <c:v>0.6788440567066546</c:v>
                </c:pt>
                <c:pt idx="44">
                  <c:v>0.6788440567066546</c:v>
                </c:pt>
                <c:pt idx="45">
                  <c:v>0.6788440567066546</c:v>
                </c:pt>
                <c:pt idx="46">
                  <c:v>0.6788440567066546</c:v>
                </c:pt>
                <c:pt idx="47">
                  <c:v>0.6788440567066546</c:v>
                </c:pt>
                <c:pt idx="48">
                  <c:v>0.6788440567066546</c:v>
                </c:pt>
                <c:pt idx="49">
                  <c:v>0.6788440567066546</c:v>
                </c:pt>
                <c:pt idx="50">
                  <c:v>-0.15288293693937427</c:v>
                </c:pt>
                <c:pt idx="51">
                  <c:v>-0.15288293693937427</c:v>
                </c:pt>
                <c:pt idx="52">
                  <c:v>-0.15288293693937427</c:v>
                </c:pt>
                <c:pt idx="53">
                  <c:v>-0.15288293693937427</c:v>
                </c:pt>
                <c:pt idx="54">
                  <c:v>-0.15288293693937427</c:v>
                </c:pt>
                <c:pt idx="55">
                  <c:v>-0.15288293693937427</c:v>
                </c:pt>
                <c:pt idx="56">
                  <c:v>-0.15288293693937427</c:v>
                </c:pt>
                <c:pt idx="57">
                  <c:v>-0.15288293693937427</c:v>
                </c:pt>
                <c:pt idx="58">
                  <c:v>-0.15288293693937427</c:v>
                </c:pt>
                <c:pt idx="59">
                  <c:v>-0.15288293693937427</c:v>
                </c:pt>
                <c:pt idx="60">
                  <c:v>-0.15288293693937427</c:v>
                </c:pt>
                <c:pt idx="61">
                  <c:v>-0.15288293693937427</c:v>
                </c:pt>
                <c:pt idx="62">
                  <c:v>-0.15288293693937427</c:v>
                </c:pt>
                <c:pt idx="63">
                  <c:v>-0.15288293693937427</c:v>
                </c:pt>
                <c:pt idx="64">
                  <c:v>-0.15288293693937427</c:v>
                </c:pt>
                <c:pt idx="65">
                  <c:v>-0.15288293693937427</c:v>
                </c:pt>
                <c:pt idx="66">
                  <c:v>-0.15288293693937427</c:v>
                </c:pt>
                <c:pt idx="67">
                  <c:v>-0.15288293693937427</c:v>
                </c:pt>
                <c:pt idx="68">
                  <c:v>-0.15288293693937427</c:v>
                </c:pt>
                <c:pt idx="69">
                  <c:v>0.33764171116250813</c:v>
                </c:pt>
                <c:pt idx="70">
                  <c:v>0.33764171116250813</c:v>
                </c:pt>
                <c:pt idx="71">
                  <c:v>0.33764171116250813</c:v>
                </c:pt>
                <c:pt idx="72">
                  <c:v>0.33764171116250813</c:v>
                </c:pt>
                <c:pt idx="73">
                  <c:v>0.33764171116250813</c:v>
                </c:pt>
                <c:pt idx="74">
                  <c:v>0.33764171116250813</c:v>
                </c:pt>
                <c:pt idx="75">
                  <c:v>0.33764171116250813</c:v>
                </c:pt>
                <c:pt idx="76">
                  <c:v>0.33764171116250813</c:v>
                </c:pt>
                <c:pt idx="77">
                  <c:v>0.33764171116250813</c:v>
                </c:pt>
                <c:pt idx="78">
                  <c:v>0.33764171116250813</c:v>
                </c:pt>
                <c:pt idx="79">
                  <c:v>0.33764171116250813</c:v>
                </c:pt>
                <c:pt idx="80">
                  <c:v>0.33764171116250813</c:v>
                </c:pt>
                <c:pt idx="81">
                  <c:v>0.33764171116250813</c:v>
                </c:pt>
                <c:pt idx="82">
                  <c:v>0.33764171116250813</c:v>
                </c:pt>
                <c:pt idx="83">
                  <c:v>0.33764171116250813</c:v>
                </c:pt>
                <c:pt idx="84">
                  <c:v>0.33764171116250813</c:v>
                </c:pt>
                <c:pt idx="85">
                  <c:v>0.33764171116250813</c:v>
                </c:pt>
                <c:pt idx="86">
                  <c:v>-0.18831416083813518</c:v>
                </c:pt>
                <c:pt idx="87">
                  <c:v>-0.18831416083813518</c:v>
                </c:pt>
                <c:pt idx="88">
                  <c:v>-0.18831416083813518</c:v>
                </c:pt>
                <c:pt idx="89">
                  <c:v>-0.18831416083813518</c:v>
                </c:pt>
                <c:pt idx="90">
                  <c:v>-0.18831416083813518</c:v>
                </c:pt>
                <c:pt idx="91">
                  <c:v>-0.18831416083813518</c:v>
                </c:pt>
                <c:pt idx="92">
                  <c:v>-0.18831416083813518</c:v>
                </c:pt>
                <c:pt idx="93">
                  <c:v>-0.18831416083813518</c:v>
                </c:pt>
                <c:pt idx="94">
                  <c:v>-0.18831416083813518</c:v>
                </c:pt>
                <c:pt idx="95">
                  <c:v>-0.18831416083813518</c:v>
                </c:pt>
                <c:pt idx="96">
                  <c:v>-9.3417492765591692E-2</c:v>
                </c:pt>
                <c:pt idx="97">
                  <c:v>-9.3417492765591692E-2</c:v>
                </c:pt>
                <c:pt idx="98">
                  <c:v>-9.3417492765591692E-2</c:v>
                </c:pt>
                <c:pt idx="99">
                  <c:v>-9.3417492765591692E-2</c:v>
                </c:pt>
                <c:pt idx="100">
                  <c:v>-9.3417492765591692E-2</c:v>
                </c:pt>
                <c:pt idx="101">
                  <c:v>-0.55282831023267498</c:v>
                </c:pt>
                <c:pt idx="102">
                  <c:v>-0.55282831023267498</c:v>
                </c:pt>
                <c:pt idx="103">
                  <c:v>-0.55282831023267498</c:v>
                </c:pt>
                <c:pt idx="104">
                  <c:v>-0.55282831023267498</c:v>
                </c:pt>
                <c:pt idx="105">
                  <c:v>-0.55282831023267498</c:v>
                </c:pt>
                <c:pt idx="106">
                  <c:v>-0.55282831023267498</c:v>
                </c:pt>
                <c:pt idx="107">
                  <c:v>-0.55282831023267498</c:v>
                </c:pt>
                <c:pt idx="108">
                  <c:v>-0.55282831023267498</c:v>
                </c:pt>
                <c:pt idx="109">
                  <c:v>-0.55282831023267498</c:v>
                </c:pt>
                <c:pt idx="110">
                  <c:v>-0.55282831023267498</c:v>
                </c:pt>
                <c:pt idx="111">
                  <c:v>-0.55282831023267498</c:v>
                </c:pt>
                <c:pt idx="112">
                  <c:v>-0.55282831023267498</c:v>
                </c:pt>
                <c:pt idx="113">
                  <c:v>-0.55282831023267498</c:v>
                </c:pt>
                <c:pt idx="114">
                  <c:v>-5.1210187255329387E-2</c:v>
                </c:pt>
                <c:pt idx="115">
                  <c:v>-5.1210187255329387E-2</c:v>
                </c:pt>
                <c:pt idx="116">
                  <c:v>-5.1210187255329387E-2</c:v>
                </c:pt>
                <c:pt idx="117">
                  <c:v>-5.1210187255329387E-2</c:v>
                </c:pt>
                <c:pt idx="118">
                  <c:v>-5.1210187255329387E-2</c:v>
                </c:pt>
                <c:pt idx="119">
                  <c:v>-5.1210187255329387E-2</c:v>
                </c:pt>
                <c:pt idx="120">
                  <c:v>-5.1210187255329387E-2</c:v>
                </c:pt>
                <c:pt idx="121">
                  <c:v>-5.1210187255329387E-2</c:v>
                </c:pt>
                <c:pt idx="122">
                  <c:v>-5.1210187255329387E-2</c:v>
                </c:pt>
                <c:pt idx="123">
                  <c:v>-5.1210187255329387E-2</c:v>
                </c:pt>
                <c:pt idx="124">
                  <c:v>-5.1210187255329387E-2</c:v>
                </c:pt>
                <c:pt idx="125">
                  <c:v>-5.1210187255329387E-2</c:v>
                </c:pt>
                <c:pt idx="126">
                  <c:v>-5.1210187255329387E-2</c:v>
                </c:pt>
                <c:pt idx="127">
                  <c:v>-5.1210187255329387E-2</c:v>
                </c:pt>
                <c:pt idx="128">
                  <c:v>-5.1210187255329387E-2</c:v>
                </c:pt>
                <c:pt idx="129">
                  <c:v>-5.1210187255329387E-2</c:v>
                </c:pt>
                <c:pt idx="130">
                  <c:v>-5.1210187255329387E-2</c:v>
                </c:pt>
                <c:pt idx="131">
                  <c:v>-5.1210187255329387E-2</c:v>
                </c:pt>
                <c:pt idx="132">
                  <c:v>-5.1210187255329387E-2</c:v>
                </c:pt>
                <c:pt idx="133">
                  <c:v>-5.1210187255329387E-2</c:v>
                </c:pt>
                <c:pt idx="134">
                  <c:v>0.43634069790987046</c:v>
                </c:pt>
                <c:pt idx="135">
                  <c:v>0.43634069790987046</c:v>
                </c:pt>
                <c:pt idx="136">
                  <c:v>0.43634069790987046</c:v>
                </c:pt>
                <c:pt idx="137">
                  <c:v>9.5503211514728681E-2</c:v>
                </c:pt>
                <c:pt idx="138">
                  <c:v>9.5503211514728681E-2</c:v>
                </c:pt>
                <c:pt idx="139">
                  <c:v>9.5503211514728681E-2</c:v>
                </c:pt>
                <c:pt idx="140">
                  <c:v>-4.3791954942996647E-2</c:v>
                </c:pt>
                <c:pt idx="141">
                  <c:v>-4.3791954942996647E-2</c:v>
                </c:pt>
                <c:pt idx="142">
                  <c:v>-4.3791954942996647E-2</c:v>
                </c:pt>
                <c:pt idx="143">
                  <c:v>-4.3791954942996647E-2</c:v>
                </c:pt>
                <c:pt idx="144">
                  <c:v>-9.2964695889427046E-2</c:v>
                </c:pt>
                <c:pt idx="145">
                  <c:v>-9.2964695889427046E-2</c:v>
                </c:pt>
                <c:pt idx="146">
                  <c:v>-9.2964695889427046E-2</c:v>
                </c:pt>
                <c:pt idx="147">
                  <c:v>-9.2964695889427046E-2</c:v>
                </c:pt>
                <c:pt idx="148">
                  <c:v>-9.2964695889427046E-2</c:v>
                </c:pt>
                <c:pt idx="149">
                  <c:v>-9.2964695889427046E-2</c:v>
                </c:pt>
                <c:pt idx="150">
                  <c:v>-9.2964695889427046E-2</c:v>
                </c:pt>
                <c:pt idx="151">
                  <c:v>-9.2964695889427046E-2</c:v>
                </c:pt>
                <c:pt idx="152">
                  <c:v>-9.2964695889427046E-2</c:v>
                </c:pt>
                <c:pt idx="153">
                  <c:v>-9.2964695889427046E-2</c:v>
                </c:pt>
                <c:pt idx="154">
                  <c:v>-9.2964695889427046E-2</c:v>
                </c:pt>
                <c:pt idx="155">
                  <c:v>-9.2964695889427046E-2</c:v>
                </c:pt>
                <c:pt idx="156">
                  <c:v>-9.2964695889427046E-2</c:v>
                </c:pt>
                <c:pt idx="157">
                  <c:v>-9.2964695889427046E-2</c:v>
                </c:pt>
                <c:pt idx="158">
                  <c:v>-9.2964695889427046E-2</c:v>
                </c:pt>
                <c:pt idx="159">
                  <c:v>-9.2964695889427046E-2</c:v>
                </c:pt>
                <c:pt idx="160">
                  <c:v>0.52140443333118447</c:v>
                </c:pt>
                <c:pt idx="161">
                  <c:v>0.52140443333118447</c:v>
                </c:pt>
                <c:pt idx="162">
                  <c:v>0.52140443333118447</c:v>
                </c:pt>
                <c:pt idx="163">
                  <c:v>0.52140443333118447</c:v>
                </c:pt>
                <c:pt idx="164">
                  <c:v>0.52140443333118447</c:v>
                </c:pt>
                <c:pt idx="165">
                  <c:v>0.52140443333118447</c:v>
                </c:pt>
                <c:pt idx="166">
                  <c:v>0.52140443333118447</c:v>
                </c:pt>
                <c:pt idx="167">
                  <c:v>0.52140443333118447</c:v>
                </c:pt>
                <c:pt idx="168">
                  <c:v>0.52140443333118447</c:v>
                </c:pt>
                <c:pt idx="169">
                  <c:v>0.52140443333118447</c:v>
                </c:pt>
                <c:pt idx="170">
                  <c:v>0.52140443333118447</c:v>
                </c:pt>
                <c:pt idx="171">
                  <c:v>0.52140443333118447</c:v>
                </c:pt>
                <c:pt idx="172">
                  <c:v>0.52140443333118447</c:v>
                </c:pt>
                <c:pt idx="173">
                  <c:v>0.52140443333118447</c:v>
                </c:pt>
                <c:pt idx="174">
                  <c:v>0.52140443333118447</c:v>
                </c:pt>
                <c:pt idx="175">
                  <c:v>0.52140443333118447</c:v>
                </c:pt>
                <c:pt idx="176">
                  <c:v>0.52140443333118447</c:v>
                </c:pt>
                <c:pt idx="177">
                  <c:v>0.52140443333118447</c:v>
                </c:pt>
                <c:pt idx="178">
                  <c:v>0.52140443333118447</c:v>
                </c:pt>
                <c:pt idx="179">
                  <c:v>0.52140443333118447</c:v>
                </c:pt>
                <c:pt idx="180">
                  <c:v>0.52140443333118447</c:v>
                </c:pt>
                <c:pt idx="181">
                  <c:v>0.52140443333118447</c:v>
                </c:pt>
                <c:pt idx="182">
                  <c:v>0.52140443333118447</c:v>
                </c:pt>
                <c:pt idx="183">
                  <c:v>0.52140443333118447</c:v>
                </c:pt>
                <c:pt idx="184">
                  <c:v>0.52140443333118447</c:v>
                </c:pt>
                <c:pt idx="185">
                  <c:v>0.52140443333118447</c:v>
                </c:pt>
                <c:pt idx="186">
                  <c:v>0.52140443333118447</c:v>
                </c:pt>
                <c:pt idx="187">
                  <c:v>0.52140443333118447</c:v>
                </c:pt>
                <c:pt idx="188">
                  <c:v>0.52140443333118447</c:v>
                </c:pt>
                <c:pt idx="189">
                  <c:v>0.52140443333118447</c:v>
                </c:pt>
                <c:pt idx="190">
                  <c:v>0.52140443333118447</c:v>
                </c:pt>
                <c:pt idx="191">
                  <c:v>0.52140443333118447</c:v>
                </c:pt>
                <c:pt idx="192">
                  <c:v>0.52140443333118447</c:v>
                </c:pt>
                <c:pt idx="193">
                  <c:v>0.52140443333118447</c:v>
                </c:pt>
                <c:pt idx="194">
                  <c:v>0.52140443333118447</c:v>
                </c:pt>
                <c:pt idx="195">
                  <c:v>0.52140443333118447</c:v>
                </c:pt>
                <c:pt idx="196">
                  <c:v>0.52140443333118447</c:v>
                </c:pt>
                <c:pt idx="197">
                  <c:v>0.52140443333118447</c:v>
                </c:pt>
                <c:pt idx="198">
                  <c:v>0.52140443333118447</c:v>
                </c:pt>
                <c:pt idx="199">
                  <c:v>0.52140443333118447</c:v>
                </c:pt>
                <c:pt idx="200">
                  <c:v>0.52140443333118447</c:v>
                </c:pt>
                <c:pt idx="201">
                  <c:v>0.52140443333118447</c:v>
                </c:pt>
                <c:pt idx="202">
                  <c:v>0.52140443333118447</c:v>
                </c:pt>
                <c:pt idx="203">
                  <c:v>0.52140443333118447</c:v>
                </c:pt>
                <c:pt idx="204">
                  <c:v>0.52140443333118447</c:v>
                </c:pt>
                <c:pt idx="205">
                  <c:v>-0.5447991771647549</c:v>
                </c:pt>
                <c:pt idx="206">
                  <c:v>-0.5447991771647549</c:v>
                </c:pt>
                <c:pt idx="207">
                  <c:v>-0.5447991771647549</c:v>
                </c:pt>
                <c:pt idx="208">
                  <c:v>-0.5447991771647549</c:v>
                </c:pt>
                <c:pt idx="209">
                  <c:v>-0.31964907709804319</c:v>
                </c:pt>
                <c:pt idx="210">
                  <c:v>-0.31964907709804319</c:v>
                </c:pt>
                <c:pt idx="211">
                  <c:v>-0.31964907709804319</c:v>
                </c:pt>
                <c:pt idx="212">
                  <c:v>-0.31964907709804319</c:v>
                </c:pt>
                <c:pt idx="213">
                  <c:v>-0.23192453216912207</c:v>
                </c:pt>
                <c:pt idx="214">
                  <c:v>-0.23192453216912207</c:v>
                </c:pt>
                <c:pt idx="215">
                  <c:v>-0.23192453216912207</c:v>
                </c:pt>
                <c:pt idx="216">
                  <c:v>-0.23192453216912207</c:v>
                </c:pt>
                <c:pt idx="217">
                  <c:v>-0.23192453216912207</c:v>
                </c:pt>
                <c:pt idx="218">
                  <c:v>-0.23192453216912207</c:v>
                </c:pt>
                <c:pt idx="219">
                  <c:v>-0.23192453216912207</c:v>
                </c:pt>
                <c:pt idx="220">
                  <c:v>-0.23192453216912207</c:v>
                </c:pt>
                <c:pt idx="221">
                  <c:v>-0.23192453216912207</c:v>
                </c:pt>
                <c:pt idx="222">
                  <c:v>-0.23192453216912207</c:v>
                </c:pt>
                <c:pt idx="223">
                  <c:v>-0.23192453216912207</c:v>
                </c:pt>
                <c:pt idx="224">
                  <c:v>-0.23192453216912207</c:v>
                </c:pt>
                <c:pt idx="225">
                  <c:v>-0.23192453216912207</c:v>
                </c:pt>
                <c:pt idx="226">
                  <c:v>-0.23192453216912207</c:v>
                </c:pt>
                <c:pt idx="227">
                  <c:v>-0.23192453216912207</c:v>
                </c:pt>
                <c:pt idx="228">
                  <c:v>-0.23192453216912207</c:v>
                </c:pt>
                <c:pt idx="229">
                  <c:v>-0.23192453216912207</c:v>
                </c:pt>
                <c:pt idx="230">
                  <c:v>-0.23192453216912207</c:v>
                </c:pt>
                <c:pt idx="231">
                  <c:v>-0.23192453216912207</c:v>
                </c:pt>
                <c:pt idx="232">
                  <c:v>-0.23192453216912207</c:v>
                </c:pt>
                <c:pt idx="233">
                  <c:v>-0.23192453216912207</c:v>
                </c:pt>
                <c:pt idx="234">
                  <c:v>-0.23192453216912207</c:v>
                </c:pt>
                <c:pt idx="235">
                  <c:v>-0.23192453216912207</c:v>
                </c:pt>
                <c:pt idx="236">
                  <c:v>-0.23192453216912207</c:v>
                </c:pt>
                <c:pt idx="237">
                  <c:v>-0.23192453216912207</c:v>
                </c:pt>
                <c:pt idx="238">
                  <c:v>-0.23192453216912207</c:v>
                </c:pt>
                <c:pt idx="239">
                  <c:v>-0.23192453216912207</c:v>
                </c:pt>
                <c:pt idx="240">
                  <c:v>-0.13391825976769156</c:v>
                </c:pt>
                <c:pt idx="241">
                  <c:v>-0.13391825976769156</c:v>
                </c:pt>
                <c:pt idx="242">
                  <c:v>-0.13391825976769156</c:v>
                </c:pt>
                <c:pt idx="243">
                  <c:v>-0.13391825976769156</c:v>
                </c:pt>
                <c:pt idx="244">
                  <c:v>-0.13391825976769156</c:v>
                </c:pt>
                <c:pt idx="245">
                  <c:v>-0.13391825976769156</c:v>
                </c:pt>
                <c:pt idx="246">
                  <c:v>-0.13391825976769156</c:v>
                </c:pt>
                <c:pt idx="247">
                  <c:v>-0.13391825976769156</c:v>
                </c:pt>
                <c:pt idx="248">
                  <c:v>-0.13391825976769156</c:v>
                </c:pt>
                <c:pt idx="249">
                  <c:v>-0.13391825976769156</c:v>
                </c:pt>
                <c:pt idx="250">
                  <c:v>-0.13391825976769156</c:v>
                </c:pt>
                <c:pt idx="251">
                  <c:v>-1.0085138621145684</c:v>
                </c:pt>
                <c:pt idx="252">
                  <c:v>-1.0085138621145684</c:v>
                </c:pt>
                <c:pt idx="253">
                  <c:v>-1.0085138621145684</c:v>
                </c:pt>
                <c:pt idx="254">
                  <c:v>-1.0085138621145684</c:v>
                </c:pt>
                <c:pt idx="255">
                  <c:v>-0.47981477499363151</c:v>
                </c:pt>
                <c:pt idx="256">
                  <c:v>-0.47981477499363151</c:v>
                </c:pt>
                <c:pt idx="257">
                  <c:v>-0.47981477499363151</c:v>
                </c:pt>
                <c:pt idx="258">
                  <c:v>-0.47981477499363151</c:v>
                </c:pt>
                <c:pt idx="259">
                  <c:v>-0.47981477499363151</c:v>
                </c:pt>
                <c:pt idx="260">
                  <c:v>-0.47981477499363151</c:v>
                </c:pt>
                <c:pt idx="261">
                  <c:v>-0.77104284516907118</c:v>
                </c:pt>
                <c:pt idx="262">
                  <c:v>-0.77104284516907118</c:v>
                </c:pt>
                <c:pt idx="263">
                  <c:v>-0.77104284516907118</c:v>
                </c:pt>
                <c:pt idx="264">
                  <c:v>-0.77104284516907118</c:v>
                </c:pt>
                <c:pt idx="265">
                  <c:v>-0.77104284516907118</c:v>
                </c:pt>
                <c:pt idx="266">
                  <c:v>-0.77104284516907118</c:v>
                </c:pt>
                <c:pt idx="267">
                  <c:v>-0.77104284516907118</c:v>
                </c:pt>
                <c:pt idx="268">
                  <c:v>-0.77104284516907118</c:v>
                </c:pt>
                <c:pt idx="269">
                  <c:v>-0.77104284516907118</c:v>
                </c:pt>
                <c:pt idx="270">
                  <c:v>-0.77104284516907118</c:v>
                </c:pt>
                <c:pt idx="271">
                  <c:v>-0.77104284516907118</c:v>
                </c:pt>
                <c:pt idx="272">
                  <c:v>-0.77104284516907118</c:v>
                </c:pt>
                <c:pt idx="273">
                  <c:v>-0.77104284516907118</c:v>
                </c:pt>
                <c:pt idx="274">
                  <c:v>-0.77104284516907118</c:v>
                </c:pt>
                <c:pt idx="275">
                  <c:v>-0.77104284516907118</c:v>
                </c:pt>
                <c:pt idx="276">
                  <c:v>-0.77104284516907118</c:v>
                </c:pt>
                <c:pt idx="277">
                  <c:v>-0.77104284516907118</c:v>
                </c:pt>
                <c:pt idx="278">
                  <c:v>-0.77104284516907118</c:v>
                </c:pt>
                <c:pt idx="279">
                  <c:v>-0.77104284516907118</c:v>
                </c:pt>
                <c:pt idx="280">
                  <c:v>-0.77104284516907118</c:v>
                </c:pt>
                <c:pt idx="281">
                  <c:v>-0.77104284516907118</c:v>
                </c:pt>
                <c:pt idx="282">
                  <c:v>-0.77104284516907118</c:v>
                </c:pt>
                <c:pt idx="283">
                  <c:v>-0.77104284516907118</c:v>
                </c:pt>
                <c:pt idx="284">
                  <c:v>-0.77104284516907118</c:v>
                </c:pt>
                <c:pt idx="285">
                  <c:v>-0.77104284516907118</c:v>
                </c:pt>
                <c:pt idx="286">
                  <c:v>-0.77104284516907118</c:v>
                </c:pt>
                <c:pt idx="287">
                  <c:v>-0.77104284516907118</c:v>
                </c:pt>
                <c:pt idx="288">
                  <c:v>-0.77104284516907118</c:v>
                </c:pt>
                <c:pt idx="289">
                  <c:v>-1.2231069871001554</c:v>
                </c:pt>
                <c:pt idx="290">
                  <c:v>-1.2231069871001554</c:v>
                </c:pt>
                <c:pt idx="291">
                  <c:v>-1.2231069871001554</c:v>
                </c:pt>
                <c:pt idx="292">
                  <c:v>-1.2231069871001554</c:v>
                </c:pt>
                <c:pt idx="293">
                  <c:v>-1.2231069871001554</c:v>
                </c:pt>
                <c:pt idx="294">
                  <c:v>-1.2231069871001554</c:v>
                </c:pt>
                <c:pt idx="295">
                  <c:v>-1.2231069871001554</c:v>
                </c:pt>
                <c:pt idx="296">
                  <c:v>-1.2231069871001554</c:v>
                </c:pt>
                <c:pt idx="297">
                  <c:v>-1.2231069871001554</c:v>
                </c:pt>
                <c:pt idx="298">
                  <c:v>-1.2231069871001554</c:v>
                </c:pt>
                <c:pt idx="299">
                  <c:v>-1.2231069871001554</c:v>
                </c:pt>
                <c:pt idx="300">
                  <c:v>-1.2231069871001554</c:v>
                </c:pt>
                <c:pt idx="301">
                  <c:v>-1.2231069871001554</c:v>
                </c:pt>
                <c:pt idx="302">
                  <c:v>-1.2231069871001554</c:v>
                </c:pt>
                <c:pt idx="303">
                  <c:v>-1.2231069871001554</c:v>
                </c:pt>
                <c:pt idx="304">
                  <c:v>-1.2231069871001554</c:v>
                </c:pt>
                <c:pt idx="305">
                  <c:v>-1.2231069871001554</c:v>
                </c:pt>
                <c:pt idx="306">
                  <c:v>-1.2231069871001554</c:v>
                </c:pt>
                <c:pt idx="307">
                  <c:v>-1.2231069871001554</c:v>
                </c:pt>
                <c:pt idx="308">
                  <c:v>-1.2231069871001554</c:v>
                </c:pt>
                <c:pt idx="309">
                  <c:v>-0.2206549461366476</c:v>
                </c:pt>
                <c:pt idx="310">
                  <c:v>-0.2206549461366476</c:v>
                </c:pt>
                <c:pt idx="311">
                  <c:v>1.0959061610648531</c:v>
                </c:pt>
                <c:pt idx="312">
                  <c:v>1.0959061610648531</c:v>
                </c:pt>
                <c:pt idx="313">
                  <c:v>1.0959061610648531</c:v>
                </c:pt>
                <c:pt idx="314">
                  <c:v>1.0959061610648531</c:v>
                </c:pt>
                <c:pt idx="315">
                  <c:v>1.0959061610648531</c:v>
                </c:pt>
                <c:pt idx="316">
                  <c:v>1.0959061610648531</c:v>
                </c:pt>
                <c:pt idx="317">
                  <c:v>1.0959061610648531</c:v>
                </c:pt>
                <c:pt idx="318">
                  <c:v>1.0959061610648531</c:v>
                </c:pt>
                <c:pt idx="319">
                  <c:v>1.0959061610648531</c:v>
                </c:pt>
                <c:pt idx="320">
                  <c:v>1.0959061610648531</c:v>
                </c:pt>
                <c:pt idx="321">
                  <c:v>1.0959061610648531</c:v>
                </c:pt>
                <c:pt idx="322">
                  <c:v>1.0959061610648531</c:v>
                </c:pt>
                <c:pt idx="323">
                  <c:v>1.0959061610648531</c:v>
                </c:pt>
                <c:pt idx="324">
                  <c:v>1.0959061610648531</c:v>
                </c:pt>
                <c:pt idx="325">
                  <c:v>1.0959061610648531</c:v>
                </c:pt>
                <c:pt idx="326">
                  <c:v>1.0959061610648531</c:v>
                </c:pt>
                <c:pt idx="327">
                  <c:v>1.0959061610648531</c:v>
                </c:pt>
                <c:pt idx="328">
                  <c:v>1.0959061610648531</c:v>
                </c:pt>
                <c:pt idx="329">
                  <c:v>1.0959061610648531</c:v>
                </c:pt>
                <c:pt idx="330">
                  <c:v>1.0959061610648531</c:v>
                </c:pt>
                <c:pt idx="331">
                  <c:v>1.0959061610648531</c:v>
                </c:pt>
                <c:pt idx="332">
                  <c:v>1.0959061610648531</c:v>
                </c:pt>
                <c:pt idx="333">
                  <c:v>1.0959061610648531</c:v>
                </c:pt>
                <c:pt idx="334">
                  <c:v>1.0959061610648531</c:v>
                </c:pt>
                <c:pt idx="335">
                  <c:v>1.0959061610648531</c:v>
                </c:pt>
                <c:pt idx="336">
                  <c:v>0.66043506051061596</c:v>
                </c:pt>
                <c:pt idx="337">
                  <c:v>0.66043506051061596</c:v>
                </c:pt>
                <c:pt idx="338">
                  <c:v>0.66043506051061596</c:v>
                </c:pt>
                <c:pt idx="339">
                  <c:v>0.66043506051061596</c:v>
                </c:pt>
                <c:pt idx="340">
                  <c:v>0.66043506051061596</c:v>
                </c:pt>
                <c:pt idx="341">
                  <c:v>0.66043506051061596</c:v>
                </c:pt>
                <c:pt idx="342">
                  <c:v>1.0900386535588513</c:v>
                </c:pt>
                <c:pt idx="343">
                  <c:v>1.0900386535588513</c:v>
                </c:pt>
                <c:pt idx="344">
                  <c:v>1.0900386535588513</c:v>
                </c:pt>
                <c:pt idx="345">
                  <c:v>1.0900386535588513</c:v>
                </c:pt>
                <c:pt idx="346">
                  <c:v>1.0900386535588513</c:v>
                </c:pt>
                <c:pt idx="347">
                  <c:v>1.0900386535588513</c:v>
                </c:pt>
                <c:pt idx="348">
                  <c:v>1.0900386535588513</c:v>
                </c:pt>
                <c:pt idx="349">
                  <c:v>1.0900386535588513</c:v>
                </c:pt>
                <c:pt idx="350">
                  <c:v>2.214512087449326</c:v>
                </c:pt>
                <c:pt idx="351">
                  <c:v>2.214512087449326</c:v>
                </c:pt>
                <c:pt idx="352">
                  <c:v>2.214512087449326</c:v>
                </c:pt>
                <c:pt idx="353">
                  <c:v>2.214512087449326</c:v>
                </c:pt>
                <c:pt idx="354">
                  <c:v>2.5804695342578352</c:v>
                </c:pt>
                <c:pt idx="355">
                  <c:v>2.5804695342578352</c:v>
                </c:pt>
                <c:pt idx="356">
                  <c:v>2.5804695342578352</c:v>
                </c:pt>
                <c:pt idx="357">
                  <c:v>2.5804695342578352</c:v>
                </c:pt>
                <c:pt idx="358">
                  <c:v>2.5804695342578352</c:v>
                </c:pt>
                <c:pt idx="359">
                  <c:v>2.5804695342578352</c:v>
                </c:pt>
                <c:pt idx="360">
                  <c:v>2.5804695342578352</c:v>
                </c:pt>
                <c:pt idx="361">
                  <c:v>2.5804695342578352</c:v>
                </c:pt>
                <c:pt idx="362">
                  <c:v>2.5804695342578352</c:v>
                </c:pt>
                <c:pt idx="363">
                  <c:v>2.5804695342578352</c:v>
                </c:pt>
                <c:pt idx="364">
                  <c:v>2.5804695342578352</c:v>
                </c:pt>
                <c:pt idx="365">
                  <c:v>2.5804695342578352</c:v>
                </c:pt>
                <c:pt idx="366">
                  <c:v>2.5804695342578352</c:v>
                </c:pt>
                <c:pt idx="367">
                  <c:v>2.5804695342578352</c:v>
                </c:pt>
                <c:pt idx="368">
                  <c:v>5.9635266244972476</c:v>
                </c:pt>
                <c:pt idx="369">
                  <c:v>5.9635266244972476</c:v>
                </c:pt>
                <c:pt idx="370">
                  <c:v>5.9635266244972476</c:v>
                </c:pt>
                <c:pt idx="371">
                  <c:v>5.9635266244972476</c:v>
                </c:pt>
                <c:pt idx="372">
                  <c:v>5.9635266244972476</c:v>
                </c:pt>
                <c:pt idx="373">
                  <c:v>5.9635266244972476</c:v>
                </c:pt>
                <c:pt idx="374">
                  <c:v>5.9635266244972476</c:v>
                </c:pt>
                <c:pt idx="375">
                  <c:v>5.9635266244972476</c:v>
                </c:pt>
                <c:pt idx="376">
                  <c:v>5.9635266244972476</c:v>
                </c:pt>
                <c:pt idx="377">
                  <c:v>5.9635266244972476</c:v>
                </c:pt>
                <c:pt idx="378">
                  <c:v>5.9635266244972476</c:v>
                </c:pt>
                <c:pt idx="379">
                  <c:v>5.5585110896548153</c:v>
                </c:pt>
                <c:pt idx="380">
                  <c:v>5.5585110896548153</c:v>
                </c:pt>
                <c:pt idx="381">
                  <c:v>5.5585110896548153</c:v>
                </c:pt>
                <c:pt idx="382">
                  <c:v>5.5585110896548153</c:v>
                </c:pt>
                <c:pt idx="383">
                  <c:v>5.5585110896548153</c:v>
                </c:pt>
                <c:pt idx="384">
                  <c:v>5.5585110896548153</c:v>
                </c:pt>
                <c:pt idx="385">
                  <c:v>5.5585110896548153</c:v>
                </c:pt>
                <c:pt idx="386">
                  <c:v>5.5585110896548153</c:v>
                </c:pt>
                <c:pt idx="387">
                  <c:v>5.5585110896548153</c:v>
                </c:pt>
                <c:pt idx="388">
                  <c:v>5.5585110896548153</c:v>
                </c:pt>
                <c:pt idx="389">
                  <c:v>5.4521077217569092</c:v>
                </c:pt>
                <c:pt idx="390">
                  <c:v>5.4521077217569092</c:v>
                </c:pt>
                <c:pt idx="391">
                  <c:v>5.0555154773385764</c:v>
                </c:pt>
                <c:pt idx="392">
                  <c:v>6.7347031552913021</c:v>
                </c:pt>
                <c:pt idx="393">
                  <c:v>5.9692754688486058</c:v>
                </c:pt>
                <c:pt idx="394">
                  <c:v>5.9692754688486058</c:v>
                </c:pt>
                <c:pt idx="395">
                  <c:v>5.9692754688486058</c:v>
                </c:pt>
                <c:pt idx="396">
                  <c:v>5.9692754688486058</c:v>
                </c:pt>
                <c:pt idx="397">
                  <c:v>5.9692754688486058</c:v>
                </c:pt>
                <c:pt idx="398">
                  <c:v>5.9692754688486058</c:v>
                </c:pt>
                <c:pt idx="399">
                  <c:v>4.9706884823583941</c:v>
                </c:pt>
                <c:pt idx="400">
                  <c:v>4.9706884823583941</c:v>
                </c:pt>
                <c:pt idx="401">
                  <c:v>4.9706884823583941</c:v>
                </c:pt>
                <c:pt idx="402">
                  <c:v>4.9706884823583941</c:v>
                </c:pt>
                <c:pt idx="403">
                  <c:v>4.9706884823583941</c:v>
                </c:pt>
                <c:pt idx="404">
                  <c:v>7.1230252075285527</c:v>
                </c:pt>
                <c:pt idx="405">
                  <c:v>7.1230252075285527</c:v>
                </c:pt>
                <c:pt idx="406">
                  <c:v>7.1230252075285527</c:v>
                </c:pt>
                <c:pt idx="407">
                  <c:v>7.1230252075285527</c:v>
                </c:pt>
                <c:pt idx="408">
                  <c:v>7.1230252075285527</c:v>
                </c:pt>
                <c:pt idx="409">
                  <c:v>7.1230252075285527</c:v>
                </c:pt>
                <c:pt idx="410">
                  <c:v>7.1230252075285527</c:v>
                </c:pt>
                <c:pt idx="411">
                  <c:v>7.1230252075285527</c:v>
                </c:pt>
                <c:pt idx="412">
                  <c:v>7.1230252075285527</c:v>
                </c:pt>
                <c:pt idx="413">
                  <c:v>7.1230252075285527</c:v>
                </c:pt>
                <c:pt idx="414">
                  <c:v>7.1230252075285527</c:v>
                </c:pt>
                <c:pt idx="415">
                  <c:v>7.5474151469905753</c:v>
                </c:pt>
                <c:pt idx="416">
                  <c:v>7.5474151469905753</c:v>
                </c:pt>
                <c:pt idx="417">
                  <c:v>6.7869588732263173</c:v>
                </c:pt>
                <c:pt idx="418">
                  <c:v>6.7869588732263173</c:v>
                </c:pt>
              </c:numCache>
            </c:numRef>
          </c:val>
          <c:smooth val="0"/>
          <c:extLst>
            <c:ext xmlns:c16="http://schemas.microsoft.com/office/drawing/2014/chart" uri="{C3380CC4-5D6E-409C-BE32-E72D297353CC}">
              <c16:uniqueId val="{00000009-CFC7-4AE2-BBA7-ADFD494951EC}"/>
            </c:ext>
          </c:extLst>
        </c:ser>
        <c:ser>
          <c:idx val="6"/>
          <c:order val="6"/>
          <c:tx>
            <c:strRef>
              <c:f>'2025-Q2'!$DR$2</c:f>
              <c:strCache>
                <c:ptCount val="1"/>
                <c:pt idx="0">
                  <c:v>XLF</c:v>
                </c:pt>
              </c:strCache>
            </c:strRef>
          </c:tx>
          <c:spPr>
            <a:ln w="19050" cap="rnd">
              <a:solidFill>
                <a:srgbClr val="92D050"/>
              </a:solidFill>
              <a:prstDash val="sysDash"/>
              <a:round/>
            </a:ln>
            <a:effectLst/>
          </c:spPr>
          <c:marker>
            <c:symbol val="none"/>
          </c:marker>
          <c:val>
            <c:numRef>
              <c:f>'2025-Q2'!$DX$4:$DX$422</c:f>
              <c:numCache>
                <c:formatCode>0.00</c:formatCode>
                <c:ptCount val="419"/>
                <c:pt idx="0">
                  <c:v>0</c:v>
                </c:pt>
                <c:pt idx="1">
                  <c:v>0</c:v>
                </c:pt>
                <c:pt idx="2">
                  <c:v>-5.8708702097371709E-2</c:v>
                </c:pt>
                <c:pt idx="3">
                  <c:v>-0.47332867780116666</c:v>
                </c:pt>
                <c:pt idx="4">
                  <c:v>-0.67924094093413856</c:v>
                </c:pt>
                <c:pt idx="5">
                  <c:v>-1.331897252120668</c:v>
                </c:pt>
                <c:pt idx="6">
                  <c:v>-1.9089285900827602</c:v>
                </c:pt>
                <c:pt idx="7">
                  <c:v>-1.9089285900827602</c:v>
                </c:pt>
                <c:pt idx="8">
                  <c:v>-1.384429493461667</c:v>
                </c:pt>
                <c:pt idx="9">
                  <c:v>-1.2841868006263821</c:v>
                </c:pt>
                <c:pt idx="10">
                  <c:v>-1.0284660371549066</c:v>
                </c:pt>
                <c:pt idx="11">
                  <c:v>-0.51487636348887822</c:v>
                </c:pt>
                <c:pt idx="12">
                  <c:v>-0.21334833533195374</c:v>
                </c:pt>
                <c:pt idx="13">
                  <c:v>-0.21334833533195374</c:v>
                </c:pt>
                <c:pt idx="14">
                  <c:v>-0.21334833533195374</c:v>
                </c:pt>
                <c:pt idx="15">
                  <c:v>-0.21334833533195374</c:v>
                </c:pt>
                <c:pt idx="16">
                  <c:v>-0.21334833533195374</c:v>
                </c:pt>
                <c:pt idx="17">
                  <c:v>-3.6456455100697366E-2</c:v>
                </c:pt>
                <c:pt idx="18">
                  <c:v>-9.1858117150560997E-2</c:v>
                </c:pt>
                <c:pt idx="19">
                  <c:v>-9.1858117150560997E-2</c:v>
                </c:pt>
                <c:pt idx="20">
                  <c:v>-9.1858117150560997E-2</c:v>
                </c:pt>
                <c:pt idx="21">
                  <c:v>-9.1858117150560997E-2</c:v>
                </c:pt>
                <c:pt idx="22">
                  <c:v>-9.1858117150560997E-2</c:v>
                </c:pt>
                <c:pt idx="23">
                  <c:v>-9.1858117150560997E-2</c:v>
                </c:pt>
                <c:pt idx="24">
                  <c:v>-0.9562727012687734</c:v>
                </c:pt>
                <c:pt idx="25">
                  <c:v>-0.9562727012687734</c:v>
                </c:pt>
                <c:pt idx="26">
                  <c:v>-0.54423566423173564</c:v>
                </c:pt>
                <c:pt idx="27">
                  <c:v>-1.1094202912098816</c:v>
                </c:pt>
                <c:pt idx="28">
                  <c:v>-2.0831639879582706</c:v>
                </c:pt>
                <c:pt idx="29">
                  <c:v>-1.6505351900718752</c:v>
                </c:pt>
                <c:pt idx="30">
                  <c:v>-1.6505351900718752</c:v>
                </c:pt>
                <c:pt idx="31">
                  <c:v>-1.1321243373586967</c:v>
                </c:pt>
                <c:pt idx="32">
                  <c:v>-1.6414823094032374</c:v>
                </c:pt>
                <c:pt idx="33">
                  <c:v>-1.6395053997084708</c:v>
                </c:pt>
                <c:pt idx="34">
                  <c:v>-1.6395053997084708</c:v>
                </c:pt>
                <c:pt idx="35">
                  <c:v>-1.6395053997084708</c:v>
                </c:pt>
                <c:pt idx="36">
                  <c:v>-1.9770124847808663</c:v>
                </c:pt>
                <c:pt idx="37">
                  <c:v>-1.775023671853581</c:v>
                </c:pt>
                <c:pt idx="38">
                  <c:v>-1.775023671853581</c:v>
                </c:pt>
                <c:pt idx="39">
                  <c:v>-1.775023671853581</c:v>
                </c:pt>
                <c:pt idx="40">
                  <c:v>-3.7858772491988635</c:v>
                </c:pt>
                <c:pt idx="41">
                  <c:v>-3.7858772491988635</c:v>
                </c:pt>
                <c:pt idx="42">
                  <c:v>-3.7858772491988635</c:v>
                </c:pt>
                <c:pt idx="43">
                  <c:v>-3.7858772491988635</c:v>
                </c:pt>
                <c:pt idx="44">
                  <c:v>-3.7858772491988635</c:v>
                </c:pt>
                <c:pt idx="45">
                  <c:v>-3.7858772491988635</c:v>
                </c:pt>
                <c:pt idx="46">
                  <c:v>-3.7858772491988635</c:v>
                </c:pt>
                <c:pt idx="47">
                  <c:v>-3.7858772491988635</c:v>
                </c:pt>
                <c:pt idx="48">
                  <c:v>-3.7858772491988635</c:v>
                </c:pt>
                <c:pt idx="49">
                  <c:v>-3.7858772491988635</c:v>
                </c:pt>
                <c:pt idx="50">
                  <c:v>-3.7858772491988635</c:v>
                </c:pt>
                <c:pt idx="51">
                  <c:v>-3.7858772491988635</c:v>
                </c:pt>
                <c:pt idx="52">
                  <c:v>-3.7858772491988635</c:v>
                </c:pt>
                <c:pt idx="53">
                  <c:v>-3.7858772491988635</c:v>
                </c:pt>
                <c:pt idx="54">
                  <c:v>-3.7858772491988635</c:v>
                </c:pt>
                <c:pt idx="55">
                  <c:v>-3.7858772491988635</c:v>
                </c:pt>
                <c:pt idx="56">
                  <c:v>-3.7858772491988635</c:v>
                </c:pt>
                <c:pt idx="57">
                  <c:v>-3.7858772491988635</c:v>
                </c:pt>
                <c:pt idx="58">
                  <c:v>-3.1199939746199368</c:v>
                </c:pt>
                <c:pt idx="59">
                  <c:v>-3.1199939746199368</c:v>
                </c:pt>
                <c:pt idx="60">
                  <c:v>-3.1199939746199368</c:v>
                </c:pt>
                <c:pt idx="61">
                  <c:v>-3.1199939746199368</c:v>
                </c:pt>
                <c:pt idx="62">
                  <c:v>-3.1199939746199368</c:v>
                </c:pt>
                <c:pt idx="63">
                  <c:v>-3.1199939746199368</c:v>
                </c:pt>
                <c:pt idx="64">
                  <c:v>-3.1199939746199368</c:v>
                </c:pt>
                <c:pt idx="65">
                  <c:v>-3.1199939746199368</c:v>
                </c:pt>
                <c:pt idx="66">
                  <c:v>-3.1199939746199368</c:v>
                </c:pt>
                <c:pt idx="67">
                  <c:v>-3.1199939746199368</c:v>
                </c:pt>
                <c:pt idx="68">
                  <c:v>-3.1199939746199368</c:v>
                </c:pt>
                <c:pt idx="69">
                  <c:v>-3.1199939746199368</c:v>
                </c:pt>
                <c:pt idx="70">
                  <c:v>-3.1199939746199368</c:v>
                </c:pt>
                <c:pt idx="71">
                  <c:v>-3.6795034388966879</c:v>
                </c:pt>
                <c:pt idx="72">
                  <c:v>-3.6795034388966879</c:v>
                </c:pt>
                <c:pt idx="73">
                  <c:v>-3.6795034388966879</c:v>
                </c:pt>
                <c:pt idx="74">
                  <c:v>-3.6795034388966879</c:v>
                </c:pt>
                <c:pt idx="75">
                  <c:v>-3.6795034388966879</c:v>
                </c:pt>
                <c:pt idx="76">
                  <c:v>-3.6795034388966879</c:v>
                </c:pt>
                <c:pt idx="77">
                  <c:v>-3.9639812123218028</c:v>
                </c:pt>
                <c:pt idx="78">
                  <c:v>-3.9639812123218028</c:v>
                </c:pt>
                <c:pt idx="79">
                  <c:v>-3.9639812123218028</c:v>
                </c:pt>
                <c:pt idx="80">
                  <c:v>-3.9639812123218028</c:v>
                </c:pt>
                <c:pt idx="81">
                  <c:v>-3.9639812123218028</c:v>
                </c:pt>
                <c:pt idx="82">
                  <c:v>-3.9639812123218028</c:v>
                </c:pt>
                <c:pt idx="83">
                  <c:v>-3.9639812123218028</c:v>
                </c:pt>
                <c:pt idx="84">
                  <c:v>-5.8110562929298162</c:v>
                </c:pt>
                <c:pt idx="85">
                  <c:v>-5.8110562929298162</c:v>
                </c:pt>
                <c:pt idx="86">
                  <c:v>-5.8110562929298162</c:v>
                </c:pt>
                <c:pt idx="87">
                  <c:v>-5.8110562929298162</c:v>
                </c:pt>
                <c:pt idx="88">
                  <c:v>-5.8110562929298162</c:v>
                </c:pt>
                <c:pt idx="89">
                  <c:v>-6.1285166103901361</c:v>
                </c:pt>
                <c:pt idx="90">
                  <c:v>-6.1285166103901361</c:v>
                </c:pt>
                <c:pt idx="91">
                  <c:v>-6.1285166103901361</c:v>
                </c:pt>
                <c:pt idx="92">
                  <c:v>-6.1285166103901361</c:v>
                </c:pt>
                <c:pt idx="93">
                  <c:v>-6.1285166103901361</c:v>
                </c:pt>
                <c:pt idx="94">
                  <c:v>-6.1285166103901361</c:v>
                </c:pt>
                <c:pt idx="95">
                  <c:v>-6.1285166103901361</c:v>
                </c:pt>
                <c:pt idx="96">
                  <c:v>-6.1285166103901361</c:v>
                </c:pt>
                <c:pt idx="97">
                  <c:v>-6.1285166103901361</c:v>
                </c:pt>
                <c:pt idx="98">
                  <c:v>-6.1285166103901361</c:v>
                </c:pt>
                <c:pt idx="99">
                  <c:v>-6.1285166103901361</c:v>
                </c:pt>
                <c:pt idx="100">
                  <c:v>-6.1285166103901361</c:v>
                </c:pt>
                <c:pt idx="101">
                  <c:v>-6.1285166103901361</c:v>
                </c:pt>
                <c:pt idx="102">
                  <c:v>-6.1285166103901361</c:v>
                </c:pt>
                <c:pt idx="103">
                  <c:v>-6.1285166103901361</c:v>
                </c:pt>
                <c:pt idx="104">
                  <c:v>-6.1285166103901361</c:v>
                </c:pt>
                <c:pt idx="105">
                  <c:v>-6.1285166103901361</c:v>
                </c:pt>
                <c:pt idx="106">
                  <c:v>-6.1285166103901361</c:v>
                </c:pt>
                <c:pt idx="107">
                  <c:v>-6.1285166103901361</c:v>
                </c:pt>
                <c:pt idx="108">
                  <c:v>-6.1285166103901361</c:v>
                </c:pt>
                <c:pt idx="109">
                  <c:v>-6.1285166103901361</c:v>
                </c:pt>
                <c:pt idx="110">
                  <c:v>-6.1285166103901361</c:v>
                </c:pt>
                <c:pt idx="111">
                  <c:v>-6.1285166103901361</c:v>
                </c:pt>
                <c:pt idx="112">
                  <c:v>-6.1285166103901361</c:v>
                </c:pt>
                <c:pt idx="113">
                  <c:v>-6.1285166103901361</c:v>
                </c:pt>
                <c:pt idx="114">
                  <c:v>-6.1285166103901361</c:v>
                </c:pt>
                <c:pt idx="115">
                  <c:v>-6.1285166103901361</c:v>
                </c:pt>
                <c:pt idx="116">
                  <c:v>-6.1285166103901361</c:v>
                </c:pt>
                <c:pt idx="117">
                  <c:v>-6.1285166103901361</c:v>
                </c:pt>
                <c:pt idx="118">
                  <c:v>-6.1285166103901361</c:v>
                </c:pt>
                <c:pt idx="119">
                  <c:v>-6.1285166103901361</c:v>
                </c:pt>
                <c:pt idx="120">
                  <c:v>-6.1285166103901361</c:v>
                </c:pt>
                <c:pt idx="121">
                  <c:v>-6.1285166103901361</c:v>
                </c:pt>
                <c:pt idx="122">
                  <c:v>-6.1285166103901361</c:v>
                </c:pt>
                <c:pt idx="123">
                  <c:v>-6.1285166103901361</c:v>
                </c:pt>
                <c:pt idx="124">
                  <c:v>-6.1285166103901361</c:v>
                </c:pt>
                <c:pt idx="125">
                  <c:v>-6.1285166103901361</c:v>
                </c:pt>
                <c:pt idx="126">
                  <c:v>-6.1285166103901361</c:v>
                </c:pt>
                <c:pt idx="127">
                  <c:v>-6.1285166103901361</c:v>
                </c:pt>
                <c:pt idx="128">
                  <c:v>-6.1285166103901361</c:v>
                </c:pt>
                <c:pt idx="129">
                  <c:v>-6.1285166103901361</c:v>
                </c:pt>
                <c:pt idx="130">
                  <c:v>-6.1285166103901361</c:v>
                </c:pt>
                <c:pt idx="131">
                  <c:v>-6.3743253454660342</c:v>
                </c:pt>
                <c:pt idx="132">
                  <c:v>-6.3743253454660342</c:v>
                </c:pt>
                <c:pt idx="133">
                  <c:v>-6.3743253454660342</c:v>
                </c:pt>
                <c:pt idx="134">
                  <c:v>-6.3743253454660342</c:v>
                </c:pt>
                <c:pt idx="135">
                  <c:v>-6.3743253454660342</c:v>
                </c:pt>
                <c:pt idx="136">
                  <c:v>-6.3743253454660342</c:v>
                </c:pt>
                <c:pt idx="137">
                  <c:v>-6.3743253454660342</c:v>
                </c:pt>
                <c:pt idx="138">
                  <c:v>-6.3743253454660342</c:v>
                </c:pt>
                <c:pt idx="139">
                  <c:v>-6.3743253454660342</c:v>
                </c:pt>
                <c:pt idx="140">
                  <c:v>-6.3743253454660342</c:v>
                </c:pt>
                <c:pt idx="141">
                  <c:v>-6.3743253454660342</c:v>
                </c:pt>
                <c:pt idx="142">
                  <c:v>-6.3743253454660342</c:v>
                </c:pt>
                <c:pt idx="143">
                  <c:v>-6.7439541765148556</c:v>
                </c:pt>
                <c:pt idx="144">
                  <c:v>-6.7439541765148556</c:v>
                </c:pt>
                <c:pt idx="145">
                  <c:v>-6.7439541765148556</c:v>
                </c:pt>
                <c:pt idx="146">
                  <c:v>-6.7439541765148556</c:v>
                </c:pt>
                <c:pt idx="147">
                  <c:v>-6.7439541765148556</c:v>
                </c:pt>
                <c:pt idx="148">
                  <c:v>-5.5697117522724318</c:v>
                </c:pt>
                <c:pt idx="149">
                  <c:v>-5.5697117522724318</c:v>
                </c:pt>
                <c:pt idx="150">
                  <c:v>-5.5697117522724318</c:v>
                </c:pt>
                <c:pt idx="151">
                  <c:v>-5.5697117522724318</c:v>
                </c:pt>
                <c:pt idx="152">
                  <c:v>-5.5697117522724318</c:v>
                </c:pt>
                <c:pt idx="153">
                  <c:v>-5.5697117522724318</c:v>
                </c:pt>
                <c:pt idx="154">
                  <c:v>-5.9152259242096532</c:v>
                </c:pt>
                <c:pt idx="155">
                  <c:v>-5.9152259242096532</c:v>
                </c:pt>
                <c:pt idx="156">
                  <c:v>-5.9152259242096532</c:v>
                </c:pt>
                <c:pt idx="157">
                  <c:v>-5.9152259242096532</c:v>
                </c:pt>
                <c:pt idx="158">
                  <c:v>-5.9152259242096532</c:v>
                </c:pt>
                <c:pt idx="159">
                  <c:v>-5.9152259242096532</c:v>
                </c:pt>
                <c:pt idx="160">
                  <c:v>-5.9152259242096532</c:v>
                </c:pt>
                <c:pt idx="161">
                  <c:v>-5.9152259242096532</c:v>
                </c:pt>
                <c:pt idx="162">
                  <c:v>-5.9152259242096532</c:v>
                </c:pt>
                <c:pt idx="163">
                  <c:v>-5.9152259242096532</c:v>
                </c:pt>
                <c:pt idx="164">
                  <c:v>-5.9152259242096532</c:v>
                </c:pt>
                <c:pt idx="165">
                  <c:v>-5.9152259242096532</c:v>
                </c:pt>
                <c:pt idx="166">
                  <c:v>-5.9152259242096532</c:v>
                </c:pt>
                <c:pt idx="167">
                  <c:v>-5.9152259242096532</c:v>
                </c:pt>
                <c:pt idx="168">
                  <c:v>-5.9152259242096532</c:v>
                </c:pt>
                <c:pt idx="169">
                  <c:v>-5.9152259242096532</c:v>
                </c:pt>
                <c:pt idx="170">
                  <c:v>-5.9152259242096532</c:v>
                </c:pt>
                <c:pt idx="171">
                  <c:v>-5.9152259242096532</c:v>
                </c:pt>
                <c:pt idx="172">
                  <c:v>-5.9152259242096532</c:v>
                </c:pt>
                <c:pt idx="173">
                  <c:v>-5.9152259242096532</c:v>
                </c:pt>
                <c:pt idx="174">
                  <c:v>-5.9152259242096532</c:v>
                </c:pt>
                <c:pt idx="175">
                  <c:v>-5.9152259242096532</c:v>
                </c:pt>
                <c:pt idx="176">
                  <c:v>-5.9152259242096532</c:v>
                </c:pt>
                <c:pt idx="177">
                  <c:v>-5.9152259242096532</c:v>
                </c:pt>
                <c:pt idx="178">
                  <c:v>-5.9152259242096532</c:v>
                </c:pt>
                <c:pt idx="179">
                  <c:v>-5.9152259242096532</c:v>
                </c:pt>
                <c:pt idx="180">
                  <c:v>-5.9152259242096532</c:v>
                </c:pt>
                <c:pt idx="181">
                  <c:v>-5.9152259242096532</c:v>
                </c:pt>
                <c:pt idx="182">
                  <c:v>-5.9152259242096532</c:v>
                </c:pt>
                <c:pt idx="183">
                  <c:v>-5.9152259242096532</c:v>
                </c:pt>
                <c:pt idx="184">
                  <c:v>-5.9152259242096532</c:v>
                </c:pt>
                <c:pt idx="185">
                  <c:v>-5.9152259242096532</c:v>
                </c:pt>
                <c:pt idx="186">
                  <c:v>-5.9152259242096532</c:v>
                </c:pt>
                <c:pt idx="187">
                  <c:v>-5.9152259242096532</c:v>
                </c:pt>
                <c:pt idx="188">
                  <c:v>-5.9152259242096532</c:v>
                </c:pt>
                <c:pt idx="189">
                  <c:v>-5.9152259242096532</c:v>
                </c:pt>
                <c:pt idx="190">
                  <c:v>-5.2313869233272783</c:v>
                </c:pt>
                <c:pt idx="191">
                  <c:v>-5.2313869233272783</c:v>
                </c:pt>
                <c:pt idx="192">
                  <c:v>-5.2313869233272783</c:v>
                </c:pt>
                <c:pt idx="193">
                  <c:v>-5.2313869233272783</c:v>
                </c:pt>
                <c:pt idx="194">
                  <c:v>-5.2313869233272783</c:v>
                </c:pt>
                <c:pt idx="195">
                  <c:v>-5.2313869233272783</c:v>
                </c:pt>
                <c:pt idx="196">
                  <c:v>-5.1723909496504286</c:v>
                </c:pt>
                <c:pt idx="197">
                  <c:v>-5.1723909496504286</c:v>
                </c:pt>
                <c:pt idx="198">
                  <c:v>-5.1723909496504286</c:v>
                </c:pt>
                <c:pt idx="199">
                  <c:v>-5.1723909496504286</c:v>
                </c:pt>
                <c:pt idx="200">
                  <c:v>-5.1723909496504286</c:v>
                </c:pt>
                <c:pt idx="201">
                  <c:v>-5.1723909496504286</c:v>
                </c:pt>
                <c:pt idx="202">
                  <c:v>-5.1723909496504286</c:v>
                </c:pt>
                <c:pt idx="203">
                  <c:v>-5.1723909496504286</c:v>
                </c:pt>
                <c:pt idx="204">
                  <c:v>-5.1723909496504286</c:v>
                </c:pt>
                <c:pt idx="205">
                  <c:v>-5.1723909496504286</c:v>
                </c:pt>
                <c:pt idx="206">
                  <c:v>-5.1723909496504286</c:v>
                </c:pt>
                <c:pt idx="207">
                  <c:v>-5.360541820395154</c:v>
                </c:pt>
                <c:pt idx="208">
                  <c:v>-5.360541820395154</c:v>
                </c:pt>
                <c:pt idx="209">
                  <c:v>-5.360541820395154</c:v>
                </c:pt>
                <c:pt idx="210">
                  <c:v>-5.360541820395154</c:v>
                </c:pt>
                <c:pt idx="211">
                  <c:v>-5.360541820395154</c:v>
                </c:pt>
                <c:pt idx="212">
                  <c:v>-5.532199457671652</c:v>
                </c:pt>
                <c:pt idx="213">
                  <c:v>-5.532199457671652</c:v>
                </c:pt>
                <c:pt idx="214">
                  <c:v>-5.532199457671652</c:v>
                </c:pt>
                <c:pt idx="215">
                  <c:v>-5.532199457671652</c:v>
                </c:pt>
                <c:pt idx="216">
                  <c:v>-5.532199457671652</c:v>
                </c:pt>
                <c:pt idx="217">
                  <c:v>-5.532199457671652</c:v>
                </c:pt>
                <c:pt idx="218">
                  <c:v>-5.532199457671652</c:v>
                </c:pt>
                <c:pt idx="219">
                  <c:v>-5.532199457671652</c:v>
                </c:pt>
                <c:pt idx="220">
                  <c:v>-5.532199457671652</c:v>
                </c:pt>
                <c:pt idx="221">
                  <c:v>-5.532199457671652</c:v>
                </c:pt>
                <c:pt idx="222">
                  <c:v>-5.532199457671652</c:v>
                </c:pt>
                <c:pt idx="223">
                  <c:v>-5.532199457671652</c:v>
                </c:pt>
                <c:pt idx="224">
                  <c:v>-5.532199457671652</c:v>
                </c:pt>
                <c:pt idx="225">
                  <c:v>-5.532199457671652</c:v>
                </c:pt>
                <c:pt idx="226">
                  <c:v>-5.532199457671652</c:v>
                </c:pt>
                <c:pt idx="227">
                  <c:v>-5.532199457671652</c:v>
                </c:pt>
                <c:pt idx="228">
                  <c:v>-5.532199457671652</c:v>
                </c:pt>
                <c:pt idx="229">
                  <c:v>-5.532199457671652</c:v>
                </c:pt>
                <c:pt idx="230">
                  <c:v>-5.532199457671652</c:v>
                </c:pt>
                <c:pt idx="231">
                  <c:v>-5.532199457671652</c:v>
                </c:pt>
                <c:pt idx="232">
                  <c:v>-5.532199457671652</c:v>
                </c:pt>
                <c:pt idx="233">
                  <c:v>-5.532199457671652</c:v>
                </c:pt>
                <c:pt idx="234">
                  <c:v>-5.532199457671652</c:v>
                </c:pt>
                <c:pt idx="235">
                  <c:v>-5.532199457671652</c:v>
                </c:pt>
                <c:pt idx="236">
                  <c:v>-5.532199457671652</c:v>
                </c:pt>
                <c:pt idx="237">
                  <c:v>-5.532199457671652</c:v>
                </c:pt>
                <c:pt idx="238">
                  <c:v>-5.532199457671652</c:v>
                </c:pt>
                <c:pt idx="239">
                  <c:v>-5.532199457671652</c:v>
                </c:pt>
                <c:pt idx="240">
                  <c:v>-5.532199457671652</c:v>
                </c:pt>
                <c:pt idx="241">
                  <c:v>-1.7830544508317079</c:v>
                </c:pt>
                <c:pt idx="242">
                  <c:v>-1.7830544508317079</c:v>
                </c:pt>
                <c:pt idx="243">
                  <c:v>-1.7830544508317079</c:v>
                </c:pt>
                <c:pt idx="244">
                  <c:v>-1.7830544508317079</c:v>
                </c:pt>
                <c:pt idx="245">
                  <c:v>-1.7830544508317079</c:v>
                </c:pt>
                <c:pt idx="246">
                  <c:v>-1.7830544508317079</c:v>
                </c:pt>
                <c:pt idx="247">
                  <c:v>-1.7830544508317079</c:v>
                </c:pt>
                <c:pt idx="248">
                  <c:v>-2.3116896452635443</c:v>
                </c:pt>
                <c:pt idx="249">
                  <c:v>-2.7119030924353726</c:v>
                </c:pt>
                <c:pt idx="250">
                  <c:v>-2.7119030924353726</c:v>
                </c:pt>
                <c:pt idx="251">
                  <c:v>-2.7119030924353726</c:v>
                </c:pt>
                <c:pt idx="252">
                  <c:v>-2.7119030924353726</c:v>
                </c:pt>
                <c:pt idx="253">
                  <c:v>-2.7119030924353726</c:v>
                </c:pt>
                <c:pt idx="254">
                  <c:v>-2.7119030924353726</c:v>
                </c:pt>
                <c:pt idx="255">
                  <c:v>-2.7119030924353726</c:v>
                </c:pt>
                <c:pt idx="256">
                  <c:v>-2.7119030924353726</c:v>
                </c:pt>
                <c:pt idx="257">
                  <c:v>-2.7119030924353726</c:v>
                </c:pt>
                <c:pt idx="258">
                  <c:v>-2.7119030924353726</c:v>
                </c:pt>
                <c:pt idx="259">
                  <c:v>-2.7119030924353726</c:v>
                </c:pt>
                <c:pt idx="260">
                  <c:v>-2.7119030924353726</c:v>
                </c:pt>
                <c:pt idx="261">
                  <c:v>-2.7119030924353726</c:v>
                </c:pt>
                <c:pt idx="262">
                  <c:v>-2.7119030924353726</c:v>
                </c:pt>
                <c:pt idx="263">
                  <c:v>-2.9757777945123198</c:v>
                </c:pt>
                <c:pt idx="264">
                  <c:v>-2.9757777945123198</c:v>
                </c:pt>
                <c:pt idx="265">
                  <c:v>-2.9757777945123198</c:v>
                </c:pt>
                <c:pt idx="266">
                  <c:v>-2.9757777945123198</c:v>
                </c:pt>
                <c:pt idx="267">
                  <c:v>-2.803327741936084</c:v>
                </c:pt>
                <c:pt idx="268">
                  <c:v>-2.803327741936084</c:v>
                </c:pt>
                <c:pt idx="269">
                  <c:v>-2.803327741936084</c:v>
                </c:pt>
                <c:pt idx="270">
                  <c:v>-2.803327741936084</c:v>
                </c:pt>
                <c:pt idx="271">
                  <c:v>-2.803327741936084</c:v>
                </c:pt>
                <c:pt idx="272">
                  <c:v>-2.803327741936084</c:v>
                </c:pt>
                <c:pt idx="273">
                  <c:v>-2.803327741936084</c:v>
                </c:pt>
                <c:pt idx="274">
                  <c:v>-2.803327741936084</c:v>
                </c:pt>
                <c:pt idx="275">
                  <c:v>-2.803327741936084</c:v>
                </c:pt>
                <c:pt idx="276">
                  <c:v>-2.803327741936084</c:v>
                </c:pt>
                <c:pt idx="277">
                  <c:v>-2.803327741936084</c:v>
                </c:pt>
                <c:pt idx="278">
                  <c:v>-2.803327741936084</c:v>
                </c:pt>
                <c:pt idx="279">
                  <c:v>-2.803327741936084</c:v>
                </c:pt>
                <c:pt idx="280">
                  <c:v>-2.803327741936084</c:v>
                </c:pt>
                <c:pt idx="281">
                  <c:v>-2.803327741936084</c:v>
                </c:pt>
                <c:pt idx="282">
                  <c:v>-2.3124556138700489</c:v>
                </c:pt>
                <c:pt idx="283">
                  <c:v>-2.3124556138700489</c:v>
                </c:pt>
                <c:pt idx="284">
                  <c:v>-2.3124556138700489</c:v>
                </c:pt>
                <c:pt idx="285">
                  <c:v>-2.3124556138700489</c:v>
                </c:pt>
                <c:pt idx="286">
                  <c:v>-2.3124556138700489</c:v>
                </c:pt>
                <c:pt idx="287">
                  <c:v>-2.3124556138700489</c:v>
                </c:pt>
                <c:pt idx="288">
                  <c:v>-2.3124556138700489</c:v>
                </c:pt>
                <c:pt idx="289">
                  <c:v>-2.3124556138700489</c:v>
                </c:pt>
                <c:pt idx="290">
                  <c:v>-2.3124556138700489</c:v>
                </c:pt>
                <c:pt idx="291">
                  <c:v>-2.3124556138700489</c:v>
                </c:pt>
                <c:pt idx="292">
                  <c:v>-2.3124556138700489</c:v>
                </c:pt>
                <c:pt idx="293">
                  <c:v>-3.1047193911041169</c:v>
                </c:pt>
                <c:pt idx="294">
                  <c:v>-3.1047193911041169</c:v>
                </c:pt>
                <c:pt idx="295">
                  <c:v>-3.1047193911041169</c:v>
                </c:pt>
                <c:pt idx="296">
                  <c:v>-3.1047193911041169</c:v>
                </c:pt>
                <c:pt idx="297">
                  <c:v>-3.1047193911041169</c:v>
                </c:pt>
                <c:pt idx="298">
                  <c:v>-3.1047193911041169</c:v>
                </c:pt>
                <c:pt idx="299">
                  <c:v>-3.1047193911041169</c:v>
                </c:pt>
                <c:pt idx="300">
                  <c:v>-3.1047193911041169</c:v>
                </c:pt>
                <c:pt idx="301">
                  <c:v>-3.1047193911041169</c:v>
                </c:pt>
                <c:pt idx="302">
                  <c:v>-3.1047193911041169</c:v>
                </c:pt>
                <c:pt idx="303">
                  <c:v>-3.1047193911041169</c:v>
                </c:pt>
                <c:pt idx="304">
                  <c:v>-3.1047193911041169</c:v>
                </c:pt>
                <c:pt idx="305">
                  <c:v>-3.1047193911041169</c:v>
                </c:pt>
                <c:pt idx="306">
                  <c:v>-3.1047193911041169</c:v>
                </c:pt>
                <c:pt idx="307">
                  <c:v>-3.1047193911041169</c:v>
                </c:pt>
                <c:pt idx="308">
                  <c:v>-3.1047193911041169</c:v>
                </c:pt>
                <c:pt idx="309">
                  <c:v>-3.1047193911041169</c:v>
                </c:pt>
                <c:pt idx="310">
                  <c:v>-3.1047193911041169</c:v>
                </c:pt>
                <c:pt idx="311">
                  <c:v>-3.1047193911041169</c:v>
                </c:pt>
                <c:pt idx="312">
                  <c:v>-3.1047193911041169</c:v>
                </c:pt>
                <c:pt idx="313">
                  <c:v>-3.1047193911041169</c:v>
                </c:pt>
                <c:pt idx="314">
                  <c:v>-3.1047193911041169</c:v>
                </c:pt>
                <c:pt idx="315">
                  <c:v>-3.1047193911041169</c:v>
                </c:pt>
                <c:pt idx="316">
                  <c:v>-3.1047193911041169</c:v>
                </c:pt>
                <c:pt idx="317">
                  <c:v>-3.1047193911041169</c:v>
                </c:pt>
                <c:pt idx="318">
                  <c:v>-3.1047193911041169</c:v>
                </c:pt>
                <c:pt idx="319">
                  <c:v>-3.1047193911041169</c:v>
                </c:pt>
                <c:pt idx="320">
                  <c:v>-3.1047193911041169</c:v>
                </c:pt>
                <c:pt idx="321">
                  <c:v>-3.1047193911041169</c:v>
                </c:pt>
                <c:pt idx="322">
                  <c:v>-3.1047193911041169</c:v>
                </c:pt>
                <c:pt idx="323">
                  <c:v>-3.1047193911041169</c:v>
                </c:pt>
                <c:pt idx="324">
                  <c:v>-3.1047193911041169</c:v>
                </c:pt>
                <c:pt idx="325">
                  <c:v>-3.1047193911041169</c:v>
                </c:pt>
                <c:pt idx="326">
                  <c:v>-3.1047193911041169</c:v>
                </c:pt>
                <c:pt idx="327">
                  <c:v>-3.1047193911041169</c:v>
                </c:pt>
                <c:pt idx="328">
                  <c:v>-3.1047193911041169</c:v>
                </c:pt>
                <c:pt idx="329">
                  <c:v>-3.1047193911041169</c:v>
                </c:pt>
                <c:pt idx="330">
                  <c:v>-3.1047193911041169</c:v>
                </c:pt>
                <c:pt idx="331">
                  <c:v>-3.1047193911041169</c:v>
                </c:pt>
                <c:pt idx="332">
                  <c:v>-3.1047193911041169</c:v>
                </c:pt>
                <c:pt idx="333">
                  <c:v>-3.1047193911041169</c:v>
                </c:pt>
                <c:pt idx="334">
                  <c:v>-3.1047193911041169</c:v>
                </c:pt>
                <c:pt idx="335">
                  <c:v>-3.1047193911041169</c:v>
                </c:pt>
                <c:pt idx="336">
                  <c:v>-3.1047193911041169</c:v>
                </c:pt>
                <c:pt idx="337">
                  <c:v>-3.1047193911041169</c:v>
                </c:pt>
                <c:pt idx="338">
                  <c:v>-3.1047193911041169</c:v>
                </c:pt>
                <c:pt idx="339">
                  <c:v>-3.1047193911041169</c:v>
                </c:pt>
                <c:pt idx="340">
                  <c:v>-3.1047193911041169</c:v>
                </c:pt>
                <c:pt idx="341">
                  <c:v>-3.1047193911041169</c:v>
                </c:pt>
                <c:pt idx="342">
                  <c:v>-3.1047193911041169</c:v>
                </c:pt>
                <c:pt idx="343">
                  <c:v>-3.1047193911041169</c:v>
                </c:pt>
                <c:pt idx="344">
                  <c:v>-3.1047193911041169</c:v>
                </c:pt>
                <c:pt idx="345">
                  <c:v>-3.1047193911041169</c:v>
                </c:pt>
                <c:pt idx="346">
                  <c:v>-3.1047193911041169</c:v>
                </c:pt>
                <c:pt idx="347">
                  <c:v>-3.1047193911041169</c:v>
                </c:pt>
                <c:pt idx="348">
                  <c:v>-3.1047193911041169</c:v>
                </c:pt>
                <c:pt idx="349">
                  <c:v>-3.1047193911041169</c:v>
                </c:pt>
                <c:pt idx="350">
                  <c:v>-3.1047193911041169</c:v>
                </c:pt>
                <c:pt idx="351">
                  <c:v>-3.1047193911041169</c:v>
                </c:pt>
                <c:pt idx="352">
                  <c:v>-3.1047193911041169</c:v>
                </c:pt>
                <c:pt idx="353">
                  <c:v>-3.1047193911041169</c:v>
                </c:pt>
                <c:pt idx="354">
                  <c:v>-3.1047193911041169</c:v>
                </c:pt>
                <c:pt idx="355">
                  <c:v>-3.1047193911041169</c:v>
                </c:pt>
                <c:pt idx="356">
                  <c:v>-3.1047193911041169</c:v>
                </c:pt>
                <c:pt idx="357">
                  <c:v>-3.1047193911041169</c:v>
                </c:pt>
                <c:pt idx="358">
                  <c:v>-3.1047193911041169</c:v>
                </c:pt>
                <c:pt idx="359">
                  <c:v>-3.1047193911041169</c:v>
                </c:pt>
                <c:pt idx="360">
                  <c:v>-3.1047193911041169</c:v>
                </c:pt>
                <c:pt idx="361">
                  <c:v>-3.1047193911041169</c:v>
                </c:pt>
                <c:pt idx="362">
                  <c:v>-3.1047193911041169</c:v>
                </c:pt>
                <c:pt idx="363">
                  <c:v>-3.1047193911041169</c:v>
                </c:pt>
                <c:pt idx="364">
                  <c:v>-3.1047193911041169</c:v>
                </c:pt>
                <c:pt idx="365">
                  <c:v>-3.1047193911041169</c:v>
                </c:pt>
                <c:pt idx="366">
                  <c:v>-3.1047193911041169</c:v>
                </c:pt>
                <c:pt idx="367">
                  <c:v>-3.1047193911041169</c:v>
                </c:pt>
                <c:pt idx="368">
                  <c:v>-3.1047193911041169</c:v>
                </c:pt>
                <c:pt idx="369">
                  <c:v>-3.1047193911041169</c:v>
                </c:pt>
                <c:pt idx="370">
                  <c:v>-3.1047193911041169</c:v>
                </c:pt>
                <c:pt idx="371">
                  <c:v>-3.1047193911041169</c:v>
                </c:pt>
                <c:pt idx="372">
                  <c:v>-3.1047193911041169</c:v>
                </c:pt>
                <c:pt idx="373">
                  <c:v>-3.1047193911041169</c:v>
                </c:pt>
                <c:pt idx="374">
                  <c:v>-3.1047193911041169</c:v>
                </c:pt>
                <c:pt idx="375">
                  <c:v>-3.1047193911041169</c:v>
                </c:pt>
                <c:pt idx="376">
                  <c:v>-3.1047193911041169</c:v>
                </c:pt>
                <c:pt idx="377">
                  <c:v>-3.1047193911041169</c:v>
                </c:pt>
                <c:pt idx="378">
                  <c:v>-3.1047193911041169</c:v>
                </c:pt>
                <c:pt idx="379">
                  <c:v>-3.1047193911041169</c:v>
                </c:pt>
                <c:pt idx="380">
                  <c:v>-3.1047193911041169</c:v>
                </c:pt>
                <c:pt idx="381">
                  <c:v>-3.1047193911041169</c:v>
                </c:pt>
                <c:pt idx="382">
                  <c:v>-3.1047193911041169</c:v>
                </c:pt>
                <c:pt idx="383">
                  <c:v>-3.1047193911041169</c:v>
                </c:pt>
                <c:pt idx="384">
                  <c:v>-3.1047193911041169</c:v>
                </c:pt>
                <c:pt idx="385">
                  <c:v>-3.1047193911041169</c:v>
                </c:pt>
                <c:pt idx="386">
                  <c:v>-3.1047193911041169</c:v>
                </c:pt>
                <c:pt idx="387">
                  <c:v>-3.1047193911041169</c:v>
                </c:pt>
                <c:pt idx="388">
                  <c:v>-3.1047193911041169</c:v>
                </c:pt>
                <c:pt idx="389">
                  <c:v>-3.1047193911041169</c:v>
                </c:pt>
                <c:pt idx="390">
                  <c:v>-3.1047193911041169</c:v>
                </c:pt>
                <c:pt idx="391">
                  <c:v>-3.1047193911041169</c:v>
                </c:pt>
                <c:pt idx="392">
                  <c:v>-3.1047193911041169</c:v>
                </c:pt>
                <c:pt idx="393">
                  <c:v>-3.1047193911041169</c:v>
                </c:pt>
                <c:pt idx="394">
                  <c:v>-3.1047193911041169</c:v>
                </c:pt>
                <c:pt idx="395">
                  <c:v>-3.1047193911041169</c:v>
                </c:pt>
                <c:pt idx="396">
                  <c:v>-3.1047193911041169</c:v>
                </c:pt>
                <c:pt idx="397">
                  <c:v>-3.1047193911041169</c:v>
                </c:pt>
                <c:pt idx="398">
                  <c:v>-3.1047193911041169</c:v>
                </c:pt>
                <c:pt idx="399">
                  <c:v>-3.1047193911041169</c:v>
                </c:pt>
                <c:pt idx="400">
                  <c:v>-3.1047193911041169</c:v>
                </c:pt>
                <c:pt idx="401">
                  <c:v>-3.1047193911041169</c:v>
                </c:pt>
                <c:pt idx="402">
                  <c:v>-3.1047193911041169</c:v>
                </c:pt>
                <c:pt idx="403">
                  <c:v>-3.1047193911041169</c:v>
                </c:pt>
                <c:pt idx="404">
                  <c:v>-3.1047193911041169</c:v>
                </c:pt>
                <c:pt idx="405">
                  <c:v>-3.1047193911041169</c:v>
                </c:pt>
                <c:pt idx="406">
                  <c:v>-3.1047193911041169</c:v>
                </c:pt>
                <c:pt idx="407">
                  <c:v>-3.1047193911041169</c:v>
                </c:pt>
                <c:pt idx="408">
                  <c:v>-3.1047193911041169</c:v>
                </c:pt>
                <c:pt idx="409">
                  <c:v>-3.1047193911041169</c:v>
                </c:pt>
                <c:pt idx="410">
                  <c:v>-3.1047193911041169</c:v>
                </c:pt>
                <c:pt idx="411">
                  <c:v>-3.1047193911041169</c:v>
                </c:pt>
                <c:pt idx="412">
                  <c:v>-3.1047193911041169</c:v>
                </c:pt>
                <c:pt idx="413">
                  <c:v>-3.1047193911041169</c:v>
                </c:pt>
                <c:pt idx="414">
                  <c:v>-3.1047193911041169</c:v>
                </c:pt>
                <c:pt idx="415">
                  <c:v>-3.1047193911041169</c:v>
                </c:pt>
                <c:pt idx="416">
                  <c:v>-3.1047193911041169</c:v>
                </c:pt>
                <c:pt idx="417">
                  <c:v>-3.1047193911041169</c:v>
                </c:pt>
                <c:pt idx="418">
                  <c:v>-3.1047193911041169</c:v>
                </c:pt>
              </c:numCache>
            </c:numRef>
          </c:val>
          <c:smooth val="0"/>
          <c:extLst>
            <c:ext xmlns:c16="http://schemas.microsoft.com/office/drawing/2014/chart" uri="{C3380CC4-5D6E-409C-BE32-E72D297353CC}">
              <c16:uniqueId val="{0000000C-CFC7-4AE2-BBA7-ADFD494951EC}"/>
            </c:ext>
          </c:extLst>
        </c:ser>
        <c:ser>
          <c:idx val="7"/>
          <c:order val="7"/>
          <c:tx>
            <c:strRef>
              <c:f>'2025-Q2'!$DY$2</c:f>
              <c:strCache>
                <c:ptCount val="1"/>
                <c:pt idx="0">
                  <c:v>XLI</c:v>
                </c:pt>
              </c:strCache>
            </c:strRef>
          </c:tx>
          <c:spPr>
            <a:ln w="19050" cap="rnd">
              <a:solidFill>
                <a:srgbClr val="FF6600"/>
              </a:solidFill>
              <a:prstDash val="sysDash"/>
              <a:round/>
            </a:ln>
            <a:effectLst/>
          </c:spPr>
          <c:marker>
            <c:symbol val="none"/>
          </c:marker>
          <c:val>
            <c:numRef>
              <c:f>'2025-Q2'!$EE$4:$EE$422</c:f>
              <c:numCache>
                <c:formatCode>0.00</c:formatCode>
                <c:ptCount val="419"/>
                <c:pt idx="0">
                  <c:v>-0.47844667409884589</c:v>
                </c:pt>
                <c:pt idx="1">
                  <c:v>-0.47844667409884589</c:v>
                </c:pt>
                <c:pt idx="2">
                  <c:v>-0.47844667409884589</c:v>
                </c:pt>
                <c:pt idx="3">
                  <c:v>-0.47844667409884589</c:v>
                </c:pt>
                <c:pt idx="4">
                  <c:v>-0.47844667409884589</c:v>
                </c:pt>
                <c:pt idx="5">
                  <c:v>-0.47844667409884589</c:v>
                </c:pt>
                <c:pt idx="6">
                  <c:v>-0.47844667409884589</c:v>
                </c:pt>
                <c:pt idx="7">
                  <c:v>-0.60599208466312837</c:v>
                </c:pt>
                <c:pt idx="8">
                  <c:v>-0.60599208466312837</c:v>
                </c:pt>
                <c:pt idx="9">
                  <c:v>-0.60599208466312837</c:v>
                </c:pt>
                <c:pt idx="10">
                  <c:v>-0.60599208466312837</c:v>
                </c:pt>
                <c:pt idx="11">
                  <c:v>-0.60599208466312837</c:v>
                </c:pt>
                <c:pt idx="12">
                  <c:v>-0.60599208466312837</c:v>
                </c:pt>
                <c:pt idx="13">
                  <c:v>-0.60599208466312837</c:v>
                </c:pt>
                <c:pt idx="14">
                  <c:v>0.27107104907975088</c:v>
                </c:pt>
                <c:pt idx="15">
                  <c:v>0.92654368589567215</c:v>
                </c:pt>
                <c:pt idx="16">
                  <c:v>0.92654368589567215</c:v>
                </c:pt>
                <c:pt idx="17">
                  <c:v>0.92654368589567215</c:v>
                </c:pt>
                <c:pt idx="18">
                  <c:v>0.92654368589567215</c:v>
                </c:pt>
                <c:pt idx="19">
                  <c:v>0.92654368589567215</c:v>
                </c:pt>
                <c:pt idx="20">
                  <c:v>0.92654368589567215</c:v>
                </c:pt>
                <c:pt idx="21">
                  <c:v>0.92654368589567215</c:v>
                </c:pt>
                <c:pt idx="22">
                  <c:v>0.96310675719366512</c:v>
                </c:pt>
                <c:pt idx="23">
                  <c:v>0.96310675719366512</c:v>
                </c:pt>
                <c:pt idx="24">
                  <c:v>0.96310675719366512</c:v>
                </c:pt>
                <c:pt idx="25">
                  <c:v>0.96310675719366512</c:v>
                </c:pt>
                <c:pt idx="26">
                  <c:v>0.96310675719366512</c:v>
                </c:pt>
                <c:pt idx="27">
                  <c:v>0.96310675719366512</c:v>
                </c:pt>
                <c:pt idx="28">
                  <c:v>0.96310675719366512</c:v>
                </c:pt>
                <c:pt idx="29">
                  <c:v>0.96310675719366512</c:v>
                </c:pt>
                <c:pt idx="30">
                  <c:v>0.96310675719366512</c:v>
                </c:pt>
                <c:pt idx="31">
                  <c:v>0.96310675719366512</c:v>
                </c:pt>
                <c:pt idx="32">
                  <c:v>0.96310675719366512</c:v>
                </c:pt>
                <c:pt idx="33">
                  <c:v>0.96310675719366512</c:v>
                </c:pt>
                <c:pt idx="34">
                  <c:v>0.96310675719366512</c:v>
                </c:pt>
                <c:pt idx="35">
                  <c:v>0.14182161663141543</c:v>
                </c:pt>
                <c:pt idx="36">
                  <c:v>0.14182161663141543</c:v>
                </c:pt>
                <c:pt idx="37">
                  <c:v>0.14182161663141543</c:v>
                </c:pt>
                <c:pt idx="38">
                  <c:v>0.14182161663141543</c:v>
                </c:pt>
                <c:pt idx="39">
                  <c:v>0.14182161663141543</c:v>
                </c:pt>
                <c:pt idx="40">
                  <c:v>0.14182161663141543</c:v>
                </c:pt>
                <c:pt idx="41">
                  <c:v>0.14182161663141543</c:v>
                </c:pt>
                <c:pt idx="42">
                  <c:v>0.14182161663141543</c:v>
                </c:pt>
                <c:pt idx="43">
                  <c:v>0.90343268101792085</c:v>
                </c:pt>
                <c:pt idx="44">
                  <c:v>0.90343268101792085</c:v>
                </c:pt>
                <c:pt idx="45">
                  <c:v>0.89325078878597841</c:v>
                </c:pt>
                <c:pt idx="46">
                  <c:v>0.89325078878597841</c:v>
                </c:pt>
                <c:pt idx="47">
                  <c:v>-0.56786251807291133</c:v>
                </c:pt>
                <c:pt idx="48">
                  <c:v>-0.56786251807291133</c:v>
                </c:pt>
                <c:pt idx="49">
                  <c:v>-2.0994726248495277</c:v>
                </c:pt>
                <c:pt idx="50">
                  <c:v>-2.0994726248495277</c:v>
                </c:pt>
                <c:pt idx="51">
                  <c:v>-1.1484323626029829</c:v>
                </c:pt>
                <c:pt idx="52">
                  <c:v>-2.4507795426097365</c:v>
                </c:pt>
                <c:pt idx="53">
                  <c:v>-2.4507795426097365</c:v>
                </c:pt>
                <c:pt idx="54">
                  <c:v>-2.4507795426097365</c:v>
                </c:pt>
                <c:pt idx="55">
                  <c:v>-2.4507795426097365</c:v>
                </c:pt>
                <c:pt idx="56">
                  <c:v>-2.4507795426097365</c:v>
                </c:pt>
                <c:pt idx="57">
                  <c:v>-2.4507795426097365</c:v>
                </c:pt>
                <c:pt idx="58">
                  <c:v>-2.4507795426097365</c:v>
                </c:pt>
                <c:pt idx="59">
                  <c:v>-2.4507795426097365</c:v>
                </c:pt>
                <c:pt idx="60">
                  <c:v>-2.4507795426097365</c:v>
                </c:pt>
                <c:pt idx="61">
                  <c:v>-1.0211274229217338</c:v>
                </c:pt>
                <c:pt idx="62">
                  <c:v>-1.0211274229217338</c:v>
                </c:pt>
                <c:pt idx="63">
                  <c:v>-1.0211274229217338</c:v>
                </c:pt>
                <c:pt idx="64">
                  <c:v>-1.0211274229217338</c:v>
                </c:pt>
                <c:pt idx="65">
                  <c:v>0.15616357716030693</c:v>
                </c:pt>
                <c:pt idx="66">
                  <c:v>-0.22262430162757174</c:v>
                </c:pt>
                <c:pt idx="67">
                  <c:v>-0.22262430162757174</c:v>
                </c:pt>
                <c:pt idx="68">
                  <c:v>-0.22262430162757174</c:v>
                </c:pt>
                <c:pt idx="69">
                  <c:v>-0.22262430162757174</c:v>
                </c:pt>
                <c:pt idx="70">
                  <c:v>-0.22262430162757174</c:v>
                </c:pt>
                <c:pt idx="71">
                  <c:v>-0.22262430162757174</c:v>
                </c:pt>
                <c:pt idx="72">
                  <c:v>0.92820631473634818</c:v>
                </c:pt>
                <c:pt idx="73">
                  <c:v>0.73594527640543883</c:v>
                </c:pt>
                <c:pt idx="74">
                  <c:v>0.73594527640543883</c:v>
                </c:pt>
                <c:pt idx="75">
                  <c:v>0.22895521408440067</c:v>
                </c:pt>
                <c:pt idx="76">
                  <c:v>0.22895521408440067</c:v>
                </c:pt>
                <c:pt idx="77">
                  <c:v>0.22895521408440067</c:v>
                </c:pt>
                <c:pt idx="78">
                  <c:v>0.22895521408440067</c:v>
                </c:pt>
                <c:pt idx="79">
                  <c:v>0.22895521408440067</c:v>
                </c:pt>
                <c:pt idx="80">
                  <c:v>0.22895521408440067</c:v>
                </c:pt>
                <c:pt idx="81">
                  <c:v>0.22895521408440067</c:v>
                </c:pt>
                <c:pt idx="82">
                  <c:v>0.22895521408440067</c:v>
                </c:pt>
                <c:pt idx="83">
                  <c:v>-0.33922660409741812</c:v>
                </c:pt>
                <c:pt idx="84">
                  <c:v>-0.33922660409741812</c:v>
                </c:pt>
                <c:pt idx="85">
                  <c:v>-0.33922660409741812</c:v>
                </c:pt>
                <c:pt idx="86">
                  <c:v>-0.33922660409741812</c:v>
                </c:pt>
                <c:pt idx="87">
                  <c:v>-0.32916067224377721</c:v>
                </c:pt>
                <c:pt idx="88">
                  <c:v>0.54519853544876384</c:v>
                </c:pt>
                <c:pt idx="89">
                  <c:v>0.54519853544876384</c:v>
                </c:pt>
                <c:pt idx="90">
                  <c:v>0.54519853544876384</c:v>
                </c:pt>
                <c:pt idx="91">
                  <c:v>0.54519853544876384</c:v>
                </c:pt>
                <c:pt idx="92">
                  <c:v>0.54519853544876384</c:v>
                </c:pt>
                <c:pt idx="93">
                  <c:v>0.54519853544876384</c:v>
                </c:pt>
                <c:pt idx="94">
                  <c:v>-9.3014068498736835E-2</c:v>
                </c:pt>
                <c:pt idx="95">
                  <c:v>-9.3014068498736835E-2</c:v>
                </c:pt>
                <c:pt idx="96">
                  <c:v>-9.3014068498736835E-2</c:v>
                </c:pt>
                <c:pt idx="97">
                  <c:v>-9.3014068498736835E-2</c:v>
                </c:pt>
                <c:pt idx="98">
                  <c:v>-9.3014068498736835E-2</c:v>
                </c:pt>
                <c:pt idx="99">
                  <c:v>-9.3014068498736835E-2</c:v>
                </c:pt>
                <c:pt idx="100">
                  <c:v>-9.3014068498736835E-2</c:v>
                </c:pt>
                <c:pt idx="101">
                  <c:v>-9.3014068498736835E-2</c:v>
                </c:pt>
                <c:pt idx="102">
                  <c:v>-0.11227654673213627</c:v>
                </c:pt>
                <c:pt idx="103">
                  <c:v>-0.11227654673213627</c:v>
                </c:pt>
                <c:pt idx="104">
                  <c:v>-0.11227654673213627</c:v>
                </c:pt>
                <c:pt idx="105">
                  <c:v>-0.11227654673213627</c:v>
                </c:pt>
                <c:pt idx="106">
                  <c:v>8.3630857598595065E-2</c:v>
                </c:pt>
                <c:pt idx="107">
                  <c:v>8.3630857598595065E-2</c:v>
                </c:pt>
                <c:pt idx="108">
                  <c:v>8.3630857598595065E-2</c:v>
                </c:pt>
                <c:pt idx="109">
                  <c:v>8.3630857598595065E-2</c:v>
                </c:pt>
                <c:pt idx="110">
                  <c:v>8.3630857598595065E-2</c:v>
                </c:pt>
                <c:pt idx="111">
                  <c:v>8.3630857598595065E-2</c:v>
                </c:pt>
                <c:pt idx="112">
                  <c:v>8.3630857598595065E-2</c:v>
                </c:pt>
                <c:pt idx="113">
                  <c:v>8.3630857598595065E-2</c:v>
                </c:pt>
                <c:pt idx="114">
                  <c:v>8.3630857598595065E-2</c:v>
                </c:pt>
                <c:pt idx="115">
                  <c:v>8.3630857598595065E-2</c:v>
                </c:pt>
                <c:pt idx="116">
                  <c:v>8.3630857598595065E-2</c:v>
                </c:pt>
                <c:pt idx="117">
                  <c:v>8.3630857598595065E-2</c:v>
                </c:pt>
                <c:pt idx="118">
                  <c:v>8.3630857598595065E-2</c:v>
                </c:pt>
                <c:pt idx="119">
                  <c:v>8.3630857598595065E-2</c:v>
                </c:pt>
                <c:pt idx="120">
                  <c:v>8.3630857598595065E-2</c:v>
                </c:pt>
                <c:pt idx="121">
                  <c:v>-0.28596346170761661</c:v>
                </c:pt>
                <c:pt idx="122">
                  <c:v>-0.28596346170761661</c:v>
                </c:pt>
                <c:pt idx="123">
                  <c:v>-0.28596346170761661</c:v>
                </c:pt>
                <c:pt idx="124">
                  <c:v>-0.28596346170761661</c:v>
                </c:pt>
                <c:pt idx="125">
                  <c:v>-0.28596346170761661</c:v>
                </c:pt>
                <c:pt idx="126">
                  <c:v>-0.28596346170761661</c:v>
                </c:pt>
                <c:pt idx="127">
                  <c:v>-0.28596346170761661</c:v>
                </c:pt>
                <c:pt idx="128">
                  <c:v>-0.28596346170761661</c:v>
                </c:pt>
                <c:pt idx="129">
                  <c:v>-0.28596346170761661</c:v>
                </c:pt>
                <c:pt idx="130">
                  <c:v>-0.28596346170761661</c:v>
                </c:pt>
                <c:pt idx="131">
                  <c:v>-0.28596346170761661</c:v>
                </c:pt>
                <c:pt idx="132">
                  <c:v>-0.28596346170761661</c:v>
                </c:pt>
                <c:pt idx="133">
                  <c:v>0.68825064809971681</c:v>
                </c:pt>
                <c:pt idx="134">
                  <c:v>0.68825064809971681</c:v>
                </c:pt>
                <c:pt idx="135">
                  <c:v>0.68825064809971681</c:v>
                </c:pt>
                <c:pt idx="136">
                  <c:v>0.8753622627527895</c:v>
                </c:pt>
                <c:pt idx="137">
                  <c:v>0.8753622627527895</c:v>
                </c:pt>
                <c:pt idx="138">
                  <c:v>0.8753622627527895</c:v>
                </c:pt>
                <c:pt idx="139">
                  <c:v>0.8753622627527895</c:v>
                </c:pt>
                <c:pt idx="140">
                  <c:v>0.8753622627527895</c:v>
                </c:pt>
                <c:pt idx="141">
                  <c:v>0.8753622627527895</c:v>
                </c:pt>
                <c:pt idx="142">
                  <c:v>0.8753622627527895</c:v>
                </c:pt>
                <c:pt idx="143">
                  <c:v>0.8753622627527895</c:v>
                </c:pt>
                <c:pt idx="144">
                  <c:v>0.8753622627527895</c:v>
                </c:pt>
                <c:pt idx="145">
                  <c:v>0.8753622627527895</c:v>
                </c:pt>
                <c:pt idx="146">
                  <c:v>0.43252812426647647</c:v>
                </c:pt>
                <c:pt idx="147">
                  <c:v>-0.13144410072438789</c:v>
                </c:pt>
                <c:pt idx="148">
                  <c:v>-0.13144410072438789</c:v>
                </c:pt>
                <c:pt idx="149">
                  <c:v>-0.13144410072438789</c:v>
                </c:pt>
                <c:pt idx="150">
                  <c:v>-0.37135529777383841</c:v>
                </c:pt>
                <c:pt idx="151">
                  <c:v>-0.37135529777383841</c:v>
                </c:pt>
                <c:pt idx="152">
                  <c:v>-0.37135529777383841</c:v>
                </c:pt>
                <c:pt idx="153">
                  <c:v>-0.37135529777383841</c:v>
                </c:pt>
                <c:pt idx="154">
                  <c:v>-0.37135529777383841</c:v>
                </c:pt>
                <c:pt idx="155">
                  <c:v>-0.37135529777383841</c:v>
                </c:pt>
                <c:pt idx="156">
                  <c:v>-0.37135529777383841</c:v>
                </c:pt>
                <c:pt idx="157">
                  <c:v>-0.37135529777383841</c:v>
                </c:pt>
                <c:pt idx="158">
                  <c:v>-0.37135529777383841</c:v>
                </c:pt>
                <c:pt idx="159">
                  <c:v>-0.37135529777383841</c:v>
                </c:pt>
                <c:pt idx="160">
                  <c:v>-0.37135529777383841</c:v>
                </c:pt>
                <c:pt idx="161">
                  <c:v>-0.37135529777383841</c:v>
                </c:pt>
                <c:pt idx="162">
                  <c:v>-0.37135529777383841</c:v>
                </c:pt>
                <c:pt idx="163">
                  <c:v>-0.37135529777383841</c:v>
                </c:pt>
                <c:pt idx="164">
                  <c:v>5.2088640634315897E-2</c:v>
                </c:pt>
                <c:pt idx="165">
                  <c:v>1.0220788322745762</c:v>
                </c:pt>
                <c:pt idx="166">
                  <c:v>0.89315777057171464</c:v>
                </c:pt>
                <c:pt idx="167">
                  <c:v>0.60971680856294808</c:v>
                </c:pt>
                <c:pt idx="168">
                  <c:v>0.60971680856294808</c:v>
                </c:pt>
                <c:pt idx="169">
                  <c:v>0.60971680856294808</c:v>
                </c:pt>
                <c:pt idx="170">
                  <c:v>1.0792211062198425</c:v>
                </c:pt>
                <c:pt idx="171">
                  <c:v>1.0792211062198425</c:v>
                </c:pt>
                <c:pt idx="172">
                  <c:v>1.0737798177227253</c:v>
                </c:pt>
                <c:pt idx="173">
                  <c:v>1.0737798177227253</c:v>
                </c:pt>
                <c:pt idx="174">
                  <c:v>1.0737798177227253</c:v>
                </c:pt>
                <c:pt idx="175">
                  <c:v>1.0737798177227253</c:v>
                </c:pt>
                <c:pt idx="176">
                  <c:v>1.0737798177227253</c:v>
                </c:pt>
                <c:pt idx="177">
                  <c:v>1.0737798177227253</c:v>
                </c:pt>
                <c:pt idx="178">
                  <c:v>1.3745345065070016</c:v>
                </c:pt>
                <c:pt idx="179">
                  <c:v>1.3745345065070016</c:v>
                </c:pt>
                <c:pt idx="180">
                  <c:v>1.3745345065070016</c:v>
                </c:pt>
                <c:pt idx="181">
                  <c:v>1.3745345065070016</c:v>
                </c:pt>
                <c:pt idx="182">
                  <c:v>1.3745345065070016</c:v>
                </c:pt>
                <c:pt idx="183">
                  <c:v>1.3745345065070016</c:v>
                </c:pt>
                <c:pt idx="184">
                  <c:v>1.3745345065070016</c:v>
                </c:pt>
                <c:pt idx="185">
                  <c:v>1.3745345065070016</c:v>
                </c:pt>
                <c:pt idx="186">
                  <c:v>1.3745345065070016</c:v>
                </c:pt>
                <c:pt idx="187">
                  <c:v>1.3745345065070016</c:v>
                </c:pt>
                <c:pt idx="188">
                  <c:v>1.3745345065070016</c:v>
                </c:pt>
                <c:pt idx="189">
                  <c:v>1.3745345065070016</c:v>
                </c:pt>
                <c:pt idx="190">
                  <c:v>1.3745345065070016</c:v>
                </c:pt>
                <c:pt idx="191">
                  <c:v>1.3745345065070016</c:v>
                </c:pt>
                <c:pt idx="192">
                  <c:v>1.3745345065070016</c:v>
                </c:pt>
                <c:pt idx="193">
                  <c:v>1.3745345065070016</c:v>
                </c:pt>
                <c:pt idx="194">
                  <c:v>0.41364086584098581</c:v>
                </c:pt>
                <c:pt idx="195">
                  <c:v>0.53984091356754926</c:v>
                </c:pt>
                <c:pt idx="196">
                  <c:v>0.53984091356754926</c:v>
                </c:pt>
                <c:pt idx="197">
                  <c:v>0.53984091356754926</c:v>
                </c:pt>
                <c:pt idx="198">
                  <c:v>0.53984091356754926</c:v>
                </c:pt>
                <c:pt idx="199">
                  <c:v>0.53984091356754926</c:v>
                </c:pt>
                <c:pt idx="200">
                  <c:v>0.53984091356754926</c:v>
                </c:pt>
                <c:pt idx="201">
                  <c:v>1.5945115980272988</c:v>
                </c:pt>
                <c:pt idx="202">
                  <c:v>1.8526127229846032</c:v>
                </c:pt>
                <c:pt idx="203">
                  <c:v>1.8526127229846032</c:v>
                </c:pt>
                <c:pt idx="204">
                  <c:v>2.2009773131314674</c:v>
                </c:pt>
                <c:pt idx="205">
                  <c:v>2.2009773131314674</c:v>
                </c:pt>
                <c:pt idx="206">
                  <c:v>2.2009773131314674</c:v>
                </c:pt>
                <c:pt idx="207">
                  <c:v>2.2009773131314674</c:v>
                </c:pt>
                <c:pt idx="208">
                  <c:v>2.0378291431428677</c:v>
                </c:pt>
                <c:pt idx="209">
                  <c:v>2.0378291431428677</c:v>
                </c:pt>
                <c:pt idx="210">
                  <c:v>2.0378291431428677</c:v>
                </c:pt>
                <c:pt idx="211">
                  <c:v>2.0378291431428677</c:v>
                </c:pt>
                <c:pt idx="212">
                  <c:v>2.0378291431428677</c:v>
                </c:pt>
                <c:pt idx="213">
                  <c:v>2.0378291431428677</c:v>
                </c:pt>
                <c:pt idx="214">
                  <c:v>2.0378291431428677</c:v>
                </c:pt>
                <c:pt idx="215">
                  <c:v>2.0378291431428677</c:v>
                </c:pt>
                <c:pt idx="216">
                  <c:v>2.0378291431428677</c:v>
                </c:pt>
                <c:pt idx="217">
                  <c:v>2.9855368450719575</c:v>
                </c:pt>
                <c:pt idx="218">
                  <c:v>2.9855368450719575</c:v>
                </c:pt>
                <c:pt idx="219">
                  <c:v>4.5526100852464308</c:v>
                </c:pt>
                <c:pt idx="220">
                  <c:v>4.5526100852464308</c:v>
                </c:pt>
                <c:pt idx="221">
                  <c:v>5.0967332654727651</c:v>
                </c:pt>
                <c:pt idx="222">
                  <c:v>5.0967332654727651</c:v>
                </c:pt>
                <c:pt idx="223">
                  <c:v>4.7378223743836561</c:v>
                </c:pt>
                <c:pt idx="224">
                  <c:v>4.7378223743836561</c:v>
                </c:pt>
                <c:pt idx="225">
                  <c:v>4.7378223743836561</c:v>
                </c:pt>
                <c:pt idx="226">
                  <c:v>4.7378223743836561</c:v>
                </c:pt>
                <c:pt idx="227">
                  <c:v>4.7378223743836561</c:v>
                </c:pt>
                <c:pt idx="228">
                  <c:v>4.7378223743836561</c:v>
                </c:pt>
                <c:pt idx="229">
                  <c:v>4.7378223743836561</c:v>
                </c:pt>
                <c:pt idx="230">
                  <c:v>4.7378223743836561</c:v>
                </c:pt>
                <c:pt idx="231">
                  <c:v>4.7378223743836561</c:v>
                </c:pt>
                <c:pt idx="232">
                  <c:v>4.7378223743836561</c:v>
                </c:pt>
                <c:pt idx="233">
                  <c:v>4.7378223743836561</c:v>
                </c:pt>
                <c:pt idx="234">
                  <c:v>4.7378223743836561</c:v>
                </c:pt>
                <c:pt idx="235">
                  <c:v>4.7378223743836561</c:v>
                </c:pt>
                <c:pt idx="236">
                  <c:v>4.7378223743836561</c:v>
                </c:pt>
                <c:pt idx="237">
                  <c:v>4.6897097032556321</c:v>
                </c:pt>
                <c:pt idx="238">
                  <c:v>4.6897097032556321</c:v>
                </c:pt>
                <c:pt idx="239">
                  <c:v>4.6897097032556321</c:v>
                </c:pt>
                <c:pt idx="240">
                  <c:v>4.6897097032556321</c:v>
                </c:pt>
                <c:pt idx="241">
                  <c:v>4.6897097032556321</c:v>
                </c:pt>
                <c:pt idx="242">
                  <c:v>4.6897097032556321</c:v>
                </c:pt>
                <c:pt idx="243">
                  <c:v>4.6897097032556321</c:v>
                </c:pt>
                <c:pt idx="244">
                  <c:v>4.6897097032556321</c:v>
                </c:pt>
                <c:pt idx="245">
                  <c:v>5.1283934310728201</c:v>
                </c:pt>
                <c:pt idx="246">
                  <c:v>5.1283934310728201</c:v>
                </c:pt>
                <c:pt idx="247">
                  <c:v>5.1283934310728201</c:v>
                </c:pt>
                <c:pt idx="248">
                  <c:v>5.1283934310728201</c:v>
                </c:pt>
                <c:pt idx="249">
                  <c:v>5.1283934310728201</c:v>
                </c:pt>
                <c:pt idx="250">
                  <c:v>5.1283934310728201</c:v>
                </c:pt>
                <c:pt idx="251">
                  <c:v>5.1283934310728201</c:v>
                </c:pt>
                <c:pt idx="252">
                  <c:v>4.6214733043427882</c:v>
                </c:pt>
                <c:pt idx="253">
                  <c:v>4.6214733043427882</c:v>
                </c:pt>
                <c:pt idx="254">
                  <c:v>4.6214733043427882</c:v>
                </c:pt>
                <c:pt idx="255">
                  <c:v>4.6214733043427882</c:v>
                </c:pt>
                <c:pt idx="256">
                  <c:v>4.6214733043427882</c:v>
                </c:pt>
                <c:pt idx="257">
                  <c:v>4.6214733043427882</c:v>
                </c:pt>
                <c:pt idx="258">
                  <c:v>4.6214733043427882</c:v>
                </c:pt>
                <c:pt idx="259">
                  <c:v>4.6214733043427882</c:v>
                </c:pt>
                <c:pt idx="260">
                  <c:v>4.6214733043427882</c:v>
                </c:pt>
                <c:pt idx="261">
                  <c:v>4.6214733043427882</c:v>
                </c:pt>
                <c:pt idx="262">
                  <c:v>4.6214733043427882</c:v>
                </c:pt>
                <c:pt idx="263">
                  <c:v>4.6214733043427882</c:v>
                </c:pt>
                <c:pt idx="264">
                  <c:v>4.6214733043427882</c:v>
                </c:pt>
                <c:pt idx="265">
                  <c:v>4.8546759540656481</c:v>
                </c:pt>
                <c:pt idx="266">
                  <c:v>4.8546759540656481</c:v>
                </c:pt>
                <c:pt idx="267">
                  <c:v>4.8546759540656481</c:v>
                </c:pt>
                <c:pt idx="268">
                  <c:v>4.8546759540656481</c:v>
                </c:pt>
                <c:pt idx="269">
                  <c:v>5.9997442633130609</c:v>
                </c:pt>
                <c:pt idx="270">
                  <c:v>5.9997442633130609</c:v>
                </c:pt>
                <c:pt idx="271">
                  <c:v>5.9997442633130609</c:v>
                </c:pt>
                <c:pt idx="272">
                  <c:v>5.9997442633130609</c:v>
                </c:pt>
                <c:pt idx="273">
                  <c:v>5.9997442633130609</c:v>
                </c:pt>
                <c:pt idx="274">
                  <c:v>5.9997442633130609</c:v>
                </c:pt>
                <c:pt idx="275">
                  <c:v>5.9997442633130609</c:v>
                </c:pt>
                <c:pt idx="276">
                  <c:v>5.9997442633130609</c:v>
                </c:pt>
                <c:pt idx="277">
                  <c:v>5.9997442633130609</c:v>
                </c:pt>
                <c:pt idx="278">
                  <c:v>5.9997442633130609</c:v>
                </c:pt>
                <c:pt idx="279">
                  <c:v>5.9997442633130609</c:v>
                </c:pt>
                <c:pt idx="280">
                  <c:v>5.9997442633130609</c:v>
                </c:pt>
                <c:pt idx="281">
                  <c:v>5.9997442633130609</c:v>
                </c:pt>
                <c:pt idx="282">
                  <c:v>5.9997442633130609</c:v>
                </c:pt>
                <c:pt idx="283">
                  <c:v>5.9997442633130609</c:v>
                </c:pt>
                <c:pt idx="284">
                  <c:v>5.9997442633130609</c:v>
                </c:pt>
                <c:pt idx="285">
                  <c:v>5.9997442633130609</c:v>
                </c:pt>
                <c:pt idx="286">
                  <c:v>5.9997442633130609</c:v>
                </c:pt>
                <c:pt idx="287">
                  <c:v>5.9997442633130609</c:v>
                </c:pt>
                <c:pt idx="288">
                  <c:v>7.7747557893619339</c:v>
                </c:pt>
                <c:pt idx="289">
                  <c:v>7.7747557893619339</c:v>
                </c:pt>
                <c:pt idx="290">
                  <c:v>7.7165791576012461</c:v>
                </c:pt>
                <c:pt idx="291">
                  <c:v>8.7190423528810772</c:v>
                </c:pt>
                <c:pt idx="292">
                  <c:v>8.7190423528810772</c:v>
                </c:pt>
                <c:pt idx="293">
                  <c:v>8.7190423528810772</c:v>
                </c:pt>
                <c:pt idx="294">
                  <c:v>8.7190423528810772</c:v>
                </c:pt>
                <c:pt idx="295">
                  <c:v>8.1947501473585334</c:v>
                </c:pt>
                <c:pt idx="296">
                  <c:v>6.9999457596763603</c:v>
                </c:pt>
                <c:pt idx="297">
                  <c:v>6.9999457596763603</c:v>
                </c:pt>
                <c:pt idx="298">
                  <c:v>6.9999457596763603</c:v>
                </c:pt>
                <c:pt idx="299">
                  <c:v>6.9999457596763603</c:v>
                </c:pt>
                <c:pt idx="300">
                  <c:v>6.9999457596763603</c:v>
                </c:pt>
                <c:pt idx="301">
                  <c:v>8.2339802993504616</c:v>
                </c:pt>
                <c:pt idx="302">
                  <c:v>8.2339802993504616</c:v>
                </c:pt>
                <c:pt idx="303">
                  <c:v>8.2339802993504616</c:v>
                </c:pt>
                <c:pt idx="304">
                  <c:v>8.2339802993504616</c:v>
                </c:pt>
                <c:pt idx="305">
                  <c:v>9.2784257155980399</c:v>
                </c:pt>
                <c:pt idx="306">
                  <c:v>9.2784257155980399</c:v>
                </c:pt>
                <c:pt idx="307">
                  <c:v>9.2784257155980399</c:v>
                </c:pt>
                <c:pt idx="308">
                  <c:v>9.2784257155980399</c:v>
                </c:pt>
                <c:pt idx="309">
                  <c:v>9.2784257155980399</c:v>
                </c:pt>
                <c:pt idx="310">
                  <c:v>9.2784257155980399</c:v>
                </c:pt>
                <c:pt idx="311">
                  <c:v>9.2784257155980399</c:v>
                </c:pt>
                <c:pt idx="312">
                  <c:v>9.2784257155980399</c:v>
                </c:pt>
                <c:pt idx="313">
                  <c:v>9.2784257155980399</c:v>
                </c:pt>
                <c:pt idx="314">
                  <c:v>9.2784257155980399</c:v>
                </c:pt>
                <c:pt idx="315">
                  <c:v>9.2784257155980399</c:v>
                </c:pt>
                <c:pt idx="316">
                  <c:v>9.2784257155980399</c:v>
                </c:pt>
                <c:pt idx="317">
                  <c:v>9.2784257155980399</c:v>
                </c:pt>
                <c:pt idx="318">
                  <c:v>9.2784257155980399</c:v>
                </c:pt>
                <c:pt idx="319">
                  <c:v>9.2784257155980399</c:v>
                </c:pt>
                <c:pt idx="320">
                  <c:v>9.2784257155980399</c:v>
                </c:pt>
                <c:pt idx="321">
                  <c:v>9.2784257155980399</c:v>
                </c:pt>
                <c:pt idx="322">
                  <c:v>9.2784257155980399</c:v>
                </c:pt>
                <c:pt idx="323">
                  <c:v>9.2784257155980399</c:v>
                </c:pt>
                <c:pt idx="324">
                  <c:v>9.2784257155980399</c:v>
                </c:pt>
                <c:pt idx="325">
                  <c:v>9.2784257155980399</c:v>
                </c:pt>
                <c:pt idx="326">
                  <c:v>9.2784257155980399</c:v>
                </c:pt>
                <c:pt idx="327">
                  <c:v>9.2784257155980399</c:v>
                </c:pt>
                <c:pt idx="328">
                  <c:v>9.2784257155980399</c:v>
                </c:pt>
                <c:pt idx="329">
                  <c:v>9.2784257155980399</c:v>
                </c:pt>
                <c:pt idx="330">
                  <c:v>9.2784257155980399</c:v>
                </c:pt>
                <c:pt idx="331">
                  <c:v>9.2784257155980399</c:v>
                </c:pt>
                <c:pt idx="332">
                  <c:v>9.2784257155980399</c:v>
                </c:pt>
                <c:pt idx="333">
                  <c:v>9.2784257155980399</c:v>
                </c:pt>
                <c:pt idx="334">
                  <c:v>9.4922137223547978</c:v>
                </c:pt>
                <c:pt idx="335">
                  <c:v>10.157205347145418</c:v>
                </c:pt>
                <c:pt idx="336">
                  <c:v>10.157205347145418</c:v>
                </c:pt>
                <c:pt idx="337">
                  <c:v>12.199447293233519</c:v>
                </c:pt>
                <c:pt idx="338">
                  <c:v>12.199447293233519</c:v>
                </c:pt>
                <c:pt idx="339">
                  <c:v>12.199447293233519</c:v>
                </c:pt>
                <c:pt idx="340">
                  <c:v>12.199447293233519</c:v>
                </c:pt>
                <c:pt idx="341">
                  <c:v>12.199447293233519</c:v>
                </c:pt>
                <c:pt idx="342">
                  <c:v>12.199447293233519</c:v>
                </c:pt>
                <c:pt idx="343">
                  <c:v>12.199447293233519</c:v>
                </c:pt>
                <c:pt idx="344">
                  <c:v>12.199447293233519</c:v>
                </c:pt>
                <c:pt idx="345">
                  <c:v>12.199447293233519</c:v>
                </c:pt>
                <c:pt idx="346">
                  <c:v>12.199447293233519</c:v>
                </c:pt>
                <c:pt idx="347">
                  <c:v>12.199447293233519</c:v>
                </c:pt>
                <c:pt idx="348">
                  <c:v>12.199447293233519</c:v>
                </c:pt>
                <c:pt idx="349">
                  <c:v>12.199447293233519</c:v>
                </c:pt>
                <c:pt idx="350">
                  <c:v>12.199447293233519</c:v>
                </c:pt>
                <c:pt idx="351">
                  <c:v>12.199447293233519</c:v>
                </c:pt>
                <c:pt idx="352">
                  <c:v>12.199447293233519</c:v>
                </c:pt>
                <c:pt idx="353">
                  <c:v>12.199447293233519</c:v>
                </c:pt>
                <c:pt idx="354">
                  <c:v>12.199447293233519</c:v>
                </c:pt>
                <c:pt idx="355">
                  <c:v>12.199447293233519</c:v>
                </c:pt>
                <c:pt idx="356">
                  <c:v>11.342210234216044</c:v>
                </c:pt>
                <c:pt idx="357">
                  <c:v>11.342210234216044</c:v>
                </c:pt>
                <c:pt idx="358">
                  <c:v>11.342210234216044</c:v>
                </c:pt>
                <c:pt idx="359">
                  <c:v>11.342210234216044</c:v>
                </c:pt>
                <c:pt idx="360">
                  <c:v>11.342210234216044</c:v>
                </c:pt>
                <c:pt idx="361">
                  <c:v>11.342210234216044</c:v>
                </c:pt>
                <c:pt idx="362">
                  <c:v>11.342210234216044</c:v>
                </c:pt>
                <c:pt idx="363">
                  <c:v>11.342210234216044</c:v>
                </c:pt>
                <c:pt idx="364">
                  <c:v>11.342210234216044</c:v>
                </c:pt>
                <c:pt idx="365">
                  <c:v>11.342210234216044</c:v>
                </c:pt>
                <c:pt idx="366">
                  <c:v>11.342210234216044</c:v>
                </c:pt>
                <c:pt idx="367">
                  <c:v>11.342210234216044</c:v>
                </c:pt>
                <c:pt idx="368">
                  <c:v>11.342210234216044</c:v>
                </c:pt>
                <c:pt idx="369">
                  <c:v>11.342210234216044</c:v>
                </c:pt>
                <c:pt idx="370">
                  <c:v>11.342210234216044</c:v>
                </c:pt>
                <c:pt idx="371">
                  <c:v>11.342210234216044</c:v>
                </c:pt>
                <c:pt idx="372">
                  <c:v>11.342210234216044</c:v>
                </c:pt>
                <c:pt idx="373">
                  <c:v>11.342210234216044</c:v>
                </c:pt>
                <c:pt idx="374">
                  <c:v>11.342210234216044</c:v>
                </c:pt>
                <c:pt idx="375">
                  <c:v>11.342210234216044</c:v>
                </c:pt>
                <c:pt idx="376">
                  <c:v>11.342210234216044</c:v>
                </c:pt>
                <c:pt idx="377">
                  <c:v>11.342210234216044</c:v>
                </c:pt>
                <c:pt idx="378">
                  <c:v>11.342210234216044</c:v>
                </c:pt>
                <c:pt idx="379">
                  <c:v>11.342210234216044</c:v>
                </c:pt>
                <c:pt idx="380">
                  <c:v>11.342210234216044</c:v>
                </c:pt>
                <c:pt idx="381">
                  <c:v>11.342210234216044</c:v>
                </c:pt>
                <c:pt idx="382">
                  <c:v>11.342210234216044</c:v>
                </c:pt>
                <c:pt idx="383">
                  <c:v>11.342210234216044</c:v>
                </c:pt>
                <c:pt idx="384">
                  <c:v>11.342210234216044</c:v>
                </c:pt>
                <c:pt idx="385">
                  <c:v>11.342210234216044</c:v>
                </c:pt>
                <c:pt idx="386">
                  <c:v>11.342210234216044</c:v>
                </c:pt>
                <c:pt idx="387">
                  <c:v>11.342210234216044</c:v>
                </c:pt>
                <c:pt idx="388">
                  <c:v>11.342210234216044</c:v>
                </c:pt>
                <c:pt idx="389">
                  <c:v>11.342210234216044</c:v>
                </c:pt>
                <c:pt idx="390">
                  <c:v>11.342210234216044</c:v>
                </c:pt>
                <c:pt idx="391">
                  <c:v>11.342210234216044</c:v>
                </c:pt>
                <c:pt idx="392">
                  <c:v>11.342210234216044</c:v>
                </c:pt>
                <c:pt idx="393">
                  <c:v>11.342210234216044</c:v>
                </c:pt>
                <c:pt idx="394">
                  <c:v>11.342210234216044</c:v>
                </c:pt>
                <c:pt idx="395">
                  <c:v>11.342210234216044</c:v>
                </c:pt>
                <c:pt idx="396">
                  <c:v>11.342210234216044</c:v>
                </c:pt>
                <c:pt idx="397">
                  <c:v>11.342210234216044</c:v>
                </c:pt>
                <c:pt idx="398">
                  <c:v>13.572194113850648</c:v>
                </c:pt>
                <c:pt idx="399">
                  <c:v>13.572194113850648</c:v>
                </c:pt>
                <c:pt idx="400">
                  <c:v>13.572194113850648</c:v>
                </c:pt>
                <c:pt idx="401">
                  <c:v>13.572194113850648</c:v>
                </c:pt>
                <c:pt idx="402">
                  <c:v>13.572194113850648</c:v>
                </c:pt>
                <c:pt idx="403">
                  <c:v>13.572194113850648</c:v>
                </c:pt>
                <c:pt idx="404">
                  <c:v>13.572194113850648</c:v>
                </c:pt>
                <c:pt idx="405">
                  <c:v>13.00474650443439</c:v>
                </c:pt>
                <c:pt idx="406">
                  <c:v>13.00474650443439</c:v>
                </c:pt>
                <c:pt idx="407">
                  <c:v>13.00474650443439</c:v>
                </c:pt>
                <c:pt idx="408">
                  <c:v>13.00474650443439</c:v>
                </c:pt>
                <c:pt idx="409">
                  <c:v>13.00474650443439</c:v>
                </c:pt>
                <c:pt idx="410">
                  <c:v>13.00474650443439</c:v>
                </c:pt>
                <c:pt idx="411">
                  <c:v>13.00474650443439</c:v>
                </c:pt>
                <c:pt idx="412">
                  <c:v>13.00474650443439</c:v>
                </c:pt>
                <c:pt idx="413">
                  <c:v>13.00474650443439</c:v>
                </c:pt>
                <c:pt idx="414">
                  <c:v>13.00474650443439</c:v>
                </c:pt>
                <c:pt idx="415">
                  <c:v>13.00474650443439</c:v>
                </c:pt>
                <c:pt idx="416">
                  <c:v>13.00474650443439</c:v>
                </c:pt>
                <c:pt idx="417">
                  <c:v>13.00474650443439</c:v>
                </c:pt>
                <c:pt idx="418">
                  <c:v>13.00474650443439</c:v>
                </c:pt>
              </c:numCache>
            </c:numRef>
          </c:val>
          <c:smooth val="0"/>
          <c:extLst>
            <c:ext xmlns:c16="http://schemas.microsoft.com/office/drawing/2014/chart" uri="{C3380CC4-5D6E-409C-BE32-E72D297353CC}">
              <c16:uniqueId val="{0000000D-CFC7-4AE2-BBA7-ADFD494951EC}"/>
            </c:ext>
          </c:extLst>
        </c:ser>
        <c:ser>
          <c:idx val="8"/>
          <c:order val="8"/>
          <c:tx>
            <c:strRef>
              <c:f>'2025-Q2'!$EF$2</c:f>
              <c:strCache>
                <c:ptCount val="1"/>
                <c:pt idx="0">
                  <c:v>XLV</c:v>
                </c:pt>
              </c:strCache>
            </c:strRef>
          </c:tx>
          <c:spPr>
            <a:ln w="19050" cap="rnd">
              <a:solidFill>
                <a:schemeClr val="accent5"/>
              </a:solidFill>
              <a:prstDash val="sysDash"/>
              <a:round/>
            </a:ln>
            <a:effectLst/>
          </c:spPr>
          <c:marker>
            <c:symbol val="none"/>
          </c:marker>
          <c:val>
            <c:numRef>
              <c:f>'2025-Q2'!$EL$4:$EL$422</c:f>
              <c:numCache>
                <c:formatCode>0.00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0.1446834240304033</c:v>
                </c:pt>
                <c:pt idx="14">
                  <c:v>0.1446834240304033</c:v>
                </c:pt>
                <c:pt idx="15">
                  <c:v>0.1446834240304033</c:v>
                </c:pt>
                <c:pt idx="16">
                  <c:v>0.1446834240304033</c:v>
                </c:pt>
                <c:pt idx="17">
                  <c:v>0.1446834240304033</c:v>
                </c:pt>
                <c:pt idx="18">
                  <c:v>0.1446834240304033</c:v>
                </c:pt>
                <c:pt idx="19">
                  <c:v>0.6035383334478206</c:v>
                </c:pt>
                <c:pt idx="20">
                  <c:v>0.6035383334478206</c:v>
                </c:pt>
                <c:pt idx="21">
                  <c:v>0.6035383334478206</c:v>
                </c:pt>
                <c:pt idx="22">
                  <c:v>0.6035383334478206</c:v>
                </c:pt>
                <c:pt idx="23">
                  <c:v>0.6035383334478206</c:v>
                </c:pt>
                <c:pt idx="24">
                  <c:v>0.6035383334478206</c:v>
                </c:pt>
                <c:pt idx="25">
                  <c:v>0.6035383334478206</c:v>
                </c:pt>
                <c:pt idx="26">
                  <c:v>0.6035383334478206</c:v>
                </c:pt>
                <c:pt idx="27">
                  <c:v>0.6035383334478206</c:v>
                </c:pt>
                <c:pt idx="28">
                  <c:v>0.6035383334478206</c:v>
                </c:pt>
                <c:pt idx="29">
                  <c:v>0.6035383334478206</c:v>
                </c:pt>
                <c:pt idx="30">
                  <c:v>0.6035383334478206</c:v>
                </c:pt>
                <c:pt idx="31">
                  <c:v>0.6035383334478206</c:v>
                </c:pt>
                <c:pt idx="32">
                  <c:v>0.6035383334478206</c:v>
                </c:pt>
                <c:pt idx="33">
                  <c:v>0.6035383334478206</c:v>
                </c:pt>
                <c:pt idx="34">
                  <c:v>0.6035383334478206</c:v>
                </c:pt>
                <c:pt idx="35">
                  <c:v>0.6035383334478206</c:v>
                </c:pt>
                <c:pt idx="36">
                  <c:v>0.6035383334478206</c:v>
                </c:pt>
                <c:pt idx="37">
                  <c:v>0.6035383334478206</c:v>
                </c:pt>
                <c:pt idx="38">
                  <c:v>0.6035383334478206</c:v>
                </c:pt>
                <c:pt idx="39">
                  <c:v>0.6035383334478206</c:v>
                </c:pt>
                <c:pt idx="40">
                  <c:v>0.6035383334478206</c:v>
                </c:pt>
                <c:pt idx="41">
                  <c:v>0.6035383334478206</c:v>
                </c:pt>
                <c:pt idx="42">
                  <c:v>0.6035383334478206</c:v>
                </c:pt>
                <c:pt idx="43">
                  <c:v>0.6035383334478206</c:v>
                </c:pt>
                <c:pt idx="44">
                  <c:v>0.6035383334478206</c:v>
                </c:pt>
                <c:pt idx="45">
                  <c:v>0.6035383334478206</c:v>
                </c:pt>
                <c:pt idx="46">
                  <c:v>-0.59266625132726536</c:v>
                </c:pt>
                <c:pt idx="47">
                  <c:v>-0.59266625132726536</c:v>
                </c:pt>
                <c:pt idx="48">
                  <c:v>-0.59266625132726536</c:v>
                </c:pt>
                <c:pt idx="49">
                  <c:v>-0.59266625132726536</c:v>
                </c:pt>
                <c:pt idx="50">
                  <c:v>-0.59266625132726536</c:v>
                </c:pt>
                <c:pt idx="51">
                  <c:v>-0.59266625132726536</c:v>
                </c:pt>
                <c:pt idx="52">
                  <c:v>-0.59266625132726536</c:v>
                </c:pt>
                <c:pt idx="53">
                  <c:v>-0.59266625132726536</c:v>
                </c:pt>
                <c:pt idx="54">
                  <c:v>0.14747105354246193</c:v>
                </c:pt>
                <c:pt idx="55">
                  <c:v>0.14747105354246193</c:v>
                </c:pt>
                <c:pt idx="56">
                  <c:v>0.14747105354246193</c:v>
                </c:pt>
                <c:pt idx="57">
                  <c:v>0.14747105354246193</c:v>
                </c:pt>
                <c:pt idx="58">
                  <c:v>0.14747105354246193</c:v>
                </c:pt>
                <c:pt idx="59">
                  <c:v>0.14747105354246193</c:v>
                </c:pt>
                <c:pt idx="60">
                  <c:v>0.14747105354246193</c:v>
                </c:pt>
                <c:pt idx="61">
                  <c:v>0.14747105354246193</c:v>
                </c:pt>
                <c:pt idx="62">
                  <c:v>0.14747105354246193</c:v>
                </c:pt>
                <c:pt idx="63">
                  <c:v>0.14747105354246193</c:v>
                </c:pt>
                <c:pt idx="64">
                  <c:v>0.14747105354246193</c:v>
                </c:pt>
                <c:pt idx="65">
                  <c:v>0.14747105354246193</c:v>
                </c:pt>
                <c:pt idx="66">
                  <c:v>0.14747105354246193</c:v>
                </c:pt>
                <c:pt idx="67">
                  <c:v>-0.6890635004719069</c:v>
                </c:pt>
                <c:pt idx="68">
                  <c:v>-0.6890635004719069</c:v>
                </c:pt>
                <c:pt idx="69">
                  <c:v>-0.6890635004719069</c:v>
                </c:pt>
                <c:pt idx="70">
                  <c:v>-0.6890635004719069</c:v>
                </c:pt>
                <c:pt idx="71">
                  <c:v>-0.6890635004719069</c:v>
                </c:pt>
                <c:pt idx="72">
                  <c:v>-0.6890635004719069</c:v>
                </c:pt>
                <c:pt idx="73">
                  <c:v>-0.6890635004719069</c:v>
                </c:pt>
                <c:pt idx="74">
                  <c:v>0.1789007288810659</c:v>
                </c:pt>
                <c:pt idx="75">
                  <c:v>0.1789007288810659</c:v>
                </c:pt>
                <c:pt idx="76">
                  <c:v>0.1789007288810659</c:v>
                </c:pt>
                <c:pt idx="77">
                  <c:v>0.1789007288810659</c:v>
                </c:pt>
                <c:pt idx="78">
                  <c:v>0.1789007288810659</c:v>
                </c:pt>
                <c:pt idx="79">
                  <c:v>0.1789007288810659</c:v>
                </c:pt>
                <c:pt idx="80">
                  <c:v>0.1789007288810659</c:v>
                </c:pt>
                <c:pt idx="81">
                  <c:v>-0.70576196389971035</c:v>
                </c:pt>
                <c:pt idx="82">
                  <c:v>-0.70576196389971035</c:v>
                </c:pt>
                <c:pt idx="83">
                  <c:v>-0.70576196389971035</c:v>
                </c:pt>
                <c:pt idx="84">
                  <c:v>-0.70576196389971035</c:v>
                </c:pt>
                <c:pt idx="85">
                  <c:v>-0.70576196389971035</c:v>
                </c:pt>
                <c:pt idx="86">
                  <c:v>-0.70576196389971035</c:v>
                </c:pt>
                <c:pt idx="87">
                  <c:v>-0.70576196389971035</c:v>
                </c:pt>
                <c:pt idx="88">
                  <c:v>-0.70576196389971035</c:v>
                </c:pt>
                <c:pt idx="89">
                  <c:v>-0.70576196389971035</c:v>
                </c:pt>
                <c:pt idx="90">
                  <c:v>-0.70576196389971035</c:v>
                </c:pt>
                <c:pt idx="91">
                  <c:v>-0.70576196389971035</c:v>
                </c:pt>
                <c:pt idx="92">
                  <c:v>-0.70576196389971035</c:v>
                </c:pt>
                <c:pt idx="93">
                  <c:v>-0.70576196389971035</c:v>
                </c:pt>
                <c:pt idx="94">
                  <c:v>-0.70576196389971035</c:v>
                </c:pt>
                <c:pt idx="95">
                  <c:v>-0.60839510249932038</c:v>
                </c:pt>
                <c:pt idx="96">
                  <c:v>-0.60839510249932038</c:v>
                </c:pt>
                <c:pt idx="97">
                  <c:v>-0.40577129591919803</c:v>
                </c:pt>
                <c:pt idx="98">
                  <c:v>-0.40577129591919803</c:v>
                </c:pt>
                <c:pt idx="99">
                  <c:v>-0.40577129591919803</c:v>
                </c:pt>
                <c:pt idx="100">
                  <c:v>-0.40577129591919803</c:v>
                </c:pt>
                <c:pt idx="101">
                  <c:v>-0.40577129591919803</c:v>
                </c:pt>
                <c:pt idx="102">
                  <c:v>-0.40577129591919803</c:v>
                </c:pt>
                <c:pt idx="103">
                  <c:v>-0.40577129591919803</c:v>
                </c:pt>
                <c:pt idx="104">
                  <c:v>-0.40577129591919803</c:v>
                </c:pt>
                <c:pt idx="105">
                  <c:v>-0.40577129591919803</c:v>
                </c:pt>
                <c:pt idx="106">
                  <c:v>-0.40577129591919803</c:v>
                </c:pt>
                <c:pt idx="107">
                  <c:v>-0.40577129591919803</c:v>
                </c:pt>
                <c:pt idx="108">
                  <c:v>-0.40577129591919803</c:v>
                </c:pt>
                <c:pt idx="109">
                  <c:v>-0.95059779929492272</c:v>
                </c:pt>
                <c:pt idx="110">
                  <c:v>-0.95059779929492272</c:v>
                </c:pt>
                <c:pt idx="111">
                  <c:v>-0.95059779929492272</c:v>
                </c:pt>
                <c:pt idx="112">
                  <c:v>-0.51905410305482069</c:v>
                </c:pt>
                <c:pt idx="113">
                  <c:v>0.10466381012364553</c:v>
                </c:pt>
                <c:pt idx="114">
                  <c:v>0.10466381012364553</c:v>
                </c:pt>
                <c:pt idx="115">
                  <c:v>0.10466381012364553</c:v>
                </c:pt>
                <c:pt idx="116">
                  <c:v>0.10466381012364553</c:v>
                </c:pt>
                <c:pt idx="117">
                  <c:v>0.10466381012364553</c:v>
                </c:pt>
                <c:pt idx="118">
                  <c:v>0.10466381012364553</c:v>
                </c:pt>
                <c:pt idx="119">
                  <c:v>-0.33005174517487113</c:v>
                </c:pt>
                <c:pt idx="120">
                  <c:v>-0.33005174517487113</c:v>
                </c:pt>
                <c:pt idx="121">
                  <c:v>-0.33005174517487113</c:v>
                </c:pt>
                <c:pt idx="122">
                  <c:v>-0.33005174517487113</c:v>
                </c:pt>
                <c:pt idx="123">
                  <c:v>-0.33005174517487113</c:v>
                </c:pt>
                <c:pt idx="124">
                  <c:v>-0.33005174517487113</c:v>
                </c:pt>
                <c:pt idx="125">
                  <c:v>-0.33005174517487113</c:v>
                </c:pt>
                <c:pt idx="126">
                  <c:v>-0.33005174517487113</c:v>
                </c:pt>
                <c:pt idx="127">
                  <c:v>-0.33005174517487113</c:v>
                </c:pt>
                <c:pt idx="128">
                  <c:v>-0.33005174517487113</c:v>
                </c:pt>
                <c:pt idx="129">
                  <c:v>-0.33005174517487113</c:v>
                </c:pt>
                <c:pt idx="130">
                  <c:v>-0.89189843507034017</c:v>
                </c:pt>
                <c:pt idx="131">
                  <c:v>-0.89189843507034017</c:v>
                </c:pt>
                <c:pt idx="132">
                  <c:v>-0.89189843507034017</c:v>
                </c:pt>
                <c:pt idx="133">
                  <c:v>-0.89189843507034017</c:v>
                </c:pt>
                <c:pt idx="134">
                  <c:v>-0.89189843507034017</c:v>
                </c:pt>
                <c:pt idx="135">
                  <c:v>-0.89189843507034017</c:v>
                </c:pt>
                <c:pt idx="136">
                  <c:v>-0.89189843507034017</c:v>
                </c:pt>
                <c:pt idx="137">
                  <c:v>-0.89189843507034017</c:v>
                </c:pt>
                <c:pt idx="138">
                  <c:v>-0.73282395929304378</c:v>
                </c:pt>
                <c:pt idx="139">
                  <c:v>-0.73282395929304378</c:v>
                </c:pt>
                <c:pt idx="140">
                  <c:v>-0.73282395929304378</c:v>
                </c:pt>
                <c:pt idx="141">
                  <c:v>-0.73282395929304378</c:v>
                </c:pt>
                <c:pt idx="142">
                  <c:v>-0.73282395929304378</c:v>
                </c:pt>
                <c:pt idx="143">
                  <c:v>-0.73282395929304378</c:v>
                </c:pt>
                <c:pt idx="144">
                  <c:v>-0.73282395929304378</c:v>
                </c:pt>
                <c:pt idx="145">
                  <c:v>0.60709026000434052</c:v>
                </c:pt>
                <c:pt idx="146">
                  <c:v>0.60709026000434052</c:v>
                </c:pt>
                <c:pt idx="147">
                  <c:v>0.60709026000434052</c:v>
                </c:pt>
                <c:pt idx="148">
                  <c:v>0.60709026000434052</c:v>
                </c:pt>
                <c:pt idx="149">
                  <c:v>0.60709026000434052</c:v>
                </c:pt>
                <c:pt idx="150">
                  <c:v>0.60709026000434052</c:v>
                </c:pt>
                <c:pt idx="151">
                  <c:v>0.60709026000434052</c:v>
                </c:pt>
                <c:pt idx="152">
                  <c:v>0.60709026000434052</c:v>
                </c:pt>
                <c:pt idx="153">
                  <c:v>0.60709026000434052</c:v>
                </c:pt>
                <c:pt idx="154">
                  <c:v>0.60709026000434052</c:v>
                </c:pt>
                <c:pt idx="155">
                  <c:v>0.60709026000434052</c:v>
                </c:pt>
                <c:pt idx="156">
                  <c:v>0.60709026000434052</c:v>
                </c:pt>
                <c:pt idx="157">
                  <c:v>0.60709026000434052</c:v>
                </c:pt>
                <c:pt idx="158">
                  <c:v>0.60709026000434052</c:v>
                </c:pt>
                <c:pt idx="159">
                  <c:v>0.60709026000434052</c:v>
                </c:pt>
                <c:pt idx="160">
                  <c:v>0.60709026000434052</c:v>
                </c:pt>
                <c:pt idx="161">
                  <c:v>1.6865439242722209</c:v>
                </c:pt>
                <c:pt idx="162">
                  <c:v>1.6865439242722209</c:v>
                </c:pt>
                <c:pt idx="163">
                  <c:v>1.6865439242722209</c:v>
                </c:pt>
                <c:pt idx="164">
                  <c:v>1.6865439242722209</c:v>
                </c:pt>
                <c:pt idx="165">
                  <c:v>1.6865439242722209</c:v>
                </c:pt>
                <c:pt idx="166">
                  <c:v>1.6865439242722209</c:v>
                </c:pt>
                <c:pt idx="167">
                  <c:v>1.6865439242722209</c:v>
                </c:pt>
                <c:pt idx="168">
                  <c:v>1.6865439242722209</c:v>
                </c:pt>
                <c:pt idx="169">
                  <c:v>1.6865439242722209</c:v>
                </c:pt>
                <c:pt idx="170">
                  <c:v>1.6865439242722209</c:v>
                </c:pt>
                <c:pt idx="171">
                  <c:v>1.6865439242722209</c:v>
                </c:pt>
                <c:pt idx="172">
                  <c:v>1.6865439242722209</c:v>
                </c:pt>
                <c:pt idx="173">
                  <c:v>1.6865439242722209</c:v>
                </c:pt>
                <c:pt idx="174">
                  <c:v>1.6865439242722209</c:v>
                </c:pt>
                <c:pt idx="175">
                  <c:v>1.6865439242722209</c:v>
                </c:pt>
                <c:pt idx="176">
                  <c:v>1.6865439242722209</c:v>
                </c:pt>
                <c:pt idx="177">
                  <c:v>1.6865439242722209</c:v>
                </c:pt>
                <c:pt idx="178">
                  <c:v>1.6865439242722209</c:v>
                </c:pt>
                <c:pt idx="179">
                  <c:v>1.6865439242722209</c:v>
                </c:pt>
                <c:pt idx="180">
                  <c:v>1.6865439242722209</c:v>
                </c:pt>
                <c:pt idx="181">
                  <c:v>1.6865439242722209</c:v>
                </c:pt>
                <c:pt idx="182">
                  <c:v>1.6865439242722209</c:v>
                </c:pt>
                <c:pt idx="183">
                  <c:v>1.6865439242722209</c:v>
                </c:pt>
                <c:pt idx="184">
                  <c:v>8.0465832331466203E-2</c:v>
                </c:pt>
                <c:pt idx="185">
                  <c:v>8.0465832331466203E-2</c:v>
                </c:pt>
                <c:pt idx="186">
                  <c:v>8.0465832331466203E-2</c:v>
                </c:pt>
                <c:pt idx="187">
                  <c:v>8.0465832331466203E-2</c:v>
                </c:pt>
                <c:pt idx="188">
                  <c:v>8.0465832331466203E-2</c:v>
                </c:pt>
                <c:pt idx="189">
                  <c:v>8.0465832331466203E-2</c:v>
                </c:pt>
                <c:pt idx="190">
                  <c:v>8.0465832331466203E-2</c:v>
                </c:pt>
                <c:pt idx="191">
                  <c:v>8.0465832331466203E-2</c:v>
                </c:pt>
                <c:pt idx="192">
                  <c:v>8.0465832331466203E-2</c:v>
                </c:pt>
                <c:pt idx="193">
                  <c:v>8.0465832331466203E-2</c:v>
                </c:pt>
                <c:pt idx="194">
                  <c:v>8.0465832331466203E-2</c:v>
                </c:pt>
                <c:pt idx="195">
                  <c:v>8.0465832331466203E-2</c:v>
                </c:pt>
                <c:pt idx="196">
                  <c:v>8.0465832331466203E-2</c:v>
                </c:pt>
                <c:pt idx="197">
                  <c:v>8.0465832331466203E-2</c:v>
                </c:pt>
                <c:pt idx="198">
                  <c:v>0.17819735969629541</c:v>
                </c:pt>
                <c:pt idx="199">
                  <c:v>0.17819735969629541</c:v>
                </c:pt>
                <c:pt idx="200">
                  <c:v>0.17819735969629541</c:v>
                </c:pt>
                <c:pt idx="201">
                  <c:v>0.17819735969629541</c:v>
                </c:pt>
                <c:pt idx="202">
                  <c:v>0.17819735969629541</c:v>
                </c:pt>
                <c:pt idx="203">
                  <c:v>2.7207669461081163E-2</c:v>
                </c:pt>
                <c:pt idx="204">
                  <c:v>2.7207669461081163E-2</c:v>
                </c:pt>
                <c:pt idx="205">
                  <c:v>2.7207669461081163E-2</c:v>
                </c:pt>
                <c:pt idx="206">
                  <c:v>1.3959044605547302</c:v>
                </c:pt>
                <c:pt idx="207">
                  <c:v>1.3959044605547302</c:v>
                </c:pt>
                <c:pt idx="208">
                  <c:v>1.3959044605547302</c:v>
                </c:pt>
                <c:pt idx="209">
                  <c:v>1.3959044605547302</c:v>
                </c:pt>
                <c:pt idx="210">
                  <c:v>0.37712328992974087</c:v>
                </c:pt>
                <c:pt idx="211">
                  <c:v>0.37712328992974087</c:v>
                </c:pt>
                <c:pt idx="212">
                  <c:v>0.37712328992974087</c:v>
                </c:pt>
                <c:pt idx="213">
                  <c:v>0.37712328992974087</c:v>
                </c:pt>
                <c:pt idx="214">
                  <c:v>0.37712328992974087</c:v>
                </c:pt>
                <c:pt idx="215">
                  <c:v>0.37712328992974087</c:v>
                </c:pt>
                <c:pt idx="216">
                  <c:v>1.8236830261012313</c:v>
                </c:pt>
                <c:pt idx="217">
                  <c:v>1.8236830261012313</c:v>
                </c:pt>
                <c:pt idx="218">
                  <c:v>1.2996748986282345</c:v>
                </c:pt>
                <c:pt idx="219">
                  <c:v>1.2996748986282345</c:v>
                </c:pt>
                <c:pt idx="220">
                  <c:v>1.2996748986282345</c:v>
                </c:pt>
                <c:pt idx="221">
                  <c:v>1.2996748986282345</c:v>
                </c:pt>
                <c:pt idx="222">
                  <c:v>1.2996748986282345</c:v>
                </c:pt>
                <c:pt idx="223">
                  <c:v>1.2996748986282345</c:v>
                </c:pt>
                <c:pt idx="224">
                  <c:v>1.2996748986282345</c:v>
                </c:pt>
                <c:pt idx="225">
                  <c:v>1.2996748986282345</c:v>
                </c:pt>
                <c:pt idx="226">
                  <c:v>1.2996748986282345</c:v>
                </c:pt>
                <c:pt idx="227">
                  <c:v>1.2996748986282345</c:v>
                </c:pt>
                <c:pt idx="228">
                  <c:v>1.2952184514861527</c:v>
                </c:pt>
                <c:pt idx="229">
                  <c:v>1.2952184514861527</c:v>
                </c:pt>
                <c:pt idx="230">
                  <c:v>1.2952184514861527</c:v>
                </c:pt>
                <c:pt idx="231">
                  <c:v>1.2952184514861527</c:v>
                </c:pt>
                <c:pt idx="232">
                  <c:v>1.2952184514861527</c:v>
                </c:pt>
                <c:pt idx="233">
                  <c:v>1.7486213222545892</c:v>
                </c:pt>
                <c:pt idx="234">
                  <c:v>2.3218289572638984</c:v>
                </c:pt>
                <c:pt idx="235">
                  <c:v>2.0353701309879249</c:v>
                </c:pt>
                <c:pt idx="236">
                  <c:v>2.0353701309879249</c:v>
                </c:pt>
                <c:pt idx="237">
                  <c:v>2.0353701309879249</c:v>
                </c:pt>
                <c:pt idx="238">
                  <c:v>2.0353701309879249</c:v>
                </c:pt>
                <c:pt idx="239">
                  <c:v>2.0353701309879249</c:v>
                </c:pt>
                <c:pt idx="240">
                  <c:v>2.0353701309879249</c:v>
                </c:pt>
                <c:pt idx="241">
                  <c:v>2.0353701309879249</c:v>
                </c:pt>
                <c:pt idx="242">
                  <c:v>2.0353701309879249</c:v>
                </c:pt>
                <c:pt idx="243">
                  <c:v>2.0353701309879249</c:v>
                </c:pt>
                <c:pt idx="244">
                  <c:v>2.0353701309879249</c:v>
                </c:pt>
                <c:pt idx="245">
                  <c:v>2.0353701309879249</c:v>
                </c:pt>
                <c:pt idx="246">
                  <c:v>2.0353701309879249</c:v>
                </c:pt>
                <c:pt idx="247">
                  <c:v>2.0353701309879249</c:v>
                </c:pt>
                <c:pt idx="248">
                  <c:v>2.0353701309879249</c:v>
                </c:pt>
                <c:pt idx="249">
                  <c:v>2.0353701309879249</c:v>
                </c:pt>
                <c:pt idx="250">
                  <c:v>2.4895604025253348</c:v>
                </c:pt>
                <c:pt idx="251">
                  <c:v>2.4895604025253348</c:v>
                </c:pt>
                <c:pt idx="252">
                  <c:v>2.4895604025253348</c:v>
                </c:pt>
                <c:pt idx="253">
                  <c:v>2.4895604025253348</c:v>
                </c:pt>
                <c:pt idx="254">
                  <c:v>2.5482638226376384</c:v>
                </c:pt>
                <c:pt idx="255">
                  <c:v>2.5482638226376384</c:v>
                </c:pt>
                <c:pt idx="256">
                  <c:v>2.5482638226376384</c:v>
                </c:pt>
                <c:pt idx="257">
                  <c:v>2.5482638226376384</c:v>
                </c:pt>
                <c:pt idx="258">
                  <c:v>2.5482638226376384</c:v>
                </c:pt>
                <c:pt idx="259">
                  <c:v>2.5482638226376384</c:v>
                </c:pt>
                <c:pt idx="260">
                  <c:v>2.5482638226376384</c:v>
                </c:pt>
                <c:pt idx="261">
                  <c:v>2.5482638226376384</c:v>
                </c:pt>
                <c:pt idx="262">
                  <c:v>2.818563669431247</c:v>
                </c:pt>
                <c:pt idx="263">
                  <c:v>2.818563669431247</c:v>
                </c:pt>
                <c:pt idx="264">
                  <c:v>2.818563669431247</c:v>
                </c:pt>
                <c:pt idx="265">
                  <c:v>2.818563669431247</c:v>
                </c:pt>
                <c:pt idx="266">
                  <c:v>2.818563669431247</c:v>
                </c:pt>
                <c:pt idx="267">
                  <c:v>2.818563669431247</c:v>
                </c:pt>
                <c:pt idx="268">
                  <c:v>2.818563669431247</c:v>
                </c:pt>
                <c:pt idx="269">
                  <c:v>2.818563669431247</c:v>
                </c:pt>
                <c:pt idx="270">
                  <c:v>3.1256995555326306</c:v>
                </c:pt>
                <c:pt idx="271">
                  <c:v>2.9548783483961012</c:v>
                </c:pt>
                <c:pt idx="272">
                  <c:v>2.9548783483961012</c:v>
                </c:pt>
                <c:pt idx="273">
                  <c:v>2.9548783483961012</c:v>
                </c:pt>
                <c:pt idx="274">
                  <c:v>2.9548783483961012</c:v>
                </c:pt>
                <c:pt idx="275">
                  <c:v>2.9548783483961012</c:v>
                </c:pt>
                <c:pt idx="276">
                  <c:v>2.9548783483961012</c:v>
                </c:pt>
                <c:pt idx="277">
                  <c:v>2.9548783483961012</c:v>
                </c:pt>
                <c:pt idx="278">
                  <c:v>2.9548783483961012</c:v>
                </c:pt>
                <c:pt idx="279">
                  <c:v>2.9548783483961012</c:v>
                </c:pt>
                <c:pt idx="280">
                  <c:v>2.9548783483961012</c:v>
                </c:pt>
                <c:pt idx="281">
                  <c:v>2.9548783483961012</c:v>
                </c:pt>
                <c:pt idx="282">
                  <c:v>2.9548783483961012</c:v>
                </c:pt>
                <c:pt idx="283">
                  <c:v>2.9548783483961012</c:v>
                </c:pt>
                <c:pt idx="284">
                  <c:v>2.9548783483961012</c:v>
                </c:pt>
                <c:pt idx="285">
                  <c:v>2.9548783483961012</c:v>
                </c:pt>
                <c:pt idx="286">
                  <c:v>2.9548783483961012</c:v>
                </c:pt>
                <c:pt idx="287">
                  <c:v>2.9548783483961012</c:v>
                </c:pt>
                <c:pt idx="288">
                  <c:v>2.9548783483961012</c:v>
                </c:pt>
                <c:pt idx="289">
                  <c:v>2.9548783483961012</c:v>
                </c:pt>
                <c:pt idx="290">
                  <c:v>2.9548783483961012</c:v>
                </c:pt>
                <c:pt idx="291">
                  <c:v>2.9548783483961012</c:v>
                </c:pt>
                <c:pt idx="292">
                  <c:v>2.1620591251493844</c:v>
                </c:pt>
                <c:pt idx="293">
                  <c:v>2.1620591251493844</c:v>
                </c:pt>
                <c:pt idx="294">
                  <c:v>2.1620591251493844</c:v>
                </c:pt>
                <c:pt idx="295">
                  <c:v>2.1620591251493844</c:v>
                </c:pt>
                <c:pt idx="296">
                  <c:v>2.1620591251493844</c:v>
                </c:pt>
                <c:pt idx="297">
                  <c:v>2.4342872695277298</c:v>
                </c:pt>
                <c:pt idx="298">
                  <c:v>2.4342872695277298</c:v>
                </c:pt>
                <c:pt idx="299">
                  <c:v>2.4342872695277298</c:v>
                </c:pt>
                <c:pt idx="300">
                  <c:v>2.4342872695277298</c:v>
                </c:pt>
                <c:pt idx="301">
                  <c:v>2.4342872695277298</c:v>
                </c:pt>
                <c:pt idx="302">
                  <c:v>2.4342872695277298</c:v>
                </c:pt>
                <c:pt idx="303">
                  <c:v>2.4342872695277298</c:v>
                </c:pt>
                <c:pt idx="304">
                  <c:v>2.4342872695277298</c:v>
                </c:pt>
                <c:pt idx="305">
                  <c:v>2.4342872695277298</c:v>
                </c:pt>
                <c:pt idx="306">
                  <c:v>2.4342872695277298</c:v>
                </c:pt>
                <c:pt idx="307">
                  <c:v>2.4342872695277298</c:v>
                </c:pt>
                <c:pt idx="308">
                  <c:v>2.4342872695277298</c:v>
                </c:pt>
                <c:pt idx="309">
                  <c:v>2.4342872695277298</c:v>
                </c:pt>
                <c:pt idx="310">
                  <c:v>2.4342872695277298</c:v>
                </c:pt>
                <c:pt idx="311">
                  <c:v>2.4342872695277298</c:v>
                </c:pt>
                <c:pt idx="312">
                  <c:v>2.4342872695277298</c:v>
                </c:pt>
                <c:pt idx="313">
                  <c:v>2.4342872695277298</c:v>
                </c:pt>
                <c:pt idx="314">
                  <c:v>1.6590934710781176</c:v>
                </c:pt>
                <c:pt idx="315">
                  <c:v>1.6590934710781176</c:v>
                </c:pt>
                <c:pt idx="316">
                  <c:v>2.1963384306338343</c:v>
                </c:pt>
                <c:pt idx="317">
                  <c:v>2.1963384306338343</c:v>
                </c:pt>
                <c:pt idx="318">
                  <c:v>2.1963384306338343</c:v>
                </c:pt>
                <c:pt idx="319">
                  <c:v>4.5329143061202144</c:v>
                </c:pt>
                <c:pt idx="320">
                  <c:v>4.5329143061202144</c:v>
                </c:pt>
                <c:pt idx="321">
                  <c:v>4.5329143061202144</c:v>
                </c:pt>
                <c:pt idx="322">
                  <c:v>4.8655972817568163</c:v>
                </c:pt>
                <c:pt idx="323">
                  <c:v>4.8655972817568163</c:v>
                </c:pt>
                <c:pt idx="324">
                  <c:v>4.8655972817568163</c:v>
                </c:pt>
                <c:pt idx="325">
                  <c:v>4.8655972817568163</c:v>
                </c:pt>
                <c:pt idx="326">
                  <c:v>4.8655972817568163</c:v>
                </c:pt>
                <c:pt idx="327">
                  <c:v>4.649806471906599</c:v>
                </c:pt>
                <c:pt idx="328">
                  <c:v>4.649806471906599</c:v>
                </c:pt>
                <c:pt idx="329">
                  <c:v>4.649806471906599</c:v>
                </c:pt>
                <c:pt idx="330">
                  <c:v>4.649806471906599</c:v>
                </c:pt>
                <c:pt idx="331">
                  <c:v>4.649806471906599</c:v>
                </c:pt>
                <c:pt idx="332">
                  <c:v>5.5875354096355405</c:v>
                </c:pt>
                <c:pt idx="333">
                  <c:v>5.5875354096355405</c:v>
                </c:pt>
                <c:pt idx="334">
                  <c:v>5.5875354096355405</c:v>
                </c:pt>
                <c:pt idx="335">
                  <c:v>5.5875354096355405</c:v>
                </c:pt>
                <c:pt idx="336">
                  <c:v>5.5875354096355405</c:v>
                </c:pt>
                <c:pt idx="337">
                  <c:v>5.5875354096355405</c:v>
                </c:pt>
                <c:pt idx="338">
                  <c:v>5.5875354096355405</c:v>
                </c:pt>
                <c:pt idx="339">
                  <c:v>5.5875354096355405</c:v>
                </c:pt>
                <c:pt idx="340">
                  <c:v>5.5875354096355405</c:v>
                </c:pt>
                <c:pt idx="341">
                  <c:v>5.5875354096355405</c:v>
                </c:pt>
                <c:pt idx="342">
                  <c:v>5.5875354096355405</c:v>
                </c:pt>
                <c:pt idx="343">
                  <c:v>5.5875354096355405</c:v>
                </c:pt>
                <c:pt idx="344">
                  <c:v>5.5875354096355405</c:v>
                </c:pt>
                <c:pt idx="345">
                  <c:v>5.5875354096355405</c:v>
                </c:pt>
                <c:pt idx="346">
                  <c:v>5.5875354096355405</c:v>
                </c:pt>
                <c:pt idx="347">
                  <c:v>5.6299884218697258</c:v>
                </c:pt>
                <c:pt idx="348">
                  <c:v>5.6299884218697258</c:v>
                </c:pt>
                <c:pt idx="349">
                  <c:v>5.6299884218697258</c:v>
                </c:pt>
                <c:pt idx="350">
                  <c:v>5.6299884218697258</c:v>
                </c:pt>
                <c:pt idx="351">
                  <c:v>5.6299884218697258</c:v>
                </c:pt>
                <c:pt idx="352">
                  <c:v>5.6299884218697258</c:v>
                </c:pt>
                <c:pt idx="353">
                  <c:v>5.6299884218697258</c:v>
                </c:pt>
                <c:pt idx="354">
                  <c:v>5.6299884218697258</c:v>
                </c:pt>
                <c:pt idx="355">
                  <c:v>5.6299884218697258</c:v>
                </c:pt>
                <c:pt idx="356">
                  <c:v>5.6299884218697258</c:v>
                </c:pt>
                <c:pt idx="357">
                  <c:v>5.6299884218697258</c:v>
                </c:pt>
                <c:pt idx="358">
                  <c:v>5.6299884218697258</c:v>
                </c:pt>
                <c:pt idx="359">
                  <c:v>5.6299884218697258</c:v>
                </c:pt>
                <c:pt idx="360">
                  <c:v>5.6299884218697258</c:v>
                </c:pt>
                <c:pt idx="361">
                  <c:v>5.6299884218697258</c:v>
                </c:pt>
                <c:pt idx="362">
                  <c:v>5.6299884218697258</c:v>
                </c:pt>
                <c:pt idx="363">
                  <c:v>5.6299884218697258</c:v>
                </c:pt>
                <c:pt idx="364">
                  <c:v>5.6299884218697258</c:v>
                </c:pt>
                <c:pt idx="365">
                  <c:v>5.6299884218697258</c:v>
                </c:pt>
                <c:pt idx="366">
                  <c:v>5.6299884218697258</c:v>
                </c:pt>
                <c:pt idx="367">
                  <c:v>5.6299884218697258</c:v>
                </c:pt>
                <c:pt idx="368">
                  <c:v>5.6299884218697258</c:v>
                </c:pt>
                <c:pt idx="369">
                  <c:v>5.6299884218697258</c:v>
                </c:pt>
                <c:pt idx="370">
                  <c:v>5.6299884218697258</c:v>
                </c:pt>
                <c:pt idx="371">
                  <c:v>5.6299884218697258</c:v>
                </c:pt>
                <c:pt idx="372">
                  <c:v>5.6299884218697258</c:v>
                </c:pt>
                <c:pt idx="373">
                  <c:v>6.542386209267514</c:v>
                </c:pt>
                <c:pt idx="374">
                  <c:v>6.542386209267514</c:v>
                </c:pt>
                <c:pt idx="375">
                  <c:v>6.542386209267514</c:v>
                </c:pt>
                <c:pt idx="376">
                  <c:v>6.542386209267514</c:v>
                </c:pt>
                <c:pt idx="377">
                  <c:v>8.9660858695231074</c:v>
                </c:pt>
                <c:pt idx="378">
                  <c:v>8.9660858695231074</c:v>
                </c:pt>
                <c:pt idx="379">
                  <c:v>8.9660858695231074</c:v>
                </c:pt>
                <c:pt idx="380">
                  <c:v>8.9660858695231074</c:v>
                </c:pt>
                <c:pt idx="381">
                  <c:v>8.9660858695231074</c:v>
                </c:pt>
                <c:pt idx="382">
                  <c:v>8.9660858695231074</c:v>
                </c:pt>
                <c:pt idx="383">
                  <c:v>8.9660858695231074</c:v>
                </c:pt>
                <c:pt idx="384">
                  <c:v>8.9660858695231074</c:v>
                </c:pt>
                <c:pt idx="385">
                  <c:v>8.9660858695231074</c:v>
                </c:pt>
                <c:pt idx="386">
                  <c:v>8.9660858695231074</c:v>
                </c:pt>
                <c:pt idx="387">
                  <c:v>8.9660858695231074</c:v>
                </c:pt>
                <c:pt idx="388">
                  <c:v>8.9660858695231074</c:v>
                </c:pt>
                <c:pt idx="389">
                  <c:v>8.9660858695231074</c:v>
                </c:pt>
                <c:pt idx="390">
                  <c:v>8.9660858695231074</c:v>
                </c:pt>
                <c:pt idx="391">
                  <c:v>8.9660858695231074</c:v>
                </c:pt>
                <c:pt idx="392">
                  <c:v>8.9660858695231074</c:v>
                </c:pt>
                <c:pt idx="393">
                  <c:v>8.9660858695231074</c:v>
                </c:pt>
                <c:pt idx="394">
                  <c:v>10.30250324294896</c:v>
                </c:pt>
                <c:pt idx="395">
                  <c:v>10.30250324294896</c:v>
                </c:pt>
                <c:pt idx="396">
                  <c:v>10.30250324294896</c:v>
                </c:pt>
                <c:pt idx="397">
                  <c:v>10.30250324294896</c:v>
                </c:pt>
                <c:pt idx="398">
                  <c:v>10.30250324294896</c:v>
                </c:pt>
                <c:pt idx="399">
                  <c:v>10.30250324294896</c:v>
                </c:pt>
                <c:pt idx="400">
                  <c:v>10.30250324294896</c:v>
                </c:pt>
                <c:pt idx="401">
                  <c:v>10.30250324294896</c:v>
                </c:pt>
                <c:pt idx="402">
                  <c:v>10.30250324294896</c:v>
                </c:pt>
                <c:pt idx="403">
                  <c:v>10.30250324294896</c:v>
                </c:pt>
                <c:pt idx="404">
                  <c:v>10.30250324294896</c:v>
                </c:pt>
                <c:pt idx="405">
                  <c:v>10.30250324294896</c:v>
                </c:pt>
                <c:pt idx="406">
                  <c:v>10.30250324294896</c:v>
                </c:pt>
                <c:pt idx="407">
                  <c:v>10.30250324294896</c:v>
                </c:pt>
                <c:pt idx="408">
                  <c:v>10.30250324294896</c:v>
                </c:pt>
                <c:pt idx="409">
                  <c:v>10.30250324294896</c:v>
                </c:pt>
                <c:pt idx="410">
                  <c:v>10.30250324294896</c:v>
                </c:pt>
                <c:pt idx="411">
                  <c:v>10.30250324294896</c:v>
                </c:pt>
                <c:pt idx="412">
                  <c:v>10.30250324294896</c:v>
                </c:pt>
                <c:pt idx="413">
                  <c:v>10.30250324294896</c:v>
                </c:pt>
                <c:pt idx="414">
                  <c:v>10.30250324294896</c:v>
                </c:pt>
                <c:pt idx="415">
                  <c:v>10.30250324294896</c:v>
                </c:pt>
                <c:pt idx="416">
                  <c:v>10.30250324294896</c:v>
                </c:pt>
                <c:pt idx="417">
                  <c:v>10.30250324294896</c:v>
                </c:pt>
                <c:pt idx="418">
                  <c:v>10.30250324294896</c:v>
                </c:pt>
              </c:numCache>
            </c:numRef>
          </c:val>
          <c:smooth val="0"/>
          <c:extLst>
            <c:ext xmlns:c16="http://schemas.microsoft.com/office/drawing/2014/chart" uri="{C3380CC4-5D6E-409C-BE32-E72D297353CC}">
              <c16:uniqueId val="{0000000E-CFC7-4AE2-BBA7-ADFD494951EC}"/>
            </c:ext>
          </c:extLst>
        </c:ser>
        <c:ser>
          <c:idx val="9"/>
          <c:order val="9"/>
          <c:tx>
            <c:strRef>
              <c:f>'2025-Q2'!$EM$2</c:f>
              <c:strCache>
                <c:ptCount val="1"/>
                <c:pt idx="0">
                  <c:v>XLB</c:v>
                </c:pt>
              </c:strCache>
            </c:strRef>
          </c:tx>
          <c:spPr>
            <a:ln w="19050" cap="rnd">
              <a:solidFill>
                <a:schemeClr val="bg1"/>
              </a:solidFill>
              <a:prstDash val="sysDash"/>
              <a:round/>
            </a:ln>
            <a:effectLst/>
          </c:spPr>
          <c:marker>
            <c:symbol val="none"/>
          </c:marker>
          <c:val>
            <c:numRef>
              <c:f>'2025-Q2'!$ES$4:$ES$422</c:f>
              <c:numCache>
                <c:formatCode>0.00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0.4926597949853756</c:v>
                </c:pt>
                <c:pt idx="54">
                  <c:v>0.4926597949853756</c:v>
                </c:pt>
                <c:pt idx="55">
                  <c:v>1.1077583180336892</c:v>
                </c:pt>
                <c:pt idx="56">
                  <c:v>1.1077583180336892</c:v>
                </c:pt>
                <c:pt idx="57">
                  <c:v>1.1077583180336892</c:v>
                </c:pt>
                <c:pt idx="58">
                  <c:v>1.1077583180336892</c:v>
                </c:pt>
                <c:pt idx="59">
                  <c:v>1.1077583180336892</c:v>
                </c:pt>
                <c:pt idx="60">
                  <c:v>1.1077583180336892</c:v>
                </c:pt>
                <c:pt idx="61">
                  <c:v>1.1077583180336892</c:v>
                </c:pt>
                <c:pt idx="62">
                  <c:v>1.1077583180336892</c:v>
                </c:pt>
                <c:pt idx="63">
                  <c:v>1.1077583180336892</c:v>
                </c:pt>
                <c:pt idx="64">
                  <c:v>1.1077583180336892</c:v>
                </c:pt>
                <c:pt idx="65">
                  <c:v>1.1077583180336892</c:v>
                </c:pt>
                <c:pt idx="66">
                  <c:v>1.1077583180336892</c:v>
                </c:pt>
                <c:pt idx="67">
                  <c:v>1.1077583180336892</c:v>
                </c:pt>
                <c:pt idx="68">
                  <c:v>1.2364547660117271</c:v>
                </c:pt>
                <c:pt idx="69">
                  <c:v>1.2364547660117271</c:v>
                </c:pt>
                <c:pt idx="70">
                  <c:v>1.2364547660117271</c:v>
                </c:pt>
                <c:pt idx="71">
                  <c:v>1.2364547660117271</c:v>
                </c:pt>
                <c:pt idx="72">
                  <c:v>1.2364547660117271</c:v>
                </c:pt>
                <c:pt idx="73">
                  <c:v>1.2364547660117271</c:v>
                </c:pt>
                <c:pt idx="74">
                  <c:v>1.2364547660117271</c:v>
                </c:pt>
                <c:pt idx="75">
                  <c:v>1.2364547660117271</c:v>
                </c:pt>
                <c:pt idx="76">
                  <c:v>1.2364547660117271</c:v>
                </c:pt>
                <c:pt idx="77">
                  <c:v>1.2364547660117271</c:v>
                </c:pt>
                <c:pt idx="78">
                  <c:v>1.2364547660117271</c:v>
                </c:pt>
                <c:pt idx="79">
                  <c:v>1.2364547660117271</c:v>
                </c:pt>
                <c:pt idx="80">
                  <c:v>1.2364547660117271</c:v>
                </c:pt>
                <c:pt idx="81">
                  <c:v>1.2364547660117271</c:v>
                </c:pt>
                <c:pt idx="82">
                  <c:v>1.2364547660117271</c:v>
                </c:pt>
                <c:pt idx="83">
                  <c:v>1.2364547660117271</c:v>
                </c:pt>
                <c:pt idx="84">
                  <c:v>1.2364547660117271</c:v>
                </c:pt>
                <c:pt idx="85">
                  <c:v>1.0564793942204984</c:v>
                </c:pt>
                <c:pt idx="86">
                  <c:v>1.0564793942204984</c:v>
                </c:pt>
                <c:pt idx="87">
                  <c:v>1.0564793942204984</c:v>
                </c:pt>
                <c:pt idx="88">
                  <c:v>1.0564793942204984</c:v>
                </c:pt>
                <c:pt idx="89">
                  <c:v>1.0564793942204984</c:v>
                </c:pt>
                <c:pt idx="90">
                  <c:v>1.0564793942204984</c:v>
                </c:pt>
                <c:pt idx="91">
                  <c:v>1.0564793942204984</c:v>
                </c:pt>
                <c:pt idx="92">
                  <c:v>1.3323414631860153</c:v>
                </c:pt>
                <c:pt idx="93">
                  <c:v>1.3323414631860153</c:v>
                </c:pt>
                <c:pt idx="94">
                  <c:v>1.3323414631860153</c:v>
                </c:pt>
                <c:pt idx="95">
                  <c:v>1.3323414631860153</c:v>
                </c:pt>
                <c:pt idx="96">
                  <c:v>1.3323414631860153</c:v>
                </c:pt>
                <c:pt idx="97">
                  <c:v>1.3323414631860153</c:v>
                </c:pt>
                <c:pt idx="98">
                  <c:v>1.3323414631860153</c:v>
                </c:pt>
                <c:pt idx="99">
                  <c:v>1.3323414631860153</c:v>
                </c:pt>
                <c:pt idx="100">
                  <c:v>1.3323414631860153</c:v>
                </c:pt>
                <c:pt idx="101">
                  <c:v>1.3323414631860153</c:v>
                </c:pt>
                <c:pt idx="102">
                  <c:v>1.3323414631860153</c:v>
                </c:pt>
                <c:pt idx="103">
                  <c:v>1.3323414631860153</c:v>
                </c:pt>
                <c:pt idx="104">
                  <c:v>1.3323414631860153</c:v>
                </c:pt>
                <c:pt idx="105">
                  <c:v>2.0922606251096312</c:v>
                </c:pt>
                <c:pt idx="106">
                  <c:v>2.0922606251096312</c:v>
                </c:pt>
                <c:pt idx="107">
                  <c:v>2.0922606251096312</c:v>
                </c:pt>
                <c:pt idx="108">
                  <c:v>2.0922606251096312</c:v>
                </c:pt>
                <c:pt idx="109">
                  <c:v>2.0922606251096312</c:v>
                </c:pt>
                <c:pt idx="110">
                  <c:v>2.0922606251096312</c:v>
                </c:pt>
                <c:pt idx="111">
                  <c:v>2.0922606251096312</c:v>
                </c:pt>
                <c:pt idx="112">
                  <c:v>2.0922606251096312</c:v>
                </c:pt>
                <c:pt idx="113">
                  <c:v>2.0922606251096312</c:v>
                </c:pt>
                <c:pt idx="114">
                  <c:v>2.0922606251096312</c:v>
                </c:pt>
                <c:pt idx="115">
                  <c:v>2.0922606251096312</c:v>
                </c:pt>
                <c:pt idx="116">
                  <c:v>2.5704603438156792</c:v>
                </c:pt>
                <c:pt idx="117">
                  <c:v>2.5704603438156792</c:v>
                </c:pt>
                <c:pt idx="118">
                  <c:v>2.5704603438156792</c:v>
                </c:pt>
                <c:pt idx="119">
                  <c:v>2.5704603438156792</c:v>
                </c:pt>
                <c:pt idx="120">
                  <c:v>2.7792047320230489</c:v>
                </c:pt>
                <c:pt idx="121">
                  <c:v>2.7792047320230489</c:v>
                </c:pt>
                <c:pt idx="122">
                  <c:v>2.7792047320230489</c:v>
                </c:pt>
                <c:pt idx="123">
                  <c:v>2.7792047320230489</c:v>
                </c:pt>
                <c:pt idx="124">
                  <c:v>2.7792047320230489</c:v>
                </c:pt>
                <c:pt idx="125">
                  <c:v>2.7792047320230489</c:v>
                </c:pt>
                <c:pt idx="126">
                  <c:v>2.7792047320230489</c:v>
                </c:pt>
                <c:pt idx="127">
                  <c:v>2.1219701343910971</c:v>
                </c:pt>
                <c:pt idx="128">
                  <c:v>2.1219701343910971</c:v>
                </c:pt>
                <c:pt idx="129">
                  <c:v>2.1219701343910971</c:v>
                </c:pt>
                <c:pt idx="130">
                  <c:v>2.1219701343910971</c:v>
                </c:pt>
                <c:pt idx="131">
                  <c:v>2.1219701343910971</c:v>
                </c:pt>
                <c:pt idx="132">
                  <c:v>2.1219701343910971</c:v>
                </c:pt>
                <c:pt idx="133">
                  <c:v>2.1219701343910971</c:v>
                </c:pt>
                <c:pt idx="134">
                  <c:v>2.1219701343910971</c:v>
                </c:pt>
                <c:pt idx="135">
                  <c:v>2.1219701343910971</c:v>
                </c:pt>
                <c:pt idx="136">
                  <c:v>2.1219701343910971</c:v>
                </c:pt>
                <c:pt idx="137">
                  <c:v>2.1219701343910971</c:v>
                </c:pt>
                <c:pt idx="138">
                  <c:v>2.1219701343910971</c:v>
                </c:pt>
                <c:pt idx="139">
                  <c:v>2.2085052676552039</c:v>
                </c:pt>
                <c:pt idx="140">
                  <c:v>2.2085052676552039</c:v>
                </c:pt>
                <c:pt idx="141">
                  <c:v>1.757376399591223</c:v>
                </c:pt>
                <c:pt idx="142">
                  <c:v>1.757376399591223</c:v>
                </c:pt>
                <c:pt idx="143">
                  <c:v>1.757376399591223</c:v>
                </c:pt>
                <c:pt idx="144">
                  <c:v>1.757376399591223</c:v>
                </c:pt>
                <c:pt idx="145">
                  <c:v>1.757376399591223</c:v>
                </c:pt>
                <c:pt idx="146">
                  <c:v>1.757376399591223</c:v>
                </c:pt>
                <c:pt idx="147">
                  <c:v>1.757376399591223</c:v>
                </c:pt>
                <c:pt idx="148">
                  <c:v>1.757376399591223</c:v>
                </c:pt>
                <c:pt idx="149">
                  <c:v>2.7672341525373123</c:v>
                </c:pt>
                <c:pt idx="150">
                  <c:v>2.7672341525373123</c:v>
                </c:pt>
                <c:pt idx="151">
                  <c:v>2.7672341525373123</c:v>
                </c:pt>
                <c:pt idx="152">
                  <c:v>2.7672341525373123</c:v>
                </c:pt>
                <c:pt idx="153">
                  <c:v>2.7672341525373123</c:v>
                </c:pt>
                <c:pt idx="154">
                  <c:v>2.7672341525373123</c:v>
                </c:pt>
                <c:pt idx="155">
                  <c:v>2.7672341525373123</c:v>
                </c:pt>
                <c:pt idx="156">
                  <c:v>2.7672341525373123</c:v>
                </c:pt>
                <c:pt idx="157">
                  <c:v>2.7672341525373123</c:v>
                </c:pt>
                <c:pt idx="158">
                  <c:v>2.7672341525373123</c:v>
                </c:pt>
                <c:pt idx="159">
                  <c:v>2.7672341525373123</c:v>
                </c:pt>
                <c:pt idx="160">
                  <c:v>2.7672341525373123</c:v>
                </c:pt>
                <c:pt idx="161">
                  <c:v>2.7672341525373123</c:v>
                </c:pt>
                <c:pt idx="162">
                  <c:v>2.7672341525373123</c:v>
                </c:pt>
                <c:pt idx="163">
                  <c:v>2.7672341525373123</c:v>
                </c:pt>
                <c:pt idx="164">
                  <c:v>2.7672341525373123</c:v>
                </c:pt>
                <c:pt idx="165">
                  <c:v>2.7672341525373123</c:v>
                </c:pt>
                <c:pt idx="166">
                  <c:v>2.7672341525373123</c:v>
                </c:pt>
                <c:pt idx="167">
                  <c:v>2.7672341525373123</c:v>
                </c:pt>
                <c:pt idx="168">
                  <c:v>4.0164468336206633</c:v>
                </c:pt>
                <c:pt idx="169">
                  <c:v>4.0164468336206633</c:v>
                </c:pt>
                <c:pt idx="170">
                  <c:v>4.0164468336206633</c:v>
                </c:pt>
                <c:pt idx="171">
                  <c:v>4.0164468336206633</c:v>
                </c:pt>
                <c:pt idx="172">
                  <c:v>4.0164468336206633</c:v>
                </c:pt>
                <c:pt idx="173">
                  <c:v>4.5361126171951494</c:v>
                </c:pt>
                <c:pt idx="174">
                  <c:v>4.5361126171951494</c:v>
                </c:pt>
                <c:pt idx="175">
                  <c:v>4.5361126171951494</c:v>
                </c:pt>
                <c:pt idx="176">
                  <c:v>4.5361126171951494</c:v>
                </c:pt>
                <c:pt idx="177">
                  <c:v>4.5361126171951494</c:v>
                </c:pt>
                <c:pt idx="178">
                  <c:v>4.5361126171951494</c:v>
                </c:pt>
                <c:pt idx="179">
                  <c:v>5.0688734314445174</c:v>
                </c:pt>
                <c:pt idx="180">
                  <c:v>5.0688734314445174</c:v>
                </c:pt>
                <c:pt idx="181">
                  <c:v>5.0688734314445174</c:v>
                </c:pt>
                <c:pt idx="182">
                  <c:v>5.0688734314445174</c:v>
                </c:pt>
                <c:pt idx="183">
                  <c:v>5.0688734314445174</c:v>
                </c:pt>
                <c:pt idx="184">
                  <c:v>5.0688734314445174</c:v>
                </c:pt>
                <c:pt idx="185">
                  <c:v>5.0688734314445174</c:v>
                </c:pt>
                <c:pt idx="186">
                  <c:v>5.0688734314445174</c:v>
                </c:pt>
                <c:pt idx="187">
                  <c:v>5.0688734314445174</c:v>
                </c:pt>
                <c:pt idx="188">
                  <c:v>5.0688734314445174</c:v>
                </c:pt>
                <c:pt idx="189">
                  <c:v>5.0688734314445174</c:v>
                </c:pt>
                <c:pt idx="190">
                  <c:v>5.0688734314445174</c:v>
                </c:pt>
                <c:pt idx="191">
                  <c:v>4.2661407243565606</c:v>
                </c:pt>
                <c:pt idx="192">
                  <c:v>4.2661407243565606</c:v>
                </c:pt>
                <c:pt idx="193">
                  <c:v>4.2661407243565606</c:v>
                </c:pt>
                <c:pt idx="194">
                  <c:v>4.2661407243565606</c:v>
                </c:pt>
                <c:pt idx="195">
                  <c:v>4.2661407243565606</c:v>
                </c:pt>
                <c:pt idx="196">
                  <c:v>4.2661407243565606</c:v>
                </c:pt>
                <c:pt idx="197">
                  <c:v>4.4961899072853235</c:v>
                </c:pt>
                <c:pt idx="198">
                  <c:v>4.4961899072853235</c:v>
                </c:pt>
                <c:pt idx="199">
                  <c:v>5.2628479667243759</c:v>
                </c:pt>
                <c:pt idx="200">
                  <c:v>5.2628479667243759</c:v>
                </c:pt>
                <c:pt idx="201">
                  <c:v>5.2628479667243759</c:v>
                </c:pt>
                <c:pt idx="202">
                  <c:v>5.2628479667243759</c:v>
                </c:pt>
                <c:pt idx="203">
                  <c:v>5.2628479667243759</c:v>
                </c:pt>
                <c:pt idx="204">
                  <c:v>5.2628479667243759</c:v>
                </c:pt>
                <c:pt idx="205">
                  <c:v>5.2628479667243759</c:v>
                </c:pt>
                <c:pt idx="206">
                  <c:v>5.2628479667243759</c:v>
                </c:pt>
                <c:pt idx="207">
                  <c:v>5.2628479667243759</c:v>
                </c:pt>
                <c:pt idx="208">
                  <c:v>5.2628479667243759</c:v>
                </c:pt>
                <c:pt idx="209">
                  <c:v>5.2628479667243759</c:v>
                </c:pt>
                <c:pt idx="210">
                  <c:v>5.2628479667243759</c:v>
                </c:pt>
                <c:pt idx="211">
                  <c:v>4.6822009074682214</c:v>
                </c:pt>
                <c:pt idx="212">
                  <c:v>4.6822009074682214</c:v>
                </c:pt>
                <c:pt idx="213">
                  <c:v>4.6822009074682214</c:v>
                </c:pt>
                <c:pt idx="214">
                  <c:v>4.6822009074682214</c:v>
                </c:pt>
                <c:pt idx="215">
                  <c:v>4.6822009074682214</c:v>
                </c:pt>
                <c:pt idx="216">
                  <c:v>4.6822009074682214</c:v>
                </c:pt>
                <c:pt idx="217">
                  <c:v>4.6822009074682214</c:v>
                </c:pt>
                <c:pt idx="218">
                  <c:v>4.6822009074682214</c:v>
                </c:pt>
                <c:pt idx="219">
                  <c:v>4.6822009074682214</c:v>
                </c:pt>
                <c:pt idx="220">
                  <c:v>4.6822009074682214</c:v>
                </c:pt>
                <c:pt idx="221">
                  <c:v>4.6822009074682214</c:v>
                </c:pt>
                <c:pt idx="222">
                  <c:v>4.6822009074682214</c:v>
                </c:pt>
                <c:pt idx="223">
                  <c:v>4.6822009074682214</c:v>
                </c:pt>
                <c:pt idx="224">
                  <c:v>4.6822009074682214</c:v>
                </c:pt>
                <c:pt idx="225">
                  <c:v>4.6822009074682214</c:v>
                </c:pt>
                <c:pt idx="226">
                  <c:v>4.6822009074682214</c:v>
                </c:pt>
                <c:pt idx="227">
                  <c:v>4.6822009074682214</c:v>
                </c:pt>
                <c:pt idx="228">
                  <c:v>4.6822009074682214</c:v>
                </c:pt>
                <c:pt idx="229">
                  <c:v>4.6822009074682214</c:v>
                </c:pt>
                <c:pt idx="230">
                  <c:v>4.6822009074682214</c:v>
                </c:pt>
                <c:pt idx="231">
                  <c:v>4.6822009074682214</c:v>
                </c:pt>
                <c:pt idx="232">
                  <c:v>4.6822009074682214</c:v>
                </c:pt>
                <c:pt idx="233">
                  <c:v>4.6822009074682214</c:v>
                </c:pt>
                <c:pt idx="234">
                  <c:v>4.6822009074682214</c:v>
                </c:pt>
                <c:pt idx="235">
                  <c:v>4.6822009074682214</c:v>
                </c:pt>
                <c:pt idx="236">
                  <c:v>4.6822009074682214</c:v>
                </c:pt>
                <c:pt idx="237">
                  <c:v>4.6822009074682214</c:v>
                </c:pt>
                <c:pt idx="238">
                  <c:v>4.6822009074682214</c:v>
                </c:pt>
                <c:pt idx="239">
                  <c:v>4.6822009074682214</c:v>
                </c:pt>
                <c:pt idx="240">
                  <c:v>4.6822009074682214</c:v>
                </c:pt>
                <c:pt idx="241">
                  <c:v>4.6822009074682214</c:v>
                </c:pt>
                <c:pt idx="242">
                  <c:v>4.6822009074682214</c:v>
                </c:pt>
                <c:pt idx="243">
                  <c:v>4.6822009074682214</c:v>
                </c:pt>
                <c:pt idx="244">
                  <c:v>4.6822009074682214</c:v>
                </c:pt>
                <c:pt idx="245">
                  <c:v>4.6822009074682214</c:v>
                </c:pt>
                <c:pt idx="246">
                  <c:v>4.6822009074682214</c:v>
                </c:pt>
                <c:pt idx="247">
                  <c:v>4.6822009074682214</c:v>
                </c:pt>
                <c:pt idx="248">
                  <c:v>4.6822009074682214</c:v>
                </c:pt>
                <c:pt idx="249">
                  <c:v>4.6822009074682214</c:v>
                </c:pt>
                <c:pt idx="250">
                  <c:v>4.6822009074682214</c:v>
                </c:pt>
                <c:pt idx="251">
                  <c:v>4.6822009074682214</c:v>
                </c:pt>
                <c:pt idx="252">
                  <c:v>4.6822009074682214</c:v>
                </c:pt>
                <c:pt idx="253">
                  <c:v>4.6822009074682214</c:v>
                </c:pt>
                <c:pt idx="254">
                  <c:v>4.6822009074682214</c:v>
                </c:pt>
                <c:pt idx="255">
                  <c:v>4.6822009074682214</c:v>
                </c:pt>
                <c:pt idx="256">
                  <c:v>4.6822009074682214</c:v>
                </c:pt>
                <c:pt idx="257">
                  <c:v>4.6822009074682214</c:v>
                </c:pt>
                <c:pt idx="258">
                  <c:v>4.6822009074682214</c:v>
                </c:pt>
                <c:pt idx="259">
                  <c:v>3.6230839392603444</c:v>
                </c:pt>
                <c:pt idx="260">
                  <c:v>3.6230839392603444</c:v>
                </c:pt>
                <c:pt idx="261">
                  <c:v>3.6230839392603444</c:v>
                </c:pt>
                <c:pt idx="262">
                  <c:v>3.6230839392603444</c:v>
                </c:pt>
                <c:pt idx="263">
                  <c:v>3.6230839392603444</c:v>
                </c:pt>
                <c:pt idx="264">
                  <c:v>3.160210265200559</c:v>
                </c:pt>
                <c:pt idx="265">
                  <c:v>3.160210265200559</c:v>
                </c:pt>
                <c:pt idx="266">
                  <c:v>3.160210265200559</c:v>
                </c:pt>
                <c:pt idx="267">
                  <c:v>3.160210265200559</c:v>
                </c:pt>
                <c:pt idx="268">
                  <c:v>3.160210265200559</c:v>
                </c:pt>
                <c:pt idx="269">
                  <c:v>3.160210265200559</c:v>
                </c:pt>
                <c:pt idx="270">
                  <c:v>3.160210265200559</c:v>
                </c:pt>
                <c:pt idx="271">
                  <c:v>3.160210265200559</c:v>
                </c:pt>
                <c:pt idx="272">
                  <c:v>3.160210265200559</c:v>
                </c:pt>
                <c:pt idx="273">
                  <c:v>3.160210265200559</c:v>
                </c:pt>
                <c:pt idx="274">
                  <c:v>3.160210265200559</c:v>
                </c:pt>
                <c:pt idx="275">
                  <c:v>3.4990149790052709</c:v>
                </c:pt>
                <c:pt idx="276">
                  <c:v>3.4990149790052709</c:v>
                </c:pt>
                <c:pt idx="277">
                  <c:v>3.4990149790052709</c:v>
                </c:pt>
                <c:pt idx="278">
                  <c:v>3.4990149790052709</c:v>
                </c:pt>
                <c:pt idx="279">
                  <c:v>3.4990149790052709</c:v>
                </c:pt>
                <c:pt idx="280">
                  <c:v>3.4990149790052709</c:v>
                </c:pt>
                <c:pt idx="281">
                  <c:v>3.4990149790052709</c:v>
                </c:pt>
                <c:pt idx="282">
                  <c:v>3.4990149790052709</c:v>
                </c:pt>
                <c:pt idx="283">
                  <c:v>3.4990149790052709</c:v>
                </c:pt>
                <c:pt idx="284">
                  <c:v>3.455227349010745</c:v>
                </c:pt>
                <c:pt idx="285">
                  <c:v>3.455227349010745</c:v>
                </c:pt>
                <c:pt idx="286">
                  <c:v>3.455227349010745</c:v>
                </c:pt>
                <c:pt idx="287">
                  <c:v>3.455227349010745</c:v>
                </c:pt>
                <c:pt idx="288">
                  <c:v>3.455227349010745</c:v>
                </c:pt>
                <c:pt idx="289">
                  <c:v>3.455227349010745</c:v>
                </c:pt>
                <c:pt idx="290">
                  <c:v>3.455227349010745</c:v>
                </c:pt>
                <c:pt idx="291">
                  <c:v>3.455227349010745</c:v>
                </c:pt>
                <c:pt idx="292">
                  <c:v>3.455227349010745</c:v>
                </c:pt>
                <c:pt idx="293">
                  <c:v>3.455227349010745</c:v>
                </c:pt>
                <c:pt idx="294">
                  <c:v>3.455227349010745</c:v>
                </c:pt>
                <c:pt idx="295">
                  <c:v>3.455227349010745</c:v>
                </c:pt>
                <c:pt idx="296">
                  <c:v>3.455227349010745</c:v>
                </c:pt>
                <c:pt idx="297">
                  <c:v>3.455227349010745</c:v>
                </c:pt>
                <c:pt idx="298">
                  <c:v>3.455227349010745</c:v>
                </c:pt>
                <c:pt idx="299">
                  <c:v>3.455227349010745</c:v>
                </c:pt>
                <c:pt idx="300">
                  <c:v>3.455227349010745</c:v>
                </c:pt>
                <c:pt idx="301">
                  <c:v>3.455227349010745</c:v>
                </c:pt>
                <c:pt idx="302">
                  <c:v>3.455227349010745</c:v>
                </c:pt>
                <c:pt idx="303">
                  <c:v>4.0287442077388693</c:v>
                </c:pt>
                <c:pt idx="304">
                  <c:v>4.0287442077388693</c:v>
                </c:pt>
                <c:pt idx="305">
                  <c:v>4.0287442077388693</c:v>
                </c:pt>
                <c:pt idx="306">
                  <c:v>4.0287442077388693</c:v>
                </c:pt>
                <c:pt idx="307">
                  <c:v>4.7558066277000384</c:v>
                </c:pt>
                <c:pt idx="308">
                  <c:v>5.1772141287535591</c:v>
                </c:pt>
                <c:pt idx="309">
                  <c:v>5.1772141287535591</c:v>
                </c:pt>
                <c:pt idx="310">
                  <c:v>5.1772141287535591</c:v>
                </c:pt>
                <c:pt idx="311">
                  <c:v>5.1772141287535591</c:v>
                </c:pt>
                <c:pt idx="312">
                  <c:v>5.1772141287535591</c:v>
                </c:pt>
                <c:pt idx="313">
                  <c:v>5.1772141287535591</c:v>
                </c:pt>
                <c:pt idx="314">
                  <c:v>5.1772141287535591</c:v>
                </c:pt>
                <c:pt idx="315">
                  <c:v>5.1772141287535591</c:v>
                </c:pt>
                <c:pt idx="316">
                  <c:v>5.1772141287535591</c:v>
                </c:pt>
                <c:pt idx="317">
                  <c:v>5.1772141287535591</c:v>
                </c:pt>
                <c:pt idx="318">
                  <c:v>5.1772141287535591</c:v>
                </c:pt>
                <c:pt idx="319">
                  <c:v>5.1772141287535591</c:v>
                </c:pt>
                <c:pt idx="320">
                  <c:v>5.1772141287535591</c:v>
                </c:pt>
                <c:pt idx="321">
                  <c:v>5.1772141287535591</c:v>
                </c:pt>
                <c:pt idx="322">
                  <c:v>5.1772141287535591</c:v>
                </c:pt>
                <c:pt idx="323">
                  <c:v>5.1772141287535591</c:v>
                </c:pt>
                <c:pt idx="324">
                  <c:v>5.1772141287535591</c:v>
                </c:pt>
                <c:pt idx="325">
                  <c:v>5.1772141287535591</c:v>
                </c:pt>
                <c:pt idx="326">
                  <c:v>5.1772141287535591</c:v>
                </c:pt>
                <c:pt idx="327">
                  <c:v>5.1772141287535591</c:v>
                </c:pt>
                <c:pt idx="328">
                  <c:v>5.1772141287535591</c:v>
                </c:pt>
                <c:pt idx="329">
                  <c:v>5.1772141287535591</c:v>
                </c:pt>
                <c:pt idx="330">
                  <c:v>5.1772141287535591</c:v>
                </c:pt>
                <c:pt idx="331">
                  <c:v>5.1772141287535591</c:v>
                </c:pt>
                <c:pt idx="332">
                  <c:v>5.1772141287535591</c:v>
                </c:pt>
                <c:pt idx="333">
                  <c:v>5.1772141287535591</c:v>
                </c:pt>
                <c:pt idx="334">
                  <c:v>5.1772141287535591</c:v>
                </c:pt>
                <c:pt idx="335">
                  <c:v>5.1772141287535591</c:v>
                </c:pt>
                <c:pt idx="336">
                  <c:v>5.1772141287535591</c:v>
                </c:pt>
                <c:pt idx="337">
                  <c:v>5.1772141287535591</c:v>
                </c:pt>
                <c:pt idx="338">
                  <c:v>5.1772141287535591</c:v>
                </c:pt>
                <c:pt idx="339">
                  <c:v>5.1772141287535591</c:v>
                </c:pt>
                <c:pt idx="340">
                  <c:v>5.1772141287535591</c:v>
                </c:pt>
                <c:pt idx="341">
                  <c:v>5.1772141287535591</c:v>
                </c:pt>
                <c:pt idx="342">
                  <c:v>5.1772141287535591</c:v>
                </c:pt>
                <c:pt idx="343">
                  <c:v>5.1772141287535591</c:v>
                </c:pt>
                <c:pt idx="344">
                  <c:v>4.2644911143566446</c:v>
                </c:pt>
                <c:pt idx="345">
                  <c:v>4.2644911143566446</c:v>
                </c:pt>
                <c:pt idx="346">
                  <c:v>4.2644911143566446</c:v>
                </c:pt>
                <c:pt idx="347">
                  <c:v>4.2644911143566446</c:v>
                </c:pt>
                <c:pt idx="348">
                  <c:v>4.2644911143566446</c:v>
                </c:pt>
                <c:pt idx="349">
                  <c:v>4.2644911143566446</c:v>
                </c:pt>
                <c:pt idx="350">
                  <c:v>4.2644911143566446</c:v>
                </c:pt>
                <c:pt idx="351">
                  <c:v>4.2644911143566446</c:v>
                </c:pt>
                <c:pt idx="352">
                  <c:v>4.2644911143566446</c:v>
                </c:pt>
                <c:pt idx="353">
                  <c:v>4.2644911143566446</c:v>
                </c:pt>
                <c:pt idx="354">
                  <c:v>4.2644911143566446</c:v>
                </c:pt>
                <c:pt idx="355">
                  <c:v>4.2644911143566446</c:v>
                </c:pt>
                <c:pt idx="356">
                  <c:v>4.2644911143566446</c:v>
                </c:pt>
                <c:pt idx="357">
                  <c:v>4.2644911143566446</c:v>
                </c:pt>
                <c:pt idx="358">
                  <c:v>4.2644911143566446</c:v>
                </c:pt>
                <c:pt idx="359">
                  <c:v>4.2644911143566446</c:v>
                </c:pt>
                <c:pt idx="360">
                  <c:v>4.2644911143566446</c:v>
                </c:pt>
                <c:pt idx="361">
                  <c:v>4.2644911143566446</c:v>
                </c:pt>
                <c:pt idx="362">
                  <c:v>4.2644911143566446</c:v>
                </c:pt>
                <c:pt idx="363">
                  <c:v>4.2644911143566446</c:v>
                </c:pt>
                <c:pt idx="364">
                  <c:v>4.2644911143566446</c:v>
                </c:pt>
                <c:pt idx="365">
                  <c:v>4.2644911143566446</c:v>
                </c:pt>
                <c:pt idx="366">
                  <c:v>4.2644911143566446</c:v>
                </c:pt>
                <c:pt idx="367">
                  <c:v>4.2644911143566446</c:v>
                </c:pt>
                <c:pt idx="368">
                  <c:v>4.2644911143566446</c:v>
                </c:pt>
                <c:pt idx="369">
                  <c:v>4.2644911143566446</c:v>
                </c:pt>
                <c:pt idx="370">
                  <c:v>4.2644911143566446</c:v>
                </c:pt>
                <c:pt idx="371">
                  <c:v>4.2644911143566446</c:v>
                </c:pt>
                <c:pt idx="372">
                  <c:v>4.2644911143566446</c:v>
                </c:pt>
                <c:pt idx="373">
                  <c:v>4.2644911143566446</c:v>
                </c:pt>
                <c:pt idx="374">
                  <c:v>4.2644911143566446</c:v>
                </c:pt>
                <c:pt idx="375">
                  <c:v>4.2644911143566446</c:v>
                </c:pt>
                <c:pt idx="376">
                  <c:v>4.2644911143566446</c:v>
                </c:pt>
                <c:pt idx="377">
                  <c:v>4.2644911143566446</c:v>
                </c:pt>
                <c:pt idx="378">
                  <c:v>4.2644911143566446</c:v>
                </c:pt>
                <c:pt idx="379">
                  <c:v>4.2644911143566446</c:v>
                </c:pt>
                <c:pt idx="380">
                  <c:v>4.2644911143566446</c:v>
                </c:pt>
                <c:pt idx="381">
                  <c:v>4.2644911143566446</c:v>
                </c:pt>
                <c:pt idx="382">
                  <c:v>4.2644911143566446</c:v>
                </c:pt>
                <c:pt idx="383">
                  <c:v>4.2644911143566446</c:v>
                </c:pt>
                <c:pt idx="384">
                  <c:v>4.2644911143566446</c:v>
                </c:pt>
                <c:pt idx="385">
                  <c:v>4.2644911143566446</c:v>
                </c:pt>
                <c:pt idx="386">
                  <c:v>4.2644911143566446</c:v>
                </c:pt>
                <c:pt idx="387">
                  <c:v>4.2644911143566446</c:v>
                </c:pt>
                <c:pt idx="388">
                  <c:v>4.2644911143566446</c:v>
                </c:pt>
                <c:pt idx="389">
                  <c:v>4.2644911143566446</c:v>
                </c:pt>
                <c:pt idx="390">
                  <c:v>4.2644911143566446</c:v>
                </c:pt>
                <c:pt idx="391">
                  <c:v>4.2644911143566446</c:v>
                </c:pt>
                <c:pt idx="392">
                  <c:v>4.2644911143566446</c:v>
                </c:pt>
                <c:pt idx="393">
                  <c:v>4.2644911143566446</c:v>
                </c:pt>
                <c:pt idx="394">
                  <c:v>4.2644911143566446</c:v>
                </c:pt>
                <c:pt idx="395">
                  <c:v>4.2644911143566446</c:v>
                </c:pt>
                <c:pt idx="396">
                  <c:v>4.2644911143566446</c:v>
                </c:pt>
                <c:pt idx="397">
                  <c:v>4.2644911143566446</c:v>
                </c:pt>
                <c:pt idx="398">
                  <c:v>4.2644911143566446</c:v>
                </c:pt>
                <c:pt idx="399">
                  <c:v>4.2644911143566446</c:v>
                </c:pt>
                <c:pt idx="400">
                  <c:v>4.2644911143566446</c:v>
                </c:pt>
                <c:pt idx="401">
                  <c:v>4.2644911143566446</c:v>
                </c:pt>
                <c:pt idx="402">
                  <c:v>4.2644911143566446</c:v>
                </c:pt>
                <c:pt idx="403">
                  <c:v>4.2644911143566446</c:v>
                </c:pt>
                <c:pt idx="404">
                  <c:v>4.2644911143566446</c:v>
                </c:pt>
                <c:pt idx="405">
                  <c:v>4.2644911143566446</c:v>
                </c:pt>
                <c:pt idx="406">
                  <c:v>4.2644911143566446</c:v>
                </c:pt>
                <c:pt idx="407">
                  <c:v>4.2644911143566446</c:v>
                </c:pt>
                <c:pt idx="408">
                  <c:v>4.2644911143566446</c:v>
                </c:pt>
                <c:pt idx="409">
                  <c:v>4.2644911143566446</c:v>
                </c:pt>
                <c:pt idx="410">
                  <c:v>4.2644911143566446</c:v>
                </c:pt>
                <c:pt idx="411">
                  <c:v>4.2644911143566446</c:v>
                </c:pt>
                <c:pt idx="412">
                  <c:v>4.2644911143566446</c:v>
                </c:pt>
                <c:pt idx="413">
                  <c:v>4.2644911143566446</c:v>
                </c:pt>
                <c:pt idx="414">
                  <c:v>4.2644911143566446</c:v>
                </c:pt>
                <c:pt idx="415">
                  <c:v>4.2644911143566446</c:v>
                </c:pt>
                <c:pt idx="416">
                  <c:v>4.2644911143566446</c:v>
                </c:pt>
                <c:pt idx="417">
                  <c:v>4.2644911143566446</c:v>
                </c:pt>
                <c:pt idx="418">
                  <c:v>4.2644911143566446</c:v>
                </c:pt>
              </c:numCache>
            </c:numRef>
          </c:val>
          <c:smooth val="0"/>
          <c:extLst>
            <c:ext xmlns:c16="http://schemas.microsoft.com/office/drawing/2014/chart" uri="{C3380CC4-5D6E-409C-BE32-E72D297353CC}">
              <c16:uniqueId val="{00000010-CFC7-4AE2-BBA7-ADFD494951EC}"/>
            </c:ext>
          </c:extLst>
        </c:ser>
        <c:ser>
          <c:idx val="10"/>
          <c:order val="10"/>
          <c:tx>
            <c:v>IGV</c:v>
          </c:tx>
          <c:spPr>
            <a:ln w="19050" cap="rnd">
              <a:solidFill>
                <a:srgbClr val="FF66CC"/>
              </a:solidFill>
              <a:prstDash val="sysDash"/>
              <a:round/>
            </a:ln>
            <a:effectLst/>
          </c:spPr>
          <c:marker>
            <c:symbol val="none"/>
          </c:marker>
          <c:val>
            <c:numRef>
              <c:f>'2025-Q2'!$CV$4:$CV$422</c:f>
              <c:numCache>
                <c:formatCode>0.00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2.420242024202421</c:v>
                </c:pt>
                <c:pt idx="153">
                  <c:v>2.420242024202421</c:v>
                </c:pt>
                <c:pt idx="154">
                  <c:v>2.420242024202421</c:v>
                </c:pt>
                <c:pt idx="155">
                  <c:v>2.420242024202421</c:v>
                </c:pt>
                <c:pt idx="156">
                  <c:v>2.420242024202421</c:v>
                </c:pt>
                <c:pt idx="157">
                  <c:v>2.9781220799904249</c:v>
                </c:pt>
                <c:pt idx="158">
                  <c:v>2.9781220799904249</c:v>
                </c:pt>
                <c:pt idx="159">
                  <c:v>0.72406428109889664</c:v>
                </c:pt>
                <c:pt idx="160">
                  <c:v>0.72406428109889664</c:v>
                </c:pt>
                <c:pt idx="161">
                  <c:v>0.72406428109889664</c:v>
                </c:pt>
                <c:pt idx="162">
                  <c:v>0.72406428109889664</c:v>
                </c:pt>
                <c:pt idx="163">
                  <c:v>0.72406428109889664</c:v>
                </c:pt>
                <c:pt idx="164">
                  <c:v>0.72406428109889664</c:v>
                </c:pt>
                <c:pt idx="165">
                  <c:v>0.72406428109889664</c:v>
                </c:pt>
                <c:pt idx="166">
                  <c:v>0.72406428109889664</c:v>
                </c:pt>
                <c:pt idx="167">
                  <c:v>0.72406428109889664</c:v>
                </c:pt>
                <c:pt idx="168">
                  <c:v>0.72406428109889664</c:v>
                </c:pt>
                <c:pt idx="169">
                  <c:v>0.72406428109889664</c:v>
                </c:pt>
                <c:pt idx="170">
                  <c:v>0.72406428109889664</c:v>
                </c:pt>
                <c:pt idx="171">
                  <c:v>0.72406428109889664</c:v>
                </c:pt>
                <c:pt idx="172">
                  <c:v>0.72406428109889664</c:v>
                </c:pt>
                <c:pt idx="173">
                  <c:v>0.72406428109889664</c:v>
                </c:pt>
                <c:pt idx="174">
                  <c:v>0.72406428109889664</c:v>
                </c:pt>
                <c:pt idx="175">
                  <c:v>0.72406428109889664</c:v>
                </c:pt>
                <c:pt idx="176">
                  <c:v>0.72406428109889664</c:v>
                </c:pt>
                <c:pt idx="177">
                  <c:v>0.72406428109889664</c:v>
                </c:pt>
                <c:pt idx="178">
                  <c:v>0.72406428109889664</c:v>
                </c:pt>
                <c:pt idx="179">
                  <c:v>0.72406428109889664</c:v>
                </c:pt>
                <c:pt idx="180">
                  <c:v>0.72406428109889664</c:v>
                </c:pt>
                <c:pt idx="181">
                  <c:v>0.72406428109889664</c:v>
                </c:pt>
                <c:pt idx="182">
                  <c:v>0.72406428109889664</c:v>
                </c:pt>
                <c:pt idx="183">
                  <c:v>1.2870764770077838</c:v>
                </c:pt>
                <c:pt idx="184">
                  <c:v>1.2870764770077838</c:v>
                </c:pt>
                <c:pt idx="185">
                  <c:v>1.2870764770077838</c:v>
                </c:pt>
                <c:pt idx="186">
                  <c:v>1.1917965004613165</c:v>
                </c:pt>
                <c:pt idx="187">
                  <c:v>1.1917965004613165</c:v>
                </c:pt>
                <c:pt idx="188">
                  <c:v>1.1917965004613165</c:v>
                </c:pt>
                <c:pt idx="189">
                  <c:v>1.1917965004613165</c:v>
                </c:pt>
                <c:pt idx="190">
                  <c:v>1.1917965004613165</c:v>
                </c:pt>
                <c:pt idx="191">
                  <c:v>1.1917965004613165</c:v>
                </c:pt>
                <c:pt idx="192">
                  <c:v>1.1917965004613165</c:v>
                </c:pt>
                <c:pt idx="193">
                  <c:v>3.1657570212509012</c:v>
                </c:pt>
                <c:pt idx="194">
                  <c:v>3.1657570212509012</c:v>
                </c:pt>
                <c:pt idx="195">
                  <c:v>3.1657570212509012</c:v>
                </c:pt>
                <c:pt idx="196">
                  <c:v>3.1657570212509012</c:v>
                </c:pt>
                <c:pt idx="197">
                  <c:v>3.1657570212509012</c:v>
                </c:pt>
                <c:pt idx="198">
                  <c:v>3.1657570212509012</c:v>
                </c:pt>
                <c:pt idx="199">
                  <c:v>3.1657570212509012</c:v>
                </c:pt>
                <c:pt idx="200">
                  <c:v>3.1657570212509012</c:v>
                </c:pt>
                <c:pt idx="201">
                  <c:v>3.1657570212509012</c:v>
                </c:pt>
                <c:pt idx="202">
                  <c:v>3.1657570212509012</c:v>
                </c:pt>
                <c:pt idx="203">
                  <c:v>3.1657570212509012</c:v>
                </c:pt>
                <c:pt idx="204">
                  <c:v>3.1657570212509012</c:v>
                </c:pt>
                <c:pt idx="205">
                  <c:v>3.1657570212509012</c:v>
                </c:pt>
                <c:pt idx="206">
                  <c:v>3.1657570212509012</c:v>
                </c:pt>
                <c:pt idx="207">
                  <c:v>3.1657570212509012</c:v>
                </c:pt>
                <c:pt idx="208">
                  <c:v>3.1657570212509012</c:v>
                </c:pt>
                <c:pt idx="209">
                  <c:v>3.1657570212509012</c:v>
                </c:pt>
                <c:pt idx="210">
                  <c:v>3.1657570212509012</c:v>
                </c:pt>
                <c:pt idx="211">
                  <c:v>3.1657570212509012</c:v>
                </c:pt>
                <c:pt idx="212">
                  <c:v>3.1657570212509012</c:v>
                </c:pt>
                <c:pt idx="213">
                  <c:v>3.1657570212509012</c:v>
                </c:pt>
                <c:pt idx="214">
                  <c:v>3.1657570212509012</c:v>
                </c:pt>
                <c:pt idx="215">
                  <c:v>3.1657570212509012</c:v>
                </c:pt>
                <c:pt idx="216">
                  <c:v>3.1657570212509012</c:v>
                </c:pt>
                <c:pt idx="217">
                  <c:v>3.1657570212509012</c:v>
                </c:pt>
                <c:pt idx="218">
                  <c:v>3.1657570212509012</c:v>
                </c:pt>
                <c:pt idx="219">
                  <c:v>3.1657570212509012</c:v>
                </c:pt>
                <c:pt idx="220">
                  <c:v>3.1657570212509012</c:v>
                </c:pt>
                <c:pt idx="221">
                  <c:v>3.1657570212509012</c:v>
                </c:pt>
                <c:pt idx="222">
                  <c:v>3.1657570212509012</c:v>
                </c:pt>
                <c:pt idx="223">
                  <c:v>3.1657570212509012</c:v>
                </c:pt>
                <c:pt idx="224">
                  <c:v>3.1657570212509012</c:v>
                </c:pt>
                <c:pt idx="225">
                  <c:v>2.7583847700248301</c:v>
                </c:pt>
                <c:pt idx="226">
                  <c:v>0.98745594186458874</c:v>
                </c:pt>
                <c:pt idx="227">
                  <c:v>0.98745594186458874</c:v>
                </c:pt>
                <c:pt idx="228">
                  <c:v>0.98745594186458874</c:v>
                </c:pt>
                <c:pt idx="229">
                  <c:v>0.98745594186458874</c:v>
                </c:pt>
                <c:pt idx="230">
                  <c:v>1.7094302133269181</c:v>
                </c:pt>
                <c:pt idx="231">
                  <c:v>1.7094302133269181</c:v>
                </c:pt>
                <c:pt idx="232">
                  <c:v>1.7094302133269181</c:v>
                </c:pt>
                <c:pt idx="233">
                  <c:v>1.7094302133269181</c:v>
                </c:pt>
                <c:pt idx="234">
                  <c:v>1.7094302133269181</c:v>
                </c:pt>
                <c:pt idx="235">
                  <c:v>1.7094302133269181</c:v>
                </c:pt>
                <c:pt idx="236">
                  <c:v>1.7094302133269181</c:v>
                </c:pt>
                <c:pt idx="237">
                  <c:v>1.7094302133269181</c:v>
                </c:pt>
                <c:pt idx="238">
                  <c:v>1.7094302133269181</c:v>
                </c:pt>
                <c:pt idx="239">
                  <c:v>1.7094302133269181</c:v>
                </c:pt>
                <c:pt idx="240">
                  <c:v>1.7094302133269181</c:v>
                </c:pt>
                <c:pt idx="241">
                  <c:v>1.7094302133269181</c:v>
                </c:pt>
                <c:pt idx="242">
                  <c:v>1.7094302133269181</c:v>
                </c:pt>
                <c:pt idx="243">
                  <c:v>1.7094302133269181</c:v>
                </c:pt>
                <c:pt idx="244">
                  <c:v>1.7094302133269181</c:v>
                </c:pt>
                <c:pt idx="245">
                  <c:v>1.7094302133269181</c:v>
                </c:pt>
                <c:pt idx="246">
                  <c:v>1.7094302133269181</c:v>
                </c:pt>
                <c:pt idx="247">
                  <c:v>1.7094302133269181</c:v>
                </c:pt>
                <c:pt idx="248">
                  <c:v>1.7094302133269181</c:v>
                </c:pt>
                <c:pt idx="249">
                  <c:v>1.7094302133269181</c:v>
                </c:pt>
                <c:pt idx="250">
                  <c:v>1.7094302133269181</c:v>
                </c:pt>
                <c:pt idx="251">
                  <c:v>1.7094302133269181</c:v>
                </c:pt>
                <c:pt idx="252">
                  <c:v>1.7094302133269181</c:v>
                </c:pt>
                <c:pt idx="253">
                  <c:v>1.7094302133269181</c:v>
                </c:pt>
                <c:pt idx="254">
                  <c:v>1.7094302133269181</c:v>
                </c:pt>
                <c:pt idx="255">
                  <c:v>1.7094302133269181</c:v>
                </c:pt>
                <c:pt idx="256">
                  <c:v>1.7094302133269181</c:v>
                </c:pt>
                <c:pt idx="257">
                  <c:v>0.22010862220359617</c:v>
                </c:pt>
                <c:pt idx="258">
                  <c:v>0.22010862220359617</c:v>
                </c:pt>
                <c:pt idx="259">
                  <c:v>0.22010862220359617</c:v>
                </c:pt>
                <c:pt idx="260">
                  <c:v>0.22010862220359617</c:v>
                </c:pt>
                <c:pt idx="261">
                  <c:v>0.22010862220359617</c:v>
                </c:pt>
                <c:pt idx="262">
                  <c:v>0.22010862220359617</c:v>
                </c:pt>
                <c:pt idx="263">
                  <c:v>0.22010862220359617</c:v>
                </c:pt>
                <c:pt idx="264">
                  <c:v>0.22010862220359617</c:v>
                </c:pt>
                <c:pt idx="265">
                  <c:v>0.22010862220359617</c:v>
                </c:pt>
                <c:pt idx="266">
                  <c:v>0.22010862220359617</c:v>
                </c:pt>
                <c:pt idx="267">
                  <c:v>0.22010862220359617</c:v>
                </c:pt>
                <c:pt idx="268">
                  <c:v>0.22010862220359617</c:v>
                </c:pt>
                <c:pt idx="269">
                  <c:v>0.22010862220359617</c:v>
                </c:pt>
                <c:pt idx="270">
                  <c:v>0.22010862220359617</c:v>
                </c:pt>
                <c:pt idx="271">
                  <c:v>0.22010862220359617</c:v>
                </c:pt>
                <c:pt idx="272">
                  <c:v>0.38251795679836054</c:v>
                </c:pt>
                <c:pt idx="273">
                  <c:v>0.38251795679836054</c:v>
                </c:pt>
                <c:pt idx="274">
                  <c:v>-0.22172871137421679</c:v>
                </c:pt>
                <c:pt idx="275">
                  <c:v>-0.22172871137421679</c:v>
                </c:pt>
                <c:pt idx="276">
                  <c:v>-0.22172871137421679</c:v>
                </c:pt>
                <c:pt idx="277">
                  <c:v>0.15196094826082956</c:v>
                </c:pt>
                <c:pt idx="278">
                  <c:v>0.48710112428227853</c:v>
                </c:pt>
                <c:pt idx="279">
                  <c:v>0.48710112428227853</c:v>
                </c:pt>
                <c:pt idx="280">
                  <c:v>0.48710112428227853</c:v>
                </c:pt>
                <c:pt idx="281">
                  <c:v>0.48710112428227853</c:v>
                </c:pt>
                <c:pt idx="282">
                  <c:v>0.48710112428227853</c:v>
                </c:pt>
                <c:pt idx="283">
                  <c:v>-0.83673853816497745</c:v>
                </c:pt>
                <c:pt idx="284">
                  <c:v>-0.83673853816497745</c:v>
                </c:pt>
                <c:pt idx="285">
                  <c:v>-1.6597038051426876</c:v>
                </c:pt>
                <c:pt idx="286">
                  <c:v>-1.6597038051426876</c:v>
                </c:pt>
                <c:pt idx="287">
                  <c:v>-1.6597038051426876</c:v>
                </c:pt>
                <c:pt idx="288">
                  <c:v>-1.6597038051426876</c:v>
                </c:pt>
                <c:pt idx="289">
                  <c:v>-1.6597038051426876</c:v>
                </c:pt>
                <c:pt idx="290">
                  <c:v>-1.6597038051426876</c:v>
                </c:pt>
                <c:pt idx="291">
                  <c:v>-1.6597038051426876</c:v>
                </c:pt>
                <c:pt idx="292">
                  <c:v>-1.6597038051426876</c:v>
                </c:pt>
                <c:pt idx="293">
                  <c:v>-1.6597038051426876</c:v>
                </c:pt>
                <c:pt idx="294">
                  <c:v>-1.6597038051426876</c:v>
                </c:pt>
                <c:pt idx="295">
                  <c:v>-1.6597038051426876</c:v>
                </c:pt>
                <c:pt idx="296">
                  <c:v>-1.6597038051426876</c:v>
                </c:pt>
                <c:pt idx="297">
                  <c:v>-1.6597038051426876</c:v>
                </c:pt>
                <c:pt idx="298">
                  <c:v>-1.6597038051426876</c:v>
                </c:pt>
                <c:pt idx="299">
                  <c:v>-1.6597038051426876</c:v>
                </c:pt>
                <c:pt idx="300">
                  <c:v>-1.6597038051426876</c:v>
                </c:pt>
                <c:pt idx="301">
                  <c:v>-1.6597038051426876</c:v>
                </c:pt>
                <c:pt idx="302">
                  <c:v>-1.6597038051426876</c:v>
                </c:pt>
                <c:pt idx="303">
                  <c:v>-1.6597038051426876</c:v>
                </c:pt>
                <c:pt idx="304">
                  <c:v>-3.0839916612146538</c:v>
                </c:pt>
                <c:pt idx="305">
                  <c:v>-3.0839916612146538</c:v>
                </c:pt>
                <c:pt idx="306">
                  <c:v>-0.85744889885168352</c:v>
                </c:pt>
                <c:pt idx="307">
                  <c:v>-0.85744889885168352</c:v>
                </c:pt>
                <c:pt idx="308">
                  <c:v>-0.85744889885168352</c:v>
                </c:pt>
                <c:pt idx="309">
                  <c:v>-0.85744889885168352</c:v>
                </c:pt>
                <c:pt idx="310">
                  <c:v>-0.85744889885168352</c:v>
                </c:pt>
                <c:pt idx="311">
                  <c:v>-0.85744889885168352</c:v>
                </c:pt>
                <c:pt idx="312">
                  <c:v>-0.85744889885168352</c:v>
                </c:pt>
                <c:pt idx="313">
                  <c:v>-0.85744889885168352</c:v>
                </c:pt>
                <c:pt idx="314">
                  <c:v>-0.85744889885168352</c:v>
                </c:pt>
                <c:pt idx="315">
                  <c:v>-0.85744889885168352</c:v>
                </c:pt>
                <c:pt idx="316">
                  <c:v>-0.85744889885168352</c:v>
                </c:pt>
                <c:pt idx="317">
                  <c:v>-0.85744889885168352</c:v>
                </c:pt>
                <c:pt idx="318">
                  <c:v>-0.85744889885168352</c:v>
                </c:pt>
                <c:pt idx="319">
                  <c:v>-0.85744889885168352</c:v>
                </c:pt>
                <c:pt idx="320">
                  <c:v>-0.85744889885168352</c:v>
                </c:pt>
                <c:pt idx="321">
                  <c:v>-0.53186228158436855</c:v>
                </c:pt>
                <c:pt idx="322">
                  <c:v>-0.53186228158436855</c:v>
                </c:pt>
                <c:pt idx="323">
                  <c:v>-0.53186228158436855</c:v>
                </c:pt>
                <c:pt idx="324">
                  <c:v>-0.53186228158436855</c:v>
                </c:pt>
                <c:pt idx="325">
                  <c:v>-0.53186228158436855</c:v>
                </c:pt>
                <c:pt idx="326">
                  <c:v>-0.53186228158436855</c:v>
                </c:pt>
                <c:pt idx="327">
                  <c:v>-0.53186228158436855</c:v>
                </c:pt>
                <c:pt idx="328">
                  <c:v>-0.53186228158436855</c:v>
                </c:pt>
                <c:pt idx="329">
                  <c:v>-0.53186228158436855</c:v>
                </c:pt>
                <c:pt idx="330">
                  <c:v>-0.53186228158436855</c:v>
                </c:pt>
                <c:pt idx="331">
                  <c:v>-0.19219732973104975</c:v>
                </c:pt>
                <c:pt idx="332">
                  <c:v>-0.19219732973104975</c:v>
                </c:pt>
                <c:pt idx="333">
                  <c:v>-0.19219732973104975</c:v>
                </c:pt>
                <c:pt idx="334">
                  <c:v>-0.19219732973104975</c:v>
                </c:pt>
                <c:pt idx="335">
                  <c:v>-0.19219732973104975</c:v>
                </c:pt>
                <c:pt idx="336">
                  <c:v>-0.19219732973104975</c:v>
                </c:pt>
                <c:pt idx="337">
                  <c:v>-0.19219732973104975</c:v>
                </c:pt>
                <c:pt idx="338">
                  <c:v>0.11195463147522905</c:v>
                </c:pt>
                <c:pt idx="339">
                  <c:v>0.11195463147522905</c:v>
                </c:pt>
                <c:pt idx="340">
                  <c:v>-2.7337824657588752</c:v>
                </c:pt>
                <c:pt idx="341">
                  <c:v>-2.7337824657588752</c:v>
                </c:pt>
                <c:pt idx="342">
                  <c:v>-2.7337824657588752</c:v>
                </c:pt>
                <c:pt idx="343">
                  <c:v>-2.7337824657588752</c:v>
                </c:pt>
                <c:pt idx="344">
                  <c:v>-2.7337824657588752</c:v>
                </c:pt>
                <c:pt idx="345">
                  <c:v>-3.5667730046317665</c:v>
                </c:pt>
                <c:pt idx="346">
                  <c:v>-3.5667730046317665</c:v>
                </c:pt>
                <c:pt idx="347">
                  <c:v>-3.5667730046317665</c:v>
                </c:pt>
                <c:pt idx="348">
                  <c:v>-3.5667730046317665</c:v>
                </c:pt>
                <c:pt idx="349">
                  <c:v>-3.5667730046317665</c:v>
                </c:pt>
                <c:pt idx="350">
                  <c:v>-3.5667730046317665</c:v>
                </c:pt>
                <c:pt idx="351">
                  <c:v>-3.8959736042833208</c:v>
                </c:pt>
                <c:pt idx="352">
                  <c:v>-3.8959736042833208</c:v>
                </c:pt>
                <c:pt idx="353">
                  <c:v>-3.8959736042833208</c:v>
                </c:pt>
                <c:pt idx="354">
                  <c:v>-3.8959736042833208</c:v>
                </c:pt>
                <c:pt idx="355">
                  <c:v>-3.8959736042833208</c:v>
                </c:pt>
                <c:pt idx="356">
                  <c:v>-3.8959736042833208</c:v>
                </c:pt>
                <c:pt idx="357">
                  <c:v>-3.8959736042833208</c:v>
                </c:pt>
                <c:pt idx="358">
                  <c:v>-2.546515839583916</c:v>
                </c:pt>
                <c:pt idx="359">
                  <c:v>-2.546515839583916</c:v>
                </c:pt>
                <c:pt idx="360">
                  <c:v>-4.4133760838837901</c:v>
                </c:pt>
                <c:pt idx="361">
                  <c:v>-4.4133760838837901</c:v>
                </c:pt>
                <c:pt idx="362">
                  <c:v>-2.6062748650178649</c:v>
                </c:pt>
                <c:pt idx="363">
                  <c:v>-4.77758960605372</c:v>
                </c:pt>
                <c:pt idx="364">
                  <c:v>-4.77758960605372</c:v>
                </c:pt>
                <c:pt idx="365">
                  <c:v>-4.77758960605372</c:v>
                </c:pt>
                <c:pt idx="366">
                  <c:v>-4.77758960605372</c:v>
                </c:pt>
                <c:pt idx="367">
                  <c:v>-4.77758960605372</c:v>
                </c:pt>
                <c:pt idx="368">
                  <c:v>-4.77758960605372</c:v>
                </c:pt>
                <c:pt idx="369">
                  <c:v>-4.77758960605372</c:v>
                </c:pt>
                <c:pt idx="370">
                  <c:v>-4.4986495781597169</c:v>
                </c:pt>
                <c:pt idx="371">
                  <c:v>-4.4986495781597169</c:v>
                </c:pt>
                <c:pt idx="372">
                  <c:v>-5.2497756634886068</c:v>
                </c:pt>
                <c:pt idx="373">
                  <c:v>-5.2497756634886068</c:v>
                </c:pt>
                <c:pt idx="374">
                  <c:v>-2.6650667147483809</c:v>
                </c:pt>
                <c:pt idx="375">
                  <c:v>-2.6650667147483809</c:v>
                </c:pt>
                <c:pt idx="376">
                  <c:v>-3.7411155601116985</c:v>
                </c:pt>
                <c:pt idx="377">
                  <c:v>-3.7411155601116985</c:v>
                </c:pt>
                <c:pt idx="378">
                  <c:v>-6.0458096797524385</c:v>
                </c:pt>
                <c:pt idx="379">
                  <c:v>-6.0458096797524385</c:v>
                </c:pt>
                <c:pt idx="380">
                  <c:v>-6.0458096797524385</c:v>
                </c:pt>
                <c:pt idx="381">
                  <c:v>-6.0458096797524385</c:v>
                </c:pt>
                <c:pt idx="382">
                  <c:v>-6.0458096797524385</c:v>
                </c:pt>
                <c:pt idx="383">
                  <c:v>-3.5728575931991173</c:v>
                </c:pt>
                <c:pt idx="384">
                  <c:v>-3.5728575931991173</c:v>
                </c:pt>
                <c:pt idx="385">
                  <c:v>-3.5728575931991173</c:v>
                </c:pt>
                <c:pt idx="386">
                  <c:v>-6.1444827878820112</c:v>
                </c:pt>
                <c:pt idx="387">
                  <c:v>-5.3666032397424219</c:v>
                </c:pt>
                <c:pt idx="388">
                  <c:v>-5.3666032397424219</c:v>
                </c:pt>
                <c:pt idx="389">
                  <c:v>-5.3666032397424219</c:v>
                </c:pt>
                <c:pt idx="390">
                  <c:v>-5.3666032397424219</c:v>
                </c:pt>
                <c:pt idx="391">
                  <c:v>-5.3666032397424219</c:v>
                </c:pt>
                <c:pt idx="392">
                  <c:v>-5.3666032397424219</c:v>
                </c:pt>
                <c:pt idx="393">
                  <c:v>-5.3666032397424219</c:v>
                </c:pt>
                <c:pt idx="394">
                  <c:v>-5.3666032397424219</c:v>
                </c:pt>
                <c:pt idx="395">
                  <c:v>-7.3841470993915443</c:v>
                </c:pt>
                <c:pt idx="396">
                  <c:v>-8.543543667577703</c:v>
                </c:pt>
                <c:pt idx="397">
                  <c:v>-8.543543667577703</c:v>
                </c:pt>
                <c:pt idx="398">
                  <c:v>-8.543543667577703</c:v>
                </c:pt>
                <c:pt idx="399">
                  <c:v>-8.543543667577703</c:v>
                </c:pt>
                <c:pt idx="400">
                  <c:v>-8.543543667577703</c:v>
                </c:pt>
                <c:pt idx="401">
                  <c:v>-8.543543667577703</c:v>
                </c:pt>
                <c:pt idx="402">
                  <c:v>-11.435542232342684</c:v>
                </c:pt>
                <c:pt idx="403">
                  <c:v>-11.435542232342684</c:v>
                </c:pt>
                <c:pt idx="404">
                  <c:v>-11.435542232342684</c:v>
                </c:pt>
                <c:pt idx="405">
                  <c:v>-11.435542232342684</c:v>
                </c:pt>
                <c:pt idx="406">
                  <c:v>-13.679065904437785</c:v>
                </c:pt>
                <c:pt idx="407">
                  <c:v>-13.679065904437785</c:v>
                </c:pt>
                <c:pt idx="408">
                  <c:v>-12.39585163222249</c:v>
                </c:pt>
                <c:pt idx="409">
                  <c:v>-11.542535059025816</c:v>
                </c:pt>
                <c:pt idx="410">
                  <c:v>-11.542535059025816</c:v>
                </c:pt>
                <c:pt idx="411">
                  <c:v>-11.542535059025816</c:v>
                </c:pt>
                <c:pt idx="412">
                  <c:v>-11.542535059025816</c:v>
                </c:pt>
                <c:pt idx="413">
                  <c:v>-11.542535059025816</c:v>
                </c:pt>
                <c:pt idx="414">
                  <c:v>-11.542535059025816</c:v>
                </c:pt>
                <c:pt idx="415">
                  <c:v>-11.542535059025816</c:v>
                </c:pt>
                <c:pt idx="416">
                  <c:v>-11.542535059025816</c:v>
                </c:pt>
                <c:pt idx="417">
                  <c:v>-11.542535059025816</c:v>
                </c:pt>
                <c:pt idx="418">
                  <c:v>-11.542535059025816</c:v>
                </c:pt>
              </c:numCache>
            </c:numRef>
          </c:val>
          <c:smooth val="0"/>
          <c:extLst>
            <c:ext xmlns:c16="http://schemas.microsoft.com/office/drawing/2014/chart" uri="{C3380CC4-5D6E-409C-BE32-E72D297353CC}">
              <c16:uniqueId val="{00000000-AED3-4735-AD9A-0A7A8F944D01}"/>
            </c:ext>
          </c:extLst>
        </c:ser>
        <c:dLbls>
          <c:showLegendKey val="0"/>
          <c:showVal val="0"/>
          <c:showCatName val="0"/>
          <c:showSerName val="0"/>
          <c:showPercent val="0"/>
          <c:showBubbleSize val="0"/>
        </c:dLbls>
        <c:smooth val="0"/>
        <c:axId val="147683023"/>
        <c:axId val="146645279"/>
      </c:lineChart>
      <c:catAx>
        <c:axId val="147683023"/>
        <c:scaling>
          <c:orientation val="minMax"/>
        </c:scaling>
        <c:delete val="0"/>
        <c:axPos val="b"/>
        <c:majorGridlines>
          <c:spPr>
            <a:ln w="9525" cap="flat" cmpd="sng" algn="ctr">
              <a:noFill/>
              <a:prstDash val="dash"/>
              <a:round/>
            </a:ln>
            <a:effectLst/>
          </c:spPr>
        </c:majorGridlines>
        <c:majorTickMark val="none"/>
        <c:minorTickMark val="none"/>
        <c:tickLblPos val="low"/>
        <c:spPr>
          <a:noFill/>
          <a:ln w="12700" cap="flat" cmpd="sng" algn="ctr">
            <a:solidFill>
              <a:sysClr val="windowText" lastClr="000000"/>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6645279"/>
        <c:crosses val="autoZero"/>
        <c:auto val="1"/>
        <c:lblAlgn val="ctr"/>
        <c:lblOffset val="100"/>
        <c:tickLblSkip val="25"/>
        <c:noMultiLvlLbl val="0"/>
      </c:catAx>
      <c:valAx>
        <c:axId val="146645279"/>
        <c:scaling>
          <c:orientation val="minMax"/>
          <c:max val="25"/>
        </c:scaling>
        <c:delete val="0"/>
        <c:axPos val="r"/>
        <c:majorGridlines>
          <c:spPr>
            <a:ln w="9525" cap="flat" cmpd="sng" algn="ctr">
              <a:solidFill>
                <a:schemeClr val="tx1">
                  <a:lumMod val="85000"/>
                  <a:lumOff val="15000"/>
                </a:schemeClr>
              </a:solidFill>
              <a:prstDash val="dash"/>
              <a:round/>
            </a:ln>
            <a:effectLst/>
          </c:spPr>
        </c:majorGridlines>
        <c:numFmt formatCode="0" sourceLinked="1"/>
        <c:majorTickMark val="none"/>
        <c:minorTickMark val="none"/>
        <c:tickLblPos val="high"/>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7683023"/>
        <c:crosses val="max"/>
        <c:crossBetween val="between"/>
      </c:valAx>
      <c:spPr>
        <a:solidFill>
          <a:schemeClr val="tx1">
            <a:lumMod val="75000"/>
            <a:lumOff val="25000"/>
          </a:schemeClr>
        </a:solidFill>
        <a:ln>
          <a:noFill/>
        </a:ln>
        <a:effectLst/>
      </c:spPr>
    </c:plotArea>
    <c:legend>
      <c:legendPos val="t"/>
      <c:layout>
        <c:manualLayout>
          <c:xMode val="edge"/>
          <c:yMode val="edge"/>
          <c:x val="0.27798872228350097"/>
          <c:y val="1.2316999395039325E-2"/>
          <c:w val="0.67757095896993458"/>
          <c:h val="4.1865004240473007E-2"/>
        </c:manualLayout>
      </c:layout>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legend>
    <c:plotVisOnly val="0"/>
    <c:dispBlanksAs val="span"/>
    <c:showDLblsOverMax val="0"/>
    <c:extLst>
      <c:ext xmlns:c16r3="http://schemas.microsoft.com/office/drawing/2017/03/chart" uri="{56B9EC1D-385E-4148-901F-78D8002777C0}">
        <c16r3:dataDisplayOptions16>
          <c16r3:dispNaAsBlank val="1"/>
        </c16r3:dataDisplayOptions16>
      </c:ext>
    </c:extLst>
  </c:chart>
  <c:spPr>
    <a:gradFill>
      <a:gsLst>
        <a:gs pos="1000">
          <a:schemeClr val="tx1">
            <a:lumMod val="75000"/>
            <a:lumOff val="25000"/>
          </a:schemeClr>
        </a:gs>
        <a:gs pos="100000">
          <a:schemeClr val="tx1">
            <a:lumMod val="50000"/>
            <a:lumOff val="50000"/>
          </a:schemeClr>
        </a:gs>
        <a:gs pos="53000">
          <a:schemeClr val="tx1">
            <a:lumMod val="65000"/>
            <a:lumOff val="35000"/>
          </a:schemeClr>
        </a:gs>
      </a:gsLst>
      <a:lin ang="5400000" scaled="1"/>
    </a:gra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accent3">
                    <a:lumMod val="75000"/>
                  </a:schemeClr>
                </a:solidFill>
                <a:latin typeface="+mn-lt"/>
                <a:ea typeface="+mn-ea"/>
                <a:cs typeface="+mn-cs"/>
              </a:defRPr>
            </a:pPr>
            <a:r>
              <a:rPr lang="en-US" sz="2000" b="1">
                <a:solidFill>
                  <a:schemeClr val="accent3">
                    <a:lumMod val="75000"/>
                  </a:schemeClr>
                </a:solidFill>
              </a:rPr>
              <a:t>The Three Tiers (XLF)</a:t>
            </a:r>
          </a:p>
        </c:rich>
      </c:tx>
      <c:layout>
        <c:manualLayout>
          <c:xMode val="edge"/>
          <c:yMode val="edge"/>
          <c:x val="2.8694404591104734E-2"/>
          <c:y val="2.4198427102238356E-3"/>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accent3">
                  <a:lumMod val="75000"/>
                </a:schemeClr>
              </a:solidFill>
              <a:latin typeface="+mn-lt"/>
              <a:ea typeface="+mn-ea"/>
              <a:cs typeface="+mn-cs"/>
            </a:defRPr>
          </a:pPr>
          <a:endParaRPr lang="en-US"/>
        </a:p>
      </c:txPr>
    </c:title>
    <c:autoTitleDeleted val="0"/>
    <c:plotArea>
      <c:layout>
        <c:manualLayout>
          <c:layoutTarget val="inner"/>
          <c:xMode val="edge"/>
          <c:yMode val="edge"/>
          <c:x val="1.0171058714748035E-2"/>
          <c:y val="7.7350558040499021E-2"/>
          <c:w val="0.95283482768537431"/>
          <c:h val="0.86018548951798435"/>
        </c:manualLayout>
      </c:layout>
      <c:lineChart>
        <c:grouping val="standard"/>
        <c:varyColors val="0"/>
        <c:ser>
          <c:idx val="0"/>
          <c:order val="0"/>
          <c:tx>
            <c:v>Up</c:v>
          </c:tx>
          <c:spPr>
            <a:ln w="28575" cap="rnd">
              <a:solidFill>
                <a:schemeClr val="accent6">
                  <a:lumMod val="75000"/>
                </a:schemeClr>
              </a:solidFill>
              <a:prstDash val="solid"/>
              <a:round/>
            </a:ln>
            <a:effectLst/>
          </c:spPr>
          <c:marker>
            <c:symbol val="none"/>
          </c:marker>
          <c:val>
            <c:numRef>
              <c:f>'2025-Q2'!$DS$4:$DS$422</c:f>
              <c:numCache>
                <c:formatCode>0.00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-0.55950946427675097</c:v>
                </c:pt>
                <c:pt idx="72">
                  <c:v>-0.55950946427675097</c:v>
                </c:pt>
                <c:pt idx="73">
                  <c:v>-0.55950946427675097</c:v>
                </c:pt>
                <c:pt idx="74">
                  <c:v>-0.55950946427675097</c:v>
                </c:pt>
                <c:pt idx="75">
                  <c:v>-0.55950946427675097</c:v>
                </c:pt>
                <c:pt idx="76">
                  <c:v>-0.55950946427675097</c:v>
                </c:pt>
                <c:pt idx="77">
                  <c:v>-0.55950946427675097</c:v>
                </c:pt>
                <c:pt idx="78">
                  <c:v>-0.55950946427675097</c:v>
                </c:pt>
                <c:pt idx="79">
                  <c:v>-0.55950946427675097</c:v>
                </c:pt>
                <c:pt idx="80">
                  <c:v>-0.55950946427675097</c:v>
                </c:pt>
                <c:pt idx="81">
                  <c:v>-0.55950946427675097</c:v>
                </c:pt>
                <c:pt idx="82">
                  <c:v>-0.55950946427675097</c:v>
                </c:pt>
                <c:pt idx="83">
                  <c:v>-0.55950946427675097</c:v>
                </c:pt>
                <c:pt idx="84">
                  <c:v>-0.55950946427675097</c:v>
                </c:pt>
                <c:pt idx="85">
                  <c:v>-0.55950946427675097</c:v>
                </c:pt>
                <c:pt idx="86">
                  <c:v>-0.55950946427675097</c:v>
                </c:pt>
                <c:pt idx="87">
                  <c:v>-0.55950946427675097</c:v>
                </c:pt>
                <c:pt idx="88">
                  <c:v>-0.55950946427675097</c:v>
                </c:pt>
                <c:pt idx="89">
                  <c:v>-0.55950946427675097</c:v>
                </c:pt>
                <c:pt idx="90">
                  <c:v>-0.55950946427675097</c:v>
                </c:pt>
                <c:pt idx="91">
                  <c:v>-0.55950946427675097</c:v>
                </c:pt>
                <c:pt idx="92">
                  <c:v>-0.55950946427675097</c:v>
                </c:pt>
                <c:pt idx="93">
                  <c:v>-0.55950946427675097</c:v>
                </c:pt>
                <c:pt idx="94">
                  <c:v>-0.55950946427675097</c:v>
                </c:pt>
                <c:pt idx="95">
                  <c:v>-0.55950946427675097</c:v>
                </c:pt>
                <c:pt idx="96">
                  <c:v>-0.55950946427675097</c:v>
                </c:pt>
                <c:pt idx="97">
                  <c:v>-0.55950946427675097</c:v>
                </c:pt>
                <c:pt idx="98">
                  <c:v>-0.55950946427675097</c:v>
                </c:pt>
                <c:pt idx="99">
                  <c:v>-0.55950946427675097</c:v>
                </c:pt>
                <c:pt idx="100">
                  <c:v>-0.55950946427675097</c:v>
                </c:pt>
                <c:pt idx="101">
                  <c:v>-0.55950946427675097</c:v>
                </c:pt>
                <c:pt idx="102">
                  <c:v>-0.55950946427675097</c:v>
                </c:pt>
                <c:pt idx="103">
                  <c:v>-0.55950946427675097</c:v>
                </c:pt>
                <c:pt idx="104">
                  <c:v>-0.55950946427675097</c:v>
                </c:pt>
                <c:pt idx="105">
                  <c:v>-0.55950946427675097</c:v>
                </c:pt>
                <c:pt idx="106">
                  <c:v>-0.55950946427675097</c:v>
                </c:pt>
                <c:pt idx="107">
                  <c:v>-0.55950946427675097</c:v>
                </c:pt>
                <c:pt idx="108">
                  <c:v>-0.55950946427675097</c:v>
                </c:pt>
                <c:pt idx="109">
                  <c:v>-0.55950946427675097</c:v>
                </c:pt>
                <c:pt idx="110">
                  <c:v>-0.55950946427675097</c:v>
                </c:pt>
                <c:pt idx="111">
                  <c:v>-0.55950946427675097</c:v>
                </c:pt>
                <c:pt idx="112">
                  <c:v>-0.55950946427675097</c:v>
                </c:pt>
                <c:pt idx="113">
                  <c:v>-0.55950946427675097</c:v>
                </c:pt>
                <c:pt idx="114">
                  <c:v>-0.55950946427675097</c:v>
                </c:pt>
                <c:pt idx="115">
                  <c:v>-0.55950946427675097</c:v>
                </c:pt>
                <c:pt idx="116">
                  <c:v>-0.55950946427675097</c:v>
                </c:pt>
                <c:pt idx="117">
                  <c:v>-0.55950946427675097</c:v>
                </c:pt>
                <c:pt idx="118">
                  <c:v>-0.55950946427675097</c:v>
                </c:pt>
                <c:pt idx="119">
                  <c:v>-0.55950946427675097</c:v>
                </c:pt>
                <c:pt idx="120">
                  <c:v>-0.55950946427675097</c:v>
                </c:pt>
                <c:pt idx="121">
                  <c:v>-0.55950946427675097</c:v>
                </c:pt>
                <c:pt idx="122">
                  <c:v>-0.55950946427675097</c:v>
                </c:pt>
                <c:pt idx="123">
                  <c:v>-0.55950946427675097</c:v>
                </c:pt>
                <c:pt idx="124">
                  <c:v>-0.55950946427675097</c:v>
                </c:pt>
                <c:pt idx="125">
                  <c:v>-0.55950946427675097</c:v>
                </c:pt>
                <c:pt idx="126">
                  <c:v>-0.55950946427675097</c:v>
                </c:pt>
                <c:pt idx="127">
                  <c:v>-0.55950946427675097</c:v>
                </c:pt>
                <c:pt idx="128">
                  <c:v>-0.55950946427675097</c:v>
                </c:pt>
                <c:pt idx="129">
                  <c:v>-0.55950946427675097</c:v>
                </c:pt>
                <c:pt idx="130">
                  <c:v>-0.55950946427675097</c:v>
                </c:pt>
                <c:pt idx="131">
                  <c:v>-0.55950946427675097</c:v>
                </c:pt>
                <c:pt idx="132">
                  <c:v>-0.55950946427675097</c:v>
                </c:pt>
                <c:pt idx="133">
                  <c:v>-0.55950946427675097</c:v>
                </c:pt>
                <c:pt idx="134">
                  <c:v>-0.55950946427675097</c:v>
                </c:pt>
                <c:pt idx="135">
                  <c:v>-0.55950946427675097</c:v>
                </c:pt>
                <c:pt idx="136">
                  <c:v>-0.55950946427675097</c:v>
                </c:pt>
                <c:pt idx="137">
                  <c:v>-0.55950946427675097</c:v>
                </c:pt>
                <c:pt idx="138">
                  <c:v>-0.55950946427675097</c:v>
                </c:pt>
                <c:pt idx="139">
                  <c:v>-0.55950946427675097</c:v>
                </c:pt>
                <c:pt idx="140">
                  <c:v>-0.55950946427675097</c:v>
                </c:pt>
                <c:pt idx="141">
                  <c:v>-0.55950946427675097</c:v>
                </c:pt>
                <c:pt idx="142">
                  <c:v>-0.55950946427675097</c:v>
                </c:pt>
                <c:pt idx="143">
                  <c:v>-0.55950946427675097</c:v>
                </c:pt>
                <c:pt idx="144">
                  <c:v>-0.55950946427675097</c:v>
                </c:pt>
                <c:pt idx="145">
                  <c:v>-0.55950946427675097</c:v>
                </c:pt>
                <c:pt idx="146">
                  <c:v>-0.55950946427675097</c:v>
                </c:pt>
                <c:pt idx="147">
                  <c:v>-0.55950946427675097</c:v>
                </c:pt>
                <c:pt idx="148">
                  <c:v>-0.55950946427675097</c:v>
                </c:pt>
                <c:pt idx="149">
                  <c:v>-0.55950946427675097</c:v>
                </c:pt>
                <c:pt idx="150">
                  <c:v>-0.55950946427675097</c:v>
                </c:pt>
                <c:pt idx="151">
                  <c:v>-0.55950946427675097</c:v>
                </c:pt>
                <c:pt idx="152">
                  <c:v>-0.55950946427675097</c:v>
                </c:pt>
                <c:pt idx="153">
                  <c:v>-0.55950946427675097</c:v>
                </c:pt>
                <c:pt idx="154">
                  <c:v>-0.55950946427675097</c:v>
                </c:pt>
                <c:pt idx="155">
                  <c:v>-0.55950946427675097</c:v>
                </c:pt>
                <c:pt idx="156">
                  <c:v>-0.55950946427675097</c:v>
                </c:pt>
                <c:pt idx="157">
                  <c:v>-0.55950946427675097</c:v>
                </c:pt>
                <c:pt idx="158">
                  <c:v>-0.55950946427675097</c:v>
                </c:pt>
                <c:pt idx="159">
                  <c:v>-0.55950946427675097</c:v>
                </c:pt>
                <c:pt idx="160">
                  <c:v>-0.55950946427675097</c:v>
                </c:pt>
                <c:pt idx="161">
                  <c:v>-0.55950946427675097</c:v>
                </c:pt>
                <c:pt idx="162">
                  <c:v>-0.55950946427675097</c:v>
                </c:pt>
                <c:pt idx="163">
                  <c:v>-0.55950946427675097</c:v>
                </c:pt>
                <c:pt idx="164">
                  <c:v>-0.55950946427675097</c:v>
                </c:pt>
                <c:pt idx="165">
                  <c:v>-0.55950946427675097</c:v>
                </c:pt>
                <c:pt idx="166">
                  <c:v>-0.55950946427675097</c:v>
                </c:pt>
                <c:pt idx="167">
                  <c:v>-0.55950946427675097</c:v>
                </c:pt>
                <c:pt idx="168">
                  <c:v>-0.55950946427675097</c:v>
                </c:pt>
                <c:pt idx="169">
                  <c:v>-0.55950946427675097</c:v>
                </c:pt>
                <c:pt idx="170">
                  <c:v>-0.55950946427675097</c:v>
                </c:pt>
                <c:pt idx="171">
                  <c:v>-0.55950946427675097</c:v>
                </c:pt>
                <c:pt idx="172">
                  <c:v>-0.55950946427675097</c:v>
                </c:pt>
                <c:pt idx="173">
                  <c:v>-0.55950946427675097</c:v>
                </c:pt>
                <c:pt idx="174">
                  <c:v>-0.55950946427675097</c:v>
                </c:pt>
                <c:pt idx="175">
                  <c:v>-0.55950946427675097</c:v>
                </c:pt>
                <c:pt idx="176">
                  <c:v>-0.55950946427675097</c:v>
                </c:pt>
                <c:pt idx="177">
                  <c:v>-0.55950946427675097</c:v>
                </c:pt>
                <c:pt idx="178">
                  <c:v>-0.55950946427675097</c:v>
                </c:pt>
                <c:pt idx="179">
                  <c:v>-0.55950946427675097</c:v>
                </c:pt>
                <c:pt idx="180">
                  <c:v>-0.55950946427675097</c:v>
                </c:pt>
                <c:pt idx="181">
                  <c:v>-0.55950946427675097</c:v>
                </c:pt>
                <c:pt idx="182">
                  <c:v>-0.55950946427675097</c:v>
                </c:pt>
                <c:pt idx="183">
                  <c:v>-0.55950946427675097</c:v>
                </c:pt>
                <c:pt idx="184">
                  <c:v>-0.55950946427675097</c:v>
                </c:pt>
                <c:pt idx="185">
                  <c:v>-0.55950946427675097</c:v>
                </c:pt>
                <c:pt idx="186">
                  <c:v>-0.55950946427675097</c:v>
                </c:pt>
                <c:pt idx="187">
                  <c:v>-0.55950946427675097</c:v>
                </c:pt>
                <c:pt idx="188">
                  <c:v>-0.55950946427675097</c:v>
                </c:pt>
                <c:pt idx="189">
                  <c:v>-0.55950946427675097</c:v>
                </c:pt>
                <c:pt idx="190">
                  <c:v>-0.55950946427675097</c:v>
                </c:pt>
                <c:pt idx="191">
                  <c:v>-0.55950946427675097</c:v>
                </c:pt>
                <c:pt idx="192">
                  <c:v>-0.55950946427675097</c:v>
                </c:pt>
                <c:pt idx="193">
                  <c:v>-0.55950946427675097</c:v>
                </c:pt>
                <c:pt idx="194">
                  <c:v>-0.55950946427675097</c:v>
                </c:pt>
                <c:pt idx="195">
                  <c:v>-0.55950946427675097</c:v>
                </c:pt>
                <c:pt idx="196">
                  <c:v>-0.55950946427675097</c:v>
                </c:pt>
                <c:pt idx="197">
                  <c:v>-0.55950946427675097</c:v>
                </c:pt>
                <c:pt idx="198">
                  <c:v>-0.55950946427675097</c:v>
                </c:pt>
                <c:pt idx="199">
                  <c:v>-0.55950946427675097</c:v>
                </c:pt>
                <c:pt idx="200">
                  <c:v>-0.55950946427675097</c:v>
                </c:pt>
                <c:pt idx="201">
                  <c:v>-0.55950946427675097</c:v>
                </c:pt>
                <c:pt idx="202">
                  <c:v>-0.55950946427675097</c:v>
                </c:pt>
                <c:pt idx="203">
                  <c:v>-0.55950946427675097</c:v>
                </c:pt>
                <c:pt idx="204">
                  <c:v>-0.55950946427675097</c:v>
                </c:pt>
                <c:pt idx="205">
                  <c:v>-0.55950946427675097</c:v>
                </c:pt>
                <c:pt idx="206">
                  <c:v>-0.55950946427675097</c:v>
                </c:pt>
                <c:pt idx="207">
                  <c:v>-0.55950946427675097</c:v>
                </c:pt>
                <c:pt idx="208">
                  <c:v>-0.55950946427675097</c:v>
                </c:pt>
                <c:pt idx="209">
                  <c:v>-0.55950946427675097</c:v>
                </c:pt>
                <c:pt idx="210">
                  <c:v>-0.55950946427675097</c:v>
                </c:pt>
                <c:pt idx="211">
                  <c:v>-0.55950946427675097</c:v>
                </c:pt>
                <c:pt idx="212">
                  <c:v>-0.55950946427675097</c:v>
                </c:pt>
                <c:pt idx="213">
                  <c:v>-0.55950946427675097</c:v>
                </c:pt>
                <c:pt idx="214">
                  <c:v>-0.55950946427675097</c:v>
                </c:pt>
                <c:pt idx="215">
                  <c:v>-0.55950946427675097</c:v>
                </c:pt>
                <c:pt idx="216">
                  <c:v>-0.55950946427675097</c:v>
                </c:pt>
                <c:pt idx="217">
                  <c:v>-0.55950946427675097</c:v>
                </c:pt>
                <c:pt idx="218">
                  <c:v>-0.55950946427675097</c:v>
                </c:pt>
                <c:pt idx="219">
                  <c:v>-0.55950946427675097</c:v>
                </c:pt>
                <c:pt idx="220">
                  <c:v>-0.55950946427675097</c:v>
                </c:pt>
                <c:pt idx="221">
                  <c:v>-0.55950946427675097</c:v>
                </c:pt>
                <c:pt idx="222">
                  <c:v>-0.55950946427675097</c:v>
                </c:pt>
                <c:pt idx="223">
                  <c:v>-0.55950946427675097</c:v>
                </c:pt>
                <c:pt idx="224">
                  <c:v>-0.55950946427675097</c:v>
                </c:pt>
                <c:pt idx="225">
                  <c:v>-0.55950946427675097</c:v>
                </c:pt>
                <c:pt idx="226">
                  <c:v>-0.55950946427675097</c:v>
                </c:pt>
                <c:pt idx="227">
                  <c:v>-0.55950946427675097</c:v>
                </c:pt>
                <c:pt idx="228">
                  <c:v>-0.55950946427675097</c:v>
                </c:pt>
                <c:pt idx="229">
                  <c:v>-0.55950946427675097</c:v>
                </c:pt>
                <c:pt idx="230">
                  <c:v>-0.55950946427675097</c:v>
                </c:pt>
                <c:pt idx="231">
                  <c:v>-0.55950946427675097</c:v>
                </c:pt>
                <c:pt idx="232">
                  <c:v>-0.55950946427675097</c:v>
                </c:pt>
                <c:pt idx="233">
                  <c:v>-0.55950946427675097</c:v>
                </c:pt>
                <c:pt idx="234">
                  <c:v>-0.55950946427675097</c:v>
                </c:pt>
                <c:pt idx="235">
                  <c:v>-0.55950946427675097</c:v>
                </c:pt>
                <c:pt idx="236">
                  <c:v>-0.55950946427675097</c:v>
                </c:pt>
                <c:pt idx="237">
                  <c:v>-0.55950946427675097</c:v>
                </c:pt>
                <c:pt idx="238">
                  <c:v>-0.55950946427675097</c:v>
                </c:pt>
                <c:pt idx="239">
                  <c:v>-0.55950946427675097</c:v>
                </c:pt>
                <c:pt idx="240">
                  <c:v>-0.55950946427675097</c:v>
                </c:pt>
                <c:pt idx="241">
                  <c:v>-0.55950946427675097</c:v>
                </c:pt>
                <c:pt idx="242">
                  <c:v>-0.55950946427675097</c:v>
                </c:pt>
                <c:pt idx="243">
                  <c:v>-0.55950946427675097</c:v>
                </c:pt>
                <c:pt idx="244">
                  <c:v>-0.55950946427675097</c:v>
                </c:pt>
                <c:pt idx="245">
                  <c:v>-0.55950946427675097</c:v>
                </c:pt>
                <c:pt idx="246">
                  <c:v>-0.55950946427675097</c:v>
                </c:pt>
                <c:pt idx="247">
                  <c:v>-0.55950946427675097</c:v>
                </c:pt>
                <c:pt idx="248">
                  <c:v>-0.55950946427675097</c:v>
                </c:pt>
                <c:pt idx="249">
                  <c:v>-0.55950946427675097</c:v>
                </c:pt>
                <c:pt idx="250">
                  <c:v>-0.55950946427675097</c:v>
                </c:pt>
                <c:pt idx="251">
                  <c:v>-0.55950946427675097</c:v>
                </c:pt>
                <c:pt idx="252">
                  <c:v>-0.55950946427675097</c:v>
                </c:pt>
                <c:pt idx="253">
                  <c:v>-0.55950946427675097</c:v>
                </c:pt>
                <c:pt idx="254">
                  <c:v>-0.55950946427675097</c:v>
                </c:pt>
                <c:pt idx="255">
                  <c:v>-0.55950946427675097</c:v>
                </c:pt>
                <c:pt idx="256">
                  <c:v>-0.55950946427675097</c:v>
                </c:pt>
                <c:pt idx="257">
                  <c:v>-0.55950946427675097</c:v>
                </c:pt>
                <c:pt idx="258">
                  <c:v>-0.55950946427675097</c:v>
                </c:pt>
                <c:pt idx="259">
                  <c:v>-0.55950946427675097</c:v>
                </c:pt>
                <c:pt idx="260">
                  <c:v>-0.55950946427675097</c:v>
                </c:pt>
                <c:pt idx="261">
                  <c:v>-0.55950946427675097</c:v>
                </c:pt>
                <c:pt idx="262">
                  <c:v>-0.55950946427675097</c:v>
                </c:pt>
                <c:pt idx="263">
                  <c:v>-0.55950946427675097</c:v>
                </c:pt>
                <c:pt idx="264">
                  <c:v>-0.55950946427675097</c:v>
                </c:pt>
                <c:pt idx="265">
                  <c:v>-0.55950946427675097</c:v>
                </c:pt>
                <c:pt idx="266">
                  <c:v>-0.55950946427675097</c:v>
                </c:pt>
                <c:pt idx="267">
                  <c:v>-0.55950946427675097</c:v>
                </c:pt>
                <c:pt idx="268">
                  <c:v>-0.55950946427675097</c:v>
                </c:pt>
                <c:pt idx="269">
                  <c:v>-0.55950946427675097</c:v>
                </c:pt>
                <c:pt idx="270">
                  <c:v>-0.55950946427675097</c:v>
                </c:pt>
                <c:pt idx="271">
                  <c:v>-0.55950946427675097</c:v>
                </c:pt>
                <c:pt idx="272">
                  <c:v>-0.55950946427675097</c:v>
                </c:pt>
                <c:pt idx="273">
                  <c:v>-0.55950946427675097</c:v>
                </c:pt>
                <c:pt idx="274">
                  <c:v>-0.55950946427675097</c:v>
                </c:pt>
                <c:pt idx="275">
                  <c:v>-0.55950946427675097</c:v>
                </c:pt>
                <c:pt idx="276">
                  <c:v>-0.55950946427675097</c:v>
                </c:pt>
                <c:pt idx="277">
                  <c:v>-0.55950946427675097</c:v>
                </c:pt>
                <c:pt idx="278">
                  <c:v>-0.55950946427675097</c:v>
                </c:pt>
                <c:pt idx="279">
                  <c:v>-0.55950946427675097</c:v>
                </c:pt>
                <c:pt idx="280">
                  <c:v>-0.55950946427675097</c:v>
                </c:pt>
                <c:pt idx="281">
                  <c:v>-0.55950946427675097</c:v>
                </c:pt>
                <c:pt idx="282">
                  <c:v>-0.55950946427675097</c:v>
                </c:pt>
                <c:pt idx="283">
                  <c:v>-0.55950946427675097</c:v>
                </c:pt>
                <c:pt idx="284">
                  <c:v>-0.55950946427675097</c:v>
                </c:pt>
                <c:pt idx="285">
                  <c:v>-0.55950946427675097</c:v>
                </c:pt>
                <c:pt idx="286">
                  <c:v>-0.55950946427675097</c:v>
                </c:pt>
                <c:pt idx="287">
                  <c:v>-0.55950946427675097</c:v>
                </c:pt>
                <c:pt idx="288">
                  <c:v>-0.55950946427675097</c:v>
                </c:pt>
                <c:pt idx="289">
                  <c:v>-0.55950946427675097</c:v>
                </c:pt>
                <c:pt idx="290">
                  <c:v>-0.55950946427675097</c:v>
                </c:pt>
                <c:pt idx="291">
                  <c:v>-0.55950946427675097</c:v>
                </c:pt>
                <c:pt idx="292">
                  <c:v>-0.55950946427675097</c:v>
                </c:pt>
                <c:pt idx="293">
                  <c:v>-0.55950946427675097</c:v>
                </c:pt>
                <c:pt idx="294">
                  <c:v>-0.55950946427675097</c:v>
                </c:pt>
                <c:pt idx="295">
                  <c:v>-0.55950946427675097</c:v>
                </c:pt>
                <c:pt idx="296">
                  <c:v>-0.55950946427675097</c:v>
                </c:pt>
                <c:pt idx="297">
                  <c:v>-0.55950946427675097</c:v>
                </c:pt>
                <c:pt idx="298">
                  <c:v>-0.55950946427675097</c:v>
                </c:pt>
                <c:pt idx="299">
                  <c:v>-0.55950946427675097</c:v>
                </c:pt>
                <c:pt idx="300">
                  <c:v>-0.55950946427675097</c:v>
                </c:pt>
                <c:pt idx="301">
                  <c:v>-0.55950946427675097</c:v>
                </c:pt>
                <c:pt idx="302">
                  <c:v>-0.55950946427675097</c:v>
                </c:pt>
                <c:pt idx="303">
                  <c:v>-0.55950946427675097</c:v>
                </c:pt>
                <c:pt idx="304">
                  <c:v>-0.55950946427675097</c:v>
                </c:pt>
                <c:pt idx="305">
                  <c:v>-0.55950946427675097</c:v>
                </c:pt>
                <c:pt idx="306">
                  <c:v>-0.55950946427675097</c:v>
                </c:pt>
                <c:pt idx="307">
                  <c:v>-0.55950946427675097</c:v>
                </c:pt>
                <c:pt idx="308">
                  <c:v>-0.55950946427675097</c:v>
                </c:pt>
                <c:pt idx="309">
                  <c:v>-0.55950946427675097</c:v>
                </c:pt>
                <c:pt idx="310">
                  <c:v>-0.55950946427675097</c:v>
                </c:pt>
                <c:pt idx="311">
                  <c:v>-0.55950946427675097</c:v>
                </c:pt>
                <c:pt idx="312">
                  <c:v>-0.55950946427675097</c:v>
                </c:pt>
                <c:pt idx="313">
                  <c:v>-0.55950946427675097</c:v>
                </c:pt>
                <c:pt idx="314">
                  <c:v>-0.55950946427675097</c:v>
                </c:pt>
                <c:pt idx="315">
                  <c:v>-0.55950946427675097</c:v>
                </c:pt>
                <c:pt idx="316">
                  <c:v>-0.55950946427675097</c:v>
                </c:pt>
                <c:pt idx="317">
                  <c:v>-0.55950946427675097</c:v>
                </c:pt>
                <c:pt idx="318">
                  <c:v>-0.55950946427675097</c:v>
                </c:pt>
                <c:pt idx="319">
                  <c:v>-0.55950946427675097</c:v>
                </c:pt>
                <c:pt idx="320">
                  <c:v>-0.55950946427675097</c:v>
                </c:pt>
                <c:pt idx="321">
                  <c:v>-0.55950946427675097</c:v>
                </c:pt>
                <c:pt idx="322">
                  <c:v>-0.55950946427675097</c:v>
                </c:pt>
                <c:pt idx="323">
                  <c:v>-0.55950946427675097</c:v>
                </c:pt>
                <c:pt idx="324">
                  <c:v>-0.55950946427675097</c:v>
                </c:pt>
                <c:pt idx="325">
                  <c:v>-0.55950946427675097</c:v>
                </c:pt>
                <c:pt idx="326">
                  <c:v>-0.55950946427675097</c:v>
                </c:pt>
                <c:pt idx="327">
                  <c:v>-0.55950946427675097</c:v>
                </c:pt>
                <c:pt idx="328">
                  <c:v>-0.55950946427675097</c:v>
                </c:pt>
                <c:pt idx="329">
                  <c:v>-0.55950946427675097</c:v>
                </c:pt>
                <c:pt idx="330">
                  <c:v>-0.55950946427675097</c:v>
                </c:pt>
                <c:pt idx="331">
                  <c:v>-0.55950946427675097</c:v>
                </c:pt>
                <c:pt idx="332">
                  <c:v>-0.55950946427675097</c:v>
                </c:pt>
                <c:pt idx="333">
                  <c:v>-0.55950946427675097</c:v>
                </c:pt>
                <c:pt idx="334">
                  <c:v>-0.55950946427675097</c:v>
                </c:pt>
                <c:pt idx="335">
                  <c:v>-0.55950946427675097</c:v>
                </c:pt>
                <c:pt idx="336">
                  <c:v>-0.55950946427675097</c:v>
                </c:pt>
                <c:pt idx="337">
                  <c:v>-0.55950946427675097</c:v>
                </c:pt>
                <c:pt idx="338">
                  <c:v>-0.55950946427675097</c:v>
                </c:pt>
                <c:pt idx="339">
                  <c:v>-0.55950946427675097</c:v>
                </c:pt>
                <c:pt idx="340">
                  <c:v>-0.55950946427675097</c:v>
                </c:pt>
                <c:pt idx="341">
                  <c:v>-0.55950946427675097</c:v>
                </c:pt>
                <c:pt idx="342">
                  <c:v>-0.55950946427675097</c:v>
                </c:pt>
                <c:pt idx="343">
                  <c:v>-0.55950946427675097</c:v>
                </c:pt>
                <c:pt idx="344">
                  <c:v>-0.55950946427675097</c:v>
                </c:pt>
                <c:pt idx="345">
                  <c:v>-0.55950946427675097</c:v>
                </c:pt>
                <c:pt idx="346">
                  <c:v>-0.55950946427675097</c:v>
                </c:pt>
                <c:pt idx="347">
                  <c:v>-0.55950946427675097</c:v>
                </c:pt>
                <c:pt idx="348">
                  <c:v>-0.55950946427675097</c:v>
                </c:pt>
                <c:pt idx="349">
                  <c:v>-0.55950946427675097</c:v>
                </c:pt>
                <c:pt idx="350">
                  <c:v>-0.55950946427675097</c:v>
                </c:pt>
                <c:pt idx="351">
                  <c:v>-0.55950946427675097</c:v>
                </c:pt>
                <c:pt idx="352">
                  <c:v>-0.55950946427675097</c:v>
                </c:pt>
                <c:pt idx="353">
                  <c:v>-0.55950946427675097</c:v>
                </c:pt>
                <c:pt idx="354">
                  <c:v>-0.55950946427675097</c:v>
                </c:pt>
                <c:pt idx="355">
                  <c:v>-0.55950946427675097</c:v>
                </c:pt>
                <c:pt idx="356">
                  <c:v>-0.55950946427675097</c:v>
                </c:pt>
                <c:pt idx="357">
                  <c:v>-0.55950946427675097</c:v>
                </c:pt>
                <c:pt idx="358">
                  <c:v>-0.55950946427675097</c:v>
                </c:pt>
                <c:pt idx="359">
                  <c:v>-0.55950946427675097</c:v>
                </c:pt>
                <c:pt idx="360">
                  <c:v>-0.55950946427675097</c:v>
                </c:pt>
                <c:pt idx="361">
                  <c:v>-0.55950946427675097</c:v>
                </c:pt>
                <c:pt idx="362">
                  <c:v>-0.55950946427675097</c:v>
                </c:pt>
                <c:pt idx="363">
                  <c:v>-0.55950946427675097</c:v>
                </c:pt>
                <c:pt idx="364">
                  <c:v>-0.55950946427675097</c:v>
                </c:pt>
                <c:pt idx="365">
                  <c:v>-0.55950946427675097</c:v>
                </c:pt>
                <c:pt idx="366">
                  <c:v>-0.55950946427675097</c:v>
                </c:pt>
                <c:pt idx="367">
                  <c:v>-0.55950946427675097</c:v>
                </c:pt>
                <c:pt idx="368">
                  <c:v>-0.55950946427675097</c:v>
                </c:pt>
                <c:pt idx="369">
                  <c:v>-0.55950946427675097</c:v>
                </c:pt>
                <c:pt idx="370">
                  <c:v>-0.55950946427675097</c:v>
                </c:pt>
                <c:pt idx="371">
                  <c:v>-0.55950946427675097</c:v>
                </c:pt>
                <c:pt idx="372">
                  <c:v>-0.55950946427675097</c:v>
                </c:pt>
                <c:pt idx="373">
                  <c:v>-0.55950946427675097</c:v>
                </c:pt>
                <c:pt idx="374">
                  <c:v>-0.55950946427675097</c:v>
                </c:pt>
                <c:pt idx="375">
                  <c:v>-0.55950946427675097</c:v>
                </c:pt>
                <c:pt idx="376">
                  <c:v>-0.55950946427675097</c:v>
                </c:pt>
                <c:pt idx="377">
                  <c:v>-0.55950946427675097</c:v>
                </c:pt>
                <c:pt idx="378">
                  <c:v>-0.55950946427675097</c:v>
                </c:pt>
                <c:pt idx="379">
                  <c:v>-0.55950946427675097</c:v>
                </c:pt>
                <c:pt idx="380">
                  <c:v>-0.55950946427675097</c:v>
                </c:pt>
                <c:pt idx="381">
                  <c:v>-0.55950946427675097</c:v>
                </c:pt>
                <c:pt idx="382">
                  <c:v>-0.55950946427675097</c:v>
                </c:pt>
                <c:pt idx="383">
                  <c:v>-0.55950946427675097</c:v>
                </c:pt>
                <c:pt idx="384">
                  <c:v>-0.55950946427675097</c:v>
                </c:pt>
                <c:pt idx="385">
                  <c:v>-0.55950946427675097</c:v>
                </c:pt>
                <c:pt idx="386">
                  <c:v>-0.55950946427675097</c:v>
                </c:pt>
                <c:pt idx="387">
                  <c:v>-0.55950946427675097</c:v>
                </c:pt>
                <c:pt idx="388">
                  <c:v>-0.55950946427675097</c:v>
                </c:pt>
                <c:pt idx="389">
                  <c:v>-0.55950946427675097</c:v>
                </c:pt>
                <c:pt idx="390">
                  <c:v>-0.55950946427675097</c:v>
                </c:pt>
                <c:pt idx="391">
                  <c:v>-0.55950946427675097</c:v>
                </c:pt>
                <c:pt idx="392">
                  <c:v>-0.55950946427675097</c:v>
                </c:pt>
                <c:pt idx="393">
                  <c:v>-0.55950946427675097</c:v>
                </c:pt>
                <c:pt idx="394">
                  <c:v>-0.55950946427675097</c:v>
                </c:pt>
                <c:pt idx="395">
                  <c:v>-0.55950946427675097</c:v>
                </c:pt>
                <c:pt idx="396">
                  <c:v>-0.55950946427675097</c:v>
                </c:pt>
                <c:pt idx="397">
                  <c:v>-0.55950946427675097</c:v>
                </c:pt>
                <c:pt idx="398">
                  <c:v>-0.55950946427675097</c:v>
                </c:pt>
                <c:pt idx="399">
                  <c:v>-0.55950946427675097</c:v>
                </c:pt>
                <c:pt idx="400">
                  <c:v>-0.55950946427675097</c:v>
                </c:pt>
                <c:pt idx="401">
                  <c:v>-0.55950946427675097</c:v>
                </c:pt>
                <c:pt idx="402">
                  <c:v>-0.55950946427675097</c:v>
                </c:pt>
                <c:pt idx="403">
                  <c:v>-0.55950946427675097</c:v>
                </c:pt>
                <c:pt idx="404">
                  <c:v>-0.55950946427675097</c:v>
                </c:pt>
                <c:pt idx="405">
                  <c:v>-0.55950946427675097</c:v>
                </c:pt>
                <c:pt idx="406">
                  <c:v>-0.55950946427675097</c:v>
                </c:pt>
                <c:pt idx="407">
                  <c:v>-0.55950946427675097</c:v>
                </c:pt>
                <c:pt idx="408">
                  <c:v>-0.55950946427675097</c:v>
                </c:pt>
                <c:pt idx="409">
                  <c:v>-0.55950946427675097</c:v>
                </c:pt>
                <c:pt idx="410">
                  <c:v>-0.55950946427675097</c:v>
                </c:pt>
                <c:pt idx="411">
                  <c:v>-0.55950946427675097</c:v>
                </c:pt>
                <c:pt idx="412">
                  <c:v>-0.55950946427675097</c:v>
                </c:pt>
                <c:pt idx="413">
                  <c:v>-0.55950946427675097</c:v>
                </c:pt>
                <c:pt idx="414">
                  <c:v>-0.55950946427675097</c:v>
                </c:pt>
                <c:pt idx="415">
                  <c:v>-0.55950946427675097</c:v>
                </c:pt>
                <c:pt idx="416">
                  <c:v>-0.55950946427675097</c:v>
                </c:pt>
                <c:pt idx="417">
                  <c:v>-0.55950946427675097</c:v>
                </c:pt>
                <c:pt idx="418">
                  <c:v>-0.55950946427675097</c:v>
                </c:pt>
              </c:numCache>
            </c:numRef>
          </c:val>
          <c:smooth val="1"/>
          <c:extLst>
            <c:ext xmlns:c16="http://schemas.microsoft.com/office/drawing/2014/chart" uri="{C3380CC4-5D6E-409C-BE32-E72D297353CC}">
              <c16:uniqueId val="{00000000-C298-43C1-ACC8-BD9420F9EA2B}"/>
            </c:ext>
          </c:extLst>
        </c:ser>
        <c:ser>
          <c:idx val="1"/>
          <c:order val="2"/>
          <c:tx>
            <c:v>Dwn</c:v>
          </c:tx>
          <c:spPr>
            <a:ln w="28575" cap="rnd">
              <a:solidFill>
                <a:schemeClr val="accent2"/>
              </a:solidFill>
              <a:prstDash val="solid"/>
              <a:round/>
            </a:ln>
            <a:effectLst/>
          </c:spPr>
          <c:marker>
            <c:symbol val="none"/>
          </c:marker>
          <c:val>
            <c:numRef>
              <c:f>'2025-Q2'!$DU$4:$DU$422</c:f>
              <c:numCache>
                <c:formatCode>0.00</c:formatCode>
                <c:ptCount val="419"/>
                <c:pt idx="0">
                  <c:v>0</c:v>
                </c:pt>
                <c:pt idx="1">
                  <c:v>0</c:v>
                </c:pt>
                <c:pt idx="2">
                  <c:v>0</c:v>
                </c:pt>
                <c:pt idx="3">
                  <c:v>0</c:v>
                </c:pt>
                <c:pt idx="4">
                  <c:v>0</c:v>
                </c:pt>
                <c:pt idx="5">
                  <c:v>0</c:v>
                </c:pt>
                <c:pt idx="6">
                  <c:v>0</c:v>
                </c:pt>
                <c:pt idx="7">
                  <c:v>0</c:v>
                </c:pt>
                <c:pt idx="8">
                  <c:v>0</c:v>
                </c:pt>
                <c:pt idx="9">
                  <c:v>0.10024269283528475</c:v>
                </c:pt>
                <c:pt idx="10">
                  <c:v>0.10024269283528475</c:v>
                </c:pt>
                <c:pt idx="11">
                  <c:v>0.10024269283528475</c:v>
                </c:pt>
                <c:pt idx="12">
                  <c:v>0.40177072099220923</c:v>
                </c:pt>
                <c:pt idx="13">
                  <c:v>0.40177072099220923</c:v>
                </c:pt>
                <c:pt idx="14">
                  <c:v>0.40177072099220923</c:v>
                </c:pt>
                <c:pt idx="15">
                  <c:v>0.40177072099220923</c:v>
                </c:pt>
                <c:pt idx="16">
                  <c:v>0.40177072099220923</c:v>
                </c:pt>
                <c:pt idx="17">
                  <c:v>0.57866260122346558</c:v>
                </c:pt>
                <c:pt idx="18">
                  <c:v>0.57866260122346558</c:v>
                </c:pt>
                <c:pt idx="19">
                  <c:v>0.57866260122346558</c:v>
                </c:pt>
                <c:pt idx="20">
                  <c:v>0.57866260122346558</c:v>
                </c:pt>
                <c:pt idx="21">
                  <c:v>0.57866260122346558</c:v>
                </c:pt>
                <c:pt idx="22">
                  <c:v>0.57866260122346558</c:v>
                </c:pt>
                <c:pt idx="23">
                  <c:v>0.57866260122346558</c:v>
                </c:pt>
                <c:pt idx="24">
                  <c:v>0.57866260122346558</c:v>
                </c:pt>
                <c:pt idx="25">
                  <c:v>0.57866260122346558</c:v>
                </c:pt>
                <c:pt idx="26">
                  <c:v>0.99069963826050333</c:v>
                </c:pt>
                <c:pt idx="27">
                  <c:v>0.42551501128235725</c:v>
                </c:pt>
                <c:pt idx="28">
                  <c:v>-0.54822868546603165</c:v>
                </c:pt>
                <c:pt idx="29">
                  <c:v>-0.54822868546603165</c:v>
                </c:pt>
                <c:pt idx="30">
                  <c:v>-0.54822868546603165</c:v>
                </c:pt>
                <c:pt idx="31">
                  <c:v>-2.9817832752852991E-2</c:v>
                </c:pt>
                <c:pt idx="32">
                  <c:v>-0.53917580479739369</c:v>
                </c:pt>
                <c:pt idx="33">
                  <c:v>-0.53917580479739369</c:v>
                </c:pt>
                <c:pt idx="34">
                  <c:v>-0.53917580479739369</c:v>
                </c:pt>
                <c:pt idx="35">
                  <c:v>-0.53917580479739369</c:v>
                </c:pt>
                <c:pt idx="36">
                  <c:v>-0.87668288986978915</c:v>
                </c:pt>
                <c:pt idx="37">
                  <c:v>-0.87668288986978915</c:v>
                </c:pt>
                <c:pt idx="38">
                  <c:v>-0.87668288986978915</c:v>
                </c:pt>
                <c:pt idx="39">
                  <c:v>-0.87668288986978915</c:v>
                </c:pt>
                <c:pt idx="40">
                  <c:v>-2.8875364672150718</c:v>
                </c:pt>
                <c:pt idx="41">
                  <c:v>-2.8875364672150718</c:v>
                </c:pt>
                <c:pt idx="42">
                  <c:v>-2.8875364672150718</c:v>
                </c:pt>
                <c:pt idx="43">
                  <c:v>-2.8875364672150718</c:v>
                </c:pt>
                <c:pt idx="44">
                  <c:v>-2.8875364672150718</c:v>
                </c:pt>
                <c:pt idx="45">
                  <c:v>-2.8875364672150718</c:v>
                </c:pt>
                <c:pt idx="46">
                  <c:v>-2.8875364672150718</c:v>
                </c:pt>
                <c:pt idx="47">
                  <c:v>-2.8875364672150718</c:v>
                </c:pt>
                <c:pt idx="48">
                  <c:v>-2.8875364672150718</c:v>
                </c:pt>
                <c:pt idx="49">
                  <c:v>-2.8875364672150718</c:v>
                </c:pt>
                <c:pt idx="50">
                  <c:v>-2.8875364672150718</c:v>
                </c:pt>
                <c:pt idx="51">
                  <c:v>-2.8875364672150718</c:v>
                </c:pt>
                <c:pt idx="52">
                  <c:v>-2.8875364672150718</c:v>
                </c:pt>
                <c:pt idx="53">
                  <c:v>-2.8875364672150718</c:v>
                </c:pt>
                <c:pt idx="54">
                  <c:v>-2.8875364672150718</c:v>
                </c:pt>
                <c:pt idx="55">
                  <c:v>-2.8875364672150718</c:v>
                </c:pt>
                <c:pt idx="56">
                  <c:v>-2.8875364672150718</c:v>
                </c:pt>
                <c:pt idx="57">
                  <c:v>-2.8875364672150718</c:v>
                </c:pt>
                <c:pt idx="58">
                  <c:v>-2.8875364672150718</c:v>
                </c:pt>
                <c:pt idx="59">
                  <c:v>-2.8875364672150718</c:v>
                </c:pt>
                <c:pt idx="60">
                  <c:v>-2.8875364672150718</c:v>
                </c:pt>
                <c:pt idx="61">
                  <c:v>-2.8875364672150718</c:v>
                </c:pt>
                <c:pt idx="62">
                  <c:v>-2.8875364672150718</c:v>
                </c:pt>
                <c:pt idx="63">
                  <c:v>-2.8875364672150718</c:v>
                </c:pt>
                <c:pt idx="64">
                  <c:v>-2.8875364672150718</c:v>
                </c:pt>
                <c:pt idx="65">
                  <c:v>-2.8875364672150718</c:v>
                </c:pt>
                <c:pt idx="66">
                  <c:v>-2.8875364672150718</c:v>
                </c:pt>
                <c:pt idx="67">
                  <c:v>-2.8875364672150718</c:v>
                </c:pt>
                <c:pt idx="68">
                  <c:v>-2.8875364672150718</c:v>
                </c:pt>
                <c:pt idx="69">
                  <c:v>-2.8875364672150718</c:v>
                </c:pt>
                <c:pt idx="70">
                  <c:v>-2.8875364672150718</c:v>
                </c:pt>
                <c:pt idx="71">
                  <c:v>-2.8875364672150718</c:v>
                </c:pt>
                <c:pt idx="72">
                  <c:v>-2.8875364672150718</c:v>
                </c:pt>
                <c:pt idx="73">
                  <c:v>-2.8875364672150718</c:v>
                </c:pt>
                <c:pt idx="74">
                  <c:v>-2.8875364672150718</c:v>
                </c:pt>
                <c:pt idx="75">
                  <c:v>-2.8875364672150718</c:v>
                </c:pt>
                <c:pt idx="76">
                  <c:v>-2.8875364672150718</c:v>
                </c:pt>
                <c:pt idx="77">
                  <c:v>-2.8875364672150718</c:v>
                </c:pt>
                <c:pt idx="78">
                  <c:v>-2.8875364672150718</c:v>
                </c:pt>
                <c:pt idx="79">
                  <c:v>-2.8875364672150718</c:v>
                </c:pt>
                <c:pt idx="80">
                  <c:v>-2.8875364672150718</c:v>
                </c:pt>
                <c:pt idx="81">
                  <c:v>-2.8875364672150718</c:v>
                </c:pt>
                <c:pt idx="82">
                  <c:v>-2.8875364672150718</c:v>
                </c:pt>
                <c:pt idx="83">
                  <c:v>-2.8875364672150718</c:v>
                </c:pt>
                <c:pt idx="84">
                  <c:v>-2.8875364672150718</c:v>
                </c:pt>
                <c:pt idx="85">
                  <c:v>-2.8875364672150718</c:v>
                </c:pt>
                <c:pt idx="86">
                  <c:v>-2.8875364672150718</c:v>
                </c:pt>
                <c:pt idx="87">
                  <c:v>-2.8875364672150718</c:v>
                </c:pt>
                <c:pt idx="88">
                  <c:v>-2.8875364672150718</c:v>
                </c:pt>
                <c:pt idx="89">
                  <c:v>-2.8875364672150718</c:v>
                </c:pt>
                <c:pt idx="90">
                  <c:v>-2.8875364672150718</c:v>
                </c:pt>
                <c:pt idx="91">
                  <c:v>-2.8875364672150718</c:v>
                </c:pt>
                <c:pt idx="92">
                  <c:v>-2.8875364672150718</c:v>
                </c:pt>
                <c:pt idx="93">
                  <c:v>-2.8875364672150718</c:v>
                </c:pt>
                <c:pt idx="94">
                  <c:v>-2.8875364672150718</c:v>
                </c:pt>
                <c:pt idx="95">
                  <c:v>-2.8875364672150718</c:v>
                </c:pt>
                <c:pt idx="96">
                  <c:v>-2.8875364672150718</c:v>
                </c:pt>
                <c:pt idx="97">
                  <c:v>-2.8875364672150718</c:v>
                </c:pt>
                <c:pt idx="98">
                  <c:v>-2.8875364672150718</c:v>
                </c:pt>
                <c:pt idx="99">
                  <c:v>-2.8875364672150718</c:v>
                </c:pt>
                <c:pt idx="100">
                  <c:v>-2.8875364672150718</c:v>
                </c:pt>
                <c:pt idx="101">
                  <c:v>-2.8875364672150718</c:v>
                </c:pt>
                <c:pt idx="102">
                  <c:v>-2.8875364672150718</c:v>
                </c:pt>
                <c:pt idx="103">
                  <c:v>-2.8875364672150718</c:v>
                </c:pt>
                <c:pt idx="104">
                  <c:v>-2.8875364672150718</c:v>
                </c:pt>
                <c:pt idx="105">
                  <c:v>-2.8875364672150718</c:v>
                </c:pt>
                <c:pt idx="106">
                  <c:v>-2.8875364672150718</c:v>
                </c:pt>
                <c:pt idx="107">
                  <c:v>-2.8875364672150718</c:v>
                </c:pt>
                <c:pt idx="108">
                  <c:v>-2.8875364672150718</c:v>
                </c:pt>
                <c:pt idx="109">
                  <c:v>-2.8875364672150718</c:v>
                </c:pt>
                <c:pt idx="110">
                  <c:v>-2.8875364672150718</c:v>
                </c:pt>
                <c:pt idx="111">
                  <c:v>-2.8875364672150718</c:v>
                </c:pt>
                <c:pt idx="112">
                  <c:v>-2.8875364672150718</c:v>
                </c:pt>
                <c:pt idx="113">
                  <c:v>-2.8875364672150718</c:v>
                </c:pt>
                <c:pt idx="114">
                  <c:v>-2.8875364672150718</c:v>
                </c:pt>
                <c:pt idx="115">
                  <c:v>-2.8875364672150718</c:v>
                </c:pt>
                <c:pt idx="116">
                  <c:v>-2.8875364672150718</c:v>
                </c:pt>
                <c:pt idx="117">
                  <c:v>-2.8875364672150718</c:v>
                </c:pt>
                <c:pt idx="118">
                  <c:v>-2.8875364672150718</c:v>
                </c:pt>
                <c:pt idx="119">
                  <c:v>-2.8875364672150718</c:v>
                </c:pt>
                <c:pt idx="120">
                  <c:v>-2.8875364672150718</c:v>
                </c:pt>
                <c:pt idx="121">
                  <c:v>-2.8875364672150718</c:v>
                </c:pt>
                <c:pt idx="122">
                  <c:v>-2.8875364672150718</c:v>
                </c:pt>
                <c:pt idx="123">
                  <c:v>-2.8875364672150718</c:v>
                </c:pt>
                <c:pt idx="124">
                  <c:v>-2.8875364672150718</c:v>
                </c:pt>
                <c:pt idx="125">
                  <c:v>-2.8875364672150718</c:v>
                </c:pt>
                <c:pt idx="126">
                  <c:v>-2.8875364672150718</c:v>
                </c:pt>
                <c:pt idx="127">
                  <c:v>-2.8875364672150718</c:v>
                </c:pt>
                <c:pt idx="128">
                  <c:v>-2.8875364672150718</c:v>
                </c:pt>
                <c:pt idx="129">
                  <c:v>-2.8875364672150718</c:v>
                </c:pt>
                <c:pt idx="130">
                  <c:v>-2.8875364672150718</c:v>
                </c:pt>
                <c:pt idx="131">
                  <c:v>-3.13334520229097</c:v>
                </c:pt>
                <c:pt idx="132">
                  <c:v>-3.13334520229097</c:v>
                </c:pt>
                <c:pt idx="133">
                  <c:v>-3.13334520229097</c:v>
                </c:pt>
                <c:pt idx="134">
                  <c:v>-3.13334520229097</c:v>
                </c:pt>
                <c:pt idx="135">
                  <c:v>-3.13334520229097</c:v>
                </c:pt>
                <c:pt idx="136">
                  <c:v>-3.13334520229097</c:v>
                </c:pt>
                <c:pt idx="137">
                  <c:v>-3.13334520229097</c:v>
                </c:pt>
                <c:pt idx="138">
                  <c:v>-3.13334520229097</c:v>
                </c:pt>
                <c:pt idx="139">
                  <c:v>-3.13334520229097</c:v>
                </c:pt>
                <c:pt idx="140">
                  <c:v>-3.13334520229097</c:v>
                </c:pt>
                <c:pt idx="141">
                  <c:v>-3.13334520229097</c:v>
                </c:pt>
                <c:pt idx="142">
                  <c:v>-3.13334520229097</c:v>
                </c:pt>
                <c:pt idx="143">
                  <c:v>-3.5029740333397914</c:v>
                </c:pt>
                <c:pt idx="144">
                  <c:v>-3.5029740333397914</c:v>
                </c:pt>
                <c:pt idx="145">
                  <c:v>-3.5029740333397914</c:v>
                </c:pt>
                <c:pt idx="146">
                  <c:v>-3.5029740333397914</c:v>
                </c:pt>
                <c:pt idx="147">
                  <c:v>-3.5029740333397914</c:v>
                </c:pt>
                <c:pt idx="148">
                  <c:v>-3.5029740333397914</c:v>
                </c:pt>
                <c:pt idx="149">
                  <c:v>-3.5029740333397914</c:v>
                </c:pt>
                <c:pt idx="150">
                  <c:v>-3.5029740333397914</c:v>
                </c:pt>
                <c:pt idx="151">
                  <c:v>-3.5029740333397914</c:v>
                </c:pt>
                <c:pt idx="152">
                  <c:v>-3.5029740333397914</c:v>
                </c:pt>
                <c:pt idx="153">
                  <c:v>-3.5029740333397914</c:v>
                </c:pt>
                <c:pt idx="154">
                  <c:v>-3.5029740333397914</c:v>
                </c:pt>
                <c:pt idx="155">
                  <c:v>-3.5029740333397914</c:v>
                </c:pt>
                <c:pt idx="156">
                  <c:v>-3.5029740333397914</c:v>
                </c:pt>
                <c:pt idx="157">
                  <c:v>-3.5029740333397914</c:v>
                </c:pt>
                <c:pt idx="158">
                  <c:v>-3.5029740333397914</c:v>
                </c:pt>
                <c:pt idx="159">
                  <c:v>-3.5029740333397914</c:v>
                </c:pt>
                <c:pt idx="160">
                  <c:v>-3.5029740333397914</c:v>
                </c:pt>
                <c:pt idx="161">
                  <c:v>-3.5029740333397914</c:v>
                </c:pt>
                <c:pt idx="162">
                  <c:v>-3.5029740333397914</c:v>
                </c:pt>
                <c:pt idx="163">
                  <c:v>-3.5029740333397914</c:v>
                </c:pt>
                <c:pt idx="164">
                  <c:v>-3.5029740333397914</c:v>
                </c:pt>
                <c:pt idx="165">
                  <c:v>-3.5029740333397914</c:v>
                </c:pt>
                <c:pt idx="166">
                  <c:v>-3.5029740333397914</c:v>
                </c:pt>
                <c:pt idx="167">
                  <c:v>-3.5029740333397914</c:v>
                </c:pt>
                <c:pt idx="168">
                  <c:v>-3.5029740333397914</c:v>
                </c:pt>
                <c:pt idx="169">
                  <c:v>-3.5029740333397914</c:v>
                </c:pt>
                <c:pt idx="170">
                  <c:v>-3.5029740333397914</c:v>
                </c:pt>
                <c:pt idx="171">
                  <c:v>-3.5029740333397914</c:v>
                </c:pt>
                <c:pt idx="172">
                  <c:v>-3.5029740333397914</c:v>
                </c:pt>
                <c:pt idx="173">
                  <c:v>-3.5029740333397914</c:v>
                </c:pt>
                <c:pt idx="174">
                  <c:v>-3.5029740333397914</c:v>
                </c:pt>
                <c:pt idx="175">
                  <c:v>-3.5029740333397914</c:v>
                </c:pt>
                <c:pt idx="176">
                  <c:v>-3.5029740333397914</c:v>
                </c:pt>
                <c:pt idx="177">
                  <c:v>-3.5029740333397914</c:v>
                </c:pt>
                <c:pt idx="178">
                  <c:v>-3.5029740333397914</c:v>
                </c:pt>
                <c:pt idx="179">
                  <c:v>-3.5029740333397914</c:v>
                </c:pt>
                <c:pt idx="180">
                  <c:v>-3.5029740333397914</c:v>
                </c:pt>
                <c:pt idx="181">
                  <c:v>-3.5029740333397914</c:v>
                </c:pt>
                <c:pt idx="182">
                  <c:v>-3.5029740333397914</c:v>
                </c:pt>
                <c:pt idx="183">
                  <c:v>-3.5029740333397914</c:v>
                </c:pt>
                <c:pt idx="184">
                  <c:v>-3.5029740333397914</c:v>
                </c:pt>
                <c:pt idx="185">
                  <c:v>-3.5029740333397914</c:v>
                </c:pt>
                <c:pt idx="186">
                  <c:v>-3.5029740333397914</c:v>
                </c:pt>
                <c:pt idx="187">
                  <c:v>-3.5029740333397914</c:v>
                </c:pt>
                <c:pt idx="188">
                  <c:v>-3.5029740333397914</c:v>
                </c:pt>
                <c:pt idx="189">
                  <c:v>-3.5029740333397914</c:v>
                </c:pt>
                <c:pt idx="190">
                  <c:v>-3.5029740333397914</c:v>
                </c:pt>
                <c:pt idx="191">
                  <c:v>-3.5029740333397914</c:v>
                </c:pt>
                <c:pt idx="192">
                  <c:v>-3.5029740333397914</c:v>
                </c:pt>
                <c:pt idx="193">
                  <c:v>-3.5029740333397914</c:v>
                </c:pt>
                <c:pt idx="194">
                  <c:v>-3.5029740333397914</c:v>
                </c:pt>
                <c:pt idx="195">
                  <c:v>-3.5029740333397914</c:v>
                </c:pt>
                <c:pt idx="196">
                  <c:v>-3.5029740333397914</c:v>
                </c:pt>
                <c:pt idx="197">
                  <c:v>-3.5029740333397914</c:v>
                </c:pt>
                <c:pt idx="198">
                  <c:v>-3.5029740333397914</c:v>
                </c:pt>
                <c:pt idx="199">
                  <c:v>-3.5029740333397914</c:v>
                </c:pt>
                <c:pt idx="200">
                  <c:v>-3.5029740333397914</c:v>
                </c:pt>
                <c:pt idx="201">
                  <c:v>-3.5029740333397914</c:v>
                </c:pt>
                <c:pt idx="202">
                  <c:v>-3.5029740333397914</c:v>
                </c:pt>
                <c:pt idx="203">
                  <c:v>-3.5029740333397914</c:v>
                </c:pt>
                <c:pt idx="204">
                  <c:v>-3.5029740333397914</c:v>
                </c:pt>
                <c:pt idx="205">
                  <c:v>-3.5029740333397914</c:v>
                </c:pt>
                <c:pt idx="206">
                  <c:v>-3.5029740333397914</c:v>
                </c:pt>
                <c:pt idx="207">
                  <c:v>-3.6911249040845173</c:v>
                </c:pt>
                <c:pt idx="208">
                  <c:v>-3.6911249040845173</c:v>
                </c:pt>
                <c:pt idx="209">
                  <c:v>-3.6911249040845173</c:v>
                </c:pt>
                <c:pt idx="210">
                  <c:v>-3.6911249040845173</c:v>
                </c:pt>
                <c:pt idx="211">
                  <c:v>-3.6911249040845173</c:v>
                </c:pt>
                <c:pt idx="212">
                  <c:v>-3.6911249040845173</c:v>
                </c:pt>
                <c:pt idx="213">
                  <c:v>-3.6911249040845173</c:v>
                </c:pt>
                <c:pt idx="214">
                  <c:v>-3.6911249040845173</c:v>
                </c:pt>
                <c:pt idx="215">
                  <c:v>-3.6911249040845173</c:v>
                </c:pt>
                <c:pt idx="216">
                  <c:v>-3.6911249040845173</c:v>
                </c:pt>
                <c:pt idx="217">
                  <c:v>-3.6911249040845173</c:v>
                </c:pt>
                <c:pt idx="218">
                  <c:v>-3.6911249040845173</c:v>
                </c:pt>
                <c:pt idx="219">
                  <c:v>-3.6911249040845173</c:v>
                </c:pt>
                <c:pt idx="220">
                  <c:v>-3.6911249040845173</c:v>
                </c:pt>
                <c:pt idx="221">
                  <c:v>-3.6911249040845173</c:v>
                </c:pt>
                <c:pt idx="222">
                  <c:v>-3.6911249040845173</c:v>
                </c:pt>
                <c:pt idx="223">
                  <c:v>-3.6911249040845173</c:v>
                </c:pt>
                <c:pt idx="224">
                  <c:v>-3.6911249040845173</c:v>
                </c:pt>
                <c:pt idx="225">
                  <c:v>-3.6911249040845173</c:v>
                </c:pt>
                <c:pt idx="226">
                  <c:v>-3.6911249040845173</c:v>
                </c:pt>
                <c:pt idx="227">
                  <c:v>-3.6911249040845173</c:v>
                </c:pt>
                <c:pt idx="228">
                  <c:v>-3.6911249040845173</c:v>
                </c:pt>
                <c:pt idx="229">
                  <c:v>-3.6911249040845173</c:v>
                </c:pt>
                <c:pt idx="230">
                  <c:v>-3.6911249040845173</c:v>
                </c:pt>
                <c:pt idx="231">
                  <c:v>-3.6911249040845173</c:v>
                </c:pt>
                <c:pt idx="232">
                  <c:v>-3.6911249040845173</c:v>
                </c:pt>
                <c:pt idx="233">
                  <c:v>-3.6911249040845173</c:v>
                </c:pt>
                <c:pt idx="234">
                  <c:v>-3.6911249040845173</c:v>
                </c:pt>
                <c:pt idx="235">
                  <c:v>-3.6911249040845173</c:v>
                </c:pt>
                <c:pt idx="236">
                  <c:v>-3.6911249040845173</c:v>
                </c:pt>
                <c:pt idx="237">
                  <c:v>-3.6911249040845173</c:v>
                </c:pt>
                <c:pt idx="238">
                  <c:v>-3.6911249040845173</c:v>
                </c:pt>
                <c:pt idx="239">
                  <c:v>-3.6911249040845173</c:v>
                </c:pt>
                <c:pt idx="240">
                  <c:v>-3.6911249040845173</c:v>
                </c:pt>
                <c:pt idx="241">
                  <c:v>5.8020102755427239E-2</c:v>
                </c:pt>
                <c:pt idx="242">
                  <c:v>5.8020102755427239E-2</c:v>
                </c:pt>
                <c:pt idx="243">
                  <c:v>5.8020102755427239E-2</c:v>
                </c:pt>
                <c:pt idx="244">
                  <c:v>5.8020102755427239E-2</c:v>
                </c:pt>
                <c:pt idx="245">
                  <c:v>5.8020102755427239E-2</c:v>
                </c:pt>
                <c:pt idx="246">
                  <c:v>5.8020102755427239E-2</c:v>
                </c:pt>
                <c:pt idx="247">
                  <c:v>5.8020102755427239E-2</c:v>
                </c:pt>
                <c:pt idx="248">
                  <c:v>-0.47061509167640903</c:v>
                </c:pt>
                <c:pt idx="249">
                  <c:v>-0.87082853884823752</c:v>
                </c:pt>
                <c:pt idx="250">
                  <c:v>-0.87082853884823752</c:v>
                </c:pt>
                <c:pt idx="251">
                  <c:v>-0.87082853884823752</c:v>
                </c:pt>
                <c:pt idx="252">
                  <c:v>-0.87082853884823752</c:v>
                </c:pt>
                <c:pt idx="253">
                  <c:v>-0.87082853884823752</c:v>
                </c:pt>
                <c:pt idx="254">
                  <c:v>-0.87082853884823752</c:v>
                </c:pt>
                <c:pt idx="255">
                  <c:v>-0.87082853884823752</c:v>
                </c:pt>
                <c:pt idx="256">
                  <c:v>-0.87082853884823752</c:v>
                </c:pt>
                <c:pt idx="257">
                  <c:v>-0.87082853884823752</c:v>
                </c:pt>
                <c:pt idx="258">
                  <c:v>-0.87082853884823752</c:v>
                </c:pt>
                <c:pt idx="259">
                  <c:v>-0.87082853884823752</c:v>
                </c:pt>
                <c:pt idx="260">
                  <c:v>-0.87082853884823752</c:v>
                </c:pt>
                <c:pt idx="261">
                  <c:v>-0.87082853884823752</c:v>
                </c:pt>
                <c:pt idx="262">
                  <c:v>-0.87082853884823752</c:v>
                </c:pt>
                <c:pt idx="263">
                  <c:v>-0.87082853884823752</c:v>
                </c:pt>
                <c:pt idx="264">
                  <c:v>-0.87082853884823752</c:v>
                </c:pt>
                <c:pt idx="265">
                  <c:v>-0.87082853884823752</c:v>
                </c:pt>
                <c:pt idx="266">
                  <c:v>-0.87082853884823752</c:v>
                </c:pt>
                <c:pt idx="267">
                  <c:v>-0.69837848627200172</c:v>
                </c:pt>
                <c:pt idx="268">
                  <c:v>-0.69837848627200172</c:v>
                </c:pt>
                <c:pt idx="269">
                  <c:v>-0.69837848627200172</c:v>
                </c:pt>
                <c:pt idx="270">
                  <c:v>-0.69837848627200172</c:v>
                </c:pt>
                <c:pt idx="271">
                  <c:v>-0.69837848627200172</c:v>
                </c:pt>
                <c:pt idx="272">
                  <c:v>-0.69837848627200172</c:v>
                </c:pt>
                <c:pt idx="273">
                  <c:v>-0.69837848627200172</c:v>
                </c:pt>
                <c:pt idx="274">
                  <c:v>-0.69837848627200172</c:v>
                </c:pt>
                <c:pt idx="275">
                  <c:v>-0.69837848627200172</c:v>
                </c:pt>
                <c:pt idx="276">
                  <c:v>-0.69837848627200172</c:v>
                </c:pt>
                <c:pt idx="277">
                  <c:v>-0.69837848627200172</c:v>
                </c:pt>
                <c:pt idx="278">
                  <c:v>-0.69837848627200172</c:v>
                </c:pt>
                <c:pt idx="279">
                  <c:v>-0.69837848627200172</c:v>
                </c:pt>
                <c:pt idx="280">
                  <c:v>-0.69837848627200172</c:v>
                </c:pt>
                <c:pt idx="281">
                  <c:v>-0.69837848627200172</c:v>
                </c:pt>
                <c:pt idx="282">
                  <c:v>-0.20750635820596686</c:v>
                </c:pt>
                <c:pt idx="283">
                  <c:v>-0.20750635820596686</c:v>
                </c:pt>
                <c:pt idx="284">
                  <c:v>-0.20750635820596686</c:v>
                </c:pt>
                <c:pt idx="285">
                  <c:v>-0.20750635820596686</c:v>
                </c:pt>
                <c:pt idx="286">
                  <c:v>-0.20750635820596686</c:v>
                </c:pt>
                <c:pt idx="287">
                  <c:v>-0.20750635820596686</c:v>
                </c:pt>
                <c:pt idx="288">
                  <c:v>-0.20750635820596686</c:v>
                </c:pt>
                <c:pt idx="289">
                  <c:v>-0.20750635820596686</c:v>
                </c:pt>
                <c:pt idx="290">
                  <c:v>-0.20750635820596686</c:v>
                </c:pt>
                <c:pt idx="291">
                  <c:v>-0.20750635820596686</c:v>
                </c:pt>
                <c:pt idx="292">
                  <c:v>-0.20750635820596686</c:v>
                </c:pt>
                <c:pt idx="293">
                  <c:v>-0.20750635820596686</c:v>
                </c:pt>
                <c:pt idx="294">
                  <c:v>-0.20750635820596686</c:v>
                </c:pt>
                <c:pt idx="295">
                  <c:v>-0.20750635820596686</c:v>
                </c:pt>
                <c:pt idx="296">
                  <c:v>-0.20750635820596686</c:v>
                </c:pt>
                <c:pt idx="297">
                  <c:v>-0.20750635820596686</c:v>
                </c:pt>
                <c:pt idx="298">
                  <c:v>-0.20750635820596686</c:v>
                </c:pt>
                <c:pt idx="299">
                  <c:v>-0.20750635820596686</c:v>
                </c:pt>
                <c:pt idx="300">
                  <c:v>-0.20750635820596686</c:v>
                </c:pt>
                <c:pt idx="301">
                  <c:v>-0.20750635820596686</c:v>
                </c:pt>
                <c:pt idx="302">
                  <c:v>-0.20750635820596686</c:v>
                </c:pt>
                <c:pt idx="303">
                  <c:v>-0.20750635820596686</c:v>
                </c:pt>
                <c:pt idx="304">
                  <c:v>-0.20750635820596686</c:v>
                </c:pt>
                <c:pt idx="305">
                  <c:v>-0.20750635820596686</c:v>
                </c:pt>
                <c:pt idx="306">
                  <c:v>-0.20750635820596686</c:v>
                </c:pt>
                <c:pt idx="307">
                  <c:v>-0.20750635820596686</c:v>
                </c:pt>
                <c:pt idx="308">
                  <c:v>-0.20750635820596686</c:v>
                </c:pt>
                <c:pt idx="309">
                  <c:v>-0.20750635820596686</c:v>
                </c:pt>
                <c:pt idx="310">
                  <c:v>-0.20750635820596686</c:v>
                </c:pt>
                <c:pt idx="311">
                  <c:v>-0.20750635820596686</c:v>
                </c:pt>
                <c:pt idx="312">
                  <c:v>-0.20750635820596686</c:v>
                </c:pt>
                <c:pt idx="313">
                  <c:v>-0.20750635820596686</c:v>
                </c:pt>
                <c:pt idx="314">
                  <c:v>-0.20750635820596686</c:v>
                </c:pt>
                <c:pt idx="315">
                  <c:v>-0.20750635820596686</c:v>
                </c:pt>
                <c:pt idx="316">
                  <c:v>-0.20750635820596686</c:v>
                </c:pt>
                <c:pt idx="317">
                  <c:v>-0.20750635820596686</c:v>
                </c:pt>
                <c:pt idx="318">
                  <c:v>-0.20750635820596686</c:v>
                </c:pt>
                <c:pt idx="319">
                  <c:v>-0.20750635820596686</c:v>
                </c:pt>
                <c:pt idx="320">
                  <c:v>-0.20750635820596686</c:v>
                </c:pt>
                <c:pt idx="321">
                  <c:v>-0.20750635820596686</c:v>
                </c:pt>
                <c:pt idx="322">
                  <c:v>-0.20750635820596686</c:v>
                </c:pt>
                <c:pt idx="323">
                  <c:v>-0.20750635820596686</c:v>
                </c:pt>
                <c:pt idx="324">
                  <c:v>-0.20750635820596686</c:v>
                </c:pt>
                <c:pt idx="325">
                  <c:v>-0.20750635820596686</c:v>
                </c:pt>
                <c:pt idx="326">
                  <c:v>-0.20750635820596686</c:v>
                </c:pt>
                <c:pt idx="327">
                  <c:v>-0.20750635820596686</c:v>
                </c:pt>
                <c:pt idx="328">
                  <c:v>-0.20750635820596686</c:v>
                </c:pt>
                <c:pt idx="329">
                  <c:v>-0.20750635820596686</c:v>
                </c:pt>
                <c:pt idx="330">
                  <c:v>-0.20750635820596686</c:v>
                </c:pt>
                <c:pt idx="331">
                  <c:v>-0.20750635820596686</c:v>
                </c:pt>
                <c:pt idx="332">
                  <c:v>-0.20750635820596686</c:v>
                </c:pt>
                <c:pt idx="333">
                  <c:v>-0.20750635820596686</c:v>
                </c:pt>
                <c:pt idx="334">
                  <c:v>-0.20750635820596686</c:v>
                </c:pt>
                <c:pt idx="335">
                  <c:v>-0.20750635820596686</c:v>
                </c:pt>
                <c:pt idx="336">
                  <c:v>-0.20750635820596686</c:v>
                </c:pt>
                <c:pt idx="337">
                  <c:v>-0.20750635820596686</c:v>
                </c:pt>
                <c:pt idx="338">
                  <c:v>-0.20750635820596686</c:v>
                </c:pt>
                <c:pt idx="339">
                  <c:v>-0.20750635820596686</c:v>
                </c:pt>
                <c:pt idx="340">
                  <c:v>-0.20750635820596686</c:v>
                </c:pt>
                <c:pt idx="341">
                  <c:v>-0.20750635820596686</c:v>
                </c:pt>
                <c:pt idx="342">
                  <c:v>-0.20750635820596686</c:v>
                </c:pt>
                <c:pt idx="343">
                  <c:v>-0.20750635820596686</c:v>
                </c:pt>
                <c:pt idx="344">
                  <c:v>-0.20750635820596686</c:v>
                </c:pt>
                <c:pt idx="345">
                  <c:v>-0.20750635820596686</c:v>
                </c:pt>
                <c:pt idx="346">
                  <c:v>-0.20750635820596686</c:v>
                </c:pt>
                <c:pt idx="347">
                  <c:v>-0.20750635820596686</c:v>
                </c:pt>
                <c:pt idx="348">
                  <c:v>-0.20750635820596686</c:v>
                </c:pt>
                <c:pt idx="349">
                  <c:v>-0.20750635820596686</c:v>
                </c:pt>
                <c:pt idx="350">
                  <c:v>-0.20750635820596686</c:v>
                </c:pt>
                <c:pt idx="351">
                  <c:v>-0.20750635820596686</c:v>
                </c:pt>
                <c:pt idx="352">
                  <c:v>-0.20750635820596686</c:v>
                </c:pt>
                <c:pt idx="353">
                  <c:v>-0.20750635820596686</c:v>
                </c:pt>
                <c:pt idx="354">
                  <c:v>-0.20750635820596686</c:v>
                </c:pt>
                <c:pt idx="355">
                  <c:v>-0.20750635820596686</c:v>
                </c:pt>
                <c:pt idx="356">
                  <c:v>-0.20750635820596686</c:v>
                </c:pt>
                <c:pt idx="357">
                  <c:v>-0.20750635820596686</c:v>
                </c:pt>
                <c:pt idx="358">
                  <c:v>-0.20750635820596686</c:v>
                </c:pt>
                <c:pt idx="359">
                  <c:v>-0.20750635820596686</c:v>
                </c:pt>
                <c:pt idx="360">
                  <c:v>-0.20750635820596686</c:v>
                </c:pt>
                <c:pt idx="361">
                  <c:v>-0.20750635820596686</c:v>
                </c:pt>
                <c:pt idx="362">
                  <c:v>-0.20750635820596686</c:v>
                </c:pt>
                <c:pt idx="363">
                  <c:v>-0.20750635820596686</c:v>
                </c:pt>
                <c:pt idx="364">
                  <c:v>-0.20750635820596686</c:v>
                </c:pt>
                <c:pt idx="365">
                  <c:v>-0.20750635820596686</c:v>
                </c:pt>
                <c:pt idx="366">
                  <c:v>-0.20750635820596686</c:v>
                </c:pt>
                <c:pt idx="367">
                  <c:v>-0.20750635820596686</c:v>
                </c:pt>
                <c:pt idx="368">
                  <c:v>-0.20750635820596686</c:v>
                </c:pt>
                <c:pt idx="369">
                  <c:v>-0.20750635820596686</c:v>
                </c:pt>
                <c:pt idx="370">
                  <c:v>-0.20750635820596686</c:v>
                </c:pt>
                <c:pt idx="371">
                  <c:v>-0.20750635820596686</c:v>
                </c:pt>
                <c:pt idx="372">
                  <c:v>-0.20750635820596686</c:v>
                </c:pt>
                <c:pt idx="373">
                  <c:v>-0.20750635820596686</c:v>
                </c:pt>
                <c:pt idx="374">
                  <c:v>-0.20750635820596686</c:v>
                </c:pt>
                <c:pt idx="375">
                  <c:v>-0.20750635820596686</c:v>
                </c:pt>
                <c:pt idx="376">
                  <c:v>-0.20750635820596686</c:v>
                </c:pt>
                <c:pt idx="377">
                  <c:v>-0.20750635820596686</c:v>
                </c:pt>
                <c:pt idx="378">
                  <c:v>-0.20750635820596686</c:v>
                </c:pt>
                <c:pt idx="379">
                  <c:v>-0.20750635820596686</c:v>
                </c:pt>
                <c:pt idx="380">
                  <c:v>-0.20750635820596686</c:v>
                </c:pt>
                <c:pt idx="381">
                  <c:v>-0.20750635820596686</c:v>
                </c:pt>
                <c:pt idx="382">
                  <c:v>-0.20750635820596686</c:v>
                </c:pt>
                <c:pt idx="383">
                  <c:v>-0.20750635820596686</c:v>
                </c:pt>
                <c:pt idx="384">
                  <c:v>-0.20750635820596686</c:v>
                </c:pt>
                <c:pt idx="385">
                  <c:v>-0.20750635820596686</c:v>
                </c:pt>
                <c:pt idx="386">
                  <c:v>-0.20750635820596686</c:v>
                </c:pt>
                <c:pt idx="387">
                  <c:v>-0.20750635820596686</c:v>
                </c:pt>
                <c:pt idx="388">
                  <c:v>-0.20750635820596686</c:v>
                </c:pt>
                <c:pt idx="389">
                  <c:v>-0.20750635820596686</c:v>
                </c:pt>
                <c:pt idx="390">
                  <c:v>-0.20750635820596686</c:v>
                </c:pt>
                <c:pt idx="391">
                  <c:v>-0.20750635820596686</c:v>
                </c:pt>
                <c:pt idx="392">
                  <c:v>-0.20750635820596686</c:v>
                </c:pt>
                <c:pt idx="393">
                  <c:v>-0.20750635820596686</c:v>
                </c:pt>
                <c:pt idx="394">
                  <c:v>-0.20750635820596686</c:v>
                </c:pt>
                <c:pt idx="395">
                  <c:v>-0.20750635820596686</c:v>
                </c:pt>
                <c:pt idx="396">
                  <c:v>-0.20750635820596686</c:v>
                </c:pt>
                <c:pt idx="397">
                  <c:v>-0.20750635820596686</c:v>
                </c:pt>
                <c:pt idx="398">
                  <c:v>-0.20750635820596686</c:v>
                </c:pt>
                <c:pt idx="399">
                  <c:v>-0.20750635820596686</c:v>
                </c:pt>
                <c:pt idx="400">
                  <c:v>-0.20750635820596686</c:v>
                </c:pt>
                <c:pt idx="401">
                  <c:v>-0.20750635820596686</c:v>
                </c:pt>
                <c:pt idx="402">
                  <c:v>-0.20750635820596686</c:v>
                </c:pt>
                <c:pt idx="403">
                  <c:v>-0.20750635820596686</c:v>
                </c:pt>
                <c:pt idx="404">
                  <c:v>-0.20750635820596686</c:v>
                </c:pt>
                <c:pt idx="405">
                  <c:v>-0.20750635820596686</c:v>
                </c:pt>
                <c:pt idx="406">
                  <c:v>-0.20750635820596686</c:v>
                </c:pt>
                <c:pt idx="407">
                  <c:v>-0.20750635820596686</c:v>
                </c:pt>
                <c:pt idx="408">
                  <c:v>-0.20750635820596686</c:v>
                </c:pt>
                <c:pt idx="409">
                  <c:v>-0.20750635820596686</c:v>
                </c:pt>
                <c:pt idx="410">
                  <c:v>-0.20750635820596686</c:v>
                </c:pt>
                <c:pt idx="411">
                  <c:v>-0.20750635820596686</c:v>
                </c:pt>
                <c:pt idx="412">
                  <c:v>-0.20750635820596686</c:v>
                </c:pt>
                <c:pt idx="413">
                  <c:v>-0.20750635820596686</c:v>
                </c:pt>
                <c:pt idx="414">
                  <c:v>-0.20750635820596686</c:v>
                </c:pt>
                <c:pt idx="415">
                  <c:v>-0.20750635820596686</c:v>
                </c:pt>
                <c:pt idx="416">
                  <c:v>-0.20750635820596686</c:v>
                </c:pt>
                <c:pt idx="417">
                  <c:v>-0.20750635820596686</c:v>
                </c:pt>
                <c:pt idx="418">
                  <c:v>-0.20750635820596686</c:v>
                </c:pt>
              </c:numCache>
            </c:numRef>
          </c:val>
          <c:smooth val="1"/>
          <c:extLst>
            <c:ext xmlns:c16="http://schemas.microsoft.com/office/drawing/2014/chart" uri="{C3380CC4-5D6E-409C-BE32-E72D297353CC}">
              <c16:uniqueId val="{00000001-C298-43C1-ACC8-BD9420F9EA2B}"/>
            </c:ext>
          </c:extLst>
        </c:ser>
        <c:ser>
          <c:idx val="2"/>
          <c:order val="3"/>
          <c:tx>
            <c:v>SW</c:v>
          </c:tx>
          <c:spPr>
            <a:ln w="28575" cap="rnd">
              <a:solidFill>
                <a:srgbClr val="0070C0"/>
              </a:solidFill>
              <a:prstDash val="solid"/>
              <a:round/>
            </a:ln>
            <a:effectLst/>
          </c:spPr>
          <c:marker>
            <c:symbol val="none"/>
          </c:marker>
          <c:val>
            <c:numRef>
              <c:f>'2025-Q2'!$DW$4:$DW$422</c:f>
              <c:numCache>
                <c:formatCode>0.00</c:formatCode>
                <c:ptCount val="419"/>
                <c:pt idx="0">
                  <c:v>0</c:v>
                </c:pt>
                <c:pt idx="1">
                  <c:v>0</c:v>
                </c:pt>
                <c:pt idx="2">
                  <c:v>-5.8708702097371709E-2</c:v>
                </c:pt>
                <c:pt idx="3">
                  <c:v>-0.47332867780116666</c:v>
                </c:pt>
                <c:pt idx="4">
                  <c:v>-0.67924094093413856</c:v>
                </c:pt>
                <c:pt idx="5">
                  <c:v>-1.331897252120668</c:v>
                </c:pt>
                <c:pt idx="6">
                  <c:v>-1.9089285900827602</c:v>
                </c:pt>
                <c:pt idx="7">
                  <c:v>-1.9089285900827602</c:v>
                </c:pt>
                <c:pt idx="8">
                  <c:v>-1.384429493461667</c:v>
                </c:pt>
                <c:pt idx="9">
                  <c:v>-1.384429493461667</c:v>
                </c:pt>
                <c:pt idx="10">
                  <c:v>-1.1287087299901912</c:v>
                </c:pt>
                <c:pt idx="11">
                  <c:v>-0.61511905632416297</c:v>
                </c:pt>
                <c:pt idx="12">
                  <c:v>-0.61511905632416297</c:v>
                </c:pt>
                <c:pt idx="13">
                  <c:v>-0.61511905632416297</c:v>
                </c:pt>
                <c:pt idx="14">
                  <c:v>-0.61511905632416297</c:v>
                </c:pt>
                <c:pt idx="15">
                  <c:v>-0.61511905632416297</c:v>
                </c:pt>
                <c:pt idx="16">
                  <c:v>-0.61511905632416297</c:v>
                </c:pt>
                <c:pt idx="17">
                  <c:v>-0.61511905632416297</c:v>
                </c:pt>
                <c:pt idx="18">
                  <c:v>-0.6705207183740266</c:v>
                </c:pt>
                <c:pt idx="19">
                  <c:v>-0.6705207183740266</c:v>
                </c:pt>
                <c:pt idx="20">
                  <c:v>-0.6705207183740266</c:v>
                </c:pt>
                <c:pt idx="21">
                  <c:v>-0.6705207183740266</c:v>
                </c:pt>
                <c:pt idx="22">
                  <c:v>-0.6705207183740266</c:v>
                </c:pt>
                <c:pt idx="23">
                  <c:v>-0.6705207183740266</c:v>
                </c:pt>
                <c:pt idx="24">
                  <c:v>-1.5349353024922392</c:v>
                </c:pt>
                <c:pt idx="25">
                  <c:v>-1.5349353024922392</c:v>
                </c:pt>
                <c:pt idx="26">
                  <c:v>-1.5349353024922392</c:v>
                </c:pt>
                <c:pt idx="27">
                  <c:v>-1.5349353024922392</c:v>
                </c:pt>
                <c:pt idx="28">
                  <c:v>-1.5349353024922392</c:v>
                </c:pt>
                <c:pt idx="29">
                  <c:v>-1.1023065046058436</c:v>
                </c:pt>
                <c:pt idx="30">
                  <c:v>-1.1023065046058436</c:v>
                </c:pt>
                <c:pt idx="31">
                  <c:v>-1.1023065046058436</c:v>
                </c:pt>
                <c:pt idx="32">
                  <c:v>-1.1023065046058436</c:v>
                </c:pt>
                <c:pt idx="33">
                  <c:v>-1.1003295949110772</c:v>
                </c:pt>
                <c:pt idx="34">
                  <c:v>-1.1003295949110772</c:v>
                </c:pt>
                <c:pt idx="35">
                  <c:v>-1.1003295949110772</c:v>
                </c:pt>
                <c:pt idx="36">
                  <c:v>-1.1003295949110772</c:v>
                </c:pt>
                <c:pt idx="37">
                  <c:v>-0.89834078198379175</c:v>
                </c:pt>
                <c:pt idx="38">
                  <c:v>-0.89834078198379175</c:v>
                </c:pt>
                <c:pt idx="39">
                  <c:v>-0.89834078198379175</c:v>
                </c:pt>
                <c:pt idx="40">
                  <c:v>-0.89834078198379175</c:v>
                </c:pt>
                <c:pt idx="41">
                  <c:v>-0.89834078198379175</c:v>
                </c:pt>
                <c:pt idx="42">
                  <c:v>-0.89834078198379175</c:v>
                </c:pt>
                <c:pt idx="43">
                  <c:v>-0.89834078198379175</c:v>
                </c:pt>
                <c:pt idx="44">
                  <c:v>-0.89834078198379175</c:v>
                </c:pt>
                <c:pt idx="45">
                  <c:v>-0.89834078198379175</c:v>
                </c:pt>
                <c:pt idx="46">
                  <c:v>-0.89834078198379175</c:v>
                </c:pt>
                <c:pt idx="47">
                  <c:v>-0.89834078198379175</c:v>
                </c:pt>
                <c:pt idx="48">
                  <c:v>-0.89834078198379175</c:v>
                </c:pt>
                <c:pt idx="49">
                  <c:v>-0.89834078198379175</c:v>
                </c:pt>
                <c:pt idx="50">
                  <c:v>-0.89834078198379175</c:v>
                </c:pt>
                <c:pt idx="51">
                  <c:v>-0.89834078198379175</c:v>
                </c:pt>
                <c:pt idx="52">
                  <c:v>-0.89834078198379175</c:v>
                </c:pt>
                <c:pt idx="53">
                  <c:v>-0.89834078198379175</c:v>
                </c:pt>
                <c:pt idx="54">
                  <c:v>-0.89834078198379175</c:v>
                </c:pt>
                <c:pt idx="55">
                  <c:v>-0.89834078198379175</c:v>
                </c:pt>
                <c:pt idx="56">
                  <c:v>-0.89834078198379175</c:v>
                </c:pt>
                <c:pt idx="57">
                  <c:v>-0.89834078198379175</c:v>
                </c:pt>
                <c:pt idx="58">
                  <c:v>-0.23245750740486493</c:v>
                </c:pt>
                <c:pt idx="59">
                  <c:v>-0.23245750740486493</c:v>
                </c:pt>
                <c:pt idx="60">
                  <c:v>-0.23245750740486493</c:v>
                </c:pt>
                <c:pt idx="61">
                  <c:v>-0.23245750740486493</c:v>
                </c:pt>
                <c:pt idx="62">
                  <c:v>-0.23245750740486493</c:v>
                </c:pt>
                <c:pt idx="63">
                  <c:v>-0.23245750740486493</c:v>
                </c:pt>
                <c:pt idx="64">
                  <c:v>-0.23245750740486493</c:v>
                </c:pt>
                <c:pt idx="65">
                  <c:v>-0.23245750740486493</c:v>
                </c:pt>
                <c:pt idx="66">
                  <c:v>-0.23245750740486493</c:v>
                </c:pt>
                <c:pt idx="67">
                  <c:v>-0.23245750740486493</c:v>
                </c:pt>
                <c:pt idx="68">
                  <c:v>-0.23245750740486493</c:v>
                </c:pt>
                <c:pt idx="69">
                  <c:v>-0.23245750740486493</c:v>
                </c:pt>
                <c:pt idx="70">
                  <c:v>-0.23245750740486493</c:v>
                </c:pt>
                <c:pt idx="71">
                  <c:v>-0.23245750740486493</c:v>
                </c:pt>
                <c:pt idx="72">
                  <c:v>-0.23245750740486493</c:v>
                </c:pt>
                <c:pt idx="73">
                  <c:v>-0.23245750740486493</c:v>
                </c:pt>
                <c:pt idx="74">
                  <c:v>-0.23245750740486493</c:v>
                </c:pt>
                <c:pt idx="75">
                  <c:v>-0.23245750740486493</c:v>
                </c:pt>
                <c:pt idx="76">
                  <c:v>-0.23245750740486493</c:v>
                </c:pt>
                <c:pt idx="77">
                  <c:v>-0.51693528082997942</c:v>
                </c:pt>
                <c:pt idx="78">
                  <c:v>-0.51693528082997942</c:v>
                </c:pt>
                <c:pt idx="79">
                  <c:v>-0.51693528082997942</c:v>
                </c:pt>
                <c:pt idx="80">
                  <c:v>-0.51693528082997942</c:v>
                </c:pt>
                <c:pt idx="81">
                  <c:v>-0.51693528082997942</c:v>
                </c:pt>
                <c:pt idx="82">
                  <c:v>-0.51693528082997942</c:v>
                </c:pt>
                <c:pt idx="83">
                  <c:v>-0.51693528082997942</c:v>
                </c:pt>
                <c:pt idx="84">
                  <c:v>-2.3640103614379946</c:v>
                </c:pt>
                <c:pt idx="85">
                  <c:v>-2.3640103614379946</c:v>
                </c:pt>
                <c:pt idx="86">
                  <c:v>-2.3640103614379946</c:v>
                </c:pt>
                <c:pt idx="87">
                  <c:v>-2.3640103614379946</c:v>
                </c:pt>
                <c:pt idx="88">
                  <c:v>-2.3640103614379946</c:v>
                </c:pt>
                <c:pt idx="89">
                  <c:v>-2.6814706788983136</c:v>
                </c:pt>
                <c:pt idx="90">
                  <c:v>-2.6814706788983136</c:v>
                </c:pt>
                <c:pt idx="91">
                  <c:v>-2.6814706788983136</c:v>
                </c:pt>
                <c:pt idx="92">
                  <c:v>-2.6814706788983136</c:v>
                </c:pt>
                <c:pt idx="93">
                  <c:v>-2.6814706788983136</c:v>
                </c:pt>
                <c:pt idx="94">
                  <c:v>-2.6814706788983136</c:v>
                </c:pt>
                <c:pt idx="95">
                  <c:v>-2.6814706788983136</c:v>
                </c:pt>
                <c:pt idx="96">
                  <c:v>-2.6814706788983136</c:v>
                </c:pt>
                <c:pt idx="97">
                  <c:v>-2.6814706788983136</c:v>
                </c:pt>
                <c:pt idx="98">
                  <c:v>-2.6814706788983136</c:v>
                </c:pt>
                <c:pt idx="99">
                  <c:v>-2.6814706788983136</c:v>
                </c:pt>
                <c:pt idx="100">
                  <c:v>-2.6814706788983136</c:v>
                </c:pt>
                <c:pt idx="101">
                  <c:v>-2.6814706788983136</c:v>
                </c:pt>
                <c:pt idx="102">
                  <c:v>-2.6814706788983136</c:v>
                </c:pt>
                <c:pt idx="103">
                  <c:v>-2.6814706788983136</c:v>
                </c:pt>
                <c:pt idx="104">
                  <c:v>-2.6814706788983136</c:v>
                </c:pt>
                <c:pt idx="105">
                  <c:v>-2.6814706788983136</c:v>
                </c:pt>
                <c:pt idx="106">
                  <c:v>-2.6814706788983136</c:v>
                </c:pt>
                <c:pt idx="107">
                  <c:v>-2.6814706788983136</c:v>
                </c:pt>
                <c:pt idx="108">
                  <c:v>-2.6814706788983136</c:v>
                </c:pt>
                <c:pt idx="109">
                  <c:v>-2.6814706788983136</c:v>
                </c:pt>
                <c:pt idx="110">
                  <c:v>-2.6814706788983136</c:v>
                </c:pt>
                <c:pt idx="111">
                  <c:v>-2.6814706788983136</c:v>
                </c:pt>
                <c:pt idx="112">
                  <c:v>-2.6814706788983136</c:v>
                </c:pt>
                <c:pt idx="113">
                  <c:v>-2.6814706788983136</c:v>
                </c:pt>
                <c:pt idx="114">
                  <c:v>-2.6814706788983136</c:v>
                </c:pt>
                <c:pt idx="115">
                  <c:v>-2.6814706788983136</c:v>
                </c:pt>
                <c:pt idx="116">
                  <c:v>-2.6814706788983136</c:v>
                </c:pt>
                <c:pt idx="117">
                  <c:v>-2.6814706788983136</c:v>
                </c:pt>
                <c:pt idx="118">
                  <c:v>-2.6814706788983136</c:v>
                </c:pt>
                <c:pt idx="119">
                  <c:v>-2.6814706788983136</c:v>
                </c:pt>
                <c:pt idx="120">
                  <c:v>-2.6814706788983136</c:v>
                </c:pt>
                <c:pt idx="121">
                  <c:v>-2.6814706788983136</c:v>
                </c:pt>
                <c:pt idx="122">
                  <c:v>-2.6814706788983136</c:v>
                </c:pt>
                <c:pt idx="123">
                  <c:v>-2.6814706788983136</c:v>
                </c:pt>
                <c:pt idx="124">
                  <c:v>-2.6814706788983136</c:v>
                </c:pt>
                <c:pt idx="125">
                  <c:v>-2.6814706788983136</c:v>
                </c:pt>
                <c:pt idx="126">
                  <c:v>-2.6814706788983136</c:v>
                </c:pt>
                <c:pt idx="127">
                  <c:v>-2.6814706788983136</c:v>
                </c:pt>
                <c:pt idx="128">
                  <c:v>-2.6814706788983136</c:v>
                </c:pt>
                <c:pt idx="129">
                  <c:v>-2.6814706788983136</c:v>
                </c:pt>
                <c:pt idx="130">
                  <c:v>-2.6814706788983136</c:v>
                </c:pt>
                <c:pt idx="131">
                  <c:v>-2.6814706788983136</c:v>
                </c:pt>
                <c:pt idx="132">
                  <c:v>-2.6814706788983136</c:v>
                </c:pt>
                <c:pt idx="133">
                  <c:v>-2.6814706788983136</c:v>
                </c:pt>
                <c:pt idx="134">
                  <c:v>-2.6814706788983136</c:v>
                </c:pt>
                <c:pt idx="135">
                  <c:v>-2.6814706788983136</c:v>
                </c:pt>
                <c:pt idx="136">
                  <c:v>-2.6814706788983136</c:v>
                </c:pt>
                <c:pt idx="137">
                  <c:v>-2.6814706788983136</c:v>
                </c:pt>
                <c:pt idx="138">
                  <c:v>-2.6814706788983136</c:v>
                </c:pt>
                <c:pt idx="139">
                  <c:v>-2.6814706788983136</c:v>
                </c:pt>
                <c:pt idx="140">
                  <c:v>-2.6814706788983136</c:v>
                </c:pt>
                <c:pt idx="141">
                  <c:v>-2.6814706788983136</c:v>
                </c:pt>
                <c:pt idx="142">
                  <c:v>-2.6814706788983136</c:v>
                </c:pt>
                <c:pt idx="143">
                  <c:v>-2.6814706788983136</c:v>
                </c:pt>
                <c:pt idx="144">
                  <c:v>-2.6814706788983136</c:v>
                </c:pt>
                <c:pt idx="145">
                  <c:v>-2.6814706788983136</c:v>
                </c:pt>
                <c:pt idx="146">
                  <c:v>-2.6814706788983136</c:v>
                </c:pt>
                <c:pt idx="147">
                  <c:v>-2.6814706788983136</c:v>
                </c:pt>
                <c:pt idx="148">
                  <c:v>-1.5072282546558893</c:v>
                </c:pt>
                <c:pt idx="149">
                  <c:v>-1.5072282546558893</c:v>
                </c:pt>
                <c:pt idx="150">
                  <c:v>-1.5072282546558893</c:v>
                </c:pt>
                <c:pt idx="151">
                  <c:v>-1.5072282546558893</c:v>
                </c:pt>
                <c:pt idx="152">
                  <c:v>-1.5072282546558893</c:v>
                </c:pt>
                <c:pt idx="153">
                  <c:v>-1.5072282546558893</c:v>
                </c:pt>
                <c:pt idx="154">
                  <c:v>-1.8527424265931112</c:v>
                </c:pt>
                <c:pt idx="155">
                  <c:v>-1.8527424265931112</c:v>
                </c:pt>
                <c:pt idx="156">
                  <c:v>-1.8527424265931112</c:v>
                </c:pt>
                <c:pt idx="157">
                  <c:v>-1.8527424265931112</c:v>
                </c:pt>
                <c:pt idx="158">
                  <c:v>-1.8527424265931112</c:v>
                </c:pt>
                <c:pt idx="159">
                  <c:v>-1.8527424265931112</c:v>
                </c:pt>
                <c:pt idx="160">
                  <c:v>-1.8527424265931112</c:v>
                </c:pt>
                <c:pt idx="161">
                  <c:v>-1.8527424265931112</c:v>
                </c:pt>
                <c:pt idx="162">
                  <c:v>-1.8527424265931112</c:v>
                </c:pt>
                <c:pt idx="163">
                  <c:v>-1.8527424265931112</c:v>
                </c:pt>
                <c:pt idx="164">
                  <c:v>-1.8527424265931112</c:v>
                </c:pt>
                <c:pt idx="165">
                  <c:v>-1.8527424265931112</c:v>
                </c:pt>
                <c:pt idx="166">
                  <c:v>-1.8527424265931112</c:v>
                </c:pt>
                <c:pt idx="167">
                  <c:v>-1.8527424265931112</c:v>
                </c:pt>
                <c:pt idx="168">
                  <c:v>-1.8527424265931112</c:v>
                </c:pt>
                <c:pt idx="169">
                  <c:v>-1.8527424265931112</c:v>
                </c:pt>
                <c:pt idx="170">
                  <c:v>-1.8527424265931112</c:v>
                </c:pt>
                <c:pt idx="171">
                  <c:v>-1.8527424265931112</c:v>
                </c:pt>
                <c:pt idx="172">
                  <c:v>-1.8527424265931112</c:v>
                </c:pt>
                <c:pt idx="173">
                  <c:v>-1.8527424265931112</c:v>
                </c:pt>
                <c:pt idx="174">
                  <c:v>-1.8527424265931112</c:v>
                </c:pt>
                <c:pt idx="175">
                  <c:v>-1.8527424265931112</c:v>
                </c:pt>
                <c:pt idx="176">
                  <c:v>-1.8527424265931112</c:v>
                </c:pt>
                <c:pt idx="177">
                  <c:v>-1.8527424265931112</c:v>
                </c:pt>
                <c:pt idx="178">
                  <c:v>-1.8527424265931112</c:v>
                </c:pt>
                <c:pt idx="179">
                  <c:v>-1.8527424265931112</c:v>
                </c:pt>
                <c:pt idx="180">
                  <c:v>-1.8527424265931112</c:v>
                </c:pt>
                <c:pt idx="181">
                  <c:v>-1.8527424265931112</c:v>
                </c:pt>
                <c:pt idx="182">
                  <c:v>-1.8527424265931112</c:v>
                </c:pt>
                <c:pt idx="183">
                  <c:v>-1.8527424265931112</c:v>
                </c:pt>
                <c:pt idx="184">
                  <c:v>-1.8527424265931112</c:v>
                </c:pt>
                <c:pt idx="185">
                  <c:v>-1.8527424265931112</c:v>
                </c:pt>
                <c:pt idx="186">
                  <c:v>-1.8527424265931112</c:v>
                </c:pt>
                <c:pt idx="187">
                  <c:v>-1.8527424265931112</c:v>
                </c:pt>
                <c:pt idx="188">
                  <c:v>-1.8527424265931112</c:v>
                </c:pt>
                <c:pt idx="189">
                  <c:v>-1.8527424265931112</c:v>
                </c:pt>
                <c:pt idx="190">
                  <c:v>-1.1689034257107362</c:v>
                </c:pt>
                <c:pt idx="191">
                  <c:v>-1.1689034257107362</c:v>
                </c:pt>
                <c:pt idx="192">
                  <c:v>-1.1689034257107362</c:v>
                </c:pt>
                <c:pt idx="193">
                  <c:v>-1.1689034257107362</c:v>
                </c:pt>
                <c:pt idx="194">
                  <c:v>-1.1689034257107362</c:v>
                </c:pt>
                <c:pt idx="195">
                  <c:v>-1.1689034257107362</c:v>
                </c:pt>
                <c:pt idx="196">
                  <c:v>-1.1099074520338865</c:v>
                </c:pt>
                <c:pt idx="197">
                  <c:v>-1.1099074520338865</c:v>
                </c:pt>
                <c:pt idx="198">
                  <c:v>-1.1099074520338865</c:v>
                </c:pt>
                <c:pt idx="199">
                  <c:v>-1.1099074520338865</c:v>
                </c:pt>
                <c:pt idx="200">
                  <c:v>-1.1099074520338865</c:v>
                </c:pt>
                <c:pt idx="201">
                  <c:v>-1.1099074520338865</c:v>
                </c:pt>
                <c:pt idx="202">
                  <c:v>-1.1099074520338865</c:v>
                </c:pt>
                <c:pt idx="203">
                  <c:v>-1.1099074520338865</c:v>
                </c:pt>
                <c:pt idx="204">
                  <c:v>-1.1099074520338865</c:v>
                </c:pt>
                <c:pt idx="205">
                  <c:v>-1.1099074520338865</c:v>
                </c:pt>
                <c:pt idx="206">
                  <c:v>-1.1099074520338865</c:v>
                </c:pt>
                <c:pt idx="207">
                  <c:v>-1.1099074520338865</c:v>
                </c:pt>
                <c:pt idx="208">
                  <c:v>-1.1099074520338865</c:v>
                </c:pt>
                <c:pt idx="209">
                  <c:v>-1.1099074520338865</c:v>
                </c:pt>
                <c:pt idx="210">
                  <c:v>-1.1099074520338865</c:v>
                </c:pt>
                <c:pt idx="211">
                  <c:v>-1.1099074520338865</c:v>
                </c:pt>
                <c:pt idx="212">
                  <c:v>-1.2815650893103838</c:v>
                </c:pt>
                <c:pt idx="213">
                  <c:v>-1.2815650893103838</c:v>
                </c:pt>
                <c:pt idx="214">
                  <c:v>-1.2815650893103838</c:v>
                </c:pt>
                <c:pt idx="215">
                  <c:v>-1.2815650893103838</c:v>
                </c:pt>
                <c:pt idx="216">
                  <c:v>-1.2815650893103838</c:v>
                </c:pt>
                <c:pt idx="217">
                  <c:v>-1.2815650893103838</c:v>
                </c:pt>
                <c:pt idx="218">
                  <c:v>-1.2815650893103838</c:v>
                </c:pt>
                <c:pt idx="219">
                  <c:v>-1.2815650893103838</c:v>
                </c:pt>
                <c:pt idx="220">
                  <c:v>-1.2815650893103838</c:v>
                </c:pt>
                <c:pt idx="221">
                  <c:v>-1.2815650893103838</c:v>
                </c:pt>
                <c:pt idx="222">
                  <c:v>-1.2815650893103838</c:v>
                </c:pt>
                <c:pt idx="223">
                  <c:v>-1.2815650893103838</c:v>
                </c:pt>
                <c:pt idx="224">
                  <c:v>-1.2815650893103838</c:v>
                </c:pt>
                <c:pt idx="225">
                  <c:v>-1.2815650893103838</c:v>
                </c:pt>
                <c:pt idx="226">
                  <c:v>-1.2815650893103838</c:v>
                </c:pt>
                <c:pt idx="227">
                  <c:v>-1.2815650893103838</c:v>
                </c:pt>
                <c:pt idx="228">
                  <c:v>-1.2815650893103838</c:v>
                </c:pt>
                <c:pt idx="229">
                  <c:v>-1.2815650893103838</c:v>
                </c:pt>
                <c:pt idx="230">
                  <c:v>-1.2815650893103838</c:v>
                </c:pt>
                <c:pt idx="231">
                  <c:v>-1.2815650893103838</c:v>
                </c:pt>
                <c:pt idx="232">
                  <c:v>-1.2815650893103838</c:v>
                </c:pt>
                <c:pt idx="233">
                  <c:v>-1.2815650893103838</c:v>
                </c:pt>
                <c:pt idx="234">
                  <c:v>-1.2815650893103838</c:v>
                </c:pt>
                <c:pt idx="235">
                  <c:v>-1.2815650893103838</c:v>
                </c:pt>
                <c:pt idx="236">
                  <c:v>-1.2815650893103838</c:v>
                </c:pt>
                <c:pt idx="237">
                  <c:v>-1.2815650893103838</c:v>
                </c:pt>
                <c:pt idx="238">
                  <c:v>-1.2815650893103838</c:v>
                </c:pt>
                <c:pt idx="239">
                  <c:v>-1.2815650893103838</c:v>
                </c:pt>
                <c:pt idx="240">
                  <c:v>-1.2815650893103838</c:v>
                </c:pt>
                <c:pt idx="241">
                  <c:v>-1.2815650893103838</c:v>
                </c:pt>
                <c:pt idx="242">
                  <c:v>-1.2815650893103838</c:v>
                </c:pt>
                <c:pt idx="243">
                  <c:v>-1.2815650893103838</c:v>
                </c:pt>
                <c:pt idx="244">
                  <c:v>-1.2815650893103838</c:v>
                </c:pt>
                <c:pt idx="245">
                  <c:v>-1.2815650893103838</c:v>
                </c:pt>
                <c:pt idx="246">
                  <c:v>-1.2815650893103838</c:v>
                </c:pt>
                <c:pt idx="247">
                  <c:v>-1.2815650893103838</c:v>
                </c:pt>
                <c:pt idx="248">
                  <c:v>-1.2815650893103838</c:v>
                </c:pt>
                <c:pt idx="249">
                  <c:v>-1.2815650893103838</c:v>
                </c:pt>
                <c:pt idx="250">
                  <c:v>-1.2815650893103838</c:v>
                </c:pt>
                <c:pt idx="251">
                  <c:v>-1.2815650893103838</c:v>
                </c:pt>
                <c:pt idx="252">
                  <c:v>-1.2815650893103838</c:v>
                </c:pt>
                <c:pt idx="253">
                  <c:v>-1.2815650893103838</c:v>
                </c:pt>
                <c:pt idx="254">
                  <c:v>-1.2815650893103838</c:v>
                </c:pt>
                <c:pt idx="255">
                  <c:v>-1.2815650893103838</c:v>
                </c:pt>
                <c:pt idx="256">
                  <c:v>-1.2815650893103838</c:v>
                </c:pt>
                <c:pt idx="257">
                  <c:v>-1.2815650893103838</c:v>
                </c:pt>
                <c:pt idx="258">
                  <c:v>-1.2815650893103838</c:v>
                </c:pt>
                <c:pt idx="259">
                  <c:v>-1.2815650893103838</c:v>
                </c:pt>
                <c:pt idx="260">
                  <c:v>-1.2815650893103838</c:v>
                </c:pt>
                <c:pt idx="261">
                  <c:v>-1.2815650893103838</c:v>
                </c:pt>
                <c:pt idx="262">
                  <c:v>-1.2815650893103838</c:v>
                </c:pt>
                <c:pt idx="263">
                  <c:v>-1.5454397913873317</c:v>
                </c:pt>
                <c:pt idx="264">
                  <c:v>-1.5454397913873317</c:v>
                </c:pt>
                <c:pt idx="265">
                  <c:v>-1.5454397913873317</c:v>
                </c:pt>
                <c:pt idx="266">
                  <c:v>-1.5454397913873317</c:v>
                </c:pt>
                <c:pt idx="267">
                  <c:v>-1.5454397913873317</c:v>
                </c:pt>
                <c:pt idx="268">
                  <c:v>-1.5454397913873317</c:v>
                </c:pt>
                <c:pt idx="269">
                  <c:v>-1.5454397913873317</c:v>
                </c:pt>
                <c:pt idx="270">
                  <c:v>-1.5454397913873317</c:v>
                </c:pt>
                <c:pt idx="271">
                  <c:v>-1.5454397913873317</c:v>
                </c:pt>
                <c:pt idx="272">
                  <c:v>-1.5454397913873317</c:v>
                </c:pt>
                <c:pt idx="273">
                  <c:v>-1.5454397913873317</c:v>
                </c:pt>
                <c:pt idx="274">
                  <c:v>-1.5454397913873317</c:v>
                </c:pt>
                <c:pt idx="275">
                  <c:v>-1.5454397913873317</c:v>
                </c:pt>
                <c:pt idx="276">
                  <c:v>-1.5454397913873317</c:v>
                </c:pt>
                <c:pt idx="277">
                  <c:v>-1.5454397913873317</c:v>
                </c:pt>
                <c:pt idx="278">
                  <c:v>-1.5454397913873317</c:v>
                </c:pt>
                <c:pt idx="279">
                  <c:v>-1.5454397913873317</c:v>
                </c:pt>
                <c:pt idx="280">
                  <c:v>-1.5454397913873317</c:v>
                </c:pt>
                <c:pt idx="281">
                  <c:v>-1.5454397913873317</c:v>
                </c:pt>
                <c:pt idx="282">
                  <c:v>-1.5454397913873317</c:v>
                </c:pt>
                <c:pt idx="283">
                  <c:v>-1.5454397913873317</c:v>
                </c:pt>
                <c:pt idx="284">
                  <c:v>-1.5454397913873317</c:v>
                </c:pt>
                <c:pt idx="285">
                  <c:v>-1.5454397913873317</c:v>
                </c:pt>
                <c:pt idx="286">
                  <c:v>-1.5454397913873317</c:v>
                </c:pt>
                <c:pt idx="287">
                  <c:v>-1.5454397913873317</c:v>
                </c:pt>
                <c:pt idx="288">
                  <c:v>-1.5454397913873317</c:v>
                </c:pt>
                <c:pt idx="289">
                  <c:v>-1.5454397913873317</c:v>
                </c:pt>
                <c:pt idx="290">
                  <c:v>-1.5454397913873317</c:v>
                </c:pt>
                <c:pt idx="291">
                  <c:v>-1.5454397913873317</c:v>
                </c:pt>
                <c:pt idx="292">
                  <c:v>-1.5454397913873317</c:v>
                </c:pt>
                <c:pt idx="293">
                  <c:v>-2.3377035686214001</c:v>
                </c:pt>
                <c:pt idx="294">
                  <c:v>-2.3377035686214001</c:v>
                </c:pt>
                <c:pt idx="295">
                  <c:v>-2.3377035686214001</c:v>
                </c:pt>
                <c:pt idx="296">
                  <c:v>-2.3377035686214001</c:v>
                </c:pt>
                <c:pt idx="297">
                  <c:v>-2.3377035686214001</c:v>
                </c:pt>
                <c:pt idx="298">
                  <c:v>-2.3377035686214001</c:v>
                </c:pt>
                <c:pt idx="299">
                  <c:v>-2.3377035686214001</c:v>
                </c:pt>
                <c:pt idx="300">
                  <c:v>-2.3377035686214001</c:v>
                </c:pt>
                <c:pt idx="301">
                  <c:v>-2.3377035686214001</c:v>
                </c:pt>
                <c:pt idx="302">
                  <c:v>-2.3377035686214001</c:v>
                </c:pt>
                <c:pt idx="303">
                  <c:v>-2.3377035686214001</c:v>
                </c:pt>
                <c:pt idx="304">
                  <c:v>-2.3377035686214001</c:v>
                </c:pt>
                <c:pt idx="305">
                  <c:v>-2.3377035686214001</c:v>
                </c:pt>
                <c:pt idx="306">
                  <c:v>-2.3377035686214001</c:v>
                </c:pt>
                <c:pt idx="307">
                  <c:v>-2.3377035686214001</c:v>
                </c:pt>
                <c:pt idx="308">
                  <c:v>-2.3377035686214001</c:v>
                </c:pt>
                <c:pt idx="309">
                  <c:v>-2.3377035686214001</c:v>
                </c:pt>
                <c:pt idx="310">
                  <c:v>-2.3377035686214001</c:v>
                </c:pt>
                <c:pt idx="311">
                  <c:v>-2.3377035686214001</c:v>
                </c:pt>
                <c:pt idx="312">
                  <c:v>-2.3377035686214001</c:v>
                </c:pt>
                <c:pt idx="313">
                  <c:v>-2.3377035686214001</c:v>
                </c:pt>
                <c:pt idx="314">
                  <c:v>-2.3377035686214001</c:v>
                </c:pt>
                <c:pt idx="315">
                  <c:v>-2.3377035686214001</c:v>
                </c:pt>
                <c:pt idx="316">
                  <c:v>-2.3377035686214001</c:v>
                </c:pt>
                <c:pt idx="317">
                  <c:v>-2.3377035686214001</c:v>
                </c:pt>
                <c:pt idx="318">
                  <c:v>-2.3377035686214001</c:v>
                </c:pt>
                <c:pt idx="319">
                  <c:v>-2.3377035686214001</c:v>
                </c:pt>
                <c:pt idx="320">
                  <c:v>-2.3377035686214001</c:v>
                </c:pt>
                <c:pt idx="321">
                  <c:v>-2.3377035686214001</c:v>
                </c:pt>
                <c:pt idx="322">
                  <c:v>-2.3377035686214001</c:v>
                </c:pt>
                <c:pt idx="323">
                  <c:v>-2.3377035686214001</c:v>
                </c:pt>
                <c:pt idx="324">
                  <c:v>-2.3377035686214001</c:v>
                </c:pt>
                <c:pt idx="325">
                  <c:v>-2.3377035686214001</c:v>
                </c:pt>
                <c:pt idx="326">
                  <c:v>-2.3377035686214001</c:v>
                </c:pt>
                <c:pt idx="327">
                  <c:v>-2.3377035686214001</c:v>
                </c:pt>
                <c:pt idx="328">
                  <c:v>-2.3377035686214001</c:v>
                </c:pt>
                <c:pt idx="329">
                  <c:v>-2.3377035686214001</c:v>
                </c:pt>
                <c:pt idx="330">
                  <c:v>-2.3377035686214001</c:v>
                </c:pt>
                <c:pt idx="331">
                  <c:v>-2.3377035686214001</c:v>
                </c:pt>
                <c:pt idx="332">
                  <c:v>-2.3377035686214001</c:v>
                </c:pt>
                <c:pt idx="333">
                  <c:v>-2.3377035686214001</c:v>
                </c:pt>
                <c:pt idx="334">
                  <c:v>-2.3377035686214001</c:v>
                </c:pt>
                <c:pt idx="335">
                  <c:v>-2.3377035686214001</c:v>
                </c:pt>
                <c:pt idx="336">
                  <c:v>-2.3377035686214001</c:v>
                </c:pt>
                <c:pt idx="337">
                  <c:v>-2.3377035686214001</c:v>
                </c:pt>
                <c:pt idx="338">
                  <c:v>-2.3377035686214001</c:v>
                </c:pt>
                <c:pt idx="339">
                  <c:v>-2.3377035686214001</c:v>
                </c:pt>
                <c:pt idx="340">
                  <c:v>-2.3377035686214001</c:v>
                </c:pt>
                <c:pt idx="341">
                  <c:v>-2.3377035686214001</c:v>
                </c:pt>
                <c:pt idx="342">
                  <c:v>-2.3377035686214001</c:v>
                </c:pt>
                <c:pt idx="343">
                  <c:v>-2.3377035686214001</c:v>
                </c:pt>
                <c:pt idx="344">
                  <c:v>-2.3377035686214001</c:v>
                </c:pt>
                <c:pt idx="345">
                  <c:v>-2.3377035686214001</c:v>
                </c:pt>
                <c:pt idx="346">
                  <c:v>-2.3377035686214001</c:v>
                </c:pt>
                <c:pt idx="347">
                  <c:v>-2.3377035686214001</c:v>
                </c:pt>
                <c:pt idx="348">
                  <c:v>-2.3377035686214001</c:v>
                </c:pt>
                <c:pt idx="349">
                  <c:v>-2.3377035686214001</c:v>
                </c:pt>
                <c:pt idx="350">
                  <c:v>-2.3377035686214001</c:v>
                </c:pt>
                <c:pt idx="351">
                  <c:v>-2.3377035686214001</c:v>
                </c:pt>
                <c:pt idx="352">
                  <c:v>-2.3377035686214001</c:v>
                </c:pt>
                <c:pt idx="353">
                  <c:v>-2.3377035686214001</c:v>
                </c:pt>
                <c:pt idx="354">
                  <c:v>-2.3377035686214001</c:v>
                </c:pt>
                <c:pt idx="355">
                  <c:v>-2.3377035686214001</c:v>
                </c:pt>
                <c:pt idx="356">
                  <c:v>-2.3377035686214001</c:v>
                </c:pt>
                <c:pt idx="357">
                  <c:v>-2.3377035686214001</c:v>
                </c:pt>
                <c:pt idx="358">
                  <c:v>-2.3377035686214001</c:v>
                </c:pt>
                <c:pt idx="359">
                  <c:v>-2.3377035686214001</c:v>
                </c:pt>
                <c:pt idx="360">
                  <c:v>-2.3377035686214001</c:v>
                </c:pt>
                <c:pt idx="361">
                  <c:v>-2.3377035686214001</c:v>
                </c:pt>
                <c:pt idx="362">
                  <c:v>-2.3377035686214001</c:v>
                </c:pt>
                <c:pt idx="363">
                  <c:v>-2.3377035686214001</c:v>
                </c:pt>
                <c:pt idx="364">
                  <c:v>-2.3377035686214001</c:v>
                </c:pt>
                <c:pt idx="365">
                  <c:v>-2.3377035686214001</c:v>
                </c:pt>
                <c:pt idx="366">
                  <c:v>-2.3377035686214001</c:v>
                </c:pt>
                <c:pt idx="367">
                  <c:v>-2.3377035686214001</c:v>
                </c:pt>
                <c:pt idx="368">
                  <c:v>-2.3377035686214001</c:v>
                </c:pt>
                <c:pt idx="369">
                  <c:v>-2.3377035686214001</c:v>
                </c:pt>
                <c:pt idx="370">
                  <c:v>-2.3377035686214001</c:v>
                </c:pt>
                <c:pt idx="371">
                  <c:v>-2.3377035686214001</c:v>
                </c:pt>
                <c:pt idx="372">
                  <c:v>-2.3377035686214001</c:v>
                </c:pt>
                <c:pt idx="373">
                  <c:v>-2.3377035686214001</c:v>
                </c:pt>
                <c:pt idx="374">
                  <c:v>-2.3377035686214001</c:v>
                </c:pt>
                <c:pt idx="375">
                  <c:v>-2.3377035686214001</c:v>
                </c:pt>
                <c:pt idx="376">
                  <c:v>-2.3377035686214001</c:v>
                </c:pt>
                <c:pt idx="377">
                  <c:v>-2.3377035686214001</c:v>
                </c:pt>
                <c:pt idx="378">
                  <c:v>-2.3377035686214001</c:v>
                </c:pt>
                <c:pt idx="379">
                  <c:v>-2.3377035686214001</c:v>
                </c:pt>
                <c:pt idx="380">
                  <c:v>-2.3377035686214001</c:v>
                </c:pt>
                <c:pt idx="381">
                  <c:v>-2.3377035686214001</c:v>
                </c:pt>
                <c:pt idx="382">
                  <c:v>-2.3377035686214001</c:v>
                </c:pt>
                <c:pt idx="383">
                  <c:v>-2.3377035686214001</c:v>
                </c:pt>
                <c:pt idx="384">
                  <c:v>-2.3377035686214001</c:v>
                </c:pt>
                <c:pt idx="385">
                  <c:v>-2.3377035686214001</c:v>
                </c:pt>
                <c:pt idx="386">
                  <c:v>-2.3377035686214001</c:v>
                </c:pt>
                <c:pt idx="387">
                  <c:v>-2.3377035686214001</c:v>
                </c:pt>
                <c:pt idx="388">
                  <c:v>-2.3377035686214001</c:v>
                </c:pt>
                <c:pt idx="389">
                  <c:v>-2.3377035686214001</c:v>
                </c:pt>
                <c:pt idx="390">
                  <c:v>-2.3377035686214001</c:v>
                </c:pt>
                <c:pt idx="391">
                  <c:v>-2.3377035686214001</c:v>
                </c:pt>
                <c:pt idx="392">
                  <c:v>-2.3377035686214001</c:v>
                </c:pt>
                <c:pt idx="393">
                  <c:v>-2.3377035686214001</c:v>
                </c:pt>
                <c:pt idx="394">
                  <c:v>-2.3377035686214001</c:v>
                </c:pt>
                <c:pt idx="395">
                  <c:v>-2.3377035686214001</c:v>
                </c:pt>
                <c:pt idx="396">
                  <c:v>-2.3377035686214001</c:v>
                </c:pt>
                <c:pt idx="397">
                  <c:v>-2.3377035686214001</c:v>
                </c:pt>
                <c:pt idx="398">
                  <c:v>-2.3377035686214001</c:v>
                </c:pt>
                <c:pt idx="399">
                  <c:v>-2.3377035686214001</c:v>
                </c:pt>
                <c:pt idx="400">
                  <c:v>-2.3377035686214001</c:v>
                </c:pt>
                <c:pt idx="401">
                  <c:v>-2.3377035686214001</c:v>
                </c:pt>
                <c:pt idx="402">
                  <c:v>-2.3377035686214001</c:v>
                </c:pt>
                <c:pt idx="403">
                  <c:v>-2.3377035686214001</c:v>
                </c:pt>
                <c:pt idx="404">
                  <c:v>-2.3377035686214001</c:v>
                </c:pt>
                <c:pt idx="405">
                  <c:v>-2.3377035686214001</c:v>
                </c:pt>
                <c:pt idx="406">
                  <c:v>-2.3377035686214001</c:v>
                </c:pt>
                <c:pt idx="407">
                  <c:v>-2.3377035686214001</c:v>
                </c:pt>
                <c:pt idx="408">
                  <c:v>-2.3377035686214001</c:v>
                </c:pt>
                <c:pt idx="409">
                  <c:v>-2.3377035686214001</c:v>
                </c:pt>
                <c:pt idx="410">
                  <c:v>-2.3377035686214001</c:v>
                </c:pt>
                <c:pt idx="411">
                  <c:v>-2.3377035686214001</c:v>
                </c:pt>
                <c:pt idx="412">
                  <c:v>-2.3377035686214001</c:v>
                </c:pt>
                <c:pt idx="413">
                  <c:v>-2.3377035686214001</c:v>
                </c:pt>
                <c:pt idx="414">
                  <c:v>-2.3377035686214001</c:v>
                </c:pt>
                <c:pt idx="415">
                  <c:v>-2.3377035686214001</c:v>
                </c:pt>
                <c:pt idx="416">
                  <c:v>-2.3377035686214001</c:v>
                </c:pt>
                <c:pt idx="417">
                  <c:v>-2.3377035686214001</c:v>
                </c:pt>
                <c:pt idx="418">
                  <c:v>-2.3377035686214001</c:v>
                </c:pt>
              </c:numCache>
            </c:numRef>
          </c:val>
          <c:smooth val="1"/>
          <c:extLst>
            <c:ext xmlns:c16="http://schemas.microsoft.com/office/drawing/2014/chart" uri="{C3380CC4-5D6E-409C-BE32-E72D297353CC}">
              <c16:uniqueId val="{00000002-C298-43C1-ACC8-BD9420F9EA2B}"/>
            </c:ext>
          </c:extLst>
        </c:ser>
        <c:ser>
          <c:idx val="3"/>
          <c:order val="5"/>
          <c:tx>
            <c:v>All Three</c:v>
          </c:tx>
          <c:spPr>
            <a:ln w="38100" cap="rnd">
              <a:solidFill>
                <a:sysClr val="windowText" lastClr="000000"/>
              </a:solidFill>
              <a:round/>
            </a:ln>
            <a:effectLst/>
          </c:spPr>
          <c:marker>
            <c:symbol val="none"/>
          </c:marker>
          <c:val>
            <c:numRef>
              <c:f>'2025-Q2'!$DX$4:$DX$422</c:f>
              <c:numCache>
                <c:formatCode>0.00</c:formatCode>
                <c:ptCount val="419"/>
                <c:pt idx="0">
                  <c:v>0</c:v>
                </c:pt>
                <c:pt idx="1">
                  <c:v>0</c:v>
                </c:pt>
                <c:pt idx="2">
                  <c:v>-5.8708702097371709E-2</c:v>
                </c:pt>
                <c:pt idx="3">
                  <c:v>-0.47332867780116666</c:v>
                </c:pt>
                <c:pt idx="4">
                  <c:v>-0.67924094093413856</c:v>
                </c:pt>
                <c:pt idx="5">
                  <c:v>-1.331897252120668</c:v>
                </c:pt>
                <c:pt idx="6">
                  <c:v>-1.9089285900827602</c:v>
                </c:pt>
                <c:pt idx="7">
                  <c:v>-1.9089285900827602</c:v>
                </c:pt>
                <c:pt idx="8">
                  <c:v>-1.384429493461667</c:v>
                </c:pt>
                <c:pt idx="9">
                  <c:v>-1.2841868006263821</c:v>
                </c:pt>
                <c:pt idx="10">
                  <c:v>-1.0284660371549066</c:v>
                </c:pt>
                <c:pt idx="11">
                  <c:v>-0.51487636348887822</c:v>
                </c:pt>
                <c:pt idx="12">
                  <c:v>-0.21334833533195374</c:v>
                </c:pt>
                <c:pt idx="13">
                  <c:v>-0.21334833533195374</c:v>
                </c:pt>
                <c:pt idx="14">
                  <c:v>-0.21334833533195374</c:v>
                </c:pt>
                <c:pt idx="15">
                  <c:v>-0.21334833533195374</c:v>
                </c:pt>
                <c:pt idx="16">
                  <c:v>-0.21334833533195374</c:v>
                </c:pt>
                <c:pt idx="17">
                  <c:v>-3.6456455100697366E-2</c:v>
                </c:pt>
                <c:pt idx="18">
                  <c:v>-9.1858117150560997E-2</c:v>
                </c:pt>
                <c:pt idx="19">
                  <c:v>-9.1858117150560997E-2</c:v>
                </c:pt>
                <c:pt idx="20">
                  <c:v>-9.1858117150560997E-2</c:v>
                </c:pt>
                <c:pt idx="21">
                  <c:v>-9.1858117150560997E-2</c:v>
                </c:pt>
                <c:pt idx="22">
                  <c:v>-9.1858117150560997E-2</c:v>
                </c:pt>
                <c:pt idx="23">
                  <c:v>-9.1858117150560997E-2</c:v>
                </c:pt>
                <c:pt idx="24">
                  <c:v>-0.9562727012687734</c:v>
                </c:pt>
                <c:pt idx="25">
                  <c:v>-0.9562727012687734</c:v>
                </c:pt>
                <c:pt idx="26">
                  <c:v>-0.54423566423173564</c:v>
                </c:pt>
                <c:pt idx="27">
                  <c:v>-1.1094202912098816</c:v>
                </c:pt>
                <c:pt idx="28">
                  <c:v>-2.0831639879582706</c:v>
                </c:pt>
                <c:pt idx="29">
                  <c:v>-1.6505351900718752</c:v>
                </c:pt>
                <c:pt idx="30">
                  <c:v>-1.6505351900718752</c:v>
                </c:pt>
                <c:pt idx="31">
                  <c:v>-1.1321243373586967</c:v>
                </c:pt>
                <c:pt idx="32">
                  <c:v>-1.6414823094032374</c:v>
                </c:pt>
                <c:pt idx="33">
                  <c:v>-1.6395053997084708</c:v>
                </c:pt>
                <c:pt idx="34">
                  <c:v>-1.6395053997084708</c:v>
                </c:pt>
                <c:pt idx="35">
                  <c:v>-1.6395053997084708</c:v>
                </c:pt>
                <c:pt idx="36">
                  <c:v>-1.9770124847808663</c:v>
                </c:pt>
                <c:pt idx="37">
                  <c:v>-1.775023671853581</c:v>
                </c:pt>
                <c:pt idx="38">
                  <c:v>-1.775023671853581</c:v>
                </c:pt>
                <c:pt idx="39">
                  <c:v>-1.775023671853581</c:v>
                </c:pt>
                <c:pt idx="40">
                  <c:v>-3.7858772491988635</c:v>
                </c:pt>
                <c:pt idx="41">
                  <c:v>-3.7858772491988635</c:v>
                </c:pt>
                <c:pt idx="42">
                  <c:v>-3.7858772491988635</c:v>
                </c:pt>
                <c:pt idx="43">
                  <c:v>-3.7858772491988635</c:v>
                </c:pt>
                <c:pt idx="44">
                  <c:v>-3.7858772491988635</c:v>
                </c:pt>
                <c:pt idx="45">
                  <c:v>-3.7858772491988635</c:v>
                </c:pt>
                <c:pt idx="46">
                  <c:v>-3.7858772491988635</c:v>
                </c:pt>
                <c:pt idx="47">
                  <c:v>-3.7858772491988635</c:v>
                </c:pt>
                <c:pt idx="48">
                  <c:v>-3.7858772491988635</c:v>
                </c:pt>
                <c:pt idx="49">
                  <c:v>-3.7858772491988635</c:v>
                </c:pt>
                <c:pt idx="50">
                  <c:v>-3.7858772491988635</c:v>
                </c:pt>
                <c:pt idx="51">
                  <c:v>-3.7858772491988635</c:v>
                </c:pt>
                <c:pt idx="52">
                  <c:v>-3.7858772491988635</c:v>
                </c:pt>
                <c:pt idx="53">
                  <c:v>-3.7858772491988635</c:v>
                </c:pt>
                <c:pt idx="54">
                  <c:v>-3.7858772491988635</c:v>
                </c:pt>
                <c:pt idx="55">
                  <c:v>-3.7858772491988635</c:v>
                </c:pt>
                <c:pt idx="56">
                  <c:v>-3.7858772491988635</c:v>
                </c:pt>
                <c:pt idx="57">
                  <c:v>-3.7858772491988635</c:v>
                </c:pt>
                <c:pt idx="58">
                  <c:v>-3.1199939746199368</c:v>
                </c:pt>
                <c:pt idx="59">
                  <c:v>-3.1199939746199368</c:v>
                </c:pt>
                <c:pt idx="60">
                  <c:v>-3.1199939746199368</c:v>
                </c:pt>
                <c:pt idx="61">
                  <c:v>-3.1199939746199368</c:v>
                </c:pt>
                <c:pt idx="62">
                  <c:v>-3.1199939746199368</c:v>
                </c:pt>
                <c:pt idx="63">
                  <c:v>-3.1199939746199368</c:v>
                </c:pt>
                <c:pt idx="64">
                  <c:v>-3.1199939746199368</c:v>
                </c:pt>
                <c:pt idx="65">
                  <c:v>-3.1199939746199368</c:v>
                </c:pt>
                <c:pt idx="66">
                  <c:v>-3.1199939746199368</c:v>
                </c:pt>
                <c:pt idx="67">
                  <c:v>-3.1199939746199368</c:v>
                </c:pt>
                <c:pt idx="68">
                  <c:v>-3.1199939746199368</c:v>
                </c:pt>
                <c:pt idx="69">
                  <c:v>-3.1199939746199368</c:v>
                </c:pt>
                <c:pt idx="70">
                  <c:v>-3.1199939746199368</c:v>
                </c:pt>
                <c:pt idx="71">
                  <c:v>-3.6795034388966879</c:v>
                </c:pt>
                <c:pt idx="72">
                  <c:v>-3.6795034388966879</c:v>
                </c:pt>
                <c:pt idx="73">
                  <c:v>-3.6795034388966879</c:v>
                </c:pt>
                <c:pt idx="74">
                  <c:v>-3.6795034388966879</c:v>
                </c:pt>
                <c:pt idx="75">
                  <c:v>-3.6795034388966879</c:v>
                </c:pt>
                <c:pt idx="76">
                  <c:v>-3.6795034388966879</c:v>
                </c:pt>
                <c:pt idx="77">
                  <c:v>-3.9639812123218028</c:v>
                </c:pt>
                <c:pt idx="78">
                  <c:v>-3.9639812123218028</c:v>
                </c:pt>
                <c:pt idx="79">
                  <c:v>-3.9639812123218028</c:v>
                </c:pt>
                <c:pt idx="80">
                  <c:v>-3.9639812123218028</c:v>
                </c:pt>
                <c:pt idx="81">
                  <c:v>-3.9639812123218028</c:v>
                </c:pt>
                <c:pt idx="82">
                  <c:v>-3.9639812123218028</c:v>
                </c:pt>
                <c:pt idx="83">
                  <c:v>-3.9639812123218028</c:v>
                </c:pt>
                <c:pt idx="84">
                  <c:v>-5.8110562929298162</c:v>
                </c:pt>
                <c:pt idx="85">
                  <c:v>-5.8110562929298162</c:v>
                </c:pt>
                <c:pt idx="86">
                  <c:v>-5.8110562929298162</c:v>
                </c:pt>
                <c:pt idx="87">
                  <c:v>-5.8110562929298162</c:v>
                </c:pt>
                <c:pt idx="88">
                  <c:v>-5.8110562929298162</c:v>
                </c:pt>
                <c:pt idx="89">
                  <c:v>-6.1285166103901361</c:v>
                </c:pt>
                <c:pt idx="90">
                  <c:v>-6.1285166103901361</c:v>
                </c:pt>
                <c:pt idx="91">
                  <c:v>-6.1285166103901361</c:v>
                </c:pt>
                <c:pt idx="92">
                  <c:v>-6.1285166103901361</c:v>
                </c:pt>
                <c:pt idx="93">
                  <c:v>-6.1285166103901361</c:v>
                </c:pt>
                <c:pt idx="94">
                  <c:v>-6.1285166103901361</c:v>
                </c:pt>
                <c:pt idx="95">
                  <c:v>-6.1285166103901361</c:v>
                </c:pt>
                <c:pt idx="96">
                  <c:v>-6.1285166103901361</c:v>
                </c:pt>
                <c:pt idx="97">
                  <c:v>-6.1285166103901361</c:v>
                </c:pt>
                <c:pt idx="98">
                  <c:v>-6.1285166103901361</c:v>
                </c:pt>
                <c:pt idx="99">
                  <c:v>-6.1285166103901361</c:v>
                </c:pt>
                <c:pt idx="100">
                  <c:v>-6.1285166103901361</c:v>
                </c:pt>
                <c:pt idx="101">
                  <c:v>-6.1285166103901361</c:v>
                </c:pt>
                <c:pt idx="102">
                  <c:v>-6.1285166103901361</c:v>
                </c:pt>
                <c:pt idx="103">
                  <c:v>-6.1285166103901361</c:v>
                </c:pt>
                <c:pt idx="104">
                  <c:v>-6.1285166103901361</c:v>
                </c:pt>
                <c:pt idx="105">
                  <c:v>-6.1285166103901361</c:v>
                </c:pt>
                <c:pt idx="106">
                  <c:v>-6.1285166103901361</c:v>
                </c:pt>
                <c:pt idx="107">
                  <c:v>-6.1285166103901361</c:v>
                </c:pt>
                <c:pt idx="108">
                  <c:v>-6.1285166103901361</c:v>
                </c:pt>
                <c:pt idx="109">
                  <c:v>-6.1285166103901361</c:v>
                </c:pt>
                <c:pt idx="110">
                  <c:v>-6.1285166103901361</c:v>
                </c:pt>
                <c:pt idx="111">
                  <c:v>-6.1285166103901361</c:v>
                </c:pt>
                <c:pt idx="112">
                  <c:v>-6.1285166103901361</c:v>
                </c:pt>
                <c:pt idx="113">
                  <c:v>-6.1285166103901361</c:v>
                </c:pt>
                <c:pt idx="114">
                  <c:v>-6.1285166103901361</c:v>
                </c:pt>
                <c:pt idx="115">
                  <c:v>-6.1285166103901361</c:v>
                </c:pt>
                <c:pt idx="116">
                  <c:v>-6.1285166103901361</c:v>
                </c:pt>
                <c:pt idx="117">
                  <c:v>-6.1285166103901361</c:v>
                </c:pt>
                <c:pt idx="118">
                  <c:v>-6.1285166103901361</c:v>
                </c:pt>
                <c:pt idx="119">
                  <c:v>-6.1285166103901361</c:v>
                </c:pt>
                <c:pt idx="120">
                  <c:v>-6.1285166103901361</c:v>
                </c:pt>
                <c:pt idx="121">
                  <c:v>-6.1285166103901361</c:v>
                </c:pt>
                <c:pt idx="122">
                  <c:v>-6.1285166103901361</c:v>
                </c:pt>
                <c:pt idx="123">
                  <c:v>-6.1285166103901361</c:v>
                </c:pt>
                <c:pt idx="124">
                  <c:v>-6.1285166103901361</c:v>
                </c:pt>
                <c:pt idx="125">
                  <c:v>-6.1285166103901361</c:v>
                </c:pt>
                <c:pt idx="126">
                  <c:v>-6.1285166103901361</c:v>
                </c:pt>
                <c:pt idx="127">
                  <c:v>-6.1285166103901361</c:v>
                </c:pt>
                <c:pt idx="128">
                  <c:v>-6.1285166103901361</c:v>
                </c:pt>
                <c:pt idx="129">
                  <c:v>-6.1285166103901361</c:v>
                </c:pt>
                <c:pt idx="130">
                  <c:v>-6.1285166103901361</c:v>
                </c:pt>
                <c:pt idx="131">
                  <c:v>-6.3743253454660342</c:v>
                </c:pt>
                <c:pt idx="132">
                  <c:v>-6.3743253454660342</c:v>
                </c:pt>
                <c:pt idx="133">
                  <c:v>-6.3743253454660342</c:v>
                </c:pt>
                <c:pt idx="134">
                  <c:v>-6.3743253454660342</c:v>
                </c:pt>
                <c:pt idx="135">
                  <c:v>-6.3743253454660342</c:v>
                </c:pt>
                <c:pt idx="136">
                  <c:v>-6.3743253454660342</c:v>
                </c:pt>
                <c:pt idx="137">
                  <c:v>-6.3743253454660342</c:v>
                </c:pt>
                <c:pt idx="138">
                  <c:v>-6.3743253454660342</c:v>
                </c:pt>
                <c:pt idx="139">
                  <c:v>-6.3743253454660342</c:v>
                </c:pt>
                <c:pt idx="140">
                  <c:v>-6.3743253454660342</c:v>
                </c:pt>
                <c:pt idx="141">
                  <c:v>-6.3743253454660342</c:v>
                </c:pt>
                <c:pt idx="142">
                  <c:v>-6.3743253454660342</c:v>
                </c:pt>
                <c:pt idx="143">
                  <c:v>-6.7439541765148556</c:v>
                </c:pt>
                <c:pt idx="144">
                  <c:v>-6.7439541765148556</c:v>
                </c:pt>
                <c:pt idx="145">
                  <c:v>-6.7439541765148556</c:v>
                </c:pt>
                <c:pt idx="146">
                  <c:v>-6.7439541765148556</c:v>
                </c:pt>
                <c:pt idx="147">
                  <c:v>-6.7439541765148556</c:v>
                </c:pt>
                <c:pt idx="148">
                  <c:v>-5.5697117522724318</c:v>
                </c:pt>
                <c:pt idx="149">
                  <c:v>-5.5697117522724318</c:v>
                </c:pt>
                <c:pt idx="150">
                  <c:v>-5.5697117522724318</c:v>
                </c:pt>
                <c:pt idx="151">
                  <c:v>-5.5697117522724318</c:v>
                </c:pt>
                <c:pt idx="152">
                  <c:v>-5.5697117522724318</c:v>
                </c:pt>
                <c:pt idx="153">
                  <c:v>-5.5697117522724318</c:v>
                </c:pt>
                <c:pt idx="154">
                  <c:v>-5.9152259242096532</c:v>
                </c:pt>
                <c:pt idx="155">
                  <c:v>-5.9152259242096532</c:v>
                </c:pt>
                <c:pt idx="156">
                  <c:v>-5.9152259242096532</c:v>
                </c:pt>
                <c:pt idx="157">
                  <c:v>-5.9152259242096532</c:v>
                </c:pt>
                <c:pt idx="158">
                  <c:v>-5.9152259242096532</c:v>
                </c:pt>
                <c:pt idx="159">
                  <c:v>-5.9152259242096532</c:v>
                </c:pt>
                <c:pt idx="160">
                  <c:v>-5.9152259242096532</c:v>
                </c:pt>
                <c:pt idx="161">
                  <c:v>-5.9152259242096532</c:v>
                </c:pt>
                <c:pt idx="162">
                  <c:v>-5.9152259242096532</c:v>
                </c:pt>
                <c:pt idx="163">
                  <c:v>-5.9152259242096532</c:v>
                </c:pt>
                <c:pt idx="164">
                  <c:v>-5.9152259242096532</c:v>
                </c:pt>
                <c:pt idx="165">
                  <c:v>-5.9152259242096532</c:v>
                </c:pt>
                <c:pt idx="166">
                  <c:v>-5.9152259242096532</c:v>
                </c:pt>
                <c:pt idx="167">
                  <c:v>-5.9152259242096532</c:v>
                </c:pt>
                <c:pt idx="168">
                  <c:v>-5.9152259242096532</c:v>
                </c:pt>
                <c:pt idx="169">
                  <c:v>-5.9152259242096532</c:v>
                </c:pt>
                <c:pt idx="170">
                  <c:v>-5.9152259242096532</c:v>
                </c:pt>
                <c:pt idx="171">
                  <c:v>-5.9152259242096532</c:v>
                </c:pt>
                <c:pt idx="172">
                  <c:v>-5.9152259242096532</c:v>
                </c:pt>
                <c:pt idx="173">
                  <c:v>-5.9152259242096532</c:v>
                </c:pt>
                <c:pt idx="174">
                  <c:v>-5.9152259242096532</c:v>
                </c:pt>
                <c:pt idx="175">
                  <c:v>-5.9152259242096532</c:v>
                </c:pt>
                <c:pt idx="176">
                  <c:v>-5.9152259242096532</c:v>
                </c:pt>
                <c:pt idx="177">
                  <c:v>-5.9152259242096532</c:v>
                </c:pt>
                <c:pt idx="178">
                  <c:v>-5.9152259242096532</c:v>
                </c:pt>
                <c:pt idx="179">
                  <c:v>-5.9152259242096532</c:v>
                </c:pt>
                <c:pt idx="180">
                  <c:v>-5.9152259242096532</c:v>
                </c:pt>
                <c:pt idx="181">
                  <c:v>-5.9152259242096532</c:v>
                </c:pt>
                <c:pt idx="182">
                  <c:v>-5.9152259242096532</c:v>
                </c:pt>
                <c:pt idx="183">
                  <c:v>-5.9152259242096532</c:v>
                </c:pt>
                <c:pt idx="184">
                  <c:v>-5.9152259242096532</c:v>
                </c:pt>
                <c:pt idx="185">
                  <c:v>-5.9152259242096532</c:v>
                </c:pt>
                <c:pt idx="186">
                  <c:v>-5.9152259242096532</c:v>
                </c:pt>
                <c:pt idx="187">
                  <c:v>-5.9152259242096532</c:v>
                </c:pt>
                <c:pt idx="188">
                  <c:v>-5.9152259242096532</c:v>
                </c:pt>
                <c:pt idx="189">
                  <c:v>-5.9152259242096532</c:v>
                </c:pt>
                <c:pt idx="190">
                  <c:v>-5.2313869233272783</c:v>
                </c:pt>
                <c:pt idx="191">
                  <c:v>-5.2313869233272783</c:v>
                </c:pt>
                <c:pt idx="192">
                  <c:v>-5.2313869233272783</c:v>
                </c:pt>
                <c:pt idx="193">
                  <c:v>-5.2313869233272783</c:v>
                </c:pt>
                <c:pt idx="194">
                  <c:v>-5.2313869233272783</c:v>
                </c:pt>
                <c:pt idx="195">
                  <c:v>-5.2313869233272783</c:v>
                </c:pt>
                <c:pt idx="196">
                  <c:v>-5.1723909496504286</c:v>
                </c:pt>
                <c:pt idx="197">
                  <c:v>-5.1723909496504286</c:v>
                </c:pt>
                <c:pt idx="198">
                  <c:v>-5.1723909496504286</c:v>
                </c:pt>
                <c:pt idx="199">
                  <c:v>-5.1723909496504286</c:v>
                </c:pt>
                <c:pt idx="200">
                  <c:v>-5.1723909496504286</c:v>
                </c:pt>
                <c:pt idx="201">
                  <c:v>-5.1723909496504286</c:v>
                </c:pt>
                <c:pt idx="202">
                  <c:v>-5.1723909496504286</c:v>
                </c:pt>
                <c:pt idx="203">
                  <c:v>-5.1723909496504286</c:v>
                </c:pt>
                <c:pt idx="204">
                  <c:v>-5.1723909496504286</c:v>
                </c:pt>
                <c:pt idx="205">
                  <c:v>-5.1723909496504286</c:v>
                </c:pt>
                <c:pt idx="206">
                  <c:v>-5.1723909496504286</c:v>
                </c:pt>
                <c:pt idx="207">
                  <c:v>-5.360541820395154</c:v>
                </c:pt>
                <c:pt idx="208">
                  <c:v>-5.360541820395154</c:v>
                </c:pt>
                <c:pt idx="209">
                  <c:v>-5.360541820395154</c:v>
                </c:pt>
                <c:pt idx="210">
                  <c:v>-5.360541820395154</c:v>
                </c:pt>
                <c:pt idx="211">
                  <c:v>-5.360541820395154</c:v>
                </c:pt>
                <c:pt idx="212">
                  <c:v>-5.532199457671652</c:v>
                </c:pt>
                <c:pt idx="213">
                  <c:v>-5.532199457671652</c:v>
                </c:pt>
                <c:pt idx="214">
                  <c:v>-5.532199457671652</c:v>
                </c:pt>
                <c:pt idx="215">
                  <c:v>-5.532199457671652</c:v>
                </c:pt>
                <c:pt idx="216">
                  <c:v>-5.532199457671652</c:v>
                </c:pt>
                <c:pt idx="217">
                  <c:v>-5.532199457671652</c:v>
                </c:pt>
                <c:pt idx="218">
                  <c:v>-5.532199457671652</c:v>
                </c:pt>
                <c:pt idx="219">
                  <c:v>-5.532199457671652</c:v>
                </c:pt>
                <c:pt idx="220">
                  <c:v>-5.532199457671652</c:v>
                </c:pt>
                <c:pt idx="221">
                  <c:v>-5.532199457671652</c:v>
                </c:pt>
                <c:pt idx="222">
                  <c:v>-5.532199457671652</c:v>
                </c:pt>
                <c:pt idx="223">
                  <c:v>-5.532199457671652</c:v>
                </c:pt>
                <c:pt idx="224">
                  <c:v>-5.532199457671652</c:v>
                </c:pt>
                <c:pt idx="225">
                  <c:v>-5.532199457671652</c:v>
                </c:pt>
                <c:pt idx="226">
                  <c:v>-5.532199457671652</c:v>
                </c:pt>
                <c:pt idx="227">
                  <c:v>-5.532199457671652</c:v>
                </c:pt>
                <c:pt idx="228">
                  <c:v>-5.532199457671652</c:v>
                </c:pt>
                <c:pt idx="229">
                  <c:v>-5.532199457671652</c:v>
                </c:pt>
                <c:pt idx="230">
                  <c:v>-5.532199457671652</c:v>
                </c:pt>
                <c:pt idx="231">
                  <c:v>-5.532199457671652</c:v>
                </c:pt>
                <c:pt idx="232">
                  <c:v>-5.532199457671652</c:v>
                </c:pt>
                <c:pt idx="233">
                  <c:v>-5.532199457671652</c:v>
                </c:pt>
                <c:pt idx="234">
                  <c:v>-5.532199457671652</c:v>
                </c:pt>
                <c:pt idx="235">
                  <c:v>-5.532199457671652</c:v>
                </c:pt>
                <c:pt idx="236">
                  <c:v>-5.532199457671652</c:v>
                </c:pt>
                <c:pt idx="237">
                  <c:v>-5.532199457671652</c:v>
                </c:pt>
                <c:pt idx="238">
                  <c:v>-5.532199457671652</c:v>
                </c:pt>
                <c:pt idx="239">
                  <c:v>-5.532199457671652</c:v>
                </c:pt>
                <c:pt idx="240">
                  <c:v>-5.532199457671652</c:v>
                </c:pt>
                <c:pt idx="241">
                  <c:v>-1.7830544508317079</c:v>
                </c:pt>
                <c:pt idx="242">
                  <c:v>-1.7830544508317079</c:v>
                </c:pt>
                <c:pt idx="243">
                  <c:v>-1.7830544508317079</c:v>
                </c:pt>
                <c:pt idx="244">
                  <c:v>-1.7830544508317079</c:v>
                </c:pt>
                <c:pt idx="245">
                  <c:v>-1.7830544508317079</c:v>
                </c:pt>
                <c:pt idx="246">
                  <c:v>-1.7830544508317079</c:v>
                </c:pt>
                <c:pt idx="247">
                  <c:v>-1.7830544508317079</c:v>
                </c:pt>
                <c:pt idx="248">
                  <c:v>-2.3116896452635443</c:v>
                </c:pt>
                <c:pt idx="249">
                  <c:v>-2.7119030924353726</c:v>
                </c:pt>
                <c:pt idx="250">
                  <c:v>-2.7119030924353726</c:v>
                </c:pt>
                <c:pt idx="251">
                  <c:v>-2.7119030924353726</c:v>
                </c:pt>
                <c:pt idx="252">
                  <c:v>-2.7119030924353726</c:v>
                </c:pt>
                <c:pt idx="253">
                  <c:v>-2.7119030924353726</c:v>
                </c:pt>
                <c:pt idx="254">
                  <c:v>-2.7119030924353726</c:v>
                </c:pt>
                <c:pt idx="255">
                  <c:v>-2.7119030924353726</c:v>
                </c:pt>
                <c:pt idx="256">
                  <c:v>-2.7119030924353726</c:v>
                </c:pt>
                <c:pt idx="257">
                  <c:v>-2.7119030924353726</c:v>
                </c:pt>
                <c:pt idx="258">
                  <c:v>-2.7119030924353726</c:v>
                </c:pt>
                <c:pt idx="259">
                  <c:v>-2.7119030924353726</c:v>
                </c:pt>
                <c:pt idx="260">
                  <c:v>-2.7119030924353726</c:v>
                </c:pt>
                <c:pt idx="261">
                  <c:v>-2.7119030924353726</c:v>
                </c:pt>
                <c:pt idx="262">
                  <c:v>-2.7119030924353726</c:v>
                </c:pt>
                <c:pt idx="263">
                  <c:v>-2.9757777945123198</c:v>
                </c:pt>
                <c:pt idx="264">
                  <c:v>-2.9757777945123198</c:v>
                </c:pt>
                <c:pt idx="265">
                  <c:v>-2.9757777945123198</c:v>
                </c:pt>
                <c:pt idx="266">
                  <c:v>-2.9757777945123198</c:v>
                </c:pt>
                <c:pt idx="267">
                  <c:v>-2.803327741936084</c:v>
                </c:pt>
                <c:pt idx="268">
                  <c:v>-2.803327741936084</c:v>
                </c:pt>
                <c:pt idx="269">
                  <c:v>-2.803327741936084</c:v>
                </c:pt>
                <c:pt idx="270">
                  <c:v>-2.803327741936084</c:v>
                </c:pt>
                <c:pt idx="271">
                  <c:v>-2.803327741936084</c:v>
                </c:pt>
                <c:pt idx="272">
                  <c:v>-2.803327741936084</c:v>
                </c:pt>
                <c:pt idx="273">
                  <c:v>-2.803327741936084</c:v>
                </c:pt>
                <c:pt idx="274">
                  <c:v>-2.803327741936084</c:v>
                </c:pt>
                <c:pt idx="275">
                  <c:v>-2.803327741936084</c:v>
                </c:pt>
                <c:pt idx="276">
                  <c:v>-2.803327741936084</c:v>
                </c:pt>
                <c:pt idx="277">
                  <c:v>-2.803327741936084</c:v>
                </c:pt>
                <c:pt idx="278">
                  <c:v>-2.803327741936084</c:v>
                </c:pt>
                <c:pt idx="279">
                  <c:v>-2.803327741936084</c:v>
                </c:pt>
                <c:pt idx="280">
                  <c:v>-2.803327741936084</c:v>
                </c:pt>
                <c:pt idx="281">
                  <c:v>-2.803327741936084</c:v>
                </c:pt>
                <c:pt idx="282">
                  <c:v>-2.3124556138700489</c:v>
                </c:pt>
                <c:pt idx="283">
                  <c:v>-2.3124556138700489</c:v>
                </c:pt>
                <c:pt idx="284">
                  <c:v>-2.3124556138700489</c:v>
                </c:pt>
                <c:pt idx="285">
                  <c:v>-2.3124556138700489</c:v>
                </c:pt>
                <c:pt idx="286">
                  <c:v>-2.3124556138700489</c:v>
                </c:pt>
                <c:pt idx="287">
                  <c:v>-2.3124556138700489</c:v>
                </c:pt>
                <c:pt idx="288">
                  <c:v>-2.3124556138700489</c:v>
                </c:pt>
                <c:pt idx="289">
                  <c:v>-2.3124556138700489</c:v>
                </c:pt>
                <c:pt idx="290">
                  <c:v>-2.3124556138700489</c:v>
                </c:pt>
                <c:pt idx="291">
                  <c:v>-2.3124556138700489</c:v>
                </c:pt>
                <c:pt idx="292">
                  <c:v>-2.3124556138700489</c:v>
                </c:pt>
                <c:pt idx="293">
                  <c:v>-3.1047193911041169</c:v>
                </c:pt>
                <c:pt idx="294">
                  <c:v>-3.1047193911041169</c:v>
                </c:pt>
                <c:pt idx="295">
                  <c:v>-3.1047193911041169</c:v>
                </c:pt>
                <c:pt idx="296">
                  <c:v>-3.1047193911041169</c:v>
                </c:pt>
                <c:pt idx="297">
                  <c:v>-3.1047193911041169</c:v>
                </c:pt>
                <c:pt idx="298">
                  <c:v>-3.1047193911041169</c:v>
                </c:pt>
                <c:pt idx="299">
                  <c:v>-3.1047193911041169</c:v>
                </c:pt>
                <c:pt idx="300">
                  <c:v>-3.1047193911041169</c:v>
                </c:pt>
                <c:pt idx="301">
                  <c:v>-3.1047193911041169</c:v>
                </c:pt>
                <c:pt idx="302">
                  <c:v>-3.1047193911041169</c:v>
                </c:pt>
                <c:pt idx="303">
                  <c:v>-3.1047193911041169</c:v>
                </c:pt>
                <c:pt idx="304">
                  <c:v>-3.1047193911041169</c:v>
                </c:pt>
                <c:pt idx="305">
                  <c:v>-3.1047193911041169</c:v>
                </c:pt>
                <c:pt idx="306">
                  <c:v>-3.1047193911041169</c:v>
                </c:pt>
                <c:pt idx="307">
                  <c:v>-3.1047193911041169</c:v>
                </c:pt>
                <c:pt idx="308">
                  <c:v>-3.1047193911041169</c:v>
                </c:pt>
                <c:pt idx="309">
                  <c:v>-3.1047193911041169</c:v>
                </c:pt>
                <c:pt idx="310">
                  <c:v>-3.1047193911041169</c:v>
                </c:pt>
                <c:pt idx="311">
                  <c:v>-3.1047193911041169</c:v>
                </c:pt>
                <c:pt idx="312">
                  <c:v>-3.1047193911041169</c:v>
                </c:pt>
                <c:pt idx="313">
                  <c:v>-3.1047193911041169</c:v>
                </c:pt>
                <c:pt idx="314">
                  <c:v>-3.1047193911041169</c:v>
                </c:pt>
                <c:pt idx="315">
                  <c:v>-3.1047193911041169</c:v>
                </c:pt>
                <c:pt idx="316">
                  <c:v>-3.1047193911041169</c:v>
                </c:pt>
                <c:pt idx="317">
                  <c:v>-3.1047193911041169</c:v>
                </c:pt>
                <c:pt idx="318">
                  <c:v>-3.1047193911041169</c:v>
                </c:pt>
                <c:pt idx="319">
                  <c:v>-3.1047193911041169</c:v>
                </c:pt>
                <c:pt idx="320">
                  <c:v>-3.1047193911041169</c:v>
                </c:pt>
                <c:pt idx="321">
                  <c:v>-3.1047193911041169</c:v>
                </c:pt>
                <c:pt idx="322">
                  <c:v>-3.1047193911041169</c:v>
                </c:pt>
                <c:pt idx="323">
                  <c:v>-3.1047193911041169</c:v>
                </c:pt>
                <c:pt idx="324">
                  <c:v>-3.1047193911041169</c:v>
                </c:pt>
                <c:pt idx="325">
                  <c:v>-3.1047193911041169</c:v>
                </c:pt>
                <c:pt idx="326">
                  <c:v>-3.1047193911041169</c:v>
                </c:pt>
                <c:pt idx="327">
                  <c:v>-3.1047193911041169</c:v>
                </c:pt>
                <c:pt idx="328">
                  <c:v>-3.1047193911041169</c:v>
                </c:pt>
                <c:pt idx="329">
                  <c:v>-3.1047193911041169</c:v>
                </c:pt>
                <c:pt idx="330">
                  <c:v>-3.1047193911041169</c:v>
                </c:pt>
                <c:pt idx="331">
                  <c:v>-3.1047193911041169</c:v>
                </c:pt>
                <c:pt idx="332">
                  <c:v>-3.1047193911041169</c:v>
                </c:pt>
                <c:pt idx="333">
                  <c:v>-3.1047193911041169</c:v>
                </c:pt>
                <c:pt idx="334">
                  <c:v>-3.1047193911041169</c:v>
                </c:pt>
                <c:pt idx="335">
                  <c:v>-3.1047193911041169</c:v>
                </c:pt>
                <c:pt idx="336">
                  <c:v>-3.1047193911041169</c:v>
                </c:pt>
                <c:pt idx="337">
                  <c:v>-3.1047193911041169</c:v>
                </c:pt>
                <c:pt idx="338">
                  <c:v>-3.1047193911041169</c:v>
                </c:pt>
                <c:pt idx="339">
                  <c:v>-3.1047193911041169</c:v>
                </c:pt>
                <c:pt idx="340">
                  <c:v>-3.1047193911041169</c:v>
                </c:pt>
                <c:pt idx="341">
                  <c:v>-3.1047193911041169</c:v>
                </c:pt>
                <c:pt idx="342">
                  <c:v>-3.1047193911041169</c:v>
                </c:pt>
                <c:pt idx="343">
                  <c:v>-3.1047193911041169</c:v>
                </c:pt>
                <c:pt idx="344">
                  <c:v>-3.1047193911041169</c:v>
                </c:pt>
                <c:pt idx="345">
                  <c:v>-3.1047193911041169</c:v>
                </c:pt>
                <c:pt idx="346">
                  <c:v>-3.1047193911041169</c:v>
                </c:pt>
                <c:pt idx="347">
                  <c:v>-3.1047193911041169</c:v>
                </c:pt>
                <c:pt idx="348">
                  <c:v>-3.1047193911041169</c:v>
                </c:pt>
                <c:pt idx="349">
                  <c:v>-3.1047193911041169</c:v>
                </c:pt>
                <c:pt idx="350">
                  <c:v>-3.1047193911041169</c:v>
                </c:pt>
                <c:pt idx="351">
                  <c:v>-3.1047193911041169</c:v>
                </c:pt>
                <c:pt idx="352">
                  <c:v>-3.1047193911041169</c:v>
                </c:pt>
                <c:pt idx="353">
                  <c:v>-3.1047193911041169</c:v>
                </c:pt>
                <c:pt idx="354">
                  <c:v>-3.1047193911041169</c:v>
                </c:pt>
                <c:pt idx="355">
                  <c:v>-3.1047193911041169</c:v>
                </c:pt>
                <c:pt idx="356">
                  <c:v>-3.1047193911041169</c:v>
                </c:pt>
                <c:pt idx="357">
                  <c:v>-3.1047193911041169</c:v>
                </c:pt>
                <c:pt idx="358">
                  <c:v>-3.1047193911041169</c:v>
                </c:pt>
                <c:pt idx="359">
                  <c:v>-3.1047193911041169</c:v>
                </c:pt>
                <c:pt idx="360">
                  <c:v>-3.1047193911041169</c:v>
                </c:pt>
                <c:pt idx="361">
                  <c:v>-3.1047193911041169</c:v>
                </c:pt>
                <c:pt idx="362">
                  <c:v>-3.1047193911041169</c:v>
                </c:pt>
                <c:pt idx="363">
                  <c:v>-3.1047193911041169</c:v>
                </c:pt>
                <c:pt idx="364">
                  <c:v>-3.1047193911041169</c:v>
                </c:pt>
                <c:pt idx="365">
                  <c:v>-3.1047193911041169</c:v>
                </c:pt>
                <c:pt idx="366">
                  <c:v>-3.1047193911041169</c:v>
                </c:pt>
                <c:pt idx="367">
                  <c:v>-3.1047193911041169</c:v>
                </c:pt>
                <c:pt idx="368">
                  <c:v>-3.1047193911041169</c:v>
                </c:pt>
                <c:pt idx="369">
                  <c:v>-3.1047193911041169</c:v>
                </c:pt>
                <c:pt idx="370">
                  <c:v>-3.1047193911041169</c:v>
                </c:pt>
                <c:pt idx="371">
                  <c:v>-3.1047193911041169</c:v>
                </c:pt>
                <c:pt idx="372">
                  <c:v>-3.1047193911041169</c:v>
                </c:pt>
                <c:pt idx="373">
                  <c:v>-3.1047193911041169</c:v>
                </c:pt>
                <c:pt idx="374">
                  <c:v>-3.1047193911041169</c:v>
                </c:pt>
                <c:pt idx="375">
                  <c:v>-3.1047193911041169</c:v>
                </c:pt>
                <c:pt idx="376">
                  <c:v>-3.1047193911041169</c:v>
                </c:pt>
                <c:pt idx="377">
                  <c:v>-3.1047193911041169</c:v>
                </c:pt>
                <c:pt idx="378">
                  <c:v>-3.1047193911041169</c:v>
                </c:pt>
                <c:pt idx="379">
                  <c:v>-3.1047193911041169</c:v>
                </c:pt>
                <c:pt idx="380">
                  <c:v>-3.1047193911041169</c:v>
                </c:pt>
                <c:pt idx="381">
                  <c:v>-3.1047193911041169</c:v>
                </c:pt>
                <c:pt idx="382">
                  <c:v>-3.1047193911041169</c:v>
                </c:pt>
                <c:pt idx="383">
                  <c:v>-3.1047193911041169</c:v>
                </c:pt>
                <c:pt idx="384">
                  <c:v>-3.1047193911041169</c:v>
                </c:pt>
                <c:pt idx="385">
                  <c:v>-3.1047193911041169</c:v>
                </c:pt>
                <c:pt idx="386">
                  <c:v>-3.1047193911041169</c:v>
                </c:pt>
                <c:pt idx="387">
                  <c:v>-3.1047193911041169</c:v>
                </c:pt>
                <c:pt idx="388">
                  <c:v>-3.1047193911041169</c:v>
                </c:pt>
                <c:pt idx="389">
                  <c:v>-3.1047193911041169</c:v>
                </c:pt>
                <c:pt idx="390">
                  <c:v>-3.1047193911041169</c:v>
                </c:pt>
                <c:pt idx="391">
                  <c:v>-3.1047193911041169</c:v>
                </c:pt>
                <c:pt idx="392">
                  <c:v>-3.1047193911041169</c:v>
                </c:pt>
                <c:pt idx="393">
                  <c:v>-3.1047193911041169</c:v>
                </c:pt>
                <c:pt idx="394">
                  <c:v>-3.1047193911041169</c:v>
                </c:pt>
                <c:pt idx="395">
                  <c:v>-3.1047193911041169</c:v>
                </c:pt>
                <c:pt idx="396">
                  <c:v>-3.1047193911041169</c:v>
                </c:pt>
                <c:pt idx="397">
                  <c:v>-3.1047193911041169</c:v>
                </c:pt>
                <c:pt idx="398">
                  <c:v>-3.1047193911041169</c:v>
                </c:pt>
                <c:pt idx="399">
                  <c:v>-3.1047193911041169</c:v>
                </c:pt>
                <c:pt idx="400">
                  <c:v>-3.1047193911041169</c:v>
                </c:pt>
                <c:pt idx="401">
                  <c:v>-3.1047193911041169</c:v>
                </c:pt>
                <c:pt idx="402">
                  <c:v>-3.1047193911041169</c:v>
                </c:pt>
                <c:pt idx="403">
                  <c:v>-3.1047193911041169</c:v>
                </c:pt>
                <c:pt idx="404">
                  <c:v>-3.1047193911041169</c:v>
                </c:pt>
                <c:pt idx="405">
                  <c:v>-3.1047193911041169</c:v>
                </c:pt>
                <c:pt idx="406">
                  <c:v>-3.1047193911041169</c:v>
                </c:pt>
                <c:pt idx="407">
                  <c:v>-3.1047193911041169</c:v>
                </c:pt>
                <c:pt idx="408">
                  <c:v>-3.1047193911041169</c:v>
                </c:pt>
                <c:pt idx="409">
                  <c:v>-3.1047193911041169</c:v>
                </c:pt>
                <c:pt idx="410">
                  <c:v>-3.1047193911041169</c:v>
                </c:pt>
                <c:pt idx="411">
                  <c:v>-3.1047193911041169</c:v>
                </c:pt>
                <c:pt idx="412">
                  <c:v>-3.1047193911041169</c:v>
                </c:pt>
                <c:pt idx="413">
                  <c:v>-3.1047193911041169</c:v>
                </c:pt>
                <c:pt idx="414">
                  <c:v>-3.1047193911041169</c:v>
                </c:pt>
                <c:pt idx="415">
                  <c:v>-3.1047193911041169</c:v>
                </c:pt>
                <c:pt idx="416">
                  <c:v>-3.1047193911041169</c:v>
                </c:pt>
                <c:pt idx="417">
                  <c:v>-3.1047193911041169</c:v>
                </c:pt>
                <c:pt idx="418">
                  <c:v>-3.1047193911041169</c:v>
                </c:pt>
              </c:numCache>
            </c:numRef>
          </c:val>
          <c:smooth val="1"/>
          <c:extLst>
            <c:ext xmlns:c16="http://schemas.microsoft.com/office/drawing/2014/chart" uri="{C3380CC4-5D6E-409C-BE32-E72D297353CC}">
              <c16:uniqueId val="{00000003-C298-43C1-ACC8-BD9420F9EA2B}"/>
            </c:ext>
          </c:extLst>
        </c:ser>
        <c:dLbls>
          <c:showLegendKey val="0"/>
          <c:showVal val="0"/>
          <c:showCatName val="0"/>
          <c:showSerName val="0"/>
          <c:showPercent val="0"/>
          <c:showBubbleSize val="0"/>
        </c:dLbls>
        <c:smooth val="0"/>
        <c:axId val="147683023"/>
        <c:axId val="146645279"/>
        <c:extLst>
          <c:ext xmlns:c15="http://schemas.microsoft.com/office/drawing/2012/chart" uri="{02D57815-91ED-43cb-92C2-25804820EDAC}">
            <c15:filteredLineSeries>
              <c15:ser>
                <c:idx val="5"/>
                <c:order val="1"/>
                <c:tx>
                  <c:v>Up (MOC)</c:v>
                </c:tx>
                <c:spPr>
                  <a:ln w="28575" cap="rnd">
                    <a:solidFill>
                      <a:schemeClr val="accent6"/>
                    </a:solidFill>
                    <a:prstDash val="sysDash"/>
                    <a:round/>
                  </a:ln>
                  <a:effectLst/>
                </c:spPr>
                <c:marker>
                  <c:symbol val="none"/>
                </c:marker>
                <c:val>
                  <c:numRef>
                    <c:extLst>
                      <c:ext uri="{02D57815-91ED-43cb-92C2-25804820EDAC}">
                        <c15:formulaRef>
                          <c15:sqref>'2025-Q2'!$AX$4:$AX$350</c15:sqref>
                        </c15:formulaRef>
                      </c:ext>
                    </c:extLst>
                    <c:numCache>
                      <c:formatCode>"$"#,##0</c:formatCode>
                      <c:ptCount val="34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59.839999999999918</c:v>
                      </c:pt>
                      <c:pt idx="40">
                        <c:v>59.839999999999918</c:v>
                      </c:pt>
                      <c:pt idx="41">
                        <c:v>59.839999999999918</c:v>
                      </c:pt>
                      <c:pt idx="42">
                        <c:v>59.839999999999918</c:v>
                      </c:pt>
                      <c:pt idx="43">
                        <c:v>59.839999999999918</c:v>
                      </c:pt>
                      <c:pt idx="44">
                        <c:v>59.839999999999918</c:v>
                      </c:pt>
                      <c:pt idx="45">
                        <c:v>59.839999999999918</c:v>
                      </c:pt>
                      <c:pt idx="46">
                        <c:v>59.839999999999918</c:v>
                      </c:pt>
                      <c:pt idx="47">
                        <c:v>-74.660000000000196</c:v>
                      </c:pt>
                      <c:pt idx="48">
                        <c:v>-74.660000000000196</c:v>
                      </c:pt>
                      <c:pt idx="49">
                        <c:v>-74.660000000000196</c:v>
                      </c:pt>
                      <c:pt idx="50">
                        <c:v>-74.660000000000196</c:v>
                      </c:pt>
                      <c:pt idx="51">
                        <c:v>-74.660000000000196</c:v>
                      </c:pt>
                      <c:pt idx="52">
                        <c:v>-74.660000000000196</c:v>
                      </c:pt>
                      <c:pt idx="53">
                        <c:v>-74.660000000000196</c:v>
                      </c:pt>
                      <c:pt idx="54">
                        <c:v>-74.660000000000196</c:v>
                      </c:pt>
                      <c:pt idx="55">
                        <c:v>-74.660000000000196</c:v>
                      </c:pt>
                      <c:pt idx="56">
                        <c:v>-74.660000000000196</c:v>
                      </c:pt>
                      <c:pt idx="57">
                        <c:v>-74.660000000000196</c:v>
                      </c:pt>
                      <c:pt idx="58">
                        <c:v>-74.660000000000196</c:v>
                      </c:pt>
                      <c:pt idx="59">
                        <c:v>-74.660000000000196</c:v>
                      </c:pt>
                      <c:pt idx="60">
                        <c:v>-74.660000000000196</c:v>
                      </c:pt>
                      <c:pt idx="61">
                        <c:v>-74.660000000000196</c:v>
                      </c:pt>
                      <c:pt idx="62">
                        <c:v>-74.660000000000196</c:v>
                      </c:pt>
                      <c:pt idx="63">
                        <c:v>-74.660000000000196</c:v>
                      </c:pt>
                      <c:pt idx="64">
                        <c:v>-74.660000000000196</c:v>
                      </c:pt>
                      <c:pt idx="65">
                        <c:v>-74.660000000000196</c:v>
                      </c:pt>
                      <c:pt idx="66">
                        <c:v>-74.660000000000196</c:v>
                      </c:pt>
                      <c:pt idx="67">
                        <c:v>-74.660000000000196</c:v>
                      </c:pt>
                      <c:pt idx="68">
                        <c:v>-74.660000000000196</c:v>
                      </c:pt>
                      <c:pt idx="69">
                        <c:v>-54.660000000000196</c:v>
                      </c:pt>
                      <c:pt idx="70">
                        <c:v>-54.660000000000196</c:v>
                      </c:pt>
                      <c:pt idx="71">
                        <c:v>-66.900000000000205</c:v>
                      </c:pt>
                      <c:pt idx="72">
                        <c:v>-66.900000000000205</c:v>
                      </c:pt>
                      <c:pt idx="73">
                        <c:v>-66.900000000000205</c:v>
                      </c:pt>
                      <c:pt idx="74">
                        <c:v>-66.900000000000205</c:v>
                      </c:pt>
                      <c:pt idx="75">
                        <c:v>-66.900000000000205</c:v>
                      </c:pt>
                      <c:pt idx="76">
                        <c:v>-66.900000000000205</c:v>
                      </c:pt>
                      <c:pt idx="77">
                        <c:v>-66.900000000000205</c:v>
                      </c:pt>
                      <c:pt idx="78">
                        <c:v>-66.900000000000205</c:v>
                      </c:pt>
                      <c:pt idx="79">
                        <c:v>-66.900000000000205</c:v>
                      </c:pt>
                      <c:pt idx="80">
                        <c:v>-66.900000000000205</c:v>
                      </c:pt>
                      <c:pt idx="81">
                        <c:v>-66.900000000000205</c:v>
                      </c:pt>
                      <c:pt idx="82">
                        <c:v>-66.900000000000205</c:v>
                      </c:pt>
                      <c:pt idx="83">
                        <c:v>-66.900000000000205</c:v>
                      </c:pt>
                      <c:pt idx="84">
                        <c:v>-66.900000000000205</c:v>
                      </c:pt>
                      <c:pt idx="85">
                        <c:v>-66.900000000000205</c:v>
                      </c:pt>
                      <c:pt idx="86">
                        <c:v>-66.900000000000205</c:v>
                      </c:pt>
                      <c:pt idx="87">
                        <c:v>-66.900000000000205</c:v>
                      </c:pt>
                      <c:pt idx="88">
                        <c:v>-66.900000000000205</c:v>
                      </c:pt>
                      <c:pt idx="89">
                        <c:v>-66.900000000000205</c:v>
                      </c:pt>
                      <c:pt idx="90">
                        <c:v>-66.900000000000205</c:v>
                      </c:pt>
                      <c:pt idx="91">
                        <c:v>-66.900000000000205</c:v>
                      </c:pt>
                      <c:pt idx="92">
                        <c:v>-66.900000000000205</c:v>
                      </c:pt>
                      <c:pt idx="93">
                        <c:v>-66.900000000000205</c:v>
                      </c:pt>
                      <c:pt idx="94">
                        <c:v>-66.900000000000205</c:v>
                      </c:pt>
                      <c:pt idx="95">
                        <c:v>-66.900000000000205</c:v>
                      </c:pt>
                      <c:pt idx="96">
                        <c:v>-66.900000000000205</c:v>
                      </c:pt>
                      <c:pt idx="97">
                        <c:v>-66.900000000000205</c:v>
                      </c:pt>
                      <c:pt idx="98">
                        <c:v>-66.900000000000205</c:v>
                      </c:pt>
                      <c:pt idx="99">
                        <c:v>-66.900000000000205</c:v>
                      </c:pt>
                      <c:pt idx="100">
                        <c:v>-66.900000000000205</c:v>
                      </c:pt>
                      <c:pt idx="101">
                        <c:v>-66.900000000000205</c:v>
                      </c:pt>
                      <c:pt idx="102">
                        <c:v>-66.900000000000205</c:v>
                      </c:pt>
                      <c:pt idx="103">
                        <c:v>-184.54000000000019</c:v>
                      </c:pt>
                      <c:pt idx="104">
                        <c:v>-184.54000000000019</c:v>
                      </c:pt>
                      <c:pt idx="105">
                        <c:v>-184.54000000000019</c:v>
                      </c:pt>
                      <c:pt idx="106">
                        <c:v>-173.34000000000015</c:v>
                      </c:pt>
                      <c:pt idx="107">
                        <c:v>-173.34000000000015</c:v>
                      </c:pt>
                      <c:pt idx="108">
                        <c:v>-173.34000000000015</c:v>
                      </c:pt>
                      <c:pt idx="109">
                        <c:v>-173.34000000000015</c:v>
                      </c:pt>
                      <c:pt idx="110">
                        <c:v>-173.34000000000015</c:v>
                      </c:pt>
                      <c:pt idx="111">
                        <c:v>-173.34000000000015</c:v>
                      </c:pt>
                      <c:pt idx="112">
                        <c:v>-173.34000000000015</c:v>
                      </c:pt>
                      <c:pt idx="113">
                        <c:v>-173.34000000000015</c:v>
                      </c:pt>
                      <c:pt idx="114">
                        <c:v>-173.34000000000015</c:v>
                      </c:pt>
                      <c:pt idx="115">
                        <c:v>-173.34000000000015</c:v>
                      </c:pt>
                      <c:pt idx="116">
                        <c:v>-173.34000000000015</c:v>
                      </c:pt>
                      <c:pt idx="117">
                        <c:v>-173.34000000000015</c:v>
                      </c:pt>
                      <c:pt idx="118">
                        <c:v>-173.34000000000015</c:v>
                      </c:pt>
                      <c:pt idx="119">
                        <c:v>-173.34000000000015</c:v>
                      </c:pt>
                      <c:pt idx="120">
                        <c:v>-173.34000000000015</c:v>
                      </c:pt>
                      <c:pt idx="121">
                        <c:v>-174.74000000000024</c:v>
                      </c:pt>
                      <c:pt idx="122">
                        <c:v>-174.74000000000024</c:v>
                      </c:pt>
                      <c:pt idx="123">
                        <c:v>-174.74000000000024</c:v>
                      </c:pt>
                      <c:pt idx="124">
                        <c:v>-174.74000000000024</c:v>
                      </c:pt>
                      <c:pt idx="125">
                        <c:v>-174.74000000000024</c:v>
                      </c:pt>
                      <c:pt idx="126">
                        <c:v>-174.74000000000024</c:v>
                      </c:pt>
                      <c:pt idx="127">
                        <c:v>-174.74000000000024</c:v>
                      </c:pt>
                      <c:pt idx="128">
                        <c:v>-174.74000000000024</c:v>
                      </c:pt>
                      <c:pt idx="129">
                        <c:v>-174.74000000000024</c:v>
                      </c:pt>
                      <c:pt idx="130">
                        <c:v>-174.74000000000024</c:v>
                      </c:pt>
                      <c:pt idx="131">
                        <c:v>-174.74000000000024</c:v>
                      </c:pt>
                      <c:pt idx="132">
                        <c:v>-174.74000000000024</c:v>
                      </c:pt>
                      <c:pt idx="133">
                        <c:v>-174.74000000000024</c:v>
                      </c:pt>
                      <c:pt idx="134">
                        <c:v>-174.74000000000024</c:v>
                      </c:pt>
                      <c:pt idx="135">
                        <c:v>-174.74000000000024</c:v>
                      </c:pt>
                      <c:pt idx="136">
                        <c:v>-174.74000000000024</c:v>
                      </c:pt>
                      <c:pt idx="137">
                        <c:v>-163.1400000000001</c:v>
                      </c:pt>
                      <c:pt idx="138">
                        <c:v>-163.1400000000001</c:v>
                      </c:pt>
                      <c:pt idx="139">
                        <c:v>-163.1400000000001</c:v>
                      </c:pt>
                      <c:pt idx="140">
                        <c:v>-163.1400000000001</c:v>
                      </c:pt>
                      <c:pt idx="141">
                        <c:v>-163.1400000000001</c:v>
                      </c:pt>
                      <c:pt idx="142">
                        <c:v>-163.1400000000001</c:v>
                      </c:pt>
                      <c:pt idx="143">
                        <c:v>-163.1400000000001</c:v>
                      </c:pt>
                      <c:pt idx="144">
                        <c:v>-163.1400000000001</c:v>
                      </c:pt>
                      <c:pt idx="145">
                        <c:v>-163.1400000000001</c:v>
                      </c:pt>
                      <c:pt idx="146">
                        <c:v>-163.1400000000001</c:v>
                      </c:pt>
                      <c:pt idx="147">
                        <c:v>-163.1400000000001</c:v>
                      </c:pt>
                      <c:pt idx="148">
                        <c:v>-163.1400000000001</c:v>
                      </c:pt>
                      <c:pt idx="149">
                        <c:v>-163.1400000000001</c:v>
                      </c:pt>
                      <c:pt idx="150">
                        <c:v>-163.1400000000001</c:v>
                      </c:pt>
                      <c:pt idx="151">
                        <c:v>-163.1400000000001</c:v>
                      </c:pt>
                      <c:pt idx="152">
                        <c:v>-163.1400000000001</c:v>
                      </c:pt>
                      <c:pt idx="153">
                        <c:v>-163.1400000000001</c:v>
                      </c:pt>
                      <c:pt idx="154">
                        <c:v>-163.1400000000001</c:v>
                      </c:pt>
                      <c:pt idx="155">
                        <c:v>-163.1400000000001</c:v>
                      </c:pt>
                      <c:pt idx="156">
                        <c:v>-163.1400000000001</c:v>
                      </c:pt>
                      <c:pt idx="157">
                        <c:v>-163.1400000000001</c:v>
                      </c:pt>
                      <c:pt idx="158">
                        <c:v>-163.1400000000001</c:v>
                      </c:pt>
                      <c:pt idx="159">
                        <c:v>-163.1400000000001</c:v>
                      </c:pt>
                      <c:pt idx="160">
                        <c:v>-163.1400000000001</c:v>
                      </c:pt>
                      <c:pt idx="161">
                        <c:v>-163.1400000000001</c:v>
                      </c:pt>
                      <c:pt idx="162">
                        <c:v>-163.1400000000001</c:v>
                      </c:pt>
                      <c:pt idx="163">
                        <c:v>-163.1400000000001</c:v>
                      </c:pt>
                      <c:pt idx="164">
                        <c:v>-163.1400000000001</c:v>
                      </c:pt>
                      <c:pt idx="165">
                        <c:v>-163.1400000000001</c:v>
                      </c:pt>
                      <c:pt idx="166">
                        <c:v>-163.1400000000001</c:v>
                      </c:pt>
                      <c:pt idx="167">
                        <c:v>-163.1400000000001</c:v>
                      </c:pt>
                      <c:pt idx="168">
                        <c:v>-163.1400000000001</c:v>
                      </c:pt>
                      <c:pt idx="169">
                        <c:v>-163.1400000000001</c:v>
                      </c:pt>
                      <c:pt idx="170">
                        <c:v>-163.1400000000001</c:v>
                      </c:pt>
                      <c:pt idx="171">
                        <c:v>-163.1400000000001</c:v>
                      </c:pt>
                      <c:pt idx="172">
                        <c:v>-163.1400000000001</c:v>
                      </c:pt>
                      <c:pt idx="173">
                        <c:v>-163.1400000000001</c:v>
                      </c:pt>
                      <c:pt idx="174">
                        <c:v>-163.1400000000001</c:v>
                      </c:pt>
                      <c:pt idx="175">
                        <c:v>-163.1400000000001</c:v>
                      </c:pt>
                      <c:pt idx="176">
                        <c:v>-163.1400000000001</c:v>
                      </c:pt>
                      <c:pt idx="177">
                        <c:v>-163.1400000000001</c:v>
                      </c:pt>
                      <c:pt idx="178">
                        <c:v>-163.1400000000001</c:v>
                      </c:pt>
                      <c:pt idx="179">
                        <c:v>-163.1400000000001</c:v>
                      </c:pt>
                      <c:pt idx="180">
                        <c:v>-163.1400000000001</c:v>
                      </c:pt>
                      <c:pt idx="181">
                        <c:v>-163.1400000000001</c:v>
                      </c:pt>
                      <c:pt idx="182">
                        <c:v>-163.1400000000001</c:v>
                      </c:pt>
                      <c:pt idx="183">
                        <c:v>-163.1400000000001</c:v>
                      </c:pt>
                      <c:pt idx="184">
                        <c:v>-163.1400000000001</c:v>
                      </c:pt>
                      <c:pt idx="185">
                        <c:v>-163.1400000000001</c:v>
                      </c:pt>
                      <c:pt idx="186">
                        <c:v>-163.1400000000001</c:v>
                      </c:pt>
                      <c:pt idx="187">
                        <c:v>-163.1400000000001</c:v>
                      </c:pt>
                      <c:pt idx="188">
                        <c:v>-163.1400000000001</c:v>
                      </c:pt>
                      <c:pt idx="189">
                        <c:v>-163.1400000000001</c:v>
                      </c:pt>
                      <c:pt idx="190">
                        <c:v>-163.1400000000001</c:v>
                      </c:pt>
                      <c:pt idx="191">
                        <c:v>-163.1400000000001</c:v>
                      </c:pt>
                      <c:pt idx="192">
                        <c:v>-163.1400000000001</c:v>
                      </c:pt>
                      <c:pt idx="193">
                        <c:v>-163.1400000000001</c:v>
                      </c:pt>
                      <c:pt idx="194">
                        <c:v>-163.1400000000001</c:v>
                      </c:pt>
                      <c:pt idx="195">
                        <c:v>-163.1400000000001</c:v>
                      </c:pt>
                      <c:pt idx="196">
                        <c:v>-163.1400000000001</c:v>
                      </c:pt>
                      <c:pt idx="197">
                        <c:v>-163.1400000000001</c:v>
                      </c:pt>
                      <c:pt idx="198">
                        <c:v>-163.1400000000001</c:v>
                      </c:pt>
                      <c:pt idx="199">
                        <c:v>-163.1400000000001</c:v>
                      </c:pt>
                      <c:pt idx="200">
                        <c:v>-181.17000000000007</c:v>
                      </c:pt>
                      <c:pt idx="201">
                        <c:v>-181.17000000000007</c:v>
                      </c:pt>
                      <c:pt idx="202">
                        <c:v>-181.17000000000007</c:v>
                      </c:pt>
                      <c:pt idx="203">
                        <c:v>-151.49</c:v>
                      </c:pt>
                      <c:pt idx="204">
                        <c:v>-151.49</c:v>
                      </c:pt>
                      <c:pt idx="205">
                        <c:v>-151.49</c:v>
                      </c:pt>
                      <c:pt idx="206">
                        <c:v>-151.49</c:v>
                      </c:pt>
                      <c:pt idx="207">
                        <c:v>-151.49</c:v>
                      </c:pt>
                      <c:pt idx="208">
                        <c:v>-151.49</c:v>
                      </c:pt>
                      <c:pt idx="209">
                        <c:v>-151.49</c:v>
                      </c:pt>
                      <c:pt idx="210">
                        <c:v>-151.49</c:v>
                      </c:pt>
                      <c:pt idx="211">
                        <c:v>-151.49</c:v>
                      </c:pt>
                      <c:pt idx="212">
                        <c:v>-151.49</c:v>
                      </c:pt>
                      <c:pt idx="213">
                        <c:v>-151.49</c:v>
                      </c:pt>
                      <c:pt idx="214">
                        <c:v>-151.49</c:v>
                      </c:pt>
                      <c:pt idx="215">
                        <c:v>-151.49</c:v>
                      </c:pt>
                      <c:pt idx="216">
                        <c:v>-151.49</c:v>
                      </c:pt>
                      <c:pt idx="217">
                        <c:v>-85.340000000000032</c:v>
                      </c:pt>
                      <c:pt idx="218">
                        <c:v>-85.340000000000032</c:v>
                      </c:pt>
                      <c:pt idx="219">
                        <c:v>-85.340000000000032</c:v>
                      </c:pt>
                      <c:pt idx="220">
                        <c:v>-85.340000000000032</c:v>
                      </c:pt>
                      <c:pt idx="221">
                        <c:v>-85.340000000000032</c:v>
                      </c:pt>
                      <c:pt idx="222">
                        <c:v>-85.340000000000032</c:v>
                      </c:pt>
                      <c:pt idx="223">
                        <c:v>-142.90000000000009</c:v>
                      </c:pt>
                      <c:pt idx="224">
                        <c:v>-142.90000000000009</c:v>
                      </c:pt>
                      <c:pt idx="225">
                        <c:v>-142.90000000000009</c:v>
                      </c:pt>
                      <c:pt idx="226">
                        <c:v>-142.90000000000009</c:v>
                      </c:pt>
                      <c:pt idx="227">
                        <c:v>-142.90000000000009</c:v>
                      </c:pt>
                      <c:pt idx="228">
                        <c:v>-142.90000000000009</c:v>
                      </c:pt>
                      <c:pt idx="229">
                        <c:v>-142.90000000000009</c:v>
                      </c:pt>
                      <c:pt idx="230">
                        <c:v>-142.90000000000009</c:v>
                      </c:pt>
                      <c:pt idx="231">
                        <c:v>-142.90000000000009</c:v>
                      </c:pt>
                      <c:pt idx="232">
                        <c:v>-142.90000000000009</c:v>
                      </c:pt>
                      <c:pt idx="233">
                        <c:v>-142.90000000000009</c:v>
                      </c:pt>
                      <c:pt idx="234">
                        <c:v>-142.90000000000009</c:v>
                      </c:pt>
                      <c:pt idx="235">
                        <c:v>-142.90000000000009</c:v>
                      </c:pt>
                      <c:pt idx="236">
                        <c:v>-142.90000000000009</c:v>
                      </c:pt>
                      <c:pt idx="237">
                        <c:v>-142.90000000000009</c:v>
                      </c:pt>
                      <c:pt idx="238">
                        <c:v>-142.90000000000009</c:v>
                      </c:pt>
                      <c:pt idx="239">
                        <c:v>-142.90000000000009</c:v>
                      </c:pt>
                      <c:pt idx="240">
                        <c:v>-132.30000000000018</c:v>
                      </c:pt>
                      <c:pt idx="241">
                        <c:v>-132.30000000000018</c:v>
                      </c:pt>
                      <c:pt idx="242">
                        <c:v>-132.30000000000018</c:v>
                      </c:pt>
                      <c:pt idx="243">
                        <c:v>-132.30000000000018</c:v>
                      </c:pt>
                      <c:pt idx="244">
                        <c:v>-132.30000000000018</c:v>
                      </c:pt>
                      <c:pt idx="245">
                        <c:v>-132.30000000000018</c:v>
                      </c:pt>
                      <c:pt idx="246">
                        <c:v>-132.30000000000018</c:v>
                      </c:pt>
                      <c:pt idx="247">
                        <c:v>-132.30000000000018</c:v>
                      </c:pt>
                      <c:pt idx="248">
                        <c:v>-132.30000000000018</c:v>
                      </c:pt>
                      <c:pt idx="249">
                        <c:v>-132.30000000000018</c:v>
                      </c:pt>
                      <c:pt idx="250">
                        <c:v>-132.30000000000018</c:v>
                      </c:pt>
                      <c:pt idx="251">
                        <c:v>-132.30000000000018</c:v>
                      </c:pt>
                      <c:pt idx="252">
                        <c:v>-132.30000000000018</c:v>
                      </c:pt>
                      <c:pt idx="253">
                        <c:v>-132.30000000000018</c:v>
                      </c:pt>
                      <c:pt idx="254">
                        <c:v>-132.30000000000018</c:v>
                      </c:pt>
                      <c:pt idx="255">
                        <c:v>-132.30000000000018</c:v>
                      </c:pt>
                      <c:pt idx="256">
                        <c:v>-132.30000000000018</c:v>
                      </c:pt>
                      <c:pt idx="257">
                        <c:v>-269.63053243920194</c:v>
                      </c:pt>
                      <c:pt idx="258">
                        <c:v>-299.03053243920203</c:v>
                      </c:pt>
                      <c:pt idx="259">
                        <c:v>-299.03053243920203</c:v>
                      </c:pt>
                      <c:pt idx="260">
                        <c:v>-299.03053243920203</c:v>
                      </c:pt>
                      <c:pt idx="261">
                        <c:v>-299.03053243920203</c:v>
                      </c:pt>
                      <c:pt idx="262">
                        <c:v>-299.03053243920203</c:v>
                      </c:pt>
                      <c:pt idx="263">
                        <c:v>-299.03053243920203</c:v>
                      </c:pt>
                      <c:pt idx="264">
                        <c:v>-299.03053243920203</c:v>
                      </c:pt>
                      <c:pt idx="265">
                        <c:v>-299.03053243920203</c:v>
                      </c:pt>
                      <c:pt idx="266">
                        <c:v>-299.03053243920203</c:v>
                      </c:pt>
                      <c:pt idx="267">
                        <c:v>-299.03053243920203</c:v>
                      </c:pt>
                      <c:pt idx="268">
                        <c:v>-299.03053243920203</c:v>
                      </c:pt>
                      <c:pt idx="269">
                        <c:v>-299.03053243920203</c:v>
                      </c:pt>
                      <c:pt idx="270">
                        <c:v>-299.03053243920203</c:v>
                      </c:pt>
                      <c:pt idx="271">
                        <c:v>-299.03053243920203</c:v>
                      </c:pt>
                      <c:pt idx="272">
                        <c:v>-299.03053243920203</c:v>
                      </c:pt>
                      <c:pt idx="273">
                        <c:v>-385.38106797961109</c:v>
                      </c:pt>
                      <c:pt idx="274">
                        <c:v>-385.38106797961109</c:v>
                      </c:pt>
                      <c:pt idx="275">
                        <c:v>-385.38106797961109</c:v>
                      </c:pt>
                      <c:pt idx="276">
                        <c:v>-385.38106797961109</c:v>
                      </c:pt>
                      <c:pt idx="277">
                        <c:v>-377.70106797961103</c:v>
                      </c:pt>
                      <c:pt idx="278">
                        <c:v>-377.70106797961103</c:v>
                      </c:pt>
                      <c:pt idx="279">
                        <c:v>-377.70106797961103</c:v>
                      </c:pt>
                      <c:pt idx="280">
                        <c:v>-377.70106797961103</c:v>
                      </c:pt>
                      <c:pt idx="281">
                        <c:v>-377.70106797961103</c:v>
                      </c:pt>
                      <c:pt idx="282">
                        <c:v>-377.70106797961103</c:v>
                      </c:pt>
                      <c:pt idx="283">
                        <c:v>-377.70106797961103</c:v>
                      </c:pt>
                      <c:pt idx="284">
                        <c:v>-377.70106797961103</c:v>
                      </c:pt>
                      <c:pt idx="285">
                        <c:v>-377.70106797961103</c:v>
                      </c:pt>
                      <c:pt idx="286">
                        <c:v>-377.70106797961103</c:v>
                      </c:pt>
                      <c:pt idx="287">
                        <c:v>-377.70106797961103</c:v>
                      </c:pt>
                      <c:pt idx="288">
                        <c:v>-377.70106797961103</c:v>
                      </c:pt>
                      <c:pt idx="289">
                        <c:v>-377.70106797961103</c:v>
                      </c:pt>
                      <c:pt idx="290">
                        <c:v>-366.42106797961105</c:v>
                      </c:pt>
                      <c:pt idx="291">
                        <c:v>-366.42106797961105</c:v>
                      </c:pt>
                      <c:pt idx="292">
                        <c:v>-366.42106797961105</c:v>
                      </c:pt>
                      <c:pt idx="293">
                        <c:v>-366.42106797961105</c:v>
                      </c:pt>
                      <c:pt idx="294">
                        <c:v>-366.42106797961105</c:v>
                      </c:pt>
                      <c:pt idx="295">
                        <c:v>-394.76106797961097</c:v>
                      </c:pt>
                      <c:pt idx="296">
                        <c:v>-394.76106797961097</c:v>
                      </c:pt>
                      <c:pt idx="297">
                        <c:v>-339.68106797961104</c:v>
                      </c:pt>
                      <c:pt idx="298">
                        <c:v>-339.68106797961104</c:v>
                      </c:pt>
                      <c:pt idx="299">
                        <c:v>-339.68106797961104</c:v>
                      </c:pt>
                      <c:pt idx="300">
                        <c:v>-339.68106797961104</c:v>
                      </c:pt>
                      <c:pt idx="301">
                        <c:v>-339.68106797961104</c:v>
                      </c:pt>
                      <c:pt idx="302">
                        <c:v>-339.68106797961104</c:v>
                      </c:pt>
                      <c:pt idx="303">
                        <c:v>-339.68106797961104</c:v>
                      </c:pt>
                      <c:pt idx="304">
                        <c:v>-438.46106797961124</c:v>
                      </c:pt>
                      <c:pt idx="305">
                        <c:v>-438.46106797961124</c:v>
                      </c:pt>
                      <c:pt idx="306">
                        <c:v>-438.46106797961124</c:v>
                      </c:pt>
                      <c:pt idx="307">
                        <c:v>-438.46106797961124</c:v>
                      </c:pt>
                      <c:pt idx="308">
                        <c:v>-438.46106797961124</c:v>
                      </c:pt>
                      <c:pt idx="309">
                        <c:v>-390.96106797961124</c:v>
                      </c:pt>
                      <c:pt idx="310">
                        <c:v>-390.96106797961124</c:v>
                      </c:pt>
                      <c:pt idx="311">
                        <c:v>-390.96106797961124</c:v>
                      </c:pt>
                      <c:pt idx="312">
                        <c:v>-390.96106797961124</c:v>
                      </c:pt>
                      <c:pt idx="313">
                        <c:v>-349.11106797961111</c:v>
                      </c:pt>
                      <c:pt idx="314">
                        <c:v>-349.11106797961111</c:v>
                      </c:pt>
                      <c:pt idx="315">
                        <c:v>-349.11106797961111</c:v>
                      </c:pt>
                      <c:pt idx="316">
                        <c:v>-342.69106797961103</c:v>
                      </c:pt>
                      <c:pt idx="317">
                        <c:v>-340.17106797961105</c:v>
                      </c:pt>
                      <c:pt idx="318">
                        <c:v>-340.17106797961105</c:v>
                      </c:pt>
                      <c:pt idx="319">
                        <c:v>-340.17106797961105</c:v>
                      </c:pt>
                      <c:pt idx="320">
                        <c:v>-340.17106797961105</c:v>
                      </c:pt>
                      <c:pt idx="321">
                        <c:v>-340.17106797961105</c:v>
                      </c:pt>
                      <c:pt idx="322">
                        <c:v>-340.17106797961105</c:v>
                      </c:pt>
                      <c:pt idx="323">
                        <c:v>-340.17106797961105</c:v>
                      </c:pt>
                      <c:pt idx="324">
                        <c:v>-340.17106797961105</c:v>
                      </c:pt>
                      <c:pt idx="325">
                        <c:v>-340.17106797961105</c:v>
                      </c:pt>
                      <c:pt idx="326">
                        <c:v>-340.17106797961105</c:v>
                      </c:pt>
                      <c:pt idx="327">
                        <c:v>-340.17106797961105</c:v>
                      </c:pt>
                      <c:pt idx="328">
                        <c:v>-340.17106797961105</c:v>
                      </c:pt>
                      <c:pt idx="329">
                        <c:v>-240.66106797961083</c:v>
                      </c:pt>
                      <c:pt idx="330">
                        <c:v>-240.66106797961083</c:v>
                      </c:pt>
                      <c:pt idx="331">
                        <c:v>-240.66106797961083</c:v>
                      </c:pt>
                      <c:pt idx="332">
                        <c:v>-240.66106797961083</c:v>
                      </c:pt>
                      <c:pt idx="333">
                        <c:v>-240.66106797961083</c:v>
                      </c:pt>
                      <c:pt idx="334">
                        <c:v>-178.13106797961063</c:v>
                      </c:pt>
                      <c:pt idx="335">
                        <c:v>-178.13106797961063</c:v>
                      </c:pt>
                      <c:pt idx="336">
                        <c:v>-178.13106797961063</c:v>
                      </c:pt>
                      <c:pt idx="337">
                        <c:v>-178.13106797961063</c:v>
                      </c:pt>
                      <c:pt idx="338">
                        <c:v>-206.13106797961063</c:v>
                      </c:pt>
                      <c:pt idx="339">
                        <c:v>-206.13106797961063</c:v>
                      </c:pt>
                      <c:pt idx="340">
                        <c:v>-206.13106797961063</c:v>
                      </c:pt>
                      <c:pt idx="341">
                        <c:v>-203.43106797961059</c:v>
                      </c:pt>
                      <c:pt idx="342">
                        <c:v>-203.43106797961059</c:v>
                      </c:pt>
                      <c:pt idx="343">
                        <c:v>-203.43106797961059</c:v>
                      </c:pt>
                      <c:pt idx="344">
                        <c:v>-203.43106797961059</c:v>
                      </c:pt>
                      <c:pt idx="345">
                        <c:v>-295.97106797961055</c:v>
                      </c:pt>
                      <c:pt idx="346">
                        <c:v>-295.97106797961055</c:v>
                      </c:pt>
                    </c:numCache>
                  </c:numRef>
                </c:val>
                <c:smooth val="0"/>
                <c:extLst>
                  <c:ext xmlns:c16="http://schemas.microsoft.com/office/drawing/2014/chart" uri="{C3380CC4-5D6E-409C-BE32-E72D297353CC}">
                    <c16:uniqueId val="{00000004-C298-43C1-ACC8-BD9420F9EA2B}"/>
                  </c:ext>
                </c:extLst>
              </c15:ser>
            </c15:filteredLineSeries>
            <c15:filteredLineSeries>
              <c15:ser>
                <c:idx val="4"/>
                <c:order val="4"/>
                <c:tx>
                  <c:v>SW (MOC)</c:v>
                </c:tx>
                <c:spPr>
                  <a:ln w="28575" cap="rnd">
                    <a:solidFill>
                      <a:schemeClr val="accent4">
                        <a:lumMod val="60000"/>
                        <a:lumOff val="40000"/>
                      </a:schemeClr>
                    </a:solidFill>
                    <a:prstDash val="sysDash"/>
                    <a:round/>
                  </a:ln>
                  <a:effectLst/>
                </c:spPr>
                <c:marker>
                  <c:symbol val="none"/>
                </c:marker>
                <c:val>
                  <c:numRef>
                    <c:extLst xmlns:c15="http://schemas.microsoft.com/office/drawing/2012/chart">
                      <c:ext xmlns:c15="http://schemas.microsoft.com/office/drawing/2012/chart" uri="{02D57815-91ED-43cb-92C2-25804820EDAC}">
                        <c15:formulaRef>
                          <c15:sqref>'2025-Q2'!$AV$4:$AV$350</c15:sqref>
                        </c15:formulaRef>
                      </c:ext>
                    </c:extLst>
                    <c:numCache>
                      <c:formatCode>"$"#,##0</c:formatCode>
                      <c:ptCount val="347"/>
                      <c:pt idx="0">
                        <c:v>0</c:v>
                      </c:pt>
                      <c:pt idx="1">
                        <c:v>0</c:v>
                      </c:pt>
                      <c:pt idx="2">
                        <c:v>45.449999999999818</c:v>
                      </c:pt>
                      <c:pt idx="3">
                        <c:v>35.25</c:v>
                      </c:pt>
                      <c:pt idx="4">
                        <c:v>55.25</c:v>
                      </c:pt>
                      <c:pt idx="5">
                        <c:v>70.090000000000146</c:v>
                      </c:pt>
                      <c:pt idx="6">
                        <c:v>85.490000000000236</c:v>
                      </c:pt>
                      <c:pt idx="7">
                        <c:v>158.24</c:v>
                      </c:pt>
                      <c:pt idx="8">
                        <c:v>177.32000000000005</c:v>
                      </c:pt>
                      <c:pt idx="9">
                        <c:v>177.32000000000005</c:v>
                      </c:pt>
                      <c:pt idx="10">
                        <c:v>197.30000000000007</c:v>
                      </c:pt>
                      <c:pt idx="11">
                        <c:v>236.89999999999998</c:v>
                      </c:pt>
                      <c:pt idx="12">
                        <c:v>236.89999999999998</c:v>
                      </c:pt>
                      <c:pt idx="13">
                        <c:v>231.72000000000014</c:v>
                      </c:pt>
                      <c:pt idx="14">
                        <c:v>231.72000000000014</c:v>
                      </c:pt>
                      <c:pt idx="15">
                        <c:v>231.54000000000008</c:v>
                      </c:pt>
                      <c:pt idx="16">
                        <c:v>231.54000000000008</c:v>
                      </c:pt>
                      <c:pt idx="17">
                        <c:v>231.54000000000008</c:v>
                      </c:pt>
                      <c:pt idx="18">
                        <c:v>212.34000000000003</c:v>
                      </c:pt>
                      <c:pt idx="19">
                        <c:v>243.65999999999997</c:v>
                      </c:pt>
                      <c:pt idx="20">
                        <c:v>256.64966594568602</c:v>
                      </c:pt>
                      <c:pt idx="21">
                        <c:v>252.56795937946242</c:v>
                      </c:pt>
                      <c:pt idx="22">
                        <c:v>252.56795937946242</c:v>
                      </c:pt>
                      <c:pt idx="23">
                        <c:v>258.96870149449035</c:v>
                      </c:pt>
                      <c:pt idx="24">
                        <c:v>281.78870149449051</c:v>
                      </c:pt>
                      <c:pt idx="25">
                        <c:v>19.92870149449061</c:v>
                      </c:pt>
                      <c:pt idx="26">
                        <c:v>19.92870149449061</c:v>
                      </c:pt>
                      <c:pt idx="27">
                        <c:v>19.92870149449061</c:v>
                      </c:pt>
                      <c:pt idx="28">
                        <c:v>19.92870149449061</c:v>
                      </c:pt>
                      <c:pt idx="29">
                        <c:v>26.67870149449061</c:v>
                      </c:pt>
                      <c:pt idx="30">
                        <c:v>26.67870149449061</c:v>
                      </c:pt>
                      <c:pt idx="31">
                        <c:v>26.67870149449061</c:v>
                      </c:pt>
                      <c:pt idx="32">
                        <c:v>26.67870149449061</c:v>
                      </c:pt>
                      <c:pt idx="33">
                        <c:v>18.628701494490656</c:v>
                      </c:pt>
                      <c:pt idx="34">
                        <c:v>-37.621298505509344</c:v>
                      </c:pt>
                      <c:pt idx="35">
                        <c:v>-117.30129850550941</c:v>
                      </c:pt>
                      <c:pt idx="36">
                        <c:v>-117.30129850550941</c:v>
                      </c:pt>
                      <c:pt idx="37">
                        <c:v>-136.55129850550941</c:v>
                      </c:pt>
                      <c:pt idx="38">
                        <c:v>-121.67129850550941</c:v>
                      </c:pt>
                      <c:pt idx="39">
                        <c:v>-121.67129850550941</c:v>
                      </c:pt>
                      <c:pt idx="40">
                        <c:v>-121.67129850550941</c:v>
                      </c:pt>
                      <c:pt idx="41">
                        <c:v>-121.67129850550941</c:v>
                      </c:pt>
                      <c:pt idx="42">
                        <c:v>-121.67129850550941</c:v>
                      </c:pt>
                      <c:pt idx="43">
                        <c:v>-45.861298505509467</c:v>
                      </c:pt>
                      <c:pt idx="44">
                        <c:v>-39.361298505509467</c:v>
                      </c:pt>
                      <c:pt idx="45">
                        <c:v>-28.111298505509467</c:v>
                      </c:pt>
                      <c:pt idx="46">
                        <c:v>-28.111298505509467</c:v>
                      </c:pt>
                      <c:pt idx="47">
                        <c:v>-28.111298505509467</c:v>
                      </c:pt>
                      <c:pt idx="48">
                        <c:v>-28.111298505509467</c:v>
                      </c:pt>
                      <c:pt idx="49">
                        <c:v>-142.53968337706056</c:v>
                      </c:pt>
                      <c:pt idx="50">
                        <c:v>-160.4474473522157</c:v>
                      </c:pt>
                      <c:pt idx="51">
                        <c:v>-68.287447352215622</c:v>
                      </c:pt>
                      <c:pt idx="52">
                        <c:v>-68.287447352215622</c:v>
                      </c:pt>
                      <c:pt idx="53">
                        <c:v>-33.00744735221565</c:v>
                      </c:pt>
                      <c:pt idx="54">
                        <c:v>-14.627447352215654</c:v>
                      </c:pt>
                      <c:pt idx="55">
                        <c:v>-14.627447352215654</c:v>
                      </c:pt>
                      <c:pt idx="56">
                        <c:v>-64.227447352215677</c:v>
                      </c:pt>
                      <c:pt idx="57">
                        <c:v>-64.227447352215677</c:v>
                      </c:pt>
                      <c:pt idx="58">
                        <c:v>-32.927447352215609</c:v>
                      </c:pt>
                      <c:pt idx="59">
                        <c:v>5.1725526477844141</c:v>
                      </c:pt>
                      <c:pt idx="60">
                        <c:v>7.8725526477844596</c:v>
                      </c:pt>
                      <c:pt idx="61">
                        <c:v>37.932552647784405</c:v>
                      </c:pt>
                      <c:pt idx="62">
                        <c:v>102.73255264778447</c:v>
                      </c:pt>
                      <c:pt idx="63">
                        <c:v>118.39255264778456</c:v>
                      </c:pt>
                      <c:pt idx="64">
                        <c:v>125.29255264778453</c:v>
                      </c:pt>
                      <c:pt idx="65">
                        <c:v>174.54255264778453</c:v>
                      </c:pt>
                      <c:pt idx="66">
                        <c:v>174.54255264778453</c:v>
                      </c:pt>
                      <c:pt idx="67">
                        <c:v>174.54255264778453</c:v>
                      </c:pt>
                      <c:pt idx="68">
                        <c:v>174.54255264778453</c:v>
                      </c:pt>
                      <c:pt idx="69">
                        <c:v>174.54255264778453</c:v>
                      </c:pt>
                      <c:pt idx="70">
                        <c:v>174.54255264778453</c:v>
                      </c:pt>
                      <c:pt idx="71">
                        <c:v>174.54255264778453</c:v>
                      </c:pt>
                      <c:pt idx="72">
                        <c:v>215.38255264778456</c:v>
                      </c:pt>
                      <c:pt idx="73">
                        <c:v>188.17255264778453</c:v>
                      </c:pt>
                      <c:pt idx="74">
                        <c:v>219.13255264778456</c:v>
                      </c:pt>
                      <c:pt idx="75">
                        <c:v>165.93255264778452</c:v>
                      </c:pt>
                      <c:pt idx="76">
                        <c:v>215.8325526477845</c:v>
                      </c:pt>
                      <c:pt idx="77">
                        <c:v>259.68255264778452</c:v>
                      </c:pt>
                      <c:pt idx="78">
                        <c:v>195.08255264778461</c:v>
                      </c:pt>
                      <c:pt idx="79">
                        <c:v>195.08255264778461</c:v>
                      </c:pt>
                      <c:pt idx="80">
                        <c:v>208.3425526477846</c:v>
                      </c:pt>
                      <c:pt idx="81">
                        <c:v>208.3425526477846</c:v>
                      </c:pt>
                      <c:pt idx="82">
                        <c:v>208.3425526477846</c:v>
                      </c:pt>
                      <c:pt idx="83">
                        <c:v>236.54255264778465</c:v>
                      </c:pt>
                      <c:pt idx="84">
                        <c:v>75.742552647784692</c:v>
                      </c:pt>
                      <c:pt idx="85">
                        <c:v>75.742552647784692</c:v>
                      </c:pt>
                      <c:pt idx="86">
                        <c:v>44.742552647784692</c:v>
                      </c:pt>
                      <c:pt idx="87">
                        <c:v>44.742552647784692</c:v>
                      </c:pt>
                      <c:pt idx="88">
                        <c:v>44.742552647784692</c:v>
                      </c:pt>
                      <c:pt idx="89">
                        <c:v>59.622552647784573</c:v>
                      </c:pt>
                      <c:pt idx="90">
                        <c:v>59.622552647784573</c:v>
                      </c:pt>
                      <c:pt idx="91">
                        <c:v>59.622552647784573</c:v>
                      </c:pt>
                      <c:pt idx="92">
                        <c:v>59.622552647784573</c:v>
                      </c:pt>
                      <c:pt idx="93">
                        <c:v>30.959567043367201</c:v>
                      </c:pt>
                      <c:pt idx="94">
                        <c:v>47.809567043367224</c:v>
                      </c:pt>
                      <c:pt idx="95">
                        <c:v>47.809567043367224</c:v>
                      </c:pt>
                      <c:pt idx="96">
                        <c:v>47.809567043367224</c:v>
                      </c:pt>
                      <c:pt idx="97">
                        <c:v>47.809567043367224</c:v>
                      </c:pt>
                      <c:pt idx="98">
                        <c:v>47.809567043367224</c:v>
                      </c:pt>
                      <c:pt idx="99">
                        <c:v>-49.590432956632867</c:v>
                      </c:pt>
                      <c:pt idx="100">
                        <c:v>-49.590432956632867</c:v>
                      </c:pt>
                      <c:pt idx="101">
                        <c:v>-67.840432956632867</c:v>
                      </c:pt>
                      <c:pt idx="102">
                        <c:v>-68.000432956632835</c:v>
                      </c:pt>
                      <c:pt idx="103">
                        <c:v>-68.000432956632835</c:v>
                      </c:pt>
                      <c:pt idx="104">
                        <c:v>-71.840432956632753</c:v>
                      </c:pt>
                      <c:pt idx="105">
                        <c:v>-71.840432956632753</c:v>
                      </c:pt>
                      <c:pt idx="106">
                        <c:v>-71.840432956632753</c:v>
                      </c:pt>
                      <c:pt idx="107">
                        <c:v>-136.64043295663271</c:v>
                      </c:pt>
                      <c:pt idx="108">
                        <c:v>-122.36043295663274</c:v>
                      </c:pt>
                      <c:pt idx="109">
                        <c:v>-176.00043295663284</c:v>
                      </c:pt>
                      <c:pt idx="110">
                        <c:v>-176.00043295663284</c:v>
                      </c:pt>
                      <c:pt idx="111">
                        <c:v>-176.00043295663284</c:v>
                      </c:pt>
                      <c:pt idx="112">
                        <c:v>-216.47043295663286</c:v>
                      </c:pt>
                      <c:pt idx="113">
                        <c:v>-188.0787935487491</c:v>
                      </c:pt>
                      <c:pt idx="114">
                        <c:v>-175.97879354874919</c:v>
                      </c:pt>
                      <c:pt idx="115">
                        <c:v>-61.018793548749386</c:v>
                      </c:pt>
                      <c:pt idx="116">
                        <c:v>-61.018793548749386</c:v>
                      </c:pt>
                      <c:pt idx="117">
                        <c:v>-61.018793548749386</c:v>
                      </c:pt>
                      <c:pt idx="118">
                        <c:v>-25.19879354874945</c:v>
                      </c:pt>
                      <c:pt idx="119">
                        <c:v>-31.378793548749513</c:v>
                      </c:pt>
                      <c:pt idx="120">
                        <c:v>-31.378793548749513</c:v>
                      </c:pt>
                      <c:pt idx="121">
                        <c:v>-31.378793548749513</c:v>
                      </c:pt>
                      <c:pt idx="122">
                        <c:v>-100.2787935487496</c:v>
                      </c:pt>
                      <c:pt idx="123">
                        <c:v>-109.67879354874947</c:v>
                      </c:pt>
                      <c:pt idx="124">
                        <c:v>-109.67879354874947</c:v>
                      </c:pt>
                      <c:pt idx="125">
                        <c:v>-43.758793548749395</c:v>
                      </c:pt>
                      <c:pt idx="126">
                        <c:v>-42.408793548749259</c:v>
                      </c:pt>
                      <c:pt idx="127">
                        <c:v>-42.408793548749259</c:v>
                      </c:pt>
                      <c:pt idx="128">
                        <c:v>-18.358793548749304</c:v>
                      </c:pt>
                      <c:pt idx="129">
                        <c:v>-18.358793548749304</c:v>
                      </c:pt>
                      <c:pt idx="130">
                        <c:v>24.921206451250669</c:v>
                      </c:pt>
                      <c:pt idx="131">
                        <c:v>24.921206451250669</c:v>
                      </c:pt>
                      <c:pt idx="132">
                        <c:v>18.921206451250555</c:v>
                      </c:pt>
                      <c:pt idx="133">
                        <c:v>18.921206451250555</c:v>
                      </c:pt>
                      <c:pt idx="134">
                        <c:v>18.921206451250555</c:v>
                      </c:pt>
                      <c:pt idx="135">
                        <c:v>18.921206451250555</c:v>
                      </c:pt>
                      <c:pt idx="136">
                        <c:v>18.921206451250555</c:v>
                      </c:pt>
                      <c:pt idx="137">
                        <c:v>18.921206451250555</c:v>
                      </c:pt>
                      <c:pt idx="138">
                        <c:v>18.921206451250555</c:v>
                      </c:pt>
                      <c:pt idx="139">
                        <c:v>18.921206451250555</c:v>
                      </c:pt>
                      <c:pt idx="140">
                        <c:v>26.761206451250359</c:v>
                      </c:pt>
                      <c:pt idx="141">
                        <c:v>26.761206451250359</c:v>
                      </c:pt>
                      <c:pt idx="142">
                        <c:v>26.761206451250359</c:v>
                      </c:pt>
                      <c:pt idx="143">
                        <c:v>26.761206451250359</c:v>
                      </c:pt>
                      <c:pt idx="144">
                        <c:v>26.761206451250359</c:v>
                      </c:pt>
                      <c:pt idx="145">
                        <c:v>26.761206451250359</c:v>
                      </c:pt>
                      <c:pt idx="146">
                        <c:v>26.761206451250359</c:v>
                      </c:pt>
                      <c:pt idx="147">
                        <c:v>26.761206451250359</c:v>
                      </c:pt>
                      <c:pt idx="148">
                        <c:v>32.011206451250359</c:v>
                      </c:pt>
                      <c:pt idx="149">
                        <c:v>82.511206451250359</c:v>
                      </c:pt>
                      <c:pt idx="150">
                        <c:v>113.42120645125044</c:v>
                      </c:pt>
                      <c:pt idx="151">
                        <c:v>236.01120645125059</c:v>
                      </c:pt>
                      <c:pt idx="152">
                        <c:v>236.01120645125059</c:v>
                      </c:pt>
                      <c:pt idx="153">
                        <c:v>178.41120645125056</c:v>
                      </c:pt>
                      <c:pt idx="154">
                        <c:v>190.35120645125062</c:v>
                      </c:pt>
                      <c:pt idx="155">
                        <c:v>171.54120645125067</c:v>
                      </c:pt>
                      <c:pt idx="156">
                        <c:v>171.54120645125067</c:v>
                      </c:pt>
                      <c:pt idx="157">
                        <c:v>175.84120645125066</c:v>
                      </c:pt>
                      <c:pt idx="158">
                        <c:v>141.43120645125069</c:v>
                      </c:pt>
                      <c:pt idx="159">
                        <c:v>48.131206451250733</c:v>
                      </c:pt>
                      <c:pt idx="160">
                        <c:v>85.331206451250551</c:v>
                      </c:pt>
                      <c:pt idx="161">
                        <c:v>118.93120645125057</c:v>
                      </c:pt>
                      <c:pt idx="162">
                        <c:v>118.93120645125057</c:v>
                      </c:pt>
                      <c:pt idx="163">
                        <c:v>118.93120645125057</c:v>
                      </c:pt>
                      <c:pt idx="164">
                        <c:v>126.41120645125059</c:v>
                      </c:pt>
                      <c:pt idx="165">
                        <c:v>216.02120645125072</c:v>
                      </c:pt>
                      <c:pt idx="166">
                        <c:v>208.66120645125071</c:v>
                      </c:pt>
                      <c:pt idx="167">
                        <c:v>227.98120645125087</c:v>
                      </c:pt>
                      <c:pt idx="168">
                        <c:v>227.98120645125087</c:v>
                      </c:pt>
                      <c:pt idx="169">
                        <c:v>247.23120645125087</c:v>
                      </c:pt>
                      <c:pt idx="170">
                        <c:v>247.23120645125087</c:v>
                      </c:pt>
                      <c:pt idx="171">
                        <c:v>161.08120645125089</c:v>
                      </c:pt>
                      <c:pt idx="172">
                        <c:v>161.08120645125089</c:v>
                      </c:pt>
                      <c:pt idx="173">
                        <c:v>229.00120645125085</c:v>
                      </c:pt>
                      <c:pt idx="174">
                        <c:v>229.00120645125085</c:v>
                      </c:pt>
                      <c:pt idx="175">
                        <c:v>319.42120645125067</c:v>
                      </c:pt>
                      <c:pt idx="176">
                        <c:v>319.42120645125067</c:v>
                      </c:pt>
                      <c:pt idx="177">
                        <c:v>365.84120645125074</c:v>
                      </c:pt>
                      <c:pt idx="178">
                        <c:v>365.84120645125074</c:v>
                      </c:pt>
                      <c:pt idx="179">
                        <c:v>365.84120645125074</c:v>
                      </c:pt>
                      <c:pt idx="180">
                        <c:v>314.2412064512506</c:v>
                      </c:pt>
                      <c:pt idx="181">
                        <c:v>307.34120645125074</c:v>
                      </c:pt>
                      <c:pt idx="182">
                        <c:v>332.24120645125083</c:v>
                      </c:pt>
                      <c:pt idx="183">
                        <c:v>339.09120645125086</c:v>
                      </c:pt>
                      <c:pt idx="184">
                        <c:v>339.09120645125086</c:v>
                      </c:pt>
                      <c:pt idx="185">
                        <c:v>339.09120645125086</c:v>
                      </c:pt>
                      <c:pt idx="186">
                        <c:v>339.09120645125086</c:v>
                      </c:pt>
                      <c:pt idx="187">
                        <c:v>331.25120645125094</c:v>
                      </c:pt>
                      <c:pt idx="188">
                        <c:v>331.25120645125094</c:v>
                      </c:pt>
                      <c:pt idx="189">
                        <c:v>331.25120645125094</c:v>
                      </c:pt>
                      <c:pt idx="190">
                        <c:v>271.49120645125095</c:v>
                      </c:pt>
                      <c:pt idx="191">
                        <c:v>271.49120645125095</c:v>
                      </c:pt>
                      <c:pt idx="192">
                        <c:v>218.73120645125073</c:v>
                      </c:pt>
                      <c:pt idx="193">
                        <c:v>218.73120645125073</c:v>
                      </c:pt>
                      <c:pt idx="194">
                        <c:v>218.73120645125073</c:v>
                      </c:pt>
                      <c:pt idx="195">
                        <c:v>158.55120645125089</c:v>
                      </c:pt>
                      <c:pt idx="196">
                        <c:v>155.69120645125099</c:v>
                      </c:pt>
                      <c:pt idx="197">
                        <c:v>155.69120645125099</c:v>
                      </c:pt>
                      <c:pt idx="198">
                        <c:v>155.69120645125099</c:v>
                      </c:pt>
                      <c:pt idx="199">
                        <c:v>155.69120645125099</c:v>
                      </c:pt>
                      <c:pt idx="200">
                        <c:v>155.69120645125099</c:v>
                      </c:pt>
                      <c:pt idx="201">
                        <c:v>155.69120645125099</c:v>
                      </c:pt>
                      <c:pt idx="202">
                        <c:v>165.81120645125111</c:v>
                      </c:pt>
                      <c:pt idx="203">
                        <c:v>165.81120645125111</c:v>
                      </c:pt>
                      <c:pt idx="204">
                        <c:v>194.93120645125123</c:v>
                      </c:pt>
                      <c:pt idx="205">
                        <c:v>118.37120645125117</c:v>
                      </c:pt>
                      <c:pt idx="206">
                        <c:v>195.83120645125121</c:v>
                      </c:pt>
                      <c:pt idx="207">
                        <c:v>195.83120645125121</c:v>
                      </c:pt>
                      <c:pt idx="208">
                        <c:v>181.91120645125113</c:v>
                      </c:pt>
                      <c:pt idx="209">
                        <c:v>181.91120645125113</c:v>
                      </c:pt>
                      <c:pt idx="210">
                        <c:v>77.06120645125111</c:v>
                      </c:pt>
                      <c:pt idx="211">
                        <c:v>66.701206451251096</c:v>
                      </c:pt>
                      <c:pt idx="212">
                        <c:v>85.211399342838945</c:v>
                      </c:pt>
                      <c:pt idx="213">
                        <c:v>85.211399342838945</c:v>
                      </c:pt>
                      <c:pt idx="214">
                        <c:v>85.211399342838945</c:v>
                      </c:pt>
                      <c:pt idx="215">
                        <c:v>85.211399342838945</c:v>
                      </c:pt>
                      <c:pt idx="216">
                        <c:v>129.05139934283909</c:v>
                      </c:pt>
                      <c:pt idx="217">
                        <c:v>129.05139934283909</c:v>
                      </c:pt>
                      <c:pt idx="218">
                        <c:v>129.05139934283909</c:v>
                      </c:pt>
                      <c:pt idx="219">
                        <c:v>246.01139934283913</c:v>
                      </c:pt>
                      <c:pt idx="220">
                        <c:v>246.01139934283913</c:v>
                      </c:pt>
                      <c:pt idx="221">
                        <c:v>231.71139934283894</c:v>
                      </c:pt>
                      <c:pt idx="222">
                        <c:v>231.71139934283894</c:v>
                      </c:pt>
                      <c:pt idx="223">
                        <c:v>231.71139934283894</c:v>
                      </c:pt>
                      <c:pt idx="224">
                        <c:v>302.23139934283893</c:v>
                      </c:pt>
                      <c:pt idx="225">
                        <c:v>302.23139934283893</c:v>
                      </c:pt>
                      <c:pt idx="226">
                        <c:v>199.28139934283888</c:v>
                      </c:pt>
                      <c:pt idx="227">
                        <c:v>199.28139934283888</c:v>
                      </c:pt>
                      <c:pt idx="228">
                        <c:v>216.20139934283895</c:v>
                      </c:pt>
                      <c:pt idx="229">
                        <c:v>255.68139934283897</c:v>
                      </c:pt>
                      <c:pt idx="230">
                        <c:v>255.68139934283897</c:v>
                      </c:pt>
                      <c:pt idx="231">
                        <c:v>213.14249066104651</c:v>
                      </c:pt>
                      <c:pt idx="232">
                        <c:v>266.9024906610465</c:v>
                      </c:pt>
                      <c:pt idx="233">
                        <c:v>256.66249066104672</c:v>
                      </c:pt>
                      <c:pt idx="234">
                        <c:v>256.66249066104672</c:v>
                      </c:pt>
                      <c:pt idx="235">
                        <c:v>256.66249066104672</c:v>
                      </c:pt>
                      <c:pt idx="236">
                        <c:v>256.66249066104672</c:v>
                      </c:pt>
                      <c:pt idx="237">
                        <c:v>264.4624906610469</c:v>
                      </c:pt>
                      <c:pt idx="238">
                        <c:v>167.92249066104694</c:v>
                      </c:pt>
                      <c:pt idx="239">
                        <c:v>187.36249066104699</c:v>
                      </c:pt>
                      <c:pt idx="240">
                        <c:v>187.36249066104699</c:v>
                      </c:pt>
                      <c:pt idx="241">
                        <c:v>187.36249066104699</c:v>
                      </c:pt>
                      <c:pt idx="242">
                        <c:v>186.04249066104705</c:v>
                      </c:pt>
                      <c:pt idx="243">
                        <c:v>186.04249066104705</c:v>
                      </c:pt>
                      <c:pt idx="244">
                        <c:v>87.822490661047027</c:v>
                      </c:pt>
                      <c:pt idx="245">
                        <c:v>87.822490661047027</c:v>
                      </c:pt>
                      <c:pt idx="246">
                        <c:v>87.822490661047027</c:v>
                      </c:pt>
                      <c:pt idx="247">
                        <c:v>87.822490661047027</c:v>
                      </c:pt>
                      <c:pt idx="248">
                        <c:v>87.822490661047027</c:v>
                      </c:pt>
                      <c:pt idx="249">
                        <c:v>87.822490661047027</c:v>
                      </c:pt>
                      <c:pt idx="250">
                        <c:v>87.822490661047027</c:v>
                      </c:pt>
                      <c:pt idx="251">
                        <c:v>-6.3775093389530184</c:v>
                      </c:pt>
                      <c:pt idx="252">
                        <c:v>3.4224906610469361</c:v>
                      </c:pt>
                      <c:pt idx="253">
                        <c:v>3.4224906610469361</c:v>
                      </c:pt>
                      <c:pt idx="254">
                        <c:v>3.4224906610469361</c:v>
                      </c:pt>
                      <c:pt idx="255">
                        <c:v>3.4224906610469361</c:v>
                      </c:pt>
                      <c:pt idx="256">
                        <c:v>33.122490661046754</c:v>
                      </c:pt>
                      <c:pt idx="257">
                        <c:v>33.122490661046754</c:v>
                      </c:pt>
                      <c:pt idx="258">
                        <c:v>33.122490661046754</c:v>
                      </c:pt>
                      <c:pt idx="259">
                        <c:v>33.122490661046754</c:v>
                      </c:pt>
                      <c:pt idx="260">
                        <c:v>33.122490661046754</c:v>
                      </c:pt>
                      <c:pt idx="261">
                        <c:v>33.122490661046754</c:v>
                      </c:pt>
                      <c:pt idx="262">
                        <c:v>33.122490661046754</c:v>
                      </c:pt>
                      <c:pt idx="263">
                        <c:v>-3.3275093389532913</c:v>
                      </c:pt>
                      <c:pt idx="264">
                        <c:v>-3.3275093389532913</c:v>
                      </c:pt>
                      <c:pt idx="265">
                        <c:v>-3.3275093389532913</c:v>
                      </c:pt>
                      <c:pt idx="266">
                        <c:v>20.122490661046527</c:v>
                      </c:pt>
                      <c:pt idx="267">
                        <c:v>20.122490661046527</c:v>
                      </c:pt>
                      <c:pt idx="268">
                        <c:v>20.122490661046527</c:v>
                      </c:pt>
                      <c:pt idx="269">
                        <c:v>20.122490661046527</c:v>
                      </c:pt>
                      <c:pt idx="270">
                        <c:v>20.122490661046527</c:v>
                      </c:pt>
                      <c:pt idx="271">
                        <c:v>20.122490661046527</c:v>
                      </c:pt>
                      <c:pt idx="272">
                        <c:v>20.122490661046527</c:v>
                      </c:pt>
                      <c:pt idx="273">
                        <c:v>20.122490661046527</c:v>
                      </c:pt>
                      <c:pt idx="274">
                        <c:v>20.122490661046527</c:v>
                      </c:pt>
                      <c:pt idx="275">
                        <c:v>20.122490661046527</c:v>
                      </c:pt>
                      <c:pt idx="276">
                        <c:v>20.122490661046527</c:v>
                      </c:pt>
                      <c:pt idx="277">
                        <c:v>20.122490661046527</c:v>
                      </c:pt>
                      <c:pt idx="278">
                        <c:v>20.122490661046527</c:v>
                      </c:pt>
                      <c:pt idx="279">
                        <c:v>20.122490661046527</c:v>
                      </c:pt>
                      <c:pt idx="280">
                        <c:v>15.562490661046581</c:v>
                      </c:pt>
                      <c:pt idx="281">
                        <c:v>-40.597509338953273</c:v>
                      </c:pt>
                      <c:pt idx="282">
                        <c:v>-40.597509338953273</c:v>
                      </c:pt>
                      <c:pt idx="283">
                        <c:v>-40.597509338953273</c:v>
                      </c:pt>
                      <c:pt idx="284">
                        <c:v>-7.2975093389533185</c:v>
                      </c:pt>
                      <c:pt idx="285">
                        <c:v>-7.2975093389533185</c:v>
                      </c:pt>
                      <c:pt idx="286">
                        <c:v>1.1024906610467724</c:v>
                      </c:pt>
                      <c:pt idx="287">
                        <c:v>1.1024906610467724</c:v>
                      </c:pt>
                      <c:pt idx="288">
                        <c:v>151.70249066104691</c:v>
                      </c:pt>
                      <c:pt idx="289">
                        <c:v>151.70249066104691</c:v>
                      </c:pt>
                      <c:pt idx="290">
                        <c:v>151.70249066104691</c:v>
                      </c:pt>
                      <c:pt idx="291">
                        <c:v>151.70249066104691</c:v>
                      </c:pt>
                      <c:pt idx="292">
                        <c:v>151.70249066104691</c:v>
                      </c:pt>
                      <c:pt idx="293">
                        <c:v>148.00249066104664</c:v>
                      </c:pt>
                      <c:pt idx="294">
                        <c:v>148.00249066104664</c:v>
                      </c:pt>
                      <c:pt idx="295">
                        <c:v>148.00249066104664</c:v>
                      </c:pt>
                      <c:pt idx="296">
                        <c:v>148.00249066104664</c:v>
                      </c:pt>
                      <c:pt idx="297">
                        <c:v>148.00249066104664</c:v>
                      </c:pt>
                      <c:pt idx="298">
                        <c:v>148.00249066104664</c:v>
                      </c:pt>
                      <c:pt idx="299">
                        <c:v>121.60249066104666</c:v>
                      </c:pt>
                      <c:pt idx="300">
                        <c:v>175.24249066104653</c:v>
                      </c:pt>
                      <c:pt idx="301">
                        <c:v>345.26249066104651</c:v>
                      </c:pt>
                      <c:pt idx="302">
                        <c:v>345.26249066104651</c:v>
                      </c:pt>
                      <c:pt idx="303">
                        <c:v>428.48249066104654</c:v>
                      </c:pt>
                      <c:pt idx="304">
                        <c:v>428.48249066104654</c:v>
                      </c:pt>
                      <c:pt idx="305">
                        <c:v>531.88249066104663</c:v>
                      </c:pt>
                      <c:pt idx="306">
                        <c:v>676.08249066104668</c:v>
                      </c:pt>
                      <c:pt idx="307">
                        <c:v>685.53249066104672</c:v>
                      </c:pt>
                      <c:pt idx="308">
                        <c:v>685.53249066104672</c:v>
                      </c:pt>
                      <c:pt idx="309">
                        <c:v>685.53249066104672</c:v>
                      </c:pt>
                      <c:pt idx="310">
                        <c:v>685.53249066104672</c:v>
                      </c:pt>
                      <c:pt idx="311">
                        <c:v>685.53249066104672</c:v>
                      </c:pt>
                      <c:pt idx="312">
                        <c:v>685.53249066104672</c:v>
                      </c:pt>
                      <c:pt idx="313">
                        <c:v>685.53249066104672</c:v>
                      </c:pt>
                      <c:pt idx="314">
                        <c:v>685.53249066104672</c:v>
                      </c:pt>
                      <c:pt idx="315">
                        <c:v>685.53249066104672</c:v>
                      </c:pt>
                      <c:pt idx="316">
                        <c:v>685.53249066104672</c:v>
                      </c:pt>
                      <c:pt idx="317">
                        <c:v>685.53249066104672</c:v>
                      </c:pt>
                      <c:pt idx="318">
                        <c:v>599.43627194988017</c:v>
                      </c:pt>
                      <c:pt idx="319">
                        <c:v>814.11627194988023</c:v>
                      </c:pt>
                      <c:pt idx="320">
                        <c:v>814.11627194988023</c:v>
                      </c:pt>
                      <c:pt idx="321">
                        <c:v>804.91627194988018</c:v>
                      </c:pt>
                      <c:pt idx="322">
                        <c:v>869.71627194988037</c:v>
                      </c:pt>
                      <c:pt idx="323">
                        <c:v>640.46627194988037</c:v>
                      </c:pt>
                      <c:pt idx="324">
                        <c:v>640.46627194988037</c:v>
                      </c:pt>
                      <c:pt idx="325">
                        <c:v>690.46627194988037</c:v>
                      </c:pt>
                      <c:pt idx="326">
                        <c:v>690.46627194988037</c:v>
                      </c:pt>
                      <c:pt idx="327">
                        <c:v>686.86627194988023</c:v>
                      </c:pt>
                      <c:pt idx="328">
                        <c:v>659.41627194988018</c:v>
                      </c:pt>
                      <c:pt idx="329">
                        <c:v>659.41627194988018</c:v>
                      </c:pt>
                      <c:pt idx="330">
                        <c:v>659.41627194988018</c:v>
                      </c:pt>
                      <c:pt idx="331">
                        <c:v>730.45627194988015</c:v>
                      </c:pt>
                      <c:pt idx="332">
                        <c:v>846.73627194988012</c:v>
                      </c:pt>
                      <c:pt idx="333">
                        <c:v>906.13627194988021</c:v>
                      </c:pt>
                      <c:pt idx="334">
                        <c:v>906.13627194988021</c:v>
                      </c:pt>
                      <c:pt idx="335">
                        <c:v>962.59627194988025</c:v>
                      </c:pt>
                      <c:pt idx="336">
                        <c:v>956.35627194988024</c:v>
                      </c:pt>
                      <c:pt idx="337">
                        <c:v>956.35627194988024</c:v>
                      </c:pt>
                      <c:pt idx="338">
                        <c:v>956.35627194988024</c:v>
                      </c:pt>
                      <c:pt idx="339">
                        <c:v>892.09627194988025</c:v>
                      </c:pt>
                      <c:pt idx="340">
                        <c:v>768.40627194988019</c:v>
                      </c:pt>
                      <c:pt idx="341">
                        <c:v>768.40627194988019</c:v>
                      </c:pt>
                      <c:pt idx="342">
                        <c:v>768.40627194988019</c:v>
                      </c:pt>
                      <c:pt idx="343">
                        <c:v>759.08627194988026</c:v>
                      </c:pt>
                      <c:pt idx="344">
                        <c:v>631.52627194988031</c:v>
                      </c:pt>
                      <c:pt idx="345">
                        <c:v>631.52627194988031</c:v>
                      </c:pt>
                      <c:pt idx="346">
                        <c:v>631.52627194988031</c:v>
                      </c:pt>
                    </c:numCache>
                  </c:numRef>
                </c:val>
                <c:smooth val="0"/>
                <c:extLst xmlns:c15="http://schemas.microsoft.com/office/drawing/2012/chart">
                  <c:ext xmlns:c16="http://schemas.microsoft.com/office/drawing/2014/chart" uri="{C3380CC4-5D6E-409C-BE32-E72D297353CC}">
                    <c16:uniqueId val="{00000005-C298-43C1-ACC8-BD9420F9EA2B}"/>
                  </c:ext>
                </c:extLst>
              </c15:ser>
            </c15:filteredLineSeries>
            <c15:filteredLineSeries>
              <c15:ser>
                <c:idx val="6"/>
                <c:order val="6"/>
                <c:tx>
                  <c:v>Dwn (MOC)</c:v>
                </c:tx>
                <c:spPr>
                  <a:ln w="28575" cap="rnd">
                    <a:solidFill>
                      <a:schemeClr val="accent2">
                        <a:lumMod val="60000"/>
                        <a:lumOff val="40000"/>
                      </a:schemeClr>
                    </a:solidFill>
                    <a:prstDash val="sysDash"/>
                    <a:round/>
                  </a:ln>
                  <a:effectLst/>
                </c:spPr>
                <c:marker>
                  <c:symbol val="none"/>
                </c:marker>
                <c:val>
                  <c:numRef>
                    <c:extLst xmlns:c15="http://schemas.microsoft.com/office/drawing/2012/chart">
                      <c:ext xmlns:c15="http://schemas.microsoft.com/office/drawing/2012/chart" uri="{02D57815-91ED-43cb-92C2-25804820EDAC}">
                        <c15:formulaRef>
                          <c15:sqref>'2025-Q2'!$AZ$4:$AZ$350</c15:sqref>
                        </c15:formulaRef>
                      </c:ext>
                    </c:extLst>
                    <c:numCache>
                      <c:formatCode>"$"#,##0</c:formatCode>
                      <c:ptCount val="347"/>
                      <c:pt idx="0">
                        <c:v>-254.69999999999982</c:v>
                      </c:pt>
                      <c:pt idx="1">
                        <c:v>-262.79999999999973</c:v>
                      </c:pt>
                      <c:pt idx="2">
                        <c:v>-262.79999999999973</c:v>
                      </c:pt>
                      <c:pt idx="3">
                        <c:v>-262.79999999999973</c:v>
                      </c:pt>
                      <c:pt idx="4">
                        <c:v>-262.79999999999973</c:v>
                      </c:pt>
                      <c:pt idx="5">
                        <c:v>-262.79999999999973</c:v>
                      </c:pt>
                      <c:pt idx="6">
                        <c:v>-262.79999999999973</c:v>
                      </c:pt>
                      <c:pt idx="7">
                        <c:v>-262.79999999999973</c:v>
                      </c:pt>
                      <c:pt idx="8">
                        <c:v>-262.79999999999973</c:v>
                      </c:pt>
                      <c:pt idx="9">
                        <c:v>-266.68837290281726</c:v>
                      </c:pt>
                      <c:pt idx="10">
                        <c:v>-266.68837290281726</c:v>
                      </c:pt>
                      <c:pt idx="11">
                        <c:v>-266.68837290281726</c:v>
                      </c:pt>
                      <c:pt idx="12">
                        <c:v>-267.17837290281727</c:v>
                      </c:pt>
                      <c:pt idx="13">
                        <c:v>-267.17837290281727</c:v>
                      </c:pt>
                      <c:pt idx="14">
                        <c:v>-173.75837290281697</c:v>
                      </c:pt>
                      <c:pt idx="15">
                        <c:v>-173.75837290281697</c:v>
                      </c:pt>
                      <c:pt idx="16">
                        <c:v>-89.908372902816836</c:v>
                      </c:pt>
                      <c:pt idx="17">
                        <c:v>-65.608372902816654</c:v>
                      </c:pt>
                      <c:pt idx="18">
                        <c:v>-65.608372902816654</c:v>
                      </c:pt>
                      <c:pt idx="19">
                        <c:v>-65.608372902816654</c:v>
                      </c:pt>
                      <c:pt idx="20">
                        <c:v>-65.608372902816654</c:v>
                      </c:pt>
                      <c:pt idx="21">
                        <c:v>-65.608372902816654</c:v>
                      </c:pt>
                      <c:pt idx="22">
                        <c:v>-79.1383729028164</c:v>
                      </c:pt>
                      <c:pt idx="23">
                        <c:v>-79.1383729028164</c:v>
                      </c:pt>
                      <c:pt idx="24">
                        <c:v>-79.1383729028164</c:v>
                      </c:pt>
                      <c:pt idx="25">
                        <c:v>-79.1383729028164</c:v>
                      </c:pt>
                      <c:pt idx="26">
                        <c:v>-76.1383729028164</c:v>
                      </c:pt>
                      <c:pt idx="27">
                        <c:v>-110.1383729028164</c:v>
                      </c:pt>
                      <c:pt idx="28">
                        <c:v>-118.53837290281626</c:v>
                      </c:pt>
                      <c:pt idx="29">
                        <c:v>-118.53837290281626</c:v>
                      </c:pt>
                      <c:pt idx="30">
                        <c:v>-155.63837290281617</c:v>
                      </c:pt>
                      <c:pt idx="31">
                        <c:v>-148.13837290281617</c:v>
                      </c:pt>
                      <c:pt idx="32">
                        <c:v>-164.13837290281617</c:v>
                      </c:pt>
                      <c:pt idx="33">
                        <c:v>-164.13837290281617</c:v>
                      </c:pt>
                      <c:pt idx="34">
                        <c:v>-164.13837290281617</c:v>
                      </c:pt>
                      <c:pt idx="35">
                        <c:v>-164.13837290281617</c:v>
                      </c:pt>
                      <c:pt idx="36">
                        <c:v>-173.22837290281586</c:v>
                      </c:pt>
                      <c:pt idx="37">
                        <c:v>-173.22837290281586</c:v>
                      </c:pt>
                      <c:pt idx="38">
                        <c:v>-173.22837290281586</c:v>
                      </c:pt>
                      <c:pt idx="39">
                        <c:v>-173.22837290281586</c:v>
                      </c:pt>
                      <c:pt idx="40">
                        <c:v>-322.17837290281591</c:v>
                      </c:pt>
                      <c:pt idx="41">
                        <c:v>-353.47837290281609</c:v>
                      </c:pt>
                      <c:pt idx="42">
                        <c:v>-286.37837290281595</c:v>
                      </c:pt>
                      <c:pt idx="43">
                        <c:v>-286.37837290281595</c:v>
                      </c:pt>
                      <c:pt idx="44">
                        <c:v>-286.37837290281595</c:v>
                      </c:pt>
                      <c:pt idx="45">
                        <c:v>-286.37837290281595</c:v>
                      </c:pt>
                      <c:pt idx="46">
                        <c:v>-336.14837290281594</c:v>
                      </c:pt>
                      <c:pt idx="47">
                        <c:v>-336.14837290281594</c:v>
                      </c:pt>
                      <c:pt idx="48">
                        <c:v>-437.28837290281581</c:v>
                      </c:pt>
                      <c:pt idx="49">
                        <c:v>-437.28837290281581</c:v>
                      </c:pt>
                      <c:pt idx="50">
                        <c:v>-437.28837290281581</c:v>
                      </c:pt>
                      <c:pt idx="51">
                        <c:v>-437.28837290281581</c:v>
                      </c:pt>
                      <c:pt idx="52">
                        <c:v>-546.48837290281585</c:v>
                      </c:pt>
                      <c:pt idx="53">
                        <c:v>-546.48837290281585</c:v>
                      </c:pt>
                      <c:pt idx="54">
                        <c:v>-546.48837290281585</c:v>
                      </c:pt>
                      <c:pt idx="55">
                        <c:v>-539.5683729028159</c:v>
                      </c:pt>
                      <c:pt idx="56">
                        <c:v>-539.5683729028159</c:v>
                      </c:pt>
                      <c:pt idx="57">
                        <c:v>-414.9183729028158</c:v>
                      </c:pt>
                      <c:pt idx="58">
                        <c:v>-414.9183729028158</c:v>
                      </c:pt>
                      <c:pt idx="59">
                        <c:v>-414.9183729028158</c:v>
                      </c:pt>
                      <c:pt idx="60">
                        <c:v>-414.9183729028158</c:v>
                      </c:pt>
                      <c:pt idx="61">
                        <c:v>-414.9183729028158</c:v>
                      </c:pt>
                      <c:pt idx="62">
                        <c:v>-414.9183729028158</c:v>
                      </c:pt>
                      <c:pt idx="63">
                        <c:v>-414.9183729028158</c:v>
                      </c:pt>
                      <c:pt idx="64">
                        <c:v>-414.9183729028158</c:v>
                      </c:pt>
                      <c:pt idx="65">
                        <c:v>-414.9183729028158</c:v>
                      </c:pt>
                      <c:pt idx="66">
                        <c:v>-420.76837290281571</c:v>
                      </c:pt>
                      <c:pt idx="67">
                        <c:v>-414.58837290281565</c:v>
                      </c:pt>
                      <c:pt idx="68">
                        <c:v>-396.2683729028156</c:v>
                      </c:pt>
                      <c:pt idx="69">
                        <c:v>-396.2683729028156</c:v>
                      </c:pt>
                      <c:pt idx="70">
                        <c:v>-368.83837290281554</c:v>
                      </c:pt>
                      <c:pt idx="71">
                        <c:v>-368.83837290281554</c:v>
                      </c:pt>
                      <c:pt idx="72">
                        <c:v>-368.83837290281554</c:v>
                      </c:pt>
                      <c:pt idx="73">
                        <c:v>-368.83837290281554</c:v>
                      </c:pt>
                      <c:pt idx="74">
                        <c:v>-368.83837290281554</c:v>
                      </c:pt>
                      <c:pt idx="75">
                        <c:v>-368.83837290281554</c:v>
                      </c:pt>
                      <c:pt idx="76">
                        <c:v>-368.83837290281554</c:v>
                      </c:pt>
                      <c:pt idx="77">
                        <c:v>-368.83837290281554</c:v>
                      </c:pt>
                      <c:pt idx="78">
                        <c:v>-368.83837290281554</c:v>
                      </c:pt>
                      <c:pt idx="79">
                        <c:v>-423.9721716230016</c:v>
                      </c:pt>
                      <c:pt idx="80">
                        <c:v>-423.9721716230016</c:v>
                      </c:pt>
                      <c:pt idx="81">
                        <c:v>-480.01217162300156</c:v>
                      </c:pt>
                      <c:pt idx="82">
                        <c:v>-530.05217162300164</c:v>
                      </c:pt>
                      <c:pt idx="83">
                        <c:v>-530.05217162300164</c:v>
                      </c:pt>
                      <c:pt idx="84">
                        <c:v>-530.05217162300164</c:v>
                      </c:pt>
                      <c:pt idx="85">
                        <c:v>-591.05217162300175</c:v>
                      </c:pt>
                      <c:pt idx="86">
                        <c:v>-591.05217162300175</c:v>
                      </c:pt>
                      <c:pt idx="87">
                        <c:v>-613.15217162300189</c:v>
                      </c:pt>
                      <c:pt idx="88">
                        <c:v>-595.83217162300184</c:v>
                      </c:pt>
                      <c:pt idx="89">
                        <c:v>-595.83217162300184</c:v>
                      </c:pt>
                      <c:pt idx="90">
                        <c:v>-563.83217162300184</c:v>
                      </c:pt>
                      <c:pt idx="91">
                        <c:v>-555.85217162300182</c:v>
                      </c:pt>
                      <c:pt idx="92">
                        <c:v>-578.65217162300189</c:v>
                      </c:pt>
                      <c:pt idx="93">
                        <c:v>-578.65217162300189</c:v>
                      </c:pt>
                      <c:pt idx="94">
                        <c:v>-578.65217162300189</c:v>
                      </c:pt>
                      <c:pt idx="95">
                        <c:v>-589.652171623002</c:v>
                      </c:pt>
                      <c:pt idx="96">
                        <c:v>-547.95217162300207</c:v>
                      </c:pt>
                      <c:pt idx="97">
                        <c:v>-550.83217162300207</c:v>
                      </c:pt>
                      <c:pt idx="98">
                        <c:v>-588.98217162300205</c:v>
                      </c:pt>
                      <c:pt idx="99">
                        <c:v>-588.98217162300205</c:v>
                      </c:pt>
                      <c:pt idx="100">
                        <c:v>-711.86217162300204</c:v>
                      </c:pt>
                      <c:pt idx="101">
                        <c:v>-711.86217162300204</c:v>
                      </c:pt>
                      <c:pt idx="102">
                        <c:v>-711.86217162300204</c:v>
                      </c:pt>
                      <c:pt idx="103">
                        <c:v>-711.86217162300204</c:v>
                      </c:pt>
                      <c:pt idx="104">
                        <c:v>-711.86217162300204</c:v>
                      </c:pt>
                      <c:pt idx="105">
                        <c:v>-657.08217162300207</c:v>
                      </c:pt>
                      <c:pt idx="106">
                        <c:v>-657.08217162300207</c:v>
                      </c:pt>
                      <c:pt idx="107">
                        <c:v>-657.08217162300207</c:v>
                      </c:pt>
                      <c:pt idx="108">
                        <c:v>-657.08217162300207</c:v>
                      </c:pt>
                      <c:pt idx="109">
                        <c:v>-657.08217162300207</c:v>
                      </c:pt>
                      <c:pt idx="110">
                        <c:v>-646.83217162300218</c:v>
                      </c:pt>
                      <c:pt idx="111">
                        <c:v>-640.35217162300216</c:v>
                      </c:pt>
                      <c:pt idx="112">
                        <c:v>-640.35217162300216</c:v>
                      </c:pt>
                      <c:pt idx="113">
                        <c:v>-640.35217162300216</c:v>
                      </c:pt>
                      <c:pt idx="114">
                        <c:v>-640.35217162300216</c:v>
                      </c:pt>
                      <c:pt idx="115">
                        <c:v>-640.35217162300216</c:v>
                      </c:pt>
                      <c:pt idx="116">
                        <c:v>-643.20217162300207</c:v>
                      </c:pt>
                      <c:pt idx="117">
                        <c:v>-617.95161845366727</c:v>
                      </c:pt>
                      <c:pt idx="118">
                        <c:v>-617.95161845366727</c:v>
                      </c:pt>
                      <c:pt idx="119">
                        <c:v>-617.95161845366727</c:v>
                      </c:pt>
                      <c:pt idx="120">
                        <c:v>-637.75161845366745</c:v>
                      </c:pt>
                      <c:pt idx="121">
                        <c:v>-637.75161845366745</c:v>
                      </c:pt>
                      <c:pt idx="122">
                        <c:v>-637.75161845366745</c:v>
                      </c:pt>
                      <c:pt idx="123">
                        <c:v>-637.75161845366745</c:v>
                      </c:pt>
                      <c:pt idx="124">
                        <c:v>-569.65161845366742</c:v>
                      </c:pt>
                      <c:pt idx="125">
                        <c:v>-569.65161845366742</c:v>
                      </c:pt>
                      <c:pt idx="126">
                        <c:v>-569.65161845366742</c:v>
                      </c:pt>
                      <c:pt idx="127">
                        <c:v>-617.44161845366739</c:v>
                      </c:pt>
                      <c:pt idx="128">
                        <c:v>-617.44161845366739</c:v>
                      </c:pt>
                      <c:pt idx="129">
                        <c:v>-653.28161845366731</c:v>
                      </c:pt>
                      <c:pt idx="130">
                        <c:v>-653.28161845366731</c:v>
                      </c:pt>
                      <c:pt idx="131">
                        <c:v>-678.06161845366728</c:v>
                      </c:pt>
                      <c:pt idx="132">
                        <c:v>-678.06161845366728</c:v>
                      </c:pt>
                      <c:pt idx="133">
                        <c:v>-660.56161845366728</c:v>
                      </c:pt>
                      <c:pt idx="134">
                        <c:v>-658.04161845366718</c:v>
                      </c:pt>
                      <c:pt idx="135">
                        <c:v>-666.32161845366716</c:v>
                      </c:pt>
                      <c:pt idx="136">
                        <c:v>-662.72161845366713</c:v>
                      </c:pt>
                      <c:pt idx="137">
                        <c:v>-662.72161845366713</c:v>
                      </c:pt>
                      <c:pt idx="138">
                        <c:v>-694.54161845366707</c:v>
                      </c:pt>
                      <c:pt idx="139">
                        <c:v>-663.04161845366696</c:v>
                      </c:pt>
                      <c:pt idx="140">
                        <c:v>-663.04161845366696</c:v>
                      </c:pt>
                      <c:pt idx="141">
                        <c:v>-694.56161845366694</c:v>
                      </c:pt>
                      <c:pt idx="142">
                        <c:v>-744.80161845366695</c:v>
                      </c:pt>
                      <c:pt idx="143">
                        <c:v>-767.04161845366673</c:v>
                      </c:pt>
                      <c:pt idx="144">
                        <c:v>-769.08161845366681</c:v>
                      </c:pt>
                      <c:pt idx="145">
                        <c:v>-685.18161845366672</c:v>
                      </c:pt>
                      <c:pt idx="146">
                        <c:v>-709.48161845366667</c:v>
                      </c:pt>
                      <c:pt idx="147">
                        <c:v>-763.63161845366676</c:v>
                      </c:pt>
                      <c:pt idx="148">
                        <c:v>-763.63161845366676</c:v>
                      </c:pt>
                      <c:pt idx="149">
                        <c:v>-763.63161845366676</c:v>
                      </c:pt>
                      <c:pt idx="150">
                        <c:v>-763.63161845366676</c:v>
                      </c:pt>
                      <c:pt idx="151">
                        <c:v>-763.63161845366676</c:v>
                      </c:pt>
                      <c:pt idx="152">
                        <c:v>-639.33161845366681</c:v>
                      </c:pt>
                      <c:pt idx="153">
                        <c:v>-639.33161845366681</c:v>
                      </c:pt>
                      <c:pt idx="154">
                        <c:v>-639.33161845366681</c:v>
                      </c:pt>
                      <c:pt idx="155">
                        <c:v>-639.33161845366681</c:v>
                      </c:pt>
                      <c:pt idx="156">
                        <c:v>-547.97161845366668</c:v>
                      </c:pt>
                      <c:pt idx="157">
                        <c:v>-547.97161845366668</c:v>
                      </c:pt>
                      <c:pt idx="158">
                        <c:v>-547.97161845366668</c:v>
                      </c:pt>
                      <c:pt idx="159">
                        <c:v>-547.97161845366668</c:v>
                      </c:pt>
                      <c:pt idx="160">
                        <c:v>-547.97161845366668</c:v>
                      </c:pt>
                      <c:pt idx="161">
                        <c:v>-547.97161845366668</c:v>
                      </c:pt>
                      <c:pt idx="162">
                        <c:v>-520.05161845366683</c:v>
                      </c:pt>
                      <c:pt idx="163">
                        <c:v>-601.05161845366695</c:v>
                      </c:pt>
                      <c:pt idx="164">
                        <c:v>-601.05161845366695</c:v>
                      </c:pt>
                      <c:pt idx="165">
                        <c:v>-601.05161845366695</c:v>
                      </c:pt>
                      <c:pt idx="166">
                        <c:v>-601.05161845366695</c:v>
                      </c:pt>
                      <c:pt idx="167">
                        <c:v>-601.05161845366695</c:v>
                      </c:pt>
                      <c:pt idx="168">
                        <c:v>-560.1016184536669</c:v>
                      </c:pt>
                      <c:pt idx="169">
                        <c:v>-560.1016184536669</c:v>
                      </c:pt>
                      <c:pt idx="170">
                        <c:v>-570.36161845366701</c:v>
                      </c:pt>
                      <c:pt idx="171">
                        <c:v>-570.36161845366701</c:v>
                      </c:pt>
                      <c:pt idx="172">
                        <c:v>-550.52161845366709</c:v>
                      </c:pt>
                      <c:pt idx="173">
                        <c:v>-550.52161845366709</c:v>
                      </c:pt>
                      <c:pt idx="174">
                        <c:v>-469.5216184536672</c:v>
                      </c:pt>
                      <c:pt idx="175">
                        <c:v>-469.5216184536672</c:v>
                      </c:pt>
                      <c:pt idx="176">
                        <c:v>-458.74161845366723</c:v>
                      </c:pt>
                      <c:pt idx="177">
                        <c:v>-458.74161845366723</c:v>
                      </c:pt>
                      <c:pt idx="178">
                        <c:v>-472.52161845366743</c:v>
                      </c:pt>
                      <c:pt idx="179">
                        <c:v>-378.83161845366737</c:v>
                      </c:pt>
                      <c:pt idx="180">
                        <c:v>-378.83161845366737</c:v>
                      </c:pt>
                      <c:pt idx="181">
                        <c:v>-378.83161845366737</c:v>
                      </c:pt>
                      <c:pt idx="182">
                        <c:v>-378.83161845366737</c:v>
                      </c:pt>
                      <c:pt idx="183">
                        <c:v>-378.83161845366737</c:v>
                      </c:pt>
                      <c:pt idx="184">
                        <c:v>-399.47161845366725</c:v>
                      </c:pt>
                      <c:pt idx="185">
                        <c:v>-378.47161845366702</c:v>
                      </c:pt>
                      <c:pt idx="186">
                        <c:v>-386.97161845366702</c:v>
                      </c:pt>
                      <c:pt idx="187">
                        <c:v>-386.97161845366702</c:v>
                      </c:pt>
                      <c:pt idx="188">
                        <c:v>-280.97161845366702</c:v>
                      </c:pt>
                      <c:pt idx="189">
                        <c:v>-286.97161845366679</c:v>
                      </c:pt>
                      <c:pt idx="190">
                        <c:v>-286.97161845366679</c:v>
                      </c:pt>
                      <c:pt idx="191">
                        <c:v>-302.37161845366688</c:v>
                      </c:pt>
                      <c:pt idx="192">
                        <c:v>-302.37161845366688</c:v>
                      </c:pt>
                      <c:pt idx="193">
                        <c:v>-101.3516184536669</c:v>
                      </c:pt>
                      <c:pt idx="194">
                        <c:v>-110.31161845366694</c:v>
                      </c:pt>
                      <c:pt idx="195">
                        <c:v>-110.31161845366694</c:v>
                      </c:pt>
                      <c:pt idx="196">
                        <c:v>-110.31161845366694</c:v>
                      </c:pt>
                      <c:pt idx="197">
                        <c:v>-70.011618453666983</c:v>
                      </c:pt>
                      <c:pt idx="198">
                        <c:v>-68.661618453667074</c:v>
                      </c:pt>
                      <c:pt idx="199">
                        <c:v>-72.941618453667274</c:v>
                      </c:pt>
                      <c:pt idx="200">
                        <c:v>-72.941618453667274</c:v>
                      </c:pt>
                      <c:pt idx="201">
                        <c:v>-26.381618453667329</c:v>
                      </c:pt>
                      <c:pt idx="202">
                        <c:v>-26.381618453667329</c:v>
                      </c:pt>
                      <c:pt idx="203">
                        <c:v>-26.381618453667329</c:v>
                      </c:pt>
                      <c:pt idx="204">
                        <c:v>-26.381618453667329</c:v>
                      </c:pt>
                      <c:pt idx="205">
                        <c:v>-26.381618453667329</c:v>
                      </c:pt>
                      <c:pt idx="206">
                        <c:v>-26.381618453667329</c:v>
                      </c:pt>
                      <c:pt idx="207">
                        <c:v>-28.36161845366712</c:v>
                      </c:pt>
                      <c:pt idx="208">
                        <c:v>-28.36161845366712</c:v>
                      </c:pt>
                      <c:pt idx="209">
                        <c:v>-6.9616184536670289</c:v>
                      </c:pt>
                      <c:pt idx="210">
                        <c:v>-6.9616184536670289</c:v>
                      </c:pt>
                      <c:pt idx="211">
                        <c:v>-6.9616184536670289</c:v>
                      </c:pt>
                      <c:pt idx="212">
                        <c:v>-6.9616184536670289</c:v>
                      </c:pt>
                      <c:pt idx="213">
                        <c:v>36.368381546332898</c:v>
                      </c:pt>
                      <c:pt idx="214">
                        <c:v>38.368381546332898</c:v>
                      </c:pt>
                      <c:pt idx="215">
                        <c:v>-92.311618453666938</c:v>
                      </c:pt>
                      <c:pt idx="216">
                        <c:v>-92.311618453666938</c:v>
                      </c:pt>
                      <c:pt idx="217">
                        <c:v>-92.311618453666938</c:v>
                      </c:pt>
                      <c:pt idx="218">
                        <c:v>-74.811618453666938</c:v>
                      </c:pt>
                      <c:pt idx="219">
                        <c:v>-74.811618453666938</c:v>
                      </c:pt>
                      <c:pt idx="220">
                        <c:v>-5.5116184536669834</c:v>
                      </c:pt>
                      <c:pt idx="221">
                        <c:v>-5.5116184536669834</c:v>
                      </c:pt>
                      <c:pt idx="222">
                        <c:v>54.408381546332862</c:v>
                      </c:pt>
                      <c:pt idx="223">
                        <c:v>54.408381546332862</c:v>
                      </c:pt>
                      <c:pt idx="224">
                        <c:v>54.408381546332862</c:v>
                      </c:pt>
                      <c:pt idx="225">
                        <c:v>24.88838154633288</c:v>
                      </c:pt>
                      <c:pt idx="226">
                        <c:v>24.88838154633288</c:v>
                      </c:pt>
                      <c:pt idx="227">
                        <c:v>44.248381546333007</c:v>
                      </c:pt>
                      <c:pt idx="228">
                        <c:v>44.248381546333007</c:v>
                      </c:pt>
                      <c:pt idx="229">
                        <c:v>44.248381546333007</c:v>
                      </c:pt>
                      <c:pt idx="230">
                        <c:v>63.898381546332871</c:v>
                      </c:pt>
                      <c:pt idx="231">
                        <c:v>63.898381546332871</c:v>
                      </c:pt>
                      <c:pt idx="232">
                        <c:v>63.898381546332871</c:v>
                      </c:pt>
                      <c:pt idx="233">
                        <c:v>63.898381546332871</c:v>
                      </c:pt>
                      <c:pt idx="234">
                        <c:v>126.29838154633296</c:v>
                      </c:pt>
                      <c:pt idx="235">
                        <c:v>82.868381546332898</c:v>
                      </c:pt>
                      <c:pt idx="236">
                        <c:v>168.66838154633285</c:v>
                      </c:pt>
                      <c:pt idx="237">
                        <c:v>168.66838154633285</c:v>
                      </c:pt>
                      <c:pt idx="238">
                        <c:v>168.66838154633285</c:v>
                      </c:pt>
                      <c:pt idx="239">
                        <c:v>168.66838154633285</c:v>
                      </c:pt>
                      <c:pt idx="240">
                        <c:v>168.66838154633285</c:v>
                      </c:pt>
                      <c:pt idx="241">
                        <c:v>347.91838154633274</c:v>
                      </c:pt>
                      <c:pt idx="242">
                        <c:v>347.91838154633274</c:v>
                      </c:pt>
                      <c:pt idx="243">
                        <c:v>336.66838154633274</c:v>
                      </c:pt>
                      <c:pt idx="244">
                        <c:v>336.66838154633274</c:v>
                      </c:pt>
                      <c:pt idx="245">
                        <c:v>342.51838154633288</c:v>
                      </c:pt>
                      <c:pt idx="246">
                        <c:v>338.21838154633292</c:v>
                      </c:pt>
                      <c:pt idx="247">
                        <c:v>315.81838154633283</c:v>
                      </c:pt>
                      <c:pt idx="248">
                        <c:v>280.51838154633288</c:v>
                      </c:pt>
                      <c:pt idx="249">
                        <c:v>201.31838154633283</c:v>
                      </c:pt>
                      <c:pt idx="250">
                        <c:v>344.11838154633278</c:v>
                      </c:pt>
                      <c:pt idx="251">
                        <c:v>344.11838154633278</c:v>
                      </c:pt>
                      <c:pt idx="252">
                        <c:v>344.11838154633278</c:v>
                      </c:pt>
                      <c:pt idx="253">
                        <c:v>438.61838154633278</c:v>
                      </c:pt>
                      <c:pt idx="254">
                        <c:v>415.57838154633259</c:v>
                      </c:pt>
                      <c:pt idx="255">
                        <c:v>442.29838154633239</c:v>
                      </c:pt>
                      <c:pt idx="256">
                        <c:v>442.29838154633239</c:v>
                      </c:pt>
                      <c:pt idx="257">
                        <c:v>442.29838154633239</c:v>
                      </c:pt>
                      <c:pt idx="258">
                        <c:v>442.29838154633239</c:v>
                      </c:pt>
                      <c:pt idx="259">
                        <c:v>356.69838154633248</c:v>
                      </c:pt>
                      <c:pt idx="260">
                        <c:v>338.87838154633255</c:v>
                      </c:pt>
                      <c:pt idx="261">
                        <c:v>319.19838154633248</c:v>
                      </c:pt>
                      <c:pt idx="262">
                        <c:v>361.89838154633276</c:v>
                      </c:pt>
                      <c:pt idx="263">
                        <c:v>361.89838154633276</c:v>
                      </c:pt>
                      <c:pt idx="264">
                        <c:v>365.63838154633277</c:v>
                      </c:pt>
                      <c:pt idx="265">
                        <c:v>311.15838154633275</c:v>
                      </c:pt>
                      <c:pt idx="266">
                        <c:v>311.15838154633275</c:v>
                      </c:pt>
                      <c:pt idx="267">
                        <c:v>310.73838154633268</c:v>
                      </c:pt>
                      <c:pt idx="268">
                        <c:v>300.97838154633268</c:v>
                      </c:pt>
                      <c:pt idx="269">
                        <c:v>365.41838154633274</c:v>
                      </c:pt>
                      <c:pt idx="270">
                        <c:v>393.49838154633267</c:v>
                      </c:pt>
                      <c:pt idx="271">
                        <c:v>450.82838154633259</c:v>
                      </c:pt>
                      <c:pt idx="272">
                        <c:v>447.22838154633268</c:v>
                      </c:pt>
                      <c:pt idx="273">
                        <c:v>447.22838154633268</c:v>
                      </c:pt>
                      <c:pt idx="274">
                        <c:v>421.97838154633268</c:v>
                      </c:pt>
                      <c:pt idx="275">
                        <c:v>506.12838154633255</c:v>
                      </c:pt>
                      <c:pt idx="276">
                        <c:v>485.24838154633267</c:v>
                      </c:pt>
                      <c:pt idx="277">
                        <c:v>485.24838154633267</c:v>
                      </c:pt>
                      <c:pt idx="278">
                        <c:v>560.64838154633253</c:v>
                      </c:pt>
                      <c:pt idx="279">
                        <c:v>580.64838154633253</c:v>
                      </c:pt>
                      <c:pt idx="280">
                        <c:v>580.64838154633253</c:v>
                      </c:pt>
                      <c:pt idx="281">
                        <c:v>580.64838154633253</c:v>
                      </c:pt>
                      <c:pt idx="282">
                        <c:v>582.84838154633258</c:v>
                      </c:pt>
                      <c:pt idx="283">
                        <c:v>512.14838154633276</c:v>
                      </c:pt>
                      <c:pt idx="284">
                        <c:v>512.14838154633276</c:v>
                      </c:pt>
                      <c:pt idx="285">
                        <c:v>416.74838154633267</c:v>
                      </c:pt>
                      <c:pt idx="286">
                        <c:v>416.74838154633267</c:v>
                      </c:pt>
                      <c:pt idx="287">
                        <c:v>335.61838154633256</c:v>
                      </c:pt>
                      <c:pt idx="288">
                        <c:v>335.61838154633256</c:v>
                      </c:pt>
                      <c:pt idx="289">
                        <c:v>369.51838154633242</c:v>
                      </c:pt>
                      <c:pt idx="290">
                        <c:v>369.51838154633242</c:v>
                      </c:pt>
                      <c:pt idx="291">
                        <c:v>444.51838154633242</c:v>
                      </c:pt>
                      <c:pt idx="292">
                        <c:v>418.76838154633242</c:v>
                      </c:pt>
                      <c:pt idx="293">
                        <c:v>418.76838154633242</c:v>
                      </c:pt>
                      <c:pt idx="294">
                        <c:v>289.80838154633238</c:v>
                      </c:pt>
                      <c:pt idx="295">
                        <c:v>289.80838154633238</c:v>
                      </c:pt>
                      <c:pt idx="296">
                        <c:v>261.31838154633238</c:v>
                      </c:pt>
                      <c:pt idx="297">
                        <c:v>261.31838154633238</c:v>
                      </c:pt>
                      <c:pt idx="298">
                        <c:v>210.11838154633233</c:v>
                      </c:pt>
                      <c:pt idx="299">
                        <c:v>210.11838154633233</c:v>
                      </c:pt>
                      <c:pt idx="300">
                        <c:v>210.11838154633233</c:v>
                      </c:pt>
                      <c:pt idx="301">
                        <c:v>210.11838154633233</c:v>
                      </c:pt>
                      <c:pt idx="302">
                        <c:v>202.73838154633222</c:v>
                      </c:pt>
                      <c:pt idx="303">
                        <c:v>202.73838154633222</c:v>
                      </c:pt>
                      <c:pt idx="304">
                        <c:v>202.73838154633222</c:v>
                      </c:pt>
                      <c:pt idx="305">
                        <c:v>202.73838154633222</c:v>
                      </c:pt>
                      <c:pt idx="306">
                        <c:v>202.73838154633222</c:v>
                      </c:pt>
                      <c:pt idx="307">
                        <c:v>202.73838154633222</c:v>
                      </c:pt>
                      <c:pt idx="308">
                        <c:v>225.07719317717942</c:v>
                      </c:pt>
                      <c:pt idx="309">
                        <c:v>225.07719317717942</c:v>
                      </c:pt>
                      <c:pt idx="310">
                        <c:v>341.47719317717952</c:v>
                      </c:pt>
                      <c:pt idx="311">
                        <c:v>395.65719317717958</c:v>
                      </c:pt>
                      <c:pt idx="312">
                        <c:v>379.00719317717949</c:v>
                      </c:pt>
                      <c:pt idx="313">
                        <c:v>379.00719317717949</c:v>
                      </c:pt>
                      <c:pt idx="314">
                        <c:v>325.10719317717951</c:v>
                      </c:pt>
                      <c:pt idx="315">
                        <c:v>268.85719317717951</c:v>
                      </c:pt>
                      <c:pt idx="316">
                        <c:v>268.85719317717951</c:v>
                      </c:pt>
                      <c:pt idx="317">
                        <c:v>268.85719317717951</c:v>
                      </c:pt>
                      <c:pt idx="318">
                        <c:v>268.85719317717951</c:v>
                      </c:pt>
                      <c:pt idx="319">
                        <c:v>268.85719317717951</c:v>
                      </c:pt>
                      <c:pt idx="320">
                        <c:v>397.51719317717937</c:v>
                      </c:pt>
                      <c:pt idx="321">
                        <c:v>397.51719317717937</c:v>
                      </c:pt>
                      <c:pt idx="322">
                        <c:v>397.51719317717937</c:v>
                      </c:pt>
                      <c:pt idx="323">
                        <c:v>397.51719317717937</c:v>
                      </c:pt>
                      <c:pt idx="324">
                        <c:v>248.95719317717942</c:v>
                      </c:pt>
                      <c:pt idx="325">
                        <c:v>248.95719317717942</c:v>
                      </c:pt>
                      <c:pt idx="326">
                        <c:v>113.20719317717942</c:v>
                      </c:pt>
                      <c:pt idx="327">
                        <c:v>113.20719317717942</c:v>
                      </c:pt>
                      <c:pt idx="328">
                        <c:v>113.20719317717942</c:v>
                      </c:pt>
                      <c:pt idx="329">
                        <c:v>113.20719317717942</c:v>
                      </c:pt>
                      <c:pt idx="330">
                        <c:v>274.15719317717947</c:v>
                      </c:pt>
                      <c:pt idx="331">
                        <c:v>274.15719317717947</c:v>
                      </c:pt>
                      <c:pt idx="332">
                        <c:v>274.15719317717947</c:v>
                      </c:pt>
                      <c:pt idx="333">
                        <c:v>274.15719317717947</c:v>
                      </c:pt>
                      <c:pt idx="334">
                        <c:v>274.15719317717947</c:v>
                      </c:pt>
                      <c:pt idx="335">
                        <c:v>274.15719317717947</c:v>
                      </c:pt>
                      <c:pt idx="336">
                        <c:v>274.15719317717947</c:v>
                      </c:pt>
                      <c:pt idx="337">
                        <c:v>315.55719317717956</c:v>
                      </c:pt>
                      <c:pt idx="338">
                        <c:v>315.55719317717956</c:v>
                      </c:pt>
                      <c:pt idx="339">
                        <c:v>315.55719317717956</c:v>
                      </c:pt>
                      <c:pt idx="340">
                        <c:v>315.55719317717956</c:v>
                      </c:pt>
                      <c:pt idx="341">
                        <c:v>315.55719317717956</c:v>
                      </c:pt>
                      <c:pt idx="342">
                        <c:v>298.75719317717983</c:v>
                      </c:pt>
                      <c:pt idx="343">
                        <c:v>298.75719317717983</c:v>
                      </c:pt>
                      <c:pt idx="344">
                        <c:v>298.75719317717983</c:v>
                      </c:pt>
                      <c:pt idx="345">
                        <c:v>298.75719317717983</c:v>
                      </c:pt>
                      <c:pt idx="346">
                        <c:v>305.25719317717983</c:v>
                      </c:pt>
                    </c:numCache>
                  </c:numRef>
                </c:val>
                <c:smooth val="0"/>
                <c:extLst xmlns:c15="http://schemas.microsoft.com/office/drawing/2012/chart">
                  <c:ext xmlns:c16="http://schemas.microsoft.com/office/drawing/2014/chart" uri="{C3380CC4-5D6E-409C-BE32-E72D297353CC}">
                    <c16:uniqueId val="{00000006-C298-43C1-ACC8-BD9420F9EA2B}"/>
                  </c:ext>
                </c:extLst>
              </c15:ser>
            </c15:filteredLineSeries>
          </c:ext>
        </c:extLst>
      </c:lineChart>
      <c:catAx>
        <c:axId val="147683023"/>
        <c:scaling>
          <c:orientation val="minMax"/>
        </c:scaling>
        <c:delete val="0"/>
        <c:axPos val="b"/>
        <c:majorGridlines>
          <c:spPr>
            <a:ln w="9525" cap="flat" cmpd="sng" algn="ctr">
              <a:solidFill>
                <a:schemeClr val="tx1">
                  <a:lumMod val="75000"/>
                  <a:lumOff val="25000"/>
                </a:schemeClr>
              </a:solidFill>
              <a:prstDash val="dash"/>
              <a:round/>
            </a:ln>
            <a:effectLst/>
          </c:spPr>
        </c:majorGridlines>
        <c:majorTickMark val="none"/>
        <c:minorTickMark val="none"/>
        <c:tickLblPos val="low"/>
        <c:spPr>
          <a:noFill/>
          <a:ln w="12700" cap="flat" cmpd="sng" algn="ctr">
            <a:solidFill>
              <a:sysClr val="windowText" lastClr="000000"/>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6645279"/>
        <c:crosses val="autoZero"/>
        <c:auto val="1"/>
        <c:lblAlgn val="ctr"/>
        <c:lblOffset val="100"/>
        <c:tickLblSkip val="25"/>
        <c:tickMarkSkip val="25"/>
        <c:noMultiLvlLbl val="0"/>
      </c:catAx>
      <c:valAx>
        <c:axId val="146645279"/>
        <c:scaling>
          <c:orientation val="minMax"/>
          <c:max val="20"/>
          <c:min val="-10"/>
        </c:scaling>
        <c:delete val="0"/>
        <c:axPos val="r"/>
        <c:majorGridlines>
          <c:spPr>
            <a:ln w="9525" cap="flat" cmpd="sng" algn="ctr">
              <a:solidFill>
                <a:schemeClr val="tx1">
                  <a:lumMod val="75000"/>
                  <a:lumOff val="25000"/>
                </a:schemeClr>
              </a:solidFill>
              <a:prstDash val="dash"/>
              <a:round/>
            </a:ln>
            <a:effectLst/>
          </c:spPr>
        </c:majorGridlines>
        <c:numFmt formatCode="0" sourceLinked="0"/>
        <c:majorTickMark val="none"/>
        <c:minorTickMark val="none"/>
        <c:tickLblPos val="high"/>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7683023"/>
        <c:crosses val="max"/>
        <c:crossBetween val="between"/>
      </c:valAx>
      <c:spPr>
        <a:solidFill>
          <a:schemeClr val="tx1">
            <a:lumMod val="65000"/>
            <a:lumOff val="35000"/>
          </a:schemeClr>
        </a:solidFill>
        <a:ln>
          <a:solidFill>
            <a:sysClr val="windowText" lastClr="000000"/>
          </a:solidFill>
        </a:ln>
        <a:effectLst/>
      </c:spPr>
    </c:plotArea>
    <c:legend>
      <c:legendPos val="t"/>
      <c:layout>
        <c:manualLayout>
          <c:xMode val="edge"/>
          <c:yMode val="edge"/>
          <c:x val="0.39634286005511454"/>
          <c:y val="1.2316999395039325E-2"/>
          <c:w val="0.57612618810998151"/>
          <c:h val="4.9614968727820091E-2"/>
        </c:manualLayout>
      </c:layout>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legend>
    <c:plotVisOnly val="0"/>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accent3">
                    <a:lumMod val="75000"/>
                  </a:schemeClr>
                </a:solidFill>
                <a:latin typeface="+mn-lt"/>
                <a:ea typeface="+mn-ea"/>
                <a:cs typeface="+mn-cs"/>
              </a:defRPr>
            </a:pPr>
            <a:r>
              <a:rPr lang="en-US" sz="2000" b="1">
                <a:solidFill>
                  <a:schemeClr val="accent3">
                    <a:lumMod val="75000"/>
                  </a:schemeClr>
                </a:solidFill>
              </a:rPr>
              <a:t>The Three Tiers (XLRE)</a:t>
            </a:r>
          </a:p>
        </c:rich>
      </c:tx>
      <c:layout>
        <c:manualLayout>
          <c:xMode val="edge"/>
          <c:yMode val="edge"/>
          <c:x val="2.8694404591104734E-2"/>
          <c:y val="2.4198427102238356E-3"/>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accent3">
                  <a:lumMod val="75000"/>
                </a:schemeClr>
              </a:solidFill>
              <a:latin typeface="+mn-lt"/>
              <a:ea typeface="+mn-ea"/>
              <a:cs typeface="+mn-cs"/>
            </a:defRPr>
          </a:pPr>
          <a:endParaRPr lang="en-US"/>
        </a:p>
      </c:txPr>
    </c:title>
    <c:autoTitleDeleted val="0"/>
    <c:plotArea>
      <c:layout>
        <c:manualLayout>
          <c:layoutTarget val="inner"/>
          <c:xMode val="edge"/>
          <c:yMode val="edge"/>
          <c:x val="1.0171058714748035E-2"/>
          <c:y val="7.7350558040499021E-2"/>
          <c:w val="0.95283482768537431"/>
          <c:h val="0.86018548951798435"/>
        </c:manualLayout>
      </c:layout>
      <c:lineChart>
        <c:grouping val="standard"/>
        <c:varyColors val="0"/>
        <c:ser>
          <c:idx val="0"/>
          <c:order val="0"/>
          <c:tx>
            <c:v>Up</c:v>
          </c:tx>
          <c:spPr>
            <a:ln w="28575" cap="rnd">
              <a:solidFill>
                <a:schemeClr val="accent6">
                  <a:lumMod val="75000"/>
                </a:schemeClr>
              </a:solidFill>
              <a:prstDash val="solid"/>
              <a:round/>
            </a:ln>
            <a:effectLst/>
          </c:spPr>
          <c:marker>
            <c:symbol val="none"/>
          </c:marker>
          <c:val>
            <c:numRef>
              <c:f>'2025-Q2'!$FP$4:$FP$422</c:f>
              <c:numCache>
                <c:formatCode>0.00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numCache>
            </c:numRef>
          </c:val>
          <c:smooth val="1"/>
          <c:extLst>
            <c:ext xmlns:c16="http://schemas.microsoft.com/office/drawing/2014/chart" uri="{C3380CC4-5D6E-409C-BE32-E72D297353CC}">
              <c16:uniqueId val="{00000000-C4AE-4E16-B464-E769C74DF94D}"/>
            </c:ext>
          </c:extLst>
        </c:ser>
        <c:ser>
          <c:idx val="1"/>
          <c:order val="1"/>
          <c:tx>
            <c:v>Dwn</c:v>
          </c:tx>
          <c:spPr>
            <a:ln w="28575" cap="rnd">
              <a:solidFill>
                <a:schemeClr val="accent2"/>
              </a:solidFill>
              <a:prstDash val="solid"/>
              <a:round/>
            </a:ln>
            <a:effectLst/>
          </c:spPr>
          <c:marker>
            <c:symbol val="none"/>
          </c:marker>
          <c:val>
            <c:numRef>
              <c:f>'2025-Q2'!$FR$4:$FR$422</c:f>
              <c:numCache>
                <c:formatCode>0.00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numCache>
            </c:numRef>
          </c:val>
          <c:smooth val="1"/>
          <c:extLst>
            <c:ext xmlns:c16="http://schemas.microsoft.com/office/drawing/2014/chart" uri="{C3380CC4-5D6E-409C-BE32-E72D297353CC}">
              <c16:uniqueId val="{00000001-C4AE-4E16-B464-E769C74DF94D}"/>
            </c:ext>
          </c:extLst>
        </c:ser>
        <c:ser>
          <c:idx val="2"/>
          <c:order val="2"/>
          <c:tx>
            <c:v>SW</c:v>
          </c:tx>
          <c:spPr>
            <a:ln w="28575" cap="rnd">
              <a:solidFill>
                <a:srgbClr val="0070C0"/>
              </a:solidFill>
              <a:prstDash val="solid"/>
              <a:round/>
            </a:ln>
            <a:effectLst/>
          </c:spPr>
          <c:marker>
            <c:symbol val="none"/>
          </c:marker>
          <c:val>
            <c:numRef>
              <c:f>'2025-Q2'!$FT$4:$FT$422</c:f>
              <c:numCache>
                <c:formatCode>0.00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numCache>
            </c:numRef>
          </c:val>
          <c:smooth val="1"/>
          <c:extLst>
            <c:ext xmlns:c16="http://schemas.microsoft.com/office/drawing/2014/chart" uri="{C3380CC4-5D6E-409C-BE32-E72D297353CC}">
              <c16:uniqueId val="{00000002-C4AE-4E16-B464-E769C74DF94D}"/>
            </c:ext>
          </c:extLst>
        </c:ser>
        <c:ser>
          <c:idx val="3"/>
          <c:order val="3"/>
          <c:tx>
            <c:v>All Three</c:v>
          </c:tx>
          <c:spPr>
            <a:ln w="38100" cap="rnd">
              <a:solidFill>
                <a:sysClr val="windowText" lastClr="000000"/>
              </a:solidFill>
              <a:round/>
            </a:ln>
            <a:effectLst/>
          </c:spPr>
          <c:marker>
            <c:symbol val="none"/>
          </c:marker>
          <c:val>
            <c:numRef>
              <c:f>'2025-Q2'!$FU$4:$FU$422</c:f>
              <c:numCache>
                <c:formatCode>0.00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numCache>
            </c:numRef>
          </c:val>
          <c:smooth val="1"/>
          <c:extLst>
            <c:ext xmlns:c16="http://schemas.microsoft.com/office/drawing/2014/chart" uri="{C3380CC4-5D6E-409C-BE32-E72D297353CC}">
              <c16:uniqueId val="{00000003-C4AE-4E16-B464-E769C74DF94D}"/>
            </c:ext>
          </c:extLst>
        </c:ser>
        <c:dLbls>
          <c:showLegendKey val="0"/>
          <c:showVal val="0"/>
          <c:showCatName val="0"/>
          <c:showSerName val="0"/>
          <c:showPercent val="0"/>
          <c:showBubbleSize val="0"/>
        </c:dLbls>
        <c:smooth val="0"/>
        <c:axId val="147683023"/>
        <c:axId val="146645279"/>
        <c:extLst>
          <c:ext xmlns:c15="http://schemas.microsoft.com/office/drawing/2012/chart" uri="{02D57815-91ED-43cb-92C2-25804820EDAC}">
            <c15:filteredLineSeries>
              <c15:ser>
                <c:idx val="5"/>
                <c:order val="4"/>
                <c:tx>
                  <c:v>Up (MOC)</c:v>
                </c:tx>
                <c:spPr>
                  <a:ln w="28575" cap="rnd">
                    <a:solidFill>
                      <a:schemeClr val="accent6"/>
                    </a:solidFill>
                    <a:prstDash val="sysDash"/>
                    <a:round/>
                  </a:ln>
                  <a:effectLst/>
                </c:spPr>
                <c:marker>
                  <c:symbol val="none"/>
                </c:marker>
                <c:val>
                  <c:numRef>
                    <c:extLst>
                      <c:ext uri="{02D57815-91ED-43cb-92C2-25804820EDAC}">
                        <c15:formulaRef>
                          <c15:sqref>'2025-Q2'!$AX$4:$AX$350</c15:sqref>
                        </c15:formulaRef>
                      </c:ext>
                    </c:extLst>
                    <c:numCache>
                      <c:formatCode>"$"#,##0</c:formatCode>
                      <c:ptCount val="34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59.839999999999918</c:v>
                      </c:pt>
                      <c:pt idx="40">
                        <c:v>59.839999999999918</c:v>
                      </c:pt>
                      <c:pt idx="41">
                        <c:v>59.839999999999918</c:v>
                      </c:pt>
                      <c:pt idx="42">
                        <c:v>59.839999999999918</c:v>
                      </c:pt>
                      <c:pt idx="43">
                        <c:v>59.839999999999918</c:v>
                      </c:pt>
                      <c:pt idx="44">
                        <c:v>59.839999999999918</c:v>
                      </c:pt>
                      <c:pt idx="45">
                        <c:v>59.839999999999918</c:v>
                      </c:pt>
                      <c:pt idx="46">
                        <c:v>59.839999999999918</c:v>
                      </c:pt>
                      <c:pt idx="47">
                        <c:v>-74.660000000000196</c:v>
                      </c:pt>
                      <c:pt idx="48">
                        <c:v>-74.660000000000196</c:v>
                      </c:pt>
                      <c:pt idx="49">
                        <c:v>-74.660000000000196</c:v>
                      </c:pt>
                      <c:pt idx="50">
                        <c:v>-74.660000000000196</c:v>
                      </c:pt>
                      <c:pt idx="51">
                        <c:v>-74.660000000000196</c:v>
                      </c:pt>
                      <c:pt idx="52">
                        <c:v>-74.660000000000196</c:v>
                      </c:pt>
                      <c:pt idx="53">
                        <c:v>-74.660000000000196</c:v>
                      </c:pt>
                      <c:pt idx="54">
                        <c:v>-74.660000000000196</c:v>
                      </c:pt>
                      <c:pt idx="55">
                        <c:v>-74.660000000000196</c:v>
                      </c:pt>
                      <c:pt idx="56">
                        <c:v>-74.660000000000196</c:v>
                      </c:pt>
                      <c:pt idx="57">
                        <c:v>-74.660000000000196</c:v>
                      </c:pt>
                      <c:pt idx="58">
                        <c:v>-74.660000000000196</c:v>
                      </c:pt>
                      <c:pt idx="59">
                        <c:v>-74.660000000000196</c:v>
                      </c:pt>
                      <c:pt idx="60">
                        <c:v>-74.660000000000196</c:v>
                      </c:pt>
                      <c:pt idx="61">
                        <c:v>-74.660000000000196</c:v>
                      </c:pt>
                      <c:pt idx="62">
                        <c:v>-74.660000000000196</c:v>
                      </c:pt>
                      <c:pt idx="63">
                        <c:v>-74.660000000000196</c:v>
                      </c:pt>
                      <c:pt idx="64">
                        <c:v>-74.660000000000196</c:v>
                      </c:pt>
                      <c:pt idx="65">
                        <c:v>-74.660000000000196</c:v>
                      </c:pt>
                      <c:pt idx="66">
                        <c:v>-74.660000000000196</c:v>
                      </c:pt>
                      <c:pt idx="67">
                        <c:v>-74.660000000000196</c:v>
                      </c:pt>
                      <c:pt idx="68">
                        <c:v>-74.660000000000196</c:v>
                      </c:pt>
                      <c:pt idx="69">
                        <c:v>-54.660000000000196</c:v>
                      </c:pt>
                      <c:pt idx="70">
                        <c:v>-54.660000000000196</c:v>
                      </c:pt>
                      <c:pt idx="71">
                        <c:v>-66.900000000000205</c:v>
                      </c:pt>
                      <c:pt idx="72">
                        <c:v>-66.900000000000205</c:v>
                      </c:pt>
                      <c:pt idx="73">
                        <c:v>-66.900000000000205</c:v>
                      </c:pt>
                      <c:pt idx="74">
                        <c:v>-66.900000000000205</c:v>
                      </c:pt>
                      <c:pt idx="75">
                        <c:v>-66.900000000000205</c:v>
                      </c:pt>
                      <c:pt idx="76">
                        <c:v>-66.900000000000205</c:v>
                      </c:pt>
                      <c:pt idx="77">
                        <c:v>-66.900000000000205</c:v>
                      </c:pt>
                      <c:pt idx="78">
                        <c:v>-66.900000000000205</c:v>
                      </c:pt>
                      <c:pt idx="79">
                        <c:v>-66.900000000000205</c:v>
                      </c:pt>
                      <c:pt idx="80">
                        <c:v>-66.900000000000205</c:v>
                      </c:pt>
                      <c:pt idx="81">
                        <c:v>-66.900000000000205</c:v>
                      </c:pt>
                      <c:pt idx="82">
                        <c:v>-66.900000000000205</c:v>
                      </c:pt>
                      <c:pt idx="83">
                        <c:v>-66.900000000000205</c:v>
                      </c:pt>
                      <c:pt idx="84">
                        <c:v>-66.900000000000205</c:v>
                      </c:pt>
                      <c:pt idx="85">
                        <c:v>-66.900000000000205</c:v>
                      </c:pt>
                      <c:pt idx="86">
                        <c:v>-66.900000000000205</c:v>
                      </c:pt>
                      <c:pt idx="87">
                        <c:v>-66.900000000000205</c:v>
                      </c:pt>
                      <c:pt idx="88">
                        <c:v>-66.900000000000205</c:v>
                      </c:pt>
                      <c:pt idx="89">
                        <c:v>-66.900000000000205</c:v>
                      </c:pt>
                      <c:pt idx="90">
                        <c:v>-66.900000000000205</c:v>
                      </c:pt>
                      <c:pt idx="91">
                        <c:v>-66.900000000000205</c:v>
                      </c:pt>
                      <c:pt idx="92">
                        <c:v>-66.900000000000205</c:v>
                      </c:pt>
                      <c:pt idx="93">
                        <c:v>-66.900000000000205</c:v>
                      </c:pt>
                      <c:pt idx="94">
                        <c:v>-66.900000000000205</c:v>
                      </c:pt>
                      <c:pt idx="95">
                        <c:v>-66.900000000000205</c:v>
                      </c:pt>
                      <c:pt idx="96">
                        <c:v>-66.900000000000205</c:v>
                      </c:pt>
                      <c:pt idx="97">
                        <c:v>-66.900000000000205</c:v>
                      </c:pt>
                      <c:pt idx="98">
                        <c:v>-66.900000000000205</c:v>
                      </c:pt>
                      <c:pt idx="99">
                        <c:v>-66.900000000000205</c:v>
                      </c:pt>
                      <c:pt idx="100">
                        <c:v>-66.900000000000205</c:v>
                      </c:pt>
                      <c:pt idx="101">
                        <c:v>-66.900000000000205</c:v>
                      </c:pt>
                      <c:pt idx="102">
                        <c:v>-66.900000000000205</c:v>
                      </c:pt>
                      <c:pt idx="103">
                        <c:v>-184.54000000000019</c:v>
                      </c:pt>
                      <c:pt idx="104">
                        <c:v>-184.54000000000019</c:v>
                      </c:pt>
                      <c:pt idx="105">
                        <c:v>-184.54000000000019</c:v>
                      </c:pt>
                      <c:pt idx="106">
                        <c:v>-173.34000000000015</c:v>
                      </c:pt>
                      <c:pt idx="107">
                        <c:v>-173.34000000000015</c:v>
                      </c:pt>
                      <c:pt idx="108">
                        <c:v>-173.34000000000015</c:v>
                      </c:pt>
                      <c:pt idx="109">
                        <c:v>-173.34000000000015</c:v>
                      </c:pt>
                      <c:pt idx="110">
                        <c:v>-173.34000000000015</c:v>
                      </c:pt>
                      <c:pt idx="111">
                        <c:v>-173.34000000000015</c:v>
                      </c:pt>
                      <c:pt idx="112">
                        <c:v>-173.34000000000015</c:v>
                      </c:pt>
                      <c:pt idx="113">
                        <c:v>-173.34000000000015</c:v>
                      </c:pt>
                      <c:pt idx="114">
                        <c:v>-173.34000000000015</c:v>
                      </c:pt>
                      <c:pt idx="115">
                        <c:v>-173.34000000000015</c:v>
                      </c:pt>
                      <c:pt idx="116">
                        <c:v>-173.34000000000015</c:v>
                      </c:pt>
                      <c:pt idx="117">
                        <c:v>-173.34000000000015</c:v>
                      </c:pt>
                      <c:pt idx="118">
                        <c:v>-173.34000000000015</c:v>
                      </c:pt>
                      <c:pt idx="119">
                        <c:v>-173.34000000000015</c:v>
                      </c:pt>
                      <c:pt idx="120">
                        <c:v>-173.34000000000015</c:v>
                      </c:pt>
                      <c:pt idx="121">
                        <c:v>-174.74000000000024</c:v>
                      </c:pt>
                      <c:pt idx="122">
                        <c:v>-174.74000000000024</c:v>
                      </c:pt>
                      <c:pt idx="123">
                        <c:v>-174.74000000000024</c:v>
                      </c:pt>
                      <c:pt idx="124">
                        <c:v>-174.74000000000024</c:v>
                      </c:pt>
                      <c:pt idx="125">
                        <c:v>-174.74000000000024</c:v>
                      </c:pt>
                      <c:pt idx="126">
                        <c:v>-174.74000000000024</c:v>
                      </c:pt>
                      <c:pt idx="127">
                        <c:v>-174.74000000000024</c:v>
                      </c:pt>
                      <c:pt idx="128">
                        <c:v>-174.74000000000024</c:v>
                      </c:pt>
                      <c:pt idx="129">
                        <c:v>-174.74000000000024</c:v>
                      </c:pt>
                      <c:pt idx="130">
                        <c:v>-174.74000000000024</c:v>
                      </c:pt>
                      <c:pt idx="131">
                        <c:v>-174.74000000000024</c:v>
                      </c:pt>
                      <c:pt idx="132">
                        <c:v>-174.74000000000024</c:v>
                      </c:pt>
                      <c:pt idx="133">
                        <c:v>-174.74000000000024</c:v>
                      </c:pt>
                      <c:pt idx="134">
                        <c:v>-174.74000000000024</c:v>
                      </c:pt>
                      <c:pt idx="135">
                        <c:v>-174.74000000000024</c:v>
                      </c:pt>
                      <c:pt idx="136">
                        <c:v>-174.74000000000024</c:v>
                      </c:pt>
                      <c:pt idx="137">
                        <c:v>-163.1400000000001</c:v>
                      </c:pt>
                      <c:pt idx="138">
                        <c:v>-163.1400000000001</c:v>
                      </c:pt>
                      <c:pt idx="139">
                        <c:v>-163.1400000000001</c:v>
                      </c:pt>
                      <c:pt idx="140">
                        <c:v>-163.1400000000001</c:v>
                      </c:pt>
                      <c:pt idx="141">
                        <c:v>-163.1400000000001</c:v>
                      </c:pt>
                      <c:pt idx="142">
                        <c:v>-163.1400000000001</c:v>
                      </c:pt>
                      <c:pt idx="143">
                        <c:v>-163.1400000000001</c:v>
                      </c:pt>
                      <c:pt idx="144">
                        <c:v>-163.1400000000001</c:v>
                      </c:pt>
                      <c:pt idx="145">
                        <c:v>-163.1400000000001</c:v>
                      </c:pt>
                      <c:pt idx="146">
                        <c:v>-163.1400000000001</c:v>
                      </c:pt>
                      <c:pt idx="147">
                        <c:v>-163.1400000000001</c:v>
                      </c:pt>
                      <c:pt idx="148">
                        <c:v>-163.1400000000001</c:v>
                      </c:pt>
                      <c:pt idx="149">
                        <c:v>-163.1400000000001</c:v>
                      </c:pt>
                      <c:pt idx="150">
                        <c:v>-163.1400000000001</c:v>
                      </c:pt>
                      <c:pt idx="151">
                        <c:v>-163.1400000000001</c:v>
                      </c:pt>
                      <c:pt idx="152">
                        <c:v>-163.1400000000001</c:v>
                      </c:pt>
                      <c:pt idx="153">
                        <c:v>-163.1400000000001</c:v>
                      </c:pt>
                      <c:pt idx="154">
                        <c:v>-163.1400000000001</c:v>
                      </c:pt>
                      <c:pt idx="155">
                        <c:v>-163.1400000000001</c:v>
                      </c:pt>
                      <c:pt idx="156">
                        <c:v>-163.1400000000001</c:v>
                      </c:pt>
                      <c:pt idx="157">
                        <c:v>-163.1400000000001</c:v>
                      </c:pt>
                      <c:pt idx="158">
                        <c:v>-163.1400000000001</c:v>
                      </c:pt>
                      <c:pt idx="159">
                        <c:v>-163.1400000000001</c:v>
                      </c:pt>
                      <c:pt idx="160">
                        <c:v>-163.1400000000001</c:v>
                      </c:pt>
                      <c:pt idx="161">
                        <c:v>-163.1400000000001</c:v>
                      </c:pt>
                      <c:pt idx="162">
                        <c:v>-163.1400000000001</c:v>
                      </c:pt>
                      <c:pt idx="163">
                        <c:v>-163.1400000000001</c:v>
                      </c:pt>
                      <c:pt idx="164">
                        <c:v>-163.1400000000001</c:v>
                      </c:pt>
                      <c:pt idx="165">
                        <c:v>-163.1400000000001</c:v>
                      </c:pt>
                      <c:pt idx="166">
                        <c:v>-163.1400000000001</c:v>
                      </c:pt>
                      <c:pt idx="167">
                        <c:v>-163.1400000000001</c:v>
                      </c:pt>
                      <c:pt idx="168">
                        <c:v>-163.1400000000001</c:v>
                      </c:pt>
                      <c:pt idx="169">
                        <c:v>-163.1400000000001</c:v>
                      </c:pt>
                      <c:pt idx="170">
                        <c:v>-163.1400000000001</c:v>
                      </c:pt>
                      <c:pt idx="171">
                        <c:v>-163.1400000000001</c:v>
                      </c:pt>
                      <c:pt idx="172">
                        <c:v>-163.1400000000001</c:v>
                      </c:pt>
                      <c:pt idx="173">
                        <c:v>-163.1400000000001</c:v>
                      </c:pt>
                      <c:pt idx="174">
                        <c:v>-163.1400000000001</c:v>
                      </c:pt>
                      <c:pt idx="175">
                        <c:v>-163.1400000000001</c:v>
                      </c:pt>
                      <c:pt idx="176">
                        <c:v>-163.1400000000001</c:v>
                      </c:pt>
                      <c:pt idx="177">
                        <c:v>-163.1400000000001</c:v>
                      </c:pt>
                      <c:pt idx="178">
                        <c:v>-163.1400000000001</c:v>
                      </c:pt>
                      <c:pt idx="179">
                        <c:v>-163.1400000000001</c:v>
                      </c:pt>
                      <c:pt idx="180">
                        <c:v>-163.1400000000001</c:v>
                      </c:pt>
                      <c:pt idx="181">
                        <c:v>-163.1400000000001</c:v>
                      </c:pt>
                      <c:pt idx="182">
                        <c:v>-163.1400000000001</c:v>
                      </c:pt>
                      <c:pt idx="183">
                        <c:v>-163.1400000000001</c:v>
                      </c:pt>
                      <c:pt idx="184">
                        <c:v>-163.1400000000001</c:v>
                      </c:pt>
                      <c:pt idx="185">
                        <c:v>-163.1400000000001</c:v>
                      </c:pt>
                      <c:pt idx="186">
                        <c:v>-163.1400000000001</c:v>
                      </c:pt>
                      <c:pt idx="187">
                        <c:v>-163.1400000000001</c:v>
                      </c:pt>
                      <c:pt idx="188">
                        <c:v>-163.1400000000001</c:v>
                      </c:pt>
                      <c:pt idx="189">
                        <c:v>-163.1400000000001</c:v>
                      </c:pt>
                      <c:pt idx="190">
                        <c:v>-163.1400000000001</c:v>
                      </c:pt>
                      <c:pt idx="191">
                        <c:v>-163.1400000000001</c:v>
                      </c:pt>
                      <c:pt idx="192">
                        <c:v>-163.1400000000001</c:v>
                      </c:pt>
                      <c:pt idx="193">
                        <c:v>-163.1400000000001</c:v>
                      </c:pt>
                      <c:pt idx="194">
                        <c:v>-163.1400000000001</c:v>
                      </c:pt>
                      <c:pt idx="195">
                        <c:v>-163.1400000000001</c:v>
                      </c:pt>
                      <c:pt idx="196">
                        <c:v>-163.1400000000001</c:v>
                      </c:pt>
                      <c:pt idx="197">
                        <c:v>-163.1400000000001</c:v>
                      </c:pt>
                      <c:pt idx="198">
                        <c:v>-163.1400000000001</c:v>
                      </c:pt>
                      <c:pt idx="199">
                        <c:v>-163.1400000000001</c:v>
                      </c:pt>
                      <c:pt idx="200">
                        <c:v>-181.17000000000007</c:v>
                      </c:pt>
                      <c:pt idx="201">
                        <c:v>-181.17000000000007</c:v>
                      </c:pt>
                      <c:pt idx="202">
                        <c:v>-181.17000000000007</c:v>
                      </c:pt>
                      <c:pt idx="203">
                        <c:v>-151.49</c:v>
                      </c:pt>
                      <c:pt idx="204">
                        <c:v>-151.49</c:v>
                      </c:pt>
                      <c:pt idx="205">
                        <c:v>-151.49</c:v>
                      </c:pt>
                      <c:pt idx="206">
                        <c:v>-151.49</c:v>
                      </c:pt>
                      <c:pt idx="207">
                        <c:v>-151.49</c:v>
                      </c:pt>
                      <c:pt idx="208">
                        <c:v>-151.49</c:v>
                      </c:pt>
                      <c:pt idx="209">
                        <c:v>-151.49</c:v>
                      </c:pt>
                      <c:pt idx="210">
                        <c:v>-151.49</c:v>
                      </c:pt>
                      <c:pt idx="211">
                        <c:v>-151.49</c:v>
                      </c:pt>
                      <c:pt idx="212">
                        <c:v>-151.49</c:v>
                      </c:pt>
                      <c:pt idx="213">
                        <c:v>-151.49</c:v>
                      </c:pt>
                      <c:pt idx="214">
                        <c:v>-151.49</c:v>
                      </c:pt>
                      <c:pt idx="215">
                        <c:v>-151.49</c:v>
                      </c:pt>
                      <c:pt idx="216">
                        <c:v>-151.49</c:v>
                      </c:pt>
                      <c:pt idx="217">
                        <c:v>-85.340000000000032</c:v>
                      </c:pt>
                      <c:pt idx="218">
                        <c:v>-85.340000000000032</c:v>
                      </c:pt>
                      <c:pt idx="219">
                        <c:v>-85.340000000000032</c:v>
                      </c:pt>
                      <c:pt idx="220">
                        <c:v>-85.340000000000032</c:v>
                      </c:pt>
                      <c:pt idx="221">
                        <c:v>-85.340000000000032</c:v>
                      </c:pt>
                      <c:pt idx="222">
                        <c:v>-85.340000000000032</c:v>
                      </c:pt>
                      <c:pt idx="223">
                        <c:v>-142.90000000000009</c:v>
                      </c:pt>
                      <c:pt idx="224">
                        <c:v>-142.90000000000009</c:v>
                      </c:pt>
                      <c:pt idx="225">
                        <c:v>-142.90000000000009</c:v>
                      </c:pt>
                      <c:pt idx="226">
                        <c:v>-142.90000000000009</c:v>
                      </c:pt>
                      <c:pt idx="227">
                        <c:v>-142.90000000000009</c:v>
                      </c:pt>
                      <c:pt idx="228">
                        <c:v>-142.90000000000009</c:v>
                      </c:pt>
                      <c:pt idx="229">
                        <c:v>-142.90000000000009</c:v>
                      </c:pt>
                      <c:pt idx="230">
                        <c:v>-142.90000000000009</c:v>
                      </c:pt>
                      <c:pt idx="231">
                        <c:v>-142.90000000000009</c:v>
                      </c:pt>
                      <c:pt idx="232">
                        <c:v>-142.90000000000009</c:v>
                      </c:pt>
                      <c:pt idx="233">
                        <c:v>-142.90000000000009</c:v>
                      </c:pt>
                      <c:pt idx="234">
                        <c:v>-142.90000000000009</c:v>
                      </c:pt>
                      <c:pt idx="235">
                        <c:v>-142.90000000000009</c:v>
                      </c:pt>
                      <c:pt idx="236">
                        <c:v>-142.90000000000009</c:v>
                      </c:pt>
                      <c:pt idx="237">
                        <c:v>-142.90000000000009</c:v>
                      </c:pt>
                      <c:pt idx="238">
                        <c:v>-142.90000000000009</c:v>
                      </c:pt>
                      <c:pt idx="239">
                        <c:v>-142.90000000000009</c:v>
                      </c:pt>
                      <c:pt idx="240">
                        <c:v>-132.30000000000018</c:v>
                      </c:pt>
                      <c:pt idx="241">
                        <c:v>-132.30000000000018</c:v>
                      </c:pt>
                      <c:pt idx="242">
                        <c:v>-132.30000000000018</c:v>
                      </c:pt>
                      <c:pt idx="243">
                        <c:v>-132.30000000000018</c:v>
                      </c:pt>
                      <c:pt idx="244">
                        <c:v>-132.30000000000018</c:v>
                      </c:pt>
                      <c:pt idx="245">
                        <c:v>-132.30000000000018</c:v>
                      </c:pt>
                      <c:pt idx="246">
                        <c:v>-132.30000000000018</c:v>
                      </c:pt>
                      <c:pt idx="247">
                        <c:v>-132.30000000000018</c:v>
                      </c:pt>
                      <c:pt idx="248">
                        <c:v>-132.30000000000018</c:v>
                      </c:pt>
                      <c:pt idx="249">
                        <c:v>-132.30000000000018</c:v>
                      </c:pt>
                      <c:pt idx="250">
                        <c:v>-132.30000000000018</c:v>
                      </c:pt>
                      <c:pt idx="251">
                        <c:v>-132.30000000000018</c:v>
                      </c:pt>
                      <c:pt idx="252">
                        <c:v>-132.30000000000018</c:v>
                      </c:pt>
                      <c:pt idx="253">
                        <c:v>-132.30000000000018</c:v>
                      </c:pt>
                      <c:pt idx="254">
                        <c:v>-132.30000000000018</c:v>
                      </c:pt>
                      <c:pt idx="255">
                        <c:v>-132.30000000000018</c:v>
                      </c:pt>
                      <c:pt idx="256">
                        <c:v>-132.30000000000018</c:v>
                      </c:pt>
                      <c:pt idx="257">
                        <c:v>-269.63053243920194</c:v>
                      </c:pt>
                      <c:pt idx="258">
                        <c:v>-299.03053243920203</c:v>
                      </c:pt>
                      <c:pt idx="259">
                        <c:v>-299.03053243920203</c:v>
                      </c:pt>
                      <c:pt idx="260">
                        <c:v>-299.03053243920203</c:v>
                      </c:pt>
                      <c:pt idx="261">
                        <c:v>-299.03053243920203</c:v>
                      </c:pt>
                      <c:pt idx="262">
                        <c:v>-299.03053243920203</c:v>
                      </c:pt>
                      <c:pt idx="263">
                        <c:v>-299.03053243920203</c:v>
                      </c:pt>
                      <c:pt idx="264">
                        <c:v>-299.03053243920203</c:v>
                      </c:pt>
                      <c:pt idx="265">
                        <c:v>-299.03053243920203</c:v>
                      </c:pt>
                      <c:pt idx="266">
                        <c:v>-299.03053243920203</c:v>
                      </c:pt>
                      <c:pt idx="267">
                        <c:v>-299.03053243920203</c:v>
                      </c:pt>
                      <c:pt idx="268">
                        <c:v>-299.03053243920203</c:v>
                      </c:pt>
                      <c:pt idx="269">
                        <c:v>-299.03053243920203</c:v>
                      </c:pt>
                      <c:pt idx="270">
                        <c:v>-299.03053243920203</c:v>
                      </c:pt>
                      <c:pt idx="271">
                        <c:v>-299.03053243920203</c:v>
                      </c:pt>
                      <c:pt idx="272">
                        <c:v>-299.03053243920203</c:v>
                      </c:pt>
                      <c:pt idx="273">
                        <c:v>-385.38106797961109</c:v>
                      </c:pt>
                      <c:pt idx="274">
                        <c:v>-385.38106797961109</c:v>
                      </c:pt>
                      <c:pt idx="275">
                        <c:v>-385.38106797961109</c:v>
                      </c:pt>
                      <c:pt idx="276">
                        <c:v>-385.38106797961109</c:v>
                      </c:pt>
                      <c:pt idx="277">
                        <c:v>-377.70106797961103</c:v>
                      </c:pt>
                      <c:pt idx="278">
                        <c:v>-377.70106797961103</c:v>
                      </c:pt>
                      <c:pt idx="279">
                        <c:v>-377.70106797961103</c:v>
                      </c:pt>
                      <c:pt idx="280">
                        <c:v>-377.70106797961103</c:v>
                      </c:pt>
                      <c:pt idx="281">
                        <c:v>-377.70106797961103</c:v>
                      </c:pt>
                      <c:pt idx="282">
                        <c:v>-377.70106797961103</c:v>
                      </c:pt>
                      <c:pt idx="283">
                        <c:v>-377.70106797961103</c:v>
                      </c:pt>
                      <c:pt idx="284">
                        <c:v>-377.70106797961103</c:v>
                      </c:pt>
                      <c:pt idx="285">
                        <c:v>-377.70106797961103</c:v>
                      </c:pt>
                      <c:pt idx="286">
                        <c:v>-377.70106797961103</c:v>
                      </c:pt>
                      <c:pt idx="287">
                        <c:v>-377.70106797961103</c:v>
                      </c:pt>
                      <c:pt idx="288">
                        <c:v>-377.70106797961103</c:v>
                      </c:pt>
                      <c:pt idx="289">
                        <c:v>-377.70106797961103</c:v>
                      </c:pt>
                      <c:pt idx="290">
                        <c:v>-366.42106797961105</c:v>
                      </c:pt>
                      <c:pt idx="291">
                        <c:v>-366.42106797961105</c:v>
                      </c:pt>
                      <c:pt idx="292">
                        <c:v>-366.42106797961105</c:v>
                      </c:pt>
                      <c:pt idx="293">
                        <c:v>-366.42106797961105</c:v>
                      </c:pt>
                      <c:pt idx="294">
                        <c:v>-366.42106797961105</c:v>
                      </c:pt>
                      <c:pt idx="295">
                        <c:v>-394.76106797961097</c:v>
                      </c:pt>
                      <c:pt idx="296">
                        <c:v>-394.76106797961097</c:v>
                      </c:pt>
                      <c:pt idx="297">
                        <c:v>-339.68106797961104</c:v>
                      </c:pt>
                      <c:pt idx="298">
                        <c:v>-339.68106797961104</c:v>
                      </c:pt>
                      <c:pt idx="299">
                        <c:v>-339.68106797961104</c:v>
                      </c:pt>
                      <c:pt idx="300">
                        <c:v>-339.68106797961104</c:v>
                      </c:pt>
                      <c:pt idx="301">
                        <c:v>-339.68106797961104</c:v>
                      </c:pt>
                      <c:pt idx="302">
                        <c:v>-339.68106797961104</c:v>
                      </c:pt>
                      <c:pt idx="303">
                        <c:v>-339.68106797961104</c:v>
                      </c:pt>
                      <c:pt idx="304">
                        <c:v>-438.46106797961124</c:v>
                      </c:pt>
                      <c:pt idx="305">
                        <c:v>-438.46106797961124</c:v>
                      </c:pt>
                      <c:pt idx="306">
                        <c:v>-438.46106797961124</c:v>
                      </c:pt>
                      <c:pt idx="307">
                        <c:v>-438.46106797961124</c:v>
                      </c:pt>
                      <c:pt idx="308">
                        <c:v>-438.46106797961124</c:v>
                      </c:pt>
                      <c:pt idx="309">
                        <c:v>-390.96106797961124</c:v>
                      </c:pt>
                      <c:pt idx="310">
                        <c:v>-390.96106797961124</c:v>
                      </c:pt>
                      <c:pt idx="311">
                        <c:v>-390.96106797961124</c:v>
                      </c:pt>
                      <c:pt idx="312">
                        <c:v>-390.96106797961124</c:v>
                      </c:pt>
                      <c:pt idx="313">
                        <c:v>-349.11106797961111</c:v>
                      </c:pt>
                      <c:pt idx="314">
                        <c:v>-349.11106797961111</c:v>
                      </c:pt>
                      <c:pt idx="315">
                        <c:v>-349.11106797961111</c:v>
                      </c:pt>
                      <c:pt idx="316">
                        <c:v>-342.69106797961103</c:v>
                      </c:pt>
                      <c:pt idx="317">
                        <c:v>-340.17106797961105</c:v>
                      </c:pt>
                      <c:pt idx="318">
                        <c:v>-340.17106797961105</c:v>
                      </c:pt>
                      <c:pt idx="319">
                        <c:v>-340.17106797961105</c:v>
                      </c:pt>
                      <c:pt idx="320">
                        <c:v>-340.17106797961105</c:v>
                      </c:pt>
                      <c:pt idx="321">
                        <c:v>-340.17106797961105</c:v>
                      </c:pt>
                      <c:pt idx="322">
                        <c:v>-340.17106797961105</c:v>
                      </c:pt>
                      <c:pt idx="323">
                        <c:v>-340.17106797961105</c:v>
                      </c:pt>
                      <c:pt idx="324">
                        <c:v>-340.17106797961105</c:v>
                      </c:pt>
                      <c:pt idx="325">
                        <c:v>-340.17106797961105</c:v>
                      </c:pt>
                      <c:pt idx="326">
                        <c:v>-340.17106797961105</c:v>
                      </c:pt>
                      <c:pt idx="327">
                        <c:v>-340.17106797961105</c:v>
                      </c:pt>
                      <c:pt idx="328">
                        <c:v>-340.17106797961105</c:v>
                      </c:pt>
                      <c:pt idx="329">
                        <c:v>-240.66106797961083</c:v>
                      </c:pt>
                      <c:pt idx="330">
                        <c:v>-240.66106797961083</c:v>
                      </c:pt>
                      <c:pt idx="331">
                        <c:v>-240.66106797961083</c:v>
                      </c:pt>
                      <c:pt idx="332">
                        <c:v>-240.66106797961083</c:v>
                      </c:pt>
                      <c:pt idx="333">
                        <c:v>-240.66106797961083</c:v>
                      </c:pt>
                      <c:pt idx="334">
                        <c:v>-178.13106797961063</c:v>
                      </c:pt>
                      <c:pt idx="335">
                        <c:v>-178.13106797961063</c:v>
                      </c:pt>
                      <c:pt idx="336">
                        <c:v>-178.13106797961063</c:v>
                      </c:pt>
                      <c:pt idx="337">
                        <c:v>-178.13106797961063</c:v>
                      </c:pt>
                      <c:pt idx="338">
                        <c:v>-206.13106797961063</c:v>
                      </c:pt>
                      <c:pt idx="339">
                        <c:v>-206.13106797961063</c:v>
                      </c:pt>
                      <c:pt idx="340">
                        <c:v>-206.13106797961063</c:v>
                      </c:pt>
                      <c:pt idx="341">
                        <c:v>-203.43106797961059</c:v>
                      </c:pt>
                      <c:pt idx="342">
                        <c:v>-203.43106797961059</c:v>
                      </c:pt>
                      <c:pt idx="343">
                        <c:v>-203.43106797961059</c:v>
                      </c:pt>
                      <c:pt idx="344">
                        <c:v>-203.43106797961059</c:v>
                      </c:pt>
                      <c:pt idx="345">
                        <c:v>-295.97106797961055</c:v>
                      </c:pt>
                      <c:pt idx="346">
                        <c:v>-295.97106797961055</c:v>
                      </c:pt>
                    </c:numCache>
                  </c:numRef>
                </c:val>
                <c:smooth val="0"/>
                <c:extLst>
                  <c:ext xmlns:c16="http://schemas.microsoft.com/office/drawing/2014/chart" uri="{C3380CC4-5D6E-409C-BE32-E72D297353CC}">
                    <c16:uniqueId val="{00000004-C4AE-4E16-B464-E769C74DF94D}"/>
                  </c:ext>
                </c:extLst>
              </c15:ser>
            </c15:filteredLineSeries>
            <c15:filteredLineSeries>
              <c15:ser>
                <c:idx val="4"/>
                <c:order val="5"/>
                <c:tx>
                  <c:v>SW (MOC)</c:v>
                </c:tx>
                <c:spPr>
                  <a:ln w="28575" cap="rnd">
                    <a:solidFill>
                      <a:schemeClr val="accent4">
                        <a:lumMod val="60000"/>
                        <a:lumOff val="40000"/>
                      </a:schemeClr>
                    </a:solidFill>
                    <a:prstDash val="sysDash"/>
                    <a:round/>
                  </a:ln>
                  <a:effectLst/>
                </c:spPr>
                <c:marker>
                  <c:symbol val="none"/>
                </c:marker>
                <c:val>
                  <c:numRef>
                    <c:extLst xmlns:c15="http://schemas.microsoft.com/office/drawing/2012/chart">
                      <c:ext xmlns:c15="http://schemas.microsoft.com/office/drawing/2012/chart" uri="{02D57815-91ED-43cb-92C2-25804820EDAC}">
                        <c15:formulaRef>
                          <c15:sqref>'2025-Q2'!$AV$4:$AV$350</c15:sqref>
                        </c15:formulaRef>
                      </c:ext>
                    </c:extLst>
                    <c:numCache>
                      <c:formatCode>"$"#,##0</c:formatCode>
                      <c:ptCount val="347"/>
                      <c:pt idx="0">
                        <c:v>0</c:v>
                      </c:pt>
                      <c:pt idx="1">
                        <c:v>0</c:v>
                      </c:pt>
                      <c:pt idx="2">
                        <c:v>45.449999999999818</c:v>
                      </c:pt>
                      <c:pt idx="3">
                        <c:v>35.25</c:v>
                      </c:pt>
                      <c:pt idx="4">
                        <c:v>55.25</c:v>
                      </c:pt>
                      <c:pt idx="5">
                        <c:v>70.090000000000146</c:v>
                      </c:pt>
                      <c:pt idx="6">
                        <c:v>85.490000000000236</c:v>
                      </c:pt>
                      <c:pt idx="7">
                        <c:v>158.24</c:v>
                      </c:pt>
                      <c:pt idx="8">
                        <c:v>177.32000000000005</c:v>
                      </c:pt>
                      <c:pt idx="9">
                        <c:v>177.32000000000005</c:v>
                      </c:pt>
                      <c:pt idx="10">
                        <c:v>197.30000000000007</c:v>
                      </c:pt>
                      <c:pt idx="11">
                        <c:v>236.89999999999998</c:v>
                      </c:pt>
                      <c:pt idx="12">
                        <c:v>236.89999999999998</c:v>
                      </c:pt>
                      <c:pt idx="13">
                        <c:v>231.72000000000014</c:v>
                      </c:pt>
                      <c:pt idx="14">
                        <c:v>231.72000000000014</c:v>
                      </c:pt>
                      <c:pt idx="15">
                        <c:v>231.54000000000008</c:v>
                      </c:pt>
                      <c:pt idx="16">
                        <c:v>231.54000000000008</c:v>
                      </c:pt>
                      <c:pt idx="17">
                        <c:v>231.54000000000008</c:v>
                      </c:pt>
                      <c:pt idx="18">
                        <c:v>212.34000000000003</c:v>
                      </c:pt>
                      <c:pt idx="19">
                        <c:v>243.65999999999997</c:v>
                      </c:pt>
                      <c:pt idx="20">
                        <c:v>256.64966594568602</c:v>
                      </c:pt>
                      <c:pt idx="21">
                        <c:v>252.56795937946242</c:v>
                      </c:pt>
                      <c:pt idx="22">
                        <c:v>252.56795937946242</c:v>
                      </c:pt>
                      <c:pt idx="23">
                        <c:v>258.96870149449035</c:v>
                      </c:pt>
                      <c:pt idx="24">
                        <c:v>281.78870149449051</c:v>
                      </c:pt>
                      <c:pt idx="25">
                        <c:v>19.92870149449061</c:v>
                      </c:pt>
                      <c:pt idx="26">
                        <c:v>19.92870149449061</c:v>
                      </c:pt>
                      <c:pt idx="27">
                        <c:v>19.92870149449061</c:v>
                      </c:pt>
                      <c:pt idx="28">
                        <c:v>19.92870149449061</c:v>
                      </c:pt>
                      <c:pt idx="29">
                        <c:v>26.67870149449061</c:v>
                      </c:pt>
                      <c:pt idx="30">
                        <c:v>26.67870149449061</c:v>
                      </c:pt>
                      <c:pt idx="31">
                        <c:v>26.67870149449061</c:v>
                      </c:pt>
                      <c:pt idx="32">
                        <c:v>26.67870149449061</c:v>
                      </c:pt>
                      <c:pt idx="33">
                        <c:v>18.628701494490656</c:v>
                      </c:pt>
                      <c:pt idx="34">
                        <c:v>-37.621298505509344</c:v>
                      </c:pt>
                      <c:pt idx="35">
                        <c:v>-117.30129850550941</c:v>
                      </c:pt>
                      <c:pt idx="36">
                        <c:v>-117.30129850550941</c:v>
                      </c:pt>
                      <c:pt idx="37">
                        <c:v>-136.55129850550941</c:v>
                      </c:pt>
                      <c:pt idx="38">
                        <c:v>-121.67129850550941</c:v>
                      </c:pt>
                      <c:pt idx="39">
                        <c:v>-121.67129850550941</c:v>
                      </c:pt>
                      <c:pt idx="40">
                        <c:v>-121.67129850550941</c:v>
                      </c:pt>
                      <c:pt idx="41">
                        <c:v>-121.67129850550941</c:v>
                      </c:pt>
                      <c:pt idx="42">
                        <c:v>-121.67129850550941</c:v>
                      </c:pt>
                      <c:pt idx="43">
                        <c:v>-45.861298505509467</c:v>
                      </c:pt>
                      <c:pt idx="44">
                        <c:v>-39.361298505509467</c:v>
                      </c:pt>
                      <c:pt idx="45">
                        <c:v>-28.111298505509467</c:v>
                      </c:pt>
                      <c:pt idx="46">
                        <c:v>-28.111298505509467</c:v>
                      </c:pt>
                      <c:pt idx="47">
                        <c:v>-28.111298505509467</c:v>
                      </c:pt>
                      <c:pt idx="48">
                        <c:v>-28.111298505509467</c:v>
                      </c:pt>
                      <c:pt idx="49">
                        <c:v>-142.53968337706056</c:v>
                      </c:pt>
                      <c:pt idx="50">
                        <c:v>-160.4474473522157</c:v>
                      </c:pt>
                      <c:pt idx="51">
                        <c:v>-68.287447352215622</c:v>
                      </c:pt>
                      <c:pt idx="52">
                        <c:v>-68.287447352215622</c:v>
                      </c:pt>
                      <c:pt idx="53">
                        <c:v>-33.00744735221565</c:v>
                      </c:pt>
                      <c:pt idx="54">
                        <c:v>-14.627447352215654</c:v>
                      </c:pt>
                      <c:pt idx="55">
                        <c:v>-14.627447352215654</c:v>
                      </c:pt>
                      <c:pt idx="56">
                        <c:v>-64.227447352215677</c:v>
                      </c:pt>
                      <c:pt idx="57">
                        <c:v>-64.227447352215677</c:v>
                      </c:pt>
                      <c:pt idx="58">
                        <c:v>-32.927447352215609</c:v>
                      </c:pt>
                      <c:pt idx="59">
                        <c:v>5.1725526477844141</c:v>
                      </c:pt>
                      <c:pt idx="60">
                        <c:v>7.8725526477844596</c:v>
                      </c:pt>
                      <c:pt idx="61">
                        <c:v>37.932552647784405</c:v>
                      </c:pt>
                      <c:pt idx="62">
                        <c:v>102.73255264778447</c:v>
                      </c:pt>
                      <c:pt idx="63">
                        <c:v>118.39255264778456</c:v>
                      </c:pt>
                      <c:pt idx="64">
                        <c:v>125.29255264778453</c:v>
                      </c:pt>
                      <c:pt idx="65">
                        <c:v>174.54255264778453</c:v>
                      </c:pt>
                      <c:pt idx="66">
                        <c:v>174.54255264778453</c:v>
                      </c:pt>
                      <c:pt idx="67">
                        <c:v>174.54255264778453</c:v>
                      </c:pt>
                      <c:pt idx="68">
                        <c:v>174.54255264778453</c:v>
                      </c:pt>
                      <c:pt idx="69">
                        <c:v>174.54255264778453</c:v>
                      </c:pt>
                      <c:pt idx="70">
                        <c:v>174.54255264778453</c:v>
                      </c:pt>
                      <c:pt idx="71">
                        <c:v>174.54255264778453</c:v>
                      </c:pt>
                      <c:pt idx="72">
                        <c:v>215.38255264778456</c:v>
                      </c:pt>
                      <c:pt idx="73">
                        <c:v>188.17255264778453</c:v>
                      </c:pt>
                      <c:pt idx="74">
                        <c:v>219.13255264778456</c:v>
                      </c:pt>
                      <c:pt idx="75">
                        <c:v>165.93255264778452</c:v>
                      </c:pt>
                      <c:pt idx="76">
                        <c:v>215.8325526477845</c:v>
                      </c:pt>
                      <c:pt idx="77">
                        <c:v>259.68255264778452</c:v>
                      </c:pt>
                      <c:pt idx="78">
                        <c:v>195.08255264778461</c:v>
                      </c:pt>
                      <c:pt idx="79">
                        <c:v>195.08255264778461</c:v>
                      </c:pt>
                      <c:pt idx="80">
                        <c:v>208.3425526477846</c:v>
                      </c:pt>
                      <c:pt idx="81">
                        <c:v>208.3425526477846</c:v>
                      </c:pt>
                      <c:pt idx="82">
                        <c:v>208.3425526477846</c:v>
                      </c:pt>
                      <c:pt idx="83">
                        <c:v>236.54255264778465</c:v>
                      </c:pt>
                      <c:pt idx="84">
                        <c:v>75.742552647784692</c:v>
                      </c:pt>
                      <c:pt idx="85">
                        <c:v>75.742552647784692</c:v>
                      </c:pt>
                      <c:pt idx="86">
                        <c:v>44.742552647784692</c:v>
                      </c:pt>
                      <c:pt idx="87">
                        <c:v>44.742552647784692</c:v>
                      </c:pt>
                      <c:pt idx="88">
                        <c:v>44.742552647784692</c:v>
                      </c:pt>
                      <c:pt idx="89">
                        <c:v>59.622552647784573</c:v>
                      </c:pt>
                      <c:pt idx="90">
                        <c:v>59.622552647784573</c:v>
                      </c:pt>
                      <c:pt idx="91">
                        <c:v>59.622552647784573</c:v>
                      </c:pt>
                      <c:pt idx="92">
                        <c:v>59.622552647784573</c:v>
                      </c:pt>
                      <c:pt idx="93">
                        <c:v>30.959567043367201</c:v>
                      </c:pt>
                      <c:pt idx="94">
                        <c:v>47.809567043367224</c:v>
                      </c:pt>
                      <c:pt idx="95">
                        <c:v>47.809567043367224</c:v>
                      </c:pt>
                      <c:pt idx="96">
                        <c:v>47.809567043367224</c:v>
                      </c:pt>
                      <c:pt idx="97">
                        <c:v>47.809567043367224</c:v>
                      </c:pt>
                      <c:pt idx="98">
                        <c:v>47.809567043367224</c:v>
                      </c:pt>
                      <c:pt idx="99">
                        <c:v>-49.590432956632867</c:v>
                      </c:pt>
                      <c:pt idx="100">
                        <c:v>-49.590432956632867</c:v>
                      </c:pt>
                      <c:pt idx="101">
                        <c:v>-67.840432956632867</c:v>
                      </c:pt>
                      <c:pt idx="102">
                        <c:v>-68.000432956632835</c:v>
                      </c:pt>
                      <c:pt idx="103">
                        <c:v>-68.000432956632835</c:v>
                      </c:pt>
                      <c:pt idx="104">
                        <c:v>-71.840432956632753</c:v>
                      </c:pt>
                      <c:pt idx="105">
                        <c:v>-71.840432956632753</c:v>
                      </c:pt>
                      <c:pt idx="106">
                        <c:v>-71.840432956632753</c:v>
                      </c:pt>
                      <c:pt idx="107">
                        <c:v>-136.64043295663271</c:v>
                      </c:pt>
                      <c:pt idx="108">
                        <c:v>-122.36043295663274</c:v>
                      </c:pt>
                      <c:pt idx="109">
                        <c:v>-176.00043295663284</c:v>
                      </c:pt>
                      <c:pt idx="110">
                        <c:v>-176.00043295663284</c:v>
                      </c:pt>
                      <c:pt idx="111">
                        <c:v>-176.00043295663284</c:v>
                      </c:pt>
                      <c:pt idx="112">
                        <c:v>-216.47043295663286</c:v>
                      </c:pt>
                      <c:pt idx="113">
                        <c:v>-188.0787935487491</c:v>
                      </c:pt>
                      <c:pt idx="114">
                        <c:v>-175.97879354874919</c:v>
                      </c:pt>
                      <c:pt idx="115">
                        <c:v>-61.018793548749386</c:v>
                      </c:pt>
                      <c:pt idx="116">
                        <c:v>-61.018793548749386</c:v>
                      </c:pt>
                      <c:pt idx="117">
                        <c:v>-61.018793548749386</c:v>
                      </c:pt>
                      <c:pt idx="118">
                        <c:v>-25.19879354874945</c:v>
                      </c:pt>
                      <c:pt idx="119">
                        <c:v>-31.378793548749513</c:v>
                      </c:pt>
                      <c:pt idx="120">
                        <c:v>-31.378793548749513</c:v>
                      </c:pt>
                      <c:pt idx="121">
                        <c:v>-31.378793548749513</c:v>
                      </c:pt>
                      <c:pt idx="122">
                        <c:v>-100.2787935487496</c:v>
                      </c:pt>
                      <c:pt idx="123">
                        <c:v>-109.67879354874947</c:v>
                      </c:pt>
                      <c:pt idx="124">
                        <c:v>-109.67879354874947</c:v>
                      </c:pt>
                      <c:pt idx="125">
                        <c:v>-43.758793548749395</c:v>
                      </c:pt>
                      <c:pt idx="126">
                        <c:v>-42.408793548749259</c:v>
                      </c:pt>
                      <c:pt idx="127">
                        <c:v>-42.408793548749259</c:v>
                      </c:pt>
                      <c:pt idx="128">
                        <c:v>-18.358793548749304</c:v>
                      </c:pt>
                      <c:pt idx="129">
                        <c:v>-18.358793548749304</c:v>
                      </c:pt>
                      <c:pt idx="130">
                        <c:v>24.921206451250669</c:v>
                      </c:pt>
                      <c:pt idx="131">
                        <c:v>24.921206451250669</c:v>
                      </c:pt>
                      <c:pt idx="132">
                        <c:v>18.921206451250555</c:v>
                      </c:pt>
                      <c:pt idx="133">
                        <c:v>18.921206451250555</c:v>
                      </c:pt>
                      <c:pt idx="134">
                        <c:v>18.921206451250555</c:v>
                      </c:pt>
                      <c:pt idx="135">
                        <c:v>18.921206451250555</c:v>
                      </c:pt>
                      <c:pt idx="136">
                        <c:v>18.921206451250555</c:v>
                      </c:pt>
                      <c:pt idx="137">
                        <c:v>18.921206451250555</c:v>
                      </c:pt>
                      <c:pt idx="138">
                        <c:v>18.921206451250555</c:v>
                      </c:pt>
                      <c:pt idx="139">
                        <c:v>18.921206451250555</c:v>
                      </c:pt>
                      <c:pt idx="140">
                        <c:v>26.761206451250359</c:v>
                      </c:pt>
                      <c:pt idx="141">
                        <c:v>26.761206451250359</c:v>
                      </c:pt>
                      <c:pt idx="142">
                        <c:v>26.761206451250359</c:v>
                      </c:pt>
                      <c:pt idx="143">
                        <c:v>26.761206451250359</c:v>
                      </c:pt>
                      <c:pt idx="144">
                        <c:v>26.761206451250359</c:v>
                      </c:pt>
                      <c:pt idx="145">
                        <c:v>26.761206451250359</c:v>
                      </c:pt>
                      <c:pt idx="146">
                        <c:v>26.761206451250359</c:v>
                      </c:pt>
                      <c:pt idx="147">
                        <c:v>26.761206451250359</c:v>
                      </c:pt>
                      <c:pt idx="148">
                        <c:v>32.011206451250359</c:v>
                      </c:pt>
                      <c:pt idx="149">
                        <c:v>82.511206451250359</c:v>
                      </c:pt>
                      <c:pt idx="150">
                        <c:v>113.42120645125044</c:v>
                      </c:pt>
                      <c:pt idx="151">
                        <c:v>236.01120645125059</c:v>
                      </c:pt>
                      <c:pt idx="152">
                        <c:v>236.01120645125059</c:v>
                      </c:pt>
                      <c:pt idx="153">
                        <c:v>178.41120645125056</c:v>
                      </c:pt>
                      <c:pt idx="154">
                        <c:v>190.35120645125062</c:v>
                      </c:pt>
                      <c:pt idx="155">
                        <c:v>171.54120645125067</c:v>
                      </c:pt>
                      <c:pt idx="156">
                        <c:v>171.54120645125067</c:v>
                      </c:pt>
                      <c:pt idx="157">
                        <c:v>175.84120645125066</c:v>
                      </c:pt>
                      <c:pt idx="158">
                        <c:v>141.43120645125069</c:v>
                      </c:pt>
                      <c:pt idx="159">
                        <c:v>48.131206451250733</c:v>
                      </c:pt>
                      <c:pt idx="160">
                        <c:v>85.331206451250551</c:v>
                      </c:pt>
                      <c:pt idx="161">
                        <c:v>118.93120645125057</c:v>
                      </c:pt>
                      <c:pt idx="162">
                        <c:v>118.93120645125057</c:v>
                      </c:pt>
                      <c:pt idx="163">
                        <c:v>118.93120645125057</c:v>
                      </c:pt>
                      <c:pt idx="164">
                        <c:v>126.41120645125059</c:v>
                      </c:pt>
                      <c:pt idx="165">
                        <c:v>216.02120645125072</c:v>
                      </c:pt>
                      <c:pt idx="166">
                        <c:v>208.66120645125071</c:v>
                      </c:pt>
                      <c:pt idx="167">
                        <c:v>227.98120645125087</c:v>
                      </c:pt>
                      <c:pt idx="168">
                        <c:v>227.98120645125087</c:v>
                      </c:pt>
                      <c:pt idx="169">
                        <c:v>247.23120645125087</c:v>
                      </c:pt>
                      <c:pt idx="170">
                        <c:v>247.23120645125087</c:v>
                      </c:pt>
                      <c:pt idx="171">
                        <c:v>161.08120645125089</c:v>
                      </c:pt>
                      <c:pt idx="172">
                        <c:v>161.08120645125089</c:v>
                      </c:pt>
                      <c:pt idx="173">
                        <c:v>229.00120645125085</c:v>
                      </c:pt>
                      <c:pt idx="174">
                        <c:v>229.00120645125085</c:v>
                      </c:pt>
                      <c:pt idx="175">
                        <c:v>319.42120645125067</c:v>
                      </c:pt>
                      <c:pt idx="176">
                        <c:v>319.42120645125067</c:v>
                      </c:pt>
                      <c:pt idx="177">
                        <c:v>365.84120645125074</c:v>
                      </c:pt>
                      <c:pt idx="178">
                        <c:v>365.84120645125074</c:v>
                      </c:pt>
                      <c:pt idx="179">
                        <c:v>365.84120645125074</c:v>
                      </c:pt>
                      <c:pt idx="180">
                        <c:v>314.2412064512506</c:v>
                      </c:pt>
                      <c:pt idx="181">
                        <c:v>307.34120645125074</c:v>
                      </c:pt>
                      <c:pt idx="182">
                        <c:v>332.24120645125083</c:v>
                      </c:pt>
                      <c:pt idx="183">
                        <c:v>339.09120645125086</c:v>
                      </c:pt>
                      <c:pt idx="184">
                        <c:v>339.09120645125086</c:v>
                      </c:pt>
                      <c:pt idx="185">
                        <c:v>339.09120645125086</c:v>
                      </c:pt>
                      <c:pt idx="186">
                        <c:v>339.09120645125086</c:v>
                      </c:pt>
                      <c:pt idx="187">
                        <c:v>331.25120645125094</c:v>
                      </c:pt>
                      <c:pt idx="188">
                        <c:v>331.25120645125094</c:v>
                      </c:pt>
                      <c:pt idx="189">
                        <c:v>331.25120645125094</c:v>
                      </c:pt>
                      <c:pt idx="190">
                        <c:v>271.49120645125095</c:v>
                      </c:pt>
                      <c:pt idx="191">
                        <c:v>271.49120645125095</c:v>
                      </c:pt>
                      <c:pt idx="192">
                        <c:v>218.73120645125073</c:v>
                      </c:pt>
                      <c:pt idx="193">
                        <c:v>218.73120645125073</c:v>
                      </c:pt>
                      <c:pt idx="194">
                        <c:v>218.73120645125073</c:v>
                      </c:pt>
                      <c:pt idx="195">
                        <c:v>158.55120645125089</c:v>
                      </c:pt>
                      <c:pt idx="196">
                        <c:v>155.69120645125099</c:v>
                      </c:pt>
                      <c:pt idx="197">
                        <c:v>155.69120645125099</c:v>
                      </c:pt>
                      <c:pt idx="198">
                        <c:v>155.69120645125099</c:v>
                      </c:pt>
                      <c:pt idx="199">
                        <c:v>155.69120645125099</c:v>
                      </c:pt>
                      <c:pt idx="200">
                        <c:v>155.69120645125099</c:v>
                      </c:pt>
                      <c:pt idx="201">
                        <c:v>155.69120645125099</c:v>
                      </c:pt>
                      <c:pt idx="202">
                        <c:v>165.81120645125111</c:v>
                      </c:pt>
                      <c:pt idx="203">
                        <c:v>165.81120645125111</c:v>
                      </c:pt>
                      <c:pt idx="204">
                        <c:v>194.93120645125123</c:v>
                      </c:pt>
                      <c:pt idx="205">
                        <c:v>118.37120645125117</c:v>
                      </c:pt>
                      <c:pt idx="206">
                        <c:v>195.83120645125121</c:v>
                      </c:pt>
                      <c:pt idx="207">
                        <c:v>195.83120645125121</c:v>
                      </c:pt>
                      <c:pt idx="208">
                        <c:v>181.91120645125113</c:v>
                      </c:pt>
                      <c:pt idx="209">
                        <c:v>181.91120645125113</c:v>
                      </c:pt>
                      <c:pt idx="210">
                        <c:v>77.06120645125111</c:v>
                      </c:pt>
                      <c:pt idx="211">
                        <c:v>66.701206451251096</c:v>
                      </c:pt>
                      <c:pt idx="212">
                        <c:v>85.211399342838945</c:v>
                      </c:pt>
                      <c:pt idx="213">
                        <c:v>85.211399342838945</c:v>
                      </c:pt>
                      <c:pt idx="214">
                        <c:v>85.211399342838945</c:v>
                      </c:pt>
                      <c:pt idx="215">
                        <c:v>85.211399342838945</c:v>
                      </c:pt>
                      <c:pt idx="216">
                        <c:v>129.05139934283909</c:v>
                      </c:pt>
                      <c:pt idx="217">
                        <c:v>129.05139934283909</c:v>
                      </c:pt>
                      <c:pt idx="218">
                        <c:v>129.05139934283909</c:v>
                      </c:pt>
                      <c:pt idx="219">
                        <c:v>246.01139934283913</c:v>
                      </c:pt>
                      <c:pt idx="220">
                        <c:v>246.01139934283913</c:v>
                      </c:pt>
                      <c:pt idx="221">
                        <c:v>231.71139934283894</c:v>
                      </c:pt>
                      <c:pt idx="222">
                        <c:v>231.71139934283894</c:v>
                      </c:pt>
                      <c:pt idx="223">
                        <c:v>231.71139934283894</c:v>
                      </c:pt>
                      <c:pt idx="224">
                        <c:v>302.23139934283893</c:v>
                      </c:pt>
                      <c:pt idx="225">
                        <c:v>302.23139934283893</c:v>
                      </c:pt>
                      <c:pt idx="226">
                        <c:v>199.28139934283888</c:v>
                      </c:pt>
                      <c:pt idx="227">
                        <c:v>199.28139934283888</c:v>
                      </c:pt>
                      <c:pt idx="228">
                        <c:v>216.20139934283895</c:v>
                      </c:pt>
                      <c:pt idx="229">
                        <c:v>255.68139934283897</c:v>
                      </c:pt>
                      <c:pt idx="230">
                        <c:v>255.68139934283897</c:v>
                      </c:pt>
                      <c:pt idx="231">
                        <c:v>213.14249066104651</c:v>
                      </c:pt>
                      <c:pt idx="232">
                        <c:v>266.9024906610465</c:v>
                      </c:pt>
                      <c:pt idx="233">
                        <c:v>256.66249066104672</c:v>
                      </c:pt>
                      <c:pt idx="234">
                        <c:v>256.66249066104672</c:v>
                      </c:pt>
                      <c:pt idx="235">
                        <c:v>256.66249066104672</c:v>
                      </c:pt>
                      <c:pt idx="236">
                        <c:v>256.66249066104672</c:v>
                      </c:pt>
                      <c:pt idx="237">
                        <c:v>264.4624906610469</c:v>
                      </c:pt>
                      <c:pt idx="238">
                        <c:v>167.92249066104694</c:v>
                      </c:pt>
                      <c:pt idx="239">
                        <c:v>187.36249066104699</c:v>
                      </c:pt>
                      <c:pt idx="240">
                        <c:v>187.36249066104699</c:v>
                      </c:pt>
                      <c:pt idx="241">
                        <c:v>187.36249066104699</c:v>
                      </c:pt>
                      <c:pt idx="242">
                        <c:v>186.04249066104705</c:v>
                      </c:pt>
                      <c:pt idx="243">
                        <c:v>186.04249066104705</c:v>
                      </c:pt>
                      <c:pt idx="244">
                        <c:v>87.822490661047027</c:v>
                      </c:pt>
                      <c:pt idx="245">
                        <c:v>87.822490661047027</c:v>
                      </c:pt>
                      <c:pt idx="246">
                        <c:v>87.822490661047027</c:v>
                      </c:pt>
                      <c:pt idx="247">
                        <c:v>87.822490661047027</c:v>
                      </c:pt>
                      <c:pt idx="248">
                        <c:v>87.822490661047027</c:v>
                      </c:pt>
                      <c:pt idx="249">
                        <c:v>87.822490661047027</c:v>
                      </c:pt>
                      <c:pt idx="250">
                        <c:v>87.822490661047027</c:v>
                      </c:pt>
                      <c:pt idx="251">
                        <c:v>-6.3775093389530184</c:v>
                      </c:pt>
                      <c:pt idx="252">
                        <c:v>3.4224906610469361</c:v>
                      </c:pt>
                      <c:pt idx="253">
                        <c:v>3.4224906610469361</c:v>
                      </c:pt>
                      <c:pt idx="254">
                        <c:v>3.4224906610469361</c:v>
                      </c:pt>
                      <c:pt idx="255">
                        <c:v>3.4224906610469361</c:v>
                      </c:pt>
                      <c:pt idx="256">
                        <c:v>33.122490661046754</c:v>
                      </c:pt>
                      <c:pt idx="257">
                        <c:v>33.122490661046754</c:v>
                      </c:pt>
                      <c:pt idx="258">
                        <c:v>33.122490661046754</c:v>
                      </c:pt>
                      <c:pt idx="259">
                        <c:v>33.122490661046754</c:v>
                      </c:pt>
                      <c:pt idx="260">
                        <c:v>33.122490661046754</c:v>
                      </c:pt>
                      <c:pt idx="261">
                        <c:v>33.122490661046754</c:v>
                      </c:pt>
                      <c:pt idx="262">
                        <c:v>33.122490661046754</c:v>
                      </c:pt>
                      <c:pt idx="263">
                        <c:v>-3.3275093389532913</c:v>
                      </c:pt>
                      <c:pt idx="264">
                        <c:v>-3.3275093389532913</c:v>
                      </c:pt>
                      <c:pt idx="265">
                        <c:v>-3.3275093389532913</c:v>
                      </c:pt>
                      <c:pt idx="266">
                        <c:v>20.122490661046527</c:v>
                      </c:pt>
                      <c:pt idx="267">
                        <c:v>20.122490661046527</c:v>
                      </c:pt>
                      <c:pt idx="268">
                        <c:v>20.122490661046527</c:v>
                      </c:pt>
                      <c:pt idx="269">
                        <c:v>20.122490661046527</c:v>
                      </c:pt>
                      <c:pt idx="270">
                        <c:v>20.122490661046527</c:v>
                      </c:pt>
                      <c:pt idx="271">
                        <c:v>20.122490661046527</c:v>
                      </c:pt>
                      <c:pt idx="272">
                        <c:v>20.122490661046527</c:v>
                      </c:pt>
                      <c:pt idx="273">
                        <c:v>20.122490661046527</c:v>
                      </c:pt>
                      <c:pt idx="274">
                        <c:v>20.122490661046527</c:v>
                      </c:pt>
                      <c:pt idx="275">
                        <c:v>20.122490661046527</c:v>
                      </c:pt>
                      <c:pt idx="276">
                        <c:v>20.122490661046527</c:v>
                      </c:pt>
                      <c:pt idx="277">
                        <c:v>20.122490661046527</c:v>
                      </c:pt>
                      <c:pt idx="278">
                        <c:v>20.122490661046527</c:v>
                      </c:pt>
                      <c:pt idx="279">
                        <c:v>20.122490661046527</c:v>
                      </c:pt>
                      <c:pt idx="280">
                        <c:v>15.562490661046581</c:v>
                      </c:pt>
                      <c:pt idx="281">
                        <c:v>-40.597509338953273</c:v>
                      </c:pt>
                      <c:pt idx="282">
                        <c:v>-40.597509338953273</c:v>
                      </c:pt>
                      <c:pt idx="283">
                        <c:v>-40.597509338953273</c:v>
                      </c:pt>
                      <c:pt idx="284">
                        <c:v>-7.2975093389533185</c:v>
                      </c:pt>
                      <c:pt idx="285">
                        <c:v>-7.2975093389533185</c:v>
                      </c:pt>
                      <c:pt idx="286">
                        <c:v>1.1024906610467724</c:v>
                      </c:pt>
                      <c:pt idx="287">
                        <c:v>1.1024906610467724</c:v>
                      </c:pt>
                      <c:pt idx="288">
                        <c:v>151.70249066104691</c:v>
                      </c:pt>
                      <c:pt idx="289">
                        <c:v>151.70249066104691</c:v>
                      </c:pt>
                      <c:pt idx="290">
                        <c:v>151.70249066104691</c:v>
                      </c:pt>
                      <c:pt idx="291">
                        <c:v>151.70249066104691</c:v>
                      </c:pt>
                      <c:pt idx="292">
                        <c:v>151.70249066104691</c:v>
                      </c:pt>
                      <c:pt idx="293">
                        <c:v>148.00249066104664</c:v>
                      </c:pt>
                      <c:pt idx="294">
                        <c:v>148.00249066104664</c:v>
                      </c:pt>
                      <c:pt idx="295">
                        <c:v>148.00249066104664</c:v>
                      </c:pt>
                      <c:pt idx="296">
                        <c:v>148.00249066104664</c:v>
                      </c:pt>
                      <c:pt idx="297">
                        <c:v>148.00249066104664</c:v>
                      </c:pt>
                      <c:pt idx="298">
                        <c:v>148.00249066104664</c:v>
                      </c:pt>
                      <c:pt idx="299">
                        <c:v>121.60249066104666</c:v>
                      </c:pt>
                      <c:pt idx="300">
                        <c:v>175.24249066104653</c:v>
                      </c:pt>
                      <c:pt idx="301">
                        <c:v>345.26249066104651</c:v>
                      </c:pt>
                      <c:pt idx="302">
                        <c:v>345.26249066104651</c:v>
                      </c:pt>
                      <c:pt idx="303">
                        <c:v>428.48249066104654</c:v>
                      </c:pt>
                      <c:pt idx="304">
                        <c:v>428.48249066104654</c:v>
                      </c:pt>
                      <c:pt idx="305">
                        <c:v>531.88249066104663</c:v>
                      </c:pt>
                      <c:pt idx="306">
                        <c:v>676.08249066104668</c:v>
                      </c:pt>
                      <c:pt idx="307">
                        <c:v>685.53249066104672</c:v>
                      </c:pt>
                      <c:pt idx="308">
                        <c:v>685.53249066104672</c:v>
                      </c:pt>
                      <c:pt idx="309">
                        <c:v>685.53249066104672</c:v>
                      </c:pt>
                      <c:pt idx="310">
                        <c:v>685.53249066104672</c:v>
                      </c:pt>
                      <c:pt idx="311">
                        <c:v>685.53249066104672</c:v>
                      </c:pt>
                      <c:pt idx="312">
                        <c:v>685.53249066104672</c:v>
                      </c:pt>
                      <c:pt idx="313">
                        <c:v>685.53249066104672</c:v>
                      </c:pt>
                      <c:pt idx="314">
                        <c:v>685.53249066104672</c:v>
                      </c:pt>
                      <c:pt idx="315">
                        <c:v>685.53249066104672</c:v>
                      </c:pt>
                      <c:pt idx="316">
                        <c:v>685.53249066104672</c:v>
                      </c:pt>
                      <c:pt idx="317">
                        <c:v>685.53249066104672</c:v>
                      </c:pt>
                      <c:pt idx="318">
                        <c:v>599.43627194988017</c:v>
                      </c:pt>
                      <c:pt idx="319">
                        <c:v>814.11627194988023</c:v>
                      </c:pt>
                      <c:pt idx="320">
                        <c:v>814.11627194988023</c:v>
                      </c:pt>
                      <c:pt idx="321">
                        <c:v>804.91627194988018</c:v>
                      </c:pt>
                      <c:pt idx="322">
                        <c:v>869.71627194988037</c:v>
                      </c:pt>
                      <c:pt idx="323">
                        <c:v>640.46627194988037</c:v>
                      </c:pt>
                      <c:pt idx="324">
                        <c:v>640.46627194988037</c:v>
                      </c:pt>
                      <c:pt idx="325">
                        <c:v>690.46627194988037</c:v>
                      </c:pt>
                      <c:pt idx="326">
                        <c:v>690.46627194988037</c:v>
                      </c:pt>
                      <c:pt idx="327">
                        <c:v>686.86627194988023</c:v>
                      </c:pt>
                      <c:pt idx="328">
                        <c:v>659.41627194988018</c:v>
                      </c:pt>
                      <c:pt idx="329">
                        <c:v>659.41627194988018</c:v>
                      </c:pt>
                      <c:pt idx="330">
                        <c:v>659.41627194988018</c:v>
                      </c:pt>
                      <c:pt idx="331">
                        <c:v>730.45627194988015</c:v>
                      </c:pt>
                      <c:pt idx="332">
                        <c:v>846.73627194988012</c:v>
                      </c:pt>
                      <c:pt idx="333">
                        <c:v>906.13627194988021</c:v>
                      </c:pt>
                      <c:pt idx="334">
                        <c:v>906.13627194988021</c:v>
                      </c:pt>
                      <c:pt idx="335">
                        <c:v>962.59627194988025</c:v>
                      </c:pt>
                      <c:pt idx="336">
                        <c:v>956.35627194988024</c:v>
                      </c:pt>
                      <c:pt idx="337">
                        <c:v>956.35627194988024</c:v>
                      </c:pt>
                      <c:pt idx="338">
                        <c:v>956.35627194988024</c:v>
                      </c:pt>
                      <c:pt idx="339">
                        <c:v>892.09627194988025</c:v>
                      </c:pt>
                      <c:pt idx="340">
                        <c:v>768.40627194988019</c:v>
                      </c:pt>
                      <c:pt idx="341">
                        <c:v>768.40627194988019</c:v>
                      </c:pt>
                      <c:pt idx="342">
                        <c:v>768.40627194988019</c:v>
                      </c:pt>
                      <c:pt idx="343">
                        <c:v>759.08627194988026</c:v>
                      </c:pt>
                      <c:pt idx="344">
                        <c:v>631.52627194988031</c:v>
                      </c:pt>
                      <c:pt idx="345">
                        <c:v>631.52627194988031</c:v>
                      </c:pt>
                      <c:pt idx="346">
                        <c:v>631.52627194988031</c:v>
                      </c:pt>
                    </c:numCache>
                  </c:numRef>
                </c:val>
                <c:smooth val="0"/>
                <c:extLst xmlns:c15="http://schemas.microsoft.com/office/drawing/2012/chart">
                  <c:ext xmlns:c16="http://schemas.microsoft.com/office/drawing/2014/chart" uri="{C3380CC4-5D6E-409C-BE32-E72D297353CC}">
                    <c16:uniqueId val="{00000005-C4AE-4E16-B464-E769C74DF94D}"/>
                  </c:ext>
                </c:extLst>
              </c15:ser>
            </c15:filteredLineSeries>
            <c15:filteredLineSeries>
              <c15:ser>
                <c:idx val="6"/>
                <c:order val="6"/>
                <c:tx>
                  <c:v>Dwn (MOC)</c:v>
                </c:tx>
                <c:spPr>
                  <a:ln w="28575" cap="rnd">
                    <a:solidFill>
                      <a:schemeClr val="accent2">
                        <a:lumMod val="60000"/>
                        <a:lumOff val="40000"/>
                      </a:schemeClr>
                    </a:solidFill>
                    <a:prstDash val="sysDash"/>
                    <a:round/>
                  </a:ln>
                  <a:effectLst/>
                </c:spPr>
                <c:marker>
                  <c:symbol val="none"/>
                </c:marker>
                <c:val>
                  <c:numRef>
                    <c:extLst xmlns:c15="http://schemas.microsoft.com/office/drawing/2012/chart">
                      <c:ext xmlns:c15="http://schemas.microsoft.com/office/drawing/2012/chart" uri="{02D57815-91ED-43cb-92C2-25804820EDAC}">
                        <c15:formulaRef>
                          <c15:sqref>'2025-Q2'!$AZ$4:$AZ$350</c15:sqref>
                        </c15:formulaRef>
                      </c:ext>
                    </c:extLst>
                    <c:numCache>
                      <c:formatCode>"$"#,##0</c:formatCode>
                      <c:ptCount val="347"/>
                      <c:pt idx="0">
                        <c:v>-254.69999999999982</c:v>
                      </c:pt>
                      <c:pt idx="1">
                        <c:v>-262.79999999999973</c:v>
                      </c:pt>
                      <c:pt idx="2">
                        <c:v>-262.79999999999973</c:v>
                      </c:pt>
                      <c:pt idx="3">
                        <c:v>-262.79999999999973</c:v>
                      </c:pt>
                      <c:pt idx="4">
                        <c:v>-262.79999999999973</c:v>
                      </c:pt>
                      <c:pt idx="5">
                        <c:v>-262.79999999999973</c:v>
                      </c:pt>
                      <c:pt idx="6">
                        <c:v>-262.79999999999973</c:v>
                      </c:pt>
                      <c:pt idx="7">
                        <c:v>-262.79999999999973</c:v>
                      </c:pt>
                      <c:pt idx="8">
                        <c:v>-262.79999999999973</c:v>
                      </c:pt>
                      <c:pt idx="9">
                        <c:v>-266.68837290281726</c:v>
                      </c:pt>
                      <c:pt idx="10">
                        <c:v>-266.68837290281726</c:v>
                      </c:pt>
                      <c:pt idx="11">
                        <c:v>-266.68837290281726</c:v>
                      </c:pt>
                      <c:pt idx="12">
                        <c:v>-267.17837290281727</c:v>
                      </c:pt>
                      <c:pt idx="13">
                        <c:v>-267.17837290281727</c:v>
                      </c:pt>
                      <c:pt idx="14">
                        <c:v>-173.75837290281697</c:v>
                      </c:pt>
                      <c:pt idx="15">
                        <c:v>-173.75837290281697</c:v>
                      </c:pt>
                      <c:pt idx="16">
                        <c:v>-89.908372902816836</c:v>
                      </c:pt>
                      <c:pt idx="17">
                        <c:v>-65.608372902816654</c:v>
                      </c:pt>
                      <c:pt idx="18">
                        <c:v>-65.608372902816654</c:v>
                      </c:pt>
                      <c:pt idx="19">
                        <c:v>-65.608372902816654</c:v>
                      </c:pt>
                      <c:pt idx="20">
                        <c:v>-65.608372902816654</c:v>
                      </c:pt>
                      <c:pt idx="21">
                        <c:v>-65.608372902816654</c:v>
                      </c:pt>
                      <c:pt idx="22">
                        <c:v>-79.1383729028164</c:v>
                      </c:pt>
                      <c:pt idx="23">
                        <c:v>-79.1383729028164</c:v>
                      </c:pt>
                      <c:pt idx="24">
                        <c:v>-79.1383729028164</c:v>
                      </c:pt>
                      <c:pt idx="25">
                        <c:v>-79.1383729028164</c:v>
                      </c:pt>
                      <c:pt idx="26">
                        <c:v>-76.1383729028164</c:v>
                      </c:pt>
                      <c:pt idx="27">
                        <c:v>-110.1383729028164</c:v>
                      </c:pt>
                      <c:pt idx="28">
                        <c:v>-118.53837290281626</c:v>
                      </c:pt>
                      <c:pt idx="29">
                        <c:v>-118.53837290281626</c:v>
                      </c:pt>
                      <c:pt idx="30">
                        <c:v>-155.63837290281617</c:v>
                      </c:pt>
                      <c:pt idx="31">
                        <c:v>-148.13837290281617</c:v>
                      </c:pt>
                      <c:pt idx="32">
                        <c:v>-164.13837290281617</c:v>
                      </c:pt>
                      <c:pt idx="33">
                        <c:v>-164.13837290281617</c:v>
                      </c:pt>
                      <c:pt idx="34">
                        <c:v>-164.13837290281617</c:v>
                      </c:pt>
                      <c:pt idx="35">
                        <c:v>-164.13837290281617</c:v>
                      </c:pt>
                      <c:pt idx="36">
                        <c:v>-173.22837290281586</c:v>
                      </c:pt>
                      <c:pt idx="37">
                        <c:v>-173.22837290281586</c:v>
                      </c:pt>
                      <c:pt idx="38">
                        <c:v>-173.22837290281586</c:v>
                      </c:pt>
                      <c:pt idx="39">
                        <c:v>-173.22837290281586</c:v>
                      </c:pt>
                      <c:pt idx="40">
                        <c:v>-322.17837290281591</c:v>
                      </c:pt>
                      <c:pt idx="41">
                        <c:v>-353.47837290281609</c:v>
                      </c:pt>
                      <c:pt idx="42">
                        <c:v>-286.37837290281595</c:v>
                      </c:pt>
                      <c:pt idx="43">
                        <c:v>-286.37837290281595</c:v>
                      </c:pt>
                      <c:pt idx="44">
                        <c:v>-286.37837290281595</c:v>
                      </c:pt>
                      <c:pt idx="45">
                        <c:v>-286.37837290281595</c:v>
                      </c:pt>
                      <c:pt idx="46">
                        <c:v>-336.14837290281594</c:v>
                      </c:pt>
                      <c:pt idx="47">
                        <c:v>-336.14837290281594</c:v>
                      </c:pt>
                      <c:pt idx="48">
                        <c:v>-437.28837290281581</c:v>
                      </c:pt>
                      <c:pt idx="49">
                        <c:v>-437.28837290281581</c:v>
                      </c:pt>
                      <c:pt idx="50">
                        <c:v>-437.28837290281581</c:v>
                      </c:pt>
                      <c:pt idx="51">
                        <c:v>-437.28837290281581</c:v>
                      </c:pt>
                      <c:pt idx="52">
                        <c:v>-546.48837290281585</c:v>
                      </c:pt>
                      <c:pt idx="53">
                        <c:v>-546.48837290281585</c:v>
                      </c:pt>
                      <c:pt idx="54">
                        <c:v>-546.48837290281585</c:v>
                      </c:pt>
                      <c:pt idx="55">
                        <c:v>-539.5683729028159</c:v>
                      </c:pt>
                      <c:pt idx="56">
                        <c:v>-539.5683729028159</c:v>
                      </c:pt>
                      <c:pt idx="57">
                        <c:v>-414.9183729028158</c:v>
                      </c:pt>
                      <c:pt idx="58">
                        <c:v>-414.9183729028158</c:v>
                      </c:pt>
                      <c:pt idx="59">
                        <c:v>-414.9183729028158</c:v>
                      </c:pt>
                      <c:pt idx="60">
                        <c:v>-414.9183729028158</c:v>
                      </c:pt>
                      <c:pt idx="61">
                        <c:v>-414.9183729028158</c:v>
                      </c:pt>
                      <c:pt idx="62">
                        <c:v>-414.9183729028158</c:v>
                      </c:pt>
                      <c:pt idx="63">
                        <c:v>-414.9183729028158</c:v>
                      </c:pt>
                      <c:pt idx="64">
                        <c:v>-414.9183729028158</c:v>
                      </c:pt>
                      <c:pt idx="65">
                        <c:v>-414.9183729028158</c:v>
                      </c:pt>
                      <c:pt idx="66">
                        <c:v>-420.76837290281571</c:v>
                      </c:pt>
                      <c:pt idx="67">
                        <c:v>-414.58837290281565</c:v>
                      </c:pt>
                      <c:pt idx="68">
                        <c:v>-396.2683729028156</c:v>
                      </c:pt>
                      <c:pt idx="69">
                        <c:v>-396.2683729028156</c:v>
                      </c:pt>
                      <c:pt idx="70">
                        <c:v>-368.83837290281554</c:v>
                      </c:pt>
                      <c:pt idx="71">
                        <c:v>-368.83837290281554</c:v>
                      </c:pt>
                      <c:pt idx="72">
                        <c:v>-368.83837290281554</c:v>
                      </c:pt>
                      <c:pt idx="73">
                        <c:v>-368.83837290281554</c:v>
                      </c:pt>
                      <c:pt idx="74">
                        <c:v>-368.83837290281554</c:v>
                      </c:pt>
                      <c:pt idx="75">
                        <c:v>-368.83837290281554</c:v>
                      </c:pt>
                      <c:pt idx="76">
                        <c:v>-368.83837290281554</c:v>
                      </c:pt>
                      <c:pt idx="77">
                        <c:v>-368.83837290281554</c:v>
                      </c:pt>
                      <c:pt idx="78">
                        <c:v>-368.83837290281554</c:v>
                      </c:pt>
                      <c:pt idx="79">
                        <c:v>-423.9721716230016</c:v>
                      </c:pt>
                      <c:pt idx="80">
                        <c:v>-423.9721716230016</c:v>
                      </c:pt>
                      <c:pt idx="81">
                        <c:v>-480.01217162300156</c:v>
                      </c:pt>
                      <c:pt idx="82">
                        <c:v>-530.05217162300164</c:v>
                      </c:pt>
                      <c:pt idx="83">
                        <c:v>-530.05217162300164</c:v>
                      </c:pt>
                      <c:pt idx="84">
                        <c:v>-530.05217162300164</c:v>
                      </c:pt>
                      <c:pt idx="85">
                        <c:v>-591.05217162300175</c:v>
                      </c:pt>
                      <c:pt idx="86">
                        <c:v>-591.05217162300175</c:v>
                      </c:pt>
                      <c:pt idx="87">
                        <c:v>-613.15217162300189</c:v>
                      </c:pt>
                      <c:pt idx="88">
                        <c:v>-595.83217162300184</c:v>
                      </c:pt>
                      <c:pt idx="89">
                        <c:v>-595.83217162300184</c:v>
                      </c:pt>
                      <c:pt idx="90">
                        <c:v>-563.83217162300184</c:v>
                      </c:pt>
                      <c:pt idx="91">
                        <c:v>-555.85217162300182</c:v>
                      </c:pt>
                      <c:pt idx="92">
                        <c:v>-578.65217162300189</c:v>
                      </c:pt>
                      <c:pt idx="93">
                        <c:v>-578.65217162300189</c:v>
                      </c:pt>
                      <c:pt idx="94">
                        <c:v>-578.65217162300189</c:v>
                      </c:pt>
                      <c:pt idx="95">
                        <c:v>-589.652171623002</c:v>
                      </c:pt>
                      <c:pt idx="96">
                        <c:v>-547.95217162300207</c:v>
                      </c:pt>
                      <c:pt idx="97">
                        <c:v>-550.83217162300207</c:v>
                      </c:pt>
                      <c:pt idx="98">
                        <c:v>-588.98217162300205</c:v>
                      </c:pt>
                      <c:pt idx="99">
                        <c:v>-588.98217162300205</c:v>
                      </c:pt>
                      <c:pt idx="100">
                        <c:v>-711.86217162300204</c:v>
                      </c:pt>
                      <c:pt idx="101">
                        <c:v>-711.86217162300204</c:v>
                      </c:pt>
                      <c:pt idx="102">
                        <c:v>-711.86217162300204</c:v>
                      </c:pt>
                      <c:pt idx="103">
                        <c:v>-711.86217162300204</c:v>
                      </c:pt>
                      <c:pt idx="104">
                        <c:v>-711.86217162300204</c:v>
                      </c:pt>
                      <c:pt idx="105">
                        <c:v>-657.08217162300207</c:v>
                      </c:pt>
                      <c:pt idx="106">
                        <c:v>-657.08217162300207</c:v>
                      </c:pt>
                      <c:pt idx="107">
                        <c:v>-657.08217162300207</c:v>
                      </c:pt>
                      <c:pt idx="108">
                        <c:v>-657.08217162300207</c:v>
                      </c:pt>
                      <c:pt idx="109">
                        <c:v>-657.08217162300207</c:v>
                      </c:pt>
                      <c:pt idx="110">
                        <c:v>-646.83217162300218</c:v>
                      </c:pt>
                      <c:pt idx="111">
                        <c:v>-640.35217162300216</c:v>
                      </c:pt>
                      <c:pt idx="112">
                        <c:v>-640.35217162300216</c:v>
                      </c:pt>
                      <c:pt idx="113">
                        <c:v>-640.35217162300216</c:v>
                      </c:pt>
                      <c:pt idx="114">
                        <c:v>-640.35217162300216</c:v>
                      </c:pt>
                      <c:pt idx="115">
                        <c:v>-640.35217162300216</c:v>
                      </c:pt>
                      <c:pt idx="116">
                        <c:v>-643.20217162300207</c:v>
                      </c:pt>
                      <c:pt idx="117">
                        <c:v>-617.95161845366727</c:v>
                      </c:pt>
                      <c:pt idx="118">
                        <c:v>-617.95161845366727</c:v>
                      </c:pt>
                      <c:pt idx="119">
                        <c:v>-617.95161845366727</c:v>
                      </c:pt>
                      <c:pt idx="120">
                        <c:v>-637.75161845366745</c:v>
                      </c:pt>
                      <c:pt idx="121">
                        <c:v>-637.75161845366745</c:v>
                      </c:pt>
                      <c:pt idx="122">
                        <c:v>-637.75161845366745</c:v>
                      </c:pt>
                      <c:pt idx="123">
                        <c:v>-637.75161845366745</c:v>
                      </c:pt>
                      <c:pt idx="124">
                        <c:v>-569.65161845366742</c:v>
                      </c:pt>
                      <c:pt idx="125">
                        <c:v>-569.65161845366742</c:v>
                      </c:pt>
                      <c:pt idx="126">
                        <c:v>-569.65161845366742</c:v>
                      </c:pt>
                      <c:pt idx="127">
                        <c:v>-617.44161845366739</c:v>
                      </c:pt>
                      <c:pt idx="128">
                        <c:v>-617.44161845366739</c:v>
                      </c:pt>
                      <c:pt idx="129">
                        <c:v>-653.28161845366731</c:v>
                      </c:pt>
                      <c:pt idx="130">
                        <c:v>-653.28161845366731</c:v>
                      </c:pt>
                      <c:pt idx="131">
                        <c:v>-678.06161845366728</c:v>
                      </c:pt>
                      <c:pt idx="132">
                        <c:v>-678.06161845366728</c:v>
                      </c:pt>
                      <c:pt idx="133">
                        <c:v>-660.56161845366728</c:v>
                      </c:pt>
                      <c:pt idx="134">
                        <c:v>-658.04161845366718</c:v>
                      </c:pt>
                      <c:pt idx="135">
                        <c:v>-666.32161845366716</c:v>
                      </c:pt>
                      <c:pt idx="136">
                        <c:v>-662.72161845366713</c:v>
                      </c:pt>
                      <c:pt idx="137">
                        <c:v>-662.72161845366713</c:v>
                      </c:pt>
                      <c:pt idx="138">
                        <c:v>-694.54161845366707</c:v>
                      </c:pt>
                      <c:pt idx="139">
                        <c:v>-663.04161845366696</c:v>
                      </c:pt>
                      <c:pt idx="140">
                        <c:v>-663.04161845366696</c:v>
                      </c:pt>
                      <c:pt idx="141">
                        <c:v>-694.56161845366694</c:v>
                      </c:pt>
                      <c:pt idx="142">
                        <c:v>-744.80161845366695</c:v>
                      </c:pt>
                      <c:pt idx="143">
                        <c:v>-767.04161845366673</c:v>
                      </c:pt>
                      <c:pt idx="144">
                        <c:v>-769.08161845366681</c:v>
                      </c:pt>
                      <c:pt idx="145">
                        <c:v>-685.18161845366672</c:v>
                      </c:pt>
                      <c:pt idx="146">
                        <c:v>-709.48161845366667</c:v>
                      </c:pt>
                      <c:pt idx="147">
                        <c:v>-763.63161845366676</c:v>
                      </c:pt>
                      <c:pt idx="148">
                        <c:v>-763.63161845366676</c:v>
                      </c:pt>
                      <c:pt idx="149">
                        <c:v>-763.63161845366676</c:v>
                      </c:pt>
                      <c:pt idx="150">
                        <c:v>-763.63161845366676</c:v>
                      </c:pt>
                      <c:pt idx="151">
                        <c:v>-763.63161845366676</c:v>
                      </c:pt>
                      <c:pt idx="152">
                        <c:v>-639.33161845366681</c:v>
                      </c:pt>
                      <c:pt idx="153">
                        <c:v>-639.33161845366681</c:v>
                      </c:pt>
                      <c:pt idx="154">
                        <c:v>-639.33161845366681</c:v>
                      </c:pt>
                      <c:pt idx="155">
                        <c:v>-639.33161845366681</c:v>
                      </c:pt>
                      <c:pt idx="156">
                        <c:v>-547.97161845366668</c:v>
                      </c:pt>
                      <c:pt idx="157">
                        <c:v>-547.97161845366668</c:v>
                      </c:pt>
                      <c:pt idx="158">
                        <c:v>-547.97161845366668</c:v>
                      </c:pt>
                      <c:pt idx="159">
                        <c:v>-547.97161845366668</c:v>
                      </c:pt>
                      <c:pt idx="160">
                        <c:v>-547.97161845366668</c:v>
                      </c:pt>
                      <c:pt idx="161">
                        <c:v>-547.97161845366668</c:v>
                      </c:pt>
                      <c:pt idx="162">
                        <c:v>-520.05161845366683</c:v>
                      </c:pt>
                      <c:pt idx="163">
                        <c:v>-601.05161845366695</c:v>
                      </c:pt>
                      <c:pt idx="164">
                        <c:v>-601.05161845366695</c:v>
                      </c:pt>
                      <c:pt idx="165">
                        <c:v>-601.05161845366695</c:v>
                      </c:pt>
                      <c:pt idx="166">
                        <c:v>-601.05161845366695</c:v>
                      </c:pt>
                      <c:pt idx="167">
                        <c:v>-601.05161845366695</c:v>
                      </c:pt>
                      <c:pt idx="168">
                        <c:v>-560.1016184536669</c:v>
                      </c:pt>
                      <c:pt idx="169">
                        <c:v>-560.1016184536669</c:v>
                      </c:pt>
                      <c:pt idx="170">
                        <c:v>-570.36161845366701</c:v>
                      </c:pt>
                      <c:pt idx="171">
                        <c:v>-570.36161845366701</c:v>
                      </c:pt>
                      <c:pt idx="172">
                        <c:v>-550.52161845366709</c:v>
                      </c:pt>
                      <c:pt idx="173">
                        <c:v>-550.52161845366709</c:v>
                      </c:pt>
                      <c:pt idx="174">
                        <c:v>-469.5216184536672</c:v>
                      </c:pt>
                      <c:pt idx="175">
                        <c:v>-469.5216184536672</c:v>
                      </c:pt>
                      <c:pt idx="176">
                        <c:v>-458.74161845366723</c:v>
                      </c:pt>
                      <c:pt idx="177">
                        <c:v>-458.74161845366723</c:v>
                      </c:pt>
                      <c:pt idx="178">
                        <c:v>-472.52161845366743</c:v>
                      </c:pt>
                      <c:pt idx="179">
                        <c:v>-378.83161845366737</c:v>
                      </c:pt>
                      <c:pt idx="180">
                        <c:v>-378.83161845366737</c:v>
                      </c:pt>
                      <c:pt idx="181">
                        <c:v>-378.83161845366737</c:v>
                      </c:pt>
                      <c:pt idx="182">
                        <c:v>-378.83161845366737</c:v>
                      </c:pt>
                      <c:pt idx="183">
                        <c:v>-378.83161845366737</c:v>
                      </c:pt>
                      <c:pt idx="184">
                        <c:v>-399.47161845366725</c:v>
                      </c:pt>
                      <c:pt idx="185">
                        <c:v>-378.47161845366702</c:v>
                      </c:pt>
                      <c:pt idx="186">
                        <c:v>-386.97161845366702</c:v>
                      </c:pt>
                      <c:pt idx="187">
                        <c:v>-386.97161845366702</c:v>
                      </c:pt>
                      <c:pt idx="188">
                        <c:v>-280.97161845366702</c:v>
                      </c:pt>
                      <c:pt idx="189">
                        <c:v>-286.97161845366679</c:v>
                      </c:pt>
                      <c:pt idx="190">
                        <c:v>-286.97161845366679</c:v>
                      </c:pt>
                      <c:pt idx="191">
                        <c:v>-302.37161845366688</c:v>
                      </c:pt>
                      <c:pt idx="192">
                        <c:v>-302.37161845366688</c:v>
                      </c:pt>
                      <c:pt idx="193">
                        <c:v>-101.3516184536669</c:v>
                      </c:pt>
                      <c:pt idx="194">
                        <c:v>-110.31161845366694</c:v>
                      </c:pt>
                      <c:pt idx="195">
                        <c:v>-110.31161845366694</c:v>
                      </c:pt>
                      <c:pt idx="196">
                        <c:v>-110.31161845366694</c:v>
                      </c:pt>
                      <c:pt idx="197">
                        <c:v>-70.011618453666983</c:v>
                      </c:pt>
                      <c:pt idx="198">
                        <c:v>-68.661618453667074</c:v>
                      </c:pt>
                      <c:pt idx="199">
                        <c:v>-72.941618453667274</c:v>
                      </c:pt>
                      <c:pt idx="200">
                        <c:v>-72.941618453667274</c:v>
                      </c:pt>
                      <c:pt idx="201">
                        <c:v>-26.381618453667329</c:v>
                      </c:pt>
                      <c:pt idx="202">
                        <c:v>-26.381618453667329</c:v>
                      </c:pt>
                      <c:pt idx="203">
                        <c:v>-26.381618453667329</c:v>
                      </c:pt>
                      <c:pt idx="204">
                        <c:v>-26.381618453667329</c:v>
                      </c:pt>
                      <c:pt idx="205">
                        <c:v>-26.381618453667329</c:v>
                      </c:pt>
                      <c:pt idx="206">
                        <c:v>-26.381618453667329</c:v>
                      </c:pt>
                      <c:pt idx="207">
                        <c:v>-28.36161845366712</c:v>
                      </c:pt>
                      <c:pt idx="208">
                        <c:v>-28.36161845366712</c:v>
                      </c:pt>
                      <c:pt idx="209">
                        <c:v>-6.9616184536670289</c:v>
                      </c:pt>
                      <c:pt idx="210">
                        <c:v>-6.9616184536670289</c:v>
                      </c:pt>
                      <c:pt idx="211">
                        <c:v>-6.9616184536670289</c:v>
                      </c:pt>
                      <c:pt idx="212">
                        <c:v>-6.9616184536670289</c:v>
                      </c:pt>
                      <c:pt idx="213">
                        <c:v>36.368381546332898</c:v>
                      </c:pt>
                      <c:pt idx="214">
                        <c:v>38.368381546332898</c:v>
                      </c:pt>
                      <c:pt idx="215">
                        <c:v>-92.311618453666938</c:v>
                      </c:pt>
                      <c:pt idx="216">
                        <c:v>-92.311618453666938</c:v>
                      </c:pt>
                      <c:pt idx="217">
                        <c:v>-92.311618453666938</c:v>
                      </c:pt>
                      <c:pt idx="218">
                        <c:v>-74.811618453666938</c:v>
                      </c:pt>
                      <c:pt idx="219">
                        <c:v>-74.811618453666938</c:v>
                      </c:pt>
                      <c:pt idx="220">
                        <c:v>-5.5116184536669834</c:v>
                      </c:pt>
                      <c:pt idx="221">
                        <c:v>-5.5116184536669834</c:v>
                      </c:pt>
                      <c:pt idx="222">
                        <c:v>54.408381546332862</c:v>
                      </c:pt>
                      <c:pt idx="223">
                        <c:v>54.408381546332862</c:v>
                      </c:pt>
                      <c:pt idx="224">
                        <c:v>54.408381546332862</c:v>
                      </c:pt>
                      <c:pt idx="225">
                        <c:v>24.88838154633288</c:v>
                      </c:pt>
                      <c:pt idx="226">
                        <c:v>24.88838154633288</c:v>
                      </c:pt>
                      <c:pt idx="227">
                        <c:v>44.248381546333007</c:v>
                      </c:pt>
                      <c:pt idx="228">
                        <c:v>44.248381546333007</c:v>
                      </c:pt>
                      <c:pt idx="229">
                        <c:v>44.248381546333007</c:v>
                      </c:pt>
                      <c:pt idx="230">
                        <c:v>63.898381546332871</c:v>
                      </c:pt>
                      <c:pt idx="231">
                        <c:v>63.898381546332871</c:v>
                      </c:pt>
                      <c:pt idx="232">
                        <c:v>63.898381546332871</c:v>
                      </c:pt>
                      <c:pt idx="233">
                        <c:v>63.898381546332871</c:v>
                      </c:pt>
                      <c:pt idx="234">
                        <c:v>126.29838154633296</c:v>
                      </c:pt>
                      <c:pt idx="235">
                        <c:v>82.868381546332898</c:v>
                      </c:pt>
                      <c:pt idx="236">
                        <c:v>168.66838154633285</c:v>
                      </c:pt>
                      <c:pt idx="237">
                        <c:v>168.66838154633285</c:v>
                      </c:pt>
                      <c:pt idx="238">
                        <c:v>168.66838154633285</c:v>
                      </c:pt>
                      <c:pt idx="239">
                        <c:v>168.66838154633285</c:v>
                      </c:pt>
                      <c:pt idx="240">
                        <c:v>168.66838154633285</c:v>
                      </c:pt>
                      <c:pt idx="241">
                        <c:v>347.91838154633274</c:v>
                      </c:pt>
                      <c:pt idx="242">
                        <c:v>347.91838154633274</c:v>
                      </c:pt>
                      <c:pt idx="243">
                        <c:v>336.66838154633274</c:v>
                      </c:pt>
                      <c:pt idx="244">
                        <c:v>336.66838154633274</c:v>
                      </c:pt>
                      <c:pt idx="245">
                        <c:v>342.51838154633288</c:v>
                      </c:pt>
                      <c:pt idx="246">
                        <c:v>338.21838154633292</c:v>
                      </c:pt>
                      <c:pt idx="247">
                        <c:v>315.81838154633283</c:v>
                      </c:pt>
                      <c:pt idx="248">
                        <c:v>280.51838154633288</c:v>
                      </c:pt>
                      <c:pt idx="249">
                        <c:v>201.31838154633283</c:v>
                      </c:pt>
                      <c:pt idx="250">
                        <c:v>344.11838154633278</c:v>
                      </c:pt>
                      <c:pt idx="251">
                        <c:v>344.11838154633278</c:v>
                      </c:pt>
                      <c:pt idx="252">
                        <c:v>344.11838154633278</c:v>
                      </c:pt>
                      <c:pt idx="253">
                        <c:v>438.61838154633278</c:v>
                      </c:pt>
                      <c:pt idx="254">
                        <c:v>415.57838154633259</c:v>
                      </c:pt>
                      <c:pt idx="255">
                        <c:v>442.29838154633239</c:v>
                      </c:pt>
                      <c:pt idx="256">
                        <c:v>442.29838154633239</c:v>
                      </c:pt>
                      <c:pt idx="257">
                        <c:v>442.29838154633239</c:v>
                      </c:pt>
                      <c:pt idx="258">
                        <c:v>442.29838154633239</c:v>
                      </c:pt>
                      <c:pt idx="259">
                        <c:v>356.69838154633248</c:v>
                      </c:pt>
                      <c:pt idx="260">
                        <c:v>338.87838154633255</c:v>
                      </c:pt>
                      <c:pt idx="261">
                        <c:v>319.19838154633248</c:v>
                      </c:pt>
                      <c:pt idx="262">
                        <c:v>361.89838154633276</c:v>
                      </c:pt>
                      <c:pt idx="263">
                        <c:v>361.89838154633276</c:v>
                      </c:pt>
                      <c:pt idx="264">
                        <c:v>365.63838154633277</c:v>
                      </c:pt>
                      <c:pt idx="265">
                        <c:v>311.15838154633275</c:v>
                      </c:pt>
                      <c:pt idx="266">
                        <c:v>311.15838154633275</c:v>
                      </c:pt>
                      <c:pt idx="267">
                        <c:v>310.73838154633268</c:v>
                      </c:pt>
                      <c:pt idx="268">
                        <c:v>300.97838154633268</c:v>
                      </c:pt>
                      <c:pt idx="269">
                        <c:v>365.41838154633274</c:v>
                      </c:pt>
                      <c:pt idx="270">
                        <c:v>393.49838154633267</c:v>
                      </c:pt>
                      <c:pt idx="271">
                        <c:v>450.82838154633259</c:v>
                      </c:pt>
                      <c:pt idx="272">
                        <c:v>447.22838154633268</c:v>
                      </c:pt>
                      <c:pt idx="273">
                        <c:v>447.22838154633268</c:v>
                      </c:pt>
                      <c:pt idx="274">
                        <c:v>421.97838154633268</c:v>
                      </c:pt>
                      <c:pt idx="275">
                        <c:v>506.12838154633255</c:v>
                      </c:pt>
                      <c:pt idx="276">
                        <c:v>485.24838154633267</c:v>
                      </c:pt>
                      <c:pt idx="277">
                        <c:v>485.24838154633267</c:v>
                      </c:pt>
                      <c:pt idx="278">
                        <c:v>560.64838154633253</c:v>
                      </c:pt>
                      <c:pt idx="279">
                        <c:v>580.64838154633253</c:v>
                      </c:pt>
                      <c:pt idx="280">
                        <c:v>580.64838154633253</c:v>
                      </c:pt>
                      <c:pt idx="281">
                        <c:v>580.64838154633253</c:v>
                      </c:pt>
                      <c:pt idx="282">
                        <c:v>582.84838154633258</c:v>
                      </c:pt>
                      <c:pt idx="283">
                        <c:v>512.14838154633276</c:v>
                      </c:pt>
                      <c:pt idx="284">
                        <c:v>512.14838154633276</c:v>
                      </c:pt>
                      <c:pt idx="285">
                        <c:v>416.74838154633267</c:v>
                      </c:pt>
                      <c:pt idx="286">
                        <c:v>416.74838154633267</c:v>
                      </c:pt>
                      <c:pt idx="287">
                        <c:v>335.61838154633256</c:v>
                      </c:pt>
                      <c:pt idx="288">
                        <c:v>335.61838154633256</c:v>
                      </c:pt>
                      <c:pt idx="289">
                        <c:v>369.51838154633242</c:v>
                      </c:pt>
                      <c:pt idx="290">
                        <c:v>369.51838154633242</c:v>
                      </c:pt>
                      <c:pt idx="291">
                        <c:v>444.51838154633242</c:v>
                      </c:pt>
                      <c:pt idx="292">
                        <c:v>418.76838154633242</c:v>
                      </c:pt>
                      <c:pt idx="293">
                        <c:v>418.76838154633242</c:v>
                      </c:pt>
                      <c:pt idx="294">
                        <c:v>289.80838154633238</c:v>
                      </c:pt>
                      <c:pt idx="295">
                        <c:v>289.80838154633238</c:v>
                      </c:pt>
                      <c:pt idx="296">
                        <c:v>261.31838154633238</c:v>
                      </c:pt>
                      <c:pt idx="297">
                        <c:v>261.31838154633238</c:v>
                      </c:pt>
                      <c:pt idx="298">
                        <c:v>210.11838154633233</c:v>
                      </c:pt>
                      <c:pt idx="299">
                        <c:v>210.11838154633233</c:v>
                      </c:pt>
                      <c:pt idx="300">
                        <c:v>210.11838154633233</c:v>
                      </c:pt>
                      <c:pt idx="301">
                        <c:v>210.11838154633233</c:v>
                      </c:pt>
                      <c:pt idx="302">
                        <c:v>202.73838154633222</c:v>
                      </c:pt>
                      <c:pt idx="303">
                        <c:v>202.73838154633222</c:v>
                      </c:pt>
                      <c:pt idx="304">
                        <c:v>202.73838154633222</c:v>
                      </c:pt>
                      <c:pt idx="305">
                        <c:v>202.73838154633222</c:v>
                      </c:pt>
                      <c:pt idx="306">
                        <c:v>202.73838154633222</c:v>
                      </c:pt>
                      <c:pt idx="307">
                        <c:v>202.73838154633222</c:v>
                      </c:pt>
                      <c:pt idx="308">
                        <c:v>225.07719317717942</c:v>
                      </c:pt>
                      <c:pt idx="309">
                        <c:v>225.07719317717942</c:v>
                      </c:pt>
                      <c:pt idx="310">
                        <c:v>341.47719317717952</c:v>
                      </c:pt>
                      <c:pt idx="311">
                        <c:v>395.65719317717958</c:v>
                      </c:pt>
                      <c:pt idx="312">
                        <c:v>379.00719317717949</c:v>
                      </c:pt>
                      <c:pt idx="313">
                        <c:v>379.00719317717949</c:v>
                      </c:pt>
                      <c:pt idx="314">
                        <c:v>325.10719317717951</c:v>
                      </c:pt>
                      <c:pt idx="315">
                        <c:v>268.85719317717951</c:v>
                      </c:pt>
                      <c:pt idx="316">
                        <c:v>268.85719317717951</c:v>
                      </c:pt>
                      <c:pt idx="317">
                        <c:v>268.85719317717951</c:v>
                      </c:pt>
                      <c:pt idx="318">
                        <c:v>268.85719317717951</c:v>
                      </c:pt>
                      <c:pt idx="319">
                        <c:v>268.85719317717951</c:v>
                      </c:pt>
                      <c:pt idx="320">
                        <c:v>397.51719317717937</c:v>
                      </c:pt>
                      <c:pt idx="321">
                        <c:v>397.51719317717937</c:v>
                      </c:pt>
                      <c:pt idx="322">
                        <c:v>397.51719317717937</c:v>
                      </c:pt>
                      <c:pt idx="323">
                        <c:v>397.51719317717937</c:v>
                      </c:pt>
                      <c:pt idx="324">
                        <c:v>248.95719317717942</c:v>
                      </c:pt>
                      <c:pt idx="325">
                        <c:v>248.95719317717942</c:v>
                      </c:pt>
                      <c:pt idx="326">
                        <c:v>113.20719317717942</c:v>
                      </c:pt>
                      <c:pt idx="327">
                        <c:v>113.20719317717942</c:v>
                      </c:pt>
                      <c:pt idx="328">
                        <c:v>113.20719317717942</c:v>
                      </c:pt>
                      <c:pt idx="329">
                        <c:v>113.20719317717942</c:v>
                      </c:pt>
                      <c:pt idx="330">
                        <c:v>274.15719317717947</c:v>
                      </c:pt>
                      <c:pt idx="331">
                        <c:v>274.15719317717947</c:v>
                      </c:pt>
                      <c:pt idx="332">
                        <c:v>274.15719317717947</c:v>
                      </c:pt>
                      <c:pt idx="333">
                        <c:v>274.15719317717947</c:v>
                      </c:pt>
                      <c:pt idx="334">
                        <c:v>274.15719317717947</c:v>
                      </c:pt>
                      <c:pt idx="335">
                        <c:v>274.15719317717947</c:v>
                      </c:pt>
                      <c:pt idx="336">
                        <c:v>274.15719317717947</c:v>
                      </c:pt>
                      <c:pt idx="337">
                        <c:v>315.55719317717956</c:v>
                      </c:pt>
                      <c:pt idx="338">
                        <c:v>315.55719317717956</c:v>
                      </c:pt>
                      <c:pt idx="339">
                        <c:v>315.55719317717956</c:v>
                      </c:pt>
                      <c:pt idx="340">
                        <c:v>315.55719317717956</c:v>
                      </c:pt>
                      <c:pt idx="341">
                        <c:v>315.55719317717956</c:v>
                      </c:pt>
                      <c:pt idx="342">
                        <c:v>298.75719317717983</c:v>
                      </c:pt>
                      <c:pt idx="343">
                        <c:v>298.75719317717983</c:v>
                      </c:pt>
                      <c:pt idx="344">
                        <c:v>298.75719317717983</c:v>
                      </c:pt>
                      <c:pt idx="345">
                        <c:v>298.75719317717983</c:v>
                      </c:pt>
                      <c:pt idx="346">
                        <c:v>305.25719317717983</c:v>
                      </c:pt>
                    </c:numCache>
                  </c:numRef>
                </c:val>
                <c:smooth val="0"/>
                <c:extLst xmlns:c15="http://schemas.microsoft.com/office/drawing/2012/chart">
                  <c:ext xmlns:c16="http://schemas.microsoft.com/office/drawing/2014/chart" uri="{C3380CC4-5D6E-409C-BE32-E72D297353CC}">
                    <c16:uniqueId val="{00000006-C4AE-4E16-B464-E769C74DF94D}"/>
                  </c:ext>
                </c:extLst>
              </c15:ser>
            </c15:filteredLineSeries>
          </c:ext>
        </c:extLst>
      </c:lineChart>
      <c:catAx>
        <c:axId val="147683023"/>
        <c:scaling>
          <c:orientation val="minMax"/>
        </c:scaling>
        <c:delete val="0"/>
        <c:axPos val="b"/>
        <c:majorGridlines>
          <c:spPr>
            <a:ln w="9525" cap="flat" cmpd="sng" algn="ctr">
              <a:solidFill>
                <a:schemeClr val="tx1">
                  <a:lumMod val="75000"/>
                  <a:lumOff val="25000"/>
                </a:schemeClr>
              </a:solidFill>
              <a:prstDash val="dash"/>
              <a:round/>
            </a:ln>
            <a:effectLst/>
          </c:spPr>
        </c:majorGridlines>
        <c:majorTickMark val="none"/>
        <c:minorTickMark val="none"/>
        <c:tickLblPos val="low"/>
        <c:spPr>
          <a:noFill/>
          <a:ln w="12700" cap="flat" cmpd="sng" algn="ctr">
            <a:solidFill>
              <a:sysClr val="windowText" lastClr="000000"/>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6645279"/>
        <c:crosses val="autoZero"/>
        <c:auto val="1"/>
        <c:lblAlgn val="ctr"/>
        <c:lblOffset val="100"/>
        <c:tickLblSkip val="25"/>
        <c:tickMarkSkip val="25"/>
        <c:noMultiLvlLbl val="0"/>
      </c:catAx>
      <c:valAx>
        <c:axId val="146645279"/>
        <c:scaling>
          <c:orientation val="minMax"/>
          <c:max val="10"/>
          <c:min val="-5"/>
        </c:scaling>
        <c:delete val="0"/>
        <c:axPos val="r"/>
        <c:majorGridlines>
          <c:spPr>
            <a:ln w="9525" cap="flat" cmpd="sng" algn="ctr">
              <a:solidFill>
                <a:schemeClr val="tx1">
                  <a:lumMod val="75000"/>
                  <a:lumOff val="25000"/>
                </a:schemeClr>
              </a:solidFill>
              <a:prstDash val="dash"/>
              <a:round/>
            </a:ln>
            <a:effectLst/>
          </c:spPr>
        </c:majorGridlines>
        <c:numFmt formatCode="0" sourceLinked="0"/>
        <c:majorTickMark val="none"/>
        <c:minorTickMark val="none"/>
        <c:tickLblPos val="high"/>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7683023"/>
        <c:crosses val="max"/>
        <c:crossBetween val="between"/>
      </c:valAx>
      <c:spPr>
        <a:solidFill>
          <a:schemeClr val="tx1">
            <a:lumMod val="65000"/>
            <a:lumOff val="35000"/>
          </a:schemeClr>
        </a:solidFill>
        <a:ln>
          <a:solidFill>
            <a:sysClr val="windowText" lastClr="000000"/>
          </a:solidFill>
        </a:ln>
        <a:effectLst/>
      </c:spPr>
    </c:plotArea>
    <c:legend>
      <c:legendPos val="t"/>
      <c:layout>
        <c:manualLayout>
          <c:xMode val="edge"/>
          <c:yMode val="edge"/>
          <c:x val="0.39634286005511454"/>
          <c:y val="1.2316999395039325E-2"/>
          <c:w val="0.57612618810998151"/>
          <c:h val="4.9614968727820091E-2"/>
        </c:manualLayout>
      </c:layout>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legend>
    <c:plotVisOnly val="0"/>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accent3">
                    <a:lumMod val="75000"/>
                  </a:schemeClr>
                </a:solidFill>
                <a:latin typeface="+mn-lt"/>
                <a:ea typeface="+mn-ea"/>
                <a:cs typeface="+mn-cs"/>
              </a:defRPr>
            </a:pPr>
            <a:r>
              <a:rPr lang="en-US" sz="2000" b="1">
                <a:solidFill>
                  <a:schemeClr val="accent3">
                    <a:lumMod val="75000"/>
                  </a:schemeClr>
                </a:solidFill>
              </a:rPr>
              <a:t>The Three Tiers (IGV)</a:t>
            </a:r>
          </a:p>
        </c:rich>
      </c:tx>
      <c:layout>
        <c:manualLayout>
          <c:xMode val="edge"/>
          <c:yMode val="edge"/>
          <c:x val="2.8694404591104734E-2"/>
          <c:y val="2.4198427102238356E-3"/>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accent3">
                  <a:lumMod val="75000"/>
                </a:schemeClr>
              </a:solidFill>
              <a:latin typeface="+mn-lt"/>
              <a:ea typeface="+mn-ea"/>
              <a:cs typeface="+mn-cs"/>
            </a:defRPr>
          </a:pPr>
          <a:endParaRPr lang="en-US"/>
        </a:p>
      </c:txPr>
    </c:title>
    <c:autoTitleDeleted val="0"/>
    <c:plotArea>
      <c:layout>
        <c:manualLayout>
          <c:layoutTarget val="inner"/>
          <c:xMode val="edge"/>
          <c:yMode val="edge"/>
          <c:x val="1.0171058714748035E-2"/>
          <c:y val="7.7350558040499021E-2"/>
          <c:w val="0.95283482768537431"/>
          <c:h val="0.86018548951798435"/>
        </c:manualLayout>
      </c:layout>
      <c:lineChart>
        <c:grouping val="standard"/>
        <c:varyColors val="0"/>
        <c:ser>
          <c:idx val="0"/>
          <c:order val="0"/>
          <c:tx>
            <c:v>Up</c:v>
          </c:tx>
          <c:spPr>
            <a:ln w="28575" cap="rnd">
              <a:solidFill>
                <a:schemeClr val="accent6">
                  <a:lumMod val="75000"/>
                </a:schemeClr>
              </a:solidFill>
              <a:prstDash val="solid"/>
              <a:round/>
            </a:ln>
            <a:effectLst/>
          </c:spPr>
          <c:marker>
            <c:symbol val="none"/>
          </c:marker>
          <c:val>
            <c:numRef>
              <c:f>'2025-Q2'!$CQ$4:$CQ$422</c:f>
              <c:numCache>
                <c:formatCode>0.00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-1.489321591123322</c:v>
                </c:pt>
                <c:pt idx="258">
                  <c:v>-1.489321591123322</c:v>
                </c:pt>
                <c:pt idx="259">
                  <c:v>-1.489321591123322</c:v>
                </c:pt>
                <c:pt idx="260">
                  <c:v>-1.489321591123322</c:v>
                </c:pt>
                <c:pt idx="261">
                  <c:v>-1.489321591123322</c:v>
                </c:pt>
                <c:pt idx="262">
                  <c:v>-1.489321591123322</c:v>
                </c:pt>
                <c:pt idx="263">
                  <c:v>-1.489321591123322</c:v>
                </c:pt>
                <c:pt idx="264">
                  <c:v>-1.489321591123322</c:v>
                </c:pt>
                <c:pt idx="265">
                  <c:v>-1.489321591123322</c:v>
                </c:pt>
                <c:pt idx="266">
                  <c:v>-1.489321591123322</c:v>
                </c:pt>
                <c:pt idx="267">
                  <c:v>-1.489321591123322</c:v>
                </c:pt>
                <c:pt idx="268">
                  <c:v>-1.489321591123322</c:v>
                </c:pt>
                <c:pt idx="269">
                  <c:v>-1.489321591123322</c:v>
                </c:pt>
                <c:pt idx="270">
                  <c:v>-1.489321591123322</c:v>
                </c:pt>
                <c:pt idx="271">
                  <c:v>-1.489321591123322</c:v>
                </c:pt>
                <c:pt idx="272">
                  <c:v>-1.489321591123322</c:v>
                </c:pt>
                <c:pt idx="273">
                  <c:v>-1.489321591123322</c:v>
                </c:pt>
                <c:pt idx="274">
                  <c:v>-1.489321591123322</c:v>
                </c:pt>
                <c:pt idx="275">
                  <c:v>-1.489321591123322</c:v>
                </c:pt>
                <c:pt idx="276">
                  <c:v>-1.489321591123322</c:v>
                </c:pt>
                <c:pt idx="277">
                  <c:v>-1.1156319314882757</c:v>
                </c:pt>
                <c:pt idx="278">
                  <c:v>-1.1156319314882757</c:v>
                </c:pt>
                <c:pt idx="279">
                  <c:v>-1.1156319314882757</c:v>
                </c:pt>
                <c:pt idx="280">
                  <c:v>-1.1156319314882757</c:v>
                </c:pt>
                <c:pt idx="281">
                  <c:v>-1.1156319314882757</c:v>
                </c:pt>
                <c:pt idx="282">
                  <c:v>-1.1156319314882757</c:v>
                </c:pt>
                <c:pt idx="283">
                  <c:v>-1.1156319314882757</c:v>
                </c:pt>
                <c:pt idx="284">
                  <c:v>-1.1156319314882757</c:v>
                </c:pt>
                <c:pt idx="285">
                  <c:v>-1.1156319314882757</c:v>
                </c:pt>
                <c:pt idx="286">
                  <c:v>-1.1156319314882757</c:v>
                </c:pt>
                <c:pt idx="287">
                  <c:v>-1.1156319314882757</c:v>
                </c:pt>
                <c:pt idx="288">
                  <c:v>-1.1156319314882757</c:v>
                </c:pt>
                <c:pt idx="289">
                  <c:v>-1.1156319314882757</c:v>
                </c:pt>
                <c:pt idx="290">
                  <c:v>-1.1156319314882757</c:v>
                </c:pt>
                <c:pt idx="291">
                  <c:v>-1.1156319314882757</c:v>
                </c:pt>
                <c:pt idx="292">
                  <c:v>-1.1156319314882757</c:v>
                </c:pt>
                <c:pt idx="293">
                  <c:v>-1.1156319314882757</c:v>
                </c:pt>
                <c:pt idx="294">
                  <c:v>-1.1156319314882757</c:v>
                </c:pt>
                <c:pt idx="295">
                  <c:v>-1.1156319314882757</c:v>
                </c:pt>
                <c:pt idx="296">
                  <c:v>-1.1156319314882757</c:v>
                </c:pt>
                <c:pt idx="297">
                  <c:v>-1.1156319314882757</c:v>
                </c:pt>
                <c:pt idx="298">
                  <c:v>-1.1156319314882757</c:v>
                </c:pt>
                <c:pt idx="299">
                  <c:v>-1.1156319314882757</c:v>
                </c:pt>
                <c:pt idx="300">
                  <c:v>-1.1156319314882757</c:v>
                </c:pt>
                <c:pt idx="301">
                  <c:v>-1.1156319314882757</c:v>
                </c:pt>
                <c:pt idx="302">
                  <c:v>-1.1156319314882757</c:v>
                </c:pt>
                <c:pt idx="303">
                  <c:v>-1.1156319314882757</c:v>
                </c:pt>
                <c:pt idx="304">
                  <c:v>-2.5399197875602422</c:v>
                </c:pt>
                <c:pt idx="305">
                  <c:v>-2.5399197875602422</c:v>
                </c:pt>
                <c:pt idx="306">
                  <c:v>-2.5399197875602422</c:v>
                </c:pt>
                <c:pt idx="307">
                  <c:v>-2.5399197875602422</c:v>
                </c:pt>
                <c:pt idx="308">
                  <c:v>-2.5399197875602422</c:v>
                </c:pt>
                <c:pt idx="309">
                  <c:v>-2.5399197875602422</c:v>
                </c:pt>
                <c:pt idx="310">
                  <c:v>-2.5399197875602422</c:v>
                </c:pt>
                <c:pt idx="311">
                  <c:v>-2.5399197875602422</c:v>
                </c:pt>
                <c:pt idx="312">
                  <c:v>-2.5399197875602422</c:v>
                </c:pt>
                <c:pt idx="313">
                  <c:v>-2.5399197875602422</c:v>
                </c:pt>
                <c:pt idx="314">
                  <c:v>-2.5399197875602422</c:v>
                </c:pt>
                <c:pt idx="315">
                  <c:v>-2.5399197875602422</c:v>
                </c:pt>
                <c:pt idx="316">
                  <c:v>-2.5399197875602422</c:v>
                </c:pt>
                <c:pt idx="317">
                  <c:v>-2.5399197875602422</c:v>
                </c:pt>
                <c:pt idx="318">
                  <c:v>-2.5399197875602422</c:v>
                </c:pt>
                <c:pt idx="319">
                  <c:v>-2.5399197875602422</c:v>
                </c:pt>
                <c:pt idx="320">
                  <c:v>-2.5399197875602422</c:v>
                </c:pt>
                <c:pt idx="321">
                  <c:v>-2.5399197875602422</c:v>
                </c:pt>
                <c:pt idx="322">
                  <c:v>-2.5399197875602422</c:v>
                </c:pt>
                <c:pt idx="323">
                  <c:v>-2.5399197875602422</c:v>
                </c:pt>
                <c:pt idx="324">
                  <c:v>-2.5399197875602422</c:v>
                </c:pt>
                <c:pt idx="325">
                  <c:v>-2.5399197875602422</c:v>
                </c:pt>
                <c:pt idx="326">
                  <c:v>-2.5399197875602422</c:v>
                </c:pt>
                <c:pt idx="327">
                  <c:v>-2.5399197875602422</c:v>
                </c:pt>
                <c:pt idx="328">
                  <c:v>-2.5399197875602422</c:v>
                </c:pt>
                <c:pt idx="329">
                  <c:v>-2.5399197875602422</c:v>
                </c:pt>
                <c:pt idx="330">
                  <c:v>-2.5399197875602422</c:v>
                </c:pt>
                <c:pt idx="331">
                  <c:v>-2.5399197875602422</c:v>
                </c:pt>
                <c:pt idx="332">
                  <c:v>-2.5399197875602422</c:v>
                </c:pt>
                <c:pt idx="333">
                  <c:v>-2.5399197875602422</c:v>
                </c:pt>
                <c:pt idx="334">
                  <c:v>-2.5399197875602422</c:v>
                </c:pt>
                <c:pt idx="335">
                  <c:v>-2.5399197875602422</c:v>
                </c:pt>
                <c:pt idx="336">
                  <c:v>-2.5399197875602422</c:v>
                </c:pt>
                <c:pt idx="337">
                  <c:v>-2.5399197875602422</c:v>
                </c:pt>
                <c:pt idx="338">
                  <c:v>-2.2357678263539635</c:v>
                </c:pt>
                <c:pt idx="339">
                  <c:v>-2.2357678263539635</c:v>
                </c:pt>
                <c:pt idx="340">
                  <c:v>-2.2357678263539635</c:v>
                </c:pt>
                <c:pt idx="341">
                  <c:v>-2.2357678263539635</c:v>
                </c:pt>
                <c:pt idx="342">
                  <c:v>-2.2357678263539635</c:v>
                </c:pt>
                <c:pt idx="343">
                  <c:v>-2.2357678263539635</c:v>
                </c:pt>
                <c:pt idx="344">
                  <c:v>-2.2357678263539635</c:v>
                </c:pt>
                <c:pt idx="345">
                  <c:v>-3.0687583652268549</c:v>
                </c:pt>
                <c:pt idx="346">
                  <c:v>-3.0687583652268549</c:v>
                </c:pt>
                <c:pt idx="347">
                  <c:v>-3.0687583652268549</c:v>
                </c:pt>
                <c:pt idx="348">
                  <c:v>-3.0687583652268549</c:v>
                </c:pt>
                <c:pt idx="349">
                  <c:v>-3.0687583652268549</c:v>
                </c:pt>
                <c:pt idx="350">
                  <c:v>-3.0687583652268549</c:v>
                </c:pt>
                <c:pt idx="351">
                  <c:v>-3.0687583652268549</c:v>
                </c:pt>
                <c:pt idx="352">
                  <c:v>-3.0687583652268549</c:v>
                </c:pt>
                <c:pt idx="353">
                  <c:v>-3.0687583652268549</c:v>
                </c:pt>
                <c:pt idx="354">
                  <c:v>-3.0687583652268549</c:v>
                </c:pt>
                <c:pt idx="355">
                  <c:v>-3.0687583652268549</c:v>
                </c:pt>
                <c:pt idx="356">
                  <c:v>-3.0687583652268549</c:v>
                </c:pt>
                <c:pt idx="357">
                  <c:v>-3.0687583652268549</c:v>
                </c:pt>
                <c:pt idx="358">
                  <c:v>-1.71930060052745</c:v>
                </c:pt>
                <c:pt idx="359">
                  <c:v>-1.71930060052745</c:v>
                </c:pt>
                <c:pt idx="360">
                  <c:v>-1.71930060052745</c:v>
                </c:pt>
                <c:pt idx="361">
                  <c:v>-1.71930060052745</c:v>
                </c:pt>
                <c:pt idx="362">
                  <c:v>-1.71930060052745</c:v>
                </c:pt>
                <c:pt idx="363">
                  <c:v>-3.8906153415633056</c:v>
                </c:pt>
                <c:pt idx="364">
                  <c:v>-3.8906153415633056</c:v>
                </c:pt>
                <c:pt idx="365">
                  <c:v>-3.8906153415633056</c:v>
                </c:pt>
                <c:pt idx="366">
                  <c:v>-3.8906153415633056</c:v>
                </c:pt>
                <c:pt idx="367">
                  <c:v>-3.8906153415633056</c:v>
                </c:pt>
                <c:pt idx="368">
                  <c:v>-3.8906153415633056</c:v>
                </c:pt>
                <c:pt idx="369">
                  <c:v>-3.8906153415633056</c:v>
                </c:pt>
                <c:pt idx="370">
                  <c:v>-3.6116753136693021</c:v>
                </c:pt>
                <c:pt idx="371">
                  <c:v>-3.6116753136693021</c:v>
                </c:pt>
                <c:pt idx="372">
                  <c:v>-3.6116753136693021</c:v>
                </c:pt>
                <c:pt idx="373">
                  <c:v>-3.6116753136693021</c:v>
                </c:pt>
                <c:pt idx="374">
                  <c:v>-3.6116753136693021</c:v>
                </c:pt>
                <c:pt idx="375">
                  <c:v>-3.6116753136693021</c:v>
                </c:pt>
                <c:pt idx="376">
                  <c:v>-3.6116753136693021</c:v>
                </c:pt>
                <c:pt idx="377">
                  <c:v>-3.6116753136693021</c:v>
                </c:pt>
                <c:pt idx="378">
                  <c:v>-3.6116753136693021</c:v>
                </c:pt>
                <c:pt idx="379">
                  <c:v>-3.6116753136693021</c:v>
                </c:pt>
                <c:pt idx="380">
                  <c:v>-3.6116753136693021</c:v>
                </c:pt>
                <c:pt idx="381">
                  <c:v>-3.6116753136693021</c:v>
                </c:pt>
                <c:pt idx="382">
                  <c:v>-3.6116753136693021</c:v>
                </c:pt>
                <c:pt idx="383">
                  <c:v>-3.6116753136693021</c:v>
                </c:pt>
                <c:pt idx="384">
                  <c:v>-3.6116753136693021</c:v>
                </c:pt>
                <c:pt idx="385">
                  <c:v>-3.6116753136693021</c:v>
                </c:pt>
                <c:pt idx="386">
                  <c:v>-3.6116753136693021</c:v>
                </c:pt>
                <c:pt idx="387">
                  <c:v>-2.8337957655297128</c:v>
                </c:pt>
                <c:pt idx="388">
                  <c:v>-2.8337957655297128</c:v>
                </c:pt>
                <c:pt idx="389">
                  <c:v>-2.8337957655297128</c:v>
                </c:pt>
                <c:pt idx="390">
                  <c:v>-2.8337957655297128</c:v>
                </c:pt>
                <c:pt idx="391">
                  <c:v>-2.8337957655297128</c:v>
                </c:pt>
                <c:pt idx="392">
                  <c:v>-2.8337957655297128</c:v>
                </c:pt>
                <c:pt idx="393">
                  <c:v>-2.8337957655297128</c:v>
                </c:pt>
                <c:pt idx="394">
                  <c:v>-2.8337957655297128</c:v>
                </c:pt>
                <c:pt idx="395">
                  <c:v>-2.8337957655297128</c:v>
                </c:pt>
                <c:pt idx="396">
                  <c:v>-3.993192333715871</c:v>
                </c:pt>
                <c:pt idx="397">
                  <c:v>-3.993192333715871</c:v>
                </c:pt>
                <c:pt idx="398">
                  <c:v>-3.993192333715871</c:v>
                </c:pt>
                <c:pt idx="399">
                  <c:v>-3.993192333715871</c:v>
                </c:pt>
                <c:pt idx="400">
                  <c:v>-3.993192333715871</c:v>
                </c:pt>
                <c:pt idx="401">
                  <c:v>-3.993192333715871</c:v>
                </c:pt>
                <c:pt idx="402">
                  <c:v>-3.993192333715871</c:v>
                </c:pt>
                <c:pt idx="403">
                  <c:v>-3.993192333715871</c:v>
                </c:pt>
                <c:pt idx="404">
                  <c:v>-3.993192333715871</c:v>
                </c:pt>
                <c:pt idx="405">
                  <c:v>-3.993192333715871</c:v>
                </c:pt>
                <c:pt idx="406">
                  <c:v>-3.993192333715871</c:v>
                </c:pt>
                <c:pt idx="407">
                  <c:v>-3.993192333715871</c:v>
                </c:pt>
                <c:pt idx="408">
                  <c:v>-2.7099780615005766</c:v>
                </c:pt>
                <c:pt idx="409">
                  <c:v>-2.7099780615005766</c:v>
                </c:pt>
                <c:pt idx="410">
                  <c:v>-2.7099780615005766</c:v>
                </c:pt>
                <c:pt idx="411">
                  <c:v>-2.7099780615005766</c:v>
                </c:pt>
                <c:pt idx="412">
                  <c:v>-2.7099780615005766</c:v>
                </c:pt>
                <c:pt idx="413">
                  <c:v>-2.7099780615005766</c:v>
                </c:pt>
                <c:pt idx="414">
                  <c:v>-2.7099780615005766</c:v>
                </c:pt>
                <c:pt idx="415">
                  <c:v>-2.7099780615005766</c:v>
                </c:pt>
                <c:pt idx="416">
                  <c:v>-2.7099780615005766</c:v>
                </c:pt>
                <c:pt idx="417">
                  <c:v>-2.7099780615005766</c:v>
                </c:pt>
                <c:pt idx="418">
                  <c:v>-2.7099780615005766</c:v>
                </c:pt>
              </c:numCache>
            </c:numRef>
          </c:val>
          <c:smooth val="1"/>
          <c:extLst>
            <c:ext xmlns:c16="http://schemas.microsoft.com/office/drawing/2014/chart" uri="{C3380CC4-5D6E-409C-BE32-E72D297353CC}">
              <c16:uniqueId val="{00000000-A9A2-414D-A9C7-24E3C5932415}"/>
            </c:ext>
          </c:extLst>
        </c:ser>
        <c:ser>
          <c:idx val="1"/>
          <c:order val="2"/>
          <c:tx>
            <c:v>Dwn</c:v>
          </c:tx>
          <c:spPr>
            <a:ln w="28575" cap="rnd">
              <a:solidFill>
                <a:schemeClr val="accent2"/>
              </a:solidFill>
              <a:prstDash val="solid"/>
              <a:round/>
            </a:ln>
            <a:effectLst/>
          </c:spPr>
          <c:marker>
            <c:symbol val="none"/>
          </c:marker>
          <c:val>
            <c:numRef>
              <c:f>'2025-Q2'!$CS$4:$CS$422</c:f>
              <c:numCache>
                <c:formatCode>0.00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2.420242024202421</c:v>
                </c:pt>
                <c:pt idx="153">
                  <c:v>2.420242024202421</c:v>
                </c:pt>
                <c:pt idx="154">
                  <c:v>2.420242024202421</c:v>
                </c:pt>
                <c:pt idx="155">
                  <c:v>2.420242024202421</c:v>
                </c:pt>
                <c:pt idx="156">
                  <c:v>2.420242024202421</c:v>
                </c:pt>
                <c:pt idx="157">
                  <c:v>2.420242024202421</c:v>
                </c:pt>
                <c:pt idx="158">
                  <c:v>2.420242024202421</c:v>
                </c:pt>
                <c:pt idx="159">
                  <c:v>2.420242024202421</c:v>
                </c:pt>
                <c:pt idx="160">
                  <c:v>2.420242024202421</c:v>
                </c:pt>
                <c:pt idx="161">
                  <c:v>2.420242024202421</c:v>
                </c:pt>
                <c:pt idx="162">
                  <c:v>2.420242024202421</c:v>
                </c:pt>
                <c:pt idx="163">
                  <c:v>2.420242024202421</c:v>
                </c:pt>
                <c:pt idx="164">
                  <c:v>2.420242024202421</c:v>
                </c:pt>
                <c:pt idx="165">
                  <c:v>2.420242024202421</c:v>
                </c:pt>
                <c:pt idx="166">
                  <c:v>2.420242024202421</c:v>
                </c:pt>
                <c:pt idx="167">
                  <c:v>2.420242024202421</c:v>
                </c:pt>
                <c:pt idx="168">
                  <c:v>2.420242024202421</c:v>
                </c:pt>
                <c:pt idx="169">
                  <c:v>2.420242024202421</c:v>
                </c:pt>
                <c:pt idx="170">
                  <c:v>2.420242024202421</c:v>
                </c:pt>
                <c:pt idx="171">
                  <c:v>2.420242024202421</c:v>
                </c:pt>
                <c:pt idx="172">
                  <c:v>2.420242024202421</c:v>
                </c:pt>
                <c:pt idx="173">
                  <c:v>2.420242024202421</c:v>
                </c:pt>
                <c:pt idx="174">
                  <c:v>2.420242024202421</c:v>
                </c:pt>
                <c:pt idx="175">
                  <c:v>2.420242024202421</c:v>
                </c:pt>
                <c:pt idx="176">
                  <c:v>2.420242024202421</c:v>
                </c:pt>
                <c:pt idx="177">
                  <c:v>2.420242024202421</c:v>
                </c:pt>
                <c:pt idx="178">
                  <c:v>2.420242024202421</c:v>
                </c:pt>
                <c:pt idx="179">
                  <c:v>2.420242024202421</c:v>
                </c:pt>
                <c:pt idx="180">
                  <c:v>2.420242024202421</c:v>
                </c:pt>
                <c:pt idx="181">
                  <c:v>2.420242024202421</c:v>
                </c:pt>
                <c:pt idx="182">
                  <c:v>2.420242024202421</c:v>
                </c:pt>
                <c:pt idx="183">
                  <c:v>2.420242024202421</c:v>
                </c:pt>
                <c:pt idx="184">
                  <c:v>2.420242024202421</c:v>
                </c:pt>
                <c:pt idx="185">
                  <c:v>2.420242024202421</c:v>
                </c:pt>
                <c:pt idx="186">
                  <c:v>2.3249620476559536</c:v>
                </c:pt>
                <c:pt idx="187">
                  <c:v>2.3249620476559536</c:v>
                </c:pt>
                <c:pt idx="188">
                  <c:v>2.3249620476559536</c:v>
                </c:pt>
                <c:pt idx="189">
                  <c:v>2.3249620476559536</c:v>
                </c:pt>
                <c:pt idx="190">
                  <c:v>2.3249620476559536</c:v>
                </c:pt>
                <c:pt idx="191">
                  <c:v>2.3249620476559536</c:v>
                </c:pt>
                <c:pt idx="192">
                  <c:v>2.3249620476559536</c:v>
                </c:pt>
                <c:pt idx="193">
                  <c:v>4.2989225684455388</c:v>
                </c:pt>
                <c:pt idx="194">
                  <c:v>4.2989225684455388</c:v>
                </c:pt>
                <c:pt idx="195">
                  <c:v>4.2989225684455388</c:v>
                </c:pt>
                <c:pt idx="196">
                  <c:v>4.2989225684455388</c:v>
                </c:pt>
                <c:pt idx="197">
                  <c:v>4.2989225684455388</c:v>
                </c:pt>
                <c:pt idx="198">
                  <c:v>4.2989225684455388</c:v>
                </c:pt>
                <c:pt idx="199">
                  <c:v>4.2989225684455388</c:v>
                </c:pt>
                <c:pt idx="200">
                  <c:v>4.2989225684455388</c:v>
                </c:pt>
                <c:pt idx="201">
                  <c:v>4.2989225684455388</c:v>
                </c:pt>
                <c:pt idx="202">
                  <c:v>4.2989225684455388</c:v>
                </c:pt>
                <c:pt idx="203">
                  <c:v>4.2989225684455388</c:v>
                </c:pt>
                <c:pt idx="204">
                  <c:v>4.2989225684455388</c:v>
                </c:pt>
                <c:pt idx="205">
                  <c:v>4.2989225684455388</c:v>
                </c:pt>
                <c:pt idx="206">
                  <c:v>4.2989225684455388</c:v>
                </c:pt>
                <c:pt idx="207">
                  <c:v>4.2989225684455388</c:v>
                </c:pt>
                <c:pt idx="208">
                  <c:v>4.2989225684455388</c:v>
                </c:pt>
                <c:pt idx="209">
                  <c:v>4.2989225684455388</c:v>
                </c:pt>
                <c:pt idx="210">
                  <c:v>4.2989225684455388</c:v>
                </c:pt>
                <c:pt idx="211">
                  <c:v>4.2989225684455388</c:v>
                </c:pt>
                <c:pt idx="212">
                  <c:v>4.2989225684455388</c:v>
                </c:pt>
                <c:pt idx="213">
                  <c:v>4.2989225684455388</c:v>
                </c:pt>
                <c:pt idx="214">
                  <c:v>4.2989225684455388</c:v>
                </c:pt>
                <c:pt idx="215">
                  <c:v>4.2989225684455388</c:v>
                </c:pt>
                <c:pt idx="216">
                  <c:v>4.2989225684455388</c:v>
                </c:pt>
                <c:pt idx="217">
                  <c:v>4.2989225684455388</c:v>
                </c:pt>
                <c:pt idx="218">
                  <c:v>4.2989225684455388</c:v>
                </c:pt>
                <c:pt idx="219">
                  <c:v>4.2989225684455388</c:v>
                </c:pt>
                <c:pt idx="220">
                  <c:v>4.2989225684455388</c:v>
                </c:pt>
                <c:pt idx="221">
                  <c:v>4.2989225684455388</c:v>
                </c:pt>
                <c:pt idx="222">
                  <c:v>4.2989225684455388</c:v>
                </c:pt>
                <c:pt idx="223">
                  <c:v>4.2989225684455388</c:v>
                </c:pt>
                <c:pt idx="224">
                  <c:v>4.2989225684455388</c:v>
                </c:pt>
                <c:pt idx="225">
                  <c:v>3.8915503172194676</c:v>
                </c:pt>
                <c:pt idx="226">
                  <c:v>3.8915503172194676</c:v>
                </c:pt>
                <c:pt idx="227">
                  <c:v>3.8915503172194676</c:v>
                </c:pt>
                <c:pt idx="228">
                  <c:v>3.8915503172194676</c:v>
                </c:pt>
                <c:pt idx="229">
                  <c:v>3.8915503172194676</c:v>
                </c:pt>
                <c:pt idx="230">
                  <c:v>4.6135245886817966</c:v>
                </c:pt>
                <c:pt idx="231">
                  <c:v>4.6135245886817966</c:v>
                </c:pt>
                <c:pt idx="232">
                  <c:v>4.6135245886817966</c:v>
                </c:pt>
                <c:pt idx="233">
                  <c:v>4.6135245886817966</c:v>
                </c:pt>
                <c:pt idx="234">
                  <c:v>4.6135245886817966</c:v>
                </c:pt>
                <c:pt idx="235">
                  <c:v>4.6135245886817966</c:v>
                </c:pt>
                <c:pt idx="236">
                  <c:v>4.6135245886817966</c:v>
                </c:pt>
                <c:pt idx="237">
                  <c:v>4.6135245886817966</c:v>
                </c:pt>
                <c:pt idx="238">
                  <c:v>4.6135245886817966</c:v>
                </c:pt>
                <c:pt idx="239">
                  <c:v>4.6135245886817966</c:v>
                </c:pt>
                <c:pt idx="240">
                  <c:v>4.6135245886817966</c:v>
                </c:pt>
                <c:pt idx="241">
                  <c:v>4.6135245886817966</c:v>
                </c:pt>
                <c:pt idx="242">
                  <c:v>4.6135245886817966</c:v>
                </c:pt>
                <c:pt idx="243">
                  <c:v>4.6135245886817966</c:v>
                </c:pt>
                <c:pt idx="244">
                  <c:v>4.6135245886817966</c:v>
                </c:pt>
                <c:pt idx="245">
                  <c:v>4.6135245886817966</c:v>
                </c:pt>
                <c:pt idx="246">
                  <c:v>4.6135245886817966</c:v>
                </c:pt>
                <c:pt idx="247">
                  <c:v>4.6135245886817966</c:v>
                </c:pt>
                <c:pt idx="248">
                  <c:v>4.6135245886817966</c:v>
                </c:pt>
                <c:pt idx="249">
                  <c:v>4.6135245886817966</c:v>
                </c:pt>
                <c:pt idx="250">
                  <c:v>4.6135245886817966</c:v>
                </c:pt>
                <c:pt idx="251">
                  <c:v>4.6135245886817966</c:v>
                </c:pt>
                <c:pt idx="252">
                  <c:v>4.6135245886817966</c:v>
                </c:pt>
                <c:pt idx="253">
                  <c:v>4.6135245886817966</c:v>
                </c:pt>
                <c:pt idx="254">
                  <c:v>4.6135245886817966</c:v>
                </c:pt>
                <c:pt idx="255">
                  <c:v>4.6135245886817966</c:v>
                </c:pt>
                <c:pt idx="256">
                  <c:v>4.6135245886817966</c:v>
                </c:pt>
                <c:pt idx="257">
                  <c:v>4.6135245886817966</c:v>
                </c:pt>
                <c:pt idx="258">
                  <c:v>4.6135245886817966</c:v>
                </c:pt>
                <c:pt idx="259">
                  <c:v>4.6135245886817966</c:v>
                </c:pt>
                <c:pt idx="260">
                  <c:v>4.6135245886817966</c:v>
                </c:pt>
                <c:pt idx="261">
                  <c:v>4.6135245886817966</c:v>
                </c:pt>
                <c:pt idx="262">
                  <c:v>4.6135245886817966</c:v>
                </c:pt>
                <c:pt idx="263">
                  <c:v>4.6135245886817966</c:v>
                </c:pt>
                <c:pt idx="264">
                  <c:v>4.6135245886817966</c:v>
                </c:pt>
                <c:pt idx="265">
                  <c:v>4.6135245886817966</c:v>
                </c:pt>
                <c:pt idx="266">
                  <c:v>4.6135245886817966</c:v>
                </c:pt>
                <c:pt idx="267">
                  <c:v>4.6135245886817966</c:v>
                </c:pt>
                <c:pt idx="268">
                  <c:v>4.6135245886817966</c:v>
                </c:pt>
                <c:pt idx="269">
                  <c:v>4.6135245886817966</c:v>
                </c:pt>
                <c:pt idx="270">
                  <c:v>4.6135245886817966</c:v>
                </c:pt>
                <c:pt idx="271">
                  <c:v>4.6135245886817966</c:v>
                </c:pt>
                <c:pt idx="272">
                  <c:v>4.7759339232765612</c:v>
                </c:pt>
                <c:pt idx="273">
                  <c:v>4.7759339232765612</c:v>
                </c:pt>
                <c:pt idx="274">
                  <c:v>4.1716872551039836</c:v>
                </c:pt>
                <c:pt idx="275">
                  <c:v>4.1716872551039836</c:v>
                </c:pt>
                <c:pt idx="276">
                  <c:v>4.1716872551039836</c:v>
                </c:pt>
                <c:pt idx="277">
                  <c:v>4.1716872551039836</c:v>
                </c:pt>
                <c:pt idx="278">
                  <c:v>4.5068274311254326</c:v>
                </c:pt>
                <c:pt idx="279">
                  <c:v>4.5068274311254326</c:v>
                </c:pt>
                <c:pt idx="280">
                  <c:v>4.5068274311254326</c:v>
                </c:pt>
                <c:pt idx="281">
                  <c:v>4.5068274311254326</c:v>
                </c:pt>
                <c:pt idx="282">
                  <c:v>4.5068274311254326</c:v>
                </c:pt>
                <c:pt idx="283">
                  <c:v>3.1829877686781769</c:v>
                </c:pt>
                <c:pt idx="284">
                  <c:v>3.1829877686781769</c:v>
                </c:pt>
                <c:pt idx="285">
                  <c:v>2.3600225017004668</c:v>
                </c:pt>
                <c:pt idx="286">
                  <c:v>2.3600225017004668</c:v>
                </c:pt>
                <c:pt idx="287">
                  <c:v>2.3600225017004668</c:v>
                </c:pt>
                <c:pt idx="288">
                  <c:v>2.3600225017004668</c:v>
                </c:pt>
                <c:pt idx="289">
                  <c:v>2.3600225017004668</c:v>
                </c:pt>
                <c:pt idx="290">
                  <c:v>2.3600225017004668</c:v>
                </c:pt>
                <c:pt idx="291">
                  <c:v>2.3600225017004668</c:v>
                </c:pt>
                <c:pt idx="292">
                  <c:v>2.3600225017004668</c:v>
                </c:pt>
                <c:pt idx="293">
                  <c:v>2.3600225017004668</c:v>
                </c:pt>
                <c:pt idx="294">
                  <c:v>2.3600225017004668</c:v>
                </c:pt>
                <c:pt idx="295">
                  <c:v>2.3600225017004668</c:v>
                </c:pt>
                <c:pt idx="296">
                  <c:v>2.3600225017004668</c:v>
                </c:pt>
                <c:pt idx="297">
                  <c:v>2.3600225017004668</c:v>
                </c:pt>
                <c:pt idx="298">
                  <c:v>2.3600225017004668</c:v>
                </c:pt>
                <c:pt idx="299">
                  <c:v>2.3600225017004668</c:v>
                </c:pt>
                <c:pt idx="300">
                  <c:v>2.3600225017004668</c:v>
                </c:pt>
                <c:pt idx="301">
                  <c:v>2.3600225017004668</c:v>
                </c:pt>
                <c:pt idx="302">
                  <c:v>2.3600225017004668</c:v>
                </c:pt>
                <c:pt idx="303">
                  <c:v>2.3600225017004668</c:v>
                </c:pt>
                <c:pt idx="304">
                  <c:v>2.3600225017004668</c:v>
                </c:pt>
                <c:pt idx="305">
                  <c:v>2.3600225017004668</c:v>
                </c:pt>
                <c:pt idx="306">
                  <c:v>2.3600225017004668</c:v>
                </c:pt>
                <c:pt idx="307">
                  <c:v>2.3600225017004668</c:v>
                </c:pt>
                <c:pt idx="308">
                  <c:v>2.3600225017004668</c:v>
                </c:pt>
                <c:pt idx="309">
                  <c:v>2.3600225017004668</c:v>
                </c:pt>
                <c:pt idx="310">
                  <c:v>2.3600225017004668</c:v>
                </c:pt>
                <c:pt idx="311">
                  <c:v>2.3600225017004668</c:v>
                </c:pt>
                <c:pt idx="312">
                  <c:v>2.3600225017004668</c:v>
                </c:pt>
                <c:pt idx="313">
                  <c:v>2.3600225017004668</c:v>
                </c:pt>
                <c:pt idx="314">
                  <c:v>2.3600225017004668</c:v>
                </c:pt>
                <c:pt idx="315">
                  <c:v>2.3600225017004668</c:v>
                </c:pt>
                <c:pt idx="316">
                  <c:v>2.3600225017004668</c:v>
                </c:pt>
                <c:pt idx="317">
                  <c:v>2.3600225017004668</c:v>
                </c:pt>
                <c:pt idx="318">
                  <c:v>2.3600225017004668</c:v>
                </c:pt>
                <c:pt idx="319">
                  <c:v>2.3600225017004668</c:v>
                </c:pt>
                <c:pt idx="320">
                  <c:v>2.3600225017004668</c:v>
                </c:pt>
                <c:pt idx="321">
                  <c:v>2.3600225017004668</c:v>
                </c:pt>
                <c:pt idx="322">
                  <c:v>2.3600225017004668</c:v>
                </c:pt>
                <c:pt idx="323">
                  <c:v>2.3600225017004668</c:v>
                </c:pt>
                <c:pt idx="324">
                  <c:v>2.3600225017004668</c:v>
                </c:pt>
                <c:pt idx="325">
                  <c:v>2.3600225017004668</c:v>
                </c:pt>
                <c:pt idx="326">
                  <c:v>2.3600225017004668</c:v>
                </c:pt>
                <c:pt idx="327">
                  <c:v>2.3600225017004668</c:v>
                </c:pt>
                <c:pt idx="328">
                  <c:v>2.3600225017004668</c:v>
                </c:pt>
                <c:pt idx="329">
                  <c:v>2.3600225017004668</c:v>
                </c:pt>
                <c:pt idx="330">
                  <c:v>2.3600225017004668</c:v>
                </c:pt>
                <c:pt idx="331">
                  <c:v>2.3600225017004668</c:v>
                </c:pt>
                <c:pt idx="332">
                  <c:v>2.3600225017004668</c:v>
                </c:pt>
                <c:pt idx="333">
                  <c:v>2.3600225017004668</c:v>
                </c:pt>
                <c:pt idx="334">
                  <c:v>2.3600225017004668</c:v>
                </c:pt>
                <c:pt idx="335">
                  <c:v>2.3600225017004668</c:v>
                </c:pt>
                <c:pt idx="336">
                  <c:v>2.3600225017004668</c:v>
                </c:pt>
                <c:pt idx="337">
                  <c:v>2.3600225017004668</c:v>
                </c:pt>
                <c:pt idx="338">
                  <c:v>2.3600225017004668</c:v>
                </c:pt>
                <c:pt idx="339">
                  <c:v>2.3600225017004668</c:v>
                </c:pt>
                <c:pt idx="340">
                  <c:v>2.3600225017004668</c:v>
                </c:pt>
                <c:pt idx="341">
                  <c:v>2.3600225017004668</c:v>
                </c:pt>
                <c:pt idx="342">
                  <c:v>2.3600225017004668</c:v>
                </c:pt>
                <c:pt idx="343">
                  <c:v>2.3600225017004668</c:v>
                </c:pt>
                <c:pt idx="344">
                  <c:v>2.3600225017004668</c:v>
                </c:pt>
                <c:pt idx="345">
                  <c:v>2.3600225017004668</c:v>
                </c:pt>
                <c:pt idx="346">
                  <c:v>2.3600225017004668</c:v>
                </c:pt>
                <c:pt idx="347">
                  <c:v>2.3600225017004668</c:v>
                </c:pt>
                <c:pt idx="348">
                  <c:v>2.3600225017004668</c:v>
                </c:pt>
                <c:pt idx="349">
                  <c:v>2.3600225017004668</c:v>
                </c:pt>
                <c:pt idx="350">
                  <c:v>2.3600225017004668</c:v>
                </c:pt>
                <c:pt idx="351">
                  <c:v>2.3600225017004668</c:v>
                </c:pt>
                <c:pt idx="352">
                  <c:v>2.3600225017004668</c:v>
                </c:pt>
                <c:pt idx="353">
                  <c:v>2.3600225017004668</c:v>
                </c:pt>
                <c:pt idx="354">
                  <c:v>2.3600225017004668</c:v>
                </c:pt>
                <c:pt idx="355">
                  <c:v>2.3600225017004668</c:v>
                </c:pt>
                <c:pt idx="356">
                  <c:v>2.3600225017004668</c:v>
                </c:pt>
                <c:pt idx="357">
                  <c:v>2.3600225017004668</c:v>
                </c:pt>
                <c:pt idx="358">
                  <c:v>2.3600225017004668</c:v>
                </c:pt>
                <c:pt idx="359">
                  <c:v>2.3600225017004668</c:v>
                </c:pt>
                <c:pt idx="360">
                  <c:v>2.3600225017004668</c:v>
                </c:pt>
                <c:pt idx="361">
                  <c:v>2.3600225017004668</c:v>
                </c:pt>
                <c:pt idx="362">
                  <c:v>2.3600225017004668</c:v>
                </c:pt>
                <c:pt idx="363">
                  <c:v>2.3600225017004668</c:v>
                </c:pt>
                <c:pt idx="364">
                  <c:v>2.3600225017004668</c:v>
                </c:pt>
                <c:pt idx="365">
                  <c:v>2.3600225017004668</c:v>
                </c:pt>
                <c:pt idx="366">
                  <c:v>2.3600225017004668</c:v>
                </c:pt>
                <c:pt idx="367">
                  <c:v>2.3600225017004668</c:v>
                </c:pt>
                <c:pt idx="368">
                  <c:v>2.3600225017004668</c:v>
                </c:pt>
                <c:pt idx="369">
                  <c:v>2.3600225017004668</c:v>
                </c:pt>
                <c:pt idx="370">
                  <c:v>2.3600225017004668</c:v>
                </c:pt>
                <c:pt idx="371">
                  <c:v>2.3600225017004668</c:v>
                </c:pt>
                <c:pt idx="372">
                  <c:v>2.3600225017004668</c:v>
                </c:pt>
                <c:pt idx="373">
                  <c:v>2.3600225017004668</c:v>
                </c:pt>
                <c:pt idx="374">
                  <c:v>2.3600225017004668</c:v>
                </c:pt>
                <c:pt idx="375">
                  <c:v>2.3600225017004668</c:v>
                </c:pt>
                <c:pt idx="376">
                  <c:v>2.3600225017004668</c:v>
                </c:pt>
                <c:pt idx="377">
                  <c:v>2.3600225017004668</c:v>
                </c:pt>
                <c:pt idx="378">
                  <c:v>2.3600225017004668</c:v>
                </c:pt>
                <c:pt idx="379">
                  <c:v>2.3600225017004668</c:v>
                </c:pt>
                <c:pt idx="380">
                  <c:v>2.3600225017004668</c:v>
                </c:pt>
                <c:pt idx="381">
                  <c:v>2.3600225017004668</c:v>
                </c:pt>
                <c:pt idx="382">
                  <c:v>2.3600225017004668</c:v>
                </c:pt>
                <c:pt idx="383">
                  <c:v>2.3600225017004668</c:v>
                </c:pt>
                <c:pt idx="384">
                  <c:v>2.3600225017004668</c:v>
                </c:pt>
                <c:pt idx="385">
                  <c:v>2.3600225017004668</c:v>
                </c:pt>
                <c:pt idx="386">
                  <c:v>2.3600225017004668</c:v>
                </c:pt>
                <c:pt idx="387">
                  <c:v>2.3600225017004668</c:v>
                </c:pt>
                <c:pt idx="388">
                  <c:v>2.3600225017004668</c:v>
                </c:pt>
                <c:pt idx="389">
                  <c:v>2.3600225017004668</c:v>
                </c:pt>
                <c:pt idx="390">
                  <c:v>2.3600225017004668</c:v>
                </c:pt>
                <c:pt idx="391">
                  <c:v>2.3600225017004668</c:v>
                </c:pt>
                <c:pt idx="392">
                  <c:v>2.3600225017004668</c:v>
                </c:pt>
                <c:pt idx="393">
                  <c:v>2.3600225017004668</c:v>
                </c:pt>
                <c:pt idx="394">
                  <c:v>2.3600225017004668</c:v>
                </c:pt>
                <c:pt idx="395">
                  <c:v>2.3600225017004668</c:v>
                </c:pt>
                <c:pt idx="396">
                  <c:v>2.3600225017004668</c:v>
                </c:pt>
                <c:pt idx="397">
                  <c:v>2.3600225017004668</c:v>
                </c:pt>
                <c:pt idx="398">
                  <c:v>2.3600225017004668</c:v>
                </c:pt>
                <c:pt idx="399">
                  <c:v>2.3600225017004668</c:v>
                </c:pt>
                <c:pt idx="400">
                  <c:v>2.3600225017004668</c:v>
                </c:pt>
                <c:pt idx="401">
                  <c:v>2.3600225017004668</c:v>
                </c:pt>
                <c:pt idx="402">
                  <c:v>2.3600225017004668</c:v>
                </c:pt>
                <c:pt idx="403">
                  <c:v>2.3600225017004668</c:v>
                </c:pt>
                <c:pt idx="404">
                  <c:v>2.3600225017004668</c:v>
                </c:pt>
                <c:pt idx="405">
                  <c:v>2.3600225017004668</c:v>
                </c:pt>
                <c:pt idx="406">
                  <c:v>2.3600225017004668</c:v>
                </c:pt>
                <c:pt idx="407">
                  <c:v>2.3600225017004668</c:v>
                </c:pt>
                <c:pt idx="408">
                  <c:v>2.3600225017004668</c:v>
                </c:pt>
                <c:pt idx="409">
                  <c:v>3.2133390748971404</c:v>
                </c:pt>
                <c:pt idx="410">
                  <c:v>3.2133390748971404</c:v>
                </c:pt>
                <c:pt idx="411">
                  <c:v>3.2133390748971404</c:v>
                </c:pt>
                <c:pt idx="412">
                  <c:v>3.2133390748971404</c:v>
                </c:pt>
                <c:pt idx="413">
                  <c:v>3.2133390748971404</c:v>
                </c:pt>
                <c:pt idx="414">
                  <c:v>3.2133390748971404</c:v>
                </c:pt>
                <c:pt idx="415">
                  <c:v>3.2133390748971404</c:v>
                </c:pt>
                <c:pt idx="416">
                  <c:v>3.2133390748971404</c:v>
                </c:pt>
                <c:pt idx="417">
                  <c:v>3.2133390748971404</c:v>
                </c:pt>
                <c:pt idx="418">
                  <c:v>3.2133390748971404</c:v>
                </c:pt>
              </c:numCache>
            </c:numRef>
          </c:val>
          <c:smooth val="1"/>
          <c:extLst>
            <c:ext xmlns:c16="http://schemas.microsoft.com/office/drawing/2014/chart" uri="{C3380CC4-5D6E-409C-BE32-E72D297353CC}">
              <c16:uniqueId val="{00000001-A9A2-414D-A9C7-24E3C5932415}"/>
            </c:ext>
          </c:extLst>
        </c:ser>
        <c:ser>
          <c:idx val="2"/>
          <c:order val="3"/>
          <c:tx>
            <c:v>SW</c:v>
          </c:tx>
          <c:spPr>
            <a:ln w="28575" cap="rnd">
              <a:solidFill>
                <a:srgbClr val="0070C0"/>
              </a:solidFill>
              <a:prstDash val="solid"/>
              <a:round/>
            </a:ln>
            <a:effectLst/>
          </c:spPr>
          <c:marker>
            <c:symbol val="none"/>
          </c:marker>
          <c:val>
            <c:numRef>
              <c:f>'2025-Q2'!$CU$4:$CU$422</c:f>
              <c:numCache>
                <c:formatCode>0.00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0.5578800557880037</c:v>
                </c:pt>
                <c:pt idx="158">
                  <c:v>0.5578800557880037</c:v>
                </c:pt>
                <c:pt idx="159">
                  <c:v>-1.6961777431035243</c:v>
                </c:pt>
                <c:pt idx="160">
                  <c:v>-1.6961777431035243</c:v>
                </c:pt>
                <c:pt idx="161">
                  <c:v>-1.6961777431035243</c:v>
                </c:pt>
                <c:pt idx="162">
                  <c:v>-1.6961777431035243</c:v>
                </c:pt>
                <c:pt idx="163">
                  <c:v>-1.6961777431035243</c:v>
                </c:pt>
                <c:pt idx="164">
                  <c:v>-1.6961777431035243</c:v>
                </c:pt>
                <c:pt idx="165">
                  <c:v>-1.6961777431035243</c:v>
                </c:pt>
                <c:pt idx="166">
                  <c:v>-1.6961777431035243</c:v>
                </c:pt>
                <c:pt idx="167">
                  <c:v>-1.6961777431035243</c:v>
                </c:pt>
                <c:pt idx="168">
                  <c:v>-1.6961777431035243</c:v>
                </c:pt>
                <c:pt idx="169">
                  <c:v>-1.6961777431035243</c:v>
                </c:pt>
                <c:pt idx="170">
                  <c:v>-1.6961777431035243</c:v>
                </c:pt>
                <c:pt idx="171">
                  <c:v>-1.6961777431035243</c:v>
                </c:pt>
                <c:pt idx="172">
                  <c:v>-1.6961777431035243</c:v>
                </c:pt>
                <c:pt idx="173">
                  <c:v>-1.6961777431035243</c:v>
                </c:pt>
                <c:pt idx="174">
                  <c:v>-1.6961777431035243</c:v>
                </c:pt>
                <c:pt idx="175">
                  <c:v>-1.6961777431035243</c:v>
                </c:pt>
                <c:pt idx="176">
                  <c:v>-1.6961777431035243</c:v>
                </c:pt>
                <c:pt idx="177">
                  <c:v>-1.6961777431035243</c:v>
                </c:pt>
                <c:pt idx="178">
                  <c:v>-1.6961777431035243</c:v>
                </c:pt>
                <c:pt idx="179">
                  <c:v>-1.6961777431035243</c:v>
                </c:pt>
                <c:pt idx="180">
                  <c:v>-1.6961777431035243</c:v>
                </c:pt>
                <c:pt idx="181">
                  <c:v>-1.6961777431035243</c:v>
                </c:pt>
                <c:pt idx="182">
                  <c:v>-1.6961777431035243</c:v>
                </c:pt>
                <c:pt idx="183">
                  <c:v>-1.1331655471946371</c:v>
                </c:pt>
                <c:pt idx="184">
                  <c:v>-1.1331655471946371</c:v>
                </c:pt>
                <c:pt idx="185">
                  <c:v>-1.1331655471946371</c:v>
                </c:pt>
                <c:pt idx="186">
                  <c:v>-1.1331655471946371</c:v>
                </c:pt>
                <c:pt idx="187">
                  <c:v>-1.1331655471946371</c:v>
                </c:pt>
                <c:pt idx="188">
                  <c:v>-1.1331655471946371</c:v>
                </c:pt>
                <c:pt idx="189">
                  <c:v>-1.1331655471946371</c:v>
                </c:pt>
                <c:pt idx="190">
                  <c:v>-1.1331655471946371</c:v>
                </c:pt>
                <c:pt idx="191">
                  <c:v>-1.1331655471946371</c:v>
                </c:pt>
                <c:pt idx="192">
                  <c:v>-1.1331655471946371</c:v>
                </c:pt>
                <c:pt idx="193">
                  <c:v>-1.1331655471946371</c:v>
                </c:pt>
                <c:pt idx="194">
                  <c:v>-1.1331655471946371</c:v>
                </c:pt>
                <c:pt idx="195">
                  <c:v>-1.1331655471946371</c:v>
                </c:pt>
                <c:pt idx="196">
                  <c:v>-1.1331655471946371</c:v>
                </c:pt>
                <c:pt idx="197">
                  <c:v>-1.1331655471946371</c:v>
                </c:pt>
                <c:pt idx="198">
                  <c:v>-1.1331655471946371</c:v>
                </c:pt>
                <c:pt idx="199">
                  <c:v>-1.1331655471946371</c:v>
                </c:pt>
                <c:pt idx="200">
                  <c:v>-1.1331655471946371</c:v>
                </c:pt>
                <c:pt idx="201">
                  <c:v>-1.1331655471946371</c:v>
                </c:pt>
                <c:pt idx="202">
                  <c:v>-1.1331655471946371</c:v>
                </c:pt>
                <c:pt idx="203">
                  <c:v>-1.1331655471946371</c:v>
                </c:pt>
                <c:pt idx="204">
                  <c:v>-1.1331655471946371</c:v>
                </c:pt>
                <c:pt idx="205">
                  <c:v>-1.1331655471946371</c:v>
                </c:pt>
                <c:pt idx="206">
                  <c:v>-1.1331655471946371</c:v>
                </c:pt>
                <c:pt idx="207">
                  <c:v>-1.1331655471946371</c:v>
                </c:pt>
                <c:pt idx="208">
                  <c:v>-1.1331655471946371</c:v>
                </c:pt>
                <c:pt idx="209">
                  <c:v>-1.1331655471946371</c:v>
                </c:pt>
                <c:pt idx="210">
                  <c:v>-1.1331655471946371</c:v>
                </c:pt>
                <c:pt idx="211">
                  <c:v>-1.1331655471946371</c:v>
                </c:pt>
                <c:pt idx="212">
                  <c:v>-1.1331655471946371</c:v>
                </c:pt>
                <c:pt idx="213">
                  <c:v>-1.1331655471946371</c:v>
                </c:pt>
                <c:pt idx="214">
                  <c:v>-1.1331655471946371</c:v>
                </c:pt>
                <c:pt idx="215">
                  <c:v>-1.1331655471946371</c:v>
                </c:pt>
                <c:pt idx="216">
                  <c:v>-1.1331655471946371</c:v>
                </c:pt>
                <c:pt idx="217">
                  <c:v>-1.1331655471946371</c:v>
                </c:pt>
                <c:pt idx="218">
                  <c:v>-1.1331655471946371</c:v>
                </c:pt>
                <c:pt idx="219">
                  <c:v>-1.1331655471946371</c:v>
                </c:pt>
                <c:pt idx="220">
                  <c:v>-1.1331655471946371</c:v>
                </c:pt>
                <c:pt idx="221">
                  <c:v>-1.1331655471946371</c:v>
                </c:pt>
                <c:pt idx="222">
                  <c:v>-1.1331655471946371</c:v>
                </c:pt>
                <c:pt idx="223">
                  <c:v>-1.1331655471946371</c:v>
                </c:pt>
                <c:pt idx="224">
                  <c:v>-1.1331655471946371</c:v>
                </c:pt>
                <c:pt idx="225">
                  <c:v>-1.1331655471946371</c:v>
                </c:pt>
                <c:pt idx="226">
                  <c:v>-2.9040943753548785</c:v>
                </c:pt>
                <c:pt idx="227">
                  <c:v>-2.9040943753548785</c:v>
                </c:pt>
                <c:pt idx="228">
                  <c:v>-2.9040943753548785</c:v>
                </c:pt>
                <c:pt idx="229">
                  <c:v>-2.9040943753548785</c:v>
                </c:pt>
                <c:pt idx="230">
                  <c:v>-2.9040943753548785</c:v>
                </c:pt>
                <c:pt idx="231">
                  <c:v>-2.9040943753548785</c:v>
                </c:pt>
                <c:pt idx="232">
                  <c:v>-2.9040943753548785</c:v>
                </c:pt>
                <c:pt idx="233">
                  <c:v>-2.9040943753548785</c:v>
                </c:pt>
                <c:pt idx="234">
                  <c:v>-2.9040943753548785</c:v>
                </c:pt>
                <c:pt idx="235">
                  <c:v>-2.9040943753548785</c:v>
                </c:pt>
                <c:pt idx="236">
                  <c:v>-2.9040943753548785</c:v>
                </c:pt>
                <c:pt idx="237">
                  <c:v>-2.9040943753548785</c:v>
                </c:pt>
                <c:pt idx="238">
                  <c:v>-2.9040943753548785</c:v>
                </c:pt>
                <c:pt idx="239">
                  <c:v>-2.9040943753548785</c:v>
                </c:pt>
                <c:pt idx="240">
                  <c:v>-2.9040943753548785</c:v>
                </c:pt>
                <c:pt idx="241">
                  <c:v>-2.9040943753548785</c:v>
                </c:pt>
                <c:pt idx="242">
                  <c:v>-2.9040943753548785</c:v>
                </c:pt>
                <c:pt idx="243">
                  <c:v>-2.9040943753548785</c:v>
                </c:pt>
                <c:pt idx="244">
                  <c:v>-2.9040943753548785</c:v>
                </c:pt>
                <c:pt idx="245">
                  <c:v>-2.9040943753548785</c:v>
                </c:pt>
                <c:pt idx="246">
                  <c:v>-2.9040943753548785</c:v>
                </c:pt>
                <c:pt idx="247">
                  <c:v>-2.9040943753548785</c:v>
                </c:pt>
                <c:pt idx="248">
                  <c:v>-2.9040943753548785</c:v>
                </c:pt>
                <c:pt idx="249">
                  <c:v>-2.9040943753548785</c:v>
                </c:pt>
                <c:pt idx="250">
                  <c:v>-2.9040943753548785</c:v>
                </c:pt>
                <c:pt idx="251">
                  <c:v>-2.9040943753548785</c:v>
                </c:pt>
                <c:pt idx="252">
                  <c:v>-2.9040943753548785</c:v>
                </c:pt>
                <c:pt idx="253">
                  <c:v>-2.9040943753548785</c:v>
                </c:pt>
                <c:pt idx="254">
                  <c:v>-2.9040943753548785</c:v>
                </c:pt>
                <c:pt idx="255">
                  <c:v>-2.9040943753548785</c:v>
                </c:pt>
                <c:pt idx="256">
                  <c:v>-2.9040943753548785</c:v>
                </c:pt>
                <c:pt idx="257">
                  <c:v>-2.9040943753548785</c:v>
                </c:pt>
                <c:pt idx="258">
                  <c:v>-2.9040943753548785</c:v>
                </c:pt>
                <c:pt idx="259">
                  <c:v>-2.9040943753548785</c:v>
                </c:pt>
                <c:pt idx="260">
                  <c:v>-2.9040943753548785</c:v>
                </c:pt>
                <c:pt idx="261">
                  <c:v>-2.9040943753548785</c:v>
                </c:pt>
                <c:pt idx="262">
                  <c:v>-2.9040943753548785</c:v>
                </c:pt>
                <c:pt idx="263">
                  <c:v>-2.9040943753548785</c:v>
                </c:pt>
                <c:pt idx="264">
                  <c:v>-2.9040943753548785</c:v>
                </c:pt>
                <c:pt idx="265">
                  <c:v>-2.9040943753548785</c:v>
                </c:pt>
                <c:pt idx="266">
                  <c:v>-2.9040943753548785</c:v>
                </c:pt>
                <c:pt idx="267">
                  <c:v>-2.9040943753548785</c:v>
                </c:pt>
                <c:pt idx="268">
                  <c:v>-2.9040943753548785</c:v>
                </c:pt>
                <c:pt idx="269">
                  <c:v>-2.9040943753548785</c:v>
                </c:pt>
                <c:pt idx="270">
                  <c:v>-2.9040943753548785</c:v>
                </c:pt>
                <c:pt idx="271">
                  <c:v>-2.9040943753548785</c:v>
                </c:pt>
                <c:pt idx="272">
                  <c:v>-2.9040943753548785</c:v>
                </c:pt>
                <c:pt idx="273">
                  <c:v>-2.9040943753548785</c:v>
                </c:pt>
                <c:pt idx="274">
                  <c:v>-2.9040943753548785</c:v>
                </c:pt>
                <c:pt idx="275">
                  <c:v>-2.9040943753548785</c:v>
                </c:pt>
                <c:pt idx="276">
                  <c:v>-2.9040943753548785</c:v>
                </c:pt>
                <c:pt idx="277">
                  <c:v>-2.9040943753548785</c:v>
                </c:pt>
                <c:pt idx="278">
                  <c:v>-2.9040943753548785</c:v>
                </c:pt>
                <c:pt idx="279">
                  <c:v>-2.9040943753548785</c:v>
                </c:pt>
                <c:pt idx="280">
                  <c:v>-2.9040943753548785</c:v>
                </c:pt>
                <c:pt idx="281">
                  <c:v>-2.9040943753548785</c:v>
                </c:pt>
                <c:pt idx="282">
                  <c:v>-2.9040943753548785</c:v>
                </c:pt>
                <c:pt idx="283">
                  <c:v>-2.9040943753548785</c:v>
                </c:pt>
                <c:pt idx="284">
                  <c:v>-2.9040943753548785</c:v>
                </c:pt>
                <c:pt idx="285">
                  <c:v>-2.9040943753548785</c:v>
                </c:pt>
                <c:pt idx="286">
                  <c:v>-2.9040943753548785</c:v>
                </c:pt>
                <c:pt idx="287">
                  <c:v>-2.9040943753548785</c:v>
                </c:pt>
                <c:pt idx="288">
                  <c:v>-2.9040943753548785</c:v>
                </c:pt>
                <c:pt idx="289">
                  <c:v>-2.9040943753548785</c:v>
                </c:pt>
                <c:pt idx="290">
                  <c:v>-2.9040943753548785</c:v>
                </c:pt>
                <c:pt idx="291">
                  <c:v>-2.9040943753548785</c:v>
                </c:pt>
                <c:pt idx="292">
                  <c:v>-2.9040943753548785</c:v>
                </c:pt>
                <c:pt idx="293">
                  <c:v>-2.9040943753548785</c:v>
                </c:pt>
                <c:pt idx="294">
                  <c:v>-2.9040943753548785</c:v>
                </c:pt>
                <c:pt idx="295">
                  <c:v>-2.9040943753548785</c:v>
                </c:pt>
                <c:pt idx="296">
                  <c:v>-2.9040943753548785</c:v>
                </c:pt>
                <c:pt idx="297">
                  <c:v>-2.9040943753548785</c:v>
                </c:pt>
                <c:pt idx="298">
                  <c:v>-2.9040943753548785</c:v>
                </c:pt>
                <c:pt idx="299">
                  <c:v>-2.9040943753548785</c:v>
                </c:pt>
                <c:pt idx="300">
                  <c:v>-2.9040943753548785</c:v>
                </c:pt>
                <c:pt idx="301">
                  <c:v>-2.9040943753548785</c:v>
                </c:pt>
                <c:pt idx="302">
                  <c:v>-2.9040943753548785</c:v>
                </c:pt>
                <c:pt idx="303">
                  <c:v>-2.9040943753548785</c:v>
                </c:pt>
                <c:pt idx="304">
                  <c:v>-2.9040943753548785</c:v>
                </c:pt>
                <c:pt idx="305">
                  <c:v>-2.9040943753548785</c:v>
                </c:pt>
                <c:pt idx="306">
                  <c:v>-0.67755161299190814</c:v>
                </c:pt>
                <c:pt idx="307">
                  <c:v>-0.67755161299190814</c:v>
                </c:pt>
                <c:pt idx="308">
                  <c:v>-0.67755161299190814</c:v>
                </c:pt>
                <c:pt idx="309">
                  <c:v>-0.67755161299190814</c:v>
                </c:pt>
                <c:pt idx="310">
                  <c:v>-0.67755161299190814</c:v>
                </c:pt>
                <c:pt idx="311">
                  <c:v>-0.67755161299190814</c:v>
                </c:pt>
                <c:pt idx="312">
                  <c:v>-0.67755161299190814</c:v>
                </c:pt>
                <c:pt idx="313">
                  <c:v>-0.67755161299190814</c:v>
                </c:pt>
                <c:pt idx="314">
                  <c:v>-0.67755161299190814</c:v>
                </c:pt>
                <c:pt idx="315">
                  <c:v>-0.67755161299190814</c:v>
                </c:pt>
                <c:pt idx="316">
                  <c:v>-0.67755161299190814</c:v>
                </c:pt>
                <c:pt idx="317">
                  <c:v>-0.67755161299190814</c:v>
                </c:pt>
                <c:pt idx="318">
                  <c:v>-0.67755161299190814</c:v>
                </c:pt>
                <c:pt idx="319">
                  <c:v>-0.67755161299190814</c:v>
                </c:pt>
                <c:pt idx="320">
                  <c:v>-0.67755161299190814</c:v>
                </c:pt>
                <c:pt idx="321">
                  <c:v>-0.35196499572459283</c:v>
                </c:pt>
                <c:pt idx="322">
                  <c:v>-0.35196499572459283</c:v>
                </c:pt>
                <c:pt idx="323">
                  <c:v>-0.35196499572459283</c:v>
                </c:pt>
                <c:pt idx="324">
                  <c:v>-0.35196499572459283</c:v>
                </c:pt>
                <c:pt idx="325">
                  <c:v>-0.35196499572459283</c:v>
                </c:pt>
                <c:pt idx="326">
                  <c:v>-0.35196499572459283</c:v>
                </c:pt>
                <c:pt idx="327">
                  <c:v>-0.35196499572459283</c:v>
                </c:pt>
                <c:pt idx="328">
                  <c:v>-0.35196499572459283</c:v>
                </c:pt>
                <c:pt idx="329">
                  <c:v>-0.35196499572459283</c:v>
                </c:pt>
                <c:pt idx="330">
                  <c:v>-0.35196499572459283</c:v>
                </c:pt>
                <c:pt idx="331">
                  <c:v>-1.2300043871274924E-2</c:v>
                </c:pt>
                <c:pt idx="332">
                  <c:v>-1.2300043871274924E-2</c:v>
                </c:pt>
                <c:pt idx="333">
                  <c:v>-1.2300043871274924E-2</c:v>
                </c:pt>
                <c:pt idx="334">
                  <c:v>-1.2300043871274924E-2</c:v>
                </c:pt>
                <c:pt idx="335">
                  <c:v>-1.2300043871274924E-2</c:v>
                </c:pt>
                <c:pt idx="336">
                  <c:v>-1.2300043871274924E-2</c:v>
                </c:pt>
                <c:pt idx="337">
                  <c:v>-1.2300043871274924E-2</c:v>
                </c:pt>
                <c:pt idx="338">
                  <c:v>-1.2300043871274924E-2</c:v>
                </c:pt>
                <c:pt idx="339">
                  <c:v>-1.2300043871274924E-2</c:v>
                </c:pt>
                <c:pt idx="340">
                  <c:v>-2.8580371411053784</c:v>
                </c:pt>
                <c:pt idx="341">
                  <c:v>-2.8580371411053784</c:v>
                </c:pt>
                <c:pt idx="342">
                  <c:v>-2.8580371411053784</c:v>
                </c:pt>
                <c:pt idx="343">
                  <c:v>-2.8580371411053784</c:v>
                </c:pt>
                <c:pt idx="344">
                  <c:v>-2.8580371411053784</c:v>
                </c:pt>
                <c:pt idx="345">
                  <c:v>-2.8580371411053784</c:v>
                </c:pt>
                <c:pt idx="346">
                  <c:v>-2.8580371411053784</c:v>
                </c:pt>
                <c:pt idx="347">
                  <c:v>-2.8580371411053784</c:v>
                </c:pt>
                <c:pt idx="348">
                  <c:v>-2.8580371411053784</c:v>
                </c:pt>
                <c:pt idx="349">
                  <c:v>-2.8580371411053784</c:v>
                </c:pt>
                <c:pt idx="350">
                  <c:v>-2.8580371411053784</c:v>
                </c:pt>
                <c:pt idx="351">
                  <c:v>-3.1872377407569323</c:v>
                </c:pt>
                <c:pt idx="352">
                  <c:v>-3.1872377407569323</c:v>
                </c:pt>
                <c:pt idx="353">
                  <c:v>-3.1872377407569323</c:v>
                </c:pt>
                <c:pt idx="354">
                  <c:v>-3.1872377407569323</c:v>
                </c:pt>
                <c:pt idx="355">
                  <c:v>-3.1872377407569323</c:v>
                </c:pt>
                <c:pt idx="356">
                  <c:v>-3.1872377407569323</c:v>
                </c:pt>
                <c:pt idx="357">
                  <c:v>-3.1872377407569323</c:v>
                </c:pt>
                <c:pt idx="358">
                  <c:v>-3.1872377407569323</c:v>
                </c:pt>
                <c:pt idx="359">
                  <c:v>-3.1872377407569323</c:v>
                </c:pt>
                <c:pt idx="360">
                  <c:v>-5.0540979850568064</c:v>
                </c:pt>
                <c:pt idx="361">
                  <c:v>-5.0540979850568064</c:v>
                </c:pt>
                <c:pt idx="362">
                  <c:v>-3.2469967661908816</c:v>
                </c:pt>
                <c:pt idx="363">
                  <c:v>-3.2469967661908816</c:v>
                </c:pt>
                <c:pt idx="364">
                  <c:v>-3.2469967661908816</c:v>
                </c:pt>
                <c:pt idx="365">
                  <c:v>-3.2469967661908816</c:v>
                </c:pt>
                <c:pt idx="366">
                  <c:v>-3.2469967661908816</c:v>
                </c:pt>
                <c:pt idx="367">
                  <c:v>-3.2469967661908816</c:v>
                </c:pt>
                <c:pt idx="368">
                  <c:v>-3.2469967661908816</c:v>
                </c:pt>
                <c:pt idx="369">
                  <c:v>-3.2469967661908816</c:v>
                </c:pt>
                <c:pt idx="370">
                  <c:v>-3.2469967661908816</c:v>
                </c:pt>
                <c:pt idx="371">
                  <c:v>-3.2469967661908816</c:v>
                </c:pt>
                <c:pt idx="372">
                  <c:v>-3.9981228515197715</c:v>
                </c:pt>
                <c:pt idx="373">
                  <c:v>-3.9981228515197715</c:v>
                </c:pt>
                <c:pt idx="374">
                  <c:v>-1.4134139027795452</c:v>
                </c:pt>
                <c:pt idx="375">
                  <c:v>-1.4134139027795452</c:v>
                </c:pt>
                <c:pt idx="376">
                  <c:v>-2.4894627481428637</c:v>
                </c:pt>
                <c:pt idx="377">
                  <c:v>-2.4894627481428637</c:v>
                </c:pt>
                <c:pt idx="378">
                  <c:v>-4.7941568677836033</c:v>
                </c:pt>
                <c:pt idx="379">
                  <c:v>-4.7941568677836033</c:v>
                </c:pt>
                <c:pt idx="380">
                  <c:v>-4.7941568677836033</c:v>
                </c:pt>
                <c:pt idx="381">
                  <c:v>-4.7941568677836033</c:v>
                </c:pt>
                <c:pt idx="382">
                  <c:v>-4.7941568677836033</c:v>
                </c:pt>
                <c:pt idx="383">
                  <c:v>-2.3212047812302816</c:v>
                </c:pt>
                <c:pt idx="384">
                  <c:v>-2.3212047812302816</c:v>
                </c:pt>
                <c:pt idx="385">
                  <c:v>-2.3212047812302816</c:v>
                </c:pt>
                <c:pt idx="386">
                  <c:v>-4.892829975913175</c:v>
                </c:pt>
                <c:pt idx="387">
                  <c:v>-4.892829975913175</c:v>
                </c:pt>
                <c:pt idx="388">
                  <c:v>-4.892829975913175</c:v>
                </c:pt>
                <c:pt idx="389">
                  <c:v>-4.892829975913175</c:v>
                </c:pt>
                <c:pt idx="390">
                  <c:v>-4.892829975913175</c:v>
                </c:pt>
                <c:pt idx="391">
                  <c:v>-4.892829975913175</c:v>
                </c:pt>
                <c:pt idx="392">
                  <c:v>-4.892829975913175</c:v>
                </c:pt>
                <c:pt idx="393">
                  <c:v>-4.892829975913175</c:v>
                </c:pt>
                <c:pt idx="394">
                  <c:v>-4.892829975913175</c:v>
                </c:pt>
                <c:pt idx="395">
                  <c:v>-6.9103738355622983</c:v>
                </c:pt>
                <c:pt idx="396">
                  <c:v>-6.9103738355622983</c:v>
                </c:pt>
                <c:pt idx="397">
                  <c:v>-6.9103738355622983</c:v>
                </c:pt>
                <c:pt idx="398">
                  <c:v>-6.9103738355622983</c:v>
                </c:pt>
                <c:pt idx="399">
                  <c:v>-6.9103738355622983</c:v>
                </c:pt>
                <c:pt idx="400">
                  <c:v>-6.9103738355622983</c:v>
                </c:pt>
                <c:pt idx="401">
                  <c:v>-6.9103738355622983</c:v>
                </c:pt>
                <c:pt idx="402">
                  <c:v>-9.802372400327279</c:v>
                </c:pt>
                <c:pt idx="403">
                  <c:v>-9.802372400327279</c:v>
                </c:pt>
                <c:pt idx="404">
                  <c:v>-9.802372400327279</c:v>
                </c:pt>
                <c:pt idx="405">
                  <c:v>-9.802372400327279</c:v>
                </c:pt>
                <c:pt idx="406">
                  <c:v>-12.045896072422382</c:v>
                </c:pt>
                <c:pt idx="407">
                  <c:v>-12.045896072422382</c:v>
                </c:pt>
                <c:pt idx="408">
                  <c:v>-12.045896072422382</c:v>
                </c:pt>
                <c:pt idx="409">
                  <c:v>-12.045896072422382</c:v>
                </c:pt>
                <c:pt idx="410">
                  <c:v>-12.045896072422382</c:v>
                </c:pt>
                <c:pt idx="411">
                  <c:v>-12.045896072422382</c:v>
                </c:pt>
                <c:pt idx="412">
                  <c:v>-12.045896072422382</c:v>
                </c:pt>
                <c:pt idx="413">
                  <c:v>-12.045896072422382</c:v>
                </c:pt>
                <c:pt idx="414">
                  <c:v>-12.045896072422382</c:v>
                </c:pt>
                <c:pt idx="415">
                  <c:v>-12.045896072422382</c:v>
                </c:pt>
                <c:pt idx="416">
                  <c:v>-12.045896072422382</c:v>
                </c:pt>
                <c:pt idx="417">
                  <c:v>-12.045896072422382</c:v>
                </c:pt>
                <c:pt idx="418">
                  <c:v>-12.045896072422382</c:v>
                </c:pt>
              </c:numCache>
            </c:numRef>
          </c:val>
          <c:smooth val="1"/>
          <c:extLst>
            <c:ext xmlns:c16="http://schemas.microsoft.com/office/drawing/2014/chart" uri="{C3380CC4-5D6E-409C-BE32-E72D297353CC}">
              <c16:uniqueId val="{00000002-A9A2-414D-A9C7-24E3C5932415}"/>
            </c:ext>
          </c:extLst>
        </c:ser>
        <c:ser>
          <c:idx val="3"/>
          <c:order val="5"/>
          <c:tx>
            <c:v>All Three</c:v>
          </c:tx>
          <c:spPr>
            <a:ln w="38100" cap="rnd">
              <a:solidFill>
                <a:sysClr val="windowText" lastClr="000000"/>
              </a:solidFill>
              <a:round/>
            </a:ln>
            <a:effectLst/>
          </c:spPr>
          <c:marker>
            <c:symbol val="none"/>
          </c:marker>
          <c:val>
            <c:numRef>
              <c:f>'2025-Q2'!$CV$4:$CV$422</c:f>
              <c:numCache>
                <c:formatCode>0.00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2.420242024202421</c:v>
                </c:pt>
                <c:pt idx="153">
                  <c:v>2.420242024202421</c:v>
                </c:pt>
                <c:pt idx="154">
                  <c:v>2.420242024202421</c:v>
                </c:pt>
                <c:pt idx="155">
                  <c:v>2.420242024202421</c:v>
                </c:pt>
                <c:pt idx="156">
                  <c:v>2.420242024202421</c:v>
                </c:pt>
                <c:pt idx="157">
                  <c:v>2.9781220799904249</c:v>
                </c:pt>
                <c:pt idx="158">
                  <c:v>2.9781220799904249</c:v>
                </c:pt>
                <c:pt idx="159">
                  <c:v>0.72406428109889664</c:v>
                </c:pt>
                <c:pt idx="160">
                  <c:v>0.72406428109889664</c:v>
                </c:pt>
                <c:pt idx="161">
                  <c:v>0.72406428109889664</c:v>
                </c:pt>
                <c:pt idx="162">
                  <c:v>0.72406428109889664</c:v>
                </c:pt>
                <c:pt idx="163">
                  <c:v>0.72406428109889664</c:v>
                </c:pt>
                <c:pt idx="164">
                  <c:v>0.72406428109889664</c:v>
                </c:pt>
                <c:pt idx="165">
                  <c:v>0.72406428109889664</c:v>
                </c:pt>
                <c:pt idx="166">
                  <c:v>0.72406428109889664</c:v>
                </c:pt>
                <c:pt idx="167">
                  <c:v>0.72406428109889664</c:v>
                </c:pt>
                <c:pt idx="168">
                  <c:v>0.72406428109889664</c:v>
                </c:pt>
                <c:pt idx="169">
                  <c:v>0.72406428109889664</c:v>
                </c:pt>
                <c:pt idx="170">
                  <c:v>0.72406428109889664</c:v>
                </c:pt>
                <c:pt idx="171">
                  <c:v>0.72406428109889664</c:v>
                </c:pt>
                <c:pt idx="172">
                  <c:v>0.72406428109889664</c:v>
                </c:pt>
                <c:pt idx="173">
                  <c:v>0.72406428109889664</c:v>
                </c:pt>
                <c:pt idx="174">
                  <c:v>0.72406428109889664</c:v>
                </c:pt>
                <c:pt idx="175">
                  <c:v>0.72406428109889664</c:v>
                </c:pt>
                <c:pt idx="176">
                  <c:v>0.72406428109889664</c:v>
                </c:pt>
                <c:pt idx="177">
                  <c:v>0.72406428109889664</c:v>
                </c:pt>
                <c:pt idx="178">
                  <c:v>0.72406428109889664</c:v>
                </c:pt>
                <c:pt idx="179">
                  <c:v>0.72406428109889664</c:v>
                </c:pt>
                <c:pt idx="180">
                  <c:v>0.72406428109889664</c:v>
                </c:pt>
                <c:pt idx="181">
                  <c:v>0.72406428109889664</c:v>
                </c:pt>
                <c:pt idx="182">
                  <c:v>0.72406428109889664</c:v>
                </c:pt>
                <c:pt idx="183">
                  <c:v>1.2870764770077838</c:v>
                </c:pt>
                <c:pt idx="184">
                  <c:v>1.2870764770077838</c:v>
                </c:pt>
                <c:pt idx="185">
                  <c:v>1.2870764770077838</c:v>
                </c:pt>
                <c:pt idx="186">
                  <c:v>1.1917965004613165</c:v>
                </c:pt>
                <c:pt idx="187">
                  <c:v>1.1917965004613165</c:v>
                </c:pt>
                <c:pt idx="188">
                  <c:v>1.1917965004613165</c:v>
                </c:pt>
                <c:pt idx="189">
                  <c:v>1.1917965004613165</c:v>
                </c:pt>
                <c:pt idx="190">
                  <c:v>1.1917965004613165</c:v>
                </c:pt>
                <c:pt idx="191">
                  <c:v>1.1917965004613165</c:v>
                </c:pt>
                <c:pt idx="192">
                  <c:v>1.1917965004613165</c:v>
                </c:pt>
                <c:pt idx="193">
                  <c:v>3.1657570212509012</c:v>
                </c:pt>
                <c:pt idx="194">
                  <c:v>3.1657570212509012</c:v>
                </c:pt>
                <c:pt idx="195">
                  <c:v>3.1657570212509012</c:v>
                </c:pt>
                <c:pt idx="196">
                  <c:v>3.1657570212509012</c:v>
                </c:pt>
                <c:pt idx="197">
                  <c:v>3.1657570212509012</c:v>
                </c:pt>
                <c:pt idx="198">
                  <c:v>3.1657570212509012</c:v>
                </c:pt>
                <c:pt idx="199">
                  <c:v>3.1657570212509012</c:v>
                </c:pt>
                <c:pt idx="200">
                  <c:v>3.1657570212509012</c:v>
                </c:pt>
                <c:pt idx="201">
                  <c:v>3.1657570212509012</c:v>
                </c:pt>
                <c:pt idx="202">
                  <c:v>3.1657570212509012</c:v>
                </c:pt>
                <c:pt idx="203">
                  <c:v>3.1657570212509012</c:v>
                </c:pt>
                <c:pt idx="204">
                  <c:v>3.1657570212509012</c:v>
                </c:pt>
                <c:pt idx="205">
                  <c:v>3.1657570212509012</c:v>
                </c:pt>
                <c:pt idx="206">
                  <c:v>3.1657570212509012</c:v>
                </c:pt>
                <c:pt idx="207">
                  <c:v>3.1657570212509012</c:v>
                </c:pt>
                <c:pt idx="208">
                  <c:v>3.1657570212509012</c:v>
                </c:pt>
                <c:pt idx="209">
                  <c:v>3.1657570212509012</c:v>
                </c:pt>
                <c:pt idx="210">
                  <c:v>3.1657570212509012</c:v>
                </c:pt>
                <c:pt idx="211">
                  <c:v>3.1657570212509012</c:v>
                </c:pt>
                <c:pt idx="212">
                  <c:v>3.1657570212509012</c:v>
                </c:pt>
                <c:pt idx="213">
                  <c:v>3.1657570212509012</c:v>
                </c:pt>
                <c:pt idx="214">
                  <c:v>3.1657570212509012</c:v>
                </c:pt>
                <c:pt idx="215">
                  <c:v>3.1657570212509012</c:v>
                </c:pt>
                <c:pt idx="216">
                  <c:v>3.1657570212509012</c:v>
                </c:pt>
                <c:pt idx="217">
                  <c:v>3.1657570212509012</c:v>
                </c:pt>
                <c:pt idx="218">
                  <c:v>3.1657570212509012</c:v>
                </c:pt>
                <c:pt idx="219">
                  <c:v>3.1657570212509012</c:v>
                </c:pt>
                <c:pt idx="220">
                  <c:v>3.1657570212509012</c:v>
                </c:pt>
                <c:pt idx="221">
                  <c:v>3.1657570212509012</c:v>
                </c:pt>
                <c:pt idx="222">
                  <c:v>3.1657570212509012</c:v>
                </c:pt>
                <c:pt idx="223">
                  <c:v>3.1657570212509012</c:v>
                </c:pt>
                <c:pt idx="224">
                  <c:v>3.1657570212509012</c:v>
                </c:pt>
                <c:pt idx="225">
                  <c:v>2.7583847700248301</c:v>
                </c:pt>
                <c:pt idx="226">
                  <c:v>0.98745594186458874</c:v>
                </c:pt>
                <c:pt idx="227">
                  <c:v>0.98745594186458874</c:v>
                </c:pt>
                <c:pt idx="228">
                  <c:v>0.98745594186458874</c:v>
                </c:pt>
                <c:pt idx="229">
                  <c:v>0.98745594186458874</c:v>
                </c:pt>
                <c:pt idx="230">
                  <c:v>1.7094302133269181</c:v>
                </c:pt>
                <c:pt idx="231">
                  <c:v>1.7094302133269181</c:v>
                </c:pt>
                <c:pt idx="232">
                  <c:v>1.7094302133269181</c:v>
                </c:pt>
                <c:pt idx="233">
                  <c:v>1.7094302133269181</c:v>
                </c:pt>
                <c:pt idx="234">
                  <c:v>1.7094302133269181</c:v>
                </c:pt>
                <c:pt idx="235">
                  <c:v>1.7094302133269181</c:v>
                </c:pt>
                <c:pt idx="236">
                  <c:v>1.7094302133269181</c:v>
                </c:pt>
                <c:pt idx="237">
                  <c:v>1.7094302133269181</c:v>
                </c:pt>
                <c:pt idx="238">
                  <c:v>1.7094302133269181</c:v>
                </c:pt>
                <c:pt idx="239">
                  <c:v>1.7094302133269181</c:v>
                </c:pt>
                <c:pt idx="240">
                  <c:v>1.7094302133269181</c:v>
                </c:pt>
                <c:pt idx="241">
                  <c:v>1.7094302133269181</c:v>
                </c:pt>
                <c:pt idx="242">
                  <c:v>1.7094302133269181</c:v>
                </c:pt>
                <c:pt idx="243">
                  <c:v>1.7094302133269181</c:v>
                </c:pt>
                <c:pt idx="244">
                  <c:v>1.7094302133269181</c:v>
                </c:pt>
                <c:pt idx="245">
                  <c:v>1.7094302133269181</c:v>
                </c:pt>
                <c:pt idx="246">
                  <c:v>1.7094302133269181</c:v>
                </c:pt>
                <c:pt idx="247">
                  <c:v>1.7094302133269181</c:v>
                </c:pt>
                <c:pt idx="248">
                  <c:v>1.7094302133269181</c:v>
                </c:pt>
                <c:pt idx="249">
                  <c:v>1.7094302133269181</c:v>
                </c:pt>
                <c:pt idx="250">
                  <c:v>1.7094302133269181</c:v>
                </c:pt>
                <c:pt idx="251">
                  <c:v>1.7094302133269181</c:v>
                </c:pt>
                <c:pt idx="252">
                  <c:v>1.7094302133269181</c:v>
                </c:pt>
                <c:pt idx="253">
                  <c:v>1.7094302133269181</c:v>
                </c:pt>
                <c:pt idx="254">
                  <c:v>1.7094302133269181</c:v>
                </c:pt>
                <c:pt idx="255">
                  <c:v>1.7094302133269181</c:v>
                </c:pt>
                <c:pt idx="256">
                  <c:v>1.7094302133269181</c:v>
                </c:pt>
                <c:pt idx="257">
                  <c:v>0.22010862220359617</c:v>
                </c:pt>
                <c:pt idx="258">
                  <c:v>0.22010862220359617</c:v>
                </c:pt>
                <c:pt idx="259">
                  <c:v>0.22010862220359617</c:v>
                </c:pt>
                <c:pt idx="260">
                  <c:v>0.22010862220359617</c:v>
                </c:pt>
                <c:pt idx="261">
                  <c:v>0.22010862220359617</c:v>
                </c:pt>
                <c:pt idx="262">
                  <c:v>0.22010862220359617</c:v>
                </c:pt>
                <c:pt idx="263">
                  <c:v>0.22010862220359617</c:v>
                </c:pt>
                <c:pt idx="264">
                  <c:v>0.22010862220359617</c:v>
                </c:pt>
                <c:pt idx="265">
                  <c:v>0.22010862220359617</c:v>
                </c:pt>
                <c:pt idx="266">
                  <c:v>0.22010862220359617</c:v>
                </c:pt>
                <c:pt idx="267">
                  <c:v>0.22010862220359617</c:v>
                </c:pt>
                <c:pt idx="268">
                  <c:v>0.22010862220359617</c:v>
                </c:pt>
                <c:pt idx="269">
                  <c:v>0.22010862220359617</c:v>
                </c:pt>
                <c:pt idx="270">
                  <c:v>0.22010862220359617</c:v>
                </c:pt>
                <c:pt idx="271">
                  <c:v>0.22010862220359617</c:v>
                </c:pt>
                <c:pt idx="272">
                  <c:v>0.38251795679836054</c:v>
                </c:pt>
                <c:pt idx="273">
                  <c:v>0.38251795679836054</c:v>
                </c:pt>
                <c:pt idx="274">
                  <c:v>-0.22172871137421679</c:v>
                </c:pt>
                <c:pt idx="275">
                  <c:v>-0.22172871137421679</c:v>
                </c:pt>
                <c:pt idx="276">
                  <c:v>-0.22172871137421679</c:v>
                </c:pt>
                <c:pt idx="277">
                  <c:v>0.15196094826082956</c:v>
                </c:pt>
                <c:pt idx="278">
                  <c:v>0.48710112428227853</c:v>
                </c:pt>
                <c:pt idx="279">
                  <c:v>0.48710112428227853</c:v>
                </c:pt>
                <c:pt idx="280">
                  <c:v>0.48710112428227853</c:v>
                </c:pt>
                <c:pt idx="281">
                  <c:v>0.48710112428227853</c:v>
                </c:pt>
                <c:pt idx="282">
                  <c:v>0.48710112428227853</c:v>
                </c:pt>
                <c:pt idx="283">
                  <c:v>-0.83673853816497745</c:v>
                </c:pt>
                <c:pt idx="284">
                  <c:v>-0.83673853816497745</c:v>
                </c:pt>
                <c:pt idx="285">
                  <c:v>-1.6597038051426876</c:v>
                </c:pt>
                <c:pt idx="286">
                  <c:v>-1.6597038051426876</c:v>
                </c:pt>
                <c:pt idx="287">
                  <c:v>-1.6597038051426876</c:v>
                </c:pt>
                <c:pt idx="288">
                  <c:v>-1.6597038051426876</c:v>
                </c:pt>
                <c:pt idx="289">
                  <c:v>-1.6597038051426876</c:v>
                </c:pt>
                <c:pt idx="290">
                  <c:v>-1.6597038051426876</c:v>
                </c:pt>
                <c:pt idx="291">
                  <c:v>-1.6597038051426876</c:v>
                </c:pt>
                <c:pt idx="292">
                  <c:v>-1.6597038051426876</c:v>
                </c:pt>
                <c:pt idx="293">
                  <c:v>-1.6597038051426876</c:v>
                </c:pt>
                <c:pt idx="294">
                  <c:v>-1.6597038051426876</c:v>
                </c:pt>
                <c:pt idx="295">
                  <c:v>-1.6597038051426876</c:v>
                </c:pt>
                <c:pt idx="296">
                  <c:v>-1.6597038051426876</c:v>
                </c:pt>
                <c:pt idx="297">
                  <c:v>-1.6597038051426876</c:v>
                </c:pt>
                <c:pt idx="298">
                  <c:v>-1.6597038051426876</c:v>
                </c:pt>
                <c:pt idx="299">
                  <c:v>-1.6597038051426876</c:v>
                </c:pt>
                <c:pt idx="300">
                  <c:v>-1.6597038051426876</c:v>
                </c:pt>
                <c:pt idx="301">
                  <c:v>-1.6597038051426876</c:v>
                </c:pt>
                <c:pt idx="302">
                  <c:v>-1.6597038051426876</c:v>
                </c:pt>
                <c:pt idx="303">
                  <c:v>-1.6597038051426876</c:v>
                </c:pt>
                <c:pt idx="304">
                  <c:v>-3.0839916612146538</c:v>
                </c:pt>
                <c:pt idx="305">
                  <c:v>-3.0839916612146538</c:v>
                </c:pt>
                <c:pt idx="306">
                  <c:v>-0.85744889885168352</c:v>
                </c:pt>
                <c:pt idx="307">
                  <c:v>-0.85744889885168352</c:v>
                </c:pt>
                <c:pt idx="308">
                  <c:v>-0.85744889885168352</c:v>
                </c:pt>
                <c:pt idx="309">
                  <c:v>-0.85744889885168352</c:v>
                </c:pt>
                <c:pt idx="310">
                  <c:v>-0.85744889885168352</c:v>
                </c:pt>
                <c:pt idx="311">
                  <c:v>-0.85744889885168352</c:v>
                </c:pt>
                <c:pt idx="312">
                  <c:v>-0.85744889885168352</c:v>
                </c:pt>
                <c:pt idx="313">
                  <c:v>-0.85744889885168352</c:v>
                </c:pt>
                <c:pt idx="314">
                  <c:v>-0.85744889885168352</c:v>
                </c:pt>
                <c:pt idx="315">
                  <c:v>-0.85744889885168352</c:v>
                </c:pt>
                <c:pt idx="316">
                  <c:v>-0.85744889885168352</c:v>
                </c:pt>
                <c:pt idx="317">
                  <c:v>-0.85744889885168352</c:v>
                </c:pt>
                <c:pt idx="318">
                  <c:v>-0.85744889885168352</c:v>
                </c:pt>
                <c:pt idx="319">
                  <c:v>-0.85744889885168352</c:v>
                </c:pt>
                <c:pt idx="320">
                  <c:v>-0.85744889885168352</c:v>
                </c:pt>
                <c:pt idx="321">
                  <c:v>-0.53186228158436855</c:v>
                </c:pt>
                <c:pt idx="322">
                  <c:v>-0.53186228158436855</c:v>
                </c:pt>
                <c:pt idx="323">
                  <c:v>-0.53186228158436855</c:v>
                </c:pt>
                <c:pt idx="324">
                  <c:v>-0.53186228158436855</c:v>
                </c:pt>
                <c:pt idx="325">
                  <c:v>-0.53186228158436855</c:v>
                </c:pt>
                <c:pt idx="326">
                  <c:v>-0.53186228158436855</c:v>
                </c:pt>
                <c:pt idx="327">
                  <c:v>-0.53186228158436855</c:v>
                </c:pt>
                <c:pt idx="328">
                  <c:v>-0.53186228158436855</c:v>
                </c:pt>
                <c:pt idx="329">
                  <c:v>-0.53186228158436855</c:v>
                </c:pt>
                <c:pt idx="330">
                  <c:v>-0.53186228158436855</c:v>
                </c:pt>
                <c:pt idx="331">
                  <c:v>-0.19219732973104975</c:v>
                </c:pt>
                <c:pt idx="332">
                  <c:v>-0.19219732973104975</c:v>
                </c:pt>
                <c:pt idx="333">
                  <c:v>-0.19219732973104975</c:v>
                </c:pt>
                <c:pt idx="334">
                  <c:v>-0.19219732973104975</c:v>
                </c:pt>
                <c:pt idx="335">
                  <c:v>-0.19219732973104975</c:v>
                </c:pt>
                <c:pt idx="336">
                  <c:v>-0.19219732973104975</c:v>
                </c:pt>
                <c:pt idx="337">
                  <c:v>-0.19219732973104975</c:v>
                </c:pt>
                <c:pt idx="338">
                  <c:v>0.11195463147522905</c:v>
                </c:pt>
                <c:pt idx="339">
                  <c:v>0.11195463147522905</c:v>
                </c:pt>
                <c:pt idx="340">
                  <c:v>-2.7337824657588752</c:v>
                </c:pt>
                <c:pt idx="341">
                  <c:v>-2.7337824657588752</c:v>
                </c:pt>
                <c:pt idx="342">
                  <c:v>-2.7337824657588752</c:v>
                </c:pt>
                <c:pt idx="343">
                  <c:v>-2.7337824657588752</c:v>
                </c:pt>
                <c:pt idx="344">
                  <c:v>-2.7337824657588752</c:v>
                </c:pt>
                <c:pt idx="345">
                  <c:v>-3.5667730046317665</c:v>
                </c:pt>
                <c:pt idx="346">
                  <c:v>-3.5667730046317665</c:v>
                </c:pt>
                <c:pt idx="347">
                  <c:v>-3.5667730046317665</c:v>
                </c:pt>
                <c:pt idx="348">
                  <c:v>-3.5667730046317665</c:v>
                </c:pt>
                <c:pt idx="349">
                  <c:v>-3.5667730046317665</c:v>
                </c:pt>
                <c:pt idx="350">
                  <c:v>-3.5667730046317665</c:v>
                </c:pt>
                <c:pt idx="351">
                  <c:v>-3.8959736042833208</c:v>
                </c:pt>
                <c:pt idx="352">
                  <c:v>-3.8959736042833208</c:v>
                </c:pt>
                <c:pt idx="353">
                  <c:v>-3.8959736042833208</c:v>
                </c:pt>
                <c:pt idx="354">
                  <c:v>-3.8959736042833208</c:v>
                </c:pt>
                <c:pt idx="355">
                  <c:v>-3.8959736042833208</c:v>
                </c:pt>
                <c:pt idx="356">
                  <c:v>-3.8959736042833208</c:v>
                </c:pt>
                <c:pt idx="357">
                  <c:v>-3.8959736042833208</c:v>
                </c:pt>
                <c:pt idx="358">
                  <c:v>-2.546515839583916</c:v>
                </c:pt>
                <c:pt idx="359">
                  <c:v>-2.546515839583916</c:v>
                </c:pt>
                <c:pt idx="360">
                  <c:v>-4.4133760838837901</c:v>
                </c:pt>
                <c:pt idx="361">
                  <c:v>-4.4133760838837901</c:v>
                </c:pt>
                <c:pt idx="362">
                  <c:v>-2.6062748650178649</c:v>
                </c:pt>
                <c:pt idx="363">
                  <c:v>-4.77758960605372</c:v>
                </c:pt>
                <c:pt idx="364">
                  <c:v>-4.77758960605372</c:v>
                </c:pt>
                <c:pt idx="365">
                  <c:v>-4.77758960605372</c:v>
                </c:pt>
                <c:pt idx="366">
                  <c:v>-4.77758960605372</c:v>
                </c:pt>
                <c:pt idx="367">
                  <c:v>-4.77758960605372</c:v>
                </c:pt>
                <c:pt idx="368">
                  <c:v>-4.77758960605372</c:v>
                </c:pt>
                <c:pt idx="369">
                  <c:v>-4.77758960605372</c:v>
                </c:pt>
                <c:pt idx="370">
                  <c:v>-4.4986495781597169</c:v>
                </c:pt>
                <c:pt idx="371">
                  <c:v>-4.4986495781597169</c:v>
                </c:pt>
                <c:pt idx="372">
                  <c:v>-5.2497756634886068</c:v>
                </c:pt>
                <c:pt idx="373">
                  <c:v>-5.2497756634886068</c:v>
                </c:pt>
                <c:pt idx="374">
                  <c:v>-2.6650667147483809</c:v>
                </c:pt>
                <c:pt idx="375">
                  <c:v>-2.6650667147483809</c:v>
                </c:pt>
                <c:pt idx="376">
                  <c:v>-3.7411155601116985</c:v>
                </c:pt>
                <c:pt idx="377">
                  <c:v>-3.7411155601116985</c:v>
                </c:pt>
                <c:pt idx="378">
                  <c:v>-6.0458096797524385</c:v>
                </c:pt>
                <c:pt idx="379">
                  <c:v>-6.0458096797524385</c:v>
                </c:pt>
                <c:pt idx="380">
                  <c:v>-6.0458096797524385</c:v>
                </c:pt>
                <c:pt idx="381">
                  <c:v>-6.0458096797524385</c:v>
                </c:pt>
                <c:pt idx="382">
                  <c:v>-6.0458096797524385</c:v>
                </c:pt>
                <c:pt idx="383">
                  <c:v>-3.5728575931991173</c:v>
                </c:pt>
                <c:pt idx="384">
                  <c:v>-3.5728575931991173</c:v>
                </c:pt>
                <c:pt idx="385">
                  <c:v>-3.5728575931991173</c:v>
                </c:pt>
                <c:pt idx="386">
                  <c:v>-6.1444827878820112</c:v>
                </c:pt>
                <c:pt idx="387">
                  <c:v>-5.3666032397424219</c:v>
                </c:pt>
                <c:pt idx="388">
                  <c:v>-5.3666032397424219</c:v>
                </c:pt>
                <c:pt idx="389">
                  <c:v>-5.3666032397424219</c:v>
                </c:pt>
                <c:pt idx="390">
                  <c:v>-5.3666032397424219</c:v>
                </c:pt>
                <c:pt idx="391">
                  <c:v>-5.3666032397424219</c:v>
                </c:pt>
                <c:pt idx="392">
                  <c:v>-5.3666032397424219</c:v>
                </c:pt>
                <c:pt idx="393">
                  <c:v>-5.3666032397424219</c:v>
                </c:pt>
                <c:pt idx="394">
                  <c:v>-5.3666032397424219</c:v>
                </c:pt>
                <c:pt idx="395">
                  <c:v>-7.3841470993915443</c:v>
                </c:pt>
                <c:pt idx="396">
                  <c:v>-8.543543667577703</c:v>
                </c:pt>
                <c:pt idx="397">
                  <c:v>-8.543543667577703</c:v>
                </c:pt>
                <c:pt idx="398">
                  <c:v>-8.543543667577703</c:v>
                </c:pt>
                <c:pt idx="399">
                  <c:v>-8.543543667577703</c:v>
                </c:pt>
                <c:pt idx="400">
                  <c:v>-8.543543667577703</c:v>
                </c:pt>
                <c:pt idx="401">
                  <c:v>-8.543543667577703</c:v>
                </c:pt>
                <c:pt idx="402">
                  <c:v>-11.435542232342684</c:v>
                </c:pt>
                <c:pt idx="403">
                  <c:v>-11.435542232342684</c:v>
                </c:pt>
                <c:pt idx="404">
                  <c:v>-11.435542232342684</c:v>
                </c:pt>
                <c:pt idx="405">
                  <c:v>-11.435542232342684</c:v>
                </c:pt>
                <c:pt idx="406">
                  <c:v>-13.679065904437785</c:v>
                </c:pt>
                <c:pt idx="407">
                  <c:v>-13.679065904437785</c:v>
                </c:pt>
                <c:pt idx="408">
                  <c:v>-12.39585163222249</c:v>
                </c:pt>
                <c:pt idx="409">
                  <c:v>-11.542535059025816</c:v>
                </c:pt>
                <c:pt idx="410">
                  <c:v>-11.542535059025816</c:v>
                </c:pt>
                <c:pt idx="411">
                  <c:v>-11.542535059025816</c:v>
                </c:pt>
                <c:pt idx="412">
                  <c:v>-11.542535059025816</c:v>
                </c:pt>
                <c:pt idx="413">
                  <c:v>-11.542535059025816</c:v>
                </c:pt>
                <c:pt idx="414">
                  <c:v>-11.542535059025816</c:v>
                </c:pt>
                <c:pt idx="415">
                  <c:v>-11.542535059025816</c:v>
                </c:pt>
                <c:pt idx="416">
                  <c:v>-11.542535059025816</c:v>
                </c:pt>
                <c:pt idx="417">
                  <c:v>-11.542535059025816</c:v>
                </c:pt>
                <c:pt idx="418">
                  <c:v>-11.542535059025816</c:v>
                </c:pt>
              </c:numCache>
            </c:numRef>
          </c:val>
          <c:smooth val="1"/>
          <c:extLst>
            <c:ext xmlns:c16="http://schemas.microsoft.com/office/drawing/2014/chart" uri="{C3380CC4-5D6E-409C-BE32-E72D297353CC}">
              <c16:uniqueId val="{00000003-A9A2-414D-A9C7-24E3C5932415}"/>
            </c:ext>
          </c:extLst>
        </c:ser>
        <c:dLbls>
          <c:showLegendKey val="0"/>
          <c:showVal val="0"/>
          <c:showCatName val="0"/>
          <c:showSerName val="0"/>
          <c:showPercent val="0"/>
          <c:showBubbleSize val="0"/>
        </c:dLbls>
        <c:smooth val="0"/>
        <c:axId val="147683023"/>
        <c:axId val="146645279"/>
        <c:extLst>
          <c:ext xmlns:c15="http://schemas.microsoft.com/office/drawing/2012/chart" uri="{02D57815-91ED-43cb-92C2-25804820EDAC}">
            <c15:filteredLineSeries>
              <c15:ser>
                <c:idx val="5"/>
                <c:order val="1"/>
                <c:tx>
                  <c:v>Up (MOC)</c:v>
                </c:tx>
                <c:spPr>
                  <a:ln w="28575" cap="rnd">
                    <a:solidFill>
                      <a:schemeClr val="accent6"/>
                    </a:solidFill>
                    <a:prstDash val="sysDash"/>
                    <a:round/>
                  </a:ln>
                  <a:effectLst/>
                </c:spPr>
                <c:marker>
                  <c:symbol val="none"/>
                </c:marker>
                <c:val>
                  <c:numRef>
                    <c:extLst>
                      <c:ext uri="{02D57815-91ED-43cb-92C2-25804820EDAC}">
                        <c15:formulaRef>
                          <c15:sqref>'2025-Q2'!$AX$4:$AX$350</c15:sqref>
                        </c15:formulaRef>
                      </c:ext>
                    </c:extLst>
                    <c:numCache>
                      <c:formatCode>"$"#,##0</c:formatCode>
                      <c:ptCount val="34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59.839999999999918</c:v>
                      </c:pt>
                      <c:pt idx="40">
                        <c:v>59.839999999999918</c:v>
                      </c:pt>
                      <c:pt idx="41">
                        <c:v>59.839999999999918</c:v>
                      </c:pt>
                      <c:pt idx="42">
                        <c:v>59.839999999999918</c:v>
                      </c:pt>
                      <c:pt idx="43">
                        <c:v>59.839999999999918</c:v>
                      </c:pt>
                      <c:pt idx="44">
                        <c:v>59.839999999999918</c:v>
                      </c:pt>
                      <c:pt idx="45">
                        <c:v>59.839999999999918</c:v>
                      </c:pt>
                      <c:pt idx="46">
                        <c:v>59.839999999999918</c:v>
                      </c:pt>
                      <c:pt idx="47">
                        <c:v>-74.660000000000196</c:v>
                      </c:pt>
                      <c:pt idx="48">
                        <c:v>-74.660000000000196</c:v>
                      </c:pt>
                      <c:pt idx="49">
                        <c:v>-74.660000000000196</c:v>
                      </c:pt>
                      <c:pt idx="50">
                        <c:v>-74.660000000000196</c:v>
                      </c:pt>
                      <c:pt idx="51">
                        <c:v>-74.660000000000196</c:v>
                      </c:pt>
                      <c:pt idx="52">
                        <c:v>-74.660000000000196</c:v>
                      </c:pt>
                      <c:pt idx="53">
                        <c:v>-74.660000000000196</c:v>
                      </c:pt>
                      <c:pt idx="54">
                        <c:v>-74.660000000000196</c:v>
                      </c:pt>
                      <c:pt idx="55">
                        <c:v>-74.660000000000196</c:v>
                      </c:pt>
                      <c:pt idx="56">
                        <c:v>-74.660000000000196</c:v>
                      </c:pt>
                      <c:pt idx="57">
                        <c:v>-74.660000000000196</c:v>
                      </c:pt>
                      <c:pt idx="58">
                        <c:v>-74.660000000000196</c:v>
                      </c:pt>
                      <c:pt idx="59">
                        <c:v>-74.660000000000196</c:v>
                      </c:pt>
                      <c:pt idx="60">
                        <c:v>-74.660000000000196</c:v>
                      </c:pt>
                      <c:pt idx="61">
                        <c:v>-74.660000000000196</c:v>
                      </c:pt>
                      <c:pt idx="62">
                        <c:v>-74.660000000000196</c:v>
                      </c:pt>
                      <c:pt idx="63">
                        <c:v>-74.660000000000196</c:v>
                      </c:pt>
                      <c:pt idx="64">
                        <c:v>-74.660000000000196</c:v>
                      </c:pt>
                      <c:pt idx="65">
                        <c:v>-74.660000000000196</c:v>
                      </c:pt>
                      <c:pt idx="66">
                        <c:v>-74.660000000000196</c:v>
                      </c:pt>
                      <c:pt idx="67">
                        <c:v>-74.660000000000196</c:v>
                      </c:pt>
                      <c:pt idx="68">
                        <c:v>-74.660000000000196</c:v>
                      </c:pt>
                      <c:pt idx="69">
                        <c:v>-54.660000000000196</c:v>
                      </c:pt>
                      <c:pt idx="70">
                        <c:v>-54.660000000000196</c:v>
                      </c:pt>
                      <c:pt idx="71">
                        <c:v>-66.900000000000205</c:v>
                      </c:pt>
                      <c:pt idx="72">
                        <c:v>-66.900000000000205</c:v>
                      </c:pt>
                      <c:pt idx="73">
                        <c:v>-66.900000000000205</c:v>
                      </c:pt>
                      <c:pt idx="74">
                        <c:v>-66.900000000000205</c:v>
                      </c:pt>
                      <c:pt idx="75">
                        <c:v>-66.900000000000205</c:v>
                      </c:pt>
                      <c:pt idx="76">
                        <c:v>-66.900000000000205</c:v>
                      </c:pt>
                      <c:pt idx="77">
                        <c:v>-66.900000000000205</c:v>
                      </c:pt>
                      <c:pt idx="78">
                        <c:v>-66.900000000000205</c:v>
                      </c:pt>
                      <c:pt idx="79">
                        <c:v>-66.900000000000205</c:v>
                      </c:pt>
                      <c:pt idx="80">
                        <c:v>-66.900000000000205</c:v>
                      </c:pt>
                      <c:pt idx="81">
                        <c:v>-66.900000000000205</c:v>
                      </c:pt>
                      <c:pt idx="82">
                        <c:v>-66.900000000000205</c:v>
                      </c:pt>
                      <c:pt idx="83">
                        <c:v>-66.900000000000205</c:v>
                      </c:pt>
                      <c:pt idx="84">
                        <c:v>-66.900000000000205</c:v>
                      </c:pt>
                      <c:pt idx="85">
                        <c:v>-66.900000000000205</c:v>
                      </c:pt>
                      <c:pt idx="86">
                        <c:v>-66.900000000000205</c:v>
                      </c:pt>
                      <c:pt idx="87">
                        <c:v>-66.900000000000205</c:v>
                      </c:pt>
                      <c:pt idx="88">
                        <c:v>-66.900000000000205</c:v>
                      </c:pt>
                      <c:pt idx="89">
                        <c:v>-66.900000000000205</c:v>
                      </c:pt>
                      <c:pt idx="90">
                        <c:v>-66.900000000000205</c:v>
                      </c:pt>
                      <c:pt idx="91">
                        <c:v>-66.900000000000205</c:v>
                      </c:pt>
                      <c:pt idx="92">
                        <c:v>-66.900000000000205</c:v>
                      </c:pt>
                      <c:pt idx="93">
                        <c:v>-66.900000000000205</c:v>
                      </c:pt>
                      <c:pt idx="94">
                        <c:v>-66.900000000000205</c:v>
                      </c:pt>
                      <c:pt idx="95">
                        <c:v>-66.900000000000205</c:v>
                      </c:pt>
                      <c:pt idx="96">
                        <c:v>-66.900000000000205</c:v>
                      </c:pt>
                      <c:pt idx="97">
                        <c:v>-66.900000000000205</c:v>
                      </c:pt>
                      <c:pt idx="98">
                        <c:v>-66.900000000000205</c:v>
                      </c:pt>
                      <c:pt idx="99">
                        <c:v>-66.900000000000205</c:v>
                      </c:pt>
                      <c:pt idx="100">
                        <c:v>-66.900000000000205</c:v>
                      </c:pt>
                      <c:pt idx="101">
                        <c:v>-66.900000000000205</c:v>
                      </c:pt>
                      <c:pt idx="102">
                        <c:v>-66.900000000000205</c:v>
                      </c:pt>
                      <c:pt idx="103">
                        <c:v>-184.54000000000019</c:v>
                      </c:pt>
                      <c:pt idx="104">
                        <c:v>-184.54000000000019</c:v>
                      </c:pt>
                      <c:pt idx="105">
                        <c:v>-184.54000000000019</c:v>
                      </c:pt>
                      <c:pt idx="106">
                        <c:v>-173.34000000000015</c:v>
                      </c:pt>
                      <c:pt idx="107">
                        <c:v>-173.34000000000015</c:v>
                      </c:pt>
                      <c:pt idx="108">
                        <c:v>-173.34000000000015</c:v>
                      </c:pt>
                      <c:pt idx="109">
                        <c:v>-173.34000000000015</c:v>
                      </c:pt>
                      <c:pt idx="110">
                        <c:v>-173.34000000000015</c:v>
                      </c:pt>
                      <c:pt idx="111">
                        <c:v>-173.34000000000015</c:v>
                      </c:pt>
                      <c:pt idx="112">
                        <c:v>-173.34000000000015</c:v>
                      </c:pt>
                      <c:pt idx="113">
                        <c:v>-173.34000000000015</c:v>
                      </c:pt>
                      <c:pt idx="114">
                        <c:v>-173.34000000000015</c:v>
                      </c:pt>
                      <c:pt idx="115">
                        <c:v>-173.34000000000015</c:v>
                      </c:pt>
                      <c:pt idx="116">
                        <c:v>-173.34000000000015</c:v>
                      </c:pt>
                      <c:pt idx="117">
                        <c:v>-173.34000000000015</c:v>
                      </c:pt>
                      <c:pt idx="118">
                        <c:v>-173.34000000000015</c:v>
                      </c:pt>
                      <c:pt idx="119">
                        <c:v>-173.34000000000015</c:v>
                      </c:pt>
                      <c:pt idx="120">
                        <c:v>-173.34000000000015</c:v>
                      </c:pt>
                      <c:pt idx="121">
                        <c:v>-174.74000000000024</c:v>
                      </c:pt>
                      <c:pt idx="122">
                        <c:v>-174.74000000000024</c:v>
                      </c:pt>
                      <c:pt idx="123">
                        <c:v>-174.74000000000024</c:v>
                      </c:pt>
                      <c:pt idx="124">
                        <c:v>-174.74000000000024</c:v>
                      </c:pt>
                      <c:pt idx="125">
                        <c:v>-174.74000000000024</c:v>
                      </c:pt>
                      <c:pt idx="126">
                        <c:v>-174.74000000000024</c:v>
                      </c:pt>
                      <c:pt idx="127">
                        <c:v>-174.74000000000024</c:v>
                      </c:pt>
                      <c:pt idx="128">
                        <c:v>-174.74000000000024</c:v>
                      </c:pt>
                      <c:pt idx="129">
                        <c:v>-174.74000000000024</c:v>
                      </c:pt>
                      <c:pt idx="130">
                        <c:v>-174.74000000000024</c:v>
                      </c:pt>
                      <c:pt idx="131">
                        <c:v>-174.74000000000024</c:v>
                      </c:pt>
                      <c:pt idx="132">
                        <c:v>-174.74000000000024</c:v>
                      </c:pt>
                      <c:pt idx="133">
                        <c:v>-174.74000000000024</c:v>
                      </c:pt>
                      <c:pt idx="134">
                        <c:v>-174.74000000000024</c:v>
                      </c:pt>
                      <c:pt idx="135">
                        <c:v>-174.74000000000024</c:v>
                      </c:pt>
                      <c:pt idx="136">
                        <c:v>-174.74000000000024</c:v>
                      </c:pt>
                      <c:pt idx="137">
                        <c:v>-163.1400000000001</c:v>
                      </c:pt>
                      <c:pt idx="138">
                        <c:v>-163.1400000000001</c:v>
                      </c:pt>
                      <c:pt idx="139">
                        <c:v>-163.1400000000001</c:v>
                      </c:pt>
                      <c:pt idx="140">
                        <c:v>-163.1400000000001</c:v>
                      </c:pt>
                      <c:pt idx="141">
                        <c:v>-163.1400000000001</c:v>
                      </c:pt>
                      <c:pt idx="142">
                        <c:v>-163.1400000000001</c:v>
                      </c:pt>
                      <c:pt idx="143">
                        <c:v>-163.1400000000001</c:v>
                      </c:pt>
                      <c:pt idx="144">
                        <c:v>-163.1400000000001</c:v>
                      </c:pt>
                      <c:pt idx="145">
                        <c:v>-163.1400000000001</c:v>
                      </c:pt>
                      <c:pt idx="146">
                        <c:v>-163.1400000000001</c:v>
                      </c:pt>
                      <c:pt idx="147">
                        <c:v>-163.1400000000001</c:v>
                      </c:pt>
                      <c:pt idx="148">
                        <c:v>-163.1400000000001</c:v>
                      </c:pt>
                      <c:pt idx="149">
                        <c:v>-163.1400000000001</c:v>
                      </c:pt>
                      <c:pt idx="150">
                        <c:v>-163.1400000000001</c:v>
                      </c:pt>
                      <c:pt idx="151">
                        <c:v>-163.1400000000001</c:v>
                      </c:pt>
                      <c:pt idx="152">
                        <c:v>-163.1400000000001</c:v>
                      </c:pt>
                      <c:pt idx="153">
                        <c:v>-163.1400000000001</c:v>
                      </c:pt>
                      <c:pt idx="154">
                        <c:v>-163.1400000000001</c:v>
                      </c:pt>
                      <c:pt idx="155">
                        <c:v>-163.1400000000001</c:v>
                      </c:pt>
                      <c:pt idx="156">
                        <c:v>-163.1400000000001</c:v>
                      </c:pt>
                      <c:pt idx="157">
                        <c:v>-163.1400000000001</c:v>
                      </c:pt>
                      <c:pt idx="158">
                        <c:v>-163.1400000000001</c:v>
                      </c:pt>
                      <c:pt idx="159">
                        <c:v>-163.1400000000001</c:v>
                      </c:pt>
                      <c:pt idx="160">
                        <c:v>-163.1400000000001</c:v>
                      </c:pt>
                      <c:pt idx="161">
                        <c:v>-163.1400000000001</c:v>
                      </c:pt>
                      <c:pt idx="162">
                        <c:v>-163.1400000000001</c:v>
                      </c:pt>
                      <c:pt idx="163">
                        <c:v>-163.1400000000001</c:v>
                      </c:pt>
                      <c:pt idx="164">
                        <c:v>-163.1400000000001</c:v>
                      </c:pt>
                      <c:pt idx="165">
                        <c:v>-163.1400000000001</c:v>
                      </c:pt>
                      <c:pt idx="166">
                        <c:v>-163.1400000000001</c:v>
                      </c:pt>
                      <c:pt idx="167">
                        <c:v>-163.1400000000001</c:v>
                      </c:pt>
                      <c:pt idx="168">
                        <c:v>-163.1400000000001</c:v>
                      </c:pt>
                      <c:pt idx="169">
                        <c:v>-163.1400000000001</c:v>
                      </c:pt>
                      <c:pt idx="170">
                        <c:v>-163.1400000000001</c:v>
                      </c:pt>
                      <c:pt idx="171">
                        <c:v>-163.1400000000001</c:v>
                      </c:pt>
                      <c:pt idx="172">
                        <c:v>-163.1400000000001</c:v>
                      </c:pt>
                      <c:pt idx="173">
                        <c:v>-163.1400000000001</c:v>
                      </c:pt>
                      <c:pt idx="174">
                        <c:v>-163.1400000000001</c:v>
                      </c:pt>
                      <c:pt idx="175">
                        <c:v>-163.1400000000001</c:v>
                      </c:pt>
                      <c:pt idx="176">
                        <c:v>-163.1400000000001</c:v>
                      </c:pt>
                      <c:pt idx="177">
                        <c:v>-163.1400000000001</c:v>
                      </c:pt>
                      <c:pt idx="178">
                        <c:v>-163.1400000000001</c:v>
                      </c:pt>
                      <c:pt idx="179">
                        <c:v>-163.1400000000001</c:v>
                      </c:pt>
                      <c:pt idx="180">
                        <c:v>-163.1400000000001</c:v>
                      </c:pt>
                      <c:pt idx="181">
                        <c:v>-163.1400000000001</c:v>
                      </c:pt>
                      <c:pt idx="182">
                        <c:v>-163.1400000000001</c:v>
                      </c:pt>
                      <c:pt idx="183">
                        <c:v>-163.1400000000001</c:v>
                      </c:pt>
                      <c:pt idx="184">
                        <c:v>-163.1400000000001</c:v>
                      </c:pt>
                      <c:pt idx="185">
                        <c:v>-163.1400000000001</c:v>
                      </c:pt>
                      <c:pt idx="186">
                        <c:v>-163.1400000000001</c:v>
                      </c:pt>
                      <c:pt idx="187">
                        <c:v>-163.1400000000001</c:v>
                      </c:pt>
                      <c:pt idx="188">
                        <c:v>-163.1400000000001</c:v>
                      </c:pt>
                      <c:pt idx="189">
                        <c:v>-163.1400000000001</c:v>
                      </c:pt>
                      <c:pt idx="190">
                        <c:v>-163.1400000000001</c:v>
                      </c:pt>
                      <c:pt idx="191">
                        <c:v>-163.1400000000001</c:v>
                      </c:pt>
                      <c:pt idx="192">
                        <c:v>-163.1400000000001</c:v>
                      </c:pt>
                      <c:pt idx="193">
                        <c:v>-163.1400000000001</c:v>
                      </c:pt>
                      <c:pt idx="194">
                        <c:v>-163.1400000000001</c:v>
                      </c:pt>
                      <c:pt idx="195">
                        <c:v>-163.1400000000001</c:v>
                      </c:pt>
                      <c:pt idx="196">
                        <c:v>-163.1400000000001</c:v>
                      </c:pt>
                      <c:pt idx="197">
                        <c:v>-163.1400000000001</c:v>
                      </c:pt>
                      <c:pt idx="198">
                        <c:v>-163.1400000000001</c:v>
                      </c:pt>
                      <c:pt idx="199">
                        <c:v>-163.1400000000001</c:v>
                      </c:pt>
                      <c:pt idx="200">
                        <c:v>-181.17000000000007</c:v>
                      </c:pt>
                      <c:pt idx="201">
                        <c:v>-181.17000000000007</c:v>
                      </c:pt>
                      <c:pt idx="202">
                        <c:v>-181.17000000000007</c:v>
                      </c:pt>
                      <c:pt idx="203">
                        <c:v>-151.49</c:v>
                      </c:pt>
                      <c:pt idx="204">
                        <c:v>-151.49</c:v>
                      </c:pt>
                      <c:pt idx="205">
                        <c:v>-151.49</c:v>
                      </c:pt>
                      <c:pt idx="206">
                        <c:v>-151.49</c:v>
                      </c:pt>
                      <c:pt idx="207">
                        <c:v>-151.49</c:v>
                      </c:pt>
                      <c:pt idx="208">
                        <c:v>-151.49</c:v>
                      </c:pt>
                      <c:pt idx="209">
                        <c:v>-151.49</c:v>
                      </c:pt>
                      <c:pt idx="210">
                        <c:v>-151.49</c:v>
                      </c:pt>
                      <c:pt idx="211">
                        <c:v>-151.49</c:v>
                      </c:pt>
                      <c:pt idx="212">
                        <c:v>-151.49</c:v>
                      </c:pt>
                      <c:pt idx="213">
                        <c:v>-151.49</c:v>
                      </c:pt>
                      <c:pt idx="214">
                        <c:v>-151.49</c:v>
                      </c:pt>
                      <c:pt idx="215">
                        <c:v>-151.49</c:v>
                      </c:pt>
                      <c:pt idx="216">
                        <c:v>-151.49</c:v>
                      </c:pt>
                      <c:pt idx="217">
                        <c:v>-85.340000000000032</c:v>
                      </c:pt>
                      <c:pt idx="218">
                        <c:v>-85.340000000000032</c:v>
                      </c:pt>
                      <c:pt idx="219">
                        <c:v>-85.340000000000032</c:v>
                      </c:pt>
                      <c:pt idx="220">
                        <c:v>-85.340000000000032</c:v>
                      </c:pt>
                      <c:pt idx="221">
                        <c:v>-85.340000000000032</c:v>
                      </c:pt>
                      <c:pt idx="222">
                        <c:v>-85.340000000000032</c:v>
                      </c:pt>
                      <c:pt idx="223">
                        <c:v>-142.90000000000009</c:v>
                      </c:pt>
                      <c:pt idx="224">
                        <c:v>-142.90000000000009</c:v>
                      </c:pt>
                      <c:pt idx="225">
                        <c:v>-142.90000000000009</c:v>
                      </c:pt>
                      <c:pt idx="226">
                        <c:v>-142.90000000000009</c:v>
                      </c:pt>
                      <c:pt idx="227">
                        <c:v>-142.90000000000009</c:v>
                      </c:pt>
                      <c:pt idx="228">
                        <c:v>-142.90000000000009</c:v>
                      </c:pt>
                      <c:pt idx="229">
                        <c:v>-142.90000000000009</c:v>
                      </c:pt>
                      <c:pt idx="230">
                        <c:v>-142.90000000000009</c:v>
                      </c:pt>
                      <c:pt idx="231">
                        <c:v>-142.90000000000009</c:v>
                      </c:pt>
                      <c:pt idx="232">
                        <c:v>-142.90000000000009</c:v>
                      </c:pt>
                      <c:pt idx="233">
                        <c:v>-142.90000000000009</c:v>
                      </c:pt>
                      <c:pt idx="234">
                        <c:v>-142.90000000000009</c:v>
                      </c:pt>
                      <c:pt idx="235">
                        <c:v>-142.90000000000009</c:v>
                      </c:pt>
                      <c:pt idx="236">
                        <c:v>-142.90000000000009</c:v>
                      </c:pt>
                      <c:pt idx="237">
                        <c:v>-142.90000000000009</c:v>
                      </c:pt>
                      <c:pt idx="238">
                        <c:v>-142.90000000000009</c:v>
                      </c:pt>
                      <c:pt idx="239">
                        <c:v>-142.90000000000009</c:v>
                      </c:pt>
                      <c:pt idx="240">
                        <c:v>-132.30000000000018</c:v>
                      </c:pt>
                      <c:pt idx="241">
                        <c:v>-132.30000000000018</c:v>
                      </c:pt>
                      <c:pt idx="242">
                        <c:v>-132.30000000000018</c:v>
                      </c:pt>
                      <c:pt idx="243">
                        <c:v>-132.30000000000018</c:v>
                      </c:pt>
                      <c:pt idx="244">
                        <c:v>-132.30000000000018</c:v>
                      </c:pt>
                      <c:pt idx="245">
                        <c:v>-132.30000000000018</c:v>
                      </c:pt>
                      <c:pt idx="246">
                        <c:v>-132.30000000000018</c:v>
                      </c:pt>
                      <c:pt idx="247">
                        <c:v>-132.30000000000018</c:v>
                      </c:pt>
                      <c:pt idx="248">
                        <c:v>-132.30000000000018</c:v>
                      </c:pt>
                      <c:pt idx="249">
                        <c:v>-132.30000000000018</c:v>
                      </c:pt>
                      <c:pt idx="250">
                        <c:v>-132.30000000000018</c:v>
                      </c:pt>
                      <c:pt idx="251">
                        <c:v>-132.30000000000018</c:v>
                      </c:pt>
                      <c:pt idx="252">
                        <c:v>-132.30000000000018</c:v>
                      </c:pt>
                      <c:pt idx="253">
                        <c:v>-132.30000000000018</c:v>
                      </c:pt>
                      <c:pt idx="254">
                        <c:v>-132.30000000000018</c:v>
                      </c:pt>
                      <c:pt idx="255">
                        <c:v>-132.30000000000018</c:v>
                      </c:pt>
                      <c:pt idx="256">
                        <c:v>-132.30000000000018</c:v>
                      </c:pt>
                      <c:pt idx="257">
                        <c:v>-269.63053243920194</c:v>
                      </c:pt>
                      <c:pt idx="258">
                        <c:v>-299.03053243920203</c:v>
                      </c:pt>
                      <c:pt idx="259">
                        <c:v>-299.03053243920203</c:v>
                      </c:pt>
                      <c:pt idx="260">
                        <c:v>-299.03053243920203</c:v>
                      </c:pt>
                      <c:pt idx="261">
                        <c:v>-299.03053243920203</c:v>
                      </c:pt>
                      <c:pt idx="262">
                        <c:v>-299.03053243920203</c:v>
                      </c:pt>
                      <c:pt idx="263">
                        <c:v>-299.03053243920203</c:v>
                      </c:pt>
                      <c:pt idx="264">
                        <c:v>-299.03053243920203</c:v>
                      </c:pt>
                      <c:pt idx="265">
                        <c:v>-299.03053243920203</c:v>
                      </c:pt>
                      <c:pt idx="266">
                        <c:v>-299.03053243920203</c:v>
                      </c:pt>
                      <c:pt idx="267">
                        <c:v>-299.03053243920203</c:v>
                      </c:pt>
                      <c:pt idx="268">
                        <c:v>-299.03053243920203</c:v>
                      </c:pt>
                      <c:pt idx="269">
                        <c:v>-299.03053243920203</c:v>
                      </c:pt>
                      <c:pt idx="270">
                        <c:v>-299.03053243920203</c:v>
                      </c:pt>
                      <c:pt idx="271">
                        <c:v>-299.03053243920203</c:v>
                      </c:pt>
                      <c:pt idx="272">
                        <c:v>-299.03053243920203</c:v>
                      </c:pt>
                      <c:pt idx="273">
                        <c:v>-385.38106797961109</c:v>
                      </c:pt>
                      <c:pt idx="274">
                        <c:v>-385.38106797961109</c:v>
                      </c:pt>
                      <c:pt idx="275">
                        <c:v>-385.38106797961109</c:v>
                      </c:pt>
                      <c:pt idx="276">
                        <c:v>-385.38106797961109</c:v>
                      </c:pt>
                      <c:pt idx="277">
                        <c:v>-377.70106797961103</c:v>
                      </c:pt>
                      <c:pt idx="278">
                        <c:v>-377.70106797961103</c:v>
                      </c:pt>
                      <c:pt idx="279">
                        <c:v>-377.70106797961103</c:v>
                      </c:pt>
                      <c:pt idx="280">
                        <c:v>-377.70106797961103</c:v>
                      </c:pt>
                      <c:pt idx="281">
                        <c:v>-377.70106797961103</c:v>
                      </c:pt>
                      <c:pt idx="282">
                        <c:v>-377.70106797961103</c:v>
                      </c:pt>
                      <c:pt idx="283">
                        <c:v>-377.70106797961103</c:v>
                      </c:pt>
                      <c:pt idx="284">
                        <c:v>-377.70106797961103</c:v>
                      </c:pt>
                      <c:pt idx="285">
                        <c:v>-377.70106797961103</c:v>
                      </c:pt>
                      <c:pt idx="286">
                        <c:v>-377.70106797961103</c:v>
                      </c:pt>
                      <c:pt idx="287">
                        <c:v>-377.70106797961103</c:v>
                      </c:pt>
                      <c:pt idx="288">
                        <c:v>-377.70106797961103</c:v>
                      </c:pt>
                      <c:pt idx="289">
                        <c:v>-377.70106797961103</c:v>
                      </c:pt>
                      <c:pt idx="290">
                        <c:v>-366.42106797961105</c:v>
                      </c:pt>
                      <c:pt idx="291">
                        <c:v>-366.42106797961105</c:v>
                      </c:pt>
                      <c:pt idx="292">
                        <c:v>-366.42106797961105</c:v>
                      </c:pt>
                      <c:pt idx="293">
                        <c:v>-366.42106797961105</c:v>
                      </c:pt>
                      <c:pt idx="294">
                        <c:v>-366.42106797961105</c:v>
                      </c:pt>
                      <c:pt idx="295">
                        <c:v>-394.76106797961097</c:v>
                      </c:pt>
                      <c:pt idx="296">
                        <c:v>-394.76106797961097</c:v>
                      </c:pt>
                      <c:pt idx="297">
                        <c:v>-339.68106797961104</c:v>
                      </c:pt>
                      <c:pt idx="298">
                        <c:v>-339.68106797961104</c:v>
                      </c:pt>
                      <c:pt idx="299">
                        <c:v>-339.68106797961104</c:v>
                      </c:pt>
                      <c:pt idx="300">
                        <c:v>-339.68106797961104</c:v>
                      </c:pt>
                      <c:pt idx="301">
                        <c:v>-339.68106797961104</c:v>
                      </c:pt>
                      <c:pt idx="302">
                        <c:v>-339.68106797961104</c:v>
                      </c:pt>
                      <c:pt idx="303">
                        <c:v>-339.68106797961104</c:v>
                      </c:pt>
                      <c:pt idx="304">
                        <c:v>-438.46106797961124</c:v>
                      </c:pt>
                      <c:pt idx="305">
                        <c:v>-438.46106797961124</c:v>
                      </c:pt>
                      <c:pt idx="306">
                        <c:v>-438.46106797961124</c:v>
                      </c:pt>
                      <c:pt idx="307">
                        <c:v>-438.46106797961124</c:v>
                      </c:pt>
                      <c:pt idx="308">
                        <c:v>-438.46106797961124</c:v>
                      </c:pt>
                      <c:pt idx="309">
                        <c:v>-390.96106797961124</c:v>
                      </c:pt>
                      <c:pt idx="310">
                        <c:v>-390.96106797961124</c:v>
                      </c:pt>
                      <c:pt idx="311">
                        <c:v>-390.96106797961124</c:v>
                      </c:pt>
                      <c:pt idx="312">
                        <c:v>-390.96106797961124</c:v>
                      </c:pt>
                      <c:pt idx="313">
                        <c:v>-349.11106797961111</c:v>
                      </c:pt>
                      <c:pt idx="314">
                        <c:v>-349.11106797961111</c:v>
                      </c:pt>
                      <c:pt idx="315">
                        <c:v>-349.11106797961111</c:v>
                      </c:pt>
                      <c:pt idx="316">
                        <c:v>-342.69106797961103</c:v>
                      </c:pt>
                      <c:pt idx="317">
                        <c:v>-340.17106797961105</c:v>
                      </c:pt>
                      <c:pt idx="318">
                        <c:v>-340.17106797961105</c:v>
                      </c:pt>
                      <c:pt idx="319">
                        <c:v>-340.17106797961105</c:v>
                      </c:pt>
                      <c:pt idx="320">
                        <c:v>-340.17106797961105</c:v>
                      </c:pt>
                      <c:pt idx="321">
                        <c:v>-340.17106797961105</c:v>
                      </c:pt>
                      <c:pt idx="322">
                        <c:v>-340.17106797961105</c:v>
                      </c:pt>
                      <c:pt idx="323">
                        <c:v>-340.17106797961105</c:v>
                      </c:pt>
                      <c:pt idx="324">
                        <c:v>-340.17106797961105</c:v>
                      </c:pt>
                      <c:pt idx="325">
                        <c:v>-340.17106797961105</c:v>
                      </c:pt>
                      <c:pt idx="326">
                        <c:v>-340.17106797961105</c:v>
                      </c:pt>
                      <c:pt idx="327">
                        <c:v>-340.17106797961105</c:v>
                      </c:pt>
                      <c:pt idx="328">
                        <c:v>-340.17106797961105</c:v>
                      </c:pt>
                      <c:pt idx="329">
                        <c:v>-240.66106797961083</c:v>
                      </c:pt>
                      <c:pt idx="330">
                        <c:v>-240.66106797961083</c:v>
                      </c:pt>
                      <c:pt idx="331">
                        <c:v>-240.66106797961083</c:v>
                      </c:pt>
                      <c:pt idx="332">
                        <c:v>-240.66106797961083</c:v>
                      </c:pt>
                      <c:pt idx="333">
                        <c:v>-240.66106797961083</c:v>
                      </c:pt>
                      <c:pt idx="334">
                        <c:v>-178.13106797961063</c:v>
                      </c:pt>
                      <c:pt idx="335">
                        <c:v>-178.13106797961063</c:v>
                      </c:pt>
                      <c:pt idx="336">
                        <c:v>-178.13106797961063</c:v>
                      </c:pt>
                      <c:pt idx="337">
                        <c:v>-178.13106797961063</c:v>
                      </c:pt>
                      <c:pt idx="338">
                        <c:v>-206.13106797961063</c:v>
                      </c:pt>
                      <c:pt idx="339">
                        <c:v>-206.13106797961063</c:v>
                      </c:pt>
                      <c:pt idx="340">
                        <c:v>-206.13106797961063</c:v>
                      </c:pt>
                      <c:pt idx="341">
                        <c:v>-203.43106797961059</c:v>
                      </c:pt>
                      <c:pt idx="342">
                        <c:v>-203.43106797961059</c:v>
                      </c:pt>
                      <c:pt idx="343">
                        <c:v>-203.43106797961059</c:v>
                      </c:pt>
                      <c:pt idx="344">
                        <c:v>-203.43106797961059</c:v>
                      </c:pt>
                      <c:pt idx="345">
                        <c:v>-295.97106797961055</c:v>
                      </c:pt>
                      <c:pt idx="346">
                        <c:v>-295.97106797961055</c:v>
                      </c:pt>
                    </c:numCache>
                  </c:numRef>
                </c:val>
                <c:smooth val="0"/>
                <c:extLst>
                  <c:ext xmlns:c16="http://schemas.microsoft.com/office/drawing/2014/chart" uri="{C3380CC4-5D6E-409C-BE32-E72D297353CC}">
                    <c16:uniqueId val="{00000004-A9A2-414D-A9C7-24E3C5932415}"/>
                  </c:ext>
                </c:extLst>
              </c15:ser>
            </c15:filteredLineSeries>
            <c15:filteredLineSeries>
              <c15:ser>
                <c:idx val="4"/>
                <c:order val="4"/>
                <c:tx>
                  <c:v>SW (MOC)</c:v>
                </c:tx>
                <c:spPr>
                  <a:ln w="28575" cap="rnd">
                    <a:solidFill>
                      <a:schemeClr val="accent4">
                        <a:lumMod val="60000"/>
                        <a:lumOff val="40000"/>
                      </a:schemeClr>
                    </a:solidFill>
                    <a:prstDash val="sysDash"/>
                    <a:round/>
                  </a:ln>
                  <a:effectLst/>
                </c:spPr>
                <c:marker>
                  <c:symbol val="none"/>
                </c:marker>
                <c:val>
                  <c:numRef>
                    <c:extLst xmlns:c15="http://schemas.microsoft.com/office/drawing/2012/chart">
                      <c:ext xmlns:c15="http://schemas.microsoft.com/office/drawing/2012/chart" uri="{02D57815-91ED-43cb-92C2-25804820EDAC}">
                        <c15:formulaRef>
                          <c15:sqref>'2025-Q2'!$AV$4:$AV$350</c15:sqref>
                        </c15:formulaRef>
                      </c:ext>
                    </c:extLst>
                    <c:numCache>
                      <c:formatCode>"$"#,##0</c:formatCode>
                      <c:ptCount val="347"/>
                      <c:pt idx="0">
                        <c:v>0</c:v>
                      </c:pt>
                      <c:pt idx="1">
                        <c:v>0</c:v>
                      </c:pt>
                      <c:pt idx="2">
                        <c:v>45.449999999999818</c:v>
                      </c:pt>
                      <c:pt idx="3">
                        <c:v>35.25</c:v>
                      </c:pt>
                      <c:pt idx="4">
                        <c:v>55.25</c:v>
                      </c:pt>
                      <c:pt idx="5">
                        <c:v>70.090000000000146</c:v>
                      </c:pt>
                      <c:pt idx="6">
                        <c:v>85.490000000000236</c:v>
                      </c:pt>
                      <c:pt idx="7">
                        <c:v>158.24</c:v>
                      </c:pt>
                      <c:pt idx="8">
                        <c:v>177.32000000000005</c:v>
                      </c:pt>
                      <c:pt idx="9">
                        <c:v>177.32000000000005</c:v>
                      </c:pt>
                      <c:pt idx="10">
                        <c:v>197.30000000000007</c:v>
                      </c:pt>
                      <c:pt idx="11">
                        <c:v>236.89999999999998</c:v>
                      </c:pt>
                      <c:pt idx="12">
                        <c:v>236.89999999999998</c:v>
                      </c:pt>
                      <c:pt idx="13">
                        <c:v>231.72000000000014</c:v>
                      </c:pt>
                      <c:pt idx="14">
                        <c:v>231.72000000000014</c:v>
                      </c:pt>
                      <c:pt idx="15">
                        <c:v>231.54000000000008</c:v>
                      </c:pt>
                      <c:pt idx="16">
                        <c:v>231.54000000000008</c:v>
                      </c:pt>
                      <c:pt idx="17">
                        <c:v>231.54000000000008</c:v>
                      </c:pt>
                      <c:pt idx="18">
                        <c:v>212.34000000000003</c:v>
                      </c:pt>
                      <c:pt idx="19">
                        <c:v>243.65999999999997</c:v>
                      </c:pt>
                      <c:pt idx="20">
                        <c:v>256.64966594568602</c:v>
                      </c:pt>
                      <c:pt idx="21">
                        <c:v>252.56795937946242</c:v>
                      </c:pt>
                      <c:pt idx="22">
                        <c:v>252.56795937946242</c:v>
                      </c:pt>
                      <c:pt idx="23">
                        <c:v>258.96870149449035</c:v>
                      </c:pt>
                      <c:pt idx="24">
                        <c:v>281.78870149449051</c:v>
                      </c:pt>
                      <c:pt idx="25">
                        <c:v>19.92870149449061</c:v>
                      </c:pt>
                      <c:pt idx="26">
                        <c:v>19.92870149449061</c:v>
                      </c:pt>
                      <c:pt idx="27">
                        <c:v>19.92870149449061</c:v>
                      </c:pt>
                      <c:pt idx="28">
                        <c:v>19.92870149449061</c:v>
                      </c:pt>
                      <c:pt idx="29">
                        <c:v>26.67870149449061</c:v>
                      </c:pt>
                      <c:pt idx="30">
                        <c:v>26.67870149449061</c:v>
                      </c:pt>
                      <c:pt idx="31">
                        <c:v>26.67870149449061</c:v>
                      </c:pt>
                      <c:pt idx="32">
                        <c:v>26.67870149449061</c:v>
                      </c:pt>
                      <c:pt idx="33">
                        <c:v>18.628701494490656</c:v>
                      </c:pt>
                      <c:pt idx="34">
                        <c:v>-37.621298505509344</c:v>
                      </c:pt>
                      <c:pt idx="35">
                        <c:v>-117.30129850550941</c:v>
                      </c:pt>
                      <c:pt idx="36">
                        <c:v>-117.30129850550941</c:v>
                      </c:pt>
                      <c:pt idx="37">
                        <c:v>-136.55129850550941</c:v>
                      </c:pt>
                      <c:pt idx="38">
                        <c:v>-121.67129850550941</c:v>
                      </c:pt>
                      <c:pt idx="39">
                        <c:v>-121.67129850550941</c:v>
                      </c:pt>
                      <c:pt idx="40">
                        <c:v>-121.67129850550941</c:v>
                      </c:pt>
                      <c:pt idx="41">
                        <c:v>-121.67129850550941</c:v>
                      </c:pt>
                      <c:pt idx="42">
                        <c:v>-121.67129850550941</c:v>
                      </c:pt>
                      <c:pt idx="43">
                        <c:v>-45.861298505509467</c:v>
                      </c:pt>
                      <c:pt idx="44">
                        <c:v>-39.361298505509467</c:v>
                      </c:pt>
                      <c:pt idx="45">
                        <c:v>-28.111298505509467</c:v>
                      </c:pt>
                      <c:pt idx="46">
                        <c:v>-28.111298505509467</c:v>
                      </c:pt>
                      <c:pt idx="47">
                        <c:v>-28.111298505509467</c:v>
                      </c:pt>
                      <c:pt idx="48">
                        <c:v>-28.111298505509467</c:v>
                      </c:pt>
                      <c:pt idx="49">
                        <c:v>-142.53968337706056</c:v>
                      </c:pt>
                      <c:pt idx="50">
                        <c:v>-160.4474473522157</c:v>
                      </c:pt>
                      <c:pt idx="51">
                        <c:v>-68.287447352215622</c:v>
                      </c:pt>
                      <c:pt idx="52">
                        <c:v>-68.287447352215622</c:v>
                      </c:pt>
                      <c:pt idx="53">
                        <c:v>-33.00744735221565</c:v>
                      </c:pt>
                      <c:pt idx="54">
                        <c:v>-14.627447352215654</c:v>
                      </c:pt>
                      <c:pt idx="55">
                        <c:v>-14.627447352215654</c:v>
                      </c:pt>
                      <c:pt idx="56">
                        <c:v>-64.227447352215677</c:v>
                      </c:pt>
                      <c:pt idx="57">
                        <c:v>-64.227447352215677</c:v>
                      </c:pt>
                      <c:pt idx="58">
                        <c:v>-32.927447352215609</c:v>
                      </c:pt>
                      <c:pt idx="59">
                        <c:v>5.1725526477844141</c:v>
                      </c:pt>
                      <c:pt idx="60">
                        <c:v>7.8725526477844596</c:v>
                      </c:pt>
                      <c:pt idx="61">
                        <c:v>37.932552647784405</c:v>
                      </c:pt>
                      <c:pt idx="62">
                        <c:v>102.73255264778447</c:v>
                      </c:pt>
                      <c:pt idx="63">
                        <c:v>118.39255264778456</c:v>
                      </c:pt>
                      <c:pt idx="64">
                        <c:v>125.29255264778453</c:v>
                      </c:pt>
                      <c:pt idx="65">
                        <c:v>174.54255264778453</c:v>
                      </c:pt>
                      <c:pt idx="66">
                        <c:v>174.54255264778453</c:v>
                      </c:pt>
                      <c:pt idx="67">
                        <c:v>174.54255264778453</c:v>
                      </c:pt>
                      <c:pt idx="68">
                        <c:v>174.54255264778453</c:v>
                      </c:pt>
                      <c:pt idx="69">
                        <c:v>174.54255264778453</c:v>
                      </c:pt>
                      <c:pt idx="70">
                        <c:v>174.54255264778453</c:v>
                      </c:pt>
                      <c:pt idx="71">
                        <c:v>174.54255264778453</c:v>
                      </c:pt>
                      <c:pt idx="72">
                        <c:v>215.38255264778456</c:v>
                      </c:pt>
                      <c:pt idx="73">
                        <c:v>188.17255264778453</c:v>
                      </c:pt>
                      <c:pt idx="74">
                        <c:v>219.13255264778456</c:v>
                      </c:pt>
                      <c:pt idx="75">
                        <c:v>165.93255264778452</c:v>
                      </c:pt>
                      <c:pt idx="76">
                        <c:v>215.8325526477845</c:v>
                      </c:pt>
                      <c:pt idx="77">
                        <c:v>259.68255264778452</c:v>
                      </c:pt>
                      <c:pt idx="78">
                        <c:v>195.08255264778461</c:v>
                      </c:pt>
                      <c:pt idx="79">
                        <c:v>195.08255264778461</c:v>
                      </c:pt>
                      <c:pt idx="80">
                        <c:v>208.3425526477846</c:v>
                      </c:pt>
                      <c:pt idx="81">
                        <c:v>208.3425526477846</c:v>
                      </c:pt>
                      <c:pt idx="82">
                        <c:v>208.3425526477846</c:v>
                      </c:pt>
                      <c:pt idx="83">
                        <c:v>236.54255264778465</c:v>
                      </c:pt>
                      <c:pt idx="84">
                        <c:v>75.742552647784692</c:v>
                      </c:pt>
                      <c:pt idx="85">
                        <c:v>75.742552647784692</c:v>
                      </c:pt>
                      <c:pt idx="86">
                        <c:v>44.742552647784692</c:v>
                      </c:pt>
                      <c:pt idx="87">
                        <c:v>44.742552647784692</c:v>
                      </c:pt>
                      <c:pt idx="88">
                        <c:v>44.742552647784692</c:v>
                      </c:pt>
                      <c:pt idx="89">
                        <c:v>59.622552647784573</c:v>
                      </c:pt>
                      <c:pt idx="90">
                        <c:v>59.622552647784573</c:v>
                      </c:pt>
                      <c:pt idx="91">
                        <c:v>59.622552647784573</c:v>
                      </c:pt>
                      <c:pt idx="92">
                        <c:v>59.622552647784573</c:v>
                      </c:pt>
                      <c:pt idx="93">
                        <c:v>30.959567043367201</c:v>
                      </c:pt>
                      <c:pt idx="94">
                        <c:v>47.809567043367224</c:v>
                      </c:pt>
                      <c:pt idx="95">
                        <c:v>47.809567043367224</c:v>
                      </c:pt>
                      <c:pt idx="96">
                        <c:v>47.809567043367224</c:v>
                      </c:pt>
                      <c:pt idx="97">
                        <c:v>47.809567043367224</c:v>
                      </c:pt>
                      <c:pt idx="98">
                        <c:v>47.809567043367224</c:v>
                      </c:pt>
                      <c:pt idx="99">
                        <c:v>-49.590432956632867</c:v>
                      </c:pt>
                      <c:pt idx="100">
                        <c:v>-49.590432956632867</c:v>
                      </c:pt>
                      <c:pt idx="101">
                        <c:v>-67.840432956632867</c:v>
                      </c:pt>
                      <c:pt idx="102">
                        <c:v>-68.000432956632835</c:v>
                      </c:pt>
                      <c:pt idx="103">
                        <c:v>-68.000432956632835</c:v>
                      </c:pt>
                      <c:pt idx="104">
                        <c:v>-71.840432956632753</c:v>
                      </c:pt>
                      <c:pt idx="105">
                        <c:v>-71.840432956632753</c:v>
                      </c:pt>
                      <c:pt idx="106">
                        <c:v>-71.840432956632753</c:v>
                      </c:pt>
                      <c:pt idx="107">
                        <c:v>-136.64043295663271</c:v>
                      </c:pt>
                      <c:pt idx="108">
                        <c:v>-122.36043295663274</c:v>
                      </c:pt>
                      <c:pt idx="109">
                        <c:v>-176.00043295663284</c:v>
                      </c:pt>
                      <c:pt idx="110">
                        <c:v>-176.00043295663284</c:v>
                      </c:pt>
                      <c:pt idx="111">
                        <c:v>-176.00043295663284</c:v>
                      </c:pt>
                      <c:pt idx="112">
                        <c:v>-216.47043295663286</c:v>
                      </c:pt>
                      <c:pt idx="113">
                        <c:v>-188.0787935487491</c:v>
                      </c:pt>
                      <c:pt idx="114">
                        <c:v>-175.97879354874919</c:v>
                      </c:pt>
                      <c:pt idx="115">
                        <c:v>-61.018793548749386</c:v>
                      </c:pt>
                      <c:pt idx="116">
                        <c:v>-61.018793548749386</c:v>
                      </c:pt>
                      <c:pt idx="117">
                        <c:v>-61.018793548749386</c:v>
                      </c:pt>
                      <c:pt idx="118">
                        <c:v>-25.19879354874945</c:v>
                      </c:pt>
                      <c:pt idx="119">
                        <c:v>-31.378793548749513</c:v>
                      </c:pt>
                      <c:pt idx="120">
                        <c:v>-31.378793548749513</c:v>
                      </c:pt>
                      <c:pt idx="121">
                        <c:v>-31.378793548749513</c:v>
                      </c:pt>
                      <c:pt idx="122">
                        <c:v>-100.2787935487496</c:v>
                      </c:pt>
                      <c:pt idx="123">
                        <c:v>-109.67879354874947</c:v>
                      </c:pt>
                      <c:pt idx="124">
                        <c:v>-109.67879354874947</c:v>
                      </c:pt>
                      <c:pt idx="125">
                        <c:v>-43.758793548749395</c:v>
                      </c:pt>
                      <c:pt idx="126">
                        <c:v>-42.408793548749259</c:v>
                      </c:pt>
                      <c:pt idx="127">
                        <c:v>-42.408793548749259</c:v>
                      </c:pt>
                      <c:pt idx="128">
                        <c:v>-18.358793548749304</c:v>
                      </c:pt>
                      <c:pt idx="129">
                        <c:v>-18.358793548749304</c:v>
                      </c:pt>
                      <c:pt idx="130">
                        <c:v>24.921206451250669</c:v>
                      </c:pt>
                      <c:pt idx="131">
                        <c:v>24.921206451250669</c:v>
                      </c:pt>
                      <c:pt idx="132">
                        <c:v>18.921206451250555</c:v>
                      </c:pt>
                      <c:pt idx="133">
                        <c:v>18.921206451250555</c:v>
                      </c:pt>
                      <c:pt idx="134">
                        <c:v>18.921206451250555</c:v>
                      </c:pt>
                      <c:pt idx="135">
                        <c:v>18.921206451250555</c:v>
                      </c:pt>
                      <c:pt idx="136">
                        <c:v>18.921206451250555</c:v>
                      </c:pt>
                      <c:pt idx="137">
                        <c:v>18.921206451250555</c:v>
                      </c:pt>
                      <c:pt idx="138">
                        <c:v>18.921206451250555</c:v>
                      </c:pt>
                      <c:pt idx="139">
                        <c:v>18.921206451250555</c:v>
                      </c:pt>
                      <c:pt idx="140">
                        <c:v>26.761206451250359</c:v>
                      </c:pt>
                      <c:pt idx="141">
                        <c:v>26.761206451250359</c:v>
                      </c:pt>
                      <c:pt idx="142">
                        <c:v>26.761206451250359</c:v>
                      </c:pt>
                      <c:pt idx="143">
                        <c:v>26.761206451250359</c:v>
                      </c:pt>
                      <c:pt idx="144">
                        <c:v>26.761206451250359</c:v>
                      </c:pt>
                      <c:pt idx="145">
                        <c:v>26.761206451250359</c:v>
                      </c:pt>
                      <c:pt idx="146">
                        <c:v>26.761206451250359</c:v>
                      </c:pt>
                      <c:pt idx="147">
                        <c:v>26.761206451250359</c:v>
                      </c:pt>
                      <c:pt idx="148">
                        <c:v>32.011206451250359</c:v>
                      </c:pt>
                      <c:pt idx="149">
                        <c:v>82.511206451250359</c:v>
                      </c:pt>
                      <c:pt idx="150">
                        <c:v>113.42120645125044</c:v>
                      </c:pt>
                      <c:pt idx="151">
                        <c:v>236.01120645125059</c:v>
                      </c:pt>
                      <c:pt idx="152">
                        <c:v>236.01120645125059</c:v>
                      </c:pt>
                      <c:pt idx="153">
                        <c:v>178.41120645125056</c:v>
                      </c:pt>
                      <c:pt idx="154">
                        <c:v>190.35120645125062</c:v>
                      </c:pt>
                      <c:pt idx="155">
                        <c:v>171.54120645125067</c:v>
                      </c:pt>
                      <c:pt idx="156">
                        <c:v>171.54120645125067</c:v>
                      </c:pt>
                      <c:pt idx="157">
                        <c:v>175.84120645125066</c:v>
                      </c:pt>
                      <c:pt idx="158">
                        <c:v>141.43120645125069</c:v>
                      </c:pt>
                      <c:pt idx="159">
                        <c:v>48.131206451250733</c:v>
                      </c:pt>
                      <c:pt idx="160">
                        <c:v>85.331206451250551</c:v>
                      </c:pt>
                      <c:pt idx="161">
                        <c:v>118.93120645125057</c:v>
                      </c:pt>
                      <c:pt idx="162">
                        <c:v>118.93120645125057</c:v>
                      </c:pt>
                      <c:pt idx="163">
                        <c:v>118.93120645125057</c:v>
                      </c:pt>
                      <c:pt idx="164">
                        <c:v>126.41120645125059</c:v>
                      </c:pt>
                      <c:pt idx="165">
                        <c:v>216.02120645125072</c:v>
                      </c:pt>
                      <c:pt idx="166">
                        <c:v>208.66120645125071</c:v>
                      </c:pt>
                      <c:pt idx="167">
                        <c:v>227.98120645125087</c:v>
                      </c:pt>
                      <c:pt idx="168">
                        <c:v>227.98120645125087</c:v>
                      </c:pt>
                      <c:pt idx="169">
                        <c:v>247.23120645125087</c:v>
                      </c:pt>
                      <c:pt idx="170">
                        <c:v>247.23120645125087</c:v>
                      </c:pt>
                      <c:pt idx="171">
                        <c:v>161.08120645125089</c:v>
                      </c:pt>
                      <c:pt idx="172">
                        <c:v>161.08120645125089</c:v>
                      </c:pt>
                      <c:pt idx="173">
                        <c:v>229.00120645125085</c:v>
                      </c:pt>
                      <c:pt idx="174">
                        <c:v>229.00120645125085</c:v>
                      </c:pt>
                      <c:pt idx="175">
                        <c:v>319.42120645125067</c:v>
                      </c:pt>
                      <c:pt idx="176">
                        <c:v>319.42120645125067</c:v>
                      </c:pt>
                      <c:pt idx="177">
                        <c:v>365.84120645125074</c:v>
                      </c:pt>
                      <c:pt idx="178">
                        <c:v>365.84120645125074</c:v>
                      </c:pt>
                      <c:pt idx="179">
                        <c:v>365.84120645125074</c:v>
                      </c:pt>
                      <c:pt idx="180">
                        <c:v>314.2412064512506</c:v>
                      </c:pt>
                      <c:pt idx="181">
                        <c:v>307.34120645125074</c:v>
                      </c:pt>
                      <c:pt idx="182">
                        <c:v>332.24120645125083</c:v>
                      </c:pt>
                      <c:pt idx="183">
                        <c:v>339.09120645125086</c:v>
                      </c:pt>
                      <c:pt idx="184">
                        <c:v>339.09120645125086</c:v>
                      </c:pt>
                      <c:pt idx="185">
                        <c:v>339.09120645125086</c:v>
                      </c:pt>
                      <c:pt idx="186">
                        <c:v>339.09120645125086</c:v>
                      </c:pt>
                      <c:pt idx="187">
                        <c:v>331.25120645125094</c:v>
                      </c:pt>
                      <c:pt idx="188">
                        <c:v>331.25120645125094</c:v>
                      </c:pt>
                      <c:pt idx="189">
                        <c:v>331.25120645125094</c:v>
                      </c:pt>
                      <c:pt idx="190">
                        <c:v>271.49120645125095</c:v>
                      </c:pt>
                      <c:pt idx="191">
                        <c:v>271.49120645125095</c:v>
                      </c:pt>
                      <c:pt idx="192">
                        <c:v>218.73120645125073</c:v>
                      </c:pt>
                      <c:pt idx="193">
                        <c:v>218.73120645125073</c:v>
                      </c:pt>
                      <c:pt idx="194">
                        <c:v>218.73120645125073</c:v>
                      </c:pt>
                      <c:pt idx="195">
                        <c:v>158.55120645125089</c:v>
                      </c:pt>
                      <c:pt idx="196">
                        <c:v>155.69120645125099</c:v>
                      </c:pt>
                      <c:pt idx="197">
                        <c:v>155.69120645125099</c:v>
                      </c:pt>
                      <c:pt idx="198">
                        <c:v>155.69120645125099</c:v>
                      </c:pt>
                      <c:pt idx="199">
                        <c:v>155.69120645125099</c:v>
                      </c:pt>
                      <c:pt idx="200">
                        <c:v>155.69120645125099</c:v>
                      </c:pt>
                      <c:pt idx="201">
                        <c:v>155.69120645125099</c:v>
                      </c:pt>
                      <c:pt idx="202">
                        <c:v>165.81120645125111</c:v>
                      </c:pt>
                      <c:pt idx="203">
                        <c:v>165.81120645125111</c:v>
                      </c:pt>
                      <c:pt idx="204">
                        <c:v>194.93120645125123</c:v>
                      </c:pt>
                      <c:pt idx="205">
                        <c:v>118.37120645125117</c:v>
                      </c:pt>
                      <c:pt idx="206">
                        <c:v>195.83120645125121</c:v>
                      </c:pt>
                      <c:pt idx="207">
                        <c:v>195.83120645125121</c:v>
                      </c:pt>
                      <c:pt idx="208">
                        <c:v>181.91120645125113</c:v>
                      </c:pt>
                      <c:pt idx="209">
                        <c:v>181.91120645125113</c:v>
                      </c:pt>
                      <c:pt idx="210">
                        <c:v>77.06120645125111</c:v>
                      </c:pt>
                      <c:pt idx="211">
                        <c:v>66.701206451251096</c:v>
                      </c:pt>
                      <c:pt idx="212">
                        <c:v>85.211399342838945</c:v>
                      </c:pt>
                      <c:pt idx="213">
                        <c:v>85.211399342838945</c:v>
                      </c:pt>
                      <c:pt idx="214">
                        <c:v>85.211399342838945</c:v>
                      </c:pt>
                      <c:pt idx="215">
                        <c:v>85.211399342838945</c:v>
                      </c:pt>
                      <c:pt idx="216">
                        <c:v>129.05139934283909</c:v>
                      </c:pt>
                      <c:pt idx="217">
                        <c:v>129.05139934283909</c:v>
                      </c:pt>
                      <c:pt idx="218">
                        <c:v>129.05139934283909</c:v>
                      </c:pt>
                      <c:pt idx="219">
                        <c:v>246.01139934283913</c:v>
                      </c:pt>
                      <c:pt idx="220">
                        <c:v>246.01139934283913</c:v>
                      </c:pt>
                      <c:pt idx="221">
                        <c:v>231.71139934283894</c:v>
                      </c:pt>
                      <c:pt idx="222">
                        <c:v>231.71139934283894</c:v>
                      </c:pt>
                      <c:pt idx="223">
                        <c:v>231.71139934283894</c:v>
                      </c:pt>
                      <c:pt idx="224">
                        <c:v>302.23139934283893</c:v>
                      </c:pt>
                      <c:pt idx="225">
                        <c:v>302.23139934283893</c:v>
                      </c:pt>
                      <c:pt idx="226">
                        <c:v>199.28139934283888</c:v>
                      </c:pt>
                      <c:pt idx="227">
                        <c:v>199.28139934283888</c:v>
                      </c:pt>
                      <c:pt idx="228">
                        <c:v>216.20139934283895</c:v>
                      </c:pt>
                      <c:pt idx="229">
                        <c:v>255.68139934283897</c:v>
                      </c:pt>
                      <c:pt idx="230">
                        <c:v>255.68139934283897</c:v>
                      </c:pt>
                      <c:pt idx="231">
                        <c:v>213.14249066104651</c:v>
                      </c:pt>
                      <c:pt idx="232">
                        <c:v>266.9024906610465</c:v>
                      </c:pt>
                      <c:pt idx="233">
                        <c:v>256.66249066104672</c:v>
                      </c:pt>
                      <c:pt idx="234">
                        <c:v>256.66249066104672</c:v>
                      </c:pt>
                      <c:pt idx="235">
                        <c:v>256.66249066104672</c:v>
                      </c:pt>
                      <c:pt idx="236">
                        <c:v>256.66249066104672</c:v>
                      </c:pt>
                      <c:pt idx="237">
                        <c:v>264.4624906610469</c:v>
                      </c:pt>
                      <c:pt idx="238">
                        <c:v>167.92249066104694</c:v>
                      </c:pt>
                      <c:pt idx="239">
                        <c:v>187.36249066104699</c:v>
                      </c:pt>
                      <c:pt idx="240">
                        <c:v>187.36249066104699</c:v>
                      </c:pt>
                      <c:pt idx="241">
                        <c:v>187.36249066104699</c:v>
                      </c:pt>
                      <c:pt idx="242">
                        <c:v>186.04249066104705</c:v>
                      </c:pt>
                      <c:pt idx="243">
                        <c:v>186.04249066104705</c:v>
                      </c:pt>
                      <c:pt idx="244">
                        <c:v>87.822490661047027</c:v>
                      </c:pt>
                      <c:pt idx="245">
                        <c:v>87.822490661047027</c:v>
                      </c:pt>
                      <c:pt idx="246">
                        <c:v>87.822490661047027</c:v>
                      </c:pt>
                      <c:pt idx="247">
                        <c:v>87.822490661047027</c:v>
                      </c:pt>
                      <c:pt idx="248">
                        <c:v>87.822490661047027</c:v>
                      </c:pt>
                      <c:pt idx="249">
                        <c:v>87.822490661047027</c:v>
                      </c:pt>
                      <c:pt idx="250">
                        <c:v>87.822490661047027</c:v>
                      </c:pt>
                      <c:pt idx="251">
                        <c:v>-6.3775093389530184</c:v>
                      </c:pt>
                      <c:pt idx="252">
                        <c:v>3.4224906610469361</c:v>
                      </c:pt>
                      <c:pt idx="253">
                        <c:v>3.4224906610469361</c:v>
                      </c:pt>
                      <c:pt idx="254">
                        <c:v>3.4224906610469361</c:v>
                      </c:pt>
                      <c:pt idx="255">
                        <c:v>3.4224906610469361</c:v>
                      </c:pt>
                      <c:pt idx="256">
                        <c:v>33.122490661046754</c:v>
                      </c:pt>
                      <c:pt idx="257">
                        <c:v>33.122490661046754</c:v>
                      </c:pt>
                      <c:pt idx="258">
                        <c:v>33.122490661046754</c:v>
                      </c:pt>
                      <c:pt idx="259">
                        <c:v>33.122490661046754</c:v>
                      </c:pt>
                      <c:pt idx="260">
                        <c:v>33.122490661046754</c:v>
                      </c:pt>
                      <c:pt idx="261">
                        <c:v>33.122490661046754</c:v>
                      </c:pt>
                      <c:pt idx="262">
                        <c:v>33.122490661046754</c:v>
                      </c:pt>
                      <c:pt idx="263">
                        <c:v>-3.3275093389532913</c:v>
                      </c:pt>
                      <c:pt idx="264">
                        <c:v>-3.3275093389532913</c:v>
                      </c:pt>
                      <c:pt idx="265">
                        <c:v>-3.3275093389532913</c:v>
                      </c:pt>
                      <c:pt idx="266">
                        <c:v>20.122490661046527</c:v>
                      </c:pt>
                      <c:pt idx="267">
                        <c:v>20.122490661046527</c:v>
                      </c:pt>
                      <c:pt idx="268">
                        <c:v>20.122490661046527</c:v>
                      </c:pt>
                      <c:pt idx="269">
                        <c:v>20.122490661046527</c:v>
                      </c:pt>
                      <c:pt idx="270">
                        <c:v>20.122490661046527</c:v>
                      </c:pt>
                      <c:pt idx="271">
                        <c:v>20.122490661046527</c:v>
                      </c:pt>
                      <c:pt idx="272">
                        <c:v>20.122490661046527</c:v>
                      </c:pt>
                      <c:pt idx="273">
                        <c:v>20.122490661046527</c:v>
                      </c:pt>
                      <c:pt idx="274">
                        <c:v>20.122490661046527</c:v>
                      </c:pt>
                      <c:pt idx="275">
                        <c:v>20.122490661046527</c:v>
                      </c:pt>
                      <c:pt idx="276">
                        <c:v>20.122490661046527</c:v>
                      </c:pt>
                      <c:pt idx="277">
                        <c:v>20.122490661046527</c:v>
                      </c:pt>
                      <c:pt idx="278">
                        <c:v>20.122490661046527</c:v>
                      </c:pt>
                      <c:pt idx="279">
                        <c:v>20.122490661046527</c:v>
                      </c:pt>
                      <c:pt idx="280">
                        <c:v>15.562490661046581</c:v>
                      </c:pt>
                      <c:pt idx="281">
                        <c:v>-40.597509338953273</c:v>
                      </c:pt>
                      <c:pt idx="282">
                        <c:v>-40.597509338953273</c:v>
                      </c:pt>
                      <c:pt idx="283">
                        <c:v>-40.597509338953273</c:v>
                      </c:pt>
                      <c:pt idx="284">
                        <c:v>-7.2975093389533185</c:v>
                      </c:pt>
                      <c:pt idx="285">
                        <c:v>-7.2975093389533185</c:v>
                      </c:pt>
                      <c:pt idx="286">
                        <c:v>1.1024906610467724</c:v>
                      </c:pt>
                      <c:pt idx="287">
                        <c:v>1.1024906610467724</c:v>
                      </c:pt>
                      <c:pt idx="288">
                        <c:v>151.70249066104691</c:v>
                      </c:pt>
                      <c:pt idx="289">
                        <c:v>151.70249066104691</c:v>
                      </c:pt>
                      <c:pt idx="290">
                        <c:v>151.70249066104691</c:v>
                      </c:pt>
                      <c:pt idx="291">
                        <c:v>151.70249066104691</c:v>
                      </c:pt>
                      <c:pt idx="292">
                        <c:v>151.70249066104691</c:v>
                      </c:pt>
                      <c:pt idx="293">
                        <c:v>148.00249066104664</c:v>
                      </c:pt>
                      <c:pt idx="294">
                        <c:v>148.00249066104664</c:v>
                      </c:pt>
                      <c:pt idx="295">
                        <c:v>148.00249066104664</c:v>
                      </c:pt>
                      <c:pt idx="296">
                        <c:v>148.00249066104664</c:v>
                      </c:pt>
                      <c:pt idx="297">
                        <c:v>148.00249066104664</c:v>
                      </c:pt>
                      <c:pt idx="298">
                        <c:v>148.00249066104664</c:v>
                      </c:pt>
                      <c:pt idx="299">
                        <c:v>121.60249066104666</c:v>
                      </c:pt>
                      <c:pt idx="300">
                        <c:v>175.24249066104653</c:v>
                      </c:pt>
                      <c:pt idx="301">
                        <c:v>345.26249066104651</c:v>
                      </c:pt>
                      <c:pt idx="302">
                        <c:v>345.26249066104651</c:v>
                      </c:pt>
                      <c:pt idx="303">
                        <c:v>428.48249066104654</c:v>
                      </c:pt>
                      <c:pt idx="304">
                        <c:v>428.48249066104654</c:v>
                      </c:pt>
                      <c:pt idx="305">
                        <c:v>531.88249066104663</c:v>
                      </c:pt>
                      <c:pt idx="306">
                        <c:v>676.08249066104668</c:v>
                      </c:pt>
                      <c:pt idx="307">
                        <c:v>685.53249066104672</c:v>
                      </c:pt>
                      <c:pt idx="308">
                        <c:v>685.53249066104672</c:v>
                      </c:pt>
                      <c:pt idx="309">
                        <c:v>685.53249066104672</c:v>
                      </c:pt>
                      <c:pt idx="310">
                        <c:v>685.53249066104672</c:v>
                      </c:pt>
                      <c:pt idx="311">
                        <c:v>685.53249066104672</c:v>
                      </c:pt>
                      <c:pt idx="312">
                        <c:v>685.53249066104672</c:v>
                      </c:pt>
                      <c:pt idx="313">
                        <c:v>685.53249066104672</c:v>
                      </c:pt>
                      <c:pt idx="314">
                        <c:v>685.53249066104672</c:v>
                      </c:pt>
                      <c:pt idx="315">
                        <c:v>685.53249066104672</c:v>
                      </c:pt>
                      <c:pt idx="316">
                        <c:v>685.53249066104672</c:v>
                      </c:pt>
                      <c:pt idx="317">
                        <c:v>685.53249066104672</c:v>
                      </c:pt>
                      <c:pt idx="318">
                        <c:v>599.43627194988017</c:v>
                      </c:pt>
                      <c:pt idx="319">
                        <c:v>814.11627194988023</c:v>
                      </c:pt>
                      <c:pt idx="320">
                        <c:v>814.11627194988023</c:v>
                      </c:pt>
                      <c:pt idx="321">
                        <c:v>804.91627194988018</c:v>
                      </c:pt>
                      <c:pt idx="322">
                        <c:v>869.71627194988037</c:v>
                      </c:pt>
                      <c:pt idx="323">
                        <c:v>640.46627194988037</c:v>
                      </c:pt>
                      <c:pt idx="324">
                        <c:v>640.46627194988037</c:v>
                      </c:pt>
                      <c:pt idx="325">
                        <c:v>690.46627194988037</c:v>
                      </c:pt>
                      <c:pt idx="326">
                        <c:v>690.46627194988037</c:v>
                      </c:pt>
                      <c:pt idx="327">
                        <c:v>686.86627194988023</c:v>
                      </c:pt>
                      <c:pt idx="328">
                        <c:v>659.41627194988018</c:v>
                      </c:pt>
                      <c:pt idx="329">
                        <c:v>659.41627194988018</c:v>
                      </c:pt>
                      <c:pt idx="330">
                        <c:v>659.41627194988018</c:v>
                      </c:pt>
                      <c:pt idx="331">
                        <c:v>730.45627194988015</c:v>
                      </c:pt>
                      <c:pt idx="332">
                        <c:v>846.73627194988012</c:v>
                      </c:pt>
                      <c:pt idx="333">
                        <c:v>906.13627194988021</c:v>
                      </c:pt>
                      <c:pt idx="334">
                        <c:v>906.13627194988021</c:v>
                      </c:pt>
                      <c:pt idx="335">
                        <c:v>962.59627194988025</c:v>
                      </c:pt>
                      <c:pt idx="336">
                        <c:v>956.35627194988024</c:v>
                      </c:pt>
                      <c:pt idx="337">
                        <c:v>956.35627194988024</c:v>
                      </c:pt>
                      <c:pt idx="338">
                        <c:v>956.35627194988024</c:v>
                      </c:pt>
                      <c:pt idx="339">
                        <c:v>892.09627194988025</c:v>
                      </c:pt>
                      <c:pt idx="340">
                        <c:v>768.40627194988019</c:v>
                      </c:pt>
                      <c:pt idx="341">
                        <c:v>768.40627194988019</c:v>
                      </c:pt>
                      <c:pt idx="342">
                        <c:v>768.40627194988019</c:v>
                      </c:pt>
                      <c:pt idx="343">
                        <c:v>759.08627194988026</c:v>
                      </c:pt>
                      <c:pt idx="344">
                        <c:v>631.52627194988031</c:v>
                      </c:pt>
                      <c:pt idx="345">
                        <c:v>631.52627194988031</c:v>
                      </c:pt>
                      <c:pt idx="346">
                        <c:v>631.52627194988031</c:v>
                      </c:pt>
                    </c:numCache>
                  </c:numRef>
                </c:val>
                <c:smooth val="0"/>
                <c:extLst xmlns:c15="http://schemas.microsoft.com/office/drawing/2012/chart">
                  <c:ext xmlns:c16="http://schemas.microsoft.com/office/drawing/2014/chart" uri="{C3380CC4-5D6E-409C-BE32-E72D297353CC}">
                    <c16:uniqueId val="{00000005-A9A2-414D-A9C7-24E3C5932415}"/>
                  </c:ext>
                </c:extLst>
              </c15:ser>
            </c15:filteredLineSeries>
            <c15:filteredLineSeries>
              <c15:ser>
                <c:idx val="6"/>
                <c:order val="6"/>
                <c:tx>
                  <c:v>Dwn (MOC)</c:v>
                </c:tx>
                <c:spPr>
                  <a:ln w="28575" cap="rnd">
                    <a:solidFill>
                      <a:schemeClr val="accent2">
                        <a:lumMod val="60000"/>
                        <a:lumOff val="40000"/>
                      </a:schemeClr>
                    </a:solidFill>
                    <a:prstDash val="sysDash"/>
                    <a:round/>
                  </a:ln>
                  <a:effectLst/>
                </c:spPr>
                <c:marker>
                  <c:symbol val="none"/>
                </c:marker>
                <c:val>
                  <c:numRef>
                    <c:extLst xmlns:c15="http://schemas.microsoft.com/office/drawing/2012/chart">
                      <c:ext xmlns:c15="http://schemas.microsoft.com/office/drawing/2012/chart" uri="{02D57815-91ED-43cb-92C2-25804820EDAC}">
                        <c15:formulaRef>
                          <c15:sqref>'2025-Q2'!$AZ$4:$AZ$350</c15:sqref>
                        </c15:formulaRef>
                      </c:ext>
                    </c:extLst>
                    <c:numCache>
                      <c:formatCode>"$"#,##0</c:formatCode>
                      <c:ptCount val="347"/>
                      <c:pt idx="0">
                        <c:v>-254.69999999999982</c:v>
                      </c:pt>
                      <c:pt idx="1">
                        <c:v>-262.79999999999973</c:v>
                      </c:pt>
                      <c:pt idx="2">
                        <c:v>-262.79999999999973</c:v>
                      </c:pt>
                      <c:pt idx="3">
                        <c:v>-262.79999999999973</c:v>
                      </c:pt>
                      <c:pt idx="4">
                        <c:v>-262.79999999999973</c:v>
                      </c:pt>
                      <c:pt idx="5">
                        <c:v>-262.79999999999973</c:v>
                      </c:pt>
                      <c:pt idx="6">
                        <c:v>-262.79999999999973</c:v>
                      </c:pt>
                      <c:pt idx="7">
                        <c:v>-262.79999999999973</c:v>
                      </c:pt>
                      <c:pt idx="8">
                        <c:v>-262.79999999999973</c:v>
                      </c:pt>
                      <c:pt idx="9">
                        <c:v>-266.68837290281726</c:v>
                      </c:pt>
                      <c:pt idx="10">
                        <c:v>-266.68837290281726</c:v>
                      </c:pt>
                      <c:pt idx="11">
                        <c:v>-266.68837290281726</c:v>
                      </c:pt>
                      <c:pt idx="12">
                        <c:v>-267.17837290281727</c:v>
                      </c:pt>
                      <c:pt idx="13">
                        <c:v>-267.17837290281727</c:v>
                      </c:pt>
                      <c:pt idx="14">
                        <c:v>-173.75837290281697</c:v>
                      </c:pt>
                      <c:pt idx="15">
                        <c:v>-173.75837290281697</c:v>
                      </c:pt>
                      <c:pt idx="16">
                        <c:v>-89.908372902816836</c:v>
                      </c:pt>
                      <c:pt idx="17">
                        <c:v>-65.608372902816654</c:v>
                      </c:pt>
                      <c:pt idx="18">
                        <c:v>-65.608372902816654</c:v>
                      </c:pt>
                      <c:pt idx="19">
                        <c:v>-65.608372902816654</c:v>
                      </c:pt>
                      <c:pt idx="20">
                        <c:v>-65.608372902816654</c:v>
                      </c:pt>
                      <c:pt idx="21">
                        <c:v>-65.608372902816654</c:v>
                      </c:pt>
                      <c:pt idx="22">
                        <c:v>-79.1383729028164</c:v>
                      </c:pt>
                      <c:pt idx="23">
                        <c:v>-79.1383729028164</c:v>
                      </c:pt>
                      <c:pt idx="24">
                        <c:v>-79.1383729028164</c:v>
                      </c:pt>
                      <c:pt idx="25">
                        <c:v>-79.1383729028164</c:v>
                      </c:pt>
                      <c:pt idx="26">
                        <c:v>-76.1383729028164</c:v>
                      </c:pt>
                      <c:pt idx="27">
                        <c:v>-110.1383729028164</c:v>
                      </c:pt>
                      <c:pt idx="28">
                        <c:v>-118.53837290281626</c:v>
                      </c:pt>
                      <c:pt idx="29">
                        <c:v>-118.53837290281626</c:v>
                      </c:pt>
                      <c:pt idx="30">
                        <c:v>-155.63837290281617</c:v>
                      </c:pt>
                      <c:pt idx="31">
                        <c:v>-148.13837290281617</c:v>
                      </c:pt>
                      <c:pt idx="32">
                        <c:v>-164.13837290281617</c:v>
                      </c:pt>
                      <c:pt idx="33">
                        <c:v>-164.13837290281617</c:v>
                      </c:pt>
                      <c:pt idx="34">
                        <c:v>-164.13837290281617</c:v>
                      </c:pt>
                      <c:pt idx="35">
                        <c:v>-164.13837290281617</c:v>
                      </c:pt>
                      <c:pt idx="36">
                        <c:v>-173.22837290281586</c:v>
                      </c:pt>
                      <c:pt idx="37">
                        <c:v>-173.22837290281586</c:v>
                      </c:pt>
                      <c:pt idx="38">
                        <c:v>-173.22837290281586</c:v>
                      </c:pt>
                      <c:pt idx="39">
                        <c:v>-173.22837290281586</c:v>
                      </c:pt>
                      <c:pt idx="40">
                        <c:v>-322.17837290281591</c:v>
                      </c:pt>
                      <c:pt idx="41">
                        <c:v>-353.47837290281609</c:v>
                      </c:pt>
                      <c:pt idx="42">
                        <c:v>-286.37837290281595</c:v>
                      </c:pt>
                      <c:pt idx="43">
                        <c:v>-286.37837290281595</c:v>
                      </c:pt>
                      <c:pt idx="44">
                        <c:v>-286.37837290281595</c:v>
                      </c:pt>
                      <c:pt idx="45">
                        <c:v>-286.37837290281595</c:v>
                      </c:pt>
                      <c:pt idx="46">
                        <c:v>-336.14837290281594</c:v>
                      </c:pt>
                      <c:pt idx="47">
                        <c:v>-336.14837290281594</c:v>
                      </c:pt>
                      <c:pt idx="48">
                        <c:v>-437.28837290281581</c:v>
                      </c:pt>
                      <c:pt idx="49">
                        <c:v>-437.28837290281581</c:v>
                      </c:pt>
                      <c:pt idx="50">
                        <c:v>-437.28837290281581</c:v>
                      </c:pt>
                      <c:pt idx="51">
                        <c:v>-437.28837290281581</c:v>
                      </c:pt>
                      <c:pt idx="52">
                        <c:v>-546.48837290281585</c:v>
                      </c:pt>
                      <c:pt idx="53">
                        <c:v>-546.48837290281585</c:v>
                      </c:pt>
                      <c:pt idx="54">
                        <c:v>-546.48837290281585</c:v>
                      </c:pt>
                      <c:pt idx="55">
                        <c:v>-539.5683729028159</c:v>
                      </c:pt>
                      <c:pt idx="56">
                        <c:v>-539.5683729028159</c:v>
                      </c:pt>
                      <c:pt idx="57">
                        <c:v>-414.9183729028158</c:v>
                      </c:pt>
                      <c:pt idx="58">
                        <c:v>-414.9183729028158</c:v>
                      </c:pt>
                      <c:pt idx="59">
                        <c:v>-414.9183729028158</c:v>
                      </c:pt>
                      <c:pt idx="60">
                        <c:v>-414.9183729028158</c:v>
                      </c:pt>
                      <c:pt idx="61">
                        <c:v>-414.9183729028158</c:v>
                      </c:pt>
                      <c:pt idx="62">
                        <c:v>-414.9183729028158</c:v>
                      </c:pt>
                      <c:pt idx="63">
                        <c:v>-414.9183729028158</c:v>
                      </c:pt>
                      <c:pt idx="64">
                        <c:v>-414.9183729028158</c:v>
                      </c:pt>
                      <c:pt idx="65">
                        <c:v>-414.9183729028158</c:v>
                      </c:pt>
                      <c:pt idx="66">
                        <c:v>-420.76837290281571</c:v>
                      </c:pt>
                      <c:pt idx="67">
                        <c:v>-414.58837290281565</c:v>
                      </c:pt>
                      <c:pt idx="68">
                        <c:v>-396.2683729028156</c:v>
                      </c:pt>
                      <c:pt idx="69">
                        <c:v>-396.2683729028156</c:v>
                      </c:pt>
                      <c:pt idx="70">
                        <c:v>-368.83837290281554</c:v>
                      </c:pt>
                      <c:pt idx="71">
                        <c:v>-368.83837290281554</c:v>
                      </c:pt>
                      <c:pt idx="72">
                        <c:v>-368.83837290281554</c:v>
                      </c:pt>
                      <c:pt idx="73">
                        <c:v>-368.83837290281554</c:v>
                      </c:pt>
                      <c:pt idx="74">
                        <c:v>-368.83837290281554</c:v>
                      </c:pt>
                      <c:pt idx="75">
                        <c:v>-368.83837290281554</c:v>
                      </c:pt>
                      <c:pt idx="76">
                        <c:v>-368.83837290281554</c:v>
                      </c:pt>
                      <c:pt idx="77">
                        <c:v>-368.83837290281554</c:v>
                      </c:pt>
                      <c:pt idx="78">
                        <c:v>-368.83837290281554</c:v>
                      </c:pt>
                      <c:pt idx="79">
                        <c:v>-423.9721716230016</c:v>
                      </c:pt>
                      <c:pt idx="80">
                        <c:v>-423.9721716230016</c:v>
                      </c:pt>
                      <c:pt idx="81">
                        <c:v>-480.01217162300156</c:v>
                      </c:pt>
                      <c:pt idx="82">
                        <c:v>-530.05217162300164</c:v>
                      </c:pt>
                      <c:pt idx="83">
                        <c:v>-530.05217162300164</c:v>
                      </c:pt>
                      <c:pt idx="84">
                        <c:v>-530.05217162300164</c:v>
                      </c:pt>
                      <c:pt idx="85">
                        <c:v>-591.05217162300175</c:v>
                      </c:pt>
                      <c:pt idx="86">
                        <c:v>-591.05217162300175</c:v>
                      </c:pt>
                      <c:pt idx="87">
                        <c:v>-613.15217162300189</c:v>
                      </c:pt>
                      <c:pt idx="88">
                        <c:v>-595.83217162300184</c:v>
                      </c:pt>
                      <c:pt idx="89">
                        <c:v>-595.83217162300184</c:v>
                      </c:pt>
                      <c:pt idx="90">
                        <c:v>-563.83217162300184</c:v>
                      </c:pt>
                      <c:pt idx="91">
                        <c:v>-555.85217162300182</c:v>
                      </c:pt>
                      <c:pt idx="92">
                        <c:v>-578.65217162300189</c:v>
                      </c:pt>
                      <c:pt idx="93">
                        <c:v>-578.65217162300189</c:v>
                      </c:pt>
                      <c:pt idx="94">
                        <c:v>-578.65217162300189</c:v>
                      </c:pt>
                      <c:pt idx="95">
                        <c:v>-589.652171623002</c:v>
                      </c:pt>
                      <c:pt idx="96">
                        <c:v>-547.95217162300207</c:v>
                      </c:pt>
                      <c:pt idx="97">
                        <c:v>-550.83217162300207</c:v>
                      </c:pt>
                      <c:pt idx="98">
                        <c:v>-588.98217162300205</c:v>
                      </c:pt>
                      <c:pt idx="99">
                        <c:v>-588.98217162300205</c:v>
                      </c:pt>
                      <c:pt idx="100">
                        <c:v>-711.86217162300204</c:v>
                      </c:pt>
                      <c:pt idx="101">
                        <c:v>-711.86217162300204</c:v>
                      </c:pt>
                      <c:pt idx="102">
                        <c:v>-711.86217162300204</c:v>
                      </c:pt>
                      <c:pt idx="103">
                        <c:v>-711.86217162300204</c:v>
                      </c:pt>
                      <c:pt idx="104">
                        <c:v>-711.86217162300204</c:v>
                      </c:pt>
                      <c:pt idx="105">
                        <c:v>-657.08217162300207</c:v>
                      </c:pt>
                      <c:pt idx="106">
                        <c:v>-657.08217162300207</c:v>
                      </c:pt>
                      <c:pt idx="107">
                        <c:v>-657.08217162300207</c:v>
                      </c:pt>
                      <c:pt idx="108">
                        <c:v>-657.08217162300207</c:v>
                      </c:pt>
                      <c:pt idx="109">
                        <c:v>-657.08217162300207</c:v>
                      </c:pt>
                      <c:pt idx="110">
                        <c:v>-646.83217162300218</c:v>
                      </c:pt>
                      <c:pt idx="111">
                        <c:v>-640.35217162300216</c:v>
                      </c:pt>
                      <c:pt idx="112">
                        <c:v>-640.35217162300216</c:v>
                      </c:pt>
                      <c:pt idx="113">
                        <c:v>-640.35217162300216</c:v>
                      </c:pt>
                      <c:pt idx="114">
                        <c:v>-640.35217162300216</c:v>
                      </c:pt>
                      <c:pt idx="115">
                        <c:v>-640.35217162300216</c:v>
                      </c:pt>
                      <c:pt idx="116">
                        <c:v>-643.20217162300207</c:v>
                      </c:pt>
                      <c:pt idx="117">
                        <c:v>-617.95161845366727</c:v>
                      </c:pt>
                      <c:pt idx="118">
                        <c:v>-617.95161845366727</c:v>
                      </c:pt>
                      <c:pt idx="119">
                        <c:v>-617.95161845366727</c:v>
                      </c:pt>
                      <c:pt idx="120">
                        <c:v>-637.75161845366745</c:v>
                      </c:pt>
                      <c:pt idx="121">
                        <c:v>-637.75161845366745</c:v>
                      </c:pt>
                      <c:pt idx="122">
                        <c:v>-637.75161845366745</c:v>
                      </c:pt>
                      <c:pt idx="123">
                        <c:v>-637.75161845366745</c:v>
                      </c:pt>
                      <c:pt idx="124">
                        <c:v>-569.65161845366742</c:v>
                      </c:pt>
                      <c:pt idx="125">
                        <c:v>-569.65161845366742</c:v>
                      </c:pt>
                      <c:pt idx="126">
                        <c:v>-569.65161845366742</c:v>
                      </c:pt>
                      <c:pt idx="127">
                        <c:v>-617.44161845366739</c:v>
                      </c:pt>
                      <c:pt idx="128">
                        <c:v>-617.44161845366739</c:v>
                      </c:pt>
                      <c:pt idx="129">
                        <c:v>-653.28161845366731</c:v>
                      </c:pt>
                      <c:pt idx="130">
                        <c:v>-653.28161845366731</c:v>
                      </c:pt>
                      <c:pt idx="131">
                        <c:v>-678.06161845366728</c:v>
                      </c:pt>
                      <c:pt idx="132">
                        <c:v>-678.06161845366728</c:v>
                      </c:pt>
                      <c:pt idx="133">
                        <c:v>-660.56161845366728</c:v>
                      </c:pt>
                      <c:pt idx="134">
                        <c:v>-658.04161845366718</c:v>
                      </c:pt>
                      <c:pt idx="135">
                        <c:v>-666.32161845366716</c:v>
                      </c:pt>
                      <c:pt idx="136">
                        <c:v>-662.72161845366713</c:v>
                      </c:pt>
                      <c:pt idx="137">
                        <c:v>-662.72161845366713</c:v>
                      </c:pt>
                      <c:pt idx="138">
                        <c:v>-694.54161845366707</c:v>
                      </c:pt>
                      <c:pt idx="139">
                        <c:v>-663.04161845366696</c:v>
                      </c:pt>
                      <c:pt idx="140">
                        <c:v>-663.04161845366696</c:v>
                      </c:pt>
                      <c:pt idx="141">
                        <c:v>-694.56161845366694</c:v>
                      </c:pt>
                      <c:pt idx="142">
                        <c:v>-744.80161845366695</c:v>
                      </c:pt>
                      <c:pt idx="143">
                        <c:v>-767.04161845366673</c:v>
                      </c:pt>
                      <c:pt idx="144">
                        <c:v>-769.08161845366681</c:v>
                      </c:pt>
                      <c:pt idx="145">
                        <c:v>-685.18161845366672</c:v>
                      </c:pt>
                      <c:pt idx="146">
                        <c:v>-709.48161845366667</c:v>
                      </c:pt>
                      <c:pt idx="147">
                        <c:v>-763.63161845366676</c:v>
                      </c:pt>
                      <c:pt idx="148">
                        <c:v>-763.63161845366676</c:v>
                      </c:pt>
                      <c:pt idx="149">
                        <c:v>-763.63161845366676</c:v>
                      </c:pt>
                      <c:pt idx="150">
                        <c:v>-763.63161845366676</c:v>
                      </c:pt>
                      <c:pt idx="151">
                        <c:v>-763.63161845366676</c:v>
                      </c:pt>
                      <c:pt idx="152">
                        <c:v>-639.33161845366681</c:v>
                      </c:pt>
                      <c:pt idx="153">
                        <c:v>-639.33161845366681</c:v>
                      </c:pt>
                      <c:pt idx="154">
                        <c:v>-639.33161845366681</c:v>
                      </c:pt>
                      <c:pt idx="155">
                        <c:v>-639.33161845366681</c:v>
                      </c:pt>
                      <c:pt idx="156">
                        <c:v>-547.97161845366668</c:v>
                      </c:pt>
                      <c:pt idx="157">
                        <c:v>-547.97161845366668</c:v>
                      </c:pt>
                      <c:pt idx="158">
                        <c:v>-547.97161845366668</c:v>
                      </c:pt>
                      <c:pt idx="159">
                        <c:v>-547.97161845366668</c:v>
                      </c:pt>
                      <c:pt idx="160">
                        <c:v>-547.97161845366668</c:v>
                      </c:pt>
                      <c:pt idx="161">
                        <c:v>-547.97161845366668</c:v>
                      </c:pt>
                      <c:pt idx="162">
                        <c:v>-520.05161845366683</c:v>
                      </c:pt>
                      <c:pt idx="163">
                        <c:v>-601.05161845366695</c:v>
                      </c:pt>
                      <c:pt idx="164">
                        <c:v>-601.05161845366695</c:v>
                      </c:pt>
                      <c:pt idx="165">
                        <c:v>-601.05161845366695</c:v>
                      </c:pt>
                      <c:pt idx="166">
                        <c:v>-601.05161845366695</c:v>
                      </c:pt>
                      <c:pt idx="167">
                        <c:v>-601.05161845366695</c:v>
                      </c:pt>
                      <c:pt idx="168">
                        <c:v>-560.1016184536669</c:v>
                      </c:pt>
                      <c:pt idx="169">
                        <c:v>-560.1016184536669</c:v>
                      </c:pt>
                      <c:pt idx="170">
                        <c:v>-570.36161845366701</c:v>
                      </c:pt>
                      <c:pt idx="171">
                        <c:v>-570.36161845366701</c:v>
                      </c:pt>
                      <c:pt idx="172">
                        <c:v>-550.52161845366709</c:v>
                      </c:pt>
                      <c:pt idx="173">
                        <c:v>-550.52161845366709</c:v>
                      </c:pt>
                      <c:pt idx="174">
                        <c:v>-469.5216184536672</c:v>
                      </c:pt>
                      <c:pt idx="175">
                        <c:v>-469.5216184536672</c:v>
                      </c:pt>
                      <c:pt idx="176">
                        <c:v>-458.74161845366723</c:v>
                      </c:pt>
                      <c:pt idx="177">
                        <c:v>-458.74161845366723</c:v>
                      </c:pt>
                      <c:pt idx="178">
                        <c:v>-472.52161845366743</c:v>
                      </c:pt>
                      <c:pt idx="179">
                        <c:v>-378.83161845366737</c:v>
                      </c:pt>
                      <c:pt idx="180">
                        <c:v>-378.83161845366737</c:v>
                      </c:pt>
                      <c:pt idx="181">
                        <c:v>-378.83161845366737</c:v>
                      </c:pt>
                      <c:pt idx="182">
                        <c:v>-378.83161845366737</c:v>
                      </c:pt>
                      <c:pt idx="183">
                        <c:v>-378.83161845366737</c:v>
                      </c:pt>
                      <c:pt idx="184">
                        <c:v>-399.47161845366725</c:v>
                      </c:pt>
                      <c:pt idx="185">
                        <c:v>-378.47161845366702</c:v>
                      </c:pt>
                      <c:pt idx="186">
                        <c:v>-386.97161845366702</c:v>
                      </c:pt>
                      <c:pt idx="187">
                        <c:v>-386.97161845366702</c:v>
                      </c:pt>
                      <c:pt idx="188">
                        <c:v>-280.97161845366702</c:v>
                      </c:pt>
                      <c:pt idx="189">
                        <c:v>-286.97161845366679</c:v>
                      </c:pt>
                      <c:pt idx="190">
                        <c:v>-286.97161845366679</c:v>
                      </c:pt>
                      <c:pt idx="191">
                        <c:v>-302.37161845366688</c:v>
                      </c:pt>
                      <c:pt idx="192">
                        <c:v>-302.37161845366688</c:v>
                      </c:pt>
                      <c:pt idx="193">
                        <c:v>-101.3516184536669</c:v>
                      </c:pt>
                      <c:pt idx="194">
                        <c:v>-110.31161845366694</c:v>
                      </c:pt>
                      <c:pt idx="195">
                        <c:v>-110.31161845366694</c:v>
                      </c:pt>
                      <c:pt idx="196">
                        <c:v>-110.31161845366694</c:v>
                      </c:pt>
                      <c:pt idx="197">
                        <c:v>-70.011618453666983</c:v>
                      </c:pt>
                      <c:pt idx="198">
                        <c:v>-68.661618453667074</c:v>
                      </c:pt>
                      <c:pt idx="199">
                        <c:v>-72.941618453667274</c:v>
                      </c:pt>
                      <c:pt idx="200">
                        <c:v>-72.941618453667274</c:v>
                      </c:pt>
                      <c:pt idx="201">
                        <c:v>-26.381618453667329</c:v>
                      </c:pt>
                      <c:pt idx="202">
                        <c:v>-26.381618453667329</c:v>
                      </c:pt>
                      <c:pt idx="203">
                        <c:v>-26.381618453667329</c:v>
                      </c:pt>
                      <c:pt idx="204">
                        <c:v>-26.381618453667329</c:v>
                      </c:pt>
                      <c:pt idx="205">
                        <c:v>-26.381618453667329</c:v>
                      </c:pt>
                      <c:pt idx="206">
                        <c:v>-26.381618453667329</c:v>
                      </c:pt>
                      <c:pt idx="207">
                        <c:v>-28.36161845366712</c:v>
                      </c:pt>
                      <c:pt idx="208">
                        <c:v>-28.36161845366712</c:v>
                      </c:pt>
                      <c:pt idx="209">
                        <c:v>-6.9616184536670289</c:v>
                      </c:pt>
                      <c:pt idx="210">
                        <c:v>-6.9616184536670289</c:v>
                      </c:pt>
                      <c:pt idx="211">
                        <c:v>-6.9616184536670289</c:v>
                      </c:pt>
                      <c:pt idx="212">
                        <c:v>-6.9616184536670289</c:v>
                      </c:pt>
                      <c:pt idx="213">
                        <c:v>36.368381546332898</c:v>
                      </c:pt>
                      <c:pt idx="214">
                        <c:v>38.368381546332898</c:v>
                      </c:pt>
                      <c:pt idx="215">
                        <c:v>-92.311618453666938</c:v>
                      </c:pt>
                      <c:pt idx="216">
                        <c:v>-92.311618453666938</c:v>
                      </c:pt>
                      <c:pt idx="217">
                        <c:v>-92.311618453666938</c:v>
                      </c:pt>
                      <c:pt idx="218">
                        <c:v>-74.811618453666938</c:v>
                      </c:pt>
                      <c:pt idx="219">
                        <c:v>-74.811618453666938</c:v>
                      </c:pt>
                      <c:pt idx="220">
                        <c:v>-5.5116184536669834</c:v>
                      </c:pt>
                      <c:pt idx="221">
                        <c:v>-5.5116184536669834</c:v>
                      </c:pt>
                      <c:pt idx="222">
                        <c:v>54.408381546332862</c:v>
                      </c:pt>
                      <c:pt idx="223">
                        <c:v>54.408381546332862</c:v>
                      </c:pt>
                      <c:pt idx="224">
                        <c:v>54.408381546332862</c:v>
                      </c:pt>
                      <c:pt idx="225">
                        <c:v>24.88838154633288</c:v>
                      </c:pt>
                      <c:pt idx="226">
                        <c:v>24.88838154633288</c:v>
                      </c:pt>
                      <c:pt idx="227">
                        <c:v>44.248381546333007</c:v>
                      </c:pt>
                      <c:pt idx="228">
                        <c:v>44.248381546333007</c:v>
                      </c:pt>
                      <c:pt idx="229">
                        <c:v>44.248381546333007</c:v>
                      </c:pt>
                      <c:pt idx="230">
                        <c:v>63.898381546332871</c:v>
                      </c:pt>
                      <c:pt idx="231">
                        <c:v>63.898381546332871</c:v>
                      </c:pt>
                      <c:pt idx="232">
                        <c:v>63.898381546332871</c:v>
                      </c:pt>
                      <c:pt idx="233">
                        <c:v>63.898381546332871</c:v>
                      </c:pt>
                      <c:pt idx="234">
                        <c:v>126.29838154633296</c:v>
                      </c:pt>
                      <c:pt idx="235">
                        <c:v>82.868381546332898</c:v>
                      </c:pt>
                      <c:pt idx="236">
                        <c:v>168.66838154633285</c:v>
                      </c:pt>
                      <c:pt idx="237">
                        <c:v>168.66838154633285</c:v>
                      </c:pt>
                      <c:pt idx="238">
                        <c:v>168.66838154633285</c:v>
                      </c:pt>
                      <c:pt idx="239">
                        <c:v>168.66838154633285</c:v>
                      </c:pt>
                      <c:pt idx="240">
                        <c:v>168.66838154633285</c:v>
                      </c:pt>
                      <c:pt idx="241">
                        <c:v>347.91838154633274</c:v>
                      </c:pt>
                      <c:pt idx="242">
                        <c:v>347.91838154633274</c:v>
                      </c:pt>
                      <c:pt idx="243">
                        <c:v>336.66838154633274</c:v>
                      </c:pt>
                      <c:pt idx="244">
                        <c:v>336.66838154633274</c:v>
                      </c:pt>
                      <c:pt idx="245">
                        <c:v>342.51838154633288</c:v>
                      </c:pt>
                      <c:pt idx="246">
                        <c:v>338.21838154633292</c:v>
                      </c:pt>
                      <c:pt idx="247">
                        <c:v>315.81838154633283</c:v>
                      </c:pt>
                      <c:pt idx="248">
                        <c:v>280.51838154633288</c:v>
                      </c:pt>
                      <c:pt idx="249">
                        <c:v>201.31838154633283</c:v>
                      </c:pt>
                      <c:pt idx="250">
                        <c:v>344.11838154633278</c:v>
                      </c:pt>
                      <c:pt idx="251">
                        <c:v>344.11838154633278</c:v>
                      </c:pt>
                      <c:pt idx="252">
                        <c:v>344.11838154633278</c:v>
                      </c:pt>
                      <c:pt idx="253">
                        <c:v>438.61838154633278</c:v>
                      </c:pt>
                      <c:pt idx="254">
                        <c:v>415.57838154633259</c:v>
                      </c:pt>
                      <c:pt idx="255">
                        <c:v>442.29838154633239</c:v>
                      </c:pt>
                      <c:pt idx="256">
                        <c:v>442.29838154633239</c:v>
                      </c:pt>
                      <c:pt idx="257">
                        <c:v>442.29838154633239</c:v>
                      </c:pt>
                      <c:pt idx="258">
                        <c:v>442.29838154633239</c:v>
                      </c:pt>
                      <c:pt idx="259">
                        <c:v>356.69838154633248</c:v>
                      </c:pt>
                      <c:pt idx="260">
                        <c:v>338.87838154633255</c:v>
                      </c:pt>
                      <c:pt idx="261">
                        <c:v>319.19838154633248</c:v>
                      </c:pt>
                      <c:pt idx="262">
                        <c:v>361.89838154633276</c:v>
                      </c:pt>
                      <c:pt idx="263">
                        <c:v>361.89838154633276</c:v>
                      </c:pt>
                      <c:pt idx="264">
                        <c:v>365.63838154633277</c:v>
                      </c:pt>
                      <c:pt idx="265">
                        <c:v>311.15838154633275</c:v>
                      </c:pt>
                      <c:pt idx="266">
                        <c:v>311.15838154633275</c:v>
                      </c:pt>
                      <c:pt idx="267">
                        <c:v>310.73838154633268</c:v>
                      </c:pt>
                      <c:pt idx="268">
                        <c:v>300.97838154633268</c:v>
                      </c:pt>
                      <c:pt idx="269">
                        <c:v>365.41838154633274</c:v>
                      </c:pt>
                      <c:pt idx="270">
                        <c:v>393.49838154633267</c:v>
                      </c:pt>
                      <c:pt idx="271">
                        <c:v>450.82838154633259</c:v>
                      </c:pt>
                      <c:pt idx="272">
                        <c:v>447.22838154633268</c:v>
                      </c:pt>
                      <c:pt idx="273">
                        <c:v>447.22838154633268</c:v>
                      </c:pt>
                      <c:pt idx="274">
                        <c:v>421.97838154633268</c:v>
                      </c:pt>
                      <c:pt idx="275">
                        <c:v>506.12838154633255</c:v>
                      </c:pt>
                      <c:pt idx="276">
                        <c:v>485.24838154633267</c:v>
                      </c:pt>
                      <c:pt idx="277">
                        <c:v>485.24838154633267</c:v>
                      </c:pt>
                      <c:pt idx="278">
                        <c:v>560.64838154633253</c:v>
                      </c:pt>
                      <c:pt idx="279">
                        <c:v>580.64838154633253</c:v>
                      </c:pt>
                      <c:pt idx="280">
                        <c:v>580.64838154633253</c:v>
                      </c:pt>
                      <c:pt idx="281">
                        <c:v>580.64838154633253</c:v>
                      </c:pt>
                      <c:pt idx="282">
                        <c:v>582.84838154633258</c:v>
                      </c:pt>
                      <c:pt idx="283">
                        <c:v>512.14838154633276</c:v>
                      </c:pt>
                      <c:pt idx="284">
                        <c:v>512.14838154633276</c:v>
                      </c:pt>
                      <c:pt idx="285">
                        <c:v>416.74838154633267</c:v>
                      </c:pt>
                      <c:pt idx="286">
                        <c:v>416.74838154633267</c:v>
                      </c:pt>
                      <c:pt idx="287">
                        <c:v>335.61838154633256</c:v>
                      </c:pt>
                      <c:pt idx="288">
                        <c:v>335.61838154633256</c:v>
                      </c:pt>
                      <c:pt idx="289">
                        <c:v>369.51838154633242</c:v>
                      </c:pt>
                      <c:pt idx="290">
                        <c:v>369.51838154633242</c:v>
                      </c:pt>
                      <c:pt idx="291">
                        <c:v>444.51838154633242</c:v>
                      </c:pt>
                      <c:pt idx="292">
                        <c:v>418.76838154633242</c:v>
                      </c:pt>
                      <c:pt idx="293">
                        <c:v>418.76838154633242</c:v>
                      </c:pt>
                      <c:pt idx="294">
                        <c:v>289.80838154633238</c:v>
                      </c:pt>
                      <c:pt idx="295">
                        <c:v>289.80838154633238</c:v>
                      </c:pt>
                      <c:pt idx="296">
                        <c:v>261.31838154633238</c:v>
                      </c:pt>
                      <c:pt idx="297">
                        <c:v>261.31838154633238</c:v>
                      </c:pt>
                      <c:pt idx="298">
                        <c:v>210.11838154633233</c:v>
                      </c:pt>
                      <c:pt idx="299">
                        <c:v>210.11838154633233</c:v>
                      </c:pt>
                      <c:pt idx="300">
                        <c:v>210.11838154633233</c:v>
                      </c:pt>
                      <c:pt idx="301">
                        <c:v>210.11838154633233</c:v>
                      </c:pt>
                      <c:pt idx="302">
                        <c:v>202.73838154633222</c:v>
                      </c:pt>
                      <c:pt idx="303">
                        <c:v>202.73838154633222</c:v>
                      </c:pt>
                      <c:pt idx="304">
                        <c:v>202.73838154633222</c:v>
                      </c:pt>
                      <c:pt idx="305">
                        <c:v>202.73838154633222</c:v>
                      </c:pt>
                      <c:pt idx="306">
                        <c:v>202.73838154633222</c:v>
                      </c:pt>
                      <c:pt idx="307">
                        <c:v>202.73838154633222</c:v>
                      </c:pt>
                      <c:pt idx="308">
                        <c:v>225.07719317717942</c:v>
                      </c:pt>
                      <c:pt idx="309">
                        <c:v>225.07719317717942</c:v>
                      </c:pt>
                      <c:pt idx="310">
                        <c:v>341.47719317717952</c:v>
                      </c:pt>
                      <c:pt idx="311">
                        <c:v>395.65719317717958</c:v>
                      </c:pt>
                      <c:pt idx="312">
                        <c:v>379.00719317717949</c:v>
                      </c:pt>
                      <c:pt idx="313">
                        <c:v>379.00719317717949</c:v>
                      </c:pt>
                      <c:pt idx="314">
                        <c:v>325.10719317717951</c:v>
                      </c:pt>
                      <c:pt idx="315">
                        <c:v>268.85719317717951</c:v>
                      </c:pt>
                      <c:pt idx="316">
                        <c:v>268.85719317717951</c:v>
                      </c:pt>
                      <c:pt idx="317">
                        <c:v>268.85719317717951</c:v>
                      </c:pt>
                      <c:pt idx="318">
                        <c:v>268.85719317717951</c:v>
                      </c:pt>
                      <c:pt idx="319">
                        <c:v>268.85719317717951</c:v>
                      </c:pt>
                      <c:pt idx="320">
                        <c:v>397.51719317717937</c:v>
                      </c:pt>
                      <c:pt idx="321">
                        <c:v>397.51719317717937</c:v>
                      </c:pt>
                      <c:pt idx="322">
                        <c:v>397.51719317717937</c:v>
                      </c:pt>
                      <c:pt idx="323">
                        <c:v>397.51719317717937</c:v>
                      </c:pt>
                      <c:pt idx="324">
                        <c:v>248.95719317717942</c:v>
                      </c:pt>
                      <c:pt idx="325">
                        <c:v>248.95719317717942</c:v>
                      </c:pt>
                      <c:pt idx="326">
                        <c:v>113.20719317717942</c:v>
                      </c:pt>
                      <c:pt idx="327">
                        <c:v>113.20719317717942</c:v>
                      </c:pt>
                      <c:pt idx="328">
                        <c:v>113.20719317717942</c:v>
                      </c:pt>
                      <c:pt idx="329">
                        <c:v>113.20719317717942</c:v>
                      </c:pt>
                      <c:pt idx="330">
                        <c:v>274.15719317717947</c:v>
                      </c:pt>
                      <c:pt idx="331">
                        <c:v>274.15719317717947</c:v>
                      </c:pt>
                      <c:pt idx="332">
                        <c:v>274.15719317717947</c:v>
                      </c:pt>
                      <c:pt idx="333">
                        <c:v>274.15719317717947</c:v>
                      </c:pt>
                      <c:pt idx="334">
                        <c:v>274.15719317717947</c:v>
                      </c:pt>
                      <c:pt idx="335">
                        <c:v>274.15719317717947</c:v>
                      </c:pt>
                      <c:pt idx="336">
                        <c:v>274.15719317717947</c:v>
                      </c:pt>
                      <c:pt idx="337">
                        <c:v>315.55719317717956</c:v>
                      </c:pt>
                      <c:pt idx="338">
                        <c:v>315.55719317717956</c:v>
                      </c:pt>
                      <c:pt idx="339">
                        <c:v>315.55719317717956</c:v>
                      </c:pt>
                      <c:pt idx="340">
                        <c:v>315.55719317717956</c:v>
                      </c:pt>
                      <c:pt idx="341">
                        <c:v>315.55719317717956</c:v>
                      </c:pt>
                      <c:pt idx="342">
                        <c:v>298.75719317717983</c:v>
                      </c:pt>
                      <c:pt idx="343">
                        <c:v>298.75719317717983</c:v>
                      </c:pt>
                      <c:pt idx="344">
                        <c:v>298.75719317717983</c:v>
                      </c:pt>
                      <c:pt idx="345">
                        <c:v>298.75719317717983</c:v>
                      </c:pt>
                      <c:pt idx="346">
                        <c:v>305.25719317717983</c:v>
                      </c:pt>
                    </c:numCache>
                  </c:numRef>
                </c:val>
                <c:smooth val="0"/>
                <c:extLst xmlns:c15="http://schemas.microsoft.com/office/drawing/2012/chart">
                  <c:ext xmlns:c16="http://schemas.microsoft.com/office/drawing/2014/chart" uri="{C3380CC4-5D6E-409C-BE32-E72D297353CC}">
                    <c16:uniqueId val="{00000006-A9A2-414D-A9C7-24E3C5932415}"/>
                  </c:ext>
                </c:extLst>
              </c15:ser>
            </c15:filteredLineSeries>
          </c:ext>
        </c:extLst>
      </c:lineChart>
      <c:catAx>
        <c:axId val="147683023"/>
        <c:scaling>
          <c:orientation val="minMax"/>
        </c:scaling>
        <c:delete val="0"/>
        <c:axPos val="b"/>
        <c:majorGridlines>
          <c:spPr>
            <a:ln w="9525" cap="flat" cmpd="sng" algn="ctr">
              <a:solidFill>
                <a:schemeClr val="tx1">
                  <a:lumMod val="75000"/>
                  <a:lumOff val="25000"/>
                </a:schemeClr>
              </a:solidFill>
              <a:prstDash val="dash"/>
              <a:round/>
            </a:ln>
            <a:effectLst/>
          </c:spPr>
        </c:majorGridlines>
        <c:majorTickMark val="none"/>
        <c:minorTickMark val="none"/>
        <c:tickLblPos val="low"/>
        <c:spPr>
          <a:noFill/>
          <a:ln w="12700" cap="flat" cmpd="sng" algn="ctr">
            <a:solidFill>
              <a:sysClr val="windowText" lastClr="000000"/>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6645279"/>
        <c:crosses val="autoZero"/>
        <c:auto val="1"/>
        <c:lblAlgn val="ctr"/>
        <c:lblOffset val="100"/>
        <c:tickLblSkip val="25"/>
        <c:tickMarkSkip val="25"/>
        <c:noMultiLvlLbl val="0"/>
      </c:catAx>
      <c:valAx>
        <c:axId val="146645279"/>
        <c:scaling>
          <c:orientation val="minMax"/>
        </c:scaling>
        <c:delete val="0"/>
        <c:axPos val="r"/>
        <c:majorGridlines>
          <c:spPr>
            <a:ln w="9525" cap="flat" cmpd="sng" algn="ctr">
              <a:solidFill>
                <a:schemeClr val="tx1">
                  <a:lumMod val="75000"/>
                  <a:lumOff val="25000"/>
                </a:schemeClr>
              </a:solidFill>
              <a:prstDash val="dash"/>
              <a:round/>
            </a:ln>
            <a:effectLst/>
          </c:spPr>
        </c:majorGridlines>
        <c:numFmt formatCode="0" sourceLinked="0"/>
        <c:majorTickMark val="none"/>
        <c:minorTickMark val="none"/>
        <c:tickLblPos val="high"/>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7683023"/>
        <c:crosses val="max"/>
        <c:crossBetween val="between"/>
      </c:valAx>
      <c:spPr>
        <a:solidFill>
          <a:schemeClr val="tx1">
            <a:lumMod val="65000"/>
            <a:lumOff val="35000"/>
          </a:schemeClr>
        </a:solidFill>
        <a:ln>
          <a:solidFill>
            <a:sysClr val="windowText" lastClr="000000"/>
          </a:solidFill>
        </a:ln>
        <a:effectLst/>
      </c:spPr>
    </c:plotArea>
    <c:legend>
      <c:legendPos val="t"/>
      <c:layout>
        <c:manualLayout>
          <c:xMode val="edge"/>
          <c:yMode val="edge"/>
          <c:x val="0.39634286005511454"/>
          <c:y val="1.2316999395039325E-2"/>
          <c:w val="0.57612618810998151"/>
          <c:h val="4.9614968727820091E-2"/>
        </c:manualLayout>
      </c:layout>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legend>
    <c:plotVisOnly val="0"/>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accent3">
                    <a:lumMod val="75000"/>
                  </a:schemeClr>
                </a:solidFill>
                <a:latin typeface="+mn-lt"/>
                <a:ea typeface="+mn-ea"/>
                <a:cs typeface="+mn-cs"/>
              </a:defRPr>
            </a:pPr>
            <a:r>
              <a:rPr lang="en-US" sz="2000" b="1">
                <a:solidFill>
                  <a:schemeClr val="accent3">
                    <a:lumMod val="75000"/>
                  </a:schemeClr>
                </a:solidFill>
              </a:rPr>
              <a:t>The Strategy -- Net Risk Units</a:t>
            </a:r>
          </a:p>
        </c:rich>
      </c:tx>
      <c:layout>
        <c:manualLayout>
          <c:xMode val="edge"/>
          <c:yMode val="edge"/>
          <c:x val="2.203421174294962E-2"/>
          <c:y val="4.5897877223178424E-3"/>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accent3">
                  <a:lumMod val="75000"/>
                </a:schemeClr>
              </a:solidFill>
              <a:latin typeface="+mn-lt"/>
              <a:ea typeface="+mn-ea"/>
              <a:cs typeface="+mn-cs"/>
            </a:defRPr>
          </a:pPr>
          <a:endParaRPr lang="en-US"/>
        </a:p>
      </c:txPr>
    </c:title>
    <c:autoTitleDeleted val="0"/>
    <c:plotArea>
      <c:layout>
        <c:manualLayout>
          <c:layoutTarget val="inner"/>
          <c:xMode val="edge"/>
          <c:yMode val="edge"/>
          <c:x val="1.0171058714748035E-2"/>
          <c:y val="7.7350558040499021E-2"/>
          <c:w val="0.96115660299744099"/>
          <c:h val="0.86018548951798435"/>
        </c:manualLayout>
      </c:layout>
      <c:lineChart>
        <c:grouping val="standard"/>
        <c:varyColors val="0"/>
        <c:ser>
          <c:idx val="3"/>
          <c:order val="0"/>
          <c:tx>
            <c:v>Total Risk Units</c:v>
          </c:tx>
          <c:spPr>
            <a:ln w="28575" cap="rnd">
              <a:solidFill>
                <a:sysClr val="windowText" lastClr="000000"/>
              </a:solidFill>
              <a:round/>
            </a:ln>
            <a:effectLst/>
          </c:spPr>
          <c:marker>
            <c:symbol val="none"/>
          </c:marker>
          <c:val>
            <c:numRef>
              <c:f>'2025-Q2'!$Q$4:$Q$422</c:f>
              <c:numCache>
                <c:formatCode>0</c:formatCode>
                <c:ptCount val="419"/>
                <c:pt idx="0">
                  <c:v>-0.47844667409884589</c:v>
                </c:pt>
                <c:pt idx="1">
                  <c:v>0.20039738260780871</c:v>
                </c:pt>
                <c:pt idx="2">
                  <c:v>0.14168868051043698</c:v>
                </c:pt>
                <c:pt idx="3">
                  <c:v>-0.27293129519335796</c:v>
                </c:pt>
                <c:pt idx="4">
                  <c:v>-0.47884355832632985</c:v>
                </c:pt>
                <c:pt idx="5">
                  <c:v>-1.1314998695128593</c:v>
                </c:pt>
                <c:pt idx="6">
                  <c:v>-1.7085312074749515</c:v>
                </c:pt>
                <c:pt idx="7">
                  <c:v>-1.8360766180392338</c:v>
                </c:pt>
                <c:pt idx="8">
                  <c:v>-1.3115775214181404</c:v>
                </c:pt>
                <c:pt idx="9">
                  <c:v>-1.2113348285828556</c:v>
                </c:pt>
                <c:pt idx="10">
                  <c:v>-0.95561406511137981</c:v>
                </c:pt>
                <c:pt idx="11">
                  <c:v>-0.44202439144535155</c:v>
                </c:pt>
                <c:pt idx="12">
                  <c:v>-0.14049636328842707</c:v>
                </c:pt>
                <c:pt idx="13">
                  <c:v>4.1870607419762229E-3</c:v>
                </c:pt>
                <c:pt idx="14">
                  <c:v>0.88125019448485542</c:v>
                </c:pt>
                <c:pt idx="15">
                  <c:v>1.5367228313007768</c:v>
                </c:pt>
                <c:pt idx="16">
                  <c:v>1.8989945133694157</c:v>
                </c:pt>
                <c:pt idx="17">
                  <c:v>2.0758863936006722</c:v>
                </c:pt>
                <c:pt idx="18">
                  <c:v>2.0204847315508085</c:v>
                </c:pt>
                <c:pt idx="19">
                  <c:v>2.479339640968226</c:v>
                </c:pt>
                <c:pt idx="20">
                  <c:v>2.8885628512008088</c:v>
                </c:pt>
                <c:pt idx="21">
                  <c:v>3.1825278168545936</c:v>
                </c:pt>
                <c:pt idx="22">
                  <c:v>3.2190908881525866</c:v>
                </c:pt>
                <c:pt idx="23">
                  <c:v>3.1077736339781881</c:v>
                </c:pt>
                <c:pt idx="24">
                  <c:v>2.2433590498599756</c:v>
                </c:pt>
                <c:pt idx="25">
                  <c:v>-0.69347717786234497</c:v>
                </c:pt>
                <c:pt idx="26">
                  <c:v>-0.28144014082530722</c:v>
                </c:pt>
                <c:pt idx="27">
                  <c:v>-0.8466247678034533</c:v>
                </c:pt>
                <c:pt idx="28">
                  <c:v>-1.8203684645518421</c:v>
                </c:pt>
                <c:pt idx="29">
                  <c:v>-1.3877396666654465</c:v>
                </c:pt>
                <c:pt idx="30">
                  <c:v>-1.9379069855923361</c:v>
                </c:pt>
                <c:pt idx="31">
                  <c:v>-1.4194961328791575</c:v>
                </c:pt>
                <c:pt idx="32">
                  <c:v>-1.9288541049236982</c:v>
                </c:pt>
                <c:pt idx="33">
                  <c:v>-1.9268771952289319</c:v>
                </c:pt>
                <c:pt idx="34">
                  <c:v>-2.8311079866290094</c:v>
                </c:pt>
                <c:pt idx="35">
                  <c:v>-3.6523931271912593</c:v>
                </c:pt>
                <c:pt idx="36">
                  <c:v>-3.9899002122636547</c:v>
                </c:pt>
                <c:pt idx="37">
                  <c:v>-3.7879113993363691</c:v>
                </c:pt>
                <c:pt idx="38">
                  <c:v>-3.5931589251063865</c:v>
                </c:pt>
                <c:pt idx="39">
                  <c:v>-3.5263239332751088</c:v>
                </c:pt>
                <c:pt idx="40">
                  <c:v>-5.537177510620392</c:v>
                </c:pt>
                <c:pt idx="41">
                  <c:v>-6.1698907998352057</c:v>
                </c:pt>
                <c:pt idx="42">
                  <c:v>-4.7974759579860526</c:v>
                </c:pt>
                <c:pt idx="43">
                  <c:v>-4.0358648935995474</c:v>
                </c:pt>
                <c:pt idx="44">
                  <c:v>-4.4008000593732879</c:v>
                </c:pt>
                <c:pt idx="45">
                  <c:v>-4.4109819516052307</c:v>
                </c:pt>
                <c:pt idx="46">
                  <c:v>-5.6071865363803166</c:v>
                </c:pt>
                <c:pt idx="47">
                  <c:v>-7.0682998432392061</c:v>
                </c:pt>
                <c:pt idx="48">
                  <c:v>-7.5856091190062189</c:v>
                </c:pt>
                <c:pt idx="49">
                  <c:v>-9.1172192257828364</c:v>
                </c:pt>
                <c:pt idx="50">
                  <c:v>-9.9489462194288656</c:v>
                </c:pt>
                <c:pt idx="51">
                  <c:v>-8.9979059571823203</c:v>
                </c:pt>
                <c:pt idx="52">
                  <c:v>-10.300253137189074</c:v>
                </c:pt>
                <c:pt idx="53">
                  <c:v>-9.8075933422036989</c:v>
                </c:pt>
                <c:pt idx="54">
                  <c:v>-9.0674560373339723</c:v>
                </c:pt>
                <c:pt idx="55">
                  <c:v>-8.4523575142856586</c:v>
                </c:pt>
                <c:pt idx="56">
                  <c:v>-9.1301468782064106</c:v>
                </c:pt>
                <c:pt idx="57">
                  <c:v>-7.2367037438873627</c:v>
                </c:pt>
                <c:pt idx="58">
                  <c:v>-6.570820469308436</c:v>
                </c:pt>
                <c:pt idx="59">
                  <c:v>-5.3878982522222465</c:v>
                </c:pt>
                <c:pt idx="60">
                  <c:v>-4.8869031249145785</c:v>
                </c:pt>
                <c:pt idx="61">
                  <c:v>-3.4572510052265755</c:v>
                </c:pt>
                <c:pt idx="62">
                  <c:v>-0.85395569470692978</c:v>
                </c:pt>
                <c:pt idx="63">
                  <c:v>8.6471431557587852E-2</c:v>
                </c:pt>
                <c:pt idx="64">
                  <c:v>-0.17626348436724137</c:v>
                </c:pt>
                <c:pt idx="65">
                  <c:v>1.0010275157147994</c:v>
                </c:pt>
                <c:pt idx="66">
                  <c:v>0.62223963692692064</c:v>
                </c:pt>
                <c:pt idx="67">
                  <c:v>-0.21429491708744819</c:v>
                </c:pt>
                <c:pt idx="68">
                  <c:v>-8.5598469109410213E-2</c:v>
                </c:pt>
                <c:pt idx="69">
                  <c:v>0.40492617899247219</c:v>
                </c:pt>
                <c:pt idx="70">
                  <c:v>1.0669262875170809</c:v>
                </c:pt>
                <c:pt idx="71">
                  <c:v>0.50741682324032988</c:v>
                </c:pt>
                <c:pt idx="72">
                  <c:v>1.6582474396042501</c:v>
                </c:pt>
                <c:pt idx="73">
                  <c:v>1.4659864012733408</c:v>
                </c:pt>
                <c:pt idx="74">
                  <c:v>2.3339506306263136</c:v>
                </c:pt>
                <c:pt idx="75">
                  <c:v>1.8269605683052752</c:v>
                </c:pt>
                <c:pt idx="76">
                  <c:v>3.1940325367574602</c:v>
                </c:pt>
                <c:pt idx="77">
                  <c:v>2.9095547633323458</c:v>
                </c:pt>
                <c:pt idx="78">
                  <c:v>1.9383283226175572</c:v>
                </c:pt>
                <c:pt idx="79">
                  <c:v>1.8946983051655502</c:v>
                </c:pt>
                <c:pt idx="80">
                  <c:v>2.0450948050288287</c:v>
                </c:pt>
                <c:pt idx="81">
                  <c:v>1.1604321122480523</c:v>
                </c:pt>
                <c:pt idx="82">
                  <c:v>0.42612969954012547</c:v>
                </c:pt>
                <c:pt idx="83">
                  <c:v>-0.1420521186416932</c:v>
                </c:pt>
                <c:pt idx="84">
                  <c:v>-1.9891271992497082</c:v>
                </c:pt>
                <c:pt idx="85">
                  <c:v>-2.1691025710409368</c:v>
                </c:pt>
                <c:pt idx="86">
                  <c:v>-2.6950584430415798</c:v>
                </c:pt>
                <c:pt idx="87">
                  <c:v>-2.6849925111879389</c:v>
                </c:pt>
                <c:pt idx="88">
                  <c:v>-1.8106333034953979</c:v>
                </c:pt>
                <c:pt idx="89">
                  <c:v>-2.1280936209557169</c:v>
                </c:pt>
                <c:pt idx="90">
                  <c:v>-0.92414816113558329</c:v>
                </c:pt>
                <c:pt idx="91">
                  <c:v>-1.1424887724892951</c:v>
                </c:pt>
                <c:pt idx="92">
                  <c:v>-0.86662670352377824</c:v>
                </c:pt>
                <c:pt idx="93">
                  <c:v>-1.7244456741410146</c:v>
                </c:pt>
                <c:pt idx="94">
                  <c:v>-2.3626582780885155</c:v>
                </c:pt>
                <c:pt idx="95">
                  <c:v>-2.2652914166881257</c:v>
                </c:pt>
                <c:pt idx="96">
                  <c:v>-2.1703947486155823</c:v>
                </c:pt>
                <c:pt idx="97">
                  <c:v>-1.9677709420354601</c:v>
                </c:pt>
                <c:pt idx="98">
                  <c:v>-2.3429272571667665</c:v>
                </c:pt>
                <c:pt idx="99">
                  <c:v>-2.9877567531711975</c:v>
                </c:pt>
                <c:pt idx="100">
                  <c:v>-4.2403663565114904</c:v>
                </c:pt>
                <c:pt idx="101">
                  <c:v>-4.6997771739785739</c:v>
                </c:pt>
                <c:pt idx="102">
                  <c:v>-4.7190396522119737</c:v>
                </c:pt>
                <c:pt idx="103">
                  <c:v>-5.9287683373392399</c:v>
                </c:pt>
                <c:pt idx="104">
                  <c:v>-5.9539276798417546</c:v>
                </c:pt>
                <c:pt idx="105">
                  <c:v>-5.1940085179181388</c:v>
                </c:pt>
                <c:pt idx="106">
                  <c:v>-4.9981011135874072</c:v>
                </c:pt>
                <c:pt idx="107">
                  <c:v>-6.3630770713972407</c:v>
                </c:pt>
                <c:pt idx="108">
                  <c:v>-5.7819577716305144</c:v>
                </c:pt>
                <c:pt idx="109">
                  <c:v>-6.3267842750062391</c:v>
                </c:pt>
                <c:pt idx="110">
                  <c:v>-6.0214116249442107</c:v>
                </c:pt>
                <c:pt idx="111">
                  <c:v>-5.7969393735352881</c:v>
                </c:pt>
                <c:pt idx="112">
                  <c:v>-5.3653956772951865</c:v>
                </c:pt>
                <c:pt idx="113">
                  <c:v>-4.7416777641167203</c:v>
                </c:pt>
                <c:pt idx="114">
                  <c:v>-4.2400596411393741</c:v>
                </c:pt>
                <c:pt idx="115">
                  <c:v>-3.0387554532249812</c:v>
                </c:pt>
                <c:pt idx="116">
                  <c:v>-2.5605557345189331</c:v>
                </c:pt>
                <c:pt idx="117">
                  <c:v>-2.1722525543375828</c:v>
                </c:pt>
                <c:pt idx="118">
                  <c:v>-1.1492158280551046</c:v>
                </c:pt>
                <c:pt idx="119">
                  <c:v>-1.5839313833536213</c:v>
                </c:pt>
                <c:pt idx="120">
                  <c:v>-1.3751869951462514</c:v>
                </c:pt>
                <c:pt idx="121">
                  <c:v>-1.7447813144524631</c:v>
                </c:pt>
                <c:pt idx="122">
                  <c:v>-2.7893495595778077</c:v>
                </c:pt>
                <c:pt idx="123">
                  <c:v>-3.1062469828999504</c:v>
                </c:pt>
                <c:pt idx="124">
                  <c:v>-1.8556524727762904</c:v>
                </c:pt>
                <c:pt idx="125">
                  <c:v>-1.6281729459337075</c:v>
                </c:pt>
                <c:pt idx="126">
                  <c:v>-1.2121034160922763</c:v>
                </c:pt>
                <c:pt idx="127">
                  <c:v>-1.8693380137242281</c:v>
                </c:pt>
                <c:pt idx="128">
                  <c:v>-1.6437062447711597</c:v>
                </c:pt>
                <c:pt idx="129">
                  <c:v>-2.0399190676588801</c:v>
                </c:pt>
                <c:pt idx="130">
                  <c:v>-2.6017657575543494</c:v>
                </c:pt>
                <c:pt idx="131">
                  <c:v>-2.8475744926302475</c:v>
                </c:pt>
                <c:pt idx="132">
                  <c:v>-3.3168096041176898</c:v>
                </c:pt>
                <c:pt idx="133">
                  <c:v>-2.3425954943103564</c:v>
                </c:pt>
                <c:pt idx="134">
                  <c:v>-1.8550446091451565</c:v>
                </c:pt>
                <c:pt idx="135">
                  <c:v>-1.5149085547233869</c:v>
                </c:pt>
                <c:pt idx="136">
                  <c:v>-1.3277969400703142</c:v>
                </c:pt>
                <c:pt idx="137">
                  <c:v>-1.668634426465456</c:v>
                </c:pt>
                <c:pt idx="138">
                  <c:v>-1.5095599506881596</c:v>
                </c:pt>
                <c:pt idx="139">
                  <c:v>-1.4230248174240525</c:v>
                </c:pt>
                <c:pt idx="140">
                  <c:v>-1.5623199838817778</c:v>
                </c:pt>
                <c:pt idx="141">
                  <c:v>-2.0134488519457587</c:v>
                </c:pt>
                <c:pt idx="142">
                  <c:v>-3.2879707351168679</c:v>
                </c:pt>
                <c:pt idx="143">
                  <c:v>-3.6575995661656893</c:v>
                </c:pt>
                <c:pt idx="144">
                  <c:v>-3.7067723071121197</c:v>
                </c:pt>
                <c:pt idx="145">
                  <c:v>-2.3668580878147356</c:v>
                </c:pt>
                <c:pt idx="146">
                  <c:v>-2.8096922263010486</c:v>
                </c:pt>
                <c:pt idx="147">
                  <c:v>-3.3736644512919129</c:v>
                </c:pt>
                <c:pt idx="148">
                  <c:v>-2.1994220270494886</c:v>
                </c:pt>
                <c:pt idx="149">
                  <c:v>-1.1895642741033996</c:v>
                </c:pt>
                <c:pt idx="150">
                  <c:v>-1.4294754711528501</c:v>
                </c:pt>
                <c:pt idx="151">
                  <c:v>-0.29896076527049464</c:v>
                </c:pt>
                <c:pt idx="152">
                  <c:v>2.1212812589319263</c:v>
                </c:pt>
                <c:pt idx="153">
                  <c:v>0.45559671758445219</c:v>
                </c:pt>
                <c:pt idx="154">
                  <c:v>0.11008254564723019</c:v>
                </c:pt>
                <c:pt idx="155">
                  <c:v>-0.60788837472654722</c:v>
                </c:pt>
                <c:pt idx="156">
                  <c:v>1.3940789817292982</c:v>
                </c:pt>
                <c:pt idx="157">
                  <c:v>1.9519590375173019</c:v>
                </c:pt>
                <c:pt idx="158">
                  <c:v>2.3866380895596979</c:v>
                </c:pt>
                <c:pt idx="159">
                  <c:v>0.1325802906681699</c:v>
                </c:pt>
                <c:pt idx="160">
                  <c:v>0.7469494198887815</c:v>
                </c:pt>
                <c:pt idx="161">
                  <c:v>1.8264030841566621</c:v>
                </c:pt>
                <c:pt idx="162">
                  <c:v>2.1533484088385184</c:v>
                </c:pt>
                <c:pt idx="163">
                  <c:v>1.1850241022571937</c:v>
                </c:pt>
                <c:pt idx="164">
                  <c:v>1.6084680406653482</c:v>
                </c:pt>
                <c:pt idx="165">
                  <c:v>2.5784582323056084</c:v>
                </c:pt>
                <c:pt idx="166">
                  <c:v>2.4495371706027469</c:v>
                </c:pt>
                <c:pt idx="167">
                  <c:v>2.1660962085939803</c:v>
                </c:pt>
                <c:pt idx="168">
                  <c:v>3.4153088896773314</c:v>
                </c:pt>
                <c:pt idx="169">
                  <c:v>3.3927390925798093</c:v>
                </c:pt>
                <c:pt idx="170">
                  <c:v>3.8622433902367037</c:v>
                </c:pt>
                <c:pt idx="171">
                  <c:v>2.382576560251402</c:v>
                </c:pt>
                <c:pt idx="172">
                  <c:v>2.3771352717542849</c:v>
                </c:pt>
                <c:pt idx="173">
                  <c:v>2.8968010553287709</c:v>
                </c:pt>
                <c:pt idx="174">
                  <c:v>4.5653856353057538</c:v>
                </c:pt>
                <c:pt idx="175">
                  <c:v>6.0770488443327224</c:v>
                </c:pt>
                <c:pt idx="176">
                  <c:v>6.1338430545686604</c:v>
                </c:pt>
                <c:pt idx="177">
                  <c:v>7.4415236860197851</c:v>
                </c:pt>
                <c:pt idx="178">
                  <c:v>7.7422783748040613</c:v>
                </c:pt>
                <c:pt idx="179">
                  <c:v>8.2750391890534303</c:v>
                </c:pt>
                <c:pt idx="180">
                  <c:v>7.7873689645410975</c:v>
                </c:pt>
                <c:pt idx="181">
                  <c:v>7.4765334049530798</c:v>
                </c:pt>
                <c:pt idx="182">
                  <c:v>8.1878740782347599</c:v>
                </c:pt>
                <c:pt idx="183">
                  <c:v>8.7508862741436477</c:v>
                </c:pt>
                <c:pt idx="184">
                  <c:v>7.144808182202893</c:v>
                </c:pt>
                <c:pt idx="185">
                  <c:v>6.3077664360702421</c:v>
                </c:pt>
                <c:pt idx="186">
                  <c:v>6.2124864595237748</c:v>
                </c:pt>
                <c:pt idx="187">
                  <c:v>6.6746343468477187</c:v>
                </c:pt>
                <c:pt idx="188">
                  <c:v>7.7602241802484118</c:v>
                </c:pt>
                <c:pt idx="189">
                  <c:v>7.5424098420944183</c:v>
                </c:pt>
                <c:pt idx="190">
                  <c:v>8.2262488429767924</c:v>
                </c:pt>
                <c:pt idx="191">
                  <c:v>7.4235161358888355</c:v>
                </c:pt>
                <c:pt idx="192">
                  <c:v>7.1035552237749116</c:v>
                </c:pt>
                <c:pt idx="193">
                  <c:v>9.0775157445644972</c:v>
                </c:pt>
                <c:pt idx="194">
                  <c:v>8.1166221038984823</c:v>
                </c:pt>
                <c:pt idx="195">
                  <c:v>8.2428221516250453</c:v>
                </c:pt>
                <c:pt idx="196">
                  <c:v>8.3018181253018941</c:v>
                </c:pt>
                <c:pt idx="197">
                  <c:v>8.5318673082306571</c:v>
                </c:pt>
                <c:pt idx="198">
                  <c:v>8.6295988355954858</c:v>
                </c:pt>
                <c:pt idx="199">
                  <c:v>9.3962568950345382</c:v>
                </c:pt>
                <c:pt idx="200">
                  <c:v>9.0576052447920858</c:v>
                </c:pt>
                <c:pt idx="201">
                  <c:v>10.112275929251835</c:v>
                </c:pt>
                <c:pt idx="202">
                  <c:v>10.37037705420914</c:v>
                </c:pt>
                <c:pt idx="203">
                  <c:v>10.219387363973926</c:v>
                </c:pt>
                <c:pt idx="204">
                  <c:v>10.567751954120791</c:v>
                </c:pt>
                <c:pt idx="205">
                  <c:v>9.5015483436248509</c:v>
                </c:pt>
                <c:pt idx="206">
                  <c:v>10.8702451347185</c:v>
                </c:pt>
                <c:pt idx="207">
                  <c:v>10.682094263973774</c:v>
                </c:pt>
                <c:pt idx="208">
                  <c:v>10.518946093985173</c:v>
                </c:pt>
                <c:pt idx="209">
                  <c:v>10.744096194051885</c:v>
                </c:pt>
                <c:pt idx="210">
                  <c:v>9.7253150234268944</c:v>
                </c:pt>
                <c:pt idx="211">
                  <c:v>9.1446679641707398</c:v>
                </c:pt>
                <c:pt idx="212">
                  <c:v>8.9730103268942418</c:v>
                </c:pt>
                <c:pt idx="213">
                  <c:v>9.0607348718231631</c:v>
                </c:pt>
                <c:pt idx="214">
                  <c:v>9.6040226390856951</c:v>
                </c:pt>
                <c:pt idx="215">
                  <c:v>8.2235727936534389</c:v>
                </c:pt>
                <c:pt idx="216">
                  <c:v>9.6701325298249294</c:v>
                </c:pt>
                <c:pt idx="217">
                  <c:v>10.61784023175402</c:v>
                </c:pt>
                <c:pt idx="218">
                  <c:v>10.093832104281024</c:v>
                </c:pt>
                <c:pt idx="219">
                  <c:v>11.660905344455497</c:v>
                </c:pt>
                <c:pt idx="220">
                  <c:v>12.159665410213808</c:v>
                </c:pt>
                <c:pt idx="221">
                  <c:v>12.703788590440142</c:v>
                </c:pt>
                <c:pt idx="222">
                  <c:v>12.889082134422978</c:v>
                </c:pt>
                <c:pt idx="223">
                  <c:v>12.53017124333387</c:v>
                </c:pt>
                <c:pt idx="224">
                  <c:v>12.891689119769552</c:v>
                </c:pt>
                <c:pt idx="225">
                  <c:v>12.48431686854348</c:v>
                </c:pt>
                <c:pt idx="226">
                  <c:v>10.71338804038324</c:v>
                </c:pt>
                <c:pt idx="227">
                  <c:v>11.178395085944537</c:v>
                </c:pt>
                <c:pt idx="228">
                  <c:v>11.173938638802456</c:v>
                </c:pt>
                <c:pt idx="229">
                  <c:v>11.13064324048479</c:v>
                </c:pt>
                <c:pt idx="230">
                  <c:v>11.85261751194712</c:v>
                </c:pt>
                <c:pt idx="231">
                  <c:v>11.287738457006188</c:v>
                </c:pt>
                <c:pt idx="232">
                  <c:v>11.95752185960032</c:v>
                </c:pt>
                <c:pt idx="233">
                  <c:v>12.410924730368757</c:v>
                </c:pt>
                <c:pt idx="234">
                  <c:v>12.984132365378066</c:v>
                </c:pt>
                <c:pt idx="235">
                  <c:v>12.697673539102093</c:v>
                </c:pt>
                <c:pt idx="236">
                  <c:v>14.53479756665276</c:v>
                </c:pt>
                <c:pt idx="237">
                  <c:v>14.486684895524737</c:v>
                </c:pt>
                <c:pt idx="238">
                  <c:v>12.783281554566807</c:v>
                </c:pt>
                <c:pt idx="239">
                  <c:v>12.826426572586197</c:v>
                </c:pt>
                <c:pt idx="240">
                  <c:v>12.924432844987628</c:v>
                </c:pt>
                <c:pt idx="241">
                  <c:v>16.673577851827574</c:v>
                </c:pt>
                <c:pt idx="242">
                  <c:v>16.781797269983905</c:v>
                </c:pt>
                <c:pt idx="243">
                  <c:v>17.17289476212164</c:v>
                </c:pt>
                <c:pt idx="244">
                  <c:v>16.345178212344795</c:v>
                </c:pt>
                <c:pt idx="245">
                  <c:v>16.783861940161984</c:v>
                </c:pt>
                <c:pt idx="246">
                  <c:v>16.478196092805835</c:v>
                </c:pt>
                <c:pt idx="247">
                  <c:v>16.280657074262852</c:v>
                </c:pt>
                <c:pt idx="248">
                  <c:v>15.752021879831016</c:v>
                </c:pt>
                <c:pt idx="249">
                  <c:v>15.351808432659187</c:v>
                </c:pt>
                <c:pt idx="250">
                  <c:v>15.805998704196597</c:v>
                </c:pt>
                <c:pt idx="251">
                  <c:v>14.931403101849719</c:v>
                </c:pt>
                <c:pt idx="252">
                  <c:v>14.424482975119687</c:v>
                </c:pt>
                <c:pt idx="253">
                  <c:v>15.123997808492788</c:v>
                </c:pt>
                <c:pt idx="254">
                  <c:v>15.182701228605092</c:v>
                </c:pt>
                <c:pt idx="255">
                  <c:v>15.71140031572603</c:v>
                </c:pt>
                <c:pt idx="256">
                  <c:v>15.580295759842713</c:v>
                </c:pt>
                <c:pt idx="257">
                  <c:v>14.090974168719391</c:v>
                </c:pt>
                <c:pt idx="258">
                  <c:v>13.819521063628258</c:v>
                </c:pt>
                <c:pt idx="259">
                  <c:v>12.760404095420382</c:v>
                </c:pt>
                <c:pt idx="260">
                  <c:v>13.128493155017241</c:v>
                </c:pt>
                <c:pt idx="261">
                  <c:v>12.837265084841802</c:v>
                </c:pt>
                <c:pt idx="262">
                  <c:v>13.107564931635411</c:v>
                </c:pt>
                <c:pt idx="263">
                  <c:v>12.843690229558463</c:v>
                </c:pt>
                <c:pt idx="264">
                  <c:v>12.380816555498678</c:v>
                </c:pt>
                <c:pt idx="265">
                  <c:v>12.614019205221537</c:v>
                </c:pt>
                <c:pt idx="266">
                  <c:v>13.211881191444419</c:v>
                </c:pt>
                <c:pt idx="267">
                  <c:v>13.384331244020656</c:v>
                </c:pt>
                <c:pt idx="268">
                  <c:v>13.222699578167964</c:v>
                </c:pt>
                <c:pt idx="269">
                  <c:v>14.367767887415377</c:v>
                </c:pt>
                <c:pt idx="270">
                  <c:v>14.67490377351676</c:v>
                </c:pt>
                <c:pt idx="271">
                  <c:v>14.504082566380232</c:v>
                </c:pt>
                <c:pt idx="272">
                  <c:v>14.666491900974997</c:v>
                </c:pt>
                <c:pt idx="273">
                  <c:v>13.721181936677688</c:v>
                </c:pt>
                <c:pt idx="274">
                  <c:v>13.116935268505111</c:v>
                </c:pt>
                <c:pt idx="275">
                  <c:v>13.455739982309822</c:v>
                </c:pt>
                <c:pt idx="276">
                  <c:v>13.095772430089179</c:v>
                </c:pt>
                <c:pt idx="277">
                  <c:v>13.469462089724225</c:v>
                </c:pt>
                <c:pt idx="278">
                  <c:v>13.804602265745674</c:v>
                </c:pt>
                <c:pt idx="279">
                  <c:v>13.876133023971711</c:v>
                </c:pt>
                <c:pt idx="280">
                  <c:v>14.317611809399542</c:v>
                </c:pt>
                <c:pt idx="281">
                  <c:v>13.419738062566889</c:v>
                </c:pt>
                <c:pt idx="282">
                  <c:v>13.910610190632925</c:v>
                </c:pt>
                <c:pt idx="283">
                  <c:v>12.586770528185669</c:v>
                </c:pt>
                <c:pt idx="284">
                  <c:v>12.542982898191143</c:v>
                </c:pt>
                <c:pt idx="285">
                  <c:v>11.720017631213434</c:v>
                </c:pt>
                <c:pt idx="286">
                  <c:v>12.254819674636167</c:v>
                </c:pt>
                <c:pt idx="287">
                  <c:v>12.302604298154334</c:v>
                </c:pt>
                <c:pt idx="288">
                  <c:v>14.077615824203205</c:v>
                </c:pt>
                <c:pt idx="289">
                  <c:v>13.625551682272121</c:v>
                </c:pt>
                <c:pt idx="290">
                  <c:v>13.567375050511433</c:v>
                </c:pt>
                <c:pt idx="291">
                  <c:v>14.569838245791264</c:v>
                </c:pt>
                <c:pt idx="292">
                  <c:v>13.777019022544547</c:v>
                </c:pt>
                <c:pt idx="293">
                  <c:v>12.984755245310478</c:v>
                </c:pt>
                <c:pt idx="294">
                  <c:v>11.131296057577664</c:v>
                </c:pt>
                <c:pt idx="295">
                  <c:v>10.60700385205512</c:v>
                </c:pt>
                <c:pt idx="296">
                  <c:v>9.4121994643729483</c:v>
                </c:pt>
                <c:pt idx="297">
                  <c:v>9.6844276087512942</c:v>
                </c:pt>
                <c:pt idx="298">
                  <c:v>9.1097149650731328</c:v>
                </c:pt>
                <c:pt idx="299">
                  <c:v>9.1097149650731328</c:v>
                </c:pt>
                <c:pt idx="300">
                  <c:v>9.1439326951215669</c:v>
                </c:pt>
                <c:pt idx="301">
                  <c:v>10.377967234795666</c:v>
                </c:pt>
                <c:pt idx="302">
                  <c:v>10.36924514548147</c:v>
                </c:pt>
                <c:pt idx="303">
                  <c:v>10.942762004209595</c:v>
                </c:pt>
                <c:pt idx="304">
                  <c:v>9.5184741481376278</c:v>
                </c:pt>
                <c:pt idx="305">
                  <c:v>10.562919564385206</c:v>
                </c:pt>
                <c:pt idx="306">
                  <c:v>12.789462326748176</c:v>
                </c:pt>
                <c:pt idx="307">
                  <c:v>13.516524746709344</c:v>
                </c:pt>
                <c:pt idx="308">
                  <c:v>13.937932247762864</c:v>
                </c:pt>
                <c:pt idx="309">
                  <c:v>14.940384288726372</c:v>
                </c:pt>
                <c:pt idx="310">
                  <c:v>14.852607242423982</c:v>
                </c:pt>
                <c:pt idx="311">
                  <c:v>16.169168349625483</c:v>
                </c:pt>
                <c:pt idx="312">
                  <c:v>15.85563511510262</c:v>
                </c:pt>
                <c:pt idx="313">
                  <c:v>16.845601670286566</c:v>
                </c:pt>
                <c:pt idx="314">
                  <c:v>16.070407871836952</c:v>
                </c:pt>
                <c:pt idx="315">
                  <c:v>16.8492240712139</c:v>
                </c:pt>
                <c:pt idx="316">
                  <c:v>17.386469030769618</c:v>
                </c:pt>
                <c:pt idx="317">
                  <c:v>17.755699800000389</c:v>
                </c:pt>
                <c:pt idx="318">
                  <c:v>16.138247090767099</c:v>
                </c:pt>
                <c:pt idx="319">
                  <c:v>18.474822966253477</c:v>
                </c:pt>
                <c:pt idx="320">
                  <c:v>18.950790506827758</c:v>
                </c:pt>
                <c:pt idx="321">
                  <c:v>19.276377124095074</c:v>
                </c:pt>
                <c:pt idx="322">
                  <c:v>19.609060099731675</c:v>
                </c:pt>
                <c:pt idx="323">
                  <c:v>17.942393433065007</c:v>
                </c:pt>
                <c:pt idx="324">
                  <c:v>15.700499524504433</c:v>
                </c:pt>
                <c:pt idx="325">
                  <c:v>16.48888422770078</c:v>
                </c:pt>
                <c:pt idx="326">
                  <c:v>14.895592823088617</c:v>
                </c:pt>
                <c:pt idx="327">
                  <c:v>14.679802013238401</c:v>
                </c:pt>
                <c:pt idx="328">
                  <c:v>13.903537899345421</c:v>
                </c:pt>
                <c:pt idx="329">
                  <c:v>14.472096996290976</c:v>
                </c:pt>
                <c:pt idx="330">
                  <c:v>15.311791652779524</c:v>
                </c:pt>
                <c:pt idx="331">
                  <c:v>15.651456604632841</c:v>
                </c:pt>
                <c:pt idx="332">
                  <c:v>16.589185542361783</c:v>
                </c:pt>
                <c:pt idx="333">
                  <c:v>17.073223177647584</c:v>
                </c:pt>
                <c:pt idx="334">
                  <c:v>17.287011184404342</c:v>
                </c:pt>
                <c:pt idx="335">
                  <c:v>17.952002809194965</c:v>
                </c:pt>
                <c:pt idx="336">
                  <c:v>17.516531708640727</c:v>
                </c:pt>
                <c:pt idx="337">
                  <c:v>19.558773654728828</c:v>
                </c:pt>
                <c:pt idx="338">
                  <c:v>19.862925615935108</c:v>
                </c:pt>
                <c:pt idx="339">
                  <c:v>19.260159759950369</c:v>
                </c:pt>
                <c:pt idx="340">
                  <c:v>16.414422662716266</c:v>
                </c:pt>
                <c:pt idx="341">
                  <c:v>16.313679340364864</c:v>
                </c:pt>
                <c:pt idx="342">
                  <c:v>16.743282933413099</c:v>
                </c:pt>
                <c:pt idx="343">
                  <c:v>17.05036290599995</c:v>
                </c:pt>
                <c:pt idx="344">
                  <c:v>16.137639891603037</c:v>
                </c:pt>
                <c:pt idx="345">
                  <c:v>15.304649352730145</c:v>
                </c:pt>
                <c:pt idx="346">
                  <c:v>14.925897718117827</c:v>
                </c:pt>
                <c:pt idx="347">
                  <c:v>14.968350730352013</c:v>
                </c:pt>
                <c:pt idx="348">
                  <c:v>14.86384622584751</c:v>
                </c:pt>
                <c:pt idx="349">
                  <c:v>14.39693745833843</c:v>
                </c:pt>
                <c:pt idx="350">
                  <c:v>15.521410892228905</c:v>
                </c:pt>
                <c:pt idx="351">
                  <c:v>15.192210292577352</c:v>
                </c:pt>
                <c:pt idx="352">
                  <c:v>15.135209722571652</c:v>
                </c:pt>
                <c:pt idx="353">
                  <c:v>14.519976773834976</c:v>
                </c:pt>
                <c:pt idx="354">
                  <c:v>14.885934220643485</c:v>
                </c:pt>
                <c:pt idx="355">
                  <c:v>13.752457962107675</c:v>
                </c:pt>
                <c:pt idx="356">
                  <c:v>12.895220903090198</c:v>
                </c:pt>
                <c:pt idx="357">
                  <c:v>16.616769003653289</c:v>
                </c:pt>
                <c:pt idx="358">
                  <c:v>17.966226768352694</c:v>
                </c:pt>
                <c:pt idx="359">
                  <c:v>16.034097594844209</c:v>
                </c:pt>
                <c:pt idx="360">
                  <c:v>14.167237350544335</c:v>
                </c:pt>
                <c:pt idx="361">
                  <c:v>14.167237350544335</c:v>
                </c:pt>
                <c:pt idx="362">
                  <c:v>15.974338569410259</c:v>
                </c:pt>
                <c:pt idx="363">
                  <c:v>13.803023828374403</c:v>
                </c:pt>
                <c:pt idx="364">
                  <c:v>13.519372461690544</c:v>
                </c:pt>
                <c:pt idx="365">
                  <c:v>12.882606127249788</c:v>
                </c:pt>
                <c:pt idx="366">
                  <c:v>7.1081407999652821</c:v>
                </c:pt>
                <c:pt idx="367">
                  <c:v>6.119926664580901</c:v>
                </c:pt>
                <c:pt idx="368">
                  <c:v>9.5029837548203133</c:v>
                </c:pt>
                <c:pt idx="369">
                  <c:v>9.8839423143140035</c:v>
                </c:pt>
                <c:pt idx="370">
                  <c:v>10.162882342208007</c:v>
                </c:pt>
                <c:pt idx="371">
                  <c:v>11.082695412455022</c:v>
                </c:pt>
                <c:pt idx="372">
                  <c:v>10.331569327126132</c:v>
                </c:pt>
                <c:pt idx="373">
                  <c:v>11.243967114523922</c:v>
                </c:pt>
                <c:pt idx="374">
                  <c:v>13.828676063264149</c:v>
                </c:pt>
                <c:pt idx="375">
                  <c:v>11.754533906401404</c:v>
                </c:pt>
                <c:pt idx="376">
                  <c:v>10.678485061038085</c:v>
                </c:pt>
                <c:pt idx="377">
                  <c:v>13.102184721293675</c:v>
                </c:pt>
                <c:pt idx="378">
                  <c:v>10.797490601652935</c:v>
                </c:pt>
                <c:pt idx="379">
                  <c:v>10.392475066810503</c:v>
                </c:pt>
                <c:pt idx="380">
                  <c:v>9.6584146641259423</c:v>
                </c:pt>
                <c:pt idx="381">
                  <c:v>10.846645520406589</c:v>
                </c:pt>
                <c:pt idx="382">
                  <c:v>12.397033117305812</c:v>
                </c:pt>
                <c:pt idx="383">
                  <c:v>14.869985203859134</c:v>
                </c:pt>
                <c:pt idx="384">
                  <c:v>14.701309091330167</c:v>
                </c:pt>
                <c:pt idx="385">
                  <c:v>15.492559973297709</c:v>
                </c:pt>
                <c:pt idx="386">
                  <c:v>12.920934778614816</c:v>
                </c:pt>
                <c:pt idx="387">
                  <c:v>13.698814326754405</c:v>
                </c:pt>
                <c:pt idx="388">
                  <c:v>10.669595483582073</c:v>
                </c:pt>
                <c:pt idx="389">
                  <c:v>10.563192115684167</c:v>
                </c:pt>
                <c:pt idx="390">
                  <c:v>12.395462518807363</c:v>
                </c:pt>
                <c:pt idx="391">
                  <c:v>11.998870274389031</c:v>
                </c:pt>
                <c:pt idx="392">
                  <c:v>13.678057952341756</c:v>
                </c:pt>
                <c:pt idx="393">
                  <c:v>12.912630265899059</c:v>
                </c:pt>
                <c:pt idx="394">
                  <c:v>14.249047639324912</c:v>
                </c:pt>
                <c:pt idx="395">
                  <c:v>12.231503779675789</c:v>
                </c:pt>
                <c:pt idx="396">
                  <c:v>11.07210721148963</c:v>
                </c:pt>
                <c:pt idx="397">
                  <c:v>12.466491986315333</c:v>
                </c:pt>
                <c:pt idx="398">
                  <c:v>14.696475865949937</c:v>
                </c:pt>
                <c:pt idx="399">
                  <c:v>13.697888879459725</c:v>
                </c:pt>
                <c:pt idx="400">
                  <c:v>13.494338969021685</c:v>
                </c:pt>
                <c:pt idx="401">
                  <c:v>12.097668726243443</c:v>
                </c:pt>
                <c:pt idx="402">
                  <c:v>9.2056701614784622</c:v>
                </c:pt>
                <c:pt idx="403">
                  <c:v>8.6420568809798635</c:v>
                </c:pt>
                <c:pt idx="404">
                  <c:v>10.794393606150022</c:v>
                </c:pt>
                <c:pt idx="405">
                  <c:v>10.226945996733765</c:v>
                </c:pt>
                <c:pt idx="406">
                  <c:v>7.9834223246386617</c:v>
                </c:pt>
                <c:pt idx="407">
                  <c:v>6.4765430933654571</c:v>
                </c:pt>
                <c:pt idx="408">
                  <c:v>7.759757365580751</c:v>
                </c:pt>
                <c:pt idx="409">
                  <c:v>8.6130739387774238</c:v>
                </c:pt>
                <c:pt idx="410">
                  <c:v>9.4049014214705569</c:v>
                </c:pt>
                <c:pt idx="411">
                  <c:v>9.8076960975757057</c:v>
                </c:pt>
                <c:pt idx="412">
                  <c:v>9.8690503811522117</c:v>
                </c:pt>
                <c:pt idx="413">
                  <c:v>9.9226031502222227</c:v>
                </c:pt>
                <c:pt idx="414">
                  <c:v>10.636690781947127</c:v>
                </c:pt>
                <c:pt idx="415">
                  <c:v>11.06108072140915</c:v>
                </c:pt>
                <c:pt idx="416">
                  <c:v>11.359705475829582</c:v>
                </c:pt>
                <c:pt idx="417">
                  <c:v>10.599249202065323</c:v>
                </c:pt>
                <c:pt idx="418">
                  <c:v>12.531345993452172</c:v>
                </c:pt>
              </c:numCache>
            </c:numRef>
          </c:val>
          <c:smooth val="1"/>
          <c:extLst>
            <c:ext xmlns:c16="http://schemas.microsoft.com/office/drawing/2014/chart" uri="{C3380CC4-5D6E-409C-BE32-E72D297353CC}">
              <c16:uniqueId val="{00000000-A9EF-47C0-896E-1A1AEE0E0DC8}"/>
            </c:ext>
          </c:extLst>
        </c:ser>
        <c:ser>
          <c:idx val="7"/>
          <c:order val="1"/>
          <c:tx>
            <c:v>Total (MOC)</c:v>
          </c:tx>
          <c:spPr>
            <a:ln w="19050" cap="rnd">
              <a:solidFill>
                <a:schemeClr val="tx1">
                  <a:lumMod val="95000"/>
                  <a:lumOff val="5000"/>
                </a:schemeClr>
              </a:solidFill>
              <a:prstDash val="sysDash"/>
              <a:round/>
            </a:ln>
            <a:effectLst/>
          </c:spPr>
          <c:marker>
            <c:symbol val="none"/>
          </c:marker>
          <c:val>
            <c:numRef>
              <c:f>'2025-Q2'!$HV$4:$HV$422</c:f>
              <c:numCache>
                <c:formatCode>0.0</c:formatCode>
                <c:ptCount val="419"/>
                <c:pt idx="0">
                  <c:v>-3.9437012263099192</c:v>
                </c:pt>
                <c:pt idx="1">
                  <c:v>-4.0663838871605176</c:v>
                </c:pt>
                <c:pt idx="2">
                  <c:v>-3.3993062595791721</c:v>
                </c:pt>
                <c:pt idx="3">
                  <c:v>-3.5577597534787095</c:v>
                </c:pt>
                <c:pt idx="4">
                  <c:v>-3.1696122263666049</c:v>
                </c:pt>
                <c:pt idx="5">
                  <c:v>-2.9390069964140291</c:v>
                </c:pt>
                <c:pt idx="6">
                  <c:v>-2.6981863296222595</c:v>
                </c:pt>
                <c:pt idx="7">
                  <c:v>-1.631642810248555</c:v>
                </c:pt>
                <c:pt idx="8">
                  <c:v>-1.3100668859705833</c:v>
                </c:pt>
                <c:pt idx="9">
                  <c:v>-1.3681021291910145</c:v>
                </c:pt>
                <c:pt idx="10">
                  <c:v>-1.0754732142906662</c:v>
                </c:pt>
                <c:pt idx="11">
                  <c:v>-0.47552775478698617</c:v>
                </c:pt>
                <c:pt idx="12">
                  <c:v>-0.48303912915388475</c:v>
                </c:pt>
                <c:pt idx="13">
                  <c:v>-0.56293893048410593</c:v>
                </c:pt>
                <c:pt idx="14">
                  <c:v>0.71749923101393653</c:v>
                </c:pt>
                <c:pt idx="15">
                  <c:v>0.71501166882488087</c:v>
                </c:pt>
                <c:pt idx="16">
                  <c:v>1.9276456225755878</c:v>
                </c:pt>
                <c:pt idx="17">
                  <c:v>2.2771149469348968</c:v>
                </c:pt>
                <c:pt idx="18">
                  <c:v>1.9816394160023014</c:v>
                </c:pt>
                <c:pt idx="19">
                  <c:v>2.4411545483109678</c:v>
                </c:pt>
                <c:pt idx="20">
                  <c:v>2.6294105765093163</c:v>
                </c:pt>
                <c:pt idx="21">
                  <c:v>2.5702554088828875</c:v>
                </c:pt>
                <c:pt idx="22">
                  <c:v>2.3691585167439517</c:v>
                </c:pt>
                <c:pt idx="23">
                  <c:v>2.4619228952226173</c:v>
                </c:pt>
                <c:pt idx="24">
                  <c:v>2.8030840991239971</c:v>
                </c:pt>
                <c:pt idx="25">
                  <c:v>-0.92686029214269583</c:v>
                </c:pt>
                <c:pt idx="26">
                  <c:v>-0.88056399584639955</c:v>
                </c:pt>
                <c:pt idx="27">
                  <c:v>-1.3829503309380851</c:v>
                </c:pt>
                <c:pt idx="28">
                  <c:v>-1.504668293031632</c:v>
                </c:pt>
                <c:pt idx="29">
                  <c:v>-1.4055929958057403</c:v>
                </c:pt>
                <c:pt idx="30">
                  <c:v>-1.9316550456043891</c:v>
                </c:pt>
                <c:pt idx="31">
                  <c:v>-1.8105310145966371</c:v>
                </c:pt>
                <c:pt idx="32">
                  <c:v>-2.047441699268516</c:v>
                </c:pt>
                <c:pt idx="33">
                  <c:v>-2.1535358528875781</c:v>
                </c:pt>
                <c:pt idx="34">
                  <c:v>-2.9641013033458181</c:v>
                </c:pt>
                <c:pt idx="35">
                  <c:v>-4.2974346366791529</c:v>
                </c:pt>
                <c:pt idx="36">
                  <c:v>-4.427542329779576</c:v>
                </c:pt>
                <c:pt idx="37">
                  <c:v>-4.7123983480103613</c:v>
                </c:pt>
                <c:pt idx="38">
                  <c:v>-4.4575243975669014</c:v>
                </c:pt>
                <c:pt idx="39">
                  <c:v>-3.5861941336924534</c:v>
                </c:pt>
                <c:pt idx="40">
                  <c:v>-5.8923857821666052</c:v>
                </c:pt>
                <c:pt idx="41">
                  <c:v>-6.3589093617290002</c:v>
                </c:pt>
                <c:pt idx="42">
                  <c:v>-5.4312937899528428</c:v>
                </c:pt>
                <c:pt idx="43">
                  <c:v>-4.4192388418171555</c:v>
                </c:pt>
                <c:pt idx="44">
                  <c:v>-4.3182993278797381</c:v>
                </c:pt>
                <c:pt idx="45">
                  <c:v>-4.1819346997733522</c:v>
                </c:pt>
                <c:pt idx="46">
                  <c:v>-4.8226137655172963</c:v>
                </c:pt>
                <c:pt idx="47">
                  <c:v>-6.9321000232729926</c:v>
                </c:pt>
                <c:pt idx="48">
                  <c:v>-8.3247180736077198</c:v>
                </c:pt>
                <c:pt idx="49">
                  <c:v>-9.9594046155254716</c:v>
                </c:pt>
                <c:pt idx="50">
                  <c:v>-10.215229084243491</c:v>
                </c:pt>
                <c:pt idx="51">
                  <c:v>-8.8616985372796808</c:v>
                </c:pt>
                <c:pt idx="52">
                  <c:v>-10.39834156328441</c:v>
                </c:pt>
                <c:pt idx="53">
                  <c:v>-9.6827780570232296</c:v>
                </c:pt>
                <c:pt idx="54">
                  <c:v>-9.3628410000263909</c:v>
                </c:pt>
                <c:pt idx="55">
                  <c:v>-9.2081723307133707</c:v>
                </c:pt>
                <c:pt idx="56">
                  <c:v>-10.28568362720277</c:v>
                </c:pt>
                <c:pt idx="57">
                  <c:v>-7.6935069474348481</c:v>
                </c:pt>
                <c:pt idx="58">
                  <c:v>-7.0805026387783645</c:v>
                </c:pt>
                <c:pt idx="59">
                  <c:v>-6.1910347786839539</c:v>
                </c:pt>
                <c:pt idx="60">
                  <c:v>-6.1292682561391718</c:v>
                </c:pt>
                <c:pt idx="61">
                  <c:v>-5.6171082904876251</c:v>
                </c:pt>
                <c:pt idx="62">
                  <c:v>-4.2482869977119577</c:v>
                </c:pt>
                <c:pt idx="63">
                  <c:v>-3.9223222168951706</c:v>
                </c:pt>
                <c:pt idx="64">
                  <c:v>-3.7801362623946764</c:v>
                </c:pt>
                <c:pt idx="65">
                  <c:v>-2.7700041760873502</c:v>
                </c:pt>
                <c:pt idx="66">
                  <c:v>-2.9177314488146204</c:v>
                </c:pt>
                <c:pt idx="67">
                  <c:v>-2.7992671146301831</c:v>
                </c:pt>
                <c:pt idx="68">
                  <c:v>-2.3626524985269199</c:v>
                </c:pt>
                <c:pt idx="69">
                  <c:v>-1.956420905895961</c:v>
                </c:pt>
                <c:pt idx="70">
                  <c:v>-1.3839535989341059</c:v>
                </c:pt>
                <c:pt idx="71">
                  <c:v>-1.6400162589732685</c:v>
                </c:pt>
                <c:pt idx="72">
                  <c:v>-0.64929276883198517</c:v>
                </c:pt>
                <c:pt idx="73">
                  <c:v>-1.1993898091036987</c:v>
                </c:pt>
                <c:pt idx="74">
                  <c:v>-0.52079959342773785</c:v>
                </c:pt>
                <c:pt idx="75">
                  <c:v>-1.6408939171602637</c:v>
                </c:pt>
                <c:pt idx="76">
                  <c:v>-0.54767450649096849</c:v>
                </c:pt>
                <c:pt idx="77">
                  <c:v>0.27031568135763384</c:v>
                </c:pt>
                <c:pt idx="78">
                  <c:v>-0.82617554671254012</c:v>
                </c:pt>
                <c:pt idx="79">
                  <c:v>-1.9072304235789335</c:v>
                </c:pt>
                <c:pt idx="80">
                  <c:v>-1.6406184465485809</c:v>
                </c:pt>
                <c:pt idx="81">
                  <c:v>-2.7452641083898142</c:v>
                </c:pt>
                <c:pt idx="82">
                  <c:v>-3.7867746733531007</c:v>
                </c:pt>
                <c:pt idx="83">
                  <c:v>-3.1728770766968823</c:v>
                </c:pt>
                <c:pt idx="84">
                  <c:v>-6.2590124981616437</c:v>
                </c:pt>
                <c:pt idx="85">
                  <c:v>-7.4146438328211133</c:v>
                </c:pt>
                <c:pt idx="86">
                  <c:v>-8.0381479258237878</c:v>
                </c:pt>
                <c:pt idx="87">
                  <c:v>-8.4659500296035475</c:v>
                </c:pt>
                <c:pt idx="88">
                  <c:v>-8.1375913679115524</c:v>
                </c:pt>
                <c:pt idx="89">
                  <c:v>-7.8564122295895586</c:v>
                </c:pt>
                <c:pt idx="90">
                  <c:v>-7.2375165715294099</c:v>
                </c:pt>
                <c:pt idx="91">
                  <c:v>-7.0715777069005883</c:v>
                </c:pt>
                <c:pt idx="92">
                  <c:v>-7.5083593160959916</c:v>
                </c:pt>
                <c:pt idx="93">
                  <c:v>-8.0703786416728036</c:v>
                </c:pt>
                <c:pt idx="94">
                  <c:v>-7.7327371227869204</c:v>
                </c:pt>
                <c:pt idx="95">
                  <c:v>-7.9655709217878545</c:v>
                </c:pt>
                <c:pt idx="96">
                  <c:v>-7.1513340784493673</c:v>
                </c:pt>
                <c:pt idx="97">
                  <c:v>-7.2062829073524508</c:v>
                </c:pt>
                <c:pt idx="98">
                  <c:v>-7.9635428767841585</c:v>
                </c:pt>
                <c:pt idx="99">
                  <c:v>-9.8901193464415691</c:v>
                </c:pt>
                <c:pt idx="100">
                  <c:v>-12.319422819586379</c:v>
                </c:pt>
                <c:pt idx="101">
                  <c:v>-12.665164981185317</c:v>
                </c:pt>
                <c:pt idx="102">
                  <c:v>-12.66824697770266</c:v>
                </c:pt>
                <c:pt idx="103">
                  <c:v>-14.537827672899343</c:v>
                </c:pt>
                <c:pt idx="104">
                  <c:v>-14.604919252906051</c:v>
                </c:pt>
                <c:pt idx="105">
                  <c:v>-13.577945731500458</c:v>
                </c:pt>
                <c:pt idx="106">
                  <c:v>-13.384115084106096</c:v>
                </c:pt>
                <c:pt idx="107">
                  <c:v>-14.500913595041414</c:v>
                </c:pt>
                <c:pt idx="108">
                  <c:v>-14.255253926578749</c:v>
                </c:pt>
                <c:pt idx="109">
                  <c:v>-14.723145275299114</c:v>
                </c:pt>
                <c:pt idx="110">
                  <c:v>-14.527515921353128</c:v>
                </c:pt>
                <c:pt idx="111">
                  <c:v>-14.412891792974104</c:v>
                </c:pt>
                <c:pt idx="112">
                  <c:v>-15.071435284182135</c:v>
                </c:pt>
                <c:pt idx="113">
                  <c:v>-14.54566418403614</c:v>
                </c:pt>
                <c:pt idx="114">
                  <c:v>-14.32811653930403</c:v>
                </c:pt>
                <c:pt idx="115">
                  <c:v>-12.423525042370665</c:v>
                </c:pt>
                <c:pt idx="116">
                  <c:v>-12.476970893284868</c:v>
                </c:pt>
                <c:pt idx="117">
                  <c:v>-12.056128340462621</c:v>
                </c:pt>
                <c:pt idx="118">
                  <c:v>-11.567916569406956</c:v>
                </c:pt>
                <c:pt idx="119">
                  <c:v>-11.667197505539434</c:v>
                </c:pt>
                <c:pt idx="120">
                  <c:v>-11.981743843934106</c:v>
                </c:pt>
                <c:pt idx="121">
                  <c:v>-12.002115184368309</c:v>
                </c:pt>
                <c:pt idx="122">
                  <c:v>-13.001708963384095</c:v>
                </c:pt>
                <c:pt idx="123">
                  <c:v>-13.14946867465533</c:v>
                </c:pt>
                <c:pt idx="124">
                  <c:v>-11.992721834051986</c:v>
                </c:pt>
                <c:pt idx="125">
                  <c:v>-11.031475012932553</c:v>
                </c:pt>
                <c:pt idx="126">
                  <c:v>-11.01067153644048</c:v>
                </c:pt>
                <c:pt idx="127">
                  <c:v>-11.809888875392918</c:v>
                </c:pt>
                <c:pt idx="128">
                  <c:v>-11.448125939171499</c:v>
                </c:pt>
                <c:pt idx="129">
                  <c:v>-12.024435499735457</c:v>
                </c:pt>
                <c:pt idx="130">
                  <c:v>-11.239011574067629</c:v>
                </c:pt>
                <c:pt idx="131">
                  <c:v>-11.66978529791351</c:v>
                </c:pt>
                <c:pt idx="132">
                  <c:v>-11.775627804264062</c:v>
                </c:pt>
                <c:pt idx="133">
                  <c:v>-11.458736597542346</c:v>
                </c:pt>
                <c:pt idx="134">
                  <c:v>-11.416135063887133</c:v>
                </c:pt>
                <c:pt idx="135">
                  <c:v>-11.552189485655839</c:v>
                </c:pt>
                <c:pt idx="136">
                  <c:v>-11.490391154210789</c:v>
                </c:pt>
                <c:pt idx="137">
                  <c:v>-11.324268681850128</c:v>
                </c:pt>
                <c:pt idx="138">
                  <c:v>-11.859337373101031</c:v>
                </c:pt>
                <c:pt idx="139">
                  <c:v>-11.340126573516399</c:v>
                </c:pt>
                <c:pt idx="140">
                  <c:v>-11.210117751489193</c:v>
                </c:pt>
                <c:pt idx="141">
                  <c:v>-11.759560638713948</c:v>
                </c:pt>
                <c:pt idx="142">
                  <c:v>-12.619281092668251</c:v>
                </c:pt>
                <c:pt idx="143">
                  <c:v>-12.976075589305651</c:v>
                </c:pt>
                <c:pt idx="144">
                  <c:v>-13.010785759385486</c:v>
                </c:pt>
                <c:pt idx="145">
                  <c:v>-11.8662245396843</c:v>
                </c:pt>
                <c:pt idx="146">
                  <c:v>-12.254423297448275</c:v>
                </c:pt>
                <c:pt idx="147">
                  <c:v>-13.153954843346812</c:v>
                </c:pt>
                <c:pt idx="148">
                  <c:v>-13.065571004962973</c:v>
                </c:pt>
                <c:pt idx="149">
                  <c:v>-12.254794907605621</c:v>
                </c:pt>
                <c:pt idx="150">
                  <c:v>-11.751697546628787</c:v>
                </c:pt>
                <c:pt idx="151">
                  <c:v>-9.8256354551255161</c:v>
                </c:pt>
                <c:pt idx="152">
                  <c:v>-7.7537616010734451</c:v>
                </c:pt>
                <c:pt idx="153">
                  <c:v>-8.6966019074965448</c:v>
                </c:pt>
                <c:pt idx="154">
                  <c:v>-8.5023721893736433</c:v>
                </c:pt>
                <c:pt idx="155">
                  <c:v>-8.810847132549311</c:v>
                </c:pt>
                <c:pt idx="156">
                  <c:v>-7.4239822729359801</c:v>
                </c:pt>
                <c:pt idx="157">
                  <c:v>-6.9242147229592268</c:v>
                </c:pt>
                <c:pt idx="158">
                  <c:v>-7.4779839262461145</c:v>
                </c:pt>
                <c:pt idx="159">
                  <c:v>-9.0169783838866522</c:v>
                </c:pt>
                <c:pt idx="160">
                  <c:v>-8.3873769622060266</c:v>
                </c:pt>
                <c:pt idx="161">
                  <c:v>-7.839083037498531</c:v>
                </c:pt>
                <c:pt idx="162">
                  <c:v>-7.4002218132140403</c:v>
                </c:pt>
                <c:pt idx="163">
                  <c:v>-8.7296162002155189</c:v>
                </c:pt>
                <c:pt idx="164">
                  <c:v>-8.6282282149628617</c:v>
                </c:pt>
                <c:pt idx="165">
                  <c:v>-7.2196911695426094</c:v>
                </c:pt>
                <c:pt idx="166">
                  <c:v>-7.346543978918687</c:v>
                </c:pt>
                <c:pt idx="167">
                  <c:v>-7.0743730352800469</c:v>
                </c:pt>
                <c:pt idx="168">
                  <c:v>-6.3920299741840978</c:v>
                </c:pt>
                <c:pt idx="169">
                  <c:v>-6.0816952640931419</c:v>
                </c:pt>
                <c:pt idx="170">
                  <c:v>-6.2494804989924724</c:v>
                </c:pt>
                <c:pt idx="171">
                  <c:v>-7.6564705365557586</c:v>
                </c:pt>
                <c:pt idx="172">
                  <c:v>-7.3191106497345606</c:v>
                </c:pt>
                <c:pt idx="173">
                  <c:v>-6.1656564007025665</c:v>
                </c:pt>
                <c:pt idx="174">
                  <c:v>-4.8710649162376658</c:v>
                </c:pt>
                <c:pt idx="175">
                  <c:v>-3.6001714958730133</c:v>
                </c:pt>
                <c:pt idx="176">
                  <c:v>-3.4411477072123833</c:v>
                </c:pt>
                <c:pt idx="177">
                  <c:v>-2.7365332566962923</c:v>
                </c:pt>
                <c:pt idx="178">
                  <c:v>-2.9345456604921556</c:v>
                </c:pt>
                <c:pt idx="179">
                  <c:v>-1.5549337012046232</c:v>
                </c:pt>
                <c:pt idx="180">
                  <c:v>-2.3462476504133112</c:v>
                </c:pt>
                <c:pt idx="181">
                  <c:v>-2.4428587027176931</c:v>
                </c:pt>
                <c:pt idx="182">
                  <c:v>-2.0667996206643187</c:v>
                </c:pt>
                <c:pt idx="183">
                  <c:v>-1.9194592752211141</c:v>
                </c:pt>
                <c:pt idx="184">
                  <c:v>-2.2502921276927412</c:v>
                </c:pt>
                <c:pt idx="185">
                  <c:v>-1.9324281734651472</c:v>
                </c:pt>
                <c:pt idx="186">
                  <c:v>-2.0570250658720659</c:v>
                </c:pt>
                <c:pt idx="187">
                  <c:v>-2.1768411848079019</c:v>
                </c:pt>
                <c:pt idx="188">
                  <c:v>-0.68934735931057389</c:v>
                </c:pt>
                <c:pt idx="189">
                  <c:v>-0.77779988241879217</c:v>
                </c:pt>
                <c:pt idx="190">
                  <c:v>-1.6228416254446525</c:v>
                </c:pt>
                <c:pt idx="191">
                  <c:v>-1.8420275064580327</c:v>
                </c:pt>
                <c:pt idx="192">
                  <c:v>-2.4677183042019433</c:v>
                </c:pt>
                <c:pt idx="193">
                  <c:v>0.59122051702163203</c:v>
                </c:pt>
                <c:pt idx="194">
                  <c:v>0.46859401053583893</c:v>
                </c:pt>
                <c:pt idx="195">
                  <c:v>-0.45197797397138184</c:v>
                </c:pt>
                <c:pt idx="196">
                  <c:v>-0.49546469683627348</c:v>
                </c:pt>
                <c:pt idx="197">
                  <c:v>0.11932191271473336</c:v>
                </c:pt>
                <c:pt idx="198">
                  <c:v>0.13996941849603359</c:v>
                </c:pt>
                <c:pt idx="199">
                  <c:v>7.4185607461564718E-2</c:v>
                </c:pt>
                <c:pt idx="200">
                  <c:v>-0.23917796728164359</c:v>
                </c:pt>
                <c:pt idx="201">
                  <c:v>0.45676119185166025</c:v>
                </c:pt>
                <c:pt idx="202">
                  <c:v>0.59614130842412305</c:v>
                </c:pt>
                <c:pt idx="203">
                  <c:v>1.0962946573282693</c:v>
                </c:pt>
                <c:pt idx="204">
                  <c:v>1.5701095506060225</c:v>
                </c:pt>
                <c:pt idx="205">
                  <c:v>0.40240268529496848</c:v>
                </c:pt>
                <c:pt idx="206">
                  <c:v>1.8943707888428718</c:v>
                </c:pt>
                <c:pt idx="207">
                  <c:v>1.8622830434445496</c:v>
                </c:pt>
                <c:pt idx="208">
                  <c:v>1.634268733580964</c:v>
                </c:pt>
                <c:pt idx="209">
                  <c:v>1.9316892361382256</c:v>
                </c:pt>
                <c:pt idx="210">
                  <c:v>-1.2245354217189419E-2</c:v>
                </c:pt>
                <c:pt idx="211">
                  <c:v>-0.20272994997063348</c:v>
                </c:pt>
                <c:pt idx="212">
                  <c:v>8.2043124586332061E-2</c:v>
                </c:pt>
                <c:pt idx="213">
                  <c:v>0.69910554857500662</c:v>
                </c:pt>
                <c:pt idx="214">
                  <c:v>0.72831456832030395</c:v>
                </c:pt>
                <c:pt idx="215">
                  <c:v>-1.2064471841581077</c:v>
                </c:pt>
                <c:pt idx="216">
                  <c:v>-0.52189214493360125</c:v>
                </c:pt>
                <c:pt idx="217">
                  <c:v>0.61463549253212213</c:v>
                </c:pt>
                <c:pt idx="218">
                  <c:v>0.88198657797752911</c:v>
                </c:pt>
                <c:pt idx="219">
                  <c:v>2.5470018956629081</c:v>
                </c:pt>
                <c:pt idx="220">
                  <c:v>3.6197539924056419</c:v>
                </c:pt>
                <c:pt idx="221">
                  <c:v>3.4128135275855183</c:v>
                </c:pt>
                <c:pt idx="222">
                  <c:v>4.2476097046871351</c:v>
                </c:pt>
                <c:pt idx="223">
                  <c:v>3.2581982635430196</c:v>
                </c:pt>
                <c:pt idx="224">
                  <c:v>4.2349890929010412</c:v>
                </c:pt>
                <c:pt idx="225">
                  <c:v>3.8025680624733664</c:v>
                </c:pt>
                <c:pt idx="226">
                  <c:v>2.3044815969097097</c:v>
                </c:pt>
                <c:pt idx="227">
                  <c:v>2.5800413276127019</c:v>
                </c:pt>
                <c:pt idx="228">
                  <c:v>2.7685490417227054</c:v>
                </c:pt>
                <c:pt idx="229">
                  <c:v>3.3499443905599149</c:v>
                </c:pt>
                <c:pt idx="230">
                  <c:v>3.6365462983222301</c:v>
                </c:pt>
                <c:pt idx="231">
                  <c:v>3.0146324287053812</c:v>
                </c:pt>
                <c:pt idx="232">
                  <c:v>3.7198332850207065</c:v>
                </c:pt>
                <c:pt idx="233">
                  <c:v>3.5694820739886897</c:v>
                </c:pt>
                <c:pt idx="234">
                  <c:v>4.4773033030389708</c:v>
                </c:pt>
                <c:pt idx="235">
                  <c:v>3.7922313413007833</c:v>
                </c:pt>
                <c:pt idx="236">
                  <c:v>5.2094059114410136</c:v>
                </c:pt>
                <c:pt idx="237">
                  <c:v>5.32312677047089</c:v>
                </c:pt>
                <c:pt idx="238">
                  <c:v>3.9290392955973896</c:v>
                </c:pt>
                <c:pt idx="239">
                  <c:v>4.2373992773242062</c:v>
                </c:pt>
                <c:pt idx="240">
                  <c:v>4.38580877553209</c:v>
                </c:pt>
                <c:pt idx="241">
                  <c:v>7.7915315297500545</c:v>
                </c:pt>
                <c:pt idx="242">
                  <c:v>7.7722535767181595</c:v>
                </c:pt>
                <c:pt idx="243">
                  <c:v>7.6042563721916432</c:v>
                </c:pt>
                <c:pt idx="244">
                  <c:v>6.361732766520209</c:v>
                </c:pt>
                <c:pt idx="245">
                  <c:v>6.4694699540823679</c:v>
                </c:pt>
                <c:pt idx="246">
                  <c:v>6.4017192765755935</c:v>
                </c:pt>
                <c:pt idx="247">
                  <c:v>6.1277332694323858</c:v>
                </c:pt>
                <c:pt idx="248">
                  <c:v>5.4600830954272421</c:v>
                </c:pt>
                <c:pt idx="249">
                  <c:v>4.2861236503898876</c:v>
                </c:pt>
                <c:pt idx="250">
                  <c:v>6.2233509734347523</c:v>
                </c:pt>
                <c:pt idx="251">
                  <c:v>4.9320201624461024</c:v>
                </c:pt>
                <c:pt idx="252">
                  <c:v>5.0681993631575688</c:v>
                </c:pt>
                <c:pt idx="253">
                  <c:v>6.4600708337691968</c:v>
                </c:pt>
                <c:pt idx="254">
                  <c:v>6.1333735392311644</c:v>
                </c:pt>
                <c:pt idx="255">
                  <c:v>6.5356184027810329</c:v>
                </c:pt>
                <c:pt idx="256">
                  <c:v>6.9780962788872252</c:v>
                </c:pt>
                <c:pt idx="257">
                  <c:v>4.9703399566766731</c:v>
                </c:pt>
                <c:pt idx="258">
                  <c:v>4.5631602990399758</c:v>
                </c:pt>
                <c:pt idx="259">
                  <c:v>2.9698314329838391</c:v>
                </c:pt>
                <c:pt idx="260">
                  <c:v>2.737970455888894</c:v>
                </c:pt>
                <c:pt idx="261">
                  <c:v>2.4502511576432791</c:v>
                </c:pt>
                <c:pt idx="262">
                  <c:v>3.1177932894007796</c:v>
                </c:pt>
                <c:pt idx="263">
                  <c:v>2.6006839942015962</c:v>
                </c:pt>
                <c:pt idx="264">
                  <c:v>2.6553288029447657</c:v>
                </c:pt>
                <c:pt idx="265">
                  <c:v>1.8881258828420211</c:v>
                </c:pt>
                <c:pt idx="266">
                  <c:v>2.2042445655235676</c:v>
                </c:pt>
                <c:pt idx="267">
                  <c:v>2.1979354172585821</c:v>
                </c:pt>
                <c:pt idx="268">
                  <c:v>2.0560716529849943</c:v>
                </c:pt>
                <c:pt idx="269">
                  <c:v>2.9984497097909126</c:v>
                </c:pt>
                <c:pt idx="270">
                  <c:v>3.4462366091536762</c:v>
                </c:pt>
                <c:pt idx="271">
                  <c:v>4.3098327118994675</c:v>
                </c:pt>
                <c:pt idx="272">
                  <c:v>4.2530682842741143</c:v>
                </c:pt>
                <c:pt idx="273">
                  <c:v>3.0123996701877775</c:v>
                </c:pt>
                <c:pt idx="274">
                  <c:v>2.6321572185651587</c:v>
                </c:pt>
                <c:pt idx="275">
                  <c:v>3.8127127741207123</c:v>
                </c:pt>
                <c:pt idx="276">
                  <c:v>3.5186547737151166</c:v>
                </c:pt>
                <c:pt idx="277">
                  <c:v>3.6221878395880305</c:v>
                </c:pt>
                <c:pt idx="278">
                  <c:v>4.7208647644583444</c:v>
                </c:pt>
                <c:pt idx="279">
                  <c:v>5.2931108302666416</c:v>
                </c:pt>
                <c:pt idx="280">
                  <c:v>5.2290795560442858</c:v>
                </c:pt>
                <c:pt idx="281">
                  <c:v>4.4358659392105322</c:v>
                </c:pt>
                <c:pt idx="282">
                  <c:v>4.458340833731766</c:v>
                </c:pt>
                <c:pt idx="283">
                  <c:v>3.3929399898499124</c:v>
                </c:pt>
                <c:pt idx="284">
                  <c:v>4.0004933560239673</c:v>
                </c:pt>
                <c:pt idx="285">
                  <c:v>2.6267245639036965</c:v>
                </c:pt>
                <c:pt idx="286">
                  <c:v>2.7464563646699811</c:v>
                </c:pt>
                <c:pt idx="287">
                  <c:v>1.5681078825942969</c:v>
                </c:pt>
                <c:pt idx="288">
                  <c:v>3.5519055510392703</c:v>
                </c:pt>
                <c:pt idx="289">
                  <c:v>4.0338229853620255</c:v>
                </c:pt>
                <c:pt idx="290">
                  <c:v>4.2102295461847552</c:v>
                </c:pt>
                <c:pt idx="291">
                  <c:v>5.2842972554131453</c:v>
                </c:pt>
                <c:pt idx="292">
                  <c:v>4.9245598986095693</c:v>
                </c:pt>
                <c:pt idx="293">
                  <c:v>4.8706743108197479</c:v>
                </c:pt>
                <c:pt idx="294">
                  <c:v>3.0768874676676008</c:v>
                </c:pt>
                <c:pt idx="295">
                  <c:v>2.6535700572827325</c:v>
                </c:pt>
                <c:pt idx="296">
                  <c:v>2.2511586965419226</c:v>
                </c:pt>
                <c:pt idx="297">
                  <c:v>3.0403337592976727</c:v>
                </c:pt>
                <c:pt idx="298">
                  <c:v>2.3047015753896258</c:v>
                </c:pt>
                <c:pt idx="299">
                  <c:v>1.7887541082226468</c:v>
                </c:pt>
                <c:pt idx="300">
                  <c:v>2.5731297662559154</c:v>
                </c:pt>
                <c:pt idx="301">
                  <c:v>4.9273774372095778</c:v>
                </c:pt>
                <c:pt idx="302">
                  <c:v>4.825204390957583</c:v>
                </c:pt>
                <c:pt idx="303">
                  <c:v>5.9935782705990688</c:v>
                </c:pt>
                <c:pt idx="304">
                  <c:v>4.5911544824931187</c:v>
                </c:pt>
                <c:pt idx="305">
                  <c:v>6.0984211404135582</c:v>
                </c:pt>
                <c:pt idx="306">
                  <c:v>8.0783635820313453</c:v>
                </c:pt>
                <c:pt idx="307">
                  <c:v>8.2084912310584865</c:v>
                </c:pt>
                <c:pt idx="308">
                  <c:v>8.5350820443749669</c:v>
                </c:pt>
                <c:pt idx="309">
                  <c:v>9.2202111371198097</c:v>
                </c:pt>
                <c:pt idx="310">
                  <c:v>10.816656166744565</c:v>
                </c:pt>
                <c:pt idx="311">
                  <c:v>11.573165667096431</c:v>
                </c:pt>
                <c:pt idx="312">
                  <c:v>11.362243309326507</c:v>
                </c:pt>
                <c:pt idx="313">
                  <c:v>11.984316887921826</c:v>
                </c:pt>
                <c:pt idx="314">
                  <c:v>11.034704484821052</c:v>
                </c:pt>
                <c:pt idx="315">
                  <c:v>10.158536260521988</c:v>
                </c:pt>
                <c:pt idx="316">
                  <c:v>10.236044409743286</c:v>
                </c:pt>
                <c:pt idx="317">
                  <c:v>10.271941845640722</c:v>
                </c:pt>
                <c:pt idx="318">
                  <c:v>9.0558935587598377</c:v>
                </c:pt>
                <c:pt idx="319">
                  <c:v>12.53643830584155</c:v>
                </c:pt>
                <c:pt idx="320">
                  <c:v>14.329119329561898</c:v>
                </c:pt>
                <c:pt idx="321">
                  <c:v>14.200007395128306</c:v>
                </c:pt>
                <c:pt idx="322">
                  <c:v>15.100502667528129</c:v>
                </c:pt>
                <c:pt idx="323">
                  <c:v>11.841796199866437</c:v>
                </c:pt>
                <c:pt idx="324">
                  <c:v>9.7423524337560039</c:v>
                </c:pt>
                <c:pt idx="325">
                  <c:v>10.455822753390708</c:v>
                </c:pt>
                <c:pt idx="326">
                  <c:v>8.5585481202670177</c:v>
                </c:pt>
                <c:pt idx="327">
                  <c:v>8.5066198505169641</c:v>
                </c:pt>
                <c:pt idx="328">
                  <c:v>8.1322948627899141</c:v>
                </c:pt>
                <c:pt idx="329">
                  <c:v>9.4644661775309533</c:v>
                </c:pt>
                <c:pt idx="330">
                  <c:v>11.678206635546221</c:v>
                </c:pt>
                <c:pt idx="331">
                  <c:v>12.654331157377113</c:v>
                </c:pt>
                <c:pt idx="332">
                  <c:v>14.074111377157333</c:v>
                </c:pt>
                <c:pt idx="333">
                  <c:v>14.881747206819597</c:v>
                </c:pt>
                <c:pt idx="334">
                  <c:v>15.728101373486266</c:v>
                </c:pt>
                <c:pt idx="335">
                  <c:v>16.358587135630319</c:v>
                </c:pt>
                <c:pt idx="336">
                  <c:v>16.275968112600268</c:v>
                </c:pt>
                <c:pt idx="337">
                  <c:v>16.84302925658449</c:v>
                </c:pt>
                <c:pt idx="338">
                  <c:v>16.441319119142236</c:v>
                </c:pt>
                <c:pt idx="339">
                  <c:v>15.565782638455541</c:v>
                </c:pt>
                <c:pt idx="340">
                  <c:v>13.886284491891526</c:v>
                </c:pt>
                <c:pt idx="341">
                  <c:v>13.927126379331286</c:v>
                </c:pt>
                <c:pt idx="342">
                  <c:v>13.692797146759526</c:v>
                </c:pt>
                <c:pt idx="343">
                  <c:v>13.590437155897243</c:v>
                </c:pt>
                <c:pt idx="344">
                  <c:v>12.125947247513968</c:v>
                </c:pt>
                <c:pt idx="345">
                  <c:v>10.993011555754748</c:v>
                </c:pt>
                <c:pt idx="346">
                  <c:v>11.072748741988921</c:v>
                </c:pt>
                <c:pt idx="347">
                  <c:v>10.694530996629803</c:v>
                </c:pt>
                <c:pt idx="348">
                  <c:v>10.974170636269442</c:v>
                </c:pt>
                <c:pt idx="349">
                  <c:v>10.492439368204517</c:v>
                </c:pt>
                <c:pt idx="350">
                  <c:v>11.36042414874535</c:v>
                </c:pt>
                <c:pt idx="351">
                  <c:v>11.319907151865159</c:v>
                </c:pt>
                <c:pt idx="352">
                  <c:v>10.548149434287984</c:v>
                </c:pt>
                <c:pt idx="353">
                  <c:v>10.763572247198748</c:v>
                </c:pt>
                <c:pt idx="354">
                  <c:v>10.546550970603004</c:v>
                </c:pt>
                <c:pt idx="355">
                  <c:v>9.7991712659817551</c:v>
                </c:pt>
                <c:pt idx="356">
                  <c:v>7.8786305472214515</c:v>
                </c:pt>
                <c:pt idx="357">
                  <c:v>11.188435712843891</c:v>
                </c:pt>
                <c:pt idx="358">
                  <c:v>12.541146388898959</c:v>
                </c:pt>
                <c:pt idx="359">
                  <c:v>10.900204954854075</c:v>
                </c:pt>
                <c:pt idx="360">
                  <c:v>8.8137321108555948</c:v>
                </c:pt>
                <c:pt idx="361">
                  <c:v>8.8335061221550291</c:v>
                </c:pt>
                <c:pt idx="362">
                  <c:v>11.705790170909667</c:v>
                </c:pt>
                <c:pt idx="363">
                  <c:v>9.0138911005245408</c:v>
                </c:pt>
                <c:pt idx="364">
                  <c:v>8.2531897080541938</c:v>
                </c:pt>
                <c:pt idx="365">
                  <c:v>8.3085606936577356</c:v>
                </c:pt>
                <c:pt idx="366">
                  <c:v>5.8631081121066462</c:v>
                </c:pt>
                <c:pt idx="367">
                  <c:v>5.5856811041090948</c:v>
                </c:pt>
                <c:pt idx="368">
                  <c:v>9.5156995203153585</c:v>
                </c:pt>
                <c:pt idx="369">
                  <c:v>9.2475508275402358</c:v>
                </c:pt>
                <c:pt idx="370">
                  <c:v>8.6093698546312272</c:v>
                </c:pt>
                <c:pt idx="371">
                  <c:v>9.1508727105024548</c:v>
                </c:pt>
                <c:pt idx="372">
                  <c:v>8.6008117267929585</c:v>
                </c:pt>
                <c:pt idx="373">
                  <c:v>8.9615620875433208</c:v>
                </c:pt>
                <c:pt idx="374">
                  <c:v>12.422320848041442</c:v>
                </c:pt>
                <c:pt idx="375">
                  <c:v>11.043644377453207</c:v>
                </c:pt>
                <c:pt idx="376">
                  <c:v>10.590253010024842</c:v>
                </c:pt>
                <c:pt idx="377">
                  <c:v>13.756699340358761</c:v>
                </c:pt>
                <c:pt idx="378">
                  <c:v>11.824823387130495</c:v>
                </c:pt>
                <c:pt idx="379">
                  <c:v>12.013460759522861</c:v>
                </c:pt>
                <c:pt idx="380">
                  <c:v>10.801678507472152</c:v>
                </c:pt>
                <c:pt idx="381">
                  <c:v>10.047944766186543</c:v>
                </c:pt>
                <c:pt idx="382">
                  <c:v>10.375911373222916</c:v>
                </c:pt>
                <c:pt idx="383">
                  <c:v>10.852469848235796</c:v>
                </c:pt>
                <c:pt idx="384">
                  <c:v>10.506317130350261</c:v>
                </c:pt>
                <c:pt idx="385">
                  <c:v>11.297568012317804</c:v>
                </c:pt>
                <c:pt idx="386">
                  <c:v>9.2764879297360388</c:v>
                </c:pt>
                <c:pt idx="387">
                  <c:v>10.908574797377042</c:v>
                </c:pt>
                <c:pt idx="388">
                  <c:v>7.5454263179494934</c:v>
                </c:pt>
                <c:pt idx="389">
                  <c:v>8.0648862382461015</c:v>
                </c:pt>
                <c:pt idx="390">
                  <c:v>10.027553284248453</c:v>
                </c:pt>
                <c:pt idx="391">
                  <c:v>9.9247330727325878</c:v>
                </c:pt>
                <c:pt idx="392">
                  <c:v>12.56615189198407</c:v>
                </c:pt>
                <c:pt idx="393">
                  <c:v>12.266830948452975</c:v>
                </c:pt>
                <c:pt idx="394">
                  <c:v>13.760662868267932</c:v>
                </c:pt>
                <c:pt idx="395">
                  <c:v>10.348382166513545</c:v>
                </c:pt>
                <c:pt idx="396">
                  <c:v>9.3867650129003213</c:v>
                </c:pt>
                <c:pt idx="397">
                  <c:v>9.5280877941326558</c:v>
                </c:pt>
                <c:pt idx="398">
                  <c:v>12.089434740218987</c:v>
                </c:pt>
                <c:pt idx="399">
                  <c:v>10.693653102501868</c:v>
                </c:pt>
                <c:pt idx="400">
                  <c:v>10.359831249383484</c:v>
                </c:pt>
                <c:pt idx="401">
                  <c:v>8.2062173899644026</c:v>
                </c:pt>
                <c:pt idx="402">
                  <c:v>5.0451122589992057</c:v>
                </c:pt>
                <c:pt idx="403">
                  <c:v>4.2115545062709074</c:v>
                </c:pt>
                <c:pt idx="404">
                  <c:v>6.1430803775632175</c:v>
                </c:pt>
                <c:pt idx="405">
                  <c:v>5.7975553480671786</c:v>
                </c:pt>
                <c:pt idx="406">
                  <c:v>4.0315964392511274</c:v>
                </c:pt>
                <c:pt idx="407">
                  <c:v>2.2007745713032483</c:v>
                </c:pt>
                <c:pt idx="408">
                  <c:v>4.4194690566946395</c:v>
                </c:pt>
                <c:pt idx="409">
                  <c:v>5.3058224377299004</c:v>
                </c:pt>
                <c:pt idx="410">
                  <c:v>4.6610267506625744</c:v>
                </c:pt>
                <c:pt idx="411">
                  <c:v>6.1422419554703023</c:v>
                </c:pt>
                <c:pt idx="412">
                  <c:v>6.3689535155151944</c:v>
                </c:pt>
                <c:pt idx="413">
                  <c:v>7.5810747276364054</c:v>
                </c:pt>
                <c:pt idx="414">
                  <c:v>8.7319344059503283</c:v>
                </c:pt>
                <c:pt idx="415">
                  <c:v>9.5838347991351256</c:v>
                </c:pt>
                <c:pt idx="416">
                  <c:v>9.4201150872818182</c:v>
                </c:pt>
                <c:pt idx="417">
                  <c:v>8.5306528385039826</c:v>
                </c:pt>
                <c:pt idx="418">
                  <c:v>11.062365875493645</c:v>
                </c:pt>
              </c:numCache>
              <c:extLst xmlns:c15="http://schemas.microsoft.com/office/drawing/2012/chart"/>
            </c:numRef>
          </c:val>
          <c:smooth val="1"/>
          <c:extLst xmlns:c15="http://schemas.microsoft.com/office/drawing/2012/chart">
            <c:ext xmlns:c16="http://schemas.microsoft.com/office/drawing/2014/chart" uri="{C3380CC4-5D6E-409C-BE32-E72D297353CC}">
              <c16:uniqueId val="{00000001-A9EF-47C0-896E-1A1AEE0E0DC8}"/>
            </c:ext>
          </c:extLst>
        </c:ser>
        <c:ser>
          <c:idx val="0"/>
          <c:order val="2"/>
          <c:tx>
            <c:v>Up</c:v>
          </c:tx>
          <c:spPr>
            <a:ln w="28575" cap="rnd">
              <a:solidFill>
                <a:srgbClr val="00D600"/>
              </a:solidFill>
              <a:prstDash val="solid"/>
              <a:round/>
            </a:ln>
            <a:effectLst/>
          </c:spPr>
          <c:marker>
            <c:symbol val="none"/>
          </c:marker>
          <c:val>
            <c:numRef>
              <c:f>'2025-Q2'!$CD$4:$CD$422</c:f>
              <c:numCache>
                <c:formatCode>0.0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6.6834991831277585E-2</c:v>
                </c:pt>
                <c:pt idx="40">
                  <c:v>6.6834991831277585E-2</c:v>
                </c:pt>
                <c:pt idx="41">
                  <c:v>6.6834991831277585E-2</c:v>
                </c:pt>
                <c:pt idx="42">
                  <c:v>6.6834991831277585E-2</c:v>
                </c:pt>
                <c:pt idx="43">
                  <c:v>6.6834991831277585E-2</c:v>
                </c:pt>
                <c:pt idx="44">
                  <c:v>6.6834991831277585E-2</c:v>
                </c:pt>
                <c:pt idx="45">
                  <c:v>6.6834991831277585E-2</c:v>
                </c:pt>
                <c:pt idx="46">
                  <c:v>6.6834991831277585E-2</c:v>
                </c:pt>
                <c:pt idx="47">
                  <c:v>-1.3942783150276121</c:v>
                </c:pt>
                <c:pt idx="48">
                  <c:v>-1.3942783150276121</c:v>
                </c:pt>
                <c:pt idx="49">
                  <c:v>-1.3942783150276121</c:v>
                </c:pt>
                <c:pt idx="50">
                  <c:v>-1.3942783150276121</c:v>
                </c:pt>
                <c:pt idx="51">
                  <c:v>-1.3942783150276121</c:v>
                </c:pt>
                <c:pt idx="52">
                  <c:v>-1.3942783150276121</c:v>
                </c:pt>
                <c:pt idx="53">
                  <c:v>-1.3942783150276121</c:v>
                </c:pt>
                <c:pt idx="54">
                  <c:v>-1.3942783150276121</c:v>
                </c:pt>
                <c:pt idx="55">
                  <c:v>-1.3942783150276121</c:v>
                </c:pt>
                <c:pt idx="56">
                  <c:v>-1.3942783150276121</c:v>
                </c:pt>
                <c:pt idx="57">
                  <c:v>-1.3942783150276121</c:v>
                </c:pt>
                <c:pt idx="58">
                  <c:v>-1.3942783150276121</c:v>
                </c:pt>
                <c:pt idx="59">
                  <c:v>-1.3942783150276121</c:v>
                </c:pt>
                <c:pt idx="60">
                  <c:v>-1.3942783150276121</c:v>
                </c:pt>
                <c:pt idx="61">
                  <c:v>-1.3942783150276121</c:v>
                </c:pt>
                <c:pt idx="62">
                  <c:v>-1.3942783150276121</c:v>
                </c:pt>
                <c:pt idx="63">
                  <c:v>-1.3942783150276121</c:v>
                </c:pt>
                <c:pt idx="64">
                  <c:v>-1.3942783150276121</c:v>
                </c:pt>
                <c:pt idx="65">
                  <c:v>-1.3942783150276121</c:v>
                </c:pt>
                <c:pt idx="66">
                  <c:v>-1.3942783150276121</c:v>
                </c:pt>
                <c:pt idx="67">
                  <c:v>-1.3942783150276121</c:v>
                </c:pt>
                <c:pt idx="68">
                  <c:v>-1.3942783150276121</c:v>
                </c:pt>
                <c:pt idx="69">
                  <c:v>-0.90375366692572978</c:v>
                </c:pt>
                <c:pt idx="70">
                  <c:v>-0.90375366692572978</c:v>
                </c:pt>
                <c:pt idx="71">
                  <c:v>-1.4632631312024809</c:v>
                </c:pt>
                <c:pt idx="72">
                  <c:v>-1.4632631312024809</c:v>
                </c:pt>
                <c:pt idx="73">
                  <c:v>-1.4632631312024809</c:v>
                </c:pt>
                <c:pt idx="74">
                  <c:v>-1.4632631312024809</c:v>
                </c:pt>
                <c:pt idx="75">
                  <c:v>-1.4632631312024809</c:v>
                </c:pt>
                <c:pt idx="76">
                  <c:v>-1.4632631312024809</c:v>
                </c:pt>
                <c:pt idx="77">
                  <c:v>-1.4632631312024809</c:v>
                </c:pt>
                <c:pt idx="78">
                  <c:v>-1.4632631312024809</c:v>
                </c:pt>
                <c:pt idx="79">
                  <c:v>-1.4632631312024809</c:v>
                </c:pt>
                <c:pt idx="80">
                  <c:v>-1.4632631312024809</c:v>
                </c:pt>
                <c:pt idx="81">
                  <c:v>-1.4632631312024809</c:v>
                </c:pt>
                <c:pt idx="82">
                  <c:v>-1.4632631312024809</c:v>
                </c:pt>
                <c:pt idx="83">
                  <c:v>-1.4632631312024809</c:v>
                </c:pt>
                <c:pt idx="84">
                  <c:v>-1.4632631312024809</c:v>
                </c:pt>
                <c:pt idx="85">
                  <c:v>-1.4632631312024809</c:v>
                </c:pt>
                <c:pt idx="86">
                  <c:v>-1.4632631312024809</c:v>
                </c:pt>
                <c:pt idx="87">
                  <c:v>-1.4632631312024809</c:v>
                </c:pt>
                <c:pt idx="88">
                  <c:v>-1.4632631312024809</c:v>
                </c:pt>
                <c:pt idx="89">
                  <c:v>-1.4632631312024809</c:v>
                </c:pt>
                <c:pt idx="90">
                  <c:v>-1.4632631312024809</c:v>
                </c:pt>
                <c:pt idx="91">
                  <c:v>-1.4632631312024809</c:v>
                </c:pt>
                <c:pt idx="92">
                  <c:v>-1.4632631312024809</c:v>
                </c:pt>
                <c:pt idx="93">
                  <c:v>-1.4632631312024809</c:v>
                </c:pt>
                <c:pt idx="94">
                  <c:v>-1.4632631312024809</c:v>
                </c:pt>
                <c:pt idx="95">
                  <c:v>-1.4632631312024809</c:v>
                </c:pt>
                <c:pt idx="96">
                  <c:v>-1.4632631312024809</c:v>
                </c:pt>
                <c:pt idx="97">
                  <c:v>-1.4632631312024809</c:v>
                </c:pt>
                <c:pt idx="98">
                  <c:v>-1.4632631312024809</c:v>
                </c:pt>
                <c:pt idx="99">
                  <c:v>-1.4632631312024809</c:v>
                </c:pt>
                <c:pt idx="100">
                  <c:v>-1.4632631312024809</c:v>
                </c:pt>
                <c:pt idx="101">
                  <c:v>-1.4632631312024809</c:v>
                </c:pt>
                <c:pt idx="102">
                  <c:v>-1.4632631312024809</c:v>
                </c:pt>
                <c:pt idx="103">
                  <c:v>-2.6729918163297475</c:v>
                </c:pt>
                <c:pt idx="104">
                  <c:v>-2.6729918163297475</c:v>
                </c:pt>
                <c:pt idx="105">
                  <c:v>-2.6729918163297475</c:v>
                </c:pt>
                <c:pt idx="106">
                  <c:v>-2.4770844119990163</c:v>
                </c:pt>
                <c:pt idx="107">
                  <c:v>-2.4770844119990163</c:v>
                </c:pt>
                <c:pt idx="108">
                  <c:v>-2.4770844119990163</c:v>
                </c:pt>
                <c:pt idx="109">
                  <c:v>-2.4770844119990163</c:v>
                </c:pt>
                <c:pt idx="110">
                  <c:v>-2.4770844119990163</c:v>
                </c:pt>
                <c:pt idx="111">
                  <c:v>-2.4770844119990163</c:v>
                </c:pt>
                <c:pt idx="112">
                  <c:v>-2.4770844119990163</c:v>
                </c:pt>
                <c:pt idx="113">
                  <c:v>-2.4770844119990163</c:v>
                </c:pt>
                <c:pt idx="114">
                  <c:v>-2.4770844119990163</c:v>
                </c:pt>
                <c:pt idx="115">
                  <c:v>-2.4770844119990163</c:v>
                </c:pt>
                <c:pt idx="116">
                  <c:v>-2.4770844119990163</c:v>
                </c:pt>
                <c:pt idx="117">
                  <c:v>-2.4770844119990163</c:v>
                </c:pt>
                <c:pt idx="118">
                  <c:v>-2.4770844119990163</c:v>
                </c:pt>
                <c:pt idx="119">
                  <c:v>-2.4770844119990163</c:v>
                </c:pt>
                <c:pt idx="120">
                  <c:v>-2.4770844119990163</c:v>
                </c:pt>
                <c:pt idx="121">
                  <c:v>-2.8466787313052277</c:v>
                </c:pt>
                <c:pt idx="122">
                  <c:v>-2.8466787313052277</c:v>
                </c:pt>
                <c:pt idx="123">
                  <c:v>-2.8466787313052277</c:v>
                </c:pt>
                <c:pt idx="124">
                  <c:v>-2.8466787313052277</c:v>
                </c:pt>
                <c:pt idx="125">
                  <c:v>-2.8466787313052277</c:v>
                </c:pt>
                <c:pt idx="126">
                  <c:v>-2.8466787313052277</c:v>
                </c:pt>
                <c:pt idx="127">
                  <c:v>-2.8466787313052277</c:v>
                </c:pt>
                <c:pt idx="128">
                  <c:v>-2.8466787313052277</c:v>
                </c:pt>
                <c:pt idx="129">
                  <c:v>-2.8466787313052277</c:v>
                </c:pt>
                <c:pt idx="130">
                  <c:v>-2.8466787313052277</c:v>
                </c:pt>
                <c:pt idx="131">
                  <c:v>-2.8466787313052277</c:v>
                </c:pt>
                <c:pt idx="132">
                  <c:v>-2.8466787313052277</c:v>
                </c:pt>
                <c:pt idx="133">
                  <c:v>-2.8466787313052277</c:v>
                </c:pt>
                <c:pt idx="134">
                  <c:v>-2.8466787313052277</c:v>
                </c:pt>
                <c:pt idx="135">
                  <c:v>-2.8466787313052277</c:v>
                </c:pt>
                <c:pt idx="136">
                  <c:v>-2.8466787313052277</c:v>
                </c:pt>
                <c:pt idx="137">
                  <c:v>-3.1875162177003693</c:v>
                </c:pt>
                <c:pt idx="138">
                  <c:v>-3.1875162177003693</c:v>
                </c:pt>
                <c:pt idx="139">
                  <c:v>-3.1875162177003693</c:v>
                </c:pt>
                <c:pt idx="140">
                  <c:v>-3.1875162177003693</c:v>
                </c:pt>
                <c:pt idx="141">
                  <c:v>-3.1875162177003693</c:v>
                </c:pt>
                <c:pt idx="142">
                  <c:v>-3.1875162177003693</c:v>
                </c:pt>
                <c:pt idx="143">
                  <c:v>-3.1875162177003693</c:v>
                </c:pt>
                <c:pt idx="144">
                  <c:v>-3.1875162177003693</c:v>
                </c:pt>
                <c:pt idx="145">
                  <c:v>-3.1875162177003693</c:v>
                </c:pt>
                <c:pt idx="146">
                  <c:v>-3.1875162177003693</c:v>
                </c:pt>
                <c:pt idx="147">
                  <c:v>-3.1875162177003693</c:v>
                </c:pt>
                <c:pt idx="148">
                  <c:v>-3.1875162177003693</c:v>
                </c:pt>
                <c:pt idx="149">
                  <c:v>-3.1875162177003693</c:v>
                </c:pt>
                <c:pt idx="150">
                  <c:v>-3.1875162177003693</c:v>
                </c:pt>
                <c:pt idx="151">
                  <c:v>-3.1875162177003693</c:v>
                </c:pt>
                <c:pt idx="152">
                  <c:v>-3.1875162177003693</c:v>
                </c:pt>
                <c:pt idx="153">
                  <c:v>-3.1875162177003693</c:v>
                </c:pt>
                <c:pt idx="154">
                  <c:v>-3.1875162177003693</c:v>
                </c:pt>
                <c:pt idx="155">
                  <c:v>-3.1875162177003693</c:v>
                </c:pt>
                <c:pt idx="156">
                  <c:v>-3.1875162177003693</c:v>
                </c:pt>
                <c:pt idx="157">
                  <c:v>-3.1875162177003693</c:v>
                </c:pt>
                <c:pt idx="158">
                  <c:v>-3.1875162177003693</c:v>
                </c:pt>
                <c:pt idx="159">
                  <c:v>-3.1875162177003693</c:v>
                </c:pt>
                <c:pt idx="160">
                  <c:v>-3.1875162177003693</c:v>
                </c:pt>
                <c:pt idx="161">
                  <c:v>-3.1875162177003693</c:v>
                </c:pt>
                <c:pt idx="162">
                  <c:v>-3.1875162177003693</c:v>
                </c:pt>
                <c:pt idx="163">
                  <c:v>-3.1875162177003693</c:v>
                </c:pt>
                <c:pt idx="164">
                  <c:v>-3.1875162177003693</c:v>
                </c:pt>
                <c:pt idx="165">
                  <c:v>-3.1875162177003693</c:v>
                </c:pt>
                <c:pt idx="166">
                  <c:v>-3.1875162177003693</c:v>
                </c:pt>
                <c:pt idx="167">
                  <c:v>-3.1875162177003693</c:v>
                </c:pt>
                <c:pt idx="168">
                  <c:v>-3.1875162177003693</c:v>
                </c:pt>
                <c:pt idx="169">
                  <c:v>-3.1875162177003693</c:v>
                </c:pt>
                <c:pt idx="170">
                  <c:v>-3.1875162177003693</c:v>
                </c:pt>
                <c:pt idx="171">
                  <c:v>-3.1875162177003693</c:v>
                </c:pt>
                <c:pt idx="172">
                  <c:v>-3.1875162177003693</c:v>
                </c:pt>
                <c:pt idx="173">
                  <c:v>-3.1875162177003693</c:v>
                </c:pt>
                <c:pt idx="174">
                  <c:v>-3.1875162177003693</c:v>
                </c:pt>
                <c:pt idx="175">
                  <c:v>-3.1875162177003693</c:v>
                </c:pt>
                <c:pt idx="176">
                  <c:v>-3.1875162177003693</c:v>
                </c:pt>
                <c:pt idx="177">
                  <c:v>-3.1875162177003693</c:v>
                </c:pt>
                <c:pt idx="178">
                  <c:v>-3.1875162177003693</c:v>
                </c:pt>
                <c:pt idx="179">
                  <c:v>-3.1875162177003693</c:v>
                </c:pt>
                <c:pt idx="180">
                  <c:v>-3.1875162177003693</c:v>
                </c:pt>
                <c:pt idx="181">
                  <c:v>-3.1875162177003693</c:v>
                </c:pt>
                <c:pt idx="182">
                  <c:v>-3.1875162177003693</c:v>
                </c:pt>
                <c:pt idx="183">
                  <c:v>-3.1875162177003693</c:v>
                </c:pt>
                <c:pt idx="184">
                  <c:v>-3.1875162177003693</c:v>
                </c:pt>
                <c:pt idx="185">
                  <c:v>-3.1875162177003693</c:v>
                </c:pt>
                <c:pt idx="186">
                  <c:v>-3.1875162177003693</c:v>
                </c:pt>
                <c:pt idx="187">
                  <c:v>-3.1875162177003693</c:v>
                </c:pt>
                <c:pt idx="188">
                  <c:v>-3.1875162177003693</c:v>
                </c:pt>
                <c:pt idx="189">
                  <c:v>-3.1875162177003693</c:v>
                </c:pt>
                <c:pt idx="190">
                  <c:v>-3.1875162177003693</c:v>
                </c:pt>
                <c:pt idx="191">
                  <c:v>-3.1875162177003693</c:v>
                </c:pt>
                <c:pt idx="192">
                  <c:v>-3.1875162177003693</c:v>
                </c:pt>
                <c:pt idx="193">
                  <c:v>-3.1875162177003693</c:v>
                </c:pt>
                <c:pt idx="194">
                  <c:v>-3.1875162177003693</c:v>
                </c:pt>
                <c:pt idx="195">
                  <c:v>-3.1875162177003693</c:v>
                </c:pt>
                <c:pt idx="196">
                  <c:v>-3.1875162177003693</c:v>
                </c:pt>
                <c:pt idx="197">
                  <c:v>-3.1875162177003693</c:v>
                </c:pt>
                <c:pt idx="198">
                  <c:v>-3.1875162177003693</c:v>
                </c:pt>
                <c:pt idx="199">
                  <c:v>-3.1875162177003693</c:v>
                </c:pt>
                <c:pt idx="200">
                  <c:v>-3.5261678679428221</c:v>
                </c:pt>
                <c:pt idx="201">
                  <c:v>-3.5261678679428221</c:v>
                </c:pt>
                <c:pt idx="202">
                  <c:v>-3.5261678679428221</c:v>
                </c:pt>
                <c:pt idx="203">
                  <c:v>-3.6771575581780365</c:v>
                </c:pt>
                <c:pt idx="204">
                  <c:v>-3.6771575581780365</c:v>
                </c:pt>
                <c:pt idx="205">
                  <c:v>-3.6771575581780365</c:v>
                </c:pt>
                <c:pt idx="206">
                  <c:v>-3.6771575581780365</c:v>
                </c:pt>
                <c:pt idx="207">
                  <c:v>-3.6771575581780365</c:v>
                </c:pt>
                <c:pt idx="208">
                  <c:v>-3.6771575581780365</c:v>
                </c:pt>
                <c:pt idx="209">
                  <c:v>-3.6771575581780365</c:v>
                </c:pt>
                <c:pt idx="210">
                  <c:v>-3.6771575581780365</c:v>
                </c:pt>
                <c:pt idx="211">
                  <c:v>-3.6771575581780365</c:v>
                </c:pt>
                <c:pt idx="212">
                  <c:v>-3.6771575581780365</c:v>
                </c:pt>
                <c:pt idx="213">
                  <c:v>-3.6771575581780365</c:v>
                </c:pt>
                <c:pt idx="214">
                  <c:v>-3.6771575581780365</c:v>
                </c:pt>
                <c:pt idx="215">
                  <c:v>-3.6771575581780365</c:v>
                </c:pt>
                <c:pt idx="216">
                  <c:v>-3.6771575581780365</c:v>
                </c:pt>
                <c:pt idx="217">
                  <c:v>-2.7294498562489466</c:v>
                </c:pt>
                <c:pt idx="218">
                  <c:v>-2.7294498562489466</c:v>
                </c:pt>
                <c:pt idx="219">
                  <c:v>-2.7294498562489466</c:v>
                </c:pt>
                <c:pt idx="220">
                  <c:v>-2.7294498562489466</c:v>
                </c:pt>
                <c:pt idx="221">
                  <c:v>-2.7294498562489466</c:v>
                </c:pt>
                <c:pt idx="222">
                  <c:v>-2.7294498562489466</c:v>
                </c:pt>
                <c:pt idx="223">
                  <c:v>-3.0883607473380557</c:v>
                </c:pt>
                <c:pt idx="224">
                  <c:v>-3.0883607473380557</c:v>
                </c:pt>
                <c:pt idx="225">
                  <c:v>-3.0883607473380557</c:v>
                </c:pt>
                <c:pt idx="226">
                  <c:v>-3.0883607473380557</c:v>
                </c:pt>
                <c:pt idx="227">
                  <c:v>-3.0883607473380557</c:v>
                </c:pt>
                <c:pt idx="228">
                  <c:v>-3.0883607473380557</c:v>
                </c:pt>
                <c:pt idx="229">
                  <c:v>-3.0883607473380557</c:v>
                </c:pt>
                <c:pt idx="230">
                  <c:v>-3.0883607473380557</c:v>
                </c:pt>
                <c:pt idx="231">
                  <c:v>-3.0883607473380557</c:v>
                </c:pt>
                <c:pt idx="232">
                  <c:v>-3.0883607473380557</c:v>
                </c:pt>
                <c:pt idx="233">
                  <c:v>-3.0883607473380557</c:v>
                </c:pt>
                <c:pt idx="234">
                  <c:v>-3.0883607473380557</c:v>
                </c:pt>
                <c:pt idx="235">
                  <c:v>-3.0883607473380557</c:v>
                </c:pt>
                <c:pt idx="236">
                  <c:v>-3.0883607473380557</c:v>
                </c:pt>
                <c:pt idx="237">
                  <c:v>-3.0883607473380557</c:v>
                </c:pt>
                <c:pt idx="238">
                  <c:v>-3.0883607473380557</c:v>
                </c:pt>
                <c:pt idx="239">
                  <c:v>-3.0883607473380557</c:v>
                </c:pt>
                <c:pt idx="240">
                  <c:v>-2.9903544749366251</c:v>
                </c:pt>
                <c:pt idx="241">
                  <c:v>-2.9903544749366251</c:v>
                </c:pt>
                <c:pt idx="242">
                  <c:v>-2.9903544749366251</c:v>
                </c:pt>
                <c:pt idx="243">
                  <c:v>-2.9903544749366251</c:v>
                </c:pt>
                <c:pt idx="244">
                  <c:v>-2.9903544749366251</c:v>
                </c:pt>
                <c:pt idx="245">
                  <c:v>-2.9903544749366251</c:v>
                </c:pt>
                <c:pt idx="246">
                  <c:v>-2.9903544749366251</c:v>
                </c:pt>
                <c:pt idx="247">
                  <c:v>-2.9903544749366251</c:v>
                </c:pt>
                <c:pt idx="248">
                  <c:v>-2.9903544749366251</c:v>
                </c:pt>
                <c:pt idx="249">
                  <c:v>-2.9903544749366251</c:v>
                </c:pt>
                <c:pt idx="250">
                  <c:v>-2.9903544749366251</c:v>
                </c:pt>
                <c:pt idx="251">
                  <c:v>-2.9903544749366251</c:v>
                </c:pt>
                <c:pt idx="252">
                  <c:v>-2.9903544749366251</c:v>
                </c:pt>
                <c:pt idx="253">
                  <c:v>-2.9903544749366251</c:v>
                </c:pt>
                <c:pt idx="254">
                  <c:v>-2.9903544749366251</c:v>
                </c:pt>
                <c:pt idx="255">
                  <c:v>-2.9903544749366251</c:v>
                </c:pt>
                <c:pt idx="256">
                  <c:v>-2.9903544749366251</c:v>
                </c:pt>
                <c:pt idx="257">
                  <c:v>-4.4796760660599473</c:v>
                </c:pt>
                <c:pt idx="258">
                  <c:v>-4.7511291711510797</c:v>
                </c:pt>
                <c:pt idx="259">
                  <c:v>-4.7511291711510797</c:v>
                </c:pt>
                <c:pt idx="260">
                  <c:v>-4.7511291711510797</c:v>
                </c:pt>
                <c:pt idx="261">
                  <c:v>-4.7511291711510797</c:v>
                </c:pt>
                <c:pt idx="262">
                  <c:v>-4.7511291711510797</c:v>
                </c:pt>
                <c:pt idx="263">
                  <c:v>-4.7511291711510797</c:v>
                </c:pt>
                <c:pt idx="264">
                  <c:v>-4.7511291711510797</c:v>
                </c:pt>
                <c:pt idx="265">
                  <c:v>-4.7511291711510797</c:v>
                </c:pt>
                <c:pt idx="266">
                  <c:v>-4.7511291711510797</c:v>
                </c:pt>
                <c:pt idx="267">
                  <c:v>-4.7511291711510797</c:v>
                </c:pt>
                <c:pt idx="268">
                  <c:v>-4.7511291711510797</c:v>
                </c:pt>
                <c:pt idx="269">
                  <c:v>-4.7511291711510797</c:v>
                </c:pt>
                <c:pt idx="270">
                  <c:v>-4.7511291711510797</c:v>
                </c:pt>
                <c:pt idx="271">
                  <c:v>-4.7511291711510797</c:v>
                </c:pt>
                <c:pt idx="272">
                  <c:v>-4.7511291711510797</c:v>
                </c:pt>
                <c:pt idx="273">
                  <c:v>-5.6964391354483883</c:v>
                </c:pt>
                <c:pt idx="274">
                  <c:v>-5.6964391354483883</c:v>
                </c:pt>
                <c:pt idx="275">
                  <c:v>-5.6964391354483883</c:v>
                </c:pt>
                <c:pt idx="276">
                  <c:v>-5.6964391354483883</c:v>
                </c:pt>
                <c:pt idx="277">
                  <c:v>-5.3227494758133416</c:v>
                </c:pt>
                <c:pt idx="278">
                  <c:v>-5.3227494758133416</c:v>
                </c:pt>
                <c:pt idx="279">
                  <c:v>-5.3227494758133416</c:v>
                </c:pt>
                <c:pt idx="280">
                  <c:v>-5.3227494758133416</c:v>
                </c:pt>
                <c:pt idx="281">
                  <c:v>-5.3227494758133416</c:v>
                </c:pt>
                <c:pt idx="282">
                  <c:v>-5.3227494758133416</c:v>
                </c:pt>
                <c:pt idx="283">
                  <c:v>-5.3227494758133416</c:v>
                </c:pt>
                <c:pt idx="284">
                  <c:v>-5.3227494758133416</c:v>
                </c:pt>
                <c:pt idx="285">
                  <c:v>-5.3227494758133416</c:v>
                </c:pt>
                <c:pt idx="286">
                  <c:v>-5.3227494758133416</c:v>
                </c:pt>
                <c:pt idx="287">
                  <c:v>-5.3227494758133416</c:v>
                </c:pt>
                <c:pt idx="288">
                  <c:v>-5.3227494758133416</c:v>
                </c:pt>
                <c:pt idx="289">
                  <c:v>-5.3227494758133416</c:v>
                </c:pt>
                <c:pt idx="290">
                  <c:v>-5.3809261075740293</c:v>
                </c:pt>
                <c:pt idx="291">
                  <c:v>-5.3809261075740293</c:v>
                </c:pt>
                <c:pt idx="292">
                  <c:v>-5.3809261075740293</c:v>
                </c:pt>
                <c:pt idx="293">
                  <c:v>-5.3809261075740293</c:v>
                </c:pt>
                <c:pt idx="294">
                  <c:v>-5.3809261075740293</c:v>
                </c:pt>
                <c:pt idx="295">
                  <c:v>-5.9052183130965723</c:v>
                </c:pt>
                <c:pt idx="296">
                  <c:v>-5.9052183130965723</c:v>
                </c:pt>
                <c:pt idx="297">
                  <c:v>-5.6329901687182264</c:v>
                </c:pt>
                <c:pt idx="298">
                  <c:v>-5.6329901687182264</c:v>
                </c:pt>
                <c:pt idx="299">
                  <c:v>-5.6329901687182264</c:v>
                </c:pt>
                <c:pt idx="300">
                  <c:v>-5.6329901687182264</c:v>
                </c:pt>
                <c:pt idx="301">
                  <c:v>-5.6329901687182264</c:v>
                </c:pt>
                <c:pt idx="302">
                  <c:v>-5.6329901687182264</c:v>
                </c:pt>
                <c:pt idx="303">
                  <c:v>-5.6329901687182264</c:v>
                </c:pt>
                <c:pt idx="304">
                  <c:v>-7.0572780247901932</c:v>
                </c:pt>
                <c:pt idx="305">
                  <c:v>-7.0572780247901932</c:v>
                </c:pt>
                <c:pt idx="306">
                  <c:v>-7.0572780247901932</c:v>
                </c:pt>
                <c:pt idx="307">
                  <c:v>-7.0572780247901932</c:v>
                </c:pt>
                <c:pt idx="308">
                  <c:v>-7.0572780247901932</c:v>
                </c:pt>
                <c:pt idx="309">
                  <c:v>-6.0548259838266851</c:v>
                </c:pt>
                <c:pt idx="310">
                  <c:v>-6.0548259838266851</c:v>
                </c:pt>
                <c:pt idx="311">
                  <c:v>-6.0548259838266851</c:v>
                </c:pt>
                <c:pt idx="312">
                  <c:v>-6.0548259838266851</c:v>
                </c:pt>
                <c:pt idx="313">
                  <c:v>-5.0648594286427402</c:v>
                </c:pt>
                <c:pt idx="314">
                  <c:v>-5.0648594286427402</c:v>
                </c:pt>
                <c:pt idx="315">
                  <c:v>-5.0648594286427402</c:v>
                </c:pt>
                <c:pt idx="316">
                  <c:v>-4.5276144690870233</c:v>
                </c:pt>
                <c:pt idx="317">
                  <c:v>-4.1583836998562527</c:v>
                </c:pt>
                <c:pt idx="318">
                  <c:v>-4.1583836998562527</c:v>
                </c:pt>
                <c:pt idx="319">
                  <c:v>-4.1583836998562527</c:v>
                </c:pt>
                <c:pt idx="320">
                  <c:v>-4.1583836998562527</c:v>
                </c:pt>
                <c:pt idx="321">
                  <c:v>-4.1583836998562527</c:v>
                </c:pt>
                <c:pt idx="322">
                  <c:v>-4.1583836998562527</c:v>
                </c:pt>
                <c:pt idx="323">
                  <c:v>-4.1583836998562527</c:v>
                </c:pt>
                <c:pt idx="324">
                  <c:v>-4.1583836998562527</c:v>
                </c:pt>
                <c:pt idx="325">
                  <c:v>-4.1583836998562527</c:v>
                </c:pt>
                <c:pt idx="326">
                  <c:v>-4.1583836998562527</c:v>
                </c:pt>
                <c:pt idx="327">
                  <c:v>-4.1583836998562527</c:v>
                </c:pt>
                <c:pt idx="328">
                  <c:v>-4.1583836998562527</c:v>
                </c:pt>
                <c:pt idx="329">
                  <c:v>-3.5898246029106979</c:v>
                </c:pt>
                <c:pt idx="330">
                  <c:v>-3.5898246029106979</c:v>
                </c:pt>
                <c:pt idx="331">
                  <c:v>-3.5898246029106979</c:v>
                </c:pt>
                <c:pt idx="332">
                  <c:v>-3.5898246029106979</c:v>
                </c:pt>
                <c:pt idx="333">
                  <c:v>-3.5898246029106979</c:v>
                </c:pt>
                <c:pt idx="334">
                  <c:v>-3.37603659615394</c:v>
                </c:pt>
                <c:pt idx="335">
                  <c:v>-3.37603659615394</c:v>
                </c:pt>
                <c:pt idx="336">
                  <c:v>-3.37603659615394</c:v>
                </c:pt>
                <c:pt idx="337">
                  <c:v>-3.37603659615394</c:v>
                </c:pt>
                <c:pt idx="338">
                  <c:v>-3.0718846349476614</c:v>
                </c:pt>
                <c:pt idx="339">
                  <c:v>-3.0718846349476614</c:v>
                </c:pt>
                <c:pt idx="340">
                  <c:v>-3.0718846349476614</c:v>
                </c:pt>
                <c:pt idx="341">
                  <c:v>-3.172627957299063</c:v>
                </c:pt>
                <c:pt idx="342">
                  <c:v>-3.172627957299063</c:v>
                </c:pt>
                <c:pt idx="343">
                  <c:v>-3.172627957299063</c:v>
                </c:pt>
                <c:pt idx="344">
                  <c:v>-3.172627957299063</c:v>
                </c:pt>
                <c:pt idx="345">
                  <c:v>-4.0056184961719543</c:v>
                </c:pt>
                <c:pt idx="346">
                  <c:v>-4.0056184961719543</c:v>
                </c:pt>
                <c:pt idx="347">
                  <c:v>-4.0056184961719543</c:v>
                </c:pt>
                <c:pt idx="348">
                  <c:v>-4.0056184961719543</c:v>
                </c:pt>
                <c:pt idx="349">
                  <c:v>-4.4725272636810356</c:v>
                </c:pt>
                <c:pt idx="350">
                  <c:v>-4.4725272636810356</c:v>
                </c:pt>
                <c:pt idx="351">
                  <c:v>-4.4725272636810356</c:v>
                </c:pt>
                <c:pt idx="352">
                  <c:v>-4.4725272636810356</c:v>
                </c:pt>
                <c:pt idx="353">
                  <c:v>-5.0877602124177113</c:v>
                </c:pt>
                <c:pt idx="354">
                  <c:v>-4.7218027656092021</c:v>
                </c:pt>
                <c:pt idx="355">
                  <c:v>-4.7218027656092021</c:v>
                </c:pt>
                <c:pt idx="356">
                  <c:v>-4.7218027656092021</c:v>
                </c:pt>
                <c:pt idx="357">
                  <c:v>-4.7218027656092021</c:v>
                </c:pt>
                <c:pt idx="358">
                  <c:v>-3.3723450009097973</c:v>
                </c:pt>
                <c:pt idx="359">
                  <c:v>-5.3044741744182824</c:v>
                </c:pt>
                <c:pt idx="360">
                  <c:v>-5.3044741744182824</c:v>
                </c:pt>
                <c:pt idx="361">
                  <c:v>-5.3044741744182824</c:v>
                </c:pt>
                <c:pt idx="362">
                  <c:v>-5.3044741744182824</c:v>
                </c:pt>
                <c:pt idx="363">
                  <c:v>-7.4757889154541379</c:v>
                </c:pt>
                <c:pt idx="364">
                  <c:v>-7.4757889154541379</c:v>
                </c:pt>
                <c:pt idx="365">
                  <c:v>-7.4757889154541379</c:v>
                </c:pt>
                <c:pt idx="366">
                  <c:v>-7.4757889154541379</c:v>
                </c:pt>
                <c:pt idx="367">
                  <c:v>-7.4757889154541379</c:v>
                </c:pt>
                <c:pt idx="368">
                  <c:v>-7.4757889154541379</c:v>
                </c:pt>
                <c:pt idx="369">
                  <c:v>-7.4757889154541379</c:v>
                </c:pt>
                <c:pt idx="370">
                  <c:v>-7.1968488875601349</c:v>
                </c:pt>
                <c:pt idx="371">
                  <c:v>-7.1968488875601349</c:v>
                </c:pt>
                <c:pt idx="372">
                  <c:v>-7.1968488875601349</c:v>
                </c:pt>
                <c:pt idx="373">
                  <c:v>-7.1968488875601349</c:v>
                </c:pt>
                <c:pt idx="374">
                  <c:v>-7.1968488875601349</c:v>
                </c:pt>
                <c:pt idx="375">
                  <c:v>-7.1968488875601349</c:v>
                </c:pt>
                <c:pt idx="376">
                  <c:v>-7.1968488875601349</c:v>
                </c:pt>
                <c:pt idx="377">
                  <c:v>-7.1968488875601349</c:v>
                </c:pt>
                <c:pt idx="378">
                  <c:v>-7.1968488875601349</c:v>
                </c:pt>
                <c:pt idx="379">
                  <c:v>-7.1968488875601349</c:v>
                </c:pt>
                <c:pt idx="380">
                  <c:v>-7.1968488875601349</c:v>
                </c:pt>
                <c:pt idx="381">
                  <c:v>-7.1968488875601349</c:v>
                </c:pt>
                <c:pt idx="382">
                  <c:v>-7.1968488875601349</c:v>
                </c:pt>
                <c:pt idx="383">
                  <c:v>-7.1968488875601349</c:v>
                </c:pt>
                <c:pt idx="384">
                  <c:v>-7.1968488875601349</c:v>
                </c:pt>
                <c:pt idx="385">
                  <c:v>-7.1968488875601349</c:v>
                </c:pt>
                <c:pt idx="386">
                  <c:v>-7.1968488875601349</c:v>
                </c:pt>
                <c:pt idx="387">
                  <c:v>-6.4189693394205456</c:v>
                </c:pt>
                <c:pt idx="388">
                  <c:v>-9.4481881825928777</c:v>
                </c:pt>
                <c:pt idx="389">
                  <c:v>-9.5545915504907839</c:v>
                </c:pt>
                <c:pt idx="390">
                  <c:v>-9.5545915504907839</c:v>
                </c:pt>
                <c:pt idx="391">
                  <c:v>-9.5545915504907839</c:v>
                </c:pt>
                <c:pt idx="392">
                  <c:v>-7.8754038725380582</c:v>
                </c:pt>
                <c:pt idx="393">
                  <c:v>-7.8754038725380582</c:v>
                </c:pt>
                <c:pt idx="394">
                  <c:v>-7.8754038725380582</c:v>
                </c:pt>
                <c:pt idx="395">
                  <c:v>-7.8754038725380582</c:v>
                </c:pt>
                <c:pt idx="396">
                  <c:v>-9.0348004407242168</c:v>
                </c:pt>
                <c:pt idx="397">
                  <c:v>-9.0348004407242168</c:v>
                </c:pt>
                <c:pt idx="398">
                  <c:v>-6.8048165610896127</c:v>
                </c:pt>
                <c:pt idx="399">
                  <c:v>-7.8034035475798245</c:v>
                </c:pt>
                <c:pt idx="400">
                  <c:v>-7.8034035475798245</c:v>
                </c:pt>
                <c:pt idx="401">
                  <c:v>-7.8034035475798245</c:v>
                </c:pt>
                <c:pt idx="402">
                  <c:v>-7.8034035475798245</c:v>
                </c:pt>
                <c:pt idx="403">
                  <c:v>-8.3670168280784232</c:v>
                </c:pt>
                <c:pt idx="404">
                  <c:v>-8.3670168280784232</c:v>
                </c:pt>
                <c:pt idx="405">
                  <c:v>-8.9344644374946807</c:v>
                </c:pt>
                <c:pt idx="406">
                  <c:v>-8.9344644374946807</c:v>
                </c:pt>
                <c:pt idx="407">
                  <c:v>-10.441343668767885</c:v>
                </c:pt>
                <c:pt idx="408">
                  <c:v>-9.1581293965525905</c:v>
                </c:pt>
                <c:pt idx="409">
                  <c:v>-9.1581293965525905</c:v>
                </c:pt>
                <c:pt idx="410">
                  <c:v>-9.1581293965525905</c:v>
                </c:pt>
                <c:pt idx="411">
                  <c:v>-8.7553347204474417</c:v>
                </c:pt>
                <c:pt idx="412">
                  <c:v>-8.6939804368709357</c:v>
                </c:pt>
                <c:pt idx="413">
                  <c:v>-8.6939804368709357</c:v>
                </c:pt>
                <c:pt idx="414">
                  <c:v>-8.6939804368709357</c:v>
                </c:pt>
                <c:pt idx="415">
                  <c:v>-8.6939804368709357</c:v>
                </c:pt>
                <c:pt idx="416">
                  <c:v>-8.3953556824505036</c:v>
                </c:pt>
                <c:pt idx="417">
                  <c:v>-8.3953556824505036</c:v>
                </c:pt>
                <c:pt idx="418">
                  <c:v>-8.3953556824505036</c:v>
                </c:pt>
              </c:numCache>
              <c:extLst xmlns:c15="http://schemas.microsoft.com/office/drawing/2012/chart"/>
            </c:numRef>
          </c:val>
          <c:smooth val="1"/>
          <c:extLst xmlns:c15="http://schemas.microsoft.com/office/drawing/2012/chart">
            <c:ext xmlns:c16="http://schemas.microsoft.com/office/drawing/2014/chart" uri="{C3380CC4-5D6E-409C-BE32-E72D297353CC}">
              <c16:uniqueId val="{00000002-A9EF-47C0-896E-1A1AEE0E0DC8}"/>
            </c:ext>
          </c:extLst>
        </c:ser>
        <c:ser>
          <c:idx val="1"/>
          <c:order val="4"/>
          <c:tx>
            <c:v>Dwn</c:v>
          </c:tx>
          <c:spPr>
            <a:ln w="28575" cap="rnd">
              <a:solidFill>
                <a:schemeClr val="accent2"/>
              </a:solidFill>
              <a:prstDash val="solid"/>
              <a:round/>
            </a:ln>
            <a:effectLst/>
          </c:spPr>
          <c:marker>
            <c:symbol val="none"/>
          </c:marker>
          <c:val>
            <c:numRef>
              <c:f>'2025-Q2'!$CF$4:$CF$422</c:f>
              <c:numCache>
                <c:formatCode>0.0</c:formatCode>
                <c:ptCount val="419"/>
                <c:pt idx="0">
                  <c:v>-0.47844667409884589</c:v>
                </c:pt>
                <c:pt idx="1">
                  <c:v>0.20039738260780871</c:v>
                </c:pt>
                <c:pt idx="2">
                  <c:v>0.20039738260780871</c:v>
                </c:pt>
                <c:pt idx="3">
                  <c:v>0.20039738260780871</c:v>
                </c:pt>
                <c:pt idx="4">
                  <c:v>0.20039738260780871</c:v>
                </c:pt>
                <c:pt idx="5">
                  <c:v>0.20039738260780871</c:v>
                </c:pt>
                <c:pt idx="6">
                  <c:v>0.20039738260780871</c:v>
                </c:pt>
                <c:pt idx="7">
                  <c:v>0.20039738260780871</c:v>
                </c:pt>
                <c:pt idx="8">
                  <c:v>0.20039738260780871</c:v>
                </c:pt>
                <c:pt idx="9">
                  <c:v>0.30064007544309346</c:v>
                </c:pt>
                <c:pt idx="10">
                  <c:v>0.30064007544309346</c:v>
                </c:pt>
                <c:pt idx="11">
                  <c:v>0.30064007544309346</c:v>
                </c:pt>
                <c:pt idx="12">
                  <c:v>0.60216810360001793</c:v>
                </c:pt>
                <c:pt idx="13">
                  <c:v>0.60216810360001793</c:v>
                </c:pt>
                <c:pt idx="14">
                  <c:v>1.4792312373428973</c:v>
                </c:pt>
                <c:pt idx="15">
                  <c:v>1.4792312373428973</c:v>
                </c:pt>
                <c:pt idx="16">
                  <c:v>1.8415029194115362</c:v>
                </c:pt>
                <c:pt idx="17">
                  <c:v>2.0183947996427927</c:v>
                </c:pt>
                <c:pt idx="18">
                  <c:v>2.0183947996427927</c:v>
                </c:pt>
                <c:pt idx="19">
                  <c:v>2.0183947996427927</c:v>
                </c:pt>
                <c:pt idx="20">
                  <c:v>2.0183947996427927</c:v>
                </c:pt>
                <c:pt idx="21">
                  <c:v>2.0183947996427927</c:v>
                </c:pt>
                <c:pt idx="22">
                  <c:v>2.0549578709407856</c:v>
                </c:pt>
                <c:pt idx="23">
                  <c:v>2.0549578709407856</c:v>
                </c:pt>
                <c:pt idx="24">
                  <c:v>2.0549578709407856</c:v>
                </c:pt>
                <c:pt idx="25">
                  <c:v>2.0549578709407856</c:v>
                </c:pt>
                <c:pt idx="26">
                  <c:v>2.4669949079778233</c:v>
                </c:pt>
                <c:pt idx="27">
                  <c:v>1.9018102809996771</c:v>
                </c:pt>
                <c:pt idx="28">
                  <c:v>0.92806658425128818</c:v>
                </c:pt>
                <c:pt idx="29">
                  <c:v>0.92806658425128818</c:v>
                </c:pt>
                <c:pt idx="30">
                  <c:v>0.37789926532439866</c:v>
                </c:pt>
                <c:pt idx="31">
                  <c:v>0.89631011803757732</c:v>
                </c:pt>
                <c:pt idx="32">
                  <c:v>0.38695214599303662</c:v>
                </c:pt>
                <c:pt idx="33">
                  <c:v>0.38695214599303662</c:v>
                </c:pt>
                <c:pt idx="34">
                  <c:v>0.38695214599303662</c:v>
                </c:pt>
                <c:pt idx="35">
                  <c:v>0.38695214599303662</c:v>
                </c:pt>
                <c:pt idx="36">
                  <c:v>4.9445060920641104E-2</c:v>
                </c:pt>
                <c:pt idx="37">
                  <c:v>4.9445060920641104E-2</c:v>
                </c:pt>
                <c:pt idx="38">
                  <c:v>4.9445060920641104E-2</c:v>
                </c:pt>
                <c:pt idx="39">
                  <c:v>4.9445060920641104E-2</c:v>
                </c:pt>
                <c:pt idx="40">
                  <c:v>-1.9614085164246415</c:v>
                </c:pt>
                <c:pt idx="41">
                  <c:v>-2.594121805639455</c:v>
                </c:pt>
                <c:pt idx="42">
                  <c:v>-1.2217069637903022</c:v>
                </c:pt>
                <c:pt idx="43">
                  <c:v>-1.2217069637903022</c:v>
                </c:pt>
                <c:pt idx="44">
                  <c:v>-1.2217069637903022</c:v>
                </c:pt>
                <c:pt idx="45">
                  <c:v>-1.2217069637903022</c:v>
                </c:pt>
                <c:pt idx="46">
                  <c:v>-2.4179115485653879</c:v>
                </c:pt>
                <c:pt idx="47">
                  <c:v>-2.4179115485653879</c:v>
                </c:pt>
                <c:pt idx="48">
                  <c:v>-2.9352208243324007</c:v>
                </c:pt>
                <c:pt idx="49">
                  <c:v>-2.9352208243324007</c:v>
                </c:pt>
                <c:pt idx="50">
                  <c:v>-2.9352208243324007</c:v>
                </c:pt>
                <c:pt idx="51">
                  <c:v>-2.9352208243324007</c:v>
                </c:pt>
                <c:pt idx="52">
                  <c:v>-4.2375680043391544</c:v>
                </c:pt>
                <c:pt idx="53">
                  <c:v>-4.2375680043391544</c:v>
                </c:pt>
                <c:pt idx="54">
                  <c:v>-4.2375680043391544</c:v>
                </c:pt>
                <c:pt idx="55">
                  <c:v>-3.6224694812908407</c:v>
                </c:pt>
                <c:pt idx="56">
                  <c:v>-3.6224694812908407</c:v>
                </c:pt>
                <c:pt idx="57">
                  <c:v>-1.7290263469717926</c:v>
                </c:pt>
                <c:pt idx="58">
                  <c:v>-1.7290263469717926</c:v>
                </c:pt>
                <c:pt idx="59">
                  <c:v>-1.7290263469717926</c:v>
                </c:pt>
                <c:pt idx="60">
                  <c:v>-1.7290263469717926</c:v>
                </c:pt>
                <c:pt idx="61">
                  <c:v>-1.7290263469717926</c:v>
                </c:pt>
                <c:pt idx="62">
                  <c:v>-1.7290263469717926</c:v>
                </c:pt>
                <c:pt idx="63">
                  <c:v>-1.7290263469717926</c:v>
                </c:pt>
                <c:pt idx="64">
                  <c:v>-1.7290263469717926</c:v>
                </c:pt>
                <c:pt idx="65">
                  <c:v>-1.7290263469717926</c:v>
                </c:pt>
                <c:pt idx="66">
                  <c:v>-2.1078142257596713</c:v>
                </c:pt>
                <c:pt idx="67">
                  <c:v>-2.9443487797740402</c:v>
                </c:pt>
                <c:pt idx="68">
                  <c:v>-2.8156523317960023</c:v>
                </c:pt>
                <c:pt idx="69">
                  <c:v>-2.8156523317960023</c:v>
                </c:pt>
                <c:pt idx="70">
                  <c:v>-2.1536522232713935</c:v>
                </c:pt>
                <c:pt idx="71">
                  <c:v>-2.1536522232713935</c:v>
                </c:pt>
                <c:pt idx="72">
                  <c:v>-2.1536522232713935</c:v>
                </c:pt>
                <c:pt idx="73">
                  <c:v>-2.1536522232713935</c:v>
                </c:pt>
                <c:pt idx="74">
                  <c:v>-2.1536522232713935</c:v>
                </c:pt>
                <c:pt idx="75">
                  <c:v>-2.1536522232713935</c:v>
                </c:pt>
                <c:pt idx="76">
                  <c:v>-2.1536522232713935</c:v>
                </c:pt>
                <c:pt idx="77">
                  <c:v>-2.1536522232713935</c:v>
                </c:pt>
                <c:pt idx="78">
                  <c:v>-2.1536522232713935</c:v>
                </c:pt>
                <c:pt idx="79">
                  <c:v>-2.1972822407234003</c:v>
                </c:pt>
                <c:pt idx="80">
                  <c:v>-2.1972822407234003</c:v>
                </c:pt>
                <c:pt idx="81">
                  <c:v>-3.0819449335041766</c:v>
                </c:pt>
                <c:pt idx="82">
                  <c:v>-3.8162473462121036</c:v>
                </c:pt>
                <c:pt idx="83">
                  <c:v>-3.8162473462121036</c:v>
                </c:pt>
                <c:pt idx="84">
                  <c:v>-3.8162473462121036</c:v>
                </c:pt>
                <c:pt idx="85">
                  <c:v>-3.9962227180033323</c:v>
                </c:pt>
                <c:pt idx="86">
                  <c:v>-3.9962227180033323</c:v>
                </c:pt>
                <c:pt idx="87">
                  <c:v>-3.9861567861496914</c:v>
                </c:pt>
                <c:pt idx="88">
                  <c:v>-3.1117975784571503</c:v>
                </c:pt>
                <c:pt idx="89">
                  <c:v>-3.1117975784571503</c:v>
                </c:pt>
                <c:pt idx="90">
                  <c:v>-1.9078521186370168</c:v>
                </c:pt>
                <c:pt idx="91">
                  <c:v>-2.1261927299907284</c:v>
                </c:pt>
                <c:pt idx="92">
                  <c:v>-1.8503306610252115</c:v>
                </c:pt>
                <c:pt idx="93">
                  <c:v>-1.8503306610252115</c:v>
                </c:pt>
                <c:pt idx="94">
                  <c:v>-1.8503306610252115</c:v>
                </c:pt>
                <c:pt idx="95">
                  <c:v>-1.7529637996248215</c:v>
                </c:pt>
                <c:pt idx="96">
                  <c:v>-1.6580671315522779</c:v>
                </c:pt>
                <c:pt idx="97">
                  <c:v>-1.4554433249721557</c:v>
                </c:pt>
                <c:pt idx="98">
                  <c:v>-1.8305996401034621</c:v>
                </c:pt>
                <c:pt idx="99">
                  <c:v>-1.8305996401034621</c:v>
                </c:pt>
                <c:pt idx="100">
                  <c:v>-3.083209243443755</c:v>
                </c:pt>
                <c:pt idx="101">
                  <c:v>-3.083209243443755</c:v>
                </c:pt>
                <c:pt idx="102">
                  <c:v>-3.083209243443755</c:v>
                </c:pt>
                <c:pt idx="103">
                  <c:v>-3.083209243443755</c:v>
                </c:pt>
                <c:pt idx="104">
                  <c:v>-3.083209243443755</c:v>
                </c:pt>
                <c:pt idx="105">
                  <c:v>-2.3232900815201392</c:v>
                </c:pt>
                <c:pt idx="106">
                  <c:v>-2.3232900815201392</c:v>
                </c:pt>
                <c:pt idx="107">
                  <c:v>-2.3232900815201392</c:v>
                </c:pt>
                <c:pt idx="108">
                  <c:v>-2.3232900815201392</c:v>
                </c:pt>
                <c:pt idx="109">
                  <c:v>-2.3232900815201392</c:v>
                </c:pt>
                <c:pt idx="110">
                  <c:v>-2.0179174314581103</c:v>
                </c:pt>
                <c:pt idx="111">
                  <c:v>-1.7934451800491877</c:v>
                </c:pt>
                <c:pt idx="112">
                  <c:v>-1.7934451800491877</c:v>
                </c:pt>
                <c:pt idx="113">
                  <c:v>-1.7934451800491877</c:v>
                </c:pt>
                <c:pt idx="114">
                  <c:v>-1.7934451800491877</c:v>
                </c:pt>
                <c:pt idx="115">
                  <c:v>-1.7934451800491877</c:v>
                </c:pt>
                <c:pt idx="116">
                  <c:v>-1.3152454613431399</c:v>
                </c:pt>
                <c:pt idx="117">
                  <c:v>-0.92694228116178978</c:v>
                </c:pt>
                <c:pt idx="118">
                  <c:v>-0.92694228116178978</c:v>
                </c:pt>
                <c:pt idx="119">
                  <c:v>-0.92694228116178978</c:v>
                </c:pt>
                <c:pt idx="120">
                  <c:v>-0.71819789295441994</c:v>
                </c:pt>
                <c:pt idx="121">
                  <c:v>-0.71819789295441994</c:v>
                </c:pt>
                <c:pt idx="122">
                  <c:v>-0.71819789295441994</c:v>
                </c:pt>
                <c:pt idx="123">
                  <c:v>-0.71819789295441994</c:v>
                </c:pt>
                <c:pt idx="124">
                  <c:v>0.53239661716924003</c:v>
                </c:pt>
                <c:pt idx="125">
                  <c:v>0.53239661716924003</c:v>
                </c:pt>
                <c:pt idx="126">
                  <c:v>0.53239661716924003</c:v>
                </c:pt>
                <c:pt idx="127">
                  <c:v>-0.12483798046271177</c:v>
                </c:pt>
                <c:pt idx="128">
                  <c:v>-0.12483798046271177</c:v>
                </c:pt>
                <c:pt idx="129">
                  <c:v>-0.52105080335043219</c:v>
                </c:pt>
                <c:pt idx="130">
                  <c:v>-0.52105080335043219</c:v>
                </c:pt>
                <c:pt idx="131">
                  <c:v>-0.76685953842633015</c:v>
                </c:pt>
                <c:pt idx="132">
                  <c:v>-0.76685953842633015</c:v>
                </c:pt>
                <c:pt idx="133">
                  <c:v>0.20735457138100322</c:v>
                </c:pt>
                <c:pt idx="134">
                  <c:v>0.69490545654620306</c:v>
                </c:pt>
                <c:pt idx="135">
                  <c:v>1.0350415109679725</c:v>
                </c:pt>
                <c:pt idx="136">
                  <c:v>1.2221531256210452</c:v>
                </c:pt>
                <c:pt idx="137">
                  <c:v>1.2221531256210452</c:v>
                </c:pt>
                <c:pt idx="138">
                  <c:v>1.3812276013983416</c:v>
                </c:pt>
                <c:pt idx="139">
                  <c:v>1.4677627346624487</c:v>
                </c:pt>
                <c:pt idx="140">
                  <c:v>1.4677627346624487</c:v>
                </c:pt>
                <c:pt idx="141">
                  <c:v>1.0166338665984678</c:v>
                </c:pt>
                <c:pt idx="142">
                  <c:v>-0.25788801657264138</c:v>
                </c:pt>
                <c:pt idx="143">
                  <c:v>-0.62751684762146254</c:v>
                </c:pt>
                <c:pt idx="144">
                  <c:v>-0.67668958856789296</c:v>
                </c:pt>
                <c:pt idx="145">
                  <c:v>0.66322463072949134</c:v>
                </c:pt>
                <c:pt idx="146">
                  <c:v>0.22039049224317847</c:v>
                </c:pt>
                <c:pt idx="147">
                  <c:v>-0.34358173274768583</c:v>
                </c:pt>
                <c:pt idx="148">
                  <c:v>-0.34358173274768583</c:v>
                </c:pt>
                <c:pt idx="149">
                  <c:v>-0.34358173274768583</c:v>
                </c:pt>
                <c:pt idx="150">
                  <c:v>-0.34358173274768583</c:v>
                </c:pt>
                <c:pt idx="151">
                  <c:v>-0.34358173274768583</c:v>
                </c:pt>
                <c:pt idx="152">
                  <c:v>2.076660291454735</c:v>
                </c:pt>
                <c:pt idx="153">
                  <c:v>2.076660291454735</c:v>
                </c:pt>
                <c:pt idx="154">
                  <c:v>2.076660291454735</c:v>
                </c:pt>
                <c:pt idx="155">
                  <c:v>2.076660291454735</c:v>
                </c:pt>
                <c:pt idx="156">
                  <c:v>4.0786276479105803</c:v>
                </c:pt>
                <c:pt idx="157">
                  <c:v>4.0786276479105803</c:v>
                </c:pt>
                <c:pt idx="158">
                  <c:v>4.0786276479105803</c:v>
                </c:pt>
                <c:pt idx="159">
                  <c:v>4.0786276479105803</c:v>
                </c:pt>
                <c:pt idx="160">
                  <c:v>4.0786276479105803</c:v>
                </c:pt>
                <c:pt idx="161">
                  <c:v>4.0786276479105803</c:v>
                </c:pt>
                <c:pt idx="162">
                  <c:v>4.4055729725924371</c:v>
                </c:pt>
                <c:pt idx="163">
                  <c:v>3.4372486660111123</c:v>
                </c:pt>
                <c:pt idx="164">
                  <c:v>3.4372486660111123</c:v>
                </c:pt>
                <c:pt idx="165">
                  <c:v>3.4372486660111123</c:v>
                </c:pt>
                <c:pt idx="166">
                  <c:v>3.4372486660111123</c:v>
                </c:pt>
                <c:pt idx="167">
                  <c:v>3.4372486660111123</c:v>
                </c:pt>
                <c:pt idx="168">
                  <c:v>4.6864613470944638</c:v>
                </c:pt>
                <c:pt idx="169">
                  <c:v>4.6864613470944638</c:v>
                </c:pt>
                <c:pt idx="170">
                  <c:v>5.1559656447513582</c:v>
                </c:pt>
                <c:pt idx="171">
                  <c:v>5.1559656447513582</c:v>
                </c:pt>
                <c:pt idx="172">
                  <c:v>5.1505243562542411</c:v>
                </c:pt>
                <c:pt idx="173">
                  <c:v>5.1505243562542411</c:v>
                </c:pt>
                <c:pt idx="174">
                  <c:v>6.819108936231224</c:v>
                </c:pt>
                <c:pt idx="175">
                  <c:v>6.819108936231224</c:v>
                </c:pt>
                <c:pt idx="176">
                  <c:v>6.8759031464671621</c:v>
                </c:pt>
                <c:pt idx="177">
                  <c:v>6.8759031464671621</c:v>
                </c:pt>
                <c:pt idx="178">
                  <c:v>7.1766578352514383</c:v>
                </c:pt>
                <c:pt idx="179">
                  <c:v>7.7094186495008064</c:v>
                </c:pt>
                <c:pt idx="180">
                  <c:v>7.7094186495008064</c:v>
                </c:pt>
                <c:pt idx="181">
                  <c:v>7.7094186495008064</c:v>
                </c:pt>
                <c:pt idx="182">
                  <c:v>7.7094186495008064</c:v>
                </c:pt>
                <c:pt idx="183">
                  <c:v>7.7094186495008064</c:v>
                </c:pt>
                <c:pt idx="184">
                  <c:v>6.1033405575600517</c:v>
                </c:pt>
                <c:pt idx="185">
                  <c:v>5.2662988114274008</c:v>
                </c:pt>
                <c:pt idx="186">
                  <c:v>5.1710188348809334</c:v>
                </c:pt>
                <c:pt idx="187">
                  <c:v>5.1710188348809334</c:v>
                </c:pt>
                <c:pt idx="188">
                  <c:v>6.2566086682816264</c:v>
                </c:pt>
                <c:pt idx="189">
                  <c:v>6.038794330127633</c:v>
                </c:pt>
                <c:pt idx="190">
                  <c:v>6.038794330127633</c:v>
                </c:pt>
                <c:pt idx="191">
                  <c:v>5.2360616230396761</c:v>
                </c:pt>
                <c:pt idx="192">
                  <c:v>5.2360616230396761</c:v>
                </c:pt>
                <c:pt idx="193">
                  <c:v>7.2100221438292609</c:v>
                </c:pt>
                <c:pt idx="194">
                  <c:v>6.2491285031632451</c:v>
                </c:pt>
                <c:pt idx="195">
                  <c:v>6.2491285031632451</c:v>
                </c:pt>
                <c:pt idx="196">
                  <c:v>6.2491285031632451</c:v>
                </c:pt>
                <c:pt idx="197">
                  <c:v>6.4791776860920081</c:v>
                </c:pt>
                <c:pt idx="198">
                  <c:v>6.5769092134568377</c:v>
                </c:pt>
                <c:pt idx="199">
                  <c:v>7.343567272895891</c:v>
                </c:pt>
                <c:pt idx="200">
                  <c:v>7.343567272895891</c:v>
                </c:pt>
                <c:pt idx="201">
                  <c:v>8.39823795735564</c:v>
                </c:pt>
                <c:pt idx="202">
                  <c:v>8.39823795735564</c:v>
                </c:pt>
                <c:pt idx="203">
                  <c:v>8.39823795735564</c:v>
                </c:pt>
                <c:pt idx="204">
                  <c:v>8.39823795735564</c:v>
                </c:pt>
                <c:pt idx="205">
                  <c:v>8.39823795735564</c:v>
                </c:pt>
                <c:pt idx="206">
                  <c:v>8.39823795735564</c:v>
                </c:pt>
                <c:pt idx="207">
                  <c:v>8.2100870866109137</c:v>
                </c:pt>
                <c:pt idx="208">
                  <c:v>8.2100870866109137</c:v>
                </c:pt>
                <c:pt idx="209">
                  <c:v>8.4352371866776252</c:v>
                </c:pt>
                <c:pt idx="210">
                  <c:v>8.4352371866776252</c:v>
                </c:pt>
                <c:pt idx="211">
                  <c:v>8.4352371866776252</c:v>
                </c:pt>
                <c:pt idx="212">
                  <c:v>8.4352371866776252</c:v>
                </c:pt>
                <c:pt idx="213">
                  <c:v>8.5229617316065465</c:v>
                </c:pt>
                <c:pt idx="214">
                  <c:v>9.0662494988690785</c:v>
                </c:pt>
                <c:pt idx="215">
                  <c:v>7.6857996534368214</c:v>
                </c:pt>
                <c:pt idx="216">
                  <c:v>7.6857996534368214</c:v>
                </c:pt>
                <c:pt idx="217">
                  <c:v>7.6857996534368214</c:v>
                </c:pt>
                <c:pt idx="218">
                  <c:v>7.1617915259638245</c:v>
                </c:pt>
                <c:pt idx="219">
                  <c:v>7.1617915259638245</c:v>
                </c:pt>
                <c:pt idx="220">
                  <c:v>7.6605515917221352</c:v>
                </c:pt>
                <c:pt idx="221">
                  <c:v>7.6605515917221352</c:v>
                </c:pt>
                <c:pt idx="222">
                  <c:v>7.8458451357049706</c:v>
                </c:pt>
                <c:pt idx="223">
                  <c:v>7.8458451357049706</c:v>
                </c:pt>
                <c:pt idx="224">
                  <c:v>7.8458451357049706</c:v>
                </c:pt>
                <c:pt idx="225">
                  <c:v>7.4384728844788999</c:v>
                </c:pt>
                <c:pt idx="226">
                  <c:v>7.4384728844788999</c:v>
                </c:pt>
                <c:pt idx="227">
                  <c:v>7.9034799300401977</c:v>
                </c:pt>
                <c:pt idx="228">
                  <c:v>7.9034799300401977</c:v>
                </c:pt>
                <c:pt idx="229">
                  <c:v>7.9034799300401977</c:v>
                </c:pt>
                <c:pt idx="230">
                  <c:v>8.625454201502528</c:v>
                </c:pt>
                <c:pt idx="231">
                  <c:v>8.625454201502528</c:v>
                </c:pt>
                <c:pt idx="232">
                  <c:v>8.625454201502528</c:v>
                </c:pt>
                <c:pt idx="233">
                  <c:v>8.625454201502528</c:v>
                </c:pt>
                <c:pt idx="234">
                  <c:v>9.1986618365118371</c:v>
                </c:pt>
                <c:pt idx="235">
                  <c:v>8.9122030102358636</c:v>
                </c:pt>
                <c:pt idx="236">
                  <c:v>10.74932703778653</c:v>
                </c:pt>
                <c:pt idx="237">
                  <c:v>10.74932703778653</c:v>
                </c:pt>
                <c:pt idx="238">
                  <c:v>10.74932703778653</c:v>
                </c:pt>
                <c:pt idx="239">
                  <c:v>10.74932703778653</c:v>
                </c:pt>
                <c:pt idx="240">
                  <c:v>10.74932703778653</c:v>
                </c:pt>
                <c:pt idx="241">
                  <c:v>14.498472044626475</c:v>
                </c:pt>
                <c:pt idx="242">
                  <c:v>14.498472044626475</c:v>
                </c:pt>
                <c:pt idx="243">
                  <c:v>14.88956953676421</c:v>
                </c:pt>
                <c:pt idx="244">
                  <c:v>14.88956953676421</c:v>
                </c:pt>
                <c:pt idx="245">
                  <c:v>15.328253264581399</c:v>
                </c:pt>
                <c:pt idx="246">
                  <c:v>15.02258741722525</c:v>
                </c:pt>
                <c:pt idx="247">
                  <c:v>14.825048398682267</c:v>
                </c:pt>
                <c:pt idx="248">
                  <c:v>14.296413204250431</c:v>
                </c:pt>
                <c:pt idx="249">
                  <c:v>13.896199757078602</c:v>
                </c:pt>
                <c:pt idx="250">
                  <c:v>14.350390028616012</c:v>
                </c:pt>
                <c:pt idx="251">
                  <c:v>14.350390028616012</c:v>
                </c:pt>
                <c:pt idx="252">
                  <c:v>14.350390028616012</c:v>
                </c:pt>
                <c:pt idx="253">
                  <c:v>15.049904861989113</c:v>
                </c:pt>
                <c:pt idx="254">
                  <c:v>15.108608282101416</c:v>
                </c:pt>
                <c:pt idx="255">
                  <c:v>15.637307369222354</c:v>
                </c:pt>
                <c:pt idx="256">
                  <c:v>15.637307369222354</c:v>
                </c:pt>
                <c:pt idx="257">
                  <c:v>15.637307369222354</c:v>
                </c:pt>
                <c:pt idx="258">
                  <c:v>15.637307369222354</c:v>
                </c:pt>
                <c:pt idx="259">
                  <c:v>14.578190401014478</c:v>
                </c:pt>
                <c:pt idx="260">
                  <c:v>14.946279460611336</c:v>
                </c:pt>
                <c:pt idx="261">
                  <c:v>14.655051390435897</c:v>
                </c:pt>
                <c:pt idx="262">
                  <c:v>14.925351237229506</c:v>
                </c:pt>
                <c:pt idx="263">
                  <c:v>14.925351237229506</c:v>
                </c:pt>
                <c:pt idx="264">
                  <c:v>14.46247756316972</c:v>
                </c:pt>
                <c:pt idx="265">
                  <c:v>14.695680212892579</c:v>
                </c:pt>
                <c:pt idx="266">
                  <c:v>14.695680212892579</c:v>
                </c:pt>
                <c:pt idx="267">
                  <c:v>14.868130265468816</c:v>
                </c:pt>
                <c:pt idx="268">
                  <c:v>14.706498599616124</c:v>
                </c:pt>
                <c:pt idx="269">
                  <c:v>15.851566908863537</c:v>
                </c:pt>
                <c:pt idx="270">
                  <c:v>16.15870279496492</c:v>
                </c:pt>
                <c:pt idx="271">
                  <c:v>15.987881587828392</c:v>
                </c:pt>
                <c:pt idx="272">
                  <c:v>16.150290922423157</c:v>
                </c:pt>
                <c:pt idx="273">
                  <c:v>16.150290922423157</c:v>
                </c:pt>
                <c:pt idx="274">
                  <c:v>15.54604425425058</c:v>
                </c:pt>
                <c:pt idx="275">
                  <c:v>15.884848968055291</c:v>
                </c:pt>
                <c:pt idx="276">
                  <c:v>15.524881415834647</c:v>
                </c:pt>
                <c:pt idx="277">
                  <c:v>15.524881415834647</c:v>
                </c:pt>
                <c:pt idx="278">
                  <c:v>15.860021591856096</c:v>
                </c:pt>
                <c:pt idx="279">
                  <c:v>15.931552350082134</c:v>
                </c:pt>
                <c:pt idx="280">
                  <c:v>15.931552350082134</c:v>
                </c:pt>
                <c:pt idx="281">
                  <c:v>15.931552350082134</c:v>
                </c:pt>
                <c:pt idx="282">
                  <c:v>16.422424478148169</c:v>
                </c:pt>
                <c:pt idx="283">
                  <c:v>15.098584815700914</c:v>
                </c:pt>
                <c:pt idx="284">
                  <c:v>15.098584815700914</c:v>
                </c:pt>
                <c:pt idx="285">
                  <c:v>14.275619548723203</c:v>
                </c:pt>
                <c:pt idx="286">
                  <c:v>14.275619548723203</c:v>
                </c:pt>
                <c:pt idx="287">
                  <c:v>14.32340417224137</c:v>
                </c:pt>
                <c:pt idx="288">
                  <c:v>14.32340417224137</c:v>
                </c:pt>
                <c:pt idx="289">
                  <c:v>13.871340030310286</c:v>
                </c:pt>
                <c:pt idx="290">
                  <c:v>13.871340030310286</c:v>
                </c:pt>
                <c:pt idx="291">
                  <c:v>14.873803225590116</c:v>
                </c:pt>
                <c:pt idx="292">
                  <c:v>14.080984002343399</c:v>
                </c:pt>
                <c:pt idx="293">
                  <c:v>14.080984002343399</c:v>
                </c:pt>
                <c:pt idx="294">
                  <c:v>12.227524814610586</c:v>
                </c:pt>
                <c:pt idx="295">
                  <c:v>12.227524814610586</c:v>
                </c:pt>
                <c:pt idx="296">
                  <c:v>11.032720426928414</c:v>
                </c:pt>
                <c:pt idx="297">
                  <c:v>11.032720426928414</c:v>
                </c:pt>
                <c:pt idx="298">
                  <c:v>10.458007783250252</c:v>
                </c:pt>
                <c:pt idx="299">
                  <c:v>10.458007783250252</c:v>
                </c:pt>
                <c:pt idx="300">
                  <c:v>10.458007783250252</c:v>
                </c:pt>
                <c:pt idx="301">
                  <c:v>10.458007783250252</c:v>
                </c:pt>
                <c:pt idx="302">
                  <c:v>10.449285693936057</c:v>
                </c:pt>
                <c:pt idx="303">
                  <c:v>10.449285693936057</c:v>
                </c:pt>
                <c:pt idx="304">
                  <c:v>10.449285693936057</c:v>
                </c:pt>
                <c:pt idx="305">
                  <c:v>10.449285693936057</c:v>
                </c:pt>
                <c:pt idx="306">
                  <c:v>10.449285693936057</c:v>
                </c:pt>
                <c:pt idx="307">
                  <c:v>10.449285693936057</c:v>
                </c:pt>
                <c:pt idx="308">
                  <c:v>10.870693194989578</c:v>
                </c:pt>
                <c:pt idx="309">
                  <c:v>10.870693194989578</c:v>
                </c:pt>
                <c:pt idx="310">
                  <c:v>10.782916148687187</c:v>
                </c:pt>
                <c:pt idx="311">
                  <c:v>12.099477255888688</c:v>
                </c:pt>
                <c:pt idx="312">
                  <c:v>11.785944021365825</c:v>
                </c:pt>
                <c:pt idx="313">
                  <c:v>11.785944021365825</c:v>
                </c:pt>
                <c:pt idx="314">
                  <c:v>11.010750222916213</c:v>
                </c:pt>
                <c:pt idx="315">
                  <c:v>11.789566422293161</c:v>
                </c:pt>
                <c:pt idx="316">
                  <c:v>11.789566422293161</c:v>
                </c:pt>
                <c:pt idx="317">
                  <c:v>11.789566422293161</c:v>
                </c:pt>
                <c:pt idx="318">
                  <c:v>11.789566422293161</c:v>
                </c:pt>
                <c:pt idx="319">
                  <c:v>11.789566422293161</c:v>
                </c:pt>
                <c:pt idx="320">
                  <c:v>12.26553396286744</c:v>
                </c:pt>
                <c:pt idx="321">
                  <c:v>12.26553396286744</c:v>
                </c:pt>
                <c:pt idx="322">
                  <c:v>12.26553396286744</c:v>
                </c:pt>
                <c:pt idx="323">
                  <c:v>12.26553396286744</c:v>
                </c:pt>
                <c:pt idx="324">
                  <c:v>10.023640054306867</c:v>
                </c:pt>
                <c:pt idx="325">
                  <c:v>10.023640054306867</c:v>
                </c:pt>
                <c:pt idx="326">
                  <c:v>8.4303486496947038</c:v>
                </c:pt>
                <c:pt idx="327">
                  <c:v>8.4303486496947038</c:v>
                </c:pt>
                <c:pt idx="328">
                  <c:v>8.4303486496947038</c:v>
                </c:pt>
                <c:pt idx="329">
                  <c:v>8.4303486496947038</c:v>
                </c:pt>
                <c:pt idx="330">
                  <c:v>9.2700433061832523</c:v>
                </c:pt>
                <c:pt idx="331">
                  <c:v>9.2700433061832523</c:v>
                </c:pt>
                <c:pt idx="332">
                  <c:v>9.2700433061832523</c:v>
                </c:pt>
                <c:pt idx="333">
                  <c:v>9.2700433061832523</c:v>
                </c:pt>
                <c:pt idx="334">
                  <c:v>9.2700433061832523</c:v>
                </c:pt>
                <c:pt idx="335">
                  <c:v>9.2700433061832523</c:v>
                </c:pt>
                <c:pt idx="336">
                  <c:v>9.2700433061832523</c:v>
                </c:pt>
                <c:pt idx="337">
                  <c:v>11.312285252271353</c:v>
                </c:pt>
                <c:pt idx="338">
                  <c:v>11.312285252271353</c:v>
                </c:pt>
                <c:pt idx="339">
                  <c:v>11.312285252271353</c:v>
                </c:pt>
                <c:pt idx="340">
                  <c:v>11.312285252271353</c:v>
                </c:pt>
                <c:pt idx="341">
                  <c:v>11.312285252271353</c:v>
                </c:pt>
                <c:pt idx="342">
                  <c:v>11.741888845319588</c:v>
                </c:pt>
                <c:pt idx="343">
                  <c:v>11.741888845319588</c:v>
                </c:pt>
                <c:pt idx="344">
                  <c:v>11.741888845319588</c:v>
                </c:pt>
                <c:pt idx="345">
                  <c:v>11.741888845319588</c:v>
                </c:pt>
                <c:pt idx="346">
                  <c:v>11.36313721070727</c:v>
                </c:pt>
                <c:pt idx="347">
                  <c:v>11.36313721070727</c:v>
                </c:pt>
                <c:pt idx="348">
                  <c:v>11.258632706202768</c:v>
                </c:pt>
                <c:pt idx="349">
                  <c:v>11.258632706202768</c:v>
                </c:pt>
                <c:pt idx="350">
                  <c:v>12.383106140093243</c:v>
                </c:pt>
                <c:pt idx="351">
                  <c:v>12.383106140093243</c:v>
                </c:pt>
                <c:pt idx="352">
                  <c:v>12.383106140093243</c:v>
                </c:pt>
                <c:pt idx="353">
                  <c:v>12.383106140093243</c:v>
                </c:pt>
                <c:pt idx="354">
                  <c:v>12.383106140093243</c:v>
                </c:pt>
                <c:pt idx="355">
                  <c:v>12.383106140093243</c:v>
                </c:pt>
                <c:pt idx="356">
                  <c:v>12.383106140093243</c:v>
                </c:pt>
                <c:pt idx="357">
                  <c:v>16.104654240656334</c:v>
                </c:pt>
                <c:pt idx="358">
                  <c:v>16.104654240656334</c:v>
                </c:pt>
                <c:pt idx="359">
                  <c:v>16.104654240656334</c:v>
                </c:pt>
                <c:pt idx="360">
                  <c:v>16.104654240656334</c:v>
                </c:pt>
                <c:pt idx="361">
                  <c:v>16.104654240656334</c:v>
                </c:pt>
                <c:pt idx="362">
                  <c:v>16.104654240656334</c:v>
                </c:pt>
                <c:pt idx="363">
                  <c:v>16.104654240656334</c:v>
                </c:pt>
                <c:pt idx="364">
                  <c:v>16.104654240656334</c:v>
                </c:pt>
                <c:pt idx="365">
                  <c:v>15.467887906215578</c:v>
                </c:pt>
                <c:pt idx="366">
                  <c:v>9.693422578931072</c:v>
                </c:pt>
                <c:pt idx="367">
                  <c:v>8.7052084435466917</c:v>
                </c:pt>
                <c:pt idx="368">
                  <c:v>8.7052084435466917</c:v>
                </c:pt>
                <c:pt idx="369">
                  <c:v>8.7052084435466917</c:v>
                </c:pt>
                <c:pt idx="370">
                  <c:v>8.7052084435466917</c:v>
                </c:pt>
                <c:pt idx="371">
                  <c:v>8.7052084435466917</c:v>
                </c:pt>
                <c:pt idx="372">
                  <c:v>8.7052084435466917</c:v>
                </c:pt>
                <c:pt idx="373">
                  <c:v>8.7052084435466917</c:v>
                </c:pt>
                <c:pt idx="374">
                  <c:v>8.7052084435466917</c:v>
                </c:pt>
                <c:pt idx="375">
                  <c:v>8.7052084435466917</c:v>
                </c:pt>
                <c:pt idx="376">
                  <c:v>8.7052084435466917</c:v>
                </c:pt>
                <c:pt idx="377">
                  <c:v>8.7052084435466917</c:v>
                </c:pt>
                <c:pt idx="378">
                  <c:v>8.7052084435466917</c:v>
                </c:pt>
                <c:pt idx="379">
                  <c:v>8.7052084435466917</c:v>
                </c:pt>
                <c:pt idx="380">
                  <c:v>8.7052084435466917</c:v>
                </c:pt>
                <c:pt idx="381">
                  <c:v>8.7052084435466917</c:v>
                </c:pt>
                <c:pt idx="382">
                  <c:v>10.255596040445914</c:v>
                </c:pt>
                <c:pt idx="383">
                  <c:v>10.255596040445914</c:v>
                </c:pt>
                <c:pt idx="384">
                  <c:v>10.255596040445914</c:v>
                </c:pt>
                <c:pt idx="385">
                  <c:v>11.046846922413456</c:v>
                </c:pt>
                <c:pt idx="386">
                  <c:v>11.046846922413456</c:v>
                </c:pt>
                <c:pt idx="387">
                  <c:v>11.046846922413456</c:v>
                </c:pt>
                <c:pt idx="388">
                  <c:v>11.046846922413456</c:v>
                </c:pt>
                <c:pt idx="389">
                  <c:v>11.046846922413456</c:v>
                </c:pt>
                <c:pt idx="390">
                  <c:v>11.046846922413456</c:v>
                </c:pt>
                <c:pt idx="391">
                  <c:v>10.650254677995123</c:v>
                </c:pt>
                <c:pt idx="392">
                  <c:v>10.650254677995123</c:v>
                </c:pt>
                <c:pt idx="393">
                  <c:v>10.650254677995123</c:v>
                </c:pt>
                <c:pt idx="394">
                  <c:v>10.650254677995123</c:v>
                </c:pt>
                <c:pt idx="395">
                  <c:v>10.650254677995123</c:v>
                </c:pt>
                <c:pt idx="396">
                  <c:v>10.650254677995123</c:v>
                </c:pt>
                <c:pt idx="397">
                  <c:v>10.650254677995123</c:v>
                </c:pt>
                <c:pt idx="398">
                  <c:v>10.650254677995123</c:v>
                </c:pt>
                <c:pt idx="399">
                  <c:v>10.650254677995123</c:v>
                </c:pt>
                <c:pt idx="400">
                  <c:v>10.446704767557083</c:v>
                </c:pt>
                <c:pt idx="401">
                  <c:v>10.446704767557083</c:v>
                </c:pt>
                <c:pt idx="402">
                  <c:v>10.446704767557083</c:v>
                </c:pt>
                <c:pt idx="403">
                  <c:v>10.446704767557083</c:v>
                </c:pt>
                <c:pt idx="404">
                  <c:v>10.446704767557083</c:v>
                </c:pt>
                <c:pt idx="405">
                  <c:v>10.446704767557083</c:v>
                </c:pt>
                <c:pt idx="406">
                  <c:v>10.446704767557083</c:v>
                </c:pt>
                <c:pt idx="407">
                  <c:v>10.446704767557083</c:v>
                </c:pt>
                <c:pt idx="408">
                  <c:v>10.446704767557083</c:v>
                </c:pt>
                <c:pt idx="409">
                  <c:v>11.300021340753757</c:v>
                </c:pt>
                <c:pt idx="410">
                  <c:v>11.300021340753757</c:v>
                </c:pt>
                <c:pt idx="411">
                  <c:v>11.300021340753757</c:v>
                </c:pt>
                <c:pt idx="412">
                  <c:v>11.300021340753757</c:v>
                </c:pt>
                <c:pt idx="413">
                  <c:v>11.300021340753757</c:v>
                </c:pt>
                <c:pt idx="414">
                  <c:v>11.300021340753757</c:v>
                </c:pt>
                <c:pt idx="415">
                  <c:v>11.724411280215779</c:v>
                </c:pt>
                <c:pt idx="416">
                  <c:v>11.724411280215779</c:v>
                </c:pt>
                <c:pt idx="417">
                  <c:v>10.963955006451521</c:v>
                </c:pt>
                <c:pt idx="418">
                  <c:v>10.963955006451521</c:v>
                </c:pt>
              </c:numCache>
              <c:extLst xmlns:c15="http://schemas.microsoft.com/office/drawing/2012/chart"/>
            </c:numRef>
          </c:val>
          <c:smooth val="1"/>
          <c:extLst xmlns:c15="http://schemas.microsoft.com/office/drawing/2012/chart">
            <c:ext xmlns:c16="http://schemas.microsoft.com/office/drawing/2014/chart" uri="{C3380CC4-5D6E-409C-BE32-E72D297353CC}">
              <c16:uniqueId val="{00000004-A9EF-47C0-896E-1A1AEE0E0DC8}"/>
            </c:ext>
          </c:extLst>
        </c:ser>
        <c:ser>
          <c:idx val="2"/>
          <c:order val="6"/>
          <c:tx>
            <c:v>SW</c:v>
          </c:tx>
          <c:spPr>
            <a:ln w="28575" cap="rnd">
              <a:solidFill>
                <a:srgbClr val="0070C0"/>
              </a:solidFill>
              <a:prstDash val="solid"/>
              <a:round/>
            </a:ln>
            <a:effectLst/>
          </c:spPr>
          <c:marker>
            <c:symbol val="none"/>
          </c:marker>
          <c:val>
            <c:numRef>
              <c:f>'2025-Q2'!$CH$4:$CH$422</c:f>
              <c:numCache>
                <c:formatCode>0.0</c:formatCode>
                <c:ptCount val="419"/>
                <c:pt idx="0">
                  <c:v>0</c:v>
                </c:pt>
                <c:pt idx="1">
                  <c:v>0</c:v>
                </c:pt>
                <c:pt idx="2">
                  <c:v>-5.8708702097371709E-2</c:v>
                </c:pt>
                <c:pt idx="3">
                  <c:v>-0.47332867780116666</c:v>
                </c:pt>
                <c:pt idx="4">
                  <c:v>-0.67924094093413856</c:v>
                </c:pt>
                <c:pt idx="5">
                  <c:v>-1.331897252120668</c:v>
                </c:pt>
                <c:pt idx="6">
                  <c:v>-1.9089285900827602</c:v>
                </c:pt>
                <c:pt idx="7">
                  <c:v>-2.0364740006470425</c:v>
                </c:pt>
                <c:pt idx="8">
                  <c:v>-1.5119749040259491</c:v>
                </c:pt>
                <c:pt idx="9">
                  <c:v>-1.5119749040259491</c:v>
                </c:pt>
                <c:pt idx="10">
                  <c:v>-1.2562541405544734</c:v>
                </c:pt>
                <c:pt idx="11">
                  <c:v>-0.74266446688844512</c:v>
                </c:pt>
                <c:pt idx="12">
                  <c:v>-0.74266446688844512</c:v>
                </c:pt>
                <c:pt idx="13">
                  <c:v>-0.59798104285804188</c:v>
                </c:pt>
                <c:pt idx="14">
                  <c:v>-0.59798104285804188</c:v>
                </c:pt>
                <c:pt idx="15">
                  <c:v>5.7491593957879394E-2</c:v>
                </c:pt>
                <c:pt idx="16">
                  <c:v>5.7491593957879394E-2</c:v>
                </c:pt>
                <c:pt idx="17">
                  <c:v>5.7491593957879394E-2</c:v>
                </c:pt>
                <c:pt idx="18">
                  <c:v>2.0899319080158046E-3</c:v>
                </c:pt>
                <c:pt idx="19">
                  <c:v>0.46094484132543312</c:v>
                </c:pt>
                <c:pt idx="20">
                  <c:v>0.87016805155801569</c:v>
                </c:pt>
                <c:pt idx="21">
                  <c:v>1.1641330172118003</c:v>
                </c:pt>
                <c:pt idx="22">
                  <c:v>1.1641330172118003</c:v>
                </c:pt>
                <c:pt idx="23">
                  <c:v>1.0528157630374015</c:v>
                </c:pt>
                <c:pt idx="24">
                  <c:v>0.18840117891918895</c:v>
                </c:pt>
                <c:pt idx="25">
                  <c:v>-2.7484350488031315</c:v>
                </c:pt>
                <c:pt idx="26">
                  <c:v>-2.7484350488031315</c:v>
                </c:pt>
                <c:pt idx="27">
                  <c:v>-2.7484350488031315</c:v>
                </c:pt>
                <c:pt idx="28">
                  <c:v>-2.7484350488031315</c:v>
                </c:pt>
                <c:pt idx="29">
                  <c:v>-2.3158062509167356</c:v>
                </c:pt>
                <c:pt idx="30">
                  <c:v>-2.3158062509167356</c:v>
                </c:pt>
                <c:pt idx="31">
                  <c:v>-2.3158062509167356</c:v>
                </c:pt>
                <c:pt idx="32">
                  <c:v>-2.3158062509167356</c:v>
                </c:pt>
                <c:pt idx="33">
                  <c:v>-2.3138293412219695</c:v>
                </c:pt>
                <c:pt idx="34">
                  <c:v>-3.218060132622047</c:v>
                </c:pt>
                <c:pt idx="35">
                  <c:v>-4.0393452731842965</c:v>
                </c:pt>
                <c:pt idx="36">
                  <c:v>-4.0393452731842965</c:v>
                </c:pt>
                <c:pt idx="37">
                  <c:v>-3.8373564602570109</c:v>
                </c:pt>
                <c:pt idx="38">
                  <c:v>-3.6426039860270283</c:v>
                </c:pt>
                <c:pt idx="39">
                  <c:v>-3.6426039860270283</c:v>
                </c:pt>
                <c:pt idx="40">
                  <c:v>-3.6426039860270283</c:v>
                </c:pt>
                <c:pt idx="41">
                  <c:v>-3.6426039860270283</c:v>
                </c:pt>
                <c:pt idx="42">
                  <c:v>-3.6426039860270283</c:v>
                </c:pt>
                <c:pt idx="43">
                  <c:v>-2.880992921640523</c:v>
                </c:pt>
                <c:pt idx="44">
                  <c:v>-3.2459280874142631</c:v>
                </c:pt>
                <c:pt idx="45">
                  <c:v>-3.2561099796462054</c:v>
                </c:pt>
                <c:pt idx="46">
                  <c:v>-3.2561099796462054</c:v>
                </c:pt>
                <c:pt idx="47">
                  <c:v>-3.2561099796462054</c:v>
                </c:pt>
                <c:pt idx="48">
                  <c:v>-3.2561099796462054</c:v>
                </c:pt>
                <c:pt idx="49">
                  <c:v>-4.787720086422822</c:v>
                </c:pt>
                <c:pt idx="50">
                  <c:v>-5.6194470800688512</c:v>
                </c:pt>
                <c:pt idx="51">
                  <c:v>-4.6684068178223059</c:v>
                </c:pt>
                <c:pt idx="52">
                  <c:v>-4.6684068178223059</c:v>
                </c:pt>
                <c:pt idx="53">
                  <c:v>-4.17574702283693</c:v>
                </c:pt>
                <c:pt idx="54">
                  <c:v>-3.4356097179672029</c:v>
                </c:pt>
                <c:pt idx="55">
                  <c:v>-3.4356097179672029</c:v>
                </c:pt>
                <c:pt idx="56">
                  <c:v>-4.1133990818879544</c:v>
                </c:pt>
                <c:pt idx="57">
                  <c:v>-4.1133990818879544</c:v>
                </c:pt>
                <c:pt idx="58">
                  <c:v>-3.4475158073090277</c:v>
                </c:pt>
                <c:pt idx="59">
                  <c:v>-2.2645935902228382</c:v>
                </c:pt>
                <c:pt idx="60">
                  <c:v>-1.7635984629151702</c:v>
                </c:pt>
                <c:pt idx="61">
                  <c:v>-0.33394634322716721</c:v>
                </c:pt>
                <c:pt idx="62">
                  <c:v>2.2693489672924785</c:v>
                </c:pt>
                <c:pt idx="63">
                  <c:v>3.2097760935569961</c:v>
                </c:pt>
                <c:pt idx="64">
                  <c:v>2.9470411776321668</c:v>
                </c:pt>
                <c:pt idx="65">
                  <c:v>4.1243321777142077</c:v>
                </c:pt>
                <c:pt idx="66">
                  <c:v>4.1243321777142077</c:v>
                </c:pt>
                <c:pt idx="67">
                  <c:v>4.1243321777142077</c:v>
                </c:pt>
                <c:pt idx="68">
                  <c:v>4.1243321777142077</c:v>
                </c:pt>
                <c:pt idx="69">
                  <c:v>4.1243321777142077</c:v>
                </c:pt>
                <c:pt idx="70">
                  <c:v>4.1243321777142077</c:v>
                </c:pt>
                <c:pt idx="71">
                  <c:v>4.1243321777142077</c:v>
                </c:pt>
                <c:pt idx="72">
                  <c:v>5.2751627940781276</c:v>
                </c:pt>
                <c:pt idx="73">
                  <c:v>5.0829017557472183</c:v>
                </c:pt>
                <c:pt idx="74">
                  <c:v>5.950865985100191</c:v>
                </c:pt>
                <c:pt idx="75">
                  <c:v>5.4438759227791529</c:v>
                </c:pt>
                <c:pt idx="76">
                  <c:v>6.8109478912313381</c:v>
                </c:pt>
                <c:pt idx="77">
                  <c:v>6.5264701178062232</c:v>
                </c:pt>
                <c:pt idx="78">
                  <c:v>5.5552436770914344</c:v>
                </c:pt>
                <c:pt idx="79">
                  <c:v>5.5552436770914344</c:v>
                </c:pt>
                <c:pt idx="80">
                  <c:v>5.7056401769547129</c:v>
                </c:pt>
                <c:pt idx="81">
                  <c:v>5.7056401769547129</c:v>
                </c:pt>
                <c:pt idx="82">
                  <c:v>5.7056401769547129</c:v>
                </c:pt>
                <c:pt idx="83">
                  <c:v>5.1374583587728946</c:v>
                </c:pt>
                <c:pt idx="84">
                  <c:v>3.2903832781648799</c:v>
                </c:pt>
                <c:pt idx="85">
                  <c:v>3.2903832781648799</c:v>
                </c:pt>
                <c:pt idx="86">
                  <c:v>2.7644274061642369</c:v>
                </c:pt>
                <c:pt idx="87">
                  <c:v>2.7644274061642369</c:v>
                </c:pt>
                <c:pt idx="88">
                  <c:v>2.7644274061642369</c:v>
                </c:pt>
                <c:pt idx="89">
                  <c:v>2.4469670887039179</c:v>
                </c:pt>
                <c:pt idx="90">
                  <c:v>2.4469670887039179</c:v>
                </c:pt>
                <c:pt idx="91">
                  <c:v>2.4469670887039179</c:v>
                </c:pt>
                <c:pt idx="92">
                  <c:v>2.4469670887039179</c:v>
                </c:pt>
                <c:pt idx="93">
                  <c:v>1.5891481180866815</c:v>
                </c:pt>
                <c:pt idx="94">
                  <c:v>0.95093551413918087</c:v>
                </c:pt>
                <c:pt idx="95">
                  <c:v>0.95093551413918087</c:v>
                </c:pt>
                <c:pt idx="96">
                  <c:v>0.95093551413918087</c:v>
                </c:pt>
                <c:pt idx="97">
                  <c:v>0.95093551413918087</c:v>
                </c:pt>
                <c:pt idx="98">
                  <c:v>0.95093551413918087</c:v>
                </c:pt>
                <c:pt idx="99">
                  <c:v>0.30610601813474969</c:v>
                </c:pt>
                <c:pt idx="100">
                  <c:v>0.30610601813474969</c:v>
                </c:pt>
                <c:pt idx="101">
                  <c:v>-0.15330479933233376</c:v>
                </c:pt>
                <c:pt idx="102">
                  <c:v>-0.17256727756573337</c:v>
                </c:pt>
                <c:pt idx="103">
                  <c:v>-0.17256727756573337</c:v>
                </c:pt>
                <c:pt idx="104">
                  <c:v>-0.19772662006824826</c:v>
                </c:pt>
                <c:pt idx="105">
                  <c:v>-0.19772662006824826</c:v>
                </c:pt>
                <c:pt idx="106">
                  <c:v>-0.19772662006824826</c:v>
                </c:pt>
                <c:pt idx="107">
                  <c:v>-1.5627025778780812</c:v>
                </c:pt>
                <c:pt idx="108">
                  <c:v>-0.98158327811135515</c:v>
                </c:pt>
                <c:pt idx="109">
                  <c:v>-1.5264097814870796</c:v>
                </c:pt>
                <c:pt idx="110">
                  <c:v>-1.5264097814870796</c:v>
                </c:pt>
                <c:pt idx="111">
                  <c:v>-1.5264097814870796</c:v>
                </c:pt>
                <c:pt idx="112">
                  <c:v>-1.0948660852469776</c:v>
                </c:pt>
                <c:pt idx="113">
                  <c:v>-0.47114817206851145</c:v>
                </c:pt>
                <c:pt idx="114">
                  <c:v>3.046995090883442E-2</c:v>
                </c:pt>
                <c:pt idx="115">
                  <c:v>1.2317741388232271</c:v>
                </c:pt>
                <c:pt idx="116">
                  <c:v>1.2317741388232271</c:v>
                </c:pt>
                <c:pt idx="117">
                  <c:v>1.2317741388232271</c:v>
                </c:pt>
                <c:pt idx="118">
                  <c:v>2.2548108651057053</c:v>
                </c:pt>
                <c:pt idx="119">
                  <c:v>1.8200953098071886</c:v>
                </c:pt>
                <c:pt idx="120">
                  <c:v>1.8200953098071886</c:v>
                </c:pt>
                <c:pt idx="121">
                  <c:v>1.8200953098071886</c:v>
                </c:pt>
                <c:pt idx="122">
                  <c:v>0.77552706468184374</c:v>
                </c:pt>
                <c:pt idx="123">
                  <c:v>0.45862964135970113</c:v>
                </c:pt>
                <c:pt idx="124">
                  <c:v>0.45862964135970113</c:v>
                </c:pt>
                <c:pt idx="125">
                  <c:v>0.68610916820228396</c:v>
                </c:pt>
                <c:pt idx="126">
                  <c:v>1.1021786980437152</c:v>
                </c:pt>
                <c:pt idx="127">
                  <c:v>1.1021786980437152</c:v>
                </c:pt>
                <c:pt idx="128">
                  <c:v>1.3278104669967838</c:v>
                </c:pt>
                <c:pt idx="129">
                  <c:v>1.3278104669967838</c:v>
                </c:pt>
                <c:pt idx="130">
                  <c:v>0.7659637771013148</c:v>
                </c:pt>
                <c:pt idx="131">
                  <c:v>0.7659637771013148</c:v>
                </c:pt>
                <c:pt idx="132">
                  <c:v>0.2967286656138724</c:v>
                </c:pt>
                <c:pt idx="133">
                  <c:v>0.2967286656138724</c:v>
                </c:pt>
                <c:pt idx="134">
                  <c:v>0.2967286656138724</c:v>
                </c:pt>
                <c:pt idx="135">
                  <c:v>0.2967286656138724</c:v>
                </c:pt>
                <c:pt idx="136">
                  <c:v>0.2967286656138724</c:v>
                </c:pt>
                <c:pt idx="137">
                  <c:v>0.2967286656138724</c:v>
                </c:pt>
                <c:pt idx="138">
                  <c:v>0.2967286656138724</c:v>
                </c:pt>
                <c:pt idx="139">
                  <c:v>0.2967286656138724</c:v>
                </c:pt>
                <c:pt idx="140">
                  <c:v>0.15743349915614699</c:v>
                </c:pt>
                <c:pt idx="141">
                  <c:v>0.15743349915614699</c:v>
                </c:pt>
                <c:pt idx="142">
                  <c:v>0.15743349915614699</c:v>
                </c:pt>
                <c:pt idx="143">
                  <c:v>0.15743349915614699</c:v>
                </c:pt>
                <c:pt idx="144">
                  <c:v>0.15743349915614699</c:v>
                </c:pt>
                <c:pt idx="145">
                  <c:v>0.15743349915614699</c:v>
                </c:pt>
                <c:pt idx="146">
                  <c:v>0.15743349915614699</c:v>
                </c:pt>
                <c:pt idx="147">
                  <c:v>0.15743349915614699</c:v>
                </c:pt>
                <c:pt idx="148">
                  <c:v>1.3316759233985713</c:v>
                </c:pt>
                <c:pt idx="149">
                  <c:v>2.3415336763446604</c:v>
                </c:pt>
                <c:pt idx="150">
                  <c:v>2.1016224792952101</c:v>
                </c:pt>
                <c:pt idx="151">
                  <c:v>3.2321371851775655</c:v>
                </c:pt>
                <c:pt idx="152">
                  <c:v>3.2321371851775655</c:v>
                </c:pt>
                <c:pt idx="153">
                  <c:v>1.5664526438300914</c:v>
                </c:pt>
                <c:pt idx="154">
                  <c:v>1.2209384718928695</c:v>
                </c:pt>
                <c:pt idx="155">
                  <c:v>0.50296755151909212</c:v>
                </c:pt>
                <c:pt idx="156">
                  <c:v>0.50296755151909212</c:v>
                </c:pt>
                <c:pt idx="157">
                  <c:v>1.0608476073070958</c:v>
                </c:pt>
                <c:pt idx="158">
                  <c:v>1.4955266593494918</c:v>
                </c:pt>
                <c:pt idx="159">
                  <c:v>-0.75853113954203621</c:v>
                </c:pt>
                <c:pt idx="160">
                  <c:v>-0.14416201032142462</c:v>
                </c:pt>
                <c:pt idx="161">
                  <c:v>0.93529165394645586</c:v>
                </c:pt>
                <c:pt idx="162">
                  <c:v>0.93529165394645586</c:v>
                </c:pt>
                <c:pt idx="163">
                  <c:v>0.93529165394645586</c:v>
                </c:pt>
                <c:pt idx="164">
                  <c:v>1.3587355923546105</c:v>
                </c:pt>
                <c:pt idx="165">
                  <c:v>2.3287257839948707</c:v>
                </c:pt>
                <c:pt idx="166">
                  <c:v>2.1998047222920092</c:v>
                </c:pt>
                <c:pt idx="167">
                  <c:v>1.9163637602832426</c:v>
                </c:pt>
                <c:pt idx="168">
                  <c:v>1.9163637602832426</c:v>
                </c:pt>
                <c:pt idx="169">
                  <c:v>1.8937939631857208</c:v>
                </c:pt>
                <c:pt idx="170">
                  <c:v>1.8937939631857208</c:v>
                </c:pt>
                <c:pt idx="171">
                  <c:v>0.41412713320041905</c:v>
                </c:pt>
                <c:pt idx="172">
                  <c:v>0.41412713320041905</c:v>
                </c:pt>
                <c:pt idx="173">
                  <c:v>0.93379291677490495</c:v>
                </c:pt>
                <c:pt idx="174">
                  <c:v>0.93379291677490495</c:v>
                </c:pt>
                <c:pt idx="175">
                  <c:v>2.4454561258018739</c:v>
                </c:pt>
                <c:pt idx="176">
                  <c:v>2.4454561258018739</c:v>
                </c:pt>
                <c:pt idx="177">
                  <c:v>3.7531367572529986</c:v>
                </c:pt>
                <c:pt idx="178">
                  <c:v>3.7531367572529986</c:v>
                </c:pt>
                <c:pt idx="179">
                  <c:v>3.7531367572529986</c:v>
                </c:pt>
                <c:pt idx="180">
                  <c:v>3.2654665327406662</c:v>
                </c:pt>
                <c:pt idx="181">
                  <c:v>2.9546309731526486</c:v>
                </c:pt>
                <c:pt idx="182">
                  <c:v>3.665971646434329</c:v>
                </c:pt>
                <c:pt idx="183">
                  <c:v>4.228983842343216</c:v>
                </c:pt>
                <c:pt idx="184">
                  <c:v>4.228983842343216</c:v>
                </c:pt>
                <c:pt idx="185">
                  <c:v>4.228983842343216</c:v>
                </c:pt>
                <c:pt idx="186">
                  <c:v>4.228983842343216</c:v>
                </c:pt>
                <c:pt idx="187">
                  <c:v>4.69113172966716</c:v>
                </c:pt>
                <c:pt idx="188">
                  <c:v>4.69113172966716</c:v>
                </c:pt>
                <c:pt idx="189">
                  <c:v>4.69113172966716</c:v>
                </c:pt>
                <c:pt idx="190">
                  <c:v>5.3749707305495349</c:v>
                </c:pt>
                <c:pt idx="191">
                  <c:v>5.3749707305495349</c:v>
                </c:pt>
                <c:pt idx="192">
                  <c:v>5.0550098184356109</c:v>
                </c:pt>
                <c:pt idx="193">
                  <c:v>5.0550098184356109</c:v>
                </c:pt>
                <c:pt idx="194">
                  <c:v>5.0550098184356109</c:v>
                </c:pt>
                <c:pt idx="195">
                  <c:v>5.1812098661621748</c:v>
                </c:pt>
                <c:pt idx="196">
                  <c:v>5.2402058398390245</c:v>
                </c:pt>
                <c:pt idx="197">
                  <c:v>5.2402058398390245</c:v>
                </c:pt>
                <c:pt idx="198">
                  <c:v>5.2402058398390245</c:v>
                </c:pt>
                <c:pt idx="199">
                  <c:v>5.2402058398390245</c:v>
                </c:pt>
                <c:pt idx="200">
                  <c:v>5.2402058398390245</c:v>
                </c:pt>
                <c:pt idx="201">
                  <c:v>5.2402058398390245</c:v>
                </c:pt>
                <c:pt idx="202">
                  <c:v>5.4983069647963294</c:v>
                </c:pt>
                <c:pt idx="203">
                  <c:v>5.4983069647963294</c:v>
                </c:pt>
                <c:pt idx="204">
                  <c:v>5.8466715549431942</c:v>
                </c:pt>
                <c:pt idx="205">
                  <c:v>4.7804679444472544</c:v>
                </c:pt>
                <c:pt idx="206">
                  <c:v>6.1491647355409036</c:v>
                </c:pt>
                <c:pt idx="207">
                  <c:v>6.1491647355409036</c:v>
                </c:pt>
                <c:pt idx="208">
                  <c:v>5.9860165655523039</c:v>
                </c:pt>
                <c:pt idx="209">
                  <c:v>5.9860165655523039</c:v>
                </c:pt>
                <c:pt idx="210">
                  <c:v>4.9672353949273145</c:v>
                </c:pt>
                <c:pt idx="211">
                  <c:v>4.3865883356711599</c:v>
                </c:pt>
                <c:pt idx="212">
                  <c:v>4.2149306983946628</c:v>
                </c:pt>
                <c:pt idx="213">
                  <c:v>4.2149306983946628</c:v>
                </c:pt>
                <c:pt idx="214">
                  <c:v>4.2149306983946628</c:v>
                </c:pt>
                <c:pt idx="215">
                  <c:v>4.2149306983946628</c:v>
                </c:pt>
                <c:pt idx="216">
                  <c:v>5.6614904345661534</c:v>
                </c:pt>
                <c:pt idx="217">
                  <c:v>5.6614904345661534</c:v>
                </c:pt>
                <c:pt idx="218">
                  <c:v>5.6614904345661534</c:v>
                </c:pt>
                <c:pt idx="219">
                  <c:v>7.2285636747406263</c:v>
                </c:pt>
                <c:pt idx="220">
                  <c:v>7.2285636747406263</c:v>
                </c:pt>
                <c:pt idx="221">
                  <c:v>7.7726868549669605</c:v>
                </c:pt>
                <c:pt idx="222">
                  <c:v>7.7726868549669605</c:v>
                </c:pt>
                <c:pt idx="223">
                  <c:v>7.7726868549669605</c:v>
                </c:pt>
                <c:pt idx="224">
                  <c:v>8.134204731402642</c:v>
                </c:pt>
                <c:pt idx="225">
                  <c:v>8.134204731402642</c:v>
                </c:pt>
                <c:pt idx="226">
                  <c:v>6.3632759032424007</c:v>
                </c:pt>
                <c:pt idx="227">
                  <c:v>6.3632759032424007</c:v>
                </c:pt>
                <c:pt idx="228">
                  <c:v>6.3588194561003188</c:v>
                </c:pt>
                <c:pt idx="229">
                  <c:v>6.3155240577826532</c:v>
                </c:pt>
                <c:pt idx="230">
                  <c:v>6.3155240577826532</c:v>
                </c:pt>
                <c:pt idx="231">
                  <c:v>5.7506450028417229</c:v>
                </c:pt>
                <c:pt idx="232">
                  <c:v>6.420428405435854</c:v>
                </c:pt>
                <c:pt idx="233">
                  <c:v>6.8738312762042915</c:v>
                </c:pt>
                <c:pt idx="234">
                  <c:v>6.8738312762042915</c:v>
                </c:pt>
                <c:pt idx="235">
                  <c:v>6.8738312762042915</c:v>
                </c:pt>
                <c:pt idx="236">
                  <c:v>6.8738312762042915</c:v>
                </c:pt>
                <c:pt idx="237">
                  <c:v>6.8257186050762684</c:v>
                </c:pt>
                <c:pt idx="238">
                  <c:v>5.1223152641183383</c:v>
                </c:pt>
                <c:pt idx="239">
                  <c:v>5.1654602821377287</c:v>
                </c:pt>
                <c:pt idx="240">
                  <c:v>5.1654602821377287</c:v>
                </c:pt>
                <c:pt idx="241">
                  <c:v>5.1654602821377287</c:v>
                </c:pt>
                <c:pt idx="242">
                  <c:v>5.2736797002940596</c:v>
                </c:pt>
                <c:pt idx="243">
                  <c:v>5.2736797002940596</c:v>
                </c:pt>
                <c:pt idx="244">
                  <c:v>4.4459631505172155</c:v>
                </c:pt>
                <c:pt idx="245">
                  <c:v>4.4459631505172155</c:v>
                </c:pt>
                <c:pt idx="246">
                  <c:v>4.4459631505172155</c:v>
                </c:pt>
                <c:pt idx="247">
                  <c:v>4.4459631505172155</c:v>
                </c:pt>
                <c:pt idx="248">
                  <c:v>4.4459631505172155</c:v>
                </c:pt>
                <c:pt idx="249">
                  <c:v>4.4459631505172155</c:v>
                </c:pt>
                <c:pt idx="250">
                  <c:v>4.4459631505172155</c:v>
                </c:pt>
                <c:pt idx="251">
                  <c:v>3.5713675481703389</c:v>
                </c:pt>
                <c:pt idx="252">
                  <c:v>3.064447421440307</c:v>
                </c:pt>
                <c:pt idx="253">
                  <c:v>3.064447421440307</c:v>
                </c:pt>
                <c:pt idx="254">
                  <c:v>3.064447421440307</c:v>
                </c:pt>
                <c:pt idx="255">
                  <c:v>3.064447421440307</c:v>
                </c:pt>
                <c:pt idx="256">
                  <c:v>2.9333428655569906</c:v>
                </c:pt>
                <c:pt idx="257">
                  <c:v>2.9333428655569906</c:v>
                </c:pt>
                <c:pt idx="258">
                  <c:v>2.9333428655569906</c:v>
                </c:pt>
                <c:pt idx="259">
                  <c:v>2.9333428655569906</c:v>
                </c:pt>
                <c:pt idx="260">
                  <c:v>2.9333428655569906</c:v>
                </c:pt>
                <c:pt idx="261">
                  <c:v>2.9333428655569906</c:v>
                </c:pt>
                <c:pt idx="262">
                  <c:v>2.9333428655569906</c:v>
                </c:pt>
                <c:pt idx="263">
                  <c:v>2.6694681634800426</c:v>
                </c:pt>
                <c:pt idx="264">
                  <c:v>2.6694681634800426</c:v>
                </c:pt>
                <c:pt idx="265">
                  <c:v>2.6694681634800426</c:v>
                </c:pt>
                <c:pt idx="266">
                  <c:v>3.2673301497029255</c:v>
                </c:pt>
                <c:pt idx="267">
                  <c:v>3.2673301497029255</c:v>
                </c:pt>
                <c:pt idx="268">
                  <c:v>3.2673301497029255</c:v>
                </c:pt>
                <c:pt idx="269">
                  <c:v>3.2673301497029255</c:v>
                </c:pt>
                <c:pt idx="270">
                  <c:v>3.2673301497029255</c:v>
                </c:pt>
                <c:pt idx="271">
                  <c:v>3.2673301497029255</c:v>
                </c:pt>
                <c:pt idx="272">
                  <c:v>3.2673301497029255</c:v>
                </c:pt>
                <c:pt idx="273">
                  <c:v>3.2673301497029255</c:v>
                </c:pt>
                <c:pt idx="274">
                  <c:v>3.2673301497029255</c:v>
                </c:pt>
                <c:pt idx="275">
                  <c:v>3.2673301497029255</c:v>
                </c:pt>
                <c:pt idx="276">
                  <c:v>3.2673301497029255</c:v>
                </c:pt>
                <c:pt idx="277">
                  <c:v>3.2673301497029255</c:v>
                </c:pt>
                <c:pt idx="278">
                  <c:v>3.2673301497029255</c:v>
                </c:pt>
                <c:pt idx="279">
                  <c:v>3.2673301497029255</c:v>
                </c:pt>
                <c:pt idx="280">
                  <c:v>3.7088089351307563</c:v>
                </c:pt>
                <c:pt idx="281">
                  <c:v>2.8109351882981031</c:v>
                </c:pt>
                <c:pt idx="282">
                  <c:v>2.8109351882981031</c:v>
                </c:pt>
                <c:pt idx="283">
                  <c:v>2.8109351882981031</c:v>
                </c:pt>
                <c:pt idx="284">
                  <c:v>2.7671475583035767</c:v>
                </c:pt>
                <c:pt idx="285">
                  <c:v>2.7671475583035767</c:v>
                </c:pt>
                <c:pt idx="286">
                  <c:v>3.3019496017263097</c:v>
                </c:pt>
                <c:pt idx="287">
                  <c:v>3.3019496017263097</c:v>
                </c:pt>
                <c:pt idx="288">
                  <c:v>5.0769611277751805</c:v>
                </c:pt>
                <c:pt idx="289">
                  <c:v>5.0769611277751805</c:v>
                </c:pt>
                <c:pt idx="290">
                  <c:v>5.0769611277751805</c:v>
                </c:pt>
                <c:pt idx="291">
                  <c:v>5.0769611277751805</c:v>
                </c:pt>
                <c:pt idx="292">
                  <c:v>5.0769611277751805</c:v>
                </c:pt>
                <c:pt idx="293">
                  <c:v>4.2846973505411121</c:v>
                </c:pt>
                <c:pt idx="294">
                  <c:v>4.2846973505411121</c:v>
                </c:pt>
                <c:pt idx="295">
                  <c:v>4.2846973505411121</c:v>
                </c:pt>
                <c:pt idx="296">
                  <c:v>4.2846973505411121</c:v>
                </c:pt>
                <c:pt idx="297">
                  <c:v>4.2846973505411121</c:v>
                </c:pt>
                <c:pt idx="298">
                  <c:v>4.2846973505411121</c:v>
                </c:pt>
                <c:pt idx="299">
                  <c:v>4.2846973505411121</c:v>
                </c:pt>
                <c:pt idx="300">
                  <c:v>4.3189150805895453</c:v>
                </c:pt>
                <c:pt idx="301">
                  <c:v>5.552949620263643</c:v>
                </c:pt>
                <c:pt idx="302">
                  <c:v>5.552949620263643</c:v>
                </c:pt>
                <c:pt idx="303">
                  <c:v>6.1264664789917678</c:v>
                </c:pt>
                <c:pt idx="304">
                  <c:v>6.1264664789917678</c:v>
                </c:pt>
                <c:pt idx="305">
                  <c:v>7.170911895239346</c:v>
                </c:pt>
                <c:pt idx="306">
                  <c:v>9.3974546576023172</c:v>
                </c:pt>
                <c:pt idx="307">
                  <c:v>10.124517077563485</c:v>
                </c:pt>
                <c:pt idx="308">
                  <c:v>10.124517077563485</c:v>
                </c:pt>
                <c:pt idx="309">
                  <c:v>10.124517077563485</c:v>
                </c:pt>
                <c:pt idx="310">
                  <c:v>10.124517077563485</c:v>
                </c:pt>
                <c:pt idx="311">
                  <c:v>10.124517077563485</c:v>
                </c:pt>
                <c:pt idx="312">
                  <c:v>10.124517077563485</c:v>
                </c:pt>
                <c:pt idx="313">
                  <c:v>10.124517077563485</c:v>
                </c:pt>
                <c:pt idx="314">
                  <c:v>10.124517077563485</c:v>
                </c:pt>
                <c:pt idx="315">
                  <c:v>10.124517077563485</c:v>
                </c:pt>
                <c:pt idx="316">
                  <c:v>10.124517077563485</c:v>
                </c:pt>
                <c:pt idx="317">
                  <c:v>10.124517077563485</c:v>
                </c:pt>
                <c:pt idx="318">
                  <c:v>8.5070643683301963</c:v>
                </c:pt>
                <c:pt idx="319">
                  <c:v>10.843640243816576</c:v>
                </c:pt>
                <c:pt idx="320">
                  <c:v>10.843640243816576</c:v>
                </c:pt>
                <c:pt idx="321">
                  <c:v>11.169226861083892</c:v>
                </c:pt>
                <c:pt idx="322">
                  <c:v>11.501909836720493</c:v>
                </c:pt>
                <c:pt idx="323">
                  <c:v>9.8352431700538272</c:v>
                </c:pt>
                <c:pt idx="324">
                  <c:v>9.8352431700538272</c:v>
                </c:pt>
                <c:pt idx="325">
                  <c:v>10.623627873250173</c:v>
                </c:pt>
                <c:pt idx="326">
                  <c:v>10.623627873250173</c:v>
                </c:pt>
                <c:pt idx="327">
                  <c:v>10.407837063399958</c:v>
                </c:pt>
                <c:pt idx="328">
                  <c:v>9.6315729495069782</c:v>
                </c:pt>
                <c:pt idx="329">
                  <c:v>9.6315729495069782</c:v>
                </c:pt>
                <c:pt idx="330">
                  <c:v>9.6315729495069782</c:v>
                </c:pt>
                <c:pt idx="331">
                  <c:v>9.971237901360297</c:v>
                </c:pt>
                <c:pt idx="332">
                  <c:v>10.908966839089237</c:v>
                </c:pt>
                <c:pt idx="333">
                  <c:v>11.393004474375038</c:v>
                </c:pt>
                <c:pt idx="334">
                  <c:v>11.393004474375038</c:v>
                </c:pt>
                <c:pt idx="335">
                  <c:v>12.05799609916566</c:v>
                </c:pt>
                <c:pt idx="336">
                  <c:v>11.622524998611423</c:v>
                </c:pt>
                <c:pt idx="337">
                  <c:v>11.622524998611423</c:v>
                </c:pt>
                <c:pt idx="338">
                  <c:v>11.622524998611423</c:v>
                </c:pt>
                <c:pt idx="339">
                  <c:v>11.019759142626683</c:v>
                </c:pt>
                <c:pt idx="340">
                  <c:v>8.1740220453925794</c:v>
                </c:pt>
                <c:pt idx="341">
                  <c:v>8.1740220453925794</c:v>
                </c:pt>
                <c:pt idx="342">
                  <c:v>8.1740220453925794</c:v>
                </c:pt>
                <c:pt idx="343">
                  <c:v>8.4811020179794312</c:v>
                </c:pt>
                <c:pt idx="344">
                  <c:v>7.5683790035825176</c:v>
                </c:pt>
                <c:pt idx="345">
                  <c:v>7.5683790035825176</c:v>
                </c:pt>
                <c:pt idx="346">
                  <c:v>7.5683790035825176</c:v>
                </c:pt>
                <c:pt idx="347">
                  <c:v>7.6108320158167029</c:v>
                </c:pt>
                <c:pt idx="348">
                  <c:v>7.6108320158167029</c:v>
                </c:pt>
                <c:pt idx="349">
                  <c:v>7.6108320158167029</c:v>
                </c:pt>
                <c:pt idx="350">
                  <c:v>7.6108320158167029</c:v>
                </c:pt>
                <c:pt idx="351">
                  <c:v>7.2816314161651494</c:v>
                </c:pt>
                <c:pt idx="352">
                  <c:v>7.2246308461594504</c:v>
                </c:pt>
                <c:pt idx="353">
                  <c:v>7.2246308461594504</c:v>
                </c:pt>
                <c:pt idx="354">
                  <c:v>7.2246308461594504</c:v>
                </c:pt>
                <c:pt idx="355">
                  <c:v>6.0911545876236408</c:v>
                </c:pt>
                <c:pt idx="356">
                  <c:v>5.233917528606165</c:v>
                </c:pt>
                <c:pt idx="357">
                  <c:v>5.233917528606165</c:v>
                </c:pt>
                <c:pt idx="358">
                  <c:v>5.233917528606165</c:v>
                </c:pt>
                <c:pt idx="359">
                  <c:v>5.233917528606165</c:v>
                </c:pt>
                <c:pt idx="360">
                  <c:v>3.3670572843062914</c:v>
                </c:pt>
                <c:pt idx="361">
                  <c:v>3.3670572843062914</c:v>
                </c:pt>
                <c:pt idx="362">
                  <c:v>5.1741585031722162</c:v>
                </c:pt>
                <c:pt idx="363">
                  <c:v>5.1741585031722162</c:v>
                </c:pt>
                <c:pt idx="364">
                  <c:v>4.8905071364883579</c:v>
                </c:pt>
                <c:pt idx="365">
                  <c:v>4.8905071364883579</c:v>
                </c:pt>
                <c:pt idx="366">
                  <c:v>4.8905071364883579</c:v>
                </c:pt>
                <c:pt idx="367">
                  <c:v>4.8905071364883579</c:v>
                </c:pt>
                <c:pt idx="368">
                  <c:v>8.2735642267277711</c:v>
                </c:pt>
                <c:pt idx="369">
                  <c:v>8.6545227862214613</c:v>
                </c:pt>
                <c:pt idx="370">
                  <c:v>8.6545227862214613</c:v>
                </c:pt>
                <c:pt idx="371">
                  <c:v>9.5743358564684762</c:v>
                </c:pt>
                <c:pt idx="372">
                  <c:v>8.8232097711395863</c:v>
                </c:pt>
                <c:pt idx="373">
                  <c:v>9.7356075585373762</c:v>
                </c:pt>
                <c:pt idx="374">
                  <c:v>12.320316507277603</c:v>
                </c:pt>
                <c:pt idx="375">
                  <c:v>10.246174350414858</c:v>
                </c:pt>
                <c:pt idx="376">
                  <c:v>9.1701255050515389</c:v>
                </c:pt>
                <c:pt idx="377">
                  <c:v>11.593825165307129</c:v>
                </c:pt>
                <c:pt idx="378">
                  <c:v>9.2891310456663891</c:v>
                </c:pt>
                <c:pt idx="379">
                  <c:v>8.8841155108239569</c:v>
                </c:pt>
                <c:pt idx="380">
                  <c:v>8.1500551081393979</c:v>
                </c:pt>
                <c:pt idx="381">
                  <c:v>9.3382859644200451</c:v>
                </c:pt>
                <c:pt idx="382">
                  <c:v>9.3382859644200451</c:v>
                </c:pt>
                <c:pt idx="383">
                  <c:v>11.811238050973367</c:v>
                </c:pt>
                <c:pt idx="384">
                  <c:v>11.6425619384444</c:v>
                </c:pt>
                <c:pt idx="385">
                  <c:v>11.6425619384444</c:v>
                </c:pt>
                <c:pt idx="386">
                  <c:v>9.0709367437615072</c:v>
                </c:pt>
                <c:pt idx="387">
                  <c:v>9.0709367437615072</c:v>
                </c:pt>
                <c:pt idx="388">
                  <c:v>9.0709367437615072</c:v>
                </c:pt>
                <c:pt idx="389">
                  <c:v>9.0709367437615072</c:v>
                </c:pt>
                <c:pt idx="390">
                  <c:v>10.903207146884704</c:v>
                </c:pt>
                <c:pt idx="391">
                  <c:v>10.903207146884704</c:v>
                </c:pt>
                <c:pt idx="392">
                  <c:v>10.903207146884704</c:v>
                </c:pt>
                <c:pt idx="393">
                  <c:v>10.137779460442006</c:v>
                </c:pt>
                <c:pt idx="394">
                  <c:v>11.474196833867859</c:v>
                </c:pt>
                <c:pt idx="395">
                  <c:v>9.456652974218736</c:v>
                </c:pt>
                <c:pt idx="396">
                  <c:v>9.456652974218736</c:v>
                </c:pt>
                <c:pt idx="397">
                  <c:v>10.851037749044439</c:v>
                </c:pt>
                <c:pt idx="398">
                  <c:v>10.851037749044439</c:v>
                </c:pt>
                <c:pt idx="399">
                  <c:v>10.851037749044439</c:v>
                </c:pt>
                <c:pt idx="400">
                  <c:v>10.851037749044439</c:v>
                </c:pt>
                <c:pt idx="401">
                  <c:v>9.4543675062661965</c:v>
                </c:pt>
                <c:pt idx="402">
                  <c:v>6.5623689415012159</c:v>
                </c:pt>
                <c:pt idx="403">
                  <c:v>6.5623689415012159</c:v>
                </c:pt>
                <c:pt idx="404">
                  <c:v>8.7147056666713745</c:v>
                </c:pt>
                <c:pt idx="405">
                  <c:v>8.7147056666713745</c:v>
                </c:pt>
                <c:pt idx="406">
                  <c:v>6.4711819945762716</c:v>
                </c:pt>
                <c:pt idx="407">
                  <c:v>6.4711819945762716</c:v>
                </c:pt>
                <c:pt idx="408">
                  <c:v>6.4711819945762716</c:v>
                </c:pt>
                <c:pt idx="409">
                  <c:v>6.4711819945762716</c:v>
                </c:pt>
                <c:pt idx="410">
                  <c:v>7.2630094772694047</c:v>
                </c:pt>
                <c:pt idx="411">
                  <c:v>7.2630094772694047</c:v>
                </c:pt>
                <c:pt idx="412">
                  <c:v>7.2630094772694047</c:v>
                </c:pt>
                <c:pt idx="413">
                  <c:v>7.3165622463394149</c:v>
                </c:pt>
                <c:pt idx="414">
                  <c:v>8.0306498780643203</c:v>
                </c:pt>
                <c:pt idx="415">
                  <c:v>8.0306498780643203</c:v>
                </c:pt>
                <c:pt idx="416">
                  <c:v>8.0306498780643203</c:v>
                </c:pt>
                <c:pt idx="417">
                  <c:v>8.0306498780643203</c:v>
                </c:pt>
                <c:pt idx="418">
                  <c:v>9.9627466694511693</c:v>
                </c:pt>
              </c:numCache>
              <c:extLst xmlns:c15="http://schemas.microsoft.com/office/drawing/2012/chart"/>
            </c:numRef>
          </c:val>
          <c:smooth val="1"/>
          <c:extLst xmlns:c15="http://schemas.microsoft.com/office/drawing/2012/chart">
            <c:ext xmlns:c16="http://schemas.microsoft.com/office/drawing/2014/chart" uri="{C3380CC4-5D6E-409C-BE32-E72D297353CC}">
              <c16:uniqueId val="{00000006-A9EF-47C0-896E-1A1AEE0E0DC8}"/>
            </c:ext>
          </c:extLst>
        </c:ser>
        <c:ser>
          <c:idx val="8"/>
          <c:order val="8"/>
          <c:tx>
            <c:v>Actual R</c:v>
          </c:tx>
          <c:spPr>
            <a:ln w="19050" cap="rnd">
              <a:solidFill>
                <a:schemeClr val="bg1"/>
              </a:solidFill>
              <a:prstDash val="solid"/>
              <a:round/>
            </a:ln>
            <a:effectLst/>
          </c:spPr>
          <c:marker>
            <c:symbol val="none"/>
          </c:marker>
          <c:val>
            <c:numRef>
              <c:f>'2025-Q2'!$AJ$4:$AJ$422</c:f>
              <c:numCache>
                <c:formatCode>0.00</c:formatCode>
                <c:ptCount val="419"/>
                <c:pt idx="0">
                  <c:v>-0.57599405425492101</c:v>
                </c:pt>
                <c:pt idx="1">
                  <c:v>0.14192670183377543</c:v>
                </c:pt>
                <c:pt idx="2">
                  <c:v>8.3217999736403717E-2</c:v>
                </c:pt>
                <c:pt idx="3">
                  <c:v>-8.3158168858114376E-2</c:v>
                </c:pt>
                <c:pt idx="4">
                  <c:v>-0.28907043199108623</c:v>
                </c:pt>
                <c:pt idx="5">
                  <c:v>-0.94172674317761551</c:v>
                </c:pt>
                <c:pt idx="6">
                  <c:v>-1.3326693840733435</c:v>
                </c:pt>
                <c:pt idx="7">
                  <c:v>-1.4294279713979705</c:v>
                </c:pt>
                <c:pt idx="8">
                  <c:v>-0.90492887477687722</c:v>
                </c:pt>
                <c:pt idx="9">
                  <c:v>-0.90492887477687722</c:v>
                </c:pt>
                <c:pt idx="10">
                  <c:v>-0.63866292518286594</c:v>
                </c:pt>
                <c:pt idx="11">
                  <c:v>0.17035443687512675</c:v>
                </c:pt>
                <c:pt idx="12">
                  <c:v>0.47188246503205122</c:v>
                </c:pt>
                <c:pt idx="13">
                  <c:v>0.373087440414275</c:v>
                </c:pt>
                <c:pt idx="14">
                  <c:v>1.2501505741571544</c:v>
                </c:pt>
                <c:pt idx="15">
                  <c:v>1.8969167433113827</c:v>
                </c:pt>
                <c:pt idx="16">
                  <c:v>2.3025742555678823</c:v>
                </c:pt>
                <c:pt idx="17">
                  <c:v>2.4794661357991385</c:v>
                </c:pt>
                <c:pt idx="18">
                  <c:v>2.4240644737492749</c:v>
                </c:pt>
                <c:pt idx="19">
                  <c:v>3.0407126541749827</c:v>
                </c:pt>
                <c:pt idx="20">
                  <c:v>3.0407126541749827</c:v>
                </c:pt>
                <c:pt idx="21">
                  <c:v>3.0407126541749827</c:v>
                </c:pt>
                <c:pt idx="22">
                  <c:v>3.0772757254729757</c:v>
                </c:pt>
                <c:pt idx="23">
                  <c:v>3.0772757254729757</c:v>
                </c:pt>
                <c:pt idx="24">
                  <c:v>2.4033253717536915</c:v>
                </c:pt>
                <c:pt idx="25">
                  <c:v>-0.58906261311343933</c:v>
                </c:pt>
                <c:pt idx="26">
                  <c:v>-0.34832187237269646</c:v>
                </c:pt>
                <c:pt idx="27">
                  <c:v>-0.9511854744827184</c:v>
                </c:pt>
                <c:pt idx="28">
                  <c:v>-2.7856490460354939</c:v>
                </c:pt>
                <c:pt idx="29">
                  <c:v>-2.2836675400909754</c:v>
                </c:pt>
                <c:pt idx="30">
                  <c:v>-2.859358085153648</c:v>
                </c:pt>
                <c:pt idx="31">
                  <c:v>-2.3409472324404694</c:v>
                </c:pt>
                <c:pt idx="32">
                  <c:v>-2.8503052044850099</c:v>
                </c:pt>
                <c:pt idx="33">
                  <c:v>-2.7402572314764151</c:v>
                </c:pt>
                <c:pt idx="34">
                  <c:v>-3.5558662002930603</c:v>
                </c:pt>
                <c:pt idx="35" formatCode="0.0">
                  <c:v>-4.2988380878432624</c:v>
                </c:pt>
                <c:pt idx="36">
                  <c:v>-4.6363451729156582</c:v>
                </c:pt>
                <c:pt idx="37" formatCode="0.0">
                  <c:v>-4.4343563599883726</c:v>
                </c:pt>
                <c:pt idx="38">
                  <c:v>-4.2467122654246552</c:v>
                </c:pt>
                <c:pt idx="39">
                  <c:v>-4.3482024382054831</c:v>
                </c:pt>
                <c:pt idx="40" formatCode="0.0">
                  <c:v>-6.3764743814758003</c:v>
                </c:pt>
                <c:pt idx="41" formatCode="0.0">
                  <c:v>-6.9994994813386775</c:v>
                </c:pt>
                <c:pt idx="42">
                  <c:v>-5.5396454667401356</c:v>
                </c:pt>
                <c:pt idx="43">
                  <c:v>-6.3012565311266409</c:v>
                </c:pt>
                <c:pt idx="44">
                  <c:v>-6.7943072338209491</c:v>
                </c:pt>
                <c:pt idx="45">
                  <c:v>-6.8215801594422265</c:v>
                </c:pt>
                <c:pt idx="46">
                  <c:v>-8.0686966530985131</c:v>
                </c:pt>
                <c:pt idx="47">
                  <c:v>-9.521968003608869</c:v>
                </c:pt>
                <c:pt idx="48">
                  <c:v>-10.089397209207982</c:v>
                </c:pt>
                <c:pt idx="49">
                  <c:v>-10.089397209207982</c:v>
                </c:pt>
                <c:pt idx="50">
                  <c:v>-10.089397209207982</c:v>
                </c:pt>
                <c:pt idx="51">
                  <c:v>-11.0027659669736</c:v>
                </c:pt>
                <c:pt idx="52">
                  <c:v>-12.488750431681471</c:v>
                </c:pt>
                <c:pt idx="53">
                  <c:v>-11.996090636696096</c:v>
                </c:pt>
                <c:pt idx="54">
                  <c:v>-11.255953331826369</c:v>
                </c:pt>
                <c:pt idx="55">
                  <c:v>-10.663205772551613</c:v>
                </c:pt>
                <c:pt idx="56">
                  <c:v>-11.106375741269026</c:v>
                </c:pt>
                <c:pt idx="57" formatCode="0.0">
                  <c:v>-9.2129326069499786</c:v>
                </c:pt>
                <c:pt idx="58">
                  <c:v>-8.449125321403562</c:v>
                </c:pt>
                <c:pt idx="59">
                  <c:v>-7.2563979468045225</c:v>
                </c:pt>
                <c:pt idx="60" formatCode="0.0">
                  <c:v>-7.3387533101975642</c:v>
                </c:pt>
                <c:pt idx="61">
                  <c:v>-5.8334528123494556</c:v>
                </c:pt>
                <c:pt idx="62">
                  <c:v>-3.4887126349096582</c:v>
                </c:pt>
                <c:pt idx="63">
                  <c:v>-2.5457876942327489</c:v>
                </c:pt>
                <c:pt idx="64">
                  <c:v>-2.9476175656471924</c:v>
                </c:pt>
                <c:pt idx="65">
                  <c:v>-1.8267298800290126</c:v>
                </c:pt>
                <c:pt idx="66">
                  <c:v>-2.2055177588168915</c:v>
                </c:pt>
                <c:pt idx="67">
                  <c:v>-3.1743183170177662</c:v>
                </c:pt>
                <c:pt idx="68">
                  <c:v>-2.9950965968705732</c:v>
                </c:pt>
                <c:pt idx="69" formatCode="0.0">
                  <c:v>-2.7117500610104806</c:v>
                </c:pt>
                <c:pt idx="70" formatCode="0.0">
                  <c:v>-1.4989875671149895</c:v>
                </c:pt>
                <c:pt idx="71" formatCode="0.0">
                  <c:v>-2.0650868792603916</c:v>
                </c:pt>
                <c:pt idx="72" formatCode="0.0">
                  <c:v>-0.44072730776528091</c:v>
                </c:pt>
                <c:pt idx="73">
                  <c:v>-0.63298834609619026</c:v>
                </c:pt>
                <c:pt idx="74" formatCode="0.0">
                  <c:v>0.23497588325678243</c:v>
                </c:pt>
                <c:pt idx="75">
                  <c:v>-0.27201417906425596</c:v>
                </c:pt>
                <c:pt idx="76">
                  <c:v>1.0479551494492725</c:v>
                </c:pt>
                <c:pt idx="77">
                  <c:v>0.76347737602415799</c:v>
                </c:pt>
                <c:pt idx="78">
                  <c:v>-0.26240389060991842</c:v>
                </c:pt>
                <c:pt idx="79">
                  <c:v>-0.26240389060991842</c:v>
                </c:pt>
                <c:pt idx="80">
                  <c:v>-7.0340724079974659E-2</c:v>
                </c:pt>
                <c:pt idx="81" formatCode="0.0">
                  <c:v>-1.144236078418134</c:v>
                </c:pt>
                <c:pt idx="82">
                  <c:v>-1.7961167917404788</c:v>
                </c:pt>
                <c:pt idx="83">
                  <c:v>-2.2793978784698399</c:v>
                </c:pt>
                <c:pt idx="84" formatCode="0.0">
                  <c:v>-3.9760046648969851</c:v>
                </c:pt>
                <c:pt idx="85">
                  <c:v>-4.0944095147596355</c:v>
                </c:pt>
                <c:pt idx="86">
                  <c:v>-4.5932127891617744</c:v>
                </c:pt>
                <c:pt idx="87">
                  <c:v>-4.8272457047589343</c:v>
                </c:pt>
                <c:pt idx="88">
                  <c:v>-3.8580947356079651</c:v>
                </c:pt>
                <c:pt idx="89">
                  <c:v>-4.1755550530682841</c:v>
                </c:pt>
                <c:pt idx="90">
                  <c:v>-2.9619393485909606</c:v>
                </c:pt>
                <c:pt idx="91">
                  <c:v>-3.1802799599446723</c:v>
                </c:pt>
                <c:pt idx="92">
                  <c:v>-2.9044178909791554</c:v>
                </c:pt>
                <c:pt idx="93">
                  <c:v>-2.9044178909791554</c:v>
                </c:pt>
                <c:pt idx="94">
                  <c:v>-3.542630494926656</c:v>
                </c:pt>
                <c:pt idx="95">
                  <c:v>-3.5256971277265867</c:v>
                </c:pt>
                <c:pt idx="96">
                  <c:v>-3.477663011788632</c:v>
                </c:pt>
                <c:pt idx="97" formatCode="0.0">
                  <c:v>-3.2956450160471671</c:v>
                </c:pt>
                <c:pt idx="98" formatCode="0.0">
                  <c:v>-3.5249072086274102</c:v>
                </c:pt>
                <c:pt idx="99" formatCode="0.0">
                  <c:v>-4.3517131268171418</c:v>
                </c:pt>
                <c:pt idx="100" formatCode="0.0">
                  <c:v>-5.8099278418168261</c:v>
                </c:pt>
                <c:pt idx="101" formatCode="0.0">
                  <c:v>-6.3403815692015</c:v>
                </c:pt>
                <c:pt idx="102">
                  <c:v>-6.3958575065136909</c:v>
                </c:pt>
                <c:pt idx="103">
                  <c:v>-7.6055861916409571</c:v>
                </c:pt>
                <c:pt idx="104">
                  <c:v>-7.6307455341434718</c:v>
                </c:pt>
                <c:pt idx="105">
                  <c:v>-6.7708098746532484</c:v>
                </c:pt>
                <c:pt idx="106" formatCode="0.0">
                  <c:v>-6.96671727898398</c:v>
                </c:pt>
                <c:pt idx="107">
                  <c:v>-8.3472043272234693</c:v>
                </c:pt>
                <c:pt idx="108">
                  <c:v>-7.7991148988466792</c:v>
                </c:pt>
                <c:pt idx="109" formatCode="0.0">
                  <c:v>-8.3251001398578293</c:v>
                </c:pt>
                <c:pt idx="110">
                  <c:v>-8.0292703851102392</c:v>
                </c:pt>
                <c:pt idx="111">
                  <c:v>-7.7283820481153001</c:v>
                </c:pt>
                <c:pt idx="112">
                  <c:v>-7.2968383518751985</c:v>
                </c:pt>
                <c:pt idx="113">
                  <c:v>-6.6851327836912793</c:v>
                </c:pt>
                <c:pt idx="114">
                  <c:v>-7.1867509066686255</c:v>
                </c:pt>
                <c:pt idx="115">
                  <c:v>-5.8497594852827266</c:v>
                </c:pt>
                <c:pt idx="116">
                  <c:v>-5.4643867707960885</c:v>
                </c:pt>
                <c:pt idx="117">
                  <c:v>-5.0760835906147381</c:v>
                </c:pt>
                <c:pt idx="118" formatCode="0.0">
                  <c:v>-4.0530468643322601</c:v>
                </c:pt>
                <c:pt idx="119" formatCode="0.0">
                  <c:v>-4.4877624196307764</c:v>
                </c:pt>
                <c:pt idx="120">
                  <c:v>-4.2790180314234068</c:v>
                </c:pt>
                <c:pt idx="121">
                  <c:v>-4.7795709678066221</c:v>
                </c:pt>
                <c:pt idx="122">
                  <c:v>-5.8241392129319669</c:v>
                </c:pt>
                <c:pt idx="123">
                  <c:v>-6.1410366362541096</c:v>
                </c:pt>
                <c:pt idx="124">
                  <c:v>-7.4294250042388921</c:v>
                </c:pt>
                <c:pt idx="125" formatCode="0.0">
                  <c:v>-7.064291199614642</c:v>
                </c:pt>
                <c:pt idx="126">
                  <c:v>-6.673648141041296</c:v>
                </c:pt>
                <c:pt idx="127">
                  <c:v>-7.3158315646816749</c:v>
                </c:pt>
                <c:pt idx="128" formatCode="0.0">
                  <c:v>-7.0601155598681968</c:v>
                </c:pt>
                <c:pt idx="129">
                  <c:v>-7.5618136148234303</c:v>
                </c:pt>
                <c:pt idx="130" formatCode="0.0">
                  <c:v>-8.1236603047189</c:v>
                </c:pt>
                <c:pt idx="131" formatCode="0.0">
                  <c:v>-8.3694690397947973</c:v>
                </c:pt>
                <c:pt idx="132">
                  <c:v>-8.9127939057276233</c:v>
                </c:pt>
                <c:pt idx="133">
                  <c:v>-7.9385797959202904</c:v>
                </c:pt>
                <c:pt idx="134">
                  <c:v>-7.4510289107550909</c:v>
                </c:pt>
                <c:pt idx="135">
                  <c:v>-6.8463425917830563</c:v>
                </c:pt>
                <c:pt idx="136">
                  <c:v>-6.659230977129984</c:v>
                </c:pt>
                <c:pt idx="137">
                  <c:v>-6.9857475607354136</c:v>
                </c:pt>
                <c:pt idx="138">
                  <c:v>-6.7543665050593473</c:v>
                </c:pt>
                <c:pt idx="139">
                  <c:v>-6.6678313717952404</c:v>
                </c:pt>
                <c:pt idx="140" formatCode="0.0">
                  <c:v>-6.8349855715445118</c:v>
                </c:pt>
                <c:pt idx="141" formatCode="0.0">
                  <c:v>-7.2512513122465156</c:v>
                </c:pt>
                <c:pt idx="142" formatCode="0.0">
                  <c:v>-8.5257731954176244</c:v>
                </c:pt>
                <c:pt idx="143">
                  <c:v>-8.8954020264664457</c:v>
                </c:pt>
                <c:pt idx="144" formatCode="0.0">
                  <c:v>-8.9416822532395575</c:v>
                </c:pt>
                <c:pt idx="145">
                  <c:v>-7.6017680339421734</c:v>
                </c:pt>
                <c:pt idx="146">
                  <c:v>-8.0446021724284869</c:v>
                </c:pt>
                <c:pt idx="147" formatCode="0.0">
                  <c:v>-8.6085743974193516</c:v>
                </c:pt>
                <c:pt idx="148" formatCode="0.0">
                  <c:v>-7.4343319731769277</c:v>
                </c:pt>
                <c:pt idx="149">
                  <c:v>-6.4951160980203912</c:v>
                </c:pt>
                <c:pt idx="150">
                  <c:v>-6.9355500866335626</c:v>
                </c:pt>
                <c:pt idx="151">
                  <c:v>-5.7325272108165706</c:v>
                </c:pt>
                <c:pt idx="152" formatCode="0.0">
                  <c:v>-3.2389445192140784</c:v>
                </c:pt>
                <c:pt idx="153">
                  <c:v>-4.8889150554545004</c:v>
                </c:pt>
                <c:pt idx="154">
                  <c:v>-4.576097846115859</c:v>
                </c:pt>
                <c:pt idx="155" formatCode="0.0">
                  <c:v>-5.2940687664896364</c:v>
                </c:pt>
                <c:pt idx="156" formatCode="0.0">
                  <c:v>-3.295137453947131</c:v>
                </c:pt>
                <c:pt idx="157" formatCode="0.0">
                  <c:v>-2.5861648830498742</c:v>
                </c:pt>
                <c:pt idx="158" formatCode="0.0">
                  <c:v>-2.151485831007478</c:v>
                </c:pt>
                <c:pt idx="159" formatCode="0.0">
                  <c:v>-4.2892530519100909</c:v>
                </c:pt>
                <c:pt idx="160">
                  <c:v>-3.6748839226894794</c:v>
                </c:pt>
                <c:pt idx="161" formatCode="0.0">
                  <c:v>-2.5954302584215991</c:v>
                </c:pt>
                <c:pt idx="162">
                  <c:v>-2.2684849337397428</c:v>
                </c:pt>
                <c:pt idx="163">
                  <c:v>-3.2162938948426496</c:v>
                </c:pt>
                <c:pt idx="164">
                  <c:v>-2.798813955567002</c:v>
                </c:pt>
                <c:pt idx="165">
                  <c:v>-1.5463618656318869</c:v>
                </c:pt>
                <c:pt idx="166" formatCode="0.0">
                  <c:v>-1.6752829273347483</c:v>
                </c:pt>
                <c:pt idx="167">
                  <c:v>-1.9587238893435148</c:v>
                </c:pt>
                <c:pt idx="168">
                  <c:v>-0.77599591677720481</c:v>
                </c:pt>
                <c:pt idx="169" formatCode="0.0">
                  <c:v>-0.51418627044592513</c:v>
                </c:pt>
                <c:pt idx="170" formatCode="0.0">
                  <c:v>-4.4681972789030577E-2</c:v>
                </c:pt>
                <c:pt idx="171" formatCode="0.0">
                  <c:v>-1.9881737251979805</c:v>
                </c:pt>
                <c:pt idx="172" formatCode="0.0">
                  <c:v>-1.9936150136950974</c:v>
                </c:pt>
                <c:pt idx="173" formatCode="0.0">
                  <c:v>-1.4739492301206116</c:v>
                </c:pt>
                <c:pt idx="174" formatCode="0.0">
                  <c:v>0.32888928157865882</c:v>
                </c:pt>
                <c:pt idx="175">
                  <c:v>1.3185332290225364</c:v>
                </c:pt>
                <c:pt idx="176">
                  <c:v>1.3753274392584744</c:v>
                </c:pt>
                <c:pt idx="177">
                  <c:v>2.698338975384766</c:v>
                </c:pt>
                <c:pt idx="178">
                  <c:v>3.0878256375681299</c:v>
                </c:pt>
                <c:pt idx="179" formatCode="0.0">
                  <c:v>4.2050330167029912</c:v>
                </c:pt>
                <c:pt idx="180" formatCode="0.0">
                  <c:v>3.5256685215490196</c:v>
                </c:pt>
                <c:pt idx="181" formatCode="0.0">
                  <c:v>3.2148329619610019</c:v>
                </c:pt>
                <c:pt idx="182" formatCode="0.0">
                  <c:v>3.9284390513996317</c:v>
                </c:pt>
                <c:pt idx="183" formatCode="0.0">
                  <c:v>3.5100785084988542</c:v>
                </c:pt>
                <c:pt idx="184" formatCode="0.0">
                  <c:v>1.9040004165580995</c:v>
                </c:pt>
                <c:pt idx="185" formatCode="0.0">
                  <c:v>0.98219494929808882</c:v>
                </c:pt>
                <c:pt idx="186" formatCode="0.0">
                  <c:v>0.97486572033297592</c:v>
                </c:pt>
                <c:pt idx="187" formatCode="0.0">
                  <c:v>1.424787473071631</c:v>
                </c:pt>
                <c:pt idx="188" formatCode="0.0">
                  <c:v>2.3520855107024206</c:v>
                </c:pt>
                <c:pt idx="189" formatCode="0.0">
                  <c:v>2.2835348052935509</c:v>
                </c:pt>
                <c:pt idx="190" formatCode="0.0">
                  <c:v>2.9826456449053076</c:v>
                </c:pt>
                <c:pt idx="191" formatCode="0.0">
                  <c:v>2.1799129378173503</c:v>
                </c:pt>
                <c:pt idx="192">
                  <c:v>1.8599520257034259</c:v>
                </c:pt>
                <c:pt idx="193" formatCode="0.0">
                  <c:v>3.8339125464930106</c:v>
                </c:pt>
                <c:pt idx="194">
                  <c:v>2.8730189058269948</c:v>
                </c:pt>
                <c:pt idx="195">
                  <c:v>2.9992189535535583</c:v>
                </c:pt>
                <c:pt idx="196">
                  <c:v>2.9402229798767086</c:v>
                </c:pt>
                <c:pt idx="197" formatCode="0.0">
                  <c:v>3.1544067019138331</c:v>
                </c:pt>
                <c:pt idx="198" formatCode="0.0">
                  <c:v>3.2521382292786623</c:v>
                </c:pt>
                <c:pt idx="199" formatCode="0.0">
                  <c:v>4.0630620307222172</c:v>
                </c:pt>
                <c:pt idx="200" formatCode="0.0">
                  <c:v>3.7585623174942095</c:v>
                </c:pt>
                <c:pt idx="201" formatCode="0.0">
                  <c:v>4.8132330019539591</c:v>
                </c:pt>
                <c:pt idx="202">
                  <c:v>5.071334126911264</c:v>
                </c:pt>
                <c:pt idx="203">
                  <c:v>4.5310741415383911</c:v>
                </c:pt>
                <c:pt idx="204">
                  <c:v>4.5580841938337588</c:v>
                </c:pt>
                <c:pt idx="205">
                  <c:v>3.620227674137094</c:v>
                </c:pt>
                <c:pt idx="206">
                  <c:v>5.0890824065998235</c:v>
                </c:pt>
                <c:pt idx="207">
                  <c:v>5.0103215769857528</c:v>
                </c:pt>
                <c:pt idx="208">
                  <c:v>4.847173406997153</c:v>
                </c:pt>
                <c:pt idx="209">
                  <c:v>5.0723235070638646</c:v>
                </c:pt>
                <c:pt idx="210" formatCode="0.0">
                  <c:v>6.0909192762019337</c:v>
                </c:pt>
                <c:pt idx="211" formatCode="0.0">
                  <c:v>5.5054917155079517</c:v>
                </c:pt>
                <c:pt idx="212" formatCode="0.0">
                  <c:v>5.5054917155079517</c:v>
                </c:pt>
                <c:pt idx="213" formatCode="0.0">
                  <c:v>5.5932162604368729</c:v>
                </c:pt>
                <c:pt idx="214" formatCode="0.0">
                  <c:v>6.1365040276994041</c:v>
                </c:pt>
                <c:pt idx="215" formatCode="0.0">
                  <c:v>4.7560541822671469</c:v>
                </c:pt>
                <c:pt idx="216" formatCode="0.0">
                  <c:v>6.14015451704954</c:v>
                </c:pt>
                <c:pt idx="217" formatCode="0.0">
                  <c:v>7.0878622189786293</c:v>
                </c:pt>
                <c:pt idx="218" formatCode="0.0">
                  <c:v>6.5638540915056325</c:v>
                </c:pt>
                <c:pt idx="219" formatCode="0.0">
                  <c:v>8.2692989876984182</c:v>
                </c:pt>
                <c:pt idx="220" formatCode="0.0">
                  <c:v>8.7694522379979514</c:v>
                </c:pt>
                <c:pt idx="221" formatCode="0.0">
                  <c:v>9.3237053710476445</c:v>
                </c:pt>
                <c:pt idx="222" formatCode="0.0">
                  <c:v>9.5089989150304799</c:v>
                </c:pt>
                <c:pt idx="223">
                  <c:v>9.0084488600249788</c:v>
                </c:pt>
                <c:pt idx="224" formatCode="0.0">
                  <c:v>9.4832700402631094</c:v>
                </c:pt>
                <c:pt idx="225" formatCode="0.0">
                  <c:v>9.0112983058329021</c:v>
                </c:pt>
                <c:pt idx="226">
                  <c:v>7.1654287754127992</c:v>
                </c:pt>
                <c:pt idx="227" formatCode="0.0">
                  <c:v>7.93730915743879</c:v>
                </c:pt>
                <c:pt idx="228">
                  <c:v>7.9328527102967081</c:v>
                </c:pt>
                <c:pt idx="229" formatCode="0.0">
                  <c:v>7.6524634640489761</c:v>
                </c:pt>
                <c:pt idx="230">
                  <c:v>8.3744377355113055</c:v>
                </c:pt>
                <c:pt idx="231">
                  <c:v>8.3744377355113055</c:v>
                </c:pt>
                <c:pt idx="232">
                  <c:v>8.3340356031182417</c:v>
                </c:pt>
                <c:pt idx="233">
                  <c:v>8.7874384738866791</c:v>
                </c:pt>
                <c:pt idx="234" formatCode="0.0">
                  <c:v>9.3606461088959882</c:v>
                </c:pt>
                <c:pt idx="235" formatCode="0.0">
                  <c:v>9.0741872826200147</c:v>
                </c:pt>
                <c:pt idx="236" formatCode="0.0">
                  <c:v>10.87538643033321</c:v>
                </c:pt>
                <c:pt idx="237" formatCode="0.0">
                  <c:v>11.290904953711598</c:v>
                </c:pt>
                <c:pt idx="238" formatCode="0.0">
                  <c:v>9.5008585130101313</c:v>
                </c:pt>
                <c:pt idx="239" formatCode="0.0">
                  <c:v>9.5440035310295208</c:v>
                </c:pt>
                <c:pt idx="240" formatCode="0.0">
                  <c:v>9.6420098034309518</c:v>
                </c:pt>
                <c:pt idx="241" formatCode="0.0">
                  <c:v>13.483779069276824</c:v>
                </c:pt>
                <c:pt idx="242" formatCode="0.0">
                  <c:v>13.602951869837643</c:v>
                </c:pt>
                <c:pt idx="243" formatCode="0.0">
                  <c:v>13.873091374716283</c:v>
                </c:pt>
                <c:pt idx="244" formatCode="0.0">
                  <c:v>12.69053072863437</c:v>
                </c:pt>
                <c:pt idx="245">
                  <c:v>13.174519325067441</c:v>
                </c:pt>
                <c:pt idx="246">
                  <c:v>12.785346828691313</c:v>
                </c:pt>
                <c:pt idx="247">
                  <c:v>12.513807125183314</c:v>
                </c:pt>
                <c:pt idx="248" formatCode="0.0">
                  <c:v>11.897223678368366</c:v>
                </c:pt>
                <c:pt idx="249">
                  <c:v>11.497010231196537</c:v>
                </c:pt>
                <c:pt idx="250" formatCode="0.0">
                  <c:v>11.951200502733947</c:v>
                </c:pt>
                <c:pt idx="251">
                  <c:v>10.950487666192849</c:v>
                </c:pt>
                <c:pt idx="252">
                  <c:v>10.443567539462817</c:v>
                </c:pt>
                <c:pt idx="253" formatCode="0.0">
                  <c:v>10.968501922664915</c:v>
                </c:pt>
                <c:pt idx="254" formatCode="0.0">
                  <c:v>11.027205342777219</c:v>
                </c:pt>
                <c:pt idx="255">
                  <c:v>11.557108755836927</c:v>
                </c:pt>
                <c:pt idx="256" formatCode="0.0">
                  <c:v>11.491556477895271</c:v>
                </c:pt>
                <c:pt idx="257">
                  <c:v>11.491556477895271</c:v>
                </c:pt>
                <c:pt idx="258" formatCode="0.0">
                  <c:v>11.150855131709463</c:v>
                </c:pt>
                <c:pt idx="259" formatCode="0.0">
                  <c:v>10.134549569949357</c:v>
                </c:pt>
                <c:pt idx="260">
                  <c:v>10.485463742353998</c:v>
                </c:pt>
                <c:pt idx="261">
                  <c:v>10.103007602003119</c:v>
                </c:pt>
                <c:pt idx="262" formatCode="0.0">
                  <c:v>10.603117035139476</c:v>
                </c:pt>
                <c:pt idx="263" formatCode="0.0">
                  <c:v>10.277529701125179</c:v>
                </c:pt>
                <c:pt idx="264">
                  <c:v>9.8146560270653929</c:v>
                </c:pt>
                <c:pt idx="265" formatCode="0.0">
                  <c:v>10.18755495005219</c:v>
                </c:pt>
                <c:pt idx="266" formatCode="0.0">
                  <c:v>10.808333855701884</c:v>
                </c:pt>
                <c:pt idx="267" formatCode="0.0">
                  <c:v>11.045978440349622</c:v>
                </c:pt>
                <c:pt idx="268">
                  <c:v>10.88434677449693</c:v>
                </c:pt>
                <c:pt idx="269">
                  <c:v>11.888584843411616</c:v>
                </c:pt>
                <c:pt idx="270" formatCode="0.0">
                  <c:v>12.373208912914265</c:v>
                </c:pt>
                <c:pt idx="271" formatCode="0.0">
                  <c:v>12.202387705777737</c:v>
                </c:pt>
                <c:pt idx="272" formatCode="0.0">
                  <c:v>12.460981209404354</c:v>
                </c:pt>
                <c:pt idx="273" formatCode="0.0">
                  <c:v>12.460981209404354</c:v>
                </c:pt>
                <c:pt idx="274" formatCode="0.0">
                  <c:v>12.092033088027952</c:v>
                </c:pt>
                <c:pt idx="275" formatCode="0.0">
                  <c:v>12.430837801832663</c:v>
                </c:pt>
                <c:pt idx="276">
                  <c:v>12.092840100217034</c:v>
                </c:pt>
                <c:pt idx="277">
                  <c:v>11.698120286576552</c:v>
                </c:pt>
                <c:pt idx="278" formatCode="0.0">
                  <c:v>12.033260462598001</c:v>
                </c:pt>
                <c:pt idx="279" formatCode="0.0">
                  <c:v>11.81866818791989</c:v>
                </c:pt>
                <c:pt idx="280" formatCode="0.0">
                  <c:v>12.260146973347721</c:v>
                </c:pt>
                <c:pt idx="281" formatCode="0.0">
                  <c:v>11.386143080725343</c:v>
                </c:pt>
                <c:pt idx="282" formatCode="0.0">
                  <c:v>11.877015208791379</c:v>
                </c:pt>
                <c:pt idx="283" formatCode="0.0">
                  <c:v>11.101698753095176</c:v>
                </c:pt>
                <c:pt idx="284" formatCode="0.0">
                  <c:v>10.66382245314991</c:v>
                </c:pt>
                <c:pt idx="285">
                  <c:v>9.840857186172201</c:v>
                </c:pt>
                <c:pt idx="286" formatCode="0.0">
                  <c:v>10.375659229594934</c:v>
                </c:pt>
                <c:pt idx="287" formatCode="0.0">
                  <c:v>10.423443853113101</c:v>
                </c:pt>
                <c:pt idx="288" formatCode="0.0">
                  <c:v>12.198455379161972</c:v>
                </c:pt>
                <c:pt idx="289" formatCode="0.0">
                  <c:v>11.746391237230888</c:v>
                </c:pt>
                <c:pt idx="290" formatCode="0.0">
                  <c:v>11.746391237230888</c:v>
                </c:pt>
                <c:pt idx="291" formatCode="0.0">
                  <c:v>12.660064835214504</c:v>
                </c:pt>
                <c:pt idx="292" formatCode="0.0">
                  <c:v>11.863753016270666</c:v>
                </c:pt>
                <c:pt idx="293" formatCode="0.0">
                  <c:v>11.071489239036596</c:v>
                </c:pt>
                <c:pt idx="294" formatCode="0.0">
                  <c:v>9.3120592003399842</c:v>
                </c:pt>
                <c:pt idx="295" formatCode="0.0">
                  <c:v>9.7839221853102725</c:v>
                </c:pt>
                <c:pt idx="296" formatCode="0.0">
                  <c:v>8.5829029503579726</c:v>
                </c:pt>
                <c:pt idx="297" formatCode="0.0">
                  <c:v>8.8551310947363184</c:v>
                </c:pt>
                <c:pt idx="298" formatCode="0.0">
                  <c:v>8.2804184510581571</c:v>
                </c:pt>
                <c:pt idx="299" formatCode="0.0">
                  <c:v>8.2804184510581571</c:v>
                </c:pt>
                <c:pt idx="300" formatCode="0.0">
                  <c:v>8.283050584138806</c:v>
                </c:pt>
                <c:pt idx="301" formatCode="0.0">
                  <c:v>9.4511739432827344</c:v>
                </c:pt>
                <c:pt idx="302" formatCode="0.0">
                  <c:v>9.3091284887372776</c:v>
                </c:pt>
                <c:pt idx="303" formatCode="0.0">
                  <c:v>9.8106223000902446</c:v>
                </c:pt>
                <c:pt idx="304" formatCode="0.0">
                  <c:v>8.5223914155325211</c:v>
                </c:pt>
                <c:pt idx="305" formatCode="0.0">
                  <c:v>9.972078737874762</c:v>
                </c:pt>
                <c:pt idx="306" formatCode="0.0">
                  <c:v>12.57895718423782</c:v>
                </c:pt>
                <c:pt idx="307" formatCode="0.0">
                  <c:v>13.188285064603004</c:v>
                </c:pt>
                <c:pt idx="308" formatCode="0.0">
                  <c:v>13.188285064603004</c:v>
                </c:pt>
                <c:pt idx="309" formatCode="0.0">
                  <c:v>12.185833023639496</c:v>
                </c:pt>
                <c:pt idx="310" formatCode="0.0">
                  <c:v>11.977362538671315</c:v>
                </c:pt>
                <c:pt idx="311" formatCode="0.0">
                  <c:v>13.349635585821211</c:v>
                </c:pt>
                <c:pt idx="312" formatCode="0.0">
                  <c:v>12.935391675966766</c:v>
                </c:pt>
                <c:pt idx="313" formatCode="0.0">
                  <c:v>12.341367149768327</c:v>
                </c:pt>
                <c:pt idx="314" formatCode="0.0">
                  <c:v>11.566173351318715</c:v>
                </c:pt>
                <c:pt idx="315" formatCode="0.0">
                  <c:v>10.787357151941768</c:v>
                </c:pt>
                <c:pt idx="316" formatCode="0.0">
                  <c:v>11.334743364666625</c:v>
                </c:pt>
                <c:pt idx="317" formatCode="0.0">
                  <c:v>11.703974133897395</c:v>
                </c:pt>
                <c:pt idx="318" formatCode="0.0">
                  <c:v>10.028332577197787</c:v>
                </c:pt>
                <c:pt idx="319" formatCode="0.0">
                  <c:v>12.364908452684167</c:v>
                </c:pt>
                <c:pt idx="320" formatCode="0.0">
                  <c:v>12.840875993258447</c:v>
                </c:pt>
                <c:pt idx="321" formatCode="0.0">
                  <c:v>13.166462610525762</c:v>
                </c:pt>
                <c:pt idx="322" formatCode="0.0">
                  <c:v>13.866847822392293</c:v>
                </c:pt>
                <c:pt idx="323" formatCode="0.0">
                  <c:v>12.125554290053984</c:v>
                </c:pt>
                <c:pt idx="324" formatCode="0.0">
                  <c:v>9.8633103611433892</c:v>
                </c:pt>
                <c:pt idx="325">
                  <c:v>10.651695064339735</c:v>
                </c:pt>
                <c:pt idx="326" formatCode="0.0">
                  <c:v>8.8697244144445566</c:v>
                </c:pt>
                <c:pt idx="327" formatCode="0.0">
                  <c:v>8.6539336045943411</c:v>
                </c:pt>
                <c:pt idx="328" formatCode="0.0">
                  <c:v>7.9421024803920819</c:v>
                </c:pt>
                <c:pt idx="329" formatCode="0.0">
                  <c:v>8.6476137685726968</c:v>
                </c:pt>
                <c:pt idx="330" formatCode="0.0">
                  <c:v>7.8079191120841482</c:v>
                </c:pt>
                <c:pt idx="331">
                  <c:v>8.1475840639374653</c:v>
                </c:pt>
                <c:pt idx="332" formatCode="0.0">
                  <c:v>9.085313001666405</c:v>
                </c:pt>
                <c:pt idx="333" formatCode="0.0">
                  <c:v>9.5584733867210634</c:v>
                </c:pt>
                <c:pt idx="334" formatCode="0.0">
                  <c:v>9.7836986119462903</c:v>
                </c:pt>
                <c:pt idx="335" formatCode="0.0">
                  <c:v>10.545507657172422</c:v>
                </c:pt>
                <c:pt idx="336" formatCode="0.0">
                  <c:v>10.023975074295214</c:v>
                </c:pt>
                <c:pt idx="337" formatCode="0.0">
                  <c:v>11.940203432831265</c:v>
                </c:pt>
                <c:pt idx="338" formatCode="0.0">
                  <c:v>11.53849329538901</c:v>
                </c:pt>
                <c:pt idx="339" formatCode="0.0">
                  <c:v>10.662956814702316</c:v>
                </c:pt>
                <c:pt idx="340" formatCode="0.0">
                  <c:v>8.9221527086287473</c:v>
                </c:pt>
                <c:pt idx="341" formatCode="0.0">
                  <c:v>8.8214093862773453</c:v>
                </c:pt>
                <c:pt idx="342" formatCode="0.0">
                  <c:v>8.9678651566346979</c:v>
                </c:pt>
                <c:pt idx="343" formatCode="0.0">
                  <c:v>9.3557787700741688</c:v>
                </c:pt>
                <c:pt idx="344" formatCode="0.0">
                  <c:v>8.6207784256503928</c:v>
                </c:pt>
                <c:pt idx="345" formatCode="0.0">
                  <c:v>7.787787886777501</c:v>
                </c:pt>
                <c:pt idx="346" formatCode="0.0">
                  <c:v>7.4385390110718266</c:v>
                </c:pt>
                <c:pt idx="347" formatCode="0.0">
                  <c:v>7.4809920233060119</c:v>
                </c:pt>
                <c:pt idx="348" formatCode="0.0">
                  <c:v>7.4312622935762835</c:v>
                </c:pt>
                <c:pt idx="349" formatCode="0.0">
                  <c:v>6.9618831093078946</c:v>
                </c:pt>
                <c:pt idx="350" formatCode="0.0">
                  <c:v>8.0863565431983702</c:v>
                </c:pt>
                <c:pt idx="351" formatCode="0.0">
                  <c:v>7.7764015170649072</c:v>
                </c:pt>
                <c:pt idx="352" formatCode="0.0">
                  <c:v>7.7209009620593561</c:v>
                </c:pt>
                <c:pt idx="353" formatCode="0.0">
                  <c:v>7.0764581403856299</c:v>
                </c:pt>
                <c:pt idx="354" formatCode="0.0">
                  <c:v>7.4424155871941391</c:v>
                </c:pt>
                <c:pt idx="355" formatCode="0.0">
                  <c:v>6.3585661350740832</c:v>
                </c:pt>
                <c:pt idx="356" formatCode="0.0">
                  <c:v>5.6139788177864709</c:v>
                </c:pt>
                <c:pt idx="357">
                  <c:v>9.2886027636452493</c:v>
                </c:pt>
                <c:pt idx="358" formatCode="0.0">
                  <c:v>10.365066198419372</c:v>
                </c:pt>
                <c:pt idx="359" formatCode="0.0">
                  <c:v>8.3683502706689605</c:v>
                </c:pt>
                <c:pt idx="360" formatCode="0.0">
                  <c:v>6.5014900263690869</c:v>
                </c:pt>
                <c:pt idx="361" formatCode="0.0">
                  <c:v>6.467026749532927</c:v>
                </c:pt>
                <c:pt idx="362" formatCode="0.0">
                  <c:v>8.5602964898614911</c:v>
                </c:pt>
                <c:pt idx="363" formatCode="0.0">
                  <c:v>6.3703894513488759</c:v>
                </c:pt>
                <c:pt idx="364" formatCode="0.0">
                  <c:v>6.0867380846650176</c:v>
                </c:pt>
                <c:pt idx="365" formatCode="0.0">
                  <c:v>5.3530725254180602</c:v>
                </c:pt>
                <c:pt idx="366" formatCode="0.0">
                  <c:v>-0.66118541366165218</c:v>
                </c:pt>
                <c:pt idx="367" formatCode="0.0">
                  <c:v>-1.6493995490460334</c:v>
                </c:pt>
                <c:pt idx="368" formatCode="0.0">
                  <c:v>1.9399190513222897</c:v>
                </c:pt>
                <c:pt idx="369" formatCode="0.0">
                  <c:v>2.3208776108159794</c:v>
                </c:pt>
                <c:pt idx="370" formatCode="0.0">
                  <c:v>2.5596671801494821</c:v>
                </c:pt>
                <c:pt idx="371" formatCode="0.0">
                  <c:v>3.451045168923808</c:v>
                </c:pt>
                <c:pt idx="372" formatCode="0.0">
                  <c:v>2.4541728482823322</c:v>
                </c:pt>
                <c:pt idx="373" formatCode="0.0">
                  <c:v>2.9697452388547241</c:v>
                </c:pt>
                <c:pt idx="374" formatCode="0.0">
                  <c:v>5.3589719981944306</c:v>
                </c:pt>
                <c:pt idx="375" formatCode="0.0">
                  <c:v>3.1837269001552149</c:v>
                </c:pt>
                <c:pt idx="376" formatCode="0.0">
                  <c:v>2.2376502467880268</c:v>
                </c:pt>
                <c:pt idx="377" formatCode="0.0">
                  <c:v>4.5696615621248586</c:v>
                </c:pt>
                <c:pt idx="378" formatCode="0.0">
                  <c:v>2.3073331432128099</c:v>
                </c:pt>
                <c:pt idx="379" formatCode="0.0">
                  <c:v>1.785806290128034</c:v>
                </c:pt>
                <c:pt idx="380" formatCode="0.0">
                  <c:v>1.0517458874434742</c:v>
                </c:pt>
                <c:pt idx="381" formatCode="0.0">
                  <c:v>1.0517458874434742</c:v>
                </c:pt>
                <c:pt idx="382" formatCode="0.0">
                  <c:v>2.7363016417666692</c:v>
                </c:pt>
                <c:pt idx="383" formatCode="0.0">
                  <c:v>5.2994134398089132</c:v>
                </c:pt>
                <c:pt idx="384" formatCode="0.0">
                  <c:v>5.1967410234869345</c:v>
                </c:pt>
                <c:pt idx="385" formatCode="0.0">
                  <c:v>5.9342338837496751</c:v>
                </c:pt>
                <c:pt idx="386" formatCode="0.0">
                  <c:v>3.212295385433908</c:v>
                </c:pt>
                <c:pt idx="387" formatCode="0.0">
                  <c:v>3.9901749335734973</c:v>
                </c:pt>
                <c:pt idx="388" formatCode="0.0">
                  <c:v>7.0432458936212017</c:v>
                </c:pt>
                <c:pt idx="389" formatCode="0.0">
                  <c:v>6.9368425257232955</c:v>
                </c:pt>
                <c:pt idx="390" formatCode="0.0">
                  <c:v>8.7691129288464911</c:v>
                </c:pt>
                <c:pt idx="391" formatCode="0.0">
                  <c:v>8.2990776762025416</c:v>
                </c:pt>
                <c:pt idx="392" formatCode="0.0">
                  <c:v>10.101760259990403</c:v>
                </c:pt>
                <c:pt idx="393" formatCode="0.0">
                  <c:v>9.8024393164593082</c:v>
                </c:pt>
                <c:pt idx="394" formatCode="0.0">
                  <c:v>11.206320066909063</c:v>
                </c:pt>
                <c:pt idx="395" formatCode="0.0">
                  <c:v>9.206320066909063</c:v>
                </c:pt>
                <c:pt idx="396" formatCode="0.0">
                  <c:v>8.0230535693778968</c:v>
                </c:pt>
                <c:pt idx="397" formatCode="0.0">
                  <c:v>9.389173787957132</c:v>
                </c:pt>
                <c:pt idx="398" formatCode="0.0">
                  <c:v>11.780361321541228</c:v>
                </c:pt>
                <c:pt idx="399" formatCode="0.0">
                  <c:v>10.658566449746356</c:v>
                </c:pt>
                <c:pt idx="400" formatCode="0.0">
                  <c:v>10.455016539308316</c:v>
                </c:pt>
                <c:pt idx="401" formatCode="0.0">
                  <c:v>9.372249423640973</c:v>
                </c:pt>
                <c:pt idx="402" formatCode="0.0">
                  <c:v>6.5179257781440203</c:v>
                </c:pt>
                <c:pt idx="403" formatCode="0.0">
                  <c:v>6.9815121283152211</c:v>
                </c:pt>
                <c:pt idx="404" formatCode="0.0">
                  <c:v>8.354940463431733</c:v>
                </c:pt>
                <c:pt idx="405" formatCode="0.0">
                  <c:v>8.9223880728479905</c:v>
                </c:pt>
                <c:pt idx="406" formatCode="0.0">
                  <c:v>6.6857358361957537</c:v>
                </c:pt>
                <c:pt idx="407" formatCode="0.0">
                  <c:v>8.0688617006494194</c:v>
                </c:pt>
                <c:pt idx="408" formatCode="0.0">
                  <c:v>6.7818677104010909</c:v>
                </c:pt>
                <c:pt idx="409" formatCode="0.0">
                  <c:v>7.8511321982499904</c:v>
                </c:pt>
                <c:pt idx="410" formatCode="0.0">
                  <c:v>8.6429596809431235</c:v>
                </c:pt>
                <c:pt idx="411" formatCode="0.0">
                  <c:v>9.0282415450437021</c:v>
                </c:pt>
                <c:pt idx="412" formatCode="0.0">
                  <c:v>9.0282415450437021</c:v>
                </c:pt>
                <c:pt idx="413" formatCode="0.0">
                  <c:v>9.7649186610311656</c:v>
                </c:pt>
                <c:pt idx="414" formatCode="0.0">
                  <c:v>10.43047606535729</c:v>
                </c:pt>
                <c:pt idx="415" formatCode="0.0">
                  <c:v>10.854866004819312</c:v>
                </c:pt>
                <c:pt idx="416" formatCode="0.0">
                  <c:v>12.11223339185271</c:v>
                </c:pt>
                <c:pt idx="417" formatCode="0.0">
                  <c:v>11.320091440014941</c:v>
                </c:pt>
                <c:pt idx="418" formatCode="0">
                  <c:v>12.748510585095428</c:v>
                </c:pt>
              </c:numCache>
              <c:extLst xmlns:c15="http://schemas.microsoft.com/office/drawing/2012/chart"/>
            </c:numRef>
          </c:val>
          <c:smooth val="1"/>
          <c:extLst xmlns:c15="http://schemas.microsoft.com/office/drawing/2012/chart">
            <c:ext xmlns:c16="http://schemas.microsoft.com/office/drawing/2014/chart" uri="{C3380CC4-5D6E-409C-BE32-E72D297353CC}">
              <c16:uniqueId val="{00000000-D333-41A3-854D-81D79B6DF59A}"/>
            </c:ext>
          </c:extLst>
        </c:ser>
        <c:ser>
          <c:idx val="9"/>
          <c:order val="9"/>
          <c:tx>
            <c:v>Variance</c:v>
          </c:tx>
          <c:spPr>
            <a:ln w="3175" cap="rnd">
              <a:solidFill>
                <a:srgbClr val="FFFF00"/>
              </a:solidFill>
              <a:prstDash val="sysDot"/>
              <a:round/>
            </a:ln>
            <a:effectLst/>
          </c:spPr>
          <c:marker>
            <c:symbol val="none"/>
          </c:marker>
          <c:val>
            <c:numRef>
              <c:f>'2025-Q2'!$R$4:$R$422</c:f>
              <c:numCache>
                <c:formatCode>0.0</c:formatCode>
                <c:ptCount val="419"/>
                <c:pt idx="0">
                  <c:v>9.7547380156075114E-2</c:v>
                </c:pt>
                <c:pt idx="1">
                  <c:v>5.8470680774033279E-2</c:v>
                </c:pt>
                <c:pt idx="2">
                  <c:v>5.8470680774033265E-2</c:v>
                </c:pt>
                <c:pt idx="3">
                  <c:v>-0.18977312633524357</c:v>
                </c:pt>
                <c:pt idx="4">
                  <c:v>-0.18977312633524362</c:v>
                </c:pt>
                <c:pt idx="5">
                  <c:v>-0.18977312633524379</c:v>
                </c:pt>
                <c:pt idx="6">
                  <c:v>-0.37586182340160801</c:v>
                </c:pt>
                <c:pt idx="7">
                  <c:v>-0.40664864664126332</c:v>
                </c:pt>
                <c:pt idx="8">
                  <c:v>-0.40664864664126321</c:v>
                </c:pt>
                <c:pt idx="9">
                  <c:v>-0.30640595380597835</c:v>
                </c:pt>
                <c:pt idx="10">
                  <c:v>-0.31695113992851387</c:v>
                </c:pt>
                <c:pt idx="11">
                  <c:v>-0.6123788283204783</c:v>
                </c:pt>
                <c:pt idx="12">
                  <c:v>-0.6123788283204783</c:v>
                </c:pt>
                <c:pt idx="13">
                  <c:v>-0.36890037967229877</c:v>
                </c:pt>
                <c:pt idx="14">
                  <c:v>-0.36890037967229894</c:v>
                </c:pt>
                <c:pt idx="15">
                  <c:v>-0.36019391201060591</c:v>
                </c:pt>
                <c:pt idx="16">
                  <c:v>-0.4035797421984666</c:v>
                </c:pt>
                <c:pt idx="17">
                  <c:v>-0.40357974219846637</c:v>
                </c:pt>
                <c:pt idx="18">
                  <c:v>-0.40357974219846637</c:v>
                </c:pt>
                <c:pt idx="19">
                  <c:v>-0.5613730132067567</c:v>
                </c:pt>
                <c:pt idx="20">
                  <c:v>-0.15214980297417391</c:v>
                </c:pt>
                <c:pt idx="21">
                  <c:v>0.14181516267961092</c:v>
                </c:pt>
                <c:pt idx="22">
                  <c:v>0.14181516267961092</c:v>
                </c:pt>
                <c:pt idx="23">
                  <c:v>3.049790850521239E-2</c:v>
                </c:pt>
                <c:pt idx="24">
                  <c:v>-0.15996632189371596</c:v>
                </c:pt>
                <c:pt idx="25">
                  <c:v>-0.10441456474890565</c:v>
                </c:pt>
                <c:pt idx="26">
                  <c:v>6.6881731547389245E-2</c:v>
                </c:pt>
                <c:pt idx="27">
                  <c:v>0.10456070667926509</c:v>
                </c:pt>
                <c:pt idx="28">
                  <c:v>0.96528058148365181</c:v>
                </c:pt>
                <c:pt idx="29">
                  <c:v>0.89592787342552893</c:v>
                </c:pt>
                <c:pt idx="30">
                  <c:v>0.92145109956131188</c:v>
                </c:pt>
                <c:pt idx="31">
                  <c:v>0.92145109956131188</c:v>
                </c:pt>
                <c:pt idx="32">
                  <c:v>0.92145109956131166</c:v>
                </c:pt>
                <c:pt idx="33">
                  <c:v>0.81338003624748323</c:v>
                </c:pt>
                <c:pt idx="34">
                  <c:v>0.72475821366405091</c:v>
                </c:pt>
                <c:pt idx="35">
                  <c:v>0.64644496065200308</c:v>
                </c:pt>
                <c:pt idx="36">
                  <c:v>0.64644496065200352</c:v>
                </c:pt>
                <c:pt idx="37">
                  <c:v>0.64644496065200352</c:v>
                </c:pt>
                <c:pt idx="38">
                  <c:v>0.65355334031826873</c:v>
                </c:pt>
                <c:pt idx="39">
                  <c:v>0.82187850493037429</c:v>
                </c:pt>
                <c:pt idx="40">
                  <c:v>0.83929687085540827</c:v>
                </c:pt>
                <c:pt idx="41">
                  <c:v>0.82960868150347178</c:v>
                </c:pt>
                <c:pt idx="42">
                  <c:v>0.74216950875408294</c:v>
                </c:pt>
                <c:pt idx="43">
                  <c:v>2.2653916375270935</c:v>
                </c:pt>
                <c:pt idx="44">
                  <c:v>2.3935071744476613</c:v>
                </c:pt>
                <c:pt idx="45">
                  <c:v>2.4105982078369959</c:v>
                </c:pt>
                <c:pt idx="46">
                  <c:v>2.4615101167181965</c:v>
                </c:pt>
                <c:pt idx="47">
                  <c:v>2.4536681603696628</c:v>
                </c:pt>
                <c:pt idx="48">
                  <c:v>2.5037880902017635</c:v>
                </c:pt>
                <c:pt idx="49">
                  <c:v>0.97217798342514605</c:v>
                </c:pt>
                <c:pt idx="50">
                  <c:v>0.14045098977911685</c:v>
                </c:pt>
                <c:pt idx="51">
                  <c:v>2.0048600097912797</c:v>
                </c:pt>
                <c:pt idx="52">
                  <c:v>2.1884972944923966</c:v>
                </c:pt>
                <c:pt idx="53">
                  <c:v>2.1884972944923966</c:v>
                </c:pt>
                <c:pt idx="54">
                  <c:v>2.1884972944923966</c:v>
                </c:pt>
                <c:pt idx="55">
                  <c:v>2.2108482582659548</c:v>
                </c:pt>
                <c:pt idx="56">
                  <c:v>1.9762288630626159</c:v>
                </c:pt>
                <c:pt idx="57">
                  <c:v>1.9762288630626159</c:v>
                </c:pt>
                <c:pt idx="58">
                  <c:v>1.878304852095126</c:v>
                </c:pt>
                <c:pt idx="59">
                  <c:v>1.868499694582276</c:v>
                </c:pt>
                <c:pt idx="60">
                  <c:v>2.4518501852829857</c:v>
                </c:pt>
                <c:pt idx="61">
                  <c:v>2.3762018071228801</c:v>
                </c:pt>
                <c:pt idx="62">
                  <c:v>2.6347569402027284</c:v>
                </c:pt>
                <c:pt idx="63">
                  <c:v>2.6322591257903367</c:v>
                </c:pt>
                <c:pt idx="64">
                  <c:v>2.7713540812799509</c:v>
                </c:pt>
                <c:pt idx="65">
                  <c:v>2.827757395743812</c:v>
                </c:pt>
                <c:pt idx="66">
                  <c:v>2.827757395743812</c:v>
                </c:pt>
                <c:pt idx="67">
                  <c:v>2.9600233999303178</c:v>
                </c:pt>
                <c:pt idx="68">
                  <c:v>2.9094981277611631</c:v>
                </c:pt>
                <c:pt idx="69">
                  <c:v>3.1166762400029526</c:v>
                </c:pt>
                <c:pt idx="70">
                  <c:v>2.5659138546320701</c:v>
                </c:pt>
                <c:pt idx="71">
                  <c:v>2.5725037025007214</c:v>
                </c:pt>
                <c:pt idx="72">
                  <c:v>2.0989747473695308</c:v>
                </c:pt>
                <c:pt idx="73">
                  <c:v>2.0989747473695308</c:v>
                </c:pt>
                <c:pt idx="74">
                  <c:v>2.0989747473695313</c:v>
                </c:pt>
                <c:pt idx="75">
                  <c:v>2.0989747473695313</c:v>
                </c:pt>
                <c:pt idx="76">
                  <c:v>2.1460773873081878</c:v>
                </c:pt>
                <c:pt idx="77">
                  <c:v>2.1460773873081878</c:v>
                </c:pt>
                <c:pt idx="78">
                  <c:v>2.2007322132274756</c:v>
                </c:pt>
                <c:pt idx="79">
                  <c:v>2.1571021957754688</c:v>
                </c:pt>
                <c:pt idx="80">
                  <c:v>2.1154355291088032</c:v>
                </c:pt>
                <c:pt idx="81">
                  <c:v>2.3046681906661863</c:v>
                </c:pt>
                <c:pt idx="82">
                  <c:v>2.2222464912806044</c:v>
                </c:pt>
                <c:pt idx="83">
                  <c:v>2.1373457598281469</c:v>
                </c:pt>
                <c:pt idx="84">
                  <c:v>1.986877465647277</c:v>
                </c:pt>
                <c:pt idx="85">
                  <c:v>1.9253069437186987</c:v>
                </c:pt>
                <c:pt idx="86">
                  <c:v>1.8981543461201946</c:v>
                </c:pt>
                <c:pt idx="87">
                  <c:v>2.1422531935709954</c:v>
                </c:pt>
                <c:pt idx="88">
                  <c:v>2.0474614321125673</c:v>
                </c:pt>
                <c:pt idx="89">
                  <c:v>2.0474614321125673</c:v>
                </c:pt>
                <c:pt idx="90">
                  <c:v>2.0377911874553774</c:v>
                </c:pt>
                <c:pt idx="91">
                  <c:v>2.0377911874553769</c:v>
                </c:pt>
                <c:pt idx="92">
                  <c:v>2.0377911874553769</c:v>
                </c:pt>
                <c:pt idx="93">
                  <c:v>1.1799722168381408</c:v>
                </c:pt>
                <c:pt idx="94">
                  <c:v>1.1799722168381406</c:v>
                </c:pt>
                <c:pt idx="95">
                  <c:v>1.260405711038461</c:v>
                </c:pt>
                <c:pt idx="96">
                  <c:v>1.3072682631730497</c:v>
                </c:pt>
                <c:pt idx="97">
                  <c:v>1.327874074011707</c:v>
                </c:pt>
                <c:pt idx="98">
                  <c:v>1.1819799514606437</c:v>
                </c:pt>
                <c:pt idx="99">
                  <c:v>1.3639563736459444</c:v>
                </c:pt>
                <c:pt idx="100">
                  <c:v>1.5695614853053357</c:v>
                </c:pt>
                <c:pt idx="101">
                  <c:v>1.6406043952229261</c:v>
                </c:pt>
                <c:pt idx="102">
                  <c:v>1.6768178543017171</c:v>
                </c:pt>
                <c:pt idx="103">
                  <c:v>1.6768178543017171</c:v>
                </c:pt>
                <c:pt idx="104">
                  <c:v>1.6768178543017171</c:v>
                </c:pt>
                <c:pt idx="105">
                  <c:v>1.5768013567351096</c:v>
                </c:pt>
                <c:pt idx="106">
                  <c:v>1.9686161653965728</c:v>
                </c:pt>
                <c:pt idx="107">
                  <c:v>1.9841272558262286</c:v>
                </c:pt>
                <c:pt idx="108">
                  <c:v>2.0171571272161648</c:v>
                </c:pt>
                <c:pt idx="109">
                  <c:v>1.9983158648515902</c:v>
                </c:pt>
                <c:pt idx="110">
                  <c:v>2.0078587601660285</c:v>
                </c:pt>
                <c:pt idx="111">
                  <c:v>1.931442674580012</c:v>
                </c:pt>
                <c:pt idx="112">
                  <c:v>1.931442674580012</c:v>
                </c:pt>
                <c:pt idx="113">
                  <c:v>1.943455019574559</c:v>
                </c:pt>
                <c:pt idx="114">
                  <c:v>2.9466912655292514</c:v>
                </c:pt>
                <c:pt idx="115">
                  <c:v>2.8110040320577454</c:v>
                </c:pt>
                <c:pt idx="116">
                  <c:v>2.9038310362771553</c:v>
                </c:pt>
                <c:pt idx="117">
                  <c:v>2.9038310362771553</c:v>
                </c:pt>
                <c:pt idx="118">
                  <c:v>2.9038310362771558</c:v>
                </c:pt>
                <c:pt idx="119">
                  <c:v>2.9038310362771549</c:v>
                </c:pt>
                <c:pt idx="120">
                  <c:v>2.9038310362771553</c:v>
                </c:pt>
                <c:pt idx="121">
                  <c:v>3.0347896533541592</c:v>
                </c:pt>
                <c:pt idx="122">
                  <c:v>3.0347896533541592</c:v>
                </c:pt>
                <c:pt idx="123">
                  <c:v>3.0347896533541592</c:v>
                </c:pt>
                <c:pt idx="124">
                  <c:v>5.5737725314626019</c:v>
                </c:pt>
                <c:pt idx="125">
                  <c:v>5.4361182536809345</c:v>
                </c:pt>
                <c:pt idx="126">
                  <c:v>5.4615447249490199</c:v>
                </c:pt>
                <c:pt idx="127">
                  <c:v>5.446493550957447</c:v>
                </c:pt>
                <c:pt idx="128">
                  <c:v>5.4164093150970372</c:v>
                </c:pt>
                <c:pt idx="129">
                  <c:v>5.5218945471645497</c:v>
                </c:pt>
                <c:pt idx="130">
                  <c:v>5.5218945471645506</c:v>
                </c:pt>
                <c:pt idx="131">
                  <c:v>5.5218945471645497</c:v>
                </c:pt>
                <c:pt idx="132">
                  <c:v>5.5959843016099331</c:v>
                </c:pt>
                <c:pt idx="133">
                  <c:v>5.595984301609934</c:v>
                </c:pt>
                <c:pt idx="134">
                  <c:v>5.5959843016099349</c:v>
                </c:pt>
                <c:pt idx="135">
                  <c:v>5.3314340370596689</c:v>
                </c:pt>
                <c:pt idx="136">
                  <c:v>5.3314340370596698</c:v>
                </c:pt>
                <c:pt idx="137">
                  <c:v>5.3171131342699578</c:v>
                </c:pt>
                <c:pt idx="138">
                  <c:v>5.2448065543711877</c:v>
                </c:pt>
                <c:pt idx="139">
                  <c:v>5.2448065543711877</c:v>
                </c:pt>
                <c:pt idx="140">
                  <c:v>5.2726655876627344</c:v>
                </c:pt>
                <c:pt idx="141">
                  <c:v>5.2378024603007569</c:v>
                </c:pt>
                <c:pt idx="142">
                  <c:v>5.237802460300756</c:v>
                </c:pt>
                <c:pt idx="143">
                  <c:v>5.237802460300756</c:v>
                </c:pt>
                <c:pt idx="144">
                  <c:v>5.2349099461274378</c:v>
                </c:pt>
                <c:pt idx="145">
                  <c:v>5.2349099461274378</c:v>
                </c:pt>
                <c:pt idx="146">
                  <c:v>5.2349099461274378</c:v>
                </c:pt>
                <c:pt idx="147">
                  <c:v>5.2349099461274387</c:v>
                </c:pt>
                <c:pt idx="148">
                  <c:v>5.2349099461274395</c:v>
                </c:pt>
                <c:pt idx="149">
                  <c:v>5.3055518239169919</c:v>
                </c:pt>
                <c:pt idx="150">
                  <c:v>5.5060746154807125</c:v>
                </c:pt>
                <c:pt idx="151">
                  <c:v>5.4335664455460755</c:v>
                </c:pt>
                <c:pt idx="152">
                  <c:v>5.3602257781460043</c:v>
                </c:pt>
                <c:pt idx="153">
                  <c:v>5.3445117730389526</c:v>
                </c:pt>
                <c:pt idx="154">
                  <c:v>4.6861803917630889</c:v>
                </c:pt>
                <c:pt idx="155">
                  <c:v>4.6861803917630889</c:v>
                </c:pt>
                <c:pt idx="156">
                  <c:v>4.6892164356764292</c:v>
                </c:pt>
                <c:pt idx="157">
                  <c:v>4.538123920567176</c:v>
                </c:pt>
                <c:pt idx="158">
                  <c:v>4.538123920567176</c:v>
                </c:pt>
                <c:pt idx="159">
                  <c:v>4.4218333425782603</c:v>
                </c:pt>
                <c:pt idx="160">
                  <c:v>4.4218333425782612</c:v>
                </c:pt>
                <c:pt idx="161">
                  <c:v>4.4218333425782612</c:v>
                </c:pt>
                <c:pt idx="162">
                  <c:v>4.4218333425782612</c:v>
                </c:pt>
                <c:pt idx="163">
                  <c:v>4.4013179970998433</c:v>
                </c:pt>
                <c:pt idx="164">
                  <c:v>4.4072819962323502</c:v>
                </c:pt>
                <c:pt idx="165">
                  <c:v>4.1248200979374952</c:v>
                </c:pt>
                <c:pt idx="166">
                  <c:v>4.1248200979374952</c:v>
                </c:pt>
                <c:pt idx="167">
                  <c:v>4.1248200979374952</c:v>
                </c:pt>
                <c:pt idx="168">
                  <c:v>4.1913048064545357</c:v>
                </c:pt>
                <c:pt idx="169">
                  <c:v>3.9069253630257346</c:v>
                </c:pt>
                <c:pt idx="170">
                  <c:v>3.9069253630257341</c:v>
                </c:pt>
                <c:pt idx="171">
                  <c:v>4.3707502854493825</c:v>
                </c:pt>
                <c:pt idx="172">
                  <c:v>4.3707502854493825</c:v>
                </c:pt>
                <c:pt idx="173">
                  <c:v>4.3707502854493825</c:v>
                </c:pt>
                <c:pt idx="174">
                  <c:v>4.2364963537270945</c:v>
                </c:pt>
                <c:pt idx="175">
                  <c:v>4.758515615310186</c:v>
                </c:pt>
                <c:pt idx="176">
                  <c:v>4.758515615310186</c:v>
                </c:pt>
                <c:pt idx="177">
                  <c:v>4.7431847106350187</c:v>
                </c:pt>
                <c:pt idx="178">
                  <c:v>4.6544527372359319</c:v>
                </c:pt>
                <c:pt idx="179">
                  <c:v>4.070006172350439</c:v>
                </c:pt>
                <c:pt idx="180">
                  <c:v>4.261700442992078</c:v>
                </c:pt>
                <c:pt idx="181">
                  <c:v>4.261700442992078</c:v>
                </c:pt>
                <c:pt idx="182">
                  <c:v>4.2594350268351278</c:v>
                </c:pt>
                <c:pt idx="183">
                  <c:v>5.240807765644794</c:v>
                </c:pt>
                <c:pt idx="184">
                  <c:v>5.240807765644794</c:v>
                </c:pt>
                <c:pt idx="185">
                  <c:v>5.3255714867721533</c:v>
                </c:pt>
                <c:pt idx="186">
                  <c:v>5.237620739190799</c:v>
                </c:pt>
                <c:pt idx="187">
                  <c:v>5.2498468737760877</c:v>
                </c:pt>
                <c:pt idx="188">
                  <c:v>5.4081386695459912</c:v>
                </c:pt>
                <c:pt idx="189">
                  <c:v>5.2588750368008679</c:v>
                </c:pt>
                <c:pt idx="190">
                  <c:v>5.2436031980714848</c:v>
                </c:pt>
                <c:pt idx="191">
                  <c:v>5.2436031980714848</c:v>
                </c:pt>
                <c:pt idx="192">
                  <c:v>5.2436031980714857</c:v>
                </c:pt>
                <c:pt idx="193">
                  <c:v>5.2436031980714866</c:v>
                </c:pt>
                <c:pt idx="194">
                  <c:v>5.2436031980714874</c:v>
                </c:pt>
                <c:pt idx="195">
                  <c:v>5.2436031980714866</c:v>
                </c:pt>
                <c:pt idx="196">
                  <c:v>5.361595145425186</c:v>
                </c:pt>
                <c:pt idx="197">
                  <c:v>5.3774606063168235</c:v>
                </c:pt>
                <c:pt idx="198">
                  <c:v>5.3774606063168235</c:v>
                </c:pt>
                <c:pt idx="199">
                  <c:v>5.333194864312321</c:v>
                </c:pt>
                <c:pt idx="200">
                  <c:v>5.2990429272978758</c:v>
                </c:pt>
                <c:pt idx="201">
                  <c:v>5.2990429272978758</c:v>
                </c:pt>
                <c:pt idx="202">
                  <c:v>5.2990429272978758</c:v>
                </c:pt>
                <c:pt idx="203">
                  <c:v>5.6883132224355348</c:v>
                </c:pt>
                <c:pt idx="204">
                  <c:v>6.0096677602870319</c:v>
                </c:pt>
                <c:pt idx="205">
                  <c:v>5.8813206694877564</c:v>
                </c:pt>
                <c:pt idx="206">
                  <c:v>5.7811627281186766</c:v>
                </c:pt>
                <c:pt idx="207">
                  <c:v>5.671772686988021</c:v>
                </c:pt>
                <c:pt idx="208">
                  <c:v>5.6717726869880201</c:v>
                </c:pt>
                <c:pt idx="209">
                  <c:v>5.6717726869880201</c:v>
                </c:pt>
                <c:pt idx="210">
                  <c:v>3.6343957472249606</c:v>
                </c:pt>
                <c:pt idx="211">
                  <c:v>3.6391762486627881</c:v>
                </c:pt>
                <c:pt idx="212">
                  <c:v>3.4675186113862901</c:v>
                </c:pt>
                <c:pt idx="213">
                  <c:v>3.4675186113862901</c:v>
                </c:pt>
                <c:pt idx="214">
                  <c:v>3.467518611386291</c:v>
                </c:pt>
                <c:pt idx="215">
                  <c:v>3.4675186113862919</c:v>
                </c:pt>
                <c:pt idx="216">
                  <c:v>3.5299780127753895</c:v>
                </c:pt>
                <c:pt idx="217">
                  <c:v>3.5299780127753904</c:v>
                </c:pt>
                <c:pt idx="218">
                  <c:v>3.5299780127753912</c:v>
                </c:pt>
                <c:pt idx="219">
                  <c:v>3.3916063567570784</c:v>
                </c:pt>
                <c:pt idx="220">
                  <c:v>3.3902131722158568</c:v>
                </c:pt>
                <c:pt idx="221">
                  <c:v>3.3800832193924979</c:v>
                </c:pt>
                <c:pt idx="222">
                  <c:v>3.3800832193924979</c:v>
                </c:pt>
                <c:pt idx="223">
                  <c:v>3.5217223833088909</c:v>
                </c:pt>
                <c:pt idx="224">
                  <c:v>3.4084190795064426</c:v>
                </c:pt>
                <c:pt idx="225">
                  <c:v>3.4730185627105783</c:v>
                </c:pt>
                <c:pt idx="226">
                  <c:v>3.5479592649704408</c:v>
                </c:pt>
                <c:pt idx="227">
                  <c:v>3.2410859285057469</c:v>
                </c:pt>
                <c:pt idx="228">
                  <c:v>3.2410859285057478</c:v>
                </c:pt>
                <c:pt idx="229">
                  <c:v>3.4781797764358142</c:v>
                </c:pt>
                <c:pt idx="230">
                  <c:v>3.4781797764358142</c:v>
                </c:pt>
                <c:pt idx="231">
                  <c:v>2.9133007214948829</c:v>
                </c:pt>
                <c:pt idx="232">
                  <c:v>3.623486256482078</c:v>
                </c:pt>
                <c:pt idx="233">
                  <c:v>3.623486256482078</c:v>
                </c:pt>
                <c:pt idx="234">
                  <c:v>3.623486256482078</c:v>
                </c:pt>
                <c:pt idx="235">
                  <c:v>3.623486256482078</c:v>
                </c:pt>
                <c:pt idx="236">
                  <c:v>3.6594111363195498</c:v>
                </c:pt>
                <c:pt idx="237">
                  <c:v>3.1957799418131394</c:v>
                </c:pt>
                <c:pt idx="238">
                  <c:v>3.282423041556676</c:v>
                </c:pt>
                <c:pt idx="239">
                  <c:v>3.282423041556676</c:v>
                </c:pt>
                <c:pt idx="240">
                  <c:v>3.282423041556676</c:v>
                </c:pt>
                <c:pt idx="241">
                  <c:v>3.1897987825507492</c:v>
                </c:pt>
                <c:pt idx="242">
                  <c:v>3.1788454001462618</c:v>
                </c:pt>
                <c:pt idx="243">
                  <c:v>3.2998033874053565</c:v>
                </c:pt>
                <c:pt idx="244">
                  <c:v>3.6546474837104252</c:v>
                </c:pt>
                <c:pt idx="245">
                  <c:v>3.6093426150945422</c:v>
                </c:pt>
                <c:pt idx="246">
                  <c:v>3.6928492641145212</c:v>
                </c:pt>
                <c:pt idx="247">
                  <c:v>3.7668499490795373</c:v>
                </c:pt>
                <c:pt idx="248">
                  <c:v>3.8547982014626498</c:v>
                </c:pt>
                <c:pt idx="249">
                  <c:v>3.8547982014626498</c:v>
                </c:pt>
                <c:pt idx="250">
                  <c:v>3.8547982014626498</c:v>
                </c:pt>
                <c:pt idx="251">
                  <c:v>3.9809154356568701</c:v>
                </c:pt>
                <c:pt idx="252">
                  <c:v>3.9809154356568701</c:v>
                </c:pt>
                <c:pt idx="253">
                  <c:v>4.1554958858278734</c:v>
                </c:pt>
                <c:pt idx="254">
                  <c:v>4.1554958858278734</c:v>
                </c:pt>
                <c:pt idx="255">
                  <c:v>4.1542915598891028</c:v>
                </c:pt>
                <c:pt idx="256">
                  <c:v>4.0887392819474417</c:v>
                </c:pt>
                <c:pt idx="257">
                  <c:v>2.5994176908241204</c:v>
                </c:pt>
                <c:pt idx="258">
                  <c:v>2.6686659319187953</c:v>
                </c:pt>
                <c:pt idx="259">
                  <c:v>2.6258545254710253</c:v>
                </c:pt>
                <c:pt idx="260">
                  <c:v>2.6430294126632425</c:v>
                </c:pt>
                <c:pt idx="261">
                  <c:v>2.7342574828386823</c:v>
                </c:pt>
                <c:pt idx="262">
                  <c:v>2.5044478964959342</c:v>
                </c:pt>
                <c:pt idx="263">
                  <c:v>2.5661605284332847</c:v>
                </c:pt>
                <c:pt idx="264">
                  <c:v>2.5661605284332847</c:v>
                </c:pt>
                <c:pt idx="265">
                  <c:v>2.4264642551693463</c:v>
                </c:pt>
                <c:pt idx="266">
                  <c:v>2.4035473357425357</c:v>
                </c:pt>
                <c:pt idx="267">
                  <c:v>2.3383528036710342</c:v>
                </c:pt>
                <c:pt idx="268">
                  <c:v>2.3383528036710342</c:v>
                </c:pt>
                <c:pt idx="269">
                  <c:v>2.4791830440037614</c:v>
                </c:pt>
                <c:pt idx="270">
                  <c:v>2.3016948606024954</c:v>
                </c:pt>
                <c:pt idx="271">
                  <c:v>2.3016948606024954</c:v>
                </c:pt>
                <c:pt idx="272">
                  <c:v>2.2055106915706428</c:v>
                </c:pt>
                <c:pt idx="273">
                  <c:v>1.2602007272733342</c:v>
                </c:pt>
                <c:pt idx="274">
                  <c:v>1.0249021804771594</c:v>
                </c:pt>
                <c:pt idx="275">
                  <c:v>1.0249021804771594</c:v>
                </c:pt>
                <c:pt idx="276">
                  <c:v>1.0029323298721451</c:v>
                </c:pt>
                <c:pt idx="277">
                  <c:v>1.7713418031476724</c:v>
                </c:pt>
                <c:pt idx="278">
                  <c:v>1.7713418031476724</c:v>
                </c:pt>
                <c:pt idx="279">
                  <c:v>2.0574648360518211</c:v>
                </c:pt>
                <c:pt idx="280">
                  <c:v>2.0574648360518211</c:v>
                </c:pt>
                <c:pt idx="281">
                  <c:v>2.0335949818415457</c:v>
                </c:pt>
                <c:pt idx="282">
                  <c:v>2.0335949818415457</c:v>
                </c:pt>
                <c:pt idx="283">
                  <c:v>1.4850717750904927</c:v>
                </c:pt>
                <c:pt idx="284">
                  <c:v>1.8791604450412329</c:v>
                </c:pt>
                <c:pt idx="285">
                  <c:v>1.8791604450412329</c:v>
                </c:pt>
                <c:pt idx="286">
                  <c:v>1.8791604450412329</c:v>
                </c:pt>
                <c:pt idx="287">
                  <c:v>1.8791604450412329</c:v>
                </c:pt>
                <c:pt idx="288">
                  <c:v>1.8791604450412329</c:v>
                </c:pt>
                <c:pt idx="289">
                  <c:v>1.8791604450412329</c:v>
                </c:pt>
                <c:pt idx="290">
                  <c:v>1.8209838132805451</c:v>
                </c:pt>
                <c:pt idx="291">
                  <c:v>1.9097734105767596</c:v>
                </c:pt>
                <c:pt idx="292">
                  <c:v>1.9132660062738811</c:v>
                </c:pt>
                <c:pt idx="293">
                  <c:v>1.9132660062738811</c:v>
                </c:pt>
                <c:pt idx="294">
                  <c:v>1.81923685723768</c:v>
                </c:pt>
                <c:pt idx="295">
                  <c:v>0.82308166674484795</c:v>
                </c:pt>
                <c:pt idx="296">
                  <c:v>0.82929651401497573</c:v>
                </c:pt>
                <c:pt idx="297">
                  <c:v>0.82929651401497573</c:v>
                </c:pt>
                <c:pt idx="298">
                  <c:v>0.82929651401497573</c:v>
                </c:pt>
                <c:pt idx="299">
                  <c:v>0.82929651401497573</c:v>
                </c:pt>
                <c:pt idx="300">
                  <c:v>0.86088211098276091</c:v>
                </c:pt>
                <c:pt idx="301">
                  <c:v>0.92679329151293111</c:v>
                </c:pt>
                <c:pt idx="302">
                  <c:v>1.0601166567441922</c:v>
                </c:pt>
                <c:pt idx="303">
                  <c:v>1.1321397041193499</c:v>
                </c:pt>
                <c:pt idx="304">
                  <c:v>0.99608273260510671</c:v>
                </c:pt>
                <c:pt idx="305">
                  <c:v>0.59084082651044412</c:v>
                </c:pt>
                <c:pt idx="306">
                  <c:v>0.21050514251035501</c:v>
                </c:pt>
                <c:pt idx="307">
                  <c:v>0.32823968210633936</c:v>
                </c:pt>
                <c:pt idx="308">
                  <c:v>0.74964718315986012</c:v>
                </c:pt>
                <c:pt idx="309">
                  <c:v>2.7545512650868762</c:v>
                </c:pt>
                <c:pt idx="310">
                  <c:v>2.8752447037526672</c:v>
                </c:pt>
                <c:pt idx="311">
                  <c:v>2.819532763804272</c:v>
                </c:pt>
                <c:pt idx="312">
                  <c:v>2.920243439135854</c:v>
                </c:pt>
                <c:pt idx="313">
                  <c:v>4.5042345205182386</c:v>
                </c:pt>
                <c:pt idx="314">
                  <c:v>4.5042345205182368</c:v>
                </c:pt>
                <c:pt idx="315">
                  <c:v>6.0618669192721324</c:v>
                </c:pt>
                <c:pt idx="316">
                  <c:v>6.0517256661029926</c:v>
                </c:pt>
                <c:pt idx="317">
                  <c:v>6.0517256661029943</c:v>
                </c:pt>
                <c:pt idx="318">
                  <c:v>6.1099145135693114</c:v>
                </c:pt>
                <c:pt idx="319">
                  <c:v>6.1099145135693096</c:v>
                </c:pt>
                <c:pt idx="320">
                  <c:v>6.1099145135693114</c:v>
                </c:pt>
                <c:pt idx="321">
                  <c:v>6.1099145135693114</c:v>
                </c:pt>
                <c:pt idx="322">
                  <c:v>5.742212277339382</c:v>
                </c:pt>
                <c:pt idx="323">
                  <c:v>5.8168391430110233</c:v>
                </c:pt>
                <c:pt idx="324">
                  <c:v>5.8371891633610442</c:v>
                </c:pt>
                <c:pt idx="325">
                  <c:v>5.8371891633610442</c:v>
                </c:pt>
                <c:pt idx="326">
                  <c:v>6.0258684086440599</c:v>
                </c:pt>
                <c:pt idx="327">
                  <c:v>6.0258684086440599</c:v>
                </c:pt>
                <c:pt idx="328">
                  <c:v>5.9614354189533394</c:v>
                </c:pt>
                <c:pt idx="329">
                  <c:v>5.8244832277182788</c:v>
                </c:pt>
                <c:pt idx="330">
                  <c:v>7.5038725406953759</c:v>
                </c:pt>
                <c:pt idx="331">
                  <c:v>7.5038725406953759</c:v>
                </c:pt>
                <c:pt idx="332">
                  <c:v>7.5038725406953777</c:v>
                </c:pt>
                <c:pt idx="333">
                  <c:v>7.5147497909265208</c:v>
                </c:pt>
                <c:pt idx="334">
                  <c:v>7.5033125724580518</c:v>
                </c:pt>
                <c:pt idx="335">
                  <c:v>7.4064951520225435</c:v>
                </c:pt>
                <c:pt idx="336">
                  <c:v>7.4925566343455134</c:v>
                </c:pt>
                <c:pt idx="337">
                  <c:v>7.6185702218975635</c:v>
                </c:pt>
                <c:pt idx="338">
                  <c:v>8.3244323205460979</c:v>
                </c:pt>
                <c:pt idx="339">
                  <c:v>8.5972029452480534</c:v>
                </c:pt>
                <c:pt idx="340">
                  <c:v>7.4922699540875186</c:v>
                </c:pt>
                <c:pt idx="341">
                  <c:v>7.4922699540875186</c:v>
                </c:pt>
                <c:pt idx="342">
                  <c:v>7.7754177767784007</c:v>
                </c:pt>
                <c:pt idx="343">
                  <c:v>7.6945841359257816</c:v>
                </c:pt>
                <c:pt idx="344">
                  <c:v>7.516861465952644</c:v>
                </c:pt>
                <c:pt idx="345">
                  <c:v>7.516861465952644</c:v>
                </c:pt>
                <c:pt idx="346">
                  <c:v>7.4873587070460008</c:v>
                </c:pt>
                <c:pt idx="347">
                  <c:v>7.4873587070460008</c:v>
                </c:pt>
                <c:pt idx="348">
                  <c:v>7.4325839322712266</c:v>
                </c:pt>
                <c:pt idx="349">
                  <c:v>7.4350543490305352</c:v>
                </c:pt>
                <c:pt idx="350">
                  <c:v>7.4350543490305352</c:v>
                </c:pt>
                <c:pt idx="351">
                  <c:v>7.4158087755124447</c:v>
                </c:pt>
                <c:pt idx="352">
                  <c:v>7.4143087605122959</c:v>
                </c:pt>
                <c:pt idx="353">
                  <c:v>7.4435186334493464</c:v>
                </c:pt>
                <c:pt idx="354">
                  <c:v>7.4435186334493455</c:v>
                </c:pt>
                <c:pt idx="355">
                  <c:v>7.3938918270335918</c:v>
                </c:pt>
                <c:pt idx="356">
                  <c:v>7.2812420853037274</c:v>
                </c:pt>
                <c:pt idx="357">
                  <c:v>7.3281662400080396</c:v>
                </c:pt>
                <c:pt idx="358">
                  <c:v>7.601160569933322</c:v>
                </c:pt>
                <c:pt idx="359">
                  <c:v>7.6657473241752481</c:v>
                </c:pt>
                <c:pt idx="360">
                  <c:v>7.6657473241752481</c:v>
                </c:pt>
                <c:pt idx="361">
                  <c:v>7.700210601011408</c:v>
                </c:pt>
                <c:pt idx="362">
                  <c:v>7.4140420795487678</c:v>
                </c:pt>
                <c:pt idx="363">
                  <c:v>7.4326343770255274</c:v>
                </c:pt>
                <c:pt idx="364">
                  <c:v>7.4326343770255265</c:v>
                </c:pt>
                <c:pt idx="365">
                  <c:v>7.5295336018317283</c:v>
                </c:pt>
                <c:pt idx="366">
                  <c:v>7.7693262136269343</c:v>
                </c:pt>
                <c:pt idx="367">
                  <c:v>7.7693262136269343</c:v>
                </c:pt>
                <c:pt idx="368">
                  <c:v>7.5630647034980232</c:v>
                </c:pt>
                <c:pt idx="369">
                  <c:v>7.5630647034980241</c:v>
                </c:pt>
                <c:pt idx="370">
                  <c:v>7.6032151620585253</c:v>
                </c:pt>
                <c:pt idx="371">
                  <c:v>7.6316502435312144</c:v>
                </c:pt>
                <c:pt idx="372">
                  <c:v>7.8773964788438002</c:v>
                </c:pt>
                <c:pt idx="373">
                  <c:v>8.2742218756691983</c:v>
                </c:pt>
                <c:pt idx="374">
                  <c:v>8.4697040650697186</c:v>
                </c:pt>
                <c:pt idx="375">
                  <c:v>8.5708070062461896</c:v>
                </c:pt>
                <c:pt idx="376">
                  <c:v>8.4408348142500582</c:v>
                </c:pt>
                <c:pt idx="377">
                  <c:v>8.5325231591688162</c:v>
                </c:pt>
                <c:pt idx="378">
                  <c:v>8.4901574584401249</c:v>
                </c:pt>
                <c:pt idx="379">
                  <c:v>8.6066687766824685</c:v>
                </c:pt>
                <c:pt idx="380">
                  <c:v>8.6066687766824685</c:v>
                </c:pt>
                <c:pt idx="381">
                  <c:v>9.7948996329631157</c:v>
                </c:pt>
                <c:pt idx="382">
                  <c:v>9.6607314755391425</c:v>
                </c:pt>
                <c:pt idx="383">
                  <c:v>9.5705717640502215</c:v>
                </c:pt>
                <c:pt idx="384">
                  <c:v>9.5045680678432323</c:v>
                </c:pt>
                <c:pt idx="385">
                  <c:v>9.558326089548034</c:v>
                </c:pt>
                <c:pt idx="386">
                  <c:v>9.7086393931809081</c:v>
                </c:pt>
                <c:pt idx="387">
                  <c:v>9.7086393931809081</c:v>
                </c:pt>
                <c:pt idx="388">
                  <c:v>3.6263495899608715</c:v>
                </c:pt>
                <c:pt idx="389">
                  <c:v>3.6263495899608715</c:v>
                </c:pt>
                <c:pt idx="390">
                  <c:v>3.6263495899608724</c:v>
                </c:pt>
                <c:pt idx="391">
                  <c:v>3.6997925981864892</c:v>
                </c:pt>
                <c:pt idx="392">
                  <c:v>3.5762976923513534</c:v>
                </c:pt>
                <c:pt idx="393">
                  <c:v>3.1101909494397511</c:v>
                </c:pt>
                <c:pt idx="394">
                  <c:v>3.0427275724158491</c:v>
                </c:pt>
                <c:pt idx="395">
                  <c:v>3.0251837127667258</c:v>
                </c:pt>
                <c:pt idx="396">
                  <c:v>3.0490536421117334</c:v>
                </c:pt>
                <c:pt idx="397">
                  <c:v>3.077318198358201</c:v>
                </c:pt>
                <c:pt idx="398">
                  <c:v>2.9161145444087087</c:v>
                </c:pt>
                <c:pt idx="399">
                  <c:v>3.0393224297133692</c:v>
                </c:pt>
                <c:pt idx="400">
                  <c:v>3.0393224297133692</c:v>
                </c:pt>
                <c:pt idx="401">
                  <c:v>2.7254193026024698</c:v>
                </c:pt>
                <c:pt idx="402">
                  <c:v>2.6877443833344419</c:v>
                </c:pt>
                <c:pt idx="403">
                  <c:v>1.6605447526646424</c:v>
                </c:pt>
                <c:pt idx="404">
                  <c:v>2.4394531427182891</c:v>
                </c:pt>
                <c:pt idx="405">
                  <c:v>1.3045579238857741</c:v>
                </c:pt>
                <c:pt idx="406">
                  <c:v>1.297686488442908</c:v>
                </c:pt>
                <c:pt idx="407">
                  <c:v>-1.5923186072839624</c:v>
                </c:pt>
                <c:pt idx="408">
                  <c:v>0.97788965517966009</c:v>
                </c:pt>
                <c:pt idx="409">
                  <c:v>0.76194174052743335</c:v>
                </c:pt>
                <c:pt idx="410">
                  <c:v>0.76194174052743335</c:v>
                </c:pt>
                <c:pt idx="411">
                  <c:v>0.77945455253200358</c:v>
                </c:pt>
                <c:pt idx="412">
                  <c:v>0.84080883610850954</c:v>
                </c:pt>
                <c:pt idx="413">
                  <c:v>0.15768448919105715</c:v>
                </c:pt>
                <c:pt idx="414">
                  <c:v>0.20621471658983737</c:v>
                </c:pt>
                <c:pt idx="415">
                  <c:v>0.20621471658983737</c:v>
                </c:pt>
                <c:pt idx="416">
                  <c:v>-0.75252791602312818</c:v>
                </c:pt>
                <c:pt idx="417">
                  <c:v>-0.72084223794961844</c:v>
                </c:pt>
                <c:pt idx="418">
                  <c:v>-0.21716459164325563</c:v>
                </c:pt>
              </c:numCache>
              <c:extLst xmlns:c15="http://schemas.microsoft.com/office/drawing/2012/chart"/>
            </c:numRef>
          </c:val>
          <c:smooth val="1"/>
          <c:extLst xmlns:c15="http://schemas.microsoft.com/office/drawing/2012/chart">
            <c:ext xmlns:c16="http://schemas.microsoft.com/office/drawing/2014/chart" uri="{C3380CC4-5D6E-409C-BE32-E72D297353CC}">
              <c16:uniqueId val="{00000000-521F-4567-890B-C303C393BA61}"/>
            </c:ext>
          </c:extLst>
        </c:ser>
        <c:dLbls>
          <c:showLegendKey val="0"/>
          <c:showVal val="0"/>
          <c:showCatName val="0"/>
          <c:showSerName val="0"/>
          <c:showPercent val="0"/>
          <c:showBubbleSize val="0"/>
        </c:dLbls>
        <c:smooth val="0"/>
        <c:axId val="147683023"/>
        <c:axId val="146645279"/>
        <c:extLst>
          <c:ext xmlns:c15="http://schemas.microsoft.com/office/drawing/2012/chart" uri="{02D57815-91ED-43cb-92C2-25804820EDAC}">
            <c15:filteredLineSeries>
              <c15:ser>
                <c:idx val="5"/>
                <c:order val="3"/>
                <c:tx>
                  <c:v>Up (MOC)</c:v>
                </c:tx>
                <c:spPr>
                  <a:ln w="19050" cap="rnd">
                    <a:solidFill>
                      <a:schemeClr val="accent6"/>
                    </a:solidFill>
                    <a:prstDash val="sysDash"/>
                    <a:round/>
                  </a:ln>
                  <a:effectLst/>
                </c:spPr>
                <c:marker>
                  <c:symbol val="none"/>
                </c:marker>
                <c:val>
                  <c:numRef>
                    <c:extLst>
                      <c:ext uri="{02D57815-91ED-43cb-92C2-25804820EDAC}">
                        <c15:formulaRef>
                          <c15:sqref>'2025-Q2'!$AR$4:$AR$422</c15:sqref>
                        </c15:formulaRef>
                      </c:ext>
                    </c:extLst>
                    <c:numCache>
                      <c:formatCode>0.0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0.87133026387444812</c:v>
                      </c:pt>
                      <c:pt idx="40">
                        <c:v>0.87133026387444812</c:v>
                      </c:pt>
                      <c:pt idx="41">
                        <c:v>0.87133026387444812</c:v>
                      </c:pt>
                      <c:pt idx="42">
                        <c:v>0.87133026387444812</c:v>
                      </c:pt>
                      <c:pt idx="43">
                        <c:v>0.87133026387444812</c:v>
                      </c:pt>
                      <c:pt idx="44">
                        <c:v>0.87133026387444812</c:v>
                      </c:pt>
                      <c:pt idx="45">
                        <c:v>0.87133026387444812</c:v>
                      </c:pt>
                      <c:pt idx="46">
                        <c:v>0.87133026387444812</c:v>
                      </c:pt>
                      <c:pt idx="47">
                        <c:v>-1.2381559938812483</c:v>
                      </c:pt>
                      <c:pt idx="48">
                        <c:v>-1.2381559938812483</c:v>
                      </c:pt>
                      <c:pt idx="49">
                        <c:v>-1.2381559938812483</c:v>
                      </c:pt>
                      <c:pt idx="50">
                        <c:v>-1.2381559938812483</c:v>
                      </c:pt>
                      <c:pt idx="51">
                        <c:v>-1.2381559938812483</c:v>
                      </c:pt>
                      <c:pt idx="52">
                        <c:v>-1.2381559938812483</c:v>
                      </c:pt>
                      <c:pt idx="53">
                        <c:v>-1.2381559938812483</c:v>
                      </c:pt>
                      <c:pt idx="54">
                        <c:v>-1.2381559938812483</c:v>
                      </c:pt>
                      <c:pt idx="55">
                        <c:v>-1.2381559938812483</c:v>
                      </c:pt>
                      <c:pt idx="56">
                        <c:v>-1.2381559938812483</c:v>
                      </c:pt>
                      <c:pt idx="57">
                        <c:v>-1.2381559938812483</c:v>
                      </c:pt>
                      <c:pt idx="58">
                        <c:v>-1.2381559938812483</c:v>
                      </c:pt>
                      <c:pt idx="59">
                        <c:v>-1.2381559938812483</c:v>
                      </c:pt>
                      <c:pt idx="60">
                        <c:v>-1.2381559938812483</c:v>
                      </c:pt>
                      <c:pt idx="61">
                        <c:v>-1.2381559938812483</c:v>
                      </c:pt>
                      <c:pt idx="62">
                        <c:v>-1.2381559938812483</c:v>
                      </c:pt>
                      <c:pt idx="63">
                        <c:v>-1.2381559938812483</c:v>
                      </c:pt>
                      <c:pt idx="64">
                        <c:v>-1.2381559938812483</c:v>
                      </c:pt>
                      <c:pt idx="65">
                        <c:v>-1.2381559938812483</c:v>
                      </c:pt>
                      <c:pt idx="66">
                        <c:v>-1.2381559938812483</c:v>
                      </c:pt>
                      <c:pt idx="67">
                        <c:v>-1.2381559938812483</c:v>
                      </c:pt>
                      <c:pt idx="68">
                        <c:v>-1.2381559938812483</c:v>
                      </c:pt>
                      <c:pt idx="69">
                        <c:v>-0.83192440125028944</c:v>
                      </c:pt>
                      <c:pt idx="70">
                        <c:v>-0.83192440125028944</c:v>
                      </c:pt>
                      <c:pt idx="71">
                        <c:v>-1.0879870612894522</c:v>
                      </c:pt>
                      <c:pt idx="72">
                        <c:v>-1.0879870612894522</c:v>
                      </c:pt>
                      <c:pt idx="73">
                        <c:v>-1.0879870612894522</c:v>
                      </c:pt>
                      <c:pt idx="74">
                        <c:v>-1.0879870612894522</c:v>
                      </c:pt>
                      <c:pt idx="75">
                        <c:v>-1.0879870612894522</c:v>
                      </c:pt>
                      <c:pt idx="76">
                        <c:v>-1.0879870612894522</c:v>
                      </c:pt>
                      <c:pt idx="77">
                        <c:v>-1.0879870612894522</c:v>
                      </c:pt>
                      <c:pt idx="78">
                        <c:v>-1.0879870612894522</c:v>
                      </c:pt>
                      <c:pt idx="79">
                        <c:v>-1.0879870612894522</c:v>
                      </c:pt>
                      <c:pt idx="80">
                        <c:v>-1.0879870612894522</c:v>
                      </c:pt>
                      <c:pt idx="81">
                        <c:v>-1.0879870612894522</c:v>
                      </c:pt>
                      <c:pt idx="82">
                        <c:v>-1.0879870612894522</c:v>
                      </c:pt>
                      <c:pt idx="83">
                        <c:v>-1.0879870612894522</c:v>
                      </c:pt>
                      <c:pt idx="84">
                        <c:v>-1.0879870612894522</c:v>
                      </c:pt>
                      <c:pt idx="85">
                        <c:v>-1.0879870612894522</c:v>
                      </c:pt>
                      <c:pt idx="86">
                        <c:v>-1.0879870612894522</c:v>
                      </c:pt>
                      <c:pt idx="87">
                        <c:v>-1.0879870612894522</c:v>
                      </c:pt>
                      <c:pt idx="88">
                        <c:v>-1.0879870612894522</c:v>
                      </c:pt>
                      <c:pt idx="89">
                        <c:v>-1.0879870612894522</c:v>
                      </c:pt>
                      <c:pt idx="90">
                        <c:v>-1.0879870612894522</c:v>
                      </c:pt>
                      <c:pt idx="91">
                        <c:v>-1.0879870612894522</c:v>
                      </c:pt>
                      <c:pt idx="92">
                        <c:v>-1.0879870612894522</c:v>
                      </c:pt>
                      <c:pt idx="93">
                        <c:v>-1.0879870612894522</c:v>
                      </c:pt>
                      <c:pt idx="94">
                        <c:v>-1.0879870612894522</c:v>
                      </c:pt>
                      <c:pt idx="95">
                        <c:v>-1.0879870612894522</c:v>
                      </c:pt>
                      <c:pt idx="96">
                        <c:v>-1.0879870612894522</c:v>
                      </c:pt>
                      <c:pt idx="97">
                        <c:v>-1.0879870612894522</c:v>
                      </c:pt>
                      <c:pt idx="98">
                        <c:v>-1.0879870612894522</c:v>
                      </c:pt>
                      <c:pt idx="99">
                        <c:v>-1.0879870612894522</c:v>
                      </c:pt>
                      <c:pt idx="100">
                        <c:v>-1.0879870612894522</c:v>
                      </c:pt>
                      <c:pt idx="101">
                        <c:v>-1.0879870612894522</c:v>
                      </c:pt>
                      <c:pt idx="102">
                        <c:v>-1.0879870612894522</c:v>
                      </c:pt>
                      <c:pt idx="103">
                        <c:v>-2.957567756486136</c:v>
                      </c:pt>
                      <c:pt idx="104">
                        <c:v>-2.957567756486136</c:v>
                      </c:pt>
                      <c:pt idx="105">
                        <c:v>-2.957567756486136</c:v>
                      </c:pt>
                      <c:pt idx="106">
                        <c:v>-2.7637371090917728</c:v>
                      </c:pt>
                      <c:pt idx="107">
                        <c:v>-2.7637371090917728</c:v>
                      </c:pt>
                      <c:pt idx="108">
                        <c:v>-2.7637371090917728</c:v>
                      </c:pt>
                      <c:pt idx="109">
                        <c:v>-2.7637371090917728</c:v>
                      </c:pt>
                      <c:pt idx="110">
                        <c:v>-2.7637371090917728</c:v>
                      </c:pt>
                      <c:pt idx="111">
                        <c:v>-2.7637371090917728</c:v>
                      </c:pt>
                      <c:pt idx="112">
                        <c:v>-2.7637371090917728</c:v>
                      </c:pt>
                      <c:pt idx="113">
                        <c:v>-2.7637371090917728</c:v>
                      </c:pt>
                      <c:pt idx="114">
                        <c:v>-2.7637371090917728</c:v>
                      </c:pt>
                      <c:pt idx="115">
                        <c:v>-2.7637371090917728</c:v>
                      </c:pt>
                      <c:pt idx="116">
                        <c:v>-2.7637371090917728</c:v>
                      </c:pt>
                      <c:pt idx="117">
                        <c:v>-2.7637371090917728</c:v>
                      </c:pt>
                      <c:pt idx="118">
                        <c:v>-2.7637371090917728</c:v>
                      </c:pt>
                      <c:pt idx="119">
                        <c:v>-2.7637371090917728</c:v>
                      </c:pt>
                      <c:pt idx="120">
                        <c:v>-2.7637371090917728</c:v>
                      </c:pt>
                      <c:pt idx="121">
                        <c:v>-2.7841084495259749</c:v>
                      </c:pt>
                      <c:pt idx="122">
                        <c:v>-2.7841084495259749</c:v>
                      </c:pt>
                      <c:pt idx="123">
                        <c:v>-2.7841084495259749</c:v>
                      </c:pt>
                      <c:pt idx="124">
                        <c:v>-2.7841084495259749</c:v>
                      </c:pt>
                      <c:pt idx="125">
                        <c:v>-2.7841084495259749</c:v>
                      </c:pt>
                      <c:pt idx="126">
                        <c:v>-2.7841084495259749</c:v>
                      </c:pt>
                      <c:pt idx="127">
                        <c:v>-2.7841084495259749</c:v>
                      </c:pt>
                      <c:pt idx="128">
                        <c:v>-2.7841084495259749</c:v>
                      </c:pt>
                      <c:pt idx="129">
                        <c:v>-2.7841084495259749</c:v>
                      </c:pt>
                      <c:pt idx="130">
                        <c:v>-2.7841084495259749</c:v>
                      </c:pt>
                      <c:pt idx="131">
                        <c:v>-2.7841084495259749</c:v>
                      </c:pt>
                      <c:pt idx="132">
                        <c:v>-2.7841084495259749</c:v>
                      </c:pt>
                      <c:pt idx="133">
                        <c:v>-2.7841084495259749</c:v>
                      </c:pt>
                      <c:pt idx="134">
                        <c:v>-2.7841084495259749</c:v>
                      </c:pt>
                      <c:pt idx="135">
                        <c:v>-2.7841084495259749</c:v>
                      </c:pt>
                      <c:pt idx="136">
                        <c:v>-2.7841084495259749</c:v>
                      </c:pt>
                      <c:pt idx="137">
                        <c:v>-2.6179859771653153</c:v>
                      </c:pt>
                      <c:pt idx="138">
                        <c:v>-2.6179859771653153</c:v>
                      </c:pt>
                      <c:pt idx="139">
                        <c:v>-2.6179859771653153</c:v>
                      </c:pt>
                      <c:pt idx="140">
                        <c:v>-2.6179859771653153</c:v>
                      </c:pt>
                      <c:pt idx="141">
                        <c:v>-2.6179859771653153</c:v>
                      </c:pt>
                      <c:pt idx="142">
                        <c:v>-2.6179859771653153</c:v>
                      </c:pt>
                      <c:pt idx="143">
                        <c:v>-2.6179859771653153</c:v>
                      </c:pt>
                      <c:pt idx="144">
                        <c:v>-2.6179859771653153</c:v>
                      </c:pt>
                      <c:pt idx="145">
                        <c:v>-2.6179859771653153</c:v>
                      </c:pt>
                      <c:pt idx="146">
                        <c:v>-2.6179859771653153</c:v>
                      </c:pt>
                      <c:pt idx="147">
                        <c:v>-2.6179859771653153</c:v>
                      </c:pt>
                      <c:pt idx="148">
                        <c:v>-2.6179859771653153</c:v>
                      </c:pt>
                      <c:pt idx="149">
                        <c:v>-2.6179859771653153</c:v>
                      </c:pt>
                      <c:pt idx="150">
                        <c:v>-2.6179859771653153</c:v>
                      </c:pt>
                      <c:pt idx="151">
                        <c:v>-2.6179859771653153</c:v>
                      </c:pt>
                      <c:pt idx="152">
                        <c:v>-2.6179859771653153</c:v>
                      </c:pt>
                      <c:pt idx="153">
                        <c:v>-2.6179859771653153</c:v>
                      </c:pt>
                      <c:pt idx="154">
                        <c:v>-2.6179859771653153</c:v>
                      </c:pt>
                      <c:pt idx="155">
                        <c:v>-2.6179859771653153</c:v>
                      </c:pt>
                      <c:pt idx="156">
                        <c:v>-2.6179859771653153</c:v>
                      </c:pt>
                      <c:pt idx="157">
                        <c:v>-2.6179859771653153</c:v>
                      </c:pt>
                      <c:pt idx="158">
                        <c:v>-2.6179859771653153</c:v>
                      </c:pt>
                      <c:pt idx="159">
                        <c:v>-2.6179859771653153</c:v>
                      </c:pt>
                      <c:pt idx="160">
                        <c:v>-2.6179859771653153</c:v>
                      </c:pt>
                      <c:pt idx="161">
                        <c:v>-2.6179859771653153</c:v>
                      </c:pt>
                      <c:pt idx="162">
                        <c:v>-2.6179859771653153</c:v>
                      </c:pt>
                      <c:pt idx="163">
                        <c:v>-2.6179859771653153</c:v>
                      </c:pt>
                      <c:pt idx="164">
                        <c:v>-2.6179859771653153</c:v>
                      </c:pt>
                      <c:pt idx="165">
                        <c:v>-2.6179859771653153</c:v>
                      </c:pt>
                      <c:pt idx="166">
                        <c:v>-2.6179859771653153</c:v>
                      </c:pt>
                      <c:pt idx="167">
                        <c:v>-2.6179859771653153</c:v>
                      </c:pt>
                      <c:pt idx="168">
                        <c:v>-2.6179859771653153</c:v>
                      </c:pt>
                      <c:pt idx="169">
                        <c:v>-2.6179859771653153</c:v>
                      </c:pt>
                      <c:pt idx="170">
                        <c:v>-2.6179859771653153</c:v>
                      </c:pt>
                      <c:pt idx="171">
                        <c:v>-2.6179859771653153</c:v>
                      </c:pt>
                      <c:pt idx="172">
                        <c:v>-2.6179859771653153</c:v>
                      </c:pt>
                      <c:pt idx="173">
                        <c:v>-2.6179859771653153</c:v>
                      </c:pt>
                      <c:pt idx="174">
                        <c:v>-2.6179859771653153</c:v>
                      </c:pt>
                      <c:pt idx="175">
                        <c:v>-2.6179859771653153</c:v>
                      </c:pt>
                      <c:pt idx="176">
                        <c:v>-2.6179859771653153</c:v>
                      </c:pt>
                      <c:pt idx="177">
                        <c:v>-2.6179859771653153</c:v>
                      </c:pt>
                      <c:pt idx="178">
                        <c:v>-2.6179859771653153</c:v>
                      </c:pt>
                      <c:pt idx="179">
                        <c:v>-2.6179859771653153</c:v>
                      </c:pt>
                      <c:pt idx="180">
                        <c:v>-2.6179859771653153</c:v>
                      </c:pt>
                      <c:pt idx="181">
                        <c:v>-2.6179859771653153</c:v>
                      </c:pt>
                      <c:pt idx="182">
                        <c:v>-2.6179859771653153</c:v>
                      </c:pt>
                      <c:pt idx="183">
                        <c:v>-2.6179859771653153</c:v>
                      </c:pt>
                      <c:pt idx="184">
                        <c:v>-2.6179859771653153</c:v>
                      </c:pt>
                      <c:pt idx="185">
                        <c:v>-2.6179859771653153</c:v>
                      </c:pt>
                      <c:pt idx="186">
                        <c:v>-2.6179859771653153</c:v>
                      </c:pt>
                      <c:pt idx="187">
                        <c:v>-2.6179859771653153</c:v>
                      </c:pt>
                      <c:pt idx="188">
                        <c:v>-2.6179859771653153</c:v>
                      </c:pt>
                      <c:pt idx="189">
                        <c:v>-2.6179859771653153</c:v>
                      </c:pt>
                      <c:pt idx="190">
                        <c:v>-2.6179859771653153</c:v>
                      </c:pt>
                      <c:pt idx="191">
                        <c:v>-2.6179859771653153</c:v>
                      </c:pt>
                      <c:pt idx="192">
                        <c:v>-2.6179859771653153</c:v>
                      </c:pt>
                      <c:pt idx="193">
                        <c:v>-2.6179859771653153</c:v>
                      </c:pt>
                      <c:pt idx="194">
                        <c:v>-2.6179859771653153</c:v>
                      </c:pt>
                      <c:pt idx="195">
                        <c:v>-2.6179859771653153</c:v>
                      </c:pt>
                      <c:pt idx="196">
                        <c:v>-2.6179859771653153</c:v>
                      </c:pt>
                      <c:pt idx="197">
                        <c:v>-2.6179859771653153</c:v>
                      </c:pt>
                      <c:pt idx="198">
                        <c:v>-2.6179859771653153</c:v>
                      </c:pt>
                      <c:pt idx="199">
                        <c:v>-2.6179859771653153</c:v>
                      </c:pt>
                      <c:pt idx="200">
                        <c:v>-2.9313495519085238</c:v>
                      </c:pt>
                      <c:pt idx="201">
                        <c:v>-2.9313495519085238</c:v>
                      </c:pt>
                      <c:pt idx="202">
                        <c:v>-2.9313495519085238</c:v>
                      </c:pt>
                      <c:pt idx="203">
                        <c:v>-2.4311962030043777</c:v>
                      </c:pt>
                      <c:pt idx="204">
                        <c:v>-2.4311962030043777</c:v>
                      </c:pt>
                      <c:pt idx="205">
                        <c:v>-2.4311962030043777</c:v>
                      </c:pt>
                      <c:pt idx="206">
                        <c:v>-2.4311962030043777</c:v>
                      </c:pt>
                      <c:pt idx="207">
                        <c:v>-2.4311962030043777</c:v>
                      </c:pt>
                      <c:pt idx="208">
                        <c:v>-2.4311962030043777</c:v>
                      </c:pt>
                      <c:pt idx="209">
                        <c:v>-2.4311962030043777</c:v>
                      </c:pt>
                      <c:pt idx="210">
                        <c:v>-2.4311962030043777</c:v>
                      </c:pt>
                      <c:pt idx="211">
                        <c:v>-2.4311962030043777</c:v>
                      </c:pt>
                      <c:pt idx="212">
                        <c:v>-2.4311962030043777</c:v>
                      </c:pt>
                      <c:pt idx="213">
                        <c:v>-2.4311962030043777</c:v>
                      </c:pt>
                      <c:pt idx="214">
                        <c:v>-2.4311962030043777</c:v>
                      </c:pt>
                      <c:pt idx="215">
                        <c:v>-2.4311962030043777</c:v>
                      </c:pt>
                      <c:pt idx="216">
                        <c:v>-2.4311962030043777</c:v>
                      </c:pt>
                      <c:pt idx="217">
                        <c:v>-1.2946685655386543</c:v>
                      </c:pt>
                      <c:pt idx="218">
                        <c:v>-1.2946685655386543</c:v>
                      </c:pt>
                      <c:pt idx="219">
                        <c:v>-1.2946685655386543</c:v>
                      </c:pt>
                      <c:pt idx="220">
                        <c:v>-1.2946685655386543</c:v>
                      </c:pt>
                      <c:pt idx="221">
                        <c:v>-1.2946685655386543</c:v>
                      </c:pt>
                      <c:pt idx="222">
                        <c:v>-1.2946685655386543</c:v>
                      </c:pt>
                      <c:pt idx="223">
                        <c:v>-2.2840800066827698</c:v>
                      </c:pt>
                      <c:pt idx="224">
                        <c:v>-2.2840800066827698</c:v>
                      </c:pt>
                      <c:pt idx="225">
                        <c:v>-2.2840800066827698</c:v>
                      </c:pt>
                      <c:pt idx="226">
                        <c:v>-2.2840800066827698</c:v>
                      </c:pt>
                      <c:pt idx="227">
                        <c:v>-2.2840800066827698</c:v>
                      </c:pt>
                      <c:pt idx="228">
                        <c:v>-2.2840800066827698</c:v>
                      </c:pt>
                      <c:pt idx="229">
                        <c:v>-2.2840800066827698</c:v>
                      </c:pt>
                      <c:pt idx="230">
                        <c:v>-2.2840800066827698</c:v>
                      </c:pt>
                      <c:pt idx="231">
                        <c:v>-2.2840800066827698</c:v>
                      </c:pt>
                      <c:pt idx="232">
                        <c:v>-2.2840800066827698</c:v>
                      </c:pt>
                      <c:pt idx="233">
                        <c:v>-2.2840800066827698</c:v>
                      </c:pt>
                      <c:pt idx="234">
                        <c:v>-2.2840800066827698</c:v>
                      </c:pt>
                      <c:pt idx="235">
                        <c:v>-2.2840800066827698</c:v>
                      </c:pt>
                      <c:pt idx="236">
                        <c:v>-2.2840800066827698</c:v>
                      </c:pt>
                      <c:pt idx="237">
                        <c:v>-2.2840800066827698</c:v>
                      </c:pt>
                      <c:pt idx="238">
                        <c:v>-2.2840800066827698</c:v>
                      </c:pt>
                      <c:pt idx="239">
                        <c:v>-2.2840800066827698</c:v>
                      </c:pt>
                      <c:pt idx="240">
                        <c:v>-2.1356705084748859</c:v>
                      </c:pt>
                      <c:pt idx="241">
                        <c:v>-2.1356705084748859</c:v>
                      </c:pt>
                      <c:pt idx="242">
                        <c:v>-2.1356705084748859</c:v>
                      </c:pt>
                      <c:pt idx="243">
                        <c:v>-2.1356705084748859</c:v>
                      </c:pt>
                      <c:pt idx="244">
                        <c:v>-2.1356705084748859</c:v>
                      </c:pt>
                      <c:pt idx="245">
                        <c:v>-2.1356705084748859</c:v>
                      </c:pt>
                      <c:pt idx="246">
                        <c:v>-2.1356705084748859</c:v>
                      </c:pt>
                      <c:pt idx="247">
                        <c:v>-2.1356705084748859</c:v>
                      </c:pt>
                      <c:pt idx="248">
                        <c:v>-2.1356705084748859</c:v>
                      </c:pt>
                      <c:pt idx="249">
                        <c:v>-2.1356705084748859</c:v>
                      </c:pt>
                      <c:pt idx="250">
                        <c:v>-2.1356705084748859</c:v>
                      </c:pt>
                      <c:pt idx="251">
                        <c:v>-2.1356705084748859</c:v>
                      </c:pt>
                      <c:pt idx="252">
                        <c:v>-2.1356705084748859</c:v>
                      </c:pt>
                      <c:pt idx="253">
                        <c:v>-2.1356705084748859</c:v>
                      </c:pt>
                      <c:pt idx="254">
                        <c:v>-2.1356705084748859</c:v>
                      </c:pt>
                      <c:pt idx="255">
                        <c:v>-2.1356705084748859</c:v>
                      </c:pt>
                      <c:pt idx="256">
                        <c:v>-2.1356705084748859</c:v>
                      </c:pt>
                      <c:pt idx="257">
                        <c:v>-4.1434268306854385</c:v>
                      </c:pt>
                      <c:pt idx="258">
                        <c:v>-4.5506064883221358</c:v>
                      </c:pt>
                      <c:pt idx="259">
                        <c:v>-4.5506064883221358</c:v>
                      </c:pt>
                      <c:pt idx="260">
                        <c:v>-4.5506064883221358</c:v>
                      </c:pt>
                      <c:pt idx="261">
                        <c:v>-4.5506064883221358</c:v>
                      </c:pt>
                      <c:pt idx="262">
                        <c:v>-4.5506064883221358</c:v>
                      </c:pt>
                      <c:pt idx="263">
                        <c:v>-4.5506064883221358</c:v>
                      </c:pt>
                      <c:pt idx="264">
                        <c:v>-4.5506064883221358</c:v>
                      </c:pt>
                      <c:pt idx="265">
                        <c:v>-4.5506064883221358</c:v>
                      </c:pt>
                      <c:pt idx="266">
                        <c:v>-4.5506064883221358</c:v>
                      </c:pt>
                      <c:pt idx="267">
                        <c:v>-4.5506064883221358</c:v>
                      </c:pt>
                      <c:pt idx="268">
                        <c:v>-4.5506064883221358</c:v>
                      </c:pt>
                      <c:pt idx="269">
                        <c:v>-4.5506064883221358</c:v>
                      </c:pt>
                      <c:pt idx="270">
                        <c:v>-4.5506064883221358</c:v>
                      </c:pt>
                      <c:pt idx="271">
                        <c:v>-4.5506064883221358</c:v>
                      </c:pt>
                      <c:pt idx="272">
                        <c:v>-4.5506064883221358</c:v>
                      </c:pt>
                      <c:pt idx="273">
                        <c:v>-5.7912751024084725</c:v>
                      </c:pt>
                      <c:pt idx="274">
                        <c:v>-5.7912751024084725</c:v>
                      </c:pt>
                      <c:pt idx="275">
                        <c:v>-5.7912751024084725</c:v>
                      </c:pt>
                      <c:pt idx="276">
                        <c:v>-5.7912751024084725</c:v>
                      </c:pt>
                      <c:pt idx="277">
                        <c:v>-5.6877420365355587</c:v>
                      </c:pt>
                      <c:pt idx="278">
                        <c:v>-5.6877420365355587</c:v>
                      </c:pt>
                      <c:pt idx="279">
                        <c:v>-5.6877420365355587</c:v>
                      </c:pt>
                      <c:pt idx="280">
                        <c:v>-5.6877420365355587</c:v>
                      </c:pt>
                      <c:pt idx="281">
                        <c:v>-5.6877420365355587</c:v>
                      </c:pt>
                      <c:pt idx="282">
                        <c:v>-5.6877420365355587</c:v>
                      </c:pt>
                      <c:pt idx="283">
                        <c:v>-5.6877420365355587</c:v>
                      </c:pt>
                      <c:pt idx="284">
                        <c:v>-5.6877420365355587</c:v>
                      </c:pt>
                      <c:pt idx="285">
                        <c:v>-5.6877420365355587</c:v>
                      </c:pt>
                      <c:pt idx="286">
                        <c:v>-5.6877420365355587</c:v>
                      </c:pt>
                      <c:pt idx="287">
                        <c:v>-5.6877420365355587</c:v>
                      </c:pt>
                      <c:pt idx="288">
                        <c:v>-5.6877420365355587</c:v>
                      </c:pt>
                      <c:pt idx="289">
                        <c:v>-5.6877420365355587</c:v>
                      </c:pt>
                      <c:pt idx="290">
                        <c:v>-5.511335475712829</c:v>
                      </c:pt>
                      <c:pt idx="291">
                        <c:v>-5.511335475712829</c:v>
                      </c:pt>
                      <c:pt idx="292">
                        <c:v>-5.511335475712829</c:v>
                      </c:pt>
                      <c:pt idx="293">
                        <c:v>-5.511335475712829</c:v>
                      </c:pt>
                      <c:pt idx="294">
                        <c:v>-5.511335475712829</c:v>
                      </c:pt>
                      <c:pt idx="295">
                        <c:v>-5.9346528860976973</c:v>
                      </c:pt>
                      <c:pt idx="296">
                        <c:v>-5.9346528860976973</c:v>
                      </c:pt>
                      <c:pt idx="297">
                        <c:v>-5.1454778233419471</c:v>
                      </c:pt>
                      <c:pt idx="298">
                        <c:v>-5.1454778233419471</c:v>
                      </c:pt>
                      <c:pt idx="299">
                        <c:v>-5.1454778233419471</c:v>
                      </c:pt>
                      <c:pt idx="300">
                        <c:v>-5.1454778233419471</c:v>
                      </c:pt>
                      <c:pt idx="301">
                        <c:v>-5.1454778233419471</c:v>
                      </c:pt>
                      <c:pt idx="302">
                        <c:v>-5.1454778233419471</c:v>
                      </c:pt>
                      <c:pt idx="303">
                        <c:v>-5.1454778233419471</c:v>
                      </c:pt>
                      <c:pt idx="304">
                        <c:v>-6.5479016114478972</c:v>
                      </c:pt>
                      <c:pt idx="305">
                        <c:v>-6.5479016114478972</c:v>
                      </c:pt>
                      <c:pt idx="306">
                        <c:v>-6.5479016114478972</c:v>
                      </c:pt>
                      <c:pt idx="307">
                        <c:v>-6.5479016114478972</c:v>
                      </c:pt>
                      <c:pt idx="308">
                        <c:v>-6.5479016114478972</c:v>
                      </c:pt>
                      <c:pt idx="309">
                        <c:v>-5.8627725187030535</c:v>
                      </c:pt>
                      <c:pt idx="310">
                        <c:v>-5.8627725187030535</c:v>
                      </c:pt>
                      <c:pt idx="311">
                        <c:v>-5.8627725187030535</c:v>
                      </c:pt>
                      <c:pt idx="312">
                        <c:v>-5.8627725187030535</c:v>
                      </c:pt>
                      <c:pt idx="313">
                        <c:v>-5.240698940107734</c:v>
                      </c:pt>
                      <c:pt idx="314">
                        <c:v>-5.240698940107734</c:v>
                      </c:pt>
                      <c:pt idx="315">
                        <c:v>-5.240698940107734</c:v>
                      </c:pt>
                      <c:pt idx="316">
                        <c:v>-5.1631907908864365</c:v>
                      </c:pt>
                      <c:pt idx="317">
                        <c:v>-5.1272933549890007</c:v>
                      </c:pt>
                      <c:pt idx="318">
                        <c:v>-5.1272933549890007</c:v>
                      </c:pt>
                      <c:pt idx="319">
                        <c:v>-5.1272933549890007</c:v>
                      </c:pt>
                      <c:pt idx="320">
                        <c:v>-5.1272933549890007</c:v>
                      </c:pt>
                      <c:pt idx="321">
                        <c:v>-5.1272933549890007</c:v>
                      </c:pt>
                      <c:pt idx="322">
                        <c:v>-5.1272933549890007</c:v>
                      </c:pt>
                      <c:pt idx="323">
                        <c:v>-5.1272933549890007</c:v>
                      </c:pt>
                      <c:pt idx="324">
                        <c:v>-5.1272933549890007</c:v>
                      </c:pt>
                      <c:pt idx="325">
                        <c:v>-5.1272933549890007</c:v>
                      </c:pt>
                      <c:pt idx="326">
                        <c:v>-5.1272933549890007</c:v>
                      </c:pt>
                      <c:pt idx="327">
                        <c:v>-5.1272933549890007</c:v>
                      </c:pt>
                      <c:pt idx="328">
                        <c:v>-5.1272933549890007</c:v>
                      </c:pt>
                      <c:pt idx="329">
                        <c:v>-3.7951220402479615</c:v>
                      </c:pt>
                      <c:pt idx="330">
                        <c:v>-3.7951220402479615</c:v>
                      </c:pt>
                      <c:pt idx="331">
                        <c:v>-3.7951220402479615</c:v>
                      </c:pt>
                      <c:pt idx="332">
                        <c:v>-3.7951220402479615</c:v>
                      </c:pt>
                      <c:pt idx="333">
                        <c:v>-3.7951220402479615</c:v>
                      </c:pt>
                      <c:pt idx="334">
                        <c:v>-2.9487678735812919</c:v>
                      </c:pt>
                      <c:pt idx="335">
                        <c:v>-2.9487678735812919</c:v>
                      </c:pt>
                      <c:pt idx="336">
                        <c:v>-2.9487678735812919</c:v>
                      </c:pt>
                      <c:pt idx="337">
                        <c:v>-2.9487678735812919</c:v>
                      </c:pt>
                      <c:pt idx="338">
                        <c:v>-3.3504780110235459</c:v>
                      </c:pt>
                      <c:pt idx="339">
                        <c:v>-3.3504780110235459</c:v>
                      </c:pt>
                      <c:pt idx="340">
                        <c:v>-3.3504780110235459</c:v>
                      </c:pt>
                      <c:pt idx="341">
                        <c:v>-3.309636123583787</c:v>
                      </c:pt>
                      <c:pt idx="342">
                        <c:v>-3.309636123583787</c:v>
                      </c:pt>
                      <c:pt idx="343">
                        <c:v>-3.309636123583787</c:v>
                      </c:pt>
                      <c:pt idx="344">
                        <c:v>-3.309636123583787</c:v>
                      </c:pt>
                      <c:pt idx="345">
                        <c:v>-4.4425718153430083</c:v>
                      </c:pt>
                      <c:pt idx="346">
                        <c:v>-4.4425718153430083</c:v>
                      </c:pt>
                      <c:pt idx="347">
                        <c:v>-4.4425718153430083</c:v>
                      </c:pt>
                      <c:pt idx="348">
                        <c:v>-4.4425718153430083</c:v>
                      </c:pt>
                      <c:pt idx="349">
                        <c:v>-4.9243030834079331</c:v>
                      </c:pt>
                      <c:pt idx="350">
                        <c:v>-4.9243030834079331</c:v>
                      </c:pt>
                      <c:pt idx="351">
                        <c:v>-4.9243030834079331</c:v>
                      </c:pt>
                      <c:pt idx="352">
                        <c:v>-4.9243030834079331</c:v>
                      </c:pt>
                      <c:pt idx="353">
                        <c:v>-4.7088802704971684</c:v>
                      </c:pt>
                      <c:pt idx="354">
                        <c:v>-4.9259015470929119</c:v>
                      </c:pt>
                      <c:pt idx="355">
                        <c:v>-4.9259015470929119</c:v>
                      </c:pt>
                      <c:pt idx="356">
                        <c:v>-4.9259015470929119</c:v>
                      </c:pt>
                      <c:pt idx="357">
                        <c:v>-4.9259015470929119</c:v>
                      </c:pt>
                      <c:pt idx="358">
                        <c:v>-3.5731908710378439</c:v>
                      </c:pt>
                      <c:pt idx="359">
                        <c:v>-5.2141323050827273</c:v>
                      </c:pt>
                      <c:pt idx="360">
                        <c:v>-5.2141323050827273</c:v>
                      </c:pt>
                      <c:pt idx="361">
                        <c:v>-5.2141323050827273</c:v>
                      </c:pt>
                      <c:pt idx="362">
                        <c:v>-5.2141323050827273</c:v>
                      </c:pt>
                      <c:pt idx="363">
                        <c:v>-7.9060313754678537</c:v>
                      </c:pt>
                      <c:pt idx="364">
                        <c:v>-7.9060313754678537</c:v>
                      </c:pt>
                      <c:pt idx="365">
                        <c:v>-7.9060313754678537</c:v>
                      </c:pt>
                      <c:pt idx="366">
                        <c:v>-7.9060313754678537</c:v>
                      </c:pt>
                      <c:pt idx="367">
                        <c:v>-7.9060313754678537</c:v>
                      </c:pt>
                      <c:pt idx="368">
                        <c:v>-7.9060313754678537</c:v>
                      </c:pt>
                      <c:pt idx="369">
                        <c:v>-7.9060313754678537</c:v>
                      </c:pt>
                      <c:pt idx="370">
                        <c:v>-8.5442123483768615</c:v>
                      </c:pt>
                      <c:pt idx="371">
                        <c:v>-8.5442123483768615</c:v>
                      </c:pt>
                      <c:pt idx="372">
                        <c:v>-8.5442123483768615</c:v>
                      </c:pt>
                      <c:pt idx="373">
                        <c:v>-8.5442123483768615</c:v>
                      </c:pt>
                      <c:pt idx="374">
                        <c:v>-8.5442123483768615</c:v>
                      </c:pt>
                      <c:pt idx="375">
                        <c:v>-8.5442123483768615</c:v>
                      </c:pt>
                      <c:pt idx="376">
                        <c:v>-8.5442123483768615</c:v>
                      </c:pt>
                      <c:pt idx="377">
                        <c:v>-8.5442123483768615</c:v>
                      </c:pt>
                      <c:pt idx="378">
                        <c:v>-8.5442123483768615</c:v>
                      </c:pt>
                      <c:pt idx="379">
                        <c:v>-8.5442123483768615</c:v>
                      </c:pt>
                      <c:pt idx="380">
                        <c:v>-8.5442123483768615</c:v>
                      </c:pt>
                      <c:pt idx="381">
                        <c:v>-8.5442123483768615</c:v>
                      </c:pt>
                      <c:pt idx="382">
                        <c:v>-8.5442123483768615</c:v>
                      </c:pt>
                      <c:pt idx="383">
                        <c:v>-8.5442123483768615</c:v>
                      </c:pt>
                      <c:pt idx="384">
                        <c:v>-8.5442123483768615</c:v>
                      </c:pt>
                      <c:pt idx="385">
                        <c:v>-8.5442123483768615</c:v>
                      </c:pt>
                      <c:pt idx="386">
                        <c:v>-8.5442123483768615</c:v>
                      </c:pt>
                      <c:pt idx="387">
                        <c:v>-6.912125480735857</c:v>
                      </c:pt>
                      <c:pt idx="388">
                        <c:v>-10.275273960163407</c:v>
                      </c:pt>
                      <c:pt idx="389">
                        <c:v>-9.7558140398667987</c:v>
                      </c:pt>
                      <c:pt idx="390">
                        <c:v>-9.7558140398667987</c:v>
                      </c:pt>
                      <c:pt idx="391">
                        <c:v>-9.7558140398667987</c:v>
                      </c:pt>
                      <c:pt idx="392">
                        <c:v>-7.1143952206153163</c:v>
                      </c:pt>
                      <c:pt idx="393">
                        <c:v>-7.1143952206153163</c:v>
                      </c:pt>
                      <c:pt idx="394">
                        <c:v>-7.1143952206153163</c:v>
                      </c:pt>
                      <c:pt idx="395">
                        <c:v>-7.1143952206153163</c:v>
                      </c:pt>
                      <c:pt idx="396">
                        <c:v>-8.0760123742285401</c:v>
                      </c:pt>
                      <c:pt idx="397">
                        <c:v>-8.0760123742285401</c:v>
                      </c:pt>
                      <c:pt idx="398">
                        <c:v>-5.5146654281422087</c:v>
                      </c:pt>
                      <c:pt idx="399">
                        <c:v>-6.9104470658593282</c:v>
                      </c:pt>
                      <c:pt idx="400">
                        <c:v>-6.9104470658593282</c:v>
                      </c:pt>
                      <c:pt idx="401">
                        <c:v>-6.9104470658593282</c:v>
                      </c:pt>
                      <c:pt idx="402">
                        <c:v>-6.9104470658593282</c:v>
                      </c:pt>
                      <c:pt idx="403">
                        <c:v>-7.7440048185876265</c:v>
                      </c:pt>
                      <c:pt idx="404">
                        <c:v>-7.7440048185876265</c:v>
                      </c:pt>
                      <c:pt idx="405">
                        <c:v>-8.0895298480836644</c:v>
                      </c:pt>
                      <c:pt idx="406">
                        <c:v>-8.0895298480836644</c:v>
                      </c:pt>
                      <c:pt idx="407">
                        <c:v>-9.9203517160315435</c:v>
                      </c:pt>
                      <c:pt idx="408">
                        <c:v>-7.7016572306401514</c:v>
                      </c:pt>
                      <c:pt idx="409">
                        <c:v>-7.7016572306401514</c:v>
                      </c:pt>
                      <c:pt idx="410">
                        <c:v>-7.7016572306401514</c:v>
                      </c:pt>
                      <c:pt idx="411">
                        <c:v>-6.2204420258324236</c:v>
                      </c:pt>
                      <c:pt idx="412">
                        <c:v>-5.9937304657875314</c:v>
                      </c:pt>
                      <c:pt idx="413">
                        <c:v>-5.9937304657875314</c:v>
                      </c:pt>
                      <c:pt idx="414">
                        <c:v>-5.9937304657875314</c:v>
                      </c:pt>
                      <c:pt idx="415">
                        <c:v>-5.9937304657875314</c:v>
                      </c:pt>
                      <c:pt idx="416">
                        <c:v>-6.1574501776408388</c:v>
                      </c:pt>
                      <c:pt idx="417">
                        <c:v>-6.1574501776408388</c:v>
                      </c:pt>
                      <c:pt idx="418">
                        <c:v>-6.1574501776408388</c:v>
                      </c:pt>
                    </c:numCache>
                  </c:numRef>
                </c:val>
                <c:smooth val="1"/>
                <c:extLst>
                  <c:ext xmlns:c16="http://schemas.microsoft.com/office/drawing/2014/chart" uri="{C3380CC4-5D6E-409C-BE32-E72D297353CC}">
                    <c16:uniqueId val="{00000003-A9EF-47C0-896E-1A1AEE0E0DC8}"/>
                  </c:ext>
                </c:extLst>
              </c15:ser>
            </c15:filteredLineSeries>
            <c15:filteredLineSeries>
              <c15:ser>
                <c:idx val="6"/>
                <c:order val="5"/>
                <c:tx>
                  <c:v>Dwn (MOC)</c:v>
                </c:tx>
                <c:spPr>
                  <a:ln w="19050" cap="rnd">
                    <a:solidFill>
                      <a:schemeClr val="accent2">
                        <a:lumMod val="60000"/>
                        <a:lumOff val="40000"/>
                      </a:schemeClr>
                    </a:solidFill>
                    <a:prstDash val="sysDash"/>
                    <a:round/>
                  </a:ln>
                  <a:effectLst/>
                </c:spPr>
                <c:marker>
                  <c:symbol val="none"/>
                </c:marker>
                <c:val>
                  <c:numRef>
                    <c:extLst xmlns:c15="http://schemas.microsoft.com/office/drawing/2012/chart">
                      <c:ext xmlns:c15="http://schemas.microsoft.com/office/drawing/2012/chart" uri="{02D57815-91ED-43cb-92C2-25804820EDAC}">
                        <c15:formulaRef>
                          <c15:sqref>'2025-Q2'!$AT$4:$AT$422</c15:sqref>
                        </c15:formulaRef>
                      </c:ext>
                    </c:extLst>
                    <c:numCache>
                      <c:formatCode>0.0</c:formatCode>
                      <c:ptCount val="419"/>
                      <c:pt idx="0">
                        <c:v>-3.9437012263099192</c:v>
                      </c:pt>
                      <c:pt idx="1">
                        <c:v>-4.0663838871605176</c:v>
                      </c:pt>
                      <c:pt idx="2">
                        <c:v>-4.0663838871605176</c:v>
                      </c:pt>
                      <c:pt idx="3">
                        <c:v>-4.0663838871605176</c:v>
                      </c:pt>
                      <c:pt idx="4">
                        <c:v>-4.0663838871605176</c:v>
                      </c:pt>
                      <c:pt idx="5">
                        <c:v>-4.0663838871605176</c:v>
                      </c:pt>
                      <c:pt idx="6">
                        <c:v>-4.0663838871605176</c:v>
                      </c:pt>
                      <c:pt idx="7">
                        <c:v>-4.0663838871605176</c:v>
                      </c:pt>
                      <c:pt idx="8">
                        <c:v>-4.0663838871605176</c:v>
                      </c:pt>
                      <c:pt idx="9">
                        <c:v>-4.1244191303809492</c:v>
                      </c:pt>
                      <c:pt idx="10">
                        <c:v>-4.1244191303809492</c:v>
                      </c:pt>
                      <c:pt idx="11">
                        <c:v>-4.1244191303809492</c:v>
                      </c:pt>
                      <c:pt idx="12">
                        <c:v>-4.1319305047478476</c:v>
                      </c:pt>
                      <c:pt idx="13">
                        <c:v>-4.1319305047478476</c:v>
                      </c:pt>
                      <c:pt idx="14">
                        <c:v>-2.8514923432498049</c:v>
                      </c:pt>
                      <c:pt idx="15">
                        <c:v>-2.8514923432498049</c:v>
                      </c:pt>
                      <c:pt idx="16">
                        <c:v>-1.638858389499098</c:v>
                      </c:pt>
                      <c:pt idx="17">
                        <c:v>-1.2893890651397892</c:v>
                      </c:pt>
                      <c:pt idx="18">
                        <c:v>-1.2893890651397892</c:v>
                      </c:pt>
                      <c:pt idx="19">
                        <c:v>-1.2893890651397892</c:v>
                      </c:pt>
                      <c:pt idx="20">
                        <c:v>-1.2893890651397892</c:v>
                      </c:pt>
                      <c:pt idx="21">
                        <c:v>-1.2893890651397892</c:v>
                      </c:pt>
                      <c:pt idx="22">
                        <c:v>-1.490485957278725</c:v>
                      </c:pt>
                      <c:pt idx="23">
                        <c:v>-1.490485957278725</c:v>
                      </c:pt>
                      <c:pt idx="24">
                        <c:v>-1.490485957278725</c:v>
                      </c:pt>
                      <c:pt idx="25">
                        <c:v>-1.490485957278725</c:v>
                      </c:pt>
                      <c:pt idx="26">
                        <c:v>-1.4441896609824287</c:v>
                      </c:pt>
                      <c:pt idx="27">
                        <c:v>-1.9465759960741142</c:v>
                      </c:pt>
                      <c:pt idx="28">
                        <c:v>-2.0682939581676614</c:v>
                      </c:pt>
                      <c:pt idx="29">
                        <c:v>-2.0682939581676614</c:v>
                      </c:pt>
                      <c:pt idx="30">
                        <c:v>-2.5943560079663102</c:v>
                      </c:pt>
                      <c:pt idx="31">
                        <c:v>-2.4732319769585582</c:v>
                      </c:pt>
                      <c:pt idx="32">
                        <c:v>-2.7101426616304369</c:v>
                      </c:pt>
                      <c:pt idx="33">
                        <c:v>-2.7101426616304369</c:v>
                      </c:pt>
                      <c:pt idx="34">
                        <c:v>-2.7101426616304369</c:v>
                      </c:pt>
                      <c:pt idx="35">
                        <c:v>-2.7101426616304369</c:v>
                      </c:pt>
                      <c:pt idx="36">
                        <c:v>-2.84025035473086</c:v>
                      </c:pt>
                      <c:pt idx="37">
                        <c:v>-2.84025035473086</c:v>
                      </c:pt>
                      <c:pt idx="38">
                        <c:v>-2.84025035473086</c:v>
                      </c:pt>
                      <c:pt idx="39">
                        <c:v>-2.84025035473086</c:v>
                      </c:pt>
                      <c:pt idx="40">
                        <c:v>-5.1464420032050118</c:v>
                      </c:pt>
                      <c:pt idx="41">
                        <c:v>-5.6129655827674068</c:v>
                      </c:pt>
                      <c:pt idx="42">
                        <c:v>-4.6853500109912494</c:v>
                      </c:pt>
                      <c:pt idx="43">
                        <c:v>-4.6853500109912494</c:v>
                      </c:pt>
                      <c:pt idx="44">
                        <c:v>-4.6853500109912494</c:v>
                      </c:pt>
                      <c:pt idx="45">
                        <c:v>-4.6853500109912494</c:v>
                      </c:pt>
                      <c:pt idx="46">
                        <c:v>-5.3260290767351934</c:v>
                      </c:pt>
                      <c:pt idx="47">
                        <c:v>-5.3260290767351934</c:v>
                      </c:pt>
                      <c:pt idx="48">
                        <c:v>-6.7186471270699215</c:v>
                      </c:pt>
                      <c:pt idx="49">
                        <c:v>-6.7186471270699215</c:v>
                      </c:pt>
                      <c:pt idx="50">
                        <c:v>-6.7186471270699215</c:v>
                      </c:pt>
                      <c:pt idx="51">
                        <c:v>-6.7186471270699215</c:v>
                      </c:pt>
                      <c:pt idx="52">
                        <c:v>-8.2552901530746503</c:v>
                      </c:pt>
                      <c:pt idx="53">
                        <c:v>-8.2552901530746503</c:v>
                      </c:pt>
                      <c:pt idx="54">
                        <c:v>-8.2552901530746503</c:v>
                      </c:pt>
                      <c:pt idx="55">
                        <c:v>-8.1006214837616302</c:v>
                      </c:pt>
                      <c:pt idx="56">
                        <c:v>-8.1006214837616302</c:v>
                      </c:pt>
                      <c:pt idx="57">
                        <c:v>-5.5084448039937079</c:v>
                      </c:pt>
                      <c:pt idx="58">
                        <c:v>-5.5084448039937079</c:v>
                      </c:pt>
                      <c:pt idx="59">
                        <c:v>-5.5084448039937079</c:v>
                      </c:pt>
                      <c:pt idx="60">
                        <c:v>-5.5084448039937079</c:v>
                      </c:pt>
                      <c:pt idx="61">
                        <c:v>-5.5084448039937079</c:v>
                      </c:pt>
                      <c:pt idx="62">
                        <c:v>-5.5084448039937079</c:v>
                      </c:pt>
                      <c:pt idx="63">
                        <c:v>-5.5084448039937079</c:v>
                      </c:pt>
                      <c:pt idx="64">
                        <c:v>-5.5084448039937079</c:v>
                      </c:pt>
                      <c:pt idx="65">
                        <c:v>-5.5084448039937079</c:v>
                      </c:pt>
                      <c:pt idx="66">
                        <c:v>-5.6561720767209787</c:v>
                      </c:pt>
                      <c:pt idx="67">
                        <c:v>-5.5377077425365409</c:v>
                      </c:pt>
                      <c:pt idx="68">
                        <c:v>-5.1010931264332777</c:v>
                      </c:pt>
                      <c:pt idx="69">
                        <c:v>-5.1010931264332777</c:v>
                      </c:pt>
                      <c:pt idx="70">
                        <c:v>-4.5286258194714231</c:v>
                      </c:pt>
                      <c:pt idx="71">
                        <c:v>-4.5286258194714231</c:v>
                      </c:pt>
                      <c:pt idx="72">
                        <c:v>-4.5286258194714231</c:v>
                      </c:pt>
                      <c:pt idx="73">
                        <c:v>-4.5286258194714231</c:v>
                      </c:pt>
                      <c:pt idx="74">
                        <c:v>-4.5286258194714231</c:v>
                      </c:pt>
                      <c:pt idx="75">
                        <c:v>-4.5286258194714231</c:v>
                      </c:pt>
                      <c:pt idx="76">
                        <c:v>-4.5286258194714231</c:v>
                      </c:pt>
                      <c:pt idx="77">
                        <c:v>-4.5286258194714231</c:v>
                      </c:pt>
                      <c:pt idx="78">
                        <c:v>-4.5286258194714231</c:v>
                      </c:pt>
                      <c:pt idx="79">
                        <c:v>-5.6096806963378167</c:v>
                      </c:pt>
                      <c:pt idx="80">
                        <c:v>-5.6096806963378167</c:v>
                      </c:pt>
                      <c:pt idx="81">
                        <c:v>-6.7143263581790498</c:v>
                      </c:pt>
                      <c:pt idx="82">
                        <c:v>-7.7558369231423363</c:v>
                      </c:pt>
                      <c:pt idx="83">
                        <c:v>-7.7558369231423363</c:v>
                      </c:pt>
                      <c:pt idx="84">
                        <c:v>-7.7558369231423363</c:v>
                      </c:pt>
                      <c:pt idx="85">
                        <c:v>-8.9114682578018058</c:v>
                      </c:pt>
                      <c:pt idx="86">
                        <c:v>-8.9114682578018058</c:v>
                      </c:pt>
                      <c:pt idx="87">
                        <c:v>-9.3392703615815655</c:v>
                      </c:pt>
                      <c:pt idx="88">
                        <c:v>-9.0109116998895704</c:v>
                      </c:pt>
                      <c:pt idx="89">
                        <c:v>-9.0109116998895704</c:v>
                      </c:pt>
                      <c:pt idx="90">
                        <c:v>-8.3920160418294216</c:v>
                      </c:pt>
                      <c:pt idx="91">
                        <c:v>-8.2260771772006009</c:v>
                      </c:pt>
                      <c:pt idx="92">
                        <c:v>-8.6628587863960043</c:v>
                      </c:pt>
                      <c:pt idx="93">
                        <c:v>-8.6628587863960043</c:v>
                      </c:pt>
                      <c:pt idx="94">
                        <c:v>-8.6628587863960043</c:v>
                      </c:pt>
                      <c:pt idx="95">
                        <c:v>-8.8956925853969384</c:v>
                      </c:pt>
                      <c:pt idx="96">
                        <c:v>-8.0814557420584521</c:v>
                      </c:pt>
                      <c:pt idx="97">
                        <c:v>-8.1364045709615365</c:v>
                      </c:pt>
                      <c:pt idx="98">
                        <c:v>-8.8936645403932442</c:v>
                      </c:pt>
                      <c:pt idx="99">
                        <c:v>-8.8936645403932442</c:v>
                      </c:pt>
                      <c:pt idx="100">
                        <c:v>-11.322968013538054</c:v>
                      </c:pt>
                      <c:pt idx="101">
                        <c:v>-11.322968013538054</c:v>
                      </c:pt>
                      <c:pt idx="102">
                        <c:v>-11.322968013538054</c:v>
                      </c:pt>
                      <c:pt idx="103">
                        <c:v>-11.322968013538054</c:v>
                      </c:pt>
                      <c:pt idx="104">
                        <c:v>-11.322968013538054</c:v>
                      </c:pt>
                      <c:pt idx="105">
                        <c:v>-10.295994492132461</c:v>
                      </c:pt>
                      <c:pt idx="106">
                        <c:v>-10.295994492132461</c:v>
                      </c:pt>
                      <c:pt idx="107">
                        <c:v>-10.295994492132461</c:v>
                      </c:pt>
                      <c:pt idx="108">
                        <c:v>-10.295994492132461</c:v>
                      </c:pt>
                      <c:pt idx="109">
                        <c:v>-10.295994492132461</c:v>
                      </c:pt>
                      <c:pt idx="110">
                        <c:v>-10.100365138186476</c:v>
                      </c:pt>
                      <c:pt idx="111">
                        <c:v>-9.9857410098074517</c:v>
                      </c:pt>
                      <c:pt idx="112">
                        <c:v>-9.9857410098074517</c:v>
                      </c:pt>
                      <c:pt idx="113">
                        <c:v>-9.9857410098074517</c:v>
                      </c:pt>
                      <c:pt idx="114">
                        <c:v>-9.9857410098074517</c:v>
                      </c:pt>
                      <c:pt idx="115">
                        <c:v>-9.9857410098074517</c:v>
                      </c:pt>
                      <c:pt idx="116">
                        <c:v>-10.039186860721655</c:v>
                      </c:pt>
                      <c:pt idx="117">
                        <c:v>-9.6183443078994078</c:v>
                      </c:pt>
                      <c:pt idx="118">
                        <c:v>-9.6183443078994078</c:v>
                      </c:pt>
                      <c:pt idx="119">
                        <c:v>-9.6183443078994078</c:v>
                      </c:pt>
                      <c:pt idx="120">
                        <c:v>-9.93289064629408</c:v>
                      </c:pt>
                      <c:pt idx="121">
                        <c:v>-9.93289064629408</c:v>
                      </c:pt>
                      <c:pt idx="122">
                        <c:v>-9.93289064629408</c:v>
                      </c:pt>
                      <c:pt idx="123">
                        <c:v>-9.93289064629408</c:v>
                      </c:pt>
                      <c:pt idx="124">
                        <c:v>-8.7761438056907366</c:v>
                      </c:pt>
                      <c:pt idx="125">
                        <c:v>-8.7761438056907366</c:v>
                      </c:pt>
                      <c:pt idx="126">
                        <c:v>-8.7761438056907366</c:v>
                      </c:pt>
                      <c:pt idx="127">
                        <c:v>-9.5753611446431748</c:v>
                      </c:pt>
                      <c:pt idx="128">
                        <c:v>-9.5753611446431748</c:v>
                      </c:pt>
                      <c:pt idx="129">
                        <c:v>-10.151670705207133</c:v>
                      </c:pt>
                      <c:pt idx="130">
                        <c:v>-10.151670705207133</c:v>
                      </c:pt>
                      <c:pt idx="131">
                        <c:v>-10.582444429053014</c:v>
                      </c:pt>
                      <c:pt idx="132">
                        <c:v>-10.582444429053014</c:v>
                      </c:pt>
                      <c:pt idx="133">
                        <c:v>-10.265553222331299</c:v>
                      </c:pt>
                      <c:pt idx="134">
                        <c:v>-10.222951688676085</c:v>
                      </c:pt>
                      <c:pt idx="135">
                        <c:v>-10.359006110444792</c:v>
                      </c:pt>
                      <c:pt idx="136">
                        <c:v>-10.297207778999741</c:v>
                      </c:pt>
                      <c:pt idx="137">
                        <c:v>-10.297207778999741</c:v>
                      </c:pt>
                      <c:pt idx="138">
                        <c:v>-10.832276470250644</c:v>
                      </c:pt>
                      <c:pt idx="139">
                        <c:v>-10.313065670666012</c:v>
                      </c:pt>
                      <c:pt idx="140">
                        <c:v>-10.313065670666012</c:v>
                      </c:pt>
                      <c:pt idx="141">
                        <c:v>-10.862508557890767</c:v>
                      </c:pt>
                      <c:pt idx="142">
                        <c:v>-11.722229011845069</c:v>
                      </c:pt>
                      <c:pt idx="143">
                        <c:v>-12.07902350848247</c:v>
                      </c:pt>
                      <c:pt idx="144">
                        <c:v>-12.113733678562305</c:v>
                      </c:pt>
                      <c:pt idx="145">
                        <c:v>-10.969172458861117</c:v>
                      </c:pt>
                      <c:pt idx="146">
                        <c:v>-11.357371216625092</c:v>
                      </c:pt>
                      <c:pt idx="147">
                        <c:v>-12.256902762523628</c:v>
                      </c:pt>
                      <c:pt idx="148">
                        <c:v>-12.256902762523628</c:v>
                      </c:pt>
                      <c:pt idx="149">
                        <c:v>-12.256902762523628</c:v>
                      </c:pt>
                      <c:pt idx="150">
                        <c:v>-12.256902762523628</c:v>
                      </c:pt>
                      <c:pt idx="151">
                        <c:v>-12.256902762523628</c:v>
                      </c:pt>
                      <c:pt idx="152">
                        <c:v>-10.185028908471558</c:v>
                      </c:pt>
                      <c:pt idx="153">
                        <c:v>-10.185028908471558</c:v>
                      </c:pt>
                      <c:pt idx="154">
                        <c:v>-10.185028908471558</c:v>
                      </c:pt>
                      <c:pt idx="155">
                        <c:v>-10.185028908471558</c:v>
                      </c:pt>
                      <c:pt idx="156">
                        <c:v>-8.7981640488582276</c:v>
                      </c:pt>
                      <c:pt idx="157">
                        <c:v>-8.7981640488582276</c:v>
                      </c:pt>
                      <c:pt idx="158">
                        <c:v>-8.7981640488582276</c:v>
                      </c:pt>
                      <c:pt idx="159">
                        <c:v>-8.7981640488582276</c:v>
                      </c:pt>
                      <c:pt idx="160">
                        <c:v>-8.7981640488582276</c:v>
                      </c:pt>
                      <c:pt idx="161">
                        <c:v>-8.7981640488582276</c:v>
                      </c:pt>
                      <c:pt idx="162">
                        <c:v>-8.3593028245737369</c:v>
                      </c:pt>
                      <c:pt idx="163">
                        <c:v>-9.6886972115752155</c:v>
                      </c:pt>
                      <c:pt idx="164">
                        <c:v>-9.6886972115752155</c:v>
                      </c:pt>
                      <c:pt idx="165">
                        <c:v>-9.6886972115752155</c:v>
                      </c:pt>
                      <c:pt idx="166">
                        <c:v>-9.6886972115752155</c:v>
                      </c:pt>
                      <c:pt idx="167">
                        <c:v>-9.6886972115752155</c:v>
                      </c:pt>
                      <c:pt idx="168">
                        <c:v>-9.0063541504792664</c:v>
                      </c:pt>
                      <c:pt idx="169">
                        <c:v>-9.0063541504792664</c:v>
                      </c:pt>
                      <c:pt idx="170">
                        <c:v>-9.1741393853785969</c:v>
                      </c:pt>
                      <c:pt idx="171">
                        <c:v>-9.1741393853785969</c:v>
                      </c:pt>
                      <c:pt idx="172">
                        <c:v>-8.8367794985573997</c:v>
                      </c:pt>
                      <c:pt idx="173">
                        <c:v>-8.8367794985573997</c:v>
                      </c:pt>
                      <c:pt idx="174">
                        <c:v>-7.5421880140924991</c:v>
                      </c:pt>
                      <c:pt idx="175">
                        <c:v>-7.5421880140924991</c:v>
                      </c:pt>
                      <c:pt idx="176">
                        <c:v>-7.3831642254318695</c:v>
                      </c:pt>
                      <c:pt idx="177">
                        <c:v>-7.3831642254318695</c:v>
                      </c:pt>
                      <c:pt idx="178">
                        <c:v>-7.5811766292277332</c:v>
                      </c:pt>
                      <c:pt idx="179">
                        <c:v>-6.2015646699402005</c:v>
                      </c:pt>
                      <c:pt idx="180">
                        <c:v>-6.2015646699402005</c:v>
                      </c:pt>
                      <c:pt idx="181">
                        <c:v>-6.2015646699402005</c:v>
                      </c:pt>
                      <c:pt idx="182">
                        <c:v>-6.2015646699402005</c:v>
                      </c:pt>
                      <c:pt idx="183">
                        <c:v>-6.2015646699402005</c:v>
                      </c:pt>
                      <c:pt idx="184">
                        <c:v>-6.5323975224118271</c:v>
                      </c:pt>
                      <c:pt idx="185">
                        <c:v>-6.2145335681842333</c:v>
                      </c:pt>
                      <c:pt idx="186">
                        <c:v>-6.3391304605911518</c:v>
                      </c:pt>
                      <c:pt idx="187">
                        <c:v>-6.3391304605911518</c:v>
                      </c:pt>
                      <c:pt idx="188">
                        <c:v>-4.8516366350938238</c:v>
                      </c:pt>
                      <c:pt idx="189">
                        <c:v>-4.9400891582020421</c:v>
                      </c:pt>
                      <c:pt idx="190">
                        <c:v>-4.9400891582020421</c:v>
                      </c:pt>
                      <c:pt idx="191">
                        <c:v>-5.1592750392154221</c:v>
                      </c:pt>
                      <c:pt idx="192">
                        <c:v>-5.1592750392154221</c:v>
                      </c:pt>
                      <c:pt idx="193">
                        <c:v>-2.1003362179918468</c:v>
                      </c:pt>
                      <c:pt idx="194">
                        <c:v>-2.22296272447764</c:v>
                      </c:pt>
                      <c:pt idx="195">
                        <c:v>-2.22296272447764</c:v>
                      </c:pt>
                      <c:pt idx="196">
                        <c:v>-2.22296272447764</c:v>
                      </c:pt>
                      <c:pt idx="197">
                        <c:v>-1.6081761149266331</c:v>
                      </c:pt>
                      <c:pt idx="198">
                        <c:v>-1.5875286091453329</c:v>
                      </c:pt>
                      <c:pt idx="199">
                        <c:v>-1.6533124201798017</c:v>
                      </c:pt>
                      <c:pt idx="200">
                        <c:v>-1.6533124201798017</c:v>
                      </c:pt>
                      <c:pt idx="201">
                        <c:v>-0.95737326104649789</c:v>
                      </c:pt>
                      <c:pt idx="202">
                        <c:v>-0.95737326104649789</c:v>
                      </c:pt>
                      <c:pt idx="203">
                        <c:v>-0.95737326104649789</c:v>
                      </c:pt>
                      <c:pt idx="204">
                        <c:v>-0.95737326104649789</c:v>
                      </c:pt>
                      <c:pt idx="205">
                        <c:v>-0.95737326104649789</c:v>
                      </c:pt>
                      <c:pt idx="206">
                        <c:v>-0.95737326104649789</c:v>
                      </c:pt>
                      <c:pt idx="207">
                        <c:v>-0.98946100644482016</c:v>
                      </c:pt>
                      <c:pt idx="208">
                        <c:v>-0.98946100644482016</c:v>
                      </c:pt>
                      <c:pt idx="209">
                        <c:v>-0.69204050388755856</c:v>
                      </c:pt>
                      <c:pt idx="210">
                        <c:v>-0.69204050388755856</c:v>
                      </c:pt>
                      <c:pt idx="211">
                        <c:v>-0.69204050388755856</c:v>
                      </c:pt>
                      <c:pt idx="212">
                        <c:v>-0.69204050388755856</c:v>
                      </c:pt>
                      <c:pt idx="213">
                        <c:v>-7.4978079898883943E-2</c:v>
                      </c:pt>
                      <c:pt idx="214">
                        <c:v>-4.5769060153586588E-2</c:v>
                      </c:pt>
                      <c:pt idx="215">
                        <c:v>-1.980530812631998</c:v>
                      </c:pt>
                      <c:pt idx="216">
                        <c:v>-1.980530812631998</c:v>
                      </c:pt>
                      <c:pt idx="217">
                        <c:v>-1.980530812631998</c:v>
                      </c:pt>
                      <c:pt idx="218">
                        <c:v>-1.7131797271865912</c:v>
                      </c:pt>
                      <c:pt idx="219">
                        <c:v>-1.7131797271865912</c:v>
                      </c:pt>
                      <c:pt idx="220">
                        <c:v>-0.64042763044385742</c:v>
                      </c:pt>
                      <c:pt idx="221">
                        <c:v>-0.64042763044385742</c:v>
                      </c:pt>
                      <c:pt idx="222">
                        <c:v>0.19436854665775938</c:v>
                      </c:pt>
                      <c:pt idx="223">
                        <c:v>0.19436854665775938</c:v>
                      </c:pt>
                      <c:pt idx="224">
                        <c:v>0.19436854665775938</c:v>
                      </c:pt>
                      <c:pt idx="225">
                        <c:v>-0.23805248376991539</c:v>
                      </c:pt>
                      <c:pt idx="226">
                        <c:v>-0.23805248376991539</c:v>
                      </c:pt>
                      <c:pt idx="227">
                        <c:v>3.7507246933076832E-2</c:v>
                      </c:pt>
                      <c:pt idx="228">
                        <c:v>3.7507246933076832E-2</c:v>
                      </c:pt>
                      <c:pt idx="229">
                        <c:v>3.7507246933076832E-2</c:v>
                      </c:pt>
                      <c:pt idx="230">
                        <c:v>0.32410915469539214</c:v>
                      </c:pt>
                      <c:pt idx="231">
                        <c:v>0.32410915469539214</c:v>
                      </c:pt>
                      <c:pt idx="232">
                        <c:v>0.32410915469539214</c:v>
                      </c:pt>
                      <c:pt idx="233">
                        <c:v>0.32410915469539214</c:v>
                      </c:pt>
                      <c:pt idx="234">
                        <c:v>1.2319303837456728</c:v>
                      </c:pt>
                      <c:pt idx="235">
                        <c:v>0.54685842200748502</c:v>
                      </c:pt>
                      <c:pt idx="236">
                        <c:v>1.9640329921477153</c:v>
                      </c:pt>
                      <c:pt idx="237">
                        <c:v>1.9640329921477153</c:v>
                      </c:pt>
                      <c:pt idx="238">
                        <c:v>1.9640329921477153</c:v>
                      </c:pt>
                      <c:pt idx="239">
                        <c:v>1.9640329921477153</c:v>
                      </c:pt>
                      <c:pt idx="240">
                        <c:v>1.9640329921477153</c:v>
                      </c:pt>
                      <c:pt idx="241">
                        <c:v>5.36975574636568</c:v>
                      </c:pt>
                      <c:pt idx="242">
                        <c:v>5.36975574636568</c:v>
                      </c:pt>
                      <c:pt idx="243">
                        <c:v>5.2017585418391636</c:v>
                      </c:pt>
                      <c:pt idx="244">
                        <c:v>5.2017585418391636</c:v>
                      </c:pt>
                      <c:pt idx="245">
                        <c:v>5.3094957294013225</c:v>
                      </c:pt>
                      <c:pt idx="246">
                        <c:v>5.2417450518945481</c:v>
                      </c:pt>
                      <c:pt idx="247">
                        <c:v>4.9677590447513404</c:v>
                      </c:pt>
                      <c:pt idx="248">
                        <c:v>4.3001088707461967</c:v>
                      </c:pt>
                      <c:pt idx="249">
                        <c:v>3.1261494257088422</c:v>
                      </c:pt>
                      <c:pt idx="250">
                        <c:v>5.0633767487537069</c:v>
                      </c:pt>
                      <c:pt idx="251">
                        <c:v>5.0633767487537069</c:v>
                      </c:pt>
                      <c:pt idx="252">
                        <c:v>5.0633767487537069</c:v>
                      </c:pt>
                      <c:pt idx="253">
                        <c:v>6.4552482193653349</c:v>
                      </c:pt>
                      <c:pt idx="254">
                        <c:v>6.1285509248273025</c:v>
                      </c:pt>
                      <c:pt idx="255">
                        <c:v>6.530795788377171</c:v>
                      </c:pt>
                      <c:pt idx="256">
                        <c:v>6.530795788377171</c:v>
                      </c:pt>
                      <c:pt idx="257">
                        <c:v>6.530795788377171</c:v>
                      </c:pt>
                      <c:pt idx="258">
                        <c:v>6.530795788377171</c:v>
                      </c:pt>
                      <c:pt idx="259">
                        <c:v>4.9374669223210343</c:v>
                      </c:pt>
                      <c:pt idx="260">
                        <c:v>4.7056059452260897</c:v>
                      </c:pt>
                      <c:pt idx="261">
                        <c:v>4.4178866469804747</c:v>
                      </c:pt>
                      <c:pt idx="262">
                        <c:v>5.0854287787379748</c:v>
                      </c:pt>
                      <c:pt idx="263">
                        <c:v>5.0854287787379748</c:v>
                      </c:pt>
                      <c:pt idx="264">
                        <c:v>5.1400735874811447</c:v>
                      </c:pt>
                      <c:pt idx="265">
                        <c:v>4.3728706673784004</c:v>
                      </c:pt>
                      <c:pt idx="266">
                        <c:v>4.3728706673784004</c:v>
                      </c:pt>
                      <c:pt idx="267">
                        <c:v>4.3665615191134153</c:v>
                      </c:pt>
                      <c:pt idx="268">
                        <c:v>4.2246977548398279</c:v>
                      </c:pt>
                      <c:pt idx="269">
                        <c:v>5.1670758116457458</c:v>
                      </c:pt>
                      <c:pt idx="270">
                        <c:v>5.6148627110085094</c:v>
                      </c:pt>
                      <c:pt idx="271">
                        <c:v>6.4784588137543011</c:v>
                      </c:pt>
                      <c:pt idx="272">
                        <c:v>6.4216943861289479</c:v>
                      </c:pt>
                      <c:pt idx="273">
                        <c:v>6.4216943861289479</c:v>
                      </c:pt>
                      <c:pt idx="274">
                        <c:v>6.0414519345063296</c:v>
                      </c:pt>
                      <c:pt idx="275">
                        <c:v>7.2220074900618831</c:v>
                      </c:pt>
                      <c:pt idx="276">
                        <c:v>6.9279494896562879</c:v>
                      </c:pt>
                      <c:pt idx="277">
                        <c:v>6.9279494896562879</c:v>
                      </c:pt>
                      <c:pt idx="278">
                        <c:v>8.0266264145266017</c:v>
                      </c:pt>
                      <c:pt idx="279">
                        <c:v>8.598872480334899</c:v>
                      </c:pt>
                      <c:pt idx="280">
                        <c:v>8.598872480334899</c:v>
                      </c:pt>
                      <c:pt idx="281">
                        <c:v>8.598872480334899</c:v>
                      </c:pt>
                      <c:pt idx="282">
                        <c:v>8.6213473748561338</c:v>
                      </c:pt>
                      <c:pt idx="283">
                        <c:v>7.5559465309742802</c:v>
                      </c:pt>
                      <c:pt idx="284">
                        <c:v>7.5559465309742802</c:v>
                      </c:pt>
                      <c:pt idx="285">
                        <c:v>6.1821777388540093</c:v>
                      </c:pt>
                      <c:pt idx="286">
                        <c:v>6.1821777388540093</c:v>
                      </c:pt>
                      <c:pt idx="287">
                        <c:v>5.0038292567783254</c:v>
                      </c:pt>
                      <c:pt idx="288">
                        <c:v>5.0038292567783254</c:v>
                      </c:pt>
                      <c:pt idx="289">
                        <c:v>5.4857466911010802</c:v>
                      </c:pt>
                      <c:pt idx="290">
                        <c:v>5.4857466911010802</c:v>
                      </c:pt>
                      <c:pt idx="291">
                        <c:v>6.5598144003294703</c:v>
                      </c:pt>
                      <c:pt idx="292">
                        <c:v>6.2000770435258943</c:v>
                      </c:pt>
                      <c:pt idx="293">
                        <c:v>6.2000770435258943</c:v>
                      </c:pt>
                      <c:pt idx="294">
                        <c:v>4.4062902003737472</c:v>
                      </c:pt>
                      <c:pt idx="295">
                        <c:v>4.4062902003737472</c:v>
                      </c:pt>
                      <c:pt idx="296">
                        <c:v>4.0038788396329377</c:v>
                      </c:pt>
                      <c:pt idx="297">
                        <c:v>4.0038788396329377</c:v>
                      </c:pt>
                      <c:pt idx="298">
                        <c:v>3.2682466557248908</c:v>
                      </c:pt>
                      <c:pt idx="299">
                        <c:v>3.2682466557248908</c:v>
                      </c:pt>
                      <c:pt idx="300">
                        <c:v>3.2682466557248908</c:v>
                      </c:pt>
                      <c:pt idx="301">
                        <c:v>3.2682466557248908</c:v>
                      </c:pt>
                      <c:pt idx="302">
                        <c:v>3.1660736094728956</c:v>
                      </c:pt>
                      <c:pt idx="303">
                        <c:v>3.1660736094728956</c:v>
                      </c:pt>
                      <c:pt idx="304">
                        <c:v>3.1660736094728956</c:v>
                      </c:pt>
                      <c:pt idx="305">
                        <c:v>3.1660736094728956</c:v>
                      </c:pt>
                      <c:pt idx="306">
                        <c:v>3.1660736094728956</c:v>
                      </c:pt>
                      <c:pt idx="307">
                        <c:v>3.1660736094728956</c:v>
                      </c:pt>
                      <c:pt idx="308">
                        <c:v>3.4926644227893751</c:v>
                      </c:pt>
                      <c:pt idx="309">
                        <c:v>3.4926644227893751</c:v>
                      </c:pt>
                      <c:pt idx="310">
                        <c:v>5.0891094524141298</c:v>
                      </c:pt>
                      <c:pt idx="311">
                        <c:v>5.8456189527659959</c:v>
                      </c:pt>
                      <c:pt idx="312">
                        <c:v>5.634696594996071</c:v>
                      </c:pt>
                      <c:pt idx="313">
                        <c:v>5.634696594996071</c:v>
                      </c:pt>
                      <c:pt idx="314">
                        <c:v>4.6850841918952959</c:v>
                      </c:pt>
                      <c:pt idx="315">
                        <c:v>3.8089159675962305</c:v>
                      </c:pt>
                      <c:pt idx="316">
                        <c:v>3.8089159675962305</c:v>
                      </c:pt>
                      <c:pt idx="317">
                        <c:v>3.8089159675962305</c:v>
                      </c:pt>
                      <c:pt idx="318">
                        <c:v>3.8089159675962305</c:v>
                      </c:pt>
                      <c:pt idx="319">
                        <c:v>3.8089159675962305</c:v>
                      </c:pt>
                      <c:pt idx="320">
                        <c:v>5.601596991316578</c:v>
                      </c:pt>
                      <c:pt idx="321">
                        <c:v>5.601596991316578</c:v>
                      </c:pt>
                      <c:pt idx="322">
                        <c:v>5.601596991316578</c:v>
                      </c:pt>
                      <c:pt idx="323">
                        <c:v>5.601596991316578</c:v>
                      </c:pt>
                      <c:pt idx="324">
                        <c:v>3.502153225206146</c:v>
                      </c:pt>
                      <c:pt idx="325">
                        <c:v>3.502153225206146</c:v>
                      </c:pt>
                      <c:pt idx="326">
                        <c:v>1.6048785920824562</c:v>
                      </c:pt>
                      <c:pt idx="327">
                        <c:v>1.6048785920824562</c:v>
                      </c:pt>
                      <c:pt idx="328">
                        <c:v>1.6048785920824562</c:v>
                      </c:pt>
                      <c:pt idx="329">
                        <c:v>1.6048785920824562</c:v>
                      </c:pt>
                      <c:pt idx="330">
                        <c:v>3.8186190500977242</c:v>
                      </c:pt>
                      <c:pt idx="331">
                        <c:v>3.8186190500977242</c:v>
                      </c:pt>
                      <c:pt idx="332">
                        <c:v>3.8186190500977242</c:v>
                      </c:pt>
                      <c:pt idx="333">
                        <c:v>3.8186190500977242</c:v>
                      </c:pt>
                      <c:pt idx="334">
                        <c:v>3.8186190500977242</c:v>
                      </c:pt>
                      <c:pt idx="335">
                        <c:v>3.8186190500977242</c:v>
                      </c:pt>
                      <c:pt idx="336">
                        <c:v>3.8186190500977242</c:v>
                      </c:pt>
                      <c:pt idx="337">
                        <c:v>4.3856801940819459</c:v>
                      </c:pt>
                      <c:pt idx="338">
                        <c:v>4.3856801940819459</c:v>
                      </c:pt>
                      <c:pt idx="339">
                        <c:v>4.3856801940819459</c:v>
                      </c:pt>
                      <c:pt idx="340">
                        <c:v>4.3856801940819459</c:v>
                      </c:pt>
                      <c:pt idx="341">
                        <c:v>4.3856801940819459</c:v>
                      </c:pt>
                      <c:pt idx="342">
                        <c:v>4.151350961510186</c:v>
                      </c:pt>
                      <c:pt idx="343">
                        <c:v>4.151350961510186</c:v>
                      </c:pt>
                      <c:pt idx="344">
                        <c:v>4.151350961510186</c:v>
                      </c:pt>
                      <c:pt idx="345">
                        <c:v>4.151350961510186</c:v>
                      </c:pt>
                      <c:pt idx="346">
                        <c:v>4.2310881477443578</c:v>
                      </c:pt>
                      <c:pt idx="347">
                        <c:v>4.2310881477443578</c:v>
                      </c:pt>
                      <c:pt idx="348">
                        <c:v>4.5107277873839973</c:v>
                      </c:pt>
                      <c:pt idx="349">
                        <c:v>4.5107277873839973</c:v>
                      </c:pt>
                      <c:pt idx="350">
                        <c:v>5.3787125679248309</c:v>
                      </c:pt>
                      <c:pt idx="351">
                        <c:v>5.3787125679248309</c:v>
                      </c:pt>
                      <c:pt idx="352">
                        <c:v>5.3787125679248309</c:v>
                      </c:pt>
                      <c:pt idx="353">
                        <c:v>5.3787125679248309</c:v>
                      </c:pt>
                      <c:pt idx="354">
                        <c:v>5.3787125679248309</c:v>
                      </c:pt>
                      <c:pt idx="355">
                        <c:v>5.3787125679248309</c:v>
                      </c:pt>
                      <c:pt idx="356">
                        <c:v>5.3787125679248309</c:v>
                      </c:pt>
                      <c:pt idx="357">
                        <c:v>8.6885177335472719</c:v>
                      </c:pt>
                      <c:pt idx="358">
                        <c:v>8.6885177335472719</c:v>
                      </c:pt>
                      <c:pt idx="359">
                        <c:v>8.6885177335472719</c:v>
                      </c:pt>
                      <c:pt idx="360">
                        <c:v>8.6885177335472719</c:v>
                      </c:pt>
                      <c:pt idx="361">
                        <c:v>8.6885177335472719</c:v>
                      </c:pt>
                      <c:pt idx="362">
                        <c:v>8.6885177335472719</c:v>
                      </c:pt>
                      <c:pt idx="363">
                        <c:v>8.6885177335472719</c:v>
                      </c:pt>
                      <c:pt idx="364">
                        <c:v>8.6885177335472719</c:v>
                      </c:pt>
                      <c:pt idx="365">
                        <c:v>8.7438887191508137</c:v>
                      </c:pt>
                      <c:pt idx="366">
                        <c:v>6.2984361375997242</c:v>
                      </c:pt>
                      <c:pt idx="367">
                        <c:v>6.0210091296021728</c:v>
                      </c:pt>
                      <c:pt idx="368">
                        <c:v>6.0210091296021728</c:v>
                      </c:pt>
                      <c:pt idx="369">
                        <c:v>6.0210091296021728</c:v>
                      </c:pt>
                      <c:pt idx="370">
                        <c:v>6.0210091296021728</c:v>
                      </c:pt>
                      <c:pt idx="371">
                        <c:v>6.0210091296021728</c:v>
                      </c:pt>
                      <c:pt idx="372">
                        <c:v>6.0210091296021728</c:v>
                      </c:pt>
                      <c:pt idx="373">
                        <c:v>6.0210091296021728</c:v>
                      </c:pt>
                      <c:pt idx="374">
                        <c:v>6.0210091296021728</c:v>
                      </c:pt>
                      <c:pt idx="375">
                        <c:v>6.0210091296021728</c:v>
                      </c:pt>
                      <c:pt idx="376">
                        <c:v>6.0210091296021728</c:v>
                      </c:pt>
                      <c:pt idx="377">
                        <c:v>6.0210091296021728</c:v>
                      </c:pt>
                      <c:pt idx="378">
                        <c:v>6.0210091296021728</c:v>
                      </c:pt>
                      <c:pt idx="379">
                        <c:v>6.0210091296021728</c:v>
                      </c:pt>
                      <c:pt idx="380">
                        <c:v>6.0210091296021728</c:v>
                      </c:pt>
                      <c:pt idx="381">
                        <c:v>6.0210091296021728</c:v>
                      </c:pt>
                      <c:pt idx="382">
                        <c:v>6.348975736638546</c:v>
                      </c:pt>
                      <c:pt idx="383">
                        <c:v>6.348975736638546</c:v>
                      </c:pt>
                      <c:pt idx="384">
                        <c:v>6.348975736638546</c:v>
                      </c:pt>
                      <c:pt idx="385">
                        <c:v>7.1402266186060874</c:v>
                      </c:pt>
                      <c:pt idx="386">
                        <c:v>7.1402266186060874</c:v>
                      </c:pt>
                      <c:pt idx="387">
                        <c:v>7.1402266186060874</c:v>
                      </c:pt>
                      <c:pt idx="388">
                        <c:v>7.1402266186060874</c:v>
                      </c:pt>
                      <c:pt idx="389">
                        <c:v>7.1402266186060874</c:v>
                      </c:pt>
                      <c:pt idx="390">
                        <c:v>7.1402266186060874</c:v>
                      </c:pt>
                      <c:pt idx="391">
                        <c:v>7.0374064070902227</c:v>
                      </c:pt>
                      <c:pt idx="392">
                        <c:v>7.0374064070902227</c:v>
                      </c:pt>
                      <c:pt idx="393">
                        <c:v>7.0374064070902227</c:v>
                      </c:pt>
                      <c:pt idx="394">
                        <c:v>7.0374064070902227</c:v>
                      </c:pt>
                      <c:pt idx="395">
                        <c:v>7.0374064070902227</c:v>
                      </c:pt>
                      <c:pt idx="396">
                        <c:v>7.0374064070902227</c:v>
                      </c:pt>
                      <c:pt idx="397">
                        <c:v>7.0374064070902227</c:v>
                      </c:pt>
                      <c:pt idx="398">
                        <c:v>7.0374064070902227</c:v>
                      </c:pt>
                      <c:pt idx="399">
                        <c:v>7.0374064070902227</c:v>
                      </c:pt>
                      <c:pt idx="400">
                        <c:v>6.7035845539718384</c:v>
                      </c:pt>
                      <c:pt idx="401">
                        <c:v>6.7035845539718384</c:v>
                      </c:pt>
                      <c:pt idx="402">
                        <c:v>6.7035845539718384</c:v>
                      </c:pt>
                      <c:pt idx="403">
                        <c:v>6.7035845539718384</c:v>
                      </c:pt>
                      <c:pt idx="404">
                        <c:v>6.7035845539718384</c:v>
                      </c:pt>
                      <c:pt idx="405">
                        <c:v>6.7035845539718384</c:v>
                      </c:pt>
                      <c:pt idx="406">
                        <c:v>6.7035845539718384</c:v>
                      </c:pt>
                      <c:pt idx="407">
                        <c:v>6.7035845539718384</c:v>
                      </c:pt>
                      <c:pt idx="408">
                        <c:v>6.7035845539718384</c:v>
                      </c:pt>
                      <c:pt idx="409">
                        <c:v>7.5899379350070992</c:v>
                      </c:pt>
                      <c:pt idx="410">
                        <c:v>7.5899379350070992</c:v>
                      </c:pt>
                      <c:pt idx="411">
                        <c:v>7.5899379350070992</c:v>
                      </c:pt>
                      <c:pt idx="412">
                        <c:v>7.5899379350070992</c:v>
                      </c:pt>
                      <c:pt idx="413">
                        <c:v>7.5899379350070992</c:v>
                      </c:pt>
                      <c:pt idx="414">
                        <c:v>7.5899379350070992</c:v>
                      </c:pt>
                      <c:pt idx="415">
                        <c:v>8.4418383281918956</c:v>
                      </c:pt>
                      <c:pt idx="416">
                        <c:v>8.4418383281918956</c:v>
                      </c:pt>
                      <c:pt idx="417">
                        <c:v>7.55237607941406</c:v>
                      </c:pt>
                      <c:pt idx="418">
                        <c:v>7.55237607941406</c:v>
                      </c:pt>
                    </c:numCache>
                  </c:numRef>
                </c:val>
                <c:smooth val="1"/>
                <c:extLst xmlns:c15="http://schemas.microsoft.com/office/drawing/2012/chart">
                  <c:ext xmlns:c16="http://schemas.microsoft.com/office/drawing/2014/chart" uri="{C3380CC4-5D6E-409C-BE32-E72D297353CC}">
                    <c16:uniqueId val="{00000005-A9EF-47C0-896E-1A1AEE0E0DC8}"/>
                  </c:ext>
                </c:extLst>
              </c15:ser>
            </c15:filteredLineSeries>
            <c15:filteredLineSeries>
              <c15:ser>
                <c:idx val="4"/>
                <c:order val="7"/>
                <c:tx>
                  <c:v>SW (MOC)</c:v>
                </c:tx>
                <c:spPr>
                  <a:ln w="19050" cap="rnd">
                    <a:solidFill>
                      <a:schemeClr val="accent4">
                        <a:lumMod val="60000"/>
                        <a:lumOff val="40000"/>
                      </a:schemeClr>
                    </a:solidFill>
                    <a:prstDash val="sysDash"/>
                    <a:round/>
                  </a:ln>
                  <a:effectLst/>
                </c:spPr>
                <c:marker>
                  <c:symbol val="none"/>
                </c:marker>
                <c:val>
                  <c:numRef>
                    <c:extLst xmlns:c15="http://schemas.microsoft.com/office/drawing/2012/chart">
                      <c:ext xmlns:c15="http://schemas.microsoft.com/office/drawing/2012/chart" uri="{02D57815-91ED-43cb-92C2-25804820EDAC}">
                        <c15:formulaRef>
                          <c15:sqref>'2025-Q2'!$AP$4:$AP$422</c15:sqref>
                        </c15:formulaRef>
                      </c:ext>
                    </c:extLst>
                    <c:numCache>
                      <c:formatCode>0.0</c:formatCode>
                      <c:ptCount val="419"/>
                      <c:pt idx="0">
                        <c:v>0</c:v>
                      </c:pt>
                      <c:pt idx="1">
                        <c:v>0</c:v>
                      </c:pt>
                      <c:pt idx="2">
                        <c:v>0.66707762758134548</c:v>
                      </c:pt>
                      <c:pt idx="3">
                        <c:v>0.50862413368180781</c:v>
                      </c:pt>
                      <c:pt idx="4">
                        <c:v>0.89677166079391268</c:v>
                      </c:pt>
                      <c:pt idx="5">
                        <c:v>1.1273768907464885</c:v>
                      </c:pt>
                      <c:pt idx="6">
                        <c:v>1.3681975575382583</c:v>
                      </c:pt>
                      <c:pt idx="7">
                        <c:v>2.4347410769119628</c:v>
                      </c:pt>
                      <c:pt idx="8">
                        <c:v>2.7563170011899345</c:v>
                      </c:pt>
                      <c:pt idx="9">
                        <c:v>2.7563170011899345</c:v>
                      </c:pt>
                      <c:pt idx="10">
                        <c:v>3.0489459160902825</c:v>
                      </c:pt>
                      <c:pt idx="11">
                        <c:v>3.6488913755939625</c:v>
                      </c:pt>
                      <c:pt idx="12">
                        <c:v>3.6488913755939625</c:v>
                      </c:pt>
                      <c:pt idx="13">
                        <c:v>3.5689915742637415</c:v>
                      </c:pt>
                      <c:pt idx="14">
                        <c:v>3.5689915742637415</c:v>
                      </c:pt>
                      <c:pt idx="15">
                        <c:v>3.5665040120746858</c:v>
                      </c:pt>
                      <c:pt idx="16">
                        <c:v>3.5665040120746858</c:v>
                      </c:pt>
                      <c:pt idx="17">
                        <c:v>3.5665040120746858</c:v>
                      </c:pt>
                      <c:pt idx="18">
                        <c:v>3.2710284811420904</c:v>
                      </c:pt>
                      <c:pt idx="19">
                        <c:v>3.7305436134507568</c:v>
                      </c:pt>
                      <c:pt idx="20">
                        <c:v>3.9187996416491053</c:v>
                      </c:pt>
                      <c:pt idx="21">
                        <c:v>3.8596444740226765</c:v>
                      </c:pt>
                      <c:pt idx="22">
                        <c:v>3.8596444740226765</c:v>
                      </c:pt>
                      <c:pt idx="23">
                        <c:v>3.9524088525013421</c:v>
                      </c:pt>
                      <c:pt idx="24">
                        <c:v>4.2935700564027215</c:v>
                      </c:pt>
                      <c:pt idx="25">
                        <c:v>0.56362566513602852</c:v>
                      </c:pt>
                      <c:pt idx="26">
                        <c:v>0.56362566513602852</c:v>
                      </c:pt>
                      <c:pt idx="27">
                        <c:v>0.56362566513602852</c:v>
                      </c:pt>
                      <c:pt idx="28">
                        <c:v>0.56362566513602852</c:v>
                      </c:pt>
                      <c:pt idx="29">
                        <c:v>0.66270096236192022</c:v>
                      </c:pt>
                      <c:pt idx="30">
                        <c:v>0.66270096236192022</c:v>
                      </c:pt>
                      <c:pt idx="31">
                        <c:v>0.66270096236192022</c:v>
                      </c:pt>
                      <c:pt idx="32">
                        <c:v>0.66270096236192022</c:v>
                      </c:pt>
                      <c:pt idx="33">
                        <c:v>0.55660680874285817</c:v>
                      </c:pt>
                      <c:pt idx="34">
                        <c:v>-0.25395864171538163</c:v>
                      </c:pt>
                      <c:pt idx="35">
                        <c:v>-1.587291975048716</c:v>
                      </c:pt>
                      <c:pt idx="36">
                        <c:v>-1.587291975048716</c:v>
                      </c:pt>
                      <c:pt idx="37">
                        <c:v>-1.8721479932795013</c:v>
                      </c:pt>
                      <c:pt idx="38">
                        <c:v>-1.6172740428360413</c:v>
                      </c:pt>
                      <c:pt idx="39">
                        <c:v>-1.6172740428360413</c:v>
                      </c:pt>
                      <c:pt idx="40">
                        <c:v>-1.6172740428360413</c:v>
                      </c:pt>
                      <c:pt idx="41">
                        <c:v>-1.6172740428360413</c:v>
                      </c:pt>
                      <c:pt idx="42">
                        <c:v>-1.6172740428360413</c:v>
                      </c:pt>
                      <c:pt idx="43">
                        <c:v>-0.60521909470035373</c:v>
                      </c:pt>
                      <c:pt idx="44">
                        <c:v>-0.50427958076293622</c:v>
                      </c:pt>
                      <c:pt idx="45">
                        <c:v>-0.36791495265654994</c:v>
                      </c:pt>
                      <c:pt idx="46">
                        <c:v>-0.36791495265654994</c:v>
                      </c:pt>
                      <c:pt idx="47">
                        <c:v>-0.36791495265654994</c:v>
                      </c:pt>
                      <c:pt idx="48">
                        <c:v>-0.36791495265654994</c:v>
                      </c:pt>
                      <c:pt idx="49">
                        <c:v>-2.0026014945743027</c:v>
                      </c:pt>
                      <c:pt idx="50">
                        <c:v>-2.2584259632923227</c:v>
                      </c:pt>
                      <c:pt idx="51">
                        <c:v>-0.90489541632851256</c:v>
                      </c:pt>
                      <c:pt idx="52">
                        <c:v>-0.90489541632851256</c:v>
                      </c:pt>
                      <c:pt idx="53">
                        <c:v>-0.18933191006733252</c:v>
                      </c:pt>
                      <c:pt idx="54">
                        <c:v>0.13060514692950631</c:v>
                      </c:pt>
                      <c:pt idx="55">
                        <c:v>0.13060514692950631</c:v>
                      </c:pt>
                      <c:pt idx="56">
                        <c:v>-0.94690614955989283</c:v>
                      </c:pt>
                      <c:pt idx="57">
                        <c:v>-0.94690614955989283</c:v>
                      </c:pt>
                      <c:pt idx="58">
                        <c:v>-0.33390184090340891</c:v>
                      </c:pt>
                      <c:pt idx="59">
                        <c:v>0.55556601919100135</c:v>
                      </c:pt>
                      <c:pt idx="60">
                        <c:v>0.61733254173578311</c:v>
                      </c:pt>
                      <c:pt idx="61">
                        <c:v>1.1294925073873294</c:v>
                      </c:pt>
                      <c:pt idx="62">
                        <c:v>2.4983138001629963</c:v>
                      </c:pt>
                      <c:pt idx="63">
                        <c:v>2.8242785809797835</c:v>
                      </c:pt>
                      <c:pt idx="64">
                        <c:v>2.9664645354802777</c:v>
                      </c:pt>
                      <c:pt idx="65">
                        <c:v>3.9765966217876039</c:v>
                      </c:pt>
                      <c:pt idx="66">
                        <c:v>3.9765966217876039</c:v>
                      </c:pt>
                      <c:pt idx="67">
                        <c:v>3.9765966217876039</c:v>
                      </c:pt>
                      <c:pt idx="68">
                        <c:v>3.9765966217876039</c:v>
                      </c:pt>
                      <c:pt idx="69">
                        <c:v>3.9765966217876039</c:v>
                      </c:pt>
                      <c:pt idx="70">
                        <c:v>3.9765966217876039</c:v>
                      </c:pt>
                      <c:pt idx="71">
                        <c:v>3.9765966217876039</c:v>
                      </c:pt>
                      <c:pt idx="72">
                        <c:v>4.9673201119288874</c:v>
                      </c:pt>
                      <c:pt idx="73">
                        <c:v>4.4172230716571743</c:v>
                      </c:pt>
                      <c:pt idx="74">
                        <c:v>5.0958132873331348</c:v>
                      </c:pt>
                      <c:pt idx="75">
                        <c:v>3.9757189636006087</c:v>
                      </c:pt>
                      <c:pt idx="76">
                        <c:v>5.0689383742699041</c:v>
                      </c:pt>
                      <c:pt idx="77">
                        <c:v>5.8869285621185066</c:v>
                      </c:pt>
                      <c:pt idx="78">
                        <c:v>4.7904373340483328</c:v>
                      </c:pt>
                      <c:pt idx="79">
                        <c:v>4.7904373340483328</c:v>
                      </c:pt>
                      <c:pt idx="80">
                        <c:v>5.0570493110786856</c:v>
                      </c:pt>
                      <c:pt idx="81">
                        <c:v>5.0570493110786856</c:v>
                      </c:pt>
                      <c:pt idx="82">
                        <c:v>5.0570493110786856</c:v>
                      </c:pt>
                      <c:pt idx="83">
                        <c:v>5.670946907734904</c:v>
                      </c:pt>
                      <c:pt idx="84">
                        <c:v>2.5848114862701421</c:v>
                      </c:pt>
                      <c:pt idx="85">
                        <c:v>2.5848114862701421</c:v>
                      </c:pt>
                      <c:pt idx="86">
                        <c:v>1.9613073932674672</c:v>
                      </c:pt>
                      <c:pt idx="87">
                        <c:v>1.9613073932674672</c:v>
                      </c:pt>
                      <c:pt idx="88">
                        <c:v>1.9613073932674672</c:v>
                      </c:pt>
                      <c:pt idx="89">
                        <c:v>2.2424865315894604</c:v>
                      </c:pt>
                      <c:pt idx="90">
                        <c:v>2.2424865315894604</c:v>
                      </c:pt>
                      <c:pt idx="91">
                        <c:v>2.2424865315894604</c:v>
                      </c:pt>
                      <c:pt idx="92">
                        <c:v>2.2424865315894604</c:v>
                      </c:pt>
                      <c:pt idx="93">
                        <c:v>1.6804672060126493</c:v>
                      </c:pt>
                      <c:pt idx="94">
                        <c:v>2.018108724898533</c:v>
                      </c:pt>
                      <c:pt idx="95">
                        <c:v>2.018108724898533</c:v>
                      </c:pt>
                      <c:pt idx="96">
                        <c:v>2.018108724898533</c:v>
                      </c:pt>
                      <c:pt idx="97">
                        <c:v>2.018108724898533</c:v>
                      </c:pt>
                      <c:pt idx="98">
                        <c:v>2.018108724898533</c:v>
                      </c:pt>
                      <c:pt idx="99">
                        <c:v>9.1532255241121518E-2</c:v>
                      </c:pt>
                      <c:pt idx="100">
                        <c:v>9.1532255241121518E-2</c:v>
                      </c:pt>
                      <c:pt idx="101">
                        <c:v>-0.25420990635781759</c:v>
                      </c:pt>
                      <c:pt idx="102">
                        <c:v>-0.2572919028751609</c:v>
                      </c:pt>
                      <c:pt idx="103">
                        <c:v>-0.2572919028751609</c:v>
                      </c:pt>
                      <c:pt idx="104">
                        <c:v>-0.32438348288186863</c:v>
                      </c:pt>
                      <c:pt idx="105">
                        <c:v>-0.32438348288186863</c:v>
                      </c:pt>
                      <c:pt idx="106">
                        <c:v>-0.32438348288186863</c:v>
                      </c:pt>
                      <c:pt idx="107">
                        <c:v>-1.4411819938171866</c:v>
                      </c:pt>
                      <c:pt idx="108">
                        <c:v>-1.1955223253545211</c:v>
                      </c:pt>
                      <c:pt idx="109">
                        <c:v>-1.6634136740748862</c:v>
                      </c:pt>
                      <c:pt idx="110">
                        <c:v>-1.6634136740748862</c:v>
                      </c:pt>
                      <c:pt idx="111">
                        <c:v>-1.6634136740748862</c:v>
                      </c:pt>
                      <c:pt idx="112">
                        <c:v>-2.3219571652829161</c:v>
                      </c:pt>
                      <c:pt idx="113">
                        <c:v>-1.7961860651369206</c:v>
                      </c:pt>
                      <c:pt idx="114">
                        <c:v>-1.5786384204048114</c:v>
                      </c:pt>
                      <c:pt idx="115">
                        <c:v>0.32595307652855454</c:v>
                      </c:pt>
                      <c:pt idx="116">
                        <c:v>0.32595307652855454</c:v>
                      </c:pt>
                      <c:pt idx="117">
                        <c:v>0.32595307652855454</c:v>
                      </c:pt>
                      <c:pt idx="118">
                        <c:v>0.81416484758421959</c:v>
                      </c:pt>
                      <c:pt idx="119">
                        <c:v>0.71488391145174113</c:v>
                      </c:pt>
                      <c:pt idx="120">
                        <c:v>0.71488391145174113</c:v>
                      </c:pt>
                      <c:pt idx="121">
                        <c:v>0.71488391145174113</c:v>
                      </c:pt>
                      <c:pt idx="122">
                        <c:v>-0.28470986756404482</c:v>
                      </c:pt>
                      <c:pt idx="123">
                        <c:v>-0.4324695788352792</c:v>
                      </c:pt>
                      <c:pt idx="124">
                        <c:v>-0.4324695788352792</c:v>
                      </c:pt>
                      <c:pt idx="125">
                        <c:v>0.52877724228415435</c:v>
                      </c:pt>
                      <c:pt idx="126">
                        <c:v>0.54958071877622805</c:v>
                      </c:pt>
                      <c:pt idx="127">
                        <c:v>0.54958071877622805</c:v>
                      </c:pt>
                      <c:pt idx="128">
                        <c:v>0.91134365499764725</c:v>
                      </c:pt>
                      <c:pt idx="129">
                        <c:v>0.91134365499764725</c:v>
                      </c:pt>
                      <c:pt idx="130">
                        <c:v>1.6967675806654747</c:v>
                      </c:pt>
                      <c:pt idx="131">
                        <c:v>1.6967675806654747</c:v>
                      </c:pt>
                      <c:pt idx="132">
                        <c:v>1.5909250743149224</c:v>
                      </c:pt>
                      <c:pt idx="133">
                        <c:v>1.5909250743149224</c:v>
                      </c:pt>
                      <c:pt idx="134">
                        <c:v>1.5909250743149224</c:v>
                      </c:pt>
                      <c:pt idx="135">
                        <c:v>1.5909250743149224</c:v>
                      </c:pt>
                      <c:pt idx="136">
                        <c:v>1.5909250743149224</c:v>
                      </c:pt>
                      <c:pt idx="137">
                        <c:v>1.5909250743149224</c:v>
                      </c:pt>
                      <c:pt idx="138">
                        <c:v>1.5909250743149224</c:v>
                      </c:pt>
                      <c:pt idx="139">
                        <c:v>1.5909250743149224</c:v>
                      </c:pt>
                      <c:pt idx="140">
                        <c:v>1.7209338963421281</c:v>
                      </c:pt>
                      <c:pt idx="141">
                        <c:v>1.7209338963421281</c:v>
                      </c:pt>
                      <c:pt idx="142">
                        <c:v>1.7209338963421281</c:v>
                      </c:pt>
                      <c:pt idx="143">
                        <c:v>1.7209338963421281</c:v>
                      </c:pt>
                      <c:pt idx="144">
                        <c:v>1.7209338963421281</c:v>
                      </c:pt>
                      <c:pt idx="145">
                        <c:v>1.7209338963421281</c:v>
                      </c:pt>
                      <c:pt idx="146">
                        <c:v>1.7209338963421281</c:v>
                      </c:pt>
                      <c:pt idx="147">
                        <c:v>1.7209338963421281</c:v>
                      </c:pt>
                      <c:pt idx="148">
                        <c:v>1.8093177347259666</c:v>
                      </c:pt>
                      <c:pt idx="149">
                        <c:v>2.6200938320833185</c:v>
                      </c:pt>
                      <c:pt idx="150">
                        <c:v>3.1231911930601521</c:v>
                      </c:pt>
                      <c:pt idx="151">
                        <c:v>5.0492532845634228</c:v>
                      </c:pt>
                      <c:pt idx="152">
                        <c:v>5.0492532845634228</c:v>
                      </c:pt>
                      <c:pt idx="153">
                        <c:v>4.1064129781403231</c:v>
                      </c:pt>
                      <c:pt idx="154">
                        <c:v>4.3006426962632256</c:v>
                      </c:pt>
                      <c:pt idx="155">
                        <c:v>3.9921677530875579</c:v>
                      </c:pt>
                      <c:pt idx="156">
                        <c:v>3.9921677530875579</c:v>
                      </c:pt>
                      <c:pt idx="157">
                        <c:v>4.4919353030643112</c:v>
                      </c:pt>
                      <c:pt idx="158">
                        <c:v>3.9381660997774235</c:v>
                      </c:pt>
                      <c:pt idx="159">
                        <c:v>2.3991716421368858</c:v>
                      </c:pt>
                      <c:pt idx="160">
                        <c:v>3.0287730638175123</c:v>
                      </c:pt>
                      <c:pt idx="161">
                        <c:v>3.5770669885250079</c:v>
                      </c:pt>
                      <c:pt idx="162">
                        <c:v>3.5770669885250079</c:v>
                      </c:pt>
                      <c:pt idx="163">
                        <c:v>3.5770669885250079</c:v>
                      </c:pt>
                      <c:pt idx="164">
                        <c:v>3.6784549737776651</c:v>
                      </c:pt>
                      <c:pt idx="165">
                        <c:v>5.0869920191979174</c:v>
                      </c:pt>
                      <c:pt idx="166">
                        <c:v>4.9601392098218398</c:v>
                      </c:pt>
                      <c:pt idx="167">
                        <c:v>5.2323101534604799</c:v>
                      </c:pt>
                      <c:pt idx="168">
                        <c:v>5.2323101534604799</c:v>
                      </c:pt>
                      <c:pt idx="169">
                        <c:v>5.5426448635514358</c:v>
                      </c:pt>
                      <c:pt idx="170">
                        <c:v>5.5426448635514358</c:v>
                      </c:pt>
                      <c:pt idx="171">
                        <c:v>4.1356548259881496</c:v>
                      </c:pt>
                      <c:pt idx="172">
                        <c:v>4.1356548259881496</c:v>
                      </c:pt>
                      <c:pt idx="173">
                        <c:v>5.2891090750201446</c:v>
                      </c:pt>
                      <c:pt idx="174">
                        <c:v>5.2891090750201446</c:v>
                      </c:pt>
                      <c:pt idx="175">
                        <c:v>6.5600024953847971</c:v>
                      </c:pt>
                      <c:pt idx="176">
                        <c:v>6.5600024953847971</c:v>
                      </c:pt>
                      <c:pt idx="177">
                        <c:v>7.2646169459008885</c:v>
                      </c:pt>
                      <c:pt idx="178">
                        <c:v>7.2646169459008885</c:v>
                      </c:pt>
                      <c:pt idx="179">
                        <c:v>7.2646169459008885</c:v>
                      </c:pt>
                      <c:pt idx="180">
                        <c:v>6.4733029966922002</c:v>
                      </c:pt>
                      <c:pt idx="181">
                        <c:v>6.3766919443878187</c:v>
                      </c:pt>
                      <c:pt idx="182">
                        <c:v>6.7527510264411932</c:v>
                      </c:pt>
                      <c:pt idx="183">
                        <c:v>6.9000913718843977</c:v>
                      </c:pt>
                      <c:pt idx="184">
                        <c:v>6.9000913718843977</c:v>
                      </c:pt>
                      <c:pt idx="185">
                        <c:v>6.9000913718843977</c:v>
                      </c:pt>
                      <c:pt idx="186">
                        <c:v>6.9000913718843977</c:v>
                      </c:pt>
                      <c:pt idx="187">
                        <c:v>6.7802752529485613</c:v>
                      </c:pt>
                      <c:pt idx="188">
                        <c:v>6.7802752529485613</c:v>
                      </c:pt>
                      <c:pt idx="189">
                        <c:v>6.7802752529485613</c:v>
                      </c:pt>
                      <c:pt idx="190">
                        <c:v>5.9352335099227007</c:v>
                      </c:pt>
                      <c:pt idx="191">
                        <c:v>5.9352335099227007</c:v>
                      </c:pt>
                      <c:pt idx="192">
                        <c:v>5.3095427121787901</c:v>
                      </c:pt>
                      <c:pt idx="193">
                        <c:v>5.3095427121787901</c:v>
                      </c:pt>
                      <c:pt idx="194">
                        <c:v>5.3095427121787901</c:v>
                      </c:pt>
                      <c:pt idx="195">
                        <c:v>4.3889707276715697</c:v>
                      </c:pt>
                      <c:pt idx="196">
                        <c:v>4.3454840048066785</c:v>
                      </c:pt>
                      <c:pt idx="197">
                        <c:v>4.3454840048066785</c:v>
                      </c:pt>
                      <c:pt idx="198">
                        <c:v>4.3454840048066785</c:v>
                      </c:pt>
                      <c:pt idx="199">
                        <c:v>4.3454840048066785</c:v>
                      </c:pt>
                      <c:pt idx="200">
                        <c:v>4.3454840048066785</c:v>
                      </c:pt>
                      <c:pt idx="201">
                        <c:v>4.3454840048066785</c:v>
                      </c:pt>
                      <c:pt idx="202">
                        <c:v>4.4848641213791414</c:v>
                      </c:pt>
                      <c:pt idx="203">
                        <c:v>4.4848641213791414</c:v>
                      </c:pt>
                      <c:pt idx="204">
                        <c:v>4.9586790146568944</c:v>
                      </c:pt>
                      <c:pt idx="205">
                        <c:v>3.7909721493458406</c:v>
                      </c:pt>
                      <c:pt idx="206">
                        <c:v>5.2829402528937441</c:v>
                      </c:pt>
                      <c:pt idx="207">
                        <c:v>5.2829402528937441</c:v>
                      </c:pt>
                      <c:pt idx="208">
                        <c:v>5.0549259430301587</c:v>
                      </c:pt>
                      <c:pt idx="209">
                        <c:v>5.0549259430301587</c:v>
                      </c:pt>
                      <c:pt idx="210">
                        <c:v>3.1109913526747439</c:v>
                      </c:pt>
                      <c:pt idx="211">
                        <c:v>2.9205067569212999</c:v>
                      </c:pt>
                      <c:pt idx="212">
                        <c:v>3.2052798314782653</c:v>
                      </c:pt>
                      <c:pt idx="213">
                        <c:v>3.2052798314782653</c:v>
                      </c:pt>
                      <c:pt idx="214">
                        <c:v>3.2052798314782653</c:v>
                      </c:pt>
                      <c:pt idx="215">
                        <c:v>3.2052798314782653</c:v>
                      </c:pt>
                      <c:pt idx="216">
                        <c:v>3.8898348707027717</c:v>
                      </c:pt>
                      <c:pt idx="217">
                        <c:v>3.8898348707027717</c:v>
                      </c:pt>
                      <c:pt idx="218">
                        <c:v>3.8898348707027717</c:v>
                      </c:pt>
                      <c:pt idx="219">
                        <c:v>5.5548501883881505</c:v>
                      </c:pt>
                      <c:pt idx="220">
                        <c:v>5.5548501883881505</c:v>
                      </c:pt>
                      <c:pt idx="221">
                        <c:v>5.3479097235680273</c:v>
                      </c:pt>
                      <c:pt idx="222">
                        <c:v>5.3479097235680273</c:v>
                      </c:pt>
                      <c:pt idx="223">
                        <c:v>5.3479097235680273</c:v>
                      </c:pt>
                      <c:pt idx="224">
                        <c:v>6.3247005529260489</c:v>
                      </c:pt>
                      <c:pt idx="225">
                        <c:v>6.3247005529260489</c:v>
                      </c:pt>
                      <c:pt idx="226">
                        <c:v>4.8266140873623922</c:v>
                      </c:pt>
                      <c:pt idx="227">
                        <c:v>4.8266140873623922</c:v>
                      </c:pt>
                      <c:pt idx="228">
                        <c:v>5.0151218014723957</c:v>
                      </c:pt>
                      <c:pt idx="229">
                        <c:v>5.5965171503096052</c:v>
                      </c:pt>
                      <c:pt idx="230">
                        <c:v>5.5965171503096052</c:v>
                      </c:pt>
                      <c:pt idx="231">
                        <c:v>4.9746032806927563</c:v>
                      </c:pt>
                      <c:pt idx="232">
                        <c:v>5.6798041370080821</c:v>
                      </c:pt>
                      <c:pt idx="233">
                        <c:v>5.5294529259760647</c:v>
                      </c:pt>
                      <c:pt idx="234">
                        <c:v>5.5294529259760647</c:v>
                      </c:pt>
                      <c:pt idx="235">
                        <c:v>5.5294529259760647</c:v>
                      </c:pt>
                      <c:pt idx="236">
                        <c:v>5.5294529259760647</c:v>
                      </c:pt>
                      <c:pt idx="237">
                        <c:v>5.6431737850059411</c:v>
                      </c:pt>
                      <c:pt idx="238">
                        <c:v>4.2490863101324408</c:v>
                      </c:pt>
                      <c:pt idx="239">
                        <c:v>4.5574462918592573</c:v>
                      </c:pt>
                      <c:pt idx="240">
                        <c:v>4.5574462918592573</c:v>
                      </c:pt>
                      <c:pt idx="241">
                        <c:v>4.5574462918592573</c:v>
                      </c:pt>
                      <c:pt idx="242">
                        <c:v>4.5381683388273624</c:v>
                      </c:pt>
                      <c:pt idx="243">
                        <c:v>4.5381683388273624</c:v>
                      </c:pt>
                      <c:pt idx="244">
                        <c:v>3.2956447331559287</c:v>
                      </c:pt>
                      <c:pt idx="245">
                        <c:v>3.2956447331559287</c:v>
                      </c:pt>
                      <c:pt idx="246">
                        <c:v>3.2956447331559287</c:v>
                      </c:pt>
                      <c:pt idx="247">
                        <c:v>3.2956447331559287</c:v>
                      </c:pt>
                      <c:pt idx="248">
                        <c:v>3.2956447331559287</c:v>
                      </c:pt>
                      <c:pt idx="249">
                        <c:v>3.2956447331559287</c:v>
                      </c:pt>
                      <c:pt idx="250">
                        <c:v>3.2956447331559287</c:v>
                      </c:pt>
                      <c:pt idx="251">
                        <c:v>2.0043139221672783</c:v>
                      </c:pt>
                      <c:pt idx="252">
                        <c:v>2.1404931228787447</c:v>
                      </c:pt>
                      <c:pt idx="253">
                        <c:v>2.1404931228787447</c:v>
                      </c:pt>
                      <c:pt idx="254">
                        <c:v>2.1404931228787447</c:v>
                      </c:pt>
                      <c:pt idx="255">
                        <c:v>2.1404931228787447</c:v>
                      </c:pt>
                      <c:pt idx="256">
                        <c:v>2.5829709989849365</c:v>
                      </c:pt>
                      <c:pt idx="257">
                        <c:v>2.5829709989849365</c:v>
                      </c:pt>
                      <c:pt idx="258">
                        <c:v>2.5829709989849365</c:v>
                      </c:pt>
                      <c:pt idx="259">
                        <c:v>2.5829709989849365</c:v>
                      </c:pt>
                      <c:pt idx="260">
                        <c:v>2.5829709989849365</c:v>
                      </c:pt>
                      <c:pt idx="261">
                        <c:v>2.5829709989849365</c:v>
                      </c:pt>
                      <c:pt idx="262">
                        <c:v>2.5829709989849365</c:v>
                      </c:pt>
                      <c:pt idx="263">
                        <c:v>2.0658617037857532</c:v>
                      </c:pt>
                      <c:pt idx="264">
                        <c:v>2.0658617037857532</c:v>
                      </c:pt>
                      <c:pt idx="265">
                        <c:v>2.0658617037857532</c:v>
                      </c:pt>
                      <c:pt idx="266">
                        <c:v>2.3819803864672999</c:v>
                      </c:pt>
                      <c:pt idx="267">
                        <c:v>2.3819803864672999</c:v>
                      </c:pt>
                      <c:pt idx="268">
                        <c:v>2.3819803864672999</c:v>
                      </c:pt>
                      <c:pt idx="269">
                        <c:v>2.3819803864672999</c:v>
                      </c:pt>
                      <c:pt idx="270">
                        <c:v>2.3819803864672999</c:v>
                      </c:pt>
                      <c:pt idx="271">
                        <c:v>2.3819803864672999</c:v>
                      </c:pt>
                      <c:pt idx="272">
                        <c:v>2.3819803864672999</c:v>
                      </c:pt>
                      <c:pt idx="273">
                        <c:v>2.3819803864672999</c:v>
                      </c:pt>
                      <c:pt idx="274">
                        <c:v>2.3819803864672999</c:v>
                      </c:pt>
                      <c:pt idx="275">
                        <c:v>2.3819803864672999</c:v>
                      </c:pt>
                      <c:pt idx="276">
                        <c:v>2.3819803864672999</c:v>
                      </c:pt>
                      <c:pt idx="277">
                        <c:v>2.3819803864672999</c:v>
                      </c:pt>
                      <c:pt idx="278">
                        <c:v>2.3819803864672999</c:v>
                      </c:pt>
                      <c:pt idx="279">
                        <c:v>2.3819803864672999</c:v>
                      </c:pt>
                      <c:pt idx="280">
                        <c:v>2.3179491122449436</c:v>
                      </c:pt>
                      <c:pt idx="281">
                        <c:v>1.52473549541119</c:v>
                      </c:pt>
                      <c:pt idx="282">
                        <c:v>1.52473549541119</c:v>
                      </c:pt>
                      <c:pt idx="283">
                        <c:v>1.52473549541119</c:v>
                      </c:pt>
                      <c:pt idx="284">
                        <c:v>2.1322888615852449</c:v>
                      </c:pt>
                      <c:pt idx="285">
                        <c:v>2.1322888615852449</c:v>
                      </c:pt>
                      <c:pt idx="286">
                        <c:v>2.2520206623515295</c:v>
                      </c:pt>
                      <c:pt idx="287">
                        <c:v>2.2520206623515295</c:v>
                      </c:pt>
                      <c:pt idx="288">
                        <c:v>4.2358183307965032</c:v>
                      </c:pt>
                      <c:pt idx="289">
                        <c:v>4.2358183307965032</c:v>
                      </c:pt>
                      <c:pt idx="290">
                        <c:v>4.2358183307965032</c:v>
                      </c:pt>
                      <c:pt idx="291">
                        <c:v>4.2358183307965032</c:v>
                      </c:pt>
                      <c:pt idx="292">
                        <c:v>4.2358183307965032</c:v>
                      </c:pt>
                      <c:pt idx="293">
                        <c:v>4.1819327430066817</c:v>
                      </c:pt>
                      <c:pt idx="294">
                        <c:v>4.1819327430066817</c:v>
                      </c:pt>
                      <c:pt idx="295">
                        <c:v>4.1819327430066817</c:v>
                      </c:pt>
                      <c:pt idx="296">
                        <c:v>4.1819327430066817</c:v>
                      </c:pt>
                      <c:pt idx="297">
                        <c:v>4.1819327430066817</c:v>
                      </c:pt>
                      <c:pt idx="298">
                        <c:v>4.1819327430066817</c:v>
                      </c:pt>
                      <c:pt idx="299">
                        <c:v>3.6659852758397027</c:v>
                      </c:pt>
                      <c:pt idx="300">
                        <c:v>4.4503609338729708</c:v>
                      </c:pt>
                      <c:pt idx="301">
                        <c:v>6.8046086048266332</c:v>
                      </c:pt>
                      <c:pt idx="302">
                        <c:v>6.8046086048266332</c:v>
                      </c:pt>
                      <c:pt idx="303">
                        <c:v>7.972982484468119</c:v>
                      </c:pt>
                      <c:pt idx="304">
                        <c:v>7.972982484468119</c:v>
                      </c:pt>
                      <c:pt idx="305">
                        <c:v>9.4802491423885584</c:v>
                      </c:pt>
                      <c:pt idx="306">
                        <c:v>11.460191584006346</c:v>
                      </c:pt>
                      <c:pt idx="307">
                        <c:v>11.590319233033487</c:v>
                      </c:pt>
                      <c:pt idx="308">
                        <c:v>11.590319233033487</c:v>
                      </c:pt>
                      <c:pt idx="309">
                        <c:v>11.590319233033487</c:v>
                      </c:pt>
                      <c:pt idx="310">
                        <c:v>11.590319233033487</c:v>
                      </c:pt>
                      <c:pt idx="311">
                        <c:v>11.590319233033487</c:v>
                      </c:pt>
                      <c:pt idx="312">
                        <c:v>11.590319233033487</c:v>
                      </c:pt>
                      <c:pt idx="313">
                        <c:v>11.590319233033487</c:v>
                      </c:pt>
                      <c:pt idx="314">
                        <c:v>11.590319233033487</c:v>
                      </c:pt>
                      <c:pt idx="315">
                        <c:v>11.590319233033487</c:v>
                      </c:pt>
                      <c:pt idx="316">
                        <c:v>11.590319233033487</c:v>
                      </c:pt>
                      <c:pt idx="317">
                        <c:v>11.590319233033487</c:v>
                      </c:pt>
                      <c:pt idx="318">
                        <c:v>10.374270946152603</c:v>
                      </c:pt>
                      <c:pt idx="319">
                        <c:v>13.854815693234315</c:v>
                      </c:pt>
                      <c:pt idx="320">
                        <c:v>13.854815693234315</c:v>
                      </c:pt>
                      <c:pt idx="321">
                        <c:v>13.725703758800723</c:v>
                      </c:pt>
                      <c:pt idx="322">
                        <c:v>14.626199031200546</c:v>
                      </c:pt>
                      <c:pt idx="323">
                        <c:v>11.367492563538853</c:v>
                      </c:pt>
                      <c:pt idx="324">
                        <c:v>11.367492563538853</c:v>
                      </c:pt>
                      <c:pt idx="325">
                        <c:v>12.080962883173557</c:v>
                      </c:pt>
                      <c:pt idx="326">
                        <c:v>12.080962883173557</c:v>
                      </c:pt>
                      <c:pt idx="327">
                        <c:v>12.029034613423503</c:v>
                      </c:pt>
                      <c:pt idx="328">
                        <c:v>11.654709625696453</c:v>
                      </c:pt>
                      <c:pt idx="329">
                        <c:v>11.654709625696453</c:v>
                      </c:pt>
                      <c:pt idx="330">
                        <c:v>11.654709625696453</c:v>
                      </c:pt>
                      <c:pt idx="331">
                        <c:v>12.630834147527345</c:v>
                      </c:pt>
                      <c:pt idx="332">
                        <c:v>14.050614367307565</c:v>
                      </c:pt>
                      <c:pt idx="333">
                        <c:v>14.858250196969827</c:v>
                      </c:pt>
                      <c:pt idx="334">
                        <c:v>14.858250196969827</c:v>
                      </c:pt>
                      <c:pt idx="335">
                        <c:v>15.488735959113882</c:v>
                      </c:pt>
                      <c:pt idx="336">
                        <c:v>15.406116936083828</c:v>
                      </c:pt>
                      <c:pt idx="337">
                        <c:v>15.406116936083828</c:v>
                      </c:pt>
                      <c:pt idx="338">
                        <c:v>15.406116936083828</c:v>
                      </c:pt>
                      <c:pt idx="339">
                        <c:v>14.530580455397132</c:v>
                      </c:pt>
                      <c:pt idx="340">
                        <c:v>12.851082308833117</c:v>
                      </c:pt>
                      <c:pt idx="341">
                        <c:v>12.851082308833117</c:v>
                      </c:pt>
                      <c:pt idx="342">
                        <c:v>12.851082308833117</c:v>
                      </c:pt>
                      <c:pt idx="343">
                        <c:v>12.748722317970834</c:v>
                      </c:pt>
                      <c:pt idx="344">
                        <c:v>11.28423240958756</c:v>
                      </c:pt>
                      <c:pt idx="345">
                        <c:v>11.28423240958756</c:v>
                      </c:pt>
                      <c:pt idx="346">
                        <c:v>11.28423240958756</c:v>
                      </c:pt>
                      <c:pt idx="347">
                        <c:v>10.906014664228442</c:v>
                      </c:pt>
                      <c:pt idx="348">
                        <c:v>10.906014664228442</c:v>
                      </c:pt>
                      <c:pt idx="349">
                        <c:v>10.906014664228442</c:v>
                      </c:pt>
                      <c:pt idx="350">
                        <c:v>10.906014664228442</c:v>
                      </c:pt>
                      <c:pt idx="351">
                        <c:v>10.865497667348251</c:v>
                      </c:pt>
                      <c:pt idx="352">
                        <c:v>10.093739949771075</c:v>
                      </c:pt>
                      <c:pt idx="353">
                        <c:v>10.093739949771075</c:v>
                      </c:pt>
                      <c:pt idx="354">
                        <c:v>10.093739949771075</c:v>
                      </c:pt>
                      <c:pt idx="355">
                        <c:v>9.3463602451498264</c:v>
                      </c:pt>
                      <c:pt idx="356">
                        <c:v>7.4258195263895228</c:v>
                      </c:pt>
                      <c:pt idx="357">
                        <c:v>7.4258195263895228</c:v>
                      </c:pt>
                      <c:pt idx="358">
                        <c:v>7.4258195263895228</c:v>
                      </c:pt>
                      <c:pt idx="359">
                        <c:v>7.4258195263895228</c:v>
                      </c:pt>
                      <c:pt idx="360">
                        <c:v>5.3393466823910423</c:v>
                      </c:pt>
                      <c:pt idx="361">
                        <c:v>5.3591206936904774</c:v>
                      </c:pt>
                      <c:pt idx="362">
                        <c:v>8.2314047424451147</c:v>
                      </c:pt>
                      <c:pt idx="363">
                        <c:v>8.2314047424451147</c:v>
                      </c:pt>
                      <c:pt idx="364">
                        <c:v>7.4707033499747686</c:v>
                      </c:pt>
                      <c:pt idx="365">
                        <c:v>7.4707033499747686</c:v>
                      </c:pt>
                      <c:pt idx="366">
                        <c:v>7.4707033499747686</c:v>
                      </c:pt>
                      <c:pt idx="367">
                        <c:v>7.4707033499747686</c:v>
                      </c:pt>
                      <c:pt idx="368">
                        <c:v>11.400721766181032</c:v>
                      </c:pt>
                      <c:pt idx="369">
                        <c:v>11.13257307340591</c:v>
                      </c:pt>
                      <c:pt idx="370">
                        <c:v>11.13257307340591</c:v>
                      </c:pt>
                      <c:pt idx="371">
                        <c:v>11.674075929277137</c:v>
                      </c:pt>
                      <c:pt idx="372">
                        <c:v>11.124014945567641</c:v>
                      </c:pt>
                      <c:pt idx="373">
                        <c:v>11.484765306318003</c:v>
                      </c:pt>
                      <c:pt idx="374">
                        <c:v>14.945524066816125</c:v>
                      </c:pt>
                      <c:pt idx="375">
                        <c:v>13.566847596227889</c:v>
                      </c:pt>
                      <c:pt idx="376">
                        <c:v>13.113456228799524</c:v>
                      </c:pt>
                      <c:pt idx="377">
                        <c:v>16.279902559133443</c:v>
                      </c:pt>
                      <c:pt idx="378">
                        <c:v>14.348026605905178</c:v>
                      </c:pt>
                      <c:pt idx="379">
                        <c:v>14.536663978297543</c:v>
                      </c:pt>
                      <c:pt idx="380">
                        <c:v>13.324881726246835</c:v>
                      </c:pt>
                      <c:pt idx="381">
                        <c:v>12.571147984961225</c:v>
                      </c:pt>
                      <c:pt idx="382">
                        <c:v>12.571147984961225</c:v>
                      </c:pt>
                      <c:pt idx="383">
                        <c:v>13.047706459974105</c:v>
                      </c:pt>
                      <c:pt idx="384">
                        <c:v>12.701553742088571</c:v>
                      </c:pt>
                      <c:pt idx="385">
                        <c:v>12.701553742088571</c:v>
                      </c:pt>
                      <c:pt idx="386">
                        <c:v>10.680473659506806</c:v>
                      </c:pt>
                      <c:pt idx="387">
                        <c:v>10.680473659506806</c:v>
                      </c:pt>
                      <c:pt idx="388">
                        <c:v>10.680473659506806</c:v>
                      </c:pt>
                      <c:pt idx="389">
                        <c:v>10.680473659506806</c:v>
                      </c:pt>
                      <c:pt idx="390">
                        <c:v>12.643140705509158</c:v>
                      </c:pt>
                      <c:pt idx="391">
                        <c:v>12.643140705509158</c:v>
                      </c:pt>
                      <c:pt idx="392">
                        <c:v>12.643140705509158</c:v>
                      </c:pt>
                      <c:pt idx="393">
                        <c:v>12.343819761978063</c:v>
                      </c:pt>
                      <c:pt idx="394">
                        <c:v>13.83765168179302</c:v>
                      </c:pt>
                      <c:pt idx="395">
                        <c:v>10.425370980038632</c:v>
                      </c:pt>
                      <c:pt idx="396">
                        <c:v>10.425370980038632</c:v>
                      </c:pt>
                      <c:pt idx="397">
                        <c:v>10.566693761270967</c:v>
                      </c:pt>
                      <c:pt idx="398">
                        <c:v>10.566693761270967</c:v>
                      </c:pt>
                      <c:pt idx="399">
                        <c:v>10.566693761270967</c:v>
                      </c:pt>
                      <c:pt idx="400">
                        <c:v>10.566693761270967</c:v>
                      </c:pt>
                      <c:pt idx="401">
                        <c:v>8.4130799018518854</c:v>
                      </c:pt>
                      <c:pt idx="402">
                        <c:v>5.2519747708866884</c:v>
                      </c:pt>
                      <c:pt idx="403">
                        <c:v>5.2519747708866884</c:v>
                      </c:pt>
                      <c:pt idx="404">
                        <c:v>7.1835006421789984</c:v>
                      </c:pt>
                      <c:pt idx="405">
                        <c:v>7.1835006421789984</c:v>
                      </c:pt>
                      <c:pt idx="406">
                        <c:v>5.4175417333629472</c:v>
                      </c:pt>
                      <c:pt idx="407">
                        <c:v>5.4175417333629472</c:v>
                      </c:pt>
                      <c:pt idx="408">
                        <c:v>5.4175417333629472</c:v>
                      </c:pt>
                      <c:pt idx="409">
                        <c:v>5.4175417333629472</c:v>
                      </c:pt>
                      <c:pt idx="410">
                        <c:v>4.7727460462956213</c:v>
                      </c:pt>
                      <c:pt idx="411">
                        <c:v>4.7727460462956213</c:v>
                      </c:pt>
                      <c:pt idx="412">
                        <c:v>4.7727460462956213</c:v>
                      </c:pt>
                      <c:pt idx="413">
                        <c:v>5.9848672584168323</c:v>
                      </c:pt>
                      <c:pt idx="414">
                        <c:v>7.1357269367307552</c:v>
                      </c:pt>
                      <c:pt idx="415">
                        <c:v>7.1357269367307552</c:v>
                      </c:pt>
                      <c:pt idx="416">
                        <c:v>7.1357269367307552</c:v>
                      </c:pt>
                      <c:pt idx="417">
                        <c:v>7.1357269367307552</c:v>
                      </c:pt>
                      <c:pt idx="418">
                        <c:v>9.667439973720418</c:v>
                      </c:pt>
                    </c:numCache>
                  </c:numRef>
                </c:val>
                <c:smooth val="1"/>
                <c:extLst xmlns:c15="http://schemas.microsoft.com/office/drawing/2012/chart">
                  <c:ext xmlns:c16="http://schemas.microsoft.com/office/drawing/2014/chart" uri="{C3380CC4-5D6E-409C-BE32-E72D297353CC}">
                    <c16:uniqueId val="{00000007-A9EF-47C0-896E-1A1AEE0E0DC8}"/>
                  </c:ext>
                </c:extLst>
              </c15:ser>
            </c15:filteredLineSeries>
          </c:ext>
        </c:extLst>
      </c:lineChart>
      <c:catAx>
        <c:axId val="147683023"/>
        <c:scaling>
          <c:orientation val="minMax"/>
        </c:scaling>
        <c:delete val="0"/>
        <c:axPos val="b"/>
        <c:majorGridlines>
          <c:spPr>
            <a:ln w="9525" cap="flat" cmpd="sng" algn="ctr">
              <a:noFill/>
              <a:prstDash val="dash"/>
              <a:round/>
            </a:ln>
            <a:effectLst/>
          </c:spPr>
        </c:majorGridlines>
        <c:majorTickMark val="none"/>
        <c:minorTickMark val="none"/>
        <c:tickLblPos val="low"/>
        <c:spPr>
          <a:noFill/>
          <a:ln w="12700" cap="flat" cmpd="sng" algn="ctr">
            <a:solidFill>
              <a:sysClr val="windowText" lastClr="000000"/>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6645279"/>
        <c:crosses val="autoZero"/>
        <c:auto val="1"/>
        <c:lblAlgn val="ctr"/>
        <c:lblOffset val="100"/>
        <c:tickMarkSkip val="25"/>
        <c:noMultiLvlLbl val="0"/>
      </c:catAx>
      <c:valAx>
        <c:axId val="146645279"/>
        <c:scaling>
          <c:orientation val="minMax"/>
          <c:max val="30"/>
          <c:min val="-15"/>
        </c:scaling>
        <c:delete val="0"/>
        <c:axPos val="r"/>
        <c:majorGridlines>
          <c:spPr>
            <a:ln w="9525" cap="flat" cmpd="sng" algn="ctr">
              <a:solidFill>
                <a:schemeClr val="tx1">
                  <a:lumMod val="75000"/>
                  <a:lumOff val="25000"/>
                </a:schemeClr>
              </a:solidFill>
              <a:prstDash val="dash"/>
              <a:round/>
            </a:ln>
            <a:effectLst/>
          </c:spPr>
        </c:majorGridlines>
        <c:numFmt formatCode="0" sourceLinked="1"/>
        <c:majorTickMark val="none"/>
        <c:minorTickMark val="none"/>
        <c:tickLblPos val="high"/>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7683023"/>
        <c:crosses val="max"/>
        <c:crossBetween val="midCat"/>
      </c:valAx>
      <c:spPr>
        <a:solidFill>
          <a:schemeClr val="tx1">
            <a:lumMod val="50000"/>
            <a:lumOff val="50000"/>
          </a:schemeClr>
        </a:solidFill>
        <a:ln>
          <a:solidFill>
            <a:sysClr val="windowText" lastClr="000000"/>
          </a:solidFill>
        </a:ln>
        <a:effectLst/>
      </c:spPr>
    </c:plotArea>
    <c:legend>
      <c:legendPos val="t"/>
      <c:layout>
        <c:manualLayout>
          <c:xMode val="edge"/>
          <c:yMode val="edge"/>
          <c:x val="0.21218591265835363"/>
          <c:y val="1.2316999395039325E-2"/>
          <c:w val="0.75702120568262288"/>
          <c:h val="4.8904906323176213E-2"/>
        </c:manualLayout>
      </c:layout>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legend>
    <c:plotVisOnly val="0"/>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accent3">
                    <a:lumMod val="75000"/>
                  </a:schemeClr>
                </a:solidFill>
                <a:latin typeface="+mn-lt"/>
                <a:ea typeface="+mn-ea"/>
                <a:cs typeface="+mn-cs"/>
              </a:defRPr>
            </a:pPr>
            <a:r>
              <a:rPr lang="en-US" sz="1600" b="1">
                <a:solidFill>
                  <a:schemeClr val="accent3">
                    <a:lumMod val="75000"/>
                  </a:schemeClr>
                </a:solidFill>
              </a:rPr>
              <a:t>Downtrend Management Options</a:t>
            </a:r>
          </a:p>
        </c:rich>
      </c:tx>
      <c:layout>
        <c:manualLayout>
          <c:xMode val="edge"/>
          <c:yMode val="edge"/>
          <c:x val="1.1629127754379539E-2"/>
          <c:y val="1.9515219179692091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accent3">
                  <a:lumMod val="75000"/>
                </a:schemeClr>
              </a:solidFill>
              <a:latin typeface="+mn-lt"/>
              <a:ea typeface="+mn-ea"/>
              <a:cs typeface="+mn-cs"/>
            </a:defRPr>
          </a:pPr>
          <a:endParaRPr lang="en-US"/>
        </a:p>
      </c:txPr>
    </c:title>
    <c:autoTitleDeleted val="0"/>
    <c:plotArea>
      <c:layout>
        <c:manualLayout>
          <c:layoutTarget val="inner"/>
          <c:xMode val="edge"/>
          <c:yMode val="edge"/>
          <c:x val="1.0171058714748035E-2"/>
          <c:y val="9.227602146746583E-2"/>
          <c:w val="0.96115660299744099"/>
          <c:h val="0.84526011673913892"/>
        </c:manualLayout>
      </c:layout>
      <c:lineChart>
        <c:grouping val="standard"/>
        <c:varyColors val="0"/>
        <c:ser>
          <c:idx val="1"/>
          <c:order val="0"/>
          <c:tx>
            <c:v>Dwn (R)</c:v>
          </c:tx>
          <c:spPr>
            <a:ln w="19050" cap="rnd">
              <a:solidFill>
                <a:schemeClr val="accent2"/>
              </a:solidFill>
              <a:prstDash val="solid"/>
              <a:round/>
            </a:ln>
            <a:effectLst/>
          </c:spPr>
          <c:marker>
            <c:symbol val="none"/>
          </c:marker>
          <c:val>
            <c:numRef>
              <c:f>'2025-Q2'!$CF$4:$CF$422</c:f>
              <c:numCache>
                <c:formatCode>0.0</c:formatCode>
                <c:ptCount val="419"/>
                <c:pt idx="0">
                  <c:v>-0.47844667409884589</c:v>
                </c:pt>
                <c:pt idx="1">
                  <c:v>0.20039738260780871</c:v>
                </c:pt>
                <c:pt idx="2">
                  <c:v>0.20039738260780871</c:v>
                </c:pt>
                <c:pt idx="3">
                  <c:v>0.20039738260780871</c:v>
                </c:pt>
                <c:pt idx="4">
                  <c:v>0.20039738260780871</c:v>
                </c:pt>
                <c:pt idx="5">
                  <c:v>0.20039738260780871</c:v>
                </c:pt>
                <c:pt idx="6">
                  <c:v>0.20039738260780871</c:v>
                </c:pt>
                <c:pt idx="7">
                  <c:v>0.20039738260780871</c:v>
                </c:pt>
                <c:pt idx="8">
                  <c:v>0.20039738260780871</c:v>
                </c:pt>
                <c:pt idx="9">
                  <c:v>0.30064007544309346</c:v>
                </c:pt>
                <c:pt idx="10">
                  <c:v>0.30064007544309346</c:v>
                </c:pt>
                <c:pt idx="11">
                  <c:v>0.30064007544309346</c:v>
                </c:pt>
                <c:pt idx="12">
                  <c:v>0.60216810360001793</c:v>
                </c:pt>
                <c:pt idx="13">
                  <c:v>0.60216810360001793</c:v>
                </c:pt>
                <c:pt idx="14">
                  <c:v>1.4792312373428973</c:v>
                </c:pt>
                <c:pt idx="15">
                  <c:v>1.4792312373428973</c:v>
                </c:pt>
                <c:pt idx="16">
                  <c:v>1.8415029194115362</c:v>
                </c:pt>
                <c:pt idx="17">
                  <c:v>2.0183947996427927</c:v>
                </c:pt>
                <c:pt idx="18">
                  <c:v>2.0183947996427927</c:v>
                </c:pt>
                <c:pt idx="19">
                  <c:v>2.0183947996427927</c:v>
                </c:pt>
                <c:pt idx="20">
                  <c:v>2.0183947996427927</c:v>
                </c:pt>
                <c:pt idx="21">
                  <c:v>2.0183947996427927</c:v>
                </c:pt>
                <c:pt idx="22">
                  <c:v>2.0549578709407856</c:v>
                </c:pt>
                <c:pt idx="23">
                  <c:v>2.0549578709407856</c:v>
                </c:pt>
                <c:pt idx="24">
                  <c:v>2.0549578709407856</c:v>
                </c:pt>
                <c:pt idx="25">
                  <c:v>2.0549578709407856</c:v>
                </c:pt>
                <c:pt idx="26">
                  <c:v>2.4669949079778233</c:v>
                </c:pt>
                <c:pt idx="27">
                  <c:v>1.9018102809996771</c:v>
                </c:pt>
                <c:pt idx="28">
                  <c:v>0.92806658425128818</c:v>
                </c:pt>
                <c:pt idx="29">
                  <c:v>0.92806658425128818</c:v>
                </c:pt>
                <c:pt idx="30">
                  <c:v>0.37789926532439866</c:v>
                </c:pt>
                <c:pt idx="31">
                  <c:v>0.89631011803757732</c:v>
                </c:pt>
                <c:pt idx="32">
                  <c:v>0.38695214599303662</c:v>
                </c:pt>
                <c:pt idx="33">
                  <c:v>0.38695214599303662</c:v>
                </c:pt>
                <c:pt idx="34">
                  <c:v>0.38695214599303662</c:v>
                </c:pt>
                <c:pt idx="35">
                  <c:v>0.38695214599303662</c:v>
                </c:pt>
                <c:pt idx="36">
                  <c:v>4.9445060920641104E-2</c:v>
                </c:pt>
                <c:pt idx="37">
                  <c:v>4.9445060920641104E-2</c:v>
                </c:pt>
                <c:pt idx="38">
                  <c:v>4.9445060920641104E-2</c:v>
                </c:pt>
                <c:pt idx="39">
                  <c:v>4.9445060920641104E-2</c:v>
                </c:pt>
                <c:pt idx="40">
                  <c:v>-1.9614085164246415</c:v>
                </c:pt>
                <c:pt idx="41">
                  <c:v>-2.594121805639455</c:v>
                </c:pt>
                <c:pt idx="42">
                  <c:v>-1.2217069637903022</c:v>
                </c:pt>
                <c:pt idx="43">
                  <c:v>-1.2217069637903022</c:v>
                </c:pt>
                <c:pt idx="44">
                  <c:v>-1.2217069637903022</c:v>
                </c:pt>
                <c:pt idx="45">
                  <c:v>-1.2217069637903022</c:v>
                </c:pt>
                <c:pt idx="46">
                  <c:v>-2.4179115485653879</c:v>
                </c:pt>
                <c:pt idx="47">
                  <c:v>-2.4179115485653879</c:v>
                </c:pt>
                <c:pt idx="48">
                  <c:v>-2.9352208243324007</c:v>
                </c:pt>
                <c:pt idx="49">
                  <c:v>-2.9352208243324007</c:v>
                </c:pt>
                <c:pt idx="50">
                  <c:v>-2.9352208243324007</c:v>
                </c:pt>
                <c:pt idx="51">
                  <c:v>-2.9352208243324007</c:v>
                </c:pt>
                <c:pt idx="52">
                  <c:v>-4.2375680043391544</c:v>
                </c:pt>
                <c:pt idx="53">
                  <c:v>-4.2375680043391544</c:v>
                </c:pt>
                <c:pt idx="54">
                  <c:v>-4.2375680043391544</c:v>
                </c:pt>
                <c:pt idx="55">
                  <c:v>-3.6224694812908407</c:v>
                </c:pt>
                <c:pt idx="56">
                  <c:v>-3.6224694812908407</c:v>
                </c:pt>
                <c:pt idx="57">
                  <c:v>-1.7290263469717926</c:v>
                </c:pt>
                <c:pt idx="58">
                  <c:v>-1.7290263469717926</c:v>
                </c:pt>
                <c:pt idx="59">
                  <c:v>-1.7290263469717926</c:v>
                </c:pt>
                <c:pt idx="60">
                  <c:v>-1.7290263469717926</c:v>
                </c:pt>
                <c:pt idx="61">
                  <c:v>-1.7290263469717926</c:v>
                </c:pt>
                <c:pt idx="62">
                  <c:v>-1.7290263469717926</c:v>
                </c:pt>
                <c:pt idx="63">
                  <c:v>-1.7290263469717926</c:v>
                </c:pt>
                <c:pt idx="64">
                  <c:v>-1.7290263469717926</c:v>
                </c:pt>
                <c:pt idx="65">
                  <c:v>-1.7290263469717926</c:v>
                </c:pt>
                <c:pt idx="66">
                  <c:v>-2.1078142257596713</c:v>
                </c:pt>
                <c:pt idx="67">
                  <c:v>-2.9443487797740402</c:v>
                </c:pt>
                <c:pt idx="68">
                  <c:v>-2.8156523317960023</c:v>
                </c:pt>
                <c:pt idx="69">
                  <c:v>-2.8156523317960023</c:v>
                </c:pt>
                <c:pt idx="70">
                  <c:v>-2.1536522232713935</c:v>
                </c:pt>
                <c:pt idx="71">
                  <c:v>-2.1536522232713935</c:v>
                </c:pt>
                <c:pt idx="72">
                  <c:v>-2.1536522232713935</c:v>
                </c:pt>
                <c:pt idx="73">
                  <c:v>-2.1536522232713935</c:v>
                </c:pt>
                <c:pt idx="74">
                  <c:v>-2.1536522232713935</c:v>
                </c:pt>
                <c:pt idx="75">
                  <c:v>-2.1536522232713935</c:v>
                </c:pt>
                <c:pt idx="76">
                  <c:v>-2.1536522232713935</c:v>
                </c:pt>
                <c:pt idx="77">
                  <c:v>-2.1536522232713935</c:v>
                </c:pt>
                <c:pt idx="78">
                  <c:v>-2.1536522232713935</c:v>
                </c:pt>
                <c:pt idx="79">
                  <c:v>-2.1972822407234003</c:v>
                </c:pt>
                <c:pt idx="80">
                  <c:v>-2.1972822407234003</c:v>
                </c:pt>
                <c:pt idx="81">
                  <c:v>-3.0819449335041766</c:v>
                </c:pt>
                <c:pt idx="82">
                  <c:v>-3.8162473462121036</c:v>
                </c:pt>
                <c:pt idx="83">
                  <c:v>-3.8162473462121036</c:v>
                </c:pt>
                <c:pt idx="84">
                  <c:v>-3.8162473462121036</c:v>
                </c:pt>
                <c:pt idx="85">
                  <c:v>-3.9962227180033323</c:v>
                </c:pt>
                <c:pt idx="86">
                  <c:v>-3.9962227180033323</c:v>
                </c:pt>
                <c:pt idx="87">
                  <c:v>-3.9861567861496914</c:v>
                </c:pt>
                <c:pt idx="88">
                  <c:v>-3.1117975784571503</c:v>
                </c:pt>
                <c:pt idx="89">
                  <c:v>-3.1117975784571503</c:v>
                </c:pt>
                <c:pt idx="90">
                  <c:v>-1.9078521186370168</c:v>
                </c:pt>
                <c:pt idx="91">
                  <c:v>-2.1261927299907284</c:v>
                </c:pt>
                <c:pt idx="92">
                  <c:v>-1.8503306610252115</c:v>
                </c:pt>
                <c:pt idx="93">
                  <c:v>-1.8503306610252115</c:v>
                </c:pt>
                <c:pt idx="94">
                  <c:v>-1.8503306610252115</c:v>
                </c:pt>
                <c:pt idx="95">
                  <c:v>-1.7529637996248215</c:v>
                </c:pt>
                <c:pt idx="96">
                  <c:v>-1.6580671315522779</c:v>
                </c:pt>
                <c:pt idx="97">
                  <c:v>-1.4554433249721557</c:v>
                </c:pt>
                <c:pt idx="98">
                  <c:v>-1.8305996401034621</c:v>
                </c:pt>
                <c:pt idx="99">
                  <c:v>-1.8305996401034621</c:v>
                </c:pt>
                <c:pt idx="100">
                  <c:v>-3.083209243443755</c:v>
                </c:pt>
                <c:pt idx="101">
                  <c:v>-3.083209243443755</c:v>
                </c:pt>
                <c:pt idx="102">
                  <c:v>-3.083209243443755</c:v>
                </c:pt>
                <c:pt idx="103">
                  <c:v>-3.083209243443755</c:v>
                </c:pt>
                <c:pt idx="104">
                  <c:v>-3.083209243443755</c:v>
                </c:pt>
                <c:pt idx="105">
                  <c:v>-2.3232900815201392</c:v>
                </c:pt>
                <c:pt idx="106">
                  <c:v>-2.3232900815201392</c:v>
                </c:pt>
                <c:pt idx="107">
                  <c:v>-2.3232900815201392</c:v>
                </c:pt>
                <c:pt idx="108">
                  <c:v>-2.3232900815201392</c:v>
                </c:pt>
                <c:pt idx="109">
                  <c:v>-2.3232900815201392</c:v>
                </c:pt>
                <c:pt idx="110">
                  <c:v>-2.0179174314581103</c:v>
                </c:pt>
                <c:pt idx="111">
                  <c:v>-1.7934451800491877</c:v>
                </c:pt>
                <c:pt idx="112">
                  <c:v>-1.7934451800491877</c:v>
                </c:pt>
                <c:pt idx="113">
                  <c:v>-1.7934451800491877</c:v>
                </c:pt>
                <c:pt idx="114">
                  <c:v>-1.7934451800491877</c:v>
                </c:pt>
                <c:pt idx="115">
                  <c:v>-1.7934451800491877</c:v>
                </c:pt>
                <c:pt idx="116">
                  <c:v>-1.3152454613431399</c:v>
                </c:pt>
                <c:pt idx="117">
                  <c:v>-0.92694228116178978</c:v>
                </c:pt>
                <c:pt idx="118">
                  <c:v>-0.92694228116178978</c:v>
                </c:pt>
                <c:pt idx="119">
                  <c:v>-0.92694228116178978</c:v>
                </c:pt>
                <c:pt idx="120">
                  <c:v>-0.71819789295441994</c:v>
                </c:pt>
                <c:pt idx="121">
                  <c:v>-0.71819789295441994</c:v>
                </c:pt>
                <c:pt idx="122">
                  <c:v>-0.71819789295441994</c:v>
                </c:pt>
                <c:pt idx="123">
                  <c:v>-0.71819789295441994</c:v>
                </c:pt>
                <c:pt idx="124">
                  <c:v>0.53239661716924003</c:v>
                </c:pt>
                <c:pt idx="125">
                  <c:v>0.53239661716924003</c:v>
                </c:pt>
                <c:pt idx="126">
                  <c:v>0.53239661716924003</c:v>
                </c:pt>
                <c:pt idx="127">
                  <c:v>-0.12483798046271177</c:v>
                </c:pt>
                <c:pt idx="128">
                  <c:v>-0.12483798046271177</c:v>
                </c:pt>
                <c:pt idx="129">
                  <c:v>-0.52105080335043219</c:v>
                </c:pt>
                <c:pt idx="130">
                  <c:v>-0.52105080335043219</c:v>
                </c:pt>
                <c:pt idx="131">
                  <c:v>-0.76685953842633015</c:v>
                </c:pt>
                <c:pt idx="132">
                  <c:v>-0.76685953842633015</c:v>
                </c:pt>
                <c:pt idx="133">
                  <c:v>0.20735457138100322</c:v>
                </c:pt>
                <c:pt idx="134">
                  <c:v>0.69490545654620306</c:v>
                </c:pt>
                <c:pt idx="135">
                  <c:v>1.0350415109679725</c:v>
                </c:pt>
                <c:pt idx="136">
                  <c:v>1.2221531256210452</c:v>
                </c:pt>
                <c:pt idx="137">
                  <c:v>1.2221531256210452</c:v>
                </c:pt>
                <c:pt idx="138">
                  <c:v>1.3812276013983416</c:v>
                </c:pt>
                <c:pt idx="139">
                  <c:v>1.4677627346624487</c:v>
                </c:pt>
                <c:pt idx="140">
                  <c:v>1.4677627346624487</c:v>
                </c:pt>
                <c:pt idx="141">
                  <c:v>1.0166338665984678</c:v>
                </c:pt>
                <c:pt idx="142">
                  <c:v>-0.25788801657264138</c:v>
                </c:pt>
                <c:pt idx="143">
                  <c:v>-0.62751684762146254</c:v>
                </c:pt>
                <c:pt idx="144">
                  <c:v>-0.67668958856789296</c:v>
                </c:pt>
                <c:pt idx="145">
                  <c:v>0.66322463072949134</c:v>
                </c:pt>
                <c:pt idx="146">
                  <c:v>0.22039049224317847</c:v>
                </c:pt>
                <c:pt idx="147">
                  <c:v>-0.34358173274768583</c:v>
                </c:pt>
                <c:pt idx="148">
                  <c:v>-0.34358173274768583</c:v>
                </c:pt>
                <c:pt idx="149">
                  <c:v>-0.34358173274768583</c:v>
                </c:pt>
                <c:pt idx="150">
                  <c:v>-0.34358173274768583</c:v>
                </c:pt>
                <c:pt idx="151">
                  <c:v>-0.34358173274768583</c:v>
                </c:pt>
                <c:pt idx="152">
                  <c:v>2.076660291454735</c:v>
                </c:pt>
                <c:pt idx="153">
                  <c:v>2.076660291454735</c:v>
                </c:pt>
                <c:pt idx="154">
                  <c:v>2.076660291454735</c:v>
                </c:pt>
                <c:pt idx="155">
                  <c:v>2.076660291454735</c:v>
                </c:pt>
                <c:pt idx="156">
                  <c:v>4.0786276479105803</c:v>
                </c:pt>
                <c:pt idx="157">
                  <c:v>4.0786276479105803</c:v>
                </c:pt>
                <c:pt idx="158">
                  <c:v>4.0786276479105803</c:v>
                </c:pt>
                <c:pt idx="159">
                  <c:v>4.0786276479105803</c:v>
                </c:pt>
                <c:pt idx="160">
                  <c:v>4.0786276479105803</c:v>
                </c:pt>
                <c:pt idx="161">
                  <c:v>4.0786276479105803</c:v>
                </c:pt>
                <c:pt idx="162">
                  <c:v>4.4055729725924371</c:v>
                </c:pt>
                <c:pt idx="163">
                  <c:v>3.4372486660111123</c:v>
                </c:pt>
                <c:pt idx="164">
                  <c:v>3.4372486660111123</c:v>
                </c:pt>
                <c:pt idx="165">
                  <c:v>3.4372486660111123</c:v>
                </c:pt>
                <c:pt idx="166">
                  <c:v>3.4372486660111123</c:v>
                </c:pt>
                <c:pt idx="167">
                  <c:v>3.4372486660111123</c:v>
                </c:pt>
                <c:pt idx="168">
                  <c:v>4.6864613470944638</c:v>
                </c:pt>
                <c:pt idx="169">
                  <c:v>4.6864613470944638</c:v>
                </c:pt>
                <c:pt idx="170">
                  <c:v>5.1559656447513582</c:v>
                </c:pt>
                <c:pt idx="171">
                  <c:v>5.1559656447513582</c:v>
                </c:pt>
                <c:pt idx="172">
                  <c:v>5.1505243562542411</c:v>
                </c:pt>
                <c:pt idx="173">
                  <c:v>5.1505243562542411</c:v>
                </c:pt>
                <c:pt idx="174">
                  <c:v>6.819108936231224</c:v>
                </c:pt>
                <c:pt idx="175">
                  <c:v>6.819108936231224</c:v>
                </c:pt>
                <c:pt idx="176">
                  <c:v>6.8759031464671621</c:v>
                </c:pt>
                <c:pt idx="177">
                  <c:v>6.8759031464671621</c:v>
                </c:pt>
                <c:pt idx="178">
                  <c:v>7.1766578352514383</c:v>
                </c:pt>
                <c:pt idx="179">
                  <c:v>7.7094186495008064</c:v>
                </c:pt>
                <c:pt idx="180">
                  <c:v>7.7094186495008064</c:v>
                </c:pt>
                <c:pt idx="181">
                  <c:v>7.7094186495008064</c:v>
                </c:pt>
                <c:pt idx="182">
                  <c:v>7.7094186495008064</c:v>
                </c:pt>
                <c:pt idx="183">
                  <c:v>7.7094186495008064</c:v>
                </c:pt>
                <c:pt idx="184">
                  <c:v>6.1033405575600517</c:v>
                </c:pt>
                <c:pt idx="185">
                  <c:v>5.2662988114274008</c:v>
                </c:pt>
                <c:pt idx="186">
                  <c:v>5.1710188348809334</c:v>
                </c:pt>
                <c:pt idx="187">
                  <c:v>5.1710188348809334</c:v>
                </c:pt>
                <c:pt idx="188">
                  <c:v>6.2566086682816264</c:v>
                </c:pt>
                <c:pt idx="189">
                  <c:v>6.038794330127633</c:v>
                </c:pt>
                <c:pt idx="190">
                  <c:v>6.038794330127633</c:v>
                </c:pt>
                <c:pt idx="191">
                  <c:v>5.2360616230396761</c:v>
                </c:pt>
                <c:pt idx="192">
                  <c:v>5.2360616230396761</c:v>
                </c:pt>
                <c:pt idx="193">
                  <c:v>7.2100221438292609</c:v>
                </c:pt>
                <c:pt idx="194">
                  <c:v>6.2491285031632451</c:v>
                </c:pt>
                <c:pt idx="195">
                  <c:v>6.2491285031632451</c:v>
                </c:pt>
                <c:pt idx="196">
                  <c:v>6.2491285031632451</c:v>
                </c:pt>
                <c:pt idx="197">
                  <c:v>6.4791776860920081</c:v>
                </c:pt>
                <c:pt idx="198">
                  <c:v>6.5769092134568377</c:v>
                </c:pt>
                <c:pt idx="199">
                  <c:v>7.343567272895891</c:v>
                </c:pt>
                <c:pt idx="200">
                  <c:v>7.343567272895891</c:v>
                </c:pt>
                <c:pt idx="201">
                  <c:v>8.39823795735564</c:v>
                </c:pt>
                <c:pt idx="202">
                  <c:v>8.39823795735564</c:v>
                </c:pt>
                <c:pt idx="203">
                  <c:v>8.39823795735564</c:v>
                </c:pt>
                <c:pt idx="204">
                  <c:v>8.39823795735564</c:v>
                </c:pt>
                <c:pt idx="205">
                  <c:v>8.39823795735564</c:v>
                </c:pt>
                <c:pt idx="206">
                  <c:v>8.39823795735564</c:v>
                </c:pt>
                <c:pt idx="207">
                  <c:v>8.2100870866109137</c:v>
                </c:pt>
                <c:pt idx="208">
                  <c:v>8.2100870866109137</c:v>
                </c:pt>
                <c:pt idx="209">
                  <c:v>8.4352371866776252</c:v>
                </c:pt>
                <c:pt idx="210">
                  <c:v>8.4352371866776252</c:v>
                </c:pt>
                <c:pt idx="211">
                  <c:v>8.4352371866776252</c:v>
                </c:pt>
                <c:pt idx="212">
                  <c:v>8.4352371866776252</c:v>
                </c:pt>
                <c:pt idx="213">
                  <c:v>8.5229617316065465</c:v>
                </c:pt>
                <c:pt idx="214">
                  <c:v>9.0662494988690785</c:v>
                </c:pt>
                <c:pt idx="215">
                  <c:v>7.6857996534368214</c:v>
                </c:pt>
                <c:pt idx="216">
                  <c:v>7.6857996534368214</c:v>
                </c:pt>
                <c:pt idx="217">
                  <c:v>7.6857996534368214</c:v>
                </c:pt>
                <c:pt idx="218">
                  <c:v>7.1617915259638245</c:v>
                </c:pt>
                <c:pt idx="219">
                  <c:v>7.1617915259638245</c:v>
                </c:pt>
                <c:pt idx="220">
                  <c:v>7.6605515917221352</c:v>
                </c:pt>
                <c:pt idx="221">
                  <c:v>7.6605515917221352</c:v>
                </c:pt>
                <c:pt idx="222">
                  <c:v>7.8458451357049706</c:v>
                </c:pt>
                <c:pt idx="223">
                  <c:v>7.8458451357049706</c:v>
                </c:pt>
                <c:pt idx="224">
                  <c:v>7.8458451357049706</c:v>
                </c:pt>
                <c:pt idx="225">
                  <c:v>7.4384728844788999</c:v>
                </c:pt>
                <c:pt idx="226">
                  <c:v>7.4384728844788999</c:v>
                </c:pt>
                <c:pt idx="227">
                  <c:v>7.9034799300401977</c:v>
                </c:pt>
                <c:pt idx="228">
                  <c:v>7.9034799300401977</c:v>
                </c:pt>
                <c:pt idx="229">
                  <c:v>7.9034799300401977</c:v>
                </c:pt>
                <c:pt idx="230">
                  <c:v>8.625454201502528</c:v>
                </c:pt>
                <c:pt idx="231">
                  <c:v>8.625454201502528</c:v>
                </c:pt>
                <c:pt idx="232">
                  <c:v>8.625454201502528</c:v>
                </c:pt>
                <c:pt idx="233">
                  <c:v>8.625454201502528</c:v>
                </c:pt>
                <c:pt idx="234">
                  <c:v>9.1986618365118371</c:v>
                </c:pt>
                <c:pt idx="235">
                  <c:v>8.9122030102358636</c:v>
                </c:pt>
                <c:pt idx="236">
                  <c:v>10.74932703778653</c:v>
                </c:pt>
                <c:pt idx="237">
                  <c:v>10.74932703778653</c:v>
                </c:pt>
                <c:pt idx="238">
                  <c:v>10.74932703778653</c:v>
                </c:pt>
                <c:pt idx="239">
                  <c:v>10.74932703778653</c:v>
                </c:pt>
                <c:pt idx="240">
                  <c:v>10.74932703778653</c:v>
                </c:pt>
                <c:pt idx="241">
                  <c:v>14.498472044626475</c:v>
                </c:pt>
                <c:pt idx="242">
                  <c:v>14.498472044626475</c:v>
                </c:pt>
                <c:pt idx="243">
                  <c:v>14.88956953676421</c:v>
                </c:pt>
                <c:pt idx="244">
                  <c:v>14.88956953676421</c:v>
                </c:pt>
                <c:pt idx="245">
                  <c:v>15.328253264581399</c:v>
                </c:pt>
                <c:pt idx="246">
                  <c:v>15.02258741722525</c:v>
                </c:pt>
                <c:pt idx="247">
                  <c:v>14.825048398682267</c:v>
                </c:pt>
                <c:pt idx="248">
                  <c:v>14.296413204250431</c:v>
                </c:pt>
                <c:pt idx="249">
                  <c:v>13.896199757078602</c:v>
                </c:pt>
                <c:pt idx="250">
                  <c:v>14.350390028616012</c:v>
                </c:pt>
                <c:pt idx="251">
                  <c:v>14.350390028616012</c:v>
                </c:pt>
                <c:pt idx="252">
                  <c:v>14.350390028616012</c:v>
                </c:pt>
                <c:pt idx="253">
                  <c:v>15.049904861989113</c:v>
                </c:pt>
                <c:pt idx="254">
                  <c:v>15.108608282101416</c:v>
                </c:pt>
                <c:pt idx="255">
                  <c:v>15.637307369222354</c:v>
                </c:pt>
                <c:pt idx="256">
                  <c:v>15.637307369222354</c:v>
                </c:pt>
                <c:pt idx="257">
                  <c:v>15.637307369222354</c:v>
                </c:pt>
                <c:pt idx="258">
                  <c:v>15.637307369222354</c:v>
                </c:pt>
                <c:pt idx="259">
                  <c:v>14.578190401014478</c:v>
                </c:pt>
                <c:pt idx="260">
                  <c:v>14.946279460611336</c:v>
                </c:pt>
                <c:pt idx="261">
                  <c:v>14.655051390435897</c:v>
                </c:pt>
                <c:pt idx="262">
                  <c:v>14.925351237229506</c:v>
                </c:pt>
                <c:pt idx="263">
                  <c:v>14.925351237229506</c:v>
                </c:pt>
                <c:pt idx="264">
                  <c:v>14.46247756316972</c:v>
                </c:pt>
                <c:pt idx="265">
                  <c:v>14.695680212892579</c:v>
                </c:pt>
                <c:pt idx="266">
                  <c:v>14.695680212892579</c:v>
                </c:pt>
                <c:pt idx="267">
                  <c:v>14.868130265468816</c:v>
                </c:pt>
                <c:pt idx="268">
                  <c:v>14.706498599616124</c:v>
                </c:pt>
                <c:pt idx="269">
                  <c:v>15.851566908863537</c:v>
                </c:pt>
                <c:pt idx="270">
                  <c:v>16.15870279496492</c:v>
                </c:pt>
                <c:pt idx="271">
                  <c:v>15.987881587828392</c:v>
                </c:pt>
                <c:pt idx="272">
                  <c:v>16.150290922423157</c:v>
                </c:pt>
                <c:pt idx="273">
                  <c:v>16.150290922423157</c:v>
                </c:pt>
                <c:pt idx="274">
                  <c:v>15.54604425425058</c:v>
                </c:pt>
                <c:pt idx="275">
                  <c:v>15.884848968055291</c:v>
                </c:pt>
                <c:pt idx="276">
                  <c:v>15.524881415834647</c:v>
                </c:pt>
                <c:pt idx="277">
                  <c:v>15.524881415834647</c:v>
                </c:pt>
                <c:pt idx="278">
                  <c:v>15.860021591856096</c:v>
                </c:pt>
                <c:pt idx="279">
                  <c:v>15.931552350082134</c:v>
                </c:pt>
                <c:pt idx="280">
                  <c:v>15.931552350082134</c:v>
                </c:pt>
                <c:pt idx="281">
                  <c:v>15.931552350082134</c:v>
                </c:pt>
                <c:pt idx="282">
                  <c:v>16.422424478148169</c:v>
                </c:pt>
                <c:pt idx="283">
                  <c:v>15.098584815700914</c:v>
                </c:pt>
                <c:pt idx="284">
                  <c:v>15.098584815700914</c:v>
                </c:pt>
                <c:pt idx="285">
                  <c:v>14.275619548723203</c:v>
                </c:pt>
                <c:pt idx="286">
                  <c:v>14.275619548723203</c:v>
                </c:pt>
                <c:pt idx="287">
                  <c:v>14.32340417224137</c:v>
                </c:pt>
                <c:pt idx="288">
                  <c:v>14.32340417224137</c:v>
                </c:pt>
                <c:pt idx="289">
                  <c:v>13.871340030310286</c:v>
                </c:pt>
                <c:pt idx="290">
                  <c:v>13.871340030310286</c:v>
                </c:pt>
                <c:pt idx="291">
                  <c:v>14.873803225590116</c:v>
                </c:pt>
                <c:pt idx="292">
                  <c:v>14.080984002343399</c:v>
                </c:pt>
                <c:pt idx="293">
                  <c:v>14.080984002343399</c:v>
                </c:pt>
                <c:pt idx="294">
                  <c:v>12.227524814610586</c:v>
                </c:pt>
                <c:pt idx="295">
                  <c:v>12.227524814610586</c:v>
                </c:pt>
                <c:pt idx="296">
                  <c:v>11.032720426928414</c:v>
                </c:pt>
                <c:pt idx="297">
                  <c:v>11.032720426928414</c:v>
                </c:pt>
                <c:pt idx="298">
                  <c:v>10.458007783250252</c:v>
                </c:pt>
                <c:pt idx="299">
                  <c:v>10.458007783250252</c:v>
                </c:pt>
                <c:pt idx="300">
                  <c:v>10.458007783250252</c:v>
                </c:pt>
                <c:pt idx="301">
                  <c:v>10.458007783250252</c:v>
                </c:pt>
                <c:pt idx="302">
                  <c:v>10.449285693936057</c:v>
                </c:pt>
                <c:pt idx="303">
                  <c:v>10.449285693936057</c:v>
                </c:pt>
                <c:pt idx="304">
                  <c:v>10.449285693936057</c:v>
                </c:pt>
                <c:pt idx="305">
                  <c:v>10.449285693936057</c:v>
                </c:pt>
                <c:pt idx="306">
                  <c:v>10.449285693936057</c:v>
                </c:pt>
                <c:pt idx="307">
                  <c:v>10.449285693936057</c:v>
                </c:pt>
                <c:pt idx="308">
                  <c:v>10.870693194989578</c:v>
                </c:pt>
                <c:pt idx="309">
                  <c:v>10.870693194989578</c:v>
                </c:pt>
                <c:pt idx="310">
                  <c:v>10.782916148687187</c:v>
                </c:pt>
                <c:pt idx="311">
                  <c:v>12.099477255888688</c:v>
                </c:pt>
                <c:pt idx="312">
                  <c:v>11.785944021365825</c:v>
                </c:pt>
                <c:pt idx="313">
                  <c:v>11.785944021365825</c:v>
                </c:pt>
                <c:pt idx="314">
                  <c:v>11.010750222916213</c:v>
                </c:pt>
                <c:pt idx="315">
                  <c:v>11.789566422293161</c:v>
                </c:pt>
                <c:pt idx="316">
                  <c:v>11.789566422293161</c:v>
                </c:pt>
                <c:pt idx="317">
                  <c:v>11.789566422293161</c:v>
                </c:pt>
                <c:pt idx="318">
                  <c:v>11.789566422293161</c:v>
                </c:pt>
                <c:pt idx="319">
                  <c:v>11.789566422293161</c:v>
                </c:pt>
                <c:pt idx="320">
                  <c:v>12.26553396286744</c:v>
                </c:pt>
                <c:pt idx="321">
                  <c:v>12.26553396286744</c:v>
                </c:pt>
                <c:pt idx="322">
                  <c:v>12.26553396286744</c:v>
                </c:pt>
                <c:pt idx="323">
                  <c:v>12.26553396286744</c:v>
                </c:pt>
                <c:pt idx="324">
                  <c:v>10.023640054306867</c:v>
                </c:pt>
                <c:pt idx="325">
                  <c:v>10.023640054306867</c:v>
                </c:pt>
                <c:pt idx="326">
                  <c:v>8.4303486496947038</c:v>
                </c:pt>
                <c:pt idx="327">
                  <c:v>8.4303486496947038</c:v>
                </c:pt>
                <c:pt idx="328">
                  <c:v>8.4303486496947038</c:v>
                </c:pt>
                <c:pt idx="329">
                  <c:v>8.4303486496947038</c:v>
                </c:pt>
                <c:pt idx="330">
                  <c:v>9.2700433061832523</c:v>
                </c:pt>
                <c:pt idx="331">
                  <c:v>9.2700433061832523</c:v>
                </c:pt>
                <c:pt idx="332">
                  <c:v>9.2700433061832523</c:v>
                </c:pt>
                <c:pt idx="333">
                  <c:v>9.2700433061832523</c:v>
                </c:pt>
                <c:pt idx="334">
                  <c:v>9.2700433061832523</c:v>
                </c:pt>
                <c:pt idx="335">
                  <c:v>9.2700433061832523</c:v>
                </c:pt>
                <c:pt idx="336">
                  <c:v>9.2700433061832523</c:v>
                </c:pt>
                <c:pt idx="337">
                  <c:v>11.312285252271353</c:v>
                </c:pt>
                <c:pt idx="338">
                  <c:v>11.312285252271353</c:v>
                </c:pt>
                <c:pt idx="339">
                  <c:v>11.312285252271353</c:v>
                </c:pt>
                <c:pt idx="340">
                  <c:v>11.312285252271353</c:v>
                </c:pt>
                <c:pt idx="341">
                  <c:v>11.312285252271353</c:v>
                </c:pt>
                <c:pt idx="342">
                  <c:v>11.741888845319588</c:v>
                </c:pt>
                <c:pt idx="343">
                  <c:v>11.741888845319588</c:v>
                </c:pt>
                <c:pt idx="344">
                  <c:v>11.741888845319588</c:v>
                </c:pt>
                <c:pt idx="345">
                  <c:v>11.741888845319588</c:v>
                </c:pt>
                <c:pt idx="346">
                  <c:v>11.36313721070727</c:v>
                </c:pt>
                <c:pt idx="347">
                  <c:v>11.36313721070727</c:v>
                </c:pt>
                <c:pt idx="348">
                  <c:v>11.258632706202768</c:v>
                </c:pt>
                <c:pt idx="349">
                  <c:v>11.258632706202768</c:v>
                </c:pt>
                <c:pt idx="350">
                  <c:v>12.383106140093243</c:v>
                </c:pt>
                <c:pt idx="351">
                  <c:v>12.383106140093243</c:v>
                </c:pt>
                <c:pt idx="352">
                  <c:v>12.383106140093243</c:v>
                </c:pt>
                <c:pt idx="353">
                  <c:v>12.383106140093243</c:v>
                </c:pt>
                <c:pt idx="354">
                  <c:v>12.383106140093243</c:v>
                </c:pt>
                <c:pt idx="355">
                  <c:v>12.383106140093243</c:v>
                </c:pt>
                <c:pt idx="356">
                  <c:v>12.383106140093243</c:v>
                </c:pt>
                <c:pt idx="357">
                  <c:v>16.104654240656334</c:v>
                </c:pt>
                <c:pt idx="358">
                  <c:v>16.104654240656334</c:v>
                </c:pt>
                <c:pt idx="359">
                  <c:v>16.104654240656334</c:v>
                </c:pt>
                <c:pt idx="360">
                  <c:v>16.104654240656334</c:v>
                </c:pt>
                <c:pt idx="361">
                  <c:v>16.104654240656334</c:v>
                </c:pt>
                <c:pt idx="362">
                  <c:v>16.104654240656334</c:v>
                </c:pt>
                <c:pt idx="363">
                  <c:v>16.104654240656334</c:v>
                </c:pt>
                <c:pt idx="364">
                  <c:v>16.104654240656334</c:v>
                </c:pt>
                <c:pt idx="365">
                  <c:v>15.467887906215578</c:v>
                </c:pt>
                <c:pt idx="366">
                  <c:v>9.693422578931072</c:v>
                </c:pt>
                <c:pt idx="367">
                  <c:v>8.7052084435466917</c:v>
                </c:pt>
                <c:pt idx="368">
                  <c:v>8.7052084435466917</c:v>
                </c:pt>
                <c:pt idx="369">
                  <c:v>8.7052084435466917</c:v>
                </c:pt>
                <c:pt idx="370">
                  <c:v>8.7052084435466917</c:v>
                </c:pt>
                <c:pt idx="371">
                  <c:v>8.7052084435466917</c:v>
                </c:pt>
                <c:pt idx="372">
                  <c:v>8.7052084435466917</c:v>
                </c:pt>
                <c:pt idx="373">
                  <c:v>8.7052084435466917</c:v>
                </c:pt>
                <c:pt idx="374">
                  <c:v>8.7052084435466917</c:v>
                </c:pt>
                <c:pt idx="375">
                  <c:v>8.7052084435466917</c:v>
                </c:pt>
                <c:pt idx="376">
                  <c:v>8.7052084435466917</c:v>
                </c:pt>
                <c:pt idx="377">
                  <c:v>8.7052084435466917</c:v>
                </c:pt>
                <c:pt idx="378">
                  <c:v>8.7052084435466917</c:v>
                </c:pt>
                <c:pt idx="379">
                  <c:v>8.7052084435466917</c:v>
                </c:pt>
                <c:pt idx="380">
                  <c:v>8.7052084435466917</c:v>
                </c:pt>
                <c:pt idx="381">
                  <c:v>8.7052084435466917</c:v>
                </c:pt>
                <c:pt idx="382">
                  <c:v>10.255596040445914</c:v>
                </c:pt>
                <c:pt idx="383">
                  <c:v>10.255596040445914</c:v>
                </c:pt>
                <c:pt idx="384">
                  <c:v>10.255596040445914</c:v>
                </c:pt>
                <c:pt idx="385">
                  <c:v>11.046846922413456</c:v>
                </c:pt>
                <c:pt idx="386">
                  <c:v>11.046846922413456</c:v>
                </c:pt>
                <c:pt idx="387">
                  <c:v>11.046846922413456</c:v>
                </c:pt>
                <c:pt idx="388">
                  <c:v>11.046846922413456</c:v>
                </c:pt>
                <c:pt idx="389">
                  <c:v>11.046846922413456</c:v>
                </c:pt>
                <c:pt idx="390">
                  <c:v>11.046846922413456</c:v>
                </c:pt>
                <c:pt idx="391">
                  <c:v>10.650254677995123</c:v>
                </c:pt>
                <c:pt idx="392">
                  <c:v>10.650254677995123</c:v>
                </c:pt>
                <c:pt idx="393">
                  <c:v>10.650254677995123</c:v>
                </c:pt>
                <c:pt idx="394">
                  <c:v>10.650254677995123</c:v>
                </c:pt>
                <c:pt idx="395">
                  <c:v>10.650254677995123</c:v>
                </c:pt>
                <c:pt idx="396">
                  <c:v>10.650254677995123</c:v>
                </c:pt>
                <c:pt idx="397">
                  <c:v>10.650254677995123</c:v>
                </c:pt>
                <c:pt idx="398">
                  <c:v>10.650254677995123</c:v>
                </c:pt>
                <c:pt idx="399">
                  <c:v>10.650254677995123</c:v>
                </c:pt>
                <c:pt idx="400">
                  <c:v>10.446704767557083</c:v>
                </c:pt>
                <c:pt idx="401">
                  <c:v>10.446704767557083</c:v>
                </c:pt>
                <c:pt idx="402">
                  <c:v>10.446704767557083</c:v>
                </c:pt>
                <c:pt idx="403">
                  <c:v>10.446704767557083</c:v>
                </c:pt>
                <c:pt idx="404">
                  <c:v>10.446704767557083</c:v>
                </c:pt>
                <c:pt idx="405">
                  <c:v>10.446704767557083</c:v>
                </c:pt>
                <c:pt idx="406">
                  <c:v>10.446704767557083</c:v>
                </c:pt>
                <c:pt idx="407">
                  <c:v>10.446704767557083</c:v>
                </c:pt>
                <c:pt idx="408">
                  <c:v>10.446704767557083</c:v>
                </c:pt>
                <c:pt idx="409">
                  <c:v>11.300021340753757</c:v>
                </c:pt>
                <c:pt idx="410">
                  <c:v>11.300021340753757</c:v>
                </c:pt>
                <c:pt idx="411">
                  <c:v>11.300021340753757</c:v>
                </c:pt>
                <c:pt idx="412">
                  <c:v>11.300021340753757</c:v>
                </c:pt>
                <c:pt idx="413">
                  <c:v>11.300021340753757</c:v>
                </c:pt>
                <c:pt idx="414">
                  <c:v>11.300021340753757</c:v>
                </c:pt>
                <c:pt idx="415">
                  <c:v>11.724411280215779</c:v>
                </c:pt>
                <c:pt idx="416">
                  <c:v>11.724411280215779</c:v>
                </c:pt>
                <c:pt idx="417">
                  <c:v>10.963955006451521</c:v>
                </c:pt>
                <c:pt idx="418">
                  <c:v>10.963955006451521</c:v>
                </c:pt>
              </c:numCache>
            </c:numRef>
          </c:val>
          <c:smooth val="0"/>
          <c:extLst xmlns:c15="http://schemas.microsoft.com/office/drawing/2012/chart">
            <c:ext xmlns:c16="http://schemas.microsoft.com/office/drawing/2014/chart" uri="{C3380CC4-5D6E-409C-BE32-E72D297353CC}">
              <c16:uniqueId val="{00000004-3268-4A45-9311-8BC8E6FC2F8D}"/>
            </c:ext>
          </c:extLst>
        </c:ser>
        <c:ser>
          <c:idx val="6"/>
          <c:order val="1"/>
          <c:tx>
            <c:v>Dwn, MOC (R)</c:v>
          </c:tx>
          <c:spPr>
            <a:ln w="19050" cap="rnd">
              <a:solidFill>
                <a:schemeClr val="accent2">
                  <a:lumMod val="60000"/>
                  <a:lumOff val="40000"/>
                </a:schemeClr>
              </a:solidFill>
              <a:prstDash val="sysDash"/>
              <a:round/>
            </a:ln>
            <a:effectLst/>
          </c:spPr>
          <c:marker>
            <c:symbol val="none"/>
          </c:marker>
          <c:val>
            <c:numRef>
              <c:f>'2025-Q2'!$AT$4:$AT$422</c:f>
              <c:numCache>
                <c:formatCode>0.0</c:formatCode>
                <c:ptCount val="419"/>
                <c:pt idx="0">
                  <c:v>-3.9437012263099192</c:v>
                </c:pt>
                <c:pt idx="1">
                  <c:v>-4.0663838871605176</c:v>
                </c:pt>
                <c:pt idx="2">
                  <c:v>-4.0663838871605176</c:v>
                </c:pt>
                <c:pt idx="3">
                  <c:v>-4.0663838871605176</c:v>
                </c:pt>
                <c:pt idx="4">
                  <c:v>-4.0663838871605176</c:v>
                </c:pt>
                <c:pt idx="5">
                  <c:v>-4.0663838871605176</c:v>
                </c:pt>
                <c:pt idx="6">
                  <c:v>-4.0663838871605176</c:v>
                </c:pt>
                <c:pt idx="7">
                  <c:v>-4.0663838871605176</c:v>
                </c:pt>
                <c:pt idx="8">
                  <c:v>-4.0663838871605176</c:v>
                </c:pt>
                <c:pt idx="9">
                  <c:v>-4.1244191303809492</c:v>
                </c:pt>
                <c:pt idx="10">
                  <c:v>-4.1244191303809492</c:v>
                </c:pt>
                <c:pt idx="11">
                  <c:v>-4.1244191303809492</c:v>
                </c:pt>
                <c:pt idx="12">
                  <c:v>-4.1319305047478476</c:v>
                </c:pt>
                <c:pt idx="13">
                  <c:v>-4.1319305047478476</c:v>
                </c:pt>
                <c:pt idx="14">
                  <c:v>-2.8514923432498049</c:v>
                </c:pt>
                <c:pt idx="15">
                  <c:v>-2.8514923432498049</c:v>
                </c:pt>
                <c:pt idx="16">
                  <c:v>-1.638858389499098</c:v>
                </c:pt>
                <c:pt idx="17">
                  <c:v>-1.2893890651397892</c:v>
                </c:pt>
                <c:pt idx="18">
                  <c:v>-1.2893890651397892</c:v>
                </c:pt>
                <c:pt idx="19">
                  <c:v>-1.2893890651397892</c:v>
                </c:pt>
                <c:pt idx="20">
                  <c:v>-1.2893890651397892</c:v>
                </c:pt>
                <c:pt idx="21">
                  <c:v>-1.2893890651397892</c:v>
                </c:pt>
                <c:pt idx="22">
                  <c:v>-1.490485957278725</c:v>
                </c:pt>
                <c:pt idx="23">
                  <c:v>-1.490485957278725</c:v>
                </c:pt>
                <c:pt idx="24">
                  <c:v>-1.490485957278725</c:v>
                </c:pt>
                <c:pt idx="25">
                  <c:v>-1.490485957278725</c:v>
                </c:pt>
                <c:pt idx="26">
                  <c:v>-1.4441896609824287</c:v>
                </c:pt>
                <c:pt idx="27">
                  <c:v>-1.9465759960741142</c:v>
                </c:pt>
                <c:pt idx="28">
                  <c:v>-2.0682939581676614</c:v>
                </c:pt>
                <c:pt idx="29">
                  <c:v>-2.0682939581676614</c:v>
                </c:pt>
                <c:pt idx="30">
                  <c:v>-2.5943560079663102</c:v>
                </c:pt>
                <c:pt idx="31">
                  <c:v>-2.4732319769585582</c:v>
                </c:pt>
                <c:pt idx="32">
                  <c:v>-2.7101426616304369</c:v>
                </c:pt>
                <c:pt idx="33">
                  <c:v>-2.7101426616304369</c:v>
                </c:pt>
                <c:pt idx="34">
                  <c:v>-2.7101426616304369</c:v>
                </c:pt>
                <c:pt idx="35">
                  <c:v>-2.7101426616304369</c:v>
                </c:pt>
                <c:pt idx="36">
                  <c:v>-2.84025035473086</c:v>
                </c:pt>
                <c:pt idx="37">
                  <c:v>-2.84025035473086</c:v>
                </c:pt>
                <c:pt idx="38">
                  <c:v>-2.84025035473086</c:v>
                </c:pt>
                <c:pt idx="39">
                  <c:v>-2.84025035473086</c:v>
                </c:pt>
                <c:pt idx="40">
                  <c:v>-5.1464420032050118</c:v>
                </c:pt>
                <c:pt idx="41">
                  <c:v>-5.6129655827674068</c:v>
                </c:pt>
                <c:pt idx="42">
                  <c:v>-4.6853500109912494</c:v>
                </c:pt>
                <c:pt idx="43">
                  <c:v>-4.6853500109912494</c:v>
                </c:pt>
                <c:pt idx="44">
                  <c:v>-4.6853500109912494</c:v>
                </c:pt>
                <c:pt idx="45">
                  <c:v>-4.6853500109912494</c:v>
                </c:pt>
                <c:pt idx="46">
                  <c:v>-5.3260290767351934</c:v>
                </c:pt>
                <c:pt idx="47">
                  <c:v>-5.3260290767351934</c:v>
                </c:pt>
                <c:pt idx="48">
                  <c:v>-6.7186471270699215</c:v>
                </c:pt>
                <c:pt idx="49">
                  <c:v>-6.7186471270699215</c:v>
                </c:pt>
                <c:pt idx="50">
                  <c:v>-6.7186471270699215</c:v>
                </c:pt>
                <c:pt idx="51">
                  <c:v>-6.7186471270699215</c:v>
                </c:pt>
                <c:pt idx="52">
                  <c:v>-8.2552901530746503</c:v>
                </c:pt>
                <c:pt idx="53">
                  <c:v>-8.2552901530746503</c:v>
                </c:pt>
                <c:pt idx="54">
                  <c:v>-8.2552901530746503</c:v>
                </c:pt>
                <c:pt idx="55">
                  <c:v>-8.1006214837616302</c:v>
                </c:pt>
                <c:pt idx="56">
                  <c:v>-8.1006214837616302</c:v>
                </c:pt>
                <c:pt idx="57">
                  <c:v>-5.5084448039937079</c:v>
                </c:pt>
                <c:pt idx="58">
                  <c:v>-5.5084448039937079</c:v>
                </c:pt>
                <c:pt idx="59">
                  <c:v>-5.5084448039937079</c:v>
                </c:pt>
                <c:pt idx="60">
                  <c:v>-5.5084448039937079</c:v>
                </c:pt>
                <c:pt idx="61">
                  <c:v>-5.5084448039937079</c:v>
                </c:pt>
                <c:pt idx="62">
                  <c:v>-5.5084448039937079</c:v>
                </c:pt>
                <c:pt idx="63">
                  <c:v>-5.5084448039937079</c:v>
                </c:pt>
                <c:pt idx="64">
                  <c:v>-5.5084448039937079</c:v>
                </c:pt>
                <c:pt idx="65">
                  <c:v>-5.5084448039937079</c:v>
                </c:pt>
                <c:pt idx="66">
                  <c:v>-5.6561720767209787</c:v>
                </c:pt>
                <c:pt idx="67">
                  <c:v>-5.5377077425365409</c:v>
                </c:pt>
                <c:pt idx="68">
                  <c:v>-5.1010931264332777</c:v>
                </c:pt>
                <c:pt idx="69">
                  <c:v>-5.1010931264332777</c:v>
                </c:pt>
                <c:pt idx="70">
                  <c:v>-4.5286258194714231</c:v>
                </c:pt>
                <c:pt idx="71">
                  <c:v>-4.5286258194714231</c:v>
                </c:pt>
                <c:pt idx="72">
                  <c:v>-4.5286258194714231</c:v>
                </c:pt>
                <c:pt idx="73">
                  <c:v>-4.5286258194714231</c:v>
                </c:pt>
                <c:pt idx="74">
                  <c:v>-4.5286258194714231</c:v>
                </c:pt>
                <c:pt idx="75">
                  <c:v>-4.5286258194714231</c:v>
                </c:pt>
                <c:pt idx="76">
                  <c:v>-4.5286258194714231</c:v>
                </c:pt>
                <c:pt idx="77">
                  <c:v>-4.5286258194714231</c:v>
                </c:pt>
                <c:pt idx="78">
                  <c:v>-4.5286258194714231</c:v>
                </c:pt>
                <c:pt idx="79">
                  <c:v>-5.6096806963378167</c:v>
                </c:pt>
                <c:pt idx="80">
                  <c:v>-5.6096806963378167</c:v>
                </c:pt>
                <c:pt idx="81">
                  <c:v>-6.7143263581790498</c:v>
                </c:pt>
                <c:pt idx="82">
                  <c:v>-7.7558369231423363</c:v>
                </c:pt>
                <c:pt idx="83">
                  <c:v>-7.7558369231423363</c:v>
                </c:pt>
                <c:pt idx="84">
                  <c:v>-7.7558369231423363</c:v>
                </c:pt>
                <c:pt idx="85">
                  <c:v>-8.9114682578018058</c:v>
                </c:pt>
                <c:pt idx="86">
                  <c:v>-8.9114682578018058</c:v>
                </c:pt>
                <c:pt idx="87">
                  <c:v>-9.3392703615815655</c:v>
                </c:pt>
                <c:pt idx="88">
                  <c:v>-9.0109116998895704</c:v>
                </c:pt>
                <c:pt idx="89">
                  <c:v>-9.0109116998895704</c:v>
                </c:pt>
                <c:pt idx="90">
                  <c:v>-8.3920160418294216</c:v>
                </c:pt>
                <c:pt idx="91">
                  <c:v>-8.2260771772006009</c:v>
                </c:pt>
                <c:pt idx="92">
                  <c:v>-8.6628587863960043</c:v>
                </c:pt>
                <c:pt idx="93">
                  <c:v>-8.6628587863960043</c:v>
                </c:pt>
                <c:pt idx="94">
                  <c:v>-8.6628587863960043</c:v>
                </c:pt>
                <c:pt idx="95">
                  <c:v>-8.8956925853969384</c:v>
                </c:pt>
                <c:pt idx="96">
                  <c:v>-8.0814557420584521</c:v>
                </c:pt>
                <c:pt idx="97">
                  <c:v>-8.1364045709615365</c:v>
                </c:pt>
                <c:pt idx="98">
                  <c:v>-8.8936645403932442</c:v>
                </c:pt>
                <c:pt idx="99">
                  <c:v>-8.8936645403932442</c:v>
                </c:pt>
                <c:pt idx="100">
                  <c:v>-11.322968013538054</c:v>
                </c:pt>
                <c:pt idx="101">
                  <c:v>-11.322968013538054</c:v>
                </c:pt>
                <c:pt idx="102">
                  <c:v>-11.322968013538054</c:v>
                </c:pt>
                <c:pt idx="103">
                  <c:v>-11.322968013538054</c:v>
                </c:pt>
                <c:pt idx="104">
                  <c:v>-11.322968013538054</c:v>
                </c:pt>
                <c:pt idx="105">
                  <c:v>-10.295994492132461</c:v>
                </c:pt>
                <c:pt idx="106">
                  <c:v>-10.295994492132461</c:v>
                </c:pt>
                <c:pt idx="107">
                  <c:v>-10.295994492132461</c:v>
                </c:pt>
                <c:pt idx="108">
                  <c:v>-10.295994492132461</c:v>
                </c:pt>
                <c:pt idx="109">
                  <c:v>-10.295994492132461</c:v>
                </c:pt>
                <c:pt idx="110">
                  <c:v>-10.100365138186476</c:v>
                </c:pt>
                <c:pt idx="111">
                  <c:v>-9.9857410098074517</c:v>
                </c:pt>
                <c:pt idx="112">
                  <c:v>-9.9857410098074517</c:v>
                </c:pt>
                <c:pt idx="113">
                  <c:v>-9.9857410098074517</c:v>
                </c:pt>
                <c:pt idx="114">
                  <c:v>-9.9857410098074517</c:v>
                </c:pt>
                <c:pt idx="115">
                  <c:v>-9.9857410098074517</c:v>
                </c:pt>
                <c:pt idx="116">
                  <c:v>-10.039186860721655</c:v>
                </c:pt>
                <c:pt idx="117">
                  <c:v>-9.6183443078994078</c:v>
                </c:pt>
                <c:pt idx="118">
                  <c:v>-9.6183443078994078</c:v>
                </c:pt>
                <c:pt idx="119">
                  <c:v>-9.6183443078994078</c:v>
                </c:pt>
                <c:pt idx="120">
                  <c:v>-9.93289064629408</c:v>
                </c:pt>
                <c:pt idx="121">
                  <c:v>-9.93289064629408</c:v>
                </c:pt>
                <c:pt idx="122">
                  <c:v>-9.93289064629408</c:v>
                </c:pt>
                <c:pt idx="123">
                  <c:v>-9.93289064629408</c:v>
                </c:pt>
                <c:pt idx="124">
                  <c:v>-8.7761438056907366</c:v>
                </c:pt>
                <c:pt idx="125">
                  <c:v>-8.7761438056907366</c:v>
                </c:pt>
                <c:pt idx="126">
                  <c:v>-8.7761438056907366</c:v>
                </c:pt>
                <c:pt idx="127">
                  <c:v>-9.5753611446431748</c:v>
                </c:pt>
                <c:pt idx="128">
                  <c:v>-9.5753611446431748</c:v>
                </c:pt>
                <c:pt idx="129">
                  <c:v>-10.151670705207133</c:v>
                </c:pt>
                <c:pt idx="130">
                  <c:v>-10.151670705207133</c:v>
                </c:pt>
                <c:pt idx="131">
                  <c:v>-10.582444429053014</c:v>
                </c:pt>
                <c:pt idx="132">
                  <c:v>-10.582444429053014</c:v>
                </c:pt>
                <c:pt idx="133">
                  <c:v>-10.265553222331299</c:v>
                </c:pt>
                <c:pt idx="134">
                  <c:v>-10.222951688676085</c:v>
                </c:pt>
                <c:pt idx="135">
                  <c:v>-10.359006110444792</c:v>
                </c:pt>
                <c:pt idx="136">
                  <c:v>-10.297207778999741</c:v>
                </c:pt>
                <c:pt idx="137">
                  <c:v>-10.297207778999741</c:v>
                </c:pt>
                <c:pt idx="138">
                  <c:v>-10.832276470250644</c:v>
                </c:pt>
                <c:pt idx="139">
                  <c:v>-10.313065670666012</c:v>
                </c:pt>
                <c:pt idx="140">
                  <c:v>-10.313065670666012</c:v>
                </c:pt>
                <c:pt idx="141">
                  <c:v>-10.862508557890767</c:v>
                </c:pt>
                <c:pt idx="142">
                  <c:v>-11.722229011845069</c:v>
                </c:pt>
                <c:pt idx="143">
                  <c:v>-12.07902350848247</c:v>
                </c:pt>
                <c:pt idx="144">
                  <c:v>-12.113733678562305</c:v>
                </c:pt>
                <c:pt idx="145">
                  <c:v>-10.969172458861117</c:v>
                </c:pt>
                <c:pt idx="146">
                  <c:v>-11.357371216625092</c:v>
                </c:pt>
                <c:pt idx="147">
                  <c:v>-12.256902762523628</c:v>
                </c:pt>
                <c:pt idx="148">
                  <c:v>-12.256902762523628</c:v>
                </c:pt>
                <c:pt idx="149">
                  <c:v>-12.256902762523628</c:v>
                </c:pt>
                <c:pt idx="150">
                  <c:v>-12.256902762523628</c:v>
                </c:pt>
                <c:pt idx="151">
                  <c:v>-12.256902762523628</c:v>
                </c:pt>
                <c:pt idx="152">
                  <c:v>-10.185028908471558</c:v>
                </c:pt>
                <c:pt idx="153">
                  <c:v>-10.185028908471558</c:v>
                </c:pt>
                <c:pt idx="154">
                  <c:v>-10.185028908471558</c:v>
                </c:pt>
                <c:pt idx="155">
                  <c:v>-10.185028908471558</c:v>
                </c:pt>
                <c:pt idx="156">
                  <c:v>-8.7981640488582276</c:v>
                </c:pt>
                <c:pt idx="157">
                  <c:v>-8.7981640488582276</c:v>
                </c:pt>
                <c:pt idx="158">
                  <c:v>-8.7981640488582276</c:v>
                </c:pt>
                <c:pt idx="159">
                  <c:v>-8.7981640488582276</c:v>
                </c:pt>
                <c:pt idx="160">
                  <c:v>-8.7981640488582276</c:v>
                </c:pt>
                <c:pt idx="161">
                  <c:v>-8.7981640488582276</c:v>
                </c:pt>
                <c:pt idx="162">
                  <c:v>-8.3593028245737369</c:v>
                </c:pt>
                <c:pt idx="163">
                  <c:v>-9.6886972115752155</c:v>
                </c:pt>
                <c:pt idx="164">
                  <c:v>-9.6886972115752155</c:v>
                </c:pt>
                <c:pt idx="165">
                  <c:v>-9.6886972115752155</c:v>
                </c:pt>
                <c:pt idx="166">
                  <c:v>-9.6886972115752155</c:v>
                </c:pt>
                <c:pt idx="167">
                  <c:v>-9.6886972115752155</c:v>
                </c:pt>
                <c:pt idx="168">
                  <c:v>-9.0063541504792664</c:v>
                </c:pt>
                <c:pt idx="169">
                  <c:v>-9.0063541504792664</c:v>
                </c:pt>
                <c:pt idx="170">
                  <c:v>-9.1741393853785969</c:v>
                </c:pt>
                <c:pt idx="171">
                  <c:v>-9.1741393853785969</c:v>
                </c:pt>
                <c:pt idx="172">
                  <c:v>-8.8367794985573997</c:v>
                </c:pt>
                <c:pt idx="173">
                  <c:v>-8.8367794985573997</c:v>
                </c:pt>
                <c:pt idx="174">
                  <c:v>-7.5421880140924991</c:v>
                </c:pt>
                <c:pt idx="175">
                  <c:v>-7.5421880140924991</c:v>
                </c:pt>
                <c:pt idx="176">
                  <c:v>-7.3831642254318695</c:v>
                </c:pt>
                <c:pt idx="177">
                  <c:v>-7.3831642254318695</c:v>
                </c:pt>
                <c:pt idx="178">
                  <c:v>-7.5811766292277332</c:v>
                </c:pt>
                <c:pt idx="179">
                  <c:v>-6.2015646699402005</c:v>
                </c:pt>
                <c:pt idx="180">
                  <c:v>-6.2015646699402005</c:v>
                </c:pt>
                <c:pt idx="181">
                  <c:v>-6.2015646699402005</c:v>
                </c:pt>
                <c:pt idx="182">
                  <c:v>-6.2015646699402005</c:v>
                </c:pt>
                <c:pt idx="183">
                  <c:v>-6.2015646699402005</c:v>
                </c:pt>
                <c:pt idx="184">
                  <c:v>-6.5323975224118271</c:v>
                </c:pt>
                <c:pt idx="185">
                  <c:v>-6.2145335681842333</c:v>
                </c:pt>
                <c:pt idx="186">
                  <c:v>-6.3391304605911518</c:v>
                </c:pt>
                <c:pt idx="187">
                  <c:v>-6.3391304605911518</c:v>
                </c:pt>
                <c:pt idx="188">
                  <c:v>-4.8516366350938238</c:v>
                </c:pt>
                <c:pt idx="189">
                  <c:v>-4.9400891582020421</c:v>
                </c:pt>
                <c:pt idx="190">
                  <c:v>-4.9400891582020421</c:v>
                </c:pt>
                <c:pt idx="191">
                  <c:v>-5.1592750392154221</c:v>
                </c:pt>
                <c:pt idx="192">
                  <c:v>-5.1592750392154221</c:v>
                </c:pt>
                <c:pt idx="193">
                  <c:v>-2.1003362179918468</c:v>
                </c:pt>
                <c:pt idx="194">
                  <c:v>-2.22296272447764</c:v>
                </c:pt>
                <c:pt idx="195">
                  <c:v>-2.22296272447764</c:v>
                </c:pt>
                <c:pt idx="196">
                  <c:v>-2.22296272447764</c:v>
                </c:pt>
                <c:pt idx="197">
                  <c:v>-1.6081761149266331</c:v>
                </c:pt>
                <c:pt idx="198">
                  <c:v>-1.5875286091453329</c:v>
                </c:pt>
                <c:pt idx="199">
                  <c:v>-1.6533124201798017</c:v>
                </c:pt>
                <c:pt idx="200">
                  <c:v>-1.6533124201798017</c:v>
                </c:pt>
                <c:pt idx="201">
                  <c:v>-0.95737326104649789</c:v>
                </c:pt>
                <c:pt idx="202">
                  <c:v>-0.95737326104649789</c:v>
                </c:pt>
                <c:pt idx="203">
                  <c:v>-0.95737326104649789</c:v>
                </c:pt>
                <c:pt idx="204">
                  <c:v>-0.95737326104649789</c:v>
                </c:pt>
                <c:pt idx="205">
                  <c:v>-0.95737326104649789</c:v>
                </c:pt>
                <c:pt idx="206">
                  <c:v>-0.95737326104649789</c:v>
                </c:pt>
                <c:pt idx="207">
                  <c:v>-0.98946100644482016</c:v>
                </c:pt>
                <c:pt idx="208">
                  <c:v>-0.98946100644482016</c:v>
                </c:pt>
                <c:pt idx="209">
                  <c:v>-0.69204050388755856</c:v>
                </c:pt>
                <c:pt idx="210">
                  <c:v>-0.69204050388755856</c:v>
                </c:pt>
                <c:pt idx="211">
                  <c:v>-0.69204050388755856</c:v>
                </c:pt>
                <c:pt idx="212">
                  <c:v>-0.69204050388755856</c:v>
                </c:pt>
                <c:pt idx="213">
                  <c:v>-7.4978079898883943E-2</c:v>
                </c:pt>
                <c:pt idx="214">
                  <c:v>-4.5769060153586588E-2</c:v>
                </c:pt>
                <c:pt idx="215">
                  <c:v>-1.980530812631998</c:v>
                </c:pt>
                <c:pt idx="216">
                  <c:v>-1.980530812631998</c:v>
                </c:pt>
                <c:pt idx="217">
                  <c:v>-1.980530812631998</c:v>
                </c:pt>
                <c:pt idx="218">
                  <c:v>-1.7131797271865912</c:v>
                </c:pt>
                <c:pt idx="219">
                  <c:v>-1.7131797271865912</c:v>
                </c:pt>
                <c:pt idx="220">
                  <c:v>-0.64042763044385742</c:v>
                </c:pt>
                <c:pt idx="221">
                  <c:v>-0.64042763044385742</c:v>
                </c:pt>
                <c:pt idx="222">
                  <c:v>0.19436854665775938</c:v>
                </c:pt>
                <c:pt idx="223">
                  <c:v>0.19436854665775938</c:v>
                </c:pt>
                <c:pt idx="224">
                  <c:v>0.19436854665775938</c:v>
                </c:pt>
                <c:pt idx="225">
                  <c:v>-0.23805248376991539</c:v>
                </c:pt>
                <c:pt idx="226">
                  <c:v>-0.23805248376991539</c:v>
                </c:pt>
                <c:pt idx="227">
                  <c:v>3.7507246933076832E-2</c:v>
                </c:pt>
                <c:pt idx="228">
                  <c:v>3.7507246933076832E-2</c:v>
                </c:pt>
                <c:pt idx="229">
                  <c:v>3.7507246933076832E-2</c:v>
                </c:pt>
                <c:pt idx="230">
                  <c:v>0.32410915469539214</c:v>
                </c:pt>
                <c:pt idx="231">
                  <c:v>0.32410915469539214</c:v>
                </c:pt>
                <c:pt idx="232">
                  <c:v>0.32410915469539214</c:v>
                </c:pt>
                <c:pt idx="233">
                  <c:v>0.32410915469539214</c:v>
                </c:pt>
                <c:pt idx="234">
                  <c:v>1.2319303837456728</c:v>
                </c:pt>
                <c:pt idx="235">
                  <c:v>0.54685842200748502</c:v>
                </c:pt>
                <c:pt idx="236">
                  <c:v>1.9640329921477153</c:v>
                </c:pt>
                <c:pt idx="237">
                  <c:v>1.9640329921477153</c:v>
                </c:pt>
                <c:pt idx="238">
                  <c:v>1.9640329921477153</c:v>
                </c:pt>
                <c:pt idx="239">
                  <c:v>1.9640329921477153</c:v>
                </c:pt>
                <c:pt idx="240">
                  <c:v>1.9640329921477153</c:v>
                </c:pt>
                <c:pt idx="241">
                  <c:v>5.36975574636568</c:v>
                </c:pt>
                <c:pt idx="242">
                  <c:v>5.36975574636568</c:v>
                </c:pt>
                <c:pt idx="243">
                  <c:v>5.2017585418391636</c:v>
                </c:pt>
                <c:pt idx="244">
                  <c:v>5.2017585418391636</c:v>
                </c:pt>
                <c:pt idx="245">
                  <c:v>5.3094957294013225</c:v>
                </c:pt>
                <c:pt idx="246">
                  <c:v>5.2417450518945481</c:v>
                </c:pt>
                <c:pt idx="247">
                  <c:v>4.9677590447513404</c:v>
                </c:pt>
                <c:pt idx="248">
                  <c:v>4.3001088707461967</c:v>
                </c:pt>
                <c:pt idx="249">
                  <c:v>3.1261494257088422</c:v>
                </c:pt>
                <c:pt idx="250">
                  <c:v>5.0633767487537069</c:v>
                </c:pt>
                <c:pt idx="251">
                  <c:v>5.0633767487537069</c:v>
                </c:pt>
                <c:pt idx="252">
                  <c:v>5.0633767487537069</c:v>
                </c:pt>
                <c:pt idx="253">
                  <c:v>6.4552482193653349</c:v>
                </c:pt>
                <c:pt idx="254">
                  <c:v>6.1285509248273025</c:v>
                </c:pt>
                <c:pt idx="255">
                  <c:v>6.530795788377171</c:v>
                </c:pt>
                <c:pt idx="256">
                  <c:v>6.530795788377171</c:v>
                </c:pt>
                <c:pt idx="257">
                  <c:v>6.530795788377171</c:v>
                </c:pt>
                <c:pt idx="258">
                  <c:v>6.530795788377171</c:v>
                </c:pt>
                <c:pt idx="259">
                  <c:v>4.9374669223210343</c:v>
                </c:pt>
                <c:pt idx="260">
                  <c:v>4.7056059452260897</c:v>
                </c:pt>
                <c:pt idx="261">
                  <c:v>4.4178866469804747</c:v>
                </c:pt>
                <c:pt idx="262">
                  <c:v>5.0854287787379748</c:v>
                </c:pt>
                <c:pt idx="263">
                  <c:v>5.0854287787379748</c:v>
                </c:pt>
                <c:pt idx="264">
                  <c:v>5.1400735874811447</c:v>
                </c:pt>
                <c:pt idx="265">
                  <c:v>4.3728706673784004</c:v>
                </c:pt>
                <c:pt idx="266">
                  <c:v>4.3728706673784004</c:v>
                </c:pt>
                <c:pt idx="267">
                  <c:v>4.3665615191134153</c:v>
                </c:pt>
                <c:pt idx="268">
                  <c:v>4.2246977548398279</c:v>
                </c:pt>
                <c:pt idx="269">
                  <c:v>5.1670758116457458</c:v>
                </c:pt>
                <c:pt idx="270">
                  <c:v>5.6148627110085094</c:v>
                </c:pt>
                <c:pt idx="271">
                  <c:v>6.4784588137543011</c:v>
                </c:pt>
                <c:pt idx="272">
                  <c:v>6.4216943861289479</c:v>
                </c:pt>
                <c:pt idx="273">
                  <c:v>6.4216943861289479</c:v>
                </c:pt>
                <c:pt idx="274">
                  <c:v>6.0414519345063296</c:v>
                </c:pt>
                <c:pt idx="275">
                  <c:v>7.2220074900618831</c:v>
                </c:pt>
                <c:pt idx="276">
                  <c:v>6.9279494896562879</c:v>
                </c:pt>
                <c:pt idx="277">
                  <c:v>6.9279494896562879</c:v>
                </c:pt>
                <c:pt idx="278">
                  <c:v>8.0266264145266017</c:v>
                </c:pt>
                <c:pt idx="279">
                  <c:v>8.598872480334899</c:v>
                </c:pt>
                <c:pt idx="280">
                  <c:v>8.598872480334899</c:v>
                </c:pt>
                <c:pt idx="281">
                  <c:v>8.598872480334899</c:v>
                </c:pt>
                <c:pt idx="282">
                  <c:v>8.6213473748561338</c:v>
                </c:pt>
                <c:pt idx="283">
                  <c:v>7.5559465309742802</c:v>
                </c:pt>
                <c:pt idx="284">
                  <c:v>7.5559465309742802</c:v>
                </c:pt>
                <c:pt idx="285">
                  <c:v>6.1821777388540093</c:v>
                </c:pt>
                <c:pt idx="286">
                  <c:v>6.1821777388540093</c:v>
                </c:pt>
                <c:pt idx="287">
                  <c:v>5.0038292567783254</c:v>
                </c:pt>
                <c:pt idx="288">
                  <c:v>5.0038292567783254</c:v>
                </c:pt>
                <c:pt idx="289">
                  <c:v>5.4857466911010802</c:v>
                </c:pt>
                <c:pt idx="290">
                  <c:v>5.4857466911010802</c:v>
                </c:pt>
                <c:pt idx="291">
                  <c:v>6.5598144003294703</c:v>
                </c:pt>
                <c:pt idx="292">
                  <c:v>6.2000770435258943</c:v>
                </c:pt>
                <c:pt idx="293">
                  <c:v>6.2000770435258943</c:v>
                </c:pt>
                <c:pt idx="294">
                  <c:v>4.4062902003737472</c:v>
                </c:pt>
                <c:pt idx="295">
                  <c:v>4.4062902003737472</c:v>
                </c:pt>
                <c:pt idx="296">
                  <c:v>4.0038788396329377</c:v>
                </c:pt>
                <c:pt idx="297">
                  <c:v>4.0038788396329377</c:v>
                </c:pt>
                <c:pt idx="298">
                  <c:v>3.2682466557248908</c:v>
                </c:pt>
                <c:pt idx="299">
                  <c:v>3.2682466557248908</c:v>
                </c:pt>
                <c:pt idx="300">
                  <c:v>3.2682466557248908</c:v>
                </c:pt>
                <c:pt idx="301">
                  <c:v>3.2682466557248908</c:v>
                </c:pt>
                <c:pt idx="302">
                  <c:v>3.1660736094728956</c:v>
                </c:pt>
                <c:pt idx="303">
                  <c:v>3.1660736094728956</c:v>
                </c:pt>
                <c:pt idx="304">
                  <c:v>3.1660736094728956</c:v>
                </c:pt>
                <c:pt idx="305">
                  <c:v>3.1660736094728956</c:v>
                </c:pt>
                <c:pt idx="306">
                  <c:v>3.1660736094728956</c:v>
                </c:pt>
                <c:pt idx="307">
                  <c:v>3.1660736094728956</c:v>
                </c:pt>
                <c:pt idx="308">
                  <c:v>3.4926644227893751</c:v>
                </c:pt>
                <c:pt idx="309">
                  <c:v>3.4926644227893751</c:v>
                </c:pt>
                <c:pt idx="310">
                  <c:v>5.0891094524141298</c:v>
                </c:pt>
                <c:pt idx="311">
                  <c:v>5.8456189527659959</c:v>
                </c:pt>
                <c:pt idx="312">
                  <c:v>5.634696594996071</c:v>
                </c:pt>
                <c:pt idx="313">
                  <c:v>5.634696594996071</c:v>
                </c:pt>
                <c:pt idx="314">
                  <c:v>4.6850841918952959</c:v>
                </c:pt>
                <c:pt idx="315">
                  <c:v>3.8089159675962305</c:v>
                </c:pt>
                <c:pt idx="316">
                  <c:v>3.8089159675962305</c:v>
                </c:pt>
                <c:pt idx="317">
                  <c:v>3.8089159675962305</c:v>
                </c:pt>
                <c:pt idx="318">
                  <c:v>3.8089159675962305</c:v>
                </c:pt>
                <c:pt idx="319">
                  <c:v>3.8089159675962305</c:v>
                </c:pt>
                <c:pt idx="320">
                  <c:v>5.601596991316578</c:v>
                </c:pt>
                <c:pt idx="321">
                  <c:v>5.601596991316578</c:v>
                </c:pt>
                <c:pt idx="322">
                  <c:v>5.601596991316578</c:v>
                </c:pt>
                <c:pt idx="323">
                  <c:v>5.601596991316578</c:v>
                </c:pt>
                <c:pt idx="324">
                  <c:v>3.502153225206146</c:v>
                </c:pt>
                <c:pt idx="325">
                  <c:v>3.502153225206146</c:v>
                </c:pt>
                <c:pt idx="326">
                  <c:v>1.6048785920824562</c:v>
                </c:pt>
                <c:pt idx="327">
                  <c:v>1.6048785920824562</c:v>
                </c:pt>
                <c:pt idx="328">
                  <c:v>1.6048785920824562</c:v>
                </c:pt>
                <c:pt idx="329">
                  <c:v>1.6048785920824562</c:v>
                </c:pt>
                <c:pt idx="330">
                  <c:v>3.8186190500977242</c:v>
                </c:pt>
                <c:pt idx="331">
                  <c:v>3.8186190500977242</c:v>
                </c:pt>
                <c:pt idx="332">
                  <c:v>3.8186190500977242</c:v>
                </c:pt>
                <c:pt idx="333">
                  <c:v>3.8186190500977242</c:v>
                </c:pt>
                <c:pt idx="334">
                  <c:v>3.8186190500977242</c:v>
                </c:pt>
                <c:pt idx="335">
                  <c:v>3.8186190500977242</c:v>
                </c:pt>
                <c:pt idx="336">
                  <c:v>3.8186190500977242</c:v>
                </c:pt>
                <c:pt idx="337">
                  <c:v>4.3856801940819459</c:v>
                </c:pt>
                <c:pt idx="338">
                  <c:v>4.3856801940819459</c:v>
                </c:pt>
                <c:pt idx="339">
                  <c:v>4.3856801940819459</c:v>
                </c:pt>
                <c:pt idx="340">
                  <c:v>4.3856801940819459</c:v>
                </c:pt>
                <c:pt idx="341">
                  <c:v>4.3856801940819459</c:v>
                </c:pt>
                <c:pt idx="342">
                  <c:v>4.151350961510186</c:v>
                </c:pt>
                <c:pt idx="343">
                  <c:v>4.151350961510186</c:v>
                </c:pt>
                <c:pt idx="344">
                  <c:v>4.151350961510186</c:v>
                </c:pt>
                <c:pt idx="345">
                  <c:v>4.151350961510186</c:v>
                </c:pt>
                <c:pt idx="346">
                  <c:v>4.2310881477443578</c:v>
                </c:pt>
                <c:pt idx="347">
                  <c:v>4.2310881477443578</c:v>
                </c:pt>
                <c:pt idx="348">
                  <c:v>4.5107277873839973</c:v>
                </c:pt>
                <c:pt idx="349">
                  <c:v>4.5107277873839973</c:v>
                </c:pt>
                <c:pt idx="350">
                  <c:v>5.3787125679248309</c:v>
                </c:pt>
                <c:pt idx="351">
                  <c:v>5.3787125679248309</c:v>
                </c:pt>
                <c:pt idx="352">
                  <c:v>5.3787125679248309</c:v>
                </c:pt>
                <c:pt idx="353">
                  <c:v>5.3787125679248309</c:v>
                </c:pt>
                <c:pt idx="354">
                  <c:v>5.3787125679248309</c:v>
                </c:pt>
                <c:pt idx="355">
                  <c:v>5.3787125679248309</c:v>
                </c:pt>
                <c:pt idx="356">
                  <c:v>5.3787125679248309</c:v>
                </c:pt>
                <c:pt idx="357">
                  <c:v>8.6885177335472719</c:v>
                </c:pt>
                <c:pt idx="358">
                  <c:v>8.6885177335472719</c:v>
                </c:pt>
                <c:pt idx="359">
                  <c:v>8.6885177335472719</c:v>
                </c:pt>
                <c:pt idx="360">
                  <c:v>8.6885177335472719</c:v>
                </c:pt>
                <c:pt idx="361">
                  <c:v>8.6885177335472719</c:v>
                </c:pt>
                <c:pt idx="362">
                  <c:v>8.6885177335472719</c:v>
                </c:pt>
                <c:pt idx="363">
                  <c:v>8.6885177335472719</c:v>
                </c:pt>
                <c:pt idx="364">
                  <c:v>8.6885177335472719</c:v>
                </c:pt>
                <c:pt idx="365">
                  <c:v>8.7438887191508137</c:v>
                </c:pt>
                <c:pt idx="366">
                  <c:v>6.2984361375997242</c:v>
                </c:pt>
                <c:pt idx="367">
                  <c:v>6.0210091296021728</c:v>
                </c:pt>
                <c:pt idx="368">
                  <c:v>6.0210091296021728</c:v>
                </c:pt>
                <c:pt idx="369">
                  <c:v>6.0210091296021728</c:v>
                </c:pt>
                <c:pt idx="370">
                  <c:v>6.0210091296021728</c:v>
                </c:pt>
                <c:pt idx="371">
                  <c:v>6.0210091296021728</c:v>
                </c:pt>
                <c:pt idx="372">
                  <c:v>6.0210091296021728</c:v>
                </c:pt>
                <c:pt idx="373">
                  <c:v>6.0210091296021728</c:v>
                </c:pt>
                <c:pt idx="374">
                  <c:v>6.0210091296021728</c:v>
                </c:pt>
                <c:pt idx="375">
                  <c:v>6.0210091296021728</c:v>
                </c:pt>
                <c:pt idx="376">
                  <c:v>6.0210091296021728</c:v>
                </c:pt>
                <c:pt idx="377">
                  <c:v>6.0210091296021728</c:v>
                </c:pt>
                <c:pt idx="378">
                  <c:v>6.0210091296021728</c:v>
                </c:pt>
                <c:pt idx="379">
                  <c:v>6.0210091296021728</c:v>
                </c:pt>
                <c:pt idx="380">
                  <c:v>6.0210091296021728</c:v>
                </c:pt>
                <c:pt idx="381">
                  <c:v>6.0210091296021728</c:v>
                </c:pt>
                <c:pt idx="382">
                  <c:v>6.348975736638546</c:v>
                </c:pt>
                <c:pt idx="383">
                  <c:v>6.348975736638546</c:v>
                </c:pt>
                <c:pt idx="384">
                  <c:v>6.348975736638546</c:v>
                </c:pt>
                <c:pt idx="385">
                  <c:v>7.1402266186060874</c:v>
                </c:pt>
                <c:pt idx="386">
                  <c:v>7.1402266186060874</c:v>
                </c:pt>
                <c:pt idx="387">
                  <c:v>7.1402266186060874</c:v>
                </c:pt>
                <c:pt idx="388">
                  <c:v>7.1402266186060874</c:v>
                </c:pt>
                <c:pt idx="389">
                  <c:v>7.1402266186060874</c:v>
                </c:pt>
                <c:pt idx="390">
                  <c:v>7.1402266186060874</c:v>
                </c:pt>
                <c:pt idx="391">
                  <c:v>7.0374064070902227</c:v>
                </c:pt>
                <c:pt idx="392">
                  <c:v>7.0374064070902227</c:v>
                </c:pt>
                <c:pt idx="393">
                  <c:v>7.0374064070902227</c:v>
                </c:pt>
                <c:pt idx="394">
                  <c:v>7.0374064070902227</c:v>
                </c:pt>
                <c:pt idx="395">
                  <c:v>7.0374064070902227</c:v>
                </c:pt>
                <c:pt idx="396">
                  <c:v>7.0374064070902227</c:v>
                </c:pt>
                <c:pt idx="397">
                  <c:v>7.0374064070902227</c:v>
                </c:pt>
                <c:pt idx="398">
                  <c:v>7.0374064070902227</c:v>
                </c:pt>
                <c:pt idx="399">
                  <c:v>7.0374064070902227</c:v>
                </c:pt>
                <c:pt idx="400">
                  <c:v>6.7035845539718384</c:v>
                </c:pt>
                <c:pt idx="401">
                  <c:v>6.7035845539718384</c:v>
                </c:pt>
                <c:pt idx="402">
                  <c:v>6.7035845539718384</c:v>
                </c:pt>
                <c:pt idx="403">
                  <c:v>6.7035845539718384</c:v>
                </c:pt>
                <c:pt idx="404">
                  <c:v>6.7035845539718384</c:v>
                </c:pt>
                <c:pt idx="405">
                  <c:v>6.7035845539718384</c:v>
                </c:pt>
                <c:pt idx="406">
                  <c:v>6.7035845539718384</c:v>
                </c:pt>
                <c:pt idx="407">
                  <c:v>6.7035845539718384</c:v>
                </c:pt>
                <c:pt idx="408">
                  <c:v>6.7035845539718384</c:v>
                </c:pt>
                <c:pt idx="409">
                  <c:v>7.5899379350070992</c:v>
                </c:pt>
                <c:pt idx="410">
                  <c:v>7.5899379350070992</c:v>
                </c:pt>
                <c:pt idx="411">
                  <c:v>7.5899379350070992</c:v>
                </c:pt>
                <c:pt idx="412">
                  <c:v>7.5899379350070992</c:v>
                </c:pt>
                <c:pt idx="413">
                  <c:v>7.5899379350070992</c:v>
                </c:pt>
                <c:pt idx="414">
                  <c:v>7.5899379350070992</c:v>
                </c:pt>
                <c:pt idx="415">
                  <c:v>8.4418383281918956</c:v>
                </c:pt>
                <c:pt idx="416">
                  <c:v>8.4418383281918956</c:v>
                </c:pt>
                <c:pt idx="417">
                  <c:v>7.55237607941406</c:v>
                </c:pt>
                <c:pt idx="418">
                  <c:v>7.55237607941406</c:v>
                </c:pt>
              </c:numCache>
            </c:numRef>
          </c:val>
          <c:smooth val="0"/>
          <c:extLst xmlns:c15="http://schemas.microsoft.com/office/drawing/2012/chart">
            <c:ext xmlns:c16="http://schemas.microsoft.com/office/drawing/2014/chart" uri="{C3380CC4-5D6E-409C-BE32-E72D297353CC}">
              <c16:uniqueId val="{00000005-3268-4A45-9311-8BC8E6FC2F8D}"/>
            </c:ext>
          </c:extLst>
        </c:ser>
        <c:ser>
          <c:idx val="3"/>
          <c:order val="2"/>
          <c:tx>
            <c:v>Gaps Down from a Down Trend (Var.)</c:v>
          </c:tx>
          <c:spPr>
            <a:ln w="19050" cap="rnd">
              <a:solidFill>
                <a:schemeClr val="accent2">
                  <a:lumMod val="50000"/>
                </a:schemeClr>
              </a:solidFill>
              <a:prstDash val="sysDash"/>
              <a:round/>
            </a:ln>
            <a:effectLst/>
          </c:spPr>
          <c:marker>
            <c:symbol val="none"/>
          </c:marker>
          <c:val>
            <c:numRef>
              <c:f>'2025-Q2'!$HJ$4:$HJ$422</c:f>
              <c:numCache>
                <c:formatCode>0.0</c:formatCode>
                <c:ptCount val="419"/>
                <c:pt idx="0">
                  <c:v>0</c:v>
                </c:pt>
                <c:pt idx="1">
                  <c:v>-0.80152671755725302</c:v>
                </c:pt>
                <c:pt idx="2">
                  <c:v>-0.80152671755725302</c:v>
                </c:pt>
                <c:pt idx="3">
                  <c:v>-0.80152671755725302</c:v>
                </c:pt>
                <c:pt idx="4">
                  <c:v>-0.80152671755725302</c:v>
                </c:pt>
                <c:pt idx="5">
                  <c:v>-0.80152671755725302</c:v>
                </c:pt>
                <c:pt idx="6">
                  <c:v>-0.80152671755725302</c:v>
                </c:pt>
                <c:pt idx="7" formatCode="0">
                  <c:v>-0.80152671755725302</c:v>
                </c:pt>
                <c:pt idx="8">
                  <c:v>-0.80152671755725302</c:v>
                </c:pt>
                <c:pt idx="9">
                  <c:v>-0.95980465361296896</c:v>
                </c:pt>
                <c:pt idx="10">
                  <c:v>-0.95980465361296896</c:v>
                </c:pt>
                <c:pt idx="11">
                  <c:v>-0.95980465361296896</c:v>
                </c:pt>
                <c:pt idx="12">
                  <c:v>-1.268844056136792</c:v>
                </c:pt>
                <c:pt idx="13" formatCode="0">
                  <c:v>-1.268844056136792</c:v>
                </c:pt>
                <c:pt idx="14">
                  <c:v>-0.86546902838162876</c:v>
                </c:pt>
                <c:pt idx="15" formatCode="0">
                  <c:v>-0.86546902838162876</c:v>
                </c:pt>
                <c:pt idx="16" formatCode="0">
                  <c:v>-1.5106756699560742E-2</c:v>
                </c:pt>
                <c:pt idx="17">
                  <c:v>0.15747068742849171</c:v>
                </c:pt>
                <c:pt idx="18" formatCode="0">
                  <c:v>0.15747068742849171</c:v>
                </c:pt>
                <c:pt idx="19" formatCode="0">
                  <c:v>0.15747068742849171</c:v>
                </c:pt>
                <c:pt idx="20" formatCode="0">
                  <c:v>0.15747068742849171</c:v>
                </c:pt>
                <c:pt idx="21" formatCode="0">
                  <c:v>0.15747068742849171</c:v>
                </c:pt>
                <c:pt idx="22" formatCode="0">
                  <c:v>-8.0189276008437088E-2</c:v>
                </c:pt>
                <c:pt idx="23" formatCode="0">
                  <c:v>-8.0189276008437088E-2</c:v>
                </c:pt>
                <c:pt idx="24" formatCode="0">
                  <c:v>-8.0189276008437088E-2</c:v>
                </c:pt>
                <c:pt idx="25">
                  <c:v>-8.0189276008437088E-2</c:v>
                </c:pt>
                <c:pt idx="26">
                  <c:v>-0.44593001674917854</c:v>
                </c:pt>
                <c:pt idx="27" formatCode="0">
                  <c:v>-0.44593001674917854</c:v>
                </c:pt>
                <c:pt idx="28" formatCode="0">
                  <c:v>-0.44593001674917854</c:v>
                </c:pt>
                <c:pt idx="29" formatCode="0">
                  <c:v>-0.44593001674917854</c:v>
                </c:pt>
                <c:pt idx="30" formatCode="0">
                  <c:v>-0.44593001674917854</c:v>
                </c:pt>
                <c:pt idx="31" formatCode="0">
                  <c:v>-0.84321683845460527</c:v>
                </c:pt>
                <c:pt idx="32" formatCode="0">
                  <c:v>-0.84321683845460527</c:v>
                </c:pt>
                <c:pt idx="33" formatCode="0">
                  <c:v>-0.84321683845460527</c:v>
                </c:pt>
                <c:pt idx="34" formatCode="0">
                  <c:v>-0.84321683845460527</c:v>
                </c:pt>
                <c:pt idx="35" formatCode="0">
                  <c:v>-0.84321683845460527</c:v>
                </c:pt>
                <c:pt idx="36" formatCode="0">
                  <c:v>-0.84321683845460527</c:v>
                </c:pt>
                <c:pt idx="37" formatCode="0">
                  <c:v>-0.84321683845460527</c:v>
                </c:pt>
                <c:pt idx="38" formatCode="0">
                  <c:v>-0.84321683845460527</c:v>
                </c:pt>
                <c:pt idx="39" formatCode="0">
                  <c:v>-0.84321683845460527</c:v>
                </c:pt>
                <c:pt idx="40" formatCode="0">
                  <c:v>-0.84321683845460527</c:v>
                </c:pt>
                <c:pt idx="41" formatCode="0">
                  <c:v>-0.84321683845460527</c:v>
                </c:pt>
                <c:pt idx="42" formatCode="0">
                  <c:v>-1.2880161085276005</c:v>
                </c:pt>
                <c:pt idx="43" formatCode="0">
                  <c:v>-1.2880161085276005</c:v>
                </c:pt>
                <c:pt idx="44" formatCode="0">
                  <c:v>-1.2880161085276005</c:v>
                </c:pt>
                <c:pt idx="45" formatCode="0">
                  <c:v>-1.2880161085276005</c:v>
                </c:pt>
                <c:pt idx="46" formatCode="0">
                  <c:v>-1.2880161085276005</c:v>
                </c:pt>
                <c:pt idx="47" formatCode="0">
                  <c:v>-1.2880161085276005</c:v>
                </c:pt>
                <c:pt idx="48" formatCode="0">
                  <c:v>-1.2880161085276005</c:v>
                </c:pt>
                <c:pt idx="49" formatCode="0">
                  <c:v>-1.2880161085276005</c:v>
                </c:pt>
                <c:pt idx="50" formatCode="0">
                  <c:v>-1.2880161085276005</c:v>
                </c:pt>
                <c:pt idx="51" formatCode="0">
                  <c:v>-1.2880161085276005</c:v>
                </c:pt>
                <c:pt idx="52" formatCode="0">
                  <c:v>-1.2880161085276005</c:v>
                </c:pt>
                <c:pt idx="53" formatCode="0">
                  <c:v>-1.2880161085276005</c:v>
                </c:pt>
                <c:pt idx="54" formatCode="0">
                  <c:v>-1.2880161085276005</c:v>
                </c:pt>
                <c:pt idx="55" formatCode="0">
                  <c:v>-1.7484459622628941</c:v>
                </c:pt>
                <c:pt idx="56" formatCode="0">
                  <c:v>-1.7484459622628941</c:v>
                </c:pt>
                <c:pt idx="57" formatCode="0">
                  <c:v>-1.0497124168140199</c:v>
                </c:pt>
                <c:pt idx="58" formatCode="0">
                  <c:v>-1.0497124168140199</c:v>
                </c:pt>
                <c:pt idx="59" formatCode="0">
                  <c:v>-1.0497124168140199</c:v>
                </c:pt>
                <c:pt idx="60" formatCode="0">
                  <c:v>-1.0497124168140199</c:v>
                </c:pt>
                <c:pt idx="61" formatCode="0">
                  <c:v>-1.0497124168140199</c:v>
                </c:pt>
                <c:pt idx="62" formatCode="0">
                  <c:v>-1.0497124168140199</c:v>
                </c:pt>
                <c:pt idx="63" formatCode="0">
                  <c:v>-1.0497124168140199</c:v>
                </c:pt>
                <c:pt idx="64" formatCode="0">
                  <c:v>-1.0497124168140199</c:v>
                </c:pt>
                <c:pt idx="65" formatCode="0">
                  <c:v>-1.0497124168140199</c:v>
                </c:pt>
                <c:pt idx="66" formatCode="0">
                  <c:v>-1.0497124168140199</c:v>
                </c:pt>
                <c:pt idx="67" formatCode="0">
                  <c:v>-1.0497124168140199</c:v>
                </c:pt>
                <c:pt idx="68" formatCode="0">
                  <c:v>-0.74179424868879451</c:v>
                </c:pt>
                <c:pt idx="69" formatCode="0">
                  <c:v>-0.74179424868879451</c:v>
                </c:pt>
                <c:pt idx="70" formatCode="0">
                  <c:v>-0.83132705025154807</c:v>
                </c:pt>
                <c:pt idx="71" formatCode="0">
                  <c:v>-0.83132705025154807</c:v>
                </c:pt>
                <c:pt idx="72" formatCode="0">
                  <c:v>-0.83132705025154807</c:v>
                </c:pt>
                <c:pt idx="73" formatCode="0">
                  <c:v>-0.83132705025154807</c:v>
                </c:pt>
                <c:pt idx="74" formatCode="0">
                  <c:v>-0.83132705025154807</c:v>
                </c:pt>
                <c:pt idx="75" formatCode="0">
                  <c:v>-0.83132705025154807</c:v>
                </c:pt>
                <c:pt idx="76" formatCode="0">
                  <c:v>-0.83132705025154807</c:v>
                </c:pt>
                <c:pt idx="77" formatCode="0">
                  <c:v>-0.83132705025154807</c:v>
                </c:pt>
                <c:pt idx="78" formatCode="0">
                  <c:v>-0.83132705025154807</c:v>
                </c:pt>
                <c:pt idx="79" formatCode="0">
                  <c:v>-0.83132705025154807</c:v>
                </c:pt>
                <c:pt idx="80" formatCode="0">
                  <c:v>-0.83132705025154807</c:v>
                </c:pt>
                <c:pt idx="81" formatCode="0">
                  <c:v>-0.83132705025154807</c:v>
                </c:pt>
                <c:pt idx="82" formatCode="0">
                  <c:v>-0.83132705025154807</c:v>
                </c:pt>
                <c:pt idx="83" formatCode="0">
                  <c:v>-0.83132705025154807</c:v>
                </c:pt>
                <c:pt idx="84" formatCode="0">
                  <c:v>-0.83132705025154807</c:v>
                </c:pt>
                <c:pt idx="85" formatCode="0">
                  <c:v>-0.83132705025154807</c:v>
                </c:pt>
                <c:pt idx="86" formatCode="0">
                  <c:v>-0.83132705025154807</c:v>
                </c:pt>
                <c:pt idx="87" formatCode="0">
                  <c:v>-1.2691950858849492</c:v>
                </c:pt>
                <c:pt idx="88" formatCode="0">
                  <c:v>-1.8151956318854945</c:v>
                </c:pt>
                <c:pt idx="89" formatCode="0">
                  <c:v>-1.8151956318854945</c:v>
                </c:pt>
                <c:pt idx="90" formatCode="0">
                  <c:v>-2.400245433645479</c:v>
                </c:pt>
                <c:pt idx="91" formatCode="0">
                  <c:v>-2.400245433645479</c:v>
                </c:pt>
                <c:pt idx="92" formatCode="0">
                  <c:v>-3.1128891118063997</c:v>
                </c:pt>
                <c:pt idx="93" formatCode="0">
                  <c:v>-3.1128891118063997</c:v>
                </c:pt>
                <c:pt idx="94" formatCode="0">
                  <c:v>-3.1128891118063997</c:v>
                </c:pt>
                <c:pt idx="95" formatCode="0">
                  <c:v>-3.4430897722077232</c:v>
                </c:pt>
                <c:pt idx="96" formatCode="0">
                  <c:v>-2.7237495969417798</c:v>
                </c:pt>
                <c:pt idx="97" formatCode="0">
                  <c:v>-2.981322232424986</c:v>
                </c:pt>
                <c:pt idx="98" formatCode="0">
                  <c:v>-2.981322232424986</c:v>
                </c:pt>
                <c:pt idx="99" formatCode="0">
                  <c:v>-2.981322232424986</c:v>
                </c:pt>
                <c:pt idx="100" formatCode="0">
                  <c:v>-2.981322232424986</c:v>
                </c:pt>
                <c:pt idx="101" formatCode="0">
                  <c:v>-2.981322232424986</c:v>
                </c:pt>
                <c:pt idx="102" formatCode="0">
                  <c:v>-2.981322232424986</c:v>
                </c:pt>
                <c:pt idx="103" formatCode="0">
                  <c:v>-2.981322232424986</c:v>
                </c:pt>
                <c:pt idx="104" formatCode="0">
                  <c:v>-2.981322232424986</c:v>
                </c:pt>
                <c:pt idx="105" formatCode="0">
                  <c:v>-2.7142678729430094</c:v>
                </c:pt>
                <c:pt idx="106" formatCode="0">
                  <c:v>-2.7142678729430094</c:v>
                </c:pt>
                <c:pt idx="107" formatCode="0">
                  <c:v>-2.7142678729430094</c:v>
                </c:pt>
                <c:pt idx="108" formatCode="0">
                  <c:v>-2.7142678729430094</c:v>
                </c:pt>
                <c:pt idx="109" formatCode="0">
                  <c:v>-2.7142678729430094</c:v>
                </c:pt>
                <c:pt idx="110" formatCode="0">
                  <c:v>-2.824011169059053</c:v>
                </c:pt>
                <c:pt idx="111" formatCode="0">
                  <c:v>-2.9338592920889517</c:v>
                </c:pt>
                <c:pt idx="112" formatCode="0">
                  <c:v>-2.9338592920889517</c:v>
                </c:pt>
                <c:pt idx="113" formatCode="0">
                  <c:v>-2.9338592920889517</c:v>
                </c:pt>
                <c:pt idx="114" formatCode="0">
                  <c:v>-2.9338592920889517</c:v>
                </c:pt>
                <c:pt idx="115" formatCode="0">
                  <c:v>-2.9338592920889517</c:v>
                </c:pt>
                <c:pt idx="116" formatCode="0">
                  <c:v>-3.4655048617092032</c:v>
                </c:pt>
                <c:pt idx="117" formatCode="0">
                  <c:v>-3.4329654890683066</c:v>
                </c:pt>
                <c:pt idx="118" formatCode="0">
                  <c:v>-3.4329654890683066</c:v>
                </c:pt>
                <c:pt idx="119" formatCode="0">
                  <c:v>-3.4329654890683066</c:v>
                </c:pt>
                <c:pt idx="120" formatCode="0">
                  <c:v>-3.9562562156703489</c:v>
                </c:pt>
                <c:pt idx="121" formatCode="0">
                  <c:v>-3.9562562156703489</c:v>
                </c:pt>
                <c:pt idx="122" formatCode="0">
                  <c:v>-3.9562562156703489</c:v>
                </c:pt>
                <c:pt idx="123" formatCode="0">
                  <c:v>-3.9562562156703489</c:v>
                </c:pt>
                <c:pt idx="124" formatCode="0">
                  <c:v>-4.0501038851906657</c:v>
                </c:pt>
                <c:pt idx="125" formatCode="0">
                  <c:v>-4.0501038851906657</c:v>
                </c:pt>
                <c:pt idx="126" formatCode="0">
                  <c:v>-4.0501038851906657</c:v>
                </c:pt>
                <c:pt idx="127" formatCode="0">
                  <c:v>-4.0501038851906657</c:v>
                </c:pt>
                <c:pt idx="128" formatCode="0">
                  <c:v>-4.0501038851906657</c:v>
                </c:pt>
                <c:pt idx="129" formatCode="0">
                  <c:v>-4.0501038851906657</c:v>
                </c:pt>
                <c:pt idx="130" formatCode="0">
                  <c:v>-4.0501038851906657</c:v>
                </c:pt>
                <c:pt idx="131" formatCode="0">
                  <c:v>-4.0501038851906657</c:v>
                </c:pt>
                <c:pt idx="132" formatCode="0">
                  <c:v>-4.0501038851906657</c:v>
                </c:pt>
                <c:pt idx="133" formatCode="0">
                  <c:v>-4.7074267882762841</c:v>
                </c:pt>
                <c:pt idx="134" formatCode="0">
                  <c:v>-5.1523761397862708</c:v>
                </c:pt>
                <c:pt idx="135" formatCode="0">
                  <c:v>-5.6285666159767471</c:v>
                </c:pt>
                <c:pt idx="136" formatCode="0">
                  <c:v>-5.7538798991847679</c:v>
                </c:pt>
                <c:pt idx="137" formatCode="0">
                  <c:v>-5.7538798991847679</c:v>
                </c:pt>
                <c:pt idx="138" formatCode="0">
                  <c:v>-6.4480230662129667</c:v>
                </c:pt>
                <c:pt idx="139" formatCode="0">
                  <c:v>-6.0153473998924403</c:v>
                </c:pt>
                <c:pt idx="140" formatCode="0">
                  <c:v>-6.0153473998924403</c:v>
                </c:pt>
                <c:pt idx="141" formatCode="0">
                  <c:v>-6.0153473998924403</c:v>
                </c:pt>
                <c:pt idx="142" formatCode="0">
                  <c:v>-6.0153473998924403</c:v>
                </c:pt>
                <c:pt idx="143" formatCode="0">
                  <c:v>-6.0153473998924403</c:v>
                </c:pt>
                <c:pt idx="144" formatCode="0">
                  <c:v>-6.0153473998924403</c:v>
                </c:pt>
                <c:pt idx="145" formatCode="0">
                  <c:v>-6.2107003994886369</c:v>
                </c:pt>
                <c:pt idx="146" formatCode="0">
                  <c:v>-6.2107003994886369</c:v>
                </c:pt>
                <c:pt idx="147" formatCode="0">
                  <c:v>-6.2107003994886369</c:v>
                </c:pt>
                <c:pt idx="148" formatCode="0">
                  <c:v>-6.2107003994886369</c:v>
                </c:pt>
                <c:pt idx="149" formatCode="0">
                  <c:v>-6.2107003994886369</c:v>
                </c:pt>
                <c:pt idx="150" formatCode="0">
                  <c:v>-6.2107003994886369</c:v>
                </c:pt>
                <c:pt idx="151" formatCode="0">
                  <c:v>-6.2107003994886369</c:v>
                </c:pt>
                <c:pt idx="152" formatCode="0">
                  <c:v>-6.5590685696389865</c:v>
                </c:pt>
                <c:pt idx="153" formatCode="0">
                  <c:v>-6.5590685696389865</c:v>
                </c:pt>
                <c:pt idx="154" formatCode="0">
                  <c:v>-6.5590685696389865</c:v>
                </c:pt>
                <c:pt idx="155" formatCode="0">
                  <c:v>-6.5590685696389865</c:v>
                </c:pt>
                <c:pt idx="156" formatCode="0">
                  <c:v>-7.1741710664815006</c:v>
                </c:pt>
                <c:pt idx="157" formatCode="0">
                  <c:v>-7.1741710664815006</c:v>
                </c:pt>
                <c:pt idx="158" formatCode="0">
                  <c:v>-7.1741710664815006</c:v>
                </c:pt>
                <c:pt idx="159" formatCode="0">
                  <c:v>-7.1741710664815006</c:v>
                </c:pt>
                <c:pt idx="160" formatCode="0">
                  <c:v>-7.1741710664815006</c:v>
                </c:pt>
                <c:pt idx="161" formatCode="0">
                  <c:v>-7.1741710664815006</c:v>
                </c:pt>
                <c:pt idx="162" formatCode="0">
                  <c:v>-7.0622551668788667</c:v>
                </c:pt>
                <c:pt idx="163" formatCode="0">
                  <c:v>-7.0622551668788667</c:v>
                </c:pt>
                <c:pt idx="164" formatCode="0">
                  <c:v>-7.0622551668788667</c:v>
                </c:pt>
                <c:pt idx="165" formatCode="0">
                  <c:v>-7.0622551668788667</c:v>
                </c:pt>
                <c:pt idx="166" formatCode="0">
                  <c:v>-7.0622551668788667</c:v>
                </c:pt>
                <c:pt idx="167" formatCode="0">
                  <c:v>-7.0622551668788667</c:v>
                </c:pt>
                <c:pt idx="168" formatCode="0">
                  <c:v>-7.629124786866269</c:v>
                </c:pt>
                <c:pt idx="169" formatCode="0">
                  <c:v>-7.629124786866269</c:v>
                </c:pt>
                <c:pt idx="170" formatCode="0">
                  <c:v>-8.2664143194224948</c:v>
                </c:pt>
                <c:pt idx="171" formatCode="0">
                  <c:v>-8.2664143194224948</c:v>
                </c:pt>
                <c:pt idx="172" formatCode="0">
                  <c:v>-8.2664143194224948</c:v>
                </c:pt>
                <c:pt idx="173" formatCode="0">
                  <c:v>-8.2664143194224948</c:v>
                </c:pt>
                <c:pt idx="174" formatCode="0">
                  <c:v>-8.6404074149345771</c:v>
                </c:pt>
                <c:pt idx="175" formatCode="0">
                  <c:v>-8.6404074149345771</c:v>
                </c:pt>
                <c:pt idx="176" formatCode="0">
                  <c:v>-8.5381778365098846</c:v>
                </c:pt>
                <c:pt idx="177" formatCode="0">
                  <c:v>-8.5381778365098846</c:v>
                </c:pt>
                <c:pt idx="178" formatCode="0">
                  <c:v>-9.0369449290900246</c:v>
                </c:pt>
                <c:pt idx="179" formatCode="0">
                  <c:v>-8.1900937840518608</c:v>
                </c:pt>
                <c:pt idx="180" formatCode="0">
                  <c:v>-8.1900937840518608</c:v>
                </c:pt>
                <c:pt idx="181" formatCode="0">
                  <c:v>-8.1900937840518608</c:v>
                </c:pt>
                <c:pt idx="182" formatCode="0">
                  <c:v>-8.1900937840518608</c:v>
                </c:pt>
                <c:pt idx="183" formatCode="0">
                  <c:v>-8.1900937840518608</c:v>
                </c:pt>
                <c:pt idx="184" formatCode="0">
                  <c:v>-8.1900937840518608</c:v>
                </c:pt>
                <c:pt idx="185" formatCode="0">
                  <c:v>-8.1900937840518608</c:v>
                </c:pt>
                <c:pt idx="186" formatCode="0">
                  <c:v>-8.1900937840518608</c:v>
                </c:pt>
                <c:pt idx="187" formatCode="0">
                  <c:v>-8.1900937840518608</c:v>
                </c:pt>
                <c:pt idx="188" formatCode="0">
                  <c:v>-7.7881897919552259</c:v>
                </c:pt>
                <c:pt idx="189" formatCode="0">
                  <c:v>-7.7881897919552259</c:v>
                </c:pt>
                <c:pt idx="190" formatCode="0">
                  <c:v>-7.7881897919552259</c:v>
                </c:pt>
                <c:pt idx="191" formatCode="0">
                  <c:v>-7.7881897919552259</c:v>
                </c:pt>
                <c:pt idx="192" formatCode="0">
                  <c:v>-7.7881897919552259</c:v>
                </c:pt>
                <c:pt idx="193" formatCode="0">
                  <c:v>-6.7032114915212357</c:v>
                </c:pt>
                <c:pt idx="194" formatCode="0">
                  <c:v>-6.7032114915212357</c:v>
                </c:pt>
                <c:pt idx="195" formatCode="0">
                  <c:v>-6.7032114915212357</c:v>
                </c:pt>
                <c:pt idx="196" formatCode="0">
                  <c:v>-6.7032114915212357</c:v>
                </c:pt>
                <c:pt idx="197" formatCode="0">
                  <c:v>-6.3184740648989921</c:v>
                </c:pt>
                <c:pt idx="198" formatCode="0">
                  <c:v>-6.395558086482521</c:v>
                </c:pt>
                <c:pt idx="199" formatCode="0">
                  <c:v>-7.2279999569560429</c:v>
                </c:pt>
                <c:pt idx="200" formatCode="0">
                  <c:v>-7.2279999569560429</c:v>
                </c:pt>
                <c:pt idx="201" formatCode="0">
                  <c:v>-7.5867314822824889</c:v>
                </c:pt>
                <c:pt idx="202" formatCode="0">
                  <c:v>-7.5867314822824889</c:v>
                </c:pt>
                <c:pt idx="203" formatCode="0">
                  <c:v>-7.5867314822824889</c:v>
                </c:pt>
                <c:pt idx="204" formatCode="0">
                  <c:v>-7.5867314822824889</c:v>
                </c:pt>
                <c:pt idx="205" formatCode="0">
                  <c:v>-7.5867314822824889</c:v>
                </c:pt>
                <c:pt idx="206" formatCode="0">
                  <c:v>-7.5867314822824889</c:v>
                </c:pt>
                <c:pt idx="207" formatCode="0">
                  <c:v>-7.5867314822824889</c:v>
                </c:pt>
                <c:pt idx="208" formatCode="0">
                  <c:v>-7.5867314822824889</c:v>
                </c:pt>
                <c:pt idx="209" formatCode="0">
                  <c:v>-7.5144610797919391</c:v>
                </c:pt>
                <c:pt idx="210" formatCode="0">
                  <c:v>-7.5144610797919391</c:v>
                </c:pt>
                <c:pt idx="211" formatCode="0">
                  <c:v>-7.5144610797919391</c:v>
                </c:pt>
                <c:pt idx="212" formatCode="0">
                  <c:v>-7.5144610797919391</c:v>
                </c:pt>
                <c:pt idx="213" formatCode="0">
                  <c:v>-6.9851232007321853</c:v>
                </c:pt>
                <c:pt idx="214" formatCode="0">
                  <c:v>-7.4992019482494197</c:v>
                </c:pt>
                <c:pt idx="215" formatCode="0">
                  <c:v>-7.4992019482494197</c:v>
                </c:pt>
                <c:pt idx="216" formatCode="0">
                  <c:v>-7.4992019482494197</c:v>
                </c:pt>
                <c:pt idx="217" formatCode="0">
                  <c:v>-7.4992019482494197</c:v>
                </c:pt>
                <c:pt idx="218" formatCode="0">
                  <c:v>-7.4992019482494197</c:v>
                </c:pt>
                <c:pt idx="219" formatCode="0">
                  <c:v>-7.4992019482494197</c:v>
                </c:pt>
                <c:pt idx="220" formatCode="0">
                  <c:v>-6.925209917264997</c:v>
                </c:pt>
                <c:pt idx="221" formatCode="0">
                  <c:v>-6.925209917264997</c:v>
                </c:pt>
                <c:pt idx="222" formatCode="0">
                  <c:v>-6.2757072841462156</c:v>
                </c:pt>
                <c:pt idx="223" formatCode="0">
                  <c:v>-6.2757072841462156</c:v>
                </c:pt>
                <c:pt idx="224" formatCode="0">
                  <c:v>-6.2757072841462156</c:v>
                </c:pt>
                <c:pt idx="225" formatCode="0">
                  <c:v>-6.2757072841462156</c:v>
                </c:pt>
                <c:pt idx="226" formatCode="0">
                  <c:v>-6.2757072841462156</c:v>
                </c:pt>
                <c:pt idx="227" formatCode="0">
                  <c:v>-6.4651545990045207</c:v>
                </c:pt>
                <c:pt idx="228" formatCode="0">
                  <c:v>-6.4651545990045207</c:v>
                </c:pt>
                <c:pt idx="229" formatCode="0">
                  <c:v>-6.4651545990045207</c:v>
                </c:pt>
                <c:pt idx="230" formatCode="0">
                  <c:v>-6.9005269627045349</c:v>
                </c:pt>
                <c:pt idx="231" formatCode="0">
                  <c:v>-6.9005269627045349</c:v>
                </c:pt>
                <c:pt idx="232" formatCode="0">
                  <c:v>-6.9005269627045349</c:v>
                </c:pt>
                <c:pt idx="233" formatCode="0">
                  <c:v>-6.9005269627045349</c:v>
                </c:pt>
                <c:pt idx="234" formatCode="0">
                  <c:v>-6.5659133686635629</c:v>
                </c:pt>
                <c:pt idx="235" formatCode="0">
                  <c:v>-6.5659133686635629</c:v>
                </c:pt>
                <c:pt idx="236" formatCode="0">
                  <c:v>-6.9858628260739994</c:v>
                </c:pt>
                <c:pt idx="237" formatCode="0">
                  <c:v>-6.9858628260739994</c:v>
                </c:pt>
                <c:pt idx="238" formatCode="0">
                  <c:v>-6.9858628260739994</c:v>
                </c:pt>
                <c:pt idx="239" formatCode="0">
                  <c:v>-6.9858628260739994</c:v>
                </c:pt>
                <c:pt idx="240" formatCode="0">
                  <c:v>-6.9858628260739994</c:v>
                </c:pt>
                <c:pt idx="241" formatCode="0">
                  <c:v>-7.3292850786959791</c:v>
                </c:pt>
                <c:pt idx="242" formatCode="0">
                  <c:v>-7.3292850786959791</c:v>
                </c:pt>
                <c:pt idx="243" formatCode="0">
                  <c:v>-7.8883797753602307</c:v>
                </c:pt>
                <c:pt idx="244" formatCode="0">
                  <c:v>-7.8883797753602307</c:v>
                </c:pt>
                <c:pt idx="245" formatCode="0">
                  <c:v>-8.2193263156152607</c:v>
                </c:pt>
                <c:pt idx="246" formatCode="0">
                  <c:v>-8.2193263156152607</c:v>
                </c:pt>
                <c:pt idx="247" formatCode="0">
                  <c:v>-8.2193263156152607</c:v>
                </c:pt>
                <c:pt idx="248" formatCode="0">
                  <c:v>-8.2193263156152607</c:v>
                </c:pt>
                <c:pt idx="249" formatCode="0">
                  <c:v>-8.2193263156152607</c:v>
                </c:pt>
                <c:pt idx="250" formatCode="0">
                  <c:v>-6.7362892641078052</c:v>
                </c:pt>
                <c:pt idx="251" formatCode="0">
                  <c:v>-6.7362892641078052</c:v>
                </c:pt>
                <c:pt idx="252" formatCode="0">
                  <c:v>-6.7362892641078052</c:v>
                </c:pt>
                <c:pt idx="253" formatCode="0">
                  <c:v>-6.0439326268692772</c:v>
                </c:pt>
                <c:pt idx="254" formatCode="0">
                  <c:v>-6.4293333415196132</c:v>
                </c:pt>
                <c:pt idx="255" formatCode="0">
                  <c:v>-6.5557875650906823</c:v>
                </c:pt>
                <c:pt idx="256" formatCode="0">
                  <c:v>-6.5557875650906823</c:v>
                </c:pt>
                <c:pt idx="257" formatCode="0">
                  <c:v>-6.5557875650906823</c:v>
                </c:pt>
                <c:pt idx="258" formatCode="0">
                  <c:v>-6.5557875650906823</c:v>
                </c:pt>
                <c:pt idx="259" formatCode="0">
                  <c:v>-6.5557875650906823</c:v>
                </c:pt>
                <c:pt idx="260" formatCode="0">
                  <c:v>-7.1557376017824854</c:v>
                </c:pt>
                <c:pt idx="261" formatCode="0">
                  <c:v>-7.1557376017824854</c:v>
                </c:pt>
                <c:pt idx="262" formatCode="0">
                  <c:v>-6.7584953168185935</c:v>
                </c:pt>
                <c:pt idx="263" formatCode="0">
                  <c:v>-6.7584953168185935</c:v>
                </c:pt>
                <c:pt idx="264" formatCode="0">
                  <c:v>-6.7584953168185935</c:v>
                </c:pt>
                <c:pt idx="265" formatCode="0">
                  <c:v>-7.7589008866441977</c:v>
                </c:pt>
                <c:pt idx="266" formatCode="0">
                  <c:v>-7.7589008866441977</c:v>
                </c:pt>
                <c:pt idx="267" formatCode="0">
                  <c:v>-7.9376600874854191</c:v>
                </c:pt>
                <c:pt idx="268" formatCode="0">
                  <c:v>-7.9376600874854191</c:v>
                </c:pt>
                <c:pt idx="269" formatCode="0">
                  <c:v>-8.140350339926913</c:v>
                </c:pt>
                <c:pt idx="270" formatCode="0">
                  <c:v>-7.9996993266655325</c:v>
                </c:pt>
                <c:pt idx="271" formatCode="0">
                  <c:v>-7.9996993266655325</c:v>
                </c:pt>
                <c:pt idx="272" formatCode="0">
                  <c:v>-8.2188730888856494</c:v>
                </c:pt>
                <c:pt idx="273" formatCode="0">
                  <c:v>-8.2188730888856494</c:v>
                </c:pt>
                <c:pt idx="274" formatCode="0">
                  <c:v>-8.2188730888856494</c:v>
                </c:pt>
                <c:pt idx="275" formatCode="0">
                  <c:v>-7.3771222471348077</c:v>
                </c:pt>
                <c:pt idx="276" formatCode="0">
                  <c:v>-7.3771222471348077</c:v>
                </c:pt>
                <c:pt idx="277" formatCode="0">
                  <c:v>-7.3771222471348077</c:v>
                </c:pt>
                <c:pt idx="278" formatCode="0">
                  <c:v>-6.6135854982859428</c:v>
                </c:pt>
                <c:pt idx="279" formatCode="0">
                  <c:v>-6.1128701907036822</c:v>
                </c:pt>
                <c:pt idx="280" formatCode="0">
                  <c:v>-6.1128701907036822</c:v>
                </c:pt>
                <c:pt idx="281" formatCode="0">
                  <c:v>-6.1128701907036822</c:v>
                </c:pt>
                <c:pt idx="282" formatCode="0">
                  <c:v>-6.581267424248483</c:v>
                </c:pt>
                <c:pt idx="283" formatCode="0">
                  <c:v>-6.581267424248483</c:v>
                </c:pt>
                <c:pt idx="284" formatCode="0">
                  <c:v>-6.581267424248483</c:v>
                </c:pt>
                <c:pt idx="285" formatCode="0">
                  <c:v>-6.581267424248483</c:v>
                </c:pt>
                <c:pt idx="286" formatCode="0">
                  <c:v>-6.581267424248483</c:v>
                </c:pt>
                <c:pt idx="287" formatCode="0">
                  <c:v>-7.8074005298423348</c:v>
                </c:pt>
                <c:pt idx="288" formatCode="0">
                  <c:v>-7.8074005298423348</c:v>
                </c:pt>
                <c:pt idx="289" formatCode="0">
                  <c:v>-7.8074005298423348</c:v>
                </c:pt>
                <c:pt idx="290" formatCode="0">
                  <c:v>-7.8074005298423348</c:v>
                </c:pt>
                <c:pt idx="291" formatCode="0">
                  <c:v>-7.7357960158937757</c:v>
                </c:pt>
                <c:pt idx="292" formatCode="0">
                  <c:v>-7.7357960158937757</c:v>
                </c:pt>
                <c:pt idx="293" formatCode="0">
                  <c:v>-7.7357960158937757</c:v>
                </c:pt>
                <c:pt idx="294" formatCode="0">
                  <c:v>-7.7357960158937757</c:v>
                </c:pt>
                <c:pt idx="295" formatCode="0">
                  <c:v>-7.7357960158937757</c:v>
                </c:pt>
                <c:pt idx="296" formatCode="0">
                  <c:v>-7.7357960158937757</c:v>
                </c:pt>
                <c:pt idx="297" formatCode="0">
                  <c:v>-7.7357960158937757</c:v>
                </c:pt>
                <c:pt idx="298" formatCode="0">
                  <c:v>-7.7357960158937757</c:v>
                </c:pt>
                <c:pt idx="299" formatCode="0">
                  <c:v>-7.7357960158937757</c:v>
                </c:pt>
                <c:pt idx="300" formatCode="0">
                  <c:v>-7.7357960158937757</c:v>
                </c:pt>
                <c:pt idx="301" formatCode="0">
                  <c:v>-7.7357960158937757</c:v>
                </c:pt>
                <c:pt idx="302" formatCode="0">
                  <c:v>-7.7357960158937757</c:v>
                </c:pt>
                <c:pt idx="303" formatCode="0">
                  <c:v>-7.7357960158937757</c:v>
                </c:pt>
                <c:pt idx="304" formatCode="0">
                  <c:v>-7.7357960158937757</c:v>
                </c:pt>
                <c:pt idx="305" formatCode="0">
                  <c:v>-7.7357960158937757</c:v>
                </c:pt>
                <c:pt idx="306" formatCode="0">
                  <c:v>-7.7357960158937757</c:v>
                </c:pt>
                <c:pt idx="307" formatCode="0">
                  <c:v>-7.7357960158937757</c:v>
                </c:pt>
                <c:pt idx="308" formatCode="0">
                  <c:v>-7.8306127036308171</c:v>
                </c:pt>
                <c:pt idx="309" formatCode="0">
                  <c:v>-7.8306127036308171</c:v>
                </c:pt>
                <c:pt idx="310" formatCode="0">
                  <c:v>-7.8306127036308171</c:v>
                </c:pt>
                <c:pt idx="311" formatCode="0">
                  <c:v>-8.3906643104804512</c:v>
                </c:pt>
                <c:pt idx="312" formatCode="0">
                  <c:v>-8.3906643104804512</c:v>
                </c:pt>
                <c:pt idx="313" formatCode="0">
                  <c:v>-8.3906643104804512</c:v>
                </c:pt>
                <c:pt idx="314" formatCode="0">
                  <c:v>-8.3906643104804512</c:v>
                </c:pt>
                <c:pt idx="315" formatCode="0">
                  <c:v>-10.045648734156464</c:v>
                </c:pt>
                <c:pt idx="316" formatCode="0">
                  <c:v>-10.045648734156464</c:v>
                </c:pt>
                <c:pt idx="317" formatCode="0">
                  <c:v>-10.045648734156464</c:v>
                </c:pt>
                <c:pt idx="318" formatCode="0">
                  <c:v>-10.045648734156464</c:v>
                </c:pt>
                <c:pt idx="319" formatCode="0">
                  <c:v>-10.045648734156464</c:v>
                </c:pt>
                <c:pt idx="320" formatCode="0">
                  <c:v>-8.7289352510103964</c:v>
                </c:pt>
                <c:pt idx="321" formatCode="0">
                  <c:v>-8.7289352510103964</c:v>
                </c:pt>
                <c:pt idx="322" formatCode="0">
                  <c:v>-8.7289352510103964</c:v>
                </c:pt>
                <c:pt idx="323" formatCode="0">
                  <c:v>-8.7289352510103964</c:v>
                </c:pt>
                <c:pt idx="324" formatCode="0">
                  <c:v>-8.7289352510103964</c:v>
                </c:pt>
                <c:pt idx="325" formatCode="0">
                  <c:v>-8.7289352510103964</c:v>
                </c:pt>
                <c:pt idx="326" formatCode="0">
                  <c:v>-8.7289352510103964</c:v>
                </c:pt>
                <c:pt idx="327" formatCode="0">
                  <c:v>-8.7289352510103964</c:v>
                </c:pt>
                <c:pt idx="328" formatCode="0">
                  <c:v>-8.7289352510103964</c:v>
                </c:pt>
                <c:pt idx="329" formatCode="0">
                  <c:v>-8.7289352510103964</c:v>
                </c:pt>
                <c:pt idx="330" formatCode="0">
                  <c:v>-7.354889449483677</c:v>
                </c:pt>
                <c:pt idx="331" formatCode="0">
                  <c:v>-7.354889449483677</c:v>
                </c:pt>
                <c:pt idx="332" formatCode="0">
                  <c:v>-7.354889449483677</c:v>
                </c:pt>
                <c:pt idx="333" formatCode="0">
                  <c:v>-7.354889449483677</c:v>
                </c:pt>
                <c:pt idx="334" formatCode="0">
                  <c:v>-7.354889449483677</c:v>
                </c:pt>
                <c:pt idx="335" formatCode="0">
                  <c:v>-7.354889449483677</c:v>
                </c:pt>
                <c:pt idx="336" formatCode="0">
                  <c:v>-7.354889449483677</c:v>
                </c:pt>
                <c:pt idx="337" formatCode="0">
                  <c:v>-8.8300702515875571</c:v>
                </c:pt>
                <c:pt idx="338" formatCode="0">
                  <c:v>-8.8300702515875571</c:v>
                </c:pt>
                <c:pt idx="339" formatCode="0">
                  <c:v>-8.8300702515875571</c:v>
                </c:pt>
                <c:pt idx="340" formatCode="0">
                  <c:v>-8.8300702515875571</c:v>
                </c:pt>
                <c:pt idx="341" formatCode="0">
                  <c:v>-8.8300702515875571</c:v>
                </c:pt>
                <c:pt idx="342" formatCode="0">
                  <c:v>-9.4940030772075517</c:v>
                </c:pt>
                <c:pt idx="343" formatCode="0">
                  <c:v>-9.4940030772075517</c:v>
                </c:pt>
                <c:pt idx="344" formatCode="0">
                  <c:v>-9.4940030772075517</c:v>
                </c:pt>
                <c:pt idx="345" formatCode="0">
                  <c:v>-9.4940030772075517</c:v>
                </c:pt>
                <c:pt idx="346" formatCode="0">
                  <c:v>-9.4940030772075517</c:v>
                </c:pt>
                <c:pt idx="347" formatCode="0">
                  <c:v>-9.4940030772075517</c:v>
                </c:pt>
                <c:pt idx="348" formatCode="0">
                  <c:v>-9.4940030772075517</c:v>
                </c:pt>
                <c:pt idx="349" formatCode="0">
                  <c:v>-9.4940030772075517</c:v>
                </c:pt>
                <c:pt idx="350" formatCode="0">
                  <c:v>-9.7504917305571919</c:v>
                </c:pt>
                <c:pt idx="351" formatCode="0">
                  <c:v>-9.7504917305571919</c:v>
                </c:pt>
                <c:pt idx="352" formatCode="0">
                  <c:v>-9.7504917305571919</c:v>
                </c:pt>
                <c:pt idx="353" formatCode="0">
                  <c:v>-9.7504917305571919</c:v>
                </c:pt>
                <c:pt idx="354" formatCode="0">
                  <c:v>-9.7504917305571919</c:v>
                </c:pt>
                <c:pt idx="355" formatCode="0">
                  <c:v>-9.7504917305571919</c:v>
                </c:pt>
                <c:pt idx="356" formatCode="0">
                  <c:v>-9.7504917305571919</c:v>
                </c:pt>
                <c:pt idx="357" formatCode="0">
                  <c:v>-10.162234665497841</c:v>
                </c:pt>
                <c:pt idx="358" formatCode="0">
                  <c:v>-10.162234665497841</c:v>
                </c:pt>
                <c:pt idx="359" formatCode="0">
                  <c:v>-10.162234665497841</c:v>
                </c:pt>
                <c:pt idx="360" formatCode="0">
                  <c:v>-10.162234665497841</c:v>
                </c:pt>
                <c:pt idx="361" formatCode="0">
                  <c:v>-10.162234665497841</c:v>
                </c:pt>
                <c:pt idx="362" formatCode="0">
                  <c:v>-10.162234665497841</c:v>
                </c:pt>
                <c:pt idx="363" formatCode="0">
                  <c:v>-10.162234665497841</c:v>
                </c:pt>
                <c:pt idx="364" formatCode="0">
                  <c:v>-10.162234665497841</c:v>
                </c:pt>
                <c:pt idx="365" formatCode="0">
                  <c:v>-10.162234665497841</c:v>
                </c:pt>
                <c:pt idx="366" formatCode="0">
                  <c:v>-10.162234665497841</c:v>
                </c:pt>
                <c:pt idx="367" formatCode="0">
                  <c:v>-10.162234665497841</c:v>
                </c:pt>
                <c:pt idx="368" formatCode="0">
                  <c:v>-10.162234665497841</c:v>
                </c:pt>
                <c:pt idx="369" formatCode="0">
                  <c:v>-10.162234665497841</c:v>
                </c:pt>
                <c:pt idx="370" formatCode="0">
                  <c:v>-10.162234665497841</c:v>
                </c:pt>
                <c:pt idx="371" formatCode="0">
                  <c:v>-10.162234665497841</c:v>
                </c:pt>
                <c:pt idx="372" formatCode="0">
                  <c:v>-10.162234665497841</c:v>
                </c:pt>
                <c:pt idx="373" formatCode="0">
                  <c:v>-10.162234665497841</c:v>
                </c:pt>
                <c:pt idx="374" formatCode="0">
                  <c:v>-10.162234665497841</c:v>
                </c:pt>
                <c:pt idx="375" formatCode="0">
                  <c:v>-10.162234665497841</c:v>
                </c:pt>
                <c:pt idx="376" formatCode="0">
                  <c:v>-10.162234665497841</c:v>
                </c:pt>
                <c:pt idx="377" formatCode="0">
                  <c:v>-10.162234665497841</c:v>
                </c:pt>
                <c:pt idx="378" formatCode="0">
                  <c:v>-10.162234665497841</c:v>
                </c:pt>
                <c:pt idx="379" formatCode="0">
                  <c:v>-10.162234665497841</c:v>
                </c:pt>
                <c:pt idx="380" formatCode="0">
                  <c:v>-10.162234665497841</c:v>
                </c:pt>
                <c:pt idx="381" formatCode="0">
                  <c:v>-10.162234665497841</c:v>
                </c:pt>
                <c:pt idx="382" formatCode="0">
                  <c:v>-11.384655655360691</c:v>
                </c:pt>
                <c:pt idx="383" formatCode="0">
                  <c:v>-11.384655655360691</c:v>
                </c:pt>
                <c:pt idx="384" formatCode="0">
                  <c:v>-11.384655655360691</c:v>
                </c:pt>
                <c:pt idx="385" formatCode="0">
                  <c:v>-11.384655655360691</c:v>
                </c:pt>
                <c:pt idx="386" formatCode="0">
                  <c:v>-11.384655655360691</c:v>
                </c:pt>
                <c:pt idx="387" formatCode="0">
                  <c:v>-11.384655655360691</c:v>
                </c:pt>
                <c:pt idx="388" formatCode="0">
                  <c:v>-11.384655655360691</c:v>
                </c:pt>
                <c:pt idx="389" formatCode="0">
                  <c:v>-11.384655655360691</c:v>
                </c:pt>
                <c:pt idx="390" formatCode="0">
                  <c:v>-11.384655655360691</c:v>
                </c:pt>
                <c:pt idx="391" formatCode="0">
                  <c:v>-11.384655655360691</c:v>
                </c:pt>
                <c:pt idx="392" formatCode="0">
                  <c:v>-11.384655655360691</c:v>
                </c:pt>
                <c:pt idx="393" formatCode="0">
                  <c:v>-11.384655655360691</c:v>
                </c:pt>
                <c:pt idx="394" formatCode="0">
                  <c:v>-11.384655655360691</c:v>
                </c:pt>
                <c:pt idx="395" formatCode="0">
                  <c:v>-11.384655655360691</c:v>
                </c:pt>
                <c:pt idx="396" formatCode="0">
                  <c:v>-11.384655655360691</c:v>
                </c:pt>
                <c:pt idx="397" formatCode="0">
                  <c:v>-11.384655655360691</c:v>
                </c:pt>
                <c:pt idx="398" formatCode="0">
                  <c:v>-11.384655655360691</c:v>
                </c:pt>
                <c:pt idx="399" formatCode="0">
                  <c:v>-11.384655655360691</c:v>
                </c:pt>
                <c:pt idx="400" formatCode="0">
                  <c:v>-11.384655655360691</c:v>
                </c:pt>
                <c:pt idx="401" formatCode="0">
                  <c:v>-11.384655655360691</c:v>
                </c:pt>
                <c:pt idx="402" formatCode="0">
                  <c:v>-11.384655655360691</c:v>
                </c:pt>
                <c:pt idx="403" formatCode="0">
                  <c:v>-11.384655655360691</c:v>
                </c:pt>
                <c:pt idx="404" formatCode="0">
                  <c:v>-11.384655655360691</c:v>
                </c:pt>
                <c:pt idx="405" formatCode="0">
                  <c:v>-11.384655655360691</c:v>
                </c:pt>
                <c:pt idx="406" formatCode="0">
                  <c:v>-11.384655655360691</c:v>
                </c:pt>
                <c:pt idx="407" formatCode="0">
                  <c:v>-11.384655655360691</c:v>
                </c:pt>
                <c:pt idx="408" formatCode="0">
                  <c:v>-11.384655655360691</c:v>
                </c:pt>
                <c:pt idx="409" formatCode="0">
                  <c:v>-11.351618847522102</c:v>
                </c:pt>
                <c:pt idx="410" formatCode="0">
                  <c:v>-11.351618847522102</c:v>
                </c:pt>
                <c:pt idx="411" formatCode="0">
                  <c:v>-11.351618847522102</c:v>
                </c:pt>
                <c:pt idx="412" formatCode="0">
                  <c:v>-11.351618847522102</c:v>
                </c:pt>
                <c:pt idx="413" formatCode="0">
                  <c:v>-11.351618847522102</c:v>
                </c:pt>
                <c:pt idx="414" formatCode="0">
                  <c:v>-11.351618847522102</c:v>
                </c:pt>
                <c:pt idx="415" formatCode="0">
                  <c:v>-10.92410839379933</c:v>
                </c:pt>
                <c:pt idx="416" formatCode="0">
                  <c:v>-10.92410839379933</c:v>
                </c:pt>
                <c:pt idx="417" formatCode="0">
                  <c:v>-10.92410839379933</c:v>
                </c:pt>
                <c:pt idx="418" formatCode="0">
                  <c:v>-10.92410839379933</c:v>
                </c:pt>
              </c:numCache>
            </c:numRef>
          </c:val>
          <c:smooth val="0"/>
          <c:extLst>
            <c:ext xmlns:c16="http://schemas.microsoft.com/office/drawing/2014/chart" uri="{C3380CC4-5D6E-409C-BE32-E72D297353CC}">
              <c16:uniqueId val="{00000008-3268-4A45-9311-8BC8E6FC2F8D}"/>
            </c:ext>
          </c:extLst>
        </c:ser>
        <c:ser>
          <c:idx val="7"/>
          <c:order val="3"/>
          <c:tx>
            <c:v>Variance-Gaps Up from Dwn Trend (Var.)</c:v>
          </c:tx>
          <c:spPr>
            <a:ln w="19050" cap="rnd">
              <a:solidFill>
                <a:schemeClr val="accent2"/>
              </a:solidFill>
              <a:prstDash val="dash"/>
              <a:round/>
            </a:ln>
            <a:effectLst/>
          </c:spPr>
          <c:marker>
            <c:symbol val="none"/>
          </c:marker>
          <c:val>
            <c:numRef>
              <c:f>'2025-Q2'!$HL$4:$HL$422</c:f>
              <c:numCache>
                <c:formatCode>0.00</c:formatCode>
                <c:ptCount val="419"/>
                <c:pt idx="0">
                  <c:v>-3.4652545522110731</c:v>
                </c:pt>
                <c:pt idx="1">
                  <c:v>-3.4652545522110731</c:v>
                </c:pt>
                <c:pt idx="2">
                  <c:v>-3.4652545522110731</c:v>
                </c:pt>
                <c:pt idx="3">
                  <c:v>-3.4652545522110731</c:v>
                </c:pt>
                <c:pt idx="4">
                  <c:v>-3.4652545522110731</c:v>
                </c:pt>
                <c:pt idx="5">
                  <c:v>-3.4652545522110731</c:v>
                </c:pt>
                <c:pt idx="6">
                  <c:v>-3.4652545522110731</c:v>
                </c:pt>
                <c:pt idx="7">
                  <c:v>-3.4652545522110731</c:v>
                </c:pt>
                <c:pt idx="8">
                  <c:v>-3.4652545522110731</c:v>
                </c:pt>
                <c:pt idx="9">
                  <c:v>-3.4652545522110731</c:v>
                </c:pt>
                <c:pt idx="10">
                  <c:v>-3.4652545522110731</c:v>
                </c:pt>
                <c:pt idx="11">
                  <c:v>-3.4652545522110731</c:v>
                </c:pt>
                <c:pt idx="12">
                  <c:v>-3.4652545522110731</c:v>
                </c:pt>
                <c:pt idx="13">
                  <c:v>-3.4652545522110731</c:v>
                </c:pt>
                <c:pt idx="14">
                  <c:v>-3.4652545522110731</c:v>
                </c:pt>
                <c:pt idx="15">
                  <c:v>-3.4652545522110731</c:v>
                </c:pt>
                <c:pt idx="16">
                  <c:v>-3.4652545522110731</c:v>
                </c:pt>
                <c:pt idx="17">
                  <c:v>-3.4652545522110731</c:v>
                </c:pt>
                <c:pt idx="18">
                  <c:v>-3.4652545522110731</c:v>
                </c:pt>
                <c:pt idx="19">
                  <c:v>-3.4652545522110731</c:v>
                </c:pt>
                <c:pt idx="20">
                  <c:v>-3.4652545522110731</c:v>
                </c:pt>
                <c:pt idx="21">
                  <c:v>-3.4652545522110731</c:v>
                </c:pt>
                <c:pt idx="22">
                  <c:v>-3.4652545522110731</c:v>
                </c:pt>
                <c:pt idx="23">
                  <c:v>-3.4652545522110731</c:v>
                </c:pt>
                <c:pt idx="24">
                  <c:v>-3.4652545522110731</c:v>
                </c:pt>
                <c:pt idx="25">
                  <c:v>-3.4652545522110731</c:v>
                </c:pt>
                <c:pt idx="26">
                  <c:v>-3.4652545522110731</c:v>
                </c:pt>
                <c:pt idx="27">
                  <c:v>-3.4024562603246125</c:v>
                </c:pt>
                <c:pt idx="28">
                  <c:v>-2.5504305256697704</c:v>
                </c:pt>
                <c:pt idx="29">
                  <c:v>-2.5504305256697704</c:v>
                </c:pt>
                <c:pt idx="30">
                  <c:v>-2.5263252565415297</c:v>
                </c:pt>
                <c:pt idx="31">
                  <c:v>-2.5263252565415297</c:v>
                </c:pt>
                <c:pt idx="32">
                  <c:v>-2.253877969168868</c:v>
                </c:pt>
                <c:pt idx="33">
                  <c:v>-2.253877969168868</c:v>
                </c:pt>
                <c:pt idx="34">
                  <c:v>-2.253877969168868</c:v>
                </c:pt>
                <c:pt idx="35">
                  <c:v>-2.253877969168868</c:v>
                </c:pt>
                <c:pt idx="36">
                  <c:v>-2.0464785771968956</c:v>
                </c:pt>
                <c:pt idx="37">
                  <c:v>-2.0464785771968956</c:v>
                </c:pt>
                <c:pt idx="38">
                  <c:v>-2.0464785771968956</c:v>
                </c:pt>
                <c:pt idx="39">
                  <c:v>-2.0464785771968956</c:v>
                </c:pt>
                <c:pt idx="40">
                  <c:v>-2.3418166483257647</c:v>
                </c:pt>
                <c:pt idx="41">
                  <c:v>-2.1756269386733456</c:v>
                </c:pt>
                <c:pt idx="42">
                  <c:v>-2.1756269386733456</c:v>
                </c:pt>
                <c:pt idx="43">
                  <c:v>-2.1756269386733456</c:v>
                </c:pt>
                <c:pt idx="44">
                  <c:v>-2.1756269386733456</c:v>
                </c:pt>
                <c:pt idx="45">
                  <c:v>-2.1756269386733456</c:v>
                </c:pt>
                <c:pt idx="46">
                  <c:v>-1.6201014196422041</c:v>
                </c:pt>
                <c:pt idx="47">
                  <c:v>-1.6201014196422041</c:v>
                </c:pt>
                <c:pt idx="48">
                  <c:v>-2.4954101942099189</c:v>
                </c:pt>
                <c:pt idx="49">
                  <c:v>-2.4954101942099189</c:v>
                </c:pt>
                <c:pt idx="50">
                  <c:v>-2.4954101942099189</c:v>
                </c:pt>
                <c:pt idx="51">
                  <c:v>-2.4954101942099189</c:v>
                </c:pt>
                <c:pt idx="52">
                  <c:v>-2.7297060402078941</c:v>
                </c:pt>
                <c:pt idx="53">
                  <c:v>-2.7297060402078941</c:v>
                </c:pt>
                <c:pt idx="54">
                  <c:v>-2.7297060402078941</c:v>
                </c:pt>
                <c:pt idx="55">
                  <c:v>-2.7297060402078941</c:v>
                </c:pt>
                <c:pt idx="56">
                  <c:v>-2.7297060402078941</c:v>
                </c:pt>
                <c:pt idx="57">
                  <c:v>-2.7297060402078941</c:v>
                </c:pt>
                <c:pt idx="58">
                  <c:v>-2.7297060402078941</c:v>
                </c:pt>
                <c:pt idx="59">
                  <c:v>-2.7297060402078941</c:v>
                </c:pt>
                <c:pt idx="60">
                  <c:v>-2.7297060402078941</c:v>
                </c:pt>
                <c:pt idx="61">
                  <c:v>-2.7297060402078941</c:v>
                </c:pt>
                <c:pt idx="62">
                  <c:v>-2.7297060402078941</c:v>
                </c:pt>
                <c:pt idx="63">
                  <c:v>-2.7297060402078941</c:v>
                </c:pt>
                <c:pt idx="64">
                  <c:v>-2.7297060402078941</c:v>
                </c:pt>
                <c:pt idx="65">
                  <c:v>-2.7297060402078941</c:v>
                </c:pt>
                <c:pt idx="66">
                  <c:v>-2.4986454341472859</c:v>
                </c:pt>
                <c:pt idx="67">
                  <c:v>-1.5436465459484796</c:v>
                </c:pt>
                <c:pt idx="68">
                  <c:v>-1.5436465459484796</c:v>
                </c:pt>
                <c:pt idx="69">
                  <c:v>-1.5436465459484796</c:v>
                </c:pt>
                <c:pt idx="70">
                  <c:v>-1.5436465459484796</c:v>
                </c:pt>
                <c:pt idx="71">
                  <c:v>-1.5436465459484796</c:v>
                </c:pt>
                <c:pt idx="72">
                  <c:v>-1.5436465459484796</c:v>
                </c:pt>
                <c:pt idx="73">
                  <c:v>-1.5436465459484796</c:v>
                </c:pt>
                <c:pt idx="74">
                  <c:v>-1.5436465459484796</c:v>
                </c:pt>
                <c:pt idx="75">
                  <c:v>-1.5436465459484796</c:v>
                </c:pt>
                <c:pt idx="76">
                  <c:v>-1.5436465459484796</c:v>
                </c:pt>
                <c:pt idx="77">
                  <c:v>-1.5436465459484796</c:v>
                </c:pt>
                <c:pt idx="78">
                  <c:v>-1.5436465459484796</c:v>
                </c:pt>
                <c:pt idx="79">
                  <c:v>-2.5810714053628661</c:v>
                </c:pt>
                <c:pt idx="80">
                  <c:v>-2.5810714053628661</c:v>
                </c:pt>
                <c:pt idx="81">
                  <c:v>-2.8010543744233232</c:v>
                </c:pt>
                <c:pt idx="82">
                  <c:v>-3.1082625266786827</c:v>
                </c:pt>
                <c:pt idx="83">
                  <c:v>-3.1082625266786827</c:v>
                </c:pt>
                <c:pt idx="84">
                  <c:v>-3.1082625266786827</c:v>
                </c:pt>
                <c:pt idx="85">
                  <c:v>-4.0839184895469245</c:v>
                </c:pt>
                <c:pt idx="86">
                  <c:v>-4.0839184895469245</c:v>
                </c:pt>
                <c:pt idx="87">
                  <c:v>-4.0839184895469245</c:v>
                </c:pt>
                <c:pt idx="88">
                  <c:v>-4.0839184895469245</c:v>
                </c:pt>
                <c:pt idx="89">
                  <c:v>-4.0839184895469245</c:v>
                </c:pt>
                <c:pt idx="90">
                  <c:v>-4.0839184895469245</c:v>
                </c:pt>
                <c:pt idx="91">
                  <c:v>-3.6996390135643913</c:v>
                </c:pt>
                <c:pt idx="92">
                  <c:v>-3.6996390135643913</c:v>
                </c:pt>
                <c:pt idx="93">
                  <c:v>-3.6996390135643913</c:v>
                </c:pt>
                <c:pt idx="94">
                  <c:v>-3.6996390135643913</c:v>
                </c:pt>
                <c:pt idx="95">
                  <c:v>-3.6996390135643913</c:v>
                </c:pt>
                <c:pt idx="96">
                  <c:v>-3.6996390135643913</c:v>
                </c:pt>
                <c:pt idx="97">
                  <c:v>-3.6996390135643913</c:v>
                </c:pt>
                <c:pt idx="98">
                  <c:v>-4.0817426678647921</c:v>
                </c:pt>
                <c:pt idx="99">
                  <c:v>-4.0817426678647921</c:v>
                </c:pt>
                <c:pt idx="100">
                  <c:v>-5.2584365376693087</c:v>
                </c:pt>
                <c:pt idx="101">
                  <c:v>-5.2584365376693087</c:v>
                </c:pt>
                <c:pt idx="102">
                  <c:v>-5.2584365376693087</c:v>
                </c:pt>
                <c:pt idx="103">
                  <c:v>-5.2584365376693087</c:v>
                </c:pt>
                <c:pt idx="104">
                  <c:v>-5.2584365376693087</c:v>
                </c:pt>
                <c:pt idx="105">
                  <c:v>-5.2584365376693087</c:v>
                </c:pt>
                <c:pt idx="106">
                  <c:v>-5.2584365376693087</c:v>
                </c:pt>
                <c:pt idx="107">
                  <c:v>-5.2584365376693087</c:v>
                </c:pt>
                <c:pt idx="108">
                  <c:v>-5.2584365376693087</c:v>
                </c:pt>
                <c:pt idx="109">
                  <c:v>-5.2584365376693087</c:v>
                </c:pt>
                <c:pt idx="110">
                  <c:v>-5.2584365376693087</c:v>
                </c:pt>
                <c:pt idx="111">
                  <c:v>-5.2584365376693087</c:v>
                </c:pt>
                <c:pt idx="112">
                  <c:v>-5.2584365376693087</c:v>
                </c:pt>
                <c:pt idx="113">
                  <c:v>-5.2584365376693087</c:v>
                </c:pt>
                <c:pt idx="114">
                  <c:v>-5.2584365376693087</c:v>
                </c:pt>
                <c:pt idx="115">
                  <c:v>-5.2584365376693087</c:v>
                </c:pt>
                <c:pt idx="116">
                  <c:v>-5.2584365376693087</c:v>
                </c:pt>
                <c:pt idx="117">
                  <c:v>-5.2584365376693087</c:v>
                </c:pt>
                <c:pt idx="118">
                  <c:v>-5.2584365376693087</c:v>
                </c:pt>
                <c:pt idx="119">
                  <c:v>-5.2584365376693087</c:v>
                </c:pt>
                <c:pt idx="120">
                  <c:v>-5.2584365376693087</c:v>
                </c:pt>
                <c:pt idx="121">
                  <c:v>-5.2584365376693087</c:v>
                </c:pt>
                <c:pt idx="122">
                  <c:v>-5.2584365376693087</c:v>
                </c:pt>
                <c:pt idx="123">
                  <c:v>-5.2584365376693087</c:v>
                </c:pt>
                <c:pt idx="124">
                  <c:v>-5.2584365376693087</c:v>
                </c:pt>
                <c:pt idx="125">
                  <c:v>-5.2584365376693087</c:v>
                </c:pt>
                <c:pt idx="126">
                  <c:v>-5.2584365376693087</c:v>
                </c:pt>
                <c:pt idx="127">
                  <c:v>-5.4004192789897942</c:v>
                </c:pt>
                <c:pt idx="128">
                  <c:v>-5.4004192789897942</c:v>
                </c:pt>
                <c:pt idx="129">
                  <c:v>-5.5805160166660324</c:v>
                </c:pt>
                <c:pt idx="130">
                  <c:v>-5.5805160166660324</c:v>
                </c:pt>
                <c:pt idx="131">
                  <c:v>-5.7654810054360146</c:v>
                </c:pt>
                <c:pt idx="132">
                  <c:v>-5.7654810054360146</c:v>
                </c:pt>
                <c:pt idx="133">
                  <c:v>-5.7654810054360146</c:v>
                </c:pt>
                <c:pt idx="134">
                  <c:v>-5.7654810054360146</c:v>
                </c:pt>
                <c:pt idx="135">
                  <c:v>-5.7654810054360146</c:v>
                </c:pt>
                <c:pt idx="136">
                  <c:v>-5.7654810054360146</c:v>
                </c:pt>
                <c:pt idx="137">
                  <c:v>-5.7654810054360146</c:v>
                </c:pt>
                <c:pt idx="138">
                  <c:v>-5.7654810054360146</c:v>
                </c:pt>
                <c:pt idx="139">
                  <c:v>-5.7654810054360146</c:v>
                </c:pt>
                <c:pt idx="140">
                  <c:v>-5.7654810054360146</c:v>
                </c:pt>
                <c:pt idx="141">
                  <c:v>-5.8637950245967891</c:v>
                </c:pt>
                <c:pt idx="142">
                  <c:v>-5.4489935953799833</c:v>
                </c:pt>
                <c:pt idx="143">
                  <c:v>-5.4361592609685632</c:v>
                </c:pt>
                <c:pt idx="144">
                  <c:v>-5.4216966901019674</c:v>
                </c:pt>
                <c:pt idx="145">
                  <c:v>-5.4216966901019674</c:v>
                </c:pt>
                <c:pt idx="146">
                  <c:v>-5.3670613093796291</c:v>
                </c:pt>
                <c:pt idx="147">
                  <c:v>-5.702620630287301</c:v>
                </c:pt>
                <c:pt idx="148">
                  <c:v>-5.702620630287301</c:v>
                </c:pt>
                <c:pt idx="149">
                  <c:v>-5.702620630287301</c:v>
                </c:pt>
                <c:pt idx="150">
                  <c:v>-5.702620630287301</c:v>
                </c:pt>
                <c:pt idx="151">
                  <c:v>-5.702620630287301</c:v>
                </c:pt>
                <c:pt idx="152">
                  <c:v>-5.702620630287301</c:v>
                </c:pt>
                <c:pt idx="153">
                  <c:v>-5.702620630287301</c:v>
                </c:pt>
                <c:pt idx="154">
                  <c:v>-5.702620630287301</c:v>
                </c:pt>
                <c:pt idx="155">
                  <c:v>-5.702620630287301</c:v>
                </c:pt>
                <c:pt idx="156">
                  <c:v>-5.702620630287301</c:v>
                </c:pt>
                <c:pt idx="157">
                  <c:v>-5.702620630287301</c:v>
                </c:pt>
                <c:pt idx="158">
                  <c:v>-5.702620630287301</c:v>
                </c:pt>
                <c:pt idx="159">
                  <c:v>-5.702620630287301</c:v>
                </c:pt>
                <c:pt idx="160">
                  <c:v>-5.702620630287301</c:v>
                </c:pt>
                <c:pt idx="161">
                  <c:v>-5.702620630287301</c:v>
                </c:pt>
                <c:pt idx="162">
                  <c:v>-5.702620630287301</c:v>
                </c:pt>
                <c:pt idx="163">
                  <c:v>-6.0636907107074549</c:v>
                </c:pt>
                <c:pt idx="164">
                  <c:v>-6.0636907107074549</c:v>
                </c:pt>
                <c:pt idx="165">
                  <c:v>-6.0636907107074549</c:v>
                </c:pt>
                <c:pt idx="166">
                  <c:v>-6.0636907107074549</c:v>
                </c:pt>
                <c:pt idx="167">
                  <c:v>-6.0636907107074549</c:v>
                </c:pt>
                <c:pt idx="168">
                  <c:v>-6.0636907107074549</c:v>
                </c:pt>
                <c:pt idx="169">
                  <c:v>-6.0636907107074549</c:v>
                </c:pt>
                <c:pt idx="170">
                  <c:v>-6.0636907107074549</c:v>
                </c:pt>
                <c:pt idx="171">
                  <c:v>-6.0636907107074549</c:v>
                </c:pt>
                <c:pt idx="172">
                  <c:v>-5.7208895353891398</c:v>
                </c:pt>
                <c:pt idx="173">
                  <c:v>-5.7208895353891398</c:v>
                </c:pt>
                <c:pt idx="174">
                  <c:v>-5.7208895353891398</c:v>
                </c:pt>
                <c:pt idx="175">
                  <c:v>-5.7208895353891398</c:v>
                </c:pt>
                <c:pt idx="176">
                  <c:v>-5.7208895353891398</c:v>
                </c:pt>
                <c:pt idx="177">
                  <c:v>-5.7208895353891398</c:v>
                </c:pt>
                <c:pt idx="178">
                  <c:v>-5.7208895353891398</c:v>
                </c:pt>
                <c:pt idx="179">
                  <c:v>-5.7208895353891398</c:v>
                </c:pt>
                <c:pt idx="180">
                  <c:v>-5.7208895353891398</c:v>
                </c:pt>
                <c:pt idx="181">
                  <c:v>-5.7208895353891398</c:v>
                </c:pt>
                <c:pt idx="182">
                  <c:v>-5.7208895353891398</c:v>
                </c:pt>
                <c:pt idx="183">
                  <c:v>-5.7208895353891398</c:v>
                </c:pt>
                <c:pt idx="184">
                  <c:v>-4.4456442959200118</c:v>
                </c:pt>
                <c:pt idx="185">
                  <c:v>-3.290738595559767</c:v>
                </c:pt>
                <c:pt idx="186">
                  <c:v>-3.3200555114202186</c:v>
                </c:pt>
                <c:pt idx="187">
                  <c:v>-3.3200555114202186</c:v>
                </c:pt>
                <c:pt idx="188">
                  <c:v>-3.3200555114202186</c:v>
                </c:pt>
                <c:pt idx="189">
                  <c:v>-3.190693696374443</c:v>
                </c:pt>
                <c:pt idx="190">
                  <c:v>-3.190693696374443</c:v>
                </c:pt>
                <c:pt idx="191">
                  <c:v>-2.6071468702998661</c:v>
                </c:pt>
                <c:pt idx="192">
                  <c:v>-2.6071468702998661</c:v>
                </c:pt>
                <c:pt idx="193">
                  <c:v>-2.6071468702998661</c:v>
                </c:pt>
                <c:pt idx="194">
                  <c:v>-1.7688797361196436</c:v>
                </c:pt>
                <c:pt idx="195">
                  <c:v>-1.7688797361196436</c:v>
                </c:pt>
                <c:pt idx="196">
                  <c:v>-1.7688797361196436</c:v>
                </c:pt>
                <c:pt idx="197">
                  <c:v>-1.7688797361196436</c:v>
                </c:pt>
                <c:pt idx="198">
                  <c:v>-1.7688797361196436</c:v>
                </c:pt>
                <c:pt idx="199">
                  <c:v>-1.7688797361196436</c:v>
                </c:pt>
                <c:pt idx="200">
                  <c:v>-1.7688797361196436</c:v>
                </c:pt>
                <c:pt idx="201">
                  <c:v>-1.7688797361196436</c:v>
                </c:pt>
                <c:pt idx="202">
                  <c:v>-1.7688797361196436</c:v>
                </c:pt>
                <c:pt idx="203">
                  <c:v>-1.7688797361196436</c:v>
                </c:pt>
                <c:pt idx="204">
                  <c:v>-1.7688797361196436</c:v>
                </c:pt>
                <c:pt idx="205">
                  <c:v>-1.7688797361196436</c:v>
                </c:pt>
                <c:pt idx="206">
                  <c:v>-1.7688797361196436</c:v>
                </c:pt>
                <c:pt idx="207">
                  <c:v>-1.61281661077324</c:v>
                </c:pt>
                <c:pt idx="208">
                  <c:v>-1.61281661077324</c:v>
                </c:pt>
                <c:pt idx="209">
                  <c:v>-1.61281661077324</c:v>
                </c:pt>
                <c:pt idx="210">
                  <c:v>-1.61281661077324</c:v>
                </c:pt>
                <c:pt idx="211">
                  <c:v>-1.61281661077324</c:v>
                </c:pt>
                <c:pt idx="212">
                  <c:v>-1.61281661077324</c:v>
                </c:pt>
                <c:pt idx="213">
                  <c:v>-1.61281661077324</c:v>
                </c:pt>
                <c:pt idx="214">
                  <c:v>-1.61281661077324</c:v>
                </c:pt>
                <c:pt idx="215">
                  <c:v>-2.1671285178193944</c:v>
                </c:pt>
                <c:pt idx="216">
                  <c:v>-2.1671285178193944</c:v>
                </c:pt>
                <c:pt idx="217">
                  <c:v>-2.1671285178193944</c:v>
                </c:pt>
                <c:pt idx="218">
                  <c:v>-1.3757693049009907</c:v>
                </c:pt>
                <c:pt idx="219">
                  <c:v>-1.3757693049009907</c:v>
                </c:pt>
                <c:pt idx="220">
                  <c:v>-1.3757693049009907</c:v>
                </c:pt>
                <c:pt idx="221">
                  <c:v>-1.3757693049009907</c:v>
                </c:pt>
                <c:pt idx="222">
                  <c:v>-1.3757693049009907</c:v>
                </c:pt>
                <c:pt idx="223">
                  <c:v>-1.3757693049009907</c:v>
                </c:pt>
                <c:pt idx="224">
                  <c:v>-1.3757693049009907</c:v>
                </c:pt>
                <c:pt idx="225">
                  <c:v>-1.4008180841025943</c:v>
                </c:pt>
                <c:pt idx="226">
                  <c:v>-1.4008180841025943</c:v>
                </c:pt>
                <c:pt idx="227">
                  <c:v>-1.4008180841025943</c:v>
                </c:pt>
                <c:pt idx="228">
                  <c:v>-1.4008180841025943</c:v>
                </c:pt>
                <c:pt idx="229">
                  <c:v>-1.4008180841025943</c:v>
                </c:pt>
                <c:pt idx="230">
                  <c:v>-1.4008180841025943</c:v>
                </c:pt>
                <c:pt idx="231">
                  <c:v>-1.4008180841025943</c:v>
                </c:pt>
                <c:pt idx="232">
                  <c:v>-1.4008180841025943</c:v>
                </c:pt>
                <c:pt idx="233">
                  <c:v>-1.4008180841025943</c:v>
                </c:pt>
                <c:pt idx="234">
                  <c:v>-1.4008180841025943</c:v>
                </c:pt>
                <c:pt idx="235">
                  <c:v>-1.7994312195648086</c:v>
                </c:pt>
                <c:pt idx="236">
                  <c:v>-1.7994312195648086</c:v>
                </c:pt>
                <c:pt idx="237">
                  <c:v>-1.7994312195648086</c:v>
                </c:pt>
                <c:pt idx="238">
                  <c:v>-1.7994312195648086</c:v>
                </c:pt>
                <c:pt idx="239">
                  <c:v>-1.7994312195648086</c:v>
                </c:pt>
                <c:pt idx="240">
                  <c:v>-1.7994312195648086</c:v>
                </c:pt>
                <c:pt idx="241">
                  <c:v>-1.7994312195648086</c:v>
                </c:pt>
                <c:pt idx="242">
                  <c:v>-1.7994312195648086</c:v>
                </c:pt>
                <c:pt idx="243">
                  <c:v>-1.7994312195648086</c:v>
                </c:pt>
                <c:pt idx="244">
                  <c:v>-1.7994312195648086</c:v>
                </c:pt>
                <c:pt idx="245">
                  <c:v>-1.7994312195648086</c:v>
                </c:pt>
                <c:pt idx="246">
                  <c:v>-1.5615160497154335</c:v>
                </c:pt>
                <c:pt idx="247">
                  <c:v>-1.6379630383156585</c:v>
                </c:pt>
                <c:pt idx="248">
                  <c:v>-1.7769780178889658</c:v>
                </c:pt>
                <c:pt idx="249">
                  <c:v>-2.5507240157544917</c:v>
                </c:pt>
                <c:pt idx="250">
                  <c:v>-2.5507240157544917</c:v>
                </c:pt>
                <c:pt idx="251">
                  <c:v>-2.5507240157544917</c:v>
                </c:pt>
                <c:pt idx="252">
                  <c:v>-2.5507240157544917</c:v>
                </c:pt>
                <c:pt idx="253">
                  <c:v>-2.5507240157544917</c:v>
                </c:pt>
                <c:pt idx="254">
                  <c:v>-2.5507240157544917</c:v>
                </c:pt>
                <c:pt idx="255">
                  <c:v>-2.5507240157544917</c:v>
                </c:pt>
                <c:pt idx="256">
                  <c:v>-2.5507240157544917</c:v>
                </c:pt>
                <c:pt idx="257">
                  <c:v>-2.5507240157544917</c:v>
                </c:pt>
                <c:pt idx="258">
                  <c:v>-2.5507240157544917</c:v>
                </c:pt>
                <c:pt idx="259">
                  <c:v>-3.0849359136027519</c:v>
                </c:pt>
                <c:pt idx="260">
                  <c:v>-3.0849359136027519</c:v>
                </c:pt>
                <c:pt idx="261">
                  <c:v>-3.0814271416729273</c:v>
                </c:pt>
                <c:pt idx="262">
                  <c:v>-3.0814271416729273</c:v>
                </c:pt>
                <c:pt idx="263">
                  <c:v>-3.0814271416729273</c:v>
                </c:pt>
                <c:pt idx="264">
                  <c:v>-2.5639086588699724</c:v>
                </c:pt>
                <c:pt idx="265">
                  <c:v>-2.5639086588699724</c:v>
                </c:pt>
                <c:pt idx="266">
                  <c:v>-2.5639086588699724</c:v>
                </c:pt>
                <c:pt idx="267">
                  <c:v>-2.5639086588699724</c:v>
                </c:pt>
                <c:pt idx="268">
                  <c:v>-2.5441407572908674</c:v>
                </c:pt>
                <c:pt idx="269">
                  <c:v>-2.5441407572908674</c:v>
                </c:pt>
                <c:pt idx="270">
                  <c:v>-2.5441407572908674</c:v>
                </c:pt>
                <c:pt idx="271">
                  <c:v>-1.5097234474085466</c:v>
                </c:pt>
                <c:pt idx="272">
                  <c:v>-1.5097234474085466</c:v>
                </c:pt>
                <c:pt idx="273">
                  <c:v>-1.5097234474085466</c:v>
                </c:pt>
                <c:pt idx="274">
                  <c:v>-1.2857192308585881</c:v>
                </c:pt>
                <c:pt idx="275">
                  <c:v>-1.2857192308585881</c:v>
                </c:pt>
                <c:pt idx="276">
                  <c:v>-1.2198096790435395</c:v>
                </c:pt>
                <c:pt idx="277">
                  <c:v>-1.2198096790435395</c:v>
                </c:pt>
                <c:pt idx="278">
                  <c:v>-1.2198096790435395</c:v>
                </c:pt>
                <c:pt idx="279">
                  <c:v>-1.2198096790435395</c:v>
                </c:pt>
                <c:pt idx="280">
                  <c:v>-1.2198096790435395</c:v>
                </c:pt>
                <c:pt idx="281">
                  <c:v>-1.2198096790435395</c:v>
                </c:pt>
                <c:pt idx="282">
                  <c:v>-1.2198096790435395</c:v>
                </c:pt>
                <c:pt idx="283">
                  <c:v>-0.96137086047813747</c:v>
                </c:pt>
                <c:pt idx="284">
                  <c:v>-0.96137086047813747</c:v>
                </c:pt>
                <c:pt idx="285">
                  <c:v>-1.5121743856206984</c:v>
                </c:pt>
                <c:pt idx="286">
                  <c:v>-1.5121743856206984</c:v>
                </c:pt>
                <c:pt idx="287">
                  <c:v>-1.5121743856206984</c:v>
                </c:pt>
                <c:pt idx="288">
                  <c:v>-1.5121743856206984</c:v>
                </c:pt>
                <c:pt idx="289">
                  <c:v>-0.57819280936685935</c:v>
                </c:pt>
                <c:pt idx="290">
                  <c:v>-0.57819280936685935</c:v>
                </c:pt>
                <c:pt idx="291">
                  <c:v>-0.57819280936685935</c:v>
                </c:pt>
                <c:pt idx="292">
                  <c:v>-0.14511094292371884</c:v>
                </c:pt>
                <c:pt idx="293">
                  <c:v>-0.14511094292371884</c:v>
                </c:pt>
                <c:pt idx="294">
                  <c:v>-8.5438598343053118E-2</c:v>
                </c:pt>
                <c:pt idx="295">
                  <c:v>-8.5438598343053118E-2</c:v>
                </c:pt>
                <c:pt idx="296">
                  <c:v>0.70695442859830859</c:v>
                </c:pt>
                <c:pt idx="297">
                  <c:v>0.70695442859830859</c:v>
                </c:pt>
                <c:pt idx="298">
                  <c:v>0.54603488836842284</c:v>
                </c:pt>
                <c:pt idx="299">
                  <c:v>0.54603488836842284</c:v>
                </c:pt>
                <c:pt idx="300">
                  <c:v>0.54603488836842284</c:v>
                </c:pt>
                <c:pt idx="301">
                  <c:v>0.54603488836842284</c:v>
                </c:pt>
                <c:pt idx="302">
                  <c:v>0.45258393143062381</c:v>
                </c:pt>
                <c:pt idx="303">
                  <c:v>0.45258393143062381</c:v>
                </c:pt>
                <c:pt idx="304">
                  <c:v>0.45258393143062381</c:v>
                </c:pt>
                <c:pt idx="305">
                  <c:v>0.45258393143062381</c:v>
                </c:pt>
                <c:pt idx="306">
                  <c:v>0.45258393143062381</c:v>
                </c:pt>
                <c:pt idx="307">
                  <c:v>0.45258393143062381</c:v>
                </c:pt>
                <c:pt idx="308">
                  <c:v>0.45258393143062381</c:v>
                </c:pt>
                <c:pt idx="309">
                  <c:v>0.45258393143062381</c:v>
                </c:pt>
                <c:pt idx="310">
                  <c:v>2.1368060073577682</c:v>
                </c:pt>
                <c:pt idx="311">
                  <c:v>2.1368060073577682</c:v>
                </c:pt>
                <c:pt idx="312">
                  <c:v>2.2394168841107058</c:v>
                </c:pt>
                <c:pt idx="313">
                  <c:v>2.2394168841107058</c:v>
                </c:pt>
                <c:pt idx="314">
                  <c:v>2.0649982794595436</c:v>
                </c:pt>
                <c:pt idx="315">
                  <c:v>2.0649982794595436</c:v>
                </c:pt>
                <c:pt idx="316">
                  <c:v>2.0649982794595436</c:v>
                </c:pt>
                <c:pt idx="317">
                  <c:v>2.0649982794595436</c:v>
                </c:pt>
                <c:pt idx="318">
                  <c:v>2.0649982794595436</c:v>
                </c:pt>
                <c:pt idx="319">
                  <c:v>2.0649982794595436</c:v>
                </c:pt>
                <c:pt idx="320">
                  <c:v>2.0649982794595436</c:v>
                </c:pt>
                <c:pt idx="321">
                  <c:v>2.0649982794595436</c:v>
                </c:pt>
                <c:pt idx="322">
                  <c:v>2.0649982794595436</c:v>
                </c:pt>
                <c:pt idx="323">
                  <c:v>2.0649982794595436</c:v>
                </c:pt>
                <c:pt idx="324">
                  <c:v>2.2074484219096853</c:v>
                </c:pt>
                <c:pt idx="325">
                  <c:v>2.2074484219096853</c:v>
                </c:pt>
                <c:pt idx="326">
                  <c:v>1.9034651933981581</c:v>
                </c:pt>
                <c:pt idx="327">
                  <c:v>1.9034651933981581</c:v>
                </c:pt>
                <c:pt idx="328">
                  <c:v>1.9034651933981581</c:v>
                </c:pt>
                <c:pt idx="329">
                  <c:v>1.9034651933981581</c:v>
                </c:pt>
                <c:pt idx="330">
                  <c:v>1.9034651933981581</c:v>
                </c:pt>
                <c:pt idx="331">
                  <c:v>1.9034651933981581</c:v>
                </c:pt>
                <c:pt idx="332">
                  <c:v>1.9034651933981581</c:v>
                </c:pt>
                <c:pt idx="333">
                  <c:v>1.9034651933981581</c:v>
                </c:pt>
                <c:pt idx="334">
                  <c:v>1.9034651933981581</c:v>
                </c:pt>
                <c:pt idx="335">
                  <c:v>1.9034651933981581</c:v>
                </c:pt>
                <c:pt idx="336">
                  <c:v>1.9034651933981581</c:v>
                </c:pt>
                <c:pt idx="337">
                  <c:v>1.9034651933981581</c:v>
                </c:pt>
                <c:pt idx="338">
                  <c:v>1.9034651933981581</c:v>
                </c:pt>
                <c:pt idx="339">
                  <c:v>1.9034651933981581</c:v>
                </c:pt>
                <c:pt idx="340">
                  <c:v>1.9034651933981581</c:v>
                </c:pt>
                <c:pt idx="341">
                  <c:v>1.9034651933981581</c:v>
                </c:pt>
                <c:pt idx="342">
                  <c:v>1.9034651933981581</c:v>
                </c:pt>
                <c:pt idx="343">
                  <c:v>1.9034651933981581</c:v>
                </c:pt>
                <c:pt idx="344">
                  <c:v>1.9034651933981581</c:v>
                </c:pt>
                <c:pt idx="345">
                  <c:v>1.9034651933981581</c:v>
                </c:pt>
                <c:pt idx="346">
                  <c:v>2.361954014244648</c:v>
                </c:pt>
                <c:pt idx="347">
                  <c:v>2.361954014244648</c:v>
                </c:pt>
                <c:pt idx="348">
                  <c:v>2.7460981583887896</c:v>
                </c:pt>
                <c:pt idx="349">
                  <c:v>2.7460981583887896</c:v>
                </c:pt>
                <c:pt idx="350">
                  <c:v>2.7460981583887896</c:v>
                </c:pt>
                <c:pt idx="351">
                  <c:v>2.7460981583887896</c:v>
                </c:pt>
                <c:pt idx="352">
                  <c:v>2.7460981583887896</c:v>
                </c:pt>
                <c:pt idx="353">
                  <c:v>2.7460981583887896</c:v>
                </c:pt>
                <c:pt idx="354">
                  <c:v>2.7460981583887896</c:v>
                </c:pt>
                <c:pt idx="355">
                  <c:v>2.7460981583887896</c:v>
                </c:pt>
                <c:pt idx="356">
                  <c:v>2.7460981583887896</c:v>
                </c:pt>
                <c:pt idx="357">
                  <c:v>2.7460981583887896</c:v>
                </c:pt>
                <c:pt idx="358">
                  <c:v>2.7460981583887896</c:v>
                </c:pt>
                <c:pt idx="359">
                  <c:v>2.7460981583887896</c:v>
                </c:pt>
                <c:pt idx="360">
                  <c:v>2.7460981583887896</c:v>
                </c:pt>
                <c:pt idx="361">
                  <c:v>2.7460981583887896</c:v>
                </c:pt>
                <c:pt idx="362">
                  <c:v>2.7460981583887896</c:v>
                </c:pt>
                <c:pt idx="363">
                  <c:v>2.7460981583887896</c:v>
                </c:pt>
                <c:pt idx="364">
                  <c:v>2.7460981583887896</c:v>
                </c:pt>
                <c:pt idx="365">
                  <c:v>3.4382354784330866</c:v>
                </c:pt>
                <c:pt idx="366">
                  <c:v>6.7672482241665026</c:v>
                </c:pt>
                <c:pt idx="367">
                  <c:v>7.4780353515533324</c:v>
                </c:pt>
                <c:pt idx="368">
                  <c:v>7.4780353515533324</c:v>
                </c:pt>
                <c:pt idx="369">
                  <c:v>7.4780353515533324</c:v>
                </c:pt>
                <c:pt idx="370">
                  <c:v>7.4780353515533324</c:v>
                </c:pt>
                <c:pt idx="371">
                  <c:v>7.4780353515533324</c:v>
                </c:pt>
                <c:pt idx="372">
                  <c:v>7.4780353515533324</c:v>
                </c:pt>
                <c:pt idx="373">
                  <c:v>7.4780353515533324</c:v>
                </c:pt>
                <c:pt idx="374">
                  <c:v>7.4780353515533324</c:v>
                </c:pt>
                <c:pt idx="375">
                  <c:v>7.4780353515533324</c:v>
                </c:pt>
                <c:pt idx="376">
                  <c:v>7.4780353515533324</c:v>
                </c:pt>
                <c:pt idx="377">
                  <c:v>7.4780353515533324</c:v>
                </c:pt>
                <c:pt idx="378">
                  <c:v>7.4780353515533324</c:v>
                </c:pt>
                <c:pt idx="379">
                  <c:v>7.4780353515533324</c:v>
                </c:pt>
                <c:pt idx="380">
                  <c:v>7.4780353515533324</c:v>
                </c:pt>
                <c:pt idx="381">
                  <c:v>7.4780353515533324</c:v>
                </c:pt>
                <c:pt idx="382">
                  <c:v>7.4780353515533324</c:v>
                </c:pt>
                <c:pt idx="383">
                  <c:v>7.4780353515533324</c:v>
                </c:pt>
                <c:pt idx="384">
                  <c:v>7.4780353515533324</c:v>
                </c:pt>
                <c:pt idx="385">
                  <c:v>7.4780353515533324</c:v>
                </c:pt>
                <c:pt idx="386">
                  <c:v>7.4780353515533324</c:v>
                </c:pt>
                <c:pt idx="387">
                  <c:v>7.4780353515533324</c:v>
                </c:pt>
                <c:pt idx="388">
                  <c:v>7.4780353515533324</c:v>
                </c:pt>
                <c:pt idx="389">
                  <c:v>7.4780353515533324</c:v>
                </c:pt>
                <c:pt idx="390">
                  <c:v>7.4780353515533324</c:v>
                </c:pt>
                <c:pt idx="391">
                  <c:v>7.7718073844558004</c:v>
                </c:pt>
                <c:pt idx="392">
                  <c:v>7.7718073844558004</c:v>
                </c:pt>
                <c:pt idx="393">
                  <c:v>7.7718073844558004</c:v>
                </c:pt>
                <c:pt idx="394">
                  <c:v>7.7718073844558004</c:v>
                </c:pt>
                <c:pt idx="395">
                  <c:v>7.7718073844558004</c:v>
                </c:pt>
                <c:pt idx="396">
                  <c:v>7.7718073844558004</c:v>
                </c:pt>
                <c:pt idx="397">
                  <c:v>7.7718073844558004</c:v>
                </c:pt>
                <c:pt idx="398">
                  <c:v>7.7718073844558004</c:v>
                </c:pt>
                <c:pt idx="399">
                  <c:v>7.7718073844558004</c:v>
                </c:pt>
                <c:pt idx="400">
                  <c:v>7.6415354417754555</c:v>
                </c:pt>
                <c:pt idx="401">
                  <c:v>7.6415354417754555</c:v>
                </c:pt>
                <c:pt idx="402">
                  <c:v>7.6415354417754555</c:v>
                </c:pt>
                <c:pt idx="403">
                  <c:v>7.6415354417754555</c:v>
                </c:pt>
                <c:pt idx="404">
                  <c:v>7.6415354417754555</c:v>
                </c:pt>
                <c:pt idx="405">
                  <c:v>7.6415354417754555</c:v>
                </c:pt>
                <c:pt idx="406">
                  <c:v>7.6415354417754555</c:v>
                </c:pt>
                <c:pt idx="407">
                  <c:v>7.6415354417754555</c:v>
                </c:pt>
                <c:pt idx="408">
                  <c:v>7.6415354417754555</c:v>
                </c:pt>
                <c:pt idx="409">
                  <c:v>7.6415354417754555</c:v>
                </c:pt>
                <c:pt idx="410">
                  <c:v>7.6415354417754555</c:v>
                </c:pt>
                <c:pt idx="411">
                  <c:v>7.6415354417754555</c:v>
                </c:pt>
                <c:pt idx="412">
                  <c:v>7.6415354417754555</c:v>
                </c:pt>
                <c:pt idx="413">
                  <c:v>7.6415354417754555</c:v>
                </c:pt>
                <c:pt idx="414">
                  <c:v>7.6415354417754555</c:v>
                </c:pt>
                <c:pt idx="415">
                  <c:v>7.6415354417754555</c:v>
                </c:pt>
                <c:pt idx="416">
                  <c:v>7.6415354417754555</c:v>
                </c:pt>
                <c:pt idx="417">
                  <c:v>7.5125294667618787</c:v>
                </c:pt>
                <c:pt idx="418">
                  <c:v>7.5125294667618787</c:v>
                </c:pt>
              </c:numCache>
            </c:numRef>
          </c:val>
          <c:smooth val="0"/>
          <c:extLst>
            <c:ext xmlns:c16="http://schemas.microsoft.com/office/drawing/2014/chart" uri="{C3380CC4-5D6E-409C-BE32-E72D297353CC}">
              <c16:uniqueId val="{0000000B-3268-4A45-9311-8BC8E6FC2F8D}"/>
            </c:ext>
          </c:extLst>
        </c:ser>
        <c:dLbls>
          <c:showLegendKey val="0"/>
          <c:showVal val="0"/>
          <c:showCatName val="0"/>
          <c:showSerName val="0"/>
          <c:showPercent val="0"/>
          <c:showBubbleSize val="0"/>
        </c:dLbls>
        <c:smooth val="0"/>
        <c:axId val="147683023"/>
        <c:axId val="146645279"/>
        <c:extLst/>
      </c:lineChart>
      <c:catAx>
        <c:axId val="147683023"/>
        <c:scaling>
          <c:orientation val="minMax"/>
        </c:scaling>
        <c:delete val="0"/>
        <c:axPos val="b"/>
        <c:majorGridlines>
          <c:spPr>
            <a:ln w="9525" cap="flat" cmpd="sng" algn="ctr">
              <a:solidFill>
                <a:schemeClr val="tx1">
                  <a:lumMod val="75000"/>
                  <a:lumOff val="25000"/>
                </a:schemeClr>
              </a:solidFill>
              <a:prstDash val="dash"/>
              <a:round/>
            </a:ln>
            <a:effectLst/>
          </c:spPr>
        </c:majorGridlines>
        <c:majorTickMark val="none"/>
        <c:minorTickMark val="none"/>
        <c:tickLblPos val="low"/>
        <c:spPr>
          <a:noFill/>
          <a:ln w="12700" cap="flat" cmpd="sng" algn="ctr">
            <a:solidFill>
              <a:sysClr val="windowText" lastClr="000000"/>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6645279"/>
        <c:crosses val="autoZero"/>
        <c:auto val="1"/>
        <c:lblAlgn val="ctr"/>
        <c:lblOffset val="100"/>
        <c:tickLblSkip val="25"/>
        <c:tickMarkSkip val="25"/>
        <c:noMultiLvlLbl val="0"/>
      </c:catAx>
      <c:valAx>
        <c:axId val="146645279"/>
        <c:scaling>
          <c:orientation val="minMax"/>
          <c:max val="25"/>
        </c:scaling>
        <c:delete val="0"/>
        <c:axPos val="r"/>
        <c:majorGridlines>
          <c:spPr>
            <a:ln w="9525" cap="flat" cmpd="sng" algn="ctr">
              <a:solidFill>
                <a:schemeClr val="tx1">
                  <a:lumMod val="75000"/>
                  <a:lumOff val="25000"/>
                </a:schemeClr>
              </a:solidFill>
              <a:prstDash val="dash"/>
              <a:round/>
            </a:ln>
            <a:effectLst/>
          </c:spPr>
        </c:majorGridlines>
        <c:numFmt formatCode="0" sourceLinked="0"/>
        <c:majorTickMark val="none"/>
        <c:minorTickMark val="none"/>
        <c:tickLblPos val="high"/>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7683023"/>
        <c:crosses val="max"/>
        <c:crossBetween val="between"/>
      </c:valAx>
      <c:spPr>
        <a:solidFill>
          <a:schemeClr val="tx1">
            <a:lumMod val="65000"/>
            <a:lumOff val="35000"/>
          </a:schemeClr>
        </a:solidFill>
        <a:ln>
          <a:solidFill>
            <a:sysClr val="windowText" lastClr="000000"/>
          </a:solidFill>
        </a:ln>
        <a:effectLst/>
      </c:spPr>
    </c:plotArea>
    <c:legend>
      <c:legendPos val="t"/>
      <c:layout>
        <c:manualLayout>
          <c:xMode val="edge"/>
          <c:yMode val="edge"/>
          <c:x val="1.6017502096203694E-2"/>
          <c:y val="9.6894072942374745E-2"/>
          <c:w val="0.30640413522361121"/>
          <c:h val="0.13950973479061385"/>
        </c:manualLayout>
      </c:layout>
      <c:overlay val="0"/>
      <c:spPr>
        <a:solidFill>
          <a:schemeClr val="accent2">
            <a:lumMod val="20000"/>
            <a:lumOff val="80000"/>
          </a:schemeClr>
        </a:solidFill>
        <a:ln>
          <a:solidFill>
            <a:sysClr val="windowText" lastClr="000000"/>
          </a:solid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legend>
    <c:plotVisOnly val="0"/>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accent3">
                    <a:lumMod val="75000"/>
                  </a:schemeClr>
                </a:solidFill>
                <a:latin typeface="+mn-lt"/>
                <a:ea typeface="+mn-ea"/>
                <a:cs typeface="+mn-cs"/>
              </a:defRPr>
            </a:pPr>
            <a:r>
              <a:rPr lang="en-US" sz="1600" b="1">
                <a:solidFill>
                  <a:schemeClr val="accent3">
                    <a:lumMod val="75000"/>
                  </a:schemeClr>
                </a:solidFill>
              </a:rPr>
              <a:t>Uptrend Management Options</a:t>
            </a:r>
          </a:p>
        </c:rich>
      </c:tx>
      <c:layout>
        <c:manualLayout>
          <c:xMode val="edge"/>
          <c:yMode val="edge"/>
          <c:x val="0.24789944972725403"/>
          <c:y val="4.5898460453637326E-3"/>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accent3">
                  <a:lumMod val="75000"/>
                </a:schemeClr>
              </a:solidFill>
              <a:latin typeface="+mn-lt"/>
              <a:ea typeface="+mn-ea"/>
              <a:cs typeface="+mn-cs"/>
            </a:defRPr>
          </a:pPr>
          <a:endParaRPr lang="en-US"/>
        </a:p>
      </c:txPr>
    </c:title>
    <c:autoTitleDeleted val="0"/>
    <c:plotArea>
      <c:layout>
        <c:manualLayout>
          <c:layoutTarget val="inner"/>
          <c:xMode val="edge"/>
          <c:yMode val="edge"/>
          <c:x val="1.0171058714748035E-2"/>
          <c:y val="7.7350558040499021E-2"/>
          <c:w val="0.96115660299744099"/>
          <c:h val="0.86018548951798435"/>
        </c:manualLayout>
      </c:layout>
      <c:lineChart>
        <c:grouping val="standard"/>
        <c:varyColors val="0"/>
        <c:ser>
          <c:idx val="0"/>
          <c:order val="0"/>
          <c:tx>
            <c:v>Up</c:v>
          </c:tx>
          <c:spPr>
            <a:ln w="19050" cap="rnd">
              <a:solidFill>
                <a:srgbClr val="00FF00"/>
              </a:solidFill>
              <a:prstDash val="solid"/>
              <a:round/>
            </a:ln>
            <a:effectLst/>
          </c:spPr>
          <c:marker>
            <c:symbol val="none"/>
          </c:marker>
          <c:val>
            <c:numRef>
              <c:f>'2025-Q2'!$CD$4:$CD$422</c:f>
              <c:numCache>
                <c:formatCode>0.0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6.6834991831277585E-2</c:v>
                </c:pt>
                <c:pt idx="40">
                  <c:v>6.6834991831277585E-2</c:v>
                </c:pt>
                <c:pt idx="41">
                  <c:v>6.6834991831277585E-2</c:v>
                </c:pt>
                <c:pt idx="42">
                  <c:v>6.6834991831277585E-2</c:v>
                </c:pt>
                <c:pt idx="43">
                  <c:v>6.6834991831277585E-2</c:v>
                </c:pt>
                <c:pt idx="44">
                  <c:v>6.6834991831277585E-2</c:v>
                </c:pt>
                <c:pt idx="45">
                  <c:v>6.6834991831277585E-2</c:v>
                </c:pt>
                <c:pt idx="46">
                  <c:v>6.6834991831277585E-2</c:v>
                </c:pt>
                <c:pt idx="47">
                  <c:v>-1.3942783150276121</c:v>
                </c:pt>
                <c:pt idx="48">
                  <c:v>-1.3942783150276121</c:v>
                </c:pt>
                <c:pt idx="49">
                  <c:v>-1.3942783150276121</c:v>
                </c:pt>
                <c:pt idx="50">
                  <c:v>-1.3942783150276121</c:v>
                </c:pt>
                <c:pt idx="51">
                  <c:v>-1.3942783150276121</c:v>
                </c:pt>
                <c:pt idx="52">
                  <c:v>-1.3942783150276121</c:v>
                </c:pt>
                <c:pt idx="53">
                  <c:v>-1.3942783150276121</c:v>
                </c:pt>
                <c:pt idx="54">
                  <c:v>-1.3942783150276121</c:v>
                </c:pt>
                <c:pt idx="55">
                  <c:v>-1.3942783150276121</c:v>
                </c:pt>
                <c:pt idx="56">
                  <c:v>-1.3942783150276121</c:v>
                </c:pt>
                <c:pt idx="57">
                  <c:v>-1.3942783150276121</c:v>
                </c:pt>
                <c:pt idx="58">
                  <c:v>-1.3942783150276121</c:v>
                </c:pt>
                <c:pt idx="59">
                  <c:v>-1.3942783150276121</c:v>
                </c:pt>
                <c:pt idx="60">
                  <c:v>-1.3942783150276121</c:v>
                </c:pt>
                <c:pt idx="61">
                  <c:v>-1.3942783150276121</c:v>
                </c:pt>
                <c:pt idx="62">
                  <c:v>-1.3942783150276121</c:v>
                </c:pt>
                <c:pt idx="63">
                  <c:v>-1.3942783150276121</c:v>
                </c:pt>
                <c:pt idx="64">
                  <c:v>-1.3942783150276121</c:v>
                </c:pt>
                <c:pt idx="65">
                  <c:v>-1.3942783150276121</c:v>
                </c:pt>
                <c:pt idx="66">
                  <c:v>-1.3942783150276121</c:v>
                </c:pt>
                <c:pt idx="67">
                  <c:v>-1.3942783150276121</c:v>
                </c:pt>
                <c:pt idx="68">
                  <c:v>-1.3942783150276121</c:v>
                </c:pt>
                <c:pt idx="69">
                  <c:v>-0.90375366692572978</c:v>
                </c:pt>
                <c:pt idx="70">
                  <c:v>-0.90375366692572978</c:v>
                </c:pt>
                <c:pt idx="71">
                  <c:v>-1.4632631312024809</c:v>
                </c:pt>
                <c:pt idx="72">
                  <c:v>-1.4632631312024809</c:v>
                </c:pt>
                <c:pt idx="73">
                  <c:v>-1.4632631312024809</c:v>
                </c:pt>
                <c:pt idx="74">
                  <c:v>-1.4632631312024809</c:v>
                </c:pt>
                <c:pt idx="75">
                  <c:v>-1.4632631312024809</c:v>
                </c:pt>
                <c:pt idx="76">
                  <c:v>-1.4632631312024809</c:v>
                </c:pt>
                <c:pt idx="77">
                  <c:v>-1.4632631312024809</c:v>
                </c:pt>
                <c:pt idx="78">
                  <c:v>-1.4632631312024809</c:v>
                </c:pt>
                <c:pt idx="79">
                  <c:v>-1.4632631312024809</c:v>
                </c:pt>
                <c:pt idx="80">
                  <c:v>-1.4632631312024809</c:v>
                </c:pt>
                <c:pt idx="81">
                  <c:v>-1.4632631312024809</c:v>
                </c:pt>
                <c:pt idx="82">
                  <c:v>-1.4632631312024809</c:v>
                </c:pt>
                <c:pt idx="83">
                  <c:v>-1.4632631312024809</c:v>
                </c:pt>
                <c:pt idx="84">
                  <c:v>-1.4632631312024809</c:v>
                </c:pt>
                <c:pt idx="85">
                  <c:v>-1.4632631312024809</c:v>
                </c:pt>
                <c:pt idx="86">
                  <c:v>-1.4632631312024809</c:v>
                </c:pt>
                <c:pt idx="87">
                  <c:v>-1.4632631312024809</c:v>
                </c:pt>
                <c:pt idx="88">
                  <c:v>-1.4632631312024809</c:v>
                </c:pt>
                <c:pt idx="89">
                  <c:v>-1.4632631312024809</c:v>
                </c:pt>
                <c:pt idx="90">
                  <c:v>-1.4632631312024809</c:v>
                </c:pt>
                <c:pt idx="91">
                  <c:v>-1.4632631312024809</c:v>
                </c:pt>
                <c:pt idx="92">
                  <c:v>-1.4632631312024809</c:v>
                </c:pt>
                <c:pt idx="93">
                  <c:v>-1.4632631312024809</c:v>
                </c:pt>
                <c:pt idx="94">
                  <c:v>-1.4632631312024809</c:v>
                </c:pt>
                <c:pt idx="95">
                  <c:v>-1.4632631312024809</c:v>
                </c:pt>
                <c:pt idx="96">
                  <c:v>-1.4632631312024809</c:v>
                </c:pt>
                <c:pt idx="97">
                  <c:v>-1.4632631312024809</c:v>
                </c:pt>
                <c:pt idx="98">
                  <c:v>-1.4632631312024809</c:v>
                </c:pt>
                <c:pt idx="99">
                  <c:v>-1.4632631312024809</c:v>
                </c:pt>
                <c:pt idx="100">
                  <c:v>-1.4632631312024809</c:v>
                </c:pt>
                <c:pt idx="101">
                  <c:v>-1.4632631312024809</c:v>
                </c:pt>
                <c:pt idx="102">
                  <c:v>-1.4632631312024809</c:v>
                </c:pt>
                <c:pt idx="103">
                  <c:v>-2.6729918163297475</c:v>
                </c:pt>
                <c:pt idx="104">
                  <c:v>-2.6729918163297475</c:v>
                </c:pt>
                <c:pt idx="105">
                  <c:v>-2.6729918163297475</c:v>
                </c:pt>
                <c:pt idx="106">
                  <c:v>-2.4770844119990163</c:v>
                </c:pt>
                <c:pt idx="107">
                  <c:v>-2.4770844119990163</c:v>
                </c:pt>
                <c:pt idx="108">
                  <c:v>-2.4770844119990163</c:v>
                </c:pt>
                <c:pt idx="109">
                  <c:v>-2.4770844119990163</c:v>
                </c:pt>
                <c:pt idx="110">
                  <c:v>-2.4770844119990163</c:v>
                </c:pt>
                <c:pt idx="111">
                  <c:v>-2.4770844119990163</c:v>
                </c:pt>
                <c:pt idx="112">
                  <c:v>-2.4770844119990163</c:v>
                </c:pt>
                <c:pt idx="113">
                  <c:v>-2.4770844119990163</c:v>
                </c:pt>
                <c:pt idx="114">
                  <c:v>-2.4770844119990163</c:v>
                </c:pt>
                <c:pt idx="115">
                  <c:v>-2.4770844119990163</c:v>
                </c:pt>
                <c:pt idx="116">
                  <c:v>-2.4770844119990163</c:v>
                </c:pt>
                <c:pt idx="117">
                  <c:v>-2.4770844119990163</c:v>
                </c:pt>
                <c:pt idx="118">
                  <c:v>-2.4770844119990163</c:v>
                </c:pt>
                <c:pt idx="119">
                  <c:v>-2.4770844119990163</c:v>
                </c:pt>
                <c:pt idx="120">
                  <c:v>-2.4770844119990163</c:v>
                </c:pt>
                <c:pt idx="121">
                  <c:v>-2.8466787313052277</c:v>
                </c:pt>
                <c:pt idx="122">
                  <c:v>-2.8466787313052277</c:v>
                </c:pt>
                <c:pt idx="123">
                  <c:v>-2.8466787313052277</c:v>
                </c:pt>
                <c:pt idx="124">
                  <c:v>-2.8466787313052277</c:v>
                </c:pt>
                <c:pt idx="125">
                  <c:v>-2.8466787313052277</c:v>
                </c:pt>
                <c:pt idx="126">
                  <c:v>-2.8466787313052277</c:v>
                </c:pt>
                <c:pt idx="127">
                  <c:v>-2.8466787313052277</c:v>
                </c:pt>
                <c:pt idx="128">
                  <c:v>-2.8466787313052277</c:v>
                </c:pt>
                <c:pt idx="129">
                  <c:v>-2.8466787313052277</c:v>
                </c:pt>
                <c:pt idx="130">
                  <c:v>-2.8466787313052277</c:v>
                </c:pt>
                <c:pt idx="131">
                  <c:v>-2.8466787313052277</c:v>
                </c:pt>
                <c:pt idx="132">
                  <c:v>-2.8466787313052277</c:v>
                </c:pt>
                <c:pt idx="133">
                  <c:v>-2.8466787313052277</c:v>
                </c:pt>
                <c:pt idx="134">
                  <c:v>-2.8466787313052277</c:v>
                </c:pt>
                <c:pt idx="135">
                  <c:v>-2.8466787313052277</c:v>
                </c:pt>
                <c:pt idx="136">
                  <c:v>-2.8466787313052277</c:v>
                </c:pt>
                <c:pt idx="137">
                  <c:v>-3.1875162177003693</c:v>
                </c:pt>
                <c:pt idx="138">
                  <c:v>-3.1875162177003693</c:v>
                </c:pt>
                <c:pt idx="139">
                  <c:v>-3.1875162177003693</c:v>
                </c:pt>
                <c:pt idx="140">
                  <c:v>-3.1875162177003693</c:v>
                </c:pt>
                <c:pt idx="141">
                  <c:v>-3.1875162177003693</c:v>
                </c:pt>
                <c:pt idx="142">
                  <c:v>-3.1875162177003693</c:v>
                </c:pt>
                <c:pt idx="143">
                  <c:v>-3.1875162177003693</c:v>
                </c:pt>
                <c:pt idx="144">
                  <c:v>-3.1875162177003693</c:v>
                </c:pt>
                <c:pt idx="145">
                  <c:v>-3.1875162177003693</c:v>
                </c:pt>
                <c:pt idx="146">
                  <c:v>-3.1875162177003693</c:v>
                </c:pt>
                <c:pt idx="147">
                  <c:v>-3.1875162177003693</c:v>
                </c:pt>
                <c:pt idx="148">
                  <c:v>-3.1875162177003693</c:v>
                </c:pt>
                <c:pt idx="149">
                  <c:v>-3.1875162177003693</c:v>
                </c:pt>
                <c:pt idx="150">
                  <c:v>-3.1875162177003693</c:v>
                </c:pt>
                <c:pt idx="151">
                  <c:v>-3.1875162177003693</c:v>
                </c:pt>
                <c:pt idx="152">
                  <c:v>-3.1875162177003693</c:v>
                </c:pt>
                <c:pt idx="153">
                  <c:v>-3.1875162177003693</c:v>
                </c:pt>
                <c:pt idx="154">
                  <c:v>-3.1875162177003693</c:v>
                </c:pt>
                <c:pt idx="155">
                  <c:v>-3.1875162177003693</c:v>
                </c:pt>
                <c:pt idx="156">
                  <c:v>-3.1875162177003693</c:v>
                </c:pt>
                <c:pt idx="157">
                  <c:v>-3.1875162177003693</c:v>
                </c:pt>
                <c:pt idx="158">
                  <c:v>-3.1875162177003693</c:v>
                </c:pt>
                <c:pt idx="159">
                  <c:v>-3.1875162177003693</c:v>
                </c:pt>
                <c:pt idx="160">
                  <c:v>-3.1875162177003693</c:v>
                </c:pt>
                <c:pt idx="161">
                  <c:v>-3.1875162177003693</c:v>
                </c:pt>
                <c:pt idx="162">
                  <c:v>-3.1875162177003693</c:v>
                </c:pt>
                <c:pt idx="163">
                  <c:v>-3.1875162177003693</c:v>
                </c:pt>
                <c:pt idx="164">
                  <c:v>-3.1875162177003693</c:v>
                </c:pt>
                <c:pt idx="165">
                  <c:v>-3.1875162177003693</c:v>
                </c:pt>
                <c:pt idx="166">
                  <c:v>-3.1875162177003693</c:v>
                </c:pt>
                <c:pt idx="167">
                  <c:v>-3.1875162177003693</c:v>
                </c:pt>
                <c:pt idx="168">
                  <c:v>-3.1875162177003693</c:v>
                </c:pt>
                <c:pt idx="169">
                  <c:v>-3.1875162177003693</c:v>
                </c:pt>
                <c:pt idx="170">
                  <c:v>-3.1875162177003693</c:v>
                </c:pt>
                <c:pt idx="171">
                  <c:v>-3.1875162177003693</c:v>
                </c:pt>
                <c:pt idx="172">
                  <c:v>-3.1875162177003693</c:v>
                </c:pt>
                <c:pt idx="173">
                  <c:v>-3.1875162177003693</c:v>
                </c:pt>
                <c:pt idx="174">
                  <c:v>-3.1875162177003693</c:v>
                </c:pt>
                <c:pt idx="175">
                  <c:v>-3.1875162177003693</c:v>
                </c:pt>
                <c:pt idx="176">
                  <c:v>-3.1875162177003693</c:v>
                </c:pt>
                <c:pt idx="177">
                  <c:v>-3.1875162177003693</c:v>
                </c:pt>
                <c:pt idx="178">
                  <c:v>-3.1875162177003693</c:v>
                </c:pt>
                <c:pt idx="179">
                  <c:v>-3.1875162177003693</c:v>
                </c:pt>
                <c:pt idx="180">
                  <c:v>-3.1875162177003693</c:v>
                </c:pt>
                <c:pt idx="181">
                  <c:v>-3.1875162177003693</c:v>
                </c:pt>
                <c:pt idx="182">
                  <c:v>-3.1875162177003693</c:v>
                </c:pt>
                <c:pt idx="183">
                  <c:v>-3.1875162177003693</c:v>
                </c:pt>
                <c:pt idx="184">
                  <c:v>-3.1875162177003693</c:v>
                </c:pt>
                <c:pt idx="185">
                  <c:v>-3.1875162177003693</c:v>
                </c:pt>
                <c:pt idx="186">
                  <c:v>-3.1875162177003693</c:v>
                </c:pt>
                <c:pt idx="187">
                  <c:v>-3.1875162177003693</c:v>
                </c:pt>
                <c:pt idx="188">
                  <c:v>-3.1875162177003693</c:v>
                </c:pt>
                <c:pt idx="189">
                  <c:v>-3.1875162177003693</c:v>
                </c:pt>
                <c:pt idx="190">
                  <c:v>-3.1875162177003693</c:v>
                </c:pt>
                <c:pt idx="191">
                  <c:v>-3.1875162177003693</c:v>
                </c:pt>
                <c:pt idx="192">
                  <c:v>-3.1875162177003693</c:v>
                </c:pt>
                <c:pt idx="193">
                  <c:v>-3.1875162177003693</c:v>
                </c:pt>
                <c:pt idx="194">
                  <c:v>-3.1875162177003693</c:v>
                </c:pt>
                <c:pt idx="195">
                  <c:v>-3.1875162177003693</c:v>
                </c:pt>
                <c:pt idx="196">
                  <c:v>-3.1875162177003693</c:v>
                </c:pt>
                <c:pt idx="197">
                  <c:v>-3.1875162177003693</c:v>
                </c:pt>
                <c:pt idx="198">
                  <c:v>-3.1875162177003693</c:v>
                </c:pt>
                <c:pt idx="199">
                  <c:v>-3.1875162177003693</c:v>
                </c:pt>
                <c:pt idx="200">
                  <c:v>-3.5261678679428221</c:v>
                </c:pt>
                <c:pt idx="201">
                  <c:v>-3.5261678679428221</c:v>
                </c:pt>
                <c:pt idx="202">
                  <c:v>-3.5261678679428221</c:v>
                </c:pt>
                <c:pt idx="203">
                  <c:v>-3.6771575581780365</c:v>
                </c:pt>
                <c:pt idx="204">
                  <c:v>-3.6771575581780365</c:v>
                </c:pt>
                <c:pt idx="205">
                  <c:v>-3.6771575581780365</c:v>
                </c:pt>
                <c:pt idx="206">
                  <c:v>-3.6771575581780365</c:v>
                </c:pt>
                <c:pt idx="207">
                  <c:v>-3.6771575581780365</c:v>
                </c:pt>
                <c:pt idx="208">
                  <c:v>-3.6771575581780365</c:v>
                </c:pt>
                <c:pt idx="209">
                  <c:v>-3.6771575581780365</c:v>
                </c:pt>
                <c:pt idx="210">
                  <c:v>-3.6771575581780365</c:v>
                </c:pt>
                <c:pt idx="211">
                  <c:v>-3.6771575581780365</c:v>
                </c:pt>
                <c:pt idx="212">
                  <c:v>-3.6771575581780365</c:v>
                </c:pt>
                <c:pt idx="213">
                  <c:v>-3.6771575581780365</c:v>
                </c:pt>
                <c:pt idx="214">
                  <c:v>-3.6771575581780365</c:v>
                </c:pt>
                <c:pt idx="215">
                  <c:v>-3.6771575581780365</c:v>
                </c:pt>
                <c:pt idx="216">
                  <c:v>-3.6771575581780365</c:v>
                </c:pt>
                <c:pt idx="217">
                  <c:v>-2.7294498562489466</c:v>
                </c:pt>
                <c:pt idx="218">
                  <c:v>-2.7294498562489466</c:v>
                </c:pt>
                <c:pt idx="219">
                  <c:v>-2.7294498562489466</c:v>
                </c:pt>
                <c:pt idx="220">
                  <c:v>-2.7294498562489466</c:v>
                </c:pt>
                <c:pt idx="221">
                  <c:v>-2.7294498562489466</c:v>
                </c:pt>
                <c:pt idx="222">
                  <c:v>-2.7294498562489466</c:v>
                </c:pt>
                <c:pt idx="223">
                  <c:v>-3.0883607473380557</c:v>
                </c:pt>
                <c:pt idx="224">
                  <c:v>-3.0883607473380557</c:v>
                </c:pt>
                <c:pt idx="225">
                  <c:v>-3.0883607473380557</c:v>
                </c:pt>
                <c:pt idx="226">
                  <c:v>-3.0883607473380557</c:v>
                </c:pt>
                <c:pt idx="227">
                  <c:v>-3.0883607473380557</c:v>
                </c:pt>
                <c:pt idx="228">
                  <c:v>-3.0883607473380557</c:v>
                </c:pt>
                <c:pt idx="229">
                  <c:v>-3.0883607473380557</c:v>
                </c:pt>
                <c:pt idx="230">
                  <c:v>-3.0883607473380557</c:v>
                </c:pt>
                <c:pt idx="231">
                  <c:v>-3.0883607473380557</c:v>
                </c:pt>
                <c:pt idx="232">
                  <c:v>-3.0883607473380557</c:v>
                </c:pt>
                <c:pt idx="233">
                  <c:v>-3.0883607473380557</c:v>
                </c:pt>
                <c:pt idx="234">
                  <c:v>-3.0883607473380557</c:v>
                </c:pt>
                <c:pt idx="235">
                  <c:v>-3.0883607473380557</c:v>
                </c:pt>
                <c:pt idx="236">
                  <c:v>-3.0883607473380557</c:v>
                </c:pt>
                <c:pt idx="237">
                  <c:v>-3.0883607473380557</c:v>
                </c:pt>
                <c:pt idx="238">
                  <c:v>-3.0883607473380557</c:v>
                </c:pt>
                <c:pt idx="239">
                  <c:v>-3.0883607473380557</c:v>
                </c:pt>
                <c:pt idx="240">
                  <c:v>-2.9903544749366251</c:v>
                </c:pt>
                <c:pt idx="241">
                  <c:v>-2.9903544749366251</c:v>
                </c:pt>
                <c:pt idx="242">
                  <c:v>-2.9903544749366251</c:v>
                </c:pt>
                <c:pt idx="243">
                  <c:v>-2.9903544749366251</c:v>
                </c:pt>
                <c:pt idx="244">
                  <c:v>-2.9903544749366251</c:v>
                </c:pt>
                <c:pt idx="245">
                  <c:v>-2.9903544749366251</c:v>
                </c:pt>
                <c:pt idx="246">
                  <c:v>-2.9903544749366251</c:v>
                </c:pt>
                <c:pt idx="247">
                  <c:v>-2.9903544749366251</c:v>
                </c:pt>
                <c:pt idx="248">
                  <c:v>-2.9903544749366251</c:v>
                </c:pt>
                <c:pt idx="249">
                  <c:v>-2.9903544749366251</c:v>
                </c:pt>
                <c:pt idx="250">
                  <c:v>-2.9903544749366251</c:v>
                </c:pt>
                <c:pt idx="251">
                  <c:v>-2.9903544749366251</c:v>
                </c:pt>
                <c:pt idx="252">
                  <c:v>-2.9903544749366251</c:v>
                </c:pt>
                <c:pt idx="253">
                  <c:v>-2.9903544749366251</c:v>
                </c:pt>
                <c:pt idx="254">
                  <c:v>-2.9903544749366251</c:v>
                </c:pt>
                <c:pt idx="255">
                  <c:v>-2.9903544749366251</c:v>
                </c:pt>
                <c:pt idx="256">
                  <c:v>-2.9903544749366251</c:v>
                </c:pt>
                <c:pt idx="257">
                  <c:v>-4.4796760660599473</c:v>
                </c:pt>
                <c:pt idx="258">
                  <c:v>-4.7511291711510797</c:v>
                </c:pt>
                <c:pt idx="259">
                  <c:v>-4.7511291711510797</c:v>
                </c:pt>
                <c:pt idx="260">
                  <c:v>-4.7511291711510797</c:v>
                </c:pt>
                <c:pt idx="261">
                  <c:v>-4.7511291711510797</c:v>
                </c:pt>
                <c:pt idx="262">
                  <c:v>-4.7511291711510797</c:v>
                </c:pt>
                <c:pt idx="263">
                  <c:v>-4.7511291711510797</c:v>
                </c:pt>
                <c:pt idx="264">
                  <c:v>-4.7511291711510797</c:v>
                </c:pt>
                <c:pt idx="265">
                  <c:v>-4.7511291711510797</c:v>
                </c:pt>
                <c:pt idx="266">
                  <c:v>-4.7511291711510797</c:v>
                </c:pt>
                <c:pt idx="267">
                  <c:v>-4.7511291711510797</c:v>
                </c:pt>
                <c:pt idx="268">
                  <c:v>-4.7511291711510797</c:v>
                </c:pt>
                <c:pt idx="269">
                  <c:v>-4.7511291711510797</c:v>
                </c:pt>
                <c:pt idx="270">
                  <c:v>-4.7511291711510797</c:v>
                </c:pt>
                <c:pt idx="271">
                  <c:v>-4.7511291711510797</c:v>
                </c:pt>
                <c:pt idx="272">
                  <c:v>-4.7511291711510797</c:v>
                </c:pt>
                <c:pt idx="273">
                  <c:v>-5.6964391354483883</c:v>
                </c:pt>
                <c:pt idx="274">
                  <c:v>-5.6964391354483883</c:v>
                </c:pt>
                <c:pt idx="275">
                  <c:v>-5.6964391354483883</c:v>
                </c:pt>
                <c:pt idx="276">
                  <c:v>-5.6964391354483883</c:v>
                </c:pt>
                <c:pt idx="277">
                  <c:v>-5.3227494758133416</c:v>
                </c:pt>
                <c:pt idx="278">
                  <c:v>-5.3227494758133416</c:v>
                </c:pt>
                <c:pt idx="279">
                  <c:v>-5.3227494758133416</c:v>
                </c:pt>
                <c:pt idx="280">
                  <c:v>-5.3227494758133416</c:v>
                </c:pt>
                <c:pt idx="281">
                  <c:v>-5.3227494758133416</c:v>
                </c:pt>
                <c:pt idx="282">
                  <c:v>-5.3227494758133416</c:v>
                </c:pt>
                <c:pt idx="283">
                  <c:v>-5.3227494758133416</c:v>
                </c:pt>
                <c:pt idx="284">
                  <c:v>-5.3227494758133416</c:v>
                </c:pt>
                <c:pt idx="285">
                  <c:v>-5.3227494758133416</c:v>
                </c:pt>
                <c:pt idx="286">
                  <c:v>-5.3227494758133416</c:v>
                </c:pt>
                <c:pt idx="287">
                  <c:v>-5.3227494758133416</c:v>
                </c:pt>
                <c:pt idx="288">
                  <c:v>-5.3227494758133416</c:v>
                </c:pt>
                <c:pt idx="289">
                  <c:v>-5.3227494758133416</c:v>
                </c:pt>
                <c:pt idx="290">
                  <c:v>-5.3809261075740293</c:v>
                </c:pt>
                <c:pt idx="291">
                  <c:v>-5.3809261075740293</c:v>
                </c:pt>
                <c:pt idx="292">
                  <c:v>-5.3809261075740293</c:v>
                </c:pt>
                <c:pt idx="293">
                  <c:v>-5.3809261075740293</c:v>
                </c:pt>
                <c:pt idx="294">
                  <c:v>-5.3809261075740293</c:v>
                </c:pt>
                <c:pt idx="295">
                  <c:v>-5.9052183130965723</c:v>
                </c:pt>
                <c:pt idx="296">
                  <c:v>-5.9052183130965723</c:v>
                </c:pt>
                <c:pt idx="297">
                  <c:v>-5.6329901687182264</c:v>
                </c:pt>
                <c:pt idx="298">
                  <c:v>-5.6329901687182264</c:v>
                </c:pt>
                <c:pt idx="299">
                  <c:v>-5.6329901687182264</c:v>
                </c:pt>
                <c:pt idx="300">
                  <c:v>-5.6329901687182264</c:v>
                </c:pt>
                <c:pt idx="301">
                  <c:v>-5.6329901687182264</c:v>
                </c:pt>
                <c:pt idx="302">
                  <c:v>-5.6329901687182264</c:v>
                </c:pt>
                <c:pt idx="303">
                  <c:v>-5.6329901687182264</c:v>
                </c:pt>
                <c:pt idx="304">
                  <c:v>-7.0572780247901932</c:v>
                </c:pt>
                <c:pt idx="305">
                  <c:v>-7.0572780247901932</c:v>
                </c:pt>
                <c:pt idx="306">
                  <c:v>-7.0572780247901932</c:v>
                </c:pt>
                <c:pt idx="307">
                  <c:v>-7.0572780247901932</c:v>
                </c:pt>
                <c:pt idx="308">
                  <c:v>-7.0572780247901932</c:v>
                </c:pt>
                <c:pt idx="309">
                  <c:v>-6.0548259838266851</c:v>
                </c:pt>
                <c:pt idx="310">
                  <c:v>-6.0548259838266851</c:v>
                </c:pt>
                <c:pt idx="311">
                  <c:v>-6.0548259838266851</c:v>
                </c:pt>
                <c:pt idx="312">
                  <c:v>-6.0548259838266851</c:v>
                </c:pt>
                <c:pt idx="313">
                  <c:v>-5.0648594286427402</c:v>
                </c:pt>
                <c:pt idx="314">
                  <c:v>-5.0648594286427402</c:v>
                </c:pt>
                <c:pt idx="315">
                  <c:v>-5.0648594286427402</c:v>
                </c:pt>
                <c:pt idx="316">
                  <c:v>-4.5276144690870233</c:v>
                </c:pt>
                <c:pt idx="317">
                  <c:v>-4.1583836998562527</c:v>
                </c:pt>
                <c:pt idx="318">
                  <c:v>-4.1583836998562527</c:v>
                </c:pt>
                <c:pt idx="319">
                  <c:v>-4.1583836998562527</c:v>
                </c:pt>
                <c:pt idx="320">
                  <c:v>-4.1583836998562527</c:v>
                </c:pt>
                <c:pt idx="321">
                  <c:v>-4.1583836998562527</c:v>
                </c:pt>
                <c:pt idx="322">
                  <c:v>-4.1583836998562527</c:v>
                </c:pt>
                <c:pt idx="323">
                  <c:v>-4.1583836998562527</c:v>
                </c:pt>
                <c:pt idx="324">
                  <c:v>-4.1583836998562527</c:v>
                </c:pt>
                <c:pt idx="325">
                  <c:v>-4.1583836998562527</c:v>
                </c:pt>
                <c:pt idx="326">
                  <c:v>-4.1583836998562527</c:v>
                </c:pt>
                <c:pt idx="327">
                  <c:v>-4.1583836998562527</c:v>
                </c:pt>
                <c:pt idx="328">
                  <c:v>-4.1583836998562527</c:v>
                </c:pt>
                <c:pt idx="329">
                  <c:v>-3.5898246029106979</c:v>
                </c:pt>
                <c:pt idx="330">
                  <c:v>-3.5898246029106979</c:v>
                </c:pt>
                <c:pt idx="331">
                  <c:v>-3.5898246029106979</c:v>
                </c:pt>
                <c:pt idx="332">
                  <c:v>-3.5898246029106979</c:v>
                </c:pt>
                <c:pt idx="333">
                  <c:v>-3.5898246029106979</c:v>
                </c:pt>
                <c:pt idx="334">
                  <c:v>-3.37603659615394</c:v>
                </c:pt>
                <c:pt idx="335">
                  <c:v>-3.37603659615394</c:v>
                </c:pt>
                <c:pt idx="336">
                  <c:v>-3.37603659615394</c:v>
                </c:pt>
                <c:pt idx="337">
                  <c:v>-3.37603659615394</c:v>
                </c:pt>
                <c:pt idx="338">
                  <c:v>-3.0718846349476614</c:v>
                </c:pt>
                <c:pt idx="339">
                  <c:v>-3.0718846349476614</c:v>
                </c:pt>
                <c:pt idx="340">
                  <c:v>-3.0718846349476614</c:v>
                </c:pt>
                <c:pt idx="341">
                  <c:v>-3.172627957299063</c:v>
                </c:pt>
                <c:pt idx="342">
                  <c:v>-3.172627957299063</c:v>
                </c:pt>
                <c:pt idx="343">
                  <c:v>-3.172627957299063</c:v>
                </c:pt>
                <c:pt idx="344">
                  <c:v>-3.172627957299063</c:v>
                </c:pt>
                <c:pt idx="345">
                  <c:v>-4.0056184961719543</c:v>
                </c:pt>
                <c:pt idx="346">
                  <c:v>-4.0056184961719543</c:v>
                </c:pt>
                <c:pt idx="347">
                  <c:v>-4.0056184961719543</c:v>
                </c:pt>
                <c:pt idx="348">
                  <c:v>-4.0056184961719543</c:v>
                </c:pt>
                <c:pt idx="349">
                  <c:v>-4.4725272636810356</c:v>
                </c:pt>
                <c:pt idx="350">
                  <c:v>-4.4725272636810356</c:v>
                </c:pt>
                <c:pt idx="351">
                  <c:v>-4.4725272636810356</c:v>
                </c:pt>
                <c:pt idx="352">
                  <c:v>-4.4725272636810356</c:v>
                </c:pt>
                <c:pt idx="353">
                  <c:v>-5.0877602124177113</c:v>
                </c:pt>
                <c:pt idx="354">
                  <c:v>-4.7218027656092021</c:v>
                </c:pt>
                <c:pt idx="355">
                  <c:v>-4.7218027656092021</c:v>
                </c:pt>
                <c:pt idx="356">
                  <c:v>-4.7218027656092021</c:v>
                </c:pt>
                <c:pt idx="357">
                  <c:v>-4.7218027656092021</c:v>
                </c:pt>
                <c:pt idx="358">
                  <c:v>-3.3723450009097973</c:v>
                </c:pt>
                <c:pt idx="359">
                  <c:v>-5.3044741744182824</c:v>
                </c:pt>
                <c:pt idx="360">
                  <c:v>-5.3044741744182824</c:v>
                </c:pt>
                <c:pt idx="361">
                  <c:v>-5.3044741744182824</c:v>
                </c:pt>
                <c:pt idx="362">
                  <c:v>-5.3044741744182824</c:v>
                </c:pt>
                <c:pt idx="363">
                  <c:v>-7.4757889154541379</c:v>
                </c:pt>
                <c:pt idx="364">
                  <c:v>-7.4757889154541379</c:v>
                </c:pt>
                <c:pt idx="365">
                  <c:v>-7.4757889154541379</c:v>
                </c:pt>
                <c:pt idx="366">
                  <c:v>-7.4757889154541379</c:v>
                </c:pt>
                <c:pt idx="367">
                  <c:v>-7.4757889154541379</c:v>
                </c:pt>
                <c:pt idx="368">
                  <c:v>-7.4757889154541379</c:v>
                </c:pt>
                <c:pt idx="369">
                  <c:v>-7.4757889154541379</c:v>
                </c:pt>
                <c:pt idx="370">
                  <c:v>-7.1968488875601349</c:v>
                </c:pt>
                <c:pt idx="371">
                  <c:v>-7.1968488875601349</c:v>
                </c:pt>
                <c:pt idx="372">
                  <c:v>-7.1968488875601349</c:v>
                </c:pt>
                <c:pt idx="373">
                  <c:v>-7.1968488875601349</c:v>
                </c:pt>
                <c:pt idx="374">
                  <c:v>-7.1968488875601349</c:v>
                </c:pt>
                <c:pt idx="375">
                  <c:v>-7.1968488875601349</c:v>
                </c:pt>
                <c:pt idx="376">
                  <c:v>-7.1968488875601349</c:v>
                </c:pt>
                <c:pt idx="377">
                  <c:v>-7.1968488875601349</c:v>
                </c:pt>
                <c:pt idx="378">
                  <c:v>-7.1968488875601349</c:v>
                </c:pt>
                <c:pt idx="379">
                  <c:v>-7.1968488875601349</c:v>
                </c:pt>
                <c:pt idx="380">
                  <c:v>-7.1968488875601349</c:v>
                </c:pt>
                <c:pt idx="381">
                  <c:v>-7.1968488875601349</c:v>
                </c:pt>
                <c:pt idx="382">
                  <c:v>-7.1968488875601349</c:v>
                </c:pt>
                <c:pt idx="383">
                  <c:v>-7.1968488875601349</c:v>
                </c:pt>
                <c:pt idx="384">
                  <c:v>-7.1968488875601349</c:v>
                </c:pt>
                <c:pt idx="385">
                  <c:v>-7.1968488875601349</c:v>
                </c:pt>
                <c:pt idx="386">
                  <c:v>-7.1968488875601349</c:v>
                </c:pt>
                <c:pt idx="387">
                  <c:v>-6.4189693394205456</c:v>
                </c:pt>
                <c:pt idx="388">
                  <c:v>-9.4481881825928777</c:v>
                </c:pt>
                <c:pt idx="389">
                  <c:v>-9.5545915504907839</c:v>
                </c:pt>
                <c:pt idx="390">
                  <c:v>-9.5545915504907839</c:v>
                </c:pt>
                <c:pt idx="391">
                  <c:v>-9.5545915504907839</c:v>
                </c:pt>
                <c:pt idx="392">
                  <c:v>-7.8754038725380582</c:v>
                </c:pt>
                <c:pt idx="393">
                  <c:v>-7.8754038725380582</c:v>
                </c:pt>
                <c:pt idx="394">
                  <c:v>-7.8754038725380582</c:v>
                </c:pt>
                <c:pt idx="395">
                  <c:v>-7.8754038725380582</c:v>
                </c:pt>
                <c:pt idx="396">
                  <c:v>-9.0348004407242168</c:v>
                </c:pt>
                <c:pt idx="397">
                  <c:v>-9.0348004407242168</c:v>
                </c:pt>
                <c:pt idx="398">
                  <c:v>-6.8048165610896127</c:v>
                </c:pt>
                <c:pt idx="399">
                  <c:v>-7.8034035475798245</c:v>
                </c:pt>
                <c:pt idx="400">
                  <c:v>-7.8034035475798245</c:v>
                </c:pt>
                <c:pt idx="401">
                  <c:v>-7.8034035475798245</c:v>
                </c:pt>
                <c:pt idx="402">
                  <c:v>-7.8034035475798245</c:v>
                </c:pt>
                <c:pt idx="403">
                  <c:v>-8.3670168280784232</c:v>
                </c:pt>
                <c:pt idx="404">
                  <c:v>-8.3670168280784232</c:v>
                </c:pt>
                <c:pt idx="405">
                  <c:v>-8.9344644374946807</c:v>
                </c:pt>
                <c:pt idx="406">
                  <c:v>-8.9344644374946807</c:v>
                </c:pt>
                <c:pt idx="407">
                  <c:v>-10.441343668767885</c:v>
                </c:pt>
                <c:pt idx="408">
                  <c:v>-9.1581293965525905</c:v>
                </c:pt>
                <c:pt idx="409">
                  <c:v>-9.1581293965525905</c:v>
                </c:pt>
                <c:pt idx="410">
                  <c:v>-9.1581293965525905</c:v>
                </c:pt>
                <c:pt idx="411">
                  <c:v>-8.7553347204474417</c:v>
                </c:pt>
                <c:pt idx="412">
                  <c:v>-8.6939804368709357</c:v>
                </c:pt>
                <c:pt idx="413">
                  <c:v>-8.6939804368709357</c:v>
                </c:pt>
                <c:pt idx="414">
                  <c:v>-8.6939804368709357</c:v>
                </c:pt>
                <c:pt idx="415">
                  <c:v>-8.6939804368709357</c:v>
                </c:pt>
                <c:pt idx="416">
                  <c:v>-8.3953556824505036</c:v>
                </c:pt>
                <c:pt idx="417">
                  <c:v>-8.3953556824505036</c:v>
                </c:pt>
                <c:pt idx="418">
                  <c:v>-8.3953556824505036</c:v>
                </c:pt>
              </c:numCache>
            </c:numRef>
          </c:val>
          <c:smooth val="0"/>
          <c:extLst xmlns:c15="http://schemas.microsoft.com/office/drawing/2012/chart">
            <c:ext xmlns:c16="http://schemas.microsoft.com/office/drawing/2014/chart" uri="{C3380CC4-5D6E-409C-BE32-E72D297353CC}">
              <c16:uniqueId val="{00000000-014A-4B80-A216-E469238CD77A}"/>
            </c:ext>
          </c:extLst>
        </c:ser>
        <c:ser>
          <c:idx val="5"/>
          <c:order val="1"/>
          <c:tx>
            <c:v>Up (MOC)</c:v>
          </c:tx>
          <c:spPr>
            <a:ln w="19050" cap="rnd">
              <a:solidFill>
                <a:srgbClr val="00FF00"/>
              </a:solidFill>
              <a:prstDash val="sysDash"/>
              <a:round/>
            </a:ln>
            <a:effectLst/>
          </c:spPr>
          <c:marker>
            <c:symbol val="none"/>
          </c:marker>
          <c:val>
            <c:numRef>
              <c:f>'2025-Q2'!$AR$4:$AR$422</c:f>
              <c:numCache>
                <c:formatCode>0.0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0.87133026387444812</c:v>
                </c:pt>
                <c:pt idx="40">
                  <c:v>0.87133026387444812</c:v>
                </c:pt>
                <c:pt idx="41">
                  <c:v>0.87133026387444812</c:v>
                </c:pt>
                <c:pt idx="42">
                  <c:v>0.87133026387444812</c:v>
                </c:pt>
                <c:pt idx="43">
                  <c:v>0.87133026387444812</c:v>
                </c:pt>
                <c:pt idx="44">
                  <c:v>0.87133026387444812</c:v>
                </c:pt>
                <c:pt idx="45">
                  <c:v>0.87133026387444812</c:v>
                </c:pt>
                <c:pt idx="46">
                  <c:v>0.87133026387444812</c:v>
                </c:pt>
                <c:pt idx="47">
                  <c:v>-1.2381559938812483</c:v>
                </c:pt>
                <c:pt idx="48">
                  <c:v>-1.2381559938812483</c:v>
                </c:pt>
                <c:pt idx="49">
                  <c:v>-1.2381559938812483</c:v>
                </c:pt>
                <c:pt idx="50">
                  <c:v>-1.2381559938812483</c:v>
                </c:pt>
                <c:pt idx="51">
                  <c:v>-1.2381559938812483</c:v>
                </c:pt>
                <c:pt idx="52">
                  <c:v>-1.2381559938812483</c:v>
                </c:pt>
                <c:pt idx="53">
                  <c:v>-1.2381559938812483</c:v>
                </c:pt>
                <c:pt idx="54">
                  <c:v>-1.2381559938812483</c:v>
                </c:pt>
                <c:pt idx="55">
                  <c:v>-1.2381559938812483</c:v>
                </c:pt>
                <c:pt idx="56">
                  <c:v>-1.2381559938812483</c:v>
                </c:pt>
                <c:pt idx="57">
                  <c:v>-1.2381559938812483</c:v>
                </c:pt>
                <c:pt idx="58">
                  <c:v>-1.2381559938812483</c:v>
                </c:pt>
                <c:pt idx="59">
                  <c:v>-1.2381559938812483</c:v>
                </c:pt>
                <c:pt idx="60">
                  <c:v>-1.2381559938812483</c:v>
                </c:pt>
                <c:pt idx="61">
                  <c:v>-1.2381559938812483</c:v>
                </c:pt>
                <c:pt idx="62">
                  <c:v>-1.2381559938812483</c:v>
                </c:pt>
                <c:pt idx="63">
                  <c:v>-1.2381559938812483</c:v>
                </c:pt>
                <c:pt idx="64">
                  <c:v>-1.2381559938812483</c:v>
                </c:pt>
                <c:pt idx="65">
                  <c:v>-1.2381559938812483</c:v>
                </c:pt>
                <c:pt idx="66">
                  <c:v>-1.2381559938812483</c:v>
                </c:pt>
                <c:pt idx="67">
                  <c:v>-1.2381559938812483</c:v>
                </c:pt>
                <c:pt idx="68">
                  <c:v>-1.2381559938812483</c:v>
                </c:pt>
                <c:pt idx="69">
                  <c:v>-0.83192440125028944</c:v>
                </c:pt>
                <c:pt idx="70">
                  <c:v>-0.83192440125028944</c:v>
                </c:pt>
                <c:pt idx="71">
                  <c:v>-1.0879870612894522</c:v>
                </c:pt>
                <c:pt idx="72">
                  <c:v>-1.0879870612894522</c:v>
                </c:pt>
                <c:pt idx="73">
                  <c:v>-1.0879870612894522</c:v>
                </c:pt>
                <c:pt idx="74">
                  <c:v>-1.0879870612894522</c:v>
                </c:pt>
                <c:pt idx="75">
                  <c:v>-1.0879870612894522</c:v>
                </c:pt>
                <c:pt idx="76">
                  <c:v>-1.0879870612894522</c:v>
                </c:pt>
                <c:pt idx="77">
                  <c:v>-1.0879870612894522</c:v>
                </c:pt>
                <c:pt idx="78">
                  <c:v>-1.0879870612894522</c:v>
                </c:pt>
                <c:pt idx="79">
                  <c:v>-1.0879870612894522</c:v>
                </c:pt>
                <c:pt idx="80">
                  <c:v>-1.0879870612894522</c:v>
                </c:pt>
                <c:pt idx="81">
                  <c:v>-1.0879870612894522</c:v>
                </c:pt>
                <c:pt idx="82">
                  <c:v>-1.0879870612894522</c:v>
                </c:pt>
                <c:pt idx="83">
                  <c:v>-1.0879870612894522</c:v>
                </c:pt>
                <c:pt idx="84">
                  <c:v>-1.0879870612894522</c:v>
                </c:pt>
                <c:pt idx="85">
                  <c:v>-1.0879870612894522</c:v>
                </c:pt>
                <c:pt idx="86">
                  <c:v>-1.0879870612894522</c:v>
                </c:pt>
                <c:pt idx="87">
                  <c:v>-1.0879870612894522</c:v>
                </c:pt>
                <c:pt idx="88">
                  <c:v>-1.0879870612894522</c:v>
                </c:pt>
                <c:pt idx="89">
                  <c:v>-1.0879870612894522</c:v>
                </c:pt>
                <c:pt idx="90">
                  <c:v>-1.0879870612894522</c:v>
                </c:pt>
                <c:pt idx="91">
                  <c:v>-1.0879870612894522</c:v>
                </c:pt>
                <c:pt idx="92">
                  <c:v>-1.0879870612894522</c:v>
                </c:pt>
                <c:pt idx="93">
                  <c:v>-1.0879870612894522</c:v>
                </c:pt>
                <c:pt idx="94">
                  <c:v>-1.0879870612894522</c:v>
                </c:pt>
                <c:pt idx="95">
                  <c:v>-1.0879870612894522</c:v>
                </c:pt>
                <c:pt idx="96">
                  <c:v>-1.0879870612894522</c:v>
                </c:pt>
                <c:pt idx="97">
                  <c:v>-1.0879870612894522</c:v>
                </c:pt>
                <c:pt idx="98">
                  <c:v>-1.0879870612894522</c:v>
                </c:pt>
                <c:pt idx="99">
                  <c:v>-1.0879870612894522</c:v>
                </c:pt>
                <c:pt idx="100">
                  <c:v>-1.0879870612894522</c:v>
                </c:pt>
                <c:pt idx="101">
                  <c:v>-1.0879870612894522</c:v>
                </c:pt>
                <c:pt idx="102">
                  <c:v>-1.0879870612894522</c:v>
                </c:pt>
                <c:pt idx="103">
                  <c:v>-2.957567756486136</c:v>
                </c:pt>
                <c:pt idx="104">
                  <c:v>-2.957567756486136</c:v>
                </c:pt>
                <c:pt idx="105">
                  <c:v>-2.957567756486136</c:v>
                </c:pt>
                <c:pt idx="106">
                  <c:v>-2.7637371090917728</c:v>
                </c:pt>
                <c:pt idx="107">
                  <c:v>-2.7637371090917728</c:v>
                </c:pt>
                <c:pt idx="108">
                  <c:v>-2.7637371090917728</c:v>
                </c:pt>
                <c:pt idx="109">
                  <c:v>-2.7637371090917728</c:v>
                </c:pt>
                <c:pt idx="110">
                  <c:v>-2.7637371090917728</c:v>
                </c:pt>
                <c:pt idx="111">
                  <c:v>-2.7637371090917728</c:v>
                </c:pt>
                <c:pt idx="112">
                  <c:v>-2.7637371090917728</c:v>
                </c:pt>
                <c:pt idx="113">
                  <c:v>-2.7637371090917728</c:v>
                </c:pt>
                <c:pt idx="114">
                  <c:v>-2.7637371090917728</c:v>
                </c:pt>
                <c:pt idx="115">
                  <c:v>-2.7637371090917728</c:v>
                </c:pt>
                <c:pt idx="116">
                  <c:v>-2.7637371090917728</c:v>
                </c:pt>
                <c:pt idx="117">
                  <c:v>-2.7637371090917728</c:v>
                </c:pt>
                <c:pt idx="118">
                  <c:v>-2.7637371090917728</c:v>
                </c:pt>
                <c:pt idx="119">
                  <c:v>-2.7637371090917728</c:v>
                </c:pt>
                <c:pt idx="120">
                  <c:v>-2.7637371090917728</c:v>
                </c:pt>
                <c:pt idx="121">
                  <c:v>-2.7841084495259749</c:v>
                </c:pt>
                <c:pt idx="122">
                  <c:v>-2.7841084495259749</c:v>
                </c:pt>
                <c:pt idx="123">
                  <c:v>-2.7841084495259749</c:v>
                </c:pt>
                <c:pt idx="124">
                  <c:v>-2.7841084495259749</c:v>
                </c:pt>
                <c:pt idx="125">
                  <c:v>-2.7841084495259749</c:v>
                </c:pt>
                <c:pt idx="126">
                  <c:v>-2.7841084495259749</c:v>
                </c:pt>
                <c:pt idx="127">
                  <c:v>-2.7841084495259749</c:v>
                </c:pt>
                <c:pt idx="128">
                  <c:v>-2.7841084495259749</c:v>
                </c:pt>
                <c:pt idx="129">
                  <c:v>-2.7841084495259749</c:v>
                </c:pt>
                <c:pt idx="130">
                  <c:v>-2.7841084495259749</c:v>
                </c:pt>
                <c:pt idx="131">
                  <c:v>-2.7841084495259749</c:v>
                </c:pt>
                <c:pt idx="132">
                  <c:v>-2.7841084495259749</c:v>
                </c:pt>
                <c:pt idx="133">
                  <c:v>-2.7841084495259749</c:v>
                </c:pt>
                <c:pt idx="134">
                  <c:v>-2.7841084495259749</c:v>
                </c:pt>
                <c:pt idx="135">
                  <c:v>-2.7841084495259749</c:v>
                </c:pt>
                <c:pt idx="136">
                  <c:v>-2.7841084495259749</c:v>
                </c:pt>
                <c:pt idx="137">
                  <c:v>-2.6179859771653153</c:v>
                </c:pt>
                <c:pt idx="138">
                  <c:v>-2.6179859771653153</c:v>
                </c:pt>
                <c:pt idx="139">
                  <c:v>-2.6179859771653153</c:v>
                </c:pt>
                <c:pt idx="140">
                  <c:v>-2.6179859771653153</c:v>
                </c:pt>
                <c:pt idx="141">
                  <c:v>-2.6179859771653153</c:v>
                </c:pt>
                <c:pt idx="142">
                  <c:v>-2.6179859771653153</c:v>
                </c:pt>
                <c:pt idx="143">
                  <c:v>-2.6179859771653153</c:v>
                </c:pt>
                <c:pt idx="144">
                  <c:v>-2.6179859771653153</c:v>
                </c:pt>
                <c:pt idx="145">
                  <c:v>-2.6179859771653153</c:v>
                </c:pt>
                <c:pt idx="146">
                  <c:v>-2.6179859771653153</c:v>
                </c:pt>
                <c:pt idx="147">
                  <c:v>-2.6179859771653153</c:v>
                </c:pt>
                <c:pt idx="148">
                  <c:v>-2.6179859771653153</c:v>
                </c:pt>
                <c:pt idx="149">
                  <c:v>-2.6179859771653153</c:v>
                </c:pt>
                <c:pt idx="150">
                  <c:v>-2.6179859771653153</c:v>
                </c:pt>
                <c:pt idx="151">
                  <c:v>-2.6179859771653153</c:v>
                </c:pt>
                <c:pt idx="152">
                  <c:v>-2.6179859771653153</c:v>
                </c:pt>
                <c:pt idx="153">
                  <c:v>-2.6179859771653153</c:v>
                </c:pt>
                <c:pt idx="154">
                  <c:v>-2.6179859771653153</c:v>
                </c:pt>
                <c:pt idx="155">
                  <c:v>-2.6179859771653153</c:v>
                </c:pt>
                <c:pt idx="156">
                  <c:v>-2.6179859771653153</c:v>
                </c:pt>
                <c:pt idx="157">
                  <c:v>-2.6179859771653153</c:v>
                </c:pt>
                <c:pt idx="158">
                  <c:v>-2.6179859771653153</c:v>
                </c:pt>
                <c:pt idx="159">
                  <c:v>-2.6179859771653153</c:v>
                </c:pt>
                <c:pt idx="160">
                  <c:v>-2.6179859771653153</c:v>
                </c:pt>
                <c:pt idx="161">
                  <c:v>-2.6179859771653153</c:v>
                </c:pt>
                <c:pt idx="162">
                  <c:v>-2.6179859771653153</c:v>
                </c:pt>
                <c:pt idx="163">
                  <c:v>-2.6179859771653153</c:v>
                </c:pt>
                <c:pt idx="164">
                  <c:v>-2.6179859771653153</c:v>
                </c:pt>
                <c:pt idx="165">
                  <c:v>-2.6179859771653153</c:v>
                </c:pt>
                <c:pt idx="166">
                  <c:v>-2.6179859771653153</c:v>
                </c:pt>
                <c:pt idx="167">
                  <c:v>-2.6179859771653153</c:v>
                </c:pt>
                <c:pt idx="168">
                  <c:v>-2.6179859771653153</c:v>
                </c:pt>
                <c:pt idx="169">
                  <c:v>-2.6179859771653153</c:v>
                </c:pt>
                <c:pt idx="170">
                  <c:v>-2.6179859771653153</c:v>
                </c:pt>
                <c:pt idx="171">
                  <c:v>-2.6179859771653153</c:v>
                </c:pt>
                <c:pt idx="172">
                  <c:v>-2.6179859771653153</c:v>
                </c:pt>
                <c:pt idx="173">
                  <c:v>-2.6179859771653153</c:v>
                </c:pt>
                <c:pt idx="174">
                  <c:v>-2.6179859771653153</c:v>
                </c:pt>
                <c:pt idx="175">
                  <c:v>-2.6179859771653153</c:v>
                </c:pt>
                <c:pt idx="176">
                  <c:v>-2.6179859771653153</c:v>
                </c:pt>
                <c:pt idx="177">
                  <c:v>-2.6179859771653153</c:v>
                </c:pt>
                <c:pt idx="178">
                  <c:v>-2.6179859771653153</c:v>
                </c:pt>
                <c:pt idx="179">
                  <c:v>-2.6179859771653153</c:v>
                </c:pt>
                <c:pt idx="180">
                  <c:v>-2.6179859771653153</c:v>
                </c:pt>
                <c:pt idx="181">
                  <c:v>-2.6179859771653153</c:v>
                </c:pt>
                <c:pt idx="182">
                  <c:v>-2.6179859771653153</c:v>
                </c:pt>
                <c:pt idx="183">
                  <c:v>-2.6179859771653153</c:v>
                </c:pt>
                <c:pt idx="184">
                  <c:v>-2.6179859771653153</c:v>
                </c:pt>
                <c:pt idx="185">
                  <c:v>-2.6179859771653153</c:v>
                </c:pt>
                <c:pt idx="186">
                  <c:v>-2.6179859771653153</c:v>
                </c:pt>
                <c:pt idx="187">
                  <c:v>-2.6179859771653153</c:v>
                </c:pt>
                <c:pt idx="188">
                  <c:v>-2.6179859771653153</c:v>
                </c:pt>
                <c:pt idx="189">
                  <c:v>-2.6179859771653153</c:v>
                </c:pt>
                <c:pt idx="190">
                  <c:v>-2.6179859771653153</c:v>
                </c:pt>
                <c:pt idx="191">
                  <c:v>-2.6179859771653153</c:v>
                </c:pt>
                <c:pt idx="192">
                  <c:v>-2.6179859771653153</c:v>
                </c:pt>
                <c:pt idx="193">
                  <c:v>-2.6179859771653153</c:v>
                </c:pt>
                <c:pt idx="194">
                  <c:v>-2.6179859771653153</c:v>
                </c:pt>
                <c:pt idx="195">
                  <c:v>-2.6179859771653153</c:v>
                </c:pt>
                <c:pt idx="196">
                  <c:v>-2.6179859771653153</c:v>
                </c:pt>
                <c:pt idx="197">
                  <c:v>-2.6179859771653153</c:v>
                </c:pt>
                <c:pt idx="198">
                  <c:v>-2.6179859771653153</c:v>
                </c:pt>
                <c:pt idx="199">
                  <c:v>-2.6179859771653153</c:v>
                </c:pt>
                <c:pt idx="200">
                  <c:v>-2.9313495519085238</c:v>
                </c:pt>
                <c:pt idx="201">
                  <c:v>-2.9313495519085238</c:v>
                </c:pt>
                <c:pt idx="202">
                  <c:v>-2.9313495519085238</c:v>
                </c:pt>
                <c:pt idx="203">
                  <c:v>-2.4311962030043777</c:v>
                </c:pt>
                <c:pt idx="204">
                  <c:v>-2.4311962030043777</c:v>
                </c:pt>
                <c:pt idx="205">
                  <c:v>-2.4311962030043777</c:v>
                </c:pt>
                <c:pt idx="206">
                  <c:v>-2.4311962030043777</c:v>
                </c:pt>
                <c:pt idx="207">
                  <c:v>-2.4311962030043777</c:v>
                </c:pt>
                <c:pt idx="208">
                  <c:v>-2.4311962030043777</c:v>
                </c:pt>
                <c:pt idx="209">
                  <c:v>-2.4311962030043777</c:v>
                </c:pt>
                <c:pt idx="210">
                  <c:v>-2.4311962030043777</c:v>
                </c:pt>
                <c:pt idx="211">
                  <c:v>-2.4311962030043777</c:v>
                </c:pt>
                <c:pt idx="212">
                  <c:v>-2.4311962030043777</c:v>
                </c:pt>
                <c:pt idx="213">
                  <c:v>-2.4311962030043777</c:v>
                </c:pt>
                <c:pt idx="214">
                  <c:v>-2.4311962030043777</c:v>
                </c:pt>
                <c:pt idx="215">
                  <c:v>-2.4311962030043777</c:v>
                </c:pt>
                <c:pt idx="216">
                  <c:v>-2.4311962030043777</c:v>
                </c:pt>
                <c:pt idx="217">
                  <c:v>-1.2946685655386543</c:v>
                </c:pt>
                <c:pt idx="218">
                  <c:v>-1.2946685655386543</c:v>
                </c:pt>
                <c:pt idx="219">
                  <c:v>-1.2946685655386543</c:v>
                </c:pt>
                <c:pt idx="220">
                  <c:v>-1.2946685655386543</c:v>
                </c:pt>
                <c:pt idx="221">
                  <c:v>-1.2946685655386543</c:v>
                </c:pt>
                <c:pt idx="222">
                  <c:v>-1.2946685655386543</c:v>
                </c:pt>
                <c:pt idx="223">
                  <c:v>-2.2840800066827698</c:v>
                </c:pt>
                <c:pt idx="224">
                  <c:v>-2.2840800066827698</c:v>
                </c:pt>
                <c:pt idx="225">
                  <c:v>-2.2840800066827698</c:v>
                </c:pt>
                <c:pt idx="226">
                  <c:v>-2.2840800066827698</c:v>
                </c:pt>
                <c:pt idx="227">
                  <c:v>-2.2840800066827698</c:v>
                </c:pt>
                <c:pt idx="228">
                  <c:v>-2.2840800066827698</c:v>
                </c:pt>
                <c:pt idx="229">
                  <c:v>-2.2840800066827698</c:v>
                </c:pt>
                <c:pt idx="230">
                  <c:v>-2.2840800066827698</c:v>
                </c:pt>
                <c:pt idx="231">
                  <c:v>-2.2840800066827698</c:v>
                </c:pt>
                <c:pt idx="232">
                  <c:v>-2.2840800066827698</c:v>
                </c:pt>
                <c:pt idx="233">
                  <c:v>-2.2840800066827698</c:v>
                </c:pt>
                <c:pt idx="234">
                  <c:v>-2.2840800066827698</c:v>
                </c:pt>
                <c:pt idx="235">
                  <c:v>-2.2840800066827698</c:v>
                </c:pt>
                <c:pt idx="236">
                  <c:v>-2.2840800066827698</c:v>
                </c:pt>
                <c:pt idx="237">
                  <c:v>-2.2840800066827698</c:v>
                </c:pt>
                <c:pt idx="238">
                  <c:v>-2.2840800066827698</c:v>
                </c:pt>
                <c:pt idx="239">
                  <c:v>-2.2840800066827698</c:v>
                </c:pt>
                <c:pt idx="240">
                  <c:v>-2.1356705084748859</c:v>
                </c:pt>
                <c:pt idx="241">
                  <c:v>-2.1356705084748859</c:v>
                </c:pt>
                <c:pt idx="242">
                  <c:v>-2.1356705084748859</c:v>
                </c:pt>
                <c:pt idx="243">
                  <c:v>-2.1356705084748859</c:v>
                </c:pt>
                <c:pt idx="244">
                  <c:v>-2.1356705084748859</c:v>
                </c:pt>
                <c:pt idx="245">
                  <c:v>-2.1356705084748859</c:v>
                </c:pt>
                <c:pt idx="246">
                  <c:v>-2.1356705084748859</c:v>
                </c:pt>
                <c:pt idx="247">
                  <c:v>-2.1356705084748859</c:v>
                </c:pt>
                <c:pt idx="248">
                  <c:v>-2.1356705084748859</c:v>
                </c:pt>
                <c:pt idx="249">
                  <c:v>-2.1356705084748859</c:v>
                </c:pt>
                <c:pt idx="250">
                  <c:v>-2.1356705084748859</c:v>
                </c:pt>
                <c:pt idx="251">
                  <c:v>-2.1356705084748859</c:v>
                </c:pt>
                <c:pt idx="252">
                  <c:v>-2.1356705084748859</c:v>
                </c:pt>
                <c:pt idx="253">
                  <c:v>-2.1356705084748859</c:v>
                </c:pt>
                <c:pt idx="254">
                  <c:v>-2.1356705084748859</c:v>
                </c:pt>
                <c:pt idx="255">
                  <c:v>-2.1356705084748859</c:v>
                </c:pt>
                <c:pt idx="256">
                  <c:v>-2.1356705084748859</c:v>
                </c:pt>
                <c:pt idx="257">
                  <c:v>-4.1434268306854385</c:v>
                </c:pt>
                <c:pt idx="258">
                  <c:v>-4.5506064883221358</c:v>
                </c:pt>
                <c:pt idx="259">
                  <c:v>-4.5506064883221358</c:v>
                </c:pt>
                <c:pt idx="260">
                  <c:v>-4.5506064883221358</c:v>
                </c:pt>
                <c:pt idx="261">
                  <c:v>-4.5506064883221358</c:v>
                </c:pt>
                <c:pt idx="262">
                  <c:v>-4.5506064883221358</c:v>
                </c:pt>
                <c:pt idx="263">
                  <c:v>-4.5506064883221358</c:v>
                </c:pt>
                <c:pt idx="264">
                  <c:v>-4.5506064883221358</c:v>
                </c:pt>
                <c:pt idx="265">
                  <c:v>-4.5506064883221358</c:v>
                </c:pt>
                <c:pt idx="266">
                  <c:v>-4.5506064883221358</c:v>
                </c:pt>
                <c:pt idx="267">
                  <c:v>-4.5506064883221358</c:v>
                </c:pt>
                <c:pt idx="268">
                  <c:v>-4.5506064883221358</c:v>
                </c:pt>
                <c:pt idx="269">
                  <c:v>-4.5506064883221358</c:v>
                </c:pt>
                <c:pt idx="270">
                  <c:v>-4.5506064883221358</c:v>
                </c:pt>
                <c:pt idx="271">
                  <c:v>-4.5506064883221358</c:v>
                </c:pt>
                <c:pt idx="272">
                  <c:v>-4.5506064883221358</c:v>
                </c:pt>
                <c:pt idx="273">
                  <c:v>-5.7912751024084725</c:v>
                </c:pt>
                <c:pt idx="274">
                  <c:v>-5.7912751024084725</c:v>
                </c:pt>
                <c:pt idx="275">
                  <c:v>-5.7912751024084725</c:v>
                </c:pt>
                <c:pt idx="276">
                  <c:v>-5.7912751024084725</c:v>
                </c:pt>
                <c:pt idx="277">
                  <c:v>-5.6877420365355587</c:v>
                </c:pt>
                <c:pt idx="278">
                  <c:v>-5.6877420365355587</c:v>
                </c:pt>
                <c:pt idx="279">
                  <c:v>-5.6877420365355587</c:v>
                </c:pt>
                <c:pt idx="280">
                  <c:v>-5.6877420365355587</c:v>
                </c:pt>
                <c:pt idx="281">
                  <c:v>-5.6877420365355587</c:v>
                </c:pt>
                <c:pt idx="282">
                  <c:v>-5.6877420365355587</c:v>
                </c:pt>
                <c:pt idx="283">
                  <c:v>-5.6877420365355587</c:v>
                </c:pt>
                <c:pt idx="284">
                  <c:v>-5.6877420365355587</c:v>
                </c:pt>
                <c:pt idx="285">
                  <c:v>-5.6877420365355587</c:v>
                </c:pt>
                <c:pt idx="286">
                  <c:v>-5.6877420365355587</c:v>
                </c:pt>
                <c:pt idx="287">
                  <c:v>-5.6877420365355587</c:v>
                </c:pt>
                <c:pt idx="288">
                  <c:v>-5.6877420365355587</c:v>
                </c:pt>
                <c:pt idx="289">
                  <c:v>-5.6877420365355587</c:v>
                </c:pt>
                <c:pt idx="290">
                  <c:v>-5.511335475712829</c:v>
                </c:pt>
                <c:pt idx="291">
                  <c:v>-5.511335475712829</c:v>
                </c:pt>
                <c:pt idx="292">
                  <c:v>-5.511335475712829</c:v>
                </c:pt>
                <c:pt idx="293">
                  <c:v>-5.511335475712829</c:v>
                </c:pt>
                <c:pt idx="294">
                  <c:v>-5.511335475712829</c:v>
                </c:pt>
                <c:pt idx="295">
                  <c:v>-5.9346528860976973</c:v>
                </c:pt>
                <c:pt idx="296">
                  <c:v>-5.9346528860976973</c:v>
                </c:pt>
                <c:pt idx="297">
                  <c:v>-5.1454778233419471</c:v>
                </c:pt>
                <c:pt idx="298">
                  <c:v>-5.1454778233419471</c:v>
                </c:pt>
                <c:pt idx="299">
                  <c:v>-5.1454778233419471</c:v>
                </c:pt>
                <c:pt idx="300">
                  <c:v>-5.1454778233419471</c:v>
                </c:pt>
                <c:pt idx="301">
                  <c:v>-5.1454778233419471</c:v>
                </c:pt>
                <c:pt idx="302">
                  <c:v>-5.1454778233419471</c:v>
                </c:pt>
                <c:pt idx="303">
                  <c:v>-5.1454778233419471</c:v>
                </c:pt>
                <c:pt idx="304">
                  <c:v>-6.5479016114478972</c:v>
                </c:pt>
                <c:pt idx="305">
                  <c:v>-6.5479016114478972</c:v>
                </c:pt>
                <c:pt idx="306">
                  <c:v>-6.5479016114478972</c:v>
                </c:pt>
                <c:pt idx="307">
                  <c:v>-6.5479016114478972</c:v>
                </c:pt>
                <c:pt idx="308">
                  <c:v>-6.5479016114478972</c:v>
                </c:pt>
                <c:pt idx="309">
                  <c:v>-5.8627725187030535</c:v>
                </c:pt>
                <c:pt idx="310">
                  <c:v>-5.8627725187030535</c:v>
                </c:pt>
                <c:pt idx="311">
                  <c:v>-5.8627725187030535</c:v>
                </c:pt>
                <c:pt idx="312">
                  <c:v>-5.8627725187030535</c:v>
                </c:pt>
                <c:pt idx="313">
                  <c:v>-5.240698940107734</c:v>
                </c:pt>
                <c:pt idx="314">
                  <c:v>-5.240698940107734</c:v>
                </c:pt>
                <c:pt idx="315">
                  <c:v>-5.240698940107734</c:v>
                </c:pt>
                <c:pt idx="316">
                  <c:v>-5.1631907908864365</c:v>
                </c:pt>
                <c:pt idx="317">
                  <c:v>-5.1272933549890007</c:v>
                </c:pt>
                <c:pt idx="318">
                  <c:v>-5.1272933549890007</c:v>
                </c:pt>
                <c:pt idx="319">
                  <c:v>-5.1272933549890007</c:v>
                </c:pt>
                <c:pt idx="320">
                  <c:v>-5.1272933549890007</c:v>
                </c:pt>
                <c:pt idx="321">
                  <c:v>-5.1272933549890007</c:v>
                </c:pt>
                <c:pt idx="322">
                  <c:v>-5.1272933549890007</c:v>
                </c:pt>
                <c:pt idx="323">
                  <c:v>-5.1272933549890007</c:v>
                </c:pt>
                <c:pt idx="324">
                  <c:v>-5.1272933549890007</c:v>
                </c:pt>
                <c:pt idx="325">
                  <c:v>-5.1272933549890007</c:v>
                </c:pt>
                <c:pt idx="326">
                  <c:v>-5.1272933549890007</c:v>
                </c:pt>
                <c:pt idx="327">
                  <c:v>-5.1272933549890007</c:v>
                </c:pt>
                <c:pt idx="328">
                  <c:v>-5.1272933549890007</c:v>
                </c:pt>
                <c:pt idx="329">
                  <c:v>-3.7951220402479615</c:v>
                </c:pt>
                <c:pt idx="330">
                  <c:v>-3.7951220402479615</c:v>
                </c:pt>
                <c:pt idx="331">
                  <c:v>-3.7951220402479615</c:v>
                </c:pt>
                <c:pt idx="332">
                  <c:v>-3.7951220402479615</c:v>
                </c:pt>
                <c:pt idx="333">
                  <c:v>-3.7951220402479615</c:v>
                </c:pt>
                <c:pt idx="334">
                  <c:v>-2.9487678735812919</c:v>
                </c:pt>
                <c:pt idx="335">
                  <c:v>-2.9487678735812919</c:v>
                </c:pt>
                <c:pt idx="336">
                  <c:v>-2.9487678735812919</c:v>
                </c:pt>
                <c:pt idx="337">
                  <c:v>-2.9487678735812919</c:v>
                </c:pt>
                <c:pt idx="338">
                  <c:v>-3.3504780110235459</c:v>
                </c:pt>
                <c:pt idx="339">
                  <c:v>-3.3504780110235459</c:v>
                </c:pt>
                <c:pt idx="340">
                  <c:v>-3.3504780110235459</c:v>
                </c:pt>
                <c:pt idx="341">
                  <c:v>-3.309636123583787</c:v>
                </c:pt>
                <c:pt idx="342">
                  <c:v>-3.309636123583787</c:v>
                </c:pt>
                <c:pt idx="343">
                  <c:v>-3.309636123583787</c:v>
                </c:pt>
                <c:pt idx="344">
                  <c:v>-3.309636123583787</c:v>
                </c:pt>
                <c:pt idx="345">
                  <c:v>-4.4425718153430083</c:v>
                </c:pt>
                <c:pt idx="346">
                  <c:v>-4.4425718153430083</c:v>
                </c:pt>
                <c:pt idx="347">
                  <c:v>-4.4425718153430083</c:v>
                </c:pt>
                <c:pt idx="348">
                  <c:v>-4.4425718153430083</c:v>
                </c:pt>
                <c:pt idx="349">
                  <c:v>-4.9243030834079331</c:v>
                </c:pt>
                <c:pt idx="350">
                  <c:v>-4.9243030834079331</c:v>
                </c:pt>
                <c:pt idx="351">
                  <c:v>-4.9243030834079331</c:v>
                </c:pt>
                <c:pt idx="352">
                  <c:v>-4.9243030834079331</c:v>
                </c:pt>
                <c:pt idx="353">
                  <c:v>-4.7088802704971684</c:v>
                </c:pt>
                <c:pt idx="354">
                  <c:v>-4.9259015470929119</c:v>
                </c:pt>
                <c:pt idx="355">
                  <c:v>-4.9259015470929119</c:v>
                </c:pt>
                <c:pt idx="356">
                  <c:v>-4.9259015470929119</c:v>
                </c:pt>
                <c:pt idx="357">
                  <c:v>-4.9259015470929119</c:v>
                </c:pt>
                <c:pt idx="358">
                  <c:v>-3.5731908710378439</c:v>
                </c:pt>
                <c:pt idx="359">
                  <c:v>-5.2141323050827273</c:v>
                </c:pt>
                <c:pt idx="360">
                  <c:v>-5.2141323050827273</c:v>
                </c:pt>
                <c:pt idx="361">
                  <c:v>-5.2141323050827273</c:v>
                </c:pt>
                <c:pt idx="362">
                  <c:v>-5.2141323050827273</c:v>
                </c:pt>
                <c:pt idx="363">
                  <c:v>-7.9060313754678537</c:v>
                </c:pt>
                <c:pt idx="364">
                  <c:v>-7.9060313754678537</c:v>
                </c:pt>
                <c:pt idx="365">
                  <c:v>-7.9060313754678537</c:v>
                </c:pt>
                <c:pt idx="366">
                  <c:v>-7.9060313754678537</c:v>
                </c:pt>
                <c:pt idx="367">
                  <c:v>-7.9060313754678537</c:v>
                </c:pt>
                <c:pt idx="368">
                  <c:v>-7.9060313754678537</c:v>
                </c:pt>
                <c:pt idx="369">
                  <c:v>-7.9060313754678537</c:v>
                </c:pt>
                <c:pt idx="370">
                  <c:v>-8.5442123483768615</c:v>
                </c:pt>
                <c:pt idx="371">
                  <c:v>-8.5442123483768615</c:v>
                </c:pt>
                <c:pt idx="372">
                  <c:v>-8.5442123483768615</c:v>
                </c:pt>
                <c:pt idx="373">
                  <c:v>-8.5442123483768615</c:v>
                </c:pt>
                <c:pt idx="374">
                  <c:v>-8.5442123483768615</c:v>
                </c:pt>
                <c:pt idx="375">
                  <c:v>-8.5442123483768615</c:v>
                </c:pt>
                <c:pt idx="376">
                  <c:v>-8.5442123483768615</c:v>
                </c:pt>
                <c:pt idx="377">
                  <c:v>-8.5442123483768615</c:v>
                </c:pt>
                <c:pt idx="378">
                  <c:v>-8.5442123483768615</c:v>
                </c:pt>
                <c:pt idx="379">
                  <c:v>-8.5442123483768615</c:v>
                </c:pt>
                <c:pt idx="380">
                  <c:v>-8.5442123483768615</c:v>
                </c:pt>
                <c:pt idx="381">
                  <c:v>-8.5442123483768615</c:v>
                </c:pt>
                <c:pt idx="382">
                  <c:v>-8.5442123483768615</c:v>
                </c:pt>
                <c:pt idx="383">
                  <c:v>-8.5442123483768615</c:v>
                </c:pt>
                <c:pt idx="384">
                  <c:v>-8.5442123483768615</c:v>
                </c:pt>
                <c:pt idx="385">
                  <c:v>-8.5442123483768615</c:v>
                </c:pt>
                <c:pt idx="386">
                  <c:v>-8.5442123483768615</c:v>
                </c:pt>
                <c:pt idx="387">
                  <c:v>-6.912125480735857</c:v>
                </c:pt>
                <c:pt idx="388">
                  <c:v>-10.275273960163407</c:v>
                </c:pt>
                <c:pt idx="389">
                  <c:v>-9.7558140398667987</c:v>
                </c:pt>
                <c:pt idx="390">
                  <c:v>-9.7558140398667987</c:v>
                </c:pt>
                <c:pt idx="391">
                  <c:v>-9.7558140398667987</c:v>
                </c:pt>
                <c:pt idx="392">
                  <c:v>-7.1143952206153163</c:v>
                </c:pt>
                <c:pt idx="393">
                  <c:v>-7.1143952206153163</c:v>
                </c:pt>
                <c:pt idx="394">
                  <c:v>-7.1143952206153163</c:v>
                </c:pt>
                <c:pt idx="395">
                  <c:v>-7.1143952206153163</c:v>
                </c:pt>
                <c:pt idx="396">
                  <c:v>-8.0760123742285401</c:v>
                </c:pt>
                <c:pt idx="397">
                  <c:v>-8.0760123742285401</c:v>
                </c:pt>
                <c:pt idx="398">
                  <c:v>-5.5146654281422087</c:v>
                </c:pt>
                <c:pt idx="399">
                  <c:v>-6.9104470658593282</c:v>
                </c:pt>
                <c:pt idx="400">
                  <c:v>-6.9104470658593282</c:v>
                </c:pt>
                <c:pt idx="401">
                  <c:v>-6.9104470658593282</c:v>
                </c:pt>
                <c:pt idx="402">
                  <c:v>-6.9104470658593282</c:v>
                </c:pt>
                <c:pt idx="403">
                  <c:v>-7.7440048185876265</c:v>
                </c:pt>
                <c:pt idx="404">
                  <c:v>-7.7440048185876265</c:v>
                </c:pt>
                <c:pt idx="405">
                  <c:v>-8.0895298480836644</c:v>
                </c:pt>
                <c:pt idx="406">
                  <c:v>-8.0895298480836644</c:v>
                </c:pt>
                <c:pt idx="407">
                  <c:v>-9.9203517160315435</c:v>
                </c:pt>
                <c:pt idx="408">
                  <c:v>-7.7016572306401514</c:v>
                </c:pt>
                <c:pt idx="409">
                  <c:v>-7.7016572306401514</c:v>
                </c:pt>
                <c:pt idx="410">
                  <c:v>-7.7016572306401514</c:v>
                </c:pt>
                <c:pt idx="411">
                  <c:v>-6.2204420258324236</c:v>
                </c:pt>
                <c:pt idx="412">
                  <c:v>-5.9937304657875314</c:v>
                </c:pt>
                <c:pt idx="413">
                  <c:v>-5.9937304657875314</c:v>
                </c:pt>
                <c:pt idx="414">
                  <c:v>-5.9937304657875314</c:v>
                </c:pt>
                <c:pt idx="415">
                  <c:v>-5.9937304657875314</c:v>
                </c:pt>
                <c:pt idx="416">
                  <c:v>-6.1574501776408388</c:v>
                </c:pt>
                <c:pt idx="417">
                  <c:v>-6.1574501776408388</c:v>
                </c:pt>
                <c:pt idx="418">
                  <c:v>-6.1574501776408388</c:v>
                </c:pt>
              </c:numCache>
            </c:numRef>
          </c:val>
          <c:smooth val="0"/>
          <c:extLst xmlns:c15="http://schemas.microsoft.com/office/drawing/2012/chart">
            <c:ext xmlns:c16="http://schemas.microsoft.com/office/drawing/2014/chart" uri="{C3380CC4-5D6E-409C-BE32-E72D297353CC}">
              <c16:uniqueId val="{00000001-014A-4B80-A216-E469238CD77A}"/>
            </c:ext>
          </c:extLst>
        </c:ser>
        <c:ser>
          <c:idx val="1"/>
          <c:order val="2"/>
          <c:tx>
            <c:v>Gaps Up From Up Trend (Var.)</c:v>
          </c:tx>
          <c:spPr>
            <a:ln w="19050" cap="rnd">
              <a:solidFill>
                <a:schemeClr val="accent3">
                  <a:lumMod val="75000"/>
                </a:schemeClr>
              </a:solidFill>
              <a:prstDash val="sysDash"/>
              <a:round/>
            </a:ln>
            <a:effectLst/>
          </c:spPr>
          <c:marker>
            <c:symbol val="none"/>
          </c:marker>
          <c:val>
            <c:numRef>
              <c:f>'2025-Q2'!$HN$4:$HN$422</c:f>
              <c:numCache>
                <c:formatCode>0.0</c:formatCode>
                <c:ptCount val="419"/>
                <c:pt idx="0" formatCode="0.00">
                  <c:v>0</c:v>
                </c:pt>
                <c:pt idx="1">
                  <c:v>0</c:v>
                </c:pt>
                <c:pt idx="2" formatCode="0.00">
                  <c:v>0</c:v>
                </c:pt>
                <c:pt idx="3" formatCode="0.00">
                  <c:v>0</c:v>
                </c:pt>
                <c:pt idx="4" formatCode="0.00">
                  <c:v>0</c:v>
                </c:pt>
                <c:pt idx="5" formatCode="0.00">
                  <c:v>0</c:v>
                </c:pt>
                <c:pt idx="6" formatCode="0.00">
                  <c:v>0</c:v>
                </c:pt>
                <c:pt idx="7" formatCode="0.00">
                  <c:v>0</c:v>
                </c:pt>
                <c:pt idx="8" formatCode="0.00">
                  <c:v>0</c:v>
                </c:pt>
                <c:pt idx="9" formatCode="0.00">
                  <c:v>0</c:v>
                </c:pt>
                <c:pt idx="10" formatCode="0.00">
                  <c:v>0</c:v>
                </c:pt>
                <c:pt idx="11" formatCode="0.00">
                  <c:v>0</c:v>
                </c:pt>
                <c:pt idx="12" formatCode="0.00">
                  <c:v>0</c:v>
                </c:pt>
                <c:pt idx="13" formatCode="0.00">
                  <c:v>0</c:v>
                </c:pt>
                <c:pt idx="14" formatCode="0.00">
                  <c:v>0</c:v>
                </c:pt>
                <c:pt idx="15" formatCode="0.00">
                  <c:v>0</c:v>
                </c:pt>
                <c:pt idx="16" formatCode="0.00">
                  <c:v>0</c:v>
                </c:pt>
                <c:pt idx="17" formatCode="0.00">
                  <c:v>0</c:v>
                </c:pt>
                <c:pt idx="18" formatCode="0.00">
                  <c:v>0</c:v>
                </c:pt>
                <c:pt idx="19" formatCode="0.00">
                  <c:v>0</c:v>
                </c:pt>
                <c:pt idx="20" formatCode="0.00">
                  <c:v>0</c:v>
                </c:pt>
                <c:pt idx="21" formatCode="0.00">
                  <c:v>0</c:v>
                </c:pt>
                <c:pt idx="22" formatCode="0.00">
                  <c:v>0</c:v>
                </c:pt>
                <c:pt idx="23" formatCode="0.00">
                  <c:v>0</c:v>
                </c:pt>
                <c:pt idx="24" formatCode="0.00">
                  <c:v>0</c:v>
                </c:pt>
                <c:pt idx="25" formatCode="0.00">
                  <c:v>0</c:v>
                </c:pt>
                <c:pt idx="26" formatCode="0.00">
                  <c:v>0</c:v>
                </c:pt>
                <c:pt idx="27" formatCode="0.00">
                  <c:v>0</c:v>
                </c:pt>
                <c:pt idx="28" formatCode="0.00">
                  <c:v>0</c:v>
                </c:pt>
                <c:pt idx="29" formatCode="0.00">
                  <c:v>0</c:v>
                </c:pt>
                <c:pt idx="30" formatCode="0.00">
                  <c:v>0</c:v>
                </c:pt>
                <c:pt idx="31" formatCode="0.00">
                  <c:v>0</c:v>
                </c:pt>
                <c:pt idx="32" formatCode="0.00">
                  <c:v>0</c:v>
                </c:pt>
                <c:pt idx="33" formatCode="0.00">
                  <c:v>0</c:v>
                </c:pt>
                <c:pt idx="34" formatCode="0.00">
                  <c:v>0</c:v>
                </c:pt>
                <c:pt idx="35" formatCode="0.00">
                  <c:v>0</c:v>
                </c:pt>
                <c:pt idx="36" formatCode="0.00">
                  <c:v>0</c:v>
                </c:pt>
                <c:pt idx="37" formatCode="0.00">
                  <c:v>0</c:v>
                </c:pt>
                <c:pt idx="38" formatCode="0.00">
                  <c:v>0</c:v>
                </c:pt>
                <c:pt idx="39" formatCode="0.00">
                  <c:v>0.80449527204317051</c:v>
                </c:pt>
                <c:pt idx="40" formatCode="0.00">
                  <c:v>0.80449527204317051</c:v>
                </c:pt>
                <c:pt idx="41" formatCode="0.00">
                  <c:v>0.80449527204317051</c:v>
                </c:pt>
                <c:pt idx="42" formatCode="0.00">
                  <c:v>0.80449527204317051</c:v>
                </c:pt>
                <c:pt idx="43" formatCode="0.00">
                  <c:v>0.80449527204317051</c:v>
                </c:pt>
                <c:pt idx="44" formatCode="0.00">
                  <c:v>0.80449527204317051</c:v>
                </c:pt>
                <c:pt idx="45" formatCode="0.00">
                  <c:v>0.80449527204317051</c:v>
                </c:pt>
                <c:pt idx="46" formatCode="0.00">
                  <c:v>0.80449527204317051</c:v>
                </c:pt>
                <c:pt idx="47" formatCode="0.00">
                  <c:v>0.80449527204317051</c:v>
                </c:pt>
                <c:pt idx="48" formatCode="0.00">
                  <c:v>0.80449527204317051</c:v>
                </c:pt>
                <c:pt idx="49" formatCode="0.00">
                  <c:v>0.80449527204317051</c:v>
                </c:pt>
                <c:pt idx="50" formatCode="0.00">
                  <c:v>0.80449527204317051</c:v>
                </c:pt>
                <c:pt idx="51" formatCode="0.00">
                  <c:v>0.80449527204317051</c:v>
                </c:pt>
                <c:pt idx="52" formatCode="0.00">
                  <c:v>0.80449527204317051</c:v>
                </c:pt>
                <c:pt idx="53" formatCode="0.00">
                  <c:v>0.80449527204317051</c:v>
                </c:pt>
                <c:pt idx="54" formatCode="0.00">
                  <c:v>0.80449527204317051</c:v>
                </c:pt>
                <c:pt idx="55" formatCode="0.00">
                  <c:v>0.80449527204317051</c:v>
                </c:pt>
                <c:pt idx="56" formatCode="0.00">
                  <c:v>0.80449527204317051</c:v>
                </c:pt>
                <c:pt idx="57" formatCode="0.00">
                  <c:v>0.80449527204317051</c:v>
                </c:pt>
                <c:pt idx="58" formatCode="0.00">
                  <c:v>0.80449527204317051</c:v>
                </c:pt>
                <c:pt idx="59" formatCode="0.00">
                  <c:v>0.80449527204317051</c:v>
                </c:pt>
                <c:pt idx="60" formatCode="0.00">
                  <c:v>0.80449527204317051</c:v>
                </c:pt>
                <c:pt idx="61" formatCode="0.00">
                  <c:v>0.80449527204317051</c:v>
                </c:pt>
                <c:pt idx="62" formatCode="0.00">
                  <c:v>0.80449527204317051</c:v>
                </c:pt>
                <c:pt idx="63" formatCode="0.00">
                  <c:v>0.80449527204317051</c:v>
                </c:pt>
                <c:pt idx="64" formatCode="0.00">
                  <c:v>0.80449527204317051</c:v>
                </c:pt>
                <c:pt idx="65" formatCode="0.00">
                  <c:v>0.80449527204317051</c:v>
                </c:pt>
                <c:pt idx="66" formatCode="0.00">
                  <c:v>0.80449527204317051</c:v>
                </c:pt>
                <c:pt idx="67" formatCode="0.00">
                  <c:v>0.80449527204317051</c:v>
                </c:pt>
                <c:pt idx="68" formatCode="0.00">
                  <c:v>0.80449527204317051</c:v>
                </c:pt>
                <c:pt idx="69" formatCode="0.00">
                  <c:v>0.72020221657224703</c:v>
                </c:pt>
                <c:pt idx="70" formatCode="0.00">
                  <c:v>0.72020221657224703</c:v>
                </c:pt>
                <c:pt idx="71" formatCode="0.00">
                  <c:v>0.72020221657224703</c:v>
                </c:pt>
                <c:pt idx="72" formatCode="0.00">
                  <c:v>0.72020221657224703</c:v>
                </c:pt>
                <c:pt idx="73" formatCode="0.00">
                  <c:v>0.72020221657224703</c:v>
                </c:pt>
                <c:pt idx="74" formatCode="0.00">
                  <c:v>0.72020221657224703</c:v>
                </c:pt>
                <c:pt idx="75" formatCode="0.00">
                  <c:v>0.72020221657224703</c:v>
                </c:pt>
                <c:pt idx="76" formatCode="0.00">
                  <c:v>0.72020221657224703</c:v>
                </c:pt>
                <c:pt idx="77" formatCode="0.00">
                  <c:v>0.72020221657224703</c:v>
                </c:pt>
                <c:pt idx="78" formatCode="0.00">
                  <c:v>0.72020221657224703</c:v>
                </c:pt>
                <c:pt idx="79" formatCode="0.00">
                  <c:v>0.72020221657224703</c:v>
                </c:pt>
                <c:pt idx="80" formatCode="0.00">
                  <c:v>0.72020221657224703</c:v>
                </c:pt>
                <c:pt idx="81" formatCode="0.00">
                  <c:v>0.72020221657224703</c:v>
                </c:pt>
                <c:pt idx="82" formatCode="0.00">
                  <c:v>0.72020221657224703</c:v>
                </c:pt>
                <c:pt idx="83" formatCode="0.00">
                  <c:v>0.72020221657224703</c:v>
                </c:pt>
                <c:pt idx="84" formatCode="0.00">
                  <c:v>0.72020221657224703</c:v>
                </c:pt>
                <c:pt idx="85" formatCode="0.00">
                  <c:v>0.72020221657224703</c:v>
                </c:pt>
                <c:pt idx="86" formatCode="0.00">
                  <c:v>0.72020221657224703</c:v>
                </c:pt>
                <c:pt idx="87" formatCode="0.00">
                  <c:v>0.72020221657224703</c:v>
                </c:pt>
                <c:pt idx="88" formatCode="0.00">
                  <c:v>0.72020221657224703</c:v>
                </c:pt>
                <c:pt idx="89" formatCode="0.00">
                  <c:v>0.72020221657224703</c:v>
                </c:pt>
                <c:pt idx="90" formatCode="0.00">
                  <c:v>0.72020221657224703</c:v>
                </c:pt>
                <c:pt idx="91" formatCode="0.00">
                  <c:v>0.72020221657224703</c:v>
                </c:pt>
                <c:pt idx="92" formatCode="0.00">
                  <c:v>0.72020221657224703</c:v>
                </c:pt>
                <c:pt idx="93" formatCode="0.00">
                  <c:v>0.72020221657224703</c:v>
                </c:pt>
                <c:pt idx="94" formatCode="0.00">
                  <c:v>0.72020221657224703</c:v>
                </c:pt>
                <c:pt idx="95" formatCode="0.00">
                  <c:v>0.72020221657224703</c:v>
                </c:pt>
                <c:pt idx="96" formatCode="0.00">
                  <c:v>0.72020221657224703</c:v>
                </c:pt>
                <c:pt idx="97" formatCode="0.00">
                  <c:v>0.72020221657224703</c:v>
                </c:pt>
                <c:pt idx="98" formatCode="0.00">
                  <c:v>0.72020221657224703</c:v>
                </c:pt>
                <c:pt idx="99" formatCode="0.00">
                  <c:v>0.72020221657224703</c:v>
                </c:pt>
                <c:pt idx="100" formatCode="0.00">
                  <c:v>0.72020221657224703</c:v>
                </c:pt>
                <c:pt idx="101" formatCode="0.00">
                  <c:v>0.72020221657224703</c:v>
                </c:pt>
                <c:pt idx="102" formatCode="0.00">
                  <c:v>0.72020221657224703</c:v>
                </c:pt>
                <c:pt idx="103" formatCode="0.00">
                  <c:v>0.72020221657224703</c:v>
                </c:pt>
                <c:pt idx="104" formatCode="0.00">
                  <c:v>0.72020221657224703</c:v>
                </c:pt>
                <c:pt idx="105" formatCode="0.00">
                  <c:v>0.72020221657224703</c:v>
                </c:pt>
                <c:pt idx="106" formatCode="0.00">
                  <c:v>0.71812545963587882</c:v>
                </c:pt>
                <c:pt idx="107" formatCode="0.00">
                  <c:v>0.71812545963587882</c:v>
                </c:pt>
                <c:pt idx="108" formatCode="0.00">
                  <c:v>0.71812545963587882</c:v>
                </c:pt>
                <c:pt idx="109" formatCode="0.00">
                  <c:v>0.71812545963587882</c:v>
                </c:pt>
                <c:pt idx="110" formatCode="0.00">
                  <c:v>0.71812545963587882</c:v>
                </c:pt>
                <c:pt idx="111" formatCode="0.00">
                  <c:v>0.71812545963587882</c:v>
                </c:pt>
                <c:pt idx="112" formatCode="0.00">
                  <c:v>0.71812545963587882</c:v>
                </c:pt>
                <c:pt idx="113" formatCode="0.00">
                  <c:v>0.71812545963587882</c:v>
                </c:pt>
                <c:pt idx="114" formatCode="0.00">
                  <c:v>0.71812545963587882</c:v>
                </c:pt>
                <c:pt idx="115" formatCode="0.00">
                  <c:v>0.71812545963587882</c:v>
                </c:pt>
                <c:pt idx="116" formatCode="0.00">
                  <c:v>0.71812545963587882</c:v>
                </c:pt>
                <c:pt idx="117" formatCode="0.00">
                  <c:v>0.71812545963587882</c:v>
                </c:pt>
                <c:pt idx="118" formatCode="0.00">
                  <c:v>0.71812545963587882</c:v>
                </c:pt>
                <c:pt idx="119" formatCode="0.00">
                  <c:v>0.71812545963587882</c:v>
                </c:pt>
                <c:pt idx="120" formatCode="0.00">
                  <c:v>0.71812545963587882</c:v>
                </c:pt>
                <c:pt idx="121" formatCode="0.00">
                  <c:v>0.71812545963587882</c:v>
                </c:pt>
                <c:pt idx="122" formatCode="0.00">
                  <c:v>0.71812545963587882</c:v>
                </c:pt>
                <c:pt idx="123" formatCode="0.00">
                  <c:v>0.71812545963587882</c:v>
                </c:pt>
                <c:pt idx="124" formatCode="0.00">
                  <c:v>0.71812545963587882</c:v>
                </c:pt>
                <c:pt idx="125" formatCode="0.00">
                  <c:v>0.71812545963587882</c:v>
                </c:pt>
                <c:pt idx="126" formatCode="0.00">
                  <c:v>0.71812545963587882</c:v>
                </c:pt>
                <c:pt idx="127" formatCode="0.00">
                  <c:v>0.71812545963587882</c:v>
                </c:pt>
                <c:pt idx="128" formatCode="0.00">
                  <c:v>0.71812545963587882</c:v>
                </c:pt>
                <c:pt idx="129" formatCode="0.00">
                  <c:v>0.71812545963587882</c:v>
                </c:pt>
                <c:pt idx="130" formatCode="0.00">
                  <c:v>0.71812545963587882</c:v>
                </c:pt>
                <c:pt idx="131" formatCode="0.00">
                  <c:v>0.71812545963587882</c:v>
                </c:pt>
                <c:pt idx="132" formatCode="0.00">
                  <c:v>0.71812545963587882</c:v>
                </c:pt>
                <c:pt idx="133" formatCode="0.00">
                  <c:v>0.71812545963587882</c:v>
                </c:pt>
                <c:pt idx="134" formatCode="0.00">
                  <c:v>0.71812545963587882</c:v>
                </c:pt>
                <c:pt idx="135" formatCode="0.00">
                  <c:v>0.71812545963587882</c:v>
                </c:pt>
                <c:pt idx="136" formatCode="0.00">
                  <c:v>0.71812545963587882</c:v>
                </c:pt>
                <c:pt idx="137" formatCode="0.00">
                  <c:v>0.71812545963587882</c:v>
                </c:pt>
                <c:pt idx="138" formatCode="0.00">
                  <c:v>0.71812545963587882</c:v>
                </c:pt>
                <c:pt idx="139" formatCode="0.00">
                  <c:v>0.71812545963587882</c:v>
                </c:pt>
                <c:pt idx="140" formatCode="0.00">
                  <c:v>0.71812545963587882</c:v>
                </c:pt>
                <c:pt idx="141" formatCode="0.00">
                  <c:v>0.71812545963587882</c:v>
                </c:pt>
                <c:pt idx="142" formatCode="0.00">
                  <c:v>0.71812545963587882</c:v>
                </c:pt>
                <c:pt idx="143" formatCode="0.00">
                  <c:v>0.71812545963587882</c:v>
                </c:pt>
                <c:pt idx="144" formatCode="0.00">
                  <c:v>0.71812545963587882</c:v>
                </c:pt>
                <c:pt idx="145" formatCode="0.00">
                  <c:v>0.71812545963587882</c:v>
                </c:pt>
                <c:pt idx="146" formatCode="0.00">
                  <c:v>0.71812545963587882</c:v>
                </c:pt>
                <c:pt idx="147" formatCode="0.00">
                  <c:v>0.71812545963587882</c:v>
                </c:pt>
                <c:pt idx="148" formatCode="0.00">
                  <c:v>0.71812545963587882</c:v>
                </c:pt>
                <c:pt idx="149" formatCode="0.00">
                  <c:v>0.71812545963587882</c:v>
                </c:pt>
                <c:pt idx="150" formatCode="0.00">
                  <c:v>0.71812545963587882</c:v>
                </c:pt>
                <c:pt idx="151" formatCode="0.00">
                  <c:v>0.71812545963587882</c:v>
                </c:pt>
                <c:pt idx="152" formatCode="0.00">
                  <c:v>0.71812545963587882</c:v>
                </c:pt>
                <c:pt idx="153" formatCode="0.00">
                  <c:v>0.71812545963587882</c:v>
                </c:pt>
                <c:pt idx="154" formatCode="0.00">
                  <c:v>0.71812545963587882</c:v>
                </c:pt>
                <c:pt idx="155" formatCode="0.00">
                  <c:v>0.71812545963587882</c:v>
                </c:pt>
                <c:pt idx="156" formatCode="0.00">
                  <c:v>0.71812545963587882</c:v>
                </c:pt>
                <c:pt idx="157" formatCode="0.00">
                  <c:v>0.71812545963587882</c:v>
                </c:pt>
                <c:pt idx="158" formatCode="0.00">
                  <c:v>0.71812545963587882</c:v>
                </c:pt>
                <c:pt idx="159" formatCode="0.00">
                  <c:v>0.71812545963587882</c:v>
                </c:pt>
                <c:pt idx="160" formatCode="0.00">
                  <c:v>0.71812545963587882</c:v>
                </c:pt>
                <c:pt idx="161" formatCode="0.00">
                  <c:v>0.71812545963587882</c:v>
                </c:pt>
                <c:pt idx="162" formatCode="0.00">
                  <c:v>0.71812545963587882</c:v>
                </c:pt>
                <c:pt idx="163" formatCode="0.00">
                  <c:v>0.71812545963587882</c:v>
                </c:pt>
                <c:pt idx="164" formatCode="0.00">
                  <c:v>0.71812545963587882</c:v>
                </c:pt>
                <c:pt idx="165" formatCode="0.00">
                  <c:v>0.71812545963587882</c:v>
                </c:pt>
                <c:pt idx="166" formatCode="0.00">
                  <c:v>0.71812545963587882</c:v>
                </c:pt>
                <c:pt idx="167" formatCode="0.00">
                  <c:v>0.71812545963587882</c:v>
                </c:pt>
                <c:pt idx="168" formatCode="0.00">
                  <c:v>0.71812545963587882</c:v>
                </c:pt>
                <c:pt idx="169" formatCode="0.00">
                  <c:v>0.71812545963587882</c:v>
                </c:pt>
                <c:pt idx="170" formatCode="0.00">
                  <c:v>0.71812545963587882</c:v>
                </c:pt>
                <c:pt idx="171" formatCode="0.00">
                  <c:v>0.71812545963587882</c:v>
                </c:pt>
                <c:pt idx="172" formatCode="0.00">
                  <c:v>0.71812545963587882</c:v>
                </c:pt>
                <c:pt idx="173" formatCode="0.00">
                  <c:v>0.71812545963587882</c:v>
                </c:pt>
                <c:pt idx="174" formatCode="0.00">
                  <c:v>0.71812545963587882</c:v>
                </c:pt>
                <c:pt idx="175" formatCode="0.00">
                  <c:v>0.71812545963587882</c:v>
                </c:pt>
                <c:pt idx="176" formatCode="0.00">
                  <c:v>0.71812545963587882</c:v>
                </c:pt>
                <c:pt idx="177" formatCode="0.00">
                  <c:v>0.71812545963587882</c:v>
                </c:pt>
                <c:pt idx="178" formatCode="0.00">
                  <c:v>0.71812545963587882</c:v>
                </c:pt>
                <c:pt idx="179" formatCode="0.00">
                  <c:v>0.71812545963587882</c:v>
                </c:pt>
                <c:pt idx="180" formatCode="0.00">
                  <c:v>0.71812545963587882</c:v>
                </c:pt>
                <c:pt idx="181" formatCode="0.00">
                  <c:v>0.71812545963587882</c:v>
                </c:pt>
                <c:pt idx="182" formatCode="0.00">
                  <c:v>0.71812545963587882</c:v>
                </c:pt>
                <c:pt idx="183" formatCode="0.00">
                  <c:v>0.71812545963587882</c:v>
                </c:pt>
                <c:pt idx="184" formatCode="0.00">
                  <c:v>0.71812545963587882</c:v>
                </c:pt>
                <c:pt idx="185" formatCode="0.00">
                  <c:v>0.71812545963587882</c:v>
                </c:pt>
                <c:pt idx="186" formatCode="0.00">
                  <c:v>0.71812545963587882</c:v>
                </c:pt>
                <c:pt idx="187" formatCode="0.00">
                  <c:v>0.71812545963587882</c:v>
                </c:pt>
                <c:pt idx="188" formatCode="0.00">
                  <c:v>0.71812545963587882</c:v>
                </c:pt>
                <c:pt idx="189" formatCode="0.00">
                  <c:v>0.71812545963587882</c:v>
                </c:pt>
                <c:pt idx="190" formatCode="0.00">
                  <c:v>0.71812545963587882</c:v>
                </c:pt>
                <c:pt idx="191" formatCode="0.00">
                  <c:v>0.71812545963587882</c:v>
                </c:pt>
                <c:pt idx="192" formatCode="0.00">
                  <c:v>0.71812545963587882</c:v>
                </c:pt>
                <c:pt idx="193" formatCode="0.00">
                  <c:v>0.71812545963587882</c:v>
                </c:pt>
                <c:pt idx="194" formatCode="0.00">
                  <c:v>0.71812545963587882</c:v>
                </c:pt>
                <c:pt idx="195" formatCode="0.00">
                  <c:v>0.71812545963587882</c:v>
                </c:pt>
                <c:pt idx="196" formatCode="0.00">
                  <c:v>0.71812545963587882</c:v>
                </c:pt>
                <c:pt idx="197" formatCode="0.00">
                  <c:v>0.71812545963587882</c:v>
                </c:pt>
                <c:pt idx="198" formatCode="0.00">
                  <c:v>0.71812545963587882</c:v>
                </c:pt>
                <c:pt idx="199" formatCode="0.00">
                  <c:v>0.71812545963587882</c:v>
                </c:pt>
                <c:pt idx="200" formatCode="0.00">
                  <c:v>0.71812545963587882</c:v>
                </c:pt>
                <c:pt idx="201" formatCode="0.00">
                  <c:v>0.71812545963587882</c:v>
                </c:pt>
                <c:pt idx="202" formatCode="0.00">
                  <c:v>0.71812545963587882</c:v>
                </c:pt>
                <c:pt idx="203" formatCode="0.00">
                  <c:v>0.71812545963587882</c:v>
                </c:pt>
                <c:pt idx="204" formatCode="0.00">
                  <c:v>0.71812545963587882</c:v>
                </c:pt>
                <c:pt idx="205" formatCode="0.00">
                  <c:v>0.71812545963587882</c:v>
                </c:pt>
                <c:pt idx="206" formatCode="0.00">
                  <c:v>0.71812545963587882</c:v>
                </c:pt>
                <c:pt idx="207" formatCode="0.00">
                  <c:v>0.71812545963587882</c:v>
                </c:pt>
                <c:pt idx="208" formatCode="0.00">
                  <c:v>0.71812545963587882</c:v>
                </c:pt>
                <c:pt idx="209" formatCode="0.00">
                  <c:v>0.71812545963587882</c:v>
                </c:pt>
                <c:pt idx="210" formatCode="0.00">
                  <c:v>0.71812545963587882</c:v>
                </c:pt>
                <c:pt idx="211" formatCode="0.00">
                  <c:v>0.71812545963587882</c:v>
                </c:pt>
                <c:pt idx="212" formatCode="0.00">
                  <c:v>0.71812545963587882</c:v>
                </c:pt>
                <c:pt idx="213" formatCode="0.00">
                  <c:v>0.71812545963587882</c:v>
                </c:pt>
                <c:pt idx="214" formatCode="0.00">
                  <c:v>0.71812545963587882</c:v>
                </c:pt>
                <c:pt idx="215" formatCode="0.00">
                  <c:v>0.71812545963587882</c:v>
                </c:pt>
                <c:pt idx="216" formatCode="0.00">
                  <c:v>0.71812545963587882</c:v>
                </c:pt>
                <c:pt idx="217" formatCode="0.00">
                  <c:v>0.90694539517251249</c:v>
                </c:pt>
                <c:pt idx="218" formatCode="0.00">
                  <c:v>0.90694539517251249</c:v>
                </c:pt>
                <c:pt idx="219" formatCode="0.00">
                  <c:v>0.90694539517251249</c:v>
                </c:pt>
                <c:pt idx="220" formatCode="0.00">
                  <c:v>0.90694539517251249</c:v>
                </c:pt>
                <c:pt idx="221" formatCode="0.00">
                  <c:v>0.90694539517251249</c:v>
                </c:pt>
                <c:pt idx="222" formatCode="0.00">
                  <c:v>0.90694539517251249</c:v>
                </c:pt>
                <c:pt idx="223" formatCode="0.00">
                  <c:v>0.90694539517251249</c:v>
                </c:pt>
                <c:pt idx="224" formatCode="0.00">
                  <c:v>0.90694539517251249</c:v>
                </c:pt>
                <c:pt idx="225" formatCode="0.00">
                  <c:v>0.90694539517251249</c:v>
                </c:pt>
                <c:pt idx="226" formatCode="0.00">
                  <c:v>0.90694539517251249</c:v>
                </c:pt>
                <c:pt idx="227" formatCode="0.00">
                  <c:v>0.90694539517251249</c:v>
                </c:pt>
                <c:pt idx="228" formatCode="0.00">
                  <c:v>0.90694539517251249</c:v>
                </c:pt>
                <c:pt idx="229" formatCode="0.00">
                  <c:v>0.90694539517251249</c:v>
                </c:pt>
                <c:pt idx="230" formatCode="0.00">
                  <c:v>0.90694539517251249</c:v>
                </c:pt>
                <c:pt idx="231" formatCode="0.00">
                  <c:v>0.90694539517251249</c:v>
                </c:pt>
                <c:pt idx="232" formatCode="0.00">
                  <c:v>0.90694539517251249</c:v>
                </c:pt>
                <c:pt idx="233" formatCode="0.00">
                  <c:v>0.90694539517251249</c:v>
                </c:pt>
                <c:pt idx="234" formatCode="0.00">
                  <c:v>0.90694539517251249</c:v>
                </c:pt>
                <c:pt idx="235" formatCode="0.00">
                  <c:v>0.90694539517251249</c:v>
                </c:pt>
                <c:pt idx="236" formatCode="0.00">
                  <c:v>0.90694539517251249</c:v>
                </c:pt>
                <c:pt idx="237" formatCode="0.00">
                  <c:v>0.90694539517251249</c:v>
                </c:pt>
                <c:pt idx="238" formatCode="0.00">
                  <c:v>0.90694539517251249</c:v>
                </c:pt>
                <c:pt idx="239" formatCode="0.00">
                  <c:v>0.90694539517251249</c:v>
                </c:pt>
                <c:pt idx="240" formatCode="0.00">
                  <c:v>0.957348620978966</c:v>
                </c:pt>
                <c:pt idx="241" formatCode="0.00">
                  <c:v>0.957348620978966</c:v>
                </c:pt>
                <c:pt idx="242" formatCode="0.00">
                  <c:v>0.957348620978966</c:v>
                </c:pt>
                <c:pt idx="243" formatCode="0.00">
                  <c:v>0.957348620978966</c:v>
                </c:pt>
                <c:pt idx="244" formatCode="0.00">
                  <c:v>0.957348620978966</c:v>
                </c:pt>
                <c:pt idx="245" formatCode="0.00">
                  <c:v>0.957348620978966</c:v>
                </c:pt>
                <c:pt idx="246" formatCode="0.00">
                  <c:v>0.957348620978966</c:v>
                </c:pt>
                <c:pt idx="247" formatCode="0.00">
                  <c:v>0.957348620978966</c:v>
                </c:pt>
                <c:pt idx="248" formatCode="0.00">
                  <c:v>0.957348620978966</c:v>
                </c:pt>
                <c:pt idx="249" formatCode="0.00">
                  <c:v>0.957348620978966</c:v>
                </c:pt>
                <c:pt idx="250" formatCode="0.00">
                  <c:v>0.957348620978966</c:v>
                </c:pt>
                <c:pt idx="251" formatCode="0.00">
                  <c:v>0.957348620978966</c:v>
                </c:pt>
                <c:pt idx="252" formatCode="0.00">
                  <c:v>0.957348620978966</c:v>
                </c:pt>
                <c:pt idx="253" formatCode="0.00">
                  <c:v>0.957348620978966</c:v>
                </c:pt>
                <c:pt idx="254" formatCode="0.00">
                  <c:v>0.957348620978966</c:v>
                </c:pt>
                <c:pt idx="255" formatCode="0.00">
                  <c:v>0.957348620978966</c:v>
                </c:pt>
                <c:pt idx="256" formatCode="0.00">
                  <c:v>0.957348620978966</c:v>
                </c:pt>
                <c:pt idx="257" formatCode="0.00">
                  <c:v>0.957348620978966</c:v>
                </c:pt>
                <c:pt idx="258" formatCode="0.00">
                  <c:v>0.957348620978966</c:v>
                </c:pt>
                <c:pt idx="259" formatCode="0.00">
                  <c:v>0.957348620978966</c:v>
                </c:pt>
                <c:pt idx="260" formatCode="0.00">
                  <c:v>0.957348620978966</c:v>
                </c:pt>
                <c:pt idx="261" formatCode="0.00">
                  <c:v>0.957348620978966</c:v>
                </c:pt>
                <c:pt idx="262" formatCode="0.00">
                  <c:v>0.957348620978966</c:v>
                </c:pt>
                <c:pt idx="263" formatCode="0.00">
                  <c:v>0.957348620978966</c:v>
                </c:pt>
                <c:pt idx="264" formatCode="0.00">
                  <c:v>0.957348620978966</c:v>
                </c:pt>
                <c:pt idx="265" formatCode="0.00">
                  <c:v>0.957348620978966</c:v>
                </c:pt>
                <c:pt idx="266" formatCode="0.00">
                  <c:v>0.957348620978966</c:v>
                </c:pt>
                <c:pt idx="267" formatCode="0.00">
                  <c:v>0.957348620978966</c:v>
                </c:pt>
                <c:pt idx="268" formatCode="0.00">
                  <c:v>0.957348620978966</c:v>
                </c:pt>
                <c:pt idx="269" formatCode="0.00">
                  <c:v>0.957348620978966</c:v>
                </c:pt>
                <c:pt idx="270" formatCode="0.00">
                  <c:v>0.957348620978966</c:v>
                </c:pt>
                <c:pt idx="271" formatCode="0.00">
                  <c:v>0.957348620978966</c:v>
                </c:pt>
                <c:pt idx="272" formatCode="0.00">
                  <c:v>0.957348620978966</c:v>
                </c:pt>
                <c:pt idx="273" formatCode="0.00">
                  <c:v>0.957348620978966</c:v>
                </c:pt>
                <c:pt idx="274" formatCode="0.00">
                  <c:v>0.957348620978966</c:v>
                </c:pt>
                <c:pt idx="275" formatCode="0.00">
                  <c:v>0.957348620978966</c:v>
                </c:pt>
                <c:pt idx="276" formatCode="0.00">
                  <c:v>0.957348620978966</c:v>
                </c:pt>
                <c:pt idx="277" formatCode="0.00">
                  <c:v>0.6871920272168337</c:v>
                </c:pt>
                <c:pt idx="278" formatCode="0.00">
                  <c:v>0.6871920272168337</c:v>
                </c:pt>
                <c:pt idx="279" formatCode="0.00">
                  <c:v>0.6871920272168337</c:v>
                </c:pt>
                <c:pt idx="280" formatCode="0.00">
                  <c:v>0.6871920272168337</c:v>
                </c:pt>
                <c:pt idx="281" formatCode="0.00">
                  <c:v>0.6871920272168337</c:v>
                </c:pt>
                <c:pt idx="282" formatCode="0.00">
                  <c:v>0.6871920272168337</c:v>
                </c:pt>
                <c:pt idx="283" formatCode="0.00">
                  <c:v>0.6871920272168337</c:v>
                </c:pt>
                <c:pt idx="284" formatCode="0.00">
                  <c:v>0.6871920272168337</c:v>
                </c:pt>
                <c:pt idx="285" formatCode="0.00">
                  <c:v>0.6871920272168337</c:v>
                </c:pt>
                <c:pt idx="286" formatCode="0.00">
                  <c:v>0.6871920272168337</c:v>
                </c:pt>
                <c:pt idx="287" formatCode="0.00">
                  <c:v>0.6871920272168337</c:v>
                </c:pt>
                <c:pt idx="288" formatCode="0.00">
                  <c:v>0.6871920272168337</c:v>
                </c:pt>
                <c:pt idx="289" formatCode="0.00">
                  <c:v>0.6871920272168337</c:v>
                </c:pt>
                <c:pt idx="290" formatCode="0.00">
                  <c:v>0.6871920272168337</c:v>
                </c:pt>
                <c:pt idx="291" formatCode="0.00">
                  <c:v>0.6871920272168337</c:v>
                </c:pt>
                <c:pt idx="292" formatCode="0.00">
                  <c:v>0.6871920272168337</c:v>
                </c:pt>
                <c:pt idx="293" formatCode="0.00">
                  <c:v>0.6871920272168337</c:v>
                </c:pt>
                <c:pt idx="294" formatCode="0.00">
                  <c:v>0.6871920272168337</c:v>
                </c:pt>
                <c:pt idx="295" formatCode="0.00">
                  <c:v>0.6871920272168337</c:v>
                </c:pt>
                <c:pt idx="296" formatCode="0.00">
                  <c:v>0.6871920272168337</c:v>
                </c:pt>
                <c:pt idx="297" formatCode="0.00">
                  <c:v>1.2041389455942384</c:v>
                </c:pt>
                <c:pt idx="298" formatCode="0.00">
                  <c:v>1.2041389455942384</c:v>
                </c:pt>
                <c:pt idx="299" formatCode="0.00">
                  <c:v>1.2041389455942384</c:v>
                </c:pt>
                <c:pt idx="300" formatCode="0.00">
                  <c:v>1.2041389455942384</c:v>
                </c:pt>
                <c:pt idx="301" formatCode="0.00">
                  <c:v>1.2041389455942384</c:v>
                </c:pt>
                <c:pt idx="302" formatCode="0.00">
                  <c:v>1.2041389455942384</c:v>
                </c:pt>
                <c:pt idx="303" formatCode="0.00">
                  <c:v>1.2041389455942384</c:v>
                </c:pt>
                <c:pt idx="304" formatCode="0.00">
                  <c:v>1.2041389455942384</c:v>
                </c:pt>
                <c:pt idx="305" formatCode="0.00">
                  <c:v>1.2041389455942384</c:v>
                </c:pt>
                <c:pt idx="306" formatCode="0.00">
                  <c:v>1.2041389455942384</c:v>
                </c:pt>
                <c:pt idx="307" formatCode="0.00">
                  <c:v>1.2041389455942384</c:v>
                </c:pt>
                <c:pt idx="308" formatCode="0.00">
                  <c:v>1.2041389455942384</c:v>
                </c:pt>
                <c:pt idx="309" formatCode="0.00">
                  <c:v>0.88681599737557415</c:v>
                </c:pt>
                <c:pt idx="310" formatCode="0.00">
                  <c:v>0.88681599737557415</c:v>
                </c:pt>
                <c:pt idx="311" formatCode="0.00">
                  <c:v>0.88681599737557415</c:v>
                </c:pt>
                <c:pt idx="312" formatCode="0.00">
                  <c:v>0.88681599737557415</c:v>
                </c:pt>
                <c:pt idx="313" formatCode="0.00">
                  <c:v>0.51892302078694874</c:v>
                </c:pt>
                <c:pt idx="314" formatCode="0.00">
                  <c:v>0.51892302078694874</c:v>
                </c:pt>
                <c:pt idx="315" formatCode="0.00">
                  <c:v>0.51892302078694874</c:v>
                </c:pt>
                <c:pt idx="316" formatCode="0.00">
                  <c:v>5.9186210452529753E-2</c:v>
                </c:pt>
                <c:pt idx="317" formatCode="0.00">
                  <c:v>-0.27414712288080484</c:v>
                </c:pt>
                <c:pt idx="318" formatCode="0.00">
                  <c:v>-0.27414712288080484</c:v>
                </c:pt>
                <c:pt idx="319" formatCode="0.00">
                  <c:v>-0.27414712288080484</c:v>
                </c:pt>
                <c:pt idx="320" formatCode="0.00">
                  <c:v>-0.27414712288080484</c:v>
                </c:pt>
                <c:pt idx="321" formatCode="0.00">
                  <c:v>-0.27414712288080484</c:v>
                </c:pt>
                <c:pt idx="322" formatCode="0.00">
                  <c:v>-0.27414712288080484</c:v>
                </c:pt>
                <c:pt idx="323" formatCode="0.00">
                  <c:v>-0.27414712288080484</c:v>
                </c:pt>
                <c:pt idx="324" formatCode="0.00">
                  <c:v>-0.27414712288080484</c:v>
                </c:pt>
                <c:pt idx="325" formatCode="0.00">
                  <c:v>-0.27414712288080484</c:v>
                </c:pt>
                <c:pt idx="326" formatCode="0.00">
                  <c:v>-0.27414712288080484</c:v>
                </c:pt>
                <c:pt idx="327" formatCode="0.00">
                  <c:v>-0.27414712288080484</c:v>
                </c:pt>
                <c:pt idx="328" formatCode="0.00">
                  <c:v>-0.27414712288080484</c:v>
                </c:pt>
                <c:pt idx="329" formatCode="0.00">
                  <c:v>0.48946509491467965</c:v>
                </c:pt>
                <c:pt idx="330" formatCode="0.00">
                  <c:v>0.48946509491467965</c:v>
                </c:pt>
                <c:pt idx="331" formatCode="0.00">
                  <c:v>0.48946509491467965</c:v>
                </c:pt>
                <c:pt idx="332" formatCode="0.00">
                  <c:v>0.48946509491467965</c:v>
                </c:pt>
                <c:pt idx="333" formatCode="0.00">
                  <c:v>0.48946509491467965</c:v>
                </c:pt>
                <c:pt idx="334" formatCode="0.00">
                  <c:v>1.1220312548245914</c:v>
                </c:pt>
                <c:pt idx="335" formatCode="0.00">
                  <c:v>1.1220312548245914</c:v>
                </c:pt>
                <c:pt idx="336" formatCode="0.00">
                  <c:v>1.1220312548245914</c:v>
                </c:pt>
                <c:pt idx="337" formatCode="0.00">
                  <c:v>1.1220312548245914</c:v>
                </c:pt>
                <c:pt idx="338" formatCode="0.00">
                  <c:v>0.41616915617605843</c:v>
                </c:pt>
                <c:pt idx="339" formatCode="0.00">
                  <c:v>0.41616915617605843</c:v>
                </c:pt>
                <c:pt idx="340" formatCode="0.00">
                  <c:v>0.41616915617605843</c:v>
                </c:pt>
                <c:pt idx="341" formatCode="0.00">
                  <c:v>0.41616915617605843</c:v>
                </c:pt>
                <c:pt idx="342" formatCode="0.00">
                  <c:v>0.41616915617605843</c:v>
                </c:pt>
                <c:pt idx="343" formatCode="0.00">
                  <c:v>0.41616915617605843</c:v>
                </c:pt>
                <c:pt idx="344" formatCode="0.00">
                  <c:v>0.41616915617605843</c:v>
                </c:pt>
                <c:pt idx="345" formatCode="0.00">
                  <c:v>0.41616915617605843</c:v>
                </c:pt>
                <c:pt idx="346" formatCode="0.00">
                  <c:v>0.41616915617605843</c:v>
                </c:pt>
                <c:pt idx="347" formatCode="0.00">
                  <c:v>0.41616915617605843</c:v>
                </c:pt>
                <c:pt idx="348" formatCode="0.00">
                  <c:v>0.41616915617605843</c:v>
                </c:pt>
                <c:pt idx="349" formatCode="0.00">
                  <c:v>0.41616915617605843</c:v>
                </c:pt>
                <c:pt idx="350" formatCode="0.00">
                  <c:v>0.41616915617605843</c:v>
                </c:pt>
                <c:pt idx="351" formatCode="0.00">
                  <c:v>0.41616915617605843</c:v>
                </c:pt>
                <c:pt idx="352" formatCode="0.00">
                  <c:v>0.41616915617605843</c:v>
                </c:pt>
                <c:pt idx="353" formatCode="0.00">
                  <c:v>0.41616915617605843</c:v>
                </c:pt>
                <c:pt idx="354" formatCode="0.00">
                  <c:v>-0.1668095672281944</c:v>
                </c:pt>
                <c:pt idx="355" formatCode="0.00">
                  <c:v>-0.1668095672281944</c:v>
                </c:pt>
                <c:pt idx="356" formatCode="0.00">
                  <c:v>-0.1668095672281944</c:v>
                </c:pt>
                <c:pt idx="357" formatCode="0.00">
                  <c:v>-0.1668095672281944</c:v>
                </c:pt>
                <c:pt idx="358" formatCode="0.00">
                  <c:v>-0.16355665587253121</c:v>
                </c:pt>
                <c:pt idx="359" formatCode="0.00">
                  <c:v>-0.16355665587253121</c:v>
                </c:pt>
                <c:pt idx="360" formatCode="0.00">
                  <c:v>-0.16355665587253121</c:v>
                </c:pt>
                <c:pt idx="361" formatCode="0.00">
                  <c:v>-0.16355665587253121</c:v>
                </c:pt>
                <c:pt idx="362" formatCode="0.00">
                  <c:v>-0.16355665587253121</c:v>
                </c:pt>
                <c:pt idx="363" formatCode="0.00">
                  <c:v>-0.16355665587253121</c:v>
                </c:pt>
                <c:pt idx="364" formatCode="0.00">
                  <c:v>-0.16355665587253121</c:v>
                </c:pt>
                <c:pt idx="365" formatCode="0.00">
                  <c:v>-0.16355665587253121</c:v>
                </c:pt>
                <c:pt idx="366" formatCode="0.00">
                  <c:v>-0.16355665587253121</c:v>
                </c:pt>
                <c:pt idx="367" formatCode="0.00">
                  <c:v>-0.16355665587253121</c:v>
                </c:pt>
                <c:pt idx="368" formatCode="0.00">
                  <c:v>-0.16355665587253121</c:v>
                </c:pt>
                <c:pt idx="369" formatCode="0.00">
                  <c:v>-0.16355665587253121</c:v>
                </c:pt>
                <c:pt idx="370" formatCode="0.00">
                  <c:v>-1.0806776566755429</c:v>
                </c:pt>
                <c:pt idx="371" formatCode="0.00">
                  <c:v>-1.0806776566755429</c:v>
                </c:pt>
                <c:pt idx="372" formatCode="0.00">
                  <c:v>-1.0806776566755429</c:v>
                </c:pt>
                <c:pt idx="373" formatCode="0.00">
                  <c:v>-1.0806776566755429</c:v>
                </c:pt>
                <c:pt idx="374" formatCode="0.00">
                  <c:v>-1.0806776566755429</c:v>
                </c:pt>
                <c:pt idx="375" formatCode="0.00">
                  <c:v>-1.0806776566755429</c:v>
                </c:pt>
                <c:pt idx="376" formatCode="0.00">
                  <c:v>-1.0806776566755429</c:v>
                </c:pt>
                <c:pt idx="377" formatCode="0.00">
                  <c:v>-1.0806776566755429</c:v>
                </c:pt>
                <c:pt idx="378" formatCode="0.00">
                  <c:v>-1.0806776566755429</c:v>
                </c:pt>
                <c:pt idx="379" formatCode="0.00">
                  <c:v>-1.0806776566755429</c:v>
                </c:pt>
                <c:pt idx="380" formatCode="0.00">
                  <c:v>-1.0806776566755429</c:v>
                </c:pt>
                <c:pt idx="381" formatCode="0.00">
                  <c:v>-1.0806776566755429</c:v>
                </c:pt>
                <c:pt idx="382" formatCode="0.00">
                  <c:v>-1.0806776566755429</c:v>
                </c:pt>
                <c:pt idx="383" formatCode="0.00">
                  <c:v>-1.0806776566755429</c:v>
                </c:pt>
                <c:pt idx="384" formatCode="0.00">
                  <c:v>-1.0806776566755429</c:v>
                </c:pt>
                <c:pt idx="385" formatCode="0.00">
                  <c:v>-1.0806776566755429</c:v>
                </c:pt>
                <c:pt idx="386" formatCode="0.00">
                  <c:v>-1.0806776566755429</c:v>
                </c:pt>
                <c:pt idx="387" formatCode="0.00">
                  <c:v>-0.22647033717412757</c:v>
                </c:pt>
                <c:pt idx="388" formatCode="0.00">
                  <c:v>-0.22647033717412757</c:v>
                </c:pt>
                <c:pt idx="389" formatCode="0.00">
                  <c:v>-0.22647033717412757</c:v>
                </c:pt>
                <c:pt idx="390" formatCode="0.00">
                  <c:v>-0.22647033717412757</c:v>
                </c:pt>
                <c:pt idx="391" formatCode="0.00">
                  <c:v>-0.22647033717412757</c:v>
                </c:pt>
                <c:pt idx="392" formatCode="0.00">
                  <c:v>0.73576080412462941</c:v>
                </c:pt>
                <c:pt idx="393" formatCode="0.00">
                  <c:v>0.73576080412462941</c:v>
                </c:pt>
                <c:pt idx="394" formatCode="0.00">
                  <c:v>0.73576080412462941</c:v>
                </c:pt>
                <c:pt idx="395" formatCode="0.00">
                  <c:v>0.73576080412462941</c:v>
                </c:pt>
                <c:pt idx="396" formatCode="0.00">
                  <c:v>0.73576080412462941</c:v>
                </c:pt>
                <c:pt idx="397" formatCode="0.00">
                  <c:v>0.73576080412462941</c:v>
                </c:pt>
                <c:pt idx="398" formatCode="0.00">
                  <c:v>1.0671238705763564</c:v>
                </c:pt>
                <c:pt idx="399" formatCode="0.00">
                  <c:v>1.0671238705763564</c:v>
                </c:pt>
                <c:pt idx="400" formatCode="0.00">
                  <c:v>1.0671238705763564</c:v>
                </c:pt>
                <c:pt idx="401" formatCode="0.00">
                  <c:v>1.0671238705763564</c:v>
                </c:pt>
                <c:pt idx="402" formatCode="0.00">
                  <c:v>1.0671238705763564</c:v>
                </c:pt>
                <c:pt idx="403" formatCode="0.00">
                  <c:v>1.0671238705763564</c:v>
                </c:pt>
                <c:pt idx="404" formatCode="0.00">
                  <c:v>1.0671238705763564</c:v>
                </c:pt>
                <c:pt idx="405" formatCode="0.00">
                  <c:v>1.0671238705763564</c:v>
                </c:pt>
                <c:pt idx="406" formatCode="0.00">
                  <c:v>1.0671238705763564</c:v>
                </c:pt>
                <c:pt idx="407" formatCode="0.00">
                  <c:v>1.0671238705763564</c:v>
                </c:pt>
                <c:pt idx="408" formatCode="0.00">
                  <c:v>2.0026040837524537</c:v>
                </c:pt>
                <c:pt idx="409" formatCode="0.00">
                  <c:v>2.0026040837524537</c:v>
                </c:pt>
                <c:pt idx="410" formatCode="0.00">
                  <c:v>2.0026040837524537</c:v>
                </c:pt>
                <c:pt idx="411" formatCode="0.00">
                  <c:v>3.0810246124550318</c:v>
                </c:pt>
                <c:pt idx="412" formatCode="0.00">
                  <c:v>3.2463818889234179</c:v>
                </c:pt>
                <c:pt idx="413" formatCode="0.00">
                  <c:v>3.2463818889234179</c:v>
                </c:pt>
                <c:pt idx="414" formatCode="0.00">
                  <c:v>3.2463818889234179</c:v>
                </c:pt>
                <c:pt idx="415" formatCode="0.00">
                  <c:v>3.2463818889234179</c:v>
                </c:pt>
                <c:pt idx="416" formatCode="0.00">
                  <c:v>2.7840374226496793</c:v>
                </c:pt>
                <c:pt idx="417" formatCode="0.00">
                  <c:v>2.7840374226496793</c:v>
                </c:pt>
                <c:pt idx="418" formatCode="0.00">
                  <c:v>2.7840374226496793</c:v>
                </c:pt>
              </c:numCache>
            </c:numRef>
          </c:val>
          <c:smooth val="0"/>
          <c:extLst>
            <c:ext xmlns:c16="http://schemas.microsoft.com/office/drawing/2014/chart" uri="{C3380CC4-5D6E-409C-BE32-E72D297353CC}">
              <c16:uniqueId val="{00000008-014A-4B80-A216-E469238CD77A}"/>
            </c:ext>
          </c:extLst>
        </c:ser>
        <c:ser>
          <c:idx val="2"/>
          <c:order val="3"/>
          <c:tx>
            <c:v>Gaps Dwn from Up Trend (Var.)</c:v>
          </c:tx>
          <c:spPr>
            <a:ln w="19050" cap="rnd">
              <a:solidFill>
                <a:schemeClr val="accent6"/>
              </a:solidFill>
              <a:prstDash val="sysDash"/>
              <a:round/>
            </a:ln>
            <a:effectLst/>
          </c:spPr>
          <c:marker>
            <c:symbol val="none"/>
          </c:marker>
          <c:val>
            <c:numRef>
              <c:f>'2025-Q2'!$HP$4:$HP$422</c:f>
              <c:numCache>
                <c:formatCode>0.00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-0.64837295089680658</c:v>
                </c:pt>
                <c:pt idx="48">
                  <c:v>-0.64837295089680658</c:v>
                </c:pt>
                <c:pt idx="49">
                  <c:v>-0.64837295089680658</c:v>
                </c:pt>
                <c:pt idx="50">
                  <c:v>-0.64837295089680658</c:v>
                </c:pt>
                <c:pt idx="51">
                  <c:v>-0.64837295089680658</c:v>
                </c:pt>
                <c:pt idx="52">
                  <c:v>-0.64837295089680658</c:v>
                </c:pt>
                <c:pt idx="53">
                  <c:v>-0.64837295089680658</c:v>
                </c:pt>
                <c:pt idx="54">
                  <c:v>-0.64837295089680658</c:v>
                </c:pt>
                <c:pt idx="55">
                  <c:v>-0.64837295089680658</c:v>
                </c:pt>
                <c:pt idx="56">
                  <c:v>-0.64837295089680658</c:v>
                </c:pt>
                <c:pt idx="57">
                  <c:v>-0.64837295089680658</c:v>
                </c:pt>
                <c:pt idx="58">
                  <c:v>-0.64837295089680658</c:v>
                </c:pt>
                <c:pt idx="59">
                  <c:v>-0.64837295089680658</c:v>
                </c:pt>
                <c:pt idx="60">
                  <c:v>-0.64837295089680658</c:v>
                </c:pt>
                <c:pt idx="61">
                  <c:v>-0.64837295089680658</c:v>
                </c:pt>
                <c:pt idx="62">
                  <c:v>-0.64837295089680658</c:v>
                </c:pt>
                <c:pt idx="63">
                  <c:v>-0.64837295089680658</c:v>
                </c:pt>
                <c:pt idx="64">
                  <c:v>-0.64837295089680658</c:v>
                </c:pt>
                <c:pt idx="65">
                  <c:v>-0.64837295089680658</c:v>
                </c:pt>
                <c:pt idx="66">
                  <c:v>-0.64837295089680658</c:v>
                </c:pt>
                <c:pt idx="67">
                  <c:v>-0.64837295089680658</c:v>
                </c:pt>
                <c:pt idx="68">
                  <c:v>-0.64837295089680658</c:v>
                </c:pt>
                <c:pt idx="69">
                  <c:v>-0.64837295089680658</c:v>
                </c:pt>
                <c:pt idx="70">
                  <c:v>-0.64837295089680658</c:v>
                </c:pt>
                <c:pt idx="71">
                  <c:v>-0.34492614665921834</c:v>
                </c:pt>
                <c:pt idx="72">
                  <c:v>-0.34492614665921834</c:v>
                </c:pt>
                <c:pt idx="73">
                  <c:v>-0.34492614665921834</c:v>
                </c:pt>
                <c:pt idx="74">
                  <c:v>-0.34492614665921834</c:v>
                </c:pt>
                <c:pt idx="75">
                  <c:v>-0.34492614665921834</c:v>
                </c:pt>
                <c:pt idx="76">
                  <c:v>-0.34492614665921834</c:v>
                </c:pt>
                <c:pt idx="77">
                  <c:v>-0.34492614665921834</c:v>
                </c:pt>
                <c:pt idx="78">
                  <c:v>-0.34492614665921834</c:v>
                </c:pt>
                <c:pt idx="79">
                  <c:v>-0.34492614665921834</c:v>
                </c:pt>
                <c:pt idx="80">
                  <c:v>-0.34492614665921834</c:v>
                </c:pt>
                <c:pt idx="81">
                  <c:v>-0.34492614665921834</c:v>
                </c:pt>
                <c:pt idx="82">
                  <c:v>-0.34492614665921834</c:v>
                </c:pt>
                <c:pt idx="83">
                  <c:v>-0.34492614665921834</c:v>
                </c:pt>
                <c:pt idx="84">
                  <c:v>-0.34492614665921834</c:v>
                </c:pt>
                <c:pt idx="85">
                  <c:v>-0.34492614665921834</c:v>
                </c:pt>
                <c:pt idx="86">
                  <c:v>-0.34492614665921834</c:v>
                </c:pt>
                <c:pt idx="87">
                  <c:v>-0.34492614665921834</c:v>
                </c:pt>
                <c:pt idx="88">
                  <c:v>-0.34492614665921834</c:v>
                </c:pt>
                <c:pt idx="89">
                  <c:v>-0.34492614665921834</c:v>
                </c:pt>
                <c:pt idx="90">
                  <c:v>-0.34492614665921834</c:v>
                </c:pt>
                <c:pt idx="91">
                  <c:v>-0.34492614665921834</c:v>
                </c:pt>
                <c:pt idx="92">
                  <c:v>-0.34492614665921834</c:v>
                </c:pt>
                <c:pt idx="93">
                  <c:v>-0.34492614665921834</c:v>
                </c:pt>
                <c:pt idx="94">
                  <c:v>-0.34492614665921834</c:v>
                </c:pt>
                <c:pt idx="95">
                  <c:v>-0.34492614665921834</c:v>
                </c:pt>
                <c:pt idx="96">
                  <c:v>-0.34492614665921834</c:v>
                </c:pt>
                <c:pt idx="97">
                  <c:v>-0.34492614665921834</c:v>
                </c:pt>
                <c:pt idx="98">
                  <c:v>-0.34492614665921834</c:v>
                </c:pt>
                <c:pt idx="99">
                  <c:v>-0.34492614665921834</c:v>
                </c:pt>
                <c:pt idx="100">
                  <c:v>-0.34492614665921834</c:v>
                </c:pt>
                <c:pt idx="101">
                  <c:v>-0.34492614665921834</c:v>
                </c:pt>
                <c:pt idx="102">
                  <c:v>-0.34492614665921834</c:v>
                </c:pt>
                <c:pt idx="103">
                  <c:v>-1.004778156728636</c:v>
                </c:pt>
                <c:pt idx="104">
                  <c:v>-1.004778156728636</c:v>
                </c:pt>
                <c:pt idx="105">
                  <c:v>-1.004778156728636</c:v>
                </c:pt>
                <c:pt idx="106">
                  <c:v>-1.004778156728636</c:v>
                </c:pt>
                <c:pt idx="107">
                  <c:v>-1.004778156728636</c:v>
                </c:pt>
                <c:pt idx="108">
                  <c:v>-1.004778156728636</c:v>
                </c:pt>
                <c:pt idx="109">
                  <c:v>-1.004778156728636</c:v>
                </c:pt>
                <c:pt idx="110">
                  <c:v>-1.004778156728636</c:v>
                </c:pt>
                <c:pt idx="111">
                  <c:v>-1.004778156728636</c:v>
                </c:pt>
                <c:pt idx="112">
                  <c:v>-1.004778156728636</c:v>
                </c:pt>
                <c:pt idx="113">
                  <c:v>-1.004778156728636</c:v>
                </c:pt>
                <c:pt idx="114">
                  <c:v>-1.004778156728636</c:v>
                </c:pt>
                <c:pt idx="115">
                  <c:v>-1.004778156728636</c:v>
                </c:pt>
                <c:pt idx="116">
                  <c:v>-1.004778156728636</c:v>
                </c:pt>
                <c:pt idx="117">
                  <c:v>-1.004778156728636</c:v>
                </c:pt>
                <c:pt idx="118">
                  <c:v>-1.004778156728636</c:v>
                </c:pt>
                <c:pt idx="119">
                  <c:v>-1.004778156728636</c:v>
                </c:pt>
                <c:pt idx="120">
                  <c:v>-1.004778156728636</c:v>
                </c:pt>
                <c:pt idx="121">
                  <c:v>-0.6555551778566262</c:v>
                </c:pt>
                <c:pt idx="122">
                  <c:v>-0.6555551778566262</c:v>
                </c:pt>
                <c:pt idx="123">
                  <c:v>-0.6555551778566262</c:v>
                </c:pt>
                <c:pt idx="124">
                  <c:v>-0.6555551778566262</c:v>
                </c:pt>
                <c:pt idx="125">
                  <c:v>-0.6555551778566262</c:v>
                </c:pt>
                <c:pt idx="126">
                  <c:v>-0.6555551778566262</c:v>
                </c:pt>
                <c:pt idx="127">
                  <c:v>-0.6555551778566262</c:v>
                </c:pt>
                <c:pt idx="128">
                  <c:v>-0.6555551778566262</c:v>
                </c:pt>
                <c:pt idx="129">
                  <c:v>-0.6555551778566262</c:v>
                </c:pt>
                <c:pt idx="130">
                  <c:v>-0.6555551778566262</c:v>
                </c:pt>
                <c:pt idx="131">
                  <c:v>-0.6555551778566262</c:v>
                </c:pt>
                <c:pt idx="132">
                  <c:v>-0.6555551778566262</c:v>
                </c:pt>
                <c:pt idx="133">
                  <c:v>-0.6555551778566262</c:v>
                </c:pt>
                <c:pt idx="134">
                  <c:v>-0.6555551778566262</c:v>
                </c:pt>
                <c:pt idx="135">
                  <c:v>-0.6555551778566262</c:v>
                </c:pt>
                <c:pt idx="136">
                  <c:v>-0.6555551778566262</c:v>
                </c:pt>
                <c:pt idx="137">
                  <c:v>-0.14859521910082485</c:v>
                </c:pt>
                <c:pt idx="138">
                  <c:v>-0.14859521910082485</c:v>
                </c:pt>
                <c:pt idx="139">
                  <c:v>-0.14859521910082485</c:v>
                </c:pt>
                <c:pt idx="140">
                  <c:v>-0.14859521910082485</c:v>
                </c:pt>
                <c:pt idx="141">
                  <c:v>-0.14859521910082485</c:v>
                </c:pt>
                <c:pt idx="142">
                  <c:v>-0.14859521910082485</c:v>
                </c:pt>
                <c:pt idx="143">
                  <c:v>-0.14859521910082485</c:v>
                </c:pt>
                <c:pt idx="144">
                  <c:v>-0.14859521910082485</c:v>
                </c:pt>
                <c:pt idx="145">
                  <c:v>-0.14859521910082485</c:v>
                </c:pt>
                <c:pt idx="146">
                  <c:v>-0.14859521910082485</c:v>
                </c:pt>
                <c:pt idx="147">
                  <c:v>-0.14859521910082485</c:v>
                </c:pt>
                <c:pt idx="148">
                  <c:v>-0.14859521910082485</c:v>
                </c:pt>
                <c:pt idx="149">
                  <c:v>-0.14859521910082485</c:v>
                </c:pt>
                <c:pt idx="150">
                  <c:v>-0.14859521910082485</c:v>
                </c:pt>
                <c:pt idx="151">
                  <c:v>-0.14859521910082485</c:v>
                </c:pt>
                <c:pt idx="152">
                  <c:v>-0.14859521910082485</c:v>
                </c:pt>
                <c:pt idx="153">
                  <c:v>-0.14859521910082485</c:v>
                </c:pt>
                <c:pt idx="154">
                  <c:v>-0.14859521910082485</c:v>
                </c:pt>
                <c:pt idx="155">
                  <c:v>-0.14859521910082485</c:v>
                </c:pt>
                <c:pt idx="156">
                  <c:v>-0.14859521910082485</c:v>
                </c:pt>
                <c:pt idx="157">
                  <c:v>-0.14859521910082485</c:v>
                </c:pt>
                <c:pt idx="158">
                  <c:v>-0.14859521910082485</c:v>
                </c:pt>
                <c:pt idx="159">
                  <c:v>-0.14859521910082485</c:v>
                </c:pt>
                <c:pt idx="160">
                  <c:v>-0.14859521910082485</c:v>
                </c:pt>
                <c:pt idx="161">
                  <c:v>-0.14859521910082485</c:v>
                </c:pt>
                <c:pt idx="162">
                  <c:v>-0.14859521910082485</c:v>
                </c:pt>
                <c:pt idx="163">
                  <c:v>-0.14859521910082485</c:v>
                </c:pt>
                <c:pt idx="164">
                  <c:v>-0.14859521910082485</c:v>
                </c:pt>
                <c:pt idx="165">
                  <c:v>-0.14859521910082485</c:v>
                </c:pt>
                <c:pt idx="166">
                  <c:v>-0.14859521910082485</c:v>
                </c:pt>
                <c:pt idx="167">
                  <c:v>-0.14859521910082485</c:v>
                </c:pt>
                <c:pt idx="168">
                  <c:v>-0.14859521910082485</c:v>
                </c:pt>
                <c:pt idx="169">
                  <c:v>-0.14859521910082485</c:v>
                </c:pt>
                <c:pt idx="170">
                  <c:v>-0.14859521910082485</c:v>
                </c:pt>
                <c:pt idx="171">
                  <c:v>-0.14859521910082485</c:v>
                </c:pt>
                <c:pt idx="172">
                  <c:v>-0.14859521910082485</c:v>
                </c:pt>
                <c:pt idx="173">
                  <c:v>-0.14859521910082485</c:v>
                </c:pt>
                <c:pt idx="174">
                  <c:v>-0.14859521910082485</c:v>
                </c:pt>
                <c:pt idx="175">
                  <c:v>-0.14859521910082485</c:v>
                </c:pt>
                <c:pt idx="176">
                  <c:v>-0.14859521910082485</c:v>
                </c:pt>
                <c:pt idx="177">
                  <c:v>-0.14859521910082485</c:v>
                </c:pt>
                <c:pt idx="178">
                  <c:v>-0.14859521910082485</c:v>
                </c:pt>
                <c:pt idx="179">
                  <c:v>-0.14859521910082485</c:v>
                </c:pt>
                <c:pt idx="180">
                  <c:v>-0.14859521910082485</c:v>
                </c:pt>
                <c:pt idx="181">
                  <c:v>-0.14859521910082485</c:v>
                </c:pt>
                <c:pt idx="182">
                  <c:v>-0.14859521910082485</c:v>
                </c:pt>
                <c:pt idx="183">
                  <c:v>-0.14859521910082485</c:v>
                </c:pt>
                <c:pt idx="184">
                  <c:v>-0.14859521910082485</c:v>
                </c:pt>
                <c:pt idx="185">
                  <c:v>-0.14859521910082485</c:v>
                </c:pt>
                <c:pt idx="186">
                  <c:v>-0.14859521910082485</c:v>
                </c:pt>
                <c:pt idx="187">
                  <c:v>-0.14859521910082485</c:v>
                </c:pt>
                <c:pt idx="188">
                  <c:v>-0.14859521910082485</c:v>
                </c:pt>
                <c:pt idx="189">
                  <c:v>-0.14859521910082485</c:v>
                </c:pt>
                <c:pt idx="190">
                  <c:v>-0.14859521910082485</c:v>
                </c:pt>
                <c:pt idx="191">
                  <c:v>-0.14859521910082485</c:v>
                </c:pt>
                <c:pt idx="192">
                  <c:v>-0.14859521910082485</c:v>
                </c:pt>
                <c:pt idx="193">
                  <c:v>-0.14859521910082485</c:v>
                </c:pt>
                <c:pt idx="194">
                  <c:v>-0.14859521910082485</c:v>
                </c:pt>
                <c:pt idx="195">
                  <c:v>-0.14859521910082485</c:v>
                </c:pt>
                <c:pt idx="196">
                  <c:v>-0.14859521910082485</c:v>
                </c:pt>
                <c:pt idx="197">
                  <c:v>-0.14859521910082485</c:v>
                </c:pt>
                <c:pt idx="198">
                  <c:v>-0.14859521910082485</c:v>
                </c:pt>
                <c:pt idx="199">
                  <c:v>-0.14859521910082485</c:v>
                </c:pt>
                <c:pt idx="200">
                  <c:v>-0.12330714360158018</c:v>
                </c:pt>
                <c:pt idx="201">
                  <c:v>-0.12330714360158018</c:v>
                </c:pt>
                <c:pt idx="202">
                  <c:v>-0.12330714360158018</c:v>
                </c:pt>
                <c:pt idx="203">
                  <c:v>0.52783589553778021</c:v>
                </c:pt>
                <c:pt idx="204">
                  <c:v>0.52783589553778021</c:v>
                </c:pt>
                <c:pt idx="205">
                  <c:v>0.52783589553778021</c:v>
                </c:pt>
                <c:pt idx="206">
                  <c:v>0.52783589553778021</c:v>
                </c:pt>
                <c:pt idx="207">
                  <c:v>0.52783589553778021</c:v>
                </c:pt>
                <c:pt idx="208">
                  <c:v>0.52783589553778021</c:v>
                </c:pt>
                <c:pt idx="209">
                  <c:v>0.52783589553778021</c:v>
                </c:pt>
                <c:pt idx="210">
                  <c:v>0.52783589553778021</c:v>
                </c:pt>
                <c:pt idx="211">
                  <c:v>0.52783589553778021</c:v>
                </c:pt>
                <c:pt idx="212">
                  <c:v>0.52783589553778021</c:v>
                </c:pt>
                <c:pt idx="213">
                  <c:v>0.52783589553778021</c:v>
                </c:pt>
                <c:pt idx="214">
                  <c:v>0.52783589553778021</c:v>
                </c:pt>
                <c:pt idx="215">
                  <c:v>0.52783589553778021</c:v>
                </c:pt>
                <c:pt idx="216">
                  <c:v>0.52783589553778021</c:v>
                </c:pt>
                <c:pt idx="217">
                  <c:v>0.52783589553778021</c:v>
                </c:pt>
                <c:pt idx="218">
                  <c:v>0.52783589553778021</c:v>
                </c:pt>
                <c:pt idx="219">
                  <c:v>0.52783589553778021</c:v>
                </c:pt>
                <c:pt idx="220">
                  <c:v>0.52783589553778021</c:v>
                </c:pt>
                <c:pt idx="221">
                  <c:v>0.52783589553778021</c:v>
                </c:pt>
                <c:pt idx="222">
                  <c:v>0.52783589553778021</c:v>
                </c:pt>
                <c:pt idx="223">
                  <c:v>-0.10266465451722628</c:v>
                </c:pt>
                <c:pt idx="224">
                  <c:v>-0.10266465451722628</c:v>
                </c:pt>
                <c:pt idx="225">
                  <c:v>-0.10266465451722628</c:v>
                </c:pt>
                <c:pt idx="226">
                  <c:v>-0.10266465451722628</c:v>
                </c:pt>
                <c:pt idx="227">
                  <c:v>-0.10266465451722628</c:v>
                </c:pt>
                <c:pt idx="228">
                  <c:v>-0.10266465451722628</c:v>
                </c:pt>
                <c:pt idx="229">
                  <c:v>-0.10266465451722628</c:v>
                </c:pt>
                <c:pt idx="230">
                  <c:v>-0.10266465451722628</c:v>
                </c:pt>
                <c:pt idx="231">
                  <c:v>-0.10266465451722628</c:v>
                </c:pt>
                <c:pt idx="232">
                  <c:v>-0.10266465451722628</c:v>
                </c:pt>
                <c:pt idx="233">
                  <c:v>-0.10266465451722628</c:v>
                </c:pt>
                <c:pt idx="234">
                  <c:v>-0.10266465451722628</c:v>
                </c:pt>
                <c:pt idx="235">
                  <c:v>-0.10266465451722628</c:v>
                </c:pt>
                <c:pt idx="236">
                  <c:v>-0.10266465451722628</c:v>
                </c:pt>
                <c:pt idx="237">
                  <c:v>-0.10266465451722628</c:v>
                </c:pt>
                <c:pt idx="238">
                  <c:v>-0.10266465451722628</c:v>
                </c:pt>
                <c:pt idx="239">
                  <c:v>-0.10266465451722628</c:v>
                </c:pt>
                <c:pt idx="240">
                  <c:v>-0.10266465451722628</c:v>
                </c:pt>
                <c:pt idx="241">
                  <c:v>-0.10266465451722628</c:v>
                </c:pt>
                <c:pt idx="242">
                  <c:v>-0.10266465451722628</c:v>
                </c:pt>
                <c:pt idx="243">
                  <c:v>-0.10266465451722628</c:v>
                </c:pt>
                <c:pt idx="244">
                  <c:v>-0.10266465451722628</c:v>
                </c:pt>
                <c:pt idx="245">
                  <c:v>-0.10266465451722628</c:v>
                </c:pt>
                <c:pt idx="246">
                  <c:v>-0.10266465451722628</c:v>
                </c:pt>
                <c:pt idx="247">
                  <c:v>-0.10266465451722628</c:v>
                </c:pt>
                <c:pt idx="248">
                  <c:v>-0.10266465451722628</c:v>
                </c:pt>
                <c:pt idx="249">
                  <c:v>-0.10266465451722628</c:v>
                </c:pt>
                <c:pt idx="250">
                  <c:v>-0.10266465451722628</c:v>
                </c:pt>
                <c:pt idx="251">
                  <c:v>-0.10266465451722628</c:v>
                </c:pt>
                <c:pt idx="252">
                  <c:v>-0.10266465451722628</c:v>
                </c:pt>
                <c:pt idx="253">
                  <c:v>-0.10266465451722628</c:v>
                </c:pt>
                <c:pt idx="254">
                  <c:v>-0.10266465451722628</c:v>
                </c:pt>
                <c:pt idx="255">
                  <c:v>-0.10266465451722628</c:v>
                </c:pt>
                <c:pt idx="256">
                  <c:v>-0.10266465451722628</c:v>
                </c:pt>
                <c:pt idx="257">
                  <c:v>-0.62109938560445643</c:v>
                </c:pt>
                <c:pt idx="258">
                  <c:v>-0.75682593815002108</c:v>
                </c:pt>
                <c:pt idx="259">
                  <c:v>-0.75682593815002108</c:v>
                </c:pt>
                <c:pt idx="260">
                  <c:v>-0.75682593815002108</c:v>
                </c:pt>
                <c:pt idx="261">
                  <c:v>-0.75682593815002108</c:v>
                </c:pt>
                <c:pt idx="262">
                  <c:v>-0.75682593815002108</c:v>
                </c:pt>
                <c:pt idx="263">
                  <c:v>-0.75682593815002108</c:v>
                </c:pt>
                <c:pt idx="264">
                  <c:v>-0.75682593815002108</c:v>
                </c:pt>
                <c:pt idx="265">
                  <c:v>-0.75682593815002108</c:v>
                </c:pt>
                <c:pt idx="266">
                  <c:v>-0.75682593815002108</c:v>
                </c:pt>
                <c:pt idx="267">
                  <c:v>-0.75682593815002108</c:v>
                </c:pt>
                <c:pt idx="268">
                  <c:v>-0.75682593815002108</c:v>
                </c:pt>
                <c:pt idx="269">
                  <c:v>-0.75682593815002108</c:v>
                </c:pt>
                <c:pt idx="270">
                  <c:v>-0.75682593815002108</c:v>
                </c:pt>
                <c:pt idx="271">
                  <c:v>-0.75682593815002108</c:v>
                </c:pt>
                <c:pt idx="272">
                  <c:v>-0.75682593815002108</c:v>
                </c:pt>
                <c:pt idx="273">
                  <c:v>-1.052184587939049</c:v>
                </c:pt>
                <c:pt idx="274">
                  <c:v>-1.052184587939049</c:v>
                </c:pt>
                <c:pt idx="275">
                  <c:v>-1.052184587939049</c:v>
                </c:pt>
                <c:pt idx="276">
                  <c:v>-1.052184587939049</c:v>
                </c:pt>
                <c:pt idx="277">
                  <c:v>-1.052184587939049</c:v>
                </c:pt>
                <c:pt idx="278">
                  <c:v>-1.052184587939049</c:v>
                </c:pt>
                <c:pt idx="279">
                  <c:v>-1.052184587939049</c:v>
                </c:pt>
                <c:pt idx="280">
                  <c:v>-1.052184587939049</c:v>
                </c:pt>
                <c:pt idx="281">
                  <c:v>-1.052184587939049</c:v>
                </c:pt>
                <c:pt idx="282">
                  <c:v>-1.052184587939049</c:v>
                </c:pt>
                <c:pt idx="283">
                  <c:v>-1.052184587939049</c:v>
                </c:pt>
                <c:pt idx="284">
                  <c:v>-1.052184587939049</c:v>
                </c:pt>
                <c:pt idx="285">
                  <c:v>-1.052184587939049</c:v>
                </c:pt>
                <c:pt idx="286">
                  <c:v>-1.052184587939049</c:v>
                </c:pt>
                <c:pt idx="287">
                  <c:v>-1.052184587939049</c:v>
                </c:pt>
                <c:pt idx="288">
                  <c:v>-1.052184587939049</c:v>
                </c:pt>
                <c:pt idx="289">
                  <c:v>-1.052184587939049</c:v>
                </c:pt>
                <c:pt idx="290">
                  <c:v>-0.81760139535563114</c:v>
                </c:pt>
                <c:pt idx="291">
                  <c:v>-0.81760139535563114</c:v>
                </c:pt>
                <c:pt idx="292">
                  <c:v>-0.81760139535563114</c:v>
                </c:pt>
                <c:pt idx="293">
                  <c:v>-0.81760139535563114</c:v>
                </c:pt>
                <c:pt idx="294">
                  <c:v>-0.81760139535563114</c:v>
                </c:pt>
                <c:pt idx="295">
                  <c:v>-0.71662660021795599</c:v>
                </c:pt>
                <c:pt idx="296">
                  <c:v>-0.71662660021795599</c:v>
                </c:pt>
                <c:pt idx="297">
                  <c:v>-0.71662660021795599</c:v>
                </c:pt>
                <c:pt idx="298">
                  <c:v>-0.71662660021795599</c:v>
                </c:pt>
                <c:pt idx="299">
                  <c:v>-0.71662660021795599</c:v>
                </c:pt>
                <c:pt idx="300">
                  <c:v>-0.71662660021795599</c:v>
                </c:pt>
                <c:pt idx="301">
                  <c:v>-0.71662660021795599</c:v>
                </c:pt>
                <c:pt idx="302">
                  <c:v>-0.71662660021795599</c:v>
                </c:pt>
                <c:pt idx="303">
                  <c:v>-0.71662660021795599</c:v>
                </c:pt>
                <c:pt idx="304">
                  <c:v>-0.69476253225193951</c:v>
                </c:pt>
                <c:pt idx="305">
                  <c:v>-0.69476253225193951</c:v>
                </c:pt>
                <c:pt idx="306">
                  <c:v>-0.69476253225193951</c:v>
                </c:pt>
                <c:pt idx="307">
                  <c:v>-0.69476253225193951</c:v>
                </c:pt>
                <c:pt idx="308">
                  <c:v>-0.69476253225193951</c:v>
                </c:pt>
                <c:pt idx="309">
                  <c:v>-0.69476253225193951</c:v>
                </c:pt>
                <c:pt idx="310">
                  <c:v>-0.69476253225193951</c:v>
                </c:pt>
                <c:pt idx="311">
                  <c:v>-0.69476253225193951</c:v>
                </c:pt>
                <c:pt idx="312">
                  <c:v>-0.69476253225193951</c:v>
                </c:pt>
                <c:pt idx="313">
                  <c:v>-0.69476253225193951</c:v>
                </c:pt>
                <c:pt idx="314">
                  <c:v>-0.69476253225193951</c:v>
                </c:pt>
                <c:pt idx="315">
                  <c:v>-0.69476253225193951</c:v>
                </c:pt>
                <c:pt idx="316">
                  <c:v>-0.69476253225193951</c:v>
                </c:pt>
                <c:pt idx="317">
                  <c:v>-0.69476253225193951</c:v>
                </c:pt>
                <c:pt idx="318">
                  <c:v>-0.69476253225193951</c:v>
                </c:pt>
                <c:pt idx="319">
                  <c:v>-0.69476253225193951</c:v>
                </c:pt>
                <c:pt idx="320">
                  <c:v>-0.69476253225193951</c:v>
                </c:pt>
                <c:pt idx="321">
                  <c:v>-0.69476253225193951</c:v>
                </c:pt>
                <c:pt idx="322">
                  <c:v>-0.69476253225193951</c:v>
                </c:pt>
                <c:pt idx="323">
                  <c:v>-0.69476253225193951</c:v>
                </c:pt>
                <c:pt idx="324">
                  <c:v>-0.69476253225193951</c:v>
                </c:pt>
                <c:pt idx="325">
                  <c:v>-0.69476253225193951</c:v>
                </c:pt>
                <c:pt idx="326">
                  <c:v>-0.69476253225193951</c:v>
                </c:pt>
                <c:pt idx="327">
                  <c:v>-0.69476253225193951</c:v>
                </c:pt>
                <c:pt idx="328">
                  <c:v>-0.69476253225193951</c:v>
                </c:pt>
                <c:pt idx="329">
                  <c:v>-0.69476253225193951</c:v>
                </c:pt>
                <c:pt idx="330">
                  <c:v>-0.69476253225193951</c:v>
                </c:pt>
                <c:pt idx="331">
                  <c:v>-0.69476253225193951</c:v>
                </c:pt>
                <c:pt idx="332">
                  <c:v>-0.69476253225193951</c:v>
                </c:pt>
                <c:pt idx="333">
                  <c:v>-0.69476253225193951</c:v>
                </c:pt>
                <c:pt idx="334">
                  <c:v>-0.69476253225193951</c:v>
                </c:pt>
                <c:pt idx="335">
                  <c:v>-0.69476253225193951</c:v>
                </c:pt>
                <c:pt idx="336">
                  <c:v>-0.69476253225193951</c:v>
                </c:pt>
                <c:pt idx="337">
                  <c:v>-0.69476253225193951</c:v>
                </c:pt>
                <c:pt idx="338">
                  <c:v>-0.69476253225193951</c:v>
                </c:pt>
                <c:pt idx="339">
                  <c:v>-0.69476253225193951</c:v>
                </c:pt>
                <c:pt idx="340">
                  <c:v>-0.69476253225193951</c:v>
                </c:pt>
                <c:pt idx="341">
                  <c:v>-0.55317732246077922</c:v>
                </c:pt>
                <c:pt idx="342">
                  <c:v>-0.55317732246077922</c:v>
                </c:pt>
                <c:pt idx="343">
                  <c:v>-0.55317732246077922</c:v>
                </c:pt>
                <c:pt idx="344">
                  <c:v>-0.55317732246077922</c:v>
                </c:pt>
                <c:pt idx="345">
                  <c:v>-0.85312247534710861</c:v>
                </c:pt>
                <c:pt idx="346">
                  <c:v>-0.85312247534710861</c:v>
                </c:pt>
                <c:pt idx="347">
                  <c:v>-0.85312247534710861</c:v>
                </c:pt>
                <c:pt idx="348">
                  <c:v>-0.85312247534710861</c:v>
                </c:pt>
                <c:pt idx="349">
                  <c:v>-0.86794497590295294</c:v>
                </c:pt>
                <c:pt idx="350">
                  <c:v>-0.86794497590295294</c:v>
                </c:pt>
                <c:pt idx="351">
                  <c:v>-0.86794497590295294</c:v>
                </c:pt>
                <c:pt idx="352">
                  <c:v>-0.86794497590295294</c:v>
                </c:pt>
                <c:pt idx="353">
                  <c:v>-3.7289214255513348E-2</c:v>
                </c:pt>
                <c:pt idx="354">
                  <c:v>-3.7289214255513348E-2</c:v>
                </c:pt>
                <c:pt idx="355">
                  <c:v>-3.7289214255513348E-2</c:v>
                </c:pt>
                <c:pt idx="356">
                  <c:v>-3.7289214255513348E-2</c:v>
                </c:pt>
                <c:pt idx="357">
                  <c:v>-3.7289214255513348E-2</c:v>
                </c:pt>
                <c:pt idx="358">
                  <c:v>-3.7289214255513348E-2</c:v>
                </c:pt>
                <c:pt idx="359">
                  <c:v>0.25389852520808864</c:v>
                </c:pt>
                <c:pt idx="360">
                  <c:v>0.25389852520808864</c:v>
                </c:pt>
                <c:pt idx="361">
                  <c:v>0.25389852520808864</c:v>
                </c:pt>
                <c:pt idx="362">
                  <c:v>0.25389852520808864</c:v>
                </c:pt>
                <c:pt idx="363">
                  <c:v>-0.26668580414118226</c:v>
                </c:pt>
                <c:pt idx="364">
                  <c:v>-0.26668580414118226</c:v>
                </c:pt>
                <c:pt idx="365">
                  <c:v>-0.26668580414118226</c:v>
                </c:pt>
                <c:pt idx="366">
                  <c:v>-0.26668580414118226</c:v>
                </c:pt>
                <c:pt idx="367">
                  <c:v>-0.26668580414118226</c:v>
                </c:pt>
                <c:pt idx="368">
                  <c:v>-0.26668580414118226</c:v>
                </c:pt>
                <c:pt idx="369">
                  <c:v>-0.26668580414118226</c:v>
                </c:pt>
                <c:pt idx="370">
                  <c:v>-0.26668580414118226</c:v>
                </c:pt>
                <c:pt idx="371">
                  <c:v>-0.26668580414118226</c:v>
                </c:pt>
                <c:pt idx="372">
                  <c:v>-0.26668580414118226</c:v>
                </c:pt>
                <c:pt idx="373">
                  <c:v>-0.26668580414118226</c:v>
                </c:pt>
                <c:pt idx="374">
                  <c:v>-0.26668580414118226</c:v>
                </c:pt>
                <c:pt idx="375">
                  <c:v>-0.26668580414118226</c:v>
                </c:pt>
                <c:pt idx="376">
                  <c:v>-0.26668580414118226</c:v>
                </c:pt>
                <c:pt idx="377">
                  <c:v>-0.26668580414118226</c:v>
                </c:pt>
                <c:pt idx="378">
                  <c:v>-0.26668580414118226</c:v>
                </c:pt>
                <c:pt idx="379">
                  <c:v>-0.26668580414118226</c:v>
                </c:pt>
                <c:pt idx="380">
                  <c:v>-0.26668580414118226</c:v>
                </c:pt>
                <c:pt idx="381">
                  <c:v>-0.26668580414118226</c:v>
                </c:pt>
                <c:pt idx="382">
                  <c:v>-0.26668580414118226</c:v>
                </c:pt>
                <c:pt idx="383">
                  <c:v>-0.26668580414118226</c:v>
                </c:pt>
                <c:pt idx="384">
                  <c:v>-0.26668580414118226</c:v>
                </c:pt>
                <c:pt idx="385">
                  <c:v>-0.26668580414118226</c:v>
                </c:pt>
                <c:pt idx="386">
                  <c:v>-0.26668580414118226</c:v>
                </c:pt>
                <c:pt idx="387">
                  <c:v>-0.26668580414118226</c:v>
                </c:pt>
                <c:pt idx="388">
                  <c:v>-0.60061544039640002</c:v>
                </c:pt>
                <c:pt idx="389">
                  <c:v>2.5247847798115064E-2</c:v>
                </c:pt>
                <c:pt idx="390">
                  <c:v>2.5247847798115064E-2</c:v>
                </c:pt>
                <c:pt idx="391">
                  <c:v>2.5247847798115064E-2</c:v>
                </c:pt>
                <c:pt idx="392">
                  <c:v>2.5247847798115064E-2</c:v>
                </c:pt>
                <c:pt idx="393">
                  <c:v>2.5247847798115064E-2</c:v>
                </c:pt>
                <c:pt idx="394">
                  <c:v>2.5247847798115064E-2</c:v>
                </c:pt>
                <c:pt idx="395">
                  <c:v>2.5247847798115064E-2</c:v>
                </c:pt>
                <c:pt idx="396">
                  <c:v>0.22302726237104897</c:v>
                </c:pt>
                <c:pt idx="397">
                  <c:v>0.22302726237104897</c:v>
                </c:pt>
                <c:pt idx="398">
                  <c:v>0.22302726237104897</c:v>
                </c:pt>
                <c:pt idx="399">
                  <c:v>-0.17416738885585836</c:v>
                </c:pt>
                <c:pt idx="400">
                  <c:v>-0.17416738885585836</c:v>
                </c:pt>
                <c:pt idx="401">
                  <c:v>-0.17416738885585836</c:v>
                </c:pt>
                <c:pt idx="402">
                  <c:v>-0.17416738885585836</c:v>
                </c:pt>
                <c:pt idx="403">
                  <c:v>-0.44411186108555778</c:v>
                </c:pt>
                <c:pt idx="404">
                  <c:v>-0.44411186108555778</c:v>
                </c:pt>
                <c:pt idx="405">
                  <c:v>-0.22218928116533904</c:v>
                </c:pt>
                <c:pt idx="406">
                  <c:v>-0.22218928116533904</c:v>
                </c:pt>
                <c:pt idx="407">
                  <c:v>-0.54613191784001369</c:v>
                </c:pt>
                <c:pt idx="408">
                  <c:v>-0.54613191784001369</c:v>
                </c:pt>
                <c:pt idx="409">
                  <c:v>-0.54613191784001369</c:v>
                </c:pt>
                <c:pt idx="410">
                  <c:v>-0.54613191784001369</c:v>
                </c:pt>
                <c:pt idx="411">
                  <c:v>-0.54613191784001369</c:v>
                </c:pt>
                <c:pt idx="412">
                  <c:v>-0.54613191784001369</c:v>
                </c:pt>
                <c:pt idx="413">
                  <c:v>-0.54613191784001369</c:v>
                </c:pt>
                <c:pt idx="414">
                  <c:v>-0.54613191784001369</c:v>
                </c:pt>
                <c:pt idx="415">
                  <c:v>-0.54613191784001369</c:v>
                </c:pt>
                <c:pt idx="416">
                  <c:v>-0.54613191784001369</c:v>
                </c:pt>
                <c:pt idx="417">
                  <c:v>-0.54613191784001369</c:v>
                </c:pt>
                <c:pt idx="418">
                  <c:v>-0.54613191784001369</c:v>
                </c:pt>
              </c:numCache>
            </c:numRef>
          </c:val>
          <c:smooth val="0"/>
          <c:extLst>
            <c:ext xmlns:c16="http://schemas.microsoft.com/office/drawing/2014/chart" uri="{C3380CC4-5D6E-409C-BE32-E72D297353CC}">
              <c16:uniqueId val="{00000009-014A-4B80-A216-E469238CD77A}"/>
            </c:ext>
          </c:extLst>
        </c:ser>
        <c:dLbls>
          <c:showLegendKey val="0"/>
          <c:showVal val="0"/>
          <c:showCatName val="0"/>
          <c:showSerName val="0"/>
          <c:showPercent val="0"/>
          <c:showBubbleSize val="0"/>
        </c:dLbls>
        <c:smooth val="0"/>
        <c:axId val="147683023"/>
        <c:axId val="146645279"/>
        <c:extLst/>
      </c:lineChart>
      <c:catAx>
        <c:axId val="147683023"/>
        <c:scaling>
          <c:orientation val="minMax"/>
        </c:scaling>
        <c:delete val="0"/>
        <c:axPos val="b"/>
        <c:majorGridlines>
          <c:spPr>
            <a:ln w="9525" cap="flat" cmpd="sng" algn="ctr">
              <a:solidFill>
                <a:schemeClr val="tx1">
                  <a:lumMod val="75000"/>
                  <a:lumOff val="25000"/>
                </a:schemeClr>
              </a:solidFill>
              <a:prstDash val="dash"/>
              <a:round/>
            </a:ln>
            <a:effectLst/>
          </c:spPr>
        </c:majorGridlines>
        <c:majorTickMark val="none"/>
        <c:minorTickMark val="none"/>
        <c:tickLblPos val="low"/>
        <c:spPr>
          <a:noFill/>
          <a:ln w="12700" cap="flat" cmpd="sng" algn="ctr">
            <a:solidFill>
              <a:sysClr val="windowText" lastClr="000000"/>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6645279"/>
        <c:crosses val="autoZero"/>
        <c:auto val="1"/>
        <c:lblAlgn val="ctr"/>
        <c:lblOffset val="100"/>
        <c:tickLblSkip val="25"/>
        <c:tickMarkSkip val="25"/>
        <c:noMultiLvlLbl val="0"/>
      </c:catAx>
      <c:valAx>
        <c:axId val="146645279"/>
        <c:scaling>
          <c:orientation val="minMax"/>
          <c:max val="25"/>
        </c:scaling>
        <c:delete val="0"/>
        <c:axPos val="r"/>
        <c:majorGridlines>
          <c:spPr>
            <a:ln w="9525" cap="flat" cmpd="sng" algn="ctr">
              <a:solidFill>
                <a:schemeClr val="tx1">
                  <a:lumMod val="75000"/>
                  <a:lumOff val="25000"/>
                </a:schemeClr>
              </a:solidFill>
              <a:prstDash val="dash"/>
              <a:round/>
            </a:ln>
            <a:effectLst/>
          </c:spPr>
        </c:majorGridlines>
        <c:numFmt formatCode="0" sourceLinked="0"/>
        <c:majorTickMark val="none"/>
        <c:minorTickMark val="none"/>
        <c:tickLblPos val="high"/>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7683023"/>
        <c:crosses val="max"/>
        <c:crossBetween val="between"/>
      </c:valAx>
      <c:spPr>
        <a:solidFill>
          <a:schemeClr val="tx1">
            <a:lumMod val="65000"/>
            <a:lumOff val="35000"/>
          </a:schemeClr>
        </a:solidFill>
        <a:ln>
          <a:solidFill>
            <a:sysClr val="windowText" lastClr="000000"/>
          </a:solidFill>
        </a:ln>
        <a:effectLst/>
      </c:spPr>
    </c:plotArea>
    <c:legend>
      <c:legendPos val="t"/>
      <c:layout>
        <c:manualLayout>
          <c:xMode val="edge"/>
          <c:yMode val="edge"/>
          <c:x val="1.5915161340126598E-2"/>
          <c:y val="8.1968699808046372E-2"/>
          <c:w val="0.23825369255313675"/>
          <c:h val="0.11214655071101187"/>
        </c:manualLayout>
      </c:layout>
      <c:overlay val="0"/>
      <c:spPr>
        <a:solidFill>
          <a:schemeClr val="accent6">
            <a:lumMod val="20000"/>
            <a:lumOff val="80000"/>
          </a:schemeClr>
        </a:solidFill>
        <a:ln>
          <a:solidFill>
            <a:sysClr val="windowText" lastClr="000000"/>
          </a:solid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legend>
    <c:plotVisOnly val="0"/>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accent3">
                    <a:lumMod val="75000"/>
                  </a:schemeClr>
                </a:solidFill>
                <a:latin typeface="+mn-lt"/>
                <a:ea typeface="+mn-ea"/>
                <a:cs typeface="+mn-cs"/>
              </a:defRPr>
            </a:pPr>
            <a:r>
              <a:rPr lang="en-US" sz="1800" b="1">
                <a:solidFill>
                  <a:schemeClr val="accent3">
                    <a:lumMod val="75000"/>
                  </a:schemeClr>
                </a:solidFill>
              </a:rPr>
              <a:t>The Three Tiers of The Strategy (Risk Unit)</a:t>
            </a:r>
          </a:p>
        </c:rich>
      </c:tx>
      <c:layout>
        <c:manualLayout>
          <c:xMode val="edge"/>
          <c:yMode val="edge"/>
          <c:x val="2.203421174294962E-2"/>
          <c:y val="4.5897877223178424E-3"/>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accent3">
                  <a:lumMod val="75000"/>
                </a:schemeClr>
              </a:solidFill>
              <a:latin typeface="+mn-lt"/>
              <a:ea typeface="+mn-ea"/>
              <a:cs typeface="+mn-cs"/>
            </a:defRPr>
          </a:pPr>
          <a:endParaRPr lang="en-US"/>
        </a:p>
      </c:txPr>
    </c:title>
    <c:autoTitleDeleted val="0"/>
    <c:plotArea>
      <c:layout>
        <c:manualLayout>
          <c:layoutTarget val="inner"/>
          <c:xMode val="edge"/>
          <c:yMode val="edge"/>
          <c:x val="1.0171058714748035E-2"/>
          <c:y val="7.7350558040499021E-2"/>
          <c:w val="0.96115660299744099"/>
          <c:h val="0.86018548951798435"/>
        </c:manualLayout>
      </c:layout>
      <c:lineChart>
        <c:grouping val="standard"/>
        <c:varyColors val="0"/>
        <c:ser>
          <c:idx val="2"/>
          <c:order val="0"/>
          <c:tx>
            <c:v>SW</c:v>
          </c:tx>
          <c:spPr>
            <a:ln w="19050" cap="rnd">
              <a:solidFill>
                <a:srgbClr val="00B0F0"/>
              </a:solidFill>
              <a:prstDash val="solid"/>
              <a:round/>
            </a:ln>
            <a:effectLst/>
          </c:spPr>
          <c:marker>
            <c:symbol val="none"/>
          </c:marker>
          <c:val>
            <c:numRef>
              <c:f>'2025-Q2'!$CH$4:$CH$422</c:f>
              <c:numCache>
                <c:formatCode>0.0</c:formatCode>
                <c:ptCount val="419"/>
                <c:pt idx="0">
                  <c:v>0</c:v>
                </c:pt>
                <c:pt idx="1">
                  <c:v>0</c:v>
                </c:pt>
                <c:pt idx="2">
                  <c:v>-5.8708702097371709E-2</c:v>
                </c:pt>
                <c:pt idx="3">
                  <c:v>-0.47332867780116666</c:v>
                </c:pt>
                <c:pt idx="4">
                  <c:v>-0.67924094093413856</c:v>
                </c:pt>
                <c:pt idx="5">
                  <c:v>-1.331897252120668</c:v>
                </c:pt>
                <c:pt idx="6">
                  <c:v>-1.9089285900827602</c:v>
                </c:pt>
                <c:pt idx="7">
                  <c:v>-2.0364740006470425</c:v>
                </c:pt>
                <c:pt idx="8">
                  <c:v>-1.5119749040259491</c:v>
                </c:pt>
                <c:pt idx="9">
                  <c:v>-1.5119749040259491</c:v>
                </c:pt>
                <c:pt idx="10">
                  <c:v>-1.2562541405544734</c:v>
                </c:pt>
                <c:pt idx="11">
                  <c:v>-0.74266446688844512</c:v>
                </c:pt>
                <c:pt idx="12">
                  <c:v>-0.74266446688844512</c:v>
                </c:pt>
                <c:pt idx="13">
                  <c:v>-0.59798104285804188</c:v>
                </c:pt>
                <c:pt idx="14">
                  <c:v>-0.59798104285804188</c:v>
                </c:pt>
                <c:pt idx="15">
                  <c:v>5.7491593957879394E-2</c:v>
                </c:pt>
                <c:pt idx="16">
                  <c:v>5.7491593957879394E-2</c:v>
                </c:pt>
                <c:pt idx="17">
                  <c:v>5.7491593957879394E-2</c:v>
                </c:pt>
                <c:pt idx="18">
                  <c:v>2.0899319080158046E-3</c:v>
                </c:pt>
                <c:pt idx="19">
                  <c:v>0.46094484132543312</c:v>
                </c:pt>
                <c:pt idx="20">
                  <c:v>0.87016805155801569</c:v>
                </c:pt>
                <c:pt idx="21">
                  <c:v>1.1641330172118003</c:v>
                </c:pt>
                <c:pt idx="22">
                  <c:v>1.1641330172118003</c:v>
                </c:pt>
                <c:pt idx="23">
                  <c:v>1.0528157630374015</c:v>
                </c:pt>
                <c:pt idx="24">
                  <c:v>0.18840117891918895</c:v>
                </c:pt>
                <c:pt idx="25">
                  <c:v>-2.7484350488031315</c:v>
                </c:pt>
                <c:pt idx="26">
                  <c:v>-2.7484350488031315</c:v>
                </c:pt>
                <c:pt idx="27">
                  <c:v>-2.7484350488031315</c:v>
                </c:pt>
                <c:pt idx="28">
                  <c:v>-2.7484350488031315</c:v>
                </c:pt>
                <c:pt idx="29">
                  <c:v>-2.3158062509167356</c:v>
                </c:pt>
                <c:pt idx="30">
                  <c:v>-2.3158062509167356</c:v>
                </c:pt>
                <c:pt idx="31">
                  <c:v>-2.3158062509167356</c:v>
                </c:pt>
                <c:pt idx="32">
                  <c:v>-2.3158062509167356</c:v>
                </c:pt>
                <c:pt idx="33">
                  <c:v>-2.3138293412219695</c:v>
                </c:pt>
                <c:pt idx="34">
                  <c:v>-3.218060132622047</c:v>
                </c:pt>
                <c:pt idx="35">
                  <c:v>-4.0393452731842965</c:v>
                </c:pt>
                <c:pt idx="36">
                  <c:v>-4.0393452731842965</c:v>
                </c:pt>
                <c:pt idx="37">
                  <c:v>-3.8373564602570109</c:v>
                </c:pt>
                <c:pt idx="38">
                  <c:v>-3.6426039860270283</c:v>
                </c:pt>
                <c:pt idx="39">
                  <c:v>-3.6426039860270283</c:v>
                </c:pt>
                <c:pt idx="40">
                  <c:v>-3.6426039860270283</c:v>
                </c:pt>
                <c:pt idx="41">
                  <c:v>-3.6426039860270283</c:v>
                </c:pt>
                <c:pt idx="42">
                  <c:v>-3.6426039860270283</c:v>
                </c:pt>
                <c:pt idx="43">
                  <c:v>-2.880992921640523</c:v>
                </c:pt>
                <c:pt idx="44">
                  <c:v>-3.2459280874142631</c:v>
                </c:pt>
                <c:pt idx="45">
                  <c:v>-3.2561099796462054</c:v>
                </c:pt>
                <c:pt idx="46">
                  <c:v>-3.2561099796462054</c:v>
                </c:pt>
                <c:pt idx="47">
                  <c:v>-3.2561099796462054</c:v>
                </c:pt>
                <c:pt idx="48">
                  <c:v>-3.2561099796462054</c:v>
                </c:pt>
                <c:pt idx="49">
                  <c:v>-4.787720086422822</c:v>
                </c:pt>
                <c:pt idx="50">
                  <c:v>-5.6194470800688512</c:v>
                </c:pt>
                <c:pt idx="51">
                  <c:v>-4.6684068178223059</c:v>
                </c:pt>
                <c:pt idx="52">
                  <c:v>-4.6684068178223059</c:v>
                </c:pt>
                <c:pt idx="53">
                  <c:v>-4.17574702283693</c:v>
                </c:pt>
                <c:pt idx="54">
                  <c:v>-3.4356097179672029</c:v>
                </c:pt>
                <c:pt idx="55">
                  <c:v>-3.4356097179672029</c:v>
                </c:pt>
                <c:pt idx="56">
                  <c:v>-4.1133990818879544</c:v>
                </c:pt>
                <c:pt idx="57">
                  <c:v>-4.1133990818879544</c:v>
                </c:pt>
                <c:pt idx="58">
                  <c:v>-3.4475158073090277</c:v>
                </c:pt>
                <c:pt idx="59">
                  <c:v>-2.2645935902228382</c:v>
                </c:pt>
                <c:pt idx="60">
                  <c:v>-1.7635984629151702</c:v>
                </c:pt>
                <c:pt idx="61">
                  <c:v>-0.33394634322716721</c:v>
                </c:pt>
                <c:pt idx="62">
                  <c:v>2.2693489672924785</c:v>
                </c:pt>
                <c:pt idx="63">
                  <c:v>3.2097760935569961</c:v>
                </c:pt>
                <c:pt idx="64">
                  <c:v>2.9470411776321668</c:v>
                </c:pt>
                <c:pt idx="65">
                  <c:v>4.1243321777142077</c:v>
                </c:pt>
                <c:pt idx="66">
                  <c:v>4.1243321777142077</c:v>
                </c:pt>
                <c:pt idx="67">
                  <c:v>4.1243321777142077</c:v>
                </c:pt>
                <c:pt idx="68">
                  <c:v>4.1243321777142077</c:v>
                </c:pt>
                <c:pt idx="69">
                  <c:v>4.1243321777142077</c:v>
                </c:pt>
                <c:pt idx="70">
                  <c:v>4.1243321777142077</c:v>
                </c:pt>
                <c:pt idx="71">
                  <c:v>4.1243321777142077</c:v>
                </c:pt>
                <c:pt idx="72">
                  <c:v>5.2751627940781276</c:v>
                </c:pt>
                <c:pt idx="73">
                  <c:v>5.0829017557472183</c:v>
                </c:pt>
                <c:pt idx="74">
                  <c:v>5.950865985100191</c:v>
                </c:pt>
                <c:pt idx="75">
                  <c:v>5.4438759227791529</c:v>
                </c:pt>
                <c:pt idx="76">
                  <c:v>6.8109478912313381</c:v>
                </c:pt>
                <c:pt idx="77">
                  <c:v>6.5264701178062232</c:v>
                </c:pt>
                <c:pt idx="78">
                  <c:v>5.5552436770914344</c:v>
                </c:pt>
                <c:pt idx="79">
                  <c:v>5.5552436770914344</c:v>
                </c:pt>
                <c:pt idx="80">
                  <c:v>5.7056401769547129</c:v>
                </c:pt>
                <c:pt idx="81">
                  <c:v>5.7056401769547129</c:v>
                </c:pt>
                <c:pt idx="82">
                  <c:v>5.7056401769547129</c:v>
                </c:pt>
                <c:pt idx="83">
                  <c:v>5.1374583587728946</c:v>
                </c:pt>
                <c:pt idx="84">
                  <c:v>3.2903832781648799</c:v>
                </c:pt>
                <c:pt idx="85">
                  <c:v>3.2903832781648799</c:v>
                </c:pt>
                <c:pt idx="86">
                  <c:v>2.7644274061642369</c:v>
                </c:pt>
                <c:pt idx="87">
                  <c:v>2.7644274061642369</c:v>
                </c:pt>
                <c:pt idx="88">
                  <c:v>2.7644274061642369</c:v>
                </c:pt>
                <c:pt idx="89">
                  <c:v>2.4469670887039179</c:v>
                </c:pt>
                <c:pt idx="90">
                  <c:v>2.4469670887039179</c:v>
                </c:pt>
                <c:pt idx="91">
                  <c:v>2.4469670887039179</c:v>
                </c:pt>
                <c:pt idx="92">
                  <c:v>2.4469670887039179</c:v>
                </c:pt>
                <c:pt idx="93">
                  <c:v>1.5891481180866815</c:v>
                </c:pt>
                <c:pt idx="94">
                  <c:v>0.95093551413918087</c:v>
                </c:pt>
                <c:pt idx="95">
                  <c:v>0.95093551413918087</c:v>
                </c:pt>
                <c:pt idx="96">
                  <c:v>0.95093551413918087</c:v>
                </c:pt>
                <c:pt idx="97">
                  <c:v>0.95093551413918087</c:v>
                </c:pt>
                <c:pt idx="98">
                  <c:v>0.95093551413918087</c:v>
                </c:pt>
                <c:pt idx="99">
                  <c:v>0.30610601813474969</c:v>
                </c:pt>
                <c:pt idx="100">
                  <c:v>0.30610601813474969</c:v>
                </c:pt>
                <c:pt idx="101">
                  <c:v>-0.15330479933233376</c:v>
                </c:pt>
                <c:pt idx="102">
                  <c:v>-0.17256727756573337</c:v>
                </c:pt>
                <c:pt idx="103">
                  <c:v>-0.17256727756573337</c:v>
                </c:pt>
                <c:pt idx="104">
                  <c:v>-0.19772662006824826</c:v>
                </c:pt>
                <c:pt idx="105">
                  <c:v>-0.19772662006824826</c:v>
                </c:pt>
                <c:pt idx="106">
                  <c:v>-0.19772662006824826</c:v>
                </c:pt>
                <c:pt idx="107">
                  <c:v>-1.5627025778780812</c:v>
                </c:pt>
                <c:pt idx="108">
                  <c:v>-0.98158327811135515</c:v>
                </c:pt>
                <c:pt idx="109">
                  <c:v>-1.5264097814870796</c:v>
                </c:pt>
                <c:pt idx="110">
                  <c:v>-1.5264097814870796</c:v>
                </c:pt>
                <c:pt idx="111">
                  <c:v>-1.5264097814870796</c:v>
                </c:pt>
                <c:pt idx="112">
                  <c:v>-1.0948660852469776</c:v>
                </c:pt>
                <c:pt idx="113">
                  <c:v>-0.47114817206851145</c:v>
                </c:pt>
                <c:pt idx="114">
                  <c:v>3.046995090883442E-2</c:v>
                </c:pt>
                <c:pt idx="115">
                  <c:v>1.2317741388232271</c:v>
                </c:pt>
                <c:pt idx="116">
                  <c:v>1.2317741388232271</c:v>
                </c:pt>
                <c:pt idx="117">
                  <c:v>1.2317741388232271</c:v>
                </c:pt>
                <c:pt idx="118">
                  <c:v>2.2548108651057053</c:v>
                </c:pt>
                <c:pt idx="119">
                  <c:v>1.8200953098071886</c:v>
                </c:pt>
                <c:pt idx="120">
                  <c:v>1.8200953098071886</c:v>
                </c:pt>
                <c:pt idx="121">
                  <c:v>1.8200953098071886</c:v>
                </c:pt>
                <c:pt idx="122">
                  <c:v>0.77552706468184374</c:v>
                </c:pt>
                <c:pt idx="123">
                  <c:v>0.45862964135970113</c:v>
                </c:pt>
                <c:pt idx="124">
                  <c:v>0.45862964135970113</c:v>
                </c:pt>
                <c:pt idx="125">
                  <c:v>0.68610916820228396</c:v>
                </c:pt>
                <c:pt idx="126">
                  <c:v>1.1021786980437152</c:v>
                </c:pt>
                <c:pt idx="127">
                  <c:v>1.1021786980437152</c:v>
                </c:pt>
                <c:pt idx="128">
                  <c:v>1.3278104669967838</c:v>
                </c:pt>
                <c:pt idx="129">
                  <c:v>1.3278104669967838</c:v>
                </c:pt>
                <c:pt idx="130">
                  <c:v>0.7659637771013148</c:v>
                </c:pt>
                <c:pt idx="131">
                  <c:v>0.7659637771013148</c:v>
                </c:pt>
                <c:pt idx="132">
                  <c:v>0.2967286656138724</c:v>
                </c:pt>
                <c:pt idx="133">
                  <c:v>0.2967286656138724</c:v>
                </c:pt>
                <c:pt idx="134">
                  <c:v>0.2967286656138724</c:v>
                </c:pt>
                <c:pt idx="135">
                  <c:v>0.2967286656138724</c:v>
                </c:pt>
                <c:pt idx="136">
                  <c:v>0.2967286656138724</c:v>
                </c:pt>
                <c:pt idx="137">
                  <c:v>0.2967286656138724</c:v>
                </c:pt>
                <c:pt idx="138">
                  <c:v>0.2967286656138724</c:v>
                </c:pt>
                <c:pt idx="139">
                  <c:v>0.2967286656138724</c:v>
                </c:pt>
                <c:pt idx="140">
                  <c:v>0.15743349915614699</c:v>
                </c:pt>
                <c:pt idx="141">
                  <c:v>0.15743349915614699</c:v>
                </c:pt>
                <c:pt idx="142">
                  <c:v>0.15743349915614699</c:v>
                </c:pt>
                <c:pt idx="143">
                  <c:v>0.15743349915614699</c:v>
                </c:pt>
                <c:pt idx="144">
                  <c:v>0.15743349915614699</c:v>
                </c:pt>
                <c:pt idx="145">
                  <c:v>0.15743349915614699</c:v>
                </c:pt>
                <c:pt idx="146">
                  <c:v>0.15743349915614699</c:v>
                </c:pt>
                <c:pt idx="147">
                  <c:v>0.15743349915614699</c:v>
                </c:pt>
                <c:pt idx="148">
                  <c:v>1.3316759233985713</c:v>
                </c:pt>
                <c:pt idx="149">
                  <c:v>2.3415336763446604</c:v>
                </c:pt>
                <c:pt idx="150">
                  <c:v>2.1016224792952101</c:v>
                </c:pt>
                <c:pt idx="151">
                  <c:v>3.2321371851775655</c:v>
                </c:pt>
                <c:pt idx="152">
                  <c:v>3.2321371851775655</c:v>
                </c:pt>
                <c:pt idx="153">
                  <c:v>1.5664526438300914</c:v>
                </c:pt>
                <c:pt idx="154">
                  <c:v>1.2209384718928695</c:v>
                </c:pt>
                <c:pt idx="155">
                  <c:v>0.50296755151909212</c:v>
                </c:pt>
                <c:pt idx="156">
                  <c:v>0.50296755151909212</c:v>
                </c:pt>
                <c:pt idx="157">
                  <c:v>1.0608476073070958</c:v>
                </c:pt>
                <c:pt idx="158">
                  <c:v>1.4955266593494918</c:v>
                </c:pt>
                <c:pt idx="159">
                  <c:v>-0.75853113954203621</c:v>
                </c:pt>
                <c:pt idx="160">
                  <c:v>-0.14416201032142462</c:v>
                </c:pt>
                <c:pt idx="161">
                  <c:v>0.93529165394645586</c:v>
                </c:pt>
                <c:pt idx="162">
                  <c:v>0.93529165394645586</c:v>
                </c:pt>
                <c:pt idx="163">
                  <c:v>0.93529165394645586</c:v>
                </c:pt>
                <c:pt idx="164">
                  <c:v>1.3587355923546105</c:v>
                </c:pt>
                <c:pt idx="165">
                  <c:v>2.3287257839948707</c:v>
                </c:pt>
                <c:pt idx="166">
                  <c:v>2.1998047222920092</c:v>
                </c:pt>
                <c:pt idx="167">
                  <c:v>1.9163637602832426</c:v>
                </c:pt>
                <c:pt idx="168">
                  <c:v>1.9163637602832426</c:v>
                </c:pt>
                <c:pt idx="169">
                  <c:v>1.8937939631857208</c:v>
                </c:pt>
                <c:pt idx="170">
                  <c:v>1.8937939631857208</c:v>
                </c:pt>
                <c:pt idx="171">
                  <c:v>0.41412713320041905</c:v>
                </c:pt>
                <c:pt idx="172">
                  <c:v>0.41412713320041905</c:v>
                </c:pt>
                <c:pt idx="173">
                  <c:v>0.93379291677490495</c:v>
                </c:pt>
                <c:pt idx="174">
                  <c:v>0.93379291677490495</c:v>
                </c:pt>
                <c:pt idx="175">
                  <c:v>2.4454561258018739</c:v>
                </c:pt>
                <c:pt idx="176">
                  <c:v>2.4454561258018739</c:v>
                </c:pt>
                <c:pt idx="177">
                  <c:v>3.7531367572529986</c:v>
                </c:pt>
                <c:pt idx="178">
                  <c:v>3.7531367572529986</c:v>
                </c:pt>
                <c:pt idx="179">
                  <c:v>3.7531367572529986</c:v>
                </c:pt>
                <c:pt idx="180">
                  <c:v>3.2654665327406662</c:v>
                </c:pt>
                <c:pt idx="181">
                  <c:v>2.9546309731526486</c:v>
                </c:pt>
                <c:pt idx="182">
                  <c:v>3.665971646434329</c:v>
                </c:pt>
                <c:pt idx="183">
                  <c:v>4.228983842343216</c:v>
                </c:pt>
                <c:pt idx="184">
                  <c:v>4.228983842343216</c:v>
                </c:pt>
                <c:pt idx="185">
                  <c:v>4.228983842343216</c:v>
                </c:pt>
                <c:pt idx="186">
                  <c:v>4.228983842343216</c:v>
                </c:pt>
                <c:pt idx="187">
                  <c:v>4.69113172966716</c:v>
                </c:pt>
                <c:pt idx="188">
                  <c:v>4.69113172966716</c:v>
                </c:pt>
                <c:pt idx="189">
                  <c:v>4.69113172966716</c:v>
                </c:pt>
                <c:pt idx="190">
                  <c:v>5.3749707305495349</c:v>
                </c:pt>
                <c:pt idx="191">
                  <c:v>5.3749707305495349</c:v>
                </c:pt>
                <c:pt idx="192">
                  <c:v>5.0550098184356109</c:v>
                </c:pt>
                <c:pt idx="193">
                  <c:v>5.0550098184356109</c:v>
                </c:pt>
                <c:pt idx="194">
                  <c:v>5.0550098184356109</c:v>
                </c:pt>
                <c:pt idx="195">
                  <c:v>5.1812098661621748</c:v>
                </c:pt>
                <c:pt idx="196">
                  <c:v>5.2402058398390245</c:v>
                </c:pt>
                <c:pt idx="197">
                  <c:v>5.2402058398390245</c:v>
                </c:pt>
                <c:pt idx="198">
                  <c:v>5.2402058398390245</c:v>
                </c:pt>
                <c:pt idx="199">
                  <c:v>5.2402058398390245</c:v>
                </c:pt>
                <c:pt idx="200">
                  <c:v>5.2402058398390245</c:v>
                </c:pt>
                <c:pt idx="201">
                  <c:v>5.2402058398390245</c:v>
                </c:pt>
                <c:pt idx="202">
                  <c:v>5.4983069647963294</c:v>
                </c:pt>
                <c:pt idx="203">
                  <c:v>5.4983069647963294</c:v>
                </c:pt>
                <c:pt idx="204">
                  <c:v>5.8466715549431942</c:v>
                </c:pt>
                <c:pt idx="205">
                  <c:v>4.7804679444472544</c:v>
                </c:pt>
                <c:pt idx="206">
                  <c:v>6.1491647355409036</c:v>
                </c:pt>
                <c:pt idx="207">
                  <c:v>6.1491647355409036</c:v>
                </c:pt>
                <c:pt idx="208">
                  <c:v>5.9860165655523039</c:v>
                </c:pt>
                <c:pt idx="209">
                  <c:v>5.9860165655523039</c:v>
                </c:pt>
                <c:pt idx="210">
                  <c:v>4.9672353949273145</c:v>
                </c:pt>
                <c:pt idx="211">
                  <c:v>4.3865883356711599</c:v>
                </c:pt>
                <c:pt idx="212">
                  <c:v>4.2149306983946628</c:v>
                </c:pt>
                <c:pt idx="213">
                  <c:v>4.2149306983946628</c:v>
                </c:pt>
                <c:pt idx="214">
                  <c:v>4.2149306983946628</c:v>
                </c:pt>
                <c:pt idx="215">
                  <c:v>4.2149306983946628</c:v>
                </c:pt>
                <c:pt idx="216">
                  <c:v>5.6614904345661534</c:v>
                </c:pt>
                <c:pt idx="217">
                  <c:v>5.6614904345661534</c:v>
                </c:pt>
                <c:pt idx="218">
                  <c:v>5.6614904345661534</c:v>
                </c:pt>
                <c:pt idx="219">
                  <c:v>7.2285636747406263</c:v>
                </c:pt>
                <c:pt idx="220">
                  <c:v>7.2285636747406263</c:v>
                </c:pt>
                <c:pt idx="221">
                  <c:v>7.7726868549669605</c:v>
                </c:pt>
                <c:pt idx="222">
                  <c:v>7.7726868549669605</c:v>
                </c:pt>
                <c:pt idx="223">
                  <c:v>7.7726868549669605</c:v>
                </c:pt>
                <c:pt idx="224">
                  <c:v>8.134204731402642</c:v>
                </c:pt>
                <c:pt idx="225">
                  <c:v>8.134204731402642</c:v>
                </c:pt>
                <c:pt idx="226">
                  <c:v>6.3632759032424007</c:v>
                </c:pt>
                <c:pt idx="227">
                  <c:v>6.3632759032424007</c:v>
                </c:pt>
                <c:pt idx="228">
                  <c:v>6.3588194561003188</c:v>
                </c:pt>
                <c:pt idx="229">
                  <c:v>6.3155240577826532</c:v>
                </c:pt>
                <c:pt idx="230">
                  <c:v>6.3155240577826532</c:v>
                </c:pt>
                <c:pt idx="231">
                  <c:v>5.7506450028417229</c:v>
                </c:pt>
                <c:pt idx="232">
                  <c:v>6.420428405435854</c:v>
                </c:pt>
                <c:pt idx="233">
                  <c:v>6.8738312762042915</c:v>
                </c:pt>
                <c:pt idx="234">
                  <c:v>6.8738312762042915</c:v>
                </c:pt>
                <c:pt idx="235">
                  <c:v>6.8738312762042915</c:v>
                </c:pt>
                <c:pt idx="236">
                  <c:v>6.8738312762042915</c:v>
                </c:pt>
                <c:pt idx="237">
                  <c:v>6.8257186050762684</c:v>
                </c:pt>
                <c:pt idx="238">
                  <c:v>5.1223152641183383</c:v>
                </c:pt>
                <c:pt idx="239">
                  <c:v>5.1654602821377287</c:v>
                </c:pt>
                <c:pt idx="240">
                  <c:v>5.1654602821377287</c:v>
                </c:pt>
                <c:pt idx="241">
                  <c:v>5.1654602821377287</c:v>
                </c:pt>
                <c:pt idx="242">
                  <c:v>5.2736797002940596</c:v>
                </c:pt>
                <c:pt idx="243">
                  <c:v>5.2736797002940596</c:v>
                </c:pt>
                <c:pt idx="244">
                  <c:v>4.4459631505172155</c:v>
                </c:pt>
                <c:pt idx="245">
                  <c:v>4.4459631505172155</c:v>
                </c:pt>
                <c:pt idx="246">
                  <c:v>4.4459631505172155</c:v>
                </c:pt>
                <c:pt idx="247">
                  <c:v>4.4459631505172155</c:v>
                </c:pt>
                <c:pt idx="248">
                  <c:v>4.4459631505172155</c:v>
                </c:pt>
                <c:pt idx="249">
                  <c:v>4.4459631505172155</c:v>
                </c:pt>
                <c:pt idx="250">
                  <c:v>4.4459631505172155</c:v>
                </c:pt>
                <c:pt idx="251">
                  <c:v>3.5713675481703389</c:v>
                </c:pt>
                <c:pt idx="252">
                  <c:v>3.064447421440307</c:v>
                </c:pt>
                <c:pt idx="253">
                  <c:v>3.064447421440307</c:v>
                </c:pt>
                <c:pt idx="254">
                  <c:v>3.064447421440307</c:v>
                </c:pt>
                <c:pt idx="255">
                  <c:v>3.064447421440307</c:v>
                </c:pt>
                <c:pt idx="256">
                  <c:v>2.9333428655569906</c:v>
                </c:pt>
                <c:pt idx="257">
                  <c:v>2.9333428655569906</c:v>
                </c:pt>
                <c:pt idx="258">
                  <c:v>2.9333428655569906</c:v>
                </c:pt>
                <c:pt idx="259">
                  <c:v>2.9333428655569906</c:v>
                </c:pt>
                <c:pt idx="260">
                  <c:v>2.9333428655569906</c:v>
                </c:pt>
                <c:pt idx="261">
                  <c:v>2.9333428655569906</c:v>
                </c:pt>
                <c:pt idx="262">
                  <c:v>2.9333428655569906</c:v>
                </c:pt>
                <c:pt idx="263">
                  <c:v>2.6694681634800426</c:v>
                </c:pt>
                <c:pt idx="264">
                  <c:v>2.6694681634800426</c:v>
                </c:pt>
                <c:pt idx="265">
                  <c:v>2.6694681634800426</c:v>
                </c:pt>
                <c:pt idx="266">
                  <c:v>3.2673301497029255</c:v>
                </c:pt>
                <c:pt idx="267">
                  <c:v>3.2673301497029255</c:v>
                </c:pt>
                <c:pt idx="268">
                  <c:v>3.2673301497029255</c:v>
                </c:pt>
                <c:pt idx="269">
                  <c:v>3.2673301497029255</c:v>
                </c:pt>
                <c:pt idx="270">
                  <c:v>3.2673301497029255</c:v>
                </c:pt>
                <c:pt idx="271">
                  <c:v>3.2673301497029255</c:v>
                </c:pt>
                <c:pt idx="272">
                  <c:v>3.2673301497029255</c:v>
                </c:pt>
                <c:pt idx="273">
                  <c:v>3.2673301497029255</c:v>
                </c:pt>
                <c:pt idx="274">
                  <c:v>3.2673301497029255</c:v>
                </c:pt>
                <c:pt idx="275">
                  <c:v>3.2673301497029255</c:v>
                </c:pt>
                <c:pt idx="276">
                  <c:v>3.2673301497029255</c:v>
                </c:pt>
                <c:pt idx="277">
                  <c:v>3.2673301497029255</c:v>
                </c:pt>
                <c:pt idx="278">
                  <c:v>3.2673301497029255</c:v>
                </c:pt>
                <c:pt idx="279">
                  <c:v>3.2673301497029255</c:v>
                </c:pt>
                <c:pt idx="280">
                  <c:v>3.7088089351307563</c:v>
                </c:pt>
                <c:pt idx="281">
                  <c:v>2.8109351882981031</c:v>
                </c:pt>
                <c:pt idx="282">
                  <c:v>2.8109351882981031</c:v>
                </c:pt>
                <c:pt idx="283">
                  <c:v>2.8109351882981031</c:v>
                </c:pt>
                <c:pt idx="284">
                  <c:v>2.7671475583035767</c:v>
                </c:pt>
                <c:pt idx="285">
                  <c:v>2.7671475583035767</c:v>
                </c:pt>
                <c:pt idx="286">
                  <c:v>3.3019496017263097</c:v>
                </c:pt>
                <c:pt idx="287">
                  <c:v>3.3019496017263097</c:v>
                </c:pt>
                <c:pt idx="288">
                  <c:v>5.0769611277751805</c:v>
                </c:pt>
                <c:pt idx="289">
                  <c:v>5.0769611277751805</c:v>
                </c:pt>
                <c:pt idx="290">
                  <c:v>5.0769611277751805</c:v>
                </c:pt>
                <c:pt idx="291">
                  <c:v>5.0769611277751805</c:v>
                </c:pt>
                <c:pt idx="292">
                  <c:v>5.0769611277751805</c:v>
                </c:pt>
                <c:pt idx="293">
                  <c:v>4.2846973505411121</c:v>
                </c:pt>
                <c:pt idx="294">
                  <c:v>4.2846973505411121</c:v>
                </c:pt>
                <c:pt idx="295">
                  <c:v>4.2846973505411121</c:v>
                </c:pt>
                <c:pt idx="296">
                  <c:v>4.2846973505411121</c:v>
                </c:pt>
                <c:pt idx="297">
                  <c:v>4.2846973505411121</c:v>
                </c:pt>
                <c:pt idx="298">
                  <c:v>4.2846973505411121</c:v>
                </c:pt>
                <c:pt idx="299">
                  <c:v>4.2846973505411121</c:v>
                </c:pt>
                <c:pt idx="300">
                  <c:v>4.3189150805895453</c:v>
                </c:pt>
                <c:pt idx="301">
                  <c:v>5.552949620263643</c:v>
                </c:pt>
                <c:pt idx="302">
                  <c:v>5.552949620263643</c:v>
                </c:pt>
                <c:pt idx="303">
                  <c:v>6.1264664789917678</c:v>
                </c:pt>
                <c:pt idx="304">
                  <c:v>6.1264664789917678</c:v>
                </c:pt>
                <c:pt idx="305">
                  <c:v>7.170911895239346</c:v>
                </c:pt>
                <c:pt idx="306">
                  <c:v>9.3974546576023172</c:v>
                </c:pt>
                <c:pt idx="307">
                  <c:v>10.124517077563485</c:v>
                </c:pt>
                <c:pt idx="308">
                  <c:v>10.124517077563485</c:v>
                </c:pt>
                <c:pt idx="309">
                  <c:v>10.124517077563485</c:v>
                </c:pt>
                <c:pt idx="310">
                  <c:v>10.124517077563485</c:v>
                </c:pt>
                <c:pt idx="311">
                  <c:v>10.124517077563485</c:v>
                </c:pt>
                <c:pt idx="312">
                  <c:v>10.124517077563485</c:v>
                </c:pt>
                <c:pt idx="313">
                  <c:v>10.124517077563485</c:v>
                </c:pt>
                <c:pt idx="314">
                  <c:v>10.124517077563485</c:v>
                </c:pt>
                <c:pt idx="315">
                  <c:v>10.124517077563485</c:v>
                </c:pt>
                <c:pt idx="316">
                  <c:v>10.124517077563485</c:v>
                </c:pt>
                <c:pt idx="317">
                  <c:v>10.124517077563485</c:v>
                </c:pt>
                <c:pt idx="318">
                  <c:v>8.5070643683301963</c:v>
                </c:pt>
                <c:pt idx="319">
                  <c:v>10.843640243816576</c:v>
                </c:pt>
                <c:pt idx="320">
                  <c:v>10.843640243816576</c:v>
                </c:pt>
                <c:pt idx="321">
                  <c:v>11.169226861083892</c:v>
                </c:pt>
                <c:pt idx="322">
                  <c:v>11.501909836720493</c:v>
                </c:pt>
                <c:pt idx="323">
                  <c:v>9.8352431700538272</c:v>
                </c:pt>
                <c:pt idx="324">
                  <c:v>9.8352431700538272</c:v>
                </c:pt>
                <c:pt idx="325">
                  <c:v>10.623627873250173</c:v>
                </c:pt>
                <c:pt idx="326">
                  <c:v>10.623627873250173</c:v>
                </c:pt>
                <c:pt idx="327">
                  <c:v>10.407837063399958</c:v>
                </c:pt>
                <c:pt idx="328">
                  <c:v>9.6315729495069782</c:v>
                </c:pt>
                <c:pt idx="329">
                  <c:v>9.6315729495069782</c:v>
                </c:pt>
                <c:pt idx="330">
                  <c:v>9.6315729495069782</c:v>
                </c:pt>
                <c:pt idx="331">
                  <c:v>9.971237901360297</c:v>
                </c:pt>
                <c:pt idx="332">
                  <c:v>10.908966839089237</c:v>
                </c:pt>
                <c:pt idx="333">
                  <c:v>11.393004474375038</c:v>
                </c:pt>
                <c:pt idx="334">
                  <c:v>11.393004474375038</c:v>
                </c:pt>
                <c:pt idx="335">
                  <c:v>12.05799609916566</c:v>
                </c:pt>
                <c:pt idx="336">
                  <c:v>11.622524998611423</c:v>
                </c:pt>
                <c:pt idx="337">
                  <c:v>11.622524998611423</c:v>
                </c:pt>
                <c:pt idx="338">
                  <c:v>11.622524998611423</c:v>
                </c:pt>
                <c:pt idx="339">
                  <c:v>11.019759142626683</c:v>
                </c:pt>
                <c:pt idx="340">
                  <c:v>8.1740220453925794</c:v>
                </c:pt>
                <c:pt idx="341">
                  <c:v>8.1740220453925794</c:v>
                </c:pt>
                <c:pt idx="342">
                  <c:v>8.1740220453925794</c:v>
                </c:pt>
                <c:pt idx="343">
                  <c:v>8.4811020179794312</c:v>
                </c:pt>
                <c:pt idx="344">
                  <c:v>7.5683790035825176</c:v>
                </c:pt>
                <c:pt idx="345">
                  <c:v>7.5683790035825176</c:v>
                </c:pt>
                <c:pt idx="346">
                  <c:v>7.5683790035825176</c:v>
                </c:pt>
                <c:pt idx="347">
                  <c:v>7.6108320158167029</c:v>
                </c:pt>
                <c:pt idx="348">
                  <c:v>7.6108320158167029</c:v>
                </c:pt>
                <c:pt idx="349">
                  <c:v>7.6108320158167029</c:v>
                </c:pt>
                <c:pt idx="350">
                  <c:v>7.6108320158167029</c:v>
                </c:pt>
                <c:pt idx="351">
                  <c:v>7.2816314161651494</c:v>
                </c:pt>
                <c:pt idx="352">
                  <c:v>7.2246308461594504</c:v>
                </c:pt>
                <c:pt idx="353">
                  <c:v>7.2246308461594504</c:v>
                </c:pt>
                <c:pt idx="354">
                  <c:v>7.2246308461594504</c:v>
                </c:pt>
                <c:pt idx="355">
                  <c:v>6.0911545876236408</c:v>
                </c:pt>
                <c:pt idx="356">
                  <c:v>5.233917528606165</c:v>
                </c:pt>
                <c:pt idx="357">
                  <c:v>5.233917528606165</c:v>
                </c:pt>
                <c:pt idx="358">
                  <c:v>5.233917528606165</c:v>
                </c:pt>
                <c:pt idx="359">
                  <c:v>5.233917528606165</c:v>
                </c:pt>
                <c:pt idx="360">
                  <c:v>3.3670572843062914</c:v>
                </c:pt>
                <c:pt idx="361">
                  <c:v>3.3670572843062914</c:v>
                </c:pt>
                <c:pt idx="362">
                  <c:v>5.1741585031722162</c:v>
                </c:pt>
                <c:pt idx="363">
                  <c:v>5.1741585031722162</c:v>
                </c:pt>
                <c:pt idx="364">
                  <c:v>4.8905071364883579</c:v>
                </c:pt>
                <c:pt idx="365">
                  <c:v>4.8905071364883579</c:v>
                </c:pt>
                <c:pt idx="366">
                  <c:v>4.8905071364883579</c:v>
                </c:pt>
                <c:pt idx="367">
                  <c:v>4.8905071364883579</c:v>
                </c:pt>
                <c:pt idx="368">
                  <c:v>8.2735642267277711</c:v>
                </c:pt>
                <c:pt idx="369">
                  <c:v>8.6545227862214613</c:v>
                </c:pt>
                <c:pt idx="370">
                  <c:v>8.6545227862214613</c:v>
                </c:pt>
                <c:pt idx="371">
                  <c:v>9.5743358564684762</c:v>
                </c:pt>
                <c:pt idx="372">
                  <c:v>8.8232097711395863</c:v>
                </c:pt>
                <c:pt idx="373">
                  <c:v>9.7356075585373762</c:v>
                </c:pt>
                <c:pt idx="374">
                  <c:v>12.320316507277603</c:v>
                </c:pt>
                <c:pt idx="375">
                  <c:v>10.246174350414858</c:v>
                </c:pt>
                <c:pt idx="376">
                  <c:v>9.1701255050515389</c:v>
                </c:pt>
                <c:pt idx="377">
                  <c:v>11.593825165307129</c:v>
                </c:pt>
                <c:pt idx="378">
                  <c:v>9.2891310456663891</c:v>
                </c:pt>
                <c:pt idx="379">
                  <c:v>8.8841155108239569</c:v>
                </c:pt>
                <c:pt idx="380">
                  <c:v>8.1500551081393979</c:v>
                </c:pt>
                <c:pt idx="381">
                  <c:v>9.3382859644200451</c:v>
                </c:pt>
                <c:pt idx="382">
                  <c:v>9.3382859644200451</c:v>
                </c:pt>
                <c:pt idx="383">
                  <c:v>11.811238050973367</c:v>
                </c:pt>
                <c:pt idx="384">
                  <c:v>11.6425619384444</c:v>
                </c:pt>
                <c:pt idx="385">
                  <c:v>11.6425619384444</c:v>
                </c:pt>
                <c:pt idx="386">
                  <c:v>9.0709367437615072</c:v>
                </c:pt>
                <c:pt idx="387">
                  <c:v>9.0709367437615072</c:v>
                </c:pt>
                <c:pt idx="388">
                  <c:v>9.0709367437615072</c:v>
                </c:pt>
                <c:pt idx="389">
                  <c:v>9.0709367437615072</c:v>
                </c:pt>
                <c:pt idx="390">
                  <c:v>10.903207146884704</c:v>
                </c:pt>
                <c:pt idx="391">
                  <c:v>10.903207146884704</c:v>
                </c:pt>
                <c:pt idx="392">
                  <c:v>10.903207146884704</c:v>
                </c:pt>
                <c:pt idx="393">
                  <c:v>10.137779460442006</c:v>
                </c:pt>
                <c:pt idx="394">
                  <c:v>11.474196833867859</c:v>
                </c:pt>
                <c:pt idx="395">
                  <c:v>9.456652974218736</c:v>
                </c:pt>
                <c:pt idx="396">
                  <c:v>9.456652974218736</c:v>
                </c:pt>
                <c:pt idx="397">
                  <c:v>10.851037749044439</c:v>
                </c:pt>
                <c:pt idx="398">
                  <c:v>10.851037749044439</c:v>
                </c:pt>
                <c:pt idx="399">
                  <c:v>10.851037749044439</c:v>
                </c:pt>
                <c:pt idx="400">
                  <c:v>10.851037749044439</c:v>
                </c:pt>
                <c:pt idx="401">
                  <c:v>9.4543675062661965</c:v>
                </c:pt>
                <c:pt idx="402">
                  <c:v>6.5623689415012159</c:v>
                </c:pt>
                <c:pt idx="403">
                  <c:v>6.5623689415012159</c:v>
                </c:pt>
                <c:pt idx="404">
                  <c:v>8.7147056666713745</c:v>
                </c:pt>
                <c:pt idx="405">
                  <c:v>8.7147056666713745</c:v>
                </c:pt>
                <c:pt idx="406">
                  <c:v>6.4711819945762716</c:v>
                </c:pt>
                <c:pt idx="407">
                  <c:v>6.4711819945762716</c:v>
                </c:pt>
                <c:pt idx="408">
                  <c:v>6.4711819945762716</c:v>
                </c:pt>
                <c:pt idx="409">
                  <c:v>6.4711819945762716</c:v>
                </c:pt>
                <c:pt idx="410">
                  <c:v>7.2630094772694047</c:v>
                </c:pt>
                <c:pt idx="411">
                  <c:v>7.2630094772694047</c:v>
                </c:pt>
                <c:pt idx="412">
                  <c:v>7.2630094772694047</c:v>
                </c:pt>
                <c:pt idx="413">
                  <c:v>7.3165622463394149</c:v>
                </c:pt>
                <c:pt idx="414">
                  <c:v>8.0306498780643203</c:v>
                </c:pt>
                <c:pt idx="415">
                  <c:v>8.0306498780643203</c:v>
                </c:pt>
                <c:pt idx="416">
                  <c:v>8.0306498780643203</c:v>
                </c:pt>
                <c:pt idx="417">
                  <c:v>8.0306498780643203</c:v>
                </c:pt>
                <c:pt idx="418">
                  <c:v>9.9627466694511693</c:v>
                </c:pt>
              </c:numCache>
            </c:numRef>
          </c:val>
          <c:smooth val="1"/>
          <c:extLst xmlns:c15="http://schemas.microsoft.com/office/drawing/2012/chart">
            <c:ext xmlns:c16="http://schemas.microsoft.com/office/drawing/2014/chart" uri="{C3380CC4-5D6E-409C-BE32-E72D297353CC}">
              <c16:uniqueId val="{00000002-B4C0-4FB1-A775-5F368678E3F3}"/>
            </c:ext>
          </c:extLst>
        </c:ser>
        <c:ser>
          <c:idx val="4"/>
          <c:order val="1"/>
          <c:tx>
            <c:v>SW (MOC)</c:v>
          </c:tx>
          <c:spPr>
            <a:ln w="19050" cap="rnd">
              <a:solidFill>
                <a:srgbClr val="00B0F0"/>
              </a:solidFill>
              <a:prstDash val="sysDash"/>
              <a:round/>
            </a:ln>
            <a:effectLst/>
          </c:spPr>
          <c:marker>
            <c:symbol val="none"/>
          </c:marker>
          <c:val>
            <c:numRef>
              <c:f>'2025-Q2'!$AP$4:$AP$422</c:f>
              <c:numCache>
                <c:formatCode>0.0</c:formatCode>
                <c:ptCount val="419"/>
                <c:pt idx="0">
                  <c:v>0</c:v>
                </c:pt>
                <c:pt idx="1">
                  <c:v>0</c:v>
                </c:pt>
                <c:pt idx="2">
                  <c:v>0.66707762758134548</c:v>
                </c:pt>
                <c:pt idx="3">
                  <c:v>0.50862413368180781</c:v>
                </c:pt>
                <c:pt idx="4">
                  <c:v>0.89677166079391268</c:v>
                </c:pt>
                <c:pt idx="5">
                  <c:v>1.1273768907464885</c:v>
                </c:pt>
                <c:pt idx="6">
                  <c:v>1.3681975575382583</c:v>
                </c:pt>
                <c:pt idx="7">
                  <c:v>2.4347410769119628</c:v>
                </c:pt>
                <c:pt idx="8">
                  <c:v>2.7563170011899345</c:v>
                </c:pt>
                <c:pt idx="9">
                  <c:v>2.7563170011899345</c:v>
                </c:pt>
                <c:pt idx="10">
                  <c:v>3.0489459160902825</c:v>
                </c:pt>
                <c:pt idx="11">
                  <c:v>3.6488913755939625</c:v>
                </c:pt>
                <c:pt idx="12">
                  <c:v>3.6488913755939625</c:v>
                </c:pt>
                <c:pt idx="13">
                  <c:v>3.5689915742637415</c:v>
                </c:pt>
                <c:pt idx="14">
                  <c:v>3.5689915742637415</c:v>
                </c:pt>
                <c:pt idx="15">
                  <c:v>3.5665040120746858</c:v>
                </c:pt>
                <c:pt idx="16">
                  <c:v>3.5665040120746858</c:v>
                </c:pt>
                <c:pt idx="17">
                  <c:v>3.5665040120746858</c:v>
                </c:pt>
                <c:pt idx="18">
                  <c:v>3.2710284811420904</c:v>
                </c:pt>
                <c:pt idx="19">
                  <c:v>3.7305436134507568</c:v>
                </c:pt>
                <c:pt idx="20">
                  <c:v>3.9187996416491053</c:v>
                </c:pt>
                <c:pt idx="21">
                  <c:v>3.8596444740226765</c:v>
                </c:pt>
                <c:pt idx="22">
                  <c:v>3.8596444740226765</c:v>
                </c:pt>
                <c:pt idx="23">
                  <c:v>3.9524088525013421</c:v>
                </c:pt>
                <c:pt idx="24">
                  <c:v>4.2935700564027215</c:v>
                </c:pt>
                <c:pt idx="25">
                  <c:v>0.56362566513602852</c:v>
                </c:pt>
                <c:pt idx="26">
                  <c:v>0.56362566513602852</c:v>
                </c:pt>
                <c:pt idx="27">
                  <c:v>0.56362566513602852</c:v>
                </c:pt>
                <c:pt idx="28">
                  <c:v>0.56362566513602852</c:v>
                </c:pt>
                <c:pt idx="29">
                  <c:v>0.66270096236192022</c:v>
                </c:pt>
                <c:pt idx="30">
                  <c:v>0.66270096236192022</c:v>
                </c:pt>
                <c:pt idx="31">
                  <c:v>0.66270096236192022</c:v>
                </c:pt>
                <c:pt idx="32">
                  <c:v>0.66270096236192022</c:v>
                </c:pt>
                <c:pt idx="33">
                  <c:v>0.55660680874285817</c:v>
                </c:pt>
                <c:pt idx="34">
                  <c:v>-0.25395864171538163</c:v>
                </c:pt>
                <c:pt idx="35">
                  <c:v>-1.587291975048716</c:v>
                </c:pt>
                <c:pt idx="36">
                  <c:v>-1.587291975048716</c:v>
                </c:pt>
                <c:pt idx="37">
                  <c:v>-1.8721479932795013</c:v>
                </c:pt>
                <c:pt idx="38">
                  <c:v>-1.6172740428360413</c:v>
                </c:pt>
                <c:pt idx="39">
                  <c:v>-1.6172740428360413</c:v>
                </c:pt>
                <c:pt idx="40">
                  <c:v>-1.6172740428360413</c:v>
                </c:pt>
                <c:pt idx="41">
                  <c:v>-1.6172740428360413</c:v>
                </c:pt>
                <c:pt idx="42">
                  <c:v>-1.6172740428360413</c:v>
                </c:pt>
                <c:pt idx="43">
                  <c:v>-0.60521909470035373</c:v>
                </c:pt>
                <c:pt idx="44">
                  <c:v>-0.50427958076293622</c:v>
                </c:pt>
                <c:pt idx="45">
                  <c:v>-0.36791495265654994</c:v>
                </c:pt>
                <c:pt idx="46">
                  <c:v>-0.36791495265654994</c:v>
                </c:pt>
                <c:pt idx="47">
                  <c:v>-0.36791495265654994</c:v>
                </c:pt>
                <c:pt idx="48">
                  <c:v>-0.36791495265654994</c:v>
                </c:pt>
                <c:pt idx="49">
                  <c:v>-2.0026014945743027</c:v>
                </c:pt>
                <c:pt idx="50">
                  <c:v>-2.2584259632923227</c:v>
                </c:pt>
                <c:pt idx="51">
                  <c:v>-0.90489541632851256</c:v>
                </c:pt>
                <c:pt idx="52">
                  <c:v>-0.90489541632851256</c:v>
                </c:pt>
                <c:pt idx="53">
                  <c:v>-0.18933191006733252</c:v>
                </c:pt>
                <c:pt idx="54">
                  <c:v>0.13060514692950631</c:v>
                </c:pt>
                <c:pt idx="55">
                  <c:v>0.13060514692950631</c:v>
                </c:pt>
                <c:pt idx="56">
                  <c:v>-0.94690614955989283</c:v>
                </c:pt>
                <c:pt idx="57">
                  <c:v>-0.94690614955989283</c:v>
                </c:pt>
                <c:pt idx="58">
                  <c:v>-0.33390184090340891</c:v>
                </c:pt>
                <c:pt idx="59">
                  <c:v>0.55556601919100135</c:v>
                </c:pt>
                <c:pt idx="60">
                  <c:v>0.61733254173578311</c:v>
                </c:pt>
                <c:pt idx="61">
                  <c:v>1.1294925073873294</c:v>
                </c:pt>
                <c:pt idx="62">
                  <c:v>2.4983138001629963</c:v>
                </c:pt>
                <c:pt idx="63">
                  <c:v>2.8242785809797835</c:v>
                </c:pt>
                <c:pt idx="64">
                  <c:v>2.9664645354802777</c:v>
                </c:pt>
                <c:pt idx="65">
                  <c:v>3.9765966217876039</c:v>
                </c:pt>
                <c:pt idx="66">
                  <c:v>3.9765966217876039</c:v>
                </c:pt>
                <c:pt idx="67">
                  <c:v>3.9765966217876039</c:v>
                </c:pt>
                <c:pt idx="68">
                  <c:v>3.9765966217876039</c:v>
                </c:pt>
                <c:pt idx="69">
                  <c:v>3.9765966217876039</c:v>
                </c:pt>
                <c:pt idx="70">
                  <c:v>3.9765966217876039</c:v>
                </c:pt>
                <c:pt idx="71">
                  <c:v>3.9765966217876039</c:v>
                </c:pt>
                <c:pt idx="72">
                  <c:v>4.9673201119288874</c:v>
                </c:pt>
                <c:pt idx="73">
                  <c:v>4.4172230716571743</c:v>
                </c:pt>
                <c:pt idx="74">
                  <c:v>5.0958132873331348</c:v>
                </c:pt>
                <c:pt idx="75">
                  <c:v>3.9757189636006087</c:v>
                </c:pt>
                <c:pt idx="76">
                  <c:v>5.0689383742699041</c:v>
                </c:pt>
                <c:pt idx="77">
                  <c:v>5.8869285621185066</c:v>
                </c:pt>
                <c:pt idx="78">
                  <c:v>4.7904373340483328</c:v>
                </c:pt>
                <c:pt idx="79">
                  <c:v>4.7904373340483328</c:v>
                </c:pt>
                <c:pt idx="80">
                  <c:v>5.0570493110786856</c:v>
                </c:pt>
                <c:pt idx="81">
                  <c:v>5.0570493110786856</c:v>
                </c:pt>
                <c:pt idx="82">
                  <c:v>5.0570493110786856</c:v>
                </c:pt>
                <c:pt idx="83">
                  <c:v>5.670946907734904</c:v>
                </c:pt>
                <c:pt idx="84">
                  <c:v>2.5848114862701421</c:v>
                </c:pt>
                <c:pt idx="85">
                  <c:v>2.5848114862701421</c:v>
                </c:pt>
                <c:pt idx="86">
                  <c:v>1.9613073932674672</c:v>
                </c:pt>
                <c:pt idx="87">
                  <c:v>1.9613073932674672</c:v>
                </c:pt>
                <c:pt idx="88">
                  <c:v>1.9613073932674672</c:v>
                </c:pt>
                <c:pt idx="89">
                  <c:v>2.2424865315894604</c:v>
                </c:pt>
                <c:pt idx="90">
                  <c:v>2.2424865315894604</c:v>
                </c:pt>
                <c:pt idx="91">
                  <c:v>2.2424865315894604</c:v>
                </c:pt>
                <c:pt idx="92">
                  <c:v>2.2424865315894604</c:v>
                </c:pt>
                <c:pt idx="93">
                  <c:v>1.6804672060126493</c:v>
                </c:pt>
                <c:pt idx="94">
                  <c:v>2.018108724898533</c:v>
                </c:pt>
                <c:pt idx="95">
                  <c:v>2.018108724898533</c:v>
                </c:pt>
                <c:pt idx="96">
                  <c:v>2.018108724898533</c:v>
                </c:pt>
                <c:pt idx="97">
                  <c:v>2.018108724898533</c:v>
                </c:pt>
                <c:pt idx="98">
                  <c:v>2.018108724898533</c:v>
                </c:pt>
                <c:pt idx="99">
                  <c:v>9.1532255241121518E-2</c:v>
                </c:pt>
                <c:pt idx="100">
                  <c:v>9.1532255241121518E-2</c:v>
                </c:pt>
                <c:pt idx="101">
                  <c:v>-0.25420990635781759</c:v>
                </c:pt>
                <c:pt idx="102">
                  <c:v>-0.2572919028751609</c:v>
                </c:pt>
                <c:pt idx="103">
                  <c:v>-0.2572919028751609</c:v>
                </c:pt>
                <c:pt idx="104">
                  <c:v>-0.32438348288186863</c:v>
                </c:pt>
                <c:pt idx="105">
                  <c:v>-0.32438348288186863</c:v>
                </c:pt>
                <c:pt idx="106">
                  <c:v>-0.32438348288186863</c:v>
                </c:pt>
                <c:pt idx="107">
                  <c:v>-1.4411819938171866</c:v>
                </c:pt>
                <c:pt idx="108">
                  <c:v>-1.1955223253545211</c:v>
                </c:pt>
                <c:pt idx="109">
                  <c:v>-1.6634136740748862</c:v>
                </c:pt>
                <c:pt idx="110">
                  <c:v>-1.6634136740748862</c:v>
                </c:pt>
                <c:pt idx="111">
                  <c:v>-1.6634136740748862</c:v>
                </c:pt>
                <c:pt idx="112">
                  <c:v>-2.3219571652829161</c:v>
                </c:pt>
                <c:pt idx="113">
                  <c:v>-1.7961860651369206</c:v>
                </c:pt>
                <c:pt idx="114">
                  <c:v>-1.5786384204048114</c:v>
                </c:pt>
                <c:pt idx="115">
                  <c:v>0.32595307652855454</c:v>
                </c:pt>
                <c:pt idx="116">
                  <c:v>0.32595307652855454</c:v>
                </c:pt>
                <c:pt idx="117">
                  <c:v>0.32595307652855454</c:v>
                </c:pt>
                <c:pt idx="118">
                  <c:v>0.81416484758421959</c:v>
                </c:pt>
                <c:pt idx="119">
                  <c:v>0.71488391145174113</c:v>
                </c:pt>
                <c:pt idx="120">
                  <c:v>0.71488391145174113</c:v>
                </c:pt>
                <c:pt idx="121">
                  <c:v>0.71488391145174113</c:v>
                </c:pt>
                <c:pt idx="122">
                  <c:v>-0.28470986756404482</c:v>
                </c:pt>
                <c:pt idx="123">
                  <c:v>-0.4324695788352792</c:v>
                </c:pt>
                <c:pt idx="124">
                  <c:v>-0.4324695788352792</c:v>
                </c:pt>
                <c:pt idx="125">
                  <c:v>0.52877724228415435</c:v>
                </c:pt>
                <c:pt idx="126">
                  <c:v>0.54958071877622805</c:v>
                </c:pt>
                <c:pt idx="127">
                  <c:v>0.54958071877622805</c:v>
                </c:pt>
                <c:pt idx="128">
                  <c:v>0.91134365499764725</c:v>
                </c:pt>
                <c:pt idx="129">
                  <c:v>0.91134365499764725</c:v>
                </c:pt>
                <c:pt idx="130">
                  <c:v>1.6967675806654747</c:v>
                </c:pt>
                <c:pt idx="131">
                  <c:v>1.6967675806654747</c:v>
                </c:pt>
                <c:pt idx="132">
                  <c:v>1.5909250743149224</c:v>
                </c:pt>
                <c:pt idx="133">
                  <c:v>1.5909250743149224</c:v>
                </c:pt>
                <c:pt idx="134">
                  <c:v>1.5909250743149224</c:v>
                </c:pt>
                <c:pt idx="135">
                  <c:v>1.5909250743149224</c:v>
                </c:pt>
                <c:pt idx="136">
                  <c:v>1.5909250743149224</c:v>
                </c:pt>
                <c:pt idx="137">
                  <c:v>1.5909250743149224</c:v>
                </c:pt>
                <c:pt idx="138">
                  <c:v>1.5909250743149224</c:v>
                </c:pt>
                <c:pt idx="139">
                  <c:v>1.5909250743149224</c:v>
                </c:pt>
                <c:pt idx="140">
                  <c:v>1.7209338963421281</c:v>
                </c:pt>
                <c:pt idx="141">
                  <c:v>1.7209338963421281</c:v>
                </c:pt>
                <c:pt idx="142">
                  <c:v>1.7209338963421281</c:v>
                </c:pt>
                <c:pt idx="143">
                  <c:v>1.7209338963421281</c:v>
                </c:pt>
                <c:pt idx="144">
                  <c:v>1.7209338963421281</c:v>
                </c:pt>
                <c:pt idx="145">
                  <c:v>1.7209338963421281</c:v>
                </c:pt>
                <c:pt idx="146">
                  <c:v>1.7209338963421281</c:v>
                </c:pt>
                <c:pt idx="147">
                  <c:v>1.7209338963421281</c:v>
                </c:pt>
                <c:pt idx="148">
                  <c:v>1.8093177347259666</c:v>
                </c:pt>
                <c:pt idx="149">
                  <c:v>2.6200938320833185</c:v>
                </c:pt>
                <c:pt idx="150">
                  <c:v>3.1231911930601521</c:v>
                </c:pt>
                <c:pt idx="151">
                  <c:v>5.0492532845634228</c:v>
                </c:pt>
                <c:pt idx="152">
                  <c:v>5.0492532845634228</c:v>
                </c:pt>
                <c:pt idx="153">
                  <c:v>4.1064129781403231</c:v>
                </c:pt>
                <c:pt idx="154">
                  <c:v>4.3006426962632256</c:v>
                </c:pt>
                <c:pt idx="155">
                  <c:v>3.9921677530875579</c:v>
                </c:pt>
                <c:pt idx="156">
                  <c:v>3.9921677530875579</c:v>
                </c:pt>
                <c:pt idx="157">
                  <c:v>4.4919353030643112</c:v>
                </c:pt>
                <c:pt idx="158">
                  <c:v>3.9381660997774235</c:v>
                </c:pt>
                <c:pt idx="159">
                  <c:v>2.3991716421368858</c:v>
                </c:pt>
                <c:pt idx="160">
                  <c:v>3.0287730638175123</c:v>
                </c:pt>
                <c:pt idx="161">
                  <c:v>3.5770669885250079</c:v>
                </c:pt>
                <c:pt idx="162">
                  <c:v>3.5770669885250079</c:v>
                </c:pt>
                <c:pt idx="163">
                  <c:v>3.5770669885250079</c:v>
                </c:pt>
                <c:pt idx="164">
                  <c:v>3.6784549737776651</c:v>
                </c:pt>
                <c:pt idx="165">
                  <c:v>5.0869920191979174</c:v>
                </c:pt>
                <c:pt idx="166">
                  <c:v>4.9601392098218398</c:v>
                </c:pt>
                <c:pt idx="167">
                  <c:v>5.2323101534604799</c:v>
                </c:pt>
                <c:pt idx="168">
                  <c:v>5.2323101534604799</c:v>
                </c:pt>
                <c:pt idx="169">
                  <c:v>5.5426448635514358</c:v>
                </c:pt>
                <c:pt idx="170">
                  <c:v>5.5426448635514358</c:v>
                </c:pt>
                <c:pt idx="171">
                  <c:v>4.1356548259881496</c:v>
                </c:pt>
                <c:pt idx="172">
                  <c:v>4.1356548259881496</c:v>
                </c:pt>
                <c:pt idx="173">
                  <c:v>5.2891090750201446</c:v>
                </c:pt>
                <c:pt idx="174">
                  <c:v>5.2891090750201446</c:v>
                </c:pt>
                <c:pt idx="175">
                  <c:v>6.5600024953847971</c:v>
                </c:pt>
                <c:pt idx="176">
                  <c:v>6.5600024953847971</c:v>
                </c:pt>
                <c:pt idx="177">
                  <c:v>7.2646169459008885</c:v>
                </c:pt>
                <c:pt idx="178">
                  <c:v>7.2646169459008885</c:v>
                </c:pt>
                <c:pt idx="179">
                  <c:v>7.2646169459008885</c:v>
                </c:pt>
                <c:pt idx="180">
                  <c:v>6.4733029966922002</c:v>
                </c:pt>
                <c:pt idx="181">
                  <c:v>6.3766919443878187</c:v>
                </c:pt>
                <c:pt idx="182">
                  <c:v>6.7527510264411932</c:v>
                </c:pt>
                <c:pt idx="183">
                  <c:v>6.9000913718843977</c:v>
                </c:pt>
                <c:pt idx="184">
                  <c:v>6.9000913718843977</c:v>
                </c:pt>
                <c:pt idx="185">
                  <c:v>6.9000913718843977</c:v>
                </c:pt>
                <c:pt idx="186">
                  <c:v>6.9000913718843977</c:v>
                </c:pt>
                <c:pt idx="187">
                  <c:v>6.7802752529485613</c:v>
                </c:pt>
                <c:pt idx="188">
                  <c:v>6.7802752529485613</c:v>
                </c:pt>
                <c:pt idx="189">
                  <c:v>6.7802752529485613</c:v>
                </c:pt>
                <c:pt idx="190">
                  <c:v>5.9352335099227007</c:v>
                </c:pt>
                <c:pt idx="191">
                  <c:v>5.9352335099227007</c:v>
                </c:pt>
                <c:pt idx="192">
                  <c:v>5.3095427121787901</c:v>
                </c:pt>
                <c:pt idx="193">
                  <c:v>5.3095427121787901</c:v>
                </c:pt>
                <c:pt idx="194">
                  <c:v>5.3095427121787901</c:v>
                </c:pt>
                <c:pt idx="195">
                  <c:v>4.3889707276715697</c:v>
                </c:pt>
                <c:pt idx="196">
                  <c:v>4.3454840048066785</c:v>
                </c:pt>
                <c:pt idx="197">
                  <c:v>4.3454840048066785</c:v>
                </c:pt>
                <c:pt idx="198">
                  <c:v>4.3454840048066785</c:v>
                </c:pt>
                <c:pt idx="199">
                  <c:v>4.3454840048066785</c:v>
                </c:pt>
                <c:pt idx="200">
                  <c:v>4.3454840048066785</c:v>
                </c:pt>
                <c:pt idx="201">
                  <c:v>4.3454840048066785</c:v>
                </c:pt>
                <c:pt idx="202">
                  <c:v>4.4848641213791414</c:v>
                </c:pt>
                <c:pt idx="203">
                  <c:v>4.4848641213791414</c:v>
                </c:pt>
                <c:pt idx="204">
                  <c:v>4.9586790146568944</c:v>
                </c:pt>
                <c:pt idx="205">
                  <c:v>3.7909721493458406</c:v>
                </c:pt>
                <c:pt idx="206">
                  <c:v>5.2829402528937441</c:v>
                </c:pt>
                <c:pt idx="207">
                  <c:v>5.2829402528937441</c:v>
                </c:pt>
                <c:pt idx="208">
                  <c:v>5.0549259430301587</c:v>
                </c:pt>
                <c:pt idx="209">
                  <c:v>5.0549259430301587</c:v>
                </c:pt>
                <c:pt idx="210">
                  <c:v>3.1109913526747439</c:v>
                </c:pt>
                <c:pt idx="211">
                  <c:v>2.9205067569212999</c:v>
                </c:pt>
                <c:pt idx="212">
                  <c:v>3.2052798314782653</c:v>
                </c:pt>
                <c:pt idx="213">
                  <c:v>3.2052798314782653</c:v>
                </c:pt>
                <c:pt idx="214">
                  <c:v>3.2052798314782653</c:v>
                </c:pt>
                <c:pt idx="215">
                  <c:v>3.2052798314782653</c:v>
                </c:pt>
                <c:pt idx="216">
                  <c:v>3.8898348707027717</c:v>
                </c:pt>
                <c:pt idx="217">
                  <c:v>3.8898348707027717</c:v>
                </c:pt>
                <c:pt idx="218">
                  <c:v>3.8898348707027717</c:v>
                </c:pt>
                <c:pt idx="219">
                  <c:v>5.5548501883881505</c:v>
                </c:pt>
                <c:pt idx="220">
                  <c:v>5.5548501883881505</c:v>
                </c:pt>
                <c:pt idx="221">
                  <c:v>5.3479097235680273</c:v>
                </c:pt>
                <c:pt idx="222">
                  <c:v>5.3479097235680273</c:v>
                </c:pt>
                <c:pt idx="223">
                  <c:v>5.3479097235680273</c:v>
                </c:pt>
                <c:pt idx="224">
                  <c:v>6.3247005529260489</c:v>
                </c:pt>
                <c:pt idx="225">
                  <c:v>6.3247005529260489</c:v>
                </c:pt>
                <c:pt idx="226">
                  <c:v>4.8266140873623922</c:v>
                </c:pt>
                <c:pt idx="227">
                  <c:v>4.8266140873623922</c:v>
                </c:pt>
                <c:pt idx="228">
                  <c:v>5.0151218014723957</c:v>
                </c:pt>
                <c:pt idx="229">
                  <c:v>5.5965171503096052</c:v>
                </c:pt>
                <c:pt idx="230">
                  <c:v>5.5965171503096052</c:v>
                </c:pt>
                <c:pt idx="231">
                  <c:v>4.9746032806927563</c:v>
                </c:pt>
                <c:pt idx="232">
                  <c:v>5.6798041370080821</c:v>
                </c:pt>
                <c:pt idx="233">
                  <c:v>5.5294529259760647</c:v>
                </c:pt>
                <c:pt idx="234">
                  <c:v>5.5294529259760647</c:v>
                </c:pt>
                <c:pt idx="235">
                  <c:v>5.5294529259760647</c:v>
                </c:pt>
                <c:pt idx="236">
                  <c:v>5.5294529259760647</c:v>
                </c:pt>
                <c:pt idx="237">
                  <c:v>5.6431737850059411</c:v>
                </c:pt>
                <c:pt idx="238">
                  <c:v>4.2490863101324408</c:v>
                </c:pt>
                <c:pt idx="239">
                  <c:v>4.5574462918592573</c:v>
                </c:pt>
                <c:pt idx="240">
                  <c:v>4.5574462918592573</c:v>
                </c:pt>
                <c:pt idx="241">
                  <c:v>4.5574462918592573</c:v>
                </c:pt>
                <c:pt idx="242">
                  <c:v>4.5381683388273624</c:v>
                </c:pt>
                <c:pt idx="243">
                  <c:v>4.5381683388273624</c:v>
                </c:pt>
                <c:pt idx="244">
                  <c:v>3.2956447331559287</c:v>
                </c:pt>
                <c:pt idx="245">
                  <c:v>3.2956447331559287</c:v>
                </c:pt>
                <c:pt idx="246">
                  <c:v>3.2956447331559287</c:v>
                </c:pt>
                <c:pt idx="247">
                  <c:v>3.2956447331559287</c:v>
                </c:pt>
                <c:pt idx="248">
                  <c:v>3.2956447331559287</c:v>
                </c:pt>
                <c:pt idx="249">
                  <c:v>3.2956447331559287</c:v>
                </c:pt>
                <c:pt idx="250">
                  <c:v>3.2956447331559287</c:v>
                </c:pt>
                <c:pt idx="251">
                  <c:v>2.0043139221672783</c:v>
                </c:pt>
                <c:pt idx="252">
                  <c:v>2.1404931228787447</c:v>
                </c:pt>
                <c:pt idx="253">
                  <c:v>2.1404931228787447</c:v>
                </c:pt>
                <c:pt idx="254">
                  <c:v>2.1404931228787447</c:v>
                </c:pt>
                <c:pt idx="255">
                  <c:v>2.1404931228787447</c:v>
                </c:pt>
                <c:pt idx="256">
                  <c:v>2.5829709989849365</c:v>
                </c:pt>
                <c:pt idx="257">
                  <c:v>2.5829709989849365</c:v>
                </c:pt>
                <c:pt idx="258">
                  <c:v>2.5829709989849365</c:v>
                </c:pt>
                <c:pt idx="259">
                  <c:v>2.5829709989849365</c:v>
                </c:pt>
                <c:pt idx="260">
                  <c:v>2.5829709989849365</c:v>
                </c:pt>
                <c:pt idx="261">
                  <c:v>2.5829709989849365</c:v>
                </c:pt>
                <c:pt idx="262">
                  <c:v>2.5829709989849365</c:v>
                </c:pt>
                <c:pt idx="263">
                  <c:v>2.0658617037857532</c:v>
                </c:pt>
                <c:pt idx="264">
                  <c:v>2.0658617037857532</c:v>
                </c:pt>
                <c:pt idx="265">
                  <c:v>2.0658617037857532</c:v>
                </c:pt>
                <c:pt idx="266">
                  <c:v>2.3819803864672999</c:v>
                </c:pt>
                <c:pt idx="267">
                  <c:v>2.3819803864672999</c:v>
                </c:pt>
                <c:pt idx="268">
                  <c:v>2.3819803864672999</c:v>
                </c:pt>
                <c:pt idx="269">
                  <c:v>2.3819803864672999</c:v>
                </c:pt>
                <c:pt idx="270">
                  <c:v>2.3819803864672999</c:v>
                </c:pt>
                <c:pt idx="271">
                  <c:v>2.3819803864672999</c:v>
                </c:pt>
                <c:pt idx="272">
                  <c:v>2.3819803864672999</c:v>
                </c:pt>
                <c:pt idx="273">
                  <c:v>2.3819803864672999</c:v>
                </c:pt>
                <c:pt idx="274">
                  <c:v>2.3819803864672999</c:v>
                </c:pt>
                <c:pt idx="275">
                  <c:v>2.3819803864672999</c:v>
                </c:pt>
                <c:pt idx="276">
                  <c:v>2.3819803864672999</c:v>
                </c:pt>
                <c:pt idx="277">
                  <c:v>2.3819803864672999</c:v>
                </c:pt>
                <c:pt idx="278">
                  <c:v>2.3819803864672999</c:v>
                </c:pt>
                <c:pt idx="279">
                  <c:v>2.3819803864672999</c:v>
                </c:pt>
                <c:pt idx="280">
                  <c:v>2.3179491122449436</c:v>
                </c:pt>
                <c:pt idx="281">
                  <c:v>1.52473549541119</c:v>
                </c:pt>
                <c:pt idx="282">
                  <c:v>1.52473549541119</c:v>
                </c:pt>
                <c:pt idx="283">
                  <c:v>1.52473549541119</c:v>
                </c:pt>
                <c:pt idx="284">
                  <c:v>2.1322888615852449</c:v>
                </c:pt>
                <c:pt idx="285">
                  <c:v>2.1322888615852449</c:v>
                </c:pt>
                <c:pt idx="286">
                  <c:v>2.2520206623515295</c:v>
                </c:pt>
                <c:pt idx="287">
                  <c:v>2.2520206623515295</c:v>
                </c:pt>
                <c:pt idx="288">
                  <c:v>4.2358183307965032</c:v>
                </c:pt>
                <c:pt idx="289">
                  <c:v>4.2358183307965032</c:v>
                </c:pt>
                <c:pt idx="290">
                  <c:v>4.2358183307965032</c:v>
                </c:pt>
                <c:pt idx="291">
                  <c:v>4.2358183307965032</c:v>
                </c:pt>
                <c:pt idx="292">
                  <c:v>4.2358183307965032</c:v>
                </c:pt>
                <c:pt idx="293">
                  <c:v>4.1819327430066817</c:v>
                </c:pt>
                <c:pt idx="294">
                  <c:v>4.1819327430066817</c:v>
                </c:pt>
                <c:pt idx="295">
                  <c:v>4.1819327430066817</c:v>
                </c:pt>
                <c:pt idx="296">
                  <c:v>4.1819327430066817</c:v>
                </c:pt>
                <c:pt idx="297">
                  <c:v>4.1819327430066817</c:v>
                </c:pt>
                <c:pt idx="298">
                  <c:v>4.1819327430066817</c:v>
                </c:pt>
                <c:pt idx="299">
                  <c:v>3.6659852758397027</c:v>
                </c:pt>
                <c:pt idx="300">
                  <c:v>4.4503609338729708</c:v>
                </c:pt>
                <c:pt idx="301">
                  <c:v>6.8046086048266332</c:v>
                </c:pt>
                <c:pt idx="302">
                  <c:v>6.8046086048266332</c:v>
                </c:pt>
                <c:pt idx="303">
                  <c:v>7.972982484468119</c:v>
                </c:pt>
                <c:pt idx="304">
                  <c:v>7.972982484468119</c:v>
                </c:pt>
                <c:pt idx="305">
                  <c:v>9.4802491423885584</c:v>
                </c:pt>
                <c:pt idx="306">
                  <c:v>11.460191584006346</c:v>
                </c:pt>
                <c:pt idx="307">
                  <c:v>11.590319233033487</c:v>
                </c:pt>
                <c:pt idx="308">
                  <c:v>11.590319233033487</c:v>
                </c:pt>
                <c:pt idx="309">
                  <c:v>11.590319233033487</c:v>
                </c:pt>
                <c:pt idx="310">
                  <c:v>11.590319233033487</c:v>
                </c:pt>
                <c:pt idx="311">
                  <c:v>11.590319233033487</c:v>
                </c:pt>
                <c:pt idx="312">
                  <c:v>11.590319233033487</c:v>
                </c:pt>
                <c:pt idx="313">
                  <c:v>11.590319233033487</c:v>
                </c:pt>
                <c:pt idx="314">
                  <c:v>11.590319233033487</c:v>
                </c:pt>
                <c:pt idx="315">
                  <c:v>11.590319233033487</c:v>
                </c:pt>
                <c:pt idx="316">
                  <c:v>11.590319233033487</c:v>
                </c:pt>
                <c:pt idx="317">
                  <c:v>11.590319233033487</c:v>
                </c:pt>
                <c:pt idx="318">
                  <c:v>10.374270946152603</c:v>
                </c:pt>
                <c:pt idx="319">
                  <c:v>13.854815693234315</c:v>
                </c:pt>
                <c:pt idx="320">
                  <c:v>13.854815693234315</c:v>
                </c:pt>
                <c:pt idx="321">
                  <c:v>13.725703758800723</c:v>
                </c:pt>
                <c:pt idx="322">
                  <c:v>14.626199031200546</c:v>
                </c:pt>
                <c:pt idx="323">
                  <c:v>11.367492563538853</c:v>
                </c:pt>
                <c:pt idx="324">
                  <c:v>11.367492563538853</c:v>
                </c:pt>
                <c:pt idx="325">
                  <c:v>12.080962883173557</c:v>
                </c:pt>
                <c:pt idx="326">
                  <c:v>12.080962883173557</c:v>
                </c:pt>
                <c:pt idx="327">
                  <c:v>12.029034613423503</c:v>
                </c:pt>
                <c:pt idx="328">
                  <c:v>11.654709625696453</c:v>
                </c:pt>
                <c:pt idx="329">
                  <c:v>11.654709625696453</c:v>
                </c:pt>
                <c:pt idx="330">
                  <c:v>11.654709625696453</c:v>
                </c:pt>
                <c:pt idx="331">
                  <c:v>12.630834147527345</c:v>
                </c:pt>
                <c:pt idx="332">
                  <c:v>14.050614367307565</c:v>
                </c:pt>
                <c:pt idx="333">
                  <c:v>14.858250196969827</c:v>
                </c:pt>
                <c:pt idx="334">
                  <c:v>14.858250196969827</c:v>
                </c:pt>
                <c:pt idx="335">
                  <c:v>15.488735959113882</c:v>
                </c:pt>
                <c:pt idx="336">
                  <c:v>15.406116936083828</c:v>
                </c:pt>
                <c:pt idx="337">
                  <c:v>15.406116936083828</c:v>
                </c:pt>
                <c:pt idx="338">
                  <c:v>15.406116936083828</c:v>
                </c:pt>
                <c:pt idx="339">
                  <c:v>14.530580455397132</c:v>
                </c:pt>
                <c:pt idx="340">
                  <c:v>12.851082308833117</c:v>
                </c:pt>
                <c:pt idx="341">
                  <c:v>12.851082308833117</c:v>
                </c:pt>
                <c:pt idx="342">
                  <c:v>12.851082308833117</c:v>
                </c:pt>
                <c:pt idx="343">
                  <c:v>12.748722317970834</c:v>
                </c:pt>
                <c:pt idx="344">
                  <c:v>11.28423240958756</c:v>
                </c:pt>
                <c:pt idx="345">
                  <c:v>11.28423240958756</c:v>
                </c:pt>
                <c:pt idx="346">
                  <c:v>11.28423240958756</c:v>
                </c:pt>
                <c:pt idx="347">
                  <c:v>10.906014664228442</c:v>
                </c:pt>
                <c:pt idx="348">
                  <c:v>10.906014664228442</c:v>
                </c:pt>
                <c:pt idx="349">
                  <c:v>10.906014664228442</c:v>
                </c:pt>
                <c:pt idx="350">
                  <c:v>10.906014664228442</c:v>
                </c:pt>
                <c:pt idx="351">
                  <c:v>10.865497667348251</c:v>
                </c:pt>
                <c:pt idx="352">
                  <c:v>10.093739949771075</c:v>
                </c:pt>
                <c:pt idx="353">
                  <c:v>10.093739949771075</c:v>
                </c:pt>
                <c:pt idx="354">
                  <c:v>10.093739949771075</c:v>
                </c:pt>
                <c:pt idx="355">
                  <c:v>9.3463602451498264</c:v>
                </c:pt>
                <c:pt idx="356">
                  <c:v>7.4258195263895228</c:v>
                </c:pt>
                <c:pt idx="357">
                  <c:v>7.4258195263895228</c:v>
                </c:pt>
                <c:pt idx="358">
                  <c:v>7.4258195263895228</c:v>
                </c:pt>
                <c:pt idx="359">
                  <c:v>7.4258195263895228</c:v>
                </c:pt>
                <c:pt idx="360">
                  <c:v>5.3393466823910423</c:v>
                </c:pt>
                <c:pt idx="361">
                  <c:v>5.3591206936904774</c:v>
                </c:pt>
                <c:pt idx="362">
                  <c:v>8.2314047424451147</c:v>
                </c:pt>
                <c:pt idx="363">
                  <c:v>8.2314047424451147</c:v>
                </c:pt>
                <c:pt idx="364">
                  <c:v>7.4707033499747686</c:v>
                </c:pt>
                <c:pt idx="365">
                  <c:v>7.4707033499747686</c:v>
                </c:pt>
                <c:pt idx="366">
                  <c:v>7.4707033499747686</c:v>
                </c:pt>
                <c:pt idx="367">
                  <c:v>7.4707033499747686</c:v>
                </c:pt>
                <c:pt idx="368">
                  <c:v>11.400721766181032</c:v>
                </c:pt>
                <c:pt idx="369">
                  <c:v>11.13257307340591</c:v>
                </c:pt>
                <c:pt idx="370">
                  <c:v>11.13257307340591</c:v>
                </c:pt>
                <c:pt idx="371">
                  <c:v>11.674075929277137</c:v>
                </c:pt>
                <c:pt idx="372">
                  <c:v>11.124014945567641</c:v>
                </c:pt>
                <c:pt idx="373">
                  <c:v>11.484765306318003</c:v>
                </c:pt>
                <c:pt idx="374">
                  <c:v>14.945524066816125</c:v>
                </c:pt>
                <c:pt idx="375">
                  <c:v>13.566847596227889</c:v>
                </c:pt>
                <c:pt idx="376">
                  <c:v>13.113456228799524</c:v>
                </c:pt>
                <c:pt idx="377">
                  <c:v>16.279902559133443</c:v>
                </c:pt>
                <c:pt idx="378">
                  <c:v>14.348026605905178</c:v>
                </c:pt>
                <c:pt idx="379">
                  <c:v>14.536663978297543</c:v>
                </c:pt>
                <c:pt idx="380">
                  <c:v>13.324881726246835</c:v>
                </c:pt>
                <c:pt idx="381">
                  <c:v>12.571147984961225</c:v>
                </c:pt>
                <c:pt idx="382">
                  <c:v>12.571147984961225</c:v>
                </c:pt>
                <c:pt idx="383">
                  <c:v>13.047706459974105</c:v>
                </c:pt>
                <c:pt idx="384">
                  <c:v>12.701553742088571</c:v>
                </c:pt>
                <c:pt idx="385">
                  <c:v>12.701553742088571</c:v>
                </c:pt>
                <c:pt idx="386">
                  <c:v>10.680473659506806</c:v>
                </c:pt>
                <c:pt idx="387">
                  <c:v>10.680473659506806</c:v>
                </c:pt>
                <c:pt idx="388">
                  <c:v>10.680473659506806</c:v>
                </c:pt>
                <c:pt idx="389">
                  <c:v>10.680473659506806</c:v>
                </c:pt>
                <c:pt idx="390">
                  <c:v>12.643140705509158</c:v>
                </c:pt>
                <c:pt idx="391">
                  <c:v>12.643140705509158</c:v>
                </c:pt>
                <c:pt idx="392">
                  <c:v>12.643140705509158</c:v>
                </c:pt>
                <c:pt idx="393">
                  <c:v>12.343819761978063</c:v>
                </c:pt>
                <c:pt idx="394">
                  <c:v>13.83765168179302</c:v>
                </c:pt>
                <c:pt idx="395">
                  <c:v>10.425370980038632</c:v>
                </c:pt>
                <c:pt idx="396">
                  <c:v>10.425370980038632</c:v>
                </c:pt>
                <c:pt idx="397">
                  <c:v>10.566693761270967</c:v>
                </c:pt>
                <c:pt idx="398">
                  <c:v>10.566693761270967</c:v>
                </c:pt>
                <c:pt idx="399">
                  <c:v>10.566693761270967</c:v>
                </c:pt>
                <c:pt idx="400">
                  <c:v>10.566693761270967</c:v>
                </c:pt>
                <c:pt idx="401">
                  <c:v>8.4130799018518854</c:v>
                </c:pt>
                <c:pt idx="402">
                  <c:v>5.2519747708866884</c:v>
                </c:pt>
                <c:pt idx="403">
                  <c:v>5.2519747708866884</c:v>
                </c:pt>
                <c:pt idx="404">
                  <c:v>7.1835006421789984</c:v>
                </c:pt>
                <c:pt idx="405">
                  <c:v>7.1835006421789984</c:v>
                </c:pt>
                <c:pt idx="406">
                  <c:v>5.4175417333629472</c:v>
                </c:pt>
                <c:pt idx="407">
                  <c:v>5.4175417333629472</c:v>
                </c:pt>
                <c:pt idx="408">
                  <c:v>5.4175417333629472</c:v>
                </c:pt>
                <c:pt idx="409">
                  <c:v>5.4175417333629472</c:v>
                </c:pt>
                <c:pt idx="410">
                  <c:v>4.7727460462956213</c:v>
                </c:pt>
                <c:pt idx="411">
                  <c:v>4.7727460462956213</c:v>
                </c:pt>
                <c:pt idx="412">
                  <c:v>4.7727460462956213</c:v>
                </c:pt>
                <c:pt idx="413">
                  <c:v>5.9848672584168323</c:v>
                </c:pt>
                <c:pt idx="414">
                  <c:v>7.1357269367307552</c:v>
                </c:pt>
                <c:pt idx="415">
                  <c:v>7.1357269367307552</c:v>
                </c:pt>
                <c:pt idx="416">
                  <c:v>7.1357269367307552</c:v>
                </c:pt>
                <c:pt idx="417">
                  <c:v>7.1357269367307552</c:v>
                </c:pt>
                <c:pt idx="418">
                  <c:v>9.667439973720418</c:v>
                </c:pt>
              </c:numCache>
            </c:numRef>
          </c:val>
          <c:smooth val="1"/>
          <c:extLst xmlns:c15="http://schemas.microsoft.com/office/drawing/2012/chart">
            <c:ext xmlns:c16="http://schemas.microsoft.com/office/drawing/2014/chart" uri="{C3380CC4-5D6E-409C-BE32-E72D297353CC}">
              <c16:uniqueId val="{00000003-B4C0-4FB1-A775-5F368678E3F3}"/>
            </c:ext>
          </c:extLst>
        </c:ser>
        <c:ser>
          <c:idx val="0"/>
          <c:order val="2"/>
          <c:tx>
            <c:v>Gaps Up from SW Trend (Var.)</c:v>
          </c:tx>
          <c:spPr>
            <a:ln w="19050" cap="rnd">
              <a:solidFill>
                <a:schemeClr val="accent1">
                  <a:lumMod val="50000"/>
                </a:schemeClr>
              </a:solidFill>
              <a:prstDash val="sysDash"/>
              <a:round/>
            </a:ln>
            <a:effectLst/>
          </c:spPr>
          <c:marker>
            <c:symbol val="none"/>
          </c:marker>
          <c:val>
            <c:numRef>
              <c:f>'2025-Q2'!$HR$4:$HR$422</c:f>
              <c:numCache>
                <c:formatCode>0.00</c:formatCode>
                <c:ptCount val="419"/>
                <c:pt idx="0">
                  <c:v>0</c:v>
                </c:pt>
                <c:pt idx="1">
                  <c:v>0</c:v>
                </c:pt>
                <c:pt idx="2">
                  <c:v>0</c:v>
                </c:pt>
                <c:pt idx="3">
                  <c:v>0</c:v>
                </c:pt>
                <c:pt idx="4">
                  <c:v>0</c:v>
                </c:pt>
                <c:pt idx="5">
                  <c:v>0</c:v>
                </c:pt>
                <c:pt idx="6">
                  <c:v>0</c:v>
                </c:pt>
                <c:pt idx="7">
                  <c:v>0</c:v>
                </c:pt>
                <c:pt idx="8">
                  <c:v>-0.20292317234312157</c:v>
                </c:pt>
                <c:pt idx="9">
                  <c:v>-0.20292317234312157</c:v>
                </c:pt>
                <c:pt idx="10">
                  <c:v>-0.16601502091424913</c:v>
                </c:pt>
                <c:pt idx="11">
                  <c:v>-7.9659235076597334E-2</c:v>
                </c:pt>
                <c:pt idx="12">
                  <c:v>-7.9659235076597334E-2</c:v>
                </c:pt>
                <c:pt idx="13">
                  <c:v>-0.30424246043722181</c:v>
                </c:pt>
                <c:pt idx="14">
                  <c:v>-0.30424246043722181</c:v>
                </c:pt>
                <c:pt idx="15">
                  <c:v>-0.96220265944219874</c:v>
                </c:pt>
                <c:pt idx="16">
                  <c:v>-0.96220265944219874</c:v>
                </c:pt>
                <c:pt idx="17">
                  <c:v>-0.96220265944219874</c:v>
                </c:pt>
                <c:pt idx="18">
                  <c:v>-0.96220265944219874</c:v>
                </c:pt>
                <c:pt idx="19">
                  <c:v>-0.96154243655094951</c:v>
                </c:pt>
                <c:pt idx="20">
                  <c:v>-1.1825096185851836</c:v>
                </c:pt>
                <c:pt idx="21">
                  <c:v>-1.5356297518653972</c:v>
                </c:pt>
                <c:pt idx="22">
                  <c:v>-1.5356297518653972</c:v>
                </c:pt>
                <c:pt idx="23">
                  <c:v>-1.5356297518653972</c:v>
                </c:pt>
                <c:pt idx="24">
                  <c:v>-1.5356297518653972</c:v>
                </c:pt>
                <c:pt idx="25">
                  <c:v>-1.5356297518653972</c:v>
                </c:pt>
                <c:pt idx="26">
                  <c:v>-1.5356297518653972</c:v>
                </c:pt>
                <c:pt idx="27">
                  <c:v>-1.5356297518653972</c:v>
                </c:pt>
                <c:pt idx="28">
                  <c:v>-1.5356297518653972</c:v>
                </c:pt>
                <c:pt idx="29">
                  <c:v>-1.8691832525259011</c:v>
                </c:pt>
                <c:pt idx="30">
                  <c:v>-1.8691832525259011</c:v>
                </c:pt>
                <c:pt idx="31">
                  <c:v>-1.8691832525259011</c:v>
                </c:pt>
                <c:pt idx="32">
                  <c:v>-1.8691832525259011</c:v>
                </c:pt>
                <c:pt idx="33">
                  <c:v>-1.9772543158397295</c:v>
                </c:pt>
                <c:pt idx="34">
                  <c:v>-1.9772543158397295</c:v>
                </c:pt>
                <c:pt idx="35">
                  <c:v>-1.9772543158397295</c:v>
                </c:pt>
                <c:pt idx="36">
                  <c:v>-1.9772543158397295</c:v>
                </c:pt>
                <c:pt idx="37">
                  <c:v>-2.4640991469978002</c:v>
                </c:pt>
                <c:pt idx="38">
                  <c:v>-2.403977670784323</c:v>
                </c:pt>
                <c:pt idx="39">
                  <c:v>-2.403977670784323</c:v>
                </c:pt>
                <c:pt idx="40">
                  <c:v>-2.403977670784323</c:v>
                </c:pt>
                <c:pt idx="41">
                  <c:v>-2.403977670784323</c:v>
                </c:pt>
                <c:pt idx="42">
                  <c:v>-2.403977670784323</c:v>
                </c:pt>
                <c:pt idx="43">
                  <c:v>-2.153533787035141</c:v>
                </c:pt>
                <c:pt idx="44">
                  <c:v>-2.153533787035141</c:v>
                </c:pt>
                <c:pt idx="45">
                  <c:v>-2.153533787035141</c:v>
                </c:pt>
                <c:pt idx="46">
                  <c:v>-2.153533787035141</c:v>
                </c:pt>
                <c:pt idx="47">
                  <c:v>-2.153533787035141</c:v>
                </c:pt>
                <c:pt idx="48">
                  <c:v>-2.153533787035141</c:v>
                </c:pt>
                <c:pt idx="49">
                  <c:v>-2.153533787035141</c:v>
                </c:pt>
                <c:pt idx="50">
                  <c:v>-2.153533787035141</c:v>
                </c:pt>
                <c:pt idx="51">
                  <c:v>-1.7510435023178759</c:v>
                </c:pt>
                <c:pt idx="52">
                  <c:v>-1.7510435023178759</c:v>
                </c:pt>
                <c:pt idx="53">
                  <c:v>-1.5281397910420713</c:v>
                </c:pt>
                <c:pt idx="54">
                  <c:v>-1.9483400389149597</c:v>
                </c:pt>
                <c:pt idx="55">
                  <c:v>-1.9483400389149597</c:v>
                </c:pt>
                <c:pt idx="56">
                  <c:v>-1.9483400389149597</c:v>
                </c:pt>
                <c:pt idx="57">
                  <c:v>-1.9483400389149597</c:v>
                </c:pt>
                <c:pt idx="58">
                  <c:v>-2.0012190048374023</c:v>
                </c:pt>
                <c:pt idx="59">
                  <c:v>-2.2946733618291812</c:v>
                </c:pt>
                <c:pt idx="60">
                  <c:v>-2.7339019665920676</c:v>
                </c:pt>
                <c:pt idx="61">
                  <c:v>-3.6513941206285243</c:v>
                </c:pt>
                <c:pt idx="62">
                  <c:v>-4.8858681383725031</c:v>
                </c:pt>
                <c:pt idx="63">
                  <c:v>-5.5003304838202336</c:v>
                </c:pt>
                <c:pt idx="64">
                  <c:v>-5.5003304838202336</c:v>
                </c:pt>
                <c:pt idx="65">
                  <c:v>-5.6674893975949479</c:v>
                </c:pt>
                <c:pt idx="66">
                  <c:v>-5.6674893975949479</c:v>
                </c:pt>
                <c:pt idx="67">
                  <c:v>-5.6674893975949479</c:v>
                </c:pt>
                <c:pt idx="68">
                  <c:v>-5.6674893975949479</c:v>
                </c:pt>
                <c:pt idx="69">
                  <c:v>-5.6674893975949479</c:v>
                </c:pt>
                <c:pt idx="70">
                  <c:v>-5.6674893975949479</c:v>
                </c:pt>
                <c:pt idx="71">
                  <c:v>-5.6674893975949479</c:v>
                </c:pt>
                <c:pt idx="72">
                  <c:v>-5.8275965238175846</c:v>
                </c:pt>
                <c:pt idx="73">
                  <c:v>-5.8275965238175846</c:v>
                </c:pt>
                <c:pt idx="74">
                  <c:v>-6.0169705374945961</c:v>
                </c:pt>
                <c:pt idx="75">
                  <c:v>-6.0169705374945961</c:v>
                </c:pt>
                <c:pt idx="76">
                  <c:v>-6.290823095277486</c:v>
                </c:pt>
                <c:pt idx="77">
                  <c:v>-6.290823095277486</c:v>
                </c:pt>
                <c:pt idx="78">
                  <c:v>-6.290823095277486</c:v>
                </c:pt>
                <c:pt idx="79">
                  <c:v>-6.290823095277486</c:v>
                </c:pt>
                <c:pt idx="80">
                  <c:v>-6.1746076181104117</c:v>
                </c:pt>
                <c:pt idx="81">
                  <c:v>-6.1746076181104117</c:v>
                </c:pt>
                <c:pt idx="82">
                  <c:v>-6.1746076181104117</c:v>
                </c:pt>
                <c:pt idx="83">
                  <c:v>-6.1746076181104117</c:v>
                </c:pt>
                <c:pt idx="84">
                  <c:v>-6.1746076181104117</c:v>
                </c:pt>
                <c:pt idx="85">
                  <c:v>-6.1746076181104117</c:v>
                </c:pt>
                <c:pt idx="86">
                  <c:v>-6.1746076181104117</c:v>
                </c:pt>
                <c:pt idx="87">
                  <c:v>-6.1746076181104117</c:v>
                </c:pt>
                <c:pt idx="88">
                  <c:v>-6.1746076181104117</c:v>
                </c:pt>
                <c:pt idx="89">
                  <c:v>-6.1746076181104117</c:v>
                </c:pt>
                <c:pt idx="90">
                  <c:v>-6.1746076181104117</c:v>
                </c:pt>
                <c:pt idx="91">
                  <c:v>-6.1746076181104117</c:v>
                </c:pt>
                <c:pt idx="92">
                  <c:v>-6.1746076181104117</c:v>
                </c:pt>
                <c:pt idx="93">
                  <c:v>-6.1746076181104117</c:v>
                </c:pt>
                <c:pt idx="94">
                  <c:v>-6.1746076181104117</c:v>
                </c:pt>
                <c:pt idx="95">
                  <c:v>-6.1746076181104117</c:v>
                </c:pt>
                <c:pt idx="96">
                  <c:v>-6.1746076181104117</c:v>
                </c:pt>
                <c:pt idx="97">
                  <c:v>-6.1746076181104117</c:v>
                </c:pt>
                <c:pt idx="98">
                  <c:v>-6.1746076181104117</c:v>
                </c:pt>
                <c:pt idx="99">
                  <c:v>-6.1746076181104117</c:v>
                </c:pt>
                <c:pt idx="100">
                  <c:v>-6.1746076181104117</c:v>
                </c:pt>
                <c:pt idx="101">
                  <c:v>-6.1746076181104117</c:v>
                </c:pt>
                <c:pt idx="102">
                  <c:v>-6.1746076181104117</c:v>
                </c:pt>
                <c:pt idx="103">
                  <c:v>-6.1746076181104117</c:v>
                </c:pt>
                <c:pt idx="104">
                  <c:v>-6.1746076181104117</c:v>
                </c:pt>
                <c:pt idx="105">
                  <c:v>-6.1746076181104117</c:v>
                </c:pt>
                <c:pt idx="106">
                  <c:v>-6.1746076181104117</c:v>
                </c:pt>
                <c:pt idx="107">
                  <c:v>-6.1746076181104117</c:v>
                </c:pt>
                <c:pt idx="108">
                  <c:v>-6.5100672494144725</c:v>
                </c:pt>
                <c:pt idx="109">
                  <c:v>-6.5100672494144725</c:v>
                </c:pt>
                <c:pt idx="110">
                  <c:v>-6.5100672494144725</c:v>
                </c:pt>
                <c:pt idx="111">
                  <c:v>-6.5100672494144725</c:v>
                </c:pt>
                <c:pt idx="112">
                  <c:v>-7.6001544368626046</c:v>
                </c:pt>
                <c:pt idx="113">
                  <c:v>-7.6981012498950756</c:v>
                </c:pt>
                <c:pt idx="114">
                  <c:v>-7.9821717281403126</c:v>
                </c:pt>
                <c:pt idx="115">
                  <c:v>-7.2788844191213391</c:v>
                </c:pt>
                <c:pt idx="116">
                  <c:v>-7.2788844191213391</c:v>
                </c:pt>
                <c:pt idx="117">
                  <c:v>-7.2788844191213391</c:v>
                </c:pt>
                <c:pt idx="118">
                  <c:v>-7.8137093743481518</c:v>
                </c:pt>
                <c:pt idx="119">
                  <c:v>-7.8137093743481518</c:v>
                </c:pt>
                <c:pt idx="120">
                  <c:v>-7.8137093743481518</c:v>
                </c:pt>
                <c:pt idx="121">
                  <c:v>-7.8137093743481518</c:v>
                </c:pt>
                <c:pt idx="122">
                  <c:v>-7.8137093743481518</c:v>
                </c:pt>
                <c:pt idx="123">
                  <c:v>-7.8137093743481518</c:v>
                </c:pt>
                <c:pt idx="124">
                  <c:v>-7.8137093743481518</c:v>
                </c:pt>
                <c:pt idx="125">
                  <c:v>-7.0799420800713015</c:v>
                </c:pt>
                <c:pt idx="126">
                  <c:v>-7.4752081334206588</c:v>
                </c:pt>
                <c:pt idx="127">
                  <c:v>-7.4752081334206588</c:v>
                </c:pt>
                <c:pt idx="128">
                  <c:v>-7.3390769661523079</c:v>
                </c:pt>
                <c:pt idx="129">
                  <c:v>-7.3390769661523079</c:v>
                </c:pt>
                <c:pt idx="130">
                  <c:v>-7.3390769661523079</c:v>
                </c:pt>
                <c:pt idx="131">
                  <c:v>-7.3390769661523079</c:v>
                </c:pt>
                <c:pt idx="132">
                  <c:v>-7.3390769661523079</c:v>
                </c:pt>
                <c:pt idx="133">
                  <c:v>-7.3390769661523079</c:v>
                </c:pt>
                <c:pt idx="134">
                  <c:v>-7.3390769661523079</c:v>
                </c:pt>
                <c:pt idx="135">
                  <c:v>-7.3390769661523079</c:v>
                </c:pt>
                <c:pt idx="136">
                  <c:v>-7.3390769661523079</c:v>
                </c:pt>
                <c:pt idx="137">
                  <c:v>-7.3390769661523079</c:v>
                </c:pt>
                <c:pt idx="138">
                  <c:v>-7.3390769661523079</c:v>
                </c:pt>
                <c:pt idx="139">
                  <c:v>-7.3390769661523079</c:v>
                </c:pt>
                <c:pt idx="140">
                  <c:v>-7.3390769661523079</c:v>
                </c:pt>
                <c:pt idx="141">
                  <c:v>-7.3390769661523079</c:v>
                </c:pt>
                <c:pt idx="142">
                  <c:v>-7.3390769661523079</c:v>
                </c:pt>
                <c:pt idx="143">
                  <c:v>-7.3390769661523079</c:v>
                </c:pt>
                <c:pt idx="144">
                  <c:v>-7.3390769661523079</c:v>
                </c:pt>
                <c:pt idx="145">
                  <c:v>-7.3390769661523079</c:v>
                </c:pt>
                <c:pt idx="146">
                  <c:v>-7.3390769661523079</c:v>
                </c:pt>
                <c:pt idx="147">
                  <c:v>-7.3390769661523079</c:v>
                </c:pt>
                <c:pt idx="148">
                  <c:v>-8.4249355520108935</c:v>
                </c:pt>
                <c:pt idx="149">
                  <c:v>-8.6240172075996302</c:v>
                </c:pt>
                <c:pt idx="150">
                  <c:v>-8.6240172075996302</c:v>
                </c:pt>
                <c:pt idx="151">
                  <c:v>-7.8284698219787154</c:v>
                </c:pt>
                <c:pt idx="152">
                  <c:v>-7.8284698219787154</c:v>
                </c:pt>
                <c:pt idx="153">
                  <c:v>-7.8284698219787154</c:v>
                </c:pt>
                <c:pt idx="154">
                  <c:v>-7.8284698219787154</c:v>
                </c:pt>
                <c:pt idx="155">
                  <c:v>-7.8284698219787154</c:v>
                </c:pt>
                <c:pt idx="156">
                  <c:v>-7.8284698219787154</c:v>
                </c:pt>
                <c:pt idx="157">
                  <c:v>-7.8865823277899665</c:v>
                </c:pt>
                <c:pt idx="158">
                  <c:v>-8.8750305831192495</c:v>
                </c:pt>
                <c:pt idx="159">
                  <c:v>-8.8750305831192495</c:v>
                </c:pt>
                <c:pt idx="160">
                  <c:v>-8.859798290659235</c:v>
                </c:pt>
                <c:pt idx="161">
                  <c:v>-9.3909580302196201</c:v>
                </c:pt>
                <c:pt idx="162">
                  <c:v>-9.3909580302196201</c:v>
                </c:pt>
                <c:pt idx="163">
                  <c:v>-9.3909580302196201</c:v>
                </c:pt>
                <c:pt idx="164">
                  <c:v>-9.7130139833751183</c:v>
                </c:pt>
                <c:pt idx="165">
                  <c:v>-9.2744671295951253</c:v>
                </c:pt>
                <c:pt idx="166">
                  <c:v>-9.2744671295951253</c:v>
                </c:pt>
                <c:pt idx="167">
                  <c:v>-9.2744671295951253</c:v>
                </c:pt>
                <c:pt idx="168">
                  <c:v>-9.2744671295951253</c:v>
                </c:pt>
                <c:pt idx="169">
                  <c:v>-9.2744671295951253</c:v>
                </c:pt>
                <c:pt idx="170">
                  <c:v>-9.2744671295951253</c:v>
                </c:pt>
                <c:pt idx="171">
                  <c:v>-9.2744671295951253</c:v>
                </c:pt>
                <c:pt idx="172">
                  <c:v>-9.2744671295951253</c:v>
                </c:pt>
                <c:pt idx="173">
                  <c:v>-8.6406786641376172</c:v>
                </c:pt>
                <c:pt idx="174">
                  <c:v>-8.6406786641376172</c:v>
                </c:pt>
                <c:pt idx="175">
                  <c:v>-8.8814484527999333</c:v>
                </c:pt>
                <c:pt idx="176">
                  <c:v>-8.8814484527999333</c:v>
                </c:pt>
                <c:pt idx="177">
                  <c:v>-9.4845146337349675</c:v>
                </c:pt>
                <c:pt idx="178">
                  <c:v>-9.4845146337349675</c:v>
                </c:pt>
                <c:pt idx="179">
                  <c:v>-9.4845146337349675</c:v>
                </c:pt>
                <c:pt idx="180">
                  <c:v>-9.4845146337349675</c:v>
                </c:pt>
                <c:pt idx="181">
                  <c:v>-9.4845146337349675</c:v>
                </c:pt>
                <c:pt idx="182">
                  <c:v>-9.8197962249632731</c:v>
                </c:pt>
                <c:pt idx="183">
                  <c:v>-10.235468075428956</c:v>
                </c:pt>
                <c:pt idx="184">
                  <c:v>-10.235468075428956</c:v>
                </c:pt>
                <c:pt idx="185">
                  <c:v>-10.235468075428956</c:v>
                </c:pt>
                <c:pt idx="186">
                  <c:v>-10.235468075428956</c:v>
                </c:pt>
                <c:pt idx="187">
                  <c:v>-10.817432081688736</c:v>
                </c:pt>
                <c:pt idx="188">
                  <c:v>-10.817432081688736</c:v>
                </c:pt>
                <c:pt idx="189">
                  <c:v>-10.817432081688736</c:v>
                </c:pt>
                <c:pt idx="190">
                  <c:v>-12.346312825596971</c:v>
                </c:pt>
                <c:pt idx="191">
                  <c:v>-12.346312825596971</c:v>
                </c:pt>
                <c:pt idx="192">
                  <c:v>-12.346312825596971</c:v>
                </c:pt>
                <c:pt idx="193">
                  <c:v>-12.346312825596971</c:v>
                </c:pt>
                <c:pt idx="194">
                  <c:v>-12.346312825596971</c:v>
                </c:pt>
                <c:pt idx="195">
                  <c:v>-13.393084857830756</c:v>
                </c:pt>
                <c:pt idx="196">
                  <c:v>-13.495567554372498</c:v>
                </c:pt>
                <c:pt idx="197">
                  <c:v>-13.495567554372498</c:v>
                </c:pt>
                <c:pt idx="198">
                  <c:v>-13.495567554372498</c:v>
                </c:pt>
                <c:pt idx="199">
                  <c:v>-13.495567554372498</c:v>
                </c:pt>
                <c:pt idx="200">
                  <c:v>-13.495567554372498</c:v>
                </c:pt>
                <c:pt idx="201">
                  <c:v>-13.495567554372498</c:v>
                </c:pt>
                <c:pt idx="202">
                  <c:v>-13.61428856275734</c:v>
                </c:pt>
                <c:pt idx="203">
                  <c:v>-13.61428856275734</c:v>
                </c:pt>
                <c:pt idx="204">
                  <c:v>-13.488838259626451</c:v>
                </c:pt>
                <c:pt idx="205">
                  <c:v>-13.488838259626451</c:v>
                </c:pt>
                <c:pt idx="206">
                  <c:v>-13.365566947172198</c:v>
                </c:pt>
                <c:pt idx="207">
                  <c:v>-13.365566947172198</c:v>
                </c:pt>
                <c:pt idx="208">
                  <c:v>-13.365566947172198</c:v>
                </c:pt>
                <c:pt idx="209">
                  <c:v>-13.365566947172198</c:v>
                </c:pt>
                <c:pt idx="210">
                  <c:v>-13.365566947172198</c:v>
                </c:pt>
                <c:pt idx="211">
                  <c:v>-13.365566947172198</c:v>
                </c:pt>
                <c:pt idx="212">
                  <c:v>-13.365566947172198</c:v>
                </c:pt>
                <c:pt idx="213">
                  <c:v>-13.365566947172198</c:v>
                </c:pt>
                <c:pt idx="214">
                  <c:v>-13.365566947172198</c:v>
                </c:pt>
                <c:pt idx="215">
                  <c:v>-13.365566947172198</c:v>
                </c:pt>
                <c:pt idx="216">
                  <c:v>-14.127571644119183</c:v>
                </c:pt>
                <c:pt idx="217">
                  <c:v>-14.127571644119183</c:v>
                </c:pt>
                <c:pt idx="218">
                  <c:v>-14.127571644119183</c:v>
                </c:pt>
                <c:pt idx="219">
                  <c:v>-14.029629566608277</c:v>
                </c:pt>
                <c:pt idx="220">
                  <c:v>-14.029629566608277</c:v>
                </c:pt>
                <c:pt idx="221">
                  <c:v>-14.780693211654734</c:v>
                </c:pt>
                <c:pt idx="222">
                  <c:v>-14.780693211654734</c:v>
                </c:pt>
                <c:pt idx="223">
                  <c:v>-14.780693211654734</c:v>
                </c:pt>
                <c:pt idx="224">
                  <c:v>-14.165420258732395</c:v>
                </c:pt>
                <c:pt idx="225">
                  <c:v>-14.165420258732395</c:v>
                </c:pt>
                <c:pt idx="226">
                  <c:v>-14.165420258732395</c:v>
                </c:pt>
                <c:pt idx="227">
                  <c:v>-14.165420258732395</c:v>
                </c:pt>
                <c:pt idx="228">
                  <c:v>-14.165420258732395</c:v>
                </c:pt>
                <c:pt idx="229">
                  <c:v>-14.165420258732395</c:v>
                </c:pt>
                <c:pt idx="230">
                  <c:v>-14.165420258732395</c:v>
                </c:pt>
                <c:pt idx="231">
                  <c:v>-14.165420258732395</c:v>
                </c:pt>
                <c:pt idx="232">
                  <c:v>-14.1300028050112</c:v>
                </c:pt>
                <c:pt idx="233">
                  <c:v>-14.733756886811655</c:v>
                </c:pt>
                <c:pt idx="234">
                  <c:v>-14.733756886811655</c:v>
                </c:pt>
                <c:pt idx="235">
                  <c:v>-14.733756886811655</c:v>
                </c:pt>
                <c:pt idx="236">
                  <c:v>-14.733756886811655</c:v>
                </c:pt>
                <c:pt idx="237">
                  <c:v>-14.733756886811655</c:v>
                </c:pt>
                <c:pt idx="238">
                  <c:v>-14.733756886811655</c:v>
                </c:pt>
                <c:pt idx="239">
                  <c:v>-14.468541923104228</c:v>
                </c:pt>
                <c:pt idx="240">
                  <c:v>-14.468541923104228</c:v>
                </c:pt>
                <c:pt idx="241">
                  <c:v>-14.468541923104228</c:v>
                </c:pt>
                <c:pt idx="242">
                  <c:v>-14.596039294292455</c:v>
                </c:pt>
                <c:pt idx="243">
                  <c:v>-14.596039294292455</c:v>
                </c:pt>
                <c:pt idx="244">
                  <c:v>-14.596039294292455</c:v>
                </c:pt>
                <c:pt idx="245">
                  <c:v>-14.596039294292455</c:v>
                </c:pt>
                <c:pt idx="246">
                  <c:v>-14.596039294292455</c:v>
                </c:pt>
                <c:pt idx="247">
                  <c:v>-14.596039294292455</c:v>
                </c:pt>
                <c:pt idx="248">
                  <c:v>-14.596039294292455</c:v>
                </c:pt>
                <c:pt idx="249">
                  <c:v>-14.596039294292455</c:v>
                </c:pt>
                <c:pt idx="250">
                  <c:v>-14.596039294292455</c:v>
                </c:pt>
                <c:pt idx="251">
                  <c:v>-14.596039294292455</c:v>
                </c:pt>
                <c:pt idx="252">
                  <c:v>-14.596039294292455</c:v>
                </c:pt>
                <c:pt idx="253">
                  <c:v>-14.596039294292455</c:v>
                </c:pt>
                <c:pt idx="254">
                  <c:v>-14.596039294292455</c:v>
                </c:pt>
                <c:pt idx="255">
                  <c:v>-14.596039294292455</c:v>
                </c:pt>
                <c:pt idx="256">
                  <c:v>-14.596039294292455</c:v>
                </c:pt>
                <c:pt idx="257">
                  <c:v>-14.596039294292455</c:v>
                </c:pt>
                <c:pt idx="258">
                  <c:v>-14.596039294292455</c:v>
                </c:pt>
                <c:pt idx="259">
                  <c:v>-14.596039294292455</c:v>
                </c:pt>
                <c:pt idx="260">
                  <c:v>-14.596039294292455</c:v>
                </c:pt>
                <c:pt idx="261">
                  <c:v>-14.596039294292455</c:v>
                </c:pt>
                <c:pt idx="262">
                  <c:v>-14.596039294292455</c:v>
                </c:pt>
                <c:pt idx="263">
                  <c:v>-14.596039294292455</c:v>
                </c:pt>
                <c:pt idx="264">
                  <c:v>-14.596039294292455</c:v>
                </c:pt>
                <c:pt idx="265">
                  <c:v>-14.596039294292455</c:v>
                </c:pt>
                <c:pt idx="266">
                  <c:v>-14.877782597833791</c:v>
                </c:pt>
                <c:pt idx="267">
                  <c:v>-14.877782597833791</c:v>
                </c:pt>
                <c:pt idx="268">
                  <c:v>-14.877782597833791</c:v>
                </c:pt>
                <c:pt idx="269">
                  <c:v>-14.877782597833791</c:v>
                </c:pt>
                <c:pt idx="270">
                  <c:v>-14.877782597833791</c:v>
                </c:pt>
                <c:pt idx="271">
                  <c:v>-14.877782597833791</c:v>
                </c:pt>
                <c:pt idx="272">
                  <c:v>-14.877782597833791</c:v>
                </c:pt>
                <c:pt idx="273">
                  <c:v>-14.877782597833791</c:v>
                </c:pt>
                <c:pt idx="274">
                  <c:v>-14.877782597833791</c:v>
                </c:pt>
                <c:pt idx="275">
                  <c:v>-14.877782597833791</c:v>
                </c:pt>
                <c:pt idx="276">
                  <c:v>-14.877782597833791</c:v>
                </c:pt>
                <c:pt idx="277">
                  <c:v>-14.877782597833791</c:v>
                </c:pt>
                <c:pt idx="278">
                  <c:v>-14.877782597833791</c:v>
                </c:pt>
                <c:pt idx="279">
                  <c:v>-14.877782597833791</c:v>
                </c:pt>
                <c:pt idx="280">
                  <c:v>-15.383292657483977</c:v>
                </c:pt>
                <c:pt idx="281">
                  <c:v>-15.383292657483977</c:v>
                </c:pt>
                <c:pt idx="282">
                  <c:v>-15.383292657483977</c:v>
                </c:pt>
                <c:pt idx="283">
                  <c:v>-15.383292657483977</c:v>
                </c:pt>
                <c:pt idx="284">
                  <c:v>-15.383292657483977</c:v>
                </c:pt>
                <c:pt idx="285">
                  <c:v>-15.383292657483977</c:v>
                </c:pt>
                <c:pt idx="286">
                  <c:v>-15.798362900140425</c:v>
                </c:pt>
                <c:pt idx="287">
                  <c:v>-15.798362900140425</c:v>
                </c:pt>
                <c:pt idx="288">
                  <c:v>-15.589576757744322</c:v>
                </c:pt>
                <c:pt idx="289">
                  <c:v>-15.589576757744322</c:v>
                </c:pt>
                <c:pt idx="290">
                  <c:v>-15.589576757744322</c:v>
                </c:pt>
                <c:pt idx="291">
                  <c:v>-15.589576757744322</c:v>
                </c:pt>
                <c:pt idx="292">
                  <c:v>-15.589576757744322</c:v>
                </c:pt>
                <c:pt idx="293">
                  <c:v>-15.589576757744322</c:v>
                </c:pt>
                <c:pt idx="294">
                  <c:v>-15.589576757744322</c:v>
                </c:pt>
                <c:pt idx="295">
                  <c:v>-15.589576757744322</c:v>
                </c:pt>
                <c:pt idx="296">
                  <c:v>-15.589576757744322</c:v>
                </c:pt>
                <c:pt idx="297">
                  <c:v>-15.589576757744322</c:v>
                </c:pt>
                <c:pt idx="298">
                  <c:v>-15.589576757744322</c:v>
                </c:pt>
                <c:pt idx="299">
                  <c:v>-15.589576757744322</c:v>
                </c:pt>
                <c:pt idx="300">
                  <c:v>-14.839418829759486</c:v>
                </c:pt>
                <c:pt idx="301">
                  <c:v>-13.719205698479922</c:v>
                </c:pt>
                <c:pt idx="302">
                  <c:v>-13.719205698479922</c:v>
                </c:pt>
                <c:pt idx="303">
                  <c:v>-13.124348677566561</c:v>
                </c:pt>
                <c:pt idx="304">
                  <c:v>-13.124348677566561</c:v>
                </c:pt>
                <c:pt idx="305">
                  <c:v>-12.661527435893699</c:v>
                </c:pt>
                <c:pt idx="306">
                  <c:v>-12.908127756638883</c:v>
                </c:pt>
                <c:pt idx="307">
                  <c:v>-13.50506252757291</c:v>
                </c:pt>
                <c:pt idx="308">
                  <c:v>-13.50506252757291</c:v>
                </c:pt>
                <c:pt idx="309">
                  <c:v>-13.50506252757291</c:v>
                </c:pt>
                <c:pt idx="310">
                  <c:v>-13.50506252757291</c:v>
                </c:pt>
                <c:pt idx="311">
                  <c:v>-13.50506252757291</c:v>
                </c:pt>
                <c:pt idx="312">
                  <c:v>-13.50506252757291</c:v>
                </c:pt>
                <c:pt idx="313">
                  <c:v>-13.50506252757291</c:v>
                </c:pt>
                <c:pt idx="314">
                  <c:v>-13.50506252757291</c:v>
                </c:pt>
                <c:pt idx="315">
                  <c:v>-13.50506252757291</c:v>
                </c:pt>
                <c:pt idx="316">
                  <c:v>-13.50506252757291</c:v>
                </c:pt>
                <c:pt idx="317">
                  <c:v>-13.50506252757291</c:v>
                </c:pt>
                <c:pt idx="318">
                  <c:v>-13.50506252757291</c:v>
                </c:pt>
                <c:pt idx="319">
                  <c:v>-12.361093655977577</c:v>
                </c:pt>
                <c:pt idx="320">
                  <c:v>-12.361093655977577</c:v>
                </c:pt>
                <c:pt idx="321">
                  <c:v>-12.815792207678484</c:v>
                </c:pt>
                <c:pt idx="322">
                  <c:v>-12.247979910915262</c:v>
                </c:pt>
                <c:pt idx="323">
                  <c:v>-12.247979910915262</c:v>
                </c:pt>
                <c:pt idx="324">
                  <c:v>-12.247979910915262</c:v>
                </c:pt>
                <c:pt idx="325">
                  <c:v>-12.322894294476907</c:v>
                </c:pt>
                <c:pt idx="326">
                  <c:v>-12.322894294476907</c:v>
                </c:pt>
                <c:pt idx="327">
                  <c:v>-12.322894294476907</c:v>
                </c:pt>
                <c:pt idx="328">
                  <c:v>-12.322894294476907</c:v>
                </c:pt>
                <c:pt idx="329">
                  <c:v>-12.322894294476907</c:v>
                </c:pt>
                <c:pt idx="330">
                  <c:v>-12.322894294476907</c:v>
                </c:pt>
                <c:pt idx="331">
                  <c:v>-11.686434724499332</c:v>
                </c:pt>
                <c:pt idx="332">
                  <c:v>-11.204383442448052</c:v>
                </c:pt>
                <c:pt idx="333">
                  <c:v>-10.880785248071591</c:v>
                </c:pt>
                <c:pt idx="334">
                  <c:v>-10.880785248071591</c:v>
                </c:pt>
                <c:pt idx="335">
                  <c:v>-10.915291110718158</c:v>
                </c:pt>
                <c:pt idx="336">
                  <c:v>-10.915291110718158</c:v>
                </c:pt>
                <c:pt idx="337">
                  <c:v>-10.915291110718158</c:v>
                </c:pt>
                <c:pt idx="338">
                  <c:v>-10.915291110718158</c:v>
                </c:pt>
                <c:pt idx="339">
                  <c:v>-10.915291110718158</c:v>
                </c:pt>
                <c:pt idx="340">
                  <c:v>-10.915291110718158</c:v>
                </c:pt>
                <c:pt idx="341">
                  <c:v>-10.915291110718158</c:v>
                </c:pt>
                <c:pt idx="342">
                  <c:v>-10.915291110718158</c:v>
                </c:pt>
                <c:pt idx="343">
                  <c:v>-11.324731074167294</c:v>
                </c:pt>
                <c:pt idx="344">
                  <c:v>-11.324731074167294</c:v>
                </c:pt>
                <c:pt idx="345">
                  <c:v>-11.324731074167294</c:v>
                </c:pt>
                <c:pt idx="346">
                  <c:v>-11.324731074167294</c:v>
                </c:pt>
                <c:pt idx="347">
                  <c:v>-11.745401831760597</c:v>
                </c:pt>
                <c:pt idx="348">
                  <c:v>-11.745401831760597</c:v>
                </c:pt>
                <c:pt idx="349">
                  <c:v>-11.745401831760597</c:v>
                </c:pt>
                <c:pt idx="350">
                  <c:v>-11.745401831760597</c:v>
                </c:pt>
                <c:pt idx="351">
                  <c:v>-11.745401831760597</c:v>
                </c:pt>
                <c:pt idx="352">
                  <c:v>-11.745401831760597</c:v>
                </c:pt>
                <c:pt idx="353">
                  <c:v>-11.745401831760597</c:v>
                </c:pt>
                <c:pt idx="354">
                  <c:v>-11.745401831760597</c:v>
                </c:pt>
                <c:pt idx="355">
                  <c:v>-11.745401831760597</c:v>
                </c:pt>
                <c:pt idx="356">
                  <c:v>-11.745401831760597</c:v>
                </c:pt>
                <c:pt idx="357">
                  <c:v>-11.745401831760597</c:v>
                </c:pt>
                <c:pt idx="358">
                  <c:v>-11.745401831760597</c:v>
                </c:pt>
                <c:pt idx="359">
                  <c:v>-11.745401831760597</c:v>
                </c:pt>
                <c:pt idx="360">
                  <c:v>-11.745401831760597</c:v>
                </c:pt>
                <c:pt idx="361">
                  <c:v>-11.745401831760597</c:v>
                </c:pt>
                <c:pt idx="362">
                  <c:v>-10.680219001871885</c:v>
                </c:pt>
                <c:pt idx="363">
                  <c:v>-10.680219001871885</c:v>
                </c:pt>
                <c:pt idx="364">
                  <c:v>-10.680219001871885</c:v>
                </c:pt>
                <c:pt idx="365">
                  <c:v>-10.680219001871885</c:v>
                </c:pt>
                <c:pt idx="366">
                  <c:v>-10.680219001871885</c:v>
                </c:pt>
                <c:pt idx="367">
                  <c:v>-10.680219001871885</c:v>
                </c:pt>
                <c:pt idx="368">
                  <c:v>-10.133257675905035</c:v>
                </c:pt>
                <c:pt idx="369">
                  <c:v>-10.782364928173847</c:v>
                </c:pt>
                <c:pt idx="370">
                  <c:v>-10.782364928173847</c:v>
                </c:pt>
                <c:pt idx="371">
                  <c:v>-11.160675142549634</c:v>
                </c:pt>
                <c:pt idx="372">
                  <c:v>-11.160675142549634</c:v>
                </c:pt>
                <c:pt idx="373">
                  <c:v>-11.71232256919706</c:v>
                </c:pt>
                <c:pt idx="374">
                  <c:v>-10.836272757439165</c:v>
                </c:pt>
                <c:pt idx="375">
                  <c:v>-10.836272757439165</c:v>
                </c:pt>
                <c:pt idx="376">
                  <c:v>-10.836272757439165</c:v>
                </c:pt>
                <c:pt idx="377">
                  <c:v>-10.093526087360836</c:v>
                </c:pt>
                <c:pt idx="378">
                  <c:v>-10.093526087360836</c:v>
                </c:pt>
                <c:pt idx="379">
                  <c:v>-10.093526087360836</c:v>
                </c:pt>
                <c:pt idx="380">
                  <c:v>-10.093526087360836</c:v>
                </c:pt>
                <c:pt idx="381">
                  <c:v>-12.035490684927094</c:v>
                </c:pt>
                <c:pt idx="382">
                  <c:v>-12.035490684927094</c:v>
                </c:pt>
                <c:pt idx="383">
                  <c:v>-14.031884296467537</c:v>
                </c:pt>
                <c:pt idx="384">
                  <c:v>-14.031884296467537</c:v>
                </c:pt>
                <c:pt idx="385">
                  <c:v>-14.031884296467537</c:v>
                </c:pt>
                <c:pt idx="386">
                  <c:v>-14.031884296467537</c:v>
                </c:pt>
                <c:pt idx="387">
                  <c:v>-14.031884296467537</c:v>
                </c:pt>
                <c:pt idx="388">
                  <c:v>-14.031884296467537</c:v>
                </c:pt>
                <c:pt idx="389">
                  <c:v>-14.031884296467537</c:v>
                </c:pt>
                <c:pt idx="390">
                  <c:v>-13.901487653588381</c:v>
                </c:pt>
                <c:pt idx="391">
                  <c:v>-13.901487653588381</c:v>
                </c:pt>
                <c:pt idx="392">
                  <c:v>-13.901487653588381</c:v>
                </c:pt>
                <c:pt idx="393">
                  <c:v>-13.901487653588381</c:v>
                </c:pt>
                <c:pt idx="394">
                  <c:v>-13.744073107199277</c:v>
                </c:pt>
                <c:pt idx="395">
                  <c:v>-13.744073107199277</c:v>
                </c:pt>
                <c:pt idx="396">
                  <c:v>-13.744073107199277</c:v>
                </c:pt>
                <c:pt idx="397">
                  <c:v>-14.997135100792645</c:v>
                </c:pt>
                <c:pt idx="398">
                  <c:v>-14.997135100792645</c:v>
                </c:pt>
                <c:pt idx="399">
                  <c:v>-14.997135100792645</c:v>
                </c:pt>
                <c:pt idx="400">
                  <c:v>-14.997135100792645</c:v>
                </c:pt>
                <c:pt idx="401">
                  <c:v>-14.997135100792645</c:v>
                </c:pt>
                <c:pt idx="402">
                  <c:v>-14.997135100792645</c:v>
                </c:pt>
                <c:pt idx="403">
                  <c:v>-14.997135100792645</c:v>
                </c:pt>
                <c:pt idx="404">
                  <c:v>-15.217945954670494</c:v>
                </c:pt>
                <c:pt idx="405">
                  <c:v>-15.217945954670494</c:v>
                </c:pt>
                <c:pt idx="406">
                  <c:v>-15.217945954670494</c:v>
                </c:pt>
                <c:pt idx="407">
                  <c:v>-15.217945954670494</c:v>
                </c:pt>
                <c:pt idx="408">
                  <c:v>-15.217945954670494</c:v>
                </c:pt>
                <c:pt idx="409">
                  <c:v>-15.217945954670494</c:v>
                </c:pt>
                <c:pt idx="410">
                  <c:v>-16.654569124430953</c:v>
                </c:pt>
                <c:pt idx="411">
                  <c:v>-16.654569124430953</c:v>
                </c:pt>
                <c:pt idx="412">
                  <c:v>-16.654569124430953</c:v>
                </c:pt>
                <c:pt idx="413">
                  <c:v>-15.496000681379751</c:v>
                </c:pt>
                <c:pt idx="414">
                  <c:v>-15.059228634790733</c:v>
                </c:pt>
                <c:pt idx="415">
                  <c:v>-15.059228634790733</c:v>
                </c:pt>
                <c:pt idx="416">
                  <c:v>-15.059228634790733</c:v>
                </c:pt>
                <c:pt idx="417">
                  <c:v>-15.059228634790733</c:v>
                </c:pt>
                <c:pt idx="418">
                  <c:v>-14.459612389187919</c:v>
                </c:pt>
              </c:numCache>
            </c:numRef>
          </c:val>
          <c:smooth val="1"/>
          <c:extLst>
            <c:ext xmlns:c16="http://schemas.microsoft.com/office/drawing/2014/chart" uri="{C3380CC4-5D6E-409C-BE32-E72D297353CC}">
              <c16:uniqueId val="{00000004-B4C0-4FB1-A775-5F368678E3F3}"/>
            </c:ext>
          </c:extLst>
        </c:ser>
        <c:ser>
          <c:idx val="1"/>
          <c:order val="3"/>
          <c:tx>
            <c:v>Gaps Down from SW Trend (Var.)</c:v>
          </c:tx>
          <c:spPr>
            <a:ln w="19050" cap="rnd">
              <a:solidFill>
                <a:srgbClr val="0000FF"/>
              </a:solidFill>
              <a:prstDash val="sysDash"/>
              <a:round/>
            </a:ln>
            <a:effectLst/>
          </c:spPr>
          <c:marker>
            <c:symbol val="none"/>
          </c:marker>
          <c:val>
            <c:numRef>
              <c:f>'2025-Q2'!$HT$4:$HT$422</c:f>
              <c:numCache>
                <c:formatCode>0.00</c:formatCode>
                <c:ptCount val="419"/>
                <c:pt idx="0">
                  <c:v>0</c:v>
                </c:pt>
                <c:pt idx="1">
                  <c:v>0</c:v>
                </c:pt>
                <c:pt idx="2">
                  <c:v>0.72578632967871715</c:v>
                </c:pt>
                <c:pt idx="3">
                  <c:v>0.98195281148297442</c:v>
                </c:pt>
                <c:pt idx="4">
                  <c:v>1.5760126017280511</c:v>
                </c:pt>
                <c:pt idx="5">
                  <c:v>2.4592741428671565</c:v>
                </c:pt>
                <c:pt idx="6">
                  <c:v>3.2771261476210185</c:v>
                </c:pt>
                <c:pt idx="7">
                  <c:v>4.4712150775590054</c:v>
                </c:pt>
                <c:pt idx="8">
                  <c:v>4.4712150775590054</c:v>
                </c:pt>
                <c:pt idx="9">
                  <c:v>4.4712150775590054</c:v>
                </c:pt>
                <c:pt idx="10">
                  <c:v>4.4712150775590054</c:v>
                </c:pt>
                <c:pt idx="11">
                  <c:v>4.4712150775590054</c:v>
                </c:pt>
                <c:pt idx="12">
                  <c:v>4.4712150775590054</c:v>
                </c:pt>
                <c:pt idx="13">
                  <c:v>4.4712150775590054</c:v>
                </c:pt>
                <c:pt idx="14">
                  <c:v>4.4712150775590054</c:v>
                </c:pt>
                <c:pt idx="15">
                  <c:v>4.4712150775590054</c:v>
                </c:pt>
                <c:pt idx="16">
                  <c:v>4.4712150775590054</c:v>
                </c:pt>
                <c:pt idx="17">
                  <c:v>4.4712150775590054</c:v>
                </c:pt>
                <c:pt idx="18">
                  <c:v>4.2311412086762736</c:v>
                </c:pt>
                <c:pt idx="19">
                  <c:v>4.2311412086762736</c:v>
                </c:pt>
                <c:pt idx="20">
                  <c:v>4.2311412086762736</c:v>
                </c:pt>
                <c:pt idx="21">
                  <c:v>4.2311412086762736</c:v>
                </c:pt>
                <c:pt idx="22">
                  <c:v>4.2311412086762736</c:v>
                </c:pt>
                <c:pt idx="23">
                  <c:v>4.4352228413293382</c:v>
                </c:pt>
                <c:pt idx="24">
                  <c:v>5.6407986293489305</c:v>
                </c:pt>
                <c:pt idx="25">
                  <c:v>4.8476904658045576</c:v>
                </c:pt>
                <c:pt idx="26">
                  <c:v>4.8476904658045576</c:v>
                </c:pt>
                <c:pt idx="27">
                  <c:v>4.8476904658045576</c:v>
                </c:pt>
                <c:pt idx="28">
                  <c:v>4.8476904658045576</c:v>
                </c:pt>
                <c:pt idx="29">
                  <c:v>4.8476904658045576</c:v>
                </c:pt>
                <c:pt idx="30">
                  <c:v>4.8476904658045576</c:v>
                </c:pt>
                <c:pt idx="31">
                  <c:v>4.8476904658045576</c:v>
                </c:pt>
                <c:pt idx="32">
                  <c:v>4.8476904658045576</c:v>
                </c:pt>
                <c:pt idx="33">
                  <c:v>4.8476904658045576</c:v>
                </c:pt>
                <c:pt idx="34">
                  <c:v>4.9413558067463956</c:v>
                </c:pt>
                <c:pt idx="35">
                  <c:v>4.4293076139753111</c:v>
                </c:pt>
                <c:pt idx="36">
                  <c:v>4.4293076139753111</c:v>
                </c:pt>
                <c:pt idx="37">
                  <c:v>4.4293076139753111</c:v>
                </c:pt>
                <c:pt idx="38">
                  <c:v>4.4293076139753111</c:v>
                </c:pt>
                <c:pt idx="39">
                  <c:v>4.4293076139753111</c:v>
                </c:pt>
                <c:pt idx="40">
                  <c:v>4.4293076139753111</c:v>
                </c:pt>
                <c:pt idx="41">
                  <c:v>4.4293076139753111</c:v>
                </c:pt>
                <c:pt idx="42">
                  <c:v>4.4293076139753111</c:v>
                </c:pt>
                <c:pt idx="43">
                  <c:v>4.4293076139753111</c:v>
                </c:pt>
                <c:pt idx="44">
                  <c:v>4.8951822936864691</c:v>
                </c:pt>
                <c:pt idx="45">
                  <c:v>5.0417288140247978</c:v>
                </c:pt>
                <c:pt idx="46">
                  <c:v>5.0417288140247978</c:v>
                </c:pt>
                <c:pt idx="47">
                  <c:v>5.0417288140247978</c:v>
                </c:pt>
                <c:pt idx="48">
                  <c:v>5.0417288140247978</c:v>
                </c:pt>
                <c:pt idx="49">
                  <c:v>4.9386523788836616</c:v>
                </c:pt>
                <c:pt idx="50">
                  <c:v>5.5145549038116703</c:v>
                </c:pt>
                <c:pt idx="51">
                  <c:v>5.5145549038116703</c:v>
                </c:pt>
                <c:pt idx="52">
                  <c:v>5.5145549038116703</c:v>
                </c:pt>
                <c:pt idx="53">
                  <c:v>5.5145549038116703</c:v>
                </c:pt>
                <c:pt idx="54">
                  <c:v>5.5145549038116703</c:v>
                </c:pt>
                <c:pt idx="55">
                  <c:v>5.5145549038116703</c:v>
                </c:pt>
                <c:pt idx="56">
                  <c:v>5.1148329712430227</c:v>
                </c:pt>
                <c:pt idx="57">
                  <c:v>5.1148329712430227</c:v>
                </c:pt>
                <c:pt idx="58">
                  <c:v>5.1148329712430227</c:v>
                </c:pt>
                <c:pt idx="59">
                  <c:v>5.1148329712430227</c:v>
                </c:pt>
                <c:pt idx="60">
                  <c:v>5.1148329712430227</c:v>
                </c:pt>
                <c:pt idx="61">
                  <c:v>5.1148329712430227</c:v>
                </c:pt>
                <c:pt idx="62">
                  <c:v>5.1148329712430227</c:v>
                </c:pt>
                <c:pt idx="63">
                  <c:v>5.1148329712430227</c:v>
                </c:pt>
                <c:pt idx="64">
                  <c:v>5.5197538416683463</c:v>
                </c:pt>
                <c:pt idx="65">
                  <c:v>5.5197538416683463</c:v>
                </c:pt>
                <c:pt idx="66">
                  <c:v>5.5197538416683463</c:v>
                </c:pt>
                <c:pt idx="67">
                  <c:v>5.5197538416683463</c:v>
                </c:pt>
                <c:pt idx="68">
                  <c:v>5.5197538416683463</c:v>
                </c:pt>
                <c:pt idx="69">
                  <c:v>5.5197538416683463</c:v>
                </c:pt>
                <c:pt idx="70">
                  <c:v>5.5197538416683463</c:v>
                </c:pt>
                <c:pt idx="71">
                  <c:v>5.5197538416683463</c:v>
                </c:pt>
                <c:pt idx="72">
                  <c:v>5.5197538416683463</c:v>
                </c:pt>
                <c:pt idx="73">
                  <c:v>5.1619178397275425</c:v>
                </c:pt>
                <c:pt idx="74">
                  <c:v>5.1619178397275425</c:v>
                </c:pt>
                <c:pt idx="75">
                  <c:v>4.5488135783160555</c:v>
                </c:pt>
                <c:pt idx="76">
                  <c:v>4.5488135783160555</c:v>
                </c:pt>
                <c:pt idx="77">
                  <c:v>5.6512815395897729</c:v>
                </c:pt>
                <c:pt idx="78">
                  <c:v>5.526016752234387</c:v>
                </c:pt>
                <c:pt idx="79">
                  <c:v>5.526016752234387</c:v>
                </c:pt>
                <c:pt idx="80">
                  <c:v>5.526016752234387</c:v>
                </c:pt>
                <c:pt idx="81">
                  <c:v>5.526016752234387</c:v>
                </c:pt>
                <c:pt idx="82">
                  <c:v>5.526016752234387</c:v>
                </c:pt>
                <c:pt idx="83">
                  <c:v>6.7080961670724246</c:v>
                </c:pt>
                <c:pt idx="84">
                  <c:v>5.469035826215678</c:v>
                </c:pt>
                <c:pt idx="85">
                  <c:v>5.469035826215678</c:v>
                </c:pt>
                <c:pt idx="86">
                  <c:v>5.3714876052136464</c:v>
                </c:pt>
                <c:pt idx="87">
                  <c:v>5.3714876052136464</c:v>
                </c:pt>
                <c:pt idx="88">
                  <c:v>5.3714876052136464</c:v>
                </c:pt>
                <c:pt idx="89">
                  <c:v>5.9701270609959582</c:v>
                </c:pt>
                <c:pt idx="90">
                  <c:v>5.9701270609959582</c:v>
                </c:pt>
                <c:pt idx="91">
                  <c:v>5.9701270609959582</c:v>
                </c:pt>
                <c:pt idx="92">
                  <c:v>5.9701270609959582</c:v>
                </c:pt>
                <c:pt idx="93">
                  <c:v>6.2659267060363835</c:v>
                </c:pt>
                <c:pt idx="94">
                  <c:v>7.2417808288697678</c:v>
                </c:pt>
                <c:pt idx="95">
                  <c:v>7.2417808288697678</c:v>
                </c:pt>
                <c:pt idx="96">
                  <c:v>7.2417808288697678</c:v>
                </c:pt>
                <c:pt idx="97">
                  <c:v>7.2417808288697678</c:v>
                </c:pt>
                <c:pt idx="98">
                  <c:v>7.2417808288697678</c:v>
                </c:pt>
                <c:pt idx="99">
                  <c:v>5.9600338552167873</c:v>
                </c:pt>
                <c:pt idx="100">
                  <c:v>5.9600338552167873</c:v>
                </c:pt>
                <c:pt idx="101">
                  <c:v>6.0737025110849316</c:v>
                </c:pt>
                <c:pt idx="102">
                  <c:v>6.0898829928009883</c:v>
                </c:pt>
                <c:pt idx="103">
                  <c:v>6.0898829928009883</c:v>
                </c:pt>
                <c:pt idx="104">
                  <c:v>6.0479507552967959</c:v>
                </c:pt>
                <c:pt idx="105">
                  <c:v>6.0479507552967959</c:v>
                </c:pt>
                <c:pt idx="106">
                  <c:v>6.0479507552967959</c:v>
                </c:pt>
                <c:pt idx="107">
                  <c:v>6.2961282021713112</c:v>
                </c:pt>
                <c:pt idx="108">
                  <c:v>6.2961282021713112</c:v>
                </c:pt>
                <c:pt idx="109">
                  <c:v>6.3730633568266706</c:v>
                </c:pt>
                <c:pt idx="110">
                  <c:v>6.3730633568266706</c:v>
                </c:pt>
                <c:pt idx="111">
                  <c:v>6.3730633568266706</c:v>
                </c:pt>
                <c:pt idx="112">
                  <c:v>6.3730633568266706</c:v>
                </c:pt>
                <c:pt idx="113">
                  <c:v>6.3730633568266706</c:v>
                </c:pt>
                <c:pt idx="114">
                  <c:v>6.3730633568266706</c:v>
                </c:pt>
                <c:pt idx="115">
                  <c:v>6.3730633568266706</c:v>
                </c:pt>
                <c:pt idx="116">
                  <c:v>6.3730633568266706</c:v>
                </c:pt>
                <c:pt idx="117">
                  <c:v>6.3730633568266706</c:v>
                </c:pt>
                <c:pt idx="118">
                  <c:v>6.3730633568266706</c:v>
                </c:pt>
                <c:pt idx="119">
                  <c:v>6.7084979759927093</c:v>
                </c:pt>
                <c:pt idx="120">
                  <c:v>6.7084979759927093</c:v>
                </c:pt>
                <c:pt idx="121">
                  <c:v>6.7084979759927093</c:v>
                </c:pt>
                <c:pt idx="122">
                  <c:v>6.753472442102268</c:v>
                </c:pt>
                <c:pt idx="123">
                  <c:v>6.9226101541531762</c:v>
                </c:pt>
                <c:pt idx="124">
                  <c:v>6.9226101541531762</c:v>
                </c:pt>
                <c:pt idx="125">
                  <c:v>6.9226101541531762</c:v>
                </c:pt>
                <c:pt idx="126">
                  <c:v>6.9226101541531762</c:v>
                </c:pt>
                <c:pt idx="127">
                  <c:v>6.9226101541531762</c:v>
                </c:pt>
                <c:pt idx="128">
                  <c:v>6.9226101541531762</c:v>
                </c:pt>
                <c:pt idx="129">
                  <c:v>6.9226101541531762</c:v>
                </c:pt>
                <c:pt idx="130">
                  <c:v>8.2698807697164725</c:v>
                </c:pt>
                <c:pt idx="131">
                  <c:v>8.2698807697164725</c:v>
                </c:pt>
                <c:pt idx="132">
                  <c:v>8.6332733748533617</c:v>
                </c:pt>
                <c:pt idx="133">
                  <c:v>8.6332733748533617</c:v>
                </c:pt>
                <c:pt idx="134">
                  <c:v>8.6332733748533617</c:v>
                </c:pt>
                <c:pt idx="135">
                  <c:v>8.6332733748533617</c:v>
                </c:pt>
                <c:pt idx="136">
                  <c:v>8.6332733748533617</c:v>
                </c:pt>
                <c:pt idx="137">
                  <c:v>8.6332733748533617</c:v>
                </c:pt>
                <c:pt idx="138">
                  <c:v>8.6332733748533617</c:v>
                </c:pt>
                <c:pt idx="139">
                  <c:v>8.6332733748533617</c:v>
                </c:pt>
                <c:pt idx="140">
                  <c:v>8.9025773633382936</c:v>
                </c:pt>
                <c:pt idx="141">
                  <c:v>8.9025773633382936</c:v>
                </c:pt>
                <c:pt idx="142">
                  <c:v>8.9025773633382936</c:v>
                </c:pt>
                <c:pt idx="143">
                  <c:v>8.9025773633382936</c:v>
                </c:pt>
                <c:pt idx="144">
                  <c:v>8.9025773633382936</c:v>
                </c:pt>
                <c:pt idx="145">
                  <c:v>8.9025773633382936</c:v>
                </c:pt>
                <c:pt idx="146">
                  <c:v>8.9025773633382936</c:v>
                </c:pt>
                <c:pt idx="147">
                  <c:v>8.9025773633382936</c:v>
                </c:pt>
                <c:pt idx="148">
                  <c:v>8.9025773633382936</c:v>
                </c:pt>
                <c:pt idx="149">
                  <c:v>8.9025773633382936</c:v>
                </c:pt>
                <c:pt idx="150">
                  <c:v>9.645585921364578</c:v>
                </c:pt>
                <c:pt idx="151">
                  <c:v>9.645585921364578</c:v>
                </c:pt>
                <c:pt idx="152">
                  <c:v>9.645585921364578</c:v>
                </c:pt>
                <c:pt idx="153">
                  <c:v>10.368430156288952</c:v>
                </c:pt>
                <c:pt idx="154">
                  <c:v>10.908174046349076</c:v>
                </c:pt>
                <c:pt idx="155">
                  <c:v>11.317670023547187</c:v>
                </c:pt>
                <c:pt idx="156">
                  <c:v>11.317670023547187</c:v>
                </c:pt>
                <c:pt idx="157">
                  <c:v>11.317670023547187</c:v>
                </c:pt>
                <c:pt idx="158">
                  <c:v>11.317670023547187</c:v>
                </c:pt>
                <c:pt idx="159">
                  <c:v>12.032733364798178</c:v>
                </c:pt>
                <c:pt idx="160">
                  <c:v>12.032733364798178</c:v>
                </c:pt>
                <c:pt idx="161">
                  <c:v>12.032733364798178</c:v>
                </c:pt>
                <c:pt idx="162">
                  <c:v>12.032733364798178</c:v>
                </c:pt>
                <c:pt idx="163">
                  <c:v>12.032733364798178</c:v>
                </c:pt>
                <c:pt idx="164">
                  <c:v>12.032733364798178</c:v>
                </c:pt>
                <c:pt idx="165">
                  <c:v>12.032733364798178</c:v>
                </c:pt>
                <c:pt idx="166">
                  <c:v>12.034801617124963</c:v>
                </c:pt>
                <c:pt idx="167">
                  <c:v>12.590413522772369</c:v>
                </c:pt>
                <c:pt idx="168">
                  <c:v>12.590413522772369</c:v>
                </c:pt>
                <c:pt idx="169">
                  <c:v>12.923318029960848</c:v>
                </c:pt>
                <c:pt idx="170">
                  <c:v>12.923318029960848</c:v>
                </c:pt>
                <c:pt idx="171">
                  <c:v>12.995994822382864</c:v>
                </c:pt>
                <c:pt idx="172">
                  <c:v>12.995994822382864</c:v>
                </c:pt>
                <c:pt idx="173">
                  <c:v>12.995994822382864</c:v>
                </c:pt>
                <c:pt idx="174">
                  <c:v>12.995994822382864</c:v>
                </c:pt>
                <c:pt idx="175">
                  <c:v>12.995994822382864</c:v>
                </c:pt>
                <c:pt idx="176">
                  <c:v>12.995994822382864</c:v>
                </c:pt>
                <c:pt idx="177">
                  <c:v>12.995994822382864</c:v>
                </c:pt>
                <c:pt idx="178">
                  <c:v>12.995994822382864</c:v>
                </c:pt>
                <c:pt idx="179">
                  <c:v>12.995994822382864</c:v>
                </c:pt>
                <c:pt idx="180">
                  <c:v>12.692351097686508</c:v>
                </c:pt>
                <c:pt idx="181">
                  <c:v>12.906575604970143</c:v>
                </c:pt>
                <c:pt idx="182">
                  <c:v>12.906575604970143</c:v>
                </c:pt>
                <c:pt idx="183">
                  <c:v>12.906575604970143</c:v>
                </c:pt>
                <c:pt idx="184">
                  <c:v>12.906575604970143</c:v>
                </c:pt>
                <c:pt idx="185">
                  <c:v>12.906575604970143</c:v>
                </c:pt>
                <c:pt idx="186">
                  <c:v>12.906575604970143</c:v>
                </c:pt>
                <c:pt idx="187">
                  <c:v>12.906575604970143</c:v>
                </c:pt>
                <c:pt idx="188">
                  <c:v>12.906575604970143</c:v>
                </c:pt>
                <c:pt idx="189">
                  <c:v>12.906575604970143</c:v>
                </c:pt>
                <c:pt idx="190">
                  <c:v>12.906575604970143</c:v>
                </c:pt>
                <c:pt idx="191">
                  <c:v>12.906575604970143</c:v>
                </c:pt>
                <c:pt idx="192">
                  <c:v>12.600845719340157</c:v>
                </c:pt>
                <c:pt idx="193">
                  <c:v>12.600845719340157</c:v>
                </c:pt>
                <c:pt idx="194">
                  <c:v>12.600845719340157</c:v>
                </c:pt>
                <c:pt idx="195">
                  <c:v>12.600845719340157</c:v>
                </c:pt>
                <c:pt idx="196">
                  <c:v>12.600845719340157</c:v>
                </c:pt>
                <c:pt idx="197">
                  <c:v>12.600845719340157</c:v>
                </c:pt>
                <c:pt idx="198">
                  <c:v>12.600845719340157</c:v>
                </c:pt>
                <c:pt idx="199">
                  <c:v>12.600845719340157</c:v>
                </c:pt>
                <c:pt idx="200">
                  <c:v>12.600845719340157</c:v>
                </c:pt>
                <c:pt idx="201">
                  <c:v>12.600845719340157</c:v>
                </c:pt>
                <c:pt idx="202">
                  <c:v>12.600845719340157</c:v>
                </c:pt>
                <c:pt idx="203">
                  <c:v>12.600845719340157</c:v>
                </c:pt>
                <c:pt idx="204">
                  <c:v>12.600845719340157</c:v>
                </c:pt>
                <c:pt idx="205">
                  <c:v>12.499342464525043</c:v>
                </c:pt>
                <c:pt idx="206">
                  <c:v>12.499342464525043</c:v>
                </c:pt>
                <c:pt idx="207">
                  <c:v>12.499342464525043</c:v>
                </c:pt>
                <c:pt idx="208">
                  <c:v>12.434476324650056</c:v>
                </c:pt>
                <c:pt idx="209">
                  <c:v>12.434476324650056</c:v>
                </c:pt>
                <c:pt idx="210">
                  <c:v>11.50932290491963</c:v>
                </c:pt>
                <c:pt idx="211">
                  <c:v>11.89948536842234</c:v>
                </c:pt>
                <c:pt idx="212">
                  <c:v>12.355916080255803</c:v>
                </c:pt>
                <c:pt idx="213">
                  <c:v>12.355916080255803</c:v>
                </c:pt>
                <c:pt idx="214">
                  <c:v>12.355916080255803</c:v>
                </c:pt>
                <c:pt idx="215">
                  <c:v>12.355916080255803</c:v>
                </c:pt>
                <c:pt idx="216">
                  <c:v>12.355916080255803</c:v>
                </c:pt>
                <c:pt idx="217">
                  <c:v>12.355916080255803</c:v>
                </c:pt>
                <c:pt idx="218">
                  <c:v>12.355916080255803</c:v>
                </c:pt>
                <c:pt idx="219">
                  <c:v>12.355916080255803</c:v>
                </c:pt>
                <c:pt idx="220">
                  <c:v>12.355916080255803</c:v>
                </c:pt>
                <c:pt idx="221">
                  <c:v>12.355916080255803</c:v>
                </c:pt>
                <c:pt idx="222">
                  <c:v>12.355916080255803</c:v>
                </c:pt>
                <c:pt idx="223">
                  <c:v>12.355916080255803</c:v>
                </c:pt>
                <c:pt idx="224">
                  <c:v>12.355916080255803</c:v>
                </c:pt>
                <c:pt idx="225">
                  <c:v>12.355916080255803</c:v>
                </c:pt>
                <c:pt idx="226">
                  <c:v>12.628758442852387</c:v>
                </c:pt>
                <c:pt idx="227">
                  <c:v>12.628758442852387</c:v>
                </c:pt>
                <c:pt idx="228">
                  <c:v>12.821722604104473</c:v>
                </c:pt>
                <c:pt idx="229">
                  <c:v>13.446413351259348</c:v>
                </c:pt>
                <c:pt idx="230">
                  <c:v>13.446413351259348</c:v>
                </c:pt>
                <c:pt idx="231">
                  <c:v>13.389378536583431</c:v>
                </c:pt>
                <c:pt idx="232">
                  <c:v>13.389378536583431</c:v>
                </c:pt>
                <c:pt idx="233">
                  <c:v>13.389378536583431</c:v>
                </c:pt>
                <c:pt idx="234">
                  <c:v>13.389378536583431</c:v>
                </c:pt>
                <c:pt idx="235">
                  <c:v>13.389378536583431</c:v>
                </c:pt>
                <c:pt idx="236">
                  <c:v>13.389378536583431</c:v>
                </c:pt>
                <c:pt idx="237">
                  <c:v>13.55121206674133</c:v>
                </c:pt>
                <c:pt idx="238">
                  <c:v>13.860527932825759</c:v>
                </c:pt>
                <c:pt idx="239">
                  <c:v>13.860527932825759</c:v>
                </c:pt>
                <c:pt idx="240">
                  <c:v>13.860527932825759</c:v>
                </c:pt>
                <c:pt idx="241">
                  <c:v>13.860527932825759</c:v>
                </c:pt>
                <c:pt idx="242">
                  <c:v>13.860527932825759</c:v>
                </c:pt>
                <c:pt idx="243">
                  <c:v>13.860527932825759</c:v>
                </c:pt>
                <c:pt idx="244">
                  <c:v>13.445720876931169</c:v>
                </c:pt>
                <c:pt idx="245">
                  <c:v>13.445720876931169</c:v>
                </c:pt>
                <c:pt idx="246">
                  <c:v>13.445720876931169</c:v>
                </c:pt>
                <c:pt idx="247">
                  <c:v>13.445720876931169</c:v>
                </c:pt>
                <c:pt idx="248">
                  <c:v>13.445720876931169</c:v>
                </c:pt>
                <c:pt idx="249">
                  <c:v>13.445720876931169</c:v>
                </c:pt>
                <c:pt idx="250">
                  <c:v>13.445720876931169</c:v>
                </c:pt>
                <c:pt idx="251">
                  <c:v>13.028985668289396</c:v>
                </c:pt>
                <c:pt idx="252">
                  <c:v>13.672084995730895</c:v>
                </c:pt>
                <c:pt idx="253">
                  <c:v>13.672084995730895</c:v>
                </c:pt>
                <c:pt idx="254">
                  <c:v>13.672084995730895</c:v>
                </c:pt>
                <c:pt idx="255">
                  <c:v>13.672084995730895</c:v>
                </c:pt>
                <c:pt idx="256">
                  <c:v>14.245667427720402</c:v>
                </c:pt>
                <c:pt idx="257">
                  <c:v>14.245667427720402</c:v>
                </c:pt>
                <c:pt idx="258">
                  <c:v>14.245667427720402</c:v>
                </c:pt>
                <c:pt idx="259">
                  <c:v>14.245667427720402</c:v>
                </c:pt>
                <c:pt idx="260">
                  <c:v>14.245667427720402</c:v>
                </c:pt>
                <c:pt idx="261">
                  <c:v>14.245667427720402</c:v>
                </c:pt>
                <c:pt idx="262">
                  <c:v>14.245667427720402</c:v>
                </c:pt>
                <c:pt idx="263">
                  <c:v>13.992432834598167</c:v>
                </c:pt>
                <c:pt idx="264">
                  <c:v>13.992432834598167</c:v>
                </c:pt>
                <c:pt idx="265">
                  <c:v>13.992432834598167</c:v>
                </c:pt>
                <c:pt idx="266">
                  <c:v>13.992432834598167</c:v>
                </c:pt>
                <c:pt idx="267">
                  <c:v>13.992432834598167</c:v>
                </c:pt>
                <c:pt idx="268">
                  <c:v>13.992432834598167</c:v>
                </c:pt>
                <c:pt idx="269">
                  <c:v>13.992432834598167</c:v>
                </c:pt>
                <c:pt idx="270">
                  <c:v>13.992432834598167</c:v>
                </c:pt>
                <c:pt idx="271">
                  <c:v>13.992432834598167</c:v>
                </c:pt>
                <c:pt idx="272">
                  <c:v>13.992432834598167</c:v>
                </c:pt>
                <c:pt idx="273">
                  <c:v>13.992432834598167</c:v>
                </c:pt>
                <c:pt idx="274">
                  <c:v>13.992432834598167</c:v>
                </c:pt>
                <c:pt idx="275">
                  <c:v>13.992432834598167</c:v>
                </c:pt>
                <c:pt idx="276">
                  <c:v>13.992432834598167</c:v>
                </c:pt>
                <c:pt idx="277">
                  <c:v>13.992432834598167</c:v>
                </c:pt>
                <c:pt idx="278">
                  <c:v>13.992432834598167</c:v>
                </c:pt>
                <c:pt idx="279">
                  <c:v>13.992432834598167</c:v>
                </c:pt>
                <c:pt idx="280">
                  <c:v>13.992432834598167</c:v>
                </c:pt>
                <c:pt idx="281">
                  <c:v>14.097092964597067</c:v>
                </c:pt>
                <c:pt idx="282">
                  <c:v>14.097092964597067</c:v>
                </c:pt>
                <c:pt idx="283">
                  <c:v>14.097092964597067</c:v>
                </c:pt>
                <c:pt idx="284">
                  <c:v>14.748433960765649</c:v>
                </c:pt>
                <c:pt idx="285">
                  <c:v>14.748433960765649</c:v>
                </c:pt>
                <c:pt idx="286">
                  <c:v>14.748433960765649</c:v>
                </c:pt>
                <c:pt idx="287">
                  <c:v>14.748433960765649</c:v>
                </c:pt>
                <c:pt idx="288">
                  <c:v>14.748433960765649</c:v>
                </c:pt>
                <c:pt idx="289">
                  <c:v>14.748433960765649</c:v>
                </c:pt>
                <c:pt idx="290">
                  <c:v>14.748433960765649</c:v>
                </c:pt>
                <c:pt idx="291">
                  <c:v>14.748433960765649</c:v>
                </c:pt>
                <c:pt idx="292">
                  <c:v>14.748433960765649</c:v>
                </c:pt>
                <c:pt idx="293">
                  <c:v>15.486812150209897</c:v>
                </c:pt>
                <c:pt idx="294">
                  <c:v>15.486812150209897</c:v>
                </c:pt>
                <c:pt idx="295">
                  <c:v>15.486812150209897</c:v>
                </c:pt>
                <c:pt idx="296">
                  <c:v>15.486812150209897</c:v>
                </c:pt>
                <c:pt idx="297">
                  <c:v>15.486812150209897</c:v>
                </c:pt>
                <c:pt idx="298">
                  <c:v>15.486812150209897</c:v>
                </c:pt>
                <c:pt idx="299">
                  <c:v>15.486812150209897</c:v>
                </c:pt>
                <c:pt idx="300">
                  <c:v>15.486812150209897</c:v>
                </c:pt>
                <c:pt idx="301">
                  <c:v>15.486812150209897</c:v>
                </c:pt>
                <c:pt idx="302">
                  <c:v>15.486812150209897</c:v>
                </c:pt>
                <c:pt idx="303">
                  <c:v>15.486812150209897</c:v>
                </c:pt>
                <c:pt idx="304">
                  <c:v>15.486812150209897</c:v>
                </c:pt>
                <c:pt idx="305">
                  <c:v>15.486812150209897</c:v>
                </c:pt>
                <c:pt idx="306">
                  <c:v>15.486812150209897</c:v>
                </c:pt>
                <c:pt idx="307">
                  <c:v>15.486812150209897</c:v>
                </c:pt>
                <c:pt idx="308">
                  <c:v>15.486812150209897</c:v>
                </c:pt>
                <c:pt idx="309">
                  <c:v>15.486812150209897</c:v>
                </c:pt>
                <c:pt idx="310">
                  <c:v>15.486812150209897</c:v>
                </c:pt>
                <c:pt idx="311">
                  <c:v>15.486812150209897</c:v>
                </c:pt>
                <c:pt idx="312">
                  <c:v>15.486812150209897</c:v>
                </c:pt>
                <c:pt idx="313">
                  <c:v>15.486812150209897</c:v>
                </c:pt>
                <c:pt idx="314">
                  <c:v>15.486812150209897</c:v>
                </c:pt>
                <c:pt idx="315">
                  <c:v>15.486812150209897</c:v>
                </c:pt>
                <c:pt idx="316">
                  <c:v>15.486812150209897</c:v>
                </c:pt>
                <c:pt idx="317">
                  <c:v>15.486812150209897</c:v>
                </c:pt>
                <c:pt idx="318">
                  <c:v>15.888216572562301</c:v>
                </c:pt>
                <c:pt idx="319">
                  <c:v>15.888216572562301</c:v>
                </c:pt>
                <c:pt idx="320">
                  <c:v>15.888216572562301</c:v>
                </c:pt>
                <c:pt idx="321">
                  <c:v>15.888216572562301</c:v>
                </c:pt>
                <c:pt idx="322">
                  <c:v>15.888216572562301</c:v>
                </c:pt>
                <c:pt idx="323">
                  <c:v>14.296176771567277</c:v>
                </c:pt>
                <c:pt idx="324">
                  <c:v>14.296176771567277</c:v>
                </c:pt>
                <c:pt idx="325">
                  <c:v>14.296176771567277</c:v>
                </c:pt>
                <c:pt idx="326">
                  <c:v>14.296176771567277</c:v>
                </c:pt>
                <c:pt idx="327">
                  <c:v>14.460039311667439</c:v>
                </c:pt>
                <c:pt idx="328">
                  <c:v>14.861978437833368</c:v>
                </c:pt>
                <c:pt idx="329">
                  <c:v>14.861978437833368</c:v>
                </c:pt>
                <c:pt idx="330">
                  <c:v>14.861978437833368</c:v>
                </c:pt>
                <c:pt idx="331">
                  <c:v>14.861978437833368</c:v>
                </c:pt>
                <c:pt idx="332">
                  <c:v>14.861978437833368</c:v>
                </c:pt>
                <c:pt idx="333">
                  <c:v>14.861978437833368</c:v>
                </c:pt>
                <c:pt idx="334">
                  <c:v>14.861978437833368</c:v>
                </c:pt>
                <c:pt idx="335">
                  <c:v>14.861978437833368</c:v>
                </c:pt>
                <c:pt idx="336">
                  <c:v>15.214830515357553</c:v>
                </c:pt>
                <c:pt idx="337">
                  <c:v>15.214830515357553</c:v>
                </c:pt>
                <c:pt idx="338">
                  <c:v>15.214830515357553</c:v>
                </c:pt>
                <c:pt idx="339">
                  <c:v>14.942059890655598</c:v>
                </c:pt>
                <c:pt idx="340">
                  <c:v>16.108298841325684</c:v>
                </c:pt>
                <c:pt idx="341">
                  <c:v>16.108298841325684</c:v>
                </c:pt>
                <c:pt idx="342">
                  <c:v>16.108298841325684</c:v>
                </c:pt>
                <c:pt idx="343">
                  <c:v>16.108298841325684</c:v>
                </c:pt>
                <c:pt idx="344">
                  <c:v>15.556531947339323</c:v>
                </c:pt>
                <c:pt idx="345">
                  <c:v>15.556531947339323</c:v>
                </c:pt>
                <c:pt idx="346">
                  <c:v>15.556531947339323</c:v>
                </c:pt>
                <c:pt idx="347">
                  <c:v>15.556531947339323</c:v>
                </c:pt>
                <c:pt idx="348">
                  <c:v>15.556531947339323</c:v>
                </c:pt>
                <c:pt idx="349">
                  <c:v>15.556531947339323</c:v>
                </c:pt>
                <c:pt idx="350">
                  <c:v>15.556531947339323</c:v>
                </c:pt>
                <c:pt idx="351">
                  <c:v>15.845215550110685</c:v>
                </c:pt>
                <c:pt idx="352">
                  <c:v>15.130458402539208</c:v>
                </c:pt>
                <c:pt idx="353">
                  <c:v>15.130458402539208</c:v>
                </c:pt>
                <c:pt idx="354">
                  <c:v>15.130458402539208</c:v>
                </c:pt>
                <c:pt idx="355">
                  <c:v>15.516554956453769</c:v>
                </c:pt>
                <c:pt idx="356">
                  <c:v>14.453251296710942</c:v>
                </c:pt>
                <c:pt idx="357">
                  <c:v>14.453251296710942</c:v>
                </c:pt>
                <c:pt idx="358">
                  <c:v>14.453251296710942</c:v>
                </c:pt>
                <c:pt idx="359">
                  <c:v>14.453251296710942</c:v>
                </c:pt>
                <c:pt idx="360">
                  <c:v>14.233638697012335</c:v>
                </c:pt>
                <c:pt idx="361">
                  <c:v>14.233638697012335</c:v>
                </c:pt>
                <c:pt idx="362">
                  <c:v>14.233638697012335</c:v>
                </c:pt>
                <c:pt idx="363">
                  <c:v>14.233638697012335</c:v>
                </c:pt>
                <c:pt idx="364">
                  <c:v>13.756588671225847</c:v>
                </c:pt>
                <c:pt idx="365">
                  <c:v>13.756588671225847</c:v>
                </c:pt>
                <c:pt idx="366">
                  <c:v>13.756588671225847</c:v>
                </c:pt>
                <c:pt idx="367">
                  <c:v>13.756588671225847</c:v>
                </c:pt>
                <c:pt idx="368">
                  <c:v>13.756588671225847</c:v>
                </c:pt>
                <c:pt idx="369">
                  <c:v>13.756588671225847</c:v>
                </c:pt>
                <c:pt idx="370">
                  <c:v>13.756588671225847</c:v>
                </c:pt>
                <c:pt idx="371">
                  <c:v>13.756588671225847</c:v>
                </c:pt>
                <c:pt idx="372">
                  <c:v>13.957653772845241</c:v>
                </c:pt>
                <c:pt idx="373">
                  <c:v>13.957653772845241</c:v>
                </c:pt>
                <c:pt idx="374">
                  <c:v>13.957653772845241</c:v>
                </c:pt>
                <c:pt idx="375">
                  <c:v>14.65311945911975</c:v>
                </c:pt>
                <c:pt idx="376">
                  <c:v>15.275776937054705</c:v>
                </c:pt>
                <c:pt idx="377">
                  <c:v>15.275776937054705</c:v>
                </c:pt>
                <c:pt idx="378">
                  <c:v>15.648595103467178</c:v>
                </c:pt>
                <c:pt idx="379">
                  <c:v>16.242248010701978</c:v>
                </c:pt>
                <c:pt idx="380">
                  <c:v>15.76452616133583</c:v>
                </c:pt>
                <c:pt idx="381">
                  <c:v>15.76452616133583</c:v>
                </c:pt>
                <c:pt idx="382">
                  <c:v>15.76452616133583</c:v>
                </c:pt>
                <c:pt idx="383">
                  <c:v>15.76452616133583</c:v>
                </c:pt>
                <c:pt idx="384">
                  <c:v>15.587049555979263</c:v>
                </c:pt>
                <c:pt idx="385">
                  <c:v>15.587049555979263</c:v>
                </c:pt>
                <c:pt idx="386">
                  <c:v>16.137594668080389</c:v>
                </c:pt>
                <c:pt idx="387">
                  <c:v>16.137594668080389</c:v>
                </c:pt>
                <c:pt idx="388">
                  <c:v>16.137594668080389</c:v>
                </c:pt>
                <c:pt idx="389">
                  <c:v>16.137594668080389</c:v>
                </c:pt>
                <c:pt idx="390">
                  <c:v>16.137594668080389</c:v>
                </c:pt>
                <c:pt idx="391">
                  <c:v>16.137594668080389</c:v>
                </c:pt>
                <c:pt idx="392">
                  <c:v>16.137594668080389</c:v>
                </c:pt>
                <c:pt idx="393">
                  <c:v>16.603701410991992</c:v>
                </c:pt>
                <c:pt idx="394">
                  <c:v>16.603701410991992</c:v>
                </c:pt>
                <c:pt idx="395">
                  <c:v>15.208964568886728</c:v>
                </c:pt>
                <c:pt idx="396">
                  <c:v>15.208964568886728</c:v>
                </c:pt>
                <c:pt idx="397">
                  <c:v>15.208964568886728</c:v>
                </c:pt>
                <c:pt idx="398">
                  <c:v>15.208964568886728</c:v>
                </c:pt>
                <c:pt idx="399">
                  <c:v>15.208964568886728</c:v>
                </c:pt>
                <c:pt idx="400">
                  <c:v>15.208964568886728</c:v>
                </c:pt>
                <c:pt idx="401">
                  <c:v>14.452020952245888</c:v>
                </c:pt>
                <c:pt idx="402">
                  <c:v>14.182914386045674</c:v>
                </c:pt>
                <c:pt idx="403">
                  <c:v>14.182914386045674</c:v>
                </c:pt>
                <c:pt idx="404">
                  <c:v>14.182914386045674</c:v>
                </c:pt>
                <c:pt idx="405">
                  <c:v>14.182914386045674</c:v>
                </c:pt>
                <c:pt idx="406">
                  <c:v>14.660479149324726</c:v>
                </c:pt>
                <c:pt idx="407">
                  <c:v>14.660479149324726</c:v>
                </c:pt>
                <c:pt idx="408">
                  <c:v>14.660479149324726</c:v>
                </c:pt>
                <c:pt idx="409">
                  <c:v>14.660479149324726</c:v>
                </c:pt>
                <c:pt idx="410">
                  <c:v>14.660479149324726</c:v>
                </c:pt>
                <c:pt idx="411">
                  <c:v>14.660479149324726</c:v>
                </c:pt>
                <c:pt idx="412">
                  <c:v>14.660479149324726</c:v>
                </c:pt>
                <c:pt idx="413">
                  <c:v>14.660479149324726</c:v>
                </c:pt>
                <c:pt idx="414">
                  <c:v>14.660479149324726</c:v>
                </c:pt>
                <c:pt idx="415">
                  <c:v>14.660479149324726</c:v>
                </c:pt>
                <c:pt idx="416">
                  <c:v>14.660479149324726</c:v>
                </c:pt>
                <c:pt idx="417">
                  <c:v>14.660479149324726</c:v>
                </c:pt>
                <c:pt idx="418">
                  <c:v>14.660479149324726</c:v>
                </c:pt>
              </c:numCache>
            </c:numRef>
          </c:val>
          <c:smooth val="1"/>
          <c:extLst>
            <c:ext xmlns:c16="http://schemas.microsoft.com/office/drawing/2014/chart" uri="{C3380CC4-5D6E-409C-BE32-E72D297353CC}">
              <c16:uniqueId val="{00000005-B4C0-4FB1-A775-5F368678E3F3}"/>
            </c:ext>
          </c:extLst>
        </c:ser>
        <c:dLbls>
          <c:showLegendKey val="0"/>
          <c:showVal val="0"/>
          <c:showCatName val="0"/>
          <c:showSerName val="0"/>
          <c:showPercent val="0"/>
          <c:showBubbleSize val="0"/>
        </c:dLbls>
        <c:smooth val="0"/>
        <c:axId val="147683023"/>
        <c:axId val="146645279"/>
        <c:extLst/>
      </c:lineChart>
      <c:catAx>
        <c:axId val="147683023"/>
        <c:scaling>
          <c:orientation val="minMax"/>
        </c:scaling>
        <c:delete val="0"/>
        <c:axPos val="b"/>
        <c:majorGridlines>
          <c:spPr>
            <a:ln w="9525" cap="flat" cmpd="sng" algn="ctr">
              <a:noFill/>
              <a:prstDash val="dash"/>
              <a:round/>
            </a:ln>
            <a:effectLst/>
          </c:spPr>
        </c:majorGridlines>
        <c:majorTickMark val="none"/>
        <c:minorTickMark val="none"/>
        <c:tickLblPos val="low"/>
        <c:spPr>
          <a:noFill/>
          <a:ln w="12700" cap="flat" cmpd="sng" algn="ctr">
            <a:solidFill>
              <a:sysClr val="windowText" lastClr="000000"/>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6645279"/>
        <c:crosses val="autoZero"/>
        <c:auto val="1"/>
        <c:lblAlgn val="ctr"/>
        <c:lblOffset val="100"/>
        <c:tickLblSkip val="25"/>
        <c:tickMarkSkip val="25"/>
        <c:noMultiLvlLbl val="0"/>
      </c:catAx>
      <c:valAx>
        <c:axId val="146645279"/>
        <c:scaling>
          <c:orientation val="minMax"/>
          <c:max val="25"/>
        </c:scaling>
        <c:delete val="0"/>
        <c:axPos val="r"/>
        <c:majorGridlines>
          <c:spPr>
            <a:ln w="9525" cap="flat" cmpd="sng" algn="ctr">
              <a:solidFill>
                <a:schemeClr val="tx1">
                  <a:lumMod val="65000"/>
                  <a:lumOff val="35000"/>
                </a:schemeClr>
              </a:solidFill>
              <a:prstDash val="dash"/>
              <a:round/>
            </a:ln>
            <a:effectLst/>
          </c:spPr>
        </c:majorGridlines>
        <c:numFmt formatCode="0" sourceLinked="0"/>
        <c:majorTickMark val="none"/>
        <c:minorTickMark val="none"/>
        <c:tickLblPos val="high"/>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7683023"/>
        <c:crosses val="max"/>
        <c:crossBetween val="between"/>
      </c:valAx>
      <c:spPr>
        <a:solidFill>
          <a:schemeClr val="tx1">
            <a:lumMod val="50000"/>
            <a:lumOff val="50000"/>
          </a:schemeClr>
        </a:solidFill>
        <a:ln>
          <a:solidFill>
            <a:sysClr val="windowText" lastClr="000000"/>
          </a:solidFill>
        </a:ln>
        <a:effectLst/>
      </c:spPr>
    </c:plotArea>
    <c:legend>
      <c:legendPos val="t"/>
      <c:layout>
        <c:manualLayout>
          <c:xMode val="edge"/>
          <c:yMode val="edge"/>
          <c:x val="0.3991727299910296"/>
          <c:y val="1.2851365801497035E-2"/>
          <c:w val="0.53340941559520239"/>
          <c:h val="4.8919967093665528E-2"/>
        </c:manualLayout>
      </c:layout>
      <c:overlay val="0"/>
      <c:spPr>
        <a:solidFill>
          <a:schemeClr val="tx2">
            <a:lumMod val="10000"/>
            <a:lumOff val="90000"/>
          </a:schemeClr>
        </a:solidFill>
        <a:ln>
          <a:solidFill>
            <a:sysClr val="windowText" lastClr="000000"/>
          </a:solid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0"/>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SPY vs. Not</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v>Risk Units</c:v>
          </c:tx>
          <c:spPr>
            <a:solidFill>
              <a:schemeClr val="accent1"/>
            </a:solidFill>
            <a:ln>
              <a:noFill/>
            </a:ln>
            <a:effectLst/>
          </c:spPr>
          <c:invertIfNegative val="0"/>
          <c:dPt>
            <c:idx val="0"/>
            <c:invertIfNegative val="0"/>
            <c:bubble3D val="0"/>
            <c:spPr>
              <a:solidFill>
                <a:schemeClr val="accent3">
                  <a:lumMod val="60000"/>
                  <a:lumOff val="40000"/>
                </a:schemeClr>
              </a:solidFill>
              <a:ln>
                <a:solidFill>
                  <a:sysClr val="windowText" lastClr="000000"/>
                </a:solidFill>
              </a:ln>
              <a:effectLst/>
            </c:spPr>
            <c:extLst>
              <c:ext xmlns:c16="http://schemas.microsoft.com/office/drawing/2014/chart" uri="{C3380CC4-5D6E-409C-BE32-E72D297353CC}">
                <c16:uniqueId val="{00000001-6C4F-4640-BD5D-90B04F991D26}"/>
              </c:ext>
            </c:extLst>
          </c:dPt>
          <c:dPt>
            <c:idx val="1"/>
            <c:invertIfNegative val="0"/>
            <c:bubble3D val="0"/>
            <c:spPr>
              <a:solidFill>
                <a:schemeClr val="accent3"/>
              </a:solidFill>
              <a:ln>
                <a:solidFill>
                  <a:sysClr val="windowText" lastClr="000000"/>
                </a:solidFill>
              </a:ln>
              <a:effectLst/>
            </c:spPr>
            <c:extLst>
              <c:ext xmlns:c16="http://schemas.microsoft.com/office/drawing/2014/chart" uri="{C3380CC4-5D6E-409C-BE32-E72D297353CC}">
                <c16:uniqueId val="{00000003-6C4F-4640-BD5D-90B04F991D26}"/>
              </c:ext>
            </c:extLst>
          </c:dPt>
          <c:dLbls>
            <c:dLbl>
              <c:idx val="1"/>
              <c:dLblPos val="inBase"/>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C4F-4640-BD5D-90B04F991D26}"/>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'Q1-STATS'!$AC$2:$AD$2</c:f>
              <c:strCache>
                <c:ptCount val="2"/>
                <c:pt idx="0">
                  <c:v>SPY</c:v>
                </c:pt>
                <c:pt idx="1">
                  <c:v>Not SPY</c:v>
                </c:pt>
              </c:strCache>
            </c:strRef>
          </c:cat>
          <c:val>
            <c:numRef>
              <c:f>'Q1-STATS'!$AC$3:$AD$3</c:f>
              <c:numCache>
                <c:formatCode>0.0</c:formatCode>
                <c:ptCount val="2"/>
                <c:pt idx="0">
                  <c:v>18.707810985745773</c:v>
                </c:pt>
                <c:pt idx="1">
                  <c:v>-6.1764649922935986</c:v>
                </c:pt>
              </c:numCache>
            </c:numRef>
          </c:val>
          <c:extLst>
            <c:ext xmlns:c16="http://schemas.microsoft.com/office/drawing/2014/chart" uri="{C3380CC4-5D6E-409C-BE32-E72D297353CC}">
              <c16:uniqueId val="{00000004-6C4F-4640-BD5D-90B04F991D26}"/>
            </c:ext>
          </c:extLst>
        </c:ser>
        <c:dLbls>
          <c:showLegendKey val="0"/>
          <c:showVal val="0"/>
          <c:showCatName val="0"/>
          <c:showSerName val="0"/>
          <c:showPercent val="0"/>
          <c:showBubbleSize val="0"/>
        </c:dLbls>
        <c:gapWidth val="50"/>
        <c:axId val="272858815"/>
        <c:axId val="272856415"/>
      </c:barChart>
      <c:lineChart>
        <c:grouping val="stacked"/>
        <c:varyColors val="0"/>
        <c:ser>
          <c:idx val="1"/>
          <c:order val="1"/>
          <c:tx>
            <c:v>Expectancy</c:v>
          </c:tx>
          <c:spPr>
            <a:ln w="28575" cap="rnd">
              <a:solidFill>
                <a:sysClr val="windowText" lastClr="000000"/>
              </a:solidFill>
              <a:round/>
            </a:ln>
            <a:effectLst/>
          </c:spPr>
          <c:marker>
            <c:symbol val="circle"/>
            <c:size val="5"/>
            <c:spPr>
              <a:solidFill>
                <a:schemeClr val="accent2"/>
              </a:solidFill>
              <a:ln w="9525">
                <a:solidFill>
                  <a:sysClr val="windowText" lastClr="000000"/>
                </a:solidFill>
              </a:ln>
              <a:effectLst/>
            </c:spPr>
          </c:marker>
          <c:dPt>
            <c:idx val="0"/>
            <c:marker>
              <c:symbol val="circle"/>
              <c:size val="7"/>
              <c:spPr>
                <a:solidFill>
                  <a:srgbClr val="00FF00"/>
                </a:solidFill>
                <a:ln w="9525">
                  <a:solidFill>
                    <a:sysClr val="windowText" lastClr="000000"/>
                  </a:solidFill>
                </a:ln>
                <a:effectLst/>
              </c:spPr>
            </c:marker>
            <c:bubble3D val="0"/>
            <c:extLst>
              <c:ext xmlns:c16="http://schemas.microsoft.com/office/drawing/2014/chart" uri="{C3380CC4-5D6E-409C-BE32-E72D297353CC}">
                <c16:uniqueId val="{00000005-6C4F-4640-BD5D-90B04F991D26}"/>
              </c:ext>
            </c:extLst>
          </c:dPt>
          <c:dPt>
            <c:idx val="1"/>
            <c:marker>
              <c:symbol val="circle"/>
              <c:size val="7"/>
              <c:spPr>
                <a:solidFill>
                  <a:srgbClr val="00FF00"/>
                </a:solidFill>
                <a:ln w="9525">
                  <a:solidFill>
                    <a:sysClr val="windowText" lastClr="000000"/>
                  </a:solidFill>
                </a:ln>
                <a:effectLst/>
              </c:spPr>
            </c:marker>
            <c:bubble3D val="0"/>
            <c:extLst>
              <c:ext xmlns:c16="http://schemas.microsoft.com/office/drawing/2014/chart" uri="{C3380CC4-5D6E-409C-BE32-E72D297353CC}">
                <c16:uniqueId val="{00000006-6C4F-4640-BD5D-90B04F991D26}"/>
              </c:ext>
            </c:extLst>
          </c:dPt>
          <c:dLbls>
            <c:spPr>
              <a:solidFill>
                <a:schemeClr val="accent3">
                  <a:lumMod val="20000"/>
                  <a:lumOff val="80000"/>
                </a:schemeClr>
              </a:solidFill>
              <a:ln>
                <a:solidFill>
                  <a:sysClr val="windowText" lastClr="000000"/>
                </a:solid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'Q1-STATS'!$U$3:$V$3</c:f>
              <c:numCache>
                <c:formatCode>0.00</c:formatCode>
                <c:ptCount val="2"/>
                <c:pt idx="0">
                  <c:v>5.3912999958921536E-2</c:v>
                </c:pt>
                <c:pt idx="1">
                  <c:v>-8.5784236004077752E-2</c:v>
                </c:pt>
              </c:numCache>
            </c:numRef>
          </c:val>
          <c:smooth val="0"/>
          <c:extLst>
            <c:ext xmlns:c16="http://schemas.microsoft.com/office/drawing/2014/chart" uri="{C3380CC4-5D6E-409C-BE32-E72D297353CC}">
              <c16:uniqueId val="{00000007-6C4F-4640-BD5D-90B04F991D26}"/>
            </c:ext>
          </c:extLst>
        </c:ser>
        <c:dLbls>
          <c:showLegendKey val="0"/>
          <c:showVal val="0"/>
          <c:showCatName val="0"/>
          <c:showSerName val="0"/>
          <c:showPercent val="0"/>
          <c:showBubbleSize val="0"/>
        </c:dLbls>
        <c:marker val="1"/>
        <c:smooth val="0"/>
        <c:axId val="273129951"/>
        <c:axId val="273128031"/>
      </c:lineChart>
      <c:catAx>
        <c:axId val="272858815"/>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272856415"/>
        <c:crosses val="autoZero"/>
        <c:auto val="1"/>
        <c:lblAlgn val="ctr"/>
        <c:lblOffset val="100"/>
        <c:noMultiLvlLbl val="0"/>
      </c:catAx>
      <c:valAx>
        <c:axId val="272856415"/>
        <c:scaling>
          <c:orientation val="minMax"/>
          <c:max val="25"/>
        </c:scaling>
        <c:delete val="0"/>
        <c:axPos val="l"/>
        <c:majorGridlines>
          <c:spPr>
            <a:ln w="9525" cap="flat" cmpd="sng" algn="ctr">
              <a:no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72858815"/>
        <c:crosses val="autoZero"/>
        <c:crossBetween val="between"/>
      </c:valAx>
      <c:valAx>
        <c:axId val="273128031"/>
        <c:scaling>
          <c:orientation val="minMax"/>
        </c:scaling>
        <c:delete val="0"/>
        <c:axPos val="r"/>
        <c:numFmt formatCode="0.0" sourceLinked="0"/>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73129951"/>
        <c:crosses val="max"/>
        <c:crossBetween val="between"/>
      </c:valAx>
      <c:catAx>
        <c:axId val="273129951"/>
        <c:scaling>
          <c:orientation val="minMax"/>
        </c:scaling>
        <c:delete val="1"/>
        <c:axPos val="b"/>
        <c:majorTickMark val="out"/>
        <c:minorTickMark val="none"/>
        <c:tickLblPos val="nextTo"/>
        <c:crossAx val="273128031"/>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accent3">
                    <a:lumMod val="75000"/>
                  </a:schemeClr>
                </a:solidFill>
                <a:latin typeface="+mn-lt"/>
                <a:ea typeface="+mn-ea"/>
                <a:cs typeface="+mn-cs"/>
              </a:defRPr>
            </a:pPr>
            <a:r>
              <a:rPr lang="en-US" sz="2000" b="1">
                <a:solidFill>
                  <a:schemeClr val="accent3">
                    <a:lumMod val="75000"/>
                  </a:schemeClr>
                </a:solidFill>
              </a:rPr>
              <a:t>All Up Trends</a:t>
            </a:r>
          </a:p>
        </c:rich>
      </c:tx>
      <c:layout>
        <c:manualLayout>
          <c:xMode val="edge"/>
          <c:yMode val="edge"/>
          <c:x val="2.8694404591104734E-2"/>
          <c:y val="2.4198427102238356E-3"/>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accent3">
                  <a:lumMod val="75000"/>
                </a:schemeClr>
              </a:solidFill>
              <a:latin typeface="+mn-lt"/>
              <a:ea typeface="+mn-ea"/>
              <a:cs typeface="+mn-cs"/>
            </a:defRPr>
          </a:pPr>
          <a:endParaRPr lang="en-US"/>
        </a:p>
      </c:txPr>
    </c:title>
    <c:autoTitleDeleted val="0"/>
    <c:plotArea>
      <c:layout>
        <c:manualLayout>
          <c:layoutTarget val="inner"/>
          <c:xMode val="edge"/>
          <c:yMode val="edge"/>
          <c:x val="1.0171058714748035E-2"/>
          <c:y val="7.7350558040499021E-2"/>
          <c:w val="0.95283482768537431"/>
          <c:h val="0.86018548951798435"/>
        </c:manualLayout>
      </c:layout>
      <c:lineChart>
        <c:grouping val="standard"/>
        <c:varyColors val="0"/>
        <c:ser>
          <c:idx val="5"/>
          <c:order val="0"/>
          <c:tx>
            <c:v>XLK</c:v>
          </c:tx>
          <c:spPr>
            <a:ln w="28575" cap="rnd">
              <a:solidFill>
                <a:srgbClr val="0000FF"/>
              </a:solidFill>
              <a:prstDash val="solid"/>
              <a:round/>
            </a:ln>
            <a:effectLst/>
          </c:spPr>
          <c:marker>
            <c:symbol val="none"/>
          </c:marker>
          <c:val>
            <c:numRef>
              <c:f>'2025-Q2'!$CJ$4:$CJ$422</c:f>
              <c:numCache>
                <c:formatCode>0.00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0.40279467610514952</c:v>
                </c:pt>
                <c:pt idx="412">
                  <c:v>0.40279467610514952</c:v>
                </c:pt>
                <c:pt idx="413">
                  <c:v>0.40279467610514952</c:v>
                </c:pt>
                <c:pt idx="414">
                  <c:v>0.40279467610514952</c:v>
                </c:pt>
                <c:pt idx="415">
                  <c:v>0.40279467610514952</c:v>
                </c:pt>
                <c:pt idx="416">
                  <c:v>0.40279467610514952</c:v>
                </c:pt>
                <c:pt idx="417">
                  <c:v>0.40279467610514952</c:v>
                </c:pt>
                <c:pt idx="418">
                  <c:v>0.40279467610514952</c:v>
                </c:pt>
              </c:numCache>
            </c:numRef>
          </c:val>
          <c:smooth val="0"/>
          <c:extLst>
            <c:ext xmlns:c16="http://schemas.microsoft.com/office/drawing/2014/chart" uri="{C3380CC4-5D6E-409C-BE32-E72D297353CC}">
              <c16:uniqueId val="{00000012-0378-4901-951A-9CC527A3EBF2}"/>
            </c:ext>
          </c:extLst>
        </c:ser>
        <c:ser>
          <c:idx val="8"/>
          <c:order val="1"/>
          <c:tx>
            <c:v>XLC</c:v>
          </c:tx>
          <c:spPr>
            <a:ln w="38100" cap="rnd">
              <a:solidFill>
                <a:sysClr val="windowText" lastClr="000000"/>
              </a:solidFill>
              <a:round/>
            </a:ln>
            <a:effectLst/>
          </c:spPr>
          <c:marker>
            <c:symbol val="none"/>
          </c:marker>
          <c:val>
            <c:numRef>
              <c:f>'2025-Q2'!$DL$4:$DL$422</c:f>
              <c:numCache>
                <c:formatCode>0.00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-1.2097286851272664</c:v>
                </c:pt>
                <c:pt idx="104">
                  <c:v>-1.2097286851272664</c:v>
                </c:pt>
                <c:pt idx="105">
                  <c:v>-1.2097286851272664</c:v>
                </c:pt>
                <c:pt idx="106">
                  <c:v>-1.2097286851272664</c:v>
                </c:pt>
                <c:pt idx="107">
                  <c:v>-1.2097286851272664</c:v>
                </c:pt>
                <c:pt idx="108">
                  <c:v>-1.2097286851272664</c:v>
                </c:pt>
                <c:pt idx="109">
                  <c:v>-1.2097286851272664</c:v>
                </c:pt>
                <c:pt idx="110">
                  <c:v>-1.2097286851272664</c:v>
                </c:pt>
                <c:pt idx="111">
                  <c:v>-1.2097286851272664</c:v>
                </c:pt>
                <c:pt idx="112">
                  <c:v>-1.2097286851272664</c:v>
                </c:pt>
                <c:pt idx="113">
                  <c:v>-1.2097286851272664</c:v>
                </c:pt>
                <c:pt idx="114">
                  <c:v>-1.2097286851272664</c:v>
                </c:pt>
                <c:pt idx="115">
                  <c:v>-1.2097286851272664</c:v>
                </c:pt>
                <c:pt idx="116">
                  <c:v>-1.2097286851272664</c:v>
                </c:pt>
                <c:pt idx="117">
                  <c:v>-1.2097286851272664</c:v>
                </c:pt>
                <c:pt idx="118">
                  <c:v>-1.2097286851272664</c:v>
                </c:pt>
                <c:pt idx="119">
                  <c:v>-1.2097286851272664</c:v>
                </c:pt>
                <c:pt idx="120">
                  <c:v>-1.2097286851272664</c:v>
                </c:pt>
                <c:pt idx="121">
                  <c:v>-1.2097286851272664</c:v>
                </c:pt>
                <c:pt idx="122">
                  <c:v>-1.2097286851272664</c:v>
                </c:pt>
                <c:pt idx="123">
                  <c:v>-1.2097286851272664</c:v>
                </c:pt>
                <c:pt idx="124">
                  <c:v>-1.2097286851272664</c:v>
                </c:pt>
                <c:pt idx="125">
                  <c:v>-1.2097286851272664</c:v>
                </c:pt>
                <c:pt idx="126">
                  <c:v>-1.2097286851272664</c:v>
                </c:pt>
                <c:pt idx="127">
                  <c:v>-1.2097286851272664</c:v>
                </c:pt>
                <c:pt idx="128">
                  <c:v>-1.2097286851272664</c:v>
                </c:pt>
                <c:pt idx="129">
                  <c:v>-1.2097286851272664</c:v>
                </c:pt>
                <c:pt idx="130">
                  <c:v>-1.2097286851272664</c:v>
                </c:pt>
                <c:pt idx="131">
                  <c:v>-1.2097286851272664</c:v>
                </c:pt>
                <c:pt idx="132">
                  <c:v>-1.2097286851272664</c:v>
                </c:pt>
                <c:pt idx="133">
                  <c:v>-1.2097286851272664</c:v>
                </c:pt>
                <c:pt idx="134">
                  <c:v>-1.2097286851272664</c:v>
                </c:pt>
                <c:pt idx="135">
                  <c:v>-1.2097286851272664</c:v>
                </c:pt>
                <c:pt idx="136">
                  <c:v>-1.2097286851272664</c:v>
                </c:pt>
                <c:pt idx="137">
                  <c:v>-1.2097286851272664</c:v>
                </c:pt>
                <c:pt idx="138">
                  <c:v>-1.2097286851272664</c:v>
                </c:pt>
                <c:pt idx="139">
                  <c:v>-1.2097286851272664</c:v>
                </c:pt>
                <c:pt idx="140">
                  <c:v>-1.2097286851272664</c:v>
                </c:pt>
                <c:pt idx="141">
                  <c:v>-1.2097286851272664</c:v>
                </c:pt>
                <c:pt idx="142">
                  <c:v>-1.2097286851272664</c:v>
                </c:pt>
                <c:pt idx="143">
                  <c:v>-1.2097286851272664</c:v>
                </c:pt>
                <c:pt idx="144">
                  <c:v>-1.2097286851272664</c:v>
                </c:pt>
                <c:pt idx="145">
                  <c:v>-1.2097286851272664</c:v>
                </c:pt>
                <c:pt idx="146">
                  <c:v>-1.2097286851272664</c:v>
                </c:pt>
                <c:pt idx="147">
                  <c:v>-1.2097286851272664</c:v>
                </c:pt>
                <c:pt idx="148">
                  <c:v>-1.2097286851272664</c:v>
                </c:pt>
                <c:pt idx="149">
                  <c:v>-1.2097286851272664</c:v>
                </c:pt>
                <c:pt idx="150">
                  <c:v>-1.2097286851272664</c:v>
                </c:pt>
                <c:pt idx="151">
                  <c:v>-1.2097286851272664</c:v>
                </c:pt>
                <c:pt idx="152">
                  <c:v>-1.2097286851272664</c:v>
                </c:pt>
                <c:pt idx="153">
                  <c:v>-1.2097286851272664</c:v>
                </c:pt>
                <c:pt idx="154">
                  <c:v>-1.2097286851272664</c:v>
                </c:pt>
                <c:pt idx="155">
                  <c:v>-1.2097286851272664</c:v>
                </c:pt>
                <c:pt idx="156">
                  <c:v>-1.2097286851272664</c:v>
                </c:pt>
                <c:pt idx="157">
                  <c:v>-1.2097286851272664</c:v>
                </c:pt>
                <c:pt idx="158">
                  <c:v>-1.2097286851272664</c:v>
                </c:pt>
                <c:pt idx="159">
                  <c:v>-1.2097286851272664</c:v>
                </c:pt>
                <c:pt idx="160">
                  <c:v>-1.2097286851272664</c:v>
                </c:pt>
                <c:pt idx="161">
                  <c:v>-1.2097286851272664</c:v>
                </c:pt>
                <c:pt idx="162">
                  <c:v>-1.2097286851272664</c:v>
                </c:pt>
                <c:pt idx="163">
                  <c:v>-1.2097286851272664</c:v>
                </c:pt>
                <c:pt idx="164">
                  <c:v>-1.2097286851272664</c:v>
                </c:pt>
                <c:pt idx="165">
                  <c:v>-1.2097286851272664</c:v>
                </c:pt>
                <c:pt idx="166">
                  <c:v>-1.2097286851272664</c:v>
                </c:pt>
                <c:pt idx="167">
                  <c:v>-1.2097286851272664</c:v>
                </c:pt>
                <c:pt idx="168">
                  <c:v>-1.2097286851272664</c:v>
                </c:pt>
                <c:pt idx="169">
                  <c:v>-1.2097286851272664</c:v>
                </c:pt>
                <c:pt idx="170">
                  <c:v>-1.2097286851272664</c:v>
                </c:pt>
                <c:pt idx="171">
                  <c:v>-1.2097286851272664</c:v>
                </c:pt>
                <c:pt idx="172">
                  <c:v>-1.2097286851272664</c:v>
                </c:pt>
                <c:pt idx="173">
                  <c:v>-1.2097286851272664</c:v>
                </c:pt>
                <c:pt idx="174">
                  <c:v>-1.2097286851272664</c:v>
                </c:pt>
                <c:pt idx="175">
                  <c:v>-1.2097286851272664</c:v>
                </c:pt>
                <c:pt idx="176">
                  <c:v>-1.2097286851272664</c:v>
                </c:pt>
                <c:pt idx="177">
                  <c:v>-1.2097286851272664</c:v>
                </c:pt>
                <c:pt idx="178">
                  <c:v>-1.2097286851272664</c:v>
                </c:pt>
                <c:pt idx="179">
                  <c:v>-1.2097286851272664</c:v>
                </c:pt>
                <c:pt idx="180">
                  <c:v>-1.2097286851272664</c:v>
                </c:pt>
                <c:pt idx="181">
                  <c:v>-1.2097286851272664</c:v>
                </c:pt>
                <c:pt idx="182">
                  <c:v>-1.2097286851272664</c:v>
                </c:pt>
                <c:pt idx="183">
                  <c:v>-1.2097286851272664</c:v>
                </c:pt>
                <c:pt idx="184">
                  <c:v>-1.2097286851272664</c:v>
                </c:pt>
                <c:pt idx="185">
                  <c:v>-1.2097286851272664</c:v>
                </c:pt>
                <c:pt idx="186">
                  <c:v>-1.2097286851272664</c:v>
                </c:pt>
                <c:pt idx="187">
                  <c:v>-1.2097286851272664</c:v>
                </c:pt>
                <c:pt idx="188">
                  <c:v>-1.2097286851272664</c:v>
                </c:pt>
                <c:pt idx="189">
                  <c:v>-1.2097286851272664</c:v>
                </c:pt>
                <c:pt idx="190">
                  <c:v>-1.2097286851272664</c:v>
                </c:pt>
                <c:pt idx="191">
                  <c:v>-1.2097286851272664</c:v>
                </c:pt>
                <c:pt idx="192">
                  <c:v>-1.2097286851272664</c:v>
                </c:pt>
                <c:pt idx="193">
                  <c:v>-1.2097286851272664</c:v>
                </c:pt>
                <c:pt idx="194">
                  <c:v>-1.2097286851272664</c:v>
                </c:pt>
                <c:pt idx="195">
                  <c:v>-1.2097286851272664</c:v>
                </c:pt>
                <c:pt idx="196">
                  <c:v>-1.2097286851272664</c:v>
                </c:pt>
                <c:pt idx="197">
                  <c:v>-1.2097286851272664</c:v>
                </c:pt>
                <c:pt idx="198">
                  <c:v>-1.2097286851272664</c:v>
                </c:pt>
                <c:pt idx="199">
                  <c:v>-1.2097286851272664</c:v>
                </c:pt>
                <c:pt idx="200">
                  <c:v>-1.2097286851272664</c:v>
                </c:pt>
                <c:pt idx="201">
                  <c:v>-1.2097286851272664</c:v>
                </c:pt>
                <c:pt idx="202">
                  <c:v>-1.2097286851272664</c:v>
                </c:pt>
                <c:pt idx="203">
                  <c:v>-1.2097286851272664</c:v>
                </c:pt>
                <c:pt idx="204">
                  <c:v>-1.2097286851272664</c:v>
                </c:pt>
                <c:pt idx="205">
                  <c:v>-1.2097286851272664</c:v>
                </c:pt>
                <c:pt idx="206">
                  <c:v>-1.2097286851272664</c:v>
                </c:pt>
                <c:pt idx="207">
                  <c:v>-1.2097286851272664</c:v>
                </c:pt>
                <c:pt idx="208">
                  <c:v>-1.2097286851272664</c:v>
                </c:pt>
                <c:pt idx="209">
                  <c:v>-1.2097286851272664</c:v>
                </c:pt>
                <c:pt idx="210">
                  <c:v>-1.2097286851272664</c:v>
                </c:pt>
                <c:pt idx="211">
                  <c:v>-1.2097286851272664</c:v>
                </c:pt>
                <c:pt idx="212">
                  <c:v>-1.2097286851272664</c:v>
                </c:pt>
                <c:pt idx="213">
                  <c:v>-1.2097286851272664</c:v>
                </c:pt>
                <c:pt idx="214">
                  <c:v>-1.2097286851272664</c:v>
                </c:pt>
                <c:pt idx="215">
                  <c:v>-1.2097286851272664</c:v>
                </c:pt>
                <c:pt idx="216">
                  <c:v>-1.2097286851272664</c:v>
                </c:pt>
                <c:pt idx="217">
                  <c:v>-1.2097286851272664</c:v>
                </c:pt>
                <c:pt idx="218">
                  <c:v>-1.2097286851272664</c:v>
                </c:pt>
                <c:pt idx="219">
                  <c:v>-1.2097286851272664</c:v>
                </c:pt>
                <c:pt idx="220">
                  <c:v>-1.2097286851272664</c:v>
                </c:pt>
                <c:pt idx="221">
                  <c:v>-1.2097286851272664</c:v>
                </c:pt>
                <c:pt idx="222">
                  <c:v>-1.2097286851272664</c:v>
                </c:pt>
                <c:pt idx="223">
                  <c:v>-1.2097286851272664</c:v>
                </c:pt>
                <c:pt idx="224">
                  <c:v>-1.2097286851272664</c:v>
                </c:pt>
                <c:pt idx="225">
                  <c:v>-1.2097286851272664</c:v>
                </c:pt>
                <c:pt idx="226">
                  <c:v>-1.2097286851272664</c:v>
                </c:pt>
                <c:pt idx="227">
                  <c:v>-1.2097286851272664</c:v>
                </c:pt>
                <c:pt idx="228">
                  <c:v>-1.2097286851272664</c:v>
                </c:pt>
                <c:pt idx="229">
                  <c:v>-1.2097286851272664</c:v>
                </c:pt>
                <c:pt idx="230">
                  <c:v>-1.2097286851272664</c:v>
                </c:pt>
                <c:pt idx="231">
                  <c:v>-1.2097286851272664</c:v>
                </c:pt>
                <c:pt idx="232">
                  <c:v>-1.2097286851272664</c:v>
                </c:pt>
                <c:pt idx="233">
                  <c:v>-1.2097286851272664</c:v>
                </c:pt>
                <c:pt idx="234">
                  <c:v>-1.2097286851272664</c:v>
                </c:pt>
                <c:pt idx="235">
                  <c:v>-1.2097286851272664</c:v>
                </c:pt>
                <c:pt idx="236">
                  <c:v>-1.2097286851272664</c:v>
                </c:pt>
                <c:pt idx="237">
                  <c:v>-1.2097286851272664</c:v>
                </c:pt>
                <c:pt idx="238">
                  <c:v>-1.2097286851272664</c:v>
                </c:pt>
                <c:pt idx="239">
                  <c:v>-1.2097286851272664</c:v>
                </c:pt>
                <c:pt idx="240">
                  <c:v>-1.2097286851272664</c:v>
                </c:pt>
                <c:pt idx="241">
                  <c:v>-1.2097286851272664</c:v>
                </c:pt>
                <c:pt idx="242">
                  <c:v>-1.2097286851272664</c:v>
                </c:pt>
                <c:pt idx="243">
                  <c:v>-1.2097286851272664</c:v>
                </c:pt>
                <c:pt idx="244">
                  <c:v>-1.2097286851272664</c:v>
                </c:pt>
                <c:pt idx="245">
                  <c:v>-1.2097286851272664</c:v>
                </c:pt>
                <c:pt idx="246">
                  <c:v>-1.2097286851272664</c:v>
                </c:pt>
                <c:pt idx="247">
                  <c:v>-1.2097286851272664</c:v>
                </c:pt>
                <c:pt idx="248">
                  <c:v>-1.2097286851272664</c:v>
                </c:pt>
                <c:pt idx="249">
                  <c:v>-1.2097286851272664</c:v>
                </c:pt>
                <c:pt idx="250">
                  <c:v>-1.2097286851272664</c:v>
                </c:pt>
                <c:pt idx="251">
                  <c:v>-1.2097286851272664</c:v>
                </c:pt>
                <c:pt idx="252">
                  <c:v>-1.2097286851272664</c:v>
                </c:pt>
                <c:pt idx="253">
                  <c:v>-1.2097286851272664</c:v>
                </c:pt>
                <c:pt idx="254">
                  <c:v>-1.2097286851272664</c:v>
                </c:pt>
                <c:pt idx="255">
                  <c:v>-1.2097286851272664</c:v>
                </c:pt>
                <c:pt idx="256">
                  <c:v>-1.2097286851272664</c:v>
                </c:pt>
                <c:pt idx="257">
                  <c:v>-1.2097286851272664</c:v>
                </c:pt>
                <c:pt idx="258">
                  <c:v>-1.2097286851272664</c:v>
                </c:pt>
                <c:pt idx="259">
                  <c:v>-1.2097286851272664</c:v>
                </c:pt>
                <c:pt idx="260">
                  <c:v>-1.2097286851272664</c:v>
                </c:pt>
                <c:pt idx="261">
                  <c:v>-1.2097286851272664</c:v>
                </c:pt>
                <c:pt idx="262">
                  <c:v>-1.2097286851272664</c:v>
                </c:pt>
                <c:pt idx="263">
                  <c:v>-1.2097286851272664</c:v>
                </c:pt>
                <c:pt idx="264">
                  <c:v>-1.2097286851272664</c:v>
                </c:pt>
                <c:pt idx="265">
                  <c:v>-1.2097286851272664</c:v>
                </c:pt>
                <c:pt idx="266">
                  <c:v>-1.2097286851272664</c:v>
                </c:pt>
                <c:pt idx="267">
                  <c:v>-1.2097286851272664</c:v>
                </c:pt>
                <c:pt idx="268">
                  <c:v>-1.2097286851272664</c:v>
                </c:pt>
                <c:pt idx="269">
                  <c:v>-1.2097286851272664</c:v>
                </c:pt>
                <c:pt idx="270">
                  <c:v>-1.2097286851272664</c:v>
                </c:pt>
                <c:pt idx="271">
                  <c:v>-1.2097286851272664</c:v>
                </c:pt>
                <c:pt idx="272">
                  <c:v>-1.2097286851272664</c:v>
                </c:pt>
                <c:pt idx="273">
                  <c:v>-1.2097286851272664</c:v>
                </c:pt>
                <c:pt idx="274">
                  <c:v>-1.2097286851272664</c:v>
                </c:pt>
                <c:pt idx="275">
                  <c:v>-1.2097286851272664</c:v>
                </c:pt>
                <c:pt idx="276">
                  <c:v>-1.2097286851272664</c:v>
                </c:pt>
                <c:pt idx="277">
                  <c:v>-1.2097286851272664</c:v>
                </c:pt>
                <c:pt idx="278">
                  <c:v>-1.2097286851272664</c:v>
                </c:pt>
                <c:pt idx="279">
                  <c:v>-1.2097286851272664</c:v>
                </c:pt>
                <c:pt idx="280">
                  <c:v>-1.2097286851272664</c:v>
                </c:pt>
                <c:pt idx="281">
                  <c:v>-1.2097286851272664</c:v>
                </c:pt>
                <c:pt idx="282">
                  <c:v>-1.2097286851272664</c:v>
                </c:pt>
                <c:pt idx="283">
                  <c:v>-1.2097286851272664</c:v>
                </c:pt>
                <c:pt idx="284">
                  <c:v>-1.2097286851272664</c:v>
                </c:pt>
                <c:pt idx="285">
                  <c:v>-1.2097286851272664</c:v>
                </c:pt>
                <c:pt idx="286">
                  <c:v>-1.2097286851272664</c:v>
                </c:pt>
                <c:pt idx="287">
                  <c:v>-1.2097286851272664</c:v>
                </c:pt>
                <c:pt idx="288">
                  <c:v>-1.2097286851272664</c:v>
                </c:pt>
                <c:pt idx="289">
                  <c:v>-1.2097286851272664</c:v>
                </c:pt>
                <c:pt idx="290">
                  <c:v>-1.2097286851272664</c:v>
                </c:pt>
                <c:pt idx="291">
                  <c:v>-1.2097286851272664</c:v>
                </c:pt>
                <c:pt idx="292">
                  <c:v>-1.2097286851272664</c:v>
                </c:pt>
                <c:pt idx="293">
                  <c:v>-1.2097286851272664</c:v>
                </c:pt>
                <c:pt idx="294">
                  <c:v>-1.2097286851272664</c:v>
                </c:pt>
                <c:pt idx="295">
                  <c:v>-1.2097286851272664</c:v>
                </c:pt>
                <c:pt idx="296">
                  <c:v>-1.2097286851272664</c:v>
                </c:pt>
                <c:pt idx="297">
                  <c:v>-1.2097286851272664</c:v>
                </c:pt>
                <c:pt idx="298">
                  <c:v>-1.2097286851272664</c:v>
                </c:pt>
                <c:pt idx="299">
                  <c:v>-1.2097286851272664</c:v>
                </c:pt>
                <c:pt idx="300">
                  <c:v>-1.2097286851272664</c:v>
                </c:pt>
                <c:pt idx="301">
                  <c:v>-1.2097286851272664</c:v>
                </c:pt>
                <c:pt idx="302">
                  <c:v>-1.2097286851272664</c:v>
                </c:pt>
                <c:pt idx="303">
                  <c:v>-1.2097286851272664</c:v>
                </c:pt>
                <c:pt idx="304">
                  <c:v>-1.2097286851272664</c:v>
                </c:pt>
                <c:pt idx="305">
                  <c:v>-1.2097286851272664</c:v>
                </c:pt>
                <c:pt idx="306">
                  <c:v>-1.2097286851272664</c:v>
                </c:pt>
                <c:pt idx="307">
                  <c:v>-1.2097286851272664</c:v>
                </c:pt>
                <c:pt idx="308">
                  <c:v>-1.2097286851272664</c:v>
                </c:pt>
                <c:pt idx="309">
                  <c:v>-1.2097286851272664</c:v>
                </c:pt>
                <c:pt idx="310">
                  <c:v>-1.2097286851272664</c:v>
                </c:pt>
                <c:pt idx="311">
                  <c:v>-1.2097286851272664</c:v>
                </c:pt>
                <c:pt idx="312">
                  <c:v>-1.2097286851272664</c:v>
                </c:pt>
                <c:pt idx="313">
                  <c:v>-1.2097286851272664</c:v>
                </c:pt>
                <c:pt idx="314">
                  <c:v>-1.2097286851272664</c:v>
                </c:pt>
                <c:pt idx="315">
                  <c:v>-1.2097286851272664</c:v>
                </c:pt>
                <c:pt idx="316">
                  <c:v>-1.2097286851272664</c:v>
                </c:pt>
                <c:pt idx="317">
                  <c:v>-0.84049791589649614</c:v>
                </c:pt>
                <c:pt idx="318">
                  <c:v>-0.84049791589649614</c:v>
                </c:pt>
                <c:pt idx="319">
                  <c:v>-0.84049791589649614</c:v>
                </c:pt>
                <c:pt idx="320">
                  <c:v>-0.84049791589649614</c:v>
                </c:pt>
                <c:pt idx="321">
                  <c:v>-0.84049791589649614</c:v>
                </c:pt>
                <c:pt idx="322">
                  <c:v>-0.84049791589649614</c:v>
                </c:pt>
                <c:pt idx="323">
                  <c:v>-0.84049791589649614</c:v>
                </c:pt>
                <c:pt idx="324">
                  <c:v>-0.84049791589649614</c:v>
                </c:pt>
                <c:pt idx="325">
                  <c:v>-0.84049791589649614</c:v>
                </c:pt>
                <c:pt idx="326">
                  <c:v>-0.84049791589649614</c:v>
                </c:pt>
                <c:pt idx="327">
                  <c:v>-0.84049791589649614</c:v>
                </c:pt>
                <c:pt idx="328">
                  <c:v>-0.84049791589649614</c:v>
                </c:pt>
                <c:pt idx="329">
                  <c:v>-0.84049791589649614</c:v>
                </c:pt>
                <c:pt idx="330">
                  <c:v>-0.84049791589649614</c:v>
                </c:pt>
                <c:pt idx="331">
                  <c:v>-0.84049791589649614</c:v>
                </c:pt>
                <c:pt idx="332">
                  <c:v>-0.84049791589649614</c:v>
                </c:pt>
                <c:pt idx="333">
                  <c:v>-0.84049791589649614</c:v>
                </c:pt>
                <c:pt idx="334">
                  <c:v>-0.84049791589649614</c:v>
                </c:pt>
                <c:pt idx="335">
                  <c:v>-0.84049791589649614</c:v>
                </c:pt>
                <c:pt idx="336">
                  <c:v>-0.84049791589649614</c:v>
                </c:pt>
                <c:pt idx="337">
                  <c:v>-0.84049791589649614</c:v>
                </c:pt>
                <c:pt idx="338">
                  <c:v>-0.84049791589649614</c:v>
                </c:pt>
                <c:pt idx="339">
                  <c:v>-0.84049791589649614</c:v>
                </c:pt>
                <c:pt idx="340">
                  <c:v>-0.84049791589649614</c:v>
                </c:pt>
                <c:pt idx="341">
                  <c:v>-0.84049791589649614</c:v>
                </c:pt>
                <c:pt idx="342">
                  <c:v>-0.84049791589649614</c:v>
                </c:pt>
                <c:pt idx="343">
                  <c:v>-0.84049791589649614</c:v>
                </c:pt>
                <c:pt idx="344">
                  <c:v>-0.84049791589649614</c:v>
                </c:pt>
                <c:pt idx="345">
                  <c:v>-0.84049791589649614</c:v>
                </c:pt>
                <c:pt idx="346">
                  <c:v>-0.84049791589649614</c:v>
                </c:pt>
                <c:pt idx="347">
                  <c:v>-0.84049791589649614</c:v>
                </c:pt>
                <c:pt idx="348">
                  <c:v>-0.84049791589649614</c:v>
                </c:pt>
                <c:pt idx="349">
                  <c:v>-0.84049791589649614</c:v>
                </c:pt>
                <c:pt idx="350">
                  <c:v>-0.84049791589649614</c:v>
                </c:pt>
                <c:pt idx="351">
                  <c:v>-0.84049791589649614</c:v>
                </c:pt>
                <c:pt idx="352">
                  <c:v>-0.84049791589649614</c:v>
                </c:pt>
                <c:pt idx="353">
                  <c:v>-0.84049791589649614</c:v>
                </c:pt>
                <c:pt idx="354">
                  <c:v>-0.84049791589649614</c:v>
                </c:pt>
                <c:pt idx="355">
                  <c:v>-0.84049791589649614</c:v>
                </c:pt>
                <c:pt idx="356">
                  <c:v>-0.84049791589649614</c:v>
                </c:pt>
                <c:pt idx="357">
                  <c:v>-0.84049791589649614</c:v>
                </c:pt>
                <c:pt idx="358">
                  <c:v>-0.84049791589649614</c:v>
                </c:pt>
                <c:pt idx="359">
                  <c:v>-0.84049791589649614</c:v>
                </c:pt>
                <c:pt idx="360">
                  <c:v>-0.84049791589649614</c:v>
                </c:pt>
                <c:pt idx="361">
                  <c:v>-0.84049791589649614</c:v>
                </c:pt>
                <c:pt idx="362">
                  <c:v>-0.84049791589649614</c:v>
                </c:pt>
                <c:pt idx="363">
                  <c:v>-0.84049791589649614</c:v>
                </c:pt>
                <c:pt idx="364">
                  <c:v>-0.84049791589649614</c:v>
                </c:pt>
                <c:pt idx="365">
                  <c:v>-0.84049791589649614</c:v>
                </c:pt>
                <c:pt idx="366">
                  <c:v>-0.84049791589649614</c:v>
                </c:pt>
                <c:pt idx="367">
                  <c:v>-0.84049791589649614</c:v>
                </c:pt>
                <c:pt idx="368">
                  <c:v>-0.84049791589649614</c:v>
                </c:pt>
                <c:pt idx="369">
                  <c:v>-0.84049791589649614</c:v>
                </c:pt>
                <c:pt idx="370">
                  <c:v>-0.84049791589649614</c:v>
                </c:pt>
                <c:pt idx="371">
                  <c:v>-0.84049791589649614</c:v>
                </c:pt>
                <c:pt idx="372">
                  <c:v>-0.84049791589649614</c:v>
                </c:pt>
                <c:pt idx="373">
                  <c:v>-0.84049791589649614</c:v>
                </c:pt>
                <c:pt idx="374">
                  <c:v>-0.84049791589649614</c:v>
                </c:pt>
                <c:pt idx="375">
                  <c:v>-0.84049791589649614</c:v>
                </c:pt>
                <c:pt idx="376">
                  <c:v>-0.84049791589649614</c:v>
                </c:pt>
                <c:pt idx="377">
                  <c:v>-0.84049791589649614</c:v>
                </c:pt>
                <c:pt idx="378">
                  <c:v>-0.84049791589649614</c:v>
                </c:pt>
                <c:pt idx="379">
                  <c:v>-0.84049791589649614</c:v>
                </c:pt>
                <c:pt idx="380">
                  <c:v>-0.84049791589649614</c:v>
                </c:pt>
                <c:pt idx="381">
                  <c:v>-0.84049791589649614</c:v>
                </c:pt>
                <c:pt idx="382">
                  <c:v>-0.84049791589649614</c:v>
                </c:pt>
                <c:pt idx="383">
                  <c:v>-0.84049791589649614</c:v>
                </c:pt>
                <c:pt idx="384">
                  <c:v>-0.84049791589649614</c:v>
                </c:pt>
                <c:pt idx="385">
                  <c:v>-0.84049791589649614</c:v>
                </c:pt>
                <c:pt idx="386">
                  <c:v>-0.84049791589649614</c:v>
                </c:pt>
                <c:pt idx="387">
                  <c:v>-0.84049791589649614</c:v>
                </c:pt>
                <c:pt idx="388">
                  <c:v>-0.84049791589649614</c:v>
                </c:pt>
                <c:pt idx="389">
                  <c:v>-0.84049791589649614</c:v>
                </c:pt>
                <c:pt idx="390">
                  <c:v>-0.84049791589649614</c:v>
                </c:pt>
                <c:pt idx="391">
                  <c:v>-0.84049791589649614</c:v>
                </c:pt>
                <c:pt idx="392">
                  <c:v>-0.84049791589649614</c:v>
                </c:pt>
                <c:pt idx="393">
                  <c:v>-0.84049791589649614</c:v>
                </c:pt>
                <c:pt idx="394">
                  <c:v>-0.84049791589649614</c:v>
                </c:pt>
                <c:pt idx="395">
                  <c:v>-0.84049791589649614</c:v>
                </c:pt>
                <c:pt idx="396">
                  <c:v>-0.84049791589649614</c:v>
                </c:pt>
                <c:pt idx="397">
                  <c:v>-0.84049791589649614</c:v>
                </c:pt>
                <c:pt idx="398">
                  <c:v>-0.84049791589649614</c:v>
                </c:pt>
                <c:pt idx="399">
                  <c:v>-0.84049791589649614</c:v>
                </c:pt>
                <c:pt idx="400">
                  <c:v>-0.84049791589649614</c:v>
                </c:pt>
                <c:pt idx="401">
                  <c:v>-0.84049791589649614</c:v>
                </c:pt>
                <c:pt idx="402">
                  <c:v>-0.84049791589649614</c:v>
                </c:pt>
                <c:pt idx="403">
                  <c:v>-0.84049791589649614</c:v>
                </c:pt>
                <c:pt idx="404">
                  <c:v>-0.84049791589649614</c:v>
                </c:pt>
                <c:pt idx="405">
                  <c:v>-0.84049791589649614</c:v>
                </c:pt>
                <c:pt idx="406">
                  <c:v>-0.84049791589649614</c:v>
                </c:pt>
                <c:pt idx="407">
                  <c:v>-0.84049791589649614</c:v>
                </c:pt>
                <c:pt idx="408">
                  <c:v>-0.84049791589649614</c:v>
                </c:pt>
                <c:pt idx="409">
                  <c:v>-0.84049791589649614</c:v>
                </c:pt>
                <c:pt idx="410">
                  <c:v>-0.84049791589649614</c:v>
                </c:pt>
                <c:pt idx="411">
                  <c:v>-0.84049791589649614</c:v>
                </c:pt>
                <c:pt idx="412">
                  <c:v>-0.84049791589649614</c:v>
                </c:pt>
                <c:pt idx="413">
                  <c:v>-0.84049791589649614</c:v>
                </c:pt>
                <c:pt idx="414">
                  <c:v>-0.84049791589649614</c:v>
                </c:pt>
                <c:pt idx="415">
                  <c:v>-0.84049791589649614</c:v>
                </c:pt>
                <c:pt idx="416">
                  <c:v>-0.84049791589649614</c:v>
                </c:pt>
                <c:pt idx="417">
                  <c:v>-0.84049791589649614</c:v>
                </c:pt>
                <c:pt idx="418">
                  <c:v>-0.84049791589649614</c:v>
                </c:pt>
              </c:numCache>
            </c:numRef>
          </c:val>
          <c:smooth val="0"/>
          <c:extLst>
            <c:ext xmlns:c16="http://schemas.microsoft.com/office/drawing/2014/chart" uri="{C3380CC4-5D6E-409C-BE32-E72D297353CC}">
              <c16:uniqueId val="{00000015-0378-4901-951A-9CC527A3EBF2}"/>
            </c:ext>
          </c:extLst>
        </c:ser>
        <c:ser>
          <c:idx val="7"/>
          <c:order val="2"/>
          <c:tx>
            <c:v>IGV</c:v>
          </c:tx>
          <c:spPr>
            <a:ln w="28575" cap="rnd">
              <a:solidFill>
                <a:schemeClr val="accent4">
                  <a:lumMod val="60000"/>
                  <a:lumOff val="40000"/>
                </a:schemeClr>
              </a:solidFill>
              <a:prstDash val="solid"/>
              <a:round/>
            </a:ln>
            <a:effectLst/>
          </c:spPr>
          <c:marker>
            <c:symbol val="none"/>
          </c:marker>
          <c:val>
            <c:numRef>
              <c:f>'2025-Q2'!$CQ$4:$CQ$422</c:f>
              <c:numCache>
                <c:formatCode>0.00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-1.489321591123322</c:v>
                </c:pt>
                <c:pt idx="258">
                  <c:v>-1.489321591123322</c:v>
                </c:pt>
                <c:pt idx="259">
                  <c:v>-1.489321591123322</c:v>
                </c:pt>
                <c:pt idx="260">
                  <c:v>-1.489321591123322</c:v>
                </c:pt>
                <c:pt idx="261">
                  <c:v>-1.489321591123322</c:v>
                </c:pt>
                <c:pt idx="262">
                  <c:v>-1.489321591123322</c:v>
                </c:pt>
                <c:pt idx="263">
                  <c:v>-1.489321591123322</c:v>
                </c:pt>
                <c:pt idx="264">
                  <c:v>-1.489321591123322</c:v>
                </c:pt>
                <c:pt idx="265">
                  <c:v>-1.489321591123322</c:v>
                </c:pt>
                <c:pt idx="266">
                  <c:v>-1.489321591123322</c:v>
                </c:pt>
                <c:pt idx="267">
                  <c:v>-1.489321591123322</c:v>
                </c:pt>
                <c:pt idx="268">
                  <c:v>-1.489321591123322</c:v>
                </c:pt>
                <c:pt idx="269">
                  <c:v>-1.489321591123322</c:v>
                </c:pt>
                <c:pt idx="270">
                  <c:v>-1.489321591123322</c:v>
                </c:pt>
                <c:pt idx="271">
                  <c:v>-1.489321591123322</c:v>
                </c:pt>
                <c:pt idx="272">
                  <c:v>-1.489321591123322</c:v>
                </c:pt>
                <c:pt idx="273">
                  <c:v>-1.489321591123322</c:v>
                </c:pt>
                <c:pt idx="274">
                  <c:v>-1.489321591123322</c:v>
                </c:pt>
                <c:pt idx="275">
                  <c:v>-1.489321591123322</c:v>
                </c:pt>
                <c:pt idx="276">
                  <c:v>-1.489321591123322</c:v>
                </c:pt>
                <c:pt idx="277">
                  <c:v>-1.1156319314882757</c:v>
                </c:pt>
                <c:pt idx="278">
                  <c:v>-1.1156319314882757</c:v>
                </c:pt>
                <c:pt idx="279">
                  <c:v>-1.1156319314882757</c:v>
                </c:pt>
                <c:pt idx="280">
                  <c:v>-1.1156319314882757</c:v>
                </c:pt>
                <c:pt idx="281">
                  <c:v>-1.1156319314882757</c:v>
                </c:pt>
                <c:pt idx="282">
                  <c:v>-1.1156319314882757</c:v>
                </c:pt>
                <c:pt idx="283">
                  <c:v>-1.1156319314882757</c:v>
                </c:pt>
                <c:pt idx="284">
                  <c:v>-1.1156319314882757</c:v>
                </c:pt>
                <c:pt idx="285">
                  <c:v>-1.1156319314882757</c:v>
                </c:pt>
                <c:pt idx="286">
                  <c:v>-1.1156319314882757</c:v>
                </c:pt>
                <c:pt idx="287">
                  <c:v>-1.1156319314882757</c:v>
                </c:pt>
                <c:pt idx="288">
                  <c:v>-1.1156319314882757</c:v>
                </c:pt>
                <c:pt idx="289">
                  <c:v>-1.1156319314882757</c:v>
                </c:pt>
                <c:pt idx="290">
                  <c:v>-1.1156319314882757</c:v>
                </c:pt>
                <c:pt idx="291">
                  <c:v>-1.1156319314882757</c:v>
                </c:pt>
                <c:pt idx="292">
                  <c:v>-1.1156319314882757</c:v>
                </c:pt>
                <c:pt idx="293">
                  <c:v>-1.1156319314882757</c:v>
                </c:pt>
                <c:pt idx="294">
                  <c:v>-1.1156319314882757</c:v>
                </c:pt>
                <c:pt idx="295">
                  <c:v>-1.1156319314882757</c:v>
                </c:pt>
                <c:pt idx="296">
                  <c:v>-1.1156319314882757</c:v>
                </c:pt>
                <c:pt idx="297">
                  <c:v>-1.1156319314882757</c:v>
                </c:pt>
                <c:pt idx="298">
                  <c:v>-1.1156319314882757</c:v>
                </c:pt>
                <c:pt idx="299">
                  <c:v>-1.1156319314882757</c:v>
                </c:pt>
                <c:pt idx="300">
                  <c:v>-1.1156319314882757</c:v>
                </c:pt>
                <c:pt idx="301">
                  <c:v>-1.1156319314882757</c:v>
                </c:pt>
                <c:pt idx="302">
                  <c:v>-1.1156319314882757</c:v>
                </c:pt>
                <c:pt idx="303">
                  <c:v>-1.1156319314882757</c:v>
                </c:pt>
                <c:pt idx="304">
                  <c:v>-2.5399197875602422</c:v>
                </c:pt>
                <c:pt idx="305">
                  <c:v>-2.5399197875602422</c:v>
                </c:pt>
                <c:pt idx="306">
                  <c:v>-2.5399197875602422</c:v>
                </c:pt>
                <c:pt idx="307">
                  <c:v>-2.5399197875602422</c:v>
                </c:pt>
                <c:pt idx="308">
                  <c:v>-2.5399197875602422</c:v>
                </c:pt>
                <c:pt idx="309">
                  <c:v>-2.5399197875602422</c:v>
                </c:pt>
                <c:pt idx="310">
                  <c:v>-2.5399197875602422</c:v>
                </c:pt>
                <c:pt idx="311">
                  <c:v>-2.5399197875602422</c:v>
                </c:pt>
                <c:pt idx="312">
                  <c:v>-2.5399197875602422</c:v>
                </c:pt>
                <c:pt idx="313">
                  <c:v>-2.5399197875602422</c:v>
                </c:pt>
                <c:pt idx="314">
                  <c:v>-2.5399197875602422</c:v>
                </c:pt>
                <c:pt idx="315">
                  <c:v>-2.5399197875602422</c:v>
                </c:pt>
                <c:pt idx="316">
                  <c:v>-2.5399197875602422</c:v>
                </c:pt>
                <c:pt idx="317">
                  <c:v>-2.5399197875602422</c:v>
                </c:pt>
                <c:pt idx="318">
                  <c:v>-2.5399197875602422</c:v>
                </c:pt>
                <c:pt idx="319">
                  <c:v>-2.5399197875602422</c:v>
                </c:pt>
                <c:pt idx="320">
                  <c:v>-2.5399197875602422</c:v>
                </c:pt>
                <c:pt idx="321">
                  <c:v>-2.5399197875602422</c:v>
                </c:pt>
                <c:pt idx="322">
                  <c:v>-2.5399197875602422</c:v>
                </c:pt>
                <c:pt idx="323">
                  <c:v>-2.5399197875602422</c:v>
                </c:pt>
                <c:pt idx="324">
                  <c:v>-2.5399197875602422</c:v>
                </c:pt>
                <c:pt idx="325">
                  <c:v>-2.5399197875602422</c:v>
                </c:pt>
                <c:pt idx="326">
                  <c:v>-2.5399197875602422</c:v>
                </c:pt>
                <c:pt idx="327">
                  <c:v>-2.5399197875602422</c:v>
                </c:pt>
                <c:pt idx="328">
                  <c:v>-2.5399197875602422</c:v>
                </c:pt>
                <c:pt idx="329">
                  <c:v>-2.5399197875602422</c:v>
                </c:pt>
                <c:pt idx="330">
                  <c:v>-2.5399197875602422</c:v>
                </c:pt>
                <c:pt idx="331">
                  <c:v>-2.5399197875602422</c:v>
                </c:pt>
                <c:pt idx="332">
                  <c:v>-2.5399197875602422</c:v>
                </c:pt>
                <c:pt idx="333">
                  <c:v>-2.5399197875602422</c:v>
                </c:pt>
                <c:pt idx="334">
                  <c:v>-2.5399197875602422</c:v>
                </c:pt>
                <c:pt idx="335">
                  <c:v>-2.5399197875602422</c:v>
                </c:pt>
                <c:pt idx="336">
                  <c:v>-2.5399197875602422</c:v>
                </c:pt>
                <c:pt idx="337">
                  <c:v>-2.5399197875602422</c:v>
                </c:pt>
                <c:pt idx="338">
                  <c:v>-2.2357678263539635</c:v>
                </c:pt>
                <c:pt idx="339">
                  <c:v>-2.2357678263539635</c:v>
                </c:pt>
                <c:pt idx="340">
                  <c:v>-2.2357678263539635</c:v>
                </c:pt>
                <c:pt idx="341">
                  <c:v>-2.2357678263539635</c:v>
                </c:pt>
                <c:pt idx="342">
                  <c:v>-2.2357678263539635</c:v>
                </c:pt>
                <c:pt idx="343">
                  <c:v>-2.2357678263539635</c:v>
                </c:pt>
                <c:pt idx="344">
                  <c:v>-2.2357678263539635</c:v>
                </c:pt>
                <c:pt idx="345">
                  <c:v>-3.0687583652268549</c:v>
                </c:pt>
                <c:pt idx="346">
                  <c:v>-3.0687583652268549</c:v>
                </c:pt>
                <c:pt idx="347">
                  <c:v>-3.0687583652268549</c:v>
                </c:pt>
                <c:pt idx="348">
                  <c:v>-3.0687583652268549</c:v>
                </c:pt>
                <c:pt idx="349">
                  <c:v>-3.0687583652268549</c:v>
                </c:pt>
                <c:pt idx="350">
                  <c:v>-3.0687583652268549</c:v>
                </c:pt>
                <c:pt idx="351">
                  <c:v>-3.0687583652268549</c:v>
                </c:pt>
                <c:pt idx="352">
                  <c:v>-3.0687583652268549</c:v>
                </c:pt>
                <c:pt idx="353">
                  <c:v>-3.0687583652268549</c:v>
                </c:pt>
                <c:pt idx="354">
                  <c:v>-3.0687583652268549</c:v>
                </c:pt>
                <c:pt idx="355">
                  <c:v>-3.0687583652268549</c:v>
                </c:pt>
                <c:pt idx="356">
                  <c:v>-3.0687583652268549</c:v>
                </c:pt>
                <c:pt idx="357">
                  <c:v>-3.0687583652268549</c:v>
                </c:pt>
                <c:pt idx="358">
                  <c:v>-1.71930060052745</c:v>
                </c:pt>
                <c:pt idx="359">
                  <c:v>-1.71930060052745</c:v>
                </c:pt>
                <c:pt idx="360">
                  <c:v>-1.71930060052745</c:v>
                </c:pt>
                <c:pt idx="361">
                  <c:v>-1.71930060052745</c:v>
                </c:pt>
                <c:pt idx="362">
                  <c:v>-1.71930060052745</c:v>
                </c:pt>
                <c:pt idx="363">
                  <c:v>-3.8906153415633056</c:v>
                </c:pt>
                <c:pt idx="364">
                  <c:v>-3.8906153415633056</c:v>
                </c:pt>
                <c:pt idx="365">
                  <c:v>-3.8906153415633056</c:v>
                </c:pt>
                <c:pt idx="366">
                  <c:v>-3.8906153415633056</c:v>
                </c:pt>
                <c:pt idx="367">
                  <c:v>-3.8906153415633056</c:v>
                </c:pt>
                <c:pt idx="368">
                  <c:v>-3.8906153415633056</c:v>
                </c:pt>
                <c:pt idx="369">
                  <c:v>-3.8906153415633056</c:v>
                </c:pt>
                <c:pt idx="370">
                  <c:v>-3.6116753136693021</c:v>
                </c:pt>
                <c:pt idx="371">
                  <c:v>-3.6116753136693021</c:v>
                </c:pt>
                <c:pt idx="372">
                  <c:v>-3.6116753136693021</c:v>
                </c:pt>
                <c:pt idx="373">
                  <c:v>-3.6116753136693021</c:v>
                </c:pt>
                <c:pt idx="374">
                  <c:v>-3.6116753136693021</c:v>
                </c:pt>
                <c:pt idx="375">
                  <c:v>-3.6116753136693021</c:v>
                </c:pt>
                <c:pt idx="376">
                  <c:v>-3.6116753136693021</c:v>
                </c:pt>
                <c:pt idx="377">
                  <c:v>-3.6116753136693021</c:v>
                </c:pt>
                <c:pt idx="378">
                  <c:v>-3.6116753136693021</c:v>
                </c:pt>
                <c:pt idx="379">
                  <c:v>-3.6116753136693021</c:v>
                </c:pt>
                <c:pt idx="380">
                  <c:v>-3.6116753136693021</c:v>
                </c:pt>
                <c:pt idx="381">
                  <c:v>-3.6116753136693021</c:v>
                </c:pt>
                <c:pt idx="382">
                  <c:v>-3.6116753136693021</c:v>
                </c:pt>
                <c:pt idx="383">
                  <c:v>-3.6116753136693021</c:v>
                </c:pt>
                <c:pt idx="384">
                  <c:v>-3.6116753136693021</c:v>
                </c:pt>
                <c:pt idx="385">
                  <c:v>-3.6116753136693021</c:v>
                </c:pt>
                <c:pt idx="386">
                  <c:v>-3.6116753136693021</c:v>
                </c:pt>
                <c:pt idx="387">
                  <c:v>-2.8337957655297128</c:v>
                </c:pt>
                <c:pt idx="388">
                  <c:v>-2.8337957655297128</c:v>
                </c:pt>
                <c:pt idx="389">
                  <c:v>-2.8337957655297128</c:v>
                </c:pt>
                <c:pt idx="390">
                  <c:v>-2.8337957655297128</c:v>
                </c:pt>
                <c:pt idx="391">
                  <c:v>-2.8337957655297128</c:v>
                </c:pt>
                <c:pt idx="392">
                  <c:v>-2.8337957655297128</c:v>
                </c:pt>
                <c:pt idx="393">
                  <c:v>-2.8337957655297128</c:v>
                </c:pt>
                <c:pt idx="394">
                  <c:v>-2.8337957655297128</c:v>
                </c:pt>
                <c:pt idx="395">
                  <c:v>-2.8337957655297128</c:v>
                </c:pt>
                <c:pt idx="396">
                  <c:v>-3.993192333715871</c:v>
                </c:pt>
                <c:pt idx="397">
                  <c:v>-3.993192333715871</c:v>
                </c:pt>
                <c:pt idx="398">
                  <c:v>-3.993192333715871</c:v>
                </c:pt>
                <c:pt idx="399">
                  <c:v>-3.993192333715871</c:v>
                </c:pt>
                <c:pt idx="400">
                  <c:v>-3.993192333715871</c:v>
                </c:pt>
                <c:pt idx="401">
                  <c:v>-3.993192333715871</c:v>
                </c:pt>
                <c:pt idx="402">
                  <c:v>-3.993192333715871</c:v>
                </c:pt>
                <c:pt idx="403">
                  <c:v>-3.993192333715871</c:v>
                </c:pt>
                <c:pt idx="404">
                  <c:v>-3.993192333715871</c:v>
                </c:pt>
                <c:pt idx="405">
                  <c:v>-3.993192333715871</c:v>
                </c:pt>
                <c:pt idx="406">
                  <c:v>-3.993192333715871</c:v>
                </c:pt>
                <c:pt idx="407">
                  <c:v>-3.993192333715871</c:v>
                </c:pt>
                <c:pt idx="408">
                  <c:v>-2.7099780615005766</c:v>
                </c:pt>
                <c:pt idx="409">
                  <c:v>-2.7099780615005766</c:v>
                </c:pt>
                <c:pt idx="410">
                  <c:v>-2.7099780615005766</c:v>
                </c:pt>
                <c:pt idx="411">
                  <c:v>-2.7099780615005766</c:v>
                </c:pt>
                <c:pt idx="412">
                  <c:v>-2.7099780615005766</c:v>
                </c:pt>
                <c:pt idx="413">
                  <c:v>-2.7099780615005766</c:v>
                </c:pt>
                <c:pt idx="414">
                  <c:v>-2.7099780615005766</c:v>
                </c:pt>
                <c:pt idx="415">
                  <c:v>-2.7099780615005766</c:v>
                </c:pt>
                <c:pt idx="416">
                  <c:v>-2.7099780615005766</c:v>
                </c:pt>
                <c:pt idx="417">
                  <c:v>-2.7099780615005766</c:v>
                </c:pt>
                <c:pt idx="418">
                  <c:v>-2.7099780615005766</c:v>
                </c:pt>
              </c:numCache>
            </c:numRef>
          </c:val>
          <c:smooth val="0"/>
          <c:extLst>
            <c:ext xmlns:c16="http://schemas.microsoft.com/office/drawing/2014/chart" uri="{C3380CC4-5D6E-409C-BE32-E72D297353CC}">
              <c16:uniqueId val="{00000014-0378-4901-951A-9CC527A3EBF2}"/>
            </c:ext>
          </c:extLst>
        </c:ser>
        <c:ser>
          <c:idx val="9"/>
          <c:order val="3"/>
          <c:tx>
            <c:v>XLI</c:v>
          </c:tx>
          <c:spPr>
            <a:ln w="28575" cap="rnd">
              <a:solidFill>
                <a:schemeClr val="bg1"/>
              </a:solidFill>
              <a:round/>
            </a:ln>
            <a:effectLst/>
          </c:spPr>
          <c:marker>
            <c:symbol val="none"/>
          </c:marker>
          <c:val>
            <c:numRef>
              <c:f>'2025-Q2'!$DZ$4:$DZ$422</c:f>
              <c:numCache>
                <c:formatCode>0.00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-1.4611133068588897</c:v>
                </c:pt>
                <c:pt idx="48">
                  <c:v>-1.4611133068588897</c:v>
                </c:pt>
                <c:pt idx="49">
                  <c:v>-1.4611133068588897</c:v>
                </c:pt>
                <c:pt idx="50">
                  <c:v>-1.4611133068588897</c:v>
                </c:pt>
                <c:pt idx="51">
                  <c:v>-1.4611133068588897</c:v>
                </c:pt>
                <c:pt idx="52">
                  <c:v>-1.4611133068588897</c:v>
                </c:pt>
                <c:pt idx="53">
                  <c:v>-1.4611133068588897</c:v>
                </c:pt>
                <c:pt idx="54">
                  <c:v>-1.4611133068588897</c:v>
                </c:pt>
                <c:pt idx="55">
                  <c:v>-1.4611133068588897</c:v>
                </c:pt>
                <c:pt idx="56">
                  <c:v>-1.4611133068588897</c:v>
                </c:pt>
                <c:pt idx="57">
                  <c:v>-1.4611133068588897</c:v>
                </c:pt>
                <c:pt idx="58">
                  <c:v>-1.4611133068588897</c:v>
                </c:pt>
                <c:pt idx="59">
                  <c:v>-1.4611133068588897</c:v>
                </c:pt>
                <c:pt idx="60">
                  <c:v>-1.4611133068588897</c:v>
                </c:pt>
                <c:pt idx="61">
                  <c:v>-1.4611133068588897</c:v>
                </c:pt>
                <c:pt idx="62">
                  <c:v>-1.4611133068588897</c:v>
                </c:pt>
                <c:pt idx="63">
                  <c:v>-1.4611133068588897</c:v>
                </c:pt>
                <c:pt idx="64">
                  <c:v>-1.4611133068588897</c:v>
                </c:pt>
                <c:pt idx="65">
                  <c:v>-1.4611133068588897</c:v>
                </c:pt>
                <c:pt idx="66">
                  <c:v>-1.4611133068588897</c:v>
                </c:pt>
                <c:pt idx="67">
                  <c:v>-1.4611133068588897</c:v>
                </c:pt>
                <c:pt idx="68">
                  <c:v>-1.4611133068588897</c:v>
                </c:pt>
                <c:pt idx="69">
                  <c:v>-1.4611133068588897</c:v>
                </c:pt>
                <c:pt idx="70">
                  <c:v>-1.4611133068588897</c:v>
                </c:pt>
                <c:pt idx="71">
                  <c:v>-1.4611133068588897</c:v>
                </c:pt>
                <c:pt idx="72">
                  <c:v>-1.4611133068588897</c:v>
                </c:pt>
                <c:pt idx="73">
                  <c:v>-1.4611133068588897</c:v>
                </c:pt>
                <c:pt idx="74">
                  <c:v>-1.4611133068588897</c:v>
                </c:pt>
                <c:pt idx="75">
                  <c:v>-1.4611133068588897</c:v>
                </c:pt>
                <c:pt idx="76">
                  <c:v>-1.4611133068588897</c:v>
                </c:pt>
                <c:pt idx="77">
                  <c:v>-1.4611133068588897</c:v>
                </c:pt>
                <c:pt idx="78">
                  <c:v>-1.4611133068588897</c:v>
                </c:pt>
                <c:pt idx="79">
                  <c:v>-1.4611133068588897</c:v>
                </c:pt>
                <c:pt idx="80">
                  <c:v>-1.4611133068588897</c:v>
                </c:pt>
                <c:pt idx="81">
                  <c:v>-1.4611133068588897</c:v>
                </c:pt>
                <c:pt idx="82">
                  <c:v>-1.4611133068588897</c:v>
                </c:pt>
                <c:pt idx="83">
                  <c:v>-1.4611133068588897</c:v>
                </c:pt>
                <c:pt idx="84">
                  <c:v>-1.4611133068588897</c:v>
                </c:pt>
                <c:pt idx="85">
                  <c:v>-1.4611133068588897</c:v>
                </c:pt>
                <c:pt idx="86">
                  <c:v>-1.4611133068588897</c:v>
                </c:pt>
                <c:pt idx="87">
                  <c:v>-1.4611133068588897</c:v>
                </c:pt>
                <c:pt idx="88">
                  <c:v>-1.4611133068588897</c:v>
                </c:pt>
                <c:pt idx="89">
                  <c:v>-1.4611133068588897</c:v>
                </c:pt>
                <c:pt idx="90">
                  <c:v>-1.4611133068588897</c:v>
                </c:pt>
                <c:pt idx="91">
                  <c:v>-1.4611133068588897</c:v>
                </c:pt>
                <c:pt idx="92">
                  <c:v>-1.4611133068588897</c:v>
                </c:pt>
                <c:pt idx="93">
                  <c:v>-1.4611133068588897</c:v>
                </c:pt>
                <c:pt idx="94">
                  <c:v>-1.4611133068588897</c:v>
                </c:pt>
                <c:pt idx="95">
                  <c:v>-1.4611133068588897</c:v>
                </c:pt>
                <c:pt idx="96">
                  <c:v>-1.4611133068588897</c:v>
                </c:pt>
                <c:pt idx="97">
                  <c:v>-1.4611133068588897</c:v>
                </c:pt>
                <c:pt idx="98">
                  <c:v>-1.4611133068588897</c:v>
                </c:pt>
                <c:pt idx="99">
                  <c:v>-1.4611133068588897</c:v>
                </c:pt>
                <c:pt idx="100">
                  <c:v>-1.4611133068588897</c:v>
                </c:pt>
                <c:pt idx="101">
                  <c:v>-1.4611133068588897</c:v>
                </c:pt>
                <c:pt idx="102">
                  <c:v>-1.4611133068588897</c:v>
                </c:pt>
                <c:pt idx="103">
                  <c:v>-1.4611133068588897</c:v>
                </c:pt>
                <c:pt idx="104">
                  <c:v>-1.4611133068588897</c:v>
                </c:pt>
                <c:pt idx="105">
                  <c:v>-1.4611133068588897</c:v>
                </c:pt>
                <c:pt idx="106">
                  <c:v>-1.2652059025281583</c:v>
                </c:pt>
                <c:pt idx="107">
                  <c:v>-1.2652059025281583</c:v>
                </c:pt>
                <c:pt idx="108">
                  <c:v>-1.2652059025281583</c:v>
                </c:pt>
                <c:pt idx="109">
                  <c:v>-1.2652059025281583</c:v>
                </c:pt>
                <c:pt idx="110">
                  <c:v>-1.2652059025281583</c:v>
                </c:pt>
                <c:pt idx="111">
                  <c:v>-1.2652059025281583</c:v>
                </c:pt>
                <c:pt idx="112">
                  <c:v>-1.2652059025281583</c:v>
                </c:pt>
                <c:pt idx="113">
                  <c:v>-1.2652059025281583</c:v>
                </c:pt>
                <c:pt idx="114">
                  <c:v>-1.2652059025281583</c:v>
                </c:pt>
                <c:pt idx="115">
                  <c:v>-1.2652059025281583</c:v>
                </c:pt>
                <c:pt idx="116">
                  <c:v>-1.2652059025281583</c:v>
                </c:pt>
                <c:pt idx="117">
                  <c:v>-1.2652059025281583</c:v>
                </c:pt>
                <c:pt idx="118">
                  <c:v>-1.2652059025281583</c:v>
                </c:pt>
                <c:pt idx="119">
                  <c:v>-1.2652059025281583</c:v>
                </c:pt>
                <c:pt idx="120">
                  <c:v>-1.2652059025281583</c:v>
                </c:pt>
                <c:pt idx="121">
                  <c:v>-1.63480022183437</c:v>
                </c:pt>
                <c:pt idx="122">
                  <c:v>-1.63480022183437</c:v>
                </c:pt>
                <c:pt idx="123">
                  <c:v>-1.63480022183437</c:v>
                </c:pt>
                <c:pt idx="124">
                  <c:v>-1.63480022183437</c:v>
                </c:pt>
                <c:pt idx="125">
                  <c:v>-1.63480022183437</c:v>
                </c:pt>
                <c:pt idx="126">
                  <c:v>-1.63480022183437</c:v>
                </c:pt>
                <c:pt idx="127">
                  <c:v>-1.63480022183437</c:v>
                </c:pt>
                <c:pt idx="128">
                  <c:v>-1.63480022183437</c:v>
                </c:pt>
                <c:pt idx="129">
                  <c:v>-1.63480022183437</c:v>
                </c:pt>
                <c:pt idx="130">
                  <c:v>-1.63480022183437</c:v>
                </c:pt>
                <c:pt idx="131">
                  <c:v>-1.63480022183437</c:v>
                </c:pt>
                <c:pt idx="132">
                  <c:v>-1.63480022183437</c:v>
                </c:pt>
                <c:pt idx="133">
                  <c:v>-1.63480022183437</c:v>
                </c:pt>
                <c:pt idx="134">
                  <c:v>-1.63480022183437</c:v>
                </c:pt>
                <c:pt idx="135">
                  <c:v>-1.63480022183437</c:v>
                </c:pt>
                <c:pt idx="136">
                  <c:v>-1.63480022183437</c:v>
                </c:pt>
                <c:pt idx="137">
                  <c:v>-1.63480022183437</c:v>
                </c:pt>
                <c:pt idx="138">
                  <c:v>-1.63480022183437</c:v>
                </c:pt>
                <c:pt idx="139">
                  <c:v>-1.63480022183437</c:v>
                </c:pt>
                <c:pt idx="140">
                  <c:v>-1.63480022183437</c:v>
                </c:pt>
                <c:pt idx="141">
                  <c:v>-1.63480022183437</c:v>
                </c:pt>
                <c:pt idx="142">
                  <c:v>-1.63480022183437</c:v>
                </c:pt>
                <c:pt idx="143">
                  <c:v>-1.63480022183437</c:v>
                </c:pt>
                <c:pt idx="144">
                  <c:v>-1.63480022183437</c:v>
                </c:pt>
                <c:pt idx="145">
                  <c:v>-1.63480022183437</c:v>
                </c:pt>
                <c:pt idx="146">
                  <c:v>-1.63480022183437</c:v>
                </c:pt>
                <c:pt idx="147">
                  <c:v>-1.63480022183437</c:v>
                </c:pt>
                <c:pt idx="148">
                  <c:v>-1.63480022183437</c:v>
                </c:pt>
                <c:pt idx="149">
                  <c:v>-1.63480022183437</c:v>
                </c:pt>
                <c:pt idx="150">
                  <c:v>-1.63480022183437</c:v>
                </c:pt>
                <c:pt idx="151">
                  <c:v>-1.63480022183437</c:v>
                </c:pt>
                <c:pt idx="152">
                  <c:v>-1.63480022183437</c:v>
                </c:pt>
                <c:pt idx="153">
                  <c:v>-1.63480022183437</c:v>
                </c:pt>
                <c:pt idx="154">
                  <c:v>-1.63480022183437</c:v>
                </c:pt>
                <c:pt idx="155">
                  <c:v>-1.63480022183437</c:v>
                </c:pt>
                <c:pt idx="156">
                  <c:v>-1.63480022183437</c:v>
                </c:pt>
                <c:pt idx="157">
                  <c:v>-1.63480022183437</c:v>
                </c:pt>
                <c:pt idx="158">
                  <c:v>-1.63480022183437</c:v>
                </c:pt>
                <c:pt idx="159">
                  <c:v>-1.63480022183437</c:v>
                </c:pt>
                <c:pt idx="160">
                  <c:v>-1.63480022183437</c:v>
                </c:pt>
                <c:pt idx="161">
                  <c:v>-1.63480022183437</c:v>
                </c:pt>
                <c:pt idx="162">
                  <c:v>-1.63480022183437</c:v>
                </c:pt>
                <c:pt idx="163">
                  <c:v>-1.63480022183437</c:v>
                </c:pt>
                <c:pt idx="164">
                  <c:v>-1.63480022183437</c:v>
                </c:pt>
                <c:pt idx="165">
                  <c:v>-1.63480022183437</c:v>
                </c:pt>
                <c:pt idx="166">
                  <c:v>-1.63480022183437</c:v>
                </c:pt>
                <c:pt idx="167">
                  <c:v>-1.63480022183437</c:v>
                </c:pt>
                <c:pt idx="168">
                  <c:v>-1.63480022183437</c:v>
                </c:pt>
                <c:pt idx="169">
                  <c:v>-1.63480022183437</c:v>
                </c:pt>
                <c:pt idx="170">
                  <c:v>-1.63480022183437</c:v>
                </c:pt>
                <c:pt idx="171">
                  <c:v>-1.63480022183437</c:v>
                </c:pt>
                <c:pt idx="172">
                  <c:v>-1.63480022183437</c:v>
                </c:pt>
                <c:pt idx="173">
                  <c:v>-1.63480022183437</c:v>
                </c:pt>
                <c:pt idx="174">
                  <c:v>-1.63480022183437</c:v>
                </c:pt>
                <c:pt idx="175">
                  <c:v>-1.63480022183437</c:v>
                </c:pt>
                <c:pt idx="176">
                  <c:v>-1.63480022183437</c:v>
                </c:pt>
                <c:pt idx="177">
                  <c:v>-1.63480022183437</c:v>
                </c:pt>
                <c:pt idx="178">
                  <c:v>-1.63480022183437</c:v>
                </c:pt>
                <c:pt idx="179">
                  <c:v>-1.63480022183437</c:v>
                </c:pt>
                <c:pt idx="180">
                  <c:v>-1.63480022183437</c:v>
                </c:pt>
                <c:pt idx="181">
                  <c:v>-1.63480022183437</c:v>
                </c:pt>
                <c:pt idx="182">
                  <c:v>-1.63480022183437</c:v>
                </c:pt>
                <c:pt idx="183">
                  <c:v>-1.63480022183437</c:v>
                </c:pt>
                <c:pt idx="184">
                  <c:v>-1.63480022183437</c:v>
                </c:pt>
                <c:pt idx="185">
                  <c:v>-1.63480022183437</c:v>
                </c:pt>
                <c:pt idx="186">
                  <c:v>-1.63480022183437</c:v>
                </c:pt>
                <c:pt idx="187">
                  <c:v>-1.63480022183437</c:v>
                </c:pt>
                <c:pt idx="188">
                  <c:v>-1.63480022183437</c:v>
                </c:pt>
                <c:pt idx="189">
                  <c:v>-1.63480022183437</c:v>
                </c:pt>
                <c:pt idx="190">
                  <c:v>-1.63480022183437</c:v>
                </c:pt>
                <c:pt idx="191">
                  <c:v>-1.63480022183437</c:v>
                </c:pt>
                <c:pt idx="192">
                  <c:v>-1.63480022183437</c:v>
                </c:pt>
                <c:pt idx="193">
                  <c:v>-1.63480022183437</c:v>
                </c:pt>
                <c:pt idx="194">
                  <c:v>-1.63480022183437</c:v>
                </c:pt>
                <c:pt idx="195">
                  <c:v>-1.63480022183437</c:v>
                </c:pt>
                <c:pt idx="196">
                  <c:v>-1.63480022183437</c:v>
                </c:pt>
                <c:pt idx="197">
                  <c:v>-1.63480022183437</c:v>
                </c:pt>
                <c:pt idx="198">
                  <c:v>-1.63480022183437</c:v>
                </c:pt>
                <c:pt idx="199">
                  <c:v>-1.63480022183437</c:v>
                </c:pt>
                <c:pt idx="200">
                  <c:v>-1.63480022183437</c:v>
                </c:pt>
                <c:pt idx="201">
                  <c:v>-1.63480022183437</c:v>
                </c:pt>
                <c:pt idx="202">
                  <c:v>-1.63480022183437</c:v>
                </c:pt>
                <c:pt idx="203">
                  <c:v>-1.63480022183437</c:v>
                </c:pt>
                <c:pt idx="204">
                  <c:v>-1.63480022183437</c:v>
                </c:pt>
                <c:pt idx="205">
                  <c:v>-1.63480022183437</c:v>
                </c:pt>
                <c:pt idx="206">
                  <c:v>-1.63480022183437</c:v>
                </c:pt>
                <c:pt idx="207">
                  <c:v>-1.63480022183437</c:v>
                </c:pt>
                <c:pt idx="208">
                  <c:v>-1.63480022183437</c:v>
                </c:pt>
                <c:pt idx="209">
                  <c:v>-1.63480022183437</c:v>
                </c:pt>
                <c:pt idx="210">
                  <c:v>-1.63480022183437</c:v>
                </c:pt>
                <c:pt idx="211">
                  <c:v>-1.63480022183437</c:v>
                </c:pt>
                <c:pt idx="212">
                  <c:v>-1.63480022183437</c:v>
                </c:pt>
                <c:pt idx="213">
                  <c:v>-1.63480022183437</c:v>
                </c:pt>
                <c:pt idx="214">
                  <c:v>-1.63480022183437</c:v>
                </c:pt>
                <c:pt idx="215">
                  <c:v>-1.63480022183437</c:v>
                </c:pt>
                <c:pt idx="216">
                  <c:v>-1.63480022183437</c:v>
                </c:pt>
                <c:pt idx="217">
                  <c:v>-0.68709251990528031</c:v>
                </c:pt>
                <c:pt idx="218">
                  <c:v>-0.68709251990528031</c:v>
                </c:pt>
                <c:pt idx="219">
                  <c:v>-0.68709251990528031</c:v>
                </c:pt>
                <c:pt idx="220">
                  <c:v>-0.68709251990528031</c:v>
                </c:pt>
                <c:pt idx="221">
                  <c:v>-0.68709251990528031</c:v>
                </c:pt>
                <c:pt idx="222">
                  <c:v>-0.68709251990528031</c:v>
                </c:pt>
                <c:pt idx="223">
                  <c:v>-1.0460034109943892</c:v>
                </c:pt>
                <c:pt idx="224">
                  <c:v>-1.0460034109943892</c:v>
                </c:pt>
                <c:pt idx="225">
                  <c:v>-1.0460034109943892</c:v>
                </c:pt>
                <c:pt idx="226">
                  <c:v>-1.0460034109943892</c:v>
                </c:pt>
                <c:pt idx="227">
                  <c:v>-1.0460034109943892</c:v>
                </c:pt>
                <c:pt idx="228">
                  <c:v>-1.0460034109943892</c:v>
                </c:pt>
                <c:pt idx="229">
                  <c:v>-1.0460034109943892</c:v>
                </c:pt>
                <c:pt idx="230">
                  <c:v>-1.0460034109943892</c:v>
                </c:pt>
                <c:pt idx="231">
                  <c:v>-1.0460034109943892</c:v>
                </c:pt>
                <c:pt idx="232">
                  <c:v>-1.0460034109943892</c:v>
                </c:pt>
                <c:pt idx="233">
                  <c:v>-1.0460034109943892</c:v>
                </c:pt>
                <c:pt idx="234">
                  <c:v>-1.0460034109943892</c:v>
                </c:pt>
                <c:pt idx="235">
                  <c:v>-1.0460034109943892</c:v>
                </c:pt>
                <c:pt idx="236">
                  <c:v>-1.0460034109943892</c:v>
                </c:pt>
                <c:pt idx="237">
                  <c:v>-1.0460034109943892</c:v>
                </c:pt>
                <c:pt idx="238">
                  <c:v>-1.0460034109943892</c:v>
                </c:pt>
                <c:pt idx="239">
                  <c:v>-1.0460034109943892</c:v>
                </c:pt>
                <c:pt idx="240">
                  <c:v>-1.0460034109943892</c:v>
                </c:pt>
                <c:pt idx="241">
                  <c:v>-1.0460034109943892</c:v>
                </c:pt>
                <c:pt idx="242">
                  <c:v>-1.0460034109943892</c:v>
                </c:pt>
                <c:pt idx="243">
                  <c:v>-1.0460034109943892</c:v>
                </c:pt>
                <c:pt idx="244">
                  <c:v>-1.0460034109943892</c:v>
                </c:pt>
                <c:pt idx="245">
                  <c:v>-1.0460034109943892</c:v>
                </c:pt>
                <c:pt idx="246">
                  <c:v>-1.0460034109943892</c:v>
                </c:pt>
                <c:pt idx="247">
                  <c:v>-1.0460034109943892</c:v>
                </c:pt>
                <c:pt idx="248">
                  <c:v>-1.0460034109943892</c:v>
                </c:pt>
                <c:pt idx="249">
                  <c:v>-1.0460034109943892</c:v>
                </c:pt>
                <c:pt idx="250">
                  <c:v>-1.0460034109943892</c:v>
                </c:pt>
                <c:pt idx="251">
                  <c:v>-1.0460034109943892</c:v>
                </c:pt>
                <c:pt idx="252">
                  <c:v>-1.0460034109943892</c:v>
                </c:pt>
                <c:pt idx="253">
                  <c:v>-1.0460034109943892</c:v>
                </c:pt>
                <c:pt idx="254">
                  <c:v>-1.0460034109943892</c:v>
                </c:pt>
                <c:pt idx="255">
                  <c:v>-1.0460034109943892</c:v>
                </c:pt>
                <c:pt idx="256">
                  <c:v>-1.0460034109943892</c:v>
                </c:pt>
                <c:pt idx="257">
                  <c:v>-1.0460034109943892</c:v>
                </c:pt>
                <c:pt idx="258">
                  <c:v>-1.0460034109943892</c:v>
                </c:pt>
                <c:pt idx="259">
                  <c:v>-1.0460034109943892</c:v>
                </c:pt>
                <c:pt idx="260">
                  <c:v>-1.0460034109943892</c:v>
                </c:pt>
                <c:pt idx="261">
                  <c:v>-1.0460034109943892</c:v>
                </c:pt>
                <c:pt idx="262">
                  <c:v>-1.0460034109943892</c:v>
                </c:pt>
                <c:pt idx="263">
                  <c:v>-1.0460034109943892</c:v>
                </c:pt>
                <c:pt idx="264">
                  <c:v>-1.0460034109943892</c:v>
                </c:pt>
                <c:pt idx="265">
                  <c:v>-1.0460034109943892</c:v>
                </c:pt>
                <c:pt idx="266">
                  <c:v>-1.0460034109943892</c:v>
                </c:pt>
                <c:pt idx="267">
                  <c:v>-1.0460034109943892</c:v>
                </c:pt>
                <c:pt idx="268">
                  <c:v>-1.0460034109943892</c:v>
                </c:pt>
                <c:pt idx="269">
                  <c:v>-1.0460034109943892</c:v>
                </c:pt>
                <c:pt idx="270">
                  <c:v>-1.0460034109943892</c:v>
                </c:pt>
                <c:pt idx="271">
                  <c:v>-1.0460034109943892</c:v>
                </c:pt>
                <c:pt idx="272">
                  <c:v>-1.0460034109943892</c:v>
                </c:pt>
                <c:pt idx="273">
                  <c:v>-1.0460034109943892</c:v>
                </c:pt>
                <c:pt idx="274">
                  <c:v>-1.0460034109943892</c:v>
                </c:pt>
                <c:pt idx="275">
                  <c:v>-1.0460034109943892</c:v>
                </c:pt>
                <c:pt idx="276">
                  <c:v>-1.0460034109943892</c:v>
                </c:pt>
                <c:pt idx="277">
                  <c:v>-1.0460034109943892</c:v>
                </c:pt>
                <c:pt idx="278">
                  <c:v>-1.0460034109943892</c:v>
                </c:pt>
                <c:pt idx="279">
                  <c:v>-1.0460034109943892</c:v>
                </c:pt>
                <c:pt idx="280">
                  <c:v>-1.0460034109943892</c:v>
                </c:pt>
                <c:pt idx="281">
                  <c:v>-1.0460034109943892</c:v>
                </c:pt>
                <c:pt idx="282">
                  <c:v>-1.0460034109943892</c:v>
                </c:pt>
                <c:pt idx="283">
                  <c:v>-1.0460034109943892</c:v>
                </c:pt>
                <c:pt idx="284">
                  <c:v>-1.0460034109943892</c:v>
                </c:pt>
                <c:pt idx="285">
                  <c:v>-1.0460034109943892</c:v>
                </c:pt>
                <c:pt idx="286">
                  <c:v>-1.0460034109943892</c:v>
                </c:pt>
                <c:pt idx="287">
                  <c:v>-1.0460034109943892</c:v>
                </c:pt>
                <c:pt idx="288">
                  <c:v>-1.0460034109943892</c:v>
                </c:pt>
                <c:pt idx="289">
                  <c:v>-1.0460034109943892</c:v>
                </c:pt>
                <c:pt idx="290">
                  <c:v>-1.1041800427550772</c:v>
                </c:pt>
                <c:pt idx="291">
                  <c:v>-1.1041800427550772</c:v>
                </c:pt>
                <c:pt idx="292">
                  <c:v>-1.1041800427550772</c:v>
                </c:pt>
                <c:pt idx="293">
                  <c:v>-1.1041800427550772</c:v>
                </c:pt>
                <c:pt idx="294">
                  <c:v>-1.1041800427550772</c:v>
                </c:pt>
                <c:pt idx="295">
                  <c:v>-1.6284722482776204</c:v>
                </c:pt>
                <c:pt idx="296">
                  <c:v>-1.6284722482776204</c:v>
                </c:pt>
                <c:pt idx="297">
                  <c:v>-1.6284722482776204</c:v>
                </c:pt>
                <c:pt idx="298">
                  <c:v>-1.6284722482776204</c:v>
                </c:pt>
                <c:pt idx="299">
                  <c:v>-1.6284722482776204</c:v>
                </c:pt>
                <c:pt idx="300">
                  <c:v>-1.6284722482776204</c:v>
                </c:pt>
                <c:pt idx="301">
                  <c:v>-1.6284722482776204</c:v>
                </c:pt>
                <c:pt idx="302">
                  <c:v>-1.6284722482776204</c:v>
                </c:pt>
                <c:pt idx="303">
                  <c:v>-1.6284722482776204</c:v>
                </c:pt>
                <c:pt idx="304">
                  <c:v>-1.6284722482776204</c:v>
                </c:pt>
                <c:pt idx="305">
                  <c:v>-1.6284722482776204</c:v>
                </c:pt>
                <c:pt idx="306">
                  <c:v>-1.6284722482776204</c:v>
                </c:pt>
                <c:pt idx="307">
                  <c:v>-1.6284722482776204</c:v>
                </c:pt>
                <c:pt idx="308">
                  <c:v>-1.6284722482776204</c:v>
                </c:pt>
                <c:pt idx="309">
                  <c:v>-1.6284722482776204</c:v>
                </c:pt>
                <c:pt idx="310">
                  <c:v>-1.6284722482776204</c:v>
                </c:pt>
                <c:pt idx="311">
                  <c:v>-1.6284722482776204</c:v>
                </c:pt>
                <c:pt idx="312">
                  <c:v>-1.6284722482776204</c:v>
                </c:pt>
                <c:pt idx="313">
                  <c:v>-1.6284722482776204</c:v>
                </c:pt>
                <c:pt idx="314">
                  <c:v>-1.6284722482776204</c:v>
                </c:pt>
                <c:pt idx="315">
                  <c:v>-1.6284722482776204</c:v>
                </c:pt>
                <c:pt idx="316">
                  <c:v>-1.6284722482776204</c:v>
                </c:pt>
                <c:pt idx="317">
                  <c:v>-1.6284722482776204</c:v>
                </c:pt>
                <c:pt idx="318">
                  <c:v>-1.6284722482776204</c:v>
                </c:pt>
                <c:pt idx="319">
                  <c:v>-1.6284722482776204</c:v>
                </c:pt>
                <c:pt idx="320">
                  <c:v>-1.6284722482776204</c:v>
                </c:pt>
                <c:pt idx="321">
                  <c:v>-1.6284722482776204</c:v>
                </c:pt>
                <c:pt idx="322">
                  <c:v>-1.6284722482776204</c:v>
                </c:pt>
                <c:pt idx="323">
                  <c:v>-1.6284722482776204</c:v>
                </c:pt>
                <c:pt idx="324">
                  <c:v>-1.6284722482776204</c:v>
                </c:pt>
                <c:pt idx="325">
                  <c:v>-1.6284722482776204</c:v>
                </c:pt>
                <c:pt idx="326">
                  <c:v>-1.6284722482776204</c:v>
                </c:pt>
                <c:pt idx="327">
                  <c:v>-1.6284722482776204</c:v>
                </c:pt>
                <c:pt idx="328">
                  <c:v>-1.6284722482776204</c:v>
                </c:pt>
                <c:pt idx="329">
                  <c:v>-1.6284722482776204</c:v>
                </c:pt>
                <c:pt idx="330">
                  <c:v>-1.6284722482776204</c:v>
                </c:pt>
                <c:pt idx="331">
                  <c:v>-1.6284722482776204</c:v>
                </c:pt>
                <c:pt idx="332">
                  <c:v>-1.6284722482776204</c:v>
                </c:pt>
                <c:pt idx="333">
                  <c:v>-1.6284722482776204</c:v>
                </c:pt>
                <c:pt idx="334">
                  <c:v>-1.4146842415208627</c:v>
                </c:pt>
                <c:pt idx="335">
                  <c:v>-1.4146842415208627</c:v>
                </c:pt>
                <c:pt idx="336">
                  <c:v>-1.4146842415208627</c:v>
                </c:pt>
                <c:pt idx="337">
                  <c:v>-1.4146842415208627</c:v>
                </c:pt>
                <c:pt idx="338">
                  <c:v>-1.4146842415208627</c:v>
                </c:pt>
                <c:pt idx="339">
                  <c:v>-1.4146842415208627</c:v>
                </c:pt>
                <c:pt idx="340">
                  <c:v>-1.4146842415208627</c:v>
                </c:pt>
                <c:pt idx="341">
                  <c:v>-1.4146842415208627</c:v>
                </c:pt>
                <c:pt idx="342">
                  <c:v>-1.4146842415208627</c:v>
                </c:pt>
                <c:pt idx="343">
                  <c:v>-1.4146842415208627</c:v>
                </c:pt>
                <c:pt idx="344">
                  <c:v>-1.4146842415208627</c:v>
                </c:pt>
                <c:pt idx="345">
                  <c:v>-1.4146842415208627</c:v>
                </c:pt>
                <c:pt idx="346">
                  <c:v>-1.4146842415208627</c:v>
                </c:pt>
                <c:pt idx="347">
                  <c:v>-1.4146842415208627</c:v>
                </c:pt>
                <c:pt idx="348">
                  <c:v>-1.4146842415208627</c:v>
                </c:pt>
                <c:pt idx="349">
                  <c:v>-1.4146842415208627</c:v>
                </c:pt>
                <c:pt idx="350">
                  <c:v>-1.4146842415208627</c:v>
                </c:pt>
                <c:pt idx="351">
                  <c:v>-1.4146842415208627</c:v>
                </c:pt>
                <c:pt idx="352">
                  <c:v>-1.4146842415208627</c:v>
                </c:pt>
                <c:pt idx="353">
                  <c:v>-1.4146842415208627</c:v>
                </c:pt>
                <c:pt idx="354">
                  <c:v>-1.4146842415208627</c:v>
                </c:pt>
                <c:pt idx="355">
                  <c:v>-1.4146842415208627</c:v>
                </c:pt>
                <c:pt idx="356">
                  <c:v>-1.4146842415208627</c:v>
                </c:pt>
                <c:pt idx="357">
                  <c:v>-1.4146842415208627</c:v>
                </c:pt>
                <c:pt idx="358">
                  <c:v>-1.4146842415208627</c:v>
                </c:pt>
                <c:pt idx="359">
                  <c:v>-1.4146842415208627</c:v>
                </c:pt>
                <c:pt idx="360">
                  <c:v>-1.4146842415208627</c:v>
                </c:pt>
                <c:pt idx="361">
                  <c:v>-1.4146842415208627</c:v>
                </c:pt>
                <c:pt idx="362">
                  <c:v>-1.4146842415208627</c:v>
                </c:pt>
                <c:pt idx="363">
                  <c:v>-1.4146842415208627</c:v>
                </c:pt>
                <c:pt idx="364">
                  <c:v>-1.4146842415208627</c:v>
                </c:pt>
                <c:pt idx="365">
                  <c:v>-1.4146842415208627</c:v>
                </c:pt>
                <c:pt idx="366">
                  <c:v>-1.4146842415208627</c:v>
                </c:pt>
                <c:pt idx="367">
                  <c:v>-1.4146842415208627</c:v>
                </c:pt>
                <c:pt idx="368">
                  <c:v>-1.4146842415208627</c:v>
                </c:pt>
                <c:pt idx="369">
                  <c:v>-1.4146842415208627</c:v>
                </c:pt>
                <c:pt idx="370">
                  <c:v>-1.4146842415208627</c:v>
                </c:pt>
                <c:pt idx="371">
                  <c:v>-1.4146842415208627</c:v>
                </c:pt>
                <c:pt idx="372">
                  <c:v>-1.4146842415208627</c:v>
                </c:pt>
                <c:pt idx="373">
                  <c:v>-1.4146842415208627</c:v>
                </c:pt>
                <c:pt idx="374">
                  <c:v>-1.4146842415208627</c:v>
                </c:pt>
                <c:pt idx="375">
                  <c:v>-1.4146842415208627</c:v>
                </c:pt>
                <c:pt idx="376">
                  <c:v>-1.4146842415208627</c:v>
                </c:pt>
                <c:pt idx="377">
                  <c:v>-1.4146842415208627</c:v>
                </c:pt>
                <c:pt idx="378">
                  <c:v>-1.4146842415208627</c:v>
                </c:pt>
                <c:pt idx="379">
                  <c:v>-1.4146842415208627</c:v>
                </c:pt>
                <c:pt idx="380">
                  <c:v>-1.4146842415208627</c:v>
                </c:pt>
                <c:pt idx="381">
                  <c:v>-1.4146842415208627</c:v>
                </c:pt>
                <c:pt idx="382">
                  <c:v>-1.4146842415208627</c:v>
                </c:pt>
                <c:pt idx="383">
                  <c:v>-1.4146842415208627</c:v>
                </c:pt>
                <c:pt idx="384">
                  <c:v>-1.4146842415208627</c:v>
                </c:pt>
                <c:pt idx="385">
                  <c:v>-1.4146842415208627</c:v>
                </c:pt>
                <c:pt idx="386">
                  <c:v>-1.4146842415208627</c:v>
                </c:pt>
                <c:pt idx="387">
                  <c:v>-1.4146842415208627</c:v>
                </c:pt>
                <c:pt idx="388">
                  <c:v>-1.4146842415208627</c:v>
                </c:pt>
                <c:pt idx="389">
                  <c:v>-1.4146842415208627</c:v>
                </c:pt>
                <c:pt idx="390">
                  <c:v>-1.4146842415208627</c:v>
                </c:pt>
                <c:pt idx="391">
                  <c:v>-1.4146842415208627</c:v>
                </c:pt>
                <c:pt idx="392">
                  <c:v>-1.4146842415208627</c:v>
                </c:pt>
                <c:pt idx="393">
                  <c:v>-1.4146842415208627</c:v>
                </c:pt>
                <c:pt idx="394">
                  <c:v>-1.4146842415208627</c:v>
                </c:pt>
                <c:pt idx="395">
                  <c:v>-1.4146842415208627</c:v>
                </c:pt>
                <c:pt idx="396">
                  <c:v>-1.4146842415208627</c:v>
                </c:pt>
                <c:pt idx="397">
                  <c:v>-1.4146842415208627</c:v>
                </c:pt>
                <c:pt idx="398">
                  <c:v>0.8152996381137414</c:v>
                </c:pt>
                <c:pt idx="399">
                  <c:v>0.8152996381137414</c:v>
                </c:pt>
                <c:pt idx="400">
                  <c:v>0.8152996381137414</c:v>
                </c:pt>
                <c:pt idx="401">
                  <c:v>0.8152996381137414</c:v>
                </c:pt>
                <c:pt idx="402">
                  <c:v>0.8152996381137414</c:v>
                </c:pt>
                <c:pt idx="403">
                  <c:v>0.8152996381137414</c:v>
                </c:pt>
                <c:pt idx="404">
                  <c:v>0.8152996381137414</c:v>
                </c:pt>
                <c:pt idx="405">
                  <c:v>0.24785202869748424</c:v>
                </c:pt>
                <c:pt idx="406">
                  <c:v>0.24785202869748424</c:v>
                </c:pt>
                <c:pt idx="407">
                  <c:v>0.24785202869748424</c:v>
                </c:pt>
                <c:pt idx="408">
                  <c:v>0.24785202869748424</c:v>
                </c:pt>
                <c:pt idx="409">
                  <c:v>0.24785202869748424</c:v>
                </c:pt>
                <c:pt idx="410">
                  <c:v>0.24785202869748424</c:v>
                </c:pt>
                <c:pt idx="411">
                  <c:v>0.24785202869748424</c:v>
                </c:pt>
                <c:pt idx="412">
                  <c:v>0.24785202869748424</c:v>
                </c:pt>
                <c:pt idx="413">
                  <c:v>0.24785202869748424</c:v>
                </c:pt>
                <c:pt idx="414">
                  <c:v>0.24785202869748424</c:v>
                </c:pt>
                <c:pt idx="415">
                  <c:v>0.24785202869748424</c:v>
                </c:pt>
                <c:pt idx="416">
                  <c:v>0.24785202869748424</c:v>
                </c:pt>
                <c:pt idx="417">
                  <c:v>0.24785202869748424</c:v>
                </c:pt>
                <c:pt idx="418">
                  <c:v>0.24785202869748424</c:v>
                </c:pt>
              </c:numCache>
            </c:numRef>
          </c:val>
          <c:smooth val="0"/>
          <c:extLst>
            <c:ext xmlns:c16="http://schemas.microsoft.com/office/drawing/2014/chart" uri="{C3380CC4-5D6E-409C-BE32-E72D297353CC}">
              <c16:uniqueId val="{00000016-0378-4901-951A-9CC527A3EBF2}"/>
            </c:ext>
          </c:extLst>
        </c:ser>
        <c:ser>
          <c:idx val="3"/>
          <c:order val="4"/>
          <c:tx>
            <c:v>XLY</c:v>
          </c:tx>
          <c:spPr>
            <a:ln w="28575" cap="rnd">
              <a:solidFill>
                <a:srgbClr val="FFC000"/>
              </a:solidFill>
              <a:round/>
            </a:ln>
            <a:effectLst/>
          </c:spPr>
          <c:marker>
            <c:symbol val="none"/>
          </c:marker>
          <c:val>
            <c:numRef>
              <c:f>'2025-Q2'!$CX$4:$CX$422</c:f>
              <c:numCache>
                <c:formatCode>0.00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-0.33865165024245297</c:v>
                </c:pt>
                <c:pt idx="201">
                  <c:v>-0.33865165024245297</c:v>
                </c:pt>
                <c:pt idx="202">
                  <c:v>-0.33865165024245297</c:v>
                </c:pt>
                <c:pt idx="203">
                  <c:v>-0.33865165024245297</c:v>
                </c:pt>
                <c:pt idx="204">
                  <c:v>-0.33865165024245297</c:v>
                </c:pt>
                <c:pt idx="205">
                  <c:v>-0.33865165024245297</c:v>
                </c:pt>
                <c:pt idx="206">
                  <c:v>-0.33865165024245297</c:v>
                </c:pt>
                <c:pt idx="207">
                  <c:v>-0.33865165024245297</c:v>
                </c:pt>
                <c:pt idx="208">
                  <c:v>-0.33865165024245297</c:v>
                </c:pt>
                <c:pt idx="209">
                  <c:v>-0.33865165024245297</c:v>
                </c:pt>
                <c:pt idx="210">
                  <c:v>-0.33865165024245297</c:v>
                </c:pt>
                <c:pt idx="211">
                  <c:v>-0.33865165024245297</c:v>
                </c:pt>
                <c:pt idx="212">
                  <c:v>-0.33865165024245297</c:v>
                </c:pt>
                <c:pt idx="213">
                  <c:v>-0.33865165024245297</c:v>
                </c:pt>
                <c:pt idx="214">
                  <c:v>-0.33865165024245297</c:v>
                </c:pt>
                <c:pt idx="215">
                  <c:v>-0.33865165024245297</c:v>
                </c:pt>
                <c:pt idx="216">
                  <c:v>-0.33865165024245297</c:v>
                </c:pt>
                <c:pt idx="217">
                  <c:v>-0.33865165024245297</c:v>
                </c:pt>
                <c:pt idx="218">
                  <c:v>-0.33865165024245297</c:v>
                </c:pt>
                <c:pt idx="219">
                  <c:v>-0.33865165024245297</c:v>
                </c:pt>
                <c:pt idx="220">
                  <c:v>-0.33865165024245297</c:v>
                </c:pt>
                <c:pt idx="221">
                  <c:v>-0.33865165024245297</c:v>
                </c:pt>
                <c:pt idx="222">
                  <c:v>-0.33865165024245297</c:v>
                </c:pt>
                <c:pt idx="223">
                  <c:v>-0.33865165024245297</c:v>
                </c:pt>
                <c:pt idx="224">
                  <c:v>-0.33865165024245297</c:v>
                </c:pt>
                <c:pt idx="225">
                  <c:v>-0.33865165024245297</c:v>
                </c:pt>
                <c:pt idx="226">
                  <c:v>-0.33865165024245297</c:v>
                </c:pt>
                <c:pt idx="227">
                  <c:v>-0.33865165024245297</c:v>
                </c:pt>
                <c:pt idx="228">
                  <c:v>-0.33865165024245297</c:v>
                </c:pt>
                <c:pt idx="229">
                  <c:v>-0.33865165024245297</c:v>
                </c:pt>
                <c:pt idx="230">
                  <c:v>-0.33865165024245297</c:v>
                </c:pt>
                <c:pt idx="231">
                  <c:v>-0.33865165024245297</c:v>
                </c:pt>
                <c:pt idx="232">
                  <c:v>-0.33865165024245297</c:v>
                </c:pt>
                <c:pt idx="233">
                  <c:v>-0.33865165024245297</c:v>
                </c:pt>
                <c:pt idx="234">
                  <c:v>-0.33865165024245297</c:v>
                </c:pt>
                <c:pt idx="235">
                  <c:v>-0.33865165024245297</c:v>
                </c:pt>
                <c:pt idx="236">
                  <c:v>-0.33865165024245297</c:v>
                </c:pt>
                <c:pt idx="237">
                  <c:v>-0.33865165024245297</c:v>
                </c:pt>
                <c:pt idx="238">
                  <c:v>-0.33865165024245297</c:v>
                </c:pt>
                <c:pt idx="239">
                  <c:v>-0.33865165024245297</c:v>
                </c:pt>
                <c:pt idx="240">
                  <c:v>-0.33865165024245297</c:v>
                </c:pt>
                <c:pt idx="241">
                  <c:v>-0.33865165024245297</c:v>
                </c:pt>
                <c:pt idx="242">
                  <c:v>-0.33865165024245297</c:v>
                </c:pt>
                <c:pt idx="243">
                  <c:v>-0.33865165024245297</c:v>
                </c:pt>
                <c:pt idx="244">
                  <c:v>-0.33865165024245297</c:v>
                </c:pt>
                <c:pt idx="245">
                  <c:v>-0.33865165024245297</c:v>
                </c:pt>
                <c:pt idx="246">
                  <c:v>-0.33865165024245297</c:v>
                </c:pt>
                <c:pt idx="247">
                  <c:v>-0.33865165024245297</c:v>
                </c:pt>
                <c:pt idx="248">
                  <c:v>-0.33865165024245297</c:v>
                </c:pt>
                <c:pt idx="249">
                  <c:v>-0.33865165024245297</c:v>
                </c:pt>
                <c:pt idx="250">
                  <c:v>-0.33865165024245297</c:v>
                </c:pt>
                <c:pt idx="251">
                  <c:v>-0.33865165024245297</c:v>
                </c:pt>
                <c:pt idx="252">
                  <c:v>-0.33865165024245297</c:v>
                </c:pt>
                <c:pt idx="253">
                  <c:v>-0.33865165024245297</c:v>
                </c:pt>
                <c:pt idx="254">
                  <c:v>-0.33865165024245297</c:v>
                </c:pt>
                <c:pt idx="255">
                  <c:v>-0.33865165024245297</c:v>
                </c:pt>
                <c:pt idx="256">
                  <c:v>-0.33865165024245297</c:v>
                </c:pt>
                <c:pt idx="257">
                  <c:v>-0.33865165024245297</c:v>
                </c:pt>
                <c:pt idx="258">
                  <c:v>-0.33865165024245297</c:v>
                </c:pt>
                <c:pt idx="259">
                  <c:v>-0.33865165024245297</c:v>
                </c:pt>
                <c:pt idx="260">
                  <c:v>-0.33865165024245297</c:v>
                </c:pt>
                <c:pt idx="261">
                  <c:v>-0.33865165024245297</c:v>
                </c:pt>
                <c:pt idx="262">
                  <c:v>-0.33865165024245297</c:v>
                </c:pt>
                <c:pt idx="263">
                  <c:v>-0.33865165024245297</c:v>
                </c:pt>
                <c:pt idx="264">
                  <c:v>-0.33865165024245297</c:v>
                </c:pt>
                <c:pt idx="265">
                  <c:v>-0.33865165024245297</c:v>
                </c:pt>
                <c:pt idx="266">
                  <c:v>-0.33865165024245297</c:v>
                </c:pt>
                <c:pt idx="267">
                  <c:v>-0.33865165024245297</c:v>
                </c:pt>
                <c:pt idx="268">
                  <c:v>-0.33865165024245297</c:v>
                </c:pt>
                <c:pt idx="269">
                  <c:v>-0.33865165024245297</c:v>
                </c:pt>
                <c:pt idx="270">
                  <c:v>-0.33865165024245297</c:v>
                </c:pt>
                <c:pt idx="271">
                  <c:v>-0.33865165024245297</c:v>
                </c:pt>
                <c:pt idx="272">
                  <c:v>-0.33865165024245297</c:v>
                </c:pt>
                <c:pt idx="273">
                  <c:v>-1.2839616145397621</c:v>
                </c:pt>
                <c:pt idx="274">
                  <c:v>-1.2839616145397621</c:v>
                </c:pt>
                <c:pt idx="275">
                  <c:v>-1.2839616145397621</c:v>
                </c:pt>
                <c:pt idx="276">
                  <c:v>-1.2839616145397621</c:v>
                </c:pt>
                <c:pt idx="277">
                  <c:v>-1.2839616145397621</c:v>
                </c:pt>
                <c:pt idx="278">
                  <c:v>-1.2839616145397621</c:v>
                </c:pt>
                <c:pt idx="279">
                  <c:v>-1.2839616145397621</c:v>
                </c:pt>
                <c:pt idx="280">
                  <c:v>-1.2839616145397621</c:v>
                </c:pt>
                <c:pt idx="281">
                  <c:v>-1.2839616145397621</c:v>
                </c:pt>
                <c:pt idx="282">
                  <c:v>-1.2839616145397621</c:v>
                </c:pt>
                <c:pt idx="283">
                  <c:v>-1.2839616145397621</c:v>
                </c:pt>
                <c:pt idx="284">
                  <c:v>-1.2839616145397621</c:v>
                </c:pt>
                <c:pt idx="285">
                  <c:v>-1.2839616145397621</c:v>
                </c:pt>
                <c:pt idx="286">
                  <c:v>-1.2839616145397621</c:v>
                </c:pt>
                <c:pt idx="287">
                  <c:v>-1.2839616145397621</c:v>
                </c:pt>
                <c:pt idx="288">
                  <c:v>-1.2839616145397621</c:v>
                </c:pt>
                <c:pt idx="289">
                  <c:v>-1.2839616145397621</c:v>
                </c:pt>
                <c:pt idx="290">
                  <c:v>-1.2839616145397621</c:v>
                </c:pt>
                <c:pt idx="291">
                  <c:v>-1.2839616145397621</c:v>
                </c:pt>
                <c:pt idx="292">
                  <c:v>-1.2839616145397621</c:v>
                </c:pt>
                <c:pt idx="293">
                  <c:v>-1.2839616145397621</c:v>
                </c:pt>
                <c:pt idx="294">
                  <c:v>-1.2839616145397621</c:v>
                </c:pt>
                <c:pt idx="295">
                  <c:v>-1.2839616145397621</c:v>
                </c:pt>
                <c:pt idx="296">
                  <c:v>-1.2839616145397621</c:v>
                </c:pt>
                <c:pt idx="297">
                  <c:v>-1.2839616145397621</c:v>
                </c:pt>
                <c:pt idx="298">
                  <c:v>-1.2839616145397621</c:v>
                </c:pt>
                <c:pt idx="299">
                  <c:v>-1.2839616145397621</c:v>
                </c:pt>
                <c:pt idx="300">
                  <c:v>-1.2839616145397621</c:v>
                </c:pt>
                <c:pt idx="301">
                  <c:v>-1.2839616145397621</c:v>
                </c:pt>
                <c:pt idx="302">
                  <c:v>-1.2839616145397621</c:v>
                </c:pt>
                <c:pt idx="303">
                  <c:v>-1.2839616145397621</c:v>
                </c:pt>
                <c:pt idx="304">
                  <c:v>-1.2839616145397621</c:v>
                </c:pt>
                <c:pt idx="305">
                  <c:v>-1.2839616145397621</c:v>
                </c:pt>
                <c:pt idx="306">
                  <c:v>-1.2839616145397621</c:v>
                </c:pt>
                <c:pt idx="307">
                  <c:v>-1.2839616145397621</c:v>
                </c:pt>
                <c:pt idx="308">
                  <c:v>-1.2839616145397621</c:v>
                </c:pt>
                <c:pt idx="309">
                  <c:v>-1.2839616145397621</c:v>
                </c:pt>
                <c:pt idx="310">
                  <c:v>-1.2839616145397621</c:v>
                </c:pt>
                <c:pt idx="311">
                  <c:v>-1.2839616145397621</c:v>
                </c:pt>
                <c:pt idx="312">
                  <c:v>-1.2839616145397621</c:v>
                </c:pt>
                <c:pt idx="313">
                  <c:v>-0.29399505935581682</c:v>
                </c:pt>
                <c:pt idx="314">
                  <c:v>-0.29399505935581682</c:v>
                </c:pt>
                <c:pt idx="315">
                  <c:v>-0.29399505935581682</c:v>
                </c:pt>
                <c:pt idx="316">
                  <c:v>-0.29399505935581682</c:v>
                </c:pt>
                <c:pt idx="317">
                  <c:v>-0.29399505935581682</c:v>
                </c:pt>
                <c:pt idx="318">
                  <c:v>-0.29399505935581682</c:v>
                </c:pt>
                <c:pt idx="319">
                  <c:v>-0.29399505935581682</c:v>
                </c:pt>
                <c:pt idx="320">
                  <c:v>-0.29399505935581682</c:v>
                </c:pt>
                <c:pt idx="321">
                  <c:v>-0.29399505935581682</c:v>
                </c:pt>
                <c:pt idx="322">
                  <c:v>-0.29399505935581682</c:v>
                </c:pt>
                <c:pt idx="323">
                  <c:v>-0.29399505935581682</c:v>
                </c:pt>
                <c:pt idx="324">
                  <c:v>-0.29399505935581682</c:v>
                </c:pt>
                <c:pt idx="325">
                  <c:v>-0.29399505935581682</c:v>
                </c:pt>
                <c:pt idx="326">
                  <c:v>-0.29399505935581682</c:v>
                </c:pt>
                <c:pt idx="327">
                  <c:v>-0.29399505935581682</c:v>
                </c:pt>
                <c:pt idx="328">
                  <c:v>-0.29399505935581682</c:v>
                </c:pt>
                <c:pt idx="329">
                  <c:v>-0.29399505935581682</c:v>
                </c:pt>
                <c:pt idx="330">
                  <c:v>-0.29399505935581682</c:v>
                </c:pt>
                <c:pt idx="331">
                  <c:v>-0.29399505935581682</c:v>
                </c:pt>
                <c:pt idx="332">
                  <c:v>-0.29399505935581682</c:v>
                </c:pt>
                <c:pt idx="333">
                  <c:v>-0.29399505935581682</c:v>
                </c:pt>
                <c:pt idx="334">
                  <c:v>-0.29399505935581682</c:v>
                </c:pt>
                <c:pt idx="335">
                  <c:v>-0.29399505935581682</c:v>
                </c:pt>
                <c:pt idx="336">
                  <c:v>-0.29399505935581682</c:v>
                </c:pt>
                <c:pt idx="337">
                  <c:v>-0.29399505935581682</c:v>
                </c:pt>
                <c:pt idx="338">
                  <c:v>-0.29399505935581682</c:v>
                </c:pt>
                <c:pt idx="339">
                  <c:v>-0.29399505935581682</c:v>
                </c:pt>
                <c:pt idx="340">
                  <c:v>-0.29399505935581682</c:v>
                </c:pt>
                <c:pt idx="341">
                  <c:v>-0.29399505935581682</c:v>
                </c:pt>
                <c:pt idx="342">
                  <c:v>-0.29399505935581682</c:v>
                </c:pt>
                <c:pt idx="343">
                  <c:v>-0.29399505935581682</c:v>
                </c:pt>
                <c:pt idx="344">
                  <c:v>-0.29399505935581682</c:v>
                </c:pt>
                <c:pt idx="345">
                  <c:v>-0.29399505935581682</c:v>
                </c:pt>
                <c:pt idx="346">
                  <c:v>-0.29399505935581682</c:v>
                </c:pt>
                <c:pt idx="347">
                  <c:v>-0.29399505935581682</c:v>
                </c:pt>
                <c:pt idx="348">
                  <c:v>-0.29399505935581682</c:v>
                </c:pt>
                <c:pt idx="349">
                  <c:v>-0.76090382686489777</c:v>
                </c:pt>
                <c:pt idx="350">
                  <c:v>-0.76090382686489777</c:v>
                </c:pt>
                <c:pt idx="351">
                  <c:v>-0.76090382686489777</c:v>
                </c:pt>
                <c:pt idx="352">
                  <c:v>-0.76090382686489777</c:v>
                </c:pt>
                <c:pt idx="353">
                  <c:v>-1.376136775601573</c:v>
                </c:pt>
                <c:pt idx="354">
                  <c:v>-1.376136775601573</c:v>
                </c:pt>
                <c:pt idx="355">
                  <c:v>-1.376136775601573</c:v>
                </c:pt>
                <c:pt idx="356">
                  <c:v>-1.376136775601573</c:v>
                </c:pt>
                <c:pt idx="357">
                  <c:v>-1.376136775601573</c:v>
                </c:pt>
                <c:pt idx="358">
                  <c:v>-1.376136775601573</c:v>
                </c:pt>
                <c:pt idx="359">
                  <c:v>-3.3082659491100586</c:v>
                </c:pt>
                <c:pt idx="360">
                  <c:v>-3.3082659491100586</c:v>
                </c:pt>
                <c:pt idx="361">
                  <c:v>-3.3082659491100586</c:v>
                </c:pt>
                <c:pt idx="362">
                  <c:v>-3.3082659491100586</c:v>
                </c:pt>
                <c:pt idx="363">
                  <c:v>-3.3082659491100586</c:v>
                </c:pt>
                <c:pt idx="364">
                  <c:v>-3.3082659491100586</c:v>
                </c:pt>
                <c:pt idx="365">
                  <c:v>-3.3082659491100586</c:v>
                </c:pt>
                <c:pt idx="366">
                  <c:v>-3.3082659491100586</c:v>
                </c:pt>
                <c:pt idx="367">
                  <c:v>-3.3082659491100586</c:v>
                </c:pt>
                <c:pt idx="368">
                  <c:v>-3.3082659491100586</c:v>
                </c:pt>
                <c:pt idx="369">
                  <c:v>-3.3082659491100586</c:v>
                </c:pt>
                <c:pt idx="370">
                  <c:v>-3.3082659491100586</c:v>
                </c:pt>
                <c:pt idx="371">
                  <c:v>-3.3082659491100586</c:v>
                </c:pt>
                <c:pt idx="372">
                  <c:v>-3.3082659491100586</c:v>
                </c:pt>
                <c:pt idx="373">
                  <c:v>-3.3082659491100586</c:v>
                </c:pt>
                <c:pt idx="374">
                  <c:v>-3.3082659491100586</c:v>
                </c:pt>
                <c:pt idx="375">
                  <c:v>-3.3082659491100586</c:v>
                </c:pt>
                <c:pt idx="376">
                  <c:v>-3.3082659491100586</c:v>
                </c:pt>
                <c:pt idx="377">
                  <c:v>-3.3082659491100586</c:v>
                </c:pt>
                <c:pt idx="378">
                  <c:v>-3.3082659491100586</c:v>
                </c:pt>
                <c:pt idx="379">
                  <c:v>-3.3082659491100586</c:v>
                </c:pt>
                <c:pt idx="380">
                  <c:v>-3.3082659491100586</c:v>
                </c:pt>
                <c:pt idx="381">
                  <c:v>-3.3082659491100586</c:v>
                </c:pt>
                <c:pt idx="382">
                  <c:v>-3.3082659491100586</c:v>
                </c:pt>
                <c:pt idx="383">
                  <c:v>-3.3082659491100586</c:v>
                </c:pt>
                <c:pt idx="384">
                  <c:v>-3.3082659491100586</c:v>
                </c:pt>
                <c:pt idx="385">
                  <c:v>-3.3082659491100586</c:v>
                </c:pt>
                <c:pt idx="386">
                  <c:v>-3.3082659491100586</c:v>
                </c:pt>
                <c:pt idx="387">
                  <c:v>-3.3082659491100586</c:v>
                </c:pt>
                <c:pt idx="388">
                  <c:v>-6.3374847922823907</c:v>
                </c:pt>
                <c:pt idx="389">
                  <c:v>-6.3374847922823907</c:v>
                </c:pt>
                <c:pt idx="390">
                  <c:v>-6.3374847922823907</c:v>
                </c:pt>
                <c:pt idx="391">
                  <c:v>-6.3374847922823907</c:v>
                </c:pt>
                <c:pt idx="392">
                  <c:v>-6.3374847922823907</c:v>
                </c:pt>
                <c:pt idx="393">
                  <c:v>-6.3374847922823907</c:v>
                </c:pt>
                <c:pt idx="394">
                  <c:v>-6.3374847922823907</c:v>
                </c:pt>
                <c:pt idx="395">
                  <c:v>-6.3374847922823907</c:v>
                </c:pt>
                <c:pt idx="396">
                  <c:v>-6.3374847922823907</c:v>
                </c:pt>
                <c:pt idx="397">
                  <c:v>-6.3374847922823907</c:v>
                </c:pt>
                <c:pt idx="398">
                  <c:v>-6.3374847922823907</c:v>
                </c:pt>
                <c:pt idx="399">
                  <c:v>-6.3374847922823907</c:v>
                </c:pt>
                <c:pt idx="400">
                  <c:v>-6.3374847922823907</c:v>
                </c:pt>
                <c:pt idx="401">
                  <c:v>-6.3374847922823907</c:v>
                </c:pt>
                <c:pt idx="402">
                  <c:v>-6.3374847922823907</c:v>
                </c:pt>
                <c:pt idx="403">
                  <c:v>-6.3374847922823907</c:v>
                </c:pt>
                <c:pt idx="404">
                  <c:v>-6.3374847922823907</c:v>
                </c:pt>
                <c:pt idx="405">
                  <c:v>-6.3374847922823907</c:v>
                </c:pt>
                <c:pt idx="406">
                  <c:v>-6.3374847922823907</c:v>
                </c:pt>
                <c:pt idx="407">
                  <c:v>-7.8443640235555954</c:v>
                </c:pt>
                <c:pt idx="408">
                  <c:v>-7.8443640235555954</c:v>
                </c:pt>
                <c:pt idx="409">
                  <c:v>-7.8443640235555954</c:v>
                </c:pt>
                <c:pt idx="410">
                  <c:v>-7.8443640235555954</c:v>
                </c:pt>
                <c:pt idx="411">
                  <c:v>-7.8443640235555954</c:v>
                </c:pt>
                <c:pt idx="412">
                  <c:v>-7.7830097399790894</c:v>
                </c:pt>
                <c:pt idx="413">
                  <c:v>-7.7830097399790894</c:v>
                </c:pt>
                <c:pt idx="414">
                  <c:v>-7.7830097399790894</c:v>
                </c:pt>
                <c:pt idx="415">
                  <c:v>-7.7830097399790894</c:v>
                </c:pt>
                <c:pt idx="416">
                  <c:v>-7.7830097399790894</c:v>
                </c:pt>
                <c:pt idx="417">
                  <c:v>-7.7830097399790894</c:v>
                </c:pt>
                <c:pt idx="418">
                  <c:v>-7.7830097399790894</c:v>
                </c:pt>
              </c:numCache>
            </c:numRef>
          </c:val>
          <c:smooth val="1"/>
          <c:extLst>
            <c:ext xmlns:c16="http://schemas.microsoft.com/office/drawing/2014/chart" uri="{C3380CC4-5D6E-409C-BE32-E72D297353CC}">
              <c16:uniqueId val="{0000000F-0378-4901-951A-9CC527A3EBF2}"/>
            </c:ext>
          </c:extLst>
        </c:ser>
        <c:ser>
          <c:idx val="6"/>
          <c:order val="5"/>
          <c:tx>
            <c:v>XLP</c:v>
          </c:tx>
          <c:spPr>
            <a:ln w="28575" cap="rnd">
              <a:solidFill>
                <a:schemeClr val="accent1">
                  <a:lumMod val="60000"/>
                </a:schemeClr>
              </a:solidFill>
              <a:prstDash val="solid"/>
              <a:round/>
            </a:ln>
            <a:effectLst/>
          </c:spPr>
          <c:marker>
            <c:symbol val="none"/>
          </c:marker>
          <c:val>
            <c:numRef>
              <c:f>'2025-Q2'!$DE$4:$DE$422</c:f>
              <c:numCache>
                <c:formatCode>0.00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0.4905246481018824</c:v>
                </c:pt>
                <c:pt idx="70">
                  <c:v>0.4905246481018824</c:v>
                </c:pt>
                <c:pt idx="71">
                  <c:v>0.4905246481018824</c:v>
                </c:pt>
                <c:pt idx="72">
                  <c:v>0.4905246481018824</c:v>
                </c:pt>
                <c:pt idx="73">
                  <c:v>0.4905246481018824</c:v>
                </c:pt>
                <c:pt idx="74">
                  <c:v>0.4905246481018824</c:v>
                </c:pt>
                <c:pt idx="75">
                  <c:v>0.4905246481018824</c:v>
                </c:pt>
                <c:pt idx="76">
                  <c:v>0.4905246481018824</c:v>
                </c:pt>
                <c:pt idx="77">
                  <c:v>0.4905246481018824</c:v>
                </c:pt>
                <c:pt idx="78">
                  <c:v>0.4905246481018824</c:v>
                </c:pt>
                <c:pt idx="79">
                  <c:v>0.4905246481018824</c:v>
                </c:pt>
                <c:pt idx="80">
                  <c:v>0.4905246481018824</c:v>
                </c:pt>
                <c:pt idx="81">
                  <c:v>0.4905246481018824</c:v>
                </c:pt>
                <c:pt idx="82">
                  <c:v>0.4905246481018824</c:v>
                </c:pt>
                <c:pt idx="83">
                  <c:v>0.4905246481018824</c:v>
                </c:pt>
                <c:pt idx="84">
                  <c:v>0.4905246481018824</c:v>
                </c:pt>
                <c:pt idx="85">
                  <c:v>0.4905246481018824</c:v>
                </c:pt>
                <c:pt idx="86">
                  <c:v>0.4905246481018824</c:v>
                </c:pt>
                <c:pt idx="87">
                  <c:v>0.4905246481018824</c:v>
                </c:pt>
                <c:pt idx="88">
                  <c:v>0.4905246481018824</c:v>
                </c:pt>
                <c:pt idx="89">
                  <c:v>0.4905246481018824</c:v>
                </c:pt>
                <c:pt idx="90">
                  <c:v>0.4905246481018824</c:v>
                </c:pt>
                <c:pt idx="91">
                  <c:v>0.4905246481018824</c:v>
                </c:pt>
                <c:pt idx="92">
                  <c:v>0.4905246481018824</c:v>
                </c:pt>
                <c:pt idx="93">
                  <c:v>0.4905246481018824</c:v>
                </c:pt>
                <c:pt idx="94">
                  <c:v>0.4905246481018824</c:v>
                </c:pt>
                <c:pt idx="95">
                  <c:v>0.4905246481018824</c:v>
                </c:pt>
                <c:pt idx="96">
                  <c:v>0.4905246481018824</c:v>
                </c:pt>
                <c:pt idx="97">
                  <c:v>0.4905246481018824</c:v>
                </c:pt>
                <c:pt idx="98">
                  <c:v>0.4905246481018824</c:v>
                </c:pt>
                <c:pt idx="99">
                  <c:v>0.4905246481018824</c:v>
                </c:pt>
                <c:pt idx="100">
                  <c:v>0.4905246481018824</c:v>
                </c:pt>
                <c:pt idx="101">
                  <c:v>0.4905246481018824</c:v>
                </c:pt>
                <c:pt idx="102">
                  <c:v>0.4905246481018824</c:v>
                </c:pt>
                <c:pt idx="103">
                  <c:v>0.4905246481018824</c:v>
                </c:pt>
                <c:pt idx="104">
                  <c:v>0.4905246481018824</c:v>
                </c:pt>
                <c:pt idx="105">
                  <c:v>0.4905246481018824</c:v>
                </c:pt>
                <c:pt idx="106">
                  <c:v>0.4905246481018824</c:v>
                </c:pt>
                <c:pt idx="107">
                  <c:v>0.4905246481018824</c:v>
                </c:pt>
                <c:pt idx="108">
                  <c:v>0.4905246481018824</c:v>
                </c:pt>
                <c:pt idx="109">
                  <c:v>0.4905246481018824</c:v>
                </c:pt>
                <c:pt idx="110">
                  <c:v>0.4905246481018824</c:v>
                </c:pt>
                <c:pt idx="111">
                  <c:v>0.4905246481018824</c:v>
                </c:pt>
                <c:pt idx="112">
                  <c:v>0.4905246481018824</c:v>
                </c:pt>
                <c:pt idx="113">
                  <c:v>0.4905246481018824</c:v>
                </c:pt>
                <c:pt idx="114">
                  <c:v>0.4905246481018824</c:v>
                </c:pt>
                <c:pt idx="115">
                  <c:v>0.4905246481018824</c:v>
                </c:pt>
                <c:pt idx="116">
                  <c:v>0.4905246481018824</c:v>
                </c:pt>
                <c:pt idx="117">
                  <c:v>0.4905246481018824</c:v>
                </c:pt>
                <c:pt idx="118">
                  <c:v>0.4905246481018824</c:v>
                </c:pt>
                <c:pt idx="119">
                  <c:v>0.4905246481018824</c:v>
                </c:pt>
                <c:pt idx="120">
                  <c:v>0.4905246481018824</c:v>
                </c:pt>
                <c:pt idx="121">
                  <c:v>0.4905246481018824</c:v>
                </c:pt>
                <c:pt idx="122">
                  <c:v>0.4905246481018824</c:v>
                </c:pt>
                <c:pt idx="123">
                  <c:v>0.4905246481018824</c:v>
                </c:pt>
                <c:pt idx="124">
                  <c:v>0.4905246481018824</c:v>
                </c:pt>
                <c:pt idx="125">
                  <c:v>0.4905246481018824</c:v>
                </c:pt>
                <c:pt idx="126">
                  <c:v>0.4905246481018824</c:v>
                </c:pt>
                <c:pt idx="127">
                  <c:v>0.4905246481018824</c:v>
                </c:pt>
                <c:pt idx="128">
                  <c:v>0.4905246481018824</c:v>
                </c:pt>
                <c:pt idx="129">
                  <c:v>0.4905246481018824</c:v>
                </c:pt>
                <c:pt idx="130">
                  <c:v>0.4905246481018824</c:v>
                </c:pt>
                <c:pt idx="131">
                  <c:v>0.4905246481018824</c:v>
                </c:pt>
                <c:pt idx="132">
                  <c:v>0.4905246481018824</c:v>
                </c:pt>
                <c:pt idx="133">
                  <c:v>0.4905246481018824</c:v>
                </c:pt>
                <c:pt idx="134">
                  <c:v>0.4905246481018824</c:v>
                </c:pt>
                <c:pt idx="135">
                  <c:v>0.4905246481018824</c:v>
                </c:pt>
                <c:pt idx="136">
                  <c:v>0.4905246481018824</c:v>
                </c:pt>
                <c:pt idx="137">
                  <c:v>0.14968716170674062</c:v>
                </c:pt>
                <c:pt idx="138">
                  <c:v>0.14968716170674062</c:v>
                </c:pt>
                <c:pt idx="139">
                  <c:v>0.14968716170674062</c:v>
                </c:pt>
                <c:pt idx="140">
                  <c:v>0.14968716170674062</c:v>
                </c:pt>
                <c:pt idx="141">
                  <c:v>0.14968716170674062</c:v>
                </c:pt>
                <c:pt idx="142">
                  <c:v>0.14968716170674062</c:v>
                </c:pt>
                <c:pt idx="143">
                  <c:v>0.14968716170674062</c:v>
                </c:pt>
                <c:pt idx="144">
                  <c:v>0.14968716170674062</c:v>
                </c:pt>
                <c:pt idx="145">
                  <c:v>0.14968716170674062</c:v>
                </c:pt>
                <c:pt idx="146">
                  <c:v>0.14968716170674062</c:v>
                </c:pt>
                <c:pt idx="147">
                  <c:v>0.14968716170674062</c:v>
                </c:pt>
                <c:pt idx="148">
                  <c:v>0.14968716170674062</c:v>
                </c:pt>
                <c:pt idx="149">
                  <c:v>0.14968716170674062</c:v>
                </c:pt>
                <c:pt idx="150">
                  <c:v>0.14968716170674062</c:v>
                </c:pt>
                <c:pt idx="151">
                  <c:v>0.14968716170674062</c:v>
                </c:pt>
                <c:pt idx="152">
                  <c:v>0.14968716170674062</c:v>
                </c:pt>
                <c:pt idx="153">
                  <c:v>0.14968716170674062</c:v>
                </c:pt>
                <c:pt idx="154">
                  <c:v>0.14968716170674062</c:v>
                </c:pt>
                <c:pt idx="155">
                  <c:v>0.14968716170674062</c:v>
                </c:pt>
                <c:pt idx="156">
                  <c:v>0.14968716170674062</c:v>
                </c:pt>
                <c:pt idx="157">
                  <c:v>0.14968716170674062</c:v>
                </c:pt>
                <c:pt idx="158">
                  <c:v>0.14968716170674062</c:v>
                </c:pt>
                <c:pt idx="159">
                  <c:v>0.14968716170674062</c:v>
                </c:pt>
                <c:pt idx="160">
                  <c:v>0.14968716170674062</c:v>
                </c:pt>
                <c:pt idx="161">
                  <c:v>0.14968716170674062</c:v>
                </c:pt>
                <c:pt idx="162">
                  <c:v>0.14968716170674062</c:v>
                </c:pt>
                <c:pt idx="163">
                  <c:v>0.14968716170674062</c:v>
                </c:pt>
                <c:pt idx="164">
                  <c:v>0.14968716170674062</c:v>
                </c:pt>
                <c:pt idx="165">
                  <c:v>0.14968716170674062</c:v>
                </c:pt>
                <c:pt idx="166">
                  <c:v>0.14968716170674062</c:v>
                </c:pt>
                <c:pt idx="167">
                  <c:v>0.14968716170674062</c:v>
                </c:pt>
                <c:pt idx="168">
                  <c:v>0.14968716170674062</c:v>
                </c:pt>
                <c:pt idx="169">
                  <c:v>0.14968716170674062</c:v>
                </c:pt>
                <c:pt idx="170">
                  <c:v>0.14968716170674062</c:v>
                </c:pt>
                <c:pt idx="171">
                  <c:v>0.14968716170674062</c:v>
                </c:pt>
                <c:pt idx="172">
                  <c:v>0.14968716170674062</c:v>
                </c:pt>
                <c:pt idx="173">
                  <c:v>0.14968716170674062</c:v>
                </c:pt>
                <c:pt idx="174">
                  <c:v>0.14968716170674062</c:v>
                </c:pt>
                <c:pt idx="175">
                  <c:v>0.14968716170674062</c:v>
                </c:pt>
                <c:pt idx="176">
                  <c:v>0.14968716170674062</c:v>
                </c:pt>
                <c:pt idx="177">
                  <c:v>0.14968716170674062</c:v>
                </c:pt>
                <c:pt idx="178">
                  <c:v>0.14968716170674062</c:v>
                </c:pt>
                <c:pt idx="179">
                  <c:v>0.14968716170674062</c:v>
                </c:pt>
                <c:pt idx="180">
                  <c:v>0.14968716170674062</c:v>
                </c:pt>
                <c:pt idx="181">
                  <c:v>0.14968716170674062</c:v>
                </c:pt>
                <c:pt idx="182">
                  <c:v>0.14968716170674062</c:v>
                </c:pt>
                <c:pt idx="183">
                  <c:v>0.14968716170674062</c:v>
                </c:pt>
                <c:pt idx="184">
                  <c:v>0.14968716170674062</c:v>
                </c:pt>
                <c:pt idx="185">
                  <c:v>0.14968716170674062</c:v>
                </c:pt>
                <c:pt idx="186">
                  <c:v>0.14968716170674062</c:v>
                </c:pt>
                <c:pt idx="187">
                  <c:v>0.14968716170674062</c:v>
                </c:pt>
                <c:pt idx="188">
                  <c:v>0.14968716170674062</c:v>
                </c:pt>
                <c:pt idx="189">
                  <c:v>0.14968716170674062</c:v>
                </c:pt>
                <c:pt idx="190">
                  <c:v>0.14968716170674062</c:v>
                </c:pt>
                <c:pt idx="191">
                  <c:v>0.14968716170674062</c:v>
                </c:pt>
                <c:pt idx="192">
                  <c:v>0.14968716170674062</c:v>
                </c:pt>
                <c:pt idx="193">
                  <c:v>0.14968716170674062</c:v>
                </c:pt>
                <c:pt idx="194">
                  <c:v>0.14968716170674062</c:v>
                </c:pt>
                <c:pt idx="195">
                  <c:v>0.14968716170674062</c:v>
                </c:pt>
                <c:pt idx="196">
                  <c:v>0.14968716170674062</c:v>
                </c:pt>
                <c:pt idx="197">
                  <c:v>0.14968716170674062</c:v>
                </c:pt>
                <c:pt idx="198">
                  <c:v>0.14968716170674062</c:v>
                </c:pt>
                <c:pt idx="199">
                  <c:v>0.14968716170674062</c:v>
                </c:pt>
                <c:pt idx="200">
                  <c:v>0.14968716170674062</c:v>
                </c:pt>
                <c:pt idx="201">
                  <c:v>0.14968716170674062</c:v>
                </c:pt>
                <c:pt idx="202">
                  <c:v>0.14968716170674062</c:v>
                </c:pt>
                <c:pt idx="203">
                  <c:v>0.14968716170674062</c:v>
                </c:pt>
                <c:pt idx="204">
                  <c:v>0.14968716170674062</c:v>
                </c:pt>
                <c:pt idx="205">
                  <c:v>0.14968716170674062</c:v>
                </c:pt>
                <c:pt idx="206">
                  <c:v>0.14968716170674062</c:v>
                </c:pt>
                <c:pt idx="207">
                  <c:v>0.14968716170674062</c:v>
                </c:pt>
                <c:pt idx="208">
                  <c:v>0.14968716170674062</c:v>
                </c:pt>
                <c:pt idx="209">
                  <c:v>0.14968716170674062</c:v>
                </c:pt>
                <c:pt idx="210">
                  <c:v>0.14968716170674062</c:v>
                </c:pt>
                <c:pt idx="211">
                  <c:v>0.14968716170674062</c:v>
                </c:pt>
                <c:pt idx="212">
                  <c:v>0.14968716170674062</c:v>
                </c:pt>
                <c:pt idx="213">
                  <c:v>0.14968716170674062</c:v>
                </c:pt>
                <c:pt idx="214">
                  <c:v>0.14968716170674062</c:v>
                </c:pt>
                <c:pt idx="215">
                  <c:v>0.14968716170674062</c:v>
                </c:pt>
                <c:pt idx="216">
                  <c:v>0.14968716170674062</c:v>
                </c:pt>
                <c:pt idx="217">
                  <c:v>0.14968716170674062</c:v>
                </c:pt>
                <c:pt idx="218">
                  <c:v>0.14968716170674062</c:v>
                </c:pt>
                <c:pt idx="219">
                  <c:v>0.14968716170674062</c:v>
                </c:pt>
                <c:pt idx="220">
                  <c:v>0.14968716170674062</c:v>
                </c:pt>
                <c:pt idx="221">
                  <c:v>0.14968716170674062</c:v>
                </c:pt>
                <c:pt idx="222">
                  <c:v>0.14968716170674062</c:v>
                </c:pt>
                <c:pt idx="223">
                  <c:v>0.14968716170674062</c:v>
                </c:pt>
                <c:pt idx="224">
                  <c:v>0.14968716170674062</c:v>
                </c:pt>
                <c:pt idx="225">
                  <c:v>0.14968716170674062</c:v>
                </c:pt>
                <c:pt idx="226">
                  <c:v>0.14968716170674062</c:v>
                </c:pt>
                <c:pt idx="227">
                  <c:v>0.14968716170674062</c:v>
                </c:pt>
                <c:pt idx="228">
                  <c:v>0.14968716170674062</c:v>
                </c:pt>
                <c:pt idx="229">
                  <c:v>0.14968716170674062</c:v>
                </c:pt>
                <c:pt idx="230">
                  <c:v>0.14968716170674062</c:v>
                </c:pt>
                <c:pt idx="231">
                  <c:v>0.14968716170674062</c:v>
                </c:pt>
                <c:pt idx="232">
                  <c:v>0.14968716170674062</c:v>
                </c:pt>
                <c:pt idx="233">
                  <c:v>0.14968716170674062</c:v>
                </c:pt>
                <c:pt idx="234">
                  <c:v>0.14968716170674062</c:v>
                </c:pt>
                <c:pt idx="235">
                  <c:v>0.14968716170674062</c:v>
                </c:pt>
                <c:pt idx="236">
                  <c:v>0.14968716170674062</c:v>
                </c:pt>
                <c:pt idx="237">
                  <c:v>0.14968716170674062</c:v>
                </c:pt>
                <c:pt idx="238">
                  <c:v>0.14968716170674062</c:v>
                </c:pt>
                <c:pt idx="239">
                  <c:v>0.14968716170674062</c:v>
                </c:pt>
                <c:pt idx="240">
                  <c:v>0.24769343410817113</c:v>
                </c:pt>
                <c:pt idx="241">
                  <c:v>0.24769343410817113</c:v>
                </c:pt>
                <c:pt idx="242">
                  <c:v>0.24769343410817113</c:v>
                </c:pt>
                <c:pt idx="243">
                  <c:v>0.24769343410817113</c:v>
                </c:pt>
                <c:pt idx="244">
                  <c:v>0.24769343410817113</c:v>
                </c:pt>
                <c:pt idx="245">
                  <c:v>0.24769343410817113</c:v>
                </c:pt>
                <c:pt idx="246">
                  <c:v>0.24769343410817113</c:v>
                </c:pt>
                <c:pt idx="247">
                  <c:v>0.24769343410817113</c:v>
                </c:pt>
                <c:pt idx="248">
                  <c:v>0.24769343410817113</c:v>
                </c:pt>
                <c:pt idx="249">
                  <c:v>0.24769343410817113</c:v>
                </c:pt>
                <c:pt idx="250">
                  <c:v>0.24769343410817113</c:v>
                </c:pt>
                <c:pt idx="251">
                  <c:v>0.24769343410817113</c:v>
                </c:pt>
                <c:pt idx="252">
                  <c:v>0.24769343410817113</c:v>
                </c:pt>
                <c:pt idx="253">
                  <c:v>0.24769343410817113</c:v>
                </c:pt>
                <c:pt idx="254">
                  <c:v>0.24769343410817113</c:v>
                </c:pt>
                <c:pt idx="255">
                  <c:v>0.24769343410817113</c:v>
                </c:pt>
                <c:pt idx="256">
                  <c:v>0.24769343410817113</c:v>
                </c:pt>
                <c:pt idx="257">
                  <c:v>0.24769343410817113</c:v>
                </c:pt>
                <c:pt idx="258">
                  <c:v>0.24769343410817113</c:v>
                </c:pt>
                <c:pt idx="259">
                  <c:v>0.24769343410817113</c:v>
                </c:pt>
                <c:pt idx="260">
                  <c:v>0.24769343410817113</c:v>
                </c:pt>
                <c:pt idx="261">
                  <c:v>0.24769343410817113</c:v>
                </c:pt>
                <c:pt idx="262">
                  <c:v>0.24769343410817113</c:v>
                </c:pt>
                <c:pt idx="263">
                  <c:v>0.24769343410817113</c:v>
                </c:pt>
                <c:pt idx="264">
                  <c:v>0.24769343410817113</c:v>
                </c:pt>
                <c:pt idx="265">
                  <c:v>0.24769343410817113</c:v>
                </c:pt>
                <c:pt idx="266">
                  <c:v>0.24769343410817113</c:v>
                </c:pt>
                <c:pt idx="267">
                  <c:v>0.24769343410817113</c:v>
                </c:pt>
                <c:pt idx="268">
                  <c:v>0.24769343410817113</c:v>
                </c:pt>
                <c:pt idx="269">
                  <c:v>0.24769343410817113</c:v>
                </c:pt>
                <c:pt idx="270">
                  <c:v>0.24769343410817113</c:v>
                </c:pt>
                <c:pt idx="271">
                  <c:v>0.24769343410817113</c:v>
                </c:pt>
                <c:pt idx="272">
                  <c:v>0.24769343410817113</c:v>
                </c:pt>
                <c:pt idx="273">
                  <c:v>0.24769343410817113</c:v>
                </c:pt>
                <c:pt idx="274">
                  <c:v>0.24769343410817113</c:v>
                </c:pt>
                <c:pt idx="275">
                  <c:v>0.24769343410817113</c:v>
                </c:pt>
                <c:pt idx="276">
                  <c:v>0.24769343410817113</c:v>
                </c:pt>
                <c:pt idx="277">
                  <c:v>0.24769343410817113</c:v>
                </c:pt>
                <c:pt idx="278">
                  <c:v>0.24769343410817113</c:v>
                </c:pt>
                <c:pt idx="279">
                  <c:v>0.24769343410817113</c:v>
                </c:pt>
                <c:pt idx="280">
                  <c:v>0.24769343410817113</c:v>
                </c:pt>
                <c:pt idx="281">
                  <c:v>0.24769343410817113</c:v>
                </c:pt>
                <c:pt idx="282">
                  <c:v>0.24769343410817113</c:v>
                </c:pt>
                <c:pt idx="283">
                  <c:v>0.24769343410817113</c:v>
                </c:pt>
                <c:pt idx="284">
                  <c:v>0.24769343410817113</c:v>
                </c:pt>
                <c:pt idx="285">
                  <c:v>0.24769343410817113</c:v>
                </c:pt>
                <c:pt idx="286">
                  <c:v>0.24769343410817113</c:v>
                </c:pt>
                <c:pt idx="287">
                  <c:v>0.24769343410817113</c:v>
                </c:pt>
                <c:pt idx="288">
                  <c:v>0.24769343410817113</c:v>
                </c:pt>
                <c:pt idx="289">
                  <c:v>0.24769343410817113</c:v>
                </c:pt>
                <c:pt idx="290">
                  <c:v>0.24769343410817113</c:v>
                </c:pt>
                <c:pt idx="291">
                  <c:v>0.24769343410817113</c:v>
                </c:pt>
                <c:pt idx="292">
                  <c:v>0.24769343410817113</c:v>
                </c:pt>
                <c:pt idx="293">
                  <c:v>0.24769343410817113</c:v>
                </c:pt>
                <c:pt idx="294">
                  <c:v>0.24769343410817113</c:v>
                </c:pt>
                <c:pt idx="295">
                  <c:v>0.24769343410817113</c:v>
                </c:pt>
                <c:pt idx="296">
                  <c:v>0.24769343410817113</c:v>
                </c:pt>
                <c:pt idx="297">
                  <c:v>0.24769343410817113</c:v>
                </c:pt>
                <c:pt idx="298">
                  <c:v>0.24769343410817113</c:v>
                </c:pt>
                <c:pt idx="299">
                  <c:v>0.24769343410817113</c:v>
                </c:pt>
                <c:pt idx="300">
                  <c:v>0.24769343410817113</c:v>
                </c:pt>
                <c:pt idx="301">
                  <c:v>0.24769343410817113</c:v>
                </c:pt>
                <c:pt idx="302">
                  <c:v>0.24769343410817113</c:v>
                </c:pt>
                <c:pt idx="303">
                  <c:v>0.24769343410817113</c:v>
                </c:pt>
                <c:pt idx="304">
                  <c:v>0.24769343410817113</c:v>
                </c:pt>
                <c:pt idx="305">
                  <c:v>0.24769343410817113</c:v>
                </c:pt>
                <c:pt idx="306">
                  <c:v>0.24769343410817113</c:v>
                </c:pt>
                <c:pt idx="307">
                  <c:v>0.24769343410817113</c:v>
                </c:pt>
                <c:pt idx="308">
                  <c:v>0.24769343410817113</c:v>
                </c:pt>
                <c:pt idx="309">
                  <c:v>1.2501454750716789</c:v>
                </c:pt>
                <c:pt idx="310">
                  <c:v>1.2501454750716789</c:v>
                </c:pt>
                <c:pt idx="311">
                  <c:v>1.2501454750716789</c:v>
                </c:pt>
                <c:pt idx="312">
                  <c:v>1.2501454750716789</c:v>
                </c:pt>
                <c:pt idx="313">
                  <c:v>1.2501454750716789</c:v>
                </c:pt>
                <c:pt idx="314">
                  <c:v>1.2501454750716789</c:v>
                </c:pt>
                <c:pt idx="315">
                  <c:v>1.2501454750716789</c:v>
                </c:pt>
                <c:pt idx="316">
                  <c:v>1.2501454750716789</c:v>
                </c:pt>
                <c:pt idx="317">
                  <c:v>1.2501454750716789</c:v>
                </c:pt>
                <c:pt idx="318">
                  <c:v>1.2501454750716789</c:v>
                </c:pt>
                <c:pt idx="319">
                  <c:v>1.2501454750716789</c:v>
                </c:pt>
                <c:pt idx="320">
                  <c:v>1.2501454750716789</c:v>
                </c:pt>
                <c:pt idx="321">
                  <c:v>1.2501454750716789</c:v>
                </c:pt>
                <c:pt idx="322">
                  <c:v>1.2501454750716789</c:v>
                </c:pt>
                <c:pt idx="323">
                  <c:v>1.2501454750716789</c:v>
                </c:pt>
                <c:pt idx="324">
                  <c:v>1.2501454750716789</c:v>
                </c:pt>
                <c:pt idx="325">
                  <c:v>1.2501454750716789</c:v>
                </c:pt>
                <c:pt idx="326">
                  <c:v>1.2501454750716789</c:v>
                </c:pt>
                <c:pt idx="327">
                  <c:v>1.2501454750716789</c:v>
                </c:pt>
                <c:pt idx="328">
                  <c:v>1.2501454750716789</c:v>
                </c:pt>
                <c:pt idx="329">
                  <c:v>1.2501454750716789</c:v>
                </c:pt>
                <c:pt idx="330">
                  <c:v>1.2501454750716789</c:v>
                </c:pt>
                <c:pt idx="331">
                  <c:v>1.2501454750716789</c:v>
                </c:pt>
                <c:pt idx="332">
                  <c:v>1.2501454750716789</c:v>
                </c:pt>
                <c:pt idx="333">
                  <c:v>1.2501454750716789</c:v>
                </c:pt>
                <c:pt idx="334">
                  <c:v>1.2501454750716789</c:v>
                </c:pt>
                <c:pt idx="335">
                  <c:v>1.2501454750716789</c:v>
                </c:pt>
                <c:pt idx="336">
                  <c:v>1.2501454750716789</c:v>
                </c:pt>
                <c:pt idx="337">
                  <c:v>1.2501454750716789</c:v>
                </c:pt>
                <c:pt idx="338">
                  <c:v>1.2501454750716789</c:v>
                </c:pt>
                <c:pt idx="339">
                  <c:v>1.2501454750716789</c:v>
                </c:pt>
                <c:pt idx="340">
                  <c:v>1.2501454750716789</c:v>
                </c:pt>
                <c:pt idx="341">
                  <c:v>1.2501454750716789</c:v>
                </c:pt>
                <c:pt idx="342">
                  <c:v>1.2501454750716789</c:v>
                </c:pt>
                <c:pt idx="343">
                  <c:v>1.2501454750716789</c:v>
                </c:pt>
                <c:pt idx="344">
                  <c:v>1.2501454750716789</c:v>
                </c:pt>
                <c:pt idx="345">
                  <c:v>1.2501454750716789</c:v>
                </c:pt>
                <c:pt idx="346">
                  <c:v>1.2501454750716789</c:v>
                </c:pt>
                <c:pt idx="347">
                  <c:v>1.2501454750716789</c:v>
                </c:pt>
                <c:pt idx="348">
                  <c:v>1.2501454750716789</c:v>
                </c:pt>
                <c:pt idx="349">
                  <c:v>1.2501454750716789</c:v>
                </c:pt>
                <c:pt idx="350">
                  <c:v>1.2501454750716789</c:v>
                </c:pt>
                <c:pt idx="351">
                  <c:v>1.2501454750716789</c:v>
                </c:pt>
                <c:pt idx="352">
                  <c:v>1.2501454750716789</c:v>
                </c:pt>
                <c:pt idx="353">
                  <c:v>1.2501454750716789</c:v>
                </c:pt>
                <c:pt idx="354">
                  <c:v>1.6161029218801881</c:v>
                </c:pt>
                <c:pt idx="355">
                  <c:v>1.6161029218801881</c:v>
                </c:pt>
                <c:pt idx="356">
                  <c:v>1.6161029218801881</c:v>
                </c:pt>
                <c:pt idx="357">
                  <c:v>1.6161029218801881</c:v>
                </c:pt>
                <c:pt idx="358">
                  <c:v>1.6161029218801881</c:v>
                </c:pt>
                <c:pt idx="359">
                  <c:v>1.6161029218801881</c:v>
                </c:pt>
                <c:pt idx="360">
                  <c:v>1.6161029218801881</c:v>
                </c:pt>
                <c:pt idx="361">
                  <c:v>1.6161029218801881</c:v>
                </c:pt>
                <c:pt idx="362">
                  <c:v>1.6161029218801881</c:v>
                </c:pt>
                <c:pt idx="363">
                  <c:v>1.6161029218801881</c:v>
                </c:pt>
                <c:pt idx="364">
                  <c:v>1.6161029218801881</c:v>
                </c:pt>
                <c:pt idx="365">
                  <c:v>1.6161029218801881</c:v>
                </c:pt>
                <c:pt idx="366">
                  <c:v>1.6161029218801881</c:v>
                </c:pt>
                <c:pt idx="367">
                  <c:v>1.6161029218801881</c:v>
                </c:pt>
                <c:pt idx="368">
                  <c:v>1.6161029218801881</c:v>
                </c:pt>
                <c:pt idx="369">
                  <c:v>1.6161029218801881</c:v>
                </c:pt>
                <c:pt idx="370">
                  <c:v>1.6161029218801881</c:v>
                </c:pt>
                <c:pt idx="371">
                  <c:v>1.6161029218801881</c:v>
                </c:pt>
                <c:pt idx="372">
                  <c:v>1.6161029218801881</c:v>
                </c:pt>
                <c:pt idx="373">
                  <c:v>1.6161029218801881</c:v>
                </c:pt>
                <c:pt idx="374">
                  <c:v>1.6161029218801881</c:v>
                </c:pt>
                <c:pt idx="375">
                  <c:v>1.6161029218801881</c:v>
                </c:pt>
                <c:pt idx="376">
                  <c:v>1.6161029218801881</c:v>
                </c:pt>
                <c:pt idx="377">
                  <c:v>1.6161029218801881</c:v>
                </c:pt>
                <c:pt idx="378">
                  <c:v>1.6161029218801881</c:v>
                </c:pt>
                <c:pt idx="379">
                  <c:v>1.6161029218801881</c:v>
                </c:pt>
                <c:pt idx="380">
                  <c:v>1.6161029218801881</c:v>
                </c:pt>
                <c:pt idx="381">
                  <c:v>1.6161029218801881</c:v>
                </c:pt>
                <c:pt idx="382">
                  <c:v>1.6161029218801881</c:v>
                </c:pt>
                <c:pt idx="383">
                  <c:v>1.6161029218801881</c:v>
                </c:pt>
                <c:pt idx="384">
                  <c:v>1.6161029218801881</c:v>
                </c:pt>
                <c:pt idx="385">
                  <c:v>1.6161029218801881</c:v>
                </c:pt>
                <c:pt idx="386">
                  <c:v>1.6161029218801881</c:v>
                </c:pt>
                <c:pt idx="387">
                  <c:v>1.6161029218801881</c:v>
                </c:pt>
                <c:pt idx="388">
                  <c:v>1.6161029218801881</c:v>
                </c:pt>
                <c:pt idx="389">
                  <c:v>1.5096995539822815</c:v>
                </c:pt>
                <c:pt idx="390">
                  <c:v>1.5096995539822815</c:v>
                </c:pt>
                <c:pt idx="391">
                  <c:v>1.5096995539822815</c:v>
                </c:pt>
                <c:pt idx="392">
                  <c:v>3.188887231935007</c:v>
                </c:pt>
                <c:pt idx="393">
                  <c:v>3.188887231935007</c:v>
                </c:pt>
                <c:pt idx="394">
                  <c:v>3.188887231935007</c:v>
                </c:pt>
                <c:pt idx="395">
                  <c:v>3.188887231935007</c:v>
                </c:pt>
                <c:pt idx="396">
                  <c:v>3.188887231935007</c:v>
                </c:pt>
                <c:pt idx="397">
                  <c:v>3.188887231935007</c:v>
                </c:pt>
                <c:pt idx="398">
                  <c:v>3.188887231935007</c:v>
                </c:pt>
                <c:pt idx="399">
                  <c:v>2.1903002454447948</c:v>
                </c:pt>
                <c:pt idx="400">
                  <c:v>2.1903002454447948</c:v>
                </c:pt>
                <c:pt idx="401">
                  <c:v>2.1903002454447948</c:v>
                </c:pt>
                <c:pt idx="402">
                  <c:v>2.1903002454447948</c:v>
                </c:pt>
                <c:pt idx="403">
                  <c:v>2.1903002454447948</c:v>
                </c:pt>
                <c:pt idx="404">
                  <c:v>2.1903002454447948</c:v>
                </c:pt>
                <c:pt idx="405">
                  <c:v>2.1903002454447948</c:v>
                </c:pt>
                <c:pt idx="406">
                  <c:v>2.1903002454447948</c:v>
                </c:pt>
                <c:pt idx="407">
                  <c:v>2.1903002454447948</c:v>
                </c:pt>
                <c:pt idx="408">
                  <c:v>2.1903002454447948</c:v>
                </c:pt>
                <c:pt idx="409">
                  <c:v>2.1903002454447948</c:v>
                </c:pt>
                <c:pt idx="410">
                  <c:v>2.1903002454447948</c:v>
                </c:pt>
                <c:pt idx="411">
                  <c:v>2.1903002454447948</c:v>
                </c:pt>
                <c:pt idx="412">
                  <c:v>2.1903002454447948</c:v>
                </c:pt>
                <c:pt idx="413">
                  <c:v>2.1903002454447948</c:v>
                </c:pt>
                <c:pt idx="414">
                  <c:v>2.1903002454447948</c:v>
                </c:pt>
                <c:pt idx="415">
                  <c:v>2.1903002454447948</c:v>
                </c:pt>
                <c:pt idx="416">
                  <c:v>2.1903002454447948</c:v>
                </c:pt>
                <c:pt idx="417">
                  <c:v>2.1903002454447948</c:v>
                </c:pt>
                <c:pt idx="418">
                  <c:v>2.1903002454447948</c:v>
                </c:pt>
              </c:numCache>
            </c:numRef>
          </c:val>
          <c:smooth val="0"/>
          <c:extLst>
            <c:ext xmlns:c16="http://schemas.microsoft.com/office/drawing/2014/chart" uri="{C3380CC4-5D6E-409C-BE32-E72D297353CC}">
              <c16:uniqueId val="{00000013-0378-4901-951A-9CC527A3EBF2}"/>
            </c:ext>
          </c:extLst>
        </c:ser>
        <c:ser>
          <c:idx val="0"/>
          <c:order val="6"/>
          <c:tx>
            <c:v>XLF</c:v>
          </c:tx>
          <c:spPr>
            <a:ln w="28575" cap="rnd">
              <a:solidFill>
                <a:schemeClr val="accent5">
                  <a:lumMod val="20000"/>
                  <a:lumOff val="80000"/>
                </a:schemeClr>
              </a:solidFill>
              <a:prstDash val="solid"/>
              <a:round/>
            </a:ln>
            <a:effectLst/>
          </c:spPr>
          <c:marker>
            <c:symbol val="none"/>
          </c:marker>
          <c:val>
            <c:numRef>
              <c:f>'2025-Q2'!$DS$4:$DS$422</c:f>
              <c:numCache>
                <c:formatCode>0.00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-0.55950946427675097</c:v>
                </c:pt>
                <c:pt idx="72">
                  <c:v>-0.55950946427675097</c:v>
                </c:pt>
                <c:pt idx="73">
                  <c:v>-0.55950946427675097</c:v>
                </c:pt>
                <c:pt idx="74">
                  <c:v>-0.55950946427675097</c:v>
                </c:pt>
                <c:pt idx="75">
                  <c:v>-0.55950946427675097</c:v>
                </c:pt>
                <c:pt idx="76">
                  <c:v>-0.55950946427675097</c:v>
                </c:pt>
                <c:pt idx="77">
                  <c:v>-0.55950946427675097</c:v>
                </c:pt>
                <c:pt idx="78">
                  <c:v>-0.55950946427675097</c:v>
                </c:pt>
                <c:pt idx="79">
                  <c:v>-0.55950946427675097</c:v>
                </c:pt>
                <c:pt idx="80">
                  <c:v>-0.55950946427675097</c:v>
                </c:pt>
                <c:pt idx="81">
                  <c:v>-0.55950946427675097</c:v>
                </c:pt>
                <c:pt idx="82">
                  <c:v>-0.55950946427675097</c:v>
                </c:pt>
                <c:pt idx="83">
                  <c:v>-0.55950946427675097</c:v>
                </c:pt>
                <c:pt idx="84">
                  <c:v>-0.55950946427675097</c:v>
                </c:pt>
                <c:pt idx="85">
                  <c:v>-0.55950946427675097</c:v>
                </c:pt>
                <c:pt idx="86">
                  <c:v>-0.55950946427675097</c:v>
                </c:pt>
                <c:pt idx="87">
                  <c:v>-0.55950946427675097</c:v>
                </c:pt>
                <c:pt idx="88">
                  <c:v>-0.55950946427675097</c:v>
                </c:pt>
                <c:pt idx="89">
                  <c:v>-0.55950946427675097</c:v>
                </c:pt>
                <c:pt idx="90">
                  <c:v>-0.55950946427675097</c:v>
                </c:pt>
                <c:pt idx="91">
                  <c:v>-0.55950946427675097</c:v>
                </c:pt>
                <c:pt idx="92">
                  <c:v>-0.55950946427675097</c:v>
                </c:pt>
                <c:pt idx="93">
                  <c:v>-0.55950946427675097</c:v>
                </c:pt>
                <c:pt idx="94">
                  <c:v>-0.55950946427675097</c:v>
                </c:pt>
                <c:pt idx="95">
                  <c:v>-0.55950946427675097</c:v>
                </c:pt>
                <c:pt idx="96">
                  <c:v>-0.55950946427675097</c:v>
                </c:pt>
                <c:pt idx="97">
                  <c:v>-0.55950946427675097</c:v>
                </c:pt>
                <c:pt idx="98">
                  <c:v>-0.55950946427675097</c:v>
                </c:pt>
                <c:pt idx="99">
                  <c:v>-0.55950946427675097</c:v>
                </c:pt>
                <c:pt idx="100">
                  <c:v>-0.55950946427675097</c:v>
                </c:pt>
                <c:pt idx="101">
                  <c:v>-0.55950946427675097</c:v>
                </c:pt>
                <c:pt idx="102">
                  <c:v>-0.55950946427675097</c:v>
                </c:pt>
                <c:pt idx="103">
                  <c:v>-0.55950946427675097</c:v>
                </c:pt>
                <c:pt idx="104">
                  <c:v>-0.55950946427675097</c:v>
                </c:pt>
                <c:pt idx="105">
                  <c:v>-0.55950946427675097</c:v>
                </c:pt>
                <c:pt idx="106">
                  <c:v>-0.55950946427675097</c:v>
                </c:pt>
                <c:pt idx="107">
                  <c:v>-0.55950946427675097</c:v>
                </c:pt>
                <c:pt idx="108">
                  <c:v>-0.55950946427675097</c:v>
                </c:pt>
                <c:pt idx="109">
                  <c:v>-0.55950946427675097</c:v>
                </c:pt>
                <c:pt idx="110">
                  <c:v>-0.55950946427675097</c:v>
                </c:pt>
                <c:pt idx="111">
                  <c:v>-0.55950946427675097</c:v>
                </c:pt>
                <c:pt idx="112">
                  <c:v>-0.55950946427675097</c:v>
                </c:pt>
                <c:pt idx="113">
                  <c:v>-0.55950946427675097</c:v>
                </c:pt>
                <c:pt idx="114">
                  <c:v>-0.55950946427675097</c:v>
                </c:pt>
                <c:pt idx="115">
                  <c:v>-0.55950946427675097</c:v>
                </c:pt>
                <c:pt idx="116">
                  <c:v>-0.55950946427675097</c:v>
                </c:pt>
                <c:pt idx="117">
                  <c:v>-0.55950946427675097</c:v>
                </c:pt>
                <c:pt idx="118">
                  <c:v>-0.55950946427675097</c:v>
                </c:pt>
                <c:pt idx="119">
                  <c:v>-0.55950946427675097</c:v>
                </c:pt>
                <c:pt idx="120">
                  <c:v>-0.55950946427675097</c:v>
                </c:pt>
                <c:pt idx="121">
                  <c:v>-0.55950946427675097</c:v>
                </c:pt>
                <c:pt idx="122">
                  <c:v>-0.55950946427675097</c:v>
                </c:pt>
                <c:pt idx="123">
                  <c:v>-0.55950946427675097</c:v>
                </c:pt>
                <c:pt idx="124">
                  <c:v>-0.55950946427675097</c:v>
                </c:pt>
                <c:pt idx="125">
                  <c:v>-0.55950946427675097</c:v>
                </c:pt>
                <c:pt idx="126">
                  <c:v>-0.55950946427675097</c:v>
                </c:pt>
                <c:pt idx="127">
                  <c:v>-0.55950946427675097</c:v>
                </c:pt>
                <c:pt idx="128">
                  <c:v>-0.55950946427675097</c:v>
                </c:pt>
                <c:pt idx="129">
                  <c:v>-0.55950946427675097</c:v>
                </c:pt>
                <c:pt idx="130">
                  <c:v>-0.55950946427675097</c:v>
                </c:pt>
                <c:pt idx="131">
                  <c:v>-0.55950946427675097</c:v>
                </c:pt>
                <c:pt idx="132">
                  <c:v>-0.55950946427675097</c:v>
                </c:pt>
                <c:pt idx="133">
                  <c:v>-0.55950946427675097</c:v>
                </c:pt>
                <c:pt idx="134">
                  <c:v>-0.55950946427675097</c:v>
                </c:pt>
                <c:pt idx="135">
                  <c:v>-0.55950946427675097</c:v>
                </c:pt>
                <c:pt idx="136">
                  <c:v>-0.55950946427675097</c:v>
                </c:pt>
                <c:pt idx="137">
                  <c:v>-0.55950946427675097</c:v>
                </c:pt>
                <c:pt idx="138">
                  <c:v>-0.55950946427675097</c:v>
                </c:pt>
                <c:pt idx="139">
                  <c:v>-0.55950946427675097</c:v>
                </c:pt>
                <c:pt idx="140">
                  <c:v>-0.55950946427675097</c:v>
                </c:pt>
                <c:pt idx="141">
                  <c:v>-0.55950946427675097</c:v>
                </c:pt>
                <c:pt idx="142">
                  <c:v>-0.55950946427675097</c:v>
                </c:pt>
                <c:pt idx="143">
                  <c:v>-0.55950946427675097</c:v>
                </c:pt>
                <c:pt idx="144">
                  <c:v>-0.55950946427675097</c:v>
                </c:pt>
                <c:pt idx="145">
                  <c:v>-0.55950946427675097</c:v>
                </c:pt>
                <c:pt idx="146">
                  <c:v>-0.55950946427675097</c:v>
                </c:pt>
                <c:pt idx="147">
                  <c:v>-0.55950946427675097</c:v>
                </c:pt>
                <c:pt idx="148">
                  <c:v>-0.55950946427675097</c:v>
                </c:pt>
                <c:pt idx="149">
                  <c:v>-0.55950946427675097</c:v>
                </c:pt>
                <c:pt idx="150">
                  <c:v>-0.55950946427675097</c:v>
                </c:pt>
                <c:pt idx="151">
                  <c:v>-0.55950946427675097</c:v>
                </c:pt>
                <c:pt idx="152">
                  <c:v>-0.55950946427675097</c:v>
                </c:pt>
                <c:pt idx="153">
                  <c:v>-0.55950946427675097</c:v>
                </c:pt>
                <c:pt idx="154">
                  <c:v>-0.55950946427675097</c:v>
                </c:pt>
                <c:pt idx="155">
                  <c:v>-0.55950946427675097</c:v>
                </c:pt>
                <c:pt idx="156">
                  <c:v>-0.55950946427675097</c:v>
                </c:pt>
                <c:pt idx="157">
                  <c:v>-0.55950946427675097</c:v>
                </c:pt>
                <c:pt idx="158">
                  <c:v>-0.55950946427675097</c:v>
                </c:pt>
                <c:pt idx="159">
                  <c:v>-0.55950946427675097</c:v>
                </c:pt>
                <c:pt idx="160">
                  <c:v>-0.55950946427675097</c:v>
                </c:pt>
                <c:pt idx="161">
                  <c:v>-0.55950946427675097</c:v>
                </c:pt>
                <c:pt idx="162">
                  <c:v>-0.55950946427675097</c:v>
                </c:pt>
                <c:pt idx="163">
                  <c:v>-0.55950946427675097</c:v>
                </c:pt>
                <c:pt idx="164">
                  <c:v>-0.55950946427675097</c:v>
                </c:pt>
                <c:pt idx="165">
                  <c:v>-0.55950946427675097</c:v>
                </c:pt>
                <c:pt idx="166">
                  <c:v>-0.55950946427675097</c:v>
                </c:pt>
                <c:pt idx="167">
                  <c:v>-0.55950946427675097</c:v>
                </c:pt>
                <c:pt idx="168">
                  <c:v>-0.55950946427675097</c:v>
                </c:pt>
                <c:pt idx="169">
                  <c:v>-0.55950946427675097</c:v>
                </c:pt>
                <c:pt idx="170">
                  <c:v>-0.55950946427675097</c:v>
                </c:pt>
                <c:pt idx="171">
                  <c:v>-0.55950946427675097</c:v>
                </c:pt>
                <c:pt idx="172">
                  <c:v>-0.55950946427675097</c:v>
                </c:pt>
                <c:pt idx="173">
                  <c:v>-0.55950946427675097</c:v>
                </c:pt>
                <c:pt idx="174">
                  <c:v>-0.55950946427675097</c:v>
                </c:pt>
                <c:pt idx="175">
                  <c:v>-0.55950946427675097</c:v>
                </c:pt>
                <c:pt idx="176">
                  <c:v>-0.55950946427675097</c:v>
                </c:pt>
                <c:pt idx="177">
                  <c:v>-0.55950946427675097</c:v>
                </c:pt>
                <c:pt idx="178">
                  <c:v>-0.55950946427675097</c:v>
                </c:pt>
                <c:pt idx="179">
                  <c:v>-0.55950946427675097</c:v>
                </c:pt>
                <c:pt idx="180">
                  <c:v>-0.55950946427675097</c:v>
                </c:pt>
                <c:pt idx="181">
                  <c:v>-0.55950946427675097</c:v>
                </c:pt>
                <c:pt idx="182">
                  <c:v>-0.55950946427675097</c:v>
                </c:pt>
                <c:pt idx="183">
                  <c:v>-0.55950946427675097</c:v>
                </c:pt>
                <c:pt idx="184">
                  <c:v>-0.55950946427675097</c:v>
                </c:pt>
                <c:pt idx="185">
                  <c:v>-0.55950946427675097</c:v>
                </c:pt>
                <c:pt idx="186">
                  <c:v>-0.55950946427675097</c:v>
                </c:pt>
                <c:pt idx="187">
                  <c:v>-0.55950946427675097</c:v>
                </c:pt>
                <c:pt idx="188">
                  <c:v>-0.55950946427675097</c:v>
                </c:pt>
                <c:pt idx="189">
                  <c:v>-0.55950946427675097</c:v>
                </c:pt>
                <c:pt idx="190">
                  <c:v>-0.55950946427675097</c:v>
                </c:pt>
                <c:pt idx="191">
                  <c:v>-0.55950946427675097</c:v>
                </c:pt>
                <c:pt idx="192">
                  <c:v>-0.55950946427675097</c:v>
                </c:pt>
                <c:pt idx="193">
                  <c:v>-0.55950946427675097</c:v>
                </c:pt>
                <c:pt idx="194">
                  <c:v>-0.55950946427675097</c:v>
                </c:pt>
                <c:pt idx="195">
                  <c:v>-0.55950946427675097</c:v>
                </c:pt>
                <c:pt idx="196">
                  <c:v>-0.55950946427675097</c:v>
                </c:pt>
                <c:pt idx="197">
                  <c:v>-0.55950946427675097</c:v>
                </c:pt>
                <c:pt idx="198">
                  <c:v>-0.55950946427675097</c:v>
                </c:pt>
                <c:pt idx="199">
                  <c:v>-0.55950946427675097</c:v>
                </c:pt>
                <c:pt idx="200">
                  <c:v>-0.55950946427675097</c:v>
                </c:pt>
                <c:pt idx="201">
                  <c:v>-0.55950946427675097</c:v>
                </c:pt>
                <c:pt idx="202">
                  <c:v>-0.55950946427675097</c:v>
                </c:pt>
                <c:pt idx="203">
                  <c:v>-0.55950946427675097</c:v>
                </c:pt>
                <c:pt idx="204">
                  <c:v>-0.55950946427675097</c:v>
                </c:pt>
                <c:pt idx="205">
                  <c:v>-0.55950946427675097</c:v>
                </c:pt>
                <c:pt idx="206">
                  <c:v>-0.55950946427675097</c:v>
                </c:pt>
                <c:pt idx="207">
                  <c:v>-0.55950946427675097</c:v>
                </c:pt>
                <c:pt idx="208">
                  <c:v>-0.55950946427675097</c:v>
                </c:pt>
                <c:pt idx="209">
                  <c:v>-0.55950946427675097</c:v>
                </c:pt>
                <c:pt idx="210">
                  <c:v>-0.55950946427675097</c:v>
                </c:pt>
                <c:pt idx="211">
                  <c:v>-0.55950946427675097</c:v>
                </c:pt>
                <c:pt idx="212">
                  <c:v>-0.55950946427675097</c:v>
                </c:pt>
                <c:pt idx="213">
                  <c:v>-0.55950946427675097</c:v>
                </c:pt>
                <c:pt idx="214">
                  <c:v>-0.55950946427675097</c:v>
                </c:pt>
                <c:pt idx="215">
                  <c:v>-0.55950946427675097</c:v>
                </c:pt>
                <c:pt idx="216">
                  <c:v>-0.55950946427675097</c:v>
                </c:pt>
                <c:pt idx="217">
                  <c:v>-0.55950946427675097</c:v>
                </c:pt>
                <c:pt idx="218">
                  <c:v>-0.55950946427675097</c:v>
                </c:pt>
                <c:pt idx="219">
                  <c:v>-0.55950946427675097</c:v>
                </c:pt>
                <c:pt idx="220">
                  <c:v>-0.55950946427675097</c:v>
                </c:pt>
                <c:pt idx="221">
                  <c:v>-0.55950946427675097</c:v>
                </c:pt>
                <c:pt idx="222">
                  <c:v>-0.55950946427675097</c:v>
                </c:pt>
                <c:pt idx="223">
                  <c:v>-0.55950946427675097</c:v>
                </c:pt>
                <c:pt idx="224">
                  <c:v>-0.55950946427675097</c:v>
                </c:pt>
                <c:pt idx="225">
                  <c:v>-0.55950946427675097</c:v>
                </c:pt>
                <c:pt idx="226">
                  <c:v>-0.55950946427675097</c:v>
                </c:pt>
                <c:pt idx="227">
                  <c:v>-0.55950946427675097</c:v>
                </c:pt>
                <c:pt idx="228">
                  <c:v>-0.55950946427675097</c:v>
                </c:pt>
                <c:pt idx="229">
                  <c:v>-0.55950946427675097</c:v>
                </c:pt>
                <c:pt idx="230">
                  <c:v>-0.55950946427675097</c:v>
                </c:pt>
                <c:pt idx="231">
                  <c:v>-0.55950946427675097</c:v>
                </c:pt>
                <c:pt idx="232">
                  <c:v>-0.55950946427675097</c:v>
                </c:pt>
                <c:pt idx="233">
                  <c:v>-0.55950946427675097</c:v>
                </c:pt>
                <c:pt idx="234">
                  <c:v>-0.55950946427675097</c:v>
                </c:pt>
                <c:pt idx="235">
                  <c:v>-0.55950946427675097</c:v>
                </c:pt>
                <c:pt idx="236">
                  <c:v>-0.55950946427675097</c:v>
                </c:pt>
                <c:pt idx="237">
                  <c:v>-0.55950946427675097</c:v>
                </c:pt>
                <c:pt idx="238">
                  <c:v>-0.55950946427675097</c:v>
                </c:pt>
                <c:pt idx="239">
                  <c:v>-0.55950946427675097</c:v>
                </c:pt>
                <c:pt idx="240">
                  <c:v>-0.55950946427675097</c:v>
                </c:pt>
                <c:pt idx="241">
                  <c:v>-0.55950946427675097</c:v>
                </c:pt>
                <c:pt idx="242">
                  <c:v>-0.55950946427675097</c:v>
                </c:pt>
                <c:pt idx="243">
                  <c:v>-0.55950946427675097</c:v>
                </c:pt>
                <c:pt idx="244">
                  <c:v>-0.55950946427675097</c:v>
                </c:pt>
                <c:pt idx="245">
                  <c:v>-0.55950946427675097</c:v>
                </c:pt>
                <c:pt idx="246">
                  <c:v>-0.55950946427675097</c:v>
                </c:pt>
                <c:pt idx="247">
                  <c:v>-0.55950946427675097</c:v>
                </c:pt>
                <c:pt idx="248">
                  <c:v>-0.55950946427675097</c:v>
                </c:pt>
                <c:pt idx="249">
                  <c:v>-0.55950946427675097</c:v>
                </c:pt>
                <c:pt idx="250">
                  <c:v>-0.55950946427675097</c:v>
                </c:pt>
                <c:pt idx="251">
                  <c:v>-0.55950946427675097</c:v>
                </c:pt>
                <c:pt idx="252">
                  <c:v>-0.55950946427675097</c:v>
                </c:pt>
                <c:pt idx="253">
                  <c:v>-0.55950946427675097</c:v>
                </c:pt>
                <c:pt idx="254">
                  <c:v>-0.55950946427675097</c:v>
                </c:pt>
                <c:pt idx="255">
                  <c:v>-0.55950946427675097</c:v>
                </c:pt>
                <c:pt idx="256">
                  <c:v>-0.55950946427675097</c:v>
                </c:pt>
                <c:pt idx="257">
                  <c:v>-0.55950946427675097</c:v>
                </c:pt>
                <c:pt idx="258">
                  <c:v>-0.55950946427675097</c:v>
                </c:pt>
                <c:pt idx="259">
                  <c:v>-0.55950946427675097</c:v>
                </c:pt>
                <c:pt idx="260">
                  <c:v>-0.55950946427675097</c:v>
                </c:pt>
                <c:pt idx="261">
                  <c:v>-0.55950946427675097</c:v>
                </c:pt>
                <c:pt idx="262">
                  <c:v>-0.55950946427675097</c:v>
                </c:pt>
                <c:pt idx="263">
                  <c:v>-0.55950946427675097</c:v>
                </c:pt>
                <c:pt idx="264">
                  <c:v>-0.55950946427675097</c:v>
                </c:pt>
                <c:pt idx="265">
                  <c:v>-0.55950946427675097</c:v>
                </c:pt>
                <c:pt idx="266">
                  <c:v>-0.55950946427675097</c:v>
                </c:pt>
                <c:pt idx="267">
                  <c:v>-0.55950946427675097</c:v>
                </c:pt>
                <c:pt idx="268">
                  <c:v>-0.55950946427675097</c:v>
                </c:pt>
                <c:pt idx="269">
                  <c:v>-0.55950946427675097</c:v>
                </c:pt>
                <c:pt idx="270">
                  <c:v>-0.55950946427675097</c:v>
                </c:pt>
                <c:pt idx="271">
                  <c:v>-0.55950946427675097</c:v>
                </c:pt>
                <c:pt idx="272">
                  <c:v>-0.55950946427675097</c:v>
                </c:pt>
                <c:pt idx="273">
                  <c:v>-0.55950946427675097</c:v>
                </c:pt>
                <c:pt idx="274">
                  <c:v>-0.55950946427675097</c:v>
                </c:pt>
                <c:pt idx="275">
                  <c:v>-0.55950946427675097</c:v>
                </c:pt>
                <c:pt idx="276">
                  <c:v>-0.55950946427675097</c:v>
                </c:pt>
                <c:pt idx="277">
                  <c:v>-0.55950946427675097</c:v>
                </c:pt>
                <c:pt idx="278">
                  <c:v>-0.55950946427675097</c:v>
                </c:pt>
                <c:pt idx="279">
                  <c:v>-0.55950946427675097</c:v>
                </c:pt>
                <c:pt idx="280">
                  <c:v>-0.55950946427675097</c:v>
                </c:pt>
                <c:pt idx="281">
                  <c:v>-0.55950946427675097</c:v>
                </c:pt>
                <c:pt idx="282">
                  <c:v>-0.55950946427675097</c:v>
                </c:pt>
                <c:pt idx="283">
                  <c:v>-0.55950946427675097</c:v>
                </c:pt>
                <c:pt idx="284">
                  <c:v>-0.55950946427675097</c:v>
                </c:pt>
                <c:pt idx="285">
                  <c:v>-0.55950946427675097</c:v>
                </c:pt>
                <c:pt idx="286">
                  <c:v>-0.55950946427675097</c:v>
                </c:pt>
                <c:pt idx="287">
                  <c:v>-0.55950946427675097</c:v>
                </c:pt>
                <c:pt idx="288">
                  <c:v>-0.55950946427675097</c:v>
                </c:pt>
                <c:pt idx="289">
                  <c:v>-0.55950946427675097</c:v>
                </c:pt>
                <c:pt idx="290">
                  <c:v>-0.55950946427675097</c:v>
                </c:pt>
                <c:pt idx="291">
                  <c:v>-0.55950946427675097</c:v>
                </c:pt>
                <c:pt idx="292">
                  <c:v>-0.55950946427675097</c:v>
                </c:pt>
                <c:pt idx="293">
                  <c:v>-0.55950946427675097</c:v>
                </c:pt>
                <c:pt idx="294">
                  <c:v>-0.55950946427675097</c:v>
                </c:pt>
                <c:pt idx="295">
                  <c:v>-0.55950946427675097</c:v>
                </c:pt>
                <c:pt idx="296">
                  <c:v>-0.55950946427675097</c:v>
                </c:pt>
                <c:pt idx="297">
                  <c:v>-0.55950946427675097</c:v>
                </c:pt>
                <c:pt idx="298">
                  <c:v>-0.55950946427675097</c:v>
                </c:pt>
                <c:pt idx="299">
                  <c:v>-0.55950946427675097</c:v>
                </c:pt>
                <c:pt idx="300">
                  <c:v>-0.55950946427675097</c:v>
                </c:pt>
                <c:pt idx="301">
                  <c:v>-0.55950946427675097</c:v>
                </c:pt>
                <c:pt idx="302">
                  <c:v>-0.55950946427675097</c:v>
                </c:pt>
                <c:pt idx="303">
                  <c:v>-0.55950946427675097</c:v>
                </c:pt>
                <c:pt idx="304">
                  <c:v>-0.55950946427675097</c:v>
                </c:pt>
                <c:pt idx="305">
                  <c:v>-0.55950946427675097</c:v>
                </c:pt>
                <c:pt idx="306">
                  <c:v>-0.55950946427675097</c:v>
                </c:pt>
                <c:pt idx="307">
                  <c:v>-0.55950946427675097</c:v>
                </c:pt>
                <c:pt idx="308">
                  <c:v>-0.55950946427675097</c:v>
                </c:pt>
                <c:pt idx="309">
                  <c:v>-0.55950946427675097</c:v>
                </c:pt>
                <c:pt idx="310">
                  <c:v>-0.55950946427675097</c:v>
                </c:pt>
                <c:pt idx="311">
                  <c:v>-0.55950946427675097</c:v>
                </c:pt>
                <c:pt idx="312">
                  <c:v>-0.55950946427675097</c:v>
                </c:pt>
                <c:pt idx="313">
                  <c:v>-0.55950946427675097</c:v>
                </c:pt>
                <c:pt idx="314">
                  <c:v>-0.55950946427675097</c:v>
                </c:pt>
                <c:pt idx="315">
                  <c:v>-0.55950946427675097</c:v>
                </c:pt>
                <c:pt idx="316">
                  <c:v>-0.55950946427675097</c:v>
                </c:pt>
                <c:pt idx="317">
                  <c:v>-0.55950946427675097</c:v>
                </c:pt>
                <c:pt idx="318">
                  <c:v>-0.55950946427675097</c:v>
                </c:pt>
                <c:pt idx="319">
                  <c:v>-0.55950946427675097</c:v>
                </c:pt>
                <c:pt idx="320">
                  <c:v>-0.55950946427675097</c:v>
                </c:pt>
                <c:pt idx="321">
                  <c:v>-0.55950946427675097</c:v>
                </c:pt>
                <c:pt idx="322">
                  <c:v>-0.55950946427675097</c:v>
                </c:pt>
                <c:pt idx="323">
                  <c:v>-0.55950946427675097</c:v>
                </c:pt>
                <c:pt idx="324">
                  <c:v>-0.55950946427675097</c:v>
                </c:pt>
                <c:pt idx="325">
                  <c:v>-0.55950946427675097</c:v>
                </c:pt>
                <c:pt idx="326">
                  <c:v>-0.55950946427675097</c:v>
                </c:pt>
                <c:pt idx="327">
                  <c:v>-0.55950946427675097</c:v>
                </c:pt>
                <c:pt idx="328">
                  <c:v>-0.55950946427675097</c:v>
                </c:pt>
                <c:pt idx="329">
                  <c:v>-0.55950946427675097</c:v>
                </c:pt>
                <c:pt idx="330">
                  <c:v>-0.55950946427675097</c:v>
                </c:pt>
                <c:pt idx="331">
                  <c:v>-0.55950946427675097</c:v>
                </c:pt>
                <c:pt idx="332">
                  <c:v>-0.55950946427675097</c:v>
                </c:pt>
                <c:pt idx="333">
                  <c:v>-0.55950946427675097</c:v>
                </c:pt>
                <c:pt idx="334">
                  <c:v>-0.55950946427675097</c:v>
                </c:pt>
                <c:pt idx="335">
                  <c:v>-0.55950946427675097</c:v>
                </c:pt>
                <c:pt idx="336">
                  <c:v>-0.55950946427675097</c:v>
                </c:pt>
                <c:pt idx="337">
                  <c:v>-0.55950946427675097</c:v>
                </c:pt>
                <c:pt idx="338">
                  <c:v>-0.55950946427675097</c:v>
                </c:pt>
                <c:pt idx="339">
                  <c:v>-0.55950946427675097</c:v>
                </c:pt>
                <c:pt idx="340">
                  <c:v>-0.55950946427675097</c:v>
                </c:pt>
                <c:pt idx="341">
                  <c:v>-0.55950946427675097</c:v>
                </c:pt>
                <c:pt idx="342">
                  <c:v>-0.55950946427675097</c:v>
                </c:pt>
                <c:pt idx="343">
                  <c:v>-0.55950946427675097</c:v>
                </c:pt>
                <c:pt idx="344">
                  <c:v>-0.55950946427675097</c:v>
                </c:pt>
                <c:pt idx="345">
                  <c:v>-0.55950946427675097</c:v>
                </c:pt>
                <c:pt idx="346">
                  <c:v>-0.55950946427675097</c:v>
                </c:pt>
                <c:pt idx="347">
                  <c:v>-0.55950946427675097</c:v>
                </c:pt>
                <c:pt idx="348">
                  <c:v>-0.55950946427675097</c:v>
                </c:pt>
                <c:pt idx="349">
                  <c:v>-0.55950946427675097</c:v>
                </c:pt>
                <c:pt idx="350">
                  <c:v>-0.55950946427675097</c:v>
                </c:pt>
                <c:pt idx="351">
                  <c:v>-0.55950946427675097</c:v>
                </c:pt>
                <c:pt idx="352">
                  <c:v>-0.55950946427675097</c:v>
                </c:pt>
                <c:pt idx="353">
                  <c:v>-0.55950946427675097</c:v>
                </c:pt>
                <c:pt idx="354">
                  <c:v>-0.55950946427675097</c:v>
                </c:pt>
                <c:pt idx="355">
                  <c:v>-0.55950946427675097</c:v>
                </c:pt>
                <c:pt idx="356">
                  <c:v>-0.55950946427675097</c:v>
                </c:pt>
                <c:pt idx="357">
                  <c:v>-0.55950946427675097</c:v>
                </c:pt>
                <c:pt idx="358">
                  <c:v>-0.55950946427675097</c:v>
                </c:pt>
                <c:pt idx="359">
                  <c:v>-0.55950946427675097</c:v>
                </c:pt>
                <c:pt idx="360">
                  <c:v>-0.55950946427675097</c:v>
                </c:pt>
                <c:pt idx="361">
                  <c:v>-0.55950946427675097</c:v>
                </c:pt>
                <c:pt idx="362">
                  <c:v>-0.55950946427675097</c:v>
                </c:pt>
                <c:pt idx="363">
                  <c:v>-0.55950946427675097</c:v>
                </c:pt>
                <c:pt idx="364">
                  <c:v>-0.55950946427675097</c:v>
                </c:pt>
                <c:pt idx="365">
                  <c:v>-0.55950946427675097</c:v>
                </c:pt>
                <c:pt idx="366">
                  <c:v>-0.55950946427675097</c:v>
                </c:pt>
                <c:pt idx="367">
                  <c:v>-0.55950946427675097</c:v>
                </c:pt>
                <c:pt idx="368">
                  <c:v>-0.55950946427675097</c:v>
                </c:pt>
                <c:pt idx="369">
                  <c:v>-0.55950946427675097</c:v>
                </c:pt>
                <c:pt idx="370">
                  <c:v>-0.55950946427675097</c:v>
                </c:pt>
                <c:pt idx="371">
                  <c:v>-0.55950946427675097</c:v>
                </c:pt>
                <c:pt idx="372">
                  <c:v>-0.55950946427675097</c:v>
                </c:pt>
                <c:pt idx="373">
                  <c:v>-0.55950946427675097</c:v>
                </c:pt>
                <c:pt idx="374">
                  <c:v>-0.55950946427675097</c:v>
                </c:pt>
                <c:pt idx="375">
                  <c:v>-0.55950946427675097</c:v>
                </c:pt>
                <c:pt idx="376">
                  <c:v>-0.55950946427675097</c:v>
                </c:pt>
                <c:pt idx="377">
                  <c:v>-0.55950946427675097</c:v>
                </c:pt>
                <c:pt idx="378">
                  <c:v>-0.55950946427675097</c:v>
                </c:pt>
                <c:pt idx="379">
                  <c:v>-0.55950946427675097</c:v>
                </c:pt>
                <c:pt idx="380">
                  <c:v>-0.55950946427675097</c:v>
                </c:pt>
                <c:pt idx="381">
                  <c:v>-0.55950946427675097</c:v>
                </c:pt>
                <c:pt idx="382">
                  <c:v>-0.55950946427675097</c:v>
                </c:pt>
                <c:pt idx="383">
                  <c:v>-0.55950946427675097</c:v>
                </c:pt>
                <c:pt idx="384">
                  <c:v>-0.55950946427675097</c:v>
                </c:pt>
                <c:pt idx="385">
                  <c:v>-0.55950946427675097</c:v>
                </c:pt>
                <c:pt idx="386">
                  <c:v>-0.55950946427675097</c:v>
                </c:pt>
                <c:pt idx="387">
                  <c:v>-0.55950946427675097</c:v>
                </c:pt>
                <c:pt idx="388">
                  <c:v>-0.55950946427675097</c:v>
                </c:pt>
                <c:pt idx="389">
                  <c:v>-0.55950946427675097</c:v>
                </c:pt>
                <c:pt idx="390">
                  <c:v>-0.55950946427675097</c:v>
                </c:pt>
                <c:pt idx="391">
                  <c:v>-0.55950946427675097</c:v>
                </c:pt>
                <c:pt idx="392">
                  <c:v>-0.55950946427675097</c:v>
                </c:pt>
                <c:pt idx="393">
                  <c:v>-0.55950946427675097</c:v>
                </c:pt>
                <c:pt idx="394">
                  <c:v>-0.55950946427675097</c:v>
                </c:pt>
                <c:pt idx="395">
                  <c:v>-0.55950946427675097</c:v>
                </c:pt>
                <c:pt idx="396">
                  <c:v>-0.55950946427675097</c:v>
                </c:pt>
                <c:pt idx="397">
                  <c:v>-0.55950946427675097</c:v>
                </c:pt>
                <c:pt idx="398">
                  <c:v>-0.55950946427675097</c:v>
                </c:pt>
                <c:pt idx="399">
                  <c:v>-0.55950946427675097</c:v>
                </c:pt>
                <c:pt idx="400">
                  <c:v>-0.55950946427675097</c:v>
                </c:pt>
                <c:pt idx="401">
                  <c:v>-0.55950946427675097</c:v>
                </c:pt>
                <c:pt idx="402">
                  <c:v>-0.55950946427675097</c:v>
                </c:pt>
                <c:pt idx="403">
                  <c:v>-0.55950946427675097</c:v>
                </c:pt>
                <c:pt idx="404">
                  <c:v>-0.55950946427675097</c:v>
                </c:pt>
                <c:pt idx="405">
                  <c:v>-0.55950946427675097</c:v>
                </c:pt>
                <c:pt idx="406">
                  <c:v>-0.55950946427675097</c:v>
                </c:pt>
                <c:pt idx="407">
                  <c:v>-0.55950946427675097</c:v>
                </c:pt>
                <c:pt idx="408">
                  <c:v>-0.55950946427675097</c:v>
                </c:pt>
                <c:pt idx="409">
                  <c:v>-0.55950946427675097</c:v>
                </c:pt>
                <c:pt idx="410">
                  <c:v>-0.55950946427675097</c:v>
                </c:pt>
                <c:pt idx="411">
                  <c:v>-0.55950946427675097</c:v>
                </c:pt>
                <c:pt idx="412">
                  <c:v>-0.55950946427675097</c:v>
                </c:pt>
                <c:pt idx="413">
                  <c:v>-0.55950946427675097</c:v>
                </c:pt>
                <c:pt idx="414">
                  <c:v>-0.55950946427675097</c:v>
                </c:pt>
                <c:pt idx="415">
                  <c:v>-0.55950946427675097</c:v>
                </c:pt>
                <c:pt idx="416">
                  <c:v>-0.55950946427675097</c:v>
                </c:pt>
                <c:pt idx="417">
                  <c:v>-0.55950946427675097</c:v>
                </c:pt>
                <c:pt idx="418">
                  <c:v>-0.55950946427675097</c:v>
                </c:pt>
              </c:numCache>
            </c:numRef>
          </c:val>
          <c:smooth val="1"/>
          <c:extLst>
            <c:ext xmlns:c16="http://schemas.microsoft.com/office/drawing/2014/chart" uri="{C3380CC4-5D6E-409C-BE32-E72D297353CC}">
              <c16:uniqueId val="{00000009-0378-4901-951A-9CC527A3EBF2}"/>
            </c:ext>
          </c:extLst>
        </c:ser>
        <c:ser>
          <c:idx val="1"/>
          <c:order val="7"/>
          <c:tx>
            <c:v>XLV</c:v>
          </c:tx>
          <c:spPr>
            <a:ln w="28575" cap="rnd">
              <a:solidFill>
                <a:srgbClr val="7030A0"/>
              </a:solidFill>
              <a:prstDash val="solid"/>
              <a:round/>
            </a:ln>
            <a:effectLst/>
          </c:spPr>
          <c:marker>
            <c:symbol val="none"/>
          </c:marker>
          <c:val>
            <c:numRef>
              <c:f>'2025-Q2'!$EG$4:$EG$422</c:f>
              <c:numCache>
                <c:formatCode>0.00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-0.15098969023521425</c:v>
                </c:pt>
                <c:pt idx="204">
                  <c:v>-0.15098969023521425</c:v>
                </c:pt>
                <c:pt idx="205">
                  <c:v>-0.15098969023521425</c:v>
                </c:pt>
                <c:pt idx="206">
                  <c:v>-0.15098969023521425</c:v>
                </c:pt>
                <c:pt idx="207">
                  <c:v>-0.15098969023521425</c:v>
                </c:pt>
                <c:pt idx="208">
                  <c:v>-0.15098969023521425</c:v>
                </c:pt>
                <c:pt idx="209">
                  <c:v>-0.15098969023521425</c:v>
                </c:pt>
                <c:pt idx="210">
                  <c:v>-0.15098969023521425</c:v>
                </c:pt>
                <c:pt idx="211">
                  <c:v>-0.15098969023521425</c:v>
                </c:pt>
                <c:pt idx="212">
                  <c:v>-0.15098969023521425</c:v>
                </c:pt>
                <c:pt idx="213">
                  <c:v>-0.15098969023521425</c:v>
                </c:pt>
                <c:pt idx="214">
                  <c:v>-0.15098969023521425</c:v>
                </c:pt>
                <c:pt idx="215">
                  <c:v>-0.15098969023521425</c:v>
                </c:pt>
                <c:pt idx="216">
                  <c:v>-0.15098969023521425</c:v>
                </c:pt>
                <c:pt idx="217">
                  <c:v>-0.15098969023521425</c:v>
                </c:pt>
                <c:pt idx="218">
                  <c:v>-0.15098969023521425</c:v>
                </c:pt>
                <c:pt idx="219">
                  <c:v>-0.15098969023521425</c:v>
                </c:pt>
                <c:pt idx="220">
                  <c:v>-0.15098969023521425</c:v>
                </c:pt>
                <c:pt idx="221">
                  <c:v>-0.15098969023521425</c:v>
                </c:pt>
                <c:pt idx="222">
                  <c:v>-0.15098969023521425</c:v>
                </c:pt>
                <c:pt idx="223">
                  <c:v>-0.15098969023521425</c:v>
                </c:pt>
                <c:pt idx="224">
                  <c:v>-0.15098969023521425</c:v>
                </c:pt>
                <c:pt idx="225">
                  <c:v>-0.15098969023521425</c:v>
                </c:pt>
                <c:pt idx="226">
                  <c:v>-0.15098969023521425</c:v>
                </c:pt>
                <c:pt idx="227">
                  <c:v>-0.15098969023521425</c:v>
                </c:pt>
                <c:pt idx="228">
                  <c:v>-0.15098969023521425</c:v>
                </c:pt>
                <c:pt idx="229">
                  <c:v>-0.15098969023521425</c:v>
                </c:pt>
                <c:pt idx="230">
                  <c:v>-0.15098969023521425</c:v>
                </c:pt>
                <c:pt idx="231">
                  <c:v>-0.15098969023521425</c:v>
                </c:pt>
                <c:pt idx="232">
                  <c:v>-0.15098969023521425</c:v>
                </c:pt>
                <c:pt idx="233">
                  <c:v>-0.15098969023521425</c:v>
                </c:pt>
                <c:pt idx="234">
                  <c:v>-0.15098969023521425</c:v>
                </c:pt>
                <c:pt idx="235">
                  <c:v>-0.15098969023521425</c:v>
                </c:pt>
                <c:pt idx="236">
                  <c:v>-0.15098969023521425</c:v>
                </c:pt>
                <c:pt idx="237">
                  <c:v>-0.15098969023521425</c:v>
                </c:pt>
                <c:pt idx="238">
                  <c:v>-0.15098969023521425</c:v>
                </c:pt>
                <c:pt idx="239">
                  <c:v>-0.15098969023521425</c:v>
                </c:pt>
                <c:pt idx="240">
                  <c:v>-0.15098969023521425</c:v>
                </c:pt>
                <c:pt idx="241">
                  <c:v>-0.15098969023521425</c:v>
                </c:pt>
                <c:pt idx="242">
                  <c:v>-0.15098969023521425</c:v>
                </c:pt>
                <c:pt idx="243">
                  <c:v>-0.15098969023521425</c:v>
                </c:pt>
                <c:pt idx="244">
                  <c:v>-0.15098969023521425</c:v>
                </c:pt>
                <c:pt idx="245">
                  <c:v>-0.15098969023521425</c:v>
                </c:pt>
                <c:pt idx="246">
                  <c:v>-0.15098969023521425</c:v>
                </c:pt>
                <c:pt idx="247">
                  <c:v>-0.15098969023521425</c:v>
                </c:pt>
                <c:pt idx="248">
                  <c:v>-0.15098969023521425</c:v>
                </c:pt>
                <c:pt idx="249">
                  <c:v>-0.15098969023521425</c:v>
                </c:pt>
                <c:pt idx="250">
                  <c:v>-0.15098969023521425</c:v>
                </c:pt>
                <c:pt idx="251">
                  <c:v>-0.15098969023521425</c:v>
                </c:pt>
                <c:pt idx="252">
                  <c:v>-0.15098969023521425</c:v>
                </c:pt>
                <c:pt idx="253">
                  <c:v>-0.15098969023521425</c:v>
                </c:pt>
                <c:pt idx="254">
                  <c:v>-0.15098969023521425</c:v>
                </c:pt>
                <c:pt idx="255">
                  <c:v>-0.15098969023521425</c:v>
                </c:pt>
                <c:pt idx="256">
                  <c:v>-0.15098969023521425</c:v>
                </c:pt>
                <c:pt idx="257">
                  <c:v>-0.15098969023521425</c:v>
                </c:pt>
                <c:pt idx="258">
                  <c:v>-0.15098969023521425</c:v>
                </c:pt>
                <c:pt idx="259">
                  <c:v>-0.15098969023521425</c:v>
                </c:pt>
                <c:pt idx="260">
                  <c:v>-0.15098969023521425</c:v>
                </c:pt>
                <c:pt idx="261">
                  <c:v>-0.15098969023521425</c:v>
                </c:pt>
                <c:pt idx="262">
                  <c:v>-0.15098969023521425</c:v>
                </c:pt>
                <c:pt idx="263">
                  <c:v>-0.15098969023521425</c:v>
                </c:pt>
                <c:pt idx="264">
                  <c:v>-0.15098969023521425</c:v>
                </c:pt>
                <c:pt idx="265">
                  <c:v>-0.15098969023521425</c:v>
                </c:pt>
                <c:pt idx="266">
                  <c:v>-0.15098969023521425</c:v>
                </c:pt>
                <c:pt idx="267">
                  <c:v>-0.15098969023521425</c:v>
                </c:pt>
                <c:pt idx="268">
                  <c:v>-0.15098969023521425</c:v>
                </c:pt>
                <c:pt idx="269">
                  <c:v>-0.15098969023521425</c:v>
                </c:pt>
                <c:pt idx="270">
                  <c:v>-0.15098969023521425</c:v>
                </c:pt>
                <c:pt idx="271">
                  <c:v>-0.15098969023521425</c:v>
                </c:pt>
                <c:pt idx="272">
                  <c:v>-0.15098969023521425</c:v>
                </c:pt>
                <c:pt idx="273">
                  <c:v>-0.15098969023521425</c:v>
                </c:pt>
                <c:pt idx="274">
                  <c:v>-0.15098969023521425</c:v>
                </c:pt>
                <c:pt idx="275">
                  <c:v>-0.15098969023521425</c:v>
                </c:pt>
                <c:pt idx="276">
                  <c:v>-0.15098969023521425</c:v>
                </c:pt>
                <c:pt idx="277">
                  <c:v>-0.15098969023521425</c:v>
                </c:pt>
                <c:pt idx="278">
                  <c:v>-0.15098969023521425</c:v>
                </c:pt>
                <c:pt idx="279">
                  <c:v>-0.15098969023521425</c:v>
                </c:pt>
                <c:pt idx="280">
                  <c:v>-0.15098969023521425</c:v>
                </c:pt>
                <c:pt idx="281">
                  <c:v>-0.15098969023521425</c:v>
                </c:pt>
                <c:pt idx="282">
                  <c:v>-0.15098969023521425</c:v>
                </c:pt>
                <c:pt idx="283">
                  <c:v>-0.15098969023521425</c:v>
                </c:pt>
                <c:pt idx="284">
                  <c:v>-0.15098969023521425</c:v>
                </c:pt>
                <c:pt idx="285">
                  <c:v>-0.15098969023521425</c:v>
                </c:pt>
                <c:pt idx="286">
                  <c:v>-0.15098969023521425</c:v>
                </c:pt>
                <c:pt idx="287">
                  <c:v>-0.15098969023521425</c:v>
                </c:pt>
                <c:pt idx="288">
                  <c:v>-0.15098969023521425</c:v>
                </c:pt>
                <c:pt idx="289">
                  <c:v>-0.15098969023521425</c:v>
                </c:pt>
                <c:pt idx="290">
                  <c:v>-0.15098969023521425</c:v>
                </c:pt>
                <c:pt idx="291">
                  <c:v>-0.15098969023521425</c:v>
                </c:pt>
                <c:pt idx="292">
                  <c:v>-0.15098969023521425</c:v>
                </c:pt>
                <c:pt idx="293">
                  <c:v>-0.15098969023521425</c:v>
                </c:pt>
                <c:pt idx="294">
                  <c:v>-0.15098969023521425</c:v>
                </c:pt>
                <c:pt idx="295">
                  <c:v>-0.15098969023521425</c:v>
                </c:pt>
                <c:pt idx="296">
                  <c:v>-0.15098969023521425</c:v>
                </c:pt>
                <c:pt idx="297">
                  <c:v>0.12123845414313134</c:v>
                </c:pt>
                <c:pt idx="298">
                  <c:v>0.12123845414313134</c:v>
                </c:pt>
                <c:pt idx="299">
                  <c:v>0.12123845414313134</c:v>
                </c:pt>
                <c:pt idx="300">
                  <c:v>0.12123845414313134</c:v>
                </c:pt>
                <c:pt idx="301">
                  <c:v>0.12123845414313134</c:v>
                </c:pt>
                <c:pt idx="302">
                  <c:v>0.12123845414313134</c:v>
                </c:pt>
                <c:pt idx="303">
                  <c:v>0.12123845414313134</c:v>
                </c:pt>
                <c:pt idx="304">
                  <c:v>0.12123845414313134</c:v>
                </c:pt>
                <c:pt idx="305">
                  <c:v>0.12123845414313134</c:v>
                </c:pt>
                <c:pt idx="306">
                  <c:v>0.12123845414313134</c:v>
                </c:pt>
                <c:pt idx="307">
                  <c:v>0.12123845414313134</c:v>
                </c:pt>
                <c:pt idx="308">
                  <c:v>0.12123845414313134</c:v>
                </c:pt>
                <c:pt idx="309">
                  <c:v>0.12123845414313134</c:v>
                </c:pt>
                <c:pt idx="310">
                  <c:v>0.12123845414313134</c:v>
                </c:pt>
                <c:pt idx="311">
                  <c:v>0.12123845414313134</c:v>
                </c:pt>
                <c:pt idx="312">
                  <c:v>0.12123845414313134</c:v>
                </c:pt>
                <c:pt idx="313">
                  <c:v>0.12123845414313134</c:v>
                </c:pt>
                <c:pt idx="314">
                  <c:v>0.12123845414313134</c:v>
                </c:pt>
                <c:pt idx="315">
                  <c:v>0.12123845414313134</c:v>
                </c:pt>
                <c:pt idx="316">
                  <c:v>0.65848341369884777</c:v>
                </c:pt>
                <c:pt idx="317">
                  <c:v>0.65848341369884777</c:v>
                </c:pt>
                <c:pt idx="318">
                  <c:v>0.65848341369884777</c:v>
                </c:pt>
                <c:pt idx="319">
                  <c:v>0.65848341369884777</c:v>
                </c:pt>
                <c:pt idx="320">
                  <c:v>0.65848341369884777</c:v>
                </c:pt>
                <c:pt idx="321">
                  <c:v>0.65848341369884777</c:v>
                </c:pt>
                <c:pt idx="322">
                  <c:v>0.65848341369884777</c:v>
                </c:pt>
                <c:pt idx="323">
                  <c:v>0.65848341369884777</c:v>
                </c:pt>
                <c:pt idx="324">
                  <c:v>0.65848341369884777</c:v>
                </c:pt>
                <c:pt idx="325">
                  <c:v>0.65848341369884777</c:v>
                </c:pt>
                <c:pt idx="326">
                  <c:v>0.65848341369884777</c:v>
                </c:pt>
                <c:pt idx="327">
                  <c:v>0.65848341369884777</c:v>
                </c:pt>
                <c:pt idx="328">
                  <c:v>0.65848341369884777</c:v>
                </c:pt>
                <c:pt idx="329">
                  <c:v>0.65848341369884777</c:v>
                </c:pt>
                <c:pt idx="330">
                  <c:v>0.65848341369884777</c:v>
                </c:pt>
                <c:pt idx="331">
                  <c:v>0.65848341369884777</c:v>
                </c:pt>
                <c:pt idx="332">
                  <c:v>0.65848341369884777</c:v>
                </c:pt>
                <c:pt idx="333">
                  <c:v>0.65848341369884777</c:v>
                </c:pt>
                <c:pt idx="334">
                  <c:v>0.65848341369884777</c:v>
                </c:pt>
                <c:pt idx="335">
                  <c:v>0.65848341369884777</c:v>
                </c:pt>
                <c:pt idx="336">
                  <c:v>0.65848341369884777</c:v>
                </c:pt>
                <c:pt idx="337">
                  <c:v>0.65848341369884777</c:v>
                </c:pt>
                <c:pt idx="338">
                  <c:v>0.65848341369884777</c:v>
                </c:pt>
                <c:pt idx="339">
                  <c:v>0.65848341369884777</c:v>
                </c:pt>
                <c:pt idx="340">
                  <c:v>0.65848341369884777</c:v>
                </c:pt>
                <c:pt idx="341">
                  <c:v>0.65848341369884777</c:v>
                </c:pt>
                <c:pt idx="342">
                  <c:v>0.65848341369884777</c:v>
                </c:pt>
                <c:pt idx="343">
                  <c:v>0.65848341369884777</c:v>
                </c:pt>
                <c:pt idx="344">
                  <c:v>0.65848341369884777</c:v>
                </c:pt>
                <c:pt idx="345">
                  <c:v>0.65848341369884777</c:v>
                </c:pt>
                <c:pt idx="346">
                  <c:v>0.65848341369884777</c:v>
                </c:pt>
                <c:pt idx="347">
                  <c:v>0.65848341369884777</c:v>
                </c:pt>
                <c:pt idx="348">
                  <c:v>0.65848341369884777</c:v>
                </c:pt>
                <c:pt idx="349">
                  <c:v>0.65848341369884777</c:v>
                </c:pt>
                <c:pt idx="350">
                  <c:v>0.65848341369884777</c:v>
                </c:pt>
                <c:pt idx="351">
                  <c:v>0.65848341369884777</c:v>
                </c:pt>
                <c:pt idx="352">
                  <c:v>0.65848341369884777</c:v>
                </c:pt>
                <c:pt idx="353">
                  <c:v>0.65848341369884777</c:v>
                </c:pt>
                <c:pt idx="354">
                  <c:v>0.65848341369884777</c:v>
                </c:pt>
                <c:pt idx="355">
                  <c:v>0.65848341369884777</c:v>
                </c:pt>
                <c:pt idx="356">
                  <c:v>0.65848341369884777</c:v>
                </c:pt>
                <c:pt idx="357">
                  <c:v>0.65848341369884777</c:v>
                </c:pt>
                <c:pt idx="358">
                  <c:v>0.65848341369884777</c:v>
                </c:pt>
                <c:pt idx="359">
                  <c:v>0.65848341369884777</c:v>
                </c:pt>
                <c:pt idx="360">
                  <c:v>0.65848341369884777</c:v>
                </c:pt>
                <c:pt idx="361">
                  <c:v>0.65848341369884777</c:v>
                </c:pt>
                <c:pt idx="362">
                  <c:v>0.65848341369884777</c:v>
                </c:pt>
                <c:pt idx="363">
                  <c:v>0.65848341369884777</c:v>
                </c:pt>
                <c:pt idx="364">
                  <c:v>0.65848341369884777</c:v>
                </c:pt>
                <c:pt idx="365">
                  <c:v>0.65848341369884777</c:v>
                </c:pt>
                <c:pt idx="366">
                  <c:v>0.65848341369884777</c:v>
                </c:pt>
                <c:pt idx="367">
                  <c:v>0.65848341369884777</c:v>
                </c:pt>
                <c:pt idx="368">
                  <c:v>0.65848341369884777</c:v>
                </c:pt>
                <c:pt idx="369">
                  <c:v>0.65848341369884777</c:v>
                </c:pt>
                <c:pt idx="370">
                  <c:v>0.65848341369884777</c:v>
                </c:pt>
                <c:pt idx="371">
                  <c:v>0.65848341369884777</c:v>
                </c:pt>
                <c:pt idx="372">
                  <c:v>0.65848341369884777</c:v>
                </c:pt>
                <c:pt idx="373">
                  <c:v>0.65848341369884777</c:v>
                </c:pt>
                <c:pt idx="374">
                  <c:v>0.65848341369884777</c:v>
                </c:pt>
                <c:pt idx="375">
                  <c:v>0.65848341369884777</c:v>
                </c:pt>
                <c:pt idx="376">
                  <c:v>0.65848341369884777</c:v>
                </c:pt>
                <c:pt idx="377">
                  <c:v>0.65848341369884777</c:v>
                </c:pt>
                <c:pt idx="378">
                  <c:v>0.65848341369884777</c:v>
                </c:pt>
                <c:pt idx="379">
                  <c:v>0.65848341369884777</c:v>
                </c:pt>
                <c:pt idx="380">
                  <c:v>0.65848341369884777</c:v>
                </c:pt>
                <c:pt idx="381">
                  <c:v>0.65848341369884777</c:v>
                </c:pt>
                <c:pt idx="382">
                  <c:v>0.65848341369884777</c:v>
                </c:pt>
                <c:pt idx="383">
                  <c:v>0.65848341369884777</c:v>
                </c:pt>
                <c:pt idx="384">
                  <c:v>0.65848341369884777</c:v>
                </c:pt>
                <c:pt idx="385">
                  <c:v>0.65848341369884777</c:v>
                </c:pt>
                <c:pt idx="386">
                  <c:v>0.65848341369884777</c:v>
                </c:pt>
                <c:pt idx="387">
                  <c:v>0.65848341369884777</c:v>
                </c:pt>
                <c:pt idx="388">
                  <c:v>0.65848341369884777</c:v>
                </c:pt>
                <c:pt idx="389">
                  <c:v>0.65848341369884777</c:v>
                </c:pt>
                <c:pt idx="390">
                  <c:v>0.65848341369884777</c:v>
                </c:pt>
                <c:pt idx="391">
                  <c:v>0.65848341369884777</c:v>
                </c:pt>
                <c:pt idx="392">
                  <c:v>0.65848341369884777</c:v>
                </c:pt>
                <c:pt idx="393">
                  <c:v>0.65848341369884777</c:v>
                </c:pt>
                <c:pt idx="394">
                  <c:v>0.65848341369884777</c:v>
                </c:pt>
                <c:pt idx="395">
                  <c:v>0.65848341369884777</c:v>
                </c:pt>
                <c:pt idx="396">
                  <c:v>0.65848341369884777</c:v>
                </c:pt>
                <c:pt idx="397">
                  <c:v>0.65848341369884777</c:v>
                </c:pt>
                <c:pt idx="398">
                  <c:v>0.65848341369884777</c:v>
                </c:pt>
                <c:pt idx="399">
                  <c:v>0.65848341369884777</c:v>
                </c:pt>
                <c:pt idx="400">
                  <c:v>0.65848341369884777</c:v>
                </c:pt>
                <c:pt idx="401">
                  <c:v>0.65848341369884777</c:v>
                </c:pt>
                <c:pt idx="402">
                  <c:v>0.65848341369884777</c:v>
                </c:pt>
                <c:pt idx="403">
                  <c:v>0.65848341369884777</c:v>
                </c:pt>
                <c:pt idx="404">
                  <c:v>0.65848341369884777</c:v>
                </c:pt>
                <c:pt idx="405">
                  <c:v>0.65848341369884777</c:v>
                </c:pt>
                <c:pt idx="406">
                  <c:v>0.65848341369884777</c:v>
                </c:pt>
                <c:pt idx="407">
                  <c:v>0.65848341369884777</c:v>
                </c:pt>
                <c:pt idx="408">
                  <c:v>0.65848341369884777</c:v>
                </c:pt>
                <c:pt idx="409">
                  <c:v>0.65848341369884777</c:v>
                </c:pt>
                <c:pt idx="410">
                  <c:v>0.65848341369884777</c:v>
                </c:pt>
                <c:pt idx="411">
                  <c:v>0.65848341369884777</c:v>
                </c:pt>
                <c:pt idx="412">
                  <c:v>0.65848341369884777</c:v>
                </c:pt>
                <c:pt idx="413">
                  <c:v>0.65848341369884777</c:v>
                </c:pt>
                <c:pt idx="414">
                  <c:v>0.65848341369884777</c:v>
                </c:pt>
                <c:pt idx="415">
                  <c:v>0.65848341369884777</c:v>
                </c:pt>
                <c:pt idx="416">
                  <c:v>0.65848341369884777</c:v>
                </c:pt>
                <c:pt idx="417">
                  <c:v>0.65848341369884777</c:v>
                </c:pt>
                <c:pt idx="418">
                  <c:v>0.65848341369884777</c:v>
                </c:pt>
              </c:numCache>
            </c:numRef>
          </c:val>
          <c:smooth val="1"/>
          <c:extLst>
            <c:ext xmlns:c16="http://schemas.microsoft.com/office/drawing/2014/chart" uri="{C3380CC4-5D6E-409C-BE32-E72D297353CC}">
              <c16:uniqueId val="{0000000B-0378-4901-951A-9CC527A3EBF2}"/>
            </c:ext>
          </c:extLst>
        </c:ser>
        <c:ser>
          <c:idx val="2"/>
          <c:order val="8"/>
          <c:tx>
            <c:v>XLB</c:v>
          </c:tx>
          <c:spPr>
            <a:ln w="28575" cap="rnd">
              <a:solidFill>
                <a:schemeClr val="accent2">
                  <a:lumMod val="50000"/>
                </a:schemeClr>
              </a:solidFill>
              <a:prstDash val="solid"/>
              <a:round/>
            </a:ln>
            <a:effectLst/>
          </c:spPr>
          <c:marker>
            <c:symbol val="none"/>
          </c:marker>
          <c:val>
            <c:numRef>
              <c:f>'2025-Q2'!$EN$4:$EN$422</c:f>
              <c:numCache>
                <c:formatCode>0.00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numCache>
            </c:numRef>
          </c:val>
          <c:smooth val="1"/>
          <c:extLst>
            <c:ext xmlns:c16="http://schemas.microsoft.com/office/drawing/2014/chart" uri="{C3380CC4-5D6E-409C-BE32-E72D297353CC}">
              <c16:uniqueId val="{0000000D-0378-4901-951A-9CC527A3EBF2}"/>
            </c:ext>
          </c:extLst>
        </c:ser>
        <c:ser>
          <c:idx val="4"/>
          <c:order val="9"/>
          <c:tx>
            <c:v>SMH</c:v>
          </c:tx>
          <c:spPr>
            <a:ln w="28575" cap="rnd">
              <a:solidFill>
                <a:schemeClr val="accent5"/>
              </a:solidFill>
              <a:round/>
            </a:ln>
            <a:effectLst/>
          </c:spPr>
          <c:marker>
            <c:symbol val="none"/>
          </c:marker>
          <c:val>
            <c:numRef>
              <c:f>'2025-Q2'!$EU$4:$EU$422</c:f>
              <c:numCache>
                <c:formatCode>0.00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-0.56361328049859927</c:v>
                </c:pt>
                <c:pt idx="404">
                  <c:v>-0.56361328049859927</c:v>
                </c:pt>
                <c:pt idx="405">
                  <c:v>-0.56361328049859927</c:v>
                </c:pt>
                <c:pt idx="406">
                  <c:v>-0.56361328049859927</c:v>
                </c:pt>
                <c:pt idx="407">
                  <c:v>-0.56361328049859927</c:v>
                </c:pt>
                <c:pt idx="408">
                  <c:v>-0.56361328049859927</c:v>
                </c:pt>
                <c:pt idx="409">
                  <c:v>-0.56361328049859927</c:v>
                </c:pt>
                <c:pt idx="410">
                  <c:v>-0.56361328049859927</c:v>
                </c:pt>
                <c:pt idx="411">
                  <c:v>-0.56361328049859927</c:v>
                </c:pt>
                <c:pt idx="412">
                  <c:v>-0.56361328049859927</c:v>
                </c:pt>
                <c:pt idx="413">
                  <c:v>-0.56361328049859927</c:v>
                </c:pt>
                <c:pt idx="414">
                  <c:v>-0.56361328049859927</c:v>
                </c:pt>
                <c:pt idx="415">
                  <c:v>-0.56361328049859927</c:v>
                </c:pt>
                <c:pt idx="416">
                  <c:v>-0.26498852607816792</c:v>
                </c:pt>
                <c:pt idx="417">
                  <c:v>-0.26498852607816792</c:v>
                </c:pt>
                <c:pt idx="418">
                  <c:v>-0.26498852607816792</c:v>
                </c:pt>
              </c:numCache>
            </c:numRef>
          </c:val>
          <c:smooth val="0"/>
          <c:extLst>
            <c:ext xmlns:c16="http://schemas.microsoft.com/office/drawing/2014/chart" uri="{C3380CC4-5D6E-409C-BE32-E72D297353CC}">
              <c16:uniqueId val="{00000011-0378-4901-951A-9CC527A3EBF2}"/>
            </c:ext>
          </c:extLst>
        </c:ser>
        <c:ser>
          <c:idx val="10"/>
          <c:order val="10"/>
          <c:tx>
            <c:v>ALL UP</c:v>
          </c:tx>
          <c:spPr>
            <a:ln w="28575" cap="rnd">
              <a:solidFill>
                <a:srgbClr val="00FF00"/>
              </a:solidFill>
              <a:round/>
            </a:ln>
            <a:effectLst/>
          </c:spPr>
          <c:marker>
            <c:symbol val="none"/>
          </c:marker>
          <c:val>
            <c:numRef>
              <c:f>'2025-Q2'!$CD$4:$CD$422</c:f>
              <c:numCache>
                <c:formatCode>0.0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6.6834991831277585E-2</c:v>
                </c:pt>
                <c:pt idx="40">
                  <c:v>6.6834991831277585E-2</c:v>
                </c:pt>
                <c:pt idx="41">
                  <c:v>6.6834991831277585E-2</c:v>
                </c:pt>
                <c:pt idx="42">
                  <c:v>6.6834991831277585E-2</c:v>
                </c:pt>
                <c:pt idx="43">
                  <c:v>6.6834991831277585E-2</c:v>
                </c:pt>
                <c:pt idx="44">
                  <c:v>6.6834991831277585E-2</c:v>
                </c:pt>
                <c:pt idx="45">
                  <c:v>6.6834991831277585E-2</c:v>
                </c:pt>
                <c:pt idx="46">
                  <c:v>6.6834991831277585E-2</c:v>
                </c:pt>
                <c:pt idx="47">
                  <c:v>-1.3942783150276121</c:v>
                </c:pt>
                <c:pt idx="48">
                  <c:v>-1.3942783150276121</c:v>
                </c:pt>
                <c:pt idx="49">
                  <c:v>-1.3942783150276121</c:v>
                </c:pt>
                <c:pt idx="50">
                  <c:v>-1.3942783150276121</c:v>
                </c:pt>
                <c:pt idx="51">
                  <c:v>-1.3942783150276121</c:v>
                </c:pt>
                <c:pt idx="52">
                  <c:v>-1.3942783150276121</c:v>
                </c:pt>
                <c:pt idx="53">
                  <c:v>-1.3942783150276121</c:v>
                </c:pt>
                <c:pt idx="54">
                  <c:v>-1.3942783150276121</c:v>
                </c:pt>
                <c:pt idx="55">
                  <c:v>-1.3942783150276121</c:v>
                </c:pt>
                <c:pt idx="56">
                  <c:v>-1.3942783150276121</c:v>
                </c:pt>
                <c:pt idx="57">
                  <c:v>-1.3942783150276121</c:v>
                </c:pt>
                <c:pt idx="58">
                  <c:v>-1.3942783150276121</c:v>
                </c:pt>
                <c:pt idx="59">
                  <c:v>-1.3942783150276121</c:v>
                </c:pt>
                <c:pt idx="60">
                  <c:v>-1.3942783150276121</c:v>
                </c:pt>
                <c:pt idx="61">
                  <c:v>-1.3942783150276121</c:v>
                </c:pt>
                <c:pt idx="62">
                  <c:v>-1.3942783150276121</c:v>
                </c:pt>
                <c:pt idx="63">
                  <c:v>-1.3942783150276121</c:v>
                </c:pt>
                <c:pt idx="64">
                  <c:v>-1.3942783150276121</c:v>
                </c:pt>
                <c:pt idx="65">
                  <c:v>-1.3942783150276121</c:v>
                </c:pt>
                <c:pt idx="66">
                  <c:v>-1.3942783150276121</c:v>
                </c:pt>
                <c:pt idx="67">
                  <c:v>-1.3942783150276121</c:v>
                </c:pt>
                <c:pt idx="68">
                  <c:v>-1.3942783150276121</c:v>
                </c:pt>
                <c:pt idx="69">
                  <c:v>-0.90375366692572978</c:v>
                </c:pt>
                <c:pt idx="70">
                  <c:v>-0.90375366692572978</c:v>
                </c:pt>
                <c:pt idx="71">
                  <c:v>-1.4632631312024809</c:v>
                </c:pt>
                <c:pt idx="72">
                  <c:v>-1.4632631312024809</c:v>
                </c:pt>
                <c:pt idx="73">
                  <c:v>-1.4632631312024809</c:v>
                </c:pt>
                <c:pt idx="74">
                  <c:v>-1.4632631312024809</c:v>
                </c:pt>
                <c:pt idx="75">
                  <c:v>-1.4632631312024809</c:v>
                </c:pt>
                <c:pt idx="76">
                  <c:v>-1.4632631312024809</c:v>
                </c:pt>
                <c:pt idx="77">
                  <c:v>-1.4632631312024809</c:v>
                </c:pt>
                <c:pt idx="78">
                  <c:v>-1.4632631312024809</c:v>
                </c:pt>
                <c:pt idx="79">
                  <c:v>-1.4632631312024809</c:v>
                </c:pt>
                <c:pt idx="80">
                  <c:v>-1.4632631312024809</c:v>
                </c:pt>
                <c:pt idx="81">
                  <c:v>-1.4632631312024809</c:v>
                </c:pt>
                <c:pt idx="82">
                  <c:v>-1.4632631312024809</c:v>
                </c:pt>
                <c:pt idx="83">
                  <c:v>-1.4632631312024809</c:v>
                </c:pt>
                <c:pt idx="84">
                  <c:v>-1.4632631312024809</c:v>
                </c:pt>
                <c:pt idx="85">
                  <c:v>-1.4632631312024809</c:v>
                </c:pt>
                <c:pt idx="86">
                  <c:v>-1.4632631312024809</c:v>
                </c:pt>
                <c:pt idx="87">
                  <c:v>-1.4632631312024809</c:v>
                </c:pt>
                <c:pt idx="88">
                  <c:v>-1.4632631312024809</c:v>
                </c:pt>
                <c:pt idx="89">
                  <c:v>-1.4632631312024809</c:v>
                </c:pt>
                <c:pt idx="90">
                  <c:v>-1.4632631312024809</c:v>
                </c:pt>
                <c:pt idx="91">
                  <c:v>-1.4632631312024809</c:v>
                </c:pt>
                <c:pt idx="92">
                  <c:v>-1.4632631312024809</c:v>
                </c:pt>
                <c:pt idx="93">
                  <c:v>-1.4632631312024809</c:v>
                </c:pt>
                <c:pt idx="94">
                  <c:v>-1.4632631312024809</c:v>
                </c:pt>
                <c:pt idx="95">
                  <c:v>-1.4632631312024809</c:v>
                </c:pt>
                <c:pt idx="96">
                  <c:v>-1.4632631312024809</c:v>
                </c:pt>
                <c:pt idx="97">
                  <c:v>-1.4632631312024809</c:v>
                </c:pt>
                <c:pt idx="98">
                  <c:v>-1.4632631312024809</c:v>
                </c:pt>
                <c:pt idx="99">
                  <c:v>-1.4632631312024809</c:v>
                </c:pt>
                <c:pt idx="100">
                  <c:v>-1.4632631312024809</c:v>
                </c:pt>
                <c:pt idx="101">
                  <c:v>-1.4632631312024809</c:v>
                </c:pt>
                <c:pt idx="102">
                  <c:v>-1.4632631312024809</c:v>
                </c:pt>
                <c:pt idx="103">
                  <c:v>-2.6729918163297475</c:v>
                </c:pt>
                <c:pt idx="104">
                  <c:v>-2.6729918163297475</c:v>
                </c:pt>
                <c:pt idx="105">
                  <c:v>-2.6729918163297475</c:v>
                </c:pt>
                <c:pt idx="106">
                  <c:v>-2.4770844119990163</c:v>
                </c:pt>
                <c:pt idx="107">
                  <c:v>-2.4770844119990163</c:v>
                </c:pt>
                <c:pt idx="108">
                  <c:v>-2.4770844119990163</c:v>
                </c:pt>
                <c:pt idx="109">
                  <c:v>-2.4770844119990163</c:v>
                </c:pt>
                <c:pt idx="110">
                  <c:v>-2.4770844119990163</c:v>
                </c:pt>
                <c:pt idx="111">
                  <c:v>-2.4770844119990163</c:v>
                </c:pt>
                <c:pt idx="112">
                  <c:v>-2.4770844119990163</c:v>
                </c:pt>
                <c:pt idx="113">
                  <c:v>-2.4770844119990163</c:v>
                </c:pt>
                <c:pt idx="114">
                  <c:v>-2.4770844119990163</c:v>
                </c:pt>
                <c:pt idx="115">
                  <c:v>-2.4770844119990163</c:v>
                </c:pt>
                <c:pt idx="116">
                  <c:v>-2.4770844119990163</c:v>
                </c:pt>
                <c:pt idx="117">
                  <c:v>-2.4770844119990163</c:v>
                </c:pt>
                <c:pt idx="118">
                  <c:v>-2.4770844119990163</c:v>
                </c:pt>
                <c:pt idx="119">
                  <c:v>-2.4770844119990163</c:v>
                </c:pt>
                <c:pt idx="120">
                  <c:v>-2.4770844119990163</c:v>
                </c:pt>
                <c:pt idx="121">
                  <c:v>-2.8466787313052277</c:v>
                </c:pt>
                <c:pt idx="122">
                  <c:v>-2.8466787313052277</c:v>
                </c:pt>
                <c:pt idx="123">
                  <c:v>-2.8466787313052277</c:v>
                </c:pt>
                <c:pt idx="124">
                  <c:v>-2.8466787313052277</c:v>
                </c:pt>
                <c:pt idx="125">
                  <c:v>-2.8466787313052277</c:v>
                </c:pt>
                <c:pt idx="126">
                  <c:v>-2.8466787313052277</c:v>
                </c:pt>
                <c:pt idx="127">
                  <c:v>-2.8466787313052277</c:v>
                </c:pt>
                <c:pt idx="128">
                  <c:v>-2.8466787313052277</c:v>
                </c:pt>
                <c:pt idx="129">
                  <c:v>-2.8466787313052277</c:v>
                </c:pt>
                <c:pt idx="130">
                  <c:v>-2.8466787313052277</c:v>
                </c:pt>
                <c:pt idx="131">
                  <c:v>-2.8466787313052277</c:v>
                </c:pt>
                <c:pt idx="132">
                  <c:v>-2.8466787313052277</c:v>
                </c:pt>
                <c:pt idx="133">
                  <c:v>-2.8466787313052277</c:v>
                </c:pt>
                <c:pt idx="134">
                  <c:v>-2.8466787313052277</c:v>
                </c:pt>
                <c:pt idx="135">
                  <c:v>-2.8466787313052277</c:v>
                </c:pt>
                <c:pt idx="136">
                  <c:v>-2.8466787313052277</c:v>
                </c:pt>
                <c:pt idx="137">
                  <c:v>-3.1875162177003693</c:v>
                </c:pt>
                <c:pt idx="138">
                  <c:v>-3.1875162177003693</c:v>
                </c:pt>
                <c:pt idx="139">
                  <c:v>-3.1875162177003693</c:v>
                </c:pt>
                <c:pt idx="140">
                  <c:v>-3.1875162177003693</c:v>
                </c:pt>
                <c:pt idx="141">
                  <c:v>-3.1875162177003693</c:v>
                </c:pt>
                <c:pt idx="142">
                  <c:v>-3.1875162177003693</c:v>
                </c:pt>
                <c:pt idx="143">
                  <c:v>-3.1875162177003693</c:v>
                </c:pt>
                <c:pt idx="144">
                  <c:v>-3.1875162177003693</c:v>
                </c:pt>
                <c:pt idx="145">
                  <c:v>-3.1875162177003693</c:v>
                </c:pt>
                <c:pt idx="146">
                  <c:v>-3.1875162177003693</c:v>
                </c:pt>
                <c:pt idx="147">
                  <c:v>-3.1875162177003693</c:v>
                </c:pt>
                <c:pt idx="148">
                  <c:v>-3.1875162177003693</c:v>
                </c:pt>
                <c:pt idx="149">
                  <c:v>-3.1875162177003693</c:v>
                </c:pt>
                <c:pt idx="150">
                  <c:v>-3.1875162177003693</c:v>
                </c:pt>
                <c:pt idx="151">
                  <c:v>-3.1875162177003693</c:v>
                </c:pt>
                <c:pt idx="152">
                  <c:v>-3.1875162177003693</c:v>
                </c:pt>
                <c:pt idx="153">
                  <c:v>-3.1875162177003693</c:v>
                </c:pt>
                <c:pt idx="154">
                  <c:v>-3.1875162177003693</c:v>
                </c:pt>
                <c:pt idx="155">
                  <c:v>-3.1875162177003693</c:v>
                </c:pt>
                <c:pt idx="156">
                  <c:v>-3.1875162177003693</c:v>
                </c:pt>
                <c:pt idx="157">
                  <c:v>-3.1875162177003693</c:v>
                </c:pt>
                <c:pt idx="158">
                  <c:v>-3.1875162177003693</c:v>
                </c:pt>
                <c:pt idx="159">
                  <c:v>-3.1875162177003693</c:v>
                </c:pt>
                <c:pt idx="160">
                  <c:v>-3.1875162177003693</c:v>
                </c:pt>
                <c:pt idx="161">
                  <c:v>-3.1875162177003693</c:v>
                </c:pt>
                <c:pt idx="162">
                  <c:v>-3.1875162177003693</c:v>
                </c:pt>
                <c:pt idx="163">
                  <c:v>-3.1875162177003693</c:v>
                </c:pt>
                <c:pt idx="164">
                  <c:v>-3.1875162177003693</c:v>
                </c:pt>
                <c:pt idx="165">
                  <c:v>-3.1875162177003693</c:v>
                </c:pt>
                <c:pt idx="166">
                  <c:v>-3.1875162177003693</c:v>
                </c:pt>
                <c:pt idx="167">
                  <c:v>-3.1875162177003693</c:v>
                </c:pt>
                <c:pt idx="168">
                  <c:v>-3.1875162177003693</c:v>
                </c:pt>
                <c:pt idx="169">
                  <c:v>-3.1875162177003693</c:v>
                </c:pt>
                <c:pt idx="170">
                  <c:v>-3.1875162177003693</c:v>
                </c:pt>
                <c:pt idx="171">
                  <c:v>-3.1875162177003693</c:v>
                </c:pt>
                <c:pt idx="172">
                  <c:v>-3.1875162177003693</c:v>
                </c:pt>
                <c:pt idx="173">
                  <c:v>-3.1875162177003693</c:v>
                </c:pt>
                <c:pt idx="174">
                  <c:v>-3.1875162177003693</c:v>
                </c:pt>
                <c:pt idx="175">
                  <c:v>-3.1875162177003693</c:v>
                </c:pt>
                <c:pt idx="176">
                  <c:v>-3.1875162177003693</c:v>
                </c:pt>
                <c:pt idx="177">
                  <c:v>-3.1875162177003693</c:v>
                </c:pt>
                <c:pt idx="178">
                  <c:v>-3.1875162177003693</c:v>
                </c:pt>
                <c:pt idx="179">
                  <c:v>-3.1875162177003693</c:v>
                </c:pt>
                <c:pt idx="180">
                  <c:v>-3.1875162177003693</c:v>
                </c:pt>
                <c:pt idx="181">
                  <c:v>-3.1875162177003693</c:v>
                </c:pt>
                <c:pt idx="182">
                  <c:v>-3.1875162177003693</c:v>
                </c:pt>
                <c:pt idx="183">
                  <c:v>-3.1875162177003693</c:v>
                </c:pt>
                <c:pt idx="184">
                  <c:v>-3.1875162177003693</c:v>
                </c:pt>
                <c:pt idx="185">
                  <c:v>-3.1875162177003693</c:v>
                </c:pt>
                <c:pt idx="186">
                  <c:v>-3.1875162177003693</c:v>
                </c:pt>
                <c:pt idx="187">
                  <c:v>-3.1875162177003693</c:v>
                </c:pt>
                <c:pt idx="188">
                  <c:v>-3.1875162177003693</c:v>
                </c:pt>
                <c:pt idx="189">
                  <c:v>-3.1875162177003693</c:v>
                </c:pt>
                <c:pt idx="190">
                  <c:v>-3.1875162177003693</c:v>
                </c:pt>
                <c:pt idx="191">
                  <c:v>-3.1875162177003693</c:v>
                </c:pt>
                <c:pt idx="192">
                  <c:v>-3.1875162177003693</c:v>
                </c:pt>
                <c:pt idx="193">
                  <c:v>-3.1875162177003693</c:v>
                </c:pt>
                <c:pt idx="194">
                  <c:v>-3.1875162177003693</c:v>
                </c:pt>
                <c:pt idx="195">
                  <c:v>-3.1875162177003693</c:v>
                </c:pt>
                <c:pt idx="196">
                  <c:v>-3.1875162177003693</c:v>
                </c:pt>
                <c:pt idx="197">
                  <c:v>-3.1875162177003693</c:v>
                </c:pt>
                <c:pt idx="198">
                  <c:v>-3.1875162177003693</c:v>
                </c:pt>
                <c:pt idx="199">
                  <c:v>-3.1875162177003693</c:v>
                </c:pt>
                <c:pt idx="200">
                  <c:v>-3.5261678679428221</c:v>
                </c:pt>
                <c:pt idx="201">
                  <c:v>-3.5261678679428221</c:v>
                </c:pt>
                <c:pt idx="202">
                  <c:v>-3.5261678679428221</c:v>
                </c:pt>
                <c:pt idx="203">
                  <c:v>-3.6771575581780365</c:v>
                </c:pt>
                <c:pt idx="204">
                  <c:v>-3.6771575581780365</c:v>
                </c:pt>
                <c:pt idx="205">
                  <c:v>-3.6771575581780365</c:v>
                </c:pt>
                <c:pt idx="206">
                  <c:v>-3.6771575581780365</c:v>
                </c:pt>
                <c:pt idx="207">
                  <c:v>-3.6771575581780365</c:v>
                </c:pt>
                <c:pt idx="208">
                  <c:v>-3.6771575581780365</c:v>
                </c:pt>
                <c:pt idx="209">
                  <c:v>-3.6771575581780365</c:v>
                </c:pt>
                <c:pt idx="210">
                  <c:v>-3.6771575581780365</c:v>
                </c:pt>
                <c:pt idx="211">
                  <c:v>-3.6771575581780365</c:v>
                </c:pt>
                <c:pt idx="212">
                  <c:v>-3.6771575581780365</c:v>
                </c:pt>
                <c:pt idx="213">
                  <c:v>-3.6771575581780365</c:v>
                </c:pt>
                <c:pt idx="214">
                  <c:v>-3.6771575581780365</c:v>
                </c:pt>
                <c:pt idx="215">
                  <c:v>-3.6771575581780365</c:v>
                </c:pt>
                <c:pt idx="216">
                  <c:v>-3.6771575581780365</c:v>
                </c:pt>
                <c:pt idx="217">
                  <c:v>-2.7294498562489466</c:v>
                </c:pt>
                <c:pt idx="218">
                  <c:v>-2.7294498562489466</c:v>
                </c:pt>
                <c:pt idx="219">
                  <c:v>-2.7294498562489466</c:v>
                </c:pt>
                <c:pt idx="220">
                  <c:v>-2.7294498562489466</c:v>
                </c:pt>
                <c:pt idx="221">
                  <c:v>-2.7294498562489466</c:v>
                </c:pt>
                <c:pt idx="222">
                  <c:v>-2.7294498562489466</c:v>
                </c:pt>
                <c:pt idx="223">
                  <c:v>-3.0883607473380557</c:v>
                </c:pt>
                <c:pt idx="224">
                  <c:v>-3.0883607473380557</c:v>
                </c:pt>
                <c:pt idx="225">
                  <c:v>-3.0883607473380557</c:v>
                </c:pt>
                <c:pt idx="226">
                  <c:v>-3.0883607473380557</c:v>
                </c:pt>
                <c:pt idx="227">
                  <c:v>-3.0883607473380557</c:v>
                </c:pt>
                <c:pt idx="228">
                  <c:v>-3.0883607473380557</c:v>
                </c:pt>
                <c:pt idx="229">
                  <c:v>-3.0883607473380557</c:v>
                </c:pt>
                <c:pt idx="230">
                  <c:v>-3.0883607473380557</c:v>
                </c:pt>
                <c:pt idx="231">
                  <c:v>-3.0883607473380557</c:v>
                </c:pt>
                <c:pt idx="232">
                  <c:v>-3.0883607473380557</c:v>
                </c:pt>
                <c:pt idx="233">
                  <c:v>-3.0883607473380557</c:v>
                </c:pt>
                <c:pt idx="234">
                  <c:v>-3.0883607473380557</c:v>
                </c:pt>
                <c:pt idx="235">
                  <c:v>-3.0883607473380557</c:v>
                </c:pt>
                <c:pt idx="236">
                  <c:v>-3.0883607473380557</c:v>
                </c:pt>
                <c:pt idx="237">
                  <c:v>-3.0883607473380557</c:v>
                </c:pt>
                <c:pt idx="238">
                  <c:v>-3.0883607473380557</c:v>
                </c:pt>
                <c:pt idx="239">
                  <c:v>-3.0883607473380557</c:v>
                </c:pt>
                <c:pt idx="240">
                  <c:v>-2.9903544749366251</c:v>
                </c:pt>
                <c:pt idx="241">
                  <c:v>-2.9903544749366251</c:v>
                </c:pt>
                <c:pt idx="242">
                  <c:v>-2.9903544749366251</c:v>
                </c:pt>
                <c:pt idx="243">
                  <c:v>-2.9903544749366251</c:v>
                </c:pt>
                <c:pt idx="244">
                  <c:v>-2.9903544749366251</c:v>
                </c:pt>
                <c:pt idx="245">
                  <c:v>-2.9903544749366251</c:v>
                </c:pt>
                <c:pt idx="246">
                  <c:v>-2.9903544749366251</c:v>
                </c:pt>
                <c:pt idx="247">
                  <c:v>-2.9903544749366251</c:v>
                </c:pt>
                <c:pt idx="248">
                  <c:v>-2.9903544749366251</c:v>
                </c:pt>
                <c:pt idx="249">
                  <c:v>-2.9903544749366251</c:v>
                </c:pt>
                <c:pt idx="250">
                  <c:v>-2.9903544749366251</c:v>
                </c:pt>
                <c:pt idx="251">
                  <c:v>-2.9903544749366251</c:v>
                </c:pt>
                <c:pt idx="252">
                  <c:v>-2.9903544749366251</c:v>
                </c:pt>
                <c:pt idx="253">
                  <c:v>-2.9903544749366251</c:v>
                </c:pt>
                <c:pt idx="254">
                  <c:v>-2.9903544749366251</c:v>
                </c:pt>
                <c:pt idx="255">
                  <c:v>-2.9903544749366251</c:v>
                </c:pt>
                <c:pt idx="256">
                  <c:v>-2.9903544749366251</c:v>
                </c:pt>
                <c:pt idx="257">
                  <c:v>-4.4796760660599473</c:v>
                </c:pt>
                <c:pt idx="258">
                  <c:v>-4.7511291711510797</c:v>
                </c:pt>
                <c:pt idx="259">
                  <c:v>-4.7511291711510797</c:v>
                </c:pt>
                <c:pt idx="260">
                  <c:v>-4.7511291711510797</c:v>
                </c:pt>
                <c:pt idx="261">
                  <c:v>-4.7511291711510797</c:v>
                </c:pt>
                <c:pt idx="262">
                  <c:v>-4.7511291711510797</c:v>
                </c:pt>
                <c:pt idx="263">
                  <c:v>-4.7511291711510797</c:v>
                </c:pt>
                <c:pt idx="264">
                  <c:v>-4.7511291711510797</c:v>
                </c:pt>
                <c:pt idx="265">
                  <c:v>-4.7511291711510797</c:v>
                </c:pt>
                <c:pt idx="266">
                  <c:v>-4.7511291711510797</c:v>
                </c:pt>
                <c:pt idx="267">
                  <c:v>-4.7511291711510797</c:v>
                </c:pt>
                <c:pt idx="268">
                  <c:v>-4.7511291711510797</c:v>
                </c:pt>
                <c:pt idx="269">
                  <c:v>-4.7511291711510797</c:v>
                </c:pt>
                <c:pt idx="270">
                  <c:v>-4.7511291711510797</c:v>
                </c:pt>
                <c:pt idx="271">
                  <c:v>-4.7511291711510797</c:v>
                </c:pt>
                <c:pt idx="272">
                  <c:v>-4.7511291711510797</c:v>
                </c:pt>
                <c:pt idx="273">
                  <c:v>-5.6964391354483883</c:v>
                </c:pt>
                <c:pt idx="274">
                  <c:v>-5.6964391354483883</c:v>
                </c:pt>
                <c:pt idx="275">
                  <c:v>-5.6964391354483883</c:v>
                </c:pt>
                <c:pt idx="276">
                  <c:v>-5.6964391354483883</c:v>
                </c:pt>
                <c:pt idx="277">
                  <c:v>-5.3227494758133416</c:v>
                </c:pt>
                <c:pt idx="278">
                  <c:v>-5.3227494758133416</c:v>
                </c:pt>
                <c:pt idx="279">
                  <c:v>-5.3227494758133416</c:v>
                </c:pt>
                <c:pt idx="280">
                  <c:v>-5.3227494758133416</c:v>
                </c:pt>
                <c:pt idx="281">
                  <c:v>-5.3227494758133416</c:v>
                </c:pt>
                <c:pt idx="282">
                  <c:v>-5.3227494758133416</c:v>
                </c:pt>
                <c:pt idx="283">
                  <c:v>-5.3227494758133416</c:v>
                </c:pt>
                <c:pt idx="284">
                  <c:v>-5.3227494758133416</c:v>
                </c:pt>
                <c:pt idx="285">
                  <c:v>-5.3227494758133416</c:v>
                </c:pt>
                <c:pt idx="286">
                  <c:v>-5.3227494758133416</c:v>
                </c:pt>
                <c:pt idx="287">
                  <c:v>-5.3227494758133416</c:v>
                </c:pt>
                <c:pt idx="288">
                  <c:v>-5.3227494758133416</c:v>
                </c:pt>
                <c:pt idx="289">
                  <c:v>-5.3227494758133416</c:v>
                </c:pt>
                <c:pt idx="290">
                  <c:v>-5.3809261075740293</c:v>
                </c:pt>
                <c:pt idx="291">
                  <c:v>-5.3809261075740293</c:v>
                </c:pt>
                <c:pt idx="292">
                  <c:v>-5.3809261075740293</c:v>
                </c:pt>
                <c:pt idx="293">
                  <c:v>-5.3809261075740293</c:v>
                </c:pt>
                <c:pt idx="294">
                  <c:v>-5.3809261075740293</c:v>
                </c:pt>
                <c:pt idx="295">
                  <c:v>-5.9052183130965723</c:v>
                </c:pt>
                <c:pt idx="296">
                  <c:v>-5.9052183130965723</c:v>
                </c:pt>
                <c:pt idx="297">
                  <c:v>-5.6329901687182264</c:v>
                </c:pt>
                <c:pt idx="298">
                  <c:v>-5.6329901687182264</c:v>
                </c:pt>
                <c:pt idx="299">
                  <c:v>-5.6329901687182264</c:v>
                </c:pt>
                <c:pt idx="300">
                  <c:v>-5.6329901687182264</c:v>
                </c:pt>
                <c:pt idx="301">
                  <c:v>-5.6329901687182264</c:v>
                </c:pt>
                <c:pt idx="302">
                  <c:v>-5.6329901687182264</c:v>
                </c:pt>
                <c:pt idx="303">
                  <c:v>-5.6329901687182264</c:v>
                </c:pt>
                <c:pt idx="304">
                  <c:v>-7.0572780247901932</c:v>
                </c:pt>
                <c:pt idx="305">
                  <c:v>-7.0572780247901932</c:v>
                </c:pt>
                <c:pt idx="306">
                  <c:v>-7.0572780247901932</c:v>
                </c:pt>
                <c:pt idx="307">
                  <c:v>-7.0572780247901932</c:v>
                </c:pt>
                <c:pt idx="308">
                  <c:v>-7.0572780247901932</c:v>
                </c:pt>
                <c:pt idx="309">
                  <c:v>-6.0548259838266851</c:v>
                </c:pt>
                <c:pt idx="310">
                  <c:v>-6.0548259838266851</c:v>
                </c:pt>
                <c:pt idx="311">
                  <c:v>-6.0548259838266851</c:v>
                </c:pt>
                <c:pt idx="312">
                  <c:v>-6.0548259838266851</c:v>
                </c:pt>
                <c:pt idx="313">
                  <c:v>-5.0648594286427402</c:v>
                </c:pt>
                <c:pt idx="314">
                  <c:v>-5.0648594286427402</c:v>
                </c:pt>
                <c:pt idx="315">
                  <c:v>-5.0648594286427402</c:v>
                </c:pt>
                <c:pt idx="316">
                  <c:v>-4.5276144690870233</c:v>
                </c:pt>
                <c:pt idx="317">
                  <c:v>-4.1583836998562527</c:v>
                </c:pt>
                <c:pt idx="318">
                  <c:v>-4.1583836998562527</c:v>
                </c:pt>
                <c:pt idx="319">
                  <c:v>-4.1583836998562527</c:v>
                </c:pt>
                <c:pt idx="320">
                  <c:v>-4.1583836998562527</c:v>
                </c:pt>
                <c:pt idx="321">
                  <c:v>-4.1583836998562527</c:v>
                </c:pt>
                <c:pt idx="322">
                  <c:v>-4.1583836998562527</c:v>
                </c:pt>
                <c:pt idx="323">
                  <c:v>-4.1583836998562527</c:v>
                </c:pt>
                <c:pt idx="324">
                  <c:v>-4.1583836998562527</c:v>
                </c:pt>
                <c:pt idx="325">
                  <c:v>-4.1583836998562527</c:v>
                </c:pt>
                <c:pt idx="326">
                  <c:v>-4.1583836998562527</c:v>
                </c:pt>
                <c:pt idx="327">
                  <c:v>-4.1583836998562527</c:v>
                </c:pt>
                <c:pt idx="328">
                  <c:v>-4.1583836998562527</c:v>
                </c:pt>
                <c:pt idx="329">
                  <c:v>-3.5898246029106979</c:v>
                </c:pt>
                <c:pt idx="330">
                  <c:v>-3.5898246029106979</c:v>
                </c:pt>
                <c:pt idx="331">
                  <c:v>-3.5898246029106979</c:v>
                </c:pt>
                <c:pt idx="332">
                  <c:v>-3.5898246029106979</c:v>
                </c:pt>
                <c:pt idx="333">
                  <c:v>-3.5898246029106979</c:v>
                </c:pt>
                <c:pt idx="334">
                  <c:v>-3.37603659615394</c:v>
                </c:pt>
                <c:pt idx="335">
                  <c:v>-3.37603659615394</c:v>
                </c:pt>
                <c:pt idx="336">
                  <c:v>-3.37603659615394</c:v>
                </c:pt>
                <c:pt idx="337">
                  <c:v>-3.37603659615394</c:v>
                </c:pt>
                <c:pt idx="338">
                  <c:v>-3.0718846349476614</c:v>
                </c:pt>
                <c:pt idx="339">
                  <c:v>-3.0718846349476614</c:v>
                </c:pt>
                <c:pt idx="340">
                  <c:v>-3.0718846349476614</c:v>
                </c:pt>
                <c:pt idx="341">
                  <c:v>-3.172627957299063</c:v>
                </c:pt>
                <c:pt idx="342">
                  <c:v>-3.172627957299063</c:v>
                </c:pt>
                <c:pt idx="343">
                  <c:v>-3.172627957299063</c:v>
                </c:pt>
                <c:pt idx="344">
                  <c:v>-3.172627957299063</c:v>
                </c:pt>
                <c:pt idx="345">
                  <c:v>-4.0056184961719543</c:v>
                </c:pt>
                <c:pt idx="346">
                  <c:v>-4.0056184961719543</c:v>
                </c:pt>
                <c:pt idx="347">
                  <c:v>-4.0056184961719543</c:v>
                </c:pt>
                <c:pt idx="348">
                  <c:v>-4.0056184961719543</c:v>
                </c:pt>
                <c:pt idx="349">
                  <c:v>-4.4725272636810356</c:v>
                </c:pt>
                <c:pt idx="350">
                  <c:v>-4.4725272636810356</c:v>
                </c:pt>
                <c:pt idx="351">
                  <c:v>-4.4725272636810356</c:v>
                </c:pt>
                <c:pt idx="352">
                  <c:v>-4.4725272636810356</c:v>
                </c:pt>
                <c:pt idx="353">
                  <c:v>-5.0877602124177113</c:v>
                </c:pt>
                <c:pt idx="354">
                  <c:v>-4.7218027656092021</c:v>
                </c:pt>
                <c:pt idx="355">
                  <c:v>-4.7218027656092021</c:v>
                </c:pt>
                <c:pt idx="356">
                  <c:v>-4.7218027656092021</c:v>
                </c:pt>
                <c:pt idx="357">
                  <c:v>-4.7218027656092021</c:v>
                </c:pt>
                <c:pt idx="358">
                  <c:v>-3.3723450009097973</c:v>
                </c:pt>
                <c:pt idx="359">
                  <c:v>-5.3044741744182824</c:v>
                </c:pt>
                <c:pt idx="360">
                  <c:v>-5.3044741744182824</c:v>
                </c:pt>
                <c:pt idx="361">
                  <c:v>-5.3044741744182824</c:v>
                </c:pt>
                <c:pt idx="362">
                  <c:v>-5.3044741744182824</c:v>
                </c:pt>
                <c:pt idx="363">
                  <c:v>-7.4757889154541379</c:v>
                </c:pt>
                <c:pt idx="364">
                  <c:v>-7.4757889154541379</c:v>
                </c:pt>
                <c:pt idx="365">
                  <c:v>-7.4757889154541379</c:v>
                </c:pt>
                <c:pt idx="366">
                  <c:v>-7.4757889154541379</c:v>
                </c:pt>
                <c:pt idx="367">
                  <c:v>-7.4757889154541379</c:v>
                </c:pt>
                <c:pt idx="368">
                  <c:v>-7.4757889154541379</c:v>
                </c:pt>
                <c:pt idx="369">
                  <c:v>-7.4757889154541379</c:v>
                </c:pt>
                <c:pt idx="370">
                  <c:v>-7.1968488875601349</c:v>
                </c:pt>
                <c:pt idx="371">
                  <c:v>-7.1968488875601349</c:v>
                </c:pt>
                <c:pt idx="372">
                  <c:v>-7.1968488875601349</c:v>
                </c:pt>
                <c:pt idx="373">
                  <c:v>-7.1968488875601349</c:v>
                </c:pt>
                <c:pt idx="374">
                  <c:v>-7.1968488875601349</c:v>
                </c:pt>
                <c:pt idx="375">
                  <c:v>-7.1968488875601349</c:v>
                </c:pt>
                <c:pt idx="376">
                  <c:v>-7.1968488875601349</c:v>
                </c:pt>
                <c:pt idx="377">
                  <c:v>-7.1968488875601349</c:v>
                </c:pt>
                <c:pt idx="378">
                  <c:v>-7.1968488875601349</c:v>
                </c:pt>
                <c:pt idx="379">
                  <c:v>-7.1968488875601349</c:v>
                </c:pt>
                <c:pt idx="380">
                  <c:v>-7.1968488875601349</c:v>
                </c:pt>
                <c:pt idx="381">
                  <c:v>-7.1968488875601349</c:v>
                </c:pt>
                <c:pt idx="382">
                  <c:v>-7.1968488875601349</c:v>
                </c:pt>
                <c:pt idx="383">
                  <c:v>-7.1968488875601349</c:v>
                </c:pt>
                <c:pt idx="384">
                  <c:v>-7.1968488875601349</c:v>
                </c:pt>
                <c:pt idx="385">
                  <c:v>-7.1968488875601349</c:v>
                </c:pt>
                <c:pt idx="386">
                  <c:v>-7.1968488875601349</c:v>
                </c:pt>
                <c:pt idx="387">
                  <c:v>-6.4189693394205456</c:v>
                </c:pt>
                <c:pt idx="388">
                  <c:v>-9.4481881825928777</c:v>
                </c:pt>
                <c:pt idx="389">
                  <c:v>-9.5545915504907839</c:v>
                </c:pt>
                <c:pt idx="390">
                  <c:v>-9.5545915504907839</c:v>
                </c:pt>
                <c:pt idx="391">
                  <c:v>-9.5545915504907839</c:v>
                </c:pt>
                <c:pt idx="392">
                  <c:v>-7.8754038725380582</c:v>
                </c:pt>
                <c:pt idx="393">
                  <c:v>-7.8754038725380582</c:v>
                </c:pt>
                <c:pt idx="394">
                  <c:v>-7.8754038725380582</c:v>
                </c:pt>
                <c:pt idx="395">
                  <c:v>-7.8754038725380582</c:v>
                </c:pt>
                <c:pt idx="396">
                  <c:v>-9.0348004407242168</c:v>
                </c:pt>
                <c:pt idx="397">
                  <c:v>-9.0348004407242168</c:v>
                </c:pt>
                <c:pt idx="398">
                  <c:v>-6.8048165610896127</c:v>
                </c:pt>
                <c:pt idx="399">
                  <c:v>-7.8034035475798245</c:v>
                </c:pt>
                <c:pt idx="400">
                  <c:v>-7.8034035475798245</c:v>
                </c:pt>
                <c:pt idx="401">
                  <c:v>-7.8034035475798245</c:v>
                </c:pt>
                <c:pt idx="402">
                  <c:v>-7.8034035475798245</c:v>
                </c:pt>
                <c:pt idx="403">
                  <c:v>-8.3670168280784232</c:v>
                </c:pt>
                <c:pt idx="404">
                  <c:v>-8.3670168280784232</c:v>
                </c:pt>
                <c:pt idx="405">
                  <c:v>-8.9344644374946807</c:v>
                </c:pt>
                <c:pt idx="406">
                  <c:v>-8.9344644374946807</c:v>
                </c:pt>
                <c:pt idx="407">
                  <c:v>-10.441343668767885</c:v>
                </c:pt>
                <c:pt idx="408">
                  <c:v>-9.1581293965525905</c:v>
                </c:pt>
                <c:pt idx="409">
                  <c:v>-9.1581293965525905</c:v>
                </c:pt>
                <c:pt idx="410">
                  <c:v>-9.1581293965525905</c:v>
                </c:pt>
                <c:pt idx="411">
                  <c:v>-8.7553347204474417</c:v>
                </c:pt>
                <c:pt idx="412">
                  <c:v>-8.6939804368709357</c:v>
                </c:pt>
                <c:pt idx="413">
                  <c:v>-8.6939804368709357</c:v>
                </c:pt>
                <c:pt idx="414">
                  <c:v>-8.6939804368709357</c:v>
                </c:pt>
                <c:pt idx="415">
                  <c:v>-8.6939804368709357</c:v>
                </c:pt>
                <c:pt idx="416">
                  <c:v>-8.3953556824505036</c:v>
                </c:pt>
                <c:pt idx="417">
                  <c:v>-8.3953556824505036</c:v>
                </c:pt>
                <c:pt idx="418">
                  <c:v>-8.3953556824505036</c:v>
                </c:pt>
              </c:numCache>
            </c:numRef>
          </c:val>
          <c:smooth val="0"/>
          <c:extLst>
            <c:ext xmlns:c16="http://schemas.microsoft.com/office/drawing/2014/chart" uri="{C3380CC4-5D6E-409C-BE32-E72D297353CC}">
              <c16:uniqueId val="{00000017-0378-4901-951A-9CC527A3EBF2}"/>
            </c:ext>
          </c:extLst>
        </c:ser>
        <c:dLbls>
          <c:showLegendKey val="0"/>
          <c:showVal val="0"/>
          <c:showCatName val="0"/>
          <c:showSerName val="0"/>
          <c:showPercent val="0"/>
          <c:showBubbleSize val="0"/>
        </c:dLbls>
        <c:smooth val="0"/>
        <c:axId val="147683023"/>
        <c:axId val="146645279"/>
        <c:extLst/>
      </c:lineChart>
      <c:catAx>
        <c:axId val="147683023"/>
        <c:scaling>
          <c:orientation val="minMax"/>
        </c:scaling>
        <c:delete val="0"/>
        <c:axPos val="b"/>
        <c:majorGridlines>
          <c:spPr>
            <a:ln w="9525" cap="flat" cmpd="sng" algn="ctr">
              <a:solidFill>
                <a:schemeClr val="tx1">
                  <a:lumMod val="75000"/>
                  <a:lumOff val="25000"/>
                </a:schemeClr>
              </a:solidFill>
              <a:prstDash val="dash"/>
              <a:round/>
            </a:ln>
            <a:effectLst/>
          </c:spPr>
        </c:majorGridlines>
        <c:majorTickMark val="none"/>
        <c:minorTickMark val="none"/>
        <c:tickLblPos val="low"/>
        <c:spPr>
          <a:noFill/>
          <a:ln w="12700" cap="flat" cmpd="sng" algn="ctr">
            <a:solidFill>
              <a:sysClr val="windowText" lastClr="000000"/>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6645279"/>
        <c:crosses val="autoZero"/>
        <c:auto val="1"/>
        <c:lblAlgn val="ctr"/>
        <c:lblOffset val="100"/>
        <c:tickLblSkip val="25"/>
        <c:tickMarkSkip val="25"/>
        <c:noMultiLvlLbl val="0"/>
      </c:catAx>
      <c:valAx>
        <c:axId val="146645279"/>
        <c:scaling>
          <c:orientation val="minMax"/>
          <c:max val="25"/>
        </c:scaling>
        <c:delete val="0"/>
        <c:axPos val="r"/>
        <c:majorGridlines>
          <c:spPr>
            <a:ln w="9525" cap="flat" cmpd="sng" algn="ctr">
              <a:solidFill>
                <a:schemeClr val="tx1">
                  <a:lumMod val="75000"/>
                  <a:lumOff val="25000"/>
                </a:schemeClr>
              </a:solidFill>
              <a:prstDash val="dash"/>
              <a:round/>
            </a:ln>
            <a:effectLst/>
          </c:spPr>
        </c:majorGridlines>
        <c:numFmt formatCode="0" sourceLinked="0"/>
        <c:majorTickMark val="none"/>
        <c:minorTickMark val="none"/>
        <c:tickLblPos val="high"/>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7683023"/>
        <c:crosses val="max"/>
        <c:crossBetween val="between"/>
      </c:valAx>
      <c:spPr>
        <a:solidFill>
          <a:schemeClr val="tx1">
            <a:lumMod val="65000"/>
            <a:lumOff val="35000"/>
          </a:schemeClr>
        </a:solidFill>
        <a:ln>
          <a:solidFill>
            <a:sysClr val="windowText" lastClr="000000"/>
          </a:solidFill>
        </a:ln>
        <a:effectLst/>
      </c:spPr>
    </c:plotArea>
    <c:legend>
      <c:legendPos val="t"/>
      <c:layout>
        <c:manualLayout>
          <c:xMode val="edge"/>
          <c:yMode val="edge"/>
          <c:x val="0.1775062708574171"/>
          <c:y val="1.2316999395039325E-2"/>
          <c:w val="0.73773085843493924"/>
          <c:h val="4.9614968727820091E-2"/>
        </c:manualLayout>
      </c:layout>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legend>
    <c:plotVisOnly val="0"/>
    <c:dispBlanksAs val="span"/>
    <c:showDLblsOverMax val="0"/>
    <c:extLst/>
  </c:chart>
  <c:spPr>
    <a:solidFill>
      <a:schemeClr val="bg2">
        <a:lumMod val="90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accent3">
                    <a:lumMod val="75000"/>
                  </a:schemeClr>
                </a:solidFill>
                <a:latin typeface="+mn-lt"/>
                <a:ea typeface="+mn-ea"/>
                <a:cs typeface="+mn-cs"/>
              </a:defRPr>
            </a:pPr>
            <a:r>
              <a:rPr lang="en-US" sz="2000" b="1">
                <a:solidFill>
                  <a:schemeClr val="accent3">
                    <a:lumMod val="75000"/>
                  </a:schemeClr>
                </a:solidFill>
              </a:rPr>
              <a:t>All Down Trends</a:t>
            </a:r>
          </a:p>
        </c:rich>
      </c:tx>
      <c:layout>
        <c:manualLayout>
          <c:xMode val="edge"/>
          <c:yMode val="edge"/>
          <c:x val="2.8694404591104734E-2"/>
          <c:y val="2.4198427102238356E-3"/>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accent3">
                  <a:lumMod val="75000"/>
                </a:schemeClr>
              </a:solidFill>
              <a:latin typeface="+mn-lt"/>
              <a:ea typeface="+mn-ea"/>
              <a:cs typeface="+mn-cs"/>
            </a:defRPr>
          </a:pPr>
          <a:endParaRPr lang="en-US"/>
        </a:p>
      </c:txPr>
    </c:title>
    <c:autoTitleDeleted val="0"/>
    <c:plotArea>
      <c:layout>
        <c:manualLayout>
          <c:layoutTarget val="inner"/>
          <c:xMode val="edge"/>
          <c:yMode val="edge"/>
          <c:x val="1.0171058714748035E-2"/>
          <c:y val="7.7350558040499021E-2"/>
          <c:w val="0.95283482768537431"/>
          <c:h val="0.86018548951798435"/>
        </c:manualLayout>
      </c:layout>
      <c:lineChart>
        <c:grouping val="standard"/>
        <c:varyColors val="0"/>
        <c:ser>
          <c:idx val="5"/>
          <c:order val="0"/>
          <c:tx>
            <c:v>XLK</c:v>
          </c:tx>
          <c:spPr>
            <a:ln w="28575" cap="rnd">
              <a:solidFill>
                <a:srgbClr val="0000FF"/>
              </a:solidFill>
              <a:prstDash val="solid"/>
              <a:round/>
            </a:ln>
            <a:effectLst/>
          </c:spPr>
          <c:marker>
            <c:symbol val="none"/>
          </c:marker>
          <c:val>
            <c:numRef>
              <c:f>'2025-Q2'!$CL$4:$CL$422</c:f>
              <c:numCache>
                <c:formatCode>0.00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1.8934431343190481</c:v>
                </c:pt>
                <c:pt idx="58">
                  <c:v>1.8934431343190481</c:v>
                </c:pt>
                <c:pt idx="59">
                  <c:v>1.8934431343190481</c:v>
                </c:pt>
                <c:pt idx="60">
                  <c:v>1.8934431343190481</c:v>
                </c:pt>
                <c:pt idx="61">
                  <c:v>1.8934431343190481</c:v>
                </c:pt>
                <c:pt idx="62">
                  <c:v>1.8934431343190481</c:v>
                </c:pt>
                <c:pt idx="63">
                  <c:v>1.8934431343190481</c:v>
                </c:pt>
                <c:pt idx="64">
                  <c:v>1.8934431343190481</c:v>
                </c:pt>
                <c:pt idx="65">
                  <c:v>1.8934431343190481</c:v>
                </c:pt>
                <c:pt idx="66">
                  <c:v>1.8934431343190481</c:v>
                </c:pt>
                <c:pt idx="67">
                  <c:v>1.8934431343190481</c:v>
                </c:pt>
                <c:pt idx="68">
                  <c:v>1.8934431343190481</c:v>
                </c:pt>
                <c:pt idx="69">
                  <c:v>1.8934431343190481</c:v>
                </c:pt>
                <c:pt idx="70">
                  <c:v>1.8934431343190481</c:v>
                </c:pt>
                <c:pt idx="71">
                  <c:v>1.8934431343190481</c:v>
                </c:pt>
                <c:pt idx="72">
                  <c:v>1.8934431343190481</c:v>
                </c:pt>
                <c:pt idx="73">
                  <c:v>1.8934431343190481</c:v>
                </c:pt>
                <c:pt idx="74">
                  <c:v>1.8934431343190481</c:v>
                </c:pt>
                <c:pt idx="75">
                  <c:v>1.8934431343190481</c:v>
                </c:pt>
                <c:pt idx="76">
                  <c:v>1.8934431343190481</c:v>
                </c:pt>
                <c:pt idx="77">
                  <c:v>1.8934431343190481</c:v>
                </c:pt>
                <c:pt idx="78">
                  <c:v>1.8934431343190481</c:v>
                </c:pt>
                <c:pt idx="79">
                  <c:v>1.8934431343190481</c:v>
                </c:pt>
                <c:pt idx="80">
                  <c:v>1.8934431343190481</c:v>
                </c:pt>
                <c:pt idx="81">
                  <c:v>1.8934431343190481</c:v>
                </c:pt>
                <c:pt idx="82">
                  <c:v>1.8934431343190481</c:v>
                </c:pt>
                <c:pt idx="83">
                  <c:v>1.8934431343190481</c:v>
                </c:pt>
                <c:pt idx="84">
                  <c:v>1.8934431343190481</c:v>
                </c:pt>
                <c:pt idx="85">
                  <c:v>1.8934431343190481</c:v>
                </c:pt>
                <c:pt idx="86">
                  <c:v>1.8934431343190481</c:v>
                </c:pt>
                <c:pt idx="87">
                  <c:v>1.8934431343190481</c:v>
                </c:pt>
                <c:pt idx="88">
                  <c:v>1.8934431343190481</c:v>
                </c:pt>
                <c:pt idx="89">
                  <c:v>1.8934431343190481</c:v>
                </c:pt>
                <c:pt idx="90">
                  <c:v>1.8934431343190481</c:v>
                </c:pt>
                <c:pt idx="91">
                  <c:v>1.8934431343190481</c:v>
                </c:pt>
                <c:pt idx="92">
                  <c:v>1.8934431343190481</c:v>
                </c:pt>
                <c:pt idx="93">
                  <c:v>1.8934431343190481</c:v>
                </c:pt>
                <c:pt idx="94">
                  <c:v>1.8934431343190481</c:v>
                </c:pt>
                <c:pt idx="95">
                  <c:v>1.8934431343190481</c:v>
                </c:pt>
                <c:pt idx="96">
                  <c:v>1.8934431343190481</c:v>
                </c:pt>
                <c:pt idx="97">
                  <c:v>1.8934431343190481</c:v>
                </c:pt>
                <c:pt idx="98">
                  <c:v>1.8934431343190481</c:v>
                </c:pt>
                <c:pt idx="99">
                  <c:v>1.8934431343190481</c:v>
                </c:pt>
                <c:pt idx="100">
                  <c:v>1.8934431343190481</c:v>
                </c:pt>
                <c:pt idx="101">
                  <c:v>1.8934431343190481</c:v>
                </c:pt>
                <c:pt idx="102">
                  <c:v>1.8934431343190481</c:v>
                </c:pt>
                <c:pt idx="103">
                  <c:v>1.8934431343190481</c:v>
                </c:pt>
                <c:pt idx="104">
                  <c:v>1.8934431343190481</c:v>
                </c:pt>
                <c:pt idx="105">
                  <c:v>1.8934431343190481</c:v>
                </c:pt>
                <c:pt idx="106">
                  <c:v>1.8934431343190481</c:v>
                </c:pt>
                <c:pt idx="107">
                  <c:v>1.8934431343190481</c:v>
                </c:pt>
                <c:pt idx="108">
                  <c:v>1.8934431343190481</c:v>
                </c:pt>
                <c:pt idx="109">
                  <c:v>1.8934431343190481</c:v>
                </c:pt>
                <c:pt idx="110">
                  <c:v>1.8934431343190481</c:v>
                </c:pt>
                <c:pt idx="111">
                  <c:v>1.8934431343190481</c:v>
                </c:pt>
                <c:pt idx="112">
                  <c:v>1.8934431343190481</c:v>
                </c:pt>
                <c:pt idx="113">
                  <c:v>1.8934431343190481</c:v>
                </c:pt>
                <c:pt idx="114">
                  <c:v>1.8934431343190481</c:v>
                </c:pt>
                <c:pt idx="115">
                  <c:v>1.8934431343190481</c:v>
                </c:pt>
                <c:pt idx="116">
                  <c:v>1.8934431343190481</c:v>
                </c:pt>
                <c:pt idx="117">
                  <c:v>1.8934431343190481</c:v>
                </c:pt>
                <c:pt idx="118">
                  <c:v>1.8934431343190481</c:v>
                </c:pt>
                <c:pt idx="119">
                  <c:v>1.8934431343190481</c:v>
                </c:pt>
                <c:pt idx="120">
                  <c:v>1.8934431343190481</c:v>
                </c:pt>
                <c:pt idx="121">
                  <c:v>1.8934431343190481</c:v>
                </c:pt>
                <c:pt idx="122">
                  <c:v>1.8934431343190481</c:v>
                </c:pt>
                <c:pt idx="123">
                  <c:v>1.8934431343190481</c:v>
                </c:pt>
                <c:pt idx="124">
                  <c:v>1.8934431343190481</c:v>
                </c:pt>
                <c:pt idx="125">
                  <c:v>1.8934431343190481</c:v>
                </c:pt>
                <c:pt idx="126">
                  <c:v>1.8934431343190481</c:v>
                </c:pt>
                <c:pt idx="127">
                  <c:v>1.8934431343190481</c:v>
                </c:pt>
                <c:pt idx="128">
                  <c:v>1.8934431343190481</c:v>
                </c:pt>
                <c:pt idx="129">
                  <c:v>1.8934431343190481</c:v>
                </c:pt>
                <c:pt idx="130">
                  <c:v>1.8934431343190481</c:v>
                </c:pt>
                <c:pt idx="131">
                  <c:v>1.8934431343190481</c:v>
                </c:pt>
                <c:pt idx="132">
                  <c:v>1.8934431343190481</c:v>
                </c:pt>
                <c:pt idx="133">
                  <c:v>1.8934431343190481</c:v>
                </c:pt>
                <c:pt idx="134">
                  <c:v>1.8934431343190481</c:v>
                </c:pt>
                <c:pt idx="135">
                  <c:v>2.2335791887408174</c:v>
                </c:pt>
                <c:pt idx="136">
                  <c:v>2.2335791887408174</c:v>
                </c:pt>
                <c:pt idx="137">
                  <c:v>2.2335791887408174</c:v>
                </c:pt>
                <c:pt idx="138">
                  <c:v>2.2335791887408174</c:v>
                </c:pt>
                <c:pt idx="139">
                  <c:v>2.2335791887408174</c:v>
                </c:pt>
                <c:pt idx="140">
                  <c:v>2.2335791887408174</c:v>
                </c:pt>
                <c:pt idx="141">
                  <c:v>2.2335791887408174</c:v>
                </c:pt>
                <c:pt idx="142">
                  <c:v>0.95905730556970825</c:v>
                </c:pt>
                <c:pt idx="143">
                  <c:v>0.95905730556970825</c:v>
                </c:pt>
                <c:pt idx="144">
                  <c:v>0.95905730556970825</c:v>
                </c:pt>
                <c:pt idx="145">
                  <c:v>0.95905730556970825</c:v>
                </c:pt>
                <c:pt idx="146">
                  <c:v>0.95905730556970825</c:v>
                </c:pt>
                <c:pt idx="147">
                  <c:v>0.95905730556970825</c:v>
                </c:pt>
                <c:pt idx="148">
                  <c:v>0.95905730556970825</c:v>
                </c:pt>
                <c:pt idx="149">
                  <c:v>0.95905730556970825</c:v>
                </c:pt>
                <c:pt idx="150">
                  <c:v>0.95905730556970825</c:v>
                </c:pt>
                <c:pt idx="151">
                  <c:v>0.95905730556970825</c:v>
                </c:pt>
                <c:pt idx="152">
                  <c:v>0.95905730556970825</c:v>
                </c:pt>
                <c:pt idx="153">
                  <c:v>0.95905730556970825</c:v>
                </c:pt>
                <c:pt idx="154">
                  <c:v>0.95905730556970825</c:v>
                </c:pt>
                <c:pt idx="155">
                  <c:v>0.95905730556970825</c:v>
                </c:pt>
                <c:pt idx="156">
                  <c:v>2.9610246620255536</c:v>
                </c:pt>
                <c:pt idx="157">
                  <c:v>2.9610246620255536</c:v>
                </c:pt>
                <c:pt idx="158">
                  <c:v>2.9610246620255536</c:v>
                </c:pt>
                <c:pt idx="159">
                  <c:v>2.9610246620255536</c:v>
                </c:pt>
                <c:pt idx="160">
                  <c:v>2.9610246620255536</c:v>
                </c:pt>
                <c:pt idx="161">
                  <c:v>2.9610246620255536</c:v>
                </c:pt>
                <c:pt idx="162">
                  <c:v>2.9610246620255536</c:v>
                </c:pt>
                <c:pt idx="163">
                  <c:v>1.9927003554442289</c:v>
                </c:pt>
                <c:pt idx="164">
                  <c:v>1.9927003554442289</c:v>
                </c:pt>
                <c:pt idx="165">
                  <c:v>1.9927003554442289</c:v>
                </c:pt>
                <c:pt idx="166">
                  <c:v>1.9927003554442289</c:v>
                </c:pt>
                <c:pt idx="167">
                  <c:v>1.9927003554442289</c:v>
                </c:pt>
                <c:pt idx="168">
                  <c:v>1.9927003554442289</c:v>
                </c:pt>
                <c:pt idx="169">
                  <c:v>1.9927003554442289</c:v>
                </c:pt>
                <c:pt idx="170">
                  <c:v>1.9927003554442289</c:v>
                </c:pt>
                <c:pt idx="171">
                  <c:v>1.9927003554442289</c:v>
                </c:pt>
                <c:pt idx="172">
                  <c:v>1.9927003554442289</c:v>
                </c:pt>
                <c:pt idx="173">
                  <c:v>1.9927003554442289</c:v>
                </c:pt>
                <c:pt idx="174">
                  <c:v>1.9927003554442289</c:v>
                </c:pt>
                <c:pt idx="175">
                  <c:v>1.9927003554442289</c:v>
                </c:pt>
                <c:pt idx="176">
                  <c:v>1.9927003554442289</c:v>
                </c:pt>
                <c:pt idx="177">
                  <c:v>1.9927003554442289</c:v>
                </c:pt>
                <c:pt idx="178">
                  <c:v>1.9927003554442289</c:v>
                </c:pt>
                <c:pt idx="179">
                  <c:v>1.9927003554442289</c:v>
                </c:pt>
                <c:pt idx="180">
                  <c:v>1.9927003554442289</c:v>
                </c:pt>
                <c:pt idx="181">
                  <c:v>1.9927003554442289</c:v>
                </c:pt>
                <c:pt idx="182">
                  <c:v>1.9927003554442289</c:v>
                </c:pt>
                <c:pt idx="183">
                  <c:v>1.9927003554442289</c:v>
                </c:pt>
                <c:pt idx="184">
                  <c:v>1.9927003554442289</c:v>
                </c:pt>
                <c:pt idx="185">
                  <c:v>1.9927003554442289</c:v>
                </c:pt>
                <c:pt idx="186">
                  <c:v>1.9927003554442289</c:v>
                </c:pt>
                <c:pt idx="187">
                  <c:v>1.9927003554442289</c:v>
                </c:pt>
                <c:pt idx="188">
                  <c:v>1.9927003554442289</c:v>
                </c:pt>
                <c:pt idx="189">
                  <c:v>1.9927003554442289</c:v>
                </c:pt>
                <c:pt idx="190">
                  <c:v>1.9927003554442289</c:v>
                </c:pt>
                <c:pt idx="191">
                  <c:v>1.9927003554442289</c:v>
                </c:pt>
                <c:pt idx="192">
                  <c:v>1.9927003554442289</c:v>
                </c:pt>
                <c:pt idx="193">
                  <c:v>1.9927003554442289</c:v>
                </c:pt>
                <c:pt idx="194">
                  <c:v>1.9927003554442289</c:v>
                </c:pt>
                <c:pt idx="195">
                  <c:v>1.9927003554442289</c:v>
                </c:pt>
                <c:pt idx="196">
                  <c:v>1.9927003554442289</c:v>
                </c:pt>
                <c:pt idx="197">
                  <c:v>1.9927003554442289</c:v>
                </c:pt>
                <c:pt idx="198">
                  <c:v>1.9927003554442289</c:v>
                </c:pt>
                <c:pt idx="199">
                  <c:v>1.9927003554442289</c:v>
                </c:pt>
                <c:pt idx="200">
                  <c:v>1.9927003554442289</c:v>
                </c:pt>
                <c:pt idx="201">
                  <c:v>1.9927003554442289</c:v>
                </c:pt>
                <c:pt idx="202">
                  <c:v>1.9927003554442289</c:v>
                </c:pt>
                <c:pt idx="203">
                  <c:v>1.9927003554442289</c:v>
                </c:pt>
                <c:pt idx="204">
                  <c:v>1.9927003554442289</c:v>
                </c:pt>
                <c:pt idx="205">
                  <c:v>1.9927003554442289</c:v>
                </c:pt>
                <c:pt idx="206">
                  <c:v>1.9927003554442289</c:v>
                </c:pt>
                <c:pt idx="207">
                  <c:v>1.9927003554442289</c:v>
                </c:pt>
                <c:pt idx="208">
                  <c:v>1.9927003554442289</c:v>
                </c:pt>
                <c:pt idx="209">
                  <c:v>1.9927003554442289</c:v>
                </c:pt>
                <c:pt idx="210">
                  <c:v>1.9927003554442289</c:v>
                </c:pt>
                <c:pt idx="211">
                  <c:v>1.9927003554442289</c:v>
                </c:pt>
                <c:pt idx="212">
                  <c:v>1.9927003554442289</c:v>
                </c:pt>
                <c:pt idx="213">
                  <c:v>1.9927003554442289</c:v>
                </c:pt>
                <c:pt idx="214">
                  <c:v>1.9927003554442289</c:v>
                </c:pt>
                <c:pt idx="215">
                  <c:v>1.9927003554442289</c:v>
                </c:pt>
                <c:pt idx="216">
                  <c:v>1.9927003554442289</c:v>
                </c:pt>
                <c:pt idx="217">
                  <c:v>1.9927003554442289</c:v>
                </c:pt>
                <c:pt idx="218">
                  <c:v>1.9927003554442289</c:v>
                </c:pt>
                <c:pt idx="219">
                  <c:v>1.9927003554442289</c:v>
                </c:pt>
                <c:pt idx="220">
                  <c:v>1.9927003554442289</c:v>
                </c:pt>
                <c:pt idx="221">
                  <c:v>1.9927003554442289</c:v>
                </c:pt>
                <c:pt idx="222">
                  <c:v>1.9927003554442289</c:v>
                </c:pt>
                <c:pt idx="223">
                  <c:v>1.9927003554442289</c:v>
                </c:pt>
                <c:pt idx="224">
                  <c:v>1.9927003554442289</c:v>
                </c:pt>
                <c:pt idx="225">
                  <c:v>1.9927003554442289</c:v>
                </c:pt>
                <c:pt idx="226">
                  <c:v>1.9927003554442289</c:v>
                </c:pt>
                <c:pt idx="227">
                  <c:v>1.9927003554442289</c:v>
                </c:pt>
                <c:pt idx="228">
                  <c:v>1.9927003554442289</c:v>
                </c:pt>
                <c:pt idx="229">
                  <c:v>1.9927003554442289</c:v>
                </c:pt>
                <c:pt idx="230">
                  <c:v>1.9927003554442289</c:v>
                </c:pt>
                <c:pt idx="231">
                  <c:v>1.9927003554442289</c:v>
                </c:pt>
                <c:pt idx="232">
                  <c:v>1.9927003554442289</c:v>
                </c:pt>
                <c:pt idx="233">
                  <c:v>1.9927003554442289</c:v>
                </c:pt>
                <c:pt idx="234">
                  <c:v>1.9927003554442289</c:v>
                </c:pt>
                <c:pt idx="235">
                  <c:v>1.9927003554442289</c:v>
                </c:pt>
                <c:pt idx="236">
                  <c:v>1.9927003554442289</c:v>
                </c:pt>
                <c:pt idx="237">
                  <c:v>1.9927003554442289</c:v>
                </c:pt>
                <c:pt idx="238">
                  <c:v>1.9927003554442289</c:v>
                </c:pt>
                <c:pt idx="239">
                  <c:v>1.9927003554442289</c:v>
                </c:pt>
                <c:pt idx="240">
                  <c:v>1.9927003554442289</c:v>
                </c:pt>
                <c:pt idx="241">
                  <c:v>1.9927003554442289</c:v>
                </c:pt>
                <c:pt idx="242">
                  <c:v>1.9927003554442289</c:v>
                </c:pt>
                <c:pt idx="243">
                  <c:v>1.9927003554442289</c:v>
                </c:pt>
                <c:pt idx="244">
                  <c:v>1.9927003554442289</c:v>
                </c:pt>
                <c:pt idx="245">
                  <c:v>1.9927003554442289</c:v>
                </c:pt>
                <c:pt idx="246">
                  <c:v>1.9927003554442289</c:v>
                </c:pt>
                <c:pt idx="247">
                  <c:v>1.9927003554442289</c:v>
                </c:pt>
                <c:pt idx="248">
                  <c:v>1.9927003554442289</c:v>
                </c:pt>
                <c:pt idx="249">
                  <c:v>1.9927003554442289</c:v>
                </c:pt>
                <c:pt idx="250">
                  <c:v>1.9927003554442289</c:v>
                </c:pt>
                <c:pt idx="251">
                  <c:v>1.9927003554442289</c:v>
                </c:pt>
                <c:pt idx="252">
                  <c:v>1.9927003554442289</c:v>
                </c:pt>
                <c:pt idx="253">
                  <c:v>1.9927003554442289</c:v>
                </c:pt>
                <c:pt idx="254">
                  <c:v>1.9927003554442289</c:v>
                </c:pt>
                <c:pt idx="255">
                  <c:v>1.9927003554442289</c:v>
                </c:pt>
                <c:pt idx="256">
                  <c:v>1.9927003554442289</c:v>
                </c:pt>
                <c:pt idx="257">
                  <c:v>1.9927003554442289</c:v>
                </c:pt>
                <c:pt idx="258">
                  <c:v>1.9927003554442289</c:v>
                </c:pt>
                <c:pt idx="259">
                  <c:v>1.9927003554442289</c:v>
                </c:pt>
                <c:pt idx="260">
                  <c:v>2.3607894150410869</c:v>
                </c:pt>
                <c:pt idx="261">
                  <c:v>2.3607894150410869</c:v>
                </c:pt>
                <c:pt idx="262">
                  <c:v>2.3607894150410869</c:v>
                </c:pt>
                <c:pt idx="263">
                  <c:v>2.3607894150410869</c:v>
                </c:pt>
                <c:pt idx="264">
                  <c:v>2.3607894150410869</c:v>
                </c:pt>
                <c:pt idx="265">
                  <c:v>2.3607894150410869</c:v>
                </c:pt>
                <c:pt idx="266">
                  <c:v>2.3607894150410869</c:v>
                </c:pt>
                <c:pt idx="267">
                  <c:v>2.3607894150410869</c:v>
                </c:pt>
                <c:pt idx="268">
                  <c:v>2.3607894150410869</c:v>
                </c:pt>
                <c:pt idx="269">
                  <c:v>2.3607894150410869</c:v>
                </c:pt>
                <c:pt idx="270">
                  <c:v>2.3607894150410869</c:v>
                </c:pt>
                <c:pt idx="271">
                  <c:v>2.3607894150410869</c:v>
                </c:pt>
                <c:pt idx="272">
                  <c:v>2.3607894150410869</c:v>
                </c:pt>
                <c:pt idx="273">
                  <c:v>2.3607894150410869</c:v>
                </c:pt>
                <c:pt idx="274">
                  <c:v>2.3607894150410869</c:v>
                </c:pt>
                <c:pt idx="275">
                  <c:v>2.3607894150410869</c:v>
                </c:pt>
                <c:pt idx="276">
                  <c:v>2.3607894150410869</c:v>
                </c:pt>
                <c:pt idx="277">
                  <c:v>2.3607894150410869</c:v>
                </c:pt>
                <c:pt idx="278">
                  <c:v>2.3607894150410869</c:v>
                </c:pt>
                <c:pt idx="279">
                  <c:v>2.3607894150410869</c:v>
                </c:pt>
                <c:pt idx="280">
                  <c:v>2.3607894150410869</c:v>
                </c:pt>
                <c:pt idx="281">
                  <c:v>2.3607894150410869</c:v>
                </c:pt>
                <c:pt idx="282">
                  <c:v>2.3607894150410869</c:v>
                </c:pt>
                <c:pt idx="283">
                  <c:v>2.3607894150410869</c:v>
                </c:pt>
                <c:pt idx="284">
                  <c:v>2.3607894150410869</c:v>
                </c:pt>
                <c:pt idx="285">
                  <c:v>2.3607894150410869</c:v>
                </c:pt>
                <c:pt idx="286">
                  <c:v>2.3607894150410869</c:v>
                </c:pt>
                <c:pt idx="287">
                  <c:v>2.4085740385592547</c:v>
                </c:pt>
                <c:pt idx="288">
                  <c:v>2.4085740385592547</c:v>
                </c:pt>
                <c:pt idx="289">
                  <c:v>2.4085740385592547</c:v>
                </c:pt>
                <c:pt idx="290">
                  <c:v>2.4085740385592547</c:v>
                </c:pt>
                <c:pt idx="291">
                  <c:v>2.4085740385592547</c:v>
                </c:pt>
                <c:pt idx="292">
                  <c:v>2.4085740385592547</c:v>
                </c:pt>
                <c:pt idx="293">
                  <c:v>2.4085740385592547</c:v>
                </c:pt>
                <c:pt idx="294">
                  <c:v>2.4085740385592547</c:v>
                </c:pt>
                <c:pt idx="295">
                  <c:v>2.4085740385592547</c:v>
                </c:pt>
                <c:pt idx="296">
                  <c:v>2.4085740385592547</c:v>
                </c:pt>
                <c:pt idx="297">
                  <c:v>2.4085740385592547</c:v>
                </c:pt>
                <c:pt idx="298">
                  <c:v>2.4085740385592547</c:v>
                </c:pt>
                <c:pt idx="299">
                  <c:v>2.4085740385592547</c:v>
                </c:pt>
                <c:pt idx="300">
                  <c:v>2.4085740385592547</c:v>
                </c:pt>
                <c:pt idx="301">
                  <c:v>2.4085740385592547</c:v>
                </c:pt>
                <c:pt idx="302">
                  <c:v>2.4085740385592547</c:v>
                </c:pt>
                <c:pt idx="303">
                  <c:v>2.4085740385592547</c:v>
                </c:pt>
                <c:pt idx="304">
                  <c:v>2.4085740385592547</c:v>
                </c:pt>
                <c:pt idx="305">
                  <c:v>2.4085740385592547</c:v>
                </c:pt>
                <c:pt idx="306">
                  <c:v>2.4085740385592547</c:v>
                </c:pt>
                <c:pt idx="307">
                  <c:v>2.4085740385592547</c:v>
                </c:pt>
                <c:pt idx="308">
                  <c:v>2.4085740385592547</c:v>
                </c:pt>
                <c:pt idx="309">
                  <c:v>2.4085740385592547</c:v>
                </c:pt>
                <c:pt idx="310">
                  <c:v>2.4085740385592547</c:v>
                </c:pt>
                <c:pt idx="311">
                  <c:v>2.4085740385592547</c:v>
                </c:pt>
                <c:pt idx="312">
                  <c:v>2.4085740385592547</c:v>
                </c:pt>
                <c:pt idx="313">
                  <c:v>2.4085740385592547</c:v>
                </c:pt>
                <c:pt idx="314">
                  <c:v>2.4085740385592547</c:v>
                </c:pt>
                <c:pt idx="315">
                  <c:v>2.4085740385592547</c:v>
                </c:pt>
                <c:pt idx="316">
                  <c:v>2.4085740385592547</c:v>
                </c:pt>
                <c:pt idx="317">
                  <c:v>2.4085740385592547</c:v>
                </c:pt>
                <c:pt idx="318">
                  <c:v>2.4085740385592547</c:v>
                </c:pt>
                <c:pt idx="319">
                  <c:v>2.4085740385592547</c:v>
                </c:pt>
                <c:pt idx="320">
                  <c:v>2.8845415791335349</c:v>
                </c:pt>
                <c:pt idx="321">
                  <c:v>2.8845415791335349</c:v>
                </c:pt>
                <c:pt idx="322">
                  <c:v>2.8845415791335349</c:v>
                </c:pt>
                <c:pt idx="323">
                  <c:v>2.8845415791335349</c:v>
                </c:pt>
                <c:pt idx="324">
                  <c:v>2.8845415791335349</c:v>
                </c:pt>
                <c:pt idx="325">
                  <c:v>2.8845415791335349</c:v>
                </c:pt>
                <c:pt idx="326">
                  <c:v>1.2912501745213723</c:v>
                </c:pt>
                <c:pt idx="327">
                  <c:v>1.2912501745213723</c:v>
                </c:pt>
                <c:pt idx="328">
                  <c:v>1.2912501745213723</c:v>
                </c:pt>
                <c:pt idx="329">
                  <c:v>1.2912501745213723</c:v>
                </c:pt>
                <c:pt idx="330">
                  <c:v>1.2912501745213723</c:v>
                </c:pt>
                <c:pt idx="331">
                  <c:v>1.2912501745213723</c:v>
                </c:pt>
                <c:pt idx="332">
                  <c:v>1.2912501745213723</c:v>
                </c:pt>
                <c:pt idx="333">
                  <c:v>1.2912501745213723</c:v>
                </c:pt>
                <c:pt idx="334">
                  <c:v>1.2912501745213723</c:v>
                </c:pt>
                <c:pt idx="335">
                  <c:v>1.2912501745213723</c:v>
                </c:pt>
                <c:pt idx="336">
                  <c:v>1.2912501745213723</c:v>
                </c:pt>
                <c:pt idx="337">
                  <c:v>1.2912501745213723</c:v>
                </c:pt>
                <c:pt idx="338">
                  <c:v>1.2912501745213723</c:v>
                </c:pt>
                <c:pt idx="339">
                  <c:v>1.2912501745213723</c:v>
                </c:pt>
                <c:pt idx="340">
                  <c:v>1.2912501745213723</c:v>
                </c:pt>
                <c:pt idx="341">
                  <c:v>1.2912501745213723</c:v>
                </c:pt>
                <c:pt idx="342">
                  <c:v>1.2912501745213723</c:v>
                </c:pt>
                <c:pt idx="343">
                  <c:v>1.2912501745213723</c:v>
                </c:pt>
                <c:pt idx="344">
                  <c:v>1.2912501745213723</c:v>
                </c:pt>
                <c:pt idx="345">
                  <c:v>1.2912501745213723</c:v>
                </c:pt>
                <c:pt idx="346">
                  <c:v>1.2912501745213723</c:v>
                </c:pt>
                <c:pt idx="347">
                  <c:v>1.2912501745213723</c:v>
                </c:pt>
                <c:pt idx="348">
                  <c:v>1.2912501745213723</c:v>
                </c:pt>
                <c:pt idx="349">
                  <c:v>1.2912501745213723</c:v>
                </c:pt>
                <c:pt idx="350">
                  <c:v>1.2912501745213723</c:v>
                </c:pt>
                <c:pt idx="351">
                  <c:v>1.2912501745213723</c:v>
                </c:pt>
                <c:pt idx="352">
                  <c:v>1.2912501745213723</c:v>
                </c:pt>
                <c:pt idx="353">
                  <c:v>1.2912501745213723</c:v>
                </c:pt>
                <c:pt idx="354">
                  <c:v>1.2912501745213723</c:v>
                </c:pt>
                <c:pt idx="355">
                  <c:v>1.2912501745213723</c:v>
                </c:pt>
                <c:pt idx="356">
                  <c:v>1.2912501745213723</c:v>
                </c:pt>
                <c:pt idx="357">
                  <c:v>1.2912501745213723</c:v>
                </c:pt>
                <c:pt idx="358">
                  <c:v>1.2912501745213723</c:v>
                </c:pt>
                <c:pt idx="359">
                  <c:v>1.2912501745213723</c:v>
                </c:pt>
                <c:pt idx="360">
                  <c:v>1.2912501745213723</c:v>
                </c:pt>
                <c:pt idx="361">
                  <c:v>1.2912501745213723</c:v>
                </c:pt>
                <c:pt idx="362">
                  <c:v>1.2912501745213723</c:v>
                </c:pt>
                <c:pt idx="363">
                  <c:v>1.2912501745213723</c:v>
                </c:pt>
                <c:pt idx="364">
                  <c:v>1.2912501745213723</c:v>
                </c:pt>
                <c:pt idx="365">
                  <c:v>1.2912501745213723</c:v>
                </c:pt>
                <c:pt idx="366">
                  <c:v>1.2912501745213723</c:v>
                </c:pt>
                <c:pt idx="367">
                  <c:v>1.2912501745213723</c:v>
                </c:pt>
                <c:pt idx="368">
                  <c:v>1.2912501745213723</c:v>
                </c:pt>
                <c:pt idx="369">
                  <c:v>1.2912501745213723</c:v>
                </c:pt>
                <c:pt idx="370">
                  <c:v>1.2912501745213723</c:v>
                </c:pt>
                <c:pt idx="371">
                  <c:v>1.2912501745213723</c:v>
                </c:pt>
                <c:pt idx="372">
                  <c:v>1.2912501745213723</c:v>
                </c:pt>
                <c:pt idx="373">
                  <c:v>1.2912501745213723</c:v>
                </c:pt>
                <c:pt idx="374">
                  <c:v>1.2912501745213723</c:v>
                </c:pt>
                <c:pt idx="375">
                  <c:v>1.2912501745213723</c:v>
                </c:pt>
                <c:pt idx="376">
                  <c:v>1.2912501745213723</c:v>
                </c:pt>
                <c:pt idx="377">
                  <c:v>1.2912501745213723</c:v>
                </c:pt>
                <c:pt idx="378">
                  <c:v>1.2912501745213723</c:v>
                </c:pt>
                <c:pt idx="379">
                  <c:v>1.2912501745213723</c:v>
                </c:pt>
                <c:pt idx="380">
                  <c:v>1.2912501745213723</c:v>
                </c:pt>
                <c:pt idx="381">
                  <c:v>1.2912501745213723</c:v>
                </c:pt>
                <c:pt idx="382">
                  <c:v>1.2912501745213723</c:v>
                </c:pt>
                <c:pt idx="383">
                  <c:v>1.2912501745213723</c:v>
                </c:pt>
                <c:pt idx="384">
                  <c:v>1.2912501745213723</c:v>
                </c:pt>
                <c:pt idx="385">
                  <c:v>2.0825010564889137</c:v>
                </c:pt>
                <c:pt idx="386">
                  <c:v>2.0825010564889137</c:v>
                </c:pt>
                <c:pt idx="387">
                  <c:v>2.0825010564889137</c:v>
                </c:pt>
                <c:pt idx="388">
                  <c:v>2.0825010564889137</c:v>
                </c:pt>
                <c:pt idx="389">
                  <c:v>2.0825010564889137</c:v>
                </c:pt>
                <c:pt idx="390">
                  <c:v>2.0825010564889137</c:v>
                </c:pt>
                <c:pt idx="391">
                  <c:v>2.0825010564889137</c:v>
                </c:pt>
                <c:pt idx="392">
                  <c:v>2.0825010564889137</c:v>
                </c:pt>
                <c:pt idx="393">
                  <c:v>2.0825010564889137</c:v>
                </c:pt>
                <c:pt idx="394">
                  <c:v>2.0825010564889137</c:v>
                </c:pt>
                <c:pt idx="395">
                  <c:v>2.0825010564889137</c:v>
                </c:pt>
                <c:pt idx="396">
                  <c:v>2.0825010564889137</c:v>
                </c:pt>
                <c:pt idx="397">
                  <c:v>2.0825010564889137</c:v>
                </c:pt>
                <c:pt idx="398">
                  <c:v>2.0825010564889137</c:v>
                </c:pt>
                <c:pt idx="399">
                  <c:v>2.0825010564889137</c:v>
                </c:pt>
                <c:pt idx="400">
                  <c:v>2.0825010564889137</c:v>
                </c:pt>
                <c:pt idx="401">
                  <c:v>2.0825010564889137</c:v>
                </c:pt>
                <c:pt idx="402">
                  <c:v>2.0825010564889137</c:v>
                </c:pt>
                <c:pt idx="403">
                  <c:v>2.0825010564889137</c:v>
                </c:pt>
                <c:pt idx="404">
                  <c:v>2.0825010564889137</c:v>
                </c:pt>
                <c:pt idx="405">
                  <c:v>2.0825010564889137</c:v>
                </c:pt>
                <c:pt idx="406">
                  <c:v>2.0825010564889137</c:v>
                </c:pt>
                <c:pt idx="407">
                  <c:v>2.0825010564889137</c:v>
                </c:pt>
                <c:pt idx="408">
                  <c:v>2.0825010564889137</c:v>
                </c:pt>
                <c:pt idx="409">
                  <c:v>2.0825010564889137</c:v>
                </c:pt>
                <c:pt idx="410">
                  <c:v>2.0825010564889137</c:v>
                </c:pt>
                <c:pt idx="411">
                  <c:v>2.0825010564889137</c:v>
                </c:pt>
                <c:pt idx="412">
                  <c:v>2.0825010564889137</c:v>
                </c:pt>
                <c:pt idx="413">
                  <c:v>2.0825010564889137</c:v>
                </c:pt>
                <c:pt idx="414">
                  <c:v>2.0825010564889137</c:v>
                </c:pt>
                <c:pt idx="415">
                  <c:v>2.0825010564889137</c:v>
                </c:pt>
                <c:pt idx="416">
                  <c:v>2.0825010564889137</c:v>
                </c:pt>
                <c:pt idx="417">
                  <c:v>2.0825010564889137</c:v>
                </c:pt>
                <c:pt idx="418">
                  <c:v>2.0825010564889137</c:v>
                </c:pt>
              </c:numCache>
            </c:numRef>
          </c:val>
          <c:smooth val="0"/>
          <c:extLst>
            <c:ext xmlns:c16="http://schemas.microsoft.com/office/drawing/2014/chart" uri="{C3380CC4-5D6E-409C-BE32-E72D297353CC}">
              <c16:uniqueId val="{00000000-C9CA-4D9B-8754-B3F2C1FBE580}"/>
            </c:ext>
          </c:extLst>
        </c:ser>
        <c:ser>
          <c:idx val="8"/>
          <c:order val="1"/>
          <c:tx>
            <c:v>XLC</c:v>
          </c:tx>
          <c:spPr>
            <a:ln w="38100" cap="rnd">
              <a:solidFill>
                <a:sysClr val="windowText" lastClr="000000"/>
              </a:solidFill>
              <a:round/>
            </a:ln>
            <a:effectLst/>
          </c:spPr>
          <c:marker>
            <c:symbol val="none"/>
          </c:marker>
          <c:val>
            <c:numRef>
              <c:f>'2025-Q2'!$DN$4:$DN$422</c:f>
              <c:numCache>
                <c:formatCode>0.00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0.36227168206863897</c:v>
                </c:pt>
                <c:pt idx="17">
                  <c:v>0.36227168206863897</c:v>
                </c:pt>
                <c:pt idx="18">
                  <c:v>0.36227168206863897</c:v>
                </c:pt>
                <c:pt idx="19">
                  <c:v>0.36227168206863897</c:v>
                </c:pt>
                <c:pt idx="20">
                  <c:v>0.36227168206863897</c:v>
                </c:pt>
                <c:pt idx="21">
                  <c:v>0.36227168206863897</c:v>
                </c:pt>
                <c:pt idx="22">
                  <c:v>0.36227168206863897</c:v>
                </c:pt>
                <c:pt idx="23">
                  <c:v>0.36227168206863897</c:v>
                </c:pt>
                <c:pt idx="24">
                  <c:v>0.36227168206863897</c:v>
                </c:pt>
                <c:pt idx="25">
                  <c:v>0.36227168206863897</c:v>
                </c:pt>
                <c:pt idx="26">
                  <c:v>0.36227168206863897</c:v>
                </c:pt>
                <c:pt idx="27">
                  <c:v>0.36227168206863897</c:v>
                </c:pt>
                <c:pt idx="28">
                  <c:v>0.36227168206863897</c:v>
                </c:pt>
                <c:pt idx="29">
                  <c:v>0.36227168206863897</c:v>
                </c:pt>
                <c:pt idx="30">
                  <c:v>0.36227168206863897</c:v>
                </c:pt>
                <c:pt idx="31">
                  <c:v>0.36227168206863897</c:v>
                </c:pt>
                <c:pt idx="32">
                  <c:v>0.36227168206863897</c:v>
                </c:pt>
                <c:pt idx="33">
                  <c:v>0.36227168206863897</c:v>
                </c:pt>
                <c:pt idx="34">
                  <c:v>0.36227168206863897</c:v>
                </c:pt>
                <c:pt idx="35">
                  <c:v>0.36227168206863897</c:v>
                </c:pt>
                <c:pt idx="36">
                  <c:v>0.36227168206863897</c:v>
                </c:pt>
                <c:pt idx="37">
                  <c:v>0.36227168206863897</c:v>
                </c:pt>
                <c:pt idx="38">
                  <c:v>0.36227168206863897</c:v>
                </c:pt>
                <c:pt idx="39">
                  <c:v>0.36227168206863897</c:v>
                </c:pt>
                <c:pt idx="40">
                  <c:v>0.36227168206863897</c:v>
                </c:pt>
                <c:pt idx="41">
                  <c:v>0.36227168206863897</c:v>
                </c:pt>
                <c:pt idx="42">
                  <c:v>0.36227168206863897</c:v>
                </c:pt>
                <c:pt idx="43">
                  <c:v>0.36227168206863897</c:v>
                </c:pt>
                <c:pt idx="44">
                  <c:v>0.36227168206863897</c:v>
                </c:pt>
                <c:pt idx="45">
                  <c:v>0.36227168206863897</c:v>
                </c:pt>
                <c:pt idx="46">
                  <c:v>0.36227168206863897</c:v>
                </c:pt>
                <c:pt idx="47">
                  <c:v>0.36227168206863897</c:v>
                </c:pt>
                <c:pt idx="48">
                  <c:v>0.36227168206863897</c:v>
                </c:pt>
                <c:pt idx="49">
                  <c:v>0.36227168206863897</c:v>
                </c:pt>
                <c:pt idx="50">
                  <c:v>0.36227168206863897</c:v>
                </c:pt>
                <c:pt idx="51">
                  <c:v>0.36227168206863897</c:v>
                </c:pt>
                <c:pt idx="52">
                  <c:v>0.36227168206863897</c:v>
                </c:pt>
                <c:pt idx="53">
                  <c:v>0.36227168206863897</c:v>
                </c:pt>
                <c:pt idx="54">
                  <c:v>0.36227168206863897</c:v>
                </c:pt>
                <c:pt idx="55">
                  <c:v>0.36227168206863897</c:v>
                </c:pt>
                <c:pt idx="56">
                  <c:v>0.36227168206863897</c:v>
                </c:pt>
                <c:pt idx="57">
                  <c:v>0.36227168206863897</c:v>
                </c:pt>
                <c:pt idx="58">
                  <c:v>0.36227168206863897</c:v>
                </c:pt>
                <c:pt idx="59">
                  <c:v>0.36227168206863897</c:v>
                </c:pt>
                <c:pt idx="60">
                  <c:v>0.36227168206863897</c:v>
                </c:pt>
                <c:pt idx="61">
                  <c:v>0.36227168206863897</c:v>
                </c:pt>
                <c:pt idx="62">
                  <c:v>0.36227168206863897</c:v>
                </c:pt>
                <c:pt idx="63">
                  <c:v>0.36227168206863897</c:v>
                </c:pt>
                <c:pt idx="64">
                  <c:v>0.36227168206863897</c:v>
                </c:pt>
                <c:pt idx="65">
                  <c:v>0.36227168206863897</c:v>
                </c:pt>
                <c:pt idx="66">
                  <c:v>0.36227168206863897</c:v>
                </c:pt>
                <c:pt idx="67">
                  <c:v>0.36227168206863897</c:v>
                </c:pt>
                <c:pt idx="68">
                  <c:v>0.36227168206863897</c:v>
                </c:pt>
                <c:pt idx="69">
                  <c:v>0.36227168206863897</c:v>
                </c:pt>
                <c:pt idx="70">
                  <c:v>0.36227168206863897</c:v>
                </c:pt>
                <c:pt idx="71">
                  <c:v>0.36227168206863897</c:v>
                </c:pt>
                <c:pt idx="72">
                  <c:v>0.36227168206863897</c:v>
                </c:pt>
                <c:pt idx="73">
                  <c:v>0.36227168206863897</c:v>
                </c:pt>
                <c:pt idx="74">
                  <c:v>0.36227168206863897</c:v>
                </c:pt>
                <c:pt idx="75">
                  <c:v>0.36227168206863897</c:v>
                </c:pt>
                <c:pt idx="76">
                  <c:v>0.36227168206863897</c:v>
                </c:pt>
                <c:pt idx="77">
                  <c:v>0.36227168206863897</c:v>
                </c:pt>
                <c:pt idx="78">
                  <c:v>0.36227168206863897</c:v>
                </c:pt>
                <c:pt idx="79">
                  <c:v>0.36227168206863897</c:v>
                </c:pt>
                <c:pt idx="80">
                  <c:v>0.36227168206863897</c:v>
                </c:pt>
                <c:pt idx="81">
                  <c:v>0.36227168206863897</c:v>
                </c:pt>
                <c:pt idx="82">
                  <c:v>0.36227168206863897</c:v>
                </c:pt>
                <c:pt idx="83">
                  <c:v>0.36227168206863897</c:v>
                </c:pt>
                <c:pt idx="84">
                  <c:v>0.36227168206863897</c:v>
                </c:pt>
                <c:pt idx="85">
                  <c:v>0.36227168206863897</c:v>
                </c:pt>
                <c:pt idx="86">
                  <c:v>0.36227168206863897</c:v>
                </c:pt>
                <c:pt idx="87">
                  <c:v>0.36227168206863897</c:v>
                </c:pt>
                <c:pt idx="88">
                  <c:v>0.36227168206863897</c:v>
                </c:pt>
                <c:pt idx="89">
                  <c:v>0.36227168206863897</c:v>
                </c:pt>
                <c:pt idx="90">
                  <c:v>1.5662171418887725</c:v>
                </c:pt>
                <c:pt idx="91">
                  <c:v>1.5662171418887725</c:v>
                </c:pt>
                <c:pt idx="92">
                  <c:v>1.5662171418887725</c:v>
                </c:pt>
                <c:pt idx="93">
                  <c:v>1.5662171418887725</c:v>
                </c:pt>
                <c:pt idx="94">
                  <c:v>1.5662171418887725</c:v>
                </c:pt>
                <c:pt idx="95">
                  <c:v>1.5662171418887725</c:v>
                </c:pt>
                <c:pt idx="96">
                  <c:v>1.5662171418887725</c:v>
                </c:pt>
                <c:pt idx="97">
                  <c:v>1.5662171418887725</c:v>
                </c:pt>
                <c:pt idx="98">
                  <c:v>1.1910608267574658</c:v>
                </c:pt>
                <c:pt idx="99">
                  <c:v>1.1910608267574658</c:v>
                </c:pt>
                <c:pt idx="100">
                  <c:v>1.1910608267574658</c:v>
                </c:pt>
                <c:pt idx="101">
                  <c:v>1.1910608267574658</c:v>
                </c:pt>
                <c:pt idx="102">
                  <c:v>1.1910608267574658</c:v>
                </c:pt>
                <c:pt idx="103">
                  <c:v>1.1910608267574658</c:v>
                </c:pt>
                <c:pt idx="104">
                  <c:v>1.1910608267574658</c:v>
                </c:pt>
                <c:pt idx="105">
                  <c:v>1.1910608267574658</c:v>
                </c:pt>
                <c:pt idx="106">
                  <c:v>1.1910608267574658</c:v>
                </c:pt>
                <c:pt idx="107">
                  <c:v>1.1910608267574658</c:v>
                </c:pt>
                <c:pt idx="108">
                  <c:v>1.1910608267574658</c:v>
                </c:pt>
                <c:pt idx="109">
                  <c:v>1.1910608267574658</c:v>
                </c:pt>
                <c:pt idx="110">
                  <c:v>1.1910608267574658</c:v>
                </c:pt>
                <c:pt idx="111">
                  <c:v>1.1910608267574658</c:v>
                </c:pt>
                <c:pt idx="112">
                  <c:v>1.1910608267574658</c:v>
                </c:pt>
                <c:pt idx="113">
                  <c:v>1.1910608267574658</c:v>
                </c:pt>
                <c:pt idx="114">
                  <c:v>1.1910608267574658</c:v>
                </c:pt>
                <c:pt idx="115">
                  <c:v>1.1910608267574658</c:v>
                </c:pt>
                <c:pt idx="116">
                  <c:v>1.1910608267574658</c:v>
                </c:pt>
                <c:pt idx="117">
                  <c:v>1.1910608267574658</c:v>
                </c:pt>
                <c:pt idx="118">
                  <c:v>1.1910608267574658</c:v>
                </c:pt>
                <c:pt idx="119">
                  <c:v>1.1910608267574658</c:v>
                </c:pt>
                <c:pt idx="120">
                  <c:v>1.1910608267574658</c:v>
                </c:pt>
                <c:pt idx="121">
                  <c:v>1.1910608267574658</c:v>
                </c:pt>
                <c:pt idx="122">
                  <c:v>1.1910608267574658</c:v>
                </c:pt>
                <c:pt idx="123">
                  <c:v>1.1910608267574658</c:v>
                </c:pt>
                <c:pt idx="124">
                  <c:v>1.1910608267574658</c:v>
                </c:pt>
                <c:pt idx="125">
                  <c:v>1.1910608267574658</c:v>
                </c:pt>
                <c:pt idx="126">
                  <c:v>1.1910608267574658</c:v>
                </c:pt>
                <c:pt idx="127">
                  <c:v>1.1910608267574658</c:v>
                </c:pt>
                <c:pt idx="128">
                  <c:v>1.1910608267574658</c:v>
                </c:pt>
                <c:pt idx="129">
                  <c:v>1.1910608267574658</c:v>
                </c:pt>
                <c:pt idx="130">
                  <c:v>1.1910608267574658</c:v>
                </c:pt>
                <c:pt idx="131">
                  <c:v>1.1910608267574658</c:v>
                </c:pt>
                <c:pt idx="132">
                  <c:v>1.1910608267574658</c:v>
                </c:pt>
                <c:pt idx="133">
                  <c:v>1.1910608267574658</c:v>
                </c:pt>
                <c:pt idx="134">
                  <c:v>1.1910608267574658</c:v>
                </c:pt>
                <c:pt idx="135">
                  <c:v>1.1910608267574658</c:v>
                </c:pt>
                <c:pt idx="136">
                  <c:v>1.1910608267574658</c:v>
                </c:pt>
                <c:pt idx="137">
                  <c:v>1.1910608267574658</c:v>
                </c:pt>
                <c:pt idx="138">
                  <c:v>1.1910608267574658</c:v>
                </c:pt>
                <c:pt idx="139">
                  <c:v>1.1910608267574658</c:v>
                </c:pt>
                <c:pt idx="140">
                  <c:v>1.1910608267574658</c:v>
                </c:pt>
                <c:pt idx="141">
                  <c:v>1.1910608267574658</c:v>
                </c:pt>
                <c:pt idx="142">
                  <c:v>1.1910608267574658</c:v>
                </c:pt>
                <c:pt idx="143">
                  <c:v>1.1910608267574658</c:v>
                </c:pt>
                <c:pt idx="144">
                  <c:v>1.1910608267574658</c:v>
                </c:pt>
                <c:pt idx="145">
                  <c:v>1.1910608267574658</c:v>
                </c:pt>
                <c:pt idx="146">
                  <c:v>1.1910608267574658</c:v>
                </c:pt>
                <c:pt idx="147">
                  <c:v>1.1910608267574658</c:v>
                </c:pt>
                <c:pt idx="148">
                  <c:v>1.1910608267574658</c:v>
                </c:pt>
                <c:pt idx="149">
                  <c:v>1.1910608267574658</c:v>
                </c:pt>
                <c:pt idx="150">
                  <c:v>1.1910608267574658</c:v>
                </c:pt>
                <c:pt idx="151">
                  <c:v>1.1910608267574658</c:v>
                </c:pt>
                <c:pt idx="152">
                  <c:v>1.1910608267574658</c:v>
                </c:pt>
                <c:pt idx="153">
                  <c:v>1.1910608267574658</c:v>
                </c:pt>
                <c:pt idx="154">
                  <c:v>1.1910608267574658</c:v>
                </c:pt>
                <c:pt idx="155">
                  <c:v>1.1910608267574658</c:v>
                </c:pt>
                <c:pt idx="156">
                  <c:v>1.1910608267574658</c:v>
                </c:pt>
                <c:pt idx="157">
                  <c:v>1.1910608267574658</c:v>
                </c:pt>
                <c:pt idx="158">
                  <c:v>1.1910608267574658</c:v>
                </c:pt>
                <c:pt idx="159">
                  <c:v>1.1910608267574658</c:v>
                </c:pt>
                <c:pt idx="160">
                  <c:v>1.1910608267574658</c:v>
                </c:pt>
                <c:pt idx="161">
                  <c:v>1.1910608267574658</c:v>
                </c:pt>
                <c:pt idx="162">
                  <c:v>1.1910608267574658</c:v>
                </c:pt>
                <c:pt idx="163">
                  <c:v>1.1910608267574658</c:v>
                </c:pt>
                <c:pt idx="164">
                  <c:v>1.1910608267574658</c:v>
                </c:pt>
                <c:pt idx="165">
                  <c:v>1.1910608267574658</c:v>
                </c:pt>
                <c:pt idx="166">
                  <c:v>1.1910608267574658</c:v>
                </c:pt>
                <c:pt idx="167">
                  <c:v>1.1910608267574658</c:v>
                </c:pt>
                <c:pt idx="168">
                  <c:v>1.1910608267574658</c:v>
                </c:pt>
                <c:pt idx="169">
                  <c:v>1.1910608267574658</c:v>
                </c:pt>
                <c:pt idx="170">
                  <c:v>1.1910608267574658</c:v>
                </c:pt>
                <c:pt idx="171">
                  <c:v>1.1910608267574658</c:v>
                </c:pt>
                <c:pt idx="172">
                  <c:v>1.1910608267574658</c:v>
                </c:pt>
                <c:pt idx="173">
                  <c:v>1.1910608267574658</c:v>
                </c:pt>
                <c:pt idx="174">
                  <c:v>1.1910608267574658</c:v>
                </c:pt>
                <c:pt idx="175">
                  <c:v>1.1910608267574658</c:v>
                </c:pt>
                <c:pt idx="176">
                  <c:v>1.1910608267574658</c:v>
                </c:pt>
                <c:pt idx="177">
                  <c:v>1.1910608267574658</c:v>
                </c:pt>
                <c:pt idx="178">
                  <c:v>1.1910608267574658</c:v>
                </c:pt>
                <c:pt idx="179">
                  <c:v>1.1910608267574658</c:v>
                </c:pt>
                <c:pt idx="180">
                  <c:v>1.1910608267574658</c:v>
                </c:pt>
                <c:pt idx="181">
                  <c:v>1.1910608267574658</c:v>
                </c:pt>
                <c:pt idx="182">
                  <c:v>1.1910608267574658</c:v>
                </c:pt>
                <c:pt idx="183">
                  <c:v>1.1910608267574658</c:v>
                </c:pt>
                <c:pt idx="184">
                  <c:v>1.1910608267574658</c:v>
                </c:pt>
                <c:pt idx="185">
                  <c:v>1.1910608267574658</c:v>
                </c:pt>
                <c:pt idx="186">
                  <c:v>1.1910608267574658</c:v>
                </c:pt>
                <c:pt idx="187">
                  <c:v>1.1910608267574658</c:v>
                </c:pt>
                <c:pt idx="188">
                  <c:v>1.1910608267574658</c:v>
                </c:pt>
                <c:pt idx="189">
                  <c:v>1.1910608267574658</c:v>
                </c:pt>
                <c:pt idx="190">
                  <c:v>1.1910608267574658</c:v>
                </c:pt>
                <c:pt idx="191">
                  <c:v>1.1910608267574658</c:v>
                </c:pt>
                <c:pt idx="192">
                  <c:v>1.1910608267574658</c:v>
                </c:pt>
                <c:pt idx="193">
                  <c:v>1.1910608267574658</c:v>
                </c:pt>
                <c:pt idx="194">
                  <c:v>1.1910608267574658</c:v>
                </c:pt>
                <c:pt idx="195">
                  <c:v>1.1910608267574658</c:v>
                </c:pt>
                <c:pt idx="196">
                  <c:v>1.1910608267574658</c:v>
                </c:pt>
                <c:pt idx="197">
                  <c:v>1.1910608267574658</c:v>
                </c:pt>
                <c:pt idx="198">
                  <c:v>1.1910608267574658</c:v>
                </c:pt>
                <c:pt idx="199">
                  <c:v>1.1910608267574658</c:v>
                </c:pt>
                <c:pt idx="200">
                  <c:v>1.1910608267574658</c:v>
                </c:pt>
                <c:pt idx="201">
                  <c:v>1.1910608267574658</c:v>
                </c:pt>
                <c:pt idx="202">
                  <c:v>1.1910608267574658</c:v>
                </c:pt>
                <c:pt idx="203">
                  <c:v>1.1910608267574658</c:v>
                </c:pt>
                <c:pt idx="204">
                  <c:v>1.1910608267574658</c:v>
                </c:pt>
                <c:pt idx="205">
                  <c:v>1.1910608267574658</c:v>
                </c:pt>
                <c:pt idx="206">
                  <c:v>1.1910608267574658</c:v>
                </c:pt>
                <c:pt idx="207">
                  <c:v>1.1910608267574658</c:v>
                </c:pt>
                <c:pt idx="208">
                  <c:v>1.1910608267574658</c:v>
                </c:pt>
                <c:pt idx="209">
                  <c:v>1.1910608267574658</c:v>
                </c:pt>
                <c:pt idx="210">
                  <c:v>1.1910608267574658</c:v>
                </c:pt>
                <c:pt idx="211">
                  <c:v>1.1910608267574658</c:v>
                </c:pt>
                <c:pt idx="212">
                  <c:v>1.1910608267574658</c:v>
                </c:pt>
                <c:pt idx="213">
                  <c:v>1.1910608267574658</c:v>
                </c:pt>
                <c:pt idx="214">
                  <c:v>1.1910608267574658</c:v>
                </c:pt>
                <c:pt idx="215">
                  <c:v>1.1910608267574658</c:v>
                </c:pt>
                <c:pt idx="216">
                  <c:v>1.1910608267574658</c:v>
                </c:pt>
                <c:pt idx="217">
                  <c:v>1.1910608267574658</c:v>
                </c:pt>
                <c:pt idx="218">
                  <c:v>1.1910608267574658</c:v>
                </c:pt>
                <c:pt idx="219">
                  <c:v>1.1910608267574658</c:v>
                </c:pt>
                <c:pt idx="220">
                  <c:v>1.1910608267574658</c:v>
                </c:pt>
                <c:pt idx="221">
                  <c:v>1.1910608267574658</c:v>
                </c:pt>
                <c:pt idx="222">
                  <c:v>1.1910608267574658</c:v>
                </c:pt>
                <c:pt idx="223">
                  <c:v>1.1910608267574658</c:v>
                </c:pt>
                <c:pt idx="224">
                  <c:v>1.1910608267574658</c:v>
                </c:pt>
                <c:pt idx="225">
                  <c:v>1.1910608267574658</c:v>
                </c:pt>
                <c:pt idx="226">
                  <c:v>1.1910608267574658</c:v>
                </c:pt>
                <c:pt idx="227">
                  <c:v>1.1910608267574658</c:v>
                </c:pt>
                <c:pt idx="228">
                  <c:v>1.1910608267574658</c:v>
                </c:pt>
                <c:pt idx="229">
                  <c:v>1.1910608267574658</c:v>
                </c:pt>
                <c:pt idx="230">
                  <c:v>1.1910608267574658</c:v>
                </c:pt>
                <c:pt idx="231">
                  <c:v>1.1910608267574658</c:v>
                </c:pt>
                <c:pt idx="232">
                  <c:v>1.1910608267574658</c:v>
                </c:pt>
                <c:pt idx="233">
                  <c:v>1.1910608267574658</c:v>
                </c:pt>
                <c:pt idx="234">
                  <c:v>1.1910608267574658</c:v>
                </c:pt>
                <c:pt idx="235">
                  <c:v>1.1910608267574658</c:v>
                </c:pt>
                <c:pt idx="236">
                  <c:v>3.0281848543081331</c:v>
                </c:pt>
                <c:pt idx="237">
                  <c:v>3.0281848543081331</c:v>
                </c:pt>
                <c:pt idx="238">
                  <c:v>3.0281848543081331</c:v>
                </c:pt>
                <c:pt idx="239">
                  <c:v>3.0281848543081331</c:v>
                </c:pt>
                <c:pt idx="240">
                  <c:v>3.0281848543081331</c:v>
                </c:pt>
                <c:pt idx="241">
                  <c:v>3.0281848543081331</c:v>
                </c:pt>
                <c:pt idx="242">
                  <c:v>3.0281848543081331</c:v>
                </c:pt>
                <c:pt idx="243">
                  <c:v>3.0281848543081331</c:v>
                </c:pt>
                <c:pt idx="244">
                  <c:v>3.0281848543081331</c:v>
                </c:pt>
                <c:pt idx="245">
                  <c:v>3.0281848543081331</c:v>
                </c:pt>
                <c:pt idx="246">
                  <c:v>3.0281848543081331</c:v>
                </c:pt>
                <c:pt idx="247">
                  <c:v>3.0281848543081331</c:v>
                </c:pt>
                <c:pt idx="248">
                  <c:v>3.0281848543081331</c:v>
                </c:pt>
                <c:pt idx="249">
                  <c:v>3.0281848543081331</c:v>
                </c:pt>
                <c:pt idx="250">
                  <c:v>3.0281848543081331</c:v>
                </c:pt>
                <c:pt idx="251">
                  <c:v>3.0281848543081331</c:v>
                </c:pt>
                <c:pt idx="252">
                  <c:v>3.0281848543081331</c:v>
                </c:pt>
                <c:pt idx="253">
                  <c:v>3.0281848543081331</c:v>
                </c:pt>
                <c:pt idx="254">
                  <c:v>3.0281848543081331</c:v>
                </c:pt>
                <c:pt idx="255">
                  <c:v>3.0281848543081331</c:v>
                </c:pt>
                <c:pt idx="256">
                  <c:v>3.0281848543081331</c:v>
                </c:pt>
                <c:pt idx="257">
                  <c:v>3.0281848543081331</c:v>
                </c:pt>
                <c:pt idx="258">
                  <c:v>3.0281848543081331</c:v>
                </c:pt>
                <c:pt idx="259">
                  <c:v>3.0281848543081331</c:v>
                </c:pt>
                <c:pt idx="260">
                  <c:v>3.0281848543081331</c:v>
                </c:pt>
                <c:pt idx="261">
                  <c:v>3.0281848543081331</c:v>
                </c:pt>
                <c:pt idx="262">
                  <c:v>3.0281848543081331</c:v>
                </c:pt>
                <c:pt idx="263">
                  <c:v>3.0281848543081331</c:v>
                </c:pt>
                <c:pt idx="264">
                  <c:v>3.0281848543081331</c:v>
                </c:pt>
                <c:pt idx="265">
                  <c:v>3.0281848543081331</c:v>
                </c:pt>
                <c:pt idx="266">
                  <c:v>3.0281848543081331</c:v>
                </c:pt>
                <c:pt idx="267">
                  <c:v>3.0281848543081331</c:v>
                </c:pt>
                <c:pt idx="268">
                  <c:v>3.0281848543081331</c:v>
                </c:pt>
                <c:pt idx="269">
                  <c:v>3.0281848543081331</c:v>
                </c:pt>
                <c:pt idx="270">
                  <c:v>3.0281848543081331</c:v>
                </c:pt>
                <c:pt idx="271">
                  <c:v>3.0281848543081331</c:v>
                </c:pt>
                <c:pt idx="272">
                  <c:v>3.0281848543081331</c:v>
                </c:pt>
                <c:pt idx="273">
                  <c:v>3.0281848543081331</c:v>
                </c:pt>
                <c:pt idx="274">
                  <c:v>3.0281848543081331</c:v>
                </c:pt>
                <c:pt idx="275">
                  <c:v>3.0281848543081331</c:v>
                </c:pt>
                <c:pt idx="276">
                  <c:v>3.0281848543081331</c:v>
                </c:pt>
                <c:pt idx="277">
                  <c:v>3.0281848543081331</c:v>
                </c:pt>
                <c:pt idx="278">
                  <c:v>3.0281848543081331</c:v>
                </c:pt>
                <c:pt idx="279">
                  <c:v>3.0281848543081331</c:v>
                </c:pt>
                <c:pt idx="280">
                  <c:v>3.0281848543081331</c:v>
                </c:pt>
                <c:pt idx="281">
                  <c:v>3.0281848543081331</c:v>
                </c:pt>
                <c:pt idx="282">
                  <c:v>3.0281848543081331</c:v>
                </c:pt>
                <c:pt idx="283">
                  <c:v>3.0281848543081331</c:v>
                </c:pt>
                <c:pt idx="284">
                  <c:v>3.0281848543081331</c:v>
                </c:pt>
                <c:pt idx="285">
                  <c:v>3.0281848543081331</c:v>
                </c:pt>
                <c:pt idx="286">
                  <c:v>3.0281848543081331</c:v>
                </c:pt>
                <c:pt idx="287">
                  <c:v>3.0281848543081331</c:v>
                </c:pt>
                <c:pt idx="288">
                  <c:v>3.0281848543081331</c:v>
                </c:pt>
                <c:pt idx="289">
                  <c:v>3.0281848543081331</c:v>
                </c:pt>
                <c:pt idx="290">
                  <c:v>3.0281848543081331</c:v>
                </c:pt>
                <c:pt idx="291">
                  <c:v>3.0281848543081331</c:v>
                </c:pt>
                <c:pt idx="292">
                  <c:v>3.0281848543081331</c:v>
                </c:pt>
                <c:pt idx="293">
                  <c:v>3.0281848543081331</c:v>
                </c:pt>
                <c:pt idx="294">
                  <c:v>1.1747256665753205</c:v>
                </c:pt>
                <c:pt idx="295">
                  <c:v>1.1747256665753205</c:v>
                </c:pt>
                <c:pt idx="296">
                  <c:v>1.1747256665753205</c:v>
                </c:pt>
                <c:pt idx="297">
                  <c:v>1.1747256665753205</c:v>
                </c:pt>
                <c:pt idx="298">
                  <c:v>1.1747256665753205</c:v>
                </c:pt>
                <c:pt idx="299">
                  <c:v>1.1747256665753205</c:v>
                </c:pt>
                <c:pt idx="300">
                  <c:v>1.1747256665753205</c:v>
                </c:pt>
                <c:pt idx="301">
                  <c:v>1.1747256665753205</c:v>
                </c:pt>
                <c:pt idx="302">
                  <c:v>1.1747256665753205</c:v>
                </c:pt>
                <c:pt idx="303">
                  <c:v>1.1747256665753205</c:v>
                </c:pt>
                <c:pt idx="304">
                  <c:v>1.1747256665753205</c:v>
                </c:pt>
                <c:pt idx="305">
                  <c:v>1.1747256665753205</c:v>
                </c:pt>
                <c:pt idx="306">
                  <c:v>1.1747256665753205</c:v>
                </c:pt>
                <c:pt idx="307">
                  <c:v>1.1747256665753205</c:v>
                </c:pt>
                <c:pt idx="308">
                  <c:v>1.1747256665753205</c:v>
                </c:pt>
                <c:pt idx="309">
                  <c:v>1.1747256665753205</c:v>
                </c:pt>
                <c:pt idx="310">
                  <c:v>1.0869486202729304</c:v>
                </c:pt>
                <c:pt idx="311">
                  <c:v>1.0869486202729304</c:v>
                </c:pt>
                <c:pt idx="312">
                  <c:v>1.0869486202729304</c:v>
                </c:pt>
                <c:pt idx="313">
                  <c:v>1.0869486202729304</c:v>
                </c:pt>
                <c:pt idx="314">
                  <c:v>1.0869486202729304</c:v>
                </c:pt>
                <c:pt idx="315">
                  <c:v>1.8657648196498773</c:v>
                </c:pt>
                <c:pt idx="316">
                  <c:v>1.8657648196498773</c:v>
                </c:pt>
                <c:pt idx="317">
                  <c:v>1.8657648196498773</c:v>
                </c:pt>
                <c:pt idx="318">
                  <c:v>1.8657648196498773</c:v>
                </c:pt>
                <c:pt idx="319">
                  <c:v>1.8657648196498773</c:v>
                </c:pt>
                <c:pt idx="320">
                  <c:v>1.8657648196498773</c:v>
                </c:pt>
                <c:pt idx="321">
                  <c:v>1.8657648196498773</c:v>
                </c:pt>
                <c:pt idx="322">
                  <c:v>1.8657648196498773</c:v>
                </c:pt>
                <c:pt idx="323">
                  <c:v>1.8657648196498773</c:v>
                </c:pt>
                <c:pt idx="324">
                  <c:v>1.8657648196498773</c:v>
                </c:pt>
                <c:pt idx="325">
                  <c:v>1.8657648196498773</c:v>
                </c:pt>
                <c:pt idx="326">
                  <c:v>1.8657648196498773</c:v>
                </c:pt>
                <c:pt idx="327">
                  <c:v>1.8657648196498773</c:v>
                </c:pt>
                <c:pt idx="328">
                  <c:v>1.8657648196498773</c:v>
                </c:pt>
                <c:pt idx="329">
                  <c:v>1.8657648196498773</c:v>
                </c:pt>
                <c:pt idx="330">
                  <c:v>1.8657648196498773</c:v>
                </c:pt>
                <c:pt idx="331">
                  <c:v>1.8657648196498773</c:v>
                </c:pt>
                <c:pt idx="332">
                  <c:v>1.8657648196498773</c:v>
                </c:pt>
                <c:pt idx="333">
                  <c:v>1.8657648196498773</c:v>
                </c:pt>
                <c:pt idx="334">
                  <c:v>1.8657648196498773</c:v>
                </c:pt>
                <c:pt idx="335">
                  <c:v>1.8657648196498773</c:v>
                </c:pt>
                <c:pt idx="336">
                  <c:v>1.8657648196498773</c:v>
                </c:pt>
                <c:pt idx="337">
                  <c:v>1.8657648196498773</c:v>
                </c:pt>
                <c:pt idx="338">
                  <c:v>1.8657648196498773</c:v>
                </c:pt>
                <c:pt idx="339">
                  <c:v>1.8657648196498773</c:v>
                </c:pt>
                <c:pt idx="340">
                  <c:v>1.8657648196498773</c:v>
                </c:pt>
                <c:pt idx="341">
                  <c:v>1.8657648196498773</c:v>
                </c:pt>
                <c:pt idx="342">
                  <c:v>1.8657648196498773</c:v>
                </c:pt>
                <c:pt idx="343">
                  <c:v>1.8657648196498773</c:v>
                </c:pt>
                <c:pt idx="344">
                  <c:v>1.8657648196498773</c:v>
                </c:pt>
                <c:pt idx="345">
                  <c:v>1.8657648196498773</c:v>
                </c:pt>
                <c:pt idx="346">
                  <c:v>1.8657648196498773</c:v>
                </c:pt>
                <c:pt idx="347">
                  <c:v>1.8657648196498773</c:v>
                </c:pt>
                <c:pt idx="348">
                  <c:v>1.8657648196498773</c:v>
                </c:pt>
                <c:pt idx="349">
                  <c:v>1.8657648196498773</c:v>
                </c:pt>
                <c:pt idx="350">
                  <c:v>1.8657648196498773</c:v>
                </c:pt>
                <c:pt idx="351">
                  <c:v>1.8657648196498773</c:v>
                </c:pt>
                <c:pt idx="352">
                  <c:v>1.8657648196498773</c:v>
                </c:pt>
                <c:pt idx="353">
                  <c:v>1.8657648196498773</c:v>
                </c:pt>
                <c:pt idx="354">
                  <c:v>1.8657648196498773</c:v>
                </c:pt>
                <c:pt idx="355">
                  <c:v>1.8657648196498773</c:v>
                </c:pt>
                <c:pt idx="356">
                  <c:v>1.8657648196498773</c:v>
                </c:pt>
                <c:pt idx="357">
                  <c:v>1.8657648196498773</c:v>
                </c:pt>
                <c:pt idx="358">
                  <c:v>1.8657648196498773</c:v>
                </c:pt>
                <c:pt idx="359">
                  <c:v>1.8657648196498773</c:v>
                </c:pt>
                <c:pt idx="360">
                  <c:v>1.8657648196498773</c:v>
                </c:pt>
                <c:pt idx="361">
                  <c:v>1.8657648196498773</c:v>
                </c:pt>
                <c:pt idx="362">
                  <c:v>1.8657648196498773</c:v>
                </c:pt>
                <c:pt idx="363">
                  <c:v>1.8657648196498773</c:v>
                </c:pt>
                <c:pt idx="364">
                  <c:v>1.8657648196498773</c:v>
                </c:pt>
                <c:pt idx="365">
                  <c:v>1.8657648196498773</c:v>
                </c:pt>
                <c:pt idx="366">
                  <c:v>1.8657648196498773</c:v>
                </c:pt>
                <c:pt idx="367">
                  <c:v>1.8657648196498773</c:v>
                </c:pt>
                <c:pt idx="368">
                  <c:v>1.8657648196498773</c:v>
                </c:pt>
                <c:pt idx="369">
                  <c:v>1.8657648196498773</c:v>
                </c:pt>
                <c:pt idx="370">
                  <c:v>1.8657648196498773</c:v>
                </c:pt>
                <c:pt idx="371">
                  <c:v>1.8657648196498773</c:v>
                </c:pt>
                <c:pt idx="372">
                  <c:v>1.8657648196498773</c:v>
                </c:pt>
                <c:pt idx="373">
                  <c:v>1.8657648196498773</c:v>
                </c:pt>
                <c:pt idx="374">
                  <c:v>1.8657648196498773</c:v>
                </c:pt>
                <c:pt idx="375">
                  <c:v>1.8657648196498773</c:v>
                </c:pt>
                <c:pt idx="376">
                  <c:v>1.8657648196498773</c:v>
                </c:pt>
                <c:pt idx="377">
                  <c:v>1.8657648196498773</c:v>
                </c:pt>
                <c:pt idx="378">
                  <c:v>1.8657648196498773</c:v>
                </c:pt>
                <c:pt idx="379">
                  <c:v>1.8657648196498773</c:v>
                </c:pt>
                <c:pt idx="380">
                  <c:v>1.8657648196498773</c:v>
                </c:pt>
                <c:pt idx="381">
                  <c:v>1.8657648196498773</c:v>
                </c:pt>
                <c:pt idx="382">
                  <c:v>1.8657648196498773</c:v>
                </c:pt>
                <c:pt idx="383">
                  <c:v>1.8657648196498773</c:v>
                </c:pt>
                <c:pt idx="384">
                  <c:v>1.8657648196498773</c:v>
                </c:pt>
                <c:pt idx="385">
                  <c:v>1.8657648196498773</c:v>
                </c:pt>
                <c:pt idx="386">
                  <c:v>1.8657648196498773</c:v>
                </c:pt>
                <c:pt idx="387">
                  <c:v>1.8657648196498773</c:v>
                </c:pt>
                <c:pt idx="388">
                  <c:v>1.8657648196498773</c:v>
                </c:pt>
                <c:pt idx="389">
                  <c:v>1.8657648196498773</c:v>
                </c:pt>
                <c:pt idx="390">
                  <c:v>1.8657648196498773</c:v>
                </c:pt>
                <c:pt idx="391">
                  <c:v>1.8657648196498773</c:v>
                </c:pt>
                <c:pt idx="392">
                  <c:v>1.8657648196498773</c:v>
                </c:pt>
                <c:pt idx="393">
                  <c:v>1.8657648196498773</c:v>
                </c:pt>
                <c:pt idx="394">
                  <c:v>1.8657648196498773</c:v>
                </c:pt>
                <c:pt idx="395">
                  <c:v>1.8657648196498773</c:v>
                </c:pt>
                <c:pt idx="396">
                  <c:v>1.8657648196498773</c:v>
                </c:pt>
                <c:pt idx="397">
                  <c:v>1.8657648196498773</c:v>
                </c:pt>
                <c:pt idx="398">
                  <c:v>1.8657648196498773</c:v>
                </c:pt>
                <c:pt idx="399">
                  <c:v>1.8657648196498773</c:v>
                </c:pt>
                <c:pt idx="400">
                  <c:v>1.8657648196498773</c:v>
                </c:pt>
                <c:pt idx="401">
                  <c:v>1.8657648196498773</c:v>
                </c:pt>
                <c:pt idx="402">
                  <c:v>1.8657648196498773</c:v>
                </c:pt>
                <c:pt idx="403">
                  <c:v>1.8657648196498773</c:v>
                </c:pt>
                <c:pt idx="404">
                  <c:v>1.8657648196498773</c:v>
                </c:pt>
                <c:pt idx="405">
                  <c:v>1.8657648196498773</c:v>
                </c:pt>
                <c:pt idx="406">
                  <c:v>1.8657648196498773</c:v>
                </c:pt>
                <c:pt idx="407">
                  <c:v>1.8657648196498773</c:v>
                </c:pt>
                <c:pt idx="408">
                  <c:v>1.8657648196498773</c:v>
                </c:pt>
                <c:pt idx="409">
                  <c:v>1.8657648196498773</c:v>
                </c:pt>
                <c:pt idx="410">
                  <c:v>1.8657648196498773</c:v>
                </c:pt>
                <c:pt idx="411">
                  <c:v>1.8657648196498773</c:v>
                </c:pt>
                <c:pt idx="412">
                  <c:v>1.8657648196498773</c:v>
                </c:pt>
                <c:pt idx="413">
                  <c:v>1.8657648196498773</c:v>
                </c:pt>
                <c:pt idx="414">
                  <c:v>1.8657648196498773</c:v>
                </c:pt>
                <c:pt idx="415">
                  <c:v>1.8657648196498773</c:v>
                </c:pt>
                <c:pt idx="416">
                  <c:v>1.8657648196498773</c:v>
                </c:pt>
                <c:pt idx="417">
                  <c:v>1.8657648196498773</c:v>
                </c:pt>
                <c:pt idx="418">
                  <c:v>1.8657648196498773</c:v>
                </c:pt>
              </c:numCache>
            </c:numRef>
          </c:val>
          <c:smooth val="0"/>
          <c:extLst>
            <c:ext xmlns:c16="http://schemas.microsoft.com/office/drawing/2014/chart" uri="{C3380CC4-5D6E-409C-BE32-E72D297353CC}">
              <c16:uniqueId val="{00000001-C9CA-4D9B-8754-B3F2C1FBE580}"/>
            </c:ext>
          </c:extLst>
        </c:ser>
        <c:ser>
          <c:idx val="7"/>
          <c:order val="2"/>
          <c:tx>
            <c:v>IGV</c:v>
          </c:tx>
          <c:spPr>
            <a:ln w="28575" cap="rnd">
              <a:solidFill>
                <a:schemeClr val="accent4">
                  <a:lumMod val="60000"/>
                  <a:lumOff val="40000"/>
                </a:schemeClr>
              </a:solidFill>
              <a:prstDash val="solid"/>
              <a:round/>
            </a:ln>
            <a:effectLst/>
          </c:spPr>
          <c:marker>
            <c:symbol val="none"/>
          </c:marker>
          <c:val>
            <c:numRef>
              <c:f>'2025-Q2'!$CS$4:$CS$422</c:f>
              <c:numCache>
                <c:formatCode>0.00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2.420242024202421</c:v>
                </c:pt>
                <c:pt idx="153">
                  <c:v>2.420242024202421</c:v>
                </c:pt>
                <c:pt idx="154">
                  <c:v>2.420242024202421</c:v>
                </c:pt>
                <c:pt idx="155">
                  <c:v>2.420242024202421</c:v>
                </c:pt>
                <c:pt idx="156">
                  <c:v>2.420242024202421</c:v>
                </c:pt>
                <c:pt idx="157">
                  <c:v>2.420242024202421</c:v>
                </c:pt>
                <c:pt idx="158">
                  <c:v>2.420242024202421</c:v>
                </c:pt>
                <c:pt idx="159">
                  <c:v>2.420242024202421</c:v>
                </c:pt>
                <c:pt idx="160">
                  <c:v>2.420242024202421</c:v>
                </c:pt>
                <c:pt idx="161">
                  <c:v>2.420242024202421</c:v>
                </c:pt>
                <c:pt idx="162">
                  <c:v>2.420242024202421</c:v>
                </c:pt>
                <c:pt idx="163">
                  <c:v>2.420242024202421</c:v>
                </c:pt>
                <c:pt idx="164">
                  <c:v>2.420242024202421</c:v>
                </c:pt>
                <c:pt idx="165">
                  <c:v>2.420242024202421</c:v>
                </c:pt>
                <c:pt idx="166">
                  <c:v>2.420242024202421</c:v>
                </c:pt>
                <c:pt idx="167">
                  <c:v>2.420242024202421</c:v>
                </c:pt>
                <c:pt idx="168">
                  <c:v>2.420242024202421</c:v>
                </c:pt>
                <c:pt idx="169">
                  <c:v>2.420242024202421</c:v>
                </c:pt>
                <c:pt idx="170">
                  <c:v>2.420242024202421</c:v>
                </c:pt>
                <c:pt idx="171">
                  <c:v>2.420242024202421</c:v>
                </c:pt>
                <c:pt idx="172">
                  <c:v>2.420242024202421</c:v>
                </c:pt>
                <c:pt idx="173">
                  <c:v>2.420242024202421</c:v>
                </c:pt>
                <c:pt idx="174">
                  <c:v>2.420242024202421</c:v>
                </c:pt>
                <c:pt idx="175">
                  <c:v>2.420242024202421</c:v>
                </c:pt>
                <c:pt idx="176">
                  <c:v>2.420242024202421</c:v>
                </c:pt>
                <c:pt idx="177">
                  <c:v>2.420242024202421</c:v>
                </c:pt>
                <c:pt idx="178">
                  <c:v>2.420242024202421</c:v>
                </c:pt>
                <c:pt idx="179">
                  <c:v>2.420242024202421</c:v>
                </c:pt>
                <c:pt idx="180">
                  <c:v>2.420242024202421</c:v>
                </c:pt>
                <c:pt idx="181">
                  <c:v>2.420242024202421</c:v>
                </c:pt>
                <c:pt idx="182">
                  <c:v>2.420242024202421</c:v>
                </c:pt>
                <c:pt idx="183">
                  <c:v>2.420242024202421</c:v>
                </c:pt>
                <c:pt idx="184">
                  <c:v>2.420242024202421</c:v>
                </c:pt>
                <c:pt idx="185">
                  <c:v>2.420242024202421</c:v>
                </c:pt>
                <c:pt idx="186">
                  <c:v>2.3249620476559536</c:v>
                </c:pt>
                <c:pt idx="187">
                  <c:v>2.3249620476559536</c:v>
                </c:pt>
                <c:pt idx="188">
                  <c:v>2.3249620476559536</c:v>
                </c:pt>
                <c:pt idx="189">
                  <c:v>2.3249620476559536</c:v>
                </c:pt>
                <c:pt idx="190">
                  <c:v>2.3249620476559536</c:v>
                </c:pt>
                <c:pt idx="191">
                  <c:v>2.3249620476559536</c:v>
                </c:pt>
                <c:pt idx="192">
                  <c:v>2.3249620476559536</c:v>
                </c:pt>
                <c:pt idx="193">
                  <c:v>4.2989225684455388</c:v>
                </c:pt>
                <c:pt idx="194">
                  <c:v>4.2989225684455388</c:v>
                </c:pt>
                <c:pt idx="195">
                  <c:v>4.2989225684455388</c:v>
                </c:pt>
                <c:pt idx="196">
                  <c:v>4.2989225684455388</c:v>
                </c:pt>
                <c:pt idx="197">
                  <c:v>4.2989225684455388</c:v>
                </c:pt>
                <c:pt idx="198">
                  <c:v>4.2989225684455388</c:v>
                </c:pt>
                <c:pt idx="199">
                  <c:v>4.2989225684455388</c:v>
                </c:pt>
                <c:pt idx="200">
                  <c:v>4.2989225684455388</c:v>
                </c:pt>
                <c:pt idx="201">
                  <c:v>4.2989225684455388</c:v>
                </c:pt>
                <c:pt idx="202">
                  <c:v>4.2989225684455388</c:v>
                </c:pt>
                <c:pt idx="203">
                  <c:v>4.2989225684455388</c:v>
                </c:pt>
                <c:pt idx="204">
                  <c:v>4.2989225684455388</c:v>
                </c:pt>
                <c:pt idx="205">
                  <c:v>4.2989225684455388</c:v>
                </c:pt>
                <c:pt idx="206">
                  <c:v>4.2989225684455388</c:v>
                </c:pt>
                <c:pt idx="207">
                  <c:v>4.2989225684455388</c:v>
                </c:pt>
                <c:pt idx="208">
                  <c:v>4.2989225684455388</c:v>
                </c:pt>
                <c:pt idx="209">
                  <c:v>4.2989225684455388</c:v>
                </c:pt>
                <c:pt idx="210">
                  <c:v>4.2989225684455388</c:v>
                </c:pt>
                <c:pt idx="211">
                  <c:v>4.2989225684455388</c:v>
                </c:pt>
                <c:pt idx="212">
                  <c:v>4.2989225684455388</c:v>
                </c:pt>
                <c:pt idx="213">
                  <c:v>4.2989225684455388</c:v>
                </c:pt>
                <c:pt idx="214">
                  <c:v>4.2989225684455388</c:v>
                </c:pt>
                <c:pt idx="215">
                  <c:v>4.2989225684455388</c:v>
                </c:pt>
                <c:pt idx="216">
                  <c:v>4.2989225684455388</c:v>
                </c:pt>
                <c:pt idx="217">
                  <c:v>4.2989225684455388</c:v>
                </c:pt>
                <c:pt idx="218">
                  <c:v>4.2989225684455388</c:v>
                </c:pt>
                <c:pt idx="219">
                  <c:v>4.2989225684455388</c:v>
                </c:pt>
                <c:pt idx="220">
                  <c:v>4.2989225684455388</c:v>
                </c:pt>
                <c:pt idx="221">
                  <c:v>4.2989225684455388</c:v>
                </c:pt>
                <c:pt idx="222">
                  <c:v>4.2989225684455388</c:v>
                </c:pt>
                <c:pt idx="223">
                  <c:v>4.2989225684455388</c:v>
                </c:pt>
                <c:pt idx="224">
                  <c:v>4.2989225684455388</c:v>
                </c:pt>
                <c:pt idx="225">
                  <c:v>3.8915503172194676</c:v>
                </c:pt>
                <c:pt idx="226">
                  <c:v>3.8915503172194676</c:v>
                </c:pt>
                <c:pt idx="227">
                  <c:v>3.8915503172194676</c:v>
                </c:pt>
                <c:pt idx="228">
                  <c:v>3.8915503172194676</c:v>
                </c:pt>
                <c:pt idx="229">
                  <c:v>3.8915503172194676</c:v>
                </c:pt>
                <c:pt idx="230">
                  <c:v>4.6135245886817966</c:v>
                </c:pt>
                <c:pt idx="231">
                  <c:v>4.6135245886817966</c:v>
                </c:pt>
                <c:pt idx="232">
                  <c:v>4.6135245886817966</c:v>
                </c:pt>
                <c:pt idx="233">
                  <c:v>4.6135245886817966</c:v>
                </c:pt>
                <c:pt idx="234">
                  <c:v>4.6135245886817966</c:v>
                </c:pt>
                <c:pt idx="235">
                  <c:v>4.6135245886817966</c:v>
                </c:pt>
                <c:pt idx="236">
                  <c:v>4.6135245886817966</c:v>
                </c:pt>
                <c:pt idx="237">
                  <c:v>4.6135245886817966</c:v>
                </c:pt>
                <c:pt idx="238">
                  <c:v>4.6135245886817966</c:v>
                </c:pt>
                <c:pt idx="239">
                  <c:v>4.6135245886817966</c:v>
                </c:pt>
                <c:pt idx="240">
                  <c:v>4.6135245886817966</c:v>
                </c:pt>
                <c:pt idx="241">
                  <c:v>4.6135245886817966</c:v>
                </c:pt>
                <c:pt idx="242">
                  <c:v>4.6135245886817966</c:v>
                </c:pt>
                <c:pt idx="243">
                  <c:v>4.6135245886817966</c:v>
                </c:pt>
                <c:pt idx="244">
                  <c:v>4.6135245886817966</c:v>
                </c:pt>
                <c:pt idx="245">
                  <c:v>4.6135245886817966</c:v>
                </c:pt>
                <c:pt idx="246">
                  <c:v>4.6135245886817966</c:v>
                </c:pt>
                <c:pt idx="247">
                  <c:v>4.6135245886817966</c:v>
                </c:pt>
                <c:pt idx="248">
                  <c:v>4.6135245886817966</c:v>
                </c:pt>
                <c:pt idx="249">
                  <c:v>4.6135245886817966</c:v>
                </c:pt>
                <c:pt idx="250">
                  <c:v>4.6135245886817966</c:v>
                </c:pt>
                <c:pt idx="251">
                  <c:v>4.6135245886817966</c:v>
                </c:pt>
                <c:pt idx="252">
                  <c:v>4.6135245886817966</c:v>
                </c:pt>
                <c:pt idx="253">
                  <c:v>4.6135245886817966</c:v>
                </c:pt>
                <c:pt idx="254">
                  <c:v>4.6135245886817966</c:v>
                </c:pt>
                <c:pt idx="255">
                  <c:v>4.6135245886817966</c:v>
                </c:pt>
                <c:pt idx="256">
                  <c:v>4.6135245886817966</c:v>
                </c:pt>
                <c:pt idx="257">
                  <c:v>4.6135245886817966</c:v>
                </c:pt>
                <c:pt idx="258">
                  <c:v>4.6135245886817966</c:v>
                </c:pt>
                <c:pt idx="259">
                  <c:v>4.6135245886817966</c:v>
                </c:pt>
                <c:pt idx="260">
                  <c:v>4.6135245886817966</c:v>
                </c:pt>
                <c:pt idx="261">
                  <c:v>4.6135245886817966</c:v>
                </c:pt>
                <c:pt idx="262">
                  <c:v>4.6135245886817966</c:v>
                </c:pt>
                <c:pt idx="263">
                  <c:v>4.6135245886817966</c:v>
                </c:pt>
                <c:pt idx="264">
                  <c:v>4.6135245886817966</c:v>
                </c:pt>
                <c:pt idx="265">
                  <c:v>4.6135245886817966</c:v>
                </c:pt>
                <c:pt idx="266">
                  <c:v>4.6135245886817966</c:v>
                </c:pt>
                <c:pt idx="267">
                  <c:v>4.6135245886817966</c:v>
                </c:pt>
                <c:pt idx="268">
                  <c:v>4.6135245886817966</c:v>
                </c:pt>
                <c:pt idx="269">
                  <c:v>4.6135245886817966</c:v>
                </c:pt>
                <c:pt idx="270">
                  <c:v>4.6135245886817966</c:v>
                </c:pt>
                <c:pt idx="271">
                  <c:v>4.6135245886817966</c:v>
                </c:pt>
                <c:pt idx="272">
                  <c:v>4.7759339232765612</c:v>
                </c:pt>
                <c:pt idx="273">
                  <c:v>4.7759339232765612</c:v>
                </c:pt>
                <c:pt idx="274">
                  <c:v>4.1716872551039836</c:v>
                </c:pt>
                <c:pt idx="275">
                  <c:v>4.1716872551039836</c:v>
                </c:pt>
                <c:pt idx="276">
                  <c:v>4.1716872551039836</c:v>
                </c:pt>
                <c:pt idx="277">
                  <c:v>4.1716872551039836</c:v>
                </c:pt>
                <c:pt idx="278">
                  <c:v>4.5068274311254326</c:v>
                </c:pt>
                <c:pt idx="279">
                  <c:v>4.5068274311254326</c:v>
                </c:pt>
                <c:pt idx="280">
                  <c:v>4.5068274311254326</c:v>
                </c:pt>
                <c:pt idx="281">
                  <c:v>4.5068274311254326</c:v>
                </c:pt>
                <c:pt idx="282">
                  <c:v>4.5068274311254326</c:v>
                </c:pt>
                <c:pt idx="283">
                  <c:v>3.1829877686781769</c:v>
                </c:pt>
                <c:pt idx="284">
                  <c:v>3.1829877686781769</c:v>
                </c:pt>
                <c:pt idx="285">
                  <c:v>2.3600225017004668</c:v>
                </c:pt>
                <c:pt idx="286">
                  <c:v>2.3600225017004668</c:v>
                </c:pt>
                <c:pt idx="287">
                  <c:v>2.3600225017004668</c:v>
                </c:pt>
                <c:pt idx="288">
                  <c:v>2.3600225017004668</c:v>
                </c:pt>
                <c:pt idx="289">
                  <c:v>2.3600225017004668</c:v>
                </c:pt>
                <c:pt idx="290">
                  <c:v>2.3600225017004668</c:v>
                </c:pt>
                <c:pt idx="291">
                  <c:v>2.3600225017004668</c:v>
                </c:pt>
                <c:pt idx="292">
                  <c:v>2.3600225017004668</c:v>
                </c:pt>
                <c:pt idx="293">
                  <c:v>2.3600225017004668</c:v>
                </c:pt>
                <c:pt idx="294">
                  <c:v>2.3600225017004668</c:v>
                </c:pt>
                <c:pt idx="295">
                  <c:v>2.3600225017004668</c:v>
                </c:pt>
                <c:pt idx="296">
                  <c:v>2.3600225017004668</c:v>
                </c:pt>
                <c:pt idx="297">
                  <c:v>2.3600225017004668</c:v>
                </c:pt>
                <c:pt idx="298">
                  <c:v>2.3600225017004668</c:v>
                </c:pt>
                <c:pt idx="299">
                  <c:v>2.3600225017004668</c:v>
                </c:pt>
                <c:pt idx="300">
                  <c:v>2.3600225017004668</c:v>
                </c:pt>
                <c:pt idx="301">
                  <c:v>2.3600225017004668</c:v>
                </c:pt>
                <c:pt idx="302">
                  <c:v>2.3600225017004668</c:v>
                </c:pt>
                <c:pt idx="303">
                  <c:v>2.3600225017004668</c:v>
                </c:pt>
                <c:pt idx="304">
                  <c:v>2.3600225017004668</c:v>
                </c:pt>
                <c:pt idx="305">
                  <c:v>2.3600225017004668</c:v>
                </c:pt>
                <c:pt idx="306">
                  <c:v>2.3600225017004668</c:v>
                </c:pt>
                <c:pt idx="307">
                  <c:v>2.3600225017004668</c:v>
                </c:pt>
                <c:pt idx="308">
                  <c:v>2.3600225017004668</c:v>
                </c:pt>
                <c:pt idx="309">
                  <c:v>2.3600225017004668</c:v>
                </c:pt>
                <c:pt idx="310">
                  <c:v>2.3600225017004668</c:v>
                </c:pt>
                <c:pt idx="311">
                  <c:v>2.3600225017004668</c:v>
                </c:pt>
                <c:pt idx="312">
                  <c:v>2.3600225017004668</c:v>
                </c:pt>
                <c:pt idx="313">
                  <c:v>2.3600225017004668</c:v>
                </c:pt>
                <c:pt idx="314">
                  <c:v>2.3600225017004668</c:v>
                </c:pt>
                <c:pt idx="315">
                  <c:v>2.3600225017004668</c:v>
                </c:pt>
                <c:pt idx="316">
                  <c:v>2.3600225017004668</c:v>
                </c:pt>
                <c:pt idx="317">
                  <c:v>2.3600225017004668</c:v>
                </c:pt>
                <c:pt idx="318">
                  <c:v>2.3600225017004668</c:v>
                </c:pt>
                <c:pt idx="319">
                  <c:v>2.3600225017004668</c:v>
                </c:pt>
                <c:pt idx="320">
                  <c:v>2.3600225017004668</c:v>
                </c:pt>
                <c:pt idx="321">
                  <c:v>2.3600225017004668</c:v>
                </c:pt>
                <c:pt idx="322">
                  <c:v>2.3600225017004668</c:v>
                </c:pt>
                <c:pt idx="323">
                  <c:v>2.3600225017004668</c:v>
                </c:pt>
                <c:pt idx="324">
                  <c:v>2.3600225017004668</c:v>
                </c:pt>
                <c:pt idx="325">
                  <c:v>2.3600225017004668</c:v>
                </c:pt>
                <c:pt idx="326">
                  <c:v>2.3600225017004668</c:v>
                </c:pt>
                <c:pt idx="327">
                  <c:v>2.3600225017004668</c:v>
                </c:pt>
                <c:pt idx="328">
                  <c:v>2.3600225017004668</c:v>
                </c:pt>
                <c:pt idx="329">
                  <c:v>2.3600225017004668</c:v>
                </c:pt>
                <c:pt idx="330">
                  <c:v>2.3600225017004668</c:v>
                </c:pt>
                <c:pt idx="331">
                  <c:v>2.3600225017004668</c:v>
                </c:pt>
                <c:pt idx="332">
                  <c:v>2.3600225017004668</c:v>
                </c:pt>
                <c:pt idx="333">
                  <c:v>2.3600225017004668</c:v>
                </c:pt>
                <c:pt idx="334">
                  <c:v>2.3600225017004668</c:v>
                </c:pt>
                <c:pt idx="335">
                  <c:v>2.3600225017004668</c:v>
                </c:pt>
                <c:pt idx="336">
                  <c:v>2.3600225017004668</c:v>
                </c:pt>
                <c:pt idx="337">
                  <c:v>2.3600225017004668</c:v>
                </c:pt>
                <c:pt idx="338">
                  <c:v>2.3600225017004668</c:v>
                </c:pt>
                <c:pt idx="339">
                  <c:v>2.3600225017004668</c:v>
                </c:pt>
                <c:pt idx="340">
                  <c:v>2.3600225017004668</c:v>
                </c:pt>
                <c:pt idx="341">
                  <c:v>2.3600225017004668</c:v>
                </c:pt>
                <c:pt idx="342">
                  <c:v>2.3600225017004668</c:v>
                </c:pt>
                <c:pt idx="343">
                  <c:v>2.3600225017004668</c:v>
                </c:pt>
                <c:pt idx="344">
                  <c:v>2.3600225017004668</c:v>
                </c:pt>
                <c:pt idx="345">
                  <c:v>2.3600225017004668</c:v>
                </c:pt>
                <c:pt idx="346">
                  <c:v>2.3600225017004668</c:v>
                </c:pt>
                <c:pt idx="347">
                  <c:v>2.3600225017004668</c:v>
                </c:pt>
                <c:pt idx="348">
                  <c:v>2.3600225017004668</c:v>
                </c:pt>
                <c:pt idx="349">
                  <c:v>2.3600225017004668</c:v>
                </c:pt>
                <c:pt idx="350">
                  <c:v>2.3600225017004668</c:v>
                </c:pt>
                <c:pt idx="351">
                  <c:v>2.3600225017004668</c:v>
                </c:pt>
                <c:pt idx="352">
                  <c:v>2.3600225017004668</c:v>
                </c:pt>
                <c:pt idx="353">
                  <c:v>2.3600225017004668</c:v>
                </c:pt>
                <c:pt idx="354">
                  <c:v>2.3600225017004668</c:v>
                </c:pt>
                <c:pt idx="355">
                  <c:v>2.3600225017004668</c:v>
                </c:pt>
                <c:pt idx="356">
                  <c:v>2.3600225017004668</c:v>
                </c:pt>
                <c:pt idx="357">
                  <c:v>2.3600225017004668</c:v>
                </c:pt>
                <c:pt idx="358">
                  <c:v>2.3600225017004668</c:v>
                </c:pt>
                <c:pt idx="359">
                  <c:v>2.3600225017004668</c:v>
                </c:pt>
                <c:pt idx="360">
                  <c:v>2.3600225017004668</c:v>
                </c:pt>
                <c:pt idx="361">
                  <c:v>2.3600225017004668</c:v>
                </c:pt>
                <c:pt idx="362">
                  <c:v>2.3600225017004668</c:v>
                </c:pt>
                <c:pt idx="363">
                  <c:v>2.3600225017004668</c:v>
                </c:pt>
                <c:pt idx="364">
                  <c:v>2.3600225017004668</c:v>
                </c:pt>
                <c:pt idx="365">
                  <c:v>2.3600225017004668</c:v>
                </c:pt>
                <c:pt idx="366">
                  <c:v>2.3600225017004668</c:v>
                </c:pt>
                <c:pt idx="367">
                  <c:v>2.3600225017004668</c:v>
                </c:pt>
                <c:pt idx="368">
                  <c:v>2.3600225017004668</c:v>
                </c:pt>
                <c:pt idx="369">
                  <c:v>2.3600225017004668</c:v>
                </c:pt>
                <c:pt idx="370">
                  <c:v>2.3600225017004668</c:v>
                </c:pt>
                <c:pt idx="371">
                  <c:v>2.3600225017004668</c:v>
                </c:pt>
                <c:pt idx="372">
                  <c:v>2.3600225017004668</c:v>
                </c:pt>
                <c:pt idx="373">
                  <c:v>2.3600225017004668</c:v>
                </c:pt>
                <c:pt idx="374">
                  <c:v>2.3600225017004668</c:v>
                </c:pt>
                <c:pt idx="375">
                  <c:v>2.3600225017004668</c:v>
                </c:pt>
                <c:pt idx="376">
                  <c:v>2.3600225017004668</c:v>
                </c:pt>
                <c:pt idx="377">
                  <c:v>2.3600225017004668</c:v>
                </c:pt>
                <c:pt idx="378">
                  <c:v>2.3600225017004668</c:v>
                </c:pt>
                <c:pt idx="379">
                  <c:v>2.3600225017004668</c:v>
                </c:pt>
                <c:pt idx="380">
                  <c:v>2.3600225017004668</c:v>
                </c:pt>
                <c:pt idx="381">
                  <c:v>2.3600225017004668</c:v>
                </c:pt>
                <c:pt idx="382">
                  <c:v>2.3600225017004668</c:v>
                </c:pt>
                <c:pt idx="383">
                  <c:v>2.3600225017004668</c:v>
                </c:pt>
                <c:pt idx="384">
                  <c:v>2.3600225017004668</c:v>
                </c:pt>
                <c:pt idx="385">
                  <c:v>2.3600225017004668</c:v>
                </c:pt>
                <c:pt idx="386">
                  <c:v>2.3600225017004668</c:v>
                </c:pt>
                <c:pt idx="387">
                  <c:v>2.3600225017004668</c:v>
                </c:pt>
                <c:pt idx="388">
                  <c:v>2.3600225017004668</c:v>
                </c:pt>
                <c:pt idx="389">
                  <c:v>2.3600225017004668</c:v>
                </c:pt>
                <c:pt idx="390">
                  <c:v>2.3600225017004668</c:v>
                </c:pt>
                <c:pt idx="391">
                  <c:v>2.3600225017004668</c:v>
                </c:pt>
                <c:pt idx="392">
                  <c:v>2.3600225017004668</c:v>
                </c:pt>
                <c:pt idx="393">
                  <c:v>2.3600225017004668</c:v>
                </c:pt>
                <c:pt idx="394">
                  <c:v>2.3600225017004668</c:v>
                </c:pt>
                <c:pt idx="395">
                  <c:v>2.3600225017004668</c:v>
                </c:pt>
                <c:pt idx="396">
                  <c:v>2.3600225017004668</c:v>
                </c:pt>
                <c:pt idx="397">
                  <c:v>2.3600225017004668</c:v>
                </c:pt>
                <c:pt idx="398">
                  <c:v>2.3600225017004668</c:v>
                </c:pt>
                <c:pt idx="399">
                  <c:v>2.3600225017004668</c:v>
                </c:pt>
                <c:pt idx="400">
                  <c:v>2.3600225017004668</c:v>
                </c:pt>
                <c:pt idx="401">
                  <c:v>2.3600225017004668</c:v>
                </c:pt>
                <c:pt idx="402">
                  <c:v>2.3600225017004668</c:v>
                </c:pt>
                <c:pt idx="403">
                  <c:v>2.3600225017004668</c:v>
                </c:pt>
                <c:pt idx="404">
                  <c:v>2.3600225017004668</c:v>
                </c:pt>
                <c:pt idx="405">
                  <c:v>2.3600225017004668</c:v>
                </c:pt>
                <c:pt idx="406">
                  <c:v>2.3600225017004668</c:v>
                </c:pt>
                <c:pt idx="407">
                  <c:v>2.3600225017004668</c:v>
                </c:pt>
                <c:pt idx="408">
                  <c:v>2.3600225017004668</c:v>
                </c:pt>
                <c:pt idx="409">
                  <c:v>3.2133390748971404</c:v>
                </c:pt>
                <c:pt idx="410">
                  <c:v>3.2133390748971404</c:v>
                </c:pt>
                <c:pt idx="411">
                  <c:v>3.2133390748971404</c:v>
                </c:pt>
                <c:pt idx="412">
                  <c:v>3.2133390748971404</c:v>
                </c:pt>
                <c:pt idx="413">
                  <c:v>3.2133390748971404</c:v>
                </c:pt>
                <c:pt idx="414">
                  <c:v>3.2133390748971404</c:v>
                </c:pt>
                <c:pt idx="415">
                  <c:v>3.2133390748971404</c:v>
                </c:pt>
                <c:pt idx="416">
                  <c:v>3.2133390748971404</c:v>
                </c:pt>
                <c:pt idx="417">
                  <c:v>3.2133390748971404</c:v>
                </c:pt>
                <c:pt idx="418">
                  <c:v>3.2133390748971404</c:v>
                </c:pt>
              </c:numCache>
            </c:numRef>
          </c:val>
          <c:smooth val="0"/>
          <c:extLst>
            <c:ext xmlns:c16="http://schemas.microsoft.com/office/drawing/2014/chart" uri="{C3380CC4-5D6E-409C-BE32-E72D297353CC}">
              <c16:uniqueId val="{00000002-C9CA-4D9B-8754-B3F2C1FBE580}"/>
            </c:ext>
          </c:extLst>
        </c:ser>
        <c:ser>
          <c:idx val="9"/>
          <c:order val="3"/>
          <c:tx>
            <c:v>XLI</c:v>
          </c:tx>
          <c:spPr>
            <a:ln w="28575" cap="rnd">
              <a:solidFill>
                <a:schemeClr val="bg1"/>
              </a:solidFill>
              <a:round/>
            </a:ln>
            <a:effectLst/>
          </c:spPr>
          <c:marker>
            <c:symbol val="none"/>
          </c:marker>
          <c:val>
            <c:numRef>
              <c:f>'2025-Q2'!$EB$4:$EB$422</c:f>
              <c:numCache>
                <c:formatCode>0.00</c:formatCode>
                <c:ptCount val="419"/>
                <c:pt idx="0">
                  <c:v>-0.47844667409884589</c:v>
                </c:pt>
                <c:pt idx="1">
                  <c:v>-0.47844667409884589</c:v>
                </c:pt>
                <c:pt idx="2">
                  <c:v>-0.47844667409884589</c:v>
                </c:pt>
                <c:pt idx="3">
                  <c:v>-0.47844667409884589</c:v>
                </c:pt>
                <c:pt idx="4">
                  <c:v>-0.47844667409884589</c:v>
                </c:pt>
                <c:pt idx="5">
                  <c:v>-0.47844667409884589</c:v>
                </c:pt>
                <c:pt idx="6">
                  <c:v>-0.47844667409884589</c:v>
                </c:pt>
                <c:pt idx="7">
                  <c:v>-0.47844667409884589</c:v>
                </c:pt>
                <c:pt idx="8">
                  <c:v>-0.47844667409884589</c:v>
                </c:pt>
                <c:pt idx="9">
                  <c:v>-0.47844667409884589</c:v>
                </c:pt>
                <c:pt idx="10">
                  <c:v>-0.47844667409884589</c:v>
                </c:pt>
                <c:pt idx="11">
                  <c:v>-0.47844667409884589</c:v>
                </c:pt>
                <c:pt idx="12">
                  <c:v>-0.47844667409884589</c:v>
                </c:pt>
                <c:pt idx="13">
                  <c:v>-0.47844667409884589</c:v>
                </c:pt>
                <c:pt idx="14">
                  <c:v>0.39861645964403336</c:v>
                </c:pt>
                <c:pt idx="15">
                  <c:v>0.39861645964403336</c:v>
                </c:pt>
                <c:pt idx="16">
                  <c:v>0.39861645964403336</c:v>
                </c:pt>
                <c:pt idx="17">
                  <c:v>0.39861645964403336</c:v>
                </c:pt>
                <c:pt idx="18">
                  <c:v>0.39861645964403336</c:v>
                </c:pt>
                <c:pt idx="19">
                  <c:v>0.39861645964403336</c:v>
                </c:pt>
                <c:pt idx="20">
                  <c:v>0.39861645964403336</c:v>
                </c:pt>
                <c:pt idx="21">
                  <c:v>0.39861645964403336</c:v>
                </c:pt>
                <c:pt idx="22">
                  <c:v>0.43517953094202633</c:v>
                </c:pt>
                <c:pt idx="23">
                  <c:v>0.43517953094202633</c:v>
                </c:pt>
                <c:pt idx="24">
                  <c:v>0.43517953094202633</c:v>
                </c:pt>
                <c:pt idx="25">
                  <c:v>0.43517953094202633</c:v>
                </c:pt>
                <c:pt idx="26">
                  <c:v>0.43517953094202633</c:v>
                </c:pt>
                <c:pt idx="27">
                  <c:v>0.43517953094202633</c:v>
                </c:pt>
                <c:pt idx="28">
                  <c:v>0.43517953094202633</c:v>
                </c:pt>
                <c:pt idx="29">
                  <c:v>0.43517953094202633</c:v>
                </c:pt>
                <c:pt idx="30">
                  <c:v>0.43517953094202633</c:v>
                </c:pt>
                <c:pt idx="31">
                  <c:v>0.43517953094202633</c:v>
                </c:pt>
                <c:pt idx="32">
                  <c:v>0.43517953094202633</c:v>
                </c:pt>
                <c:pt idx="33">
                  <c:v>0.43517953094202633</c:v>
                </c:pt>
                <c:pt idx="34">
                  <c:v>0.43517953094202633</c:v>
                </c:pt>
                <c:pt idx="35">
                  <c:v>0.43517953094202633</c:v>
                </c:pt>
                <c:pt idx="36">
                  <c:v>0.43517953094202633</c:v>
                </c:pt>
                <c:pt idx="37">
                  <c:v>0.43517953094202633</c:v>
                </c:pt>
                <c:pt idx="38">
                  <c:v>0.43517953094202633</c:v>
                </c:pt>
                <c:pt idx="39">
                  <c:v>0.43517953094202633</c:v>
                </c:pt>
                <c:pt idx="40">
                  <c:v>0.43517953094202633</c:v>
                </c:pt>
                <c:pt idx="41">
                  <c:v>0.43517953094202633</c:v>
                </c:pt>
                <c:pt idx="42">
                  <c:v>0.43517953094202633</c:v>
                </c:pt>
                <c:pt idx="43">
                  <c:v>0.43517953094202633</c:v>
                </c:pt>
                <c:pt idx="44">
                  <c:v>0.43517953094202633</c:v>
                </c:pt>
                <c:pt idx="45">
                  <c:v>0.43517953094202633</c:v>
                </c:pt>
                <c:pt idx="46">
                  <c:v>0.43517953094202633</c:v>
                </c:pt>
                <c:pt idx="47">
                  <c:v>0.43517953094202633</c:v>
                </c:pt>
                <c:pt idx="48">
                  <c:v>0.43517953094202633</c:v>
                </c:pt>
                <c:pt idx="49">
                  <c:v>0.43517953094202633</c:v>
                </c:pt>
                <c:pt idx="50">
                  <c:v>0.43517953094202633</c:v>
                </c:pt>
                <c:pt idx="51">
                  <c:v>0.43517953094202633</c:v>
                </c:pt>
                <c:pt idx="52">
                  <c:v>-0.86716764906472754</c:v>
                </c:pt>
                <c:pt idx="53">
                  <c:v>-0.86716764906472754</c:v>
                </c:pt>
                <c:pt idx="54">
                  <c:v>-0.86716764906472754</c:v>
                </c:pt>
                <c:pt idx="55">
                  <c:v>-0.86716764906472754</c:v>
                </c:pt>
                <c:pt idx="56">
                  <c:v>-0.86716764906472754</c:v>
                </c:pt>
                <c:pt idx="57">
                  <c:v>-0.86716764906472754</c:v>
                </c:pt>
                <c:pt idx="58">
                  <c:v>-0.86716764906472754</c:v>
                </c:pt>
                <c:pt idx="59">
                  <c:v>-0.86716764906472754</c:v>
                </c:pt>
                <c:pt idx="60">
                  <c:v>-0.86716764906472754</c:v>
                </c:pt>
                <c:pt idx="61">
                  <c:v>-0.86716764906472754</c:v>
                </c:pt>
                <c:pt idx="62">
                  <c:v>-0.86716764906472754</c:v>
                </c:pt>
                <c:pt idx="63">
                  <c:v>-0.86716764906472754</c:v>
                </c:pt>
                <c:pt idx="64">
                  <c:v>-0.86716764906472754</c:v>
                </c:pt>
                <c:pt idx="65">
                  <c:v>-0.86716764906472754</c:v>
                </c:pt>
                <c:pt idx="66">
                  <c:v>-1.2459555278526064</c:v>
                </c:pt>
                <c:pt idx="67">
                  <c:v>-1.2459555278526064</c:v>
                </c:pt>
                <c:pt idx="68">
                  <c:v>-1.2459555278526064</c:v>
                </c:pt>
                <c:pt idx="69">
                  <c:v>-1.2459555278526064</c:v>
                </c:pt>
                <c:pt idx="70">
                  <c:v>-1.2459555278526064</c:v>
                </c:pt>
                <c:pt idx="71">
                  <c:v>-1.2459555278526064</c:v>
                </c:pt>
                <c:pt idx="72">
                  <c:v>-1.2459555278526064</c:v>
                </c:pt>
                <c:pt idx="73">
                  <c:v>-1.2459555278526064</c:v>
                </c:pt>
                <c:pt idx="74">
                  <c:v>-1.2459555278526064</c:v>
                </c:pt>
                <c:pt idx="75">
                  <c:v>-1.2459555278526064</c:v>
                </c:pt>
                <c:pt idx="76">
                  <c:v>-1.2459555278526064</c:v>
                </c:pt>
                <c:pt idx="77">
                  <c:v>-1.2459555278526064</c:v>
                </c:pt>
                <c:pt idx="78">
                  <c:v>-1.2459555278526064</c:v>
                </c:pt>
                <c:pt idx="79">
                  <c:v>-1.2459555278526064</c:v>
                </c:pt>
                <c:pt idx="80">
                  <c:v>-1.2459555278526064</c:v>
                </c:pt>
                <c:pt idx="81">
                  <c:v>-1.2459555278526064</c:v>
                </c:pt>
                <c:pt idx="82">
                  <c:v>-1.2459555278526064</c:v>
                </c:pt>
                <c:pt idx="83">
                  <c:v>-1.2459555278526064</c:v>
                </c:pt>
                <c:pt idx="84">
                  <c:v>-1.2459555278526064</c:v>
                </c:pt>
                <c:pt idx="85">
                  <c:v>-1.2459555278526064</c:v>
                </c:pt>
                <c:pt idx="86">
                  <c:v>-1.2459555278526064</c:v>
                </c:pt>
                <c:pt idx="87">
                  <c:v>-1.2358895959989655</c:v>
                </c:pt>
                <c:pt idx="88">
                  <c:v>-0.36153038830642437</c:v>
                </c:pt>
                <c:pt idx="89">
                  <c:v>-0.36153038830642437</c:v>
                </c:pt>
                <c:pt idx="90">
                  <c:v>-0.36153038830642437</c:v>
                </c:pt>
                <c:pt idx="91">
                  <c:v>-0.36153038830642437</c:v>
                </c:pt>
                <c:pt idx="92">
                  <c:v>-0.36153038830642437</c:v>
                </c:pt>
                <c:pt idx="93">
                  <c:v>-0.36153038830642437</c:v>
                </c:pt>
                <c:pt idx="94">
                  <c:v>-0.36153038830642437</c:v>
                </c:pt>
                <c:pt idx="95">
                  <c:v>-0.36153038830642437</c:v>
                </c:pt>
                <c:pt idx="96">
                  <c:v>-0.36153038830642437</c:v>
                </c:pt>
                <c:pt idx="97">
                  <c:v>-0.36153038830642437</c:v>
                </c:pt>
                <c:pt idx="98">
                  <c:v>-0.36153038830642437</c:v>
                </c:pt>
                <c:pt idx="99">
                  <c:v>-0.36153038830642437</c:v>
                </c:pt>
                <c:pt idx="100">
                  <c:v>-0.36153038830642437</c:v>
                </c:pt>
                <c:pt idx="101">
                  <c:v>-0.36153038830642437</c:v>
                </c:pt>
                <c:pt idx="102">
                  <c:v>-0.36153038830642437</c:v>
                </c:pt>
                <c:pt idx="103">
                  <c:v>-0.36153038830642437</c:v>
                </c:pt>
                <c:pt idx="104">
                  <c:v>-0.36153038830642437</c:v>
                </c:pt>
                <c:pt idx="105">
                  <c:v>-0.36153038830642437</c:v>
                </c:pt>
                <c:pt idx="106">
                  <c:v>-0.36153038830642437</c:v>
                </c:pt>
                <c:pt idx="107">
                  <c:v>-0.36153038830642437</c:v>
                </c:pt>
                <c:pt idx="108">
                  <c:v>-0.36153038830642437</c:v>
                </c:pt>
                <c:pt idx="109">
                  <c:v>-0.36153038830642437</c:v>
                </c:pt>
                <c:pt idx="110">
                  <c:v>-0.36153038830642437</c:v>
                </c:pt>
                <c:pt idx="111">
                  <c:v>-0.36153038830642437</c:v>
                </c:pt>
                <c:pt idx="112">
                  <c:v>-0.36153038830642437</c:v>
                </c:pt>
                <c:pt idx="113">
                  <c:v>-0.36153038830642437</c:v>
                </c:pt>
                <c:pt idx="114">
                  <c:v>-0.36153038830642437</c:v>
                </c:pt>
                <c:pt idx="115">
                  <c:v>-0.36153038830642437</c:v>
                </c:pt>
                <c:pt idx="116">
                  <c:v>-0.36153038830642437</c:v>
                </c:pt>
                <c:pt idx="117">
                  <c:v>-0.36153038830642437</c:v>
                </c:pt>
                <c:pt idx="118">
                  <c:v>-0.36153038830642437</c:v>
                </c:pt>
                <c:pt idx="119">
                  <c:v>-0.36153038830642437</c:v>
                </c:pt>
                <c:pt idx="120">
                  <c:v>-0.36153038830642437</c:v>
                </c:pt>
                <c:pt idx="121">
                  <c:v>-0.36153038830642437</c:v>
                </c:pt>
                <c:pt idx="122">
                  <c:v>-0.36153038830642437</c:v>
                </c:pt>
                <c:pt idx="123">
                  <c:v>-0.36153038830642437</c:v>
                </c:pt>
                <c:pt idx="124">
                  <c:v>-0.36153038830642437</c:v>
                </c:pt>
                <c:pt idx="125">
                  <c:v>-0.36153038830642437</c:v>
                </c:pt>
                <c:pt idx="126">
                  <c:v>-0.36153038830642437</c:v>
                </c:pt>
                <c:pt idx="127">
                  <c:v>-0.36153038830642437</c:v>
                </c:pt>
                <c:pt idx="128">
                  <c:v>-0.36153038830642437</c:v>
                </c:pt>
                <c:pt idx="129">
                  <c:v>-0.36153038830642437</c:v>
                </c:pt>
                <c:pt idx="130">
                  <c:v>-0.36153038830642437</c:v>
                </c:pt>
                <c:pt idx="131">
                  <c:v>-0.36153038830642437</c:v>
                </c:pt>
                <c:pt idx="132">
                  <c:v>-0.36153038830642437</c:v>
                </c:pt>
                <c:pt idx="133">
                  <c:v>0.612683721500909</c:v>
                </c:pt>
                <c:pt idx="134">
                  <c:v>0.612683721500909</c:v>
                </c:pt>
                <c:pt idx="135">
                  <c:v>0.612683721500909</c:v>
                </c:pt>
                <c:pt idx="136">
                  <c:v>0.79979533615398157</c:v>
                </c:pt>
                <c:pt idx="137">
                  <c:v>0.79979533615398157</c:v>
                </c:pt>
                <c:pt idx="138">
                  <c:v>0.79979533615398157</c:v>
                </c:pt>
                <c:pt idx="139">
                  <c:v>0.79979533615398157</c:v>
                </c:pt>
                <c:pt idx="140">
                  <c:v>0.79979533615398157</c:v>
                </c:pt>
                <c:pt idx="141">
                  <c:v>0.79979533615398157</c:v>
                </c:pt>
                <c:pt idx="142">
                  <c:v>0.79979533615398157</c:v>
                </c:pt>
                <c:pt idx="143">
                  <c:v>0.79979533615398157</c:v>
                </c:pt>
                <c:pt idx="144">
                  <c:v>0.79979533615398157</c:v>
                </c:pt>
                <c:pt idx="145">
                  <c:v>0.79979533615398157</c:v>
                </c:pt>
                <c:pt idx="146">
                  <c:v>0.35696119766766871</c:v>
                </c:pt>
                <c:pt idx="147">
                  <c:v>-0.2070110273231956</c:v>
                </c:pt>
                <c:pt idx="148">
                  <c:v>-0.2070110273231956</c:v>
                </c:pt>
                <c:pt idx="149">
                  <c:v>-0.2070110273231956</c:v>
                </c:pt>
                <c:pt idx="150">
                  <c:v>-0.2070110273231956</c:v>
                </c:pt>
                <c:pt idx="151">
                  <c:v>-0.2070110273231956</c:v>
                </c:pt>
                <c:pt idx="152">
                  <c:v>-0.2070110273231956</c:v>
                </c:pt>
                <c:pt idx="153">
                  <c:v>-0.2070110273231956</c:v>
                </c:pt>
                <c:pt idx="154">
                  <c:v>-0.2070110273231956</c:v>
                </c:pt>
                <c:pt idx="155">
                  <c:v>-0.2070110273231956</c:v>
                </c:pt>
                <c:pt idx="156">
                  <c:v>-0.2070110273231956</c:v>
                </c:pt>
                <c:pt idx="157">
                  <c:v>-0.2070110273231956</c:v>
                </c:pt>
                <c:pt idx="158">
                  <c:v>-0.2070110273231956</c:v>
                </c:pt>
                <c:pt idx="159">
                  <c:v>-0.2070110273231956</c:v>
                </c:pt>
                <c:pt idx="160">
                  <c:v>-0.2070110273231956</c:v>
                </c:pt>
                <c:pt idx="161">
                  <c:v>-0.2070110273231956</c:v>
                </c:pt>
                <c:pt idx="162">
                  <c:v>-0.2070110273231956</c:v>
                </c:pt>
                <c:pt idx="163">
                  <c:v>-0.2070110273231956</c:v>
                </c:pt>
                <c:pt idx="164">
                  <c:v>-0.2070110273231956</c:v>
                </c:pt>
                <c:pt idx="165">
                  <c:v>-0.2070110273231956</c:v>
                </c:pt>
                <c:pt idx="166">
                  <c:v>-0.2070110273231956</c:v>
                </c:pt>
                <c:pt idx="167">
                  <c:v>-0.2070110273231956</c:v>
                </c:pt>
                <c:pt idx="168">
                  <c:v>-0.2070110273231956</c:v>
                </c:pt>
                <c:pt idx="169">
                  <c:v>-0.2070110273231956</c:v>
                </c:pt>
                <c:pt idx="170">
                  <c:v>0.26249327033369896</c:v>
                </c:pt>
                <c:pt idx="171">
                  <c:v>0.26249327033369896</c:v>
                </c:pt>
                <c:pt idx="172">
                  <c:v>0.25705198183658201</c:v>
                </c:pt>
                <c:pt idx="173">
                  <c:v>0.25705198183658201</c:v>
                </c:pt>
                <c:pt idx="174">
                  <c:v>0.25705198183658201</c:v>
                </c:pt>
                <c:pt idx="175">
                  <c:v>0.25705198183658201</c:v>
                </c:pt>
                <c:pt idx="176">
                  <c:v>0.25705198183658201</c:v>
                </c:pt>
                <c:pt idx="177">
                  <c:v>0.25705198183658201</c:v>
                </c:pt>
                <c:pt idx="178">
                  <c:v>0.5578066706208582</c:v>
                </c:pt>
                <c:pt idx="179">
                  <c:v>0.5578066706208582</c:v>
                </c:pt>
                <c:pt idx="180">
                  <c:v>0.5578066706208582</c:v>
                </c:pt>
                <c:pt idx="181">
                  <c:v>0.5578066706208582</c:v>
                </c:pt>
                <c:pt idx="182">
                  <c:v>0.5578066706208582</c:v>
                </c:pt>
                <c:pt idx="183">
                  <c:v>0.5578066706208582</c:v>
                </c:pt>
                <c:pt idx="184">
                  <c:v>0.5578066706208582</c:v>
                </c:pt>
                <c:pt idx="185">
                  <c:v>0.5578066706208582</c:v>
                </c:pt>
                <c:pt idx="186">
                  <c:v>0.5578066706208582</c:v>
                </c:pt>
                <c:pt idx="187">
                  <c:v>0.5578066706208582</c:v>
                </c:pt>
                <c:pt idx="188">
                  <c:v>0.5578066706208582</c:v>
                </c:pt>
                <c:pt idx="189">
                  <c:v>0.5578066706208582</c:v>
                </c:pt>
                <c:pt idx="190">
                  <c:v>0.5578066706208582</c:v>
                </c:pt>
                <c:pt idx="191">
                  <c:v>0.5578066706208582</c:v>
                </c:pt>
                <c:pt idx="192">
                  <c:v>0.5578066706208582</c:v>
                </c:pt>
                <c:pt idx="193">
                  <c:v>0.5578066706208582</c:v>
                </c:pt>
                <c:pt idx="194">
                  <c:v>-0.40308697004515759</c:v>
                </c:pt>
                <c:pt idx="195">
                  <c:v>-0.40308697004515759</c:v>
                </c:pt>
                <c:pt idx="196">
                  <c:v>-0.40308697004515759</c:v>
                </c:pt>
                <c:pt idx="197">
                  <c:v>-0.40308697004515759</c:v>
                </c:pt>
                <c:pt idx="198">
                  <c:v>-0.40308697004515759</c:v>
                </c:pt>
                <c:pt idx="199">
                  <c:v>-0.40308697004515759</c:v>
                </c:pt>
                <c:pt idx="200">
                  <c:v>-0.40308697004515759</c:v>
                </c:pt>
                <c:pt idx="201">
                  <c:v>0.65158371441459195</c:v>
                </c:pt>
                <c:pt idx="202">
                  <c:v>0.65158371441459195</c:v>
                </c:pt>
                <c:pt idx="203">
                  <c:v>0.65158371441459195</c:v>
                </c:pt>
                <c:pt idx="204">
                  <c:v>0.65158371441459195</c:v>
                </c:pt>
                <c:pt idx="205">
                  <c:v>0.65158371441459195</c:v>
                </c:pt>
                <c:pt idx="206">
                  <c:v>0.65158371441459195</c:v>
                </c:pt>
                <c:pt idx="207">
                  <c:v>0.65158371441459195</c:v>
                </c:pt>
                <c:pt idx="208">
                  <c:v>0.65158371441459195</c:v>
                </c:pt>
                <c:pt idx="209">
                  <c:v>0.65158371441459195</c:v>
                </c:pt>
                <c:pt idx="210">
                  <c:v>0.65158371441459195</c:v>
                </c:pt>
                <c:pt idx="211">
                  <c:v>0.65158371441459195</c:v>
                </c:pt>
                <c:pt idx="212">
                  <c:v>0.65158371441459195</c:v>
                </c:pt>
                <c:pt idx="213">
                  <c:v>0.65158371441459195</c:v>
                </c:pt>
                <c:pt idx="214">
                  <c:v>0.65158371441459195</c:v>
                </c:pt>
                <c:pt idx="215">
                  <c:v>0.65158371441459195</c:v>
                </c:pt>
                <c:pt idx="216">
                  <c:v>0.65158371441459195</c:v>
                </c:pt>
                <c:pt idx="217">
                  <c:v>0.65158371441459195</c:v>
                </c:pt>
                <c:pt idx="218">
                  <c:v>0.65158371441459195</c:v>
                </c:pt>
                <c:pt idx="219">
                  <c:v>0.65158371441459195</c:v>
                </c:pt>
                <c:pt idx="220">
                  <c:v>0.65158371441459195</c:v>
                </c:pt>
                <c:pt idx="221">
                  <c:v>0.65158371441459195</c:v>
                </c:pt>
                <c:pt idx="222">
                  <c:v>0.65158371441459195</c:v>
                </c:pt>
                <c:pt idx="223">
                  <c:v>0.65158371441459195</c:v>
                </c:pt>
                <c:pt idx="224">
                  <c:v>0.65158371441459195</c:v>
                </c:pt>
                <c:pt idx="225">
                  <c:v>0.65158371441459195</c:v>
                </c:pt>
                <c:pt idx="226">
                  <c:v>0.65158371441459195</c:v>
                </c:pt>
                <c:pt idx="227">
                  <c:v>0.65158371441459195</c:v>
                </c:pt>
                <c:pt idx="228">
                  <c:v>0.65158371441459195</c:v>
                </c:pt>
                <c:pt idx="229">
                  <c:v>0.65158371441459195</c:v>
                </c:pt>
                <c:pt idx="230">
                  <c:v>0.65158371441459195</c:v>
                </c:pt>
                <c:pt idx="231">
                  <c:v>0.65158371441459195</c:v>
                </c:pt>
                <c:pt idx="232">
                  <c:v>0.65158371441459195</c:v>
                </c:pt>
                <c:pt idx="233">
                  <c:v>0.65158371441459195</c:v>
                </c:pt>
                <c:pt idx="234">
                  <c:v>0.65158371441459195</c:v>
                </c:pt>
                <c:pt idx="235">
                  <c:v>0.65158371441459195</c:v>
                </c:pt>
                <c:pt idx="236">
                  <c:v>0.65158371441459195</c:v>
                </c:pt>
                <c:pt idx="237">
                  <c:v>0.65158371441459195</c:v>
                </c:pt>
                <c:pt idx="238">
                  <c:v>0.65158371441459195</c:v>
                </c:pt>
                <c:pt idx="239">
                  <c:v>0.65158371441459195</c:v>
                </c:pt>
                <c:pt idx="240">
                  <c:v>0.65158371441459195</c:v>
                </c:pt>
                <c:pt idx="241">
                  <c:v>0.65158371441459195</c:v>
                </c:pt>
                <c:pt idx="242">
                  <c:v>0.65158371441459195</c:v>
                </c:pt>
                <c:pt idx="243">
                  <c:v>0.65158371441459195</c:v>
                </c:pt>
                <c:pt idx="244">
                  <c:v>0.65158371441459195</c:v>
                </c:pt>
                <c:pt idx="245">
                  <c:v>1.0902674422317802</c:v>
                </c:pt>
                <c:pt idx="246">
                  <c:v>1.0902674422317802</c:v>
                </c:pt>
                <c:pt idx="247">
                  <c:v>1.0902674422317802</c:v>
                </c:pt>
                <c:pt idx="248">
                  <c:v>1.0902674422317802</c:v>
                </c:pt>
                <c:pt idx="249">
                  <c:v>1.0902674422317802</c:v>
                </c:pt>
                <c:pt idx="250">
                  <c:v>1.0902674422317802</c:v>
                </c:pt>
                <c:pt idx="251">
                  <c:v>1.0902674422317802</c:v>
                </c:pt>
                <c:pt idx="252">
                  <c:v>1.0902674422317802</c:v>
                </c:pt>
                <c:pt idx="253">
                  <c:v>1.0902674422317802</c:v>
                </c:pt>
                <c:pt idx="254">
                  <c:v>1.0902674422317802</c:v>
                </c:pt>
                <c:pt idx="255">
                  <c:v>1.0902674422317802</c:v>
                </c:pt>
                <c:pt idx="256">
                  <c:v>1.0902674422317802</c:v>
                </c:pt>
                <c:pt idx="257">
                  <c:v>1.0902674422317802</c:v>
                </c:pt>
                <c:pt idx="258">
                  <c:v>1.0902674422317802</c:v>
                </c:pt>
                <c:pt idx="259">
                  <c:v>1.0902674422317802</c:v>
                </c:pt>
                <c:pt idx="260">
                  <c:v>1.0902674422317802</c:v>
                </c:pt>
                <c:pt idx="261">
                  <c:v>1.0902674422317802</c:v>
                </c:pt>
                <c:pt idx="262">
                  <c:v>1.0902674422317802</c:v>
                </c:pt>
                <c:pt idx="263">
                  <c:v>1.0902674422317802</c:v>
                </c:pt>
                <c:pt idx="264">
                  <c:v>1.0902674422317802</c:v>
                </c:pt>
                <c:pt idx="265">
                  <c:v>1.32347009195464</c:v>
                </c:pt>
                <c:pt idx="266">
                  <c:v>1.32347009195464</c:v>
                </c:pt>
                <c:pt idx="267">
                  <c:v>1.32347009195464</c:v>
                </c:pt>
                <c:pt idx="268">
                  <c:v>1.32347009195464</c:v>
                </c:pt>
                <c:pt idx="269">
                  <c:v>2.468538401202053</c:v>
                </c:pt>
                <c:pt idx="270">
                  <c:v>2.468538401202053</c:v>
                </c:pt>
                <c:pt idx="271">
                  <c:v>2.468538401202053</c:v>
                </c:pt>
                <c:pt idx="272">
                  <c:v>2.468538401202053</c:v>
                </c:pt>
                <c:pt idx="273">
                  <c:v>2.468538401202053</c:v>
                </c:pt>
                <c:pt idx="274">
                  <c:v>2.468538401202053</c:v>
                </c:pt>
                <c:pt idx="275">
                  <c:v>2.468538401202053</c:v>
                </c:pt>
                <c:pt idx="276">
                  <c:v>2.468538401202053</c:v>
                </c:pt>
                <c:pt idx="277">
                  <c:v>2.468538401202053</c:v>
                </c:pt>
                <c:pt idx="278">
                  <c:v>2.468538401202053</c:v>
                </c:pt>
                <c:pt idx="279">
                  <c:v>2.468538401202053</c:v>
                </c:pt>
                <c:pt idx="280">
                  <c:v>2.468538401202053</c:v>
                </c:pt>
                <c:pt idx="281">
                  <c:v>2.468538401202053</c:v>
                </c:pt>
                <c:pt idx="282">
                  <c:v>2.468538401202053</c:v>
                </c:pt>
                <c:pt idx="283">
                  <c:v>2.468538401202053</c:v>
                </c:pt>
                <c:pt idx="284">
                  <c:v>2.468538401202053</c:v>
                </c:pt>
                <c:pt idx="285">
                  <c:v>2.468538401202053</c:v>
                </c:pt>
                <c:pt idx="286">
                  <c:v>2.468538401202053</c:v>
                </c:pt>
                <c:pt idx="287">
                  <c:v>2.468538401202053</c:v>
                </c:pt>
                <c:pt idx="288">
                  <c:v>2.468538401202053</c:v>
                </c:pt>
                <c:pt idx="289">
                  <c:v>2.468538401202053</c:v>
                </c:pt>
                <c:pt idx="290">
                  <c:v>2.468538401202053</c:v>
                </c:pt>
                <c:pt idx="291">
                  <c:v>3.4710015964818837</c:v>
                </c:pt>
                <c:pt idx="292">
                  <c:v>3.4710015964818837</c:v>
                </c:pt>
                <c:pt idx="293">
                  <c:v>3.4710015964818837</c:v>
                </c:pt>
                <c:pt idx="294">
                  <c:v>3.4710015964818837</c:v>
                </c:pt>
                <c:pt idx="295">
                  <c:v>3.4710015964818837</c:v>
                </c:pt>
                <c:pt idx="296">
                  <c:v>2.276197208799712</c:v>
                </c:pt>
                <c:pt idx="297">
                  <c:v>2.276197208799712</c:v>
                </c:pt>
                <c:pt idx="298">
                  <c:v>2.276197208799712</c:v>
                </c:pt>
                <c:pt idx="299">
                  <c:v>2.276197208799712</c:v>
                </c:pt>
                <c:pt idx="300">
                  <c:v>2.276197208799712</c:v>
                </c:pt>
                <c:pt idx="301">
                  <c:v>2.276197208799712</c:v>
                </c:pt>
                <c:pt idx="302">
                  <c:v>2.276197208799712</c:v>
                </c:pt>
                <c:pt idx="303">
                  <c:v>2.276197208799712</c:v>
                </c:pt>
                <c:pt idx="304">
                  <c:v>2.276197208799712</c:v>
                </c:pt>
                <c:pt idx="305">
                  <c:v>2.276197208799712</c:v>
                </c:pt>
                <c:pt idx="306">
                  <c:v>2.276197208799712</c:v>
                </c:pt>
                <c:pt idx="307">
                  <c:v>2.276197208799712</c:v>
                </c:pt>
                <c:pt idx="308">
                  <c:v>2.276197208799712</c:v>
                </c:pt>
                <c:pt idx="309">
                  <c:v>2.276197208799712</c:v>
                </c:pt>
                <c:pt idx="310">
                  <c:v>2.276197208799712</c:v>
                </c:pt>
                <c:pt idx="311">
                  <c:v>2.276197208799712</c:v>
                </c:pt>
                <c:pt idx="312">
                  <c:v>2.276197208799712</c:v>
                </c:pt>
                <c:pt idx="313">
                  <c:v>2.276197208799712</c:v>
                </c:pt>
                <c:pt idx="314">
                  <c:v>2.276197208799712</c:v>
                </c:pt>
                <c:pt idx="315">
                  <c:v>2.276197208799712</c:v>
                </c:pt>
                <c:pt idx="316">
                  <c:v>2.276197208799712</c:v>
                </c:pt>
                <c:pt idx="317">
                  <c:v>2.276197208799712</c:v>
                </c:pt>
                <c:pt idx="318">
                  <c:v>2.276197208799712</c:v>
                </c:pt>
                <c:pt idx="319">
                  <c:v>2.276197208799712</c:v>
                </c:pt>
                <c:pt idx="320">
                  <c:v>2.276197208799712</c:v>
                </c:pt>
                <c:pt idx="321">
                  <c:v>2.276197208799712</c:v>
                </c:pt>
                <c:pt idx="322">
                  <c:v>2.276197208799712</c:v>
                </c:pt>
                <c:pt idx="323">
                  <c:v>2.276197208799712</c:v>
                </c:pt>
                <c:pt idx="324">
                  <c:v>2.276197208799712</c:v>
                </c:pt>
                <c:pt idx="325">
                  <c:v>2.276197208799712</c:v>
                </c:pt>
                <c:pt idx="326">
                  <c:v>2.276197208799712</c:v>
                </c:pt>
                <c:pt idx="327">
                  <c:v>2.276197208799712</c:v>
                </c:pt>
                <c:pt idx="328">
                  <c:v>2.276197208799712</c:v>
                </c:pt>
                <c:pt idx="329">
                  <c:v>2.276197208799712</c:v>
                </c:pt>
                <c:pt idx="330">
                  <c:v>2.276197208799712</c:v>
                </c:pt>
                <c:pt idx="331">
                  <c:v>2.276197208799712</c:v>
                </c:pt>
                <c:pt idx="332">
                  <c:v>2.276197208799712</c:v>
                </c:pt>
                <c:pt idx="333">
                  <c:v>2.276197208799712</c:v>
                </c:pt>
                <c:pt idx="334">
                  <c:v>2.276197208799712</c:v>
                </c:pt>
                <c:pt idx="335">
                  <c:v>2.276197208799712</c:v>
                </c:pt>
                <c:pt idx="336">
                  <c:v>2.276197208799712</c:v>
                </c:pt>
                <c:pt idx="337">
                  <c:v>4.3184391548878134</c:v>
                </c:pt>
                <c:pt idx="338">
                  <c:v>4.3184391548878134</c:v>
                </c:pt>
                <c:pt idx="339">
                  <c:v>4.3184391548878134</c:v>
                </c:pt>
                <c:pt idx="340">
                  <c:v>4.3184391548878134</c:v>
                </c:pt>
                <c:pt idx="341">
                  <c:v>4.3184391548878134</c:v>
                </c:pt>
                <c:pt idx="342">
                  <c:v>4.3184391548878134</c:v>
                </c:pt>
                <c:pt idx="343">
                  <c:v>4.3184391548878134</c:v>
                </c:pt>
                <c:pt idx="344">
                  <c:v>4.3184391548878134</c:v>
                </c:pt>
                <c:pt idx="345">
                  <c:v>4.3184391548878134</c:v>
                </c:pt>
                <c:pt idx="346">
                  <c:v>4.3184391548878134</c:v>
                </c:pt>
                <c:pt idx="347">
                  <c:v>4.3184391548878134</c:v>
                </c:pt>
                <c:pt idx="348">
                  <c:v>4.3184391548878134</c:v>
                </c:pt>
                <c:pt idx="349">
                  <c:v>4.3184391548878134</c:v>
                </c:pt>
                <c:pt idx="350">
                  <c:v>4.3184391548878134</c:v>
                </c:pt>
                <c:pt idx="351">
                  <c:v>4.3184391548878134</c:v>
                </c:pt>
                <c:pt idx="352">
                  <c:v>4.3184391548878134</c:v>
                </c:pt>
                <c:pt idx="353">
                  <c:v>4.3184391548878134</c:v>
                </c:pt>
                <c:pt idx="354">
                  <c:v>4.3184391548878134</c:v>
                </c:pt>
                <c:pt idx="355">
                  <c:v>4.3184391548878134</c:v>
                </c:pt>
                <c:pt idx="356">
                  <c:v>4.3184391548878134</c:v>
                </c:pt>
                <c:pt idx="357">
                  <c:v>4.3184391548878134</c:v>
                </c:pt>
                <c:pt idx="358">
                  <c:v>4.3184391548878134</c:v>
                </c:pt>
                <c:pt idx="359">
                  <c:v>4.3184391548878134</c:v>
                </c:pt>
                <c:pt idx="360">
                  <c:v>4.3184391548878134</c:v>
                </c:pt>
                <c:pt idx="361">
                  <c:v>4.3184391548878134</c:v>
                </c:pt>
                <c:pt idx="362">
                  <c:v>4.3184391548878134</c:v>
                </c:pt>
                <c:pt idx="363">
                  <c:v>4.3184391548878134</c:v>
                </c:pt>
                <c:pt idx="364">
                  <c:v>4.3184391548878134</c:v>
                </c:pt>
                <c:pt idx="365">
                  <c:v>4.3184391548878134</c:v>
                </c:pt>
                <c:pt idx="366">
                  <c:v>4.3184391548878134</c:v>
                </c:pt>
                <c:pt idx="367">
                  <c:v>4.3184391548878134</c:v>
                </c:pt>
                <c:pt idx="368">
                  <c:v>4.3184391548878134</c:v>
                </c:pt>
                <c:pt idx="369">
                  <c:v>4.3184391548878134</c:v>
                </c:pt>
                <c:pt idx="370">
                  <c:v>4.3184391548878134</c:v>
                </c:pt>
                <c:pt idx="371">
                  <c:v>4.3184391548878134</c:v>
                </c:pt>
                <c:pt idx="372">
                  <c:v>4.3184391548878134</c:v>
                </c:pt>
                <c:pt idx="373">
                  <c:v>4.3184391548878134</c:v>
                </c:pt>
                <c:pt idx="374">
                  <c:v>4.3184391548878134</c:v>
                </c:pt>
                <c:pt idx="375">
                  <c:v>4.3184391548878134</c:v>
                </c:pt>
                <c:pt idx="376">
                  <c:v>4.3184391548878134</c:v>
                </c:pt>
                <c:pt idx="377">
                  <c:v>4.3184391548878134</c:v>
                </c:pt>
                <c:pt idx="378">
                  <c:v>4.3184391548878134</c:v>
                </c:pt>
                <c:pt idx="379">
                  <c:v>4.3184391548878134</c:v>
                </c:pt>
                <c:pt idx="380">
                  <c:v>4.3184391548878134</c:v>
                </c:pt>
                <c:pt idx="381">
                  <c:v>4.3184391548878134</c:v>
                </c:pt>
                <c:pt idx="382">
                  <c:v>4.3184391548878134</c:v>
                </c:pt>
                <c:pt idx="383">
                  <c:v>4.3184391548878134</c:v>
                </c:pt>
                <c:pt idx="384">
                  <c:v>4.3184391548878134</c:v>
                </c:pt>
                <c:pt idx="385">
                  <c:v>4.3184391548878134</c:v>
                </c:pt>
                <c:pt idx="386">
                  <c:v>4.3184391548878134</c:v>
                </c:pt>
                <c:pt idx="387">
                  <c:v>4.3184391548878134</c:v>
                </c:pt>
                <c:pt idx="388">
                  <c:v>4.3184391548878134</c:v>
                </c:pt>
                <c:pt idx="389">
                  <c:v>4.3184391548878134</c:v>
                </c:pt>
                <c:pt idx="390">
                  <c:v>4.3184391548878134</c:v>
                </c:pt>
                <c:pt idx="391">
                  <c:v>4.3184391548878134</c:v>
                </c:pt>
                <c:pt idx="392">
                  <c:v>4.3184391548878134</c:v>
                </c:pt>
                <c:pt idx="393">
                  <c:v>4.3184391548878134</c:v>
                </c:pt>
                <c:pt idx="394">
                  <c:v>4.3184391548878134</c:v>
                </c:pt>
                <c:pt idx="395">
                  <c:v>4.3184391548878134</c:v>
                </c:pt>
                <c:pt idx="396">
                  <c:v>4.3184391548878134</c:v>
                </c:pt>
                <c:pt idx="397">
                  <c:v>4.3184391548878134</c:v>
                </c:pt>
                <c:pt idx="398">
                  <c:v>4.3184391548878134</c:v>
                </c:pt>
                <c:pt idx="399">
                  <c:v>4.3184391548878134</c:v>
                </c:pt>
                <c:pt idx="400">
                  <c:v>4.3184391548878134</c:v>
                </c:pt>
                <c:pt idx="401">
                  <c:v>4.3184391548878134</c:v>
                </c:pt>
                <c:pt idx="402">
                  <c:v>4.3184391548878134</c:v>
                </c:pt>
                <c:pt idx="403">
                  <c:v>4.3184391548878134</c:v>
                </c:pt>
                <c:pt idx="404">
                  <c:v>4.3184391548878134</c:v>
                </c:pt>
                <c:pt idx="405">
                  <c:v>4.3184391548878134</c:v>
                </c:pt>
                <c:pt idx="406">
                  <c:v>4.3184391548878134</c:v>
                </c:pt>
                <c:pt idx="407">
                  <c:v>4.3184391548878134</c:v>
                </c:pt>
                <c:pt idx="408">
                  <c:v>4.3184391548878134</c:v>
                </c:pt>
                <c:pt idx="409">
                  <c:v>4.3184391548878134</c:v>
                </c:pt>
                <c:pt idx="410">
                  <c:v>4.3184391548878134</c:v>
                </c:pt>
                <c:pt idx="411">
                  <c:v>4.3184391548878134</c:v>
                </c:pt>
                <c:pt idx="412">
                  <c:v>4.3184391548878134</c:v>
                </c:pt>
                <c:pt idx="413">
                  <c:v>4.3184391548878134</c:v>
                </c:pt>
                <c:pt idx="414">
                  <c:v>4.3184391548878134</c:v>
                </c:pt>
                <c:pt idx="415">
                  <c:v>4.3184391548878134</c:v>
                </c:pt>
                <c:pt idx="416">
                  <c:v>4.3184391548878134</c:v>
                </c:pt>
                <c:pt idx="417">
                  <c:v>4.3184391548878134</c:v>
                </c:pt>
                <c:pt idx="418">
                  <c:v>4.3184391548878134</c:v>
                </c:pt>
              </c:numCache>
            </c:numRef>
          </c:val>
          <c:smooth val="0"/>
          <c:extLst>
            <c:ext xmlns:c16="http://schemas.microsoft.com/office/drawing/2014/chart" uri="{C3380CC4-5D6E-409C-BE32-E72D297353CC}">
              <c16:uniqueId val="{00000003-C9CA-4D9B-8754-B3F2C1FBE580}"/>
            </c:ext>
          </c:extLst>
        </c:ser>
        <c:ser>
          <c:idx val="3"/>
          <c:order val="4"/>
          <c:tx>
            <c:v>XLY</c:v>
          </c:tx>
          <c:spPr>
            <a:ln w="28575" cap="rnd">
              <a:solidFill>
                <a:srgbClr val="FFC000"/>
              </a:solidFill>
              <a:round/>
            </a:ln>
            <a:effectLst/>
          </c:spPr>
          <c:marker>
            <c:symbol val="none"/>
          </c:marker>
          <c:val>
            <c:numRef>
              <c:f>'2025-Q2'!$CZ$4:$CZ$422</c:f>
              <c:numCache>
                <c:formatCode>0.00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-0.63271328921481373</c:v>
                </c:pt>
                <c:pt idx="42">
                  <c:v>-0.63271328921481373</c:v>
                </c:pt>
                <c:pt idx="43">
                  <c:v>-0.63271328921481373</c:v>
                </c:pt>
                <c:pt idx="44">
                  <c:v>-0.63271328921481373</c:v>
                </c:pt>
                <c:pt idx="45">
                  <c:v>-0.63271328921481373</c:v>
                </c:pt>
                <c:pt idx="46">
                  <c:v>-0.63271328921481373</c:v>
                </c:pt>
                <c:pt idx="47">
                  <c:v>-0.63271328921481373</c:v>
                </c:pt>
                <c:pt idx="48">
                  <c:v>-0.63271328921481373</c:v>
                </c:pt>
                <c:pt idx="49">
                  <c:v>-0.63271328921481373</c:v>
                </c:pt>
                <c:pt idx="50">
                  <c:v>-0.63271328921481373</c:v>
                </c:pt>
                <c:pt idx="51">
                  <c:v>-0.63271328921481373</c:v>
                </c:pt>
                <c:pt idx="52">
                  <c:v>-0.63271328921481373</c:v>
                </c:pt>
                <c:pt idx="53">
                  <c:v>-0.63271328921481373</c:v>
                </c:pt>
                <c:pt idx="54">
                  <c:v>-0.63271328921481373</c:v>
                </c:pt>
                <c:pt idx="55">
                  <c:v>-0.63271328921481373</c:v>
                </c:pt>
                <c:pt idx="56">
                  <c:v>-0.63271328921481373</c:v>
                </c:pt>
                <c:pt idx="57">
                  <c:v>-0.63271328921481373</c:v>
                </c:pt>
                <c:pt idx="58">
                  <c:v>-0.63271328921481373</c:v>
                </c:pt>
                <c:pt idx="59">
                  <c:v>-0.63271328921481373</c:v>
                </c:pt>
                <c:pt idx="60">
                  <c:v>-0.63271328921481373</c:v>
                </c:pt>
                <c:pt idx="61">
                  <c:v>-0.63271328921481373</c:v>
                </c:pt>
                <c:pt idx="62">
                  <c:v>-0.63271328921481373</c:v>
                </c:pt>
                <c:pt idx="63">
                  <c:v>-0.63271328921481373</c:v>
                </c:pt>
                <c:pt idx="64">
                  <c:v>-0.63271328921481373</c:v>
                </c:pt>
                <c:pt idx="65">
                  <c:v>-0.63271328921481373</c:v>
                </c:pt>
                <c:pt idx="66">
                  <c:v>-0.63271328921481373</c:v>
                </c:pt>
                <c:pt idx="67">
                  <c:v>-0.63271328921481373</c:v>
                </c:pt>
                <c:pt idx="68">
                  <c:v>-0.63271328921481373</c:v>
                </c:pt>
                <c:pt idx="69">
                  <c:v>-0.63271328921481373</c:v>
                </c:pt>
                <c:pt idx="70">
                  <c:v>-0.63271328921481373</c:v>
                </c:pt>
                <c:pt idx="71">
                  <c:v>-0.63271328921481373</c:v>
                </c:pt>
                <c:pt idx="72">
                  <c:v>-0.63271328921481373</c:v>
                </c:pt>
                <c:pt idx="73">
                  <c:v>-0.63271328921481373</c:v>
                </c:pt>
                <c:pt idx="74">
                  <c:v>-0.63271328921481373</c:v>
                </c:pt>
                <c:pt idx="75">
                  <c:v>-0.63271328921481373</c:v>
                </c:pt>
                <c:pt idx="76">
                  <c:v>-0.63271328921481373</c:v>
                </c:pt>
                <c:pt idx="77">
                  <c:v>-0.63271328921481373</c:v>
                </c:pt>
                <c:pt idx="78">
                  <c:v>-0.63271328921481373</c:v>
                </c:pt>
                <c:pt idx="79">
                  <c:v>-0.67634330666682074</c:v>
                </c:pt>
                <c:pt idx="80">
                  <c:v>-0.67634330666682074</c:v>
                </c:pt>
                <c:pt idx="81">
                  <c:v>-0.67634330666682074</c:v>
                </c:pt>
                <c:pt idx="82">
                  <c:v>-0.67634330666682074</c:v>
                </c:pt>
                <c:pt idx="83">
                  <c:v>-0.67634330666682074</c:v>
                </c:pt>
                <c:pt idx="84">
                  <c:v>-0.67634330666682074</c:v>
                </c:pt>
                <c:pt idx="85">
                  <c:v>-0.67634330666682074</c:v>
                </c:pt>
                <c:pt idx="86">
                  <c:v>-0.67634330666682074</c:v>
                </c:pt>
                <c:pt idx="87">
                  <c:v>-0.67634330666682074</c:v>
                </c:pt>
                <c:pt idx="88">
                  <c:v>-0.67634330666682074</c:v>
                </c:pt>
                <c:pt idx="89">
                  <c:v>-0.67634330666682074</c:v>
                </c:pt>
                <c:pt idx="90">
                  <c:v>-0.67634330666682074</c:v>
                </c:pt>
                <c:pt idx="91">
                  <c:v>-0.67634330666682074</c:v>
                </c:pt>
                <c:pt idx="92">
                  <c:v>-0.67634330666682074</c:v>
                </c:pt>
                <c:pt idx="93">
                  <c:v>-0.67634330666682074</c:v>
                </c:pt>
                <c:pt idx="94">
                  <c:v>-0.67634330666682074</c:v>
                </c:pt>
                <c:pt idx="95">
                  <c:v>-0.67634330666682074</c:v>
                </c:pt>
                <c:pt idx="96">
                  <c:v>-0.67634330666682074</c:v>
                </c:pt>
                <c:pt idx="97">
                  <c:v>-0.67634330666682074</c:v>
                </c:pt>
                <c:pt idx="98">
                  <c:v>-0.67634330666682074</c:v>
                </c:pt>
                <c:pt idx="99">
                  <c:v>-0.67634330666682074</c:v>
                </c:pt>
                <c:pt idx="100">
                  <c:v>-1.9289529100071134</c:v>
                </c:pt>
                <c:pt idx="101">
                  <c:v>-1.9289529100071134</c:v>
                </c:pt>
                <c:pt idx="102">
                  <c:v>-1.9289529100071134</c:v>
                </c:pt>
                <c:pt idx="103">
                  <c:v>-1.9289529100071134</c:v>
                </c:pt>
                <c:pt idx="104">
                  <c:v>-1.9289529100071134</c:v>
                </c:pt>
                <c:pt idx="105">
                  <c:v>-1.9289529100071134</c:v>
                </c:pt>
                <c:pt idx="106">
                  <c:v>-1.9289529100071134</c:v>
                </c:pt>
                <c:pt idx="107">
                  <c:v>-1.9289529100071134</c:v>
                </c:pt>
                <c:pt idx="108">
                  <c:v>-1.9289529100071134</c:v>
                </c:pt>
                <c:pt idx="109">
                  <c:v>-1.9289529100071134</c:v>
                </c:pt>
                <c:pt idx="110">
                  <c:v>-1.9289529100071134</c:v>
                </c:pt>
                <c:pt idx="111">
                  <c:v>-1.9289529100071134</c:v>
                </c:pt>
                <c:pt idx="112">
                  <c:v>-1.9289529100071134</c:v>
                </c:pt>
                <c:pt idx="113">
                  <c:v>-1.9289529100071134</c:v>
                </c:pt>
                <c:pt idx="114">
                  <c:v>-1.9289529100071134</c:v>
                </c:pt>
                <c:pt idx="115">
                  <c:v>-1.9289529100071134</c:v>
                </c:pt>
                <c:pt idx="116">
                  <c:v>-1.9289529100071134</c:v>
                </c:pt>
                <c:pt idx="117">
                  <c:v>-1.9289529100071134</c:v>
                </c:pt>
                <c:pt idx="118">
                  <c:v>-1.9289529100071134</c:v>
                </c:pt>
                <c:pt idx="119">
                  <c:v>-1.9289529100071134</c:v>
                </c:pt>
                <c:pt idx="120">
                  <c:v>-1.9289529100071134</c:v>
                </c:pt>
                <c:pt idx="121">
                  <c:v>-1.9289529100071134</c:v>
                </c:pt>
                <c:pt idx="122">
                  <c:v>-1.9289529100071134</c:v>
                </c:pt>
                <c:pt idx="123">
                  <c:v>-1.9289529100071134</c:v>
                </c:pt>
                <c:pt idx="124">
                  <c:v>-1.9289529100071134</c:v>
                </c:pt>
                <c:pt idx="125">
                  <c:v>-1.9289529100071134</c:v>
                </c:pt>
                <c:pt idx="126">
                  <c:v>-1.9289529100071134</c:v>
                </c:pt>
                <c:pt idx="127">
                  <c:v>-1.9289529100071134</c:v>
                </c:pt>
                <c:pt idx="128">
                  <c:v>-1.9289529100071134</c:v>
                </c:pt>
                <c:pt idx="129">
                  <c:v>-1.9289529100071134</c:v>
                </c:pt>
                <c:pt idx="130">
                  <c:v>-1.9289529100071134</c:v>
                </c:pt>
                <c:pt idx="131">
                  <c:v>-1.9289529100071134</c:v>
                </c:pt>
                <c:pt idx="132">
                  <c:v>-1.9289529100071134</c:v>
                </c:pt>
                <c:pt idx="133">
                  <c:v>-1.9289529100071134</c:v>
                </c:pt>
                <c:pt idx="134">
                  <c:v>-1.9289529100071134</c:v>
                </c:pt>
                <c:pt idx="135">
                  <c:v>-1.9289529100071134</c:v>
                </c:pt>
                <c:pt idx="136">
                  <c:v>-1.9289529100071134</c:v>
                </c:pt>
                <c:pt idx="137">
                  <c:v>-1.9289529100071134</c:v>
                </c:pt>
                <c:pt idx="138">
                  <c:v>-1.9289529100071134</c:v>
                </c:pt>
                <c:pt idx="139">
                  <c:v>-1.9289529100071134</c:v>
                </c:pt>
                <c:pt idx="140">
                  <c:v>-1.9289529100071134</c:v>
                </c:pt>
                <c:pt idx="141">
                  <c:v>-1.9289529100071134</c:v>
                </c:pt>
                <c:pt idx="142">
                  <c:v>-1.9289529100071134</c:v>
                </c:pt>
                <c:pt idx="143">
                  <c:v>-1.9289529100071134</c:v>
                </c:pt>
                <c:pt idx="144">
                  <c:v>-1.9289529100071134</c:v>
                </c:pt>
                <c:pt idx="145">
                  <c:v>-1.9289529100071134</c:v>
                </c:pt>
                <c:pt idx="146">
                  <c:v>-1.9289529100071134</c:v>
                </c:pt>
                <c:pt idx="147">
                  <c:v>-1.9289529100071134</c:v>
                </c:pt>
                <c:pt idx="148">
                  <c:v>-1.9289529100071134</c:v>
                </c:pt>
                <c:pt idx="149">
                  <c:v>-1.9289529100071134</c:v>
                </c:pt>
                <c:pt idx="150">
                  <c:v>-1.9289529100071134</c:v>
                </c:pt>
                <c:pt idx="151">
                  <c:v>-1.9289529100071134</c:v>
                </c:pt>
                <c:pt idx="152">
                  <c:v>-1.9289529100071134</c:v>
                </c:pt>
                <c:pt idx="153">
                  <c:v>-1.9289529100071134</c:v>
                </c:pt>
                <c:pt idx="154">
                  <c:v>-1.9289529100071134</c:v>
                </c:pt>
                <c:pt idx="155">
                  <c:v>-1.9289529100071134</c:v>
                </c:pt>
                <c:pt idx="156">
                  <c:v>-1.9289529100071134</c:v>
                </c:pt>
                <c:pt idx="157">
                  <c:v>-1.9289529100071134</c:v>
                </c:pt>
                <c:pt idx="158">
                  <c:v>-1.9289529100071134</c:v>
                </c:pt>
                <c:pt idx="159">
                  <c:v>-1.9289529100071134</c:v>
                </c:pt>
                <c:pt idx="160">
                  <c:v>-1.9289529100071134</c:v>
                </c:pt>
                <c:pt idx="161">
                  <c:v>-1.9289529100071134</c:v>
                </c:pt>
                <c:pt idx="162">
                  <c:v>-1.9289529100071134</c:v>
                </c:pt>
                <c:pt idx="163">
                  <c:v>-1.9289529100071134</c:v>
                </c:pt>
                <c:pt idx="164">
                  <c:v>-1.9289529100071134</c:v>
                </c:pt>
                <c:pt idx="165">
                  <c:v>-1.9289529100071134</c:v>
                </c:pt>
                <c:pt idx="166">
                  <c:v>-1.9289529100071134</c:v>
                </c:pt>
                <c:pt idx="167">
                  <c:v>-1.9289529100071134</c:v>
                </c:pt>
                <c:pt idx="168">
                  <c:v>-1.9289529100071134</c:v>
                </c:pt>
                <c:pt idx="169">
                  <c:v>-1.9289529100071134</c:v>
                </c:pt>
                <c:pt idx="170">
                  <c:v>-1.9289529100071134</c:v>
                </c:pt>
                <c:pt idx="171">
                  <c:v>-1.9289529100071134</c:v>
                </c:pt>
                <c:pt idx="172">
                  <c:v>-1.9289529100071134</c:v>
                </c:pt>
                <c:pt idx="173">
                  <c:v>-1.9289529100071134</c:v>
                </c:pt>
                <c:pt idx="174">
                  <c:v>-0.26036833003013049</c:v>
                </c:pt>
                <c:pt idx="175">
                  <c:v>-0.26036833003013049</c:v>
                </c:pt>
                <c:pt idx="176">
                  <c:v>-0.26036833003013049</c:v>
                </c:pt>
                <c:pt idx="177">
                  <c:v>-0.26036833003013049</c:v>
                </c:pt>
                <c:pt idx="178">
                  <c:v>-0.26036833003013049</c:v>
                </c:pt>
                <c:pt idx="179">
                  <c:v>-0.26036833003013049</c:v>
                </c:pt>
                <c:pt idx="180">
                  <c:v>-0.26036833003013049</c:v>
                </c:pt>
                <c:pt idx="181">
                  <c:v>-0.26036833003013049</c:v>
                </c:pt>
                <c:pt idx="182">
                  <c:v>-0.26036833003013049</c:v>
                </c:pt>
                <c:pt idx="183">
                  <c:v>-0.26036833003013049</c:v>
                </c:pt>
                <c:pt idx="184">
                  <c:v>-0.26036833003013049</c:v>
                </c:pt>
                <c:pt idx="185">
                  <c:v>-1.0974100761627814</c:v>
                </c:pt>
                <c:pt idx="186">
                  <c:v>-1.0974100761627814</c:v>
                </c:pt>
                <c:pt idx="187">
                  <c:v>-1.0974100761627814</c:v>
                </c:pt>
                <c:pt idx="188">
                  <c:v>-1.0974100761627814</c:v>
                </c:pt>
                <c:pt idx="189">
                  <c:v>-1.0974100761627814</c:v>
                </c:pt>
                <c:pt idx="190">
                  <c:v>-1.0974100761627814</c:v>
                </c:pt>
                <c:pt idx="191">
                  <c:v>-1.0974100761627814</c:v>
                </c:pt>
                <c:pt idx="192">
                  <c:v>-1.0974100761627814</c:v>
                </c:pt>
                <c:pt idx="193">
                  <c:v>-1.0974100761627814</c:v>
                </c:pt>
                <c:pt idx="194">
                  <c:v>-1.0974100761627814</c:v>
                </c:pt>
                <c:pt idx="195">
                  <c:v>-1.0974100761627814</c:v>
                </c:pt>
                <c:pt idx="196">
                  <c:v>-1.0974100761627814</c:v>
                </c:pt>
                <c:pt idx="197">
                  <c:v>-1.0974100761627814</c:v>
                </c:pt>
                <c:pt idx="198">
                  <c:v>-1.0974100761627814</c:v>
                </c:pt>
                <c:pt idx="199">
                  <c:v>-1.0974100761627814</c:v>
                </c:pt>
                <c:pt idx="200">
                  <c:v>-1.0974100761627814</c:v>
                </c:pt>
                <c:pt idx="201">
                  <c:v>-1.0974100761627814</c:v>
                </c:pt>
                <c:pt idx="202">
                  <c:v>-1.0974100761627814</c:v>
                </c:pt>
                <c:pt idx="203">
                  <c:v>-1.0974100761627814</c:v>
                </c:pt>
                <c:pt idx="204">
                  <c:v>-1.0974100761627814</c:v>
                </c:pt>
                <c:pt idx="205">
                  <c:v>-1.0974100761627814</c:v>
                </c:pt>
                <c:pt idx="206">
                  <c:v>-1.0974100761627814</c:v>
                </c:pt>
                <c:pt idx="207">
                  <c:v>-1.0974100761627814</c:v>
                </c:pt>
                <c:pt idx="208">
                  <c:v>-1.0974100761627814</c:v>
                </c:pt>
                <c:pt idx="209">
                  <c:v>-1.0974100761627814</c:v>
                </c:pt>
                <c:pt idx="210">
                  <c:v>-1.0974100761627814</c:v>
                </c:pt>
                <c:pt idx="211">
                  <c:v>-1.0974100761627814</c:v>
                </c:pt>
                <c:pt idx="212">
                  <c:v>-1.0974100761627814</c:v>
                </c:pt>
                <c:pt idx="213">
                  <c:v>-1.0974100761627814</c:v>
                </c:pt>
                <c:pt idx="214">
                  <c:v>-0.55412230890025005</c:v>
                </c:pt>
                <c:pt idx="215">
                  <c:v>-0.55412230890025005</c:v>
                </c:pt>
                <c:pt idx="216">
                  <c:v>-0.55412230890025005</c:v>
                </c:pt>
                <c:pt idx="217">
                  <c:v>-0.55412230890025005</c:v>
                </c:pt>
                <c:pt idx="218">
                  <c:v>-0.55412230890025005</c:v>
                </c:pt>
                <c:pt idx="219">
                  <c:v>-0.55412230890025005</c:v>
                </c:pt>
                <c:pt idx="220">
                  <c:v>-0.55412230890025005</c:v>
                </c:pt>
                <c:pt idx="221">
                  <c:v>-0.55412230890025005</c:v>
                </c:pt>
                <c:pt idx="222">
                  <c:v>-0.55412230890025005</c:v>
                </c:pt>
                <c:pt idx="223">
                  <c:v>-0.55412230890025005</c:v>
                </c:pt>
                <c:pt idx="224">
                  <c:v>-0.55412230890025005</c:v>
                </c:pt>
                <c:pt idx="225">
                  <c:v>-0.55412230890025005</c:v>
                </c:pt>
                <c:pt idx="226">
                  <c:v>-0.55412230890025005</c:v>
                </c:pt>
                <c:pt idx="227">
                  <c:v>-8.9115263338952644E-2</c:v>
                </c:pt>
                <c:pt idx="228">
                  <c:v>-8.9115263338952644E-2</c:v>
                </c:pt>
                <c:pt idx="229">
                  <c:v>-8.9115263338952644E-2</c:v>
                </c:pt>
                <c:pt idx="230">
                  <c:v>-8.9115263338952644E-2</c:v>
                </c:pt>
                <c:pt idx="231">
                  <c:v>-8.9115263338952644E-2</c:v>
                </c:pt>
                <c:pt idx="232">
                  <c:v>-8.9115263338952644E-2</c:v>
                </c:pt>
                <c:pt idx="233">
                  <c:v>-8.9115263338952644E-2</c:v>
                </c:pt>
                <c:pt idx="234">
                  <c:v>-8.9115263338952644E-2</c:v>
                </c:pt>
                <c:pt idx="235">
                  <c:v>-8.9115263338952644E-2</c:v>
                </c:pt>
                <c:pt idx="236">
                  <c:v>-8.9115263338952644E-2</c:v>
                </c:pt>
                <c:pt idx="237">
                  <c:v>-8.9115263338952644E-2</c:v>
                </c:pt>
                <c:pt idx="238">
                  <c:v>-8.9115263338952644E-2</c:v>
                </c:pt>
                <c:pt idx="239">
                  <c:v>-8.9115263338952644E-2</c:v>
                </c:pt>
                <c:pt idx="240">
                  <c:v>-8.9115263338952644E-2</c:v>
                </c:pt>
                <c:pt idx="241">
                  <c:v>-8.9115263338952644E-2</c:v>
                </c:pt>
                <c:pt idx="242">
                  <c:v>-8.9115263338952644E-2</c:v>
                </c:pt>
                <c:pt idx="243">
                  <c:v>0.30198222879878239</c:v>
                </c:pt>
                <c:pt idx="244">
                  <c:v>0.30198222879878239</c:v>
                </c:pt>
                <c:pt idx="245">
                  <c:v>0.30198222879878239</c:v>
                </c:pt>
                <c:pt idx="246">
                  <c:v>0.30198222879878239</c:v>
                </c:pt>
                <c:pt idx="247">
                  <c:v>0.30198222879878239</c:v>
                </c:pt>
                <c:pt idx="248">
                  <c:v>0.30198222879878239</c:v>
                </c:pt>
                <c:pt idx="249">
                  <c:v>0.30198222879878239</c:v>
                </c:pt>
                <c:pt idx="250">
                  <c:v>0.30198222879878239</c:v>
                </c:pt>
                <c:pt idx="251">
                  <c:v>0.30198222879878239</c:v>
                </c:pt>
                <c:pt idx="252">
                  <c:v>0.30198222879878239</c:v>
                </c:pt>
                <c:pt idx="253">
                  <c:v>0.30198222879878239</c:v>
                </c:pt>
                <c:pt idx="254">
                  <c:v>0.30198222879878239</c:v>
                </c:pt>
                <c:pt idx="255">
                  <c:v>0.30198222879878239</c:v>
                </c:pt>
                <c:pt idx="256">
                  <c:v>0.30198222879878239</c:v>
                </c:pt>
                <c:pt idx="257">
                  <c:v>0.30198222879878239</c:v>
                </c:pt>
                <c:pt idx="258">
                  <c:v>0.30198222879878239</c:v>
                </c:pt>
                <c:pt idx="259">
                  <c:v>0.30198222879878239</c:v>
                </c:pt>
                <c:pt idx="260">
                  <c:v>0.30198222879878239</c:v>
                </c:pt>
                <c:pt idx="261">
                  <c:v>0.30198222879878239</c:v>
                </c:pt>
                <c:pt idx="262">
                  <c:v>0.30198222879878239</c:v>
                </c:pt>
                <c:pt idx="263">
                  <c:v>0.30198222879878239</c:v>
                </c:pt>
                <c:pt idx="264">
                  <c:v>0.30198222879878239</c:v>
                </c:pt>
                <c:pt idx="265">
                  <c:v>0.30198222879878239</c:v>
                </c:pt>
                <c:pt idx="266">
                  <c:v>0.30198222879878239</c:v>
                </c:pt>
                <c:pt idx="267">
                  <c:v>0.30198222879878239</c:v>
                </c:pt>
                <c:pt idx="268">
                  <c:v>0.30198222879878239</c:v>
                </c:pt>
                <c:pt idx="269">
                  <c:v>0.30198222879878239</c:v>
                </c:pt>
                <c:pt idx="270">
                  <c:v>0.30198222879878239</c:v>
                </c:pt>
                <c:pt idx="271">
                  <c:v>0.30198222879878239</c:v>
                </c:pt>
                <c:pt idx="272">
                  <c:v>0.30198222879878239</c:v>
                </c:pt>
                <c:pt idx="273">
                  <c:v>0.30198222879878239</c:v>
                </c:pt>
                <c:pt idx="274">
                  <c:v>0.30198222879878239</c:v>
                </c:pt>
                <c:pt idx="275">
                  <c:v>0.30198222879878239</c:v>
                </c:pt>
                <c:pt idx="276">
                  <c:v>0.30198222879878239</c:v>
                </c:pt>
                <c:pt idx="277">
                  <c:v>0.30198222879878239</c:v>
                </c:pt>
                <c:pt idx="278">
                  <c:v>0.30198222879878239</c:v>
                </c:pt>
                <c:pt idx="279">
                  <c:v>0.37351298702481961</c:v>
                </c:pt>
                <c:pt idx="280">
                  <c:v>0.37351298702481961</c:v>
                </c:pt>
                <c:pt idx="281">
                  <c:v>0.37351298702481961</c:v>
                </c:pt>
                <c:pt idx="282">
                  <c:v>0.37351298702481961</c:v>
                </c:pt>
                <c:pt idx="283">
                  <c:v>0.37351298702481961</c:v>
                </c:pt>
                <c:pt idx="284">
                  <c:v>0.37351298702481961</c:v>
                </c:pt>
                <c:pt idx="285">
                  <c:v>0.37351298702481961</c:v>
                </c:pt>
                <c:pt idx="286">
                  <c:v>0.37351298702481961</c:v>
                </c:pt>
                <c:pt idx="287">
                  <c:v>0.37351298702481961</c:v>
                </c:pt>
                <c:pt idx="288">
                  <c:v>0.37351298702481961</c:v>
                </c:pt>
                <c:pt idx="289">
                  <c:v>0.37351298702481961</c:v>
                </c:pt>
                <c:pt idx="290">
                  <c:v>0.37351298702481961</c:v>
                </c:pt>
                <c:pt idx="291">
                  <c:v>0.37351298702481961</c:v>
                </c:pt>
                <c:pt idx="292">
                  <c:v>0.37351298702481961</c:v>
                </c:pt>
                <c:pt idx="293">
                  <c:v>0.37351298702481961</c:v>
                </c:pt>
                <c:pt idx="294">
                  <c:v>0.37351298702481961</c:v>
                </c:pt>
                <c:pt idx="295">
                  <c:v>0.37351298702481961</c:v>
                </c:pt>
                <c:pt idx="296">
                  <c:v>0.37351298702481961</c:v>
                </c:pt>
                <c:pt idx="297">
                  <c:v>0.37351298702481961</c:v>
                </c:pt>
                <c:pt idx="298">
                  <c:v>-0.20119965665334139</c:v>
                </c:pt>
                <c:pt idx="299">
                  <c:v>-0.20119965665334139</c:v>
                </c:pt>
                <c:pt idx="300">
                  <c:v>-0.20119965665334139</c:v>
                </c:pt>
                <c:pt idx="301">
                  <c:v>-0.20119965665334139</c:v>
                </c:pt>
                <c:pt idx="302">
                  <c:v>-0.20119965665334139</c:v>
                </c:pt>
                <c:pt idx="303">
                  <c:v>-0.20119965665334139</c:v>
                </c:pt>
                <c:pt idx="304">
                  <c:v>-0.20119965665334139</c:v>
                </c:pt>
                <c:pt idx="305">
                  <c:v>-0.20119965665334139</c:v>
                </c:pt>
                <c:pt idx="306">
                  <c:v>-0.20119965665334139</c:v>
                </c:pt>
                <c:pt idx="307">
                  <c:v>-0.20119965665334139</c:v>
                </c:pt>
                <c:pt idx="308">
                  <c:v>-0.20119965665334139</c:v>
                </c:pt>
                <c:pt idx="309">
                  <c:v>-0.20119965665334139</c:v>
                </c:pt>
                <c:pt idx="310">
                  <c:v>-0.20119965665334139</c:v>
                </c:pt>
                <c:pt idx="311">
                  <c:v>-0.20119965665334139</c:v>
                </c:pt>
                <c:pt idx="312">
                  <c:v>-0.20119965665334139</c:v>
                </c:pt>
                <c:pt idx="313">
                  <c:v>-0.20119965665334139</c:v>
                </c:pt>
                <c:pt idx="314">
                  <c:v>-0.20119965665334139</c:v>
                </c:pt>
                <c:pt idx="315">
                  <c:v>-0.20119965665334139</c:v>
                </c:pt>
                <c:pt idx="316">
                  <c:v>-0.20119965665334139</c:v>
                </c:pt>
                <c:pt idx="317">
                  <c:v>-0.20119965665334139</c:v>
                </c:pt>
                <c:pt idx="318">
                  <c:v>-0.20119965665334139</c:v>
                </c:pt>
                <c:pt idx="319">
                  <c:v>-0.20119965665334139</c:v>
                </c:pt>
                <c:pt idx="320">
                  <c:v>-0.20119965665334139</c:v>
                </c:pt>
                <c:pt idx="321">
                  <c:v>-0.20119965665334139</c:v>
                </c:pt>
                <c:pt idx="322">
                  <c:v>-0.20119965665334139</c:v>
                </c:pt>
                <c:pt idx="323">
                  <c:v>-0.20119965665334139</c:v>
                </c:pt>
                <c:pt idx="324">
                  <c:v>-0.20119965665334139</c:v>
                </c:pt>
                <c:pt idx="325">
                  <c:v>-0.20119965665334139</c:v>
                </c:pt>
                <c:pt idx="326">
                  <c:v>-0.20119965665334139</c:v>
                </c:pt>
                <c:pt idx="327">
                  <c:v>-0.20119965665334139</c:v>
                </c:pt>
                <c:pt idx="328">
                  <c:v>-0.20119965665334139</c:v>
                </c:pt>
                <c:pt idx="329">
                  <c:v>-0.20119965665334139</c:v>
                </c:pt>
                <c:pt idx="330">
                  <c:v>-0.20119965665334139</c:v>
                </c:pt>
                <c:pt idx="331">
                  <c:v>-0.20119965665334139</c:v>
                </c:pt>
                <c:pt idx="332">
                  <c:v>-0.20119965665334139</c:v>
                </c:pt>
                <c:pt idx="333">
                  <c:v>-0.20119965665334139</c:v>
                </c:pt>
                <c:pt idx="334">
                  <c:v>-0.20119965665334139</c:v>
                </c:pt>
                <c:pt idx="335">
                  <c:v>-0.20119965665334139</c:v>
                </c:pt>
                <c:pt idx="336">
                  <c:v>-0.20119965665334139</c:v>
                </c:pt>
                <c:pt idx="337">
                  <c:v>-0.20119965665334139</c:v>
                </c:pt>
                <c:pt idx="338">
                  <c:v>-0.20119965665334139</c:v>
                </c:pt>
                <c:pt idx="339">
                  <c:v>-0.20119965665334139</c:v>
                </c:pt>
                <c:pt idx="340">
                  <c:v>-0.20119965665334139</c:v>
                </c:pt>
                <c:pt idx="341">
                  <c:v>-0.20119965665334139</c:v>
                </c:pt>
                <c:pt idx="342">
                  <c:v>-0.20119965665334139</c:v>
                </c:pt>
                <c:pt idx="343">
                  <c:v>-0.20119965665334139</c:v>
                </c:pt>
                <c:pt idx="344">
                  <c:v>-0.20119965665334139</c:v>
                </c:pt>
                <c:pt idx="345">
                  <c:v>-0.20119965665334139</c:v>
                </c:pt>
                <c:pt idx="346">
                  <c:v>-0.20119965665334139</c:v>
                </c:pt>
                <c:pt idx="347">
                  <c:v>-0.20119965665334139</c:v>
                </c:pt>
                <c:pt idx="348">
                  <c:v>-0.30570416115784371</c:v>
                </c:pt>
                <c:pt idx="349">
                  <c:v>-0.30570416115784371</c:v>
                </c:pt>
                <c:pt idx="350">
                  <c:v>-0.30570416115784371</c:v>
                </c:pt>
                <c:pt idx="351">
                  <c:v>-0.30570416115784371</c:v>
                </c:pt>
                <c:pt idx="352">
                  <c:v>-0.30570416115784371</c:v>
                </c:pt>
                <c:pt idx="353">
                  <c:v>-0.30570416115784371</c:v>
                </c:pt>
                <c:pt idx="354">
                  <c:v>-0.30570416115784371</c:v>
                </c:pt>
                <c:pt idx="355">
                  <c:v>-0.30570416115784371</c:v>
                </c:pt>
                <c:pt idx="356">
                  <c:v>-0.30570416115784371</c:v>
                </c:pt>
                <c:pt idx="357">
                  <c:v>3.4158439394052458</c:v>
                </c:pt>
                <c:pt idx="358">
                  <c:v>3.4158439394052458</c:v>
                </c:pt>
                <c:pt idx="359">
                  <c:v>3.4158439394052458</c:v>
                </c:pt>
                <c:pt idx="360">
                  <c:v>3.4158439394052458</c:v>
                </c:pt>
                <c:pt idx="361">
                  <c:v>3.4158439394052458</c:v>
                </c:pt>
                <c:pt idx="362">
                  <c:v>3.4158439394052458</c:v>
                </c:pt>
                <c:pt idx="363">
                  <c:v>3.4158439394052458</c:v>
                </c:pt>
                <c:pt idx="364">
                  <c:v>3.4158439394052458</c:v>
                </c:pt>
                <c:pt idx="365">
                  <c:v>2.7790776049644901</c:v>
                </c:pt>
                <c:pt idx="366">
                  <c:v>-2.9953877223200163</c:v>
                </c:pt>
                <c:pt idx="367">
                  <c:v>-3.9836018577043975</c:v>
                </c:pt>
                <c:pt idx="368">
                  <c:v>-3.9836018577043975</c:v>
                </c:pt>
                <c:pt idx="369">
                  <c:v>-3.9836018577043975</c:v>
                </c:pt>
                <c:pt idx="370">
                  <c:v>-3.9836018577043975</c:v>
                </c:pt>
                <c:pt idx="371">
                  <c:v>-3.9836018577043975</c:v>
                </c:pt>
                <c:pt idx="372">
                  <c:v>-3.9836018577043975</c:v>
                </c:pt>
                <c:pt idx="373">
                  <c:v>-3.9836018577043975</c:v>
                </c:pt>
                <c:pt idx="374">
                  <c:v>-3.9836018577043975</c:v>
                </c:pt>
                <c:pt idx="375">
                  <c:v>-3.9836018577043975</c:v>
                </c:pt>
                <c:pt idx="376">
                  <c:v>-3.9836018577043975</c:v>
                </c:pt>
                <c:pt idx="377">
                  <c:v>-3.9836018577043975</c:v>
                </c:pt>
                <c:pt idx="378">
                  <c:v>-3.9836018577043975</c:v>
                </c:pt>
                <c:pt idx="379">
                  <c:v>-3.9836018577043975</c:v>
                </c:pt>
                <c:pt idx="380">
                  <c:v>-3.9836018577043975</c:v>
                </c:pt>
                <c:pt idx="381">
                  <c:v>-3.9836018577043975</c:v>
                </c:pt>
                <c:pt idx="382">
                  <c:v>-2.4332142608051761</c:v>
                </c:pt>
                <c:pt idx="383">
                  <c:v>-2.4332142608051761</c:v>
                </c:pt>
                <c:pt idx="384">
                  <c:v>-2.4332142608051761</c:v>
                </c:pt>
                <c:pt idx="385">
                  <c:v>-2.4332142608051761</c:v>
                </c:pt>
                <c:pt idx="386">
                  <c:v>-2.4332142608051761</c:v>
                </c:pt>
                <c:pt idx="387">
                  <c:v>-2.4332142608051761</c:v>
                </c:pt>
                <c:pt idx="388">
                  <c:v>-2.4332142608051761</c:v>
                </c:pt>
                <c:pt idx="389">
                  <c:v>-2.4332142608051761</c:v>
                </c:pt>
                <c:pt idx="390">
                  <c:v>-2.4332142608051761</c:v>
                </c:pt>
                <c:pt idx="391">
                  <c:v>-2.4332142608051761</c:v>
                </c:pt>
                <c:pt idx="392">
                  <c:v>-2.4332142608051761</c:v>
                </c:pt>
                <c:pt idx="393">
                  <c:v>-2.4332142608051761</c:v>
                </c:pt>
                <c:pt idx="394">
                  <c:v>-2.4332142608051761</c:v>
                </c:pt>
                <c:pt idx="395">
                  <c:v>-2.4332142608051761</c:v>
                </c:pt>
                <c:pt idx="396">
                  <c:v>-2.4332142608051761</c:v>
                </c:pt>
                <c:pt idx="397">
                  <c:v>-2.4332142608051761</c:v>
                </c:pt>
                <c:pt idx="398">
                  <c:v>-2.4332142608051761</c:v>
                </c:pt>
                <c:pt idx="399">
                  <c:v>-2.4332142608051761</c:v>
                </c:pt>
                <c:pt idx="400">
                  <c:v>-2.6367641712432155</c:v>
                </c:pt>
                <c:pt idx="401">
                  <c:v>-2.6367641712432155</c:v>
                </c:pt>
                <c:pt idx="402">
                  <c:v>-2.6367641712432155</c:v>
                </c:pt>
                <c:pt idx="403">
                  <c:v>-2.6367641712432155</c:v>
                </c:pt>
                <c:pt idx="404">
                  <c:v>-2.6367641712432155</c:v>
                </c:pt>
                <c:pt idx="405">
                  <c:v>-2.6367641712432155</c:v>
                </c:pt>
                <c:pt idx="406">
                  <c:v>-2.6367641712432155</c:v>
                </c:pt>
                <c:pt idx="407">
                  <c:v>-2.6367641712432155</c:v>
                </c:pt>
                <c:pt idx="408">
                  <c:v>-2.6367641712432155</c:v>
                </c:pt>
                <c:pt idx="409">
                  <c:v>-2.6367641712432155</c:v>
                </c:pt>
                <c:pt idx="410">
                  <c:v>-2.6367641712432155</c:v>
                </c:pt>
                <c:pt idx="411">
                  <c:v>-2.6367641712432155</c:v>
                </c:pt>
                <c:pt idx="412">
                  <c:v>-2.6367641712432155</c:v>
                </c:pt>
                <c:pt idx="413">
                  <c:v>-2.6367641712432155</c:v>
                </c:pt>
                <c:pt idx="414">
                  <c:v>-2.6367641712432155</c:v>
                </c:pt>
                <c:pt idx="415">
                  <c:v>-2.6367641712432155</c:v>
                </c:pt>
                <c:pt idx="416">
                  <c:v>-2.6367641712432155</c:v>
                </c:pt>
                <c:pt idx="417">
                  <c:v>-2.6367641712432155</c:v>
                </c:pt>
                <c:pt idx="418">
                  <c:v>-2.6367641712432155</c:v>
                </c:pt>
              </c:numCache>
            </c:numRef>
          </c:val>
          <c:smooth val="1"/>
          <c:extLst>
            <c:ext xmlns:c16="http://schemas.microsoft.com/office/drawing/2014/chart" uri="{C3380CC4-5D6E-409C-BE32-E72D297353CC}">
              <c16:uniqueId val="{00000004-C9CA-4D9B-8754-B3F2C1FBE580}"/>
            </c:ext>
          </c:extLst>
        </c:ser>
        <c:ser>
          <c:idx val="6"/>
          <c:order val="5"/>
          <c:tx>
            <c:v>XLP</c:v>
          </c:tx>
          <c:spPr>
            <a:ln w="28575" cap="rnd">
              <a:solidFill>
                <a:schemeClr val="accent1">
                  <a:lumMod val="60000"/>
                </a:schemeClr>
              </a:solidFill>
              <a:prstDash val="solid"/>
              <a:round/>
            </a:ln>
            <a:effectLst/>
          </c:spPr>
          <c:marker>
            <c:symbol val="none"/>
          </c:marker>
          <c:val>
            <c:numRef>
              <c:f>'2025-Q2'!$DG$4:$DG$422</c:f>
              <c:numCache>
                <c:formatCode>0.00</c:formatCode>
                <c:ptCount val="419"/>
                <c:pt idx="0">
                  <c:v>0</c:v>
                </c:pt>
                <c:pt idx="1">
                  <c:v>0.6788440567066546</c:v>
                </c:pt>
                <c:pt idx="2">
                  <c:v>0.6788440567066546</c:v>
                </c:pt>
                <c:pt idx="3">
                  <c:v>0.6788440567066546</c:v>
                </c:pt>
                <c:pt idx="4">
                  <c:v>0.6788440567066546</c:v>
                </c:pt>
                <c:pt idx="5">
                  <c:v>0.6788440567066546</c:v>
                </c:pt>
                <c:pt idx="6">
                  <c:v>0.6788440567066546</c:v>
                </c:pt>
                <c:pt idx="7">
                  <c:v>0.6788440567066546</c:v>
                </c:pt>
                <c:pt idx="8">
                  <c:v>0.6788440567066546</c:v>
                </c:pt>
                <c:pt idx="9">
                  <c:v>0.6788440567066546</c:v>
                </c:pt>
                <c:pt idx="10">
                  <c:v>0.6788440567066546</c:v>
                </c:pt>
                <c:pt idx="11">
                  <c:v>0.6788440567066546</c:v>
                </c:pt>
                <c:pt idx="12">
                  <c:v>0.6788440567066546</c:v>
                </c:pt>
                <c:pt idx="13">
                  <c:v>0.6788440567066546</c:v>
                </c:pt>
                <c:pt idx="14">
                  <c:v>0.6788440567066546</c:v>
                </c:pt>
                <c:pt idx="15">
                  <c:v>0.6788440567066546</c:v>
                </c:pt>
                <c:pt idx="16">
                  <c:v>0.6788440567066546</c:v>
                </c:pt>
                <c:pt idx="17">
                  <c:v>0.6788440567066546</c:v>
                </c:pt>
                <c:pt idx="18">
                  <c:v>0.6788440567066546</c:v>
                </c:pt>
                <c:pt idx="19">
                  <c:v>0.6788440567066546</c:v>
                </c:pt>
                <c:pt idx="20">
                  <c:v>0.6788440567066546</c:v>
                </c:pt>
                <c:pt idx="21">
                  <c:v>0.6788440567066546</c:v>
                </c:pt>
                <c:pt idx="22">
                  <c:v>0.6788440567066546</c:v>
                </c:pt>
                <c:pt idx="23">
                  <c:v>0.6788440567066546</c:v>
                </c:pt>
                <c:pt idx="24">
                  <c:v>0.6788440567066546</c:v>
                </c:pt>
                <c:pt idx="25">
                  <c:v>0.6788440567066546</c:v>
                </c:pt>
                <c:pt idx="26">
                  <c:v>0.6788440567066546</c:v>
                </c:pt>
                <c:pt idx="27">
                  <c:v>0.6788440567066546</c:v>
                </c:pt>
                <c:pt idx="28">
                  <c:v>0.6788440567066546</c:v>
                </c:pt>
                <c:pt idx="29">
                  <c:v>0.6788440567066546</c:v>
                </c:pt>
                <c:pt idx="30">
                  <c:v>0.6788440567066546</c:v>
                </c:pt>
                <c:pt idx="31">
                  <c:v>0.6788440567066546</c:v>
                </c:pt>
                <c:pt idx="32">
                  <c:v>0.6788440567066546</c:v>
                </c:pt>
                <c:pt idx="33">
                  <c:v>0.6788440567066546</c:v>
                </c:pt>
                <c:pt idx="34">
                  <c:v>0.6788440567066546</c:v>
                </c:pt>
                <c:pt idx="35">
                  <c:v>0.6788440567066546</c:v>
                </c:pt>
                <c:pt idx="36">
                  <c:v>0.6788440567066546</c:v>
                </c:pt>
                <c:pt idx="37">
                  <c:v>0.6788440567066546</c:v>
                </c:pt>
                <c:pt idx="38">
                  <c:v>0.6788440567066546</c:v>
                </c:pt>
                <c:pt idx="39">
                  <c:v>0.6788440567066546</c:v>
                </c:pt>
                <c:pt idx="40">
                  <c:v>0.6788440567066546</c:v>
                </c:pt>
                <c:pt idx="41">
                  <c:v>0.6788440567066546</c:v>
                </c:pt>
                <c:pt idx="42">
                  <c:v>0.6788440567066546</c:v>
                </c:pt>
                <c:pt idx="43">
                  <c:v>0.6788440567066546</c:v>
                </c:pt>
                <c:pt idx="44">
                  <c:v>0.6788440567066546</c:v>
                </c:pt>
                <c:pt idx="45">
                  <c:v>0.6788440567066546</c:v>
                </c:pt>
                <c:pt idx="46">
                  <c:v>0.6788440567066546</c:v>
                </c:pt>
                <c:pt idx="47">
                  <c:v>0.6788440567066546</c:v>
                </c:pt>
                <c:pt idx="48">
                  <c:v>0.6788440567066546</c:v>
                </c:pt>
                <c:pt idx="49">
                  <c:v>0.6788440567066546</c:v>
                </c:pt>
                <c:pt idx="50">
                  <c:v>0.6788440567066546</c:v>
                </c:pt>
                <c:pt idx="51">
                  <c:v>0.6788440567066546</c:v>
                </c:pt>
                <c:pt idx="52">
                  <c:v>0.6788440567066546</c:v>
                </c:pt>
                <c:pt idx="53">
                  <c:v>0.6788440567066546</c:v>
                </c:pt>
                <c:pt idx="54">
                  <c:v>0.6788440567066546</c:v>
                </c:pt>
                <c:pt idx="55">
                  <c:v>0.6788440567066546</c:v>
                </c:pt>
                <c:pt idx="56">
                  <c:v>0.6788440567066546</c:v>
                </c:pt>
                <c:pt idx="57">
                  <c:v>0.6788440567066546</c:v>
                </c:pt>
                <c:pt idx="58">
                  <c:v>0.6788440567066546</c:v>
                </c:pt>
                <c:pt idx="59">
                  <c:v>0.6788440567066546</c:v>
                </c:pt>
                <c:pt idx="60">
                  <c:v>0.6788440567066546</c:v>
                </c:pt>
                <c:pt idx="61">
                  <c:v>0.6788440567066546</c:v>
                </c:pt>
                <c:pt idx="62">
                  <c:v>0.6788440567066546</c:v>
                </c:pt>
                <c:pt idx="63">
                  <c:v>0.6788440567066546</c:v>
                </c:pt>
                <c:pt idx="64">
                  <c:v>0.6788440567066546</c:v>
                </c:pt>
                <c:pt idx="65">
                  <c:v>0.6788440567066546</c:v>
                </c:pt>
                <c:pt idx="66">
                  <c:v>0.6788440567066546</c:v>
                </c:pt>
                <c:pt idx="67">
                  <c:v>0.6788440567066546</c:v>
                </c:pt>
                <c:pt idx="68">
                  <c:v>0.6788440567066546</c:v>
                </c:pt>
                <c:pt idx="69">
                  <c:v>0.6788440567066546</c:v>
                </c:pt>
                <c:pt idx="70">
                  <c:v>0.6788440567066546</c:v>
                </c:pt>
                <c:pt idx="71">
                  <c:v>0.6788440567066546</c:v>
                </c:pt>
                <c:pt idx="72">
                  <c:v>0.6788440567066546</c:v>
                </c:pt>
                <c:pt idx="73">
                  <c:v>0.6788440567066546</c:v>
                </c:pt>
                <c:pt idx="74">
                  <c:v>0.6788440567066546</c:v>
                </c:pt>
                <c:pt idx="75">
                  <c:v>0.6788440567066546</c:v>
                </c:pt>
                <c:pt idx="76">
                  <c:v>0.6788440567066546</c:v>
                </c:pt>
                <c:pt idx="77">
                  <c:v>0.6788440567066546</c:v>
                </c:pt>
                <c:pt idx="78">
                  <c:v>0.6788440567066546</c:v>
                </c:pt>
                <c:pt idx="79">
                  <c:v>0.6788440567066546</c:v>
                </c:pt>
                <c:pt idx="80">
                  <c:v>0.6788440567066546</c:v>
                </c:pt>
                <c:pt idx="81">
                  <c:v>0.6788440567066546</c:v>
                </c:pt>
                <c:pt idx="82">
                  <c:v>0.6788440567066546</c:v>
                </c:pt>
                <c:pt idx="83">
                  <c:v>0.6788440567066546</c:v>
                </c:pt>
                <c:pt idx="84">
                  <c:v>0.6788440567066546</c:v>
                </c:pt>
                <c:pt idx="85">
                  <c:v>0.6788440567066546</c:v>
                </c:pt>
                <c:pt idx="86">
                  <c:v>0.6788440567066546</c:v>
                </c:pt>
                <c:pt idx="87">
                  <c:v>0.6788440567066546</c:v>
                </c:pt>
                <c:pt idx="88">
                  <c:v>0.6788440567066546</c:v>
                </c:pt>
                <c:pt idx="89">
                  <c:v>0.6788440567066546</c:v>
                </c:pt>
                <c:pt idx="90">
                  <c:v>0.6788440567066546</c:v>
                </c:pt>
                <c:pt idx="91">
                  <c:v>0.6788440567066546</c:v>
                </c:pt>
                <c:pt idx="92">
                  <c:v>0.6788440567066546</c:v>
                </c:pt>
                <c:pt idx="93">
                  <c:v>0.6788440567066546</c:v>
                </c:pt>
                <c:pt idx="94">
                  <c:v>0.6788440567066546</c:v>
                </c:pt>
                <c:pt idx="95">
                  <c:v>0.6788440567066546</c:v>
                </c:pt>
                <c:pt idx="96">
                  <c:v>0.77374072477919809</c:v>
                </c:pt>
                <c:pt idx="97">
                  <c:v>0.77374072477919809</c:v>
                </c:pt>
                <c:pt idx="98">
                  <c:v>0.77374072477919809</c:v>
                </c:pt>
                <c:pt idx="99">
                  <c:v>0.77374072477919809</c:v>
                </c:pt>
                <c:pt idx="100">
                  <c:v>0.77374072477919809</c:v>
                </c:pt>
                <c:pt idx="101">
                  <c:v>0.77374072477919809</c:v>
                </c:pt>
                <c:pt idx="102">
                  <c:v>0.77374072477919809</c:v>
                </c:pt>
                <c:pt idx="103">
                  <c:v>0.77374072477919809</c:v>
                </c:pt>
                <c:pt idx="104">
                  <c:v>0.77374072477919809</c:v>
                </c:pt>
                <c:pt idx="105">
                  <c:v>0.77374072477919809</c:v>
                </c:pt>
                <c:pt idx="106">
                  <c:v>0.77374072477919809</c:v>
                </c:pt>
                <c:pt idx="107">
                  <c:v>0.77374072477919809</c:v>
                </c:pt>
                <c:pt idx="108">
                  <c:v>0.77374072477919809</c:v>
                </c:pt>
                <c:pt idx="109">
                  <c:v>0.77374072477919809</c:v>
                </c:pt>
                <c:pt idx="110">
                  <c:v>0.77374072477919809</c:v>
                </c:pt>
                <c:pt idx="111">
                  <c:v>0.77374072477919809</c:v>
                </c:pt>
                <c:pt idx="112">
                  <c:v>0.77374072477919809</c:v>
                </c:pt>
                <c:pt idx="113">
                  <c:v>0.77374072477919809</c:v>
                </c:pt>
                <c:pt idx="114">
                  <c:v>0.77374072477919809</c:v>
                </c:pt>
                <c:pt idx="115">
                  <c:v>0.77374072477919809</c:v>
                </c:pt>
                <c:pt idx="116">
                  <c:v>0.77374072477919809</c:v>
                </c:pt>
                <c:pt idx="117">
                  <c:v>0.77374072477919809</c:v>
                </c:pt>
                <c:pt idx="118">
                  <c:v>0.77374072477919809</c:v>
                </c:pt>
                <c:pt idx="119">
                  <c:v>0.77374072477919809</c:v>
                </c:pt>
                <c:pt idx="120">
                  <c:v>0.77374072477919809</c:v>
                </c:pt>
                <c:pt idx="121">
                  <c:v>0.77374072477919809</c:v>
                </c:pt>
                <c:pt idx="122">
                  <c:v>0.77374072477919809</c:v>
                </c:pt>
                <c:pt idx="123">
                  <c:v>0.77374072477919809</c:v>
                </c:pt>
                <c:pt idx="124">
                  <c:v>0.77374072477919809</c:v>
                </c:pt>
                <c:pt idx="125">
                  <c:v>0.77374072477919809</c:v>
                </c:pt>
                <c:pt idx="126">
                  <c:v>0.77374072477919809</c:v>
                </c:pt>
                <c:pt idx="127">
                  <c:v>0.77374072477919809</c:v>
                </c:pt>
                <c:pt idx="128">
                  <c:v>0.77374072477919809</c:v>
                </c:pt>
                <c:pt idx="129">
                  <c:v>0.77374072477919809</c:v>
                </c:pt>
                <c:pt idx="130">
                  <c:v>0.77374072477919809</c:v>
                </c:pt>
                <c:pt idx="131">
                  <c:v>0.77374072477919809</c:v>
                </c:pt>
                <c:pt idx="132">
                  <c:v>0.77374072477919809</c:v>
                </c:pt>
                <c:pt idx="133">
                  <c:v>0.77374072477919809</c:v>
                </c:pt>
                <c:pt idx="134">
                  <c:v>1.261291609944398</c:v>
                </c:pt>
                <c:pt idx="135">
                  <c:v>1.261291609944398</c:v>
                </c:pt>
                <c:pt idx="136">
                  <c:v>1.261291609944398</c:v>
                </c:pt>
                <c:pt idx="137">
                  <c:v>1.261291609944398</c:v>
                </c:pt>
                <c:pt idx="138">
                  <c:v>1.261291609944398</c:v>
                </c:pt>
                <c:pt idx="139">
                  <c:v>1.261291609944398</c:v>
                </c:pt>
                <c:pt idx="140">
                  <c:v>1.261291609944398</c:v>
                </c:pt>
                <c:pt idx="141">
                  <c:v>1.261291609944398</c:v>
                </c:pt>
                <c:pt idx="142">
                  <c:v>1.261291609944398</c:v>
                </c:pt>
                <c:pt idx="143">
                  <c:v>1.261291609944398</c:v>
                </c:pt>
                <c:pt idx="144">
                  <c:v>1.2121188689979676</c:v>
                </c:pt>
                <c:pt idx="145">
                  <c:v>1.2121188689979676</c:v>
                </c:pt>
                <c:pt idx="146">
                  <c:v>1.2121188689979676</c:v>
                </c:pt>
                <c:pt idx="147">
                  <c:v>1.2121188689979676</c:v>
                </c:pt>
                <c:pt idx="148">
                  <c:v>1.2121188689979676</c:v>
                </c:pt>
                <c:pt idx="149">
                  <c:v>1.2121188689979676</c:v>
                </c:pt>
                <c:pt idx="150">
                  <c:v>1.2121188689979676</c:v>
                </c:pt>
                <c:pt idx="151">
                  <c:v>1.2121188689979676</c:v>
                </c:pt>
                <c:pt idx="152">
                  <c:v>1.2121188689979676</c:v>
                </c:pt>
                <c:pt idx="153">
                  <c:v>1.2121188689979676</c:v>
                </c:pt>
                <c:pt idx="154">
                  <c:v>1.2121188689979676</c:v>
                </c:pt>
                <c:pt idx="155">
                  <c:v>1.2121188689979676</c:v>
                </c:pt>
                <c:pt idx="156">
                  <c:v>1.2121188689979676</c:v>
                </c:pt>
                <c:pt idx="157">
                  <c:v>1.2121188689979676</c:v>
                </c:pt>
                <c:pt idx="158">
                  <c:v>1.2121188689979676</c:v>
                </c:pt>
                <c:pt idx="159">
                  <c:v>1.2121188689979676</c:v>
                </c:pt>
                <c:pt idx="160">
                  <c:v>1.2121188689979676</c:v>
                </c:pt>
                <c:pt idx="161">
                  <c:v>1.2121188689979676</c:v>
                </c:pt>
                <c:pt idx="162">
                  <c:v>1.2121188689979676</c:v>
                </c:pt>
                <c:pt idx="163">
                  <c:v>1.2121188689979676</c:v>
                </c:pt>
                <c:pt idx="164">
                  <c:v>1.2121188689979676</c:v>
                </c:pt>
                <c:pt idx="165">
                  <c:v>1.2121188689979676</c:v>
                </c:pt>
                <c:pt idx="166">
                  <c:v>1.2121188689979676</c:v>
                </c:pt>
                <c:pt idx="167">
                  <c:v>1.2121188689979676</c:v>
                </c:pt>
                <c:pt idx="168">
                  <c:v>1.2121188689979676</c:v>
                </c:pt>
                <c:pt idx="169">
                  <c:v>1.2121188689979676</c:v>
                </c:pt>
                <c:pt idx="170">
                  <c:v>1.2121188689979676</c:v>
                </c:pt>
                <c:pt idx="171">
                  <c:v>1.2121188689979676</c:v>
                </c:pt>
                <c:pt idx="172">
                  <c:v>1.2121188689979676</c:v>
                </c:pt>
                <c:pt idx="173">
                  <c:v>1.2121188689979676</c:v>
                </c:pt>
                <c:pt idx="174">
                  <c:v>1.2121188689979676</c:v>
                </c:pt>
                <c:pt idx="175">
                  <c:v>1.2121188689979676</c:v>
                </c:pt>
                <c:pt idx="176">
                  <c:v>1.2121188689979676</c:v>
                </c:pt>
                <c:pt idx="177">
                  <c:v>1.2121188689979676</c:v>
                </c:pt>
                <c:pt idx="178">
                  <c:v>1.2121188689979676</c:v>
                </c:pt>
                <c:pt idx="179">
                  <c:v>1.2121188689979676</c:v>
                </c:pt>
                <c:pt idx="180">
                  <c:v>1.2121188689979676</c:v>
                </c:pt>
                <c:pt idx="181">
                  <c:v>1.2121188689979676</c:v>
                </c:pt>
                <c:pt idx="182">
                  <c:v>1.2121188689979676</c:v>
                </c:pt>
                <c:pt idx="183">
                  <c:v>1.2121188689979676</c:v>
                </c:pt>
                <c:pt idx="184">
                  <c:v>1.2121188689979676</c:v>
                </c:pt>
                <c:pt idx="185">
                  <c:v>1.2121188689979676</c:v>
                </c:pt>
                <c:pt idx="186">
                  <c:v>1.2121188689979676</c:v>
                </c:pt>
                <c:pt idx="187">
                  <c:v>1.2121188689979676</c:v>
                </c:pt>
                <c:pt idx="188">
                  <c:v>1.2121188689979676</c:v>
                </c:pt>
                <c:pt idx="189">
                  <c:v>1.2121188689979676</c:v>
                </c:pt>
                <c:pt idx="190">
                  <c:v>1.2121188689979676</c:v>
                </c:pt>
                <c:pt idx="191">
                  <c:v>1.2121188689979676</c:v>
                </c:pt>
                <c:pt idx="192">
                  <c:v>1.2121188689979676</c:v>
                </c:pt>
                <c:pt idx="193">
                  <c:v>1.2121188689979676</c:v>
                </c:pt>
                <c:pt idx="194">
                  <c:v>1.2121188689979676</c:v>
                </c:pt>
                <c:pt idx="195">
                  <c:v>1.2121188689979676</c:v>
                </c:pt>
                <c:pt idx="196">
                  <c:v>1.2121188689979676</c:v>
                </c:pt>
                <c:pt idx="197">
                  <c:v>1.2121188689979676</c:v>
                </c:pt>
                <c:pt idx="198">
                  <c:v>1.2121188689979676</c:v>
                </c:pt>
                <c:pt idx="199">
                  <c:v>1.2121188689979676</c:v>
                </c:pt>
                <c:pt idx="200">
                  <c:v>1.2121188689979676</c:v>
                </c:pt>
                <c:pt idx="201">
                  <c:v>1.2121188689979676</c:v>
                </c:pt>
                <c:pt idx="202">
                  <c:v>1.2121188689979676</c:v>
                </c:pt>
                <c:pt idx="203">
                  <c:v>1.2121188689979676</c:v>
                </c:pt>
                <c:pt idx="204">
                  <c:v>1.2121188689979676</c:v>
                </c:pt>
                <c:pt idx="205">
                  <c:v>1.2121188689979676</c:v>
                </c:pt>
                <c:pt idx="206">
                  <c:v>1.2121188689979676</c:v>
                </c:pt>
                <c:pt idx="207">
                  <c:v>1.2121188689979676</c:v>
                </c:pt>
                <c:pt idx="208">
                  <c:v>1.2121188689979676</c:v>
                </c:pt>
                <c:pt idx="209">
                  <c:v>1.4372689690646794</c:v>
                </c:pt>
                <c:pt idx="210">
                  <c:v>1.4372689690646794</c:v>
                </c:pt>
                <c:pt idx="211">
                  <c:v>1.4372689690646794</c:v>
                </c:pt>
                <c:pt idx="212">
                  <c:v>1.4372689690646794</c:v>
                </c:pt>
                <c:pt idx="213">
                  <c:v>1.5249935139936004</c:v>
                </c:pt>
                <c:pt idx="214">
                  <c:v>1.5249935139936004</c:v>
                </c:pt>
                <c:pt idx="215">
                  <c:v>1.5249935139936004</c:v>
                </c:pt>
                <c:pt idx="216">
                  <c:v>1.5249935139936004</c:v>
                </c:pt>
                <c:pt idx="217">
                  <c:v>1.5249935139936004</c:v>
                </c:pt>
                <c:pt idx="218">
                  <c:v>1.5249935139936004</c:v>
                </c:pt>
                <c:pt idx="219">
                  <c:v>1.5249935139936004</c:v>
                </c:pt>
                <c:pt idx="220">
                  <c:v>1.5249935139936004</c:v>
                </c:pt>
                <c:pt idx="221">
                  <c:v>1.5249935139936004</c:v>
                </c:pt>
                <c:pt idx="222">
                  <c:v>1.5249935139936004</c:v>
                </c:pt>
                <c:pt idx="223">
                  <c:v>1.5249935139936004</c:v>
                </c:pt>
                <c:pt idx="224">
                  <c:v>1.5249935139936004</c:v>
                </c:pt>
                <c:pt idx="225">
                  <c:v>1.5249935139936004</c:v>
                </c:pt>
                <c:pt idx="226">
                  <c:v>1.5249935139936004</c:v>
                </c:pt>
                <c:pt idx="227">
                  <c:v>1.5249935139936004</c:v>
                </c:pt>
                <c:pt idx="228">
                  <c:v>1.5249935139936004</c:v>
                </c:pt>
                <c:pt idx="229">
                  <c:v>1.5249935139936004</c:v>
                </c:pt>
                <c:pt idx="230">
                  <c:v>1.5249935139936004</c:v>
                </c:pt>
                <c:pt idx="231">
                  <c:v>1.5249935139936004</c:v>
                </c:pt>
                <c:pt idx="232">
                  <c:v>1.5249935139936004</c:v>
                </c:pt>
                <c:pt idx="233">
                  <c:v>1.5249935139936004</c:v>
                </c:pt>
                <c:pt idx="234">
                  <c:v>1.5249935139936004</c:v>
                </c:pt>
                <c:pt idx="235">
                  <c:v>1.5249935139936004</c:v>
                </c:pt>
                <c:pt idx="236">
                  <c:v>1.5249935139936004</c:v>
                </c:pt>
                <c:pt idx="237">
                  <c:v>1.5249935139936004</c:v>
                </c:pt>
                <c:pt idx="238">
                  <c:v>1.5249935139936004</c:v>
                </c:pt>
                <c:pt idx="239">
                  <c:v>1.5249935139936004</c:v>
                </c:pt>
                <c:pt idx="240">
                  <c:v>1.5249935139936004</c:v>
                </c:pt>
                <c:pt idx="241">
                  <c:v>1.5249935139936004</c:v>
                </c:pt>
                <c:pt idx="242">
                  <c:v>1.5249935139936004</c:v>
                </c:pt>
                <c:pt idx="243">
                  <c:v>1.5249935139936004</c:v>
                </c:pt>
                <c:pt idx="244">
                  <c:v>1.5249935139936004</c:v>
                </c:pt>
                <c:pt idx="245">
                  <c:v>1.5249935139936004</c:v>
                </c:pt>
                <c:pt idx="246">
                  <c:v>1.5249935139936004</c:v>
                </c:pt>
                <c:pt idx="247">
                  <c:v>1.5249935139936004</c:v>
                </c:pt>
                <c:pt idx="248">
                  <c:v>1.5249935139936004</c:v>
                </c:pt>
                <c:pt idx="249">
                  <c:v>1.5249935139936004</c:v>
                </c:pt>
                <c:pt idx="250">
                  <c:v>1.5249935139936004</c:v>
                </c:pt>
                <c:pt idx="251">
                  <c:v>1.5249935139936004</c:v>
                </c:pt>
                <c:pt idx="252">
                  <c:v>1.5249935139936004</c:v>
                </c:pt>
                <c:pt idx="253">
                  <c:v>1.5249935139936004</c:v>
                </c:pt>
                <c:pt idx="254">
                  <c:v>1.5249935139936004</c:v>
                </c:pt>
                <c:pt idx="255">
                  <c:v>2.0536926011145376</c:v>
                </c:pt>
                <c:pt idx="256">
                  <c:v>2.0536926011145376</c:v>
                </c:pt>
                <c:pt idx="257">
                  <c:v>2.0536926011145376</c:v>
                </c:pt>
                <c:pt idx="258">
                  <c:v>2.0536926011145376</c:v>
                </c:pt>
                <c:pt idx="259">
                  <c:v>2.0536926011145376</c:v>
                </c:pt>
                <c:pt idx="260">
                  <c:v>2.0536926011145376</c:v>
                </c:pt>
                <c:pt idx="261">
                  <c:v>1.7624645309390978</c:v>
                </c:pt>
                <c:pt idx="262">
                  <c:v>1.7624645309390978</c:v>
                </c:pt>
                <c:pt idx="263">
                  <c:v>1.7624645309390978</c:v>
                </c:pt>
                <c:pt idx="264">
                  <c:v>1.7624645309390978</c:v>
                </c:pt>
                <c:pt idx="265">
                  <c:v>1.7624645309390978</c:v>
                </c:pt>
                <c:pt idx="266">
                  <c:v>1.7624645309390978</c:v>
                </c:pt>
                <c:pt idx="267">
                  <c:v>1.7624645309390978</c:v>
                </c:pt>
                <c:pt idx="268">
                  <c:v>1.7624645309390978</c:v>
                </c:pt>
                <c:pt idx="269">
                  <c:v>1.7624645309390978</c:v>
                </c:pt>
                <c:pt idx="270">
                  <c:v>1.7624645309390978</c:v>
                </c:pt>
                <c:pt idx="271">
                  <c:v>1.7624645309390978</c:v>
                </c:pt>
                <c:pt idx="272">
                  <c:v>1.7624645309390978</c:v>
                </c:pt>
                <c:pt idx="273">
                  <c:v>1.7624645309390978</c:v>
                </c:pt>
                <c:pt idx="274">
                  <c:v>1.7624645309390978</c:v>
                </c:pt>
                <c:pt idx="275">
                  <c:v>1.7624645309390978</c:v>
                </c:pt>
                <c:pt idx="276">
                  <c:v>1.7624645309390978</c:v>
                </c:pt>
                <c:pt idx="277">
                  <c:v>1.7624645309390978</c:v>
                </c:pt>
                <c:pt idx="278">
                  <c:v>1.7624645309390978</c:v>
                </c:pt>
                <c:pt idx="279">
                  <c:v>1.7624645309390978</c:v>
                </c:pt>
                <c:pt idx="280">
                  <c:v>1.7624645309390978</c:v>
                </c:pt>
                <c:pt idx="281">
                  <c:v>1.7624645309390978</c:v>
                </c:pt>
                <c:pt idx="282">
                  <c:v>1.7624645309390978</c:v>
                </c:pt>
                <c:pt idx="283">
                  <c:v>1.7624645309390978</c:v>
                </c:pt>
                <c:pt idx="284">
                  <c:v>1.7624645309390978</c:v>
                </c:pt>
                <c:pt idx="285">
                  <c:v>1.7624645309390978</c:v>
                </c:pt>
                <c:pt idx="286">
                  <c:v>1.7624645309390978</c:v>
                </c:pt>
                <c:pt idx="287">
                  <c:v>1.7624645309390978</c:v>
                </c:pt>
                <c:pt idx="288">
                  <c:v>1.7624645309390978</c:v>
                </c:pt>
                <c:pt idx="289">
                  <c:v>1.3104003890080136</c:v>
                </c:pt>
                <c:pt idx="290">
                  <c:v>1.3104003890080136</c:v>
                </c:pt>
                <c:pt idx="291">
                  <c:v>1.3104003890080136</c:v>
                </c:pt>
                <c:pt idx="292">
                  <c:v>1.3104003890080136</c:v>
                </c:pt>
                <c:pt idx="293">
                  <c:v>1.3104003890080136</c:v>
                </c:pt>
                <c:pt idx="294">
                  <c:v>1.3104003890080136</c:v>
                </c:pt>
                <c:pt idx="295">
                  <c:v>1.3104003890080136</c:v>
                </c:pt>
                <c:pt idx="296">
                  <c:v>1.3104003890080136</c:v>
                </c:pt>
                <c:pt idx="297">
                  <c:v>1.3104003890080136</c:v>
                </c:pt>
                <c:pt idx="298">
                  <c:v>1.3104003890080136</c:v>
                </c:pt>
                <c:pt idx="299">
                  <c:v>1.3104003890080136</c:v>
                </c:pt>
                <c:pt idx="300">
                  <c:v>1.3104003890080136</c:v>
                </c:pt>
                <c:pt idx="301">
                  <c:v>1.3104003890080136</c:v>
                </c:pt>
                <c:pt idx="302">
                  <c:v>1.3104003890080136</c:v>
                </c:pt>
                <c:pt idx="303">
                  <c:v>1.3104003890080136</c:v>
                </c:pt>
                <c:pt idx="304">
                  <c:v>1.3104003890080136</c:v>
                </c:pt>
                <c:pt idx="305">
                  <c:v>1.3104003890080136</c:v>
                </c:pt>
                <c:pt idx="306">
                  <c:v>1.3104003890080136</c:v>
                </c:pt>
                <c:pt idx="307">
                  <c:v>1.3104003890080136</c:v>
                </c:pt>
                <c:pt idx="308">
                  <c:v>1.3104003890080136</c:v>
                </c:pt>
                <c:pt idx="309">
                  <c:v>1.3104003890080136</c:v>
                </c:pt>
                <c:pt idx="310">
                  <c:v>1.3104003890080136</c:v>
                </c:pt>
                <c:pt idx="311">
                  <c:v>2.626961496209514</c:v>
                </c:pt>
                <c:pt idx="312">
                  <c:v>2.626961496209514</c:v>
                </c:pt>
                <c:pt idx="313">
                  <c:v>2.626961496209514</c:v>
                </c:pt>
                <c:pt idx="314">
                  <c:v>2.626961496209514</c:v>
                </c:pt>
                <c:pt idx="315">
                  <c:v>2.626961496209514</c:v>
                </c:pt>
                <c:pt idx="316">
                  <c:v>2.626961496209514</c:v>
                </c:pt>
                <c:pt idx="317">
                  <c:v>2.626961496209514</c:v>
                </c:pt>
                <c:pt idx="318">
                  <c:v>2.626961496209514</c:v>
                </c:pt>
                <c:pt idx="319">
                  <c:v>2.626961496209514</c:v>
                </c:pt>
                <c:pt idx="320">
                  <c:v>2.626961496209514</c:v>
                </c:pt>
                <c:pt idx="321">
                  <c:v>2.626961496209514</c:v>
                </c:pt>
                <c:pt idx="322">
                  <c:v>2.626961496209514</c:v>
                </c:pt>
                <c:pt idx="323">
                  <c:v>2.626961496209514</c:v>
                </c:pt>
                <c:pt idx="324">
                  <c:v>2.626961496209514</c:v>
                </c:pt>
                <c:pt idx="325">
                  <c:v>2.626961496209514</c:v>
                </c:pt>
                <c:pt idx="326">
                  <c:v>2.626961496209514</c:v>
                </c:pt>
                <c:pt idx="327">
                  <c:v>2.626961496209514</c:v>
                </c:pt>
                <c:pt idx="328">
                  <c:v>2.626961496209514</c:v>
                </c:pt>
                <c:pt idx="329">
                  <c:v>2.626961496209514</c:v>
                </c:pt>
                <c:pt idx="330">
                  <c:v>2.626961496209514</c:v>
                </c:pt>
                <c:pt idx="331">
                  <c:v>2.626961496209514</c:v>
                </c:pt>
                <c:pt idx="332">
                  <c:v>2.626961496209514</c:v>
                </c:pt>
                <c:pt idx="333">
                  <c:v>2.626961496209514</c:v>
                </c:pt>
                <c:pt idx="334">
                  <c:v>2.626961496209514</c:v>
                </c:pt>
                <c:pt idx="335">
                  <c:v>2.626961496209514</c:v>
                </c:pt>
                <c:pt idx="336">
                  <c:v>2.626961496209514</c:v>
                </c:pt>
                <c:pt idx="337">
                  <c:v>2.626961496209514</c:v>
                </c:pt>
                <c:pt idx="338">
                  <c:v>2.626961496209514</c:v>
                </c:pt>
                <c:pt idx="339">
                  <c:v>2.626961496209514</c:v>
                </c:pt>
                <c:pt idx="340">
                  <c:v>2.626961496209514</c:v>
                </c:pt>
                <c:pt idx="341">
                  <c:v>2.626961496209514</c:v>
                </c:pt>
                <c:pt idx="342">
                  <c:v>3.0565650892577492</c:v>
                </c:pt>
                <c:pt idx="343">
                  <c:v>3.0565650892577492</c:v>
                </c:pt>
                <c:pt idx="344">
                  <c:v>3.0565650892577492</c:v>
                </c:pt>
                <c:pt idx="345">
                  <c:v>3.0565650892577492</c:v>
                </c:pt>
                <c:pt idx="346">
                  <c:v>3.0565650892577492</c:v>
                </c:pt>
                <c:pt idx="347">
                  <c:v>3.0565650892577492</c:v>
                </c:pt>
                <c:pt idx="348">
                  <c:v>3.0565650892577492</c:v>
                </c:pt>
                <c:pt idx="349">
                  <c:v>3.0565650892577492</c:v>
                </c:pt>
                <c:pt idx="350">
                  <c:v>4.1810385231482243</c:v>
                </c:pt>
                <c:pt idx="351">
                  <c:v>4.1810385231482243</c:v>
                </c:pt>
                <c:pt idx="352">
                  <c:v>4.1810385231482243</c:v>
                </c:pt>
                <c:pt idx="353">
                  <c:v>4.1810385231482243</c:v>
                </c:pt>
                <c:pt idx="354">
                  <c:v>4.1810385231482243</c:v>
                </c:pt>
                <c:pt idx="355">
                  <c:v>4.1810385231482243</c:v>
                </c:pt>
                <c:pt idx="356">
                  <c:v>4.1810385231482243</c:v>
                </c:pt>
                <c:pt idx="357">
                  <c:v>4.1810385231482243</c:v>
                </c:pt>
                <c:pt idx="358">
                  <c:v>4.1810385231482243</c:v>
                </c:pt>
                <c:pt idx="359">
                  <c:v>4.1810385231482243</c:v>
                </c:pt>
                <c:pt idx="360">
                  <c:v>4.1810385231482243</c:v>
                </c:pt>
                <c:pt idx="361">
                  <c:v>4.1810385231482243</c:v>
                </c:pt>
                <c:pt idx="362">
                  <c:v>4.1810385231482243</c:v>
                </c:pt>
                <c:pt idx="363">
                  <c:v>4.1810385231482243</c:v>
                </c:pt>
                <c:pt idx="364">
                  <c:v>4.1810385231482243</c:v>
                </c:pt>
                <c:pt idx="365">
                  <c:v>4.1810385231482243</c:v>
                </c:pt>
                <c:pt idx="366">
                  <c:v>4.1810385231482243</c:v>
                </c:pt>
                <c:pt idx="367">
                  <c:v>4.1810385231482243</c:v>
                </c:pt>
                <c:pt idx="368">
                  <c:v>4.1810385231482243</c:v>
                </c:pt>
                <c:pt idx="369">
                  <c:v>4.1810385231482243</c:v>
                </c:pt>
                <c:pt idx="370">
                  <c:v>4.1810385231482243</c:v>
                </c:pt>
                <c:pt idx="371">
                  <c:v>4.1810385231482243</c:v>
                </c:pt>
                <c:pt idx="372">
                  <c:v>4.1810385231482243</c:v>
                </c:pt>
                <c:pt idx="373">
                  <c:v>4.1810385231482243</c:v>
                </c:pt>
                <c:pt idx="374">
                  <c:v>4.1810385231482243</c:v>
                </c:pt>
                <c:pt idx="375">
                  <c:v>4.1810385231482243</c:v>
                </c:pt>
                <c:pt idx="376">
                  <c:v>4.1810385231482243</c:v>
                </c:pt>
                <c:pt idx="377">
                  <c:v>4.1810385231482243</c:v>
                </c:pt>
                <c:pt idx="378">
                  <c:v>4.1810385231482243</c:v>
                </c:pt>
                <c:pt idx="379">
                  <c:v>4.1810385231482243</c:v>
                </c:pt>
                <c:pt idx="380">
                  <c:v>4.1810385231482243</c:v>
                </c:pt>
                <c:pt idx="381">
                  <c:v>4.1810385231482243</c:v>
                </c:pt>
                <c:pt idx="382">
                  <c:v>4.1810385231482243</c:v>
                </c:pt>
                <c:pt idx="383">
                  <c:v>4.1810385231482243</c:v>
                </c:pt>
                <c:pt idx="384">
                  <c:v>4.1810385231482243</c:v>
                </c:pt>
                <c:pt idx="385">
                  <c:v>4.1810385231482243</c:v>
                </c:pt>
                <c:pt idx="386">
                  <c:v>4.1810385231482243</c:v>
                </c:pt>
                <c:pt idx="387">
                  <c:v>4.1810385231482243</c:v>
                </c:pt>
                <c:pt idx="388">
                  <c:v>4.1810385231482243</c:v>
                </c:pt>
                <c:pt idx="389">
                  <c:v>4.1810385231482243</c:v>
                </c:pt>
                <c:pt idx="390">
                  <c:v>4.1810385231482243</c:v>
                </c:pt>
                <c:pt idx="391">
                  <c:v>3.7844462787298916</c:v>
                </c:pt>
                <c:pt idx="392">
                  <c:v>3.7844462787298916</c:v>
                </c:pt>
                <c:pt idx="393">
                  <c:v>3.7844462787298916</c:v>
                </c:pt>
                <c:pt idx="394">
                  <c:v>3.7844462787298916</c:v>
                </c:pt>
                <c:pt idx="395">
                  <c:v>3.7844462787298916</c:v>
                </c:pt>
                <c:pt idx="396">
                  <c:v>3.7844462787298916</c:v>
                </c:pt>
                <c:pt idx="397">
                  <c:v>3.7844462787298916</c:v>
                </c:pt>
                <c:pt idx="398">
                  <c:v>3.7844462787298916</c:v>
                </c:pt>
                <c:pt idx="399">
                  <c:v>3.7844462787298916</c:v>
                </c:pt>
                <c:pt idx="400">
                  <c:v>3.7844462787298916</c:v>
                </c:pt>
                <c:pt idx="401">
                  <c:v>3.7844462787298916</c:v>
                </c:pt>
                <c:pt idx="402">
                  <c:v>3.7844462787298916</c:v>
                </c:pt>
                <c:pt idx="403">
                  <c:v>3.7844462787298916</c:v>
                </c:pt>
                <c:pt idx="404">
                  <c:v>3.7844462787298916</c:v>
                </c:pt>
                <c:pt idx="405">
                  <c:v>3.7844462787298916</c:v>
                </c:pt>
                <c:pt idx="406">
                  <c:v>3.7844462787298916</c:v>
                </c:pt>
                <c:pt idx="407">
                  <c:v>3.7844462787298916</c:v>
                </c:pt>
                <c:pt idx="408">
                  <c:v>3.7844462787298916</c:v>
                </c:pt>
                <c:pt idx="409">
                  <c:v>3.7844462787298916</c:v>
                </c:pt>
                <c:pt idx="410">
                  <c:v>3.7844462787298916</c:v>
                </c:pt>
                <c:pt idx="411">
                  <c:v>3.7844462787298916</c:v>
                </c:pt>
                <c:pt idx="412">
                  <c:v>3.7844462787298916</c:v>
                </c:pt>
                <c:pt idx="413">
                  <c:v>3.7844462787298916</c:v>
                </c:pt>
                <c:pt idx="414">
                  <c:v>3.7844462787298916</c:v>
                </c:pt>
                <c:pt idx="415">
                  <c:v>4.208836218191915</c:v>
                </c:pt>
                <c:pt idx="416">
                  <c:v>4.208836218191915</c:v>
                </c:pt>
                <c:pt idx="417">
                  <c:v>3.4483799444276562</c:v>
                </c:pt>
                <c:pt idx="418">
                  <c:v>3.4483799444276562</c:v>
                </c:pt>
              </c:numCache>
            </c:numRef>
          </c:val>
          <c:smooth val="0"/>
          <c:extLst>
            <c:ext xmlns:c16="http://schemas.microsoft.com/office/drawing/2014/chart" uri="{C3380CC4-5D6E-409C-BE32-E72D297353CC}">
              <c16:uniqueId val="{00000005-C9CA-4D9B-8754-B3F2C1FBE580}"/>
            </c:ext>
          </c:extLst>
        </c:ser>
        <c:ser>
          <c:idx val="0"/>
          <c:order val="6"/>
          <c:tx>
            <c:v>XLF</c:v>
          </c:tx>
          <c:spPr>
            <a:ln w="28575" cap="rnd">
              <a:solidFill>
                <a:schemeClr val="accent5">
                  <a:lumMod val="20000"/>
                  <a:lumOff val="80000"/>
                </a:schemeClr>
              </a:solidFill>
              <a:prstDash val="solid"/>
              <a:round/>
            </a:ln>
            <a:effectLst/>
          </c:spPr>
          <c:marker>
            <c:symbol val="none"/>
          </c:marker>
          <c:val>
            <c:numRef>
              <c:f>'2025-Q2'!$DU$4:$DU$422</c:f>
              <c:numCache>
                <c:formatCode>0.00</c:formatCode>
                <c:ptCount val="419"/>
                <c:pt idx="0">
                  <c:v>0</c:v>
                </c:pt>
                <c:pt idx="1">
                  <c:v>0</c:v>
                </c:pt>
                <c:pt idx="2">
                  <c:v>0</c:v>
                </c:pt>
                <c:pt idx="3">
                  <c:v>0</c:v>
                </c:pt>
                <c:pt idx="4">
                  <c:v>0</c:v>
                </c:pt>
                <c:pt idx="5">
                  <c:v>0</c:v>
                </c:pt>
                <c:pt idx="6">
                  <c:v>0</c:v>
                </c:pt>
                <c:pt idx="7">
                  <c:v>0</c:v>
                </c:pt>
                <c:pt idx="8">
                  <c:v>0</c:v>
                </c:pt>
                <c:pt idx="9">
                  <c:v>0.10024269283528475</c:v>
                </c:pt>
                <c:pt idx="10">
                  <c:v>0.10024269283528475</c:v>
                </c:pt>
                <c:pt idx="11">
                  <c:v>0.10024269283528475</c:v>
                </c:pt>
                <c:pt idx="12">
                  <c:v>0.40177072099220923</c:v>
                </c:pt>
                <c:pt idx="13">
                  <c:v>0.40177072099220923</c:v>
                </c:pt>
                <c:pt idx="14">
                  <c:v>0.40177072099220923</c:v>
                </c:pt>
                <c:pt idx="15">
                  <c:v>0.40177072099220923</c:v>
                </c:pt>
                <c:pt idx="16">
                  <c:v>0.40177072099220923</c:v>
                </c:pt>
                <c:pt idx="17">
                  <c:v>0.57866260122346558</c:v>
                </c:pt>
                <c:pt idx="18">
                  <c:v>0.57866260122346558</c:v>
                </c:pt>
                <c:pt idx="19">
                  <c:v>0.57866260122346558</c:v>
                </c:pt>
                <c:pt idx="20">
                  <c:v>0.57866260122346558</c:v>
                </c:pt>
                <c:pt idx="21">
                  <c:v>0.57866260122346558</c:v>
                </c:pt>
                <c:pt idx="22">
                  <c:v>0.57866260122346558</c:v>
                </c:pt>
                <c:pt idx="23">
                  <c:v>0.57866260122346558</c:v>
                </c:pt>
                <c:pt idx="24">
                  <c:v>0.57866260122346558</c:v>
                </c:pt>
                <c:pt idx="25">
                  <c:v>0.57866260122346558</c:v>
                </c:pt>
                <c:pt idx="26">
                  <c:v>0.99069963826050333</c:v>
                </c:pt>
                <c:pt idx="27">
                  <c:v>0.42551501128235725</c:v>
                </c:pt>
                <c:pt idx="28">
                  <c:v>-0.54822868546603165</c:v>
                </c:pt>
                <c:pt idx="29">
                  <c:v>-0.54822868546603165</c:v>
                </c:pt>
                <c:pt idx="30">
                  <c:v>-0.54822868546603165</c:v>
                </c:pt>
                <c:pt idx="31">
                  <c:v>-2.9817832752852991E-2</c:v>
                </c:pt>
                <c:pt idx="32">
                  <c:v>-0.53917580479739369</c:v>
                </c:pt>
                <c:pt idx="33">
                  <c:v>-0.53917580479739369</c:v>
                </c:pt>
                <c:pt idx="34">
                  <c:v>-0.53917580479739369</c:v>
                </c:pt>
                <c:pt idx="35">
                  <c:v>-0.53917580479739369</c:v>
                </c:pt>
                <c:pt idx="36">
                  <c:v>-0.87668288986978915</c:v>
                </c:pt>
                <c:pt idx="37">
                  <c:v>-0.87668288986978915</c:v>
                </c:pt>
                <c:pt idx="38">
                  <c:v>-0.87668288986978915</c:v>
                </c:pt>
                <c:pt idx="39">
                  <c:v>-0.87668288986978915</c:v>
                </c:pt>
                <c:pt idx="40">
                  <c:v>-2.8875364672150718</c:v>
                </c:pt>
                <c:pt idx="41">
                  <c:v>-2.8875364672150718</c:v>
                </c:pt>
                <c:pt idx="42">
                  <c:v>-2.8875364672150718</c:v>
                </c:pt>
                <c:pt idx="43">
                  <c:v>-2.8875364672150718</c:v>
                </c:pt>
                <c:pt idx="44">
                  <c:v>-2.8875364672150718</c:v>
                </c:pt>
                <c:pt idx="45">
                  <c:v>-2.8875364672150718</c:v>
                </c:pt>
                <c:pt idx="46">
                  <c:v>-2.8875364672150718</c:v>
                </c:pt>
                <c:pt idx="47">
                  <c:v>-2.8875364672150718</c:v>
                </c:pt>
                <c:pt idx="48">
                  <c:v>-2.8875364672150718</c:v>
                </c:pt>
                <c:pt idx="49">
                  <c:v>-2.8875364672150718</c:v>
                </c:pt>
                <c:pt idx="50">
                  <c:v>-2.8875364672150718</c:v>
                </c:pt>
                <c:pt idx="51">
                  <c:v>-2.8875364672150718</c:v>
                </c:pt>
                <c:pt idx="52">
                  <c:v>-2.8875364672150718</c:v>
                </c:pt>
                <c:pt idx="53">
                  <c:v>-2.8875364672150718</c:v>
                </c:pt>
                <c:pt idx="54">
                  <c:v>-2.8875364672150718</c:v>
                </c:pt>
                <c:pt idx="55">
                  <c:v>-2.8875364672150718</c:v>
                </c:pt>
                <c:pt idx="56">
                  <c:v>-2.8875364672150718</c:v>
                </c:pt>
                <c:pt idx="57">
                  <c:v>-2.8875364672150718</c:v>
                </c:pt>
                <c:pt idx="58">
                  <c:v>-2.8875364672150718</c:v>
                </c:pt>
                <c:pt idx="59">
                  <c:v>-2.8875364672150718</c:v>
                </c:pt>
                <c:pt idx="60">
                  <c:v>-2.8875364672150718</c:v>
                </c:pt>
                <c:pt idx="61">
                  <c:v>-2.8875364672150718</c:v>
                </c:pt>
                <c:pt idx="62">
                  <c:v>-2.8875364672150718</c:v>
                </c:pt>
                <c:pt idx="63">
                  <c:v>-2.8875364672150718</c:v>
                </c:pt>
                <c:pt idx="64">
                  <c:v>-2.8875364672150718</c:v>
                </c:pt>
                <c:pt idx="65">
                  <c:v>-2.8875364672150718</c:v>
                </c:pt>
                <c:pt idx="66">
                  <c:v>-2.8875364672150718</c:v>
                </c:pt>
                <c:pt idx="67">
                  <c:v>-2.8875364672150718</c:v>
                </c:pt>
                <c:pt idx="68">
                  <c:v>-2.8875364672150718</c:v>
                </c:pt>
                <c:pt idx="69">
                  <c:v>-2.8875364672150718</c:v>
                </c:pt>
                <c:pt idx="70">
                  <c:v>-2.8875364672150718</c:v>
                </c:pt>
                <c:pt idx="71">
                  <c:v>-2.8875364672150718</c:v>
                </c:pt>
                <c:pt idx="72">
                  <c:v>-2.8875364672150718</c:v>
                </c:pt>
                <c:pt idx="73">
                  <c:v>-2.8875364672150718</c:v>
                </c:pt>
                <c:pt idx="74">
                  <c:v>-2.8875364672150718</c:v>
                </c:pt>
                <c:pt idx="75">
                  <c:v>-2.8875364672150718</c:v>
                </c:pt>
                <c:pt idx="76">
                  <c:v>-2.8875364672150718</c:v>
                </c:pt>
                <c:pt idx="77">
                  <c:v>-2.8875364672150718</c:v>
                </c:pt>
                <c:pt idx="78">
                  <c:v>-2.8875364672150718</c:v>
                </c:pt>
                <c:pt idx="79">
                  <c:v>-2.8875364672150718</c:v>
                </c:pt>
                <c:pt idx="80">
                  <c:v>-2.8875364672150718</c:v>
                </c:pt>
                <c:pt idx="81">
                  <c:v>-2.8875364672150718</c:v>
                </c:pt>
                <c:pt idx="82">
                  <c:v>-2.8875364672150718</c:v>
                </c:pt>
                <c:pt idx="83">
                  <c:v>-2.8875364672150718</c:v>
                </c:pt>
                <c:pt idx="84">
                  <c:v>-2.8875364672150718</c:v>
                </c:pt>
                <c:pt idx="85">
                  <c:v>-2.8875364672150718</c:v>
                </c:pt>
                <c:pt idx="86">
                  <c:v>-2.8875364672150718</c:v>
                </c:pt>
                <c:pt idx="87">
                  <c:v>-2.8875364672150718</c:v>
                </c:pt>
                <c:pt idx="88">
                  <c:v>-2.8875364672150718</c:v>
                </c:pt>
                <c:pt idx="89">
                  <c:v>-2.8875364672150718</c:v>
                </c:pt>
                <c:pt idx="90">
                  <c:v>-2.8875364672150718</c:v>
                </c:pt>
                <c:pt idx="91">
                  <c:v>-2.8875364672150718</c:v>
                </c:pt>
                <c:pt idx="92">
                  <c:v>-2.8875364672150718</c:v>
                </c:pt>
                <c:pt idx="93">
                  <c:v>-2.8875364672150718</c:v>
                </c:pt>
                <c:pt idx="94">
                  <c:v>-2.8875364672150718</c:v>
                </c:pt>
                <c:pt idx="95">
                  <c:v>-2.8875364672150718</c:v>
                </c:pt>
                <c:pt idx="96">
                  <c:v>-2.8875364672150718</c:v>
                </c:pt>
                <c:pt idx="97">
                  <c:v>-2.8875364672150718</c:v>
                </c:pt>
                <c:pt idx="98">
                  <c:v>-2.8875364672150718</c:v>
                </c:pt>
                <c:pt idx="99">
                  <c:v>-2.8875364672150718</c:v>
                </c:pt>
                <c:pt idx="100">
                  <c:v>-2.8875364672150718</c:v>
                </c:pt>
                <c:pt idx="101">
                  <c:v>-2.8875364672150718</c:v>
                </c:pt>
                <c:pt idx="102">
                  <c:v>-2.8875364672150718</c:v>
                </c:pt>
                <c:pt idx="103">
                  <c:v>-2.8875364672150718</c:v>
                </c:pt>
                <c:pt idx="104">
                  <c:v>-2.8875364672150718</c:v>
                </c:pt>
                <c:pt idx="105">
                  <c:v>-2.8875364672150718</c:v>
                </c:pt>
                <c:pt idx="106">
                  <c:v>-2.8875364672150718</c:v>
                </c:pt>
                <c:pt idx="107">
                  <c:v>-2.8875364672150718</c:v>
                </c:pt>
                <c:pt idx="108">
                  <c:v>-2.8875364672150718</c:v>
                </c:pt>
                <c:pt idx="109">
                  <c:v>-2.8875364672150718</c:v>
                </c:pt>
                <c:pt idx="110">
                  <c:v>-2.8875364672150718</c:v>
                </c:pt>
                <c:pt idx="111">
                  <c:v>-2.8875364672150718</c:v>
                </c:pt>
                <c:pt idx="112">
                  <c:v>-2.8875364672150718</c:v>
                </c:pt>
                <c:pt idx="113">
                  <c:v>-2.8875364672150718</c:v>
                </c:pt>
                <c:pt idx="114">
                  <c:v>-2.8875364672150718</c:v>
                </c:pt>
                <c:pt idx="115">
                  <c:v>-2.8875364672150718</c:v>
                </c:pt>
                <c:pt idx="116">
                  <c:v>-2.8875364672150718</c:v>
                </c:pt>
                <c:pt idx="117">
                  <c:v>-2.8875364672150718</c:v>
                </c:pt>
                <c:pt idx="118">
                  <c:v>-2.8875364672150718</c:v>
                </c:pt>
                <c:pt idx="119">
                  <c:v>-2.8875364672150718</c:v>
                </c:pt>
                <c:pt idx="120">
                  <c:v>-2.8875364672150718</c:v>
                </c:pt>
                <c:pt idx="121">
                  <c:v>-2.8875364672150718</c:v>
                </c:pt>
                <c:pt idx="122">
                  <c:v>-2.8875364672150718</c:v>
                </c:pt>
                <c:pt idx="123">
                  <c:v>-2.8875364672150718</c:v>
                </c:pt>
                <c:pt idx="124">
                  <c:v>-2.8875364672150718</c:v>
                </c:pt>
                <c:pt idx="125">
                  <c:v>-2.8875364672150718</c:v>
                </c:pt>
                <c:pt idx="126">
                  <c:v>-2.8875364672150718</c:v>
                </c:pt>
                <c:pt idx="127">
                  <c:v>-2.8875364672150718</c:v>
                </c:pt>
                <c:pt idx="128">
                  <c:v>-2.8875364672150718</c:v>
                </c:pt>
                <c:pt idx="129">
                  <c:v>-2.8875364672150718</c:v>
                </c:pt>
                <c:pt idx="130">
                  <c:v>-2.8875364672150718</c:v>
                </c:pt>
                <c:pt idx="131">
                  <c:v>-3.13334520229097</c:v>
                </c:pt>
                <c:pt idx="132">
                  <c:v>-3.13334520229097</c:v>
                </c:pt>
                <c:pt idx="133">
                  <c:v>-3.13334520229097</c:v>
                </c:pt>
                <c:pt idx="134">
                  <c:v>-3.13334520229097</c:v>
                </c:pt>
                <c:pt idx="135">
                  <c:v>-3.13334520229097</c:v>
                </c:pt>
                <c:pt idx="136">
                  <c:v>-3.13334520229097</c:v>
                </c:pt>
                <c:pt idx="137">
                  <c:v>-3.13334520229097</c:v>
                </c:pt>
                <c:pt idx="138">
                  <c:v>-3.13334520229097</c:v>
                </c:pt>
                <c:pt idx="139">
                  <c:v>-3.13334520229097</c:v>
                </c:pt>
                <c:pt idx="140">
                  <c:v>-3.13334520229097</c:v>
                </c:pt>
                <c:pt idx="141">
                  <c:v>-3.13334520229097</c:v>
                </c:pt>
                <c:pt idx="142">
                  <c:v>-3.13334520229097</c:v>
                </c:pt>
                <c:pt idx="143">
                  <c:v>-3.5029740333397914</c:v>
                </c:pt>
                <c:pt idx="144">
                  <c:v>-3.5029740333397914</c:v>
                </c:pt>
                <c:pt idx="145">
                  <c:v>-3.5029740333397914</c:v>
                </c:pt>
                <c:pt idx="146">
                  <c:v>-3.5029740333397914</c:v>
                </c:pt>
                <c:pt idx="147">
                  <c:v>-3.5029740333397914</c:v>
                </c:pt>
                <c:pt idx="148">
                  <c:v>-3.5029740333397914</c:v>
                </c:pt>
                <c:pt idx="149">
                  <c:v>-3.5029740333397914</c:v>
                </c:pt>
                <c:pt idx="150">
                  <c:v>-3.5029740333397914</c:v>
                </c:pt>
                <c:pt idx="151">
                  <c:v>-3.5029740333397914</c:v>
                </c:pt>
                <c:pt idx="152">
                  <c:v>-3.5029740333397914</c:v>
                </c:pt>
                <c:pt idx="153">
                  <c:v>-3.5029740333397914</c:v>
                </c:pt>
                <c:pt idx="154">
                  <c:v>-3.5029740333397914</c:v>
                </c:pt>
                <c:pt idx="155">
                  <c:v>-3.5029740333397914</c:v>
                </c:pt>
                <c:pt idx="156">
                  <c:v>-3.5029740333397914</c:v>
                </c:pt>
                <c:pt idx="157">
                  <c:v>-3.5029740333397914</c:v>
                </c:pt>
                <c:pt idx="158">
                  <c:v>-3.5029740333397914</c:v>
                </c:pt>
                <c:pt idx="159">
                  <c:v>-3.5029740333397914</c:v>
                </c:pt>
                <c:pt idx="160">
                  <c:v>-3.5029740333397914</c:v>
                </c:pt>
                <c:pt idx="161">
                  <c:v>-3.5029740333397914</c:v>
                </c:pt>
                <c:pt idx="162">
                  <c:v>-3.5029740333397914</c:v>
                </c:pt>
                <c:pt idx="163">
                  <c:v>-3.5029740333397914</c:v>
                </c:pt>
                <c:pt idx="164">
                  <c:v>-3.5029740333397914</c:v>
                </c:pt>
                <c:pt idx="165">
                  <c:v>-3.5029740333397914</c:v>
                </c:pt>
                <c:pt idx="166">
                  <c:v>-3.5029740333397914</c:v>
                </c:pt>
                <c:pt idx="167">
                  <c:v>-3.5029740333397914</c:v>
                </c:pt>
                <c:pt idx="168">
                  <c:v>-3.5029740333397914</c:v>
                </c:pt>
                <c:pt idx="169">
                  <c:v>-3.5029740333397914</c:v>
                </c:pt>
                <c:pt idx="170">
                  <c:v>-3.5029740333397914</c:v>
                </c:pt>
                <c:pt idx="171">
                  <c:v>-3.5029740333397914</c:v>
                </c:pt>
                <c:pt idx="172">
                  <c:v>-3.5029740333397914</c:v>
                </c:pt>
                <c:pt idx="173">
                  <c:v>-3.5029740333397914</c:v>
                </c:pt>
                <c:pt idx="174">
                  <c:v>-3.5029740333397914</c:v>
                </c:pt>
                <c:pt idx="175">
                  <c:v>-3.5029740333397914</c:v>
                </c:pt>
                <c:pt idx="176">
                  <c:v>-3.5029740333397914</c:v>
                </c:pt>
                <c:pt idx="177">
                  <c:v>-3.5029740333397914</c:v>
                </c:pt>
                <c:pt idx="178">
                  <c:v>-3.5029740333397914</c:v>
                </c:pt>
                <c:pt idx="179">
                  <c:v>-3.5029740333397914</c:v>
                </c:pt>
                <c:pt idx="180">
                  <c:v>-3.5029740333397914</c:v>
                </c:pt>
                <c:pt idx="181">
                  <c:v>-3.5029740333397914</c:v>
                </c:pt>
                <c:pt idx="182">
                  <c:v>-3.5029740333397914</c:v>
                </c:pt>
                <c:pt idx="183">
                  <c:v>-3.5029740333397914</c:v>
                </c:pt>
                <c:pt idx="184">
                  <c:v>-3.5029740333397914</c:v>
                </c:pt>
                <c:pt idx="185">
                  <c:v>-3.5029740333397914</c:v>
                </c:pt>
                <c:pt idx="186">
                  <c:v>-3.5029740333397914</c:v>
                </c:pt>
                <c:pt idx="187">
                  <c:v>-3.5029740333397914</c:v>
                </c:pt>
                <c:pt idx="188">
                  <c:v>-3.5029740333397914</c:v>
                </c:pt>
                <c:pt idx="189">
                  <c:v>-3.5029740333397914</c:v>
                </c:pt>
                <c:pt idx="190">
                  <c:v>-3.5029740333397914</c:v>
                </c:pt>
                <c:pt idx="191">
                  <c:v>-3.5029740333397914</c:v>
                </c:pt>
                <c:pt idx="192">
                  <c:v>-3.5029740333397914</c:v>
                </c:pt>
                <c:pt idx="193">
                  <c:v>-3.5029740333397914</c:v>
                </c:pt>
                <c:pt idx="194">
                  <c:v>-3.5029740333397914</c:v>
                </c:pt>
                <c:pt idx="195">
                  <c:v>-3.5029740333397914</c:v>
                </c:pt>
                <c:pt idx="196">
                  <c:v>-3.5029740333397914</c:v>
                </c:pt>
                <c:pt idx="197">
                  <c:v>-3.5029740333397914</c:v>
                </c:pt>
                <c:pt idx="198">
                  <c:v>-3.5029740333397914</c:v>
                </c:pt>
                <c:pt idx="199">
                  <c:v>-3.5029740333397914</c:v>
                </c:pt>
                <c:pt idx="200">
                  <c:v>-3.5029740333397914</c:v>
                </c:pt>
                <c:pt idx="201">
                  <c:v>-3.5029740333397914</c:v>
                </c:pt>
                <c:pt idx="202">
                  <c:v>-3.5029740333397914</c:v>
                </c:pt>
                <c:pt idx="203">
                  <c:v>-3.5029740333397914</c:v>
                </c:pt>
                <c:pt idx="204">
                  <c:v>-3.5029740333397914</c:v>
                </c:pt>
                <c:pt idx="205">
                  <c:v>-3.5029740333397914</c:v>
                </c:pt>
                <c:pt idx="206">
                  <c:v>-3.5029740333397914</c:v>
                </c:pt>
                <c:pt idx="207">
                  <c:v>-3.6911249040845173</c:v>
                </c:pt>
                <c:pt idx="208">
                  <c:v>-3.6911249040845173</c:v>
                </c:pt>
                <c:pt idx="209">
                  <c:v>-3.6911249040845173</c:v>
                </c:pt>
                <c:pt idx="210">
                  <c:v>-3.6911249040845173</c:v>
                </c:pt>
                <c:pt idx="211">
                  <c:v>-3.6911249040845173</c:v>
                </c:pt>
                <c:pt idx="212">
                  <c:v>-3.6911249040845173</c:v>
                </c:pt>
                <c:pt idx="213">
                  <c:v>-3.6911249040845173</c:v>
                </c:pt>
                <c:pt idx="214">
                  <c:v>-3.6911249040845173</c:v>
                </c:pt>
                <c:pt idx="215">
                  <c:v>-3.6911249040845173</c:v>
                </c:pt>
                <c:pt idx="216">
                  <c:v>-3.6911249040845173</c:v>
                </c:pt>
                <c:pt idx="217">
                  <c:v>-3.6911249040845173</c:v>
                </c:pt>
                <c:pt idx="218">
                  <c:v>-3.6911249040845173</c:v>
                </c:pt>
                <c:pt idx="219">
                  <c:v>-3.6911249040845173</c:v>
                </c:pt>
                <c:pt idx="220">
                  <c:v>-3.6911249040845173</c:v>
                </c:pt>
                <c:pt idx="221">
                  <c:v>-3.6911249040845173</c:v>
                </c:pt>
                <c:pt idx="222">
                  <c:v>-3.6911249040845173</c:v>
                </c:pt>
                <c:pt idx="223">
                  <c:v>-3.6911249040845173</c:v>
                </c:pt>
                <c:pt idx="224">
                  <c:v>-3.6911249040845173</c:v>
                </c:pt>
                <c:pt idx="225">
                  <c:v>-3.6911249040845173</c:v>
                </c:pt>
                <c:pt idx="226">
                  <c:v>-3.6911249040845173</c:v>
                </c:pt>
                <c:pt idx="227">
                  <c:v>-3.6911249040845173</c:v>
                </c:pt>
                <c:pt idx="228">
                  <c:v>-3.6911249040845173</c:v>
                </c:pt>
                <c:pt idx="229">
                  <c:v>-3.6911249040845173</c:v>
                </c:pt>
                <c:pt idx="230">
                  <c:v>-3.6911249040845173</c:v>
                </c:pt>
                <c:pt idx="231">
                  <c:v>-3.6911249040845173</c:v>
                </c:pt>
                <c:pt idx="232">
                  <c:v>-3.6911249040845173</c:v>
                </c:pt>
                <c:pt idx="233">
                  <c:v>-3.6911249040845173</c:v>
                </c:pt>
                <c:pt idx="234">
                  <c:v>-3.6911249040845173</c:v>
                </c:pt>
                <c:pt idx="235">
                  <c:v>-3.6911249040845173</c:v>
                </c:pt>
                <c:pt idx="236">
                  <c:v>-3.6911249040845173</c:v>
                </c:pt>
                <c:pt idx="237">
                  <c:v>-3.6911249040845173</c:v>
                </c:pt>
                <c:pt idx="238">
                  <c:v>-3.6911249040845173</c:v>
                </c:pt>
                <c:pt idx="239">
                  <c:v>-3.6911249040845173</c:v>
                </c:pt>
                <c:pt idx="240">
                  <c:v>-3.6911249040845173</c:v>
                </c:pt>
                <c:pt idx="241">
                  <c:v>5.8020102755427239E-2</c:v>
                </c:pt>
                <c:pt idx="242">
                  <c:v>5.8020102755427239E-2</c:v>
                </c:pt>
                <c:pt idx="243">
                  <c:v>5.8020102755427239E-2</c:v>
                </c:pt>
                <c:pt idx="244">
                  <c:v>5.8020102755427239E-2</c:v>
                </c:pt>
                <c:pt idx="245">
                  <c:v>5.8020102755427239E-2</c:v>
                </c:pt>
                <c:pt idx="246">
                  <c:v>5.8020102755427239E-2</c:v>
                </c:pt>
                <c:pt idx="247">
                  <c:v>5.8020102755427239E-2</c:v>
                </c:pt>
                <c:pt idx="248">
                  <c:v>-0.47061509167640903</c:v>
                </c:pt>
                <c:pt idx="249">
                  <c:v>-0.87082853884823752</c:v>
                </c:pt>
                <c:pt idx="250">
                  <c:v>-0.87082853884823752</c:v>
                </c:pt>
                <c:pt idx="251">
                  <c:v>-0.87082853884823752</c:v>
                </c:pt>
                <c:pt idx="252">
                  <c:v>-0.87082853884823752</c:v>
                </c:pt>
                <c:pt idx="253">
                  <c:v>-0.87082853884823752</c:v>
                </c:pt>
                <c:pt idx="254">
                  <c:v>-0.87082853884823752</c:v>
                </c:pt>
                <c:pt idx="255">
                  <c:v>-0.87082853884823752</c:v>
                </c:pt>
                <c:pt idx="256">
                  <c:v>-0.87082853884823752</c:v>
                </c:pt>
                <c:pt idx="257">
                  <c:v>-0.87082853884823752</c:v>
                </c:pt>
                <c:pt idx="258">
                  <c:v>-0.87082853884823752</c:v>
                </c:pt>
                <c:pt idx="259">
                  <c:v>-0.87082853884823752</c:v>
                </c:pt>
                <c:pt idx="260">
                  <c:v>-0.87082853884823752</c:v>
                </c:pt>
                <c:pt idx="261">
                  <c:v>-0.87082853884823752</c:v>
                </c:pt>
                <c:pt idx="262">
                  <c:v>-0.87082853884823752</c:v>
                </c:pt>
                <c:pt idx="263">
                  <c:v>-0.87082853884823752</c:v>
                </c:pt>
                <c:pt idx="264">
                  <c:v>-0.87082853884823752</c:v>
                </c:pt>
                <c:pt idx="265">
                  <c:v>-0.87082853884823752</c:v>
                </c:pt>
                <c:pt idx="266">
                  <c:v>-0.87082853884823752</c:v>
                </c:pt>
                <c:pt idx="267">
                  <c:v>-0.69837848627200172</c:v>
                </c:pt>
                <c:pt idx="268">
                  <c:v>-0.69837848627200172</c:v>
                </c:pt>
                <c:pt idx="269">
                  <c:v>-0.69837848627200172</c:v>
                </c:pt>
                <c:pt idx="270">
                  <c:v>-0.69837848627200172</c:v>
                </c:pt>
                <c:pt idx="271">
                  <c:v>-0.69837848627200172</c:v>
                </c:pt>
                <c:pt idx="272">
                  <c:v>-0.69837848627200172</c:v>
                </c:pt>
                <c:pt idx="273">
                  <c:v>-0.69837848627200172</c:v>
                </c:pt>
                <c:pt idx="274">
                  <c:v>-0.69837848627200172</c:v>
                </c:pt>
                <c:pt idx="275">
                  <c:v>-0.69837848627200172</c:v>
                </c:pt>
                <c:pt idx="276">
                  <c:v>-0.69837848627200172</c:v>
                </c:pt>
                <c:pt idx="277">
                  <c:v>-0.69837848627200172</c:v>
                </c:pt>
                <c:pt idx="278">
                  <c:v>-0.69837848627200172</c:v>
                </c:pt>
                <c:pt idx="279">
                  <c:v>-0.69837848627200172</c:v>
                </c:pt>
                <c:pt idx="280">
                  <c:v>-0.69837848627200172</c:v>
                </c:pt>
                <c:pt idx="281">
                  <c:v>-0.69837848627200172</c:v>
                </c:pt>
                <c:pt idx="282">
                  <c:v>-0.20750635820596686</c:v>
                </c:pt>
                <c:pt idx="283">
                  <c:v>-0.20750635820596686</c:v>
                </c:pt>
                <c:pt idx="284">
                  <c:v>-0.20750635820596686</c:v>
                </c:pt>
                <c:pt idx="285">
                  <c:v>-0.20750635820596686</c:v>
                </c:pt>
                <c:pt idx="286">
                  <c:v>-0.20750635820596686</c:v>
                </c:pt>
                <c:pt idx="287">
                  <c:v>-0.20750635820596686</c:v>
                </c:pt>
                <c:pt idx="288">
                  <c:v>-0.20750635820596686</c:v>
                </c:pt>
                <c:pt idx="289">
                  <c:v>-0.20750635820596686</c:v>
                </c:pt>
                <c:pt idx="290">
                  <c:v>-0.20750635820596686</c:v>
                </c:pt>
                <c:pt idx="291">
                  <c:v>-0.20750635820596686</c:v>
                </c:pt>
                <c:pt idx="292">
                  <c:v>-0.20750635820596686</c:v>
                </c:pt>
                <c:pt idx="293">
                  <c:v>-0.20750635820596686</c:v>
                </c:pt>
                <c:pt idx="294">
                  <c:v>-0.20750635820596686</c:v>
                </c:pt>
                <c:pt idx="295">
                  <c:v>-0.20750635820596686</c:v>
                </c:pt>
                <c:pt idx="296">
                  <c:v>-0.20750635820596686</c:v>
                </c:pt>
                <c:pt idx="297">
                  <c:v>-0.20750635820596686</c:v>
                </c:pt>
                <c:pt idx="298">
                  <c:v>-0.20750635820596686</c:v>
                </c:pt>
                <c:pt idx="299">
                  <c:v>-0.20750635820596686</c:v>
                </c:pt>
                <c:pt idx="300">
                  <c:v>-0.20750635820596686</c:v>
                </c:pt>
                <c:pt idx="301">
                  <c:v>-0.20750635820596686</c:v>
                </c:pt>
                <c:pt idx="302">
                  <c:v>-0.20750635820596686</c:v>
                </c:pt>
                <c:pt idx="303">
                  <c:v>-0.20750635820596686</c:v>
                </c:pt>
                <c:pt idx="304">
                  <c:v>-0.20750635820596686</c:v>
                </c:pt>
                <c:pt idx="305">
                  <c:v>-0.20750635820596686</c:v>
                </c:pt>
                <c:pt idx="306">
                  <c:v>-0.20750635820596686</c:v>
                </c:pt>
                <c:pt idx="307">
                  <c:v>-0.20750635820596686</c:v>
                </c:pt>
                <c:pt idx="308">
                  <c:v>-0.20750635820596686</c:v>
                </c:pt>
                <c:pt idx="309">
                  <c:v>-0.20750635820596686</c:v>
                </c:pt>
                <c:pt idx="310">
                  <c:v>-0.20750635820596686</c:v>
                </c:pt>
                <c:pt idx="311">
                  <c:v>-0.20750635820596686</c:v>
                </c:pt>
                <c:pt idx="312">
                  <c:v>-0.20750635820596686</c:v>
                </c:pt>
                <c:pt idx="313">
                  <c:v>-0.20750635820596686</c:v>
                </c:pt>
                <c:pt idx="314">
                  <c:v>-0.20750635820596686</c:v>
                </c:pt>
                <c:pt idx="315">
                  <c:v>-0.20750635820596686</c:v>
                </c:pt>
                <c:pt idx="316">
                  <c:v>-0.20750635820596686</c:v>
                </c:pt>
                <c:pt idx="317">
                  <c:v>-0.20750635820596686</c:v>
                </c:pt>
                <c:pt idx="318">
                  <c:v>-0.20750635820596686</c:v>
                </c:pt>
                <c:pt idx="319">
                  <c:v>-0.20750635820596686</c:v>
                </c:pt>
                <c:pt idx="320">
                  <c:v>-0.20750635820596686</c:v>
                </c:pt>
                <c:pt idx="321">
                  <c:v>-0.20750635820596686</c:v>
                </c:pt>
                <c:pt idx="322">
                  <c:v>-0.20750635820596686</c:v>
                </c:pt>
                <c:pt idx="323">
                  <c:v>-0.20750635820596686</c:v>
                </c:pt>
                <c:pt idx="324">
                  <c:v>-0.20750635820596686</c:v>
                </c:pt>
                <c:pt idx="325">
                  <c:v>-0.20750635820596686</c:v>
                </c:pt>
                <c:pt idx="326">
                  <c:v>-0.20750635820596686</c:v>
                </c:pt>
                <c:pt idx="327">
                  <c:v>-0.20750635820596686</c:v>
                </c:pt>
                <c:pt idx="328">
                  <c:v>-0.20750635820596686</c:v>
                </c:pt>
                <c:pt idx="329">
                  <c:v>-0.20750635820596686</c:v>
                </c:pt>
                <c:pt idx="330">
                  <c:v>-0.20750635820596686</c:v>
                </c:pt>
                <c:pt idx="331">
                  <c:v>-0.20750635820596686</c:v>
                </c:pt>
                <c:pt idx="332">
                  <c:v>-0.20750635820596686</c:v>
                </c:pt>
                <c:pt idx="333">
                  <c:v>-0.20750635820596686</c:v>
                </c:pt>
                <c:pt idx="334">
                  <c:v>-0.20750635820596686</c:v>
                </c:pt>
                <c:pt idx="335">
                  <c:v>-0.20750635820596686</c:v>
                </c:pt>
                <c:pt idx="336">
                  <c:v>-0.20750635820596686</c:v>
                </c:pt>
                <c:pt idx="337">
                  <c:v>-0.20750635820596686</c:v>
                </c:pt>
                <c:pt idx="338">
                  <c:v>-0.20750635820596686</c:v>
                </c:pt>
                <c:pt idx="339">
                  <c:v>-0.20750635820596686</c:v>
                </c:pt>
                <c:pt idx="340">
                  <c:v>-0.20750635820596686</c:v>
                </c:pt>
                <c:pt idx="341">
                  <c:v>-0.20750635820596686</c:v>
                </c:pt>
                <c:pt idx="342">
                  <c:v>-0.20750635820596686</c:v>
                </c:pt>
                <c:pt idx="343">
                  <c:v>-0.20750635820596686</c:v>
                </c:pt>
                <c:pt idx="344">
                  <c:v>-0.20750635820596686</c:v>
                </c:pt>
                <c:pt idx="345">
                  <c:v>-0.20750635820596686</c:v>
                </c:pt>
                <c:pt idx="346">
                  <c:v>-0.20750635820596686</c:v>
                </c:pt>
                <c:pt idx="347">
                  <c:v>-0.20750635820596686</c:v>
                </c:pt>
                <c:pt idx="348">
                  <c:v>-0.20750635820596686</c:v>
                </c:pt>
                <c:pt idx="349">
                  <c:v>-0.20750635820596686</c:v>
                </c:pt>
                <c:pt idx="350">
                  <c:v>-0.20750635820596686</c:v>
                </c:pt>
                <c:pt idx="351">
                  <c:v>-0.20750635820596686</c:v>
                </c:pt>
                <c:pt idx="352">
                  <c:v>-0.20750635820596686</c:v>
                </c:pt>
                <c:pt idx="353">
                  <c:v>-0.20750635820596686</c:v>
                </c:pt>
                <c:pt idx="354">
                  <c:v>-0.20750635820596686</c:v>
                </c:pt>
                <c:pt idx="355">
                  <c:v>-0.20750635820596686</c:v>
                </c:pt>
                <c:pt idx="356">
                  <c:v>-0.20750635820596686</c:v>
                </c:pt>
                <c:pt idx="357">
                  <c:v>-0.20750635820596686</c:v>
                </c:pt>
                <c:pt idx="358">
                  <c:v>-0.20750635820596686</c:v>
                </c:pt>
                <c:pt idx="359">
                  <c:v>-0.20750635820596686</c:v>
                </c:pt>
                <c:pt idx="360">
                  <c:v>-0.20750635820596686</c:v>
                </c:pt>
                <c:pt idx="361">
                  <c:v>-0.20750635820596686</c:v>
                </c:pt>
                <c:pt idx="362">
                  <c:v>-0.20750635820596686</c:v>
                </c:pt>
                <c:pt idx="363">
                  <c:v>-0.20750635820596686</c:v>
                </c:pt>
                <c:pt idx="364">
                  <c:v>-0.20750635820596686</c:v>
                </c:pt>
                <c:pt idx="365">
                  <c:v>-0.20750635820596686</c:v>
                </c:pt>
                <c:pt idx="366">
                  <c:v>-0.20750635820596686</c:v>
                </c:pt>
                <c:pt idx="367">
                  <c:v>-0.20750635820596686</c:v>
                </c:pt>
                <c:pt idx="368">
                  <c:v>-0.20750635820596686</c:v>
                </c:pt>
                <c:pt idx="369">
                  <c:v>-0.20750635820596686</c:v>
                </c:pt>
                <c:pt idx="370">
                  <c:v>-0.20750635820596686</c:v>
                </c:pt>
                <c:pt idx="371">
                  <c:v>-0.20750635820596686</c:v>
                </c:pt>
                <c:pt idx="372">
                  <c:v>-0.20750635820596686</c:v>
                </c:pt>
                <c:pt idx="373">
                  <c:v>-0.20750635820596686</c:v>
                </c:pt>
                <c:pt idx="374">
                  <c:v>-0.20750635820596686</c:v>
                </c:pt>
                <c:pt idx="375">
                  <c:v>-0.20750635820596686</c:v>
                </c:pt>
                <c:pt idx="376">
                  <c:v>-0.20750635820596686</c:v>
                </c:pt>
                <c:pt idx="377">
                  <c:v>-0.20750635820596686</c:v>
                </c:pt>
                <c:pt idx="378">
                  <c:v>-0.20750635820596686</c:v>
                </c:pt>
                <c:pt idx="379">
                  <c:v>-0.20750635820596686</c:v>
                </c:pt>
                <c:pt idx="380">
                  <c:v>-0.20750635820596686</c:v>
                </c:pt>
                <c:pt idx="381">
                  <c:v>-0.20750635820596686</c:v>
                </c:pt>
                <c:pt idx="382">
                  <c:v>-0.20750635820596686</c:v>
                </c:pt>
                <c:pt idx="383">
                  <c:v>-0.20750635820596686</c:v>
                </c:pt>
                <c:pt idx="384">
                  <c:v>-0.20750635820596686</c:v>
                </c:pt>
                <c:pt idx="385">
                  <c:v>-0.20750635820596686</c:v>
                </c:pt>
                <c:pt idx="386">
                  <c:v>-0.20750635820596686</c:v>
                </c:pt>
                <c:pt idx="387">
                  <c:v>-0.20750635820596686</c:v>
                </c:pt>
                <c:pt idx="388">
                  <c:v>-0.20750635820596686</c:v>
                </c:pt>
                <c:pt idx="389">
                  <c:v>-0.20750635820596686</c:v>
                </c:pt>
                <c:pt idx="390">
                  <c:v>-0.20750635820596686</c:v>
                </c:pt>
                <c:pt idx="391">
                  <c:v>-0.20750635820596686</c:v>
                </c:pt>
                <c:pt idx="392">
                  <c:v>-0.20750635820596686</c:v>
                </c:pt>
                <c:pt idx="393">
                  <c:v>-0.20750635820596686</c:v>
                </c:pt>
                <c:pt idx="394">
                  <c:v>-0.20750635820596686</c:v>
                </c:pt>
                <c:pt idx="395">
                  <c:v>-0.20750635820596686</c:v>
                </c:pt>
                <c:pt idx="396">
                  <c:v>-0.20750635820596686</c:v>
                </c:pt>
                <c:pt idx="397">
                  <c:v>-0.20750635820596686</c:v>
                </c:pt>
                <c:pt idx="398">
                  <c:v>-0.20750635820596686</c:v>
                </c:pt>
                <c:pt idx="399">
                  <c:v>-0.20750635820596686</c:v>
                </c:pt>
                <c:pt idx="400">
                  <c:v>-0.20750635820596686</c:v>
                </c:pt>
                <c:pt idx="401">
                  <c:v>-0.20750635820596686</c:v>
                </c:pt>
                <c:pt idx="402">
                  <c:v>-0.20750635820596686</c:v>
                </c:pt>
                <c:pt idx="403">
                  <c:v>-0.20750635820596686</c:v>
                </c:pt>
                <c:pt idx="404">
                  <c:v>-0.20750635820596686</c:v>
                </c:pt>
                <c:pt idx="405">
                  <c:v>-0.20750635820596686</c:v>
                </c:pt>
                <c:pt idx="406">
                  <c:v>-0.20750635820596686</c:v>
                </c:pt>
                <c:pt idx="407">
                  <c:v>-0.20750635820596686</c:v>
                </c:pt>
                <c:pt idx="408">
                  <c:v>-0.20750635820596686</c:v>
                </c:pt>
                <c:pt idx="409">
                  <c:v>-0.20750635820596686</c:v>
                </c:pt>
                <c:pt idx="410">
                  <c:v>-0.20750635820596686</c:v>
                </c:pt>
                <c:pt idx="411">
                  <c:v>-0.20750635820596686</c:v>
                </c:pt>
                <c:pt idx="412">
                  <c:v>-0.20750635820596686</c:v>
                </c:pt>
                <c:pt idx="413">
                  <c:v>-0.20750635820596686</c:v>
                </c:pt>
                <c:pt idx="414">
                  <c:v>-0.20750635820596686</c:v>
                </c:pt>
                <c:pt idx="415">
                  <c:v>-0.20750635820596686</c:v>
                </c:pt>
                <c:pt idx="416">
                  <c:v>-0.20750635820596686</c:v>
                </c:pt>
                <c:pt idx="417">
                  <c:v>-0.20750635820596686</c:v>
                </c:pt>
                <c:pt idx="418">
                  <c:v>-0.20750635820596686</c:v>
                </c:pt>
              </c:numCache>
            </c:numRef>
          </c:val>
          <c:smooth val="1"/>
          <c:extLst>
            <c:ext xmlns:c16="http://schemas.microsoft.com/office/drawing/2014/chart" uri="{C3380CC4-5D6E-409C-BE32-E72D297353CC}">
              <c16:uniqueId val="{00000006-C9CA-4D9B-8754-B3F2C1FBE580}"/>
            </c:ext>
          </c:extLst>
        </c:ser>
        <c:ser>
          <c:idx val="1"/>
          <c:order val="7"/>
          <c:tx>
            <c:v>XLV</c:v>
          </c:tx>
          <c:spPr>
            <a:ln w="28575" cap="rnd">
              <a:solidFill>
                <a:srgbClr val="7030A0"/>
              </a:solidFill>
              <a:prstDash val="solid"/>
              <a:round/>
            </a:ln>
            <a:effectLst/>
          </c:spPr>
          <c:marker>
            <c:symbol val="none"/>
          </c:marker>
          <c:val>
            <c:numRef>
              <c:f>'2025-Q2'!$EI$4:$EI$422</c:f>
              <c:numCache>
                <c:formatCode>0.00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-1.196204584775086</c:v>
                </c:pt>
                <c:pt idx="47">
                  <c:v>-1.196204584775086</c:v>
                </c:pt>
                <c:pt idx="48">
                  <c:v>-1.196204584775086</c:v>
                </c:pt>
                <c:pt idx="49">
                  <c:v>-1.196204584775086</c:v>
                </c:pt>
                <c:pt idx="50">
                  <c:v>-1.196204584775086</c:v>
                </c:pt>
                <c:pt idx="51">
                  <c:v>-1.196204584775086</c:v>
                </c:pt>
                <c:pt idx="52">
                  <c:v>-1.196204584775086</c:v>
                </c:pt>
                <c:pt idx="53">
                  <c:v>-1.196204584775086</c:v>
                </c:pt>
                <c:pt idx="54">
                  <c:v>-1.196204584775086</c:v>
                </c:pt>
                <c:pt idx="55">
                  <c:v>-1.196204584775086</c:v>
                </c:pt>
                <c:pt idx="56">
                  <c:v>-1.196204584775086</c:v>
                </c:pt>
                <c:pt idx="57">
                  <c:v>-1.196204584775086</c:v>
                </c:pt>
                <c:pt idx="58">
                  <c:v>-1.196204584775086</c:v>
                </c:pt>
                <c:pt idx="59">
                  <c:v>-1.196204584775086</c:v>
                </c:pt>
                <c:pt idx="60">
                  <c:v>-1.196204584775086</c:v>
                </c:pt>
                <c:pt idx="61">
                  <c:v>-1.196204584775086</c:v>
                </c:pt>
                <c:pt idx="62">
                  <c:v>-1.196204584775086</c:v>
                </c:pt>
                <c:pt idx="63">
                  <c:v>-1.196204584775086</c:v>
                </c:pt>
                <c:pt idx="64">
                  <c:v>-1.196204584775086</c:v>
                </c:pt>
                <c:pt idx="65">
                  <c:v>-1.196204584775086</c:v>
                </c:pt>
                <c:pt idx="66">
                  <c:v>-1.196204584775086</c:v>
                </c:pt>
                <c:pt idx="67">
                  <c:v>-2.0327391387894549</c:v>
                </c:pt>
                <c:pt idx="68">
                  <c:v>-2.0327391387894549</c:v>
                </c:pt>
                <c:pt idx="69">
                  <c:v>-2.0327391387894549</c:v>
                </c:pt>
                <c:pt idx="70">
                  <c:v>-2.0327391387894549</c:v>
                </c:pt>
                <c:pt idx="71">
                  <c:v>-2.0327391387894549</c:v>
                </c:pt>
                <c:pt idx="72">
                  <c:v>-2.0327391387894549</c:v>
                </c:pt>
                <c:pt idx="73">
                  <c:v>-2.0327391387894549</c:v>
                </c:pt>
                <c:pt idx="74">
                  <c:v>-2.0327391387894549</c:v>
                </c:pt>
                <c:pt idx="75">
                  <c:v>-2.0327391387894549</c:v>
                </c:pt>
                <c:pt idx="76">
                  <c:v>-2.0327391387894549</c:v>
                </c:pt>
                <c:pt idx="77">
                  <c:v>-2.0327391387894549</c:v>
                </c:pt>
                <c:pt idx="78">
                  <c:v>-2.0327391387894549</c:v>
                </c:pt>
                <c:pt idx="79">
                  <c:v>-2.0327391387894549</c:v>
                </c:pt>
                <c:pt idx="80">
                  <c:v>-2.0327391387894549</c:v>
                </c:pt>
                <c:pt idx="81">
                  <c:v>-2.9174018315702313</c:v>
                </c:pt>
                <c:pt idx="82">
                  <c:v>-2.9174018315702313</c:v>
                </c:pt>
                <c:pt idx="83">
                  <c:v>-2.9174018315702313</c:v>
                </c:pt>
                <c:pt idx="84">
                  <c:v>-2.9174018315702313</c:v>
                </c:pt>
                <c:pt idx="85">
                  <c:v>-2.9174018315702313</c:v>
                </c:pt>
                <c:pt idx="86">
                  <c:v>-2.9174018315702313</c:v>
                </c:pt>
                <c:pt idx="87">
                  <c:v>-2.9174018315702313</c:v>
                </c:pt>
                <c:pt idx="88">
                  <c:v>-2.9174018315702313</c:v>
                </c:pt>
                <c:pt idx="89">
                  <c:v>-2.9174018315702313</c:v>
                </c:pt>
                <c:pt idx="90">
                  <c:v>-2.9174018315702313</c:v>
                </c:pt>
                <c:pt idx="91">
                  <c:v>-2.9174018315702313</c:v>
                </c:pt>
                <c:pt idx="92">
                  <c:v>-2.9174018315702313</c:v>
                </c:pt>
                <c:pt idx="93">
                  <c:v>-2.9174018315702313</c:v>
                </c:pt>
                <c:pt idx="94">
                  <c:v>-2.9174018315702313</c:v>
                </c:pt>
                <c:pt idx="95">
                  <c:v>-2.8200349701698415</c:v>
                </c:pt>
                <c:pt idx="96">
                  <c:v>-2.8200349701698415</c:v>
                </c:pt>
                <c:pt idx="97">
                  <c:v>-2.6174111635897193</c:v>
                </c:pt>
                <c:pt idx="98">
                  <c:v>-2.6174111635897193</c:v>
                </c:pt>
                <c:pt idx="99">
                  <c:v>-2.6174111635897193</c:v>
                </c:pt>
                <c:pt idx="100">
                  <c:v>-2.6174111635897193</c:v>
                </c:pt>
                <c:pt idx="101">
                  <c:v>-2.6174111635897193</c:v>
                </c:pt>
                <c:pt idx="102">
                  <c:v>-2.6174111635897193</c:v>
                </c:pt>
                <c:pt idx="103">
                  <c:v>-2.6174111635897193</c:v>
                </c:pt>
                <c:pt idx="104">
                  <c:v>-2.6174111635897193</c:v>
                </c:pt>
                <c:pt idx="105">
                  <c:v>-2.6174111635897193</c:v>
                </c:pt>
                <c:pt idx="106">
                  <c:v>-2.6174111635897193</c:v>
                </c:pt>
                <c:pt idx="107">
                  <c:v>-2.6174111635897193</c:v>
                </c:pt>
                <c:pt idx="108">
                  <c:v>-2.6174111635897193</c:v>
                </c:pt>
                <c:pt idx="109">
                  <c:v>-2.6174111635897193</c:v>
                </c:pt>
                <c:pt idx="110">
                  <c:v>-2.6174111635897193</c:v>
                </c:pt>
                <c:pt idx="111">
                  <c:v>-2.6174111635897193</c:v>
                </c:pt>
                <c:pt idx="112">
                  <c:v>-2.6174111635897193</c:v>
                </c:pt>
                <c:pt idx="113">
                  <c:v>-2.6174111635897193</c:v>
                </c:pt>
                <c:pt idx="114">
                  <c:v>-2.6174111635897193</c:v>
                </c:pt>
                <c:pt idx="115">
                  <c:v>-2.6174111635897193</c:v>
                </c:pt>
                <c:pt idx="116">
                  <c:v>-2.6174111635897193</c:v>
                </c:pt>
                <c:pt idx="117">
                  <c:v>-2.6174111635897193</c:v>
                </c:pt>
                <c:pt idx="118">
                  <c:v>-2.6174111635897193</c:v>
                </c:pt>
                <c:pt idx="119">
                  <c:v>-2.6174111635897193</c:v>
                </c:pt>
                <c:pt idx="120">
                  <c:v>-2.6174111635897193</c:v>
                </c:pt>
                <c:pt idx="121">
                  <c:v>-2.6174111635897193</c:v>
                </c:pt>
                <c:pt idx="122">
                  <c:v>-2.6174111635897193</c:v>
                </c:pt>
                <c:pt idx="123">
                  <c:v>-2.6174111635897193</c:v>
                </c:pt>
                <c:pt idx="124">
                  <c:v>-2.6174111635897193</c:v>
                </c:pt>
                <c:pt idx="125">
                  <c:v>-2.6174111635897193</c:v>
                </c:pt>
                <c:pt idx="126">
                  <c:v>-2.6174111635897193</c:v>
                </c:pt>
                <c:pt idx="127">
                  <c:v>-2.6174111635897193</c:v>
                </c:pt>
                <c:pt idx="128">
                  <c:v>-2.6174111635897193</c:v>
                </c:pt>
                <c:pt idx="129">
                  <c:v>-2.6174111635897193</c:v>
                </c:pt>
                <c:pt idx="130">
                  <c:v>-2.6174111635897193</c:v>
                </c:pt>
                <c:pt idx="131">
                  <c:v>-2.6174111635897193</c:v>
                </c:pt>
                <c:pt idx="132">
                  <c:v>-2.6174111635897193</c:v>
                </c:pt>
                <c:pt idx="133">
                  <c:v>-2.6174111635897193</c:v>
                </c:pt>
                <c:pt idx="134">
                  <c:v>-2.6174111635897193</c:v>
                </c:pt>
                <c:pt idx="135">
                  <c:v>-2.6174111635897193</c:v>
                </c:pt>
                <c:pt idx="136">
                  <c:v>-2.6174111635897193</c:v>
                </c:pt>
                <c:pt idx="137">
                  <c:v>-2.6174111635897193</c:v>
                </c:pt>
                <c:pt idx="138">
                  <c:v>-2.4583366878124231</c:v>
                </c:pt>
                <c:pt idx="139">
                  <c:v>-2.4583366878124231</c:v>
                </c:pt>
                <c:pt idx="140">
                  <c:v>-2.4583366878124231</c:v>
                </c:pt>
                <c:pt idx="141">
                  <c:v>-2.4583366878124231</c:v>
                </c:pt>
                <c:pt idx="142">
                  <c:v>-2.4583366878124231</c:v>
                </c:pt>
                <c:pt idx="143">
                  <c:v>-2.4583366878124231</c:v>
                </c:pt>
                <c:pt idx="144">
                  <c:v>-2.4583366878124231</c:v>
                </c:pt>
                <c:pt idx="145">
                  <c:v>-1.1184224685150388</c:v>
                </c:pt>
                <c:pt idx="146">
                  <c:v>-1.1184224685150388</c:v>
                </c:pt>
                <c:pt idx="147">
                  <c:v>-1.1184224685150388</c:v>
                </c:pt>
                <c:pt idx="148">
                  <c:v>-1.1184224685150388</c:v>
                </c:pt>
                <c:pt idx="149">
                  <c:v>-1.1184224685150388</c:v>
                </c:pt>
                <c:pt idx="150">
                  <c:v>-1.1184224685150388</c:v>
                </c:pt>
                <c:pt idx="151">
                  <c:v>-1.1184224685150388</c:v>
                </c:pt>
                <c:pt idx="152">
                  <c:v>-1.1184224685150388</c:v>
                </c:pt>
                <c:pt idx="153">
                  <c:v>-1.1184224685150388</c:v>
                </c:pt>
                <c:pt idx="154">
                  <c:v>-1.1184224685150388</c:v>
                </c:pt>
                <c:pt idx="155">
                  <c:v>-1.1184224685150388</c:v>
                </c:pt>
                <c:pt idx="156">
                  <c:v>-1.1184224685150388</c:v>
                </c:pt>
                <c:pt idx="157">
                  <c:v>-1.1184224685150388</c:v>
                </c:pt>
                <c:pt idx="158">
                  <c:v>-1.1184224685150388</c:v>
                </c:pt>
                <c:pt idx="159">
                  <c:v>-1.1184224685150388</c:v>
                </c:pt>
                <c:pt idx="160">
                  <c:v>-1.1184224685150388</c:v>
                </c:pt>
                <c:pt idx="161">
                  <c:v>-1.1184224685150388</c:v>
                </c:pt>
                <c:pt idx="162">
                  <c:v>-1.1184224685150388</c:v>
                </c:pt>
                <c:pt idx="163">
                  <c:v>-1.1184224685150388</c:v>
                </c:pt>
                <c:pt idx="164">
                  <c:v>-1.1184224685150388</c:v>
                </c:pt>
                <c:pt idx="165">
                  <c:v>-1.1184224685150388</c:v>
                </c:pt>
                <c:pt idx="166">
                  <c:v>-1.1184224685150388</c:v>
                </c:pt>
                <c:pt idx="167">
                  <c:v>-1.1184224685150388</c:v>
                </c:pt>
                <c:pt idx="168">
                  <c:v>-1.1184224685150388</c:v>
                </c:pt>
                <c:pt idx="169">
                  <c:v>-1.1184224685150388</c:v>
                </c:pt>
                <c:pt idx="170">
                  <c:v>-1.1184224685150388</c:v>
                </c:pt>
                <c:pt idx="171">
                  <c:v>-1.1184224685150388</c:v>
                </c:pt>
                <c:pt idx="172">
                  <c:v>-1.1184224685150388</c:v>
                </c:pt>
                <c:pt idx="173">
                  <c:v>-1.1184224685150388</c:v>
                </c:pt>
                <c:pt idx="174">
                  <c:v>-1.1184224685150388</c:v>
                </c:pt>
                <c:pt idx="175">
                  <c:v>-1.1184224685150388</c:v>
                </c:pt>
                <c:pt idx="176">
                  <c:v>-1.1184224685150388</c:v>
                </c:pt>
                <c:pt idx="177">
                  <c:v>-1.1184224685150388</c:v>
                </c:pt>
                <c:pt idx="178">
                  <c:v>-1.1184224685150388</c:v>
                </c:pt>
                <c:pt idx="179">
                  <c:v>-1.1184224685150388</c:v>
                </c:pt>
                <c:pt idx="180">
                  <c:v>-1.1184224685150388</c:v>
                </c:pt>
                <c:pt idx="181">
                  <c:v>-1.1184224685150388</c:v>
                </c:pt>
                <c:pt idx="182">
                  <c:v>-1.1184224685150388</c:v>
                </c:pt>
                <c:pt idx="183">
                  <c:v>-1.1184224685150388</c:v>
                </c:pt>
                <c:pt idx="184">
                  <c:v>-2.7245005604557937</c:v>
                </c:pt>
                <c:pt idx="185">
                  <c:v>-2.7245005604557937</c:v>
                </c:pt>
                <c:pt idx="186">
                  <c:v>-2.7245005604557937</c:v>
                </c:pt>
                <c:pt idx="187">
                  <c:v>-2.7245005604557937</c:v>
                </c:pt>
                <c:pt idx="188">
                  <c:v>-2.7245005604557937</c:v>
                </c:pt>
                <c:pt idx="189">
                  <c:v>-2.7245005604557937</c:v>
                </c:pt>
                <c:pt idx="190">
                  <c:v>-2.7245005604557937</c:v>
                </c:pt>
                <c:pt idx="191">
                  <c:v>-2.7245005604557937</c:v>
                </c:pt>
                <c:pt idx="192">
                  <c:v>-2.7245005604557937</c:v>
                </c:pt>
                <c:pt idx="193">
                  <c:v>-2.7245005604557937</c:v>
                </c:pt>
                <c:pt idx="194">
                  <c:v>-2.7245005604557937</c:v>
                </c:pt>
                <c:pt idx="195">
                  <c:v>-2.7245005604557937</c:v>
                </c:pt>
                <c:pt idx="196">
                  <c:v>-2.7245005604557937</c:v>
                </c:pt>
                <c:pt idx="197">
                  <c:v>-2.7245005604557937</c:v>
                </c:pt>
                <c:pt idx="198">
                  <c:v>-2.6267690330909645</c:v>
                </c:pt>
                <c:pt idx="199">
                  <c:v>-2.6267690330909645</c:v>
                </c:pt>
                <c:pt idx="200">
                  <c:v>-2.6267690330909645</c:v>
                </c:pt>
                <c:pt idx="201">
                  <c:v>-2.6267690330909645</c:v>
                </c:pt>
                <c:pt idx="202">
                  <c:v>-2.6267690330909645</c:v>
                </c:pt>
                <c:pt idx="203">
                  <c:v>-2.6267690330909645</c:v>
                </c:pt>
                <c:pt idx="204">
                  <c:v>-2.6267690330909645</c:v>
                </c:pt>
                <c:pt idx="205">
                  <c:v>-2.6267690330909645</c:v>
                </c:pt>
                <c:pt idx="206">
                  <c:v>-2.6267690330909645</c:v>
                </c:pt>
                <c:pt idx="207">
                  <c:v>-2.6267690330909645</c:v>
                </c:pt>
                <c:pt idx="208">
                  <c:v>-2.6267690330909645</c:v>
                </c:pt>
                <c:pt idx="209">
                  <c:v>-2.6267690330909645</c:v>
                </c:pt>
                <c:pt idx="210">
                  <c:v>-2.6267690330909645</c:v>
                </c:pt>
                <c:pt idx="211">
                  <c:v>-2.6267690330909645</c:v>
                </c:pt>
                <c:pt idx="212">
                  <c:v>-2.6267690330909645</c:v>
                </c:pt>
                <c:pt idx="213">
                  <c:v>-2.6267690330909645</c:v>
                </c:pt>
                <c:pt idx="214">
                  <c:v>-2.6267690330909645</c:v>
                </c:pt>
                <c:pt idx="215">
                  <c:v>-2.6267690330909645</c:v>
                </c:pt>
                <c:pt idx="216">
                  <c:v>-2.6267690330909645</c:v>
                </c:pt>
                <c:pt idx="217">
                  <c:v>-2.6267690330909645</c:v>
                </c:pt>
                <c:pt idx="218">
                  <c:v>-3.1507771605639614</c:v>
                </c:pt>
                <c:pt idx="219">
                  <c:v>-3.1507771605639614</c:v>
                </c:pt>
                <c:pt idx="220">
                  <c:v>-3.1507771605639614</c:v>
                </c:pt>
                <c:pt idx="221">
                  <c:v>-3.1507771605639614</c:v>
                </c:pt>
                <c:pt idx="222">
                  <c:v>-3.1507771605639614</c:v>
                </c:pt>
                <c:pt idx="223">
                  <c:v>-3.1507771605639614</c:v>
                </c:pt>
                <c:pt idx="224">
                  <c:v>-3.1507771605639614</c:v>
                </c:pt>
                <c:pt idx="225">
                  <c:v>-3.1507771605639614</c:v>
                </c:pt>
                <c:pt idx="226">
                  <c:v>-3.1507771605639614</c:v>
                </c:pt>
                <c:pt idx="227">
                  <c:v>-3.1507771605639614</c:v>
                </c:pt>
                <c:pt idx="228">
                  <c:v>-3.1507771605639614</c:v>
                </c:pt>
                <c:pt idx="229">
                  <c:v>-3.1507771605639614</c:v>
                </c:pt>
                <c:pt idx="230">
                  <c:v>-3.1507771605639614</c:v>
                </c:pt>
                <c:pt idx="231">
                  <c:v>-3.1507771605639614</c:v>
                </c:pt>
                <c:pt idx="232">
                  <c:v>-3.1507771605639614</c:v>
                </c:pt>
                <c:pt idx="233">
                  <c:v>-3.1507771605639614</c:v>
                </c:pt>
                <c:pt idx="234">
                  <c:v>-2.5775695255546522</c:v>
                </c:pt>
                <c:pt idx="235">
                  <c:v>-2.8640283518306258</c:v>
                </c:pt>
                <c:pt idx="236">
                  <c:v>-2.8640283518306258</c:v>
                </c:pt>
                <c:pt idx="237">
                  <c:v>-2.8640283518306258</c:v>
                </c:pt>
                <c:pt idx="238">
                  <c:v>-2.8640283518306258</c:v>
                </c:pt>
                <c:pt idx="239">
                  <c:v>-2.8640283518306258</c:v>
                </c:pt>
                <c:pt idx="240">
                  <c:v>-2.8640283518306258</c:v>
                </c:pt>
                <c:pt idx="241">
                  <c:v>-2.8640283518306258</c:v>
                </c:pt>
                <c:pt idx="242">
                  <c:v>-2.8640283518306258</c:v>
                </c:pt>
                <c:pt idx="243">
                  <c:v>-2.8640283518306258</c:v>
                </c:pt>
                <c:pt idx="244">
                  <c:v>-2.8640283518306258</c:v>
                </c:pt>
                <c:pt idx="245">
                  <c:v>-2.8640283518306258</c:v>
                </c:pt>
                <c:pt idx="246">
                  <c:v>-2.8640283518306258</c:v>
                </c:pt>
                <c:pt idx="247">
                  <c:v>-2.8640283518306258</c:v>
                </c:pt>
                <c:pt idx="248">
                  <c:v>-2.8640283518306258</c:v>
                </c:pt>
                <c:pt idx="249">
                  <c:v>-2.8640283518306258</c:v>
                </c:pt>
                <c:pt idx="250">
                  <c:v>-2.4098380802932158</c:v>
                </c:pt>
                <c:pt idx="251">
                  <c:v>-2.4098380802932158</c:v>
                </c:pt>
                <c:pt idx="252">
                  <c:v>-2.4098380802932158</c:v>
                </c:pt>
                <c:pt idx="253">
                  <c:v>-2.4098380802932158</c:v>
                </c:pt>
                <c:pt idx="254">
                  <c:v>-2.3511346601809122</c:v>
                </c:pt>
                <c:pt idx="255">
                  <c:v>-2.3511346601809122</c:v>
                </c:pt>
                <c:pt idx="256">
                  <c:v>-2.3511346601809122</c:v>
                </c:pt>
                <c:pt idx="257">
                  <c:v>-2.3511346601809122</c:v>
                </c:pt>
                <c:pt idx="258">
                  <c:v>-2.3511346601809122</c:v>
                </c:pt>
                <c:pt idx="259">
                  <c:v>-2.3511346601809122</c:v>
                </c:pt>
                <c:pt idx="260">
                  <c:v>-2.3511346601809122</c:v>
                </c:pt>
                <c:pt idx="261">
                  <c:v>-2.3511346601809122</c:v>
                </c:pt>
                <c:pt idx="262">
                  <c:v>-2.0808348133873036</c:v>
                </c:pt>
                <c:pt idx="263">
                  <c:v>-2.0808348133873036</c:v>
                </c:pt>
                <c:pt idx="264">
                  <c:v>-2.0808348133873036</c:v>
                </c:pt>
                <c:pt idx="265">
                  <c:v>-2.0808348133873036</c:v>
                </c:pt>
                <c:pt idx="266">
                  <c:v>-2.0808348133873036</c:v>
                </c:pt>
                <c:pt idx="267">
                  <c:v>-2.0808348133873036</c:v>
                </c:pt>
                <c:pt idx="268">
                  <c:v>-2.0808348133873036</c:v>
                </c:pt>
                <c:pt idx="269">
                  <c:v>-2.0808348133873036</c:v>
                </c:pt>
                <c:pt idx="270">
                  <c:v>-1.77369892728592</c:v>
                </c:pt>
                <c:pt idx="271">
                  <c:v>-1.9445201344224492</c:v>
                </c:pt>
                <c:pt idx="272">
                  <c:v>-1.9445201344224492</c:v>
                </c:pt>
                <c:pt idx="273">
                  <c:v>-1.9445201344224492</c:v>
                </c:pt>
                <c:pt idx="274">
                  <c:v>-1.9445201344224492</c:v>
                </c:pt>
                <c:pt idx="275">
                  <c:v>-1.9445201344224492</c:v>
                </c:pt>
                <c:pt idx="276">
                  <c:v>-1.9445201344224492</c:v>
                </c:pt>
                <c:pt idx="277">
                  <c:v>-1.9445201344224492</c:v>
                </c:pt>
                <c:pt idx="278">
                  <c:v>-1.9445201344224492</c:v>
                </c:pt>
                <c:pt idx="279">
                  <c:v>-1.9445201344224492</c:v>
                </c:pt>
                <c:pt idx="280">
                  <c:v>-1.9445201344224492</c:v>
                </c:pt>
                <c:pt idx="281">
                  <c:v>-1.9445201344224492</c:v>
                </c:pt>
                <c:pt idx="282">
                  <c:v>-1.9445201344224492</c:v>
                </c:pt>
                <c:pt idx="283">
                  <c:v>-1.9445201344224492</c:v>
                </c:pt>
                <c:pt idx="284">
                  <c:v>-1.9445201344224492</c:v>
                </c:pt>
                <c:pt idx="285">
                  <c:v>-1.9445201344224492</c:v>
                </c:pt>
                <c:pt idx="286">
                  <c:v>-1.9445201344224492</c:v>
                </c:pt>
                <c:pt idx="287">
                  <c:v>-1.9445201344224492</c:v>
                </c:pt>
                <c:pt idx="288">
                  <c:v>-1.9445201344224492</c:v>
                </c:pt>
                <c:pt idx="289">
                  <c:v>-1.9445201344224492</c:v>
                </c:pt>
                <c:pt idx="290">
                  <c:v>-1.9445201344224492</c:v>
                </c:pt>
                <c:pt idx="291">
                  <c:v>-1.9445201344224492</c:v>
                </c:pt>
                <c:pt idx="292">
                  <c:v>-2.7373393576691663</c:v>
                </c:pt>
                <c:pt idx="293">
                  <c:v>-2.7373393576691663</c:v>
                </c:pt>
                <c:pt idx="294">
                  <c:v>-2.7373393576691663</c:v>
                </c:pt>
                <c:pt idx="295">
                  <c:v>-2.7373393576691663</c:v>
                </c:pt>
                <c:pt idx="296">
                  <c:v>-2.7373393576691663</c:v>
                </c:pt>
                <c:pt idx="297">
                  <c:v>-2.7373393576691663</c:v>
                </c:pt>
                <c:pt idx="298">
                  <c:v>-2.7373393576691663</c:v>
                </c:pt>
                <c:pt idx="299">
                  <c:v>-2.7373393576691663</c:v>
                </c:pt>
                <c:pt idx="300">
                  <c:v>-2.7373393576691663</c:v>
                </c:pt>
                <c:pt idx="301">
                  <c:v>-2.7373393576691663</c:v>
                </c:pt>
                <c:pt idx="302">
                  <c:v>-2.7373393576691663</c:v>
                </c:pt>
                <c:pt idx="303">
                  <c:v>-2.7373393576691663</c:v>
                </c:pt>
                <c:pt idx="304">
                  <c:v>-2.7373393576691663</c:v>
                </c:pt>
                <c:pt idx="305">
                  <c:v>-2.7373393576691663</c:v>
                </c:pt>
                <c:pt idx="306">
                  <c:v>-2.7373393576691663</c:v>
                </c:pt>
                <c:pt idx="307">
                  <c:v>-2.7373393576691663</c:v>
                </c:pt>
                <c:pt idx="308">
                  <c:v>-2.7373393576691663</c:v>
                </c:pt>
                <c:pt idx="309">
                  <c:v>-2.7373393576691663</c:v>
                </c:pt>
                <c:pt idx="310">
                  <c:v>-2.7373393576691663</c:v>
                </c:pt>
                <c:pt idx="311">
                  <c:v>-2.7373393576691663</c:v>
                </c:pt>
                <c:pt idx="312">
                  <c:v>-2.7373393576691663</c:v>
                </c:pt>
                <c:pt idx="313">
                  <c:v>-2.7373393576691663</c:v>
                </c:pt>
                <c:pt idx="314">
                  <c:v>-3.5125331561187787</c:v>
                </c:pt>
                <c:pt idx="315">
                  <c:v>-3.5125331561187787</c:v>
                </c:pt>
                <c:pt idx="316">
                  <c:v>-3.5125331561187787</c:v>
                </c:pt>
                <c:pt idx="317">
                  <c:v>-3.5125331561187787</c:v>
                </c:pt>
                <c:pt idx="318">
                  <c:v>-3.5125331561187787</c:v>
                </c:pt>
                <c:pt idx="319">
                  <c:v>-3.5125331561187787</c:v>
                </c:pt>
                <c:pt idx="320">
                  <c:v>-3.5125331561187787</c:v>
                </c:pt>
                <c:pt idx="321">
                  <c:v>-3.5125331561187787</c:v>
                </c:pt>
                <c:pt idx="322">
                  <c:v>-3.5125331561187787</c:v>
                </c:pt>
                <c:pt idx="323">
                  <c:v>-3.5125331561187787</c:v>
                </c:pt>
                <c:pt idx="324">
                  <c:v>-3.5125331561187787</c:v>
                </c:pt>
                <c:pt idx="325">
                  <c:v>-3.5125331561187787</c:v>
                </c:pt>
                <c:pt idx="326">
                  <c:v>-3.5125331561187787</c:v>
                </c:pt>
                <c:pt idx="327">
                  <c:v>-3.5125331561187787</c:v>
                </c:pt>
                <c:pt idx="328">
                  <c:v>-3.5125331561187787</c:v>
                </c:pt>
                <c:pt idx="329">
                  <c:v>-3.5125331561187787</c:v>
                </c:pt>
                <c:pt idx="330">
                  <c:v>-3.5125331561187787</c:v>
                </c:pt>
                <c:pt idx="331">
                  <c:v>-3.5125331561187787</c:v>
                </c:pt>
                <c:pt idx="332">
                  <c:v>-3.5125331561187787</c:v>
                </c:pt>
                <c:pt idx="333">
                  <c:v>-3.5125331561187787</c:v>
                </c:pt>
                <c:pt idx="334">
                  <c:v>-3.5125331561187787</c:v>
                </c:pt>
                <c:pt idx="335">
                  <c:v>-3.5125331561187787</c:v>
                </c:pt>
                <c:pt idx="336">
                  <c:v>-3.5125331561187787</c:v>
                </c:pt>
                <c:pt idx="337">
                  <c:v>-3.5125331561187787</c:v>
                </c:pt>
                <c:pt idx="338">
                  <c:v>-3.5125331561187787</c:v>
                </c:pt>
                <c:pt idx="339">
                  <c:v>-3.5125331561187787</c:v>
                </c:pt>
                <c:pt idx="340">
                  <c:v>-3.5125331561187787</c:v>
                </c:pt>
                <c:pt idx="341">
                  <c:v>-3.5125331561187787</c:v>
                </c:pt>
                <c:pt idx="342">
                  <c:v>-3.5125331561187787</c:v>
                </c:pt>
                <c:pt idx="343">
                  <c:v>-3.5125331561187787</c:v>
                </c:pt>
                <c:pt idx="344">
                  <c:v>-3.5125331561187787</c:v>
                </c:pt>
                <c:pt idx="345">
                  <c:v>-3.5125331561187787</c:v>
                </c:pt>
                <c:pt idx="346">
                  <c:v>-3.5125331561187787</c:v>
                </c:pt>
                <c:pt idx="347">
                  <c:v>-3.5125331561187787</c:v>
                </c:pt>
                <c:pt idx="348">
                  <c:v>-3.5125331561187787</c:v>
                </c:pt>
                <c:pt idx="349">
                  <c:v>-3.5125331561187787</c:v>
                </c:pt>
                <c:pt idx="350">
                  <c:v>-3.5125331561187787</c:v>
                </c:pt>
                <c:pt idx="351">
                  <c:v>-3.5125331561187787</c:v>
                </c:pt>
                <c:pt idx="352">
                  <c:v>-3.5125331561187787</c:v>
                </c:pt>
                <c:pt idx="353">
                  <c:v>-3.5125331561187787</c:v>
                </c:pt>
                <c:pt idx="354">
                  <c:v>-3.5125331561187787</c:v>
                </c:pt>
                <c:pt idx="355">
                  <c:v>-3.5125331561187787</c:v>
                </c:pt>
                <c:pt idx="356">
                  <c:v>-3.5125331561187787</c:v>
                </c:pt>
                <c:pt idx="357">
                  <c:v>-3.5125331561187787</c:v>
                </c:pt>
                <c:pt idx="358">
                  <c:v>-3.5125331561187787</c:v>
                </c:pt>
                <c:pt idx="359">
                  <c:v>-3.5125331561187787</c:v>
                </c:pt>
                <c:pt idx="360">
                  <c:v>-3.5125331561187787</c:v>
                </c:pt>
                <c:pt idx="361">
                  <c:v>-3.5125331561187787</c:v>
                </c:pt>
                <c:pt idx="362">
                  <c:v>-3.5125331561187787</c:v>
                </c:pt>
                <c:pt idx="363">
                  <c:v>-3.5125331561187787</c:v>
                </c:pt>
                <c:pt idx="364">
                  <c:v>-3.5125331561187787</c:v>
                </c:pt>
                <c:pt idx="365">
                  <c:v>-3.5125331561187787</c:v>
                </c:pt>
                <c:pt idx="366">
                  <c:v>-3.5125331561187787</c:v>
                </c:pt>
                <c:pt idx="367">
                  <c:v>-3.5125331561187787</c:v>
                </c:pt>
                <c:pt idx="368">
                  <c:v>-3.5125331561187787</c:v>
                </c:pt>
                <c:pt idx="369">
                  <c:v>-3.5125331561187787</c:v>
                </c:pt>
                <c:pt idx="370">
                  <c:v>-3.5125331561187787</c:v>
                </c:pt>
                <c:pt idx="371">
                  <c:v>-3.5125331561187787</c:v>
                </c:pt>
                <c:pt idx="372">
                  <c:v>-3.5125331561187787</c:v>
                </c:pt>
                <c:pt idx="373">
                  <c:v>-3.5125331561187787</c:v>
                </c:pt>
                <c:pt idx="374">
                  <c:v>-3.5125331561187787</c:v>
                </c:pt>
                <c:pt idx="375">
                  <c:v>-3.5125331561187787</c:v>
                </c:pt>
                <c:pt idx="376">
                  <c:v>-3.5125331561187787</c:v>
                </c:pt>
                <c:pt idx="377">
                  <c:v>-3.5125331561187787</c:v>
                </c:pt>
                <c:pt idx="378">
                  <c:v>-3.5125331561187787</c:v>
                </c:pt>
                <c:pt idx="379">
                  <c:v>-3.5125331561187787</c:v>
                </c:pt>
                <c:pt idx="380">
                  <c:v>-3.5125331561187787</c:v>
                </c:pt>
                <c:pt idx="381">
                  <c:v>-3.5125331561187787</c:v>
                </c:pt>
                <c:pt idx="382">
                  <c:v>-3.5125331561187787</c:v>
                </c:pt>
                <c:pt idx="383">
                  <c:v>-3.5125331561187787</c:v>
                </c:pt>
                <c:pt idx="384">
                  <c:v>-3.5125331561187787</c:v>
                </c:pt>
                <c:pt idx="385">
                  <c:v>-3.5125331561187787</c:v>
                </c:pt>
                <c:pt idx="386">
                  <c:v>-3.5125331561187787</c:v>
                </c:pt>
                <c:pt idx="387">
                  <c:v>-3.5125331561187787</c:v>
                </c:pt>
                <c:pt idx="388">
                  <c:v>-3.5125331561187787</c:v>
                </c:pt>
                <c:pt idx="389">
                  <c:v>-3.5125331561187787</c:v>
                </c:pt>
                <c:pt idx="390">
                  <c:v>-3.5125331561187787</c:v>
                </c:pt>
                <c:pt idx="391">
                  <c:v>-3.5125331561187787</c:v>
                </c:pt>
                <c:pt idx="392">
                  <c:v>-3.5125331561187787</c:v>
                </c:pt>
                <c:pt idx="393">
                  <c:v>-3.5125331561187787</c:v>
                </c:pt>
                <c:pt idx="394">
                  <c:v>-3.5125331561187787</c:v>
                </c:pt>
                <c:pt idx="395">
                  <c:v>-3.5125331561187787</c:v>
                </c:pt>
                <c:pt idx="396">
                  <c:v>-3.5125331561187787</c:v>
                </c:pt>
                <c:pt idx="397">
                  <c:v>-3.5125331561187787</c:v>
                </c:pt>
                <c:pt idx="398">
                  <c:v>-3.5125331561187787</c:v>
                </c:pt>
                <c:pt idx="399">
                  <c:v>-3.5125331561187787</c:v>
                </c:pt>
                <c:pt idx="400">
                  <c:v>-3.5125331561187787</c:v>
                </c:pt>
                <c:pt idx="401">
                  <c:v>-3.5125331561187787</c:v>
                </c:pt>
                <c:pt idx="402">
                  <c:v>-3.5125331561187787</c:v>
                </c:pt>
                <c:pt idx="403">
                  <c:v>-3.5125331561187787</c:v>
                </c:pt>
                <c:pt idx="404">
                  <c:v>-3.5125331561187787</c:v>
                </c:pt>
                <c:pt idx="405">
                  <c:v>-3.5125331561187787</c:v>
                </c:pt>
                <c:pt idx="406">
                  <c:v>-3.5125331561187787</c:v>
                </c:pt>
                <c:pt idx="407">
                  <c:v>-3.5125331561187787</c:v>
                </c:pt>
                <c:pt idx="408">
                  <c:v>-3.5125331561187787</c:v>
                </c:pt>
                <c:pt idx="409">
                  <c:v>-3.5125331561187787</c:v>
                </c:pt>
                <c:pt idx="410">
                  <c:v>-3.5125331561187787</c:v>
                </c:pt>
                <c:pt idx="411">
                  <c:v>-3.5125331561187787</c:v>
                </c:pt>
                <c:pt idx="412">
                  <c:v>-3.5125331561187787</c:v>
                </c:pt>
                <c:pt idx="413">
                  <c:v>-3.5125331561187787</c:v>
                </c:pt>
                <c:pt idx="414">
                  <c:v>-3.5125331561187787</c:v>
                </c:pt>
                <c:pt idx="415">
                  <c:v>-3.5125331561187787</c:v>
                </c:pt>
                <c:pt idx="416">
                  <c:v>-3.5125331561187787</c:v>
                </c:pt>
                <c:pt idx="417">
                  <c:v>-3.5125331561187787</c:v>
                </c:pt>
                <c:pt idx="418">
                  <c:v>-3.5125331561187787</c:v>
                </c:pt>
              </c:numCache>
            </c:numRef>
          </c:val>
          <c:smooth val="1"/>
          <c:extLst>
            <c:ext xmlns:c16="http://schemas.microsoft.com/office/drawing/2014/chart" uri="{C3380CC4-5D6E-409C-BE32-E72D297353CC}">
              <c16:uniqueId val="{00000007-C9CA-4D9B-8754-B3F2C1FBE580}"/>
            </c:ext>
          </c:extLst>
        </c:ser>
        <c:ser>
          <c:idx val="2"/>
          <c:order val="8"/>
          <c:tx>
            <c:v>XLB</c:v>
          </c:tx>
          <c:spPr>
            <a:ln w="28575" cap="rnd">
              <a:solidFill>
                <a:schemeClr val="accent2">
                  <a:lumMod val="50000"/>
                </a:schemeClr>
              </a:solidFill>
              <a:prstDash val="solid"/>
              <a:round/>
            </a:ln>
            <a:effectLst/>
          </c:spPr>
          <c:marker>
            <c:symbol val="none"/>
          </c:marker>
          <c:val>
            <c:numRef>
              <c:f>'2025-Q2'!$EP$4:$EP$422</c:f>
              <c:numCache>
                <c:formatCode>0.00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0.61509852304831358</c:v>
                </c:pt>
                <c:pt idx="56">
                  <c:v>0.61509852304831358</c:v>
                </c:pt>
                <c:pt idx="57">
                  <c:v>0.61509852304831358</c:v>
                </c:pt>
                <c:pt idx="58">
                  <c:v>0.61509852304831358</c:v>
                </c:pt>
                <c:pt idx="59">
                  <c:v>0.61509852304831358</c:v>
                </c:pt>
                <c:pt idx="60">
                  <c:v>0.61509852304831358</c:v>
                </c:pt>
                <c:pt idx="61">
                  <c:v>0.61509852304831358</c:v>
                </c:pt>
                <c:pt idx="62">
                  <c:v>0.61509852304831358</c:v>
                </c:pt>
                <c:pt idx="63">
                  <c:v>0.61509852304831358</c:v>
                </c:pt>
                <c:pt idx="64">
                  <c:v>0.61509852304831358</c:v>
                </c:pt>
                <c:pt idx="65">
                  <c:v>0.61509852304831358</c:v>
                </c:pt>
                <c:pt idx="66">
                  <c:v>0.61509852304831358</c:v>
                </c:pt>
                <c:pt idx="67">
                  <c:v>0.61509852304831358</c:v>
                </c:pt>
                <c:pt idx="68">
                  <c:v>0.74379497102635161</c:v>
                </c:pt>
                <c:pt idx="69">
                  <c:v>0.74379497102635161</c:v>
                </c:pt>
                <c:pt idx="70">
                  <c:v>0.74379497102635161</c:v>
                </c:pt>
                <c:pt idx="71">
                  <c:v>0.74379497102635161</c:v>
                </c:pt>
                <c:pt idx="72">
                  <c:v>0.74379497102635161</c:v>
                </c:pt>
                <c:pt idx="73">
                  <c:v>0.74379497102635161</c:v>
                </c:pt>
                <c:pt idx="74">
                  <c:v>0.74379497102635161</c:v>
                </c:pt>
                <c:pt idx="75">
                  <c:v>0.74379497102635161</c:v>
                </c:pt>
                <c:pt idx="76">
                  <c:v>0.74379497102635161</c:v>
                </c:pt>
                <c:pt idx="77">
                  <c:v>0.74379497102635161</c:v>
                </c:pt>
                <c:pt idx="78">
                  <c:v>0.74379497102635161</c:v>
                </c:pt>
                <c:pt idx="79">
                  <c:v>0.74379497102635161</c:v>
                </c:pt>
                <c:pt idx="80">
                  <c:v>0.74379497102635161</c:v>
                </c:pt>
                <c:pt idx="81">
                  <c:v>0.74379497102635161</c:v>
                </c:pt>
                <c:pt idx="82">
                  <c:v>0.74379497102635161</c:v>
                </c:pt>
                <c:pt idx="83">
                  <c:v>0.74379497102635161</c:v>
                </c:pt>
                <c:pt idx="84">
                  <c:v>0.74379497102635161</c:v>
                </c:pt>
                <c:pt idx="85">
                  <c:v>0.56381959923512304</c:v>
                </c:pt>
                <c:pt idx="86">
                  <c:v>0.56381959923512304</c:v>
                </c:pt>
                <c:pt idx="87">
                  <c:v>0.56381959923512304</c:v>
                </c:pt>
                <c:pt idx="88">
                  <c:v>0.56381959923512304</c:v>
                </c:pt>
                <c:pt idx="89">
                  <c:v>0.56381959923512304</c:v>
                </c:pt>
                <c:pt idx="90">
                  <c:v>0.56381959923512304</c:v>
                </c:pt>
                <c:pt idx="91">
                  <c:v>0.56381959923512304</c:v>
                </c:pt>
                <c:pt idx="92">
                  <c:v>0.83968166820063983</c:v>
                </c:pt>
                <c:pt idx="93">
                  <c:v>0.83968166820063983</c:v>
                </c:pt>
                <c:pt idx="94">
                  <c:v>0.83968166820063983</c:v>
                </c:pt>
                <c:pt idx="95">
                  <c:v>0.83968166820063983</c:v>
                </c:pt>
                <c:pt idx="96">
                  <c:v>0.83968166820063983</c:v>
                </c:pt>
                <c:pt idx="97">
                  <c:v>0.83968166820063983</c:v>
                </c:pt>
                <c:pt idx="98">
                  <c:v>0.83968166820063983</c:v>
                </c:pt>
                <c:pt idx="99">
                  <c:v>0.83968166820063983</c:v>
                </c:pt>
                <c:pt idx="100">
                  <c:v>0.83968166820063983</c:v>
                </c:pt>
                <c:pt idx="101">
                  <c:v>0.83968166820063983</c:v>
                </c:pt>
                <c:pt idx="102">
                  <c:v>0.83968166820063983</c:v>
                </c:pt>
                <c:pt idx="103">
                  <c:v>0.83968166820063983</c:v>
                </c:pt>
                <c:pt idx="104">
                  <c:v>0.83968166820063983</c:v>
                </c:pt>
                <c:pt idx="105">
                  <c:v>1.5996008301242557</c:v>
                </c:pt>
                <c:pt idx="106">
                  <c:v>1.5996008301242557</c:v>
                </c:pt>
                <c:pt idx="107">
                  <c:v>1.5996008301242557</c:v>
                </c:pt>
                <c:pt idx="108">
                  <c:v>1.5996008301242557</c:v>
                </c:pt>
                <c:pt idx="109">
                  <c:v>1.5996008301242557</c:v>
                </c:pt>
                <c:pt idx="110">
                  <c:v>1.5996008301242557</c:v>
                </c:pt>
                <c:pt idx="111">
                  <c:v>1.5996008301242557</c:v>
                </c:pt>
                <c:pt idx="112">
                  <c:v>1.5996008301242557</c:v>
                </c:pt>
                <c:pt idx="113">
                  <c:v>1.5996008301242557</c:v>
                </c:pt>
                <c:pt idx="114">
                  <c:v>1.5996008301242557</c:v>
                </c:pt>
                <c:pt idx="115">
                  <c:v>1.5996008301242557</c:v>
                </c:pt>
                <c:pt idx="116">
                  <c:v>2.0778005488303037</c:v>
                </c:pt>
                <c:pt idx="117">
                  <c:v>2.0778005488303037</c:v>
                </c:pt>
                <c:pt idx="118">
                  <c:v>2.0778005488303037</c:v>
                </c:pt>
                <c:pt idx="119">
                  <c:v>2.0778005488303037</c:v>
                </c:pt>
                <c:pt idx="120">
                  <c:v>2.2865449370376734</c:v>
                </c:pt>
                <c:pt idx="121">
                  <c:v>2.2865449370376734</c:v>
                </c:pt>
                <c:pt idx="122">
                  <c:v>2.2865449370376734</c:v>
                </c:pt>
                <c:pt idx="123">
                  <c:v>2.2865449370376734</c:v>
                </c:pt>
                <c:pt idx="124">
                  <c:v>2.2865449370376734</c:v>
                </c:pt>
                <c:pt idx="125">
                  <c:v>2.2865449370376734</c:v>
                </c:pt>
                <c:pt idx="126">
                  <c:v>2.2865449370376734</c:v>
                </c:pt>
                <c:pt idx="127">
                  <c:v>1.6293103394057216</c:v>
                </c:pt>
                <c:pt idx="128">
                  <c:v>1.6293103394057216</c:v>
                </c:pt>
                <c:pt idx="129">
                  <c:v>1.6293103394057216</c:v>
                </c:pt>
                <c:pt idx="130">
                  <c:v>1.6293103394057216</c:v>
                </c:pt>
                <c:pt idx="131">
                  <c:v>1.6293103394057216</c:v>
                </c:pt>
                <c:pt idx="132">
                  <c:v>1.6293103394057216</c:v>
                </c:pt>
                <c:pt idx="133">
                  <c:v>1.6293103394057216</c:v>
                </c:pt>
                <c:pt idx="134">
                  <c:v>1.6293103394057216</c:v>
                </c:pt>
                <c:pt idx="135">
                  <c:v>1.6293103394057216</c:v>
                </c:pt>
                <c:pt idx="136">
                  <c:v>1.6293103394057216</c:v>
                </c:pt>
                <c:pt idx="137">
                  <c:v>1.6293103394057216</c:v>
                </c:pt>
                <c:pt idx="138">
                  <c:v>1.6293103394057216</c:v>
                </c:pt>
                <c:pt idx="139">
                  <c:v>1.7158454726698287</c:v>
                </c:pt>
                <c:pt idx="140">
                  <c:v>1.7158454726698287</c:v>
                </c:pt>
                <c:pt idx="141">
                  <c:v>1.264716604605848</c:v>
                </c:pt>
                <c:pt idx="142">
                  <c:v>1.264716604605848</c:v>
                </c:pt>
                <c:pt idx="143">
                  <c:v>1.264716604605848</c:v>
                </c:pt>
                <c:pt idx="144">
                  <c:v>1.264716604605848</c:v>
                </c:pt>
                <c:pt idx="145">
                  <c:v>1.264716604605848</c:v>
                </c:pt>
                <c:pt idx="146">
                  <c:v>1.264716604605848</c:v>
                </c:pt>
                <c:pt idx="147">
                  <c:v>1.264716604605848</c:v>
                </c:pt>
                <c:pt idx="148">
                  <c:v>1.264716604605848</c:v>
                </c:pt>
                <c:pt idx="149">
                  <c:v>1.264716604605848</c:v>
                </c:pt>
                <c:pt idx="150">
                  <c:v>1.264716604605848</c:v>
                </c:pt>
                <c:pt idx="151">
                  <c:v>1.264716604605848</c:v>
                </c:pt>
                <c:pt idx="152">
                  <c:v>1.264716604605848</c:v>
                </c:pt>
                <c:pt idx="153">
                  <c:v>1.264716604605848</c:v>
                </c:pt>
                <c:pt idx="154">
                  <c:v>1.264716604605848</c:v>
                </c:pt>
                <c:pt idx="155">
                  <c:v>1.264716604605848</c:v>
                </c:pt>
                <c:pt idx="156">
                  <c:v>1.264716604605848</c:v>
                </c:pt>
                <c:pt idx="157">
                  <c:v>1.264716604605848</c:v>
                </c:pt>
                <c:pt idx="158">
                  <c:v>1.264716604605848</c:v>
                </c:pt>
                <c:pt idx="159">
                  <c:v>1.264716604605848</c:v>
                </c:pt>
                <c:pt idx="160">
                  <c:v>1.264716604605848</c:v>
                </c:pt>
                <c:pt idx="161">
                  <c:v>1.264716604605848</c:v>
                </c:pt>
                <c:pt idx="162">
                  <c:v>1.264716604605848</c:v>
                </c:pt>
                <c:pt idx="163">
                  <c:v>1.264716604605848</c:v>
                </c:pt>
                <c:pt idx="164">
                  <c:v>1.264716604605848</c:v>
                </c:pt>
                <c:pt idx="165">
                  <c:v>1.264716604605848</c:v>
                </c:pt>
                <c:pt idx="166">
                  <c:v>1.264716604605848</c:v>
                </c:pt>
                <c:pt idx="167">
                  <c:v>1.264716604605848</c:v>
                </c:pt>
                <c:pt idx="168">
                  <c:v>2.5139292856891995</c:v>
                </c:pt>
                <c:pt idx="169">
                  <c:v>2.5139292856891995</c:v>
                </c:pt>
                <c:pt idx="170">
                  <c:v>2.5139292856891995</c:v>
                </c:pt>
                <c:pt idx="171">
                  <c:v>2.5139292856891995</c:v>
                </c:pt>
                <c:pt idx="172">
                  <c:v>2.5139292856891995</c:v>
                </c:pt>
                <c:pt idx="173">
                  <c:v>2.5139292856891995</c:v>
                </c:pt>
                <c:pt idx="174">
                  <c:v>2.5139292856891995</c:v>
                </c:pt>
                <c:pt idx="175">
                  <c:v>2.5139292856891995</c:v>
                </c:pt>
                <c:pt idx="176">
                  <c:v>2.5139292856891995</c:v>
                </c:pt>
                <c:pt idx="177">
                  <c:v>2.5139292856891995</c:v>
                </c:pt>
                <c:pt idx="178">
                  <c:v>2.5139292856891995</c:v>
                </c:pt>
                <c:pt idx="179">
                  <c:v>3.0466900999385675</c:v>
                </c:pt>
                <c:pt idx="180">
                  <c:v>3.0466900999385675</c:v>
                </c:pt>
                <c:pt idx="181">
                  <c:v>3.0466900999385675</c:v>
                </c:pt>
                <c:pt idx="182">
                  <c:v>3.0466900999385675</c:v>
                </c:pt>
                <c:pt idx="183">
                  <c:v>3.0466900999385675</c:v>
                </c:pt>
                <c:pt idx="184">
                  <c:v>3.0466900999385675</c:v>
                </c:pt>
                <c:pt idx="185">
                  <c:v>3.0466900999385675</c:v>
                </c:pt>
                <c:pt idx="186">
                  <c:v>3.0466900999385675</c:v>
                </c:pt>
                <c:pt idx="187">
                  <c:v>3.0466900999385675</c:v>
                </c:pt>
                <c:pt idx="188">
                  <c:v>3.0466900999385675</c:v>
                </c:pt>
                <c:pt idx="189">
                  <c:v>3.0466900999385675</c:v>
                </c:pt>
                <c:pt idx="190">
                  <c:v>3.0466900999385675</c:v>
                </c:pt>
                <c:pt idx="191">
                  <c:v>2.2439573928506102</c:v>
                </c:pt>
                <c:pt idx="192">
                  <c:v>2.2439573928506102</c:v>
                </c:pt>
                <c:pt idx="193">
                  <c:v>2.2439573928506102</c:v>
                </c:pt>
                <c:pt idx="194">
                  <c:v>2.2439573928506102</c:v>
                </c:pt>
                <c:pt idx="195">
                  <c:v>2.2439573928506102</c:v>
                </c:pt>
                <c:pt idx="196">
                  <c:v>2.2439573928506102</c:v>
                </c:pt>
                <c:pt idx="197">
                  <c:v>2.4740065757793732</c:v>
                </c:pt>
                <c:pt idx="198">
                  <c:v>2.4740065757793732</c:v>
                </c:pt>
                <c:pt idx="199">
                  <c:v>3.2406646352184261</c:v>
                </c:pt>
                <c:pt idx="200">
                  <c:v>3.2406646352184261</c:v>
                </c:pt>
                <c:pt idx="201">
                  <c:v>3.2406646352184261</c:v>
                </c:pt>
                <c:pt idx="202">
                  <c:v>3.2406646352184261</c:v>
                </c:pt>
                <c:pt idx="203">
                  <c:v>3.2406646352184261</c:v>
                </c:pt>
                <c:pt idx="204">
                  <c:v>3.2406646352184261</c:v>
                </c:pt>
                <c:pt idx="205">
                  <c:v>3.2406646352184261</c:v>
                </c:pt>
                <c:pt idx="206">
                  <c:v>3.2406646352184261</c:v>
                </c:pt>
                <c:pt idx="207">
                  <c:v>3.2406646352184261</c:v>
                </c:pt>
                <c:pt idx="208">
                  <c:v>3.2406646352184261</c:v>
                </c:pt>
                <c:pt idx="209">
                  <c:v>3.2406646352184261</c:v>
                </c:pt>
                <c:pt idx="210">
                  <c:v>3.2406646352184261</c:v>
                </c:pt>
                <c:pt idx="211">
                  <c:v>3.2406646352184261</c:v>
                </c:pt>
                <c:pt idx="212">
                  <c:v>3.2406646352184261</c:v>
                </c:pt>
                <c:pt idx="213">
                  <c:v>3.2406646352184261</c:v>
                </c:pt>
                <c:pt idx="214">
                  <c:v>3.2406646352184261</c:v>
                </c:pt>
                <c:pt idx="215">
                  <c:v>3.2406646352184261</c:v>
                </c:pt>
                <c:pt idx="216">
                  <c:v>3.2406646352184261</c:v>
                </c:pt>
                <c:pt idx="217">
                  <c:v>3.2406646352184261</c:v>
                </c:pt>
                <c:pt idx="218">
                  <c:v>3.2406646352184261</c:v>
                </c:pt>
                <c:pt idx="219">
                  <c:v>3.2406646352184261</c:v>
                </c:pt>
                <c:pt idx="220">
                  <c:v>3.2406646352184261</c:v>
                </c:pt>
                <c:pt idx="221">
                  <c:v>3.2406646352184261</c:v>
                </c:pt>
                <c:pt idx="222">
                  <c:v>3.2406646352184261</c:v>
                </c:pt>
                <c:pt idx="223">
                  <c:v>3.2406646352184261</c:v>
                </c:pt>
                <c:pt idx="224">
                  <c:v>3.2406646352184261</c:v>
                </c:pt>
                <c:pt idx="225">
                  <c:v>3.2406646352184261</c:v>
                </c:pt>
                <c:pt idx="226">
                  <c:v>3.2406646352184261</c:v>
                </c:pt>
                <c:pt idx="227">
                  <c:v>3.2406646352184261</c:v>
                </c:pt>
                <c:pt idx="228">
                  <c:v>3.2406646352184261</c:v>
                </c:pt>
                <c:pt idx="229">
                  <c:v>3.2406646352184261</c:v>
                </c:pt>
                <c:pt idx="230">
                  <c:v>3.2406646352184261</c:v>
                </c:pt>
                <c:pt idx="231">
                  <c:v>3.2406646352184261</c:v>
                </c:pt>
                <c:pt idx="232">
                  <c:v>3.2406646352184261</c:v>
                </c:pt>
                <c:pt idx="233">
                  <c:v>3.2406646352184261</c:v>
                </c:pt>
                <c:pt idx="234">
                  <c:v>3.2406646352184261</c:v>
                </c:pt>
                <c:pt idx="235">
                  <c:v>3.2406646352184261</c:v>
                </c:pt>
                <c:pt idx="236">
                  <c:v>3.2406646352184261</c:v>
                </c:pt>
                <c:pt idx="237">
                  <c:v>3.2406646352184261</c:v>
                </c:pt>
                <c:pt idx="238">
                  <c:v>3.2406646352184261</c:v>
                </c:pt>
                <c:pt idx="239">
                  <c:v>3.2406646352184261</c:v>
                </c:pt>
                <c:pt idx="240">
                  <c:v>3.2406646352184261</c:v>
                </c:pt>
                <c:pt idx="241">
                  <c:v>3.2406646352184261</c:v>
                </c:pt>
                <c:pt idx="242">
                  <c:v>3.2406646352184261</c:v>
                </c:pt>
                <c:pt idx="243">
                  <c:v>3.2406646352184261</c:v>
                </c:pt>
                <c:pt idx="244">
                  <c:v>3.2406646352184261</c:v>
                </c:pt>
                <c:pt idx="245">
                  <c:v>3.2406646352184261</c:v>
                </c:pt>
                <c:pt idx="246">
                  <c:v>3.2406646352184261</c:v>
                </c:pt>
                <c:pt idx="247">
                  <c:v>3.2406646352184261</c:v>
                </c:pt>
                <c:pt idx="248">
                  <c:v>3.2406646352184261</c:v>
                </c:pt>
                <c:pt idx="249">
                  <c:v>3.2406646352184261</c:v>
                </c:pt>
                <c:pt idx="250">
                  <c:v>3.2406646352184261</c:v>
                </c:pt>
                <c:pt idx="251">
                  <c:v>3.2406646352184261</c:v>
                </c:pt>
                <c:pt idx="252">
                  <c:v>3.2406646352184261</c:v>
                </c:pt>
                <c:pt idx="253">
                  <c:v>3.2406646352184261</c:v>
                </c:pt>
                <c:pt idx="254">
                  <c:v>3.2406646352184261</c:v>
                </c:pt>
                <c:pt idx="255">
                  <c:v>3.2406646352184261</c:v>
                </c:pt>
                <c:pt idx="256">
                  <c:v>3.2406646352184261</c:v>
                </c:pt>
                <c:pt idx="257">
                  <c:v>3.2406646352184261</c:v>
                </c:pt>
                <c:pt idx="258">
                  <c:v>3.2406646352184261</c:v>
                </c:pt>
                <c:pt idx="259">
                  <c:v>2.1815476670105491</c:v>
                </c:pt>
                <c:pt idx="260">
                  <c:v>2.1815476670105491</c:v>
                </c:pt>
                <c:pt idx="261">
                  <c:v>2.1815476670105491</c:v>
                </c:pt>
                <c:pt idx="262">
                  <c:v>2.1815476670105491</c:v>
                </c:pt>
                <c:pt idx="263">
                  <c:v>2.1815476670105491</c:v>
                </c:pt>
                <c:pt idx="264">
                  <c:v>1.7186739929507637</c:v>
                </c:pt>
                <c:pt idx="265">
                  <c:v>1.7186739929507637</c:v>
                </c:pt>
                <c:pt idx="266">
                  <c:v>1.7186739929507637</c:v>
                </c:pt>
                <c:pt idx="267">
                  <c:v>1.7186739929507637</c:v>
                </c:pt>
                <c:pt idx="268">
                  <c:v>1.7186739929507637</c:v>
                </c:pt>
                <c:pt idx="269">
                  <c:v>1.7186739929507637</c:v>
                </c:pt>
                <c:pt idx="270">
                  <c:v>1.7186739929507637</c:v>
                </c:pt>
                <c:pt idx="271">
                  <c:v>1.7186739929507637</c:v>
                </c:pt>
                <c:pt idx="272">
                  <c:v>1.7186739929507637</c:v>
                </c:pt>
                <c:pt idx="273">
                  <c:v>1.7186739929507637</c:v>
                </c:pt>
                <c:pt idx="274">
                  <c:v>1.7186739929507637</c:v>
                </c:pt>
                <c:pt idx="275">
                  <c:v>2.0574787067554756</c:v>
                </c:pt>
                <c:pt idx="276">
                  <c:v>2.0574787067554756</c:v>
                </c:pt>
                <c:pt idx="277">
                  <c:v>2.0574787067554756</c:v>
                </c:pt>
                <c:pt idx="278">
                  <c:v>2.0574787067554756</c:v>
                </c:pt>
                <c:pt idx="279">
                  <c:v>2.0574787067554756</c:v>
                </c:pt>
                <c:pt idx="280">
                  <c:v>2.0574787067554756</c:v>
                </c:pt>
                <c:pt idx="281">
                  <c:v>2.0574787067554756</c:v>
                </c:pt>
                <c:pt idx="282">
                  <c:v>2.0574787067554756</c:v>
                </c:pt>
                <c:pt idx="283">
                  <c:v>2.0574787067554756</c:v>
                </c:pt>
                <c:pt idx="284">
                  <c:v>2.0574787067554756</c:v>
                </c:pt>
                <c:pt idx="285">
                  <c:v>2.0574787067554756</c:v>
                </c:pt>
                <c:pt idx="286">
                  <c:v>2.0574787067554756</c:v>
                </c:pt>
                <c:pt idx="287">
                  <c:v>2.0574787067554756</c:v>
                </c:pt>
                <c:pt idx="288">
                  <c:v>2.0574787067554756</c:v>
                </c:pt>
                <c:pt idx="289">
                  <c:v>2.0574787067554756</c:v>
                </c:pt>
                <c:pt idx="290">
                  <c:v>2.0574787067554756</c:v>
                </c:pt>
                <c:pt idx="291">
                  <c:v>2.0574787067554756</c:v>
                </c:pt>
                <c:pt idx="292">
                  <c:v>2.0574787067554756</c:v>
                </c:pt>
                <c:pt idx="293">
                  <c:v>2.0574787067554756</c:v>
                </c:pt>
                <c:pt idx="294">
                  <c:v>2.0574787067554756</c:v>
                </c:pt>
                <c:pt idx="295">
                  <c:v>2.0574787067554756</c:v>
                </c:pt>
                <c:pt idx="296">
                  <c:v>2.0574787067554756</c:v>
                </c:pt>
                <c:pt idx="297">
                  <c:v>2.0574787067554756</c:v>
                </c:pt>
                <c:pt idx="298">
                  <c:v>2.0574787067554756</c:v>
                </c:pt>
                <c:pt idx="299">
                  <c:v>2.0574787067554756</c:v>
                </c:pt>
                <c:pt idx="300">
                  <c:v>2.0574787067554756</c:v>
                </c:pt>
                <c:pt idx="301">
                  <c:v>2.0574787067554756</c:v>
                </c:pt>
                <c:pt idx="302">
                  <c:v>2.0574787067554756</c:v>
                </c:pt>
                <c:pt idx="303">
                  <c:v>2.0574787067554756</c:v>
                </c:pt>
                <c:pt idx="304">
                  <c:v>2.0574787067554756</c:v>
                </c:pt>
                <c:pt idx="305">
                  <c:v>2.0574787067554756</c:v>
                </c:pt>
                <c:pt idx="306">
                  <c:v>2.0574787067554756</c:v>
                </c:pt>
                <c:pt idx="307">
                  <c:v>2.0574787067554756</c:v>
                </c:pt>
                <c:pt idx="308">
                  <c:v>2.4788862078089964</c:v>
                </c:pt>
                <c:pt idx="309">
                  <c:v>2.4788862078089964</c:v>
                </c:pt>
                <c:pt idx="310">
                  <c:v>2.4788862078089964</c:v>
                </c:pt>
                <c:pt idx="311">
                  <c:v>2.4788862078089964</c:v>
                </c:pt>
                <c:pt idx="312">
                  <c:v>2.4788862078089964</c:v>
                </c:pt>
                <c:pt idx="313">
                  <c:v>2.4788862078089964</c:v>
                </c:pt>
                <c:pt idx="314">
                  <c:v>2.4788862078089964</c:v>
                </c:pt>
                <c:pt idx="315">
                  <c:v>2.4788862078089964</c:v>
                </c:pt>
                <c:pt idx="316">
                  <c:v>2.4788862078089964</c:v>
                </c:pt>
                <c:pt idx="317">
                  <c:v>2.4788862078089964</c:v>
                </c:pt>
                <c:pt idx="318">
                  <c:v>2.4788862078089964</c:v>
                </c:pt>
                <c:pt idx="319">
                  <c:v>2.4788862078089964</c:v>
                </c:pt>
                <c:pt idx="320">
                  <c:v>2.4788862078089964</c:v>
                </c:pt>
                <c:pt idx="321">
                  <c:v>2.4788862078089964</c:v>
                </c:pt>
                <c:pt idx="322">
                  <c:v>2.4788862078089964</c:v>
                </c:pt>
                <c:pt idx="323">
                  <c:v>2.4788862078089964</c:v>
                </c:pt>
                <c:pt idx="324">
                  <c:v>2.4788862078089964</c:v>
                </c:pt>
                <c:pt idx="325">
                  <c:v>2.4788862078089964</c:v>
                </c:pt>
                <c:pt idx="326">
                  <c:v>2.4788862078089964</c:v>
                </c:pt>
                <c:pt idx="327">
                  <c:v>2.4788862078089964</c:v>
                </c:pt>
                <c:pt idx="328">
                  <c:v>2.4788862078089964</c:v>
                </c:pt>
                <c:pt idx="329">
                  <c:v>2.4788862078089964</c:v>
                </c:pt>
                <c:pt idx="330">
                  <c:v>2.4788862078089964</c:v>
                </c:pt>
                <c:pt idx="331">
                  <c:v>2.4788862078089964</c:v>
                </c:pt>
                <c:pt idx="332">
                  <c:v>2.4788862078089964</c:v>
                </c:pt>
                <c:pt idx="333">
                  <c:v>2.4788862078089964</c:v>
                </c:pt>
                <c:pt idx="334">
                  <c:v>2.4788862078089964</c:v>
                </c:pt>
                <c:pt idx="335">
                  <c:v>2.4788862078089964</c:v>
                </c:pt>
                <c:pt idx="336">
                  <c:v>2.4788862078089964</c:v>
                </c:pt>
                <c:pt idx="337">
                  <c:v>2.4788862078089964</c:v>
                </c:pt>
                <c:pt idx="338">
                  <c:v>2.4788862078089964</c:v>
                </c:pt>
                <c:pt idx="339">
                  <c:v>2.4788862078089964</c:v>
                </c:pt>
                <c:pt idx="340">
                  <c:v>2.4788862078089964</c:v>
                </c:pt>
                <c:pt idx="341">
                  <c:v>2.4788862078089964</c:v>
                </c:pt>
                <c:pt idx="342">
                  <c:v>2.4788862078089964</c:v>
                </c:pt>
                <c:pt idx="343">
                  <c:v>2.4788862078089964</c:v>
                </c:pt>
                <c:pt idx="344">
                  <c:v>2.4788862078089964</c:v>
                </c:pt>
                <c:pt idx="345">
                  <c:v>2.4788862078089964</c:v>
                </c:pt>
                <c:pt idx="346">
                  <c:v>2.4788862078089964</c:v>
                </c:pt>
                <c:pt idx="347">
                  <c:v>2.4788862078089964</c:v>
                </c:pt>
                <c:pt idx="348">
                  <c:v>2.4788862078089964</c:v>
                </c:pt>
                <c:pt idx="349">
                  <c:v>2.4788862078089964</c:v>
                </c:pt>
                <c:pt idx="350">
                  <c:v>2.4788862078089964</c:v>
                </c:pt>
                <c:pt idx="351">
                  <c:v>2.4788862078089964</c:v>
                </c:pt>
                <c:pt idx="352">
                  <c:v>2.4788862078089964</c:v>
                </c:pt>
                <c:pt idx="353">
                  <c:v>2.4788862078089964</c:v>
                </c:pt>
                <c:pt idx="354">
                  <c:v>2.4788862078089964</c:v>
                </c:pt>
                <c:pt idx="355">
                  <c:v>2.4788862078089964</c:v>
                </c:pt>
                <c:pt idx="356">
                  <c:v>2.4788862078089964</c:v>
                </c:pt>
                <c:pt idx="357">
                  <c:v>2.4788862078089964</c:v>
                </c:pt>
                <c:pt idx="358">
                  <c:v>2.4788862078089964</c:v>
                </c:pt>
                <c:pt idx="359">
                  <c:v>2.4788862078089964</c:v>
                </c:pt>
                <c:pt idx="360">
                  <c:v>2.4788862078089964</c:v>
                </c:pt>
                <c:pt idx="361">
                  <c:v>2.4788862078089964</c:v>
                </c:pt>
                <c:pt idx="362">
                  <c:v>2.4788862078089964</c:v>
                </c:pt>
                <c:pt idx="363">
                  <c:v>2.4788862078089964</c:v>
                </c:pt>
                <c:pt idx="364">
                  <c:v>2.4788862078089964</c:v>
                </c:pt>
                <c:pt idx="365">
                  <c:v>2.4788862078089964</c:v>
                </c:pt>
                <c:pt idx="366">
                  <c:v>2.4788862078089964</c:v>
                </c:pt>
                <c:pt idx="367">
                  <c:v>2.4788862078089964</c:v>
                </c:pt>
                <c:pt idx="368">
                  <c:v>2.4788862078089964</c:v>
                </c:pt>
                <c:pt idx="369">
                  <c:v>2.4788862078089964</c:v>
                </c:pt>
                <c:pt idx="370">
                  <c:v>2.4788862078089964</c:v>
                </c:pt>
                <c:pt idx="371">
                  <c:v>2.4788862078089964</c:v>
                </c:pt>
                <c:pt idx="372">
                  <c:v>2.4788862078089964</c:v>
                </c:pt>
                <c:pt idx="373">
                  <c:v>2.4788862078089964</c:v>
                </c:pt>
                <c:pt idx="374">
                  <c:v>2.4788862078089964</c:v>
                </c:pt>
                <c:pt idx="375">
                  <c:v>2.4788862078089964</c:v>
                </c:pt>
                <c:pt idx="376">
                  <c:v>2.4788862078089964</c:v>
                </c:pt>
                <c:pt idx="377">
                  <c:v>2.4788862078089964</c:v>
                </c:pt>
                <c:pt idx="378">
                  <c:v>2.4788862078089964</c:v>
                </c:pt>
                <c:pt idx="379">
                  <c:v>2.4788862078089964</c:v>
                </c:pt>
                <c:pt idx="380">
                  <c:v>2.4788862078089964</c:v>
                </c:pt>
                <c:pt idx="381">
                  <c:v>2.4788862078089964</c:v>
                </c:pt>
                <c:pt idx="382">
                  <c:v>2.4788862078089964</c:v>
                </c:pt>
                <c:pt idx="383">
                  <c:v>2.4788862078089964</c:v>
                </c:pt>
                <c:pt idx="384">
                  <c:v>2.4788862078089964</c:v>
                </c:pt>
                <c:pt idx="385">
                  <c:v>2.4788862078089964</c:v>
                </c:pt>
                <c:pt idx="386">
                  <c:v>2.4788862078089964</c:v>
                </c:pt>
                <c:pt idx="387">
                  <c:v>2.4788862078089964</c:v>
                </c:pt>
                <c:pt idx="388">
                  <c:v>2.4788862078089964</c:v>
                </c:pt>
                <c:pt idx="389">
                  <c:v>2.4788862078089964</c:v>
                </c:pt>
                <c:pt idx="390">
                  <c:v>2.4788862078089964</c:v>
                </c:pt>
                <c:pt idx="391">
                  <c:v>2.4788862078089964</c:v>
                </c:pt>
                <c:pt idx="392">
                  <c:v>2.4788862078089964</c:v>
                </c:pt>
                <c:pt idx="393">
                  <c:v>2.4788862078089964</c:v>
                </c:pt>
                <c:pt idx="394">
                  <c:v>2.4788862078089964</c:v>
                </c:pt>
                <c:pt idx="395">
                  <c:v>2.4788862078089964</c:v>
                </c:pt>
                <c:pt idx="396">
                  <c:v>2.4788862078089964</c:v>
                </c:pt>
                <c:pt idx="397">
                  <c:v>2.4788862078089964</c:v>
                </c:pt>
                <c:pt idx="398">
                  <c:v>2.4788862078089964</c:v>
                </c:pt>
                <c:pt idx="399">
                  <c:v>2.4788862078089964</c:v>
                </c:pt>
                <c:pt idx="400">
                  <c:v>2.4788862078089964</c:v>
                </c:pt>
                <c:pt idx="401">
                  <c:v>2.4788862078089964</c:v>
                </c:pt>
                <c:pt idx="402">
                  <c:v>2.4788862078089964</c:v>
                </c:pt>
                <c:pt idx="403">
                  <c:v>2.4788862078089964</c:v>
                </c:pt>
                <c:pt idx="404">
                  <c:v>2.4788862078089964</c:v>
                </c:pt>
                <c:pt idx="405">
                  <c:v>2.4788862078089964</c:v>
                </c:pt>
                <c:pt idx="406">
                  <c:v>2.4788862078089964</c:v>
                </c:pt>
                <c:pt idx="407">
                  <c:v>2.4788862078089964</c:v>
                </c:pt>
                <c:pt idx="408">
                  <c:v>2.4788862078089964</c:v>
                </c:pt>
                <c:pt idx="409">
                  <c:v>2.4788862078089964</c:v>
                </c:pt>
                <c:pt idx="410">
                  <c:v>2.4788862078089964</c:v>
                </c:pt>
                <c:pt idx="411">
                  <c:v>2.4788862078089964</c:v>
                </c:pt>
                <c:pt idx="412">
                  <c:v>2.4788862078089964</c:v>
                </c:pt>
                <c:pt idx="413">
                  <c:v>2.4788862078089964</c:v>
                </c:pt>
                <c:pt idx="414">
                  <c:v>2.4788862078089964</c:v>
                </c:pt>
                <c:pt idx="415">
                  <c:v>2.4788862078089964</c:v>
                </c:pt>
                <c:pt idx="416">
                  <c:v>2.4788862078089964</c:v>
                </c:pt>
                <c:pt idx="417">
                  <c:v>2.4788862078089964</c:v>
                </c:pt>
                <c:pt idx="418">
                  <c:v>2.4788862078089964</c:v>
                </c:pt>
              </c:numCache>
            </c:numRef>
          </c:val>
          <c:smooth val="1"/>
          <c:extLst>
            <c:ext xmlns:c16="http://schemas.microsoft.com/office/drawing/2014/chart" uri="{C3380CC4-5D6E-409C-BE32-E72D297353CC}">
              <c16:uniqueId val="{00000008-C9CA-4D9B-8754-B3F2C1FBE580}"/>
            </c:ext>
          </c:extLst>
        </c:ser>
        <c:ser>
          <c:idx val="4"/>
          <c:order val="9"/>
          <c:tx>
            <c:v>SMH</c:v>
          </c:tx>
          <c:spPr>
            <a:ln w="28575" cap="rnd">
              <a:solidFill>
                <a:schemeClr val="accent5"/>
              </a:solidFill>
              <a:round/>
            </a:ln>
            <a:effectLst/>
          </c:spPr>
          <c:marker>
            <c:symbol val="none"/>
          </c:marker>
          <c:val>
            <c:numRef>
              <c:f>'2025-Q2'!$EW$4:$EW$422</c:f>
              <c:numCache>
                <c:formatCode>0.00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-0.73430241270792684</c:v>
                </c:pt>
                <c:pt idx="83">
                  <c:v>-0.73430241270792684</c:v>
                </c:pt>
                <c:pt idx="84">
                  <c:v>-0.73430241270792684</c:v>
                </c:pt>
                <c:pt idx="85">
                  <c:v>-0.73430241270792684</c:v>
                </c:pt>
                <c:pt idx="86">
                  <c:v>-0.73430241270792684</c:v>
                </c:pt>
                <c:pt idx="87">
                  <c:v>-0.73430241270792684</c:v>
                </c:pt>
                <c:pt idx="88">
                  <c:v>-0.73430241270792684</c:v>
                </c:pt>
                <c:pt idx="89">
                  <c:v>-0.73430241270792684</c:v>
                </c:pt>
                <c:pt idx="90">
                  <c:v>-0.73430241270792684</c:v>
                </c:pt>
                <c:pt idx="91">
                  <c:v>-0.73430241270792684</c:v>
                </c:pt>
                <c:pt idx="92">
                  <c:v>-0.73430241270792684</c:v>
                </c:pt>
                <c:pt idx="93">
                  <c:v>-0.73430241270792684</c:v>
                </c:pt>
                <c:pt idx="94">
                  <c:v>-0.73430241270792684</c:v>
                </c:pt>
                <c:pt idx="95">
                  <c:v>-0.73430241270792684</c:v>
                </c:pt>
                <c:pt idx="96">
                  <c:v>-0.73430241270792684</c:v>
                </c:pt>
                <c:pt idx="97">
                  <c:v>-0.73430241270792684</c:v>
                </c:pt>
                <c:pt idx="98">
                  <c:v>-0.73430241270792684</c:v>
                </c:pt>
                <c:pt idx="99">
                  <c:v>-0.73430241270792684</c:v>
                </c:pt>
                <c:pt idx="100">
                  <c:v>-0.73430241270792684</c:v>
                </c:pt>
                <c:pt idx="101">
                  <c:v>-0.73430241270792684</c:v>
                </c:pt>
                <c:pt idx="102">
                  <c:v>-0.73430241270792684</c:v>
                </c:pt>
                <c:pt idx="103">
                  <c:v>-0.73430241270792684</c:v>
                </c:pt>
                <c:pt idx="104">
                  <c:v>-0.73430241270792684</c:v>
                </c:pt>
                <c:pt idx="105">
                  <c:v>-0.73430241270792684</c:v>
                </c:pt>
                <c:pt idx="106">
                  <c:v>-0.73430241270792684</c:v>
                </c:pt>
                <c:pt idx="107">
                  <c:v>-0.73430241270792684</c:v>
                </c:pt>
                <c:pt idx="108">
                  <c:v>-0.73430241270792684</c:v>
                </c:pt>
                <c:pt idx="109">
                  <c:v>-0.73430241270792684</c:v>
                </c:pt>
                <c:pt idx="110">
                  <c:v>-0.73430241270792684</c:v>
                </c:pt>
                <c:pt idx="111">
                  <c:v>-0.73430241270792684</c:v>
                </c:pt>
                <c:pt idx="112">
                  <c:v>-0.73430241270792684</c:v>
                </c:pt>
                <c:pt idx="113">
                  <c:v>-0.73430241270792684</c:v>
                </c:pt>
                <c:pt idx="114">
                  <c:v>-0.73430241270792684</c:v>
                </c:pt>
                <c:pt idx="115">
                  <c:v>-0.73430241270792684</c:v>
                </c:pt>
                <c:pt idx="116">
                  <c:v>-0.73430241270792684</c:v>
                </c:pt>
                <c:pt idx="117">
                  <c:v>-0.34599923252657666</c:v>
                </c:pt>
                <c:pt idx="118">
                  <c:v>-0.34599923252657666</c:v>
                </c:pt>
                <c:pt idx="119">
                  <c:v>-0.34599923252657666</c:v>
                </c:pt>
                <c:pt idx="120">
                  <c:v>-0.34599923252657666</c:v>
                </c:pt>
                <c:pt idx="121">
                  <c:v>-0.34599923252657666</c:v>
                </c:pt>
                <c:pt idx="122">
                  <c:v>-0.34599923252657666</c:v>
                </c:pt>
                <c:pt idx="123">
                  <c:v>-0.34599923252657666</c:v>
                </c:pt>
                <c:pt idx="124">
                  <c:v>0.90459527759708336</c:v>
                </c:pt>
                <c:pt idx="125">
                  <c:v>0.90459527759708336</c:v>
                </c:pt>
                <c:pt idx="126">
                  <c:v>0.90459527759708336</c:v>
                </c:pt>
                <c:pt idx="127">
                  <c:v>0.90459527759708336</c:v>
                </c:pt>
                <c:pt idx="128">
                  <c:v>0.90459527759708336</c:v>
                </c:pt>
                <c:pt idx="129">
                  <c:v>0.90459527759708336</c:v>
                </c:pt>
                <c:pt idx="130">
                  <c:v>0.90459527759708336</c:v>
                </c:pt>
                <c:pt idx="131">
                  <c:v>0.90459527759708336</c:v>
                </c:pt>
                <c:pt idx="132">
                  <c:v>0.90459527759708336</c:v>
                </c:pt>
                <c:pt idx="133">
                  <c:v>0.90459527759708336</c:v>
                </c:pt>
                <c:pt idx="134">
                  <c:v>0.90459527759708336</c:v>
                </c:pt>
                <c:pt idx="135">
                  <c:v>0.90459527759708336</c:v>
                </c:pt>
                <c:pt idx="136">
                  <c:v>0.90459527759708336</c:v>
                </c:pt>
                <c:pt idx="137">
                  <c:v>0.90459527759708336</c:v>
                </c:pt>
                <c:pt idx="138">
                  <c:v>0.90459527759708336</c:v>
                </c:pt>
                <c:pt idx="139">
                  <c:v>0.90459527759708336</c:v>
                </c:pt>
                <c:pt idx="140">
                  <c:v>0.90459527759708336</c:v>
                </c:pt>
                <c:pt idx="141">
                  <c:v>0.90459527759708336</c:v>
                </c:pt>
                <c:pt idx="142">
                  <c:v>0.90459527759708336</c:v>
                </c:pt>
                <c:pt idx="143">
                  <c:v>0.90459527759708336</c:v>
                </c:pt>
                <c:pt idx="144">
                  <c:v>0.90459527759708336</c:v>
                </c:pt>
                <c:pt idx="145">
                  <c:v>0.90459527759708336</c:v>
                </c:pt>
                <c:pt idx="146">
                  <c:v>0.90459527759708336</c:v>
                </c:pt>
                <c:pt idx="147">
                  <c:v>0.90459527759708336</c:v>
                </c:pt>
                <c:pt idx="148">
                  <c:v>0.90459527759708336</c:v>
                </c:pt>
                <c:pt idx="149">
                  <c:v>0.90459527759708336</c:v>
                </c:pt>
                <c:pt idx="150">
                  <c:v>0.90459527759708336</c:v>
                </c:pt>
                <c:pt idx="151">
                  <c:v>0.90459527759708336</c:v>
                </c:pt>
                <c:pt idx="152">
                  <c:v>0.90459527759708336</c:v>
                </c:pt>
                <c:pt idx="153">
                  <c:v>0.90459527759708336</c:v>
                </c:pt>
                <c:pt idx="154">
                  <c:v>0.90459527759708336</c:v>
                </c:pt>
                <c:pt idx="155">
                  <c:v>0.90459527759708336</c:v>
                </c:pt>
                <c:pt idx="156">
                  <c:v>0.90459527759708336</c:v>
                </c:pt>
                <c:pt idx="157">
                  <c:v>0.90459527759708336</c:v>
                </c:pt>
                <c:pt idx="158">
                  <c:v>0.90459527759708336</c:v>
                </c:pt>
                <c:pt idx="159">
                  <c:v>0.90459527759708336</c:v>
                </c:pt>
                <c:pt idx="160">
                  <c:v>0.90459527759708336</c:v>
                </c:pt>
                <c:pt idx="161">
                  <c:v>0.90459527759708336</c:v>
                </c:pt>
                <c:pt idx="162">
                  <c:v>0.90459527759708336</c:v>
                </c:pt>
                <c:pt idx="163">
                  <c:v>0.90459527759708336</c:v>
                </c:pt>
                <c:pt idx="164">
                  <c:v>0.90459527759708336</c:v>
                </c:pt>
                <c:pt idx="165">
                  <c:v>0.90459527759708336</c:v>
                </c:pt>
                <c:pt idx="166">
                  <c:v>0.90459527759708336</c:v>
                </c:pt>
                <c:pt idx="167">
                  <c:v>0.90459527759708336</c:v>
                </c:pt>
                <c:pt idx="168">
                  <c:v>0.90459527759708336</c:v>
                </c:pt>
                <c:pt idx="169">
                  <c:v>0.90459527759708336</c:v>
                </c:pt>
                <c:pt idx="170">
                  <c:v>0.90459527759708336</c:v>
                </c:pt>
                <c:pt idx="171">
                  <c:v>0.90459527759708336</c:v>
                </c:pt>
                <c:pt idx="172">
                  <c:v>0.90459527759708336</c:v>
                </c:pt>
                <c:pt idx="173">
                  <c:v>0.90459527759708336</c:v>
                </c:pt>
                <c:pt idx="174">
                  <c:v>0.90459527759708336</c:v>
                </c:pt>
                <c:pt idx="175">
                  <c:v>0.90459527759708336</c:v>
                </c:pt>
                <c:pt idx="176">
                  <c:v>0.90459527759708336</c:v>
                </c:pt>
                <c:pt idx="177">
                  <c:v>0.90459527759708336</c:v>
                </c:pt>
                <c:pt idx="178">
                  <c:v>0.90459527759708336</c:v>
                </c:pt>
                <c:pt idx="179">
                  <c:v>0.90459527759708336</c:v>
                </c:pt>
                <c:pt idx="180">
                  <c:v>0.90459527759708336</c:v>
                </c:pt>
                <c:pt idx="181">
                  <c:v>0.90459527759708336</c:v>
                </c:pt>
                <c:pt idx="182">
                  <c:v>0.90459527759708336</c:v>
                </c:pt>
                <c:pt idx="183">
                  <c:v>0.90459527759708336</c:v>
                </c:pt>
                <c:pt idx="184">
                  <c:v>0.90459527759708336</c:v>
                </c:pt>
                <c:pt idx="185">
                  <c:v>0.90459527759708336</c:v>
                </c:pt>
                <c:pt idx="186">
                  <c:v>0.90459527759708336</c:v>
                </c:pt>
                <c:pt idx="187">
                  <c:v>0.90459527759708336</c:v>
                </c:pt>
                <c:pt idx="188">
                  <c:v>1.9901851109977766</c:v>
                </c:pt>
                <c:pt idx="189">
                  <c:v>1.9901851109977766</c:v>
                </c:pt>
                <c:pt idx="190">
                  <c:v>1.9901851109977766</c:v>
                </c:pt>
                <c:pt idx="191">
                  <c:v>1.9901851109977766</c:v>
                </c:pt>
                <c:pt idx="192">
                  <c:v>1.9901851109977766</c:v>
                </c:pt>
                <c:pt idx="193">
                  <c:v>1.9901851109977766</c:v>
                </c:pt>
                <c:pt idx="194">
                  <c:v>1.9901851109977766</c:v>
                </c:pt>
                <c:pt idx="195">
                  <c:v>1.9901851109977766</c:v>
                </c:pt>
                <c:pt idx="196">
                  <c:v>1.9901851109977766</c:v>
                </c:pt>
                <c:pt idx="197">
                  <c:v>1.9901851109977766</c:v>
                </c:pt>
                <c:pt idx="198">
                  <c:v>1.9901851109977766</c:v>
                </c:pt>
                <c:pt idx="199">
                  <c:v>1.9901851109977766</c:v>
                </c:pt>
                <c:pt idx="200">
                  <c:v>1.9901851109977766</c:v>
                </c:pt>
                <c:pt idx="201">
                  <c:v>1.9901851109977766</c:v>
                </c:pt>
                <c:pt idx="202">
                  <c:v>1.9901851109977766</c:v>
                </c:pt>
                <c:pt idx="203">
                  <c:v>1.9901851109977766</c:v>
                </c:pt>
                <c:pt idx="204">
                  <c:v>1.9901851109977766</c:v>
                </c:pt>
                <c:pt idx="205">
                  <c:v>1.9901851109977766</c:v>
                </c:pt>
                <c:pt idx="206">
                  <c:v>1.9901851109977766</c:v>
                </c:pt>
                <c:pt idx="207">
                  <c:v>1.9901851109977766</c:v>
                </c:pt>
                <c:pt idx="208">
                  <c:v>1.9901851109977766</c:v>
                </c:pt>
                <c:pt idx="209">
                  <c:v>1.9901851109977766</c:v>
                </c:pt>
                <c:pt idx="210">
                  <c:v>1.9901851109977766</c:v>
                </c:pt>
                <c:pt idx="211">
                  <c:v>1.9901851109977766</c:v>
                </c:pt>
                <c:pt idx="212">
                  <c:v>1.9901851109977766</c:v>
                </c:pt>
                <c:pt idx="213">
                  <c:v>1.9901851109977766</c:v>
                </c:pt>
                <c:pt idx="214">
                  <c:v>1.9901851109977766</c:v>
                </c:pt>
                <c:pt idx="215">
                  <c:v>1.9901851109977766</c:v>
                </c:pt>
                <c:pt idx="216">
                  <c:v>1.9901851109977766</c:v>
                </c:pt>
                <c:pt idx="217">
                  <c:v>1.9901851109977766</c:v>
                </c:pt>
                <c:pt idx="218">
                  <c:v>1.9901851109977766</c:v>
                </c:pt>
                <c:pt idx="219">
                  <c:v>1.9901851109977766</c:v>
                </c:pt>
                <c:pt idx="220">
                  <c:v>1.9901851109977766</c:v>
                </c:pt>
                <c:pt idx="221">
                  <c:v>1.9901851109977766</c:v>
                </c:pt>
                <c:pt idx="222">
                  <c:v>1.9901851109977766</c:v>
                </c:pt>
                <c:pt idx="223">
                  <c:v>1.9901851109977766</c:v>
                </c:pt>
                <c:pt idx="224">
                  <c:v>1.9901851109977766</c:v>
                </c:pt>
                <c:pt idx="225">
                  <c:v>1.9901851109977766</c:v>
                </c:pt>
                <c:pt idx="226">
                  <c:v>1.9901851109977766</c:v>
                </c:pt>
                <c:pt idx="227">
                  <c:v>1.9901851109977766</c:v>
                </c:pt>
                <c:pt idx="228">
                  <c:v>1.9901851109977766</c:v>
                </c:pt>
                <c:pt idx="229">
                  <c:v>1.9901851109977766</c:v>
                </c:pt>
                <c:pt idx="230">
                  <c:v>1.9901851109977766</c:v>
                </c:pt>
                <c:pt idx="231">
                  <c:v>1.9901851109977766</c:v>
                </c:pt>
                <c:pt idx="232">
                  <c:v>1.9901851109977766</c:v>
                </c:pt>
                <c:pt idx="233">
                  <c:v>1.9901851109977766</c:v>
                </c:pt>
                <c:pt idx="234">
                  <c:v>1.9901851109977766</c:v>
                </c:pt>
                <c:pt idx="235">
                  <c:v>1.9901851109977766</c:v>
                </c:pt>
                <c:pt idx="236">
                  <c:v>1.9901851109977766</c:v>
                </c:pt>
                <c:pt idx="237">
                  <c:v>1.9901851109977766</c:v>
                </c:pt>
                <c:pt idx="238">
                  <c:v>1.9901851109977766</c:v>
                </c:pt>
                <c:pt idx="239">
                  <c:v>1.9901851109977766</c:v>
                </c:pt>
                <c:pt idx="240">
                  <c:v>1.9901851109977766</c:v>
                </c:pt>
                <c:pt idx="241">
                  <c:v>1.9901851109977766</c:v>
                </c:pt>
                <c:pt idx="242">
                  <c:v>1.9901851109977766</c:v>
                </c:pt>
                <c:pt idx="243">
                  <c:v>1.9901851109977766</c:v>
                </c:pt>
                <c:pt idx="244">
                  <c:v>1.9901851109977766</c:v>
                </c:pt>
                <c:pt idx="245">
                  <c:v>1.9901851109977766</c:v>
                </c:pt>
                <c:pt idx="246">
                  <c:v>1.9901851109977766</c:v>
                </c:pt>
                <c:pt idx="247">
                  <c:v>1.9901851109977766</c:v>
                </c:pt>
                <c:pt idx="248">
                  <c:v>1.9901851109977766</c:v>
                </c:pt>
                <c:pt idx="249">
                  <c:v>1.9901851109977766</c:v>
                </c:pt>
                <c:pt idx="250">
                  <c:v>1.9901851109977766</c:v>
                </c:pt>
                <c:pt idx="251">
                  <c:v>1.9901851109977766</c:v>
                </c:pt>
                <c:pt idx="252">
                  <c:v>1.9901851109977766</c:v>
                </c:pt>
                <c:pt idx="253">
                  <c:v>2.6896999443708767</c:v>
                </c:pt>
                <c:pt idx="254">
                  <c:v>2.6896999443708767</c:v>
                </c:pt>
                <c:pt idx="255">
                  <c:v>2.6896999443708767</c:v>
                </c:pt>
                <c:pt idx="256">
                  <c:v>2.6896999443708767</c:v>
                </c:pt>
                <c:pt idx="257">
                  <c:v>2.6896999443708767</c:v>
                </c:pt>
                <c:pt idx="258">
                  <c:v>2.6896999443708767</c:v>
                </c:pt>
                <c:pt idx="259">
                  <c:v>2.6896999443708767</c:v>
                </c:pt>
                <c:pt idx="260">
                  <c:v>2.6896999443708767</c:v>
                </c:pt>
                <c:pt idx="261">
                  <c:v>2.6896999443708767</c:v>
                </c:pt>
                <c:pt idx="262">
                  <c:v>2.6896999443708767</c:v>
                </c:pt>
                <c:pt idx="263">
                  <c:v>2.6896999443708767</c:v>
                </c:pt>
                <c:pt idx="264">
                  <c:v>2.6896999443708767</c:v>
                </c:pt>
                <c:pt idx="265">
                  <c:v>2.6896999443708767</c:v>
                </c:pt>
                <c:pt idx="266">
                  <c:v>2.6896999443708767</c:v>
                </c:pt>
                <c:pt idx="267">
                  <c:v>2.6896999443708767</c:v>
                </c:pt>
                <c:pt idx="268">
                  <c:v>2.6896999443708767</c:v>
                </c:pt>
                <c:pt idx="269">
                  <c:v>2.6896999443708767</c:v>
                </c:pt>
                <c:pt idx="270">
                  <c:v>2.6896999443708767</c:v>
                </c:pt>
                <c:pt idx="271">
                  <c:v>2.6896999443708767</c:v>
                </c:pt>
                <c:pt idx="272">
                  <c:v>2.6896999443708767</c:v>
                </c:pt>
                <c:pt idx="273">
                  <c:v>2.6896999443708767</c:v>
                </c:pt>
                <c:pt idx="274">
                  <c:v>2.6896999443708767</c:v>
                </c:pt>
                <c:pt idx="275">
                  <c:v>2.6896999443708767</c:v>
                </c:pt>
                <c:pt idx="276">
                  <c:v>2.3297323921502326</c:v>
                </c:pt>
                <c:pt idx="277">
                  <c:v>2.3297323921502326</c:v>
                </c:pt>
                <c:pt idx="278">
                  <c:v>2.3297323921502326</c:v>
                </c:pt>
                <c:pt idx="279">
                  <c:v>2.3297323921502326</c:v>
                </c:pt>
                <c:pt idx="280">
                  <c:v>2.3297323921502326</c:v>
                </c:pt>
                <c:pt idx="281">
                  <c:v>2.3297323921502326</c:v>
                </c:pt>
                <c:pt idx="282">
                  <c:v>2.3297323921502326</c:v>
                </c:pt>
                <c:pt idx="283">
                  <c:v>2.3297323921502326</c:v>
                </c:pt>
                <c:pt idx="284">
                  <c:v>2.3297323921502326</c:v>
                </c:pt>
                <c:pt idx="285">
                  <c:v>2.3297323921502326</c:v>
                </c:pt>
                <c:pt idx="286">
                  <c:v>2.3297323921502326</c:v>
                </c:pt>
                <c:pt idx="287">
                  <c:v>2.3297323921502326</c:v>
                </c:pt>
                <c:pt idx="288">
                  <c:v>2.3297323921502326</c:v>
                </c:pt>
                <c:pt idx="289">
                  <c:v>2.3297323921502326</c:v>
                </c:pt>
                <c:pt idx="290">
                  <c:v>2.3297323921502326</c:v>
                </c:pt>
                <c:pt idx="291">
                  <c:v>2.3297323921502326</c:v>
                </c:pt>
                <c:pt idx="292">
                  <c:v>2.3297323921502326</c:v>
                </c:pt>
                <c:pt idx="293">
                  <c:v>2.3297323921502326</c:v>
                </c:pt>
                <c:pt idx="294">
                  <c:v>2.3297323921502326</c:v>
                </c:pt>
                <c:pt idx="295">
                  <c:v>2.3297323921502326</c:v>
                </c:pt>
                <c:pt idx="296">
                  <c:v>2.3297323921502326</c:v>
                </c:pt>
                <c:pt idx="297">
                  <c:v>2.3297323921502326</c:v>
                </c:pt>
                <c:pt idx="298">
                  <c:v>2.3297323921502326</c:v>
                </c:pt>
                <c:pt idx="299">
                  <c:v>2.3297323921502326</c:v>
                </c:pt>
                <c:pt idx="300">
                  <c:v>2.3297323921502326</c:v>
                </c:pt>
                <c:pt idx="301">
                  <c:v>2.3297323921502326</c:v>
                </c:pt>
                <c:pt idx="302">
                  <c:v>2.3210103028360365</c:v>
                </c:pt>
                <c:pt idx="303">
                  <c:v>2.3210103028360365</c:v>
                </c:pt>
                <c:pt idx="304">
                  <c:v>2.3210103028360365</c:v>
                </c:pt>
                <c:pt idx="305">
                  <c:v>2.3210103028360365</c:v>
                </c:pt>
                <c:pt idx="306">
                  <c:v>2.3210103028360365</c:v>
                </c:pt>
                <c:pt idx="307">
                  <c:v>2.3210103028360365</c:v>
                </c:pt>
                <c:pt idx="308">
                  <c:v>2.3210103028360365</c:v>
                </c:pt>
                <c:pt idx="309">
                  <c:v>2.3210103028360365</c:v>
                </c:pt>
                <c:pt idx="310">
                  <c:v>2.3210103028360365</c:v>
                </c:pt>
                <c:pt idx="311">
                  <c:v>2.3210103028360365</c:v>
                </c:pt>
                <c:pt idx="312">
                  <c:v>2.3210103028360365</c:v>
                </c:pt>
                <c:pt idx="313">
                  <c:v>2.3210103028360365</c:v>
                </c:pt>
                <c:pt idx="314">
                  <c:v>2.3210103028360365</c:v>
                </c:pt>
                <c:pt idx="315">
                  <c:v>2.3210103028360365</c:v>
                </c:pt>
                <c:pt idx="316">
                  <c:v>2.3210103028360365</c:v>
                </c:pt>
                <c:pt idx="317">
                  <c:v>2.3210103028360365</c:v>
                </c:pt>
                <c:pt idx="318">
                  <c:v>2.3210103028360365</c:v>
                </c:pt>
                <c:pt idx="319">
                  <c:v>2.3210103028360365</c:v>
                </c:pt>
                <c:pt idx="320">
                  <c:v>2.3210103028360365</c:v>
                </c:pt>
                <c:pt idx="321">
                  <c:v>2.3210103028360365</c:v>
                </c:pt>
                <c:pt idx="322">
                  <c:v>2.3210103028360365</c:v>
                </c:pt>
                <c:pt idx="323">
                  <c:v>2.3210103028360365</c:v>
                </c:pt>
                <c:pt idx="324">
                  <c:v>7.9116394275462909E-2</c:v>
                </c:pt>
                <c:pt idx="325">
                  <c:v>7.9116394275462909E-2</c:v>
                </c:pt>
                <c:pt idx="326">
                  <c:v>7.9116394275462909E-2</c:v>
                </c:pt>
                <c:pt idx="327">
                  <c:v>7.9116394275462909E-2</c:v>
                </c:pt>
                <c:pt idx="328">
                  <c:v>7.9116394275462909E-2</c:v>
                </c:pt>
                <c:pt idx="329">
                  <c:v>7.9116394275462909E-2</c:v>
                </c:pt>
                <c:pt idx="330">
                  <c:v>7.9116394275462909E-2</c:v>
                </c:pt>
                <c:pt idx="331">
                  <c:v>7.9116394275462909E-2</c:v>
                </c:pt>
                <c:pt idx="332">
                  <c:v>7.9116394275462909E-2</c:v>
                </c:pt>
                <c:pt idx="333">
                  <c:v>7.9116394275462909E-2</c:v>
                </c:pt>
                <c:pt idx="334">
                  <c:v>7.9116394275462909E-2</c:v>
                </c:pt>
                <c:pt idx="335">
                  <c:v>7.9116394275462909E-2</c:v>
                </c:pt>
                <c:pt idx="336">
                  <c:v>7.9116394275462909E-2</c:v>
                </c:pt>
                <c:pt idx="337">
                  <c:v>7.9116394275462909E-2</c:v>
                </c:pt>
                <c:pt idx="338">
                  <c:v>7.9116394275462909E-2</c:v>
                </c:pt>
                <c:pt idx="339">
                  <c:v>7.9116394275462909E-2</c:v>
                </c:pt>
                <c:pt idx="340">
                  <c:v>7.9116394275462909E-2</c:v>
                </c:pt>
                <c:pt idx="341">
                  <c:v>7.9116394275462909E-2</c:v>
                </c:pt>
                <c:pt idx="342">
                  <c:v>7.9116394275462909E-2</c:v>
                </c:pt>
                <c:pt idx="343">
                  <c:v>7.9116394275462909E-2</c:v>
                </c:pt>
                <c:pt idx="344">
                  <c:v>7.9116394275462909E-2</c:v>
                </c:pt>
                <c:pt idx="345">
                  <c:v>7.9116394275462909E-2</c:v>
                </c:pt>
                <c:pt idx="346">
                  <c:v>7.9116394275462909E-2</c:v>
                </c:pt>
                <c:pt idx="347">
                  <c:v>7.9116394275462909E-2</c:v>
                </c:pt>
                <c:pt idx="348">
                  <c:v>7.9116394275462909E-2</c:v>
                </c:pt>
                <c:pt idx="349">
                  <c:v>7.9116394275462909E-2</c:v>
                </c:pt>
                <c:pt idx="350">
                  <c:v>7.9116394275462909E-2</c:v>
                </c:pt>
                <c:pt idx="351">
                  <c:v>7.9116394275462909E-2</c:v>
                </c:pt>
                <c:pt idx="352">
                  <c:v>7.9116394275462909E-2</c:v>
                </c:pt>
                <c:pt idx="353">
                  <c:v>7.9116394275462909E-2</c:v>
                </c:pt>
                <c:pt idx="354">
                  <c:v>7.9116394275462909E-2</c:v>
                </c:pt>
                <c:pt idx="355">
                  <c:v>7.9116394275462909E-2</c:v>
                </c:pt>
                <c:pt idx="356">
                  <c:v>7.9116394275462909E-2</c:v>
                </c:pt>
                <c:pt idx="357">
                  <c:v>7.9116394275462909E-2</c:v>
                </c:pt>
                <c:pt idx="358">
                  <c:v>7.9116394275462909E-2</c:v>
                </c:pt>
                <c:pt idx="359">
                  <c:v>7.9116394275462909E-2</c:v>
                </c:pt>
                <c:pt idx="360">
                  <c:v>7.9116394275462909E-2</c:v>
                </c:pt>
                <c:pt idx="361">
                  <c:v>7.9116394275462909E-2</c:v>
                </c:pt>
                <c:pt idx="362">
                  <c:v>7.9116394275462909E-2</c:v>
                </c:pt>
                <c:pt idx="363">
                  <c:v>7.9116394275462909E-2</c:v>
                </c:pt>
                <c:pt idx="364">
                  <c:v>7.9116394275462909E-2</c:v>
                </c:pt>
                <c:pt idx="365">
                  <c:v>7.9116394275462909E-2</c:v>
                </c:pt>
                <c:pt idx="366">
                  <c:v>7.9116394275462909E-2</c:v>
                </c:pt>
                <c:pt idx="367">
                  <c:v>7.9116394275462909E-2</c:v>
                </c:pt>
                <c:pt idx="368">
                  <c:v>7.9116394275462909E-2</c:v>
                </c:pt>
                <c:pt idx="369">
                  <c:v>7.9116394275462909E-2</c:v>
                </c:pt>
                <c:pt idx="370">
                  <c:v>7.9116394275462909E-2</c:v>
                </c:pt>
                <c:pt idx="371">
                  <c:v>7.9116394275462909E-2</c:v>
                </c:pt>
                <c:pt idx="372">
                  <c:v>7.9116394275462909E-2</c:v>
                </c:pt>
                <c:pt idx="373">
                  <c:v>7.9116394275462909E-2</c:v>
                </c:pt>
                <c:pt idx="374">
                  <c:v>7.9116394275462909E-2</c:v>
                </c:pt>
                <c:pt idx="375">
                  <c:v>7.9116394275462909E-2</c:v>
                </c:pt>
                <c:pt idx="376">
                  <c:v>7.9116394275462909E-2</c:v>
                </c:pt>
                <c:pt idx="377">
                  <c:v>7.9116394275462909E-2</c:v>
                </c:pt>
                <c:pt idx="378">
                  <c:v>7.9116394275462909E-2</c:v>
                </c:pt>
                <c:pt idx="379">
                  <c:v>7.9116394275462909E-2</c:v>
                </c:pt>
                <c:pt idx="380">
                  <c:v>7.9116394275462909E-2</c:v>
                </c:pt>
                <c:pt idx="381">
                  <c:v>7.9116394275462909E-2</c:v>
                </c:pt>
                <c:pt idx="382">
                  <c:v>7.9116394275462909E-2</c:v>
                </c:pt>
                <c:pt idx="383">
                  <c:v>7.9116394275462909E-2</c:v>
                </c:pt>
                <c:pt idx="384">
                  <c:v>7.9116394275462909E-2</c:v>
                </c:pt>
                <c:pt idx="385">
                  <c:v>7.9116394275462909E-2</c:v>
                </c:pt>
                <c:pt idx="386">
                  <c:v>7.9116394275462909E-2</c:v>
                </c:pt>
                <c:pt idx="387">
                  <c:v>7.9116394275462909E-2</c:v>
                </c:pt>
                <c:pt idx="388">
                  <c:v>7.9116394275462909E-2</c:v>
                </c:pt>
                <c:pt idx="389">
                  <c:v>7.9116394275462909E-2</c:v>
                </c:pt>
                <c:pt idx="390">
                  <c:v>7.9116394275462909E-2</c:v>
                </c:pt>
                <c:pt idx="391">
                  <c:v>7.9116394275462909E-2</c:v>
                </c:pt>
                <c:pt idx="392">
                  <c:v>7.9116394275462909E-2</c:v>
                </c:pt>
                <c:pt idx="393">
                  <c:v>7.9116394275462909E-2</c:v>
                </c:pt>
                <c:pt idx="394">
                  <c:v>7.9116394275462909E-2</c:v>
                </c:pt>
                <c:pt idx="395">
                  <c:v>7.9116394275462909E-2</c:v>
                </c:pt>
                <c:pt idx="396">
                  <c:v>7.9116394275462909E-2</c:v>
                </c:pt>
                <c:pt idx="397">
                  <c:v>7.9116394275462909E-2</c:v>
                </c:pt>
                <c:pt idx="398">
                  <c:v>7.9116394275462909E-2</c:v>
                </c:pt>
                <c:pt idx="399">
                  <c:v>7.9116394275462909E-2</c:v>
                </c:pt>
                <c:pt idx="400">
                  <c:v>7.9116394275462909E-2</c:v>
                </c:pt>
                <c:pt idx="401">
                  <c:v>7.9116394275462909E-2</c:v>
                </c:pt>
                <c:pt idx="402">
                  <c:v>7.9116394275462909E-2</c:v>
                </c:pt>
                <c:pt idx="403">
                  <c:v>7.9116394275462909E-2</c:v>
                </c:pt>
                <c:pt idx="404">
                  <c:v>7.9116394275462909E-2</c:v>
                </c:pt>
                <c:pt idx="405">
                  <c:v>7.9116394275462909E-2</c:v>
                </c:pt>
                <c:pt idx="406">
                  <c:v>7.9116394275462909E-2</c:v>
                </c:pt>
                <c:pt idx="407">
                  <c:v>7.9116394275462909E-2</c:v>
                </c:pt>
                <c:pt idx="408">
                  <c:v>7.9116394275462909E-2</c:v>
                </c:pt>
                <c:pt idx="409">
                  <c:v>7.9116394275462909E-2</c:v>
                </c:pt>
                <c:pt idx="410">
                  <c:v>7.9116394275462909E-2</c:v>
                </c:pt>
                <c:pt idx="411">
                  <c:v>7.9116394275462909E-2</c:v>
                </c:pt>
                <c:pt idx="412">
                  <c:v>7.9116394275462909E-2</c:v>
                </c:pt>
                <c:pt idx="413">
                  <c:v>7.9116394275462909E-2</c:v>
                </c:pt>
                <c:pt idx="414">
                  <c:v>7.9116394275462909E-2</c:v>
                </c:pt>
                <c:pt idx="415">
                  <c:v>7.9116394275462909E-2</c:v>
                </c:pt>
                <c:pt idx="416">
                  <c:v>7.9116394275462909E-2</c:v>
                </c:pt>
                <c:pt idx="417">
                  <c:v>7.9116394275462909E-2</c:v>
                </c:pt>
                <c:pt idx="418">
                  <c:v>7.9116394275462909E-2</c:v>
                </c:pt>
              </c:numCache>
            </c:numRef>
          </c:val>
          <c:smooth val="0"/>
          <c:extLst>
            <c:ext xmlns:c16="http://schemas.microsoft.com/office/drawing/2014/chart" uri="{C3380CC4-5D6E-409C-BE32-E72D297353CC}">
              <c16:uniqueId val="{00000009-C9CA-4D9B-8754-B3F2C1FBE580}"/>
            </c:ext>
          </c:extLst>
        </c:ser>
        <c:ser>
          <c:idx val="10"/>
          <c:order val="10"/>
          <c:tx>
            <c:v>All Down</c:v>
          </c:tx>
          <c:spPr>
            <a:ln w="28575" cap="rnd">
              <a:solidFill>
                <a:srgbClr val="FF9900"/>
              </a:solidFill>
              <a:round/>
            </a:ln>
            <a:effectLst/>
          </c:spPr>
          <c:marker>
            <c:symbol val="none"/>
          </c:marker>
          <c:val>
            <c:numRef>
              <c:f>'2025-Q2'!$CF$4:$CF$422</c:f>
              <c:numCache>
                <c:formatCode>0.0</c:formatCode>
                <c:ptCount val="419"/>
                <c:pt idx="0">
                  <c:v>-0.47844667409884589</c:v>
                </c:pt>
                <c:pt idx="1">
                  <c:v>0.20039738260780871</c:v>
                </c:pt>
                <c:pt idx="2">
                  <c:v>0.20039738260780871</c:v>
                </c:pt>
                <c:pt idx="3">
                  <c:v>0.20039738260780871</c:v>
                </c:pt>
                <c:pt idx="4">
                  <c:v>0.20039738260780871</c:v>
                </c:pt>
                <c:pt idx="5">
                  <c:v>0.20039738260780871</c:v>
                </c:pt>
                <c:pt idx="6">
                  <c:v>0.20039738260780871</c:v>
                </c:pt>
                <c:pt idx="7">
                  <c:v>0.20039738260780871</c:v>
                </c:pt>
                <c:pt idx="8">
                  <c:v>0.20039738260780871</c:v>
                </c:pt>
                <c:pt idx="9">
                  <c:v>0.30064007544309346</c:v>
                </c:pt>
                <c:pt idx="10">
                  <c:v>0.30064007544309346</c:v>
                </c:pt>
                <c:pt idx="11">
                  <c:v>0.30064007544309346</c:v>
                </c:pt>
                <c:pt idx="12">
                  <c:v>0.60216810360001793</c:v>
                </c:pt>
                <c:pt idx="13">
                  <c:v>0.60216810360001793</c:v>
                </c:pt>
                <c:pt idx="14">
                  <c:v>1.4792312373428973</c:v>
                </c:pt>
                <c:pt idx="15">
                  <c:v>1.4792312373428973</c:v>
                </c:pt>
                <c:pt idx="16">
                  <c:v>1.8415029194115362</c:v>
                </c:pt>
                <c:pt idx="17">
                  <c:v>2.0183947996427927</c:v>
                </c:pt>
                <c:pt idx="18">
                  <c:v>2.0183947996427927</c:v>
                </c:pt>
                <c:pt idx="19">
                  <c:v>2.0183947996427927</c:v>
                </c:pt>
                <c:pt idx="20">
                  <c:v>2.0183947996427927</c:v>
                </c:pt>
                <c:pt idx="21">
                  <c:v>2.0183947996427927</c:v>
                </c:pt>
                <c:pt idx="22">
                  <c:v>2.0549578709407856</c:v>
                </c:pt>
                <c:pt idx="23">
                  <c:v>2.0549578709407856</c:v>
                </c:pt>
                <c:pt idx="24">
                  <c:v>2.0549578709407856</c:v>
                </c:pt>
                <c:pt idx="25">
                  <c:v>2.0549578709407856</c:v>
                </c:pt>
                <c:pt idx="26">
                  <c:v>2.4669949079778233</c:v>
                </c:pt>
                <c:pt idx="27">
                  <c:v>1.9018102809996771</c:v>
                </c:pt>
                <c:pt idx="28">
                  <c:v>0.92806658425128818</c:v>
                </c:pt>
                <c:pt idx="29">
                  <c:v>0.92806658425128818</c:v>
                </c:pt>
                <c:pt idx="30">
                  <c:v>0.37789926532439866</c:v>
                </c:pt>
                <c:pt idx="31">
                  <c:v>0.89631011803757732</c:v>
                </c:pt>
                <c:pt idx="32">
                  <c:v>0.38695214599303662</c:v>
                </c:pt>
                <c:pt idx="33">
                  <c:v>0.38695214599303662</c:v>
                </c:pt>
                <c:pt idx="34">
                  <c:v>0.38695214599303662</c:v>
                </c:pt>
                <c:pt idx="35">
                  <c:v>0.38695214599303662</c:v>
                </c:pt>
                <c:pt idx="36">
                  <c:v>4.9445060920641104E-2</c:v>
                </c:pt>
                <c:pt idx="37">
                  <c:v>4.9445060920641104E-2</c:v>
                </c:pt>
                <c:pt idx="38">
                  <c:v>4.9445060920641104E-2</c:v>
                </c:pt>
                <c:pt idx="39">
                  <c:v>4.9445060920641104E-2</c:v>
                </c:pt>
                <c:pt idx="40">
                  <c:v>-1.9614085164246415</c:v>
                </c:pt>
                <c:pt idx="41">
                  <c:v>-2.594121805639455</c:v>
                </c:pt>
                <c:pt idx="42">
                  <c:v>-1.2217069637903022</c:v>
                </c:pt>
                <c:pt idx="43">
                  <c:v>-1.2217069637903022</c:v>
                </c:pt>
                <c:pt idx="44">
                  <c:v>-1.2217069637903022</c:v>
                </c:pt>
                <c:pt idx="45">
                  <c:v>-1.2217069637903022</c:v>
                </c:pt>
                <c:pt idx="46">
                  <c:v>-2.4179115485653879</c:v>
                </c:pt>
                <c:pt idx="47">
                  <c:v>-2.4179115485653879</c:v>
                </c:pt>
                <c:pt idx="48">
                  <c:v>-2.9352208243324007</c:v>
                </c:pt>
                <c:pt idx="49">
                  <c:v>-2.9352208243324007</c:v>
                </c:pt>
                <c:pt idx="50">
                  <c:v>-2.9352208243324007</c:v>
                </c:pt>
                <c:pt idx="51">
                  <c:v>-2.9352208243324007</c:v>
                </c:pt>
                <c:pt idx="52">
                  <c:v>-4.2375680043391544</c:v>
                </c:pt>
                <c:pt idx="53">
                  <c:v>-4.2375680043391544</c:v>
                </c:pt>
                <c:pt idx="54">
                  <c:v>-4.2375680043391544</c:v>
                </c:pt>
                <c:pt idx="55">
                  <c:v>-3.6224694812908407</c:v>
                </c:pt>
                <c:pt idx="56">
                  <c:v>-3.6224694812908407</c:v>
                </c:pt>
                <c:pt idx="57">
                  <c:v>-1.7290263469717926</c:v>
                </c:pt>
                <c:pt idx="58">
                  <c:v>-1.7290263469717926</c:v>
                </c:pt>
                <c:pt idx="59">
                  <c:v>-1.7290263469717926</c:v>
                </c:pt>
                <c:pt idx="60">
                  <c:v>-1.7290263469717926</c:v>
                </c:pt>
                <c:pt idx="61">
                  <c:v>-1.7290263469717926</c:v>
                </c:pt>
                <c:pt idx="62">
                  <c:v>-1.7290263469717926</c:v>
                </c:pt>
                <c:pt idx="63">
                  <c:v>-1.7290263469717926</c:v>
                </c:pt>
                <c:pt idx="64">
                  <c:v>-1.7290263469717926</c:v>
                </c:pt>
                <c:pt idx="65">
                  <c:v>-1.7290263469717926</c:v>
                </c:pt>
                <c:pt idx="66">
                  <c:v>-2.1078142257596713</c:v>
                </c:pt>
                <c:pt idx="67">
                  <c:v>-2.9443487797740402</c:v>
                </c:pt>
                <c:pt idx="68">
                  <c:v>-2.8156523317960023</c:v>
                </c:pt>
                <c:pt idx="69">
                  <c:v>-2.8156523317960023</c:v>
                </c:pt>
                <c:pt idx="70">
                  <c:v>-2.1536522232713935</c:v>
                </c:pt>
                <c:pt idx="71">
                  <c:v>-2.1536522232713935</c:v>
                </c:pt>
                <c:pt idx="72">
                  <c:v>-2.1536522232713935</c:v>
                </c:pt>
                <c:pt idx="73">
                  <c:v>-2.1536522232713935</c:v>
                </c:pt>
                <c:pt idx="74">
                  <c:v>-2.1536522232713935</c:v>
                </c:pt>
                <c:pt idx="75">
                  <c:v>-2.1536522232713935</c:v>
                </c:pt>
                <c:pt idx="76">
                  <c:v>-2.1536522232713935</c:v>
                </c:pt>
                <c:pt idx="77">
                  <c:v>-2.1536522232713935</c:v>
                </c:pt>
                <c:pt idx="78">
                  <c:v>-2.1536522232713935</c:v>
                </c:pt>
                <c:pt idx="79">
                  <c:v>-2.1972822407234003</c:v>
                </c:pt>
                <c:pt idx="80">
                  <c:v>-2.1972822407234003</c:v>
                </c:pt>
                <c:pt idx="81">
                  <c:v>-3.0819449335041766</c:v>
                </c:pt>
                <c:pt idx="82">
                  <c:v>-3.8162473462121036</c:v>
                </c:pt>
                <c:pt idx="83">
                  <c:v>-3.8162473462121036</c:v>
                </c:pt>
                <c:pt idx="84">
                  <c:v>-3.8162473462121036</c:v>
                </c:pt>
                <c:pt idx="85">
                  <c:v>-3.9962227180033323</c:v>
                </c:pt>
                <c:pt idx="86">
                  <c:v>-3.9962227180033323</c:v>
                </c:pt>
                <c:pt idx="87">
                  <c:v>-3.9861567861496914</c:v>
                </c:pt>
                <c:pt idx="88">
                  <c:v>-3.1117975784571503</c:v>
                </c:pt>
                <c:pt idx="89">
                  <c:v>-3.1117975784571503</c:v>
                </c:pt>
                <c:pt idx="90">
                  <c:v>-1.9078521186370168</c:v>
                </c:pt>
                <c:pt idx="91">
                  <c:v>-2.1261927299907284</c:v>
                </c:pt>
                <c:pt idx="92">
                  <c:v>-1.8503306610252115</c:v>
                </c:pt>
                <c:pt idx="93">
                  <c:v>-1.8503306610252115</c:v>
                </c:pt>
                <c:pt idx="94">
                  <c:v>-1.8503306610252115</c:v>
                </c:pt>
                <c:pt idx="95">
                  <c:v>-1.7529637996248215</c:v>
                </c:pt>
                <c:pt idx="96">
                  <c:v>-1.6580671315522779</c:v>
                </c:pt>
                <c:pt idx="97">
                  <c:v>-1.4554433249721557</c:v>
                </c:pt>
                <c:pt idx="98">
                  <c:v>-1.8305996401034621</c:v>
                </c:pt>
                <c:pt idx="99">
                  <c:v>-1.8305996401034621</c:v>
                </c:pt>
                <c:pt idx="100">
                  <c:v>-3.083209243443755</c:v>
                </c:pt>
                <c:pt idx="101">
                  <c:v>-3.083209243443755</c:v>
                </c:pt>
                <c:pt idx="102">
                  <c:v>-3.083209243443755</c:v>
                </c:pt>
                <c:pt idx="103">
                  <c:v>-3.083209243443755</c:v>
                </c:pt>
                <c:pt idx="104">
                  <c:v>-3.083209243443755</c:v>
                </c:pt>
                <c:pt idx="105">
                  <c:v>-2.3232900815201392</c:v>
                </c:pt>
                <c:pt idx="106">
                  <c:v>-2.3232900815201392</c:v>
                </c:pt>
                <c:pt idx="107">
                  <c:v>-2.3232900815201392</c:v>
                </c:pt>
                <c:pt idx="108">
                  <c:v>-2.3232900815201392</c:v>
                </c:pt>
                <c:pt idx="109">
                  <c:v>-2.3232900815201392</c:v>
                </c:pt>
                <c:pt idx="110">
                  <c:v>-2.0179174314581103</c:v>
                </c:pt>
                <c:pt idx="111">
                  <c:v>-1.7934451800491877</c:v>
                </c:pt>
                <c:pt idx="112">
                  <c:v>-1.7934451800491877</c:v>
                </c:pt>
                <c:pt idx="113">
                  <c:v>-1.7934451800491877</c:v>
                </c:pt>
                <c:pt idx="114">
                  <c:v>-1.7934451800491877</c:v>
                </c:pt>
                <c:pt idx="115">
                  <c:v>-1.7934451800491877</c:v>
                </c:pt>
                <c:pt idx="116">
                  <c:v>-1.3152454613431399</c:v>
                </c:pt>
                <c:pt idx="117">
                  <c:v>-0.92694228116178978</c:v>
                </c:pt>
                <c:pt idx="118">
                  <c:v>-0.92694228116178978</c:v>
                </c:pt>
                <c:pt idx="119">
                  <c:v>-0.92694228116178978</c:v>
                </c:pt>
                <c:pt idx="120">
                  <c:v>-0.71819789295441994</c:v>
                </c:pt>
                <c:pt idx="121">
                  <c:v>-0.71819789295441994</c:v>
                </c:pt>
                <c:pt idx="122">
                  <c:v>-0.71819789295441994</c:v>
                </c:pt>
                <c:pt idx="123">
                  <c:v>-0.71819789295441994</c:v>
                </c:pt>
                <c:pt idx="124">
                  <c:v>0.53239661716924003</c:v>
                </c:pt>
                <c:pt idx="125">
                  <c:v>0.53239661716924003</c:v>
                </c:pt>
                <c:pt idx="126">
                  <c:v>0.53239661716924003</c:v>
                </c:pt>
                <c:pt idx="127">
                  <c:v>-0.12483798046271177</c:v>
                </c:pt>
                <c:pt idx="128">
                  <c:v>-0.12483798046271177</c:v>
                </c:pt>
                <c:pt idx="129">
                  <c:v>-0.52105080335043219</c:v>
                </c:pt>
                <c:pt idx="130">
                  <c:v>-0.52105080335043219</c:v>
                </c:pt>
                <c:pt idx="131">
                  <c:v>-0.76685953842633015</c:v>
                </c:pt>
                <c:pt idx="132">
                  <c:v>-0.76685953842633015</c:v>
                </c:pt>
                <c:pt idx="133">
                  <c:v>0.20735457138100322</c:v>
                </c:pt>
                <c:pt idx="134">
                  <c:v>0.69490545654620306</c:v>
                </c:pt>
                <c:pt idx="135">
                  <c:v>1.0350415109679725</c:v>
                </c:pt>
                <c:pt idx="136">
                  <c:v>1.2221531256210452</c:v>
                </c:pt>
                <c:pt idx="137">
                  <c:v>1.2221531256210452</c:v>
                </c:pt>
                <c:pt idx="138">
                  <c:v>1.3812276013983416</c:v>
                </c:pt>
                <c:pt idx="139">
                  <c:v>1.4677627346624487</c:v>
                </c:pt>
                <c:pt idx="140">
                  <c:v>1.4677627346624487</c:v>
                </c:pt>
                <c:pt idx="141">
                  <c:v>1.0166338665984678</c:v>
                </c:pt>
                <c:pt idx="142">
                  <c:v>-0.25788801657264138</c:v>
                </c:pt>
                <c:pt idx="143">
                  <c:v>-0.62751684762146254</c:v>
                </c:pt>
                <c:pt idx="144">
                  <c:v>-0.67668958856789296</c:v>
                </c:pt>
                <c:pt idx="145">
                  <c:v>0.66322463072949134</c:v>
                </c:pt>
                <c:pt idx="146">
                  <c:v>0.22039049224317847</c:v>
                </c:pt>
                <c:pt idx="147">
                  <c:v>-0.34358173274768583</c:v>
                </c:pt>
                <c:pt idx="148">
                  <c:v>-0.34358173274768583</c:v>
                </c:pt>
                <c:pt idx="149">
                  <c:v>-0.34358173274768583</c:v>
                </c:pt>
                <c:pt idx="150">
                  <c:v>-0.34358173274768583</c:v>
                </c:pt>
                <c:pt idx="151">
                  <c:v>-0.34358173274768583</c:v>
                </c:pt>
                <c:pt idx="152">
                  <c:v>2.076660291454735</c:v>
                </c:pt>
                <c:pt idx="153">
                  <c:v>2.076660291454735</c:v>
                </c:pt>
                <c:pt idx="154">
                  <c:v>2.076660291454735</c:v>
                </c:pt>
                <c:pt idx="155">
                  <c:v>2.076660291454735</c:v>
                </c:pt>
                <c:pt idx="156">
                  <c:v>4.0786276479105803</c:v>
                </c:pt>
                <c:pt idx="157">
                  <c:v>4.0786276479105803</c:v>
                </c:pt>
                <c:pt idx="158">
                  <c:v>4.0786276479105803</c:v>
                </c:pt>
                <c:pt idx="159">
                  <c:v>4.0786276479105803</c:v>
                </c:pt>
                <c:pt idx="160">
                  <c:v>4.0786276479105803</c:v>
                </c:pt>
                <c:pt idx="161">
                  <c:v>4.0786276479105803</c:v>
                </c:pt>
                <c:pt idx="162">
                  <c:v>4.4055729725924371</c:v>
                </c:pt>
                <c:pt idx="163">
                  <c:v>3.4372486660111123</c:v>
                </c:pt>
                <c:pt idx="164">
                  <c:v>3.4372486660111123</c:v>
                </c:pt>
                <c:pt idx="165">
                  <c:v>3.4372486660111123</c:v>
                </c:pt>
                <c:pt idx="166">
                  <c:v>3.4372486660111123</c:v>
                </c:pt>
                <c:pt idx="167">
                  <c:v>3.4372486660111123</c:v>
                </c:pt>
                <c:pt idx="168">
                  <c:v>4.6864613470944638</c:v>
                </c:pt>
                <c:pt idx="169">
                  <c:v>4.6864613470944638</c:v>
                </c:pt>
                <c:pt idx="170">
                  <c:v>5.1559656447513582</c:v>
                </c:pt>
                <c:pt idx="171">
                  <c:v>5.1559656447513582</c:v>
                </c:pt>
                <c:pt idx="172">
                  <c:v>5.1505243562542411</c:v>
                </c:pt>
                <c:pt idx="173">
                  <c:v>5.1505243562542411</c:v>
                </c:pt>
                <c:pt idx="174">
                  <c:v>6.819108936231224</c:v>
                </c:pt>
                <c:pt idx="175">
                  <c:v>6.819108936231224</c:v>
                </c:pt>
                <c:pt idx="176">
                  <c:v>6.8759031464671621</c:v>
                </c:pt>
                <c:pt idx="177">
                  <c:v>6.8759031464671621</c:v>
                </c:pt>
                <c:pt idx="178">
                  <c:v>7.1766578352514383</c:v>
                </c:pt>
                <c:pt idx="179">
                  <c:v>7.7094186495008064</c:v>
                </c:pt>
                <c:pt idx="180">
                  <c:v>7.7094186495008064</c:v>
                </c:pt>
                <c:pt idx="181">
                  <c:v>7.7094186495008064</c:v>
                </c:pt>
                <c:pt idx="182">
                  <c:v>7.7094186495008064</c:v>
                </c:pt>
                <c:pt idx="183">
                  <c:v>7.7094186495008064</c:v>
                </c:pt>
                <c:pt idx="184">
                  <c:v>6.1033405575600517</c:v>
                </c:pt>
                <c:pt idx="185">
                  <c:v>5.2662988114274008</c:v>
                </c:pt>
                <c:pt idx="186">
                  <c:v>5.1710188348809334</c:v>
                </c:pt>
                <c:pt idx="187">
                  <c:v>5.1710188348809334</c:v>
                </c:pt>
                <c:pt idx="188">
                  <c:v>6.2566086682816264</c:v>
                </c:pt>
                <c:pt idx="189">
                  <c:v>6.038794330127633</c:v>
                </c:pt>
                <c:pt idx="190">
                  <c:v>6.038794330127633</c:v>
                </c:pt>
                <c:pt idx="191">
                  <c:v>5.2360616230396761</c:v>
                </c:pt>
                <c:pt idx="192">
                  <c:v>5.2360616230396761</c:v>
                </c:pt>
                <c:pt idx="193">
                  <c:v>7.2100221438292609</c:v>
                </c:pt>
                <c:pt idx="194">
                  <c:v>6.2491285031632451</c:v>
                </c:pt>
                <c:pt idx="195">
                  <c:v>6.2491285031632451</c:v>
                </c:pt>
                <c:pt idx="196">
                  <c:v>6.2491285031632451</c:v>
                </c:pt>
                <c:pt idx="197">
                  <c:v>6.4791776860920081</c:v>
                </c:pt>
                <c:pt idx="198">
                  <c:v>6.5769092134568377</c:v>
                </c:pt>
                <c:pt idx="199">
                  <c:v>7.343567272895891</c:v>
                </c:pt>
                <c:pt idx="200">
                  <c:v>7.343567272895891</c:v>
                </c:pt>
                <c:pt idx="201">
                  <c:v>8.39823795735564</c:v>
                </c:pt>
                <c:pt idx="202">
                  <c:v>8.39823795735564</c:v>
                </c:pt>
                <c:pt idx="203">
                  <c:v>8.39823795735564</c:v>
                </c:pt>
                <c:pt idx="204">
                  <c:v>8.39823795735564</c:v>
                </c:pt>
                <c:pt idx="205">
                  <c:v>8.39823795735564</c:v>
                </c:pt>
                <c:pt idx="206">
                  <c:v>8.39823795735564</c:v>
                </c:pt>
                <c:pt idx="207">
                  <c:v>8.2100870866109137</c:v>
                </c:pt>
                <c:pt idx="208">
                  <c:v>8.2100870866109137</c:v>
                </c:pt>
                <c:pt idx="209">
                  <c:v>8.4352371866776252</c:v>
                </c:pt>
                <c:pt idx="210">
                  <c:v>8.4352371866776252</c:v>
                </c:pt>
                <c:pt idx="211">
                  <c:v>8.4352371866776252</c:v>
                </c:pt>
                <c:pt idx="212">
                  <c:v>8.4352371866776252</c:v>
                </c:pt>
                <c:pt idx="213">
                  <c:v>8.5229617316065465</c:v>
                </c:pt>
                <c:pt idx="214">
                  <c:v>9.0662494988690785</c:v>
                </c:pt>
                <c:pt idx="215">
                  <c:v>7.6857996534368214</c:v>
                </c:pt>
                <c:pt idx="216">
                  <c:v>7.6857996534368214</c:v>
                </c:pt>
                <c:pt idx="217">
                  <c:v>7.6857996534368214</c:v>
                </c:pt>
                <c:pt idx="218">
                  <c:v>7.1617915259638245</c:v>
                </c:pt>
                <c:pt idx="219">
                  <c:v>7.1617915259638245</c:v>
                </c:pt>
                <c:pt idx="220">
                  <c:v>7.6605515917221352</c:v>
                </c:pt>
                <c:pt idx="221">
                  <c:v>7.6605515917221352</c:v>
                </c:pt>
                <c:pt idx="222">
                  <c:v>7.8458451357049706</c:v>
                </c:pt>
                <c:pt idx="223">
                  <c:v>7.8458451357049706</c:v>
                </c:pt>
                <c:pt idx="224">
                  <c:v>7.8458451357049706</c:v>
                </c:pt>
                <c:pt idx="225">
                  <c:v>7.4384728844788999</c:v>
                </c:pt>
                <c:pt idx="226">
                  <c:v>7.4384728844788999</c:v>
                </c:pt>
                <c:pt idx="227">
                  <c:v>7.9034799300401977</c:v>
                </c:pt>
                <c:pt idx="228">
                  <c:v>7.9034799300401977</c:v>
                </c:pt>
                <c:pt idx="229">
                  <c:v>7.9034799300401977</c:v>
                </c:pt>
                <c:pt idx="230">
                  <c:v>8.625454201502528</c:v>
                </c:pt>
                <c:pt idx="231">
                  <c:v>8.625454201502528</c:v>
                </c:pt>
                <c:pt idx="232">
                  <c:v>8.625454201502528</c:v>
                </c:pt>
                <c:pt idx="233">
                  <c:v>8.625454201502528</c:v>
                </c:pt>
                <c:pt idx="234">
                  <c:v>9.1986618365118371</c:v>
                </c:pt>
                <c:pt idx="235">
                  <c:v>8.9122030102358636</c:v>
                </c:pt>
                <c:pt idx="236">
                  <c:v>10.74932703778653</c:v>
                </c:pt>
                <c:pt idx="237">
                  <c:v>10.74932703778653</c:v>
                </c:pt>
                <c:pt idx="238">
                  <c:v>10.74932703778653</c:v>
                </c:pt>
                <c:pt idx="239">
                  <c:v>10.74932703778653</c:v>
                </c:pt>
                <c:pt idx="240">
                  <c:v>10.74932703778653</c:v>
                </c:pt>
                <c:pt idx="241">
                  <c:v>14.498472044626475</c:v>
                </c:pt>
                <c:pt idx="242">
                  <c:v>14.498472044626475</c:v>
                </c:pt>
                <c:pt idx="243">
                  <c:v>14.88956953676421</c:v>
                </c:pt>
                <c:pt idx="244">
                  <c:v>14.88956953676421</c:v>
                </c:pt>
                <c:pt idx="245">
                  <c:v>15.328253264581399</c:v>
                </c:pt>
                <c:pt idx="246">
                  <c:v>15.02258741722525</c:v>
                </c:pt>
                <c:pt idx="247">
                  <c:v>14.825048398682267</c:v>
                </c:pt>
                <c:pt idx="248">
                  <c:v>14.296413204250431</c:v>
                </c:pt>
                <c:pt idx="249">
                  <c:v>13.896199757078602</c:v>
                </c:pt>
                <c:pt idx="250">
                  <c:v>14.350390028616012</c:v>
                </c:pt>
                <c:pt idx="251">
                  <c:v>14.350390028616012</c:v>
                </c:pt>
                <c:pt idx="252">
                  <c:v>14.350390028616012</c:v>
                </c:pt>
                <c:pt idx="253">
                  <c:v>15.049904861989113</c:v>
                </c:pt>
                <c:pt idx="254">
                  <c:v>15.108608282101416</c:v>
                </c:pt>
                <c:pt idx="255">
                  <c:v>15.637307369222354</c:v>
                </c:pt>
                <c:pt idx="256">
                  <c:v>15.637307369222354</c:v>
                </c:pt>
                <c:pt idx="257">
                  <c:v>15.637307369222354</c:v>
                </c:pt>
                <c:pt idx="258">
                  <c:v>15.637307369222354</c:v>
                </c:pt>
                <c:pt idx="259">
                  <c:v>14.578190401014478</c:v>
                </c:pt>
                <c:pt idx="260">
                  <c:v>14.946279460611336</c:v>
                </c:pt>
                <c:pt idx="261">
                  <c:v>14.655051390435897</c:v>
                </c:pt>
                <c:pt idx="262">
                  <c:v>14.925351237229506</c:v>
                </c:pt>
                <c:pt idx="263">
                  <c:v>14.925351237229506</c:v>
                </c:pt>
                <c:pt idx="264">
                  <c:v>14.46247756316972</c:v>
                </c:pt>
                <c:pt idx="265">
                  <c:v>14.695680212892579</c:v>
                </c:pt>
                <c:pt idx="266">
                  <c:v>14.695680212892579</c:v>
                </c:pt>
                <c:pt idx="267">
                  <c:v>14.868130265468816</c:v>
                </c:pt>
                <c:pt idx="268">
                  <c:v>14.706498599616124</c:v>
                </c:pt>
                <c:pt idx="269">
                  <c:v>15.851566908863537</c:v>
                </c:pt>
                <c:pt idx="270">
                  <c:v>16.15870279496492</c:v>
                </c:pt>
                <c:pt idx="271">
                  <c:v>15.987881587828392</c:v>
                </c:pt>
                <c:pt idx="272">
                  <c:v>16.150290922423157</c:v>
                </c:pt>
                <c:pt idx="273">
                  <c:v>16.150290922423157</c:v>
                </c:pt>
                <c:pt idx="274">
                  <c:v>15.54604425425058</c:v>
                </c:pt>
                <c:pt idx="275">
                  <c:v>15.884848968055291</c:v>
                </c:pt>
                <c:pt idx="276">
                  <c:v>15.524881415834647</c:v>
                </c:pt>
                <c:pt idx="277">
                  <c:v>15.524881415834647</c:v>
                </c:pt>
                <c:pt idx="278">
                  <c:v>15.860021591856096</c:v>
                </c:pt>
                <c:pt idx="279">
                  <c:v>15.931552350082134</c:v>
                </c:pt>
                <c:pt idx="280">
                  <c:v>15.931552350082134</c:v>
                </c:pt>
                <c:pt idx="281">
                  <c:v>15.931552350082134</c:v>
                </c:pt>
                <c:pt idx="282">
                  <c:v>16.422424478148169</c:v>
                </c:pt>
                <c:pt idx="283">
                  <c:v>15.098584815700914</c:v>
                </c:pt>
                <c:pt idx="284">
                  <c:v>15.098584815700914</c:v>
                </c:pt>
                <c:pt idx="285">
                  <c:v>14.275619548723203</c:v>
                </c:pt>
                <c:pt idx="286">
                  <c:v>14.275619548723203</c:v>
                </c:pt>
                <c:pt idx="287">
                  <c:v>14.32340417224137</c:v>
                </c:pt>
                <c:pt idx="288">
                  <c:v>14.32340417224137</c:v>
                </c:pt>
                <c:pt idx="289">
                  <c:v>13.871340030310286</c:v>
                </c:pt>
                <c:pt idx="290">
                  <c:v>13.871340030310286</c:v>
                </c:pt>
                <c:pt idx="291">
                  <c:v>14.873803225590116</c:v>
                </c:pt>
                <c:pt idx="292">
                  <c:v>14.080984002343399</c:v>
                </c:pt>
                <c:pt idx="293">
                  <c:v>14.080984002343399</c:v>
                </c:pt>
                <c:pt idx="294">
                  <c:v>12.227524814610586</c:v>
                </c:pt>
                <c:pt idx="295">
                  <c:v>12.227524814610586</c:v>
                </c:pt>
                <c:pt idx="296">
                  <c:v>11.032720426928414</c:v>
                </c:pt>
                <c:pt idx="297">
                  <c:v>11.032720426928414</c:v>
                </c:pt>
                <c:pt idx="298">
                  <c:v>10.458007783250252</c:v>
                </c:pt>
                <c:pt idx="299">
                  <c:v>10.458007783250252</c:v>
                </c:pt>
                <c:pt idx="300">
                  <c:v>10.458007783250252</c:v>
                </c:pt>
                <c:pt idx="301">
                  <c:v>10.458007783250252</c:v>
                </c:pt>
                <c:pt idx="302">
                  <c:v>10.449285693936057</c:v>
                </c:pt>
                <c:pt idx="303">
                  <c:v>10.449285693936057</c:v>
                </c:pt>
                <c:pt idx="304">
                  <c:v>10.449285693936057</c:v>
                </c:pt>
                <c:pt idx="305">
                  <c:v>10.449285693936057</c:v>
                </c:pt>
                <c:pt idx="306">
                  <c:v>10.449285693936057</c:v>
                </c:pt>
                <c:pt idx="307">
                  <c:v>10.449285693936057</c:v>
                </c:pt>
                <c:pt idx="308">
                  <c:v>10.870693194989578</c:v>
                </c:pt>
                <c:pt idx="309">
                  <c:v>10.870693194989578</c:v>
                </c:pt>
                <c:pt idx="310">
                  <c:v>10.782916148687187</c:v>
                </c:pt>
                <c:pt idx="311">
                  <c:v>12.099477255888688</c:v>
                </c:pt>
                <c:pt idx="312">
                  <c:v>11.785944021365825</c:v>
                </c:pt>
                <c:pt idx="313">
                  <c:v>11.785944021365825</c:v>
                </c:pt>
                <c:pt idx="314">
                  <c:v>11.010750222916213</c:v>
                </c:pt>
                <c:pt idx="315">
                  <c:v>11.789566422293161</c:v>
                </c:pt>
                <c:pt idx="316">
                  <c:v>11.789566422293161</c:v>
                </c:pt>
                <c:pt idx="317">
                  <c:v>11.789566422293161</c:v>
                </c:pt>
                <c:pt idx="318">
                  <c:v>11.789566422293161</c:v>
                </c:pt>
                <c:pt idx="319">
                  <c:v>11.789566422293161</c:v>
                </c:pt>
                <c:pt idx="320">
                  <c:v>12.26553396286744</c:v>
                </c:pt>
                <c:pt idx="321">
                  <c:v>12.26553396286744</c:v>
                </c:pt>
                <c:pt idx="322">
                  <c:v>12.26553396286744</c:v>
                </c:pt>
                <c:pt idx="323">
                  <c:v>12.26553396286744</c:v>
                </c:pt>
                <c:pt idx="324">
                  <c:v>10.023640054306867</c:v>
                </c:pt>
                <c:pt idx="325">
                  <c:v>10.023640054306867</c:v>
                </c:pt>
                <c:pt idx="326">
                  <c:v>8.4303486496947038</c:v>
                </c:pt>
                <c:pt idx="327">
                  <c:v>8.4303486496947038</c:v>
                </c:pt>
                <c:pt idx="328">
                  <c:v>8.4303486496947038</c:v>
                </c:pt>
                <c:pt idx="329">
                  <c:v>8.4303486496947038</c:v>
                </c:pt>
                <c:pt idx="330">
                  <c:v>9.2700433061832523</c:v>
                </c:pt>
                <c:pt idx="331">
                  <c:v>9.2700433061832523</c:v>
                </c:pt>
                <c:pt idx="332">
                  <c:v>9.2700433061832523</c:v>
                </c:pt>
                <c:pt idx="333">
                  <c:v>9.2700433061832523</c:v>
                </c:pt>
                <c:pt idx="334">
                  <c:v>9.2700433061832523</c:v>
                </c:pt>
                <c:pt idx="335">
                  <c:v>9.2700433061832523</c:v>
                </c:pt>
                <c:pt idx="336">
                  <c:v>9.2700433061832523</c:v>
                </c:pt>
                <c:pt idx="337">
                  <c:v>11.312285252271353</c:v>
                </c:pt>
                <c:pt idx="338">
                  <c:v>11.312285252271353</c:v>
                </c:pt>
                <c:pt idx="339">
                  <c:v>11.312285252271353</c:v>
                </c:pt>
                <c:pt idx="340">
                  <c:v>11.312285252271353</c:v>
                </c:pt>
                <c:pt idx="341">
                  <c:v>11.312285252271353</c:v>
                </c:pt>
                <c:pt idx="342">
                  <c:v>11.741888845319588</c:v>
                </c:pt>
                <c:pt idx="343">
                  <c:v>11.741888845319588</c:v>
                </c:pt>
                <c:pt idx="344">
                  <c:v>11.741888845319588</c:v>
                </c:pt>
                <c:pt idx="345">
                  <c:v>11.741888845319588</c:v>
                </c:pt>
                <c:pt idx="346">
                  <c:v>11.36313721070727</c:v>
                </c:pt>
                <c:pt idx="347">
                  <c:v>11.36313721070727</c:v>
                </c:pt>
                <c:pt idx="348">
                  <c:v>11.258632706202768</c:v>
                </c:pt>
                <c:pt idx="349">
                  <c:v>11.258632706202768</c:v>
                </c:pt>
                <c:pt idx="350">
                  <c:v>12.383106140093243</c:v>
                </c:pt>
                <c:pt idx="351">
                  <c:v>12.383106140093243</c:v>
                </c:pt>
                <c:pt idx="352">
                  <c:v>12.383106140093243</c:v>
                </c:pt>
                <c:pt idx="353">
                  <c:v>12.383106140093243</c:v>
                </c:pt>
                <c:pt idx="354">
                  <c:v>12.383106140093243</c:v>
                </c:pt>
                <c:pt idx="355">
                  <c:v>12.383106140093243</c:v>
                </c:pt>
                <c:pt idx="356">
                  <c:v>12.383106140093243</c:v>
                </c:pt>
                <c:pt idx="357">
                  <c:v>16.104654240656334</c:v>
                </c:pt>
                <c:pt idx="358">
                  <c:v>16.104654240656334</c:v>
                </c:pt>
                <c:pt idx="359">
                  <c:v>16.104654240656334</c:v>
                </c:pt>
                <c:pt idx="360">
                  <c:v>16.104654240656334</c:v>
                </c:pt>
                <c:pt idx="361">
                  <c:v>16.104654240656334</c:v>
                </c:pt>
                <c:pt idx="362">
                  <c:v>16.104654240656334</c:v>
                </c:pt>
                <c:pt idx="363">
                  <c:v>16.104654240656334</c:v>
                </c:pt>
                <c:pt idx="364">
                  <c:v>16.104654240656334</c:v>
                </c:pt>
                <c:pt idx="365">
                  <c:v>15.467887906215578</c:v>
                </c:pt>
                <c:pt idx="366">
                  <c:v>9.693422578931072</c:v>
                </c:pt>
                <c:pt idx="367">
                  <c:v>8.7052084435466917</c:v>
                </c:pt>
                <c:pt idx="368">
                  <c:v>8.7052084435466917</c:v>
                </c:pt>
                <c:pt idx="369">
                  <c:v>8.7052084435466917</c:v>
                </c:pt>
                <c:pt idx="370">
                  <c:v>8.7052084435466917</c:v>
                </c:pt>
                <c:pt idx="371">
                  <c:v>8.7052084435466917</c:v>
                </c:pt>
                <c:pt idx="372">
                  <c:v>8.7052084435466917</c:v>
                </c:pt>
                <c:pt idx="373">
                  <c:v>8.7052084435466917</c:v>
                </c:pt>
                <c:pt idx="374">
                  <c:v>8.7052084435466917</c:v>
                </c:pt>
                <c:pt idx="375">
                  <c:v>8.7052084435466917</c:v>
                </c:pt>
                <c:pt idx="376">
                  <c:v>8.7052084435466917</c:v>
                </c:pt>
                <c:pt idx="377">
                  <c:v>8.7052084435466917</c:v>
                </c:pt>
                <c:pt idx="378">
                  <c:v>8.7052084435466917</c:v>
                </c:pt>
                <c:pt idx="379">
                  <c:v>8.7052084435466917</c:v>
                </c:pt>
                <c:pt idx="380">
                  <c:v>8.7052084435466917</c:v>
                </c:pt>
                <c:pt idx="381">
                  <c:v>8.7052084435466917</c:v>
                </c:pt>
                <c:pt idx="382">
                  <c:v>10.255596040445914</c:v>
                </c:pt>
                <c:pt idx="383">
                  <c:v>10.255596040445914</c:v>
                </c:pt>
                <c:pt idx="384">
                  <c:v>10.255596040445914</c:v>
                </c:pt>
                <c:pt idx="385">
                  <c:v>11.046846922413456</c:v>
                </c:pt>
                <c:pt idx="386">
                  <c:v>11.046846922413456</c:v>
                </c:pt>
                <c:pt idx="387">
                  <c:v>11.046846922413456</c:v>
                </c:pt>
                <c:pt idx="388">
                  <c:v>11.046846922413456</c:v>
                </c:pt>
                <c:pt idx="389">
                  <c:v>11.046846922413456</c:v>
                </c:pt>
                <c:pt idx="390">
                  <c:v>11.046846922413456</c:v>
                </c:pt>
                <c:pt idx="391">
                  <c:v>10.650254677995123</c:v>
                </c:pt>
                <c:pt idx="392">
                  <c:v>10.650254677995123</c:v>
                </c:pt>
                <c:pt idx="393">
                  <c:v>10.650254677995123</c:v>
                </c:pt>
                <c:pt idx="394">
                  <c:v>10.650254677995123</c:v>
                </c:pt>
                <c:pt idx="395">
                  <c:v>10.650254677995123</c:v>
                </c:pt>
                <c:pt idx="396">
                  <c:v>10.650254677995123</c:v>
                </c:pt>
                <c:pt idx="397">
                  <c:v>10.650254677995123</c:v>
                </c:pt>
                <c:pt idx="398">
                  <c:v>10.650254677995123</c:v>
                </c:pt>
                <c:pt idx="399">
                  <c:v>10.650254677995123</c:v>
                </c:pt>
                <c:pt idx="400">
                  <c:v>10.446704767557083</c:v>
                </c:pt>
                <c:pt idx="401">
                  <c:v>10.446704767557083</c:v>
                </c:pt>
                <c:pt idx="402">
                  <c:v>10.446704767557083</c:v>
                </c:pt>
                <c:pt idx="403">
                  <c:v>10.446704767557083</c:v>
                </c:pt>
                <c:pt idx="404">
                  <c:v>10.446704767557083</c:v>
                </c:pt>
                <c:pt idx="405">
                  <c:v>10.446704767557083</c:v>
                </c:pt>
                <c:pt idx="406">
                  <c:v>10.446704767557083</c:v>
                </c:pt>
                <c:pt idx="407">
                  <c:v>10.446704767557083</c:v>
                </c:pt>
                <c:pt idx="408">
                  <c:v>10.446704767557083</c:v>
                </c:pt>
                <c:pt idx="409">
                  <c:v>11.300021340753757</c:v>
                </c:pt>
                <c:pt idx="410">
                  <c:v>11.300021340753757</c:v>
                </c:pt>
                <c:pt idx="411">
                  <c:v>11.300021340753757</c:v>
                </c:pt>
                <c:pt idx="412">
                  <c:v>11.300021340753757</c:v>
                </c:pt>
                <c:pt idx="413">
                  <c:v>11.300021340753757</c:v>
                </c:pt>
                <c:pt idx="414">
                  <c:v>11.300021340753757</c:v>
                </c:pt>
                <c:pt idx="415">
                  <c:v>11.724411280215779</c:v>
                </c:pt>
                <c:pt idx="416">
                  <c:v>11.724411280215779</c:v>
                </c:pt>
                <c:pt idx="417">
                  <c:v>10.963955006451521</c:v>
                </c:pt>
                <c:pt idx="418">
                  <c:v>10.963955006451521</c:v>
                </c:pt>
              </c:numCache>
            </c:numRef>
          </c:val>
          <c:smooth val="0"/>
          <c:extLst>
            <c:ext xmlns:c16="http://schemas.microsoft.com/office/drawing/2014/chart" uri="{C3380CC4-5D6E-409C-BE32-E72D297353CC}">
              <c16:uniqueId val="{0000000A-C9CA-4D9B-8754-B3F2C1FBE580}"/>
            </c:ext>
          </c:extLst>
        </c:ser>
        <c:dLbls>
          <c:showLegendKey val="0"/>
          <c:showVal val="0"/>
          <c:showCatName val="0"/>
          <c:showSerName val="0"/>
          <c:showPercent val="0"/>
          <c:showBubbleSize val="0"/>
        </c:dLbls>
        <c:smooth val="0"/>
        <c:axId val="147683023"/>
        <c:axId val="146645279"/>
        <c:extLst/>
      </c:lineChart>
      <c:catAx>
        <c:axId val="147683023"/>
        <c:scaling>
          <c:orientation val="minMax"/>
        </c:scaling>
        <c:delete val="0"/>
        <c:axPos val="b"/>
        <c:majorGridlines>
          <c:spPr>
            <a:ln w="9525" cap="flat" cmpd="sng" algn="ctr">
              <a:solidFill>
                <a:schemeClr val="tx1">
                  <a:lumMod val="75000"/>
                  <a:lumOff val="25000"/>
                </a:schemeClr>
              </a:solidFill>
              <a:prstDash val="dash"/>
              <a:round/>
            </a:ln>
            <a:effectLst/>
          </c:spPr>
        </c:majorGridlines>
        <c:majorTickMark val="none"/>
        <c:minorTickMark val="none"/>
        <c:tickLblPos val="low"/>
        <c:spPr>
          <a:noFill/>
          <a:ln w="12700" cap="flat" cmpd="sng" algn="ctr">
            <a:solidFill>
              <a:sysClr val="windowText" lastClr="000000"/>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6645279"/>
        <c:crosses val="autoZero"/>
        <c:auto val="1"/>
        <c:lblAlgn val="ctr"/>
        <c:lblOffset val="100"/>
        <c:tickLblSkip val="25"/>
        <c:tickMarkSkip val="25"/>
        <c:noMultiLvlLbl val="0"/>
      </c:catAx>
      <c:valAx>
        <c:axId val="146645279"/>
        <c:scaling>
          <c:orientation val="minMax"/>
          <c:max val="25"/>
          <c:min val="-10"/>
        </c:scaling>
        <c:delete val="0"/>
        <c:axPos val="r"/>
        <c:majorGridlines>
          <c:spPr>
            <a:ln w="9525" cap="flat" cmpd="sng" algn="ctr">
              <a:solidFill>
                <a:schemeClr val="tx1">
                  <a:lumMod val="75000"/>
                  <a:lumOff val="25000"/>
                </a:schemeClr>
              </a:solidFill>
              <a:prstDash val="dash"/>
              <a:round/>
            </a:ln>
            <a:effectLst/>
          </c:spPr>
        </c:majorGridlines>
        <c:numFmt formatCode="0" sourceLinked="0"/>
        <c:majorTickMark val="none"/>
        <c:minorTickMark val="none"/>
        <c:tickLblPos val="high"/>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7683023"/>
        <c:crosses val="max"/>
        <c:crossBetween val="between"/>
      </c:valAx>
      <c:spPr>
        <a:solidFill>
          <a:schemeClr val="tx1">
            <a:lumMod val="65000"/>
            <a:lumOff val="35000"/>
          </a:schemeClr>
        </a:solidFill>
        <a:ln>
          <a:solidFill>
            <a:sysClr val="windowText" lastClr="000000"/>
          </a:solidFill>
        </a:ln>
        <a:effectLst/>
      </c:spPr>
    </c:plotArea>
    <c:legend>
      <c:legendPos val="t"/>
      <c:layout>
        <c:manualLayout>
          <c:xMode val="edge"/>
          <c:yMode val="edge"/>
          <c:x val="0.1775062708574171"/>
          <c:y val="1.2316999395039325E-2"/>
          <c:w val="0.73773085843493924"/>
          <c:h val="4.9614968727820091E-2"/>
        </c:manualLayout>
      </c:layout>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legend>
    <c:plotVisOnly val="0"/>
    <c:dispBlanksAs val="span"/>
    <c:showDLblsOverMax val="0"/>
    <c:extLst/>
  </c:chart>
  <c:spPr>
    <a:solidFill>
      <a:schemeClr val="bg2">
        <a:lumMod val="90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accent3">
                    <a:lumMod val="75000"/>
                  </a:schemeClr>
                </a:solidFill>
                <a:latin typeface="+mn-lt"/>
                <a:ea typeface="+mn-ea"/>
                <a:cs typeface="+mn-cs"/>
              </a:defRPr>
            </a:pPr>
            <a:r>
              <a:rPr lang="en-US" sz="2000" b="1">
                <a:solidFill>
                  <a:schemeClr val="accent3">
                    <a:lumMod val="75000"/>
                  </a:schemeClr>
                </a:solidFill>
              </a:rPr>
              <a:t>All SW Trends</a:t>
            </a:r>
          </a:p>
        </c:rich>
      </c:tx>
      <c:layout>
        <c:manualLayout>
          <c:xMode val="edge"/>
          <c:yMode val="edge"/>
          <c:x val="2.8694404591104734E-2"/>
          <c:y val="2.4198427102238356E-3"/>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accent3">
                  <a:lumMod val="75000"/>
                </a:schemeClr>
              </a:solidFill>
              <a:latin typeface="+mn-lt"/>
              <a:ea typeface="+mn-ea"/>
              <a:cs typeface="+mn-cs"/>
            </a:defRPr>
          </a:pPr>
          <a:endParaRPr lang="en-US"/>
        </a:p>
      </c:txPr>
    </c:title>
    <c:autoTitleDeleted val="0"/>
    <c:plotArea>
      <c:layout>
        <c:manualLayout>
          <c:layoutTarget val="inner"/>
          <c:xMode val="edge"/>
          <c:yMode val="edge"/>
          <c:x val="1.0171058714748035E-2"/>
          <c:y val="7.7350558040499021E-2"/>
          <c:w val="0.95283482768537431"/>
          <c:h val="0.86018548951798435"/>
        </c:manualLayout>
      </c:layout>
      <c:lineChart>
        <c:grouping val="standard"/>
        <c:varyColors val="0"/>
        <c:ser>
          <c:idx val="5"/>
          <c:order val="0"/>
          <c:tx>
            <c:v>XLK</c:v>
          </c:tx>
          <c:spPr>
            <a:ln w="28575" cap="rnd">
              <a:solidFill>
                <a:srgbClr val="0000FF"/>
              </a:solidFill>
              <a:prstDash val="solid"/>
              <a:round/>
            </a:ln>
            <a:effectLst/>
          </c:spPr>
          <c:marker>
            <c:symbol val="none"/>
          </c:marker>
          <c:val>
            <c:numRef>
              <c:f>'2025-Q2'!$CL$4:$CL$422</c:f>
              <c:numCache>
                <c:formatCode>0.00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1.8934431343190481</c:v>
                </c:pt>
                <c:pt idx="58">
                  <c:v>1.8934431343190481</c:v>
                </c:pt>
                <c:pt idx="59">
                  <c:v>1.8934431343190481</c:v>
                </c:pt>
                <c:pt idx="60">
                  <c:v>1.8934431343190481</c:v>
                </c:pt>
                <c:pt idx="61">
                  <c:v>1.8934431343190481</c:v>
                </c:pt>
                <c:pt idx="62">
                  <c:v>1.8934431343190481</c:v>
                </c:pt>
                <c:pt idx="63">
                  <c:v>1.8934431343190481</c:v>
                </c:pt>
                <c:pt idx="64">
                  <c:v>1.8934431343190481</c:v>
                </c:pt>
                <c:pt idx="65">
                  <c:v>1.8934431343190481</c:v>
                </c:pt>
                <c:pt idx="66">
                  <c:v>1.8934431343190481</c:v>
                </c:pt>
                <c:pt idx="67">
                  <c:v>1.8934431343190481</c:v>
                </c:pt>
                <c:pt idx="68">
                  <c:v>1.8934431343190481</c:v>
                </c:pt>
                <c:pt idx="69">
                  <c:v>1.8934431343190481</c:v>
                </c:pt>
                <c:pt idx="70">
                  <c:v>1.8934431343190481</c:v>
                </c:pt>
                <c:pt idx="71">
                  <c:v>1.8934431343190481</c:v>
                </c:pt>
                <c:pt idx="72">
                  <c:v>1.8934431343190481</c:v>
                </c:pt>
                <c:pt idx="73">
                  <c:v>1.8934431343190481</c:v>
                </c:pt>
                <c:pt idx="74">
                  <c:v>1.8934431343190481</c:v>
                </c:pt>
                <c:pt idx="75">
                  <c:v>1.8934431343190481</c:v>
                </c:pt>
                <c:pt idx="76">
                  <c:v>1.8934431343190481</c:v>
                </c:pt>
                <c:pt idx="77">
                  <c:v>1.8934431343190481</c:v>
                </c:pt>
                <c:pt idx="78">
                  <c:v>1.8934431343190481</c:v>
                </c:pt>
                <c:pt idx="79">
                  <c:v>1.8934431343190481</c:v>
                </c:pt>
                <c:pt idx="80">
                  <c:v>1.8934431343190481</c:v>
                </c:pt>
                <c:pt idx="81">
                  <c:v>1.8934431343190481</c:v>
                </c:pt>
                <c:pt idx="82">
                  <c:v>1.8934431343190481</c:v>
                </c:pt>
                <c:pt idx="83">
                  <c:v>1.8934431343190481</c:v>
                </c:pt>
                <c:pt idx="84">
                  <c:v>1.8934431343190481</c:v>
                </c:pt>
                <c:pt idx="85">
                  <c:v>1.8934431343190481</c:v>
                </c:pt>
                <c:pt idx="86">
                  <c:v>1.8934431343190481</c:v>
                </c:pt>
                <c:pt idx="87">
                  <c:v>1.8934431343190481</c:v>
                </c:pt>
                <c:pt idx="88">
                  <c:v>1.8934431343190481</c:v>
                </c:pt>
                <c:pt idx="89">
                  <c:v>1.8934431343190481</c:v>
                </c:pt>
                <c:pt idx="90">
                  <c:v>1.8934431343190481</c:v>
                </c:pt>
                <c:pt idx="91">
                  <c:v>1.8934431343190481</c:v>
                </c:pt>
                <c:pt idx="92">
                  <c:v>1.8934431343190481</c:v>
                </c:pt>
                <c:pt idx="93">
                  <c:v>1.8934431343190481</c:v>
                </c:pt>
                <c:pt idx="94">
                  <c:v>1.8934431343190481</c:v>
                </c:pt>
                <c:pt idx="95">
                  <c:v>1.8934431343190481</c:v>
                </c:pt>
                <c:pt idx="96">
                  <c:v>1.8934431343190481</c:v>
                </c:pt>
                <c:pt idx="97">
                  <c:v>1.8934431343190481</c:v>
                </c:pt>
                <c:pt idx="98">
                  <c:v>1.8934431343190481</c:v>
                </c:pt>
                <c:pt idx="99">
                  <c:v>1.8934431343190481</c:v>
                </c:pt>
                <c:pt idx="100">
                  <c:v>1.8934431343190481</c:v>
                </c:pt>
                <c:pt idx="101">
                  <c:v>1.8934431343190481</c:v>
                </c:pt>
                <c:pt idx="102">
                  <c:v>1.8934431343190481</c:v>
                </c:pt>
                <c:pt idx="103">
                  <c:v>1.8934431343190481</c:v>
                </c:pt>
                <c:pt idx="104">
                  <c:v>1.8934431343190481</c:v>
                </c:pt>
                <c:pt idx="105">
                  <c:v>1.8934431343190481</c:v>
                </c:pt>
                <c:pt idx="106">
                  <c:v>1.8934431343190481</c:v>
                </c:pt>
                <c:pt idx="107">
                  <c:v>1.8934431343190481</c:v>
                </c:pt>
                <c:pt idx="108">
                  <c:v>1.8934431343190481</c:v>
                </c:pt>
                <c:pt idx="109">
                  <c:v>1.8934431343190481</c:v>
                </c:pt>
                <c:pt idx="110">
                  <c:v>1.8934431343190481</c:v>
                </c:pt>
                <c:pt idx="111">
                  <c:v>1.8934431343190481</c:v>
                </c:pt>
                <c:pt idx="112">
                  <c:v>1.8934431343190481</c:v>
                </c:pt>
                <c:pt idx="113">
                  <c:v>1.8934431343190481</c:v>
                </c:pt>
                <c:pt idx="114">
                  <c:v>1.8934431343190481</c:v>
                </c:pt>
                <c:pt idx="115">
                  <c:v>1.8934431343190481</c:v>
                </c:pt>
                <c:pt idx="116">
                  <c:v>1.8934431343190481</c:v>
                </c:pt>
                <c:pt idx="117">
                  <c:v>1.8934431343190481</c:v>
                </c:pt>
                <c:pt idx="118">
                  <c:v>1.8934431343190481</c:v>
                </c:pt>
                <c:pt idx="119">
                  <c:v>1.8934431343190481</c:v>
                </c:pt>
                <c:pt idx="120">
                  <c:v>1.8934431343190481</c:v>
                </c:pt>
                <c:pt idx="121">
                  <c:v>1.8934431343190481</c:v>
                </c:pt>
                <c:pt idx="122">
                  <c:v>1.8934431343190481</c:v>
                </c:pt>
                <c:pt idx="123">
                  <c:v>1.8934431343190481</c:v>
                </c:pt>
                <c:pt idx="124">
                  <c:v>1.8934431343190481</c:v>
                </c:pt>
                <c:pt idx="125">
                  <c:v>1.8934431343190481</c:v>
                </c:pt>
                <c:pt idx="126">
                  <c:v>1.8934431343190481</c:v>
                </c:pt>
                <c:pt idx="127">
                  <c:v>1.8934431343190481</c:v>
                </c:pt>
                <c:pt idx="128">
                  <c:v>1.8934431343190481</c:v>
                </c:pt>
                <c:pt idx="129">
                  <c:v>1.8934431343190481</c:v>
                </c:pt>
                <c:pt idx="130">
                  <c:v>1.8934431343190481</c:v>
                </c:pt>
                <c:pt idx="131">
                  <c:v>1.8934431343190481</c:v>
                </c:pt>
                <c:pt idx="132">
                  <c:v>1.8934431343190481</c:v>
                </c:pt>
                <c:pt idx="133">
                  <c:v>1.8934431343190481</c:v>
                </c:pt>
                <c:pt idx="134">
                  <c:v>1.8934431343190481</c:v>
                </c:pt>
                <c:pt idx="135">
                  <c:v>2.2335791887408174</c:v>
                </c:pt>
                <c:pt idx="136">
                  <c:v>2.2335791887408174</c:v>
                </c:pt>
                <c:pt idx="137">
                  <c:v>2.2335791887408174</c:v>
                </c:pt>
                <c:pt idx="138">
                  <c:v>2.2335791887408174</c:v>
                </c:pt>
                <c:pt idx="139">
                  <c:v>2.2335791887408174</c:v>
                </c:pt>
                <c:pt idx="140">
                  <c:v>2.2335791887408174</c:v>
                </c:pt>
                <c:pt idx="141">
                  <c:v>2.2335791887408174</c:v>
                </c:pt>
                <c:pt idx="142">
                  <c:v>0.95905730556970825</c:v>
                </c:pt>
                <c:pt idx="143">
                  <c:v>0.95905730556970825</c:v>
                </c:pt>
                <c:pt idx="144">
                  <c:v>0.95905730556970825</c:v>
                </c:pt>
                <c:pt idx="145">
                  <c:v>0.95905730556970825</c:v>
                </c:pt>
                <c:pt idx="146">
                  <c:v>0.95905730556970825</c:v>
                </c:pt>
                <c:pt idx="147">
                  <c:v>0.95905730556970825</c:v>
                </c:pt>
                <c:pt idx="148">
                  <c:v>0.95905730556970825</c:v>
                </c:pt>
                <c:pt idx="149">
                  <c:v>0.95905730556970825</c:v>
                </c:pt>
                <c:pt idx="150">
                  <c:v>0.95905730556970825</c:v>
                </c:pt>
                <c:pt idx="151">
                  <c:v>0.95905730556970825</c:v>
                </c:pt>
                <c:pt idx="152">
                  <c:v>0.95905730556970825</c:v>
                </c:pt>
                <c:pt idx="153">
                  <c:v>0.95905730556970825</c:v>
                </c:pt>
                <c:pt idx="154">
                  <c:v>0.95905730556970825</c:v>
                </c:pt>
                <c:pt idx="155">
                  <c:v>0.95905730556970825</c:v>
                </c:pt>
                <c:pt idx="156">
                  <c:v>2.9610246620255536</c:v>
                </c:pt>
                <c:pt idx="157">
                  <c:v>2.9610246620255536</c:v>
                </c:pt>
                <c:pt idx="158">
                  <c:v>2.9610246620255536</c:v>
                </c:pt>
                <c:pt idx="159">
                  <c:v>2.9610246620255536</c:v>
                </c:pt>
                <c:pt idx="160">
                  <c:v>2.9610246620255536</c:v>
                </c:pt>
                <c:pt idx="161">
                  <c:v>2.9610246620255536</c:v>
                </c:pt>
                <c:pt idx="162">
                  <c:v>2.9610246620255536</c:v>
                </c:pt>
                <c:pt idx="163">
                  <c:v>1.9927003554442289</c:v>
                </c:pt>
                <c:pt idx="164">
                  <c:v>1.9927003554442289</c:v>
                </c:pt>
                <c:pt idx="165">
                  <c:v>1.9927003554442289</c:v>
                </c:pt>
                <c:pt idx="166">
                  <c:v>1.9927003554442289</c:v>
                </c:pt>
                <c:pt idx="167">
                  <c:v>1.9927003554442289</c:v>
                </c:pt>
                <c:pt idx="168">
                  <c:v>1.9927003554442289</c:v>
                </c:pt>
                <c:pt idx="169">
                  <c:v>1.9927003554442289</c:v>
                </c:pt>
                <c:pt idx="170">
                  <c:v>1.9927003554442289</c:v>
                </c:pt>
                <c:pt idx="171">
                  <c:v>1.9927003554442289</c:v>
                </c:pt>
                <c:pt idx="172">
                  <c:v>1.9927003554442289</c:v>
                </c:pt>
                <c:pt idx="173">
                  <c:v>1.9927003554442289</c:v>
                </c:pt>
                <c:pt idx="174">
                  <c:v>1.9927003554442289</c:v>
                </c:pt>
                <c:pt idx="175">
                  <c:v>1.9927003554442289</c:v>
                </c:pt>
                <c:pt idx="176">
                  <c:v>1.9927003554442289</c:v>
                </c:pt>
                <c:pt idx="177">
                  <c:v>1.9927003554442289</c:v>
                </c:pt>
                <c:pt idx="178">
                  <c:v>1.9927003554442289</c:v>
                </c:pt>
                <c:pt idx="179">
                  <c:v>1.9927003554442289</c:v>
                </c:pt>
                <c:pt idx="180">
                  <c:v>1.9927003554442289</c:v>
                </c:pt>
                <c:pt idx="181">
                  <c:v>1.9927003554442289</c:v>
                </c:pt>
                <c:pt idx="182">
                  <c:v>1.9927003554442289</c:v>
                </c:pt>
                <c:pt idx="183">
                  <c:v>1.9927003554442289</c:v>
                </c:pt>
                <c:pt idx="184">
                  <c:v>1.9927003554442289</c:v>
                </c:pt>
                <c:pt idx="185">
                  <c:v>1.9927003554442289</c:v>
                </c:pt>
                <c:pt idx="186">
                  <c:v>1.9927003554442289</c:v>
                </c:pt>
                <c:pt idx="187">
                  <c:v>1.9927003554442289</c:v>
                </c:pt>
                <c:pt idx="188">
                  <c:v>1.9927003554442289</c:v>
                </c:pt>
                <c:pt idx="189">
                  <c:v>1.9927003554442289</c:v>
                </c:pt>
                <c:pt idx="190">
                  <c:v>1.9927003554442289</c:v>
                </c:pt>
                <c:pt idx="191">
                  <c:v>1.9927003554442289</c:v>
                </c:pt>
                <c:pt idx="192">
                  <c:v>1.9927003554442289</c:v>
                </c:pt>
                <c:pt idx="193">
                  <c:v>1.9927003554442289</c:v>
                </c:pt>
                <c:pt idx="194">
                  <c:v>1.9927003554442289</c:v>
                </c:pt>
                <c:pt idx="195">
                  <c:v>1.9927003554442289</c:v>
                </c:pt>
                <c:pt idx="196">
                  <c:v>1.9927003554442289</c:v>
                </c:pt>
                <c:pt idx="197">
                  <c:v>1.9927003554442289</c:v>
                </c:pt>
                <c:pt idx="198">
                  <c:v>1.9927003554442289</c:v>
                </c:pt>
                <c:pt idx="199">
                  <c:v>1.9927003554442289</c:v>
                </c:pt>
                <c:pt idx="200">
                  <c:v>1.9927003554442289</c:v>
                </c:pt>
                <c:pt idx="201">
                  <c:v>1.9927003554442289</c:v>
                </c:pt>
                <c:pt idx="202">
                  <c:v>1.9927003554442289</c:v>
                </c:pt>
                <c:pt idx="203">
                  <c:v>1.9927003554442289</c:v>
                </c:pt>
                <c:pt idx="204">
                  <c:v>1.9927003554442289</c:v>
                </c:pt>
                <c:pt idx="205">
                  <c:v>1.9927003554442289</c:v>
                </c:pt>
                <c:pt idx="206">
                  <c:v>1.9927003554442289</c:v>
                </c:pt>
                <c:pt idx="207">
                  <c:v>1.9927003554442289</c:v>
                </c:pt>
                <c:pt idx="208">
                  <c:v>1.9927003554442289</c:v>
                </c:pt>
                <c:pt idx="209">
                  <c:v>1.9927003554442289</c:v>
                </c:pt>
                <c:pt idx="210">
                  <c:v>1.9927003554442289</c:v>
                </c:pt>
                <c:pt idx="211">
                  <c:v>1.9927003554442289</c:v>
                </c:pt>
                <c:pt idx="212">
                  <c:v>1.9927003554442289</c:v>
                </c:pt>
                <c:pt idx="213">
                  <c:v>1.9927003554442289</c:v>
                </c:pt>
                <c:pt idx="214">
                  <c:v>1.9927003554442289</c:v>
                </c:pt>
                <c:pt idx="215">
                  <c:v>1.9927003554442289</c:v>
                </c:pt>
                <c:pt idx="216">
                  <c:v>1.9927003554442289</c:v>
                </c:pt>
                <c:pt idx="217">
                  <c:v>1.9927003554442289</c:v>
                </c:pt>
                <c:pt idx="218">
                  <c:v>1.9927003554442289</c:v>
                </c:pt>
                <c:pt idx="219">
                  <c:v>1.9927003554442289</c:v>
                </c:pt>
                <c:pt idx="220">
                  <c:v>1.9927003554442289</c:v>
                </c:pt>
                <c:pt idx="221">
                  <c:v>1.9927003554442289</c:v>
                </c:pt>
                <c:pt idx="222">
                  <c:v>1.9927003554442289</c:v>
                </c:pt>
                <c:pt idx="223">
                  <c:v>1.9927003554442289</c:v>
                </c:pt>
                <c:pt idx="224">
                  <c:v>1.9927003554442289</c:v>
                </c:pt>
                <c:pt idx="225">
                  <c:v>1.9927003554442289</c:v>
                </c:pt>
                <c:pt idx="226">
                  <c:v>1.9927003554442289</c:v>
                </c:pt>
                <c:pt idx="227">
                  <c:v>1.9927003554442289</c:v>
                </c:pt>
                <c:pt idx="228">
                  <c:v>1.9927003554442289</c:v>
                </c:pt>
                <c:pt idx="229">
                  <c:v>1.9927003554442289</c:v>
                </c:pt>
                <c:pt idx="230">
                  <c:v>1.9927003554442289</c:v>
                </c:pt>
                <c:pt idx="231">
                  <c:v>1.9927003554442289</c:v>
                </c:pt>
                <c:pt idx="232">
                  <c:v>1.9927003554442289</c:v>
                </c:pt>
                <c:pt idx="233">
                  <c:v>1.9927003554442289</c:v>
                </c:pt>
                <c:pt idx="234">
                  <c:v>1.9927003554442289</c:v>
                </c:pt>
                <c:pt idx="235">
                  <c:v>1.9927003554442289</c:v>
                </c:pt>
                <c:pt idx="236">
                  <c:v>1.9927003554442289</c:v>
                </c:pt>
                <c:pt idx="237">
                  <c:v>1.9927003554442289</c:v>
                </c:pt>
                <c:pt idx="238">
                  <c:v>1.9927003554442289</c:v>
                </c:pt>
                <c:pt idx="239">
                  <c:v>1.9927003554442289</c:v>
                </c:pt>
                <c:pt idx="240">
                  <c:v>1.9927003554442289</c:v>
                </c:pt>
                <c:pt idx="241">
                  <c:v>1.9927003554442289</c:v>
                </c:pt>
                <c:pt idx="242">
                  <c:v>1.9927003554442289</c:v>
                </c:pt>
                <c:pt idx="243">
                  <c:v>1.9927003554442289</c:v>
                </c:pt>
                <c:pt idx="244">
                  <c:v>1.9927003554442289</c:v>
                </c:pt>
                <c:pt idx="245">
                  <c:v>1.9927003554442289</c:v>
                </c:pt>
                <c:pt idx="246">
                  <c:v>1.9927003554442289</c:v>
                </c:pt>
                <c:pt idx="247">
                  <c:v>1.9927003554442289</c:v>
                </c:pt>
                <c:pt idx="248">
                  <c:v>1.9927003554442289</c:v>
                </c:pt>
                <c:pt idx="249">
                  <c:v>1.9927003554442289</c:v>
                </c:pt>
                <c:pt idx="250">
                  <c:v>1.9927003554442289</c:v>
                </c:pt>
                <c:pt idx="251">
                  <c:v>1.9927003554442289</c:v>
                </c:pt>
                <c:pt idx="252">
                  <c:v>1.9927003554442289</c:v>
                </c:pt>
                <c:pt idx="253">
                  <c:v>1.9927003554442289</c:v>
                </c:pt>
                <c:pt idx="254">
                  <c:v>1.9927003554442289</c:v>
                </c:pt>
                <c:pt idx="255">
                  <c:v>1.9927003554442289</c:v>
                </c:pt>
                <c:pt idx="256">
                  <c:v>1.9927003554442289</c:v>
                </c:pt>
                <c:pt idx="257">
                  <c:v>1.9927003554442289</c:v>
                </c:pt>
                <c:pt idx="258">
                  <c:v>1.9927003554442289</c:v>
                </c:pt>
                <c:pt idx="259">
                  <c:v>1.9927003554442289</c:v>
                </c:pt>
                <c:pt idx="260">
                  <c:v>2.3607894150410869</c:v>
                </c:pt>
                <c:pt idx="261">
                  <c:v>2.3607894150410869</c:v>
                </c:pt>
                <c:pt idx="262">
                  <c:v>2.3607894150410869</c:v>
                </c:pt>
                <c:pt idx="263">
                  <c:v>2.3607894150410869</c:v>
                </c:pt>
                <c:pt idx="264">
                  <c:v>2.3607894150410869</c:v>
                </c:pt>
                <c:pt idx="265">
                  <c:v>2.3607894150410869</c:v>
                </c:pt>
                <c:pt idx="266">
                  <c:v>2.3607894150410869</c:v>
                </c:pt>
                <c:pt idx="267">
                  <c:v>2.3607894150410869</c:v>
                </c:pt>
                <c:pt idx="268">
                  <c:v>2.3607894150410869</c:v>
                </c:pt>
                <c:pt idx="269">
                  <c:v>2.3607894150410869</c:v>
                </c:pt>
                <c:pt idx="270">
                  <c:v>2.3607894150410869</c:v>
                </c:pt>
                <c:pt idx="271">
                  <c:v>2.3607894150410869</c:v>
                </c:pt>
                <c:pt idx="272">
                  <c:v>2.3607894150410869</c:v>
                </c:pt>
                <c:pt idx="273">
                  <c:v>2.3607894150410869</c:v>
                </c:pt>
                <c:pt idx="274">
                  <c:v>2.3607894150410869</c:v>
                </c:pt>
                <c:pt idx="275">
                  <c:v>2.3607894150410869</c:v>
                </c:pt>
                <c:pt idx="276">
                  <c:v>2.3607894150410869</c:v>
                </c:pt>
                <c:pt idx="277">
                  <c:v>2.3607894150410869</c:v>
                </c:pt>
                <c:pt idx="278">
                  <c:v>2.3607894150410869</c:v>
                </c:pt>
                <c:pt idx="279">
                  <c:v>2.3607894150410869</c:v>
                </c:pt>
                <c:pt idx="280">
                  <c:v>2.3607894150410869</c:v>
                </c:pt>
                <c:pt idx="281">
                  <c:v>2.3607894150410869</c:v>
                </c:pt>
                <c:pt idx="282">
                  <c:v>2.3607894150410869</c:v>
                </c:pt>
                <c:pt idx="283">
                  <c:v>2.3607894150410869</c:v>
                </c:pt>
                <c:pt idx="284">
                  <c:v>2.3607894150410869</c:v>
                </c:pt>
                <c:pt idx="285">
                  <c:v>2.3607894150410869</c:v>
                </c:pt>
                <c:pt idx="286">
                  <c:v>2.3607894150410869</c:v>
                </c:pt>
                <c:pt idx="287">
                  <c:v>2.4085740385592547</c:v>
                </c:pt>
                <c:pt idx="288">
                  <c:v>2.4085740385592547</c:v>
                </c:pt>
                <c:pt idx="289">
                  <c:v>2.4085740385592547</c:v>
                </c:pt>
                <c:pt idx="290">
                  <c:v>2.4085740385592547</c:v>
                </c:pt>
                <c:pt idx="291">
                  <c:v>2.4085740385592547</c:v>
                </c:pt>
                <c:pt idx="292">
                  <c:v>2.4085740385592547</c:v>
                </c:pt>
                <c:pt idx="293">
                  <c:v>2.4085740385592547</c:v>
                </c:pt>
                <c:pt idx="294">
                  <c:v>2.4085740385592547</c:v>
                </c:pt>
                <c:pt idx="295">
                  <c:v>2.4085740385592547</c:v>
                </c:pt>
                <c:pt idx="296">
                  <c:v>2.4085740385592547</c:v>
                </c:pt>
                <c:pt idx="297">
                  <c:v>2.4085740385592547</c:v>
                </c:pt>
                <c:pt idx="298">
                  <c:v>2.4085740385592547</c:v>
                </c:pt>
                <c:pt idx="299">
                  <c:v>2.4085740385592547</c:v>
                </c:pt>
                <c:pt idx="300">
                  <c:v>2.4085740385592547</c:v>
                </c:pt>
                <c:pt idx="301">
                  <c:v>2.4085740385592547</c:v>
                </c:pt>
                <c:pt idx="302">
                  <c:v>2.4085740385592547</c:v>
                </c:pt>
                <c:pt idx="303">
                  <c:v>2.4085740385592547</c:v>
                </c:pt>
                <c:pt idx="304">
                  <c:v>2.4085740385592547</c:v>
                </c:pt>
                <c:pt idx="305">
                  <c:v>2.4085740385592547</c:v>
                </c:pt>
                <c:pt idx="306">
                  <c:v>2.4085740385592547</c:v>
                </c:pt>
                <c:pt idx="307">
                  <c:v>2.4085740385592547</c:v>
                </c:pt>
                <c:pt idx="308">
                  <c:v>2.4085740385592547</c:v>
                </c:pt>
                <c:pt idx="309">
                  <c:v>2.4085740385592547</c:v>
                </c:pt>
                <c:pt idx="310">
                  <c:v>2.4085740385592547</c:v>
                </c:pt>
                <c:pt idx="311">
                  <c:v>2.4085740385592547</c:v>
                </c:pt>
                <c:pt idx="312">
                  <c:v>2.4085740385592547</c:v>
                </c:pt>
                <c:pt idx="313">
                  <c:v>2.4085740385592547</c:v>
                </c:pt>
                <c:pt idx="314">
                  <c:v>2.4085740385592547</c:v>
                </c:pt>
                <c:pt idx="315">
                  <c:v>2.4085740385592547</c:v>
                </c:pt>
                <c:pt idx="316">
                  <c:v>2.4085740385592547</c:v>
                </c:pt>
                <c:pt idx="317">
                  <c:v>2.4085740385592547</c:v>
                </c:pt>
                <c:pt idx="318">
                  <c:v>2.4085740385592547</c:v>
                </c:pt>
                <c:pt idx="319">
                  <c:v>2.4085740385592547</c:v>
                </c:pt>
                <c:pt idx="320">
                  <c:v>2.8845415791335349</c:v>
                </c:pt>
                <c:pt idx="321">
                  <c:v>2.8845415791335349</c:v>
                </c:pt>
                <c:pt idx="322">
                  <c:v>2.8845415791335349</c:v>
                </c:pt>
                <c:pt idx="323">
                  <c:v>2.8845415791335349</c:v>
                </c:pt>
                <c:pt idx="324">
                  <c:v>2.8845415791335349</c:v>
                </c:pt>
                <c:pt idx="325">
                  <c:v>2.8845415791335349</c:v>
                </c:pt>
                <c:pt idx="326">
                  <c:v>1.2912501745213723</c:v>
                </c:pt>
                <c:pt idx="327">
                  <c:v>1.2912501745213723</c:v>
                </c:pt>
                <c:pt idx="328">
                  <c:v>1.2912501745213723</c:v>
                </c:pt>
                <c:pt idx="329">
                  <c:v>1.2912501745213723</c:v>
                </c:pt>
                <c:pt idx="330">
                  <c:v>1.2912501745213723</c:v>
                </c:pt>
                <c:pt idx="331">
                  <c:v>1.2912501745213723</c:v>
                </c:pt>
                <c:pt idx="332">
                  <c:v>1.2912501745213723</c:v>
                </c:pt>
                <c:pt idx="333">
                  <c:v>1.2912501745213723</c:v>
                </c:pt>
                <c:pt idx="334">
                  <c:v>1.2912501745213723</c:v>
                </c:pt>
                <c:pt idx="335">
                  <c:v>1.2912501745213723</c:v>
                </c:pt>
                <c:pt idx="336">
                  <c:v>1.2912501745213723</c:v>
                </c:pt>
                <c:pt idx="337">
                  <c:v>1.2912501745213723</c:v>
                </c:pt>
                <c:pt idx="338">
                  <c:v>1.2912501745213723</c:v>
                </c:pt>
                <c:pt idx="339">
                  <c:v>1.2912501745213723</c:v>
                </c:pt>
                <c:pt idx="340">
                  <c:v>1.2912501745213723</c:v>
                </c:pt>
                <c:pt idx="341">
                  <c:v>1.2912501745213723</c:v>
                </c:pt>
                <c:pt idx="342">
                  <c:v>1.2912501745213723</c:v>
                </c:pt>
                <c:pt idx="343">
                  <c:v>1.2912501745213723</c:v>
                </c:pt>
                <c:pt idx="344">
                  <c:v>1.2912501745213723</c:v>
                </c:pt>
                <c:pt idx="345">
                  <c:v>1.2912501745213723</c:v>
                </c:pt>
                <c:pt idx="346">
                  <c:v>1.2912501745213723</c:v>
                </c:pt>
                <c:pt idx="347">
                  <c:v>1.2912501745213723</c:v>
                </c:pt>
                <c:pt idx="348">
                  <c:v>1.2912501745213723</c:v>
                </c:pt>
                <c:pt idx="349">
                  <c:v>1.2912501745213723</c:v>
                </c:pt>
                <c:pt idx="350">
                  <c:v>1.2912501745213723</c:v>
                </c:pt>
                <c:pt idx="351">
                  <c:v>1.2912501745213723</c:v>
                </c:pt>
                <c:pt idx="352">
                  <c:v>1.2912501745213723</c:v>
                </c:pt>
                <c:pt idx="353">
                  <c:v>1.2912501745213723</c:v>
                </c:pt>
                <c:pt idx="354">
                  <c:v>1.2912501745213723</c:v>
                </c:pt>
                <c:pt idx="355">
                  <c:v>1.2912501745213723</c:v>
                </c:pt>
                <c:pt idx="356">
                  <c:v>1.2912501745213723</c:v>
                </c:pt>
                <c:pt idx="357">
                  <c:v>1.2912501745213723</c:v>
                </c:pt>
                <c:pt idx="358">
                  <c:v>1.2912501745213723</c:v>
                </c:pt>
                <c:pt idx="359">
                  <c:v>1.2912501745213723</c:v>
                </c:pt>
                <c:pt idx="360">
                  <c:v>1.2912501745213723</c:v>
                </c:pt>
                <c:pt idx="361">
                  <c:v>1.2912501745213723</c:v>
                </c:pt>
                <c:pt idx="362">
                  <c:v>1.2912501745213723</c:v>
                </c:pt>
                <c:pt idx="363">
                  <c:v>1.2912501745213723</c:v>
                </c:pt>
                <c:pt idx="364">
                  <c:v>1.2912501745213723</c:v>
                </c:pt>
                <c:pt idx="365">
                  <c:v>1.2912501745213723</c:v>
                </c:pt>
                <c:pt idx="366">
                  <c:v>1.2912501745213723</c:v>
                </c:pt>
                <c:pt idx="367">
                  <c:v>1.2912501745213723</c:v>
                </c:pt>
                <c:pt idx="368">
                  <c:v>1.2912501745213723</c:v>
                </c:pt>
                <c:pt idx="369">
                  <c:v>1.2912501745213723</c:v>
                </c:pt>
                <c:pt idx="370">
                  <c:v>1.2912501745213723</c:v>
                </c:pt>
                <c:pt idx="371">
                  <c:v>1.2912501745213723</c:v>
                </c:pt>
                <c:pt idx="372">
                  <c:v>1.2912501745213723</c:v>
                </c:pt>
                <c:pt idx="373">
                  <c:v>1.2912501745213723</c:v>
                </c:pt>
                <c:pt idx="374">
                  <c:v>1.2912501745213723</c:v>
                </c:pt>
                <c:pt idx="375">
                  <c:v>1.2912501745213723</c:v>
                </c:pt>
                <c:pt idx="376">
                  <c:v>1.2912501745213723</c:v>
                </c:pt>
                <c:pt idx="377">
                  <c:v>1.2912501745213723</c:v>
                </c:pt>
                <c:pt idx="378">
                  <c:v>1.2912501745213723</c:v>
                </c:pt>
                <c:pt idx="379">
                  <c:v>1.2912501745213723</c:v>
                </c:pt>
                <c:pt idx="380">
                  <c:v>1.2912501745213723</c:v>
                </c:pt>
                <c:pt idx="381">
                  <c:v>1.2912501745213723</c:v>
                </c:pt>
                <c:pt idx="382">
                  <c:v>1.2912501745213723</c:v>
                </c:pt>
                <c:pt idx="383">
                  <c:v>1.2912501745213723</c:v>
                </c:pt>
                <c:pt idx="384">
                  <c:v>1.2912501745213723</c:v>
                </c:pt>
                <c:pt idx="385">
                  <c:v>2.0825010564889137</c:v>
                </c:pt>
                <c:pt idx="386">
                  <c:v>2.0825010564889137</c:v>
                </c:pt>
                <c:pt idx="387">
                  <c:v>2.0825010564889137</c:v>
                </c:pt>
                <c:pt idx="388">
                  <c:v>2.0825010564889137</c:v>
                </c:pt>
                <c:pt idx="389">
                  <c:v>2.0825010564889137</c:v>
                </c:pt>
                <c:pt idx="390">
                  <c:v>2.0825010564889137</c:v>
                </c:pt>
                <c:pt idx="391">
                  <c:v>2.0825010564889137</c:v>
                </c:pt>
                <c:pt idx="392">
                  <c:v>2.0825010564889137</c:v>
                </c:pt>
                <c:pt idx="393">
                  <c:v>2.0825010564889137</c:v>
                </c:pt>
                <c:pt idx="394">
                  <c:v>2.0825010564889137</c:v>
                </c:pt>
                <c:pt idx="395">
                  <c:v>2.0825010564889137</c:v>
                </c:pt>
                <c:pt idx="396">
                  <c:v>2.0825010564889137</c:v>
                </c:pt>
                <c:pt idx="397">
                  <c:v>2.0825010564889137</c:v>
                </c:pt>
                <c:pt idx="398">
                  <c:v>2.0825010564889137</c:v>
                </c:pt>
                <c:pt idx="399">
                  <c:v>2.0825010564889137</c:v>
                </c:pt>
                <c:pt idx="400">
                  <c:v>2.0825010564889137</c:v>
                </c:pt>
                <c:pt idx="401">
                  <c:v>2.0825010564889137</c:v>
                </c:pt>
                <c:pt idx="402">
                  <c:v>2.0825010564889137</c:v>
                </c:pt>
                <c:pt idx="403">
                  <c:v>2.0825010564889137</c:v>
                </c:pt>
                <c:pt idx="404">
                  <c:v>2.0825010564889137</c:v>
                </c:pt>
                <c:pt idx="405">
                  <c:v>2.0825010564889137</c:v>
                </c:pt>
                <c:pt idx="406">
                  <c:v>2.0825010564889137</c:v>
                </c:pt>
                <c:pt idx="407">
                  <c:v>2.0825010564889137</c:v>
                </c:pt>
                <c:pt idx="408">
                  <c:v>2.0825010564889137</c:v>
                </c:pt>
                <c:pt idx="409">
                  <c:v>2.0825010564889137</c:v>
                </c:pt>
                <c:pt idx="410">
                  <c:v>2.0825010564889137</c:v>
                </c:pt>
                <c:pt idx="411">
                  <c:v>2.0825010564889137</c:v>
                </c:pt>
                <c:pt idx="412">
                  <c:v>2.0825010564889137</c:v>
                </c:pt>
                <c:pt idx="413">
                  <c:v>2.0825010564889137</c:v>
                </c:pt>
                <c:pt idx="414">
                  <c:v>2.0825010564889137</c:v>
                </c:pt>
                <c:pt idx="415">
                  <c:v>2.0825010564889137</c:v>
                </c:pt>
                <c:pt idx="416">
                  <c:v>2.0825010564889137</c:v>
                </c:pt>
                <c:pt idx="417">
                  <c:v>2.0825010564889137</c:v>
                </c:pt>
                <c:pt idx="418">
                  <c:v>2.0825010564889137</c:v>
                </c:pt>
              </c:numCache>
            </c:numRef>
          </c:val>
          <c:smooth val="0"/>
          <c:extLst>
            <c:ext xmlns:c16="http://schemas.microsoft.com/office/drawing/2014/chart" uri="{C3380CC4-5D6E-409C-BE32-E72D297353CC}">
              <c16:uniqueId val="{00000000-7AEE-4D62-9FE5-2B87AD6DF366}"/>
            </c:ext>
          </c:extLst>
        </c:ser>
        <c:ser>
          <c:idx val="8"/>
          <c:order val="1"/>
          <c:tx>
            <c:v>XLC</c:v>
          </c:tx>
          <c:spPr>
            <a:ln w="38100" cap="rnd">
              <a:solidFill>
                <a:sysClr val="windowText" lastClr="000000"/>
              </a:solidFill>
              <a:round/>
            </a:ln>
            <a:effectLst/>
          </c:spPr>
          <c:marker>
            <c:symbol val="none"/>
          </c:marker>
          <c:val>
            <c:numRef>
              <c:f>'2025-Q2'!$DP$4:$DP$422</c:f>
              <c:numCache>
                <c:formatCode>0.00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0.19475247422998271</c:v>
                </c:pt>
                <c:pt idx="39">
                  <c:v>0.19475247422998271</c:v>
                </c:pt>
                <c:pt idx="40">
                  <c:v>0.19475247422998271</c:v>
                </c:pt>
                <c:pt idx="41">
                  <c:v>0.19475247422998271</c:v>
                </c:pt>
                <c:pt idx="42">
                  <c:v>0.19475247422998271</c:v>
                </c:pt>
                <c:pt idx="43">
                  <c:v>0.19475247422998271</c:v>
                </c:pt>
                <c:pt idx="44">
                  <c:v>-0.17018269154375754</c:v>
                </c:pt>
                <c:pt idx="45">
                  <c:v>-0.17018269154375754</c:v>
                </c:pt>
                <c:pt idx="46">
                  <c:v>-0.17018269154375754</c:v>
                </c:pt>
                <c:pt idx="47">
                  <c:v>-0.17018269154375754</c:v>
                </c:pt>
                <c:pt idx="48">
                  <c:v>-0.17018269154375754</c:v>
                </c:pt>
                <c:pt idx="49">
                  <c:v>-0.17018269154375754</c:v>
                </c:pt>
                <c:pt idx="50">
                  <c:v>-0.17018269154375754</c:v>
                </c:pt>
                <c:pt idx="51">
                  <c:v>-0.17018269154375754</c:v>
                </c:pt>
                <c:pt idx="52">
                  <c:v>-0.17018269154375754</c:v>
                </c:pt>
                <c:pt idx="53">
                  <c:v>-0.17018269154375754</c:v>
                </c:pt>
                <c:pt idx="54">
                  <c:v>-0.17018269154375754</c:v>
                </c:pt>
                <c:pt idx="55">
                  <c:v>-0.17018269154375754</c:v>
                </c:pt>
                <c:pt idx="56">
                  <c:v>-0.17018269154375754</c:v>
                </c:pt>
                <c:pt idx="57">
                  <c:v>-0.17018269154375754</c:v>
                </c:pt>
                <c:pt idx="58">
                  <c:v>-0.17018269154375754</c:v>
                </c:pt>
                <c:pt idx="59">
                  <c:v>-0.17018269154375754</c:v>
                </c:pt>
                <c:pt idx="60">
                  <c:v>-0.17018269154375754</c:v>
                </c:pt>
                <c:pt idx="61">
                  <c:v>-0.17018269154375754</c:v>
                </c:pt>
                <c:pt idx="62">
                  <c:v>-0.17018269154375754</c:v>
                </c:pt>
                <c:pt idx="63">
                  <c:v>-0.17018269154375754</c:v>
                </c:pt>
                <c:pt idx="64">
                  <c:v>-0.43291760746858676</c:v>
                </c:pt>
                <c:pt idx="65">
                  <c:v>-0.43291760746858676</c:v>
                </c:pt>
                <c:pt idx="66">
                  <c:v>-0.43291760746858676</c:v>
                </c:pt>
                <c:pt idx="67">
                  <c:v>-0.43291760746858676</c:v>
                </c:pt>
                <c:pt idx="68">
                  <c:v>-0.43291760746858676</c:v>
                </c:pt>
                <c:pt idx="69">
                  <c:v>-0.43291760746858676</c:v>
                </c:pt>
                <c:pt idx="70">
                  <c:v>-0.43291760746858676</c:v>
                </c:pt>
                <c:pt idx="71">
                  <c:v>-0.43291760746858676</c:v>
                </c:pt>
                <c:pt idx="72">
                  <c:v>-0.43291760746858676</c:v>
                </c:pt>
                <c:pt idx="73">
                  <c:v>-0.43291760746858676</c:v>
                </c:pt>
                <c:pt idx="74">
                  <c:v>-0.43291760746858676</c:v>
                </c:pt>
                <c:pt idx="75">
                  <c:v>-0.43291760746858676</c:v>
                </c:pt>
                <c:pt idx="76">
                  <c:v>-0.43291760746858676</c:v>
                </c:pt>
                <c:pt idx="77">
                  <c:v>-0.43291760746858676</c:v>
                </c:pt>
                <c:pt idx="78">
                  <c:v>-0.43291760746858676</c:v>
                </c:pt>
                <c:pt idx="79">
                  <c:v>-0.43291760746858676</c:v>
                </c:pt>
                <c:pt idx="80">
                  <c:v>-0.43291760746858676</c:v>
                </c:pt>
                <c:pt idx="81">
                  <c:v>-0.43291760746858676</c:v>
                </c:pt>
                <c:pt idx="82">
                  <c:v>-0.43291760746858676</c:v>
                </c:pt>
                <c:pt idx="83">
                  <c:v>-0.43291760746858676</c:v>
                </c:pt>
                <c:pt idx="84">
                  <c:v>-0.43291760746858676</c:v>
                </c:pt>
                <c:pt idx="85">
                  <c:v>-0.43291760746858676</c:v>
                </c:pt>
                <c:pt idx="86">
                  <c:v>-0.43291760746858676</c:v>
                </c:pt>
                <c:pt idx="87">
                  <c:v>-0.43291760746858676</c:v>
                </c:pt>
                <c:pt idx="88">
                  <c:v>-0.43291760746858676</c:v>
                </c:pt>
                <c:pt idx="89">
                  <c:v>-0.43291760746858676</c:v>
                </c:pt>
                <c:pt idx="90">
                  <c:v>-0.43291760746858676</c:v>
                </c:pt>
                <c:pt idx="91">
                  <c:v>-0.43291760746858676</c:v>
                </c:pt>
                <c:pt idx="92">
                  <c:v>-0.43291760746858676</c:v>
                </c:pt>
                <c:pt idx="93">
                  <c:v>-0.43291760746858676</c:v>
                </c:pt>
                <c:pt idx="94">
                  <c:v>-0.43291760746858676</c:v>
                </c:pt>
                <c:pt idx="95">
                  <c:v>-0.43291760746858676</c:v>
                </c:pt>
                <c:pt idx="96">
                  <c:v>-0.43291760746858676</c:v>
                </c:pt>
                <c:pt idx="97">
                  <c:v>-0.43291760746858676</c:v>
                </c:pt>
                <c:pt idx="98">
                  <c:v>-0.43291760746858676</c:v>
                </c:pt>
                <c:pt idx="99">
                  <c:v>-0.43291760746858676</c:v>
                </c:pt>
                <c:pt idx="100">
                  <c:v>-0.43291760746858676</c:v>
                </c:pt>
                <c:pt idx="101">
                  <c:v>-0.43291760746858676</c:v>
                </c:pt>
                <c:pt idx="102">
                  <c:v>-0.43291760746858676</c:v>
                </c:pt>
                <c:pt idx="103">
                  <c:v>-0.43291760746858676</c:v>
                </c:pt>
                <c:pt idx="104">
                  <c:v>-0.43291760746858676</c:v>
                </c:pt>
                <c:pt idx="105">
                  <c:v>-0.43291760746858676</c:v>
                </c:pt>
                <c:pt idx="106">
                  <c:v>-0.43291760746858676</c:v>
                </c:pt>
                <c:pt idx="107">
                  <c:v>-0.43291760746858676</c:v>
                </c:pt>
                <c:pt idx="108">
                  <c:v>0.14820169229813929</c:v>
                </c:pt>
                <c:pt idx="109">
                  <c:v>0.14820169229813929</c:v>
                </c:pt>
                <c:pt idx="110">
                  <c:v>0.14820169229813929</c:v>
                </c:pt>
                <c:pt idx="111">
                  <c:v>0.14820169229813929</c:v>
                </c:pt>
                <c:pt idx="112">
                  <c:v>0.14820169229813929</c:v>
                </c:pt>
                <c:pt idx="113">
                  <c:v>0.14820169229813929</c:v>
                </c:pt>
                <c:pt idx="114">
                  <c:v>0.14820169229813929</c:v>
                </c:pt>
                <c:pt idx="115">
                  <c:v>1.3495058802125319</c:v>
                </c:pt>
                <c:pt idx="116">
                  <c:v>1.3495058802125319</c:v>
                </c:pt>
                <c:pt idx="117">
                  <c:v>1.3495058802125319</c:v>
                </c:pt>
                <c:pt idx="118">
                  <c:v>1.3495058802125319</c:v>
                </c:pt>
                <c:pt idx="119">
                  <c:v>1.3495058802125319</c:v>
                </c:pt>
                <c:pt idx="120">
                  <c:v>1.3495058802125319</c:v>
                </c:pt>
                <c:pt idx="121">
                  <c:v>1.3495058802125319</c:v>
                </c:pt>
                <c:pt idx="122">
                  <c:v>1.3495058802125319</c:v>
                </c:pt>
                <c:pt idx="123">
                  <c:v>1.3495058802125319</c:v>
                </c:pt>
                <c:pt idx="124">
                  <c:v>1.3495058802125319</c:v>
                </c:pt>
                <c:pt idx="125">
                  <c:v>1.3495058802125319</c:v>
                </c:pt>
                <c:pt idx="126">
                  <c:v>1.3495058802125319</c:v>
                </c:pt>
                <c:pt idx="127">
                  <c:v>1.3495058802125319</c:v>
                </c:pt>
                <c:pt idx="128">
                  <c:v>1.3495058802125319</c:v>
                </c:pt>
                <c:pt idx="129">
                  <c:v>1.3495058802125319</c:v>
                </c:pt>
                <c:pt idx="130">
                  <c:v>1.3495058802125319</c:v>
                </c:pt>
                <c:pt idx="131">
                  <c:v>1.3495058802125319</c:v>
                </c:pt>
                <c:pt idx="132">
                  <c:v>1.3495058802125319</c:v>
                </c:pt>
                <c:pt idx="133">
                  <c:v>1.3495058802125319</c:v>
                </c:pt>
                <c:pt idx="134">
                  <c:v>1.3495058802125319</c:v>
                </c:pt>
                <c:pt idx="135">
                  <c:v>1.3495058802125319</c:v>
                </c:pt>
                <c:pt idx="136">
                  <c:v>1.3495058802125319</c:v>
                </c:pt>
                <c:pt idx="137">
                  <c:v>1.3495058802125319</c:v>
                </c:pt>
                <c:pt idx="138">
                  <c:v>1.3495058802125319</c:v>
                </c:pt>
                <c:pt idx="139">
                  <c:v>1.3495058802125319</c:v>
                </c:pt>
                <c:pt idx="140">
                  <c:v>1.3495058802125319</c:v>
                </c:pt>
                <c:pt idx="141">
                  <c:v>1.3495058802125319</c:v>
                </c:pt>
                <c:pt idx="142">
                  <c:v>1.3495058802125319</c:v>
                </c:pt>
                <c:pt idx="143">
                  <c:v>1.3495058802125319</c:v>
                </c:pt>
                <c:pt idx="144">
                  <c:v>1.3495058802125319</c:v>
                </c:pt>
                <c:pt idx="145">
                  <c:v>1.3495058802125319</c:v>
                </c:pt>
                <c:pt idx="146">
                  <c:v>1.3495058802125319</c:v>
                </c:pt>
                <c:pt idx="147">
                  <c:v>1.3495058802125319</c:v>
                </c:pt>
                <c:pt idx="148">
                  <c:v>1.3495058802125319</c:v>
                </c:pt>
                <c:pt idx="149">
                  <c:v>1.3495058802125319</c:v>
                </c:pt>
                <c:pt idx="150">
                  <c:v>1.3495058802125319</c:v>
                </c:pt>
                <c:pt idx="151">
                  <c:v>1.3495058802125319</c:v>
                </c:pt>
                <c:pt idx="152">
                  <c:v>1.3495058802125319</c:v>
                </c:pt>
                <c:pt idx="153">
                  <c:v>1.3495058802125319</c:v>
                </c:pt>
                <c:pt idx="154">
                  <c:v>1.3495058802125319</c:v>
                </c:pt>
                <c:pt idx="155">
                  <c:v>1.3495058802125319</c:v>
                </c:pt>
                <c:pt idx="156">
                  <c:v>1.3495058802125319</c:v>
                </c:pt>
                <c:pt idx="157">
                  <c:v>1.3495058802125319</c:v>
                </c:pt>
                <c:pt idx="158">
                  <c:v>1.3495058802125319</c:v>
                </c:pt>
                <c:pt idx="159">
                  <c:v>1.3495058802125319</c:v>
                </c:pt>
                <c:pt idx="160">
                  <c:v>1.3495058802125319</c:v>
                </c:pt>
                <c:pt idx="161">
                  <c:v>1.3495058802125319</c:v>
                </c:pt>
                <c:pt idx="162">
                  <c:v>1.3495058802125319</c:v>
                </c:pt>
                <c:pt idx="163">
                  <c:v>1.3495058802125319</c:v>
                </c:pt>
                <c:pt idx="164">
                  <c:v>1.3495058802125319</c:v>
                </c:pt>
                <c:pt idx="165">
                  <c:v>1.3495058802125319</c:v>
                </c:pt>
                <c:pt idx="166">
                  <c:v>1.3495058802125319</c:v>
                </c:pt>
                <c:pt idx="167">
                  <c:v>1.3495058802125319</c:v>
                </c:pt>
                <c:pt idx="168">
                  <c:v>1.3495058802125319</c:v>
                </c:pt>
                <c:pt idx="169">
                  <c:v>1.3495058802125319</c:v>
                </c:pt>
                <c:pt idx="170">
                  <c:v>1.3495058802125319</c:v>
                </c:pt>
                <c:pt idx="171">
                  <c:v>1.3495058802125319</c:v>
                </c:pt>
                <c:pt idx="172">
                  <c:v>1.3495058802125319</c:v>
                </c:pt>
                <c:pt idx="173">
                  <c:v>1.3495058802125319</c:v>
                </c:pt>
                <c:pt idx="174">
                  <c:v>1.3495058802125319</c:v>
                </c:pt>
                <c:pt idx="175">
                  <c:v>1.3495058802125319</c:v>
                </c:pt>
                <c:pt idx="176">
                  <c:v>1.3495058802125319</c:v>
                </c:pt>
                <c:pt idx="177">
                  <c:v>2.6571865116636566</c:v>
                </c:pt>
                <c:pt idx="178">
                  <c:v>2.6571865116636566</c:v>
                </c:pt>
                <c:pt idx="179">
                  <c:v>2.6571865116636566</c:v>
                </c:pt>
                <c:pt idx="180">
                  <c:v>2.6571865116636566</c:v>
                </c:pt>
                <c:pt idx="181">
                  <c:v>2.6571865116636566</c:v>
                </c:pt>
                <c:pt idx="182">
                  <c:v>2.6571865116636566</c:v>
                </c:pt>
                <c:pt idx="183">
                  <c:v>2.6571865116636566</c:v>
                </c:pt>
                <c:pt idx="184">
                  <c:v>2.6571865116636566</c:v>
                </c:pt>
                <c:pt idx="185">
                  <c:v>2.6571865116636566</c:v>
                </c:pt>
                <c:pt idx="186">
                  <c:v>2.6571865116636566</c:v>
                </c:pt>
                <c:pt idx="187">
                  <c:v>2.6571865116636566</c:v>
                </c:pt>
                <c:pt idx="188">
                  <c:v>2.6571865116636566</c:v>
                </c:pt>
                <c:pt idx="189">
                  <c:v>2.6571865116636566</c:v>
                </c:pt>
                <c:pt idx="190">
                  <c:v>2.6571865116636566</c:v>
                </c:pt>
                <c:pt idx="191">
                  <c:v>2.6571865116636566</c:v>
                </c:pt>
                <c:pt idx="192">
                  <c:v>2.6571865116636566</c:v>
                </c:pt>
                <c:pt idx="193">
                  <c:v>2.6571865116636566</c:v>
                </c:pt>
                <c:pt idx="194">
                  <c:v>2.6571865116636566</c:v>
                </c:pt>
                <c:pt idx="195">
                  <c:v>2.6571865116636566</c:v>
                </c:pt>
                <c:pt idx="196">
                  <c:v>2.6571865116636566</c:v>
                </c:pt>
                <c:pt idx="197">
                  <c:v>2.6571865116636566</c:v>
                </c:pt>
                <c:pt idx="198">
                  <c:v>2.6571865116636566</c:v>
                </c:pt>
                <c:pt idx="199">
                  <c:v>2.6571865116636566</c:v>
                </c:pt>
                <c:pt idx="200">
                  <c:v>2.6571865116636566</c:v>
                </c:pt>
                <c:pt idx="201">
                  <c:v>2.6571865116636566</c:v>
                </c:pt>
                <c:pt idx="202">
                  <c:v>2.6571865116636566</c:v>
                </c:pt>
                <c:pt idx="203">
                  <c:v>2.6571865116636566</c:v>
                </c:pt>
                <c:pt idx="204">
                  <c:v>2.6571865116636566</c:v>
                </c:pt>
                <c:pt idx="205">
                  <c:v>2.6571865116636566</c:v>
                </c:pt>
                <c:pt idx="206">
                  <c:v>2.6571865116636566</c:v>
                </c:pt>
                <c:pt idx="207">
                  <c:v>2.6571865116636566</c:v>
                </c:pt>
                <c:pt idx="208">
                  <c:v>2.6571865116636566</c:v>
                </c:pt>
                <c:pt idx="209">
                  <c:v>2.6571865116636566</c:v>
                </c:pt>
                <c:pt idx="210">
                  <c:v>2.6571865116636566</c:v>
                </c:pt>
                <c:pt idx="211">
                  <c:v>2.6571865116636566</c:v>
                </c:pt>
                <c:pt idx="212">
                  <c:v>2.6571865116636566</c:v>
                </c:pt>
                <c:pt idx="213">
                  <c:v>2.6571865116636566</c:v>
                </c:pt>
                <c:pt idx="214">
                  <c:v>2.6571865116636566</c:v>
                </c:pt>
                <c:pt idx="215">
                  <c:v>2.6571865116636566</c:v>
                </c:pt>
                <c:pt idx="216">
                  <c:v>2.6571865116636566</c:v>
                </c:pt>
                <c:pt idx="217">
                  <c:v>2.6571865116636566</c:v>
                </c:pt>
                <c:pt idx="218">
                  <c:v>2.6571865116636566</c:v>
                </c:pt>
                <c:pt idx="219">
                  <c:v>2.6571865116636566</c:v>
                </c:pt>
                <c:pt idx="220">
                  <c:v>2.6571865116636566</c:v>
                </c:pt>
                <c:pt idx="221">
                  <c:v>2.6571865116636566</c:v>
                </c:pt>
                <c:pt idx="222">
                  <c:v>2.6571865116636566</c:v>
                </c:pt>
                <c:pt idx="223">
                  <c:v>2.6571865116636566</c:v>
                </c:pt>
                <c:pt idx="224">
                  <c:v>2.6571865116636566</c:v>
                </c:pt>
                <c:pt idx="225">
                  <c:v>2.6571865116636566</c:v>
                </c:pt>
                <c:pt idx="226">
                  <c:v>2.6571865116636566</c:v>
                </c:pt>
                <c:pt idx="227">
                  <c:v>2.6571865116636566</c:v>
                </c:pt>
                <c:pt idx="228">
                  <c:v>2.6571865116636566</c:v>
                </c:pt>
                <c:pt idx="229">
                  <c:v>2.6571865116636566</c:v>
                </c:pt>
                <c:pt idx="230">
                  <c:v>2.6571865116636566</c:v>
                </c:pt>
                <c:pt idx="231">
                  <c:v>2.6571865116636566</c:v>
                </c:pt>
                <c:pt idx="232">
                  <c:v>2.6571865116636566</c:v>
                </c:pt>
                <c:pt idx="233">
                  <c:v>2.6571865116636566</c:v>
                </c:pt>
                <c:pt idx="234">
                  <c:v>2.6571865116636566</c:v>
                </c:pt>
                <c:pt idx="235">
                  <c:v>2.6571865116636566</c:v>
                </c:pt>
                <c:pt idx="236">
                  <c:v>2.6571865116636566</c:v>
                </c:pt>
                <c:pt idx="237">
                  <c:v>2.6571865116636566</c:v>
                </c:pt>
                <c:pt idx="238">
                  <c:v>2.6571865116636566</c:v>
                </c:pt>
                <c:pt idx="239">
                  <c:v>2.700331529683047</c:v>
                </c:pt>
                <c:pt idx="240">
                  <c:v>2.700331529683047</c:v>
                </c:pt>
                <c:pt idx="241">
                  <c:v>2.700331529683047</c:v>
                </c:pt>
                <c:pt idx="242">
                  <c:v>2.700331529683047</c:v>
                </c:pt>
                <c:pt idx="243">
                  <c:v>2.700331529683047</c:v>
                </c:pt>
                <c:pt idx="244">
                  <c:v>2.700331529683047</c:v>
                </c:pt>
                <c:pt idx="245">
                  <c:v>2.700331529683047</c:v>
                </c:pt>
                <c:pt idx="246">
                  <c:v>2.700331529683047</c:v>
                </c:pt>
                <c:pt idx="247">
                  <c:v>2.700331529683047</c:v>
                </c:pt>
                <c:pt idx="248">
                  <c:v>2.700331529683047</c:v>
                </c:pt>
                <c:pt idx="249">
                  <c:v>2.700331529683047</c:v>
                </c:pt>
                <c:pt idx="250">
                  <c:v>2.700331529683047</c:v>
                </c:pt>
                <c:pt idx="251">
                  <c:v>2.700331529683047</c:v>
                </c:pt>
                <c:pt idx="252">
                  <c:v>2.700331529683047</c:v>
                </c:pt>
                <c:pt idx="253">
                  <c:v>2.700331529683047</c:v>
                </c:pt>
                <c:pt idx="254">
                  <c:v>2.700331529683047</c:v>
                </c:pt>
                <c:pt idx="255">
                  <c:v>2.700331529683047</c:v>
                </c:pt>
                <c:pt idx="256">
                  <c:v>2.700331529683047</c:v>
                </c:pt>
                <c:pt idx="257">
                  <c:v>2.700331529683047</c:v>
                </c:pt>
                <c:pt idx="258">
                  <c:v>2.700331529683047</c:v>
                </c:pt>
                <c:pt idx="259">
                  <c:v>2.700331529683047</c:v>
                </c:pt>
                <c:pt idx="260">
                  <c:v>2.700331529683047</c:v>
                </c:pt>
                <c:pt idx="261">
                  <c:v>2.700331529683047</c:v>
                </c:pt>
                <c:pt idx="262">
                  <c:v>2.700331529683047</c:v>
                </c:pt>
                <c:pt idx="263">
                  <c:v>2.700331529683047</c:v>
                </c:pt>
                <c:pt idx="264">
                  <c:v>2.700331529683047</c:v>
                </c:pt>
                <c:pt idx="265">
                  <c:v>2.700331529683047</c:v>
                </c:pt>
                <c:pt idx="266">
                  <c:v>2.700331529683047</c:v>
                </c:pt>
                <c:pt idx="267">
                  <c:v>2.700331529683047</c:v>
                </c:pt>
                <c:pt idx="268">
                  <c:v>2.700331529683047</c:v>
                </c:pt>
                <c:pt idx="269">
                  <c:v>2.700331529683047</c:v>
                </c:pt>
                <c:pt idx="270">
                  <c:v>2.700331529683047</c:v>
                </c:pt>
                <c:pt idx="271">
                  <c:v>2.700331529683047</c:v>
                </c:pt>
                <c:pt idx="272">
                  <c:v>2.700331529683047</c:v>
                </c:pt>
                <c:pt idx="273">
                  <c:v>2.700331529683047</c:v>
                </c:pt>
                <c:pt idx="274">
                  <c:v>2.700331529683047</c:v>
                </c:pt>
                <c:pt idx="275">
                  <c:v>2.700331529683047</c:v>
                </c:pt>
                <c:pt idx="276">
                  <c:v>2.700331529683047</c:v>
                </c:pt>
                <c:pt idx="277">
                  <c:v>2.700331529683047</c:v>
                </c:pt>
                <c:pt idx="278">
                  <c:v>2.700331529683047</c:v>
                </c:pt>
                <c:pt idx="279">
                  <c:v>2.700331529683047</c:v>
                </c:pt>
                <c:pt idx="280">
                  <c:v>2.700331529683047</c:v>
                </c:pt>
                <c:pt idx="281">
                  <c:v>2.700331529683047</c:v>
                </c:pt>
                <c:pt idx="282">
                  <c:v>2.700331529683047</c:v>
                </c:pt>
                <c:pt idx="283">
                  <c:v>2.700331529683047</c:v>
                </c:pt>
                <c:pt idx="284">
                  <c:v>2.700331529683047</c:v>
                </c:pt>
                <c:pt idx="285">
                  <c:v>2.700331529683047</c:v>
                </c:pt>
                <c:pt idx="286">
                  <c:v>2.700331529683047</c:v>
                </c:pt>
                <c:pt idx="287">
                  <c:v>2.700331529683047</c:v>
                </c:pt>
                <c:pt idx="288">
                  <c:v>2.700331529683047</c:v>
                </c:pt>
                <c:pt idx="289">
                  <c:v>2.700331529683047</c:v>
                </c:pt>
                <c:pt idx="290">
                  <c:v>2.700331529683047</c:v>
                </c:pt>
                <c:pt idx="291">
                  <c:v>2.700331529683047</c:v>
                </c:pt>
                <c:pt idx="292">
                  <c:v>2.700331529683047</c:v>
                </c:pt>
                <c:pt idx="293">
                  <c:v>2.700331529683047</c:v>
                </c:pt>
                <c:pt idx="294">
                  <c:v>2.700331529683047</c:v>
                </c:pt>
                <c:pt idx="295">
                  <c:v>2.700331529683047</c:v>
                </c:pt>
                <c:pt idx="296">
                  <c:v>2.700331529683047</c:v>
                </c:pt>
                <c:pt idx="297">
                  <c:v>2.700331529683047</c:v>
                </c:pt>
                <c:pt idx="298">
                  <c:v>2.700331529683047</c:v>
                </c:pt>
                <c:pt idx="299">
                  <c:v>2.700331529683047</c:v>
                </c:pt>
                <c:pt idx="300">
                  <c:v>2.700331529683047</c:v>
                </c:pt>
                <c:pt idx="301">
                  <c:v>2.700331529683047</c:v>
                </c:pt>
                <c:pt idx="302">
                  <c:v>2.700331529683047</c:v>
                </c:pt>
                <c:pt idx="303">
                  <c:v>2.700331529683047</c:v>
                </c:pt>
                <c:pt idx="304">
                  <c:v>2.700331529683047</c:v>
                </c:pt>
                <c:pt idx="305">
                  <c:v>2.700331529683047</c:v>
                </c:pt>
                <c:pt idx="306">
                  <c:v>2.700331529683047</c:v>
                </c:pt>
                <c:pt idx="307">
                  <c:v>2.700331529683047</c:v>
                </c:pt>
                <c:pt idx="308">
                  <c:v>2.700331529683047</c:v>
                </c:pt>
                <c:pt idx="309">
                  <c:v>2.700331529683047</c:v>
                </c:pt>
                <c:pt idx="310">
                  <c:v>2.700331529683047</c:v>
                </c:pt>
                <c:pt idx="311">
                  <c:v>2.700331529683047</c:v>
                </c:pt>
                <c:pt idx="312">
                  <c:v>2.700331529683047</c:v>
                </c:pt>
                <c:pt idx="313">
                  <c:v>2.700331529683047</c:v>
                </c:pt>
                <c:pt idx="314">
                  <c:v>2.700331529683047</c:v>
                </c:pt>
                <c:pt idx="315">
                  <c:v>2.700331529683047</c:v>
                </c:pt>
                <c:pt idx="316">
                  <c:v>2.700331529683047</c:v>
                </c:pt>
                <c:pt idx="317">
                  <c:v>2.700331529683047</c:v>
                </c:pt>
                <c:pt idx="318">
                  <c:v>2.700331529683047</c:v>
                </c:pt>
                <c:pt idx="319">
                  <c:v>2.700331529683047</c:v>
                </c:pt>
                <c:pt idx="320">
                  <c:v>2.700331529683047</c:v>
                </c:pt>
                <c:pt idx="321">
                  <c:v>2.700331529683047</c:v>
                </c:pt>
                <c:pt idx="322">
                  <c:v>2.700331529683047</c:v>
                </c:pt>
                <c:pt idx="323">
                  <c:v>2.700331529683047</c:v>
                </c:pt>
                <c:pt idx="324">
                  <c:v>2.700331529683047</c:v>
                </c:pt>
                <c:pt idx="325">
                  <c:v>3.4887162328793941</c:v>
                </c:pt>
                <c:pt idx="326">
                  <c:v>3.4887162328793941</c:v>
                </c:pt>
                <c:pt idx="327">
                  <c:v>3.4887162328793941</c:v>
                </c:pt>
                <c:pt idx="328">
                  <c:v>3.4887162328793941</c:v>
                </c:pt>
                <c:pt idx="329">
                  <c:v>3.4887162328793941</c:v>
                </c:pt>
                <c:pt idx="330">
                  <c:v>3.4887162328793941</c:v>
                </c:pt>
                <c:pt idx="331">
                  <c:v>3.4887162328793941</c:v>
                </c:pt>
                <c:pt idx="332">
                  <c:v>3.4887162328793941</c:v>
                </c:pt>
                <c:pt idx="333">
                  <c:v>3.4887162328793941</c:v>
                </c:pt>
                <c:pt idx="334">
                  <c:v>3.4887162328793941</c:v>
                </c:pt>
                <c:pt idx="335">
                  <c:v>3.4887162328793941</c:v>
                </c:pt>
                <c:pt idx="336">
                  <c:v>3.4887162328793941</c:v>
                </c:pt>
                <c:pt idx="337">
                  <c:v>3.4887162328793941</c:v>
                </c:pt>
                <c:pt idx="338">
                  <c:v>3.4887162328793941</c:v>
                </c:pt>
                <c:pt idx="339">
                  <c:v>3.4887162328793941</c:v>
                </c:pt>
                <c:pt idx="340">
                  <c:v>3.4887162328793941</c:v>
                </c:pt>
                <c:pt idx="341">
                  <c:v>3.4887162328793941</c:v>
                </c:pt>
                <c:pt idx="342">
                  <c:v>3.4887162328793941</c:v>
                </c:pt>
                <c:pt idx="343">
                  <c:v>3.4887162328793941</c:v>
                </c:pt>
                <c:pt idx="344">
                  <c:v>3.4887162328793941</c:v>
                </c:pt>
                <c:pt idx="345">
                  <c:v>3.4887162328793941</c:v>
                </c:pt>
                <c:pt idx="346">
                  <c:v>3.4887162328793941</c:v>
                </c:pt>
                <c:pt idx="347">
                  <c:v>3.4887162328793941</c:v>
                </c:pt>
                <c:pt idx="348">
                  <c:v>3.4887162328793941</c:v>
                </c:pt>
                <c:pt idx="349">
                  <c:v>3.4887162328793941</c:v>
                </c:pt>
                <c:pt idx="350">
                  <c:v>3.4887162328793941</c:v>
                </c:pt>
                <c:pt idx="351">
                  <c:v>3.4887162328793941</c:v>
                </c:pt>
                <c:pt idx="352">
                  <c:v>3.4887162328793941</c:v>
                </c:pt>
                <c:pt idx="353">
                  <c:v>3.4887162328793941</c:v>
                </c:pt>
                <c:pt idx="354">
                  <c:v>3.4887162328793941</c:v>
                </c:pt>
                <c:pt idx="355">
                  <c:v>3.4887162328793941</c:v>
                </c:pt>
                <c:pt idx="356">
                  <c:v>3.4887162328793941</c:v>
                </c:pt>
                <c:pt idx="357">
                  <c:v>3.4887162328793941</c:v>
                </c:pt>
                <c:pt idx="358">
                  <c:v>3.4887162328793941</c:v>
                </c:pt>
                <c:pt idx="359">
                  <c:v>3.4887162328793941</c:v>
                </c:pt>
                <c:pt idx="360">
                  <c:v>3.4887162328793941</c:v>
                </c:pt>
                <c:pt idx="361">
                  <c:v>3.4887162328793941</c:v>
                </c:pt>
                <c:pt idx="362">
                  <c:v>3.4887162328793941</c:v>
                </c:pt>
                <c:pt idx="363">
                  <c:v>3.4887162328793941</c:v>
                </c:pt>
                <c:pt idx="364">
                  <c:v>3.4887162328793941</c:v>
                </c:pt>
                <c:pt idx="365">
                  <c:v>3.4887162328793941</c:v>
                </c:pt>
                <c:pt idx="366">
                  <c:v>3.4887162328793941</c:v>
                </c:pt>
                <c:pt idx="367">
                  <c:v>3.4887162328793941</c:v>
                </c:pt>
                <c:pt idx="368">
                  <c:v>3.4887162328793941</c:v>
                </c:pt>
                <c:pt idx="369">
                  <c:v>3.4887162328793941</c:v>
                </c:pt>
                <c:pt idx="370">
                  <c:v>3.4887162328793941</c:v>
                </c:pt>
                <c:pt idx="371">
                  <c:v>3.4887162328793941</c:v>
                </c:pt>
                <c:pt idx="372">
                  <c:v>3.4887162328793941</c:v>
                </c:pt>
                <c:pt idx="373">
                  <c:v>3.4887162328793941</c:v>
                </c:pt>
                <c:pt idx="374">
                  <c:v>3.4887162328793941</c:v>
                </c:pt>
                <c:pt idx="375">
                  <c:v>3.4887162328793941</c:v>
                </c:pt>
                <c:pt idx="376">
                  <c:v>3.4887162328793941</c:v>
                </c:pt>
                <c:pt idx="377">
                  <c:v>3.4887162328793941</c:v>
                </c:pt>
                <c:pt idx="378">
                  <c:v>3.4887162328793941</c:v>
                </c:pt>
                <c:pt idx="379">
                  <c:v>3.4887162328793941</c:v>
                </c:pt>
                <c:pt idx="380">
                  <c:v>3.4887162328793941</c:v>
                </c:pt>
                <c:pt idx="381">
                  <c:v>3.4887162328793941</c:v>
                </c:pt>
                <c:pt idx="382">
                  <c:v>3.4887162328793941</c:v>
                </c:pt>
                <c:pt idx="383">
                  <c:v>3.4887162328793941</c:v>
                </c:pt>
                <c:pt idx="384">
                  <c:v>3.4887162328793941</c:v>
                </c:pt>
                <c:pt idx="385">
                  <c:v>3.4887162328793941</c:v>
                </c:pt>
                <c:pt idx="386">
                  <c:v>3.4887162328793941</c:v>
                </c:pt>
                <c:pt idx="387">
                  <c:v>3.4887162328793941</c:v>
                </c:pt>
                <c:pt idx="388">
                  <c:v>3.4887162328793941</c:v>
                </c:pt>
                <c:pt idx="389">
                  <c:v>3.4887162328793941</c:v>
                </c:pt>
                <c:pt idx="390">
                  <c:v>3.4887162328793941</c:v>
                </c:pt>
                <c:pt idx="391">
                  <c:v>3.4887162328793941</c:v>
                </c:pt>
                <c:pt idx="392">
                  <c:v>3.4887162328793941</c:v>
                </c:pt>
                <c:pt idx="393">
                  <c:v>3.4887162328793941</c:v>
                </c:pt>
                <c:pt idx="394">
                  <c:v>3.4887162328793941</c:v>
                </c:pt>
                <c:pt idx="395">
                  <c:v>3.4887162328793941</c:v>
                </c:pt>
                <c:pt idx="396">
                  <c:v>3.4887162328793941</c:v>
                </c:pt>
                <c:pt idx="397">
                  <c:v>3.4887162328793941</c:v>
                </c:pt>
                <c:pt idx="398">
                  <c:v>3.4887162328793941</c:v>
                </c:pt>
                <c:pt idx="399">
                  <c:v>3.4887162328793941</c:v>
                </c:pt>
                <c:pt idx="400">
                  <c:v>3.4887162328793941</c:v>
                </c:pt>
                <c:pt idx="401">
                  <c:v>3.4887162328793941</c:v>
                </c:pt>
                <c:pt idx="402">
                  <c:v>3.4887162328793941</c:v>
                </c:pt>
                <c:pt idx="403">
                  <c:v>3.4887162328793941</c:v>
                </c:pt>
                <c:pt idx="404">
                  <c:v>3.4887162328793941</c:v>
                </c:pt>
                <c:pt idx="405">
                  <c:v>3.4887162328793941</c:v>
                </c:pt>
                <c:pt idx="406">
                  <c:v>3.4887162328793941</c:v>
                </c:pt>
                <c:pt idx="407">
                  <c:v>3.4887162328793941</c:v>
                </c:pt>
                <c:pt idx="408">
                  <c:v>3.4887162328793941</c:v>
                </c:pt>
                <c:pt idx="409">
                  <c:v>3.4887162328793941</c:v>
                </c:pt>
                <c:pt idx="410">
                  <c:v>3.4887162328793941</c:v>
                </c:pt>
                <c:pt idx="411">
                  <c:v>3.4887162328793941</c:v>
                </c:pt>
                <c:pt idx="412">
                  <c:v>3.4887162328793941</c:v>
                </c:pt>
                <c:pt idx="413">
                  <c:v>3.4887162328793941</c:v>
                </c:pt>
                <c:pt idx="414">
                  <c:v>3.4887162328793941</c:v>
                </c:pt>
                <c:pt idx="415">
                  <c:v>3.4887162328793941</c:v>
                </c:pt>
                <c:pt idx="416">
                  <c:v>3.4887162328793941</c:v>
                </c:pt>
                <c:pt idx="417">
                  <c:v>3.4887162328793941</c:v>
                </c:pt>
                <c:pt idx="418">
                  <c:v>3.4887162328793941</c:v>
                </c:pt>
              </c:numCache>
            </c:numRef>
          </c:val>
          <c:smooth val="0"/>
          <c:extLst>
            <c:ext xmlns:c16="http://schemas.microsoft.com/office/drawing/2014/chart" uri="{C3380CC4-5D6E-409C-BE32-E72D297353CC}">
              <c16:uniqueId val="{00000001-7AEE-4D62-9FE5-2B87AD6DF366}"/>
            </c:ext>
          </c:extLst>
        </c:ser>
        <c:ser>
          <c:idx val="7"/>
          <c:order val="2"/>
          <c:tx>
            <c:v>IGV</c:v>
          </c:tx>
          <c:spPr>
            <a:ln w="28575" cap="rnd">
              <a:solidFill>
                <a:schemeClr val="accent3">
                  <a:lumMod val="60000"/>
                  <a:lumOff val="40000"/>
                </a:schemeClr>
              </a:solidFill>
              <a:prstDash val="solid"/>
              <a:round/>
            </a:ln>
            <a:effectLst/>
          </c:spPr>
          <c:marker>
            <c:symbol val="none"/>
          </c:marker>
          <c:val>
            <c:numRef>
              <c:f>'2025-Q2'!$CU$4:$CU$422</c:f>
              <c:numCache>
                <c:formatCode>0.00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0.5578800557880037</c:v>
                </c:pt>
                <c:pt idx="158">
                  <c:v>0.5578800557880037</c:v>
                </c:pt>
                <c:pt idx="159">
                  <c:v>-1.6961777431035243</c:v>
                </c:pt>
                <c:pt idx="160">
                  <c:v>-1.6961777431035243</c:v>
                </c:pt>
                <c:pt idx="161">
                  <c:v>-1.6961777431035243</c:v>
                </c:pt>
                <c:pt idx="162">
                  <c:v>-1.6961777431035243</c:v>
                </c:pt>
                <c:pt idx="163">
                  <c:v>-1.6961777431035243</c:v>
                </c:pt>
                <c:pt idx="164">
                  <c:v>-1.6961777431035243</c:v>
                </c:pt>
                <c:pt idx="165">
                  <c:v>-1.6961777431035243</c:v>
                </c:pt>
                <c:pt idx="166">
                  <c:v>-1.6961777431035243</c:v>
                </c:pt>
                <c:pt idx="167">
                  <c:v>-1.6961777431035243</c:v>
                </c:pt>
                <c:pt idx="168">
                  <c:v>-1.6961777431035243</c:v>
                </c:pt>
                <c:pt idx="169">
                  <c:v>-1.6961777431035243</c:v>
                </c:pt>
                <c:pt idx="170">
                  <c:v>-1.6961777431035243</c:v>
                </c:pt>
                <c:pt idx="171">
                  <c:v>-1.6961777431035243</c:v>
                </c:pt>
                <c:pt idx="172">
                  <c:v>-1.6961777431035243</c:v>
                </c:pt>
                <c:pt idx="173">
                  <c:v>-1.6961777431035243</c:v>
                </c:pt>
                <c:pt idx="174">
                  <c:v>-1.6961777431035243</c:v>
                </c:pt>
                <c:pt idx="175">
                  <c:v>-1.6961777431035243</c:v>
                </c:pt>
                <c:pt idx="176">
                  <c:v>-1.6961777431035243</c:v>
                </c:pt>
                <c:pt idx="177">
                  <c:v>-1.6961777431035243</c:v>
                </c:pt>
                <c:pt idx="178">
                  <c:v>-1.6961777431035243</c:v>
                </c:pt>
                <c:pt idx="179">
                  <c:v>-1.6961777431035243</c:v>
                </c:pt>
                <c:pt idx="180">
                  <c:v>-1.6961777431035243</c:v>
                </c:pt>
                <c:pt idx="181">
                  <c:v>-1.6961777431035243</c:v>
                </c:pt>
                <c:pt idx="182">
                  <c:v>-1.6961777431035243</c:v>
                </c:pt>
                <c:pt idx="183">
                  <c:v>-1.1331655471946371</c:v>
                </c:pt>
                <c:pt idx="184">
                  <c:v>-1.1331655471946371</c:v>
                </c:pt>
                <c:pt idx="185">
                  <c:v>-1.1331655471946371</c:v>
                </c:pt>
                <c:pt idx="186">
                  <c:v>-1.1331655471946371</c:v>
                </c:pt>
                <c:pt idx="187">
                  <c:v>-1.1331655471946371</c:v>
                </c:pt>
                <c:pt idx="188">
                  <c:v>-1.1331655471946371</c:v>
                </c:pt>
                <c:pt idx="189">
                  <c:v>-1.1331655471946371</c:v>
                </c:pt>
                <c:pt idx="190">
                  <c:v>-1.1331655471946371</c:v>
                </c:pt>
                <c:pt idx="191">
                  <c:v>-1.1331655471946371</c:v>
                </c:pt>
                <c:pt idx="192">
                  <c:v>-1.1331655471946371</c:v>
                </c:pt>
                <c:pt idx="193">
                  <c:v>-1.1331655471946371</c:v>
                </c:pt>
                <c:pt idx="194">
                  <c:v>-1.1331655471946371</c:v>
                </c:pt>
                <c:pt idx="195">
                  <c:v>-1.1331655471946371</c:v>
                </c:pt>
                <c:pt idx="196">
                  <c:v>-1.1331655471946371</c:v>
                </c:pt>
                <c:pt idx="197">
                  <c:v>-1.1331655471946371</c:v>
                </c:pt>
                <c:pt idx="198">
                  <c:v>-1.1331655471946371</c:v>
                </c:pt>
                <c:pt idx="199">
                  <c:v>-1.1331655471946371</c:v>
                </c:pt>
                <c:pt idx="200">
                  <c:v>-1.1331655471946371</c:v>
                </c:pt>
                <c:pt idx="201">
                  <c:v>-1.1331655471946371</c:v>
                </c:pt>
                <c:pt idx="202">
                  <c:v>-1.1331655471946371</c:v>
                </c:pt>
                <c:pt idx="203">
                  <c:v>-1.1331655471946371</c:v>
                </c:pt>
                <c:pt idx="204">
                  <c:v>-1.1331655471946371</c:v>
                </c:pt>
                <c:pt idx="205">
                  <c:v>-1.1331655471946371</c:v>
                </c:pt>
                <c:pt idx="206">
                  <c:v>-1.1331655471946371</c:v>
                </c:pt>
                <c:pt idx="207">
                  <c:v>-1.1331655471946371</c:v>
                </c:pt>
                <c:pt idx="208">
                  <c:v>-1.1331655471946371</c:v>
                </c:pt>
                <c:pt idx="209">
                  <c:v>-1.1331655471946371</c:v>
                </c:pt>
                <c:pt idx="210">
                  <c:v>-1.1331655471946371</c:v>
                </c:pt>
                <c:pt idx="211">
                  <c:v>-1.1331655471946371</c:v>
                </c:pt>
                <c:pt idx="212">
                  <c:v>-1.1331655471946371</c:v>
                </c:pt>
                <c:pt idx="213">
                  <c:v>-1.1331655471946371</c:v>
                </c:pt>
                <c:pt idx="214">
                  <c:v>-1.1331655471946371</c:v>
                </c:pt>
                <c:pt idx="215">
                  <c:v>-1.1331655471946371</c:v>
                </c:pt>
                <c:pt idx="216">
                  <c:v>-1.1331655471946371</c:v>
                </c:pt>
                <c:pt idx="217">
                  <c:v>-1.1331655471946371</c:v>
                </c:pt>
                <c:pt idx="218">
                  <c:v>-1.1331655471946371</c:v>
                </c:pt>
                <c:pt idx="219">
                  <c:v>-1.1331655471946371</c:v>
                </c:pt>
                <c:pt idx="220">
                  <c:v>-1.1331655471946371</c:v>
                </c:pt>
                <c:pt idx="221">
                  <c:v>-1.1331655471946371</c:v>
                </c:pt>
                <c:pt idx="222">
                  <c:v>-1.1331655471946371</c:v>
                </c:pt>
                <c:pt idx="223">
                  <c:v>-1.1331655471946371</c:v>
                </c:pt>
                <c:pt idx="224">
                  <c:v>-1.1331655471946371</c:v>
                </c:pt>
                <c:pt idx="225">
                  <c:v>-1.1331655471946371</c:v>
                </c:pt>
                <c:pt idx="226">
                  <c:v>-2.9040943753548785</c:v>
                </c:pt>
                <c:pt idx="227">
                  <c:v>-2.9040943753548785</c:v>
                </c:pt>
                <c:pt idx="228">
                  <c:v>-2.9040943753548785</c:v>
                </c:pt>
                <c:pt idx="229">
                  <c:v>-2.9040943753548785</c:v>
                </c:pt>
                <c:pt idx="230">
                  <c:v>-2.9040943753548785</c:v>
                </c:pt>
                <c:pt idx="231">
                  <c:v>-2.9040943753548785</c:v>
                </c:pt>
                <c:pt idx="232">
                  <c:v>-2.9040943753548785</c:v>
                </c:pt>
                <c:pt idx="233">
                  <c:v>-2.9040943753548785</c:v>
                </c:pt>
                <c:pt idx="234">
                  <c:v>-2.9040943753548785</c:v>
                </c:pt>
                <c:pt idx="235">
                  <c:v>-2.9040943753548785</c:v>
                </c:pt>
                <c:pt idx="236">
                  <c:v>-2.9040943753548785</c:v>
                </c:pt>
                <c:pt idx="237">
                  <c:v>-2.9040943753548785</c:v>
                </c:pt>
                <c:pt idx="238">
                  <c:v>-2.9040943753548785</c:v>
                </c:pt>
                <c:pt idx="239">
                  <c:v>-2.9040943753548785</c:v>
                </c:pt>
                <c:pt idx="240">
                  <c:v>-2.9040943753548785</c:v>
                </c:pt>
                <c:pt idx="241">
                  <c:v>-2.9040943753548785</c:v>
                </c:pt>
                <c:pt idx="242">
                  <c:v>-2.9040943753548785</c:v>
                </c:pt>
                <c:pt idx="243">
                  <c:v>-2.9040943753548785</c:v>
                </c:pt>
                <c:pt idx="244">
                  <c:v>-2.9040943753548785</c:v>
                </c:pt>
                <c:pt idx="245">
                  <c:v>-2.9040943753548785</c:v>
                </c:pt>
                <c:pt idx="246">
                  <c:v>-2.9040943753548785</c:v>
                </c:pt>
                <c:pt idx="247">
                  <c:v>-2.9040943753548785</c:v>
                </c:pt>
                <c:pt idx="248">
                  <c:v>-2.9040943753548785</c:v>
                </c:pt>
                <c:pt idx="249">
                  <c:v>-2.9040943753548785</c:v>
                </c:pt>
                <c:pt idx="250">
                  <c:v>-2.9040943753548785</c:v>
                </c:pt>
                <c:pt idx="251">
                  <c:v>-2.9040943753548785</c:v>
                </c:pt>
                <c:pt idx="252">
                  <c:v>-2.9040943753548785</c:v>
                </c:pt>
                <c:pt idx="253">
                  <c:v>-2.9040943753548785</c:v>
                </c:pt>
                <c:pt idx="254">
                  <c:v>-2.9040943753548785</c:v>
                </c:pt>
                <c:pt idx="255">
                  <c:v>-2.9040943753548785</c:v>
                </c:pt>
                <c:pt idx="256">
                  <c:v>-2.9040943753548785</c:v>
                </c:pt>
                <c:pt idx="257">
                  <c:v>-2.9040943753548785</c:v>
                </c:pt>
                <c:pt idx="258">
                  <c:v>-2.9040943753548785</c:v>
                </c:pt>
                <c:pt idx="259">
                  <c:v>-2.9040943753548785</c:v>
                </c:pt>
                <c:pt idx="260">
                  <c:v>-2.9040943753548785</c:v>
                </c:pt>
                <c:pt idx="261">
                  <c:v>-2.9040943753548785</c:v>
                </c:pt>
                <c:pt idx="262">
                  <c:v>-2.9040943753548785</c:v>
                </c:pt>
                <c:pt idx="263">
                  <c:v>-2.9040943753548785</c:v>
                </c:pt>
                <c:pt idx="264">
                  <c:v>-2.9040943753548785</c:v>
                </c:pt>
                <c:pt idx="265">
                  <c:v>-2.9040943753548785</c:v>
                </c:pt>
                <c:pt idx="266">
                  <c:v>-2.9040943753548785</c:v>
                </c:pt>
                <c:pt idx="267">
                  <c:v>-2.9040943753548785</c:v>
                </c:pt>
                <c:pt idx="268">
                  <c:v>-2.9040943753548785</c:v>
                </c:pt>
                <c:pt idx="269">
                  <c:v>-2.9040943753548785</c:v>
                </c:pt>
                <c:pt idx="270">
                  <c:v>-2.9040943753548785</c:v>
                </c:pt>
                <c:pt idx="271">
                  <c:v>-2.9040943753548785</c:v>
                </c:pt>
                <c:pt idx="272">
                  <c:v>-2.9040943753548785</c:v>
                </c:pt>
                <c:pt idx="273">
                  <c:v>-2.9040943753548785</c:v>
                </c:pt>
                <c:pt idx="274">
                  <c:v>-2.9040943753548785</c:v>
                </c:pt>
                <c:pt idx="275">
                  <c:v>-2.9040943753548785</c:v>
                </c:pt>
                <c:pt idx="276">
                  <c:v>-2.9040943753548785</c:v>
                </c:pt>
                <c:pt idx="277">
                  <c:v>-2.9040943753548785</c:v>
                </c:pt>
                <c:pt idx="278">
                  <c:v>-2.9040943753548785</c:v>
                </c:pt>
                <c:pt idx="279">
                  <c:v>-2.9040943753548785</c:v>
                </c:pt>
                <c:pt idx="280">
                  <c:v>-2.9040943753548785</c:v>
                </c:pt>
                <c:pt idx="281">
                  <c:v>-2.9040943753548785</c:v>
                </c:pt>
                <c:pt idx="282">
                  <c:v>-2.9040943753548785</c:v>
                </c:pt>
                <c:pt idx="283">
                  <c:v>-2.9040943753548785</c:v>
                </c:pt>
                <c:pt idx="284">
                  <c:v>-2.9040943753548785</c:v>
                </c:pt>
                <c:pt idx="285">
                  <c:v>-2.9040943753548785</c:v>
                </c:pt>
                <c:pt idx="286">
                  <c:v>-2.9040943753548785</c:v>
                </c:pt>
                <c:pt idx="287">
                  <c:v>-2.9040943753548785</c:v>
                </c:pt>
                <c:pt idx="288">
                  <c:v>-2.9040943753548785</c:v>
                </c:pt>
                <c:pt idx="289">
                  <c:v>-2.9040943753548785</c:v>
                </c:pt>
                <c:pt idx="290">
                  <c:v>-2.9040943753548785</c:v>
                </c:pt>
                <c:pt idx="291">
                  <c:v>-2.9040943753548785</c:v>
                </c:pt>
                <c:pt idx="292">
                  <c:v>-2.9040943753548785</c:v>
                </c:pt>
                <c:pt idx="293">
                  <c:v>-2.9040943753548785</c:v>
                </c:pt>
                <c:pt idx="294">
                  <c:v>-2.9040943753548785</c:v>
                </c:pt>
                <c:pt idx="295">
                  <c:v>-2.9040943753548785</c:v>
                </c:pt>
                <c:pt idx="296">
                  <c:v>-2.9040943753548785</c:v>
                </c:pt>
                <c:pt idx="297">
                  <c:v>-2.9040943753548785</c:v>
                </c:pt>
                <c:pt idx="298">
                  <c:v>-2.9040943753548785</c:v>
                </c:pt>
                <c:pt idx="299">
                  <c:v>-2.9040943753548785</c:v>
                </c:pt>
                <c:pt idx="300">
                  <c:v>-2.9040943753548785</c:v>
                </c:pt>
                <c:pt idx="301">
                  <c:v>-2.9040943753548785</c:v>
                </c:pt>
                <c:pt idx="302">
                  <c:v>-2.9040943753548785</c:v>
                </c:pt>
                <c:pt idx="303">
                  <c:v>-2.9040943753548785</c:v>
                </c:pt>
                <c:pt idx="304">
                  <c:v>-2.9040943753548785</c:v>
                </c:pt>
                <c:pt idx="305">
                  <c:v>-2.9040943753548785</c:v>
                </c:pt>
                <c:pt idx="306">
                  <c:v>-0.67755161299190814</c:v>
                </c:pt>
                <c:pt idx="307">
                  <c:v>-0.67755161299190814</c:v>
                </c:pt>
                <c:pt idx="308">
                  <c:v>-0.67755161299190814</c:v>
                </c:pt>
                <c:pt idx="309">
                  <c:v>-0.67755161299190814</c:v>
                </c:pt>
                <c:pt idx="310">
                  <c:v>-0.67755161299190814</c:v>
                </c:pt>
                <c:pt idx="311">
                  <c:v>-0.67755161299190814</c:v>
                </c:pt>
                <c:pt idx="312">
                  <c:v>-0.67755161299190814</c:v>
                </c:pt>
                <c:pt idx="313">
                  <c:v>-0.67755161299190814</c:v>
                </c:pt>
                <c:pt idx="314">
                  <c:v>-0.67755161299190814</c:v>
                </c:pt>
                <c:pt idx="315">
                  <c:v>-0.67755161299190814</c:v>
                </c:pt>
                <c:pt idx="316">
                  <c:v>-0.67755161299190814</c:v>
                </c:pt>
                <c:pt idx="317">
                  <c:v>-0.67755161299190814</c:v>
                </c:pt>
                <c:pt idx="318">
                  <c:v>-0.67755161299190814</c:v>
                </c:pt>
                <c:pt idx="319">
                  <c:v>-0.67755161299190814</c:v>
                </c:pt>
                <c:pt idx="320">
                  <c:v>-0.67755161299190814</c:v>
                </c:pt>
                <c:pt idx="321">
                  <c:v>-0.35196499572459283</c:v>
                </c:pt>
                <c:pt idx="322">
                  <c:v>-0.35196499572459283</c:v>
                </c:pt>
                <c:pt idx="323">
                  <c:v>-0.35196499572459283</c:v>
                </c:pt>
                <c:pt idx="324">
                  <c:v>-0.35196499572459283</c:v>
                </c:pt>
                <c:pt idx="325">
                  <c:v>-0.35196499572459283</c:v>
                </c:pt>
                <c:pt idx="326">
                  <c:v>-0.35196499572459283</c:v>
                </c:pt>
                <c:pt idx="327">
                  <c:v>-0.35196499572459283</c:v>
                </c:pt>
                <c:pt idx="328">
                  <c:v>-0.35196499572459283</c:v>
                </c:pt>
                <c:pt idx="329">
                  <c:v>-0.35196499572459283</c:v>
                </c:pt>
                <c:pt idx="330">
                  <c:v>-0.35196499572459283</c:v>
                </c:pt>
                <c:pt idx="331">
                  <c:v>-1.2300043871274924E-2</c:v>
                </c:pt>
                <c:pt idx="332">
                  <c:v>-1.2300043871274924E-2</c:v>
                </c:pt>
                <c:pt idx="333">
                  <c:v>-1.2300043871274924E-2</c:v>
                </c:pt>
                <c:pt idx="334">
                  <c:v>-1.2300043871274924E-2</c:v>
                </c:pt>
                <c:pt idx="335">
                  <c:v>-1.2300043871274924E-2</c:v>
                </c:pt>
                <c:pt idx="336">
                  <c:v>-1.2300043871274924E-2</c:v>
                </c:pt>
                <c:pt idx="337">
                  <c:v>-1.2300043871274924E-2</c:v>
                </c:pt>
                <c:pt idx="338">
                  <c:v>-1.2300043871274924E-2</c:v>
                </c:pt>
                <c:pt idx="339">
                  <c:v>-1.2300043871274924E-2</c:v>
                </c:pt>
                <c:pt idx="340">
                  <c:v>-2.8580371411053784</c:v>
                </c:pt>
                <c:pt idx="341">
                  <c:v>-2.8580371411053784</c:v>
                </c:pt>
                <c:pt idx="342">
                  <c:v>-2.8580371411053784</c:v>
                </c:pt>
                <c:pt idx="343">
                  <c:v>-2.8580371411053784</c:v>
                </c:pt>
                <c:pt idx="344">
                  <c:v>-2.8580371411053784</c:v>
                </c:pt>
                <c:pt idx="345">
                  <c:v>-2.8580371411053784</c:v>
                </c:pt>
                <c:pt idx="346">
                  <c:v>-2.8580371411053784</c:v>
                </c:pt>
                <c:pt idx="347">
                  <c:v>-2.8580371411053784</c:v>
                </c:pt>
                <c:pt idx="348">
                  <c:v>-2.8580371411053784</c:v>
                </c:pt>
                <c:pt idx="349">
                  <c:v>-2.8580371411053784</c:v>
                </c:pt>
                <c:pt idx="350">
                  <c:v>-2.8580371411053784</c:v>
                </c:pt>
                <c:pt idx="351">
                  <c:v>-3.1872377407569323</c:v>
                </c:pt>
                <c:pt idx="352">
                  <c:v>-3.1872377407569323</c:v>
                </c:pt>
                <c:pt idx="353">
                  <c:v>-3.1872377407569323</c:v>
                </c:pt>
                <c:pt idx="354">
                  <c:v>-3.1872377407569323</c:v>
                </c:pt>
                <c:pt idx="355">
                  <c:v>-3.1872377407569323</c:v>
                </c:pt>
                <c:pt idx="356">
                  <c:v>-3.1872377407569323</c:v>
                </c:pt>
                <c:pt idx="357">
                  <c:v>-3.1872377407569323</c:v>
                </c:pt>
                <c:pt idx="358">
                  <c:v>-3.1872377407569323</c:v>
                </c:pt>
                <c:pt idx="359">
                  <c:v>-3.1872377407569323</c:v>
                </c:pt>
                <c:pt idx="360">
                  <c:v>-5.0540979850568064</c:v>
                </c:pt>
                <c:pt idx="361">
                  <c:v>-5.0540979850568064</c:v>
                </c:pt>
                <c:pt idx="362">
                  <c:v>-3.2469967661908816</c:v>
                </c:pt>
                <c:pt idx="363">
                  <c:v>-3.2469967661908816</c:v>
                </c:pt>
                <c:pt idx="364">
                  <c:v>-3.2469967661908816</c:v>
                </c:pt>
                <c:pt idx="365">
                  <c:v>-3.2469967661908816</c:v>
                </c:pt>
                <c:pt idx="366">
                  <c:v>-3.2469967661908816</c:v>
                </c:pt>
                <c:pt idx="367">
                  <c:v>-3.2469967661908816</c:v>
                </c:pt>
                <c:pt idx="368">
                  <c:v>-3.2469967661908816</c:v>
                </c:pt>
                <c:pt idx="369">
                  <c:v>-3.2469967661908816</c:v>
                </c:pt>
                <c:pt idx="370">
                  <c:v>-3.2469967661908816</c:v>
                </c:pt>
                <c:pt idx="371">
                  <c:v>-3.2469967661908816</c:v>
                </c:pt>
                <c:pt idx="372">
                  <c:v>-3.9981228515197715</c:v>
                </c:pt>
                <c:pt idx="373">
                  <c:v>-3.9981228515197715</c:v>
                </c:pt>
                <c:pt idx="374">
                  <c:v>-1.4134139027795452</c:v>
                </c:pt>
                <c:pt idx="375">
                  <c:v>-1.4134139027795452</c:v>
                </c:pt>
                <c:pt idx="376">
                  <c:v>-2.4894627481428637</c:v>
                </c:pt>
                <c:pt idx="377">
                  <c:v>-2.4894627481428637</c:v>
                </c:pt>
                <c:pt idx="378">
                  <c:v>-4.7941568677836033</c:v>
                </c:pt>
                <c:pt idx="379">
                  <c:v>-4.7941568677836033</c:v>
                </c:pt>
                <c:pt idx="380">
                  <c:v>-4.7941568677836033</c:v>
                </c:pt>
                <c:pt idx="381">
                  <c:v>-4.7941568677836033</c:v>
                </c:pt>
                <c:pt idx="382">
                  <c:v>-4.7941568677836033</c:v>
                </c:pt>
                <c:pt idx="383">
                  <c:v>-2.3212047812302816</c:v>
                </c:pt>
                <c:pt idx="384">
                  <c:v>-2.3212047812302816</c:v>
                </c:pt>
                <c:pt idx="385">
                  <c:v>-2.3212047812302816</c:v>
                </c:pt>
                <c:pt idx="386">
                  <c:v>-4.892829975913175</c:v>
                </c:pt>
                <c:pt idx="387">
                  <c:v>-4.892829975913175</c:v>
                </c:pt>
                <c:pt idx="388">
                  <c:v>-4.892829975913175</c:v>
                </c:pt>
                <c:pt idx="389">
                  <c:v>-4.892829975913175</c:v>
                </c:pt>
                <c:pt idx="390">
                  <c:v>-4.892829975913175</c:v>
                </c:pt>
                <c:pt idx="391">
                  <c:v>-4.892829975913175</c:v>
                </c:pt>
                <c:pt idx="392">
                  <c:v>-4.892829975913175</c:v>
                </c:pt>
                <c:pt idx="393">
                  <c:v>-4.892829975913175</c:v>
                </c:pt>
                <c:pt idx="394">
                  <c:v>-4.892829975913175</c:v>
                </c:pt>
                <c:pt idx="395">
                  <c:v>-6.9103738355622983</c:v>
                </c:pt>
                <c:pt idx="396">
                  <c:v>-6.9103738355622983</c:v>
                </c:pt>
                <c:pt idx="397">
                  <c:v>-6.9103738355622983</c:v>
                </c:pt>
                <c:pt idx="398">
                  <c:v>-6.9103738355622983</c:v>
                </c:pt>
                <c:pt idx="399">
                  <c:v>-6.9103738355622983</c:v>
                </c:pt>
                <c:pt idx="400">
                  <c:v>-6.9103738355622983</c:v>
                </c:pt>
                <c:pt idx="401">
                  <c:v>-6.9103738355622983</c:v>
                </c:pt>
                <c:pt idx="402">
                  <c:v>-9.802372400327279</c:v>
                </c:pt>
                <c:pt idx="403">
                  <c:v>-9.802372400327279</c:v>
                </c:pt>
                <c:pt idx="404">
                  <c:v>-9.802372400327279</c:v>
                </c:pt>
                <c:pt idx="405">
                  <c:v>-9.802372400327279</c:v>
                </c:pt>
                <c:pt idx="406">
                  <c:v>-12.045896072422382</c:v>
                </c:pt>
                <c:pt idx="407">
                  <c:v>-12.045896072422382</c:v>
                </c:pt>
                <c:pt idx="408">
                  <c:v>-12.045896072422382</c:v>
                </c:pt>
                <c:pt idx="409">
                  <c:v>-12.045896072422382</c:v>
                </c:pt>
                <c:pt idx="410">
                  <c:v>-12.045896072422382</c:v>
                </c:pt>
                <c:pt idx="411">
                  <c:v>-12.045896072422382</c:v>
                </c:pt>
                <c:pt idx="412">
                  <c:v>-12.045896072422382</c:v>
                </c:pt>
                <c:pt idx="413">
                  <c:v>-12.045896072422382</c:v>
                </c:pt>
                <c:pt idx="414">
                  <c:v>-12.045896072422382</c:v>
                </c:pt>
                <c:pt idx="415">
                  <c:v>-12.045896072422382</c:v>
                </c:pt>
                <c:pt idx="416">
                  <c:v>-12.045896072422382</c:v>
                </c:pt>
                <c:pt idx="417">
                  <c:v>-12.045896072422382</c:v>
                </c:pt>
                <c:pt idx="418">
                  <c:v>-12.045896072422382</c:v>
                </c:pt>
              </c:numCache>
            </c:numRef>
          </c:val>
          <c:smooth val="0"/>
          <c:extLst>
            <c:ext xmlns:c16="http://schemas.microsoft.com/office/drawing/2014/chart" uri="{C3380CC4-5D6E-409C-BE32-E72D297353CC}">
              <c16:uniqueId val="{00000002-7AEE-4D62-9FE5-2B87AD6DF366}"/>
            </c:ext>
          </c:extLst>
        </c:ser>
        <c:ser>
          <c:idx val="9"/>
          <c:order val="3"/>
          <c:tx>
            <c:v>XLI</c:v>
          </c:tx>
          <c:spPr>
            <a:ln w="28575" cap="rnd">
              <a:solidFill>
                <a:schemeClr val="bg1"/>
              </a:solidFill>
              <a:round/>
            </a:ln>
            <a:effectLst/>
          </c:spPr>
          <c:marker>
            <c:symbol val="none"/>
          </c:marker>
          <c:val>
            <c:numRef>
              <c:f>'2025-Q2'!$ED$4:$ED$422</c:f>
              <c:numCache>
                <c:formatCode>0.00</c:formatCode>
                <c:ptCount val="419"/>
                <c:pt idx="0">
                  <c:v>0</c:v>
                </c:pt>
                <c:pt idx="1">
                  <c:v>0</c:v>
                </c:pt>
                <c:pt idx="2">
                  <c:v>0</c:v>
                </c:pt>
                <c:pt idx="3">
                  <c:v>0</c:v>
                </c:pt>
                <c:pt idx="4">
                  <c:v>0</c:v>
                </c:pt>
                <c:pt idx="5">
                  <c:v>0</c:v>
                </c:pt>
                <c:pt idx="6">
                  <c:v>0</c:v>
                </c:pt>
                <c:pt idx="7">
                  <c:v>-0.12754541056428245</c:v>
                </c:pt>
                <c:pt idx="8">
                  <c:v>-0.12754541056428245</c:v>
                </c:pt>
                <c:pt idx="9">
                  <c:v>-0.12754541056428245</c:v>
                </c:pt>
                <c:pt idx="10">
                  <c:v>-0.12754541056428245</c:v>
                </c:pt>
                <c:pt idx="11">
                  <c:v>-0.12754541056428245</c:v>
                </c:pt>
                <c:pt idx="12">
                  <c:v>-0.12754541056428245</c:v>
                </c:pt>
                <c:pt idx="13">
                  <c:v>-0.12754541056428245</c:v>
                </c:pt>
                <c:pt idx="14">
                  <c:v>-0.12754541056428245</c:v>
                </c:pt>
                <c:pt idx="15">
                  <c:v>0.52792722625163879</c:v>
                </c:pt>
                <c:pt idx="16">
                  <c:v>0.52792722625163879</c:v>
                </c:pt>
                <c:pt idx="17">
                  <c:v>0.52792722625163879</c:v>
                </c:pt>
                <c:pt idx="18">
                  <c:v>0.52792722625163879</c:v>
                </c:pt>
                <c:pt idx="19">
                  <c:v>0.52792722625163879</c:v>
                </c:pt>
                <c:pt idx="20">
                  <c:v>0.52792722625163879</c:v>
                </c:pt>
                <c:pt idx="21">
                  <c:v>0.52792722625163879</c:v>
                </c:pt>
                <c:pt idx="22">
                  <c:v>0.52792722625163879</c:v>
                </c:pt>
                <c:pt idx="23">
                  <c:v>0.52792722625163879</c:v>
                </c:pt>
                <c:pt idx="24">
                  <c:v>0.52792722625163879</c:v>
                </c:pt>
                <c:pt idx="25">
                  <c:v>0.52792722625163879</c:v>
                </c:pt>
                <c:pt idx="26">
                  <c:v>0.52792722625163879</c:v>
                </c:pt>
                <c:pt idx="27">
                  <c:v>0.52792722625163879</c:v>
                </c:pt>
                <c:pt idx="28">
                  <c:v>0.52792722625163879</c:v>
                </c:pt>
                <c:pt idx="29">
                  <c:v>0.52792722625163879</c:v>
                </c:pt>
                <c:pt idx="30">
                  <c:v>0.52792722625163879</c:v>
                </c:pt>
                <c:pt idx="31">
                  <c:v>0.52792722625163879</c:v>
                </c:pt>
                <c:pt idx="32">
                  <c:v>0.52792722625163879</c:v>
                </c:pt>
                <c:pt idx="33">
                  <c:v>0.52792722625163879</c:v>
                </c:pt>
                <c:pt idx="34">
                  <c:v>0.52792722625163879</c:v>
                </c:pt>
                <c:pt idx="35">
                  <c:v>-0.29335791431061087</c:v>
                </c:pt>
                <c:pt idx="36">
                  <c:v>-0.29335791431061087</c:v>
                </c:pt>
                <c:pt idx="37">
                  <c:v>-0.29335791431061087</c:v>
                </c:pt>
                <c:pt idx="38">
                  <c:v>-0.29335791431061087</c:v>
                </c:pt>
                <c:pt idx="39">
                  <c:v>-0.29335791431061087</c:v>
                </c:pt>
                <c:pt idx="40">
                  <c:v>-0.29335791431061087</c:v>
                </c:pt>
                <c:pt idx="41">
                  <c:v>-0.29335791431061087</c:v>
                </c:pt>
                <c:pt idx="42">
                  <c:v>-0.29335791431061087</c:v>
                </c:pt>
                <c:pt idx="43">
                  <c:v>0.46825315007589452</c:v>
                </c:pt>
                <c:pt idx="44">
                  <c:v>0.46825315007589452</c:v>
                </c:pt>
                <c:pt idx="45">
                  <c:v>0.45807125784395203</c:v>
                </c:pt>
                <c:pt idx="46">
                  <c:v>0.45807125784395203</c:v>
                </c:pt>
                <c:pt idx="47">
                  <c:v>0.45807125784395203</c:v>
                </c:pt>
                <c:pt idx="48">
                  <c:v>0.45807125784395203</c:v>
                </c:pt>
                <c:pt idx="49">
                  <c:v>-1.0735388489326645</c:v>
                </c:pt>
                <c:pt idx="50">
                  <c:v>-1.0735388489326645</c:v>
                </c:pt>
                <c:pt idx="51">
                  <c:v>-0.12249858668611946</c:v>
                </c:pt>
                <c:pt idx="52">
                  <c:v>-0.12249858668611946</c:v>
                </c:pt>
                <c:pt idx="53">
                  <c:v>-0.12249858668611946</c:v>
                </c:pt>
                <c:pt idx="54">
                  <c:v>-0.12249858668611946</c:v>
                </c:pt>
                <c:pt idx="55">
                  <c:v>-0.12249858668611946</c:v>
                </c:pt>
                <c:pt idx="56">
                  <c:v>-0.12249858668611946</c:v>
                </c:pt>
                <c:pt idx="57">
                  <c:v>-0.12249858668611946</c:v>
                </c:pt>
                <c:pt idx="58">
                  <c:v>-0.12249858668611946</c:v>
                </c:pt>
                <c:pt idx="59">
                  <c:v>-0.12249858668611946</c:v>
                </c:pt>
                <c:pt idx="60">
                  <c:v>-0.12249858668611946</c:v>
                </c:pt>
                <c:pt idx="61">
                  <c:v>1.3071535330018835</c:v>
                </c:pt>
                <c:pt idx="62">
                  <c:v>1.3071535330018835</c:v>
                </c:pt>
                <c:pt idx="63">
                  <c:v>1.3071535330018835</c:v>
                </c:pt>
                <c:pt idx="64">
                  <c:v>1.3071535330018835</c:v>
                </c:pt>
                <c:pt idx="65">
                  <c:v>2.4844445330839244</c:v>
                </c:pt>
                <c:pt idx="66">
                  <c:v>2.4844445330839244</c:v>
                </c:pt>
                <c:pt idx="67">
                  <c:v>2.4844445330839244</c:v>
                </c:pt>
                <c:pt idx="68">
                  <c:v>2.4844445330839244</c:v>
                </c:pt>
                <c:pt idx="69">
                  <c:v>2.4844445330839244</c:v>
                </c:pt>
                <c:pt idx="70">
                  <c:v>2.4844445330839244</c:v>
                </c:pt>
                <c:pt idx="71">
                  <c:v>2.4844445330839244</c:v>
                </c:pt>
                <c:pt idx="72">
                  <c:v>3.6352751494478444</c:v>
                </c:pt>
                <c:pt idx="73">
                  <c:v>3.443014111116935</c:v>
                </c:pt>
                <c:pt idx="74">
                  <c:v>3.443014111116935</c:v>
                </c:pt>
                <c:pt idx="75">
                  <c:v>2.9360240487958968</c:v>
                </c:pt>
                <c:pt idx="76">
                  <c:v>2.9360240487958968</c:v>
                </c:pt>
                <c:pt idx="77">
                  <c:v>2.9360240487958968</c:v>
                </c:pt>
                <c:pt idx="78">
                  <c:v>2.9360240487958968</c:v>
                </c:pt>
                <c:pt idx="79">
                  <c:v>2.9360240487958968</c:v>
                </c:pt>
                <c:pt idx="80">
                  <c:v>2.9360240487958968</c:v>
                </c:pt>
                <c:pt idx="81">
                  <c:v>2.9360240487958968</c:v>
                </c:pt>
                <c:pt idx="82">
                  <c:v>2.9360240487958968</c:v>
                </c:pt>
                <c:pt idx="83">
                  <c:v>2.3678422306140781</c:v>
                </c:pt>
                <c:pt idx="84">
                  <c:v>2.3678422306140781</c:v>
                </c:pt>
                <c:pt idx="85">
                  <c:v>2.3678422306140781</c:v>
                </c:pt>
                <c:pt idx="86">
                  <c:v>2.3678422306140781</c:v>
                </c:pt>
                <c:pt idx="87">
                  <c:v>2.3678422306140781</c:v>
                </c:pt>
                <c:pt idx="88">
                  <c:v>2.3678422306140781</c:v>
                </c:pt>
                <c:pt idx="89">
                  <c:v>2.3678422306140781</c:v>
                </c:pt>
                <c:pt idx="90">
                  <c:v>2.3678422306140781</c:v>
                </c:pt>
                <c:pt idx="91">
                  <c:v>2.3678422306140781</c:v>
                </c:pt>
                <c:pt idx="92">
                  <c:v>2.3678422306140781</c:v>
                </c:pt>
                <c:pt idx="93">
                  <c:v>2.3678422306140781</c:v>
                </c:pt>
                <c:pt idx="94">
                  <c:v>1.7296296266665774</c:v>
                </c:pt>
                <c:pt idx="95">
                  <c:v>1.7296296266665774</c:v>
                </c:pt>
                <c:pt idx="96">
                  <c:v>1.7296296266665774</c:v>
                </c:pt>
                <c:pt idx="97">
                  <c:v>1.7296296266665774</c:v>
                </c:pt>
                <c:pt idx="98">
                  <c:v>1.7296296266665774</c:v>
                </c:pt>
                <c:pt idx="99">
                  <c:v>1.7296296266665774</c:v>
                </c:pt>
                <c:pt idx="100">
                  <c:v>1.7296296266665774</c:v>
                </c:pt>
                <c:pt idx="101">
                  <c:v>1.7296296266665774</c:v>
                </c:pt>
                <c:pt idx="102">
                  <c:v>1.7103671484331777</c:v>
                </c:pt>
                <c:pt idx="103">
                  <c:v>1.7103671484331777</c:v>
                </c:pt>
                <c:pt idx="104">
                  <c:v>1.7103671484331777</c:v>
                </c:pt>
                <c:pt idx="105">
                  <c:v>1.7103671484331777</c:v>
                </c:pt>
                <c:pt idx="106">
                  <c:v>1.7103671484331777</c:v>
                </c:pt>
                <c:pt idx="107">
                  <c:v>1.7103671484331777</c:v>
                </c:pt>
                <c:pt idx="108">
                  <c:v>1.7103671484331777</c:v>
                </c:pt>
                <c:pt idx="109">
                  <c:v>1.7103671484331777</c:v>
                </c:pt>
                <c:pt idx="110">
                  <c:v>1.7103671484331777</c:v>
                </c:pt>
                <c:pt idx="111">
                  <c:v>1.7103671484331777</c:v>
                </c:pt>
                <c:pt idx="112">
                  <c:v>1.7103671484331777</c:v>
                </c:pt>
                <c:pt idx="113">
                  <c:v>1.7103671484331777</c:v>
                </c:pt>
                <c:pt idx="114">
                  <c:v>1.7103671484331777</c:v>
                </c:pt>
                <c:pt idx="115">
                  <c:v>1.7103671484331777</c:v>
                </c:pt>
                <c:pt idx="116">
                  <c:v>1.7103671484331777</c:v>
                </c:pt>
                <c:pt idx="117">
                  <c:v>1.7103671484331777</c:v>
                </c:pt>
                <c:pt idx="118">
                  <c:v>1.7103671484331777</c:v>
                </c:pt>
                <c:pt idx="119">
                  <c:v>1.7103671484331777</c:v>
                </c:pt>
                <c:pt idx="120">
                  <c:v>1.7103671484331777</c:v>
                </c:pt>
                <c:pt idx="121">
                  <c:v>1.7103671484331777</c:v>
                </c:pt>
                <c:pt idx="122">
                  <c:v>1.7103671484331777</c:v>
                </c:pt>
                <c:pt idx="123">
                  <c:v>1.7103671484331777</c:v>
                </c:pt>
                <c:pt idx="124">
                  <c:v>1.7103671484331777</c:v>
                </c:pt>
                <c:pt idx="125">
                  <c:v>1.7103671484331777</c:v>
                </c:pt>
                <c:pt idx="126">
                  <c:v>1.7103671484331777</c:v>
                </c:pt>
                <c:pt idx="127">
                  <c:v>1.7103671484331777</c:v>
                </c:pt>
                <c:pt idx="128">
                  <c:v>1.7103671484331777</c:v>
                </c:pt>
                <c:pt idx="129">
                  <c:v>1.7103671484331777</c:v>
                </c:pt>
                <c:pt idx="130">
                  <c:v>1.7103671484331777</c:v>
                </c:pt>
                <c:pt idx="131">
                  <c:v>1.7103671484331777</c:v>
                </c:pt>
                <c:pt idx="132">
                  <c:v>1.7103671484331777</c:v>
                </c:pt>
                <c:pt idx="133">
                  <c:v>1.7103671484331777</c:v>
                </c:pt>
                <c:pt idx="134">
                  <c:v>1.7103671484331777</c:v>
                </c:pt>
                <c:pt idx="135">
                  <c:v>1.7103671484331777</c:v>
                </c:pt>
                <c:pt idx="136">
                  <c:v>1.7103671484331777</c:v>
                </c:pt>
                <c:pt idx="137">
                  <c:v>1.7103671484331777</c:v>
                </c:pt>
                <c:pt idx="138">
                  <c:v>1.7103671484331777</c:v>
                </c:pt>
                <c:pt idx="139">
                  <c:v>1.7103671484331777</c:v>
                </c:pt>
                <c:pt idx="140">
                  <c:v>1.7103671484331777</c:v>
                </c:pt>
                <c:pt idx="141">
                  <c:v>1.7103671484331777</c:v>
                </c:pt>
                <c:pt idx="142">
                  <c:v>1.7103671484331777</c:v>
                </c:pt>
                <c:pt idx="143">
                  <c:v>1.7103671484331777</c:v>
                </c:pt>
                <c:pt idx="144">
                  <c:v>1.7103671484331777</c:v>
                </c:pt>
                <c:pt idx="145">
                  <c:v>1.7103671484331777</c:v>
                </c:pt>
                <c:pt idx="146">
                  <c:v>1.7103671484331777</c:v>
                </c:pt>
                <c:pt idx="147">
                  <c:v>1.7103671484331777</c:v>
                </c:pt>
                <c:pt idx="148">
                  <c:v>1.7103671484331777</c:v>
                </c:pt>
                <c:pt idx="149">
                  <c:v>1.7103671484331777</c:v>
                </c:pt>
                <c:pt idx="150">
                  <c:v>1.4704559513837272</c:v>
                </c:pt>
                <c:pt idx="151">
                  <c:v>1.4704559513837272</c:v>
                </c:pt>
                <c:pt idx="152">
                  <c:v>1.4704559513837272</c:v>
                </c:pt>
                <c:pt idx="153">
                  <c:v>1.4704559513837272</c:v>
                </c:pt>
                <c:pt idx="154">
                  <c:v>1.4704559513837272</c:v>
                </c:pt>
                <c:pt idx="155">
                  <c:v>1.4704559513837272</c:v>
                </c:pt>
                <c:pt idx="156">
                  <c:v>1.4704559513837272</c:v>
                </c:pt>
                <c:pt idx="157">
                  <c:v>1.4704559513837272</c:v>
                </c:pt>
                <c:pt idx="158">
                  <c:v>1.4704559513837272</c:v>
                </c:pt>
                <c:pt idx="159">
                  <c:v>1.4704559513837272</c:v>
                </c:pt>
                <c:pt idx="160">
                  <c:v>1.4704559513837272</c:v>
                </c:pt>
                <c:pt idx="161">
                  <c:v>1.4704559513837272</c:v>
                </c:pt>
                <c:pt idx="162">
                  <c:v>1.4704559513837272</c:v>
                </c:pt>
                <c:pt idx="163">
                  <c:v>1.4704559513837272</c:v>
                </c:pt>
                <c:pt idx="164">
                  <c:v>1.8938998897918817</c:v>
                </c:pt>
                <c:pt idx="165">
                  <c:v>2.863890081432142</c:v>
                </c:pt>
                <c:pt idx="166">
                  <c:v>2.7349690197292804</c:v>
                </c:pt>
                <c:pt idx="167">
                  <c:v>2.4515280577205139</c:v>
                </c:pt>
                <c:pt idx="168">
                  <c:v>2.4515280577205139</c:v>
                </c:pt>
                <c:pt idx="169">
                  <c:v>2.4515280577205139</c:v>
                </c:pt>
                <c:pt idx="170">
                  <c:v>2.4515280577205139</c:v>
                </c:pt>
                <c:pt idx="171">
                  <c:v>2.4515280577205139</c:v>
                </c:pt>
                <c:pt idx="172">
                  <c:v>2.4515280577205139</c:v>
                </c:pt>
                <c:pt idx="173">
                  <c:v>2.4515280577205139</c:v>
                </c:pt>
                <c:pt idx="174">
                  <c:v>2.4515280577205139</c:v>
                </c:pt>
                <c:pt idx="175">
                  <c:v>2.4515280577205139</c:v>
                </c:pt>
                <c:pt idx="176">
                  <c:v>2.4515280577205139</c:v>
                </c:pt>
                <c:pt idx="177">
                  <c:v>2.4515280577205139</c:v>
                </c:pt>
                <c:pt idx="178">
                  <c:v>2.4515280577205139</c:v>
                </c:pt>
                <c:pt idx="179">
                  <c:v>2.4515280577205139</c:v>
                </c:pt>
                <c:pt idx="180">
                  <c:v>2.4515280577205139</c:v>
                </c:pt>
                <c:pt idx="181">
                  <c:v>2.4515280577205139</c:v>
                </c:pt>
                <c:pt idx="182">
                  <c:v>2.4515280577205139</c:v>
                </c:pt>
                <c:pt idx="183">
                  <c:v>2.4515280577205139</c:v>
                </c:pt>
                <c:pt idx="184">
                  <c:v>2.4515280577205139</c:v>
                </c:pt>
                <c:pt idx="185">
                  <c:v>2.4515280577205139</c:v>
                </c:pt>
                <c:pt idx="186">
                  <c:v>2.4515280577205139</c:v>
                </c:pt>
                <c:pt idx="187">
                  <c:v>2.4515280577205139</c:v>
                </c:pt>
                <c:pt idx="188">
                  <c:v>2.4515280577205139</c:v>
                </c:pt>
                <c:pt idx="189">
                  <c:v>2.4515280577205139</c:v>
                </c:pt>
                <c:pt idx="190">
                  <c:v>2.4515280577205139</c:v>
                </c:pt>
                <c:pt idx="191">
                  <c:v>2.4515280577205139</c:v>
                </c:pt>
                <c:pt idx="192">
                  <c:v>2.4515280577205139</c:v>
                </c:pt>
                <c:pt idx="193">
                  <c:v>2.4515280577205139</c:v>
                </c:pt>
                <c:pt idx="194">
                  <c:v>2.4515280577205139</c:v>
                </c:pt>
                <c:pt idx="195">
                  <c:v>2.5777281054470773</c:v>
                </c:pt>
                <c:pt idx="196">
                  <c:v>2.5777281054470773</c:v>
                </c:pt>
                <c:pt idx="197">
                  <c:v>2.5777281054470773</c:v>
                </c:pt>
                <c:pt idx="198">
                  <c:v>2.5777281054470773</c:v>
                </c:pt>
                <c:pt idx="199">
                  <c:v>2.5777281054470773</c:v>
                </c:pt>
                <c:pt idx="200">
                  <c:v>2.5777281054470773</c:v>
                </c:pt>
                <c:pt idx="201">
                  <c:v>2.5777281054470773</c:v>
                </c:pt>
                <c:pt idx="202">
                  <c:v>2.8358292304043822</c:v>
                </c:pt>
                <c:pt idx="203">
                  <c:v>2.8358292304043822</c:v>
                </c:pt>
                <c:pt idx="204">
                  <c:v>3.1841938205512466</c:v>
                </c:pt>
                <c:pt idx="205">
                  <c:v>3.1841938205512466</c:v>
                </c:pt>
                <c:pt idx="206">
                  <c:v>3.1841938205512466</c:v>
                </c:pt>
                <c:pt idx="207">
                  <c:v>3.1841938205512466</c:v>
                </c:pt>
                <c:pt idx="208">
                  <c:v>3.0210456505626468</c:v>
                </c:pt>
                <c:pt idx="209">
                  <c:v>3.0210456505626468</c:v>
                </c:pt>
                <c:pt idx="210">
                  <c:v>3.0210456505626468</c:v>
                </c:pt>
                <c:pt idx="211">
                  <c:v>3.0210456505626468</c:v>
                </c:pt>
                <c:pt idx="212">
                  <c:v>3.0210456505626468</c:v>
                </c:pt>
                <c:pt idx="213">
                  <c:v>3.0210456505626468</c:v>
                </c:pt>
                <c:pt idx="214">
                  <c:v>3.0210456505626468</c:v>
                </c:pt>
                <c:pt idx="215">
                  <c:v>3.0210456505626468</c:v>
                </c:pt>
                <c:pt idx="216">
                  <c:v>3.0210456505626468</c:v>
                </c:pt>
                <c:pt idx="217">
                  <c:v>3.0210456505626468</c:v>
                </c:pt>
                <c:pt idx="218">
                  <c:v>3.0210456505626468</c:v>
                </c:pt>
                <c:pt idx="219">
                  <c:v>4.5881188907371193</c:v>
                </c:pt>
                <c:pt idx="220">
                  <c:v>4.5881188907371193</c:v>
                </c:pt>
                <c:pt idx="221">
                  <c:v>5.1322420709634535</c:v>
                </c:pt>
                <c:pt idx="222">
                  <c:v>5.1322420709634535</c:v>
                </c:pt>
                <c:pt idx="223">
                  <c:v>5.1322420709634535</c:v>
                </c:pt>
                <c:pt idx="224">
                  <c:v>5.1322420709634535</c:v>
                </c:pt>
                <c:pt idx="225">
                  <c:v>5.1322420709634535</c:v>
                </c:pt>
                <c:pt idx="226">
                  <c:v>5.1322420709634535</c:v>
                </c:pt>
                <c:pt idx="227">
                  <c:v>5.1322420709634535</c:v>
                </c:pt>
                <c:pt idx="228">
                  <c:v>5.1322420709634535</c:v>
                </c:pt>
                <c:pt idx="229">
                  <c:v>5.1322420709634535</c:v>
                </c:pt>
                <c:pt idx="230">
                  <c:v>5.1322420709634535</c:v>
                </c:pt>
                <c:pt idx="231">
                  <c:v>5.1322420709634535</c:v>
                </c:pt>
                <c:pt idx="232">
                  <c:v>5.1322420709634535</c:v>
                </c:pt>
                <c:pt idx="233">
                  <c:v>5.1322420709634535</c:v>
                </c:pt>
                <c:pt idx="234">
                  <c:v>5.1322420709634535</c:v>
                </c:pt>
                <c:pt idx="235">
                  <c:v>5.1322420709634535</c:v>
                </c:pt>
                <c:pt idx="236">
                  <c:v>5.1322420709634535</c:v>
                </c:pt>
                <c:pt idx="237">
                  <c:v>5.0841293998354304</c:v>
                </c:pt>
                <c:pt idx="238">
                  <c:v>5.0841293998354304</c:v>
                </c:pt>
                <c:pt idx="239">
                  <c:v>5.0841293998354304</c:v>
                </c:pt>
                <c:pt idx="240">
                  <c:v>5.0841293998354304</c:v>
                </c:pt>
                <c:pt idx="241">
                  <c:v>5.0841293998354304</c:v>
                </c:pt>
                <c:pt idx="242">
                  <c:v>5.0841293998354304</c:v>
                </c:pt>
                <c:pt idx="243">
                  <c:v>5.0841293998354304</c:v>
                </c:pt>
                <c:pt idx="244">
                  <c:v>5.0841293998354304</c:v>
                </c:pt>
                <c:pt idx="245">
                  <c:v>5.0841293998354304</c:v>
                </c:pt>
                <c:pt idx="246">
                  <c:v>5.0841293998354304</c:v>
                </c:pt>
                <c:pt idx="247">
                  <c:v>5.0841293998354304</c:v>
                </c:pt>
                <c:pt idx="248">
                  <c:v>5.0841293998354304</c:v>
                </c:pt>
                <c:pt idx="249">
                  <c:v>5.0841293998354304</c:v>
                </c:pt>
                <c:pt idx="250">
                  <c:v>5.0841293998354304</c:v>
                </c:pt>
                <c:pt idx="251">
                  <c:v>5.0841293998354304</c:v>
                </c:pt>
                <c:pt idx="252">
                  <c:v>4.5772092731053986</c:v>
                </c:pt>
                <c:pt idx="253">
                  <c:v>4.5772092731053986</c:v>
                </c:pt>
                <c:pt idx="254">
                  <c:v>4.5772092731053986</c:v>
                </c:pt>
                <c:pt idx="255">
                  <c:v>4.5772092731053986</c:v>
                </c:pt>
                <c:pt idx="256">
                  <c:v>4.5772092731053986</c:v>
                </c:pt>
                <c:pt idx="257">
                  <c:v>4.5772092731053986</c:v>
                </c:pt>
                <c:pt idx="258">
                  <c:v>4.5772092731053986</c:v>
                </c:pt>
                <c:pt idx="259">
                  <c:v>4.5772092731053986</c:v>
                </c:pt>
                <c:pt idx="260">
                  <c:v>4.5772092731053986</c:v>
                </c:pt>
                <c:pt idx="261">
                  <c:v>4.5772092731053986</c:v>
                </c:pt>
                <c:pt idx="262">
                  <c:v>4.5772092731053986</c:v>
                </c:pt>
                <c:pt idx="263">
                  <c:v>4.5772092731053986</c:v>
                </c:pt>
                <c:pt idx="264">
                  <c:v>4.5772092731053986</c:v>
                </c:pt>
                <c:pt idx="265">
                  <c:v>4.5772092731053986</c:v>
                </c:pt>
                <c:pt idx="266">
                  <c:v>4.5772092731053986</c:v>
                </c:pt>
                <c:pt idx="267">
                  <c:v>4.5772092731053986</c:v>
                </c:pt>
                <c:pt idx="268">
                  <c:v>4.5772092731053986</c:v>
                </c:pt>
                <c:pt idx="269">
                  <c:v>4.5772092731053986</c:v>
                </c:pt>
                <c:pt idx="270">
                  <c:v>4.5772092731053986</c:v>
                </c:pt>
                <c:pt idx="271">
                  <c:v>4.5772092731053986</c:v>
                </c:pt>
                <c:pt idx="272">
                  <c:v>4.5772092731053986</c:v>
                </c:pt>
                <c:pt idx="273">
                  <c:v>4.5772092731053986</c:v>
                </c:pt>
                <c:pt idx="274">
                  <c:v>4.5772092731053986</c:v>
                </c:pt>
                <c:pt idx="275">
                  <c:v>4.5772092731053986</c:v>
                </c:pt>
                <c:pt idx="276">
                  <c:v>4.5772092731053986</c:v>
                </c:pt>
                <c:pt idx="277">
                  <c:v>4.5772092731053986</c:v>
                </c:pt>
                <c:pt idx="278">
                  <c:v>4.5772092731053986</c:v>
                </c:pt>
                <c:pt idx="279">
                  <c:v>4.5772092731053986</c:v>
                </c:pt>
                <c:pt idx="280">
                  <c:v>4.5772092731053986</c:v>
                </c:pt>
                <c:pt idx="281">
                  <c:v>4.5772092731053986</c:v>
                </c:pt>
                <c:pt idx="282">
                  <c:v>4.5772092731053986</c:v>
                </c:pt>
                <c:pt idx="283">
                  <c:v>4.5772092731053986</c:v>
                </c:pt>
                <c:pt idx="284">
                  <c:v>4.5772092731053986</c:v>
                </c:pt>
                <c:pt idx="285">
                  <c:v>4.5772092731053986</c:v>
                </c:pt>
                <c:pt idx="286">
                  <c:v>4.5772092731053986</c:v>
                </c:pt>
                <c:pt idx="287">
                  <c:v>4.5772092731053986</c:v>
                </c:pt>
                <c:pt idx="288">
                  <c:v>6.352220799154269</c:v>
                </c:pt>
                <c:pt idx="289">
                  <c:v>6.352220799154269</c:v>
                </c:pt>
                <c:pt idx="290">
                  <c:v>6.352220799154269</c:v>
                </c:pt>
                <c:pt idx="291">
                  <c:v>6.352220799154269</c:v>
                </c:pt>
                <c:pt idx="292">
                  <c:v>6.352220799154269</c:v>
                </c:pt>
                <c:pt idx="293">
                  <c:v>6.352220799154269</c:v>
                </c:pt>
                <c:pt idx="294">
                  <c:v>6.352220799154269</c:v>
                </c:pt>
                <c:pt idx="295">
                  <c:v>6.352220799154269</c:v>
                </c:pt>
                <c:pt idx="296">
                  <c:v>6.352220799154269</c:v>
                </c:pt>
                <c:pt idx="297">
                  <c:v>6.352220799154269</c:v>
                </c:pt>
                <c:pt idx="298">
                  <c:v>6.352220799154269</c:v>
                </c:pt>
                <c:pt idx="299">
                  <c:v>6.352220799154269</c:v>
                </c:pt>
                <c:pt idx="300">
                  <c:v>6.352220799154269</c:v>
                </c:pt>
                <c:pt idx="301">
                  <c:v>7.5862553388283676</c:v>
                </c:pt>
                <c:pt idx="302">
                  <c:v>7.5862553388283676</c:v>
                </c:pt>
                <c:pt idx="303">
                  <c:v>7.5862553388283676</c:v>
                </c:pt>
                <c:pt idx="304">
                  <c:v>7.5862553388283676</c:v>
                </c:pt>
                <c:pt idx="305">
                  <c:v>8.6307007550759458</c:v>
                </c:pt>
                <c:pt idx="306">
                  <c:v>8.6307007550759458</c:v>
                </c:pt>
                <c:pt idx="307">
                  <c:v>8.6307007550759458</c:v>
                </c:pt>
                <c:pt idx="308">
                  <c:v>8.6307007550759458</c:v>
                </c:pt>
                <c:pt idx="309">
                  <c:v>8.6307007550759458</c:v>
                </c:pt>
                <c:pt idx="310">
                  <c:v>8.6307007550759458</c:v>
                </c:pt>
                <c:pt idx="311">
                  <c:v>8.6307007550759458</c:v>
                </c:pt>
                <c:pt idx="312">
                  <c:v>8.6307007550759458</c:v>
                </c:pt>
                <c:pt idx="313">
                  <c:v>8.6307007550759458</c:v>
                </c:pt>
                <c:pt idx="314">
                  <c:v>8.6307007550759458</c:v>
                </c:pt>
                <c:pt idx="315">
                  <c:v>8.6307007550759458</c:v>
                </c:pt>
                <c:pt idx="316">
                  <c:v>8.6307007550759458</c:v>
                </c:pt>
                <c:pt idx="317">
                  <c:v>8.6307007550759458</c:v>
                </c:pt>
                <c:pt idx="318">
                  <c:v>8.6307007550759458</c:v>
                </c:pt>
                <c:pt idx="319">
                  <c:v>8.6307007550759458</c:v>
                </c:pt>
                <c:pt idx="320">
                  <c:v>8.6307007550759458</c:v>
                </c:pt>
                <c:pt idx="321">
                  <c:v>8.6307007550759458</c:v>
                </c:pt>
                <c:pt idx="322">
                  <c:v>8.6307007550759458</c:v>
                </c:pt>
                <c:pt idx="323">
                  <c:v>8.6307007550759458</c:v>
                </c:pt>
                <c:pt idx="324">
                  <c:v>8.6307007550759458</c:v>
                </c:pt>
                <c:pt idx="325">
                  <c:v>8.6307007550759458</c:v>
                </c:pt>
                <c:pt idx="326">
                  <c:v>8.6307007550759458</c:v>
                </c:pt>
                <c:pt idx="327">
                  <c:v>8.6307007550759458</c:v>
                </c:pt>
                <c:pt idx="328">
                  <c:v>8.6307007550759458</c:v>
                </c:pt>
                <c:pt idx="329">
                  <c:v>8.6307007550759458</c:v>
                </c:pt>
                <c:pt idx="330">
                  <c:v>8.6307007550759458</c:v>
                </c:pt>
                <c:pt idx="331">
                  <c:v>8.6307007550759458</c:v>
                </c:pt>
                <c:pt idx="332">
                  <c:v>8.6307007550759458</c:v>
                </c:pt>
                <c:pt idx="333">
                  <c:v>8.6307007550759458</c:v>
                </c:pt>
                <c:pt idx="334">
                  <c:v>8.6307007550759458</c:v>
                </c:pt>
                <c:pt idx="335">
                  <c:v>9.2956923798665674</c:v>
                </c:pt>
                <c:pt idx="336">
                  <c:v>9.2956923798665674</c:v>
                </c:pt>
                <c:pt idx="337">
                  <c:v>9.2956923798665674</c:v>
                </c:pt>
                <c:pt idx="338">
                  <c:v>9.2956923798665674</c:v>
                </c:pt>
                <c:pt idx="339">
                  <c:v>9.2956923798665674</c:v>
                </c:pt>
                <c:pt idx="340">
                  <c:v>9.2956923798665674</c:v>
                </c:pt>
                <c:pt idx="341">
                  <c:v>9.2956923798665674</c:v>
                </c:pt>
                <c:pt idx="342">
                  <c:v>9.2956923798665674</c:v>
                </c:pt>
                <c:pt idx="343">
                  <c:v>9.2956923798665674</c:v>
                </c:pt>
                <c:pt idx="344">
                  <c:v>9.2956923798665674</c:v>
                </c:pt>
                <c:pt idx="345">
                  <c:v>9.2956923798665674</c:v>
                </c:pt>
                <c:pt idx="346">
                  <c:v>9.2956923798665674</c:v>
                </c:pt>
                <c:pt idx="347">
                  <c:v>9.2956923798665674</c:v>
                </c:pt>
                <c:pt idx="348">
                  <c:v>9.2956923798665674</c:v>
                </c:pt>
                <c:pt idx="349">
                  <c:v>9.2956923798665674</c:v>
                </c:pt>
                <c:pt idx="350">
                  <c:v>9.2956923798665674</c:v>
                </c:pt>
                <c:pt idx="351">
                  <c:v>9.2956923798665674</c:v>
                </c:pt>
                <c:pt idx="352">
                  <c:v>9.2956923798665674</c:v>
                </c:pt>
                <c:pt idx="353">
                  <c:v>9.2956923798665674</c:v>
                </c:pt>
                <c:pt idx="354">
                  <c:v>9.2956923798665674</c:v>
                </c:pt>
                <c:pt idx="355">
                  <c:v>9.2956923798665674</c:v>
                </c:pt>
                <c:pt idx="356">
                  <c:v>8.4384553208490907</c:v>
                </c:pt>
                <c:pt idx="357">
                  <c:v>8.4384553208490907</c:v>
                </c:pt>
                <c:pt idx="358">
                  <c:v>8.4384553208490907</c:v>
                </c:pt>
                <c:pt idx="359">
                  <c:v>8.4384553208490907</c:v>
                </c:pt>
                <c:pt idx="360">
                  <c:v>8.4384553208490907</c:v>
                </c:pt>
                <c:pt idx="361">
                  <c:v>8.4384553208490907</c:v>
                </c:pt>
                <c:pt idx="362">
                  <c:v>8.4384553208490907</c:v>
                </c:pt>
                <c:pt idx="363">
                  <c:v>8.4384553208490907</c:v>
                </c:pt>
                <c:pt idx="364">
                  <c:v>8.4384553208490907</c:v>
                </c:pt>
                <c:pt idx="365">
                  <c:v>8.4384553208490907</c:v>
                </c:pt>
                <c:pt idx="366">
                  <c:v>8.4384553208490907</c:v>
                </c:pt>
                <c:pt idx="367">
                  <c:v>8.4384553208490907</c:v>
                </c:pt>
                <c:pt idx="368">
                  <c:v>8.4384553208490907</c:v>
                </c:pt>
                <c:pt idx="369">
                  <c:v>8.4384553208490907</c:v>
                </c:pt>
                <c:pt idx="370">
                  <c:v>8.4384553208490907</c:v>
                </c:pt>
                <c:pt idx="371">
                  <c:v>8.4384553208490907</c:v>
                </c:pt>
                <c:pt idx="372">
                  <c:v>8.4384553208490907</c:v>
                </c:pt>
                <c:pt idx="373">
                  <c:v>8.4384553208490907</c:v>
                </c:pt>
                <c:pt idx="374">
                  <c:v>8.4384553208490907</c:v>
                </c:pt>
                <c:pt idx="375">
                  <c:v>8.4384553208490907</c:v>
                </c:pt>
                <c:pt idx="376">
                  <c:v>8.4384553208490907</c:v>
                </c:pt>
                <c:pt idx="377">
                  <c:v>8.4384553208490907</c:v>
                </c:pt>
                <c:pt idx="378">
                  <c:v>8.4384553208490907</c:v>
                </c:pt>
                <c:pt idx="379">
                  <c:v>8.4384553208490907</c:v>
                </c:pt>
                <c:pt idx="380">
                  <c:v>8.4384553208490907</c:v>
                </c:pt>
                <c:pt idx="381">
                  <c:v>8.4384553208490907</c:v>
                </c:pt>
                <c:pt idx="382">
                  <c:v>8.4384553208490907</c:v>
                </c:pt>
                <c:pt idx="383">
                  <c:v>8.4384553208490907</c:v>
                </c:pt>
                <c:pt idx="384">
                  <c:v>8.4384553208490907</c:v>
                </c:pt>
                <c:pt idx="385">
                  <c:v>8.4384553208490907</c:v>
                </c:pt>
                <c:pt idx="386">
                  <c:v>8.4384553208490907</c:v>
                </c:pt>
                <c:pt idx="387">
                  <c:v>8.4384553208490907</c:v>
                </c:pt>
                <c:pt idx="388">
                  <c:v>8.4384553208490907</c:v>
                </c:pt>
                <c:pt idx="389">
                  <c:v>8.4384553208490907</c:v>
                </c:pt>
                <c:pt idx="390">
                  <c:v>8.4384553208490907</c:v>
                </c:pt>
                <c:pt idx="391">
                  <c:v>8.4384553208490907</c:v>
                </c:pt>
                <c:pt idx="392">
                  <c:v>8.4384553208490907</c:v>
                </c:pt>
                <c:pt idx="393">
                  <c:v>8.4384553208490907</c:v>
                </c:pt>
                <c:pt idx="394">
                  <c:v>8.4384553208490907</c:v>
                </c:pt>
                <c:pt idx="395">
                  <c:v>8.4384553208490907</c:v>
                </c:pt>
                <c:pt idx="396">
                  <c:v>8.4384553208490907</c:v>
                </c:pt>
                <c:pt idx="397">
                  <c:v>8.4384553208490907</c:v>
                </c:pt>
                <c:pt idx="398">
                  <c:v>8.4384553208490907</c:v>
                </c:pt>
                <c:pt idx="399">
                  <c:v>8.4384553208490907</c:v>
                </c:pt>
                <c:pt idx="400">
                  <c:v>8.4384553208490907</c:v>
                </c:pt>
                <c:pt idx="401">
                  <c:v>8.4384553208490907</c:v>
                </c:pt>
                <c:pt idx="402">
                  <c:v>8.4384553208490907</c:v>
                </c:pt>
                <c:pt idx="403">
                  <c:v>8.4384553208490907</c:v>
                </c:pt>
                <c:pt idx="404">
                  <c:v>8.4384553208490907</c:v>
                </c:pt>
                <c:pt idx="405">
                  <c:v>8.4384553208490907</c:v>
                </c:pt>
                <c:pt idx="406">
                  <c:v>8.4384553208490907</c:v>
                </c:pt>
                <c:pt idx="407">
                  <c:v>8.4384553208490907</c:v>
                </c:pt>
                <c:pt idx="408">
                  <c:v>8.4384553208490907</c:v>
                </c:pt>
                <c:pt idx="409">
                  <c:v>8.4384553208490907</c:v>
                </c:pt>
                <c:pt idx="410">
                  <c:v>8.4384553208490907</c:v>
                </c:pt>
                <c:pt idx="411">
                  <c:v>8.4384553208490907</c:v>
                </c:pt>
                <c:pt idx="412">
                  <c:v>8.4384553208490907</c:v>
                </c:pt>
                <c:pt idx="413">
                  <c:v>8.4384553208490907</c:v>
                </c:pt>
                <c:pt idx="414">
                  <c:v>8.4384553208490907</c:v>
                </c:pt>
                <c:pt idx="415">
                  <c:v>8.4384553208490907</c:v>
                </c:pt>
                <c:pt idx="416">
                  <c:v>8.4384553208490907</c:v>
                </c:pt>
                <c:pt idx="417">
                  <c:v>8.4384553208490907</c:v>
                </c:pt>
                <c:pt idx="418">
                  <c:v>8.4384553208490907</c:v>
                </c:pt>
              </c:numCache>
            </c:numRef>
          </c:val>
          <c:smooth val="0"/>
          <c:extLst>
            <c:ext xmlns:c16="http://schemas.microsoft.com/office/drawing/2014/chart" uri="{C3380CC4-5D6E-409C-BE32-E72D297353CC}">
              <c16:uniqueId val="{00000003-7AEE-4D62-9FE5-2B87AD6DF366}"/>
            </c:ext>
          </c:extLst>
        </c:ser>
        <c:ser>
          <c:idx val="3"/>
          <c:order val="4"/>
          <c:tx>
            <c:v>XLY</c:v>
          </c:tx>
          <c:spPr>
            <a:ln w="28575" cap="rnd">
              <a:solidFill>
                <a:srgbClr val="FFC000"/>
              </a:solidFill>
              <a:round/>
            </a:ln>
            <a:effectLst/>
          </c:spPr>
          <c:marker>
            <c:symbol val="none"/>
          </c:marker>
          <c:val>
            <c:numRef>
              <c:f>'2025-Q2'!$DB$4:$DB$422</c:f>
              <c:numCache>
                <c:formatCode>0.00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1.1829222170861893</c:v>
                </c:pt>
                <c:pt idx="60">
                  <c:v>1.1829222170861893</c:v>
                </c:pt>
                <c:pt idx="61">
                  <c:v>1.1829222170861893</c:v>
                </c:pt>
                <c:pt idx="62">
                  <c:v>1.1829222170861893</c:v>
                </c:pt>
                <c:pt idx="63">
                  <c:v>1.1829222170861893</c:v>
                </c:pt>
                <c:pt idx="64">
                  <c:v>1.1829222170861893</c:v>
                </c:pt>
                <c:pt idx="65">
                  <c:v>1.1829222170861893</c:v>
                </c:pt>
                <c:pt idx="66">
                  <c:v>1.1829222170861893</c:v>
                </c:pt>
                <c:pt idx="67">
                  <c:v>1.1829222170861893</c:v>
                </c:pt>
                <c:pt idx="68">
                  <c:v>1.1829222170861893</c:v>
                </c:pt>
                <c:pt idx="69">
                  <c:v>1.1829222170861893</c:v>
                </c:pt>
                <c:pt idx="70">
                  <c:v>1.1829222170861893</c:v>
                </c:pt>
                <c:pt idx="71">
                  <c:v>1.1829222170861893</c:v>
                </c:pt>
                <c:pt idx="72">
                  <c:v>1.1829222170861893</c:v>
                </c:pt>
                <c:pt idx="73">
                  <c:v>1.1829222170861893</c:v>
                </c:pt>
                <c:pt idx="74">
                  <c:v>1.1829222170861893</c:v>
                </c:pt>
                <c:pt idx="75">
                  <c:v>1.1829222170861893</c:v>
                </c:pt>
                <c:pt idx="76">
                  <c:v>1.1829222170861893</c:v>
                </c:pt>
                <c:pt idx="77">
                  <c:v>1.1829222170861893</c:v>
                </c:pt>
                <c:pt idx="78">
                  <c:v>1.1829222170861893</c:v>
                </c:pt>
                <c:pt idx="79">
                  <c:v>1.1829222170861893</c:v>
                </c:pt>
                <c:pt idx="80">
                  <c:v>1.3333187169494678</c:v>
                </c:pt>
                <c:pt idx="81">
                  <c:v>1.3333187169494678</c:v>
                </c:pt>
                <c:pt idx="82">
                  <c:v>1.3333187169494678</c:v>
                </c:pt>
                <c:pt idx="83">
                  <c:v>1.3333187169494678</c:v>
                </c:pt>
                <c:pt idx="84">
                  <c:v>1.3333187169494678</c:v>
                </c:pt>
                <c:pt idx="85">
                  <c:v>1.3333187169494678</c:v>
                </c:pt>
                <c:pt idx="86">
                  <c:v>1.3333187169494678</c:v>
                </c:pt>
                <c:pt idx="87">
                  <c:v>1.3333187169494678</c:v>
                </c:pt>
                <c:pt idx="88">
                  <c:v>1.3333187169494678</c:v>
                </c:pt>
                <c:pt idx="89">
                  <c:v>1.3333187169494678</c:v>
                </c:pt>
                <c:pt idx="90">
                  <c:v>1.3333187169494678</c:v>
                </c:pt>
                <c:pt idx="91">
                  <c:v>1.3333187169494678</c:v>
                </c:pt>
                <c:pt idx="92">
                  <c:v>1.3333187169494678</c:v>
                </c:pt>
                <c:pt idx="93">
                  <c:v>0.47549974633223147</c:v>
                </c:pt>
                <c:pt idx="94">
                  <c:v>0.47549974633223147</c:v>
                </c:pt>
                <c:pt idx="95">
                  <c:v>0.47549974633223147</c:v>
                </c:pt>
                <c:pt idx="96">
                  <c:v>0.47549974633223147</c:v>
                </c:pt>
                <c:pt idx="97">
                  <c:v>0.47549974633223147</c:v>
                </c:pt>
                <c:pt idx="98">
                  <c:v>0.47549974633223147</c:v>
                </c:pt>
                <c:pt idx="99">
                  <c:v>-0.16932974967219971</c:v>
                </c:pt>
                <c:pt idx="100">
                  <c:v>-0.16932974967219971</c:v>
                </c:pt>
                <c:pt idx="101">
                  <c:v>-0.16932974967219971</c:v>
                </c:pt>
                <c:pt idx="102">
                  <c:v>-0.16932974967219971</c:v>
                </c:pt>
                <c:pt idx="103">
                  <c:v>-0.16932974967219971</c:v>
                </c:pt>
                <c:pt idx="104">
                  <c:v>-0.16932974967219971</c:v>
                </c:pt>
                <c:pt idx="105">
                  <c:v>-0.16932974967219971</c:v>
                </c:pt>
                <c:pt idx="106">
                  <c:v>-0.16932974967219971</c:v>
                </c:pt>
                <c:pt idx="107">
                  <c:v>-0.16932974967219971</c:v>
                </c:pt>
                <c:pt idx="108">
                  <c:v>-0.16932974967219971</c:v>
                </c:pt>
                <c:pt idx="109">
                  <c:v>-0.16932974967219971</c:v>
                </c:pt>
                <c:pt idx="110">
                  <c:v>-0.16932974967219971</c:v>
                </c:pt>
                <c:pt idx="111">
                  <c:v>-0.16932974967219971</c:v>
                </c:pt>
                <c:pt idx="112">
                  <c:v>-0.16932974967219971</c:v>
                </c:pt>
                <c:pt idx="113">
                  <c:v>-0.16932974967219971</c:v>
                </c:pt>
                <c:pt idx="114">
                  <c:v>-0.16932974967219971</c:v>
                </c:pt>
                <c:pt idx="115">
                  <c:v>-0.16932974967219971</c:v>
                </c:pt>
                <c:pt idx="116">
                  <c:v>-0.16932974967219971</c:v>
                </c:pt>
                <c:pt idx="117">
                  <c:v>-0.16932974967219971</c:v>
                </c:pt>
                <c:pt idx="118">
                  <c:v>-0.16932974967219971</c:v>
                </c:pt>
                <c:pt idx="119">
                  <c:v>-0.16932974967219971</c:v>
                </c:pt>
                <c:pt idx="120">
                  <c:v>-0.16932974967219971</c:v>
                </c:pt>
                <c:pt idx="121">
                  <c:v>-0.16932974967219971</c:v>
                </c:pt>
                <c:pt idx="122">
                  <c:v>-0.16932974967219971</c:v>
                </c:pt>
                <c:pt idx="123">
                  <c:v>-0.16932974967219971</c:v>
                </c:pt>
                <c:pt idx="124">
                  <c:v>-0.16932974967219971</c:v>
                </c:pt>
                <c:pt idx="125">
                  <c:v>-0.16932974967219971</c:v>
                </c:pt>
                <c:pt idx="126">
                  <c:v>0.24673978016923154</c:v>
                </c:pt>
                <c:pt idx="127">
                  <c:v>0.24673978016923154</c:v>
                </c:pt>
                <c:pt idx="128">
                  <c:v>0.47237154912230012</c:v>
                </c:pt>
                <c:pt idx="129">
                  <c:v>0.47237154912230012</c:v>
                </c:pt>
                <c:pt idx="130">
                  <c:v>0.47237154912230012</c:v>
                </c:pt>
                <c:pt idx="131">
                  <c:v>0.47237154912230012</c:v>
                </c:pt>
                <c:pt idx="132">
                  <c:v>3.1364376348577139E-3</c:v>
                </c:pt>
                <c:pt idx="133">
                  <c:v>3.1364376348577139E-3</c:v>
                </c:pt>
                <c:pt idx="134">
                  <c:v>3.1364376348577139E-3</c:v>
                </c:pt>
                <c:pt idx="135">
                  <c:v>3.1364376348577139E-3</c:v>
                </c:pt>
                <c:pt idx="136">
                  <c:v>3.1364376348577139E-3</c:v>
                </c:pt>
                <c:pt idx="137">
                  <c:v>3.1364376348577139E-3</c:v>
                </c:pt>
                <c:pt idx="138">
                  <c:v>3.1364376348577139E-3</c:v>
                </c:pt>
                <c:pt idx="139">
                  <c:v>3.1364376348577139E-3</c:v>
                </c:pt>
                <c:pt idx="140">
                  <c:v>3.1364376348577139E-3</c:v>
                </c:pt>
                <c:pt idx="141">
                  <c:v>3.1364376348577139E-3</c:v>
                </c:pt>
                <c:pt idx="142">
                  <c:v>3.1364376348577139E-3</c:v>
                </c:pt>
                <c:pt idx="143">
                  <c:v>3.1364376348577139E-3</c:v>
                </c:pt>
                <c:pt idx="144">
                  <c:v>3.1364376348577139E-3</c:v>
                </c:pt>
                <c:pt idx="145">
                  <c:v>3.1364376348577139E-3</c:v>
                </c:pt>
                <c:pt idx="146">
                  <c:v>3.1364376348577139E-3</c:v>
                </c:pt>
                <c:pt idx="147">
                  <c:v>3.1364376348577139E-3</c:v>
                </c:pt>
                <c:pt idx="148">
                  <c:v>3.1364376348577139E-3</c:v>
                </c:pt>
                <c:pt idx="149">
                  <c:v>3.1364376348577139E-3</c:v>
                </c:pt>
                <c:pt idx="150">
                  <c:v>3.1364376348577139E-3</c:v>
                </c:pt>
                <c:pt idx="151">
                  <c:v>3.1364376348577139E-3</c:v>
                </c:pt>
                <c:pt idx="152">
                  <c:v>3.1364376348577139E-3</c:v>
                </c:pt>
                <c:pt idx="153">
                  <c:v>-1.6625481037126164</c:v>
                </c:pt>
                <c:pt idx="154">
                  <c:v>-1.6625481037126164</c:v>
                </c:pt>
                <c:pt idx="155">
                  <c:v>-1.6625481037126164</c:v>
                </c:pt>
                <c:pt idx="156">
                  <c:v>-1.6625481037126164</c:v>
                </c:pt>
                <c:pt idx="157">
                  <c:v>-1.6625481037126164</c:v>
                </c:pt>
                <c:pt idx="158">
                  <c:v>-1.2278690516702204</c:v>
                </c:pt>
                <c:pt idx="159">
                  <c:v>-1.2278690516702204</c:v>
                </c:pt>
                <c:pt idx="160">
                  <c:v>-1.2278690516702204</c:v>
                </c:pt>
                <c:pt idx="161">
                  <c:v>-1.2278690516702204</c:v>
                </c:pt>
                <c:pt idx="162">
                  <c:v>-1.2278690516702204</c:v>
                </c:pt>
                <c:pt idx="163">
                  <c:v>-1.2278690516702204</c:v>
                </c:pt>
                <c:pt idx="164">
                  <c:v>-1.2278690516702204</c:v>
                </c:pt>
                <c:pt idx="165">
                  <c:v>-1.2278690516702204</c:v>
                </c:pt>
                <c:pt idx="166">
                  <c:v>-1.2278690516702204</c:v>
                </c:pt>
                <c:pt idx="167">
                  <c:v>-1.2278690516702204</c:v>
                </c:pt>
                <c:pt idx="168">
                  <c:v>-1.2278690516702204</c:v>
                </c:pt>
                <c:pt idx="169">
                  <c:v>-1.2504388487677423</c:v>
                </c:pt>
                <c:pt idx="170">
                  <c:v>-1.2504388487677423</c:v>
                </c:pt>
                <c:pt idx="171">
                  <c:v>-2.730105678753044</c:v>
                </c:pt>
                <c:pt idx="172">
                  <c:v>-2.730105678753044</c:v>
                </c:pt>
                <c:pt idx="173">
                  <c:v>-2.730105678753044</c:v>
                </c:pt>
                <c:pt idx="174">
                  <c:v>-2.730105678753044</c:v>
                </c:pt>
                <c:pt idx="175">
                  <c:v>-2.730105678753044</c:v>
                </c:pt>
                <c:pt idx="176">
                  <c:v>-2.730105678753044</c:v>
                </c:pt>
                <c:pt idx="177">
                  <c:v>-2.730105678753044</c:v>
                </c:pt>
                <c:pt idx="178">
                  <c:v>-2.730105678753044</c:v>
                </c:pt>
                <c:pt idx="179">
                  <c:v>-2.730105678753044</c:v>
                </c:pt>
                <c:pt idx="180">
                  <c:v>-2.730105678753044</c:v>
                </c:pt>
                <c:pt idx="181">
                  <c:v>-2.730105678753044</c:v>
                </c:pt>
                <c:pt idx="182">
                  <c:v>-2.730105678753044</c:v>
                </c:pt>
                <c:pt idx="183">
                  <c:v>-2.730105678753044</c:v>
                </c:pt>
                <c:pt idx="184">
                  <c:v>-2.730105678753044</c:v>
                </c:pt>
                <c:pt idx="185">
                  <c:v>-2.730105678753044</c:v>
                </c:pt>
                <c:pt idx="186">
                  <c:v>-2.730105678753044</c:v>
                </c:pt>
                <c:pt idx="187">
                  <c:v>-2.2679577914291</c:v>
                </c:pt>
                <c:pt idx="188">
                  <c:v>-2.2679577914291</c:v>
                </c:pt>
                <c:pt idx="189">
                  <c:v>-2.2679577914291</c:v>
                </c:pt>
                <c:pt idx="190">
                  <c:v>-2.2679577914291</c:v>
                </c:pt>
                <c:pt idx="191">
                  <c:v>-2.2679577914291</c:v>
                </c:pt>
                <c:pt idx="192">
                  <c:v>-2.2679577914291</c:v>
                </c:pt>
                <c:pt idx="193">
                  <c:v>-2.2679577914291</c:v>
                </c:pt>
                <c:pt idx="194">
                  <c:v>-2.2679577914291</c:v>
                </c:pt>
                <c:pt idx="195">
                  <c:v>-2.2679577914291</c:v>
                </c:pt>
                <c:pt idx="196">
                  <c:v>-2.2679577914291</c:v>
                </c:pt>
                <c:pt idx="197">
                  <c:v>-2.2679577914291</c:v>
                </c:pt>
                <c:pt idx="198">
                  <c:v>-2.2679577914291</c:v>
                </c:pt>
                <c:pt idx="199">
                  <c:v>-2.2679577914291</c:v>
                </c:pt>
                <c:pt idx="200">
                  <c:v>-2.2679577914291</c:v>
                </c:pt>
                <c:pt idx="201">
                  <c:v>-2.2679577914291</c:v>
                </c:pt>
                <c:pt idx="202">
                  <c:v>-2.2679577914291</c:v>
                </c:pt>
                <c:pt idx="203">
                  <c:v>-2.2679577914291</c:v>
                </c:pt>
                <c:pt idx="204">
                  <c:v>-2.2679577914291</c:v>
                </c:pt>
                <c:pt idx="205">
                  <c:v>-2.2679577914291</c:v>
                </c:pt>
                <c:pt idx="206">
                  <c:v>-2.2679577914291</c:v>
                </c:pt>
                <c:pt idx="207">
                  <c:v>-2.2679577914291</c:v>
                </c:pt>
                <c:pt idx="208">
                  <c:v>-2.2679577914291</c:v>
                </c:pt>
                <c:pt idx="209">
                  <c:v>-2.2679577914291</c:v>
                </c:pt>
                <c:pt idx="210">
                  <c:v>-2.2679577914291</c:v>
                </c:pt>
                <c:pt idx="211">
                  <c:v>-2.2679577914291</c:v>
                </c:pt>
                <c:pt idx="212">
                  <c:v>-2.2679577914291</c:v>
                </c:pt>
                <c:pt idx="213">
                  <c:v>-2.2679577914291</c:v>
                </c:pt>
                <c:pt idx="214">
                  <c:v>-2.2679577914291</c:v>
                </c:pt>
                <c:pt idx="215">
                  <c:v>-2.2679577914291</c:v>
                </c:pt>
                <c:pt idx="216">
                  <c:v>-2.2679577914291</c:v>
                </c:pt>
                <c:pt idx="217">
                  <c:v>-2.2679577914291</c:v>
                </c:pt>
                <c:pt idx="218">
                  <c:v>-2.2679577914291</c:v>
                </c:pt>
                <c:pt idx="219">
                  <c:v>-2.2679577914291</c:v>
                </c:pt>
                <c:pt idx="220">
                  <c:v>-2.2679577914291</c:v>
                </c:pt>
                <c:pt idx="221">
                  <c:v>-2.2679577914291</c:v>
                </c:pt>
                <c:pt idx="222">
                  <c:v>-2.2679577914291</c:v>
                </c:pt>
                <c:pt idx="223">
                  <c:v>-2.2679577914291</c:v>
                </c:pt>
                <c:pt idx="224">
                  <c:v>-2.2679577914291</c:v>
                </c:pt>
                <c:pt idx="225">
                  <c:v>-2.2679577914291</c:v>
                </c:pt>
                <c:pt idx="226">
                  <c:v>-2.2679577914291</c:v>
                </c:pt>
                <c:pt idx="227">
                  <c:v>-2.2679577914291</c:v>
                </c:pt>
                <c:pt idx="228">
                  <c:v>-2.2679577914291</c:v>
                </c:pt>
                <c:pt idx="229">
                  <c:v>-2.2679577914291</c:v>
                </c:pt>
                <c:pt idx="230">
                  <c:v>-2.2679577914291</c:v>
                </c:pt>
                <c:pt idx="231">
                  <c:v>-2.2679577914291</c:v>
                </c:pt>
                <c:pt idx="232">
                  <c:v>-2.2679577914291</c:v>
                </c:pt>
                <c:pt idx="233">
                  <c:v>-2.2679577914291</c:v>
                </c:pt>
                <c:pt idx="234">
                  <c:v>-2.2679577914291</c:v>
                </c:pt>
                <c:pt idx="235">
                  <c:v>-2.2679577914291</c:v>
                </c:pt>
                <c:pt idx="236">
                  <c:v>-2.2679577914291</c:v>
                </c:pt>
                <c:pt idx="237">
                  <c:v>-2.2679577914291</c:v>
                </c:pt>
                <c:pt idx="238">
                  <c:v>-2.2679577914291</c:v>
                </c:pt>
                <c:pt idx="239">
                  <c:v>-2.2679577914291</c:v>
                </c:pt>
                <c:pt idx="240">
                  <c:v>-2.2679577914291</c:v>
                </c:pt>
                <c:pt idx="241">
                  <c:v>-2.2679577914291</c:v>
                </c:pt>
                <c:pt idx="242">
                  <c:v>-2.1597383732727686</c:v>
                </c:pt>
                <c:pt idx="243">
                  <c:v>-2.1597383732727686</c:v>
                </c:pt>
                <c:pt idx="244">
                  <c:v>-2.1597383732727686</c:v>
                </c:pt>
                <c:pt idx="245">
                  <c:v>-2.1597383732727686</c:v>
                </c:pt>
                <c:pt idx="246">
                  <c:v>-2.1597383732727686</c:v>
                </c:pt>
                <c:pt idx="247">
                  <c:v>-2.1597383732727686</c:v>
                </c:pt>
                <c:pt idx="248">
                  <c:v>-2.1597383732727686</c:v>
                </c:pt>
                <c:pt idx="249">
                  <c:v>-2.1597383732727686</c:v>
                </c:pt>
                <c:pt idx="250">
                  <c:v>-2.1597383732727686</c:v>
                </c:pt>
                <c:pt idx="251">
                  <c:v>-2.1597383732727686</c:v>
                </c:pt>
                <c:pt idx="252">
                  <c:v>-2.1597383732727686</c:v>
                </c:pt>
                <c:pt idx="253">
                  <c:v>-2.1597383732727686</c:v>
                </c:pt>
                <c:pt idx="254">
                  <c:v>-2.1597383732727686</c:v>
                </c:pt>
                <c:pt idx="255">
                  <c:v>-2.1597383732727686</c:v>
                </c:pt>
                <c:pt idx="256">
                  <c:v>-2.290842929156085</c:v>
                </c:pt>
                <c:pt idx="257">
                  <c:v>-2.290842929156085</c:v>
                </c:pt>
                <c:pt idx="258">
                  <c:v>-2.290842929156085</c:v>
                </c:pt>
                <c:pt idx="259">
                  <c:v>-2.290842929156085</c:v>
                </c:pt>
                <c:pt idx="260">
                  <c:v>-2.290842929156085</c:v>
                </c:pt>
                <c:pt idx="261">
                  <c:v>-2.290842929156085</c:v>
                </c:pt>
                <c:pt idx="262">
                  <c:v>-2.290842929156085</c:v>
                </c:pt>
                <c:pt idx="263">
                  <c:v>-2.290842929156085</c:v>
                </c:pt>
                <c:pt idx="264">
                  <c:v>-2.290842929156085</c:v>
                </c:pt>
                <c:pt idx="265">
                  <c:v>-2.290842929156085</c:v>
                </c:pt>
                <c:pt idx="266">
                  <c:v>-1.6929809429332021</c:v>
                </c:pt>
                <c:pt idx="267">
                  <c:v>-1.6929809429332021</c:v>
                </c:pt>
                <c:pt idx="268">
                  <c:v>-1.6929809429332021</c:v>
                </c:pt>
                <c:pt idx="269">
                  <c:v>-1.6929809429332021</c:v>
                </c:pt>
                <c:pt idx="270">
                  <c:v>-1.6929809429332021</c:v>
                </c:pt>
                <c:pt idx="271">
                  <c:v>-1.6929809429332021</c:v>
                </c:pt>
                <c:pt idx="272">
                  <c:v>-1.6929809429332021</c:v>
                </c:pt>
                <c:pt idx="273">
                  <c:v>-1.6929809429332021</c:v>
                </c:pt>
                <c:pt idx="274">
                  <c:v>-1.6929809429332021</c:v>
                </c:pt>
                <c:pt idx="275">
                  <c:v>-1.6929809429332021</c:v>
                </c:pt>
                <c:pt idx="276">
                  <c:v>-1.6929809429332021</c:v>
                </c:pt>
                <c:pt idx="277">
                  <c:v>-1.6929809429332021</c:v>
                </c:pt>
                <c:pt idx="278">
                  <c:v>-1.6929809429332021</c:v>
                </c:pt>
                <c:pt idx="279">
                  <c:v>-1.6929809429332021</c:v>
                </c:pt>
                <c:pt idx="280">
                  <c:v>-1.6929809429332021</c:v>
                </c:pt>
                <c:pt idx="281">
                  <c:v>-1.6929809429332021</c:v>
                </c:pt>
                <c:pt idx="282">
                  <c:v>-1.6929809429332021</c:v>
                </c:pt>
                <c:pt idx="283">
                  <c:v>-1.6929809429332021</c:v>
                </c:pt>
                <c:pt idx="284">
                  <c:v>-1.6929809429332021</c:v>
                </c:pt>
                <c:pt idx="285">
                  <c:v>-1.6929809429332021</c:v>
                </c:pt>
                <c:pt idx="286">
                  <c:v>-1.1581788995104692</c:v>
                </c:pt>
                <c:pt idx="287">
                  <c:v>-1.1581788995104692</c:v>
                </c:pt>
                <c:pt idx="288">
                  <c:v>-1.1581788995104692</c:v>
                </c:pt>
                <c:pt idx="289">
                  <c:v>-1.1581788995104692</c:v>
                </c:pt>
                <c:pt idx="290">
                  <c:v>-1.1581788995104692</c:v>
                </c:pt>
                <c:pt idx="291">
                  <c:v>-1.1581788995104692</c:v>
                </c:pt>
                <c:pt idx="292">
                  <c:v>-1.1581788995104692</c:v>
                </c:pt>
                <c:pt idx="293">
                  <c:v>-1.1581788995104692</c:v>
                </c:pt>
                <c:pt idx="294">
                  <c:v>-1.1581788995104692</c:v>
                </c:pt>
                <c:pt idx="295">
                  <c:v>-1.1581788995104692</c:v>
                </c:pt>
                <c:pt idx="296">
                  <c:v>-1.1581788995104692</c:v>
                </c:pt>
                <c:pt idx="297">
                  <c:v>-1.1581788995104692</c:v>
                </c:pt>
                <c:pt idx="298">
                  <c:v>-1.1581788995104692</c:v>
                </c:pt>
                <c:pt idx="299">
                  <c:v>-1.1581788995104692</c:v>
                </c:pt>
                <c:pt idx="300">
                  <c:v>-1.1581788995104692</c:v>
                </c:pt>
                <c:pt idx="301">
                  <c:v>-1.1581788995104692</c:v>
                </c:pt>
                <c:pt idx="302">
                  <c:v>-1.1581788995104692</c:v>
                </c:pt>
                <c:pt idx="303">
                  <c:v>-1.1581788995104692</c:v>
                </c:pt>
                <c:pt idx="304">
                  <c:v>-1.1581788995104692</c:v>
                </c:pt>
                <c:pt idx="305">
                  <c:v>-1.1581788995104692</c:v>
                </c:pt>
                <c:pt idx="306">
                  <c:v>-1.1581788995104692</c:v>
                </c:pt>
                <c:pt idx="307">
                  <c:v>-1.1581788995104692</c:v>
                </c:pt>
                <c:pt idx="308">
                  <c:v>-1.1581788995104692</c:v>
                </c:pt>
                <c:pt idx="309">
                  <c:v>-1.1581788995104692</c:v>
                </c:pt>
                <c:pt idx="310">
                  <c:v>-1.1581788995104692</c:v>
                </c:pt>
                <c:pt idx="311">
                  <c:v>-1.1581788995104692</c:v>
                </c:pt>
                <c:pt idx="312">
                  <c:v>-1.1581788995104692</c:v>
                </c:pt>
                <c:pt idx="313">
                  <c:v>-1.1581788995104692</c:v>
                </c:pt>
                <c:pt idx="314">
                  <c:v>-1.1581788995104692</c:v>
                </c:pt>
                <c:pt idx="315">
                  <c:v>-1.1581788995104692</c:v>
                </c:pt>
                <c:pt idx="316">
                  <c:v>-1.1581788995104692</c:v>
                </c:pt>
                <c:pt idx="317">
                  <c:v>-1.1581788995104692</c:v>
                </c:pt>
                <c:pt idx="318">
                  <c:v>-2.7756316087437582</c:v>
                </c:pt>
                <c:pt idx="319">
                  <c:v>-2.7756316087437582</c:v>
                </c:pt>
                <c:pt idx="320">
                  <c:v>-2.7756316087437582</c:v>
                </c:pt>
                <c:pt idx="321">
                  <c:v>-2.7756316087437582</c:v>
                </c:pt>
                <c:pt idx="322">
                  <c:v>-2.7756316087437582</c:v>
                </c:pt>
                <c:pt idx="323">
                  <c:v>-2.7756316087437582</c:v>
                </c:pt>
                <c:pt idx="324">
                  <c:v>-2.7756316087437582</c:v>
                </c:pt>
                <c:pt idx="325">
                  <c:v>-2.7756316087437582</c:v>
                </c:pt>
                <c:pt idx="326">
                  <c:v>-2.7756316087437582</c:v>
                </c:pt>
                <c:pt idx="327">
                  <c:v>-2.7756316087437582</c:v>
                </c:pt>
                <c:pt idx="328">
                  <c:v>-2.7756316087437582</c:v>
                </c:pt>
                <c:pt idx="329">
                  <c:v>-2.7756316087437582</c:v>
                </c:pt>
                <c:pt idx="330">
                  <c:v>-2.7756316087437582</c:v>
                </c:pt>
                <c:pt idx="331">
                  <c:v>-2.7756316087437582</c:v>
                </c:pt>
                <c:pt idx="332">
                  <c:v>-2.7756316087437582</c:v>
                </c:pt>
                <c:pt idx="333">
                  <c:v>-2.7756316087437582</c:v>
                </c:pt>
                <c:pt idx="334">
                  <c:v>-2.7756316087437582</c:v>
                </c:pt>
                <c:pt idx="335">
                  <c:v>-2.7756316087437582</c:v>
                </c:pt>
                <c:pt idx="336">
                  <c:v>-2.7756316087437582</c:v>
                </c:pt>
                <c:pt idx="337">
                  <c:v>-2.7756316087437582</c:v>
                </c:pt>
                <c:pt idx="338">
                  <c:v>-2.7756316087437582</c:v>
                </c:pt>
                <c:pt idx="339">
                  <c:v>-2.7756316087437582</c:v>
                </c:pt>
                <c:pt idx="340">
                  <c:v>-2.7756316087437582</c:v>
                </c:pt>
                <c:pt idx="341">
                  <c:v>-2.7756316087437582</c:v>
                </c:pt>
                <c:pt idx="342">
                  <c:v>-2.7756316087437582</c:v>
                </c:pt>
                <c:pt idx="343">
                  <c:v>-2.4685516361569055</c:v>
                </c:pt>
                <c:pt idx="344">
                  <c:v>-2.4685516361569055</c:v>
                </c:pt>
                <c:pt idx="345">
                  <c:v>-2.4685516361569055</c:v>
                </c:pt>
                <c:pt idx="346">
                  <c:v>-2.4685516361569055</c:v>
                </c:pt>
                <c:pt idx="347">
                  <c:v>-2.4685516361569055</c:v>
                </c:pt>
                <c:pt idx="348">
                  <c:v>-2.4685516361569055</c:v>
                </c:pt>
                <c:pt idx="349">
                  <c:v>-2.4685516361569055</c:v>
                </c:pt>
                <c:pt idx="350">
                  <c:v>-2.4685516361569055</c:v>
                </c:pt>
                <c:pt idx="351">
                  <c:v>-2.4685516361569055</c:v>
                </c:pt>
                <c:pt idx="352">
                  <c:v>-2.4685516361569055</c:v>
                </c:pt>
                <c:pt idx="353">
                  <c:v>-2.4685516361569055</c:v>
                </c:pt>
                <c:pt idx="354">
                  <c:v>-2.4685516361569055</c:v>
                </c:pt>
                <c:pt idx="355">
                  <c:v>-3.6020278946927151</c:v>
                </c:pt>
                <c:pt idx="356">
                  <c:v>-3.6020278946927151</c:v>
                </c:pt>
                <c:pt idx="357">
                  <c:v>-3.6020278946927151</c:v>
                </c:pt>
                <c:pt idx="358">
                  <c:v>-3.6020278946927151</c:v>
                </c:pt>
                <c:pt idx="359">
                  <c:v>-3.6020278946927151</c:v>
                </c:pt>
                <c:pt idx="360">
                  <c:v>-3.6020278946927151</c:v>
                </c:pt>
                <c:pt idx="361">
                  <c:v>-3.6020278946927151</c:v>
                </c:pt>
                <c:pt idx="362">
                  <c:v>-3.6020278946927151</c:v>
                </c:pt>
                <c:pt idx="363">
                  <c:v>-3.6020278946927151</c:v>
                </c:pt>
                <c:pt idx="364">
                  <c:v>-3.6020278946927151</c:v>
                </c:pt>
                <c:pt idx="365">
                  <c:v>-3.6020278946927151</c:v>
                </c:pt>
                <c:pt idx="366">
                  <c:v>-3.6020278946927151</c:v>
                </c:pt>
                <c:pt idx="367">
                  <c:v>-3.6020278946927151</c:v>
                </c:pt>
                <c:pt idx="368">
                  <c:v>-3.6020278946927151</c:v>
                </c:pt>
                <c:pt idx="369">
                  <c:v>-3.6020278946927151</c:v>
                </c:pt>
                <c:pt idx="370">
                  <c:v>-3.6020278946927151</c:v>
                </c:pt>
                <c:pt idx="371">
                  <c:v>-3.6020278946927151</c:v>
                </c:pt>
                <c:pt idx="372">
                  <c:v>-3.6020278946927151</c:v>
                </c:pt>
                <c:pt idx="373">
                  <c:v>-3.6020278946927151</c:v>
                </c:pt>
                <c:pt idx="374">
                  <c:v>-3.6020278946927151</c:v>
                </c:pt>
                <c:pt idx="375">
                  <c:v>-3.6020278946927151</c:v>
                </c:pt>
                <c:pt idx="376">
                  <c:v>-3.6020278946927151</c:v>
                </c:pt>
                <c:pt idx="377">
                  <c:v>-3.6020278946927151</c:v>
                </c:pt>
                <c:pt idx="378">
                  <c:v>-3.6020278946927151</c:v>
                </c:pt>
                <c:pt idx="379">
                  <c:v>-3.6020278946927151</c:v>
                </c:pt>
                <c:pt idx="380">
                  <c:v>-4.336088297377275</c:v>
                </c:pt>
                <c:pt idx="381">
                  <c:v>-3.1478574410966269</c:v>
                </c:pt>
                <c:pt idx="382">
                  <c:v>-3.1478574410966269</c:v>
                </c:pt>
                <c:pt idx="383">
                  <c:v>-3.1478574410966269</c:v>
                </c:pt>
                <c:pt idx="384">
                  <c:v>-3.1478574410966269</c:v>
                </c:pt>
                <c:pt idx="385">
                  <c:v>-3.1478574410966269</c:v>
                </c:pt>
                <c:pt idx="386">
                  <c:v>-3.1478574410966269</c:v>
                </c:pt>
                <c:pt idx="387">
                  <c:v>-3.1478574410966269</c:v>
                </c:pt>
                <c:pt idx="388">
                  <c:v>-3.1478574410966269</c:v>
                </c:pt>
                <c:pt idx="389">
                  <c:v>-3.1478574410966269</c:v>
                </c:pt>
                <c:pt idx="390">
                  <c:v>-1.3155870379734311</c:v>
                </c:pt>
                <c:pt idx="391">
                  <c:v>-1.3155870379734311</c:v>
                </c:pt>
                <c:pt idx="392">
                  <c:v>-1.3155870379734311</c:v>
                </c:pt>
                <c:pt idx="393">
                  <c:v>-1.3155870379734311</c:v>
                </c:pt>
                <c:pt idx="394">
                  <c:v>-1.3155870379734311</c:v>
                </c:pt>
                <c:pt idx="395">
                  <c:v>-1.3155870379734311</c:v>
                </c:pt>
                <c:pt idx="396">
                  <c:v>-1.3155870379734311</c:v>
                </c:pt>
                <c:pt idx="397">
                  <c:v>-1.3155870379734311</c:v>
                </c:pt>
                <c:pt idx="398">
                  <c:v>-1.3155870379734311</c:v>
                </c:pt>
                <c:pt idx="399">
                  <c:v>-1.3155870379734311</c:v>
                </c:pt>
                <c:pt idx="400">
                  <c:v>-1.3155870379734311</c:v>
                </c:pt>
                <c:pt idx="401">
                  <c:v>-1.3155870379734311</c:v>
                </c:pt>
                <c:pt idx="402">
                  <c:v>-1.3155870379734311</c:v>
                </c:pt>
                <c:pt idx="403">
                  <c:v>-1.3155870379734311</c:v>
                </c:pt>
                <c:pt idx="404">
                  <c:v>-1.3155870379734311</c:v>
                </c:pt>
                <c:pt idx="405">
                  <c:v>-1.3155870379734311</c:v>
                </c:pt>
                <c:pt idx="406">
                  <c:v>-1.3155870379734311</c:v>
                </c:pt>
                <c:pt idx="407">
                  <c:v>-1.3155870379734311</c:v>
                </c:pt>
                <c:pt idx="408">
                  <c:v>-1.3155870379734311</c:v>
                </c:pt>
                <c:pt idx="409">
                  <c:v>-1.3155870379734311</c:v>
                </c:pt>
                <c:pt idx="410">
                  <c:v>-1.3155870379734311</c:v>
                </c:pt>
                <c:pt idx="411">
                  <c:v>-1.3155870379734311</c:v>
                </c:pt>
                <c:pt idx="412">
                  <c:v>-1.3155870379734311</c:v>
                </c:pt>
                <c:pt idx="413">
                  <c:v>-1.3155870379734311</c:v>
                </c:pt>
                <c:pt idx="414">
                  <c:v>-0.60149940624852594</c:v>
                </c:pt>
                <c:pt idx="415">
                  <c:v>-0.60149940624852594</c:v>
                </c:pt>
                <c:pt idx="416">
                  <c:v>-0.60149940624852594</c:v>
                </c:pt>
                <c:pt idx="417">
                  <c:v>-0.60149940624852594</c:v>
                </c:pt>
                <c:pt idx="418">
                  <c:v>1.3305973851383228</c:v>
                </c:pt>
              </c:numCache>
            </c:numRef>
          </c:val>
          <c:smooth val="1"/>
          <c:extLst>
            <c:ext xmlns:c16="http://schemas.microsoft.com/office/drawing/2014/chart" uri="{C3380CC4-5D6E-409C-BE32-E72D297353CC}">
              <c16:uniqueId val="{00000004-7AEE-4D62-9FE5-2B87AD6DF366}"/>
            </c:ext>
          </c:extLst>
        </c:ser>
        <c:ser>
          <c:idx val="6"/>
          <c:order val="5"/>
          <c:tx>
            <c:v>XLP</c:v>
          </c:tx>
          <c:spPr>
            <a:ln w="28575" cap="rnd">
              <a:solidFill>
                <a:schemeClr val="accent1">
                  <a:lumMod val="60000"/>
                </a:schemeClr>
              </a:solidFill>
              <a:prstDash val="solid"/>
              <a:round/>
            </a:ln>
            <a:effectLst/>
          </c:spPr>
          <c:marker>
            <c:symbol val="none"/>
          </c:marker>
          <c:val>
            <c:numRef>
              <c:f>'2025-Q2'!$DI$4:$DI$422</c:f>
              <c:numCache>
                <c:formatCode>0.00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-0.83172699364602887</c:v>
                </c:pt>
                <c:pt idx="51">
                  <c:v>-0.83172699364602887</c:v>
                </c:pt>
                <c:pt idx="52">
                  <c:v>-0.83172699364602887</c:v>
                </c:pt>
                <c:pt idx="53">
                  <c:v>-0.83172699364602887</c:v>
                </c:pt>
                <c:pt idx="54">
                  <c:v>-0.83172699364602887</c:v>
                </c:pt>
                <c:pt idx="55">
                  <c:v>-0.83172699364602887</c:v>
                </c:pt>
                <c:pt idx="56">
                  <c:v>-0.83172699364602887</c:v>
                </c:pt>
                <c:pt idx="57">
                  <c:v>-0.83172699364602887</c:v>
                </c:pt>
                <c:pt idx="58">
                  <c:v>-0.83172699364602887</c:v>
                </c:pt>
                <c:pt idx="59">
                  <c:v>-0.83172699364602887</c:v>
                </c:pt>
                <c:pt idx="60">
                  <c:v>-0.83172699364602887</c:v>
                </c:pt>
                <c:pt idx="61">
                  <c:v>-0.83172699364602887</c:v>
                </c:pt>
                <c:pt idx="62">
                  <c:v>-0.83172699364602887</c:v>
                </c:pt>
                <c:pt idx="63">
                  <c:v>-0.83172699364602887</c:v>
                </c:pt>
                <c:pt idx="64">
                  <c:v>-0.83172699364602887</c:v>
                </c:pt>
                <c:pt idx="65">
                  <c:v>-0.83172699364602887</c:v>
                </c:pt>
                <c:pt idx="66">
                  <c:v>-0.83172699364602887</c:v>
                </c:pt>
                <c:pt idx="67">
                  <c:v>-0.83172699364602887</c:v>
                </c:pt>
                <c:pt idx="68">
                  <c:v>-0.83172699364602887</c:v>
                </c:pt>
                <c:pt idx="69">
                  <c:v>-0.83172699364602887</c:v>
                </c:pt>
                <c:pt idx="70">
                  <c:v>-0.83172699364602887</c:v>
                </c:pt>
                <c:pt idx="71">
                  <c:v>-0.83172699364602887</c:v>
                </c:pt>
                <c:pt idx="72">
                  <c:v>-0.83172699364602887</c:v>
                </c:pt>
                <c:pt idx="73">
                  <c:v>-0.83172699364602887</c:v>
                </c:pt>
                <c:pt idx="74">
                  <c:v>-0.83172699364602887</c:v>
                </c:pt>
                <c:pt idx="75">
                  <c:v>-0.83172699364602887</c:v>
                </c:pt>
                <c:pt idx="76">
                  <c:v>-0.83172699364602887</c:v>
                </c:pt>
                <c:pt idx="77">
                  <c:v>-0.83172699364602887</c:v>
                </c:pt>
                <c:pt idx="78">
                  <c:v>-0.83172699364602887</c:v>
                </c:pt>
                <c:pt idx="79">
                  <c:v>-0.83172699364602887</c:v>
                </c:pt>
                <c:pt idx="80">
                  <c:v>-0.83172699364602887</c:v>
                </c:pt>
                <c:pt idx="81">
                  <c:v>-0.83172699364602887</c:v>
                </c:pt>
                <c:pt idx="82">
                  <c:v>-0.83172699364602887</c:v>
                </c:pt>
                <c:pt idx="83">
                  <c:v>-0.83172699364602887</c:v>
                </c:pt>
                <c:pt idx="84">
                  <c:v>-0.83172699364602887</c:v>
                </c:pt>
                <c:pt idx="85">
                  <c:v>-0.83172699364602887</c:v>
                </c:pt>
                <c:pt idx="86">
                  <c:v>-1.3576828656466722</c:v>
                </c:pt>
                <c:pt idx="87">
                  <c:v>-1.3576828656466722</c:v>
                </c:pt>
                <c:pt idx="88">
                  <c:v>-1.3576828656466722</c:v>
                </c:pt>
                <c:pt idx="89">
                  <c:v>-1.3576828656466722</c:v>
                </c:pt>
                <c:pt idx="90">
                  <c:v>-1.3576828656466722</c:v>
                </c:pt>
                <c:pt idx="91">
                  <c:v>-1.3576828656466722</c:v>
                </c:pt>
                <c:pt idx="92">
                  <c:v>-1.3576828656466722</c:v>
                </c:pt>
                <c:pt idx="93">
                  <c:v>-1.3576828656466722</c:v>
                </c:pt>
                <c:pt idx="94">
                  <c:v>-1.3576828656466722</c:v>
                </c:pt>
                <c:pt idx="95">
                  <c:v>-1.3576828656466722</c:v>
                </c:pt>
                <c:pt idx="96">
                  <c:v>-1.3576828656466722</c:v>
                </c:pt>
                <c:pt idx="97">
                  <c:v>-1.3576828656466722</c:v>
                </c:pt>
                <c:pt idx="98">
                  <c:v>-1.3576828656466722</c:v>
                </c:pt>
                <c:pt idx="99">
                  <c:v>-1.3576828656466722</c:v>
                </c:pt>
                <c:pt idx="100">
                  <c:v>-1.3576828656466722</c:v>
                </c:pt>
                <c:pt idx="101">
                  <c:v>-1.8170936831137556</c:v>
                </c:pt>
                <c:pt idx="102">
                  <c:v>-1.8170936831137556</c:v>
                </c:pt>
                <c:pt idx="103">
                  <c:v>-1.8170936831137556</c:v>
                </c:pt>
                <c:pt idx="104">
                  <c:v>-1.8170936831137556</c:v>
                </c:pt>
                <c:pt idx="105">
                  <c:v>-1.8170936831137556</c:v>
                </c:pt>
                <c:pt idx="106">
                  <c:v>-1.8170936831137556</c:v>
                </c:pt>
                <c:pt idx="107">
                  <c:v>-1.8170936831137556</c:v>
                </c:pt>
                <c:pt idx="108">
                  <c:v>-1.8170936831137556</c:v>
                </c:pt>
                <c:pt idx="109">
                  <c:v>-1.8170936831137556</c:v>
                </c:pt>
                <c:pt idx="110">
                  <c:v>-1.8170936831137556</c:v>
                </c:pt>
                <c:pt idx="111">
                  <c:v>-1.8170936831137556</c:v>
                </c:pt>
                <c:pt idx="112">
                  <c:v>-1.8170936831137556</c:v>
                </c:pt>
                <c:pt idx="113">
                  <c:v>-1.8170936831137556</c:v>
                </c:pt>
                <c:pt idx="114">
                  <c:v>-1.3154755601364099</c:v>
                </c:pt>
                <c:pt idx="115">
                  <c:v>-1.3154755601364099</c:v>
                </c:pt>
                <c:pt idx="116">
                  <c:v>-1.3154755601364099</c:v>
                </c:pt>
                <c:pt idx="117">
                  <c:v>-1.3154755601364099</c:v>
                </c:pt>
                <c:pt idx="118">
                  <c:v>-1.3154755601364099</c:v>
                </c:pt>
                <c:pt idx="119">
                  <c:v>-1.3154755601364099</c:v>
                </c:pt>
                <c:pt idx="120">
                  <c:v>-1.3154755601364099</c:v>
                </c:pt>
                <c:pt idx="121">
                  <c:v>-1.3154755601364099</c:v>
                </c:pt>
                <c:pt idx="122">
                  <c:v>-1.3154755601364099</c:v>
                </c:pt>
                <c:pt idx="123">
                  <c:v>-1.3154755601364099</c:v>
                </c:pt>
                <c:pt idx="124">
                  <c:v>-1.3154755601364099</c:v>
                </c:pt>
                <c:pt idx="125">
                  <c:v>-1.3154755601364099</c:v>
                </c:pt>
                <c:pt idx="126">
                  <c:v>-1.3154755601364099</c:v>
                </c:pt>
                <c:pt idx="127">
                  <c:v>-1.3154755601364099</c:v>
                </c:pt>
                <c:pt idx="128">
                  <c:v>-1.3154755601364099</c:v>
                </c:pt>
                <c:pt idx="129">
                  <c:v>-1.3154755601364099</c:v>
                </c:pt>
                <c:pt idx="130">
                  <c:v>-1.3154755601364099</c:v>
                </c:pt>
                <c:pt idx="131">
                  <c:v>-1.3154755601364099</c:v>
                </c:pt>
                <c:pt idx="132">
                  <c:v>-1.3154755601364099</c:v>
                </c:pt>
                <c:pt idx="133">
                  <c:v>-1.3154755601364099</c:v>
                </c:pt>
                <c:pt idx="134">
                  <c:v>-1.3154755601364099</c:v>
                </c:pt>
                <c:pt idx="135">
                  <c:v>-1.3154755601364099</c:v>
                </c:pt>
                <c:pt idx="136">
                  <c:v>-1.3154755601364099</c:v>
                </c:pt>
                <c:pt idx="137">
                  <c:v>-1.3154755601364099</c:v>
                </c:pt>
                <c:pt idx="138">
                  <c:v>-1.3154755601364099</c:v>
                </c:pt>
                <c:pt idx="139">
                  <c:v>-1.3154755601364099</c:v>
                </c:pt>
                <c:pt idx="140">
                  <c:v>-1.4547707265941352</c:v>
                </c:pt>
                <c:pt idx="141">
                  <c:v>-1.4547707265941352</c:v>
                </c:pt>
                <c:pt idx="142">
                  <c:v>-1.4547707265941352</c:v>
                </c:pt>
                <c:pt idx="143">
                  <c:v>-1.4547707265941352</c:v>
                </c:pt>
                <c:pt idx="144">
                  <c:v>-1.4547707265941352</c:v>
                </c:pt>
                <c:pt idx="145">
                  <c:v>-1.4547707265941352</c:v>
                </c:pt>
                <c:pt idx="146">
                  <c:v>-1.4547707265941352</c:v>
                </c:pt>
                <c:pt idx="147">
                  <c:v>-1.4547707265941352</c:v>
                </c:pt>
                <c:pt idx="148">
                  <c:v>-1.4547707265941352</c:v>
                </c:pt>
                <c:pt idx="149">
                  <c:v>-1.4547707265941352</c:v>
                </c:pt>
                <c:pt idx="150">
                  <c:v>-1.4547707265941352</c:v>
                </c:pt>
                <c:pt idx="151">
                  <c:v>-1.4547707265941352</c:v>
                </c:pt>
                <c:pt idx="152">
                  <c:v>-1.4547707265941352</c:v>
                </c:pt>
                <c:pt idx="153">
                  <c:v>-1.4547707265941352</c:v>
                </c:pt>
                <c:pt idx="154">
                  <c:v>-1.4547707265941352</c:v>
                </c:pt>
                <c:pt idx="155">
                  <c:v>-1.4547707265941352</c:v>
                </c:pt>
                <c:pt idx="156">
                  <c:v>-1.4547707265941352</c:v>
                </c:pt>
                <c:pt idx="157">
                  <c:v>-1.4547707265941352</c:v>
                </c:pt>
                <c:pt idx="158">
                  <c:v>-1.4547707265941352</c:v>
                </c:pt>
                <c:pt idx="159">
                  <c:v>-1.4547707265941352</c:v>
                </c:pt>
                <c:pt idx="160">
                  <c:v>-0.8404015973735236</c:v>
                </c:pt>
                <c:pt idx="161">
                  <c:v>-0.8404015973735236</c:v>
                </c:pt>
                <c:pt idx="162">
                  <c:v>-0.8404015973735236</c:v>
                </c:pt>
                <c:pt idx="163">
                  <c:v>-0.8404015973735236</c:v>
                </c:pt>
                <c:pt idx="164">
                  <c:v>-0.8404015973735236</c:v>
                </c:pt>
                <c:pt idx="165">
                  <c:v>-0.8404015973735236</c:v>
                </c:pt>
                <c:pt idx="166">
                  <c:v>-0.8404015973735236</c:v>
                </c:pt>
                <c:pt idx="167">
                  <c:v>-0.8404015973735236</c:v>
                </c:pt>
                <c:pt idx="168">
                  <c:v>-0.8404015973735236</c:v>
                </c:pt>
                <c:pt idx="169">
                  <c:v>-0.8404015973735236</c:v>
                </c:pt>
                <c:pt idx="170">
                  <c:v>-0.8404015973735236</c:v>
                </c:pt>
                <c:pt idx="171">
                  <c:v>-0.8404015973735236</c:v>
                </c:pt>
                <c:pt idx="172">
                  <c:v>-0.8404015973735236</c:v>
                </c:pt>
                <c:pt idx="173">
                  <c:v>-0.8404015973735236</c:v>
                </c:pt>
                <c:pt idx="174">
                  <c:v>-0.8404015973735236</c:v>
                </c:pt>
                <c:pt idx="175">
                  <c:v>-0.8404015973735236</c:v>
                </c:pt>
                <c:pt idx="176">
                  <c:v>-0.8404015973735236</c:v>
                </c:pt>
                <c:pt idx="177">
                  <c:v>-0.8404015973735236</c:v>
                </c:pt>
                <c:pt idx="178">
                  <c:v>-0.8404015973735236</c:v>
                </c:pt>
                <c:pt idx="179">
                  <c:v>-0.8404015973735236</c:v>
                </c:pt>
                <c:pt idx="180">
                  <c:v>-0.8404015973735236</c:v>
                </c:pt>
                <c:pt idx="181">
                  <c:v>-0.8404015973735236</c:v>
                </c:pt>
                <c:pt idx="182">
                  <c:v>-0.8404015973735236</c:v>
                </c:pt>
                <c:pt idx="183">
                  <c:v>-0.8404015973735236</c:v>
                </c:pt>
                <c:pt idx="184">
                  <c:v>-0.8404015973735236</c:v>
                </c:pt>
                <c:pt idx="185">
                  <c:v>-0.8404015973735236</c:v>
                </c:pt>
                <c:pt idx="186">
                  <c:v>-0.8404015973735236</c:v>
                </c:pt>
                <c:pt idx="187">
                  <c:v>-0.8404015973735236</c:v>
                </c:pt>
                <c:pt idx="188">
                  <c:v>-0.8404015973735236</c:v>
                </c:pt>
                <c:pt idx="189">
                  <c:v>-0.8404015973735236</c:v>
                </c:pt>
                <c:pt idx="190">
                  <c:v>-0.8404015973735236</c:v>
                </c:pt>
                <c:pt idx="191">
                  <c:v>-0.8404015973735236</c:v>
                </c:pt>
                <c:pt idx="192">
                  <c:v>-0.8404015973735236</c:v>
                </c:pt>
                <c:pt idx="193">
                  <c:v>-0.8404015973735236</c:v>
                </c:pt>
                <c:pt idx="194">
                  <c:v>-0.8404015973735236</c:v>
                </c:pt>
                <c:pt idx="195">
                  <c:v>-0.8404015973735236</c:v>
                </c:pt>
                <c:pt idx="196">
                  <c:v>-0.8404015973735236</c:v>
                </c:pt>
                <c:pt idx="197">
                  <c:v>-0.8404015973735236</c:v>
                </c:pt>
                <c:pt idx="198">
                  <c:v>-0.8404015973735236</c:v>
                </c:pt>
                <c:pt idx="199">
                  <c:v>-0.8404015973735236</c:v>
                </c:pt>
                <c:pt idx="200">
                  <c:v>-0.8404015973735236</c:v>
                </c:pt>
                <c:pt idx="201">
                  <c:v>-0.8404015973735236</c:v>
                </c:pt>
                <c:pt idx="202">
                  <c:v>-0.8404015973735236</c:v>
                </c:pt>
                <c:pt idx="203">
                  <c:v>-0.8404015973735236</c:v>
                </c:pt>
                <c:pt idx="204">
                  <c:v>-0.8404015973735236</c:v>
                </c:pt>
                <c:pt idx="205">
                  <c:v>-1.9066052078694633</c:v>
                </c:pt>
                <c:pt idx="206">
                  <c:v>-1.9066052078694633</c:v>
                </c:pt>
                <c:pt idx="207">
                  <c:v>-1.9066052078694633</c:v>
                </c:pt>
                <c:pt idx="208">
                  <c:v>-1.9066052078694633</c:v>
                </c:pt>
                <c:pt idx="209">
                  <c:v>-1.9066052078694633</c:v>
                </c:pt>
                <c:pt idx="210">
                  <c:v>-1.9066052078694633</c:v>
                </c:pt>
                <c:pt idx="211">
                  <c:v>-1.9066052078694633</c:v>
                </c:pt>
                <c:pt idx="212">
                  <c:v>-1.9066052078694633</c:v>
                </c:pt>
                <c:pt idx="213">
                  <c:v>-1.9066052078694633</c:v>
                </c:pt>
                <c:pt idx="214">
                  <c:v>-1.9066052078694633</c:v>
                </c:pt>
                <c:pt idx="215">
                  <c:v>-1.9066052078694633</c:v>
                </c:pt>
                <c:pt idx="216">
                  <c:v>-1.9066052078694633</c:v>
                </c:pt>
                <c:pt idx="217">
                  <c:v>-1.9066052078694633</c:v>
                </c:pt>
                <c:pt idx="218">
                  <c:v>-1.9066052078694633</c:v>
                </c:pt>
                <c:pt idx="219">
                  <c:v>-1.9066052078694633</c:v>
                </c:pt>
                <c:pt idx="220">
                  <c:v>-1.9066052078694633</c:v>
                </c:pt>
                <c:pt idx="221">
                  <c:v>-1.9066052078694633</c:v>
                </c:pt>
                <c:pt idx="222">
                  <c:v>-1.9066052078694633</c:v>
                </c:pt>
                <c:pt idx="223">
                  <c:v>-1.9066052078694633</c:v>
                </c:pt>
                <c:pt idx="224">
                  <c:v>-1.9066052078694633</c:v>
                </c:pt>
                <c:pt idx="225">
                  <c:v>-1.9066052078694633</c:v>
                </c:pt>
                <c:pt idx="226">
                  <c:v>-1.9066052078694633</c:v>
                </c:pt>
                <c:pt idx="227">
                  <c:v>-1.9066052078694633</c:v>
                </c:pt>
                <c:pt idx="228">
                  <c:v>-1.9066052078694633</c:v>
                </c:pt>
                <c:pt idx="229">
                  <c:v>-1.9066052078694633</c:v>
                </c:pt>
                <c:pt idx="230">
                  <c:v>-1.9066052078694633</c:v>
                </c:pt>
                <c:pt idx="231">
                  <c:v>-1.9066052078694633</c:v>
                </c:pt>
                <c:pt idx="232">
                  <c:v>-1.9066052078694633</c:v>
                </c:pt>
                <c:pt idx="233">
                  <c:v>-1.9066052078694633</c:v>
                </c:pt>
                <c:pt idx="234">
                  <c:v>-1.9066052078694633</c:v>
                </c:pt>
                <c:pt idx="235">
                  <c:v>-1.9066052078694633</c:v>
                </c:pt>
                <c:pt idx="236">
                  <c:v>-1.9066052078694633</c:v>
                </c:pt>
                <c:pt idx="237">
                  <c:v>-1.9066052078694633</c:v>
                </c:pt>
                <c:pt idx="238">
                  <c:v>-1.9066052078694633</c:v>
                </c:pt>
                <c:pt idx="239">
                  <c:v>-1.9066052078694633</c:v>
                </c:pt>
                <c:pt idx="240">
                  <c:v>-1.9066052078694633</c:v>
                </c:pt>
                <c:pt idx="241">
                  <c:v>-1.9066052078694633</c:v>
                </c:pt>
                <c:pt idx="242">
                  <c:v>-1.9066052078694633</c:v>
                </c:pt>
                <c:pt idx="243">
                  <c:v>-1.9066052078694633</c:v>
                </c:pt>
                <c:pt idx="244">
                  <c:v>-1.9066052078694633</c:v>
                </c:pt>
                <c:pt idx="245">
                  <c:v>-1.9066052078694633</c:v>
                </c:pt>
                <c:pt idx="246">
                  <c:v>-1.9066052078694633</c:v>
                </c:pt>
                <c:pt idx="247">
                  <c:v>-1.9066052078694633</c:v>
                </c:pt>
                <c:pt idx="248">
                  <c:v>-1.9066052078694633</c:v>
                </c:pt>
                <c:pt idx="249">
                  <c:v>-1.9066052078694633</c:v>
                </c:pt>
                <c:pt idx="250">
                  <c:v>-1.9066052078694633</c:v>
                </c:pt>
                <c:pt idx="251">
                  <c:v>-2.7812008102163399</c:v>
                </c:pt>
                <c:pt idx="252">
                  <c:v>-2.7812008102163399</c:v>
                </c:pt>
                <c:pt idx="253">
                  <c:v>-2.7812008102163399</c:v>
                </c:pt>
                <c:pt idx="254">
                  <c:v>-2.7812008102163399</c:v>
                </c:pt>
                <c:pt idx="255">
                  <c:v>-2.7812008102163399</c:v>
                </c:pt>
                <c:pt idx="256">
                  <c:v>-2.7812008102163399</c:v>
                </c:pt>
                <c:pt idx="257">
                  <c:v>-2.7812008102163399</c:v>
                </c:pt>
                <c:pt idx="258">
                  <c:v>-2.7812008102163399</c:v>
                </c:pt>
                <c:pt idx="259">
                  <c:v>-2.7812008102163399</c:v>
                </c:pt>
                <c:pt idx="260">
                  <c:v>-2.7812008102163399</c:v>
                </c:pt>
                <c:pt idx="261">
                  <c:v>-2.7812008102163399</c:v>
                </c:pt>
                <c:pt idx="262">
                  <c:v>-2.7812008102163399</c:v>
                </c:pt>
                <c:pt idx="263">
                  <c:v>-2.7812008102163399</c:v>
                </c:pt>
                <c:pt idx="264">
                  <c:v>-2.7812008102163399</c:v>
                </c:pt>
                <c:pt idx="265">
                  <c:v>-2.7812008102163399</c:v>
                </c:pt>
                <c:pt idx="266">
                  <c:v>-2.7812008102163399</c:v>
                </c:pt>
                <c:pt idx="267">
                  <c:v>-2.7812008102163399</c:v>
                </c:pt>
                <c:pt idx="268">
                  <c:v>-2.7812008102163399</c:v>
                </c:pt>
                <c:pt idx="269">
                  <c:v>-2.7812008102163399</c:v>
                </c:pt>
                <c:pt idx="270">
                  <c:v>-2.7812008102163399</c:v>
                </c:pt>
                <c:pt idx="271">
                  <c:v>-2.7812008102163399</c:v>
                </c:pt>
                <c:pt idx="272">
                  <c:v>-2.7812008102163399</c:v>
                </c:pt>
                <c:pt idx="273">
                  <c:v>-2.7812008102163399</c:v>
                </c:pt>
                <c:pt idx="274">
                  <c:v>-2.7812008102163399</c:v>
                </c:pt>
                <c:pt idx="275">
                  <c:v>-2.7812008102163399</c:v>
                </c:pt>
                <c:pt idx="276">
                  <c:v>-2.7812008102163399</c:v>
                </c:pt>
                <c:pt idx="277">
                  <c:v>-2.7812008102163399</c:v>
                </c:pt>
                <c:pt idx="278">
                  <c:v>-2.7812008102163399</c:v>
                </c:pt>
                <c:pt idx="279">
                  <c:v>-2.7812008102163399</c:v>
                </c:pt>
                <c:pt idx="280">
                  <c:v>-2.7812008102163399</c:v>
                </c:pt>
                <c:pt idx="281">
                  <c:v>-2.7812008102163399</c:v>
                </c:pt>
                <c:pt idx="282">
                  <c:v>-2.7812008102163399</c:v>
                </c:pt>
                <c:pt idx="283">
                  <c:v>-2.7812008102163399</c:v>
                </c:pt>
                <c:pt idx="284">
                  <c:v>-2.7812008102163399</c:v>
                </c:pt>
                <c:pt idx="285">
                  <c:v>-2.7812008102163399</c:v>
                </c:pt>
                <c:pt idx="286">
                  <c:v>-2.7812008102163399</c:v>
                </c:pt>
                <c:pt idx="287">
                  <c:v>-2.7812008102163399</c:v>
                </c:pt>
                <c:pt idx="288">
                  <c:v>-2.7812008102163399</c:v>
                </c:pt>
                <c:pt idx="289">
                  <c:v>-2.7812008102163399</c:v>
                </c:pt>
                <c:pt idx="290">
                  <c:v>-2.7812008102163399</c:v>
                </c:pt>
                <c:pt idx="291">
                  <c:v>-2.7812008102163399</c:v>
                </c:pt>
                <c:pt idx="292">
                  <c:v>-2.7812008102163399</c:v>
                </c:pt>
                <c:pt idx="293">
                  <c:v>-2.7812008102163399</c:v>
                </c:pt>
                <c:pt idx="294">
                  <c:v>-2.7812008102163399</c:v>
                </c:pt>
                <c:pt idx="295">
                  <c:v>-2.7812008102163399</c:v>
                </c:pt>
                <c:pt idx="296">
                  <c:v>-2.7812008102163399</c:v>
                </c:pt>
                <c:pt idx="297">
                  <c:v>-2.7812008102163399</c:v>
                </c:pt>
                <c:pt idx="298">
                  <c:v>-2.7812008102163399</c:v>
                </c:pt>
                <c:pt idx="299">
                  <c:v>-2.7812008102163399</c:v>
                </c:pt>
                <c:pt idx="300">
                  <c:v>-2.7812008102163399</c:v>
                </c:pt>
                <c:pt idx="301">
                  <c:v>-2.7812008102163399</c:v>
                </c:pt>
                <c:pt idx="302">
                  <c:v>-2.7812008102163399</c:v>
                </c:pt>
                <c:pt idx="303">
                  <c:v>-2.7812008102163399</c:v>
                </c:pt>
                <c:pt idx="304">
                  <c:v>-2.7812008102163399</c:v>
                </c:pt>
                <c:pt idx="305">
                  <c:v>-2.7812008102163399</c:v>
                </c:pt>
                <c:pt idx="306">
                  <c:v>-2.7812008102163399</c:v>
                </c:pt>
                <c:pt idx="307">
                  <c:v>-2.7812008102163399</c:v>
                </c:pt>
                <c:pt idx="308">
                  <c:v>-2.7812008102163399</c:v>
                </c:pt>
                <c:pt idx="309">
                  <c:v>-2.7812008102163399</c:v>
                </c:pt>
                <c:pt idx="310">
                  <c:v>-2.7812008102163399</c:v>
                </c:pt>
                <c:pt idx="311">
                  <c:v>-2.7812008102163399</c:v>
                </c:pt>
                <c:pt idx="312">
                  <c:v>-2.7812008102163399</c:v>
                </c:pt>
                <c:pt idx="313">
                  <c:v>-2.7812008102163399</c:v>
                </c:pt>
                <c:pt idx="314">
                  <c:v>-2.7812008102163399</c:v>
                </c:pt>
                <c:pt idx="315">
                  <c:v>-2.7812008102163399</c:v>
                </c:pt>
                <c:pt idx="316">
                  <c:v>-2.7812008102163399</c:v>
                </c:pt>
                <c:pt idx="317">
                  <c:v>-2.7812008102163399</c:v>
                </c:pt>
                <c:pt idx="318">
                  <c:v>-2.7812008102163399</c:v>
                </c:pt>
                <c:pt idx="319">
                  <c:v>-2.7812008102163399</c:v>
                </c:pt>
                <c:pt idx="320">
                  <c:v>-2.7812008102163399</c:v>
                </c:pt>
                <c:pt idx="321">
                  <c:v>-2.7812008102163399</c:v>
                </c:pt>
                <c:pt idx="322">
                  <c:v>-2.7812008102163399</c:v>
                </c:pt>
                <c:pt idx="323">
                  <c:v>-2.7812008102163399</c:v>
                </c:pt>
                <c:pt idx="324">
                  <c:v>-2.7812008102163399</c:v>
                </c:pt>
                <c:pt idx="325">
                  <c:v>-2.7812008102163399</c:v>
                </c:pt>
                <c:pt idx="326">
                  <c:v>-2.7812008102163399</c:v>
                </c:pt>
                <c:pt idx="327">
                  <c:v>-2.7812008102163399</c:v>
                </c:pt>
                <c:pt idx="328">
                  <c:v>-2.7812008102163399</c:v>
                </c:pt>
                <c:pt idx="329">
                  <c:v>-2.7812008102163399</c:v>
                </c:pt>
                <c:pt idx="330">
                  <c:v>-2.7812008102163399</c:v>
                </c:pt>
                <c:pt idx="331">
                  <c:v>-2.7812008102163399</c:v>
                </c:pt>
                <c:pt idx="332">
                  <c:v>-2.7812008102163399</c:v>
                </c:pt>
                <c:pt idx="333">
                  <c:v>-2.7812008102163399</c:v>
                </c:pt>
                <c:pt idx="334">
                  <c:v>-2.7812008102163399</c:v>
                </c:pt>
                <c:pt idx="335">
                  <c:v>-2.7812008102163399</c:v>
                </c:pt>
                <c:pt idx="336">
                  <c:v>-3.216671910770577</c:v>
                </c:pt>
                <c:pt idx="337">
                  <c:v>-3.216671910770577</c:v>
                </c:pt>
                <c:pt idx="338">
                  <c:v>-3.216671910770577</c:v>
                </c:pt>
                <c:pt idx="339">
                  <c:v>-3.216671910770577</c:v>
                </c:pt>
                <c:pt idx="340">
                  <c:v>-3.216671910770577</c:v>
                </c:pt>
                <c:pt idx="341">
                  <c:v>-3.216671910770577</c:v>
                </c:pt>
                <c:pt idx="342">
                  <c:v>-3.216671910770577</c:v>
                </c:pt>
                <c:pt idx="343">
                  <c:v>-3.216671910770577</c:v>
                </c:pt>
                <c:pt idx="344">
                  <c:v>-3.216671910770577</c:v>
                </c:pt>
                <c:pt idx="345">
                  <c:v>-3.216671910770577</c:v>
                </c:pt>
                <c:pt idx="346">
                  <c:v>-3.216671910770577</c:v>
                </c:pt>
                <c:pt idx="347">
                  <c:v>-3.216671910770577</c:v>
                </c:pt>
                <c:pt idx="348">
                  <c:v>-3.216671910770577</c:v>
                </c:pt>
                <c:pt idx="349">
                  <c:v>-3.216671910770577</c:v>
                </c:pt>
                <c:pt idx="350">
                  <c:v>-3.216671910770577</c:v>
                </c:pt>
                <c:pt idx="351">
                  <c:v>-3.216671910770577</c:v>
                </c:pt>
                <c:pt idx="352">
                  <c:v>-3.216671910770577</c:v>
                </c:pt>
                <c:pt idx="353">
                  <c:v>-3.216671910770577</c:v>
                </c:pt>
                <c:pt idx="354">
                  <c:v>-3.216671910770577</c:v>
                </c:pt>
                <c:pt idx="355">
                  <c:v>-3.216671910770577</c:v>
                </c:pt>
                <c:pt idx="356">
                  <c:v>-3.216671910770577</c:v>
                </c:pt>
                <c:pt idx="357">
                  <c:v>-3.216671910770577</c:v>
                </c:pt>
                <c:pt idx="358">
                  <c:v>-3.216671910770577</c:v>
                </c:pt>
                <c:pt idx="359">
                  <c:v>-3.216671910770577</c:v>
                </c:pt>
                <c:pt idx="360">
                  <c:v>-3.216671910770577</c:v>
                </c:pt>
                <c:pt idx="361">
                  <c:v>-3.216671910770577</c:v>
                </c:pt>
                <c:pt idx="362">
                  <c:v>-3.216671910770577</c:v>
                </c:pt>
                <c:pt idx="363">
                  <c:v>-3.216671910770577</c:v>
                </c:pt>
                <c:pt idx="364">
                  <c:v>-3.216671910770577</c:v>
                </c:pt>
                <c:pt idx="365">
                  <c:v>-3.216671910770577</c:v>
                </c:pt>
                <c:pt idx="366">
                  <c:v>-3.216671910770577</c:v>
                </c:pt>
                <c:pt idx="367">
                  <c:v>-3.216671910770577</c:v>
                </c:pt>
                <c:pt idx="368">
                  <c:v>0.1663851794688358</c:v>
                </c:pt>
                <c:pt idx="369">
                  <c:v>0.1663851794688358</c:v>
                </c:pt>
                <c:pt idx="370">
                  <c:v>0.1663851794688358</c:v>
                </c:pt>
                <c:pt idx="371">
                  <c:v>0.1663851794688358</c:v>
                </c:pt>
                <c:pt idx="372">
                  <c:v>0.1663851794688358</c:v>
                </c:pt>
                <c:pt idx="373">
                  <c:v>0.1663851794688358</c:v>
                </c:pt>
                <c:pt idx="374">
                  <c:v>0.1663851794688358</c:v>
                </c:pt>
                <c:pt idx="375">
                  <c:v>0.1663851794688358</c:v>
                </c:pt>
                <c:pt idx="376">
                  <c:v>0.1663851794688358</c:v>
                </c:pt>
                <c:pt idx="377">
                  <c:v>0.1663851794688358</c:v>
                </c:pt>
                <c:pt idx="378">
                  <c:v>0.1663851794688358</c:v>
                </c:pt>
                <c:pt idx="379">
                  <c:v>-0.23863035537359656</c:v>
                </c:pt>
                <c:pt idx="380">
                  <c:v>-0.23863035537359656</c:v>
                </c:pt>
                <c:pt idx="381">
                  <c:v>-0.23863035537359656</c:v>
                </c:pt>
                <c:pt idx="382">
                  <c:v>-0.23863035537359656</c:v>
                </c:pt>
                <c:pt idx="383">
                  <c:v>-0.23863035537359656</c:v>
                </c:pt>
                <c:pt idx="384">
                  <c:v>-0.23863035537359656</c:v>
                </c:pt>
                <c:pt idx="385">
                  <c:v>-0.23863035537359656</c:v>
                </c:pt>
                <c:pt idx="386">
                  <c:v>-0.23863035537359656</c:v>
                </c:pt>
                <c:pt idx="387">
                  <c:v>-0.23863035537359656</c:v>
                </c:pt>
                <c:pt idx="388">
                  <c:v>-0.23863035537359656</c:v>
                </c:pt>
                <c:pt idx="389">
                  <c:v>-0.23863035537359656</c:v>
                </c:pt>
                <c:pt idx="390">
                  <c:v>-0.23863035537359656</c:v>
                </c:pt>
                <c:pt idx="391">
                  <c:v>-0.23863035537359656</c:v>
                </c:pt>
                <c:pt idx="392">
                  <c:v>-0.23863035537359656</c:v>
                </c:pt>
                <c:pt idx="393">
                  <c:v>-1.004058041816293</c:v>
                </c:pt>
                <c:pt idx="394">
                  <c:v>-1.004058041816293</c:v>
                </c:pt>
                <c:pt idx="395">
                  <c:v>-1.004058041816293</c:v>
                </c:pt>
                <c:pt idx="396">
                  <c:v>-1.004058041816293</c:v>
                </c:pt>
                <c:pt idx="397">
                  <c:v>-1.004058041816293</c:v>
                </c:pt>
                <c:pt idx="398">
                  <c:v>-1.004058041816293</c:v>
                </c:pt>
                <c:pt idx="399">
                  <c:v>-1.004058041816293</c:v>
                </c:pt>
                <c:pt idx="400">
                  <c:v>-1.004058041816293</c:v>
                </c:pt>
                <c:pt idx="401">
                  <c:v>-1.004058041816293</c:v>
                </c:pt>
                <c:pt idx="402">
                  <c:v>-1.004058041816293</c:v>
                </c:pt>
                <c:pt idx="403">
                  <c:v>-1.004058041816293</c:v>
                </c:pt>
                <c:pt idx="404">
                  <c:v>1.1482786833538656</c:v>
                </c:pt>
                <c:pt idx="405">
                  <c:v>1.1482786833538656</c:v>
                </c:pt>
                <c:pt idx="406">
                  <c:v>1.1482786833538656</c:v>
                </c:pt>
                <c:pt idx="407">
                  <c:v>1.1482786833538656</c:v>
                </c:pt>
                <c:pt idx="408">
                  <c:v>1.1482786833538656</c:v>
                </c:pt>
                <c:pt idx="409">
                  <c:v>1.1482786833538656</c:v>
                </c:pt>
                <c:pt idx="410">
                  <c:v>1.1482786833538656</c:v>
                </c:pt>
                <c:pt idx="411">
                  <c:v>1.1482786833538656</c:v>
                </c:pt>
                <c:pt idx="412">
                  <c:v>1.1482786833538656</c:v>
                </c:pt>
                <c:pt idx="413">
                  <c:v>1.1482786833538656</c:v>
                </c:pt>
                <c:pt idx="414">
                  <c:v>1.1482786833538656</c:v>
                </c:pt>
                <c:pt idx="415">
                  <c:v>1.1482786833538656</c:v>
                </c:pt>
                <c:pt idx="416">
                  <c:v>1.1482786833538656</c:v>
                </c:pt>
                <c:pt idx="417">
                  <c:v>1.1482786833538656</c:v>
                </c:pt>
                <c:pt idx="418">
                  <c:v>1.1482786833538656</c:v>
                </c:pt>
              </c:numCache>
            </c:numRef>
          </c:val>
          <c:smooth val="0"/>
          <c:extLst>
            <c:ext xmlns:c16="http://schemas.microsoft.com/office/drawing/2014/chart" uri="{C3380CC4-5D6E-409C-BE32-E72D297353CC}">
              <c16:uniqueId val="{00000005-7AEE-4D62-9FE5-2B87AD6DF366}"/>
            </c:ext>
          </c:extLst>
        </c:ser>
        <c:ser>
          <c:idx val="0"/>
          <c:order val="6"/>
          <c:tx>
            <c:v>XLF</c:v>
          </c:tx>
          <c:spPr>
            <a:ln w="28575" cap="rnd">
              <a:solidFill>
                <a:schemeClr val="accent5">
                  <a:lumMod val="20000"/>
                  <a:lumOff val="80000"/>
                </a:schemeClr>
              </a:solidFill>
              <a:prstDash val="solid"/>
              <a:round/>
            </a:ln>
            <a:effectLst/>
          </c:spPr>
          <c:marker>
            <c:symbol val="none"/>
          </c:marker>
          <c:val>
            <c:numRef>
              <c:f>'2025-Q2'!$DW$4:$DW$422</c:f>
              <c:numCache>
                <c:formatCode>0.00</c:formatCode>
                <c:ptCount val="419"/>
                <c:pt idx="0">
                  <c:v>0</c:v>
                </c:pt>
                <c:pt idx="1">
                  <c:v>0</c:v>
                </c:pt>
                <c:pt idx="2">
                  <c:v>-5.8708702097371709E-2</c:v>
                </c:pt>
                <c:pt idx="3">
                  <c:v>-0.47332867780116666</c:v>
                </c:pt>
                <c:pt idx="4">
                  <c:v>-0.67924094093413856</c:v>
                </c:pt>
                <c:pt idx="5">
                  <c:v>-1.331897252120668</c:v>
                </c:pt>
                <c:pt idx="6">
                  <c:v>-1.9089285900827602</c:v>
                </c:pt>
                <c:pt idx="7">
                  <c:v>-1.9089285900827602</c:v>
                </c:pt>
                <c:pt idx="8">
                  <c:v>-1.384429493461667</c:v>
                </c:pt>
                <c:pt idx="9">
                  <c:v>-1.384429493461667</c:v>
                </c:pt>
                <c:pt idx="10">
                  <c:v>-1.1287087299901912</c:v>
                </c:pt>
                <c:pt idx="11">
                  <c:v>-0.61511905632416297</c:v>
                </c:pt>
                <c:pt idx="12">
                  <c:v>-0.61511905632416297</c:v>
                </c:pt>
                <c:pt idx="13">
                  <c:v>-0.61511905632416297</c:v>
                </c:pt>
                <c:pt idx="14">
                  <c:v>-0.61511905632416297</c:v>
                </c:pt>
                <c:pt idx="15">
                  <c:v>-0.61511905632416297</c:v>
                </c:pt>
                <c:pt idx="16">
                  <c:v>-0.61511905632416297</c:v>
                </c:pt>
                <c:pt idx="17">
                  <c:v>-0.61511905632416297</c:v>
                </c:pt>
                <c:pt idx="18">
                  <c:v>-0.6705207183740266</c:v>
                </c:pt>
                <c:pt idx="19">
                  <c:v>-0.6705207183740266</c:v>
                </c:pt>
                <c:pt idx="20">
                  <c:v>-0.6705207183740266</c:v>
                </c:pt>
                <c:pt idx="21">
                  <c:v>-0.6705207183740266</c:v>
                </c:pt>
                <c:pt idx="22">
                  <c:v>-0.6705207183740266</c:v>
                </c:pt>
                <c:pt idx="23">
                  <c:v>-0.6705207183740266</c:v>
                </c:pt>
                <c:pt idx="24">
                  <c:v>-1.5349353024922392</c:v>
                </c:pt>
                <c:pt idx="25">
                  <c:v>-1.5349353024922392</c:v>
                </c:pt>
                <c:pt idx="26">
                  <c:v>-1.5349353024922392</c:v>
                </c:pt>
                <c:pt idx="27">
                  <c:v>-1.5349353024922392</c:v>
                </c:pt>
                <c:pt idx="28">
                  <c:v>-1.5349353024922392</c:v>
                </c:pt>
                <c:pt idx="29">
                  <c:v>-1.1023065046058436</c:v>
                </c:pt>
                <c:pt idx="30">
                  <c:v>-1.1023065046058436</c:v>
                </c:pt>
                <c:pt idx="31">
                  <c:v>-1.1023065046058436</c:v>
                </c:pt>
                <c:pt idx="32">
                  <c:v>-1.1023065046058436</c:v>
                </c:pt>
                <c:pt idx="33">
                  <c:v>-1.1003295949110772</c:v>
                </c:pt>
                <c:pt idx="34">
                  <c:v>-1.1003295949110772</c:v>
                </c:pt>
                <c:pt idx="35">
                  <c:v>-1.1003295949110772</c:v>
                </c:pt>
                <c:pt idx="36">
                  <c:v>-1.1003295949110772</c:v>
                </c:pt>
                <c:pt idx="37">
                  <c:v>-0.89834078198379175</c:v>
                </c:pt>
                <c:pt idx="38">
                  <c:v>-0.89834078198379175</c:v>
                </c:pt>
                <c:pt idx="39">
                  <c:v>-0.89834078198379175</c:v>
                </c:pt>
                <c:pt idx="40">
                  <c:v>-0.89834078198379175</c:v>
                </c:pt>
                <c:pt idx="41">
                  <c:v>-0.89834078198379175</c:v>
                </c:pt>
                <c:pt idx="42">
                  <c:v>-0.89834078198379175</c:v>
                </c:pt>
                <c:pt idx="43">
                  <c:v>-0.89834078198379175</c:v>
                </c:pt>
                <c:pt idx="44">
                  <c:v>-0.89834078198379175</c:v>
                </c:pt>
                <c:pt idx="45">
                  <c:v>-0.89834078198379175</c:v>
                </c:pt>
                <c:pt idx="46">
                  <c:v>-0.89834078198379175</c:v>
                </c:pt>
                <c:pt idx="47">
                  <c:v>-0.89834078198379175</c:v>
                </c:pt>
                <c:pt idx="48">
                  <c:v>-0.89834078198379175</c:v>
                </c:pt>
                <c:pt idx="49">
                  <c:v>-0.89834078198379175</c:v>
                </c:pt>
                <c:pt idx="50">
                  <c:v>-0.89834078198379175</c:v>
                </c:pt>
                <c:pt idx="51">
                  <c:v>-0.89834078198379175</c:v>
                </c:pt>
                <c:pt idx="52">
                  <c:v>-0.89834078198379175</c:v>
                </c:pt>
                <c:pt idx="53">
                  <c:v>-0.89834078198379175</c:v>
                </c:pt>
                <c:pt idx="54">
                  <c:v>-0.89834078198379175</c:v>
                </c:pt>
                <c:pt idx="55">
                  <c:v>-0.89834078198379175</c:v>
                </c:pt>
                <c:pt idx="56">
                  <c:v>-0.89834078198379175</c:v>
                </c:pt>
                <c:pt idx="57">
                  <c:v>-0.89834078198379175</c:v>
                </c:pt>
                <c:pt idx="58">
                  <c:v>-0.23245750740486493</c:v>
                </c:pt>
                <c:pt idx="59">
                  <c:v>-0.23245750740486493</c:v>
                </c:pt>
                <c:pt idx="60">
                  <c:v>-0.23245750740486493</c:v>
                </c:pt>
                <c:pt idx="61">
                  <c:v>-0.23245750740486493</c:v>
                </c:pt>
                <c:pt idx="62">
                  <c:v>-0.23245750740486493</c:v>
                </c:pt>
                <c:pt idx="63">
                  <c:v>-0.23245750740486493</c:v>
                </c:pt>
                <c:pt idx="64">
                  <c:v>-0.23245750740486493</c:v>
                </c:pt>
                <c:pt idx="65">
                  <c:v>-0.23245750740486493</c:v>
                </c:pt>
                <c:pt idx="66">
                  <c:v>-0.23245750740486493</c:v>
                </c:pt>
                <c:pt idx="67">
                  <c:v>-0.23245750740486493</c:v>
                </c:pt>
                <c:pt idx="68">
                  <c:v>-0.23245750740486493</c:v>
                </c:pt>
                <c:pt idx="69">
                  <c:v>-0.23245750740486493</c:v>
                </c:pt>
                <c:pt idx="70">
                  <c:v>-0.23245750740486493</c:v>
                </c:pt>
                <c:pt idx="71">
                  <c:v>-0.23245750740486493</c:v>
                </c:pt>
                <c:pt idx="72">
                  <c:v>-0.23245750740486493</c:v>
                </c:pt>
                <c:pt idx="73">
                  <c:v>-0.23245750740486493</c:v>
                </c:pt>
                <c:pt idx="74">
                  <c:v>-0.23245750740486493</c:v>
                </c:pt>
                <c:pt idx="75">
                  <c:v>-0.23245750740486493</c:v>
                </c:pt>
                <c:pt idx="76">
                  <c:v>-0.23245750740486493</c:v>
                </c:pt>
                <c:pt idx="77">
                  <c:v>-0.51693528082997942</c:v>
                </c:pt>
                <c:pt idx="78">
                  <c:v>-0.51693528082997942</c:v>
                </c:pt>
                <c:pt idx="79">
                  <c:v>-0.51693528082997942</c:v>
                </c:pt>
                <c:pt idx="80">
                  <c:v>-0.51693528082997942</c:v>
                </c:pt>
                <c:pt idx="81">
                  <c:v>-0.51693528082997942</c:v>
                </c:pt>
                <c:pt idx="82">
                  <c:v>-0.51693528082997942</c:v>
                </c:pt>
                <c:pt idx="83">
                  <c:v>-0.51693528082997942</c:v>
                </c:pt>
                <c:pt idx="84">
                  <c:v>-2.3640103614379946</c:v>
                </c:pt>
                <c:pt idx="85">
                  <c:v>-2.3640103614379946</c:v>
                </c:pt>
                <c:pt idx="86">
                  <c:v>-2.3640103614379946</c:v>
                </c:pt>
                <c:pt idx="87">
                  <c:v>-2.3640103614379946</c:v>
                </c:pt>
                <c:pt idx="88">
                  <c:v>-2.3640103614379946</c:v>
                </c:pt>
                <c:pt idx="89">
                  <c:v>-2.6814706788983136</c:v>
                </c:pt>
                <c:pt idx="90">
                  <c:v>-2.6814706788983136</c:v>
                </c:pt>
                <c:pt idx="91">
                  <c:v>-2.6814706788983136</c:v>
                </c:pt>
                <c:pt idx="92">
                  <c:v>-2.6814706788983136</c:v>
                </c:pt>
                <c:pt idx="93">
                  <c:v>-2.6814706788983136</c:v>
                </c:pt>
                <c:pt idx="94">
                  <c:v>-2.6814706788983136</c:v>
                </c:pt>
                <c:pt idx="95">
                  <c:v>-2.6814706788983136</c:v>
                </c:pt>
                <c:pt idx="96">
                  <c:v>-2.6814706788983136</c:v>
                </c:pt>
                <c:pt idx="97">
                  <c:v>-2.6814706788983136</c:v>
                </c:pt>
                <c:pt idx="98">
                  <c:v>-2.6814706788983136</c:v>
                </c:pt>
                <c:pt idx="99">
                  <c:v>-2.6814706788983136</c:v>
                </c:pt>
                <c:pt idx="100">
                  <c:v>-2.6814706788983136</c:v>
                </c:pt>
                <c:pt idx="101">
                  <c:v>-2.6814706788983136</c:v>
                </c:pt>
                <c:pt idx="102">
                  <c:v>-2.6814706788983136</c:v>
                </c:pt>
                <c:pt idx="103">
                  <c:v>-2.6814706788983136</c:v>
                </c:pt>
                <c:pt idx="104">
                  <c:v>-2.6814706788983136</c:v>
                </c:pt>
                <c:pt idx="105">
                  <c:v>-2.6814706788983136</c:v>
                </c:pt>
                <c:pt idx="106">
                  <c:v>-2.6814706788983136</c:v>
                </c:pt>
                <c:pt idx="107">
                  <c:v>-2.6814706788983136</c:v>
                </c:pt>
                <c:pt idx="108">
                  <c:v>-2.6814706788983136</c:v>
                </c:pt>
                <c:pt idx="109">
                  <c:v>-2.6814706788983136</c:v>
                </c:pt>
                <c:pt idx="110">
                  <c:v>-2.6814706788983136</c:v>
                </c:pt>
                <c:pt idx="111">
                  <c:v>-2.6814706788983136</c:v>
                </c:pt>
                <c:pt idx="112">
                  <c:v>-2.6814706788983136</c:v>
                </c:pt>
                <c:pt idx="113">
                  <c:v>-2.6814706788983136</c:v>
                </c:pt>
                <c:pt idx="114">
                  <c:v>-2.6814706788983136</c:v>
                </c:pt>
                <c:pt idx="115">
                  <c:v>-2.6814706788983136</c:v>
                </c:pt>
                <c:pt idx="116">
                  <c:v>-2.6814706788983136</c:v>
                </c:pt>
                <c:pt idx="117">
                  <c:v>-2.6814706788983136</c:v>
                </c:pt>
                <c:pt idx="118">
                  <c:v>-2.6814706788983136</c:v>
                </c:pt>
                <c:pt idx="119">
                  <c:v>-2.6814706788983136</c:v>
                </c:pt>
                <c:pt idx="120">
                  <c:v>-2.6814706788983136</c:v>
                </c:pt>
                <c:pt idx="121">
                  <c:v>-2.6814706788983136</c:v>
                </c:pt>
                <c:pt idx="122">
                  <c:v>-2.6814706788983136</c:v>
                </c:pt>
                <c:pt idx="123">
                  <c:v>-2.6814706788983136</c:v>
                </c:pt>
                <c:pt idx="124">
                  <c:v>-2.6814706788983136</c:v>
                </c:pt>
                <c:pt idx="125">
                  <c:v>-2.6814706788983136</c:v>
                </c:pt>
                <c:pt idx="126">
                  <c:v>-2.6814706788983136</c:v>
                </c:pt>
                <c:pt idx="127">
                  <c:v>-2.6814706788983136</c:v>
                </c:pt>
                <c:pt idx="128">
                  <c:v>-2.6814706788983136</c:v>
                </c:pt>
                <c:pt idx="129">
                  <c:v>-2.6814706788983136</c:v>
                </c:pt>
                <c:pt idx="130">
                  <c:v>-2.6814706788983136</c:v>
                </c:pt>
                <c:pt idx="131">
                  <c:v>-2.6814706788983136</c:v>
                </c:pt>
                <c:pt idx="132">
                  <c:v>-2.6814706788983136</c:v>
                </c:pt>
                <c:pt idx="133">
                  <c:v>-2.6814706788983136</c:v>
                </c:pt>
                <c:pt idx="134">
                  <c:v>-2.6814706788983136</c:v>
                </c:pt>
                <c:pt idx="135">
                  <c:v>-2.6814706788983136</c:v>
                </c:pt>
                <c:pt idx="136">
                  <c:v>-2.6814706788983136</c:v>
                </c:pt>
                <c:pt idx="137">
                  <c:v>-2.6814706788983136</c:v>
                </c:pt>
                <c:pt idx="138">
                  <c:v>-2.6814706788983136</c:v>
                </c:pt>
                <c:pt idx="139">
                  <c:v>-2.6814706788983136</c:v>
                </c:pt>
                <c:pt idx="140">
                  <c:v>-2.6814706788983136</c:v>
                </c:pt>
                <c:pt idx="141">
                  <c:v>-2.6814706788983136</c:v>
                </c:pt>
                <c:pt idx="142">
                  <c:v>-2.6814706788983136</c:v>
                </c:pt>
                <c:pt idx="143">
                  <c:v>-2.6814706788983136</c:v>
                </c:pt>
                <c:pt idx="144">
                  <c:v>-2.6814706788983136</c:v>
                </c:pt>
                <c:pt idx="145">
                  <c:v>-2.6814706788983136</c:v>
                </c:pt>
                <c:pt idx="146">
                  <c:v>-2.6814706788983136</c:v>
                </c:pt>
                <c:pt idx="147">
                  <c:v>-2.6814706788983136</c:v>
                </c:pt>
                <c:pt idx="148">
                  <c:v>-1.5072282546558893</c:v>
                </c:pt>
                <c:pt idx="149">
                  <c:v>-1.5072282546558893</c:v>
                </c:pt>
                <c:pt idx="150">
                  <c:v>-1.5072282546558893</c:v>
                </c:pt>
                <c:pt idx="151">
                  <c:v>-1.5072282546558893</c:v>
                </c:pt>
                <c:pt idx="152">
                  <c:v>-1.5072282546558893</c:v>
                </c:pt>
                <c:pt idx="153">
                  <c:v>-1.5072282546558893</c:v>
                </c:pt>
                <c:pt idx="154">
                  <c:v>-1.8527424265931112</c:v>
                </c:pt>
                <c:pt idx="155">
                  <c:v>-1.8527424265931112</c:v>
                </c:pt>
                <c:pt idx="156">
                  <c:v>-1.8527424265931112</c:v>
                </c:pt>
                <c:pt idx="157">
                  <c:v>-1.8527424265931112</c:v>
                </c:pt>
                <c:pt idx="158">
                  <c:v>-1.8527424265931112</c:v>
                </c:pt>
                <c:pt idx="159">
                  <c:v>-1.8527424265931112</c:v>
                </c:pt>
                <c:pt idx="160">
                  <c:v>-1.8527424265931112</c:v>
                </c:pt>
                <c:pt idx="161">
                  <c:v>-1.8527424265931112</c:v>
                </c:pt>
                <c:pt idx="162">
                  <c:v>-1.8527424265931112</c:v>
                </c:pt>
                <c:pt idx="163">
                  <c:v>-1.8527424265931112</c:v>
                </c:pt>
                <c:pt idx="164">
                  <c:v>-1.8527424265931112</c:v>
                </c:pt>
                <c:pt idx="165">
                  <c:v>-1.8527424265931112</c:v>
                </c:pt>
                <c:pt idx="166">
                  <c:v>-1.8527424265931112</c:v>
                </c:pt>
                <c:pt idx="167">
                  <c:v>-1.8527424265931112</c:v>
                </c:pt>
                <c:pt idx="168">
                  <c:v>-1.8527424265931112</c:v>
                </c:pt>
                <c:pt idx="169">
                  <c:v>-1.8527424265931112</c:v>
                </c:pt>
                <c:pt idx="170">
                  <c:v>-1.8527424265931112</c:v>
                </c:pt>
                <c:pt idx="171">
                  <c:v>-1.8527424265931112</c:v>
                </c:pt>
                <c:pt idx="172">
                  <c:v>-1.8527424265931112</c:v>
                </c:pt>
                <c:pt idx="173">
                  <c:v>-1.8527424265931112</c:v>
                </c:pt>
                <c:pt idx="174">
                  <c:v>-1.8527424265931112</c:v>
                </c:pt>
                <c:pt idx="175">
                  <c:v>-1.8527424265931112</c:v>
                </c:pt>
                <c:pt idx="176">
                  <c:v>-1.8527424265931112</c:v>
                </c:pt>
                <c:pt idx="177">
                  <c:v>-1.8527424265931112</c:v>
                </c:pt>
                <c:pt idx="178">
                  <c:v>-1.8527424265931112</c:v>
                </c:pt>
                <c:pt idx="179">
                  <c:v>-1.8527424265931112</c:v>
                </c:pt>
                <c:pt idx="180">
                  <c:v>-1.8527424265931112</c:v>
                </c:pt>
                <c:pt idx="181">
                  <c:v>-1.8527424265931112</c:v>
                </c:pt>
                <c:pt idx="182">
                  <c:v>-1.8527424265931112</c:v>
                </c:pt>
                <c:pt idx="183">
                  <c:v>-1.8527424265931112</c:v>
                </c:pt>
                <c:pt idx="184">
                  <c:v>-1.8527424265931112</c:v>
                </c:pt>
                <c:pt idx="185">
                  <c:v>-1.8527424265931112</c:v>
                </c:pt>
                <c:pt idx="186">
                  <c:v>-1.8527424265931112</c:v>
                </c:pt>
                <c:pt idx="187">
                  <c:v>-1.8527424265931112</c:v>
                </c:pt>
                <c:pt idx="188">
                  <c:v>-1.8527424265931112</c:v>
                </c:pt>
                <c:pt idx="189">
                  <c:v>-1.8527424265931112</c:v>
                </c:pt>
                <c:pt idx="190">
                  <c:v>-1.1689034257107362</c:v>
                </c:pt>
                <c:pt idx="191">
                  <c:v>-1.1689034257107362</c:v>
                </c:pt>
                <c:pt idx="192">
                  <c:v>-1.1689034257107362</c:v>
                </c:pt>
                <c:pt idx="193">
                  <c:v>-1.1689034257107362</c:v>
                </c:pt>
                <c:pt idx="194">
                  <c:v>-1.1689034257107362</c:v>
                </c:pt>
                <c:pt idx="195">
                  <c:v>-1.1689034257107362</c:v>
                </c:pt>
                <c:pt idx="196">
                  <c:v>-1.1099074520338865</c:v>
                </c:pt>
                <c:pt idx="197">
                  <c:v>-1.1099074520338865</c:v>
                </c:pt>
                <c:pt idx="198">
                  <c:v>-1.1099074520338865</c:v>
                </c:pt>
                <c:pt idx="199">
                  <c:v>-1.1099074520338865</c:v>
                </c:pt>
                <c:pt idx="200">
                  <c:v>-1.1099074520338865</c:v>
                </c:pt>
                <c:pt idx="201">
                  <c:v>-1.1099074520338865</c:v>
                </c:pt>
                <c:pt idx="202">
                  <c:v>-1.1099074520338865</c:v>
                </c:pt>
                <c:pt idx="203">
                  <c:v>-1.1099074520338865</c:v>
                </c:pt>
                <c:pt idx="204">
                  <c:v>-1.1099074520338865</c:v>
                </c:pt>
                <c:pt idx="205">
                  <c:v>-1.1099074520338865</c:v>
                </c:pt>
                <c:pt idx="206">
                  <c:v>-1.1099074520338865</c:v>
                </c:pt>
                <c:pt idx="207">
                  <c:v>-1.1099074520338865</c:v>
                </c:pt>
                <c:pt idx="208">
                  <c:v>-1.1099074520338865</c:v>
                </c:pt>
                <c:pt idx="209">
                  <c:v>-1.1099074520338865</c:v>
                </c:pt>
                <c:pt idx="210">
                  <c:v>-1.1099074520338865</c:v>
                </c:pt>
                <c:pt idx="211">
                  <c:v>-1.1099074520338865</c:v>
                </c:pt>
                <c:pt idx="212">
                  <c:v>-1.2815650893103838</c:v>
                </c:pt>
                <c:pt idx="213">
                  <c:v>-1.2815650893103838</c:v>
                </c:pt>
                <c:pt idx="214">
                  <c:v>-1.2815650893103838</c:v>
                </c:pt>
                <c:pt idx="215">
                  <c:v>-1.2815650893103838</c:v>
                </c:pt>
                <c:pt idx="216">
                  <c:v>-1.2815650893103838</c:v>
                </c:pt>
                <c:pt idx="217">
                  <c:v>-1.2815650893103838</c:v>
                </c:pt>
                <c:pt idx="218">
                  <c:v>-1.2815650893103838</c:v>
                </c:pt>
                <c:pt idx="219">
                  <c:v>-1.2815650893103838</c:v>
                </c:pt>
                <c:pt idx="220">
                  <c:v>-1.2815650893103838</c:v>
                </c:pt>
                <c:pt idx="221">
                  <c:v>-1.2815650893103838</c:v>
                </c:pt>
                <c:pt idx="222">
                  <c:v>-1.2815650893103838</c:v>
                </c:pt>
                <c:pt idx="223">
                  <c:v>-1.2815650893103838</c:v>
                </c:pt>
                <c:pt idx="224">
                  <c:v>-1.2815650893103838</c:v>
                </c:pt>
                <c:pt idx="225">
                  <c:v>-1.2815650893103838</c:v>
                </c:pt>
                <c:pt idx="226">
                  <c:v>-1.2815650893103838</c:v>
                </c:pt>
                <c:pt idx="227">
                  <c:v>-1.2815650893103838</c:v>
                </c:pt>
                <c:pt idx="228">
                  <c:v>-1.2815650893103838</c:v>
                </c:pt>
                <c:pt idx="229">
                  <c:v>-1.2815650893103838</c:v>
                </c:pt>
                <c:pt idx="230">
                  <c:v>-1.2815650893103838</c:v>
                </c:pt>
                <c:pt idx="231">
                  <c:v>-1.2815650893103838</c:v>
                </c:pt>
                <c:pt idx="232">
                  <c:v>-1.2815650893103838</c:v>
                </c:pt>
                <c:pt idx="233">
                  <c:v>-1.2815650893103838</c:v>
                </c:pt>
                <c:pt idx="234">
                  <c:v>-1.2815650893103838</c:v>
                </c:pt>
                <c:pt idx="235">
                  <c:v>-1.2815650893103838</c:v>
                </c:pt>
                <c:pt idx="236">
                  <c:v>-1.2815650893103838</c:v>
                </c:pt>
                <c:pt idx="237">
                  <c:v>-1.2815650893103838</c:v>
                </c:pt>
                <c:pt idx="238">
                  <c:v>-1.2815650893103838</c:v>
                </c:pt>
                <c:pt idx="239">
                  <c:v>-1.2815650893103838</c:v>
                </c:pt>
                <c:pt idx="240">
                  <c:v>-1.2815650893103838</c:v>
                </c:pt>
                <c:pt idx="241">
                  <c:v>-1.2815650893103838</c:v>
                </c:pt>
                <c:pt idx="242">
                  <c:v>-1.2815650893103838</c:v>
                </c:pt>
                <c:pt idx="243">
                  <c:v>-1.2815650893103838</c:v>
                </c:pt>
                <c:pt idx="244">
                  <c:v>-1.2815650893103838</c:v>
                </c:pt>
                <c:pt idx="245">
                  <c:v>-1.2815650893103838</c:v>
                </c:pt>
                <c:pt idx="246">
                  <c:v>-1.2815650893103838</c:v>
                </c:pt>
                <c:pt idx="247">
                  <c:v>-1.2815650893103838</c:v>
                </c:pt>
                <c:pt idx="248">
                  <c:v>-1.2815650893103838</c:v>
                </c:pt>
                <c:pt idx="249">
                  <c:v>-1.2815650893103838</c:v>
                </c:pt>
                <c:pt idx="250">
                  <c:v>-1.2815650893103838</c:v>
                </c:pt>
                <c:pt idx="251">
                  <c:v>-1.2815650893103838</c:v>
                </c:pt>
                <c:pt idx="252">
                  <c:v>-1.2815650893103838</c:v>
                </c:pt>
                <c:pt idx="253">
                  <c:v>-1.2815650893103838</c:v>
                </c:pt>
                <c:pt idx="254">
                  <c:v>-1.2815650893103838</c:v>
                </c:pt>
                <c:pt idx="255">
                  <c:v>-1.2815650893103838</c:v>
                </c:pt>
                <c:pt idx="256">
                  <c:v>-1.2815650893103838</c:v>
                </c:pt>
                <c:pt idx="257">
                  <c:v>-1.2815650893103838</c:v>
                </c:pt>
                <c:pt idx="258">
                  <c:v>-1.2815650893103838</c:v>
                </c:pt>
                <c:pt idx="259">
                  <c:v>-1.2815650893103838</c:v>
                </c:pt>
                <c:pt idx="260">
                  <c:v>-1.2815650893103838</c:v>
                </c:pt>
                <c:pt idx="261">
                  <c:v>-1.2815650893103838</c:v>
                </c:pt>
                <c:pt idx="262">
                  <c:v>-1.2815650893103838</c:v>
                </c:pt>
                <c:pt idx="263">
                  <c:v>-1.5454397913873317</c:v>
                </c:pt>
                <c:pt idx="264">
                  <c:v>-1.5454397913873317</c:v>
                </c:pt>
                <c:pt idx="265">
                  <c:v>-1.5454397913873317</c:v>
                </c:pt>
                <c:pt idx="266">
                  <c:v>-1.5454397913873317</c:v>
                </c:pt>
                <c:pt idx="267">
                  <c:v>-1.5454397913873317</c:v>
                </c:pt>
                <c:pt idx="268">
                  <c:v>-1.5454397913873317</c:v>
                </c:pt>
                <c:pt idx="269">
                  <c:v>-1.5454397913873317</c:v>
                </c:pt>
                <c:pt idx="270">
                  <c:v>-1.5454397913873317</c:v>
                </c:pt>
                <c:pt idx="271">
                  <c:v>-1.5454397913873317</c:v>
                </c:pt>
                <c:pt idx="272">
                  <c:v>-1.5454397913873317</c:v>
                </c:pt>
                <c:pt idx="273">
                  <c:v>-1.5454397913873317</c:v>
                </c:pt>
                <c:pt idx="274">
                  <c:v>-1.5454397913873317</c:v>
                </c:pt>
                <c:pt idx="275">
                  <c:v>-1.5454397913873317</c:v>
                </c:pt>
                <c:pt idx="276">
                  <c:v>-1.5454397913873317</c:v>
                </c:pt>
                <c:pt idx="277">
                  <c:v>-1.5454397913873317</c:v>
                </c:pt>
                <c:pt idx="278">
                  <c:v>-1.5454397913873317</c:v>
                </c:pt>
                <c:pt idx="279">
                  <c:v>-1.5454397913873317</c:v>
                </c:pt>
                <c:pt idx="280">
                  <c:v>-1.5454397913873317</c:v>
                </c:pt>
                <c:pt idx="281">
                  <c:v>-1.5454397913873317</c:v>
                </c:pt>
                <c:pt idx="282">
                  <c:v>-1.5454397913873317</c:v>
                </c:pt>
                <c:pt idx="283">
                  <c:v>-1.5454397913873317</c:v>
                </c:pt>
                <c:pt idx="284">
                  <c:v>-1.5454397913873317</c:v>
                </c:pt>
                <c:pt idx="285">
                  <c:v>-1.5454397913873317</c:v>
                </c:pt>
                <c:pt idx="286">
                  <c:v>-1.5454397913873317</c:v>
                </c:pt>
                <c:pt idx="287">
                  <c:v>-1.5454397913873317</c:v>
                </c:pt>
                <c:pt idx="288">
                  <c:v>-1.5454397913873317</c:v>
                </c:pt>
                <c:pt idx="289">
                  <c:v>-1.5454397913873317</c:v>
                </c:pt>
                <c:pt idx="290">
                  <c:v>-1.5454397913873317</c:v>
                </c:pt>
                <c:pt idx="291">
                  <c:v>-1.5454397913873317</c:v>
                </c:pt>
                <c:pt idx="292">
                  <c:v>-1.5454397913873317</c:v>
                </c:pt>
                <c:pt idx="293">
                  <c:v>-2.3377035686214001</c:v>
                </c:pt>
                <c:pt idx="294">
                  <c:v>-2.3377035686214001</c:v>
                </c:pt>
                <c:pt idx="295">
                  <c:v>-2.3377035686214001</c:v>
                </c:pt>
                <c:pt idx="296">
                  <c:v>-2.3377035686214001</c:v>
                </c:pt>
                <c:pt idx="297">
                  <c:v>-2.3377035686214001</c:v>
                </c:pt>
                <c:pt idx="298">
                  <c:v>-2.3377035686214001</c:v>
                </c:pt>
                <c:pt idx="299">
                  <c:v>-2.3377035686214001</c:v>
                </c:pt>
                <c:pt idx="300">
                  <c:v>-2.3377035686214001</c:v>
                </c:pt>
                <c:pt idx="301">
                  <c:v>-2.3377035686214001</c:v>
                </c:pt>
                <c:pt idx="302">
                  <c:v>-2.3377035686214001</c:v>
                </c:pt>
                <c:pt idx="303">
                  <c:v>-2.3377035686214001</c:v>
                </c:pt>
                <c:pt idx="304">
                  <c:v>-2.3377035686214001</c:v>
                </c:pt>
                <c:pt idx="305">
                  <c:v>-2.3377035686214001</c:v>
                </c:pt>
                <c:pt idx="306">
                  <c:v>-2.3377035686214001</c:v>
                </c:pt>
                <c:pt idx="307">
                  <c:v>-2.3377035686214001</c:v>
                </c:pt>
                <c:pt idx="308">
                  <c:v>-2.3377035686214001</c:v>
                </c:pt>
                <c:pt idx="309">
                  <c:v>-2.3377035686214001</c:v>
                </c:pt>
                <c:pt idx="310">
                  <c:v>-2.3377035686214001</c:v>
                </c:pt>
                <c:pt idx="311">
                  <c:v>-2.3377035686214001</c:v>
                </c:pt>
                <c:pt idx="312">
                  <c:v>-2.3377035686214001</c:v>
                </c:pt>
                <c:pt idx="313">
                  <c:v>-2.3377035686214001</c:v>
                </c:pt>
                <c:pt idx="314">
                  <c:v>-2.3377035686214001</c:v>
                </c:pt>
                <c:pt idx="315">
                  <c:v>-2.3377035686214001</c:v>
                </c:pt>
                <c:pt idx="316">
                  <c:v>-2.3377035686214001</c:v>
                </c:pt>
                <c:pt idx="317">
                  <c:v>-2.3377035686214001</c:v>
                </c:pt>
                <c:pt idx="318">
                  <c:v>-2.3377035686214001</c:v>
                </c:pt>
                <c:pt idx="319">
                  <c:v>-2.3377035686214001</c:v>
                </c:pt>
                <c:pt idx="320">
                  <c:v>-2.3377035686214001</c:v>
                </c:pt>
                <c:pt idx="321">
                  <c:v>-2.3377035686214001</c:v>
                </c:pt>
                <c:pt idx="322">
                  <c:v>-2.3377035686214001</c:v>
                </c:pt>
                <c:pt idx="323">
                  <c:v>-2.3377035686214001</c:v>
                </c:pt>
                <c:pt idx="324">
                  <c:v>-2.3377035686214001</c:v>
                </c:pt>
                <c:pt idx="325">
                  <c:v>-2.3377035686214001</c:v>
                </c:pt>
                <c:pt idx="326">
                  <c:v>-2.3377035686214001</c:v>
                </c:pt>
                <c:pt idx="327">
                  <c:v>-2.3377035686214001</c:v>
                </c:pt>
                <c:pt idx="328">
                  <c:v>-2.3377035686214001</c:v>
                </c:pt>
                <c:pt idx="329">
                  <c:v>-2.3377035686214001</c:v>
                </c:pt>
                <c:pt idx="330">
                  <c:v>-2.3377035686214001</c:v>
                </c:pt>
                <c:pt idx="331">
                  <c:v>-2.3377035686214001</c:v>
                </c:pt>
                <c:pt idx="332">
                  <c:v>-2.3377035686214001</c:v>
                </c:pt>
                <c:pt idx="333">
                  <c:v>-2.3377035686214001</c:v>
                </c:pt>
                <c:pt idx="334">
                  <c:v>-2.3377035686214001</c:v>
                </c:pt>
                <c:pt idx="335">
                  <c:v>-2.3377035686214001</c:v>
                </c:pt>
                <c:pt idx="336">
                  <c:v>-2.3377035686214001</c:v>
                </c:pt>
                <c:pt idx="337">
                  <c:v>-2.3377035686214001</c:v>
                </c:pt>
                <c:pt idx="338">
                  <c:v>-2.3377035686214001</c:v>
                </c:pt>
                <c:pt idx="339">
                  <c:v>-2.3377035686214001</c:v>
                </c:pt>
                <c:pt idx="340">
                  <c:v>-2.3377035686214001</c:v>
                </c:pt>
                <c:pt idx="341">
                  <c:v>-2.3377035686214001</c:v>
                </c:pt>
                <c:pt idx="342">
                  <c:v>-2.3377035686214001</c:v>
                </c:pt>
                <c:pt idx="343">
                  <c:v>-2.3377035686214001</c:v>
                </c:pt>
                <c:pt idx="344">
                  <c:v>-2.3377035686214001</c:v>
                </c:pt>
                <c:pt idx="345">
                  <c:v>-2.3377035686214001</c:v>
                </c:pt>
                <c:pt idx="346">
                  <c:v>-2.3377035686214001</c:v>
                </c:pt>
                <c:pt idx="347">
                  <c:v>-2.3377035686214001</c:v>
                </c:pt>
                <c:pt idx="348">
                  <c:v>-2.3377035686214001</c:v>
                </c:pt>
                <c:pt idx="349">
                  <c:v>-2.3377035686214001</c:v>
                </c:pt>
                <c:pt idx="350">
                  <c:v>-2.3377035686214001</c:v>
                </c:pt>
                <c:pt idx="351">
                  <c:v>-2.3377035686214001</c:v>
                </c:pt>
                <c:pt idx="352">
                  <c:v>-2.3377035686214001</c:v>
                </c:pt>
                <c:pt idx="353">
                  <c:v>-2.3377035686214001</c:v>
                </c:pt>
                <c:pt idx="354">
                  <c:v>-2.3377035686214001</c:v>
                </c:pt>
                <c:pt idx="355">
                  <c:v>-2.3377035686214001</c:v>
                </c:pt>
                <c:pt idx="356">
                  <c:v>-2.3377035686214001</c:v>
                </c:pt>
                <c:pt idx="357">
                  <c:v>-2.3377035686214001</c:v>
                </c:pt>
                <c:pt idx="358">
                  <c:v>-2.3377035686214001</c:v>
                </c:pt>
                <c:pt idx="359">
                  <c:v>-2.3377035686214001</c:v>
                </c:pt>
                <c:pt idx="360">
                  <c:v>-2.3377035686214001</c:v>
                </c:pt>
                <c:pt idx="361">
                  <c:v>-2.3377035686214001</c:v>
                </c:pt>
                <c:pt idx="362">
                  <c:v>-2.3377035686214001</c:v>
                </c:pt>
                <c:pt idx="363">
                  <c:v>-2.3377035686214001</c:v>
                </c:pt>
                <c:pt idx="364">
                  <c:v>-2.3377035686214001</c:v>
                </c:pt>
                <c:pt idx="365">
                  <c:v>-2.3377035686214001</c:v>
                </c:pt>
                <c:pt idx="366">
                  <c:v>-2.3377035686214001</c:v>
                </c:pt>
                <c:pt idx="367">
                  <c:v>-2.3377035686214001</c:v>
                </c:pt>
                <c:pt idx="368">
                  <c:v>-2.3377035686214001</c:v>
                </c:pt>
                <c:pt idx="369">
                  <c:v>-2.3377035686214001</c:v>
                </c:pt>
                <c:pt idx="370">
                  <c:v>-2.3377035686214001</c:v>
                </c:pt>
                <c:pt idx="371">
                  <c:v>-2.3377035686214001</c:v>
                </c:pt>
                <c:pt idx="372">
                  <c:v>-2.3377035686214001</c:v>
                </c:pt>
                <c:pt idx="373">
                  <c:v>-2.3377035686214001</c:v>
                </c:pt>
                <c:pt idx="374">
                  <c:v>-2.3377035686214001</c:v>
                </c:pt>
                <c:pt idx="375">
                  <c:v>-2.3377035686214001</c:v>
                </c:pt>
                <c:pt idx="376">
                  <c:v>-2.3377035686214001</c:v>
                </c:pt>
                <c:pt idx="377">
                  <c:v>-2.3377035686214001</c:v>
                </c:pt>
                <c:pt idx="378">
                  <c:v>-2.3377035686214001</c:v>
                </c:pt>
                <c:pt idx="379">
                  <c:v>-2.3377035686214001</c:v>
                </c:pt>
                <c:pt idx="380">
                  <c:v>-2.3377035686214001</c:v>
                </c:pt>
                <c:pt idx="381">
                  <c:v>-2.3377035686214001</c:v>
                </c:pt>
                <c:pt idx="382">
                  <c:v>-2.3377035686214001</c:v>
                </c:pt>
                <c:pt idx="383">
                  <c:v>-2.3377035686214001</c:v>
                </c:pt>
                <c:pt idx="384">
                  <c:v>-2.3377035686214001</c:v>
                </c:pt>
                <c:pt idx="385">
                  <c:v>-2.3377035686214001</c:v>
                </c:pt>
                <c:pt idx="386">
                  <c:v>-2.3377035686214001</c:v>
                </c:pt>
                <c:pt idx="387">
                  <c:v>-2.3377035686214001</c:v>
                </c:pt>
                <c:pt idx="388">
                  <c:v>-2.3377035686214001</c:v>
                </c:pt>
                <c:pt idx="389">
                  <c:v>-2.3377035686214001</c:v>
                </c:pt>
                <c:pt idx="390">
                  <c:v>-2.3377035686214001</c:v>
                </c:pt>
                <c:pt idx="391">
                  <c:v>-2.3377035686214001</c:v>
                </c:pt>
                <c:pt idx="392">
                  <c:v>-2.3377035686214001</c:v>
                </c:pt>
                <c:pt idx="393">
                  <c:v>-2.3377035686214001</c:v>
                </c:pt>
                <c:pt idx="394">
                  <c:v>-2.3377035686214001</c:v>
                </c:pt>
                <c:pt idx="395">
                  <c:v>-2.3377035686214001</c:v>
                </c:pt>
                <c:pt idx="396">
                  <c:v>-2.3377035686214001</c:v>
                </c:pt>
                <c:pt idx="397">
                  <c:v>-2.3377035686214001</c:v>
                </c:pt>
                <c:pt idx="398">
                  <c:v>-2.3377035686214001</c:v>
                </c:pt>
                <c:pt idx="399">
                  <c:v>-2.3377035686214001</c:v>
                </c:pt>
                <c:pt idx="400">
                  <c:v>-2.3377035686214001</c:v>
                </c:pt>
                <c:pt idx="401">
                  <c:v>-2.3377035686214001</c:v>
                </c:pt>
                <c:pt idx="402">
                  <c:v>-2.3377035686214001</c:v>
                </c:pt>
                <c:pt idx="403">
                  <c:v>-2.3377035686214001</c:v>
                </c:pt>
                <c:pt idx="404">
                  <c:v>-2.3377035686214001</c:v>
                </c:pt>
                <c:pt idx="405">
                  <c:v>-2.3377035686214001</c:v>
                </c:pt>
                <c:pt idx="406">
                  <c:v>-2.3377035686214001</c:v>
                </c:pt>
                <c:pt idx="407">
                  <c:v>-2.3377035686214001</c:v>
                </c:pt>
                <c:pt idx="408">
                  <c:v>-2.3377035686214001</c:v>
                </c:pt>
                <c:pt idx="409">
                  <c:v>-2.3377035686214001</c:v>
                </c:pt>
                <c:pt idx="410">
                  <c:v>-2.3377035686214001</c:v>
                </c:pt>
                <c:pt idx="411">
                  <c:v>-2.3377035686214001</c:v>
                </c:pt>
                <c:pt idx="412">
                  <c:v>-2.3377035686214001</c:v>
                </c:pt>
                <c:pt idx="413">
                  <c:v>-2.3377035686214001</c:v>
                </c:pt>
                <c:pt idx="414">
                  <c:v>-2.3377035686214001</c:v>
                </c:pt>
                <c:pt idx="415">
                  <c:v>-2.3377035686214001</c:v>
                </c:pt>
                <c:pt idx="416">
                  <c:v>-2.3377035686214001</c:v>
                </c:pt>
                <c:pt idx="417">
                  <c:v>-2.3377035686214001</c:v>
                </c:pt>
                <c:pt idx="418">
                  <c:v>-2.3377035686214001</c:v>
                </c:pt>
              </c:numCache>
            </c:numRef>
          </c:val>
          <c:smooth val="1"/>
          <c:extLst>
            <c:ext xmlns:c16="http://schemas.microsoft.com/office/drawing/2014/chart" uri="{C3380CC4-5D6E-409C-BE32-E72D297353CC}">
              <c16:uniqueId val="{00000006-7AEE-4D62-9FE5-2B87AD6DF366}"/>
            </c:ext>
          </c:extLst>
        </c:ser>
        <c:ser>
          <c:idx val="1"/>
          <c:order val="7"/>
          <c:tx>
            <c:v>XLV</c:v>
          </c:tx>
          <c:spPr>
            <a:ln w="28575" cap="rnd">
              <a:solidFill>
                <a:srgbClr val="7030A0"/>
              </a:solidFill>
              <a:prstDash val="solid"/>
              <a:round/>
            </a:ln>
            <a:effectLst/>
          </c:spPr>
          <c:marker>
            <c:symbol val="none"/>
          </c:marker>
          <c:val>
            <c:numRef>
              <c:f>'2025-Q2'!$EK$4:$EK$422</c:f>
              <c:numCache>
                <c:formatCode>0.00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0.1446834240304033</c:v>
                </c:pt>
                <c:pt idx="14">
                  <c:v>0.1446834240304033</c:v>
                </c:pt>
                <c:pt idx="15">
                  <c:v>0.1446834240304033</c:v>
                </c:pt>
                <c:pt idx="16">
                  <c:v>0.1446834240304033</c:v>
                </c:pt>
                <c:pt idx="17">
                  <c:v>0.1446834240304033</c:v>
                </c:pt>
                <c:pt idx="18">
                  <c:v>0.1446834240304033</c:v>
                </c:pt>
                <c:pt idx="19">
                  <c:v>0.6035383334478206</c:v>
                </c:pt>
                <c:pt idx="20">
                  <c:v>0.6035383334478206</c:v>
                </c:pt>
                <c:pt idx="21">
                  <c:v>0.6035383334478206</c:v>
                </c:pt>
                <c:pt idx="22">
                  <c:v>0.6035383334478206</c:v>
                </c:pt>
                <c:pt idx="23">
                  <c:v>0.6035383334478206</c:v>
                </c:pt>
                <c:pt idx="24">
                  <c:v>0.6035383334478206</c:v>
                </c:pt>
                <c:pt idx="25">
                  <c:v>0.6035383334478206</c:v>
                </c:pt>
                <c:pt idx="26">
                  <c:v>0.6035383334478206</c:v>
                </c:pt>
                <c:pt idx="27">
                  <c:v>0.6035383334478206</c:v>
                </c:pt>
                <c:pt idx="28">
                  <c:v>0.6035383334478206</c:v>
                </c:pt>
                <c:pt idx="29">
                  <c:v>0.6035383334478206</c:v>
                </c:pt>
                <c:pt idx="30">
                  <c:v>0.6035383334478206</c:v>
                </c:pt>
                <c:pt idx="31">
                  <c:v>0.6035383334478206</c:v>
                </c:pt>
                <c:pt idx="32">
                  <c:v>0.6035383334478206</c:v>
                </c:pt>
                <c:pt idx="33">
                  <c:v>0.6035383334478206</c:v>
                </c:pt>
                <c:pt idx="34">
                  <c:v>0.6035383334478206</c:v>
                </c:pt>
                <c:pt idx="35">
                  <c:v>0.6035383334478206</c:v>
                </c:pt>
                <c:pt idx="36">
                  <c:v>0.6035383334478206</c:v>
                </c:pt>
                <c:pt idx="37">
                  <c:v>0.6035383334478206</c:v>
                </c:pt>
                <c:pt idx="38">
                  <c:v>0.6035383334478206</c:v>
                </c:pt>
                <c:pt idx="39">
                  <c:v>0.6035383334478206</c:v>
                </c:pt>
                <c:pt idx="40">
                  <c:v>0.6035383334478206</c:v>
                </c:pt>
                <c:pt idx="41">
                  <c:v>0.6035383334478206</c:v>
                </c:pt>
                <c:pt idx="42">
                  <c:v>0.6035383334478206</c:v>
                </c:pt>
                <c:pt idx="43">
                  <c:v>0.6035383334478206</c:v>
                </c:pt>
                <c:pt idx="44">
                  <c:v>0.6035383334478206</c:v>
                </c:pt>
                <c:pt idx="45">
                  <c:v>0.6035383334478206</c:v>
                </c:pt>
                <c:pt idx="46">
                  <c:v>0.6035383334478206</c:v>
                </c:pt>
                <c:pt idx="47">
                  <c:v>0.6035383334478206</c:v>
                </c:pt>
                <c:pt idx="48">
                  <c:v>0.6035383334478206</c:v>
                </c:pt>
                <c:pt idx="49">
                  <c:v>0.6035383334478206</c:v>
                </c:pt>
                <c:pt idx="50">
                  <c:v>0.6035383334478206</c:v>
                </c:pt>
                <c:pt idx="51">
                  <c:v>0.6035383334478206</c:v>
                </c:pt>
                <c:pt idx="52">
                  <c:v>0.6035383334478206</c:v>
                </c:pt>
                <c:pt idx="53">
                  <c:v>0.6035383334478206</c:v>
                </c:pt>
                <c:pt idx="54">
                  <c:v>1.3436756383175479</c:v>
                </c:pt>
                <c:pt idx="55">
                  <c:v>1.3436756383175479</c:v>
                </c:pt>
                <c:pt idx="56">
                  <c:v>1.3436756383175479</c:v>
                </c:pt>
                <c:pt idx="57">
                  <c:v>1.3436756383175479</c:v>
                </c:pt>
                <c:pt idx="58">
                  <c:v>1.3436756383175479</c:v>
                </c:pt>
                <c:pt idx="59">
                  <c:v>1.3436756383175479</c:v>
                </c:pt>
                <c:pt idx="60">
                  <c:v>1.3436756383175479</c:v>
                </c:pt>
                <c:pt idx="61">
                  <c:v>1.3436756383175479</c:v>
                </c:pt>
                <c:pt idx="62">
                  <c:v>1.3436756383175479</c:v>
                </c:pt>
                <c:pt idx="63">
                  <c:v>1.3436756383175479</c:v>
                </c:pt>
                <c:pt idx="64">
                  <c:v>1.3436756383175479</c:v>
                </c:pt>
                <c:pt idx="65">
                  <c:v>1.3436756383175479</c:v>
                </c:pt>
                <c:pt idx="66">
                  <c:v>1.3436756383175479</c:v>
                </c:pt>
                <c:pt idx="67">
                  <c:v>1.3436756383175479</c:v>
                </c:pt>
                <c:pt idx="68">
                  <c:v>1.3436756383175479</c:v>
                </c:pt>
                <c:pt idx="69">
                  <c:v>1.3436756383175479</c:v>
                </c:pt>
                <c:pt idx="70">
                  <c:v>1.3436756383175479</c:v>
                </c:pt>
                <c:pt idx="71">
                  <c:v>1.3436756383175479</c:v>
                </c:pt>
                <c:pt idx="72">
                  <c:v>1.3436756383175479</c:v>
                </c:pt>
                <c:pt idx="73">
                  <c:v>1.3436756383175479</c:v>
                </c:pt>
                <c:pt idx="74">
                  <c:v>2.2116398676705207</c:v>
                </c:pt>
                <c:pt idx="75">
                  <c:v>2.2116398676705207</c:v>
                </c:pt>
                <c:pt idx="76">
                  <c:v>2.2116398676705207</c:v>
                </c:pt>
                <c:pt idx="77">
                  <c:v>2.2116398676705207</c:v>
                </c:pt>
                <c:pt idx="78">
                  <c:v>2.2116398676705207</c:v>
                </c:pt>
                <c:pt idx="79">
                  <c:v>2.2116398676705207</c:v>
                </c:pt>
                <c:pt idx="80">
                  <c:v>2.2116398676705207</c:v>
                </c:pt>
                <c:pt idx="81">
                  <c:v>2.2116398676705207</c:v>
                </c:pt>
                <c:pt idx="82">
                  <c:v>2.2116398676705207</c:v>
                </c:pt>
                <c:pt idx="83">
                  <c:v>2.2116398676705207</c:v>
                </c:pt>
                <c:pt idx="84">
                  <c:v>2.2116398676705207</c:v>
                </c:pt>
                <c:pt idx="85">
                  <c:v>2.2116398676705207</c:v>
                </c:pt>
                <c:pt idx="86">
                  <c:v>2.2116398676705207</c:v>
                </c:pt>
                <c:pt idx="87">
                  <c:v>2.2116398676705207</c:v>
                </c:pt>
                <c:pt idx="88">
                  <c:v>2.2116398676705207</c:v>
                </c:pt>
                <c:pt idx="89">
                  <c:v>2.2116398676705207</c:v>
                </c:pt>
                <c:pt idx="90">
                  <c:v>2.2116398676705207</c:v>
                </c:pt>
                <c:pt idx="91">
                  <c:v>2.2116398676705207</c:v>
                </c:pt>
                <c:pt idx="92">
                  <c:v>2.2116398676705207</c:v>
                </c:pt>
                <c:pt idx="93">
                  <c:v>2.2116398676705207</c:v>
                </c:pt>
                <c:pt idx="94">
                  <c:v>2.2116398676705207</c:v>
                </c:pt>
                <c:pt idx="95">
                  <c:v>2.2116398676705207</c:v>
                </c:pt>
                <c:pt idx="96">
                  <c:v>2.2116398676705207</c:v>
                </c:pt>
                <c:pt idx="97">
                  <c:v>2.2116398676705207</c:v>
                </c:pt>
                <c:pt idx="98">
                  <c:v>2.2116398676705207</c:v>
                </c:pt>
                <c:pt idx="99">
                  <c:v>2.2116398676705207</c:v>
                </c:pt>
                <c:pt idx="100">
                  <c:v>2.2116398676705207</c:v>
                </c:pt>
                <c:pt idx="101">
                  <c:v>2.2116398676705207</c:v>
                </c:pt>
                <c:pt idx="102">
                  <c:v>2.2116398676705207</c:v>
                </c:pt>
                <c:pt idx="103">
                  <c:v>2.2116398676705207</c:v>
                </c:pt>
                <c:pt idx="104">
                  <c:v>2.2116398676705207</c:v>
                </c:pt>
                <c:pt idx="105">
                  <c:v>2.2116398676705207</c:v>
                </c:pt>
                <c:pt idx="106">
                  <c:v>2.2116398676705207</c:v>
                </c:pt>
                <c:pt idx="107">
                  <c:v>2.2116398676705207</c:v>
                </c:pt>
                <c:pt idx="108">
                  <c:v>2.2116398676705207</c:v>
                </c:pt>
                <c:pt idx="109">
                  <c:v>1.666813364294796</c:v>
                </c:pt>
                <c:pt idx="110">
                  <c:v>1.666813364294796</c:v>
                </c:pt>
                <c:pt idx="111">
                  <c:v>1.666813364294796</c:v>
                </c:pt>
                <c:pt idx="112">
                  <c:v>2.098357060534898</c:v>
                </c:pt>
                <c:pt idx="113">
                  <c:v>2.7220749737133643</c:v>
                </c:pt>
                <c:pt idx="114">
                  <c:v>2.7220749737133643</c:v>
                </c:pt>
                <c:pt idx="115">
                  <c:v>2.7220749737133643</c:v>
                </c:pt>
                <c:pt idx="116">
                  <c:v>2.7220749737133643</c:v>
                </c:pt>
                <c:pt idx="117">
                  <c:v>2.7220749737133643</c:v>
                </c:pt>
                <c:pt idx="118">
                  <c:v>2.7220749737133643</c:v>
                </c:pt>
                <c:pt idx="119">
                  <c:v>2.2873594184148476</c:v>
                </c:pt>
                <c:pt idx="120">
                  <c:v>2.2873594184148476</c:v>
                </c:pt>
                <c:pt idx="121">
                  <c:v>2.2873594184148476</c:v>
                </c:pt>
                <c:pt idx="122">
                  <c:v>2.2873594184148476</c:v>
                </c:pt>
                <c:pt idx="123">
                  <c:v>2.2873594184148476</c:v>
                </c:pt>
                <c:pt idx="124">
                  <c:v>2.2873594184148476</c:v>
                </c:pt>
                <c:pt idx="125">
                  <c:v>2.2873594184148476</c:v>
                </c:pt>
                <c:pt idx="126">
                  <c:v>2.2873594184148476</c:v>
                </c:pt>
                <c:pt idx="127">
                  <c:v>2.2873594184148476</c:v>
                </c:pt>
                <c:pt idx="128">
                  <c:v>2.2873594184148476</c:v>
                </c:pt>
                <c:pt idx="129">
                  <c:v>2.2873594184148476</c:v>
                </c:pt>
                <c:pt idx="130">
                  <c:v>1.7255127285193785</c:v>
                </c:pt>
                <c:pt idx="131">
                  <c:v>1.7255127285193785</c:v>
                </c:pt>
                <c:pt idx="132">
                  <c:v>1.7255127285193785</c:v>
                </c:pt>
                <c:pt idx="133">
                  <c:v>1.7255127285193785</c:v>
                </c:pt>
                <c:pt idx="134">
                  <c:v>1.7255127285193785</c:v>
                </c:pt>
                <c:pt idx="135">
                  <c:v>1.7255127285193785</c:v>
                </c:pt>
                <c:pt idx="136">
                  <c:v>1.7255127285193785</c:v>
                </c:pt>
                <c:pt idx="137">
                  <c:v>1.7255127285193785</c:v>
                </c:pt>
                <c:pt idx="138">
                  <c:v>1.7255127285193785</c:v>
                </c:pt>
                <c:pt idx="139">
                  <c:v>1.7255127285193785</c:v>
                </c:pt>
                <c:pt idx="140">
                  <c:v>1.7255127285193785</c:v>
                </c:pt>
                <c:pt idx="141">
                  <c:v>1.7255127285193785</c:v>
                </c:pt>
                <c:pt idx="142">
                  <c:v>1.7255127285193785</c:v>
                </c:pt>
                <c:pt idx="143">
                  <c:v>1.7255127285193785</c:v>
                </c:pt>
                <c:pt idx="144">
                  <c:v>1.7255127285193785</c:v>
                </c:pt>
                <c:pt idx="145">
                  <c:v>1.7255127285193785</c:v>
                </c:pt>
                <c:pt idx="146">
                  <c:v>1.7255127285193785</c:v>
                </c:pt>
                <c:pt idx="147">
                  <c:v>1.7255127285193785</c:v>
                </c:pt>
                <c:pt idx="148">
                  <c:v>1.7255127285193785</c:v>
                </c:pt>
                <c:pt idx="149">
                  <c:v>1.7255127285193785</c:v>
                </c:pt>
                <c:pt idx="150">
                  <c:v>1.7255127285193785</c:v>
                </c:pt>
                <c:pt idx="151">
                  <c:v>1.7255127285193785</c:v>
                </c:pt>
                <c:pt idx="152">
                  <c:v>1.7255127285193785</c:v>
                </c:pt>
                <c:pt idx="153">
                  <c:v>1.7255127285193785</c:v>
                </c:pt>
                <c:pt idx="154">
                  <c:v>1.7255127285193785</c:v>
                </c:pt>
                <c:pt idx="155">
                  <c:v>1.7255127285193785</c:v>
                </c:pt>
                <c:pt idx="156">
                  <c:v>1.7255127285193785</c:v>
                </c:pt>
                <c:pt idx="157">
                  <c:v>1.7255127285193785</c:v>
                </c:pt>
                <c:pt idx="158">
                  <c:v>1.7255127285193785</c:v>
                </c:pt>
                <c:pt idx="159">
                  <c:v>1.7255127285193785</c:v>
                </c:pt>
                <c:pt idx="160">
                  <c:v>1.7255127285193785</c:v>
                </c:pt>
                <c:pt idx="161">
                  <c:v>2.804966392787259</c:v>
                </c:pt>
                <c:pt idx="162">
                  <c:v>2.804966392787259</c:v>
                </c:pt>
                <c:pt idx="163">
                  <c:v>2.804966392787259</c:v>
                </c:pt>
                <c:pt idx="164">
                  <c:v>2.804966392787259</c:v>
                </c:pt>
                <c:pt idx="165">
                  <c:v>2.804966392787259</c:v>
                </c:pt>
                <c:pt idx="166">
                  <c:v>2.804966392787259</c:v>
                </c:pt>
                <c:pt idx="167">
                  <c:v>2.804966392787259</c:v>
                </c:pt>
                <c:pt idx="168">
                  <c:v>2.804966392787259</c:v>
                </c:pt>
                <c:pt idx="169">
                  <c:v>2.804966392787259</c:v>
                </c:pt>
                <c:pt idx="170">
                  <c:v>2.804966392787259</c:v>
                </c:pt>
                <c:pt idx="171">
                  <c:v>2.804966392787259</c:v>
                </c:pt>
                <c:pt idx="172">
                  <c:v>2.804966392787259</c:v>
                </c:pt>
                <c:pt idx="173">
                  <c:v>2.804966392787259</c:v>
                </c:pt>
                <c:pt idx="174">
                  <c:v>2.804966392787259</c:v>
                </c:pt>
                <c:pt idx="175">
                  <c:v>2.804966392787259</c:v>
                </c:pt>
                <c:pt idx="176">
                  <c:v>2.804966392787259</c:v>
                </c:pt>
                <c:pt idx="177">
                  <c:v>2.804966392787259</c:v>
                </c:pt>
                <c:pt idx="178">
                  <c:v>2.804966392787259</c:v>
                </c:pt>
                <c:pt idx="179">
                  <c:v>2.804966392787259</c:v>
                </c:pt>
                <c:pt idx="180">
                  <c:v>2.804966392787259</c:v>
                </c:pt>
                <c:pt idx="181">
                  <c:v>2.804966392787259</c:v>
                </c:pt>
                <c:pt idx="182">
                  <c:v>2.804966392787259</c:v>
                </c:pt>
                <c:pt idx="183">
                  <c:v>2.804966392787259</c:v>
                </c:pt>
                <c:pt idx="184">
                  <c:v>2.804966392787259</c:v>
                </c:pt>
                <c:pt idx="185">
                  <c:v>2.804966392787259</c:v>
                </c:pt>
                <c:pt idx="186">
                  <c:v>2.804966392787259</c:v>
                </c:pt>
                <c:pt idx="187">
                  <c:v>2.804966392787259</c:v>
                </c:pt>
                <c:pt idx="188">
                  <c:v>2.804966392787259</c:v>
                </c:pt>
                <c:pt idx="189">
                  <c:v>2.804966392787259</c:v>
                </c:pt>
                <c:pt idx="190">
                  <c:v>2.804966392787259</c:v>
                </c:pt>
                <c:pt idx="191">
                  <c:v>2.804966392787259</c:v>
                </c:pt>
                <c:pt idx="192">
                  <c:v>2.804966392787259</c:v>
                </c:pt>
                <c:pt idx="193">
                  <c:v>2.804966392787259</c:v>
                </c:pt>
                <c:pt idx="194">
                  <c:v>2.804966392787259</c:v>
                </c:pt>
                <c:pt idx="195">
                  <c:v>2.804966392787259</c:v>
                </c:pt>
                <c:pt idx="196">
                  <c:v>2.804966392787259</c:v>
                </c:pt>
                <c:pt idx="197">
                  <c:v>2.804966392787259</c:v>
                </c:pt>
                <c:pt idx="198">
                  <c:v>2.804966392787259</c:v>
                </c:pt>
                <c:pt idx="199">
                  <c:v>2.804966392787259</c:v>
                </c:pt>
                <c:pt idx="200">
                  <c:v>2.804966392787259</c:v>
                </c:pt>
                <c:pt idx="201">
                  <c:v>2.804966392787259</c:v>
                </c:pt>
                <c:pt idx="202">
                  <c:v>2.804966392787259</c:v>
                </c:pt>
                <c:pt idx="203">
                  <c:v>2.804966392787259</c:v>
                </c:pt>
                <c:pt idx="204">
                  <c:v>2.804966392787259</c:v>
                </c:pt>
                <c:pt idx="205">
                  <c:v>2.804966392787259</c:v>
                </c:pt>
                <c:pt idx="206">
                  <c:v>4.1736631838809082</c:v>
                </c:pt>
                <c:pt idx="207">
                  <c:v>4.1736631838809082</c:v>
                </c:pt>
                <c:pt idx="208">
                  <c:v>4.1736631838809082</c:v>
                </c:pt>
                <c:pt idx="209">
                  <c:v>4.1736631838809082</c:v>
                </c:pt>
                <c:pt idx="210">
                  <c:v>3.1548820132559188</c:v>
                </c:pt>
                <c:pt idx="211">
                  <c:v>3.1548820132559188</c:v>
                </c:pt>
                <c:pt idx="212">
                  <c:v>3.1548820132559188</c:v>
                </c:pt>
                <c:pt idx="213">
                  <c:v>3.1548820132559188</c:v>
                </c:pt>
                <c:pt idx="214">
                  <c:v>3.1548820132559188</c:v>
                </c:pt>
                <c:pt idx="215">
                  <c:v>3.1548820132559188</c:v>
                </c:pt>
                <c:pt idx="216">
                  <c:v>4.6014417494274094</c:v>
                </c:pt>
                <c:pt idx="217">
                  <c:v>4.6014417494274094</c:v>
                </c:pt>
                <c:pt idx="218">
                  <c:v>4.6014417494274094</c:v>
                </c:pt>
                <c:pt idx="219">
                  <c:v>4.6014417494274094</c:v>
                </c:pt>
                <c:pt idx="220">
                  <c:v>4.6014417494274094</c:v>
                </c:pt>
                <c:pt idx="221">
                  <c:v>4.6014417494274094</c:v>
                </c:pt>
                <c:pt idx="222">
                  <c:v>4.6014417494274094</c:v>
                </c:pt>
                <c:pt idx="223">
                  <c:v>4.6014417494274094</c:v>
                </c:pt>
                <c:pt idx="224">
                  <c:v>4.6014417494274094</c:v>
                </c:pt>
                <c:pt idx="225">
                  <c:v>4.6014417494274094</c:v>
                </c:pt>
                <c:pt idx="226">
                  <c:v>4.6014417494274094</c:v>
                </c:pt>
                <c:pt idx="227">
                  <c:v>4.6014417494274094</c:v>
                </c:pt>
                <c:pt idx="228">
                  <c:v>4.5969853022853275</c:v>
                </c:pt>
                <c:pt idx="229">
                  <c:v>4.5969853022853275</c:v>
                </c:pt>
                <c:pt idx="230">
                  <c:v>4.5969853022853275</c:v>
                </c:pt>
                <c:pt idx="231">
                  <c:v>4.5969853022853275</c:v>
                </c:pt>
                <c:pt idx="232">
                  <c:v>4.5969853022853275</c:v>
                </c:pt>
                <c:pt idx="233">
                  <c:v>5.050388173053765</c:v>
                </c:pt>
                <c:pt idx="234">
                  <c:v>5.050388173053765</c:v>
                </c:pt>
                <c:pt idx="235">
                  <c:v>5.050388173053765</c:v>
                </c:pt>
                <c:pt idx="236">
                  <c:v>5.050388173053765</c:v>
                </c:pt>
                <c:pt idx="237">
                  <c:v>5.050388173053765</c:v>
                </c:pt>
                <c:pt idx="238">
                  <c:v>5.050388173053765</c:v>
                </c:pt>
                <c:pt idx="239">
                  <c:v>5.050388173053765</c:v>
                </c:pt>
                <c:pt idx="240">
                  <c:v>5.050388173053765</c:v>
                </c:pt>
                <c:pt idx="241">
                  <c:v>5.050388173053765</c:v>
                </c:pt>
                <c:pt idx="242">
                  <c:v>5.050388173053765</c:v>
                </c:pt>
                <c:pt idx="243">
                  <c:v>5.050388173053765</c:v>
                </c:pt>
                <c:pt idx="244">
                  <c:v>5.050388173053765</c:v>
                </c:pt>
                <c:pt idx="245">
                  <c:v>5.050388173053765</c:v>
                </c:pt>
                <c:pt idx="246">
                  <c:v>5.050388173053765</c:v>
                </c:pt>
                <c:pt idx="247">
                  <c:v>5.050388173053765</c:v>
                </c:pt>
                <c:pt idx="248">
                  <c:v>5.050388173053765</c:v>
                </c:pt>
                <c:pt idx="249">
                  <c:v>5.050388173053765</c:v>
                </c:pt>
                <c:pt idx="250">
                  <c:v>5.050388173053765</c:v>
                </c:pt>
                <c:pt idx="251">
                  <c:v>5.050388173053765</c:v>
                </c:pt>
                <c:pt idx="252">
                  <c:v>5.050388173053765</c:v>
                </c:pt>
                <c:pt idx="253">
                  <c:v>5.050388173053765</c:v>
                </c:pt>
                <c:pt idx="254">
                  <c:v>5.050388173053765</c:v>
                </c:pt>
                <c:pt idx="255">
                  <c:v>5.050388173053765</c:v>
                </c:pt>
                <c:pt idx="256">
                  <c:v>5.050388173053765</c:v>
                </c:pt>
                <c:pt idx="257">
                  <c:v>5.050388173053765</c:v>
                </c:pt>
                <c:pt idx="258">
                  <c:v>5.050388173053765</c:v>
                </c:pt>
                <c:pt idx="259">
                  <c:v>5.050388173053765</c:v>
                </c:pt>
                <c:pt idx="260">
                  <c:v>5.050388173053765</c:v>
                </c:pt>
                <c:pt idx="261">
                  <c:v>5.050388173053765</c:v>
                </c:pt>
                <c:pt idx="262">
                  <c:v>5.050388173053765</c:v>
                </c:pt>
                <c:pt idx="263">
                  <c:v>5.050388173053765</c:v>
                </c:pt>
                <c:pt idx="264">
                  <c:v>5.050388173053765</c:v>
                </c:pt>
                <c:pt idx="265">
                  <c:v>5.050388173053765</c:v>
                </c:pt>
                <c:pt idx="266">
                  <c:v>5.050388173053765</c:v>
                </c:pt>
                <c:pt idx="267">
                  <c:v>5.050388173053765</c:v>
                </c:pt>
                <c:pt idx="268">
                  <c:v>5.050388173053765</c:v>
                </c:pt>
                <c:pt idx="269">
                  <c:v>5.050388173053765</c:v>
                </c:pt>
                <c:pt idx="270">
                  <c:v>5.050388173053765</c:v>
                </c:pt>
                <c:pt idx="271">
                  <c:v>5.050388173053765</c:v>
                </c:pt>
                <c:pt idx="272">
                  <c:v>5.050388173053765</c:v>
                </c:pt>
                <c:pt idx="273">
                  <c:v>5.050388173053765</c:v>
                </c:pt>
                <c:pt idx="274">
                  <c:v>5.050388173053765</c:v>
                </c:pt>
                <c:pt idx="275">
                  <c:v>5.050388173053765</c:v>
                </c:pt>
                <c:pt idx="276">
                  <c:v>5.050388173053765</c:v>
                </c:pt>
                <c:pt idx="277">
                  <c:v>5.050388173053765</c:v>
                </c:pt>
                <c:pt idx="278">
                  <c:v>5.050388173053765</c:v>
                </c:pt>
                <c:pt idx="279">
                  <c:v>5.050388173053765</c:v>
                </c:pt>
                <c:pt idx="280">
                  <c:v>5.050388173053765</c:v>
                </c:pt>
                <c:pt idx="281">
                  <c:v>5.050388173053765</c:v>
                </c:pt>
                <c:pt idx="282">
                  <c:v>5.050388173053765</c:v>
                </c:pt>
                <c:pt idx="283">
                  <c:v>5.050388173053765</c:v>
                </c:pt>
                <c:pt idx="284">
                  <c:v>5.050388173053765</c:v>
                </c:pt>
                <c:pt idx="285">
                  <c:v>5.050388173053765</c:v>
                </c:pt>
                <c:pt idx="286">
                  <c:v>5.050388173053765</c:v>
                </c:pt>
                <c:pt idx="287">
                  <c:v>5.050388173053765</c:v>
                </c:pt>
                <c:pt idx="288">
                  <c:v>5.050388173053765</c:v>
                </c:pt>
                <c:pt idx="289">
                  <c:v>5.050388173053765</c:v>
                </c:pt>
                <c:pt idx="290">
                  <c:v>5.050388173053765</c:v>
                </c:pt>
                <c:pt idx="291">
                  <c:v>5.050388173053765</c:v>
                </c:pt>
                <c:pt idx="292">
                  <c:v>5.050388173053765</c:v>
                </c:pt>
                <c:pt idx="293">
                  <c:v>5.050388173053765</c:v>
                </c:pt>
                <c:pt idx="294">
                  <c:v>5.050388173053765</c:v>
                </c:pt>
                <c:pt idx="295">
                  <c:v>5.050388173053765</c:v>
                </c:pt>
                <c:pt idx="296">
                  <c:v>5.050388173053765</c:v>
                </c:pt>
                <c:pt idx="297">
                  <c:v>5.050388173053765</c:v>
                </c:pt>
                <c:pt idx="298">
                  <c:v>5.050388173053765</c:v>
                </c:pt>
                <c:pt idx="299">
                  <c:v>5.050388173053765</c:v>
                </c:pt>
                <c:pt idx="300">
                  <c:v>5.050388173053765</c:v>
                </c:pt>
                <c:pt idx="301">
                  <c:v>5.050388173053765</c:v>
                </c:pt>
                <c:pt idx="302">
                  <c:v>5.050388173053765</c:v>
                </c:pt>
                <c:pt idx="303">
                  <c:v>5.050388173053765</c:v>
                </c:pt>
                <c:pt idx="304">
                  <c:v>5.050388173053765</c:v>
                </c:pt>
                <c:pt idx="305">
                  <c:v>5.050388173053765</c:v>
                </c:pt>
                <c:pt idx="306">
                  <c:v>5.050388173053765</c:v>
                </c:pt>
                <c:pt idx="307">
                  <c:v>5.050388173053765</c:v>
                </c:pt>
                <c:pt idx="308">
                  <c:v>5.050388173053765</c:v>
                </c:pt>
                <c:pt idx="309">
                  <c:v>5.050388173053765</c:v>
                </c:pt>
                <c:pt idx="310">
                  <c:v>5.050388173053765</c:v>
                </c:pt>
                <c:pt idx="311">
                  <c:v>5.050388173053765</c:v>
                </c:pt>
                <c:pt idx="312">
                  <c:v>5.050388173053765</c:v>
                </c:pt>
                <c:pt idx="313">
                  <c:v>5.050388173053765</c:v>
                </c:pt>
                <c:pt idx="314">
                  <c:v>5.050388173053765</c:v>
                </c:pt>
                <c:pt idx="315">
                  <c:v>5.050388173053765</c:v>
                </c:pt>
                <c:pt idx="316">
                  <c:v>5.050388173053765</c:v>
                </c:pt>
                <c:pt idx="317">
                  <c:v>5.050388173053765</c:v>
                </c:pt>
                <c:pt idx="318">
                  <c:v>5.050388173053765</c:v>
                </c:pt>
                <c:pt idx="319">
                  <c:v>7.3869640485401451</c:v>
                </c:pt>
                <c:pt idx="320">
                  <c:v>7.3869640485401451</c:v>
                </c:pt>
                <c:pt idx="321">
                  <c:v>7.3869640485401451</c:v>
                </c:pt>
                <c:pt idx="322">
                  <c:v>7.7196470241767461</c:v>
                </c:pt>
                <c:pt idx="323">
                  <c:v>7.7196470241767461</c:v>
                </c:pt>
                <c:pt idx="324">
                  <c:v>7.7196470241767461</c:v>
                </c:pt>
                <c:pt idx="325">
                  <c:v>7.7196470241767461</c:v>
                </c:pt>
                <c:pt idx="326">
                  <c:v>7.7196470241767461</c:v>
                </c:pt>
                <c:pt idx="327">
                  <c:v>7.5038562143265297</c:v>
                </c:pt>
                <c:pt idx="328">
                  <c:v>7.5038562143265297</c:v>
                </c:pt>
                <c:pt idx="329">
                  <c:v>7.5038562143265297</c:v>
                </c:pt>
                <c:pt idx="330">
                  <c:v>7.5038562143265297</c:v>
                </c:pt>
                <c:pt idx="331">
                  <c:v>7.5038562143265297</c:v>
                </c:pt>
                <c:pt idx="332">
                  <c:v>8.4415851520554703</c:v>
                </c:pt>
                <c:pt idx="333">
                  <c:v>8.4415851520554703</c:v>
                </c:pt>
                <c:pt idx="334">
                  <c:v>8.4415851520554703</c:v>
                </c:pt>
                <c:pt idx="335">
                  <c:v>8.4415851520554703</c:v>
                </c:pt>
                <c:pt idx="336">
                  <c:v>8.4415851520554703</c:v>
                </c:pt>
                <c:pt idx="337">
                  <c:v>8.4415851520554703</c:v>
                </c:pt>
                <c:pt idx="338">
                  <c:v>8.4415851520554703</c:v>
                </c:pt>
                <c:pt idx="339">
                  <c:v>8.4415851520554703</c:v>
                </c:pt>
                <c:pt idx="340">
                  <c:v>8.4415851520554703</c:v>
                </c:pt>
                <c:pt idx="341">
                  <c:v>8.4415851520554703</c:v>
                </c:pt>
                <c:pt idx="342">
                  <c:v>8.4415851520554703</c:v>
                </c:pt>
                <c:pt idx="343">
                  <c:v>8.4415851520554703</c:v>
                </c:pt>
                <c:pt idx="344">
                  <c:v>8.4415851520554703</c:v>
                </c:pt>
                <c:pt idx="345">
                  <c:v>8.4415851520554703</c:v>
                </c:pt>
                <c:pt idx="346">
                  <c:v>8.4415851520554703</c:v>
                </c:pt>
                <c:pt idx="347">
                  <c:v>8.4840381642896556</c:v>
                </c:pt>
                <c:pt idx="348">
                  <c:v>8.4840381642896556</c:v>
                </c:pt>
                <c:pt idx="349">
                  <c:v>8.4840381642896556</c:v>
                </c:pt>
                <c:pt idx="350">
                  <c:v>8.4840381642896556</c:v>
                </c:pt>
                <c:pt idx="351">
                  <c:v>8.4840381642896556</c:v>
                </c:pt>
                <c:pt idx="352">
                  <c:v>8.4840381642896556</c:v>
                </c:pt>
                <c:pt idx="353">
                  <c:v>8.4840381642896556</c:v>
                </c:pt>
                <c:pt idx="354">
                  <c:v>8.4840381642896556</c:v>
                </c:pt>
                <c:pt idx="355">
                  <c:v>8.4840381642896556</c:v>
                </c:pt>
                <c:pt idx="356">
                  <c:v>8.4840381642896556</c:v>
                </c:pt>
                <c:pt idx="357">
                  <c:v>8.4840381642896556</c:v>
                </c:pt>
                <c:pt idx="358">
                  <c:v>8.4840381642896556</c:v>
                </c:pt>
                <c:pt idx="359">
                  <c:v>8.4840381642896556</c:v>
                </c:pt>
                <c:pt idx="360">
                  <c:v>8.4840381642896556</c:v>
                </c:pt>
                <c:pt idx="361">
                  <c:v>8.4840381642896556</c:v>
                </c:pt>
                <c:pt idx="362">
                  <c:v>8.4840381642896556</c:v>
                </c:pt>
                <c:pt idx="363">
                  <c:v>8.4840381642896556</c:v>
                </c:pt>
                <c:pt idx="364">
                  <c:v>8.4840381642896556</c:v>
                </c:pt>
                <c:pt idx="365">
                  <c:v>8.4840381642896556</c:v>
                </c:pt>
                <c:pt idx="366">
                  <c:v>8.4840381642896556</c:v>
                </c:pt>
                <c:pt idx="367">
                  <c:v>8.4840381642896556</c:v>
                </c:pt>
                <c:pt idx="368">
                  <c:v>8.4840381642896556</c:v>
                </c:pt>
                <c:pt idx="369">
                  <c:v>8.4840381642896556</c:v>
                </c:pt>
                <c:pt idx="370">
                  <c:v>8.4840381642896556</c:v>
                </c:pt>
                <c:pt idx="371">
                  <c:v>8.4840381642896556</c:v>
                </c:pt>
                <c:pt idx="372">
                  <c:v>8.4840381642896556</c:v>
                </c:pt>
                <c:pt idx="373">
                  <c:v>9.3964359516874456</c:v>
                </c:pt>
                <c:pt idx="374">
                  <c:v>9.3964359516874456</c:v>
                </c:pt>
                <c:pt idx="375">
                  <c:v>9.3964359516874456</c:v>
                </c:pt>
                <c:pt idx="376">
                  <c:v>9.3964359516874456</c:v>
                </c:pt>
                <c:pt idx="377">
                  <c:v>11.820135611943035</c:v>
                </c:pt>
                <c:pt idx="378">
                  <c:v>11.820135611943035</c:v>
                </c:pt>
                <c:pt idx="379">
                  <c:v>11.820135611943035</c:v>
                </c:pt>
                <c:pt idx="380">
                  <c:v>11.820135611943035</c:v>
                </c:pt>
                <c:pt idx="381">
                  <c:v>11.820135611943035</c:v>
                </c:pt>
                <c:pt idx="382">
                  <c:v>11.820135611943035</c:v>
                </c:pt>
                <c:pt idx="383">
                  <c:v>11.820135611943035</c:v>
                </c:pt>
                <c:pt idx="384">
                  <c:v>11.820135611943035</c:v>
                </c:pt>
                <c:pt idx="385">
                  <c:v>11.820135611943035</c:v>
                </c:pt>
                <c:pt idx="386">
                  <c:v>11.820135611943035</c:v>
                </c:pt>
                <c:pt idx="387">
                  <c:v>11.820135611943035</c:v>
                </c:pt>
                <c:pt idx="388">
                  <c:v>11.820135611943035</c:v>
                </c:pt>
                <c:pt idx="389">
                  <c:v>11.820135611943035</c:v>
                </c:pt>
                <c:pt idx="390">
                  <c:v>11.820135611943035</c:v>
                </c:pt>
                <c:pt idx="391">
                  <c:v>11.820135611943035</c:v>
                </c:pt>
                <c:pt idx="392">
                  <c:v>11.820135611943035</c:v>
                </c:pt>
                <c:pt idx="393">
                  <c:v>11.820135611943035</c:v>
                </c:pt>
                <c:pt idx="394">
                  <c:v>13.156552985368888</c:v>
                </c:pt>
                <c:pt idx="395">
                  <c:v>13.156552985368888</c:v>
                </c:pt>
                <c:pt idx="396">
                  <c:v>13.156552985368888</c:v>
                </c:pt>
                <c:pt idx="397">
                  <c:v>13.156552985368888</c:v>
                </c:pt>
                <c:pt idx="398">
                  <c:v>13.156552985368888</c:v>
                </c:pt>
                <c:pt idx="399">
                  <c:v>13.156552985368888</c:v>
                </c:pt>
                <c:pt idx="400">
                  <c:v>13.156552985368888</c:v>
                </c:pt>
                <c:pt idx="401">
                  <c:v>13.156552985368888</c:v>
                </c:pt>
                <c:pt idx="402">
                  <c:v>13.156552985368888</c:v>
                </c:pt>
                <c:pt idx="403">
                  <c:v>13.156552985368888</c:v>
                </c:pt>
                <c:pt idx="404">
                  <c:v>13.156552985368888</c:v>
                </c:pt>
                <c:pt idx="405">
                  <c:v>13.156552985368888</c:v>
                </c:pt>
                <c:pt idx="406">
                  <c:v>13.156552985368888</c:v>
                </c:pt>
                <c:pt idx="407">
                  <c:v>13.156552985368888</c:v>
                </c:pt>
                <c:pt idx="408">
                  <c:v>13.156552985368888</c:v>
                </c:pt>
                <c:pt idx="409">
                  <c:v>13.156552985368888</c:v>
                </c:pt>
                <c:pt idx="410">
                  <c:v>13.156552985368888</c:v>
                </c:pt>
                <c:pt idx="411">
                  <c:v>13.156552985368888</c:v>
                </c:pt>
                <c:pt idx="412">
                  <c:v>13.156552985368888</c:v>
                </c:pt>
                <c:pt idx="413">
                  <c:v>13.156552985368888</c:v>
                </c:pt>
                <c:pt idx="414">
                  <c:v>13.156552985368888</c:v>
                </c:pt>
                <c:pt idx="415">
                  <c:v>13.156552985368888</c:v>
                </c:pt>
                <c:pt idx="416">
                  <c:v>13.156552985368888</c:v>
                </c:pt>
                <c:pt idx="417">
                  <c:v>13.156552985368888</c:v>
                </c:pt>
                <c:pt idx="418">
                  <c:v>13.156552985368888</c:v>
                </c:pt>
              </c:numCache>
            </c:numRef>
          </c:val>
          <c:smooth val="1"/>
          <c:extLst>
            <c:ext xmlns:c16="http://schemas.microsoft.com/office/drawing/2014/chart" uri="{C3380CC4-5D6E-409C-BE32-E72D297353CC}">
              <c16:uniqueId val="{00000007-7AEE-4D62-9FE5-2B87AD6DF366}"/>
            </c:ext>
          </c:extLst>
        </c:ser>
        <c:ser>
          <c:idx val="2"/>
          <c:order val="8"/>
          <c:tx>
            <c:v>XLB</c:v>
          </c:tx>
          <c:spPr>
            <a:ln w="28575" cap="rnd">
              <a:solidFill>
                <a:schemeClr val="accent2">
                  <a:lumMod val="50000"/>
                </a:schemeClr>
              </a:solidFill>
              <a:prstDash val="solid"/>
              <a:round/>
            </a:ln>
            <a:effectLst/>
          </c:spPr>
          <c:marker>
            <c:symbol val="none"/>
          </c:marker>
          <c:val>
            <c:numRef>
              <c:f>'2025-Q2'!$ER$4:$ER$422</c:f>
              <c:numCache>
                <c:formatCode>0.00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0.4926597949853756</c:v>
                </c:pt>
                <c:pt idx="54">
                  <c:v>0.4926597949853756</c:v>
                </c:pt>
                <c:pt idx="55">
                  <c:v>0.4926597949853756</c:v>
                </c:pt>
                <c:pt idx="56">
                  <c:v>0.4926597949853756</c:v>
                </c:pt>
                <c:pt idx="57">
                  <c:v>0.4926597949853756</c:v>
                </c:pt>
                <c:pt idx="58">
                  <c:v>0.4926597949853756</c:v>
                </c:pt>
                <c:pt idx="59">
                  <c:v>0.4926597949853756</c:v>
                </c:pt>
                <c:pt idx="60">
                  <c:v>0.4926597949853756</c:v>
                </c:pt>
                <c:pt idx="61">
                  <c:v>0.4926597949853756</c:v>
                </c:pt>
                <c:pt idx="62">
                  <c:v>0.4926597949853756</c:v>
                </c:pt>
                <c:pt idx="63">
                  <c:v>0.4926597949853756</c:v>
                </c:pt>
                <c:pt idx="64">
                  <c:v>0.4926597949853756</c:v>
                </c:pt>
                <c:pt idx="65">
                  <c:v>0.4926597949853756</c:v>
                </c:pt>
                <c:pt idx="66">
                  <c:v>0.4926597949853756</c:v>
                </c:pt>
                <c:pt idx="67">
                  <c:v>0.4926597949853756</c:v>
                </c:pt>
                <c:pt idx="68">
                  <c:v>0.4926597949853756</c:v>
                </c:pt>
                <c:pt idx="69">
                  <c:v>0.4926597949853756</c:v>
                </c:pt>
                <c:pt idx="70">
                  <c:v>0.4926597949853756</c:v>
                </c:pt>
                <c:pt idx="71">
                  <c:v>0.4926597949853756</c:v>
                </c:pt>
                <c:pt idx="72">
                  <c:v>0.4926597949853756</c:v>
                </c:pt>
                <c:pt idx="73">
                  <c:v>0.4926597949853756</c:v>
                </c:pt>
                <c:pt idx="74">
                  <c:v>0.4926597949853756</c:v>
                </c:pt>
                <c:pt idx="75">
                  <c:v>0.4926597949853756</c:v>
                </c:pt>
                <c:pt idx="76">
                  <c:v>0.4926597949853756</c:v>
                </c:pt>
                <c:pt idx="77">
                  <c:v>0.4926597949853756</c:v>
                </c:pt>
                <c:pt idx="78">
                  <c:v>0.4926597949853756</c:v>
                </c:pt>
                <c:pt idx="79">
                  <c:v>0.4926597949853756</c:v>
                </c:pt>
                <c:pt idx="80">
                  <c:v>0.4926597949853756</c:v>
                </c:pt>
                <c:pt idx="81">
                  <c:v>0.4926597949853756</c:v>
                </c:pt>
                <c:pt idx="82">
                  <c:v>0.4926597949853756</c:v>
                </c:pt>
                <c:pt idx="83">
                  <c:v>0.4926597949853756</c:v>
                </c:pt>
                <c:pt idx="84">
                  <c:v>0.4926597949853756</c:v>
                </c:pt>
                <c:pt idx="85">
                  <c:v>0.4926597949853756</c:v>
                </c:pt>
                <c:pt idx="86">
                  <c:v>0.4926597949853756</c:v>
                </c:pt>
                <c:pt idx="87">
                  <c:v>0.4926597949853756</c:v>
                </c:pt>
                <c:pt idx="88">
                  <c:v>0.4926597949853756</c:v>
                </c:pt>
                <c:pt idx="89">
                  <c:v>0.4926597949853756</c:v>
                </c:pt>
                <c:pt idx="90">
                  <c:v>0.4926597949853756</c:v>
                </c:pt>
                <c:pt idx="91">
                  <c:v>0.4926597949853756</c:v>
                </c:pt>
                <c:pt idx="92">
                  <c:v>0.4926597949853756</c:v>
                </c:pt>
                <c:pt idx="93">
                  <c:v>0.4926597949853756</c:v>
                </c:pt>
                <c:pt idx="94">
                  <c:v>0.4926597949853756</c:v>
                </c:pt>
                <c:pt idx="95">
                  <c:v>0.4926597949853756</c:v>
                </c:pt>
                <c:pt idx="96">
                  <c:v>0.4926597949853756</c:v>
                </c:pt>
                <c:pt idx="97">
                  <c:v>0.4926597949853756</c:v>
                </c:pt>
                <c:pt idx="98">
                  <c:v>0.4926597949853756</c:v>
                </c:pt>
                <c:pt idx="99">
                  <c:v>0.4926597949853756</c:v>
                </c:pt>
                <c:pt idx="100">
                  <c:v>0.4926597949853756</c:v>
                </c:pt>
                <c:pt idx="101">
                  <c:v>0.4926597949853756</c:v>
                </c:pt>
                <c:pt idx="102">
                  <c:v>0.4926597949853756</c:v>
                </c:pt>
                <c:pt idx="103">
                  <c:v>0.4926597949853756</c:v>
                </c:pt>
                <c:pt idx="104">
                  <c:v>0.4926597949853756</c:v>
                </c:pt>
                <c:pt idx="105">
                  <c:v>0.4926597949853756</c:v>
                </c:pt>
                <c:pt idx="106">
                  <c:v>0.4926597949853756</c:v>
                </c:pt>
                <c:pt idx="107">
                  <c:v>0.4926597949853756</c:v>
                </c:pt>
                <c:pt idx="108">
                  <c:v>0.4926597949853756</c:v>
                </c:pt>
                <c:pt idx="109">
                  <c:v>0.4926597949853756</c:v>
                </c:pt>
                <c:pt idx="110">
                  <c:v>0.4926597949853756</c:v>
                </c:pt>
                <c:pt idx="111">
                  <c:v>0.4926597949853756</c:v>
                </c:pt>
                <c:pt idx="112">
                  <c:v>0.4926597949853756</c:v>
                </c:pt>
                <c:pt idx="113">
                  <c:v>0.4926597949853756</c:v>
                </c:pt>
                <c:pt idx="114">
                  <c:v>0.4926597949853756</c:v>
                </c:pt>
                <c:pt idx="115">
                  <c:v>0.4926597949853756</c:v>
                </c:pt>
                <c:pt idx="116">
                  <c:v>0.4926597949853756</c:v>
                </c:pt>
                <c:pt idx="117">
                  <c:v>0.4926597949853756</c:v>
                </c:pt>
                <c:pt idx="118">
                  <c:v>0.4926597949853756</c:v>
                </c:pt>
                <c:pt idx="119">
                  <c:v>0.4926597949853756</c:v>
                </c:pt>
                <c:pt idx="120">
                  <c:v>0.4926597949853756</c:v>
                </c:pt>
                <c:pt idx="121">
                  <c:v>0.4926597949853756</c:v>
                </c:pt>
                <c:pt idx="122">
                  <c:v>0.4926597949853756</c:v>
                </c:pt>
                <c:pt idx="123">
                  <c:v>0.4926597949853756</c:v>
                </c:pt>
                <c:pt idx="124">
                  <c:v>0.4926597949853756</c:v>
                </c:pt>
                <c:pt idx="125">
                  <c:v>0.4926597949853756</c:v>
                </c:pt>
                <c:pt idx="126">
                  <c:v>0.4926597949853756</c:v>
                </c:pt>
                <c:pt idx="127">
                  <c:v>0.4926597949853756</c:v>
                </c:pt>
                <c:pt idx="128">
                  <c:v>0.4926597949853756</c:v>
                </c:pt>
                <c:pt idx="129">
                  <c:v>0.4926597949853756</c:v>
                </c:pt>
                <c:pt idx="130">
                  <c:v>0.4926597949853756</c:v>
                </c:pt>
                <c:pt idx="131">
                  <c:v>0.4926597949853756</c:v>
                </c:pt>
                <c:pt idx="132">
                  <c:v>0.4926597949853756</c:v>
                </c:pt>
                <c:pt idx="133">
                  <c:v>0.4926597949853756</c:v>
                </c:pt>
                <c:pt idx="134">
                  <c:v>0.4926597949853756</c:v>
                </c:pt>
                <c:pt idx="135">
                  <c:v>0.4926597949853756</c:v>
                </c:pt>
                <c:pt idx="136">
                  <c:v>0.4926597949853756</c:v>
                </c:pt>
                <c:pt idx="137">
                  <c:v>0.4926597949853756</c:v>
                </c:pt>
                <c:pt idx="138">
                  <c:v>0.4926597949853756</c:v>
                </c:pt>
                <c:pt idx="139">
                  <c:v>0.4926597949853756</c:v>
                </c:pt>
                <c:pt idx="140">
                  <c:v>0.4926597949853756</c:v>
                </c:pt>
                <c:pt idx="141">
                  <c:v>0.4926597949853756</c:v>
                </c:pt>
                <c:pt idx="142">
                  <c:v>0.4926597949853756</c:v>
                </c:pt>
                <c:pt idx="143">
                  <c:v>0.4926597949853756</c:v>
                </c:pt>
                <c:pt idx="144">
                  <c:v>0.4926597949853756</c:v>
                </c:pt>
                <c:pt idx="145">
                  <c:v>0.4926597949853756</c:v>
                </c:pt>
                <c:pt idx="146">
                  <c:v>0.4926597949853756</c:v>
                </c:pt>
                <c:pt idx="147">
                  <c:v>0.4926597949853756</c:v>
                </c:pt>
                <c:pt idx="148">
                  <c:v>0.4926597949853756</c:v>
                </c:pt>
                <c:pt idx="149">
                  <c:v>1.5025175479314647</c:v>
                </c:pt>
                <c:pt idx="150">
                  <c:v>1.5025175479314647</c:v>
                </c:pt>
                <c:pt idx="151">
                  <c:v>1.5025175479314647</c:v>
                </c:pt>
                <c:pt idx="152">
                  <c:v>1.5025175479314647</c:v>
                </c:pt>
                <c:pt idx="153">
                  <c:v>1.5025175479314647</c:v>
                </c:pt>
                <c:pt idx="154">
                  <c:v>1.5025175479314647</c:v>
                </c:pt>
                <c:pt idx="155">
                  <c:v>1.5025175479314647</c:v>
                </c:pt>
                <c:pt idx="156">
                  <c:v>1.5025175479314647</c:v>
                </c:pt>
                <c:pt idx="157">
                  <c:v>1.5025175479314647</c:v>
                </c:pt>
                <c:pt idx="158">
                  <c:v>1.5025175479314647</c:v>
                </c:pt>
                <c:pt idx="159">
                  <c:v>1.5025175479314647</c:v>
                </c:pt>
                <c:pt idx="160">
                  <c:v>1.5025175479314647</c:v>
                </c:pt>
                <c:pt idx="161">
                  <c:v>1.5025175479314647</c:v>
                </c:pt>
                <c:pt idx="162">
                  <c:v>1.5025175479314647</c:v>
                </c:pt>
                <c:pt idx="163">
                  <c:v>1.5025175479314647</c:v>
                </c:pt>
                <c:pt idx="164">
                  <c:v>1.5025175479314647</c:v>
                </c:pt>
                <c:pt idx="165">
                  <c:v>1.5025175479314647</c:v>
                </c:pt>
                <c:pt idx="166">
                  <c:v>1.5025175479314647</c:v>
                </c:pt>
                <c:pt idx="167">
                  <c:v>1.5025175479314647</c:v>
                </c:pt>
                <c:pt idx="168">
                  <c:v>1.5025175479314647</c:v>
                </c:pt>
                <c:pt idx="169">
                  <c:v>1.5025175479314647</c:v>
                </c:pt>
                <c:pt idx="170">
                  <c:v>1.5025175479314647</c:v>
                </c:pt>
                <c:pt idx="171">
                  <c:v>1.5025175479314647</c:v>
                </c:pt>
                <c:pt idx="172">
                  <c:v>1.5025175479314647</c:v>
                </c:pt>
                <c:pt idx="173">
                  <c:v>2.0221833315059508</c:v>
                </c:pt>
                <c:pt idx="174">
                  <c:v>2.0221833315059508</c:v>
                </c:pt>
                <c:pt idx="175">
                  <c:v>2.0221833315059508</c:v>
                </c:pt>
                <c:pt idx="176">
                  <c:v>2.0221833315059508</c:v>
                </c:pt>
                <c:pt idx="177">
                  <c:v>2.0221833315059508</c:v>
                </c:pt>
                <c:pt idx="178">
                  <c:v>2.0221833315059508</c:v>
                </c:pt>
                <c:pt idx="179">
                  <c:v>2.0221833315059508</c:v>
                </c:pt>
                <c:pt idx="180">
                  <c:v>2.0221833315059508</c:v>
                </c:pt>
                <c:pt idx="181">
                  <c:v>2.0221833315059508</c:v>
                </c:pt>
                <c:pt idx="182">
                  <c:v>2.0221833315059508</c:v>
                </c:pt>
                <c:pt idx="183">
                  <c:v>2.0221833315059508</c:v>
                </c:pt>
                <c:pt idx="184">
                  <c:v>2.0221833315059508</c:v>
                </c:pt>
                <c:pt idx="185">
                  <c:v>2.0221833315059508</c:v>
                </c:pt>
                <c:pt idx="186">
                  <c:v>2.0221833315059508</c:v>
                </c:pt>
                <c:pt idx="187">
                  <c:v>2.0221833315059508</c:v>
                </c:pt>
                <c:pt idx="188">
                  <c:v>2.0221833315059508</c:v>
                </c:pt>
                <c:pt idx="189">
                  <c:v>2.0221833315059508</c:v>
                </c:pt>
                <c:pt idx="190">
                  <c:v>2.0221833315059508</c:v>
                </c:pt>
                <c:pt idx="191">
                  <c:v>2.0221833315059508</c:v>
                </c:pt>
                <c:pt idx="192">
                  <c:v>2.0221833315059508</c:v>
                </c:pt>
                <c:pt idx="193">
                  <c:v>2.0221833315059508</c:v>
                </c:pt>
                <c:pt idx="194">
                  <c:v>2.0221833315059508</c:v>
                </c:pt>
                <c:pt idx="195">
                  <c:v>2.0221833315059508</c:v>
                </c:pt>
                <c:pt idx="196">
                  <c:v>2.0221833315059508</c:v>
                </c:pt>
                <c:pt idx="197">
                  <c:v>2.0221833315059508</c:v>
                </c:pt>
                <c:pt idx="198">
                  <c:v>2.0221833315059508</c:v>
                </c:pt>
                <c:pt idx="199">
                  <c:v>2.0221833315059508</c:v>
                </c:pt>
                <c:pt idx="200">
                  <c:v>2.0221833315059508</c:v>
                </c:pt>
                <c:pt idx="201">
                  <c:v>2.0221833315059508</c:v>
                </c:pt>
                <c:pt idx="202">
                  <c:v>2.0221833315059508</c:v>
                </c:pt>
                <c:pt idx="203">
                  <c:v>2.0221833315059508</c:v>
                </c:pt>
                <c:pt idx="204">
                  <c:v>2.0221833315059508</c:v>
                </c:pt>
                <c:pt idx="205">
                  <c:v>2.0221833315059508</c:v>
                </c:pt>
                <c:pt idx="206">
                  <c:v>2.0221833315059508</c:v>
                </c:pt>
                <c:pt idx="207">
                  <c:v>2.0221833315059508</c:v>
                </c:pt>
                <c:pt idx="208">
                  <c:v>2.0221833315059508</c:v>
                </c:pt>
                <c:pt idx="209">
                  <c:v>2.0221833315059508</c:v>
                </c:pt>
                <c:pt idx="210">
                  <c:v>2.0221833315059508</c:v>
                </c:pt>
                <c:pt idx="211">
                  <c:v>1.441536272249796</c:v>
                </c:pt>
                <c:pt idx="212">
                  <c:v>1.441536272249796</c:v>
                </c:pt>
                <c:pt idx="213">
                  <c:v>1.441536272249796</c:v>
                </c:pt>
                <c:pt idx="214">
                  <c:v>1.441536272249796</c:v>
                </c:pt>
                <c:pt idx="215">
                  <c:v>1.441536272249796</c:v>
                </c:pt>
                <c:pt idx="216">
                  <c:v>1.441536272249796</c:v>
                </c:pt>
                <c:pt idx="217">
                  <c:v>1.441536272249796</c:v>
                </c:pt>
                <c:pt idx="218">
                  <c:v>1.441536272249796</c:v>
                </c:pt>
                <c:pt idx="219">
                  <c:v>1.441536272249796</c:v>
                </c:pt>
                <c:pt idx="220">
                  <c:v>1.441536272249796</c:v>
                </c:pt>
                <c:pt idx="221">
                  <c:v>1.441536272249796</c:v>
                </c:pt>
                <c:pt idx="222">
                  <c:v>1.441536272249796</c:v>
                </c:pt>
                <c:pt idx="223">
                  <c:v>1.441536272249796</c:v>
                </c:pt>
                <c:pt idx="224">
                  <c:v>1.441536272249796</c:v>
                </c:pt>
                <c:pt idx="225">
                  <c:v>1.441536272249796</c:v>
                </c:pt>
                <c:pt idx="226">
                  <c:v>1.441536272249796</c:v>
                </c:pt>
                <c:pt idx="227">
                  <c:v>1.441536272249796</c:v>
                </c:pt>
                <c:pt idx="228">
                  <c:v>1.441536272249796</c:v>
                </c:pt>
                <c:pt idx="229">
                  <c:v>1.441536272249796</c:v>
                </c:pt>
                <c:pt idx="230">
                  <c:v>1.441536272249796</c:v>
                </c:pt>
                <c:pt idx="231">
                  <c:v>1.441536272249796</c:v>
                </c:pt>
                <c:pt idx="232">
                  <c:v>1.441536272249796</c:v>
                </c:pt>
                <c:pt idx="233">
                  <c:v>1.441536272249796</c:v>
                </c:pt>
                <c:pt idx="234">
                  <c:v>1.441536272249796</c:v>
                </c:pt>
                <c:pt idx="235">
                  <c:v>1.441536272249796</c:v>
                </c:pt>
                <c:pt idx="236">
                  <c:v>1.441536272249796</c:v>
                </c:pt>
                <c:pt idx="237">
                  <c:v>1.441536272249796</c:v>
                </c:pt>
                <c:pt idx="238">
                  <c:v>1.441536272249796</c:v>
                </c:pt>
                <c:pt idx="239">
                  <c:v>1.441536272249796</c:v>
                </c:pt>
                <c:pt idx="240">
                  <c:v>1.441536272249796</c:v>
                </c:pt>
                <c:pt idx="241">
                  <c:v>1.441536272249796</c:v>
                </c:pt>
                <c:pt idx="242">
                  <c:v>1.441536272249796</c:v>
                </c:pt>
                <c:pt idx="243">
                  <c:v>1.441536272249796</c:v>
                </c:pt>
                <c:pt idx="244">
                  <c:v>1.441536272249796</c:v>
                </c:pt>
                <c:pt idx="245">
                  <c:v>1.441536272249796</c:v>
                </c:pt>
                <c:pt idx="246">
                  <c:v>1.441536272249796</c:v>
                </c:pt>
                <c:pt idx="247">
                  <c:v>1.441536272249796</c:v>
                </c:pt>
                <c:pt idx="248">
                  <c:v>1.441536272249796</c:v>
                </c:pt>
                <c:pt idx="249">
                  <c:v>1.441536272249796</c:v>
                </c:pt>
                <c:pt idx="250">
                  <c:v>1.441536272249796</c:v>
                </c:pt>
                <c:pt idx="251">
                  <c:v>1.441536272249796</c:v>
                </c:pt>
                <c:pt idx="252">
                  <c:v>1.441536272249796</c:v>
                </c:pt>
                <c:pt idx="253">
                  <c:v>1.441536272249796</c:v>
                </c:pt>
                <c:pt idx="254">
                  <c:v>1.441536272249796</c:v>
                </c:pt>
                <c:pt idx="255">
                  <c:v>1.441536272249796</c:v>
                </c:pt>
                <c:pt idx="256">
                  <c:v>1.441536272249796</c:v>
                </c:pt>
                <c:pt idx="257">
                  <c:v>1.441536272249796</c:v>
                </c:pt>
                <c:pt idx="258">
                  <c:v>1.441536272249796</c:v>
                </c:pt>
                <c:pt idx="259">
                  <c:v>1.441536272249796</c:v>
                </c:pt>
                <c:pt idx="260">
                  <c:v>1.441536272249796</c:v>
                </c:pt>
                <c:pt idx="261">
                  <c:v>1.441536272249796</c:v>
                </c:pt>
                <c:pt idx="262">
                  <c:v>1.441536272249796</c:v>
                </c:pt>
                <c:pt idx="263">
                  <c:v>1.441536272249796</c:v>
                </c:pt>
                <c:pt idx="264">
                  <c:v>1.441536272249796</c:v>
                </c:pt>
                <c:pt idx="265">
                  <c:v>1.441536272249796</c:v>
                </c:pt>
                <c:pt idx="266">
                  <c:v>1.441536272249796</c:v>
                </c:pt>
                <c:pt idx="267">
                  <c:v>1.441536272249796</c:v>
                </c:pt>
                <c:pt idx="268">
                  <c:v>1.441536272249796</c:v>
                </c:pt>
                <c:pt idx="269">
                  <c:v>1.441536272249796</c:v>
                </c:pt>
                <c:pt idx="270">
                  <c:v>1.441536272249796</c:v>
                </c:pt>
                <c:pt idx="271">
                  <c:v>1.441536272249796</c:v>
                </c:pt>
                <c:pt idx="272">
                  <c:v>1.441536272249796</c:v>
                </c:pt>
                <c:pt idx="273">
                  <c:v>1.441536272249796</c:v>
                </c:pt>
                <c:pt idx="274">
                  <c:v>1.441536272249796</c:v>
                </c:pt>
                <c:pt idx="275">
                  <c:v>1.441536272249796</c:v>
                </c:pt>
                <c:pt idx="276">
                  <c:v>1.441536272249796</c:v>
                </c:pt>
                <c:pt idx="277">
                  <c:v>1.441536272249796</c:v>
                </c:pt>
                <c:pt idx="278">
                  <c:v>1.441536272249796</c:v>
                </c:pt>
                <c:pt idx="279">
                  <c:v>1.441536272249796</c:v>
                </c:pt>
                <c:pt idx="280">
                  <c:v>1.441536272249796</c:v>
                </c:pt>
                <c:pt idx="281">
                  <c:v>1.441536272249796</c:v>
                </c:pt>
                <c:pt idx="282">
                  <c:v>1.441536272249796</c:v>
                </c:pt>
                <c:pt idx="283">
                  <c:v>1.441536272249796</c:v>
                </c:pt>
                <c:pt idx="284">
                  <c:v>1.3977486422552698</c:v>
                </c:pt>
                <c:pt idx="285">
                  <c:v>1.3977486422552698</c:v>
                </c:pt>
                <c:pt idx="286">
                  <c:v>1.3977486422552698</c:v>
                </c:pt>
                <c:pt idx="287">
                  <c:v>1.3977486422552698</c:v>
                </c:pt>
                <c:pt idx="288">
                  <c:v>1.3977486422552698</c:v>
                </c:pt>
                <c:pt idx="289">
                  <c:v>1.3977486422552698</c:v>
                </c:pt>
                <c:pt idx="290">
                  <c:v>1.3977486422552698</c:v>
                </c:pt>
                <c:pt idx="291">
                  <c:v>1.3977486422552698</c:v>
                </c:pt>
                <c:pt idx="292">
                  <c:v>1.3977486422552698</c:v>
                </c:pt>
                <c:pt idx="293">
                  <c:v>1.3977486422552698</c:v>
                </c:pt>
                <c:pt idx="294">
                  <c:v>1.3977486422552698</c:v>
                </c:pt>
                <c:pt idx="295">
                  <c:v>1.3977486422552698</c:v>
                </c:pt>
                <c:pt idx="296">
                  <c:v>1.3977486422552698</c:v>
                </c:pt>
                <c:pt idx="297">
                  <c:v>1.3977486422552698</c:v>
                </c:pt>
                <c:pt idx="298">
                  <c:v>1.3977486422552698</c:v>
                </c:pt>
                <c:pt idx="299">
                  <c:v>1.3977486422552698</c:v>
                </c:pt>
                <c:pt idx="300">
                  <c:v>1.3977486422552698</c:v>
                </c:pt>
                <c:pt idx="301">
                  <c:v>1.3977486422552698</c:v>
                </c:pt>
                <c:pt idx="302">
                  <c:v>1.3977486422552698</c:v>
                </c:pt>
                <c:pt idx="303">
                  <c:v>1.971265500983395</c:v>
                </c:pt>
                <c:pt idx="304">
                  <c:v>1.971265500983395</c:v>
                </c:pt>
                <c:pt idx="305">
                  <c:v>1.971265500983395</c:v>
                </c:pt>
                <c:pt idx="306">
                  <c:v>1.971265500983395</c:v>
                </c:pt>
                <c:pt idx="307">
                  <c:v>2.6983279209445628</c:v>
                </c:pt>
                <c:pt idx="308">
                  <c:v>2.6983279209445628</c:v>
                </c:pt>
                <c:pt idx="309">
                  <c:v>2.6983279209445628</c:v>
                </c:pt>
                <c:pt idx="310">
                  <c:v>2.6983279209445628</c:v>
                </c:pt>
                <c:pt idx="311">
                  <c:v>2.6983279209445628</c:v>
                </c:pt>
                <c:pt idx="312">
                  <c:v>2.6983279209445628</c:v>
                </c:pt>
                <c:pt idx="313">
                  <c:v>2.6983279209445628</c:v>
                </c:pt>
                <c:pt idx="314">
                  <c:v>2.6983279209445628</c:v>
                </c:pt>
                <c:pt idx="315">
                  <c:v>2.6983279209445628</c:v>
                </c:pt>
                <c:pt idx="316">
                  <c:v>2.6983279209445628</c:v>
                </c:pt>
                <c:pt idx="317">
                  <c:v>2.6983279209445628</c:v>
                </c:pt>
                <c:pt idx="318">
                  <c:v>2.6983279209445628</c:v>
                </c:pt>
                <c:pt idx="319">
                  <c:v>2.6983279209445628</c:v>
                </c:pt>
                <c:pt idx="320">
                  <c:v>2.6983279209445628</c:v>
                </c:pt>
                <c:pt idx="321">
                  <c:v>2.6983279209445628</c:v>
                </c:pt>
                <c:pt idx="322">
                  <c:v>2.6983279209445628</c:v>
                </c:pt>
                <c:pt idx="323">
                  <c:v>2.6983279209445628</c:v>
                </c:pt>
                <c:pt idx="324">
                  <c:v>2.6983279209445628</c:v>
                </c:pt>
                <c:pt idx="325">
                  <c:v>2.6983279209445628</c:v>
                </c:pt>
                <c:pt idx="326">
                  <c:v>2.6983279209445628</c:v>
                </c:pt>
                <c:pt idx="327">
                  <c:v>2.6983279209445628</c:v>
                </c:pt>
                <c:pt idx="328">
                  <c:v>2.6983279209445628</c:v>
                </c:pt>
                <c:pt idx="329">
                  <c:v>2.6983279209445628</c:v>
                </c:pt>
                <c:pt idx="330">
                  <c:v>2.6983279209445628</c:v>
                </c:pt>
                <c:pt idx="331">
                  <c:v>2.6983279209445628</c:v>
                </c:pt>
                <c:pt idx="332">
                  <c:v>2.6983279209445628</c:v>
                </c:pt>
                <c:pt idx="333">
                  <c:v>2.6983279209445628</c:v>
                </c:pt>
                <c:pt idx="334">
                  <c:v>2.6983279209445628</c:v>
                </c:pt>
                <c:pt idx="335">
                  <c:v>2.6983279209445628</c:v>
                </c:pt>
                <c:pt idx="336">
                  <c:v>2.6983279209445628</c:v>
                </c:pt>
                <c:pt idx="337">
                  <c:v>2.6983279209445628</c:v>
                </c:pt>
                <c:pt idx="338">
                  <c:v>2.6983279209445628</c:v>
                </c:pt>
                <c:pt idx="339">
                  <c:v>2.6983279209445628</c:v>
                </c:pt>
                <c:pt idx="340">
                  <c:v>2.6983279209445628</c:v>
                </c:pt>
                <c:pt idx="341">
                  <c:v>2.6983279209445628</c:v>
                </c:pt>
                <c:pt idx="342">
                  <c:v>2.6983279209445628</c:v>
                </c:pt>
                <c:pt idx="343">
                  <c:v>2.6983279209445628</c:v>
                </c:pt>
                <c:pt idx="344">
                  <c:v>1.7856049065476487</c:v>
                </c:pt>
                <c:pt idx="345">
                  <c:v>1.7856049065476487</c:v>
                </c:pt>
                <c:pt idx="346">
                  <c:v>1.7856049065476487</c:v>
                </c:pt>
                <c:pt idx="347">
                  <c:v>1.7856049065476487</c:v>
                </c:pt>
                <c:pt idx="348">
                  <c:v>1.7856049065476487</c:v>
                </c:pt>
                <c:pt idx="349">
                  <c:v>1.7856049065476487</c:v>
                </c:pt>
                <c:pt idx="350">
                  <c:v>1.7856049065476487</c:v>
                </c:pt>
                <c:pt idx="351">
                  <c:v>1.7856049065476487</c:v>
                </c:pt>
                <c:pt idx="352">
                  <c:v>1.7856049065476487</c:v>
                </c:pt>
                <c:pt idx="353">
                  <c:v>1.7856049065476487</c:v>
                </c:pt>
                <c:pt idx="354">
                  <c:v>1.7856049065476487</c:v>
                </c:pt>
                <c:pt idx="355">
                  <c:v>1.7856049065476487</c:v>
                </c:pt>
                <c:pt idx="356">
                  <c:v>1.7856049065476487</c:v>
                </c:pt>
                <c:pt idx="357">
                  <c:v>1.7856049065476487</c:v>
                </c:pt>
                <c:pt idx="358">
                  <c:v>1.7856049065476487</c:v>
                </c:pt>
                <c:pt idx="359">
                  <c:v>1.7856049065476487</c:v>
                </c:pt>
                <c:pt idx="360">
                  <c:v>1.7856049065476487</c:v>
                </c:pt>
                <c:pt idx="361">
                  <c:v>1.7856049065476487</c:v>
                </c:pt>
                <c:pt idx="362">
                  <c:v>1.7856049065476487</c:v>
                </c:pt>
                <c:pt idx="363">
                  <c:v>1.7856049065476487</c:v>
                </c:pt>
                <c:pt idx="364">
                  <c:v>1.7856049065476487</c:v>
                </c:pt>
                <c:pt idx="365">
                  <c:v>1.7856049065476487</c:v>
                </c:pt>
                <c:pt idx="366">
                  <c:v>1.7856049065476487</c:v>
                </c:pt>
                <c:pt idx="367">
                  <c:v>1.7856049065476487</c:v>
                </c:pt>
                <c:pt idx="368">
                  <c:v>1.7856049065476487</c:v>
                </c:pt>
                <c:pt idx="369">
                  <c:v>1.7856049065476487</c:v>
                </c:pt>
                <c:pt idx="370">
                  <c:v>1.7856049065476487</c:v>
                </c:pt>
                <c:pt idx="371">
                  <c:v>1.7856049065476487</c:v>
                </c:pt>
                <c:pt idx="372">
                  <c:v>1.7856049065476487</c:v>
                </c:pt>
                <c:pt idx="373">
                  <c:v>1.7856049065476487</c:v>
                </c:pt>
                <c:pt idx="374">
                  <c:v>1.7856049065476487</c:v>
                </c:pt>
                <c:pt idx="375">
                  <c:v>1.7856049065476487</c:v>
                </c:pt>
                <c:pt idx="376">
                  <c:v>1.7856049065476487</c:v>
                </c:pt>
                <c:pt idx="377">
                  <c:v>1.7856049065476487</c:v>
                </c:pt>
                <c:pt idx="378">
                  <c:v>1.7856049065476487</c:v>
                </c:pt>
                <c:pt idx="379">
                  <c:v>1.7856049065476487</c:v>
                </c:pt>
                <c:pt idx="380">
                  <c:v>1.7856049065476487</c:v>
                </c:pt>
                <c:pt idx="381">
                  <c:v>1.7856049065476487</c:v>
                </c:pt>
                <c:pt idx="382">
                  <c:v>1.7856049065476487</c:v>
                </c:pt>
                <c:pt idx="383">
                  <c:v>1.7856049065476487</c:v>
                </c:pt>
                <c:pt idx="384">
                  <c:v>1.7856049065476487</c:v>
                </c:pt>
                <c:pt idx="385">
                  <c:v>1.7856049065476487</c:v>
                </c:pt>
                <c:pt idx="386">
                  <c:v>1.7856049065476487</c:v>
                </c:pt>
                <c:pt idx="387">
                  <c:v>1.7856049065476487</c:v>
                </c:pt>
                <c:pt idx="388">
                  <c:v>1.7856049065476487</c:v>
                </c:pt>
                <c:pt idx="389">
                  <c:v>1.7856049065476487</c:v>
                </c:pt>
                <c:pt idx="390">
                  <c:v>1.7856049065476487</c:v>
                </c:pt>
                <c:pt idx="391">
                  <c:v>1.7856049065476487</c:v>
                </c:pt>
                <c:pt idx="392">
                  <c:v>1.7856049065476487</c:v>
                </c:pt>
                <c:pt idx="393">
                  <c:v>1.7856049065476487</c:v>
                </c:pt>
                <c:pt idx="394">
                  <c:v>1.7856049065476487</c:v>
                </c:pt>
                <c:pt idx="395">
                  <c:v>1.7856049065476487</c:v>
                </c:pt>
                <c:pt idx="396">
                  <c:v>1.7856049065476487</c:v>
                </c:pt>
                <c:pt idx="397">
                  <c:v>1.7856049065476487</c:v>
                </c:pt>
                <c:pt idx="398">
                  <c:v>1.7856049065476487</c:v>
                </c:pt>
                <c:pt idx="399">
                  <c:v>1.7856049065476487</c:v>
                </c:pt>
                <c:pt idx="400">
                  <c:v>1.7856049065476487</c:v>
                </c:pt>
                <c:pt idx="401">
                  <c:v>1.7856049065476487</c:v>
                </c:pt>
                <c:pt idx="402">
                  <c:v>1.7856049065476487</c:v>
                </c:pt>
                <c:pt idx="403">
                  <c:v>1.7856049065476487</c:v>
                </c:pt>
                <c:pt idx="404">
                  <c:v>1.7856049065476487</c:v>
                </c:pt>
                <c:pt idx="405">
                  <c:v>1.7856049065476487</c:v>
                </c:pt>
                <c:pt idx="406">
                  <c:v>1.7856049065476487</c:v>
                </c:pt>
                <c:pt idx="407">
                  <c:v>1.7856049065476487</c:v>
                </c:pt>
                <c:pt idx="408">
                  <c:v>1.7856049065476487</c:v>
                </c:pt>
                <c:pt idx="409">
                  <c:v>1.7856049065476487</c:v>
                </c:pt>
                <c:pt idx="410">
                  <c:v>1.7856049065476487</c:v>
                </c:pt>
                <c:pt idx="411">
                  <c:v>1.7856049065476487</c:v>
                </c:pt>
                <c:pt idx="412">
                  <c:v>1.7856049065476487</c:v>
                </c:pt>
                <c:pt idx="413">
                  <c:v>1.7856049065476487</c:v>
                </c:pt>
                <c:pt idx="414">
                  <c:v>1.7856049065476487</c:v>
                </c:pt>
                <c:pt idx="415">
                  <c:v>1.7856049065476487</c:v>
                </c:pt>
                <c:pt idx="416">
                  <c:v>1.7856049065476487</c:v>
                </c:pt>
                <c:pt idx="417">
                  <c:v>1.7856049065476487</c:v>
                </c:pt>
                <c:pt idx="418">
                  <c:v>1.7856049065476487</c:v>
                </c:pt>
              </c:numCache>
            </c:numRef>
          </c:val>
          <c:smooth val="1"/>
          <c:extLst>
            <c:ext xmlns:c16="http://schemas.microsoft.com/office/drawing/2014/chart" uri="{C3380CC4-5D6E-409C-BE32-E72D297353CC}">
              <c16:uniqueId val="{00000008-7AEE-4D62-9FE5-2B87AD6DF366}"/>
            </c:ext>
          </c:extLst>
        </c:ser>
        <c:ser>
          <c:idx val="4"/>
          <c:order val="9"/>
          <c:tx>
            <c:v>SMH</c:v>
          </c:tx>
          <c:spPr>
            <a:ln w="28575" cap="rnd">
              <a:solidFill>
                <a:schemeClr val="accent5"/>
              </a:solidFill>
              <a:round/>
            </a:ln>
            <a:effectLst/>
          </c:spPr>
          <c:marker>
            <c:symbol val="none"/>
          </c:marker>
          <c:val>
            <c:numRef>
              <c:f>'2025-Q2'!$EY$4:$EY$422</c:f>
              <c:numCache>
                <c:formatCode>0.00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1.367071968452185</c:v>
                </c:pt>
                <c:pt idx="77">
                  <c:v>1.367071968452185</c:v>
                </c:pt>
                <c:pt idx="78">
                  <c:v>1.367071968452185</c:v>
                </c:pt>
                <c:pt idx="79">
                  <c:v>1.367071968452185</c:v>
                </c:pt>
                <c:pt idx="80">
                  <c:v>1.367071968452185</c:v>
                </c:pt>
                <c:pt idx="81">
                  <c:v>1.367071968452185</c:v>
                </c:pt>
                <c:pt idx="82">
                  <c:v>1.367071968452185</c:v>
                </c:pt>
                <c:pt idx="83">
                  <c:v>1.367071968452185</c:v>
                </c:pt>
                <c:pt idx="84">
                  <c:v>1.367071968452185</c:v>
                </c:pt>
                <c:pt idx="85">
                  <c:v>1.367071968452185</c:v>
                </c:pt>
                <c:pt idx="86">
                  <c:v>1.367071968452185</c:v>
                </c:pt>
                <c:pt idx="87">
                  <c:v>1.367071968452185</c:v>
                </c:pt>
                <c:pt idx="88">
                  <c:v>1.367071968452185</c:v>
                </c:pt>
                <c:pt idx="89">
                  <c:v>1.367071968452185</c:v>
                </c:pt>
                <c:pt idx="90">
                  <c:v>1.367071968452185</c:v>
                </c:pt>
                <c:pt idx="91">
                  <c:v>1.367071968452185</c:v>
                </c:pt>
                <c:pt idx="92">
                  <c:v>1.367071968452185</c:v>
                </c:pt>
                <c:pt idx="93">
                  <c:v>1.367071968452185</c:v>
                </c:pt>
                <c:pt idx="94">
                  <c:v>1.367071968452185</c:v>
                </c:pt>
                <c:pt idx="95">
                  <c:v>1.367071968452185</c:v>
                </c:pt>
                <c:pt idx="96">
                  <c:v>1.367071968452185</c:v>
                </c:pt>
                <c:pt idx="97">
                  <c:v>1.367071968452185</c:v>
                </c:pt>
                <c:pt idx="98">
                  <c:v>1.367071968452185</c:v>
                </c:pt>
                <c:pt idx="99">
                  <c:v>1.367071968452185</c:v>
                </c:pt>
                <c:pt idx="100">
                  <c:v>1.367071968452185</c:v>
                </c:pt>
                <c:pt idx="101">
                  <c:v>1.367071968452185</c:v>
                </c:pt>
                <c:pt idx="102">
                  <c:v>1.367071968452185</c:v>
                </c:pt>
                <c:pt idx="103">
                  <c:v>1.367071968452185</c:v>
                </c:pt>
                <c:pt idx="104">
                  <c:v>1.367071968452185</c:v>
                </c:pt>
                <c:pt idx="105">
                  <c:v>1.367071968452185</c:v>
                </c:pt>
                <c:pt idx="106">
                  <c:v>1.367071968452185</c:v>
                </c:pt>
                <c:pt idx="107">
                  <c:v>2.0960106423519864E-3</c:v>
                </c:pt>
                <c:pt idx="108">
                  <c:v>2.0960106423519864E-3</c:v>
                </c:pt>
                <c:pt idx="109">
                  <c:v>2.0960106423519864E-3</c:v>
                </c:pt>
                <c:pt idx="110">
                  <c:v>2.0960106423519864E-3</c:v>
                </c:pt>
                <c:pt idx="111">
                  <c:v>2.0960106423519864E-3</c:v>
                </c:pt>
                <c:pt idx="112">
                  <c:v>2.0960106423519864E-3</c:v>
                </c:pt>
                <c:pt idx="113">
                  <c:v>2.0960106423519864E-3</c:v>
                </c:pt>
                <c:pt idx="114">
                  <c:v>2.0960106423519864E-3</c:v>
                </c:pt>
                <c:pt idx="115">
                  <c:v>2.0960106423519864E-3</c:v>
                </c:pt>
                <c:pt idx="116">
                  <c:v>2.0960106423519864E-3</c:v>
                </c:pt>
                <c:pt idx="117">
                  <c:v>2.0960106423519864E-3</c:v>
                </c:pt>
                <c:pt idx="118">
                  <c:v>2.0960106423519864E-3</c:v>
                </c:pt>
                <c:pt idx="119">
                  <c:v>2.0960106423519864E-3</c:v>
                </c:pt>
                <c:pt idx="120">
                  <c:v>2.0960106423519864E-3</c:v>
                </c:pt>
                <c:pt idx="121">
                  <c:v>2.0960106423519864E-3</c:v>
                </c:pt>
                <c:pt idx="122">
                  <c:v>2.0960106423519864E-3</c:v>
                </c:pt>
                <c:pt idx="123">
                  <c:v>2.0960106423519864E-3</c:v>
                </c:pt>
                <c:pt idx="124">
                  <c:v>2.0960106423519864E-3</c:v>
                </c:pt>
                <c:pt idx="125">
                  <c:v>0.22957553748493481</c:v>
                </c:pt>
                <c:pt idx="126">
                  <c:v>0.22957553748493481</c:v>
                </c:pt>
                <c:pt idx="127">
                  <c:v>0.22957553748493481</c:v>
                </c:pt>
                <c:pt idx="128">
                  <c:v>0.22957553748493481</c:v>
                </c:pt>
                <c:pt idx="129">
                  <c:v>0.22957553748493481</c:v>
                </c:pt>
                <c:pt idx="130">
                  <c:v>0.22957553748493481</c:v>
                </c:pt>
                <c:pt idx="131">
                  <c:v>0.22957553748493481</c:v>
                </c:pt>
                <c:pt idx="132">
                  <c:v>0.22957553748493481</c:v>
                </c:pt>
                <c:pt idx="133">
                  <c:v>0.22957553748493481</c:v>
                </c:pt>
                <c:pt idx="134">
                  <c:v>0.22957553748493481</c:v>
                </c:pt>
                <c:pt idx="135">
                  <c:v>0.22957553748493481</c:v>
                </c:pt>
                <c:pt idx="136">
                  <c:v>0.22957553748493481</c:v>
                </c:pt>
                <c:pt idx="137">
                  <c:v>0.22957553748493481</c:v>
                </c:pt>
                <c:pt idx="138">
                  <c:v>0.22957553748493481</c:v>
                </c:pt>
                <c:pt idx="139">
                  <c:v>0.22957553748493481</c:v>
                </c:pt>
                <c:pt idx="140">
                  <c:v>0.22957553748493481</c:v>
                </c:pt>
                <c:pt idx="141">
                  <c:v>0.22957553748493481</c:v>
                </c:pt>
                <c:pt idx="142">
                  <c:v>0.22957553748493481</c:v>
                </c:pt>
                <c:pt idx="143">
                  <c:v>0.22957553748493481</c:v>
                </c:pt>
                <c:pt idx="144">
                  <c:v>0.22957553748493481</c:v>
                </c:pt>
                <c:pt idx="145">
                  <c:v>0.22957553748493481</c:v>
                </c:pt>
                <c:pt idx="146">
                  <c:v>0.22957553748493481</c:v>
                </c:pt>
                <c:pt idx="147">
                  <c:v>0.22957553748493481</c:v>
                </c:pt>
                <c:pt idx="148">
                  <c:v>0.22957553748493481</c:v>
                </c:pt>
                <c:pt idx="149">
                  <c:v>0.22957553748493481</c:v>
                </c:pt>
                <c:pt idx="150">
                  <c:v>0.22957553748493481</c:v>
                </c:pt>
                <c:pt idx="151">
                  <c:v>0.22957553748493481</c:v>
                </c:pt>
                <c:pt idx="152">
                  <c:v>0.22957553748493481</c:v>
                </c:pt>
                <c:pt idx="153">
                  <c:v>0.22957553748493481</c:v>
                </c:pt>
                <c:pt idx="154">
                  <c:v>0.22957553748493481</c:v>
                </c:pt>
                <c:pt idx="155">
                  <c:v>0.22957553748493481</c:v>
                </c:pt>
                <c:pt idx="156">
                  <c:v>0.22957553748493481</c:v>
                </c:pt>
                <c:pt idx="157">
                  <c:v>0.22957553748493481</c:v>
                </c:pt>
                <c:pt idx="158">
                  <c:v>0.22957553748493481</c:v>
                </c:pt>
                <c:pt idx="159">
                  <c:v>0.22957553748493481</c:v>
                </c:pt>
                <c:pt idx="160">
                  <c:v>0.22957553748493481</c:v>
                </c:pt>
                <c:pt idx="161">
                  <c:v>0.22957553748493481</c:v>
                </c:pt>
                <c:pt idx="162">
                  <c:v>0.22957553748493481</c:v>
                </c:pt>
                <c:pt idx="163">
                  <c:v>0.22957553748493481</c:v>
                </c:pt>
                <c:pt idx="164">
                  <c:v>0.22957553748493481</c:v>
                </c:pt>
                <c:pt idx="165">
                  <c:v>0.22957553748493481</c:v>
                </c:pt>
                <c:pt idx="166">
                  <c:v>0.22957553748493481</c:v>
                </c:pt>
                <c:pt idx="167">
                  <c:v>0.22957553748493481</c:v>
                </c:pt>
                <c:pt idx="168">
                  <c:v>0.22957553748493481</c:v>
                </c:pt>
                <c:pt idx="169">
                  <c:v>0.22957553748493481</c:v>
                </c:pt>
                <c:pt idx="170">
                  <c:v>0.22957553748493481</c:v>
                </c:pt>
                <c:pt idx="171">
                  <c:v>0.22957553748493481</c:v>
                </c:pt>
                <c:pt idx="172">
                  <c:v>0.22957553748493481</c:v>
                </c:pt>
                <c:pt idx="173">
                  <c:v>0.22957553748493481</c:v>
                </c:pt>
                <c:pt idx="174">
                  <c:v>0.22957553748493481</c:v>
                </c:pt>
                <c:pt idx="175">
                  <c:v>0.22957553748493481</c:v>
                </c:pt>
                <c:pt idx="176">
                  <c:v>0.22957553748493481</c:v>
                </c:pt>
                <c:pt idx="177">
                  <c:v>0.22957553748493481</c:v>
                </c:pt>
                <c:pt idx="178">
                  <c:v>0.22957553748493481</c:v>
                </c:pt>
                <c:pt idx="179">
                  <c:v>0.22957553748493481</c:v>
                </c:pt>
                <c:pt idx="180">
                  <c:v>0.22957553748493481</c:v>
                </c:pt>
                <c:pt idx="181">
                  <c:v>0.22957553748493481</c:v>
                </c:pt>
                <c:pt idx="182">
                  <c:v>0.22957553748493481</c:v>
                </c:pt>
                <c:pt idx="183">
                  <c:v>0.22957553748493481</c:v>
                </c:pt>
                <c:pt idx="184">
                  <c:v>0.22957553748493481</c:v>
                </c:pt>
                <c:pt idx="185">
                  <c:v>0.22957553748493481</c:v>
                </c:pt>
                <c:pt idx="186">
                  <c:v>0.22957553748493481</c:v>
                </c:pt>
                <c:pt idx="187">
                  <c:v>0.22957553748493481</c:v>
                </c:pt>
                <c:pt idx="188">
                  <c:v>0.22957553748493481</c:v>
                </c:pt>
                <c:pt idx="189">
                  <c:v>0.22957553748493481</c:v>
                </c:pt>
                <c:pt idx="190">
                  <c:v>0.22957553748493481</c:v>
                </c:pt>
                <c:pt idx="191">
                  <c:v>0.22957553748493481</c:v>
                </c:pt>
                <c:pt idx="192">
                  <c:v>-9.038537462898949E-2</c:v>
                </c:pt>
                <c:pt idx="193">
                  <c:v>-9.038537462898949E-2</c:v>
                </c:pt>
                <c:pt idx="194">
                  <c:v>-9.038537462898949E-2</c:v>
                </c:pt>
                <c:pt idx="195">
                  <c:v>-9.038537462898949E-2</c:v>
                </c:pt>
                <c:pt idx="196">
                  <c:v>-9.038537462898949E-2</c:v>
                </c:pt>
                <c:pt idx="197">
                  <c:v>-9.038537462898949E-2</c:v>
                </c:pt>
                <c:pt idx="198">
                  <c:v>-9.038537462898949E-2</c:v>
                </c:pt>
                <c:pt idx="199">
                  <c:v>-9.038537462898949E-2</c:v>
                </c:pt>
                <c:pt idx="200">
                  <c:v>-9.038537462898949E-2</c:v>
                </c:pt>
                <c:pt idx="201">
                  <c:v>-9.038537462898949E-2</c:v>
                </c:pt>
                <c:pt idx="202">
                  <c:v>-9.038537462898949E-2</c:v>
                </c:pt>
                <c:pt idx="203">
                  <c:v>-9.038537462898949E-2</c:v>
                </c:pt>
                <c:pt idx="204">
                  <c:v>-9.038537462898949E-2</c:v>
                </c:pt>
                <c:pt idx="205">
                  <c:v>-9.038537462898949E-2</c:v>
                </c:pt>
                <c:pt idx="206">
                  <c:v>-9.038537462898949E-2</c:v>
                </c:pt>
                <c:pt idx="207">
                  <c:v>-9.038537462898949E-2</c:v>
                </c:pt>
                <c:pt idx="208">
                  <c:v>-9.038537462898949E-2</c:v>
                </c:pt>
                <c:pt idx="209">
                  <c:v>-9.038537462898949E-2</c:v>
                </c:pt>
                <c:pt idx="210">
                  <c:v>-9.038537462898949E-2</c:v>
                </c:pt>
                <c:pt idx="211">
                  <c:v>-9.038537462898949E-2</c:v>
                </c:pt>
                <c:pt idx="212">
                  <c:v>-9.038537462898949E-2</c:v>
                </c:pt>
                <c:pt idx="213">
                  <c:v>-9.038537462898949E-2</c:v>
                </c:pt>
                <c:pt idx="214">
                  <c:v>-9.038537462898949E-2</c:v>
                </c:pt>
                <c:pt idx="215">
                  <c:v>-9.038537462898949E-2</c:v>
                </c:pt>
                <c:pt idx="216">
                  <c:v>-9.038537462898949E-2</c:v>
                </c:pt>
                <c:pt idx="217">
                  <c:v>-9.038537462898949E-2</c:v>
                </c:pt>
                <c:pt idx="218">
                  <c:v>-9.038537462898949E-2</c:v>
                </c:pt>
                <c:pt idx="219">
                  <c:v>-9.038537462898949E-2</c:v>
                </c:pt>
                <c:pt idx="220">
                  <c:v>-9.038537462898949E-2</c:v>
                </c:pt>
                <c:pt idx="221">
                  <c:v>-9.038537462898949E-2</c:v>
                </c:pt>
                <c:pt idx="222">
                  <c:v>-9.038537462898949E-2</c:v>
                </c:pt>
                <c:pt idx="223">
                  <c:v>-9.038537462898949E-2</c:v>
                </c:pt>
                <c:pt idx="224">
                  <c:v>0.27113250180669229</c:v>
                </c:pt>
                <c:pt idx="225">
                  <c:v>0.27113250180669229</c:v>
                </c:pt>
                <c:pt idx="226">
                  <c:v>0.27113250180669229</c:v>
                </c:pt>
                <c:pt idx="227">
                  <c:v>0.27113250180669229</c:v>
                </c:pt>
                <c:pt idx="228">
                  <c:v>0.27113250180669229</c:v>
                </c:pt>
                <c:pt idx="229">
                  <c:v>0.27113250180669229</c:v>
                </c:pt>
                <c:pt idx="230">
                  <c:v>0.27113250180669229</c:v>
                </c:pt>
                <c:pt idx="231">
                  <c:v>0.27113250180669229</c:v>
                </c:pt>
                <c:pt idx="232">
                  <c:v>0.27113250180669229</c:v>
                </c:pt>
                <c:pt idx="233">
                  <c:v>0.27113250180669229</c:v>
                </c:pt>
                <c:pt idx="234">
                  <c:v>0.27113250180669229</c:v>
                </c:pt>
                <c:pt idx="235">
                  <c:v>0.27113250180669229</c:v>
                </c:pt>
                <c:pt idx="236">
                  <c:v>0.27113250180669229</c:v>
                </c:pt>
                <c:pt idx="237">
                  <c:v>0.27113250180669229</c:v>
                </c:pt>
                <c:pt idx="238">
                  <c:v>0.27113250180669229</c:v>
                </c:pt>
                <c:pt idx="239">
                  <c:v>0.27113250180669229</c:v>
                </c:pt>
                <c:pt idx="240">
                  <c:v>0.27113250180669229</c:v>
                </c:pt>
                <c:pt idx="241">
                  <c:v>0.27113250180669229</c:v>
                </c:pt>
                <c:pt idx="242">
                  <c:v>0.27113250180669229</c:v>
                </c:pt>
                <c:pt idx="243">
                  <c:v>0.27113250180669229</c:v>
                </c:pt>
                <c:pt idx="244">
                  <c:v>0.27113250180669229</c:v>
                </c:pt>
                <c:pt idx="245">
                  <c:v>0.27113250180669229</c:v>
                </c:pt>
                <c:pt idx="246">
                  <c:v>0.27113250180669229</c:v>
                </c:pt>
                <c:pt idx="247">
                  <c:v>0.27113250180669229</c:v>
                </c:pt>
                <c:pt idx="248">
                  <c:v>0.27113250180669229</c:v>
                </c:pt>
                <c:pt idx="249">
                  <c:v>0.27113250180669229</c:v>
                </c:pt>
                <c:pt idx="250">
                  <c:v>0.27113250180669229</c:v>
                </c:pt>
                <c:pt idx="251">
                  <c:v>0.27113250180669229</c:v>
                </c:pt>
                <c:pt idx="252">
                  <c:v>0.27113250180669229</c:v>
                </c:pt>
                <c:pt idx="253">
                  <c:v>0.27113250180669229</c:v>
                </c:pt>
                <c:pt idx="254">
                  <c:v>0.27113250180669229</c:v>
                </c:pt>
                <c:pt idx="255">
                  <c:v>0.27113250180669229</c:v>
                </c:pt>
                <c:pt idx="256">
                  <c:v>0.27113250180669229</c:v>
                </c:pt>
                <c:pt idx="257">
                  <c:v>0.27113250180669229</c:v>
                </c:pt>
                <c:pt idx="258">
                  <c:v>0.27113250180669229</c:v>
                </c:pt>
                <c:pt idx="259">
                  <c:v>0.27113250180669229</c:v>
                </c:pt>
                <c:pt idx="260">
                  <c:v>0.27113250180669229</c:v>
                </c:pt>
                <c:pt idx="261">
                  <c:v>0.27113250180669229</c:v>
                </c:pt>
                <c:pt idx="262">
                  <c:v>0.27113250180669229</c:v>
                </c:pt>
                <c:pt idx="263">
                  <c:v>0.27113250180669229</c:v>
                </c:pt>
                <c:pt idx="264">
                  <c:v>0.27113250180669229</c:v>
                </c:pt>
                <c:pt idx="265">
                  <c:v>0.27113250180669229</c:v>
                </c:pt>
                <c:pt idx="266">
                  <c:v>0.27113250180669229</c:v>
                </c:pt>
                <c:pt idx="267">
                  <c:v>0.27113250180669229</c:v>
                </c:pt>
                <c:pt idx="268">
                  <c:v>0.27113250180669229</c:v>
                </c:pt>
                <c:pt idx="269">
                  <c:v>0.27113250180669229</c:v>
                </c:pt>
                <c:pt idx="270">
                  <c:v>0.27113250180669229</c:v>
                </c:pt>
                <c:pt idx="271">
                  <c:v>0.27113250180669229</c:v>
                </c:pt>
                <c:pt idx="272">
                  <c:v>0.27113250180669229</c:v>
                </c:pt>
                <c:pt idx="273">
                  <c:v>0.27113250180669229</c:v>
                </c:pt>
                <c:pt idx="274">
                  <c:v>0.27113250180669229</c:v>
                </c:pt>
                <c:pt idx="275">
                  <c:v>0.27113250180669229</c:v>
                </c:pt>
                <c:pt idx="276">
                  <c:v>0.27113250180669229</c:v>
                </c:pt>
                <c:pt idx="277">
                  <c:v>0.27113250180669229</c:v>
                </c:pt>
                <c:pt idx="278">
                  <c:v>0.27113250180669229</c:v>
                </c:pt>
                <c:pt idx="279">
                  <c:v>0.27113250180669229</c:v>
                </c:pt>
                <c:pt idx="280">
                  <c:v>0.27113250180669229</c:v>
                </c:pt>
                <c:pt idx="281">
                  <c:v>0.27113250180669229</c:v>
                </c:pt>
                <c:pt idx="282">
                  <c:v>0.27113250180669229</c:v>
                </c:pt>
                <c:pt idx="283">
                  <c:v>0.27113250180669229</c:v>
                </c:pt>
                <c:pt idx="284">
                  <c:v>0.27113250180669229</c:v>
                </c:pt>
                <c:pt idx="285">
                  <c:v>0.27113250180669229</c:v>
                </c:pt>
                <c:pt idx="286">
                  <c:v>0.27113250180669229</c:v>
                </c:pt>
                <c:pt idx="287">
                  <c:v>0.27113250180669229</c:v>
                </c:pt>
                <c:pt idx="288">
                  <c:v>0.27113250180669229</c:v>
                </c:pt>
                <c:pt idx="289">
                  <c:v>0.27113250180669229</c:v>
                </c:pt>
                <c:pt idx="290">
                  <c:v>0.27113250180669229</c:v>
                </c:pt>
                <c:pt idx="291">
                  <c:v>0.27113250180669229</c:v>
                </c:pt>
                <c:pt idx="292">
                  <c:v>0.27113250180669229</c:v>
                </c:pt>
                <c:pt idx="293">
                  <c:v>0.27113250180669229</c:v>
                </c:pt>
                <c:pt idx="294">
                  <c:v>0.27113250180669229</c:v>
                </c:pt>
                <c:pt idx="295">
                  <c:v>0.27113250180669229</c:v>
                </c:pt>
                <c:pt idx="296">
                  <c:v>0.27113250180669229</c:v>
                </c:pt>
                <c:pt idx="297">
                  <c:v>0.27113250180669229</c:v>
                </c:pt>
                <c:pt idx="298">
                  <c:v>0.27113250180669229</c:v>
                </c:pt>
                <c:pt idx="299">
                  <c:v>0.27113250180669229</c:v>
                </c:pt>
                <c:pt idx="300">
                  <c:v>0.27113250180669229</c:v>
                </c:pt>
                <c:pt idx="301">
                  <c:v>0.27113250180669229</c:v>
                </c:pt>
                <c:pt idx="302">
                  <c:v>0.27113250180669229</c:v>
                </c:pt>
                <c:pt idx="303">
                  <c:v>0.27113250180669229</c:v>
                </c:pt>
                <c:pt idx="304">
                  <c:v>0.27113250180669229</c:v>
                </c:pt>
                <c:pt idx="305">
                  <c:v>0.27113250180669229</c:v>
                </c:pt>
                <c:pt idx="306">
                  <c:v>0.27113250180669229</c:v>
                </c:pt>
                <c:pt idx="307">
                  <c:v>0.27113250180669229</c:v>
                </c:pt>
                <c:pt idx="308">
                  <c:v>0.27113250180669229</c:v>
                </c:pt>
                <c:pt idx="309">
                  <c:v>0.27113250180669229</c:v>
                </c:pt>
                <c:pt idx="310">
                  <c:v>0.27113250180669229</c:v>
                </c:pt>
                <c:pt idx="311">
                  <c:v>0.27113250180669229</c:v>
                </c:pt>
                <c:pt idx="312">
                  <c:v>0.27113250180669229</c:v>
                </c:pt>
                <c:pt idx="313">
                  <c:v>0.27113250180669229</c:v>
                </c:pt>
                <c:pt idx="314">
                  <c:v>0.27113250180669229</c:v>
                </c:pt>
                <c:pt idx="315">
                  <c:v>0.27113250180669229</c:v>
                </c:pt>
                <c:pt idx="316">
                  <c:v>0.27113250180669229</c:v>
                </c:pt>
                <c:pt idx="317">
                  <c:v>0.27113250180669229</c:v>
                </c:pt>
                <c:pt idx="318">
                  <c:v>0.27113250180669229</c:v>
                </c:pt>
                <c:pt idx="319">
                  <c:v>0.27113250180669229</c:v>
                </c:pt>
                <c:pt idx="320">
                  <c:v>0.27113250180669229</c:v>
                </c:pt>
                <c:pt idx="321">
                  <c:v>0.27113250180669229</c:v>
                </c:pt>
                <c:pt idx="322">
                  <c:v>0.27113250180669229</c:v>
                </c:pt>
                <c:pt idx="323">
                  <c:v>0.27113250180669229</c:v>
                </c:pt>
                <c:pt idx="324">
                  <c:v>0.27113250180669229</c:v>
                </c:pt>
                <c:pt idx="325">
                  <c:v>0.27113250180669229</c:v>
                </c:pt>
                <c:pt idx="326">
                  <c:v>0.27113250180669229</c:v>
                </c:pt>
                <c:pt idx="327">
                  <c:v>0.27113250180669229</c:v>
                </c:pt>
                <c:pt idx="328">
                  <c:v>0.27113250180669229</c:v>
                </c:pt>
                <c:pt idx="329">
                  <c:v>0.27113250180669229</c:v>
                </c:pt>
                <c:pt idx="330">
                  <c:v>0.27113250180669229</c:v>
                </c:pt>
                <c:pt idx="331">
                  <c:v>0.27113250180669229</c:v>
                </c:pt>
                <c:pt idx="332">
                  <c:v>0.27113250180669229</c:v>
                </c:pt>
                <c:pt idx="333">
                  <c:v>0.27113250180669229</c:v>
                </c:pt>
                <c:pt idx="334">
                  <c:v>0.27113250180669229</c:v>
                </c:pt>
                <c:pt idx="335">
                  <c:v>0.27113250180669229</c:v>
                </c:pt>
                <c:pt idx="336">
                  <c:v>0.27113250180669229</c:v>
                </c:pt>
                <c:pt idx="337">
                  <c:v>0.27113250180669229</c:v>
                </c:pt>
                <c:pt idx="338">
                  <c:v>0.27113250180669229</c:v>
                </c:pt>
                <c:pt idx="339">
                  <c:v>-0.33163335417804801</c:v>
                </c:pt>
                <c:pt idx="340">
                  <c:v>-0.33163335417804801</c:v>
                </c:pt>
                <c:pt idx="341">
                  <c:v>-0.33163335417804801</c:v>
                </c:pt>
                <c:pt idx="342">
                  <c:v>-0.33163335417804801</c:v>
                </c:pt>
                <c:pt idx="343">
                  <c:v>-0.33163335417804801</c:v>
                </c:pt>
                <c:pt idx="344">
                  <c:v>-0.33163335417804801</c:v>
                </c:pt>
                <c:pt idx="345">
                  <c:v>-0.33163335417804801</c:v>
                </c:pt>
                <c:pt idx="346">
                  <c:v>-0.33163335417804801</c:v>
                </c:pt>
                <c:pt idx="347">
                  <c:v>-0.33163335417804801</c:v>
                </c:pt>
                <c:pt idx="348">
                  <c:v>-0.33163335417804801</c:v>
                </c:pt>
                <c:pt idx="349">
                  <c:v>-0.33163335417804801</c:v>
                </c:pt>
                <c:pt idx="350">
                  <c:v>-0.33163335417804801</c:v>
                </c:pt>
                <c:pt idx="351">
                  <c:v>-0.33163335417804801</c:v>
                </c:pt>
                <c:pt idx="352">
                  <c:v>-0.38863392418374743</c:v>
                </c:pt>
                <c:pt idx="353">
                  <c:v>-0.38863392418374743</c:v>
                </c:pt>
                <c:pt idx="354">
                  <c:v>-0.38863392418374743</c:v>
                </c:pt>
                <c:pt idx="355">
                  <c:v>-0.38863392418374743</c:v>
                </c:pt>
                <c:pt idx="356">
                  <c:v>-0.38863392418374743</c:v>
                </c:pt>
                <c:pt idx="357">
                  <c:v>-0.38863392418374743</c:v>
                </c:pt>
                <c:pt idx="358">
                  <c:v>-0.38863392418374743</c:v>
                </c:pt>
                <c:pt idx="359">
                  <c:v>-0.38863392418374743</c:v>
                </c:pt>
                <c:pt idx="360">
                  <c:v>-0.38863392418374743</c:v>
                </c:pt>
                <c:pt idx="361">
                  <c:v>-0.38863392418374743</c:v>
                </c:pt>
                <c:pt idx="362">
                  <c:v>-0.38863392418374743</c:v>
                </c:pt>
                <c:pt idx="363">
                  <c:v>-0.38863392418374743</c:v>
                </c:pt>
                <c:pt idx="364">
                  <c:v>-0.6722852908676058</c:v>
                </c:pt>
                <c:pt idx="365">
                  <c:v>-0.6722852908676058</c:v>
                </c:pt>
                <c:pt idx="366">
                  <c:v>-0.6722852908676058</c:v>
                </c:pt>
                <c:pt idx="367">
                  <c:v>-0.6722852908676058</c:v>
                </c:pt>
                <c:pt idx="368">
                  <c:v>-0.6722852908676058</c:v>
                </c:pt>
                <c:pt idx="369">
                  <c:v>-0.29132673137391618</c:v>
                </c:pt>
                <c:pt idx="370">
                  <c:v>-0.29132673137391618</c:v>
                </c:pt>
                <c:pt idx="371">
                  <c:v>0.62848633887309935</c:v>
                </c:pt>
                <c:pt idx="372">
                  <c:v>0.62848633887309935</c:v>
                </c:pt>
                <c:pt idx="373">
                  <c:v>0.62848633887309935</c:v>
                </c:pt>
                <c:pt idx="374">
                  <c:v>0.62848633887309935</c:v>
                </c:pt>
                <c:pt idx="375">
                  <c:v>0.62848633887309935</c:v>
                </c:pt>
                <c:pt idx="376">
                  <c:v>0.62848633887309935</c:v>
                </c:pt>
                <c:pt idx="377">
                  <c:v>0.62848633887309935</c:v>
                </c:pt>
                <c:pt idx="378">
                  <c:v>0.62848633887309935</c:v>
                </c:pt>
                <c:pt idx="379">
                  <c:v>0.62848633887309935</c:v>
                </c:pt>
                <c:pt idx="380">
                  <c:v>0.62848633887309935</c:v>
                </c:pt>
                <c:pt idx="381">
                  <c:v>0.62848633887309935</c:v>
                </c:pt>
                <c:pt idx="382">
                  <c:v>0.62848633887309935</c:v>
                </c:pt>
                <c:pt idx="383">
                  <c:v>0.62848633887309935</c:v>
                </c:pt>
                <c:pt idx="384">
                  <c:v>0.62848633887309935</c:v>
                </c:pt>
                <c:pt idx="385">
                  <c:v>0.62848633887309935</c:v>
                </c:pt>
                <c:pt idx="386">
                  <c:v>0.62848633887309935</c:v>
                </c:pt>
                <c:pt idx="387">
                  <c:v>0.62848633887309935</c:v>
                </c:pt>
                <c:pt idx="388">
                  <c:v>0.62848633887309935</c:v>
                </c:pt>
                <c:pt idx="389">
                  <c:v>0.62848633887309935</c:v>
                </c:pt>
                <c:pt idx="390">
                  <c:v>0.62848633887309935</c:v>
                </c:pt>
                <c:pt idx="391">
                  <c:v>0.62848633887309935</c:v>
                </c:pt>
                <c:pt idx="392">
                  <c:v>0.62848633887309935</c:v>
                </c:pt>
                <c:pt idx="393">
                  <c:v>0.62848633887309935</c:v>
                </c:pt>
                <c:pt idx="394">
                  <c:v>0.62848633887309935</c:v>
                </c:pt>
                <c:pt idx="395">
                  <c:v>0.62848633887309935</c:v>
                </c:pt>
                <c:pt idx="396">
                  <c:v>0.62848633887309935</c:v>
                </c:pt>
                <c:pt idx="397">
                  <c:v>0.62848633887309935</c:v>
                </c:pt>
                <c:pt idx="398">
                  <c:v>0.62848633887309935</c:v>
                </c:pt>
                <c:pt idx="399">
                  <c:v>0.62848633887309935</c:v>
                </c:pt>
                <c:pt idx="400">
                  <c:v>0.62848633887309935</c:v>
                </c:pt>
                <c:pt idx="401">
                  <c:v>0.62848633887309935</c:v>
                </c:pt>
                <c:pt idx="402">
                  <c:v>0.62848633887309935</c:v>
                </c:pt>
                <c:pt idx="403">
                  <c:v>0.62848633887309935</c:v>
                </c:pt>
                <c:pt idx="404">
                  <c:v>0.62848633887309935</c:v>
                </c:pt>
                <c:pt idx="405">
                  <c:v>0.62848633887309935</c:v>
                </c:pt>
                <c:pt idx="406">
                  <c:v>0.62848633887309935</c:v>
                </c:pt>
                <c:pt idx="407">
                  <c:v>0.62848633887309935</c:v>
                </c:pt>
                <c:pt idx="408">
                  <c:v>0.62848633887309935</c:v>
                </c:pt>
                <c:pt idx="409">
                  <c:v>0.62848633887309935</c:v>
                </c:pt>
                <c:pt idx="410">
                  <c:v>0.62848633887309935</c:v>
                </c:pt>
                <c:pt idx="411">
                  <c:v>0.62848633887309935</c:v>
                </c:pt>
                <c:pt idx="412">
                  <c:v>0.62848633887309935</c:v>
                </c:pt>
                <c:pt idx="413">
                  <c:v>0.62848633887309935</c:v>
                </c:pt>
                <c:pt idx="414">
                  <c:v>0.62848633887309935</c:v>
                </c:pt>
                <c:pt idx="415">
                  <c:v>0.62848633887309935</c:v>
                </c:pt>
                <c:pt idx="416">
                  <c:v>0.62848633887309935</c:v>
                </c:pt>
                <c:pt idx="417">
                  <c:v>0.62848633887309935</c:v>
                </c:pt>
                <c:pt idx="418">
                  <c:v>0.62848633887309935</c:v>
                </c:pt>
              </c:numCache>
            </c:numRef>
          </c:val>
          <c:smooth val="0"/>
          <c:extLst>
            <c:ext xmlns:c16="http://schemas.microsoft.com/office/drawing/2014/chart" uri="{C3380CC4-5D6E-409C-BE32-E72D297353CC}">
              <c16:uniqueId val="{00000009-7AEE-4D62-9FE5-2B87AD6DF366}"/>
            </c:ext>
          </c:extLst>
        </c:ser>
        <c:ser>
          <c:idx val="10"/>
          <c:order val="10"/>
          <c:tx>
            <c:v>All SW</c:v>
          </c:tx>
          <c:spPr>
            <a:ln w="28575" cap="rnd">
              <a:solidFill>
                <a:srgbClr val="00B0F0"/>
              </a:solidFill>
              <a:round/>
            </a:ln>
            <a:effectLst/>
          </c:spPr>
          <c:marker>
            <c:symbol val="none"/>
          </c:marker>
          <c:val>
            <c:numRef>
              <c:f>'2025-Q2'!$CH$4:$CH$422</c:f>
              <c:numCache>
                <c:formatCode>0.0</c:formatCode>
                <c:ptCount val="419"/>
                <c:pt idx="0">
                  <c:v>0</c:v>
                </c:pt>
                <c:pt idx="1">
                  <c:v>0</c:v>
                </c:pt>
                <c:pt idx="2">
                  <c:v>-5.8708702097371709E-2</c:v>
                </c:pt>
                <c:pt idx="3">
                  <c:v>-0.47332867780116666</c:v>
                </c:pt>
                <c:pt idx="4">
                  <c:v>-0.67924094093413856</c:v>
                </c:pt>
                <c:pt idx="5">
                  <c:v>-1.331897252120668</c:v>
                </c:pt>
                <c:pt idx="6">
                  <c:v>-1.9089285900827602</c:v>
                </c:pt>
                <c:pt idx="7">
                  <c:v>-2.0364740006470425</c:v>
                </c:pt>
                <c:pt idx="8">
                  <c:v>-1.5119749040259491</c:v>
                </c:pt>
                <c:pt idx="9">
                  <c:v>-1.5119749040259491</c:v>
                </c:pt>
                <c:pt idx="10">
                  <c:v>-1.2562541405544734</c:v>
                </c:pt>
                <c:pt idx="11">
                  <c:v>-0.74266446688844512</c:v>
                </c:pt>
                <c:pt idx="12">
                  <c:v>-0.74266446688844512</c:v>
                </c:pt>
                <c:pt idx="13">
                  <c:v>-0.59798104285804188</c:v>
                </c:pt>
                <c:pt idx="14">
                  <c:v>-0.59798104285804188</c:v>
                </c:pt>
                <c:pt idx="15">
                  <c:v>5.7491593957879394E-2</c:v>
                </c:pt>
                <c:pt idx="16">
                  <c:v>5.7491593957879394E-2</c:v>
                </c:pt>
                <c:pt idx="17">
                  <c:v>5.7491593957879394E-2</c:v>
                </c:pt>
                <c:pt idx="18">
                  <c:v>2.0899319080158046E-3</c:v>
                </c:pt>
                <c:pt idx="19">
                  <c:v>0.46094484132543312</c:v>
                </c:pt>
                <c:pt idx="20">
                  <c:v>0.87016805155801569</c:v>
                </c:pt>
                <c:pt idx="21">
                  <c:v>1.1641330172118003</c:v>
                </c:pt>
                <c:pt idx="22">
                  <c:v>1.1641330172118003</c:v>
                </c:pt>
                <c:pt idx="23">
                  <c:v>1.0528157630374015</c:v>
                </c:pt>
                <c:pt idx="24">
                  <c:v>0.18840117891918895</c:v>
                </c:pt>
                <c:pt idx="25">
                  <c:v>-2.7484350488031315</c:v>
                </c:pt>
                <c:pt idx="26">
                  <c:v>-2.7484350488031315</c:v>
                </c:pt>
                <c:pt idx="27">
                  <c:v>-2.7484350488031315</c:v>
                </c:pt>
                <c:pt idx="28">
                  <c:v>-2.7484350488031315</c:v>
                </c:pt>
                <c:pt idx="29">
                  <c:v>-2.3158062509167356</c:v>
                </c:pt>
                <c:pt idx="30">
                  <c:v>-2.3158062509167356</c:v>
                </c:pt>
                <c:pt idx="31">
                  <c:v>-2.3158062509167356</c:v>
                </c:pt>
                <c:pt idx="32">
                  <c:v>-2.3158062509167356</c:v>
                </c:pt>
                <c:pt idx="33">
                  <c:v>-2.3138293412219695</c:v>
                </c:pt>
                <c:pt idx="34">
                  <c:v>-3.218060132622047</c:v>
                </c:pt>
                <c:pt idx="35">
                  <c:v>-4.0393452731842965</c:v>
                </c:pt>
                <c:pt idx="36">
                  <c:v>-4.0393452731842965</c:v>
                </c:pt>
                <c:pt idx="37">
                  <c:v>-3.8373564602570109</c:v>
                </c:pt>
                <c:pt idx="38">
                  <c:v>-3.6426039860270283</c:v>
                </c:pt>
                <c:pt idx="39">
                  <c:v>-3.6426039860270283</c:v>
                </c:pt>
                <c:pt idx="40">
                  <c:v>-3.6426039860270283</c:v>
                </c:pt>
                <c:pt idx="41">
                  <c:v>-3.6426039860270283</c:v>
                </c:pt>
                <c:pt idx="42">
                  <c:v>-3.6426039860270283</c:v>
                </c:pt>
                <c:pt idx="43">
                  <c:v>-2.880992921640523</c:v>
                </c:pt>
                <c:pt idx="44">
                  <c:v>-3.2459280874142631</c:v>
                </c:pt>
                <c:pt idx="45">
                  <c:v>-3.2561099796462054</c:v>
                </c:pt>
                <c:pt idx="46">
                  <c:v>-3.2561099796462054</c:v>
                </c:pt>
                <c:pt idx="47">
                  <c:v>-3.2561099796462054</c:v>
                </c:pt>
                <c:pt idx="48">
                  <c:v>-3.2561099796462054</c:v>
                </c:pt>
                <c:pt idx="49">
                  <c:v>-4.787720086422822</c:v>
                </c:pt>
                <c:pt idx="50">
                  <c:v>-5.6194470800688512</c:v>
                </c:pt>
                <c:pt idx="51">
                  <c:v>-4.6684068178223059</c:v>
                </c:pt>
                <c:pt idx="52">
                  <c:v>-4.6684068178223059</c:v>
                </c:pt>
                <c:pt idx="53">
                  <c:v>-4.17574702283693</c:v>
                </c:pt>
                <c:pt idx="54">
                  <c:v>-3.4356097179672029</c:v>
                </c:pt>
                <c:pt idx="55">
                  <c:v>-3.4356097179672029</c:v>
                </c:pt>
                <c:pt idx="56">
                  <c:v>-4.1133990818879544</c:v>
                </c:pt>
                <c:pt idx="57">
                  <c:v>-4.1133990818879544</c:v>
                </c:pt>
                <c:pt idx="58">
                  <c:v>-3.4475158073090277</c:v>
                </c:pt>
                <c:pt idx="59">
                  <c:v>-2.2645935902228382</c:v>
                </c:pt>
                <c:pt idx="60">
                  <c:v>-1.7635984629151702</c:v>
                </c:pt>
                <c:pt idx="61">
                  <c:v>-0.33394634322716721</c:v>
                </c:pt>
                <c:pt idx="62">
                  <c:v>2.2693489672924785</c:v>
                </c:pt>
                <c:pt idx="63">
                  <c:v>3.2097760935569961</c:v>
                </c:pt>
                <c:pt idx="64">
                  <c:v>2.9470411776321668</c:v>
                </c:pt>
                <c:pt idx="65">
                  <c:v>4.1243321777142077</c:v>
                </c:pt>
                <c:pt idx="66">
                  <c:v>4.1243321777142077</c:v>
                </c:pt>
                <c:pt idx="67">
                  <c:v>4.1243321777142077</c:v>
                </c:pt>
                <c:pt idx="68">
                  <c:v>4.1243321777142077</c:v>
                </c:pt>
                <c:pt idx="69">
                  <c:v>4.1243321777142077</c:v>
                </c:pt>
                <c:pt idx="70">
                  <c:v>4.1243321777142077</c:v>
                </c:pt>
                <c:pt idx="71">
                  <c:v>4.1243321777142077</c:v>
                </c:pt>
                <c:pt idx="72">
                  <c:v>5.2751627940781276</c:v>
                </c:pt>
                <c:pt idx="73">
                  <c:v>5.0829017557472183</c:v>
                </c:pt>
                <c:pt idx="74">
                  <c:v>5.950865985100191</c:v>
                </c:pt>
                <c:pt idx="75">
                  <c:v>5.4438759227791529</c:v>
                </c:pt>
                <c:pt idx="76">
                  <c:v>6.8109478912313381</c:v>
                </c:pt>
                <c:pt idx="77">
                  <c:v>6.5264701178062232</c:v>
                </c:pt>
                <c:pt idx="78">
                  <c:v>5.5552436770914344</c:v>
                </c:pt>
                <c:pt idx="79">
                  <c:v>5.5552436770914344</c:v>
                </c:pt>
                <c:pt idx="80">
                  <c:v>5.7056401769547129</c:v>
                </c:pt>
                <c:pt idx="81">
                  <c:v>5.7056401769547129</c:v>
                </c:pt>
                <c:pt idx="82">
                  <c:v>5.7056401769547129</c:v>
                </c:pt>
                <c:pt idx="83">
                  <c:v>5.1374583587728946</c:v>
                </c:pt>
                <c:pt idx="84">
                  <c:v>3.2903832781648799</c:v>
                </c:pt>
                <c:pt idx="85">
                  <c:v>3.2903832781648799</c:v>
                </c:pt>
                <c:pt idx="86">
                  <c:v>2.7644274061642369</c:v>
                </c:pt>
                <c:pt idx="87">
                  <c:v>2.7644274061642369</c:v>
                </c:pt>
                <c:pt idx="88">
                  <c:v>2.7644274061642369</c:v>
                </c:pt>
                <c:pt idx="89">
                  <c:v>2.4469670887039179</c:v>
                </c:pt>
                <c:pt idx="90">
                  <c:v>2.4469670887039179</c:v>
                </c:pt>
                <c:pt idx="91">
                  <c:v>2.4469670887039179</c:v>
                </c:pt>
                <c:pt idx="92">
                  <c:v>2.4469670887039179</c:v>
                </c:pt>
                <c:pt idx="93">
                  <c:v>1.5891481180866815</c:v>
                </c:pt>
                <c:pt idx="94">
                  <c:v>0.95093551413918087</c:v>
                </c:pt>
                <c:pt idx="95">
                  <c:v>0.95093551413918087</c:v>
                </c:pt>
                <c:pt idx="96">
                  <c:v>0.95093551413918087</c:v>
                </c:pt>
                <c:pt idx="97">
                  <c:v>0.95093551413918087</c:v>
                </c:pt>
                <c:pt idx="98">
                  <c:v>0.95093551413918087</c:v>
                </c:pt>
                <c:pt idx="99">
                  <c:v>0.30610601813474969</c:v>
                </c:pt>
                <c:pt idx="100">
                  <c:v>0.30610601813474969</c:v>
                </c:pt>
                <c:pt idx="101">
                  <c:v>-0.15330479933233376</c:v>
                </c:pt>
                <c:pt idx="102">
                  <c:v>-0.17256727756573337</c:v>
                </c:pt>
                <c:pt idx="103">
                  <c:v>-0.17256727756573337</c:v>
                </c:pt>
                <c:pt idx="104">
                  <c:v>-0.19772662006824826</c:v>
                </c:pt>
                <c:pt idx="105">
                  <c:v>-0.19772662006824826</c:v>
                </c:pt>
                <c:pt idx="106">
                  <c:v>-0.19772662006824826</c:v>
                </c:pt>
                <c:pt idx="107">
                  <c:v>-1.5627025778780812</c:v>
                </c:pt>
                <c:pt idx="108">
                  <c:v>-0.98158327811135515</c:v>
                </c:pt>
                <c:pt idx="109">
                  <c:v>-1.5264097814870796</c:v>
                </c:pt>
                <c:pt idx="110">
                  <c:v>-1.5264097814870796</c:v>
                </c:pt>
                <c:pt idx="111">
                  <c:v>-1.5264097814870796</c:v>
                </c:pt>
                <c:pt idx="112">
                  <c:v>-1.0948660852469776</c:v>
                </c:pt>
                <c:pt idx="113">
                  <c:v>-0.47114817206851145</c:v>
                </c:pt>
                <c:pt idx="114">
                  <c:v>3.046995090883442E-2</c:v>
                </c:pt>
                <c:pt idx="115">
                  <c:v>1.2317741388232271</c:v>
                </c:pt>
                <c:pt idx="116">
                  <c:v>1.2317741388232271</c:v>
                </c:pt>
                <c:pt idx="117">
                  <c:v>1.2317741388232271</c:v>
                </c:pt>
                <c:pt idx="118">
                  <c:v>2.2548108651057053</c:v>
                </c:pt>
                <c:pt idx="119">
                  <c:v>1.8200953098071886</c:v>
                </c:pt>
                <c:pt idx="120">
                  <c:v>1.8200953098071886</c:v>
                </c:pt>
                <c:pt idx="121">
                  <c:v>1.8200953098071886</c:v>
                </c:pt>
                <c:pt idx="122">
                  <c:v>0.77552706468184374</c:v>
                </c:pt>
                <c:pt idx="123">
                  <c:v>0.45862964135970113</c:v>
                </c:pt>
                <c:pt idx="124">
                  <c:v>0.45862964135970113</c:v>
                </c:pt>
                <c:pt idx="125">
                  <c:v>0.68610916820228396</c:v>
                </c:pt>
                <c:pt idx="126">
                  <c:v>1.1021786980437152</c:v>
                </c:pt>
                <c:pt idx="127">
                  <c:v>1.1021786980437152</c:v>
                </c:pt>
                <c:pt idx="128">
                  <c:v>1.3278104669967838</c:v>
                </c:pt>
                <c:pt idx="129">
                  <c:v>1.3278104669967838</c:v>
                </c:pt>
                <c:pt idx="130">
                  <c:v>0.7659637771013148</c:v>
                </c:pt>
                <c:pt idx="131">
                  <c:v>0.7659637771013148</c:v>
                </c:pt>
                <c:pt idx="132">
                  <c:v>0.2967286656138724</c:v>
                </c:pt>
                <c:pt idx="133">
                  <c:v>0.2967286656138724</c:v>
                </c:pt>
                <c:pt idx="134">
                  <c:v>0.2967286656138724</c:v>
                </c:pt>
                <c:pt idx="135">
                  <c:v>0.2967286656138724</c:v>
                </c:pt>
                <c:pt idx="136">
                  <c:v>0.2967286656138724</c:v>
                </c:pt>
                <c:pt idx="137">
                  <c:v>0.2967286656138724</c:v>
                </c:pt>
                <c:pt idx="138">
                  <c:v>0.2967286656138724</c:v>
                </c:pt>
                <c:pt idx="139">
                  <c:v>0.2967286656138724</c:v>
                </c:pt>
                <c:pt idx="140">
                  <c:v>0.15743349915614699</c:v>
                </c:pt>
                <c:pt idx="141">
                  <c:v>0.15743349915614699</c:v>
                </c:pt>
                <c:pt idx="142">
                  <c:v>0.15743349915614699</c:v>
                </c:pt>
                <c:pt idx="143">
                  <c:v>0.15743349915614699</c:v>
                </c:pt>
                <c:pt idx="144">
                  <c:v>0.15743349915614699</c:v>
                </c:pt>
                <c:pt idx="145">
                  <c:v>0.15743349915614699</c:v>
                </c:pt>
                <c:pt idx="146">
                  <c:v>0.15743349915614699</c:v>
                </c:pt>
                <c:pt idx="147">
                  <c:v>0.15743349915614699</c:v>
                </c:pt>
                <c:pt idx="148">
                  <c:v>1.3316759233985713</c:v>
                </c:pt>
                <c:pt idx="149">
                  <c:v>2.3415336763446604</c:v>
                </c:pt>
                <c:pt idx="150">
                  <c:v>2.1016224792952101</c:v>
                </c:pt>
                <c:pt idx="151">
                  <c:v>3.2321371851775655</c:v>
                </c:pt>
                <c:pt idx="152">
                  <c:v>3.2321371851775655</c:v>
                </c:pt>
                <c:pt idx="153">
                  <c:v>1.5664526438300914</c:v>
                </c:pt>
                <c:pt idx="154">
                  <c:v>1.2209384718928695</c:v>
                </c:pt>
                <c:pt idx="155">
                  <c:v>0.50296755151909212</c:v>
                </c:pt>
                <c:pt idx="156">
                  <c:v>0.50296755151909212</c:v>
                </c:pt>
                <c:pt idx="157">
                  <c:v>1.0608476073070958</c:v>
                </c:pt>
                <c:pt idx="158">
                  <c:v>1.4955266593494918</c:v>
                </c:pt>
                <c:pt idx="159">
                  <c:v>-0.75853113954203621</c:v>
                </c:pt>
                <c:pt idx="160">
                  <c:v>-0.14416201032142462</c:v>
                </c:pt>
                <c:pt idx="161">
                  <c:v>0.93529165394645586</c:v>
                </c:pt>
                <c:pt idx="162">
                  <c:v>0.93529165394645586</c:v>
                </c:pt>
                <c:pt idx="163">
                  <c:v>0.93529165394645586</c:v>
                </c:pt>
                <c:pt idx="164">
                  <c:v>1.3587355923546105</c:v>
                </c:pt>
                <c:pt idx="165">
                  <c:v>2.3287257839948707</c:v>
                </c:pt>
                <c:pt idx="166">
                  <c:v>2.1998047222920092</c:v>
                </c:pt>
                <c:pt idx="167">
                  <c:v>1.9163637602832426</c:v>
                </c:pt>
                <c:pt idx="168">
                  <c:v>1.9163637602832426</c:v>
                </c:pt>
                <c:pt idx="169">
                  <c:v>1.8937939631857208</c:v>
                </c:pt>
                <c:pt idx="170">
                  <c:v>1.8937939631857208</c:v>
                </c:pt>
                <c:pt idx="171">
                  <c:v>0.41412713320041905</c:v>
                </c:pt>
                <c:pt idx="172">
                  <c:v>0.41412713320041905</c:v>
                </c:pt>
                <c:pt idx="173">
                  <c:v>0.93379291677490495</c:v>
                </c:pt>
                <c:pt idx="174">
                  <c:v>0.93379291677490495</c:v>
                </c:pt>
                <c:pt idx="175">
                  <c:v>2.4454561258018739</c:v>
                </c:pt>
                <c:pt idx="176">
                  <c:v>2.4454561258018739</c:v>
                </c:pt>
                <c:pt idx="177">
                  <c:v>3.7531367572529986</c:v>
                </c:pt>
                <c:pt idx="178">
                  <c:v>3.7531367572529986</c:v>
                </c:pt>
                <c:pt idx="179">
                  <c:v>3.7531367572529986</c:v>
                </c:pt>
                <c:pt idx="180">
                  <c:v>3.2654665327406662</c:v>
                </c:pt>
                <c:pt idx="181">
                  <c:v>2.9546309731526486</c:v>
                </c:pt>
                <c:pt idx="182">
                  <c:v>3.665971646434329</c:v>
                </c:pt>
                <c:pt idx="183">
                  <c:v>4.228983842343216</c:v>
                </c:pt>
                <c:pt idx="184">
                  <c:v>4.228983842343216</c:v>
                </c:pt>
                <c:pt idx="185">
                  <c:v>4.228983842343216</c:v>
                </c:pt>
                <c:pt idx="186">
                  <c:v>4.228983842343216</c:v>
                </c:pt>
                <c:pt idx="187">
                  <c:v>4.69113172966716</c:v>
                </c:pt>
                <c:pt idx="188">
                  <c:v>4.69113172966716</c:v>
                </c:pt>
                <c:pt idx="189">
                  <c:v>4.69113172966716</c:v>
                </c:pt>
                <c:pt idx="190">
                  <c:v>5.3749707305495349</c:v>
                </c:pt>
                <c:pt idx="191">
                  <c:v>5.3749707305495349</c:v>
                </c:pt>
                <c:pt idx="192">
                  <c:v>5.0550098184356109</c:v>
                </c:pt>
                <c:pt idx="193">
                  <c:v>5.0550098184356109</c:v>
                </c:pt>
                <c:pt idx="194">
                  <c:v>5.0550098184356109</c:v>
                </c:pt>
                <c:pt idx="195">
                  <c:v>5.1812098661621748</c:v>
                </c:pt>
                <c:pt idx="196">
                  <c:v>5.2402058398390245</c:v>
                </c:pt>
                <c:pt idx="197">
                  <c:v>5.2402058398390245</c:v>
                </c:pt>
                <c:pt idx="198">
                  <c:v>5.2402058398390245</c:v>
                </c:pt>
                <c:pt idx="199">
                  <c:v>5.2402058398390245</c:v>
                </c:pt>
                <c:pt idx="200">
                  <c:v>5.2402058398390245</c:v>
                </c:pt>
                <c:pt idx="201">
                  <c:v>5.2402058398390245</c:v>
                </c:pt>
                <c:pt idx="202">
                  <c:v>5.4983069647963294</c:v>
                </c:pt>
                <c:pt idx="203">
                  <c:v>5.4983069647963294</c:v>
                </c:pt>
                <c:pt idx="204">
                  <c:v>5.8466715549431942</c:v>
                </c:pt>
                <c:pt idx="205">
                  <c:v>4.7804679444472544</c:v>
                </c:pt>
                <c:pt idx="206">
                  <c:v>6.1491647355409036</c:v>
                </c:pt>
                <c:pt idx="207">
                  <c:v>6.1491647355409036</c:v>
                </c:pt>
                <c:pt idx="208">
                  <c:v>5.9860165655523039</c:v>
                </c:pt>
                <c:pt idx="209">
                  <c:v>5.9860165655523039</c:v>
                </c:pt>
                <c:pt idx="210">
                  <c:v>4.9672353949273145</c:v>
                </c:pt>
                <c:pt idx="211">
                  <c:v>4.3865883356711599</c:v>
                </c:pt>
                <c:pt idx="212">
                  <c:v>4.2149306983946628</c:v>
                </c:pt>
                <c:pt idx="213">
                  <c:v>4.2149306983946628</c:v>
                </c:pt>
                <c:pt idx="214">
                  <c:v>4.2149306983946628</c:v>
                </c:pt>
                <c:pt idx="215">
                  <c:v>4.2149306983946628</c:v>
                </c:pt>
                <c:pt idx="216">
                  <c:v>5.6614904345661534</c:v>
                </c:pt>
                <c:pt idx="217">
                  <c:v>5.6614904345661534</c:v>
                </c:pt>
                <c:pt idx="218">
                  <c:v>5.6614904345661534</c:v>
                </c:pt>
                <c:pt idx="219">
                  <c:v>7.2285636747406263</c:v>
                </c:pt>
                <c:pt idx="220">
                  <c:v>7.2285636747406263</c:v>
                </c:pt>
                <c:pt idx="221">
                  <c:v>7.7726868549669605</c:v>
                </c:pt>
                <c:pt idx="222">
                  <c:v>7.7726868549669605</c:v>
                </c:pt>
                <c:pt idx="223">
                  <c:v>7.7726868549669605</c:v>
                </c:pt>
                <c:pt idx="224">
                  <c:v>8.134204731402642</c:v>
                </c:pt>
                <c:pt idx="225">
                  <c:v>8.134204731402642</c:v>
                </c:pt>
                <c:pt idx="226">
                  <c:v>6.3632759032424007</c:v>
                </c:pt>
                <c:pt idx="227">
                  <c:v>6.3632759032424007</c:v>
                </c:pt>
                <c:pt idx="228">
                  <c:v>6.3588194561003188</c:v>
                </c:pt>
                <c:pt idx="229">
                  <c:v>6.3155240577826532</c:v>
                </c:pt>
                <c:pt idx="230">
                  <c:v>6.3155240577826532</c:v>
                </c:pt>
                <c:pt idx="231">
                  <c:v>5.7506450028417229</c:v>
                </c:pt>
                <c:pt idx="232">
                  <c:v>6.420428405435854</c:v>
                </c:pt>
                <c:pt idx="233">
                  <c:v>6.8738312762042915</c:v>
                </c:pt>
                <c:pt idx="234">
                  <c:v>6.8738312762042915</c:v>
                </c:pt>
                <c:pt idx="235">
                  <c:v>6.8738312762042915</c:v>
                </c:pt>
                <c:pt idx="236">
                  <c:v>6.8738312762042915</c:v>
                </c:pt>
                <c:pt idx="237">
                  <c:v>6.8257186050762684</c:v>
                </c:pt>
                <c:pt idx="238">
                  <c:v>5.1223152641183383</c:v>
                </c:pt>
                <c:pt idx="239">
                  <c:v>5.1654602821377287</c:v>
                </c:pt>
                <c:pt idx="240">
                  <c:v>5.1654602821377287</c:v>
                </c:pt>
                <c:pt idx="241">
                  <c:v>5.1654602821377287</c:v>
                </c:pt>
                <c:pt idx="242">
                  <c:v>5.2736797002940596</c:v>
                </c:pt>
                <c:pt idx="243">
                  <c:v>5.2736797002940596</c:v>
                </c:pt>
                <c:pt idx="244">
                  <c:v>4.4459631505172155</c:v>
                </c:pt>
                <c:pt idx="245">
                  <c:v>4.4459631505172155</c:v>
                </c:pt>
                <c:pt idx="246">
                  <c:v>4.4459631505172155</c:v>
                </c:pt>
                <c:pt idx="247">
                  <c:v>4.4459631505172155</c:v>
                </c:pt>
                <c:pt idx="248">
                  <c:v>4.4459631505172155</c:v>
                </c:pt>
                <c:pt idx="249">
                  <c:v>4.4459631505172155</c:v>
                </c:pt>
                <c:pt idx="250">
                  <c:v>4.4459631505172155</c:v>
                </c:pt>
                <c:pt idx="251">
                  <c:v>3.5713675481703389</c:v>
                </c:pt>
                <c:pt idx="252">
                  <c:v>3.064447421440307</c:v>
                </c:pt>
                <c:pt idx="253">
                  <c:v>3.064447421440307</c:v>
                </c:pt>
                <c:pt idx="254">
                  <c:v>3.064447421440307</c:v>
                </c:pt>
                <c:pt idx="255">
                  <c:v>3.064447421440307</c:v>
                </c:pt>
                <c:pt idx="256">
                  <c:v>2.9333428655569906</c:v>
                </c:pt>
                <c:pt idx="257">
                  <c:v>2.9333428655569906</c:v>
                </c:pt>
                <c:pt idx="258">
                  <c:v>2.9333428655569906</c:v>
                </c:pt>
                <c:pt idx="259">
                  <c:v>2.9333428655569906</c:v>
                </c:pt>
                <c:pt idx="260">
                  <c:v>2.9333428655569906</c:v>
                </c:pt>
                <c:pt idx="261">
                  <c:v>2.9333428655569906</c:v>
                </c:pt>
                <c:pt idx="262">
                  <c:v>2.9333428655569906</c:v>
                </c:pt>
                <c:pt idx="263">
                  <c:v>2.6694681634800426</c:v>
                </c:pt>
                <c:pt idx="264">
                  <c:v>2.6694681634800426</c:v>
                </c:pt>
                <c:pt idx="265">
                  <c:v>2.6694681634800426</c:v>
                </c:pt>
                <c:pt idx="266">
                  <c:v>3.2673301497029255</c:v>
                </c:pt>
                <c:pt idx="267">
                  <c:v>3.2673301497029255</c:v>
                </c:pt>
                <c:pt idx="268">
                  <c:v>3.2673301497029255</c:v>
                </c:pt>
                <c:pt idx="269">
                  <c:v>3.2673301497029255</c:v>
                </c:pt>
                <c:pt idx="270">
                  <c:v>3.2673301497029255</c:v>
                </c:pt>
                <c:pt idx="271">
                  <c:v>3.2673301497029255</c:v>
                </c:pt>
                <c:pt idx="272">
                  <c:v>3.2673301497029255</c:v>
                </c:pt>
                <c:pt idx="273">
                  <c:v>3.2673301497029255</c:v>
                </c:pt>
                <c:pt idx="274">
                  <c:v>3.2673301497029255</c:v>
                </c:pt>
                <c:pt idx="275">
                  <c:v>3.2673301497029255</c:v>
                </c:pt>
                <c:pt idx="276">
                  <c:v>3.2673301497029255</c:v>
                </c:pt>
                <c:pt idx="277">
                  <c:v>3.2673301497029255</c:v>
                </c:pt>
                <c:pt idx="278">
                  <c:v>3.2673301497029255</c:v>
                </c:pt>
                <c:pt idx="279">
                  <c:v>3.2673301497029255</c:v>
                </c:pt>
                <c:pt idx="280">
                  <c:v>3.7088089351307563</c:v>
                </c:pt>
                <c:pt idx="281">
                  <c:v>2.8109351882981031</c:v>
                </c:pt>
                <c:pt idx="282">
                  <c:v>2.8109351882981031</c:v>
                </c:pt>
                <c:pt idx="283">
                  <c:v>2.8109351882981031</c:v>
                </c:pt>
                <c:pt idx="284">
                  <c:v>2.7671475583035767</c:v>
                </c:pt>
                <c:pt idx="285">
                  <c:v>2.7671475583035767</c:v>
                </c:pt>
                <c:pt idx="286">
                  <c:v>3.3019496017263097</c:v>
                </c:pt>
                <c:pt idx="287">
                  <c:v>3.3019496017263097</c:v>
                </c:pt>
                <c:pt idx="288">
                  <c:v>5.0769611277751805</c:v>
                </c:pt>
                <c:pt idx="289">
                  <c:v>5.0769611277751805</c:v>
                </c:pt>
                <c:pt idx="290">
                  <c:v>5.0769611277751805</c:v>
                </c:pt>
                <c:pt idx="291">
                  <c:v>5.0769611277751805</c:v>
                </c:pt>
                <c:pt idx="292">
                  <c:v>5.0769611277751805</c:v>
                </c:pt>
                <c:pt idx="293">
                  <c:v>4.2846973505411121</c:v>
                </c:pt>
                <c:pt idx="294">
                  <c:v>4.2846973505411121</c:v>
                </c:pt>
                <c:pt idx="295">
                  <c:v>4.2846973505411121</c:v>
                </c:pt>
                <c:pt idx="296">
                  <c:v>4.2846973505411121</c:v>
                </c:pt>
                <c:pt idx="297">
                  <c:v>4.2846973505411121</c:v>
                </c:pt>
                <c:pt idx="298">
                  <c:v>4.2846973505411121</c:v>
                </c:pt>
                <c:pt idx="299">
                  <c:v>4.2846973505411121</c:v>
                </c:pt>
                <c:pt idx="300">
                  <c:v>4.3189150805895453</c:v>
                </c:pt>
                <c:pt idx="301">
                  <c:v>5.552949620263643</c:v>
                </c:pt>
                <c:pt idx="302">
                  <c:v>5.552949620263643</c:v>
                </c:pt>
                <c:pt idx="303">
                  <c:v>6.1264664789917678</c:v>
                </c:pt>
                <c:pt idx="304">
                  <c:v>6.1264664789917678</c:v>
                </c:pt>
                <c:pt idx="305">
                  <c:v>7.170911895239346</c:v>
                </c:pt>
                <c:pt idx="306">
                  <c:v>9.3974546576023172</c:v>
                </c:pt>
                <c:pt idx="307">
                  <c:v>10.124517077563485</c:v>
                </c:pt>
                <c:pt idx="308">
                  <c:v>10.124517077563485</c:v>
                </c:pt>
                <c:pt idx="309">
                  <c:v>10.124517077563485</c:v>
                </c:pt>
                <c:pt idx="310">
                  <c:v>10.124517077563485</c:v>
                </c:pt>
                <c:pt idx="311">
                  <c:v>10.124517077563485</c:v>
                </c:pt>
                <c:pt idx="312">
                  <c:v>10.124517077563485</c:v>
                </c:pt>
                <c:pt idx="313">
                  <c:v>10.124517077563485</c:v>
                </c:pt>
                <c:pt idx="314">
                  <c:v>10.124517077563485</c:v>
                </c:pt>
                <c:pt idx="315">
                  <c:v>10.124517077563485</c:v>
                </c:pt>
                <c:pt idx="316">
                  <c:v>10.124517077563485</c:v>
                </c:pt>
                <c:pt idx="317">
                  <c:v>10.124517077563485</c:v>
                </c:pt>
                <c:pt idx="318">
                  <c:v>8.5070643683301963</c:v>
                </c:pt>
                <c:pt idx="319">
                  <c:v>10.843640243816576</c:v>
                </c:pt>
                <c:pt idx="320">
                  <c:v>10.843640243816576</c:v>
                </c:pt>
                <c:pt idx="321">
                  <c:v>11.169226861083892</c:v>
                </c:pt>
                <c:pt idx="322">
                  <c:v>11.501909836720493</c:v>
                </c:pt>
                <c:pt idx="323">
                  <c:v>9.8352431700538272</c:v>
                </c:pt>
                <c:pt idx="324">
                  <c:v>9.8352431700538272</c:v>
                </c:pt>
                <c:pt idx="325">
                  <c:v>10.623627873250173</c:v>
                </c:pt>
                <c:pt idx="326">
                  <c:v>10.623627873250173</c:v>
                </c:pt>
                <c:pt idx="327">
                  <c:v>10.407837063399958</c:v>
                </c:pt>
                <c:pt idx="328">
                  <c:v>9.6315729495069782</c:v>
                </c:pt>
                <c:pt idx="329">
                  <c:v>9.6315729495069782</c:v>
                </c:pt>
                <c:pt idx="330">
                  <c:v>9.6315729495069782</c:v>
                </c:pt>
                <c:pt idx="331">
                  <c:v>9.971237901360297</c:v>
                </c:pt>
                <c:pt idx="332">
                  <c:v>10.908966839089237</c:v>
                </c:pt>
                <c:pt idx="333">
                  <c:v>11.393004474375038</c:v>
                </c:pt>
                <c:pt idx="334">
                  <c:v>11.393004474375038</c:v>
                </c:pt>
                <c:pt idx="335">
                  <c:v>12.05799609916566</c:v>
                </c:pt>
                <c:pt idx="336">
                  <c:v>11.622524998611423</c:v>
                </c:pt>
                <c:pt idx="337">
                  <c:v>11.622524998611423</c:v>
                </c:pt>
                <c:pt idx="338">
                  <c:v>11.622524998611423</c:v>
                </c:pt>
                <c:pt idx="339">
                  <c:v>11.019759142626683</c:v>
                </c:pt>
                <c:pt idx="340">
                  <c:v>8.1740220453925794</c:v>
                </c:pt>
                <c:pt idx="341">
                  <c:v>8.1740220453925794</c:v>
                </c:pt>
                <c:pt idx="342">
                  <c:v>8.1740220453925794</c:v>
                </c:pt>
                <c:pt idx="343">
                  <c:v>8.4811020179794312</c:v>
                </c:pt>
                <c:pt idx="344">
                  <c:v>7.5683790035825176</c:v>
                </c:pt>
                <c:pt idx="345">
                  <c:v>7.5683790035825176</c:v>
                </c:pt>
                <c:pt idx="346">
                  <c:v>7.5683790035825176</c:v>
                </c:pt>
                <c:pt idx="347">
                  <c:v>7.6108320158167029</c:v>
                </c:pt>
                <c:pt idx="348">
                  <c:v>7.6108320158167029</c:v>
                </c:pt>
                <c:pt idx="349">
                  <c:v>7.6108320158167029</c:v>
                </c:pt>
                <c:pt idx="350">
                  <c:v>7.6108320158167029</c:v>
                </c:pt>
                <c:pt idx="351">
                  <c:v>7.2816314161651494</c:v>
                </c:pt>
                <c:pt idx="352">
                  <c:v>7.2246308461594504</c:v>
                </c:pt>
                <c:pt idx="353">
                  <c:v>7.2246308461594504</c:v>
                </c:pt>
                <c:pt idx="354">
                  <c:v>7.2246308461594504</c:v>
                </c:pt>
                <c:pt idx="355">
                  <c:v>6.0911545876236408</c:v>
                </c:pt>
                <c:pt idx="356">
                  <c:v>5.233917528606165</c:v>
                </c:pt>
                <c:pt idx="357">
                  <c:v>5.233917528606165</c:v>
                </c:pt>
                <c:pt idx="358">
                  <c:v>5.233917528606165</c:v>
                </c:pt>
                <c:pt idx="359">
                  <c:v>5.233917528606165</c:v>
                </c:pt>
                <c:pt idx="360">
                  <c:v>3.3670572843062914</c:v>
                </c:pt>
                <c:pt idx="361">
                  <c:v>3.3670572843062914</c:v>
                </c:pt>
                <c:pt idx="362">
                  <c:v>5.1741585031722162</c:v>
                </c:pt>
                <c:pt idx="363">
                  <c:v>5.1741585031722162</c:v>
                </c:pt>
                <c:pt idx="364">
                  <c:v>4.8905071364883579</c:v>
                </c:pt>
                <c:pt idx="365">
                  <c:v>4.8905071364883579</c:v>
                </c:pt>
                <c:pt idx="366">
                  <c:v>4.8905071364883579</c:v>
                </c:pt>
                <c:pt idx="367">
                  <c:v>4.8905071364883579</c:v>
                </c:pt>
                <c:pt idx="368">
                  <c:v>8.2735642267277711</c:v>
                </c:pt>
                <c:pt idx="369">
                  <c:v>8.6545227862214613</c:v>
                </c:pt>
                <c:pt idx="370">
                  <c:v>8.6545227862214613</c:v>
                </c:pt>
                <c:pt idx="371">
                  <c:v>9.5743358564684762</c:v>
                </c:pt>
                <c:pt idx="372">
                  <c:v>8.8232097711395863</c:v>
                </c:pt>
                <c:pt idx="373">
                  <c:v>9.7356075585373762</c:v>
                </c:pt>
                <c:pt idx="374">
                  <c:v>12.320316507277603</c:v>
                </c:pt>
                <c:pt idx="375">
                  <c:v>10.246174350414858</c:v>
                </c:pt>
                <c:pt idx="376">
                  <c:v>9.1701255050515389</c:v>
                </c:pt>
                <c:pt idx="377">
                  <c:v>11.593825165307129</c:v>
                </c:pt>
                <c:pt idx="378">
                  <c:v>9.2891310456663891</c:v>
                </c:pt>
                <c:pt idx="379">
                  <c:v>8.8841155108239569</c:v>
                </c:pt>
                <c:pt idx="380">
                  <c:v>8.1500551081393979</c:v>
                </c:pt>
                <c:pt idx="381">
                  <c:v>9.3382859644200451</c:v>
                </c:pt>
                <c:pt idx="382">
                  <c:v>9.3382859644200451</c:v>
                </c:pt>
                <c:pt idx="383">
                  <c:v>11.811238050973367</c:v>
                </c:pt>
                <c:pt idx="384">
                  <c:v>11.6425619384444</c:v>
                </c:pt>
                <c:pt idx="385">
                  <c:v>11.6425619384444</c:v>
                </c:pt>
                <c:pt idx="386">
                  <c:v>9.0709367437615072</c:v>
                </c:pt>
                <c:pt idx="387">
                  <c:v>9.0709367437615072</c:v>
                </c:pt>
                <c:pt idx="388">
                  <c:v>9.0709367437615072</c:v>
                </c:pt>
                <c:pt idx="389">
                  <c:v>9.0709367437615072</c:v>
                </c:pt>
                <c:pt idx="390">
                  <c:v>10.903207146884704</c:v>
                </c:pt>
                <c:pt idx="391">
                  <c:v>10.903207146884704</c:v>
                </c:pt>
                <c:pt idx="392">
                  <c:v>10.903207146884704</c:v>
                </c:pt>
                <c:pt idx="393">
                  <c:v>10.137779460442006</c:v>
                </c:pt>
                <c:pt idx="394">
                  <c:v>11.474196833867859</c:v>
                </c:pt>
                <c:pt idx="395">
                  <c:v>9.456652974218736</c:v>
                </c:pt>
                <c:pt idx="396">
                  <c:v>9.456652974218736</c:v>
                </c:pt>
                <c:pt idx="397">
                  <c:v>10.851037749044439</c:v>
                </c:pt>
                <c:pt idx="398">
                  <c:v>10.851037749044439</c:v>
                </c:pt>
                <c:pt idx="399">
                  <c:v>10.851037749044439</c:v>
                </c:pt>
                <c:pt idx="400">
                  <c:v>10.851037749044439</c:v>
                </c:pt>
                <c:pt idx="401">
                  <c:v>9.4543675062661965</c:v>
                </c:pt>
                <c:pt idx="402">
                  <c:v>6.5623689415012159</c:v>
                </c:pt>
                <c:pt idx="403">
                  <c:v>6.5623689415012159</c:v>
                </c:pt>
                <c:pt idx="404">
                  <c:v>8.7147056666713745</c:v>
                </c:pt>
                <c:pt idx="405">
                  <c:v>8.7147056666713745</c:v>
                </c:pt>
                <c:pt idx="406">
                  <c:v>6.4711819945762716</c:v>
                </c:pt>
                <c:pt idx="407">
                  <c:v>6.4711819945762716</c:v>
                </c:pt>
                <c:pt idx="408">
                  <c:v>6.4711819945762716</c:v>
                </c:pt>
                <c:pt idx="409">
                  <c:v>6.4711819945762716</c:v>
                </c:pt>
                <c:pt idx="410">
                  <c:v>7.2630094772694047</c:v>
                </c:pt>
                <c:pt idx="411">
                  <c:v>7.2630094772694047</c:v>
                </c:pt>
                <c:pt idx="412">
                  <c:v>7.2630094772694047</c:v>
                </c:pt>
                <c:pt idx="413">
                  <c:v>7.3165622463394149</c:v>
                </c:pt>
                <c:pt idx="414">
                  <c:v>8.0306498780643203</c:v>
                </c:pt>
                <c:pt idx="415">
                  <c:v>8.0306498780643203</c:v>
                </c:pt>
                <c:pt idx="416">
                  <c:v>8.0306498780643203</c:v>
                </c:pt>
                <c:pt idx="417">
                  <c:v>8.0306498780643203</c:v>
                </c:pt>
                <c:pt idx="418">
                  <c:v>9.9627466694511693</c:v>
                </c:pt>
              </c:numCache>
            </c:numRef>
          </c:val>
          <c:smooth val="0"/>
          <c:extLst>
            <c:ext xmlns:c16="http://schemas.microsoft.com/office/drawing/2014/chart" uri="{C3380CC4-5D6E-409C-BE32-E72D297353CC}">
              <c16:uniqueId val="{0000000A-7AEE-4D62-9FE5-2B87AD6DF366}"/>
            </c:ext>
          </c:extLst>
        </c:ser>
        <c:dLbls>
          <c:showLegendKey val="0"/>
          <c:showVal val="0"/>
          <c:showCatName val="0"/>
          <c:showSerName val="0"/>
          <c:showPercent val="0"/>
          <c:showBubbleSize val="0"/>
        </c:dLbls>
        <c:smooth val="0"/>
        <c:axId val="147683023"/>
        <c:axId val="146645279"/>
        <c:extLst/>
      </c:lineChart>
      <c:catAx>
        <c:axId val="147683023"/>
        <c:scaling>
          <c:orientation val="minMax"/>
        </c:scaling>
        <c:delete val="0"/>
        <c:axPos val="b"/>
        <c:majorGridlines>
          <c:spPr>
            <a:ln w="9525" cap="flat" cmpd="sng" algn="ctr">
              <a:solidFill>
                <a:schemeClr val="tx1">
                  <a:lumMod val="75000"/>
                  <a:lumOff val="25000"/>
                </a:schemeClr>
              </a:solidFill>
              <a:prstDash val="dash"/>
              <a:round/>
            </a:ln>
            <a:effectLst/>
          </c:spPr>
        </c:majorGridlines>
        <c:majorTickMark val="none"/>
        <c:minorTickMark val="none"/>
        <c:tickLblPos val="low"/>
        <c:spPr>
          <a:noFill/>
          <a:ln w="12700" cap="flat" cmpd="sng" algn="ctr">
            <a:solidFill>
              <a:sysClr val="windowText" lastClr="000000"/>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6645279"/>
        <c:crosses val="autoZero"/>
        <c:auto val="1"/>
        <c:lblAlgn val="ctr"/>
        <c:lblOffset val="100"/>
        <c:tickLblSkip val="25"/>
        <c:tickMarkSkip val="25"/>
        <c:noMultiLvlLbl val="0"/>
      </c:catAx>
      <c:valAx>
        <c:axId val="146645279"/>
        <c:scaling>
          <c:orientation val="minMax"/>
          <c:max val="25"/>
          <c:min val="-10"/>
        </c:scaling>
        <c:delete val="0"/>
        <c:axPos val="r"/>
        <c:majorGridlines>
          <c:spPr>
            <a:ln w="9525" cap="flat" cmpd="sng" algn="ctr">
              <a:solidFill>
                <a:schemeClr val="tx1">
                  <a:lumMod val="75000"/>
                  <a:lumOff val="25000"/>
                </a:schemeClr>
              </a:solidFill>
              <a:prstDash val="dash"/>
              <a:round/>
            </a:ln>
            <a:effectLst/>
          </c:spPr>
        </c:majorGridlines>
        <c:numFmt formatCode="0" sourceLinked="0"/>
        <c:majorTickMark val="none"/>
        <c:minorTickMark val="none"/>
        <c:tickLblPos val="high"/>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7683023"/>
        <c:crosses val="max"/>
        <c:crossBetween val="between"/>
      </c:valAx>
      <c:spPr>
        <a:solidFill>
          <a:schemeClr val="tx1">
            <a:lumMod val="65000"/>
            <a:lumOff val="35000"/>
          </a:schemeClr>
        </a:solidFill>
        <a:ln>
          <a:solidFill>
            <a:sysClr val="windowText" lastClr="000000"/>
          </a:solidFill>
        </a:ln>
        <a:effectLst/>
      </c:spPr>
    </c:plotArea>
    <c:legend>
      <c:legendPos val="t"/>
      <c:layout>
        <c:manualLayout>
          <c:xMode val="edge"/>
          <c:yMode val="edge"/>
          <c:x val="0.1775062708574171"/>
          <c:y val="1.2316999395039325E-2"/>
          <c:w val="0.73773085843493924"/>
          <c:h val="4.9614968727820091E-2"/>
        </c:manualLayout>
      </c:layout>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legend>
    <c:plotVisOnly val="0"/>
    <c:dispBlanksAs val="span"/>
    <c:showDLblsOverMax val="0"/>
    <c:extLst/>
  </c:chart>
  <c:spPr>
    <a:solidFill>
      <a:schemeClr val="bg2">
        <a:lumMod val="90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rgbClr val="00D600"/>
                </a:solidFill>
                <a:effectLst>
                  <a:outerShdw blurRad="50800" dist="38100" dir="5400000" algn="t" rotWithShape="0">
                    <a:prstClr val="black">
                      <a:alpha val="40000"/>
                    </a:prstClr>
                  </a:outerShdw>
                </a:effectLst>
                <a:latin typeface="+mn-lt"/>
                <a:ea typeface="+mn-ea"/>
                <a:cs typeface="+mn-cs"/>
              </a:defRPr>
            </a:pPr>
            <a:r>
              <a:rPr lang="en-US">
                <a:solidFill>
                  <a:srgbClr val="00D600"/>
                </a:solidFill>
              </a:rPr>
              <a:t>The Strategy -- Net Risk Units</a:t>
            </a:r>
          </a:p>
          <a:p>
            <a:pPr>
              <a:defRPr>
                <a:solidFill>
                  <a:srgbClr val="00D600"/>
                </a:solidFill>
              </a:defRPr>
            </a:pPr>
            <a:r>
              <a:rPr lang="en-US" sz="1050" b="0">
                <a:solidFill>
                  <a:schemeClr val="tx1"/>
                </a:solidFill>
              </a:rPr>
              <a:t>SPY Stocks Only</a:t>
            </a:r>
          </a:p>
        </c:rich>
      </c:tx>
      <c:layout>
        <c:manualLayout>
          <c:xMode val="edge"/>
          <c:yMode val="edge"/>
          <c:x val="0.33338457867591725"/>
          <c:y val="0"/>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rgbClr val="00D60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1.4890516307839144E-2"/>
          <c:y val="8.3898916967509007E-2"/>
          <c:w val="0.90152100642592092"/>
          <c:h val="0.86768166614552245"/>
        </c:manualLayout>
      </c:layout>
      <c:lineChart>
        <c:grouping val="standard"/>
        <c:varyColors val="0"/>
        <c:ser>
          <c:idx val="0"/>
          <c:order val="0"/>
          <c:tx>
            <c:v>S&amp;P 500 Stocks (All)</c:v>
          </c:tx>
          <c:spPr>
            <a:ln w="28575" cap="rnd">
              <a:solidFill>
                <a:schemeClr val="tx1"/>
              </a:solidFill>
              <a:round/>
            </a:ln>
            <a:effectLst>
              <a:outerShdw blurRad="50800" dist="38100" dir="2700000" algn="tl" rotWithShape="0">
                <a:srgbClr val="00FF00">
                  <a:alpha val="40000"/>
                </a:srgbClr>
              </a:outerShdw>
            </a:effectLst>
          </c:spPr>
          <c:marker>
            <c:symbol val="none"/>
          </c:marker>
          <c:val>
            <c:numRef>
              <c:f>'2025-Q2'!$GT$4:$GT$422</c:f>
              <c:numCache>
                <c:formatCode>0.00</c:formatCode>
                <c:ptCount val="419"/>
                <c:pt idx="0">
                  <c:v>-0.47844667409884589</c:v>
                </c:pt>
                <c:pt idx="1">
                  <c:v>0.20039738260780871</c:v>
                </c:pt>
                <c:pt idx="2">
                  <c:v>0.14168868051043698</c:v>
                </c:pt>
                <c:pt idx="3">
                  <c:v>-0.27293129519335796</c:v>
                </c:pt>
                <c:pt idx="4">
                  <c:v>-0.47884355832632985</c:v>
                </c:pt>
                <c:pt idx="5">
                  <c:v>-1.1314998695128593</c:v>
                </c:pt>
                <c:pt idx="6">
                  <c:v>-1.7085312074749515</c:v>
                </c:pt>
                <c:pt idx="7">
                  <c:v>-1.8360766180392338</c:v>
                </c:pt>
                <c:pt idx="8">
                  <c:v>-1.3115775214181404</c:v>
                </c:pt>
                <c:pt idx="9">
                  <c:v>-1.2113348285828556</c:v>
                </c:pt>
                <c:pt idx="10">
                  <c:v>-0.95561406511137981</c:v>
                </c:pt>
                <c:pt idx="11">
                  <c:v>-0.44202439144535155</c:v>
                </c:pt>
                <c:pt idx="12">
                  <c:v>-0.14049636328842707</c:v>
                </c:pt>
                <c:pt idx="13">
                  <c:v>4.1870607419762229E-3</c:v>
                </c:pt>
                <c:pt idx="14">
                  <c:v>0.88125019448485542</c:v>
                </c:pt>
                <c:pt idx="15">
                  <c:v>1.5367228313007768</c:v>
                </c:pt>
                <c:pt idx="16">
                  <c:v>1.8989945133694157</c:v>
                </c:pt>
                <c:pt idx="17">
                  <c:v>2.0758863936006722</c:v>
                </c:pt>
                <c:pt idx="18">
                  <c:v>2.0204847315508085</c:v>
                </c:pt>
                <c:pt idx="19">
                  <c:v>2.479339640968226</c:v>
                </c:pt>
                <c:pt idx="20">
                  <c:v>2.8885628512008088</c:v>
                </c:pt>
                <c:pt idx="21">
                  <c:v>3.1825278168545936</c:v>
                </c:pt>
                <c:pt idx="22">
                  <c:v>3.2190908881525866</c:v>
                </c:pt>
                <c:pt idx="23">
                  <c:v>3.1077736339781881</c:v>
                </c:pt>
                <c:pt idx="24">
                  <c:v>2.2433590498599756</c:v>
                </c:pt>
                <c:pt idx="25">
                  <c:v>-0.69347717786234497</c:v>
                </c:pt>
                <c:pt idx="26">
                  <c:v>-0.28144014082530722</c:v>
                </c:pt>
                <c:pt idx="27">
                  <c:v>-0.8466247678034533</c:v>
                </c:pt>
                <c:pt idx="28">
                  <c:v>-1.8203684645518421</c:v>
                </c:pt>
                <c:pt idx="29">
                  <c:v>-1.3877396666654465</c:v>
                </c:pt>
                <c:pt idx="30">
                  <c:v>-1.9379069855923361</c:v>
                </c:pt>
                <c:pt idx="31">
                  <c:v>-1.4194961328791575</c:v>
                </c:pt>
                <c:pt idx="32">
                  <c:v>-1.9288541049236982</c:v>
                </c:pt>
                <c:pt idx="33">
                  <c:v>-1.9268771952289319</c:v>
                </c:pt>
                <c:pt idx="34">
                  <c:v>-2.8311079866290094</c:v>
                </c:pt>
                <c:pt idx="35">
                  <c:v>-3.6523931271912593</c:v>
                </c:pt>
                <c:pt idx="36">
                  <c:v>-3.9899002122636547</c:v>
                </c:pt>
                <c:pt idx="37">
                  <c:v>#N/A</c:v>
                </c:pt>
                <c:pt idx="38">
                  <c:v>-3.795147738033672</c:v>
                </c:pt>
                <c:pt idx="39">
                  <c:v>-3.7283127462023944</c:v>
                </c:pt>
                <c:pt idx="40">
                  <c:v>-5.7391663235476766</c:v>
                </c:pt>
                <c:pt idx="41">
                  <c:v>-6.3718796127624904</c:v>
                </c:pt>
                <c:pt idx="42">
                  <c:v>-4.9994647709133373</c:v>
                </c:pt>
                <c:pt idx="43">
                  <c:v>-4.237853706526832</c:v>
                </c:pt>
                <c:pt idx="44">
                  <c:v>-4.6027888723005725</c:v>
                </c:pt>
                <c:pt idx="45">
                  <c:v>-4.6129707645325153</c:v>
                </c:pt>
                <c:pt idx="46">
                  <c:v>-5.8091753493076013</c:v>
                </c:pt>
                <c:pt idx="47">
                  <c:v>-7.2702886561664908</c:v>
                </c:pt>
                <c:pt idx="48">
                  <c:v>-7.7875979319335036</c:v>
                </c:pt>
                <c:pt idx="49">
                  <c:v>-9.3192080387101193</c:v>
                </c:pt>
                <c:pt idx="50">
                  <c:v>-10.150935032356148</c:v>
                </c:pt>
                <c:pt idx="51">
                  <c:v>-9.1998947701096032</c:v>
                </c:pt>
                <c:pt idx="52">
                  <c:v>-10.502241950116357</c:v>
                </c:pt>
                <c:pt idx="53">
                  <c:v>-10.009582155130982</c:v>
                </c:pt>
                <c:pt idx="54">
                  <c:v>-9.2694448502612552</c:v>
                </c:pt>
                <c:pt idx="55">
                  <c:v>-8.6543463272129415</c:v>
                </c:pt>
                <c:pt idx="56">
                  <c:v>-9.3321356911336935</c:v>
                </c:pt>
                <c:pt idx="57">
                  <c:v>-7.4386925568146456</c:v>
                </c:pt>
                <c:pt idx="58">
                  <c:v>-6.7728092822357189</c:v>
                </c:pt>
                <c:pt idx="59">
                  <c:v>-5.5898870651495294</c:v>
                </c:pt>
                <c:pt idx="60">
                  <c:v>-5.0888919378418613</c:v>
                </c:pt>
                <c:pt idx="61">
                  <c:v>-3.6592398181538583</c:v>
                </c:pt>
                <c:pt idx="62">
                  <c:v>-1.0559445076342127</c:v>
                </c:pt>
                <c:pt idx="63">
                  <c:v>-0.11551738136969503</c:v>
                </c:pt>
                <c:pt idx="64">
                  <c:v>-0.37825229729452425</c:v>
                </c:pt>
                <c:pt idx="65">
                  <c:v>0.79903870278751643</c:v>
                </c:pt>
                <c:pt idx="66">
                  <c:v>0.42025082399963765</c:v>
                </c:pt>
                <c:pt idx="67">
                  <c:v>-0.41628373001473118</c:v>
                </c:pt>
                <c:pt idx="68">
                  <c:v>-0.2875872820366932</c:v>
                </c:pt>
                <c:pt idx="69">
                  <c:v>0.2029373660651892</c:v>
                </c:pt>
                <c:pt idx="70">
                  <c:v>0.86493747458979775</c:v>
                </c:pt>
                <c:pt idx="71">
                  <c:v>0.30542801031304678</c:v>
                </c:pt>
                <c:pt idx="72">
                  <c:v>1.4562586266769668</c:v>
                </c:pt>
                <c:pt idx="73">
                  <c:v>1.2639975883460575</c:v>
                </c:pt>
                <c:pt idx="74">
                  <c:v>2.1319618176990303</c:v>
                </c:pt>
                <c:pt idx="75">
                  <c:v>1.6249717553779919</c:v>
                </c:pt>
                <c:pt idx="76">
                  <c:v>2.9920437238301769</c:v>
                </c:pt>
                <c:pt idx="77">
                  <c:v>2.7075659504050624</c:v>
                </c:pt>
                <c:pt idx="78">
                  <c:v>1.7363395096902738</c:v>
                </c:pt>
                <c:pt idx="79">
                  <c:v>1.6927094922382668</c:v>
                </c:pt>
                <c:pt idx="80">
                  <c:v>1.8431059921015454</c:v>
                </c:pt>
                <c:pt idx="81">
                  <c:v>0.9584432993207691</c:v>
                </c:pt>
                <c:pt idx="82">
                  <c:v>0.22414088661284226</c:v>
                </c:pt>
                <c:pt idx="83">
                  <c:v>-0.34404093156897642</c:v>
                </c:pt>
                <c:pt idx="84">
                  <c:v>-2.1911160121769915</c:v>
                </c:pt>
                <c:pt idx="85">
                  <c:v>-2.3710913839682202</c:v>
                </c:pt>
                <c:pt idx="86">
                  <c:v>-2.8970472559688636</c:v>
                </c:pt>
                <c:pt idx="87">
                  <c:v>-2.8869813241152227</c:v>
                </c:pt>
                <c:pt idx="88">
                  <c:v>-2.0126221164226816</c:v>
                </c:pt>
                <c:pt idx="89">
                  <c:v>-2.3300824338830006</c:v>
                </c:pt>
                <c:pt idx="90">
                  <c:v>-1.1261369740628671</c:v>
                </c:pt>
                <c:pt idx="91">
                  <c:v>-1.3444775854165789</c:v>
                </c:pt>
                <c:pt idx="92">
                  <c:v>#N/A</c:v>
                </c:pt>
                <c:pt idx="93">
                  <c:v>-2.202296556033815</c:v>
                </c:pt>
                <c:pt idx="94">
                  <c:v>-2.8405091599813157</c:v>
                </c:pt>
                <c:pt idx="95">
                  <c:v>-2.743142298580926</c:v>
                </c:pt>
                <c:pt idx="96">
                  <c:v>-2.6482456305083826</c:v>
                </c:pt>
                <c:pt idx="97">
                  <c:v>-2.4456218239282603</c:v>
                </c:pt>
                <c:pt idx="98">
                  <c:v>-2.8207781390595668</c:v>
                </c:pt>
                <c:pt idx="99">
                  <c:v>-3.4656076350639982</c:v>
                </c:pt>
                <c:pt idx="100">
                  <c:v>-4.7182172384042911</c:v>
                </c:pt>
                <c:pt idx="101">
                  <c:v>-5.1776280558713745</c:v>
                </c:pt>
                <c:pt idx="102">
                  <c:v>-5.1968905341047744</c:v>
                </c:pt>
                <c:pt idx="103">
                  <c:v>-6.4066192192320406</c:v>
                </c:pt>
                <c:pt idx="104">
                  <c:v>-6.4317785617345553</c:v>
                </c:pt>
                <c:pt idx="105">
                  <c:v>-5.6718593998109395</c:v>
                </c:pt>
                <c:pt idx="106">
                  <c:v>-5.4759519954802078</c:v>
                </c:pt>
                <c:pt idx="107">
                  <c:v>-6.8409279532900413</c:v>
                </c:pt>
                <c:pt idx="108">
                  <c:v>-6.2598086535233151</c:v>
                </c:pt>
                <c:pt idx="109">
                  <c:v>-6.8046351568990397</c:v>
                </c:pt>
                <c:pt idx="110">
                  <c:v>-6.4992625068370113</c:v>
                </c:pt>
                <c:pt idx="111">
                  <c:v>-6.2747902554280888</c:v>
                </c:pt>
                <c:pt idx="112">
                  <c:v>-5.8432465591879872</c:v>
                </c:pt>
                <c:pt idx="113">
                  <c:v>-5.2195286460095209</c:v>
                </c:pt>
                <c:pt idx="114">
                  <c:v>-4.7179105230321747</c:v>
                </c:pt>
                <c:pt idx="115">
                  <c:v>-3.5166063351177819</c:v>
                </c:pt>
                <c:pt idx="116">
                  <c:v>-3.0384066164117338</c:v>
                </c:pt>
                <c:pt idx="117">
                  <c:v>-2.6501034362303835</c:v>
                </c:pt>
                <c:pt idx="118">
                  <c:v>-1.6270667099479053</c:v>
                </c:pt>
                <c:pt idx="119">
                  <c:v>-2.0617822652464222</c:v>
                </c:pt>
                <c:pt idx="120">
                  <c:v>-1.8530378770390523</c:v>
                </c:pt>
                <c:pt idx="121">
                  <c:v>-2.222632196345264</c:v>
                </c:pt>
                <c:pt idx="122">
                  <c:v>-3.2672004414706088</c:v>
                </c:pt>
                <c:pt idx="123">
                  <c:v>-3.5840978647927515</c:v>
                </c:pt>
                <c:pt idx="124">
                  <c:v>-2.3335033546690918</c:v>
                </c:pt>
                <c:pt idx="125">
                  <c:v>-2.1060238278265091</c:v>
                </c:pt>
                <c:pt idx="126">
                  <c:v>-1.6899542979850779</c:v>
                </c:pt>
                <c:pt idx="127">
                  <c:v>-2.3471888956170295</c:v>
                </c:pt>
                <c:pt idx="128">
                  <c:v>-2.1215571266639608</c:v>
                </c:pt>
                <c:pt idx="129">
                  <c:v>-2.5177699495516812</c:v>
                </c:pt>
                <c:pt idx="130">
                  <c:v>-3.07961663944715</c:v>
                </c:pt>
                <c:pt idx="131">
                  <c:v>-3.3254253745230482</c:v>
                </c:pt>
                <c:pt idx="132">
                  <c:v>-3.7946604860104904</c:v>
                </c:pt>
                <c:pt idx="133">
                  <c:v>-2.8204463762031571</c:v>
                </c:pt>
                <c:pt idx="134">
                  <c:v>-2.3328954910379571</c:v>
                </c:pt>
                <c:pt idx="135">
                  <c:v>-1.9927594366161876</c:v>
                </c:pt>
                <c:pt idx="136">
                  <c:v>-1.8056478219631149</c:v>
                </c:pt>
                <c:pt idx="137">
                  <c:v>-2.1464853083582565</c:v>
                </c:pt>
                <c:pt idx="138">
                  <c:v>-1.9874108325809601</c:v>
                </c:pt>
                <c:pt idx="139">
                  <c:v>-1.900875699316853</c:v>
                </c:pt>
                <c:pt idx="140">
                  <c:v>-2.0401708657745785</c:v>
                </c:pt>
                <c:pt idx="141">
                  <c:v>-2.4912997338385594</c:v>
                </c:pt>
                <c:pt idx="142">
                  <c:v>-3.7658216170096686</c:v>
                </c:pt>
                <c:pt idx="143">
                  <c:v>-4.1354504480584895</c:v>
                </c:pt>
                <c:pt idx="144">
                  <c:v>#N/A</c:v>
                </c:pt>
                <c:pt idx="145">
                  <c:v>-2.7955362287611054</c:v>
                </c:pt>
                <c:pt idx="146">
                  <c:v>-3.2383703672474184</c:v>
                </c:pt>
                <c:pt idx="147">
                  <c:v>-3.8023425922382827</c:v>
                </c:pt>
                <c:pt idx="148">
                  <c:v>#N/A</c:v>
                </c:pt>
                <c:pt idx="149">
                  <c:v>-2.7924848392921939</c:v>
                </c:pt>
                <c:pt idx="150">
                  <c:v>-3.0323960363416442</c:v>
                </c:pt>
                <c:pt idx="151">
                  <c:v>-1.9018813304592888</c:v>
                </c:pt>
                <c:pt idx="152">
                  <c:v>#N/A</c:v>
                </c:pt>
                <c:pt idx="153">
                  <c:v>-3.5675658718067629</c:v>
                </c:pt>
                <c:pt idx="154">
                  <c:v>-3.9130800437439848</c:v>
                </c:pt>
                <c:pt idx="155">
                  <c:v>-4.6310509641177617</c:v>
                </c:pt>
                <c:pt idx="156">
                  <c:v>-2.6290836076619164</c:v>
                </c:pt>
                <c:pt idx="157">
                  <c:v>#N/A</c:v>
                </c:pt>
                <c:pt idx="158">
                  <c:v>-2.1944045556195206</c:v>
                </c:pt>
                <c:pt idx="159">
                  <c:v>#N/A</c:v>
                </c:pt>
                <c:pt idx="160">
                  <c:v>-1.5800354263989091</c:v>
                </c:pt>
                <c:pt idx="161">
                  <c:v>-0.50058176213102867</c:v>
                </c:pt>
                <c:pt idx="162">
                  <c:v>#N/A</c:v>
                </c:pt>
                <c:pt idx="163">
                  <c:v>-1.4689060687123536</c:v>
                </c:pt>
                <c:pt idx="164">
                  <c:v>-1.0454621303041991</c:v>
                </c:pt>
                <c:pt idx="165">
                  <c:v>-7.5471938663938865E-2</c:v>
                </c:pt>
                <c:pt idx="166">
                  <c:v>-0.20439300036680028</c:v>
                </c:pt>
                <c:pt idx="167">
                  <c:v>-0.48783396237556687</c:v>
                </c:pt>
                <c:pt idx="168">
                  <c:v>0.7613787187077844</c:v>
                </c:pt>
                <c:pt idx="169">
                  <c:v>0.73880892161026246</c:v>
                </c:pt>
                <c:pt idx="170">
                  <c:v>1.2083132192671571</c:v>
                </c:pt>
                <c:pt idx="171">
                  <c:v>-0.27135361071814468</c:v>
                </c:pt>
                <c:pt idx="172">
                  <c:v>-0.27679489921526162</c:v>
                </c:pt>
                <c:pt idx="173">
                  <c:v>0.24287088435922427</c:v>
                </c:pt>
                <c:pt idx="174">
                  <c:v>1.9114554643362072</c:v>
                </c:pt>
                <c:pt idx="175">
                  <c:v>3.4231186733631764</c:v>
                </c:pt>
                <c:pt idx="176">
                  <c:v>3.4799128835991144</c:v>
                </c:pt>
                <c:pt idx="177">
                  <c:v>4.7875935150502391</c:v>
                </c:pt>
                <c:pt idx="178">
                  <c:v>5.0883482038345154</c:v>
                </c:pt>
                <c:pt idx="179">
                  <c:v>#N/A</c:v>
                </c:pt>
                <c:pt idx="180">
                  <c:v>4.6006779793221826</c:v>
                </c:pt>
                <c:pt idx="181">
                  <c:v>4.2898424197341649</c:v>
                </c:pt>
                <c:pt idx="182">
                  <c:v>5.001183093015845</c:v>
                </c:pt>
                <c:pt idx="183">
                  <c:v>5.5641952889247319</c:v>
                </c:pt>
                <c:pt idx="184">
                  <c:v>3.9581171969839772</c:v>
                </c:pt>
                <c:pt idx="185">
                  <c:v>3.1210754508513263</c:v>
                </c:pt>
                <c:pt idx="186">
                  <c:v>#N/A</c:v>
                </c:pt>
                <c:pt idx="187">
                  <c:v>3.5832233381752703</c:v>
                </c:pt>
                <c:pt idx="188">
                  <c:v>4.6688131715759633</c:v>
                </c:pt>
                <c:pt idx="189">
                  <c:v>4.4509988334219699</c:v>
                </c:pt>
                <c:pt idx="190">
                  <c:v>#N/A</c:v>
                </c:pt>
                <c:pt idx="191">
                  <c:v>3.6482661263340126</c:v>
                </c:pt>
                <c:pt idx="192">
                  <c:v>3.3283052142200882</c:v>
                </c:pt>
                <c:pt idx="193">
                  <c:v>#N/A</c:v>
                </c:pt>
                <c:pt idx="194">
                  <c:v>2.3674115735540724</c:v>
                </c:pt>
                <c:pt idx="195">
                  <c:v>2.4936116212806358</c:v>
                </c:pt>
                <c:pt idx="196">
                  <c:v>2.5526075949574856</c:v>
                </c:pt>
                <c:pt idx="197">
                  <c:v>2.7826567778862485</c:v>
                </c:pt>
                <c:pt idx="198">
                  <c:v>2.8803883052510777</c:v>
                </c:pt>
                <c:pt idx="199">
                  <c:v>3.6470463646901305</c:v>
                </c:pt>
                <c:pt idx="200">
                  <c:v>3.3083947144476777</c:v>
                </c:pt>
                <c:pt idx="201">
                  <c:v>4.3630653989074268</c:v>
                </c:pt>
                <c:pt idx="202">
                  <c:v>4.6211665238647317</c:v>
                </c:pt>
                <c:pt idx="203">
                  <c:v>4.4701768336295178</c:v>
                </c:pt>
                <c:pt idx="204">
                  <c:v>4.8185414237763826</c:v>
                </c:pt>
                <c:pt idx="205">
                  <c:v>3.7523378132804428</c:v>
                </c:pt>
                <c:pt idx="206">
                  <c:v>5.121034604374092</c:v>
                </c:pt>
                <c:pt idx="207">
                  <c:v>4.9328837336293665</c:v>
                </c:pt>
                <c:pt idx="208">
                  <c:v>4.7697355636407668</c:v>
                </c:pt>
                <c:pt idx="209">
                  <c:v>4.9948856637074783</c:v>
                </c:pt>
                <c:pt idx="210">
                  <c:v>3.9761044930824889</c:v>
                </c:pt>
                <c:pt idx="211">
                  <c:v>3.3954574338263344</c:v>
                </c:pt>
                <c:pt idx="212">
                  <c:v>3.2237997965498373</c:v>
                </c:pt>
                <c:pt idx="213">
                  <c:v>3.3115243414787585</c:v>
                </c:pt>
                <c:pt idx="214">
                  <c:v>3.8548121087412897</c:v>
                </c:pt>
                <c:pt idx="215">
                  <c:v>2.4743622633090325</c:v>
                </c:pt>
                <c:pt idx="216">
                  <c:v>3.9209219994805231</c:v>
                </c:pt>
                <c:pt idx="217">
                  <c:v>4.8686297014096125</c:v>
                </c:pt>
                <c:pt idx="218">
                  <c:v>4.3446215739366156</c:v>
                </c:pt>
                <c:pt idx="219">
                  <c:v>5.9116948141110885</c:v>
                </c:pt>
                <c:pt idx="220">
                  <c:v>6.4104548798693992</c:v>
                </c:pt>
                <c:pt idx="221">
                  <c:v>6.9545780600957334</c:v>
                </c:pt>
                <c:pt idx="222">
                  <c:v>7.1398716040785688</c:v>
                </c:pt>
                <c:pt idx="223">
                  <c:v>6.7809607129894598</c:v>
                </c:pt>
                <c:pt idx="224">
                  <c:v>7.1424785894251412</c:v>
                </c:pt>
                <c:pt idx="225">
                  <c:v>#N/A</c:v>
                </c:pt>
                <c:pt idx="226">
                  <c:v>#N/A</c:v>
                </c:pt>
                <c:pt idx="227">
                  <c:v>7.607485634986439</c:v>
                </c:pt>
                <c:pt idx="228">
                  <c:v>7.6030291878443572</c:v>
                </c:pt>
                <c:pt idx="229">
                  <c:v>7.5597337895266916</c:v>
                </c:pt>
                <c:pt idx="230">
                  <c:v>#N/A</c:v>
                </c:pt>
                <c:pt idx="231">
                  <c:v>6.9948547345857612</c:v>
                </c:pt>
                <c:pt idx="232">
                  <c:v>7.6646381371798924</c:v>
                </c:pt>
                <c:pt idx="233">
                  <c:v>8.1180410079483298</c:v>
                </c:pt>
                <c:pt idx="234">
                  <c:v>8.691248642957639</c:v>
                </c:pt>
                <c:pt idx="235">
                  <c:v>8.4047898166816655</c:v>
                </c:pt>
                <c:pt idx="236">
                  <c:v>#N/A</c:v>
                </c:pt>
                <c:pt idx="237">
                  <c:v>8.3566771455536433</c:v>
                </c:pt>
                <c:pt idx="238">
                  <c:v>6.6532738045957132</c:v>
                </c:pt>
                <c:pt idx="239">
                  <c:v>6.6964188226151036</c:v>
                </c:pt>
                <c:pt idx="240">
                  <c:v>6.7944250950165337</c:v>
                </c:pt>
                <c:pt idx="241">
                  <c:v>10.543570101856478</c:v>
                </c:pt>
                <c:pt idx="242">
                  <c:v>10.651789520012809</c:v>
                </c:pt>
                <c:pt idx="243">
                  <c:v>11.042887012150544</c:v>
                </c:pt>
                <c:pt idx="244">
                  <c:v>10.215170462373699</c:v>
                </c:pt>
                <c:pt idx="245">
                  <c:v>10.653854190190888</c:v>
                </c:pt>
                <c:pt idx="246">
                  <c:v>10.348188342834739</c:v>
                </c:pt>
                <c:pt idx="247">
                  <c:v>10.150649324291756</c:v>
                </c:pt>
                <c:pt idx="248">
                  <c:v>9.6220141298599202</c:v>
                </c:pt>
                <c:pt idx="249">
                  <c:v>9.2218006826880909</c:v>
                </c:pt>
                <c:pt idx="250">
                  <c:v>9.6759909542255009</c:v>
                </c:pt>
                <c:pt idx="251">
                  <c:v>8.8013953518786234</c:v>
                </c:pt>
                <c:pt idx="252">
                  <c:v>8.2944752251485916</c:v>
                </c:pt>
                <c:pt idx="253">
                  <c:v>8.9939900585216925</c:v>
                </c:pt>
                <c:pt idx="254">
                  <c:v>9.0526934786339961</c:v>
                </c:pt>
                <c:pt idx="255">
                  <c:v>9.5813925657549337</c:v>
                </c:pt>
                <c:pt idx="256">
                  <c:v>#N/A</c:v>
                </c:pt>
                <c:pt idx="257">
                  <c:v>8.0920709746316124</c:v>
                </c:pt>
                <c:pt idx="258">
                  <c:v>7.82061786954048</c:v>
                </c:pt>
                <c:pt idx="259">
                  <c:v>#N/A</c:v>
                </c:pt>
                <c:pt idx="260">
                  <c:v>8.1887069291373376</c:v>
                </c:pt>
                <c:pt idx="261">
                  <c:v>7.8974788589618976</c:v>
                </c:pt>
                <c:pt idx="262">
                  <c:v>8.1677787057555058</c:v>
                </c:pt>
                <c:pt idx="263">
                  <c:v>7.9039040036785577</c:v>
                </c:pt>
                <c:pt idx="264">
                  <c:v>7.4410303296187728</c:v>
                </c:pt>
                <c:pt idx="265">
                  <c:v>7.6742329793416326</c:v>
                </c:pt>
                <c:pt idx="266">
                  <c:v>8.2720949655645164</c:v>
                </c:pt>
                <c:pt idx="267">
                  <c:v>8.4445450181407526</c:v>
                </c:pt>
                <c:pt idx="268">
                  <c:v>8.2829133522880607</c:v>
                </c:pt>
                <c:pt idx="269">
                  <c:v>9.4279816615354743</c:v>
                </c:pt>
                <c:pt idx="270">
                  <c:v>9.7351175476368574</c:v>
                </c:pt>
                <c:pt idx="271">
                  <c:v>9.564296340500329</c:v>
                </c:pt>
                <c:pt idx="272">
                  <c:v>9.7267056750950935</c:v>
                </c:pt>
                <c:pt idx="273">
                  <c:v>8.7813957107977849</c:v>
                </c:pt>
                <c:pt idx="274">
                  <c:v>#N/A</c:v>
                </c:pt>
                <c:pt idx="275">
                  <c:v>9.1202004246024977</c:v>
                </c:pt>
                <c:pt idx="276">
                  <c:v>8.7602328723818541</c:v>
                </c:pt>
                <c:pt idx="277">
                  <c:v>9.1339225320169</c:v>
                </c:pt>
                <c:pt idx="278">
                  <c:v>#N/A</c:v>
                </c:pt>
                <c:pt idx="279">
                  <c:v>#N/A</c:v>
                </c:pt>
                <c:pt idx="280">
                  <c:v>9.5754013174447312</c:v>
                </c:pt>
                <c:pt idx="281">
                  <c:v>8.677527570612078</c:v>
                </c:pt>
                <c:pt idx="282">
                  <c:v>9.1683996986781136</c:v>
                </c:pt>
                <c:pt idx="283">
                  <c:v>#N/A</c:v>
                </c:pt>
                <c:pt idx="284">
                  <c:v>9.1246120686835877</c:v>
                </c:pt>
                <c:pt idx="285">
                  <c:v>8.3016468017058784</c:v>
                </c:pt>
                <c:pt idx="286">
                  <c:v>8.8364488451286114</c:v>
                </c:pt>
                <c:pt idx="287">
                  <c:v>8.8842334686467783</c:v>
                </c:pt>
                <c:pt idx="288">
                  <c:v>10.65924499469565</c:v>
                </c:pt>
                <c:pt idx="289">
                  <c:v>10.207180852764566</c:v>
                </c:pt>
                <c:pt idx="290">
                  <c:v>10.149004221003878</c:v>
                </c:pt>
                <c:pt idx="291">
                  <c:v>11.151467416283708</c:v>
                </c:pt>
                <c:pt idx="292">
                  <c:v>10.358648193036991</c:v>
                </c:pt>
                <c:pt idx="293">
                  <c:v>9.5663844158029221</c:v>
                </c:pt>
                <c:pt idx="294">
                  <c:v>7.7129252280701097</c:v>
                </c:pt>
                <c:pt idx="295">
                  <c:v>7.1886330225475668</c:v>
                </c:pt>
                <c:pt idx="296">
                  <c:v>5.9938286348653946</c:v>
                </c:pt>
                <c:pt idx="297">
                  <c:v>6.2660567792437405</c:v>
                </c:pt>
                <c:pt idx="298">
                  <c:v>#N/A</c:v>
                </c:pt>
                <c:pt idx="299">
                  <c:v>#N/A</c:v>
                </c:pt>
                <c:pt idx="300">
                  <c:v>6.3002745092921737</c:v>
                </c:pt>
                <c:pt idx="301">
                  <c:v>7.5343090489662714</c:v>
                </c:pt>
                <c:pt idx="302">
                  <c:v>7.5255869596520757</c:v>
                </c:pt>
                <c:pt idx="303">
                  <c:v>8.0991038183802004</c:v>
                </c:pt>
                <c:pt idx="304">
                  <c:v>6.6748159623082337</c:v>
                </c:pt>
                <c:pt idx="305">
                  <c:v>7.719261378555812</c:v>
                </c:pt>
                <c:pt idx="306">
                  <c:v>#N/A</c:v>
                </c:pt>
                <c:pt idx="307">
                  <c:v>8.4463237985169801</c:v>
                </c:pt>
                <c:pt idx="308">
                  <c:v>#N/A</c:v>
                </c:pt>
                <c:pt idx="309">
                  <c:v>9.4487758394804882</c:v>
                </c:pt>
                <c:pt idx="310">
                  <c:v>9.3609987931780978</c:v>
                </c:pt>
                <c:pt idx="311">
                  <c:v>10.677559900379599</c:v>
                </c:pt>
                <c:pt idx="312">
                  <c:v>10.364026665856736</c:v>
                </c:pt>
                <c:pt idx="313">
                  <c:v>11.353993221040682</c:v>
                </c:pt>
                <c:pt idx="314">
                  <c:v>10.57879942259107</c:v>
                </c:pt>
                <c:pt idx="315">
                  <c:v>11.357615621968018</c:v>
                </c:pt>
                <c:pt idx="316">
                  <c:v>11.894860581523734</c:v>
                </c:pt>
                <c:pt idx="317">
                  <c:v>12.264091350754503</c:v>
                </c:pt>
                <c:pt idx="318">
                  <c:v>10.646638641521214</c:v>
                </c:pt>
                <c:pt idx="319">
                  <c:v>12.983214517007594</c:v>
                </c:pt>
                <c:pt idx="320">
                  <c:v>13.459182057581874</c:v>
                </c:pt>
                <c:pt idx="321">
                  <c:v>#N/A</c:v>
                </c:pt>
                <c:pt idx="322">
                  <c:v>13.791865033218475</c:v>
                </c:pt>
                <c:pt idx="323">
                  <c:v>#N/A</c:v>
                </c:pt>
                <c:pt idx="324">
                  <c:v>11.549971124657901</c:v>
                </c:pt>
                <c:pt idx="325">
                  <c:v>12.338355827854247</c:v>
                </c:pt>
                <c:pt idx="326">
                  <c:v>#N/A</c:v>
                </c:pt>
                <c:pt idx="327">
                  <c:v>12.122565018004032</c:v>
                </c:pt>
                <c:pt idx="328">
                  <c:v>#N/A</c:v>
                </c:pt>
                <c:pt idx="329">
                  <c:v>#N/A</c:v>
                </c:pt>
                <c:pt idx="330">
                  <c:v>#N/A</c:v>
                </c:pt>
                <c:pt idx="331">
                  <c:v>#N/A</c:v>
                </c:pt>
                <c:pt idx="332">
                  <c:v>13.060293955732972</c:v>
                </c:pt>
                <c:pt idx="333">
                  <c:v>13.544331591018773</c:v>
                </c:pt>
                <c:pt idx="334">
                  <c:v>#N/A</c:v>
                </c:pt>
                <c:pt idx="335">
                  <c:v>14.209323215809395</c:v>
                </c:pt>
                <c:pt idx="336">
                  <c:v>13.773852115255158</c:v>
                </c:pt>
                <c:pt idx="337">
                  <c:v>#N/A</c:v>
                </c:pt>
                <c:pt idx="338">
                  <c:v>14.078004076461436</c:v>
                </c:pt>
                <c:pt idx="339">
                  <c:v>13.475238220476696</c:v>
                </c:pt>
                <c:pt idx="340">
                  <c:v>#N/A</c:v>
                </c:pt>
                <c:pt idx="341">
                  <c:v>#N/A</c:v>
                </c:pt>
                <c:pt idx="342">
                  <c:v>#N/A</c:v>
                </c:pt>
                <c:pt idx="343">
                  <c:v>13.782318193063547</c:v>
                </c:pt>
                <c:pt idx="344">
                  <c:v>#N/A</c:v>
                </c:pt>
                <c:pt idx="345">
                  <c:v>12.949327654190656</c:v>
                </c:pt>
                <c:pt idx="346">
                  <c:v>#N/A</c:v>
                </c:pt>
                <c:pt idx="347">
                  <c:v>12.991780666424841</c:v>
                </c:pt>
                <c:pt idx="348">
                  <c:v>12.887276161920338</c:v>
                </c:pt>
                <c:pt idx="349">
                  <c:v>12.420367394411258</c:v>
                </c:pt>
                <c:pt idx="350">
                  <c:v>13.544840828301734</c:v>
                </c:pt>
                <c:pt idx="351">
                  <c:v>#N/A</c:v>
                </c:pt>
                <c:pt idx="352">
                  <c:v>13.487840258296034</c:v>
                </c:pt>
                <c:pt idx="353">
                  <c:v>12.872607309559358</c:v>
                </c:pt>
                <c:pt idx="354">
                  <c:v>#N/A</c:v>
                </c:pt>
                <c:pt idx="355">
                  <c:v>11.739131051023548</c:v>
                </c:pt>
                <c:pt idx="356">
                  <c:v>10.881893992006074</c:v>
                </c:pt>
                <c:pt idx="357">
                  <c:v>14.603442092569162</c:v>
                </c:pt>
                <c:pt idx="358">
                  <c:v>15.952899857268568</c:v>
                </c:pt>
                <c:pt idx="359">
                  <c:v>14.020770683760082</c:v>
                </c:pt>
                <c:pt idx="360">
                  <c:v>12.153910439460208</c:v>
                </c:pt>
                <c:pt idx="361">
                  <c:v>12.153910439460208</c:v>
                </c:pt>
                <c:pt idx="362">
                  <c:v>#N/A</c:v>
                </c:pt>
                <c:pt idx="363">
                  <c:v>#N/A</c:v>
                </c:pt>
                <c:pt idx="364">
                  <c:v>#N/A</c:v>
                </c:pt>
                <c:pt idx="365">
                  <c:v>#N/A</c:v>
                </c:pt>
                <c:pt idx="366">
                  <c:v>#N/A</c:v>
                </c:pt>
                <c:pt idx="367">
                  <c:v>#N/A</c:v>
                </c:pt>
                <c:pt idx="368">
                  <c:v>#N/A</c:v>
                </c:pt>
                <c:pt idx="369">
                  <c:v>12.534868998953899</c:v>
                </c:pt>
                <c:pt idx="370">
                  <c:v>#N/A</c:v>
                </c:pt>
                <c:pt idx="371">
                  <c:v>13.454682069200913</c:v>
                </c:pt>
                <c:pt idx="372">
                  <c:v>12.703555983872024</c:v>
                </c:pt>
                <c:pt idx="373">
                  <c:v>13.615953771269814</c:v>
                </c:pt>
                <c:pt idx="374">
                  <c:v>#N/A</c:v>
                </c:pt>
                <c:pt idx="375">
                  <c:v>11.541811614407068</c:v>
                </c:pt>
                <c:pt idx="376">
                  <c:v>#N/A</c:v>
                </c:pt>
                <c:pt idx="377">
                  <c:v>#N/A</c:v>
                </c:pt>
                <c:pt idx="378">
                  <c:v>#N/A</c:v>
                </c:pt>
                <c:pt idx="379">
                  <c:v>11.136796079564636</c:v>
                </c:pt>
                <c:pt idx="380">
                  <c:v>10.402735676880077</c:v>
                </c:pt>
                <c:pt idx="381">
                  <c:v>#N/A</c:v>
                </c:pt>
                <c:pt idx="382">
                  <c:v>#N/A</c:v>
                </c:pt>
                <c:pt idx="383">
                  <c:v>#N/A</c:v>
                </c:pt>
                <c:pt idx="384">
                  <c:v>10.23405956435111</c:v>
                </c:pt>
                <c:pt idx="385">
                  <c:v>11.025310446318652</c:v>
                </c:pt>
                <c:pt idx="386">
                  <c:v>#N/A</c:v>
                </c:pt>
                <c:pt idx="387">
                  <c:v>#N/A</c:v>
                </c:pt>
                <c:pt idx="388">
                  <c:v>#N/A</c:v>
                </c:pt>
                <c:pt idx="389">
                  <c:v>10.918907078420746</c:v>
                </c:pt>
                <c:pt idx="390">
                  <c:v>12.751177481543943</c:v>
                </c:pt>
                <c:pt idx="391">
                  <c:v>12.35458523712561</c:v>
                </c:pt>
                <c:pt idx="392">
                  <c:v>14.033772915078336</c:v>
                </c:pt>
                <c:pt idx="393">
                  <c:v>#N/A</c:v>
                </c:pt>
                <c:pt idx="394">
                  <c:v>#N/A</c:v>
                </c:pt>
                <c:pt idx="395">
                  <c:v>#N/A</c:v>
                </c:pt>
                <c:pt idx="396">
                  <c:v>12.874376346892177</c:v>
                </c:pt>
                <c:pt idx="397">
                  <c:v>14.26876112171788</c:v>
                </c:pt>
                <c:pt idx="398">
                  <c:v>#N/A</c:v>
                </c:pt>
                <c:pt idx="399">
                  <c:v>13.270174135227668</c:v>
                </c:pt>
                <c:pt idx="400">
                  <c:v>#N/A</c:v>
                </c:pt>
                <c:pt idx="401">
                  <c:v>#N/A</c:v>
                </c:pt>
                <c:pt idx="402">
                  <c:v>#N/A</c:v>
                </c:pt>
                <c:pt idx="403">
                  <c:v>12.706560854729069</c:v>
                </c:pt>
                <c:pt idx="404">
                  <c:v>#N/A</c:v>
                </c:pt>
                <c:pt idx="405">
                  <c:v>#N/A</c:v>
                </c:pt>
                <c:pt idx="406">
                  <c:v>#N/A</c:v>
                </c:pt>
                <c:pt idx="407">
                  <c:v>#N/A</c:v>
                </c:pt>
                <c:pt idx="408">
                  <c:v>13.989775126944364</c:v>
                </c:pt>
                <c:pt idx="409">
                  <c:v>14.843091700141038</c:v>
                </c:pt>
                <c:pt idx="410">
                  <c:v>15.634919182834171</c:v>
                </c:pt>
                <c:pt idx="411">
                  <c:v>16.03771385893932</c:v>
                </c:pt>
                <c:pt idx="412">
                  <c:v>16.099068142515826</c:v>
                </c:pt>
                <c:pt idx="413">
                  <c:v>#N/A</c:v>
                </c:pt>
                <c:pt idx="414">
                  <c:v>16.81315577424073</c:v>
                </c:pt>
                <c:pt idx="415">
                  <c:v>17.237545713702755</c:v>
                </c:pt>
                <c:pt idx="416">
                  <c:v>17.536170468123185</c:v>
                </c:pt>
                <c:pt idx="417">
                  <c:v>16.775714194358926</c:v>
                </c:pt>
                <c:pt idx="418">
                  <c:v>18.707810985745773</c:v>
                </c:pt>
              </c:numCache>
            </c:numRef>
          </c:val>
          <c:smooth val="0"/>
          <c:extLst>
            <c:ext xmlns:c16="http://schemas.microsoft.com/office/drawing/2014/chart" uri="{C3380CC4-5D6E-409C-BE32-E72D297353CC}">
              <c16:uniqueId val="{00000000-87AF-4B62-A410-87B35C52C0D7}"/>
            </c:ext>
          </c:extLst>
        </c:ser>
        <c:ser>
          <c:idx val="1"/>
          <c:order val="1"/>
          <c:tx>
            <c:v>Up Trends</c:v>
          </c:tx>
          <c:spPr>
            <a:ln w="12700" cap="rnd">
              <a:solidFill>
                <a:srgbClr val="00FF00"/>
              </a:solidFill>
              <a:round/>
            </a:ln>
            <a:effectLst/>
          </c:spPr>
          <c:marker>
            <c:symbol val="none"/>
          </c:marker>
          <c:val>
            <c:numRef>
              <c:f>'2025-Q2'!$GV$4:$GV$422</c:f>
              <c:numCache>
                <c:formatCode>0.00</c:formatCode>
                <c:ptCount val="41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6.6834991831277585E-2</c:v>
                </c:pt>
                <c:pt idx="40">
                  <c:v>#N/A</c:v>
                </c:pt>
                <c:pt idx="41">
                  <c:v>#N/A</c:v>
                </c:pt>
                <c:pt idx="42">
                  <c:v>#N/A</c:v>
                </c:pt>
                <c:pt idx="43">
                  <c:v>#N/A</c:v>
                </c:pt>
                <c:pt idx="44">
                  <c:v>#N/A</c:v>
                </c:pt>
                <c:pt idx="45">
                  <c:v>#N/A</c:v>
                </c:pt>
                <c:pt idx="46">
                  <c:v>#N/A</c:v>
                </c:pt>
                <c:pt idx="47">
                  <c:v>-1.3942783150276121</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-0.90375366692572978</c:v>
                </c:pt>
                <c:pt idx="70">
                  <c:v>#N/A</c:v>
                </c:pt>
                <c:pt idx="71">
                  <c:v>-1.4632631312024809</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-2.6729918163297475</c:v>
                </c:pt>
                <c:pt idx="104">
                  <c:v>#N/A</c:v>
                </c:pt>
                <c:pt idx="105">
                  <c:v>#N/A</c:v>
                </c:pt>
                <c:pt idx="106">
                  <c:v>-2.4770844119990163</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-2.8466787313052277</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-3.1875162177003693</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-3.5261678679428221</c:v>
                </c:pt>
                <c:pt idx="201">
                  <c:v>#N/A</c:v>
                </c:pt>
                <c:pt idx="202">
                  <c:v>#N/A</c:v>
                </c:pt>
                <c:pt idx="203">
                  <c:v>-3.6771575581780365</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-2.7294498562489466</c:v>
                </c:pt>
                <c:pt idx="218">
                  <c:v>#N/A</c:v>
                </c:pt>
                <c:pt idx="219">
                  <c:v>#N/A</c:v>
                </c:pt>
                <c:pt idx="220">
                  <c:v>#N/A</c:v>
                </c:pt>
                <c:pt idx="221">
                  <c:v>#N/A</c:v>
                </c:pt>
                <c:pt idx="222">
                  <c:v>#N/A</c:v>
                </c:pt>
                <c:pt idx="223">
                  <c:v>-3.0883607473380557</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-2.9903544749366251</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-4.4796760660599473</c:v>
                </c:pt>
                <c:pt idx="258">
                  <c:v>-4.7511291711510797</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-5.6964391354483883</c:v>
                </c:pt>
                <c:pt idx="274">
                  <c:v>#N/A</c:v>
                </c:pt>
                <c:pt idx="275">
                  <c:v>#N/A</c:v>
                </c:pt>
                <c:pt idx="276">
                  <c:v>#N/A</c:v>
                </c:pt>
                <c:pt idx="277">
                  <c:v>-5.3227494758133416</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-5.3809261075740293</c:v>
                </c:pt>
                <c:pt idx="291">
                  <c:v>#N/A</c:v>
                </c:pt>
                <c:pt idx="292">
                  <c:v>#N/A</c:v>
                </c:pt>
                <c:pt idx="293">
                  <c:v>#N/A</c:v>
                </c:pt>
                <c:pt idx="294">
                  <c:v>#N/A</c:v>
                </c:pt>
                <c:pt idx="295">
                  <c:v>-5.9052183130965723</c:v>
                </c:pt>
                <c:pt idx="296">
                  <c:v>#N/A</c:v>
                </c:pt>
                <c:pt idx="297">
                  <c:v>-5.6329901687182264</c:v>
                </c:pt>
                <c:pt idx="298">
                  <c:v>#N/A</c:v>
                </c:pt>
                <c:pt idx="299">
                  <c:v>#N/A</c:v>
                </c:pt>
                <c:pt idx="300">
                  <c:v>#N/A</c:v>
                </c:pt>
                <c:pt idx="301">
                  <c:v>#N/A</c:v>
                </c:pt>
                <c:pt idx="302">
                  <c:v>#N/A</c:v>
                </c:pt>
                <c:pt idx="303">
                  <c:v>#N/A</c:v>
                </c:pt>
                <c:pt idx="304">
                  <c:v>-7.0572780247901932</c:v>
                </c:pt>
                <c:pt idx="305">
                  <c:v>#N/A</c:v>
                </c:pt>
                <c:pt idx="306">
                  <c:v>#N/A</c:v>
                </c:pt>
                <c:pt idx="307">
                  <c:v>#N/A</c:v>
                </c:pt>
                <c:pt idx="308">
                  <c:v>#N/A</c:v>
                </c:pt>
                <c:pt idx="309">
                  <c:v>-6.0548259838266851</c:v>
                </c:pt>
                <c:pt idx="310">
                  <c:v>#N/A</c:v>
                </c:pt>
                <c:pt idx="311">
                  <c:v>#N/A</c:v>
                </c:pt>
                <c:pt idx="312">
                  <c:v>#N/A</c:v>
                </c:pt>
                <c:pt idx="313">
                  <c:v>-5.0648594286427402</c:v>
                </c:pt>
                <c:pt idx="314">
                  <c:v>#N/A</c:v>
                </c:pt>
                <c:pt idx="315">
                  <c:v>#N/A</c:v>
                </c:pt>
                <c:pt idx="316">
                  <c:v>-4.5276144690870233</c:v>
                </c:pt>
                <c:pt idx="317">
                  <c:v>-4.1583836998562527</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-3.854231738649974</c:v>
                </c:pt>
                <c:pt idx="339">
                  <c:v>#N/A</c:v>
                </c:pt>
                <c:pt idx="340">
                  <c:v>#N/A</c:v>
                </c:pt>
                <c:pt idx="341">
                  <c:v>#N/A</c:v>
                </c:pt>
                <c:pt idx="342">
                  <c:v>#N/A</c:v>
                </c:pt>
                <c:pt idx="343">
                  <c:v>#N/A</c:v>
                </c:pt>
                <c:pt idx="344">
                  <c:v>#N/A</c:v>
                </c:pt>
                <c:pt idx="345">
                  <c:v>-4.6872222775228654</c:v>
                </c:pt>
                <c:pt idx="346">
                  <c:v>#N/A</c:v>
                </c:pt>
                <c:pt idx="347">
                  <c:v>#N/A</c:v>
                </c:pt>
                <c:pt idx="348">
                  <c:v>#N/A</c:v>
                </c:pt>
                <c:pt idx="349">
                  <c:v>-5.1541310450319466</c:v>
                </c:pt>
                <c:pt idx="350">
                  <c:v>#N/A</c:v>
                </c:pt>
                <c:pt idx="351">
                  <c:v>#N/A</c:v>
                </c:pt>
                <c:pt idx="352">
                  <c:v>#N/A</c:v>
                </c:pt>
                <c:pt idx="353">
                  <c:v>-5.7693639937686214</c:v>
                </c:pt>
                <c:pt idx="354">
                  <c:v>#N/A</c:v>
                </c:pt>
                <c:pt idx="355">
                  <c:v>#N/A</c:v>
                </c:pt>
                <c:pt idx="356">
                  <c:v>#N/A</c:v>
                </c:pt>
                <c:pt idx="357">
                  <c:v>#N/A</c:v>
                </c:pt>
                <c:pt idx="358">
                  <c:v>-4.4199062290692162</c:v>
                </c:pt>
                <c:pt idx="359">
                  <c:v>-6.3520354025777017</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-6.4584387704756079</c:v>
                </c:pt>
                <c:pt idx="390">
                  <c:v>#N/A</c:v>
                </c:pt>
                <c:pt idx="391">
                  <c:v>#N/A</c:v>
                </c:pt>
                <c:pt idx="392">
                  <c:v>-4.7792510925228822</c:v>
                </c:pt>
                <c:pt idx="393">
                  <c:v>#N/A</c:v>
                </c:pt>
                <c:pt idx="394">
                  <c:v>#N/A</c:v>
                </c:pt>
                <c:pt idx="395">
                  <c:v>#N/A</c:v>
                </c:pt>
                <c:pt idx="396">
                  <c:v>-5.9386476607090408</c:v>
                </c:pt>
                <c:pt idx="397">
                  <c:v>#N/A</c:v>
                </c:pt>
                <c:pt idx="398">
                  <c:v>#N/A</c:v>
                </c:pt>
                <c:pt idx="399">
                  <c:v>-6.9372346471992525</c:v>
                </c:pt>
                <c:pt idx="400">
                  <c:v>#N/A</c:v>
                </c:pt>
                <c:pt idx="401">
                  <c:v>#N/A</c:v>
                </c:pt>
                <c:pt idx="402">
                  <c:v>#N/A</c:v>
                </c:pt>
                <c:pt idx="403">
                  <c:v>-7.5008479276978521</c:v>
                </c:pt>
                <c:pt idx="404">
                  <c:v>#N/A</c:v>
                </c:pt>
                <c:pt idx="405">
                  <c:v>#N/A</c:v>
                </c:pt>
                <c:pt idx="406">
                  <c:v>#N/A</c:v>
                </c:pt>
                <c:pt idx="407">
                  <c:v>#N/A</c:v>
                </c:pt>
                <c:pt idx="408">
                  <c:v>-6.2176336554825582</c:v>
                </c:pt>
                <c:pt idx="409">
                  <c:v>#N/A</c:v>
                </c:pt>
                <c:pt idx="410">
                  <c:v>#N/A</c:v>
                </c:pt>
                <c:pt idx="411">
                  <c:v>-5.8148389793774085</c:v>
                </c:pt>
                <c:pt idx="412">
                  <c:v>-5.7534846958009025</c:v>
                </c:pt>
                <c:pt idx="413">
                  <c:v>#N/A</c:v>
                </c:pt>
                <c:pt idx="414">
                  <c:v>#N/A</c:v>
                </c:pt>
                <c:pt idx="415">
                  <c:v>#N/A</c:v>
                </c:pt>
                <c:pt idx="416">
                  <c:v>-5.4548599413804713</c:v>
                </c:pt>
                <c:pt idx="417">
                  <c:v>#N/A</c:v>
                </c:pt>
                <c:pt idx="418">
                  <c:v>#N/A</c:v>
                </c:pt>
              </c:numCache>
            </c:numRef>
          </c:val>
          <c:smooth val="0"/>
          <c:extLst>
            <c:ext xmlns:c16="http://schemas.microsoft.com/office/drawing/2014/chart" uri="{C3380CC4-5D6E-409C-BE32-E72D297353CC}">
              <c16:uniqueId val="{00000000-8300-41F5-9645-509B7E2CCC2A}"/>
            </c:ext>
          </c:extLst>
        </c:ser>
        <c:ser>
          <c:idx val="2"/>
          <c:order val="2"/>
          <c:tx>
            <c:v>Sideways</c:v>
          </c:tx>
          <c:spPr>
            <a:ln w="12700" cap="rnd">
              <a:solidFill>
                <a:srgbClr val="00B0F0"/>
              </a:solidFill>
              <a:round/>
            </a:ln>
            <a:effectLst/>
          </c:spPr>
          <c:marker>
            <c:symbol val="none"/>
          </c:marker>
          <c:val>
            <c:numRef>
              <c:f>'2025-Q2'!$GX$4:$GX$422</c:f>
              <c:numCache>
                <c:formatCode>0.00</c:formatCode>
                <c:ptCount val="419"/>
                <c:pt idx="0">
                  <c:v>#N/A</c:v>
                </c:pt>
                <c:pt idx="1">
                  <c:v>#N/A</c:v>
                </c:pt>
                <c:pt idx="2">
                  <c:v>-5.8708702097371709E-2</c:v>
                </c:pt>
                <c:pt idx="3">
                  <c:v>-0.47332867780116666</c:v>
                </c:pt>
                <c:pt idx="4">
                  <c:v>-0.67924094093413856</c:v>
                </c:pt>
                <c:pt idx="5">
                  <c:v>-1.331897252120668</c:v>
                </c:pt>
                <c:pt idx="6">
                  <c:v>-1.9089285900827602</c:v>
                </c:pt>
                <c:pt idx="7">
                  <c:v>-2.0364740006470425</c:v>
                </c:pt>
                <c:pt idx="8">
                  <c:v>-1.5119749040259491</c:v>
                </c:pt>
                <c:pt idx="9">
                  <c:v>#N/A</c:v>
                </c:pt>
                <c:pt idx="10">
                  <c:v>-1.2562541405544734</c:v>
                </c:pt>
                <c:pt idx="11">
                  <c:v>-0.74266446688844512</c:v>
                </c:pt>
                <c:pt idx="12">
                  <c:v>#N/A</c:v>
                </c:pt>
                <c:pt idx="13">
                  <c:v>-0.59798104285804188</c:v>
                </c:pt>
                <c:pt idx="14">
                  <c:v>#N/A</c:v>
                </c:pt>
                <c:pt idx="15">
                  <c:v>5.7491593957879394E-2</c:v>
                </c:pt>
                <c:pt idx="16">
                  <c:v>#N/A</c:v>
                </c:pt>
                <c:pt idx="17">
                  <c:v>#N/A</c:v>
                </c:pt>
                <c:pt idx="18">
                  <c:v>2.0899319080158046E-3</c:v>
                </c:pt>
                <c:pt idx="19">
                  <c:v>0.46094484132543312</c:v>
                </c:pt>
                <c:pt idx="20">
                  <c:v>0.87016805155801569</c:v>
                </c:pt>
                <c:pt idx="21">
                  <c:v>1.1641330172118003</c:v>
                </c:pt>
                <c:pt idx="22">
                  <c:v>#N/A</c:v>
                </c:pt>
                <c:pt idx="23">
                  <c:v>1.0528157630374015</c:v>
                </c:pt>
                <c:pt idx="24">
                  <c:v>0.18840117891918895</c:v>
                </c:pt>
                <c:pt idx="25">
                  <c:v>-2.7484350488031315</c:v>
                </c:pt>
                <c:pt idx="26">
                  <c:v>#N/A</c:v>
                </c:pt>
                <c:pt idx="27">
                  <c:v>#N/A</c:v>
                </c:pt>
                <c:pt idx="28">
                  <c:v>#N/A</c:v>
                </c:pt>
                <c:pt idx="29">
                  <c:v>-2.3158062509167356</c:v>
                </c:pt>
                <c:pt idx="30">
                  <c:v>#N/A</c:v>
                </c:pt>
                <c:pt idx="31">
                  <c:v>#N/A</c:v>
                </c:pt>
                <c:pt idx="32">
                  <c:v>#N/A</c:v>
                </c:pt>
                <c:pt idx="33">
                  <c:v>-2.3138293412219695</c:v>
                </c:pt>
                <c:pt idx="34">
                  <c:v>-3.218060132622047</c:v>
                </c:pt>
                <c:pt idx="35">
                  <c:v>-4.0393452731842965</c:v>
                </c:pt>
                <c:pt idx="36">
                  <c:v>#N/A</c:v>
                </c:pt>
                <c:pt idx="37">
                  <c:v>#N/A</c:v>
                </c:pt>
                <c:pt idx="38">
                  <c:v>-3.8445927989543138</c:v>
                </c:pt>
                <c:pt idx="39">
                  <c:v>#N/A</c:v>
                </c:pt>
                <c:pt idx="40">
                  <c:v>#N/A</c:v>
                </c:pt>
                <c:pt idx="41">
                  <c:v>#N/A</c:v>
                </c:pt>
                <c:pt idx="42">
                  <c:v>#N/A</c:v>
                </c:pt>
                <c:pt idx="43">
                  <c:v>-3.0829817345678086</c:v>
                </c:pt>
                <c:pt idx="44">
                  <c:v>-3.4479169003415486</c:v>
                </c:pt>
                <c:pt idx="45">
                  <c:v>-3.458098792573491</c:v>
                </c:pt>
                <c:pt idx="46">
                  <c:v>#N/A</c:v>
                </c:pt>
                <c:pt idx="47">
                  <c:v>#N/A</c:v>
                </c:pt>
                <c:pt idx="48">
                  <c:v>#N/A</c:v>
                </c:pt>
                <c:pt idx="49">
                  <c:v>-4.9897088993501075</c:v>
                </c:pt>
                <c:pt idx="50">
                  <c:v>-5.8214358929961367</c:v>
                </c:pt>
                <c:pt idx="51">
                  <c:v>-4.8703956307495915</c:v>
                </c:pt>
                <c:pt idx="52">
                  <c:v>#N/A</c:v>
                </c:pt>
                <c:pt idx="53">
                  <c:v>-4.3777358357642155</c:v>
                </c:pt>
                <c:pt idx="54">
                  <c:v>-3.6375985308944885</c:v>
                </c:pt>
                <c:pt idx="55">
                  <c:v>#N/A</c:v>
                </c:pt>
                <c:pt idx="56">
                  <c:v>-4.31538789481524</c:v>
                </c:pt>
                <c:pt idx="57">
                  <c:v>#N/A</c:v>
                </c:pt>
                <c:pt idx="58">
                  <c:v>-3.6495046202363133</c:v>
                </c:pt>
                <c:pt idx="59">
                  <c:v>-2.4665824031501238</c:v>
                </c:pt>
                <c:pt idx="60">
                  <c:v>-1.9655872758424557</c:v>
                </c:pt>
                <c:pt idx="61">
                  <c:v>-0.53593515615445275</c:v>
                </c:pt>
                <c:pt idx="62">
                  <c:v>2.0673601543651929</c:v>
                </c:pt>
                <c:pt idx="63">
                  <c:v>3.0077872806297106</c:v>
                </c:pt>
                <c:pt idx="64">
                  <c:v>2.7450523647048812</c:v>
                </c:pt>
                <c:pt idx="65">
                  <c:v>3.9223433647869221</c:v>
                </c:pt>
                <c:pt idx="66">
                  <c:v>#N/A</c:v>
                </c:pt>
                <c:pt idx="67">
                  <c:v>#N/A</c:v>
                </c:pt>
                <c:pt idx="68">
                  <c:v>#N/A</c:v>
                </c:pt>
                <c:pt idx="69">
                  <c:v>#N/A</c:v>
                </c:pt>
                <c:pt idx="70">
                  <c:v>#N/A</c:v>
                </c:pt>
                <c:pt idx="71">
                  <c:v>#N/A</c:v>
                </c:pt>
                <c:pt idx="72">
                  <c:v>5.0731739811508421</c:v>
                </c:pt>
                <c:pt idx="73">
                  <c:v>4.8809129428199327</c:v>
                </c:pt>
                <c:pt idx="74">
                  <c:v>5.7488771721729055</c:v>
                </c:pt>
                <c:pt idx="75">
                  <c:v>5.2418871098518673</c:v>
                </c:pt>
                <c:pt idx="76">
                  <c:v>6.6089590783040526</c:v>
                </c:pt>
                <c:pt idx="77">
                  <c:v>6.3244813048789377</c:v>
                </c:pt>
                <c:pt idx="78">
                  <c:v>5.3532548641641489</c:v>
                </c:pt>
                <c:pt idx="79">
                  <c:v>#N/A</c:v>
                </c:pt>
                <c:pt idx="80">
                  <c:v>5.5036513640274274</c:v>
                </c:pt>
                <c:pt idx="81">
                  <c:v>#N/A</c:v>
                </c:pt>
                <c:pt idx="82">
                  <c:v>#N/A</c:v>
                </c:pt>
                <c:pt idx="83">
                  <c:v>4.935469545845609</c:v>
                </c:pt>
                <c:pt idx="84">
                  <c:v>3.0883944652375943</c:v>
                </c:pt>
                <c:pt idx="85">
                  <c:v>#N/A</c:v>
                </c:pt>
                <c:pt idx="86">
                  <c:v>2.5624385932369513</c:v>
                </c:pt>
                <c:pt idx="87">
                  <c:v>#N/A</c:v>
                </c:pt>
                <c:pt idx="88">
                  <c:v>#N/A</c:v>
                </c:pt>
                <c:pt idx="89">
                  <c:v>2.2449782757766323</c:v>
                </c:pt>
                <c:pt idx="90">
                  <c:v>#N/A</c:v>
                </c:pt>
                <c:pt idx="91">
                  <c:v>#N/A</c:v>
                </c:pt>
                <c:pt idx="92">
                  <c:v>#N/A</c:v>
                </c:pt>
                <c:pt idx="93">
                  <c:v>1.387159305159396</c:v>
                </c:pt>
                <c:pt idx="94">
                  <c:v>0.74894670121189533</c:v>
                </c:pt>
                <c:pt idx="95">
                  <c:v>#N/A</c:v>
                </c:pt>
                <c:pt idx="96">
                  <c:v>#N/A</c:v>
                </c:pt>
                <c:pt idx="97">
                  <c:v>#N/A</c:v>
                </c:pt>
                <c:pt idx="98">
                  <c:v>#N/A</c:v>
                </c:pt>
                <c:pt idx="99">
                  <c:v>0.10411720520746415</c:v>
                </c:pt>
                <c:pt idx="100">
                  <c:v>#N/A</c:v>
                </c:pt>
                <c:pt idx="101">
                  <c:v>-0.35529361225961931</c:v>
                </c:pt>
                <c:pt idx="102">
                  <c:v>-0.37455609049301891</c:v>
                </c:pt>
                <c:pt idx="103">
                  <c:v>#N/A</c:v>
                </c:pt>
                <c:pt idx="104">
                  <c:v>-0.3997154329955338</c:v>
                </c:pt>
                <c:pt idx="105">
                  <c:v>#N/A</c:v>
                </c:pt>
                <c:pt idx="106">
                  <c:v>#N/A</c:v>
                </c:pt>
                <c:pt idx="107">
                  <c:v>-1.7646913908053667</c:v>
                </c:pt>
                <c:pt idx="108">
                  <c:v>-1.1835720910386407</c:v>
                </c:pt>
                <c:pt idx="109">
                  <c:v>-1.7283985944143652</c:v>
                </c:pt>
                <c:pt idx="110">
                  <c:v>#N/A</c:v>
                </c:pt>
                <c:pt idx="111">
                  <c:v>#N/A</c:v>
                </c:pt>
                <c:pt idx="112">
                  <c:v>-1.2968548981742631</c:v>
                </c:pt>
                <c:pt idx="113">
                  <c:v>-0.67313698499579699</c:v>
                </c:pt>
                <c:pt idx="114">
                  <c:v>-0.17151886201845112</c:v>
                </c:pt>
                <c:pt idx="115">
                  <c:v>1.0297853258959415</c:v>
                </c:pt>
                <c:pt idx="116">
                  <c:v>#N/A</c:v>
                </c:pt>
                <c:pt idx="117">
                  <c:v>#N/A</c:v>
                </c:pt>
                <c:pt idx="118">
                  <c:v>2.0528220521784197</c:v>
                </c:pt>
                <c:pt idx="119">
                  <c:v>1.618106496879903</c:v>
                </c:pt>
                <c:pt idx="120">
                  <c:v>#N/A</c:v>
                </c:pt>
                <c:pt idx="121">
                  <c:v>#N/A</c:v>
                </c:pt>
                <c:pt idx="122">
                  <c:v>0.57353825175455819</c:v>
                </c:pt>
                <c:pt idx="123">
                  <c:v>0.25664082843241559</c:v>
                </c:pt>
                <c:pt idx="124">
                  <c:v>#N/A</c:v>
                </c:pt>
                <c:pt idx="125">
                  <c:v>0.48412035527499842</c:v>
                </c:pt>
                <c:pt idx="126">
                  <c:v>0.90018988511642961</c:v>
                </c:pt>
                <c:pt idx="127">
                  <c:v>#N/A</c:v>
                </c:pt>
                <c:pt idx="128">
                  <c:v>1.1258216540694983</c:v>
                </c:pt>
                <c:pt idx="129">
                  <c:v>#N/A</c:v>
                </c:pt>
                <c:pt idx="130">
                  <c:v>0.56397496417402926</c:v>
                </c:pt>
                <c:pt idx="131">
                  <c:v>#N/A</c:v>
                </c:pt>
                <c:pt idx="132">
                  <c:v>9.4739852686586856E-2</c:v>
                </c:pt>
                <c:pt idx="133">
                  <c:v>#N/A</c:v>
                </c:pt>
                <c:pt idx="134">
                  <c:v>#N/A</c:v>
                </c:pt>
                <c:pt idx="135">
                  <c:v>#N/A</c:v>
                </c:pt>
                <c:pt idx="136">
                  <c:v>#N/A</c:v>
                </c:pt>
                <c:pt idx="137">
                  <c:v>#N/A</c:v>
                </c:pt>
                <c:pt idx="138">
                  <c:v>#N/A</c:v>
                </c:pt>
                <c:pt idx="139">
                  <c:v>#N/A</c:v>
                </c:pt>
                <c:pt idx="140">
                  <c:v>-4.4555313771138555E-2</c:v>
                </c:pt>
                <c:pt idx="141">
                  <c:v>#N/A</c:v>
                </c:pt>
                <c:pt idx="142">
                  <c:v>#N/A</c:v>
                </c:pt>
                <c:pt idx="143">
                  <c:v>#N/A</c:v>
                </c:pt>
                <c:pt idx="144">
                  <c:v>#N/A</c:v>
                </c:pt>
                <c:pt idx="145">
                  <c:v>#N/A</c:v>
                </c:pt>
                <c:pt idx="146">
                  <c:v>#N/A</c:v>
                </c:pt>
                <c:pt idx="147">
                  <c:v>#N/A</c:v>
                </c:pt>
                <c:pt idx="148">
                  <c:v>#N/A</c:v>
                </c:pt>
                <c:pt idx="149">
                  <c:v>0.96530243917495051</c:v>
                </c:pt>
                <c:pt idx="150">
                  <c:v>0.72539124212549999</c:v>
                </c:pt>
                <c:pt idx="151">
                  <c:v>1.8559059480078555</c:v>
                </c:pt>
                <c:pt idx="152">
                  <c:v>#N/A</c:v>
                </c:pt>
                <c:pt idx="153">
                  <c:v>0.19022140666038134</c:v>
                </c:pt>
                <c:pt idx="154">
                  <c:v>-0.15529276527684066</c:v>
                </c:pt>
                <c:pt idx="155">
                  <c:v>-0.87326368565061807</c:v>
                </c:pt>
                <c:pt idx="156">
                  <c:v>#N/A</c:v>
                </c:pt>
                <c:pt idx="157">
                  <c:v>#N/A</c:v>
                </c:pt>
                <c:pt idx="158">
                  <c:v>-0.43858463360822209</c:v>
                </c:pt>
                <c:pt idx="159">
                  <c:v>#N/A</c:v>
                </c:pt>
                <c:pt idx="160">
                  <c:v>0.17578449561238951</c:v>
                </c:pt>
                <c:pt idx="161">
                  <c:v>1.25523815988027</c:v>
                </c:pt>
                <c:pt idx="162">
                  <c:v>#N/A</c:v>
                </c:pt>
                <c:pt idx="163">
                  <c:v>#N/A</c:v>
                </c:pt>
                <c:pt idx="164">
                  <c:v>1.6786820982884245</c:v>
                </c:pt>
                <c:pt idx="165">
                  <c:v>2.648672289928685</c:v>
                </c:pt>
                <c:pt idx="166">
                  <c:v>2.5197512282258234</c:v>
                </c:pt>
                <c:pt idx="167">
                  <c:v>2.2363102662170569</c:v>
                </c:pt>
                <c:pt idx="168">
                  <c:v>#N/A</c:v>
                </c:pt>
                <c:pt idx="169">
                  <c:v>2.2137404691195348</c:v>
                </c:pt>
                <c:pt idx="170">
                  <c:v>#N/A</c:v>
                </c:pt>
                <c:pt idx="171">
                  <c:v>0.73407363913423307</c:v>
                </c:pt>
                <c:pt idx="172">
                  <c:v>#N/A</c:v>
                </c:pt>
                <c:pt idx="173">
                  <c:v>1.2537394227087191</c:v>
                </c:pt>
                <c:pt idx="174">
                  <c:v>#N/A</c:v>
                </c:pt>
                <c:pt idx="175">
                  <c:v>2.7654026317356881</c:v>
                </c:pt>
                <c:pt idx="176">
                  <c:v>#N/A</c:v>
                </c:pt>
                <c:pt idx="177">
                  <c:v>4.0730832631868132</c:v>
                </c:pt>
                <c:pt idx="178">
                  <c:v>#N/A</c:v>
                </c:pt>
                <c:pt idx="179">
                  <c:v>#N/A</c:v>
                </c:pt>
                <c:pt idx="180">
                  <c:v>3.5854130386744809</c:v>
                </c:pt>
                <c:pt idx="181">
                  <c:v>3.2745774790864632</c:v>
                </c:pt>
                <c:pt idx="182">
                  <c:v>3.9859181523681437</c:v>
                </c:pt>
                <c:pt idx="183">
                  <c:v>4.5489303482770307</c:v>
                </c:pt>
                <c:pt idx="184">
                  <c:v>#N/A</c:v>
                </c:pt>
                <c:pt idx="185">
                  <c:v>#N/A</c:v>
                </c:pt>
                <c:pt idx="186">
                  <c:v>#N/A</c:v>
                </c:pt>
                <c:pt idx="187">
                  <c:v>5.0110782356009747</c:v>
                </c:pt>
                <c:pt idx="188">
                  <c:v>#N/A</c:v>
                </c:pt>
                <c:pt idx="189">
                  <c:v>#N/A</c:v>
                </c:pt>
                <c:pt idx="190">
                  <c:v>#N/A</c:v>
                </c:pt>
                <c:pt idx="191">
                  <c:v>#N/A</c:v>
                </c:pt>
                <c:pt idx="192">
                  <c:v>4.6911173234870507</c:v>
                </c:pt>
                <c:pt idx="193">
                  <c:v>#N/A</c:v>
                </c:pt>
                <c:pt idx="194">
                  <c:v>#N/A</c:v>
                </c:pt>
                <c:pt idx="195">
                  <c:v>4.8173173712136146</c:v>
                </c:pt>
                <c:pt idx="196">
                  <c:v>4.8763133448904643</c:v>
                </c:pt>
                <c:pt idx="197">
                  <c:v>#N/A</c:v>
                </c:pt>
                <c:pt idx="198">
                  <c:v>#N/A</c:v>
                </c:pt>
                <c:pt idx="199">
                  <c:v>#N/A</c:v>
                </c:pt>
                <c:pt idx="200">
                  <c:v>#N/A</c:v>
                </c:pt>
                <c:pt idx="201">
                  <c:v>#N/A</c:v>
                </c:pt>
                <c:pt idx="202">
                  <c:v>5.1344144698477692</c:v>
                </c:pt>
                <c:pt idx="203">
                  <c:v>#N/A</c:v>
                </c:pt>
                <c:pt idx="204">
                  <c:v>5.482779059994634</c:v>
                </c:pt>
                <c:pt idx="205">
                  <c:v>4.4165754494986942</c:v>
                </c:pt>
                <c:pt idx="206">
                  <c:v>5.7852722405923434</c:v>
                </c:pt>
                <c:pt idx="207">
                  <c:v>#N/A</c:v>
                </c:pt>
                <c:pt idx="208">
                  <c:v>5.6221240706037436</c:v>
                </c:pt>
                <c:pt idx="209">
                  <c:v>#N/A</c:v>
                </c:pt>
                <c:pt idx="210">
                  <c:v>4.6033428999787542</c:v>
                </c:pt>
                <c:pt idx="211">
                  <c:v>4.0226958407225997</c:v>
                </c:pt>
                <c:pt idx="212">
                  <c:v>3.8510382034461026</c:v>
                </c:pt>
                <c:pt idx="213">
                  <c:v>#N/A</c:v>
                </c:pt>
                <c:pt idx="214">
                  <c:v>#N/A</c:v>
                </c:pt>
                <c:pt idx="215">
                  <c:v>#N/A</c:v>
                </c:pt>
                <c:pt idx="216">
                  <c:v>5.2975979396175932</c:v>
                </c:pt>
                <c:pt idx="217">
                  <c:v>#N/A</c:v>
                </c:pt>
                <c:pt idx="218">
                  <c:v>#N/A</c:v>
                </c:pt>
                <c:pt idx="219">
                  <c:v>6.8646711797920661</c:v>
                </c:pt>
                <c:pt idx="220">
                  <c:v>#N/A</c:v>
                </c:pt>
                <c:pt idx="221">
                  <c:v>7.4087943600184003</c:v>
                </c:pt>
                <c:pt idx="222">
                  <c:v>#N/A</c:v>
                </c:pt>
                <c:pt idx="223">
                  <c:v>#N/A</c:v>
                </c:pt>
                <c:pt idx="224">
                  <c:v>7.7703122364540818</c:v>
                </c:pt>
                <c:pt idx="225">
                  <c:v>#N/A</c:v>
                </c:pt>
                <c:pt idx="226">
                  <c:v>#N/A</c:v>
                </c:pt>
                <c:pt idx="227">
                  <c:v>#N/A</c:v>
                </c:pt>
                <c:pt idx="228">
                  <c:v>7.7658557893119999</c:v>
                </c:pt>
                <c:pt idx="229">
                  <c:v>7.7225603909943343</c:v>
                </c:pt>
                <c:pt idx="230">
                  <c:v>#N/A</c:v>
                </c:pt>
                <c:pt idx="231">
                  <c:v>7.157681336053404</c:v>
                </c:pt>
                <c:pt idx="232">
                  <c:v>7.8274647386475351</c:v>
                </c:pt>
                <c:pt idx="233">
                  <c:v>8.2808676094159726</c:v>
                </c:pt>
                <c:pt idx="234">
                  <c:v>#N/A</c:v>
                </c:pt>
                <c:pt idx="235">
                  <c:v>#N/A</c:v>
                </c:pt>
                <c:pt idx="236">
                  <c:v>#N/A</c:v>
                </c:pt>
                <c:pt idx="237">
                  <c:v>8.2327549382879504</c:v>
                </c:pt>
                <c:pt idx="238">
                  <c:v>6.5293515973300202</c:v>
                </c:pt>
                <c:pt idx="239">
                  <c:v>6.5724966153494107</c:v>
                </c:pt>
                <c:pt idx="240">
                  <c:v>#N/A</c:v>
                </c:pt>
                <c:pt idx="241">
                  <c:v>#N/A</c:v>
                </c:pt>
                <c:pt idx="242">
                  <c:v>6.6807160335057416</c:v>
                </c:pt>
                <c:pt idx="243">
                  <c:v>#N/A</c:v>
                </c:pt>
                <c:pt idx="244">
                  <c:v>5.8529994837288974</c:v>
                </c:pt>
                <c:pt idx="245">
                  <c:v>#N/A</c:v>
                </c:pt>
                <c:pt idx="246">
                  <c:v>#N/A</c:v>
                </c:pt>
                <c:pt idx="247">
                  <c:v>#N/A</c:v>
                </c:pt>
                <c:pt idx="248">
                  <c:v>#N/A</c:v>
                </c:pt>
                <c:pt idx="249">
                  <c:v>#N/A</c:v>
                </c:pt>
                <c:pt idx="250">
                  <c:v>#N/A</c:v>
                </c:pt>
                <c:pt idx="251">
                  <c:v>4.9784038813820208</c:v>
                </c:pt>
                <c:pt idx="252">
                  <c:v>4.471483754651989</c:v>
                </c:pt>
                <c:pt idx="253">
                  <c:v>#N/A</c:v>
                </c:pt>
                <c:pt idx="254">
                  <c:v>#N/A</c:v>
                </c:pt>
                <c:pt idx="255">
                  <c:v>#N/A</c:v>
                </c:pt>
                <c:pt idx="256">
                  <c:v>#N/A</c:v>
                </c:pt>
                <c:pt idx="257">
                  <c:v>#N/A</c:v>
                </c:pt>
                <c:pt idx="258">
                  <c:v>#N/A</c:v>
                </c:pt>
                <c:pt idx="259">
                  <c:v>#N/A</c:v>
                </c:pt>
                <c:pt idx="260">
                  <c:v>#N/A</c:v>
                </c:pt>
                <c:pt idx="261">
                  <c:v>#N/A</c:v>
                </c:pt>
                <c:pt idx="262">
                  <c:v>#N/A</c:v>
                </c:pt>
                <c:pt idx="263">
                  <c:v>4.2076090525750409</c:v>
                </c:pt>
                <c:pt idx="264">
                  <c:v>#N/A</c:v>
                </c:pt>
                <c:pt idx="265">
                  <c:v>#N/A</c:v>
                </c:pt>
                <c:pt idx="266">
                  <c:v>4.8054710387979238</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5.2469498242257551</c:v>
                </c:pt>
                <c:pt idx="281">
                  <c:v>4.3490760773931019</c:v>
                </c:pt>
                <c:pt idx="282">
                  <c:v>#N/A</c:v>
                </c:pt>
                <c:pt idx="283">
                  <c:v>#N/A</c:v>
                </c:pt>
                <c:pt idx="284">
                  <c:v>4.305288447398576</c:v>
                </c:pt>
                <c:pt idx="285">
                  <c:v>#N/A</c:v>
                </c:pt>
                <c:pt idx="286">
                  <c:v>4.8400904908213089</c:v>
                </c:pt>
                <c:pt idx="287">
                  <c:v>#N/A</c:v>
                </c:pt>
                <c:pt idx="288">
                  <c:v>6.6151020168701793</c:v>
                </c:pt>
                <c:pt idx="289">
                  <c:v>#N/A</c:v>
                </c:pt>
                <c:pt idx="290">
                  <c:v>#N/A</c:v>
                </c:pt>
                <c:pt idx="291">
                  <c:v>#N/A</c:v>
                </c:pt>
                <c:pt idx="292">
                  <c:v>#N/A</c:v>
                </c:pt>
                <c:pt idx="293">
                  <c:v>5.8228382396361109</c:v>
                </c:pt>
                <c:pt idx="294">
                  <c:v>#N/A</c:v>
                </c:pt>
                <c:pt idx="295">
                  <c:v>#N/A</c:v>
                </c:pt>
                <c:pt idx="296">
                  <c:v>#N/A</c:v>
                </c:pt>
                <c:pt idx="297">
                  <c:v>#N/A</c:v>
                </c:pt>
                <c:pt idx="298">
                  <c:v>#N/A</c:v>
                </c:pt>
                <c:pt idx="299">
                  <c:v>#N/A</c:v>
                </c:pt>
                <c:pt idx="300">
                  <c:v>5.8570559696845441</c:v>
                </c:pt>
                <c:pt idx="301">
                  <c:v>7.0910905093586418</c:v>
                </c:pt>
                <c:pt idx="302">
                  <c:v>#N/A</c:v>
                </c:pt>
                <c:pt idx="303">
                  <c:v>7.6646073680867666</c:v>
                </c:pt>
                <c:pt idx="304">
                  <c:v>#N/A</c:v>
                </c:pt>
                <c:pt idx="305">
                  <c:v>8.7090527843343448</c:v>
                </c:pt>
                <c:pt idx="306">
                  <c:v>#N/A</c:v>
                </c:pt>
                <c:pt idx="307">
                  <c:v>9.436115204295513</c:v>
                </c:pt>
                <c:pt idx="308">
                  <c:v>#N/A</c:v>
                </c:pt>
                <c:pt idx="309">
                  <c:v>#N/A</c:v>
                </c:pt>
                <c:pt idx="310">
                  <c:v>#N/A</c:v>
                </c:pt>
                <c:pt idx="311">
                  <c:v>#N/A</c:v>
                </c:pt>
                <c:pt idx="312">
                  <c:v>#N/A</c:v>
                </c:pt>
                <c:pt idx="313">
                  <c:v>#N/A</c:v>
                </c:pt>
                <c:pt idx="314">
                  <c:v>#N/A</c:v>
                </c:pt>
                <c:pt idx="315">
                  <c:v>#N/A</c:v>
                </c:pt>
                <c:pt idx="316">
                  <c:v>#N/A</c:v>
                </c:pt>
                <c:pt idx="317">
                  <c:v>#N/A</c:v>
                </c:pt>
                <c:pt idx="318">
                  <c:v>7.8186624950622239</c:v>
                </c:pt>
                <c:pt idx="319">
                  <c:v>10.155238370548604</c:v>
                </c:pt>
                <c:pt idx="320">
                  <c:v>#N/A</c:v>
                </c:pt>
                <c:pt idx="321">
                  <c:v>#N/A</c:v>
                </c:pt>
                <c:pt idx="322">
                  <c:v>10.487921346185205</c:v>
                </c:pt>
                <c:pt idx="323">
                  <c:v>#N/A</c:v>
                </c:pt>
                <c:pt idx="324">
                  <c:v>#N/A</c:v>
                </c:pt>
                <c:pt idx="325">
                  <c:v>11.276306049381551</c:v>
                </c:pt>
                <c:pt idx="326">
                  <c:v>#N/A</c:v>
                </c:pt>
                <c:pt idx="327">
                  <c:v>11.060515239531336</c:v>
                </c:pt>
                <c:pt idx="328">
                  <c:v>#N/A</c:v>
                </c:pt>
                <c:pt idx="329">
                  <c:v>#N/A</c:v>
                </c:pt>
                <c:pt idx="330">
                  <c:v>#N/A</c:v>
                </c:pt>
                <c:pt idx="331">
                  <c:v>#N/A</c:v>
                </c:pt>
                <c:pt idx="332">
                  <c:v>11.998244177260275</c:v>
                </c:pt>
                <c:pt idx="333">
                  <c:v>12.482281812546077</c:v>
                </c:pt>
                <c:pt idx="334">
                  <c:v>#N/A</c:v>
                </c:pt>
                <c:pt idx="335">
                  <c:v>13.147273437336699</c:v>
                </c:pt>
                <c:pt idx="336">
                  <c:v>12.711802336782462</c:v>
                </c:pt>
                <c:pt idx="337">
                  <c:v>#N/A</c:v>
                </c:pt>
                <c:pt idx="338">
                  <c:v>#N/A</c:v>
                </c:pt>
                <c:pt idx="339">
                  <c:v>12.109036480797721</c:v>
                </c:pt>
                <c:pt idx="340">
                  <c:v>#N/A</c:v>
                </c:pt>
                <c:pt idx="341">
                  <c:v>#N/A</c:v>
                </c:pt>
                <c:pt idx="342">
                  <c:v>#N/A</c:v>
                </c:pt>
                <c:pt idx="343">
                  <c:v>12.416116453384573</c:v>
                </c:pt>
                <c:pt idx="344">
                  <c:v>#N/A</c:v>
                </c:pt>
                <c:pt idx="345">
                  <c:v>#N/A</c:v>
                </c:pt>
                <c:pt idx="346">
                  <c:v>#N/A</c:v>
                </c:pt>
                <c:pt idx="347">
                  <c:v>12.458569465618758</c:v>
                </c:pt>
                <c:pt idx="348">
                  <c:v>#N/A</c:v>
                </c:pt>
                <c:pt idx="349">
                  <c:v>#N/A</c:v>
                </c:pt>
                <c:pt idx="350">
                  <c:v>#N/A</c:v>
                </c:pt>
                <c:pt idx="351">
                  <c:v>#N/A</c:v>
                </c:pt>
                <c:pt idx="352">
                  <c:v>12.401568895613059</c:v>
                </c:pt>
                <c:pt idx="353">
                  <c:v>#N/A</c:v>
                </c:pt>
                <c:pt idx="354">
                  <c:v>#N/A</c:v>
                </c:pt>
                <c:pt idx="355">
                  <c:v>11.268092637077249</c:v>
                </c:pt>
                <c:pt idx="356">
                  <c:v>10.410855578059774</c:v>
                </c:pt>
                <c:pt idx="357">
                  <c:v>#N/A</c:v>
                </c:pt>
                <c:pt idx="358">
                  <c:v>#N/A</c:v>
                </c:pt>
                <c:pt idx="359">
                  <c:v>#N/A</c:v>
                </c:pt>
                <c:pt idx="360">
                  <c:v>8.5439953337599004</c:v>
                </c:pt>
                <c:pt idx="361">
                  <c:v>8.5439953337599004</c:v>
                </c:pt>
                <c:pt idx="362">
                  <c:v>#N/A</c:v>
                </c:pt>
                <c:pt idx="363">
                  <c:v>#N/A</c:v>
                </c:pt>
                <c:pt idx="364">
                  <c:v>#N/A</c:v>
                </c:pt>
                <c:pt idx="365">
                  <c:v>#N/A</c:v>
                </c:pt>
                <c:pt idx="366">
                  <c:v>#N/A</c:v>
                </c:pt>
                <c:pt idx="367">
                  <c:v>#N/A</c:v>
                </c:pt>
                <c:pt idx="368">
                  <c:v>#N/A</c:v>
                </c:pt>
                <c:pt idx="369">
                  <c:v>8.9249538932535906</c:v>
                </c:pt>
                <c:pt idx="370">
                  <c:v>#N/A</c:v>
                </c:pt>
                <c:pt idx="371">
                  <c:v>9.8447669635006054</c:v>
                </c:pt>
                <c:pt idx="372">
                  <c:v>9.0936408781717155</c:v>
                </c:pt>
                <c:pt idx="373">
                  <c:v>10.006038665569505</c:v>
                </c:pt>
                <c:pt idx="374">
                  <c:v>#N/A</c:v>
                </c:pt>
                <c:pt idx="375">
                  <c:v>7.9318965087067603</c:v>
                </c:pt>
                <c:pt idx="376">
                  <c:v>#N/A</c:v>
                </c:pt>
                <c:pt idx="377">
                  <c:v>#N/A</c:v>
                </c:pt>
                <c:pt idx="378">
                  <c:v>#N/A</c:v>
                </c:pt>
                <c:pt idx="379">
                  <c:v>7.5268809738643281</c:v>
                </c:pt>
                <c:pt idx="380">
                  <c:v>6.7928205711797682</c:v>
                </c:pt>
                <c:pt idx="381">
                  <c:v>#N/A</c:v>
                </c:pt>
                <c:pt idx="382">
                  <c:v>#N/A</c:v>
                </c:pt>
                <c:pt idx="383">
                  <c:v>#N/A</c:v>
                </c:pt>
                <c:pt idx="384">
                  <c:v>6.6241444586508003</c:v>
                </c:pt>
                <c:pt idx="385">
                  <c:v>#N/A</c:v>
                </c:pt>
                <c:pt idx="386">
                  <c:v>#N/A</c:v>
                </c:pt>
                <c:pt idx="387">
                  <c:v>#N/A</c:v>
                </c:pt>
                <c:pt idx="388">
                  <c:v>#N/A</c:v>
                </c:pt>
                <c:pt idx="389">
                  <c:v>#N/A</c:v>
                </c:pt>
                <c:pt idx="390">
                  <c:v>8.4564148617739967</c:v>
                </c:pt>
                <c:pt idx="391">
                  <c:v>#N/A</c:v>
                </c:pt>
                <c:pt idx="392">
                  <c:v>#N/A</c:v>
                </c:pt>
                <c:pt idx="393">
                  <c:v>#N/A</c:v>
                </c:pt>
                <c:pt idx="394">
                  <c:v>#N/A</c:v>
                </c:pt>
                <c:pt idx="395">
                  <c:v>#N/A</c:v>
                </c:pt>
                <c:pt idx="396">
                  <c:v>#N/A</c:v>
                </c:pt>
                <c:pt idx="397">
                  <c:v>9.8507996365996995</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10.642627119292833</c:v>
                </c:pt>
                <c:pt idx="411">
                  <c:v>#N/A</c:v>
                </c:pt>
                <c:pt idx="412">
                  <c:v>#N/A</c:v>
                </c:pt>
                <c:pt idx="413">
                  <c:v>#N/A</c:v>
                </c:pt>
                <c:pt idx="414">
                  <c:v>11.356714751017737</c:v>
                </c:pt>
                <c:pt idx="415">
                  <c:v>#N/A</c:v>
                </c:pt>
                <c:pt idx="416">
                  <c:v>#N/A</c:v>
                </c:pt>
                <c:pt idx="417">
                  <c:v>#N/A</c:v>
                </c:pt>
                <c:pt idx="418">
                  <c:v>13.288811542404586</c:v>
                </c:pt>
              </c:numCache>
            </c:numRef>
          </c:val>
          <c:smooth val="0"/>
          <c:extLst>
            <c:ext xmlns:c16="http://schemas.microsoft.com/office/drawing/2014/chart" uri="{C3380CC4-5D6E-409C-BE32-E72D297353CC}">
              <c16:uniqueId val="{00000001-8300-41F5-9645-509B7E2CCC2A}"/>
            </c:ext>
          </c:extLst>
        </c:ser>
        <c:ser>
          <c:idx val="3"/>
          <c:order val="3"/>
          <c:tx>
            <c:v>Down Trends</c:v>
          </c:tx>
          <c:spPr>
            <a:ln w="12700" cap="rnd">
              <a:solidFill>
                <a:srgbClr val="FFC000"/>
              </a:solidFill>
              <a:round/>
            </a:ln>
            <a:effectLst/>
          </c:spPr>
          <c:marker>
            <c:symbol val="none"/>
          </c:marker>
          <c:val>
            <c:numRef>
              <c:f>'2025-Q2'!$GZ$4:$GZ$422</c:f>
              <c:numCache>
                <c:formatCode>0.00</c:formatCode>
                <c:ptCount val="419"/>
                <c:pt idx="0">
                  <c:v>-0.47844667409884589</c:v>
                </c:pt>
                <c:pt idx="1">
                  <c:v>0.20039738260780871</c:v>
                </c:pt>
                <c:pt idx="2">
                  <c:v>#N/A</c:v>
                </c:pt>
                <c:pt idx="3">
                  <c:v>#N/A</c:v>
                </c:pt>
                <c:pt idx="4">
                  <c:v>#N/A</c:v>
                </c:pt>
                <c:pt idx="5">
                  <c:v>#N/A</c:v>
                </c:pt>
                <c:pt idx="6">
                  <c:v>#N/A</c:v>
                </c:pt>
                <c:pt idx="7">
                  <c:v>#N/A</c:v>
                </c:pt>
                <c:pt idx="8">
                  <c:v>#N/A</c:v>
                </c:pt>
                <c:pt idx="9">
                  <c:v>0.30064007544309346</c:v>
                </c:pt>
                <c:pt idx="10">
                  <c:v>#N/A</c:v>
                </c:pt>
                <c:pt idx="11">
                  <c:v>#N/A</c:v>
                </c:pt>
                <c:pt idx="12">
                  <c:v>0.60216810360001793</c:v>
                </c:pt>
                <c:pt idx="13">
                  <c:v>#N/A</c:v>
                </c:pt>
                <c:pt idx="14">
                  <c:v>1.4792312373428973</c:v>
                </c:pt>
                <c:pt idx="15">
                  <c:v>#N/A</c:v>
                </c:pt>
                <c:pt idx="16">
                  <c:v>1.8415029194115362</c:v>
                </c:pt>
                <c:pt idx="17">
                  <c:v>2.0183947996427927</c:v>
                </c:pt>
                <c:pt idx="18">
                  <c:v>#N/A</c:v>
                </c:pt>
                <c:pt idx="19">
                  <c:v>#N/A</c:v>
                </c:pt>
                <c:pt idx="20">
                  <c:v>#N/A</c:v>
                </c:pt>
                <c:pt idx="21">
                  <c:v>#N/A</c:v>
                </c:pt>
                <c:pt idx="22">
                  <c:v>2.0549578709407856</c:v>
                </c:pt>
                <c:pt idx="23">
                  <c:v>#N/A</c:v>
                </c:pt>
                <c:pt idx="24">
                  <c:v>#N/A</c:v>
                </c:pt>
                <c:pt idx="25">
                  <c:v>#N/A</c:v>
                </c:pt>
                <c:pt idx="26">
                  <c:v>2.4669949079778233</c:v>
                </c:pt>
                <c:pt idx="27">
                  <c:v>1.9018102809996771</c:v>
                </c:pt>
                <c:pt idx="28">
                  <c:v>0.92806658425128818</c:v>
                </c:pt>
                <c:pt idx="29">
                  <c:v>#N/A</c:v>
                </c:pt>
                <c:pt idx="30">
                  <c:v>0.37789926532439866</c:v>
                </c:pt>
                <c:pt idx="31">
                  <c:v>0.89631011803757732</c:v>
                </c:pt>
                <c:pt idx="32">
                  <c:v>0.38695214599303662</c:v>
                </c:pt>
                <c:pt idx="33">
                  <c:v>#N/A</c:v>
                </c:pt>
                <c:pt idx="34">
                  <c:v>#N/A</c:v>
                </c:pt>
                <c:pt idx="35">
                  <c:v>#N/A</c:v>
                </c:pt>
                <c:pt idx="36">
                  <c:v>4.9445060920641104E-2</c:v>
                </c:pt>
                <c:pt idx="37">
                  <c:v>#N/A</c:v>
                </c:pt>
                <c:pt idx="38">
                  <c:v>#N/A</c:v>
                </c:pt>
                <c:pt idx="39">
                  <c:v>#N/A</c:v>
                </c:pt>
                <c:pt idx="40">
                  <c:v>-1.9614085164246415</c:v>
                </c:pt>
                <c:pt idx="41">
                  <c:v>-2.594121805639455</c:v>
                </c:pt>
                <c:pt idx="42">
                  <c:v>-1.2217069637903022</c:v>
                </c:pt>
                <c:pt idx="43">
                  <c:v>#N/A</c:v>
                </c:pt>
                <c:pt idx="44">
                  <c:v>#N/A</c:v>
                </c:pt>
                <c:pt idx="45">
                  <c:v>#N/A</c:v>
                </c:pt>
                <c:pt idx="46">
                  <c:v>-2.4179115485653879</c:v>
                </c:pt>
                <c:pt idx="47">
                  <c:v>#N/A</c:v>
                </c:pt>
                <c:pt idx="48">
                  <c:v>-2.9352208243324007</c:v>
                </c:pt>
                <c:pt idx="49">
                  <c:v>#N/A</c:v>
                </c:pt>
                <c:pt idx="50">
                  <c:v>#N/A</c:v>
                </c:pt>
                <c:pt idx="51">
                  <c:v>#N/A</c:v>
                </c:pt>
                <c:pt idx="52">
                  <c:v>-4.2375680043391544</c:v>
                </c:pt>
                <c:pt idx="53">
                  <c:v>#N/A</c:v>
                </c:pt>
                <c:pt idx="54">
                  <c:v>#N/A</c:v>
                </c:pt>
                <c:pt idx="55">
                  <c:v>-3.6224694812908407</c:v>
                </c:pt>
                <c:pt idx="56">
                  <c:v>#N/A</c:v>
                </c:pt>
                <c:pt idx="57">
                  <c:v>-1.7290263469717926</c:v>
                </c:pt>
                <c:pt idx="58">
                  <c:v>#N/A</c:v>
                </c:pt>
                <c:pt idx="59">
                  <c:v>#N/A</c:v>
                </c:pt>
                <c:pt idx="60">
                  <c:v>#N/A</c:v>
                </c:pt>
                <c:pt idx="61">
                  <c:v>#N/A</c:v>
                </c:pt>
                <c:pt idx="62">
                  <c:v>#N/A</c:v>
                </c:pt>
                <c:pt idx="63">
                  <c:v>#N/A</c:v>
                </c:pt>
                <c:pt idx="64">
                  <c:v>#N/A</c:v>
                </c:pt>
                <c:pt idx="65">
                  <c:v>#N/A</c:v>
                </c:pt>
                <c:pt idx="66">
                  <c:v>-2.1078142257596713</c:v>
                </c:pt>
                <c:pt idx="67">
                  <c:v>-2.9443487797740402</c:v>
                </c:pt>
                <c:pt idx="68">
                  <c:v>-2.8156523317960023</c:v>
                </c:pt>
                <c:pt idx="69">
                  <c:v>#N/A</c:v>
                </c:pt>
                <c:pt idx="70">
                  <c:v>-2.1536522232713935</c:v>
                </c:pt>
                <c:pt idx="71">
                  <c:v>#N/A</c:v>
                </c:pt>
                <c:pt idx="72">
                  <c:v>#N/A</c:v>
                </c:pt>
                <c:pt idx="73">
                  <c:v>#N/A</c:v>
                </c:pt>
                <c:pt idx="74">
                  <c:v>#N/A</c:v>
                </c:pt>
                <c:pt idx="75">
                  <c:v>#N/A</c:v>
                </c:pt>
                <c:pt idx="76">
                  <c:v>#N/A</c:v>
                </c:pt>
                <c:pt idx="77">
                  <c:v>#N/A</c:v>
                </c:pt>
                <c:pt idx="78">
                  <c:v>#N/A</c:v>
                </c:pt>
                <c:pt idx="79">
                  <c:v>-2.1972822407234003</c:v>
                </c:pt>
                <c:pt idx="80">
                  <c:v>#N/A</c:v>
                </c:pt>
                <c:pt idx="81">
                  <c:v>-3.0819449335041766</c:v>
                </c:pt>
                <c:pt idx="82">
                  <c:v>-3.8162473462121036</c:v>
                </c:pt>
                <c:pt idx="83">
                  <c:v>#N/A</c:v>
                </c:pt>
                <c:pt idx="84">
                  <c:v>#N/A</c:v>
                </c:pt>
                <c:pt idx="85">
                  <c:v>-3.9962227180033323</c:v>
                </c:pt>
                <c:pt idx="86">
                  <c:v>#N/A</c:v>
                </c:pt>
                <c:pt idx="87">
                  <c:v>-3.9861567861496914</c:v>
                </c:pt>
                <c:pt idx="88">
                  <c:v>-3.1117975784571503</c:v>
                </c:pt>
                <c:pt idx="89">
                  <c:v>#N/A</c:v>
                </c:pt>
                <c:pt idx="90">
                  <c:v>-1.9078521186370168</c:v>
                </c:pt>
                <c:pt idx="91">
                  <c:v>-2.1261927299907284</c:v>
                </c:pt>
                <c:pt idx="92">
                  <c:v>#N/A</c:v>
                </c:pt>
                <c:pt idx="93">
                  <c:v>#N/A</c:v>
                </c:pt>
                <c:pt idx="94">
                  <c:v>#N/A</c:v>
                </c:pt>
                <c:pt idx="95">
                  <c:v>-2.0288258685903386</c:v>
                </c:pt>
                <c:pt idx="96">
                  <c:v>-1.933929200517795</c:v>
                </c:pt>
                <c:pt idx="97">
                  <c:v>-1.7313053939376726</c:v>
                </c:pt>
                <c:pt idx="98">
                  <c:v>-2.106461709068979</c:v>
                </c:pt>
                <c:pt idx="99">
                  <c:v>#N/A</c:v>
                </c:pt>
                <c:pt idx="100">
                  <c:v>-3.3590713124092719</c:v>
                </c:pt>
                <c:pt idx="101">
                  <c:v>#N/A</c:v>
                </c:pt>
                <c:pt idx="102">
                  <c:v>#N/A</c:v>
                </c:pt>
                <c:pt idx="103">
                  <c:v>#N/A</c:v>
                </c:pt>
                <c:pt idx="104">
                  <c:v>#N/A</c:v>
                </c:pt>
                <c:pt idx="105">
                  <c:v>-2.5991521504856561</c:v>
                </c:pt>
                <c:pt idx="106">
                  <c:v>#N/A</c:v>
                </c:pt>
                <c:pt idx="107">
                  <c:v>#N/A</c:v>
                </c:pt>
                <c:pt idx="108">
                  <c:v>#N/A</c:v>
                </c:pt>
                <c:pt idx="109">
                  <c:v>#N/A</c:v>
                </c:pt>
                <c:pt idx="110">
                  <c:v>-2.2937795004236272</c:v>
                </c:pt>
                <c:pt idx="111">
                  <c:v>-2.0693072490147046</c:v>
                </c:pt>
                <c:pt idx="112">
                  <c:v>#N/A</c:v>
                </c:pt>
                <c:pt idx="113">
                  <c:v>#N/A</c:v>
                </c:pt>
                <c:pt idx="114">
                  <c:v>#N/A</c:v>
                </c:pt>
                <c:pt idx="115">
                  <c:v>#N/A</c:v>
                </c:pt>
                <c:pt idx="116">
                  <c:v>-1.5911075303086568</c:v>
                </c:pt>
                <c:pt idx="117">
                  <c:v>-1.2028043501273067</c:v>
                </c:pt>
                <c:pt idx="118">
                  <c:v>#N/A</c:v>
                </c:pt>
                <c:pt idx="119">
                  <c:v>#N/A</c:v>
                </c:pt>
                <c:pt idx="120">
                  <c:v>-0.99405996191993684</c:v>
                </c:pt>
                <c:pt idx="121">
                  <c:v>#N/A</c:v>
                </c:pt>
                <c:pt idx="122">
                  <c:v>#N/A</c:v>
                </c:pt>
                <c:pt idx="123">
                  <c:v>#N/A</c:v>
                </c:pt>
                <c:pt idx="124">
                  <c:v>0.25653454820372312</c:v>
                </c:pt>
                <c:pt idx="125">
                  <c:v>#N/A</c:v>
                </c:pt>
                <c:pt idx="126">
                  <c:v>#N/A</c:v>
                </c:pt>
                <c:pt idx="127">
                  <c:v>-0.40070004942822868</c:v>
                </c:pt>
                <c:pt idx="128">
                  <c:v>#N/A</c:v>
                </c:pt>
                <c:pt idx="129">
                  <c:v>-0.79691287231594909</c:v>
                </c:pt>
                <c:pt idx="130">
                  <c:v>#N/A</c:v>
                </c:pt>
                <c:pt idx="131">
                  <c:v>-1.042721607391847</c:v>
                </c:pt>
                <c:pt idx="132">
                  <c:v>#N/A</c:v>
                </c:pt>
                <c:pt idx="133">
                  <c:v>-6.8507497584513688E-2</c:v>
                </c:pt>
                <c:pt idx="134">
                  <c:v>0.41904338758068616</c:v>
                </c:pt>
                <c:pt idx="135">
                  <c:v>0.75917944200245557</c:v>
                </c:pt>
                <c:pt idx="136">
                  <c:v>0.94629105665552815</c:v>
                </c:pt>
                <c:pt idx="137">
                  <c:v>#N/A</c:v>
                </c:pt>
                <c:pt idx="138">
                  <c:v>1.1053655324328244</c:v>
                </c:pt>
                <c:pt idx="139">
                  <c:v>1.1919006656969315</c:v>
                </c:pt>
                <c:pt idx="140">
                  <c:v>#N/A</c:v>
                </c:pt>
                <c:pt idx="141">
                  <c:v>0.74077179763295076</c:v>
                </c:pt>
                <c:pt idx="142">
                  <c:v>-0.53375008553815839</c:v>
                </c:pt>
                <c:pt idx="143">
                  <c:v>-0.90337891658697966</c:v>
                </c:pt>
                <c:pt idx="144">
                  <c:v>#N/A</c:v>
                </c:pt>
                <c:pt idx="145">
                  <c:v>0.43653530271040464</c:v>
                </c:pt>
                <c:pt idx="146">
                  <c:v>-6.2988357759082292E-3</c:v>
                </c:pt>
                <c:pt idx="147">
                  <c:v>-0.57027106076677248</c:v>
                </c:pt>
                <c:pt idx="148">
                  <c:v>#N/A</c:v>
                </c:pt>
                <c:pt idx="149">
                  <c:v>#N/A</c:v>
                </c:pt>
                <c:pt idx="150">
                  <c:v>#N/A</c:v>
                </c:pt>
                <c:pt idx="151">
                  <c:v>#N/A</c:v>
                </c:pt>
                <c:pt idx="152">
                  <c:v>#N/A</c:v>
                </c:pt>
                <c:pt idx="153">
                  <c:v>#N/A</c:v>
                </c:pt>
                <c:pt idx="154">
                  <c:v>#N/A</c:v>
                </c:pt>
                <c:pt idx="155">
                  <c:v>#N/A</c:v>
                </c:pt>
                <c:pt idx="156">
                  <c:v>1.4316962956890729</c:v>
                </c:pt>
                <c:pt idx="157">
                  <c:v>#N/A</c:v>
                </c:pt>
                <c:pt idx="158">
                  <c:v>#N/A</c:v>
                </c:pt>
                <c:pt idx="159">
                  <c:v>#N/A</c:v>
                </c:pt>
                <c:pt idx="160">
                  <c:v>#N/A</c:v>
                </c:pt>
                <c:pt idx="161">
                  <c:v>#N/A</c:v>
                </c:pt>
                <c:pt idx="162">
                  <c:v>#N/A</c:v>
                </c:pt>
                <c:pt idx="163">
                  <c:v>0.46337198910774802</c:v>
                </c:pt>
                <c:pt idx="164">
                  <c:v>#N/A</c:v>
                </c:pt>
                <c:pt idx="165">
                  <c:v>#N/A</c:v>
                </c:pt>
                <c:pt idx="166">
                  <c:v>#N/A</c:v>
                </c:pt>
                <c:pt idx="167">
                  <c:v>#N/A</c:v>
                </c:pt>
                <c:pt idx="168">
                  <c:v>1.7125846701910992</c:v>
                </c:pt>
                <c:pt idx="169">
                  <c:v>#N/A</c:v>
                </c:pt>
                <c:pt idx="170">
                  <c:v>2.1820889678479936</c:v>
                </c:pt>
                <c:pt idx="171">
                  <c:v>#N/A</c:v>
                </c:pt>
                <c:pt idx="172">
                  <c:v>2.1766476793508764</c:v>
                </c:pt>
                <c:pt idx="173">
                  <c:v>#N/A</c:v>
                </c:pt>
                <c:pt idx="174">
                  <c:v>3.8452322593278594</c:v>
                </c:pt>
                <c:pt idx="175">
                  <c:v>#N/A</c:v>
                </c:pt>
                <c:pt idx="176">
                  <c:v>3.9020264695637974</c:v>
                </c:pt>
                <c:pt idx="177">
                  <c:v>#N/A</c:v>
                </c:pt>
                <c:pt idx="178">
                  <c:v>4.2027811583480741</c:v>
                </c:pt>
                <c:pt idx="179">
                  <c:v>#N/A</c:v>
                </c:pt>
                <c:pt idx="180">
                  <c:v>#N/A</c:v>
                </c:pt>
                <c:pt idx="181">
                  <c:v>#N/A</c:v>
                </c:pt>
                <c:pt idx="182">
                  <c:v>#N/A</c:v>
                </c:pt>
                <c:pt idx="183">
                  <c:v>#N/A</c:v>
                </c:pt>
                <c:pt idx="184">
                  <c:v>2.5967030664073194</c:v>
                </c:pt>
                <c:pt idx="185">
                  <c:v>1.7596613202746685</c:v>
                </c:pt>
                <c:pt idx="186">
                  <c:v>#N/A</c:v>
                </c:pt>
                <c:pt idx="187">
                  <c:v>#N/A</c:v>
                </c:pt>
                <c:pt idx="188">
                  <c:v>2.8452511536753615</c:v>
                </c:pt>
                <c:pt idx="189">
                  <c:v>2.6274368155213677</c:v>
                </c:pt>
                <c:pt idx="190">
                  <c:v>#N/A</c:v>
                </c:pt>
                <c:pt idx="191">
                  <c:v>1.8247041084334104</c:v>
                </c:pt>
                <c:pt idx="192">
                  <c:v>#N/A</c:v>
                </c:pt>
                <c:pt idx="193">
                  <c:v>#N/A</c:v>
                </c:pt>
                <c:pt idx="194">
                  <c:v>0.86381046776739456</c:v>
                </c:pt>
                <c:pt idx="195">
                  <c:v>#N/A</c:v>
                </c:pt>
                <c:pt idx="196">
                  <c:v>#N/A</c:v>
                </c:pt>
                <c:pt idx="197">
                  <c:v>1.0938596506961575</c:v>
                </c:pt>
                <c:pt idx="198">
                  <c:v>1.1915911780609867</c:v>
                </c:pt>
                <c:pt idx="199">
                  <c:v>1.9582492375000395</c:v>
                </c:pt>
                <c:pt idx="200">
                  <c:v>#N/A</c:v>
                </c:pt>
                <c:pt idx="201">
                  <c:v>3.0129199219597891</c:v>
                </c:pt>
                <c:pt idx="202">
                  <c:v>#N/A</c:v>
                </c:pt>
                <c:pt idx="203">
                  <c:v>#N/A</c:v>
                </c:pt>
                <c:pt idx="204">
                  <c:v>#N/A</c:v>
                </c:pt>
                <c:pt idx="205">
                  <c:v>#N/A</c:v>
                </c:pt>
                <c:pt idx="206">
                  <c:v>#N/A</c:v>
                </c:pt>
                <c:pt idx="207">
                  <c:v>2.8247690512150632</c:v>
                </c:pt>
                <c:pt idx="208">
                  <c:v>#N/A</c:v>
                </c:pt>
                <c:pt idx="209">
                  <c:v>3.0499191512817747</c:v>
                </c:pt>
                <c:pt idx="210">
                  <c:v>#N/A</c:v>
                </c:pt>
                <c:pt idx="211">
                  <c:v>#N/A</c:v>
                </c:pt>
                <c:pt idx="212">
                  <c:v>#N/A</c:v>
                </c:pt>
                <c:pt idx="213">
                  <c:v>3.1376436962106959</c:v>
                </c:pt>
                <c:pt idx="214">
                  <c:v>3.6809314634732271</c:v>
                </c:pt>
                <c:pt idx="215">
                  <c:v>2.30048161804097</c:v>
                </c:pt>
                <c:pt idx="216">
                  <c:v>#N/A</c:v>
                </c:pt>
                <c:pt idx="217">
                  <c:v>#N/A</c:v>
                </c:pt>
                <c:pt idx="218">
                  <c:v>1.7764734905679731</c:v>
                </c:pt>
                <c:pt idx="219">
                  <c:v>#N/A</c:v>
                </c:pt>
                <c:pt idx="220">
                  <c:v>2.2752335563262838</c:v>
                </c:pt>
                <c:pt idx="221">
                  <c:v>#N/A</c:v>
                </c:pt>
                <c:pt idx="222">
                  <c:v>2.4605271003091191</c:v>
                </c:pt>
                <c:pt idx="223">
                  <c:v>#N/A</c:v>
                </c:pt>
                <c:pt idx="224">
                  <c:v>#N/A</c:v>
                </c:pt>
                <c:pt idx="225">
                  <c:v>#N/A</c:v>
                </c:pt>
                <c:pt idx="226">
                  <c:v>#N/A</c:v>
                </c:pt>
                <c:pt idx="227">
                  <c:v>2.9255341458704165</c:v>
                </c:pt>
                <c:pt idx="228">
                  <c:v>#N/A</c:v>
                </c:pt>
                <c:pt idx="229">
                  <c:v>#N/A</c:v>
                </c:pt>
                <c:pt idx="230">
                  <c:v>#N/A</c:v>
                </c:pt>
                <c:pt idx="231">
                  <c:v>#N/A</c:v>
                </c:pt>
                <c:pt idx="232">
                  <c:v>#N/A</c:v>
                </c:pt>
                <c:pt idx="233">
                  <c:v>#N/A</c:v>
                </c:pt>
                <c:pt idx="234">
                  <c:v>3.4987417808797256</c:v>
                </c:pt>
                <c:pt idx="235">
                  <c:v>3.2122829546037521</c:v>
                </c:pt>
                <c:pt idx="236">
                  <c:v>#N/A</c:v>
                </c:pt>
                <c:pt idx="237">
                  <c:v>#N/A</c:v>
                </c:pt>
                <c:pt idx="238">
                  <c:v>#N/A</c:v>
                </c:pt>
                <c:pt idx="239">
                  <c:v>#N/A</c:v>
                </c:pt>
                <c:pt idx="240">
                  <c:v>#N/A</c:v>
                </c:pt>
                <c:pt idx="241">
                  <c:v>6.9614279614436967</c:v>
                </c:pt>
                <c:pt idx="242">
                  <c:v>#N/A</c:v>
                </c:pt>
                <c:pt idx="243">
                  <c:v>7.3525254535814319</c:v>
                </c:pt>
                <c:pt idx="244">
                  <c:v>#N/A</c:v>
                </c:pt>
                <c:pt idx="245">
                  <c:v>7.79120918139862</c:v>
                </c:pt>
                <c:pt idx="246">
                  <c:v>7.4855433340424709</c:v>
                </c:pt>
                <c:pt idx="247">
                  <c:v>7.2880043154994878</c:v>
                </c:pt>
                <c:pt idx="248">
                  <c:v>6.7593691210676514</c:v>
                </c:pt>
                <c:pt idx="249">
                  <c:v>6.359155673895823</c:v>
                </c:pt>
                <c:pt idx="250">
                  <c:v>6.813345945433233</c:v>
                </c:pt>
                <c:pt idx="251">
                  <c:v>#N/A</c:v>
                </c:pt>
                <c:pt idx="252">
                  <c:v>#N/A</c:v>
                </c:pt>
                <c:pt idx="253">
                  <c:v>7.5128607788063331</c:v>
                </c:pt>
                <c:pt idx="254">
                  <c:v>7.5715641989186366</c:v>
                </c:pt>
                <c:pt idx="255">
                  <c:v>8.1002632860395742</c:v>
                </c:pt>
                <c:pt idx="256">
                  <c:v>#N/A</c:v>
                </c:pt>
                <c:pt idx="257">
                  <c:v>#N/A</c:v>
                </c:pt>
                <c:pt idx="258">
                  <c:v>#N/A</c:v>
                </c:pt>
                <c:pt idx="259">
                  <c:v>#N/A</c:v>
                </c:pt>
                <c:pt idx="260">
                  <c:v>8.4683523456364327</c:v>
                </c:pt>
                <c:pt idx="261">
                  <c:v>8.1771242754609936</c:v>
                </c:pt>
                <c:pt idx="262">
                  <c:v>8.4474241222546027</c:v>
                </c:pt>
                <c:pt idx="263">
                  <c:v>#N/A</c:v>
                </c:pt>
                <c:pt idx="264">
                  <c:v>7.9845504481948169</c:v>
                </c:pt>
                <c:pt idx="265">
                  <c:v>8.2177530979176758</c:v>
                </c:pt>
                <c:pt idx="266">
                  <c:v>#N/A</c:v>
                </c:pt>
                <c:pt idx="267">
                  <c:v>8.3902031504939121</c:v>
                </c:pt>
                <c:pt idx="268">
                  <c:v>8.2285714846412201</c:v>
                </c:pt>
                <c:pt idx="269">
                  <c:v>9.3736397938886338</c:v>
                </c:pt>
                <c:pt idx="270">
                  <c:v>9.6807756799900169</c:v>
                </c:pt>
                <c:pt idx="271">
                  <c:v>9.5099544728534884</c:v>
                </c:pt>
                <c:pt idx="272">
                  <c:v>9.672363807448253</c:v>
                </c:pt>
                <c:pt idx="273">
                  <c:v>#N/A</c:v>
                </c:pt>
                <c:pt idx="274">
                  <c:v>#N/A</c:v>
                </c:pt>
                <c:pt idx="275">
                  <c:v>10.011168521252966</c:v>
                </c:pt>
                <c:pt idx="276">
                  <c:v>9.6512009690323222</c:v>
                </c:pt>
                <c:pt idx="277">
                  <c:v>#N/A</c:v>
                </c:pt>
                <c:pt idx="278">
                  <c:v>#N/A</c:v>
                </c:pt>
                <c:pt idx="279">
                  <c:v>#N/A</c:v>
                </c:pt>
                <c:pt idx="280">
                  <c:v>#N/A</c:v>
                </c:pt>
                <c:pt idx="281">
                  <c:v>#N/A</c:v>
                </c:pt>
                <c:pt idx="282">
                  <c:v>10.142073097098358</c:v>
                </c:pt>
                <c:pt idx="283">
                  <c:v>#N/A</c:v>
                </c:pt>
                <c:pt idx="284">
                  <c:v>#N/A</c:v>
                </c:pt>
                <c:pt idx="285">
                  <c:v>9.3191078301206467</c:v>
                </c:pt>
                <c:pt idx="286">
                  <c:v>#N/A</c:v>
                </c:pt>
                <c:pt idx="287">
                  <c:v>9.3668924536388136</c:v>
                </c:pt>
                <c:pt idx="288">
                  <c:v>#N/A</c:v>
                </c:pt>
                <c:pt idx="289">
                  <c:v>8.9148283117077298</c:v>
                </c:pt>
                <c:pt idx="290">
                  <c:v>#N/A</c:v>
                </c:pt>
                <c:pt idx="291">
                  <c:v>9.91729150698756</c:v>
                </c:pt>
                <c:pt idx="292">
                  <c:v>9.1244722837408432</c:v>
                </c:pt>
                <c:pt idx="293">
                  <c:v>#N/A</c:v>
                </c:pt>
                <c:pt idx="294">
                  <c:v>7.2710130960080308</c:v>
                </c:pt>
                <c:pt idx="295">
                  <c:v>#N/A</c:v>
                </c:pt>
                <c:pt idx="296">
                  <c:v>6.0762087083258596</c:v>
                </c:pt>
                <c:pt idx="297">
                  <c:v>#N/A</c:v>
                </c:pt>
                <c:pt idx="298">
                  <c:v>#N/A</c:v>
                </c:pt>
                <c:pt idx="299">
                  <c:v>#N/A</c:v>
                </c:pt>
                <c:pt idx="300">
                  <c:v>#N/A</c:v>
                </c:pt>
                <c:pt idx="301">
                  <c:v>#N/A</c:v>
                </c:pt>
                <c:pt idx="302">
                  <c:v>6.0674866190116639</c:v>
                </c:pt>
                <c:pt idx="303">
                  <c:v>#N/A</c:v>
                </c:pt>
                <c:pt idx="304">
                  <c:v>#N/A</c:v>
                </c:pt>
                <c:pt idx="305">
                  <c:v>#N/A</c:v>
                </c:pt>
                <c:pt idx="306">
                  <c:v>#N/A</c:v>
                </c:pt>
                <c:pt idx="307">
                  <c:v>#N/A</c:v>
                </c:pt>
                <c:pt idx="308">
                  <c:v>#N/A</c:v>
                </c:pt>
                <c:pt idx="309">
                  <c:v>#N/A</c:v>
                </c:pt>
                <c:pt idx="310">
                  <c:v>5.9797095727092735</c:v>
                </c:pt>
                <c:pt idx="311">
                  <c:v>7.2962706799107746</c:v>
                </c:pt>
                <c:pt idx="312">
                  <c:v>6.9827374453879125</c:v>
                </c:pt>
                <c:pt idx="313">
                  <c:v>#N/A</c:v>
                </c:pt>
                <c:pt idx="314">
                  <c:v>6.2075436469382996</c:v>
                </c:pt>
                <c:pt idx="315">
                  <c:v>6.9863598463152465</c:v>
                </c:pt>
                <c:pt idx="316">
                  <c:v>#N/A</c:v>
                </c:pt>
                <c:pt idx="317">
                  <c:v>#N/A</c:v>
                </c:pt>
                <c:pt idx="318">
                  <c:v>#N/A</c:v>
                </c:pt>
                <c:pt idx="319">
                  <c:v>#N/A</c:v>
                </c:pt>
                <c:pt idx="320">
                  <c:v>7.4623273868895268</c:v>
                </c:pt>
                <c:pt idx="321">
                  <c:v>#N/A</c:v>
                </c:pt>
                <c:pt idx="322">
                  <c:v>#N/A</c:v>
                </c:pt>
                <c:pt idx="323">
                  <c:v>#N/A</c:v>
                </c:pt>
                <c:pt idx="324">
                  <c:v>5.2204334783289532</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5.1159289738244507</c:v>
                </c:pt>
                <c:pt idx="349">
                  <c:v>#N/A</c:v>
                </c:pt>
                <c:pt idx="350">
                  <c:v>6.2404024077149254</c:v>
                </c:pt>
                <c:pt idx="351">
                  <c:v>#N/A</c:v>
                </c:pt>
                <c:pt idx="352">
                  <c:v>#N/A</c:v>
                </c:pt>
                <c:pt idx="353">
                  <c:v>#N/A</c:v>
                </c:pt>
                <c:pt idx="354">
                  <c:v>#N/A</c:v>
                </c:pt>
                <c:pt idx="355">
                  <c:v>#N/A</c:v>
                </c:pt>
                <c:pt idx="356">
                  <c:v>#N/A</c:v>
                </c:pt>
                <c:pt idx="357">
                  <c:v>9.9619505082780151</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10.753201390245557</c:v>
                </c:pt>
                <c:pt idx="386">
                  <c:v>#N/A</c:v>
                </c:pt>
                <c:pt idx="387">
                  <c:v>#N/A</c:v>
                </c:pt>
                <c:pt idx="388">
                  <c:v>#N/A</c:v>
                </c:pt>
                <c:pt idx="389">
                  <c:v>#N/A</c:v>
                </c:pt>
                <c:pt idx="390">
                  <c:v>#N/A</c:v>
                </c:pt>
                <c:pt idx="391">
                  <c:v>10.356609145827225</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11.209925719023898</c:v>
                </c:pt>
                <c:pt idx="410">
                  <c:v>#N/A</c:v>
                </c:pt>
                <c:pt idx="411">
                  <c:v>#N/A</c:v>
                </c:pt>
                <c:pt idx="412">
                  <c:v>#N/A</c:v>
                </c:pt>
                <c:pt idx="413">
                  <c:v>#N/A</c:v>
                </c:pt>
                <c:pt idx="414">
                  <c:v>#N/A</c:v>
                </c:pt>
                <c:pt idx="415">
                  <c:v>11.634315658485921</c:v>
                </c:pt>
                <c:pt idx="416">
                  <c:v>#N/A</c:v>
                </c:pt>
                <c:pt idx="417">
                  <c:v>10.873859384721662</c:v>
                </c:pt>
                <c:pt idx="418">
                  <c:v>#N/A</c:v>
                </c:pt>
              </c:numCache>
            </c:numRef>
          </c:val>
          <c:smooth val="0"/>
          <c:extLst>
            <c:ext xmlns:c16="http://schemas.microsoft.com/office/drawing/2014/chart" uri="{C3380CC4-5D6E-409C-BE32-E72D297353CC}">
              <c16:uniqueId val="{00000002-8300-41F5-9645-509B7E2CCC2A}"/>
            </c:ext>
          </c:extLst>
        </c:ser>
        <c:dLbls>
          <c:showLegendKey val="0"/>
          <c:showVal val="0"/>
          <c:showCatName val="0"/>
          <c:showSerName val="0"/>
          <c:showPercent val="0"/>
          <c:showBubbleSize val="0"/>
        </c:dLbls>
        <c:smooth val="0"/>
        <c:axId val="1502977295"/>
        <c:axId val="1502980655"/>
      </c:lineChart>
      <c:catAx>
        <c:axId val="1502977295"/>
        <c:scaling>
          <c:orientation val="minMax"/>
        </c:scaling>
        <c:delete val="0"/>
        <c:axPos val="b"/>
        <c:majorGridlines>
          <c:spPr>
            <a:ln w="9525" cap="flat" cmpd="sng" algn="ctr">
              <a:solidFill>
                <a:schemeClr val="lt1">
                  <a:lumMod val="95000"/>
                  <a:alpha val="10000"/>
                </a:schemeClr>
              </a:solidFill>
              <a:round/>
            </a:ln>
            <a:effectLst/>
          </c:spPr>
        </c:majorGridlines>
        <c:majorTickMark val="none"/>
        <c:minorTickMark val="none"/>
        <c:tickLblPos val="nextTo"/>
        <c:spPr>
          <a:noFill/>
          <a:ln w="9525" cap="flat" cmpd="sng" algn="ctr">
            <a:solidFill>
              <a:srgbClr val="00FF00"/>
            </a:solidFill>
            <a:round/>
          </a:ln>
          <a:effectLst/>
        </c:spPr>
        <c:txPr>
          <a:bodyPr rot="-60000000" spcFirstLastPara="1" vertOverflow="ellipsis" vert="horz" wrap="square" anchor="ctr" anchorCtr="1"/>
          <a:lstStyle/>
          <a:p>
            <a:pPr>
              <a:defRPr sz="900" b="0" i="0" u="none" strike="noStrike" kern="1200" baseline="0">
                <a:solidFill>
                  <a:srgbClr val="00D600"/>
                </a:solidFill>
                <a:latin typeface="+mn-lt"/>
                <a:ea typeface="+mn-ea"/>
                <a:cs typeface="+mn-cs"/>
              </a:defRPr>
            </a:pPr>
            <a:endParaRPr lang="en-US"/>
          </a:p>
        </c:txPr>
        <c:crossAx val="1502980655"/>
        <c:crosses val="autoZero"/>
        <c:auto val="1"/>
        <c:lblAlgn val="ctr"/>
        <c:lblOffset val="0"/>
        <c:tickLblSkip val="100"/>
        <c:tickMarkSkip val="100"/>
        <c:noMultiLvlLbl val="0"/>
      </c:catAx>
      <c:valAx>
        <c:axId val="1502980655"/>
        <c:scaling>
          <c:orientation val="minMax"/>
          <c:max val="50"/>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50" b="1" i="0" u="none" strike="noStrike" kern="1200" cap="all" baseline="0">
                    <a:solidFill>
                      <a:srgbClr val="00D600"/>
                    </a:solidFill>
                    <a:latin typeface="+mn-lt"/>
                    <a:ea typeface="+mn-ea"/>
                    <a:cs typeface="+mn-cs"/>
                  </a:defRPr>
                </a:pPr>
                <a:r>
                  <a:rPr lang="en-US" sz="1050">
                    <a:solidFill>
                      <a:srgbClr val="00D600"/>
                    </a:solidFill>
                  </a:rPr>
                  <a:t>Strategy Risk Units</a:t>
                </a:r>
              </a:p>
            </c:rich>
          </c:tx>
          <c:layout>
            <c:manualLayout>
              <c:xMode val="edge"/>
              <c:yMode val="edge"/>
              <c:x val="0.96596736596736599"/>
              <c:y val="0.45511640467324266"/>
            </c:manualLayout>
          </c:layout>
          <c:overlay val="0"/>
          <c:spPr>
            <a:noFill/>
            <a:ln>
              <a:noFill/>
            </a:ln>
            <a:effectLst/>
          </c:spPr>
          <c:txPr>
            <a:bodyPr rot="-5400000" spcFirstLastPara="1" vertOverflow="ellipsis" vert="horz" wrap="square" anchor="ctr" anchorCtr="1"/>
            <a:lstStyle/>
            <a:p>
              <a:pPr>
                <a:defRPr sz="1050" b="1" i="0" u="none" strike="noStrike" kern="1200" cap="all" baseline="0">
                  <a:solidFill>
                    <a:srgbClr val="00D600"/>
                  </a:solidFill>
                  <a:latin typeface="+mn-lt"/>
                  <a:ea typeface="+mn-ea"/>
                  <a:cs typeface="+mn-cs"/>
                </a:defRPr>
              </a:pPr>
              <a:endParaRPr lang="en-US"/>
            </a:p>
          </c:txPr>
        </c:title>
        <c:numFmt formatCode="0" sourceLinked="0"/>
        <c:majorTickMark val="none"/>
        <c:minorTickMark val="none"/>
        <c:tickLblPos val="high"/>
        <c:spPr>
          <a:noFill/>
          <a:ln>
            <a:noFill/>
          </a:ln>
          <a:effectLst/>
        </c:spPr>
        <c:txPr>
          <a:bodyPr rot="-60000000" spcFirstLastPara="1" vertOverflow="ellipsis" vert="horz" wrap="square" anchor="ctr" anchorCtr="1"/>
          <a:lstStyle/>
          <a:p>
            <a:pPr>
              <a:defRPr sz="1200" b="1" i="0" u="none" strike="noStrike" kern="1200" baseline="0">
                <a:solidFill>
                  <a:srgbClr val="00D600"/>
                </a:solidFill>
                <a:latin typeface="+mn-lt"/>
                <a:ea typeface="+mn-ea"/>
                <a:cs typeface="+mn-cs"/>
              </a:defRPr>
            </a:pPr>
            <a:endParaRPr lang="en-US"/>
          </a:p>
        </c:txPr>
        <c:crossAx val="1502977295"/>
        <c:crosses val="autoZero"/>
        <c:crossBetween val="between"/>
      </c:valAx>
      <c:spPr>
        <a:noFill/>
        <a:ln>
          <a:noFill/>
        </a:ln>
        <a:effectLst/>
      </c:spPr>
    </c:plotArea>
    <c:legend>
      <c:legendPos val="t"/>
      <c:layout>
        <c:manualLayout>
          <c:xMode val="edge"/>
          <c:yMode val="edge"/>
          <c:x val="9.26215947144538E-3"/>
          <c:y val="1.5294920264930787E-2"/>
          <c:w val="0.2035445017648656"/>
          <c:h val="0.153730729507187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0"/>
    <c:dispBlanksAs val="span"/>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28575">
      <a:solidFill>
        <a:sysClr val="windowText" lastClr="000000"/>
      </a:solidFill>
    </a:ln>
    <a:effectLst/>
  </c:spPr>
  <c:txPr>
    <a:bodyPr/>
    <a:lstStyle/>
    <a:p>
      <a:pPr>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accent4">
                    <a:lumMod val="60000"/>
                    <a:lumOff val="40000"/>
                  </a:schemeClr>
                </a:solidFill>
                <a:effectLst>
                  <a:outerShdw blurRad="50800" dist="38100" dir="5400000" algn="t" rotWithShape="0">
                    <a:prstClr val="black">
                      <a:alpha val="40000"/>
                    </a:prstClr>
                  </a:outerShdw>
                </a:effectLst>
                <a:latin typeface="+mn-lt"/>
                <a:ea typeface="+mn-ea"/>
                <a:cs typeface="+mn-cs"/>
              </a:defRPr>
            </a:pPr>
            <a:r>
              <a:rPr lang="en-US">
                <a:solidFill>
                  <a:schemeClr val="accent4">
                    <a:lumMod val="60000"/>
                    <a:lumOff val="40000"/>
                  </a:schemeClr>
                </a:solidFill>
              </a:rPr>
              <a:t>The Strategy Risk Units</a:t>
            </a:r>
          </a:p>
          <a:p>
            <a:pPr>
              <a:defRPr>
                <a:solidFill>
                  <a:schemeClr val="accent4">
                    <a:lumMod val="60000"/>
                    <a:lumOff val="40000"/>
                  </a:schemeClr>
                </a:solidFill>
              </a:defRPr>
            </a:pPr>
            <a:r>
              <a:rPr lang="en-US" sz="1050" b="0">
                <a:solidFill>
                  <a:schemeClr val="accent4">
                    <a:lumMod val="60000"/>
                    <a:lumOff val="40000"/>
                  </a:schemeClr>
                </a:solidFill>
              </a:rPr>
              <a:t>NOT SPY Stocks</a:t>
            </a:r>
          </a:p>
        </c:rich>
      </c:tx>
      <c:layout>
        <c:manualLayout>
          <c:xMode val="edge"/>
          <c:yMode val="edge"/>
          <c:x val="0.33338457867591725"/>
          <c:y val="0"/>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accent4">
                  <a:lumMod val="60000"/>
                  <a:lumOff val="40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1.4890516307839144E-2"/>
          <c:y val="9.8339350180505422E-2"/>
          <c:w val="0.89048650037626398"/>
          <c:h val="0.85324123293252607"/>
        </c:manualLayout>
      </c:layout>
      <c:lineChart>
        <c:grouping val="standard"/>
        <c:varyColors val="0"/>
        <c:ser>
          <c:idx val="0"/>
          <c:order val="0"/>
          <c:tx>
            <c:v>Non S&amp;P 500 Stocks (All)</c:v>
          </c:tx>
          <c:spPr>
            <a:ln w="28575" cap="rnd">
              <a:solidFill>
                <a:schemeClr val="tx1"/>
              </a:solidFill>
              <a:round/>
            </a:ln>
            <a:effectLst>
              <a:outerShdw blurRad="50800" dist="38100" dir="2700000" algn="tl" rotWithShape="0">
                <a:srgbClr val="00B0F0">
                  <a:alpha val="40000"/>
                </a:srgbClr>
              </a:outerShdw>
            </a:effectLst>
          </c:spPr>
          <c:marker>
            <c:symbol val="none"/>
          </c:marker>
          <c:val>
            <c:numRef>
              <c:f>'2025-Q2'!$HB$4:$HB$422</c:f>
              <c:numCache>
                <c:formatCode>0.00</c:formatCode>
                <c:ptCount val="41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0.2019888129272854</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0.47785088189280223</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0.4286781409463718</c:v>
                </c:pt>
                <c:pt idx="145">
                  <c:v>#N/A</c:v>
                </c:pt>
                <c:pt idx="146">
                  <c:v>#N/A</c:v>
                </c:pt>
                <c:pt idx="147">
                  <c:v>#N/A</c:v>
                </c:pt>
                <c:pt idx="148">
                  <c:v>1.6029205651887961</c:v>
                </c:pt>
                <c:pt idx="149">
                  <c:v>#N/A</c:v>
                </c:pt>
                <c:pt idx="150">
                  <c:v>#N/A</c:v>
                </c:pt>
                <c:pt idx="151">
                  <c:v>#N/A</c:v>
                </c:pt>
                <c:pt idx="152">
                  <c:v>4.0231625893912168</c:v>
                </c:pt>
                <c:pt idx="153">
                  <c:v>#N/A</c:v>
                </c:pt>
                <c:pt idx="154">
                  <c:v>#N/A</c:v>
                </c:pt>
                <c:pt idx="155">
                  <c:v>#N/A</c:v>
                </c:pt>
                <c:pt idx="156">
                  <c:v>#N/A</c:v>
                </c:pt>
                <c:pt idx="157">
                  <c:v>4.5810426451792203</c:v>
                </c:pt>
                <c:pt idx="158">
                  <c:v>#N/A</c:v>
                </c:pt>
                <c:pt idx="159">
                  <c:v>2.3269848462876923</c:v>
                </c:pt>
                <c:pt idx="160">
                  <c:v>#N/A</c:v>
                </c:pt>
                <c:pt idx="161">
                  <c:v>#N/A</c:v>
                </c:pt>
                <c:pt idx="162">
                  <c:v>2.6539301709695486</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3.1866909852189167</c:v>
                </c:pt>
                <c:pt idx="180">
                  <c:v>#N/A</c:v>
                </c:pt>
                <c:pt idx="181">
                  <c:v>#N/A</c:v>
                </c:pt>
                <c:pt idx="182">
                  <c:v>#N/A</c:v>
                </c:pt>
                <c:pt idx="183">
                  <c:v>#N/A</c:v>
                </c:pt>
                <c:pt idx="184">
                  <c:v>#N/A</c:v>
                </c:pt>
                <c:pt idx="185">
                  <c:v>#N/A</c:v>
                </c:pt>
                <c:pt idx="186">
                  <c:v>3.0914110086724493</c:v>
                </c:pt>
                <c:pt idx="187">
                  <c:v>#N/A</c:v>
                </c:pt>
                <c:pt idx="188">
                  <c:v>#N/A</c:v>
                </c:pt>
                <c:pt idx="189">
                  <c:v>#N/A</c:v>
                </c:pt>
                <c:pt idx="190">
                  <c:v>3.7752500095548243</c:v>
                </c:pt>
                <c:pt idx="191">
                  <c:v>#N/A</c:v>
                </c:pt>
                <c:pt idx="192">
                  <c:v>#N/A</c:v>
                </c:pt>
                <c:pt idx="193">
                  <c:v>5.749210530344409</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5.3418382791183383</c:v>
                </c:pt>
                <c:pt idx="226">
                  <c:v>3.570909450958097</c:v>
                </c:pt>
                <c:pt idx="227">
                  <c:v>#N/A</c:v>
                </c:pt>
                <c:pt idx="228">
                  <c:v>#N/A</c:v>
                </c:pt>
                <c:pt idx="229">
                  <c:v>#N/A</c:v>
                </c:pt>
                <c:pt idx="230">
                  <c:v>4.2928837224204264</c:v>
                </c:pt>
                <c:pt idx="231">
                  <c:v>#N/A</c:v>
                </c:pt>
                <c:pt idx="232">
                  <c:v>#N/A</c:v>
                </c:pt>
                <c:pt idx="233">
                  <c:v>#N/A</c:v>
                </c:pt>
                <c:pt idx="234">
                  <c:v>#N/A</c:v>
                </c:pt>
                <c:pt idx="235">
                  <c:v>#N/A</c:v>
                </c:pt>
                <c:pt idx="236">
                  <c:v>6.1300077499710932</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5.9989031940877773</c:v>
                </c:pt>
                <c:pt idx="257">
                  <c:v>#N/A</c:v>
                </c:pt>
                <c:pt idx="258">
                  <c:v>#N/A</c:v>
                </c:pt>
                <c:pt idx="259">
                  <c:v>4.9397862258799003</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4.3355395577073228</c:v>
                </c:pt>
                <c:pt idx="275">
                  <c:v>#N/A</c:v>
                </c:pt>
                <c:pt idx="276">
                  <c:v>#N/A</c:v>
                </c:pt>
                <c:pt idx="277">
                  <c:v>#N/A</c:v>
                </c:pt>
                <c:pt idx="278">
                  <c:v>4.6706797337287718</c:v>
                </c:pt>
                <c:pt idx="279">
                  <c:v>4.7422104919548094</c:v>
                </c:pt>
                <c:pt idx="280">
                  <c:v>#N/A</c:v>
                </c:pt>
                <c:pt idx="281">
                  <c:v>#N/A</c:v>
                </c:pt>
                <c:pt idx="282">
                  <c:v>#N/A</c:v>
                </c:pt>
                <c:pt idx="283">
                  <c:v>3.4183708295075537</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2.8436581858293928</c:v>
                </c:pt>
                <c:pt idx="299">
                  <c:v>2.8436581858293928</c:v>
                </c:pt>
                <c:pt idx="300">
                  <c:v>#N/A</c:v>
                </c:pt>
                <c:pt idx="301">
                  <c:v>#N/A</c:v>
                </c:pt>
                <c:pt idx="302">
                  <c:v>#N/A</c:v>
                </c:pt>
                <c:pt idx="303">
                  <c:v>#N/A</c:v>
                </c:pt>
                <c:pt idx="304">
                  <c:v>#N/A</c:v>
                </c:pt>
                <c:pt idx="305">
                  <c:v>#N/A</c:v>
                </c:pt>
                <c:pt idx="306">
                  <c:v>5.0702009481923636</c:v>
                </c:pt>
                <c:pt idx="307">
                  <c:v>#N/A</c:v>
                </c:pt>
                <c:pt idx="308">
                  <c:v>5.4916084492458843</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5.8171950665131993</c:v>
                </c:pt>
                <c:pt idx="322">
                  <c:v>#N/A</c:v>
                </c:pt>
                <c:pt idx="323">
                  <c:v>4.1505283998465323</c:v>
                </c:pt>
                <c:pt idx="324">
                  <c:v>#N/A</c:v>
                </c:pt>
                <c:pt idx="325">
                  <c:v>#N/A</c:v>
                </c:pt>
                <c:pt idx="326">
                  <c:v>2.5572369952343696</c:v>
                </c:pt>
                <c:pt idx="327">
                  <c:v>#N/A</c:v>
                </c:pt>
                <c:pt idx="328">
                  <c:v>1.7809728813413903</c:v>
                </c:pt>
                <c:pt idx="329">
                  <c:v>2.349531978286945</c:v>
                </c:pt>
                <c:pt idx="330">
                  <c:v>3.1892266347754941</c:v>
                </c:pt>
                <c:pt idx="331">
                  <c:v>3.528891586628812</c:v>
                </c:pt>
                <c:pt idx="332">
                  <c:v>#N/A</c:v>
                </c:pt>
                <c:pt idx="333">
                  <c:v>#N/A</c:v>
                </c:pt>
                <c:pt idx="334">
                  <c:v>3.7426795933855699</c:v>
                </c:pt>
                <c:pt idx="335">
                  <c:v>#N/A</c:v>
                </c:pt>
                <c:pt idx="336">
                  <c:v>#N/A</c:v>
                </c:pt>
                <c:pt idx="337">
                  <c:v>5.7849215394736717</c:v>
                </c:pt>
                <c:pt idx="338">
                  <c:v>#N/A</c:v>
                </c:pt>
                <c:pt idx="339">
                  <c:v>#N/A</c:v>
                </c:pt>
                <c:pt idx="340">
                  <c:v>2.9391844422395681</c:v>
                </c:pt>
                <c:pt idx="341">
                  <c:v>2.8384411198881665</c:v>
                </c:pt>
                <c:pt idx="342">
                  <c:v>3.2680447129364016</c:v>
                </c:pt>
                <c:pt idx="343">
                  <c:v>#N/A</c:v>
                </c:pt>
                <c:pt idx="344">
                  <c:v>2.3553216985394876</c:v>
                </c:pt>
                <c:pt idx="345">
                  <c:v>#N/A</c:v>
                </c:pt>
                <c:pt idx="346">
                  <c:v>1.9765700639271699</c:v>
                </c:pt>
                <c:pt idx="347">
                  <c:v>#N/A</c:v>
                </c:pt>
                <c:pt idx="348">
                  <c:v>#N/A</c:v>
                </c:pt>
                <c:pt idx="349">
                  <c:v>#N/A</c:v>
                </c:pt>
                <c:pt idx="350">
                  <c:v>#N/A</c:v>
                </c:pt>
                <c:pt idx="351">
                  <c:v>1.647369464275616</c:v>
                </c:pt>
                <c:pt idx="352">
                  <c:v>#N/A</c:v>
                </c:pt>
                <c:pt idx="353">
                  <c:v>#N/A</c:v>
                </c:pt>
                <c:pt idx="354">
                  <c:v>2.0133269110841252</c:v>
                </c:pt>
                <c:pt idx="355">
                  <c:v>#N/A</c:v>
                </c:pt>
                <c:pt idx="356">
                  <c:v>#N/A</c:v>
                </c:pt>
                <c:pt idx="357">
                  <c:v>#N/A</c:v>
                </c:pt>
                <c:pt idx="358">
                  <c:v>#N/A</c:v>
                </c:pt>
                <c:pt idx="359">
                  <c:v>#N/A</c:v>
                </c:pt>
                <c:pt idx="360">
                  <c:v>#N/A</c:v>
                </c:pt>
                <c:pt idx="361">
                  <c:v>#N/A</c:v>
                </c:pt>
                <c:pt idx="362">
                  <c:v>3.8204281299500495</c:v>
                </c:pt>
                <c:pt idx="363">
                  <c:v>1.649113388914194</c:v>
                </c:pt>
                <c:pt idx="364">
                  <c:v>1.3654620222303357</c:v>
                </c:pt>
                <c:pt idx="365">
                  <c:v>0.72869568778958027</c:v>
                </c:pt>
                <c:pt idx="366">
                  <c:v>-5.0457696394949263</c:v>
                </c:pt>
                <c:pt idx="367">
                  <c:v>-6.0339837748793075</c:v>
                </c:pt>
                <c:pt idx="368">
                  <c:v>-2.6509266846398947</c:v>
                </c:pt>
                <c:pt idx="369">
                  <c:v>#N/A</c:v>
                </c:pt>
                <c:pt idx="370">
                  <c:v>-2.3719866567458912</c:v>
                </c:pt>
                <c:pt idx="371">
                  <c:v>#N/A</c:v>
                </c:pt>
                <c:pt idx="372">
                  <c:v>#N/A</c:v>
                </c:pt>
                <c:pt idx="373">
                  <c:v>#N/A</c:v>
                </c:pt>
                <c:pt idx="374">
                  <c:v>0.21272229199433523</c:v>
                </c:pt>
                <c:pt idx="375">
                  <c:v>#N/A</c:v>
                </c:pt>
                <c:pt idx="376">
                  <c:v>-0.86332655336898312</c:v>
                </c:pt>
                <c:pt idx="377">
                  <c:v>1.5603731068866062</c:v>
                </c:pt>
                <c:pt idx="378">
                  <c:v>-0.74432101275413332</c:v>
                </c:pt>
                <c:pt idx="379">
                  <c:v>#N/A</c:v>
                </c:pt>
                <c:pt idx="380">
                  <c:v>#N/A</c:v>
                </c:pt>
                <c:pt idx="381">
                  <c:v>0.44390984352651475</c:v>
                </c:pt>
                <c:pt idx="382">
                  <c:v>1.9942974404257363</c:v>
                </c:pt>
                <c:pt idx="383">
                  <c:v>4.4672495269790584</c:v>
                </c:pt>
                <c:pt idx="384">
                  <c:v>#N/A</c:v>
                </c:pt>
                <c:pt idx="385">
                  <c:v>#N/A</c:v>
                </c:pt>
                <c:pt idx="386">
                  <c:v>1.895624332296165</c:v>
                </c:pt>
                <c:pt idx="387">
                  <c:v>2.6735038804357543</c:v>
                </c:pt>
                <c:pt idx="388">
                  <c:v>-0.35571496273657743</c:v>
                </c:pt>
                <c:pt idx="389">
                  <c:v>#N/A</c:v>
                </c:pt>
                <c:pt idx="390">
                  <c:v>#N/A</c:v>
                </c:pt>
                <c:pt idx="391">
                  <c:v>#N/A</c:v>
                </c:pt>
                <c:pt idx="392">
                  <c:v>#N/A</c:v>
                </c:pt>
                <c:pt idx="393">
                  <c:v>-1.1211426491792738</c:v>
                </c:pt>
                <c:pt idx="394">
                  <c:v>0.2152747242465789</c:v>
                </c:pt>
                <c:pt idx="395">
                  <c:v>-1.802269135402544</c:v>
                </c:pt>
                <c:pt idx="396">
                  <c:v>#N/A</c:v>
                </c:pt>
                <c:pt idx="397">
                  <c:v>#N/A</c:v>
                </c:pt>
                <c:pt idx="398">
                  <c:v>0.42771474423206013</c:v>
                </c:pt>
                <c:pt idx="399">
                  <c:v>#N/A</c:v>
                </c:pt>
                <c:pt idx="400">
                  <c:v>0.22416483379402072</c:v>
                </c:pt>
                <c:pt idx="401">
                  <c:v>-1.1725054089842211</c:v>
                </c:pt>
                <c:pt idx="402">
                  <c:v>-4.0645039737492024</c:v>
                </c:pt>
                <c:pt idx="403">
                  <c:v>#N/A</c:v>
                </c:pt>
                <c:pt idx="404">
                  <c:v>-1.9121672485790437</c:v>
                </c:pt>
                <c:pt idx="405">
                  <c:v>-2.4796148579953008</c:v>
                </c:pt>
                <c:pt idx="406">
                  <c:v>-4.7231385300904041</c:v>
                </c:pt>
                <c:pt idx="407">
                  <c:v>-6.2300177613636087</c:v>
                </c:pt>
                <c:pt idx="408">
                  <c:v>#N/A</c:v>
                </c:pt>
                <c:pt idx="409">
                  <c:v>#N/A</c:v>
                </c:pt>
                <c:pt idx="410">
                  <c:v>#N/A</c:v>
                </c:pt>
                <c:pt idx="411">
                  <c:v>#N/A</c:v>
                </c:pt>
                <c:pt idx="412">
                  <c:v>#N/A</c:v>
                </c:pt>
                <c:pt idx="413">
                  <c:v>-6.1764649922935986</c:v>
                </c:pt>
                <c:pt idx="414">
                  <c:v>#N/A</c:v>
                </c:pt>
                <c:pt idx="415">
                  <c:v>#N/A</c:v>
                </c:pt>
                <c:pt idx="416">
                  <c:v>#N/A</c:v>
                </c:pt>
                <c:pt idx="417">
                  <c:v>#N/A</c:v>
                </c:pt>
                <c:pt idx="418">
                  <c:v>#N/A</c:v>
                </c:pt>
              </c:numCache>
            </c:numRef>
          </c:val>
          <c:smooth val="0"/>
          <c:extLst>
            <c:ext xmlns:c16="http://schemas.microsoft.com/office/drawing/2014/chart" uri="{C3380CC4-5D6E-409C-BE32-E72D297353CC}">
              <c16:uniqueId val="{00000000-96AA-4173-BAE2-855423367C69}"/>
            </c:ext>
          </c:extLst>
        </c:ser>
        <c:ser>
          <c:idx val="1"/>
          <c:order val="1"/>
          <c:tx>
            <c:v>Up Trends</c:v>
          </c:tx>
          <c:spPr>
            <a:ln w="12700" cap="rnd">
              <a:solidFill>
                <a:srgbClr val="00FF00"/>
              </a:solidFill>
              <a:round/>
            </a:ln>
            <a:effectLst/>
          </c:spPr>
          <c:marker>
            <c:symbol val="none"/>
          </c:marker>
          <c:val>
            <c:numRef>
              <c:f>'2025-Q2'!$HD$4:$HD$422</c:f>
              <c:numCache>
                <c:formatCode>0.00</c:formatCode>
                <c:ptCount val="41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0.56855909694555473</c:v>
                </c:pt>
                <c:pt idx="330">
                  <c:v>#N/A</c:v>
                </c:pt>
                <c:pt idx="331">
                  <c:v>#N/A</c:v>
                </c:pt>
                <c:pt idx="332">
                  <c:v>#N/A</c:v>
                </c:pt>
                <c:pt idx="333">
                  <c:v>#N/A</c:v>
                </c:pt>
                <c:pt idx="334">
                  <c:v>0.78234710370231253</c:v>
                </c:pt>
                <c:pt idx="335">
                  <c:v>#N/A</c:v>
                </c:pt>
                <c:pt idx="336">
                  <c:v>#N/A</c:v>
                </c:pt>
                <c:pt idx="337">
                  <c:v>#N/A</c:v>
                </c:pt>
                <c:pt idx="338">
                  <c:v>#N/A</c:v>
                </c:pt>
                <c:pt idx="339">
                  <c:v>#N/A</c:v>
                </c:pt>
                <c:pt idx="340">
                  <c:v>#N/A</c:v>
                </c:pt>
                <c:pt idx="341">
                  <c:v>0.68160378135091115</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1.0475612281594202</c:v>
                </c:pt>
                <c:pt idx="355">
                  <c:v>#N/A</c:v>
                </c:pt>
                <c:pt idx="356">
                  <c:v>#N/A</c:v>
                </c:pt>
                <c:pt idx="357">
                  <c:v>#N/A</c:v>
                </c:pt>
                <c:pt idx="358">
                  <c:v>#N/A</c:v>
                </c:pt>
                <c:pt idx="359">
                  <c:v>#N/A</c:v>
                </c:pt>
                <c:pt idx="360">
                  <c:v>#N/A</c:v>
                </c:pt>
                <c:pt idx="361">
                  <c:v>#N/A</c:v>
                </c:pt>
                <c:pt idx="362">
                  <c:v>#N/A</c:v>
                </c:pt>
                <c:pt idx="363">
                  <c:v>-1.1237535128764353</c:v>
                </c:pt>
                <c:pt idx="364">
                  <c:v>#N/A</c:v>
                </c:pt>
                <c:pt idx="365">
                  <c:v>#N/A</c:v>
                </c:pt>
                <c:pt idx="366">
                  <c:v>#N/A</c:v>
                </c:pt>
                <c:pt idx="367">
                  <c:v>#N/A</c:v>
                </c:pt>
                <c:pt idx="368">
                  <c:v>#N/A</c:v>
                </c:pt>
                <c:pt idx="369">
                  <c:v>#N/A</c:v>
                </c:pt>
                <c:pt idx="370">
                  <c:v>-0.84481348498243181</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-6.6933936842842656E-2</c:v>
                </c:pt>
                <c:pt idx="388">
                  <c:v>-3.0961527800151742</c:v>
                </c:pt>
                <c:pt idx="389">
                  <c:v>#N/A</c:v>
                </c:pt>
                <c:pt idx="390">
                  <c:v>#N/A</c:v>
                </c:pt>
                <c:pt idx="391">
                  <c:v>#N/A</c:v>
                </c:pt>
                <c:pt idx="392">
                  <c:v>#N/A</c:v>
                </c:pt>
                <c:pt idx="393">
                  <c:v>#N/A</c:v>
                </c:pt>
                <c:pt idx="394">
                  <c:v>#N/A</c:v>
                </c:pt>
                <c:pt idx="395">
                  <c:v>#N/A</c:v>
                </c:pt>
                <c:pt idx="396">
                  <c:v>#N/A</c:v>
                </c:pt>
                <c:pt idx="397">
                  <c:v>#N/A</c:v>
                </c:pt>
                <c:pt idx="398">
                  <c:v>-0.86616890038057015</c:v>
                </c:pt>
                <c:pt idx="399">
                  <c:v>#N/A</c:v>
                </c:pt>
                <c:pt idx="400">
                  <c:v>#N/A</c:v>
                </c:pt>
                <c:pt idx="401">
                  <c:v>#N/A</c:v>
                </c:pt>
                <c:pt idx="402">
                  <c:v>#N/A</c:v>
                </c:pt>
                <c:pt idx="403">
                  <c:v>#N/A</c:v>
                </c:pt>
                <c:pt idx="404">
                  <c:v>#N/A</c:v>
                </c:pt>
                <c:pt idx="405">
                  <c:v>-1.4336165097968272</c:v>
                </c:pt>
                <c:pt idx="406">
                  <c:v>#N/A</c:v>
                </c:pt>
                <c:pt idx="407">
                  <c:v>-2.9404957410700314</c:v>
                </c:pt>
                <c:pt idx="408">
                  <c:v>#N/A</c:v>
                </c:pt>
                <c:pt idx="409">
                  <c:v>#N/A</c:v>
                </c:pt>
                <c:pt idx="410">
                  <c:v>#N/A</c:v>
                </c:pt>
                <c:pt idx="411">
                  <c:v>#N/A</c:v>
                </c:pt>
                <c:pt idx="412">
                  <c:v>#N/A</c:v>
                </c:pt>
                <c:pt idx="413">
                  <c:v>#N/A</c:v>
                </c:pt>
                <c:pt idx="414">
                  <c:v>#N/A</c:v>
                </c:pt>
                <c:pt idx="415">
                  <c:v>#N/A</c:v>
                </c:pt>
                <c:pt idx="416">
                  <c:v>#N/A</c:v>
                </c:pt>
                <c:pt idx="417">
                  <c:v>#N/A</c:v>
                </c:pt>
                <c:pt idx="418">
                  <c:v>#N/A</c:v>
                </c:pt>
              </c:numCache>
            </c:numRef>
          </c:val>
          <c:smooth val="0"/>
          <c:extLst>
            <c:ext xmlns:c16="http://schemas.microsoft.com/office/drawing/2014/chart" uri="{C3380CC4-5D6E-409C-BE32-E72D297353CC}">
              <c16:uniqueId val="{00000000-57DE-4ED1-8F1D-0835CBEB4A25}"/>
            </c:ext>
          </c:extLst>
        </c:ser>
        <c:ser>
          <c:idx val="2"/>
          <c:order val="2"/>
          <c:tx>
            <c:v>Sideways</c:v>
          </c:tx>
          <c:spPr>
            <a:ln w="12700" cap="rnd">
              <a:solidFill>
                <a:srgbClr val="00B0F0"/>
              </a:solidFill>
              <a:round/>
            </a:ln>
            <a:effectLst/>
          </c:spPr>
          <c:marker>
            <c:symbol val="none"/>
          </c:marker>
          <c:val>
            <c:numRef>
              <c:f>'2025-Q2'!$HF$4:$HF$422</c:f>
              <c:numCache>
                <c:formatCode>0.00</c:formatCode>
                <c:ptCount val="41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0.2019888129272854</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1.3762312371697096</c:v>
                </c:pt>
                <c:pt idx="149">
                  <c:v>#N/A</c:v>
                </c:pt>
                <c:pt idx="150">
                  <c:v>#N/A</c:v>
                </c:pt>
                <c:pt idx="151">
                  <c:v>#N/A</c:v>
                </c:pt>
                <c:pt idx="152">
                  <c:v>#N/A</c:v>
                </c:pt>
                <c:pt idx="153">
                  <c:v>#N/A</c:v>
                </c:pt>
                <c:pt idx="154">
                  <c:v>#N/A</c:v>
                </c:pt>
                <c:pt idx="155">
                  <c:v>#N/A</c:v>
                </c:pt>
                <c:pt idx="156">
                  <c:v>#N/A</c:v>
                </c:pt>
                <c:pt idx="157">
                  <c:v>1.9341112929577133</c:v>
                </c:pt>
                <c:pt idx="158">
                  <c:v>#N/A</c:v>
                </c:pt>
                <c:pt idx="159">
                  <c:v>-0.31994650593381468</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0.36389249494856013</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-1.4070363332116811</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-1.5381408890949975</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-1.5381408890949975</c:v>
                </c:pt>
                <c:pt idx="300">
                  <c:v>#N/A</c:v>
                </c:pt>
                <c:pt idx="301">
                  <c:v>#N/A</c:v>
                </c:pt>
                <c:pt idx="302">
                  <c:v>#N/A</c:v>
                </c:pt>
                <c:pt idx="303">
                  <c:v>#N/A</c:v>
                </c:pt>
                <c:pt idx="304">
                  <c:v>#N/A</c:v>
                </c:pt>
                <c:pt idx="305">
                  <c:v>#N/A</c:v>
                </c:pt>
                <c:pt idx="306">
                  <c:v>0.68840187326797286</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1.0139884905352883</c:v>
                </c:pt>
                <c:pt idx="322">
                  <c:v>#N/A</c:v>
                </c:pt>
                <c:pt idx="323">
                  <c:v>-0.65267817613137846</c:v>
                </c:pt>
                <c:pt idx="324">
                  <c:v>#N/A</c:v>
                </c:pt>
                <c:pt idx="325">
                  <c:v>#N/A</c:v>
                </c:pt>
                <c:pt idx="326">
                  <c:v>#N/A</c:v>
                </c:pt>
                <c:pt idx="327">
                  <c:v>#N/A</c:v>
                </c:pt>
                <c:pt idx="328">
                  <c:v>-1.4289422900243578</c:v>
                </c:pt>
                <c:pt idx="329">
                  <c:v>#N/A</c:v>
                </c:pt>
                <c:pt idx="330">
                  <c:v>#N/A</c:v>
                </c:pt>
                <c:pt idx="331">
                  <c:v>-1.0892773381710399</c:v>
                </c:pt>
                <c:pt idx="332">
                  <c:v>#N/A</c:v>
                </c:pt>
                <c:pt idx="333">
                  <c:v>#N/A</c:v>
                </c:pt>
                <c:pt idx="334">
                  <c:v>#N/A</c:v>
                </c:pt>
                <c:pt idx="335">
                  <c:v>#N/A</c:v>
                </c:pt>
                <c:pt idx="336">
                  <c:v>#N/A</c:v>
                </c:pt>
                <c:pt idx="337">
                  <c:v>#N/A</c:v>
                </c:pt>
                <c:pt idx="338">
                  <c:v>#N/A</c:v>
                </c:pt>
                <c:pt idx="339">
                  <c:v>#N/A</c:v>
                </c:pt>
                <c:pt idx="340">
                  <c:v>-3.9350144354051437</c:v>
                </c:pt>
                <c:pt idx="341">
                  <c:v>#N/A</c:v>
                </c:pt>
                <c:pt idx="342">
                  <c:v>#N/A</c:v>
                </c:pt>
                <c:pt idx="343">
                  <c:v>#N/A</c:v>
                </c:pt>
                <c:pt idx="344">
                  <c:v>-4.8477374498020573</c:v>
                </c:pt>
                <c:pt idx="345">
                  <c:v>#N/A</c:v>
                </c:pt>
                <c:pt idx="346">
                  <c:v>#N/A</c:v>
                </c:pt>
                <c:pt idx="347">
                  <c:v>#N/A</c:v>
                </c:pt>
                <c:pt idx="348">
                  <c:v>#N/A</c:v>
                </c:pt>
                <c:pt idx="349">
                  <c:v>#N/A</c:v>
                </c:pt>
                <c:pt idx="350">
                  <c:v>#N/A</c:v>
                </c:pt>
                <c:pt idx="351">
                  <c:v>-5.1769380494536108</c:v>
                </c:pt>
                <c:pt idx="352">
                  <c:v>#N/A</c:v>
                </c:pt>
                <c:pt idx="353">
                  <c:v>#N/A</c:v>
                </c:pt>
                <c:pt idx="354">
                  <c:v>#N/A</c:v>
                </c:pt>
                <c:pt idx="355">
                  <c:v>#N/A</c:v>
                </c:pt>
                <c:pt idx="356">
                  <c:v>#N/A</c:v>
                </c:pt>
                <c:pt idx="357">
                  <c:v>#N/A</c:v>
                </c:pt>
                <c:pt idx="358">
                  <c:v>#N/A</c:v>
                </c:pt>
                <c:pt idx="359">
                  <c:v>#N/A</c:v>
                </c:pt>
                <c:pt idx="360">
                  <c:v>#N/A</c:v>
                </c:pt>
                <c:pt idx="361">
                  <c:v>#N/A</c:v>
                </c:pt>
                <c:pt idx="362">
                  <c:v>-3.369836830587686</c:v>
                </c:pt>
                <c:pt idx="363">
                  <c:v>#N/A</c:v>
                </c:pt>
                <c:pt idx="364">
                  <c:v>-3.6534881972715443</c:v>
                </c:pt>
                <c:pt idx="365">
                  <c:v>#N/A</c:v>
                </c:pt>
                <c:pt idx="366">
                  <c:v>#N/A</c:v>
                </c:pt>
                <c:pt idx="367">
                  <c:v>#N/A</c:v>
                </c:pt>
                <c:pt idx="368">
                  <c:v>-0.27043110703213147</c:v>
                </c:pt>
                <c:pt idx="369">
                  <c:v>#N/A</c:v>
                </c:pt>
                <c:pt idx="370">
                  <c:v>#N/A</c:v>
                </c:pt>
                <c:pt idx="371">
                  <c:v>#N/A</c:v>
                </c:pt>
                <c:pt idx="372">
                  <c:v>#N/A</c:v>
                </c:pt>
                <c:pt idx="373">
                  <c:v>#N/A</c:v>
                </c:pt>
                <c:pt idx="374">
                  <c:v>2.3142778417080949</c:v>
                </c:pt>
                <c:pt idx="375">
                  <c:v>#N/A</c:v>
                </c:pt>
                <c:pt idx="376">
                  <c:v>1.2382289963447766</c:v>
                </c:pt>
                <c:pt idx="377">
                  <c:v>3.6619286566003657</c:v>
                </c:pt>
                <c:pt idx="378">
                  <c:v>1.3572345369596261</c:v>
                </c:pt>
                <c:pt idx="379">
                  <c:v>#N/A</c:v>
                </c:pt>
                <c:pt idx="380">
                  <c:v>#N/A</c:v>
                </c:pt>
                <c:pt idx="381">
                  <c:v>2.5454653932402742</c:v>
                </c:pt>
                <c:pt idx="382">
                  <c:v>#N/A</c:v>
                </c:pt>
                <c:pt idx="383">
                  <c:v>5.0184174797935963</c:v>
                </c:pt>
                <c:pt idx="384">
                  <c:v>#N/A</c:v>
                </c:pt>
                <c:pt idx="385">
                  <c:v>#N/A</c:v>
                </c:pt>
                <c:pt idx="386">
                  <c:v>2.4467922851107029</c:v>
                </c:pt>
                <c:pt idx="387">
                  <c:v>#N/A</c:v>
                </c:pt>
                <c:pt idx="388">
                  <c:v>#N/A</c:v>
                </c:pt>
                <c:pt idx="389">
                  <c:v>#N/A</c:v>
                </c:pt>
                <c:pt idx="390">
                  <c:v>#N/A</c:v>
                </c:pt>
                <c:pt idx="391">
                  <c:v>#N/A</c:v>
                </c:pt>
                <c:pt idx="392">
                  <c:v>#N/A</c:v>
                </c:pt>
                <c:pt idx="393">
                  <c:v>1.6813645986680066</c:v>
                </c:pt>
                <c:pt idx="394">
                  <c:v>3.017781972093859</c:v>
                </c:pt>
                <c:pt idx="395">
                  <c:v>1.0002381124447361</c:v>
                </c:pt>
                <c:pt idx="396">
                  <c:v>#N/A</c:v>
                </c:pt>
                <c:pt idx="397">
                  <c:v>#N/A</c:v>
                </c:pt>
                <c:pt idx="398">
                  <c:v>#N/A</c:v>
                </c:pt>
                <c:pt idx="399">
                  <c:v>#N/A</c:v>
                </c:pt>
                <c:pt idx="400">
                  <c:v>#N/A</c:v>
                </c:pt>
                <c:pt idx="401">
                  <c:v>-0.39643213033350566</c:v>
                </c:pt>
                <c:pt idx="402">
                  <c:v>-3.2884306950984867</c:v>
                </c:pt>
                <c:pt idx="403">
                  <c:v>#N/A</c:v>
                </c:pt>
                <c:pt idx="404">
                  <c:v>-1.1360939699283281</c:v>
                </c:pt>
                <c:pt idx="405">
                  <c:v>#N/A</c:v>
                </c:pt>
                <c:pt idx="406">
                  <c:v>-3.3796176420234314</c:v>
                </c:pt>
                <c:pt idx="407">
                  <c:v>#N/A</c:v>
                </c:pt>
                <c:pt idx="408">
                  <c:v>#N/A</c:v>
                </c:pt>
                <c:pt idx="409">
                  <c:v>#N/A</c:v>
                </c:pt>
                <c:pt idx="410">
                  <c:v>#N/A</c:v>
                </c:pt>
                <c:pt idx="411">
                  <c:v>#N/A</c:v>
                </c:pt>
                <c:pt idx="412">
                  <c:v>#N/A</c:v>
                </c:pt>
                <c:pt idx="413">
                  <c:v>-3.3260648729534212</c:v>
                </c:pt>
                <c:pt idx="414">
                  <c:v>#N/A</c:v>
                </c:pt>
                <c:pt idx="415">
                  <c:v>#N/A</c:v>
                </c:pt>
                <c:pt idx="416">
                  <c:v>#N/A</c:v>
                </c:pt>
                <c:pt idx="417">
                  <c:v>#N/A</c:v>
                </c:pt>
                <c:pt idx="418">
                  <c:v>#N/A</c:v>
                </c:pt>
              </c:numCache>
            </c:numRef>
          </c:val>
          <c:smooth val="0"/>
          <c:extLst>
            <c:ext xmlns:c16="http://schemas.microsoft.com/office/drawing/2014/chart" uri="{C3380CC4-5D6E-409C-BE32-E72D297353CC}">
              <c16:uniqueId val="{00000001-57DE-4ED1-8F1D-0835CBEB4A25}"/>
            </c:ext>
          </c:extLst>
        </c:ser>
        <c:ser>
          <c:idx val="3"/>
          <c:order val="3"/>
          <c:tx>
            <c:v>Down Trends</c:v>
          </c:tx>
          <c:spPr>
            <a:ln w="12700" cap="rnd">
              <a:solidFill>
                <a:srgbClr val="FFC000"/>
              </a:solidFill>
              <a:round/>
            </a:ln>
            <a:effectLst/>
          </c:spPr>
          <c:marker>
            <c:symbol val="none"/>
          </c:marker>
          <c:val>
            <c:numRef>
              <c:f>'2025-Q2'!$HH$4:$HH$422</c:f>
              <c:numCache>
                <c:formatCode>0.00</c:formatCode>
                <c:ptCount val="41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0.27586206896551685</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0.22668932801908645</c:v>
                </c:pt>
                <c:pt idx="145">
                  <c:v>#N/A</c:v>
                </c:pt>
                <c:pt idx="146">
                  <c:v>#N/A</c:v>
                </c:pt>
                <c:pt idx="147">
                  <c:v>#N/A</c:v>
                </c:pt>
                <c:pt idx="148">
                  <c:v>#N/A</c:v>
                </c:pt>
                <c:pt idx="149">
                  <c:v>#N/A</c:v>
                </c:pt>
                <c:pt idx="150">
                  <c:v>#N/A</c:v>
                </c:pt>
                <c:pt idx="151">
                  <c:v>#N/A</c:v>
                </c:pt>
                <c:pt idx="152">
                  <c:v>2.6469313522215074</c:v>
                </c:pt>
                <c:pt idx="153">
                  <c:v>#N/A</c:v>
                </c:pt>
                <c:pt idx="154">
                  <c:v>#N/A</c:v>
                </c:pt>
                <c:pt idx="155">
                  <c:v>#N/A</c:v>
                </c:pt>
                <c:pt idx="156">
                  <c:v>#N/A</c:v>
                </c:pt>
                <c:pt idx="157">
                  <c:v>#N/A</c:v>
                </c:pt>
                <c:pt idx="158">
                  <c:v>#N/A</c:v>
                </c:pt>
                <c:pt idx="159">
                  <c:v>#N/A</c:v>
                </c:pt>
                <c:pt idx="160">
                  <c:v>#N/A</c:v>
                </c:pt>
                <c:pt idx="161">
                  <c:v>#N/A</c:v>
                </c:pt>
                <c:pt idx="162">
                  <c:v>2.9738766769033638</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3.5066374911527318</c:v>
                </c:pt>
                <c:pt idx="180">
                  <c:v>#N/A</c:v>
                </c:pt>
                <c:pt idx="181">
                  <c:v>#N/A</c:v>
                </c:pt>
                <c:pt idx="182">
                  <c:v>#N/A</c:v>
                </c:pt>
                <c:pt idx="183">
                  <c:v>#N/A</c:v>
                </c:pt>
                <c:pt idx="184">
                  <c:v>#N/A</c:v>
                </c:pt>
                <c:pt idx="185">
                  <c:v>#N/A</c:v>
                </c:pt>
                <c:pt idx="186">
                  <c:v>3.4113575146062645</c:v>
                </c:pt>
                <c:pt idx="187">
                  <c:v>#N/A</c:v>
                </c:pt>
                <c:pt idx="188">
                  <c:v>#N/A</c:v>
                </c:pt>
                <c:pt idx="189">
                  <c:v>#N/A</c:v>
                </c:pt>
                <c:pt idx="190">
                  <c:v>#N/A</c:v>
                </c:pt>
                <c:pt idx="191">
                  <c:v>#N/A</c:v>
                </c:pt>
                <c:pt idx="192">
                  <c:v>#N/A</c:v>
                </c:pt>
                <c:pt idx="193">
                  <c:v>5.3853180353958496</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4.977945784169779</c:v>
                </c:pt>
                <c:pt idx="226">
                  <c:v>#N/A</c:v>
                </c:pt>
                <c:pt idx="227">
                  <c:v>#N/A</c:v>
                </c:pt>
                <c:pt idx="228">
                  <c:v>#N/A</c:v>
                </c:pt>
                <c:pt idx="229">
                  <c:v>#N/A</c:v>
                </c:pt>
                <c:pt idx="230">
                  <c:v>5.6999200556321084</c:v>
                </c:pt>
                <c:pt idx="231">
                  <c:v>#N/A</c:v>
                </c:pt>
                <c:pt idx="232">
                  <c:v>#N/A</c:v>
                </c:pt>
                <c:pt idx="233">
                  <c:v>#N/A</c:v>
                </c:pt>
                <c:pt idx="234">
                  <c:v>#N/A</c:v>
                </c:pt>
                <c:pt idx="235">
                  <c:v>#N/A</c:v>
                </c:pt>
                <c:pt idx="236">
                  <c:v>7.5370440831827752</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6.4779271149748983</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5.8736804468023207</c:v>
                </c:pt>
                <c:pt idx="275">
                  <c:v>#N/A</c:v>
                </c:pt>
                <c:pt idx="276">
                  <c:v>#N/A</c:v>
                </c:pt>
                <c:pt idx="277">
                  <c:v>#N/A</c:v>
                </c:pt>
                <c:pt idx="278">
                  <c:v>6.2088206228237697</c:v>
                </c:pt>
                <c:pt idx="279">
                  <c:v>6.2803513810498073</c:v>
                </c:pt>
                <c:pt idx="280">
                  <c:v>#N/A</c:v>
                </c:pt>
                <c:pt idx="281">
                  <c:v>#N/A</c:v>
                </c:pt>
                <c:pt idx="282">
                  <c:v>#N/A</c:v>
                </c:pt>
                <c:pt idx="283">
                  <c:v>4.9565117186025516</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4.3817990749243902</c:v>
                </c:pt>
                <c:pt idx="299">
                  <c:v>#N/A</c:v>
                </c:pt>
                <c:pt idx="300">
                  <c:v>#N/A</c:v>
                </c:pt>
                <c:pt idx="301">
                  <c:v>#N/A</c:v>
                </c:pt>
                <c:pt idx="302">
                  <c:v>#N/A</c:v>
                </c:pt>
                <c:pt idx="303">
                  <c:v>#N/A</c:v>
                </c:pt>
                <c:pt idx="304">
                  <c:v>#N/A</c:v>
                </c:pt>
                <c:pt idx="305">
                  <c:v>#N/A</c:v>
                </c:pt>
                <c:pt idx="306">
                  <c:v>#N/A</c:v>
                </c:pt>
                <c:pt idx="307">
                  <c:v>#N/A</c:v>
                </c:pt>
                <c:pt idx="308">
                  <c:v>4.803206575977911</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3.2099151713657483</c:v>
                </c:pt>
                <c:pt idx="327">
                  <c:v>#N/A</c:v>
                </c:pt>
                <c:pt idx="328">
                  <c:v>#N/A</c:v>
                </c:pt>
                <c:pt idx="329">
                  <c:v>#N/A</c:v>
                </c:pt>
                <c:pt idx="330">
                  <c:v>4.0496098278542974</c:v>
                </c:pt>
                <c:pt idx="331">
                  <c:v>#N/A</c:v>
                </c:pt>
                <c:pt idx="332">
                  <c:v>#N/A</c:v>
                </c:pt>
                <c:pt idx="333">
                  <c:v>#N/A</c:v>
                </c:pt>
                <c:pt idx="334">
                  <c:v>#N/A</c:v>
                </c:pt>
                <c:pt idx="335">
                  <c:v>#N/A</c:v>
                </c:pt>
                <c:pt idx="336">
                  <c:v>#N/A</c:v>
                </c:pt>
                <c:pt idx="337">
                  <c:v>6.0918517739423983</c:v>
                </c:pt>
                <c:pt idx="338">
                  <c:v>#N/A</c:v>
                </c:pt>
                <c:pt idx="339">
                  <c:v>#N/A</c:v>
                </c:pt>
                <c:pt idx="340">
                  <c:v>#N/A</c:v>
                </c:pt>
                <c:pt idx="341">
                  <c:v>#N/A</c:v>
                </c:pt>
                <c:pt idx="342">
                  <c:v>6.5214553669906339</c:v>
                </c:pt>
                <c:pt idx="343">
                  <c:v>#N/A</c:v>
                </c:pt>
                <c:pt idx="344">
                  <c:v>#N/A</c:v>
                </c:pt>
                <c:pt idx="345">
                  <c:v>#N/A</c:v>
                </c:pt>
                <c:pt idx="346">
                  <c:v>6.1427037323783162</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5.5059373979375605</c:v>
                </c:pt>
                <c:pt idx="366">
                  <c:v>-0.2685279293469458</c:v>
                </c:pt>
                <c:pt idx="367">
                  <c:v>-1.256742064731327</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0.29364553216789457</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9.0095621729855163E-2</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numCache>
            </c:numRef>
          </c:val>
          <c:smooth val="0"/>
          <c:extLst>
            <c:ext xmlns:c16="http://schemas.microsoft.com/office/drawing/2014/chart" uri="{C3380CC4-5D6E-409C-BE32-E72D297353CC}">
              <c16:uniqueId val="{00000002-57DE-4ED1-8F1D-0835CBEB4A25}"/>
            </c:ext>
          </c:extLst>
        </c:ser>
        <c:dLbls>
          <c:showLegendKey val="0"/>
          <c:showVal val="0"/>
          <c:showCatName val="0"/>
          <c:showSerName val="0"/>
          <c:showPercent val="0"/>
          <c:showBubbleSize val="0"/>
        </c:dLbls>
        <c:smooth val="0"/>
        <c:axId val="1502977295"/>
        <c:axId val="1502980655"/>
      </c:lineChart>
      <c:catAx>
        <c:axId val="150297729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low"/>
        <c:spPr>
          <a:noFill/>
          <a:ln w="9525" cap="flat" cmpd="sng" algn="ctr">
            <a:solidFill>
              <a:schemeClr val="accent4">
                <a:lumMod val="60000"/>
                <a:lumOff val="40000"/>
              </a:schemeClr>
            </a:solidFill>
            <a:round/>
          </a:ln>
          <a:effectLst/>
        </c:spPr>
        <c:txPr>
          <a:bodyPr rot="-60000000" spcFirstLastPara="1" vertOverflow="ellipsis" vert="horz" wrap="square" anchor="ctr" anchorCtr="1"/>
          <a:lstStyle/>
          <a:p>
            <a:pPr>
              <a:defRPr sz="900" b="0" i="0" u="none" strike="noStrike" kern="1200" baseline="0">
                <a:solidFill>
                  <a:schemeClr val="accent4">
                    <a:lumMod val="60000"/>
                    <a:lumOff val="40000"/>
                  </a:schemeClr>
                </a:solidFill>
                <a:latin typeface="+mn-lt"/>
                <a:ea typeface="+mn-ea"/>
                <a:cs typeface="+mn-cs"/>
              </a:defRPr>
            </a:pPr>
            <a:endParaRPr lang="en-US"/>
          </a:p>
        </c:txPr>
        <c:crossAx val="1502980655"/>
        <c:crosses val="autoZero"/>
        <c:auto val="1"/>
        <c:lblAlgn val="ctr"/>
        <c:lblOffset val="0"/>
        <c:tickLblSkip val="100"/>
        <c:tickMarkSkip val="100"/>
        <c:noMultiLvlLbl val="0"/>
      </c:catAx>
      <c:valAx>
        <c:axId val="1502980655"/>
        <c:scaling>
          <c:orientation val="minMax"/>
          <c:max val="50"/>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50" b="1" i="0" u="none" strike="noStrike" kern="1200" cap="all" baseline="0">
                    <a:solidFill>
                      <a:schemeClr val="accent4">
                        <a:lumMod val="60000"/>
                        <a:lumOff val="40000"/>
                      </a:schemeClr>
                    </a:solidFill>
                    <a:latin typeface="+mn-lt"/>
                    <a:ea typeface="+mn-ea"/>
                    <a:cs typeface="+mn-cs"/>
                  </a:defRPr>
                </a:pPr>
                <a:r>
                  <a:rPr lang="en-US" sz="1050">
                    <a:solidFill>
                      <a:schemeClr val="accent4">
                        <a:lumMod val="60000"/>
                        <a:lumOff val="40000"/>
                      </a:schemeClr>
                    </a:solidFill>
                  </a:rPr>
                  <a:t>Strategy Risk Units</a:t>
                </a:r>
              </a:p>
            </c:rich>
          </c:tx>
          <c:layout>
            <c:manualLayout>
              <c:xMode val="edge"/>
              <c:yMode val="edge"/>
              <c:x val="0.96596736596736599"/>
              <c:y val="0.45511640467324266"/>
            </c:manualLayout>
          </c:layout>
          <c:overlay val="0"/>
          <c:spPr>
            <a:noFill/>
            <a:ln>
              <a:noFill/>
            </a:ln>
            <a:effectLst/>
          </c:spPr>
          <c:txPr>
            <a:bodyPr rot="-5400000" spcFirstLastPara="1" vertOverflow="ellipsis" vert="horz" wrap="square" anchor="ctr" anchorCtr="1"/>
            <a:lstStyle/>
            <a:p>
              <a:pPr>
                <a:defRPr sz="1050" b="1" i="0" u="none" strike="noStrike" kern="1200" cap="all" baseline="0">
                  <a:solidFill>
                    <a:schemeClr val="accent4">
                      <a:lumMod val="60000"/>
                      <a:lumOff val="40000"/>
                    </a:schemeClr>
                  </a:solidFill>
                  <a:latin typeface="+mn-lt"/>
                  <a:ea typeface="+mn-ea"/>
                  <a:cs typeface="+mn-cs"/>
                </a:defRPr>
              </a:pPr>
              <a:endParaRPr lang="en-US"/>
            </a:p>
          </c:txPr>
        </c:title>
        <c:numFmt formatCode="0" sourceLinked="0"/>
        <c:majorTickMark val="none"/>
        <c:minorTickMark val="none"/>
        <c:tickLblPos val="high"/>
        <c:spPr>
          <a:noFill/>
          <a:ln>
            <a:noFill/>
          </a:ln>
          <a:effectLst/>
        </c:spPr>
        <c:txPr>
          <a:bodyPr rot="-60000000" spcFirstLastPara="1" vertOverflow="ellipsis" vert="horz" wrap="square" anchor="ctr" anchorCtr="1"/>
          <a:lstStyle/>
          <a:p>
            <a:pPr>
              <a:defRPr sz="1200" b="1" i="0" u="none" strike="noStrike" kern="1200" baseline="0">
                <a:solidFill>
                  <a:schemeClr val="accent4">
                    <a:lumMod val="60000"/>
                    <a:lumOff val="40000"/>
                  </a:schemeClr>
                </a:solidFill>
                <a:latin typeface="+mn-lt"/>
                <a:ea typeface="+mn-ea"/>
                <a:cs typeface="+mn-cs"/>
              </a:defRPr>
            </a:pPr>
            <a:endParaRPr lang="en-US"/>
          </a:p>
        </c:txPr>
        <c:crossAx val="1502977295"/>
        <c:crosses val="autoZero"/>
        <c:crossBetween val="between"/>
      </c:valAx>
      <c:spPr>
        <a:noFill/>
        <a:ln>
          <a:noFill/>
        </a:ln>
        <a:effectLst/>
      </c:spPr>
    </c:plotArea>
    <c:legend>
      <c:legendPos val="t"/>
      <c:layout>
        <c:manualLayout>
          <c:xMode val="edge"/>
          <c:yMode val="edge"/>
          <c:x val="1.1185808670467916E-2"/>
          <c:y val="1.0481442527265319E-2"/>
          <c:w val="0.21073168612544121"/>
          <c:h val="0.1609509461136852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0"/>
    <c:dispBlanksAs val="span"/>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28575">
      <a:solidFill>
        <a:sysClr val="windowText" lastClr="000000"/>
      </a:solidFill>
    </a:ln>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accent3">
                    <a:lumMod val="75000"/>
                  </a:schemeClr>
                </a:solidFill>
                <a:latin typeface="+mn-lt"/>
                <a:ea typeface="+mn-ea"/>
                <a:cs typeface="+mn-cs"/>
              </a:defRPr>
            </a:pPr>
            <a:r>
              <a:rPr lang="en-US" sz="2000" b="1">
                <a:solidFill>
                  <a:schemeClr val="accent3">
                    <a:lumMod val="75000"/>
                  </a:schemeClr>
                </a:solidFill>
              </a:rPr>
              <a:t>The Strategy -- Risk Units Curve</a:t>
            </a:r>
          </a:p>
        </c:rich>
      </c:tx>
      <c:layout>
        <c:manualLayout>
          <c:xMode val="edge"/>
          <c:yMode val="edge"/>
          <c:x val="2.2034232900374633E-2"/>
          <c:y val="1.0705932400651753E-2"/>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accent3">
                  <a:lumMod val="75000"/>
                </a:schemeClr>
              </a:solidFill>
              <a:latin typeface="+mn-lt"/>
              <a:ea typeface="+mn-ea"/>
              <a:cs typeface="+mn-cs"/>
            </a:defRPr>
          </a:pPr>
          <a:endParaRPr lang="en-US"/>
        </a:p>
      </c:txPr>
    </c:title>
    <c:autoTitleDeleted val="0"/>
    <c:plotArea>
      <c:layout>
        <c:manualLayout>
          <c:layoutTarget val="inner"/>
          <c:xMode val="edge"/>
          <c:yMode val="edge"/>
          <c:x val="1.1799037940770222E-2"/>
          <c:y val="7.7350606403557343E-2"/>
          <c:w val="0.96115660299744099"/>
          <c:h val="0.86018548951798435"/>
        </c:manualLayout>
      </c:layout>
      <c:lineChart>
        <c:grouping val="standard"/>
        <c:varyColors val="0"/>
        <c:ser>
          <c:idx val="3"/>
          <c:order val="0"/>
          <c:tx>
            <c:v>2025-Q2</c:v>
          </c:tx>
          <c:spPr>
            <a:ln w="28575" cap="rnd">
              <a:solidFill>
                <a:schemeClr val="accent3"/>
              </a:solidFill>
              <a:round/>
            </a:ln>
            <a:effectLst>
              <a:glow rad="38100">
                <a:schemeClr val="accent3">
                  <a:satMod val="175000"/>
                  <a:alpha val="50000"/>
                </a:schemeClr>
              </a:glow>
            </a:effectLst>
          </c:spPr>
          <c:marker>
            <c:symbol val="none"/>
          </c:marker>
          <c:dLbls>
            <c:dLbl>
              <c:idx val="2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B3F-4FB1-92BA-E6FBE9E27625}"/>
                </c:ext>
              </c:extLst>
            </c:dLbl>
            <c:dLbl>
              <c:idx val="41"/>
              <c:layout>
                <c:manualLayout>
                  <c:x val="-1.7094017094017096E-2"/>
                  <c:y val="6.116207951070187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DB3F-4FB1-92BA-E6FBE9E27625}"/>
                </c:ext>
              </c:extLst>
            </c:dLbl>
            <c:dLbl>
              <c:idx val="52"/>
              <c:layout>
                <c:manualLayout>
                  <c:x val="-5.6980056980056983E-3"/>
                  <c:y val="1.22324159021406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D46-4581-9D29-BA389463D207}"/>
                </c:ext>
              </c:extLst>
            </c:dLbl>
            <c:dLbl>
              <c:idx val="77"/>
              <c:layout>
                <c:manualLayout>
                  <c:x val="-9.7680097680097975E-3"/>
                  <c:y val="-1.8348623853211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32A-41FF-AE95-2141E0F666BB}"/>
                </c:ext>
              </c:extLst>
            </c:dLbl>
            <c:dLbl>
              <c:idx val="109"/>
              <c:layout>
                <c:manualLayout>
                  <c:x val="-4.0700040700041296E-3"/>
                  <c:y val="1.42711518858307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DB5-43A8-BBB1-C2668A9D4E34}"/>
                </c:ext>
              </c:extLst>
            </c:dLbl>
            <c:dLbl>
              <c:idx val="183"/>
              <c:layout>
                <c:manualLayout>
                  <c:x val="-1.6280016280016279E-2"/>
                  <c:y val="-2.038735983690119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F0F-498F-A3C6-6649C634C996}"/>
                </c:ext>
              </c:extLst>
            </c:dLbl>
            <c:dLbl>
              <c:idx val="222"/>
              <c:layout>
                <c:manualLayout>
                  <c:x val="-1.7908017908017909E-2"/>
                  <c:y val="-1.83486238532109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2B8-4688-AA74-E8A0C74359A9}"/>
                </c:ext>
              </c:extLst>
            </c:dLbl>
            <c:dLbl>
              <c:idx val="243"/>
              <c:layout>
                <c:manualLayout>
                  <c:x val="-1.3838013838013957E-2"/>
                  <c:y val="-1.42711518858307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F0F-498F-A3C6-6649C634C996}"/>
                </c:ext>
              </c:extLst>
            </c:dLbl>
            <c:dLbl>
              <c:idx val="300"/>
              <c:layout>
                <c:manualLayout>
                  <c:x val="-1.1396011396011397E-2"/>
                  <c:y val="1.63098878695208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634-4386-926F-AA64B30691E7}"/>
                </c:ext>
              </c:extLst>
            </c:dLbl>
            <c:dLbl>
              <c:idx val="322"/>
              <c:layout>
                <c:manualLayout>
                  <c:x val="-1.4652014652014772E-2"/>
                  <c:y val="-1.8348623853211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41D-4335-8890-B8E9ACB86B06}"/>
                </c:ext>
              </c:extLst>
            </c:dLbl>
            <c:dLbl>
              <c:idx val="328"/>
              <c:layout>
                <c:manualLayout>
                  <c:x val="-6.5120065120065117E-3"/>
                  <c:y val="1.22324159021406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926-4880-B634-E5BB36C90588}"/>
                </c:ext>
              </c:extLst>
            </c:dLbl>
            <c:dLbl>
              <c:idx val="358"/>
              <c:layout>
                <c:manualLayout>
                  <c:x val="-8.1400081400082591E-3"/>
                  <c:y val="-2.44648318042813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3B8-40E0-8283-E11BCD6EDF35}"/>
                </c:ext>
              </c:extLst>
            </c:dLbl>
            <c:dLbl>
              <c:idx val="367"/>
              <c:layout>
                <c:manualLayout>
                  <c:x val="-1.4652014652014652E-2"/>
                  <c:y val="6.116207951070336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3B8-40E0-8283-E11BCD6EDF35}"/>
                </c:ext>
              </c:extLst>
            </c:dLbl>
            <c:dLbl>
              <c:idx val="385"/>
              <c:layout>
                <c:manualLayout>
                  <c:x val="-1.1396011396011397E-2"/>
                  <c:y val="-2.44648318042813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3B8-40E0-8283-E11BCD6EDF35}"/>
                </c:ext>
              </c:extLst>
            </c:dLbl>
            <c:dLbl>
              <c:idx val="407"/>
              <c:layout>
                <c:manualLayout>
                  <c:x val="-1.7094017094017096E-2"/>
                  <c:y val="1.42711518858307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3AC-47A8-881A-F67D962BA253}"/>
                </c:ext>
              </c:extLst>
            </c:dLbl>
            <c:dLbl>
              <c:idx val="418"/>
              <c:layout>
                <c:manualLayout>
                  <c:x val="2.442002442002442E-3"/>
                  <c:y val="-2.0387359836901122E-2"/>
                </c:manualLayout>
              </c:layout>
              <c:spPr>
                <a:solidFill>
                  <a:srgbClr val="00FF00"/>
                </a:solidFill>
                <a:ln>
                  <a:solidFill>
                    <a:sysClr val="windowText" lastClr="000000"/>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3DD-45D1-A8F6-9F8B2B0ACB5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'2025-Q2'!$Q$4:$Q$422</c:f>
              <c:numCache>
                <c:formatCode>0</c:formatCode>
                <c:ptCount val="419"/>
                <c:pt idx="0">
                  <c:v>-0.47844667409884589</c:v>
                </c:pt>
                <c:pt idx="1">
                  <c:v>0.20039738260780871</c:v>
                </c:pt>
                <c:pt idx="2">
                  <c:v>0.14168868051043698</c:v>
                </c:pt>
                <c:pt idx="3">
                  <c:v>-0.27293129519335796</c:v>
                </c:pt>
                <c:pt idx="4">
                  <c:v>-0.47884355832632985</c:v>
                </c:pt>
                <c:pt idx="5">
                  <c:v>-1.1314998695128593</c:v>
                </c:pt>
                <c:pt idx="6">
                  <c:v>-1.7085312074749515</c:v>
                </c:pt>
                <c:pt idx="7">
                  <c:v>-1.8360766180392338</c:v>
                </c:pt>
                <c:pt idx="8">
                  <c:v>-1.3115775214181404</c:v>
                </c:pt>
                <c:pt idx="9">
                  <c:v>-1.2113348285828556</c:v>
                </c:pt>
                <c:pt idx="10">
                  <c:v>-0.95561406511137981</c:v>
                </c:pt>
                <c:pt idx="11">
                  <c:v>-0.44202439144535155</c:v>
                </c:pt>
                <c:pt idx="12">
                  <c:v>-0.14049636328842707</c:v>
                </c:pt>
                <c:pt idx="13">
                  <c:v>4.1870607419762229E-3</c:v>
                </c:pt>
                <c:pt idx="14">
                  <c:v>0.88125019448485542</c:v>
                </c:pt>
                <c:pt idx="15">
                  <c:v>1.5367228313007768</c:v>
                </c:pt>
                <c:pt idx="16">
                  <c:v>1.8989945133694157</c:v>
                </c:pt>
                <c:pt idx="17">
                  <c:v>2.0758863936006722</c:v>
                </c:pt>
                <c:pt idx="18">
                  <c:v>2.0204847315508085</c:v>
                </c:pt>
                <c:pt idx="19">
                  <c:v>2.479339640968226</c:v>
                </c:pt>
                <c:pt idx="20">
                  <c:v>2.8885628512008088</c:v>
                </c:pt>
                <c:pt idx="21">
                  <c:v>3.1825278168545936</c:v>
                </c:pt>
                <c:pt idx="22">
                  <c:v>3.2190908881525866</c:v>
                </c:pt>
                <c:pt idx="23">
                  <c:v>3.1077736339781881</c:v>
                </c:pt>
                <c:pt idx="24">
                  <c:v>2.2433590498599756</c:v>
                </c:pt>
                <c:pt idx="25">
                  <c:v>-0.69347717786234497</c:v>
                </c:pt>
                <c:pt idx="26">
                  <c:v>-0.28144014082530722</c:v>
                </c:pt>
                <c:pt idx="27">
                  <c:v>-0.8466247678034533</c:v>
                </c:pt>
                <c:pt idx="28">
                  <c:v>-1.8203684645518421</c:v>
                </c:pt>
                <c:pt idx="29">
                  <c:v>-1.3877396666654465</c:v>
                </c:pt>
                <c:pt idx="30">
                  <c:v>-1.9379069855923361</c:v>
                </c:pt>
                <c:pt idx="31">
                  <c:v>-1.4194961328791575</c:v>
                </c:pt>
                <c:pt idx="32">
                  <c:v>-1.9288541049236982</c:v>
                </c:pt>
                <c:pt idx="33">
                  <c:v>-1.9268771952289319</c:v>
                </c:pt>
                <c:pt idx="34">
                  <c:v>-2.8311079866290094</c:v>
                </c:pt>
                <c:pt idx="35">
                  <c:v>-3.6523931271912593</c:v>
                </c:pt>
                <c:pt idx="36">
                  <c:v>-3.9899002122636547</c:v>
                </c:pt>
                <c:pt idx="37">
                  <c:v>-3.7879113993363691</c:v>
                </c:pt>
                <c:pt idx="38">
                  <c:v>-3.5931589251063865</c:v>
                </c:pt>
                <c:pt idx="39">
                  <c:v>-3.5263239332751088</c:v>
                </c:pt>
                <c:pt idx="40">
                  <c:v>-5.537177510620392</c:v>
                </c:pt>
                <c:pt idx="41">
                  <c:v>-6.1698907998352057</c:v>
                </c:pt>
                <c:pt idx="42">
                  <c:v>-4.7974759579860526</c:v>
                </c:pt>
                <c:pt idx="43">
                  <c:v>-4.0358648935995474</c:v>
                </c:pt>
                <c:pt idx="44">
                  <c:v>-4.4008000593732879</c:v>
                </c:pt>
                <c:pt idx="45">
                  <c:v>-4.4109819516052307</c:v>
                </c:pt>
                <c:pt idx="46">
                  <c:v>-5.6071865363803166</c:v>
                </c:pt>
                <c:pt idx="47">
                  <c:v>-7.0682998432392061</c:v>
                </c:pt>
                <c:pt idx="48">
                  <c:v>-7.5856091190062189</c:v>
                </c:pt>
                <c:pt idx="49">
                  <c:v>-9.1172192257828364</c:v>
                </c:pt>
                <c:pt idx="50">
                  <c:v>-9.9489462194288656</c:v>
                </c:pt>
                <c:pt idx="51">
                  <c:v>-8.9979059571823203</c:v>
                </c:pt>
                <c:pt idx="52">
                  <c:v>-10.300253137189074</c:v>
                </c:pt>
                <c:pt idx="53">
                  <c:v>-9.8075933422036989</c:v>
                </c:pt>
                <c:pt idx="54">
                  <c:v>-9.0674560373339723</c:v>
                </c:pt>
                <c:pt idx="55">
                  <c:v>-8.4523575142856586</c:v>
                </c:pt>
                <c:pt idx="56">
                  <c:v>-9.1301468782064106</c:v>
                </c:pt>
                <c:pt idx="57">
                  <c:v>-7.2367037438873627</c:v>
                </c:pt>
                <c:pt idx="58">
                  <c:v>-6.570820469308436</c:v>
                </c:pt>
                <c:pt idx="59">
                  <c:v>-5.3878982522222465</c:v>
                </c:pt>
                <c:pt idx="60">
                  <c:v>-4.8869031249145785</c:v>
                </c:pt>
                <c:pt idx="61">
                  <c:v>-3.4572510052265755</c:v>
                </c:pt>
                <c:pt idx="62">
                  <c:v>-0.85395569470692978</c:v>
                </c:pt>
                <c:pt idx="63">
                  <c:v>8.6471431557587852E-2</c:v>
                </c:pt>
                <c:pt idx="64">
                  <c:v>-0.17626348436724137</c:v>
                </c:pt>
                <c:pt idx="65">
                  <c:v>1.0010275157147994</c:v>
                </c:pt>
                <c:pt idx="66">
                  <c:v>0.62223963692692064</c:v>
                </c:pt>
                <c:pt idx="67">
                  <c:v>-0.21429491708744819</c:v>
                </c:pt>
                <c:pt idx="68">
                  <c:v>-8.5598469109410213E-2</c:v>
                </c:pt>
                <c:pt idx="69">
                  <c:v>0.40492617899247219</c:v>
                </c:pt>
                <c:pt idx="70">
                  <c:v>1.0669262875170809</c:v>
                </c:pt>
                <c:pt idx="71">
                  <c:v>0.50741682324032988</c:v>
                </c:pt>
                <c:pt idx="72">
                  <c:v>1.6582474396042501</c:v>
                </c:pt>
                <c:pt idx="73">
                  <c:v>1.4659864012733408</c:v>
                </c:pt>
                <c:pt idx="74">
                  <c:v>2.3339506306263136</c:v>
                </c:pt>
                <c:pt idx="75">
                  <c:v>1.8269605683052752</c:v>
                </c:pt>
                <c:pt idx="76">
                  <c:v>3.1940325367574602</c:v>
                </c:pt>
                <c:pt idx="77">
                  <c:v>2.9095547633323458</c:v>
                </c:pt>
                <c:pt idx="78">
                  <c:v>1.9383283226175572</c:v>
                </c:pt>
                <c:pt idx="79">
                  <c:v>1.8946983051655502</c:v>
                </c:pt>
                <c:pt idx="80">
                  <c:v>2.0450948050288287</c:v>
                </c:pt>
                <c:pt idx="81">
                  <c:v>1.1604321122480523</c:v>
                </c:pt>
                <c:pt idx="82">
                  <c:v>0.42612969954012547</c:v>
                </c:pt>
                <c:pt idx="83">
                  <c:v>-0.1420521186416932</c:v>
                </c:pt>
                <c:pt idx="84">
                  <c:v>-1.9891271992497082</c:v>
                </c:pt>
                <c:pt idx="85">
                  <c:v>-2.1691025710409368</c:v>
                </c:pt>
                <c:pt idx="86">
                  <c:v>-2.6950584430415798</c:v>
                </c:pt>
                <c:pt idx="87">
                  <c:v>-2.6849925111879389</c:v>
                </c:pt>
                <c:pt idx="88">
                  <c:v>-1.8106333034953979</c:v>
                </c:pt>
                <c:pt idx="89">
                  <c:v>-2.1280936209557169</c:v>
                </c:pt>
                <c:pt idx="90">
                  <c:v>-0.92414816113558329</c:v>
                </c:pt>
                <c:pt idx="91">
                  <c:v>-1.1424887724892951</c:v>
                </c:pt>
                <c:pt idx="92">
                  <c:v>-0.86662670352377824</c:v>
                </c:pt>
                <c:pt idx="93">
                  <c:v>-1.7244456741410146</c:v>
                </c:pt>
                <c:pt idx="94">
                  <c:v>-2.3626582780885155</c:v>
                </c:pt>
                <c:pt idx="95">
                  <c:v>-2.2652914166881257</c:v>
                </c:pt>
                <c:pt idx="96">
                  <c:v>-2.1703947486155823</c:v>
                </c:pt>
                <c:pt idx="97">
                  <c:v>-1.9677709420354601</c:v>
                </c:pt>
                <c:pt idx="98">
                  <c:v>-2.3429272571667665</c:v>
                </c:pt>
                <c:pt idx="99">
                  <c:v>-2.9877567531711975</c:v>
                </c:pt>
                <c:pt idx="100">
                  <c:v>-4.2403663565114904</c:v>
                </c:pt>
                <c:pt idx="101">
                  <c:v>-4.6997771739785739</c:v>
                </c:pt>
                <c:pt idx="102">
                  <c:v>-4.7190396522119737</c:v>
                </c:pt>
                <c:pt idx="103">
                  <c:v>-5.9287683373392399</c:v>
                </c:pt>
                <c:pt idx="104">
                  <c:v>-5.9539276798417546</c:v>
                </c:pt>
                <c:pt idx="105">
                  <c:v>-5.1940085179181388</c:v>
                </c:pt>
                <c:pt idx="106">
                  <c:v>-4.9981011135874072</c:v>
                </c:pt>
                <c:pt idx="107">
                  <c:v>-6.3630770713972407</c:v>
                </c:pt>
                <c:pt idx="108">
                  <c:v>-5.7819577716305144</c:v>
                </c:pt>
                <c:pt idx="109">
                  <c:v>-6.3267842750062391</c:v>
                </c:pt>
                <c:pt idx="110">
                  <c:v>-6.0214116249442107</c:v>
                </c:pt>
                <c:pt idx="111">
                  <c:v>-5.7969393735352881</c:v>
                </c:pt>
                <c:pt idx="112">
                  <c:v>-5.3653956772951865</c:v>
                </c:pt>
                <c:pt idx="113">
                  <c:v>-4.7416777641167203</c:v>
                </c:pt>
                <c:pt idx="114">
                  <c:v>-4.2400596411393741</c:v>
                </c:pt>
                <c:pt idx="115">
                  <c:v>-3.0387554532249812</c:v>
                </c:pt>
                <c:pt idx="116">
                  <c:v>-2.5605557345189331</c:v>
                </c:pt>
                <c:pt idx="117">
                  <c:v>-2.1722525543375828</c:v>
                </c:pt>
                <c:pt idx="118">
                  <c:v>-1.1492158280551046</c:v>
                </c:pt>
                <c:pt idx="119">
                  <c:v>-1.5839313833536213</c:v>
                </c:pt>
                <c:pt idx="120">
                  <c:v>-1.3751869951462514</c:v>
                </c:pt>
                <c:pt idx="121">
                  <c:v>-1.7447813144524631</c:v>
                </c:pt>
                <c:pt idx="122">
                  <c:v>-2.7893495595778077</c:v>
                </c:pt>
                <c:pt idx="123">
                  <c:v>-3.1062469828999504</c:v>
                </c:pt>
                <c:pt idx="124">
                  <c:v>-1.8556524727762904</c:v>
                </c:pt>
                <c:pt idx="125">
                  <c:v>-1.6281729459337075</c:v>
                </c:pt>
                <c:pt idx="126">
                  <c:v>-1.2121034160922763</c:v>
                </c:pt>
                <c:pt idx="127">
                  <c:v>-1.8693380137242281</c:v>
                </c:pt>
                <c:pt idx="128">
                  <c:v>-1.6437062447711597</c:v>
                </c:pt>
                <c:pt idx="129">
                  <c:v>-2.0399190676588801</c:v>
                </c:pt>
                <c:pt idx="130">
                  <c:v>-2.6017657575543494</c:v>
                </c:pt>
                <c:pt idx="131">
                  <c:v>-2.8475744926302475</c:v>
                </c:pt>
                <c:pt idx="132">
                  <c:v>-3.3168096041176898</c:v>
                </c:pt>
                <c:pt idx="133">
                  <c:v>-2.3425954943103564</c:v>
                </c:pt>
                <c:pt idx="134">
                  <c:v>-1.8550446091451565</c:v>
                </c:pt>
                <c:pt idx="135">
                  <c:v>-1.5149085547233869</c:v>
                </c:pt>
                <c:pt idx="136">
                  <c:v>-1.3277969400703142</c:v>
                </c:pt>
                <c:pt idx="137">
                  <c:v>-1.668634426465456</c:v>
                </c:pt>
                <c:pt idx="138">
                  <c:v>-1.5095599506881596</c:v>
                </c:pt>
                <c:pt idx="139">
                  <c:v>-1.4230248174240525</c:v>
                </c:pt>
                <c:pt idx="140">
                  <c:v>-1.5623199838817778</c:v>
                </c:pt>
                <c:pt idx="141">
                  <c:v>-2.0134488519457587</c:v>
                </c:pt>
                <c:pt idx="142">
                  <c:v>-3.2879707351168679</c:v>
                </c:pt>
                <c:pt idx="143">
                  <c:v>-3.6575995661656893</c:v>
                </c:pt>
                <c:pt idx="144">
                  <c:v>-3.7067723071121197</c:v>
                </c:pt>
                <c:pt idx="145">
                  <c:v>-2.3668580878147356</c:v>
                </c:pt>
                <c:pt idx="146">
                  <c:v>-2.8096922263010486</c:v>
                </c:pt>
                <c:pt idx="147">
                  <c:v>-3.3736644512919129</c:v>
                </c:pt>
                <c:pt idx="148">
                  <c:v>-2.1994220270494886</c:v>
                </c:pt>
                <c:pt idx="149">
                  <c:v>-1.1895642741033996</c:v>
                </c:pt>
                <c:pt idx="150">
                  <c:v>-1.4294754711528501</c:v>
                </c:pt>
                <c:pt idx="151">
                  <c:v>-0.29896076527049464</c:v>
                </c:pt>
                <c:pt idx="152">
                  <c:v>2.1212812589319263</c:v>
                </c:pt>
                <c:pt idx="153">
                  <c:v>0.45559671758445219</c:v>
                </c:pt>
                <c:pt idx="154">
                  <c:v>0.11008254564723019</c:v>
                </c:pt>
                <c:pt idx="155">
                  <c:v>-0.60788837472654722</c:v>
                </c:pt>
                <c:pt idx="156">
                  <c:v>1.3940789817292982</c:v>
                </c:pt>
                <c:pt idx="157">
                  <c:v>1.9519590375173019</c:v>
                </c:pt>
                <c:pt idx="158">
                  <c:v>2.3866380895596979</c:v>
                </c:pt>
                <c:pt idx="159">
                  <c:v>0.1325802906681699</c:v>
                </c:pt>
                <c:pt idx="160">
                  <c:v>0.7469494198887815</c:v>
                </c:pt>
                <c:pt idx="161">
                  <c:v>1.8264030841566621</c:v>
                </c:pt>
                <c:pt idx="162">
                  <c:v>2.1533484088385184</c:v>
                </c:pt>
                <c:pt idx="163">
                  <c:v>1.1850241022571937</c:v>
                </c:pt>
                <c:pt idx="164">
                  <c:v>1.6084680406653482</c:v>
                </c:pt>
                <c:pt idx="165">
                  <c:v>2.5784582323056084</c:v>
                </c:pt>
                <c:pt idx="166">
                  <c:v>2.4495371706027469</c:v>
                </c:pt>
                <c:pt idx="167">
                  <c:v>2.1660962085939803</c:v>
                </c:pt>
                <c:pt idx="168">
                  <c:v>3.4153088896773314</c:v>
                </c:pt>
                <c:pt idx="169">
                  <c:v>3.3927390925798093</c:v>
                </c:pt>
                <c:pt idx="170">
                  <c:v>3.8622433902367037</c:v>
                </c:pt>
                <c:pt idx="171">
                  <c:v>2.382576560251402</c:v>
                </c:pt>
                <c:pt idx="172">
                  <c:v>2.3771352717542849</c:v>
                </c:pt>
                <c:pt idx="173">
                  <c:v>2.8968010553287709</c:v>
                </c:pt>
                <c:pt idx="174">
                  <c:v>4.5653856353057538</c:v>
                </c:pt>
                <c:pt idx="175">
                  <c:v>6.0770488443327224</c:v>
                </c:pt>
                <c:pt idx="176">
                  <c:v>6.1338430545686604</c:v>
                </c:pt>
                <c:pt idx="177">
                  <c:v>7.4415236860197851</c:v>
                </c:pt>
                <c:pt idx="178">
                  <c:v>7.7422783748040613</c:v>
                </c:pt>
                <c:pt idx="179">
                  <c:v>8.2750391890534303</c:v>
                </c:pt>
                <c:pt idx="180">
                  <c:v>7.7873689645410975</c:v>
                </c:pt>
                <c:pt idx="181">
                  <c:v>7.4765334049530798</c:v>
                </c:pt>
                <c:pt idx="182">
                  <c:v>8.1878740782347599</c:v>
                </c:pt>
                <c:pt idx="183">
                  <c:v>8.7508862741436477</c:v>
                </c:pt>
                <c:pt idx="184">
                  <c:v>7.144808182202893</c:v>
                </c:pt>
                <c:pt idx="185">
                  <c:v>6.3077664360702421</c:v>
                </c:pt>
                <c:pt idx="186">
                  <c:v>6.2124864595237748</c:v>
                </c:pt>
                <c:pt idx="187">
                  <c:v>6.6746343468477187</c:v>
                </c:pt>
                <c:pt idx="188">
                  <c:v>7.7602241802484118</c:v>
                </c:pt>
                <c:pt idx="189">
                  <c:v>7.5424098420944183</c:v>
                </c:pt>
                <c:pt idx="190">
                  <c:v>8.2262488429767924</c:v>
                </c:pt>
                <c:pt idx="191">
                  <c:v>7.4235161358888355</c:v>
                </c:pt>
                <c:pt idx="192">
                  <c:v>7.1035552237749116</c:v>
                </c:pt>
                <c:pt idx="193">
                  <c:v>9.0775157445644972</c:v>
                </c:pt>
                <c:pt idx="194">
                  <c:v>8.1166221038984823</c:v>
                </c:pt>
                <c:pt idx="195">
                  <c:v>8.2428221516250453</c:v>
                </c:pt>
                <c:pt idx="196">
                  <c:v>8.3018181253018941</c:v>
                </c:pt>
                <c:pt idx="197">
                  <c:v>8.5318673082306571</c:v>
                </c:pt>
                <c:pt idx="198">
                  <c:v>8.6295988355954858</c:v>
                </c:pt>
                <c:pt idx="199">
                  <c:v>9.3962568950345382</c:v>
                </c:pt>
                <c:pt idx="200">
                  <c:v>9.0576052447920858</c:v>
                </c:pt>
                <c:pt idx="201">
                  <c:v>10.112275929251835</c:v>
                </c:pt>
                <c:pt idx="202">
                  <c:v>10.37037705420914</c:v>
                </c:pt>
                <c:pt idx="203">
                  <c:v>10.219387363973926</c:v>
                </c:pt>
                <c:pt idx="204">
                  <c:v>10.567751954120791</c:v>
                </c:pt>
                <c:pt idx="205">
                  <c:v>9.5015483436248509</c:v>
                </c:pt>
                <c:pt idx="206">
                  <c:v>10.8702451347185</c:v>
                </c:pt>
                <c:pt idx="207">
                  <c:v>10.682094263973774</c:v>
                </c:pt>
                <c:pt idx="208">
                  <c:v>10.518946093985173</c:v>
                </c:pt>
                <c:pt idx="209">
                  <c:v>10.744096194051885</c:v>
                </c:pt>
                <c:pt idx="210">
                  <c:v>9.7253150234268944</c:v>
                </c:pt>
                <c:pt idx="211">
                  <c:v>9.1446679641707398</c:v>
                </c:pt>
                <c:pt idx="212">
                  <c:v>8.9730103268942418</c:v>
                </c:pt>
                <c:pt idx="213">
                  <c:v>9.0607348718231631</c:v>
                </c:pt>
                <c:pt idx="214">
                  <c:v>9.6040226390856951</c:v>
                </c:pt>
                <c:pt idx="215">
                  <c:v>8.2235727936534389</c:v>
                </c:pt>
                <c:pt idx="216">
                  <c:v>9.6701325298249294</c:v>
                </c:pt>
                <c:pt idx="217">
                  <c:v>10.61784023175402</c:v>
                </c:pt>
                <c:pt idx="218">
                  <c:v>10.093832104281024</c:v>
                </c:pt>
                <c:pt idx="219">
                  <c:v>11.660905344455497</c:v>
                </c:pt>
                <c:pt idx="220">
                  <c:v>12.159665410213808</c:v>
                </c:pt>
                <c:pt idx="221">
                  <c:v>12.703788590440142</c:v>
                </c:pt>
                <c:pt idx="222">
                  <c:v>12.889082134422978</c:v>
                </c:pt>
                <c:pt idx="223">
                  <c:v>12.53017124333387</c:v>
                </c:pt>
                <c:pt idx="224">
                  <c:v>12.891689119769552</c:v>
                </c:pt>
                <c:pt idx="225">
                  <c:v>12.48431686854348</c:v>
                </c:pt>
                <c:pt idx="226">
                  <c:v>10.71338804038324</c:v>
                </c:pt>
                <c:pt idx="227">
                  <c:v>11.178395085944537</c:v>
                </c:pt>
                <c:pt idx="228">
                  <c:v>11.173938638802456</c:v>
                </c:pt>
                <c:pt idx="229">
                  <c:v>11.13064324048479</c:v>
                </c:pt>
                <c:pt idx="230">
                  <c:v>11.85261751194712</c:v>
                </c:pt>
                <c:pt idx="231">
                  <c:v>11.287738457006188</c:v>
                </c:pt>
                <c:pt idx="232">
                  <c:v>11.95752185960032</c:v>
                </c:pt>
                <c:pt idx="233">
                  <c:v>12.410924730368757</c:v>
                </c:pt>
                <c:pt idx="234">
                  <c:v>12.984132365378066</c:v>
                </c:pt>
                <c:pt idx="235">
                  <c:v>12.697673539102093</c:v>
                </c:pt>
                <c:pt idx="236">
                  <c:v>14.53479756665276</c:v>
                </c:pt>
                <c:pt idx="237">
                  <c:v>14.486684895524737</c:v>
                </c:pt>
                <c:pt idx="238">
                  <c:v>12.783281554566807</c:v>
                </c:pt>
                <c:pt idx="239">
                  <c:v>12.826426572586197</c:v>
                </c:pt>
                <c:pt idx="240">
                  <c:v>12.924432844987628</c:v>
                </c:pt>
                <c:pt idx="241">
                  <c:v>16.673577851827574</c:v>
                </c:pt>
                <c:pt idx="242">
                  <c:v>16.781797269983905</c:v>
                </c:pt>
                <c:pt idx="243">
                  <c:v>17.17289476212164</c:v>
                </c:pt>
                <c:pt idx="244">
                  <c:v>16.345178212344795</c:v>
                </c:pt>
                <c:pt idx="245">
                  <c:v>16.783861940161984</c:v>
                </c:pt>
                <c:pt idx="246">
                  <c:v>16.478196092805835</c:v>
                </c:pt>
                <c:pt idx="247">
                  <c:v>16.280657074262852</c:v>
                </c:pt>
                <c:pt idx="248">
                  <c:v>15.752021879831016</c:v>
                </c:pt>
                <c:pt idx="249">
                  <c:v>15.351808432659187</c:v>
                </c:pt>
                <c:pt idx="250">
                  <c:v>15.805998704196597</c:v>
                </c:pt>
                <c:pt idx="251">
                  <c:v>14.931403101849719</c:v>
                </c:pt>
                <c:pt idx="252">
                  <c:v>14.424482975119687</c:v>
                </c:pt>
                <c:pt idx="253">
                  <c:v>15.123997808492788</c:v>
                </c:pt>
                <c:pt idx="254">
                  <c:v>15.182701228605092</c:v>
                </c:pt>
                <c:pt idx="255">
                  <c:v>15.71140031572603</c:v>
                </c:pt>
                <c:pt idx="256">
                  <c:v>15.580295759842713</c:v>
                </c:pt>
                <c:pt idx="257">
                  <c:v>14.090974168719391</c:v>
                </c:pt>
                <c:pt idx="258">
                  <c:v>13.819521063628258</c:v>
                </c:pt>
                <c:pt idx="259">
                  <c:v>12.760404095420382</c:v>
                </c:pt>
                <c:pt idx="260">
                  <c:v>13.128493155017241</c:v>
                </c:pt>
                <c:pt idx="261">
                  <c:v>12.837265084841802</c:v>
                </c:pt>
                <c:pt idx="262">
                  <c:v>13.107564931635411</c:v>
                </c:pt>
                <c:pt idx="263">
                  <c:v>12.843690229558463</c:v>
                </c:pt>
                <c:pt idx="264">
                  <c:v>12.380816555498678</c:v>
                </c:pt>
                <c:pt idx="265">
                  <c:v>12.614019205221537</c:v>
                </c:pt>
                <c:pt idx="266">
                  <c:v>13.211881191444419</c:v>
                </c:pt>
                <c:pt idx="267">
                  <c:v>13.384331244020656</c:v>
                </c:pt>
                <c:pt idx="268">
                  <c:v>13.222699578167964</c:v>
                </c:pt>
                <c:pt idx="269">
                  <c:v>14.367767887415377</c:v>
                </c:pt>
                <c:pt idx="270">
                  <c:v>14.67490377351676</c:v>
                </c:pt>
                <c:pt idx="271">
                  <c:v>14.504082566380232</c:v>
                </c:pt>
                <c:pt idx="272">
                  <c:v>14.666491900974997</c:v>
                </c:pt>
                <c:pt idx="273">
                  <c:v>13.721181936677688</c:v>
                </c:pt>
                <c:pt idx="274">
                  <c:v>13.116935268505111</c:v>
                </c:pt>
                <c:pt idx="275">
                  <c:v>13.455739982309822</c:v>
                </c:pt>
                <c:pt idx="276">
                  <c:v>13.095772430089179</c:v>
                </c:pt>
                <c:pt idx="277">
                  <c:v>13.469462089724225</c:v>
                </c:pt>
                <c:pt idx="278">
                  <c:v>13.804602265745674</c:v>
                </c:pt>
                <c:pt idx="279">
                  <c:v>13.876133023971711</c:v>
                </c:pt>
                <c:pt idx="280">
                  <c:v>14.317611809399542</c:v>
                </c:pt>
                <c:pt idx="281">
                  <c:v>13.419738062566889</c:v>
                </c:pt>
                <c:pt idx="282">
                  <c:v>13.910610190632925</c:v>
                </c:pt>
                <c:pt idx="283">
                  <c:v>12.586770528185669</c:v>
                </c:pt>
                <c:pt idx="284">
                  <c:v>12.542982898191143</c:v>
                </c:pt>
                <c:pt idx="285">
                  <c:v>11.720017631213434</c:v>
                </c:pt>
                <c:pt idx="286">
                  <c:v>12.254819674636167</c:v>
                </c:pt>
                <c:pt idx="287">
                  <c:v>12.302604298154334</c:v>
                </c:pt>
                <c:pt idx="288">
                  <c:v>14.077615824203205</c:v>
                </c:pt>
                <c:pt idx="289">
                  <c:v>13.625551682272121</c:v>
                </c:pt>
                <c:pt idx="290">
                  <c:v>13.567375050511433</c:v>
                </c:pt>
                <c:pt idx="291">
                  <c:v>14.569838245791264</c:v>
                </c:pt>
                <c:pt idx="292">
                  <c:v>13.777019022544547</c:v>
                </c:pt>
                <c:pt idx="293">
                  <c:v>12.984755245310478</c:v>
                </c:pt>
                <c:pt idx="294">
                  <c:v>11.131296057577664</c:v>
                </c:pt>
                <c:pt idx="295">
                  <c:v>10.60700385205512</c:v>
                </c:pt>
                <c:pt idx="296">
                  <c:v>9.4121994643729483</c:v>
                </c:pt>
                <c:pt idx="297">
                  <c:v>9.6844276087512942</c:v>
                </c:pt>
                <c:pt idx="298">
                  <c:v>9.1097149650731328</c:v>
                </c:pt>
                <c:pt idx="299">
                  <c:v>9.1097149650731328</c:v>
                </c:pt>
                <c:pt idx="300">
                  <c:v>9.1439326951215669</c:v>
                </c:pt>
                <c:pt idx="301">
                  <c:v>10.377967234795666</c:v>
                </c:pt>
                <c:pt idx="302">
                  <c:v>10.36924514548147</c:v>
                </c:pt>
                <c:pt idx="303">
                  <c:v>10.942762004209595</c:v>
                </c:pt>
                <c:pt idx="304">
                  <c:v>9.5184741481376278</c:v>
                </c:pt>
                <c:pt idx="305">
                  <c:v>10.562919564385206</c:v>
                </c:pt>
                <c:pt idx="306">
                  <c:v>12.789462326748176</c:v>
                </c:pt>
                <c:pt idx="307">
                  <c:v>13.516524746709344</c:v>
                </c:pt>
                <c:pt idx="308">
                  <c:v>13.937932247762864</c:v>
                </c:pt>
                <c:pt idx="309">
                  <c:v>14.940384288726372</c:v>
                </c:pt>
                <c:pt idx="310">
                  <c:v>14.852607242423982</c:v>
                </c:pt>
                <c:pt idx="311">
                  <c:v>16.169168349625483</c:v>
                </c:pt>
                <c:pt idx="312">
                  <c:v>15.85563511510262</c:v>
                </c:pt>
                <c:pt idx="313">
                  <c:v>16.845601670286566</c:v>
                </c:pt>
                <c:pt idx="314">
                  <c:v>16.070407871836952</c:v>
                </c:pt>
                <c:pt idx="315">
                  <c:v>16.8492240712139</c:v>
                </c:pt>
                <c:pt idx="316">
                  <c:v>17.386469030769618</c:v>
                </c:pt>
                <c:pt idx="317">
                  <c:v>17.755699800000389</c:v>
                </c:pt>
                <c:pt idx="318">
                  <c:v>16.138247090767099</c:v>
                </c:pt>
                <c:pt idx="319">
                  <c:v>18.474822966253477</c:v>
                </c:pt>
                <c:pt idx="320">
                  <c:v>18.950790506827758</c:v>
                </c:pt>
                <c:pt idx="321">
                  <c:v>19.276377124095074</c:v>
                </c:pt>
                <c:pt idx="322">
                  <c:v>19.609060099731675</c:v>
                </c:pt>
                <c:pt idx="323">
                  <c:v>17.942393433065007</c:v>
                </c:pt>
                <c:pt idx="324">
                  <c:v>15.700499524504433</c:v>
                </c:pt>
                <c:pt idx="325">
                  <c:v>16.48888422770078</c:v>
                </c:pt>
                <c:pt idx="326">
                  <c:v>14.895592823088617</c:v>
                </c:pt>
                <c:pt idx="327">
                  <c:v>14.679802013238401</c:v>
                </c:pt>
                <c:pt idx="328">
                  <c:v>13.903537899345421</c:v>
                </c:pt>
                <c:pt idx="329">
                  <c:v>14.472096996290976</c:v>
                </c:pt>
                <c:pt idx="330">
                  <c:v>15.311791652779524</c:v>
                </c:pt>
                <c:pt idx="331">
                  <c:v>15.651456604632841</c:v>
                </c:pt>
                <c:pt idx="332">
                  <c:v>16.589185542361783</c:v>
                </c:pt>
                <c:pt idx="333">
                  <c:v>17.073223177647584</c:v>
                </c:pt>
                <c:pt idx="334">
                  <c:v>17.287011184404342</c:v>
                </c:pt>
                <c:pt idx="335">
                  <c:v>17.952002809194965</c:v>
                </c:pt>
                <c:pt idx="336">
                  <c:v>17.516531708640727</c:v>
                </c:pt>
                <c:pt idx="337">
                  <c:v>19.558773654728828</c:v>
                </c:pt>
                <c:pt idx="338">
                  <c:v>19.862925615935108</c:v>
                </c:pt>
                <c:pt idx="339">
                  <c:v>19.260159759950369</c:v>
                </c:pt>
                <c:pt idx="340">
                  <c:v>16.414422662716266</c:v>
                </c:pt>
                <c:pt idx="341">
                  <c:v>16.313679340364864</c:v>
                </c:pt>
                <c:pt idx="342">
                  <c:v>16.743282933413099</c:v>
                </c:pt>
                <c:pt idx="343">
                  <c:v>17.05036290599995</c:v>
                </c:pt>
                <c:pt idx="344">
                  <c:v>16.137639891603037</c:v>
                </c:pt>
                <c:pt idx="345">
                  <c:v>15.304649352730145</c:v>
                </c:pt>
                <c:pt idx="346">
                  <c:v>14.925897718117827</c:v>
                </c:pt>
                <c:pt idx="347">
                  <c:v>14.968350730352013</c:v>
                </c:pt>
                <c:pt idx="348">
                  <c:v>14.86384622584751</c:v>
                </c:pt>
                <c:pt idx="349">
                  <c:v>14.39693745833843</c:v>
                </c:pt>
                <c:pt idx="350">
                  <c:v>15.521410892228905</c:v>
                </c:pt>
                <c:pt idx="351">
                  <c:v>15.192210292577352</c:v>
                </c:pt>
                <c:pt idx="352">
                  <c:v>15.135209722571652</c:v>
                </c:pt>
                <c:pt idx="353">
                  <c:v>14.519976773834976</c:v>
                </c:pt>
                <c:pt idx="354">
                  <c:v>14.885934220643485</c:v>
                </c:pt>
                <c:pt idx="355">
                  <c:v>13.752457962107675</c:v>
                </c:pt>
                <c:pt idx="356">
                  <c:v>12.895220903090198</c:v>
                </c:pt>
                <c:pt idx="357">
                  <c:v>16.616769003653289</c:v>
                </c:pt>
                <c:pt idx="358">
                  <c:v>17.966226768352694</c:v>
                </c:pt>
                <c:pt idx="359">
                  <c:v>16.034097594844209</c:v>
                </c:pt>
                <c:pt idx="360">
                  <c:v>14.167237350544335</c:v>
                </c:pt>
                <c:pt idx="361">
                  <c:v>14.167237350544335</c:v>
                </c:pt>
                <c:pt idx="362">
                  <c:v>15.974338569410259</c:v>
                </c:pt>
                <c:pt idx="363">
                  <c:v>13.803023828374403</c:v>
                </c:pt>
                <c:pt idx="364">
                  <c:v>13.519372461690544</c:v>
                </c:pt>
                <c:pt idx="365">
                  <c:v>12.882606127249788</c:v>
                </c:pt>
                <c:pt idx="366">
                  <c:v>7.1081407999652821</c:v>
                </c:pt>
                <c:pt idx="367">
                  <c:v>6.119926664580901</c:v>
                </c:pt>
                <c:pt idx="368">
                  <c:v>9.5029837548203133</c:v>
                </c:pt>
                <c:pt idx="369">
                  <c:v>9.8839423143140035</c:v>
                </c:pt>
                <c:pt idx="370">
                  <c:v>10.162882342208007</c:v>
                </c:pt>
                <c:pt idx="371">
                  <c:v>11.082695412455022</c:v>
                </c:pt>
                <c:pt idx="372">
                  <c:v>10.331569327126132</c:v>
                </c:pt>
                <c:pt idx="373">
                  <c:v>11.243967114523922</c:v>
                </c:pt>
                <c:pt idx="374">
                  <c:v>13.828676063264149</c:v>
                </c:pt>
                <c:pt idx="375">
                  <c:v>11.754533906401404</c:v>
                </c:pt>
                <c:pt idx="376">
                  <c:v>10.678485061038085</c:v>
                </c:pt>
                <c:pt idx="377">
                  <c:v>13.102184721293675</c:v>
                </c:pt>
                <c:pt idx="378">
                  <c:v>10.797490601652935</c:v>
                </c:pt>
                <c:pt idx="379">
                  <c:v>10.392475066810503</c:v>
                </c:pt>
                <c:pt idx="380">
                  <c:v>9.6584146641259423</c:v>
                </c:pt>
                <c:pt idx="381">
                  <c:v>10.846645520406589</c:v>
                </c:pt>
                <c:pt idx="382">
                  <c:v>12.397033117305812</c:v>
                </c:pt>
                <c:pt idx="383">
                  <c:v>14.869985203859134</c:v>
                </c:pt>
                <c:pt idx="384">
                  <c:v>14.701309091330167</c:v>
                </c:pt>
                <c:pt idx="385">
                  <c:v>15.492559973297709</c:v>
                </c:pt>
                <c:pt idx="386">
                  <c:v>12.920934778614816</c:v>
                </c:pt>
                <c:pt idx="387">
                  <c:v>13.698814326754405</c:v>
                </c:pt>
                <c:pt idx="388">
                  <c:v>10.669595483582073</c:v>
                </c:pt>
                <c:pt idx="389">
                  <c:v>10.563192115684167</c:v>
                </c:pt>
                <c:pt idx="390">
                  <c:v>12.395462518807363</c:v>
                </c:pt>
                <c:pt idx="391">
                  <c:v>11.998870274389031</c:v>
                </c:pt>
                <c:pt idx="392">
                  <c:v>13.678057952341756</c:v>
                </c:pt>
                <c:pt idx="393">
                  <c:v>12.912630265899059</c:v>
                </c:pt>
                <c:pt idx="394">
                  <c:v>14.249047639324912</c:v>
                </c:pt>
                <c:pt idx="395">
                  <c:v>12.231503779675789</c:v>
                </c:pt>
                <c:pt idx="396">
                  <c:v>11.07210721148963</c:v>
                </c:pt>
                <c:pt idx="397">
                  <c:v>12.466491986315333</c:v>
                </c:pt>
                <c:pt idx="398">
                  <c:v>14.696475865949937</c:v>
                </c:pt>
                <c:pt idx="399">
                  <c:v>13.697888879459725</c:v>
                </c:pt>
                <c:pt idx="400">
                  <c:v>13.494338969021685</c:v>
                </c:pt>
                <c:pt idx="401">
                  <c:v>12.097668726243443</c:v>
                </c:pt>
                <c:pt idx="402">
                  <c:v>9.2056701614784622</c:v>
                </c:pt>
                <c:pt idx="403">
                  <c:v>8.6420568809798635</c:v>
                </c:pt>
                <c:pt idx="404">
                  <c:v>10.794393606150022</c:v>
                </c:pt>
                <c:pt idx="405">
                  <c:v>10.226945996733765</c:v>
                </c:pt>
                <c:pt idx="406">
                  <c:v>7.9834223246386617</c:v>
                </c:pt>
                <c:pt idx="407">
                  <c:v>6.4765430933654571</c:v>
                </c:pt>
                <c:pt idx="408">
                  <c:v>7.759757365580751</c:v>
                </c:pt>
                <c:pt idx="409">
                  <c:v>8.6130739387774238</c:v>
                </c:pt>
                <c:pt idx="410">
                  <c:v>9.4049014214705569</c:v>
                </c:pt>
                <c:pt idx="411">
                  <c:v>9.8076960975757057</c:v>
                </c:pt>
                <c:pt idx="412">
                  <c:v>9.8690503811522117</c:v>
                </c:pt>
                <c:pt idx="413">
                  <c:v>9.9226031502222227</c:v>
                </c:pt>
                <c:pt idx="414">
                  <c:v>10.636690781947127</c:v>
                </c:pt>
                <c:pt idx="415">
                  <c:v>11.06108072140915</c:v>
                </c:pt>
                <c:pt idx="416">
                  <c:v>11.359705475829582</c:v>
                </c:pt>
                <c:pt idx="417">
                  <c:v>10.599249202065323</c:v>
                </c:pt>
                <c:pt idx="418">
                  <c:v>12.531345993452172</c:v>
                </c:pt>
              </c:numCache>
            </c:numRef>
          </c:val>
          <c:smooth val="1"/>
          <c:extLst>
            <c:ext xmlns:c16="http://schemas.microsoft.com/office/drawing/2014/chart" uri="{C3380CC4-5D6E-409C-BE32-E72D297353CC}">
              <c16:uniqueId val="{00000000-596A-4D22-9EF0-1BEB5647D47A}"/>
            </c:ext>
          </c:extLst>
        </c:ser>
        <c:ser>
          <c:idx val="8"/>
          <c:order val="1"/>
          <c:tx>
            <c:v>Actual R</c:v>
          </c:tx>
          <c:spPr>
            <a:ln w="19050" cap="rnd">
              <a:solidFill>
                <a:srgbClr val="00FF00"/>
              </a:solidFill>
              <a:prstDash val="solid"/>
              <a:round/>
            </a:ln>
            <a:effectLst>
              <a:glow rad="38100">
                <a:schemeClr val="accent3">
                  <a:satMod val="175000"/>
                  <a:alpha val="40000"/>
                </a:schemeClr>
              </a:glow>
              <a:softEdge rad="0"/>
            </a:effectLst>
          </c:spPr>
          <c:marker>
            <c:symbol val="none"/>
          </c:marker>
          <c:val>
            <c:numRef>
              <c:f>'2025-Q2'!$AJ$4:$AJ$422</c:f>
              <c:numCache>
                <c:formatCode>0.00</c:formatCode>
                <c:ptCount val="419"/>
                <c:pt idx="0">
                  <c:v>-0.57599405425492101</c:v>
                </c:pt>
                <c:pt idx="1">
                  <c:v>0.14192670183377543</c:v>
                </c:pt>
                <c:pt idx="2">
                  <c:v>8.3217999736403717E-2</c:v>
                </c:pt>
                <c:pt idx="3">
                  <c:v>-8.3158168858114376E-2</c:v>
                </c:pt>
                <c:pt idx="4">
                  <c:v>-0.28907043199108623</c:v>
                </c:pt>
                <c:pt idx="5">
                  <c:v>-0.94172674317761551</c:v>
                </c:pt>
                <c:pt idx="6">
                  <c:v>-1.3326693840733435</c:v>
                </c:pt>
                <c:pt idx="7">
                  <c:v>-1.4294279713979705</c:v>
                </c:pt>
                <c:pt idx="8">
                  <c:v>-0.90492887477687722</c:v>
                </c:pt>
                <c:pt idx="9">
                  <c:v>-0.90492887477687722</c:v>
                </c:pt>
                <c:pt idx="10">
                  <c:v>-0.63866292518286594</c:v>
                </c:pt>
                <c:pt idx="11">
                  <c:v>0.17035443687512675</c:v>
                </c:pt>
                <c:pt idx="12">
                  <c:v>0.47188246503205122</c:v>
                </c:pt>
                <c:pt idx="13">
                  <c:v>0.373087440414275</c:v>
                </c:pt>
                <c:pt idx="14">
                  <c:v>1.2501505741571544</c:v>
                </c:pt>
                <c:pt idx="15">
                  <c:v>1.8969167433113827</c:v>
                </c:pt>
                <c:pt idx="16">
                  <c:v>2.3025742555678823</c:v>
                </c:pt>
                <c:pt idx="17">
                  <c:v>2.4794661357991385</c:v>
                </c:pt>
                <c:pt idx="18">
                  <c:v>2.4240644737492749</c:v>
                </c:pt>
                <c:pt idx="19">
                  <c:v>3.0407126541749827</c:v>
                </c:pt>
                <c:pt idx="20">
                  <c:v>3.0407126541749827</c:v>
                </c:pt>
                <c:pt idx="21">
                  <c:v>3.0407126541749827</c:v>
                </c:pt>
                <c:pt idx="22">
                  <c:v>3.0772757254729757</c:v>
                </c:pt>
                <c:pt idx="23">
                  <c:v>3.0772757254729757</c:v>
                </c:pt>
                <c:pt idx="24">
                  <c:v>2.4033253717536915</c:v>
                </c:pt>
                <c:pt idx="25">
                  <c:v>-0.58906261311343933</c:v>
                </c:pt>
                <c:pt idx="26">
                  <c:v>-0.34832187237269646</c:v>
                </c:pt>
                <c:pt idx="27">
                  <c:v>-0.9511854744827184</c:v>
                </c:pt>
                <c:pt idx="28">
                  <c:v>-2.7856490460354939</c:v>
                </c:pt>
                <c:pt idx="29">
                  <c:v>-2.2836675400909754</c:v>
                </c:pt>
                <c:pt idx="30">
                  <c:v>-2.859358085153648</c:v>
                </c:pt>
                <c:pt idx="31">
                  <c:v>-2.3409472324404694</c:v>
                </c:pt>
                <c:pt idx="32">
                  <c:v>-2.8503052044850099</c:v>
                </c:pt>
                <c:pt idx="33">
                  <c:v>-2.7402572314764151</c:v>
                </c:pt>
                <c:pt idx="34">
                  <c:v>-3.5558662002930603</c:v>
                </c:pt>
                <c:pt idx="35" formatCode="0.0">
                  <c:v>-4.2988380878432624</c:v>
                </c:pt>
                <c:pt idx="36">
                  <c:v>-4.6363451729156582</c:v>
                </c:pt>
                <c:pt idx="37" formatCode="0.0">
                  <c:v>-4.4343563599883726</c:v>
                </c:pt>
                <c:pt idx="38">
                  <c:v>-4.2467122654246552</c:v>
                </c:pt>
                <c:pt idx="39">
                  <c:v>-4.3482024382054831</c:v>
                </c:pt>
                <c:pt idx="40" formatCode="0.0">
                  <c:v>-6.3764743814758003</c:v>
                </c:pt>
                <c:pt idx="41" formatCode="0.0">
                  <c:v>-6.9994994813386775</c:v>
                </c:pt>
                <c:pt idx="42">
                  <c:v>-5.5396454667401356</c:v>
                </c:pt>
                <c:pt idx="43">
                  <c:v>-6.3012565311266409</c:v>
                </c:pt>
                <c:pt idx="44">
                  <c:v>-6.7943072338209491</c:v>
                </c:pt>
                <c:pt idx="45">
                  <c:v>-6.8215801594422265</c:v>
                </c:pt>
                <c:pt idx="46">
                  <c:v>-8.0686966530985131</c:v>
                </c:pt>
                <c:pt idx="47">
                  <c:v>-9.521968003608869</c:v>
                </c:pt>
                <c:pt idx="48">
                  <c:v>-10.089397209207982</c:v>
                </c:pt>
                <c:pt idx="49">
                  <c:v>-10.089397209207982</c:v>
                </c:pt>
                <c:pt idx="50">
                  <c:v>-10.089397209207982</c:v>
                </c:pt>
                <c:pt idx="51">
                  <c:v>-11.0027659669736</c:v>
                </c:pt>
                <c:pt idx="52">
                  <c:v>-12.488750431681471</c:v>
                </c:pt>
                <c:pt idx="53">
                  <c:v>-11.996090636696096</c:v>
                </c:pt>
                <c:pt idx="54">
                  <c:v>-11.255953331826369</c:v>
                </c:pt>
                <c:pt idx="55">
                  <c:v>-10.663205772551613</c:v>
                </c:pt>
                <c:pt idx="56">
                  <c:v>-11.106375741269026</c:v>
                </c:pt>
                <c:pt idx="57" formatCode="0.0">
                  <c:v>-9.2129326069499786</c:v>
                </c:pt>
                <c:pt idx="58">
                  <c:v>-8.449125321403562</c:v>
                </c:pt>
                <c:pt idx="59">
                  <c:v>-7.2563979468045225</c:v>
                </c:pt>
                <c:pt idx="60" formatCode="0.0">
                  <c:v>-7.3387533101975642</c:v>
                </c:pt>
                <c:pt idx="61">
                  <c:v>-5.8334528123494556</c:v>
                </c:pt>
                <c:pt idx="62">
                  <c:v>-3.4887126349096582</c:v>
                </c:pt>
                <c:pt idx="63">
                  <c:v>-2.5457876942327489</c:v>
                </c:pt>
                <c:pt idx="64">
                  <c:v>-2.9476175656471924</c:v>
                </c:pt>
                <c:pt idx="65">
                  <c:v>-1.8267298800290126</c:v>
                </c:pt>
                <c:pt idx="66">
                  <c:v>-2.2055177588168915</c:v>
                </c:pt>
                <c:pt idx="67">
                  <c:v>-3.1743183170177662</c:v>
                </c:pt>
                <c:pt idx="68">
                  <c:v>-2.9950965968705732</c:v>
                </c:pt>
                <c:pt idx="69" formatCode="0.0">
                  <c:v>-2.7117500610104806</c:v>
                </c:pt>
                <c:pt idx="70" formatCode="0.0">
                  <c:v>-1.4989875671149895</c:v>
                </c:pt>
                <c:pt idx="71" formatCode="0.0">
                  <c:v>-2.0650868792603916</c:v>
                </c:pt>
                <c:pt idx="72" formatCode="0.0">
                  <c:v>-0.44072730776528091</c:v>
                </c:pt>
                <c:pt idx="73">
                  <c:v>-0.63298834609619026</c:v>
                </c:pt>
                <c:pt idx="74" formatCode="0.0">
                  <c:v>0.23497588325678243</c:v>
                </c:pt>
                <c:pt idx="75">
                  <c:v>-0.27201417906425596</c:v>
                </c:pt>
                <c:pt idx="76">
                  <c:v>1.0479551494492725</c:v>
                </c:pt>
                <c:pt idx="77">
                  <c:v>0.76347737602415799</c:v>
                </c:pt>
                <c:pt idx="78">
                  <c:v>-0.26240389060991842</c:v>
                </c:pt>
                <c:pt idx="79">
                  <c:v>-0.26240389060991842</c:v>
                </c:pt>
                <c:pt idx="80">
                  <c:v>-7.0340724079974659E-2</c:v>
                </c:pt>
                <c:pt idx="81" formatCode="0.0">
                  <c:v>-1.144236078418134</c:v>
                </c:pt>
                <c:pt idx="82">
                  <c:v>-1.7961167917404788</c:v>
                </c:pt>
                <c:pt idx="83">
                  <c:v>-2.2793978784698399</c:v>
                </c:pt>
                <c:pt idx="84" formatCode="0.0">
                  <c:v>-3.9760046648969851</c:v>
                </c:pt>
                <c:pt idx="85">
                  <c:v>-4.0944095147596355</c:v>
                </c:pt>
                <c:pt idx="86">
                  <c:v>-4.5932127891617744</c:v>
                </c:pt>
                <c:pt idx="87">
                  <c:v>-4.8272457047589343</c:v>
                </c:pt>
                <c:pt idx="88">
                  <c:v>-3.8580947356079651</c:v>
                </c:pt>
                <c:pt idx="89">
                  <c:v>-4.1755550530682841</c:v>
                </c:pt>
                <c:pt idx="90">
                  <c:v>-2.9619393485909606</c:v>
                </c:pt>
                <c:pt idx="91">
                  <c:v>-3.1802799599446723</c:v>
                </c:pt>
                <c:pt idx="92">
                  <c:v>-2.9044178909791554</c:v>
                </c:pt>
                <c:pt idx="93">
                  <c:v>-2.9044178909791554</c:v>
                </c:pt>
                <c:pt idx="94">
                  <c:v>-3.542630494926656</c:v>
                </c:pt>
                <c:pt idx="95">
                  <c:v>-3.5256971277265867</c:v>
                </c:pt>
                <c:pt idx="96">
                  <c:v>-3.477663011788632</c:v>
                </c:pt>
                <c:pt idx="97" formatCode="0.0">
                  <c:v>-3.2956450160471671</c:v>
                </c:pt>
                <c:pt idx="98" formatCode="0.0">
                  <c:v>-3.5249072086274102</c:v>
                </c:pt>
                <c:pt idx="99" formatCode="0.0">
                  <c:v>-4.3517131268171418</c:v>
                </c:pt>
                <c:pt idx="100" formatCode="0.0">
                  <c:v>-5.8099278418168261</c:v>
                </c:pt>
                <c:pt idx="101" formatCode="0.0">
                  <c:v>-6.3403815692015</c:v>
                </c:pt>
                <c:pt idx="102">
                  <c:v>-6.3958575065136909</c:v>
                </c:pt>
                <c:pt idx="103">
                  <c:v>-7.6055861916409571</c:v>
                </c:pt>
                <c:pt idx="104">
                  <c:v>-7.6307455341434718</c:v>
                </c:pt>
                <c:pt idx="105">
                  <c:v>-6.7708098746532484</c:v>
                </c:pt>
                <c:pt idx="106" formatCode="0.0">
                  <c:v>-6.96671727898398</c:v>
                </c:pt>
                <c:pt idx="107">
                  <c:v>-8.3472043272234693</c:v>
                </c:pt>
                <c:pt idx="108">
                  <c:v>-7.7991148988466792</c:v>
                </c:pt>
                <c:pt idx="109" formatCode="0.0">
                  <c:v>-8.3251001398578293</c:v>
                </c:pt>
                <c:pt idx="110">
                  <c:v>-8.0292703851102392</c:v>
                </c:pt>
                <c:pt idx="111">
                  <c:v>-7.7283820481153001</c:v>
                </c:pt>
                <c:pt idx="112">
                  <c:v>-7.2968383518751985</c:v>
                </c:pt>
                <c:pt idx="113">
                  <c:v>-6.6851327836912793</c:v>
                </c:pt>
                <c:pt idx="114">
                  <c:v>-7.1867509066686255</c:v>
                </c:pt>
                <c:pt idx="115">
                  <c:v>-5.8497594852827266</c:v>
                </c:pt>
                <c:pt idx="116">
                  <c:v>-5.4643867707960885</c:v>
                </c:pt>
                <c:pt idx="117">
                  <c:v>-5.0760835906147381</c:v>
                </c:pt>
                <c:pt idx="118" formatCode="0.0">
                  <c:v>-4.0530468643322601</c:v>
                </c:pt>
                <c:pt idx="119" formatCode="0.0">
                  <c:v>-4.4877624196307764</c:v>
                </c:pt>
                <c:pt idx="120">
                  <c:v>-4.2790180314234068</c:v>
                </c:pt>
                <c:pt idx="121">
                  <c:v>-4.7795709678066221</c:v>
                </c:pt>
                <c:pt idx="122">
                  <c:v>-5.8241392129319669</c:v>
                </c:pt>
                <c:pt idx="123">
                  <c:v>-6.1410366362541096</c:v>
                </c:pt>
                <c:pt idx="124">
                  <c:v>-7.4294250042388921</c:v>
                </c:pt>
                <c:pt idx="125" formatCode="0.0">
                  <c:v>-7.064291199614642</c:v>
                </c:pt>
                <c:pt idx="126">
                  <c:v>-6.673648141041296</c:v>
                </c:pt>
                <c:pt idx="127">
                  <c:v>-7.3158315646816749</c:v>
                </c:pt>
                <c:pt idx="128" formatCode="0.0">
                  <c:v>-7.0601155598681968</c:v>
                </c:pt>
                <c:pt idx="129">
                  <c:v>-7.5618136148234303</c:v>
                </c:pt>
                <c:pt idx="130" formatCode="0.0">
                  <c:v>-8.1236603047189</c:v>
                </c:pt>
                <c:pt idx="131" formatCode="0.0">
                  <c:v>-8.3694690397947973</c:v>
                </c:pt>
                <c:pt idx="132">
                  <c:v>-8.9127939057276233</c:v>
                </c:pt>
                <c:pt idx="133">
                  <c:v>-7.9385797959202904</c:v>
                </c:pt>
                <c:pt idx="134">
                  <c:v>-7.4510289107550909</c:v>
                </c:pt>
                <c:pt idx="135">
                  <c:v>-6.8463425917830563</c:v>
                </c:pt>
                <c:pt idx="136">
                  <c:v>-6.659230977129984</c:v>
                </c:pt>
                <c:pt idx="137">
                  <c:v>-6.9857475607354136</c:v>
                </c:pt>
                <c:pt idx="138">
                  <c:v>-6.7543665050593473</c:v>
                </c:pt>
                <c:pt idx="139">
                  <c:v>-6.6678313717952404</c:v>
                </c:pt>
                <c:pt idx="140" formatCode="0.0">
                  <c:v>-6.8349855715445118</c:v>
                </c:pt>
                <c:pt idx="141" formatCode="0.0">
                  <c:v>-7.2512513122465156</c:v>
                </c:pt>
                <c:pt idx="142" formatCode="0.0">
                  <c:v>-8.5257731954176244</c:v>
                </c:pt>
                <c:pt idx="143">
                  <c:v>-8.8954020264664457</c:v>
                </c:pt>
                <c:pt idx="144" formatCode="0.0">
                  <c:v>-8.9416822532395575</c:v>
                </c:pt>
                <c:pt idx="145">
                  <c:v>-7.6017680339421734</c:v>
                </c:pt>
                <c:pt idx="146">
                  <c:v>-8.0446021724284869</c:v>
                </c:pt>
                <c:pt idx="147" formatCode="0.0">
                  <c:v>-8.6085743974193516</c:v>
                </c:pt>
                <c:pt idx="148" formatCode="0.0">
                  <c:v>-7.4343319731769277</c:v>
                </c:pt>
                <c:pt idx="149">
                  <c:v>-6.4951160980203912</c:v>
                </c:pt>
                <c:pt idx="150">
                  <c:v>-6.9355500866335626</c:v>
                </c:pt>
                <c:pt idx="151">
                  <c:v>-5.7325272108165706</c:v>
                </c:pt>
                <c:pt idx="152" formatCode="0.0">
                  <c:v>-3.2389445192140784</c:v>
                </c:pt>
                <c:pt idx="153">
                  <c:v>-4.8889150554545004</c:v>
                </c:pt>
                <c:pt idx="154">
                  <c:v>-4.576097846115859</c:v>
                </c:pt>
                <c:pt idx="155" formatCode="0.0">
                  <c:v>-5.2940687664896364</c:v>
                </c:pt>
                <c:pt idx="156" formatCode="0.0">
                  <c:v>-3.295137453947131</c:v>
                </c:pt>
                <c:pt idx="157" formatCode="0.0">
                  <c:v>-2.5861648830498742</c:v>
                </c:pt>
                <c:pt idx="158" formatCode="0.0">
                  <c:v>-2.151485831007478</c:v>
                </c:pt>
                <c:pt idx="159" formatCode="0.0">
                  <c:v>-4.2892530519100909</c:v>
                </c:pt>
                <c:pt idx="160">
                  <c:v>-3.6748839226894794</c:v>
                </c:pt>
                <c:pt idx="161" formatCode="0.0">
                  <c:v>-2.5954302584215991</c:v>
                </c:pt>
                <c:pt idx="162">
                  <c:v>-2.2684849337397428</c:v>
                </c:pt>
                <c:pt idx="163">
                  <c:v>-3.2162938948426496</c:v>
                </c:pt>
                <c:pt idx="164">
                  <c:v>-2.798813955567002</c:v>
                </c:pt>
                <c:pt idx="165">
                  <c:v>-1.5463618656318869</c:v>
                </c:pt>
                <c:pt idx="166" formatCode="0.0">
                  <c:v>-1.6752829273347483</c:v>
                </c:pt>
                <c:pt idx="167">
                  <c:v>-1.9587238893435148</c:v>
                </c:pt>
                <c:pt idx="168">
                  <c:v>-0.77599591677720481</c:v>
                </c:pt>
                <c:pt idx="169" formatCode="0.0">
                  <c:v>-0.51418627044592513</c:v>
                </c:pt>
                <c:pt idx="170" formatCode="0.0">
                  <c:v>-4.4681972789030577E-2</c:v>
                </c:pt>
                <c:pt idx="171" formatCode="0.0">
                  <c:v>-1.9881737251979805</c:v>
                </c:pt>
                <c:pt idx="172" formatCode="0.0">
                  <c:v>-1.9936150136950974</c:v>
                </c:pt>
                <c:pt idx="173" formatCode="0.0">
                  <c:v>-1.4739492301206116</c:v>
                </c:pt>
                <c:pt idx="174" formatCode="0.0">
                  <c:v>0.32888928157865882</c:v>
                </c:pt>
                <c:pt idx="175">
                  <c:v>1.3185332290225364</c:v>
                </c:pt>
                <c:pt idx="176">
                  <c:v>1.3753274392584744</c:v>
                </c:pt>
                <c:pt idx="177">
                  <c:v>2.698338975384766</c:v>
                </c:pt>
                <c:pt idx="178">
                  <c:v>3.0878256375681299</c:v>
                </c:pt>
                <c:pt idx="179" formatCode="0.0">
                  <c:v>4.2050330167029912</c:v>
                </c:pt>
                <c:pt idx="180" formatCode="0.0">
                  <c:v>3.5256685215490196</c:v>
                </c:pt>
                <c:pt idx="181" formatCode="0.0">
                  <c:v>3.2148329619610019</c:v>
                </c:pt>
                <c:pt idx="182" formatCode="0.0">
                  <c:v>3.9284390513996317</c:v>
                </c:pt>
                <c:pt idx="183" formatCode="0.0">
                  <c:v>3.5100785084988542</c:v>
                </c:pt>
                <c:pt idx="184" formatCode="0.0">
                  <c:v>1.9040004165580995</c:v>
                </c:pt>
                <c:pt idx="185" formatCode="0.0">
                  <c:v>0.98219494929808882</c:v>
                </c:pt>
                <c:pt idx="186" formatCode="0.0">
                  <c:v>0.97486572033297592</c:v>
                </c:pt>
                <c:pt idx="187" formatCode="0.0">
                  <c:v>1.424787473071631</c:v>
                </c:pt>
                <c:pt idx="188" formatCode="0.0">
                  <c:v>2.3520855107024206</c:v>
                </c:pt>
                <c:pt idx="189" formatCode="0.0">
                  <c:v>2.2835348052935509</c:v>
                </c:pt>
                <c:pt idx="190" formatCode="0.0">
                  <c:v>2.9826456449053076</c:v>
                </c:pt>
                <c:pt idx="191" formatCode="0.0">
                  <c:v>2.1799129378173503</c:v>
                </c:pt>
                <c:pt idx="192">
                  <c:v>1.8599520257034259</c:v>
                </c:pt>
                <c:pt idx="193" formatCode="0.0">
                  <c:v>3.8339125464930106</c:v>
                </c:pt>
                <c:pt idx="194">
                  <c:v>2.8730189058269948</c:v>
                </c:pt>
                <c:pt idx="195">
                  <c:v>2.9992189535535583</c:v>
                </c:pt>
                <c:pt idx="196">
                  <c:v>2.9402229798767086</c:v>
                </c:pt>
                <c:pt idx="197" formatCode="0.0">
                  <c:v>3.1544067019138331</c:v>
                </c:pt>
                <c:pt idx="198" formatCode="0.0">
                  <c:v>3.2521382292786623</c:v>
                </c:pt>
                <c:pt idx="199" formatCode="0.0">
                  <c:v>4.0630620307222172</c:v>
                </c:pt>
                <c:pt idx="200" formatCode="0.0">
                  <c:v>3.7585623174942095</c:v>
                </c:pt>
                <c:pt idx="201" formatCode="0.0">
                  <c:v>4.8132330019539591</c:v>
                </c:pt>
                <c:pt idx="202">
                  <c:v>5.071334126911264</c:v>
                </c:pt>
                <c:pt idx="203">
                  <c:v>4.5310741415383911</c:v>
                </c:pt>
                <c:pt idx="204">
                  <c:v>4.5580841938337588</c:v>
                </c:pt>
                <c:pt idx="205">
                  <c:v>3.620227674137094</c:v>
                </c:pt>
                <c:pt idx="206">
                  <c:v>5.0890824065998235</c:v>
                </c:pt>
                <c:pt idx="207">
                  <c:v>5.0103215769857528</c:v>
                </c:pt>
                <c:pt idx="208">
                  <c:v>4.847173406997153</c:v>
                </c:pt>
                <c:pt idx="209">
                  <c:v>5.0723235070638646</c:v>
                </c:pt>
                <c:pt idx="210" formatCode="0.0">
                  <c:v>6.0909192762019337</c:v>
                </c:pt>
                <c:pt idx="211" formatCode="0.0">
                  <c:v>5.5054917155079517</c:v>
                </c:pt>
                <c:pt idx="212" formatCode="0.0">
                  <c:v>5.5054917155079517</c:v>
                </c:pt>
                <c:pt idx="213" formatCode="0.0">
                  <c:v>5.5932162604368729</c:v>
                </c:pt>
                <c:pt idx="214" formatCode="0.0">
                  <c:v>6.1365040276994041</c:v>
                </c:pt>
                <c:pt idx="215" formatCode="0.0">
                  <c:v>4.7560541822671469</c:v>
                </c:pt>
                <c:pt idx="216" formatCode="0.0">
                  <c:v>6.14015451704954</c:v>
                </c:pt>
                <c:pt idx="217" formatCode="0.0">
                  <c:v>7.0878622189786293</c:v>
                </c:pt>
                <c:pt idx="218" formatCode="0.0">
                  <c:v>6.5638540915056325</c:v>
                </c:pt>
                <c:pt idx="219" formatCode="0.0">
                  <c:v>8.2692989876984182</c:v>
                </c:pt>
                <c:pt idx="220" formatCode="0.0">
                  <c:v>8.7694522379979514</c:v>
                </c:pt>
                <c:pt idx="221" formatCode="0.0">
                  <c:v>9.3237053710476445</c:v>
                </c:pt>
                <c:pt idx="222" formatCode="0.0">
                  <c:v>9.5089989150304799</c:v>
                </c:pt>
                <c:pt idx="223">
                  <c:v>9.0084488600249788</c:v>
                </c:pt>
                <c:pt idx="224" formatCode="0.0">
                  <c:v>9.4832700402631094</c:v>
                </c:pt>
                <c:pt idx="225" formatCode="0.0">
                  <c:v>9.0112983058329021</c:v>
                </c:pt>
                <c:pt idx="226">
                  <c:v>7.1654287754127992</c:v>
                </c:pt>
                <c:pt idx="227" formatCode="0.0">
                  <c:v>7.93730915743879</c:v>
                </c:pt>
                <c:pt idx="228">
                  <c:v>7.9328527102967081</c:v>
                </c:pt>
                <c:pt idx="229" formatCode="0.0">
                  <c:v>7.6524634640489761</c:v>
                </c:pt>
                <c:pt idx="230">
                  <c:v>8.3744377355113055</c:v>
                </c:pt>
                <c:pt idx="231">
                  <c:v>8.3744377355113055</c:v>
                </c:pt>
                <c:pt idx="232">
                  <c:v>8.3340356031182417</c:v>
                </c:pt>
                <c:pt idx="233">
                  <c:v>8.7874384738866791</c:v>
                </c:pt>
                <c:pt idx="234" formatCode="0.0">
                  <c:v>9.3606461088959882</c:v>
                </c:pt>
                <c:pt idx="235" formatCode="0.0">
                  <c:v>9.0741872826200147</c:v>
                </c:pt>
                <c:pt idx="236" formatCode="0.0">
                  <c:v>10.87538643033321</c:v>
                </c:pt>
                <c:pt idx="237" formatCode="0.0">
                  <c:v>11.290904953711598</c:v>
                </c:pt>
                <c:pt idx="238" formatCode="0.0">
                  <c:v>9.5008585130101313</c:v>
                </c:pt>
                <c:pt idx="239" formatCode="0.0">
                  <c:v>9.5440035310295208</c:v>
                </c:pt>
                <c:pt idx="240" formatCode="0.0">
                  <c:v>9.6420098034309518</c:v>
                </c:pt>
                <c:pt idx="241" formatCode="0.0">
                  <c:v>13.483779069276824</c:v>
                </c:pt>
                <c:pt idx="242" formatCode="0.0">
                  <c:v>13.602951869837643</c:v>
                </c:pt>
                <c:pt idx="243" formatCode="0.0">
                  <c:v>13.873091374716283</c:v>
                </c:pt>
                <c:pt idx="244" formatCode="0.0">
                  <c:v>12.69053072863437</c:v>
                </c:pt>
                <c:pt idx="245">
                  <c:v>13.174519325067441</c:v>
                </c:pt>
                <c:pt idx="246">
                  <c:v>12.785346828691313</c:v>
                </c:pt>
                <c:pt idx="247">
                  <c:v>12.513807125183314</c:v>
                </c:pt>
                <c:pt idx="248" formatCode="0.0">
                  <c:v>11.897223678368366</c:v>
                </c:pt>
                <c:pt idx="249">
                  <c:v>11.497010231196537</c:v>
                </c:pt>
                <c:pt idx="250" formatCode="0.0">
                  <c:v>11.951200502733947</c:v>
                </c:pt>
                <c:pt idx="251">
                  <c:v>10.950487666192849</c:v>
                </c:pt>
                <c:pt idx="252">
                  <c:v>10.443567539462817</c:v>
                </c:pt>
                <c:pt idx="253" formatCode="0.0">
                  <c:v>10.968501922664915</c:v>
                </c:pt>
                <c:pt idx="254" formatCode="0.0">
                  <c:v>11.027205342777219</c:v>
                </c:pt>
                <c:pt idx="255">
                  <c:v>11.557108755836927</c:v>
                </c:pt>
                <c:pt idx="256" formatCode="0.0">
                  <c:v>11.491556477895271</c:v>
                </c:pt>
                <c:pt idx="257">
                  <c:v>11.491556477895271</c:v>
                </c:pt>
                <c:pt idx="258" formatCode="0.0">
                  <c:v>11.150855131709463</c:v>
                </c:pt>
                <c:pt idx="259" formatCode="0.0">
                  <c:v>10.134549569949357</c:v>
                </c:pt>
                <c:pt idx="260">
                  <c:v>10.485463742353998</c:v>
                </c:pt>
                <c:pt idx="261">
                  <c:v>10.103007602003119</c:v>
                </c:pt>
                <c:pt idx="262" formatCode="0.0">
                  <c:v>10.603117035139476</c:v>
                </c:pt>
                <c:pt idx="263" formatCode="0.0">
                  <c:v>10.277529701125179</c:v>
                </c:pt>
                <c:pt idx="264">
                  <c:v>9.8146560270653929</c:v>
                </c:pt>
                <c:pt idx="265" formatCode="0.0">
                  <c:v>10.18755495005219</c:v>
                </c:pt>
                <c:pt idx="266" formatCode="0.0">
                  <c:v>10.808333855701884</c:v>
                </c:pt>
                <c:pt idx="267" formatCode="0.0">
                  <c:v>11.045978440349622</c:v>
                </c:pt>
                <c:pt idx="268">
                  <c:v>10.88434677449693</c:v>
                </c:pt>
                <c:pt idx="269">
                  <c:v>11.888584843411616</c:v>
                </c:pt>
                <c:pt idx="270" formatCode="0.0">
                  <c:v>12.373208912914265</c:v>
                </c:pt>
                <c:pt idx="271" formatCode="0.0">
                  <c:v>12.202387705777737</c:v>
                </c:pt>
                <c:pt idx="272" formatCode="0.0">
                  <c:v>12.460981209404354</c:v>
                </c:pt>
                <c:pt idx="273" formatCode="0.0">
                  <c:v>12.460981209404354</c:v>
                </c:pt>
                <c:pt idx="274" formatCode="0.0">
                  <c:v>12.092033088027952</c:v>
                </c:pt>
                <c:pt idx="275" formatCode="0.0">
                  <c:v>12.430837801832663</c:v>
                </c:pt>
                <c:pt idx="276">
                  <c:v>12.092840100217034</c:v>
                </c:pt>
                <c:pt idx="277">
                  <c:v>11.698120286576552</c:v>
                </c:pt>
                <c:pt idx="278" formatCode="0.0">
                  <c:v>12.033260462598001</c:v>
                </c:pt>
                <c:pt idx="279" formatCode="0.0">
                  <c:v>11.81866818791989</c:v>
                </c:pt>
                <c:pt idx="280" formatCode="0.0">
                  <c:v>12.260146973347721</c:v>
                </c:pt>
                <c:pt idx="281" formatCode="0.0">
                  <c:v>11.386143080725343</c:v>
                </c:pt>
                <c:pt idx="282" formatCode="0.0">
                  <c:v>11.877015208791379</c:v>
                </c:pt>
                <c:pt idx="283" formatCode="0.0">
                  <c:v>11.101698753095176</c:v>
                </c:pt>
                <c:pt idx="284" formatCode="0.0">
                  <c:v>10.66382245314991</c:v>
                </c:pt>
                <c:pt idx="285">
                  <c:v>9.840857186172201</c:v>
                </c:pt>
                <c:pt idx="286" formatCode="0.0">
                  <c:v>10.375659229594934</c:v>
                </c:pt>
                <c:pt idx="287" formatCode="0.0">
                  <c:v>10.423443853113101</c:v>
                </c:pt>
                <c:pt idx="288" formatCode="0.0">
                  <c:v>12.198455379161972</c:v>
                </c:pt>
                <c:pt idx="289" formatCode="0.0">
                  <c:v>11.746391237230888</c:v>
                </c:pt>
                <c:pt idx="290" formatCode="0.0">
                  <c:v>11.746391237230888</c:v>
                </c:pt>
                <c:pt idx="291" formatCode="0.0">
                  <c:v>12.660064835214504</c:v>
                </c:pt>
                <c:pt idx="292" formatCode="0.0">
                  <c:v>11.863753016270666</c:v>
                </c:pt>
                <c:pt idx="293" formatCode="0.0">
                  <c:v>11.071489239036596</c:v>
                </c:pt>
                <c:pt idx="294" formatCode="0.0">
                  <c:v>9.3120592003399842</c:v>
                </c:pt>
                <c:pt idx="295" formatCode="0.0">
                  <c:v>9.7839221853102725</c:v>
                </c:pt>
                <c:pt idx="296" formatCode="0.0">
                  <c:v>8.5829029503579726</c:v>
                </c:pt>
                <c:pt idx="297" formatCode="0.0">
                  <c:v>8.8551310947363184</c:v>
                </c:pt>
                <c:pt idx="298" formatCode="0.0">
                  <c:v>8.2804184510581571</c:v>
                </c:pt>
                <c:pt idx="299" formatCode="0.0">
                  <c:v>8.2804184510581571</c:v>
                </c:pt>
                <c:pt idx="300" formatCode="0.0">
                  <c:v>8.283050584138806</c:v>
                </c:pt>
                <c:pt idx="301" formatCode="0.0">
                  <c:v>9.4511739432827344</c:v>
                </c:pt>
                <c:pt idx="302" formatCode="0.0">
                  <c:v>9.3091284887372776</c:v>
                </c:pt>
                <c:pt idx="303" formatCode="0.0">
                  <c:v>9.8106223000902446</c:v>
                </c:pt>
                <c:pt idx="304" formatCode="0.0">
                  <c:v>8.5223914155325211</c:v>
                </c:pt>
                <c:pt idx="305" formatCode="0.0">
                  <c:v>9.972078737874762</c:v>
                </c:pt>
                <c:pt idx="306" formatCode="0.0">
                  <c:v>12.57895718423782</c:v>
                </c:pt>
                <c:pt idx="307" formatCode="0.0">
                  <c:v>13.188285064603004</c:v>
                </c:pt>
                <c:pt idx="308" formatCode="0.0">
                  <c:v>13.188285064603004</c:v>
                </c:pt>
                <c:pt idx="309" formatCode="0.0">
                  <c:v>12.185833023639496</c:v>
                </c:pt>
                <c:pt idx="310" formatCode="0.0">
                  <c:v>11.977362538671315</c:v>
                </c:pt>
                <c:pt idx="311" formatCode="0.0">
                  <c:v>13.349635585821211</c:v>
                </c:pt>
                <c:pt idx="312" formatCode="0.0">
                  <c:v>12.935391675966766</c:v>
                </c:pt>
                <c:pt idx="313" formatCode="0.0">
                  <c:v>12.341367149768327</c:v>
                </c:pt>
                <c:pt idx="314" formatCode="0.0">
                  <c:v>11.566173351318715</c:v>
                </c:pt>
                <c:pt idx="315" formatCode="0.0">
                  <c:v>10.787357151941768</c:v>
                </c:pt>
                <c:pt idx="316" formatCode="0.0">
                  <c:v>11.334743364666625</c:v>
                </c:pt>
                <c:pt idx="317" formatCode="0.0">
                  <c:v>11.703974133897395</c:v>
                </c:pt>
                <c:pt idx="318" formatCode="0.0">
                  <c:v>10.028332577197787</c:v>
                </c:pt>
                <c:pt idx="319" formatCode="0.0">
                  <c:v>12.364908452684167</c:v>
                </c:pt>
                <c:pt idx="320" formatCode="0.0">
                  <c:v>12.840875993258447</c:v>
                </c:pt>
                <c:pt idx="321" formatCode="0.0">
                  <c:v>13.166462610525762</c:v>
                </c:pt>
                <c:pt idx="322" formatCode="0.0">
                  <c:v>13.866847822392293</c:v>
                </c:pt>
                <c:pt idx="323" formatCode="0.0">
                  <c:v>12.125554290053984</c:v>
                </c:pt>
                <c:pt idx="324" formatCode="0.0">
                  <c:v>9.8633103611433892</c:v>
                </c:pt>
                <c:pt idx="325">
                  <c:v>10.651695064339735</c:v>
                </c:pt>
                <c:pt idx="326" formatCode="0.0">
                  <c:v>8.8697244144445566</c:v>
                </c:pt>
                <c:pt idx="327" formatCode="0.0">
                  <c:v>8.6539336045943411</c:v>
                </c:pt>
                <c:pt idx="328" formatCode="0.0">
                  <c:v>7.9421024803920819</c:v>
                </c:pt>
                <c:pt idx="329" formatCode="0.0">
                  <c:v>8.6476137685726968</c:v>
                </c:pt>
                <c:pt idx="330" formatCode="0.0">
                  <c:v>7.8079191120841482</c:v>
                </c:pt>
                <c:pt idx="331">
                  <c:v>8.1475840639374653</c:v>
                </c:pt>
                <c:pt idx="332" formatCode="0.0">
                  <c:v>9.085313001666405</c:v>
                </c:pt>
                <c:pt idx="333" formatCode="0.0">
                  <c:v>9.5584733867210634</c:v>
                </c:pt>
                <c:pt idx="334" formatCode="0.0">
                  <c:v>9.7836986119462903</c:v>
                </c:pt>
                <c:pt idx="335" formatCode="0.0">
                  <c:v>10.545507657172422</c:v>
                </c:pt>
                <c:pt idx="336" formatCode="0.0">
                  <c:v>10.023975074295214</c:v>
                </c:pt>
                <c:pt idx="337" formatCode="0.0">
                  <c:v>11.940203432831265</c:v>
                </c:pt>
                <c:pt idx="338" formatCode="0.0">
                  <c:v>11.53849329538901</c:v>
                </c:pt>
                <c:pt idx="339" formatCode="0.0">
                  <c:v>10.662956814702316</c:v>
                </c:pt>
                <c:pt idx="340" formatCode="0.0">
                  <c:v>8.9221527086287473</c:v>
                </c:pt>
                <c:pt idx="341" formatCode="0.0">
                  <c:v>8.8214093862773453</c:v>
                </c:pt>
                <c:pt idx="342" formatCode="0.0">
                  <c:v>8.9678651566346979</c:v>
                </c:pt>
                <c:pt idx="343" formatCode="0.0">
                  <c:v>9.3557787700741688</c:v>
                </c:pt>
                <c:pt idx="344" formatCode="0.0">
                  <c:v>8.6207784256503928</c:v>
                </c:pt>
                <c:pt idx="345" formatCode="0.0">
                  <c:v>7.787787886777501</c:v>
                </c:pt>
                <c:pt idx="346" formatCode="0.0">
                  <c:v>7.4385390110718266</c:v>
                </c:pt>
                <c:pt idx="347" formatCode="0.0">
                  <c:v>7.4809920233060119</c:v>
                </c:pt>
                <c:pt idx="348" formatCode="0.0">
                  <c:v>7.4312622935762835</c:v>
                </c:pt>
                <c:pt idx="349" formatCode="0.0">
                  <c:v>6.9618831093078946</c:v>
                </c:pt>
                <c:pt idx="350" formatCode="0.0">
                  <c:v>8.0863565431983702</c:v>
                </c:pt>
                <c:pt idx="351" formatCode="0.0">
                  <c:v>7.7764015170649072</c:v>
                </c:pt>
                <c:pt idx="352" formatCode="0.0">
                  <c:v>7.7209009620593561</c:v>
                </c:pt>
                <c:pt idx="353" formatCode="0.0">
                  <c:v>7.0764581403856299</c:v>
                </c:pt>
                <c:pt idx="354" formatCode="0.0">
                  <c:v>7.4424155871941391</c:v>
                </c:pt>
                <c:pt idx="355" formatCode="0.0">
                  <c:v>6.3585661350740832</c:v>
                </c:pt>
                <c:pt idx="356" formatCode="0.0">
                  <c:v>5.6139788177864709</c:v>
                </c:pt>
                <c:pt idx="357">
                  <c:v>9.2886027636452493</c:v>
                </c:pt>
                <c:pt idx="358" formatCode="0.0">
                  <c:v>10.365066198419372</c:v>
                </c:pt>
                <c:pt idx="359" formatCode="0.0">
                  <c:v>8.3683502706689605</c:v>
                </c:pt>
                <c:pt idx="360" formatCode="0.0">
                  <c:v>6.5014900263690869</c:v>
                </c:pt>
                <c:pt idx="361" formatCode="0.0">
                  <c:v>6.467026749532927</c:v>
                </c:pt>
                <c:pt idx="362" formatCode="0.0">
                  <c:v>8.5602964898614911</c:v>
                </c:pt>
                <c:pt idx="363" formatCode="0.0">
                  <c:v>6.3703894513488759</c:v>
                </c:pt>
                <c:pt idx="364" formatCode="0.0">
                  <c:v>6.0867380846650176</c:v>
                </c:pt>
                <c:pt idx="365" formatCode="0.0">
                  <c:v>5.3530725254180602</c:v>
                </c:pt>
                <c:pt idx="366" formatCode="0.0">
                  <c:v>-0.66118541366165218</c:v>
                </c:pt>
                <c:pt idx="367" formatCode="0.0">
                  <c:v>-1.6493995490460334</c:v>
                </c:pt>
                <c:pt idx="368" formatCode="0.0">
                  <c:v>1.9399190513222897</c:v>
                </c:pt>
                <c:pt idx="369" formatCode="0.0">
                  <c:v>2.3208776108159794</c:v>
                </c:pt>
                <c:pt idx="370" formatCode="0.0">
                  <c:v>2.5596671801494821</c:v>
                </c:pt>
                <c:pt idx="371" formatCode="0.0">
                  <c:v>3.451045168923808</c:v>
                </c:pt>
                <c:pt idx="372" formatCode="0.0">
                  <c:v>2.4541728482823322</c:v>
                </c:pt>
                <c:pt idx="373" formatCode="0.0">
                  <c:v>2.9697452388547241</c:v>
                </c:pt>
                <c:pt idx="374" formatCode="0.0">
                  <c:v>5.3589719981944306</c:v>
                </c:pt>
                <c:pt idx="375" formatCode="0.0">
                  <c:v>3.1837269001552149</c:v>
                </c:pt>
                <c:pt idx="376" formatCode="0.0">
                  <c:v>2.2376502467880268</c:v>
                </c:pt>
                <c:pt idx="377" formatCode="0.0">
                  <c:v>4.5696615621248586</c:v>
                </c:pt>
                <c:pt idx="378" formatCode="0.0">
                  <c:v>2.3073331432128099</c:v>
                </c:pt>
                <c:pt idx="379" formatCode="0.0">
                  <c:v>1.785806290128034</c:v>
                </c:pt>
                <c:pt idx="380" formatCode="0.0">
                  <c:v>1.0517458874434742</c:v>
                </c:pt>
                <c:pt idx="381" formatCode="0.0">
                  <c:v>1.0517458874434742</c:v>
                </c:pt>
                <c:pt idx="382" formatCode="0.0">
                  <c:v>2.7363016417666692</c:v>
                </c:pt>
                <c:pt idx="383" formatCode="0.0">
                  <c:v>5.2994134398089132</c:v>
                </c:pt>
                <c:pt idx="384" formatCode="0.0">
                  <c:v>5.1967410234869345</c:v>
                </c:pt>
                <c:pt idx="385" formatCode="0.0">
                  <c:v>5.9342338837496751</c:v>
                </c:pt>
                <c:pt idx="386" formatCode="0.0">
                  <c:v>3.212295385433908</c:v>
                </c:pt>
                <c:pt idx="387" formatCode="0.0">
                  <c:v>3.9901749335734973</c:v>
                </c:pt>
                <c:pt idx="388" formatCode="0.0">
                  <c:v>7.0432458936212017</c:v>
                </c:pt>
                <c:pt idx="389" formatCode="0.0">
                  <c:v>6.9368425257232955</c:v>
                </c:pt>
                <c:pt idx="390" formatCode="0.0">
                  <c:v>8.7691129288464911</c:v>
                </c:pt>
                <c:pt idx="391" formatCode="0.0">
                  <c:v>8.2990776762025416</c:v>
                </c:pt>
                <c:pt idx="392" formatCode="0.0">
                  <c:v>10.101760259990403</c:v>
                </c:pt>
                <c:pt idx="393" formatCode="0.0">
                  <c:v>9.8024393164593082</c:v>
                </c:pt>
                <c:pt idx="394" formatCode="0.0">
                  <c:v>11.206320066909063</c:v>
                </c:pt>
                <c:pt idx="395" formatCode="0.0">
                  <c:v>9.206320066909063</c:v>
                </c:pt>
                <c:pt idx="396" formatCode="0.0">
                  <c:v>8.0230535693778968</c:v>
                </c:pt>
                <c:pt idx="397" formatCode="0.0">
                  <c:v>9.389173787957132</c:v>
                </c:pt>
                <c:pt idx="398" formatCode="0.0">
                  <c:v>11.780361321541228</c:v>
                </c:pt>
                <c:pt idx="399" formatCode="0.0">
                  <c:v>10.658566449746356</c:v>
                </c:pt>
                <c:pt idx="400" formatCode="0.0">
                  <c:v>10.455016539308316</c:v>
                </c:pt>
                <c:pt idx="401" formatCode="0.0">
                  <c:v>9.372249423640973</c:v>
                </c:pt>
                <c:pt idx="402" formatCode="0.0">
                  <c:v>6.5179257781440203</c:v>
                </c:pt>
                <c:pt idx="403" formatCode="0.0">
                  <c:v>6.9815121283152211</c:v>
                </c:pt>
                <c:pt idx="404" formatCode="0.0">
                  <c:v>8.354940463431733</c:v>
                </c:pt>
                <c:pt idx="405" formatCode="0.0">
                  <c:v>8.9223880728479905</c:v>
                </c:pt>
                <c:pt idx="406" formatCode="0.0">
                  <c:v>6.6857358361957537</c:v>
                </c:pt>
                <c:pt idx="407" formatCode="0.0">
                  <c:v>8.0688617006494194</c:v>
                </c:pt>
                <c:pt idx="408" formatCode="0.0">
                  <c:v>6.7818677104010909</c:v>
                </c:pt>
                <c:pt idx="409" formatCode="0.0">
                  <c:v>7.8511321982499904</c:v>
                </c:pt>
                <c:pt idx="410" formatCode="0.0">
                  <c:v>8.6429596809431235</c:v>
                </c:pt>
                <c:pt idx="411" formatCode="0.0">
                  <c:v>9.0282415450437021</c:v>
                </c:pt>
                <c:pt idx="412" formatCode="0.0">
                  <c:v>9.0282415450437021</c:v>
                </c:pt>
                <c:pt idx="413" formatCode="0.0">
                  <c:v>9.7649186610311656</c:v>
                </c:pt>
                <c:pt idx="414" formatCode="0.0">
                  <c:v>10.43047606535729</c:v>
                </c:pt>
                <c:pt idx="415" formatCode="0.0">
                  <c:v>10.854866004819312</c:v>
                </c:pt>
                <c:pt idx="416" formatCode="0.0">
                  <c:v>12.11223339185271</c:v>
                </c:pt>
                <c:pt idx="417" formatCode="0.0">
                  <c:v>11.320091440014941</c:v>
                </c:pt>
                <c:pt idx="418" formatCode="0">
                  <c:v>12.748510585095428</c:v>
                </c:pt>
              </c:numCache>
              <c:extLst xmlns:c15="http://schemas.microsoft.com/office/drawing/2012/chart"/>
            </c:numRef>
          </c:val>
          <c:smooth val="1"/>
          <c:extLst xmlns:c15="http://schemas.microsoft.com/office/drawing/2012/chart">
            <c:ext xmlns:c16="http://schemas.microsoft.com/office/drawing/2014/chart" uri="{C3380CC4-5D6E-409C-BE32-E72D297353CC}">
              <c16:uniqueId val="{00000004-596A-4D22-9EF0-1BEB5647D47A}"/>
            </c:ext>
          </c:extLst>
        </c:ser>
        <c:ser>
          <c:idx val="0"/>
          <c:order val="2"/>
          <c:tx>
            <c:v>2025-Q1</c:v>
          </c:tx>
          <c:spPr>
            <a:ln w="12700" cap="rnd">
              <a:solidFill>
                <a:schemeClr val="accent3">
                  <a:lumMod val="60000"/>
                  <a:lumOff val="40000"/>
                </a:schemeClr>
              </a:solidFill>
              <a:prstDash val="solid"/>
              <a:round/>
            </a:ln>
            <a:effectLst/>
          </c:spPr>
          <c:marker>
            <c:symbol val="none"/>
          </c:marker>
          <c:dLbls>
            <c:dLbl>
              <c:idx val="48"/>
              <c:layout>
                <c:manualLayout>
                  <c:x val="-8.9540089540089546E-3"/>
                  <c:y val="-1.22324159021407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D46-4581-9D29-BA389463D207}"/>
                </c:ext>
              </c:extLst>
            </c:dLbl>
            <c:dLbl>
              <c:idx val="93"/>
              <c:layout>
                <c:manualLayout>
                  <c:x val="-9.7680097680097975E-3"/>
                  <c:y val="-1.630988786952097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B3F-4FB1-92BA-E6FBE9E27625}"/>
                </c:ext>
              </c:extLst>
            </c:dLbl>
            <c:dLbl>
              <c:idx val="155"/>
              <c:layout>
                <c:manualLayout>
                  <c:x val="-1.3024013024013023E-2"/>
                  <c:y val="1.01936799184504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B3F-4FB1-92BA-E6FBE9E27625}"/>
                </c:ext>
              </c:extLst>
            </c:dLbl>
            <c:dLbl>
              <c:idx val="196"/>
              <c:layout>
                <c:manualLayout>
                  <c:x val="-4.884004884004884E-3"/>
                  <c:y val="6.11620795107041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B3F-4FB1-92BA-E6FBE9E27625}"/>
                </c:ext>
              </c:extLst>
            </c:dLbl>
            <c:dLbl>
              <c:idx val="215"/>
              <c:layout>
                <c:manualLayout>
                  <c:x val="-1.3024013024013023E-2"/>
                  <c:y val="-1.63098878695208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D46-4581-9D29-BA389463D207}"/>
                </c:ext>
              </c:extLst>
            </c:dLbl>
            <c:dLbl>
              <c:idx val="252"/>
              <c:layout>
                <c:manualLayout>
                  <c:x val="-6.5120065120065117E-3"/>
                  <c:y val="1.8348623853211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B3F-4FB1-92BA-E6FBE9E27625}"/>
                </c:ext>
              </c:extLst>
            </c:dLbl>
            <c:dLbl>
              <c:idx val="265"/>
              <c:layout>
                <c:manualLayout>
                  <c:x val="-1.3024013024013023E-2"/>
                  <c:y val="-1.42711518858308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4F8-4CE7-B2DE-0AF18DA59B78}"/>
                </c:ext>
              </c:extLst>
            </c:dLbl>
            <c:dLbl>
              <c:idx val="295"/>
              <c:layout>
                <c:manualLayout>
                  <c:x val="-1.1396011396011397E-2"/>
                  <c:y val="-1.63098878695208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B3F-4FB1-92BA-E6FBE9E27625}"/>
                </c:ext>
              </c:extLst>
            </c:dLbl>
            <c:dLbl>
              <c:idx val="337"/>
              <c:layout>
                <c:manualLayout>
                  <c:x val="-1.4652014652014652E-2"/>
                  <c:y val="1.01936799184504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B3F-4FB1-92BA-E6FBE9E27625}"/>
                </c:ext>
              </c:extLst>
            </c:dLbl>
            <c:dLbl>
              <c:idx val="347"/>
              <c:layout>
                <c:manualLayout>
                  <c:x val="-3.2560032560032559E-3"/>
                  <c:y val="-2.038735983690149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B3F-4FB1-92BA-E6FBE9E27625}"/>
                </c:ext>
              </c:extLst>
            </c:dLbl>
            <c:dLbl>
              <c:idx val="395"/>
              <c:layout>
                <c:manualLayout>
                  <c:x val="-1.221001221001221E-2"/>
                  <c:y val="8.154943934760449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B3F-4FB1-92BA-E6FBE9E27625}"/>
                </c:ext>
              </c:extLst>
            </c:dLbl>
            <c:dLbl>
              <c:idx val="430"/>
              <c:layout>
                <c:manualLayout>
                  <c:x val="-1.62800162800164E-2"/>
                  <c:y val="-1.63098878695209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B3F-4FB1-92BA-E6FBE9E27625}"/>
                </c:ext>
              </c:extLst>
            </c:dLbl>
            <c:dLbl>
              <c:idx val="444"/>
              <c:layout>
                <c:manualLayout>
                  <c:x val="-4.0700040700041894E-3"/>
                  <c:y val="1.01936799184505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D46-4581-9D29-BA389463D207}"/>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'[2]2025-Q1'!$FQ$4:$FQ$448</c:f>
              <c:numCache>
                <c:formatCode>General</c:formatCode>
                <c:ptCount val="445"/>
                <c:pt idx="0">
                  <c:v>1.2290222546515868</c:v>
                </c:pt>
                <c:pt idx="1">
                  <c:v>2.1977620788130943</c:v>
                </c:pt>
                <c:pt idx="2">
                  <c:v>4.6923390853206843</c:v>
                </c:pt>
                <c:pt idx="3">
                  <c:v>4.88966940145328</c:v>
                </c:pt>
                <c:pt idx="4">
                  <c:v>5.8659301122272653</c:v>
                </c:pt>
                <c:pt idx="5">
                  <c:v>6.6378347658179182</c:v>
                </c:pt>
                <c:pt idx="6">
                  <c:v>7.617239578398598</c:v>
                </c:pt>
                <c:pt idx="7">
                  <c:v>8.2294844763577828</c:v>
                </c:pt>
                <c:pt idx="8">
                  <c:v>8.9230144561664044</c:v>
                </c:pt>
                <c:pt idx="9">
                  <c:v>9.3238707612956482</c:v>
                </c:pt>
                <c:pt idx="10">
                  <c:v>9.2884850571201358</c:v>
                </c:pt>
                <c:pt idx="11">
                  <c:v>10.322294504506857</c:v>
                </c:pt>
                <c:pt idx="12">
                  <c:v>9.0800274919345156</c:v>
                </c:pt>
                <c:pt idx="13">
                  <c:v>8.094434826577606</c:v>
                </c:pt>
                <c:pt idx="14">
                  <c:v>7.6662972251438424</c:v>
                </c:pt>
                <c:pt idx="15">
                  <c:v>6.6637909594796829</c:v>
                </c:pt>
                <c:pt idx="16">
                  <c:v>7.419682466816278</c:v>
                </c:pt>
                <c:pt idx="17">
                  <c:v>6.9897319516868892</c:v>
                </c:pt>
                <c:pt idx="18">
                  <c:v>6.6419989036729792</c:v>
                </c:pt>
                <c:pt idx="19">
                  <c:v>5.8409241698686207</c:v>
                </c:pt>
                <c:pt idx="20">
                  <c:v>5.9992772973428892</c:v>
                </c:pt>
                <c:pt idx="21">
                  <c:v>6.407107639920377</c:v>
                </c:pt>
                <c:pt idx="22">
                  <c:v>6.2254837082964478</c:v>
                </c:pt>
                <c:pt idx="23">
                  <c:v>6.7533378286122892</c:v>
                </c:pt>
                <c:pt idx="24">
                  <c:v>7.2815942279599435</c:v>
                </c:pt>
                <c:pt idx="25">
                  <c:v>6.8018561085333697</c:v>
                </c:pt>
                <c:pt idx="26">
                  <c:v>7.031144937280926</c:v>
                </c:pt>
                <c:pt idx="27">
                  <c:v>6.2479026786288312</c:v>
                </c:pt>
                <c:pt idx="28">
                  <c:v>8.7076196626536095</c:v>
                </c:pt>
                <c:pt idx="29">
                  <c:v>9.0121242604142502</c:v>
                </c:pt>
                <c:pt idx="30">
                  <c:v>9.8159003492066255</c:v>
                </c:pt>
                <c:pt idx="31">
                  <c:v>11.030715164021439</c:v>
                </c:pt>
                <c:pt idx="32">
                  <c:v>11.585171425873199</c:v>
                </c:pt>
                <c:pt idx="33">
                  <c:v>12.052040590008646</c:v>
                </c:pt>
                <c:pt idx="34">
                  <c:v>11.672441880073432</c:v>
                </c:pt>
                <c:pt idx="35">
                  <c:v>12.233339315970868</c:v>
                </c:pt>
                <c:pt idx="36">
                  <c:v>12.904864801852792</c:v>
                </c:pt>
                <c:pt idx="37">
                  <c:v>13.695130732610442</c:v>
                </c:pt>
                <c:pt idx="38">
                  <c:v>14.035656693500531</c:v>
                </c:pt>
                <c:pt idx="39">
                  <c:v>14.334787520907691</c:v>
                </c:pt>
                <c:pt idx="40">
                  <c:v>14.790648139962247</c:v>
                </c:pt>
                <c:pt idx="41">
                  <c:v>14.090730241768487</c:v>
                </c:pt>
                <c:pt idx="42">
                  <c:v>14.372298359593914</c:v>
                </c:pt>
                <c:pt idx="43">
                  <c:v>14.49888063807493</c:v>
                </c:pt>
                <c:pt idx="44">
                  <c:v>14.242553841753015</c:v>
                </c:pt>
                <c:pt idx="45">
                  <c:v>15.396372770046353</c:v>
                </c:pt>
                <c:pt idx="46">
                  <c:v>16.163265617091874</c:v>
                </c:pt>
                <c:pt idx="47">
                  <c:v>16.76001187836351</c:v>
                </c:pt>
                <c:pt idx="48">
                  <c:v>17.177851052917958</c:v>
                </c:pt>
                <c:pt idx="49">
                  <c:v>17.022653486415802</c:v>
                </c:pt>
                <c:pt idx="50">
                  <c:v>16.854257345873293</c:v>
                </c:pt>
                <c:pt idx="51">
                  <c:v>16.121500141522755</c:v>
                </c:pt>
                <c:pt idx="52">
                  <c:v>15.240021983238853</c:v>
                </c:pt>
                <c:pt idx="53">
                  <c:v>14.438121181338047</c:v>
                </c:pt>
                <c:pt idx="54">
                  <c:v>14.362937826012301</c:v>
                </c:pt>
                <c:pt idx="55">
                  <c:v>13.967327820907656</c:v>
                </c:pt>
                <c:pt idx="56">
                  <c:v>13.894075628464414</c:v>
                </c:pt>
                <c:pt idx="57">
                  <c:v>14.466258727055964</c:v>
                </c:pt>
                <c:pt idx="58">
                  <c:v>14.466258727055964</c:v>
                </c:pt>
                <c:pt idx="59">
                  <c:v>14.654809666719663</c:v>
                </c:pt>
                <c:pt idx="60">
                  <c:v>15.082737594647588</c:v>
                </c:pt>
                <c:pt idx="61">
                  <c:v>15.899077725262011</c:v>
                </c:pt>
                <c:pt idx="62">
                  <c:v>16.891420899304247</c:v>
                </c:pt>
                <c:pt idx="63">
                  <c:v>17.476600163976549</c:v>
                </c:pt>
                <c:pt idx="64">
                  <c:v>18.175443167101285</c:v>
                </c:pt>
                <c:pt idx="65">
                  <c:v>16.979764604343334</c:v>
                </c:pt>
                <c:pt idx="66">
                  <c:v>16.411117529463887</c:v>
                </c:pt>
                <c:pt idx="67">
                  <c:v>16.387019921468557</c:v>
                </c:pt>
                <c:pt idx="68">
                  <c:v>15.7234758153015</c:v>
                </c:pt>
                <c:pt idx="69">
                  <c:v>14.921872608888675</c:v>
                </c:pt>
                <c:pt idx="70">
                  <c:v>15.860839745038909</c:v>
                </c:pt>
                <c:pt idx="71">
                  <c:v>15.854513033663483</c:v>
                </c:pt>
                <c:pt idx="72">
                  <c:v>16.115283592300131</c:v>
                </c:pt>
                <c:pt idx="73">
                  <c:v>16.495391815252692</c:v>
                </c:pt>
                <c:pt idx="74">
                  <c:v>15.215383985603488</c:v>
                </c:pt>
                <c:pt idx="75">
                  <c:v>17.519007496404811</c:v>
                </c:pt>
                <c:pt idx="76">
                  <c:v>18.789695748191011</c:v>
                </c:pt>
                <c:pt idx="77">
                  <c:v>17.927580404958817</c:v>
                </c:pt>
                <c:pt idx="78">
                  <c:v>17.47665202299595</c:v>
                </c:pt>
                <c:pt idx="79">
                  <c:v>17.802375822622736</c:v>
                </c:pt>
                <c:pt idx="80">
                  <c:v>18.357783269525783</c:v>
                </c:pt>
                <c:pt idx="81">
                  <c:v>19.178170079925277</c:v>
                </c:pt>
                <c:pt idx="82">
                  <c:v>18.779927274982139</c:v>
                </c:pt>
                <c:pt idx="83">
                  <c:v>18.659279222586413</c:v>
                </c:pt>
                <c:pt idx="84">
                  <c:v>19.92156043802008</c:v>
                </c:pt>
                <c:pt idx="85">
                  <c:v>19.608636687107385</c:v>
                </c:pt>
                <c:pt idx="86">
                  <c:v>18.720913343299216</c:v>
                </c:pt>
                <c:pt idx="87">
                  <c:v>19.500829317680921</c:v>
                </c:pt>
                <c:pt idx="88">
                  <c:v>20.429468056651192</c:v>
                </c:pt>
                <c:pt idx="89">
                  <c:v>21.987298029387347</c:v>
                </c:pt>
                <c:pt idx="90">
                  <c:v>23.007479887892558</c:v>
                </c:pt>
                <c:pt idx="91">
                  <c:v>23.479920832774447</c:v>
                </c:pt>
                <c:pt idx="92">
                  <c:v>23.661908673204724</c:v>
                </c:pt>
                <c:pt idx="93">
                  <c:v>23.829148923383833</c:v>
                </c:pt>
                <c:pt idx="94">
                  <c:v>22.267248547299715</c:v>
                </c:pt>
                <c:pt idx="95">
                  <c:v>22.084130305234837</c:v>
                </c:pt>
                <c:pt idx="96">
                  <c:v>23.052813957039511</c:v>
                </c:pt>
                <c:pt idx="97">
                  <c:v>20.314865029004554</c:v>
                </c:pt>
                <c:pt idx="98">
                  <c:v>19.02853747101944</c:v>
                </c:pt>
                <c:pt idx="99">
                  <c:v>19.518429570734188</c:v>
                </c:pt>
                <c:pt idx="100">
                  <c:v>19.706719172289098</c:v>
                </c:pt>
                <c:pt idx="101">
                  <c:v>19.942271371375661</c:v>
                </c:pt>
                <c:pt idx="102">
                  <c:v>20.59840239813126</c:v>
                </c:pt>
                <c:pt idx="103">
                  <c:v>19.762165759692348</c:v>
                </c:pt>
                <c:pt idx="104">
                  <c:v>21.073728928857228</c:v>
                </c:pt>
                <c:pt idx="105">
                  <c:v>19.080812262190562</c:v>
                </c:pt>
                <c:pt idx="106">
                  <c:v>19.399235194721378</c:v>
                </c:pt>
                <c:pt idx="107">
                  <c:v>18.88018215003218</c:v>
                </c:pt>
                <c:pt idx="108">
                  <c:v>18.968969919516933</c:v>
                </c:pt>
                <c:pt idx="109">
                  <c:v>18.923640249187262</c:v>
                </c:pt>
                <c:pt idx="110">
                  <c:v>20.479254417310084</c:v>
                </c:pt>
                <c:pt idx="111">
                  <c:v>21.069763221122983</c:v>
                </c:pt>
                <c:pt idx="112">
                  <c:v>21.39995385949155</c:v>
                </c:pt>
                <c:pt idx="113">
                  <c:v>22.104961655398395</c:v>
                </c:pt>
                <c:pt idx="114">
                  <c:v>22.462750442061914</c:v>
                </c:pt>
                <c:pt idx="115">
                  <c:v>22.989707711921394</c:v>
                </c:pt>
                <c:pt idx="116">
                  <c:v>23.692103164621354</c:v>
                </c:pt>
                <c:pt idx="117">
                  <c:v>23.613831405072197</c:v>
                </c:pt>
                <c:pt idx="118">
                  <c:v>22.708831405072196</c:v>
                </c:pt>
                <c:pt idx="119">
                  <c:v>23.776254726245011</c:v>
                </c:pt>
                <c:pt idx="120">
                  <c:v>23.276210474541319</c:v>
                </c:pt>
                <c:pt idx="121">
                  <c:v>22.479958893536377</c:v>
                </c:pt>
                <c:pt idx="122">
                  <c:v>22.290385433820738</c:v>
                </c:pt>
                <c:pt idx="123">
                  <c:v>22.135985022086306</c:v>
                </c:pt>
                <c:pt idx="124">
                  <c:v>22.643129977419537</c:v>
                </c:pt>
                <c:pt idx="125">
                  <c:v>23.295638886212753</c:v>
                </c:pt>
                <c:pt idx="126">
                  <c:v>23.347949261103771</c:v>
                </c:pt>
                <c:pt idx="127">
                  <c:v>24.021378277476515</c:v>
                </c:pt>
                <c:pt idx="128">
                  <c:v>24.187534814424481</c:v>
                </c:pt>
                <c:pt idx="129">
                  <c:v>24.262497333165108</c:v>
                </c:pt>
                <c:pt idx="130">
                  <c:v>24.632902623899589</c:v>
                </c:pt>
                <c:pt idx="131">
                  <c:v>24.5866419365661</c:v>
                </c:pt>
                <c:pt idx="132">
                  <c:v>25.147180053158028</c:v>
                </c:pt>
                <c:pt idx="133">
                  <c:v>25.169820586180865</c:v>
                </c:pt>
                <c:pt idx="134">
                  <c:v>23.96204883753742</c:v>
                </c:pt>
                <c:pt idx="135">
                  <c:v>25.014323107734299</c:v>
                </c:pt>
                <c:pt idx="136">
                  <c:v>22.996633776612128</c:v>
                </c:pt>
                <c:pt idx="137">
                  <c:v>22.234114355075135</c:v>
                </c:pt>
                <c:pt idx="138">
                  <c:v>22.19919815395782</c:v>
                </c:pt>
                <c:pt idx="139">
                  <c:v>20.713640080507222</c:v>
                </c:pt>
                <c:pt idx="140">
                  <c:v>24.057587136759956</c:v>
                </c:pt>
                <c:pt idx="141">
                  <c:v>23.250478269078489</c:v>
                </c:pt>
                <c:pt idx="142">
                  <c:v>23.101410701922028</c:v>
                </c:pt>
                <c:pt idx="143">
                  <c:v>21.995992730577498</c:v>
                </c:pt>
                <c:pt idx="144">
                  <c:v>21.723048342996467</c:v>
                </c:pt>
                <c:pt idx="145">
                  <c:v>21.464208029127107</c:v>
                </c:pt>
                <c:pt idx="146">
                  <c:v>21.41494473923504</c:v>
                </c:pt>
                <c:pt idx="147">
                  <c:v>22.41615499338841</c:v>
                </c:pt>
                <c:pt idx="148">
                  <c:v>21.221434933182046</c:v>
                </c:pt>
                <c:pt idx="149">
                  <c:v>20.276111818278</c:v>
                </c:pt>
                <c:pt idx="150">
                  <c:v>20.397484432202749</c:v>
                </c:pt>
                <c:pt idx="151">
                  <c:v>20.378813782464135</c:v>
                </c:pt>
                <c:pt idx="152">
                  <c:v>20.002215428987171</c:v>
                </c:pt>
                <c:pt idx="153">
                  <c:v>19.438342338767477</c:v>
                </c:pt>
                <c:pt idx="154">
                  <c:v>19.258325519677811</c:v>
                </c:pt>
                <c:pt idx="155">
                  <c:v>18.720691111075659</c:v>
                </c:pt>
                <c:pt idx="156">
                  <c:v>20.432454096523106</c:v>
                </c:pt>
                <c:pt idx="157">
                  <c:v>20.158069249647554</c:v>
                </c:pt>
                <c:pt idx="158">
                  <c:v>23.951557029282935</c:v>
                </c:pt>
                <c:pt idx="159">
                  <c:v>23.698378045580821</c:v>
                </c:pt>
                <c:pt idx="160">
                  <c:v>23.095465707783013</c:v>
                </c:pt>
                <c:pt idx="161">
                  <c:v>22.884519684863751</c:v>
                </c:pt>
                <c:pt idx="162">
                  <c:v>24.717853018197083</c:v>
                </c:pt>
                <c:pt idx="163">
                  <c:v>25.180353850033114</c:v>
                </c:pt>
                <c:pt idx="164">
                  <c:v>25.11674061848095</c:v>
                </c:pt>
                <c:pt idx="165">
                  <c:v>24.978889864896832</c:v>
                </c:pt>
                <c:pt idx="166">
                  <c:v>23.628947586566664</c:v>
                </c:pt>
                <c:pt idx="167">
                  <c:v>24.050081774664939</c:v>
                </c:pt>
                <c:pt idx="168">
                  <c:v>24.047814200968791</c:v>
                </c:pt>
                <c:pt idx="169">
                  <c:v>24.659992675644034</c:v>
                </c:pt>
                <c:pt idx="170">
                  <c:v>23.924099556652017</c:v>
                </c:pt>
                <c:pt idx="171">
                  <c:v>24.746784234758383</c:v>
                </c:pt>
                <c:pt idx="172">
                  <c:v>23.808285630913662</c:v>
                </c:pt>
                <c:pt idx="173">
                  <c:v>22.633236777679066</c:v>
                </c:pt>
                <c:pt idx="174">
                  <c:v>22.93182526844997</c:v>
                </c:pt>
                <c:pt idx="175">
                  <c:v>23.438289349484222</c:v>
                </c:pt>
                <c:pt idx="176">
                  <c:v>23.564697165564926</c:v>
                </c:pt>
                <c:pt idx="177">
                  <c:v>24.827231900372222</c:v>
                </c:pt>
                <c:pt idx="178">
                  <c:v>25.904686667601336</c:v>
                </c:pt>
                <c:pt idx="179">
                  <c:v>26.982272874497887</c:v>
                </c:pt>
                <c:pt idx="180">
                  <c:v>26.482094239271021</c:v>
                </c:pt>
                <c:pt idx="181">
                  <c:v>26.683852417682893</c:v>
                </c:pt>
                <c:pt idx="182">
                  <c:v>26.073671106664762</c:v>
                </c:pt>
                <c:pt idx="183">
                  <c:v>24.901363562492598</c:v>
                </c:pt>
                <c:pt idx="184">
                  <c:v>26.559662028322446</c:v>
                </c:pt>
                <c:pt idx="185">
                  <c:v>26.655964475673265</c:v>
                </c:pt>
                <c:pt idx="186">
                  <c:v>27.211322042791345</c:v>
                </c:pt>
                <c:pt idx="187">
                  <c:v>26.364151592096665</c:v>
                </c:pt>
                <c:pt idx="188">
                  <c:v>27.841007792940268</c:v>
                </c:pt>
                <c:pt idx="189">
                  <c:v>27.401556047850537</c:v>
                </c:pt>
                <c:pt idx="190">
                  <c:v>26.605679759190743</c:v>
                </c:pt>
                <c:pt idx="191">
                  <c:v>26.653544022741283</c:v>
                </c:pt>
                <c:pt idx="192">
                  <c:v>26.609432016603961</c:v>
                </c:pt>
                <c:pt idx="193">
                  <c:v>25.809828388278632</c:v>
                </c:pt>
                <c:pt idx="194">
                  <c:v>25.818445116219806</c:v>
                </c:pt>
                <c:pt idx="195">
                  <c:v>25.252407380370752</c:v>
                </c:pt>
                <c:pt idx="196">
                  <c:v>24.543673955587941</c:v>
                </c:pt>
                <c:pt idx="197">
                  <c:v>30.132126953367365</c:v>
                </c:pt>
                <c:pt idx="198">
                  <c:v>30.218333849919091</c:v>
                </c:pt>
                <c:pt idx="199">
                  <c:v>31.509964934462218</c:v>
                </c:pt>
                <c:pt idx="200">
                  <c:v>29.580522228254445</c:v>
                </c:pt>
                <c:pt idx="201">
                  <c:v>29.933567241493634</c:v>
                </c:pt>
                <c:pt idx="202">
                  <c:v>29.156984206846083</c:v>
                </c:pt>
                <c:pt idx="203">
                  <c:v>29.060403175360666</c:v>
                </c:pt>
                <c:pt idx="204">
                  <c:v>29.853201855844901</c:v>
                </c:pt>
                <c:pt idx="205">
                  <c:v>29.416051968404453</c:v>
                </c:pt>
                <c:pt idx="206">
                  <c:v>29.329905833233337</c:v>
                </c:pt>
                <c:pt idx="207">
                  <c:v>31.447471710664654</c:v>
                </c:pt>
                <c:pt idx="208">
                  <c:v>31.630323402042801</c:v>
                </c:pt>
                <c:pt idx="209">
                  <c:v>31.21203406120911</c:v>
                </c:pt>
                <c:pt idx="210">
                  <c:v>33.182703938470738</c:v>
                </c:pt>
                <c:pt idx="211">
                  <c:v>33.886604238493817</c:v>
                </c:pt>
                <c:pt idx="212">
                  <c:v>34.721937038636</c:v>
                </c:pt>
                <c:pt idx="213">
                  <c:v>33.627707877777347</c:v>
                </c:pt>
                <c:pt idx="214">
                  <c:v>35.17376806615318</c:v>
                </c:pt>
                <c:pt idx="215">
                  <c:v>34.413693764625449</c:v>
                </c:pt>
                <c:pt idx="216">
                  <c:v>33.949586553113392</c:v>
                </c:pt>
                <c:pt idx="217">
                  <c:v>33.800458022961465</c:v>
                </c:pt>
                <c:pt idx="218">
                  <c:v>33.459281552373227</c:v>
                </c:pt>
                <c:pt idx="219">
                  <c:v>33.631120662609312</c:v>
                </c:pt>
                <c:pt idx="220">
                  <c:v>34.496921528410176</c:v>
                </c:pt>
                <c:pt idx="221">
                  <c:v>34.431633739838148</c:v>
                </c:pt>
                <c:pt idx="222">
                  <c:v>34.549257344303854</c:v>
                </c:pt>
                <c:pt idx="223">
                  <c:v>34.09943272873452</c:v>
                </c:pt>
                <c:pt idx="224">
                  <c:v>33.484621036772744</c:v>
                </c:pt>
                <c:pt idx="225">
                  <c:v>33.53216892428803</c:v>
                </c:pt>
                <c:pt idx="226">
                  <c:v>34.631070023189125</c:v>
                </c:pt>
                <c:pt idx="227">
                  <c:v>35.498498823830921</c:v>
                </c:pt>
                <c:pt idx="228">
                  <c:v>37.07153016879375</c:v>
                </c:pt>
                <c:pt idx="229">
                  <c:v>36.216473781291441</c:v>
                </c:pt>
                <c:pt idx="230">
                  <c:v>40.911390333121176</c:v>
                </c:pt>
                <c:pt idx="231">
                  <c:v>41.052231588775143</c:v>
                </c:pt>
                <c:pt idx="232">
                  <c:v>41.151231687775244</c:v>
                </c:pt>
                <c:pt idx="233">
                  <c:v>41.309374093082653</c:v>
                </c:pt>
                <c:pt idx="234">
                  <c:v>41.256732931652394</c:v>
                </c:pt>
                <c:pt idx="235">
                  <c:v>41.121915504571355</c:v>
                </c:pt>
                <c:pt idx="236">
                  <c:v>43.025514018339365</c:v>
                </c:pt>
                <c:pt idx="237">
                  <c:v>42.474580804937069</c:v>
                </c:pt>
                <c:pt idx="238">
                  <c:v>42.255041836770218</c:v>
                </c:pt>
                <c:pt idx="239">
                  <c:v>41.601884911632048</c:v>
                </c:pt>
                <c:pt idx="240">
                  <c:v>42.102818327935722</c:v>
                </c:pt>
                <c:pt idx="241">
                  <c:v>41.941729729206422</c:v>
                </c:pt>
                <c:pt idx="242">
                  <c:v>41.158928238415051</c:v>
                </c:pt>
                <c:pt idx="243">
                  <c:v>41.147939937723436</c:v>
                </c:pt>
                <c:pt idx="244">
                  <c:v>41.312677964081516</c:v>
                </c:pt>
                <c:pt idx="245">
                  <c:v>42.262519233922781</c:v>
                </c:pt>
                <c:pt idx="246">
                  <c:v>41.196866821642075</c:v>
                </c:pt>
                <c:pt idx="247">
                  <c:v>42.223930684570426</c:v>
                </c:pt>
                <c:pt idx="248">
                  <c:v>42.114897568071314</c:v>
                </c:pt>
                <c:pt idx="249">
                  <c:v>41.165089379984622</c:v>
                </c:pt>
                <c:pt idx="250">
                  <c:v>40.510739880369535</c:v>
                </c:pt>
                <c:pt idx="251">
                  <c:v>40.710081187355144</c:v>
                </c:pt>
                <c:pt idx="252">
                  <c:v>40.249536396566036</c:v>
                </c:pt>
                <c:pt idx="253">
                  <c:v>43.513368503407136</c:v>
                </c:pt>
                <c:pt idx="254">
                  <c:v>45.956474259765905</c:v>
                </c:pt>
                <c:pt idx="255">
                  <c:v>46.971108936878139</c:v>
                </c:pt>
                <c:pt idx="256">
                  <c:v>46.050558962963194</c:v>
                </c:pt>
                <c:pt idx="257">
                  <c:v>48.128992340609173</c:v>
                </c:pt>
                <c:pt idx="258">
                  <c:v>47.760047842694512</c:v>
                </c:pt>
                <c:pt idx="259">
                  <c:v>47.318311042460032</c:v>
                </c:pt>
                <c:pt idx="260">
                  <c:v>48.076682572890384</c:v>
                </c:pt>
                <c:pt idx="261">
                  <c:v>48.343424554940221</c:v>
                </c:pt>
                <c:pt idx="262">
                  <c:v>49.701665032691295</c:v>
                </c:pt>
                <c:pt idx="263">
                  <c:v>50.352292964299707</c:v>
                </c:pt>
                <c:pt idx="264">
                  <c:v>51.349399880685169</c:v>
                </c:pt>
                <c:pt idx="265">
                  <c:v>53.488628406307626</c:v>
                </c:pt>
                <c:pt idx="266">
                  <c:v>54.094878406307622</c:v>
                </c:pt>
                <c:pt idx="267">
                  <c:v>53.904125386051469</c:v>
                </c:pt>
                <c:pt idx="268">
                  <c:v>53.490089147632183</c:v>
                </c:pt>
                <c:pt idx="269">
                  <c:v>53.556956348968725</c:v>
                </c:pt>
                <c:pt idx="270">
                  <c:v>54.008309843135677</c:v>
                </c:pt>
                <c:pt idx="271">
                  <c:v>54.109122851265759</c:v>
                </c:pt>
                <c:pt idx="272">
                  <c:v>53.94009361689136</c:v>
                </c:pt>
                <c:pt idx="273">
                  <c:v>53.68828373335343</c:v>
                </c:pt>
                <c:pt idx="274">
                  <c:v>54.045452623214203</c:v>
                </c:pt>
                <c:pt idx="275">
                  <c:v>53.321616414198822</c:v>
                </c:pt>
                <c:pt idx="276">
                  <c:v>54.083299863721159</c:v>
                </c:pt>
                <c:pt idx="277">
                  <c:v>54.882187243241184</c:v>
                </c:pt>
                <c:pt idx="278">
                  <c:v>54.163404739272274</c:v>
                </c:pt>
                <c:pt idx="279">
                  <c:v>55.623788030589942</c:v>
                </c:pt>
                <c:pt idx="280">
                  <c:v>56.059139583259935</c:v>
                </c:pt>
                <c:pt idx="281">
                  <c:v>53.90977269883377</c:v>
                </c:pt>
                <c:pt idx="282">
                  <c:v>53.483111029668358</c:v>
                </c:pt>
                <c:pt idx="283">
                  <c:v>52.718184025559609</c:v>
                </c:pt>
                <c:pt idx="284">
                  <c:v>52.164846489662715</c:v>
                </c:pt>
                <c:pt idx="285">
                  <c:v>52.263669210295184</c:v>
                </c:pt>
                <c:pt idx="286">
                  <c:v>53.23447567309249</c:v>
                </c:pt>
                <c:pt idx="287">
                  <c:v>53.083020385327444</c:v>
                </c:pt>
                <c:pt idx="288">
                  <c:v>53.809293125420524</c:v>
                </c:pt>
                <c:pt idx="289">
                  <c:v>53.668315681811499</c:v>
                </c:pt>
                <c:pt idx="290">
                  <c:v>55.274074264314265</c:v>
                </c:pt>
                <c:pt idx="291">
                  <c:v>56.11393988581483</c:v>
                </c:pt>
                <c:pt idx="292">
                  <c:v>56.397991621839758</c:v>
                </c:pt>
                <c:pt idx="293">
                  <c:v>58.097991621839761</c:v>
                </c:pt>
                <c:pt idx="294">
                  <c:v>58.22067595505041</c:v>
                </c:pt>
                <c:pt idx="295">
                  <c:v>59.375735680089853</c:v>
                </c:pt>
                <c:pt idx="296">
                  <c:v>58.50711564228267</c:v>
                </c:pt>
                <c:pt idx="297">
                  <c:v>57.21619373825294</c:v>
                </c:pt>
                <c:pt idx="298">
                  <c:v>56.383481831715528</c:v>
                </c:pt>
                <c:pt idx="299">
                  <c:v>56.697947240520563</c:v>
                </c:pt>
                <c:pt idx="300">
                  <c:v>56.000915485480959</c:v>
                </c:pt>
                <c:pt idx="301">
                  <c:v>55.924484461540409</c:v>
                </c:pt>
                <c:pt idx="302">
                  <c:v>56.876027720775973</c:v>
                </c:pt>
                <c:pt idx="303">
                  <c:v>56.37438598418349</c:v>
                </c:pt>
                <c:pt idx="304">
                  <c:v>56.530739942932655</c:v>
                </c:pt>
                <c:pt idx="305">
                  <c:v>55.812724277136304</c:v>
                </c:pt>
                <c:pt idx="306">
                  <c:v>56.516258045147254</c:v>
                </c:pt>
                <c:pt idx="307">
                  <c:v>54.489296547717323</c:v>
                </c:pt>
                <c:pt idx="308">
                  <c:v>59.705079747829508</c:v>
                </c:pt>
                <c:pt idx="309">
                  <c:v>60.122867549876567</c:v>
                </c:pt>
                <c:pt idx="310">
                  <c:v>59.351366234896993</c:v>
                </c:pt>
                <c:pt idx="311">
                  <c:v>58.211691363338062</c:v>
                </c:pt>
                <c:pt idx="312">
                  <c:v>57.892905093267537</c:v>
                </c:pt>
                <c:pt idx="313">
                  <c:v>58.688403735099122</c:v>
                </c:pt>
                <c:pt idx="314">
                  <c:v>58.645523401857673</c:v>
                </c:pt>
                <c:pt idx="315">
                  <c:v>54.589009397472253</c:v>
                </c:pt>
                <c:pt idx="316">
                  <c:v>53.482054091264992</c:v>
                </c:pt>
                <c:pt idx="317">
                  <c:v>52.303382435511956</c:v>
                </c:pt>
                <c:pt idx="318">
                  <c:v>51.004622672304897</c:v>
                </c:pt>
                <c:pt idx="319">
                  <c:v>51.183430382493363</c:v>
                </c:pt>
                <c:pt idx="320">
                  <c:v>53.209451369447422</c:v>
                </c:pt>
                <c:pt idx="321">
                  <c:v>52.356536262991312</c:v>
                </c:pt>
                <c:pt idx="322">
                  <c:v>52.656475384258776</c:v>
                </c:pt>
                <c:pt idx="323">
                  <c:v>53.47585229763893</c:v>
                </c:pt>
                <c:pt idx="324">
                  <c:v>53.86036095899383</c:v>
                </c:pt>
                <c:pt idx="325">
                  <c:v>52.465329435515898</c:v>
                </c:pt>
                <c:pt idx="326">
                  <c:v>50.294690480735973</c:v>
                </c:pt>
                <c:pt idx="327">
                  <c:v>49.431014576672347</c:v>
                </c:pt>
                <c:pt idx="328">
                  <c:v>48.615348504418201</c:v>
                </c:pt>
                <c:pt idx="329">
                  <c:v>49.935810111164763</c:v>
                </c:pt>
                <c:pt idx="330">
                  <c:v>50.562376527204862</c:v>
                </c:pt>
                <c:pt idx="331">
                  <c:v>50.492987682795999</c:v>
                </c:pt>
                <c:pt idx="332">
                  <c:v>49.62203268513052</c:v>
                </c:pt>
                <c:pt idx="333">
                  <c:v>50.219163499298972</c:v>
                </c:pt>
                <c:pt idx="334">
                  <c:v>49.424325546519974</c:v>
                </c:pt>
                <c:pt idx="335">
                  <c:v>49.118205647477069</c:v>
                </c:pt>
                <c:pt idx="336">
                  <c:v>48.133752799166842</c:v>
                </c:pt>
                <c:pt idx="337">
                  <c:v>47.289962232312668</c:v>
                </c:pt>
                <c:pt idx="338">
                  <c:v>47.658748646097223</c:v>
                </c:pt>
                <c:pt idx="339">
                  <c:v>48.711380225044593</c:v>
                </c:pt>
                <c:pt idx="340">
                  <c:v>52.170589684826219</c:v>
                </c:pt>
                <c:pt idx="341">
                  <c:v>51.642705754519852</c:v>
                </c:pt>
                <c:pt idx="342">
                  <c:v>51.815716135142694</c:v>
                </c:pt>
                <c:pt idx="343">
                  <c:v>52.557398695007073</c:v>
                </c:pt>
                <c:pt idx="344">
                  <c:v>54.35924244209712</c:v>
                </c:pt>
                <c:pt idx="345">
                  <c:v>54.16037993563409</c:v>
                </c:pt>
                <c:pt idx="346">
                  <c:v>54.617367948310338</c:v>
                </c:pt>
                <c:pt idx="347">
                  <c:v>57.532801873359645</c:v>
                </c:pt>
                <c:pt idx="348">
                  <c:v>56.249113930097238</c:v>
                </c:pt>
                <c:pt idx="349">
                  <c:v>54.916105061397261</c:v>
                </c:pt>
                <c:pt idx="350">
                  <c:v>54.079566599858801</c:v>
                </c:pt>
                <c:pt idx="351">
                  <c:v>54.964628400112161</c:v>
                </c:pt>
                <c:pt idx="352">
                  <c:v>54.289370423032892</c:v>
                </c:pt>
                <c:pt idx="353">
                  <c:v>54.247931097112591</c:v>
                </c:pt>
                <c:pt idx="354">
                  <c:v>55.080115409802666</c:v>
                </c:pt>
                <c:pt idx="355">
                  <c:v>53.60981205076969</c:v>
                </c:pt>
                <c:pt idx="356">
                  <c:v>54.125886500854293</c:v>
                </c:pt>
                <c:pt idx="357">
                  <c:v>53.318995213099413</c:v>
                </c:pt>
                <c:pt idx="358">
                  <c:v>55.810844304855351</c:v>
                </c:pt>
                <c:pt idx="359">
                  <c:v>56.297757820261516</c:v>
                </c:pt>
                <c:pt idx="360">
                  <c:v>55.607480668782102</c:v>
                </c:pt>
                <c:pt idx="361">
                  <c:v>54.072236355816685</c:v>
                </c:pt>
                <c:pt idx="362">
                  <c:v>52.843670902031654</c:v>
                </c:pt>
                <c:pt idx="363">
                  <c:v>52.989668840884278</c:v>
                </c:pt>
                <c:pt idx="364">
                  <c:v>53.10211065878083</c:v>
                </c:pt>
                <c:pt idx="365">
                  <c:v>53.492888306299399</c:v>
                </c:pt>
                <c:pt idx="366">
                  <c:v>53.620319560491218</c:v>
                </c:pt>
                <c:pt idx="367">
                  <c:v>54.247144221318969</c:v>
                </c:pt>
                <c:pt idx="368">
                  <c:v>51.851365255700358</c:v>
                </c:pt>
                <c:pt idx="369">
                  <c:v>54.814551939817278</c:v>
                </c:pt>
                <c:pt idx="370">
                  <c:v>54.001337056685131</c:v>
                </c:pt>
                <c:pt idx="371">
                  <c:v>54.441065572123428</c:v>
                </c:pt>
                <c:pt idx="372">
                  <c:v>54.343978193482648</c:v>
                </c:pt>
                <c:pt idx="373">
                  <c:v>52.356011646928089</c:v>
                </c:pt>
                <c:pt idx="374">
                  <c:v>53.011979302359421</c:v>
                </c:pt>
                <c:pt idx="375">
                  <c:v>53.443927142620218</c:v>
                </c:pt>
                <c:pt idx="376">
                  <c:v>55.97937535218523</c:v>
                </c:pt>
                <c:pt idx="377">
                  <c:v>55.578305833468647</c:v>
                </c:pt>
                <c:pt idx="378">
                  <c:v>55.969412410010754</c:v>
                </c:pt>
                <c:pt idx="379">
                  <c:v>56.441685414276442</c:v>
                </c:pt>
                <c:pt idx="380">
                  <c:v>55.845691965323631</c:v>
                </c:pt>
                <c:pt idx="381">
                  <c:v>55.140454117972304</c:v>
                </c:pt>
                <c:pt idx="382">
                  <c:v>53.971328672017236</c:v>
                </c:pt>
                <c:pt idx="383">
                  <c:v>53.048795545953134</c:v>
                </c:pt>
                <c:pt idx="384">
                  <c:v>52.109562061333868</c:v>
                </c:pt>
                <c:pt idx="385">
                  <c:v>52.811131622833805</c:v>
                </c:pt>
                <c:pt idx="386">
                  <c:v>49.875188562335588</c:v>
                </c:pt>
                <c:pt idx="387">
                  <c:v>51.113283800430828</c:v>
                </c:pt>
                <c:pt idx="388">
                  <c:v>51.214803698330819</c:v>
                </c:pt>
                <c:pt idx="389">
                  <c:v>51.60672611097862</c:v>
                </c:pt>
                <c:pt idx="390">
                  <c:v>50.544869484807791</c:v>
                </c:pt>
                <c:pt idx="391">
                  <c:v>50.371916294323164</c:v>
                </c:pt>
                <c:pt idx="392">
                  <c:v>49.516699471705195</c:v>
                </c:pt>
                <c:pt idx="393">
                  <c:v>46.852880602929467</c:v>
                </c:pt>
                <c:pt idx="394">
                  <c:v>46.582908423233349</c:v>
                </c:pt>
                <c:pt idx="395">
                  <c:v>46.085545048353197</c:v>
                </c:pt>
                <c:pt idx="396">
                  <c:v>48.014191704488006</c:v>
                </c:pt>
                <c:pt idx="397">
                  <c:v>49.002892269459757</c:v>
                </c:pt>
                <c:pt idx="398">
                  <c:v>48.454744121311606</c:v>
                </c:pt>
                <c:pt idx="399">
                  <c:v>50.578416825871258</c:v>
                </c:pt>
                <c:pt idx="400">
                  <c:v>49.862830044710705</c:v>
                </c:pt>
                <c:pt idx="401">
                  <c:v>51.265489333005227</c:v>
                </c:pt>
                <c:pt idx="402">
                  <c:v>51.715417565311732</c:v>
                </c:pt>
                <c:pt idx="403">
                  <c:v>50.485460389731614</c:v>
                </c:pt>
                <c:pt idx="404">
                  <c:v>49.268865488494512</c:v>
                </c:pt>
                <c:pt idx="405">
                  <c:v>50.074190192473331</c:v>
                </c:pt>
                <c:pt idx="406">
                  <c:v>49.32577338188036</c:v>
                </c:pt>
                <c:pt idx="407">
                  <c:v>51.401519922302796</c:v>
                </c:pt>
                <c:pt idx="408">
                  <c:v>52.799566320349193</c:v>
                </c:pt>
                <c:pt idx="409">
                  <c:v>53.613683189511931</c:v>
                </c:pt>
                <c:pt idx="410">
                  <c:v>54.626740370961727</c:v>
                </c:pt>
                <c:pt idx="411">
                  <c:v>58.784920954804228</c:v>
                </c:pt>
                <c:pt idx="412">
                  <c:v>59.146336073154956</c:v>
                </c:pt>
                <c:pt idx="413">
                  <c:v>59.972782354146695</c:v>
                </c:pt>
                <c:pt idx="414">
                  <c:v>62.198990414919017</c:v>
                </c:pt>
                <c:pt idx="415">
                  <c:v>62.701871155585749</c:v>
                </c:pt>
                <c:pt idx="416">
                  <c:v>62.917655456743724</c:v>
                </c:pt>
                <c:pt idx="417">
                  <c:v>60.36803191122695</c:v>
                </c:pt>
                <c:pt idx="418">
                  <c:v>61.137048350346483</c:v>
                </c:pt>
                <c:pt idx="419">
                  <c:v>60.626148504249585</c:v>
                </c:pt>
                <c:pt idx="420">
                  <c:v>63.131716432980099</c:v>
                </c:pt>
                <c:pt idx="421">
                  <c:v>64.011030567954819</c:v>
                </c:pt>
                <c:pt idx="422">
                  <c:v>68.557393477627087</c:v>
                </c:pt>
                <c:pt idx="423">
                  <c:v>69.158912396909301</c:v>
                </c:pt>
                <c:pt idx="424">
                  <c:v>68.765584750240734</c:v>
                </c:pt>
                <c:pt idx="425">
                  <c:v>69.719346386132699</c:v>
                </c:pt>
                <c:pt idx="426">
                  <c:v>70.388924260950745</c:v>
                </c:pt>
                <c:pt idx="427">
                  <c:v>71.65545412871181</c:v>
                </c:pt>
                <c:pt idx="428">
                  <c:v>72.890341866190226</c:v>
                </c:pt>
                <c:pt idx="429">
                  <c:v>75.750302418458475</c:v>
                </c:pt>
                <c:pt idx="430">
                  <c:v>74.91084572729838</c:v>
                </c:pt>
                <c:pt idx="431">
                  <c:v>73.389203603246614</c:v>
                </c:pt>
                <c:pt idx="432">
                  <c:v>71.919535060407341</c:v>
                </c:pt>
                <c:pt idx="433">
                  <c:v>69.601181855475119</c:v>
                </c:pt>
                <c:pt idx="434">
                  <c:v>69.696692839238253</c:v>
                </c:pt>
                <c:pt idx="435">
                  <c:v>66.963995550624759</c:v>
                </c:pt>
                <c:pt idx="436">
                  <c:v>65.563175180684354</c:v>
                </c:pt>
                <c:pt idx="437">
                  <c:v>66.807370617793183</c:v>
                </c:pt>
                <c:pt idx="438">
                  <c:v>67.10656541152801</c:v>
                </c:pt>
                <c:pt idx="439">
                  <c:v>66.329866382401804</c:v>
                </c:pt>
                <c:pt idx="440">
                  <c:v>67.870005403800192</c:v>
                </c:pt>
                <c:pt idx="441">
                  <c:v>68.855541618785892</c:v>
                </c:pt>
                <c:pt idx="442">
                  <c:v>68.2187491659557</c:v>
                </c:pt>
                <c:pt idx="443">
                  <c:v>68.635291861582004</c:v>
                </c:pt>
                <c:pt idx="444">
                  <c:v>68.632809486445467</c:v>
                </c:pt>
              </c:numCache>
            </c:numRef>
          </c:val>
          <c:smooth val="0"/>
          <c:extLst>
            <c:ext xmlns:c16="http://schemas.microsoft.com/office/drawing/2014/chart" uri="{C3380CC4-5D6E-409C-BE32-E72D297353CC}">
              <c16:uniqueId val="{0000000A-596A-4D22-9EF0-1BEB5647D47A}"/>
            </c:ext>
          </c:extLst>
        </c:ser>
        <c:dLbls>
          <c:showLegendKey val="0"/>
          <c:showVal val="0"/>
          <c:showCatName val="0"/>
          <c:showSerName val="0"/>
          <c:showPercent val="0"/>
          <c:showBubbleSize val="0"/>
        </c:dLbls>
        <c:smooth val="0"/>
        <c:axId val="147683023"/>
        <c:axId val="146645279"/>
        <c:extLst/>
      </c:lineChart>
      <c:catAx>
        <c:axId val="147683023"/>
        <c:scaling>
          <c:orientation val="minMax"/>
        </c:scaling>
        <c:delete val="0"/>
        <c:axPos val="b"/>
        <c:majorGridlines>
          <c:spPr>
            <a:ln w="9525" cap="flat" cmpd="sng" algn="ctr">
              <a:noFill/>
              <a:prstDash val="dash"/>
              <a:round/>
            </a:ln>
            <a:effectLst/>
          </c:spPr>
        </c:majorGridlines>
        <c:majorTickMark val="none"/>
        <c:minorTickMark val="none"/>
        <c:tickLblPos val="low"/>
        <c:spPr>
          <a:noFill/>
          <a:ln w="12700" cap="flat" cmpd="sng" algn="ctr">
            <a:solidFill>
              <a:sysClr val="windowText" lastClr="000000"/>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6645279"/>
        <c:crosses val="autoZero"/>
        <c:auto val="1"/>
        <c:lblAlgn val="ctr"/>
        <c:lblOffset val="100"/>
        <c:tickMarkSkip val="25"/>
        <c:noMultiLvlLbl val="0"/>
      </c:catAx>
      <c:valAx>
        <c:axId val="146645279"/>
        <c:scaling>
          <c:orientation val="minMax"/>
          <c:max val="80"/>
        </c:scaling>
        <c:delete val="0"/>
        <c:axPos val="r"/>
        <c:majorGridlines>
          <c:spPr>
            <a:ln w="9525" cap="flat" cmpd="sng" algn="ctr">
              <a:solidFill>
                <a:schemeClr val="accent6">
                  <a:lumMod val="60000"/>
                  <a:lumOff val="40000"/>
                </a:schemeClr>
              </a:solidFill>
              <a:prstDash val="dash"/>
              <a:round/>
            </a:ln>
            <a:effectLst/>
          </c:spPr>
        </c:majorGridlines>
        <c:numFmt formatCode="0" sourceLinked="1"/>
        <c:majorTickMark val="none"/>
        <c:minorTickMark val="none"/>
        <c:tickLblPos val="high"/>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7683023"/>
        <c:crosses val="max"/>
        <c:crossBetween val="midCat"/>
      </c:valAx>
      <c:spPr>
        <a:solidFill>
          <a:schemeClr val="accent6">
            <a:lumMod val="20000"/>
            <a:lumOff val="80000"/>
          </a:schemeClr>
        </a:solidFill>
        <a:ln>
          <a:noFill/>
        </a:ln>
        <a:effectLst/>
      </c:spPr>
    </c:plotArea>
    <c:legend>
      <c:legendPos val="t"/>
      <c:layout>
        <c:manualLayout>
          <c:xMode val="edge"/>
          <c:yMode val="edge"/>
          <c:x val="0.4539441544165953"/>
          <c:y val="1.6768802462756832E-2"/>
          <c:w val="0.16237380583837277"/>
          <c:h val="4.1800990472521213E-2"/>
        </c:manualLayout>
      </c:layout>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legend>
    <c:plotVisOnly val="0"/>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057508760239167E-2"/>
          <c:y val="8.0549526661731374E-2"/>
          <c:w val="0.94469589050720981"/>
          <c:h val="0.86206223921529035"/>
        </c:manualLayout>
      </c:layout>
      <c:lineChart>
        <c:grouping val="standard"/>
        <c:varyColors val="0"/>
        <c:ser>
          <c:idx val="3"/>
          <c:order val="0"/>
          <c:tx>
            <c:v>2025-Q2</c:v>
          </c:tx>
          <c:spPr>
            <a:ln w="19050" cap="rnd">
              <a:solidFill>
                <a:sysClr val="windowText" lastClr="000000"/>
              </a:solidFill>
              <a:round/>
            </a:ln>
            <a:effectLst/>
          </c:spPr>
          <c:marker>
            <c:symbol val="none"/>
          </c:marker>
          <c:val>
            <c:numRef>
              <c:f>'2025-Q2'!$Q$4:$Q$422</c:f>
              <c:numCache>
                <c:formatCode>0</c:formatCode>
                <c:ptCount val="419"/>
                <c:pt idx="0">
                  <c:v>-0.47844667409884589</c:v>
                </c:pt>
                <c:pt idx="1">
                  <c:v>0.20039738260780871</c:v>
                </c:pt>
                <c:pt idx="2">
                  <c:v>0.14168868051043698</c:v>
                </c:pt>
                <c:pt idx="3">
                  <c:v>-0.27293129519335796</c:v>
                </c:pt>
                <c:pt idx="4">
                  <c:v>-0.47884355832632985</c:v>
                </c:pt>
                <c:pt idx="5">
                  <c:v>-1.1314998695128593</c:v>
                </c:pt>
                <c:pt idx="6">
                  <c:v>-1.7085312074749515</c:v>
                </c:pt>
                <c:pt idx="7">
                  <c:v>-1.8360766180392338</c:v>
                </c:pt>
                <c:pt idx="8">
                  <c:v>-1.3115775214181404</c:v>
                </c:pt>
                <c:pt idx="9">
                  <c:v>-1.2113348285828556</c:v>
                </c:pt>
                <c:pt idx="10">
                  <c:v>-0.95561406511137981</c:v>
                </c:pt>
                <c:pt idx="11">
                  <c:v>-0.44202439144535155</c:v>
                </c:pt>
                <c:pt idx="12">
                  <c:v>-0.14049636328842707</c:v>
                </c:pt>
                <c:pt idx="13">
                  <c:v>4.1870607419762229E-3</c:v>
                </c:pt>
                <c:pt idx="14">
                  <c:v>0.88125019448485542</c:v>
                </c:pt>
                <c:pt idx="15">
                  <c:v>1.5367228313007768</c:v>
                </c:pt>
                <c:pt idx="16">
                  <c:v>1.8989945133694157</c:v>
                </c:pt>
                <c:pt idx="17">
                  <c:v>2.0758863936006722</c:v>
                </c:pt>
                <c:pt idx="18">
                  <c:v>2.0204847315508085</c:v>
                </c:pt>
                <c:pt idx="19">
                  <c:v>2.479339640968226</c:v>
                </c:pt>
                <c:pt idx="20">
                  <c:v>2.8885628512008088</c:v>
                </c:pt>
                <c:pt idx="21">
                  <c:v>3.1825278168545936</c:v>
                </c:pt>
                <c:pt idx="22">
                  <c:v>3.2190908881525866</c:v>
                </c:pt>
                <c:pt idx="23">
                  <c:v>3.1077736339781881</c:v>
                </c:pt>
                <c:pt idx="24">
                  <c:v>2.2433590498599756</c:v>
                </c:pt>
                <c:pt idx="25">
                  <c:v>-0.69347717786234497</c:v>
                </c:pt>
                <c:pt idx="26">
                  <c:v>-0.28144014082530722</c:v>
                </c:pt>
                <c:pt idx="27">
                  <c:v>-0.8466247678034533</c:v>
                </c:pt>
                <c:pt idx="28">
                  <c:v>-1.8203684645518421</c:v>
                </c:pt>
                <c:pt idx="29">
                  <c:v>-1.3877396666654465</c:v>
                </c:pt>
                <c:pt idx="30">
                  <c:v>-1.9379069855923361</c:v>
                </c:pt>
                <c:pt idx="31">
                  <c:v>-1.4194961328791575</c:v>
                </c:pt>
                <c:pt idx="32">
                  <c:v>-1.9288541049236982</c:v>
                </c:pt>
                <c:pt idx="33">
                  <c:v>-1.9268771952289319</c:v>
                </c:pt>
                <c:pt idx="34">
                  <c:v>-2.8311079866290094</c:v>
                </c:pt>
                <c:pt idx="35">
                  <c:v>-3.6523931271912593</c:v>
                </c:pt>
                <c:pt idx="36">
                  <c:v>-3.9899002122636547</c:v>
                </c:pt>
                <c:pt idx="37">
                  <c:v>-3.7879113993363691</c:v>
                </c:pt>
                <c:pt idx="38">
                  <c:v>-3.5931589251063865</c:v>
                </c:pt>
                <c:pt idx="39">
                  <c:v>-3.5263239332751088</c:v>
                </c:pt>
                <c:pt idx="40">
                  <c:v>-5.537177510620392</c:v>
                </c:pt>
                <c:pt idx="41">
                  <c:v>-6.1698907998352057</c:v>
                </c:pt>
                <c:pt idx="42">
                  <c:v>-4.7974759579860526</c:v>
                </c:pt>
                <c:pt idx="43">
                  <c:v>-4.0358648935995474</c:v>
                </c:pt>
                <c:pt idx="44">
                  <c:v>-4.4008000593732879</c:v>
                </c:pt>
                <c:pt idx="45">
                  <c:v>-4.4109819516052307</c:v>
                </c:pt>
                <c:pt idx="46">
                  <c:v>-5.6071865363803166</c:v>
                </c:pt>
                <c:pt idx="47">
                  <c:v>-7.0682998432392061</c:v>
                </c:pt>
                <c:pt idx="48">
                  <c:v>-7.5856091190062189</c:v>
                </c:pt>
                <c:pt idx="49">
                  <c:v>-9.1172192257828364</c:v>
                </c:pt>
                <c:pt idx="50">
                  <c:v>-9.9489462194288656</c:v>
                </c:pt>
                <c:pt idx="51">
                  <c:v>-8.9979059571823203</c:v>
                </c:pt>
                <c:pt idx="52">
                  <c:v>-10.300253137189074</c:v>
                </c:pt>
                <c:pt idx="53">
                  <c:v>-9.8075933422036989</c:v>
                </c:pt>
                <c:pt idx="54">
                  <c:v>-9.0674560373339723</c:v>
                </c:pt>
                <c:pt idx="55">
                  <c:v>-8.4523575142856586</c:v>
                </c:pt>
                <c:pt idx="56">
                  <c:v>-9.1301468782064106</c:v>
                </c:pt>
                <c:pt idx="57">
                  <c:v>-7.2367037438873627</c:v>
                </c:pt>
                <c:pt idx="58">
                  <c:v>-6.570820469308436</c:v>
                </c:pt>
                <c:pt idx="59">
                  <c:v>-5.3878982522222465</c:v>
                </c:pt>
                <c:pt idx="60">
                  <c:v>-4.8869031249145785</c:v>
                </c:pt>
                <c:pt idx="61">
                  <c:v>-3.4572510052265755</c:v>
                </c:pt>
                <c:pt idx="62">
                  <c:v>-0.85395569470692978</c:v>
                </c:pt>
                <c:pt idx="63">
                  <c:v>8.6471431557587852E-2</c:v>
                </c:pt>
                <c:pt idx="64">
                  <c:v>-0.17626348436724137</c:v>
                </c:pt>
                <c:pt idx="65">
                  <c:v>1.0010275157147994</c:v>
                </c:pt>
                <c:pt idx="66">
                  <c:v>0.62223963692692064</c:v>
                </c:pt>
                <c:pt idx="67">
                  <c:v>-0.21429491708744819</c:v>
                </c:pt>
                <c:pt idx="68">
                  <c:v>-8.5598469109410213E-2</c:v>
                </c:pt>
                <c:pt idx="69">
                  <c:v>0.40492617899247219</c:v>
                </c:pt>
                <c:pt idx="70">
                  <c:v>1.0669262875170809</c:v>
                </c:pt>
                <c:pt idx="71">
                  <c:v>0.50741682324032988</c:v>
                </c:pt>
                <c:pt idx="72">
                  <c:v>1.6582474396042501</c:v>
                </c:pt>
                <c:pt idx="73">
                  <c:v>1.4659864012733408</c:v>
                </c:pt>
                <c:pt idx="74">
                  <c:v>2.3339506306263136</c:v>
                </c:pt>
                <c:pt idx="75">
                  <c:v>1.8269605683052752</c:v>
                </c:pt>
                <c:pt idx="76">
                  <c:v>3.1940325367574602</c:v>
                </c:pt>
                <c:pt idx="77">
                  <c:v>2.9095547633323458</c:v>
                </c:pt>
                <c:pt idx="78">
                  <c:v>1.9383283226175572</c:v>
                </c:pt>
                <c:pt idx="79">
                  <c:v>1.8946983051655502</c:v>
                </c:pt>
                <c:pt idx="80">
                  <c:v>2.0450948050288287</c:v>
                </c:pt>
                <c:pt idx="81">
                  <c:v>1.1604321122480523</c:v>
                </c:pt>
                <c:pt idx="82">
                  <c:v>0.42612969954012547</c:v>
                </c:pt>
                <c:pt idx="83">
                  <c:v>-0.1420521186416932</c:v>
                </c:pt>
                <c:pt idx="84">
                  <c:v>-1.9891271992497082</c:v>
                </c:pt>
                <c:pt idx="85">
                  <c:v>-2.1691025710409368</c:v>
                </c:pt>
                <c:pt idx="86">
                  <c:v>-2.6950584430415798</c:v>
                </c:pt>
                <c:pt idx="87">
                  <c:v>-2.6849925111879389</c:v>
                </c:pt>
                <c:pt idx="88">
                  <c:v>-1.8106333034953979</c:v>
                </c:pt>
                <c:pt idx="89">
                  <c:v>-2.1280936209557169</c:v>
                </c:pt>
                <c:pt idx="90">
                  <c:v>-0.92414816113558329</c:v>
                </c:pt>
                <c:pt idx="91">
                  <c:v>-1.1424887724892951</c:v>
                </c:pt>
                <c:pt idx="92">
                  <c:v>-0.86662670352377824</c:v>
                </c:pt>
                <c:pt idx="93">
                  <c:v>-1.7244456741410146</c:v>
                </c:pt>
                <c:pt idx="94">
                  <c:v>-2.3626582780885155</c:v>
                </c:pt>
                <c:pt idx="95">
                  <c:v>-2.2652914166881257</c:v>
                </c:pt>
                <c:pt idx="96">
                  <c:v>-2.1703947486155823</c:v>
                </c:pt>
                <c:pt idx="97">
                  <c:v>-1.9677709420354601</c:v>
                </c:pt>
                <c:pt idx="98">
                  <c:v>-2.3429272571667665</c:v>
                </c:pt>
                <c:pt idx="99">
                  <c:v>-2.9877567531711975</c:v>
                </c:pt>
                <c:pt idx="100">
                  <c:v>-4.2403663565114904</c:v>
                </c:pt>
                <c:pt idx="101">
                  <c:v>-4.6997771739785739</c:v>
                </c:pt>
                <c:pt idx="102">
                  <c:v>-4.7190396522119737</c:v>
                </c:pt>
                <c:pt idx="103">
                  <c:v>-5.9287683373392399</c:v>
                </c:pt>
                <c:pt idx="104">
                  <c:v>-5.9539276798417546</c:v>
                </c:pt>
                <c:pt idx="105">
                  <c:v>-5.1940085179181388</c:v>
                </c:pt>
                <c:pt idx="106">
                  <c:v>-4.9981011135874072</c:v>
                </c:pt>
                <c:pt idx="107">
                  <c:v>-6.3630770713972407</c:v>
                </c:pt>
                <c:pt idx="108">
                  <c:v>-5.7819577716305144</c:v>
                </c:pt>
                <c:pt idx="109">
                  <c:v>-6.3267842750062391</c:v>
                </c:pt>
                <c:pt idx="110">
                  <c:v>-6.0214116249442107</c:v>
                </c:pt>
                <c:pt idx="111">
                  <c:v>-5.7969393735352881</c:v>
                </c:pt>
                <c:pt idx="112">
                  <c:v>-5.3653956772951865</c:v>
                </c:pt>
                <c:pt idx="113">
                  <c:v>-4.7416777641167203</c:v>
                </c:pt>
                <c:pt idx="114">
                  <c:v>-4.2400596411393741</c:v>
                </c:pt>
                <c:pt idx="115">
                  <c:v>-3.0387554532249812</c:v>
                </c:pt>
                <c:pt idx="116">
                  <c:v>-2.5605557345189331</c:v>
                </c:pt>
                <c:pt idx="117">
                  <c:v>-2.1722525543375828</c:v>
                </c:pt>
                <c:pt idx="118">
                  <c:v>-1.1492158280551046</c:v>
                </c:pt>
                <c:pt idx="119">
                  <c:v>-1.5839313833536213</c:v>
                </c:pt>
                <c:pt idx="120">
                  <c:v>-1.3751869951462514</c:v>
                </c:pt>
                <c:pt idx="121">
                  <c:v>-1.7447813144524631</c:v>
                </c:pt>
                <c:pt idx="122">
                  <c:v>-2.7893495595778077</c:v>
                </c:pt>
                <c:pt idx="123">
                  <c:v>-3.1062469828999504</c:v>
                </c:pt>
                <c:pt idx="124">
                  <c:v>-1.8556524727762904</c:v>
                </c:pt>
                <c:pt idx="125">
                  <c:v>-1.6281729459337075</c:v>
                </c:pt>
                <c:pt idx="126">
                  <c:v>-1.2121034160922763</c:v>
                </c:pt>
                <c:pt idx="127">
                  <c:v>-1.8693380137242281</c:v>
                </c:pt>
                <c:pt idx="128">
                  <c:v>-1.6437062447711597</c:v>
                </c:pt>
                <c:pt idx="129">
                  <c:v>-2.0399190676588801</c:v>
                </c:pt>
                <c:pt idx="130">
                  <c:v>-2.6017657575543494</c:v>
                </c:pt>
                <c:pt idx="131">
                  <c:v>-2.8475744926302475</c:v>
                </c:pt>
                <c:pt idx="132">
                  <c:v>-3.3168096041176898</c:v>
                </c:pt>
                <c:pt idx="133">
                  <c:v>-2.3425954943103564</c:v>
                </c:pt>
                <c:pt idx="134">
                  <c:v>-1.8550446091451565</c:v>
                </c:pt>
                <c:pt idx="135">
                  <c:v>-1.5149085547233869</c:v>
                </c:pt>
                <c:pt idx="136">
                  <c:v>-1.3277969400703142</c:v>
                </c:pt>
                <c:pt idx="137">
                  <c:v>-1.668634426465456</c:v>
                </c:pt>
                <c:pt idx="138">
                  <c:v>-1.5095599506881596</c:v>
                </c:pt>
                <c:pt idx="139">
                  <c:v>-1.4230248174240525</c:v>
                </c:pt>
                <c:pt idx="140">
                  <c:v>-1.5623199838817778</c:v>
                </c:pt>
                <c:pt idx="141">
                  <c:v>-2.0134488519457587</c:v>
                </c:pt>
                <c:pt idx="142">
                  <c:v>-3.2879707351168679</c:v>
                </c:pt>
                <c:pt idx="143">
                  <c:v>-3.6575995661656893</c:v>
                </c:pt>
                <c:pt idx="144">
                  <c:v>-3.7067723071121197</c:v>
                </c:pt>
                <c:pt idx="145">
                  <c:v>-2.3668580878147356</c:v>
                </c:pt>
                <c:pt idx="146">
                  <c:v>-2.8096922263010486</c:v>
                </c:pt>
                <c:pt idx="147">
                  <c:v>-3.3736644512919129</c:v>
                </c:pt>
                <c:pt idx="148">
                  <c:v>-2.1994220270494886</c:v>
                </c:pt>
                <c:pt idx="149">
                  <c:v>-1.1895642741033996</c:v>
                </c:pt>
                <c:pt idx="150">
                  <c:v>-1.4294754711528501</c:v>
                </c:pt>
                <c:pt idx="151">
                  <c:v>-0.29896076527049464</c:v>
                </c:pt>
                <c:pt idx="152">
                  <c:v>2.1212812589319263</c:v>
                </c:pt>
                <c:pt idx="153">
                  <c:v>0.45559671758445219</c:v>
                </c:pt>
                <c:pt idx="154">
                  <c:v>0.11008254564723019</c:v>
                </c:pt>
                <c:pt idx="155">
                  <c:v>-0.60788837472654722</c:v>
                </c:pt>
                <c:pt idx="156">
                  <c:v>1.3940789817292982</c:v>
                </c:pt>
                <c:pt idx="157">
                  <c:v>1.9519590375173019</c:v>
                </c:pt>
                <c:pt idx="158">
                  <c:v>2.3866380895596979</c:v>
                </c:pt>
                <c:pt idx="159">
                  <c:v>0.1325802906681699</c:v>
                </c:pt>
                <c:pt idx="160">
                  <c:v>0.7469494198887815</c:v>
                </c:pt>
                <c:pt idx="161">
                  <c:v>1.8264030841566621</c:v>
                </c:pt>
                <c:pt idx="162">
                  <c:v>2.1533484088385184</c:v>
                </c:pt>
                <c:pt idx="163">
                  <c:v>1.1850241022571937</c:v>
                </c:pt>
                <c:pt idx="164">
                  <c:v>1.6084680406653482</c:v>
                </c:pt>
                <c:pt idx="165">
                  <c:v>2.5784582323056084</c:v>
                </c:pt>
                <c:pt idx="166">
                  <c:v>2.4495371706027469</c:v>
                </c:pt>
                <c:pt idx="167">
                  <c:v>2.1660962085939803</c:v>
                </c:pt>
                <c:pt idx="168">
                  <c:v>3.4153088896773314</c:v>
                </c:pt>
                <c:pt idx="169">
                  <c:v>3.3927390925798093</c:v>
                </c:pt>
                <c:pt idx="170">
                  <c:v>3.8622433902367037</c:v>
                </c:pt>
                <c:pt idx="171">
                  <c:v>2.382576560251402</c:v>
                </c:pt>
                <c:pt idx="172">
                  <c:v>2.3771352717542849</c:v>
                </c:pt>
                <c:pt idx="173">
                  <c:v>2.8968010553287709</c:v>
                </c:pt>
                <c:pt idx="174">
                  <c:v>4.5653856353057538</c:v>
                </c:pt>
                <c:pt idx="175">
                  <c:v>6.0770488443327224</c:v>
                </c:pt>
                <c:pt idx="176">
                  <c:v>6.1338430545686604</c:v>
                </c:pt>
                <c:pt idx="177">
                  <c:v>7.4415236860197851</c:v>
                </c:pt>
                <c:pt idx="178">
                  <c:v>7.7422783748040613</c:v>
                </c:pt>
                <c:pt idx="179">
                  <c:v>8.2750391890534303</c:v>
                </c:pt>
                <c:pt idx="180">
                  <c:v>7.7873689645410975</c:v>
                </c:pt>
                <c:pt idx="181">
                  <c:v>7.4765334049530798</c:v>
                </c:pt>
                <c:pt idx="182">
                  <c:v>8.1878740782347599</c:v>
                </c:pt>
                <c:pt idx="183">
                  <c:v>8.7508862741436477</c:v>
                </c:pt>
                <c:pt idx="184">
                  <c:v>7.144808182202893</c:v>
                </c:pt>
                <c:pt idx="185">
                  <c:v>6.3077664360702421</c:v>
                </c:pt>
                <c:pt idx="186">
                  <c:v>6.2124864595237748</c:v>
                </c:pt>
                <c:pt idx="187">
                  <c:v>6.6746343468477187</c:v>
                </c:pt>
                <c:pt idx="188">
                  <c:v>7.7602241802484118</c:v>
                </c:pt>
                <c:pt idx="189">
                  <c:v>7.5424098420944183</c:v>
                </c:pt>
                <c:pt idx="190">
                  <c:v>8.2262488429767924</c:v>
                </c:pt>
                <c:pt idx="191">
                  <c:v>7.4235161358888355</c:v>
                </c:pt>
                <c:pt idx="192">
                  <c:v>7.1035552237749116</c:v>
                </c:pt>
                <c:pt idx="193">
                  <c:v>9.0775157445644972</c:v>
                </c:pt>
                <c:pt idx="194">
                  <c:v>8.1166221038984823</c:v>
                </c:pt>
                <c:pt idx="195">
                  <c:v>8.2428221516250453</c:v>
                </c:pt>
                <c:pt idx="196">
                  <c:v>8.3018181253018941</c:v>
                </c:pt>
                <c:pt idx="197">
                  <c:v>8.5318673082306571</c:v>
                </c:pt>
                <c:pt idx="198">
                  <c:v>8.6295988355954858</c:v>
                </c:pt>
                <c:pt idx="199">
                  <c:v>9.3962568950345382</c:v>
                </c:pt>
                <c:pt idx="200">
                  <c:v>9.0576052447920858</c:v>
                </c:pt>
                <c:pt idx="201">
                  <c:v>10.112275929251835</c:v>
                </c:pt>
                <c:pt idx="202">
                  <c:v>10.37037705420914</c:v>
                </c:pt>
                <c:pt idx="203">
                  <c:v>10.219387363973926</c:v>
                </c:pt>
                <c:pt idx="204">
                  <c:v>10.567751954120791</c:v>
                </c:pt>
                <c:pt idx="205">
                  <c:v>9.5015483436248509</c:v>
                </c:pt>
                <c:pt idx="206">
                  <c:v>10.8702451347185</c:v>
                </c:pt>
                <c:pt idx="207">
                  <c:v>10.682094263973774</c:v>
                </c:pt>
                <c:pt idx="208">
                  <c:v>10.518946093985173</c:v>
                </c:pt>
                <c:pt idx="209">
                  <c:v>10.744096194051885</c:v>
                </c:pt>
                <c:pt idx="210">
                  <c:v>9.7253150234268944</c:v>
                </c:pt>
                <c:pt idx="211">
                  <c:v>9.1446679641707398</c:v>
                </c:pt>
                <c:pt idx="212">
                  <c:v>8.9730103268942418</c:v>
                </c:pt>
                <c:pt idx="213">
                  <c:v>9.0607348718231631</c:v>
                </c:pt>
                <c:pt idx="214">
                  <c:v>9.6040226390856951</c:v>
                </c:pt>
                <c:pt idx="215">
                  <c:v>8.2235727936534389</c:v>
                </c:pt>
                <c:pt idx="216">
                  <c:v>9.6701325298249294</c:v>
                </c:pt>
                <c:pt idx="217">
                  <c:v>10.61784023175402</c:v>
                </c:pt>
                <c:pt idx="218">
                  <c:v>10.093832104281024</c:v>
                </c:pt>
                <c:pt idx="219">
                  <c:v>11.660905344455497</c:v>
                </c:pt>
                <c:pt idx="220">
                  <c:v>12.159665410213808</c:v>
                </c:pt>
                <c:pt idx="221">
                  <c:v>12.703788590440142</c:v>
                </c:pt>
                <c:pt idx="222">
                  <c:v>12.889082134422978</c:v>
                </c:pt>
                <c:pt idx="223">
                  <c:v>12.53017124333387</c:v>
                </c:pt>
                <c:pt idx="224">
                  <c:v>12.891689119769552</c:v>
                </c:pt>
                <c:pt idx="225">
                  <c:v>12.48431686854348</c:v>
                </c:pt>
                <c:pt idx="226">
                  <c:v>10.71338804038324</c:v>
                </c:pt>
                <c:pt idx="227">
                  <c:v>11.178395085944537</c:v>
                </c:pt>
                <c:pt idx="228">
                  <c:v>11.173938638802456</c:v>
                </c:pt>
                <c:pt idx="229">
                  <c:v>11.13064324048479</c:v>
                </c:pt>
                <c:pt idx="230">
                  <c:v>11.85261751194712</c:v>
                </c:pt>
                <c:pt idx="231">
                  <c:v>11.287738457006188</c:v>
                </c:pt>
                <c:pt idx="232">
                  <c:v>11.95752185960032</c:v>
                </c:pt>
                <c:pt idx="233">
                  <c:v>12.410924730368757</c:v>
                </c:pt>
                <c:pt idx="234">
                  <c:v>12.984132365378066</c:v>
                </c:pt>
                <c:pt idx="235">
                  <c:v>12.697673539102093</c:v>
                </c:pt>
                <c:pt idx="236">
                  <c:v>14.53479756665276</c:v>
                </c:pt>
                <c:pt idx="237">
                  <c:v>14.486684895524737</c:v>
                </c:pt>
                <c:pt idx="238">
                  <c:v>12.783281554566807</c:v>
                </c:pt>
                <c:pt idx="239">
                  <c:v>12.826426572586197</c:v>
                </c:pt>
                <c:pt idx="240">
                  <c:v>12.924432844987628</c:v>
                </c:pt>
                <c:pt idx="241">
                  <c:v>16.673577851827574</c:v>
                </c:pt>
                <c:pt idx="242">
                  <c:v>16.781797269983905</c:v>
                </c:pt>
                <c:pt idx="243">
                  <c:v>17.17289476212164</c:v>
                </c:pt>
                <c:pt idx="244">
                  <c:v>16.345178212344795</c:v>
                </c:pt>
                <c:pt idx="245">
                  <c:v>16.783861940161984</c:v>
                </c:pt>
                <c:pt idx="246">
                  <c:v>16.478196092805835</c:v>
                </c:pt>
                <c:pt idx="247">
                  <c:v>16.280657074262852</c:v>
                </c:pt>
                <c:pt idx="248">
                  <c:v>15.752021879831016</c:v>
                </c:pt>
                <c:pt idx="249">
                  <c:v>15.351808432659187</c:v>
                </c:pt>
                <c:pt idx="250">
                  <c:v>15.805998704196597</c:v>
                </c:pt>
                <c:pt idx="251">
                  <c:v>14.931403101849719</c:v>
                </c:pt>
                <c:pt idx="252">
                  <c:v>14.424482975119687</c:v>
                </c:pt>
                <c:pt idx="253">
                  <c:v>15.123997808492788</c:v>
                </c:pt>
                <c:pt idx="254">
                  <c:v>15.182701228605092</c:v>
                </c:pt>
                <c:pt idx="255">
                  <c:v>15.71140031572603</c:v>
                </c:pt>
                <c:pt idx="256">
                  <c:v>15.580295759842713</c:v>
                </c:pt>
                <c:pt idx="257">
                  <c:v>14.090974168719391</c:v>
                </c:pt>
                <c:pt idx="258">
                  <c:v>13.819521063628258</c:v>
                </c:pt>
                <c:pt idx="259">
                  <c:v>12.760404095420382</c:v>
                </c:pt>
                <c:pt idx="260">
                  <c:v>13.128493155017241</c:v>
                </c:pt>
                <c:pt idx="261">
                  <c:v>12.837265084841802</c:v>
                </c:pt>
                <c:pt idx="262">
                  <c:v>13.107564931635411</c:v>
                </c:pt>
                <c:pt idx="263">
                  <c:v>12.843690229558463</c:v>
                </c:pt>
                <c:pt idx="264">
                  <c:v>12.380816555498678</c:v>
                </c:pt>
                <c:pt idx="265">
                  <c:v>12.614019205221537</c:v>
                </c:pt>
                <c:pt idx="266">
                  <c:v>13.211881191444419</c:v>
                </c:pt>
                <c:pt idx="267">
                  <c:v>13.384331244020656</c:v>
                </c:pt>
                <c:pt idx="268">
                  <c:v>13.222699578167964</c:v>
                </c:pt>
                <c:pt idx="269">
                  <c:v>14.367767887415377</c:v>
                </c:pt>
                <c:pt idx="270">
                  <c:v>14.67490377351676</c:v>
                </c:pt>
                <c:pt idx="271">
                  <c:v>14.504082566380232</c:v>
                </c:pt>
                <c:pt idx="272">
                  <c:v>14.666491900974997</c:v>
                </c:pt>
                <c:pt idx="273">
                  <c:v>13.721181936677688</c:v>
                </c:pt>
                <c:pt idx="274">
                  <c:v>13.116935268505111</c:v>
                </c:pt>
                <c:pt idx="275">
                  <c:v>13.455739982309822</c:v>
                </c:pt>
                <c:pt idx="276">
                  <c:v>13.095772430089179</c:v>
                </c:pt>
                <c:pt idx="277">
                  <c:v>13.469462089724225</c:v>
                </c:pt>
                <c:pt idx="278">
                  <c:v>13.804602265745674</c:v>
                </c:pt>
                <c:pt idx="279">
                  <c:v>13.876133023971711</c:v>
                </c:pt>
                <c:pt idx="280">
                  <c:v>14.317611809399542</c:v>
                </c:pt>
                <c:pt idx="281">
                  <c:v>13.419738062566889</c:v>
                </c:pt>
                <c:pt idx="282">
                  <c:v>13.910610190632925</c:v>
                </c:pt>
                <c:pt idx="283">
                  <c:v>12.586770528185669</c:v>
                </c:pt>
                <c:pt idx="284">
                  <c:v>12.542982898191143</c:v>
                </c:pt>
                <c:pt idx="285">
                  <c:v>11.720017631213434</c:v>
                </c:pt>
                <c:pt idx="286">
                  <c:v>12.254819674636167</c:v>
                </c:pt>
                <c:pt idx="287">
                  <c:v>12.302604298154334</c:v>
                </c:pt>
                <c:pt idx="288">
                  <c:v>14.077615824203205</c:v>
                </c:pt>
                <c:pt idx="289">
                  <c:v>13.625551682272121</c:v>
                </c:pt>
                <c:pt idx="290">
                  <c:v>13.567375050511433</c:v>
                </c:pt>
                <c:pt idx="291">
                  <c:v>14.569838245791264</c:v>
                </c:pt>
                <c:pt idx="292">
                  <c:v>13.777019022544547</c:v>
                </c:pt>
                <c:pt idx="293">
                  <c:v>12.984755245310478</c:v>
                </c:pt>
                <c:pt idx="294">
                  <c:v>11.131296057577664</c:v>
                </c:pt>
                <c:pt idx="295">
                  <c:v>10.60700385205512</c:v>
                </c:pt>
                <c:pt idx="296">
                  <c:v>9.4121994643729483</c:v>
                </c:pt>
                <c:pt idx="297">
                  <c:v>9.6844276087512942</c:v>
                </c:pt>
                <c:pt idx="298">
                  <c:v>9.1097149650731328</c:v>
                </c:pt>
                <c:pt idx="299">
                  <c:v>9.1097149650731328</c:v>
                </c:pt>
                <c:pt idx="300">
                  <c:v>9.1439326951215669</c:v>
                </c:pt>
                <c:pt idx="301">
                  <c:v>10.377967234795666</c:v>
                </c:pt>
                <c:pt idx="302">
                  <c:v>10.36924514548147</c:v>
                </c:pt>
                <c:pt idx="303">
                  <c:v>10.942762004209595</c:v>
                </c:pt>
                <c:pt idx="304">
                  <c:v>9.5184741481376278</c:v>
                </c:pt>
                <c:pt idx="305">
                  <c:v>10.562919564385206</c:v>
                </c:pt>
                <c:pt idx="306">
                  <c:v>12.789462326748176</c:v>
                </c:pt>
                <c:pt idx="307">
                  <c:v>13.516524746709344</c:v>
                </c:pt>
                <c:pt idx="308">
                  <c:v>13.937932247762864</c:v>
                </c:pt>
                <c:pt idx="309">
                  <c:v>14.940384288726372</c:v>
                </c:pt>
                <c:pt idx="310">
                  <c:v>14.852607242423982</c:v>
                </c:pt>
                <c:pt idx="311">
                  <c:v>16.169168349625483</c:v>
                </c:pt>
                <c:pt idx="312">
                  <c:v>15.85563511510262</c:v>
                </c:pt>
                <c:pt idx="313">
                  <c:v>16.845601670286566</c:v>
                </c:pt>
                <c:pt idx="314">
                  <c:v>16.070407871836952</c:v>
                </c:pt>
                <c:pt idx="315">
                  <c:v>16.8492240712139</c:v>
                </c:pt>
                <c:pt idx="316">
                  <c:v>17.386469030769618</c:v>
                </c:pt>
                <c:pt idx="317">
                  <c:v>17.755699800000389</c:v>
                </c:pt>
                <c:pt idx="318">
                  <c:v>16.138247090767099</c:v>
                </c:pt>
                <c:pt idx="319">
                  <c:v>18.474822966253477</c:v>
                </c:pt>
                <c:pt idx="320">
                  <c:v>18.950790506827758</c:v>
                </c:pt>
                <c:pt idx="321">
                  <c:v>19.276377124095074</c:v>
                </c:pt>
                <c:pt idx="322">
                  <c:v>19.609060099731675</c:v>
                </c:pt>
                <c:pt idx="323">
                  <c:v>17.942393433065007</c:v>
                </c:pt>
                <c:pt idx="324">
                  <c:v>15.700499524504433</c:v>
                </c:pt>
                <c:pt idx="325">
                  <c:v>16.48888422770078</c:v>
                </c:pt>
                <c:pt idx="326">
                  <c:v>14.895592823088617</c:v>
                </c:pt>
                <c:pt idx="327">
                  <c:v>14.679802013238401</c:v>
                </c:pt>
                <c:pt idx="328">
                  <c:v>13.903537899345421</c:v>
                </c:pt>
                <c:pt idx="329">
                  <c:v>14.472096996290976</c:v>
                </c:pt>
                <c:pt idx="330">
                  <c:v>15.311791652779524</c:v>
                </c:pt>
                <c:pt idx="331">
                  <c:v>15.651456604632841</c:v>
                </c:pt>
                <c:pt idx="332">
                  <c:v>16.589185542361783</c:v>
                </c:pt>
                <c:pt idx="333">
                  <c:v>17.073223177647584</c:v>
                </c:pt>
                <c:pt idx="334">
                  <c:v>17.287011184404342</c:v>
                </c:pt>
                <c:pt idx="335">
                  <c:v>17.952002809194965</c:v>
                </c:pt>
                <c:pt idx="336">
                  <c:v>17.516531708640727</c:v>
                </c:pt>
                <c:pt idx="337">
                  <c:v>19.558773654728828</c:v>
                </c:pt>
                <c:pt idx="338">
                  <c:v>19.862925615935108</c:v>
                </c:pt>
                <c:pt idx="339">
                  <c:v>19.260159759950369</c:v>
                </c:pt>
                <c:pt idx="340">
                  <c:v>16.414422662716266</c:v>
                </c:pt>
                <c:pt idx="341">
                  <c:v>16.313679340364864</c:v>
                </c:pt>
                <c:pt idx="342">
                  <c:v>16.743282933413099</c:v>
                </c:pt>
                <c:pt idx="343">
                  <c:v>17.05036290599995</c:v>
                </c:pt>
                <c:pt idx="344">
                  <c:v>16.137639891603037</c:v>
                </c:pt>
                <c:pt idx="345">
                  <c:v>15.304649352730145</c:v>
                </c:pt>
                <c:pt idx="346">
                  <c:v>14.925897718117827</c:v>
                </c:pt>
                <c:pt idx="347">
                  <c:v>14.968350730352013</c:v>
                </c:pt>
                <c:pt idx="348">
                  <c:v>14.86384622584751</c:v>
                </c:pt>
                <c:pt idx="349">
                  <c:v>14.39693745833843</c:v>
                </c:pt>
                <c:pt idx="350">
                  <c:v>15.521410892228905</c:v>
                </c:pt>
                <c:pt idx="351">
                  <c:v>15.192210292577352</c:v>
                </c:pt>
                <c:pt idx="352">
                  <c:v>15.135209722571652</c:v>
                </c:pt>
                <c:pt idx="353">
                  <c:v>14.519976773834976</c:v>
                </c:pt>
                <c:pt idx="354">
                  <c:v>14.885934220643485</c:v>
                </c:pt>
                <c:pt idx="355">
                  <c:v>13.752457962107675</c:v>
                </c:pt>
                <c:pt idx="356">
                  <c:v>12.895220903090198</c:v>
                </c:pt>
                <c:pt idx="357">
                  <c:v>16.616769003653289</c:v>
                </c:pt>
                <c:pt idx="358">
                  <c:v>17.966226768352694</c:v>
                </c:pt>
                <c:pt idx="359">
                  <c:v>16.034097594844209</c:v>
                </c:pt>
                <c:pt idx="360">
                  <c:v>14.167237350544335</c:v>
                </c:pt>
                <c:pt idx="361">
                  <c:v>14.167237350544335</c:v>
                </c:pt>
                <c:pt idx="362">
                  <c:v>15.974338569410259</c:v>
                </c:pt>
                <c:pt idx="363">
                  <c:v>13.803023828374403</c:v>
                </c:pt>
                <c:pt idx="364">
                  <c:v>13.519372461690544</c:v>
                </c:pt>
                <c:pt idx="365">
                  <c:v>12.882606127249788</c:v>
                </c:pt>
                <c:pt idx="366">
                  <c:v>7.1081407999652821</c:v>
                </c:pt>
                <c:pt idx="367">
                  <c:v>6.119926664580901</c:v>
                </c:pt>
                <c:pt idx="368">
                  <c:v>9.5029837548203133</c:v>
                </c:pt>
                <c:pt idx="369">
                  <c:v>9.8839423143140035</c:v>
                </c:pt>
                <c:pt idx="370">
                  <c:v>10.162882342208007</c:v>
                </c:pt>
                <c:pt idx="371">
                  <c:v>11.082695412455022</c:v>
                </c:pt>
                <c:pt idx="372">
                  <c:v>10.331569327126132</c:v>
                </c:pt>
                <c:pt idx="373">
                  <c:v>11.243967114523922</c:v>
                </c:pt>
                <c:pt idx="374">
                  <c:v>13.828676063264149</c:v>
                </c:pt>
                <c:pt idx="375">
                  <c:v>11.754533906401404</c:v>
                </c:pt>
                <c:pt idx="376">
                  <c:v>10.678485061038085</c:v>
                </c:pt>
                <c:pt idx="377">
                  <c:v>13.102184721293675</c:v>
                </c:pt>
                <c:pt idx="378">
                  <c:v>10.797490601652935</c:v>
                </c:pt>
                <c:pt idx="379">
                  <c:v>10.392475066810503</c:v>
                </c:pt>
                <c:pt idx="380">
                  <c:v>9.6584146641259423</c:v>
                </c:pt>
                <c:pt idx="381">
                  <c:v>10.846645520406589</c:v>
                </c:pt>
                <c:pt idx="382">
                  <c:v>12.397033117305812</c:v>
                </c:pt>
                <c:pt idx="383">
                  <c:v>14.869985203859134</c:v>
                </c:pt>
                <c:pt idx="384">
                  <c:v>14.701309091330167</c:v>
                </c:pt>
                <c:pt idx="385">
                  <c:v>15.492559973297709</c:v>
                </c:pt>
                <c:pt idx="386">
                  <c:v>12.920934778614816</c:v>
                </c:pt>
                <c:pt idx="387">
                  <c:v>13.698814326754405</c:v>
                </c:pt>
                <c:pt idx="388">
                  <c:v>10.669595483582073</c:v>
                </c:pt>
                <c:pt idx="389">
                  <c:v>10.563192115684167</c:v>
                </c:pt>
                <c:pt idx="390">
                  <c:v>12.395462518807363</c:v>
                </c:pt>
                <c:pt idx="391">
                  <c:v>11.998870274389031</c:v>
                </c:pt>
                <c:pt idx="392">
                  <c:v>13.678057952341756</c:v>
                </c:pt>
                <c:pt idx="393">
                  <c:v>12.912630265899059</c:v>
                </c:pt>
                <c:pt idx="394">
                  <c:v>14.249047639324912</c:v>
                </c:pt>
                <c:pt idx="395">
                  <c:v>12.231503779675789</c:v>
                </c:pt>
                <c:pt idx="396">
                  <c:v>11.07210721148963</c:v>
                </c:pt>
                <c:pt idx="397">
                  <c:v>12.466491986315333</c:v>
                </c:pt>
                <c:pt idx="398">
                  <c:v>14.696475865949937</c:v>
                </c:pt>
                <c:pt idx="399">
                  <c:v>13.697888879459725</c:v>
                </c:pt>
                <c:pt idx="400">
                  <c:v>13.494338969021685</c:v>
                </c:pt>
                <c:pt idx="401">
                  <c:v>12.097668726243443</c:v>
                </c:pt>
                <c:pt idx="402">
                  <c:v>9.2056701614784622</c:v>
                </c:pt>
                <c:pt idx="403">
                  <c:v>8.6420568809798635</c:v>
                </c:pt>
                <c:pt idx="404">
                  <c:v>10.794393606150022</c:v>
                </c:pt>
                <c:pt idx="405">
                  <c:v>10.226945996733765</c:v>
                </c:pt>
                <c:pt idx="406">
                  <c:v>7.9834223246386617</c:v>
                </c:pt>
                <c:pt idx="407">
                  <c:v>6.4765430933654571</c:v>
                </c:pt>
                <c:pt idx="408">
                  <c:v>7.759757365580751</c:v>
                </c:pt>
                <c:pt idx="409">
                  <c:v>8.6130739387774238</c:v>
                </c:pt>
                <c:pt idx="410">
                  <c:v>9.4049014214705569</c:v>
                </c:pt>
                <c:pt idx="411">
                  <c:v>9.8076960975757057</c:v>
                </c:pt>
                <c:pt idx="412">
                  <c:v>9.8690503811522117</c:v>
                </c:pt>
                <c:pt idx="413">
                  <c:v>9.9226031502222227</c:v>
                </c:pt>
                <c:pt idx="414">
                  <c:v>10.636690781947127</c:v>
                </c:pt>
                <c:pt idx="415">
                  <c:v>11.06108072140915</c:v>
                </c:pt>
                <c:pt idx="416">
                  <c:v>11.359705475829582</c:v>
                </c:pt>
                <c:pt idx="417">
                  <c:v>10.599249202065323</c:v>
                </c:pt>
                <c:pt idx="418">
                  <c:v>12.531345993452172</c:v>
                </c:pt>
              </c:numCache>
            </c:numRef>
          </c:val>
          <c:smooth val="1"/>
          <c:extLst>
            <c:ext xmlns:c16="http://schemas.microsoft.com/office/drawing/2014/chart" uri="{C3380CC4-5D6E-409C-BE32-E72D297353CC}">
              <c16:uniqueId val="{00000010-5288-4840-A95E-AEBD3E5AE9D2}"/>
            </c:ext>
          </c:extLst>
        </c:ser>
        <c:dLbls>
          <c:showLegendKey val="0"/>
          <c:showVal val="0"/>
          <c:showCatName val="0"/>
          <c:showSerName val="0"/>
          <c:showPercent val="0"/>
          <c:showBubbleSize val="0"/>
        </c:dLbls>
        <c:smooth val="0"/>
        <c:axId val="147683023"/>
        <c:axId val="146645279"/>
        <c:extLst>
          <c:ext xmlns:c15="http://schemas.microsoft.com/office/drawing/2012/chart" uri="{02D57815-91ED-43cb-92C2-25804820EDAC}">
            <c15:filteredLineSeries>
              <c15:ser>
                <c:idx val="8"/>
                <c:order val="1"/>
                <c:tx>
                  <c:v>Actual R</c:v>
                </c:tx>
                <c:spPr>
                  <a:ln w="19050" cap="rnd">
                    <a:solidFill>
                      <a:srgbClr val="00FF00"/>
                    </a:solidFill>
                    <a:prstDash val="solid"/>
                    <a:round/>
                  </a:ln>
                  <a:effectLst>
                    <a:glow rad="38100">
                      <a:schemeClr val="accent3">
                        <a:satMod val="175000"/>
                        <a:alpha val="40000"/>
                      </a:schemeClr>
                    </a:glow>
                    <a:softEdge rad="0"/>
                  </a:effectLst>
                </c:spPr>
                <c:marker>
                  <c:symbol val="none"/>
                </c:marker>
                <c:val>
                  <c:numRef>
                    <c:extLst>
                      <c:ext uri="{02D57815-91ED-43cb-92C2-25804820EDAC}">
                        <c15:formulaRef>
                          <c15:sqref>'2025-Q2'!$AJ$4:$AJ$422</c15:sqref>
                        </c15:formulaRef>
                      </c:ext>
                    </c:extLst>
                    <c:numCache>
                      <c:formatCode>0.00</c:formatCode>
                      <c:ptCount val="419"/>
                      <c:pt idx="0">
                        <c:v>-0.57599405425492101</c:v>
                      </c:pt>
                      <c:pt idx="1">
                        <c:v>0.14192670183377543</c:v>
                      </c:pt>
                      <c:pt idx="2">
                        <c:v>8.3217999736403717E-2</c:v>
                      </c:pt>
                      <c:pt idx="3">
                        <c:v>-8.3158168858114376E-2</c:v>
                      </c:pt>
                      <c:pt idx="4">
                        <c:v>-0.28907043199108623</c:v>
                      </c:pt>
                      <c:pt idx="5">
                        <c:v>-0.94172674317761551</c:v>
                      </c:pt>
                      <c:pt idx="6">
                        <c:v>-1.3326693840733435</c:v>
                      </c:pt>
                      <c:pt idx="7">
                        <c:v>-1.4294279713979705</c:v>
                      </c:pt>
                      <c:pt idx="8">
                        <c:v>-0.90492887477687722</c:v>
                      </c:pt>
                      <c:pt idx="9">
                        <c:v>-0.90492887477687722</c:v>
                      </c:pt>
                      <c:pt idx="10">
                        <c:v>-0.63866292518286594</c:v>
                      </c:pt>
                      <c:pt idx="11">
                        <c:v>0.17035443687512675</c:v>
                      </c:pt>
                      <c:pt idx="12">
                        <c:v>0.47188246503205122</c:v>
                      </c:pt>
                      <c:pt idx="13">
                        <c:v>0.373087440414275</c:v>
                      </c:pt>
                      <c:pt idx="14">
                        <c:v>1.2501505741571544</c:v>
                      </c:pt>
                      <c:pt idx="15">
                        <c:v>1.8969167433113827</c:v>
                      </c:pt>
                      <c:pt idx="16">
                        <c:v>2.3025742555678823</c:v>
                      </c:pt>
                      <c:pt idx="17">
                        <c:v>2.4794661357991385</c:v>
                      </c:pt>
                      <c:pt idx="18">
                        <c:v>2.4240644737492749</c:v>
                      </c:pt>
                      <c:pt idx="19">
                        <c:v>3.0407126541749827</c:v>
                      </c:pt>
                      <c:pt idx="20">
                        <c:v>3.0407126541749827</c:v>
                      </c:pt>
                      <c:pt idx="21">
                        <c:v>3.0407126541749827</c:v>
                      </c:pt>
                      <c:pt idx="22">
                        <c:v>3.0772757254729757</c:v>
                      </c:pt>
                      <c:pt idx="23">
                        <c:v>3.0772757254729757</c:v>
                      </c:pt>
                      <c:pt idx="24">
                        <c:v>2.4033253717536915</c:v>
                      </c:pt>
                      <c:pt idx="25">
                        <c:v>-0.58906261311343933</c:v>
                      </c:pt>
                      <c:pt idx="26">
                        <c:v>-0.34832187237269646</c:v>
                      </c:pt>
                      <c:pt idx="27">
                        <c:v>-0.9511854744827184</c:v>
                      </c:pt>
                      <c:pt idx="28">
                        <c:v>-2.7856490460354939</c:v>
                      </c:pt>
                      <c:pt idx="29">
                        <c:v>-2.2836675400909754</c:v>
                      </c:pt>
                      <c:pt idx="30">
                        <c:v>-2.859358085153648</c:v>
                      </c:pt>
                      <c:pt idx="31">
                        <c:v>-2.3409472324404694</c:v>
                      </c:pt>
                      <c:pt idx="32">
                        <c:v>-2.8503052044850099</c:v>
                      </c:pt>
                      <c:pt idx="33">
                        <c:v>-2.7402572314764151</c:v>
                      </c:pt>
                      <c:pt idx="34">
                        <c:v>-3.5558662002930603</c:v>
                      </c:pt>
                      <c:pt idx="35" formatCode="0.0">
                        <c:v>-4.2988380878432624</c:v>
                      </c:pt>
                      <c:pt idx="36">
                        <c:v>-4.6363451729156582</c:v>
                      </c:pt>
                      <c:pt idx="37" formatCode="0.0">
                        <c:v>-4.4343563599883726</c:v>
                      </c:pt>
                      <c:pt idx="38">
                        <c:v>-4.2467122654246552</c:v>
                      </c:pt>
                      <c:pt idx="39">
                        <c:v>-4.3482024382054831</c:v>
                      </c:pt>
                      <c:pt idx="40" formatCode="0.0">
                        <c:v>-6.3764743814758003</c:v>
                      </c:pt>
                      <c:pt idx="41" formatCode="0.0">
                        <c:v>-6.9994994813386775</c:v>
                      </c:pt>
                      <c:pt idx="42">
                        <c:v>-5.5396454667401356</c:v>
                      </c:pt>
                      <c:pt idx="43">
                        <c:v>-6.3012565311266409</c:v>
                      </c:pt>
                      <c:pt idx="44">
                        <c:v>-6.7943072338209491</c:v>
                      </c:pt>
                      <c:pt idx="45">
                        <c:v>-6.8215801594422265</c:v>
                      </c:pt>
                      <c:pt idx="46">
                        <c:v>-8.0686966530985131</c:v>
                      </c:pt>
                      <c:pt idx="47">
                        <c:v>-9.521968003608869</c:v>
                      </c:pt>
                      <c:pt idx="48">
                        <c:v>-10.089397209207982</c:v>
                      </c:pt>
                      <c:pt idx="49">
                        <c:v>-10.089397209207982</c:v>
                      </c:pt>
                      <c:pt idx="50">
                        <c:v>-10.089397209207982</c:v>
                      </c:pt>
                      <c:pt idx="51">
                        <c:v>-11.0027659669736</c:v>
                      </c:pt>
                      <c:pt idx="52">
                        <c:v>-12.488750431681471</c:v>
                      </c:pt>
                      <c:pt idx="53">
                        <c:v>-11.996090636696096</c:v>
                      </c:pt>
                      <c:pt idx="54">
                        <c:v>-11.255953331826369</c:v>
                      </c:pt>
                      <c:pt idx="55">
                        <c:v>-10.663205772551613</c:v>
                      </c:pt>
                      <c:pt idx="56">
                        <c:v>-11.106375741269026</c:v>
                      </c:pt>
                      <c:pt idx="57" formatCode="0.0">
                        <c:v>-9.2129326069499786</c:v>
                      </c:pt>
                      <c:pt idx="58">
                        <c:v>-8.449125321403562</c:v>
                      </c:pt>
                      <c:pt idx="59">
                        <c:v>-7.2563979468045225</c:v>
                      </c:pt>
                      <c:pt idx="60" formatCode="0.0">
                        <c:v>-7.3387533101975642</c:v>
                      </c:pt>
                      <c:pt idx="61">
                        <c:v>-5.8334528123494556</c:v>
                      </c:pt>
                      <c:pt idx="62">
                        <c:v>-3.4887126349096582</c:v>
                      </c:pt>
                      <c:pt idx="63">
                        <c:v>-2.5457876942327489</c:v>
                      </c:pt>
                      <c:pt idx="64">
                        <c:v>-2.9476175656471924</c:v>
                      </c:pt>
                      <c:pt idx="65">
                        <c:v>-1.8267298800290126</c:v>
                      </c:pt>
                      <c:pt idx="66">
                        <c:v>-2.2055177588168915</c:v>
                      </c:pt>
                      <c:pt idx="67">
                        <c:v>-3.1743183170177662</c:v>
                      </c:pt>
                      <c:pt idx="68">
                        <c:v>-2.9950965968705732</c:v>
                      </c:pt>
                      <c:pt idx="69" formatCode="0.0">
                        <c:v>-2.7117500610104806</c:v>
                      </c:pt>
                      <c:pt idx="70" formatCode="0.0">
                        <c:v>-1.4989875671149895</c:v>
                      </c:pt>
                      <c:pt idx="71" formatCode="0.0">
                        <c:v>-2.0650868792603916</c:v>
                      </c:pt>
                      <c:pt idx="72" formatCode="0.0">
                        <c:v>-0.44072730776528091</c:v>
                      </c:pt>
                      <c:pt idx="73">
                        <c:v>-0.63298834609619026</c:v>
                      </c:pt>
                      <c:pt idx="74" formatCode="0.0">
                        <c:v>0.23497588325678243</c:v>
                      </c:pt>
                      <c:pt idx="75">
                        <c:v>-0.27201417906425596</c:v>
                      </c:pt>
                      <c:pt idx="76">
                        <c:v>1.0479551494492725</c:v>
                      </c:pt>
                      <c:pt idx="77">
                        <c:v>0.76347737602415799</c:v>
                      </c:pt>
                      <c:pt idx="78">
                        <c:v>-0.26240389060991842</c:v>
                      </c:pt>
                      <c:pt idx="79">
                        <c:v>-0.26240389060991842</c:v>
                      </c:pt>
                      <c:pt idx="80">
                        <c:v>-7.0340724079974659E-2</c:v>
                      </c:pt>
                      <c:pt idx="81" formatCode="0.0">
                        <c:v>-1.144236078418134</c:v>
                      </c:pt>
                      <c:pt idx="82">
                        <c:v>-1.7961167917404788</c:v>
                      </c:pt>
                      <c:pt idx="83">
                        <c:v>-2.2793978784698399</c:v>
                      </c:pt>
                      <c:pt idx="84" formatCode="0.0">
                        <c:v>-3.9760046648969851</c:v>
                      </c:pt>
                      <c:pt idx="85">
                        <c:v>-4.0944095147596355</c:v>
                      </c:pt>
                      <c:pt idx="86">
                        <c:v>-4.5932127891617744</c:v>
                      </c:pt>
                      <c:pt idx="87">
                        <c:v>-4.8272457047589343</c:v>
                      </c:pt>
                      <c:pt idx="88">
                        <c:v>-3.8580947356079651</c:v>
                      </c:pt>
                      <c:pt idx="89">
                        <c:v>-4.1755550530682841</c:v>
                      </c:pt>
                      <c:pt idx="90">
                        <c:v>-2.9619393485909606</c:v>
                      </c:pt>
                      <c:pt idx="91">
                        <c:v>-3.1802799599446723</c:v>
                      </c:pt>
                      <c:pt idx="92">
                        <c:v>-2.9044178909791554</c:v>
                      </c:pt>
                      <c:pt idx="93">
                        <c:v>-2.9044178909791554</c:v>
                      </c:pt>
                      <c:pt idx="94">
                        <c:v>-3.542630494926656</c:v>
                      </c:pt>
                      <c:pt idx="95">
                        <c:v>-3.5256971277265867</c:v>
                      </c:pt>
                      <c:pt idx="96">
                        <c:v>-3.477663011788632</c:v>
                      </c:pt>
                      <c:pt idx="97" formatCode="0.0">
                        <c:v>-3.2956450160471671</c:v>
                      </c:pt>
                      <c:pt idx="98" formatCode="0.0">
                        <c:v>-3.5249072086274102</c:v>
                      </c:pt>
                      <c:pt idx="99" formatCode="0.0">
                        <c:v>-4.3517131268171418</c:v>
                      </c:pt>
                      <c:pt idx="100" formatCode="0.0">
                        <c:v>-5.8099278418168261</c:v>
                      </c:pt>
                      <c:pt idx="101" formatCode="0.0">
                        <c:v>-6.3403815692015</c:v>
                      </c:pt>
                      <c:pt idx="102">
                        <c:v>-6.3958575065136909</c:v>
                      </c:pt>
                      <c:pt idx="103">
                        <c:v>-7.6055861916409571</c:v>
                      </c:pt>
                      <c:pt idx="104">
                        <c:v>-7.6307455341434718</c:v>
                      </c:pt>
                      <c:pt idx="105">
                        <c:v>-6.7708098746532484</c:v>
                      </c:pt>
                      <c:pt idx="106" formatCode="0.0">
                        <c:v>-6.96671727898398</c:v>
                      </c:pt>
                      <c:pt idx="107">
                        <c:v>-8.3472043272234693</c:v>
                      </c:pt>
                      <c:pt idx="108">
                        <c:v>-7.7991148988466792</c:v>
                      </c:pt>
                      <c:pt idx="109" formatCode="0.0">
                        <c:v>-8.3251001398578293</c:v>
                      </c:pt>
                      <c:pt idx="110">
                        <c:v>-8.0292703851102392</c:v>
                      </c:pt>
                      <c:pt idx="111">
                        <c:v>-7.7283820481153001</c:v>
                      </c:pt>
                      <c:pt idx="112">
                        <c:v>-7.2968383518751985</c:v>
                      </c:pt>
                      <c:pt idx="113">
                        <c:v>-6.6851327836912793</c:v>
                      </c:pt>
                      <c:pt idx="114">
                        <c:v>-7.1867509066686255</c:v>
                      </c:pt>
                      <c:pt idx="115">
                        <c:v>-5.8497594852827266</c:v>
                      </c:pt>
                      <c:pt idx="116">
                        <c:v>-5.4643867707960885</c:v>
                      </c:pt>
                      <c:pt idx="117">
                        <c:v>-5.0760835906147381</c:v>
                      </c:pt>
                      <c:pt idx="118" formatCode="0.0">
                        <c:v>-4.0530468643322601</c:v>
                      </c:pt>
                      <c:pt idx="119" formatCode="0.0">
                        <c:v>-4.4877624196307764</c:v>
                      </c:pt>
                      <c:pt idx="120">
                        <c:v>-4.2790180314234068</c:v>
                      </c:pt>
                      <c:pt idx="121">
                        <c:v>-4.7795709678066221</c:v>
                      </c:pt>
                      <c:pt idx="122">
                        <c:v>-5.8241392129319669</c:v>
                      </c:pt>
                      <c:pt idx="123">
                        <c:v>-6.1410366362541096</c:v>
                      </c:pt>
                      <c:pt idx="124">
                        <c:v>-7.4294250042388921</c:v>
                      </c:pt>
                      <c:pt idx="125" formatCode="0.0">
                        <c:v>-7.064291199614642</c:v>
                      </c:pt>
                      <c:pt idx="126">
                        <c:v>-6.673648141041296</c:v>
                      </c:pt>
                      <c:pt idx="127">
                        <c:v>-7.3158315646816749</c:v>
                      </c:pt>
                      <c:pt idx="128" formatCode="0.0">
                        <c:v>-7.0601155598681968</c:v>
                      </c:pt>
                      <c:pt idx="129">
                        <c:v>-7.5618136148234303</c:v>
                      </c:pt>
                      <c:pt idx="130" formatCode="0.0">
                        <c:v>-8.1236603047189</c:v>
                      </c:pt>
                      <c:pt idx="131" formatCode="0.0">
                        <c:v>-8.3694690397947973</c:v>
                      </c:pt>
                      <c:pt idx="132">
                        <c:v>-8.9127939057276233</c:v>
                      </c:pt>
                      <c:pt idx="133">
                        <c:v>-7.9385797959202904</c:v>
                      </c:pt>
                      <c:pt idx="134">
                        <c:v>-7.4510289107550909</c:v>
                      </c:pt>
                      <c:pt idx="135">
                        <c:v>-6.8463425917830563</c:v>
                      </c:pt>
                      <c:pt idx="136">
                        <c:v>-6.659230977129984</c:v>
                      </c:pt>
                      <c:pt idx="137">
                        <c:v>-6.9857475607354136</c:v>
                      </c:pt>
                      <c:pt idx="138">
                        <c:v>-6.7543665050593473</c:v>
                      </c:pt>
                      <c:pt idx="139">
                        <c:v>-6.6678313717952404</c:v>
                      </c:pt>
                      <c:pt idx="140" formatCode="0.0">
                        <c:v>-6.8349855715445118</c:v>
                      </c:pt>
                      <c:pt idx="141" formatCode="0.0">
                        <c:v>-7.2512513122465156</c:v>
                      </c:pt>
                      <c:pt idx="142" formatCode="0.0">
                        <c:v>-8.5257731954176244</c:v>
                      </c:pt>
                      <c:pt idx="143">
                        <c:v>-8.8954020264664457</c:v>
                      </c:pt>
                      <c:pt idx="144" formatCode="0.0">
                        <c:v>-8.9416822532395575</c:v>
                      </c:pt>
                      <c:pt idx="145">
                        <c:v>-7.6017680339421734</c:v>
                      </c:pt>
                      <c:pt idx="146">
                        <c:v>-8.0446021724284869</c:v>
                      </c:pt>
                      <c:pt idx="147" formatCode="0.0">
                        <c:v>-8.6085743974193516</c:v>
                      </c:pt>
                      <c:pt idx="148" formatCode="0.0">
                        <c:v>-7.4343319731769277</c:v>
                      </c:pt>
                      <c:pt idx="149">
                        <c:v>-6.4951160980203912</c:v>
                      </c:pt>
                      <c:pt idx="150">
                        <c:v>-6.9355500866335626</c:v>
                      </c:pt>
                      <c:pt idx="151">
                        <c:v>-5.7325272108165706</c:v>
                      </c:pt>
                      <c:pt idx="152" formatCode="0.0">
                        <c:v>-3.2389445192140784</c:v>
                      </c:pt>
                      <c:pt idx="153">
                        <c:v>-4.8889150554545004</c:v>
                      </c:pt>
                      <c:pt idx="154">
                        <c:v>-4.576097846115859</c:v>
                      </c:pt>
                      <c:pt idx="155" formatCode="0.0">
                        <c:v>-5.2940687664896364</c:v>
                      </c:pt>
                      <c:pt idx="156" formatCode="0.0">
                        <c:v>-3.295137453947131</c:v>
                      </c:pt>
                      <c:pt idx="157" formatCode="0.0">
                        <c:v>-2.5861648830498742</c:v>
                      </c:pt>
                      <c:pt idx="158" formatCode="0.0">
                        <c:v>-2.151485831007478</c:v>
                      </c:pt>
                      <c:pt idx="159" formatCode="0.0">
                        <c:v>-4.2892530519100909</c:v>
                      </c:pt>
                      <c:pt idx="160">
                        <c:v>-3.6748839226894794</c:v>
                      </c:pt>
                      <c:pt idx="161" formatCode="0.0">
                        <c:v>-2.5954302584215991</c:v>
                      </c:pt>
                      <c:pt idx="162">
                        <c:v>-2.2684849337397428</c:v>
                      </c:pt>
                      <c:pt idx="163">
                        <c:v>-3.2162938948426496</c:v>
                      </c:pt>
                      <c:pt idx="164">
                        <c:v>-2.798813955567002</c:v>
                      </c:pt>
                      <c:pt idx="165">
                        <c:v>-1.5463618656318869</c:v>
                      </c:pt>
                      <c:pt idx="166" formatCode="0.0">
                        <c:v>-1.6752829273347483</c:v>
                      </c:pt>
                      <c:pt idx="167">
                        <c:v>-1.9587238893435148</c:v>
                      </c:pt>
                      <c:pt idx="168">
                        <c:v>-0.77599591677720481</c:v>
                      </c:pt>
                      <c:pt idx="169" formatCode="0.0">
                        <c:v>-0.51418627044592513</c:v>
                      </c:pt>
                      <c:pt idx="170" formatCode="0.0">
                        <c:v>-4.4681972789030577E-2</c:v>
                      </c:pt>
                      <c:pt idx="171" formatCode="0.0">
                        <c:v>-1.9881737251979805</c:v>
                      </c:pt>
                      <c:pt idx="172" formatCode="0.0">
                        <c:v>-1.9936150136950974</c:v>
                      </c:pt>
                      <c:pt idx="173" formatCode="0.0">
                        <c:v>-1.4739492301206116</c:v>
                      </c:pt>
                      <c:pt idx="174" formatCode="0.0">
                        <c:v>0.32888928157865882</c:v>
                      </c:pt>
                      <c:pt idx="175">
                        <c:v>1.3185332290225364</c:v>
                      </c:pt>
                      <c:pt idx="176">
                        <c:v>1.3753274392584744</c:v>
                      </c:pt>
                      <c:pt idx="177">
                        <c:v>2.698338975384766</c:v>
                      </c:pt>
                      <c:pt idx="178">
                        <c:v>3.0878256375681299</c:v>
                      </c:pt>
                      <c:pt idx="179" formatCode="0.0">
                        <c:v>4.2050330167029912</c:v>
                      </c:pt>
                      <c:pt idx="180" formatCode="0.0">
                        <c:v>3.5256685215490196</c:v>
                      </c:pt>
                      <c:pt idx="181" formatCode="0.0">
                        <c:v>3.2148329619610019</c:v>
                      </c:pt>
                      <c:pt idx="182" formatCode="0.0">
                        <c:v>3.9284390513996317</c:v>
                      </c:pt>
                      <c:pt idx="183" formatCode="0.0">
                        <c:v>3.5100785084988542</c:v>
                      </c:pt>
                      <c:pt idx="184" formatCode="0.0">
                        <c:v>1.9040004165580995</c:v>
                      </c:pt>
                      <c:pt idx="185" formatCode="0.0">
                        <c:v>0.98219494929808882</c:v>
                      </c:pt>
                      <c:pt idx="186" formatCode="0.0">
                        <c:v>0.97486572033297592</c:v>
                      </c:pt>
                      <c:pt idx="187" formatCode="0.0">
                        <c:v>1.424787473071631</c:v>
                      </c:pt>
                      <c:pt idx="188" formatCode="0.0">
                        <c:v>2.3520855107024206</c:v>
                      </c:pt>
                      <c:pt idx="189" formatCode="0.0">
                        <c:v>2.2835348052935509</c:v>
                      </c:pt>
                      <c:pt idx="190" formatCode="0.0">
                        <c:v>2.9826456449053076</c:v>
                      </c:pt>
                      <c:pt idx="191" formatCode="0.0">
                        <c:v>2.1799129378173503</c:v>
                      </c:pt>
                      <c:pt idx="192">
                        <c:v>1.8599520257034259</c:v>
                      </c:pt>
                      <c:pt idx="193" formatCode="0.0">
                        <c:v>3.8339125464930106</c:v>
                      </c:pt>
                      <c:pt idx="194">
                        <c:v>2.8730189058269948</c:v>
                      </c:pt>
                      <c:pt idx="195">
                        <c:v>2.9992189535535583</c:v>
                      </c:pt>
                      <c:pt idx="196">
                        <c:v>2.9402229798767086</c:v>
                      </c:pt>
                      <c:pt idx="197" formatCode="0.0">
                        <c:v>3.1544067019138331</c:v>
                      </c:pt>
                      <c:pt idx="198" formatCode="0.0">
                        <c:v>3.2521382292786623</c:v>
                      </c:pt>
                      <c:pt idx="199" formatCode="0.0">
                        <c:v>4.0630620307222172</c:v>
                      </c:pt>
                      <c:pt idx="200" formatCode="0.0">
                        <c:v>3.7585623174942095</c:v>
                      </c:pt>
                      <c:pt idx="201" formatCode="0.0">
                        <c:v>4.8132330019539591</c:v>
                      </c:pt>
                      <c:pt idx="202">
                        <c:v>5.071334126911264</c:v>
                      </c:pt>
                      <c:pt idx="203">
                        <c:v>4.5310741415383911</c:v>
                      </c:pt>
                      <c:pt idx="204">
                        <c:v>4.5580841938337588</c:v>
                      </c:pt>
                      <c:pt idx="205">
                        <c:v>3.620227674137094</c:v>
                      </c:pt>
                      <c:pt idx="206">
                        <c:v>5.0890824065998235</c:v>
                      </c:pt>
                      <c:pt idx="207">
                        <c:v>5.0103215769857528</c:v>
                      </c:pt>
                      <c:pt idx="208">
                        <c:v>4.847173406997153</c:v>
                      </c:pt>
                      <c:pt idx="209">
                        <c:v>5.0723235070638646</c:v>
                      </c:pt>
                      <c:pt idx="210" formatCode="0.0">
                        <c:v>6.0909192762019337</c:v>
                      </c:pt>
                      <c:pt idx="211" formatCode="0.0">
                        <c:v>5.5054917155079517</c:v>
                      </c:pt>
                      <c:pt idx="212" formatCode="0.0">
                        <c:v>5.5054917155079517</c:v>
                      </c:pt>
                      <c:pt idx="213" formatCode="0.0">
                        <c:v>5.5932162604368729</c:v>
                      </c:pt>
                      <c:pt idx="214" formatCode="0.0">
                        <c:v>6.1365040276994041</c:v>
                      </c:pt>
                      <c:pt idx="215" formatCode="0.0">
                        <c:v>4.7560541822671469</c:v>
                      </c:pt>
                      <c:pt idx="216" formatCode="0.0">
                        <c:v>6.14015451704954</c:v>
                      </c:pt>
                      <c:pt idx="217" formatCode="0.0">
                        <c:v>7.0878622189786293</c:v>
                      </c:pt>
                      <c:pt idx="218" formatCode="0.0">
                        <c:v>6.5638540915056325</c:v>
                      </c:pt>
                      <c:pt idx="219" formatCode="0.0">
                        <c:v>8.2692989876984182</c:v>
                      </c:pt>
                      <c:pt idx="220" formatCode="0.0">
                        <c:v>8.7694522379979514</c:v>
                      </c:pt>
                      <c:pt idx="221" formatCode="0.0">
                        <c:v>9.3237053710476445</c:v>
                      </c:pt>
                      <c:pt idx="222" formatCode="0.0">
                        <c:v>9.5089989150304799</c:v>
                      </c:pt>
                      <c:pt idx="223">
                        <c:v>9.0084488600249788</c:v>
                      </c:pt>
                      <c:pt idx="224" formatCode="0.0">
                        <c:v>9.4832700402631094</c:v>
                      </c:pt>
                      <c:pt idx="225" formatCode="0.0">
                        <c:v>9.0112983058329021</c:v>
                      </c:pt>
                      <c:pt idx="226">
                        <c:v>7.1654287754127992</c:v>
                      </c:pt>
                      <c:pt idx="227" formatCode="0.0">
                        <c:v>7.93730915743879</c:v>
                      </c:pt>
                      <c:pt idx="228">
                        <c:v>7.9328527102967081</c:v>
                      </c:pt>
                      <c:pt idx="229" formatCode="0.0">
                        <c:v>7.6524634640489761</c:v>
                      </c:pt>
                      <c:pt idx="230">
                        <c:v>8.3744377355113055</c:v>
                      </c:pt>
                      <c:pt idx="231">
                        <c:v>8.3744377355113055</c:v>
                      </c:pt>
                      <c:pt idx="232">
                        <c:v>8.3340356031182417</c:v>
                      </c:pt>
                      <c:pt idx="233">
                        <c:v>8.7874384738866791</c:v>
                      </c:pt>
                      <c:pt idx="234" formatCode="0.0">
                        <c:v>9.3606461088959882</c:v>
                      </c:pt>
                      <c:pt idx="235" formatCode="0.0">
                        <c:v>9.0741872826200147</c:v>
                      </c:pt>
                      <c:pt idx="236" formatCode="0.0">
                        <c:v>10.87538643033321</c:v>
                      </c:pt>
                      <c:pt idx="237" formatCode="0.0">
                        <c:v>11.290904953711598</c:v>
                      </c:pt>
                      <c:pt idx="238" formatCode="0.0">
                        <c:v>9.5008585130101313</c:v>
                      </c:pt>
                      <c:pt idx="239" formatCode="0.0">
                        <c:v>9.5440035310295208</c:v>
                      </c:pt>
                      <c:pt idx="240" formatCode="0.0">
                        <c:v>9.6420098034309518</c:v>
                      </c:pt>
                      <c:pt idx="241" formatCode="0.0">
                        <c:v>13.483779069276824</c:v>
                      </c:pt>
                      <c:pt idx="242" formatCode="0.0">
                        <c:v>13.602951869837643</c:v>
                      </c:pt>
                      <c:pt idx="243" formatCode="0.0">
                        <c:v>13.873091374716283</c:v>
                      </c:pt>
                      <c:pt idx="244" formatCode="0.0">
                        <c:v>12.69053072863437</c:v>
                      </c:pt>
                      <c:pt idx="245">
                        <c:v>13.174519325067441</c:v>
                      </c:pt>
                      <c:pt idx="246">
                        <c:v>12.785346828691313</c:v>
                      </c:pt>
                      <c:pt idx="247">
                        <c:v>12.513807125183314</c:v>
                      </c:pt>
                      <c:pt idx="248" formatCode="0.0">
                        <c:v>11.897223678368366</c:v>
                      </c:pt>
                      <c:pt idx="249">
                        <c:v>11.497010231196537</c:v>
                      </c:pt>
                      <c:pt idx="250" formatCode="0.0">
                        <c:v>11.951200502733947</c:v>
                      </c:pt>
                      <c:pt idx="251">
                        <c:v>10.950487666192849</c:v>
                      </c:pt>
                      <c:pt idx="252">
                        <c:v>10.443567539462817</c:v>
                      </c:pt>
                      <c:pt idx="253" formatCode="0.0">
                        <c:v>10.968501922664915</c:v>
                      </c:pt>
                      <c:pt idx="254" formatCode="0.0">
                        <c:v>11.027205342777219</c:v>
                      </c:pt>
                      <c:pt idx="255">
                        <c:v>11.557108755836927</c:v>
                      </c:pt>
                      <c:pt idx="256" formatCode="0.0">
                        <c:v>11.491556477895271</c:v>
                      </c:pt>
                      <c:pt idx="257">
                        <c:v>11.491556477895271</c:v>
                      </c:pt>
                      <c:pt idx="258" formatCode="0.0">
                        <c:v>11.150855131709463</c:v>
                      </c:pt>
                      <c:pt idx="259" formatCode="0.0">
                        <c:v>10.134549569949357</c:v>
                      </c:pt>
                      <c:pt idx="260">
                        <c:v>10.485463742353998</c:v>
                      </c:pt>
                      <c:pt idx="261">
                        <c:v>10.103007602003119</c:v>
                      </c:pt>
                      <c:pt idx="262" formatCode="0.0">
                        <c:v>10.603117035139476</c:v>
                      </c:pt>
                      <c:pt idx="263" formatCode="0.0">
                        <c:v>10.277529701125179</c:v>
                      </c:pt>
                      <c:pt idx="264">
                        <c:v>9.8146560270653929</c:v>
                      </c:pt>
                      <c:pt idx="265" formatCode="0.0">
                        <c:v>10.18755495005219</c:v>
                      </c:pt>
                      <c:pt idx="266" formatCode="0.0">
                        <c:v>10.808333855701884</c:v>
                      </c:pt>
                      <c:pt idx="267" formatCode="0.0">
                        <c:v>11.045978440349622</c:v>
                      </c:pt>
                      <c:pt idx="268">
                        <c:v>10.88434677449693</c:v>
                      </c:pt>
                      <c:pt idx="269">
                        <c:v>11.888584843411616</c:v>
                      </c:pt>
                      <c:pt idx="270" formatCode="0.0">
                        <c:v>12.373208912914265</c:v>
                      </c:pt>
                      <c:pt idx="271" formatCode="0.0">
                        <c:v>12.202387705777737</c:v>
                      </c:pt>
                      <c:pt idx="272" formatCode="0.0">
                        <c:v>12.460981209404354</c:v>
                      </c:pt>
                      <c:pt idx="273" formatCode="0.0">
                        <c:v>12.460981209404354</c:v>
                      </c:pt>
                      <c:pt idx="274" formatCode="0.0">
                        <c:v>12.092033088027952</c:v>
                      </c:pt>
                      <c:pt idx="275" formatCode="0.0">
                        <c:v>12.430837801832663</c:v>
                      </c:pt>
                      <c:pt idx="276">
                        <c:v>12.092840100217034</c:v>
                      </c:pt>
                      <c:pt idx="277">
                        <c:v>11.698120286576552</c:v>
                      </c:pt>
                      <c:pt idx="278" formatCode="0.0">
                        <c:v>12.033260462598001</c:v>
                      </c:pt>
                      <c:pt idx="279" formatCode="0.0">
                        <c:v>11.81866818791989</c:v>
                      </c:pt>
                      <c:pt idx="280" formatCode="0.0">
                        <c:v>12.260146973347721</c:v>
                      </c:pt>
                      <c:pt idx="281" formatCode="0.0">
                        <c:v>11.386143080725343</c:v>
                      </c:pt>
                      <c:pt idx="282" formatCode="0.0">
                        <c:v>11.877015208791379</c:v>
                      </c:pt>
                      <c:pt idx="283" formatCode="0.0">
                        <c:v>11.101698753095176</c:v>
                      </c:pt>
                      <c:pt idx="284" formatCode="0.0">
                        <c:v>10.66382245314991</c:v>
                      </c:pt>
                      <c:pt idx="285">
                        <c:v>9.840857186172201</c:v>
                      </c:pt>
                      <c:pt idx="286" formatCode="0.0">
                        <c:v>10.375659229594934</c:v>
                      </c:pt>
                      <c:pt idx="287" formatCode="0.0">
                        <c:v>10.423443853113101</c:v>
                      </c:pt>
                      <c:pt idx="288" formatCode="0.0">
                        <c:v>12.198455379161972</c:v>
                      </c:pt>
                      <c:pt idx="289" formatCode="0.0">
                        <c:v>11.746391237230888</c:v>
                      </c:pt>
                      <c:pt idx="290" formatCode="0.0">
                        <c:v>11.746391237230888</c:v>
                      </c:pt>
                      <c:pt idx="291" formatCode="0.0">
                        <c:v>12.660064835214504</c:v>
                      </c:pt>
                      <c:pt idx="292" formatCode="0.0">
                        <c:v>11.863753016270666</c:v>
                      </c:pt>
                      <c:pt idx="293" formatCode="0.0">
                        <c:v>11.071489239036596</c:v>
                      </c:pt>
                      <c:pt idx="294" formatCode="0.0">
                        <c:v>9.3120592003399842</c:v>
                      </c:pt>
                      <c:pt idx="295" formatCode="0.0">
                        <c:v>9.7839221853102725</c:v>
                      </c:pt>
                      <c:pt idx="296" formatCode="0.0">
                        <c:v>8.5829029503579726</c:v>
                      </c:pt>
                      <c:pt idx="297" formatCode="0.0">
                        <c:v>8.8551310947363184</c:v>
                      </c:pt>
                      <c:pt idx="298" formatCode="0.0">
                        <c:v>8.2804184510581571</c:v>
                      </c:pt>
                      <c:pt idx="299" formatCode="0.0">
                        <c:v>8.2804184510581571</c:v>
                      </c:pt>
                      <c:pt idx="300" formatCode="0.0">
                        <c:v>8.283050584138806</c:v>
                      </c:pt>
                      <c:pt idx="301" formatCode="0.0">
                        <c:v>9.4511739432827344</c:v>
                      </c:pt>
                      <c:pt idx="302" formatCode="0.0">
                        <c:v>9.3091284887372776</c:v>
                      </c:pt>
                      <c:pt idx="303" formatCode="0.0">
                        <c:v>9.8106223000902446</c:v>
                      </c:pt>
                      <c:pt idx="304" formatCode="0.0">
                        <c:v>8.5223914155325211</c:v>
                      </c:pt>
                      <c:pt idx="305" formatCode="0.0">
                        <c:v>9.972078737874762</c:v>
                      </c:pt>
                      <c:pt idx="306" formatCode="0.0">
                        <c:v>12.57895718423782</c:v>
                      </c:pt>
                      <c:pt idx="307" formatCode="0.0">
                        <c:v>13.188285064603004</c:v>
                      </c:pt>
                      <c:pt idx="308" formatCode="0.0">
                        <c:v>13.188285064603004</c:v>
                      </c:pt>
                      <c:pt idx="309" formatCode="0.0">
                        <c:v>12.185833023639496</c:v>
                      </c:pt>
                      <c:pt idx="310" formatCode="0.0">
                        <c:v>11.977362538671315</c:v>
                      </c:pt>
                      <c:pt idx="311" formatCode="0.0">
                        <c:v>13.349635585821211</c:v>
                      </c:pt>
                      <c:pt idx="312" formatCode="0.0">
                        <c:v>12.935391675966766</c:v>
                      </c:pt>
                      <c:pt idx="313" formatCode="0.0">
                        <c:v>12.341367149768327</c:v>
                      </c:pt>
                      <c:pt idx="314" formatCode="0.0">
                        <c:v>11.566173351318715</c:v>
                      </c:pt>
                      <c:pt idx="315" formatCode="0.0">
                        <c:v>10.787357151941768</c:v>
                      </c:pt>
                      <c:pt idx="316" formatCode="0.0">
                        <c:v>11.334743364666625</c:v>
                      </c:pt>
                      <c:pt idx="317" formatCode="0.0">
                        <c:v>11.703974133897395</c:v>
                      </c:pt>
                      <c:pt idx="318" formatCode="0.0">
                        <c:v>10.028332577197787</c:v>
                      </c:pt>
                      <c:pt idx="319" formatCode="0.0">
                        <c:v>12.364908452684167</c:v>
                      </c:pt>
                      <c:pt idx="320" formatCode="0.0">
                        <c:v>12.840875993258447</c:v>
                      </c:pt>
                      <c:pt idx="321" formatCode="0.0">
                        <c:v>13.166462610525762</c:v>
                      </c:pt>
                      <c:pt idx="322" formatCode="0.0">
                        <c:v>13.866847822392293</c:v>
                      </c:pt>
                      <c:pt idx="323" formatCode="0.0">
                        <c:v>12.125554290053984</c:v>
                      </c:pt>
                      <c:pt idx="324" formatCode="0.0">
                        <c:v>9.8633103611433892</c:v>
                      </c:pt>
                      <c:pt idx="325">
                        <c:v>10.651695064339735</c:v>
                      </c:pt>
                      <c:pt idx="326" formatCode="0.0">
                        <c:v>8.8697244144445566</c:v>
                      </c:pt>
                      <c:pt idx="327" formatCode="0.0">
                        <c:v>8.6539336045943411</c:v>
                      </c:pt>
                      <c:pt idx="328" formatCode="0.0">
                        <c:v>7.9421024803920819</c:v>
                      </c:pt>
                      <c:pt idx="329" formatCode="0.0">
                        <c:v>8.6476137685726968</c:v>
                      </c:pt>
                      <c:pt idx="330" formatCode="0.0">
                        <c:v>7.8079191120841482</c:v>
                      </c:pt>
                      <c:pt idx="331">
                        <c:v>8.1475840639374653</c:v>
                      </c:pt>
                      <c:pt idx="332" formatCode="0.0">
                        <c:v>9.085313001666405</c:v>
                      </c:pt>
                      <c:pt idx="333" formatCode="0.0">
                        <c:v>9.5584733867210634</c:v>
                      </c:pt>
                      <c:pt idx="334" formatCode="0.0">
                        <c:v>9.7836986119462903</c:v>
                      </c:pt>
                      <c:pt idx="335" formatCode="0.0">
                        <c:v>10.545507657172422</c:v>
                      </c:pt>
                      <c:pt idx="336" formatCode="0.0">
                        <c:v>10.023975074295214</c:v>
                      </c:pt>
                      <c:pt idx="337" formatCode="0.0">
                        <c:v>11.940203432831265</c:v>
                      </c:pt>
                      <c:pt idx="338" formatCode="0.0">
                        <c:v>11.53849329538901</c:v>
                      </c:pt>
                      <c:pt idx="339" formatCode="0.0">
                        <c:v>10.662956814702316</c:v>
                      </c:pt>
                      <c:pt idx="340" formatCode="0.0">
                        <c:v>8.9221527086287473</c:v>
                      </c:pt>
                      <c:pt idx="341" formatCode="0.0">
                        <c:v>8.8214093862773453</c:v>
                      </c:pt>
                      <c:pt idx="342" formatCode="0.0">
                        <c:v>8.9678651566346979</c:v>
                      </c:pt>
                      <c:pt idx="343" formatCode="0.0">
                        <c:v>9.3557787700741688</c:v>
                      </c:pt>
                      <c:pt idx="344" formatCode="0.0">
                        <c:v>8.6207784256503928</c:v>
                      </c:pt>
                      <c:pt idx="345" formatCode="0.0">
                        <c:v>7.787787886777501</c:v>
                      </c:pt>
                      <c:pt idx="346" formatCode="0.0">
                        <c:v>7.4385390110718266</c:v>
                      </c:pt>
                      <c:pt idx="347" formatCode="0.0">
                        <c:v>7.4809920233060119</c:v>
                      </c:pt>
                      <c:pt idx="348" formatCode="0.0">
                        <c:v>7.4312622935762835</c:v>
                      </c:pt>
                      <c:pt idx="349" formatCode="0.0">
                        <c:v>6.9618831093078946</c:v>
                      </c:pt>
                      <c:pt idx="350" formatCode="0.0">
                        <c:v>8.0863565431983702</c:v>
                      </c:pt>
                      <c:pt idx="351" formatCode="0.0">
                        <c:v>7.7764015170649072</c:v>
                      </c:pt>
                      <c:pt idx="352" formatCode="0.0">
                        <c:v>7.7209009620593561</c:v>
                      </c:pt>
                      <c:pt idx="353" formatCode="0.0">
                        <c:v>7.0764581403856299</c:v>
                      </c:pt>
                      <c:pt idx="354" formatCode="0.0">
                        <c:v>7.4424155871941391</c:v>
                      </c:pt>
                      <c:pt idx="355" formatCode="0.0">
                        <c:v>6.3585661350740832</c:v>
                      </c:pt>
                      <c:pt idx="356" formatCode="0.0">
                        <c:v>5.6139788177864709</c:v>
                      </c:pt>
                      <c:pt idx="357">
                        <c:v>9.2886027636452493</c:v>
                      </c:pt>
                      <c:pt idx="358" formatCode="0.0">
                        <c:v>10.365066198419372</c:v>
                      </c:pt>
                      <c:pt idx="359" formatCode="0.0">
                        <c:v>8.3683502706689605</c:v>
                      </c:pt>
                      <c:pt idx="360" formatCode="0.0">
                        <c:v>6.5014900263690869</c:v>
                      </c:pt>
                      <c:pt idx="361" formatCode="0.0">
                        <c:v>6.467026749532927</c:v>
                      </c:pt>
                      <c:pt idx="362" formatCode="0.0">
                        <c:v>8.5602964898614911</c:v>
                      </c:pt>
                      <c:pt idx="363" formatCode="0.0">
                        <c:v>6.3703894513488759</c:v>
                      </c:pt>
                      <c:pt idx="364" formatCode="0.0">
                        <c:v>6.0867380846650176</c:v>
                      </c:pt>
                      <c:pt idx="365" formatCode="0.0">
                        <c:v>5.3530725254180602</c:v>
                      </c:pt>
                      <c:pt idx="366" formatCode="0.0">
                        <c:v>-0.66118541366165218</c:v>
                      </c:pt>
                      <c:pt idx="367" formatCode="0.0">
                        <c:v>-1.6493995490460334</c:v>
                      </c:pt>
                      <c:pt idx="368" formatCode="0.0">
                        <c:v>1.9399190513222897</c:v>
                      </c:pt>
                      <c:pt idx="369" formatCode="0.0">
                        <c:v>2.3208776108159794</c:v>
                      </c:pt>
                      <c:pt idx="370" formatCode="0.0">
                        <c:v>2.5596671801494821</c:v>
                      </c:pt>
                      <c:pt idx="371" formatCode="0.0">
                        <c:v>3.451045168923808</c:v>
                      </c:pt>
                      <c:pt idx="372" formatCode="0.0">
                        <c:v>2.4541728482823322</c:v>
                      </c:pt>
                      <c:pt idx="373" formatCode="0.0">
                        <c:v>2.9697452388547241</c:v>
                      </c:pt>
                      <c:pt idx="374" formatCode="0.0">
                        <c:v>5.3589719981944306</c:v>
                      </c:pt>
                      <c:pt idx="375" formatCode="0.0">
                        <c:v>3.1837269001552149</c:v>
                      </c:pt>
                      <c:pt idx="376" formatCode="0.0">
                        <c:v>2.2376502467880268</c:v>
                      </c:pt>
                      <c:pt idx="377" formatCode="0.0">
                        <c:v>4.5696615621248586</c:v>
                      </c:pt>
                      <c:pt idx="378" formatCode="0.0">
                        <c:v>2.3073331432128099</c:v>
                      </c:pt>
                      <c:pt idx="379" formatCode="0.0">
                        <c:v>1.785806290128034</c:v>
                      </c:pt>
                      <c:pt idx="380" formatCode="0.0">
                        <c:v>1.0517458874434742</c:v>
                      </c:pt>
                      <c:pt idx="381" formatCode="0.0">
                        <c:v>1.0517458874434742</c:v>
                      </c:pt>
                      <c:pt idx="382" formatCode="0.0">
                        <c:v>2.7363016417666692</c:v>
                      </c:pt>
                      <c:pt idx="383" formatCode="0.0">
                        <c:v>5.2994134398089132</c:v>
                      </c:pt>
                      <c:pt idx="384" formatCode="0.0">
                        <c:v>5.1967410234869345</c:v>
                      </c:pt>
                      <c:pt idx="385" formatCode="0.0">
                        <c:v>5.9342338837496751</c:v>
                      </c:pt>
                      <c:pt idx="386" formatCode="0.0">
                        <c:v>3.212295385433908</c:v>
                      </c:pt>
                      <c:pt idx="387" formatCode="0.0">
                        <c:v>3.9901749335734973</c:v>
                      </c:pt>
                      <c:pt idx="388" formatCode="0.0">
                        <c:v>7.0432458936212017</c:v>
                      </c:pt>
                      <c:pt idx="389" formatCode="0.0">
                        <c:v>6.9368425257232955</c:v>
                      </c:pt>
                      <c:pt idx="390" formatCode="0.0">
                        <c:v>8.7691129288464911</c:v>
                      </c:pt>
                      <c:pt idx="391" formatCode="0.0">
                        <c:v>8.2990776762025416</c:v>
                      </c:pt>
                      <c:pt idx="392" formatCode="0.0">
                        <c:v>10.101760259990403</c:v>
                      </c:pt>
                      <c:pt idx="393" formatCode="0.0">
                        <c:v>9.8024393164593082</c:v>
                      </c:pt>
                      <c:pt idx="394" formatCode="0.0">
                        <c:v>11.206320066909063</c:v>
                      </c:pt>
                      <c:pt idx="395" formatCode="0.0">
                        <c:v>9.206320066909063</c:v>
                      </c:pt>
                      <c:pt idx="396" formatCode="0.0">
                        <c:v>8.0230535693778968</c:v>
                      </c:pt>
                      <c:pt idx="397" formatCode="0.0">
                        <c:v>9.389173787957132</c:v>
                      </c:pt>
                      <c:pt idx="398" formatCode="0.0">
                        <c:v>11.780361321541228</c:v>
                      </c:pt>
                      <c:pt idx="399" formatCode="0.0">
                        <c:v>10.658566449746356</c:v>
                      </c:pt>
                      <c:pt idx="400" formatCode="0.0">
                        <c:v>10.455016539308316</c:v>
                      </c:pt>
                      <c:pt idx="401" formatCode="0.0">
                        <c:v>9.372249423640973</c:v>
                      </c:pt>
                      <c:pt idx="402" formatCode="0.0">
                        <c:v>6.5179257781440203</c:v>
                      </c:pt>
                      <c:pt idx="403" formatCode="0.0">
                        <c:v>6.9815121283152211</c:v>
                      </c:pt>
                      <c:pt idx="404" formatCode="0.0">
                        <c:v>8.354940463431733</c:v>
                      </c:pt>
                      <c:pt idx="405" formatCode="0.0">
                        <c:v>8.9223880728479905</c:v>
                      </c:pt>
                      <c:pt idx="406" formatCode="0.0">
                        <c:v>6.6857358361957537</c:v>
                      </c:pt>
                      <c:pt idx="407" formatCode="0.0">
                        <c:v>8.0688617006494194</c:v>
                      </c:pt>
                      <c:pt idx="408" formatCode="0.0">
                        <c:v>6.7818677104010909</c:v>
                      </c:pt>
                      <c:pt idx="409" formatCode="0.0">
                        <c:v>7.8511321982499904</c:v>
                      </c:pt>
                      <c:pt idx="410" formatCode="0.0">
                        <c:v>8.6429596809431235</c:v>
                      </c:pt>
                      <c:pt idx="411" formatCode="0.0">
                        <c:v>9.0282415450437021</c:v>
                      </c:pt>
                      <c:pt idx="412" formatCode="0.0">
                        <c:v>9.0282415450437021</c:v>
                      </c:pt>
                      <c:pt idx="413" formatCode="0.0">
                        <c:v>9.7649186610311656</c:v>
                      </c:pt>
                      <c:pt idx="414" formatCode="0.0">
                        <c:v>10.43047606535729</c:v>
                      </c:pt>
                      <c:pt idx="415" formatCode="0.0">
                        <c:v>10.854866004819312</c:v>
                      </c:pt>
                      <c:pt idx="416" formatCode="0.0">
                        <c:v>12.11223339185271</c:v>
                      </c:pt>
                      <c:pt idx="417" formatCode="0.0">
                        <c:v>11.320091440014941</c:v>
                      </c:pt>
                      <c:pt idx="418" formatCode="0">
                        <c:v>12.748510585095428</c:v>
                      </c:pt>
                    </c:numCache>
                  </c:numRef>
                </c:val>
                <c:smooth val="1"/>
                <c:extLst>
                  <c:ext xmlns:c16="http://schemas.microsoft.com/office/drawing/2014/chart" uri="{C3380CC4-5D6E-409C-BE32-E72D297353CC}">
                    <c16:uniqueId val="{00000011-5288-4840-A95E-AEBD3E5AE9D2}"/>
                  </c:ext>
                </c:extLst>
              </c15:ser>
            </c15:filteredLineSeries>
            <c15:filteredLineSeries>
              <c15:ser>
                <c:idx val="0"/>
                <c:order val="2"/>
                <c:tx>
                  <c:v>2025-Q1</c:v>
                </c:tx>
                <c:spPr>
                  <a:ln w="12700" cap="rnd">
                    <a:solidFill>
                      <a:schemeClr val="accent3">
                        <a:lumMod val="60000"/>
                        <a:lumOff val="40000"/>
                      </a:schemeClr>
                    </a:solidFill>
                    <a:prstDash val="solid"/>
                    <a:round/>
                  </a:ln>
                  <a:effectLst/>
                </c:spPr>
                <c:marker>
                  <c:symbol val="none"/>
                </c:marker>
                <c:dLbls>
                  <c:dLbl>
                    <c:idx val="48"/>
                    <c:layout>
                      <c:manualLayout>
                        <c:x val="-8.9540089540089546E-3"/>
                        <c:y val="-1.2232415902140747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12-5288-4840-A95E-AEBD3E5AE9D2}"/>
                      </c:ext>
                    </c:extLst>
                  </c:dLbl>
                  <c:dLbl>
                    <c:idx val="93"/>
                    <c:layout>
                      <c:manualLayout>
                        <c:x val="-9.7680097680097975E-3"/>
                        <c:y val="-1.6309887869520971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13-5288-4840-A95E-AEBD3E5AE9D2}"/>
                      </c:ext>
                    </c:extLst>
                  </c:dLbl>
                  <c:dLbl>
                    <c:idx val="155"/>
                    <c:layout>
                      <c:manualLayout>
                        <c:x val="-1.3024013024013023E-2"/>
                        <c:y val="1.0193679918450486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14-5288-4840-A95E-AEBD3E5AE9D2}"/>
                      </c:ext>
                    </c:extLst>
                  </c:dLbl>
                  <c:dLbl>
                    <c:idx val="196"/>
                    <c:layout>
                      <c:manualLayout>
                        <c:x val="-4.884004884004884E-3"/>
                        <c:y val="6.116207951070411E-3"/>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15-5288-4840-A95E-AEBD3E5AE9D2}"/>
                      </c:ext>
                    </c:extLst>
                  </c:dLbl>
                  <c:dLbl>
                    <c:idx val="215"/>
                    <c:layout>
                      <c:manualLayout>
                        <c:x val="-1.3024013024013023E-2"/>
                        <c:y val="-1.6309887869520898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16-5288-4840-A95E-AEBD3E5AE9D2}"/>
                      </c:ext>
                    </c:extLst>
                  </c:dLbl>
                  <c:dLbl>
                    <c:idx val="252"/>
                    <c:layout>
                      <c:manualLayout>
                        <c:x val="-6.5120065120065117E-3"/>
                        <c:y val="1.834862385321101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17-5288-4840-A95E-AEBD3E5AE9D2}"/>
                      </c:ext>
                    </c:extLst>
                  </c:dLbl>
                  <c:dLbl>
                    <c:idx val="265"/>
                    <c:layout>
                      <c:manualLayout>
                        <c:x val="-1.3024013024013023E-2"/>
                        <c:y val="-1.4271151885830823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18-5288-4840-A95E-AEBD3E5AE9D2}"/>
                      </c:ext>
                    </c:extLst>
                  </c:dLbl>
                  <c:dLbl>
                    <c:idx val="295"/>
                    <c:layout>
                      <c:manualLayout>
                        <c:x val="-1.1396011396011397E-2"/>
                        <c:y val="-1.6309887869520898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19-5288-4840-A95E-AEBD3E5AE9D2}"/>
                      </c:ext>
                    </c:extLst>
                  </c:dLbl>
                  <c:dLbl>
                    <c:idx val="337"/>
                    <c:layout>
                      <c:manualLayout>
                        <c:x val="-1.4652014652014652E-2"/>
                        <c:y val="1.0193679918450486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1A-5288-4840-A95E-AEBD3E5AE9D2}"/>
                      </c:ext>
                    </c:extLst>
                  </c:dLbl>
                  <c:dLbl>
                    <c:idx val="347"/>
                    <c:layout>
                      <c:manualLayout>
                        <c:x val="-3.2560032560032559E-3"/>
                        <c:y val="-2.0387359836901496E-3"/>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1B-5288-4840-A95E-AEBD3E5AE9D2}"/>
                      </c:ext>
                    </c:extLst>
                  </c:dLbl>
                  <c:dLbl>
                    <c:idx val="395"/>
                    <c:layout>
                      <c:manualLayout>
                        <c:x val="-1.221001221001221E-2"/>
                        <c:y val="8.1549439347604492E-3"/>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1C-5288-4840-A95E-AEBD3E5AE9D2}"/>
                      </c:ext>
                    </c:extLst>
                  </c:dLbl>
                  <c:dLbl>
                    <c:idx val="430"/>
                    <c:layout>
                      <c:manualLayout>
                        <c:x val="-1.62800162800164E-2"/>
                        <c:y val="-1.6309887869520916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1D-5288-4840-A95E-AEBD3E5AE9D2}"/>
                      </c:ext>
                    </c:extLst>
                  </c:dLbl>
                  <c:dLbl>
                    <c:idx val="444"/>
                    <c:layout>
                      <c:manualLayout>
                        <c:x val="-4.0700040700041894E-3"/>
                        <c:y val="1.0193679918450523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1E-5288-4840-A95E-AEBD3E5AE9D2}"/>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75000"/>
                            </a:schemeClr>
                          </a:solidFill>
                          <a:latin typeface="+mn-lt"/>
                          <a:ea typeface="+mn-ea"/>
                          <a:cs typeface="+mn-cs"/>
                        </a:defRPr>
                      </a:pPr>
                      <a:endParaRPr lang="en-US"/>
                    </a:p>
                  </c:txPr>
                  <c:showLegendKey val="0"/>
                  <c:showVal val="0"/>
                  <c:showCatName val="0"/>
                  <c:showSerName val="0"/>
                  <c:showPercent val="0"/>
                  <c:showBubbleSize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xmlns:c15="http://schemas.microsoft.com/office/drawing/2012/chart">
                      <c:ext xmlns:c15="http://schemas.microsoft.com/office/drawing/2012/chart" uri="{02D57815-91ED-43cb-92C2-25804820EDAC}">
                        <c15:formulaRef>
                          <c15:sqref>'[2]2025-Q1'!$FQ$4:$FQ$448</c15:sqref>
                        </c15:formulaRef>
                      </c:ext>
                    </c:extLst>
                    <c:numCache>
                      <c:formatCode>General</c:formatCode>
                      <c:ptCount val="445"/>
                      <c:pt idx="0">
                        <c:v>1.2290222546515868</c:v>
                      </c:pt>
                      <c:pt idx="1">
                        <c:v>2.1977620788130943</c:v>
                      </c:pt>
                      <c:pt idx="2">
                        <c:v>4.6923390853206843</c:v>
                      </c:pt>
                      <c:pt idx="3">
                        <c:v>4.88966940145328</c:v>
                      </c:pt>
                      <c:pt idx="4">
                        <c:v>5.8659301122272653</c:v>
                      </c:pt>
                      <c:pt idx="5">
                        <c:v>6.6378347658179182</c:v>
                      </c:pt>
                      <c:pt idx="6">
                        <c:v>7.617239578398598</c:v>
                      </c:pt>
                      <c:pt idx="7">
                        <c:v>8.2294844763577828</c:v>
                      </c:pt>
                      <c:pt idx="8">
                        <c:v>8.9230144561664044</c:v>
                      </c:pt>
                      <c:pt idx="9">
                        <c:v>9.3238707612956482</c:v>
                      </c:pt>
                      <c:pt idx="10">
                        <c:v>9.2884850571201358</c:v>
                      </c:pt>
                      <c:pt idx="11">
                        <c:v>10.322294504506857</c:v>
                      </c:pt>
                      <c:pt idx="12">
                        <c:v>9.0800274919345156</c:v>
                      </c:pt>
                      <c:pt idx="13">
                        <c:v>8.094434826577606</c:v>
                      </c:pt>
                      <c:pt idx="14">
                        <c:v>7.6662972251438424</c:v>
                      </c:pt>
                      <c:pt idx="15">
                        <c:v>6.6637909594796829</c:v>
                      </c:pt>
                      <c:pt idx="16">
                        <c:v>7.419682466816278</c:v>
                      </c:pt>
                      <c:pt idx="17">
                        <c:v>6.9897319516868892</c:v>
                      </c:pt>
                      <c:pt idx="18">
                        <c:v>6.6419989036729792</c:v>
                      </c:pt>
                      <c:pt idx="19">
                        <c:v>5.8409241698686207</c:v>
                      </c:pt>
                      <c:pt idx="20">
                        <c:v>5.9992772973428892</c:v>
                      </c:pt>
                      <c:pt idx="21">
                        <c:v>6.407107639920377</c:v>
                      </c:pt>
                      <c:pt idx="22">
                        <c:v>6.2254837082964478</c:v>
                      </c:pt>
                      <c:pt idx="23">
                        <c:v>6.7533378286122892</c:v>
                      </c:pt>
                      <c:pt idx="24">
                        <c:v>7.2815942279599435</c:v>
                      </c:pt>
                      <c:pt idx="25">
                        <c:v>6.8018561085333697</c:v>
                      </c:pt>
                      <c:pt idx="26">
                        <c:v>7.031144937280926</c:v>
                      </c:pt>
                      <c:pt idx="27">
                        <c:v>6.2479026786288312</c:v>
                      </c:pt>
                      <c:pt idx="28">
                        <c:v>8.7076196626536095</c:v>
                      </c:pt>
                      <c:pt idx="29">
                        <c:v>9.0121242604142502</c:v>
                      </c:pt>
                      <c:pt idx="30">
                        <c:v>9.8159003492066255</c:v>
                      </c:pt>
                      <c:pt idx="31">
                        <c:v>11.030715164021439</c:v>
                      </c:pt>
                      <c:pt idx="32">
                        <c:v>11.585171425873199</c:v>
                      </c:pt>
                      <c:pt idx="33">
                        <c:v>12.052040590008646</c:v>
                      </c:pt>
                      <c:pt idx="34">
                        <c:v>11.672441880073432</c:v>
                      </c:pt>
                      <c:pt idx="35">
                        <c:v>12.233339315970868</c:v>
                      </c:pt>
                      <c:pt idx="36">
                        <c:v>12.904864801852792</c:v>
                      </c:pt>
                      <c:pt idx="37">
                        <c:v>13.695130732610442</c:v>
                      </c:pt>
                      <c:pt idx="38">
                        <c:v>14.035656693500531</c:v>
                      </c:pt>
                      <c:pt idx="39">
                        <c:v>14.334787520907691</c:v>
                      </c:pt>
                      <c:pt idx="40">
                        <c:v>14.790648139962247</c:v>
                      </c:pt>
                      <c:pt idx="41">
                        <c:v>14.090730241768487</c:v>
                      </c:pt>
                      <c:pt idx="42">
                        <c:v>14.372298359593914</c:v>
                      </c:pt>
                      <c:pt idx="43">
                        <c:v>14.49888063807493</c:v>
                      </c:pt>
                      <c:pt idx="44">
                        <c:v>14.242553841753015</c:v>
                      </c:pt>
                      <c:pt idx="45">
                        <c:v>15.396372770046353</c:v>
                      </c:pt>
                      <c:pt idx="46">
                        <c:v>16.163265617091874</c:v>
                      </c:pt>
                      <c:pt idx="47">
                        <c:v>16.76001187836351</c:v>
                      </c:pt>
                      <c:pt idx="48">
                        <c:v>17.177851052917958</c:v>
                      </c:pt>
                      <c:pt idx="49">
                        <c:v>17.022653486415802</c:v>
                      </c:pt>
                      <c:pt idx="50">
                        <c:v>16.854257345873293</c:v>
                      </c:pt>
                      <c:pt idx="51">
                        <c:v>16.121500141522755</c:v>
                      </c:pt>
                      <c:pt idx="52">
                        <c:v>15.240021983238853</c:v>
                      </c:pt>
                      <c:pt idx="53">
                        <c:v>14.438121181338047</c:v>
                      </c:pt>
                      <c:pt idx="54">
                        <c:v>14.362937826012301</c:v>
                      </c:pt>
                      <c:pt idx="55">
                        <c:v>13.967327820907656</c:v>
                      </c:pt>
                      <c:pt idx="56">
                        <c:v>13.894075628464414</c:v>
                      </c:pt>
                      <c:pt idx="57">
                        <c:v>14.466258727055964</c:v>
                      </c:pt>
                      <c:pt idx="58">
                        <c:v>14.466258727055964</c:v>
                      </c:pt>
                      <c:pt idx="59">
                        <c:v>14.654809666719663</c:v>
                      </c:pt>
                      <c:pt idx="60">
                        <c:v>15.082737594647588</c:v>
                      </c:pt>
                      <c:pt idx="61">
                        <c:v>15.899077725262011</c:v>
                      </c:pt>
                      <c:pt idx="62">
                        <c:v>16.891420899304247</c:v>
                      </c:pt>
                      <c:pt idx="63">
                        <c:v>17.476600163976549</c:v>
                      </c:pt>
                      <c:pt idx="64">
                        <c:v>18.175443167101285</c:v>
                      </c:pt>
                      <c:pt idx="65">
                        <c:v>16.979764604343334</c:v>
                      </c:pt>
                      <c:pt idx="66">
                        <c:v>16.411117529463887</c:v>
                      </c:pt>
                      <c:pt idx="67">
                        <c:v>16.387019921468557</c:v>
                      </c:pt>
                      <c:pt idx="68">
                        <c:v>15.7234758153015</c:v>
                      </c:pt>
                      <c:pt idx="69">
                        <c:v>14.921872608888675</c:v>
                      </c:pt>
                      <c:pt idx="70">
                        <c:v>15.860839745038909</c:v>
                      </c:pt>
                      <c:pt idx="71">
                        <c:v>15.854513033663483</c:v>
                      </c:pt>
                      <c:pt idx="72">
                        <c:v>16.115283592300131</c:v>
                      </c:pt>
                      <c:pt idx="73">
                        <c:v>16.495391815252692</c:v>
                      </c:pt>
                      <c:pt idx="74">
                        <c:v>15.215383985603488</c:v>
                      </c:pt>
                      <c:pt idx="75">
                        <c:v>17.519007496404811</c:v>
                      </c:pt>
                      <c:pt idx="76">
                        <c:v>18.789695748191011</c:v>
                      </c:pt>
                      <c:pt idx="77">
                        <c:v>17.927580404958817</c:v>
                      </c:pt>
                      <c:pt idx="78">
                        <c:v>17.47665202299595</c:v>
                      </c:pt>
                      <c:pt idx="79">
                        <c:v>17.802375822622736</c:v>
                      </c:pt>
                      <c:pt idx="80">
                        <c:v>18.357783269525783</c:v>
                      </c:pt>
                      <c:pt idx="81">
                        <c:v>19.178170079925277</c:v>
                      </c:pt>
                      <c:pt idx="82">
                        <c:v>18.779927274982139</c:v>
                      </c:pt>
                      <c:pt idx="83">
                        <c:v>18.659279222586413</c:v>
                      </c:pt>
                      <c:pt idx="84">
                        <c:v>19.92156043802008</c:v>
                      </c:pt>
                      <c:pt idx="85">
                        <c:v>19.608636687107385</c:v>
                      </c:pt>
                      <c:pt idx="86">
                        <c:v>18.720913343299216</c:v>
                      </c:pt>
                      <c:pt idx="87">
                        <c:v>19.500829317680921</c:v>
                      </c:pt>
                      <c:pt idx="88">
                        <c:v>20.429468056651192</c:v>
                      </c:pt>
                      <c:pt idx="89">
                        <c:v>21.987298029387347</c:v>
                      </c:pt>
                      <c:pt idx="90">
                        <c:v>23.007479887892558</c:v>
                      </c:pt>
                      <c:pt idx="91">
                        <c:v>23.479920832774447</c:v>
                      </c:pt>
                      <c:pt idx="92">
                        <c:v>23.661908673204724</c:v>
                      </c:pt>
                      <c:pt idx="93">
                        <c:v>23.829148923383833</c:v>
                      </c:pt>
                      <c:pt idx="94">
                        <c:v>22.267248547299715</c:v>
                      </c:pt>
                      <c:pt idx="95">
                        <c:v>22.084130305234837</c:v>
                      </c:pt>
                      <c:pt idx="96">
                        <c:v>23.052813957039511</c:v>
                      </c:pt>
                      <c:pt idx="97">
                        <c:v>20.314865029004554</c:v>
                      </c:pt>
                      <c:pt idx="98">
                        <c:v>19.02853747101944</c:v>
                      </c:pt>
                      <c:pt idx="99">
                        <c:v>19.518429570734188</c:v>
                      </c:pt>
                      <c:pt idx="100">
                        <c:v>19.706719172289098</c:v>
                      </c:pt>
                      <c:pt idx="101">
                        <c:v>19.942271371375661</c:v>
                      </c:pt>
                      <c:pt idx="102">
                        <c:v>20.59840239813126</c:v>
                      </c:pt>
                      <c:pt idx="103">
                        <c:v>19.762165759692348</c:v>
                      </c:pt>
                      <c:pt idx="104">
                        <c:v>21.073728928857228</c:v>
                      </c:pt>
                      <c:pt idx="105">
                        <c:v>19.080812262190562</c:v>
                      </c:pt>
                      <c:pt idx="106">
                        <c:v>19.399235194721378</c:v>
                      </c:pt>
                      <c:pt idx="107">
                        <c:v>18.88018215003218</c:v>
                      </c:pt>
                      <c:pt idx="108">
                        <c:v>18.968969919516933</c:v>
                      </c:pt>
                      <c:pt idx="109">
                        <c:v>18.923640249187262</c:v>
                      </c:pt>
                      <c:pt idx="110">
                        <c:v>20.479254417310084</c:v>
                      </c:pt>
                      <c:pt idx="111">
                        <c:v>21.069763221122983</c:v>
                      </c:pt>
                      <c:pt idx="112">
                        <c:v>21.39995385949155</c:v>
                      </c:pt>
                      <c:pt idx="113">
                        <c:v>22.104961655398395</c:v>
                      </c:pt>
                      <c:pt idx="114">
                        <c:v>22.462750442061914</c:v>
                      </c:pt>
                      <c:pt idx="115">
                        <c:v>22.989707711921394</c:v>
                      </c:pt>
                      <c:pt idx="116">
                        <c:v>23.692103164621354</c:v>
                      </c:pt>
                      <c:pt idx="117">
                        <c:v>23.613831405072197</c:v>
                      </c:pt>
                      <c:pt idx="118">
                        <c:v>22.708831405072196</c:v>
                      </c:pt>
                      <c:pt idx="119">
                        <c:v>23.776254726245011</c:v>
                      </c:pt>
                      <c:pt idx="120">
                        <c:v>23.276210474541319</c:v>
                      </c:pt>
                      <c:pt idx="121">
                        <c:v>22.479958893536377</c:v>
                      </c:pt>
                      <c:pt idx="122">
                        <c:v>22.290385433820738</c:v>
                      </c:pt>
                      <c:pt idx="123">
                        <c:v>22.135985022086306</c:v>
                      </c:pt>
                      <c:pt idx="124">
                        <c:v>22.643129977419537</c:v>
                      </c:pt>
                      <c:pt idx="125">
                        <c:v>23.295638886212753</c:v>
                      </c:pt>
                      <c:pt idx="126">
                        <c:v>23.347949261103771</c:v>
                      </c:pt>
                      <c:pt idx="127">
                        <c:v>24.021378277476515</c:v>
                      </c:pt>
                      <c:pt idx="128">
                        <c:v>24.187534814424481</c:v>
                      </c:pt>
                      <c:pt idx="129">
                        <c:v>24.262497333165108</c:v>
                      </c:pt>
                      <c:pt idx="130">
                        <c:v>24.632902623899589</c:v>
                      </c:pt>
                      <c:pt idx="131">
                        <c:v>24.5866419365661</c:v>
                      </c:pt>
                      <c:pt idx="132">
                        <c:v>25.147180053158028</c:v>
                      </c:pt>
                      <c:pt idx="133">
                        <c:v>25.169820586180865</c:v>
                      </c:pt>
                      <c:pt idx="134">
                        <c:v>23.96204883753742</c:v>
                      </c:pt>
                      <c:pt idx="135">
                        <c:v>25.014323107734299</c:v>
                      </c:pt>
                      <c:pt idx="136">
                        <c:v>22.996633776612128</c:v>
                      </c:pt>
                      <c:pt idx="137">
                        <c:v>22.234114355075135</c:v>
                      </c:pt>
                      <c:pt idx="138">
                        <c:v>22.19919815395782</c:v>
                      </c:pt>
                      <c:pt idx="139">
                        <c:v>20.713640080507222</c:v>
                      </c:pt>
                      <c:pt idx="140">
                        <c:v>24.057587136759956</c:v>
                      </c:pt>
                      <c:pt idx="141">
                        <c:v>23.250478269078489</c:v>
                      </c:pt>
                      <c:pt idx="142">
                        <c:v>23.101410701922028</c:v>
                      </c:pt>
                      <c:pt idx="143">
                        <c:v>21.995992730577498</c:v>
                      </c:pt>
                      <c:pt idx="144">
                        <c:v>21.723048342996467</c:v>
                      </c:pt>
                      <c:pt idx="145">
                        <c:v>21.464208029127107</c:v>
                      </c:pt>
                      <c:pt idx="146">
                        <c:v>21.41494473923504</c:v>
                      </c:pt>
                      <c:pt idx="147">
                        <c:v>22.41615499338841</c:v>
                      </c:pt>
                      <c:pt idx="148">
                        <c:v>21.221434933182046</c:v>
                      </c:pt>
                      <c:pt idx="149">
                        <c:v>20.276111818278</c:v>
                      </c:pt>
                      <c:pt idx="150">
                        <c:v>20.397484432202749</c:v>
                      </c:pt>
                      <c:pt idx="151">
                        <c:v>20.378813782464135</c:v>
                      </c:pt>
                      <c:pt idx="152">
                        <c:v>20.002215428987171</c:v>
                      </c:pt>
                      <c:pt idx="153">
                        <c:v>19.438342338767477</c:v>
                      </c:pt>
                      <c:pt idx="154">
                        <c:v>19.258325519677811</c:v>
                      </c:pt>
                      <c:pt idx="155">
                        <c:v>18.720691111075659</c:v>
                      </c:pt>
                      <c:pt idx="156">
                        <c:v>20.432454096523106</c:v>
                      </c:pt>
                      <c:pt idx="157">
                        <c:v>20.158069249647554</c:v>
                      </c:pt>
                      <c:pt idx="158">
                        <c:v>23.951557029282935</c:v>
                      </c:pt>
                      <c:pt idx="159">
                        <c:v>23.698378045580821</c:v>
                      </c:pt>
                      <c:pt idx="160">
                        <c:v>23.095465707783013</c:v>
                      </c:pt>
                      <c:pt idx="161">
                        <c:v>22.884519684863751</c:v>
                      </c:pt>
                      <c:pt idx="162">
                        <c:v>24.717853018197083</c:v>
                      </c:pt>
                      <c:pt idx="163">
                        <c:v>25.180353850033114</c:v>
                      </c:pt>
                      <c:pt idx="164">
                        <c:v>25.11674061848095</c:v>
                      </c:pt>
                      <c:pt idx="165">
                        <c:v>24.978889864896832</c:v>
                      </c:pt>
                      <c:pt idx="166">
                        <c:v>23.628947586566664</c:v>
                      </c:pt>
                      <c:pt idx="167">
                        <c:v>24.050081774664939</c:v>
                      </c:pt>
                      <c:pt idx="168">
                        <c:v>24.047814200968791</c:v>
                      </c:pt>
                      <c:pt idx="169">
                        <c:v>24.659992675644034</c:v>
                      </c:pt>
                      <c:pt idx="170">
                        <c:v>23.924099556652017</c:v>
                      </c:pt>
                      <c:pt idx="171">
                        <c:v>24.746784234758383</c:v>
                      </c:pt>
                      <c:pt idx="172">
                        <c:v>23.808285630913662</c:v>
                      </c:pt>
                      <c:pt idx="173">
                        <c:v>22.633236777679066</c:v>
                      </c:pt>
                      <c:pt idx="174">
                        <c:v>22.93182526844997</c:v>
                      </c:pt>
                      <c:pt idx="175">
                        <c:v>23.438289349484222</c:v>
                      </c:pt>
                      <c:pt idx="176">
                        <c:v>23.564697165564926</c:v>
                      </c:pt>
                      <c:pt idx="177">
                        <c:v>24.827231900372222</c:v>
                      </c:pt>
                      <c:pt idx="178">
                        <c:v>25.904686667601336</c:v>
                      </c:pt>
                      <c:pt idx="179">
                        <c:v>26.982272874497887</c:v>
                      </c:pt>
                      <c:pt idx="180">
                        <c:v>26.482094239271021</c:v>
                      </c:pt>
                      <c:pt idx="181">
                        <c:v>26.683852417682893</c:v>
                      </c:pt>
                      <c:pt idx="182">
                        <c:v>26.073671106664762</c:v>
                      </c:pt>
                      <c:pt idx="183">
                        <c:v>24.901363562492598</c:v>
                      </c:pt>
                      <c:pt idx="184">
                        <c:v>26.559662028322446</c:v>
                      </c:pt>
                      <c:pt idx="185">
                        <c:v>26.655964475673265</c:v>
                      </c:pt>
                      <c:pt idx="186">
                        <c:v>27.211322042791345</c:v>
                      </c:pt>
                      <c:pt idx="187">
                        <c:v>26.364151592096665</c:v>
                      </c:pt>
                      <c:pt idx="188">
                        <c:v>27.841007792940268</c:v>
                      </c:pt>
                      <c:pt idx="189">
                        <c:v>27.401556047850537</c:v>
                      </c:pt>
                      <c:pt idx="190">
                        <c:v>26.605679759190743</c:v>
                      </c:pt>
                      <c:pt idx="191">
                        <c:v>26.653544022741283</c:v>
                      </c:pt>
                      <c:pt idx="192">
                        <c:v>26.609432016603961</c:v>
                      </c:pt>
                      <c:pt idx="193">
                        <c:v>25.809828388278632</c:v>
                      </c:pt>
                      <c:pt idx="194">
                        <c:v>25.818445116219806</c:v>
                      </c:pt>
                      <c:pt idx="195">
                        <c:v>25.252407380370752</c:v>
                      </c:pt>
                      <c:pt idx="196">
                        <c:v>24.543673955587941</c:v>
                      </c:pt>
                      <c:pt idx="197">
                        <c:v>30.132126953367365</c:v>
                      </c:pt>
                      <c:pt idx="198">
                        <c:v>30.218333849919091</c:v>
                      </c:pt>
                      <c:pt idx="199">
                        <c:v>31.509964934462218</c:v>
                      </c:pt>
                      <c:pt idx="200">
                        <c:v>29.580522228254445</c:v>
                      </c:pt>
                      <c:pt idx="201">
                        <c:v>29.933567241493634</c:v>
                      </c:pt>
                      <c:pt idx="202">
                        <c:v>29.156984206846083</c:v>
                      </c:pt>
                      <c:pt idx="203">
                        <c:v>29.060403175360666</c:v>
                      </c:pt>
                      <c:pt idx="204">
                        <c:v>29.853201855844901</c:v>
                      </c:pt>
                      <c:pt idx="205">
                        <c:v>29.416051968404453</c:v>
                      </c:pt>
                      <c:pt idx="206">
                        <c:v>29.329905833233337</c:v>
                      </c:pt>
                      <c:pt idx="207">
                        <c:v>31.447471710664654</c:v>
                      </c:pt>
                      <c:pt idx="208">
                        <c:v>31.630323402042801</c:v>
                      </c:pt>
                      <c:pt idx="209">
                        <c:v>31.21203406120911</c:v>
                      </c:pt>
                      <c:pt idx="210">
                        <c:v>33.182703938470738</c:v>
                      </c:pt>
                      <c:pt idx="211">
                        <c:v>33.886604238493817</c:v>
                      </c:pt>
                      <c:pt idx="212">
                        <c:v>34.721937038636</c:v>
                      </c:pt>
                      <c:pt idx="213">
                        <c:v>33.627707877777347</c:v>
                      </c:pt>
                      <c:pt idx="214">
                        <c:v>35.17376806615318</c:v>
                      </c:pt>
                      <c:pt idx="215">
                        <c:v>34.413693764625449</c:v>
                      </c:pt>
                      <c:pt idx="216">
                        <c:v>33.949586553113392</c:v>
                      </c:pt>
                      <c:pt idx="217">
                        <c:v>33.800458022961465</c:v>
                      </c:pt>
                      <c:pt idx="218">
                        <c:v>33.459281552373227</c:v>
                      </c:pt>
                      <c:pt idx="219">
                        <c:v>33.631120662609312</c:v>
                      </c:pt>
                      <c:pt idx="220">
                        <c:v>34.496921528410176</c:v>
                      </c:pt>
                      <c:pt idx="221">
                        <c:v>34.431633739838148</c:v>
                      </c:pt>
                      <c:pt idx="222">
                        <c:v>34.549257344303854</c:v>
                      </c:pt>
                      <c:pt idx="223">
                        <c:v>34.09943272873452</c:v>
                      </c:pt>
                      <c:pt idx="224">
                        <c:v>33.484621036772744</c:v>
                      </c:pt>
                      <c:pt idx="225">
                        <c:v>33.53216892428803</c:v>
                      </c:pt>
                      <c:pt idx="226">
                        <c:v>34.631070023189125</c:v>
                      </c:pt>
                      <c:pt idx="227">
                        <c:v>35.498498823830921</c:v>
                      </c:pt>
                      <c:pt idx="228">
                        <c:v>37.07153016879375</c:v>
                      </c:pt>
                      <c:pt idx="229">
                        <c:v>36.216473781291441</c:v>
                      </c:pt>
                      <c:pt idx="230">
                        <c:v>40.911390333121176</c:v>
                      </c:pt>
                      <c:pt idx="231">
                        <c:v>41.052231588775143</c:v>
                      </c:pt>
                      <c:pt idx="232">
                        <c:v>41.151231687775244</c:v>
                      </c:pt>
                      <c:pt idx="233">
                        <c:v>41.309374093082653</c:v>
                      </c:pt>
                      <c:pt idx="234">
                        <c:v>41.256732931652394</c:v>
                      </c:pt>
                      <c:pt idx="235">
                        <c:v>41.121915504571355</c:v>
                      </c:pt>
                      <c:pt idx="236">
                        <c:v>43.025514018339365</c:v>
                      </c:pt>
                      <c:pt idx="237">
                        <c:v>42.474580804937069</c:v>
                      </c:pt>
                      <c:pt idx="238">
                        <c:v>42.255041836770218</c:v>
                      </c:pt>
                      <c:pt idx="239">
                        <c:v>41.601884911632048</c:v>
                      </c:pt>
                      <c:pt idx="240">
                        <c:v>42.102818327935722</c:v>
                      </c:pt>
                      <c:pt idx="241">
                        <c:v>41.941729729206422</c:v>
                      </c:pt>
                      <c:pt idx="242">
                        <c:v>41.158928238415051</c:v>
                      </c:pt>
                      <c:pt idx="243">
                        <c:v>41.147939937723436</c:v>
                      </c:pt>
                      <c:pt idx="244">
                        <c:v>41.312677964081516</c:v>
                      </c:pt>
                      <c:pt idx="245">
                        <c:v>42.262519233922781</c:v>
                      </c:pt>
                      <c:pt idx="246">
                        <c:v>41.196866821642075</c:v>
                      </c:pt>
                      <c:pt idx="247">
                        <c:v>42.223930684570426</c:v>
                      </c:pt>
                      <c:pt idx="248">
                        <c:v>42.114897568071314</c:v>
                      </c:pt>
                      <c:pt idx="249">
                        <c:v>41.165089379984622</c:v>
                      </c:pt>
                      <c:pt idx="250">
                        <c:v>40.510739880369535</c:v>
                      </c:pt>
                      <c:pt idx="251">
                        <c:v>40.710081187355144</c:v>
                      </c:pt>
                      <c:pt idx="252">
                        <c:v>40.249536396566036</c:v>
                      </c:pt>
                      <c:pt idx="253">
                        <c:v>43.513368503407136</c:v>
                      </c:pt>
                      <c:pt idx="254">
                        <c:v>45.956474259765905</c:v>
                      </c:pt>
                      <c:pt idx="255">
                        <c:v>46.971108936878139</c:v>
                      </c:pt>
                      <c:pt idx="256">
                        <c:v>46.050558962963194</c:v>
                      </c:pt>
                      <c:pt idx="257">
                        <c:v>48.128992340609173</c:v>
                      </c:pt>
                      <c:pt idx="258">
                        <c:v>47.760047842694512</c:v>
                      </c:pt>
                      <c:pt idx="259">
                        <c:v>47.318311042460032</c:v>
                      </c:pt>
                      <c:pt idx="260">
                        <c:v>48.076682572890384</c:v>
                      </c:pt>
                      <c:pt idx="261">
                        <c:v>48.343424554940221</c:v>
                      </c:pt>
                      <c:pt idx="262">
                        <c:v>49.701665032691295</c:v>
                      </c:pt>
                      <c:pt idx="263">
                        <c:v>50.352292964299707</c:v>
                      </c:pt>
                      <c:pt idx="264">
                        <c:v>51.349399880685169</c:v>
                      </c:pt>
                      <c:pt idx="265">
                        <c:v>53.488628406307626</c:v>
                      </c:pt>
                      <c:pt idx="266">
                        <c:v>54.094878406307622</c:v>
                      </c:pt>
                      <c:pt idx="267">
                        <c:v>53.904125386051469</c:v>
                      </c:pt>
                      <c:pt idx="268">
                        <c:v>53.490089147632183</c:v>
                      </c:pt>
                      <c:pt idx="269">
                        <c:v>53.556956348968725</c:v>
                      </c:pt>
                      <c:pt idx="270">
                        <c:v>54.008309843135677</c:v>
                      </c:pt>
                      <c:pt idx="271">
                        <c:v>54.109122851265759</c:v>
                      </c:pt>
                      <c:pt idx="272">
                        <c:v>53.94009361689136</c:v>
                      </c:pt>
                      <c:pt idx="273">
                        <c:v>53.68828373335343</c:v>
                      </c:pt>
                      <c:pt idx="274">
                        <c:v>54.045452623214203</c:v>
                      </c:pt>
                      <c:pt idx="275">
                        <c:v>53.321616414198822</c:v>
                      </c:pt>
                      <c:pt idx="276">
                        <c:v>54.083299863721159</c:v>
                      </c:pt>
                      <c:pt idx="277">
                        <c:v>54.882187243241184</c:v>
                      </c:pt>
                      <c:pt idx="278">
                        <c:v>54.163404739272274</c:v>
                      </c:pt>
                      <c:pt idx="279">
                        <c:v>55.623788030589942</c:v>
                      </c:pt>
                      <c:pt idx="280">
                        <c:v>56.059139583259935</c:v>
                      </c:pt>
                      <c:pt idx="281">
                        <c:v>53.90977269883377</c:v>
                      </c:pt>
                      <c:pt idx="282">
                        <c:v>53.483111029668358</c:v>
                      </c:pt>
                      <c:pt idx="283">
                        <c:v>52.718184025559609</c:v>
                      </c:pt>
                      <c:pt idx="284">
                        <c:v>52.164846489662715</c:v>
                      </c:pt>
                      <c:pt idx="285">
                        <c:v>52.263669210295184</c:v>
                      </c:pt>
                      <c:pt idx="286">
                        <c:v>53.23447567309249</c:v>
                      </c:pt>
                      <c:pt idx="287">
                        <c:v>53.083020385327444</c:v>
                      </c:pt>
                      <c:pt idx="288">
                        <c:v>53.809293125420524</c:v>
                      </c:pt>
                      <c:pt idx="289">
                        <c:v>53.668315681811499</c:v>
                      </c:pt>
                      <c:pt idx="290">
                        <c:v>55.274074264314265</c:v>
                      </c:pt>
                      <c:pt idx="291">
                        <c:v>56.11393988581483</c:v>
                      </c:pt>
                      <c:pt idx="292">
                        <c:v>56.397991621839758</c:v>
                      </c:pt>
                      <c:pt idx="293">
                        <c:v>58.097991621839761</c:v>
                      </c:pt>
                      <c:pt idx="294">
                        <c:v>58.22067595505041</c:v>
                      </c:pt>
                      <c:pt idx="295">
                        <c:v>59.375735680089853</c:v>
                      </c:pt>
                      <c:pt idx="296">
                        <c:v>58.50711564228267</c:v>
                      </c:pt>
                      <c:pt idx="297">
                        <c:v>57.21619373825294</c:v>
                      </c:pt>
                      <c:pt idx="298">
                        <c:v>56.383481831715528</c:v>
                      </c:pt>
                      <c:pt idx="299">
                        <c:v>56.697947240520563</c:v>
                      </c:pt>
                      <c:pt idx="300">
                        <c:v>56.000915485480959</c:v>
                      </c:pt>
                      <c:pt idx="301">
                        <c:v>55.924484461540409</c:v>
                      </c:pt>
                      <c:pt idx="302">
                        <c:v>56.876027720775973</c:v>
                      </c:pt>
                      <c:pt idx="303">
                        <c:v>56.37438598418349</c:v>
                      </c:pt>
                      <c:pt idx="304">
                        <c:v>56.530739942932655</c:v>
                      </c:pt>
                      <c:pt idx="305">
                        <c:v>55.812724277136304</c:v>
                      </c:pt>
                      <c:pt idx="306">
                        <c:v>56.516258045147254</c:v>
                      </c:pt>
                      <c:pt idx="307">
                        <c:v>54.489296547717323</c:v>
                      </c:pt>
                      <c:pt idx="308">
                        <c:v>59.705079747829508</c:v>
                      </c:pt>
                      <c:pt idx="309">
                        <c:v>60.122867549876567</c:v>
                      </c:pt>
                      <c:pt idx="310">
                        <c:v>59.351366234896993</c:v>
                      </c:pt>
                      <c:pt idx="311">
                        <c:v>58.211691363338062</c:v>
                      </c:pt>
                      <c:pt idx="312">
                        <c:v>57.892905093267537</c:v>
                      </c:pt>
                      <c:pt idx="313">
                        <c:v>58.688403735099122</c:v>
                      </c:pt>
                      <c:pt idx="314">
                        <c:v>58.645523401857673</c:v>
                      </c:pt>
                      <c:pt idx="315">
                        <c:v>54.589009397472253</c:v>
                      </c:pt>
                      <c:pt idx="316">
                        <c:v>53.482054091264992</c:v>
                      </c:pt>
                      <c:pt idx="317">
                        <c:v>52.303382435511956</c:v>
                      </c:pt>
                      <c:pt idx="318">
                        <c:v>51.004622672304897</c:v>
                      </c:pt>
                      <c:pt idx="319">
                        <c:v>51.183430382493363</c:v>
                      </c:pt>
                      <c:pt idx="320">
                        <c:v>53.209451369447422</c:v>
                      </c:pt>
                      <c:pt idx="321">
                        <c:v>52.356536262991312</c:v>
                      </c:pt>
                      <c:pt idx="322">
                        <c:v>52.656475384258776</c:v>
                      </c:pt>
                      <c:pt idx="323">
                        <c:v>53.47585229763893</c:v>
                      </c:pt>
                      <c:pt idx="324">
                        <c:v>53.86036095899383</c:v>
                      </c:pt>
                      <c:pt idx="325">
                        <c:v>52.465329435515898</c:v>
                      </c:pt>
                      <c:pt idx="326">
                        <c:v>50.294690480735973</c:v>
                      </c:pt>
                      <c:pt idx="327">
                        <c:v>49.431014576672347</c:v>
                      </c:pt>
                      <c:pt idx="328">
                        <c:v>48.615348504418201</c:v>
                      </c:pt>
                      <c:pt idx="329">
                        <c:v>49.935810111164763</c:v>
                      </c:pt>
                      <c:pt idx="330">
                        <c:v>50.562376527204862</c:v>
                      </c:pt>
                      <c:pt idx="331">
                        <c:v>50.492987682795999</c:v>
                      </c:pt>
                      <c:pt idx="332">
                        <c:v>49.62203268513052</c:v>
                      </c:pt>
                      <c:pt idx="333">
                        <c:v>50.219163499298972</c:v>
                      </c:pt>
                      <c:pt idx="334">
                        <c:v>49.424325546519974</c:v>
                      </c:pt>
                      <c:pt idx="335">
                        <c:v>49.118205647477069</c:v>
                      </c:pt>
                      <c:pt idx="336">
                        <c:v>48.133752799166842</c:v>
                      </c:pt>
                      <c:pt idx="337">
                        <c:v>47.289962232312668</c:v>
                      </c:pt>
                      <c:pt idx="338">
                        <c:v>47.658748646097223</c:v>
                      </c:pt>
                      <c:pt idx="339">
                        <c:v>48.711380225044593</c:v>
                      </c:pt>
                      <c:pt idx="340">
                        <c:v>52.170589684826219</c:v>
                      </c:pt>
                      <c:pt idx="341">
                        <c:v>51.642705754519852</c:v>
                      </c:pt>
                      <c:pt idx="342">
                        <c:v>51.815716135142694</c:v>
                      </c:pt>
                      <c:pt idx="343">
                        <c:v>52.557398695007073</c:v>
                      </c:pt>
                      <c:pt idx="344">
                        <c:v>54.35924244209712</c:v>
                      </c:pt>
                      <c:pt idx="345">
                        <c:v>54.16037993563409</c:v>
                      </c:pt>
                      <c:pt idx="346">
                        <c:v>54.617367948310338</c:v>
                      </c:pt>
                      <c:pt idx="347">
                        <c:v>57.532801873359645</c:v>
                      </c:pt>
                      <c:pt idx="348">
                        <c:v>56.249113930097238</c:v>
                      </c:pt>
                      <c:pt idx="349">
                        <c:v>54.916105061397261</c:v>
                      </c:pt>
                      <c:pt idx="350">
                        <c:v>54.079566599858801</c:v>
                      </c:pt>
                      <c:pt idx="351">
                        <c:v>54.964628400112161</c:v>
                      </c:pt>
                      <c:pt idx="352">
                        <c:v>54.289370423032892</c:v>
                      </c:pt>
                      <c:pt idx="353">
                        <c:v>54.247931097112591</c:v>
                      </c:pt>
                      <c:pt idx="354">
                        <c:v>55.080115409802666</c:v>
                      </c:pt>
                      <c:pt idx="355">
                        <c:v>53.60981205076969</c:v>
                      </c:pt>
                      <c:pt idx="356">
                        <c:v>54.125886500854293</c:v>
                      </c:pt>
                      <c:pt idx="357">
                        <c:v>53.318995213099413</c:v>
                      </c:pt>
                      <c:pt idx="358">
                        <c:v>55.810844304855351</c:v>
                      </c:pt>
                      <c:pt idx="359">
                        <c:v>56.297757820261516</c:v>
                      </c:pt>
                      <c:pt idx="360">
                        <c:v>55.607480668782102</c:v>
                      </c:pt>
                      <c:pt idx="361">
                        <c:v>54.072236355816685</c:v>
                      </c:pt>
                      <c:pt idx="362">
                        <c:v>52.843670902031654</c:v>
                      </c:pt>
                      <c:pt idx="363">
                        <c:v>52.989668840884278</c:v>
                      </c:pt>
                      <c:pt idx="364">
                        <c:v>53.10211065878083</c:v>
                      </c:pt>
                      <c:pt idx="365">
                        <c:v>53.492888306299399</c:v>
                      </c:pt>
                      <c:pt idx="366">
                        <c:v>53.620319560491218</c:v>
                      </c:pt>
                      <c:pt idx="367">
                        <c:v>54.247144221318969</c:v>
                      </c:pt>
                      <c:pt idx="368">
                        <c:v>51.851365255700358</c:v>
                      </c:pt>
                      <c:pt idx="369">
                        <c:v>54.814551939817278</c:v>
                      </c:pt>
                      <c:pt idx="370">
                        <c:v>54.001337056685131</c:v>
                      </c:pt>
                      <c:pt idx="371">
                        <c:v>54.441065572123428</c:v>
                      </c:pt>
                      <c:pt idx="372">
                        <c:v>54.343978193482648</c:v>
                      </c:pt>
                      <c:pt idx="373">
                        <c:v>52.356011646928089</c:v>
                      </c:pt>
                      <c:pt idx="374">
                        <c:v>53.011979302359421</c:v>
                      </c:pt>
                      <c:pt idx="375">
                        <c:v>53.443927142620218</c:v>
                      </c:pt>
                      <c:pt idx="376">
                        <c:v>55.97937535218523</c:v>
                      </c:pt>
                      <c:pt idx="377">
                        <c:v>55.578305833468647</c:v>
                      </c:pt>
                      <c:pt idx="378">
                        <c:v>55.969412410010754</c:v>
                      </c:pt>
                      <c:pt idx="379">
                        <c:v>56.441685414276442</c:v>
                      </c:pt>
                      <c:pt idx="380">
                        <c:v>55.845691965323631</c:v>
                      </c:pt>
                      <c:pt idx="381">
                        <c:v>55.140454117972304</c:v>
                      </c:pt>
                      <c:pt idx="382">
                        <c:v>53.971328672017236</c:v>
                      </c:pt>
                      <c:pt idx="383">
                        <c:v>53.048795545953134</c:v>
                      </c:pt>
                      <c:pt idx="384">
                        <c:v>52.109562061333868</c:v>
                      </c:pt>
                      <c:pt idx="385">
                        <c:v>52.811131622833805</c:v>
                      </c:pt>
                      <c:pt idx="386">
                        <c:v>49.875188562335588</c:v>
                      </c:pt>
                      <c:pt idx="387">
                        <c:v>51.113283800430828</c:v>
                      </c:pt>
                      <c:pt idx="388">
                        <c:v>51.214803698330819</c:v>
                      </c:pt>
                      <c:pt idx="389">
                        <c:v>51.60672611097862</c:v>
                      </c:pt>
                      <c:pt idx="390">
                        <c:v>50.544869484807791</c:v>
                      </c:pt>
                      <c:pt idx="391">
                        <c:v>50.371916294323164</c:v>
                      </c:pt>
                      <c:pt idx="392">
                        <c:v>49.516699471705195</c:v>
                      </c:pt>
                      <c:pt idx="393">
                        <c:v>46.852880602929467</c:v>
                      </c:pt>
                      <c:pt idx="394">
                        <c:v>46.582908423233349</c:v>
                      </c:pt>
                      <c:pt idx="395">
                        <c:v>46.085545048353197</c:v>
                      </c:pt>
                      <c:pt idx="396">
                        <c:v>48.014191704488006</c:v>
                      </c:pt>
                      <c:pt idx="397">
                        <c:v>49.002892269459757</c:v>
                      </c:pt>
                      <c:pt idx="398">
                        <c:v>48.454744121311606</c:v>
                      </c:pt>
                      <c:pt idx="399">
                        <c:v>50.578416825871258</c:v>
                      </c:pt>
                      <c:pt idx="400">
                        <c:v>49.862830044710705</c:v>
                      </c:pt>
                      <c:pt idx="401">
                        <c:v>51.265489333005227</c:v>
                      </c:pt>
                      <c:pt idx="402">
                        <c:v>51.715417565311732</c:v>
                      </c:pt>
                      <c:pt idx="403">
                        <c:v>50.485460389731614</c:v>
                      </c:pt>
                      <c:pt idx="404">
                        <c:v>49.268865488494512</c:v>
                      </c:pt>
                      <c:pt idx="405">
                        <c:v>50.074190192473331</c:v>
                      </c:pt>
                      <c:pt idx="406">
                        <c:v>49.32577338188036</c:v>
                      </c:pt>
                      <c:pt idx="407">
                        <c:v>51.401519922302796</c:v>
                      </c:pt>
                      <c:pt idx="408">
                        <c:v>52.799566320349193</c:v>
                      </c:pt>
                      <c:pt idx="409">
                        <c:v>53.613683189511931</c:v>
                      </c:pt>
                      <c:pt idx="410">
                        <c:v>54.626740370961727</c:v>
                      </c:pt>
                      <c:pt idx="411">
                        <c:v>58.784920954804228</c:v>
                      </c:pt>
                      <c:pt idx="412">
                        <c:v>59.146336073154956</c:v>
                      </c:pt>
                      <c:pt idx="413">
                        <c:v>59.972782354146695</c:v>
                      </c:pt>
                      <c:pt idx="414">
                        <c:v>62.198990414919017</c:v>
                      </c:pt>
                      <c:pt idx="415">
                        <c:v>62.701871155585749</c:v>
                      </c:pt>
                      <c:pt idx="416">
                        <c:v>62.917655456743724</c:v>
                      </c:pt>
                      <c:pt idx="417">
                        <c:v>60.36803191122695</c:v>
                      </c:pt>
                      <c:pt idx="418">
                        <c:v>61.137048350346483</c:v>
                      </c:pt>
                      <c:pt idx="419">
                        <c:v>60.626148504249585</c:v>
                      </c:pt>
                      <c:pt idx="420">
                        <c:v>63.131716432980099</c:v>
                      </c:pt>
                      <c:pt idx="421">
                        <c:v>64.011030567954819</c:v>
                      </c:pt>
                      <c:pt idx="422">
                        <c:v>68.557393477627087</c:v>
                      </c:pt>
                      <c:pt idx="423">
                        <c:v>69.158912396909301</c:v>
                      </c:pt>
                      <c:pt idx="424">
                        <c:v>68.765584750240734</c:v>
                      </c:pt>
                      <c:pt idx="425">
                        <c:v>69.719346386132699</c:v>
                      </c:pt>
                      <c:pt idx="426">
                        <c:v>70.388924260950745</c:v>
                      </c:pt>
                      <c:pt idx="427">
                        <c:v>71.65545412871181</c:v>
                      </c:pt>
                      <c:pt idx="428">
                        <c:v>72.890341866190226</c:v>
                      </c:pt>
                      <c:pt idx="429">
                        <c:v>75.750302418458475</c:v>
                      </c:pt>
                      <c:pt idx="430">
                        <c:v>74.91084572729838</c:v>
                      </c:pt>
                      <c:pt idx="431">
                        <c:v>73.389203603246614</c:v>
                      </c:pt>
                      <c:pt idx="432">
                        <c:v>71.919535060407341</c:v>
                      </c:pt>
                      <c:pt idx="433">
                        <c:v>69.601181855475119</c:v>
                      </c:pt>
                      <c:pt idx="434">
                        <c:v>69.696692839238253</c:v>
                      </c:pt>
                      <c:pt idx="435">
                        <c:v>66.963995550624759</c:v>
                      </c:pt>
                      <c:pt idx="436">
                        <c:v>65.563175180684354</c:v>
                      </c:pt>
                      <c:pt idx="437">
                        <c:v>66.807370617793183</c:v>
                      </c:pt>
                      <c:pt idx="438">
                        <c:v>67.10656541152801</c:v>
                      </c:pt>
                      <c:pt idx="439">
                        <c:v>66.329866382401804</c:v>
                      </c:pt>
                      <c:pt idx="440">
                        <c:v>67.870005403800192</c:v>
                      </c:pt>
                      <c:pt idx="441">
                        <c:v>68.855541618785892</c:v>
                      </c:pt>
                      <c:pt idx="442">
                        <c:v>68.2187491659557</c:v>
                      </c:pt>
                      <c:pt idx="443">
                        <c:v>68.635291861582004</c:v>
                      </c:pt>
                      <c:pt idx="444">
                        <c:v>68.632809486445467</c:v>
                      </c:pt>
                    </c:numCache>
                  </c:numRef>
                </c:val>
                <c:smooth val="0"/>
                <c:extLst xmlns:c15="http://schemas.microsoft.com/office/drawing/2012/chart">
                  <c:ext xmlns:c16="http://schemas.microsoft.com/office/drawing/2014/chart" uri="{C3380CC4-5D6E-409C-BE32-E72D297353CC}">
                    <c16:uniqueId val="{0000001F-5288-4840-A95E-AEBD3E5AE9D2}"/>
                  </c:ext>
                </c:extLst>
              </c15:ser>
            </c15:filteredLineSeries>
          </c:ext>
        </c:extLst>
      </c:lineChart>
      <c:catAx>
        <c:axId val="147683023"/>
        <c:scaling>
          <c:orientation val="minMax"/>
        </c:scaling>
        <c:delete val="1"/>
        <c:axPos val="b"/>
        <c:majorGridlines>
          <c:spPr>
            <a:ln w="9525" cap="flat" cmpd="sng" algn="ctr">
              <a:noFill/>
              <a:prstDash val="dash"/>
              <a:round/>
            </a:ln>
            <a:effectLst/>
          </c:spPr>
        </c:majorGridlines>
        <c:majorTickMark val="out"/>
        <c:minorTickMark val="none"/>
        <c:tickLblPos val="nextTo"/>
        <c:crossAx val="146645279"/>
        <c:crosses val="autoZero"/>
        <c:auto val="1"/>
        <c:lblAlgn val="ctr"/>
        <c:lblOffset val="100"/>
        <c:tickMarkSkip val="25"/>
        <c:noMultiLvlLbl val="0"/>
      </c:catAx>
      <c:valAx>
        <c:axId val="146645279"/>
        <c:scaling>
          <c:orientation val="minMax"/>
          <c:max val="25"/>
        </c:scaling>
        <c:delete val="0"/>
        <c:axPos val="r"/>
        <c:majorGridlines>
          <c:spPr>
            <a:ln w="9525" cap="flat" cmpd="sng" algn="ctr">
              <a:solidFill>
                <a:schemeClr val="tx1">
                  <a:lumMod val="75000"/>
                  <a:lumOff val="25000"/>
                </a:schemeClr>
              </a:solidFill>
              <a:prstDash val="dash"/>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7683023"/>
        <c:crosses val="max"/>
        <c:crossBetween val="midCat"/>
      </c:valAx>
      <c:spPr>
        <a:gradFill>
          <a:gsLst>
            <a:gs pos="0">
              <a:srgbClr val="00FF00"/>
            </a:gs>
            <a:gs pos="36000">
              <a:srgbClr val="47FF47"/>
            </a:gs>
            <a:gs pos="100000">
              <a:schemeClr val="bg1"/>
            </a:gs>
          </a:gsLst>
          <a:lin ang="5400000" scaled="1"/>
        </a:gradFill>
        <a:ln>
          <a:solidFill>
            <a:sysClr val="windowText" lastClr="000000"/>
          </a:solidFill>
        </a:ln>
        <a:effectLst/>
      </c:spPr>
    </c:plotArea>
    <c:plotVisOnly val="0"/>
    <c:dispBlanksAs val="span"/>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accent3">
                    <a:lumMod val="50000"/>
                  </a:schemeClr>
                </a:solidFill>
                <a:latin typeface="+mn-lt"/>
                <a:ea typeface="+mn-ea"/>
                <a:cs typeface="+mn-cs"/>
              </a:defRPr>
            </a:pPr>
            <a:r>
              <a:rPr lang="en-US" sz="1800" b="1">
                <a:solidFill>
                  <a:schemeClr val="accent3">
                    <a:lumMod val="50000"/>
                  </a:schemeClr>
                </a:solidFill>
              </a:rPr>
              <a:t>Strategy Expectancy (R)</a:t>
            </a:r>
          </a:p>
        </c:rich>
      </c:tx>
      <c:layout>
        <c:manualLayout>
          <c:xMode val="edge"/>
          <c:yMode val="edge"/>
          <c:x val="0.1160049765225809"/>
          <c:y val="0"/>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accent3">
                  <a:lumMod val="50000"/>
                </a:schemeClr>
              </a:solidFill>
              <a:latin typeface="+mn-lt"/>
              <a:ea typeface="+mn-ea"/>
              <a:cs typeface="+mn-cs"/>
            </a:defRPr>
          </a:pPr>
          <a:endParaRPr lang="en-US"/>
        </a:p>
      </c:txPr>
    </c:title>
    <c:autoTitleDeleted val="0"/>
    <c:plotArea>
      <c:layout>
        <c:manualLayout>
          <c:layoutTarget val="inner"/>
          <c:xMode val="edge"/>
          <c:yMode val="edge"/>
          <c:x val="3.9334907807782635E-2"/>
          <c:y val="7.5676575670331966E-2"/>
          <c:w val="0.94870171597992958"/>
          <c:h val="0.84851364945020646"/>
        </c:manualLayout>
      </c:layout>
      <c:lineChart>
        <c:grouping val="standard"/>
        <c:varyColors val="0"/>
        <c:ser>
          <c:idx val="1"/>
          <c:order val="0"/>
          <c:tx>
            <c:v>Expectancy 25-ma</c:v>
          </c:tx>
          <c:spPr>
            <a:ln w="28575" cap="rnd">
              <a:solidFill>
                <a:schemeClr val="accent6"/>
              </a:solidFill>
              <a:round/>
            </a:ln>
            <a:effectLst/>
          </c:spPr>
          <c:marker>
            <c:symbol val="none"/>
          </c:marker>
          <c:cat>
            <c:strLit>
              <c:ptCount val="396"/>
              <c:pt idx="0">
                <c:v>24</c:v>
              </c:pt>
              <c:pt idx="1">
                <c:v>25</c:v>
              </c:pt>
              <c:pt idx="2">
                <c:v>26</c:v>
              </c:pt>
              <c:pt idx="3">
                <c:v>27</c:v>
              </c:pt>
              <c:pt idx="4">
                <c:v>28</c:v>
              </c:pt>
              <c:pt idx="5">
                <c:v>29</c:v>
              </c:pt>
              <c:pt idx="6">
                <c:v>30</c:v>
              </c:pt>
              <c:pt idx="7">
                <c:v>31</c:v>
              </c:pt>
              <c:pt idx="8">
                <c:v>32</c:v>
              </c:pt>
              <c:pt idx="9">
                <c:v>33</c:v>
              </c:pt>
              <c:pt idx="10">
                <c:v>34</c:v>
              </c:pt>
              <c:pt idx="11">
                <c:v>35</c:v>
              </c:pt>
              <c:pt idx="12">
                <c:v>36</c:v>
              </c:pt>
              <c:pt idx="13">
                <c:v>37</c:v>
              </c:pt>
              <c:pt idx="14">
                <c:v>38</c:v>
              </c:pt>
              <c:pt idx="15">
                <c:v>39</c:v>
              </c:pt>
              <c:pt idx="16">
                <c:v>40</c:v>
              </c:pt>
              <c:pt idx="17">
                <c:v>41</c:v>
              </c:pt>
              <c:pt idx="18">
                <c:v>42</c:v>
              </c:pt>
              <c:pt idx="19">
                <c:v>43</c:v>
              </c:pt>
              <c:pt idx="20">
                <c:v>44</c:v>
              </c:pt>
              <c:pt idx="21">
                <c:v>45</c:v>
              </c:pt>
              <c:pt idx="22">
                <c:v>46</c:v>
              </c:pt>
              <c:pt idx="23">
                <c:v>47</c:v>
              </c:pt>
              <c:pt idx="24">
                <c:v>48</c:v>
              </c:pt>
              <c:pt idx="25">
                <c:v>49</c:v>
              </c:pt>
              <c:pt idx="26">
                <c:v>50</c:v>
              </c:pt>
              <c:pt idx="27">
                <c:v>51</c:v>
              </c:pt>
              <c:pt idx="28">
                <c:v>52</c:v>
              </c:pt>
              <c:pt idx="29">
                <c:v>53</c:v>
              </c:pt>
              <c:pt idx="30">
                <c:v>54</c:v>
              </c:pt>
              <c:pt idx="31">
                <c:v>55</c:v>
              </c:pt>
              <c:pt idx="32">
                <c:v>56</c:v>
              </c:pt>
              <c:pt idx="33">
                <c:v>57</c:v>
              </c:pt>
              <c:pt idx="34">
                <c:v>58</c:v>
              </c:pt>
              <c:pt idx="35">
                <c:v>59</c:v>
              </c:pt>
              <c:pt idx="36">
                <c:v>60</c:v>
              </c:pt>
              <c:pt idx="37">
                <c:v>61</c:v>
              </c:pt>
              <c:pt idx="38">
                <c:v>62</c:v>
              </c:pt>
              <c:pt idx="39">
                <c:v>63</c:v>
              </c:pt>
              <c:pt idx="40">
                <c:v>64</c:v>
              </c:pt>
              <c:pt idx="41">
                <c:v>65</c:v>
              </c:pt>
              <c:pt idx="42">
                <c:v>66</c:v>
              </c:pt>
              <c:pt idx="43">
                <c:v>67</c:v>
              </c:pt>
              <c:pt idx="44">
                <c:v>68</c:v>
              </c:pt>
              <c:pt idx="45">
                <c:v>69</c:v>
              </c:pt>
              <c:pt idx="46">
                <c:v>70</c:v>
              </c:pt>
              <c:pt idx="47">
                <c:v>71</c:v>
              </c:pt>
              <c:pt idx="48">
                <c:v>72</c:v>
              </c:pt>
              <c:pt idx="49">
                <c:v>73</c:v>
              </c:pt>
              <c:pt idx="50">
                <c:v>74</c:v>
              </c:pt>
              <c:pt idx="51">
                <c:v>75</c:v>
              </c:pt>
              <c:pt idx="52">
                <c:v>76</c:v>
              </c:pt>
              <c:pt idx="53">
                <c:v>77</c:v>
              </c:pt>
              <c:pt idx="54">
                <c:v>78</c:v>
              </c:pt>
              <c:pt idx="55">
                <c:v>79</c:v>
              </c:pt>
              <c:pt idx="56">
                <c:v>80</c:v>
              </c:pt>
              <c:pt idx="57">
                <c:v>81</c:v>
              </c:pt>
              <c:pt idx="58">
                <c:v>82</c:v>
              </c:pt>
              <c:pt idx="59">
                <c:v>83</c:v>
              </c:pt>
              <c:pt idx="60">
                <c:v>84</c:v>
              </c:pt>
              <c:pt idx="61">
                <c:v>85</c:v>
              </c:pt>
              <c:pt idx="62">
                <c:v>86</c:v>
              </c:pt>
              <c:pt idx="63">
                <c:v>87</c:v>
              </c:pt>
              <c:pt idx="64">
                <c:v>88</c:v>
              </c:pt>
              <c:pt idx="65">
                <c:v>89</c:v>
              </c:pt>
              <c:pt idx="66">
                <c:v>90</c:v>
              </c:pt>
              <c:pt idx="67">
                <c:v>91</c:v>
              </c:pt>
              <c:pt idx="68">
                <c:v>92</c:v>
              </c:pt>
              <c:pt idx="69">
                <c:v>93</c:v>
              </c:pt>
              <c:pt idx="70">
                <c:v>94</c:v>
              </c:pt>
              <c:pt idx="71">
                <c:v>95</c:v>
              </c:pt>
              <c:pt idx="72">
                <c:v>96</c:v>
              </c:pt>
              <c:pt idx="73">
                <c:v>97</c:v>
              </c:pt>
              <c:pt idx="74">
                <c:v>98</c:v>
              </c:pt>
              <c:pt idx="75">
                <c:v>99</c:v>
              </c:pt>
              <c:pt idx="76">
                <c:v>100</c:v>
              </c:pt>
              <c:pt idx="77">
                <c:v>101</c:v>
              </c:pt>
              <c:pt idx="78">
                <c:v>102</c:v>
              </c:pt>
              <c:pt idx="79">
                <c:v>103</c:v>
              </c:pt>
              <c:pt idx="80">
                <c:v>104</c:v>
              </c:pt>
              <c:pt idx="81">
                <c:v>105</c:v>
              </c:pt>
              <c:pt idx="82">
                <c:v>106</c:v>
              </c:pt>
              <c:pt idx="83">
                <c:v>107</c:v>
              </c:pt>
              <c:pt idx="84">
                <c:v>108</c:v>
              </c:pt>
              <c:pt idx="85">
                <c:v>109</c:v>
              </c:pt>
              <c:pt idx="86">
                <c:v>110</c:v>
              </c:pt>
              <c:pt idx="87">
                <c:v>111</c:v>
              </c:pt>
              <c:pt idx="88">
                <c:v>112</c:v>
              </c:pt>
              <c:pt idx="89">
                <c:v>113</c:v>
              </c:pt>
              <c:pt idx="90">
                <c:v>114</c:v>
              </c:pt>
              <c:pt idx="91">
                <c:v>115</c:v>
              </c:pt>
              <c:pt idx="92">
                <c:v>116</c:v>
              </c:pt>
              <c:pt idx="93">
                <c:v>117</c:v>
              </c:pt>
              <c:pt idx="94">
                <c:v>118</c:v>
              </c:pt>
              <c:pt idx="95">
                <c:v>119</c:v>
              </c:pt>
              <c:pt idx="96">
                <c:v>120</c:v>
              </c:pt>
              <c:pt idx="97">
                <c:v>121</c:v>
              </c:pt>
              <c:pt idx="98">
                <c:v>122</c:v>
              </c:pt>
              <c:pt idx="99">
                <c:v>123</c:v>
              </c:pt>
              <c:pt idx="100">
                <c:v>124</c:v>
              </c:pt>
              <c:pt idx="101">
                <c:v>125</c:v>
              </c:pt>
              <c:pt idx="102">
                <c:v>126</c:v>
              </c:pt>
              <c:pt idx="103">
                <c:v>127</c:v>
              </c:pt>
              <c:pt idx="104">
                <c:v>128</c:v>
              </c:pt>
              <c:pt idx="105">
                <c:v>129</c:v>
              </c:pt>
              <c:pt idx="106">
                <c:v>130</c:v>
              </c:pt>
              <c:pt idx="107">
                <c:v>131</c:v>
              </c:pt>
              <c:pt idx="108">
                <c:v>132</c:v>
              </c:pt>
              <c:pt idx="109">
                <c:v>133</c:v>
              </c:pt>
              <c:pt idx="110">
                <c:v>134</c:v>
              </c:pt>
              <c:pt idx="111">
                <c:v>135</c:v>
              </c:pt>
              <c:pt idx="112">
                <c:v>136</c:v>
              </c:pt>
              <c:pt idx="113">
                <c:v>137</c:v>
              </c:pt>
              <c:pt idx="114">
                <c:v>138</c:v>
              </c:pt>
              <c:pt idx="115">
                <c:v>139</c:v>
              </c:pt>
              <c:pt idx="116">
                <c:v>140</c:v>
              </c:pt>
              <c:pt idx="117">
                <c:v>141</c:v>
              </c:pt>
              <c:pt idx="118">
                <c:v>142</c:v>
              </c:pt>
              <c:pt idx="119">
                <c:v>143</c:v>
              </c:pt>
              <c:pt idx="120">
                <c:v>144</c:v>
              </c:pt>
              <c:pt idx="121">
                <c:v>145</c:v>
              </c:pt>
              <c:pt idx="122">
                <c:v>146</c:v>
              </c:pt>
              <c:pt idx="123">
                <c:v>147</c:v>
              </c:pt>
              <c:pt idx="124">
                <c:v>148</c:v>
              </c:pt>
              <c:pt idx="125">
                <c:v>149</c:v>
              </c:pt>
              <c:pt idx="126">
                <c:v>150</c:v>
              </c:pt>
              <c:pt idx="127">
                <c:v>151</c:v>
              </c:pt>
              <c:pt idx="128">
                <c:v>152</c:v>
              </c:pt>
              <c:pt idx="129">
                <c:v>153</c:v>
              </c:pt>
              <c:pt idx="130">
                <c:v>154</c:v>
              </c:pt>
              <c:pt idx="131">
                <c:v>155</c:v>
              </c:pt>
              <c:pt idx="132">
                <c:v>156</c:v>
              </c:pt>
              <c:pt idx="133">
                <c:v>157</c:v>
              </c:pt>
              <c:pt idx="134">
                <c:v>158</c:v>
              </c:pt>
              <c:pt idx="135">
                <c:v>159</c:v>
              </c:pt>
              <c:pt idx="136">
                <c:v>160</c:v>
              </c:pt>
              <c:pt idx="137">
                <c:v>161</c:v>
              </c:pt>
              <c:pt idx="138">
                <c:v>162</c:v>
              </c:pt>
              <c:pt idx="139">
                <c:v>163</c:v>
              </c:pt>
              <c:pt idx="140">
                <c:v>164</c:v>
              </c:pt>
              <c:pt idx="141">
                <c:v>165</c:v>
              </c:pt>
              <c:pt idx="142">
                <c:v>166</c:v>
              </c:pt>
              <c:pt idx="143">
                <c:v>167</c:v>
              </c:pt>
              <c:pt idx="144">
                <c:v>168</c:v>
              </c:pt>
              <c:pt idx="145">
                <c:v>169</c:v>
              </c:pt>
              <c:pt idx="146">
                <c:v>170</c:v>
              </c:pt>
              <c:pt idx="147">
                <c:v>171</c:v>
              </c:pt>
              <c:pt idx="148">
                <c:v>172</c:v>
              </c:pt>
              <c:pt idx="149">
                <c:v>173</c:v>
              </c:pt>
              <c:pt idx="150">
                <c:v>174</c:v>
              </c:pt>
              <c:pt idx="151">
                <c:v>175</c:v>
              </c:pt>
              <c:pt idx="152">
                <c:v>176</c:v>
              </c:pt>
              <c:pt idx="153">
                <c:v>177</c:v>
              </c:pt>
              <c:pt idx="154">
                <c:v>178</c:v>
              </c:pt>
              <c:pt idx="155">
                <c:v>179</c:v>
              </c:pt>
              <c:pt idx="156">
                <c:v>180</c:v>
              </c:pt>
              <c:pt idx="157">
                <c:v>181</c:v>
              </c:pt>
              <c:pt idx="158">
                <c:v>182</c:v>
              </c:pt>
              <c:pt idx="159">
                <c:v>183</c:v>
              </c:pt>
              <c:pt idx="160">
                <c:v>184</c:v>
              </c:pt>
              <c:pt idx="161">
                <c:v>185</c:v>
              </c:pt>
              <c:pt idx="162">
                <c:v>186</c:v>
              </c:pt>
              <c:pt idx="163">
                <c:v>187</c:v>
              </c:pt>
              <c:pt idx="164">
                <c:v>188</c:v>
              </c:pt>
              <c:pt idx="165">
                <c:v>189</c:v>
              </c:pt>
              <c:pt idx="166">
                <c:v>190</c:v>
              </c:pt>
              <c:pt idx="167">
                <c:v>191</c:v>
              </c:pt>
              <c:pt idx="168">
                <c:v>192</c:v>
              </c:pt>
              <c:pt idx="169">
                <c:v>193</c:v>
              </c:pt>
              <c:pt idx="170">
                <c:v>194</c:v>
              </c:pt>
              <c:pt idx="171">
                <c:v>195</c:v>
              </c:pt>
              <c:pt idx="172">
                <c:v>196</c:v>
              </c:pt>
              <c:pt idx="173">
                <c:v>197</c:v>
              </c:pt>
              <c:pt idx="174">
                <c:v>198</c:v>
              </c:pt>
              <c:pt idx="175">
                <c:v>199</c:v>
              </c:pt>
              <c:pt idx="176">
                <c:v>200</c:v>
              </c:pt>
              <c:pt idx="177">
                <c:v>201</c:v>
              </c:pt>
              <c:pt idx="178">
                <c:v>202</c:v>
              </c:pt>
              <c:pt idx="179">
                <c:v>203</c:v>
              </c:pt>
              <c:pt idx="180">
                <c:v>204</c:v>
              </c:pt>
              <c:pt idx="181">
                <c:v>205</c:v>
              </c:pt>
              <c:pt idx="182">
                <c:v>206</c:v>
              </c:pt>
              <c:pt idx="183">
                <c:v>207</c:v>
              </c:pt>
              <c:pt idx="184">
                <c:v>208</c:v>
              </c:pt>
              <c:pt idx="185">
                <c:v>209</c:v>
              </c:pt>
              <c:pt idx="186">
                <c:v>210</c:v>
              </c:pt>
              <c:pt idx="187">
                <c:v>211</c:v>
              </c:pt>
              <c:pt idx="188">
                <c:v>212</c:v>
              </c:pt>
              <c:pt idx="189">
                <c:v>213</c:v>
              </c:pt>
              <c:pt idx="190">
                <c:v>214</c:v>
              </c:pt>
              <c:pt idx="191">
                <c:v>215</c:v>
              </c:pt>
              <c:pt idx="192">
                <c:v>216</c:v>
              </c:pt>
              <c:pt idx="193">
                <c:v>217</c:v>
              </c:pt>
              <c:pt idx="194">
                <c:v>218</c:v>
              </c:pt>
              <c:pt idx="195">
                <c:v>219</c:v>
              </c:pt>
              <c:pt idx="196">
                <c:v>220</c:v>
              </c:pt>
              <c:pt idx="197">
                <c:v>221</c:v>
              </c:pt>
              <c:pt idx="198">
                <c:v>222</c:v>
              </c:pt>
              <c:pt idx="199">
                <c:v>223</c:v>
              </c:pt>
              <c:pt idx="200">
                <c:v>224</c:v>
              </c:pt>
              <c:pt idx="201">
                <c:v>225</c:v>
              </c:pt>
              <c:pt idx="202">
                <c:v>226</c:v>
              </c:pt>
              <c:pt idx="203">
                <c:v>227</c:v>
              </c:pt>
              <c:pt idx="204">
                <c:v>228</c:v>
              </c:pt>
              <c:pt idx="205">
                <c:v>229</c:v>
              </c:pt>
              <c:pt idx="206">
                <c:v>230</c:v>
              </c:pt>
              <c:pt idx="207">
                <c:v>231</c:v>
              </c:pt>
              <c:pt idx="208">
                <c:v>232</c:v>
              </c:pt>
              <c:pt idx="209">
                <c:v>233</c:v>
              </c:pt>
              <c:pt idx="210">
                <c:v>234</c:v>
              </c:pt>
              <c:pt idx="211">
                <c:v>235</c:v>
              </c:pt>
              <c:pt idx="212">
                <c:v>236</c:v>
              </c:pt>
              <c:pt idx="213">
                <c:v>237</c:v>
              </c:pt>
              <c:pt idx="214">
                <c:v>238</c:v>
              </c:pt>
              <c:pt idx="215">
                <c:v>239</c:v>
              </c:pt>
              <c:pt idx="216">
                <c:v>240</c:v>
              </c:pt>
              <c:pt idx="217">
                <c:v>241</c:v>
              </c:pt>
              <c:pt idx="218">
                <c:v>242</c:v>
              </c:pt>
              <c:pt idx="219">
                <c:v>243</c:v>
              </c:pt>
              <c:pt idx="220">
                <c:v>244</c:v>
              </c:pt>
              <c:pt idx="221">
                <c:v>245</c:v>
              </c:pt>
              <c:pt idx="222">
                <c:v>246</c:v>
              </c:pt>
              <c:pt idx="223">
                <c:v>247</c:v>
              </c:pt>
              <c:pt idx="224">
                <c:v>248</c:v>
              </c:pt>
              <c:pt idx="225">
                <c:v>249</c:v>
              </c:pt>
              <c:pt idx="226">
                <c:v>250</c:v>
              </c:pt>
              <c:pt idx="227">
                <c:v>251</c:v>
              </c:pt>
              <c:pt idx="228">
                <c:v>252</c:v>
              </c:pt>
              <c:pt idx="229">
                <c:v>253</c:v>
              </c:pt>
              <c:pt idx="230">
                <c:v>254</c:v>
              </c:pt>
              <c:pt idx="231">
                <c:v>255</c:v>
              </c:pt>
              <c:pt idx="232">
                <c:v>256</c:v>
              </c:pt>
              <c:pt idx="233">
                <c:v>257</c:v>
              </c:pt>
              <c:pt idx="234">
                <c:v>258</c:v>
              </c:pt>
              <c:pt idx="235">
                <c:v>259</c:v>
              </c:pt>
              <c:pt idx="236">
                <c:v>260</c:v>
              </c:pt>
              <c:pt idx="237">
                <c:v>261</c:v>
              </c:pt>
              <c:pt idx="238">
                <c:v>262</c:v>
              </c:pt>
              <c:pt idx="239">
                <c:v>263</c:v>
              </c:pt>
              <c:pt idx="240">
                <c:v>264</c:v>
              </c:pt>
              <c:pt idx="241">
                <c:v>265</c:v>
              </c:pt>
              <c:pt idx="242">
                <c:v>266</c:v>
              </c:pt>
              <c:pt idx="243">
                <c:v>267</c:v>
              </c:pt>
              <c:pt idx="244">
                <c:v>268</c:v>
              </c:pt>
              <c:pt idx="245">
                <c:v>269</c:v>
              </c:pt>
              <c:pt idx="246">
                <c:v>270</c:v>
              </c:pt>
              <c:pt idx="247">
                <c:v>271</c:v>
              </c:pt>
              <c:pt idx="248">
                <c:v>272</c:v>
              </c:pt>
              <c:pt idx="249">
                <c:v>273</c:v>
              </c:pt>
              <c:pt idx="250">
                <c:v>274</c:v>
              </c:pt>
              <c:pt idx="251">
                <c:v>275</c:v>
              </c:pt>
              <c:pt idx="252">
                <c:v>276</c:v>
              </c:pt>
              <c:pt idx="253">
                <c:v>277</c:v>
              </c:pt>
              <c:pt idx="254">
                <c:v>278</c:v>
              </c:pt>
              <c:pt idx="255">
                <c:v>279</c:v>
              </c:pt>
              <c:pt idx="256">
                <c:v>280</c:v>
              </c:pt>
              <c:pt idx="257">
                <c:v>281</c:v>
              </c:pt>
              <c:pt idx="258">
                <c:v>282</c:v>
              </c:pt>
              <c:pt idx="259">
                <c:v>283</c:v>
              </c:pt>
              <c:pt idx="260">
                <c:v>284</c:v>
              </c:pt>
              <c:pt idx="261">
                <c:v>285</c:v>
              </c:pt>
              <c:pt idx="262">
                <c:v>286</c:v>
              </c:pt>
              <c:pt idx="263">
                <c:v>287</c:v>
              </c:pt>
              <c:pt idx="264">
                <c:v>288</c:v>
              </c:pt>
              <c:pt idx="265">
                <c:v>289</c:v>
              </c:pt>
              <c:pt idx="266">
                <c:v>290</c:v>
              </c:pt>
              <c:pt idx="267">
                <c:v>291</c:v>
              </c:pt>
              <c:pt idx="268">
                <c:v>292</c:v>
              </c:pt>
              <c:pt idx="269">
                <c:v>293</c:v>
              </c:pt>
              <c:pt idx="270">
                <c:v>294</c:v>
              </c:pt>
              <c:pt idx="271">
                <c:v>295</c:v>
              </c:pt>
              <c:pt idx="272">
                <c:v>296</c:v>
              </c:pt>
              <c:pt idx="273">
                <c:v>297</c:v>
              </c:pt>
              <c:pt idx="274">
                <c:v>298</c:v>
              </c:pt>
              <c:pt idx="275">
                <c:v>299</c:v>
              </c:pt>
              <c:pt idx="276">
                <c:v>300</c:v>
              </c:pt>
              <c:pt idx="277">
                <c:v>301</c:v>
              </c:pt>
              <c:pt idx="278">
                <c:v>302</c:v>
              </c:pt>
              <c:pt idx="279">
                <c:v>303</c:v>
              </c:pt>
              <c:pt idx="280">
                <c:v>304</c:v>
              </c:pt>
              <c:pt idx="281">
                <c:v>305</c:v>
              </c:pt>
              <c:pt idx="282">
                <c:v>306</c:v>
              </c:pt>
              <c:pt idx="283">
                <c:v>307</c:v>
              </c:pt>
              <c:pt idx="284">
                <c:v>308</c:v>
              </c:pt>
              <c:pt idx="285">
                <c:v>309</c:v>
              </c:pt>
              <c:pt idx="286">
                <c:v>310</c:v>
              </c:pt>
              <c:pt idx="287">
                <c:v>311</c:v>
              </c:pt>
              <c:pt idx="288">
                <c:v>312</c:v>
              </c:pt>
              <c:pt idx="289">
                <c:v>313</c:v>
              </c:pt>
              <c:pt idx="290">
                <c:v>314</c:v>
              </c:pt>
              <c:pt idx="291">
                <c:v>315</c:v>
              </c:pt>
              <c:pt idx="292">
                <c:v>316</c:v>
              </c:pt>
              <c:pt idx="293">
                <c:v>317</c:v>
              </c:pt>
              <c:pt idx="294">
                <c:v>318</c:v>
              </c:pt>
              <c:pt idx="295">
                <c:v>319</c:v>
              </c:pt>
              <c:pt idx="296">
                <c:v>320</c:v>
              </c:pt>
              <c:pt idx="297">
                <c:v>321</c:v>
              </c:pt>
              <c:pt idx="298">
                <c:v>322</c:v>
              </c:pt>
              <c:pt idx="299">
                <c:v>323</c:v>
              </c:pt>
              <c:pt idx="300">
                <c:v>324</c:v>
              </c:pt>
              <c:pt idx="301">
                <c:v>325</c:v>
              </c:pt>
              <c:pt idx="302">
                <c:v>326</c:v>
              </c:pt>
              <c:pt idx="303">
                <c:v>327</c:v>
              </c:pt>
              <c:pt idx="304">
                <c:v>328</c:v>
              </c:pt>
              <c:pt idx="305">
                <c:v>329</c:v>
              </c:pt>
              <c:pt idx="306">
                <c:v>330</c:v>
              </c:pt>
              <c:pt idx="307">
                <c:v>331</c:v>
              </c:pt>
              <c:pt idx="308">
                <c:v>332</c:v>
              </c:pt>
              <c:pt idx="309">
                <c:v>333</c:v>
              </c:pt>
              <c:pt idx="310">
                <c:v>334</c:v>
              </c:pt>
              <c:pt idx="311">
                <c:v>335</c:v>
              </c:pt>
              <c:pt idx="312">
                <c:v>336</c:v>
              </c:pt>
              <c:pt idx="313">
                <c:v>337</c:v>
              </c:pt>
              <c:pt idx="314">
                <c:v>338</c:v>
              </c:pt>
              <c:pt idx="315">
                <c:v>339</c:v>
              </c:pt>
              <c:pt idx="316">
                <c:v>340</c:v>
              </c:pt>
              <c:pt idx="317">
                <c:v>341</c:v>
              </c:pt>
              <c:pt idx="318">
                <c:v>342</c:v>
              </c:pt>
              <c:pt idx="319">
                <c:v>343</c:v>
              </c:pt>
              <c:pt idx="320">
                <c:v>344</c:v>
              </c:pt>
              <c:pt idx="321">
                <c:v>345</c:v>
              </c:pt>
              <c:pt idx="322">
                <c:v>346</c:v>
              </c:pt>
              <c:pt idx="323">
                <c:v>347</c:v>
              </c:pt>
              <c:pt idx="324">
                <c:v>348</c:v>
              </c:pt>
              <c:pt idx="325">
                <c:v>349</c:v>
              </c:pt>
              <c:pt idx="326">
                <c:v>350</c:v>
              </c:pt>
              <c:pt idx="327">
                <c:v>351</c:v>
              </c:pt>
              <c:pt idx="328">
                <c:v>352</c:v>
              </c:pt>
              <c:pt idx="329">
                <c:v>353</c:v>
              </c:pt>
              <c:pt idx="330">
                <c:v>354</c:v>
              </c:pt>
              <c:pt idx="331">
                <c:v>355</c:v>
              </c:pt>
              <c:pt idx="332">
                <c:v>356</c:v>
              </c:pt>
              <c:pt idx="333">
                <c:v>357</c:v>
              </c:pt>
              <c:pt idx="334">
                <c:v>358</c:v>
              </c:pt>
              <c:pt idx="335">
                <c:v>359</c:v>
              </c:pt>
              <c:pt idx="336">
                <c:v>360</c:v>
              </c:pt>
              <c:pt idx="337">
                <c:v>361</c:v>
              </c:pt>
              <c:pt idx="338">
                <c:v>362</c:v>
              </c:pt>
              <c:pt idx="339">
                <c:v>363</c:v>
              </c:pt>
              <c:pt idx="340">
                <c:v>364</c:v>
              </c:pt>
              <c:pt idx="341">
                <c:v>365</c:v>
              </c:pt>
              <c:pt idx="342">
                <c:v>366</c:v>
              </c:pt>
              <c:pt idx="343">
                <c:v>367</c:v>
              </c:pt>
              <c:pt idx="344">
                <c:v>368</c:v>
              </c:pt>
              <c:pt idx="345">
                <c:v>369</c:v>
              </c:pt>
              <c:pt idx="346">
                <c:v>370</c:v>
              </c:pt>
              <c:pt idx="347">
                <c:v>371</c:v>
              </c:pt>
              <c:pt idx="348">
                <c:v>372</c:v>
              </c:pt>
              <c:pt idx="349">
                <c:v>373</c:v>
              </c:pt>
              <c:pt idx="350">
                <c:v>374</c:v>
              </c:pt>
              <c:pt idx="351">
                <c:v>375</c:v>
              </c:pt>
              <c:pt idx="352">
                <c:v>376</c:v>
              </c:pt>
              <c:pt idx="353">
                <c:v>377</c:v>
              </c:pt>
              <c:pt idx="354">
                <c:v>378</c:v>
              </c:pt>
              <c:pt idx="355">
                <c:v>379</c:v>
              </c:pt>
              <c:pt idx="356">
                <c:v>380</c:v>
              </c:pt>
              <c:pt idx="357">
                <c:v>381</c:v>
              </c:pt>
              <c:pt idx="358">
                <c:v>382</c:v>
              </c:pt>
              <c:pt idx="359">
                <c:v>383</c:v>
              </c:pt>
              <c:pt idx="360">
                <c:v>384</c:v>
              </c:pt>
              <c:pt idx="361">
                <c:v>385</c:v>
              </c:pt>
              <c:pt idx="362">
                <c:v>386</c:v>
              </c:pt>
              <c:pt idx="363">
                <c:v>387</c:v>
              </c:pt>
              <c:pt idx="364">
                <c:v>388</c:v>
              </c:pt>
              <c:pt idx="365">
                <c:v>389</c:v>
              </c:pt>
              <c:pt idx="366">
                <c:v>390</c:v>
              </c:pt>
              <c:pt idx="367">
                <c:v>391</c:v>
              </c:pt>
              <c:pt idx="368">
                <c:v>392</c:v>
              </c:pt>
              <c:pt idx="369">
                <c:v>393</c:v>
              </c:pt>
              <c:pt idx="370">
                <c:v>394</c:v>
              </c:pt>
              <c:pt idx="371">
                <c:v>395</c:v>
              </c:pt>
              <c:pt idx="372">
                <c:v>396</c:v>
              </c:pt>
              <c:pt idx="373">
                <c:v>397</c:v>
              </c:pt>
              <c:pt idx="374">
                <c:v>398</c:v>
              </c:pt>
              <c:pt idx="375">
                <c:v>399</c:v>
              </c:pt>
              <c:pt idx="376">
                <c:v>400</c:v>
              </c:pt>
              <c:pt idx="377">
                <c:v>401</c:v>
              </c:pt>
              <c:pt idx="378">
                <c:v>402</c:v>
              </c:pt>
              <c:pt idx="379">
                <c:v>403</c:v>
              </c:pt>
              <c:pt idx="380">
                <c:v>404</c:v>
              </c:pt>
              <c:pt idx="381">
                <c:v>405</c:v>
              </c:pt>
              <c:pt idx="382">
                <c:v>406</c:v>
              </c:pt>
              <c:pt idx="383">
                <c:v>407</c:v>
              </c:pt>
              <c:pt idx="384">
                <c:v>408</c:v>
              </c:pt>
              <c:pt idx="385">
                <c:v>409</c:v>
              </c:pt>
              <c:pt idx="386">
                <c:v>410</c:v>
              </c:pt>
              <c:pt idx="387">
                <c:v>411</c:v>
              </c:pt>
              <c:pt idx="388">
                <c:v>412</c:v>
              </c:pt>
              <c:pt idx="389">
                <c:v>413</c:v>
              </c:pt>
              <c:pt idx="390">
                <c:v>414</c:v>
              </c:pt>
              <c:pt idx="391">
                <c:v>415</c:v>
              </c:pt>
              <c:pt idx="392">
                <c:v>416</c:v>
              </c:pt>
              <c:pt idx="393">
                <c:v>417</c:v>
              </c:pt>
              <c:pt idx="394">
                <c:v>418</c:v>
              </c:pt>
              <c:pt idx="395">
                <c:v>419</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'2025-Q2'!$BL$4:$BL$422</c15:sqref>
                  </c15:fullRef>
                </c:ext>
              </c:extLst>
              <c:f>'2025-Q2'!$BL$27:$BL$422</c:f>
              <c:numCache>
                <c:formatCode>0.0</c:formatCode>
                <c:ptCount val="396"/>
                <c:pt idx="1">
                  <c:v>0.10887222895835286</c:v>
                </c:pt>
                <c:pt idx="2">
                  <c:v>-3.5754982418806147E-2</c:v>
                </c:pt>
                <c:pt idx="3">
                  <c:v>-1.6925152853429767E-2</c:v>
                </c:pt>
                <c:pt idx="4">
                  <c:v>-2.2947738904403811E-2</c:v>
                </c:pt>
                <c:pt idx="5">
                  <c:v>-5.3660996249020487E-2</c:v>
                </c:pt>
                <c:pt idx="6">
                  <c:v>-1.0249591886103486E-2</c:v>
                </c:pt>
                <c:pt idx="7">
                  <c:v>-9.1750311246953861E-3</c:v>
                </c:pt>
                <c:pt idx="8">
                  <c:v>1.666321940640305E-2</c:v>
                </c:pt>
                <c:pt idx="9">
                  <c:v>-2.4691063340222311E-2</c:v>
                </c:pt>
                <c:pt idx="10">
                  <c:v>-2.862169466584305E-2</c:v>
                </c:pt>
                <c:pt idx="11">
                  <c:v>-7.5019756860705181E-2</c:v>
                </c:pt>
                <c:pt idx="12">
                  <c:v>-0.1284147494298363</c:v>
                </c:pt>
                <c:pt idx="13">
                  <c:v>-0.1539761539590091</c:v>
                </c:pt>
                <c:pt idx="14">
                  <c:v>-0.15168393840313382</c:v>
                </c:pt>
                <c:pt idx="15">
                  <c:v>-0.17897636478364964</c:v>
                </c:pt>
                <c:pt idx="16">
                  <c:v>-0.20252187058303542</c:v>
                </c:pt>
                <c:pt idx="17">
                  <c:v>-0.29744688095959232</c:v>
                </c:pt>
                <c:pt idx="18">
                  <c:v>-0.32983108773743508</c:v>
                </c:pt>
                <c:pt idx="19">
                  <c:v>-0.27271842758147441</c:v>
                </c:pt>
                <c:pt idx="20">
                  <c:v>-0.26060818138271097</c:v>
                </c:pt>
                <c:pt idx="21">
                  <c:v>-0.29157451642296389</c:v>
                </c:pt>
                <c:pt idx="22">
                  <c:v>-0.30374039073839298</c:v>
                </c:pt>
                <c:pt idx="23">
                  <c:v>-0.35305109698131615</c:v>
                </c:pt>
                <c:pt idx="24">
                  <c:v>-0.40704293908869571</c:v>
                </c:pt>
                <c:pt idx="25">
                  <c:v>-0.39315872675464775</c:v>
                </c:pt>
                <c:pt idx="26">
                  <c:v>-0.33694968191681968</c:v>
                </c:pt>
                <c:pt idx="27">
                  <c:v>-0.38670024314414236</c:v>
                </c:pt>
                <c:pt idx="28">
                  <c:v>-0.32605124757515469</c:v>
                </c:pt>
                <c:pt idx="29">
                  <c:v>-0.33919538690548928</c:v>
                </c:pt>
                <c:pt idx="30">
                  <c:v>-0.3367941470215301</c:v>
                </c:pt>
                <c:pt idx="31">
                  <c:v>-0.28518196206966545</c:v>
                </c:pt>
                <c:pt idx="32">
                  <c:v>-0.28131445525626009</c:v>
                </c:pt>
                <c:pt idx="33">
                  <c:v>-0.28805171093130849</c:v>
                </c:pt>
                <c:pt idx="34">
                  <c:v>-0.21239306194633722</c:v>
                </c:pt>
                <c:pt idx="35">
                  <c:v>-0.14958849930717708</c:v>
                </c:pt>
                <c:pt idx="36">
                  <c:v>-6.9420205001239493E-2</c:v>
                </c:pt>
                <c:pt idx="37">
                  <c:v>-3.5880116506036952E-2</c:v>
                </c:pt>
                <c:pt idx="38">
                  <c:v>1.3226415764391746E-2</c:v>
                </c:pt>
                <c:pt idx="39">
                  <c:v>0.10956812921597826</c:v>
                </c:pt>
                <c:pt idx="40">
                  <c:v>0.14451181459330786</c:v>
                </c:pt>
                <c:pt idx="41">
                  <c:v>0.21443656105012604</c:v>
                </c:pt>
                <c:pt idx="42">
                  <c:v>0.28683673262200021</c:v>
                </c:pt>
                <c:pt idx="43">
                  <c:v>0.21678862379651892</c:v>
                </c:pt>
                <c:pt idx="44">
                  <c:v>0.15286279906048394</c:v>
                </c:pt>
                <c:pt idx="45">
                  <c:v>0.17260806361055511</c:v>
                </c:pt>
                <c:pt idx="46">
                  <c:v>0.19263632522390811</c:v>
                </c:pt>
                <c:pt idx="47">
                  <c:v>0.26696451295589591</c:v>
                </c:pt>
                <c:pt idx="48">
                  <c:v>0.30302866665918143</c:v>
                </c:pt>
                <c:pt idx="49">
                  <c:v>0.36975426234441877</c:v>
                </c:pt>
                <c:pt idx="50">
                  <c:v>0.4233282250822471</c:v>
                </c:pt>
                <c:pt idx="51">
                  <c:v>0.49131587400220716</c:v>
                </c:pt>
                <c:pt idx="52">
                  <c:v>0.43299466101950379</c:v>
                </c:pt>
                <c:pt idx="53">
                  <c:v>0.5397714269578614</c:v>
                </c:pt>
                <c:pt idx="54">
                  <c:v>0.50868592422144177</c:v>
                </c:pt>
                <c:pt idx="55">
                  <c:v>0.4402313743980612</c:v>
                </c:pt>
                <c:pt idx="56">
                  <c:v>0.41388223277804831</c:v>
                </c:pt>
                <c:pt idx="57">
                  <c:v>0.44700966732940955</c:v>
                </c:pt>
                <c:pt idx="58">
                  <c:v>0.33588543424541661</c:v>
                </c:pt>
                <c:pt idx="59">
                  <c:v>0.27987800675394248</c:v>
                </c:pt>
                <c:pt idx="60">
                  <c:v>0.20983384534322214</c:v>
                </c:pt>
                <c:pt idx="61">
                  <c:v>0.11591103702659482</c:v>
                </c:pt>
                <c:pt idx="62">
                  <c:v>5.1525937367425542E-2</c:v>
                </c:pt>
                <c:pt idx="63">
                  <c:v>-7.3644109933386007E-2</c:v>
                </c:pt>
                <c:pt idx="64">
                  <c:v>-0.11085855770982107</c:v>
                </c:pt>
                <c:pt idx="65">
                  <c:v>-6.5374792765126255E-2</c:v>
                </c:pt>
                <c:pt idx="66">
                  <c:v>-0.12516484546682066</c:v>
                </c:pt>
                <c:pt idx="67">
                  <c:v>-6.1855511922500155E-2</c:v>
                </c:pt>
                <c:pt idx="68">
                  <c:v>-3.712775421607388E-2</c:v>
                </c:pt>
                <c:pt idx="69">
                  <c:v>-3.1241129376574719E-2</c:v>
                </c:pt>
                <c:pt idx="70">
                  <c:v>-8.5174874125339473E-2</c:v>
                </c:pt>
                <c:pt idx="71">
                  <c:v>-0.13718338262422386</c:v>
                </c:pt>
                <c:pt idx="72">
                  <c:v>-0.11090832959713821</c:v>
                </c:pt>
                <c:pt idx="73">
                  <c:v>-0.15314568752879329</c:v>
                </c:pt>
                <c:pt idx="74">
                  <c:v>-0.13735029373235202</c:v>
                </c:pt>
                <c:pt idx="75">
                  <c:v>-0.18707511551172321</c:v>
                </c:pt>
                <c:pt idx="76">
                  <c:v>-0.19258869285905891</c:v>
                </c:pt>
                <c:pt idx="77">
                  <c:v>-0.29737595573075803</c:v>
                </c:pt>
                <c:pt idx="78">
                  <c:v>-0.30437327749243681</c:v>
                </c:pt>
                <c:pt idx="79">
                  <c:v>-0.26629471899318125</c:v>
                </c:pt>
                <c:pt idx="80">
                  <c:v>-0.31293866570019163</c:v>
                </c:pt>
                <c:pt idx="81">
                  <c:v>-0.31996089939482331</c:v>
                </c:pt>
                <c:pt idx="82">
                  <c:v>-0.25417762520664766</c:v>
                </c:pt>
                <c:pt idx="83">
                  <c:v>-0.21696923252510131</c:v>
                </c:pt>
                <c:pt idx="84">
                  <c:v>-0.24884099811022189</c:v>
                </c:pt>
                <c:pt idx="85">
                  <c:v>-0.15171322289523226</c:v>
                </c:pt>
                <c:pt idx="86">
                  <c:v>-0.16630726815861208</c:v>
                </c:pt>
                <c:pt idx="87">
                  <c:v>-0.13305412727610524</c:v>
                </c:pt>
                <c:pt idx="88">
                  <c:v>-0.12447787449389397</c:v>
                </c:pt>
                <c:pt idx="89">
                  <c:v>-0.14219049495199154</c:v>
                </c:pt>
                <c:pt idx="90">
                  <c:v>-0.10454336572644013</c:v>
                </c:pt>
                <c:pt idx="91">
                  <c:v>-0.13263645920015163</c:v>
                </c:pt>
                <c:pt idx="92">
                  <c:v>-7.5850667229427446E-2</c:v>
                </c:pt>
                <c:pt idx="93">
                  <c:v>-6.7757161239806199E-2</c:v>
                </c:pt>
                <c:pt idx="94">
                  <c:v>-1.7912275207862729E-2</c:v>
                </c:pt>
                <c:pt idx="95">
                  <c:v>4.8537698001336435E-2</c:v>
                </c:pt>
                <c:pt idx="96">
                  <c:v>2.7254401333380179E-2</c:v>
                </c:pt>
                <c:pt idx="97">
                  <c:v>3.1808310138773235E-2</c:v>
                </c:pt>
                <c:pt idx="98">
                  <c:v>8.9195851033198811E-3</c:v>
                </c:pt>
                <c:pt idx="99">
                  <c:v>-1.7856892096441649E-2</c:v>
                </c:pt>
                <c:pt idx="100">
                  <c:v>-4.7396091891501154E-3</c:v>
                </c:pt>
                <c:pt idx="101">
                  <c:v>9.5388555349408002E-2</c:v>
                </c:pt>
                <c:pt idx="102">
                  <c:v>0.12286416912179465</c:v>
                </c:pt>
                <c:pt idx="103">
                  <c:v>0.1402774494447879</c:v>
                </c:pt>
                <c:pt idx="104">
                  <c:v>0.16237721294460047</c:v>
                </c:pt>
                <c:pt idx="105">
                  <c:v>0.1724088574028238</c:v>
                </c:pt>
                <c:pt idx="106">
                  <c:v>0.12616357801037034</c:v>
                </c:pt>
                <c:pt idx="107">
                  <c:v>9.5853414241322307E-2</c:v>
                </c:pt>
                <c:pt idx="108">
                  <c:v>0.14062010315067971</c:v>
                </c:pt>
                <c:pt idx="109">
                  <c:v>9.8605926700512991E-2</c:v>
                </c:pt>
                <c:pt idx="110">
                  <c:v>0.1593675512278353</c:v>
                </c:pt>
                <c:pt idx="111">
                  <c:v>0.16665468063196215</c:v>
                </c:pt>
                <c:pt idx="112">
                  <c:v>0.17128123275247603</c:v>
                </c:pt>
                <c:pt idx="113">
                  <c:v>0.16150394948899488</c:v>
                </c:pt>
                <c:pt idx="114">
                  <c:v>0.12292173350605058</c:v>
                </c:pt>
                <c:pt idx="115">
                  <c:v>0.10921998761804858</c:v>
                </c:pt>
                <c:pt idx="116">
                  <c:v>6.4629225432037141E-2</c:v>
                </c:pt>
                <c:pt idx="117">
                  <c:v>3.9929430025486212E-2</c:v>
                </c:pt>
                <c:pt idx="118">
                  <c:v>6.3521480956729628E-3</c:v>
                </c:pt>
                <c:pt idx="119">
                  <c:v>-8.5550196282470528E-2</c:v>
                </c:pt>
                <c:pt idx="120">
                  <c:v>-8.2946727312482732E-2</c:v>
                </c:pt>
                <c:pt idx="121">
                  <c:v>-9.3263412478634733E-2</c:v>
                </c:pt>
                <c:pt idx="122">
                  <c:v>-2.4883070934490902E-2</c:v>
                </c:pt>
                <c:pt idx="123">
                  <c:v>-8.1370666892963681E-4</c:v>
                </c:pt>
                <c:pt idx="124">
                  <c:v>-1.0696698735678502E-2</c:v>
                </c:pt>
                <c:pt idx="125">
                  <c:v>-1.3750782170927929E-2</c:v>
                </c:pt>
                <c:pt idx="126">
                  <c:v>1.7544346873212317E-2</c:v>
                </c:pt>
                <c:pt idx="127">
                  <c:v>-8.6948822024229509E-3</c:v>
                </c:pt>
                <c:pt idx="128">
                  <c:v>6.281508993814934E-2</c:v>
                </c:pt>
                <c:pt idx="129">
                  <c:v>0.15059950014812343</c:v>
                </c:pt>
                <c:pt idx="130">
                  <c:v>9.9820631409733296E-2</c:v>
                </c:pt>
                <c:pt idx="131">
                  <c:v>0.10847393212806318</c:v>
                </c:pt>
                <c:pt idx="132">
                  <c:v>8.9587444716148018E-2</c:v>
                </c:pt>
                <c:pt idx="133">
                  <c:v>0.1884355434338795</c:v>
                </c:pt>
                <c:pt idx="134">
                  <c:v>0.17178218127310632</c:v>
                </c:pt>
                <c:pt idx="135">
                  <c:v>0.16966730794819418</c:v>
                </c:pt>
                <c:pt idx="136">
                  <c:v>6.5899553815662273E-2</c:v>
                </c:pt>
                <c:pt idx="137">
                  <c:v>8.298985439836383E-2</c:v>
                </c:pt>
                <c:pt idx="138">
                  <c:v>0.13980150042488471</c:v>
                </c:pt>
                <c:pt idx="139">
                  <c:v>0.14651633438106712</c:v>
                </c:pt>
                <c:pt idx="140">
                  <c:v>0.10432195678724984</c:v>
                </c:pt>
                <c:pt idx="141">
                  <c:v>0.12683152098188505</c:v>
                </c:pt>
                <c:pt idx="142">
                  <c:v>0.1836762833700547</c:v>
                </c:pt>
                <c:pt idx="143">
                  <c:v>0.22950031622878458</c:v>
                </c:pt>
                <c:pt idx="144">
                  <c:v>0.23294783099038679</c:v>
                </c:pt>
                <c:pt idx="145">
                  <c:v>0.28488324787157804</c:v>
                </c:pt>
                <c:pt idx="146">
                  <c:v>0.23038388721578179</c:v>
                </c:pt>
                <c:pt idx="147">
                  <c:v>0.2668774246615101</c:v>
                </c:pt>
                <c:pt idx="148">
                  <c:v>0.2302496404617326</c:v>
                </c:pt>
                <c:pt idx="149">
                  <c:v>0.18306229195215096</c:v>
                </c:pt>
                <c:pt idx="150">
                  <c:v>0.16345461317728682</c:v>
                </c:pt>
                <c:pt idx="151">
                  <c:v>0.23979444425834415</c:v>
                </c:pt>
                <c:pt idx="152">
                  <c:v>0.25504038438412868</c:v>
                </c:pt>
                <c:pt idx="153">
                  <c:v>0.16050247182546937</c:v>
                </c:pt>
                <c:pt idx="154">
                  <c:v>0.2794370787374133</c:v>
                </c:pt>
                <c:pt idx="155">
                  <c:v>0.30528783316627328</c:v>
                </c:pt>
                <c:pt idx="156">
                  <c:v>0.35531710255119914</c:v>
                </c:pt>
                <c:pt idx="157">
                  <c:v>0.25573159931247197</c:v>
                </c:pt>
                <c:pt idx="158">
                  <c:v>0.22098297469743111</c:v>
                </c:pt>
                <c:pt idx="159">
                  <c:v>0.23204943954700247</c:v>
                </c:pt>
                <c:pt idx="160">
                  <c:v>0.34473223933901914</c:v>
                </c:pt>
                <c:pt idx="161">
                  <c:v>0.25591435049256445</c:v>
                </c:pt>
                <c:pt idx="162">
                  <c:v>0.17925453407654321</c:v>
                </c:pt>
                <c:pt idx="163">
                  <c:v>0.16236552202741023</c:v>
                </c:pt>
                <c:pt idx="164">
                  <c:v>0.21958440978362098</c:v>
                </c:pt>
                <c:pt idx="165">
                  <c:v>0.24607024558332255</c:v>
                </c:pt>
                <c:pt idx="166">
                  <c:v>0.19855806439155238</c:v>
                </c:pt>
                <c:pt idx="167">
                  <c:v>0.2310684668949618</c:v>
                </c:pt>
                <c:pt idx="168">
                  <c:v>0.21029679709179419</c:v>
                </c:pt>
                <c:pt idx="169">
                  <c:v>0.1475298533639032</c:v>
                </c:pt>
                <c:pt idx="170">
                  <c:v>0.22739106607938753</c:v>
                </c:pt>
                <c:pt idx="171">
                  <c:v>0.17017514854647114</c:v>
                </c:pt>
                <c:pt idx="172">
                  <c:v>0.23440982365494573</c:v>
                </c:pt>
                <c:pt idx="173">
                  <c:v>0.23698731414190438</c:v>
                </c:pt>
                <c:pt idx="174">
                  <c:v>0.22540265011607544</c:v>
                </c:pt>
                <c:pt idx="175">
                  <c:v>0.16256852801158928</c:v>
                </c:pt>
                <c:pt idx="176">
                  <c:v>0.13276832202807262</c:v>
                </c:pt>
                <c:pt idx="177">
                  <c:v>0.11695048760893702</c:v>
                </c:pt>
                <c:pt idx="178">
                  <c:v>0.106830089729282</c:v>
                </c:pt>
                <c:pt idx="179">
                  <c:v>0.10512394717620314</c:v>
                </c:pt>
                <c:pt idx="180">
                  <c:v>7.7773926996819828E-2</c:v>
                </c:pt>
                <c:pt idx="181">
                  <c:v>0.11121531958318773</c:v>
                </c:pt>
                <c:pt idx="182">
                  <c:v>8.1000597546870848E-2</c:v>
                </c:pt>
                <c:pt idx="183">
                  <c:v>0.10729484225934961</c:v>
                </c:pt>
                <c:pt idx="184">
                  <c:v>7.7248319593205036E-2</c:v>
                </c:pt>
                <c:pt idx="185">
                  <c:v>0.13496551647129121</c:v>
                </c:pt>
                <c:pt idx="186">
                  <c:v>0.17745319031926571</c:v>
                </c:pt>
                <c:pt idx="187">
                  <c:v>0.14051314255612479</c:v>
                </c:pt>
                <c:pt idx="188">
                  <c:v>9.8801344692920845E-2</c:v>
                </c:pt>
                <c:pt idx="189">
                  <c:v>4.8511445865833204E-2</c:v>
                </c:pt>
                <c:pt idx="190">
                  <c:v>6.0733001189149788E-2</c:v>
                </c:pt>
                <c:pt idx="191">
                  <c:v>5.5110951844356111E-2</c:v>
                </c:pt>
                <c:pt idx="192">
                  <c:v>3.2002266310584136E-2</c:v>
                </c:pt>
                <c:pt idx="193">
                  <c:v>0.10266309224200071</c:v>
                </c:pt>
                <c:pt idx="194">
                  <c:v>6.1612979487580904E-2</c:v>
                </c:pt>
                <c:pt idx="195">
                  <c:v>7.9088400015301652E-2</c:v>
                </c:pt>
                <c:pt idx="196">
                  <c:v>0.13672332771321805</c:v>
                </c:pt>
                <c:pt idx="197">
                  <c:v>0.15431389139647655</c:v>
                </c:pt>
                <c:pt idx="198">
                  <c:v>0.16687685128837942</c:v>
                </c:pt>
                <c:pt idx="199">
                  <c:v>0.17037933195309968</c:v>
                </c:pt>
                <c:pt idx="200">
                  <c:v>0.12535657393197325</c:v>
                </c:pt>
                <c:pt idx="201">
                  <c:v>0.15336335499909864</c:v>
                </c:pt>
                <c:pt idx="202">
                  <c:v>9.4881637571665817E-2</c:v>
                </c:pt>
                <c:pt idx="203">
                  <c:v>1.3720439446964008E-2</c:v>
                </c:pt>
                <c:pt idx="204">
                  <c:v>3.836030887882444E-2</c:v>
                </c:pt>
                <c:pt idx="205">
                  <c:v>2.4247467387266609E-2</c:v>
                </c:pt>
                <c:pt idx="206">
                  <c:v>6.5163795874397579E-2</c:v>
                </c:pt>
                <c:pt idx="207">
                  <c:v>3.9294895089144785E-2</c:v>
                </c:pt>
                <c:pt idx="208">
                  <c:v>2.4225767721296591E-2</c:v>
                </c:pt>
                <c:pt idx="209">
                  <c:v>5.7543030624605862E-2</c:v>
                </c:pt>
                <c:pt idx="210">
                  <c:v>6.6673141452674903E-2</c:v>
                </c:pt>
                <c:pt idx="211">
                  <c:v>0.13035269367804689</c:v>
                </c:pt>
                <c:pt idx="212">
                  <c:v>0.14212022299725413</c:v>
                </c:pt>
                <c:pt idx="213">
                  <c:v>0.22247148959034072</c:v>
                </c:pt>
                <c:pt idx="214">
                  <c:v>0.21703800094806297</c:v>
                </c:pt>
                <c:pt idx="215">
                  <c:v>0.12717035661924447</c:v>
                </c:pt>
                <c:pt idx="216">
                  <c:v>0.18411415115731031</c:v>
                </c:pt>
                <c:pt idx="217">
                  <c:v>0.13017201260650793</c:v>
                </c:pt>
                <c:pt idx="218">
                  <c:v>0.24222950480294217</c:v>
                </c:pt>
                <c:pt idx="219">
                  <c:v>0.26751860662811522</c:v>
                </c:pt>
                <c:pt idx="220">
                  <c:v>0.22047957670664572</c:v>
                </c:pt>
                <c:pt idx="221">
                  <c:v>0.16742051208523948</c:v>
                </c:pt>
                <c:pt idx="222">
                  <c:v>0.16320293398887364</c:v>
                </c:pt>
                <c:pt idx="223">
                  <c:v>0.14356455833531429</c:v>
                </c:pt>
                <c:pt idx="224">
                  <c:v>0.15001943323715927</c:v>
                </c:pt>
                <c:pt idx="225">
                  <c:v>0.11441331040245856</c:v>
                </c:pt>
                <c:pt idx="226">
                  <c:v>0.11469966256462825</c:v>
                </c:pt>
                <c:pt idx="227">
                  <c:v>0.20370442655253426</c:v>
                </c:pt>
                <c:pt idx="228">
                  <c:v>0.15012032063620728</c:v>
                </c:pt>
                <c:pt idx="229">
                  <c:v>0.13002177345268925</c:v>
                </c:pt>
                <c:pt idx="230">
                  <c:v>0.15973418272031992</c:v>
                </c:pt>
                <c:pt idx="231">
                  <c:v>0.13320334866631889</c:v>
                </c:pt>
                <c:pt idx="232">
                  <c:v>0.17694647434879365</c:v>
                </c:pt>
                <c:pt idx="233">
                  <c:v>0.14491095600969572</c:v>
                </c:pt>
                <c:pt idx="234">
                  <c:v>6.7201977534025376E-2</c:v>
                </c:pt>
                <c:pt idx="235">
                  <c:v>3.3415547930007679E-2</c:v>
                </c:pt>
                <c:pt idx="236">
                  <c:v>2.5092222527315754E-3</c:v>
                </c:pt>
                <c:pt idx="237">
                  <c:v>-5.6252176465420758E-2</c:v>
                </c:pt>
                <c:pt idx="238">
                  <c:v>-6.5976792427317438E-2</c:v>
                </c:pt>
                <c:pt idx="239">
                  <c:v>1.2971335082744133E-2</c:v>
                </c:pt>
                <c:pt idx="240">
                  <c:v>6.9054627889066468E-4</c:v>
                </c:pt>
                <c:pt idx="241">
                  <c:v>-2.1744651579558009E-2</c:v>
                </c:pt>
                <c:pt idx="242">
                  <c:v>-0.1623823458642415</c:v>
                </c:pt>
                <c:pt idx="243">
                  <c:v>-0.14279664314157942</c:v>
                </c:pt>
                <c:pt idx="244">
                  <c:v>-0.15154254072403936</c:v>
                </c:pt>
                <c:pt idx="245">
                  <c:v>-0.12489914536707325</c:v>
                </c:pt>
                <c:pt idx="246">
                  <c:v>-9.6643762109864251E-2</c:v>
                </c:pt>
                <c:pt idx="247">
                  <c:v>-7.2131692771562964E-2</c:v>
                </c:pt>
                <c:pt idx="248">
                  <c:v>-7.106298031530478E-2</c:v>
                </c:pt>
                <c:pt idx="249">
                  <c:v>-4.342119915424078E-2</c:v>
                </c:pt>
                <c:pt idx="250">
                  <c:v>-6.5225059839259955E-2</c:v>
                </c:pt>
                <c:pt idx="251">
                  <c:v>-0.10756253742765942</c:v>
                </c:pt>
                <c:pt idx="252">
                  <c:v>-5.9026524781595882E-2</c:v>
                </c:pt>
                <c:pt idx="253">
                  <c:v>-5.3148421801220348E-2</c:v>
                </c:pt>
                <c:pt idx="254">
                  <c:v>-6.6181428750742552E-2</c:v>
                </c:pt>
                <c:pt idx="255">
                  <c:v>-5.5123958514376736E-2</c:v>
                </c:pt>
                <c:pt idx="256">
                  <c:v>-7.3410691670172737E-2</c:v>
                </c:pt>
                <c:pt idx="257">
                  <c:v>-5.0507358017726815E-2</c:v>
                </c:pt>
                <c:pt idx="258">
                  <c:v>-2.6849444246100092E-2</c:v>
                </c:pt>
                <c:pt idx="259">
                  <c:v>3.6435650801866616E-3</c:v>
                </c:pt>
                <c:pt idx="260">
                  <c:v>-6.9453426893885247E-3</c:v>
                </c:pt>
                <c:pt idx="261">
                  <c:v>-2.3420410273043899E-2</c:v>
                </c:pt>
                <c:pt idx="262">
                  <c:v>-4.4689898145134709E-2</c:v>
                </c:pt>
                <c:pt idx="263">
                  <c:v>-3.4109810279969753E-2</c:v>
                </c:pt>
                <c:pt idx="264">
                  <c:v>-2.1643437256165184E-2</c:v>
                </c:pt>
                <c:pt idx="265">
                  <c:v>6.7871970748181104E-2</c:v>
                </c:pt>
                <c:pt idx="266">
                  <c:v>4.0461299082023387E-2</c:v>
                </c:pt>
                <c:pt idx="267">
                  <c:v>1.421975436268056E-2</c:v>
                </c:pt>
                <c:pt idx="268">
                  <c:v>4.7420280070824321E-2</c:v>
                </c:pt>
                <c:pt idx="269">
                  <c:v>2.2172777775063324E-2</c:v>
                </c:pt>
                <c:pt idx="270">
                  <c:v>-5.5320505684195991E-2</c:v>
                </c:pt>
                <c:pt idx="271">
                  <c:v>-0.14174430863756385</c:v>
                </c:pt>
                <c:pt idx="272">
                  <c:v>-0.15588314857300445</c:v>
                </c:pt>
                <c:pt idx="273">
                  <c:v>-0.21017169746408193</c:v>
                </c:pt>
                <c:pt idx="274">
                  <c:v>-0.16147017311705575</c:v>
                </c:pt>
                <c:pt idx="275">
                  <c:v>-0.16028881213727914</c:v>
                </c:pt>
                <c:pt idx="276">
                  <c:v>-0.17384100068946759</c:v>
                </c:pt>
                <c:pt idx="277">
                  <c:v>-0.15807358939870447</c:v>
                </c:pt>
                <c:pt idx="278">
                  <c:v>-0.12365979419714236</c:v>
                </c:pt>
                <c:pt idx="279">
                  <c:v>-0.13741428481056814</c:v>
                </c:pt>
                <c:pt idx="280">
                  <c:v>-0.11733484079048466</c:v>
                </c:pt>
                <c:pt idx="281">
                  <c:v>-0.19196550645047658</c:v>
                </c:pt>
                <c:pt idx="282">
                  <c:v>-0.11427273992726733</c:v>
                </c:pt>
                <c:pt idx="283">
                  <c:v>-4.4845914555389971E-2</c:v>
                </c:pt>
                <c:pt idx="284">
                  <c:v>3.7190168740946987E-2</c:v>
                </c:pt>
                <c:pt idx="285">
                  <c:v>5.5797973982868856E-2</c:v>
                </c:pt>
                <c:pt idx="286">
                  <c:v>0.12881466630051755</c:v>
                </c:pt>
                <c:pt idx="287">
                  <c:v>0.10391150271151262</c:v>
                </c:pt>
                <c:pt idx="288">
                  <c:v>0.15466256205884599</c:v>
                </c:pt>
                <c:pt idx="289">
                  <c:v>7.1120771635976604E-2</c:v>
                </c:pt>
                <c:pt idx="290">
                  <c:v>0.1288019995205778</c:v>
                </c:pt>
                <c:pt idx="291">
                  <c:v>0.10012131285302076</c:v>
                </c:pt>
                <c:pt idx="292">
                  <c:v>9.1175433016905463E-2</c:v>
                </c:pt>
                <c:pt idx="293">
                  <c:v>0.14437800032900283</c:v>
                </c:pt>
                <c:pt idx="294">
                  <c:v>0.19083778218759648</c:v>
                </c:pt>
                <c:pt idx="295">
                  <c:v>0.20027804132757737</c:v>
                </c:pt>
                <c:pt idx="296">
                  <c:v>0.31471276456793423</c:v>
                </c:pt>
                <c:pt idx="297">
                  <c:v>0.38154364169819238</c:v>
                </c:pt>
                <c:pt idx="298">
                  <c:v>0.38367798061375119</c:v>
                </c:pt>
                <c:pt idx="299">
                  <c:v>0.41997380538634166</c:v>
                </c:pt>
                <c:pt idx="300">
                  <c:v>0.35330713871967495</c:v>
                </c:pt>
                <c:pt idx="301">
                  <c:v>0.26226267317531465</c:v>
                </c:pt>
                <c:pt idx="302">
                  <c:v>0.24443667971620456</c:v>
                </c:pt>
                <c:pt idx="303">
                  <c:v>0.18105390710428587</c:v>
                </c:pt>
                <c:pt idx="304">
                  <c:v>0.14948160036115227</c:v>
                </c:pt>
                <c:pt idx="305">
                  <c:v>0.17540255004831173</c:v>
                </c:pt>
                <c:pt idx="306">
                  <c:v>0.15636709727623077</c:v>
                </c:pt>
                <c:pt idx="307">
                  <c:v>0.10089317304125395</c:v>
                </c:pt>
                <c:pt idx="308">
                  <c:v>8.53972743169399E-2</c:v>
                </c:pt>
                <c:pt idx="309">
                  <c:v>0.10605013178395672</c:v>
                </c:pt>
                <c:pt idx="310">
                  <c:v>8.5313555556848469E-2</c:v>
                </c:pt>
                <c:pt idx="311">
                  <c:v>9.7376157679214398E-2</c:v>
                </c:pt>
                <c:pt idx="312">
                  <c:v>7.1313378382779291E-2</c:v>
                </c:pt>
                <c:pt idx="313">
                  <c:v>6.643586374152427E-2</c:v>
                </c:pt>
                <c:pt idx="314">
                  <c:v>0.10852687937769048</c:v>
                </c:pt>
                <c:pt idx="315">
                  <c:v>0.15170070976392622</c:v>
                </c:pt>
                <c:pt idx="316">
                  <c:v>9.6437427549458762E-2</c:v>
                </c:pt>
                <c:pt idx="317">
                  <c:v>-3.8881854722134082E-2</c:v>
                </c:pt>
                <c:pt idx="318">
                  <c:v>-5.7680818385421023E-2</c:v>
                </c:pt>
                <c:pt idx="319">
                  <c:v>2.4201433705840002E-2</c:v>
                </c:pt>
                <c:pt idx="320">
                  <c:v>-5.6978402410141057E-2</c:v>
                </c:pt>
                <c:pt idx="321">
                  <c:v>-0.11252602460898885</c:v>
                </c:pt>
                <c:pt idx="322">
                  <c:v>-0.15886911085459715</c:v>
                </c:pt>
                <c:pt idx="323">
                  <c:v>-0.18732649526455389</c:v>
                </c:pt>
                <c:pt idx="324">
                  <c:v>-0.11896170810851978</c:v>
                </c:pt>
                <c:pt idx="325">
                  <c:v>-3.3466131946276928E-2</c:v>
                </c:pt>
                <c:pt idx="326">
                  <c:v>-8.3677870774493998E-2</c:v>
                </c:pt>
                <c:pt idx="327">
                  <c:v>2.5032722765611554E-2</c:v>
                </c:pt>
                <c:pt idx="328">
                  <c:v>2.0496331173558032E-2</c:v>
                </c:pt>
                <c:pt idx="329">
                  <c:v>4.926687292904923E-2</c:v>
                </c:pt>
                <c:pt idx="330">
                  <c:v>1.9151911017600298E-3</c:v>
                </c:pt>
                <c:pt idx="331">
                  <c:v>-1.703429728544158E-2</c:v>
                </c:pt>
                <c:pt idx="332">
                  <c:v>-7.5959945701006643E-2</c:v>
                </c:pt>
                <c:pt idx="333">
                  <c:v>-0.14775858557086338</c:v>
                </c:pt>
                <c:pt idx="334">
                  <c:v>-1.8258166959771813E-2</c:v>
                </c:pt>
                <c:pt idx="335">
                  <c:v>2.7168623357934081E-2</c:v>
                </c:pt>
                <c:pt idx="336">
                  <c:v>-7.6716208574030276E-2</c:v>
                </c:pt>
                <c:pt idx="337">
                  <c:v>-0.13397177432385568</c:v>
                </c:pt>
                <c:pt idx="338">
                  <c:v>-0.21566145216737972</c:v>
                </c:pt>
                <c:pt idx="339">
                  <c:v>-0.15554348186099395</c:v>
                </c:pt>
                <c:pt idx="340">
                  <c:v>-0.21828543726303862</c:v>
                </c:pt>
                <c:pt idx="341">
                  <c:v>-0.11580200804102887</c:v>
                </c:pt>
                <c:pt idx="342">
                  <c:v>-0.13724292852460301</c:v>
                </c:pt>
                <c:pt idx="343">
                  <c:v>-0.38540568533791264</c:v>
                </c:pt>
                <c:pt idx="344">
                  <c:v>-0.43721744965676196</c:v>
                </c:pt>
                <c:pt idx="345">
                  <c:v>-0.26538624547130896</c:v>
                </c:pt>
                <c:pt idx="346">
                  <c:v>-0.21682828153664566</c:v>
                </c:pt>
                <c:pt idx="347">
                  <c:v>-0.19052061503639281</c:v>
                </c:pt>
                <c:pt idx="348">
                  <c:v>-0.15542621271587961</c:v>
                </c:pt>
                <c:pt idx="349">
                  <c:v>-0.1812910759488551</c:v>
                </c:pt>
                <c:pt idx="350">
                  <c:v>-0.1261188137525803</c:v>
                </c:pt>
                <c:pt idx="351">
                  <c:v>-6.7709393158590245E-2</c:v>
                </c:pt>
                <c:pt idx="352">
                  <c:v>-0.13750705544703792</c:v>
                </c:pt>
                <c:pt idx="353">
                  <c:v>-0.17826898646134268</c:v>
                </c:pt>
                <c:pt idx="354">
                  <c:v>-5.6711682101652061E-2</c:v>
                </c:pt>
                <c:pt idx="355">
                  <c:v>-0.16353774475962196</c:v>
                </c:pt>
                <c:pt idx="356">
                  <c:v>-0.13439931581188688</c:v>
                </c:pt>
                <c:pt idx="357">
                  <c:v>-0.12947224955857023</c:v>
                </c:pt>
                <c:pt idx="358">
                  <c:v>-0.23080493932986798</c:v>
                </c:pt>
                <c:pt idx="359">
                  <c:v>-0.2227677460418753</c:v>
                </c:pt>
                <c:pt idx="360">
                  <c:v>-4.6564495639402993E-2</c:v>
                </c:pt>
                <c:pt idx="361">
                  <c:v>2.136286963143327E-2</c:v>
                </c:pt>
                <c:pt idx="362">
                  <c:v>5.3012904910134967E-2</c:v>
                </c:pt>
                <c:pt idx="363">
                  <c:v>-0.12213615163181771</c:v>
                </c:pt>
                <c:pt idx="364">
                  <c:v>-4.1683800647999191E-3</c:v>
                </c:pt>
                <c:pt idx="365">
                  <c:v>-0.11399107912433884</c:v>
                </c:pt>
                <c:pt idx="366">
                  <c:v>-9.2776560462624863E-2</c:v>
                </c:pt>
                <c:pt idx="367">
                  <c:v>0.21149286875368326</c:v>
                </c:pt>
                <c:pt idx="368">
                  <c:v>0.2351577443923252</c:v>
                </c:pt>
                <c:pt idx="369">
                  <c:v>0.16700296790085772</c:v>
                </c:pt>
                <c:pt idx="370">
                  <c:v>0.12114751806340224</c:v>
                </c:pt>
                <c:pt idx="371">
                  <c:v>0.16344661188467619</c:v>
                </c:pt>
                <c:pt idx="372">
                  <c:v>4.5952334688830664E-2</c:v>
                </c:pt>
                <c:pt idx="373">
                  <c:v>2.9621515374539911E-2</c:v>
                </c:pt>
                <c:pt idx="374">
                  <c:v>4.8900994871656424E-2</c:v>
                </c:pt>
                <c:pt idx="375">
                  <c:v>3.4711992107431512E-2</c:v>
                </c:pt>
                <c:pt idx="376">
                  <c:v>7.7734198922332853E-2</c:v>
                </c:pt>
                <c:pt idx="377">
                  <c:v>0.11263415631934399</c:v>
                </c:pt>
                <c:pt idx="378">
                  <c:v>-4.0180639802009283E-2</c:v>
                </c:pt>
                <c:pt idx="379">
                  <c:v>-6.3672817606978918E-2</c:v>
                </c:pt>
                <c:pt idx="380">
                  <c:v>-7.0016727433225581E-2</c:v>
                </c:pt>
                <c:pt idx="381">
                  <c:v>4.5439157680963189E-2</c:v>
                </c:pt>
                <c:pt idx="382">
                  <c:v>-2.4787980946912994E-2</c:v>
                </c:pt>
                <c:pt idx="383">
                  <c:v>-0.17654443170668599</c:v>
                </c:pt>
                <c:pt idx="384">
                  <c:v>-0.33573768441974705</c:v>
                </c:pt>
                <c:pt idx="385">
                  <c:v>-0.27766206902997664</c:v>
                </c:pt>
                <c:pt idx="386">
                  <c:v>-0.27517944138081141</c:v>
                </c:pt>
                <c:pt idx="387">
                  <c:v>-0.14064133428577036</c:v>
                </c:pt>
                <c:pt idx="388">
                  <c:v>-0.155644729167148</c:v>
                </c:pt>
                <c:pt idx="389">
                  <c:v>-3.2021804097194462E-2</c:v>
                </c:pt>
                <c:pt idx="390">
                  <c:v>-2.5623558618477774E-2</c:v>
                </c:pt>
                <c:pt idx="391">
                  <c:v>-7.0350869474409453E-2</c:v>
                </c:pt>
                <c:pt idx="392">
                  <c:v>-3.7511582119195239E-2</c:v>
                </c:pt>
                <c:pt idx="393">
                  <c:v>-9.2734099060486977E-2</c:v>
                </c:pt>
                <c:pt idx="394">
                  <c:v>-9.2535242553349453E-2</c:v>
                </c:pt>
                <c:pt idx="395">
                  <c:v>-6.8708065834909599E-2</c:v>
                </c:pt>
              </c:numCache>
            </c:numRef>
          </c:val>
          <c:smooth val="0"/>
          <c:extLst xmlns:c15="http://schemas.microsoft.com/office/drawing/2012/chart">
            <c:ext xmlns:c16="http://schemas.microsoft.com/office/drawing/2014/chart" uri="{C3380CC4-5D6E-409C-BE32-E72D297353CC}">
              <c16:uniqueId val="{00000001-1DE9-4D31-A911-7FB86615BFA7}"/>
            </c:ext>
          </c:extLst>
        </c:ser>
        <c:dLbls>
          <c:showLegendKey val="0"/>
          <c:showVal val="0"/>
          <c:showCatName val="0"/>
          <c:showSerName val="0"/>
          <c:showPercent val="0"/>
          <c:showBubbleSize val="0"/>
        </c:dLbls>
        <c:smooth val="0"/>
        <c:axId val="1218075600"/>
        <c:axId val="1218077040"/>
        <c:extLst>
          <c:ext xmlns:c15="http://schemas.microsoft.com/office/drawing/2012/chart" uri="{02D57815-91ED-43cb-92C2-25804820EDAC}">
            <c15:filteredLineSeries>
              <c15:ser>
                <c:idx val="2"/>
                <c:order val="1"/>
                <c:tx>
                  <c:v>Expectancy 50-ma</c:v>
                </c:tx>
                <c:spPr>
                  <a:ln w="28575" cap="rnd">
                    <a:solidFill>
                      <a:schemeClr val="accent3"/>
                    </a:solidFill>
                    <a:prstDash val="solid"/>
                    <a:round/>
                  </a:ln>
                  <a:effectLst/>
                </c:spPr>
                <c:marker>
                  <c:symbol val="none"/>
                </c:marker>
                <c:val>
                  <c:numRef>
                    <c:extLst>
                      <c:ext uri="{02D57815-91ED-43cb-92C2-25804820EDAC}">
                        <c15:fullRef>
                          <c15:sqref>'2025-Q2'!$BK$4:$BK$422</c15:sqref>
                        </c15:fullRef>
                        <c15:formulaRef>
                          <c15:sqref>'2025-Q2'!$BK$27:$BK$422</c15:sqref>
                        </c15:formulaRef>
                      </c:ext>
                    </c:extLst>
                    <c:numCache>
                      <c:formatCode>0.0</c:formatCode>
                      <c:ptCount val="396"/>
                      <c:pt idx="26">
                        <c:v>-0.17277545103367981</c:v>
                      </c:pt>
                      <c:pt idx="27">
                        <c:v>-0.20298687204073348</c:v>
                      </c:pt>
                      <c:pt idx="28">
                        <c:v>-0.18279189275385516</c:v>
                      </c:pt>
                      <c:pt idx="29">
                        <c:v>-0.20054643683991433</c:v>
                      </c:pt>
                      <c:pt idx="30">
                        <c:v>-0.18657499567754737</c:v>
                      </c:pt>
                      <c:pt idx="31">
                        <c:v>-0.15871912335642224</c:v>
                      </c:pt>
                      <c:pt idx="32">
                        <c:v>-0.13487652613621415</c:v>
                      </c:pt>
                      <c:pt idx="33">
                        <c:v>-0.14588140520334353</c:v>
                      </c:pt>
                      <c:pt idx="34">
                        <c:v>-0.11850252444938444</c:v>
                      </c:pt>
                      <c:pt idx="35">
                        <c:v>-0.1071897128145116</c:v>
                      </c:pt>
                      <c:pt idx="36">
                        <c:v>-8.8645683742217332E-2</c:v>
                      </c:pt>
                      <c:pt idx="37">
                        <c:v>-8.8897574669384541E-2</c:v>
                      </c:pt>
                      <c:pt idx="38">
                        <c:v>-6.6335092838762974E-2</c:v>
                      </c:pt>
                      <c:pt idx="39">
                        <c:v>-1.7162855108978123E-2</c:v>
                      </c:pt>
                      <c:pt idx="40">
                        <c:v>-1.589557525854535E-2</c:v>
                      </c:pt>
                      <c:pt idx="41">
                        <c:v>-3.4259726313360363E-2</c:v>
                      </c:pt>
                      <c:pt idx="42">
                        <c:v>-1.7959339953092325E-2</c:v>
                      </c:pt>
                      <c:pt idx="43">
                        <c:v>-2.9072935133475034E-2</c:v>
                      </c:pt>
                      <c:pt idx="44">
                        <c:v>-4.4695592972765132E-2</c:v>
                      </c:pt>
                      <c:pt idx="45">
                        <c:v>-5.1298762201552724E-2</c:v>
                      </c:pt>
                      <c:pt idx="46">
                        <c:v>-4.9672733444166735E-2</c:v>
                      </c:pt>
                      <c:pt idx="47">
                        <c:v>-4.2312030586750253E-2</c:v>
                      </c:pt>
                      <c:pt idx="48">
                        <c:v>-5.4233481298245137E-2</c:v>
                      </c:pt>
                      <c:pt idx="49">
                        <c:v>-2.8990523887478758E-2</c:v>
                      </c:pt>
                      <c:pt idx="50">
                        <c:v>-1.5547452971732696E-2</c:v>
                      </c:pt>
                      <c:pt idx="51">
                        <c:v>6.0548556169773171E-2</c:v>
                      </c:pt>
                      <c:pt idx="52">
                        <c:v>4.2168014182611645E-2</c:v>
                      </c:pt>
                      <c:pt idx="53">
                        <c:v>8.0813146091218271E-2</c:v>
                      </c:pt>
                      <c:pt idx="54">
                        <c:v>9.4598464557683754E-2</c:v>
                      </c:pt>
                      <c:pt idx="55">
                        <c:v>6.6521359785660067E-2</c:v>
                      </c:pt>
                      <c:pt idx="56">
                        <c:v>7.6652105815157731E-2</c:v>
                      </c:pt>
                      <c:pt idx="57">
                        <c:v>6.9291818758159721E-2</c:v>
                      </c:pt>
                      <c:pt idx="58">
                        <c:v>6.178572434343501E-2</c:v>
                      </c:pt>
                      <c:pt idx="59">
                        <c:v>4.7060137895381146E-2</c:v>
                      </c:pt>
                      <c:pt idx="60">
                        <c:v>5.3781117359746326E-2</c:v>
                      </c:pt>
                      <c:pt idx="61">
                        <c:v>3.3265318558831025E-2</c:v>
                      </c:pt>
                      <c:pt idx="62">
                        <c:v>3.6415952824454353E-2</c:v>
                      </c:pt>
                      <c:pt idx="63">
                        <c:v>2.1857059125895785E-2</c:v>
                      </c:pt>
                      <c:pt idx="64">
                        <c:v>1.8163328278368952E-2</c:v>
                      </c:pt>
                      <c:pt idx="65">
                        <c:v>3.4313812595594219E-2</c:v>
                      </c:pt>
                      <c:pt idx="66">
                        <c:v>6.8181677793293496E-2</c:v>
                      </c:pt>
                      <c:pt idx="67">
                        <c:v>0.10491485277399246</c:v>
                      </c:pt>
                      <c:pt idx="68">
                        <c:v>7.3099743709935161E-2</c:v>
                      </c:pt>
                      <c:pt idx="69">
                        <c:v>6.3384763801515392E-2</c:v>
                      </c:pt>
                      <c:pt idx="70">
                        <c:v>5.3527087704645468E-2</c:v>
                      </c:pt>
                      <c:pt idx="71">
                        <c:v>4.0966473470334303E-2</c:v>
                      </c:pt>
                      <c:pt idx="72">
                        <c:v>6.6837902393843823E-2</c:v>
                      </c:pt>
                      <c:pt idx="73">
                        <c:v>9.7958101892472491E-2</c:v>
                      </c:pt>
                      <c:pt idx="74">
                        <c:v>0.11235676353941518</c:v>
                      </c:pt>
                      <c:pt idx="75">
                        <c:v>0.13548583937232139</c:v>
                      </c:pt>
                      <c:pt idx="76">
                        <c:v>0.13922378932515336</c:v>
                      </c:pt>
                      <c:pt idx="77">
                        <c:v>9.5150792013416599E-2</c:v>
                      </c:pt>
                      <c:pt idx="78">
                        <c:v>0.11200951926421</c:v>
                      </c:pt>
                      <c:pt idx="79">
                        <c:v>0.10177107379983451</c:v>
                      </c:pt>
                      <c:pt idx="80">
                        <c:v>6.2773753999894655E-2</c:v>
                      </c:pt>
                      <c:pt idx="81">
                        <c:v>4.9968596688878077E-2</c:v>
                      </c:pt>
                      <c:pt idx="82">
                        <c:v>7.8722767205765432E-2</c:v>
                      </c:pt>
                      <c:pt idx="83">
                        <c:v>4.4772052605999112E-2</c:v>
                      </c:pt>
                      <c:pt idx="84">
                        <c:v>4.1548679582239069E-3</c:v>
                      </c:pt>
                      <c:pt idx="85">
                        <c:v>-7.8811903881653572E-3</c:v>
                      </c:pt>
                      <c:pt idx="86">
                        <c:v>-2.8797623001833212E-2</c:v>
                      </c:pt>
                      <c:pt idx="87">
                        <c:v>-5.1283212394352705E-2</c:v>
                      </c:pt>
                      <c:pt idx="88">
                        <c:v>-9.8859673576567178E-2</c:v>
                      </c:pt>
                      <c:pt idx="89">
                        <c:v>-0.10903734217705548</c:v>
                      </c:pt>
                      <c:pt idx="90">
                        <c:v>-9.1308285594989588E-2</c:v>
                      </c:pt>
                      <c:pt idx="91">
                        <c:v>-0.10482174313708346</c:v>
                      </c:pt>
                      <c:pt idx="92">
                        <c:v>-7.3219901803038029E-2</c:v>
                      </c:pt>
                      <c:pt idx="93">
                        <c:v>-4.69252163486297E-2</c:v>
                      </c:pt>
                      <c:pt idx="94">
                        <c:v>-4.1733081704563454E-2</c:v>
                      </c:pt>
                      <c:pt idx="95">
                        <c:v>-3.1082840140951539E-2</c:v>
                      </c:pt>
                      <c:pt idx="96">
                        <c:v>-5.3017153417414045E-2</c:v>
                      </c:pt>
                      <c:pt idx="97">
                        <c:v>-3.7652076367731623E-2</c:v>
                      </c:pt>
                      <c:pt idx="98">
                        <c:v>-6.8060575081134264E-2</c:v>
                      </c:pt>
                      <c:pt idx="99">
                        <c:v>-8.5106719217022966E-2</c:v>
                      </c:pt>
                      <c:pt idx="100">
                        <c:v>-0.10880395227052528</c:v>
                      </c:pt>
                      <c:pt idx="101">
                        <c:v>-7.3652260821631316E-2</c:v>
                      </c:pt>
                      <c:pt idx="102">
                        <c:v>-9.6444109653823343E-2</c:v>
                      </c:pt>
                      <c:pt idx="103">
                        <c:v>-8.2433163588492439E-2</c:v>
                      </c:pt>
                      <c:pt idx="104">
                        <c:v>-7.615332672683571E-2</c:v>
                      </c:pt>
                      <c:pt idx="105">
                        <c:v>-7.0768090998734198E-2</c:v>
                      </c:pt>
                      <c:pt idx="106">
                        <c:v>-8.1700277453754175E-2</c:v>
                      </c:pt>
                      <c:pt idx="107">
                        <c:v>-7.5243957396048028E-2</c:v>
                      </c:pt>
                      <c:pt idx="108">
                        <c:v>-6.5474083843407457E-2</c:v>
                      </c:pt>
                      <c:pt idx="109">
                        <c:v>-6.349514970951993E-2</c:v>
                      </c:pt>
                      <c:pt idx="110">
                        <c:v>-7.0693659012129647E-3</c:v>
                      </c:pt>
                      <c:pt idx="111">
                        <c:v>6.2811592379156079E-3</c:v>
                      </c:pt>
                      <c:pt idx="112">
                        <c:v>2.3602997766363858E-2</c:v>
                      </c:pt>
                      <c:pt idx="113">
                        <c:v>2.7143911422352493E-2</c:v>
                      </c:pt>
                      <c:pt idx="114">
                        <c:v>2.839977540598837E-3</c:v>
                      </c:pt>
                      <c:pt idx="115">
                        <c:v>1.2370673405351145E-2</c:v>
                      </c:pt>
                      <c:pt idx="116">
                        <c:v>-9.9775331257693847E-3</c:v>
                      </c:pt>
                      <c:pt idx="117">
                        <c:v>-8.3966242278496542E-3</c:v>
                      </c:pt>
                      <c:pt idx="118">
                        <c:v>-2.2936442968439611E-2</c:v>
                      </c:pt>
                      <c:pt idx="119">
                        <c:v>-3.1270501219517063E-2</c:v>
                      </c:pt>
                      <c:pt idx="120">
                        <c:v>-2.5898825761543474E-2</c:v>
                      </c:pt>
                      <c:pt idx="121">
                        <c:v>-2.8829617808479879E-2</c:v>
                      </c:pt>
                      <c:pt idx="122">
                        <c:v>-3.9292667839830649E-3</c:v>
                      </c:pt>
                      <c:pt idx="123">
                        <c:v>-1.683842568531177E-2</c:v>
                      </c:pt>
                      <c:pt idx="124">
                        <c:v>-2.061474388250293E-2</c:v>
                      </c:pt>
                      <c:pt idx="125">
                        <c:v>1.5766694522434177E-2</c:v>
                      </c:pt>
                      <c:pt idx="126">
                        <c:v>6.1016041648161823E-2</c:v>
                      </c:pt>
                      <c:pt idx="127">
                        <c:v>6.5406034056514475E-2</c:v>
                      </c:pt>
                      <c:pt idx="128">
                        <c:v>8.8401577738829576E-2</c:v>
                      </c:pt>
                      <c:pt idx="129">
                        <c:v>0.1610009919254233</c:v>
                      </c:pt>
                      <c:pt idx="130">
                        <c:v>0.12819048794852414</c:v>
                      </c:pt>
                      <c:pt idx="131">
                        <c:v>0.10608182127130737</c:v>
                      </c:pt>
                      <c:pt idx="132">
                        <c:v>8.7804254777217192E-2</c:v>
                      </c:pt>
                      <c:pt idx="133">
                        <c:v>0.15514312106253078</c:v>
                      </c:pt>
                      <c:pt idx="134">
                        <c:v>0.15467833618295632</c:v>
                      </c:pt>
                      <c:pt idx="135">
                        <c:v>0.17426844729131871</c:v>
                      </c:pt>
                      <c:pt idx="136">
                        <c:v>0.1230798383122476</c:v>
                      </c:pt>
                      <c:pt idx="137">
                        <c:v>0.1308777758684814</c:v>
                      </c:pt>
                      <c:pt idx="138">
                        <c:v>0.14383597522903696</c:v>
                      </c:pt>
                      <c:pt idx="139">
                        <c:v>0.13790052345910478</c:v>
                      </c:pt>
                      <c:pt idx="140">
                        <c:v>0.10850167486793136</c:v>
                      </c:pt>
                      <c:pt idx="141">
                        <c:v>9.2944469877806593E-2</c:v>
                      </c:pt>
                      <c:pt idx="142">
                        <c:v>0.10278027933649084</c:v>
                      </c:pt>
                      <c:pt idx="143">
                        <c:v>9.2435794498806595E-2</c:v>
                      </c:pt>
                      <c:pt idx="144">
                        <c:v>6.6306240732981706E-2</c:v>
                      </c:pt>
                      <c:pt idx="145">
                        <c:v>9.9984805460619053E-2</c:v>
                      </c:pt>
                      <c:pt idx="146">
                        <c:v>9.5358521754521211E-2</c:v>
                      </c:pt>
                      <c:pt idx="147">
                        <c:v>0.11214049409378334</c:v>
                      </c:pt>
                      <c:pt idx="148">
                        <c:v>0.10343852239658419</c:v>
                      </c:pt>
                      <c:pt idx="149">
                        <c:v>0.1096676450930847</c:v>
                      </c:pt>
                      <c:pt idx="150">
                        <c:v>9.5049070562101226E-2</c:v>
                      </c:pt>
                      <c:pt idx="151">
                        <c:v>0.12387117162478922</c:v>
                      </c:pt>
                      <c:pt idx="152">
                        <c:v>0.14578304520849997</c:v>
                      </c:pt>
                      <c:pt idx="153">
                        <c:v>0.16006362136585778</c:v>
                      </c:pt>
                      <c:pt idx="154">
                        <c:v>0.18170459861581889</c:v>
                      </c:pt>
                      <c:pt idx="155">
                        <c:v>0.19564394884925881</c:v>
                      </c:pt>
                      <c:pt idx="156">
                        <c:v>0.21753609893215561</c:v>
                      </c:pt>
                      <c:pt idx="157">
                        <c:v>0.21269886914342692</c:v>
                      </c:pt>
                      <c:pt idx="158">
                        <c:v>0.21586686018141538</c:v>
                      </c:pt>
                      <c:pt idx="159">
                        <c:v>0.21060939145090229</c:v>
                      </c:pt>
                      <c:pt idx="160">
                        <c:v>0.21211861766577608</c:v>
                      </c:pt>
                      <c:pt idx="161">
                        <c:v>0.17319433473852558</c:v>
                      </c:pt>
                      <c:pt idx="162">
                        <c:v>0.15271126752281114</c:v>
                      </c:pt>
                      <c:pt idx="163">
                        <c:v>0.15762241771978461</c:v>
                      </c:pt>
                      <c:pt idx="164">
                        <c:v>0.16368388595071756</c:v>
                      </c:pt>
                      <c:pt idx="165">
                        <c:v>0.1836649799534493</c:v>
                      </c:pt>
                      <c:pt idx="166">
                        <c:v>0.18209459651952392</c:v>
                      </c:pt>
                      <c:pt idx="167">
                        <c:v>0.20479395389845101</c:v>
                      </c:pt>
                      <c:pt idx="168">
                        <c:v>0.21422973742011409</c:v>
                      </c:pt>
                      <c:pt idx="169">
                        <c:v>0.21522309579881202</c:v>
                      </c:pt>
                      <c:pt idx="170">
                        <c:v>0.25568576103353235</c:v>
                      </c:pt>
                      <c:pt idx="171">
                        <c:v>0.20966960383426436</c:v>
                      </c:pt>
                      <c:pt idx="172">
                        <c:v>0.22105028755852188</c:v>
                      </c:pt>
                      <c:pt idx="173">
                        <c:v>0.23350965153187617</c:v>
                      </c:pt>
                      <c:pt idx="174">
                        <c:v>0.21462578670560289</c:v>
                      </c:pt>
                      <c:pt idx="175">
                        <c:v>0.19638326219397773</c:v>
                      </c:pt>
                      <c:pt idx="176">
                        <c:v>0.21651464732374776</c:v>
                      </c:pt>
                      <c:pt idx="177">
                        <c:v>0.18713132020125162</c:v>
                      </c:pt>
                      <c:pt idx="178">
                        <c:v>0.15981989340639818</c:v>
                      </c:pt>
                      <c:pt idx="179">
                        <c:v>0.19829560673249375</c:v>
                      </c:pt>
                      <c:pt idx="180">
                        <c:v>0.2021860963665339</c:v>
                      </c:pt>
                      <c:pt idx="181">
                        <c:v>0.22351280657694678</c:v>
                      </c:pt>
                      <c:pt idx="182">
                        <c:v>0.16214938723791106</c:v>
                      </c:pt>
                      <c:pt idx="183">
                        <c:v>0.17836572194402397</c:v>
                      </c:pt>
                      <c:pt idx="184">
                        <c:v>0.16590912348828152</c:v>
                      </c:pt>
                      <c:pt idx="185">
                        <c:v>0.20772731606634007</c:v>
                      </c:pt>
                      <c:pt idx="186">
                        <c:v>0.19994293548326206</c:v>
                      </c:pt>
                      <c:pt idx="187">
                        <c:v>0.15797823878540465</c:v>
                      </c:pt>
                      <c:pt idx="188">
                        <c:v>0.13982639110664444</c:v>
                      </c:pt>
                      <c:pt idx="189">
                        <c:v>0.15575972449274098</c:v>
                      </c:pt>
                      <c:pt idx="190">
                        <c:v>0.14904533662315628</c:v>
                      </c:pt>
                      <c:pt idx="191">
                        <c:v>0.14051128813560174</c:v>
                      </c:pt>
                      <c:pt idx="192">
                        <c:v>0.11548071246101382</c:v>
                      </c:pt>
                      <c:pt idx="193">
                        <c:v>0.15008072642461898</c:v>
                      </c:pt>
                      <c:pt idx="194">
                        <c:v>0.14405062684153377</c:v>
                      </c:pt>
                      <c:pt idx="195">
                        <c:v>0.13402186023402429</c:v>
                      </c:pt>
                      <c:pt idx="196">
                        <c:v>0.15597323908437585</c:v>
                      </c:pt>
                      <c:pt idx="197">
                        <c:v>0.19554177699924813</c:v>
                      </c:pt>
                      <c:pt idx="198">
                        <c:v>0.20653306637371713</c:v>
                      </c:pt>
                      <c:pt idx="199">
                        <c:v>0.19984562158188413</c:v>
                      </c:pt>
                      <c:pt idx="200">
                        <c:v>0.15929571216056232</c:v>
                      </c:pt>
                      <c:pt idx="201">
                        <c:v>0.1362928055087366</c:v>
                      </c:pt>
                      <c:pt idx="202">
                        <c:v>0.12700947627949641</c:v>
                      </c:pt>
                      <c:pt idx="203">
                        <c:v>6.5437287087269091E-2</c:v>
                      </c:pt>
                      <c:pt idx="204">
                        <c:v>6.8722334222809517E-2</c:v>
                      </c:pt>
                      <c:pt idx="205">
                        <c:v>5.7977988994980516E-2</c:v>
                      </c:pt>
                      <c:pt idx="206">
                        <c:v>6.6865485518873863E-2</c:v>
                      </c:pt>
                      <c:pt idx="207">
                        <c:v>8.7521682139880805E-2</c:v>
                      </c:pt>
                      <c:pt idx="208">
                        <c:v>6.1997287575428571E-2</c:v>
                      </c:pt>
                      <c:pt idx="209">
                        <c:v>6.4132711709133441E-2</c:v>
                      </c:pt>
                      <c:pt idx="210">
                        <c:v>0.10532233096331728</c:v>
                      </c:pt>
                      <c:pt idx="211">
                        <c:v>0.13352731858615649</c:v>
                      </c:pt>
                      <c:pt idx="212">
                        <c:v>0.12970374159156636</c:v>
                      </c:pt>
                      <c:pt idx="213">
                        <c:v>0.15720326439610083</c:v>
                      </c:pt>
                      <c:pt idx="214">
                        <c:v>0.1345292143055265</c:v>
                      </c:pt>
                      <c:pt idx="215">
                        <c:v>0.10481743424944778</c:v>
                      </c:pt>
                      <c:pt idx="216">
                        <c:v>9.2003554592188092E-2</c:v>
                      </c:pt>
                      <c:pt idx="217">
                        <c:v>0.11001833418197585</c:v>
                      </c:pt>
                      <c:pt idx="218">
                        <c:v>0.19140045256105323</c:v>
                      </c:pt>
                      <c:pt idx="219">
                        <c:v>0.15408563050838814</c:v>
                      </c:pt>
                      <c:pt idx="220">
                        <c:v>0.18112545316446316</c:v>
                      </c:pt>
                      <c:pt idx="221">
                        <c:v>0.16204712121439499</c:v>
                      </c:pt>
                      <c:pt idx="222">
                        <c:v>0.16964087629720179</c:v>
                      </c:pt>
                      <c:pt idx="223">
                        <c:v>0.15892657569150356</c:v>
                      </c:pt>
                      <c:pt idx="224">
                        <c:v>0.15302116477334732</c:v>
                      </c:pt>
                      <c:pt idx="225">
                        <c:v>0.12711529969592955</c:v>
                      </c:pt>
                      <c:pt idx="226">
                        <c:v>0.12588406375734201</c:v>
                      </c:pt>
                      <c:pt idx="227">
                        <c:v>0.11387445549889524</c:v>
                      </c:pt>
                      <c:pt idx="228">
                        <c:v>9.1220520952811593E-2</c:v>
                      </c:pt>
                      <c:pt idx="229">
                        <c:v>8.4101912222915229E-2</c:v>
                      </c:pt>
                      <c:pt idx="230">
                        <c:v>9.1124917087439958E-2</c:v>
                      </c:pt>
                      <c:pt idx="231">
                        <c:v>0.11362305769960482</c:v>
                      </c:pt>
                      <c:pt idx="232">
                        <c:v>9.6823103620150591E-2</c:v>
                      </c:pt>
                      <c:pt idx="233">
                        <c:v>9.7964029917378778E-2</c:v>
                      </c:pt>
                      <c:pt idx="234">
                        <c:v>7.1440561494684363E-2</c:v>
                      </c:pt>
                      <c:pt idx="235">
                        <c:v>6.1508497391527472E-2</c:v>
                      </c:pt>
                      <c:pt idx="236">
                        <c:v>6.0701781439869755E-2</c:v>
                      </c:pt>
                      <c:pt idx="237">
                        <c:v>7.9676503816930019E-2</c:v>
                      </c:pt>
                      <c:pt idx="238">
                        <c:v>7.7285095158951198E-2</c:v>
                      </c:pt>
                      <c:pt idx="239">
                        <c:v>8.0936601196244948E-2</c:v>
                      </c:pt>
                      <c:pt idx="240">
                        <c:v>6.4793351809455363E-2</c:v>
                      </c:pt>
                      <c:pt idx="241">
                        <c:v>8.3144875236904781E-2</c:v>
                      </c:pt>
                      <c:pt idx="242">
                        <c:v>5.8877733507932142E-2</c:v>
                      </c:pt>
                      <c:pt idx="243">
                        <c:v>5.1880819193807992E-2</c:v>
                      </c:pt>
                      <c:pt idx="244">
                        <c:v>6.5809982794792637E-2</c:v>
                      </c:pt>
                      <c:pt idx="245">
                        <c:v>3.1235884674249342E-2</c:v>
                      </c:pt>
                      <c:pt idx="246">
                        <c:v>4.4162049544031384E-2</c:v>
                      </c:pt>
                      <c:pt idx="247">
                        <c:v>3.9422303661532362E-2</c:v>
                      </c:pt>
                      <c:pt idx="248">
                        <c:v>3.2300008639145082E-2</c:v>
                      </c:pt>
                      <c:pt idx="249">
                        <c:v>4.2726413152822537E-2</c:v>
                      </c:pt>
                      <c:pt idx="250">
                        <c:v>1.658985633816272E-2</c:v>
                      </c:pt>
                      <c:pt idx="251">
                        <c:v>1.2652367999232616E-2</c:v>
                      </c:pt>
                      <c:pt idx="252">
                        <c:v>5.4847038838531648E-2</c:v>
                      </c:pt>
                      <c:pt idx="253">
                        <c:v>3.8347546882892838E-2</c:v>
                      </c:pt>
                      <c:pt idx="254">
                        <c:v>4.5910469018435374E-2</c:v>
                      </c:pt>
                      <c:pt idx="255">
                        <c:v>5.3479180505217661E-2</c:v>
                      </c:pt>
                      <c:pt idx="256">
                        <c:v>4.047031024049183E-2</c:v>
                      </c:pt>
                      <c:pt idx="257">
                        <c:v>6.059746704786708E-2</c:v>
                      </c:pt>
                      <c:pt idx="258">
                        <c:v>2.9244324059331389E-2</c:v>
                      </c:pt>
                      <c:pt idx="259">
                        <c:v>2.9993709205283353E-2</c:v>
                      </c:pt>
                      <c:pt idx="260">
                        <c:v>-7.9472367438479449E-3</c:v>
                      </c:pt>
                      <c:pt idx="261">
                        <c:v>-3.0938128182189926E-3</c:v>
                      </c:pt>
                      <c:pt idx="262">
                        <c:v>-5.6295598708786511E-2</c:v>
                      </c:pt>
                      <c:pt idx="263">
                        <c:v>-4.463730441777141E-2</c:v>
                      </c:pt>
                      <c:pt idx="264">
                        <c:v>-9.6135451282494695E-3</c:v>
                      </c:pt>
                      <c:pt idx="265">
                        <c:v>2.5023785032340165E-2</c:v>
                      </c:pt>
                      <c:pt idx="266">
                        <c:v>1.4022376745689869E-2</c:v>
                      </c:pt>
                      <c:pt idx="267">
                        <c:v>-6.2124056026322802E-2</c:v>
                      </c:pt>
                      <c:pt idx="268">
                        <c:v>-4.4239180483852822E-2</c:v>
                      </c:pt>
                      <c:pt idx="269">
                        <c:v>-6.7917514791541858E-2</c:v>
                      </c:pt>
                      <c:pt idx="270">
                        <c:v>-6.7208459340686352E-2</c:v>
                      </c:pt>
                      <c:pt idx="271">
                        <c:v>-0.11305131765168638</c:v>
                      </c:pt>
                      <c:pt idx="272">
                        <c:v>-0.11742384481501428</c:v>
                      </c:pt>
                      <c:pt idx="273">
                        <c:v>-0.13736915219779808</c:v>
                      </c:pt>
                      <c:pt idx="274">
                        <c:v>-0.12135188542159443</c:v>
                      </c:pt>
                      <c:pt idx="275">
                        <c:v>-0.12484186935172108</c:v>
                      </c:pt>
                      <c:pt idx="276">
                        <c:v>-0.13392567478246928</c:v>
                      </c:pt>
                      <c:pt idx="277">
                        <c:v>-0.11574940813456305</c:v>
                      </c:pt>
                      <c:pt idx="278">
                        <c:v>-8.0930314806480441E-2</c:v>
                      </c:pt>
                      <c:pt idx="279">
                        <c:v>-9.5095053260226367E-2</c:v>
                      </c:pt>
                      <c:pt idx="280">
                        <c:v>-8.4798784487909951E-2</c:v>
                      </c:pt>
                      <c:pt idx="281">
                        <c:v>-0.12385852335176803</c:v>
                      </c:pt>
                      <c:pt idx="282">
                        <c:v>-0.10034752390915014</c:v>
                      </c:pt>
                      <c:pt idx="283">
                        <c:v>-2.603023683942432E-2</c:v>
                      </c:pt>
                      <c:pt idx="284">
                        <c:v>-6.05992633837829E-3</c:v>
                      </c:pt>
                      <c:pt idx="285">
                        <c:v>2.3550563046849646E-2</c:v>
                      </c:pt>
                      <c:pt idx="286">
                        <c:v>3.6237822674182636E-2</c:v>
                      </c:pt>
                      <c:pt idx="287">
                        <c:v>4.0306843151643609E-2</c:v>
                      </c:pt>
                      <c:pt idx="288">
                        <c:v>6.1232068359801453E-2</c:v>
                      </c:pt>
                      <c:pt idx="289">
                        <c:v>6.0238897710883137E-2</c:v>
                      </c:pt>
                      <c:pt idx="290">
                        <c:v>8.929570229575777E-2</c:v>
                      </c:pt>
                      <c:pt idx="291">
                        <c:v>6.9127773332308309E-2</c:v>
                      </c:pt>
                      <c:pt idx="292">
                        <c:v>7.2746857595389611E-2</c:v>
                      </c:pt>
                      <c:pt idx="293">
                        <c:v>8.0042755734979251E-2</c:v>
                      </c:pt>
                      <c:pt idx="294">
                        <c:v>9.0660004436648511E-2</c:v>
                      </c:pt>
                      <c:pt idx="295">
                        <c:v>3.5409584067034421E-2</c:v>
                      </c:pt>
                      <c:pt idx="296">
                        <c:v>7.5998383854734328E-2</c:v>
                      </c:pt>
                      <c:pt idx="297">
                        <c:v>8.8934158808950517E-2</c:v>
                      </c:pt>
                      <c:pt idx="298">
                        <c:v>9.2197704462401553E-2</c:v>
                      </c:pt>
                      <c:pt idx="299">
                        <c:v>0.11775756326107974</c:v>
                      </c:pt>
                      <c:pt idx="300">
                        <c:v>9.6509163291197908E-2</c:v>
                      </c:pt>
                      <c:pt idx="301">
                        <c:v>4.4895190843892221E-2</c:v>
                      </c:pt>
                      <c:pt idx="302">
                        <c:v>6.7862235952232022E-2</c:v>
                      </c:pt>
                      <c:pt idx="303">
                        <c:v>2.8522614667287841E-2</c:v>
                      </c:pt>
                      <c:pt idx="304">
                        <c:v>1.7503994949854551E-2</c:v>
                      </c:pt>
                      <c:pt idx="305">
                        <c:v>5.4809750747420339E-4</c:v>
                      </c:pt>
                      <c:pt idx="306">
                        <c:v>3.0897037378286641E-3</c:v>
                      </c:pt>
                      <c:pt idx="307">
                        <c:v>3.7841071804252696E-2</c:v>
                      </c:pt>
                      <c:pt idx="308">
                        <c:v>3.4816928279998327E-2</c:v>
                      </c:pt>
                      <c:pt idx="309">
                        <c:v>8.0048300283522278E-2</c:v>
                      </c:pt>
                      <c:pt idx="310">
                        <c:v>9.0604805589128826E-2</c:v>
                      </c:pt>
                      <c:pt idx="311">
                        <c:v>0.11133987106381817</c:v>
                      </c:pt>
                      <c:pt idx="312">
                        <c:v>0.11394366269117598</c:v>
                      </c:pt>
                      <c:pt idx="313">
                        <c:v>0.10427854820972787</c:v>
                      </c:pt>
                      <c:pt idx="314">
                        <c:v>0.10962315661051246</c:v>
                      </c:pt>
                      <c:pt idx="315">
                        <c:v>0.12474747867325973</c:v>
                      </c:pt>
                      <c:pt idx="316">
                        <c:v>0.11385569418877871</c:v>
                      </c:pt>
                      <c:pt idx="317">
                        <c:v>3.6891688338500046E-2</c:v>
                      </c:pt>
                      <c:pt idx="318">
                        <c:v>5.0733206356406345E-2</c:v>
                      </c:pt>
                      <c:pt idx="319">
                        <c:v>7.5170553762052422E-2</c:v>
                      </c:pt>
                      <c:pt idx="320">
                        <c:v>0.11838133696844572</c:v>
                      </c:pt>
                      <c:pt idx="321">
                        <c:v>0.11061272079095832</c:v>
                      </c:pt>
                      <c:pt idx="322">
                        <c:v>0.11784899776714393</c:v>
                      </c:pt>
                      <c:pt idx="323">
                        <c:v>0.10482940218733067</c:v>
                      </c:pt>
                      <c:pt idx="324">
                        <c:v>0.1171727153055776</c:v>
                      </c:pt>
                      <c:pt idx="325">
                        <c:v>0.11508262521548755</c:v>
                      </c:pt>
                      <c:pt idx="326">
                        <c:v>0.10506009526433725</c:v>
                      </c:pt>
                      <c:pt idx="327">
                        <c:v>0.1028688731486648</c:v>
                      </c:pt>
                      <c:pt idx="328">
                        <c:v>9.6459302941917638E-2</c:v>
                      </c:pt>
                      <c:pt idx="329">
                        <c:v>8.3848954367241144E-2</c:v>
                      </c:pt>
                      <c:pt idx="330">
                        <c:v>0.10003005251394698</c:v>
                      </c:pt>
                      <c:pt idx="331">
                        <c:v>8.6460293125165566E-2</c:v>
                      </c:pt>
                      <c:pt idx="332">
                        <c:v>1.9259912707189991E-2</c:v>
                      </c:pt>
                      <c:pt idx="333">
                        <c:v>-1.2426076872382907E-2</c:v>
                      </c:pt>
                      <c:pt idx="334">
                        <c:v>5.3576735117808492E-2</c:v>
                      </c:pt>
                      <c:pt idx="335">
                        <c:v>6.0516849592526435E-2</c:v>
                      </c:pt>
                      <c:pt idx="336">
                        <c:v>2.362980704840453E-2</c:v>
                      </c:pt>
                      <c:pt idx="337">
                        <c:v>-4.0038619981622968E-2</c:v>
                      </c:pt>
                      <c:pt idx="338">
                        <c:v>-3.3767955291165705E-2</c:v>
                      </c:pt>
                      <c:pt idx="339">
                        <c:v>-1.7425262017526144E-2</c:v>
                      </c:pt>
                      <c:pt idx="340">
                        <c:v>-4.5347680869250978E-2</c:v>
                      </c:pt>
                      <c:pt idx="341">
                        <c:v>-6.6597032190467115E-2</c:v>
                      </c:pt>
                      <c:pt idx="342">
                        <c:v>-9.0077258070396585E-2</c:v>
                      </c:pt>
                      <c:pt idx="343">
                        <c:v>-0.21295118000070215</c:v>
                      </c:pt>
                      <c:pt idx="344">
                        <c:v>-0.20036640852372392</c:v>
                      </c:pt>
                      <c:pt idx="345">
                        <c:v>-0.17943678422866327</c:v>
                      </c:pt>
                      <c:pt idx="346">
                        <c:v>-0.18133696385027509</c:v>
                      </c:pt>
                      <c:pt idx="347">
                        <c:v>-0.18226989563774132</c:v>
                      </c:pt>
                      <c:pt idx="348">
                        <c:v>-0.17052729374553305</c:v>
                      </c:pt>
                      <c:pt idx="349">
                        <c:v>-0.1522164821187775</c:v>
                      </c:pt>
                      <c:pt idx="350">
                        <c:v>-8.9130648199610224E-2</c:v>
                      </c:pt>
                      <c:pt idx="351">
                        <c:v>-5.3204163288732606E-2</c:v>
                      </c:pt>
                      <c:pt idx="352">
                        <c:v>-6.2821178333744246E-2</c:v>
                      </c:pt>
                      <c:pt idx="353">
                        <c:v>-8.0026339044006314E-2</c:v>
                      </c:pt>
                      <c:pt idx="354">
                        <c:v>-1.6027063561034928E-2</c:v>
                      </c:pt>
                      <c:pt idx="355">
                        <c:v>-7.34921278927608E-2</c:v>
                      </c:pt>
                      <c:pt idx="356">
                        <c:v>-9.8386331719380424E-2</c:v>
                      </c:pt>
                      <c:pt idx="357">
                        <c:v>-0.11986083881013798</c:v>
                      </c:pt>
                      <c:pt idx="358">
                        <c:v>-0.11485080043910387</c:v>
                      </c:pt>
                      <c:pt idx="359">
                        <c:v>-9.3523801206835455E-2</c:v>
                      </c:pt>
                      <c:pt idx="360">
                        <c:v>-4.8340519610904166E-2</c:v>
                      </c:pt>
                      <c:pt idx="361">
                        <c:v>-6.501387435729597E-2</c:v>
                      </c:pt>
                      <c:pt idx="362">
                        <c:v>-4.0479434706860357E-2</c:v>
                      </c:pt>
                      <c:pt idx="363">
                        <c:v>-0.13275677752228024</c:v>
                      </c:pt>
                      <c:pt idx="364">
                        <c:v>-0.12328222578361406</c:v>
                      </c:pt>
                      <c:pt idx="365">
                        <c:v>-0.17181128552736591</c:v>
                      </c:pt>
                      <c:pt idx="366">
                        <c:v>-0.11702461094064198</c:v>
                      </c:pt>
                      <c:pt idx="367">
                        <c:v>-7.8364336431150011E-2</c:v>
                      </c:pt>
                      <c:pt idx="368">
                        <c:v>-9.4888253180481358E-2</c:v>
                      </c:pt>
                      <c:pt idx="369">
                        <c:v>-6.7446099073163873E-2</c:v>
                      </c:pt>
                      <c:pt idx="370">
                        <c:v>-6.4500192514079555E-2</c:v>
                      </c:pt>
                      <c:pt idx="371">
                        <c:v>-2.1112034268104658E-2</c:v>
                      </c:pt>
                      <c:pt idx="372">
                        <c:v>-5.3887878768840769E-2</c:v>
                      </c:pt>
                      <c:pt idx="373">
                        <c:v>-7.7924870377247657E-2</c:v>
                      </c:pt>
                      <c:pt idx="374">
                        <c:v>-4.7947084790643545E-2</c:v>
                      </c:pt>
                      <c:pt idx="375">
                        <c:v>5.9907681522301456E-3</c:v>
                      </c:pt>
                      <c:pt idx="376">
                        <c:v>-3.6470440255383603E-2</c:v>
                      </c:pt>
                      <c:pt idx="377">
                        <c:v>-3.3957426471113335E-2</c:v>
                      </c:pt>
                      <c:pt idx="378">
                        <c:v>-6.0750819926564184E-2</c:v>
                      </c:pt>
                      <c:pt idx="379">
                        <c:v>-0.10628613224713028</c:v>
                      </c:pt>
                      <c:pt idx="380">
                        <c:v>-0.12487754679327243</c:v>
                      </c:pt>
                      <c:pt idx="381">
                        <c:v>-5.9161287119153055E-2</c:v>
                      </c:pt>
                      <c:pt idx="382">
                        <c:v>-5.3365498127128673E-2</c:v>
                      </c:pt>
                      <c:pt idx="383">
                        <c:v>-0.17266693358029253</c:v>
                      </c:pt>
                      <c:pt idx="384">
                        <c:v>-0.22979367349974475</c:v>
                      </c:pt>
                      <c:pt idx="385">
                        <c:v>-0.16548680458526918</c:v>
                      </c:pt>
                      <c:pt idx="386">
                        <c:v>-0.11108326823533822</c:v>
                      </c:pt>
                      <c:pt idx="387">
                        <c:v>-9.5246718581475556E-2</c:v>
                      </c:pt>
                      <c:pt idx="388">
                        <c:v>-0.12333284943669107</c:v>
                      </c:pt>
                      <c:pt idx="389">
                        <c:v>-7.8679468944443831E-2</c:v>
                      </c:pt>
                      <c:pt idx="390">
                        <c:v>-7.1935386229366433E-2</c:v>
                      </c:pt>
                      <c:pt idx="391">
                        <c:v>-4.4918306906053224E-2</c:v>
                      </c:pt>
                      <c:pt idx="392">
                        <c:v>7.905879842887735E-2</c:v>
                      </c:pt>
                      <c:pt idx="393">
                        <c:v>0.10479557622497362</c:v>
                      </c:pt>
                      <c:pt idx="394">
                        <c:v>2.1925308944900194E-2</c:v>
                      </c:pt>
                      <c:pt idx="395">
                        <c:v>5.2948073582763371E-2</c:v>
                      </c:pt>
                    </c:numCache>
                  </c:numRef>
                </c:val>
                <c:smooth val="0"/>
                <c:extLst>
                  <c:ext xmlns:c16="http://schemas.microsoft.com/office/drawing/2014/chart" uri="{C3380CC4-5D6E-409C-BE32-E72D297353CC}">
                    <c16:uniqueId val="{00000004-1DE9-4D31-A911-7FB86615BFA7}"/>
                  </c:ext>
                </c:extLst>
              </c15:ser>
            </c15:filteredLineSeries>
            <c15:filteredLineSeries>
              <c15:ser>
                <c:idx val="0"/>
                <c:order val="2"/>
                <c:tx>
                  <c:v>Overall Expectancy</c:v>
                </c:tx>
                <c:spPr>
                  <a:ln w="19050" cap="rnd">
                    <a:solidFill>
                      <a:schemeClr val="tx1"/>
                    </a:solidFill>
                    <a:round/>
                  </a:ln>
                  <a:effectLst/>
                </c:spPr>
                <c:marker>
                  <c:symbol val="none"/>
                </c:marker>
                <c:val>
                  <c:numRef>
                    <c:extLst>
                      <c:ext xmlns:c15="http://schemas.microsoft.com/office/drawing/2012/chart" uri="{02D57815-91ED-43cb-92C2-25804820EDAC}">
                        <c15:fullRef>
                          <c15:sqref>'2025-Q2'!$BM$4:$BM$422</c15:sqref>
                        </c15:fullRef>
                        <c15:formulaRef>
                          <c15:sqref>'2025-Q2'!$BM$27:$BM$422</c15:sqref>
                        </c15:formulaRef>
                      </c:ext>
                    </c:extLst>
                    <c:numCache>
                      <c:formatCode>0.0</c:formatCode>
                      <c:ptCount val="396"/>
                      <c:pt idx="1">
                        <c:v>8.973436199439902E-2</c:v>
                      </c:pt>
                      <c:pt idx="2">
                        <c:v>-2.6672199148551731E-2</c:v>
                      </c:pt>
                      <c:pt idx="3">
                        <c:v>-1.0423708919455823E-2</c:v>
                      </c:pt>
                      <c:pt idx="4">
                        <c:v>-3.0236598850123333E-2</c:v>
                      </c:pt>
                      <c:pt idx="5">
                        <c:v>-6.2771326363856628E-2</c:v>
                      </c:pt>
                      <c:pt idx="6">
                        <c:v>-4.6257988888848217E-2</c:v>
                      </c:pt>
                      <c:pt idx="7">
                        <c:v>-6.2513128567494719E-2</c:v>
                      </c:pt>
                      <c:pt idx="8">
                        <c:v>-4.4359254152473673E-2</c:v>
                      </c:pt>
                      <c:pt idx="9">
                        <c:v>-5.8450124391627223E-2</c:v>
                      </c:pt>
                      <c:pt idx="10">
                        <c:v>-5.6672858683203875E-2</c:v>
                      </c:pt>
                      <c:pt idx="11">
                        <c:v>-8.0888799617971699E-2</c:v>
                      </c:pt>
                      <c:pt idx="12">
                        <c:v>-0.10145536464420164</c:v>
                      </c:pt>
                      <c:pt idx="13">
                        <c:v>-0.10783514087199067</c:v>
                      </c:pt>
                      <c:pt idx="14">
                        <c:v>-9.9681878929904447E-2</c:v>
                      </c:pt>
                      <c:pt idx="15">
                        <c:v>-9.2132280130932984E-2</c:v>
                      </c:pt>
                      <c:pt idx="16">
                        <c:v>-8.8158098331877724E-2</c:v>
                      </c:pt>
                      <c:pt idx="17">
                        <c:v>-0.13505311001513151</c:v>
                      </c:pt>
                      <c:pt idx="18">
                        <c:v>-0.14690216190083824</c:v>
                      </c:pt>
                      <c:pt idx="19">
                        <c:v>-0.11156920832525703</c:v>
                      </c:pt>
                      <c:pt idx="20">
                        <c:v>-9.1724202127262441E-2</c:v>
                      </c:pt>
                      <c:pt idx="21">
                        <c:v>-9.7795556874961956E-2</c:v>
                      </c:pt>
                      <c:pt idx="22">
                        <c:v>-9.5890911991418054E-2</c:v>
                      </c:pt>
                      <c:pt idx="23">
                        <c:v>-0.1193018411995812</c:v>
                      </c:pt>
                      <c:pt idx="24">
                        <c:v>-0.14725624673415014</c:v>
                      </c:pt>
                      <c:pt idx="25">
                        <c:v>-0.15480834936747387</c:v>
                      </c:pt>
                      <c:pt idx="26">
                        <c:v>-0.18234438451565674</c:v>
                      </c:pt>
                      <c:pt idx="27">
                        <c:v>-0.19507737685154639</c:v>
                      </c:pt>
                      <c:pt idx="28">
                        <c:v>-0.17303665302273694</c:v>
                      </c:pt>
                      <c:pt idx="29">
                        <c:v>-0.19434439881488819</c:v>
                      </c:pt>
                      <c:pt idx="30">
                        <c:v>-0.18162209892969813</c:v>
                      </c:pt>
                      <c:pt idx="31">
                        <c:v>-0.16486283704243587</c:v>
                      </c:pt>
                      <c:pt idx="32">
                        <c:v>-0.1509349556122439</c:v>
                      </c:pt>
                      <c:pt idx="33">
                        <c:v>-0.16017801540713</c:v>
                      </c:pt>
                      <c:pt idx="34">
                        <c:v>-0.12477075420495452</c:v>
                      </c:pt>
                      <c:pt idx="35">
                        <c:v>-0.11136983846285485</c:v>
                      </c:pt>
                      <c:pt idx="36">
                        <c:v>-8.9798304203704105E-2</c:v>
                      </c:pt>
                      <c:pt idx="37">
                        <c:v>-8.0113165982206205E-2</c:v>
                      </c:pt>
                      <c:pt idx="38">
                        <c:v>-5.5762112987525411E-2</c:v>
                      </c:pt>
                      <c:pt idx="39">
                        <c:v>-1.3554852296935394E-2</c:v>
                      </c:pt>
                      <c:pt idx="40">
                        <c:v>1.3511161180873102E-3</c:v>
                      </c:pt>
                      <c:pt idx="41">
                        <c:v>-2.7117459133421751E-3</c:v>
                      </c:pt>
                      <c:pt idx="42">
                        <c:v>1.5167083571436354E-2</c:v>
                      </c:pt>
                      <c:pt idx="43">
                        <c:v>9.287158760103293E-3</c:v>
                      </c:pt>
                      <c:pt idx="44">
                        <c:v>-3.1513958395212971E-3</c:v>
                      </c:pt>
                      <c:pt idx="45">
                        <c:v>-1.2405575233247856E-3</c:v>
                      </c:pt>
                      <c:pt idx="46">
                        <c:v>5.7846596998924601E-3</c:v>
                      </c:pt>
                      <c:pt idx="47">
                        <c:v>1.502713081009973E-2</c:v>
                      </c:pt>
                      <c:pt idx="48">
                        <c:v>7.0474558783379148E-3</c:v>
                      </c:pt>
                      <c:pt idx="49">
                        <c:v>2.2715718350743153E-2</c:v>
                      </c:pt>
                      <c:pt idx="50">
                        <c:v>1.9810627044234336E-2</c:v>
                      </c:pt>
                      <c:pt idx="51">
                        <c:v>3.1119341741684181E-2</c:v>
                      </c:pt>
                      <c:pt idx="52">
                        <c:v>2.4038954846122042E-2</c:v>
                      </c:pt>
                      <c:pt idx="53">
                        <c:v>4.1480942035811173E-2</c:v>
                      </c:pt>
                      <c:pt idx="54">
                        <c:v>3.7301984145286481E-2</c:v>
                      </c:pt>
                      <c:pt idx="55">
                        <c:v>2.4535801552120977E-2</c:v>
                      </c:pt>
                      <c:pt idx="56">
                        <c:v>2.3683728814569378E-2</c:v>
                      </c:pt>
                      <c:pt idx="57">
                        <c:v>2.524808401270159E-2</c:v>
                      </c:pt>
                      <c:pt idx="58">
                        <c:v>1.4151611124976248E-2</c:v>
                      </c:pt>
                      <c:pt idx="59">
                        <c:v>5.1340927655436804E-3</c:v>
                      </c:pt>
                      <c:pt idx="60">
                        <c:v>-1.6910966504963478E-3</c:v>
                      </c:pt>
                      <c:pt idx="61">
                        <c:v>-2.3401496461761272E-2</c:v>
                      </c:pt>
                      <c:pt idx="62">
                        <c:v>-2.5222122919080662E-2</c:v>
                      </c:pt>
                      <c:pt idx="63">
                        <c:v>-3.0977683253351491E-2</c:v>
                      </c:pt>
                      <c:pt idx="64">
                        <c:v>-3.051127853622658E-2</c:v>
                      </c:pt>
                      <c:pt idx="65">
                        <c:v>-2.0344194421296605E-2</c:v>
                      </c:pt>
                      <c:pt idx="66">
                        <c:v>-2.3645484677285743E-2</c:v>
                      </c:pt>
                      <c:pt idx="67">
                        <c:v>-1.0155474298193223E-2</c:v>
                      </c:pt>
                      <c:pt idx="68">
                        <c:v>-1.2418356222709729E-2</c:v>
                      </c:pt>
                      <c:pt idx="69">
                        <c:v>-9.3185667045567553E-3</c:v>
                      </c:pt>
                      <c:pt idx="70">
                        <c:v>-1.8345166746181005E-2</c:v>
                      </c:pt>
                      <c:pt idx="71">
                        <c:v>-2.4870087137773847E-2</c:v>
                      </c:pt>
                      <c:pt idx="72">
                        <c:v>-2.359678559050131E-2</c:v>
                      </c:pt>
                      <c:pt idx="73">
                        <c:v>-2.2375203593975077E-2</c:v>
                      </c:pt>
                      <c:pt idx="74">
                        <c:v>-2.0079295326892451E-2</c:v>
                      </c:pt>
                      <c:pt idx="75">
                        <c:v>-2.3665931890573401E-2</c:v>
                      </c:pt>
                      <c:pt idx="76">
                        <c:v>-2.9877567531711974E-2</c:v>
                      </c:pt>
                      <c:pt idx="77">
                        <c:v>-4.1983825311994953E-2</c:v>
                      </c:pt>
                      <c:pt idx="78">
                        <c:v>-4.6076246803711508E-2</c:v>
                      </c:pt>
                      <c:pt idx="79">
                        <c:v>-4.5815918953514306E-2</c:v>
                      </c:pt>
                      <c:pt idx="80">
                        <c:v>-5.7007387859031151E-2</c:v>
                      </c:pt>
                      <c:pt idx="81">
                        <c:v>-5.6704073141350043E-2</c:v>
                      </c:pt>
                      <c:pt idx="82">
                        <c:v>-4.9000080357718287E-2</c:v>
                      </c:pt>
                      <c:pt idx="83">
                        <c:v>-4.6711225360629972E-2</c:v>
                      </c:pt>
                      <c:pt idx="84">
                        <c:v>-5.8917380290715193E-2</c:v>
                      </c:pt>
                      <c:pt idx="85">
                        <c:v>-5.3045484143399213E-2</c:v>
                      </c:pt>
                      <c:pt idx="86">
                        <c:v>-5.7516220681874904E-2</c:v>
                      </c:pt>
                      <c:pt idx="87">
                        <c:v>-5.4246951576073968E-2</c:v>
                      </c:pt>
                      <c:pt idx="88">
                        <c:v>-5.1758387263707926E-2</c:v>
                      </c:pt>
                      <c:pt idx="89">
                        <c:v>-4.748137767517864E-2</c:v>
                      </c:pt>
                      <c:pt idx="90">
                        <c:v>-4.1593664597515088E-2</c:v>
                      </c:pt>
                      <c:pt idx="91">
                        <c:v>-3.6870083835994556E-2</c:v>
                      </c:pt>
                      <c:pt idx="92">
                        <c:v>-2.6196167700215354E-2</c:v>
                      </c:pt>
                      <c:pt idx="93">
                        <c:v>-2.1885091748025071E-2</c:v>
                      </c:pt>
                      <c:pt idx="94">
                        <c:v>-1.8408919952013412E-2</c:v>
                      </c:pt>
                      <c:pt idx="95">
                        <c:v>-9.6572758660092815E-3</c:v>
                      </c:pt>
                      <c:pt idx="96">
                        <c:v>-1.319942819461351E-2</c:v>
                      </c:pt>
                      <c:pt idx="97">
                        <c:v>-1.1365181778068193E-2</c:v>
                      </c:pt>
                      <c:pt idx="98">
                        <c:v>-1.4301486184036583E-2</c:v>
                      </c:pt>
                      <c:pt idx="99">
                        <c:v>-2.2677638695754534E-2</c:v>
                      </c:pt>
                      <c:pt idx="100">
                        <c:v>-2.5050378894354439E-2</c:v>
                      </c:pt>
                      <c:pt idx="101">
                        <c:v>-1.4845219782210324E-2</c:v>
                      </c:pt>
                      <c:pt idx="102">
                        <c:v>-1.2922007507410377E-2</c:v>
                      </c:pt>
                      <c:pt idx="103">
                        <c:v>-9.5441213865533562E-3</c:v>
                      </c:pt>
                      <c:pt idx="104">
                        <c:v>-1.4604203232220532E-2</c:v>
                      </c:pt>
                      <c:pt idx="105">
                        <c:v>-1.2741908874195036E-2</c:v>
                      </c:pt>
                      <c:pt idx="106">
                        <c:v>-1.5691685135837539E-2</c:v>
                      </c:pt>
                      <c:pt idx="107">
                        <c:v>-1.9860807309575186E-2</c:v>
                      </c:pt>
                      <c:pt idx="108">
                        <c:v>-2.1572534035077633E-2</c:v>
                      </c:pt>
                      <c:pt idx="109">
                        <c:v>-2.4938418076072857E-2</c:v>
                      </c:pt>
                      <c:pt idx="110">
                        <c:v>-1.7482055927689227E-2</c:v>
                      </c:pt>
                      <c:pt idx="111">
                        <c:v>-1.3741071178853011E-2</c:v>
                      </c:pt>
                      <c:pt idx="112">
                        <c:v>-1.113903349061314E-2</c:v>
                      </c:pt>
                      <c:pt idx="113">
                        <c:v>-9.6919484676665276E-3</c:v>
                      </c:pt>
                      <c:pt idx="114">
                        <c:v>-1.2091553814967073E-2</c:v>
                      </c:pt>
                      <c:pt idx="115">
                        <c:v>-1.0860143530130645E-2</c:v>
                      </c:pt>
                      <c:pt idx="116">
                        <c:v>-1.0164462981600375E-2</c:v>
                      </c:pt>
                      <c:pt idx="117">
                        <c:v>-1.108028357362963E-2</c:v>
                      </c:pt>
                      <c:pt idx="118">
                        <c:v>-1.4179217267223654E-2</c:v>
                      </c:pt>
                      <c:pt idx="119">
                        <c:v>-2.2992802343474599E-2</c:v>
                      </c:pt>
                      <c:pt idx="120">
                        <c:v>-2.5399996987261732E-2</c:v>
                      </c:pt>
                      <c:pt idx="121">
                        <c:v>-2.5563946945600824E-2</c:v>
                      </c:pt>
                      <c:pt idx="122">
                        <c:v>-1.6211356765854352E-2</c:v>
                      </c:pt>
                      <c:pt idx="123">
                        <c:v>-1.9113552559871079E-2</c:v>
                      </c:pt>
                      <c:pt idx="124">
                        <c:v>-2.2795030076296709E-2</c:v>
                      </c:pt>
                      <c:pt idx="125">
                        <c:v>-1.476122165805026E-2</c:v>
                      </c:pt>
                      <c:pt idx="126">
                        <c:v>-7.9304284940226646E-3</c:v>
                      </c:pt>
                      <c:pt idx="127">
                        <c:v>-9.4667249745221862E-3</c:v>
                      </c:pt>
                      <c:pt idx="128">
                        <c:v>-1.9668471399374647E-3</c:v>
                      </c:pt>
                      <c:pt idx="129">
                        <c:v>1.3864583391711937E-2</c:v>
                      </c:pt>
                      <c:pt idx="130">
                        <c:v>2.9584202440548842E-3</c:v>
                      </c:pt>
                      <c:pt idx="131">
                        <c:v>7.1020997191761416E-4</c:v>
                      </c:pt>
                      <c:pt idx="132">
                        <c:v>-3.8967203508112002E-3</c:v>
                      </c:pt>
                      <c:pt idx="133">
                        <c:v>8.8794839600592236E-3</c:v>
                      </c:pt>
                      <c:pt idx="134">
                        <c:v>1.2354171123527227E-2</c:v>
                      </c:pt>
                      <c:pt idx="135">
                        <c:v>1.5010302450060993E-2</c:v>
                      </c:pt>
                      <c:pt idx="136">
                        <c:v>8.286268166760619E-4</c:v>
                      </c:pt>
                      <c:pt idx="137">
                        <c:v>4.6394373906135499E-3</c:v>
                      </c:pt>
                      <c:pt idx="138">
                        <c:v>1.1274093112078162E-2</c:v>
                      </c:pt>
                      <c:pt idx="139">
                        <c:v>1.3210726434592137E-2</c:v>
                      </c:pt>
                      <c:pt idx="140">
                        <c:v>7.2257567210804495E-3</c:v>
                      </c:pt>
                      <c:pt idx="141">
                        <c:v>9.7482911555475654E-3</c:v>
                      </c:pt>
                      <c:pt idx="142">
                        <c:v>1.5532880917503666E-2</c:v>
                      </c:pt>
                      <c:pt idx="143">
                        <c:v>1.4667887249118244E-2</c:v>
                      </c:pt>
                      <c:pt idx="144">
                        <c:v>1.2893429813059406E-2</c:v>
                      </c:pt>
                      <c:pt idx="145">
                        <c:v>2.0208928341285983E-2</c:v>
                      </c:pt>
                      <c:pt idx="146">
                        <c:v>1.9957288779881233E-2</c:v>
                      </c:pt>
                      <c:pt idx="147">
                        <c:v>2.2586218656354993E-2</c:v>
                      </c:pt>
                      <c:pt idx="148">
                        <c:v>1.385218930378722E-2</c:v>
                      </c:pt>
                      <c:pt idx="149">
                        <c:v>1.374066631071841E-2</c:v>
                      </c:pt>
                      <c:pt idx="150">
                        <c:v>1.6648281927176843E-2</c:v>
                      </c:pt>
                      <c:pt idx="151">
                        <c:v>2.608791791603288E-2</c:v>
                      </c:pt>
                      <c:pt idx="152">
                        <c:v>3.4528686615526834E-2</c:v>
                      </c:pt>
                      <c:pt idx="153">
                        <c:v>3.4654480534286214E-2</c:v>
                      </c:pt>
                      <c:pt idx="154">
                        <c:v>4.180631284280778E-2</c:v>
                      </c:pt>
                      <c:pt idx="155">
                        <c:v>4.325295181454783E-2</c:v>
                      </c:pt>
                      <c:pt idx="156">
                        <c:v>4.5972439939185726E-2</c:v>
                      </c:pt>
                      <c:pt idx="157">
                        <c:v>4.3024137925641422E-2</c:v>
                      </c:pt>
                      <c:pt idx="158">
                        <c:v>4.1079853873368571E-2</c:v>
                      </c:pt>
                      <c:pt idx="159">
                        <c:v>4.4742481301829291E-2</c:v>
                      </c:pt>
                      <c:pt idx="160">
                        <c:v>4.7559164533389389E-2</c:v>
                      </c:pt>
                      <c:pt idx="161">
                        <c:v>3.8620584768664284E-2</c:v>
                      </c:pt>
                      <c:pt idx="162">
                        <c:v>3.3912722774571191E-2</c:v>
                      </c:pt>
                      <c:pt idx="163">
                        <c:v>3.3221852724726067E-2</c:v>
                      </c:pt>
                      <c:pt idx="164">
                        <c:v>3.5503374185360204E-2</c:v>
                      </c:pt>
                      <c:pt idx="165">
                        <c:v>4.1059387197081541E-2</c:v>
                      </c:pt>
                      <c:pt idx="166">
                        <c:v>3.9696893905760096E-2</c:v>
                      </c:pt>
                      <c:pt idx="167">
                        <c:v>4.306936567003556E-2</c:v>
                      </c:pt>
                      <c:pt idx="168">
                        <c:v>3.8664146541087685E-2</c:v>
                      </c:pt>
                      <c:pt idx="169">
                        <c:v>3.6805985615414052E-2</c:v>
                      </c:pt>
                      <c:pt idx="170">
                        <c:v>4.6791318270951017E-2</c:v>
                      </c:pt>
                      <c:pt idx="171">
                        <c:v>4.1623703096915293E-2</c:v>
                      </c:pt>
                      <c:pt idx="172">
                        <c:v>4.2055215059311458E-2</c:v>
                      </c:pt>
                      <c:pt idx="173">
                        <c:v>4.2141208757877635E-2</c:v>
                      </c:pt>
                      <c:pt idx="174">
                        <c:v>4.3090238930457866E-2</c:v>
                      </c:pt>
                      <c:pt idx="175">
                        <c:v>4.3364818269324049E-2</c:v>
                      </c:pt>
                      <c:pt idx="176">
                        <c:v>4.6981284475172691E-2</c:v>
                      </c:pt>
                      <c:pt idx="177">
                        <c:v>4.5062712660657145E-2</c:v>
                      </c:pt>
                      <c:pt idx="178">
                        <c:v>5.0060771926989281E-2</c:v>
                      </c:pt>
                      <c:pt idx="179">
                        <c:v>5.1085601252261775E-2</c:v>
                      </c:pt>
                      <c:pt idx="180">
                        <c:v>5.0095036097911404E-2</c:v>
                      </c:pt>
                      <c:pt idx="181">
                        <c:v>5.1550009532296541E-2</c:v>
                      </c:pt>
                      <c:pt idx="182">
                        <c:v>4.6124021085557527E-2</c:v>
                      </c:pt>
                      <c:pt idx="183">
                        <c:v>5.2513261520379224E-2</c:v>
                      </c:pt>
                      <c:pt idx="184">
                        <c:v>5.1356222422950834E-2</c:v>
                      </c:pt>
                      <c:pt idx="185">
                        <c:v>5.0329885617153937E-2</c:v>
                      </c:pt>
                      <c:pt idx="186">
                        <c:v>5.1162362828818496E-2</c:v>
                      </c:pt>
                      <c:pt idx="187">
                        <c:v>4.6091540395388125E-2</c:v>
                      </c:pt>
                      <c:pt idx="188">
                        <c:v>4.3135226246088398E-2</c:v>
                      </c:pt>
                      <c:pt idx="189">
                        <c:v>4.2126809046451837E-2</c:v>
                      </c:pt>
                      <c:pt idx="190">
                        <c:v>4.233988257861291E-2</c:v>
                      </c:pt>
                      <c:pt idx="191">
                        <c:v>4.4669872739933468E-2</c:v>
                      </c:pt>
                      <c:pt idx="192">
                        <c:v>3.8072096266914067E-2</c:v>
                      </c:pt>
                      <c:pt idx="193">
                        <c:v>4.4562822718087231E-2</c:v>
                      </c:pt>
                      <c:pt idx="194">
                        <c:v>4.8705689136486326E-2</c:v>
                      </c:pt>
                      <c:pt idx="195">
                        <c:v>4.6090557553794625E-2</c:v>
                      </c:pt>
                      <c:pt idx="196">
                        <c:v>5.3004115202070441E-2</c:v>
                      </c:pt>
                      <c:pt idx="197">
                        <c:v>5.5021110453456146E-2</c:v>
                      </c:pt>
                      <c:pt idx="198">
                        <c:v>5.7224272929910551E-2</c:v>
                      </c:pt>
                      <c:pt idx="199">
                        <c:v>5.7798574593825015E-2</c:v>
                      </c:pt>
                      <c:pt idx="200">
                        <c:v>5.593826447916906E-2</c:v>
                      </c:pt>
                      <c:pt idx="201">
                        <c:v>5.7296396087864673E-2</c:v>
                      </c:pt>
                      <c:pt idx="202">
                        <c:v>5.5240340126298589E-2</c:v>
                      </c:pt>
                      <c:pt idx="203">
                        <c:v>4.7195542028119999E-2</c:v>
                      </c:pt>
                      <c:pt idx="204">
                        <c:v>4.9028048622563755E-2</c:v>
                      </c:pt>
                      <c:pt idx="205">
                        <c:v>4.8794491872499811E-2</c:v>
                      </c:pt>
                      <c:pt idx="206">
                        <c:v>4.8394101045586044E-2</c:v>
                      </c:pt>
                      <c:pt idx="207">
                        <c:v>5.1310032519251599E-2</c:v>
                      </c:pt>
                      <c:pt idx="208">
                        <c:v>4.8654045073302538E-2</c:v>
                      </c:pt>
                      <c:pt idx="209">
                        <c:v>5.1319836307297508E-2</c:v>
                      </c:pt>
                      <c:pt idx="210">
                        <c:v>5.3038139873370756E-2</c:v>
                      </c:pt>
                      <c:pt idx="211">
                        <c:v>5.5251627086715174E-2</c:v>
                      </c:pt>
                      <c:pt idx="212">
                        <c:v>5.3803701436873276E-2</c:v>
                      </c:pt>
                      <c:pt idx="213">
                        <c:v>6.1328259774906156E-2</c:v>
                      </c:pt>
                      <c:pt idx="214">
                        <c:v>6.0868423930776204E-2</c:v>
                      </c:pt>
                      <c:pt idx="215">
                        <c:v>5.3486533701116348E-2</c:v>
                      </c:pt>
                      <c:pt idx="216">
                        <c:v>5.3443444052442488E-2</c:v>
                      </c:pt>
                      <c:pt idx="217">
                        <c:v>5.362835205389057E-2</c:v>
                      </c:pt>
                      <c:pt idx="218">
                        <c:v>6.8899082032345349E-2</c:v>
                      </c:pt>
                      <c:pt idx="219">
                        <c:v>6.9060894115160101E-2</c:v>
                      </c:pt>
                      <c:pt idx="220">
                        <c:v>7.0380716238203439E-2</c:v>
                      </c:pt>
                      <c:pt idx="221">
                        <c:v>6.6715013111611404E-2</c:v>
                      </c:pt>
                      <c:pt idx="222">
                        <c:v>6.8227081057569042E-2</c:v>
                      </c:pt>
                      <c:pt idx="223">
                        <c:v>6.6713344505286779E-2</c:v>
                      </c:pt>
                      <c:pt idx="224">
                        <c:v>6.5647810783317953E-2</c:v>
                      </c:pt>
                      <c:pt idx="225">
                        <c:v>6.3261132047514115E-2</c:v>
                      </c:pt>
                      <c:pt idx="226">
                        <c:v>6.1407233730636744E-2</c:v>
                      </c:pt>
                      <c:pt idx="227">
                        <c:v>6.29721063912215E-2</c:v>
                      </c:pt>
                      <c:pt idx="228">
                        <c:v>5.9251599610514759E-2</c:v>
                      </c:pt>
                      <c:pt idx="229">
                        <c:v>5.7013766700077816E-2</c:v>
                      </c:pt>
                      <c:pt idx="230">
                        <c:v>5.9543298458633022E-2</c:v>
                      </c:pt>
                      <c:pt idx="231">
                        <c:v>5.9540004818059183E-2</c:v>
                      </c:pt>
                      <c:pt idx="232">
                        <c:v>6.1372657483304803E-2</c:v>
                      </c:pt>
                      <c:pt idx="233">
                        <c:v>6.0623718909893827E-2</c:v>
                      </c:pt>
                      <c:pt idx="234">
                        <c:v>5.4616178948524774E-2</c:v>
                      </c:pt>
                      <c:pt idx="235">
                        <c:v>5.3357224183892889E-2</c:v>
                      </c:pt>
                      <c:pt idx="236">
                        <c:v>4.9078477290078394E-2</c:v>
                      </c:pt>
                      <c:pt idx="237">
                        <c:v>5.0300740057537319E-2</c:v>
                      </c:pt>
                      <c:pt idx="238">
                        <c:v>4.8997194980312221E-2</c:v>
                      </c:pt>
                      <c:pt idx="239">
                        <c:v>4.9838649930172667E-2</c:v>
                      </c:pt>
                      <c:pt idx="240">
                        <c:v>4.8650341778630542E-2</c:v>
                      </c:pt>
                      <c:pt idx="241">
                        <c:v>4.6720062473579918E-2</c:v>
                      </c:pt>
                      <c:pt idx="242">
                        <c:v>4.742112483165991E-2</c:v>
                      </c:pt>
                      <c:pt idx="243">
                        <c:v>4.9482701091552131E-2</c:v>
                      </c:pt>
                      <c:pt idx="244">
                        <c:v>4.9941534492614389E-2</c:v>
                      </c:pt>
                      <c:pt idx="245">
                        <c:v>4.9155017019211759E-2</c:v>
                      </c:pt>
                      <c:pt idx="246">
                        <c:v>5.3213955138575471E-2</c:v>
                      </c:pt>
                      <c:pt idx="247">
                        <c:v>5.4150936433641182E-2</c:v>
                      </c:pt>
                      <c:pt idx="248">
                        <c:v>5.3323832964633208E-2</c:v>
                      </c:pt>
                      <c:pt idx="249">
                        <c:v>5.3723413556684967E-2</c:v>
                      </c:pt>
                      <c:pt idx="250">
                        <c:v>5.0077306338239737E-2</c:v>
                      </c:pt>
                      <c:pt idx="251">
                        <c:v>4.769794643092768E-2</c:v>
                      </c:pt>
                      <c:pt idx="252">
                        <c:v>4.8752681095325441E-2</c:v>
                      </c:pt>
                      <c:pt idx="253">
                        <c:v>4.7277156787325553E-2</c:v>
                      </c:pt>
                      <c:pt idx="254">
                        <c:v>4.845130248102239E-2</c:v>
                      </c:pt>
                      <c:pt idx="255">
                        <c:v>4.9478861167547218E-2</c:v>
                      </c:pt>
                      <c:pt idx="256">
                        <c:v>4.9557617942756114E-2</c:v>
                      </c:pt>
                      <c:pt idx="257">
                        <c:v>5.0952355193592674E-2</c:v>
                      </c:pt>
                      <c:pt idx="258">
                        <c:v>4.7587723626123721E-2</c:v>
                      </c:pt>
                      <c:pt idx="259">
                        <c:v>4.9154099613543903E-2</c:v>
                      </c:pt>
                      <c:pt idx="260">
                        <c:v>4.4319614535865033E-2</c:v>
                      </c:pt>
                      <c:pt idx="261">
                        <c:v>4.4010466309442609E-2</c:v>
                      </c:pt>
                      <c:pt idx="262">
                        <c:v>4.0979082626620401E-2</c:v>
                      </c:pt>
                      <c:pt idx="263">
                        <c:v>4.2699720120683508E-2</c:v>
                      </c:pt>
                      <c:pt idx="264">
                        <c:v>4.2717376035258103E-2</c:v>
                      </c:pt>
                      <c:pt idx="265">
                        <c:v>4.8711473440149498E-2</c:v>
                      </c:pt>
                      <c:pt idx="266">
                        <c:v>4.6984660973352139E-2</c:v>
                      </c:pt>
                      <c:pt idx="267">
                        <c:v>4.6623281960520388E-2</c:v>
                      </c:pt>
                      <c:pt idx="268">
                        <c:v>4.9896706321202959E-2</c:v>
                      </c:pt>
                      <c:pt idx="269">
                        <c:v>4.7020542739059888E-2</c:v>
                      </c:pt>
                      <c:pt idx="270">
                        <c:v>4.4165834167722712E-2</c:v>
                      </c:pt>
                      <c:pt idx="271">
                        <c:v>3.7733206974839541E-2</c:v>
                      </c:pt>
                      <c:pt idx="272">
                        <c:v>3.5834472473159192E-2</c:v>
                      </c:pt>
                      <c:pt idx="273">
                        <c:v>3.1690907287451005E-2</c:v>
                      </c:pt>
                      <c:pt idx="274">
                        <c:v>3.2498079223997632E-2</c:v>
                      </c:pt>
                      <c:pt idx="275">
                        <c:v>3.0467274130679373E-2</c:v>
                      </c:pt>
                      <c:pt idx="276">
                        <c:v>3.0365716550243775E-2</c:v>
                      </c:pt>
                      <c:pt idx="277">
                        <c:v>3.0378513937280954E-2</c:v>
                      </c:pt>
                      <c:pt idx="278">
                        <c:v>3.436412991654194E-2</c:v>
                      </c:pt>
                      <c:pt idx="279">
                        <c:v>3.4221931173206169E-2</c:v>
                      </c:pt>
                      <c:pt idx="280">
                        <c:v>3.59959276454263E-2</c:v>
                      </c:pt>
                      <c:pt idx="281">
                        <c:v>3.1208111961106975E-2</c:v>
                      </c:pt>
                      <c:pt idx="282">
                        <c:v>3.4519344981650997E-2</c:v>
                      </c:pt>
                      <c:pt idx="283">
                        <c:v>4.1659486406345848E-2</c:v>
                      </c:pt>
                      <c:pt idx="284">
                        <c:v>4.3884820606199165E-2</c:v>
                      </c:pt>
                      <c:pt idx="285">
                        <c:v>4.5106576853601504E-2</c:v>
                      </c:pt>
                      <c:pt idx="286">
                        <c:v>4.8194788028149589E-2</c:v>
                      </c:pt>
                      <c:pt idx="287">
                        <c:v>4.7757579557633385E-2</c:v>
                      </c:pt>
                      <c:pt idx="288">
                        <c:v>5.182425753085091E-2</c:v>
                      </c:pt>
                      <c:pt idx="289">
                        <c:v>5.065698119841093E-2</c:v>
                      </c:pt>
                      <c:pt idx="290">
                        <c:v>5.3648412962696068E-2</c:v>
                      </c:pt>
                      <c:pt idx="291">
                        <c:v>5.1017167847101433E-2</c:v>
                      </c:pt>
                      <c:pt idx="292">
                        <c:v>5.3320329339284496E-2</c:v>
                      </c:pt>
                      <c:pt idx="293">
                        <c:v>5.4846905459841069E-2</c:v>
                      </c:pt>
                      <c:pt idx="294">
                        <c:v>5.5835533962265378E-2</c:v>
                      </c:pt>
                      <c:pt idx="295">
                        <c:v>5.0590116271997172E-2</c:v>
                      </c:pt>
                      <c:pt idx="296">
                        <c:v>5.7733821769542115E-2</c:v>
                      </c:pt>
                      <c:pt idx="297">
                        <c:v>5.9036730550865286E-2</c:v>
                      </c:pt>
                      <c:pt idx="298">
                        <c:v>5.9864525230108927E-2</c:v>
                      </c:pt>
                      <c:pt idx="299">
                        <c:v>6.0709164395454103E-2</c:v>
                      </c:pt>
                      <c:pt idx="300">
                        <c:v>5.5377757509459898E-2</c:v>
                      </c:pt>
                      <c:pt idx="301">
                        <c:v>4.8309229306167489E-2</c:v>
                      </c:pt>
                      <c:pt idx="302">
                        <c:v>5.0579399471474787E-2</c:v>
                      </c:pt>
                      <c:pt idx="303">
                        <c:v>4.5552271630240421E-2</c:v>
                      </c:pt>
                      <c:pt idx="304">
                        <c:v>4.4755493942800005E-2</c:v>
                      </c:pt>
                      <c:pt idx="305">
                        <c:v>4.2259993615031674E-2</c:v>
                      </c:pt>
                      <c:pt idx="306">
                        <c:v>4.3854839382699927E-2</c:v>
                      </c:pt>
                      <c:pt idx="307">
                        <c:v>4.6259189283321824E-2</c:v>
                      </c:pt>
                      <c:pt idx="308">
                        <c:v>4.7142941580219401E-2</c:v>
                      </c:pt>
                      <c:pt idx="309">
                        <c:v>4.9817374001086434E-2</c:v>
                      </c:pt>
                      <c:pt idx="310">
                        <c:v>5.111743466361552E-2</c:v>
                      </c:pt>
                      <c:pt idx="311">
                        <c:v>5.1603018460908485E-2</c:v>
                      </c:pt>
                      <c:pt idx="312">
                        <c:v>5.3428579789270729E-2</c:v>
                      </c:pt>
                      <c:pt idx="313">
                        <c:v>5.19778388980437E-2</c:v>
                      </c:pt>
                      <c:pt idx="314">
                        <c:v>5.7866194244759847E-2</c:v>
                      </c:pt>
                      <c:pt idx="315">
                        <c:v>5.859270093196197E-2</c:v>
                      </c:pt>
                      <c:pt idx="316">
                        <c:v>5.6647528705736382E-2</c:v>
                      </c:pt>
                      <c:pt idx="317">
                        <c:v>4.8136136840810161E-2</c:v>
                      </c:pt>
                      <c:pt idx="318">
                        <c:v>4.7700816784692582E-2</c:v>
                      </c:pt>
                      <c:pt idx="319">
                        <c:v>4.8814235957472592E-2</c:v>
                      </c:pt>
                      <c:pt idx="320">
                        <c:v>4.9565008447674273E-2</c:v>
                      </c:pt>
                      <c:pt idx="321">
                        <c:v>4.6775767801747935E-2</c:v>
                      </c:pt>
                      <c:pt idx="322">
                        <c:v>4.4233090614827011E-2</c:v>
                      </c:pt>
                      <c:pt idx="323">
                        <c:v>4.301411446143466E-2</c:v>
                      </c:pt>
                      <c:pt idx="324">
                        <c:v>4.3012502098712678E-2</c:v>
                      </c:pt>
                      <c:pt idx="325">
                        <c:v>4.2589817266038714E-2</c:v>
                      </c:pt>
                      <c:pt idx="326">
                        <c:v>4.1134107023824085E-2</c:v>
                      </c:pt>
                      <c:pt idx="327">
                        <c:v>4.4220543852504006E-2</c:v>
                      </c:pt>
                      <c:pt idx="328">
                        <c:v>4.3159688331185657E-2</c:v>
                      </c:pt>
                      <c:pt idx="329">
                        <c:v>4.2875948222582581E-2</c:v>
                      </c:pt>
                      <c:pt idx="330">
                        <c:v>4.1016883541906711E-2</c:v>
                      </c:pt>
                      <c:pt idx="331">
                        <c:v>4.1932209072235167E-2</c:v>
                      </c:pt>
                      <c:pt idx="332">
                        <c:v>3.8630499893560884E-2</c:v>
                      </c:pt>
                      <c:pt idx="333">
                        <c:v>3.6121066955434732E-2</c:v>
                      </c:pt>
                      <c:pt idx="334">
                        <c:v>4.6415555876126502E-2</c:v>
                      </c:pt>
                      <c:pt idx="335">
                        <c:v>5.0045199911845945E-2</c:v>
                      </c:pt>
                      <c:pt idx="336">
                        <c:v>4.453915998567836E-2</c:v>
                      </c:pt>
                      <c:pt idx="337">
                        <c:v>3.924442479375162E-2</c:v>
                      </c:pt>
                      <c:pt idx="338">
                        <c:v>3.913601478050921E-2</c:v>
                      </c:pt>
                      <c:pt idx="339">
                        <c:v>4.4006442339973167E-2</c:v>
                      </c:pt>
                      <c:pt idx="340">
                        <c:v>3.792039513289671E-2</c:v>
                      </c:pt>
                      <c:pt idx="341">
                        <c:v>3.7039376607371353E-2</c:v>
                      </c:pt>
                      <c:pt idx="342">
                        <c:v>3.5198377396857349E-2</c:v>
                      </c:pt>
                      <c:pt idx="343">
                        <c:v>1.9368231062575701E-2</c:v>
                      </c:pt>
                      <c:pt idx="344">
                        <c:v>1.6630235501578536E-2</c:v>
                      </c:pt>
                      <c:pt idx="345">
                        <c:v>2.575334350899814E-2</c:v>
                      </c:pt>
                      <c:pt idx="346">
                        <c:v>2.6713357606254064E-2</c:v>
                      </c:pt>
                      <c:pt idx="347">
                        <c:v>2.7393213860398943E-2</c:v>
                      </c:pt>
                      <c:pt idx="348">
                        <c:v>2.9792191968965112E-2</c:v>
                      </c:pt>
                      <c:pt idx="349">
                        <c:v>2.7698577284520461E-2</c:v>
                      </c:pt>
                      <c:pt idx="350">
                        <c:v>3.006408319391423E-2</c:v>
                      </c:pt>
                      <c:pt idx="351">
                        <c:v>3.6876469502037733E-2</c:v>
                      </c:pt>
                      <c:pt idx="352">
                        <c:v>3.1262058261705861E-2</c:v>
                      </c:pt>
                      <c:pt idx="353">
                        <c:v>2.8324894061108979E-2</c:v>
                      </c:pt>
                      <c:pt idx="354">
                        <c:v>3.466186434204676E-2</c:v>
                      </c:pt>
                      <c:pt idx="355">
                        <c:v>2.8489421112540728E-2</c:v>
                      </c:pt>
                      <c:pt idx="356">
                        <c:v>2.7348618596869746E-2</c:v>
                      </c:pt>
                      <c:pt idx="357">
                        <c:v>2.5350169722115335E-2</c:v>
                      </c:pt>
                      <c:pt idx="358">
                        <c:v>2.8394360001064371E-2</c:v>
                      </c:pt>
                      <c:pt idx="359">
                        <c:v>3.2368232682260606E-2</c:v>
                      </c:pt>
                      <c:pt idx="360">
                        <c:v>3.8723919801716494E-2</c:v>
                      </c:pt>
                      <c:pt idx="361">
                        <c:v>3.8185218419039393E-2</c:v>
                      </c:pt>
                      <c:pt idx="362">
                        <c:v>4.0136165733931889E-2</c:v>
                      </c:pt>
                      <c:pt idx="363">
                        <c:v>3.3387428368513737E-2</c:v>
                      </c:pt>
                      <c:pt idx="364">
                        <c:v>3.5306222491635064E-2</c:v>
                      </c:pt>
                      <c:pt idx="365">
                        <c:v>2.742826602463258E-2</c:v>
                      </c:pt>
                      <c:pt idx="366">
                        <c:v>2.7085107988933762E-2</c:v>
                      </c:pt>
                      <c:pt idx="367">
                        <c:v>3.1701950175977912E-2</c:v>
                      </c:pt>
                      <c:pt idx="368">
                        <c:v>3.0609362944869975E-2</c:v>
                      </c:pt>
                      <c:pt idx="369">
                        <c:v>3.4804218708248742E-2</c:v>
                      </c:pt>
                      <c:pt idx="370">
                        <c:v>3.2773173263703194E-2</c:v>
                      </c:pt>
                      <c:pt idx="371">
                        <c:v>3.6073538327404842E-2</c:v>
                      </c:pt>
                      <c:pt idx="372">
                        <c:v>3.0887635807262094E-2</c:v>
                      </c:pt>
                      <c:pt idx="373">
                        <c:v>2.7889438819873123E-2</c:v>
                      </c:pt>
                      <c:pt idx="374">
                        <c:v>3.1322844186721939E-2</c:v>
                      </c:pt>
                      <c:pt idx="375">
                        <c:v>3.6833272846992324E-2</c:v>
                      </c:pt>
                      <c:pt idx="376">
                        <c:v>3.4244722198649311E-2</c:v>
                      </c:pt>
                      <c:pt idx="377">
                        <c:v>3.3651718127236122E-2</c:v>
                      </c:pt>
                      <c:pt idx="378">
                        <c:v>3.0093703299113043E-2</c:v>
                      </c:pt>
                      <c:pt idx="379">
                        <c:v>2.2842853998705861E-2</c:v>
                      </c:pt>
                      <c:pt idx="380">
                        <c:v>2.1391229903415503E-2</c:v>
                      </c:pt>
                      <c:pt idx="381">
                        <c:v>2.6652823718888944E-2</c:v>
                      </c:pt>
                      <c:pt idx="382">
                        <c:v>2.518952215944277E-2</c:v>
                      </c:pt>
                      <c:pt idx="383">
                        <c:v>1.9615288266925459E-2</c:v>
                      </c:pt>
                      <c:pt idx="384">
                        <c:v>1.5873880130797689E-2</c:v>
                      </c:pt>
                      <c:pt idx="385">
                        <c:v>1.8972511896285457E-2</c:v>
                      </c:pt>
                      <c:pt idx="386">
                        <c:v>2.1007497411652254E-2</c:v>
                      </c:pt>
                      <c:pt idx="387">
                        <c:v>2.2882971828395514E-2</c:v>
                      </c:pt>
                      <c:pt idx="388">
                        <c:v>2.3805087615475014E-2</c:v>
                      </c:pt>
                      <c:pt idx="389">
                        <c:v>2.3896005765501722E-2</c:v>
                      </c:pt>
                      <c:pt idx="390">
                        <c:v>2.3967640459473968E-2</c:v>
                      </c:pt>
                      <c:pt idx="391">
                        <c:v>2.5630580197462956E-2</c:v>
                      </c:pt>
                      <c:pt idx="392">
                        <c:v>2.6589136349541225E-2</c:v>
                      </c:pt>
                      <c:pt idx="393">
                        <c:v>2.7241499942037367E-2</c:v>
                      </c:pt>
                      <c:pt idx="394">
                        <c:v>2.5357055507333307E-2</c:v>
                      </c:pt>
                      <c:pt idx="395">
                        <c:v>2.990774700107917E-2</c:v>
                      </c:pt>
                    </c:numCache>
                  </c:numRef>
                </c:val>
                <c:smooth val="0"/>
                <c:extLst xmlns:c15="http://schemas.microsoft.com/office/drawing/2012/chart">
                  <c:ext xmlns:c16="http://schemas.microsoft.com/office/drawing/2014/chart" uri="{C3380CC4-5D6E-409C-BE32-E72D297353CC}">
                    <c16:uniqueId val="{00000000-1DE9-4D31-A911-7FB86615BFA7}"/>
                  </c:ext>
                </c:extLst>
              </c15:ser>
            </c15:filteredLineSeries>
          </c:ext>
        </c:extLst>
      </c:lineChart>
      <c:catAx>
        <c:axId val="1218075600"/>
        <c:scaling>
          <c:orientation val="minMax"/>
        </c:scaling>
        <c:delete val="0"/>
        <c:axPos val="b"/>
        <c:numFmt formatCode="General" sourceLinked="0"/>
        <c:majorTickMark val="none"/>
        <c:minorTickMark val="none"/>
        <c:tickLblPos val="low"/>
        <c:spPr>
          <a:noFill/>
          <a:ln w="19050" cap="flat" cmpd="sng" algn="ctr">
            <a:solidFill>
              <a:sysClr val="windowText" lastClr="000000"/>
            </a:solidFill>
            <a:prstDash val="sysDash"/>
            <a:round/>
          </a:ln>
          <a:effectLst/>
        </c:spPr>
        <c:txPr>
          <a:bodyPr rot="-60000000" spcFirstLastPara="1" vertOverflow="ellipsis" vert="horz" wrap="square" anchor="ctr" anchorCtr="1"/>
          <a:lstStyle/>
          <a:p>
            <a:pPr>
              <a:defRPr sz="900" b="1" i="0" u="none" strike="noStrike" kern="1200" baseline="0">
                <a:solidFill>
                  <a:schemeClr val="accent3">
                    <a:lumMod val="50000"/>
                  </a:schemeClr>
                </a:solidFill>
                <a:latin typeface="+mn-lt"/>
                <a:ea typeface="+mn-ea"/>
                <a:cs typeface="+mn-cs"/>
              </a:defRPr>
            </a:pPr>
            <a:endParaRPr lang="en-US"/>
          </a:p>
        </c:txPr>
        <c:crossAx val="1218077040"/>
        <c:crosses val="autoZero"/>
        <c:auto val="1"/>
        <c:lblAlgn val="ctr"/>
        <c:lblOffset val="100"/>
        <c:noMultiLvlLbl val="0"/>
      </c:catAx>
      <c:valAx>
        <c:axId val="1218077040"/>
        <c:scaling>
          <c:orientation val="minMax"/>
          <c:max val="1.2"/>
          <c:min val="-0.60000000000000009"/>
        </c:scaling>
        <c:delete val="0"/>
        <c:axPos val="l"/>
        <c:majorGridlines>
          <c:spPr>
            <a:ln w="9525" cap="flat" cmpd="sng" algn="ctr">
              <a:noFill/>
              <a:prstDash val="dash"/>
              <a:round/>
            </a:ln>
            <a:effectLst/>
          </c:spPr>
        </c:majorGridlines>
        <c:title>
          <c:tx>
            <c:rich>
              <a:bodyPr rot="-5400000" spcFirstLastPara="1" vertOverflow="ellipsis" vert="horz" wrap="square" anchor="ctr" anchorCtr="1"/>
              <a:lstStyle/>
              <a:p>
                <a:pPr>
                  <a:defRPr sz="1000" b="1" i="0" u="none" strike="noStrike" kern="1200" baseline="0">
                    <a:solidFill>
                      <a:schemeClr val="accent3"/>
                    </a:solidFill>
                    <a:latin typeface="+mn-lt"/>
                    <a:ea typeface="+mn-ea"/>
                    <a:cs typeface="+mn-cs"/>
                  </a:defRPr>
                </a:pPr>
                <a:r>
                  <a:rPr lang="en-US" b="1">
                    <a:solidFill>
                      <a:schemeClr val="accent3"/>
                    </a:solidFill>
                  </a:rPr>
                  <a:t>Expectancy</a:t>
                </a:r>
                <a:r>
                  <a:rPr lang="en-US" b="1" baseline="0">
                    <a:solidFill>
                      <a:schemeClr val="accent3"/>
                    </a:solidFill>
                  </a:rPr>
                  <a:t> (20-ma)</a:t>
                </a:r>
                <a:endParaRPr lang="en-US" b="1">
                  <a:solidFill>
                    <a:schemeClr val="accent3"/>
                  </a:solidFill>
                </a:endParaRPr>
              </a:p>
            </c:rich>
          </c:tx>
          <c:layout>
            <c:manualLayout>
              <c:xMode val="edge"/>
              <c:yMode val="edge"/>
              <c:x val="2.3335091879952076E-3"/>
              <c:y val="0.3888392475169678"/>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accent3"/>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218075600"/>
        <c:crosses val="autoZero"/>
        <c:crossBetween val="between"/>
      </c:valAx>
      <c:spPr>
        <a:gradFill>
          <a:gsLst>
            <a:gs pos="0">
              <a:srgbClr val="00FF00"/>
            </a:gs>
            <a:gs pos="70000">
              <a:schemeClr val="bg1"/>
            </a:gs>
            <a:gs pos="56000">
              <a:schemeClr val="bg1"/>
            </a:gs>
            <a:gs pos="100000">
              <a:srgbClr val="FFCCCC"/>
            </a:gs>
          </a:gsLst>
          <a:lin ang="5400000" scaled="1"/>
        </a:gradFill>
        <a:ln w="3175">
          <a:solidFill>
            <a:sysClr val="windowText" lastClr="000000"/>
          </a:solidFill>
        </a:ln>
        <a:effectLst/>
      </c:spPr>
    </c:plotArea>
    <c:legend>
      <c:legendPos val="t"/>
      <c:layout>
        <c:manualLayout>
          <c:xMode val="edge"/>
          <c:yMode val="edge"/>
          <c:x val="0.32750934038883805"/>
          <c:y val="5.527404312556169E-3"/>
          <c:w val="0.39448888970132362"/>
          <c:h val="5.4672451657828483E-2"/>
        </c:manualLayout>
      </c:layou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legend>
    <c:plotVisOnly val="0"/>
    <c:dispBlanksAs val="span"/>
    <c:showDLblsOverMax val="0"/>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userShapes r:id="rId3"/>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US" sz="1600" b="1">
                <a:solidFill>
                  <a:sysClr val="windowText" lastClr="000000"/>
                </a:solidFill>
              </a:rPr>
              <a:t>Risk Units:  Wins and Losses Playing The</a:t>
            </a:r>
            <a:r>
              <a:rPr lang="en-US" sz="1600" b="1" baseline="0">
                <a:solidFill>
                  <a:sysClr val="windowText" lastClr="000000"/>
                </a:solidFill>
              </a:rPr>
              <a:t> Strategy</a:t>
            </a:r>
            <a:endParaRPr lang="en-US" sz="1600" b="0">
              <a:solidFill>
                <a:sysClr val="windowText" lastClr="000000"/>
              </a:solidFill>
            </a:endParaRPr>
          </a:p>
        </c:rich>
      </c:tx>
      <c:layout>
        <c:manualLayout>
          <c:xMode val="edge"/>
          <c:yMode val="edge"/>
          <c:x val="0.37328381351175033"/>
          <c:y val="1.4024426382186095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1.5236315094556608E-2"/>
          <c:y val="0.10889636779273559"/>
          <c:w val="0.9799160629047825"/>
          <c:h val="0.79105219710439423"/>
        </c:manualLayout>
      </c:layout>
      <c:barChart>
        <c:barDir val="col"/>
        <c:grouping val="clustered"/>
        <c:varyColors val="0"/>
        <c:ser>
          <c:idx val="0"/>
          <c:order val="0"/>
          <c:spPr>
            <a:solidFill>
              <a:srgbClr val="00B050"/>
            </a:solidFill>
            <a:ln>
              <a:solidFill>
                <a:sysClr val="windowText" lastClr="000000"/>
              </a:solidFill>
            </a:ln>
            <a:effectLst/>
          </c:spPr>
          <c:invertIfNegative val="1"/>
          <c:cat>
            <c:strRef>
              <c:f>'2025-Q2'!$A$4:$A$422</c:f>
              <c:strCache>
                <c:ptCount val="419"/>
                <c:pt idx="0">
                  <c:v>DAL</c:v>
                </c:pt>
                <c:pt idx="1">
                  <c:v>STZ</c:v>
                </c:pt>
                <c:pt idx="2">
                  <c:v>JPM</c:v>
                </c:pt>
                <c:pt idx="3">
                  <c:v>WFC</c:v>
                </c:pt>
                <c:pt idx="4">
                  <c:v>BLK</c:v>
                </c:pt>
                <c:pt idx="5">
                  <c:v>BK</c:v>
                </c:pt>
                <c:pt idx="6">
                  <c:v>MS</c:v>
                </c:pt>
                <c:pt idx="7">
                  <c:v>FAST</c:v>
                </c:pt>
                <c:pt idx="8">
                  <c:v>GS</c:v>
                </c:pt>
                <c:pt idx="9">
                  <c:v>MTB</c:v>
                </c:pt>
                <c:pt idx="10">
                  <c:v>C</c:v>
                </c:pt>
                <c:pt idx="11">
                  <c:v>BAC</c:v>
                </c:pt>
                <c:pt idx="12">
                  <c:v>PNC</c:v>
                </c:pt>
                <c:pt idx="13">
                  <c:v>JNJ</c:v>
                </c:pt>
                <c:pt idx="14">
                  <c:v>JBHT</c:v>
                </c:pt>
                <c:pt idx="15">
                  <c:v>UAL</c:v>
                </c:pt>
                <c:pt idx="16">
                  <c:v>OMC</c:v>
                </c:pt>
                <c:pt idx="17">
                  <c:v>USB</c:v>
                </c:pt>
                <c:pt idx="18">
                  <c:v>CFG</c:v>
                </c:pt>
                <c:pt idx="19">
                  <c:v>ABT</c:v>
                </c:pt>
                <c:pt idx="20">
                  <c:v>TRV</c:v>
                </c:pt>
                <c:pt idx="21">
                  <c:v>PGR</c:v>
                </c:pt>
                <c:pt idx="22">
                  <c:v>CSX</c:v>
                </c:pt>
                <c:pt idx="23">
                  <c:v>KMI</c:v>
                </c:pt>
                <c:pt idx="24">
                  <c:v>STT</c:v>
                </c:pt>
                <c:pt idx="25">
                  <c:v>UNH</c:v>
                </c:pt>
                <c:pt idx="26">
                  <c:v>TFC</c:v>
                </c:pt>
                <c:pt idx="27">
                  <c:v>HBAN</c:v>
                </c:pt>
                <c:pt idx="28">
                  <c:v>RF</c:v>
                </c:pt>
                <c:pt idx="29">
                  <c:v>SCHW</c:v>
                </c:pt>
                <c:pt idx="30">
                  <c:v>DHI</c:v>
                </c:pt>
                <c:pt idx="31">
                  <c:v>FITB</c:v>
                </c:pt>
                <c:pt idx="32">
                  <c:v>KEY</c:v>
                </c:pt>
                <c:pt idx="33">
                  <c:v>AXP</c:v>
                </c:pt>
                <c:pt idx="34">
                  <c:v>MMC</c:v>
                </c:pt>
                <c:pt idx="35">
                  <c:v>SNA</c:v>
                </c:pt>
                <c:pt idx="36">
                  <c:v>BX</c:v>
                </c:pt>
                <c:pt idx="37">
                  <c:v>ALLY</c:v>
                </c:pt>
                <c:pt idx="38">
                  <c:v>NFLX</c:v>
                </c:pt>
                <c:pt idx="39">
                  <c:v>WRB</c:v>
                </c:pt>
                <c:pt idx="40">
                  <c:v>EFX</c:v>
                </c:pt>
                <c:pt idx="41">
                  <c:v>GPC</c:v>
                </c:pt>
                <c:pt idx="42">
                  <c:v>HAL</c:v>
                </c:pt>
                <c:pt idx="43">
                  <c:v>GE</c:v>
                </c:pt>
                <c:pt idx="44">
                  <c:v>VZ</c:v>
                </c:pt>
                <c:pt idx="45">
                  <c:v>LMT</c:v>
                </c:pt>
                <c:pt idx="46">
                  <c:v>DHR</c:v>
                </c:pt>
                <c:pt idx="47">
                  <c:v>NOC</c:v>
                </c:pt>
                <c:pt idx="48">
                  <c:v>PHM</c:v>
                </c:pt>
                <c:pt idx="49">
                  <c:v>RTX</c:v>
                </c:pt>
                <c:pt idx="50">
                  <c:v>KMB</c:v>
                </c:pt>
                <c:pt idx="51">
                  <c:v>MMM</c:v>
                </c:pt>
                <c:pt idx="52">
                  <c:v>PNR</c:v>
                </c:pt>
                <c:pt idx="53">
                  <c:v>STLD</c:v>
                </c:pt>
                <c:pt idx="54">
                  <c:v>ISRG</c:v>
                </c:pt>
                <c:pt idx="55">
                  <c:v>PKG</c:v>
                </c:pt>
                <c:pt idx="56">
                  <c:v>BKR</c:v>
                </c:pt>
                <c:pt idx="57">
                  <c:v>ENPH</c:v>
                </c:pt>
                <c:pt idx="58">
                  <c:v>COF</c:v>
                </c:pt>
                <c:pt idx="59">
                  <c:v>TSLA</c:v>
                </c:pt>
                <c:pt idx="60">
                  <c:v>EQT</c:v>
                </c:pt>
                <c:pt idx="61">
                  <c:v>GEV</c:v>
                </c:pt>
                <c:pt idx="62">
                  <c:v>APH</c:v>
                </c:pt>
                <c:pt idx="63">
                  <c:v>TEL</c:v>
                </c:pt>
                <c:pt idx="64">
                  <c:v>T</c:v>
                </c:pt>
                <c:pt idx="65">
                  <c:v>BA</c:v>
                </c:pt>
                <c:pt idx="66">
                  <c:v>NSC</c:v>
                </c:pt>
                <c:pt idx="67">
                  <c:v>TMO</c:v>
                </c:pt>
                <c:pt idx="68">
                  <c:v>AVY</c:v>
                </c:pt>
                <c:pt idx="69">
                  <c:v>PM</c:v>
                </c:pt>
                <c:pt idx="70">
                  <c:v>MAS</c:v>
                </c:pt>
                <c:pt idx="71">
                  <c:v>CME</c:v>
                </c:pt>
                <c:pt idx="72">
                  <c:v>WAB</c:v>
                </c:pt>
                <c:pt idx="73">
                  <c:v>GD</c:v>
                </c:pt>
                <c:pt idx="74">
                  <c:v>BSX</c:v>
                </c:pt>
                <c:pt idx="75">
                  <c:v>OTIS</c:v>
                </c:pt>
                <c:pt idx="76">
                  <c:v>TXN</c:v>
                </c:pt>
                <c:pt idx="77">
                  <c:v>DFS</c:v>
                </c:pt>
                <c:pt idx="78">
                  <c:v>IBM</c:v>
                </c:pt>
                <c:pt idx="79">
                  <c:v>LVS</c:v>
                </c:pt>
                <c:pt idx="80">
                  <c:v>CMG</c:v>
                </c:pt>
                <c:pt idx="81">
                  <c:v>EW</c:v>
                </c:pt>
                <c:pt idx="82">
                  <c:v>LRCX</c:v>
                </c:pt>
                <c:pt idx="83">
                  <c:v>LUV</c:v>
                </c:pt>
                <c:pt idx="84">
                  <c:v>FI</c:v>
                </c:pt>
                <c:pt idx="85">
                  <c:v>FCX</c:v>
                </c:pt>
                <c:pt idx="86">
                  <c:v>PG</c:v>
                </c:pt>
                <c:pt idx="87">
                  <c:v>TXT</c:v>
                </c:pt>
                <c:pt idx="88">
                  <c:v>UNP</c:v>
                </c:pt>
                <c:pt idx="89">
                  <c:v>NDAQ</c:v>
                </c:pt>
                <c:pt idx="90">
                  <c:v>CMCSA</c:v>
                </c:pt>
                <c:pt idx="91">
                  <c:v>VLO</c:v>
                </c:pt>
                <c:pt idx="92">
                  <c:v>DOW</c:v>
                </c:pt>
                <c:pt idx="93">
                  <c:v>TSCO</c:v>
                </c:pt>
                <c:pt idx="94">
                  <c:v>DOV</c:v>
                </c:pt>
                <c:pt idx="95">
                  <c:v>MRK</c:v>
                </c:pt>
                <c:pt idx="96">
                  <c:v>PEP</c:v>
                </c:pt>
                <c:pt idx="97">
                  <c:v>BMY</c:v>
                </c:pt>
                <c:pt idx="98">
                  <c:v>IPG</c:v>
                </c:pt>
                <c:pt idx="99">
                  <c:v>LKQ</c:v>
                </c:pt>
                <c:pt idx="100">
                  <c:v>HAS</c:v>
                </c:pt>
                <c:pt idx="101">
                  <c:v>KDP</c:v>
                </c:pt>
                <c:pt idx="102">
                  <c:v>LHX</c:v>
                </c:pt>
                <c:pt idx="103">
                  <c:v>TMUS</c:v>
                </c:pt>
                <c:pt idx="104">
                  <c:v>HIG</c:v>
                </c:pt>
                <c:pt idx="105">
                  <c:v>EMN</c:v>
                </c:pt>
                <c:pt idx="106">
                  <c:v>RSG</c:v>
                </c:pt>
                <c:pt idx="107">
                  <c:v>INTC</c:v>
                </c:pt>
                <c:pt idx="108">
                  <c:v>GOOG</c:v>
                </c:pt>
                <c:pt idx="109">
                  <c:v>GILD</c:v>
                </c:pt>
                <c:pt idx="110">
                  <c:v>SLB</c:v>
                </c:pt>
                <c:pt idx="111">
                  <c:v>PSX</c:v>
                </c:pt>
                <c:pt idx="112">
                  <c:v>HCA</c:v>
                </c:pt>
                <c:pt idx="113">
                  <c:v>ABBV</c:v>
                </c:pt>
                <c:pt idx="114">
                  <c:v>CL</c:v>
                </c:pt>
                <c:pt idx="115">
                  <c:v>CHTR</c:v>
                </c:pt>
                <c:pt idx="116">
                  <c:v>LYB</c:v>
                </c:pt>
                <c:pt idx="117">
                  <c:v>TER</c:v>
                </c:pt>
                <c:pt idx="118">
                  <c:v>CINF</c:v>
                </c:pt>
                <c:pt idx="119">
                  <c:v>UHS</c:v>
                </c:pt>
                <c:pt idx="120">
                  <c:v>NUE</c:v>
                </c:pt>
                <c:pt idx="121">
                  <c:v>WM</c:v>
                </c:pt>
                <c:pt idx="122">
                  <c:v>BRO</c:v>
                </c:pt>
                <c:pt idx="123">
                  <c:v>FFIV</c:v>
                </c:pt>
                <c:pt idx="124">
                  <c:v>NXPI</c:v>
                </c:pt>
                <c:pt idx="125">
                  <c:v>CDNS</c:v>
                </c:pt>
                <c:pt idx="126">
                  <c:v>RCL</c:v>
                </c:pt>
                <c:pt idx="127">
                  <c:v>SHW</c:v>
                </c:pt>
                <c:pt idx="128">
                  <c:v>HLT</c:v>
                </c:pt>
                <c:pt idx="129">
                  <c:v>AOS</c:v>
                </c:pt>
                <c:pt idx="130">
                  <c:v>LH</c:v>
                </c:pt>
                <c:pt idx="131">
                  <c:v>SPGI</c:v>
                </c:pt>
                <c:pt idx="132">
                  <c:v>GM</c:v>
                </c:pt>
                <c:pt idx="133">
                  <c:v>PCAR</c:v>
                </c:pt>
                <c:pt idx="134">
                  <c:v>SYY</c:v>
                </c:pt>
                <c:pt idx="135">
                  <c:v>GLW</c:v>
                </c:pt>
                <c:pt idx="136">
                  <c:v>UPS</c:v>
                </c:pt>
                <c:pt idx="137">
                  <c:v>MO</c:v>
                </c:pt>
                <c:pt idx="138">
                  <c:v>PFE</c:v>
                </c:pt>
                <c:pt idx="139">
                  <c:v>AMCR</c:v>
                </c:pt>
                <c:pt idx="140">
                  <c:v>KO</c:v>
                </c:pt>
                <c:pt idx="141">
                  <c:v>ECL</c:v>
                </c:pt>
                <c:pt idx="142">
                  <c:v>ZBRA</c:v>
                </c:pt>
                <c:pt idx="143">
                  <c:v>PYPL</c:v>
                </c:pt>
                <c:pt idx="144">
                  <c:v>KHC</c:v>
                </c:pt>
                <c:pt idx="145">
                  <c:v>REGN</c:v>
                </c:pt>
                <c:pt idx="146">
                  <c:v>XYL</c:v>
                </c:pt>
                <c:pt idx="147">
                  <c:v>HON</c:v>
                </c:pt>
                <c:pt idx="148">
                  <c:v>SOFI</c:v>
                </c:pt>
                <c:pt idx="149">
                  <c:v>PPG</c:v>
                </c:pt>
                <c:pt idx="150">
                  <c:v>VLTO</c:v>
                </c:pt>
                <c:pt idx="151">
                  <c:v>STX</c:v>
                </c:pt>
                <c:pt idx="152">
                  <c:v>SNAP</c:v>
                </c:pt>
                <c:pt idx="153">
                  <c:v>SBUX</c:v>
                </c:pt>
                <c:pt idx="154">
                  <c:v>V</c:v>
                </c:pt>
                <c:pt idx="155">
                  <c:v>ACGL</c:v>
                </c:pt>
                <c:pt idx="156">
                  <c:v>FSLR</c:v>
                </c:pt>
                <c:pt idx="157">
                  <c:v>FRSH</c:v>
                </c:pt>
                <c:pt idx="158">
                  <c:v>CZR</c:v>
                </c:pt>
                <c:pt idx="159">
                  <c:v>TENB</c:v>
                </c:pt>
                <c:pt idx="160">
                  <c:v>MDLZ</c:v>
                </c:pt>
                <c:pt idx="161">
                  <c:v>GEHC</c:v>
                </c:pt>
                <c:pt idx="162">
                  <c:v>HES</c:v>
                </c:pt>
                <c:pt idx="163">
                  <c:v>WDC</c:v>
                </c:pt>
                <c:pt idx="164">
                  <c:v>CAT</c:v>
                </c:pt>
                <c:pt idx="165">
                  <c:v>TT</c:v>
                </c:pt>
                <c:pt idx="166">
                  <c:v>ITW</c:v>
                </c:pt>
                <c:pt idx="167">
                  <c:v>ADP</c:v>
                </c:pt>
                <c:pt idx="168">
                  <c:v>IP</c:v>
                </c:pt>
                <c:pt idx="169">
                  <c:v>YUM</c:v>
                </c:pt>
                <c:pt idx="170">
                  <c:v>GNRC</c:v>
                </c:pt>
                <c:pt idx="171">
                  <c:v>GRMN</c:v>
                </c:pt>
                <c:pt idx="172">
                  <c:v>SWK</c:v>
                </c:pt>
                <c:pt idx="173">
                  <c:v>VMC</c:v>
                </c:pt>
                <c:pt idx="174">
                  <c:v>NCLH</c:v>
                </c:pt>
                <c:pt idx="175">
                  <c:v>MSFT</c:v>
                </c:pt>
                <c:pt idx="176">
                  <c:v>PRU</c:v>
                </c:pt>
                <c:pt idx="177">
                  <c:v>META</c:v>
                </c:pt>
                <c:pt idx="178">
                  <c:v>CHRW</c:v>
                </c:pt>
                <c:pt idx="179">
                  <c:v>FMC</c:v>
                </c:pt>
                <c:pt idx="180">
                  <c:v>AFL</c:v>
                </c:pt>
                <c:pt idx="181">
                  <c:v>ALL</c:v>
                </c:pt>
                <c:pt idx="182">
                  <c:v>CTSH</c:v>
                </c:pt>
                <c:pt idx="183">
                  <c:v>PTC</c:v>
                </c:pt>
                <c:pt idx="184">
                  <c:v>ALGN</c:v>
                </c:pt>
                <c:pt idx="185">
                  <c:v>MGM</c:v>
                </c:pt>
                <c:pt idx="186">
                  <c:v>CWAN</c:v>
                </c:pt>
                <c:pt idx="187">
                  <c:v>EBAY</c:v>
                </c:pt>
                <c:pt idx="188">
                  <c:v>QCOM</c:v>
                </c:pt>
                <c:pt idx="189">
                  <c:v>MET</c:v>
                </c:pt>
                <c:pt idx="190">
                  <c:v>HOOD</c:v>
                </c:pt>
                <c:pt idx="191">
                  <c:v>ALB</c:v>
                </c:pt>
                <c:pt idx="192">
                  <c:v>KLAC</c:v>
                </c:pt>
                <c:pt idx="193">
                  <c:v>CFLT</c:v>
                </c:pt>
                <c:pt idx="194">
                  <c:v>IEX</c:v>
                </c:pt>
                <c:pt idx="195">
                  <c:v>HUBB</c:v>
                </c:pt>
                <c:pt idx="196">
                  <c:v>MA</c:v>
                </c:pt>
                <c:pt idx="197">
                  <c:v>SW</c:v>
                </c:pt>
                <c:pt idx="198">
                  <c:v>BIIB</c:v>
                </c:pt>
                <c:pt idx="199">
                  <c:v>APD</c:v>
                </c:pt>
                <c:pt idx="200">
                  <c:v>MCD</c:v>
                </c:pt>
                <c:pt idx="201">
                  <c:v>FTV</c:v>
                </c:pt>
                <c:pt idx="202">
                  <c:v>PH</c:v>
                </c:pt>
                <c:pt idx="203">
                  <c:v>CAH</c:v>
                </c:pt>
                <c:pt idx="204">
                  <c:v>GWW</c:v>
                </c:pt>
                <c:pt idx="205">
                  <c:v>CHD</c:v>
                </c:pt>
                <c:pt idx="206">
                  <c:v>IDXX</c:v>
                </c:pt>
                <c:pt idx="207">
                  <c:v>KKR</c:v>
                </c:pt>
                <c:pt idx="208">
                  <c:v>AME</c:v>
                </c:pt>
                <c:pt idx="209">
                  <c:v>EL</c:v>
                </c:pt>
                <c:pt idx="210">
                  <c:v>LLY</c:v>
                </c:pt>
                <c:pt idx="211">
                  <c:v>LIN</c:v>
                </c:pt>
                <c:pt idx="212">
                  <c:v>ICE</c:v>
                </c:pt>
                <c:pt idx="213">
                  <c:v>HSY</c:v>
                </c:pt>
                <c:pt idx="214">
                  <c:v>APTV</c:v>
                </c:pt>
                <c:pt idx="215">
                  <c:v>CARR</c:v>
                </c:pt>
                <c:pt idx="216">
                  <c:v>CVS</c:v>
                </c:pt>
                <c:pt idx="217">
                  <c:v>HWM</c:v>
                </c:pt>
                <c:pt idx="218">
                  <c:v>BAX</c:v>
                </c:pt>
                <c:pt idx="219">
                  <c:v>PWR</c:v>
                </c:pt>
                <c:pt idx="220">
                  <c:v>BLDR</c:v>
                </c:pt>
                <c:pt idx="221">
                  <c:v>HII</c:v>
                </c:pt>
                <c:pt idx="222">
                  <c:v>TRGP</c:v>
                </c:pt>
                <c:pt idx="223">
                  <c:v>BR</c:v>
                </c:pt>
                <c:pt idx="224">
                  <c:v>MPWR</c:v>
                </c:pt>
                <c:pt idx="225">
                  <c:v>PCOR</c:v>
                </c:pt>
                <c:pt idx="226">
                  <c:v>TEAM</c:v>
                </c:pt>
                <c:pt idx="227">
                  <c:v>MHK</c:v>
                </c:pt>
                <c:pt idx="228">
                  <c:v>SYK</c:v>
                </c:pt>
                <c:pt idx="229">
                  <c:v>AIG</c:v>
                </c:pt>
                <c:pt idx="230">
                  <c:v>DLB</c:v>
                </c:pt>
                <c:pt idx="231">
                  <c:v>AAPL</c:v>
                </c:pt>
                <c:pt idx="232">
                  <c:v>AJG</c:v>
                </c:pt>
                <c:pt idx="233">
                  <c:v>AMGN</c:v>
                </c:pt>
                <c:pt idx="234">
                  <c:v>HOLX</c:v>
                </c:pt>
                <c:pt idx="235">
                  <c:v>MTD</c:v>
                </c:pt>
                <c:pt idx="236">
                  <c:v>ROKU</c:v>
                </c:pt>
                <c:pt idx="237">
                  <c:v>IR</c:v>
                </c:pt>
                <c:pt idx="238">
                  <c:v>GDDY</c:v>
                </c:pt>
                <c:pt idx="239">
                  <c:v>LYV</c:v>
                </c:pt>
                <c:pt idx="240">
                  <c:v>MNST</c:v>
                </c:pt>
                <c:pt idx="241">
                  <c:v>XYZ</c:v>
                </c:pt>
                <c:pt idx="242">
                  <c:v>AMZN</c:v>
                </c:pt>
                <c:pt idx="243">
                  <c:v>ABNB</c:v>
                </c:pt>
                <c:pt idx="244">
                  <c:v>MSI</c:v>
                </c:pt>
                <c:pt idx="245">
                  <c:v>ETN</c:v>
                </c:pt>
                <c:pt idx="246">
                  <c:v>XOM</c:v>
                </c:pt>
                <c:pt idx="247">
                  <c:v>CVX</c:v>
                </c:pt>
                <c:pt idx="248">
                  <c:v>TROW</c:v>
                </c:pt>
                <c:pt idx="249">
                  <c:v>BEN</c:v>
                </c:pt>
                <c:pt idx="250">
                  <c:v>ZBH</c:v>
                </c:pt>
                <c:pt idx="251">
                  <c:v>TSN</c:v>
                </c:pt>
                <c:pt idx="252">
                  <c:v>CMI</c:v>
                </c:pt>
                <c:pt idx="253">
                  <c:v>ON</c:v>
                </c:pt>
                <c:pt idx="254">
                  <c:v>HSIC</c:v>
                </c:pt>
                <c:pt idx="255">
                  <c:v>CLX</c:v>
                </c:pt>
                <c:pt idx="256">
                  <c:v>F</c:v>
                </c:pt>
                <c:pt idx="257">
                  <c:v>PLTR</c:v>
                </c:pt>
                <c:pt idx="258">
                  <c:v>WMB</c:v>
                </c:pt>
                <c:pt idx="259">
                  <c:v>CE</c:v>
                </c:pt>
                <c:pt idx="260">
                  <c:v>IT</c:v>
                </c:pt>
                <c:pt idx="261">
                  <c:v>ADM</c:v>
                </c:pt>
                <c:pt idx="262">
                  <c:v>IQV</c:v>
                </c:pt>
                <c:pt idx="263">
                  <c:v>FIS</c:v>
                </c:pt>
                <c:pt idx="264">
                  <c:v>BALL</c:v>
                </c:pt>
                <c:pt idx="265">
                  <c:v>LDOS</c:v>
                </c:pt>
                <c:pt idx="266">
                  <c:v>MAR</c:v>
                </c:pt>
                <c:pt idx="267">
                  <c:v>GPN</c:v>
                </c:pt>
                <c:pt idx="268">
                  <c:v>MPC</c:v>
                </c:pt>
                <c:pt idx="269">
                  <c:v>J</c:v>
                </c:pt>
                <c:pt idx="270">
                  <c:v>WAT</c:v>
                </c:pt>
                <c:pt idx="271">
                  <c:v>ZTS</c:v>
                </c:pt>
                <c:pt idx="272">
                  <c:v>DDOG</c:v>
                </c:pt>
                <c:pt idx="273">
                  <c:v>DASH</c:v>
                </c:pt>
                <c:pt idx="274">
                  <c:v>VRNS</c:v>
                </c:pt>
                <c:pt idx="275">
                  <c:v>IFF</c:v>
                </c:pt>
                <c:pt idx="276">
                  <c:v>AMD</c:v>
                </c:pt>
                <c:pt idx="277">
                  <c:v>EA</c:v>
                </c:pt>
                <c:pt idx="278">
                  <c:v>INTA</c:v>
                </c:pt>
                <c:pt idx="279">
                  <c:v>LCID</c:v>
                </c:pt>
                <c:pt idx="280">
                  <c:v>AIZ</c:v>
                </c:pt>
                <c:pt idx="281">
                  <c:v>ANET</c:v>
                </c:pt>
                <c:pt idx="282">
                  <c:v>CPAY</c:v>
                </c:pt>
                <c:pt idx="283">
                  <c:v>KVYO</c:v>
                </c:pt>
                <c:pt idx="284">
                  <c:v>MOS</c:v>
                </c:pt>
                <c:pt idx="285">
                  <c:v>GEN</c:v>
                </c:pt>
                <c:pt idx="286">
                  <c:v>WYNN</c:v>
                </c:pt>
                <c:pt idx="287">
                  <c:v>CDW</c:v>
                </c:pt>
                <c:pt idx="288">
                  <c:v>ROK</c:v>
                </c:pt>
                <c:pt idx="289">
                  <c:v>BG</c:v>
                </c:pt>
                <c:pt idx="290">
                  <c:v>JCI</c:v>
                </c:pt>
                <c:pt idx="291">
                  <c:v>DAY</c:v>
                </c:pt>
                <c:pt idx="292">
                  <c:v>TECH</c:v>
                </c:pt>
                <c:pt idx="293">
                  <c:v>MKTX</c:v>
                </c:pt>
                <c:pt idx="294">
                  <c:v>DIS</c:v>
                </c:pt>
                <c:pt idx="295">
                  <c:v>UBER</c:v>
                </c:pt>
                <c:pt idx="296">
                  <c:v>EMR</c:v>
                </c:pt>
                <c:pt idx="297">
                  <c:v>COR</c:v>
                </c:pt>
                <c:pt idx="298">
                  <c:v>BWA</c:v>
                </c:pt>
                <c:pt idx="299">
                  <c:v>U</c:v>
                </c:pt>
                <c:pt idx="300">
                  <c:v>TRMB</c:v>
                </c:pt>
                <c:pt idx="301">
                  <c:v>AXON</c:v>
                </c:pt>
                <c:pt idx="302">
                  <c:v>SWKS</c:v>
                </c:pt>
                <c:pt idx="303">
                  <c:v>CTVA</c:v>
                </c:pt>
                <c:pt idx="304">
                  <c:v>FTNT</c:v>
                </c:pt>
                <c:pt idx="305">
                  <c:v>PAYC</c:v>
                </c:pt>
                <c:pt idx="306">
                  <c:v>APP</c:v>
                </c:pt>
                <c:pt idx="307">
                  <c:v>CF</c:v>
                </c:pt>
                <c:pt idx="308">
                  <c:v>CENX</c:v>
                </c:pt>
                <c:pt idx="309">
                  <c:v>KVUE</c:v>
                </c:pt>
                <c:pt idx="310">
                  <c:v>MTCH</c:v>
                </c:pt>
                <c:pt idx="311">
                  <c:v>TAP</c:v>
                </c:pt>
                <c:pt idx="312">
                  <c:v>COP</c:v>
                </c:pt>
                <c:pt idx="313">
                  <c:v>TPR</c:v>
                </c:pt>
                <c:pt idx="314">
                  <c:v>VTRS</c:v>
                </c:pt>
                <c:pt idx="315">
                  <c:v>WBD</c:v>
                </c:pt>
                <c:pt idx="316">
                  <c:v>MCK</c:v>
                </c:pt>
                <c:pt idx="317">
                  <c:v>NWS</c:v>
                </c:pt>
                <c:pt idx="318">
                  <c:v>EXPE</c:v>
                </c:pt>
                <c:pt idx="319">
                  <c:v>PODD</c:v>
                </c:pt>
                <c:pt idx="320">
                  <c:v>AKAM</c:v>
                </c:pt>
                <c:pt idx="321">
                  <c:v>DBX</c:v>
                </c:pt>
                <c:pt idx="322">
                  <c:v>SOLV</c:v>
                </c:pt>
                <c:pt idx="323">
                  <c:v>KODK</c:v>
                </c:pt>
                <c:pt idx="324">
                  <c:v>MCHP</c:v>
                </c:pt>
                <c:pt idx="325">
                  <c:v>FOX</c:v>
                </c:pt>
                <c:pt idx="326">
                  <c:v>GCT</c:v>
                </c:pt>
                <c:pt idx="327">
                  <c:v>DVA</c:v>
                </c:pt>
                <c:pt idx="328">
                  <c:v>ASTS</c:v>
                </c:pt>
                <c:pt idx="329">
                  <c:v>KRMN</c:v>
                </c:pt>
                <c:pt idx="330">
                  <c:v>QUIK</c:v>
                </c:pt>
                <c:pt idx="331">
                  <c:v>DT</c:v>
                </c:pt>
                <c:pt idx="332">
                  <c:v>STE</c:v>
                </c:pt>
                <c:pt idx="333">
                  <c:v>CSCO</c:v>
                </c:pt>
                <c:pt idx="334">
                  <c:v>STN</c:v>
                </c:pt>
                <c:pt idx="335">
                  <c:v>DE</c:v>
                </c:pt>
                <c:pt idx="336">
                  <c:v>WMT</c:v>
                </c:pt>
                <c:pt idx="337">
                  <c:v>WMS</c:v>
                </c:pt>
                <c:pt idx="338">
                  <c:v>TTWO</c:v>
                </c:pt>
                <c:pt idx="339">
                  <c:v>AMAT</c:v>
                </c:pt>
                <c:pt idx="340">
                  <c:v>DOCS</c:v>
                </c:pt>
                <c:pt idx="341">
                  <c:v>RBC</c:v>
                </c:pt>
                <c:pt idx="342">
                  <c:v>FLO</c:v>
                </c:pt>
                <c:pt idx="343">
                  <c:v>HD</c:v>
                </c:pt>
                <c:pt idx="344">
                  <c:v>EXP</c:v>
                </c:pt>
                <c:pt idx="345">
                  <c:v>PANW</c:v>
                </c:pt>
                <c:pt idx="346">
                  <c:v>TOL</c:v>
                </c:pt>
                <c:pt idx="347">
                  <c:v>MDT</c:v>
                </c:pt>
                <c:pt idx="348">
                  <c:v>LOW</c:v>
                </c:pt>
                <c:pt idx="349">
                  <c:v>TJX</c:v>
                </c:pt>
                <c:pt idx="350">
                  <c:v>TGT</c:v>
                </c:pt>
                <c:pt idx="351">
                  <c:v>ZM</c:v>
                </c:pt>
                <c:pt idx="352">
                  <c:v>ADI</c:v>
                </c:pt>
                <c:pt idx="353">
                  <c:v>RL</c:v>
                </c:pt>
                <c:pt idx="354">
                  <c:v>BJ</c:v>
                </c:pt>
                <c:pt idx="355">
                  <c:v>WSM</c:v>
                </c:pt>
                <c:pt idx="356">
                  <c:v>CPRT</c:v>
                </c:pt>
                <c:pt idx="357">
                  <c:v>DECK</c:v>
                </c:pt>
                <c:pt idx="358">
                  <c:v>INTU</c:v>
                </c:pt>
                <c:pt idx="359">
                  <c:v>ROST</c:v>
                </c:pt>
                <c:pt idx="360">
                  <c:v>WDAY</c:v>
                </c:pt>
                <c:pt idx="361">
                  <c:v>ADSK</c:v>
                </c:pt>
                <c:pt idx="362">
                  <c:v>BOX</c:v>
                </c:pt>
                <c:pt idx="363">
                  <c:v>OKTA</c:v>
                </c:pt>
                <c:pt idx="364">
                  <c:v>SMTC</c:v>
                </c:pt>
                <c:pt idx="365">
                  <c:v>M</c:v>
                </c:pt>
                <c:pt idx="366">
                  <c:v>ANF</c:v>
                </c:pt>
                <c:pt idx="367">
                  <c:v>DKS</c:v>
                </c:pt>
                <c:pt idx="368">
                  <c:v>ELF</c:v>
                </c:pt>
                <c:pt idx="369">
                  <c:v>SNPS</c:v>
                </c:pt>
                <c:pt idx="370">
                  <c:v>NTNX</c:v>
                </c:pt>
                <c:pt idx="371">
                  <c:v>NVDA</c:v>
                </c:pt>
                <c:pt idx="372">
                  <c:v>CRM</c:v>
                </c:pt>
                <c:pt idx="373">
                  <c:v>A</c:v>
                </c:pt>
                <c:pt idx="374">
                  <c:v>AI</c:v>
                </c:pt>
                <c:pt idx="375">
                  <c:v>HPQ</c:v>
                </c:pt>
                <c:pt idx="376">
                  <c:v>PSTG</c:v>
                </c:pt>
                <c:pt idx="377">
                  <c:v>VEEV</c:v>
                </c:pt>
                <c:pt idx="378">
                  <c:v>S</c:v>
                </c:pt>
                <c:pt idx="379">
                  <c:v>HRL</c:v>
                </c:pt>
                <c:pt idx="380">
                  <c:v>BBY</c:v>
                </c:pt>
                <c:pt idx="381">
                  <c:v>BURL</c:v>
                </c:pt>
                <c:pt idx="382">
                  <c:v>AEO</c:v>
                </c:pt>
                <c:pt idx="383">
                  <c:v>PATH</c:v>
                </c:pt>
                <c:pt idx="384">
                  <c:v>DELL</c:v>
                </c:pt>
                <c:pt idx="385">
                  <c:v>NTAP</c:v>
                </c:pt>
                <c:pt idx="386">
                  <c:v>ESTC</c:v>
                </c:pt>
                <c:pt idx="387">
                  <c:v>ZS</c:v>
                </c:pt>
                <c:pt idx="388">
                  <c:v>GAP</c:v>
                </c:pt>
                <c:pt idx="389">
                  <c:v>COST</c:v>
                </c:pt>
                <c:pt idx="390">
                  <c:v>ULTA</c:v>
                </c:pt>
                <c:pt idx="391">
                  <c:v>CPB</c:v>
                </c:pt>
                <c:pt idx="392">
                  <c:v>DG</c:v>
                </c:pt>
                <c:pt idx="393">
                  <c:v>OLLI</c:v>
                </c:pt>
                <c:pt idx="394">
                  <c:v>HQY</c:v>
                </c:pt>
                <c:pt idx="395">
                  <c:v>ASAN</c:v>
                </c:pt>
                <c:pt idx="396">
                  <c:v>CRWD</c:v>
                </c:pt>
                <c:pt idx="397">
                  <c:v>HPE</c:v>
                </c:pt>
                <c:pt idx="398">
                  <c:v>REVG</c:v>
                </c:pt>
                <c:pt idx="399">
                  <c:v>DLTR</c:v>
                </c:pt>
                <c:pt idx="400">
                  <c:v>VSCO</c:v>
                </c:pt>
                <c:pt idx="401">
                  <c:v>CIEN</c:v>
                </c:pt>
                <c:pt idx="402">
                  <c:v>DOCU</c:v>
                </c:pt>
                <c:pt idx="403">
                  <c:v>AVGO</c:v>
                </c:pt>
                <c:pt idx="404">
                  <c:v>CASY</c:v>
                </c:pt>
                <c:pt idx="405">
                  <c:v>CNM</c:v>
                </c:pt>
                <c:pt idx="406">
                  <c:v>GTLB</c:v>
                </c:pt>
                <c:pt idx="407">
                  <c:v>CHWY</c:v>
                </c:pt>
                <c:pt idx="408">
                  <c:v>ORCL</c:v>
                </c:pt>
                <c:pt idx="409">
                  <c:v>ADBE</c:v>
                </c:pt>
                <c:pt idx="410">
                  <c:v>LEN</c:v>
                </c:pt>
                <c:pt idx="411">
                  <c:v>JBL</c:v>
                </c:pt>
                <c:pt idx="412">
                  <c:v>DRI</c:v>
                </c:pt>
                <c:pt idx="413">
                  <c:v>SNX</c:v>
                </c:pt>
                <c:pt idx="414">
                  <c:v>CCL</c:v>
                </c:pt>
                <c:pt idx="415">
                  <c:v>GIS</c:v>
                </c:pt>
                <c:pt idx="416">
                  <c:v>MU</c:v>
                </c:pt>
                <c:pt idx="417">
                  <c:v>MKC</c:v>
                </c:pt>
                <c:pt idx="418">
                  <c:v>NKE</c:v>
                </c:pt>
              </c:strCache>
            </c:strRef>
          </c:cat>
          <c:val>
            <c:numRef>
              <c:f>'2025-Q2'!$P$4:$P$422</c:f>
              <c:numCache>
                <c:formatCode>0.0</c:formatCode>
                <c:ptCount val="419"/>
                <c:pt idx="0">
                  <c:v>-0.47844667409884589</c:v>
                </c:pt>
                <c:pt idx="1">
                  <c:v>0.6788440567066546</c:v>
                </c:pt>
                <c:pt idx="2">
                  <c:v>-5.8708702097371709E-2</c:v>
                </c:pt>
                <c:pt idx="3">
                  <c:v>-0.41461997570379494</c:v>
                </c:pt>
                <c:pt idx="4">
                  <c:v>-0.20591226313297187</c:v>
                </c:pt>
                <c:pt idx="5">
                  <c:v>-0.65265631118652934</c:v>
                </c:pt>
                <c:pt idx="6">
                  <c:v>-0.57703133796209216</c:v>
                </c:pt>
                <c:pt idx="7">
                  <c:v>-0.12754541056428245</c:v>
                </c:pt>
                <c:pt idx="8">
                  <c:v>0.52449909662109329</c:v>
                </c:pt>
                <c:pt idx="9">
                  <c:v>0.10024269283528475</c:v>
                </c:pt>
                <c:pt idx="10">
                  <c:v>0.25572076347147576</c:v>
                </c:pt>
                <c:pt idx="11">
                  <c:v>0.51358967366602826</c:v>
                </c:pt>
                <c:pt idx="12">
                  <c:v>0.30152802815692448</c:v>
                </c:pt>
                <c:pt idx="13">
                  <c:v>0.1446834240304033</c:v>
                </c:pt>
                <c:pt idx="14">
                  <c:v>0.87706313374287925</c:v>
                </c:pt>
                <c:pt idx="15">
                  <c:v>0.65547263681592127</c:v>
                </c:pt>
                <c:pt idx="16">
                  <c:v>0.36227168206863897</c:v>
                </c:pt>
                <c:pt idx="17">
                  <c:v>0.17689188023125638</c:v>
                </c:pt>
                <c:pt idx="18">
                  <c:v>-5.540166204986359E-2</c:v>
                </c:pt>
                <c:pt idx="19">
                  <c:v>0.4588549094174173</c:v>
                </c:pt>
                <c:pt idx="20">
                  <c:v>0.40922321023258257</c:v>
                </c:pt>
                <c:pt idx="21">
                  <c:v>0.29396496565378466</c:v>
                </c:pt>
                <c:pt idx="22">
                  <c:v>3.6563071297992945E-2</c:v>
                </c:pt>
                <c:pt idx="23">
                  <c:v>-0.11131725417439868</c:v>
                </c:pt>
                <c:pt idx="24">
                  <c:v>-0.86441458411821259</c:v>
                </c:pt>
                <c:pt idx="25">
                  <c:v>-2.9368362277223206</c:v>
                </c:pt>
                <c:pt idx="26">
                  <c:v>0.41203703703703776</c:v>
                </c:pt>
                <c:pt idx="27">
                  <c:v>-0.56518462697814609</c:v>
                </c:pt>
                <c:pt idx="28">
                  <c:v>-0.9737436967483889</c:v>
                </c:pt>
                <c:pt idx="29">
                  <c:v>0.43262879788639569</c:v>
                </c:pt>
                <c:pt idx="30">
                  <c:v>-0.55016731892688953</c:v>
                </c:pt>
                <c:pt idx="31">
                  <c:v>0.51841085271317866</c:v>
                </c:pt>
                <c:pt idx="32">
                  <c:v>-0.5093579720445407</c:v>
                </c:pt>
                <c:pt idx="33">
                  <c:v>1.9769096947663419E-3</c:v>
                </c:pt>
                <c:pt idx="34">
                  <c:v>-0.90423079140007756</c:v>
                </c:pt>
                <c:pt idx="35">
                  <c:v>-0.82128514056224966</c:v>
                </c:pt>
                <c:pt idx="36">
                  <c:v>-0.33750708507239552</c:v>
                </c:pt>
                <c:pt idx="37">
                  <c:v>0.2019888129272854</c:v>
                </c:pt>
                <c:pt idx="38">
                  <c:v>0.19475247422998271</c:v>
                </c:pt>
                <c:pt idx="39">
                  <c:v>6.6834991831277585E-2</c:v>
                </c:pt>
                <c:pt idx="40">
                  <c:v>-2.0108535773452827</c:v>
                </c:pt>
                <c:pt idx="41">
                  <c:v>-0.63271328921481373</c:v>
                </c:pt>
                <c:pt idx="42">
                  <c:v>1.3724148418491529</c:v>
                </c:pt>
                <c:pt idx="43">
                  <c:v>0.76161106438650539</c:v>
                </c:pt>
                <c:pt idx="44">
                  <c:v>-0.36493516577374024</c:v>
                </c:pt>
                <c:pt idx="45">
                  <c:v>-1.0181892231942513E-2</c:v>
                </c:pt>
                <c:pt idx="46">
                  <c:v>-1.196204584775086</c:v>
                </c:pt>
                <c:pt idx="47">
                  <c:v>-1.4611133068588897</c:v>
                </c:pt>
                <c:pt idx="48">
                  <c:v>-0.51730927576701302</c:v>
                </c:pt>
                <c:pt idx="49">
                  <c:v>-1.5316101067766166</c:v>
                </c:pt>
                <c:pt idx="50">
                  <c:v>-0.83172699364602887</c:v>
                </c:pt>
                <c:pt idx="51">
                  <c:v>0.95104026224654503</c:v>
                </c:pt>
                <c:pt idx="52">
                  <c:v>-1.3023471800067539</c:v>
                </c:pt>
                <c:pt idx="53">
                  <c:v>0.4926597949853756</c:v>
                </c:pt>
                <c:pt idx="54">
                  <c:v>0.74013730486972718</c:v>
                </c:pt>
                <c:pt idx="55">
                  <c:v>0.61509852304831358</c:v>
                </c:pt>
                <c:pt idx="56">
                  <c:v>-0.67778936392075173</c:v>
                </c:pt>
                <c:pt idx="57">
                  <c:v>1.8934431343190481</c:v>
                </c:pt>
                <c:pt idx="58">
                  <c:v>0.66588327457892682</c:v>
                </c:pt>
                <c:pt idx="59">
                  <c:v>1.1829222170861893</c:v>
                </c:pt>
                <c:pt idx="60">
                  <c:v>0.50099512730766804</c:v>
                </c:pt>
                <c:pt idx="61">
                  <c:v>1.429652119688003</c:v>
                </c:pt>
                <c:pt idx="62">
                  <c:v>2.6032953105196457</c:v>
                </c:pt>
                <c:pt idx="63">
                  <c:v>0.94042712626451763</c:v>
                </c:pt>
                <c:pt idx="64">
                  <c:v>-0.26273491592482923</c:v>
                </c:pt>
                <c:pt idx="65">
                  <c:v>1.1772910000820407</c:v>
                </c:pt>
                <c:pt idx="66">
                  <c:v>-0.37878787878787878</c:v>
                </c:pt>
                <c:pt idx="67">
                  <c:v>-0.83653455401436883</c:v>
                </c:pt>
                <c:pt idx="68">
                  <c:v>0.12869644797803798</c:v>
                </c:pt>
                <c:pt idx="69">
                  <c:v>0.4905246481018824</c:v>
                </c:pt>
                <c:pt idx="70">
                  <c:v>0.66200010852460855</c:v>
                </c:pt>
                <c:pt idx="71">
                  <c:v>-0.55950946427675097</c:v>
                </c:pt>
                <c:pt idx="72">
                  <c:v>1.1508306163639201</c:v>
                </c:pt>
                <c:pt idx="73">
                  <c:v>-0.19226103833090941</c:v>
                </c:pt>
                <c:pt idx="74">
                  <c:v>0.86796422935297268</c:v>
                </c:pt>
                <c:pt idx="75">
                  <c:v>-0.50699006232103838</c:v>
                </c:pt>
                <c:pt idx="76">
                  <c:v>1.367071968452185</c:v>
                </c:pt>
                <c:pt idx="77">
                  <c:v>-0.28447777342511454</c:v>
                </c:pt>
                <c:pt idx="78">
                  <c:v>-0.97122644071478859</c:v>
                </c:pt>
                <c:pt idx="79">
                  <c:v>-4.3630017452006967E-2</c:v>
                </c:pt>
                <c:pt idx="80">
                  <c:v>0.15039649986327858</c:v>
                </c:pt>
                <c:pt idx="81">
                  <c:v>-0.88466269278077625</c:v>
                </c:pt>
                <c:pt idx="82">
                  <c:v>-0.73430241270792684</c:v>
                </c:pt>
                <c:pt idx="83">
                  <c:v>-0.56818181818181868</c:v>
                </c:pt>
                <c:pt idx="84">
                  <c:v>-1.847075080608015</c:v>
                </c:pt>
                <c:pt idx="85">
                  <c:v>-0.17997537179122858</c:v>
                </c:pt>
                <c:pt idx="86">
                  <c:v>-0.5259558720006432</c:v>
                </c:pt>
                <c:pt idx="87">
                  <c:v>1.0065931853640998E-2</c:v>
                </c:pt>
                <c:pt idx="88">
                  <c:v>0.87435920769254116</c:v>
                </c:pt>
                <c:pt idx="89">
                  <c:v>-0.31746031746031877</c:v>
                </c:pt>
                <c:pt idx="90">
                  <c:v>1.2039454598201336</c:v>
                </c:pt>
                <c:pt idx="91">
                  <c:v>-0.2183406113537118</c:v>
                </c:pt>
                <c:pt idx="92">
                  <c:v>0.27586206896551685</c:v>
                </c:pt>
                <c:pt idx="93">
                  <c:v>-0.85781897061723633</c:v>
                </c:pt>
                <c:pt idx="94">
                  <c:v>-0.63821260394750068</c:v>
                </c:pt>
                <c:pt idx="95">
                  <c:v>9.7366861400389942E-2</c:v>
                </c:pt>
                <c:pt idx="96">
                  <c:v>9.4896668072543516E-2</c:v>
                </c:pt>
                <c:pt idx="97">
                  <c:v>0.20262380658012236</c:v>
                </c:pt>
                <c:pt idx="98">
                  <c:v>-0.37515631513130654</c:v>
                </c:pt>
                <c:pt idx="99">
                  <c:v>-0.64482949600443118</c:v>
                </c:pt>
                <c:pt idx="100">
                  <c:v>-1.2526096033402927</c:v>
                </c:pt>
                <c:pt idx="101">
                  <c:v>-0.45941081746708345</c:v>
                </c:pt>
                <c:pt idx="102">
                  <c:v>-1.9262478233399594E-2</c:v>
                </c:pt>
                <c:pt idx="103">
                  <c:v>-1.2097286851272664</c:v>
                </c:pt>
                <c:pt idx="104">
                  <c:v>-2.5159342502514902E-2</c:v>
                </c:pt>
                <c:pt idx="105">
                  <c:v>0.75991916192361575</c:v>
                </c:pt>
                <c:pt idx="106">
                  <c:v>0.19590740433073134</c:v>
                </c:pt>
                <c:pt idx="107">
                  <c:v>-1.3649759578098331</c:v>
                </c:pt>
                <c:pt idx="108">
                  <c:v>0.58111929976672605</c:v>
                </c:pt>
                <c:pt idx="109">
                  <c:v>-0.54482650337572458</c:v>
                </c:pt>
                <c:pt idx="110">
                  <c:v>0.30537265006202885</c:v>
                </c:pt>
                <c:pt idx="111">
                  <c:v>0.22447225140892255</c:v>
                </c:pt>
                <c:pt idx="112">
                  <c:v>0.43154369624010203</c:v>
                </c:pt>
                <c:pt idx="113">
                  <c:v>0.62371791317846614</c:v>
                </c:pt>
                <c:pt idx="114">
                  <c:v>0.50161812297734587</c:v>
                </c:pt>
                <c:pt idx="115">
                  <c:v>1.2013041879143926</c:v>
                </c:pt>
                <c:pt idx="116">
                  <c:v>0.47819971870604788</c:v>
                </c:pt>
                <c:pt idx="117">
                  <c:v>0.38830318018135018</c:v>
                </c:pt>
                <c:pt idx="118">
                  <c:v>1.0230367262824782</c:v>
                </c:pt>
                <c:pt idx="119">
                  <c:v>-0.43471555529851669</c:v>
                </c:pt>
                <c:pt idx="120">
                  <c:v>0.20874438820736982</c:v>
                </c:pt>
                <c:pt idx="121">
                  <c:v>-0.36959431930621167</c:v>
                </c:pt>
                <c:pt idx="122">
                  <c:v>-1.0445682451253449</c:v>
                </c:pt>
                <c:pt idx="123">
                  <c:v>-0.3168974233221426</c:v>
                </c:pt>
                <c:pt idx="124">
                  <c:v>1.25059451012366</c:v>
                </c:pt>
                <c:pt idx="125">
                  <c:v>0.22747952684258282</c:v>
                </c:pt>
                <c:pt idx="126">
                  <c:v>0.41606952984143125</c:v>
                </c:pt>
                <c:pt idx="127">
                  <c:v>-0.6572345976319518</c:v>
                </c:pt>
                <c:pt idx="128">
                  <c:v>0.22563176895306858</c:v>
                </c:pt>
                <c:pt idx="129">
                  <c:v>-0.39621282288772047</c:v>
                </c:pt>
                <c:pt idx="130">
                  <c:v>-0.56184668989546904</c:v>
                </c:pt>
                <c:pt idx="131">
                  <c:v>-0.24580873507589798</c:v>
                </c:pt>
                <c:pt idx="132">
                  <c:v>-0.4692351114874424</c:v>
                </c:pt>
                <c:pt idx="133">
                  <c:v>0.97421410980733336</c:v>
                </c:pt>
                <c:pt idx="134">
                  <c:v>0.48755088516519984</c:v>
                </c:pt>
                <c:pt idx="135">
                  <c:v>0.34013605442176942</c:v>
                </c:pt>
                <c:pt idx="136">
                  <c:v>0.18711161465307258</c:v>
                </c:pt>
                <c:pt idx="137">
                  <c:v>-0.34083748639514178</c:v>
                </c:pt>
                <c:pt idx="138">
                  <c:v>0.15907447577729636</c:v>
                </c:pt>
                <c:pt idx="139">
                  <c:v>8.6535133264107097E-2</c:v>
                </c:pt>
                <c:pt idx="140">
                  <c:v>-0.13929516645772541</c:v>
                </c:pt>
                <c:pt idx="141">
                  <c:v>-0.45112886806398078</c:v>
                </c:pt>
                <c:pt idx="142">
                  <c:v>-1.2745218831711091</c:v>
                </c:pt>
                <c:pt idx="143">
                  <c:v>-0.36962883104882122</c:v>
                </c:pt>
                <c:pt idx="144">
                  <c:v>-4.9172740946430406E-2</c:v>
                </c:pt>
                <c:pt idx="145">
                  <c:v>1.3399142192973843</c:v>
                </c:pt>
                <c:pt idx="146">
                  <c:v>-0.44283413848631287</c:v>
                </c:pt>
                <c:pt idx="147">
                  <c:v>-0.5639722249908643</c:v>
                </c:pt>
                <c:pt idx="148">
                  <c:v>1.1742424242424243</c:v>
                </c:pt>
                <c:pt idx="149">
                  <c:v>1.009857752946089</c:v>
                </c:pt>
                <c:pt idx="150">
                  <c:v>-0.23991119704945049</c:v>
                </c:pt>
                <c:pt idx="151">
                  <c:v>1.1305147058823555</c:v>
                </c:pt>
                <c:pt idx="152">
                  <c:v>2.420242024202421</c:v>
                </c:pt>
                <c:pt idx="153">
                  <c:v>-1.6656845413474741</c:v>
                </c:pt>
                <c:pt idx="154">
                  <c:v>-0.345514171937222</c:v>
                </c:pt>
                <c:pt idx="155">
                  <c:v>-0.71797092037377741</c:v>
                </c:pt>
                <c:pt idx="156">
                  <c:v>2.0019673564558453</c:v>
                </c:pt>
                <c:pt idx="157">
                  <c:v>0.5578800557880037</c:v>
                </c:pt>
                <c:pt idx="158">
                  <c:v>0.43467905204239599</c:v>
                </c:pt>
                <c:pt idx="159">
                  <c:v>-2.254057798891528</c:v>
                </c:pt>
                <c:pt idx="160">
                  <c:v>0.6143691292206116</c:v>
                </c:pt>
                <c:pt idx="161">
                  <c:v>1.0794536642678805</c:v>
                </c:pt>
                <c:pt idx="162">
                  <c:v>0.32694532468185639</c:v>
                </c:pt>
                <c:pt idx="163">
                  <c:v>-0.96832430658132485</c:v>
                </c:pt>
                <c:pt idx="164">
                  <c:v>0.42344393840815459</c:v>
                </c:pt>
                <c:pt idx="165">
                  <c:v>0.96999019164026024</c:v>
                </c:pt>
                <c:pt idx="166">
                  <c:v>-0.12892106170286141</c:v>
                </c:pt>
                <c:pt idx="167">
                  <c:v>-0.28344096200876656</c:v>
                </c:pt>
                <c:pt idx="168">
                  <c:v>1.2492126810833513</c:v>
                </c:pt>
                <c:pt idx="169">
                  <c:v>-2.2569797097521896E-2</c:v>
                </c:pt>
                <c:pt idx="170">
                  <c:v>0.46950429765689455</c:v>
                </c:pt>
                <c:pt idx="171">
                  <c:v>-1.4796668299853017</c:v>
                </c:pt>
                <c:pt idx="172">
                  <c:v>-5.4412884971169681E-3</c:v>
                </c:pt>
                <c:pt idx="173">
                  <c:v>0.5196657835744859</c:v>
                </c:pt>
                <c:pt idx="174">
                  <c:v>1.668584579976983</c:v>
                </c:pt>
                <c:pt idx="175">
                  <c:v>1.511663209026969</c:v>
                </c:pt>
                <c:pt idx="176">
                  <c:v>5.6794210235938045E-2</c:v>
                </c:pt>
                <c:pt idx="177">
                  <c:v>1.3076806314511247</c:v>
                </c:pt>
                <c:pt idx="178">
                  <c:v>0.30075468878427625</c:v>
                </c:pt>
                <c:pt idx="179">
                  <c:v>0.53276081424936805</c:v>
                </c:pt>
                <c:pt idx="180">
                  <c:v>-0.4876702245123325</c:v>
                </c:pt>
                <c:pt idx="181">
                  <c:v>-0.31083555958801756</c:v>
                </c:pt>
                <c:pt idx="182">
                  <c:v>0.71134067328168049</c:v>
                </c:pt>
                <c:pt idx="183">
                  <c:v>0.56301219590888707</c:v>
                </c:pt>
                <c:pt idx="184">
                  <c:v>-1.6060780919407547</c:v>
                </c:pt>
                <c:pt idx="185">
                  <c:v>-0.83704174613265103</c:v>
                </c:pt>
                <c:pt idx="186">
                  <c:v>-9.5279976546467318E-2</c:v>
                </c:pt>
                <c:pt idx="187">
                  <c:v>0.4621478873239438</c:v>
                </c:pt>
                <c:pt idx="188">
                  <c:v>1.0855898334006933</c:v>
                </c:pt>
                <c:pt idx="189">
                  <c:v>-0.21781433815399379</c:v>
                </c:pt>
                <c:pt idx="190">
                  <c:v>0.68383900088237481</c:v>
                </c:pt>
                <c:pt idx="191">
                  <c:v>-0.80273270708795719</c:v>
                </c:pt>
                <c:pt idx="192">
                  <c:v>-0.3199609121139243</c:v>
                </c:pt>
                <c:pt idx="193">
                  <c:v>1.9739605207895847</c:v>
                </c:pt>
                <c:pt idx="194">
                  <c:v>-0.96089364066601579</c:v>
                </c:pt>
                <c:pt idx="195">
                  <c:v>0.12620004772656351</c:v>
                </c:pt>
                <c:pt idx="196">
                  <c:v>5.8995973676849701E-2</c:v>
                </c:pt>
                <c:pt idx="197">
                  <c:v>0.230049182928763</c:v>
                </c:pt>
                <c:pt idx="198">
                  <c:v>9.7731527364829193E-2</c:v>
                </c:pt>
                <c:pt idx="199">
                  <c:v>0.76665805943905285</c:v>
                </c:pt>
                <c:pt idx="200">
                  <c:v>-0.33865165024245297</c:v>
                </c:pt>
                <c:pt idx="201">
                  <c:v>1.0546706844597495</c:v>
                </c:pt>
                <c:pt idx="202">
                  <c:v>0.25810112495730464</c:v>
                </c:pt>
                <c:pt idx="203">
                  <c:v>-0.15098969023521425</c:v>
                </c:pt>
                <c:pt idx="204">
                  <c:v>0.34836459014686444</c:v>
                </c:pt>
                <c:pt idx="205">
                  <c:v>-1.0662036104959396</c:v>
                </c:pt>
                <c:pt idx="206">
                  <c:v>1.3686967910936489</c:v>
                </c:pt>
                <c:pt idx="207">
                  <c:v>-0.18815087074472578</c:v>
                </c:pt>
                <c:pt idx="208">
                  <c:v>-0.16314816998859988</c:v>
                </c:pt>
                <c:pt idx="209">
                  <c:v>0.22515010006671177</c:v>
                </c:pt>
                <c:pt idx="210">
                  <c:v>-1.0187811706249894</c:v>
                </c:pt>
                <c:pt idx="211">
                  <c:v>-0.58064705925615478</c:v>
                </c:pt>
                <c:pt idx="212">
                  <c:v>-0.17165763727649724</c:v>
                </c:pt>
                <c:pt idx="213">
                  <c:v>8.7724544928921122E-2</c:v>
                </c:pt>
                <c:pt idx="214">
                  <c:v>0.54328776726253136</c:v>
                </c:pt>
                <c:pt idx="215">
                  <c:v>-1.3804498454322569</c:v>
                </c:pt>
                <c:pt idx="216">
                  <c:v>1.4465597361714904</c:v>
                </c:pt>
                <c:pt idx="217">
                  <c:v>0.94770770192908971</c:v>
                </c:pt>
                <c:pt idx="218">
                  <c:v>-0.52400812747299685</c:v>
                </c:pt>
                <c:pt idx="219">
                  <c:v>1.5670732401744727</c:v>
                </c:pt>
                <c:pt idx="220">
                  <c:v>0.49876006575831078</c:v>
                </c:pt>
                <c:pt idx="221">
                  <c:v>0.54412318022633399</c:v>
                </c:pt>
                <c:pt idx="222">
                  <c:v>0.18529354398283535</c:v>
                </c:pt>
                <c:pt idx="223">
                  <c:v>-0.35891089108910884</c:v>
                </c:pt>
                <c:pt idx="224">
                  <c:v>0.36151787643568178</c:v>
                </c:pt>
                <c:pt idx="225">
                  <c:v>-0.40737225122607107</c:v>
                </c:pt>
                <c:pt idx="226">
                  <c:v>-1.7709288281602413</c:v>
                </c:pt>
                <c:pt idx="227">
                  <c:v>0.46500704556129741</c:v>
                </c:pt>
                <c:pt idx="228">
                  <c:v>-4.4564471420814608E-3</c:v>
                </c:pt>
                <c:pt idx="229">
                  <c:v>-4.329539831766533E-2</c:v>
                </c:pt>
                <c:pt idx="230">
                  <c:v>0.7219742714623294</c:v>
                </c:pt>
                <c:pt idx="231">
                  <c:v>-0.5648790549409306</c:v>
                </c:pt>
                <c:pt idx="232">
                  <c:v>0.66978340259413105</c:v>
                </c:pt>
                <c:pt idx="233">
                  <c:v>0.45340287076843733</c:v>
                </c:pt>
                <c:pt idx="234">
                  <c:v>0.57320763500930905</c:v>
                </c:pt>
                <c:pt idx="235">
                  <c:v>-0.28645882627597347</c:v>
                </c:pt>
                <c:pt idx="236">
                  <c:v>1.8371240275506671</c:v>
                </c:pt>
                <c:pt idx="237">
                  <c:v>-4.811267112802279E-2</c:v>
                </c:pt>
                <c:pt idx="238">
                  <c:v>-1.7034033409579299</c:v>
                </c:pt>
                <c:pt idx="239">
                  <c:v>4.3145018019390309E-2</c:v>
                </c:pt>
                <c:pt idx="240">
                  <c:v>9.8006272401430505E-2</c:v>
                </c:pt>
                <c:pt idx="241">
                  <c:v>3.7491450068399446</c:v>
                </c:pt>
                <c:pt idx="242">
                  <c:v>0.10821941815633122</c:v>
                </c:pt>
                <c:pt idx="243">
                  <c:v>0.39109749213773504</c:v>
                </c:pt>
                <c:pt idx="244">
                  <c:v>-0.82771654977684461</c:v>
                </c:pt>
                <c:pt idx="245">
                  <c:v>0.43868372781718817</c:v>
                </c:pt>
                <c:pt idx="246">
                  <c:v>-0.30566584735614943</c:v>
                </c:pt>
                <c:pt idx="247">
                  <c:v>-0.1975390185429827</c:v>
                </c:pt>
                <c:pt idx="248">
                  <c:v>-0.52863519443183626</c:v>
                </c:pt>
                <c:pt idx="249">
                  <c:v>-0.40021344717182844</c:v>
                </c:pt>
                <c:pt idx="250">
                  <c:v>0.45419027153740987</c:v>
                </c:pt>
                <c:pt idx="251">
                  <c:v>-0.87459560234687672</c:v>
                </c:pt>
                <c:pt idx="252">
                  <c:v>-0.50692012673003195</c:v>
                </c:pt>
                <c:pt idx="253">
                  <c:v>0.69951483337310016</c:v>
                </c:pt>
                <c:pt idx="254">
                  <c:v>5.8703420112303624E-2</c:v>
                </c:pt>
                <c:pt idx="255">
                  <c:v>0.52869908712093694</c:v>
                </c:pt>
                <c:pt idx="256">
                  <c:v>-0.13110455588331626</c:v>
                </c:pt>
                <c:pt idx="257">
                  <c:v>-1.489321591123322</c:v>
                </c:pt>
                <c:pt idx="258">
                  <c:v>-0.27145310509113252</c:v>
                </c:pt>
                <c:pt idx="259">
                  <c:v>-1.0591169682078767</c:v>
                </c:pt>
                <c:pt idx="260">
                  <c:v>0.36808905959685811</c:v>
                </c:pt>
                <c:pt idx="261">
                  <c:v>-0.29122807017543972</c:v>
                </c:pt>
                <c:pt idx="262">
                  <c:v>0.27029984679360852</c:v>
                </c:pt>
                <c:pt idx="263">
                  <c:v>-0.26387470207694796</c:v>
                </c:pt>
                <c:pt idx="264">
                  <c:v>-0.46287367405978541</c:v>
                </c:pt>
                <c:pt idx="265">
                  <c:v>0.23320264972285984</c:v>
                </c:pt>
                <c:pt idx="266">
                  <c:v>0.59786198622288289</c:v>
                </c:pt>
                <c:pt idx="267">
                  <c:v>0.17245005257623583</c:v>
                </c:pt>
                <c:pt idx="268">
                  <c:v>-0.16163166585269265</c:v>
                </c:pt>
                <c:pt idx="269">
                  <c:v>1.145068309247413</c:v>
                </c:pt>
                <c:pt idx="270">
                  <c:v>0.30713588610138343</c:v>
                </c:pt>
                <c:pt idx="271">
                  <c:v>-0.17082120713652921</c:v>
                </c:pt>
                <c:pt idx="272">
                  <c:v>0.16240933459476437</c:v>
                </c:pt>
                <c:pt idx="273">
                  <c:v>-0.94530996429730907</c:v>
                </c:pt>
                <c:pt idx="274">
                  <c:v>-0.60424666817257733</c:v>
                </c:pt>
                <c:pt idx="275">
                  <c:v>0.33880471380471189</c:v>
                </c:pt>
                <c:pt idx="276">
                  <c:v>-0.35996755222064414</c:v>
                </c:pt>
                <c:pt idx="277">
                  <c:v>0.37368965963504636</c:v>
                </c:pt>
                <c:pt idx="278">
                  <c:v>0.33514017602144897</c:v>
                </c:pt>
                <c:pt idx="279">
                  <c:v>7.1530758226037203E-2</c:v>
                </c:pt>
                <c:pt idx="280">
                  <c:v>0.44147878542783081</c:v>
                </c:pt>
                <c:pt idx="281">
                  <c:v>-0.89787374683265297</c:v>
                </c:pt>
                <c:pt idx="282">
                  <c:v>0.49087212806603486</c:v>
                </c:pt>
                <c:pt idx="283">
                  <c:v>-1.3238396624472559</c:v>
                </c:pt>
                <c:pt idx="284">
                  <c:v>-4.3787629994526137E-2</c:v>
                </c:pt>
                <c:pt idx="285">
                  <c:v>-0.82296526697771011</c:v>
                </c:pt>
                <c:pt idx="286">
                  <c:v>0.53480204342273285</c:v>
                </c:pt>
                <c:pt idx="287">
                  <c:v>4.7784623518167799E-2</c:v>
                </c:pt>
                <c:pt idx="288">
                  <c:v>1.7750115260488706</c:v>
                </c:pt>
                <c:pt idx="289">
                  <c:v>-0.45206414193108418</c:v>
                </c:pt>
                <c:pt idx="290">
                  <c:v>-5.817663176068804E-2</c:v>
                </c:pt>
                <c:pt idx="291">
                  <c:v>1.0024631952798306</c:v>
                </c:pt>
                <c:pt idx="292">
                  <c:v>-0.79281922324671694</c:v>
                </c:pt>
                <c:pt idx="293">
                  <c:v>-0.7922637772340686</c:v>
                </c:pt>
                <c:pt idx="294">
                  <c:v>-1.8534591877328126</c:v>
                </c:pt>
                <c:pt idx="295">
                  <c:v>-0.52429220552254319</c:v>
                </c:pt>
                <c:pt idx="296">
                  <c:v>-1.1948043876821717</c:v>
                </c:pt>
                <c:pt idx="297">
                  <c:v>0.27222814437834558</c:v>
                </c:pt>
                <c:pt idx="298">
                  <c:v>-0.57471264367816099</c:v>
                </c:pt>
                <c:pt idx="299">
                  <c:v>0</c:v>
                </c:pt>
                <c:pt idx="300">
                  <c:v>3.4217730048433377E-2</c:v>
                </c:pt>
                <c:pt idx="301">
                  <c:v>1.2340345396740982</c:v>
                </c:pt>
                <c:pt idx="302">
                  <c:v>-8.7220893141960899E-3</c:v>
                </c:pt>
                <c:pt idx="303">
                  <c:v>0.57351685872812508</c:v>
                </c:pt>
                <c:pt idx="304">
                  <c:v>-1.4242878560719665</c:v>
                </c:pt>
                <c:pt idx="305">
                  <c:v>1.0444454162475778</c:v>
                </c:pt>
                <c:pt idx="306">
                  <c:v>2.2265427623629703</c:v>
                </c:pt>
                <c:pt idx="307">
                  <c:v>0.72706241996116772</c:v>
                </c:pt>
                <c:pt idx="308">
                  <c:v>0.42140750105352059</c:v>
                </c:pt>
                <c:pt idx="309">
                  <c:v>1.0024520409635078</c:v>
                </c:pt>
                <c:pt idx="310">
                  <c:v>-8.7777046302390041E-2</c:v>
                </c:pt>
                <c:pt idx="311">
                  <c:v>1.3165611072015007</c:v>
                </c:pt>
                <c:pt idx="312">
                  <c:v>-0.31353323452286236</c:v>
                </c:pt>
                <c:pt idx="313">
                  <c:v>0.98996655518394527</c:v>
                </c:pt>
                <c:pt idx="314">
                  <c:v>-0.77519379844961245</c:v>
                </c:pt>
                <c:pt idx="315">
                  <c:v>0.77881619937694702</c:v>
                </c:pt>
                <c:pt idx="316">
                  <c:v>0.53724495955571649</c:v>
                </c:pt>
                <c:pt idx="317">
                  <c:v>0.36923076923077025</c:v>
                </c:pt>
                <c:pt idx="318">
                  <c:v>-1.6174527092332893</c:v>
                </c:pt>
                <c:pt idx="319">
                  <c:v>2.3365758754863797</c:v>
                </c:pt>
                <c:pt idx="320">
                  <c:v>0.47596754057428026</c:v>
                </c:pt>
                <c:pt idx="321">
                  <c:v>0.3255866172673153</c:v>
                </c:pt>
                <c:pt idx="322">
                  <c:v>0.33268297563660093</c:v>
                </c:pt>
                <c:pt idx="323">
                  <c:v>-1.6666666666666667</c:v>
                </c:pt>
                <c:pt idx="324">
                  <c:v>-2.2418939085605736</c:v>
                </c:pt>
                <c:pt idx="325">
                  <c:v>0.78838470319634701</c:v>
                </c:pt>
                <c:pt idx="326">
                  <c:v>-1.5932914046121627</c:v>
                </c:pt>
                <c:pt idx="327">
                  <c:v>-0.21579080985021629</c:v>
                </c:pt>
                <c:pt idx="328">
                  <c:v>-0.77626411389297933</c:v>
                </c:pt>
                <c:pt idx="329">
                  <c:v>0.56855909694555473</c:v>
                </c:pt>
                <c:pt idx="330">
                  <c:v>0.83969465648854902</c:v>
                </c:pt>
                <c:pt idx="331">
                  <c:v>0.33966495185331791</c:v>
                </c:pt>
                <c:pt idx="332">
                  <c:v>0.93772893772894006</c:v>
                </c:pt>
                <c:pt idx="333">
                  <c:v>0.48403763528580168</c:v>
                </c:pt>
                <c:pt idx="334">
                  <c:v>0.21378800675675777</c:v>
                </c:pt>
                <c:pt idx="335">
                  <c:v>0.66499162479062179</c:v>
                </c:pt>
                <c:pt idx="336">
                  <c:v>-0.43547110055423727</c:v>
                </c:pt>
                <c:pt idx="337">
                  <c:v>2.0422419460881014</c:v>
                </c:pt>
                <c:pt idx="338">
                  <c:v>0.3041519612062788</c:v>
                </c:pt>
                <c:pt idx="339">
                  <c:v>-0.60276585598474031</c:v>
                </c:pt>
                <c:pt idx="340">
                  <c:v>-2.8457370972341036</c:v>
                </c:pt>
                <c:pt idx="341">
                  <c:v>-0.1007433223514014</c:v>
                </c:pt>
                <c:pt idx="342">
                  <c:v>0.42960359304823531</c:v>
                </c:pt>
                <c:pt idx="343">
                  <c:v>0.30707997258685266</c:v>
                </c:pt>
                <c:pt idx="344">
                  <c:v>-0.91272301439691406</c:v>
                </c:pt>
                <c:pt idx="345">
                  <c:v>-0.83299053887289143</c:v>
                </c:pt>
                <c:pt idx="346">
                  <c:v>-0.37875163461231776</c:v>
                </c:pt>
                <c:pt idx="347">
                  <c:v>4.2453012234185669E-2</c:v>
                </c:pt>
                <c:pt idx="348">
                  <c:v>-0.10450450450450231</c:v>
                </c:pt>
                <c:pt idx="349">
                  <c:v>-0.46690876750908095</c:v>
                </c:pt>
                <c:pt idx="350">
                  <c:v>1.1244734338904749</c:v>
                </c:pt>
                <c:pt idx="351">
                  <c:v>-0.32920059965155385</c:v>
                </c:pt>
                <c:pt idx="352">
                  <c:v>-5.7000570005699386E-2</c:v>
                </c:pt>
                <c:pt idx="353">
                  <c:v>-0.61523294873667522</c:v>
                </c:pt>
                <c:pt idx="354">
                  <c:v>0.36595744680850911</c:v>
                </c:pt>
                <c:pt idx="355">
                  <c:v>-1.1334762585358096</c:v>
                </c:pt>
                <c:pt idx="356">
                  <c:v>-0.85723705901747582</c:v>
                </c:pt>
                <c:pt idx="357">
                  <c:v>3.7215481005630893</c:v>
                </c:pt>
                <c:pt idx="358">
                  <c:v>1.3494577646994048</c:v>
                </c:pt>
                <c:pt idx="359">
                  <c:v>-1.9321291735084853</c:v>
                </c:pt>
                <c:pt idx="360">
                  <c:v>-1.8668602442998738</c:v>
                </c:pt>
                <c:pt idx="361">
                  <c:v>0</c:v>
                </c:pt>
                <c:pt idx="362">
                  <c:v>1.8071012188659246</c:v>
                </c:pt>
                <c:pt idx="363">
                  <c:v>-2.1713147410358555</c:v>
                </c:pt>
                <c:pt idx="364">
                  <c:v>-0.28365136668385837</c:v>
                </c:pt>
                <c:pt idx="365">
                  <c:v>-0.63676633444075548</c:v>
                </c:pt>
                <c:pt idx="366">
                  <c:v>-5.7744653272845063</c:v>
                </c:pt>
                <c:pt idx="367">
                  <c:v>-0.98821413538438119</c:v>
                </c:pt>
                <c:pt idx="368">
                  <c:v>3.3830570902394128</c:v>
                </c:pt>
                <c:pt idx="369">
                  <c:v>0.38095855949368962</c:v>
                </c:pt>
                <c:pt idx="370">
                  <c:v>0.27894002789400346</c:v>
                </c:pt>
                <c:pt idx="371">
                  <c:v>0.91981307024701553</c:v>
                </c:pt>
                <c:pt idx="372">
                  <c:v>-0.75112608532889003</c:v>
                </c:pt>
                <c:pt idx="373">
                  <c:v>0.91239778739778932</c:v>
                </c:pt>
                <c:pt idx="374">
                  <c:v>2.5847089487402264</c:v>
                </c:pt>
                <c:pt idx="375">
                  <c:v>-2.0741421568627452</c:v>
                </c:pt>
                <c:pt idx="376">
                  <c:v>-1.0760488453633184</c:v>
                </c:pt>
                <c:pt idx="377">
                  <c:v>2.4236996602555894</c:v>
                </c:pt>
                <c:pt idx="378">
                  <c:v>-2.3046941196407396</c:v>
                </c:pt>
                <c:pt idx="379">
                  <c:v>-0.40501553484243236</c:v>
                </c:pt>
                <c:pt idx="380">
                  <c:v>-0.73406040268455985</c:v>
                </c:pt>
                <c:pt idx="381">
                  <c:v>1.1882308562806481</c:v>
                </c:pt>
                <c:pt idx="382">
                  <c:v>1.5503875968992216</c:v>
                </c:pt>
                <c:pt idx="383">
                  <c:v>2.4729520865533217</c:v>
                </c:pt>
                <c:pt idx="384">
                  <c:v>-0.16867611252896775</c:v>
                </c:pt>
                <c:pt idx="385">
                  <c:v>0.79125088196754167</c:v>
                </c:pt>
                <c:pt idx="386">
                  <c:v>-2.5716251946828934</c:v>
                </c:pt>
                <c:pt idx="387">
                  <c:v>0.77787954813958915</c:v>
                </c:pt>
                <c:pt idx="388">
                  <c:v>-3.0292188431723317</c:v>
                </c:pt>
                <c:pt idx="389">
                  <c:v>-0.10640336789790654</c:v>
                </c:pt>
                <c:pt idx="390">
                  <c:v>1.8322704031231958</c:v>
                </c:pt>
                <c:pt idx="391">
                  <c:v>-0.39659224441833252</c:v>
                </c:pt>
                <c:pt idx="392">
                  <c:v>1.6791876779527255</c:v>
                </c:pt>
                <c:pt idx="393">
                  <c:v>-0.76542768644269643</c:v>
                </c:pt>
                <c:pt idx="394">
                  <c:v>1.3364173734258527</c:v>
                </c:pt>
                <c:pt idx="395">
                  <c:v>-2.0175438596491229</c:v>
                </c:pt>
                <c:pt idx="396">
                  <c:v>-1.1593965681861582</c:v>
                </c:pt>
                <c:pt idx="397">
                  <c:v>1.3943847748257028</c:v>
                </c:pt>
                <c:pt idx="398">
                  <c:v>2.2299838796346041</c:v>
                </c:pt>
                <c:pt idx="399">
                  <c:v>-0.99858698649021194</c:v>
                </c:pt>
                <c:pt idx="400">
                  <c:v>-0.20354991043803941</c:v>
                </c:pt>
                <c:pt idx="401">
                  <c:v>-1.3966702427782418</c:v>
                </c:pt>
                <c:pt idx="402">
                  <c:v>-2.8919985647649811</c:v>
                </c:pt>
                <c:pt idx="403">
                  <c:v>-0.56361328049859927</c:v>
                </c:pt>
                <c:pt idx="404">
                  <c:v>2.1523367251701586</c:v>
                </c:pt>
                <c:pt idx="405">
                  <c:v>-0.56744760941625716</c:v>
                </c:pt>
                <c:pt idx="406">
                  <c:v>-2.2435236720951033</c:v>
                </c:pt>
                <c:pt idx="407">
                  <c:v>-1.5068792312732044</c:v>
                </c:pt>
                <c:pt idx="408">
                  <c:v>1.2832142722152942</c:v>
                </c:pt>
                <c:pt idx="409">
                  <c:v>0.85331657319667342</c:v>
                </c:pt>
                <c:pt idx="410">
                  <c:v>0.79182748269313297</c:v>
                </c:pt>
                <c:pt idx="411">
                  <c:v>0.40279467610514952</c:v>
                </c:pt>
                <c:pt idx="412">
                  <c:v>6.1354283576506137E-2</c:v>
                </c:pt>
                <c:pt idx="413">
                  <c:v>5.3552769070010345E-2</c:v>
                </c:pt>
                <c:pt idx="414">
                  <c:v>0.71408763172490519</c:v>
                </c:pt>
                <c:pt idx="415">
                  <c:v>0.42438993946202336</c:v>
                </c:pt>
                <c:pt idx="416">
                  <c:v>0.29862475442043135</c:v>
                </c:pt>
                <c:pt idx="417">
                  <c:v>-0.76045627376425884</c:v>
                </c:pt>
                <c:pt idx="418">
                  <c:v>1.9320967913868488</c:v>
                </c:pt>
              </c:numCache>
            </c:numRef>
          </c:val>
          <c:extLst>
            <c:ext xmlns:c14="http://schemas.microsoft.com/office/drawing/2007/8/2/chart" uri="{6F2FDCE9-48DA-4B69-8628-5D25D57E5C99}">
              <c14:invertSolidFillFmt>
                <c14:spPr xmlns:c14="http://schemas.microsoft.com/office/drawing/2007/8/2/chart">
                  <a:solidFill>
                    <a:srgbClr val="FF9999"/>
                  </a:solidFill>
                  <a:ln>
                    <a:solidFill>
                      <a:sysClr val="windowText" lastClr="000000"/>
                    </a:solidFill>
                  </a:ln>
                  <a:effectLst/>
                </c14:spPr>
              </c14:invertSolidFillFmt>
            </c:ext>
            <c:ext xmlns:c16="http://schemas.microsoft.com/office/drawing/2014/chart" uri="{C3380CC4-5D6E-409C-BE32-E72D297353CC}">
              <c16:uniqueId val="{00000000-E519-45E5-AE47-561E4D29947F}"/>
            </c:ext>
          </c:extLst>
        </c:ser>
        <c:dLbls>
          <c:showLegendKey val="0"/>
          <c:showVal val="0"/>
          <c:showCatName val="0"/>
          <c:showSerName val="0"/>
          <c:showPercent val="0"/>
          <c:showBubbleSize val="0"/>
        </c:dLbls>
        <c:gapWidth val="0"/>
        <c:axId val="1238446752"/>
        <c:axId val="1238447232"/>
      </c:barChart>
      <c:lineChart>
        <c:grouping val="standard"/>
        <c:varyColors val="0"/>
        <c:dLbls>
          <c:showLegendKey val="0"/>
          <c:showVal val="0"/>
          <c:showCatName val="0"/>
          <c:showSerName val="0"/>
          <c:showPercent val="0"/>
          <c:showBubbleSize val="0"/>
        </c:dLbls>
        <c:marker val="1"/>
        <c:smooth val="0"/>
        <c:axId val="875843759"/>
        <c:axId val="875850479"/>
        <c:extLst>
          <c:ext xmlns:c15="http://schemas.microsoft.com/office/drawing/2012/chart" uri="{02D57815-91ED-43cb-92C2-25804820EDAC}">
            <c15:filteredLineSeries>
              <c15:ser>
                <c:idx val="1"/>
                <c:order val="1"/>
                <c:tx>
                  <c:v>R</c:v>
                </c:tx>
                <c:spPr>
                  <a:ln w="19050" cap="rnd">
                    <a:solidFill>
                      <a:sysClr val="windowText" lastClr="000000"/>
                    </a:solidFill>
                    <a:prstDash val="sysDash"/>
                    <a:round/>
                  </a:ln>
                  <a:effectLst/>
                </c:spPr>
                <c:marker>
                  <c:symbol val="none"/>
                </c:marker>
                <c:val>
                  <c:numRef>
                    <c:extLst>
                      <c:ext uri="{02D57815-91ED-43cb-92C2-25804820EDAC}">
                        <c15:formulaRef>
                          <c15:sqref>'2025-Q2'!$Q$4:$Q$422</c15:sqref>
                        </c15:formulaRef>
                      </c:ext>
                    </c:extLst>
                    <c:numCache>
                      <c:formatCode>0</c:formatCode>
                      <c:ptCount val="419"/>
                      <c:pt idx="0">
                        <c:v>-0.47844667409884589</c:v>
                      </c:pt>
                      <c:pt idx="1">
                        <c:v>0.20039738260780871</c:v>
                      </c:pt>
                      <c:pt idx="2">
                        <c:v>0.14168868051043698</c:v>
                      </c:pt>
                      <c:pt idx="3">
                        <c:v>-0.27293129519335796</c:v>
                      </c:pt>
                      <c:pt idx="4">
                        <c:v>-0.47884355832632985</c:v>
                      </c:pt>
                      <c:pt idx="5">
                        <c:v>-1.1314998695128593</c:v>
                      </c:pt>
                      <c:pt idx="6">
                        <c:v>-1.7085312074749515</c:v>
                      </c:pt>
                      <c:pt idx="7">
                        <c:v>-1.8360766180392338</c:v>
                      </c:pt>
                      <c:pt idx="8">
                        <c:v>-1.3115775214181404</c:v>
                      </c:pt>
                      <c:pt idx="9">
                        <c:v>-1.2113348285828556</c:v>
                      </c:pt>
                      <c:pt idx="10">
                        <c:v>-0.95561406511137981</c:v>
                      </c:pt>
                      <c:pt idx="11">
                        <c:v>-0.44202439144535155</c:v>
                      </c:pt>
                      <c:pt idx="12">
                        <c:v>-0.14049636328842707</c:v>
                      </c:pt>
                      <c:pt idx="13">
                        <c:v>4.1870607419762229E-3</c:v>
                      </c:pt>
                      <c:pt idx="14">
                        <c:v>0.88125019448485542</c:v>
                      </c:pt>
                      <c:pt idx="15">
                        <c:v>1.5367228313007768</c:v>
                      </c:pt>
                      <c:pt idx="16">
                        <c:v>1.8989945133694157</c:v>
                      </c:pt>
                      <c:pt idx="17">
                        <c:v>2.0758863936006722</c:v>
                      </c:pt>
                      <c:pt idx="18">
                        <c:v>2.0204847315508085</c:v>
                      </c:pt>
                      <c:pt idx="19">
                        <c:v>2.479339640968226</c:v>
                      </c:pt>
                      <c:pt idx="20">
                        <c:v>2.8885628512008088</c:v>
                      </c:pt>
                      <c:pt idx="21">
                        <c:v>3.1825278168545936</c:v>
                      </c:pt>
                      <c:pt idx="22">
                        <c:v>3.2190908881525866</c:v>
                      </c:pt>
                      <c:pt idx="23">
                        <c:v>3.1077736339781881</c:v>
                      </c:pt>
                      <c:pt idx="24">
                        <c:v>2.2433590498599756</c:v>
                      </c:pt>
                      <c:pt idx="25">
                        <c:v>-0.69347717786234497</c:v>
                      </c:pt>
                      <c:pt idx="26">
                        <c:v>-0.28144014082530722</c:v>
                      </c:pt>
                      <c:pt idx="27">
                        <c:v>-0.8466247678034533</c:v>
                      </c:pt>
                      <c:pt idx="28">
                        <c:v>-1.8203684645518421</c:v>
                      </c:pt>
                      <c:pt idx="29">
                        <c:v>-1.3877396666654465</c:v>
                      </c:pt>
                      <c:pt idx="30">
                        <c:v>-1.9379069855923361</c:v>
                      </c:pt>
                      <c:pt idx="31">
                        <c:v>-1.4194961328791575</c:v>
                      </c:pt>
                      <c:pt idx="32">
                        <c:v>-1.9288541049236982</c:v>
                      </c:pt>
                      <c:pt idx="33">
                        <c:v>-1.9268771952289319</c:v>
                      </c:pt>
                      <c:pt idx="34">
                        <c:v>-2.8311079866290094</c:v>
                      </c:pt>
                      <c:pt idx="35">
                        <c:v>-3.6523931271912593</c:v>
                      </c:pt>
                      <c:pt idx="36">
                        <c:v>-3.9899002122636547</c:v>
                      </c:pt>
                      <c:pt idx="37">
                        <c:v>-3.7879113993363691</c:v>
                      </c:pt>
                      <c:pt idx="38">
                        <c:v>-3.5931589251063865</c:v>
                      </c:pt>
                      <c:pt idx="39">
                        <c:v>-3.5263239332751088</c:v>
                      </c:pt>
                      <c:pt idx="40">
                        <c:v>-5.537177510620392</c:v>
                      </c:pt>
                      <c:pt idx="41">
                        <c:v>-6.1698907998352057</c:v>
                      </c:pt>
                      <c:pt idx="42">
                        <c:v>-4.7974759579860526</c:v>
                      </c:pt>
                      <c:pt idx="43">
                        <c:v>-4.0358648935995474</c:v>
                      </c:pt>
                      <c:pt idx="44">
                        <c:v>-4.4008000593732879</c:v>
                      </c:pt>
                      <c:pt idx="45">
                        <c:v>-4.4109819516052307</c:v>
                      </c:pt>
                      <c:pt idx="46">
                        <c:v>-5.6071865363803166</c:v>
                      </c:pt>
                      <c:pt idx="47">
                        <c:v>-7.0682998432392061</c:v>
                      </c:pt>
                      <c:pt idx="48">
                        <c:v>-7.5856091190062189</c:v>
                      </c:pt>
                      <c:pt idx="49">
                        <c:v>-9.1172192257828364</c:v>
                      </c:pt>
                      <c:pt idx="50">
                        <c:v>-9.9489462194288656</c:v>
                      </c:pt>
                      <c:pt idx="51">
                        <c:v>-8.9979059571823203</c:v>
                      </c:pt>
                      <c:pt idx="52">
                        <c:v>-10.300253137189074</c:v>
                      </c:pt>
                      <c:pt idx="53">
                        <c:v>-9.8075933422036989</c:v>
                      </c:pt>
                      <c:pt idx="54">
                        <c:v>-9.0674560373339723</c:v>
                      </c:pt>
                      <c:pt idx="55">
                        <c:v>-8.4523575142856586</c:v>
                      </c:pt>
                      <c:pt idx="56">
                        <c:v>-9.1301468782064106</c:v>
                      </c:pt>
                      <c:pt idx="57">
                        <c:v>-7.2367037438873627</c:v>
                      </c:pt>
                      <c:pt idx="58">
                        <c:v>-6.570820469308436</c:v>
                      </c:pt>
                      <c:pt idx="59">
                        <c:v>-5.3878982522222465</c:v>
                      </c:pt>
                      <c:pt idx="60">
                        <c:v>-4.8869031249145785</c:v>
                      </c:pt>
                      <c:pt idx="61">
                        <c:v>-3.4572510052265755</c:v>
                      </c:pt>
                      <c:pt idx="62">
                        <c:v>-0.85395569470692978</c:v>
                      </c:pt>
                      <c:pt idx="63">
                        <c:v>8.6471431557587852E-2</c:v>
                      </c:pt>
                      <c:pt idx="64">
                        <c:v>-0.17626348436724137</c:v>
                      </c:pt>
                      <c:pt idx="65">
                        <c:v>1.0010275157147994</c:v>
                      </c:pt>
                      <c:pt idx="66">
                        <c:v>0.62223963692692064</c:v>
                      </c:pt>
                      <c:pt idx="67">
                        <c:v>-0.21429491708744819</c:v>
                      </c:pt>
                      <c:pt idx="68">
                        <c:v>-8.5598469109410213E-2</c:v>
                      </c:pt>
                      <c:pt idx="69">
                        <c:v>0.40492617899247219</c:v>
                      </c:pt>
                      <c:pt idx="70">
                        <c:v>1.0669262875170809</c:v>
                      </c:pt>
                      <c:pt idx="71">
                        <c:v>0.50741682324032988</c:v>
                      </c:pt>
                      <c:pt idx="72">
                        <c:v>1.6582474396042501</c:v>
                      </c:pt>
                      <c:pt idx="73">
                        <c:v>1.4659864012733408</c:v>
                      </c:pt>
                      <c:pt idx="74">
                        <c:v>2.3339506306263136</c:v>
                      </c:pt>
                      <c:pt idx="75">
                        <c:v>1.8269605683052752</c:v>
                      </c:pt>
                      <c:pt idx="76">
                        <c:v>3.1940325367574602</c:v>
                      </c:pt>
                      <c:pt idx="77">
                        <c:v>2.9095547633323458</c:v>
                      </c:pt>
                      <c:pt idx="78">
                        <c:v>1.9383283226175572</c:v>
                      </c:pt>
                      <c:pt idx="79">
                        <c:v>1.8946983051655502</c:v>
                      </c:pt>
                      <c:pt idx="80">
                        <c:v>2.0450948050288287</c:v>
                      </c:pt>
                      <c:pt idx="81">
                        <c:v>1.1604321122480523</c:v>
                      </c:pt>
                      <c:pt idx="82">
                        <c:v>0.42612969954012547</c:v>
                      </c:pt>
                      <c:pt idx="83">
                        <c:v>-0.1420521186416932</c:v>
                      </c:pt>
                      <c:pt idx="84">
                        <c:v>-1.9891271992497082</c:v>
                      </c:pt>
                      <c:pt idx="85">
                        <c:v>-2.1691025710409368</c:v>
                      </c:pt>
                      <c:pt idx="86">
                        <c:v>-2.6950584430415798</c:v>
                      </c:pt>
                      <c:pt idx="87">
                        <c:v>-2.6849925111879389</c:v>
                      </c:pt>
                      <c:pt idx="88">
                        <c:v>-1.8106333034953979</c:v>
                      </c:pt>
                      <c:pt idx="89">
                        <c:v>-2.1280936209557169</c:v>
                      </c:pt>
                      <c:pt idx="90">
                        <c:v>-0.92414816113558329</c:v>
                      </c:pt>
                      <c:pt idx="91">
                        <c:v>-1.1424887724892951</c:v>
                      </c:pt>
                      <c:pt idx="92">
                        <c:v>-0.86662670352377824</c:v>
                      </c:pt>
                      <c:pt idx="93">
                        <c:v>-1.7244456741410146</c:v>
                      </c:pt>
                      <c:pt idx="94">
                        <c:v>-2.3626582780885155</c:v>
                      </c:pt>
                      <c:pt idx="95">
                        <c:v>-2.2652914166881257</c:v>
                      </c:pt>
                      <c:pt idx="96">
                        <c:v>-2.1703947486155823</c:v>
                      </c:pt>
                      <c:pt idx="97">
                        <c:v>-1.9677709420354601</c:v>
                      </c:pt>
                      <c:pt idx="98">
                        <c:v>-2.3429272571667665</c:v>
                      </c:pt>
                      <c:pt idx="99">
                        <c:v>-2.9877567531711975</c:v>
                      </c:pt>
                      <c:pt idx="100">
                        <c:v>-4.2403663565114904</c:v>
                      </c:pt>
                      <c:pt idx="101">
                        <c:v>-4.6997771739785739</c:v>
                      </c:pt>
                      <c:pt idx="102">
                        <c:v>-4.7190396522119737</c:v>
                      </c:pt>
                      <c:pt idx="103">
                        <c:v>-5.9287683373392399</c:v>
                      </c:pt>
                      <c:pt idx="104">
                        <c:v>-5.9539276798417546</c:v>
                      </c:pt>
                      <c:pt idx="105">
                        <c:v>-5.1940085179181388</c:v>
                      </c:pt>
                      <c:pt idx="106">
                        <c:v>-4.9981011135874072</c:v>
                      </c:pt>
                      <c:pt idx="107">
                        <c:v>-6.3630770713972407</c:v>
                      </c:pt>
                      <c:pt idx="108">
                        <c:v>-5.7819577716305144</c:v>
                      </c:pt>
                      <c:pt idx="109">
                        <c:v>-6.3267842750062391</c:v>
                      </c:pt>
                      <c:pt idx="110">
                        <c:v>-6.0214116249442107</c:v>
                      </c:pt>
                      <c:pt idx="111">
                        <c:v>-5.7969393735352881</c:v>
                      </c:pt>
                      <c:pt idx="112">
                        <c:v>-5.3653956772951865</c:v>
                      </c:pt>
                      <c:pt idx="113">
                        <c:v>-4.7416777641167203</c:v>
                      </c:pt>
                      <c:pt idx="114">
                        <c:v>-4.2400596411393741</c:v>
                      </c:pt>
                      <c:pt idx="115">
                        <c:v>-3.0387554532249812</c:v>
                      </c:pt>
                      <c:pt idx="116">
                        <c:v>-2.5605557345189331</c:v>
                      </c:pt>
                      <c:pt idx="117">
                        <c:v>-2.1722525543375828</c:v>
                      </c:pt>
                      <c:pt idx="118">
                        <c:v>-1.1492158280551046</c:v>
                      </c:pt>
                      <c:pt idx="119">
                        <c:v>-1.5839313833536213</c:v>
                      </c:pt>
                      <c:pt idx="120">
                        <c:v>-1.3751869951462514</c:v>
                      </c:pt>
                      <c:pt idx="121">
                        <c:v>-1.7447813144524631</c:v>
                      </c:pt>
                      <c:pt idx="122">
                        <c:v>-2.7893495595778077</c:v>
                      </c:pt>
                      <c:pt idx="123">
                        <c:v>-3.1062469828999504</c:v>
                      </c:pt>
                      <c:pt idx="124">
                        <c:v>-1.8556524727762904</c:v>
                      </c:pt>
                      <c:pt idx="125">
                        <c:v>-1.6281729459337075</c:v>
                      </c:pt>
                      <c:pt idx="126">
                        <c:v>-1.2121034160922763</c:v>
                      </c:pt>
                      <c:pt idx="127">
                        <c:v>-1.8693380137242281</c:v>
                      </c:pt>
                      <c:pt idx="128">
                        <c:v>-1.6437062447711597</c:v>
                      </c:pt>
                      <c:pt idx="129">
                        <c:v>-2.0399190676588801</c:v>
                      </c:pt>
                      <c:pt idx="130">
                        <c:v>-2.6017657575543494</c:v>
                      </c:pt>
                      <c:pt idx="131">
                        <c:v>-2.8475744926302475</c:v>
                      </c:pt>
                      <c:pt idx="132">
                        <c:v>-3.3168096041176898</c:v>
                      </c:pt>
                      <c:pt idx="133">
                        <c:v>-2.3425954943103564</c:v>
                      </c:pt>
                      <c:pt idx="134">
                        <c:v>-1.8550446091451565</c:v>
                      </c:pt>
                      <c:pt idx="135">
                        <c:v>-1.5149085547233869</c:v>
                      </c:pt>
                      <c:pt idx="136">
                        <c:v>-1.3277969400703142</c:v>
                      </c:pt>
                      <c:pt idx="137">
                        <c:v>-1.668634426465456</c:v>
                      </c:pt>
                      <c:pt idx="138">
                        <c:v>-1.5095599506881596</c:v>
                      </c:pt>
                      <c:pt idx="139">
                        <c:v>-1.4230248174240525</c:v>
                      </c:pt>
                      <c:pt idx="140">
                        <c:v>-1.5623199838817778</c:v>
                      </c:pt>
                      <c:pt idx="141">
                        <c:v>-2.0134488519457587</c:v>
                      </c:pt>
                      <c:pt idx="142">
                        <c:v>-3.2879707351168679</c:v>
                      </c:pt>
                      <c:pt idx="143">
                        <c:v>-3.6575995661656893</c:v>
                      </c:pt>
                      <c:pt idx="144">
                        <c:v>-3.7067723071121197</c:v>
                      </c:pt>
                      <c:pt idx="145">
                        <c:v>-2.3668580878147356</c:v>
                      </c:pt>
                      <c:pt idx="146">
                        <c:v>-2.8096922263010486</c:v>
                      </c:pt>
                      <c:pt idx="147">
                        <c:v>-3.3736644512919129</c:v>
                      </c:pt>
                      <c:pt idx="148">
                        <c:v>-2.1994220270494886</c:v>
                      </c:pt>
                      <c:pt idx="149">
                        <c:v>-1.1895642741033996</c:v>
                      </c:pt>
                      <c:pt idx="150">
                        <c:v>-1.4294754711528501</c:v>
                      </c:pt>
                      <c:pt idx="151">
                        <c:v>-0.29896076527049464</c:v>
                      </c:pt>
                      <c:pt idx="152">
                        <c:v>2.1212812589319263</c:v>
                      </c:pt>
                      <c:pt idx="153">
                        <c:v>0.45559671758445219</c:v>
                      </c:pt>
                      <c:pt idx="154">
                        <c:v>0.11008254564723019</c:v>
                      </c:pt>
                      <c:pt idx="155">
                        <c:v>-0.60788837472654722</c:v>
                      </c:pt>
                      <c:pt idx="156">
                        <c:v>1.3940789817292982</c:v>
                      </c:pt>
                      <c:pt idx="157">
                        <c:v>1.9519590375173019</c:v>
                      </c:pt>
                      <c:pt idx="158">
                        <c:v>2.3866380895596979</c:v>
                      </c:pt>
                      <c:pt idx="159">
                        <c:v>0.1325802906681699</c:v>
                      </c:pt>
                      <c:pt idx="160">
                        <c:v>0.7469494198887815</c:v>
                      </c:pt>
                      <c:pt idx="161">
                        <c:v>1.8264030841566621</c:v>
                      </c:pt>
                      <c:pt idx="162">
                        <c:v>2.1533484088385184</c:v>
                      </c:pt>
                      <c:pt idx="163">
                        <c:v>1.1850241022571937</c:v>
                      </c:pt>
                      <c:pt idx="164">
                        <c:v>1.6084680406653482</c:v>
                      </c:pt>
                      <c:pt idx="165">
                        <c:v>2.5784582323056084</c:v>
                      </c:pt>
                      <c:pt idx="166">
                        <c:v>2.4495371706027469</c:v>
                      </c:pt>
                      <c:pt idx="167">
                        <c:v>2.1660962085939803</c:v>
                      </c:pt>
                      <c:pt idx="168">
                        <c:v>3.4153088896773314</c:v>
                      </c:pt>
                      <c:pt idx="169">
                        <c:v>3.3927390925798093</c:v>
                      </c:pt>
                      <c:pt idx="170">
                        <c:v>3.8622433902367037</c:v>
                      </c:pt>
                      <c:pt idx="171">
                        <c:v>2.382576560251402</c:v>
                      </c:pt>
                      <c:pt idx="172">
                        <c:v>2.3771352717542849</c:v>
                      </c:pt>
                      <c:pt idx="173">
                        <c:v>2.8968010553287709</c:v>
                      </c:pt>
                      <c:pt idx="174">
                        <c:v>4.5653856353057538</c:v>
                      </c:pt>
                      <c:pt idx="175">
                        <c:v>6.0770488443327224</c:v>
                      </c:pt>
                      <c:pt idx="176">
                        <c:v>6.1338430545686604</c:v>
                      </c:pt>
                      <c:pt idx="177">
                        <c:v>7.4415236860197851</c:v>
                      </c:pt>
                      <c:pt idx="178">
                        <c:v>7.7422783748040613</c:v>
                      </c:pt>
                      <c:pt idx="179">
                        <c:v>8.2750391890534303</c:v>
                      </c:pt>
                      <c:pt idx="180">
                        <c:v>7.7873689645410975</c:v>
                      </c:pt>
                      <c:pt idx="181">
                        <c:v>7.4765334049530798</c:v>
                      </c:pt>
                      <c:pt idx="182">
                        <c:v>8.1878740782347599</c:v>
                      </c:pt>
                      <c:pt idx="183">
                        <c:v>8.7508862741436477</c:v>
                      </c:pt>
                      <c:pt idx="184">
                        <c:v>7.144808182202893</c:v>
                      </c:pt>
                      <c:pt idx="185">
                        <c:v>6.3077664360702421</c:v>
                      </c:pt>
                      <c:pt idx="186">
                        <c:v>6.2124864595237748</c:v>
                      </c:pt>
                      <c:pt idx="187">
                        <c:v>6.6746343468477187</c:v>
                      </c:pt>
                      <c:pt idx="188">
                        <c:v>7.7602241802484118</c:v>
                      </c:pt>
                      <c:pt idx="189">
                        <c:v>7.5424098420944183</c:v>
                      </c:pt>
                      <c:pt idx="190">
                        <c:v>8.2262488429767924</c:v>
                      </c:pt>
                      <c:pt idx="191">
                        <c:v>7.4235161358888355</c:v>
                      </c:pt>
                      <c:pt idx="192">
                        <c:v>7.1035552237749116</c:v>
                      </c:pt>
                      <c:pt idx="193">
                        <c:v>9.0775157445644972</c:v>
                      </c:pt>
                      <c:pt idx="194">
                        <c:v>8.1166221038984823</c:v>
                      </c:pt>
                      <c:pt idx="195">
                        <c:v>8.2428221516250453</c:v>
                      </c:pt>
                      <c:pt idx="196">
                        <c:v>8.3018181253018941</c:v>
                      </c:pt>
                      <c:pt idx="197">
                        <c:v>8.5318673082306571</c:v>
                      </c:pt>
                      <c:pt idx="198">
                        <c:v>8.6295988355954858</c:v>
                      </c:pt>
                      <c:pt idx="199">
                        <c:v>9.3962568950345382</c:v>
                      </c:pt>
                      <c:pt idx="200">
                        <c:v>9.0576052447920858</c:v>
                      </c:pt>
                      <c:pt idx="201">
                        <c:v>10.112275929251835</c:v>
                      </c:pt>
                      <c:pt idx="202">
                        <c:v>10.37037705420914</c:v>
                      </c:pt>
                      <c:pt idx="203">
                        <c:v>10.219387363973926</c:v>
                      </c:pt>
                      <c:pt idx="204">
                        <c:v>10.567751954120791</c:v>
                      </c:pt>
                      <c:pt idx="205">
                        <c:v>9.5015483436248509</c:v>
                      </c:pt>
                      <c:pt idx="206">
                        <c:v>10.8702451347185</c:v>
                      </c:pt>
                      <c:pt idx="207">
                        <c:v>10.682094263973774</c:v>
                      </c:pt>
                      <c:pt idx="208">
                        <c:v>10.518946093985173</c:v>
                      </c:pt>
                      <c:pt idx="209">
                        <c:v>10.744096194051885</c:v>
                      </c:pt>
                      <c:pt idx="210">
                        <c:v>9.7253150234268944</c:v>
                      </c:pt>
                      <c:pt idx="211">
                        <c:v>9.1446679641707398</c:v>
                      </c:pt>
                      <c:pt idx="212">
                        <c:v>8.9730103268942418</c:v>
                      </c:pt>
                      <c:pt idx="213">
                        <c:v>9.0607348718231631</c:v>
                      </c:pt>
                      <c:pt idx="214">
                        <c:v>9.6040226390856951</c:v>
                      </c:pt>
                      <c:pt idx="215">
                        <c:v>8.2235727936534389</c:v>
                      </c:pt>
                      <c:pt idx="216">
                        <c:v>9.6701325298249294</c:v>
                      </c:pt>
                      <c:pt idx="217">
                        <c:v>10.61784023175402</c:v>
                      </c:pt>
                      <c:pt idx="218">
                        <c:v>10.093832104281024</c:v>
                      </c:pt>
                      <c:pt idx="219">
                        <c:v>11.660905344455497</c:v>
                      </c:pt>
                      <c:pt idx="220">
                        <c:v>12.159665410213808</c:v>
                      </c:pt>
                      <c:pt idx="221">
                        <c:v>12.703788590440142</c:v>
                      </c:pt>
                      <c:pt idx="222">
                        <c:v>12.889082134422978</c:v>
                      </c:pt>
                      <c:pt idx="223">
                        <c:v>12.53017124333387</c:v>
                      </c:pt>
                      <c:pt idx="224">
                        <c:v>12.891689119769552</c:v>
                      </c:pt>
                      <c:pt idx="225">
                        <c:v>12.48431686854348</c:v>
                      </c:pt>
                      <c:pt idx="226">
                        <c:v>10.71338804038324</c:v>
                      </c:pt>
                      <c:pt idx="227">
                        <c:v>11.178395085944537</c:v>
                      </c:pt>
                      <c:pt idx="228">
                        <c:v>11.173938638802456</c:v>
                      </c:pt>
                      <c:pt idx="229">
                        <c:v>11.13064324048479</c:v>
                      </c:pt>
                      <c:pt idx="230">
                        <c:v>11.85261751194712</c:v>
                      </c:pt>
                      <c:pt idx="231">
                        <c:v>11.287738457006188</c:v>
                      </c:pt>
                      <c:pt idx="232">
                        <c:v>11.95752185960032</c:v>
                      </c:pt>
                      <c:pt idx="233">
                        <c:v>12.410924730368757</c:v>
                      </c:pt>
                      <c:pt idx="234">
                        <c:v>12.984132365378066</c:v>
                      </c:pt>
                      <c:pt idx="235">
                        <c:v>12.697673539102093</c:v>
                      </c:pt>
                      <c:pt idx="236">
                        <c:v>14.53479756665276</c:v>
                      </c:pt>
                      <c:pt idx="237">
                        <c:v>14.486684895524737</c:v>
                      </c:pt>
                      <c:pt idx="238">
                        <c:v>12.783281554566807</c:v>
                      </c:pt>
                      <c:pt idx="239">
                        <c:v>12.826426572586197</c:v>
                      </c:pt>
                      <c:pt idx="240">
                        <c:v>12.924432844987628</c:v>
                      </c:pt>
                      <c:pt idx="241">
                        <c:v>16.673577851827574</c:v>
                      </c:pt>
                      <c:pt idx="242">
                        <c:v>16.781797269983905</c:v>
                      </c:pt>
                      <c:pt idx="243">
                        <c:v>17.17289476212164</c:v>
                      </c:pt>
                      <c:pt idx="244">
                        <c:v>16.345178212344795</c:v>
                      </c:pt>
                      <c:pt idx="245">
                        <c:v>16.783861940161984</c:v>
                      </c:pt>
                      <c:pt idx="246">
                        <c:v>16.478196092805835</c:v>
                      </c:pt>
                      <c:pt idx="247">
                        <c:v>16.280657074262852</c:v>
                      </c:pt>
                      <c:pt idx="248">
                        <c:v>15.752021879831016</c:v>
                      </c:pt>
                      <c:pt idx="249">
                        <c:v>15.351808432659187</c:v>
                      </c:pt>
                      <c:pt idx="250">
                        <c:v>15.805998704196597</c:v>
                      </c:pt>
                      <c:pt idx="251">
                        <c:v>14.931403101849719</c:v>
                      </c:pt>
                      <c:pt idx="252">
                        <c:v>14.424482975119687</c:v>
                      </c:pt>
                      <c:pt idx="253">
                        <c:v>15.123997808492788</c:v>
                      </c:pt>
                      <c:pt idx="254">
                        <c:v>15.182701228605092</c:v>
                      </c:pt>
                      <c:pt idx="255">
                        <c:v>15.71140031572603</c:v>
                      </c:pt>
                      <c:pt idx="256">
                        <c:v>15.580295759842713</c:v>
                      </c:pt>
                      <c:pt idx="257">
                        <c:v>14.090974168719391</c:v>
                      </c:pt>
                      <c:pt idx="258">
                        <c:v>13.819521063628258</c:v>
                      </c:pt>
                      <c:pt idx="259">
                        <c:v>12.760404095420382</c:v>
                      </c:pt>
                      <c:pt idx="260">
                        <c:v>13.128493155017241</c:v>
                      </c:pt>
                      <c:pt idx="261">
                        <c:v>12.837265084841802</c:v>
                      </c:pt>
                      <c:pt idx="262">
                        <c:v>13.107564931635411</c:v>
                      </c:pt>
                      <c:pt idx="263">
                        <c:v>12.843690229558463</c:v>
                      </c:pt>
                      <c:pt idx="264">
                        <c:v>12.380816555498678</c:v>
                      </c:pt>
                      <c:pt idx="265">
                        <c:v>12.614019205221537</c:v>
                      </c:pt>
                      <c:pt idx="266">
                        <c:v>13.211881191444419</c:v>
                      </c:pt>
                      <c:pt idx="267">
                        <c:v>13.384331244020656</c:v>
                      </c:pt>
                      <c:pt idx="268">
                        <c:v>13.222699578167964</c:v>
                      </c:pt>
                      <c:pt idx="269">
                        <c:v>14.367767887415377</c:v>
                      </c:pt>
                      <c:pt idx="270">
                        <c:v>14.67490377351676</c:v>
                      </c:pt>
                      <c:pt idx="271">
                        <c:v>14.504082566380232</c:v>
                      </c:pt>
                      <c:pt idx="272">
                        <c:v>14.666491900974997</c:v>
                      </c:pt>
                      <c:pt idx="273">
                        <c:v>13.721181936677688</c:v>
                      </c:pt>
                      <c:pt idx="274">
                        <c:v>13.116935268505111</c:v>
                      </c:pt>
                      <c:pt idx="275">
                        <c:v>13.455739982309822</c:v>
                      </c:pt>
                      <c:pt idx="276">
                        <c:v>13.095772430089179</c:v>
                      </c:pt>
                      <c:pt idx="277">
                        <c:v>13.469462089724225</c:v>
                      </c:pt>
                      <c:pt idx="278">
                        <c:v>13.804602265745674</c:v>
                      </c:pt>
                      <c:pt idx="279">
                        <c:v>13.876133023971711</c:v>
                      </c:pt>
                      <c:pt idx="280">
                        <c:v>14.317611809399542</c:v>
                      </c:pt>
                      <c:pt idx="281">
                        <c:v>13.419738062566889</c:v>
                      </c:pt>
                      <c:pt idx="282">
                        <c:v>13.910610190632925</c:v>
                      </c:pt>
                      <c:pt idx="283">
                        <c:v>12.586770528185669</c:v>
                      </c:pt>
                      <c:pt idx="284">
                        <c:v>12.542982898191143</c:v>
                      </c:pt>
                      <c:pt idx="285">
                        <c:v>11.720017631213434</c:v>
                      </c:pt>
                      <c:pt idx="286">
                        <c:v>12.254819674636167</c:v>
                      </c:pt>
                      <c:pt idx="287">
                        <c:v>12.302604298154334</c:v>
                      </c:pt>
                      <c:pt idx="288">
                        <c:v>14.077615824203205</c:v>
                      </c:pt>
                      <c:pt idx="289">
                        <c:v>13.625551682272121</c:v>
                      </c:pt>
                      <c:pt idx="290">
                        <c:v>13.567375050511433</c:v>
                      </c:pt>
                      <c:pt idx="291">
                        <c:v>14.569838245791264</c:v>
                      </c:pt>
                      <c:pt idx="292">
                        <c:v>13.777019022544547</c:v>
                      </c:pt>
                      <c:pt idx="293">
                        <c:v>12.984755245310478</c:v>
                      </c:pt>
                      <c:pt idx="294">
                        <c:v>11.131296057577664</c:v>
                      </c:pt>
                      <c:pt idx="295">
                        <c:v>10.60700385205512</c:v>
                      </c:pt>
                      <c:pt idx="296">
                        <c:v>9.4121994643729483</c:v>
                      </c:pt>
                      <c:pt idx="297">
                        <c:v>9.6844276087512942</c:v>
                      </c:pt>
                      <c:pt idx="298">
                        <c:v>9.1097149650731328</c:v>
                      </c:pt>
                      <c:pt idx="299">
                        <c:v>9.1097149650731328</c:v>
                      </c:pt>
                      <c:pt idx="300">
                        <c:v>9.1439326951215669</c:v>
                      </c:pt>
                      <c:pt idx="301">
                        <c:v>10.377967234795666</c:v>
                      </c:pt>
                      <c:pt idx="302">
                        <c:v>10.36924514548147</c:v>
                      </c:pt>
                      <c:pt idx="303">
                        <c:v>10.942762004209595</c:v>
                      </c:pt>
                      <c:pt idx="304">
                        <c:v>9.5184741481376278</c:v>
                      </c:pt>
                      <c:pt idx="305">
                        <c:v>10.562919564385206</c:v>
                      </c:pt>
                      <c:pt idx="306">
                        <c:v>12.789462326748176</c:v>
                      </c:pt>
                      <c:pt idx="307">
                        <c:v>13.516524746709344</c:v>
                      </c:pt>
                      <c:pt idx="308">
                        <c:v>13.937932247762864</c:v>
                      </c:pt>
                      <c:pt idx="309">
                        <c:v>14.940384288726372</c:v>
                      </c:pt>
                      <c:pt idx="310">
                        <c:v>14.852607242423982</c:v>
                      </c:pt>
                      <c:pt idx="311">
                        <c:v>16.169168349625483</c:v>
                      </c:pt>
                      <c:pt idx="312">
                        <c:v>15.85563511510262</c:v>
                      </c:pt>
                      <c:pt idx="313">
                        <c:v>16.845601670286566</c:v>
                      </c:pt>
                      <c:pt idx="314">
                        <c:v>16.070407871836952</c:v>
                      </c:pt>
                      <c:pt idx="315">
                        <c:v>16.8492240712139</c:v>
                      </c:pt>
                      <c:pt idx="316">
                        <c:v>17.386469030769618</c:v>
                      </c:pt>
                      <c:pt idx="317">
                        <c:v>17.755699800000389</c:v>
                      </c:pt>
                      <c:pt idx="318">
                        <c:v>16.138247090767099</c:v>
                      </c:pt>
                      <c:pt idx="319">
                        <c:v>18.474822966253477</c:v>
                      </c:pt>
                      <c:pt idx="320">
                        <c:v>18.950790506827758</c:v>
                      </c:pt>
                      <c:pt idx="321">
                        <c:v>19.276377124095074</c:v>
                      </c:pt>
                      <c:pt idx="322">
                        <c:v>19.609060099731675</c:v>
                      </c:pt>
                      <c:pt idx="323">
                        <c:v>17.942393433065007</c:v>
                      </c:pt>
                      <c:pt idx="324">
                        <c:v>15.700499524504433</c:v>
                      </c:pt>
                      <c:pt idx="325">
                        <c:v>16.48888422770078</c:v>
                      </c:pt>
                      <c:pt idx="326">
                        <c:v>14.895592823088617</c:v>
                      </c:pt>
                      <c:pt idx="327">
                        <c:v>14.679802013238401</c:v>
                      </c:pt>
                      <c:pt idx="328">
                        <c:v>13.903537899345421</c:v>
                      </c:pt>
                      <c:pt idx="329">
                        <c:v>14.472096996290976</c:v>
                      </c:pt>
                      <c:pt idx="330">
                        <c:v>15.311791652779524</c:v>
                      </c:pt>
                      <c:pt idx="331">
                        <c:v>15.651456604632841</c:v>
                      </c:pt>
                      <c:pt idx="332">
                        <c:v>16.589185542361783</c:v>
                      </c:pt>
                      <c:pt idx="333">
                        <c:v>17.073223177647584</c:v>
                      </c:pt>
                      <c:pt idx="334">
                        <c:v>17.287011184404342</c:v>
                      </c:pt>
                      <c:pt idx="335">
                        <c:v>17.952002809194965</c:v>
                      </c:pt>
                      <c:pt idx="336">
                        <c:v>17.516531708640727</c:v>
                      </c:pt>
                      <c:pt idx="337">
                        <c:v>19.558773654728828</c:v>
                      </c:pt>
                      <c:pt idx="338">
                        <c:v>19.862925615935108</c:v>
                      </c:pt>
                      <c:pt idx="339">
                        <c:v>19.260159759950369</c:v>
                      </c:pt>
                      <c:pt idx="340">
                        <c:v>16.414422662716266</c:v>
                      </c:pt>
                      <c:pt idx="341">
                        <c:v>16.313679340364864</c:v>
                      </c:pt>
                      <c:pt idx="342">
                        <c:v>16.743282933413099</c:v>
                      </c:pt>
                      <c:pt idx="343">
                        <c:v>17.05036290599995</c:v>
                      </c:pt>
                      <c:pt idx="344">
                        <c:v>16.137639891603037</c:v>
                      </c:pt>
                      <c:pt idx="345">
                        <c:v>15.304649352730145</c:v>
                      </c:pt>
                      <c:pt idx="346">
                        <c:v>14.925897718117827</c:v>
                      </c:pt>
                      <c:pt idx="347">
                        <c:v>14.968350730352013</c:v>
                      </c:pt>
                      <c:pt idx="348">
                        <c:v>14.86384622584751</c:v>
                      </c:pt>
                      <c:pt idx="349">
                        <c:v>14.39693745833843</c:v>
                      </c:pt>
                      <c:pt idx="350">
                        <c:v>15.521410892228905</c:v>
                      </c:pt>
                      <c:pt idx="351">
                        <c:v>15.192210292577352</c:v>
                      </c:pt>
                      <c:pt idx="352">
                        <c:v>15.135209722571652</c:v>
                      </c:pt>
                      <c:pt idx="353">
                        <c:v>14.519976773834976</c:v>
                      </c:pt>
                      <c:pt idx="354">
                        <c:v>14.885934220643485</c:v>
                      </c:pt>
                      <c:pt idx="355">
                        <c:v>13.752457962107675</c:v>
                      </c:pt>
                      <c:pt idx="356">
                        <c:v>12.895220903090198</c:v>
                      </c:pt>
                      <c:pt idx="357">
                        <c:v>16.616769003653289</c:v>
                      </c:pt>
                      <c:pt idx="358">
                        <c:v>17.966226768352694</c:v>
                      </c:pt>
                      <c:pt idx="359">
                        <c:v>16.034097594844209</c:v>
                      </c:pt>
                      <c:pt idx="360">
                        <c:v>14.167237350544335</c:v>
                      </c:pt>
                      <c:pt idx="361">
                        <c:v>14.167237350544335</c:v>
                      </c:pt>
                      <c:pt idx="362">
                        <c:v>15.974338569410259</c:v>
                      </c:pt>
                      <c:pt idx="363">
                        <c:v>13.803023828374403</c:v>
                      </c:pt>
                      <c:pt idx="364">
                        <c:v>13.519372461690544</c:v>
                      </c:pt>
                      <c:pt idx="365">
                        <c:v>12.882606127249788</c:v>
                      </c:pt>
                      <c:pt idx="366">
                        <c:v>7.1081407999652821</c:v>
                      </c:pt>
                      <c:pt idx="367">
                        <c:v>6.119926664580901</c:v>
                      </c:pt>
                      <c:pt idx="368">
                        <c:v>9.5029837548203133</c:v>
                      </c:pt>
                      <c:pt idx="369">
                        <c:v>9.8839423143140035</c:v>
                      </c:pt>
                      <c:pt idx="370">
                        <c:v>10.162882342208007</c:v>
                      </c:pt>
                      <c:pt idx="371">
                        <c:v>11.082695412455022</c:v>
                      </c:pt>
                      <c:pt idx="372">
                        <c:v>10.331569327126132</c:v>
                      </c:pt>
                      <c:pt idx="373">
                        <c:v>11.243967114523922</c:v>
                      </c:pt>
                      <c:pt idx="374">
                        <c:v>13.828676063264149</c:v>
                      </c:pt>
                      <c:pt idx="375">
                        <c:v>11.754533906401404</c:v>
                      </c:pt>
                      <c:pt idx="376">
                        <c:v>10.678485061038085</c:v>
                      </c:pt>
                      <c:pt idx="377">
                        <c:v>13.102184721293675</c:v>
                      </c:pt>
                      <c:pt idx="378">
                        <c:v>10.797490601652935</c:v>
                      </c:pt>
                      <c:pt idx="379">
                        <c:v>10.392475066810503</c:v>
                      </c:pt>
                      <c:pt idx="380">
                        <c:v>9.6584146641259423</c:v>
                      </c:pt>
                      <c:pt idx="381">
                        <c:v>10.846645520406589</c:v>
                      </c:pt>
                      <c:pt idx="382">
                        <c:v>12.397033117305812</c:v>
                      </c:pt>
                      <c:pt idx="383">
                        <c:v>14.869985203859134</c:v>
                      </c:pt>
                      <c:pt idx="384">
                        <c:v>14.701309091330167</c:v>
                      </c:pt>
                      <c:pt idx="385">
                        <c:v>15.492559973297709</c:v>
                      </c:pt>
                      <c:pt idx="386">
                        <c:v>12.920934778614816</c:v>
                      </c:pt>
                      <c:pt idx="387">
                        <c:v>13.698814326754405</c:v>
                      </c:pt>
                      <c:pt idx="388">
                        <c:v>10.669595483582073</c:v>
                      </c:pt>
                      <c:pt idx="389">
                        <c:v>10.563192115684167</c:v>
                      </c:pt>
                      <c:pt idx="390">
                        <c:v>12.395462518807363</c:v>
                      </c:pt>
                      <c:pt idx="391">
                        <c:v>11.998870274389031</c:v>
                      </c:pt>
                      <c:pt idx="392">
                        <c:v>13.678057952341756</c:v>
                      </c:pt>
                      <c:pt idx="393">
                        <c:v>12.912630265899059</c:v>
                      </c:pt>
                      <c:pt idx="394">
                        <c:v>14.249047639324912</c:v>
                      </c:pt>
                      <c:pt idx="395">
                        <c:v>12.231503779675789</c:v>
                      </c:pt>
                      <c:pt idx="396">
                        <c:v>11.07210721148963</c:v>
                      </c:pt>
                      <c:pt idx="397">
                        <c:v>12.466491986315333</c:v>
                      </c:pt>
                      <c:pt idx="398">
                        <c:v>14.696475865949937</c:v>
                      </c:pt>
                      <c:pt idx="399">
                        <c:v>13.697888879459725</c:v>
                      </c:pt>
                      <c:pt idx="400">
                        <c:v>13.494338969021685</c:v>
                      </c:pt>
                      <c:pt idx="401">
                        <c:v>12.097668726243443</c:v>
                      </c:pt>
                      <c:pt idx="402">
                        <c:v>9.2056701614784622</c:v>
                      </c:pt>
                      <c:pt idx="403">
                        <c:v>8.6420568809798635</c:v>
                      </c:pt>
                      <c:pt idx="404">
                        <c:v>10.794393606150022</c:v>
                      </c:pt>
                      <c:pt idx="405">
                        <c:v>10.226945996733765</c:v>
                      </c:pt>
                      <c:pt idx="406">
                        <c:v>7.9834223246386617</c:v>
                      </c:pt>
                      <c:pt idx="407">
                        <c:v>6.4765430933654571</c:v>
                      </c:pt>
                      <c:pt idx="408">
                        <c:v>7.759757365580751</c:v>
                      </c:pt>
                      <c:pt idx="409">
                        <c:v>8.6130739387774238</c:v>
                      </c:pt>
                      <c:pt idx="410">
                        <c:v>9.4049014214705569</c:v>
                      </c:pt>
                      <c:pt idx="411">
                        <c:v>9.8076960975757057</c:v>
                      </c:pt>
                      <c:pt idx="412">
                        <c:v>9.8690503811522117</c:v>
                      </c:pt>
                      <c:pt idx="413">
                        <c:v>9.9226031502222227</c:v>
                      </c:pt>
                      <c:pt idx="414">
                        <c:v>10.636690781947127</c:v>
                      </c:pt>
                      <c:pt idx="415">
                        <c:v>11.06108072140915</c:v>
                      </c:pt>
                      <c:pt idx="416">
                        <c:v>11.359705475829582</c:v>
                      </c:pt>
                      <c:pt idx="417">
                        <c:v>10.599249202065323</c:v>
                      </c:pt>
                      <c:pt idx="418">
                        <c:v>12.531345993452172</c:v>
                      </c:pt>
                    </c:numCache>
                  </c:numRef>
                </c:val>
                <c:smooth val="0"/>
                <c:extLst>
                  <c:ext xmlns:c16="http://schemas.microsoft.com/office/drawing/2014/chart" uri="{C3380CC4-5D6E-409C-BE32-E72D297353CC}">
                    <c16:uniqueId val="{00000000-4726-4A01-B83F-817FF046A3DC}"/>
                  </c:ext>
                </c:extLst>
              </c15:ser>
            </c15:filteredLineSeries>
          </c:ext>
        </c:extLst>
      </c:lineChart>
      <c:catAx>
        <c:axId val="1238446752"/>
        <c:scaling>
          <c:orientation val="minMax"/>
        </c:scaling>
        <c:delete val="0"/>
        <c:axPos val="b"/>
        <c:numFmt formatCode="General" sourceLinked="1"/>
        <c:majorTickMark val="none"/>
        <c:minorTickMark val="none"/>
        <c:tickLblPos val="low"/>
        <c:spPr>
          <a:noFill/>
          <a:ln w="9525" cap="flat" cmpd="sng" algn="ctr">
            <a:solidFill>
              <a:sysClr val="windowText" lastClr="000000"/>
            </a:solidFill>
            <a:round/>
          </a:ln>
          <a:effectLst/>
        </c:spPr>
        <c:txPr>
          <a:bodyPr rot="-60000000" spcFirstLastPara="1" vertOverflow="ellipsis" vert="horz" wrap="square" anchor="ctr" anchorCtr="1"/>
          <a:lstStyle/>
          <a:p>
            <a:pPr>
              <a:defRPr sz="700" b="1" i="0" u="none" strike="noStrike" kern="1200" baseline="0">
                <a:solidFill>
                  <a:sysClr val="windowText" lastClr="000000"/>
                </a:solidFill>
                <a:latin typeface="+mn-lt"/>
                <a:ea typeface="+mn-ea"/>
                <a:cs typeface="+mn-cs"/>
              </a:defRPr>
            </a:pPr>
            <a:endParaRPr lang="en-US"/>
          </a:p>
        </c:txPr>
        <c:crossAx val="1238447232"/>
        <c:crosses val="autoZero"/>
        <c:auto val="1"/>
        <c:lblAlgn val="ctr"/>
        <c:lblOffset val="100"/>
        <c:noMultiLvlLbl val="0"/>
      </c:catAx>
      <c:valAx>
        <c:axId val="1238447232"/>
        <c:scaling>
          <c:orientation val="minMax"/>
          <c:max val="4"/>
          <c:min val="-6"/>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238446752"/>
        <c:crosses val="autoZero"/>
        <c:crossBetween val="between"/>
      </c:valAx>
      <c:valAx>
        <c:axId val="875850479"/>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843759"/>
        <c:crosses val="max"/>
        <c:crossBetween val="between"/>
      </c:valAx>
      <c:catAx>
        <c:axId val="875843759"/>
        <c:scaling>
          <c:orientation val="minMax"/>
        </c:scaling>
        <c:delete val="1"/>
        <c:axPos val="b"/>
        <c:majorTickMark val="out"/>
        <c:minorTickMark val="none"/>
        <c:tickLblPos val="nextTo"/>
        <c:crossAx val="875850479"/>
        <c:crosses val="autoZero"/>
        <c:auto val="1"/>
        <c:lblAlgn val="ctr"/>
        <c:lblOffset val="100"/>
        <c:noMultiLvlLbl val="0"/>
      </c:catAx>
      <c:spPr>
        <a:gradFill>
          <a:gsLst>
            <a:gs pos="12000">
              <a:srgbClr val="00FF00">
                <a:alpha val="80000"/>
              </a:srgbClr>
            </a:gs>
            <a:gs pos="61000">
              <a:schemeClr val="bg1"/>
            </a:gs>
            <a:gs pos="47000">
              <a:schemeClr val="bg1"/>
            </a:gs>
            <a:gs pos="96000">
              <a:srgbClr val="FF4D4D"/>
            </a:gs>
            <a:gs pos="0">
              <a:srgbClr val="00B050">
                <a:alpha val="85000"/>
              </a:srgbClr>
            </a:gs>
            <a:gs pos="92000">
              <a:srgbClr val="FF9999">
                <a:alpha val="80000"/>
              </a:srgbClr>
            </a:gs>
          </a:gsLst>
          <a:lin ang="5400000" scaled="1"/>
        </a:gradFill>
        <a:ln>
          <a:solidFill>
            <a:sysClr val="windowText" lastClr="000000"/>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UP</a:t>
            </a:r>
            <a:r>
              <a:rPr lang="en-US" b="1" baseline="0">
                <a:solidFill>
                  <a:sysClr val="windowText" lastClr="000000"/>
                </a:solidFill>
              </a:rPr>
              <a:t> TRENDS -- </a:t>
            </a:r>
            <a:r>
              <a:rPr lang="en-US" b="1">
                <a:solidFill>
                  <a:sysClr val="windowText" lastClr="000000"/>
                </a:solidFill>
              </a:rPr>
              <a:t>Risk Units:  Wins and Losses Playing The</a:t>
            </a:r>
            <a:r>
              <a:rPr lang="en-US" b="1" baseline="0">
                <a:solidFill>
                  <a:sysClr val="windowText" lastClr="000000"/>
                </a:solidFill>
              </a:rPr>
              <a:t> Strategy </a:t>
            </a:r>
            <a:r>
              <a:rPr lang="en-US" sz="900" b="0" baseline="0">
                <a:solidFill>
                  <a:sysClr val="windowText" lastClr="000000"/>
                </a:solidFill>
              </a:rPr>
              <a:t>(Not Actuals)</a:t>
            </a:r>
            <a:endParaRPr lang="en-US" b="0">
              <a:solidFill>
                <a:sysClr val="windowText" lastClr="000000"/>
              </a:solidFill>
            </a:endParaRPr>
          </a:p>
        </c:rich>
      </c:tx>
      <c:layout>
        <c:manualLayout>
          <c:xMode val="edge"/>
          <c:yMode val="edge"/>
          <c:x val="0.34707956661126704"/>
          <c:y val="3.552981749374351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1.5236315094556608E-2"/>
          <c:y val="0.14653085515473357"/>
          <c:w val="0.9799160629047825"/>
          <c:h val="0.75341787218458156"/>
        </c:manualLayout>
      </c:layout>
      <c:barChart>
        <c:barDir val="col"/>
        <c:grouping val="clustered"/>
        <c:varyColors val="0"/>
        <c:ser>
          <c:idx val="0"/>
          <c:order val="0"/>
          <c:spPr>
            <a:solidFill>
              <a:srgbClr val="00B050"/>
            </a:solidFill>
            <a:ln>
              <a:solidFill>
                <a:sysClr val="windowText" lastClr="000000"/>
              </a:solidFill>
            </a:ln>
            <a:effectLst/>
          </c:spPr>
          <c:invertIfNegative val="1"/>
          <c:cat>
            <c:strRef>
              <c:f>'2025-Q2'!$A$4:$A$422</c:f>
              <c:strCache>
                <c:ptCount val="419"/>
                <c:pt idx="0">
                  <c:v>DAL</c:v>
                </c:pt>
                <c:pt idx="1">
                  <c:v>STZ</c:v>
                </c:pt>
                <c:pt idx="2">
                  <c:v>JPM</c:v>
                </c:pt>
                <c:pt idx="3">
                  <c:v>WFC</c:v>
                </c:pt>
                <c:pt idx="4">
                  <c:v>BLK</c:v>
                </c:pt>
                <c:pt idx="5">
                  <c:v>BK</c:v>
                </c:pt>
                <c:pt idx="6">
                  <c:v>MS</c:v>
                </c:pt>
                <c:pt idx="7">
                  <c:v>FAST</c:v>
                </c:pt>
                <c:pt idx="8">
                  <c:v>GS</c:v>
                </c:pt>
                <c:pt idx="9">
                  <c:v>MTB</c:v>
                </c:pt>
                <c:pt idx="10">
                  <c:v>C</c:v>
                </c:pt>
                <c:pt idx="11">
                  <c:v>BAC</c:v>
                </c:pt>
                <c:pt idx="12">
                  <c:v>PNC</c:v>
                </c:pt>
                <c:pt idx="13">
                  <c:v>JNJ</c:v>
                </c:pt>
                <c:pt idx="14">
                  <c:v>JBHT</c:v>
                </c:pt>
                <c:pt idx="15">
                  <c:v>UAL</c:v>
                </c:pt>
                <c:pt idx="16">
                  <c:v>OMC</c:v>
                </c:pt>
                <c:pt idx="17">
                  <c:v>USB</c:v>
                </c:pt>
                <c:pt idx="18">
                  <c:v>CFG</c:v>
                </c:pt>
                <c:pt idx="19">
                  <c:v>ABT</c:v>
                </c:pt>
                <c:pt idx="20">
                  <c:v>TRV</c:v>
                </c:pt>
                <c:pt idx="21">
                  <c:v>PGR</c:v>
                </c:pt>
                <c:pt idx="22">
                  <c:v>CSX</c:v>
                </c:pt>
                <c:pt idx="23">
                  <c:v>KMI</c:v>
                </c:pt>
                <c:pt idx="24">
                  <c:v>STT</c:v>
                </c:pt>
                <c:pt idx="25">
                  <c:v>UNH</c:v>
                </c:pt>
                <c:pt idx="26">
                  <c:v>TFC</c:v>
                </c:pt>
                <c:pt idx="27">
                  <c:v>HBAN</c:v>
                </c:pt>
                <c:pt idx="28">
                  <c:v>RF</c:v>
                </c:pt>
                <c:pt idx="29">
                  <c:v>SCHW</c:v>
                </c:pt>
                <c:pt idx="30">
                  <c:v>DHI</c:v>
                </c:pt>
                <c:pt idx="31">
                  <c:v>FITB</c:v>
                </c:pt>
                <c:pt idx="32">
                  <c:v>KEY</c:v>
                </c:pt>
                <c:pt idx="33">
                  <c:v>AXP</c:v>
                </c:pt>
                <c:pt idx="34">
                  <c:v>MMC</c:v>
                </c:pt>
                <c:pt idx="35">
                  <c:v>SNA</c:v>
                </c:pt>
                <c:pt idx="36">
                  <c:v>BX</c:v>
                </c:pt>
                <c:pt idx="37">
                  <c:v>ALLY</c:v>
                </c:pt>
                <c:pt idx="38">
                  <c:v>NFLX</c:v>
                </c:pt>
                <c:pt idx="39">
                  <c:v>WRB</c:v>
                </c:pt>
                <c:pt idx="40">
                  <c:v>EFX</c:v>
                </c:pt>
                <c:pt idx="41">
                  <c:v>GPC</c:v>
                </c:pt>
                <c:pt idx="42">
                  <c:v>HAL</c:v>
                </c:pt>
                <c:pt idx="43">
                  <c:v>GE</c:v>
                </c:pt>
                <c:pt idx="44">
                  <c:v>VZ</c:v>
                </c:pt>
                <c:pt idx="45">
                  <c:v>LMT</c:v>
                </c:pt>
                <c:pt idx="46">
                  <c:v>DHR</c:v>
                </c:pt>
                <c:pt idx="47">
                  <c:v>NOC</c:v>
                </c:pt>
                <c:pt idx="48">
                  <c:v>PHM</c:v>
                </c:pt>
                <c:pt idx="49">
                  <c:v>RTX</c:v>
                </c:pt>
                <c:pt idx="50">
                  <c:v>KMB</c:v>
                </c:pt>
                <c:pt idx="51">
                  <c:v>MMM</c:v>
                </c:pt>
                <c:pt idx="52">
                  <c:v>PNR</c:v>
                </c:pt>
                <c:pt idx="53">
                  <c:v>STLD</c:v>
                </c:pt>
                <c:pt idx="54">
                  <c:v>ISRG</c:v>
                </c:pt>
                <c:pt idx="55">
                  <c:v>PKG</c:v>
                </c:pt>
                <c:pt idx="56">
                  <c:v>BKR</c:v>
                </c:pt>
                <c:pt idx="57">
                  <c:v>ENPH</c:v>
                </c:pt>
                <c:pt idx="58">
                  <c:v>COF</c:v>
                </c:pt>
                <c:pt idx="59">
                  <c:v>TSLA</c:v>
                </c:pt>
                <c:pt idx="60">
                  <c:v>EQT</c:v>
                </c:pt>
                <c:pt idx="61">
                  <c:v>GEV</c:v>
                </c:pt>
                <c:pt idx="62">
                  <c:v>APH</c:v>
                </c:pt>
                <c:pt idx="63">
                  <c:v>TEL</c:v>
                </c:pt>
                <c:pt idx="64">
                  <c:v>T</c:v>
                </c:pt>
                <c:pt idx="65">
                  <c:v>BA</c:v>
                </c:pt>
                <c:pt idx="66">
                  <c:v>NSC</c:v>
                </c:pt>
                <c:pt idx="67">
                  <c:v>TMO</c:v>
                </c:pt>
                <c:pt idx="68">
                  <c:v>AVY</c:v>
                </c:pt>
                <c:pt idx="69">
                  <c:v>PM</c:v>
                </c:pt>
                <c:pt idx="70">
                  <c:v>MAS</c:v>
                </c:pt>
                <c:pt idx="71">
                  <c:v>CME</c:v>
                </c:pt>
                <c:pt idx="72">
                  <c:v>WAB</c:v>
                </c:pt>
                <c:pt idx="73">
                  <c:v>GD</c:v>
                </c:pt>
                <c:pt idx="74">
                  <c:v>BSX</c:v>
                </c:pt>
                <c:pt idx="75">
                  <c:v>OTIS</c:v>
                </c:pt>
                <c:pt idx="76">
                  <c:v>TXN</c:v>
                </c:pt>
                <c:pt idx="77">
                  <c:v>DFS</c:v>
                </c:pt>
                <c:pt idx="78">
                  <c:v>IBM</c:v>
                </c:pt>
                <c:pt idx="79">
                  <c:v>LVS</c:v>
                </c:pt>
                <c:pt idx="80">
                  <c:v>CMG</c:v>
                </c:pt>
                <c:pt idx="81">
                  <c:v>EW</c:v>
                </c:pt>
                <c:pt idx="82">
                  <c:v>LRCX</c:v>
                </c:pt>
                <c:pt idx="83">
                  <c:v>LUV</c:v>
                </c:pt>
                <c:pt idx="84">
                  <c:v>FI</c:v>
                </c:pt>
                <c:pt idx="85">
                  <c:v>FCX</c:v>
                </c:pt>
                <c:pt idx="86">
                  <c:v>PG</c:v>
                </c:pt>
                <c:pt idx="87">
                  <c:v>TXT</c:v>
                </c:pt>
                <c:pt idx="88">
                  <c:v>UNP</c:v>
                </c:pt>
                <c:pt idx="89">
                  <c:v>NDAQ</c:v>
                </c:pt>
                <c:pt idx="90">
                  <c:v>CMCSA</c:v>
                </c:pt>
                <c:pt idx="91">
                  <c:v>VLO</c:v>
                </c:pt>
                <c:pt idx="92">
                  <c:v>DOW</c:v>
                </c:pt>
                <c:pt idx="93">
                  <c:v>TSCO</c:v>
                </c:pt>
                <c:pt idx="94">
                  <c:v>DOV</c:v>
                </c:pt>
                <c:pt idx="95">
                  <c:v>MRK</c:v>
                </c:pt>
                <c:pt idx="96">
                  <c:v>PEP</c:v>
                </c:pt>
                <c:pt idx="97">
                  <c:v>BMY</c:v>
                </c:pt>
                <c:pt idx="98">
                  <c:v>IPG</c:v>
                </c:pt>
                <c:pt idx="99">
                  <c:v>LKQ</c:v>
                </c:pt>
                <c:pt idx="100">
                  <c:v>HAS</c:v>
                </c:pt>
                <c:pt idx="101">
                  <c:v>KDP</c:v>
                </c:pt>
                <c:pt idx="102">
                  <c:v>LHX</c:v>
                </c:pt>
                <c:pt idx="103">
                  <c:v>TMUS</c:v>
                </c:pt>
                <c:pt idx="104">
                  <c:v>HIG</c:v>
                </c:pt>
                <c:pt idx="105">
                  <c:v>EMN</c:v>
                </c:pt>
                <c:pt idx="106">
                  <c:v>RSG</c:v>
                </c:pt>
                <c:pt idx="107">
                  <c:v>INTC</c:v>
                </c:pt>
                <c:pt idx="108">
                  <c:v>GOOG</c:v>
                </c:pt>
                <c:pt idx="109">
                  <c:v>GILD</c:v>
                </c:pt>
                <c:pt idx="110">
                  <c:v>SLB</c:v>
                </c:pt>
                <c:pt idx="111">
                  <c:v>PSX</c:v>
                </c:pt>
                <c:pt idx="112">
                  <c:v>HCA</c:v>
                </c:pt>
                <c:pt idx="113">
                  <c:v>ABBV</c:v>
                </c:pt>
                <c:pt idx="114">
                  <c:v>CL</c:v>
                </c:pt>
                <c:pt idx="115">
                  <c:v>CHTR</c:v>
                </c:pt>
                <c:pt idx="116">
                  <c:v>LYB</c:v>
                </c:pt>
                <c:pt idx="117">
                  <c:v>TER</c:v>
                </c:pt>
                <c:pt idx="118">
                  <c:v>CINF</c:v>
                </c:pt>
                <c:pt idx="119">
                  <c:v>UHS</c:v>
                </c:pt>
                <c:pt idx="120">
                  <c:v>NUE</c:v>
                </c:pt>
                <c:pt idx="121">
                  <c:v>WM</c:v>
                </c:pt>
                <c:pt idx="122">
                  <c:v>BRO</c:v>
                </c:pt>
                <c:pt idx="123">
                  <c:v>FFIV</c:v>
                </c:pt>
                <c:pt idx="124">
                  <c:v>NXPI</c:v>
                </c:pt>
                <c:pt idx="125">
                  <c:v>CDNS</c:v>
                </c:pt>
                <c:pt idx="126">
                  <c:v>RCL</c:v>
                </c:pt>
                <c:pt idx="127">
                  <c:v>SHW</c:v>
                </c:pt>
                <c:pt idx="128">
                  <c:v>HLT</c:v>
                </c:pt>
                <c:pt idx="129">
                  <c:v>AOS</c:v>
                </c:pt>
                <c:pt idx="130">
                  <c:v>LH</c:v>
                </c:pt>
                <c:pt idx="131">
                  <c:v>SPGI</c:v>
                </c:pt>
                <c:pt idx="132">
                  <c:v>GM</c:v>
                </c:pt>
                <c:pt idx="133">
                  <c:v>PCAR</c:v>
                </c:pt>
                <c:pt idx="134">
                  <c:v>SYY</c:v>
                </c:pt>
                <c:pt idx="135">
                  <c:v>GLW</c:v>
                </c:pt>
                <c:pt idx="136">
                  <c:v>UPS</c:v>
                </c:pt>
                <c:pt idx="137">
                  <c:v>MO</c:v>
                </c:pt>
                <c:pt idx="138">
                  <c:v>PFE</c:v>
                </c:pt>
                <c:pt idx="139">
                  <c:v>AMCR</c:v>
                </c:pt>
                <c:pt idx="140">
                  <c:v>KO</c:v>
                </c:pt>
                <c:pt idx="141">
                  <c:v>ECL</c:v>
                </c:pt>
                <c:pt idx="142">
                  <c:v>ZBRA</c:v>
                </c:pt>
                <c:pt idx="143">
                  <c:v>PYPL</c:v>
                </c:pt>
                <c:pt idx="144">
                  <c:v>KHC</c:v>
                </c:pt>
                <c:pt idx="145">
                  <c:v>REGN</c:v>
                </c:pt>
                <c:pt idx="146">
                  <c:v>XYL</c:v>
                </c:pt>
                <c:pt idx="147">
                  <c:v>HON</c:v>
                </c:pt>
                <c:pt idx="148">
                  <c:v>SOFI</c:v>
                </c:pt>
                <c:pt idx="149">
                  <c:v>PPG</c:v>
                </c:pt>
                <c:pt idx="150">
                  <c:v>VLTO</c:v>
                </c:pt>
                <c:pt idx="151">
                  <c:v>STX</c:v>
                </c:pt>
                <c:pt idx="152">
                  <c:v>SNAP</c:v>
                </c:pt>
                <c:pt idx="153">
                  <c:v>SBUX</c:v>
                </c:pt>
                <c:pt idx="154">
                  <c:v>V</c:v>
                </c:pt>
                <c:pt idx="155">
                  <c:v>ACGL</c:v>
                </c:pt>
                <c:pt idx="156">
                  <c:v>FSLR</c:v>
                </c:pt>
                <c:pt idx="157">
                  <c:v>FRSH</c:v>
                </c:pt>
                <c:pt idx="158">
                  <c:v>CZR</c:v>
                </c:pt>
                <c:pt idx="159">
                  <c:v>TENB</c:v>
                </c:pt>
                <c:pt idx="160">
                  <c:v>MDLZ</c:v>
                </c:pt>
                <c:pt idx="161">
                  <c:v>GEHC</c:v>
                </c:pt>
                <c:pt idx="162">
                  <c:v>HES</c:v>
                </c:pt>
                <c:pt idx="163">
                  <c:v>WDC</c:v>
                </c:pt>
                <c:pt idx="164">
                  <c:v>CAT</c:v>
                </c:pt>
                <c:pt idx="165">
                  <c:v>TT</c:v>
                </c:pt>
                <c:pt idx="166">
                  <c:v>ITW</c:v>
                </c:pt>
                <c:pt idx="167">
                  <c:v>ADP</c:v>
                </c:pt>
                <c:pt idx="168">
                  <c:v>IP</c:v>
                </c:pt>
                <c:pt idx="169">
                  <c:v>YUM</c:v>
                </c:pt>
                <c:pt idx="170">
                  <c:v>GNRC</c:v>
                </c:pt>
                <c:pt idx="171">
                  <c:v>GRMN</c:v>
                </c:pt>
                <c:pt idx="172">
                  <c:v>SWK</c:v>
                </c:pt>
                <c:pt idx="173">
                  <c:v>VMC</c:v>
                </c:pt>
                <c:pt idx="174">
                  <c:v>NCLH</c:v>
                </c:pt>
                <c:pt idx="175">
                  <c:v>MSFT</c:v>
                </c:pt>
                <c:pt idx="176">
                  <c:v>PRU</c:v>
                </c:pt>
                <c:pt idx="177">
                  <c:v>META</c:v>
                </c:pt>
                <c:pt idx="178">
                  <c:v>CHRW</c:v>
                </c:pt>
                <c:pt idx="179">
                  <c:v>FMC</c:v>
                </c:pt>
                <c:pt idx="180">
                  <c:v>AFL</c:v>
                </c:pt>
                <c:pt idx="181">
                  <c:v>ALL</c:v>
                </c:pt>
                <c:pt idx="182">
                  <c:v>CTSH</c:v>
                </c:pt>
                <c:pt idx="183">
                  <c:v>PTC</c:v>
                </c:pt>
                <c:pt idx="184">
                  <c:v>ALGN</c:v>
                </c:pt>
                <c:pt idx="185">
                  <c:v>MGM</c:v>
                </c:pt>
                <c:pt idx="186">
                  <c:v>CWAN</c:v>
                </c:pt>
                <c:pt idx="187">
                  <c:v>EBAY</c:v>
                </c:pt>
                <c:pt idx="188">
                  <c:v>QCOM</c:v>
                </c:pt>
                <c:pt idx="189">
                  <c:v>MET</c:v>
                </c:pt>
                <c:pt idx="190">
                  <c:v>HOOD</c:v>
                </c:pt>
                <c:pt idx="191">
                  <c:v>ALB</c:v>
                </c:pt>
                <c:pt idx="192">
                  <c:v>KLAC</c:v>
                </c:pt>
                <c:pt idx="193">
                  <c:v>CFLT</c:v>
                </c:pt>
                <c:pt idx="194">
                  <c:v>IEX</c:v>
                </c:pt>
                <c:pt idx="195">
                  <c:v>HUBB</c:v>
                </c:pt>
                <c:pt idx="196">
                  <c:v>MA</c:v>
                </c:pt>
                <c:pt idx="197">
                  <c:v>SW</c:v>
                </c:pt>
                <c:pt idx="198">
                  <c:v>BIIB</c:v>
                </c:pt>
                <c:pt idx="199">
                  <c:v>APD</c:v>
                </c:pt>
                <c:pt idx="200">
                  <c:v>MCD</c:v>
                </c:pt>
                <c:pt idx="201">
                  <c:v>FTV</c:v>
                </c:pt>
                <c:pt idx="202">
                  <c:v>PH</c:v>
                </c:pt>
                <c:pt idx="203">
                  <c:v>CAH</c:v>
                </c:pt>
                <c:pt idx="204">
                  <c:v>GWW</c:v>
                </c:pt>
                <c:pt idx="205">
                  <c:v>CHD</c:v>
                </c:pt>
                <c:pt idx="206">
                  <c:v>IDXX</c:v>
                </c:pt>
                <c:pt idx="207">
                  <c:v>KKR</c:v>
                </c:pt>
                <c:pt idx="208">
                  <c:v>AME</c:v>
                </c:pt>
                <c:pt idx="209">
                  <c:v>EL</c:v>
                </c:pt>
                <c:pt idx="210">
                  <c:v>LLY</c:v>
                </c:pt>
                <c:pt idx="211">
                  <c:v>LIN</c:v>
                </c:pt>
                <c:pt idx="212">
                  <c:v>ICE</c:v>
                </c:pt>
                <c:pt idx="213">
                  <c:v>HSY</c:v>
                </c:pt>
                <c:pt idx="214">
                  <c:v>APTV</c:v>
                </c:pt>
                <c:pt idx="215">
                  <c:v>CARR</c:v>
                </c:pt>
                <c:pt idx="216">
                  <c:v>CVS</c:v>
                </c:pt>
                <c:pt idx="217">
                  <c:v>HWM</c:v>
                </c:pt>
                <c:pt idx="218">
                  <c:v>BAX</c:v>
                </c:pt>
                <c:pt idx="219">
                  <c:v>PWR</c:v>
                </c:pt>
                <c:pt idx="220">
                  <c:v>BLDR</c:v>
                </c:pt>
                <c:pt idx="221">
                  <c:v>HII</c:v>
                </c:pt>
                <c:pt idx="222">
                  <c:v>TRGP</c:v>
                </c:pt>
                <c:pt idx="223">
                  <c:v>BR</c:v>
                </c:pt>
                <c:pt idx="224">
                  <c:v>MPWR</c:v>
                </c:pt>
                <c:pt idx="225">
                  <c:v>PCOR</c:v>
                </c:pt>
                <c:pt idx="226">
                  <c:v>TEAM</c:v>
                </c:pt>
                <c:pt idx="227">
                  <c:v>MHK</c:v>
                </c:pt>
                <c:pt idx="228">
                  <c:v>SYK</c:v>
                </c:pt>
                <c:pt idx="229">
                  <c:v>AIG</c:v>
                </c:pt>
                <c:pt idx="230">
                  <c:v>DLB</c:v>
                </c:pt>
                <c:pt idx="231">
                  <c:v>AAPL</c:v>
                </c:pt>
                <c:pt idx="232">
                  <c:v>AJG</c:v>
                </c:pt>
                <c:pt idx="233">
                  <c:v>AMGN</c:v>
                </c:pt>
                <c:pt idx="234">
                  <c:v>HOLX</c:v>
                </c:pt>
                <c:pt idx="235">
                  <c:v>MTD</c:v>
                </c:pt>
                <c:pt idx="236">
                  <c:v>ROKU</c:v>
                </c:pt>
                <c:pt idx="237">
                  <c:v>IR</c:v>
                </c:pt>
                <c:pt idx="238">
                  <c:v>GDDY</c:v>
                </c:pt>
                <c:pt idx="239">
                  <c:v>LYV</c:v>
                </c:pt>
                <c:pt idx="240">
                  <c:v>MNST</c:v>
                </c:pt>
                <c:pt idx="241">
                  <c:v>XYZ</c:v>
                </c:pt>
                <c:pt idx="242">
                  <c:v>AMZN</c:v>
                </c:pt>
                <c:pt idx="243">
                  <c:v>ABNB</c:v>
                </c:pt>
                <c:pt idx="244">
                  <c:v>MSI</c:v>
                </c:pt>
                <c:pt idx="245">
                  <c:v>ETN</c:v>
                </c:pt>
                <c:pt idx="246">
                  <c:v>XOM</c:v>
                </c:pt>
                <c:pt idx="247">
                  <c:v>CVX</c:v>
                </c:pt>
                <c:pt idx="248">
                  <c:v>TROW</c:v>
                </c:pt>
                <c:pt idx="249">
                  <c:v>BEN</c:v>
                </c:pt>
                <c:pt idx="250">
                  <c:v>ZBH</c:v>
                </c:pt>
                <c:pt idx="251">
                  <c:v>TSN</c:v>
                </c:pt>
                <c:pt idx="252">
                  <c:v>CMI</c:v>
                </c:pt>
                <c:pt idx="253">
                  <c:v>ON</c:v>
                </c:pt>
                <c:pt idx="254">
                  <c:v>HSIC</c:v>
                </c:pt>
                <c:pt idx="255">
                  <c:v>CLX</c:v>
                </c:pt>
                <c:pt idx="256">
                  <c:v>F</c:v>
                </c:pt>
                <c:pt idx="257">
                  <c:v>PLTR</c:v>
                </c:pt>
                <c:pt idx="258">
                  <c:v>WMB</c:v>
                </c:pt>
                <c:pt idx="259">
                  <c:v>CE</c:v>
                </c:pt>
                <c:pt idx="260">
                  <c:v>IT</c:v>
                </c:pt>
                <c:pt idx="261">
                  <c:v>ADM</c:v>
                </c:pt>
                <c:pt idx="262">
                  <c:v>IQV</c:v>
                </c:pt>
                <c:pt idx="263">
                  <c:v>FIS</c:v>
                </c:pt>
                <c:pt idx="264">
                  <c:v>BALL</c:v>
                </c:pt>
                <c:pt idx="265">
                  <c:v>LDOS</c:v>
                </c:pt>
                <c:pt idx="266">
                  <c:v>MAR</c:v>
                </c:pt>
                <c:pt idx="267">
                  <c:v>GPN</c:v>
                </c:pt>
                <c:pt idx="268">
                  <c:v>MPC</c:v>
                </c:pt>
                <c:pt idx="269">
                  <c:v>J</c:v>
                </c:pt>
                <c:pt idx="270">
                  <c:v>WAT</c:v>
                </c:pt>
                <c:pt idx="271">
                  <c:v>ZTS</c:v>
                </c:pt>
                <c:pt idx="272">
                  <c:v>DDOG</c:v>
                </c:pt>
                <c:pt idx="273">
                  <c:v>DASH</c:v>
                </c:pt>
                <c:pt idx="274">
                  <c:v>VRNS</c:v>
                </c:pt>
                <c:pt idx="275">
                  <c:v>IFF</c:v>
                </c:pt>
                <c:pt idx="276">
                  <c:v>AMD</c:v>
                </c:pt>
                <c:pt idx="277">
                  <c:v>EA</c:v>
                </c:pt>
                <c:pt idx="278">
                  <c:v>INTA</c:v>
                </c:pt>
                <c:pt idx="279">
                  <c:v>LCID</c:v>
                </c:pt>
                <c:pt idx="280">
                  <c:v>AIZ</c:v>
                </c:pt>
                <c:pt idx="281">
                  <c:v>ANET</c:v>
                </c:pt>
                <c:pt idx="282">
                  <c:v>CPAY</c:v>
                </c:pt>
                <c:pt idx="283">
                  <c:v>KVYO</c:v>
                </c:pt>
                <c:pt idx="284">
                  <c:v>MOS</c:v>
                </c:pt>
                <c:pt idx="285">
                  <c:v>GEN</c:v>
                </c:pt>
                <c:pt idx="286">
                  <c:v>WYNN</c:v>
                </c:pt>
                <c:pt idx="287">
                  <c:v>CDW</c:v>
                </c:pt>
                <c:pt idx="288">
                  <c:v>ROK</c:v>
                </c:pt>
                <c:pt idx="289">
                  <c:v>BG</c:v>
                </c:pt>
                <c:pt idx="290">
                  <c:v>JCI</c:v>
                </c:pt>
                <c:pt idx="291">
                  <c:v>DAY</c:v>
                </c:pt>
                <c:pt idx="292">
                  <c:v>TECH</c:v>
                </c:pt>
                <c:pt idx="293">
                  <c:v>MKTX</c:v>
                </c:pt>
                <c:pt idx="294">
                  <c:v>DIS</c:v>
                </c:pt>
                <c:pt idx="295">
                  <c:v>UBER</c:v>
                </c:pt>
                <c:pt idx="296">
                  <c:v>EMR</c:v>
                </c:pt>
                <c:pt idx="297">
                  <c:v>COR</c:v>
                </c:pt>
                <c:pt idx="298">
                  <c:v>BWA</c:v>
                </c:pt>
                <c:pt idx="299">
                  <c:v>U</c:v>
                </c:pt>
                <c:pt idx="300">
                  <c:v>TRMB</c:v>
                </c:pt>
                <c:pt idx="301">
                  <c:v>AXON</c:v>
                </c:pt>
                <c:pt idx="302">
                  <c:v>SWKS</c:v>
                </c:pt>
                <c:pt idx="303">
                  <c:v>CTVA</c:v>
                </c:pt>
                <c:pt idx="304">
                  <c:v>FTNT</c:v>
                </c:pt>
                <c:pt idx="305">
                  <c:v>PAYC</c:v>
                </c:pt>
                <c:pt idx="306">
                  <c:v>APP</c:v>
                </c:pt>
                <c:pt idx="307">
                  <c:v>CF</c:v>
                </c:pt>
                <c:pt idx="308">
                  <c:v>CENX</c:v>
                </c:pt>
                <c:pt idx="309">
                  <c:v>KVUE</c:v>
                </c:pt>
                <c:pt idx="310">
                  <c:v>MTCH</c:v>
                </c:pt>
                <c:pt idx="311">
                  <c:v>TAP</c:v>
                </c:pt>
                <c:pt idx="312">
                  <c:v>COP</c:v>
                </c:pt>
                <c:pt idx="313">
                  <c:v>TPR</c:v>
                </c:pt>
                <c:pt idx="314">
                  <c:v>VTRS</c:v>
                </c:pt>
                <c:pt idx="315">
                  <c:v>WBD</c:v>
                </c:pt>
                <c:pt idx="316">
                  <c:v>MCK</c:v>
                </c:pt>
                <c:pt idx="317">
                  <c:v>NWS</c:v>
                </c:pt>
                <c:pt idx="318">
                  <c:v>EXPE</c:v>
                </c:pt>
                <c:pt idx="319">
                  <c:v>PODD</c:v>
                </c:pt>
                <c:pt idx="320">
                  <c:v>AKAM</c:v>
                </c:pt>
                <c:pt idx="321">
                  <c:v>DBX</c:v>
                </c:pt>
                <c:pt idx="322">
                  <c:v>SOLV</c:v>
                </c:pt>
                <c:pt idx="323">
                  <c:v>KODK</c:v>
                </c:pt>
                <c:pt idx="324">
                  <c:v>MCHP</c:v>
                </c:pt>
                <c:pt idx="325">
                  <c:v>FOX</c:v>
                </c:pt>
                <c:pt idx="326">
                  <c:v>GCT</c:v>
                </c:pt>
                <c:pt idx="327">
                  <c:v>DVA</c:v>
                </c:pt>
                <c:pt idx="328">
                  <c:v>ASTS</c:v>
                </c:pt>
                <c:pt idx="329">
                  <c:v>KRMN</c:v>
                </c:pt>
                <c:pt idx="330">
                  <c:v>QUIK</c:v>
                </c:pt>
                <c:pt idx="331">
                  <c:v>DT</c:v>
                </c:pt>
                <c:pt idx="332">
                  <c:v>STE</c:v>
                </c:pt>
                <c:pt idx="333">
                  <c:v>CSCO</c:v>
                </c:pt>
                <c:pt idx="334">
                  <c:v>STN</c:v>
                </c:pt>
                <c:pt idx="335">
                  <c:v>DE</c:v>
                </c:pt>
                <c:pt idx="336">
                  <c:v>WMT</c:v>
                </c:pt>
                <c:pt idx="337">
                  <c:v>WMS</c:v>
                </c:pt>
                <c:pt idx="338">
                  <c:v>TTWO</c:v>
                </c:pt>
                <c:pt idx="339">
                  <c:v>AMAT</c:v>
                </c:pt>
                <c:pt idx="340">
                  <c:v>DOCS</c:v>
                </c:pt>
                <c:pt idx="341">
                  <c:v>RBC</c:v>
                </c:pt>
                <c:pt idx="342">
                  <c:v>FLO</c:v>
                </c:pt>
                <c:pt idx="343">
                  <c:v>HD</c:v>
                </c:pt>
                <c:pt idx="344">
                  <c:v>EXP</c:v>
                </c:pt>
                <c:pt idx="345">
                  <c:v>PANW</c:v>
                </c:pt>
                <c:pt idx="346">
                  <c:v>TOL</c:v>
                </c:pt>
                <c:pt idx="347">
                  <c:v>MDT</c:v>
                </c:pt>
                <c:pt idx="348">
                  <c:v>LOW</c:v>
                </c:pt>
                <c:pt idx="349">
                  <c:v>TJX</c:v>
                </c:pt>
                <c:pt idx="350">
                  <c:v>TGT</c:v>
                </c:pt>
                <c:pt idx="351">
                  <c:v>ZM</c:v>
                </c:pt>
                <c:pt idx="352">
                  <c:v>ADI</c:v>
                </c:pt>
                <c:pt idx="353">
                  <c:v>RL</c:v>
                </c:pt>
                <c:pt idx="354">
                  <c:v>BJ</c:v>
                </c:pt>
                <c:pt idx="355">
                  <c:v>WSM</c:v>
                </c:pt>
                <c:pt idx="356">
                  <c:v>CPRT</c:v>
                </c:pt>
                <c:pt idx="357">
                  <c:v>DECK</c:v>
                </c:pt>
                <c:pt idx="358">
                  <c:v>INTU</c:v>
                </c:pt>
                <c:pt idx="359">
                  <c:v>ROST</c:v>
                </c:pt>
                <c:pt idx="360">
                  <c:v>WDAY</c:v>
                </c:pt>
                <c:pt idx="361">
                  <c:v>ADSK</c:v>
                </c:pt>
                <c:pt idx="362">
                  <c:v>BOX</c:v>
                </c:pt>
                <c:pt idx="363">
                  <c:v>OKTA</c:v>
                </c:pt>
                <c:pt idx="364">
                  <c:v>SMTC</c:v>
                </c:pt>
                <c:pt idx="365">
                  <c:v>M</c:v>
                </c:pt>
                <c:pt idx="366">
                  <c:v>ANF</c:v>
                </c:pt>
                <c:pt idx="367">
                  <c:v>DKS</c:v>
                </c:pt>
                <c:pt idx="368">
                  <c:v>ELF</c:v>
                </c:pt>
                <c:pt idx="369">
                  <c:v>SNPS</c:v>
                </c:pt>
                <c:pt idx="370">
                  <c:v>NTNX</c:v>
                </c:pt>
                <c:pt idx="371">
                  <c:v>NVDA</c:v>
                </c:pt>
                <c:pt idx="372">
                  <c:v>CRM</c:v>
                </c:pt>
                <c:pt idx="373">
                  <c:v>A</c:v>
                </c:pt>
                <c:pt idx="374">
                  <c:v>AI</c:v>
                </c:pt>
                <c:pt idx="375">
                  <c:v>HPQ</c:v>
                </c:pt>
                <c:pt idx="376">
                  <c:v>PSTG</c:v>
                </c:pt>
                <c:pt idx="377">
                  <c:v>VEEV</c:v>
                </c:pt>
                <c:pt idx="378">
                  <c:v>S</c:v>
                </c:pt>
                <c:pt idx="379">
                  <c:v>HRL</c:v>
                </c:pt>
                <c:pt idx="380">
                  <c:v>BBY</c:v>
                </c:pt>
                <c:pt idx="381">
                  <c:v>BURL</c:v>
                </c:pt>
                <c:pt idx="382">
                  <c:v>AEO</c:v>
                </c:pt>
                <c:pt idx="383">
                  <c:v>PATH</c:v>
                </c:pt>
                <c:pt idx="384">
                  <c:v>DELL</c:v>
                </c:pt>
                <c:pt idx="385">
                  <c:v>NTAP</c:v>
                </c:pt>
                <c:pt idx="386">
                  <c:v>ESTC</c:v>
                </c:pt>
                <c:pt idx="387">
                  <c:v>ZS</c:v>
                </c:pt>
                <c:pt idx="388">
                  <c:v>GAP</c:v>
                </c:pt>
                <c:pt idx="389">
                  <c:v>COST</c:v>
                </c:pt>
                <c:pt idx="390">
                  <c:v>ULTA</c:v>
                </c:pt>
                <c:pt idx="391">
                  <c:v>CPB</c:v>
                </c:pt>
                <c:pt idx="392">
                  <c:v>DG</c:v>
                </c:pt>
                <c:pt idx="393">
                  <c:v>OLLI</c:v>
                </c:pt>
                <c:pt idx="394">
                  <c:v>HQY</c:v>
                </c:pt>
                <c:pt idx="395">
                  <c:v>ASAN</c:v>
                </c:pt>
                <c:pt idx="396">
                  <c:v>CRWD</c:v>
                </c:pt>
                <c:pt idx="397">
                  <c:v>HPE</c:v>
                </c:pt>
                <c:pt idx="398">
                  <c:v>REVG</c:v>
                </c:pt>
                <c:pt idx="399">
                  <c:v>DLTR</c:v>
                </c:pt>
                <c:pt idx="400">
                  <c:v>VSCO</c:v>
                </c:pt>
                <c:pt idx="401">
                  <c:v>CIEN</c:v>
                </c:pt>
                <c:pt idx="402">
                  <c:v>DOCU</c:v>
                </c:pt>
                <c:pt idx="403">
                  <c:v>AVGO</c:v>
                </c:pt>
                <c:pt idx="404">
                  <c:v>CASY</c:v>
                </c:pt>
                <c:pt idx="405">
                  <c:v>CNM</c:v>
                </c:pt>
                <c:pt idx="406">
                  <c:v>GTLB</c:v>
                </c:pt>
                <c:pt idx="407">
                  <c:v>CHWY</c:v>
                </c:pt>
                <c:pt idx="408">
                  <c:v>ORCL</c:v>
                </c:pt>
                <c:pt idx="409">
                  <c:v>ADBE</c:v>
                </c:pt>
                <c:pt idx="410">
                  <c:v>LEN</c:v>
                </c:pt>
                <c:pt idx="411">
                  <c:v>JBL</c:v>
                </c:pt>
                <c:pt idx="412">
                  <c:v>DRI</c:v>
                </c:pt>
                <c:pt idx="413">
                  <c:v>SNX</c:v>
                </c:pt>
                <c:pt idx="414">
                  <c:v>CCL</c:v>
                </c:pt>
                <c:pt idx="415">
                  <c:v>GIS</c:v>
                </c:pt>
                <c:pt idx="416">
                  <c:v>MU</c:v>
                </c:pt>
                <c:pt idx="417">
                  <c:v>MKC</c:v>
                </c:pt>
                <c:pt idx="418">
                  <c:v>NKE</c:v>
                </c:pt>
              </c:strCache>
            </c:strRef>
          </c:cat>
          <c:val>
            <c:numRef>
              <c:f>'2025-Q2'!$CC$4:$CC$422</c:f>
              <c:numCache>
                <c:formatCode>0.0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6.6834991831277585E-2</c:v>
                </c:pt>
                <c:pt idx="40">
                  <c:v>0</c:v>
                </c:pt>
                <c:pt idx="41">
                  <c:v>0</c:v>
                </c:pt>
                <c:pt idx="42">
                  <c:v>0</c:v>
                </c:pt>
                <c:pt idx="43">
                  <c:v>0</c:v>
                </c:pt>
                <c:pt idx="44">
                  <c:v>0</c:v>
                </c:pt>
                <c:pt idx="45">
                  <c:v>0</c:v>
                </c:pt>
                <c:pt idx="46">
                  <c:v>0</c:v>
                </c:pt>
                <c:pt idx="47">
                  <c:v>-1.4611133068588897</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0.4905246481018824</c:v>
                </c:pt>
                <c:pt idx="70">
                  <c:v>0</c:v>
                </c:pt>
                <c:pt idx="71">
                  <c:v>-0.55950946427675097</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-1.2097286851272664</c:v>
                </c:pt>
                <c:pt idx="104">
                  <c:v>0</c:v>
                </c:pt>
                <c:pt idx="105">
                  <c:v>0</c:v>
                </c:pt>
                <c:pt idx="106">
                  <c:v>0.19590740433073134</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-0.36959431930621167</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-0.34083748639514178</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-0.33865165024245297</c:v>
                </c:pt>
                <c:pt idx="201">
                  <c:v>0</c:v>
                </c:pt>
                <c:pt idx="202">
                  <c:v>0</c:v>
                </c:pt>
                <c:pt idx="203">
                  <c:v>-0.15098969023521425</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0.94770770192908971</c:v>
                </c:pt>
                <c:pt idx="218">
                  <c:v>0</c:v>
                </c:pt>
                <c:pt idx="219">
                  <c:v>0</c:v>
                </c:pt>
                <c:pt idx="220">
                  <c:v>0</c:v>
                </c:pt>
                <c:pt idx="221">
                  <c:v>0</c:v>
                </c:pt>
                <c:pt idx="222">
                  <c:v>0</c:v>
                </c:pt>
                <c:pt idx="223">
                  <c:v>-0.35891089108910884</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9.8006272401430505E-2</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-1.489321591123322</c:v>
                </c:pt>
                <c:pt idx="258">
                  <c:v>-0.27145310509113252</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-0.94530996429730907</c:v>
                </c:pt>
                <c:pt idx="274">
                  <c:v>0</c:v>
                </c:pt>
                <c:pt idx="275">
                  <c:v>0</c:v>
                </c:pt>
                <c:pt idx="276">
                  <c:v>0</c:v>
                </c:pt>
                <c:pt idx="277">
                  <c:v>0.37368965963504636</c:v>
                </c:pt>
                <c:pt idx="278">
                  <c:v>0</c:v>
                </c:pt>
                <c:pt idx="279">
                  <c:v>0</c:v>
                </c:pt>
                <c:pt idx="280">
                  <c:v>0</c:v>
                </c:pt>
                <c:pt idx="281">
                  <c:v>0</c:v>
                </c:pt>
                <c:pt idx="282">
                  <c:v>0</c:v>
                </c:pt>
                <c:pt idx="283">
                  <c:v>0</c:v>
                </c:pt>
                <c:pt idx="284">
                  <c:v>0</c:v>
                </c:pt>
                <c:pt idx="285">
                  <c:v>0</c:v>
                </c:pt>
                <c:pt idx="286">
                  <c:v>0</c:v>
                </c:pt>
                <c:pt idx="287">
                  <c:v>0</c:v>
                </c:pt>
                <c:pt idx="288">
                  <c:v>0</c:v>
                </c:pt>
                <c:pt idx="289">
                  <c:v>0</c:v>
                </c:pt>
                <c:pt idx="290">
                  <c:v>-5.817663176068804E-2</c:v>
                </c:pt>
                <c:pt idx="291">
                  <c:v>0</c:v>
                </c:pt>
                <c:pt idx="292">
                  <c:v>0</c:v>
                </c:pt>
                <c:pt idx="293">
                  <c:v>0</c:v>
                </c:pt>
                <c:pt idx="294">
                  <c:v>0</c:v>
                </c:pt>
                <c:pt idx="295">
                  <c:v>-0.52429220552254319</c:v>
                </c:pt>
                <c:pt idx="296">
                  <c:v>0</c:v>
                </c:pt>
                <c:pt idx="297">
                  <c:v>0.27222814437834558</c:v>
                </c:pt>
                <c:pt idx="298">
                  <c:v>0</c:v>
                </c:pt>
                <c:pt idx="299">
                  <c:v>0</c:v>
                </c:pt>
                <c:pt idx="300">
                  <c:v>0</c:v>
                </c:pt>
                <c:pt idx="301">
                  <c:v>0</c:v>
                </c:pt>
                <c:pt idx="302">
                  <c:v>0</c:v>
                </c:pt>
                <c:pt idx="303">
                  <c:v>0</c:v>
                </c:pt>
                <c:pt idx="304">
                  <c:v>-1.4242878560719665</c:v>
                </c:pt>
                <c:pt idx="305">
                  <c:v>0</c:v>
                </c:pt>
                <c:pt idx="306">
                  <c:v>0</c:v>
                </c:pt>
                <c:pt idx="307">
                  <c:v>0</c:v>
                </c:pt>
                <c:pt idx="308">
                  <c:v>0</c:v>
                </c:pt>
                <c:pt idx="309">
                  <c:v>1.0024520409635078</c:v>
                </c:pt>
                <c:pt idx="310">
                  <c:v>0</c:v>
                </c:pt>
                <c:pt idx="311">
                  <c:v>0</c:v>
                </c:pt>
                <c:pt idx="312">
                  <c:v>0</c:v>
                </c:pt>
                <c:pt idx="313">
                  <c:v>0.98996655518394527</c:v>
                </c:pt>
                <c:pt idx="314">
                  <c:v>0</c:v>
                </c:pt>
                <c:pt idx="315">
                  <c:v>0</c:v>
                </c:pt>
                <c:pt idx="316">
                  <c:v>0.53724495955571649</c:v>
                </c:pt>
                <c:pt idx="317">
                  <c:v>0.36923076923077025</c:v>
                </c:pt>
                <c:pt idx="318">
                  <c:v>0</c:v>
                </c:pt>
                <c:pt idx="319">
                  <c:v>0</c:v>
                </c:pt>
                <c:pt idx="320">
                  <c:v>0</c:v>
                </c:pt>
                <c:pt idx="321">
                  <c:v>0</c:v>
                </c:pt>
                <c:pt idx="322">
                  <c:v>0</c:v>
                </c:pt>
                <c:pt idx="323">
                  <c:v>0</c:v>
                </c:pt>
                <c:pt idx="324">
                  <c:v>0</c:v>
                </c:pt>
                <c:pt idx="325">
                  <c:v>0</c:v>
                </c:pt>
                <c:pt idx="326">
                  <c:v>0</c:v>
                </c:pt>
                <c:pt idx="327">
                  <c:v>0</c:v>
                </c:pt>
                <c:pt idx="328">
                  <c:v>0</c:v>
                </c:pt>
                <c:pt idx="329">
                  <c:v>0.56855909694555473</c:v>
                </c:pt>
                <c:pt idx="330">
                  <c:v>0</c:v>
                </c:pt>
                <c:pt idx="331">
                  <c:v>0</c:v>
                </c:pt>
                <c:pt idx="332">
                  <c:v>0</c:v>
                </c:pt>
                <c:pt idx="333">
                  <c:v>0</c:v>
                </c:pt>
                <c:pt idx="334">
                  <c:v>0.21378800675675777</c:v>
                </c:pt>
                <c:pt idx="335">
                  <c:v>0</c:v>
                </c:pt>
                <c:pt idx="336">
                  <c:v>0</c:v>
                </c:pt>
                <c:pt idx="337">
                  <c:v>0</c:v>
                </c:pt>
                <c:pt idx="338">
                  <c:v>0.3041519612062788</c:v>
                </c:pt>
                <c:pt idx="339">
                  <c:v>0</c:v>
                </c:pt>
                <c:pt idx="340">
                  <c:v>0</c:v>
                </c:pt>
                <c:pt idx="341">
                  <c:v>-0.1007433223514014</c:v>
                </c:pt>
                <c:pt idx="342">
                  <c:v>0</c:v>
                </c:pt>
                <c:pt idx="343">
                  <c:v>0</c:v>
                </c:pt>
                <c:pt idx="344">
                  <c:v>0</c:v>
                </c:pt>
                <c:pt idx="345">
                  <c:v>-0.83299053887289143</c:v>
                </c:pt>
                <c:pt idx="346">
                  <c:v>0</c:v>
                </c:pt>
                <c:pt idx="347">
                  <c:v>0</c:v>
                </c:pt>
                <c:pt idx="348">
                  <c:v>0</c:v>
                </c:pt>
                <c:pt idx="349">
                  <c:v>-0.46690876750908095</c:v>
                </c:pt>
                <c:pt idx="350">
                  <c:v>0</c:v>
                </c:pt>
                <c:pt idx="351">
                  <c:v>0</c:v>
                </c:pt>
                <c:pt idx="352">
                  <c:v>0</c:v>
                </c:pt>
                <c:pt idx="353">
                  <c:v>-0.61523294873667522</c:v>
                </c:pt>
                <c:pt idx="354">
                  <c:v>0.36595744680850911</c:v>
                </c:pt>
                <c:pt idx="355">
                  <c:v>0</c:v>
                </c:pt>
                <c:pt idx="356">
                  <c:v>0</c:v>
                </c:pt>
                <c:pt idx="357">
                  <c:v>0</c:v>
                </c:pt>
                <c:pt idx="358">
                  <c:v>1.3494577646994048</c:v>
                </c:pt>
                <c:pt idx="359">
                  <c:v>-1.9321291735084853</c:v>
                </c:pt>
                <c:pt idx="360">
                  <c:v>0</c:v>
                </c:pt>
                <c:pt idx="361">
                  <c:v>0</c:v>
                </c:pt>
                <c:pt idx="362">
                  <c:v>0</c:v>
                </c:pt>
                <c:pt idx="363">
                  <c:v>-2.1713147410358555</c:v>
                </c:pt>
                <c:pt idx="364">
                  <c:v>0</c:v>
                </c:pt>
                <c:pt idx="365">
                  <c:v>0</c:v>
                </c:pt>
                <c:pt idx="366">
                  <c:v>0</c:v>
                </c:pt>
                <c:pt idx="367">
                  <c:v>0</c:v>
                </c:pt>
                <c:pt idx="368">
                  <c:v>0</c:v>
                </c:pt>
                <c:pt idx="369">
                  <c:v>0</c:v>
                </c:pt>
                <c:pt idx="370">
                  <c:v>0.27894002789400346</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0.77787954813958915</c:v>
                </c:pt>
                <c:pt idx="388">
                  <c:v>-3.0292188431723317</c:v>
                </c:pt>
                <c:pt idx="389">
                  <c:v>-0.10640336789790654</c:v>
                </c:pt>
                <c:pt idx="390">
                  <c:v>0</c:v>
                </c:pt>
                <c:pt idx="391">
                  <c:v>0</c:v>
                </c:pt>
                <c:pt idx="392">
                  <c:v>1.6791876779527255</c:v>
                </c:pt>
                <c:pt idx="393">
                  <c:v>0</c:v>
                </c:pt>
                <c:pt idx="394">
                  <c:v>0</c:v>
                </c:pt>
                <c:pt idx="395">
                  <c:v>0</c:v>
                </c:pt>
                <c:pt idx="396">
                  <c:v>-1.1593965681861582</c:v>
                </c:pt>
                <c:pt idx="397">
                  <c:v>0</c:v>
                </c:pt>
                <c:pt idx="398">
                  <c:v>2.2299838796346041</c:v>
                </c:pt>
                <c:pt idx="399">
                  <c:v>-0.99858698649021194</c:v>
                </c:pt>
                <c:pt idx="400">
                  <c:v>0</c:v>
                </c:pt>
                <c:pt idx="401">
                  <c:v>0</c:v>
                </c:pt>
                <c:pt idx="402">
                  <c:v>0</c:v>
                </c:pt>
                <c:pt idx="403">
                  <c:v>-0.56361328049859927</c:v>
                </c:pt>
                <c:pt idx="404">
                  <c:v>0</c:v>
                </c:pt>
                <c:pt idx="405">
                  <c:v>-0.56744760941625716</c:v>
                </c:pt>
                <c:pt idx="406">
                  <c:v>0</c:v>
                </c:pt>
                <c:pt idx="407">
                  <c:v>-1.5068792312732044</c:v>
                </c:pt>
                <c:pt idx="408">
                  <c:v>1.2832142722152942</c:v>
                </c:pt>
                <c:pt idx="409">
                  <c:v>0</c:v>
                </c:pt>
                <c:pt idx="410">
                  <c:v>0</c:v>
                </c:pt>
                <c:pt idx="411">
                  <c:v>0.40279467610514952</c:v>
                </c:pt>
                <c:pt idx="412">
                  <c:v>6.1354283576506137E-2</c:v>
                </c:pt>
                <c:pt idx="413">
                  <c:v>0</c:v>
                </c:pt>
                <c:pt idx="414">
                  <c:v>0</c:v>
                </c:pt>
                <c:pt idx="415">
                  <c:v>0</c:v>
                </c:pt>
                <c:pt idx="416">
                  <c:v>0.29862475442043135</c:v>
                </c:pt>
                <c:pt idx="417">
                  <c:v>0</c:v>
                </c:pt>
                <c:pt idx="418">
                  <c:v>0</c:v>
                </c:pt>
              </c:numCache>
            </c:numRef>
          </c:val>
          <c:extLst>
            <c:ext xmlns:c14="http://schemas.microsoft.com/office/drawing/2007/8/2/chart" uri="{6F2FDCE9-48DA-4B69-8628-5D25D57E5C99}">
              <c14:invertSolidFillFmt>
                <c14:spPr xmlns:c14="http://schemas.microsoft.com/office/drawing/2007/8/2/chart">
                  <a:solidFill>
                    <a:srgbClr val="FF9999"/>
                  </a:solidFill>
                  <a:ln>
                    <a:solidFill>
                      <a:sysClr val="windowText" lastClr="000000"/>
                    </a:solidFill>
                  </a:ln>
                  <a:effectLst/>
                </c14:spPr>
              </c14:invertSolidFillFmt>
            </c:ext>
            <c:ext xmlns:c16="http://schemas.microsoft.com/office/drawing/2014/chart" uri="{C3380CC4-5D6E-409C-BE32-E72D297353CC}">
              <c16:uniqueId val="{00000000-82F4-4C24-8A22-68BE67FC36D3}"/>
            </c:ext>
          </c:extLst>
        </c:ser>
        <c:dLbls>
          <c:showLegendKey val="0"/>
          <c:showVal val="0"/>
          <c:showCatName val="0"/>
          <c:showSerName val="0"/>
          <c:showPercent val="0"/>
          <c:showBubbleSize val="0"/>
        </c:dLbls>
        <c:gapWidth val="0"/>
        <c:axId val="1238446752"/>
        <c:axId val="1238447232"/>
      </c:barChart>
      <c:lineChart>
        <c:grouping val="standard"/>
        <c:varyColors val="0"/>
        <c:ser>
          <c:idx val="1"/>
          <c:order val="1"/>
          <c:spPr>
            <a:ln w="19050" cap="rnd">
              <a:solidFill>
                <a:sysClr val="windowText" lastClr="000000"/>
              </a:solidFill>
              <a:round/>
            </a:ln>
            <a:effectLst/>
          </c:spPr>
          <c:marker>
            <c:symbol val="none"/>
          </c:marker>
          <c:val>
            <c:numRef>
              <c:f>'2025-Q2'!$CD$4:$CD$422</c:f>
              <c:numCache>
                <c:formatCode>0.0</c:formatCode>
                <c:ptCount val="4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6.6834991831277585E-2</c:v>
                </c:pt>
                <c:pt idx="40">
                  <c:v>6.6834991831277585E-2</c:v>
                </c:pt>
                <c:pt idx="41">
                  <c:v>6.6834991831277585E-2</c:v>
                </c:pt>
                <c:pt idx="42">
                  <c:v>6.6834991831277585E-2</c:v>
                </c:pt>
                <c:pt idx="43">
                  <c:v>6.6834991831277585E-2</c:v>
                </c:pt>
                <c:pt idx="44">
                  <c:v>6.6834991831277585E-2</c:v>
                </c:pt>
                <c:pt idx="45">
                  <c:v>6.6834991831277585E-2</c:v>
                </c:pt>
                <c:pt idx="46">
                  <c:v>6.6834991831277585E-2</c:v>
                </c:pt>
                <c:pt idx="47">
                  <c:v>-1.3942783150276121</c:v>
                </c:pt>
                <c:pt idx="48">
                  <c:v>-1.3942783150276121</c:v>
                </c:pt>
                <c:pt idx="49">
                  <c:v>-1.3942783150276121</c:v>
                </c:pt>
                <c:pt idx="50">
                  <c:v>-1.3942783150276121</c:v>
                </c:pt>
                <c:pt idx="51">
                  <c:v>-1.3942783150276121</c:v>
                </c:pt>
                <c:pt idx="52">
                  <c:v>-1.3942783150276121</c:v>
                </c:pt>
                <c:pt idx="53">
                  <c:v>-1.3942783150276121</c:v>
                </c:pt>
                <c:pt idx="54">
                  <c:v>-1.3942783150276121</c:v>
                </c:pt>
                <c:pt idx="55">
                  <c:v>-1.3942783150276121</c:v>
                </c:pt>
                <c:pt idx="56">
                  <c:v>-1.3942783150276121</c:v>
                </c:pt>
                <c:pt idx="57">
                  <c:v>-1.3942783150276121</c:v>
                </c:pt>
                <c:pt idx="58">
                  <c:v>-1.3942783150276121</c:v>
                </c:pt>
                <c:pt idx="59">
                  <c:v>-1.3942783150276121</c:v>
                </c:pt>
                <c:pt idx="60">
                  <c:v>-1.3942783150276121</c:v>
                </c:pt>
                <c:pt idx="61">
                  <c:v>-1.3942783150276121</c:v>
                </c:pt>
                <c:pt idx="62">
                  <c:v>-1.3942783150276121</c:v>
                </c:pt>
                <c:pt idx="63">
                  <c:v>-1.3942783150276121</c:v>
                </c:pt>
                <c:pt idx="64">
                  <c:v>-1.3942783150276121</c:v>
                </c:pt>
                <c:pt idx="65">
                  <c:v>-1.3942783150276121</c:v>
                </c:pt>
                <c:pt idx="66">
                  <c:v>-1.3942783150276121</c:v>
                </c:pt>
                <c:pt idx="67">
                  <c:v>-1.3942783150276121</c:v>
                </c:pt>
                <c:pt idx="68">
                  <c:v>-1.3942783150276121</c:v>
                </c:pt>
                <c:pt idx="69">
                  <c:v>-0.90375366692572978</c:v>
                </c:pt>
                <c:pt idx="70">
                  <c:v>-0.90375366692572978</c:v>
                </c:pt>
                <c:pt idx="71">
                  <c:v>-1.4632631312024809</c:v>
                </c:pt>
                <c:pt idx="72">
                  <c:v>-1.4632631312024809</c:v>
                </c:pt>
                <c:pt idx="73">
                  <c:v>-1.4632631312024809</c:v>
                </c:pt>
                <c:pt idx="74">
                  <c:v>-1.4632631312024809</c:v>
                </c:pt>
                <c:pt idx="75">
                  <c:v>-1.4632631312024809</c:v>
                </c:pt>
                <c:pt idx="76">
                  <c:v>-1.4632631312024809</c:v>
                </c:pt>
                <c:pt idx="77">
                  <c:v>-1.4632631312024809</c:v>
                </c:pt>
                <c:pt idx="78">
                  <c:v>-1.4632631312024809</c:v>
                </c:pt>
                <c:pt idx="79">
                  <c:v>-1.4632631312024809</c:v>
                </c:pt>
                <c:pt idx="80">
                  <c:v>-1.4632631312024809</c:v>
                </c:pt>
                <c:pt idx="81">
                  <c:v>-1.4632631312024809</c:v>
                </c:pt>
                <c:pt idx="82">
                  <c:v>-1.4632631312024809</c:v>
                </c:pt>
                <c:pt idx="83">
                  <c:v>-1.4632631312024809</c:v>
                </c:pt>
                <c:pt idx="84">
                  <c:v>-1.4632631312024809</c:v>
                </c:pt>
                <c:pt idx="85">
                  <c:v>-1.4632631312024809</c:v>
                </c:pt>
                <c:pt idx="86">
                  <c:v>-1.4632631312024809</c:v>
                </c:pt>
                <c:pt idx="87">
                  <c:v>-1.4632631312024809</c:v>
                </c:pt>
                <c:pt idx="88">
                  <c:v>-1.4632631312024809</c:v>
                </c:pt>
                <c:pt idx="89">
                  <c:v>-1.4632631312024809</c:v>
                </c:pt>
                <c:pt idx="90">
                  <c:v>-1.4632631312024809</c:v>
                </c:pt>
                <c:pt idx="91">
                  <c:v>-1.4632631312024809</c:v>
                </c:pt>
                <c:pt idx="92">
                  <c:v>-1.4632631312024809</c:v>
                </c:pt>
                <c:pt idx="93">
                  <c:v>-1.4632631312024809</c:v>
                </c:pt>
                <c:pt idx="94">
                  <c:v>-1.4632631312024809</c:v>
                </c:pt>
                <c:pt idx="95">
                  <c:v>-1.4632631312024809</c:v>
                </c:pt>
                <c:pt idx="96">
                  <c:v>-1.4632631312024809</c:v>
                </c:pt>
                <c:pt idx="97">
                  <c:v>-1.4632631312024809</c:v>
                </c:pt>
                <c:pt idx="98">
                  <c:v>-1.4632631312024809</c:v>
                </c:pt>
                <c:pt idx="99">
                  <c:v>-1.4632631312024809</c:v>
                </c:pt>
                <c:pt idx="100">
                  <c:v>-1.4632631312024809</c:v>
                </c:pt>
                <c:pt idx="101">
                  <c:v>-1.4632631312024809</c:v>
                </c:pt>
                <c:pt idx="102">
                  <c:v>-1.4632631312024809</c:v>
                </c:pt>
                <c:pt idx="103">
                  <c:v>-2.6729918163297475</c:v>
                </c:pt>
                <c:pt idx="104">
                  <c:v>-2.6729918163297475</c:v>
                </c:pt>
                <c:pt idx="105">
                  <c:v>-2.6729918163297475</c:v>
                </c:pt>
                <c:pt idx="106">
                  <c:v>-2.4770844119990163</c:v>
                </c:pt>
                <c:pt idx="107">
                  <c:v>-2.4770844119990163</c:v>
                </c:pt>
                <c:pt idx="108">
                  <c:v>-2.4770844119990163</c:v>
                </c:pt>
                <c:pt idx="109">
                  <c:v>-2.4770844119990163</c:v>
                </c:pt>
                <c:pt idx="110">
                  <c:v>-2.4770844119990163</c:v>
                </c:pt>
                <c:pt idx="111">
                  <c:v>-2.4770844119990163</c:v>
                </c:pt>
                <c:pt idx="112">
                  <c:v>-2.4770844119990163</c:v>
                </c:pt>
                <c:pt idx="113">
                  <c:v>-2.4770844119990163</c:v>
                </c:pt>
                <c:pt idx="114">
                  <c:v>-2.4770844119990163</c:v>
                </c:pt>
                <c:pt idx="115">
                  <c:v>-2.4770844119990163</c:v>
                </c:pt>
                <c:pt idx="116">
                  <c:v>-2.4770844119990163</c:v>
                </c:pt>
                <c:pt idx="117">
                  <c:v>-2.4770844119990163</c:v>
                </c:pt>
                <c:pt idx="118">
                  <c:v>-2.4770844119990163</c:v>
                </c:pt>
                <c:pt idx="119">
                  <c:v>-2.4770844119990163</c:v>
                </c:pt>
                <c:pt idx="120">
                  <c:v>-2.4770844119990163</c:v>
                </c:pt>
                <c:pt idx="121">
                  <c:v>-2.8466787313052277</c:v>
                </c:pt>
                <c:pt idx="122">
                  <c:v>-2.8466787313052277</c:v>
                </c:pt>
                <c:pt idx="123">
                  <c:v>-2.8466787313052277</c:v>
                </c:pt>
                <c:pt idx="124">
                  <c:v>-2.8466787313052277</c:v>
                </c:pt>
                <c:pt idx="125">
                  <c:v>-2.8466787313052277</c:v>
                </c:pt>
                <c:pt idx="126">
                  <c:v>-2.8466787313052277</c:v>
                </c:pt>
                <c:pt idx="127">
                  <c:v>-2.8466787313052277</c:v>
                </c:pt>
                <c:pt idx="128">
                  <c:v>-2.8466787313052277</c:v>
                </c:pt>
                <c:pt idx="129">
                  <c:v>-2.8466787313052277</c:v>
                </c:pt>
                <c:pt idx="130">
                  <c:v>-2.8466787313052277</c:v>
                </c:pt>
                <c:pt idx="131">
                  <c:v>-2.8466787313052277</c:v>
                </c:pt>
                <c:pt idx="132">
                  <c:v>-2.8466787313052277</c:v>
                </c:pt>
                <c:pt idx="133">
                  <c:v>-2.8466787313052277</c:v>
                </c:pt>
                <c:pt idx="134">
                  <c:v>-2.8466787313052277</c:v>
                </c:pt>
                <c:pt idx="135">
                  <c:v>-2.8466787313052277</c:v>
                </c:pt>
                <c:pt idx="136">
                  <c:v>-2.8466787313052277</c:v>
                </c:pt>
                <c:pt idx="137">
                  <c:v>-3.1875162177003693</c:v>
                </c:pt>
                <c:pt idx="138">
                  <c:v>-3.1875162177003693</c:v>
                </c:pt>
                <c:pt idx="139">
                  <c:v>-3.1875162177003693</c:v>
                </c:pt>
                <c:pt idx="140">
                  <c:v>-3.1875162177003693</c:v>
                </c:pt>
                <c:pt idx="141">
                  <c:v>-3.1875162177003693</c:v>
                </c:pt>
                <c:pt idx="142">
                  <c:v>-3.1875162177003693</c:v>
                </c:pt>
                <c:pt idx="143">
                  <c:v>-3.1875162177003693</c:v>
                </c:pt>
                <c:pt idx="144">
                  <c:v>-3.1875162177003693</c:v>
                </c:pt>
                <c:pt idx="145">
                  <c:v>-3.1875162177003693</c:v>
                </c:pt>
                <c:pt idx="146">
                  <c:v>-3.1875162177003693</c:v>
                </c:pt>
                <c:pt idx="147">
                  <c:v>-3.1875162177003693</c:v>
                </c:pt>
                <c:pt idx="148">
                  <c:v>-3.1875162177003693</c:v>
                </c:pt>
                <c:pt idx="149">
                  <c:v>-3.1875162177003693</c:v>
                </c:pt>
                <c:pt idx="150">
                  <c:v>-3.1875162177003693</c:v>
                </c:pt>
                <c:pt idx="151">
                  <c:v>-3.1875162177003693</c:v>
                </c:pt>
                <c:pt idx="152">
                  <c:v>-3.1875162177003693</c:v>
                </c:pt>
                <c:pt idx="153">
                  <c:v>-3.1875162177003693</c:v>
                </c:pt>
                <c:pt idx="154">
                  <c:v>-3.1875162177003693</c:v>
                </c:pt>
                <c:pt idx="155">
                  <c:v>-3.1875162177003693</c:v>
                </c:pt>
                <c:pt idx="156">
                  <c:v>-3.1875162177003693</c:v>
                </c:pt>
                <c:pt idx="157">
                  <c:v>-3.1875162177003693</c:v>
                </c:pt>
                <c:pt idx="158">
                  <c:v>-3.1875162177003693</c:v>
                </c:pt>
                <c:pt idx="159">
                  <c:v>-3.1875162177003693</c:v>
                </c:pt>
                <c:pt idx="160">
                  <c:v>-3.1875162177003693</c:v>
                </c:pt>
                <c:pt idx="161">
                  <c:v>-3.1875162177003693</c:v>
                </c:pt>
                <c:pt idx="162">
                  <c:v>-3.1875162177003693</c:v>
                </c:pt>
                <c:pt idx="163">
                  <c:v>-3.1875162177003693</c:v>
                </c:pt>
                <c:pt idx="164">
                  <c:v>-3.1875162177003693</c:v>
                </c:pt>
                <c:pt idx="165">
                  <c:v>-3.1875162177003693</c:v>
                </c:pt>
                <c:pt idx="166">
                  <c:v>-3.1875162177003693</c:v>
                </c:pt>
                <c:pt idx="167">
                  <c:v>-3.1875162177003693</c:v>
                </c:pt>
                <c:pt idx="168">
                  <c:v>-3.1875162177003693</c:v>
                </c:pt>
                <c:pt idx="169">
                  <c:v>-3.1875162177003693</c:v>
                </c:pt>
                <c:pt idx="170">
                  <c:v>-3.1875162177003693</c:v>
                </c:pt>
                <c:pt idx="171">
                  <c:v>-3.1875162177003693</c:v>
                </c:pt>
                <c:pt idx="172">
                  <c:v>-3.1875162177003693</c:v>
                </c:pt>
                <c:pt idx="173">
                  <c:v>-3.1875162177003693</c:v>
                </c:pt>
                <c:pt idx="174">
                  <c:v>-3.1875162177003693</c:v>
                </c:pt>
                <c:pt idx="175">
                  <c:v>-3.1875162177003693</c:v>
                </c:pt>
                <c:pt idx="176">
                  <c:v>-3.1875162177003693</c:v>
                </c:pt>
                <c:pt idx="177">
                  <c:v>-3.1875162177003693</c:v>
                </c:pt>
                <c:pt idx="178">
                  <c:v>-3.1875162177003693</c:v>
                </c:pt>
                <c:pt idx="179">
                  <c:v>-3.1875162177003693</c:v>
                </c:pt>
                <c:pt idx="180">
                  <c:v>-3.1875162177003693</c:v>
                </c:pt>
                <c:pt idx="181">
                  <c:v>-3.1875162177003693</c:v>
                </c:pt>
                <c:pt idx="182">
                  <c:v>-3.1875162177003693</c:v>
                </c:pt>
                <c:pt idx="183">
                  <c:v>-3.1875162177003693</c:v>
                </c:pt>
                <c:pt idx="184">
                  <c:v>-3.1875162177003693</c:v>
                </c:pt>
                <c:pt idx="185">
                  <c:v>-3.1875162177003693</c:v>
                </c:pt>
                <c:pt idx="186">
                  <c:v>-3.1875162177003693</c:v>
                </c:pt>
                <c:pt idx="187">
                  <c:v>-3.1875162177003693</c:v>
                </c:pt>
                <c:pt idx="188">
                  <c:v>-3.1875162177003693</c:v>
                </c:pt>
                <c:pt idx="189">
                  <c:v>-3.1875162177003693</c:v>
                </c:pt>
                <c:pt idx="190">
                  <c:v>-3.1875162177003693</c:v>
                </c:pt>
                <c:pt idx="191">
                  <c:v>-3.1875162177003693</c:v>
                </c:pt>
                <c:pt idx="192">
                  <c:v>-3.1875162177003693</c:v>
                </c:pt>
                <c:pt idx="193">
                  <c:v>-3.1875162177003693</c:v>
                </c:pt>
                <c:pt idx="194">
                  <c:v>-3.1875162177003693</c:v>
                </c:pt>
                <c:pt idx="195">
                  <c:v>-3.1875162177003693</c:v>
                </c:pt>
                <c:pt idx="196">
                  <c:v>-3.1875162177003693</c:v>
                </c:pt>
                <c:pt idx="197">
                  <c:v>-3.1875162177003693</c:v>
                </c:pt>
                <c:pt idx="198">
                  <c:v>-3.1875162177003693</c:v>
                </c:pt>
                <c:pt idx="199">
                  <c:v>-3.1875162177003693</c:v>
                </c:pt>
                <c:pt idx="200">
                  <c:v>-3.5261678679428221</c:v>
                </c:pt>
                <c:pt idx="201">
                  <c:v>-3.5261678679428221</c:v>
                </c:pt>
                <c:pt idx="202">
                  <c:v>-3.5261678679428221</c:v>
                </c:pt>
                <c:pt idx="203">
                  <c:v>-3.6771575581780365</c:v>
                </c:pt>
                <c:pt idx="204">
                  <c:v>-3.6771575581780365</c:v>
                </c:pt>
                <c:pt idx="205">
                  <c:v>-3.6771575581780365</c:v>
                </c:pt>
                <c:pt idx="206">
                  <c:v>-3.6771575581780365</c:v>
                </c:pt>
                <c:pt idx="207">
                  <c:v>-3.6771575581780365</c:v>
                </c:pt>
                <c:pt idx="208">
                  <c:v>-3.6771575581780365</c:v>
                </c:pt>
                <c:pt idx="209">
                  <c:v>-3.6771575581780365</c:v>
                </c:pt>
                <c:pt idx="210">
                  <c:v>-3.6771575581780365</c:v>
                </c:pt>
                <c:pt idx="211">
                  <c:v>-3.6771575581780365</c:v>
                </c:pt>
                <c:pt idx="212">
                  <c:v>-3.6771575581780365</c:v>
                </c:pt>
                <c:pt idx="213">
                  <c:v>-3.6771575581780365</c:v>
                </c:pt>
                <c:pt idx="214">
                  <c:v>-3.6771575581780365</c:v>
                </c:pt>
                <c:pt idx="215">
                  <c:v>-3.6771575581780365</c:v>
                </c:pt>
                <c:pt idx="216">
                  <c:v>-3.6771575581780365</c:v>
                </c:pt>
                <c:pt idx="217">
                  <c:v>-2.7294498562489466</c:v>
                </c:pt>
                <c:pt idx="218">
                  <c:v>-2.7294498562489466</c:v>
                </c:pt>
                <c:pt idx="219">
                  <c:v>-2.7294498562489466</c:v>
                </c:pt>
                <c:pt idx="220">
                  <c:v>-2.7294498562489466</c:v>
                </c:pt>
                <c:pt idx="221">
                  <c:v>-2.7294498562489466</c:v>
                </c:pt>
                <c:pt idx="222">
                  <c:v>-2.7294498562489466</c:v>
                </c:pt>
                <c:pt idx="223">
                  <c:v>-3.0883607473380557</c:v>
                </c:pt>
                <c:pt idx="224">
                  <c:v>-3.0883607473380557</c:v>
                </c:pt>
                <c:pt idx="225">
                  <c:v>-3.0883607473380557</c:v>
                </c:pt>
                <c:pt idx="226">
                  <c:v>-3.0883607473380557</c:v>
                </c:pt>
                <c:pt idx="227">
                  <c:v>-3.0883607473380557</c:v>
                </c:pt>
                <c:pt idx="228">
                  <c:v>-3.0883607473380557</c:v>
                </c:pt>
                <c:pt idx="229">
                  <c:v>-3.0883607473380557</c:v>
                </c:pt>
                <c:pt idx="230">
                  <c:v>-3.0883607473380557</c:v>
                </c:pt>
                <c:pt idx="231">
                  <c:v>-3.0883607473380557</c:v>
                </c:pt>
                <c:pt idx="232">
                  <c:v>-3.0883607473380557</c:v>
                </c:pt>
                <c:pt idx="233">
                  <c:v>-3.0883607473380557</c:v>
                </c:pt>
                <c:pt idx="234">
                  <c:v>-3.0883607473380557</c:v>
                </c:pt>
                <c:pt idx="235">
                  <c:v>-3.0883607473380557</c:v>
                </c:pt>
                <c:pt idx="236">
                  <c:v>-3.0883607473380557</c:v>
                </c:pt>
                <c:pt idx="237">
                  <c:v>-3.0883607473380557</c:v>
                </c:pt>
                <c:pt idx="238">
                  <c:v>-3.0883607473380557</c:v>
                </c:pt>
                <c:pt idx="239">
                  <c:v>-3.0883607473380557</c:v>
                </c:pt>
                <c:pt idx="240">
                  <c:v>-2.9903544749366251</c:v>
                </c:pt>
                <c:pt idx="241">
                  <c:v>-2.9903544749366251</c:v>
                </c:pt>
                <c:pt idx="242">
                  <c:v>-2.9903544749366251</c:v>
                </c:pt>
                <c:pt idx="243">
                  <c:v>-2.9903544749366251</c:v>
                </c:pt>
                <c:pt idx="244">
                  <c:v>-2.9903544749366251</c:v>
                </c:pt>
                <c:pt idx="245">
                  <c:v>-2.9903544749366251</c:v>
                </c:pt>
                <c:pt idx="246">
                  <c:v>-2.9903544749366251</c:v>
                </c:pt>
                <c:pt idx="247">
                  <c:v>-2.9903544749366251</c:v>
                </c:pt>
                <c:pt idx="248">
                  <c:v>-2.9903544749366251</c:v>
                </c:pt>
                <c:pt idx="249">
                  <c:v>-2.9903544749366251</c:v>
                </c:pt>
                <c:pt idx="250">
                  <c:v>-2.9903544749366251</c:v>
                </c:pt>
                <c:pt idx="251">
                  <c:v>-2.9903544749366251</c:v>
                </c:pt>
                <c:pt idx="252">
                  <c:v>-2.9903544749366251</c:v>
                </c:pt>
                <c:pt idx="253">
                  <c:v>-2.9903544749366251</c:v>
                </c:pt>
                <c:pt idx="254">
                  <c:v>-2.9903544749366251</c:v>
                </c:pt>
                <c:pt idx="255">
                  <c:v>-2.9903544749366251</c:v>
                </c:pt>
                <c:pt idx="256">
                  <c:v>-2.9903544749366251</c:v>
                </c:pt>
                <c:pt idx="257">
                  <c:v>-4.4796760660599473</c:v>
                </c:pt>
                <c:pt idx="258">
                  <c:v>-4.7511291711510797</c:v>
                </c:pt>
                <c:pt idx="259">
                  <c:v>-4.7511291711510797</c:v>
                </c:pt>
                <c:pt idx="260">
                  <c:v>-4.7511291711510797</c:v>
                </c:pt>
                <c:pt idx="261">
                  <c:v>-4.7511291711510797</c:v>
                </c:pt>
                <c:pt idx="262">
                  <c:v>-4.7511291711510797</c:v>
                </c:pt>
                <c:pt idx="263">
                  <c:v>-4.7511291711510797</c:v>
                </c:pt>
                <c:pt idx="264">
                  <c:v>-4.7511291711510797</c:v>
                </c:pt>
                <c:pt idx="265">
                  <c:v>-4.7511291711510797</c:v>
                </c:pt>
                <c:pt idx="266">
                  <c:v>-4.7511291711510797</c:v>
                </c:pt>
                <c:pt idx="267">
                  <c:v>-4.7511291711510797</c:v>
                </c:pt>
                <c:pt idx="268">
                  <c:v>-4.7511291711510797</c:v>
                </c:pt>
                <c:pt idx="269">
                  <c:v>-4.7511291711510797</c:v>
                </c:pt>
                <c:pt idx="270">
                  <c:v>-4.7511291711510797</c:v>
                </c:pt>
                <c:pt idx="271">
                  <c:v>-4.7511291711510797</c:v>
                </c:pt>
                <c:pt idx="272">
                  <c:v>-4.7511291711510797</c:v>
                </c:pt>
                <c:pt idx="273">
                  <c:v>-5.6964391354483883</c:v>
                </c:pt>
                <c:pt idx="274">
                  <c:v>-5.6964391354483883</c:v>
                </c:pt>
                <c:pt idx="275">
                  <c:v>-5.6964391354483883</c:v>
                </c:pt>
                <c:pt idx="276">
                  <c:v>-5.6964391354483883</c:v>
                </c:pt>
                <c:pt idx="277">
                  <c:v>-5.3227494758133416</c:v>
                </c:pt>
                <c:pt idx="278">
                  <c:v>-5.3227494758133416</c:v>
                </c:pt>
                <c:pt idx="279">
                  <c:v>-5.3227494758133416</c:v>
                </c:pt>
                <c:pt idx="280">
                  <c:v>-5.3227494758133416</c:v>
                </c:pt>
                <c:pt idx="281">
                  <c:v>-5.3227494758133416</c:v>
                </c:pt>
                <c:pt idx="282">
                  <c:v>-5.3227494758133416</c:v>
                </c:pt>
                <c:pt idx="283">
                  <c:v>-5.3227494758133416</c:v>
                </c:pt>
                <c:pt idx="284">
                  <c:v>-5.3227494758133416</c:v>
                </c:pt>
                <c:pt idx="285">
                  <c:v>-5.3227494758133416</c:v>
                </c:pt>
                <c:pt idx="286">
                  <c:v>-5.3227494758133416</c:v>
                </c:pt>
                <c:pt idx="287">
                  <c:v>-5.3227494758133416</c:v>
                </c:pt>
                <c:pt idx="288">
                  <c:v>-5.3227494758133416</c:v>
                </c:pt>
                <c:pt idx="289">
                  <c:v>-5.3227494758133416</c:v>
                </c:pt>
                <c:pt idx="290">
                  <c:v>-5.3809261075740293</c:v>
                </c:pt>
                <c:pt idx="291">
                  <c:v>-5.3809261075740293</c:v>
                </c:pt>
                <c:pt idx="292">
                  <c:v>-5.3809261075740293</c:v>
                </c:pt>
                <c:pt idx="293">
                  <c:v>-5.3809261075740293</c:v>
                </c:pt>
                <c:pt idx="294">
                  <c:v>-5.3809261075740293</c:v>
                </c:pt>
                <c:pt idx="295">
                  <c:v>-5.9052183130965723</c:v>
                </c:pt>
                <c:pt idx="296">
                  <c:v>-5.9052183130965723</c:v>
                </c:pt>
                <c:pt idx="297">
                  <c:v>-5.6329901687182264</c:v>
                </c:pt>
                <c:pt idx="298">
                  <c:v>-5.6329901687182264</c:v>
                </c:pt>
                <c:pt idx="299">
                  <c:v>-5.6329901687182264</c:v>
                </c:pt>
                <c:pt idx="300">
                  <c:v>-5.6329901687182264</c:v>
                </c:pt>
                <c:pt idx="301">
                  <c:v>-5.6329901687182264</c:v>
                </c:pt>
                <c:pt idx="302">
                  <c:v>-5.6329901687182264</c:v>
                </c:pt>
                <c:pt idx="303">
                  <c:v>-5.6329901687182264</c:v>
                </c:pt>
                <c:pt idx="304">
                  <c:v>-7.0572780247901932</c:v>
                </c:pt>
                <c:pt idx="305">
                  <c:v>-7.0572780247901932</c:v>
                </c:pt>
                <c:pt idx="306">
                  <c:v>-7.0572780247901932</c:v>
                </c:pt>
                <c:pt idx="307">
                  <c:v>-7.0572780247901932</c:v>
                </c:pt>
                <c:pt idx="308">
                  <c:v>-7.0572780247901932</c:v>
                </c:pt>
                <c:pt idx="309">
                  <c:v>-6.0548259838266851</c:v>
                </c:pt>
                <c:pt idx="310">
                  <c:v>-6.0548259838266851</c:v>
                </c:pt>
                <c:pt idx="311">
                  <c:v>-6.0548259838266851</c:v>
                </c:pt>
                <c:pt idx="312">
                  <c:v>-6.0548259838266851</c:v>
                </c:pt>
                <c:pt idx="313">
                  <c:v>-5.0648594286427402</c:v>
                </c:pt>
                <c:pt idx="314">
                  <c:v>-5.0648594286427402</c:v>
                </c:pt>
                <c:pt idx="315">
                  <c:v>-5.0648594286427402</c:v>
                </c:pt>
                <c:pt idx="316">
                  <c:v>-4.5276144690870233</c:v>
                </c:pt>
                <c:pt idx="317">
                  <c:v>-4.1583836998562527</c:v>
                </c:pt>
                <c:pt idx="318">
                  <c:v>-4.1583836998562527</c:v>
                </c:pt>
                <c:pt idx="319">
                  <c:v>-4.1583836998562527</c:v>
                </c:pt>
                <c:pt idx="320">
                  <c:v>-4.1583836998562527</c:v>
                </c:pt>
                <c:pt idx="321">
                  <c:v>-4.1583836998562527</c:v>
                </c:pt>
                <c:pt idx="322">
                  <c:v>-4.1583836998562527</c:v>
                </c:pt>
                <c:pt idx="323">
                  <c:v>-4.1583836998562527</c:v>
                </c:pt>
                <c:pt idx="324">
                  <c:v>-4.1583836998562527</c:v>
                </c:pt>
                <c:pt idx="325">
                  <c:v>-4.1583836998562527</c:v>
                </c:pt>
                <c:pt idx="326">
                  <c:v>-4.1583836998562527</c:v>
                </c:pt>
                <c:pt idx="327">
                  <c:v>-4.1583836998562527</c:v>
                </c:pt>
                <c:pt idx="328">
                  <c:v>-4.1583836998562527</c:v>
                </c:pt>
                <c:pt idx="329">
                  <c:v>-3.5898246029106979</c:v>
                </c:pt>
                <c:pt idx="330">
                  <c:v>-3.5898246029106979</c:v>
                </c:pt>
                <c:pt idx="331">
                  <c:v>-3.5898246029106979</c:v>
                </c:pt>
                <c:pt idx="332">
                  <c:v>-3.5898246029106979</c:v>
                </c:pt>
                <c:pt idx="333">
                  <c:v>-3.5898246029106979</c:v>
                </c:pt>
                <c:pt idx="334">
                  <c:v>-3.37603659615394</c:v>
                </c:pt>
                <c:pt idx="335">
                  <c:v>-3.37603659615394</c:v>
                </c:pt>
                <c:pt idx="336">
                  <c:v>-3.37603659615394</c:v>
                </c:pt>
                <c:pt idx="337">
                  <c:v>-3.37603659615394</c:v>
                </c:pt>
                <c:pt idx="338">
                  <c:v>-3.0718846349476614</c:v>
                </c:pt>
                <c:pt idx="339">
                  <c:v>-3.0718846349476614</c:v>
                </c:pt>
                <c:pt idx="340">
                  <c:v>-3.0718846349476614</c:v>
                </c:pt>
                <c:pt idx="341">
                  <c:v>-3.172627957299063</c:v>
                </c:pt>
                <c:pt idx="342">
                  <c:v>-3.172627957299063</c:v>
                </c:pt>
                <c:pt idx="343">
                  <c:v>-3.172627957299063</c:v>
                </c:pt>
                <c:pt idx="344">
                  <c:v>-3.172627957299063</c:v>
                </c:pt>
                <c:pt idx="345">
                  <c:v>-4.0056184961719543</c:v>
                </c:pt>
                <c:pt idx="346">
                  <c:v>-4.0056184961719543</c:v>
                </c:pt>
                <c:pt idx="347">
                  <c:v>-4.0056184961719543</c:v>
                </c:pt>
                <c:pt idx="348">
                  <c:v>-4.0056184961719543</c:v>
                </c:pt>
                <c:pt idx="349">
                  <c:v>-4.4725272636810356</c:v>
                </c:pt>
                <c:pt idx="350">
                  <c:v>-4.4725272636810356</c:v>
                </c:pt>
                <c:pt idx="351">
                  <c:v>-4.4725272636810356</c:v>
                </c:pt>
                <c:pt idx="352">
                  <c:v>-4.4725272636810356</c:v>
                </c:pt>
                <c:pt idx="353">
                  <c:v>-5.0877602124177113</c:v>
                </c:pt>
                <c:pt idx="354">
                  <c:v>-4.7218027656092021</c:v>
                </c:pt>
                <c:pt idx="355">
                  <c:v>-4.7218027656092021</c:v>
                </c:pt>
                <c:pt idx="356">
                  <c:v>-4.7218027656092021</c:v>
                </c:pt>
                <c:pt idx="357">
                  <c:v>-4.7218027656092021</c:v>
                </c:pt>
                <c:pt idx="358">
                  <c:v>-3.3723450009097973</c:v>
                </c:pt>
                <c:pt idx="359">
                  <c:v>-5.3044741744182824</c:v>
                </c:pt>
                <c:pt idx="360">
                  <c:v>-5.3044741744182824</c:v>
                </c:pt>
                <c:pt idx="361">
                  <c:v>-5.3044741744182824</c:v>
                </c:pt>
                <c:pt idx="362">
                  <c:v>-5.3044741744182824</c:v>
                </c:pt>
                <c:pt idx="363">
                  <c:v>-7.4757889154541379</c:v>
                </c:pt>
                <c:pt idx="364">
                  <c:v>-7.4757889154541379</c:v>
                </c:pt>
                <c:pt idx="365">
                  <c:v>-7.4757889154541379</c:v>
                </c:pt>
                <c:pt idx="366">
                  <c:v>-7.4757889154541379</c:v>
                </c:pt>
                <c:pt idx="367">
                  <c:v>-7.4757889154541379</c:v>
                </c:pt>
                <c:pt idx="368">
                  <c:v>-7.4757889154541379</c:v>
                </c:pt>
                <c:pt idx="369">
                  <c:v>-7.4757889154541379</c:v>
                </c:pt>
                <c:pt idx="370">
                  <c:v>-7.1968488875601349</c:v>
                </c:pt>
                <c:pt idx="371">
                  <c:v>-7.1968488875601349</c:v>
                </c:pt>
                <c:pt idx="372">
                  <c:v>-7.1968488875601349</c:v>
                </c:pt>
                <c:pt idx="373">
                  <c:v>-7.1968488875601349</c:v>
                </c:pt>
                <c:pt idx="374">
                  <c:v>-7.1968488875601349</c:v>
                </c:pt>
                <c:pt idx="375">
                  <c:v>-7.1968488875601349</c:v>
                </c:pt>
                <c:pt idx="376">
                  <c:v>-7.1968488875601349</c:v>
                </c:pt>
                <c:pt idx="377">
                  <c:v>-7.1968488875601349</c:v>
                </c:pt>
                <c:pt idx="378">
                  <c:v>-7.1968488875601349</c:v>
                </c:pt>
                <c:pt idx="379">
                  <c:v>-7.1968488875601349</c:v>
                </c:pt>
                <c:pt idx="380">
                  <c:v>-7.1968488875601349</c:v>
                </c:pt>
                <c:pt idx="381">
                  <c:v>-7.1968488875601349</c:v>
                </c:pt>
                <c:pt idx="382">
                  <c:v>-7.1968488875601349</c:v>
                </c:pt>
                <c:pt idx="383">
                  <c:v>-7.1968488875601349</c:v>
                </c:pt>
                <c:pt idx="384">
                  <c:v>-7.1968488875601349</c:v>
                </c:pt>
                <c:pt idx="385">
                  <c:v>-7.1968488875601349</c:v>
                </c:pt>
                <c:pt idx="386">
                  <c:v>-7.1968488875601349</c:v>
                </c:pt>
                <c:pt idx="387">
                  <c:v>-6.4189693394205456</c:v>
                </c:pt>
                <c:pt idx="388">
                  <c:v>-9.4481881825928777</c:v>
                </c:pt>
                <c:pt idx="389">
                  <c:v>-9.5545915504907839</c:v>
                </c:pt>
                <c:pt idx="390">
                  <c:v>-9.5545915504907839</c:v>
                </c:pt>
                <c:pt idx="391">
                  <c:v>-9.5545915504907839</c:v>
                </c:pt>
                <c:pt idx="392">
                  <c:v>-7.8754038725380582</c:v>
                </c:pt>
                <c:pt idx="393">
                  <c:v>-7.8754038725380582</c:v>
                </c:pt>
                <c:pt idx="394">
                  <c:v>-7.8754038725380582</c:v>
                </c:pt>
                <c:pt idx="395">
                  <c:v>-7.8754038725380582</c:v>
                </c:pt>
                <c:pt idx="396">
                  <c:v>-9.0348004407242168</c:v>
                </c:pt>
                <c:pt idx="397">
                  <c:v>-9.0348004407242168</c:v>
                </c:pt>
                <c:pt idx="398">
                  <c:v>-6.8048165610896127</c:v>
                </c:pt>
                <c:pt idx="399">
                  <c:v>-7.8034035475798245</c:v>
                </c:pt>
                <c:pt idx="400">
                  <c:v>-7.8034035475798245</c:v>
                </c:pt>
                <c:pt idx="401">
                  <c:v>-7.8034035475798245</c:v>
                </c:pt>
                <c:pt idx="402">
                  <c:v>-7.8034035475798245</c:v>
                </c:pt>
                <c:pt idx="403">
                  <c:v>-8.3670168280784232</c:v>
                </c:pt>
                <c:pt idx="404">
                  <c:v>-8.3670168280784232</c:v>
                </c:pt>
                <c:pt idx="405">
                  <c:v>-8.9344644374946807</c:v>
                </c:pt>
                <c:pt idx="406">
                  <c:v>-8.9344644374946807</c:v>
                </c:pt>
                <c:pt idx="407">
                  <c:v>-10.441343668767885</c:v>
                </c:pt>
                <c:pt idx="408">
                  <c:v>-9.1581293965525905</c:v>
                </c:pt>
                <c:pt idx="409">
                  <c:v>-9.1581293965525905</c:v>
                </c:pt>
                <c:pt idx="410">
                  <c:v>-9.1581293965525905</c:v>
                </c:pt>
                <c:pt idx="411">
                  <c:v>-8.7553347204474417</c:v>
                </c:pt>
                <c:pt idx="412">
                  <c:v>-8.6939804368709357</c:v>
                </c:pt>
                <c:pt idx="413">
                  <c:v>-8.6939804368709357</c:v>
                </c:pt>
                <c:pt idx="414">
                  <c:v>-8.6939804368709357</c:v>
                </c:pt>
                <c:pt idx="415">
                  <c:v>-8.6939804368709357</c:v>
                </c:pt>
                <c:pt idx="416">
                  <c:v>-8.3953556824505036</c:v>
                </c:pt>
                <c:pt idx="417">
                  <c:v>-8.3953556824505036</c:v>
                </c:pt>
                <c:pt idx="418">
                  <c:v>-8.3953556824505036</c:v>
                </c:pt>
              </c:numCache>
            </c:numRef>
          </c:val>
          <c:smooth val="0"/>
          <c:extLst>
            <c:ext xmlns:c16="http://schemas.microsoft.com/office/drawing/2014/chart" uri="{C3380CC4-5D6E-409C-BE32-E72D297353CC}">
              <c16:uniqueId val="{00000001-689C-45D2-933D-5E9D61CF8ADB}"/>
            </c:ext>
          </c:extLst>
        </c:ser>
        <c:dLbls>
          <c:showLegendKey val="0"/>
          <c:showVal val="0"/>
          <c:showCatName val="0"/>
          <c:showSerName val="0"/>
          <c:showPercent val="0"/>
          <c:showBubbleSize val="0"/>
        </c:dLbls>
        <c:marker val="1"/>
        <c:smooth val="0"/>
        <c:axId val="139438544"/>
        <c:axId val="139432304"/>
      </c:lineChart>
      <c:catAx>
        <c:axId val="1238446752"/>
        <c:scaling>
          <c:orientation val="minMax"/>
        </c:scaling>
        <c:delete val="0"/>
        <c:axPos val="b"/>
        <c:numFmt formatCode="General" sourceLinked="1"/>
        <c:majorTickMark val="none"/>
        <c:minorTickMark val="none"/>
        <c:tickLblPos val="low"/>
        <c:spPr>
          <a:noFill/>
          <a:ln w="9525" cap="flat" cmpd="sng" algn="ctr">
            <a:solidFill>
              <a:sysClr val="windowText" lastClr="000000"/>
            </a:solidFill>
            <a:round/>
          </a:ln>
          <a:effectLst/>
        </c:spPr>
        <c:txPr>
          <a:bodyPr rot="-60000000" spcFirstLastPara="1" vertOverflow="ellipsis" vert="horz" wrap="square" anchor="ctr" anchorCtr="1"/>
          <a:lstStyle/>
          <a:p>
            <a:pPr>
              <a:defRPr sz="700" b="1" i="0" u="none" strike="noStrike" kern="1200" baseline="0">
                <a:solidFill>
                  <a:sysClr val="windowText" lastClr="000000"/>
                </a:solidFill>
                <a:latin typeface="+mn-lt"/>
                <a:ea typeface="+mn-ea"/>
                <a:cs typeface="+mn-cs"/>
              </a:defRPr>
            </a:pPr>
            <a:endParaRPr lang="en-US"/>
          </a:p>
        </c:txPr>
        <c:crossAx val="1238447232"/>
        <c:crosses val="autoZero"/>
        <c:auto val="1"/>
        <c:lblAlgn val="ctr"/>
        <c:lblOffset val="100"/>
        <c:noMultiLvlLbl val="0"/>
      </c:catAx>
      <c:valAx>
        <c:axId val="1238447232"/>
        <c:scaling>
          <c:orientation val="minMax"/>
          <c:max val="4"/>
          <c:min val="-4"/>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238446752"/>
        <c:crosses val="autoZero"/>
        <c:crossBetween val="between"/>
      </c:valAx>
      <c:valAx>
        <c:axId val="139432304"/>
        <c:scaling>
          <c:orientation val="minMax"/>
          <c:max val="24"/>
          <c:min val="-12"/>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39438544"/>
        <c:crosses val="max"/>
        <c:crossBetween val="between"/>
      </c:valAx>
      <c:catAx>
        <c:axId val="139438544"/>
        <c:scaling>
          <c:orientation val="minMax"/>
        </c:scaling>
        <c:delete val="1"/>
        <c:axPos val="b"/>
        <c:majorTickMark val="out"/>
        <c:minorTickMark val="none"/>
        <c:tickLblPos val="nextTo"/>
        <c:crossAx val="139432304"/>
        <c:crosses val="autoZero"/>
        <c:auto val="1"/>
        <c:lblAlgn val="ctr"/>
        <c:lblOffset val="100"/>
        <c:noMultiLvlLbl val="0"/>
      </c:catAx>
      <c:spPr>
        <a:gradFill>
          <a:gsLst>
            <a:gs pos="12000">
              <a:srgbClr val="00FF00">
                <a:alpha val="80000"/>
              </a:srgbClr>
            </a:gs>
            <a:gs pos="61000">
              <a:schemeClr val="bg1"/>
            </a:gs>
            <a:gs pos="47000">
              <a:schemeClr val="bg1"/>
            </a:gs>
            <a:gs pos="96000">
              <a:srgbClr val="FF4D4D"/>
            </a:gs>
            <a:gs pos="0">
              <a:srgbClr val="00B050">
                <a:alpha val="85000"/>
              </a:srgbClr>
            </a:gs>
            <a:gs pos="92000">
              <a:srgbClr val="FF9999">
                <a:alpha val="80000"/>
              </a:srgbClr>
            </a:gs>
          </a:gsLst>
          <a:lin ang="5400000" scaled="1"/>
        </a:gradFill>
        <a:ln>
          <a:solidFill>
            <a:sysClr val="windowText" lastClr="000000"/>
          </a:solidFill>
        </a:ln>
        <a:effectLst/>
      </c:spPr>
    </c:plotArea>
    <c:plotVisOnly val="0"/>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DOWN</a:t>
            </a:r>
            <a:r>
              <a:rPr lang="en-US" b="1" baseline="0">
                <a:solidFill>
                  <a:sysClr val="windowText" lastClr="000000"/>
                </a:solidFill>
              </a:rPr>
              <a:t> TRENDS -- </a:t>
            </a:r>
            <a:r>
              <a:rPr lang="en-US" b="1">
                <a:solidFill>
                  <a:sysClr val="windowText" lastClr="000000"/>
                </a:solidFill>
              </a:rPr>
              <a:t>Risk Units:  Wins and Losses Playing The</a:t>
            </a:r>
            <a:r>
              <a:rPr lang="en-US" b="1" baseline="0">
                <a:solidFill>
                  <a:sysClr val="windowText" lastClr="000000"/>
                </a:solidFill>
              </a:rPr>
              <a:t> Strategy </a:t>
            </a:r>
            <a:r>
              <a:rPr lang="en-US" sz="900" b="0" baseline="0">
                <a:solidFill>
                  <a:sysClr val="windowText" lastClr="000000"/>
                </a:solidFill>
              </a:rPr>
              <a:t>(Not Actuals)</a:t>
            </a:r>
            <a:endParaRPr lang="en-US" b="0">
              <a:solidFill>
                <a:sysClr val="windowText" lastClr="000000"/>
              </a:solidFill>
            </a:endParaRPr>
          </a:p>
        </c:rich>
      </c:tx>
      <c:layout>
        <c:manualLayout>
          <c:xMode val="edge"/>
          <c:yMode val="edge"/>
          <c:x val="0.34707956661126704"/>
          <c:y val="3.552981749374351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1.5236315094556608E-2"/>
          <c:y val="0.14653085515473357"/>
          <c:w val="0.9799160629047825"/>
          <c:h val="0.75341787218458156"/>
        </c:manualLayout>
      </c:layout>
      <c:barChart>
        <c:barDir val="col"/>
        <c:grouping val="clustered"/>
        <c:varyColors val="0"/>
        <c:ser>
          <c:idx val="0"/>
          <c:order val="0"/>
          <c:spPr>
            <a:solidFill>
              <a:srgbClr val="00B050"/>
            </a:solidFill>
            <a:ln>
              <a:solidFill>
                <a:sysClr val="windowText" lastClr="000000"/>
              </a:solidFill>
            </a:ln>
            <a:effectLst/>
          </c:spPr>
          <c:invertIfNegative val="1"/>
          <c:cat>
            <c:strRef>
              <c:f>'2025-Q2'!$A$4:$A$422</c:f>
              <c:strCache>
                <c:ptCount val="419"/>
                <c:pt idx="0">
                  <c:v>DAL</c:v>
                </c:pt>
                <c:pt idx="1">
                  <c:v>STZ</c:v>
                </c:pt>
                <c:pt idx="2">
                  <c:v>JPM</c:v>
                </c:pt>
                <c:pt idx="3">
                  <c:v>WFC</c:v>
                </c:pt>
                <c:pt idx="4">
                  <c:v>BLK</c:v>
                </c:pt>
                <c:pt idx="5">
                  <c:v>BK</c:v>
                </c:pt>
                <c:pt idx="6">
                  <c:v>MS</c:v>
                </c:pt>
                <c:pt idx="7">
                  <c:v>FAST</c:v>
                </c:pt>
                <c:pt idx="8">
                  <c:v>GS</c:v>
                </c:pt>
                <c:pt idx="9">
                  <c:v>MTB</c:v>
                </c:pt>
                <c:pt idx="10">
                  <c:v>C</c:v>
                </c:pt>
                <c:pt idx="11">
                  <c:v>BAC</c:v>
                </c:pt>
                <c:pt idx="12">
                  <c:v>PNC</c:v>
                </c:pt>
                <c:pt idx="13">
                  <c:v>JNJ</c:v>
                </c:pt>
                <c:pt idx="14">
                  <c:v>JBHT</c:v>
                </c:pt>
                <c:pt idx="15">
                  <c:v>UAL</c:v>
                </c:pt>
                <c:pt idx="16">
                  <c:v>OMC</c:v>
                </c:pt>
                <c:pt idx="17">
                  <c:v>USB</c:v>
                </c:pt>
                <c:pt idx="18">
                  <c:v>CFG</c:v>
                </c:pt>
                <c:pt idx="19">
                  <c:v>ABT</c:v>
                </c:pt>
                <c:pt idx="20">
                  <c:v>TRV</c:v>
                </c:pt>
                <c:pt idx="21">
                  <c:v>PGR</c:v>
                </c:pt>
                <c:pt idx="22">
                  <c:v>CSX</c:v>
                </c:pt>
                <c:pt idx="23">
                  <c:v>KMI</c:v>
                </c:pt>
                <c:pt idx="24">
                  <c:v>STT</c:v>
                </c:pt>
                <c:pt idx="25">
                  <c:v>UNH</c:v>
                </c:pt>
                <c:pt idx="26">
                  <c:v>TFC</c:v>
                </c:pt>
                <c:pt idx="27">
                  <c:v>HBAN</c:v>
                </c:pt>
                <c:pt idx="28">
                  <c:v>RF</c:v>
                </c:pt>
                <c:pt idx="29">
                  <c:v>SCHW</c:v>
                </c:pt>
                <c:pt idx="30">
                  <c:v>DHI</c:v>
                </c:pt>
                <c:pt idx="31">
                  <c:v>FITB</c:v>
                </c:pt>
                <c:pt idx="32">
                  <c:v>KEY</c:v>
                </c:pt>
                <c:pt idx="33">
                  <c:v>AXP</c:v>
                </c:pt>
                <c:pt idx="34">
                  <c:v>MMC</c:v>
                </c:pt>
                <c:pt idx="35">
                  <c:v>SNA</c:v>
                </c:pt>
                <c:pt idx="36">
                  <c:v>BX</c:v>
                </c:pt>
                <c:pt idx="37">
                  <c:v>ALLY</c:v>
                </c:pt>
                <c:pt idx="38">
                  <c:v>NFLX</c:v>
                </c:pt>
                <c:pt idx="39">
                  <c:v>WRB</c:v>
                </c:pt>
                <c:pt idx="40">
                  <c:v>EFX</c:v>
                </c:pt>
                <c:pt idx="41">
                  <c:v>GPC</c:v>
                </c:pt>
                <c:pt idx="42">
                  <c:v>HAL</c:v>
                </c:pt>
                <c:pt idx="43">
                  <c:v>GE</c:v>
                </c:pt>
                <c:pt idx="44">
                  <c:v>VZ</c:v>
                </c:pt>
                <c:pt idx="45">
                  <c:v>LMT</c:v>
                </c:pt>
                <c:pt idx="46">
                  <c:v>DHR</c:v>
                </c:pt>
                <c:pt idx="47">
                  <c:v>NOC</c:v>
                </c:pt>
                <c:pt idx="48">
                  <c:v>PHM</c:v>
                </c:pt>
                <c:pt idx="49">
                  <c:v>RTX</c:v>
                </c:pt>
                <c:pt idx="50">
                  <c:v>KMB</c:v>
                </c:pt>
                <c:pt idx="51">
                  <c:v>MMM</c:v>
                </c:pt>
                <c:pt idx="52">
                  <c:v>PNR</c:v>
                </c:pt>
                <c:pt idx="53">
                  <c:v>STLD</c:v>
                </c:pt>
                <c:pt idx="54">
                  <c:v>ISRG</c:v>
                </c:pt>
                <c:pt idx="55">
                  <c:v>PKG</c:v>
                </c:pt>
                <c:pt idx="56">
                  <c:v>BKR</c:v>
                </c:pt>
                <c:pt idx="57">
                  <c:v>ENPH</c:v>
                </c:pt>
                <c:pt idx="58">
                  <c:v>COF</c:v>
                </c:pt>
                <c:pt idx="59">
                  <c:v>TSLA</c:v>
                </c:pt>
                <c:pt idx="60">
                  <c:v>EQT</c:v>
                </c:pt>
                <c:pt idx="61">
                  <c:v>GEV</c:v>
                </c:pt>
                <c:pt idx="62">
                  <c:v>APH</c:v>
                </c:pt>
                <c:pt idx="63">
                  <c:v>TEL</c:v>
                </c:pt>
                <c:pt idx="64">
                  <c:v>T</c:v>
                </c:pt>
                <c:pt idx="65">
                  <c:v>BA</c:v>
                </c:pt>
                <c:pt idx="66">
                  <c:v>NSC</c:v>
                </c:pt>
                <c:pt idx="67">
                  <c:v>TMO</c:v>
                </c:pt>
                <c:pt idx="68">
                  <c:v>AVY</c:v>
                </c:pt>
                <c:pt idx="69">
                  <c:v>PM</c:v>
                </c:pt>
                <c:pt idx="70">
                  <c:v>MAS</c:v>
                </c:pt>
                <c:pt idx="71">
                  <c:v>CME</c:v>
                </c:pt>
                <c:pt idx="72">
                  <c:v>WAB</c:v>
                </c:pt>
                <c:pt idx="73">
                  <c:v>GD</c:v>
                </c:pt>
                <c:pt idx="74">
                  <c:v>BSX</c:v>
                </c:pt>
                <c:pt idx="75">
                  <c:v>OTIS</c:v>
                </c:pt>
                <c:pt idx="76">
                  <c:v>TXN</c:v>
                </c:pt>
                <c:pt idx="77">
                  <c:v>DFS</c:v>
                </c:pt>
                <c:pt idx="78">
                  <c:v>IBM</c:v>
                </c:pt>
                <c:pt idx="79">
                  <c:v>LVS</c:v>
                </c:pt>
                <c:pt idx="80">
                  <c:v>CMG</c:v>
                </c:pt>
                <c:pt idx="81">
                  <c:v>EW</c:v>
                </c:pt>
                <c:pt idx="82">
                  <c:v>LRCX</c:v>
                </c:pt>
                <c:pt idx="83">
                  <c:v>LUV</c:v>
                </c:pt>
                <c:pt idx="84">
                  <c:v>FI</c:v>
                </c:pt>
                <c:pt idx="85">
                  <c:v>FCX</c:v>
                </c:pt>
                <c:pt idx="86">
                  <c:v>PG</c:v>
                </c:pt>
                <c:pt idx="87">
                  <c:v>TXT</c:v>
                </c:pt>
                <c:pt idx="88">
                  <c:v>UNP</c:v>
                </c:pt>
                <c:pt idx="89">
                  <c:v>NDAQ</c:v>
                </c:pt>
                <c:pt idx="90">
                  <c:v>CMCSA</c:v>
                </c:pt>
                <c:pt idx="91">
                  <c:v>VLO</c:v>
                </c:pt>
                <c:pt idx="92">
                  <c:v>DOW</c:v>
                </c:pt>
                <c:pt idx="93">
                  <c:v>TSCO</c:v>
                </c:pt>
                <c:pt idx="94">
                  <c:v>DOV</c:v>
                </c:pt>
                <c:pt idx="95">
                  <c:v>MRK</c:v>
                </c:pt>
                <c:pt idx="96">
                  <c:v>PEP</c:v>
                </c:pt>
                <c:pt idx="97">
                  <c:v>BMY</c:v>
                </c:pt>
                <c:pt idx="98">
                  <c:v>IPG</c:v>
                </c:pt>
                <c:pt idx="99">
                  <c:v>LKQ</c:v>
                </c:pt>
                <c:pt idx="100">
                  <c:v>HAS</c:v>
                </c:pt>
                <c:pt idx="101">
                  <c:v>KDP</c:v>
                </c:pt>
                <c:pt idx="102">
                  <c:v>LHX</c:v>
                </c:pt>
                <c:pt idx="103">
                  <c:v>TMUS</c:v>
                </c:pt>
                <c:pt idx="104">
                  <c:v>HIG</c:v>
                </c:pt>
                <c:pt idx="105">
                  <c:v>EMN</c:v>
                </c:pt>
                <c:pt idx="106">
                  <c:v>RSG</c:v>
                </c:pt>
                <c:pt idx="107">
                  <c:v>INTC</c:v>
                </c:pt>
                <c:pt idx="108">
                  <c:v>GOOG</c:v>
                </c:pt>
                <c:pt idx="109">
                  <c:v>GILD</c:v>
                </c:pt>
                <c:pt idx="110">
                  <c:v>SLB</c:v>
                </c:pt>
                <c:pt idx="111">
                  <c:v>PSX</c:v>
                </c:pt>
                <c:pt idx="112">
                  <c:v>HCA</c:v>
                </c:pt>
                <c:pt idx="113">
                  <c:v>ABBV</c:v>
                </c:pt>
                <c:pt idx="114">
                  <c:v>CL</c:v>
                </c:pt>
                <c:pt idx="115">
                  <c:v>CHTR</c:v>
                </c:pt>
                <c:pt idx="116">
                  <c:v>LYB</c:v>
                </c:pt>
                <c:pt idx="117">
                  <c:v>TER</c:v>
                </c:pt>
                <c:pt idx="118">
                  <c:v>CINF</c:v>
                </c:pt>
                <c:pt idx="119">
                  <c:v>UHS</c:v>
                </c:pt>
                <c:pt idx="120">
                  <c:v>NUE</c:v>
                </c:pt>
                <c:pt idx="121">
                  <c:v>WM</c:v>
                </c:pt>
                <c:pt idx="122">
                  <c:v>BRO</c:v>
                </c:pt>
                <c:pt idx="123">
                  <c:v>FFIV</c:v>
                </c:pt>
                <c:pt idx="124">
                  <c:v>NXPI</c:v>
                </c:pt>
                <c:pt idx="125">
                  <c:v>CDNS</c:v>
                </c:pt>
                <c:pt idx="126">
                  <c:v>RCL</c:v>
                </c:pt>
                <c:pt idx="127">
                  <c:v>SHW</c:v>
                </c:pt>
                <c:pt idx="128">
                  <c:v>HLT</c:v>
                </c:pt>
                <c:pt idx="129">
                  <c:v>AOS</c:v>
                </c:pt>
                <c:pt idx="130">
                  <c:v>LH</c:v>
                </c:pt>
                <c:pt idx="131">
                  <c:v>SPGI</c:v>
                </c:pt>
                <c:pt idx="132">
                  <c:v>GM</c:v>
                </c:pt>
                <c:pt idx="133">
                  <c:v>PCAR</c:v>
                </c:pt>
                <c:pt idx="134">
                  <c:v>SYY</c:v>
                </c:pt>
                <c:pt idx="135">
                  <c:v>GLW</c:v>
                </c:pt>
                <c:pt idx="136">
                  <c:v>UPS</c:v>
                </c:pt>
                <c:pt idx="137">
                  <c:v>MO</c:v>
                </c:pt>
                <c:pt idx="138">
                  <c:v>PFE</c:v>
                </c:pt>
                <c:pt idx="139">
                  <c:v>AMCR</c:v>
                </c:pt>
                <c:pt idx="140">
                  <c:v>KO</c:v>
                </c:pt>
                <c:pt idx="141">
                  <c:v>ECL</c:v>
                </c:pt>
                <c:pt idx="142">
                  <c:v>ZBRA</c:v>
                </c:pt>
                <c:pt idx="143">
                  <c:v>PYPL</c:v>
                </c:pt>
                <c:pt idx="144">
                  <c:v>KHC</c:v>
                </c:pt>
                <c:pt idx="145">
                  <c:v>REGN</c:v>
                </c:pt>
                <c:pt idx="146">
                  <c:v>XYL</c:v>
                </c:pt>
                <c:pt idx="147">
                  <c:v>HON</c:v>
                </c:pt>
                <c:pt idx="148">
                  <c:v>SOFI</c:v>
                </c:pt>
                <c:pt idx="149">
                  <c:v>PPG</c:v>
                </c:pt>
                <c:pt idx="150">
                  <c:v>VLTO</c:v>
                </c:pt>
                <c:pt idx="151">
                  <c:v>STX</c:v>
                </c:pt>
                <c:pt idx="152">
                  <c:v>SNAP</c:v>
                </c:pt>
                <c:pt idx="153">
                  <c:v>SBUX</c:v>
                </c:pt>
                <c:pt idx="154">
                  <c:v>V</c:v>
                </c:pt>
                <c:pt idx="155">
                  <c:v>ACGL</c:v>
                </c:pt>
                <c:pt idx="156">
                  <c:v>FSLR</c:v>
                </c:pt>
                <c:pt idx="157">
                  <c:v>FRSH</c:v>
                </c:pt>
                <c:pt idx="158">
                  <c:v>CZR</c:v>
                </c:pt>
                <c:pt idx="159">
                  <c:v>TENB</c:v>
                </c:pt>
                <c:pt idx="160">
                  <c:v>MDLZ</c:v>
                </c:pt>
                <c:pt idx="161">
                  <c:v>GEHC</c:v>
                </c:pt>
                <c:pt idx="162">
                  <c:v>HES</c:v>
                </c:pt>
                <c:pt idx="163">
                  <c:v>WDC</c:v>
                </c:pt>
                <c:pt idx="164">
                  <c:v>CAT</c:v>
                </c:pt>
                <c:pt idx="165">
                  <c:v>TT</c:v>
                </c:pt>
                <c:pt idx="166">
                  <c:v>ITW</c:v>
                </c:pt>
                <c:pt idx="167">
                  <c:v>ADP</c:v>
                </c:pt>
                <c:pt idx="168">
                  <c:v>IP</c:v>
                </c:pt>
                <c:pt idx="169">
                  <c:v>YUM</c:v>
                </c:pt>
                <c:pt idx="170">
                  <c:v>GNRC</c:v>
                </c:pt>
                <c:pt idx="171">
                  <c:v>GRMN</c:v>
                </c:pt>
                <c:pt idx="172">
                  <c:v>SWK</c:v>
                </c:pt>
                <c:pt idx="173">
                  <c:v>VMC</c:v>
                </c:pt>
                <c:pt idx="174">
                  <c:v>NCLH</c:v>
                </c:pt>
                <c:pt idx="175">
                  <c:v>MSFT</c:v>
                </c:pt>
                <c:pt idx="176">
                  <c:v>PRU</c:v>
                </c:pt>
                <c:pt idx="177">
                  <c:v>META</c:v>
                </c:pt>
                <c:pt idx="178">
                  <c:v>CHRW</c:v>
                </c:pt>
                <c:pt idx="179">
                  <c:v>FMC</c:v>
                </c:pt>
                <c:pt idx="180">
                  <c:v>AFL</c:v>
                </c:pt>
                <c:pt idx="181">
                  <c:v>ALL</c:v>
                </c:pt>
                <c:pt idx="182">
                  <c:v>CTSH</c:v>
                </c:pt>
                <c:pt idx="183">
                  <c:v>PTC</c:v>
                </c:pt>
                <c:pt idx="184">
                  <c:v>ALGN</c:v>
                </c:pt>
                <c:pt idx="185">
                  <c:v>MGM</c:v>
                </c:pt>
                <c:pt idx="186">
                  <c:v>CWAN</c:v>
                </c:pt>
                <c:pt idx="187">
                  <c:v>EBAY</c:v>
                </c:pt>
                <c:pt idx="188">
                  <c:v>QCOM</c:v>
                </c:pt>
                <c:pt idx="189">
                  <c:v>MET</c:v>
                </c:pt>
                <c:pt idx="190">
                  <c:v>HOOD</c:v>
                </c:pt>
                <c:pt idx="191">
                  <c:v>ALB</c:v>
                </c:pt>
                <c:pt idx="192">
                  <c:v>KLAC</c:v>
                </c:pt>
                <c:pt idx="193">
                  <c:v>CFLT</c:v>
                </c:pt>
                <c:pt idx="194">
                  <c:v>IEX</c:v>
                </c:pt>
                <c:pt idx="195">
                  <c:v>HUBB</c:v>
                </c:pt>
                <c:pt idx="196">
                  <c:v>MA</c:v>
                </c:pt>
                <c:pt idx="197">
                  <c:v>SW</c:v>
                </c:pt>
                <c:pt idx="198">
                  <c:v>BIIB</c:v>
                </c:pt>
                <c:pt idx="199">
                  <c:v>APD</c:v>
                </c:pt>
                <c:pt idx="200">
                  <c:v>MCD</c:v>
                </c:pt>
                <c:pt idx="201">
                  <c:v>FTV</c:v>
                </c:pt>
                <c:pt idx="202">
                  <c:v>PH</c:v>
                </c:pt>
                <c:pt idx="203">
                  <c:v>CAH</c:v>
                </c:pt>
                <c:pt idx="204">
                  <c:v>GWW</c:v>
                </c:pt>
                <c:pt idx="205">
                  <c:v>CHD</c:v>
                </c:pt>
                <c:pt idx="206">
                  <c:v>IDXX</c:v>
                </c:pt>
                <c:pt idx="207">
                  <c:v>KKR</c:v>
                </c:pt>
                <c:pt idx="208">
                  <c:v>AME</c:v>
                </c:pt>
                <c:pt idx="209">
                  <c:v>EL</c:v>
                </c:pt>
                <c:pt idx="210">
                  <c:v>LLY</c:v>
                </c:pt>
                <c:pt idx="211">
                  <c:v>LIN</c:v>
                </c:pt>
                <c:pt idx="212">
                  <c:v>ICE</c:v>
                </c:pt>
                <c:pt idx="213">
                  <c:v>HSY</c:v>
                </c:pt>
                <c:pt idx="214">
                  <c:v>APTV</c:v>
                </c:pt>
                <c:pt idx="215">
                  <c:v>CARR</c:v>
                </c:pt>
                <c:pt idx="216">
                  <c:v>CVS</c:v>
                </c:pt>
                <c:pt idx="217">
                  <c:v>HWM</c:v>
                </c:pt>
                <c:pt idx="218">
                  <c:v>BAX</c:v>
                </c:pt>
                <c:pt idx="219">
                  <c:v>PWR</c:v>
                </c:pt>
                <c:pt idx="220">
                  <c:v>BLDR</c:v>
                </c:pt>
                <c:pt idx="221">
                  <c:v>HII</c:v>
                </c:pt>
                <c:pt idx="222">
                  <c:v>TRGP</c:v>
                </c:pt>
                <c:pt idx="223">
                  <c:v>BR</c:v>
                </c:pt>
                <c:pt idx="224">
                  <c:v>MPWR</c:v>
                </c:pt>
                <c:pt idx="225">
                  <c:v>PCOR</c:v>
                </c:pt>
                <c:pt idx="226">
                  <c:v>TEAM</c:v>
                </c:pt>
                <c:pt idx="227">
                  <c:v>MHK</c:v>
                </c:pt>
                <c:pt idx="228">
                  <c:v>SYK</c:v>
                </c:pt>
                <c:pt idx="229">
                  <c:v>AIG</c:v>
                </c:pt>
                <c:pt idx="230">
                  <c:v>DLB</c:v>
                </c:pt>
                <c:pt idx="231">
                  <c:v>AAPL</c:v>
                </c:pt>
                <c:pt idx="232">
                  <c:v>AJG</c:v>
                </c:pt>
                <c:pt idx="233">
                  <c:v>AMGN</c:v>
                </c:pt>
                <c:pt idx="234">
                  <c:v>HOLX</c:v>
                </c:pt>
                <c:pt idx="235">
                  <c:v>MTD</c:v>
                </c:pt>
                <c:pt idx="236">
                  <c:v>ROKU</c:v>
                </c:pt>
                <c:pt idx="237">
                  <c:v>IR</c:v>
                </c:pt>
                <c:pt idx="238">
                  <c:v>GDDY</c:v>
                </c:pt>
                <c:pt idx="239">
                  <c:v>LYV</c:v>
                </c:pt>
                <c:pt idx="240">
                  <c:v>MNST</c:v>
                </c:pt>
                <c:pt idx="241">
                  <c:v>XYZ</c:v>
                </c:pt>
                <c:pt idx="242">
                  <c:v>AMZN</c:v>
                </c:pt>
                <c:pt idx="243">
                  <c:v>ABNB</c:v>
                </c:pt>
                <c:pt idx="244">
                  <c:v>MSI</c:v>
                </c:pt>
                <c:pt idx="245">
                  <c:v>ETN</c:v>
                </c:pt>
                <c:pt idx="246">
                  <c:v>XOM</c:v>
                </c:pt>
                <c:pt idx="247">
                  <c:v>CVX</c:v>
                </c:pt>
                <c:pt idx="248">
                  <c:v>TROW</c:v>
                </c:pt>
                <c:pt idx="249">
                  <c:v>BEN</c:v>
                </c:pt>
                <c:pt idx="250">
                  <c:v>ZBH</c:v>
                </c:pt>
                <c:pt idx="251">
                  <c:v>TSN</c:v>
                </c:pt>
                <c:pt idx="252">
                  <c:v>CMI</c:v>
                </c:pt>
                <c:pt idx="253">
                  <c:v>ON</c:v>
                </c:pt>
                <c:pt idx="254">
                  <c:v>HSIC</c:v>
                </c:pt>
                <c:pt idx="255">
                  <c:v>CLX</c:v>
                </c:pt>
                <c:pt idx="256">
                  <c:v>F</c:v>
                </c:pt>
                <c:pt idx="257">
                  <c:v>PLTR</c:v>
                </c:pt>
                <c:pt idx="258">
                  <c:v>WMB</c:v>
                </c:pt>
                <c:pt idx="259">
                  <c:v>CE</c:v>
                </c:pt>
                <c:pt idx="260">
                  <c:v>IT</c:v>
                </c:pt>
                <c:pt idx="261">
                  <c:v>ADM</c:v>
                </c:pt>
                <c:pt idx="262">
                  <c:v>IQV</c:v>
                </c:pt>
                <c:pt idx="263">
                  <c:v>FIS</c:v>
                </c:pt>
                <c:pt idx="264">
                  <c:v>BALL</c:v>
                </c:pt>
                <c:pt idx="265">
                  <c:v>LDOS</c:v>
                </c:pt>
                <c:pt idx="266">
                  <c:v>MAR</c:v>
                </c:pt>
                <c:pt idx="267">
                  <c:v>GPN</c:v>
                </c:pt>
                <c:pt idx="268">
                  <c:v>MPC</c:v>
                </c:pt>
                <c:pt idx="269">
                  <c:v>J</c:v>
                </c:pt>
                <c:pt idx="270">
                  <c:v>WAT</c:v>
                </c:pt>
                <c:pt idx="271">
                  <c:v>ZTS</c:v>
                </c:pt>
                <c:pt idx="272">
                  <c:v>DDOG</c:v>
                </c:pt>
                <c:pt idx="273">
                  <c:v>DASH</c:v>
                </c:pt>
                <c:pt idx="274">
                  <c:v>VRNS</c:v>
                </c:pt>
                <c:pt idx="275">
                  <c:v>IFF</c:v>
                </c:pt>
                <c:pt idx="276">
                  <c:v>AMD</c:v>
                </c:pt>
                <c:pt idx="277">
                  <c:v>EA</c:v>
                </c:pt>
                <c:pt idx="278">
                  <c:v>INTA</c:v>
                </c:pt>
                <c:pt idx="279">
                  <c:v>LCID</c:v>
                </c:pt>
                <c:pt idx="280">
                  <c:v>AIZ</c:v>
                </c:pt>
                <c:pt idx="281">
                  <c:v>ANET</c:v>
                </c:pt>
                <c:pt idx="282">
                  <c:v>CPAY</c:v>
                </c:pt>
                <c:pt idx="283">
                  <c:v>KVYO</c:v>
                </c:pt>
                <c:pt idx="284">
                  <c:v>MOS</c:v>
                </c:pt>
                <c:pt idx="285">
                  <c:v>GEN</c:v>
                </c:pt>
                <c:pt idx="286">
                  <c:v>WYNN</c:v>
                </c:pt>
                <c:pt idx="287">
                  <c:v>CDW</c:v>
                </c:pt>
                <c:pt idx="288">
                  <c:v>ROK</c:v>
                </c:pt>
                <c:pt idx="289">
                  <c:v>BG</c:v>
                </c:pt>
                <c:pt idx="290">
                  <c:v>JCI</c:v>
                </c:pt>
                <c:pt idx="291">
                  <c:v>DAY</c:v>
                </c:pt>
                <c:pt idx="292">
                  <c:v>TECH</c:v>
                </c:pt>
                <c:pt idx="293">
                  <c:v>MKTX</c:v>
                </c:pt>
                <c:pt idx="294">
                  <c:v>DIS</c:v>
                </c:pt>
                <c:pt idx="295">
                  <c:v>UBER</c:v>
                </c:pt>
                <c:pt idx="296">
                  <c:v>EMR</c:v>
                </c:pt>
                <c:pt idx="297">
                  <c:v>COR</c:v>
                </c:pt>
                <c:pt idx="298">
                  <c:v>BWA</c:v>
                </c:pt>
                <c:pt idx="299">
                  <c:v>U</c:v>
                </c:pt>
                <c:pt idx="300">
                  <c:v>TRMB</c:v>
                </c:pt>
                <c:pt idx="301">
                  <c:v>AXON</c:v>
                </c:pt>
                <c:pt idx="302">
                  <c:v>SWKS</c:v>
                </c:pt>
                <c:pt idx="303">
                  <c:v>CTVA</c:v>
                </c:pt>
                <c:pt idx="304">
                  <c:v>FTNT</c:v>
                </c:pt>
                <c:pt idx="305">
                  <c:v>PAYC</c:v>
                </c:pt>
                <c:pt idx="306">
                  <c:v>APP</c:v>
                </c:pt>
                <c:pt idx="307">
                  <c:v>CF</c:v>
                </c:pt>
                <c:pt idx="308">
                  <c:v>CENX</c:v>
                </c:pt>
                <c:pt idx="309">
                  <c:v>KVUE</c:v>
                </c:pt>
                <c:pt idx="310">
                  <c:v>MTCH</c:v>
                </c:pt>
                <c:pt idx="311">
                  <c:v>TAP</c:v>
                </c:pt>
                <c:pt idx="312">
                  <c:v>COP</c:v>
                </c:pt>
                <c:pt idx="313">
                  <c:v>TPR</c:v>
                </c:pt>
                <c:pt idx="314">
                  <c:v>VTRS</c:v>
                </c:pt>
                <c:pt idx="315">
                  <c:v>WBD</c:v>
                </c:pt>
                <c:pt idx="316">
                  <c:v>MCK</c:v>
                </c:pt>
                <c:pt idx="317">
                  <c:v>NWS</c:v>
                </c:pt>
                <c:pt idx="318">
                  <c:v>EXPE</c:v>
                </c:pt>
                <c:pt idx="319">
                  <c:v>PODD</c:v>
                </c:pt>
                <c:pt idx="320">
                  <c:v>AKAM</c:v>
                </c:pt>
                <c:pt idx="321">
                  <c:v>DBX</c:v>
                </c:pt>
                <c:pt idx="322">
                  <c:v>SOLV</c:v>
                </c:pt>
                <c:pt idx="323">
                  <c:v>KODK</c:v>
                </c:pt>
                <c:pt idx="324">
                  <c:v>MCHP</c:v>
                </c:pt>
                <c:pt idx="325">
                  <c:v>FOX</c:v>
                </c:pt>
                <c:pt idx="326">
                  <c:v>GCT</c:v>
                </c:pt>
                <c:pt idx="327">
                  <c:v>DVA</c:v>
                </c:pt>
                <c:pt idx="328">
                  <c:v>ASTS</c:v>
                </c:pt>
                <c:pt idx="329">
                  <c:v>KRMN</c:v>
                </c:pt>
                <c:pt idx="330">
                  <c:v>QUIK</c:v>
                </c:pt>
                <c:pt idx="331">
                  <c:v>DT</c:v>
                </c:pt>
                <c:pt idx="332">
                  <c:v>STE</c:v>
                </c:pt>
                <c:pt idx="333">
                  <c:v>CSCO</c:v>
                </c:pt>
                <c:pt idx="334">
                  <c:v>STN</c:v>
                </c:pt>
                <c:pt idx="335">
                  <c:v>DE</c:v>
                </c:pt>
                <c:pt idx="336">
                  <c:v>WMT</c:v>
                </c:pt>
                <c:pt idx="337">
                  <c:v>WMS</c:v>
                </c:pt>
                <c:pt idx="338">
                  <c:v>TTWO</c:v>
                </c:pt>
                <c:pt idx="339">
                  <c:v>AMAT</c:v>
                </c:pt>
                <c:pt idx="340">
                  <c:v>DOCS</c:v>
                </c:pt>
                <c:pt idx="341">
                  <c:v>RBC</c:v>
                </c:pt>
                <c:pt idx="342">
                  <c:v>FLO</c:v>
                </c:pt>
                <c:pt idx="343">
                  <c:v>HD</c:v>
                </c:pt>
                <c:pt idx="344">
                  <c:v>EXP</c:v>
                </c:pt>
                <c:pt idx="345">
                  <c:v>PANW</c:v>
                </c:pt>
                <c:pt idx="346">
                  <c:v>TOL</c:v>
                </c:pt>
                <c:pt idx="347">
                  <c:v>MDT</c:v>
                </c:pt>
                <c:pt idx="348">
                  <c:v>LOW</c:v>
                </c:pt>
                <c:pt idx="349">
                  <c:v>TJX</c:v>
                </c:pt>
                <c:pt idx="350">
                  <c:v>TGT</c:v>
                </c:pt>
                <c:pt idx="351">
                  <c:v>ZM</c:v>
                </c:pt>
                <c:pt idx="352">
                  <c:v>ADI</c:v>
                </c:pt>
                <c:pt idx="353">
                  <c:v>RL</c:v>
                </c:pt>
                <c:pt idx="354">
                  <c:v>BJ</c:v>
                </c:pt>
                <c:pt idx="355">
                  <c:v>WSM</c:v>
                </c:pt>
                <c:pt idx="356">
                  <c:v>CPRT</c:v>
                </c:pt>
                <c:pt idx="357">
                  <c:v>DECK</c:v>
                </c:pt>
                <c:pt idx="358">
                  <c:v>INTU</c:v>
                </c:pt>
                <c:pt idx="359">
                  <c:v>ROST</c:v>
                </c:pt>
                <c:pt idx="360">
                  <c:v>WDAY</c:v>
                </c:pt>
                <c:pt idx="361">
                  <c:v>ADSK</c:v>
                </c:pt>
                <c:pt idx="362">
                  <c:v>BOX</c:v>
                </c:pt>
                <c:pt idx="363">
                  <c:v>OKTA</c:v>
                </c:pt>
                <c:pt idx="364">
                  <c:v>SMTC</c:v>
                </c:pt>
                <c:pt idx="365">
                  <c:v>M</c:v>
                </c:pt>
                <c:pt idx="366">
                  <c:v>ANF</c:v>
                </c:pt>
                <c:pt idx="367">
                  <c:v>DKS</c:v>
                </c:pt>
                <c:pt idx="368">
                  <c:v>ELF</c:v>
                </c:pt>
                <c:pt idx="369">
                  <c:v>SNPS</c:v>
                </c:pt>
                <c:pt idx="370">
                  <c:v>NTNX</c:v>
                </c:pt>
                <c:pt idx="371">
                  <c:v>NVDA</c:v>
                </c:pt>
                <c:pt idx="372">
                  <c:v>CRM</c:v>
                </c:pt>
                <c:pt idx="373">
                  <c:v>A</c:v>
                </c:pt>
                <c:pt idx="374">
                  <c:v>AI</c:v>
                </c:pt>
                <c:pt idx="375">
                  <c:v>HPQ</c:v>
                </c:pt>
                <c:pt idx="376">
                  <c:v>PSTG</c:v>
                </c:pt>
                <c:pt idx="377">
                  <c:v>VEEV</c:v>
                </c:pt>
                <c:pt idx="378">
                  <c:v>S</c:v>
                </c:pt>
                <c:pt idx="379">
                  <c:v>HRL</c:v>
                </c:pt>
                <c:pt idx="380">
                  <c:v>BBY</c:v>
                </c:pt>
                <c:pt idx="381">
                  <c:v>BURL</c:v>
                </c:pt>
                <c:pt idx="382">
                  <c:v>AEO</c:v>
                </c:pt>
                <c:pt idx="383">
                  <c:v>PATH</c:v>
                </c:pt>
                <c:pt idx="384">
                  <c:v>DELL</c:v>
                </c:pt>
                <c:pt idx="385">
                  <c:v>NTAP</c:v>
                </c:pt>
                <c:pt idx="386">
                  <c:v>ESTC</c:v>
                </c:pt>
                <c:pt idx="387">
                  <c:v>ZS</c:v>
                </c:pt>
                <c:pt idx="388">
                  <c:v>GAP</c:v>
                </c:pt>
                <c:pt idx="389">
                  <c:v>COST</c:v>
                </c:pt>
                <c:pt idx="390">
                  <c:v>ULTA</c:v>
                </c:pt>
                <c:pt idx="391">
                  <c:v>CPB</c:v>
                </c:pt>
                <c:pt idx="392">
                  <c:v>DG</c:v>
                </c:pt>
                <c:pt idx="393">
                  <c:v>OLLI</c:v>
                </c:pt>
                <c:pt idx="394">
                  <c:v>HQY</c:v>
                </c:pt>
                <c:pt idx="395">
                  <c:v>ASAN</c:v>
                </c:pt>
                <c:pt idx="396">
                  <c:v>CRWD</c:v>
                </c:pt>
                <c:pt idx="397">
                  <c:v>HPE</c:v>
                </c:pt>
                <c:pt idx="398">
                  <c:v>REVG</c:v>
                </c:pt>
                <c:pt idx="399">
                  <c:v>DLTR</c:v>
                </c:pt>
                <c:pt idx="400">
                  <c:v>VSCO</c:v>
                </c:pt>
                <c:pt idx="401">
                  <c:v>CIEN</c:v>
                </c:pt>
                <c:pt idx="402">
                  <c:v>DOCU</c:v>
                </c:pt>
                <c:pt idx="403">
                  <c:v>AVGO</c:v>
                </c:pt>
                <c:pt idx="404">
                  <c:v>CASY</c:v>
                </c:pt>
                <c:pt idx="405">
                  <c:v>CNM</c:v>
                </c:pt>
                <c:pt idx="406">
                  <c:v>GTLB</c:v>
                </c:pt>
                <c:pt idx="407">
                  <c:v>CHWY</c:v>
                </c:pt>
                <c:pt idx="408">
                  <c:v>ORCL</c:v>
                </c:pt>
                <c:pt idx="409">
                  <c:v>ADBE</c:v>
                </c:pt>
                <c:pt idx="410">
                  <c:v>LEN</c:v>
                </c:pt>
                <c:pt idx="411">
                  <c:v>JBL</c:v>
                </c:pt>
                <c:pt idx="412">
                  <c:v>DRI</c:v>
                </c:pt>
                <c:pt idx="413">
                  <c:v>SNX</c:v>
                </c:pt>
                <c:pt idx="414">
                  <c:v>CCL</c:v>
                </c:pt>
                <c:pt idx="415">
                  <c:v>GIS</c:v>
                </c:pt>
                <c:pt idx="416">
                  <c:v>MU</c:v>
                </c:pt>
                <c:pt idx="417">
                  <c:v>MKC</c:v>
                </c:pt>
                <c:pt idx="418">
                  <c:v>NKE</c:v>
                </c:pt>
              </c:strCache>
            </c:strRef>
          </c:cat>
          <c:val>
            <c:numRef>
              <c:f>'2025-Q2'!$CE$4:$CE$422</c:f>
              <c:numCache>
                <c:formatCode>0.0</c:formatCode>
                <c:ptCount val="419"/>
                <c:pt idx="0">
                  <c:v>-0.47844667409884589</c:v>
                </c:pt>
                <c:pt idx="1">
                  <c:v>0.6788440567066546</c:v>
                </c:pt>
                <c:pt idx="2">
                  <c:v>0</c:v>
                </c:pt>
                <c:pt idx="3">
                  <c:v>0</c:v>
                </c:pt>
                <c:pt idx="4">
                  <c:v>0</c:v>
                </c:pt>
                <c:pt idx="5">
                  <c:v>0</c:v>
                </c:pt>
                <c:pt idx="6">
                  <c:v>0</c:v>
                </c:pt>
                <c:pt idx="7">
                  <c:v>0</c:v>
                </c:pt>
                <c:pt idx="8">
                  <c:v>0</c:v>
                </c:pt>
                <c:pt idx="9">
                  <c:v>0.10024269283528475</c:v>
                </c:pt>
                <c:pt idx="10">
                  <c:v>0</c:v>
                </c:pt>
                <c:pt idx="11">
                  <c:v>0</c:v>
                </c:pt>
                <c:pt idx="12">
                  <c:v>0.30152802815692448</c:v>
                </c:pt>
                <c:pt idx="13">
                  <c:v>0</c:v>
                </c:pt>
                <c:pt idx="14">
                  <c:v>0.87706313374287925</c:v>
                </c:pt>
                <c:pt idx="15">
                  <c:v>0</c:v>
                </c:pt>
                <c:pt idx="16">
                  <c:v>0.36227168206863897</c:v>
                </c:pt>
                <c:pt idx="17">
                  <c:v>0.17689188023125638</c:v>
                </c:pt>
                <c:pt idx="18">
                  <c:v>0</c:v>
                </c:pt>
                <c:pt idx="19">
                  <c:v>0</c:v>
                </c:pt>
                <c:pt idx="20">
                  <c:v>0</c:v>
                </c:pt>
                <c:pt idx="21">
                  <c:v>0</c:v>
                </c:pt>
                <c:pt idx="22">
                  <c:v>3.6563071297992945E-2</c:v>
                </c:pt>
                <c:pt idx="23">
                  <c:v>0</c:v>
                </c:pt>
                <c:pt idx="24">
                  <c:v>0</c:v>
                </c:pt>
                <c:pt idx="25">
                  <c:v>0</c:v>
                </c:pt>
                <c:pt idx="26">
                  <c:v>0.41203703703703776</c:v>
                </c:pt>
                <c:pt idx="27">
                  <c:v>-0.56518462697814609</c:v>
                </c:pt>
                <c:pt idx="28">
                  <c:v>-0.9737436967483889</c:v>
                </c:pt>
                <c:pt idx="29">
                  <c:v>0</c:v>
                </c:pt>
                <c:pt idx="30">
                  <c:v>-0.55016731892688953</c:v>
                </c:pt>
                <c:pt idx="31">
                  <c:v>0.51841085271317866</c:v>
                </c:pt>
                <c:pt idx="32">
                  <c:v>-0.5093579720445407</c:v>
                </c:pt>
                <c:pt idx="33">
                  <c:v>0</c:v>
                </c:pt>
                <c:pt idx="34">
                  <c:v>0</c:v>
                </c:pt>
                <c:pt idx="35">
                  <c:v>0</c:v>
                </c:pt>
                <c:pt idx="36">
                  <c:v>-0.33750708507239552</c:v>
                </c:pt>
                <c:pt idx="37">
                  <c:v>0</c:v>
                </c:pt>
                <c:pt idx="38">
                  <c:v>0</c:v>
                </c:pt>
                <c:pt idx="39">
                  <c:v>0</c:v>
                </c:pt>
                <c:pt idx="40">
                  <c:v>-2.0108535773452827</c:v>
                </c:pt>
                <c:pt idx="41">
                  <c:v>-0.63271328921481373</c:v>
                </c:pt>
                <c:pt idx="42">
                  <c:v>1.3724148418491529</c:v>
                </c:pt>
                <c:pt idx="43">
                  <c:v>0</c:v>
                </c:pt>
                <c:pt idx="44">
                  <c:v>0</c:v>
                </c:pt>
                <c:pt idx="45">
                  <c:v>0</c:v>
                </c:pt>
                <c:pt idx="46">
                  <c:v>-1.196204584775086</c:v>
                </c:pt>
                <c:pt idx="47">
                  <c:v>0</c:v>
                </c:pt>
                <c:pt idx="48">
                  <c:v>-0.51730927576701302</c:v>
                </c:pt>
                <c:pt idx="49">
                  <c:v>0</c:v>
                </c:pt>
                <c:pt idx="50">
                  <c:v>0</c:v>
                </c:pt>
                <c:pt idx="51">
                  <c:v>0</c:v>
                </c:pt>
                <c:pt idx="52">
                  <c:v>-1.3023471800067539</c:v>
                </c:pt>
                <c:pt idx="53">
                  <c:v>0</c:v>
                </c:pt>
                <c:pt idx="54">
                  <c:v>0</c:v>
                </c:pt>
                <c:pt idx="55">
                  <c:v>0.61509852304831358</c:v>
                </c:pt>
                <c:pt idx="56">
                  <c:v>0</c:v>
                </c:pt>
                <c:pt idx="57">
                  <c:v>1.8934431343190481</c:v>
                </c:pt>
                <c:pt idx="58">
                  <c:v>0</c:v>
                </c:pt>
                <c:pt idx="59">
                  <c:v>0</c:v>
                </c:pt>
                <c:pt idx="60">
                  <c:v>0</c:v>
                </c:pt>
                <c:pt idx="61">
                  <c:v>0</c:v>
                </c:pt>
                <c:pt idx="62">
                  <c:v>0</c:v>
                </c:pt>
                <c:pt idx="63">
                  <c:v>0</c:v>
                </c:pt>
                <c:pt idx="64">
                  <c:v>0</c:v>
                </c:pt>
                <c:pt idx="65">
                  <c:v>0</c:v>
                </c:pt>
                <c:pt idx="66">
                  <c:v>-0.37878787878787878</c:v>
                </c:pt>
                <c:pt idx="67">
                  <c:v>-0.83653455401436883</c:v>
                </c:pt>
                <c:pt idx="68">
                  <c:v>0.12869644797803798</c:v>
                </c:pt>
                <c:pt idx="69">
                  <c:v>0</c:v>
                </c:pt>
                <c:pt idx="70">
                  <c:v>0.66200010852460855</c:v>
                </c:pt>
                <c:pt idx="71">
                  <c:v>0</c:v>
                </c:pt>
                <c:pt idx="72">
                  <c:v>0</c:v>
                </c:pt>
                <c:pt idx="73">
                  <c:v>0</c:v>
                </c:pt>
                <c:pt idx="74">
                  <c:v>0</c:v>
                </c:pt>
                <c:pt idx="75">
                  <c:v>0</c:v>
                </c:pt>
                <c:pt idx="76">
                  <c:v>0</c:v>
                </c:pt>
                <c:pt idx="77">
                  <c:v>0</c:v>
                </c:pt>
                <c:pt idx="78">
                  <c:v>0</c:v>
                </c:pt>
                <c:pt idx="79">
                  <c:v>-4.3630017452006967E-2</c:v>
                </c:pt>
                <c:pt idx="80">
                  <c:v>0</c:v>
                </c:pt>
                <c:pt idx="81">
                  <c:v>-0.88466269278077625</c:v>
                </c:pt>
                <c:pt idx="82">
                  <c:v>-0.73430241270792684</c:v>
                </c:pt>
                <c:pt idx="83">
                  <c:v>0</c:v>
                </c:pt>
                <c:pt idx="84">
                  <c:v>0</c:v>
                </c:pt>
                <c:pt idx="85">
                  <c:v>-0.17997537179122858</c:v>
                </c:pt>
                <c:pt idx="86">
                  <c:v>0</c:v>
                </c:pt>
                <c:pt idx="87">
                  <c:v>1.0065931853640998E-2</c:v>
                </c:pt>
                <c:pt idx="88">
                  <c:v>0.87435920769254116</c:v>
                </c:pt>
                <c:pt idx="89">
                  <c:v>0</c:v>
                </c:pt>
                <c:pt idx="90">
                  <c:v>1.2039454598201336</c:v>
                </c:pt>
                <c:pt idx="91">
                  <c:v>-0.2183406113537118</c:v>
                </c:pt>
                <c:pt idx="92">
                  <c:v>0.27586206896551685</c:v>
                </c:pt>
                <c:pt idx="93">
                  <c:v>0</c:v>
                </c:pt>
                <c:pt idx="94">
                  <c:v>0</c:v>
                </c:pt>
                <c:pt idx="95">
                  <c:v>9.7366861400389942E-2</c:v>
                </c:pt>
                <c:pt idx="96">
                  <c:v>9.4896668072543516E-2</c:v>
                </c:pt>
                <c:pt idx="97">
                  <c:v>0.20262380658012236</c:v>
                </c:pt>
                <c:pt idx="98">
                  <c:v>-0.37515631513130654</c:v>
                </c:pt>
                <c:pt idx="99">
                  <c:v>0</c:v>
                </c:pt>
                <c:pt idx="100">
                  <c:v>-1.2526096033402927</c:v>
                </c:pt>
                <c:pt idx="101">
                  <c:v>0</c:v>
                </c:pt>
                <c:pt idx="102">
                  <c:v>0</c:v>
                </c:pt>
                <c:pt idx="103">
                  <c:v>0</c:v>
                </c:pt>
                <c:pt idx="104">
                  <c:v>0</c:v>
                </c:pt>
                <c:pt idx="105">
                  <c:v>0.75991916192361575</c:v>
                </c:pt>
                <c:pt idx="106">
                  <c:v>0</c:v>
                </c:pt>
                <c:pt idx="107">
                  <c:v>0</c:v>
                </c:pt>
                <c:pt idx="108">
                  <c:v>0</c:v>
                </c:pt>
                <c:pt idx="109">
                  <c:v>0</c:v>
                </c:pt>
                <c:pt idx="110">
                  <c:v>0.30537265006202885</c:v>
                </c:pt>
                <c:pt idx="111">
                  <c:v>0.22447225140892255</c:v>
                </c:pt>
                <c:pt idx="112">
                  <c:v>0</c:v>
                </c:pt>
                <c:pt idx="113">
                  <c:v>0</c:v>
                </c:pt>
                <c:pt idx="114">
                  <c:v>0</c:v>
                </c:pt>
                <c:pt idx="115">
                  <c:v>0</c:v>
                </c:pt>
                <c:pt idx="116">
                  <c:v>0.47819971870604788</c:v>
                </c:pt>
                <c:pt idx="117">
                  <c:v>0.38830318018135018</c:v>
                </c:pt>
                <c:pt idx="118">
                  <c:v>0</c:v>
                </c:pt>
                <c:pt idx="119">
                  <c:v>0</c:v>
                </c:pt>
                <c:pt idx="120">
                  <c:v>0.20874438820736982</c:v>
                </c:pt>
                <c:pt idx="121">
                  <c:v>0</c:v>
                </c:pt>
                <c:pt idx="122">
                  <c:v>0</c:v>
                </c:pt>
                <c:pt idx="123">
                  <c:v>0</c:v>
                </c:pt>
                <c:pt idx="124">
                  <c:v>1.25059451012366</c:v>
                </c:pt>
                <c:pt idx="125">
                  <c:v>0</c:v>
                </c:pt>
                <c:pt idx="126">
                  <c:v>0</c:v>
                </c:pt>
                <c:pt idx="127">
                  <c:v>-0.6572345976319518</c:v>
                </c:pt>
                <c:pt idx="128">
                  <c:v>0</c:v>
                </c:pt>
                <c:pt idx="129">
                  <c:v>-0.39621282288772047</c:v>
                </c:pt>
                <c:pt idx="130">
                  <c:v>0</c:v>
                </c:pt>
                <c:pt idx="131">
                  <c:v>-0.24580873507589798</c:v>
                </c:pt>
                <c:pt idx="132">
                  <c:v>0</c:v>
                </c:pt>
                <c:pt idx="133">
                  <c:v>0.97421410980733336</c:v>
                </c:pt>
                <c:pt idx="134">
                  <c:v>0.48755088516519984</c:v>
                </c:pt>
                <c:pt idx="135">
                  <c:v>0.34013605442176942</c:v>
                </c:pt>
                <c:pt idx="136">
                  <c:v>0.18711161465307258</c:v>
                </c:pt>
                <c:pt idx="137">
                  <c:v>0</c:v>
                </c:pt>
                <c:pt idx="138">
                  <c:v>0.15907447577729636</c:v>
                </c:pt>
                <c:pt idx="139">
                  <c:v>8.6535133264107097E-2</c:v>
                </c:pt>
                <c:pt idx="140">
                  <c:v>0</c:v>
                </c:pt>
                <c:pt idx="141">
                  <c:v>-0.45112886806398078</c:v>
                </c:pt>
                <c:pt idx="142">
                  <c:v>-1.2745218831711091</c:v>
                </c:pt>
                <c:pt idx="143">
                  <c:v>-0.36962883104882122</c:v>
                </c:pt>
                <c:pt idx="144">
                  <c:v>-4.9172740946430406E-2</c:v>
                </c:pt>
                <c:pt idx="145">
                  <c:v>1.3399142192973843</c:v>
                </c:pt>
                <c:pt idx="146">
                  <c:v>-0.44283413848631287</c:v>
                </c:pt>
                <c:pt idx="147">
                  <c:v>-0.5639722249908643</c:v>
                </c:pt>
                <c:pt idx="148">
                  <c:v>0</c:v>
                </c:pt>
                <c:pt idx="149">
                  <c:v>0</c:v>
                </c:pt>
                <c:pt idx="150">
                  <c:v>0</c:v>
                </c:pt>
                <c:pt idx="151">
                  <c:v>0</c:v>
                </c:pt>
                <c:pt idx="152">
                  <c:v>2.420242024202421</c:v>
                </c:pt>
                <c:pt idx="153">
                  <c:v>0</c:v>
                </c:pt>
                <c:pt idx="154">
                  <c:v>0</c:v>
                </c:pt>
                <c:pt idx="155">
                  <c:v>0</c:v>
                </c:pt>
                <c:pt idx="156">
                  <c:v>2.0019673564558453</c:v>
                </c:pt>
                <c:pt idx="157">
                  <c:v>0</c:v>
                </c:pt>
                <c:pt idx="158">
                  <c:v>0</c:v>
                </c:pt>
                <c:pt idx="159">
                  <c:v>0</c:v>
                </c:pt>
                <c:pt idx="160">
                  <c:v>0</c:v>
                </c:pt>
                <c:pt idx="161">
                  <c:v>0</c:v>
                </c:pt>
                <c:pt idx="162">
                  <c:v>0.32694532468185639</c:v>
                </c:pt>
                <c:pt idx="163">
                  <c:v>-0.96832430658132485</c:v>
                </c:pt>
                <c:pt idx="164">
                  <c:v>0</c:v>
                </c:pt>
                <c:pt idx="165">
                  <c:v>0</c:v>
                </c:pt>
                <c:pt idx="166">
                  <c:v>0</c:v>
                </c:pt>
                <c:pt idx="167">
                  <c:v>0</c:v>
                </c:pt>
                <c:pt idx="168">
                  <c:v>1.2492126810833513</c:v>
                </c:pt>
                <c:pt idx="169">
                  <c:v>0</c:v>
                </c:pt>
                <c:pt idx="170">
                  <c:v>0.46950429765689455</c:v>
                </c:pt>
                <c:pt idx="171">
                  <c:v>0</c:v>
                </c:pt>
                <c:pt idx="172">
                  <c:v>-5.4412884971169681E-3</c:v>
                </c:pt>
                <c:pt idx="173">
                  <c:v>0</c:v>
                </c:pt>
                <c:pt idx="174">
                  <c:v>1.668584579976983</c:v>
                </c:pt>
                <c:pt idx="175">
                  <c:v>0</c:v>
                </c:pt>
                <c:pt idx="176">
                  <c:v>5.6794210235938045E-2</c:v>
                </c:pt>
                <c:pt idx="177">
                  <c:v>0</c:v>
                </c:pt>
                <c:pt idx="178">
                  <c:v>0.30075468878427625</c:v>
                </c:pt>
                <c:pt idx="179">
                  <c:v>0.53276081424936805</c:v>
                </c:pt>
                <c:pt idx="180">
                  <c:v>0</c:v>
                </c:pt>
                <c:pt idx="181">
                  <c:v>0</c:v>
                </c:pt>
                <c:pt idx="182">
                  <c:v>0</c:v>
                </c:pt>
                <c:pt idx="183">
                  <c:v>0</c:v>
                </c:pt>
                <c:pt idx="184">
                  <c:v>-1.6060780919407547</c:v>
                </c:pt>
                <c:pt idx="185">
                  <c:v>-0.83704174613265103</c:v>
                </c:pt>
                <c:pt idx="186">
                  <c:v>-9.5279976546467318E-2</c:v>
                </c:pt>
                <c:pt idx="187">
                  <c:v>0</c:v>
                </c:pt>
                <c:pt idx="188">
                  <c:v>1.0855898334006933</c:v>
                </c:pt>
                <c:pt idx="189">
                  <c:v>-0.21781433815399379</c:v>
                </c:pt>
                <c:pt idx="190">
                  <c:v>0</c:v>
                </c:pt>
                <c:pt idx="191">
                  <c:v>-0.80273270708795719</c:v>
                </c:pt>
                <c:pt idx="192">
                  <c:v>0</c:v>
                </c:pt>
                <c:pt idx="193">
                  <c:v>1.9739605207895847</c:v>
                </c:pt>
                <c:pt idx="194">
                  <c:v>-0.96089364066601579</c:v>
                </c:pt>
                <c:pt idx="195">
                  <c:v>0</c:v>
                </c:pt>
                <c:pt idx="196">
                  <c:v>0</c:v>
                </c:pt>
                <c:pt idx="197">
                  <c:v>0.230049182928763</c:v>
                </c:pt>
                <c:pt idx="198">
                  <c:v>9.7731527364829193E-2</c:v>
                </c:pt>
                <c:pt idx="199">
                  <c:v>0.76665805943905285</c:v>
                </c:pt>
                <c:pt idx="200">
                  <c:v>0</c:v>
                </c:pt>
                <c:pt idx="201">
                  <c:v>1.0546706844597495</c:v>
                </c:pt>
                <c:pt idx="202">
                  <c:v>0</c:v>
                </c:pt>
                <c:pt idx="203">
                  <c:v>0</c:v>
                </c:pt>
                <c:pt idx="204">
                  <c:v>0</c:v>
                </c:pt>
                <c:pt idx="205">
                  <c:v>0</c:v>
                </c:pt>
                <c:pt idx="206">
                  <c:v>0</c:v>
                </c:pt>
                <c:pt idx="207">
                  <c:v>-0.18815087074472578</c:v>
                </c:pt>
                <c:pt idx="208">
                  <c:v>0</c:v>
                </c:pt>
                <c:pt idx="209">
                  <c:v>0.22515010006671177</c:v>
                </c:pt>
                <c:pt idx="210">
                  <c:v>0</c:v>
                </c:pt>
                <c:pt idx="211">
                  <c:v>0</c:v>
                </c:pt>
                <c:pt idx="212">
                  <c:v>0</c:v>
                </c:pt>
                <c:pt idx="213">
                  <c:v>8.7724544928921122E-2</c:v>
                </c:pt>
                <c:pt idx="214">
                  <c:v>0.54328776726253136</c:v>
                </c:pt>
                <c:pt idx="215">
                  <c:v>-1.3804498454322569</c:v>
                </c:pt>
                <c:pt idx="216">
                  <c:v>0</c:v>
                </c:pt>
                <c:pt idx="217">
                  <c:v>0</c:v>
                </c:pt>
                <c:pt idx="218">
                  <c:v>-0.52400812747299685</c:v>
                </c:pt>
                <c:pt idx="219">
                  <c:v>0</c:v>
                </c:pt>
                <c:pt idx="220">
                  <c:v>0.49876006575831078</c:v>
                </c:pt>
                <c:pt idx="221">
                  <c:v>0</c:v>
                </c:pt>
                <c:pt idx="222">
                  <c:v>0.18529354398283535</c:v>
                </c:pt>
                <c:pt idx="223">
                  <c:v>0</c:v>
                </c:pt>
                <c:pt idx="224">
                  <c:v>0</c:v>
                </c:pt>
                <c:pt idx="225">
                  <c:v>-0.40737225122607107</c:v>
                </c:pt>
                <c:pt idx="226">
                  <c:v>0</c:v>
                </c:pt>
                <c:pt idx="227">
                  <c:v>0.46500704556129741</c:v>
                </c:pt>
                <c:pt idx="228">
                  <c:v>0</c:v>
                </c:pt>
                <c:pt idx="229">
                  <c:v>0</c:v>
                </c:pt>
                <c:pt idx="230">
                  <c:v>0.7219742714623294</c:v>
                </c:pt>
                <c:pt idx="231">
                  <c:v>0</c:v>
                </c:pt>
                <c:pt idx="232">
                  <c:v>0</c:v>
                </c:pt>
                <c:pt idx="233">
                  <c:v>0</c:v>
                </c:pt>
                <c:pt idx="234">
                  <c:v>0.57320763500930905</c:v>
                </c:pt>
                <c:pt idx="235">
                  <c:v>-0.28645882627597347</c:v>
                </c:pt>
                <c:pt idx="236">
                  <c:v>1.8371240275506671</c:v>
                </c:pt>
                <c:pt idx="237">
                  <c:v>0</c:v>
                </c:pt>
                <c:pt idx="238">
                  <c:v>0</c:v>
                </c:pt>
                <c:pt idx="239">
                  <c:v>0</c:v>
                </c:pt>
                <c:pt idx="240">
                  <c:v>0</c:v>
                </c:pt>
                <c:pt idx="241">
                  <c:v>3.7491450068399446</c:v>
                </c:pt>
                <c:pt idx="242">
                  <c:v>0</c:v>
                </c:pt>
                <c:pt idx="243">
                  <c:v>0.39109749213773504</c:v>
                </c:pt>
                <c:pt idx="244">
                  <c:v>0</c:v>
                </c:pt>
                <c:pt idx="245">
                  <c:v>0.43868372781718817</c:v>
                </c:pt>
                <c:pt idx="246">
                  <c:v>-0.30566584735614943</c:v>
                </c:pt>
                <c:pt idx="247">
                  <c:v>-0.1975390185429827</c:v>
                </c:pt>
                <c:pt idx="248">
                  <c:v>-0.52863519443183626</c:v>
                </c:pt>
                <c:pt idx="249">
                  <c:v>-0.40021344717182844</c:v>
                </c:pt>
                <c:pt idx="250">
                  <c:v>0.45419027153740987</c:v>
                </c:pt>
                <c:pt idx="251">
                  <c:v>0</c:v>
                </c:pt>
                <c:pt idx="252">
                  <c:v>0</c:v>
                </c:pt>
                <c:pt idx="253">
                  <c:v>0.69951483337310016</c:v>
                </c:pt>
                <c:pt idx="254">
                  <c:v>5.8703420112303624E-2</c:v>
                </c:pt>
                <c:pt idx="255">
                  <c:v>0.52869908712093694</c:v>
                </c:pt>
                <c:pt idx="256">
                  <c:v>0</c:v>
                </c:pt>
                <c:pt idx="257">
                  <c:v>0</c:v>
                </c:pt>
                <c:pt idx="258">
                  <c:v>0</c:v>
                </c:pt>
                <c:pt idx="259">
                  <c:v>-1.0591169682078767</c:v>
                </c:pt>
                <c:pt idx="260">
                  <c:v>0.36808905959685811</c:v>
                </c:pt>
                <c:pt idx="261">
                  <c:v>-0.29122807017543972</c:v>
                </c:pt>
                <c:pt idx="262">
                  <c:v>0.27029984679360852</c:v>
                </c:pt>
                <c:pt idx="263">
                  <c:v>0</c:v>
                </c:pt>
                <c:pt idx="264">
                  <c:v>-0.46287367405978541</c:v>
                </c:pt>
                <c:pt idx="265">
                  <c:v>0.23320264972285984</c:v>
                </c:pt>
                <c:pt idx="266">
                  <c:v>0</c:v>
                </c:pt>
                <c:pt idx="267">
                  <c:v>0.17245005257623583</c:v>
                </c:pt>
                <c:pt idx="268">
                  <c:v>-0.16163166585269265</c:v>
                </c:pt>
                <c:pt idx="269">
                  <c:v>1.145068309247413</c:v>
                </c:pt>
                <c:pt idx="270">
                  <c:v>0.30713588610138343</c:v>
                </c:pt>
                <c:pt idx="271">
                  <c:v>-0.17082120713652921</c:v>
                </c:pt>
                <c:pt idx="272">
                  <c:v>0.16240933459476437</c:v>
                </c:pt>
                <c:pt idx="273">
                  <c:v>0</c:v>
                </c:pt>
                <c:pt idx="274">
                  <c:v>-0.60424666817257733</c:v>
                </c:pt>
                <c:pt idx="275">
                  <c:v>0.33880471380471189</c:v>
                </c:pt>
                <c:pt idx="276">
                  <c:v>-0.35996755222064414</c:v>
                </c:pt>
                <c:pt idx="277">
                  <c:v>0</c:v>
                </c:pt>
                <c:pt idx="278">
                  <c:v>0.33514017602144897</c:v>
                </c:pt>
                <c:pt idx="279">
                  <c:v>7.1530758226037203E-2</c:v>
                </c:pt>
                <c:pt idx="280">
                  <c:v>0</c:v>
                </c:pt>
                <c:pt idx="281">
                  <c:v>0</c:v>
                </c:pt>
                <c:pt idx="282">
                  <c:v>0.49087212806603486</c:v>
                </c:pt>
                <c:pt idx="283">
                  <c:v>-1.3238396624472559</c:v>
                </c:pt>
                <c:pt idx="284">
                  <c:v>0</c:v>
                </c:pt>
                <c:pt idx="285">
                  <c:v>-0.82296526697771011</c:v>
                </c:pt>
                <c:pt idx="286">
                  <c:v>0</c:v>
                </c:pt>
                <c:pt idx="287">
                  <c:v>4.7784623518167799E-2</c:v>
                </c:pt>
                <c:pt idx="288">
                  <c:v>0</c:v>
                </c:pt>
                <c:pt idx="289">
                  <c:v>-0.45206414193108418</c:v>
                </c:pt>
                <c:pt idx="290">
                  <c:v>0</c:v>
                </c:pt>
                <c:pt idx="291">
                  <c:v>1.0024631952798306</c:v>
                </c:pt>
                <c:pt idx="292">
                  <c:v>-0.79281922324671694</c:v>
                </c:pt>
                <c:pt idx="293">
                  <c:v>0</c:v>
                </c:pt>
                <c:pt idx="294">
                  <c:v>-1.8534591877328126</c:v>
                </c:pt>
                <c:pt idx="295">
                  <c:v>0</c:v>
                </c:pt>
                <c:pt idx="296">
                  <c:v>-1.1948043876821717</c:v>
                </c:pt>
                <c:pt idx="297">
                  <c:v>0</c:v>
                </c:pt>
                <c:pt idx="298">
                  <c:v>-0.57471264367816099</c:v>
                </c:pt>
                <c:pt idx="299">
                  <c:v>0</c:v>
                </c:pt>
                <c:pt idx="300">
                  <c:v>0</c:v>
                </c:pt>
                <c:pt idx="301">
                  <c:v>0</c:v>
                </c:pt>
                <c:pt idx="302">
                  <c:v>-8.7220893141960899E-3</c:v>
                </c:pt>
                <c:pt idx="303">
                  <c:v>0</c:v>
                </c:pt>
                <c:pt idx="304">
                  <c:v>0</c:v>
                </c:pt>
                <c:pt idx="305">
                  <c:v>0</c:v>
                </c:pt>
                <c:pt idx="306">
                  <c:v>0</c:v>
                </c:pt>
                <c:pt idx="307">
                  <c:v>0</c:v>
                </c:pt>
                <c:pt idx="308">
                  <c:v>0.42140750105352059</c:v>
                </c:pt>
                <c:pt idx="309">
                  <c:v>0</c:v>
                </c:pt>
                <c:pt idx="310">
                  <c:v>-8.7777046302390041E-2</c:v>
                </c:pt>
                <c:pt idx="311">
                  <c:v>1.3165611072015007</c:v>
                </c:pt>
                <c:pt idx="312">
                  <c:v>-0.31353323452286236</c:v>
                </c:pt>
                <c:pt idx="313">
                  <c:v>0</c:v>
                </c:pt>
                <c:pt idx="314">
                  <c:v>-0.77519379844961245</c:v>
                </c:pt>
                <c:pt idx="315">
                  <c:v>0.77881619937694702</c:v>
                </c:pt>
                <c:pt idx="316">
                  <c:v>0</c:v>
                </c:pt>
                <c:pt idx="317">
                  <c:v>0</c:v>
                </c:pt>
                <c:pt idx="318">
                  <c:v>0</c:v>
                </c:pt>
                <c:pt idx="319">
                  <c:v>0</c:v>
                </c:pt>
                <c:pt idx="320">
                  <c:v>0.47596754057428026</c:v>
                </c:pt>
                <c:pt idx="321">
                  <c:v>0</c:v>
                </c:pt>
                <c:pt idx="322">
                  <c:v>0</c:v>
                </c:pt>
                <c:pt idx="323">
                  <c:v>0</c:v>
                </c:pt>
                <c:pt idx="324">
                  <c:v>-2.2418939085605736</c:v>
                </c:pt>
                <c:pt idx="325">
                  <c:v>0</c:v>
                </c:pt>
                <c:pt idx="326">
                  <c:v>-1.5932914046121627</c:v>
                </c:pt>
                <c:pt idx="327">
                  <c:v>0</c:v>
                </c:pt>
                <c:pt idx="328">
                  <c:v>0</c:v>
                </c:pt>
                <c:pt idx="329">
                  <c:v>0</c:v>
                </c:pt>
                <c:pt idx="330">
                  <c:v>0.83969465648854902</c:v>
                </c:pt>
                <c:pt idx="331">
                  <c:v>0</c:v>
                </c:pt>
                <c:pt idx="332">
                  <c:v>0</c:v>
                </c:pt>
                <c:pt idx="333">
                  <c:v>0</c:v>
                </c:pt>
                <c:pt idx="334">
                  <c:v>0</c:v>
                </c:pt>
                <c:pt idx="335">
                  <c:v>0</c:v>
                </c:pt>
                <c:pt idx="336">
                  <c:v>0</c:v>
                </c:pt>
                <c:pt idx="337">
                  <c:v>2.0422419460881014</c:v>
                </c:pt>
                <c:pt idx="338">
                  <c:v>0</c:v>
                </c:pt>
                <c:pt idx="339">
                  <c:v>0</c:v>
                </c:pt>
                <c:pt idx="340">
                  <c:v>0</c:v>
                </c:pt>
                <c:pt idx="341">
                  <c:v>0</c:v>
                </c:pt>
                <c:pt idx="342">
                  <c:v>0.42960359304823531</c:v>
                </c:pt>
                <c:pt idx="343">
                  <c:v>0</c:v>
                </c:pt>
                <c:pt idx="344">
                  <c:v>0</c:v>
                </c:pt>
                <c:pt idx="345">
                  <c:v>0</c:v>
                </c:pt>
                <c:pt idx="346">
                  <c:v>-0.37875163461231776</c:v>
                </c:pt>
                <c:pt idx="347">
                  <c:v>0</c:v>
                </c:pt>
                <c:pt idx="348">
                  <c:v>-0.10450450450450231</c:v>
                </c:pt>
                <c:pt idx="349">
                  <c:v>0</c:v>
                </c:pt>
                <c:pt idx="350">
                  <c:v>1.1244734338904749</c:v>
                </c:pt>
                <c:pt idx="351">
                  <c:v>0</c:v>
                </c:pt>
                <c:pt idx="352">
                  <c:v>0</c:v>
                </c:pt>
                <c:pt idx="353">
                  <c:v>0</c:v>
                </c:pt>
                <c:pt idx="354">
                  <c:v>0</c:v>
                </c:pt>
                <c:pt idx="355">
                  <c:v>0</c:v>
                </c:pt>
                <c:pt idx="356">
                  <c:v>0</c:v>
                </c:pt>
                <c:pt idx="357">
                  <c:v>3.7215481005630893</c:v>
                </c:pt>
                <c:pt idx="358">
                  <c:v>0</c:v>
                </c:pt>
                <c:pt idx="359">
                  <c:v>0</c:v>
                </c:pt>
                <c:pt idx="360">
                  <c:v>0</c:v>
                </c:pt>
                <c:pt idx="361">
                  <c:v>0</c:v>
                </c:pt>
                <c:pt idx="362">
                  <c:v>0</c:v>
                </c:pt>
                <c:pt idx="363">
                  <c:v>0</c:v>
                </c:pt>
                <c:pt idx="364">
                  <c:v>0</c:v>
                </c:pt>
                <c:pt idx="365">
                  <c:v>-0.63676633444075548</c:v>
                </c:pt>
                <c:pt idx="366">
                  <c:v>-5.7744653272845063</c:v>
                </c:pt>
                <c:pt idx="367">
                  <c:v>-0.98821413538438119</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1.5503875968992216</c:v>
                </c:pt>
                <c:pt idx="383">
                  <c:v>0</c:v>
                </c:pt>
                <c:pt idx="384">
                  <c:v>0</c:v>
                </c:pt>
                <c:pt idx="385">
                  <c:v>0.79125088196754167</c:v>
                </c:pt>
                <c:pt idx="386">
                  <c:v>0</c:v>
                </c:pt>
                <c:pt idx="387">
                  <c:v>0</c:v>
                </c:pt>
                <c:pt idx="388">
                  <c:v>0</c:v>
                </c:pt>
                <c:pt idx="389">
                  <c:v>0</c:v>
                </c:pt>
                <c:pt idx="390">
                  <c:v>0</c:v>
                </c:pt>
                <c:pt idx="391">
                  <c:v>-0.39659224441833252</c:v>
                </c:pt>
                <c:pt idx="392">
                  <c:v>0</c:v>
                </c:pt>
                <c:pt idx="393">
                  <c:v>0</c:v>
                </c:pt>
                <c:pt idx="394">
                  <c:v>0</c:v>
                </c:pt>
                <c:pt idx="395">
                  <c:v>0</c:v>
                </c:pt>
                <c:pt idx="396">
                  <c:v>0</c:v>
                </c:pt>
                <c:pt idx="397">
                  <c:v>0</c:v>
                </c:pt>
                <c:pt idx="398">
                  <c:v>0</c:v>
                </c:pt>
                <c:pt idx="399">
                  <c:v>0</c:v>
                </c:pt>
                <c:pt idx="400">
                  <c:v>-0.20354991043803941</c:v>
                </c:pt>
                <c:pt idx="401">
                  <c:v>0</c:v>
                </c:pt>
                <c:pt idx="402">
                  <c:v>0</c:v>
                </c:pt>
                <c:pt idx="403">
                  <c:v>0</c:v>
                </c:pt>
                <c:pt idx="404">
                  <c:v>0</c:v>
                </c:pt>
                <c:pt idx="405">
                  <c:v>0</c:v>
                </c:pt>
                <c:pt idx="406">
                  <c:v>0</c:v>
                </c:pt>
                <c:pt idx="407">
                  <c:v>0</c:v>
                </c:pt>
                <c:pt idx="408">
                  <c:v>0</c:v>
                </c:pt>
                <c:pt idx="409">
                  <c:v>0.85331657319667342</c:v>
                </c:pt>
                <c:pt idx="410">
                  <c:v>0</c:v>
                </c:pt>
                <c:pt idx="411">
                  <c:v>0</c:v>
                </c:pt>
                <c:pt idx="412">
                  <c:v>0</c:v>
                </c:pt>
                <c:pt idx="413">
                  <c:v>0</c:v>
                </c:pt>
                <c:pt idx="414">
                  <c:v>0</c:v>
                </c:pt>
                <c:pt idx="415">
                  <c:v>0.42438993946202336</c:v>
                </c:pt>
                <c:pt idx="416">
                  <c:v>0</c:v>
                </c:pt>
                <c:pt idx="417">
                  <c:v>-0.76045627376425884</c:v>
                </c:pt>
                <c:pt idx="418">
                  <c:v>0</c:v>
                </c:pt>
              </c:numCache>
            </c:numRef>
          </c:val>
          <c:extLst>
            <c:ext xmlns:c14="http://schemas.microsoft.com/office/drawing/2007/8/2/chart" uri="{6F2FDCE9-48DA-4B69-8628-5D25D57E5C99}">
              <c14:invertSolidFillFmt>
                <c14:spPr xmlns:c14="http://schemas.microsoft.com/office/drawing/2007/8/2/chart">
                  <a:solidFill>
                    <a:srgbClr val="FF9999"/>
                  </a:solidFill>
                  <a:ln>
                    <a:solidFill>
                      <a:sysClr val="windowText" lastClr="000000"/>
                    </a:solidFill>
                  </a:ln>
                  <a:effectLst/>
                </c14:spPr>
              </c14:invertSolidFillFmt>
            </c:ext>
            <c:ext xmlns:c16="http://schemas.microsoft.com/office/drawing/2014/chart" uri="{C3380CC4-5D6E-409C-BE32-E72D297353CC}">
              <c16:uniqueId val="{00000000-0E0C-42CD-9869-1567A889BAE2}"/>
            </c:ext>
          </c:extLst>
        </c:ser>
        <c:dLbls>
          <c:showLegendKey val="0"/>
          <c:showVal val="0"/>
          <c:showCatName val="0"/>
          <c:showSerName val="0"/>
          <c:showPercent val="0"/>
          <c:showBubbleSize val="0"/>
        </c:dLbls>
        <c:gapWidth val="0"/>
        <c:axId val="1238446752"/>
        <c:axId val="1238447232"/>
      </c:barChart>
      <c:lineChart>
        <c:grouping val="standard"/>
        <c:varyColors val="0"/>
        <c:ser>
          <c:idx val="1"/>
          <c:order val="1"/>
          <c:spPr>
            <a:ln w="19050" cap="rnd">
              <a:solidFill>
                <a:sysClr val="windowText" lastClr="000000"/>
              </a:solidFill>
              <a:round/>
            </a:ln>
            <a:effectLst/>
          </c:spPr>
          <c:marker>
            <c:symbol val="none"/>
          </c:marker>
          <c:val>
            <c:numRef>
              <c:f>'2025-Q2'!$CF$4:$CF$422</c:f>
              <c:numCache>
                <c:formatCode>0.0</c:formatCode>
                <c:ptCount val="419"/>
                <c:pt idx="0">
                  <c:v>-0.47844667409884589</c:v>
                </c:pt>
                <c:pt idx="1">
                  <c:v>0.20039738260780871</c:v>
                </c:pt>
                <c:pt idx="2">
                  <c:v>0.20039738260780871</c:v>
                </c:pt>
                <c:pt idx="3">
                  <c:v>0.20039738260780871</c:v>
                </c:pt>
                <c:pt idx="4">
                  <c:v>0.20039738260780871</c:v>
                </c:pt>
                <c:pt idx="5">
                  <c:v>0.20039738260780871</c:v>
                </c:pt>
                <c:pt idx="6">
                  <c:v>0.20039738260780871</c:v>
                </c:pt>
                <c:pt idx="7">
                  <c:v>0.20039738260780871</c:v>
                </c:pt>
                <c:pt idx="8">
                  <c:v>0.20039738260780871</c:v>
                </c:pt>
                <c:pt idx="9">
                  <c:v>0.30064007544309346</c:v>
                </c:pt>
                <c:pt idx="10">
                  <c:v>0.30064007544309346</c:v>
                </c:pt>
                <c:pt idx="11">
                  <c:v>0.30064007544309346</c:v>
                </c:pt>
                <c:pt idx="12">
                  <c:v>0.60216810360001793</c:v>
                </c:pt>
                <c:pt idx="13">
                  <c:v>0.60216810360001793</c:v>
                </c:pt>
                <c:pt idx="14">
                  <c:v>1.4792312373428973</c:v>
                </c:pt>
                <c:pt idx="15">
                  <c:v>1.4792312373428973</c:v>
                </c:pt>
                <c:pt idx="16">
                  <c:v>1.8415029194115362</c:v>
                </c:pt>
                <c:pt idx="17">
                  <c:v>2.0183947996427927</c:v>
                </c:pt>
                <c:pt idx="18">
                  <c:v>2.0183947996427927</c:v>
                </c:pt>
                <c:pt idx="19">
                  <c:v>2.0183947996427927</c:v>
                </c:pt>
                <c:pt idx="20">
                  <c:v>2.0183947996427927</c:v>
                </c:pt>
                <c:pt idx="21">
                  <c:v>2.0183947996427927</c:v>
                </c:pt>
                <c:pt idx="22">
                  <c:v>2.0549578709407856</c:v>
                </c:pt>
                <c:pt idx="23">
                  <c:v>2.0549578709407856</c:v>
                </c:pt>
                <c:pt idx="24">
                  <c:v>2.0549578709407856</c:v>
                </c:pt>
                <c:pt idx="25">
                  <c:v>2.0549578709407856</c:v>
                </c:pt>
                <c:pt idx="26">
                  <c:v>2.4669949079778233</c:v>
                </c:pt>
                <c:pt idx="27">
                  <c:v>1.9018102809996771</c:v>
                </c:pt>
                <c:pt idx="28">
                  <c:v>0.92806658425128818</c:v>
                </c:pt>
                <c:pt idx="29">
                  <c:v>0.92806658425128818</c:v>
                </c:pt>
                <c:pt idx="30">
                  <c:v>0.37789926532439866</c:v>
                </c:pt>
                <c:pt idx="31">
                  <c:v>0.89631011803757732</c:v>
                </c:pt>
                <c:pt idx="32">
                  <c:v>0.38695214599303662</c:v>
                </c:pt>
                <c:pt idx="33">
                  <c:v>0.38695214599303662</c:v>
                </c:pt>
                <c:pt idx="34">
                  <c:v>0.38695214599303662</c:v>
                </c:pt>
                <c:pt idx="35">
                  <c:v>0.38695214599303662</c:v>
                </c:pt>
                <c:pt idx="36">
                  <c:v>4.9445060920641104E-2</c:v>
                </c:pt>
                <c:pt idx="37">
                  <c:v>4.9445060920641104E-2</c:v>
                </c:pt>
                <c:pt idx="38">
                  <c:v>4.9445060920641104E-2</c:v>
                </c:pt>
                <c:pt idx="39">
                  <c:v>4.9445060920641104E-2</c:v>
                </c:pt>
                <c:pt idx="40">
                  <c:v>-1.9614085164246415</c:v>
                </c:pt>
                <c:pt idx="41">
                  <c:v>-2.594121805639455</c:v>
                </c:pt>
                <c:pt idx="42">
                  <c:v>-1.2217069637903022</c:v>
                </c:pt>
                <c:pt idx="43">
                  <c:v>-1.2217069637903022</c:v>
                </c:pt>
                <c:pt idx="44">
                  <c:v>-1.2217069637903022</c:v>
                </c:pt>
                <c:pt idx="45">
                  <c:v>-1.2217069637903022</c:v>
                </c:pt>
                <c:pt idx="46">
                  <c:v>-2.4179115485653879</c:v>
                </c:pt>
                <c:pt idx="47">
                  <c:v>-2.4179115485653879</c:v>
                </c:pt>
                <c:pt idx="48">
                  <c:v>-2.9352208243324007</c:v>
                </c:pt>
                <c:pt idx="49">
                  <c:v>-2.9352208243324007</c:v>
                </c:pt>
                <c:pt idx="50">
                  <c:v>-2.9352208243324007</c:v>
                </c:pt>
                <c:pt idx="51">
                  <c:v>-2.9352208243324007</c:v>
                </c:pt>
                <c:pt idx="52">
                  <c:v>-4.2375680043391544</c:v>
                </c:pt>
                <c:pt idx="53">
                  <c:v>-4.2375680043391544</c:v>
                </c:pt>
                <c:pt idx="54">
                  <c:v>-4.2375680043391544</c:v>
                </c:pt>
                <c:pt idx="55">
                  <c:v>-3.6224694812908407</c:v>
                </c:pt>
                <c:pt idx="56">
                  <c:v>-3.6224694812908407</c:v>
                </c:pt>
                <c:pt idx="57">
                  <c:v>-1.7290263469717926</c:v>
                </c:pt>
                <c:pt idx="58">
                  <c:v>-1.7290263469717926</c:v>
                </c:pt>
                <c:pt idx="59">
                  <c:v>-1.7290263469717926</c:v>
                </c:pt>
                <c:pt idx="60">
                  <c:v>-1.7290263469717926</c:v>
                </c:pt>
                <c:pt idx="61">
                  <c:v>-1.7290263469717926</c:v>
                </c:pt>
                <c:pt idx="62">
                  <c:v>-1.7290263469717926</c:v>
                </c:pt>
                <c:pt idx="63">
                  <c:v>-1.7290263469717926</c:v>
                </c:pt>
                <c:pt idx="64">
                  <c:v>-1.7290263469717926</c:v>
                </c:pt>
                <c:pt idx="65">
                  <c:v>-1.7290263469717926</c:v>
                </c:pt>
                <c:pt idx="66">
                  <c:v>-2.1078142257596713</c:v>
                </c:pt>
                <c:pt idx="67">
                  <c:v>-2.9443487797740402</c:v>
                </c:pt>
                <c:pt idx="68">
                  <c:v>-2.8156523317960023</c:v>
                </c:pt>
                <c:pt idx="69">
                  <c:v>-2.8156523317960023</c:v>
                </c:pt>
                <c:pt idx="70">
                  <c:v>-2.1536522232713935</c:v>
                </c:pt>
                <c:pt idx="71">
                  <c:v>-2.1536522232713935</c:v>
                </c:pt>
                <c:pt idx="72">
                  <c:v>-2.1536522232713935</c:v>
                </c:pt>
                <c:pt idx="73">
                  <c:v>-2.1536522232713935</c:v>
                </c:pt>
                <c:pt idx="74">
                  <c:v>-2.1536522232713935</c:v>
                </c:pt>
                <c:pt idx="75">
                  <c:v>-2.1536522232713935</c:v>
                </c:pt>
                <c:pt idx="76">
                  <c:v>-2.1536522232713935</c:v>
                </c:pt>
                <c:pt idx="77">
                  <c:v>-2.1536522232713935</c:v>
                </c:pt>
                <c:pt idx="78">
                  <c:v>-2.1536522232713935</c:v>
                </c:pt>
                <c:pt idx="79">
                  <c:v>-2.1972822407234003</c:v>
                </c:pt>
                <c:pt idx="80">
                  <c:v>-2.1972822407234003</c:v>
                </c:pt>
                <c:pt idx="81">
                  <c:v>-3.0819449335041766</c:v>
                </c:pt>
                <c:pt idx="82">
                  <c:v>-3.8162473462121036</c:v>
                </c:pt>
                <c:pt idx="83">
                  <c:v>-3.8162473462121036</c:v>
                </c:pt>
                <c:pt idx="84">
                  <c:v>-3.8162473462121036</c:v>
                </c:pt>
                <c:pt idx="85">
                  <c:v>-3.9962227180033323</c:v>
                </c:pt>
                <c:pt idx="86">
                  <c:v>-3.9962227180033323</c:v>
                </c:pt>
                <c:pt idx="87">
                  <c:v>-3.9861567861496914</c:v>
                </c:pt>
                <c:pt idx="88">
                  <c:v>-3.1117975784571503</c:v>
                </c:pt>
                <c:pt idx="89">
                  <c:v>-3.1117975784571503</c:v>
                </c:pt>
                <c:pt idx="90">
                  <c:v>-1.9078521186370168</c:v>
                </c:pt>
                <c:pt idx="91">
                  <c:v>-2.1261927299907284</c:v>
                </c:pt>
                <c:pt idx="92">
                  <c:v>-1.8503306610252115</c:v>
                </c:pt>
                <c:pt idx="93">
                  <c:v>-1.8503306610252115</c:v>
                </c:pt>
                <c:pt idx="94">
                  <c:v>-1.8503306610252115</c:v>
                </c:pt>
                <c:pt idx="95">
                  <c:v>-1.7529637996248215</c:v>
                </c:pt>
                <c:pt idx="96">
                  <c:v>-1.6580671315522779</c:v>
                </c:pt>
                <c:pt idx="97">
                  <c:v>-1.4554433249721557</c:v>
                </c:pt>
                <c:pt idx="98">
                  <c:v>-1.8305996401034621</c:v>
                </c:pt>
                <c:pt idx="99">
                  <c:v>-1.8305996401034621</c:v>
                </c:pt>
                <c:pt idx="100">
                  <c:v>-3.083209243443755</c:v>
                </c:pt>
                <c:pt idx="101">
                  <c:v>-3.083209243443755</c:v>
                </c:pt>
                <c:pt idx="102">
                  <c:v>-3.083209243443755</c:v>
                </c:pt>
                <c:pt idx="103">
                  <c:v>-3.083209243443755</c:v>
                </c:pt>
                <c:pt idx="104">
                  <c:v>-3.083209243443755</c:v>
                </c:pt>
                <c:pt idx="105">
                  <c:v>-2.3232900815201392</c:v>
                </c:pt>
                <c:pt idx="106">
                  <c:v>-2.3232900815201392</c:v>
                </c:pt>
                <c:pt idx="107">
                  <c:v>-2.3232900815201392</c:v>
                </c:pt>
                <c:pt idx="108">
                  <c:v>-2.3232900815201392</c:v>
                </c:pt>
                <c:pt idx="109">
                  <c:v>-2.3232900815201392</c:v>
                </c:pt>
                <c:pt idx="110">
                  <c:v>-2.0179174314581103</c:v>
                </c:pt>
                <c:pt idx="111">
                  <c:v>-1.7934451800491877</c:v>
                </c:pt>
                <c:pt idx="112">
                  <c:v>-1.7934451800491877</c:v>
                </c:pt>
                <c:pt idx="113">
                  <c:v>-1.7934451800491877</c:v>
                </c:pt>
                <c:pt idx="114">
                  <c:v>-1.7934451800491877</c:v>
                </c:pt>
                <c:pt idx="115">
                  <c:v>-1.7934451800491877</c:v>
                </c:pt>
                <c:pt idx="116">
                  <c:v>-1.3152454613431399</c:v>
                </c:pt>
                <c:pt idx="117">
                  <c:v>-0.92694228116178978</c:v>
                </c:pt>
                <c:pt idx="118">
                  <c:v>-0.92694228116178978</c:v>
                </c:pt>
                <c:pt idx="119">
                  <c:v>-0.92694228116178978</c:v>
                </c:pt>
                <c:pt idx="120">
                  <c:v>-0.71819789295441994</c:v>
                </c:pt>
                <c:pt idx="121">
                  <c:v>-0.71819789295441994</c:v>
                </c:pt>
                <c:pt idx="122">
                  <c:v>-0.71819789295441994</c:v>
                </c:pt>
                <c:pt idx="123">
                  <c:v>-0.71819789295441994</c:v>
                </c:pt>
                <c:pt idx="124">
                  <c:v>0.53239661716924003</c:v>
                </c:pt>
                <c:pt idx="125">
                  <c:v>0.53239661716924003</c:v>
                </c:pt>
                <c:pt idx="126">
                  <c:v>0.53239661716924003</c:v>
                </c:pt>
                <c:pt idx="127">
                  <c:v>-0.12483798046271177</c:v>
                </c:pt>
                <c:pt idx="128">
                  <c:v>-0.12483798046271177</c:v>
                </c:pt>
                <c:pt idx="129">
                  <c:v>-0.52105080335043219</c:v>
                </c:pt>
                <c:pt idx="130">
                  <c:v>-0.52105080335043219</c:v>
                </c:pt>
                <c:pt idx="131">
                  <c:v>-0.76685953842633015</c:v>
                </c:pt>
                <c:pt idx="132">
                  <c:v>-0.76685953842633015</c:v>
                </c:pt>
                <c:pt idx="133">
                  <c:v>0.20735457138100322</c:v>
                </c:pt>
                <c:pt idx="134">
                  <c:v>0.69490545654620306</c:v>
                </c:pt>
                <c:pt idx="135">
                  <c:v>1.0350415109679725</c:v>
                </c:pt>
                <c:pt idx="136">
                  <c:v>1.2221531256210452</c:v>
                </c:pt>
                <c:pt idx="137">
                  <c:v>1.2221531256210452</c:v>
                </c:pt>
                <c:pt idx="138">
                  <c:v>1.3812276013983416</c:v>
                </c:pt>
                <c:pt idx="139">
                  <c:v>1.4677627346624487</c:v>
                </c:pt>
                <c:pt idx="140">
                  <c:v>1.4677627346624487</c:v>
                </c:pt>
                <c:pt idx="141">
                  <c:v>1.0166338665984678</c:v>
                </c:pt>
                <c:pt idx="142">
                  <c:v>-0.25788801657264138</c:v>
                </c:pt>
                <c:pt idx="143">
                  <c:v>-0.62751684762146254</c:v>
                </c:pt>
                <c:pt idx="144">
                  <c:v>-0.67668958856789296</c:v>
                </c:pt>
                <c:pt idx="145">
                  <c:v>0.66322463072949134</c:v>
                </c:pt>
                <c:pt idx="146">
                  <c:v>0.22039049224317847</c:v>
                </c:pt>
                <c:pt idx="147">
                  <c:v>-0.34358173274768583</c:v>
                </c:pt>
                <c:pt idx="148">
                  <c:v>-0.34358173274768583</c:v>
                </c:pt>
                <c:pt idx="149">
                  <c:v>-0.34358173274768583</c:v>
                </c:pt>
                <c:pt idx="150">
                  <c:v>-0.34358173274768583</c:v>
                </c:pt>
                <c:pt idx="151">
                  <c:v>-0.34358173274768583</c:v>
                </c:pt>
                <c:pt idx="152">
                  <c:v>2.076660291454735</c:v>
                </c:pt>
                <c:pt idx="153">
                  <c:v>2.076660291454735</c:v>
                </c:pt>
                <c:pt idx="154">
                  <c:v>2.076660291454735</c:v>
                </c:pt>
                <c:pt idx="155">
                  <c:v>2.076660291454735</c:v>
                </c:pt>
                <c:pt idx="156">
                  <c:v>4.0786276479105803</c:v>
                </c:pt>
                <c:pt idx="157">
                  <c:v>4.0786276479105803</c:v>
                </c:pt>
                <c:pt idx="158">
                  <c:v>4.0786276479105803</c:v>
                </c:pt>
                <c:pt idx="159">
                  <c:v>4.0786276479105803</c:v>
                </c:pt>
                <c:pt idx="160">
                  <c:v>4.0786276479105803</c:v>
                </c:pt>
                <c:pt idx="161">
                  <c:v>4.0786276479105803</c:v>
                </c:pt>
                <c:pt idx="162">
                  <c:v>4.4055729725924371</c:v>
                </c:pt>
                <c:pt idx="163">
                  <c:v>3.4372486660111123</c:v>
                </c:pt>
                <c:pt idx="164">
                  <c:v>3.4372486660111123</c:v>
                </c:pt>
                <c:pt idx="165">
                  <c:v>3.4372486660111123</c:v>
                </c:pt>
                <c:pt idx="166">
                  <c:v>3.4372486660111123</c:v>
                </c:pt>
                <c:pt idx="167">
                  <c:v>3.4372486660111123</c:v>
                </c:pt>
                <c:pt idx="168">
                  <c:v>4.6864613470944638</c:v>
                </c:pt>
                <c:pt idx="169">
                  <c:v>4.6864613470944638</c:v>
                </c:pt>
                <c:pt idx="170">
                  <c:v>5.1559656447513582</c:v>
                </c:pt>
                <c:pt idx="171">
                  <c:v>5.1559656447513582</c:v>
                </c:pt>
                <c:pt idx="172">
                  <c:v>5.1505243562542411</c:v>
                </c:pt>
                <c:pt idx="173">
                  <c:v>5.1505243562542411</c:v>
                </c:pt>
                <c:pt idx="174">
                  <c:v>6.819108936231224</c:v>
                </c:pt>
                <c:pt idx="175">
                  <c:v>6.819108936231224</c:v>
                </c:pt>
                <c:pt idx="176">
                  <c:v>6.8759031464671621</c:v>
                </c:pt>
                <c:pt idx="177">
                  <c:v>6.8759031464671621</c:v>
                </c:pt>
                <c:pt idx="178">
                  <c:v>7.1766578352514383</c:v>
                </c:pt>
                <c:pt idx="179">
                  <c:v>7.7094186495008064</c:v>
                </c:pt>
                <c:pt idx="180">
                  <c:v>7.7094186495008064</c:v>
                </c:pt>
                <c:pt idx="181">
                  <c:v>7.7094186495008064</c:v>
                </c:pt>
                <c:pt idx="182">
                  <c:v>7.7094186495008064</c:v>
                </c:pt>
                <c:pt idx="183">
                  <c:v>7.7094186495008064</c:v>
                </c:pt>
                <c:pt idx="184">
                  <c:v>6.1033405575600517</c:v>
                </c:pt>
                <c:pt idx="185">
                  <c:v>5.2662988114274008</c:v>
                </c:pt>
                <c:pt idx="186">
                  <c:v>5.1710188348809334</c:v>
                </c:pt>
                <c:pt idx="187">
                  <c:v>5.1710188348809334</c:v>
                </c:pt>
                <c:pt idx="188">
                  <c:v>6.2566086682816264</c:v>
                </c:pt>
                <c:pt idx="189">
                  <c:v>6.038794330127633</c:v>
                </c:pt>
                <c:pt idx="190">
                  <c:v>6.038794330127633</c:v>
                </c:pt>
                <c:pt idx="191">
                  <c:v>5.2360616230396761</c:v>
                </c:pt>
                <c:pt idx="192">
                  <c:v>5.2360616230396761</c:v>
                </c:pt>
                <c:pt idx="193">
                  <c:v>7.2100221438292609</c:v>
                </c:pt>
                <c:pt idx="194">
                  <c:v>6.2491285031632451</c:v>
                </c:pt>
                <c:pt idx="195">
                  <c:v>6.2491285031632451</c:v>
                </c:pt>
                <c:pt idx="196">
                  <c:v>6.2491285031632451</c:v>
                </c:pt>
                <c:pt idx="197">
                  <c:v>6.4791776860920081</c:v>
                </c:pt>
                <c:pt idx="198">
                  <c:v>6.5769092134568377</c:v>
                </c:pt>
                <c:pt idx="199">
                  <c:v>7.343567272895891</c:v>
                </c:pt>
                <c:pt idx="200">
                  <c:v>7.343567272895891</c:v>
                </c:pt>
                <c:pt idx="201">
                  <c:v>8.39823795735564</c:v>
                </c:pt>
                <c:pt idx="202">
                  <c:v>8.39823795735564</c:v>
                </c:pt>
                <c:pt idx="203">
                  <c:v>8.39823795735564</c:v>
                </c:pt>
                <c:pt idx="204">
                  <c:v>8.39823795735564</c:v>
                </c:pt>
                <c:pt idx="205">
                  <c:v>8.39823795735564</c:v>
                </c:pt>
                <c:pt idx="206">
                  <c:v>8.39823795735564</c:v>
                </c:pt>
                <c:pt idx="207">
                  <c:v>8.2100870866109137</c:v>
                </c:pt>
                <c:pt idx="208">
                  <c:v>8.2100870866109137</c:v>
                </c:pt>
                <c:pt idx="209">
                  <c:v>8.4352371866776252</c:v>
                </c:pt>
                <c:pt idx="210">
                  <c:v>8.4352371866776252</c:v>
                </c:pt>
                <c:pt idx="211">
                  <c:v>8.4352371866776252</c:v>
                </c:pt>
                <c:pt idx="212">
                  <c:v>8.4352371866776252</c:v>
                </c:pt>
                <c:pt idx="213">
                  <c:v>8.5229617316065465</c:v>
                </c:pt>
                <c:pt idx="214">
                  <c:v>9.0662494988690785</c:v>
                </c:pt>
                <c:pt idx="215">
                  <c:v>7.6857996534368214</c:v>
                </c:pt>
                <c:pt idx="216">
                  <c:v>7.6857996534368214</c:v>
                </c:pt>
                <c:pt idx="217">
                  <c:v>7.6857996534368214</c:v>
                </c:pt>
                <c:pt idx="218">
                  <c:v>7.1617915259638245</c:v>
                </c:pt>
                <c:pt idx="219">
                  <c:v>7.1617915259638245</c:v>
                </c:pt>
                <c:pt idx="220">
                  <c:v>7.6605515917221352</c:v>
                </c:pt>
                <c:pt idx="221">
                  <c:v>7.6605515917221352</c:v>
                </c:pt>
                <c:pt idx="222">
                  <c:v>7.8458451357049706</c:v>
                </c:pt>
                <c:pt idx="223">
                  <c:v>7.8458451357049706</c:v>
                </c:pt>
                <c:pt idx="224">
                  <c:v>7.8458451357049706</c:v>
                </c:pt>
                <c:pt idx="225">
                  <c:v>7.4384728844788999</c:v>
                </c:pt>
                <c:pt idx="226">
                  <c:v>7.4384728844788999</c:v>
                </c:pt>
                <c:pt idx="227">
                  <c:v>7.9034799300401977</c:v>
                </c:pt>
                <c:pt idx="228">
                  <c:v>7.9034799300401977</c:v>
                </c:pt>
                <c:pt idx="229">
                  <c:v>7.9034799300401977</c:v>
                </c:pt>
                <c:pt idx="230">
                  <c:v>8.625454201502528</c:v>
                </c:pt>
                <c:pt idx="231">
                  <c:v>8.625454201502528</c:v>
                </c:pt>
                <c:pt idx="232">
                  <c:v>8.625454201502528</c:v>
                </c:pt>
                <c:pt idx="233">
                  <c:v>8.625454201502528</c:v>
                </c:pt>
                <c:pt idx="234">
                  <c:v>9.1986618365118371</c:v>
                </c:pt>
                <c:pt idx="235">
                  <c:v>8.9122030102358636</c:v>
                </c:pt>
                <c:pt idx="236">
                  <c:v>10.74932703778653</c:v>
                </c:pt>
                <c:pt idx="237">
                  <c:v>10.74932703778653</c:v>
                </c:pt>
                <c:pt idx="238">
                  <c:v>10.74932703778653</c:v>
                </c:pt>
                <c:pt idx="239">
                  <c:v>10.74932703778653</c:v>
                </c:pt>
                <c:pt idx="240">
                  <c:v>10.74932703778653</c:v>
                </c:pt>
                <c:pt idx="241">
                  <c:v>14.498472044626475</c:v>
                </c:pt>
                <c:pt idx="242">
                  <c:v>14.498472044626475</c:v>
                </c:pt>
                <c:pt idx="243">
                  <c:v>14.88956953676421</c:v>
                </c:pt>
                <c:pt idx="244">
                  <c:v>14.88956953676421</c:v>
                </c:pt>
                <c:pt idx="245">
                  <c:v>15.328253264581399</c:v>
                </c:pt>
                <c:pt idx="246">
                  <c:v>15.02258741722525</c:v>
                </c:pt>
                <c:pt idx="247">
                  <c:v>14.825048398682267</c:v>
                </c:pt>
                <c:pt idx="248">
                  <c:v>14.296413204250431</c:v>
                </c:pt>
                <c:pt idx="249">
                  <c:v>13.896199757078602</c:v>
                </c:pt>
                <c:pt idx="250">
                  <c:v>14.350390028616012</c:v>
                </c:pt>
                <c:pt idx="251">
                  <c:v>14.350390028616012</c:v>
                </c:pt>
                <c:pt idx="252">
                  <c:v>14.350390028616012</c:v>
                </c:pt>
                <c:pt idx="253">
                  <c:v>15.049904861989113</c:v>
                </c:pt>
                <c:pt idx="254">
                  <c:v>15.108608282101416</c:v>
                </c:pt>
                <c:pt idx="255">
                  <c:v>15.637307369222354</c:v>
                </c:pt>
                <c:pt idx="256">
                  <c:v>15.637307369222354</c:v>
                </c:pt>
                <c:pt idx="257">
                  <c:v>15.637307369222354</c:v>
                </c:pt>
                <c:pt idx="258">
                  <c:v>15.637307369222354</c:v>
                </c:pt>
                <c:pt idx="259">
                  <c:v>14.578190401014478</c:v>
                </c:pt>
                <c:pt idx="260">
                  <c:v>14.946279460611336</c:v>
                </c:pt>
                <c:pt idx="261">
                  <c:v>14.655051390435897</c:v>
                </c:pt>
                <c:pt idx="262">
                  <c:v>14.925351237229506</c:v>
                </c:pt>
                <c:pt idx="263">
                  <c:v>14.925351237229506</c:v>
                </c:pt>
                <c:pt idx="264">
                  <c:v>14.46247756316972</c:v>
                </c:pt>
                <c:pt idx="265">
                  <c:v>14.695680212892579</c:v>
                </c:pt>
                <c:pt idx="266">
                  <c:v>14.695680212892579</c:v>
                </c:pt>
                <c:pt idx="267">
                  <c:v>14.868130265468816</c:v>
                </c:pt>
                <c:pt idx="268">
                  <c:v>14.706498599616124</c:v>
                </c:pt>
                <c:pt idx="269">
                  <c:v>15.851566908863537</c:v>
                </c:pt>
                <c:pt idx="270">
                  <c:v>16.15870279496492</c:v>
                </c:pt>
                <c:pt idx="271">
                  <c:v>15.987881587828392</c:v>
                </c:pt>
                <c:pt idx="272">
                  <c:v>16.150290922423157</c:v>
                </c:pt>
                <c:pt idx="273">
                  <c:v>16.150290922423157</c:v>
                </c:pt>
                <c:pt idx="274">
                  <c:v>15.54604425425058</c:v>
                </c:pt>
                <c:pt idx="275">
                  <c:v>15.884848968055291</c:v>
                </c:pt>
                <c:pt idx="276">
                  <c:v>15.524881415834647</c:v>
                </c:pt>
                <c:pt idx="277">
                  <c:v>15.524881415834647</c:v>
                </c:pt>
                <c:pt idx="278">
                  <c:v>15.860021591856096</c:v>
                </c:pt>
                <c:pt idx="279">
                  <c:v>15.931552350082134</c:v>
                </c:pt>
                <c:pt idx="280">
                  <c:v>15.931552350082134</c:v>
                </c:pt>
                <c:pt idx="281">
                  <c:v>15.931552350082134</c:v>
                </c:pt>
                <c:pt idx="282">
                  <c:v>16.422424478148169</c:v>
                </c:pt>
                <c:pt idx="283">
                  <c:v>15.098584815700914</c:v>
                </c:pt>
                <c:pt idx="284">
                  <c:v>15.098584815700914</c:v>
                </c:pt>
                <c:pt idx="285">
                  <c:v>14.275619548723203</c:v>
                </c:pt>
                <c:pt idx="286">
                  <c:v>14.275619548723203</c:v>
                </c:pt>
                <c:pt idx="287">
                  <c:v>14.32340417224137</c:v>
                </c:pt>
                <c:pt idx="288">
                  <c:v>14.32340417224137</c:v>
                </c:pt>
                <c:pt idx="289">
                  <c:v>13.871340030310286</c:v>
                </c:pt>
                <c:pt idx="290">
                  <c:v>13.871340030310286</c:v>
                </c:pt>
                <c:pt idx="291">
                  <c:v>14.873803225590116</c:v>
                </c:pt>
                <c:pt idx="292">
                  <c:v>14.080984002343399</c:v>
                </c:pt>
                <c:pt idx="293">
                  <c:v>14.080984002343399</c:v>
                </c:pt>
                <c:pt idx="294">
                  <c:v>12.227524814610586</c:v>
                </c:pt>
                <c:pt idx="295">
                  <c:v>12.227524814610586</c:v>
                </c:pt>
                <c:pt idx="296">
                  <c:v>11.032720426928414</c:v>
                </c:pt>
                <c:pt idx="297">
                  <c:v>11.032720426928414</c:v>
                </c:pt>
                <c:pt idx="298">
                  <c:v>10.458007783250252</c:v>
                </c:pt>
                <c:pt idx="299">
                  <c:v>10.458007783250252</c:v>
                </c:pt>
                <c:pt idx="300">
                  <c:v>10.458007783250252</c:v>
                </c:pt>
                <c:pt idx="301">
                  <c:v>10.458007783250252</c:v>
                </c:pt>
                <c:pt idx="302">
                  <c:v>10.449285693936057</c:v>
                </c:pt>
                <c:pt idx="303">
                  <c:v>10.449285693936057</c:v>
                </c:pt>
                <c:pt idx="304">
                  <c:v>10.449285693936057</c:v>
                </c:pt>
                <c:pt idx="305">
                  <c:v>10.449285693936057</c:v>
                </c:pt>
                <c:pt idx="306">
                  <c:v>10.449285693936057</c:v>
                </c:pt>
                <c:pt idx="307">
                  <c:v>10.449285693936057</c:v>
                </c:pt>
                <c:pt idx="308">
                  <c:v>10.870693194989578</c:v>
                </c:pt>
                <c:pt idx="309">
                  <c:v>10.870693194989578</c:v>
                </c:pt>
                <c:pt idx="310">
                  <c:v>10.782916148687187</c:v>
                </c:pt>
                <c:pt idx="311">
                  <c:v>12.099477255888688</c:v>
                </c:pt>
                <c:pt idx="312">
                  <c:v>11.785944021365825</c:v>
                </c:pt>
                <c:pt idx="313">
                  <c:v>11.785944021365825</c:v>
                </c:pt>
                <c:pt idx="314">
                  <c:v>11.010750222916213</c:v>
                </c:pt>
                <c:pt idx="315">
                  <c:v>11.789566422293161</c:v>
                </c:pt>
                <c:pt idx="316">
                  <c:v>11.789566422293161</c:v>
                </c:pt>
                <c:pt idx="317">
                  <c:v>11.789566422293161</c:v>
                </c:pt>
                <c:pt idx="318">
                  <c:v>11.789566422293161</c:v>
                </c:pt>
                <c:pt idx="319">
                  <c:v>11.789566422293161</c:v>
                </c:pt>
                <c:pt idx="320">
                  <c:v>12.26553396286744</c:v>
                </c:pt>
                <c:pt idx="321">
                  <c:v>12.26553396286744</c:v>
                </c:pt>
                <c:pt idx="322">
                  <c:v>12.26553396286744</c:v>
                </c:pt>
                <c:pt idx="323">
                  <c:v>12.26553396286744</c:v>
                </c:pt>
                <c:pt idx="324">
                  <c:v>10.023640054306867</c:v>
                </c:pt>
                <c:pt idx="325">
                  <c:v>10.023640054306867</c:v>
                </c:pt>
                <c:pt idx="326">
                  <c:v>8.4303486496947038</c:v>
                </c:pt>
                <c:pt idx="327">
                  <c:v>8.4303486496947038</c:v>
                </c:pt>
                <c:pt idx="328">
                  <c:v>8.4303486496947038</c:v>
                </c:pt>
                <c:pt idx="329">
                  <c:v>8.4303486496947038</c:v>
                </c:pt>
                <c:pt idx="330">
                  <c:v>9.2700433061832523</c:v>
                </c:pt>
                <c:pt idx="331">
                  <c:v>9.2700433061832523</c:v>
                </c:pt>
                <c:pt idx="332">
                  <c:v>9.2700433061832523</c:v>
                </c:pt>
                <c:pt idx="333">
                  <c:v>9.2700433061832523</c:v>
                </c:pt>
                <c:pt idx="334">
                  <c:v>9.2700433061832523</c:v>
                </c:pt>
                <c:pt idx="335">
                  <c:v>9.2700433061832523</c:v>
                </c:pt>
                <c:pt idx="336">
                  <c:v>9.2700433061832523</c:v>
                </c:pt>
                <c:pt idx="337">
                  <c:v>11.312285252271353</c:v>
                </c:pt>
                <c:pt idx="338">
                  <c:v>11.312285252271353</c:v>
                </c:pt>
                <c:pt idx="339">
                  <c:v>11.312285252271353</c:v>
                </c:pt>
                <c:pt idx="340">
                  <c:v>11.312285252271353</c:v>
                </c:pt>
                <c:pt idx="341">
                  <c:v>11.312285252271353</c:v>
                </c:pt>
                <c:pt idx="342">
                  <c:v>11.741888845319588</c:v>
                </c:pt>
                <c:pt idx="343">
                  <c:v>11.741888845319588</c:v>
                </c:pt>
                <c:pt idx="344">
                  <c:v>11.741888845319588</c:v>
                </c:pt>
                <c:pt idx="345">
                  <c:v>11.741888845319588</c:v>
                </c:pt>
                <c:pt idx="346">
                  <c:v>11.36313721070727</c:v>
                </c:pt>
                <c:pt idx="347">
                  <c:v>11.36313721070727</c:v>
                </c:pt>
                <c:pt idx="348">
                  <c:v>11.258632706202768</c:v>
                </c:pt>
                <c:pt idx="349">
                  <c:v>11.258632706202768</c:v>
                </c:pt>
                <c:pt idx="350">
                  <c:v>12.383106140093243</c:v>
                </c:pt>
                <c:pt idx="351">
                  <c:v>12.383106140093243</c:v>
                </c:pt>
                <c:pt idx="352">
                  <c:v>12.383106140093243</c:v>
                </c:pt>
                <c:pt idx="353">
                  <c:v>12.383106140093243</c:v>
                </c:pt>
                <c:pt idx="354">
                  <c:v>12.383106140093243</c:v>
                </c:pt>
                <c:pt idx="355">
                  <c:v>12.383106140093243</c:v>
                </c:pt>
                <c:pt idx="356">
                  <c:v>12.383106140093243</c:v>
                </c:pt>
                <c:pt idx="357">
                  <c:v>16.104654240656334</c:v>
                </c:pt>
                <c:pt idx="358">
                  <c:v>16.104654240656334</c:v>
                </c:pt>
                <c:pt idx="359">
                  <c:v>16.104654240656334</c:v>
                </c:pt>
                <c:pt idx="360">
                  <c:v>16.104654240656334</c:v>
                </c:pt>
                <c:pt idx="361">
                  <c:v>16.104654240656334</c:v>
                </c:pt>
                <c:pt idx="362">
                  <c:v>16.104654240656334</c:v>
                </c:pt>
                <c:pt idx="363">
                  <c:v>16.104654240656334</c:v>
                </c:pt>
                <c:pt idx="364">
                  <c:v>16.104654240656334</c:v>
                </c:pt>
                <c:pt idx="365">
                  <c:v>15.467887906215578</c:v>
                </c:pt>
                <c:pt idx="366">
                  <c:v>9.693422578931072</c:v>
                </c:pt>
                <c:pt idx="367">
                  <c:v>8.7052084435466917</c:v>
                </c:pt>
                <c:pt idx="368">
                  <c:v>8.7052084435466917</c:v>
                </c:pt>
                <c:pt idx="369">
                  <c:v>8.7052084435466917</c:v>
                </c:pt>
                <c:pt idx="370">
                  <c:v>8.7052084435466917</c:v>
                </c:pt>
                <c:pt idx="371">
                  <c:v>8.7052084435466917</c:v>
                </c:pt>
                <c:pt idx="372">
                  <c:v>8.7052084435466917</c:v>
                </c:pt>
                <c:pt idx="373">
                  <c:v>8.7052084435466917</c:v>
                </c:pt>
                <c:pt idx="374">
                  <c:v>8.7052084435466917</c:v>
                </c:pt>
                <c:pt idx="375">
                  <c:v>8.7052084435466917</c:v>
                </c:pt>
                <c:pt idx="376">
                  <c:v>8.7052084435466917</c:v>
                </c:pt>
                <c:pt idx="377">
                  <c:v>8.7052084435466917</c:v>
                </c:pt>
                <c:pt idx="378">
                  <c:v>8.7052084435466917</c:v>
                </c:pt>
                <c:pt idx="379">
                  <c:v>8.7052084435466917</c:v>
                </c:pt>
                <c:pt idx="380">
                  <c:v>8.7052084435466917</c:v>
                </c:pt>
                <c:pt idx="381">
                  <c:v>8.7052084435466917</c:v>
                </c:pt>
                <c:pt idx="382">
                  <c:v>10.255596040445914</c:v>
                </c:pt>
                <c:pt idx="383">
                  <c:v>10.255596040445914</c:v>
                </c:pt>
                <c:pt idx="384">
                  <c:v>10.255596040445914</c:v>
                </c:pt>
                <c:pt idx="385">
                  <c:v>11.046846922413456</c:v>
                </c:pt>
                <c:pt idx="386">
                  <c:v>11.046846922413456</c:v>
                </c:pt>
                <c:pt idx="387">
                  <c:v>11.046846922413456</c:v>
                </c:pt>
                <c:pt idx="388">
                  <c:v>11.046846922413456</c:v>
                </c:pt>
                <c:pt idx="389">
                  <c:v>11.046846922413456</c:v>
                </c:pt>
                <c:pt idx="390">
                  <c:v>11.046846922413456</c:v>
                </c:pt>
                <c:pt idx="391">
                  <c:v>10.650254677995123</c:v>
                </c:pt>
                <c:pt idx="392">
                  <c:v>10.650254677995123</c:v>
                </c:pt>
                <c:pt idx="393">
                  <c:v>10.650254677995123</c:v>
                </c:pt>
                <c:pt idx="394">
                  <c:v>10.650254677995123</c:v>
                </c:pt>
                <c:pt idx="395">
                  <c:v>10.650254677995123</c:v>
                </c:pt>
                <c:pt idx="396">
                  <c:v>10.650254677995123</c:v>
                </c:pt>
                <c:pt idx="397">
                  <c:v>10.650254677995123</c:v>
                </c:pt>
                <c:pt idx="398">
                  <c:v>10.650254677995123</c:v>
                </c:pt>
                <c:pt idx="399">
                  <c:v>10.650254677995123</c:v>
                </c:pt>
                <c:pt idx="400">
                  <c:v>10.446704767557083</c:v>
                </c:pt>
                <c:pt idx="401">
                  <c:v>10.446704767557083</c:v>
                </c:pt>
                <c:pt idx="402">
                  <c:v>10.446704767557083</c:v>
                </c:pt>
                <c:pt idx="403">
                  <c:v>10.446704767557083</c:v>
                </c:pt>
                <c:pt idx="404">
                  <c:v>10.446704767557083</c:v>
                </c:pt>
                <c:pt idx="405">
                  <c:v>10.446704767557083</c:v>
                </c:pt>
                <c:pt idx="406">
                  <c:v>10.446704767557083</c:v>
                </c:pt>
                <c:pt idx="407">
                  <c:v>10.446704767557083</c:v>
                </c:pt>
                <c:pt idx="408">
                  <c:v>10.446704767557083</c:v>
                </c:pt>
                <c:pt idx="409">
                  <c:v>11.300021340753757</c:v>
                </c:pt>
                <c:pt idx="410">
                  <c:v>11.300021340753757</c:v>
                </c:pt>
                <c:pt idx="411">
                  <c:v>11.300021340753757</c:v>
                </c:pt>
                <c:pt idx="412">
                  <c:v>11.300021340753757</c:v>
                </c:pt>
                <c:pt idx="413">
                  <c:v>11.300021340753757</c:v>
                </c:pt>
                <c:pt idx="414">
                  <c:v>11.300021340753757</c:v>
                </c:pt>
                <c:pt idx="415">
                  <c:v>11.724411280215779</c:v>
                </c:pt>
                <c:pt idx="416">
                  <c:v>11.724411280215779</c:v>
                </c:pt>
                <c:pt idx="417">
                  <c:v>10.963955006451521</c:v>
                </c:pt>
                <c:pt idx="418">
                  <c:v>10.963955006451521</c:v>
                </c:pt>
              </c:numCache>
            </c:numRef>
          </c:val>
          <c:smooth val="0"/>
          <c:extLst>
            <c:ext xmlns:c16="http://schemas.microsoft.com/office/drawing/2014/chart" uri="{C3380CC4-5D6E-409C-BE32-E72D297353CC}">
              <c16:uniqueId val="{00000000-FF73-4450-9094-03216759BC07}"/>
            </c:ext>
          </c:extLst>
        </c:ser>
        <c:dLbls>
          <c:showLegendKey val="0"/>
          <c:showVal val="0"/>
          <c:showCatName val="0"/>
          <c:showSerName val="0"/>
          <c:showPercent val="0"/>
          <c:showBubbleSize val="0"/>
        </c:dLbls>
        <c:marker val="1"/>
        <c:smooth val="0"/>
        <c:axId val="323026480"/>
        <c:axId val="323025520"/>
      </c:lineChart>
      <c:catAx>
        <c:axId val="1238446752"/>
        <c:scaling>
          <c:orientation val="minMax"/>
        </c:scaling>
        <c:delete val="0"/>
        <c:axPos val="b"/>
        <c:numFmt formatCode="General" sourceLinked="1"/>
        <c:majorTickMark val="none"/>
        <c:minorTickMark val="none"/>
        <c:tickLblPos val="low"/>
        <c:spPr>
          <a:noFill/>
          <a:ln w="9525" cap="flat" cmpd="sng" algn="ctr">
            <a:solidFill>
              <a:sysClr val="windowText" lastClr="000000"/>
            </a:solidFill>
            <a:round/>
          </a:ln>
          <a:effectLst/>
        </c:spPr>
        <c:txPr>
          <a:bodyPr rot="-60000000" spcFirstLastPara="1" vertOverflow="ellipsis" vert="horz" wrap="square" anchor="ctr" anchorCtr="1"/>
          <a:lstStyle/>
          <a:p>
            <a:pPr>
              <a:defRPr sz="700" b="1" i="0" u="none" strike="noStrike" kern="1200" baseline="0">
                <a:solidFill>
                  <a:sysClr val="windowText" lastClr="000000"/>
                </a:solidFill>
                <a:latin typeface="+mn-lt"/>
                <a:ea typeface="+mn-ea"/>
                <a:cs typeface="+mn-cs"/>
              </a:defRPr>
            </a:pPr>
            <a:endParaRPr lang="en-US"/>
          </a:p>
        </c:txPr>
        <c:crossAx val="1238447232"/>
        <c:crosses val="autoZero"/>
        <c:auto val="1"/>
        <c:lblAlgn val="ctr"/>
        <c:lblOffset val="100"/>
        <c:noMultiLvlLbl val="0"/>
      </c:catAx>
      <c:valAx>
        <c:axId val="1238447232"/>
        <c:scaling>
          <c:orientation val="minMax"/>
          <c:max val="4"/>
          <c:min val="-4"/>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238446752"/>
        <c:crosses val="autoZero"/>
        <c:crossBetween val="between"/>
      </c:valAx>
      <c:valAx>
        <c:axId val="323025520"/>
        <c:scaling>
          <c:orientation val="minMax"/>
          <c:max val="20"/>
          <c:min val="-20"/>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323026480"/>
        <c:crosses val="max"/>
        <c:crossBetween val="between"/>
        <c:majorUnit val="6"/>
        <c:minorUnit val="3"/>
      </c:valAx>
      <c:catAx>
        <c:axId val="323026480"/>
        <c:scaling>
          <c:orientation val="minMax"/>
        </c:scaling>
        <c:delete val="1"/>
        <c:axPos val="b"/>
        <c:majorTickMark val="out"/>
        <c:minorTickMark val="none"/>
        <c:tickLblPos val="nextTo"/>
        <c:crossAx val="323025520"/>
        <c:crosses val="autoZero"/>
        <c:auto val="1"/>
        <c:lblAlgn val="ctr"/>
        <c:lblOffset val="100"/>
        <c:noMultiLvlLbl val="0"/>
      </c:catAx>
      <c:spPr>
        <a:gradFill>
          <a:gsLst>
            <a:gs pos="12000">
              <a:srgbClr val="00FF00">
                <a:alpha val="80000"/>
              </a:srgbClr>
            </a:gs>
            <a:gs pos="61000">
              <a:schemeClr val="bg1"/>
            </a:gs>
            <a:gs pos="47000">
              <a:schemeClr val="bg1"/>
            </a:gs>
            <a:gs pos="96000">
              <a:srgbClr val="FF4D4D"/>
            </a:gs>
            <a:gs pos="0">
              <a:srgbClr val="00B050">
                <a:alpha val="85000"/>
              </a:srgbClr>
            </a:gs>
            <a:gs pos="92000">
              <a:srgbClr val="FF9999">
                <a:alpha val="80000"/>
              </a:srgbClr>
            </a:gs>
          </a:gsLst>
          <a:lin ang="5400000" scaled="1"/>
        </a:gradFill>
        <a:ln>
          <a:solidFill>
            <a:sysClr val="windowText" lastClr="000000"/>
          </a:solidFill>
        </a:ln>
        <a:effectLst/>
      </c:spPr>
    </c:plotArea>
    <c:plotVisOnly val="0"/>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SIDEWAYS</a:t>
            </a:r>
            <a:r>
              <a:rPr lang="en-US" b="1" baseline="0">
                <a:solidFill>
                  <a:sysClr val="windowText" lastClr="000000"/>
                </a:solidFill>
              </a:rPr>
              <a:t> TRENDS -- </a:t>
            </a:r>
            <a:r>
              <a:rPr lang="en-US" b="1">
                <a:solidFill>
                  <a:sysClr val="windowText" lastClr="000000"/>
                </a:solidFill>
              </a:rPr>
              <a:t>Risk Units:  Wins and Losses Playing The</a:t>
            </a:r>
            <a:r>
              <a:rPr lang="en-US" b="1" baseline="0">
                <a:solidFill>
                  <a:sysClr val="windowText" lastClr="000000"/>
                </a:solidFill>
              </a:rPr>
              <a:t> Strategy </a:t>
            </a:r>
            <a:r>
              <a:rPr lang="en-US" sz="900" b="0" baseline="0">
                <a:solidFill>
                  <a:sysClr val="windowText" lastClr="000000"/>
                </a:solidFill>
              </a:rPr>
              <a:t>(Not Actuals)</a:t>
            </a:r>
            <a:endParaRPr lang="en-US" b="0">
              <a:solidFill>
                <a:sysClr val="windowText" lastClr="000000"/>
              </a:solidFill>
            </a:endParaRPr>
          </a:p>
        </c:rich>
      </c:tx>
      <c:layout>
        <c:manualLayout>
          <c:xMode val="edge"/>
          <c:yMode val="edge"/>
          <c:x val="0.33600538304804922"/>
          <c:y val="3.552981749374351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1.5236315094556608E-2"/>
          <c:y val="0.14653085515473357"/>
          <c:w val="0.9799160629047825"/>
          <c:h val="0.75341787218458156"/>
        </c:manualLayout>
      </c:layout>
      <c:barChart>
        <c:barDir val="col"/>
        <c:grouping val="clustered"/>
        <c:varyColors val="0"/>
        <c:ser>
          <c:idx val="0"/>
          <c:order val="0"/>
          <c:tx>
            <c:v>R per Trade</c:v>
          </c:tx>
          <c:spPr>
            <a:solidFill>
              <a:srgbClr val="00B050"/>
            </a:solidFill>
            <a:ln>
              <a:solidFill>
                <a:sysClr val="windowText" lastClr="000000"/>
              </a:solidFill>
            </a:ln>
            <a:effectLst/>
          </c:spPr>
          <c:invertIfNegative val="1"/>
          <c:val>
            <c:numRef>
              <c:f>'2025-Q2'!$CG$4:$CG$422</c:f>
              <c:numCache>
                <c:formatCode>0.0</c:formatCode>
                <c:ptCount val="419"/>
                <c:pt idx="0">
                  <c:v>0</c:v>
                </c:pt>
                <c:pt idx="1">
                  <c:v>0</c:v>
                </c:pt>
                <c:pt idx="2">
                  <c:v>-5.8708702097371709E-2</c:v>
                </c:pt>
                <c:pt idx="3">
                  <c:v>-0.41461997570379494</c:v>
                </c:pt>
                <c:pt idx="4">
                  <c:v>-0.20591226313297187</c:v>
                </c:pt>
                <c:pt idx="5">
                  <c:v>-0.65265631118652934</c:v>
                </c:pt>
                <c:pt idx="6">
                  <c:v>-0.57703133796209216</c:v>
                </c:pt>
                <c:pt idx="7">
                  <c:v>-0.12754541056428245</c:v>
                </c:pt>
                <c:pt idx="8">
                  <c:v>0.52449909662109329</c:v>
                </c:pt>
                <c:pt idx="9">
                  <c:v>0</c:v>
                </c:pt>
                <c:pt idx="10">
                  <c:v>0.25572076347147576</c:v>
                </c:pt>
                <c:pt idx="11">
                  <c:v>0.51358967366602826</c:v>
                </c:pt>
                <c:pt idx="12">
                  <c:v>0</c:v>
                </c:pt>
                <c:pt idx="13">
                  <c:v>0.1446834240304033</c:v>
                </c:pt>
                <c:pt idx="14">
                  <c:v>0</c:v>
                </c:pt>
                <c:pt idx="15">
                  <c:v>0.65547263681592127</c:v>
                </c:pt>
                <c:pt idx="16">
                  <c:v>0</c:v>
                </c:pt>
                <c:pt idx="17">
                  <c:v>0</c:v>
                </c:pt>
                <c:pt idx="18">
                  <c:v>-5.540166204986359E-2</c:v>
                </c:pt>
                <c:pt idx="19">
                  <c:v>0.4588549094174173</c:v>
                </c:pt>
                <c:pt idx="20">
                  <c:v>0.40922321023258257</c:v>
                </c:pt>
                <c:pt idx="21">
                  <c:v>0.29396496565378466</c:v>
                </c:pt>
                <c:pt idx="22">
                  <c:v>0</c:v>
                </c:pt>
                <c:pt idx="23">
                  <c:v>-0.11131725417439868</c:v>
                </c:pt>
                <c:pt idx="24">
                  <c:v>-0.86441458411821259</c:v>
                </c:pt>
                <c:pt idx="25">
                  <c:v>-2.9368362277223206</c:v>
                </c:pt>
                <c:pt idx="26">
                  <c:v>0</c:v>
                </c:pt>
                <c:pt idx="27">
                  <c:v>0</c:v>
                </c:pt>
                <c:pt idx="28">
                  <c:v>0</c:v>
                </c:pt>
                <c:pt idx="29">
                  <c:v>0.43262879788639569</c:v>
                </c:pt>
                <c:pt idx="30">
                  <c:v>0</c:v>
                </c:pt>
                <c:pt idx="31">
                  <c:v>0</c:v>
                </c:pt>
                <c:pt idx="32">
                  <c:v>0</c:v>
                </c:pt>
                <c:pt idx="33">
                  <c:v>1.9769096947663419E-3</c:v>
                </c:pt>
                <c:pt idx="34">
                  <c:v>-0.90423079140007756</c:v>
                </c:pt>
                <c:pt idx="35">
                  <c:v>-0.82128514056224966</c:v>
                </c:pt>
                <c:pt idx="36">
                  <c:v>0</c:v>
                </c:pt>
                <c:pt idx="37">
                  <c:v>0.2019888129272854</c:v>
                </c:pt>
                <c:pt idx="38">
                  <c:v>0.19475247422998271</c:v>
                </c:pt>
                <c:pt idx="39">
                  <c:v>0</c:v>
                </c:pt>
                <c:pt idx="40">
                  <c:v>0</c:v>
                </c:pt>
                <c:pt idx="41">
                  <c:v>0</c:v>
                </c:pt>
                <c:pt idx="42">
                  <c:v>0</c:v>
                </c:pt>
                <c:pt idx="43">
                  <c:v>0.76161106438650539</c:v>
                </c:pt>
                <c:pt idx="44">
                  <c:v>-0.36493516577374024</c:v>
                </c:pt>
                <c:pt idx="45">
                  <c:v>-1.0181892231942513E-2</c:v>
                </c:pt>
                <c:pt idx="46">
                  <c:v>0</c:v>
                </c:pt>
                <c:pt idx="47">
                  <c:v>0</c:v>
                </c:pt>
                <c:pt idx="48">
                  <c:v>0</c:v>
                </c:pt>
                <c:pt idx="49">
                  <c:v>-1.5316101067766166</c:v>
                </c:pt>
                <c:pt idx="50">
                  <c:v>-0.83172699364602887</c:v>
                </c:pt>
                <c:pt idx="51">
                  <c:v>0.95104026224654503</c:v>
                </c:pt>
                <c:pt idx="52">
                  <c:v>0</c:v>
                </c:pt>
                <c:pt idx="53">
                  <c:v>0.4926597949853756</c:v>
                </c:pt>
                <c:pt idx="54">
                  <c:v>0.74013730486972718</c:v>
                </c:pt>
                <c:pt idx="55">
                  <c:v>0</c:v>
                </c:pt>
                <c:pt idx="56">
                  <c:v>-0.67778936392075173</c:v>
                </c:pt>
                <c:pt idx="57">
                  <c:v>0</c:v>
                </c:pt>
                <c:pt idx="58">
                  <c:v>0.66588327457892682</c:v>
                </c:pt>
                <c:pt idx="59">
                  <c:v>1.1829222170861893</c:v>
                </c:pt>
                <c:pt idx="60">
                  <c:v>0.50099512730766804</c:v>
                </c:pt>
                <c:pt idx="61">
                  <c:v>1.429652119688003</c:v>
                </c:pt>
                <c:pt idx="62">
                  <c:v>2.6032953105196457</c:v>
                </c:pt>
                <c:pt idx="63">
                  <c:v>0.94042712626451763</c:v>
                </c:pt>
                <c:pt idx="64">
                  <c:v>-0.26273491592482923</c:v>
                </c:pt>
                <c:pt idx="65">
                  <c:v>1.1772910000820407</c:v>
                </c:pt>
                <c:pt idx="66">
                  <c:v>0</c:v>
                </c:pt>
                <c:pt idx="67">
                  <c:v>0</c:v>
                </c:pt>
                <c:pt idx="68">
                  <c:v>0</c:v>
                </c:pt>
                <c:pt idx="69">
                  <c:v>0</c:v>
                </c:pt>
                <c:pt idx="70">
                  <c:v>0</c:v>
                </c:pt>
                <c:pt idx="71">
                  <c:v>0</c:v>
                </c:pt>
                <c:pt idx="72">
                  <c:v>1.1508306163639201</c:v>
                </c:pt>
                <c:pt idx="73">
                  <c:v>-0.19226103833090941</c:v>
                </c:pt>
                <c:pt idx="74">
                  <c:v>0.86796422935297268</c:v>
                </c:pt>
                <c:pt idx="75">
                  <c:v>-0.50699006232103838</c:v>
                </c:pt>
                <c:pt idx="76">
                  <c:v>1.367071968452185</c:v>
                </c:pt>
                <c:pt idx="77">
                  <c:v>-0.28447777342511454</c:v>
                </c:pt>
                <c:pt idx="78">
                  <c:v>-0.97122644071478859</c:v>
                </c:pt>
                <c:pt idx="79">
                  <c:v>0</c:v>
                </c:pt>
                <c:pt idx="80">
                  <c:v>0.15039649986327858</c:v>
                </c:pt>
                <c:pt idx="81">
                  <c:v>0</c:v>
                </c:pt>
                <c:pt idx="82">
                  <c:v>0</c:v>
                </c:pt>
                <c:pt idx="83">
                  <c:v>-0.56818181818181868</c:v>
                </c:pt>
                <c:pt idx="84">
                  <c:v>-1.847075080608015</c:v>
                </c:pt>
                <c:pt idx="85">
                  <c:v>0</c:v>
                </c:pt>
                <c:pt idx="86">
                  <c:v>-0.5259558720006432</c:v>
                </c:pt>
                <c:pt idx="87">
                  <c:v>0</c:v>
                </c:pt>
                <c:pt idx="88">
                  <c:v>0</c:v>
                </c:pt>
                <c:pt idx="89">
                  <c:v>-0.31746031746031877</c:v>
                </c:pt>
                <c:pt idx="90">
                  <c:v>0</c:v>
                </c:pt>
                <c:pt idx="91">
                  <c:v>0</c:v>
                </c:pt>
                <c:pt idx="92">
                  <c:v>0</c:v>
                </c:pt>
                <c:pt idx="93">
                  <c:v>-0.85781897061723633</c:v>
                </c:pt>
                <c:pt idx="94">
                  <c:v>-0.63821260394750068</c:v>
                </c:pt>
                <c:pt idx="95">
                  <c:v>0</c:v>
                </c:pt>
                <c:pt idx="96">
                  <c:v>0</c:v>
                </c:pt>
                <c:pt idx="97">
                  <c:v>0</c:v>
                </c:pt>
                <c:pt idx="98">
                  <c:v>0</c:v>
                </c:pt>
                <c:pt idx="99">
                  <c:v>-0.64482949600443118</c:v>
                </c:pt>
                <c:pt idx="100">
                  <c:v>0</c:v>
                </c:pt>
                <c:pt idx="101">
                  <c:v>-0.45941081746708345</c:v>
                </c:pt>
                <c:pt idx="102">
                  <c:v>-1.9262478233399594E-2</c:v>
                </c:pt>
                <c:pt idx="103">
                  <c:v>0</c:v>
                </c:pt>
                <c:pt idx="104">
                  <c:v>-2.5159342502514902E-2</c:v>
                </c:pt>
                <c:pt idx="105">
                  <c:v>0</c:v>
                </c:pt>
                <c:pt idx="106">
                  <c:v>0</c:v>
                </c:pt>
                <c:pt idx="107">
                  <c:v>-1.3649759578098331</c:v>
                </c:pt>
                <c:pt idx="108">
                  <c:v>0.58111929976672605</c:v>
                </c:pt>
                <c:pt idx="109">
                  <c:v>-0.54482650337572458</c:v>
                </c:pt>
                <c:pt idx="110">
                  <c:v>0</c:v>
                </c:pt>
                <c:pt idx="111">
                  <c:v>0</c:v>
                </c:pt>
                <c:pt idx="112">
                  <c:v>0.43154369624010203</c:v>
                </c:pt>
                <c:pt idx="113">
                  <c:v>0.62371791317846614</c:v>
                </c:pt>
                <c:pt idx="114">
                  <c:v>0.50161812297734587</c:v>
                </c:pt>
                <c:pt idx="115">
                  <c:v>1.2013041879143926</c:v>
                </c:pt>
                <c:pt idx="116">
                  <c:v>0</c:v>
                </c:pt>
                <c:pt idx="117">
                  <c:v>0</c:v>
                </c:pt>
                <c:pt idx="118">
                  <c:v>1.0230367262824782</c:v>
                </c:pt>
                <c:pt idx="119">
                  <c:v>-0.43471555529851669</c:v>
                </c:pt>
                <c:pt idx="120">
                  <c:v>0</c:v>
                </c:pt>
                <c:pt idx="121">
                  <c:v>0</c:v>
                </c:pt>
                <c:pt idx="122">
                  <c:v>-1.0445682451253449</c:v>
                </c:pt>
                <c:pt idx="123">
                  <c:v>-0.3168974233221426</c:v>
                </c:pt>
                <c:pt idx="124">
                  <c:v>0</c:v>
                </c:pt>
                <c:pt idx="125">
                  <c:v>0.22747952684258282</c:v>
                </c:pt>
                <c:pt idx="126">
                  <c:v>0.41606952984143125</c:v>
                </c:pt>
                <c:pt idx="127">
                  <c:v>0</c:v>
                </c:pt>
                <c:pt idx="128">
                  <c:v>0.22563176895306858</c:v>
                </c:pt>
                <c:pt idx="129">
                  <c:v>0</c:v>
                </c:pt>
                <c:pt idx="130">
                  <c:v>-0.56184668989546904</c:v>
                </c:pt>
                <c:pt idx="131">
                  <c:v>0</c:v>
                </c:pt>
                <c:pt idx="132">
                  <c:v>-0.4692351114874424</c:v>
                </c:pt>
                <c:pt idx="133">
                  <c:v>0</c:v>
                </c:pt>
                <c:pt idx="134">
                  <c:v>0</c:v>
                </c:pt>
                <c:pt idx="135">
                  <c:v>0</c:v>
                </c:pt>
                <c:pt idx="136">
                  <c:v>0</c:v>
                </c:pt>
                <c:pt idx="137">
                  <c:v>0</c:v>
                </c:pt>
                <c:pt idx="138">
                  <c:v>0</c:v>
                </c:pt>
                <c:pt idx="139">
                  <c:v>0</c:v>
                </c:pt>
                <c:pt idx="140">
                  <c:v>-0.13929516645772541</c:v>
                </c:pt>
                <c:pt idx="141">
                  <c:v>0</c:v>
                </c:pt>
                <c:pt idx="142">
                  <c:v>0</c:v>
                </c:pt>
                <c:pt idx="143">
                  <c:v>0</c:v>
                </c:pt>
                <c:pt idx="144">
                  <c:v>0</c:v>
                </c:pt>
                <c:pt idx="145">
                  <c:v>0</c:v>
                </c:pt>
                <c:pt idx="146">
                  <c:v>0</c:v>
                </c:pt>
                <c:pt idx="147">
                  <c:v>0</c:v>
                </c:pt>
                <c:pt idx="148">
                  <c:v>1.1742424242424243</c:v>
                </c:pt>
                <c:pt idx="149">
                  <c:v>1.009857752946089</c:v>
                </c:pt>
                <c:pt idx="150">
                  <c:v>-0.23991119704945049</c:v>
                </c:pt>
                <c:pt idx="151">
                  <c:v>1.1305147058823555</c:v>
                </c:pt>
                <c:pt idx="152">
                  <c:v>0</c:v>
                </c:pt>
                <c:pt idx="153">
                  <c:v>-1.6656845413474741</c:v>
                </c:pt>
                <c:pt idx="154">
                  <c:v>-0.345514171937222</c:v>
                </c:pt>
                <c:pt idx="155">
                  <c:v>-0.71797092037377741</c:v>
                </c:pt>
                <c:pt idx="156">
                  <c:v>0</c:v>
                </c:pt>
                <c:pt idx="157">
                  <c:v>0.5578800557880037</c:v>
                </c:pt>
                <c:pt idx="158">
                  <c:v>0.43467905204239599</c:v>
                </c:pt>
                <c:pt idx="159">
                  <c:v>-2.254057798891528</c:v>
                </c:pt>
                <c:pt idx="160">
                  <c:v>0.6143691292206116</c:v>
                </c:pt>
                <c:pt idx="161">
                  <c:v>1.0794536642678805</c:v>
                </c:pt>
                <c:pt idx="162">
                  <c:v>0</c:v>
                </c:pt>
                <c:pt idx="163">
                  <c:v>0</c:v>
                </c:pt>
                <c:pt idx="164">
                  <c:v>0.42344393840815459</c:v>
                </c:pt>
                <c:pt idx="165">
                  <c:v>0.96999019164026024</c:v>
                </c:pt>
                <c:pt idx="166">
                  <c:v>-0.12892106170286141</c:v>
                </c:pt>
                <c:pt idx="167">
                  <c:v>-0.28344096200876656</c:v>
                </c:pt>
                <c:pt idx="168">
                  <c:v>0</c:v>
                </c:pt>
                <c:pt idx="169">
                  <c:v>-2.2569797097521896E-2</c:v>
                </c:pt>
                <c:pt idx="170">
                  <c:v>0</c:v>
                </c:pt>
                <c:pt idx="171">
                  <c:v>-1.4796668299853017</c:v>
                </c:pt>
                <c:pt idx="172">
                  <c:v>0</c:v>
                </c:pt>
                <c:pt idx="173">
                  <c:v>0.5196657835744859</c:v>
                </c:pt>
                <c:pt idx="174">
                  <c:v>0</c:v>
                </c:pt>
                <c:pt idx="175">
                  <c:v>1.511663209026969</c:v>
                </c:pt>
                <c:pt idx="176">
                  <c:v>0</c:v>
                </c:pt>
                <c:pt idx="177">
                  <c:v>1.3076806314511247</c:v>
                </c:pt>
                <c:pt idx="178">
                  <c:v>0</c:v>
                </c:pt>
                <c:pt idx="179">
                  <c:v>0</c:v>
                </c:pt>
                <c:pt idx="180">
                  <c:v>-0.4876702245123325</c:v>
                </c:pt>
                <c:pt idx="181">
                  <c:v>-0.31083555958801756</c:v>
                </c:pt>
                <c:pt idx="182">
                  <c:v>0.71134067328168049</c:v>
                </c:pt>
                <c:pt idx="183">
                  <c:v>0.56301219590888707</c:v>
                </c:pt>
                <c:pt idx="184">
                  <c:v>0</c:v>
                </c:pt>
                <c:pt idx="185">
                  <c:v>0</c:v>
                </c:pt>
                <c:pt idx="186">
                  <c:v>0</c:v>
                </c:pt>
                <c:pt idx="187">
                  <c:v>0.4621478873239438</c:v>
                </c:pt>
                <c:pt idx="188">
                  <c:v>0</c:v>
                </c:pt>
                <c:pt idx="189">
                  <c:v>0</c:v>
                </c:pt>
                <c:pt idx="190">
                  <c:v>0.68383900088237481</c:v>
                </c:pt>
                <c:pt idx="191">
                  <c:v>0</c:v>
                </c:pt>
                <c:pt idx="192">
                  <c:v>-0.3199609121139243</c:v>
                </c:pt>
                <c:pt idx="193">
                  <c:v>0</c:v>
                </c:pt>
                <c:pt idx="194">
                  <c:v>0</c:v>
                </c:pt>
                <c:pt idx="195">
                  <c:v>0.12620004772656351</c:v>
                </c:pt>
                <c:pt idx="196">
                  <c:v>5.8995973676849701E-2</c:v>
                </c:pt>
                <c:pt idx="197">
                  <c:v>0</c:v>
                </c:pt>
                <c:pt idx="198">
                  <c:v>0</c:v>
                </c:pt>
                <c:pt idx="199">
                  <c:v>0</c:v>
                </c:pt>
                <c:pt idx="200">
                  <c:v>0</c:v>
                </c:pt>
                <c:pt idx="201">
                  <c:v>0</c:v>
                </c:pt>
                <c:pt idx="202">
                  <c:v>0.25810112495730464</c:v>
                </c:pt>
                <c:pt idx="203">
                  <c:v>0</c:v>
                </c:pt>
                <c:pt idx="204">
                  <c:v>0.34836459014686444</c:v>
                </c:pt>
                <c:pt idx="205">
                  <c:v>-1.0662036104959396</c:v>
                </c:pt>
                <c:pt idx="206">
                  <c:v>1.3686967910936489</c:v>
                </c:pt>
                <c:pt idx="207">
                  <c:v>0</c:v>
                </c:pt>
                <c:pt idx="208">
                  <c:v>-0.16314816998859988</c:v>
                </c:pt>
                <c:pt idx="209">
                  <c:v>0</c:v>
                </c:pt>
                <c:pt idx="210">
                  <c:v>-1.0187811706249894</c:v>
                </c:pt>
                <c:pt idx="211">
                  <c:v>-0.58064705925615478</c:v>
                </c:pt>
                <c:pt idx="212">
                  <c:v>-0.17165763727649724</c:v>
                </c:pt>
                <c:pt idx="213">
                  <c:v>0</c:v>
                </c:pt>
                <c:pt idx="214">
                  <c:v>0</c:v>
                </c:pt>
                <c:pt idx="215">
                  <c:v>0</c:v>
                </c:pt>
                <c:pt idx="216">
                  <c:v>1.4465597361714904</c:v>
                </c:pt>
                <c:pt idx="217">
                  <c:v>0</c:v>
                </c:pt>
                <c:pt idx="218">
                  <c:v>0</c:v>
                </c:pt>
                <c:pt idx="219">
                  <c:v>1.5670732401744727</c:v>
                </c:pt>
                <c:pt idx="220">
                  <c:v>0</c:v>
                </c:pt>
                <c:pt idx="221">
                  <c:v>0.54412318022633399</c:v>
                </c:pt>
                <c:pt idx="222">
                  <c:v>0</c:v>
                </c:pt>
                <c:pt idx="223">
                  <c:v>0</c:v>
                </c:pt>
                <c:pt idx="224">
                  <c:v>0.36151787643568178</c:v>
                </c:pt>
                <c:pt idx="225">
                  <c:v>0</c:v>
                </c:pt>
                <c:pt idx="226">
                  <c:v>-1.7709288281602413</c:v>
                </c:pt>
                <c:pt idx="227">
                  <c:v>0</c:v>
                </c:pt>
                <c:pt idx="228">
                  <c:v>-4.4564471420814608E-3</c:v>
                </c:pt>
                <c:pt idx="229">
                  <c:v>-4.329539831766533E-2</c:v>
                </c:pt>
                <c:pt idx="230">
                  <c:v>0</c:v>
                </c:pt>
                <c:pt idx="231">
                  <c:v>-0.5648790549409306</c:v>
                </c:pt>
                <c:pt idx="232">
                  <c:v>0.66978340259413105</c:v>
                </c:pt>
                <c:pt idx="233">
                  <c:v>0.45340287076843733</c:v>
                </c:pt>
                <c:pt idx="234">
                  <c:v>0</c:v>
                </c:pt>
                <c:pt idx="235">
                  <c:v>0</c:v>
                </c:pt>
                <c:pt idx="236">
                  <c:v>0</c:v>
                </c:pt>
                <c:pt idx="237">
                  <c:v>-4.811267112802279E-2</c:v>
                </c:pt>
                <c:pt idx="238">
                  <c:v>-1.7034033409579299</c:v>
                </c:pt>
                <c:pt idx="239">
                  <c:v>4.3145018019390309E-2</c:v>
                </c:pt>
                <c:pt idx="240">
                  <c:v>0</c:v>
                </c:pt>
                <c:pt idx="241">
                  <c:v>0</c:v>
                </c:pt>
                <c:pt idx="242">
                  <c:v>0.10821941815633122</c:v>
                </c:pt>
                <c:pt idx="243">
                  <c:v>0</c:v>
                </c:pt>
                <c:pt idx="244">
                  <c:v>-0.82771654977684461</c:v>
                </c:pt>
                <c:pt idx="245">
                  <c:v>0</c:v>
                </c:pt>
                <c:pt idx="246">
                  <c:v>0</c:v>
                </c:pt>
                <c:pt idx="247">
                  <c:v>0</c:v>
                </c:pt>
                <c:pt idx="248">
                  <c:v>0</c:v>
                </c:pt>
                <c:pt idx="249">
                  <c:v>0</c:v>
                </c:pt>
                <c:pt idx="250">
                  <c:v>0</c:v>
                </c:pt>
                <c:pt idx="251">
                  <c:v>-0.87459560234687672</c:v>
                </c:pt>
                <c:pt idx="252">
                  <c:v>-0.50692012673003195</c:v>
                </c:pt>
                <c:pt idx="253">
                  <c:v>0</c:v>
                </c:pt>
                <c:pt idx="254">
                  <c:v>0</c:v>
                </c:pt>
                <c:pt idx="255">
                  <c:v>0</c:v>
                </c:pt>
                <c:pt idx="256">
                  <c:v>-0.13110455588331626</c:v>
                </c:pt>
                <c:pt idx="257">
                  <c:v>0</c:v>
                </c:pt>
                <c:pt idx="258">
                  <c:v>0</c:v>
                </c:pt>
                <c:pt idx="259">
                  <c:v>0</c:v>
                </c:pt>
                <c:pt idx="260">
                  <c:v>0</c:v>
                </c:pt>
                <c:pt idx="261">
                  <c:v>0</c:v>
                </c:pt>
                <c:pt idx="262">
                  <c:v>0</c:v>
                </c:pt>
                <c:pt idx="263">
                  <c:v>-0.26387470207694796</c:v>
                </c:pt>
                <c:pt idx="264">
                  <c:v>0</c:v>
                </c:pt>
                <c:pt idx="265">
                  <c:v>0</c:v>
                </c:pt>
                <c:pt idx="266">
                  <c:v>0.59786198622288289</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0.44147878542783081</c:v>
                </c:pt>
                <c:pt idx="281">
                  <c:v>-0.89787374683265297</c:v>
                </c:pt>
                <c:pt idx="282">
                  <c:v>0</c:v>
                </c:pt>
                <c:pt idx="283">
                  <c:v>0</c:v>
                </c:pt>
                <c:pt idx="284">
                  <c:v>-4.3787629994526137E-2</c:v>
                </c:pt>
                <c:pt idx="285">
                  <c:v>0</c:v>
                </c:pt>
                <c:pt idx="286">
                  <c:v>0.53480204342273285</c:v>
                </c:pt>
                <c:pt idx="287">
                  <c:v>0</c:v>
                </c:pt>
                <c:pt idx="288">
                  <c:v>1.7750115260488706</c:v>
                </c:pt>
                <c:pt idx="289">
                  <c:v>0</c:v>
                </c:pt>
                <c:pt idx="290">
                  <c:v>0</c:v>
                </c:pt>
                <c:pt idx="291">
                  <c:v>0</c:v>
                </c:pt>
                <c:pt idx="292">
                  <c:v>0</c:v>
                </c:pt>
                <c:pt idx="293">
                  <c:v>-0.7922637772340686</c:v>
                </c:pt>
                <c:pt idx="294">
                  <c:v>0</c:v>
                </c:pt>
                <c:pt idx="295">
                  <c:v>0</c:v>
                </c:pt>
                <c:pt idx="296">
                  <c:v>0</c:v>
                </c:pt>
                <c:pt idx="297">
                  <c:v>0</c:v>
                </c:pt>
                <c:pt idx="298">
                  <c:v>0</c:v>
                </c:pt>
                <c:pt idx="299">
                  <c:v>0</c:v>
                </c:pt>
                <c:pt idx="300">
                  <c:v>3.4217730048433377E-2</c:v>
                </c:pt>
                <c:pt idx="301">
                  <c:v>1.2340345396740982</c:v>
                </c:pt>
                <c:pt idx="302">
                  <c:v>0</c:v>
                </c:pt>
                <c:pt idx="303">
                  <c:v>0.57351685872812508</c:v>
                </c:pt>
                <c:pt idx="304">
                  <c:v>0</c:v>
                </c:pt>
                <c:pt idx="305">
                  <c:v>1.0444454162475778</c:v>
                </c:pt>
                <c:pt idx="306">
                  <c:v>2.2265427623629703</c:v>
                </c:pt>
                <c:pt idx="307">
                  <c:v>0.72706241996116772</c:v>
                </c:pt>
                <c:pt idx="308">
                  <c:v>0</c:v>
                </c:pt>
                <c:pt idx="309">
                  <c:v>0</c:v>
                </c:pt>
                <c:pt idx="310">
                  <c:v>0</c:v>
                </c:pt>
                <c:pt idx="311">
                  <c:v>0</c:v>
                </c:pt>
                <c:pt idx="312">
                  <c:v>0</c:v>
                </c:pt>
                <c:pt idx="313">
                  <c:v>0</c:v>
                </c:pt>
                <c:pt idx="314">
                  <c:v>0</c:v>
                </c:pt>
                <c:pt idx="315">
                  <c:v>0</c:v>
                </c:pt>
                <c:pt idx="316">
                  <c:v>0</c:v>
                </c:pt>
                <c:pt idx="317">
                  <c:v>0</c:v>
                </c:pt>
                <c:pt idx="318">
                  <c:v>-1.6174527092332893</c:v>
                </c:pt>
                <c:pt idx="319">
                  <c:v>2.3365758754863797</c:v>
                </c:pt>
                <c:pt idx="320">
                  <c:v>0</c:v>
                </c:pt>
                <c:pt idx="321">
                  <c:v>0.3255866172673153</c:v>
                </c:pt>
                <c:pt idx="322">
                  <c:v>0.33268297563660093</c:v>
                </c:pt>
                <c:pt idx="323">
                  <c:v>-1.6666666666666667</c:v>
                </c:pt>
                <c:pt idx="324">
                  <c:v>0</c:v>
                </c:pt>
                <c:pt idx="325">
                  <c:v>0.78838470319634701</c:v>
                </c:pt>
                <c:pt idx="326">
                  <c:v>0</c:v>
                </c:pt>
                <c:pt idx="327">
                  <c:v>-0.21579080985021629</c:v>
                </c:pt>
                <c:pt idx="328">
                  <c:v>-0.77626411389297933</c:v>
                </c:pt>
                <c:pt idx="329">
                  <c:v>0</c:v>
                </c:pt>
                <c:pt idx="330">
                  <c:v>0</c:v>
                </c:pt>
                <c:pt idx="331">
                  <c:v>0.33966495185331791</c:v>
                </c:pt>
                <c:pt idx="332">
                  <c:v>0.93772893772894006</c:v>
                </c:pt>
                <c:pt idx="333">
                  <c:v>0.48403763528580168</c:v>
                </c:pt>
                <c:pt idx="334">
                  <c:v>0</c:v>
                </c:pt>
                <c:pt idx="335">
                  <c:v>0.66499162479062179</c:v>
                </c:pt>
                <c:pt idx="336">
                  <c:v>-0.43547110055423727</c:v>
                </c:pt>
                <c:pt idx="337">
                  <c:v>0</c:v>
                </c:pt>
                <c:pt idx="338">
                  <c:v>0</c:v>
                </c:pt>
                <c:pt idx="339">
                  <c:v>-0.60276585598474031</c:v>
                </c:pt>
                <c:pt idx="340">
                  <c:v>-2.8457370972341036</c:v>
                </c:pt>
                <c:pt idx="341">
                  <c:v>0</c:v>
                </c:pt>
                <c:pt idx="342">
                  <c:v>0</c:v>
                </c:pt>
                <c:pt idx="343">
                  <c:v>0.30707997258685266</c:v>
                </c:pt>
                <c:pt idx="344">
                  <c:v>-0.91272301439691406</c:v>
                </c:pt>
                <c:pt idx="345">
                  <c:v>0</c:v>
                </c:pt>
                <c:pt idx="346">
                  <c:v>0</c:v>
                </c:pt>
                <c:pt idx="347">
                  <c:v>4.2453012234185669E-2</c:v>
                </c:pt>
                <c:pt idx="348">
                  <c:v>0</c:v>
                </c:pt>
                <c:pt idx="349">
                  <c:v>0</c:v>
                </c:pt>
                <c:pt idx="350">
                  <c:v>0</c:v>
                </c:pt>
                <c:pt idx="351">
                  <c:v>-0.32920059965155385</c:v>
                </c:pt>
                <c:pt idx="352">
                  <c:v>-5.7000570005699386E-2</c:v>
                </c:pt>
                <c:pt idx="353">
                  <c:v>0</c:v>
                </c:pt>
                <c:pt idx="354">
                  <c:v>0</c:v>
                </c:pt>
                <c:pt idx="355">
                  <c:v>-1.1334762585358096</c:v>
                </c:pt>
                <c:pt idx="356">
                  <c:v>-0.85723705901747582</c:v>
                </c:pt>
                <c:pt idx="357">
                  <c:v>0</c:v>
                </c:pt>
                <c:pt idx="358">
                  <c:v>0</c:v>
                </c:pt>
                <c:pt idx="359">
                  <c:v>0</c:v>
                </c:pt>
                <c:pt idx="360">
                  <c:v>-1.8668602442998738</c:v>
                </c:pt>
                <c:pt idx="361">
                  <c:v>0</c:v>
                </c:pt>
                <c:pt idx="362">
                  <c:v>1.8071012188659246</c:v>
                </c:pt>
                <c:pt idx="363">
                  <c:v>0</c:v>
                </c:pt>
                <c:pt idx="364">
                  <c:v>-0.28365136668385837</c:v>
                </c:pt>
                <c:pt idx="365">
                  <c:v>0</c:v>
                </c:pt>
                <c:pt idx="366">
                  <c:v>0</c:v>
                </c:pt>
                <c:pt idx="367">
                  <c:v>0</c:v>
                </c:pt>
                <c:pt idx="368">
                  <c:v>3.3830570902394128</c:v>
                </c:pt>
                <c:pt idx="369">
                  <c:v>0.38095855949368962</c:v>
                </c:pt>
                <c:pt idx="370">
                  <c:v>0</c:v>
                </c:pt>
                <c:pt idx="371">
                  <c:v>0.91981307024701553</c:v>
                </c:pt>
                <c:pt idx="372">
                  <c:v>-0.75112608532889003</c:v>
                </c:pt>
                <c:pt idx="373">
                  <c:v>0.91239778739778932</c:v>
                </c:pt>
                <c:pt idx="374">
                  <c:v>2.5847089487402264</c:v>
                </c:pt>
                <c:pt idx="375">
                  <c:v>-2.0741421568627452</c:v>
                </c:pt>
                <c:pt idx="376">
                  <c:v>-1.0760488453633184</c:v>
                </c:pt>
                <c:pt idx="377">
                  <c:v>2.4236996602555894</c:v>
                </c:pt>
                <c:pt idx="378">
                  <c:v>-2.3046941196407396</c:v>
                </c:pt>
                <c:pt idx="379">
                  <c:v>-0.40501553484243236</c:v>
                </c:pt>
                <c:pt idx="380">
                  <c:v>-0.73406040268455985</c:v>
                </c:pt>
                <c:pt idx="381">
                  <c:v>1.1882308562806481</c:v>
                </c:pt>
                <c:pt idx="382">
                  <c:v>0</c:v>
                </c:pt>
                <c:pt idx="383">
                  <c:v>2.4729520865533217</c:v>
                </c:pt>
                <c:pt idx="384">
                  <c:v>-0.16867611252896775</c:v>
                </c:pt>
                <c:pt idx="385">
                  <c:v>0</c:v>
                </c:pt>
                <c:pt idx="386">
                  <c:v>-2.5716251946828934</c:v>
                </c:pt>
                <c:pt idx="387">
                  <c:v>0</c:v>
                </c:pt>
                <c:pt idx="388">
                  <c:v>0</c:v>
                </c:pt>
                <c:pt idx="389">
                  <c:v>0</c:v>
                </c:pt>
                <c:pt idx="390">
                  <c:v>1.8322704031231958</c:v>
                </c:pt>
                <c:pt idx="391">
                  <c:v>0</c:v>
                </c:pt>
                <c:pt idx="392">
                  <c:v>0</c:v>
                </c:pt>
                <c:pt idx="393">
                  <c:v>-0.76542768644269643</c:v>
                </c:pt>
                <c:pt idx="394">
                  <c:v>1.3364173734258527</c:v>
                </c:pt>
                <c:pt idx="395">
                  <c:v>-2.0175438596491229</c:v>
                </c:pt>
                <c:pt idx="396">
                  <c:v>0</c:v>
                </c:pt>
                <c:pt idx="397">
                  <c:v>1.3943847748257028</c:v>
                </c:pt>
                <c:pt idx="398">
                  <c:v>0</c:v>
                </c:pt>
                <c:pt idx="399">
                  <c:v>0</c:v>
                </c:pt>
                <c:pt idx="400">
                  <c:v>0</c:v>
                </c:pt>
                <c:pt idx="401">
                  <c:v>-1.3966702427782418</c:v>
                </c:pt>
                <c:pt idx="402">
                  <c:v>-2.8919985647649811</c:v>
                </c:pt>
                <c:pt idx="403">
                  <c:v>0</c:v>
                </c:pt>
                <c:pt idx="404">
                  <c:v>2.1523367251701586</c:v>
                </c:pt>
                <c:pt idx="405">
                  <c:v>0</c:v>
                </c:pt>
                <c:pt idx="406">
                  <c:v>-2.2435236720951033</c:v>
                </c:pt>
                <c:pt idx="407">
                  <c:v>0</c:v>
                </c:pt>
                <c:pt idx="408">
                  <c:v>0</c:v>
                </c:pt>
                <c:pt idx="409">
                  <c:v>0</c:v>
                </c:pt>
                <c:pt idx="410">
                  <c:v>0.79182748269313297</c:v>
                </c:pt>
                <c:pt idx="411">
                  <c:v>0</c:v>
                </c:pt>
                <c:pt idx="412">
                  <c:v>0</c:v>
                </c:pt>
                <c:pt idx="413">
                  <c:v>5.3552769070010345E-2</c:v>
                </c:pt>
                <c:pt idx="414">
                  <c:v>0.71408763172490519</c:v>
                </c:pt>
                <c:pt idx="415">
                  <c:v>0</c:v>
                </c:pt>
                <c:pt idx="416">
                  <c:v>0</c:v>
                </c:pt>
                <c:pt idx="417">
                  <c:v>0</c:v>
                </c:pt>
                <c:pt idx="418">
                  <c:v>1.9320967913868488</c:v>
                </c:pt>
              </c:numCache>
            </c:numRef>
          </c:val>
          <c:extLst>
            <c:ext xmlns:c14="http://schemas.microsoft.com/office/drawing/2007/8/2/chart" uri="{6F2FDCE9-48DA-4B69-8628-5D25D57E5C99}">
              <c14:invertSolidFillFmt>
                <c14:spPr xmlns:c14="http://schemas.microsoft.com/office/drawing/2007/8/2/chart">
                  <a:solidFill>
                    <a:srgbClr val="FF9999"/>
                  </a:solidFill>
                  <a:ln>
                    <a:solidFill>
                      <a:sysClr val="windowText" lastClr="000000"/>
                    </a:solidFill>
                  </a:ln>
                  <a:effectLst/>
                </c14:spPr>
              </c14:invertSolidFillFmt>
            </c:ext>
            <c:ext xmlns:c16="http://schemas.microsoft.com/office/drawing/2014/chart" uri="{C3380CC4-5D6E-409C-BE32-E72D297353CC}">
              <c16:uniqueId val="{00000000-67ED-4198-B028-4D590E1346BD}"/>
            </c:ext>
          </c:extLst>
        </c:ser>
        <c:dLbls>
          <c:showLegendKey val="0"/>
          <c:showVal val="0"/>
          <c:showCatName val="0"/>
          <c:showSerName val="0"/>
          <c:showPercent val="0"/>
          <c:showBubbleSize val="0"/>
        </c:dLbls>
        <c:gapWidth val="0"/>
        <c:axId val="1238446752"/>
        <c:axId val="1238447232"/>
      </c:barChart>
      <c:lineChart>
        <c:grouping val="standard"/>
        <c:varyColors val="0"/>
        <c:ser>
          <c:idx val="1"/>
          <c:order val="1"/>
          <c:tx>
            <c:v>Cumulative Risk Units</c:v>
          </c:tx>
          <c:spPr>
            <a:ln w="19050" cap="rnd">
              <a:solidFill>
                <a:sysClr val="windowText" lastClr="000000"/>
              </a:solidFill>
              <a:round/>
            </a:ln>
            <a:effectLst/>
          </c:spPr>
          <c:marker>
            <c:symbol val="none"/>
          </c:marker>
          <c:val>
            <c:numRef>
              <c:f>'2025-Q2'!$CH$4:$CH$422</c:f>
              <c:numCache>
                <c:formatCode>0.0</c:formatCode>
                <c:ptCount val="419"/>
                <c:pt idx="0">
                  <c:v>0</c:v>
                </c:pt>
                <c:pt idx="1">
                  <c:v>0</c:v>
                </c:pt>
                <c:pt idx="2">
                  <c:v>-5.8708702097371709E-2</c:v>
                </c:pt>
                <c:pt idx="3">
                  <c:v>-0.47332867780116666</c:v>
                </c:pt>
                <c:pt idx="4">
                  <c:v>-0.67924094093413856</c:v>
                </c:pt>
                <c:pt idx="5">
                  <c:v>-1.331897252120668</c:v>
                </c:pt>
                <c:pt idx="6">
                  <c:v>-1.9089285900827602</c:v>
                </c:pt>
                <c:pt idx="7">
                  <c:v>-2.0364740006470425</c:v>
                </c:pt>
                <c:pt idx="8">
                  <c:v>-1.5119749040259491</c:v>
                </c:pt>
                <c:pt idx="9">
                  <c:v>-1.5119749040259491</c:v>
                </c:pt>
                <c:pt idx="10">
                  <c:v>-1.2562541405544734</c:v>
                </c:pt>
                <c:pt idx="11">
                  <c:v>-0.74266446688844512</c:v>
                </c:pt>
                <c:pt idx="12">
                  <c:v>-0.74266446688844512</c:v>
                </c:pt>
                <c:pt idx="13">
                  <c:v>-0.59798104285804188</c:v>
                </c:pt>
                <c:pt idx="14">
                  <c:v>-0.59798104285804188</c:v>
                </c:pt>
                <c:pt idx="15">
                  <c:v>5.7491593957879394E-2</c:v>
                </c:pt>
                <c:pt idx="16">
                  <c:v>5.7491593957879394E-2</c:v>
                </c:pt>
                <c:pt idx="17">
                  <c:v>5.7491593957879394E-2</c:v>
                </c:pt>
                <c:pt idx="18">
                  <c:v>2.0899319080158046E-3</c:v>
                </c:pt>
                <c:pt idx="19">
                  <c:v>0.46094484132543312</c:v>
                </c:pt>
                <c:pt idx="20">
                  <c:v>0.87016805155801569</c:v>
                </c:pt>
                <c:pt idx="21">
                  <c:v>1.1641330172118003</c:v>
                </c:pt>
                <c:pt idx="22">
                  <c:v>1.1641330172118003</c:v>
                </c:pt>
                <c:pt idx="23">
                  <c:v>1.0528157630374015</c:v>
                </c:pt>
                <c:pt idx="24">
                  <c:v>0.18840117891918895</c:v>
                </c:pt>
                <c:pt idx="25">
                  <c:v>-2.7484350488031315</c:v>
                </c:pt>
                <c:pt idx="26">
                  <c:v>-2.7484350488031315</c:v>
                </c:pt>
                <c:pt idx="27">
                  <c:v>-2.7484350488031315</c:v>
                </c:pt>
                <c:pt idx="28">
                  <c:v>-2.7484350488031315</c:v>
                </c:pt>
                <c:pt idx="29">
                  <c:v>-2.3158062509167356</c:v>
                </c:pt>
                <c:pt idx="30">
                  <c:v>-2.3158062509167356</c:v>
                </c:pt>
                <c:pt idx="31">
                  <c:v>-2.3158062509167356</c:v>
                </c:pt>
                <c:pt idx="32">
                  <c:v>-2.3158062509167356</c:v>
                </c:pt>
                <c:pt idx="33">
                  <c:v>-2.3138293412219695</c:v>
                </c:pt>
                <c:pt idx="34">
                  <c:v>-3.218060132622047</c:v>
                </c:pt>
                <c:pt idx="35">
                  <c:v>-4.0393452731842965</c:v>
                </c:pt>
                <c:pt idx="36">
                  <c:v>-4.0393452731842965</c:v>
                </c:pt>
                <c:pt idx="37">
                  <c:v>-3.8373564602570109</c:v>
                </c:pt>
                <c:pt idx="38">
                  <c:v>-3.6426039860270283</c:v>
                </c:pt>
                <c:pt idx="39">
                  <c:v>-3.6426039860270283</c:v>
                </c:pt>
                <c:pt idx="40">
                  <c:v>-3.6426039860270283</c:v>
                </c:pt>
                <c:pt idx="41">
                  <c:v>-3.6426039860270283</c:v>
                </c:pt>
                <c:pt idx="42">
                  <c:v>-3.6426039860270283</c:v>
                </c:pt>
                <c:pt idx="43">
                  <c:v>-2.880992921640523</c:v>
                </c:pt>
                <c:pt idx="44">
                  <c:v>-3.2459280874142631</c:v>
                </c:pt>
                <c:pt idx="45">
                  <c:v>-3.2561099796462054</c:v>
                </c:pt>
                <c:pt idx="46">
                  <c:v>-3.2561099796462054</c:v>
                </c:pt>
                <c:pt idx="47">
                  <c:v>-3.2561099796462054</c:v>
                </c:pt>
                <c:pt idx="48">
                  <c:v>-3.2561099796462054</c:v>
                </c:pt>
                <c:pt idx="49">
                  <c:v>-4.787720086422822</c:v>
                </c:pt>
                <c:pt idx="50">
                  <c:v>-5.6194470800688512</c:v>
                </c:pt>
                <c:pt idx="51">
                  <c:v>-4.6684068178223059</c:v>
                </c:pt>
                <c:pt idx="52">
                  <c:v>-4.6684068178223059</c:v>
                </c:pt>
                <c:pt idx="53">
                  <c:v>-4.17574702283693</c:v>
                </c:pt>
                <c:pt idx="54">
                  <c:v>-3.4356097179672029</c:v>
                </c:pt>
                <c:pt idx="55">
                  <c:v>-3.4356097179672029</c:v>
                </c:pt>
                <c:pt idx="56">
                  <c:v>-4.1133990818879544</c:v>
                </c:pt>
                <c:pt idx="57">
                  <c:v>-4.1133990818879544</c:v>
                </c:pt>
                <c:pt idx="58">
                  <c:v>-3.4475158073090277</c:v>
                </c:pt>
                <c:pt idx="59">
                  <c:v>-2.2645935902228382</c:v>
                </c:pt>
                <c:pt idx="60">
                  <c:v>-1.7635984629151702</c:v>
                </c:pt>
                <c:pt idx="61">
                  <c:v>-0.33394634322716721</c:v>
                </c:pt>
                <c:pt idx="62">
                  <c:v>2.2693489672924785</c:v>
                </c:pt>
                <c:pt idx="63">
                  <c:v>3.2097760935569961</c:v>
                </c:pt>
                <c:pt idx="64">
                  <c:v>2.9470411776321668</c:v>
                </c:pt>
                <c:pt idx="65">
                  <c:v>4.1243321777142077</c:v>
                </c:pt>
                <c:pt idx="66">
                  <c:v>4.1243321777142077</c:v>
                </c:pt>
                <c:pt idx="67">
                  <c:v>4.1243321777142077</c:v>
                </c:pt>
                <c:pt idx="68">
                  <c:v>4.1243321777142077</c:v>
                </c:pt>
                <c:pt idx="69">
                  <c:v>4.1243321777142077</c:v>
                </c:pt>
                <c:pt idx="70">
                  <c:v>4.1243321777142077</c:v>
                </c:pt>
                <c:pt idx="71">
                  <c:v>4.1243321777142077</c:v>
                </c:pt>
                <c:pt idx="72">
                  <c:v>5.2751627940781276</c:v>
                </c:pt>
                <c:pt idx="73">
                  <c:v>5.0829017557472183</c:v>
                </c:pt>
                <c:pt idx="74">
                  <c:v>5.950865985100191</c:v>
                </c:pt>
                <c:pt idx="75">
                  <c:v>5.4438759227791529</c:v>
                </c:pt>
                <c:pt idx="76">
                  <c:v>6.8109478912313381</c:v>
                </c:pt>
                <c:pt idx="77">
                  <c:v>6.5264701178062232</c:v>
                </c:pt>
                <c:pt idx="78">
                  <c:v>5.5552436770914344</c:v>
                </c:pt>
                <c:pt idx="79">
                  <c:v>5.5552436770914344</c:v>
                </c:pt>
                <c:pt idx="80">
                  <c:v>5.7056401769547129</c:v>
                </c:pt>
                <c:pt idx="81">
                  <c:v>5.7056401769547129</c:v>
                </c:pt>
                <c:pt idx="82">
                  <c:v>5.7056401769547129</c:v>
                </c:pt>
                <c:pt idx="83">
                  <c:v>5.1374583587728946</c:v>
                </c:pt>
                <c:pt idx="84">
                  <c:v>3.2903832781648799</c:v>
                </c:pt>
                <c:pt idx="85">
                  <c:v>3.2903832781648799</c:v>
                </c:pt>
                <c:pt idx="86">
                  <c:v>2.7644274061642369</c:v>
                </c:pt>
                <c:pt idx="87">
                  <c:v>2.7644274061642369</c:v>
                </c:pt>
                <c:pt idx="88">
                  <c:v>2.7644274061642369</c:v>
                </c:pt>
                <c:pt idx="89">
                  <c:v>2.4469670887039179</c:v>
                </c:pt>
                <c:pt idx="90">
                  <c:v>2.4469670887039179</c:v>
                </c:pt>
                <c:pt idx="91">
                  <c:v>2.4469670887039179</c:v>
                </c:pt>
                <c:pt idx="92">
                  <c:v>2.4469670887039179</c:v>
                </c:pt>
                <c:pt idx="93">
                  <c:v>1.5891481180866815</c:v>
                </c:pt>
                <c:pt idx="94">
                  <c:v>0.95093551413918087</c:v>
                </c:pt>
                <c:pt idx="95">
                  <c:v>0.95093551413918087</c:v>
                </c:pt>
                <c:pt idx="96">
                  <c:v>0.95093551413918087</c:v>
                </c:pt>
                <c:pt idx="97">
                  <c:v>0.95093551413918087</c:v>
                </c:pt>
                <c:pt idx="98">
                  <c:v>0.95093551413918087</c:v>
                </c:pt>
                <c:pt idx="99">
                  <c:v>0.30610601813474969</c:v>
                </c:pt>
                <c:pt idx="100">
                  <c:v>0.30610601813474969</c:v>
                </c:pt>
                <c:pt idx="101">
                  <c:v>-0.15330479933233376</c:v>
                </c:pt>
                <c:pt idx="102">
                  <c:v>-0.17256727756573337</c:v>
                </c:pt>
                <c:pt idx="103">
                  <c:v>-0.17256727756573337</c:v>
                </c:pt>
                <c:pt idx="104">
                  <c:v>-0.19772662006824826</c:v>
                </c:pt>
                <c:pt idx="105">
                  <c:v>-0.19772662006824826</c:v>
                </c:pt>
                <c:pt idx="106">
                  <c:v>-0.19772662006824826</c:v>
                </c:pt>
                <c:pt idx="107">
                  <c:v>-1.5627025778780812</c:v>
                </c:pt>
                <c:pt idx="108">
                  <c:v>-0.98158327811135515</c:v>
                </c:pt>
                <c:pt idx="109">
                  <c:v>-1.5264097814870796</c:v>
                </c:pt>
                <c:pt idx="110">
                  <c:v>-1.5264097814870796</c:v>
                </c:pt>
                <c:pt idx="111">
                  <c:v>-1.5264097814870796</c:v>
                </c:pt>
                <c:pt idx="112">
                  <c:v>-1.0948660852469776</c:v>
                </c:pt>
                <c:pt idx="113">
                  <c:v>-0.47114817206851145</c:v>
                </c:pt>
                <c:pt idx="114">
                  <c:v>3.046995090883442E-2</c:v>
                </c:pt>
                <c:pt idx="115">
                  <c:v>1.2317741388232271</c:v>
                </c:pt>
                <c:pt idx="116">
                  <c:v>1.2317741388232271</c:v>
                </c:pt>
                <c:pt idx="117">
                  <c:v>1.2317741388232271</c:v>
                </c:pt>
                <c:pt idx="118">
                  <c:v>2.2548108651057053</c:v>
                </c:pt>
                <c:pt idx="119">
                  <c:v>1.8200953098071886</c:v>
                </c:pt>
                <c:pt idx="120">
                  <c:v>1.8200953098071886</c:v>
                </c:pt>
                <c:pt idx="121">
                  <c:v>1.8200953098071886</c:v>
                </c:pt>
                <c:pt idx="122">
                  <c:v>0.77552706468184374</c:v>
                </c:pt>
                <c:pt idx="123">
                  <c:v>0.45862964135970113</c:v>
                </c:pt>
                <c:pt idx="124">
                  <c:v>0.45862964135970113</c:v>
                </c:pt>
                <c:pt idx="125">
                  <c:v>0.68610916820228396</c:v>
                </c:pt>
                <c:pt idx="126">
                  <c:v>1.1021786980437152</c:v>
                </c:pt>
                <c:pt idx="127">
                  <c:v>1.1021786980437152</c:v>
                </c:pt>
                <c:pt idx="128">
                  <c:v>1.3278104669967838</c:v>
                </c:pt>
                <c:pt idx="129">
                  <c:v>1.3278104669967838</c:v>
                </c:pt>
                <c:pt idx="130">
                  <c:v>0.7659637771013148</c:v>
                </c:pt>
                <c:pt idx="131">
                  <c:v>0.7659637771013148</c:v>
                </c:pt>
                <c:pt idx="132">
                  <c:v>0.2967286656138724</c:v>
                </c:pt>
                <c:pt idx="133">
                  <c:v>0.2967286656138724</c:v>
                </c:pt>
                <c:pt idx="134">
                  <c:v>0.2967286656138724</c:v>
                </c:pt>
                <c:pt idx="135">
                  <c:v>0.2967286656138724</c:v>
                </c:pt>
                <c:pt idx="136">
                  <c:v>0.2967286656138724</c:v>
                </c:pt>
                <c:pt idx="137">
                  <c:v>0.2967286656138724</c:v>
                </c:pt>
                <c:pt idx="138">
                  <c:v>0.2967286656138724</c:v>
                </c:pt>
                <c:pt idx="139">
                  <c:v>0.2967286656138724</c:v>
                </c:pt>
                <c:pt idx="140">
                  <c:v>0.15743349915614699</c:v>
                </c:pt>
                <c:pt idx="141">
                  <c:v>0.15743349915614699</c:v>
                </c:pt>
                <c:pt idx="142">
                  <c:v>0.15743349915614699</c:v>
                </c:pt>
                <c:pt idx="143">
                  <c:v>0.15743349915614699</c:v>
                </c:pt>
                <c:pt idx="144">
                  <c:v>0.15743349915614699</c:v>
                </c:pt>
                <c:pt idx="145">
                  <c:v>0.15743349915614699</c:v>
                </c:pt>
                <c:pt idx="146">
                  <c:v>0.15743349915614699</c:v>
                </c:pt>
                <c:pt idx="147">
                  <c:v>0.15743349915614699</c:v>
                </c:pt>
                <c:pt idx="148">
                  <c:v>1.3316759233985713</c:v>
                </c:pt>
                <c:pt idx="149">
                  <c:v>2.3415336763446604</c:v>
                </c:pt>
                <c:pt idx="150">
                  <c:v>2.1016224792952101</c:v>
                </c:pt>
                <c:pt idx="151">
                  <c:v>3.2321371851775655</c:v>
                </c:pt>
                <c:pt idx="152">
                  <c:v>3.2321371851775655</c:v>
                </c:pt>
                <c:pt idx="153">
                  <c:v>1.5664526438300914</c:v>
                </c:pt>
                <c:pt idx="154">
                  <c:v>1.2209384718928695</c:v>
                </c:pt>
                <c:pt idx="155">
                  <c:v>0.50296755151909212</c:v>
                </c:pt>
                <c:pt idx="156">
                  <c:v>0.50296755151909212</c:v>
                </c:pt>
                <c:pt idx="157">
                  <c:v>1.0608476073070958</c:v>
                </c:pt>
                <c:pt idx="158">
                  <c:v>1.4955266593494918</c:v>
                </c:pt>
                <c:pt idx="159">
                  <c:v>-0.75853113954203621</c:v>
                </c:pt>
                <c:pt idx="160">
                  <c:v>-0.14416201032142462</c:v>
                </c:pt>
                <c:pt idx="161">
                  <c:v>0.93529165394645586</c:v>
                </c:pt>
                <c:pt idx="162">
                  <c:v>0.93529165394645586</c:v>
                </c:pt>
                <c:pt idx="163">
                  <c:v>0.93529165394645586</c:v>
                </c:pt>
                <c:pt idx="164">
                  <c:v>1.3587355923546105</c:v>
                </c:pt>
                <c:pt idx="165">
                  <c:v>2.3287257839948707</c:v>
                </c:pt>
                <c:pt idx="166">
                  <c:v>2.1998047222920092</c:v>
                </c:pt>
                <c:pt idx="167">
                  <c:v>1.9163637602832426</c:v>
                </c:pt>
                <c:pt idx="168">
                  <c:v>1.9163637602832426</c:v>
                </c:pt>
                <c:pt idx="169">
                  <c:v>1.8937939631857208</c:v>
                </c:pt>
                <c:pt idx="170">
                  <c:v>1.8937939631857208</c:v>
                </c:pt>
                <c:pt idx="171">
                  <c:v>0.41412713320041905</c:v>
                </c:pt>
                <c:pt idx="172">
                  <c:v>0.41412713320041905</c:v>
                </c:pt>
                <c:pt idx="173">
                  <c:v>0.93379291677490495</c:v>
                </c:pt>
                <c:pt idx="174">
                  <c:v>0.93379291677490495</c:v>
                </c:pt>
                <c:pt idx="175">
                  <c:v>2.4454561258018739</c:v>
                </c:pt>
                <c:pt idx="176">
                  <c:v>2.4454561258018739</c:v>
                </c:pt>
                <c:pt idx="177">
                  <c:v>3.7531367572529986</c:v>
                </c:pt>
                <c:pt idx="178">
                  <c:v>3.7531367572529986</c:v>
                </c:pt>
                <c:pt idx="179">
                  <c:v>3.7531367572529986</c:v>
                </c:pt>
                <c:pt idx="180">
                  <c:v>3.2654665327406662</c:v>
                </c:pt>
                <c:pt idx="181">
                  <c:v>2.9546309731526486</c:v>
                </c:pt>
                <c:pt idx="182">
                  <c:v>3.665971646434329</c:v>
                </c:pt>
                <c:pt idx="183">
                  <c:v>4.228983842343216</c:v>
                </c:pt>
                <c:pt idx="184">
                  <c:v>4.228983842343216</c:v>
                </c:pt>
                <c:pt idx="185">
                  <c:v>4.228983842343216</c:v>
                </c:pt>
                <c:pt idx="186">
                  <c:v>4.228983842343216</c:v>
                </c:pt>
                <c:pt idx="187">
                  <c:v>4.69113172966716</c:v>
                </c:pt>
                <c:pt idx="188">
                  <c:v>4.69113172966716</c:v>
                </c:pt>
                <c:pt idx="189">
                  <c:v>4.69113172966716</c:v>
                </c:pt>
                <c:pt idx="190">
                  <c:v>5.3749707305495349</c:v>
                </c:pt>
                <c:pt idx="191">
                  <c:v>5.3749707305495349</c:v>
                </c:pt>
                <c:pt idx="192">
                  <c:v>5.0550098184356109</c:v>
                </c:pt>
                <c:pt idx="193">
                  <c:v>5.0550098184356109</c:v>
                </c:pt>
                <c:pt idx="194">
                  <c:v>5.0550098184356109</c:v>
                </c:pt>
                <c:pt idx="195">
                  <c:v>5.1812098661621748</c:v>
                </c:pt>
                <c:pt idx="196">
                  <c:v>5.2402058398390245</c:v>
                </c:pt>
                <c:pt idx="197">
                  <c:v>5.2402058398390245</c:v>
                </c:pt>
                <c:pt idx="198">
                  <c:v>5.2402058398390245</c:v>
                </c:pt>
                <c:pt idx="199">
                  <c:v>5.2402058398390245</c:v>
                </c:pt>
                <c:pt idx="200">
                  <c:v>5.2402058398390245</c:v>
                </c:pt>
                <c:pt idx="201">
                  <c:v>5.2402058398390245</c:v>
                </c:pt>
                <c:pt idx="202">
                  <c:v>5.4983069647963294</c:v>
                </c:pt>
                <c:pt idx="203">
                  <c:v>5.4983069647963294</c:v>
                </c:pt>
                <c:pt idx="204">
                  <c:v>5.8466715549431942</c:v>
                </c:pt>
                <c:pt idx="205">
                  <c:v>4.7804679444472544</c:v>
                </c:pt>
                <c:pt idx="206">
                  <c:v>6.1491647355409036</c:v>
                </c:pt>
                <c:pt idx="207">
                  <c:v>6.1491647355409036</c:v>
                </c:pt>
                <c:pt idx="208">
                  <c:v>5.9860165655523039</c:v>
                </c:pt>
                <c:pt idx="209">
                  <c:v>5.9860165655523039</c:v>
                </c:pt>
                <c:pt idx="210">
                  <c:v>4.9672353949273145</c:v>
                </c:pt>
                <c:pt idx="211">
                  <c:v>4.3865883356711599</c:v>
                </c:pt>
                <c:pt idx="212">
                  <c:v>4.2149306983946628</c:v>
                </c:pt>
                <c:pt idx="213">
                  <c:v>4.2149306983946628</c:v>
                </c:pt>
                <c:pt idx="214">
                  <c:v>4.2149306983946628</c:v>
                </c:pt>
                <c:pt idx="215">
                  <c:v>4.2149306983946628</c:v>
                </c:pt>
                <c:pt idx="216">
                  <c:v>5.6614904345661534</c:v>
                </c:pt>
                <c:pt idx="217">
                  <c:v>5.6614904345661534</c:v>
                </c:pt>
                <c:pt idx="218">
                  <c:v>5.6614904345661534</c:v>
                </c:pt>
                <c:pt idx="219">
                  <c:v>7.2285636747406263</c:v>
                </c:pt>
                <c:pt idx="220">
                  <c:v>7.2285636747406263</c:v>
                </c:pt>
                <c:pt idx="221">
                  <c:v>7.7726868549669605</c:v>
                </c:pt>
                <c:pt idx="222">
                  <c:v>7.7726868549669605</c:v>
                </c:pt>
                <c:pt idx="223">
                  <c:v>7.7726868549669605</c:v>
                </c:pt>
                <c:pt idx="224">
                  <c:v>8.134204731402642</c:v>
                </c:pt>
                <c:pt idx="225">
                  <c:v>8.134204731402642</c:v>
                </c:pt>
                <c:pt idx="226">
                  <c:v>6.3632759032424007</c:v>
                </c:pt>
                <c:pt idx="227">
                  <c:v>6.3632759032424007</c:v>
                </c:pt>
                <c:pt idx="228">
                  <c:v>6.3588194561003188</c:v>
                </c:pt>
                <c:pt idx="229">
                  <c:v>6.3155240577826532</c:v>
                </c:pt>
                <c:pt idx="230">
                  <c:v>6.3155240577826532</c:v>
                </c:pt>
                <c:pt idx="231">
                  <c:v>5.7506450028417229</c:v>
                </c:pt>
                <c:pt idx="232">
                  <c:v>6.420428405435854</c:v>
                </c:pt>
                <c:pt idx="233">
                  <c:v>6.8738312762042915</c:v>
                </c:pt>
                <c:pt idx="234">
                  <c:v>6.8738312762042915</c:v>
                </c:pt>
                <c:pt idx="235">
                  <c:v>6.8738312762042915</c:v>
                </c:pt>
                <c:pt idx="236">
                  <c:v>6.8738312762042915</c:v>
                </c:pt>
                <c:pt idx="237">
                  <c:v>6.8257186050762684</c:v>
                </c:pt>
                <c:pt idx="238">
                  <c:v>5.1223152641183383</c:v>
                </c:pt>
                <c:pt idx="239">
                  <c:v>5.1654602821377287</c:v>
                </c:pt>
                <c:pt idx="240">
                  <c:v>5.1654602821377287</c:v>
                </c:pt>
                <c:pt idx="241">
                  <c:v>5.1654602821377287</c:v>
                </c:pt>
                <c:pt idx="242">
                  <c:v>5.2736797002940596</c:v>
                </c:pt>
                <c:pt idx="243">
                  <c:v>5.2736797002940596</c:v>
                </c:pt>
                <c:pt idx="244">
                  <c:v>4.4459631505172155</c:v>
                </c:pt>
                <c:pt idx="245">
                  <c:v>4.4459631505172155</c:v>
                </c:pt>
                <c:pt idx="246">
                  <c:v>4.4459631505172155</c:v>
                </c:pt>
                <c:pt idx="247">
                  <c:v>4.4459631505172155</c:v>
                </c:pt>
                <c:pt idx="248">
                  <c:v>4.4459631505172155</c:v>
                </c:pt>
                <c:pt idx="249">
                  <c:v>4.4459631505172155</c:v>
                </c:pt>
                <c:pt idx="250">
                  <c:v>4.4459631505172155</c:v>
                </c:pt>
                <c:pt idx="251">
                  <c:v>3.5713675481703389</c:v>
                </c:pt>
                <c:pt idx="252">
                  <c:v>3.064447421440307</c:v>
                </c:pt>
                <c:pt idx="253">
                  <c:v>3.064447421440307</c:v>
                </c:pt>
                <c:pt idx="254">
                  <c:v>3.064447421440307</c:v>
                </c:pt>
                <c:pt idx="255">
                  <c:v>3.064447421440307</c:v>
                </c:pt>
                <c:pt idx="256">
                  <c:v>2.9333428655569906</c:v>
                </c:pt>
                <c:pt idx="257">
                  <c:v>2.9333428655569906</c:v>
                </c:pt>
                <c:pt idx="258">
                  <c:v>2.9333428655569906</c:v>
                </c:pt>
                <c:pt idx="259">
                  <c:v>2.9333428655569906</c:v>
                </c:pt>
                <c:pt idx="260">
                  <c:v>2.9333428655569906</c:v>
                </c:pt>
                <c:pt idx="261">
                  <c:v>2.9333428655569906</c:v>
                </c:pt>
                <c:pt idx="262">
                  <c:v>2.9333428655569906</c:v>
                </c:pt>
                <c:pt idx="263">
                  <c:v>2.6694681634800426</c:v>
                </c:pt>
                <c:pt idx="264">
                  <c:v>2.6694681634800426</c:v>
                </c:pt>
                <c:pt idx="265">
                  <c:v>2.6694681634800426</c:v>
                </c:pt>
                <c:pt idx="266">
                  <c:v>3.2673301497029255</c:v>
                </c:pt>
                <c:pt idx="267">
                  <c:v>3.2673301497029255</c:v>
                </c:pt>
                <c:pt idx="268">
                  <c:v>3.2673301497029255</c:v>
                </c:pt>
                <c:pt idx="269">
                  <c:v>3.2673301497029255</c:v>
                </c:pt>
                <c:pt idx="270">
                  <c:v>3.2673301497029255</c:v>
                </c:pt>
                <c:pt idx="271">
                  <c:v>3.2673301497029255</c:v>
                </c:pt>
                <c:pt idx="272">
                  <c:v>3.2673301497029255</c:v>
                </c:pt>
                <c:pt idx="273">
                  <c:v>3.2673301497029255</c:v>
                </c:pt>
                <c:pt idx="274">
                  <c:v>3.2673301497029255</c:v>
                </c:pt>
                <c:pt idx="275">
                  <c:v>3.2673301497029255</c:v>
                </c:pt>
                <c:pt idx="276">
                  <c:v>3.2673301497029255</c:v>
                </c:pt>
                <c:pt idx="277">
                  <c:v>3.2673301497029255</c:v>
                </c:pt>
                <c:pt idx="278">
                  <c:v>3.2673301497029255</c:v>
                </c:pt>
                <c:pt idx="279">
                  <c:v>3.2673301497029255</c:v>
                </c:pt>
                <c:pt idx="280">
                  <c:v>3.7088089351307563</c:v>
                </c:pt>
                <c:pt idx="281">
                  <c:v>2.8109351882981031</c:v>
                </c:pt>
                <c:pt idx="282">
                  <c:v>2.8109351882981031</c:v>
                </c:pt>
                <c:pt idx="283">
                  <c:v>2.8109351882981031</c:v>
                </c:pt>
                <c:pt idx="284">
                  <c:v>2.7671475583035767</c:v>
                </c:pt>
                <c:pt idx="285">
                  <c:v>2.7671475583035767</c:v>
                </c:pt>
                <c:pt idx="286">
                  <c:v>3.3019496017263097</c:v>
                </c:pt>
                <c:pt idx="287">
                  <c:v>3.3019496017263097</c:v>
                </c:pt>
                <c:pt idx="288">
                  <c:v>5.0769611277751805</c:v>
                </c:pt>
                <c:pt idx="289">
                  <c:v>5.0769611277751805</c:v>
                </c:pt>
                <c:pt idx="290">
                  <c:v>5.0769611277751805</c:v>
                </c:pt>
                <c:pt idx="291">
                  <c:v>5.0769611277751805</c:v>
                </c:pt>
                <c:pt idx="292">
                  <c:v>5.0769611277751805</c:v>
                </c:pt>
                <c:pt idx="293">
                  <c:v>4.2846973505411121</c:v>
                </c:pt>
                <c:pt idx="294">
                  <c:v>4.2846973505411121</c:v>
                </c:pt>
                <c:pt idx="295">
                  <c:v>4.2846973505411121</c:v>
                </c:pt>
                <c:pt idx="296">
                  <c:v>4.2846973505411121</c:v>
                </c:pt>
                <c:pt idx="297">
                  <c:v>4.2846973505411121</c:v>
                </c:pt>
                <c:pt idx="298">
                  <c:v>4.2846973505411121</c:v>
                </c:pt>
                <c:pt idx="299">
                  <c:v>4.2846973505411121</c:v>
                </c:pt>
                <c:pt idx="300">
                  <c:v>4.3189150805895453</c:v>
                </c:pt>
                <c:pt idx="301">
                  <c:v>5.552949620263643</c:v>
                </c:pt>
                <c:pt idx="302">
                  <c:v>5.552949620263643</c:v>
                </c:pt>
                <c:pt idx="303">
                  <c:v>6.1264664789917678</c:v>
                </c:pt>
                <c:pt idx="304">
                  <c:v>6.1264664789917678</c:v>
                </c:pt>
                <c:pt idx="305">
                  <c:v>7.170911895239346</c:v>
                </c:pt>
                <c:pt idx="306">
                  <c:v>9.3974546576023172</c:v>
                </c:pt>
                <c:pt idx="307">
                  <c:v>10.124517077563485</c:v>
                </c:pt>
                <c:pt idx="308">
                  <c:v>10.124517077563485</c:v>
                </c:pt>
                <c:pt idx="309">
                  <c:v>10.124517077563485</c:v>
                </c:pt>
                <c:pt idx="310">
                  <c:v>10.124517077563485</c:v>
                </c:pt>
                <c:pt idx="311">
                  <c:v>10.124517077563485</c:v>
                </c:pt>
                <c:pt idx="312">
                  <c:v>10.124517077563485</c:v>
                </c:pt>
                <c:pt idx="313">
                  <c:v>10.124517077563485</c:v>
                </c:pt>
                <c:pt idx="314">
                  <c:v>10.124517077563485</c:v>
                </c:pt>
                <c:pt idx="315">
                  <c:v>10.124517077563485</c:v>
                </c:pt>
                <c:pt idx="316">
                  <c:v>10.124517077563485</c:v>
                </c:pt>
                <c:pt idx="317">
                  <c:v>10.124517077563485</c:v>
                </c:pt>
                <c:pt idx="318">
                  <c:v>8.5070643683301963</c:v>
                </c:pt>
                <c:pt idx="319">
                  <c:v>10.843640243816576</c:v>
                </c:pt>
                <c:pt idx="320">
                  <c:v>10.843640243816576</c:v>
                </c:pt>
                <c:pt idx="321">
                  <c:v>11.169226861083892</c:v>
                </c:pt>
                <c:pt idx="322">
                  <c:v>11.501909836720493</c:v>
                </c:pt>
                <c:pt idx="323">
                  <c:v>9.8352431700538272</c:v>
                </c:pt>
                <c:pt idx="324">
                  <c:v>9.8352431700538272</c:v>
                </c:pt>
                <c:pt idx="325">
                  <c:v>10.623627873250173</c:v>
                </c:pt>
                <c:pt idx="326">
                  <c:v>10.623627873250173</c:v>
                </c:pt>
                <c:pt idx="327">
                  <c:v>10.407837063399958</c:v>
                </c:pt>
                <c:pt idx="328">
                  <c:v>9.6315729495069782</c:v>
                </c:pt>
                <c:pt idx="329">
                  <c:v>9.6315729495069782</c:v>
                </c:pt>
                <c:pt idx="330">
                  <c:v>9.6315729495069782</c:v>
                </c:pt>
                <c:pt idx="331">
                  <c:v>9.971237901360297</c:v>
                </c:pt>
                <c:pt idx="332">
                  <c:v>10.908966839089237</c:v>
                </c:pt>
                <c:pt idx="333">
                  <c:v>11.393004474375038</c:v>
                </c:pt>
                <c:pt idx="334">
                  <c:v>11.393004474375038</c:v>
                </c:pt>
                <c:pt idx="335">
                  <c:v>12.05799609916566</c:v>
                </c:pt>
                <c:pt idx="336">
                  <c:v>11.622524998611423</c:v>
                </c:pt>
                <c:pt idx="337">
                  <c:v>11.622524998611423</c:v>
                </c:pt>
                <c:pt idx="338">
                  <c:v>11.622524998611423</c:v>
                </c:pt>
                <c:pt idx="339">
                  <c:v>11.019759142626683</c:v>
                </c:pt>
                <c:pt idx="340">
                  <c:v>8.1740220453925794</c:v>
                </c:pt>
                <c:pt idx="341">
                  <c:v>8.1740220453925794</c:v>
                </c:pt>
                <c:pt idx="342">
                  <c:v>8.1740220453925794</c:v>
                </c:pt>
                <c:pt idx="343">
                  <c:v>8.4811020179794312</c:v>
                </c:pt>
                <c:pt idx="344">
                  <c:v>7.5683790035825176</c:v>
                </c:pt>
                <c:pt idx="345">
                  <c:v>7.5683790035825176</c:v>
                </c:pt>
                <c:pt idx="346">
                  <c:v>7.5683790035825176</c:v>
                </c:pt>
                <c:pt idx="347">
                  <c:v>7.6108320158167029</c:v>
                </c:pt>
                <c:pt idx="348">
                  <c:v>7.6108320158167029</c:v>
                </c:pt>
                <c:pt idx="349">
                  <c:v>7.6108320158167029</c:v>
                </c:pt>
                <c:pt idx="350">
                  <c:v>7.6108320158167029</c:v>
                </c:pt>
                <c:pt idx="351">
                  <c:v>7.2816314161651494</c:v>
                </c:pt>
                <c:pt idx="352">
                  <c:v>7.2246308461594504</c:v>
                </c:pt>
                <c:pt idx="353">
                  <c:v>7.2246308461594504</c:v>
                </c:pt>
                <c:pt idx="354">
                  <c:v>7.2246308461594504</c:v>
                </c:pt>
                <c:pt idx="355">
                  <c:v>6.0911545876236408</c:v>
                </c:pt>
                <c:pt idx="356">
                  <c:v>5.233917528606165</c:v>
                </c:pt>
                <c:pt idx="357">
                  <c:v>5.233917528606165</c:v>
                </c:pt>
                <c:pt idx="358">
                  <c:v>5.233917528606165</c:v>
                </c:pt>
                <c:pt idx="359">
                  <c:v>5.233917528606165</c:v>
                </c:pt>
                <c:pt idx="360">
                  <c:v>3.3670572843062914</c:v>
                </c:pt>
                <c:pt idx="361">
                  <c:v>3.3670572843062914</c:v>
                </c:pt>
                <c:pt idx="362">
                  <c:v>5.1741585031722162</c:v>
                </c:pt>
                <c:pt idx="363">
                  <c:v>5.1741585031722162</c:v>
                </c:pt>
                <c:pt idx="364">
                  <c:v>4.8905071364883579</c:v>
                </c:pt>
                <c:pt idx="365">
                  <c:v>4.8905071364883579</c:v>
                </c:pt>
                <c:pt idx="366">
                  <c:v>4.8905071364883579</c:v>
                </c:pt>
                <c:pt idx="367">
                  <c:v>4.8905071364883579</c:v>
                </c:pt>
                <c:pt idx="368">
                  <c:v>8.2735642267277711</c:v>
                </c:pt>
                <c:pt idx="369">
                  <c:v>8.6545227862214613</c:v>
                </c:pt>
                <c:pt idx="370">
                  <c:v>8.6545227862214613</c:v>
                </c:pt>
                <c:pt idx="371">
                  <c:v>9.5743358564684762</c:v>
                </c:pt>
                <c:pt idx="372">
                  <c:v>8.8232097711395863</c:v>
                </c:pt>
                <c:pt idx="373">
                  <c:v>9.7356075585373762</c:v>
                </c:pt>
                <c:pt idx="374">
                  <c:v>12.320316507277603</c:v>
                </c:pt>
                <c:pt idx="375">
                  <c:v>10.246174350414858</c:v>
                </c:pt>
                <c:pt idx="376">
                  <c:v>9.1701255050515389</c:v>
                </c:pt>
                <c:pt idx="377">
                  <c:v>11.593825165307129</c:v>
                </c:pt>
                <c:pt idx="378">
                  <c:v>9.2891310456663891</c:v>
                </c:pt>
                <c:pt idx="379">
                  <c:v>8.8841155108239569</c:v>
                </c:pt>
                <c:pt idx="380">
                  <c:v>8.1500551081393979</c:v>
                </c:pt>
                <c:pt idx="381">
                  <c:v>9.3382859644200451</c:v>
                </c:pt>
                <c:pt idx="382">
                  <c:v>9.3382859644200451</c:v>
                </c:pt>
                <c:pt idx="383">
                  <c:v>11.811238050973367</c:v>
                </c:pt>
                <c:pt idx="384">
                  <c:v>11.6425619384444</c:v>
                </c:pt>
                <c:pt idx="385">
                  <c:v>11.6425619384444</c:v>
                </c:pt>
                <c:pt idx="386">
                  <c:v>9.0709367437615072</c:v>
                </c:pt>
                <c:pt idx="387">
                  <c:v>9.0709367437615072</c:v>
                </c:pt>
                <c:pt idx="388">
                  <c:v>9.0709367437615072</c:v>
                </c:pt>
                <c:pt idx="389">
                  <c:v>9.0709367437615072</c:v>
                </c:pt>
                <c:pt idx="390">
                  <c:v>10.903207146884704</c:v>
                </c:pt>
                <c:pt idx="391">
                  <c:v>10.903207146884704</c:v>
                </c:pt>
                <c:pt idx="392">
                  <c:v>10.903207146884704</c:v>
                </c:pt>
                <c:pt idx="393">
                  <c:v>10.137779460442006</c:v>
                </c:pt>
                <c:pt idx="394">
                  <c:v>11.474196833867859</c:v>
                </c:pt>
                <c:pt idx="395">
                  <c:v>9.456652974218736</c:v>
                </c:pt>
                <c:pt idx="396">
                  <c:v>9.456652974218736</c:v>
                </c:pt>
                <c:pt idx="397">
                  <c:v>10.851037749044439</c:v>
                </c:pt>
                <c:pt idx="398">
                  <c:v>10.851037749044439</c:v>
                </c:pt>
                <c:pt idx="399">
                  <c:v>10.851037749044439</c:v>
                </c:pt>
                <c:pt idx="400">
                  <c:v>10.851037749044439</c:v>
                </c:pt>
                <c:pt idx="401">
                  <c:v>9.4543675062661965</c:v>
                </c:pt>
                <c:pt idx="402">
                  <c:v>6.5623689415012159</c:v>
                </c:pt>
                <c:pt idx="403">
                  <c:v>6.5623689415012159</c:v>
                </c:pt>
                <c:pt idx="404">
                  <c:v>8.7147056666713745</c:v>
                </c:pt>
                <c:pt idx="405">
                  <c:v>8.7147056666713745</c:v>
                </c:pt>
                <c:pt idx="406">
                  <c:v>6.4711819945762716</c:v>
                </c:pt>
                <c:pt idx="407">
                  <c:v>6.4711819945762716</c:v>
                </c:pt>
                <c:pt idx="408">
                  <c:v>6.4711819945762716</c:v>
                </c:pt>
                <c:pt idx="409">
                  <c:v>6.4711819945762716</c:v>
                </c:pt>
                <c:pt idx="410">
                  <c:v>7.2630094772694047</c:v>
                </c:pt>
                <c:pt idx="411">
                  <c:v>7.2630094772694047</c:v>
                </c:pt>
                <c:pt idx="412">
                  <c:v>7.2630094772694047</c:v>
                </c:pt>
                <c:pt idx="413">
                  <c:v>7.3165622463394149</c:v>
                </c:pt>
                <c:pt idx="414">
                  <c:v>8.0306498780643203</c:v>
                </c:pt>
                <c:pt idx="415">
                  <c:v>8.0306498780643203</c:v>
                </c:pt>
                <c:pt idx="416">
                  <c:v>8.0306498780643203</c:v>
                </c:pt>
                <c:pt idx="417">
                  <c:v>8.0306498780643203</c:v>
                </c:pt>
                <c:pt idx="418">
                  <c:v>9.9627466694511693</c:v>
                </c:pt>
              </c:numCache>
            </c:numRef>
          </c:val>
          <c:smooth val="0"/>
          <c:extLst>
            <c:ext xmlns:c16="http://schemas.microsoft.com/office/drawing/2014/chart" uri="{C3380CC4-5D6E-409C-BE32-E72D297353CC}">
              <c16:uniqueId val="{00000000-A6BD-4CC1-B78D-ABDFF9BB441A}"/>
            </c:ext>
          </c:extLst>
        </c:ser>
        <c:dLbls>
          <c:showLegendKey val="0"/>
          <c:showVal val="0"/>
          <c:showCatName val="0"/>
          <c:showSerName val="0"/>
          <c:showPercent val="0"/>
          <c:showBubbleSize val="0"/>
        </c:dLbls>
        <c:marker val="1"/>
        <c:smooth val="0"/>
        <c:axId val="1304906495"/>
        <c:axId val="1304909375"/>
      </c:lineChart>
      <c:catAx>
        <c:axId val="1238446752"/>
        <c:scaling>
          <c:orientation val="minMax"/>
        </c:scaling>
        <c:delete val="0"/>
        <c:axPos val="b"/>
        <c:numFmt formatCode="General" sourceLinked="1"/>
        <c:majorTickMark val="none"/>
        <c:minorTickMark val="none"/>
        <c:tickLblPos val="low"/>
        <c:spPr>
          <a:noFill/>
          <a:ln w="9525" cap="flat" cmpd="sng" algn="ctr">
            <a:solidFill>
              <a:sysClr val="windowText" lastClr="000000"/>
            </a:solidFill>
            <a:round/>
          </a:ln>
          <a:effectLst/>
        </c:spPr>
        <c:txPr>
          <a:bodyPr rot="-60000000" spcFirstLastPara="1" vertOverflow="ellipsis" vert="horz" wrap="square" anchor="ctr" anchorCtr="1"/>
          <a:lstStyle/>
          <a:p>
            <a:pPr>
              <a:defRPr sz="800" b="1" i="0" u="none" strike="noStrike" kern="1200" baseline="0">
                <a:solidFill>
                  <a:sysClr val="windowText" lastClr="000000"/>
                </a:solidFill>
                <a:latin typeface="+mn-lt"/>
                <a:ea typeface="+mn-ea"/>
                <a:cs typeface="+mn-cs"/>
              </a:defRPr>
            </a:pPr>
            <a:endParaRPr lang="en-US"/>
          </a:p>
        </c:txPr>
        <c:crossAx val="1238447232"/>
        <c:crosses val="autoZero"/>
        <c:auto val="1"/>
        <c:lblAlgn val="ctr"/>
        <c:lblOffset val="100"/>
        <c:noMultiLvlLbl val="0"/>
      </c:catAx>
      <c:valAx>
        <c:axId val="1238447232"/>
        <c:scaling>
          <c:orientation val="minMax"/>
          <c:max val="4"/>
          <c:min val="-4"/>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238446752"/>
        <c:crosses val="autoZero"/>
        <c:crossBetween val="between"/>
      </c:valAx>
      <c:valAx>
        <c:axId val="1304909375"/>
        <c:scaling>
          <c:orientation val="minMax"/>
          <c:max val="16"/>
          <c:min val="-16"/>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304906495"/>
        <c:crosses val="max"/>
        <c:crossBetween val="between"/>
      </c:valAx>
      <c:catAx>
        <c:axId val="1304906495"/>
        <c:scaling>
          <c:orientation val="minMax"/>
        </c:scaling>
        <c:delete val="1"/>
        <c:axPos val="b"/>
        <c:majorTickMark val="out"/>
        <c:minorTickMark val="none"/>
        <c:tickLblPos val="nextTo"/>
        <c:crossAx val="1304909375"/>
        <c:crosses val="autoZero"/>
        <c:auto val="1"/>
        <c:lblAlgn val="ctr"/>
        <c:lblOffset val="100"/>
        <c:noMultiLvlLbl val="0"/>
      </c:catAx>
      <c:spPr>
        <a:gradFill>
          <a:gsLst>
            <a:gs pos="12000">
              <a:srgbClr val="00FF00">
                <a:alpha val="80000"/>
              </a:srgbClr>
            </a:gs>
            <a:gs pos="61000">
              <a:schemeClr val="bg1"/>
            </a:gs>
            <a:gs pos="47000">
              <a:schemeClr val="bg1"/>
            </a:gs>
            <a:gs pos="96000">
              <a:srgbClr val="FF4D4D"/>
            </a:gs>
            <a:gs pos="0">
              <a:srgbClr val="00B050">
                <a:alpha val="85000"/>
              </a:srgbClr>
            </a:gs>
            <a:gs pos="92000">
              <a:srgbClr val="FF9999">
                <a:alpha val="80000"/>
              </a:srgbClr>
            </a:gs>
          </a:gsLst>
          <a:lin ang="5400000" scaled="1"/>
        </a:gradFill>
        <a:ln>
          <a:solidFill>
            <a:sysClr val="windowText" lastClr="000000"/>
          </a:solidFill>
        </a:ln>
        <a:effectLst/>
      </c:spPr>
    </c:plotArea>
    <c:legend>
      <c:legendPos val="t"/>
      <c:layout>
        <c:manualLayout>
          <c:xMode val="edge"/>
          <c:yMode val="edge"/>
          <c:x val="3.6434050394863436E-2"/>
          <c:y val="4.2984496124031019E-2"/>
          <c:w val="0.15179695561310649"/>
          <c:h val="6.5407434535799308E-2"/>
        </c:manualLayout>
      </c:layou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0"/>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US" sz="1600" b="1">
                <a:solidFill>
                  <a:sysClr val="windowText" lastClr="000000"/>
                </a:solidFill>
              </a:rPr>
              <a:t>% of Gap</a:t>
            </a:r>
            <a:r>
              <a:rPr lang="en-US" sz="1600" b="1" baseline="0">
                <a:solidFill>
                  <a:sysClr val="windowText" lastClr="000000"/>
                </a:solidFill>
              </a:rPr>
              <a:t> Ups (All Stocks)</a:t>
            </a:r>
            <a:endParaRPr lang="en-US"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6"/>
              </a:solidFill>
              <a:round/>
            </a:ln>
            <a:effectLst>
              <a:glow rad="63500">
                <a:schemeClr val="accent6">
                  <a:satMod val="175000"/>
                  <a:alpha val="40000"/>
                </a:schemeClr>
              </a:glow>
            </a:effectLst>
          </c:spPr>
          <c:marker>
            <c:symbol val="none"/>
          </c:marker>
          <c:dLbls>
            <c:dLbl>
              <c:idx val="82"/>
              <c:layout>
                <c:manualLayout>
                  <c:x val="-1.1600928074245939E-2"/>
                  <c:y val="-5.46184738955823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956-4CA3-8B2C-204D8E85499A}"/>
                </c:ext>
              </c:extLst>
            </c:dLbl>
            <c:dLbl>
              <c:idx val="282"/>
              <c:layout>
                <c:manualLayout>
                  <c:x val="-2.9389017788089715E-2"/>
                  <c:y val="4.81927710843372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956-4CA3-8B2C-204D8E85499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'2025-Q2'!$BR$4:$BR$422</c:f>
              <c:numCache>
                <c:formatCode>0%</c:formatCode>
                <c:ptCount val="419"/>
                <c:pt idx="0">
                  <c:v>1</c:v>
                </c:pt>
                <c:pt idx="1">
                  <c:v>0.5</c:v>
                </c:pt>
                <c:pt idx="2">
                  <c:v>0.33333333333333331</c:v>
                </c:pt>
                <c:pt idx="3">
                  <c:v>0.25</c:v>
                </c:pt>
                <c:pt idx="4">
                  <c:v>0.2</c:v>
                </c:pt>
                <c:pt idx="5">
                  <c:v>0.16666666666666666</c:v>
                </c:pt>
                <c:pt idx="6">
                  <c:v>0.14285714285714285</c:v>
                </c:pt>
                <c:pt idx="7">
                  <c:v>0.125</c:v>
                </c:pt>
                <c:pt idx="8">
                  <c:v>0.22222222222222221</c:v>
                </c:pt>
                <c:pt idx="9">
                  <c:v>0.2</c:v>
                </c:pt>
                <c:pt idx="10">
                  <c:v>0.27272727272727271</c:v>
                </c:pt>
                <c:pt idx="11">
                  <c:v>0.33333333333333331</c:v>
                </c:pt>
                <c:pt idx="12">
                  <c:v>0.30769230769230771</c:v>
                </c:pt>
                <c:pt idx="13">
                  <c:v>0.35714285714285715</c:v>
                </c:pt>
                <c:pt idx="14">
                  <c:v>0.33333333333333331</c:v>
                </c:pt>
                <c:pt idx="15">
                  <c:v>0.375</c:v>
                </c:pt>
                <c:pt idx="16">
                  <c:v>0.35294117647058826</c:v>
                </c:pt>
                <c:pt idx="17">
                  <c:v>0.33333333333333331</c:v>
                </c:pt>
                <c:pt idx="18">
                  <c:v>0.31578947368421051</c:v>
                </c:pt>
                <c:pt idx="19">
                  <c:v>0.35</c:v>
                </c:pt>
                <c:pt idx="20">
                  <c:v>0.38095238095238093</c:v>
                </c:pt>
                <c:pt idx="21">
                  <c:v>0.40909090909090912</c:v>
                </c:pt>
                <c:pt idx="22">
                  <c:v>0.39130434782608697</c:v>
                </c:pt>
                <c:pt idx="23">
                  <c:v>0.375</c:v>
                </c:pt>
                <c:pt idx="24">
                  <c:v>0.36</c:v>
                </c:pt>
                <c:pt idx="25">
                  <c:v>0.34615384615384615</c:v>
                </c:pt>
                <c:pt idx="26">
                  <c:v>0.33333333333333331</c:v>
                </c:pt>
                <c:pt idx="27">
                  <c:v>0.35714285714285715</c:v>
                </c:pt>
                <c:pt idx="28">
                  <c:v>0.37931034482758619</c:v>
                </c:pt>
                <c:pt idx="29">
                  <c:v>0.4</c:v>
                </c:pt>
                <c:pt idx="30">
                  <c:v>0.41935483870967744</c:v>
                </c:pt>
                <c:pt idx="31">
                  <c:v>0.40625</c:v>
                </c:pt>
                <c:pt idx="32">
                  <c:v>0.42424242424242425</c:v>
                </c:pt>
                <c:pt idx="33">
                  <c:v>0.44117647058823528</c:v>
                </c:pt>
                <c:pt idx="34">
                  <c:v>0.42857142857142855</c:v>
                </c:pt>
                <c:pt idx="35">
                  <c:v>0.41666666666666669</c:v>
                </c:pt>
                <c:pt idx="36">
                  <c:v>0.43243243243243246</c:v>
                </c:pt>
                <c:pt idx="37">
                  <c:v>0.44736842105263158</c:v>
                </c:pt>
                <c:pt idx="38">
                  <c:v>0.46153846153846156</c:v>
                </c:pt>
                <c:pt idx="39">
                  <c:v>0.47499999999999998</c:v>
                </c:pt>
                <c:pt idx="40">
                  <c:v>0.48780487804878048</c:v>
                </c:pt>
                <c:pt idx="41">
                  <c:v>0.5</c:v>
                </c:pt>
                <c:pt idx="42">
                  <c:v>0.48837209302325579</c:v>
                </c:pt>
                <c:pt idx="43">
                  <c:v>0.5</c:v>
                </c:pt>
                <c:pt idx="44">
                  <c:v>0.48888888888888887</c:v>
                </c:pt>
                <c:pt idx="45">
                  <c:v>0.47826086956521741</c:v>
                </c:pt>
                <c:pt idx="46">
                  <c:v>0.48936170212765956</c:v>
                </c:pt>
                <c:pt idx="47">
                  <c:v>0.47916666666666669</c:v>
                </c:pt>
                <c:pt idx="48">
                  <c:v>0.48979591836734693</c:v>
                </c:pt>
                <c:pt idx="49">
                  <c:v>0.48</c:v>
                </c:pt>
                <c:pt idx="50">
                  <c:v>0.47058823529411764</c:v>
                </c:pt>
                <c:pt idx="51">
                  <c:v>0.48076923076923078</c:v>
                </c:pt>
                <c:pt idx="52">
                  <c:v>0.49056603773584906</c:v>
                </c:pt>
                <c:pt idx="53">
                  <c:v>0.5</c:v>
                </c:pt>
                <c:pt idx="54">
                  <c:v>0.50909090909090904</c:v>
                </c:pt>
                <c:pt idx="55">
                  <c:v>0.5</c:v>
                </c:pt>
                <c:pt idx="56">
                  <c:v>0.49122807017543857</c:v>
                </c:pt>
                <c:pt idx="57">
                  <c:v>0.48275862068965519</c:v>
                </c:pt>
                <c:pt idx="58">
                  <c:v>0.49152542372881358</c:v>
                </c:pt>
                <c:pt idx="59">
                  <c:v>0.5</c:v>
                </c:pt>
                <c:pt idx="60">
                  <c:v>0.50819672131147542</c:v>
                </c:pt>
                <c:pt idx="61">
                  <c:v>0.5161290322580645</c:v>
                </c:pt>
                <c:pt idx="62">
                  <c:v>0.52380952380952384</c:v>
                </c:pt>
                <c:pt idx="63">
                  <c:v>0.53125</c:v>
                </c:pt>
                <c:pt idx="64">
                  <c:v>0.52307692307692311</c:v>
                </c:pt>
                <c:pt idx="65">
                  <c:v>0.53030303030303028</c:v>
                </c:pt>
                <c:pt idx="66">
                  <c:v>0.53731343283582089</c:v>
                </c:pt>
                <c:pt idx="67">
                  <c:v>0.54411764705882348</c:v>
                </c:pt>
                <c:pt idx="68">
                  <c:v>0.53623188405797106</c:v>
                </c:pt>
                <c:pt idx="69">
                  <c:v>0.54285714285714282</c:v>
                </c:pt>
                <c:pt idx="70">
                  <c:v>0.53521126760563376</c:v>
                </c:pt>
                <c:pt idx="71">
                  <c:v>0.52777777777777779</c:v>
                </c:pt>
                <c:pt idx="72">
                  <c:v>0.53424657534246578</c:v>
                </c:pt>
                <c:pt idx="73">
                  <c:v>0.52702702702702697</c:v>
                </c:pt>
                <c:pt idx="74">
                  <c:v>0.53333333333333333</c:v>
                </c:pt>
                <c:pt idx="75">
                  <c:v>0.52631578947368418</c:v>
                </c:pt>
                <c:pt idx="76">
                  <c:v>0.53246753246753242</c:v>
                </c:pt>
                <c:pt idx="77">
                  <c:v>0.52564102564102566</c:v>
                </c:pt>
                <c:pt idx="78">
                  <c:v>0.51898734177215189</c:v>
                </c:pt>
                <c:pt idx="79">
                  <c:v>0.52500000000000002</c:v>
                </c:pt>
                <c:pt idx="80">
                  <c:v>0.53086419753086422</c:v>
                </c:pt>
                <c:pt idx="81">
                  <c:v>0.53658536585365857</c:v>
                </c:pt>
                <c:pt idx="82">
                  <c:v>0.54216867469879515</c:v>
                </c:pt>
                <c:pt idx="83">
                  <c:v>0.5357142857142857</c:v>
                </c:pt>
                <c:pt idx="84">
                  <c:v>0.52941176470588236</c:v>
                </c:pt>
                <c:pt idx="85">
                  <c:v>0.53488372093023251</c:v>
                </c:pt>
                <c:pt idx="86">
                  <c:v>0.52873563218390807</c:v>
                </c:pt>
                <c:pt idx="87">
                  <c:v>0.52272727272727271</c:v>
                </c:pt>
                <c:pt idx="88">
                  <c:v>0.5168539325842697</c:v>
                </c:pt>
                <c:pt idx="89">
                  <c:v>0.51111111111111107</c:v>
                </c:pt>
                <c:pt idx="90">
                  <c:v>0.50549450549450547</c:v>
                </c:pt>
                <c:pt idx="91">
                  <c:v>0.51086956521739135</c:v>
                </c:pt>
                <c:pt idx="92">
                  <c:v>0.5053763440860215</c:v>
                </c:pt>
                <c:pt idx="93">
                  <c:v>0.5</c:v>
                </c:pt>
                <c:pt idx="94">
                  <c:v>0.49473684210526314</c:v>
                </c:pt>
                <c:pt idx="95">
                  <c:v>0.48958333333333331</c:v>
                </c:pt>
                <c:pt idx="96">
                  <c:v>0.4845360824742268</c:v>
                </c:pt>
                <c:pt idx="97">
                  <c:v>0.47959183673469385</c:v>
                </c:pt>
                <c:pt idx="98">
                  <c:v>0.48484848484848486</c:v>
                </c:pt>
                <c:pt idx="99">
                  <c:v>0.48</c:v>
                </c:pt>
                <c:pt idx="100">
                  <c:v>0.48514851485148514</c:v>
                </c:pt>
                <c:pt idx="101">
                  <c:v>0.48039215686274511</c:v>
                </c:pt>
                <c:pt idx="102">
                  <c:v>0.47572815533980584</c:v>
                </c:pt>
                <c:pt idx="103">
                  <c:v>0.47115384615384615</c:v>
                </c:pt>
                <c:pt idx="104">
                  <c:v>0.46666666666666667</c:v>
                </c:pt>
                <c:pt idx="105">
                  <c:v>0.46226415094339623</c:v>
                </c:pt>
                <c:pt idx="106">
                  <c:v>0.46728971962616822</c:v>
                </c:pt>
                <c:pt idx="107">
                  <c:v>0.46296296296296297</c:v>
                </c:pt>
                <c:pt idx="108">
                  <c:v>0.46788990825688076</c:v>
                </c:pt>
                <c:pt idx="109">
                  <c:v>0.46363636363636362</c:v>
                </c:pt>
                <c:pt idx="110">
                  <c:v>0.45945945945945948</c:v>
                </c:pt>
                <c:pt idx="111">
                  <c:v>0.45535714285714285</c:v>
                </c:pt>
                <c:pt idx="112">
                  <c:v>0.46017699115044247</c:v>
                </c:pt>
                <c:pt idx="113">
                  <c:v>0.46491228070175439</c:v>
                </c:pt>
                <c:pt idx="114">
                  <c:v>0.46956521739130436</c:v>
                </c:pt>
                <c:pt idx="115">
                  <c:v>0.47413793103448276</c:v>
                </c:pt>
                <c:pt idx="116">
                  <c:v>0.47008547008547008</c:v>
                </c:pt>
                <c:pt idx="117">
                  <c:v>0.46610169491525422</c:v>
                </c:pt>
                <c:pt idx="118">
                  <c:v>0.47058823529411764</c:v>
                </c:pt>
                <c:pt idx="119">
                  <c:v>0.46666666666666667</c:v>
                </c:pt>
                <c:pt idx="120">
                  <c:v>0.46280991735537191</c:v>
                </c:pt>
                <c:pt idx="121">
                  <c:v>0.45901639344262296</c:v>
                </c:pt>
                <c:pt idx="122">
                  <c:v>0.45528455284552843</c:v>
                </c:pt>
                <c:pt idx="123">
                  <c:v>0.45161290322580644</c:v>
                </c:pt>
                <c:pt idx="124">
                  <c:v>0.44800000000000001</c:v>
                </c:pt>
                <c:pt idx="125">
                  <c:v>0.45238095238095238</c:v>
                </c:pt>
                <c:pt idx="126">
                  <c:v>0.45669291338582679</c:v>
                </c:pt>
                <c:pt idx="127">
                  <c:v>0.4609375</c:v>
                </c:pt>
                <c:pt idx="128">
                  <c:v>0.46511627906976744</c:v>
                </c:pt>
                <c:pt idx="129">
                  <c:v>0.46923076923076923</c:v>
                </c:pt>
                <c:pt idx="130">
                  <c:v>0.46564885496183206</c:v>
                </c:pt>
                <c:pt idx="131">
                  <c:v>0.46969696969696972</c:v>
                </c:pt>
                <c:pt idx="132">
                  <c:v>0.46616541353383456</c:v>
                </c:pt>
                <c:pt idx="133">
                  <c:v>0.46268656716417911</c:v>
                </c:pt>
                <c:pt idx="134">
                  <c:v>0.45925925925925926</c:v>
                </c:pt>
                <c:pt idx="135">
                  <c:v>0.45588235294117646</c:v>
                </c:pt>
                <c:pt idx="136">
                  <c:v>0.45255474452554745</c:v>
                </c:pt>
                <c:pt idx="137">
                  <c:v>0.44927536231884058</c:v>
                </c:pt>
                <c:pt idx="138">
                  <c:v>0.4460431654676259</c:v>
                </c:pt>
                <c:pt idx="139">
                  <c:v>0.44285714285714284</c:v>
                </c:pt>
                <c:pt idx="140">
                  <c:v>0.43971631205673761</c:v>
                </c:pt>
                <c:pt idx="141">
                  <c:v>0.44366197183098594</c:v>
                </c:pt>
                <c:pt idx="142">
                  <c:v>0.44755244755244755</c:v>
                </c:pt>
                <c:pt idx="143">
                  <c:v>0.4513888888888889</c:v>
                </c:pt>
                <c:pt idx="144">
                  <c:v>0.45517241379310347</c:v>
                </c:pt>
                <c:pt idx="145">
                  <c:v>0.45205479452054792</c:v>
                </c:pt>
                <c:pt idx="146">
                  <c:v>0.45578231292517007</c:v>
                </c:pt>
                <c:pt idx="147">
                  <c:v>0.45945945945945948</c:v>
                </c:pt>
                <c:pt idx="148">
                  <c:v>0.46308724832214765</c:v>
                </c:pt>
                <c:pt idx="149">
                  <c:v>0.46666666666666667</c:v>
                </c:pt>
                <c:pt idx="150">
                  <c:v>0.46357615894039733</c:v>
                </c:pt>
                <c:pt idx="151">
                  <c:v>0.46710526315789475</c:v>
                </c:pt>
                <c:pt idx="152">
                  <c:v>0.46405228758169936</c:v>
                </c:pt>
                <c:pt idx="153">
                  <c:v>0.46103896103896103</c:v>
                </c:pt>
                <c:pt idx="154">
                  <c:v>0.45806451612903226</c:v>
                </c:pt>
                <c:pt idx="155">
                  <c:v>0.45512820512820512</c:v>
                </c:pt>
                <c:pt idx="156">
                  <c:v>0.45222929936305734</c:v>
                </c:pt>
                <c:pt idx="157">
                  <c:v>0.45569620253164556</c:v>
                </c:pt>
                <c:pt idx="158">
                  <c:v>0.45911949685534592</c:v>
                </c:pt>
                <c:pt idx="159">
                  <c:v>0.45624999999999999</c:v>
                </c:pt>
                <c:pt idx="160">
                  <c:v>0.45962732919254656</c:v>
                </c:pt>
                <c:pt idx="161">
                  <c:v>0.46296296296296297</c:v>
                </c:pt>
                <c:pt idx="162">
                  <c:v>0.46012269938650308</c:v>
                </c:pt>
                <c:pt idx="163">
                  <c:v>0.46341463414634149</c:v>
                </c:pt>
                <c:pt idx="164">
                  <c:v>0.46666666666666667</c:v>
                </c:pt>
                <c:pt idx="165">
                  <c:v>0.46987951807228917</c:v>
                </c:pt>
                <c:pt idx="166">
                  <c:v>0.46706586826347307</c:v>
                </c:pt>
                <c:pt idx="167">
                  <c:v>0.4642857142857143</c:v>
                </c:pt>
                <c:pt idx="168">
                  <c:v>0.46153846153846156</c:v>
                </c:pt>
                <c:pt idx="169">
                  <c:v>0.45882352941176469</c:v>
                </c:pt>
                <c:pt idx="170">
                  <c:v>0.45614035087719296</c:v>
                </c:pt>
                <c:pt idx="171">
                  <c:v>0.45348837209302323</c:v>
                </c:pt>
                <c:pt idx="172">
                  <c:v>0.45664739884393063</c:v>
                </c:pt>
                <c:pt idx="173">
                  <c:v>0.45977011494252873</c:v>
                </c:pt>
                <c:pt idx="174">
                  <c:v>0.45714285714285713</c:v>
                </c:pt>
                <c:pt idx="175">
                  <c:v>0.46022727272727271</c:v>
                </c:pt>
                <c:pt idx="176">
                  <c:v>0.4576271186440678</c:v>
                </c:pt>
                <c:pt idx="177">
                  <c:v>0.4606741573033708</c:v>
                </c:pt>
                <c:pt idx="178">
                  <c:v>0.45810055865921789</c:v>
                </c:pt>
                <c:pt idx="179">
                  <c:v>0.45555555555555555</c:v>
                </c:pt>
                <c:pt idx="180">
                  <c:v>0.45303867403314918</c:v>
                </c:pt>
                <c:pt idx="181">
                  <c:v>0.45054945054945056</c:v>
                </c:pt>
                <c:pt idx="182">
                  <c:v>0.45355191256830601</c:v>
                </c:pt>
                <c:pt idx="183">
                  <c:v>0.45652173913043476</c:v>
                </c:pt>
                <c:pt idx="184">
                  <c:v>0.45945945945945948</c:v>
                </c:pt>
                <c:pt idx="185">
                  <c:v>0.46236559139784944</c:v>
                </c:pt>
                <c:pt idx="186">
                  <c:v>0.46524064171122997</c:v>
                </c:pt>
                <c:pt idx="187">
                  <c:v>0.46808510638297873</c:v>
                </c:pt>
                <c:pt idx="188">
                  <c:v>0.46560846560846558</c:v>
                </c:pt>
                <c:pt idx="189">
                  <c:v>0.46842105263157896</c:v>
                </c:pt>
                <c:pt idx="190">
                  <c:v>0.47120418848167539</c:v>
                </c:pt>
                <c:pt idx="191">
                  <c:v>0.47395833333333331</c:v>
                </c:pt>
                <c:pt idx="192">
                  <c:v>0.47150259067357514</c:v>
                </c:pt>
                <c:pt idx="193">
                  <c:v>0.46907216494845361</c:v>
                </c:pt>
                <c:pt idx="194">
                  <c:v>0.47179487179487178</c:v>
                </c:pt>
                <c:pt idx="195">
                  <c:v>0.47448979591836737</c:v>
                </c:pt>
                <c:pt idx="196">
                  <c:v>0.47715736040609136</c:v>
                </c:pt>
                <c:pt idx="197">
                  <c:v>0.47474747474747475</c:v>
                </c:pt>
                <c:pt idx="198">
                  <c:v>0.47236180904522612</c:v>
                </c:pt>
                <c:pt idx="199">
                  <c:v>0.47</c:v>
                </c:pt>
                <c:pt idx="200">
                  <c:v>0.46766169154228854</c:v>
                </c:pt>
                <c:pt idx="201">
                  <c:v>0.46534653465346537</c:v>
                </c:pt>
                <c:pt idx="202">
                  <c:v>0.46798029556650245</c:v>
                </c:pt>
                <c:pt idx="203">
                  <c:v>0.46568627450980393</c:v>
                </c:pt>
                <c:pt idx="204">
                  <c:v>0.4682926829268293</c:v>
                </c:pt>
                <c:pt idx="205">
                  <c:v>0.46601941747572817</c:v>
                </c:pt>
                <c:pt idx="206">
                  <c:v>0.46859903381642515</c:v>
                </c:pt>
                <c:pt idx="207">
                  <c:v>0.47115384615384615</c:v>
                </c:pt>
                <c:pt idx="208">
                  <c:v>0.46889952153110048</c:v>
                </c:pt>
                <c:pt idx="209">
                  <c:v>0.46666666666666667</c:v>
                </c:pt>
                <c:pt idx="210">
                  <c:v>0.46445497630331756</c:v>
                </c:pt>
                <c:pt idx="211">
                  <c:v>0.46226415094339623</c:v>
                </c:pt>
                <c:pt idx="212">
                  <c:v>0.460093896713615</c:v>
                </c:pt>
                <c:pt idx="213">
                  <c:v>0.45794392523364486</c:v>
                </c:pt>
                <c:pt idx="214">
                  <c:v>0.45581395348837211</c:v>
                </c:pt>
                <c:pt idx="215">
                  <c:v>0.45833333333333331</c:v>
                </c:pt>
                <c:pt idx="216">
                  <c:v>0.46082949308755761</c:v>
                </c:pt>
                <c:pt idx="217">
                  <c:v>0.46330275229357798</c:v>
                </c:pt>
                <c:pt idx="218">
                  <c:v>0.46575342465753422</c:v>
                </c:pt>
                <c:pt idx="219">
                  <c:v>0.4681818181818182</c:v>
                </c:pt>
                <c:pt idx="220">
                  <c:v>0.4660633484162896</c:v>
                </c:pt>
                <c:pt idx="221">
                  <c:v>0.46846846846846846</c:v>
                </c:pt>
                <c:pt idx="222">
                  <c:v>0.46636771300448432</c:v>
                </c:pt>
                <c:pt idx="223">
                  <c:v>0.4642857142857143</c:v>
                </c:pt>
                <c:pt idx="224">
                  <c:v>0.46666666666666667</c:v>
                </c:pt>
                <c:pt idx="225">
                  <c:v>0.46902654867256638</c:v>
                </c:pt>
                <c:pt idx="226">
                  <c:v>0.46696035242290751</c:v>
                </c:pt>
                <c:pt idx="227">
                  <c:v>0.46491228070175439</c:v>
                </c:pt>
                <c:pt idx="228">
                  <c:v>0.46288209606986902</c:v>
                </c:pt>
                <c:pt idx="229">
                  <c:v>0.46086956521739131</c:v>
                </c:pt>
                <c:pt idx="230">
                  <c:v>0.45887445887445888</c:v>
                </c:pt>
                <c:pt idx="231">
                  <c:v>0.45689655172413796</c:v>
                </c:pt>
                <c:pt idx="232">
                  <c:v>0.45922746781115881</c:v>
                </c:pt>
                <c:pt idx="233">
                  <c:v>0.46153846153846156</c:v>
                </c:pt>
                <c:pt idx="234">
                  <c:v>0.45957446808510638</c:v>
                </c:pt>
                <c:pt idx="235">
                  <c:v>0.46186440677966101</c:v>
                </c:pt>
                <c:pt idx="236">
                  <c:v>0.45991561181434598</c:v>
                </c:pt>
                <c:pt idx="237">
                  <c:v>0.45798319327731091</c:v>
                </c:pt>
                <c:pt idx="238">
                  <c:v>0.45606694560669458</c:v>
                </c:pt>
                <c:pt idx="239">
                  <c:v>0.45833333333333331</c:v>
                </c:pt>
                <c:pt idx="240">
                  <c:v>0.46058091286307051</c:v>
                </c:pt>
                <c:pt idx="241">
                  <c:v>0.45867768595041325</c:v>
                </c:pt>
                <c:pt idx="242">
                  <c:v>0.46090534979423869</c:v>
                </c:pt>
                <c:pt idx="243">
                  <c:v>0.45901639344262296</c:v>
                </c:pt>
                <c:pt idx="244">
                  <c:v>0.45714285714285713</c:v>
                </c:pt>
                <c:pt idx="245">
                  <c:v>0.45528455284552843</c:v>
                </c:pt>
                <c:pt idx="246">
                  <c:v>0.45748987854251011</c:v>
                </c:pt>
                <c:pt idx="247">
                  <c:v>0.45967741935483869</c:v>
                </c:pt>
                <c:pt idx="248">
                  <c:v>0.46184738955823296</c:v>
                </c:pt>
                <c:pt idx="249">
                  <c:v>0.46400000000000002</c:v>
                </c:pt>
                <c:pt idx="250">
                  <c:v>0.46215139442231074</c:v>
                </c:pt>
                <c:pt idx="251">
                  <c:v>0.46031746031746029</c:v>
                </c:pt>
                <c:pt idx="252">
                  <c:v>0.45849802371541504</c:v>
                </c:pt>
                <c:pt idx="253">
                  <c:v>0.45669291338582679</c:v>
                </c:pt>
                <c:pt idx="254">
                  <c:v>0.45490196078431372</c:v>
                </c:pt>
                <c:pt idx="255">
                  <c:v>0.453125</c:v>
                </c:pt>
                <c:pt idx="256">
                  <c:v>0.45136186770428016</c:v>
                </c:pt>
                <c:pt idx="257">
                  <c:v>0.44961240310077522</c:v>
                </c:pt>
                <c:pt idx="258">
                  <c:v>0.44787644787644787</c:v>
                </c:pt>
                <c:pt idx="259">
                  <c:v>0.45</c:v>
                </c:pt>
                <c:pt idx="260">
                  <c:v>0.44827586206896552</c:v>
                </c:pt>
                <c:pt idx="261">
                  <c:v>0.45038167938931295</c:v>
                </c:pt>
                <c:pt idx="262">
                  <c:v>0.44866920152091255</c:v>
                </c:pt>
                <c:pt idx="263">
                  <c:v>0.44696969696969696</c:v>
                </c:pt>
                <c:pt idx="264">
                  <c:v>0.44905660377358492</c:v>
                </c:pt>
                <c:pt idx="265">
                  <c:v>0.44736842105263158</c:v>
                </c:pt>
                <c:pt idx="266">
                  <c:v>0.449438202247191</c:v>
                </c:pt>
                <c:pt idx="267">
                  <c:v>0.44776119402985076</c:v>
                </c:pt>
                <c:pt idx="268">
                  <c:v>0.44981412639405205</c:v>
                </c:pt>
                <c:pt idx="269">
                  <c:v>0.44814814814814813</c:v>
                </c:pt>
                <c:pt idx="270">
                  <c:v>0.44649446494464945</c:v>
                </c:pt>
                <c:pt idx="271">
                  <c:v>0.4485294117647059</c:v>
                </c:pt>
                <c:pt idx="272">
                  <c:v>0.44688644688644691</c:v>
                </c:pt>
                <c:pt idx="273">
                  <c:v>0.44525547445255476</c:v>
                </c:pt>
                <c:pt idx="274">
                  <c:v>0.44727272727272727</c:v>
                </c:pt>
                <c:pt idx="275">
                  <c:v>0.44565217391304346</c:v>
                </c:pt>
                <c:pt idx="276">
                  <c:v>0.44765342960288806</c:v>
                </c:pt>
                <c:pt idx="277">
                  <c:v>0.44964028776978415</c:v>
                </c:pt>
                <c:pt idx="278">
                  <c:v>0.44802867383512546</c:v>
                </c:pt>
                <c:pt idx="279">
                  <c:v>0.44642857142857145</c:v>
                </c:pt>
                <c:pt idx="280">
                  <c:v>0.44839857651245552</c:v>
                </c:pt>
                <c:pt idx="281">
                  <c:v>0.44680851063829785</c:v>
                </c:pt>
                <c:pt idx="282">
                  <c:v>0.44522968197879859</c:v>
                </c:pt>
                <c:pt idx="283">
                  <c:v>0.44718309859154931</c:v>
                </c:pt>
                <c:pt idx="284">
                  <c:v>0.4456140350877193</c:v>
                </c:pt>
                <c:pt idx="285">
                  <c:v>0.44755244755244755</c:v>
                </c:pt>
                <c:pt idx="286">
                  <c:v>0.44947735191637633</c:v>
                </c:pt>
                <c:pt idx="287">
                  <c:v>0.44791666666666669</c:v>
                </c:pt>
                <c:pt idx="288">
                  <c:v>0.44982698961937717</c:v>
                </c:pt>
                <c:pt idx="289">
                  <c:v>0.4517241379310345</c:v>
                </c:pt>
                <c:pt idx="290">
                  <c:v>0.45017182130584193</c:v>
                </c:pt>
                <c:pt idx="291">
                  <c:v>0.44863013698630139</c:v>
                </c:pt>
                <c:pt idx="292">
                  <c:v>0.45051194539249145</c:v>
                </c:pt>
                <c:pt idx="293">
                  <c:v>0.44897959183673469</c:v>
                </c:pt>
                <c:pt idx="294">
                  <c:v>0.45084745762711864</c:v>
                </c:pt>
                <c:pt idx="295">
                  <c:v>0.44932432432432434</c:v>
                </c:pt>
                <c:pt idx="296">
                  <c:v>0.45117845117845118</c:v>
                </c:pt>
                <c:pt idx="297">
                  <c:v>0.45302013422818793</c:v>
                </c:pt>
                <c:pt idx="298">
                  <c:v>0.45484949832775917</c:v>
                </c:pt>
                <c:pt idx="299">
                  <c:v>0.45333333333333331</c:v>
                </c:pt>
                <c:pt idx="300">
                  <c:v>0.45514950166112955</c:v>
                </c:pt>
                <c:pt idx="301">
                  <c:v>0.45695364238410596</c:v>
                </c:pt>
                <c:pt idx="302">
                  <c:v>0.45874587458745875</c:v>
                </c:pt>
                <c:pt idx="303">
                  <c:v>0.46052631578947367</c:v>
                </c:pt>
                <c:pt idx="304">
                  <c:v>0.45901639344262296</c:v>
                </c:pt>
                <c:pt idx="305">
                  <c:v>0.46078431372549017</c:v>
                </c:pt>
                <c:pt idx="306">
                  <c:v>0.46254071661237783</c:v>
                </c:pt>
                <c:pt idx="307">
                  <c:v>0.4642857142857143</c:v>
                </c:pt>
                <c:pt idx="308">
                  <c:v>0.4627831715210356</c:v>
                </c:pt>
                <c:pt idx="309">
                  <c:v>0.46451612903225808</c:v>
                </c:pt>
                <c:pt idx="310">
                  <c:v>0.4662379421221865</c:v>
                </c:pt>
                <c:pt idx="311">
                  <c:v>0.46474358974358976</c:v>
                </c:pt>
                <c:pt idx="312">
                  <c:v>0.46645367412140576</c:v>
                </c:pt>
                <c:pt idx="313">
                  <c:v>0.46815286624203822</c:v>
                </c:pt>
                <c:pt idx="314">
                  <c:v>0.46984126984126984</c:v>
                </c:pt>
                <c:pt idx="315">
                  <c:v>0.46835443037974683</c:v>
                </c:pt>
                <c:pt idx="316">
                  <c:v>0.47003154574132494</c:v>
                </c:pt>
                <c:pt idx="317">
                  <c:v>0.47169811320754718</c:v>
                </c:pt>
                <c:pt idx="318">
                  <c:v>0.47021943573667713</c:v>
                </c:pt>
                <c:pt idx="319">
                  <c:v>0.47187499999999999</c:v>
                </c:pt>
                <c:pt idx="320">
                  <c:v>0.47040498442367601</c:v>
                </c:pt>
                <c:pt idx="321">
                  <c:v>0.47204968944099379</c:v>
                </c:pt>
                <c:pt idx="322">
                  <c:v>0.47368421052631576</c:v>
                </c:pt>
                <c:pt idx="323">
                  <c:v>0.47222222222222221</c:v>
                </c:pt>
                <c:pt idx="324">
                  <c:v>0.47384615384615386</c:v>
                </c:pt>
                <c:pt idx="325">
                  <c:v>0.47546012269938648</c:v>
                </c:pt>
                <c:pt idx="326">
                  <c:v>0.47706422018348627</c:v>
                </c:pt>
                <c:pt idx="327">
                  <c:v>0.47560975609756095</c:v>
                </c:pt>
                <c:pt idx="328">
                  <c:v>0.47416413373860183</c:v>
                </c:pt>
                <c:pt idx="329">
                  <c:v>0.47575757575757577</c:v>
                </c:pt>
                <c:pt idx="330">
                  <c:v>0.47432024169184289</c:v>
                </c:pt>
                <c:pt idx="331">
                  <c:v>0.4759036144578313</c:v>
                </c:pt>
                <c:pt idx="332">
                  <c:v>0.47747747747747749</c:v>
                </c:pt>
                <c:pt idx="333">
                  <c:v>0.47904191616766467</c:v>
                </c:pt>
                <c:pt idx="334">
                  <c:v>0.48059701492537316</c:v>
                </c:pt>
                <c:pt idx="335">
                  <c:v>0.48214285714285715</c:v>
                </c:pt>
                <c:pt idx="336">
                  <c:v>0.48071216617210683</c:v>
                </c:pt>
                <c:pt idx="337">
                  <c:v>0.47928994082840237</c:v>
                </c:pt>
                <c:pt idx="338">
                  <c:v>0.4808259587020649</c:v>
                </c:pt>
                <c:pt idx="339">
                  <c:v>0.47941176470588237</c:v>
                </c:pt>
                <c:pt idx="340">
                  <c:v>0.47800586510263932</c:v>
                </c:pt>
                <c:pt idx="341">
                  <c:v>0.47660818713450293</c:v>
                </c:pt>
                <c:pt idx="342">
                  <c:v>0.47521865889212828</c:v>
                </c:pt>
                <c:pt idx="343">
                  <c:v>0.47674418604651164</c:v>
                </c:pt>
                <c:pt idx="344">
                  <c:v>0.47536231884057972</c:v>
                </c:pt>
                <c:pt idx="345">
                  <c:v>0.47398843930635837</c:v>
                </c:pt>
                <c:pt idx="346">
                  <c:v>0.47550432276657062</c:v>
                </c:pt>
                <c:pt idx="347">
                  <c:v>0.47701149425287354</c:v>
                </c:pt>
                <c:pt idx="348">
                  <c:v>0.47851002865329512</c:v>
                </c:pt>
                <c:pt idx="349">
                  <c:v>0.47714285714285715</c:v>
                </c:pt>
                <c:pt idx="350">
                  <c:v>0.4757834757834758</c:v>
                </c:pt>
                <c:pt idx="351">
                  <c:v>0.47443181818181818</c:v>
                </c:pt>
                <c:pt idx="352">
                  <c:v>0.47308781869688388</c:v>
                </c:pt>
                <c:pt idx="353">
                  <c:v>0.47175141242937851</c:v>
                </c:pt>
                <c:pt idx="354">
                  <c:v>0.47323943661971829</c:v>
                </c:pt>
                <c:pt idx="355">
                  <c:v>0.47191011235955055</c:v>
                </c:pt>
                <c:pt idx="356">
                  <c:v>0.47058823529411764</c:v>
                </c:pt>
                <c:pt idx="357">
                  <c:v>0.46927374301675978</c:v>
                </c:pt>
                <c:pt idx="358">
                  <c:v>0.47075208913649025</c:v>
                </c:pt>
                <c:pt idx="359">
                  <c:v>0.46944444444444444</c:v>
                </c:pt>
                <c:pt idx="360">
                  <c:v>0.46814404432132967</c:v>
                </c:pt>
                <c:pt idx="361">
                  <c:v>0.46685082872928174</c:v>
                </c:pt>
                <c:pt idx="362">
                  <c:v>0.46831955922865015</c:v>
                </c:pt>
                <c:pt idx="363">
                  <c:v>0.46703296703296704</c:v>
                </c:pt>
                <c:pt idx="364">
                  <c:v>0.46575342465753422</c:v>
                </c:pt>
                <c:pt idx="365">
                  <c:v>0.46721311475409838</c:v>
                </c:pt>
                <c:pt idx="366">
                  <c:v>0.46866485013623976</c:v>
                </c:pt>
                <c:pt idx="367">
                  <c:v>0.47010869565217389</c:v>
                </c:pt>
                <c:pt idx="368">
                  <c:v>0.47154471544715448</c:v>
                </c:pt>
                <c:pt idx="369">
                  <c:v>0.47297297297297297</c:v>
                </c:pt>
                <c:pt idx="370">
                  <c:v>0.47439353099730458</c:v>
                </c:pt>
                <c:pt idx="371">
                  <c:v>0.47580645161290325</c:v>
                </c:pt>
                <c:pt idx="372">
                  <c:v>0.47453083109919569</c:v>
                </c:pt>
                <c:pt idx="373">
                  <c:v>0.47593582887700536</c:v>
                </c:pt>
                <c:pt idx="374">
                  <c:v>0.47733333333333333</c:v>
                </c:pt>
                <c:pt idx="375">
                  <c:v>0.47606382978723405</c:v>
                </c:pt>
                <c:pt idx="376">
                  <c:v>0.47480106100795755</c:v>
                </c:pt>
                <c:pt idx="377">
                  <c:v>0.47619047619047616</c:v>
                </c:pt>
                <c:pt idx="378">
                  <c:v>0.47493403693931396</c:v>
                </c:pt>
                <c:pt idx="379">
                  <c:v>0.47368421052631576</c:v>
                </c:pt>
                <c:pt idx="380">
                  <c:v>0.47244094488188976</c:v>
                </c:pt>
                <c:pt idx="381">
                  <c:v>0.47382198952879578</c:v>
                </c:pt>
                <c:pt idx="382">
                  <c:v>0.47258485639686681</c:v>
                </c:pt>
                <c:pt idx="383">
                  <c:v>0.47395833333333331</c:v>
                </c:pt>
                <c:pt idx="384">
                  <c:v>0.47272727272727272</c:v>
                </c:pt>
                <c:pt idx="385">
                  <c:v>0.47150259067357514</c:v>
                </c:pt>
                <c:pt idx="386">
                  <c:v>0.47028423772609818</c:v>
                </c:pt>
                <c:pt idx="387">
                  <c:v>0.47164948453608246</c:v>
                </c:pt>
                <c:pt idx="388">
                  <c:v>0.4704370179948586</c:v>
                </c:pt>
                <c:pt idx="389">
                  <c:v>0.46923076923076923</c:v>
                </c:pt>
                <c:pt idx="390">
                  <c:v>0.47058823529411764</c:v>
                </c:pt>
                <c:pt idx="391">
                  <c:v>0.47193877551020408</c:v>
                </c:pt>
                <c:pt idx="392">
                  <c:v>0.47328244274809161</c:v>
                </c:pt>
                <c:pt idx="393">
                  <c:v>0.4720812182741117</c:v>
                </c:pt>
                <c:pt idx="394">
                  <c:v>0.47341772151898737</c:v>
                </c:pt>
                <c:pt idx="395">
                  <c:v>0.47222222222222221</c:v>
                </c:pt>
                <c:pt idx="396">
                  <c:v>0.47103274559193953</c:v>
                </c:pt>
                <c:pt idx="397">
                  <c:v>0.47236180904522612</c:v>
                </c:pt>
                <c:pt idx="398">
                  <c:v>0.47368421052631576</c:v>
                </c:pt>
                <c:pt idx="399">
                  <c:v>0.47249999999999998</c:v>
                </c:pt>
                <c:pt idx="400">
                  <c:v>0.47381546134663344</c:v>
                </c:pt>
                <c:pt idx="401">
                  <c:v>0.47263681592039802</c:v>
                </c:pt>
                <c:pt idx="402">
                  <c:v>0.47146401985111663</c:v>
                </c:pt>
                <c:pt idx="403">
                  <c:v>0.47029702970297027</c:v>
                </c:pt>
                <c:pt idx="404">
                  <c:v>0.47160493827160493</c:v>
                </c:pt>
                <c:pt idx="405">
                  <c:v>0.47044334975369456</c:v>
                </c:pt>
                <c:pt idx="406">
                  <c:v>0.46928746928746928</c:v>
                </c:pt>
                <c:pt idx="407">
                  <c:v>0.46813725490196079</c:v>
                </c:pt>
                <c:pt idx="408">
                  <c:v>0.46943765281173594</c:v>
                </c:pt>
                <c:pt idx="409">
                  <c:v>0.4682926829268293</c:v>
                </c:pt>
                <c:pt idx="410">
                  <c:v>0.46958637469586373</c:v>
                </c:pt>
                <c:pt idx="411">
                  <c:v>0.470873786407767</c:v>
                </c:pt>
                <c:pt idx="412">
                  <c:v>0.4721549636803874</c:v>
                </c:pt>
                <c:pt idx="413">
                  <c:v>0.47342995169082125</c:v>
                </c:pt>
                <c:pt idx="414">
                  <c:v>0.47469879518072289</c:v>
                </c:pt>
                <c:pt idx="415">
                  <c:v>0.47355769230769229</c:v>
                </c:pt>
                <c:pt idx="416">
                  <c:v>0.47482014388489208</c:v>
                </c:pt>
                <c:pt idx="417">
                  <c:v>0.47607655502392343</c:v>
                </c:pt>
                <c:pt idx="418">
                  <c:v>0.47732696897374699</c:v>
                </c:pt>
              </c:numCache>
            </c:numRef>
          </c:val>
          <c:smooth val="1"/>
          <c:extLst>
            <c:ext xmlns:c16="http://schemas.microsoft.com/office/drawing/2014/chart" uri="{C3380CC4-5D6E-409C-BE32-E72D297353CC}">
              <c16:uniqueId val="{00000000-49C1-4522-B92B-7B1BD7CD6810}"/>
            </c:ext>
          </c:extLst>
        </c:ser>
        <c:dLbls>
          <c:showLegendKey val="0"/>
          <c:showVal val="0"/>
          <c:showCatName val="0"/>
          <c:showSerName val="0"/>
          <c:showPercent val="0"/>
          <c:showBubbleSize val="0"/>
        </c:dLbls>
        <c:smooth val="0"/>
        <c:axId val="1294602272"/>
        <c:axId val="1703406928"/>
      </c:lineChart>
      <c:catAx>
        <c:axId val="1294602272"/>
        <c:scaling>
          <c:orientation val="minMax"/>
        </c:scaling>
        <c:delete val="0"/>
        <c:axPos val="b"/>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703406928"/>
        <c:crosses val="autoZero"/>
        <c:auto val="1"/>
        <c:lblAlgn val="ctr"/>
        <c:lblOffset val="100"/>
        <c:noMultiLvlLbl val="0"/>
      </c:catAx>
      <c:valAx>
        <c:axId val="1703406928"/>
        <c:scaling>
          <c:orientation val="minMax"/>
          <c:max val="0.60000000000000009"/>
          <c:min val="0.4"/>
        </c:scaling>
        <c:delete val="0"/>
        <c:axPos val="l"/>
        <c:majorGridlines>
          <c:spPr>
            <a:ln w="9525" cap="flat" cmpd="sng" algn="ctr">
              <a:solidFill>
                <a:schemeClr val="tx1">
                  <a:lumMod val="75000"/>
                  <a:lumOff val="25000"/>
                </a:schemeClr>
              </a:solidFill>
              <a:prstDash val="dash"/>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294602272"/>
        <c:crosses val="autoZero"/>
        <c:crossBetween val="between"/>
        <c:majorUnit val="0.1"/>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US" sz="1600" b="1">
                <a:solidFill>
                  <a:sysClr val="windowText" lastClr="000000"/>
                </a:solidFill>
              </a:rPr>
              <a:t>% of Gap</a:t>
            </a:r>
            <a:r>
              <a:rPr lang="en-US" sz="1600" b="1" baseline="0">
                <a:solidFill>
                  <a:sysClr val="windowText" lastClr="000000"/>
                </a:solidFill>
              </a:rPr>
              <a:t> Ups from Sideways Trends</a:t>
            </a:r>
            <a:endParaRPr lang="en-US"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tx2">
                  <a:lumMod val="90000"/>
                  <a:lumOff val="10000"/>
                </a:schemeClr>
              </a:solidFill>
              <a:round/>
            </a:ln>
            <a:effectLst>
              <a:glow rad="63500">
                <a:schemeClr val="accent4">
                  <a:satMod val="175000"/>
                  <a:alpha val="40000"/>
                </a:schemeClr>
              </a:glow>
            </a:effectLst>
          </c:spPr>
          <c:marker>
            <c:symbol val="none"/>
          </c:marker>
          <c:val>
            <c:numRef>
              <c:f>'2025-Q2'!$BO$4:$BO$422</c:f>
              <c:numCache>
                <c:formatCode>0%</c:formatCode>
                <c:ptCount val="419"/>
                <c:pt idx="0">
                  <c:v>#N/A</c:v>
                </c:pt>
                <c:pt idx="1">
                  <c:v>#N/A</c:v>
                </c:pt>
                <c:pt idx="2">
                  <c:v>0</c:v>
                </c:pt>
                <c:pt idx="3">
                  <c:v>0</c:v>
                </c:pt>
                <c:pt idx="4">
                  <c:v>0</c:v>
                </c:pt>
                <c:pt idx="5">
                  <c:v>0</c:v>
                </c:pt>
                <c:pt idx="6">
                  <c:v>0</c:v>
                </c:pt>
                <c:pt idx="7">
                  <c:v>0</c:v>
                </c:pt>
                <c:pt idx="8">
                  <c:v>0.14285714285714285</c:v>
                </c:pt>
                <c:pt idx="9">
                  <c:v>#N/A</c:v>
                </c:pt>
                <c:pt idx="10">
                  <c:v>0.25</c:v>
                </c:pt>
                <c:pt idx="11">
                  <c:v>0.33333333333333331</c:v>
                </c:pt>
                <c:pt idx="12">
                  <c:v>#N/A</c:v>
                </c:pt>
                <c:pt idx="13">
                  <c:v>0.4</c:v>
                </c:pt>
                <c:pt idx="14">
                  <c:v>#N/A</c:v>
                </c:pt>
                <c:pt idx="15">
                  <c:v>0.45454545454545453</c:v>
                </c:pt>
                <c:pt idx="16">
                  <c:v>#N/A</c:v>
                </c:pt>
                <c:pt idx="17">
                  <c:v>#N/A</c:v>
                </c:pt>
                <c:pt idx="18">
                  <c:v>0.41666666666666669</c:v>
                </c:pt>
                <c:pt idx="19">
                  <c:v>0.46153846153846156</c:v>
                </c:pt>
                <c:pt idx="20">
                  <c:v>0.5</c:v>
                </c:pt>
                <c:pt idx="21">
                  <c:v>0.53333333333333333</c:v>
                </c:pt>
                <c:pt idx="22">
                  <c:v>#N/A</c:v>
                </c:pt>
                <c:pt idx="23">
                  <c:v>0.5</c:v>
                </c:pt>
                <c:pt idx="24">
                  <c:v>0.47058823529411764</c:v>
                </c:pt>
                <c:pt idx="25">
                  <c:v>0.44444444444444442</c:v>
                </c:pt>
                <c:pt idx="26">
                  <c:v>#N/A</c:v>
                </c:pt>
                <c:pt idx="27">
                  <c:v>#N/A</c:v>
                </c:pt>
                <c:pt idx="28">
                  <c:v>#N/A</c:v>
                </c:pt>
                <c:pt idx="29">
                  <c:v>0.47368421052631576</c:v>
                </c:pt>
                <c:pt idx="30">
                  <c:v>#N/A</c:v>
                </c:pt>
                <c:pt idx="31">
                  <c:v>#N/A</c:v>
                </c:pt>
                <c:pt idx="32">
                  <c:v>#N/A</c:v>
                </c:pt>
                <c:pt idx="33">
                  <c:v>0.5</c:v>
                </c:pt>
                <c:pt idx="34">
                  <c:v>0.47619047619047616</c:v>
                </c:pt>
                <c:pt idx="35">
                  <c:v>0.45454545454545453</c:v>
                </c:pt>
                <c:pt idx="36">
                  <c:v>#N/A</c:v>
                </c:pt>
                <c:pt idx="37">
                  <c:v>0.47826086956521741</c:v>
                </c:pt>
                <c:pt idx="38">
                  <c:v>0.5</c:v>
                </c:pt>
                <c:pt idx="39">
                  <c:v>#N/A</c:v>
                </c:pt>
                <c:pt idx="40">
                  <c:v>#N/A</c:v>
                </c:pt>
                <c:pt idx="41">
                  <c:v>#N/A</c:v>
                </c:pt>
                <c:pt idx="42">
                  <c:v>#N/A</c:v>
                </c:pt>
                <c:pt idx="43">
                  <c:v>0.52</c:v>
                </c:pt>
                <c:pt idx="44">
                  <c:v>0.5</c:v>
                </c:pt>
                <c:pt idx="45">
                  <c:v>0.48148148148148145</c:v>
                </c:pt>
                <c:pt idx="46">
                  <c:v>#N/A</c:v>
                </c:pt>
                <c:pt idx="47">
                  <c:v>#N/A</c:v>
                </c:pt>
                <c:pt idx="48">
                  <c:v>#N/A</c:v>
                </c:pt>
                <c:pt idx="49">
                  <c:v>0.4642857142857143</c:v>
                </c:pt>
                <c:pt idx="50">
                  <c:v>0.44827586206896552</c:v>
                </c:pt>
                <c:pt idx="51">
                  <c:v>0.46666666666666667</c:v>
                </c:pt>
                <c:pt idx="52">
                  <c:v>#N/A</c:v>
                </c:pt>
                <c:pt idx="53">
                  <c:v>0.4838709677419355</c:v>
                </c:pt>
                <c:pt idx="54">
                  <c:v>0.5</c:v>
                </c:pt>
                <c:pt idx="55">
                  <c:v>#N/A</c:v>
                </c:pt>
                <c:pt idx="56">
                  <c:v>0.48484848484848486</c:v>
                </c:pt>
                <c:pt idx="57">
                  <c:v>#N/A</c:v>
                </c:pt>
                <c:pt idx="58">
                  <c:v>0.5</c:v>
                </c:pt>
                <c:pt idx="59">
                  <c:v>0.51428571428571423</c:v>
                </c:pt>
                <c:pt idx="60">
                  <c:v>0.52777777777777779</c:v>
                </c:pt>
                <c:pt idx="61">
                  <c:v>0.54054054054054057</c:v>
                </c:pt>
                <c:pt idx="62">
                  <c:v>0.55263157894736847</c:v>
                </c:pt>
                <c:pt idx="63">
                  <c:v>0.5641025641025641</c:v>
                </c:pt>
                <c:pt idx="64">
                  <c:v>0.55000000000000004</c:v>
                </c:pt>
                <c:pt idx="65">
                  <c:v>0.56097560975609762</c:v>
                </c:pt>
                <c:pt idx="66">
                  <c:v>#N/A</c:v>
                </c:pt>
                <c:pt idx="67">
                  <c:v>#N/A</c:v>
                </c:pt>
                <c:pt idx="68">
                  <c:v>#N/A</c:v>
                </c:pt>
                <c:pt idx="69">
                  <c:v>#N/A</c:v>
                </c:pt>
                <c:pt idx="70">
                  <c:v>#N/A</c:v>
                </c:pt>
                <c:pt idx="71">
                  <c:v>#N/A</c:v>
                </c:pt>
                <c:pt idx="72">
                  <c:v>0.5714285714285714</c:v>
                </c:pt>
                <c:pt idx="73">
                  <c:v>0.55813953488372092</c:v>
                </c:pt>
                <c:pt idx="74">
                  <c:v>0.56818181818181823</c:v>
                </c:pt>
                <c:pt idx="75">
                  <c:v>0.55555555555555558</c:v>
                </c:pt>
                <c:pt idx="76">
                  <c:v>0.56521739130434778</c:v>
                </c:pt>
                <c:pt idx="77">
                  <c:v>0.55319148936170215</c:v>
                </c:pt>
                <c:pt idx="78">
                  <c:v>0.54166666666666663</c:v>
                </c:pt>
                <c:pt idx="79">
                  <c:v>#N/A</c:v>
                </c:pt>
                <c:pt idx="80">
                  <c:v>0.55102040816326525</c:v>
                </c:pt>
                <c:pt idx="81">
                  <c:v>#N/A</c:v>
                </c:pt>
                <c:pt idx="82">
                  <c:v>#N/A</c:v>
                </c:pt>
                <c:pt idx="83">
                  <c:v>0.54</c:v>
                </c:pt>
                <c:pt idx="84">
                  <c:v>0.52941176470588236</c:v>
                </c:pt>
                <c:pt idx="85">
                  <c:v>#N/A</c:v>
                </c:pt>
                <c:pt idx="86">
                  <c:v>0.51923076923076927</c:v>
                </c:pt>
                <c:pt idx="87">
                  <c:v>#N/A</c:v>
                </c:pt>
                <c:pt idx="88">
                  <c:v>#N/A</c:v>
                </c:pt>
                <c:pt idx="89">
                  <c:v>0.50943396226415094</c:v>
                </c:pt>
                <c:pt idx="90">
                  <c:v>#N/A</c:v>
                </c:pt>
                <c:pt idx="91">
                  <c:v>#N/A</c:v>
                </c:pt>
                <c:pt idx="92">
                  <c:v>#N/A</c:v>
                </c:pt>
                <c:pt idx="93">
                  <c:v>0.5</c:v>
                </c:pt>
                <c:pt idx="94">
                  <c:v>0.49090909090909091</c:v>
                </c:pt>
                <c:pt idx="95">
                  <c:v>#N/A</c:v>
                </c:pt>
                <c:pt idx="96">
                  <c:v>#N/A</c:v>
                </c:pt>
                <c:pt idx="97">
                  <c:v>#N/A</c:v>
                </c:pt>
                <c:pt idx="98">
                  <c:v>#N/A</c:v>
                </c:pt>
                <c:pt idx="99">
                  <c:v>0.48214285714285715</c:v>
                </c:pt>
                <c:pt idx="100">
                  <c:v>#N/A</c:v>
                </c:pt>
                <c:pt idx="101">
                  <c:v>0.47368421052631576</c:v>
                </c:pt>
                <c:pt idx="102">
                  <c:v>0.46551724137931033</c:v>
                </c:pt>
                <c:pt idx="103">
                  <c:v>#N/A</c:v>
                </c:pt>
                <c:pt idx="104">
                  <c:v>0.4576271186440678</c:v>
                </c:pt>
                <c:pt idx="105">
                  <c:v>#N/A</c:v>
                </c:pt>
                <c:pt idx="106">
                  <c:v>#N/A</c:v>
                </c:pt>
                <c:pt idx="107">
                  <c:v>0.45</c:v>
                </c:pt>
                <c:pt idx="108">
                  <c:v>0.45901639344262296</c:v>
                </c:pt>
                <c:pt idx="109">
                  <c:v>0.45161290322580644</c:v>
                </c:pt>
                <c:pt idx="110">
                  <c:v>#N/A</c:v>
                </c:pt>
                <c:pt idx="111">
                  <c:v>#N/A</c:v>
                </c:pt>
                <c:pt idx="112">
                  <c:v>0.46031746031746029</c:v>
                </c:pt>
                <c:pt idx="113">
                  <c:v>0.46875</c:v>
                </c:pt>
                <c:pt idx="114">
                  <c:v>0.47692307692307695</c:v>
                </c:pt>
                <c:pt idx="115">
                  <c:v>0.48484848484848486</c:v>
                </c:pt>
                <c:pt idx="116">
                  <c:v>#N/A</c:v>
                </c:pt>
                <c:pt idx="117">
                  <c:v>#N/A</c:v>
                </c:pt>
                <c:pt idx="118">
                  <c:v>0.4925373134328358</c:v>
                </c:pt>
                <c:pt idx="119">
                  <c:v>0.48529411764705882</c:v>
                </c:pt>
                <c:pt idx="120">
                  <c:v>#N/A</c:v>
                </c:pt>
                <c:pt idx="121">
                  <c:v>#N/A</c:v>
                </c:pt>
                <c:pt idx="122">
                  <c:v>0.47826086956521741</c:v>
                </c:pt>
                <c:pt idx="123">
                  <c:v>0.47142857142857142</c:v>
                </c:pt>
                <c:pt idx="124">
                  <c:v>#N/A</c:v>
                </c:pt>
                <c:pt idx="125">
                  <c:v>0.47887323943661969</c:v>
                </c:pt>
                <c:pt idx="126">
                  <c:v>0.4861111111111111</c:v>
                </c:pt>
                <c:pt idx="127">
                  <c:v>#N/A</c:v>
                </c:pt>
                <c:pt idx="128">
                  <c:v>0.49315068493150682</c:v>
                </c:pt>
                <c:pt idx="129">
                  <c:v>#N/A</c:v>
                </c:pt>
                <c:pt idx="130">
                  <c:v>0.48648648648648651</c:v>
                </c:pt>
                <c:pt idx="131">
                  <c:v>#N/A</c:v>
                </c:pt>
                <c:pt idx="132">
                  <c:v>0.48</c:v>
                </c:pt>
                <c:pt idx="133">
                  <c:v>#N/A</c:v>
                </c:pt>
                <c:pt idx="134">
                  <c:v>#N/A</c:v>
                </c:pt>
                <c:pt idx="135">
                  <c:v>#N/A</c:v>
                </c:pt>
                <c:pt idx="136">
                  <c:v>#N/A</c:v>
                </c:pt>
                <c:pt idx="137">
                  <c:v>#N/A</c:v>
                </c:pt>
                <c:pt idx="138">
                  <c:v>#N/A</c:v>
                </c:pt>
                <c:pt idx="139">
                  <c:v>#N/A</c:v>
                </c:pt>
                <c:pt idx="140">
                  <c:v>0.47368421052631576</c:v>
                </c:pt>
                <c:pt idx="141">
                  <c:v>#N/A</c:v>
                </c:pt>
                <c:pt idx="142">
                  <c:v>#N/A</c:v>
                </c:pt>
                <c:pt idx="143">
                  <c:v>#N/A</c:v>
                </c:pt>
                <c:pt idx="144">
                  <c:v>#N/A</c:v>
                </c:pt>
                <c:pt idx="145">
                  <c:v>#N/A</c:v>
                </c:pt>
                <c:pt idx="146">
                  <c:v>#N/A</c:v>
                </c:pt>
                <c:pt idx="147">
                  <c:v>#N/A</c:v>
                </c:pt>
                <c:pt idx="148">
                  <c:v>0.48051948051948051</c:v>
                </c:pt>
                <c:pt idx="149">
                  <c:v>0.48717948717948717</c:v>
                </c:pt>
                <c:pt idx="150">
                  <c:v>0.48101265822784811</c:v>
                </c:pt>
                <c:pt idx="151">
                  <c:v>0.48749999999999999</c:v>
                </c:pt>
                <c:pt idx="152">
                  <c:v>#N/A</c:v>
                </c:pt>
                <c:pt idx="153">
                  <c:v>0.48148148148148145</c:v>
                </c:pt>
                <c:pt idx="154">
                  <c:v>0.47560975609756095</c:v>
                </c:pt>
                <c:pt idx="155">
                  <c:v>0.46987951807228917</c:v>
                </c:pt>
                <c:pt idx="156">
                  <c:v>#N/A</c:v>
                </c:pt>
                <c:pt idx="157">
                  <c:v>0.47619047619047616</c:v>
                </c:pt>
                <c:pt idx="158">
                  <c:v>0.4823529411764706</c:v>
                </c:pt>
                <c:pt idx="159">
                  <c:v>0.47674418604651164</c:v>
                </c:pt>
                <c:pt idx="160">
                  <c:v>0.48275862068965519</c:v>
                </c:pt>
                <c:pt idx="161">
                  <c:v>0.48863636363636365</c:v>
                </c:pt>
                <c:pt idx="162">
                  <c:v>#N/A</c:v>
                </c:pt>
                <c:pt idx="163">
                  <c:v>#N/A</c:v>
                </c:pt>
                <c:pt idx="164">
                  <c:v>0.4943820224719101</c:v>
                </c:pt>
                <c:pt idx="165">
                  <c:v>0.5</c:v>
                </c:pt>
                <c:pt idx="166">
                  <c:v>0.49450549450549453</c:v>
                </c:pt>
                <c:pt idx="167">
                  <c:v>0.4891304347826087</c:v>
                </c:pt>
                <c:pt idx="168">
                  <c:v>#N/A</c:v>
                </c:pt>
                <c:pt idx="169">
                  <c:v>0.4838709677419355</c:v>
                </c:pt>
                <c:pt idx="170">
                  <c:v>#N/A</c:v>
                </c:pt>
                <c:pt idx="171">
                  <c:v>0.47872340425531917</c:v>
                </c:pt>
                <c:pt idx="172">
                  <c:v>#N/A</c:v>
                </c:pt>
                <c:pt idx="173">
                  <c:v>0.48421052631578948</c:v>
                </c:pt>
                <c:pt idx="174">
                  <c:v>#N/A</c:v>
                </c:pt>
                <c:pt idx="175">
                  <c:v>0.48958333333333331</c:v>
                </c:pt>
                <c:pt idx="176">
                  <c:v>#N/A</c:v>
                </c:pt>
                <c:pt idx="177">
                  <c:v>0.49484536082474229</c:v>
                </c:pt>
                <c:pt idx="178">
                  <c:v>#N/A</c:v>
                </c:pt>
                <c:pt idx="179">
                  <c:v>#N/A</c:v>
                </c:pt>
                <c:pt idx="180">
                  <c:v>0.48979591836734693</c:v>
                </c:pt>
                <c:pt idx="181">
                  <c:v>0.48484848484848486</c:v>
                </c:pt>
                <c:pt idx="182">
                  <c:v>0.49</c:v>
                </c:pt>
                <c:pt idx="183">
                  <c:v>0.49504950495049505</c:v>
                </c:pt>
                <c:pt idx="184">
                  <c:v>#N/A</c:v>
                </c:pt>
                <c:pt idx="185">
                  <c:v>#N/A</c:v>
                </c:pt>
                <c:pt idx="186">
                  <c:v>#N/A</c:v>
                </c:pt>
                <c:pt idx="187">
                  <c:v>0.5</c:v>
                </c:pt>
                <c:pt idx="188">
                  <c:v>#N/A</c:v>
                </c:pt>
                <c:pt idx="189">
                  <c:v>#N/A</c:v>
                </c:pt>
                <c:pt idx="190">
                  <c:v>0.50485436893203883</c:v>
                </c:pt>
                <c:pt idx="191">
                  <c:v>#N/A</c:v>
                </c:pt>
                <c:pt idx="192">
                  <c:v>0.5</c:v>
                </c:pt>
                <c:pt idx="193">
                  <c:v>#N/A</c:v>
                </c:pt>
                <c:pt idx="194">
                  <c:v>#N/A</c:v>
                </c:pt>
                <c:pt idx="195">
                  <c:v>0.50476190476190474</c:v>
                </c:pt>
                <c:pt idx="196">
                  <c:v>0.50943396226415094</c:v>
                </c:pt>
                <c:pt idx="197">
                  <c:v>#N/A</c:v>
                </c:pt>
                <c:pt idx="198">
                  <c:v>#N/A</c:v>
                </c:pt>
                <c:pt idx="199">
                  <c:v>#N/A</c:v>
                </c:pt>
                <c:pt idx="200">
                  <c:v>#N/A</c:v>
                </c:pt>
                <c:pt idx="201">
                  <c:v>#N/A</c:v>
                </c:pt>
                <c:pt idx="202">
                  <c:v>0.51401869158878499</c:v>
                </c:pt>
                <c:pt idx="203">
                  <c:v>#N/A</c:v>
                </c:pt>
                <c:pt idx="204">
                  <c:v>0.51851851851851849</c:v>
                </c:pt>
                <c:pt idx="205">
                  <c:v>0.51376146788990829</c:v>
                </c:pt>
                <c:pt idx="206">
                  <c:v>0.51818181818181819</c:v>
                </c:pt>
                <c:pt idx="207">
                  <c:v>#N/A</c:v>
                </c:pt>
                <c:pt idx="208">
                  <c:v>0.51351351351351349</c:v>
                </c:pt>
                <c:pt idx="209">
                  <c:v>#N/A</c:v>
                </c:pt>
                <c:pt idx="210">
                  <c:v>0.5089285714285714</c:v>
                </c:pt>
                <c:pt idx="211">
                  <c:v>0.50442477876106195</c:v>
                </c:pt>
                <c:pt idx="212">
                  <c:v>0.5</c:v>
                </c:pt>
                <c:pt idx="213">
                  <c:v>#N/A</c:v>
                </c:pt>
                <c:pt idx="214">
                  <c:v>#N/A</c:v>
                </c:pt>
                <c:pt idx="215">
                  <c:v>#N/A</c:v>
                </c:pt>
                <c:pt idx="216">
                  <c:v>0.5043478260869565</c:v>
                </c:pt>
                <c:pt idx="217">
                  <c:v>#N/A</c:v>
                </c:pt>
                <c:pt idx="218">
                  <c:v>#N/A</c:v>
                </c:pt>
                <c:pt idx="219">
                  <c:v>0.50862068965517238</c:v>
                </c:pt>
                <c:pt idx="220">
                  <c:v>#N/A</c:v>
                </c:pt>
                <c:pt idx="221">
                  <c:v>0.51282051282051277</c:v>
                </c:pt>
                <c:pt idx="222">
                  <c:v>#N/A</c:v>
                </c:pt>
                <c:pt idx="223">
                  <c:v>#N/A</c:v>
                </c:pt>
                <c:pt idx="224">
                  <c:v>0.51694915254237284</c:v>
                </c:pt>
                <c:pt idx="225">
                  <c:v>#N/A</c:v>
                </c:pt>
                <c:pt idx="226">
                  <c:v>0.51260504201680668</c:v>
                </c:pt>
                <c:pt idx="227">
                  <c:v>#N/A</c:v>
                </c:pt>
                <c:pt idx="228">
                  <c:v>0.5083333333333333</c:v>
                </c:pt>
                <c:pt idx="229">
                  <c:v>0.50413223140495866</c:v>
                </c:pt>
                <c:pt idx="230">
                  <c:v>#N/A</c:v>
                </c:pt>
                <c:pt idx="231">
                  <c:v>0.5</c:v>
                </c:pt>
                <c:pt idx="232">
                  <c:v>0.50406504065040647</c:v>
                </c:pt>
                <c:pt idx="233">
                  <c:v>0.50806451612903225</c:v>
                </c:pt>
                <c:pt idx="234">
                  <c:v>#N/A</c:v>
                </c:pt>
                <c:pt idx="235">
                  <c:v>#N/A</c:v>
                </c:pt>
                <c:pt idx="236">
                  <c:v>#N/A</c:v>
                </c:pt>
                <c:pt idx="237">
                  <c:v>0.504</c:v>
                </c:pt>
                <c:pt idx="238">
                  <c:v>0.5</c:v>
                </c:pt>
                <c:pt idx="239">
                  <c:v>0.50393700787401574</c:v>
                </c:pt>
                <c:pt idx="240">
                  <c:v>#N/A</c:v>
                </c:pt>
                <c:pt idx="241">
                  <c:v>#N/A</c:v>
                </c:pt>
                <c:pt idx="242">
                  <c:v>0.5078125</c:v>
                </c:pt>
                <c:pt idx="243">
                  <c:v>#N/A</c:v>
                </c:pt>
                <c:pt idx="244">
                  <c:v>0.50387596899224807</c:v>
                </c:pt>
                <c:pt idx="245">
                  <c:v>#N/A</c:v>
                </c:pt>
                <c:pt idx="246">
                  <c:v>#N/A</c:v>
                </c:pt>
                <c:pt idx="247">
                  <c:v>#N/A</c:v>
                </c:pt>
                <c:pt idx="248">
                  <c:v>#N/A</c:v>
                </c:pt>
                <c:pt idx="249">
                  <c:v>#N/A</c:v>
                </c:pt>
                <c:pt idx="250">
                  <c:v>#N/A</c:v>
                </c:pt>
                <c:pt idx="251">
                  <c:v>0.5</c:v>
                </c:pt>
                <c:pt idx="252">
                  <c:v>0.49618320610687022</c:v>
                </c:pt>
                <c:pt idx="253">
                  <c:v>#N/A</c:v>
                </c:pt>
                <c:pt idx="254">
                  <c:v>#N/A</c:v>
                </c:pt>
                <c:pt idx="255">
                  <c:v>#N/A</c:v>
                </c:pt>
                <c:pt idx="256">
                  <c:v>0.49242424242424243</c:v>
                </c:pt>
                <c:pt idx="257">
                  <c:v>#N/A</c:v>
                </c:pt>
                <c:pt idx="258">
                  <c:v>#N/A</c:v>
                </c:pt>
                <c:pt idx="259">
                  <c:v>#N/A</c:v>
                </c:pt>
                <c:pt idx="260">
                  <c:v>#N/A</c:v>
                </c:pt>
                <c:pt idx="261">
                  <c:v>#N/A</c:v>
                </c:pt>
                <c:pt idx="262">
                  <c:v>#N/A</c:v>
                </c:pt>
                <c:pt idx="263">
                  <c:v>0.48872180451127817</c:v>
                </c:pt>
                <c:pt idx="264">
                  <c:v>#N/A</c:v>
                </c:pt>
                <c:pt idx="265">
                  <c:v>#N/A</c:v>
                </c:pt>
                <c:pt idx="266">
                  <c:v>0.4925373134328358</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0.49629629629629629</c:v>
                </c:pt>
                <c:pt idx="281">
                  <c:v>0.49264705882352944</c:v>
                </c:pt>
                <c:pt idx="282">
                  <c:v>#N/A</c:v>
                </c:pt>
                <c:pt idx="283">
                  <c:v>#N/A</c:v>
                </c:pt>
                <c:pt idx="284">
                  <c:v>0.48905109489051096</c:v>
                </c:pt>
                <c:pt idx="285">
                  <c:v>#N/A</c:v>
                </c:pt>
                <c:pt idx="286">
                  <c:v>0.49275362318840582</c:v>
                </c:pt>
                <c:pt idx="287">
                  <c:v>#N/A</c:v>
                </c:pt>
                <c:pt idx="288">
                  <c:v>0.49640287769784175</c:v>
                </c:pt>
                <c:pt idx="289">
                  <c:v>#N/A</c:v>
                </c:pt>
                <c:pt idx="290">
                  <c:v>#N/A</c:v>
                </c:pt>
                <c:pt idx="291">
                  <c:v>#N/A</c:v>
                </c:pt>
                <c:pt idx="292">
                  <c:v>#N/A</c:v>
                </c:pt>
                <c:pt idx="293">
                  <c:v>0.49285714285714288</c:v>
                </c:pt>
                <c:pt idx="294">
                  <c:v>#N/A</c:v>
                </c:pt>
                <c:pt idx="295">
                  <c:v>#N/A</c:v>
                </c:pt>
                <c:pt idx="296">
                  <c:v>#N/A</c:v>
                </c:pt>
                <c:pt idx="297">
                  <c:v>#N/A</c:v>
                </c:pt>
                <c:pt idx="298">
                  <c:v>#N/A</c:v>
                </c:pt>
                <c:pt idx="299">
                  <c:v>0.48936170212765956</c:v>
                </c:pt>
                <c:pt idx="300">
                  <c:v>0.49295774647887325</c:v>
                </c:pt>
                <c:pt idx="301">
                  <c:v>0.49650349650349651</c:v>
                </c:pt>
                <c:pt idx="302">
                  <c:v>#N/A</c:v>
                </c:pt>
                <c:pt idx="303">
                  <c:v>0.5</c:v>
                </c:pt>
                <c:pt idx="304">
                  <c:v>#N/A</c:v>
                </c:pt>
                <c:pt idx="305">
                  <c:v>0.50344827586206897</c:v>
                </c:pt>
                <c:pt idx="306">
                  <c:v>0.50684931506849318</c:v>
                </c:pt>
                <c:pt idx="307">
                  <c:v>0.51020408163265307</c:v>
                </c:pt>
                <c:pt idx="308">
                  <c:v>#N/A</c:v>
                </c:pt>
                <c:pt idx="309">
                  <c:v>#N/A</c:v>
                </c:pt>
                <c:pt idx="310">
                  <c:v>#N/A</c:v>
                </c:pt>
                <c:pt idx="311">
                  <c:v>#N/A</c:v>
                </c:pt>
                <c:pt idx="312">
                  <c:v>#N/A</c:v>
                </c:pt>
                <c:pt idx="313">
                  <c:v>#N/A</c:v>
                </c:pt>
                <c:pt idx="314">
                  <c:v>#N/A</c:v>
                </c:pt>
                <c:pt idx="315">
                  <c:v>#N/A</c:v>
                </c:pt>
                <c:pt idx="316">
                  <c:v>#N/A</c:v>
                </c:pt>
                <c:pt idx="317">
                  <c:v>#N/A</c:v>
                </c:pt>
                <c:pt idx="318">
                  <c:v>0.5067567567567568</c:v>
                </c:pt>
                <c:pt idx="319">
                  <c:v>0.51006711409395977</c:v>
                </c:pt>
                <c:pt idx="320">
                  <c:v>#N/A</c:v>
                </c:pt>
                <c:pt idx="321">
                  <c:v>0.51333333333333331</c:v>
                </c:pt>
                <c:pt idx="322">
                  <c:v>0.51655629139072845</c:v>
                </c:pt>
                <c:pt idx="323">
                  <c:v>0.51315789473684215</c:v>
                </c:pt>
                <c:pt idx="324">
                  <c:v>#N/A</c:v>
                </c:pt>
                <c:pt idx="325">
                  <c:v>0.5163398692810458</c:v>
                </c:pt>
                <c:pt idx="326">
                  <c:v>#N/A</c:v>
                </c:pt>
                <c:pt idx="327">
                  <c:v>0.51298701298701299</c:v>
                </c:pt>
                <c:pt idx="328">
                  <c:v>0.50967741935483868</c:v>
                </c:pt>
                <c:pt idx="329">
                  <c:v>#N/A</c:v>
                </c:pt>
                <c:pt idx="330">
                  <c:v>#N/A</c:v>
                </c:pt>
                <c:pt idx="331">
                  <c:v>0.51282051282051277</c:v>
                </c:pt>
                <c:pt idx="332">
                  <c:v>0.51592356687898089</c:v>
                </c:pt>
                <c:pt idx="333">
                  <c:v>0.51898734177215189</c:v>
                </c:pt>
                <c:pt idx="334">
                  <c:v>#N/A</c:v>
                </c:pt>
                <c:pt idx="335">
                  <c:v>0.5220125786163522</c:v>
                </c:pt>
                <c:pt idx="336">
                  <c:v>0.51875000000000004</c:v>
                </c:pt>
                <c:pt idx="337">
                  <c:v>#N/A</c:v>
                </c:pt>
                <c:pt idx="338">
                  <c:v>#N/A</c:v>
                </c:pt>
                <c:pt idx="339">
                  <c:v>0.51552795031055898</c:v>
                </c:pt>
                <c:pt idx="340">
                  <c:v>0.51234567901234573</c:v>
                </c:pt>
                <c:pt idx="341">
                  <c:v>#N/A</c:v>
                </c:pt>
                <c:pt idx="342">
                  <c:v>#N/A</c:v>
                </c:pt>
                <c:pt idx="343">
                  <c:v>0.51533742331288346</c:v>
                </c:pt>
                <c:pt idx="344">
                  <c:v>0.51219512195121952</c:v>
                </c:pt>
                <c:pt idx="345">
                  <c:v>#N/A</c:v>
                </c:pt>
                <c:pt idx="346">
                  <c:v>#N/A</c:v>
                </c:pt>
                <c:pt idx="347">
                  <c:v>0.51515151515151514</c:v>
                </c:pt>
                <c:pt idx="348">
                  <c:v>#N/A</c:v>
                </c:pt>
                <c:pt idx="349">
                  <c:v>#N/A</c:v>
                </c:pt>
                <c:pt idx="350">
                  <c:v>#N/A</c:v>
                </c:pt>
                <c:pt idx="351">
                  <c:v>0.51204819277108438</c:v>
                </c:pt>
                <c:pt idx="352">
                  <c:v>0.50898203592814373</c:v>
                </c:pt>
                <c:pt idx="353">
                  <c:v>#N/A</c:v>
                </c:pt>
                <c:pt idx="354">
                  <c:v>#N/A</c:v>
                </c:pt>
                <c:pt idx="355">
                  <c:v>0.50595238095238093</c:v>
                </c:pt>
                <c:pt idx="356">
                  <c:v>0.50295857988165682</c:v>
                </c:pt>
                <c:pt idx="357">
                  <c:v>#N/A</c:v>
                </c:pt>
                <c:pt idx="358">
                  <c:v>#N/A</c:v>
                </c:pt>
                <c:pt idx="359">
                  <c:v>#N/A</c:v>
                </c:pt>
                <c:pt idx="360">
                  <c:v>0.5</c:v>
                </c:pt>
                <c:pt idx="361">
                  <c:v>0.49707602339181284</c:v>
                </c:pt>
                <c:pt idx="362">
                  <c:v>0.5</c:v>
                </c:pt>
                <c:pt idx="363">
                  <c:v>#N/A</c:v>
                </c:pt>
                <c:pt idx="364">
                  <c:v>0.49710982658959535</c:v>
                </c:pt>
                <c:pt idx="365">
                  <c:v>#N/A</c:v>
                </c:pt>
                <c:pt idx="366">
                  <c:v>#N/A</c:v>
                </c:pt>
                <c:pt idx="367">
                  <c:v>#N/A</c:v>
                </c:pt>
                <c:pt idx="368">
                  <c:v>0.5</c:v>
                </c:pt>
                <c:pt idx="369">
                  <c:v>0.50285714285714289</c:v>
                </c:pt>
                <c:pt idx="370">
                  <c:v>#N/A</c:v>
                </c:pt>
                <c:pt idx="371">
                  <c:v>0.50568181818181823</c:v>
                </c:pt>
                <c:pt idx="372">
                  <c:v>0.50282485875706218</c:v>
                </c:pt>
                <c:pt idx="373">
                  <c:v>0.5056179775280899</c:v>
                </c:pt>
                <c:pt idx="374">
                  <c:v>0.50837988826815639</c:v>
                </c:pt>
                <c:pt idx="375">
                  <c:v>0.50555555555555554</c:v>
                </c:pt>
                <c:pt idx="376">
                  <c:v>0.50276243093922657</c:v>
                </c:pt>
                <c:pt idx="377">
                  <c:v>0.50549450549450547</c:v>
                </c:pt>
                <c:pt idx="378">
                  <c:v>0.50273224043715847</c:v>
                </c:pt>
                <c:pt idx="379">
                  <c:v>0.5</c:v>
                </c:pt>
                <c:pt idx="380">
                  <c:v>0.49729729729729732</c:v>
                </c:pt>
                <c:pt idx="381">
                  <c:v>0.5</c:v>
                </c:pt>
                <c:pt idx="382">
                  <c:v>#N/A</c:v>
                </c:pt>
                <c:pt idx="383">
                  <c:v>0.50267379679144386</c:v>
                </c:pt>
                <c:pt idx="384">
                  <c:v>0.5</c:v>
                </c:pt>
                <c:pt idx="385">
                  <c:v>#N/A</c:v>
                </c:pt>
                <c:pt idx="386">
                  <c:v>0.49735449735449733</c:v>
                </c:pt>
                <c:pt idx="387">
                  <c:v>#N/A</c:v>
                </c:pt>
                <c:pt idx="388">
                  <c:v>#N/A</c:v>
                </c:pt>
                <c:pt idx="389">
                  <c:v>#N/A</c:v>
                </c:pt>
                <c:pt idx="390">
                  <c:v>0.5</c:v>
                </c:pt>
                <c:pt idx="391">
                  <c:v>#N/A</c:v>
                </c:pt>
                <c:pt idx="392">
                  <c:v>#N/A</c:v>
                </c:pt>
                <c:pt idx="393">
                  <c:v>0.49738219895287961</c:v>
                </c:pt>
                <c:pt idx="394">
                  <c:v>0.5</c:v>
                </c:pt>
                <c:pt idx="395">
                  <c:v>0.49740932642487046</c:v>
                </c:pt>
                <c:pt idx="396">
                  <c:v>#N/A</c:v>
                </c:pt>
                <c:pt idx="397">
                  <c:v>0.5</c:v>
                </c:pt>
                <c:pt idx="398">
                  <c:v>#N/A</c:v>
                </c:pt>
                <c:pt idx="399">
                  <c:v>#N/A</c:v>
                </c:pt>
                <c:pt idx="400">
                  <c:v>#N/A</c:v>
                </c:pt>
                <c:pt idx="401">
                  <c:v>0.49743589743589745</c:v>
                </c:pt>
                <c:pt idx="402">
                  <c:v>0.49489795918367346</c:v>
                </c:pt>
                <c:pt idx="403">
                  <c:v>#N/A</c:v>
                </c:pt>
                <c:pt idx="404">
                  <c:v>0.49746192893401014</c:v>
                </c:pt>
                <c:pt idx="405">
                  <c:v>#N/A</c:v>
                </c:pt>
                <c:pt idx="406">
                  <c:v>0.49494949494949497</c:v>
                </c:pt>
                <c:pt idx="407">
                  <c:v>#N/A</c:v>
                </c:pt>
                <c:pt idx="408">
                  <c:v>#N/A</c:v>
                </c:pt>
                <c:pt idx="409">
                  <c:v>#N/A</c:v>
                </c:pt>
                <c:pt idx="410">
                  <c:v>0.49748743718592964</c:v>
                </c:pt>
                <c:pt idx="411">
                  <c:v>#N/A</c:v>
                </c:pt>
                <c:pt idx="412">
                  <c:v>#N/A</c:v>
                </c:pt>
                <c:pt idx="413">
                  <c:v>0.5</c:v>
                </c:pt>
                <c:pt idx="414">
                  <c:v>0.50248756218905477</c:v>
                </c:pt>
                <c:pt idx="415">
                  <c:v>#N/A</c:v>
                </c:pt>
                <c:pt idx="416">
                  <c:v>#N/A</c:v>
                </c:pt>
                <c:pt idx="417">
                  <c:v>#N/A</c:v>
                </c:pt>
                <c:pt idx="418">
                  <c:v>0.50495049504950495</c:v>
                </c:pt>
              </c:numCache>
            </c:numRef>
          </c:val>
          <c:smooth val="0"/>
          <c:extLst>
            <c:ext xmlns:c16="http://schemas.microsoft.com/office/drawing/2014/chart" uri="{C3380CC4-5D6E-409C-BE32-E72D297353CC}">
              <c16:uniqueId val="{00000000-5E54-4205-AF19-8C86F76AF0E6}"/>
            </c:ext>
          </c:extLst>
        </c:ser>
        <c:dLbls>
          <c:showLegendKey val="0"/>
          <c:showVal val="0"/>
          <c:showCatName val="0"/>
          <c:showSerName val="0"/>
          <c:showPercent val="0"/>
          <c:showBubbleSize val="0"/>
        </c:dLbls>
        <c:smooth val="0"/>
        <c:axId val="1294602272"/>
        <c:axId val="1703406928"/>
      </c:lineChart>
      <c:catAx>
        <c:axId val="1294602272"/>
        <c:scaling>
          <c:orientation val="minMax"/>
        </c:scaling>
        <c:delete val="0"/>
        <c:axPos val="b"/>
        <c:majorTickMark val="none"/>
        <c:minorTickMark val="none"/>
        <c:tickLblPos val="low"/>
        <c:spPr>
          <a:noFill/>
          <a:ln w="9525" cap="flat" cmpd="sng" algn="ctr">
            <a:solidFill>
              <a:sysClr val="windowText" lastClr="000000"/>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703406928"/>
        <c:crosses val="autoZero"/>
        <c:auto val="1"/>
        <c:lblAlgn val="ctr"/>
        <c:lblOffset val="100"/>
        <c:noMultiLvlLbl val="0"/>
      </c:catAx>
      <c:valAx>
        <c:axId val="1703406928"/>
        <c:scaling>
          <c:orientation val="minMax"/>
          <c:max val="0.60000000000000009"/>
          <c:min val="0.4"/>
        </c:scaling>
        <c:delete val="0"/>
        <c:axPos val="l"/>
        <c:majorGridlines>
          <c:spPr>
            <a:ln w="9525" cap="flat" cmpd="sng" algn="ctr">
              <a:solidFill>
                <a:schemeClr val="tx1">
                  <a:lumMod val="75000"/>
                  <a:lumOff val="25000"/>
                </a:schemeClr>
              </a:solidFill>
              <a:prstDash val="dash"/>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294602272"/>
        <c:crosses val="autoZero"/>
        <c:crossBetween val="between"/>
        <c:majorUnit val="0.1"/>
      </c:valAx>
      <c:spPr>
        <a:noFill/>
        <a:ln>
          <a:noFill/>
        </a:ln>
        <a:effectLst/>
      </c:spPr>
    </c:plotArea>
    <c:plotVisOnly val="0"/>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US" sz="1600" b="1">
                <a:solidFill>
                  <a:sysClr val="windowText" lastClr="000000"/>
                </a:solidFill>
              </a:rPr>
              <a:t>% of Gap</a:t>
            </a:r>
            <a:r>
              <a:rPr lang="en-US" sz="1600" b="1" baseline="0">
                <a:solidFill>
                  <a:sysClr val="windowText" lastClr="000000"/>
                </a:solidFill>
              </a:rPr>
              <a:t> Downs from Down Trends</a:t>
            </a:r>
            <a:endParaRPr lang="en-US"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2">
                  <a:lumMod val="50000"/>
                </a:schemeClr>
              </a:solidFill>
              <a:round/>
            </a:ln>
            <a:effectLst>
              <a:glow rad="63500">
                <a:schemeClr val="accent2">
                  <a:satMod val="175000"/>
                  <a:alpha val="40000"/>
                </a:schemeClr>
              </a:glow>
            </a:effectLst>
          </c:spPr>
          <c:marker>
            <c:symbol val="none"/>
          </c:marker>
          <c:val>
            <c:numRef>
              <c:f>'2025-Q2'!$BP$4:$BP$422</c:f>
              <c:numCache>
                <c:formatCode>0%</c:formatCode>
                <c:ptCount val="419"/>
                <c:pt idx="0">
                  <c:v>0</c:v>
                </c:pt>
                <c:pt idx="1">
                  <c:v>0.5</c:v>
                </c:pt>
                <c:pt idx="2">
                  <c:v>#N/A</c:v>
                </c:pt>
                <c:pt idx="3">
                  <c:v>#N/A</c:v>
                </c:pt>
                <c:pt idx="4">
                  <c:v>#N/A</c:v>
                </c:pt>
                <c:pt idx="5">
                  <c:v>#N/A</c:v>
                </c:pt>
                <c:pt idx="6">
                  <c:v>#N/A</c:v>
                </c:pt>
                <c:pt idx="7">
                  <c:v>#N/A</c:v>
                </c:pt>
                <c:pt idx="8">
                  <c:v>#N/A</c:v>
                </c:pt>
                <c:pt idx="9">
                  <c:v>0.66666666666666663</c:v>
                </c:pt>
                <c:pt idx="10">
                  <c:v>#N/A</c:v>
                </c:pt>
                <c:pt idx="11">
                  <c:v>#N/A</c:v>
                </c:pt>
                <c:pt idx="12">
                  <c:v>0.75</c:v>
                </c:pt>
                <c:pt idx="13">
                  <c:v>#N/A</c:v>
                </c:pt>
                <c:pt idx="14">
                  <c:v>0.8</c:v>
                </c:pt>
                <c:pt idx="15">
                  <c:v>#N/A</c:v>
                </c:pt>
                <c:pt idx="16">
                  <c:v>0.83333333333333337</c:v>
                </c:pt>
                <c:pt idx="17">
                  <c:v>0.8571428571428571</c:v>
                </c:pt>
                <c:pt idx="18">
                  <c:v>#N/A</c:v>
                </c:pt>
                <c:pt idx="19">
                  <c:v>#N/A</c:v>
                </c:pt>
                <c:pt idx="20">
                  <c:v>#N/A</c:v>
                </c:pt>
                <c:pt idx="21">
                  <c:v>#N/A</c:v>
                </c:pt>
                <c:pt idx="22">
                  <c:v>0.875</c:v>
                </c:pt>
                <c:pt idx="23">
                  <c:v>#N/A</c:v>
                </c:pt>
                <c:pt idx="24">
                  <c:v>#N/A</c:v>
                </c:pt>
                <c:pt idx="25">
                  <c:v>#N/A</c:v>
                </c:pt>
                <c:pt idx="26">
                  <c:v>0.88888888888888884</c:v>
                </c:pt>
                <c:pt idx="27">
                  <c:v>0.8</c:v>
                </c:pt>
                <c:pt idx="28">
                  <c:v>0.72727272727272729</c:v>
                </c:pt>
                <c:pt idx="29">
                  <c:v>#N/A</c:v>
                </c:pt>
                <c:pt idx="30">
                  <c:v>0.66666666666666663</c:v>
                </c:pt>
                <c:pt idx="31">
                  <c:v>0.69230769230769229</c:v>
                </c:pt>
                <c:pt idx="32">
                  <c:v>0.6428571428571429</c:v>
                </c:pt>
                <c:pt idx="33">
                  <c:v>#N/A</c:v>
                </c:pt>
                <c:pt idx="34">
                  <c:v>#N/A</c:v>
                </c:pt>
                <c:pt idx="35">
                  <c:v>#N/A</c:v>
                </c:pt>
                <c:pt idx="36">
                  <c:v>0.6</c:v>
                </c:pt>
                <c:pt idx="37">
                  <c:v>#N/A</c:v>
                </c:pt>
                <c:pt idx="38">
                  <c:v>#N/A</c:v>
                </c:pt>
                <c:pt idx="39">
                  <c:v>#N/A</c:v>
                </c:pt>
                <c:pt idx="40">
                  <c:v>0.5625</c:v>
                </c:pt>
                <c:pt idx="41">
                  <c:v>0.52941176470588236</c:v>
                </c:pt>
                <c:pt idx="42">
                  <c:v>0.55555555555555558</c:v>
                </c:pt>
                <c:pt idx="43">
                  <c:v>#N/A</c:v>
                </c:pt>
                <c:pt idx="44">
                  <c:v>#N/A</c:v>
                </c:pt>
                <c:pt idx="45">
                  <c:v>#N/A</c:v>
                </c:pt>
                <c:pt idx="46">
                  <c:v>0.52631578947368418</c:v>
                </c:pt>
                <c:pt idx="47">
                  <c:v>#N/A</c:v>
                </c:pt>
                <c:pt idx="48">
                  <c:v>0.5</c:v>
                </c:pt>
                <c:pt idx="49">
                  <c:v>#N/A</c:v>
                </c:pt>
                <c:pt idx="50">
                  <c:v>#N/A</c:v>
                </c:pt>
                <c:pt idx="51">
                  <c:v>#N/A</c:v>
                </c:pt>
                <c:pt idx="52">
                  <c:v>0.47619047619047616</c:v>
                </c:pt>
                <c:pt idx="53">
                  <c:v>#N/A</c:v>
                </c:pt>
                <c:pt idx="54">
                  <c:v>#N/A</c:v>
                </c:pt>
                <c:pt idx="55">
                  <c:v>0.5</c:v>
                </c:pt>
                <c:pt idx="56">
                  <c:v>#N/A</c:v>
                </c:pt>
                <c:pt idx="57">
                  <c:v>0.52173913043478259</c:v>
                </c:pt>
                <c:pt idx="58">
                  <c:v>#N/A</c:v>
                </c:pt>
                <c:pt idx="59">
                  <c:v>#N/A</c:v>
                </c:pt>
                <c:pt idx="60">
                  <c:v>#N/A</c:v>
                </c:pt>
                <c:pt idx="61">
                  <c:v>#N/A</c:v>
                </c:pt>
                <c:pt idx="62">
                  <c:v>#N/A</c:v>
                </c:pt>
                <c:pt idx="63">
                  <c:v>#N/A</c:v>
                </c:pt>
                <c:pt idx="64">
                  <c:v>#N/A</c:v>
                </c:pt>
                <c:pt idx="65">
                  <c:v>#N/A</c:v>
                </c:pt>
                <c:pt idx="66">
                  <c:v>0.5</c:v>
                </c:pt>
                <c:pt idx="67">
                  <c:v>0.48</c:v>
                </c:pt>
                <c:pt idx="68">
                  <c:v>0.5</c:v>
                </c:pt>
                <c:pt idx="69">
                  <c:v>#N/A</c:v>
                </c:pt>
                <c:pt idx="70">
                  <c:v>0.51851851851851849</c:v>
                </c:pt>
                <c:pt idx="71">
                  <c:v>#N/A</c:v>
                </c:pt>
                <c:pt idx="72">
                  <c:v>#N/A</c:v>
                </c:pt>
                <c:pt idx="73">
                  <c:v>#N/A</c:v>
                </c:pt>
                <c:pt idx="74">
                  <c:v>#N/A</c:v>
                </c:pt>
                <c:pt idx="75">
                  <c:v>#N/A</c:v>
                </c:pt>
                <c:pt idx="76">
                  <c:v>#N/A</c:v>
                </c:pt>
                <c:pt idx="77">
                  <c:v>#N/A</c:v>
                </c:pt>
                <c:pt idx="78">
                  <c:v>#N/A</c:v>
                </c:pt>
                <c:pt idx="79">
                  <c:v>0.5</c:v>
                </c:pt>
                <c:pt idx="80">
                  <c:v>#N/A</c:v>
                </c:pt>
                <c:pt idx="81">
                  <c:v>0.48275862068965519</c:v>
                </c:pt>
                <c:pt idx="82">
                  <c:v>0.46666666666666667</c:v>
                </c:pt>
                <c:pt idx="83">
                  <c:v>#N/A</c:v>
                </c:pt>
                <c:pt idx="84">
                  <c:v>#N/A</c:v>
                </c:pt>
                <c:pt idx="85">
                  <c:v>0.45161290322580644</c:v>
                </c:pt>
                <c:pt idx="86">
                  <c:v>#N/A</c:v>
                </c:pt>
                <c:pt idx="87">
                  <c:v>0.46875</c:v>
                </c:pt>
                <c:pt idx="88">
                  <c:v>0.48484848484848486</c:v>
                </c:pt>
                <c:pt idx="89">
                  <c:v>#N/A</c:v>
                </c:pt>
                <c:pt idx="90">
                  <c:v>0.5</c:v>
                </c:pt>
                <c:pt idx="91">
                  <c:v>0.48571428571428571</c:v>
                </c:pt>
                <c:pt idx="92">
                  <c:v>0.5</c:v>
                </c:pt>
                <c:pt idx="93">
                  <c:v>#N/A</c:v>
                </c:pt>
                <c:pt idx="94">
                  <c:v>#N/A</c:v>
                </c:pt>
                <c:pt idx="95">
                  <c:v>0.51351351351351349</c:v>
                </c:pt>
                <c:pt idx="96">
                  <c:v>0.52631578947368418</c:v>
                </c:pt>
                <c:pt idx="97">
                  <c:v>0.53846153846153844</c:v>
                </c:pt>
                <c:pt idx="98">
                  <c:v>0.52500000000000002</c:v>
                </c:pt>
                <c:pt idx="99">
                  <c:v>#N/A</c:v>
                </c:pt>
                <c:pt idx="100">
                  <c:v>0.51219512195121952</c:v>
                </c:pt>
                <c:pt idx="101">
                  <c:v>#N/A</c:v>
                </c:pt>
                <c:pt idx="102">
                  <c:v>#N/A</c:v>
                </c:pt>
                <c:pt idx="103">
                  <c:v>#N/A</c:v>
                </c:pt>
                <c:pt idx="104">
                  <c:v>#N/A</c:v>
                </c:pt>
                <c:pt idx="105">
                  <c:v>0.52380952380952384</c:v>
                </c:pt>
                <c:pt idx="106">
                  <c:v>#N/A</c:v>
                </c:pt>
                <c:pt idx="107">
                  <c:v>#N/A</c:v>
                </c:pt>
                <c:pt idx="108">
                  <c:v>#N/A</c:v>
                </c:pt>
                <c:pt idx="109">
                  <c:v>#N/A</c:v>
                </c:pt>
                <c:pt idx="110">
                  <c:v>0.53488372093023251</c:v>
                </c:pt>
                <c:pt idx="111">
                  <c:v>0.54545454545454541</c:v>
                </c:pt>
                <c:pt idx="112">
                  <c:v>#N/A</c:v>
                </c:pt>
                <c:pt idx="113">
                  <c:v>#N/A</c:v>
                </c:pt>
                <c:pt idx="114">
                  <c:v>#N/A</c:v>
                </c:pt>
                <c:pt idx="115">
                  <c:v>#N/A</c:v>
                </c:pt>
                <c:pt idx="116">
                  <c:v>0.55555555555555558</c:v>
                </c:pt>
                <c:pt idx="117">
                  <c:v>0.56521739130434778</c:v>
                </c:pt>
                <c:pt idx="118">
                  <c:v>#N/A</c:v>
                </c:pt>
                <c:pt idx="119">
                  <c:v>#N/A</c:v>
                </c:pt>
                <c:pt idx="120">
                  <c:v>0.57446808510638303</c:v>
                </c:pt>
                <c:pt idx="121">
                  <c:v>#N/A</c:v>
                </c:pt>
                <c:pt idx="122">
                  <c:v>#N/A</c:v>
                </c:pt>
                <c:pt idx="123">
                  <c:v>#N/A</c:v>
                </c:pt>
                <c:pt idx="124">
                  <c:v>0.58333333333333337</c:v>
                </c:pt>
                <c:pt idx="125">
                  <c:v>#N/A</c:v>
                </c:pt>
                <c:pt idx="126">
                  <c:v>#N/A</c:v>
                </c:pt>
                <c:pt idx="127">
                  <c:v>0.5714285714285714</c:v>
                </c:pt>
                <c:pt idx="128">
                  <c:v>#N/A</c:v>
                </c:pt>
                <c:pt idx="129">
                  <c:v>0.56000000000000005</c:v>
                </c:pt>
                <c:pt idx="130">
                  <c:v>#N/A</c:v>
                </c:pt>
                <c:pt idx="131">
                  <c:v>0.5490196078431373</c:v>
                </c:pt>
                <c:pt idx="132">
                  <c:v>#N/A</c:v>
                </c:pt>
                <c:pt idx="133">
                  <c:v>0.55769230769230771</c:v>
                </c:pt>
                <c:pt idx="134">
                  <c:v>0.56603773584905659</c:v>
                </c:pt>
                <c:pt idx="135">
                  <c:v>0.57407407407407407</c:v>
                </c:pt>
                <c:pt idx="136">
                  <c:v>0.58181818181818179</c:v>
                </c:pt>
                <c:pt idx="137">
                  <c:v>#N/A</c:v>
                </c:pt>
                <c:pt idx="138">
                  <c:v>0.5892857142857143</c:v>
                </c:pt>
                <c:pt idx="139">
                  <c:v>0.59649122807017541</c:v>
                </c:pt>
                <c:pt idx="140">
                  <c:v>#N/A</c:v>
                </c:pt>
                <c:pt idx="141">
                  <c:v>0.58620689655172409</c:v>
                </c:pt>
                <c:pt idx="142">
                  <c:v>0.57627118644067798</c:v>
                </c:pt>
                <c:pt idx="143">
                  <c:v>0.56666666666666665</c:v>
                </c:pt>
                <c:pt idx="144">
                  <c:v>0.55737704918032782</c:v>
                </c:pt>
                <c:pt idx="145">
                  <c:v>0.56451612903225812</c:v>
                </c:pt>
                <c:pt idx="146">
                  <c:v>0.55555555555555558</c:v>
                </c:pt>
                <c:pt idx="147">
                  <c:v>0.546875</c:v>
                </c:pt>
                <c:pt idx="148">
                  <c:v>#N/A</c:v>
                </c:pt>
                <c:pt idx="149">
                  <c:v>#N/A</c:v>
                </c:pt>
                <c:pt idx="150">
                  <c:v>#N/A</c:v>
                </c:pt>
                <c:pt idx="151">
                  <c:v>#N/A</c:v>
                </c:pt>
                <c:pt idx="152">
                  <c:v>0.55384615384615388</c:v>
                </c:pt>
                <c:pt idx="153">
                  <c:v>#N/A</c:v>
                </c:pt>
                <c:pt idx="154">
                  <c:v>#N/A</c:v>
                </c:pt>
                <c:pt idx="155">
                  <c:v>#N/A</c:v>
                </c:pt>
                <c:pt idx="156">
                  <c:v>0.56060606060606055</c:v>
                </c:pt>
                <c:pt idx="157">
                  <c:v>#N/A</c:v>
                </c:pt>
                <c:pt idx="158">
                  <c:v>#N/A</c:v>
                </c:pt>
                <c:pt idx="159">
                  <c:v>#N/A</c:v>
                </c:pt>
                <c:pt idx="160">
                  <c:v>#N/A</c:v>
                </c:pt>
                <c:pt idx="161">
                  <c:v>#N/A</c:v>
                </c:pt>
                <c:pt idx="162">
                  <c:v>0.56716417910447758</c:v>
                </c:pt>
                <c:pt idx="163">
                  <c:v>0.55882352941176472</c:v>
                </c:pt>
                <c:pt idx="164">
                  <c:v>#N/A</c:v>
                </c:pt>
                <c:pt idx="165">
                  <c:v>#N/A</c:v>
                </c:pt>
                <c:pt idx="166">
                  <c:v>#N/A</c:v>
                </c:pt>
                <c:pt idx="167">
                  <c:v>#N/A</c:v>
                </c:pt>
                <c:pt idx="168">
                  <c:v>0.56521739130434778</c:v>
                </c:pt>
                <c:pt idx="169">
                  <c:v>#N/A</c:v>
                </c:pt>
                <c:pt idx="170">
                  <c:v>0.5714285714285714</c:v>
                </c:pt>
                <c:pt idx="171">
                  <c:v>#N/A</c:v>
                </c:pt>
                <c:pt idx="172">
                  <c:v>0.56338028169014087</c:v>
                </c:pt>
                <c:pt idx="173">
                  <c:v>#N/A</c:v>
                </c:pt>
                <c:pt idx="174">
                  <c:v>0.56944444444444442</c:v>
                </c:pt>
                <c:pt idx="175">
                  <c:v>#N/A</c:v>
                </c:pt>
                <c:pt idx="176">
                  <c:v>0.57534246575342463</c:v>
                </c:pt>
                <c:pt idx="177">
                  <c:v>#N/A</c:v>
                </c:pt>
                <c:pt idx="178">
                  <c:v>0.58108108108108103</c:v>
                </c:pt>
                <c:pt idx="179">
                  <c:v>0.58666666666666667</c:v>
                </c:pt>
                <c:pt idx="180">
                  <c:v>#N/A</c:v>
                </c:pt>
                <c:pt idx="181">
                  <c:v>#N/A</c:v>
                </c:pt>
                <c:pt idx="182">
                  <c:v>#N/A</c:v>
                </c:pt>
                <c:pt idx="183">
                  <c:v>#N/A</c:v>
                </c:pt>
                <c:pt idx="184">
                  <c:v>0.57894736842105265</c:v>
                </c:pt>
                <c:pt idx="185">
                  <c:v>0.5714285714285714</c:v>
                </c:pt>
                <c:pt idx="186">
                  <c:v>0.5641025641025641</c:v>
                </c:pt>
                <c:pt idx="187">
                  <c:v>#N/A</c:v>
                </c:pt>
                <c:pt idx="188">
                  <c:v>0.569620253164557</c:v>
                </c:pt>
                <c:pt idx="189">
                  <c:v>0.5625</c:v>
                </c:pt>
                <c:pt idx="190">
                  <c:v>#N/A</c:v>
                </c:pt>
                <c:pt idx="191">
                  <c:v>0.55555555555555558</c:v>
                </c:pt>
                <c:pt idx="192">
                  <c:v>#N/A</c:v>
                </c:pt>
                <c:pt idx="193">
                  <c:v>0.56097560975609762</c:v>
                </c:pt>
                <c:pt idx="194">
                  <c:v>0.55421686746987953</c:v>
                </c:pt>
                <c:pt idx="195">
                  <c:v>#N/A</c:v>
                </c:pt>
                <c:pt idx="196">
                  <c:v>#N/A</c:v>
                </c:pt>
                <c:pt idx="197">
                  <c:v>0.55952380952380953</c:v>
                </c:pt>
                <c:pt idx="198">
                  <c:v>0.56470588235294117</c:v>
                </c:pt>
                <c:pt idx="199">
                  <c:v>0.56976744186046513</c:v>
                </c:pt>
                <c:pt idx="200">
                  <c:v>#N/A</c:v>
                </c:pt>
                <c:pt idx="201">
                  <c:v>0.57471264367816088</c:v>
                </c:pt>
                <c:pt idx="202">
                  <c:v>#N/A</c:v>
                </c:pt>
                <c:pt idx="203">
                  <c:v>#N/A</c:v>
                </c:pt>
                <c:pt idx="204">
                  <c:v>#N/A</c:v>
                </c:pt>
                <c:pt idx="205">
                  <c:v>#N/A</c:v>
                </c:pt>
                <c:pt idx="206">
                  <c:v>#N/A</c:v>
                </c:pt>
                <c:pt idx="207">
                  <c:v>0.56818181818181823</c:v>
                </c:pt>
                <c:pt idx="208">
                  <c:v>#N/A</c:v>
                </c:pt>
                <c:pt idx="209">
                  <c:v>0.5730337078651685</c:v>
                </c:pt>
                <c:pt idx="210">
                  <c:v>#N/A</c:v>
                </c:pt>
                <c:pt idx="211">
                  <c:v>#N/A</c:v>
                </c:pt>
                <c:pt idx="212">
                  <c:v>#N/A</c:v>
                </c:pt>
                <c:pt idx="213">
                  <c:v>0.57777777777777772</c:v>
                </c:pt>
                <c:pt idx="214">
                  <c:v>0.58241758241758246</c:v>
                </c:pt>
                <c:pt idx="215">
                  <c:v>0.57608695652173914</c:v>
                </c:pt>
                <c:pt idx="216">
                  <c:v>#N/A</c:v>
                </c:pt>
                <c:pt idx="217">
                  <c:v>#N/A</c:v>
                </c:pt>
                <c:pt idx="218">
                  <c:v>0.56989247311827962</c:v>
                </c:pt>
                <c:pt idx="219">
                  <c:v>#N/A</c:v>
                </c:pt>
                <c:pt idx="220">
                  <c:v>0.57446808510638303</c:v>
                </c:pt>
                <c:pt idx="221">
                  <c:v>#N/A</c:v>
                </c:pt>
                <c:pt idx="222">
                  <c:v>0.57894736842105265</c:v>
                </c:pt>
                <c:pt idx="223">
                  <c:v>#N/A</c:v>
                </c:pt>
                <c:pt idx="224">
                  <c:v>#N/A</c:v>
                </c:pt>
                <c:pt idx="225">
                  <c:v>0.57291666666666663</c:v>
                </c:pt>
                <c:pt idx="226">
                  <c:v>#N/A</c:v>
                </c:pt>
                <c:pt idx="227">
                  <c:v>0.57731958762886593</c:v>
                </c:pt>
                <c:pt idx="228">
                  <c:v>#N/A</c:v>
                </c:pt>
                <c:pt idx="229">
                  <c:v>#N/A</c:v>
                </c:pt>
                <c:pt idx="230">
                  <c:v>0.58163265306122447</c:v>
                </c:pt>
                <c:pt idx="231">
                  <c:v>#N/A</c:v>
                </c:pt>
                <c:pt idx="232">
                  <c:v>#N/A</c:v>
                </c:pt>
                <c:pt idx="233">
                  <c:v>#N/A</c:v>
                </c:pt>
                <c:pt idx="234">
                  <c:v>0.58585858585858586</c:v>
                </c:pt>
                <c:pt idx="235">
                  <c:v>0.57999999999999996</c:v>
                </c:pt>
                <c:pt idx="236">
                  <c:v>0.58415841584158412</c:v>
                </c:pt>
                <c:pt idx="237">
                  <c:v>#N/A</c:v>
                </c:pt>
                <c:pt idx="238">
                  <c:v>#N/A</c:v>
                </c:pt>
                <c:pt idx="239">
                  <c:v>#N/A</c:v>
                </c:pt>
                <c:pt idx="240">
                  <c:v>#N/A</c:v>
                </c:pt>
                <c:pt idx="241">
                  <c:v>0.58823529411764708</c:v>
                </c:pt>
                <c:pt idx="242">
                  <c:v>#N/A</c:v>
                </c:pt>
                <c:pt idx="243">
                  <c:v>0.59223300970873782</c:v>
                </c:pt>
                <c:pt idx="244">
                  <c:v>#N/A</c:v>
                </c:pt>
                <c:pt idx="245">
                  <c:v>0.59615384615384615</c:v>
                </c:pt>
                <c:pt idx="246">
                  <c:v>0.59047619047619049</c:v>
                </c:pt>
                <c:pt idx="247">
                  <c:v>0.58490566037735847</c:v>
                </c:pt>
                <c:pt idx="248">
                  <c:v>0.57943925233644855</c:v>
                </c:pt>
                <c:pt idx="249">
                  <c:v>0.57407407407407407</c:v>
                </c:pt>
                <c:pt idx="250">
                  <c:v>0.57798165137614677</c:v>
                </c:pt>
                <c:pt idx="251">
                  <c:v>#N/A</c:v>
                </c:pt>
                <c:pt idx="252">
                  <c:v>#N/A</c:v>
                </c:pt>
                <c:pt idx="253">
                  <c:v>0.58181818181818179</c:v>
                </c:pt>
                <c:pt idx="254">
                  <c:v>0.5855855855855856</c:v>
                </c:pt>
                <c:pt idx="255">
                  <c:v>0.5892857142857143</c:v>
                </c:pt>
                <c:pt idx="256">
                  <c:v>#N/A</c:v>
                </c:pt>
                <c:pt idx="257">
                  <c:v>#N/A</c:v>
                </c:pt>
                <c:pt idx="258">
                  <c:v>#N/A</c:v>
                </c:pt>
                <c:pt idx="259">
                  <c:v>0.58407079646017701</c:v>
                </c:pt>
                <c:pt idx="260">
                  <c:v>0.58771929824561409</c:v>
                </c:pt>
                <c:pt idx="261">
                  <c:v>0.58260869565217388</c:v>
                </c:pt>
                <c:pt idx="262">
                  <c:v>0.58620689655172409</c:v>
                </c:pt>
                <c:pt idx="263">
                  <c:v>#N/A</c:v>
                </c:pt>
                <c:pt idx="264">
                  <c:v>0.58119658119658124</c:v>
                </c:pt>
                <c:pt idx="265">
                  <c:v>0.5847457627118644</c:v>
                </c:pt>
                <c:pt idx="266">
                  <c:v>#N/A</c:v>
                </c:pt>
                <c:pt idx="267">
                  <c:v>0.58823529411764708</c:v>
                </c:pt>
                <c:pt idx="268">
                  <c:v>0.58333333333333337</c:v>
                </c:pt>
                <c:pt idx="269">
                  <c:v>0.58677685950413228</c:v>
                </c:pt>
                <c:pt idx="270">
                  <c:v>0.5901639344262295</c:v>
                </c:pt>
                <c:pt idx="271">
                  <c:v>0.58536585365853655</c:v>
                </c:pt>
                <c:pt idx="272">
                  <c:v>0.58870967741935487</c:v>
                </c:pt>
                <c:pt idx="273">
                  <c:v>#N/A</c:v>
                </c:pt>
                <c:pt idx="274">
                  <c:v>0.58399999999999996</c:v>
                </c:pt>
                <c:pt idx="275">
                  <c:v>0.58730158730158732</c:v>
                </c:pt>
                <c:pt idx="276">
                  <c:v>0.58267716535433067</c:v>
                </c:pt>
                <c:pt idx="277">
                  <c:v>#N/A</c:v>
                </c:pt>
                <c:pt idx="278">
                  <c:v>0.5859375</c:v>
                </c:pt>
                <c:pt idx="279">
                  <c:v>0.58914728682170547</c:v>
                </c:pt>
                <c:pt idx="280">
                  <c:v>#N/A</c:v>
                </c:pt>
                <c:pt idx="281">
                  <c:v>#N/A</c:v>
                </c:pt>
                <c:pt idx="282">
                  <c:v>0.59230769230769231</c:v>
                </c:pt>
                <c:pt idx="283">
                  <c:v>0.58778625954198471</c:v>
                </c:pt>
                <c:pt idx="284">
                  <c:v>#N/A</c:v>
                </c:pt>
                <c:pt idx="285">
                  <c:v>0.58333333333333337</c:v>
                </c:pt>
                <c:pt idx="286">
                  <c:v>#N/A</c:v>
                </c:pt>
                <c:pt idx="287">
                  <c:v>0.5864661654135338</c:v>
                </c:pt>
                <c:pt idx="288">
                  <c:v>#N/A</c:v>
                </c:pt>
                <c:pt idx="289">
                  <c:v>0.58208955223880599</c:v>
                </c:pt>
                <c:pt idx="290">
                  <c:v>#N/A</c:v>
                </c:pt>
                <c:pt idx="291">
                  <c:v>0.58518518518518514</c:v>
                </c:pt>
                <c:pt idx="292">
                  <c:v>0.58088235294117652</c:v>
                </c:pt>
                <c:pt idx="293">
                  <c:v>#N/A</c:v>
                </c:pt>
                <c:pt idx="294">
                  <c:v>0.57664233576642332</c:v>
                </c:pt>
                <c:pt idx="295">
                  <c:v>#N/A</c:v>
                </c:pt>
                <c:pt idx="296">
                  <c:v>0.57246376811594202</c:v>
                </c:pt>
                <c:pt idx="297">
                  <c:v>#N/A</c:v>
                </c:pt>
                <c:pt idx="298">
                  <c:v>0.56834532374100721</c:v>
                </c:pt>
                <c:pt idx="299">
                  <c:v>#N/A</c:v>
                </c:pt>
                <c:pt idx="300">
                  <c:v>#N/A</c:v>
                </c:pt>
                <c:pt idx="301">
                  <c:v>#N/A</c:v>
                </c:pt>
                <c:pt idx="302">
                  <c:v>0.56428571428571428</c:v>
                </c:pt>
                <c:pt idx="303">
                  <c:v>#N/A</c:v>
                </c:pt>
                <c:pt idx="304">
                  <c:v>#N/A</c:v>
                </c:pt>
                <c:pt idx="305">
                  <c:v>#N/A</c:v>
                </c:pt>
                <c:pt idx="306">
                  <c:v>#N/A</c:v>
                </c:pt>
                <c:pt idx="307">
                  <c:v>#N/A</c:v>
                </c:pt>
                <c:pt idx="308">
                  <c:v>0.56737588652482274</c:v>
                </c:pt>
                <c:pt idx="309">
                  <c:v>#N/A</c:v>
                </c:pt>
                <c:pt idx="310">
                  <c:v>0.56338028169014087</c:v>
                </c:pt>
                <c:pt idx="311">
                  <c:v>0.56643356643356646</c:v>
                </c:pt>
                <c:pt idx="312">
                  <c:v>0.5625</c:v>
                </c:pt>
                <c:pt idx="313">
                  <c:v>#N/A</c:v>
                </c:pt>
                <c:pt idx="314">
                  <c:v>0.55862068965517242</c:v>
                </c:pt>
                <c:pt idx="315">
                  <c:v>0.56164383561643838</c:v>
                </c:pt>
                <c:pt idx="316">
                  <c:v>#N/A</c:v>
                </c:pt>
                <c:pt idx="317">
                  <c:v>#N/A</c:v>
                </c:pt>
                <c:pt idx="318">
                  <c:v>#N/A</c:v>
                </c:pt>
                <c:pt idx="319">
                  <c:v>#N/A</c:v>
                </c:pt>
                <c:pt idx="320">
                  <c:v>0.56462585034013602</c:v>
                </c:pt>
                <c:pt idx="321">
                  <c:v>#N/A</c:v>
                </c:pt>
                <c:pt idx="322">
                  <c:v>#N/A</c:v>
                </c:pt>
                <c:pt idx="323">
                  <c:v>#N/A</c:v>
                </c:pt>
                <c:pt idx="324">
                  <c:v>0.56081081081081086</c:v>
                </c:pt>
                <c:pt idx="325">
                  <c:v>#N/A</c:v>
                </c:pt>
                <c:pt idx="326">
                  <c:v>0.55704697986577179</c:v>
                </c:pt>
                <c:pt idx="327">
                  <c:v>#N/A</c:v>
                </c:pt>
                <c:pt idx="328">
                  <c:v>#N/A</c:v>
                </c:pt>
                <c:pt idx="329">
                  <c:v>#N/A</c:v>
                </c:pt>
                <c:pt idx="330">
                  <c:v>0.56000000000000005</c:v>
                </c:pt>
                <c:pt idx="331">
                  <c:v>#N/A</c:v>
                </c:pt>
                <c:pt idx="332">
                  <c:v>#N/A</c:v>
                </c:pt>
                <c:pt idx="333">
                  <c:v>#N/A</c:v>
                </c:pt>
                <c:pt idx="334">
                  <c:v>#N/A</c:v>
                </c:pt>
                <c:pt idx="335">
                  <c:v>#N/A</c:v>
                </c:pt>
                <c:pt idx="336">
                  <c:v>#N/A</c:v>
                </c:pt>
                <c:pt idx="337">
                  <c:v>0.5629139072847682</c:v>
                </c:pt>
                <c:pt idx="338">
                  <c:v>#N/A</c:v>
                </c:pt>
                <c:pt idx="339">
                  <c:v>#N/A</c:v>
                </c:pt>
                <c:pt idx="340">
                  <c:v>#N/A</c:v>
                </c:pt>
                <c:pt idx="341">
                  <c:v>#N/A</c:v>
                </c:pt>
                <c:pt idx="342">
                  <c:v>0.56578947368421051</c:v>
                </c:pt>
                <c:pt idx="343">
                  <c:v>#N/A</c:v>
                </c:pt>
                <c:pt idx="344">
                  <c:v>#N/A</c:v>
                </c:pt>
                <c:pt idx="345">
                  <c:v>#N/A</c:v>
                </c:pt>
                <c:pt idx="346">
                  <c:v>0.56209150326797386</c:v>
                </c:pt>
                <c:pt idx="347">
                  <c:v>#N/A</c:v>
                </c:pt>
                <c:pt idx="348">
                  <c:v>0.55844155844155841</c:v>
                </c:pt>
                <c:pt idx="349">
                  <c:v>#N/A</c:v>
                </c:pt>
                <c:pt idx="350">
                  <c:v>0.56129032258064515</c:v>
                </c:pt>
                <c:pt idx="351">
                  <c:v>#N/A</c:v>
                </c:pt>
                <c:pt idx="352">
                  <c:v>#N/A</c:v>
                </c:pt>
                <c:pt idx="353">
                  <c:v>#N/A</c:v>
                </c:pt>
                <c:pt idx="354">
                  <c:v>#N/A</c:v>
                </c:pt>
                <c:pt idx="355">
                  <c:v>#N/A</c:v>
                </c:pt>
                <c:pt idx="356">
                  <c:v>#N/A</c:v>
                </c:pt>
                <c:pt idx="357">
                  <c:v>0.5641025641025641</c:v>
                </c:pt>
                <c:pt idx="358">
                  <c:v>#N/A</c:v>
                </c:pt>
                <c:pt idx="359">
                  <c:v>#N/A</c:v>
                </c:pt>
                <c:pt idx="360">
                  <c:v>#N/A</c:v>
                </c:pt>
                <c:pt idx="361">
                  <c:v>#N/A</c:v>
                </c:pt>
                <c:pt idx="362">
                  <c:v>#N/A</c:v>
                </c:pt>
                <c:pt idx="363">
                  <c:v>#N/A</c:v>
                </c:pt>
                <c:pt idx="364">
                  <c:v>#N/A</c:v>
                </c:pt>
                <c:pt idx="365">
                  <c:v>0.56050955414012738</c:v>
                </c:pt>
                <c:pt idx="366">
                  <c:v>0.55696202531645567</c:v>
                </c:pt>
                <c:pt idx="367">
                  <c:v>0.55345911949685533</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0.55625000000000002</c:v>
                </c:pt>
                <c:pt idx="383">
                  <c:v>#N/A</c:v>
                </c:pt>
                <c:pt idx="384">
                  <c:v>#N/A</c:v>
                </c:pt>
                <c:pt idx="385">
                  <c:v>0.55900621118012417</c:v>
                </c:pt>
                <c:pt idx="386">
                  <c:v>#N/A</c:v>
                </c:pt>
                <c:pt idx="387">
                  <c:v>#N/A</c:v>
                </c:pt>
                <c:pt idx="388">
                  <c:v>#N/A</c:v>
                </c:pt>
                <c:pt idx="389">
                  <c:v>#N/A</c:v>
                </c:pt>
                <c:pt idx="390">
                  <c:v>#N/A</c:v>
                </c:pt>
                <c:pt idx="391">
                  <c:v>0.55555555555555558</c:v>
                </c:pt>
                <c:pt idx="392">
                  <c:v>#N/A</c:v>
                </c:pt>
                <c:pt idx="393">
                  <c:v>#N/A</c:v>
                </c:pt>
                <c:pt idx="394">
                  <c:v>#N/A</c:v>
                </c:pt>
                <c:pt idx="395">
                  <c:v>#N/A</c:v>
                </c:pt>
                <c:pt idx="396">
                  <c:v>#N/A</c:v>
                </c:pt>
                <c:pt idx="397">
                  <c:v>#N/A</c:v>
                </c:pt>
                <c:pt idx="398">
                  <c:v>#N/A</c:v>
                </c:pt>
                <c:pt idx="399">
                  <c:v>#N/A</c:v>
                </c:pt>
                <c:pt idx="400">
                  <c:v>0.55214723926380371</c:v>
                </c:pt>
                <c:pt idx="401">
                  <c:v>#N/A</c:v>
                </c:pt>
                <c:pt idx="402">
                  <c:v>#N/A</c:v>
                </c:pt>
                <c:pt idx="403">
                  <c:v>#N/A</c:v>
                </c:pt>
                <c:pt idx="404">
                  <c:v>#N/A</c:v>
                </c:pt>
                <c:pt idx="405">
                  <c:v>#N/A</c:v>
                </c:pt>
                <c:pt idx="406">
                  <c:v>#N/A</c:v>
                </c:pt>
                <c:pt idx="407">
                  <c:v>#N/A</c:v>
                </c:pt>
                <c:pt idx="408">
                  <c:v>#N/A</c:v>
                </c:pt>
                <c:pt idx="409">
                  <c:v>0.55487804878048785</c:v>
                </c:pt>
                <c:pt idx="410">
                  <c:v>#N/A</c:v>
                </c:pt>
                <c:pt idx="411">
                  <c:v>#N/A</c:v>
                </c:pt>
                <c:pt idx="412">
                  <c:v>#N/A</c:v>
                </c:pt>
                <c:pt idx="413">
                  <c:v>#N/A</c:v>
                </c:pt>
                <c:pt idx="414">
                  <c:v>#N/A</c:v>
                </c:pt>
                <c:pt idx="415">
                  <c:v>0.55757575757575761</c:v>
                </c:pt>
                <c:pt idx="416">
                  <c:v>#N/A</c:v>
                </c:pt>
                <c:pt idx="417">
                  <c:v>0.55421686746987953</c:v>
                </c:pt>
                <c:pt idx="418">
                  <c:v>#N/A</c:v>
                </c:pt>
              </c:numCache>
            </c:numRef>
          </c:val>
          <c:smooth val="0"/>
          <c:extLst>
            <c:ext xmlns:c16="http://schemas.microsoft.com/office/drawing/2014/chart" uri="{C3380CC4-5D6E-409C-BE32-E72D297353CC}">
              <c16:uniqueId val="{00000000-F323-48D2-9638-1E63B0FF4678}"/>
            </c:ext>
          </c:extLst>
        </c:ser>
        <c:dLbls>
          <c:showLegendKey val="0"/>
          <c:showVal val="0"/>
          <c:showCatName val="0"/>
          <c:showSerName val="0"/>
          <c:showPercent val="0"/>
          <c:showBubbleSize val="0"/>
        </c:dLbls>
        <c:smooth val="0"/>
        <c:axId val="1294602272"/>
        <c:axId val="1703406928"/>
      </c:lineChart>
      <c:catAx>
        <c:axId val="1294602272"/>
        <c:scaling>
          <c:orientation val="minMax"/>
        </c:scaling>
        <c:delete val="0"/>
        <c:axPos val="b"/>
        <c:majorTickMark val="none"/>
        <c:minorTickMark val="none"/>
        <c:tickLblPos val="low"/>
        <c:spPr>
          <a:noFill/>
          <a:ln w="9525" cap="flat" cmpd="sng" algn="ctr">
            <a:solidFill>
              <a:sysClr val="windowText" lastClr="000000"/>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703406928"/>
        <c:crosses val="autoZero"/>
        <c:auto val="1"/>
        <c:lblAlgn val="ctr"/>
        <c:lblOffset val="100"/>
        <c:noMultiLvlLbl val="0"/>
      </c:catAx>
      <c:valAx>
        <c:axId val="1703406928"/>
        <c:scaling>
          <c:orientation val="minMax"/>
          <c:max val="0.60000000000000009"/>
          <c:min val="0.4"/>
        </c:scaling>
        <c:delete val="0"/>
        <c:axPos val="l"/>
        <c:majorGridlines>
          <c:spPr>
            <a:ln w="9525" cap="flat" cmpd="sng" algn="ctr">
              <a:solidFill>
                <a:schemeClr val="tx1">
                  <a:lumMod val="75000"/>
                  <a:lumOff val="25000"/>
                </a:schemeClr>
              </a:solidFill>
              <a:prstDash val="dash"/>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294602272"/>
        <c:crosses val="autoZero"/>
        <c:crossBetween val="between"/>
        <c:majorUnit val="0.1"/>
      </c:valAx>
      <c:spPr>
        <a:noFill/>
        <a:ln>
          <a:noFill/>
        </a:ln>
        <a:effectLst/>
      </c:spPr>
    </c:plotArea>
    <c:plotVisOnly val="0"/>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US" sz="1600" b="1">
                <a:solidFill>
                  <a:sysClr val="windowText" lastClr="000000"/>
                </a:solidFill>
              </a:rPr>
              <a:t>% of Gap</a:t>
            </a:r>
            <a:r>
              <a:rPr lang="en-US" sz="1600" b="1" baseline="0">
                <a:solidFill>
                  <a:sysClr val="windowText" lastClr="000000"/>
                </a:solidFill>
              </a:rPr>
              <a:t> Ups from UP Trends</a:t>
            </a:r>
            <a:endParaRPr lang="en-US"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3"/>
              </a:solidFill>
              <a:round/>
            </a:ln>
            <a:effectLst>
              <a:glow rad="63500">
                <a:schemeClr val="accent6">
                  <a:satMod val="175000"/>
                  <a:alpha val="40000"/>
                </a:schemeClr>
              </a:glow>
            </a:effectLst>
          </c:spPr>
          <c:marker>
            <c:symbol val="none"/>
          </c:marker>
          <c:val>
            <c:numRef>
              <c:f>'2025-Q2'!$BQ$4:$BQ$422</c:f>
              <c:numCache>
                <c:formatCode>0%</c:formatCode>
                <c:ptCount val="41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1</c:v>
                </c:pt>
                <c:pt idx="40">
                  <c:v>#N/A</c:v>
                </c:pt>
                <c:pt idx="41">
                  <c:v>#N/A</c:v>
                </c:pt>
                <c:pt idx="42">
                  <c:v>#N/A</c:v>
                </c:pt>
                <c:pt idx="43">
                  <c:v>#N/A</c:v>
                </c:pt>
                <c:pt idx="44">
                  <c:v>#N/A</c:v>
                </c:pt>
                <c:pt idx="45">
                  <c:v>#N/A</c:v>
                </c:pt>
                <c:pt idx="46">
                  <c:v>#N/A</c:v>
                </c:pt>
                <c:pt idx="47">
                  <c:v>0.5</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0.66666666666666663</c:v>
                </c:pt>
                <c:pt idx="70">
                  <c:v>#N/A</c:v>
                </c:pt>
                <c:pt idx="71">
                  <c:v>0.5</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0.4</c:v>
                </c:pt>
                <c:pt idx="104">
                  <c:v>#N/A</c:v>
                </c:pt>
                <c:pt idx="105">
                  <c:v>#N/A</c:v>
                </c:pt>
                <c:pt idx="106">
                  <c:v>0.5</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0.42857142857142855</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0.375</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0.33333333333333331</c:v>
                </c:pt>
                <c:pt idx="201">
                  <c:v>#N/A</c:v>
                </c:pt>
                <c:pt idx="202">
                  <c:v>#N/A</c:v>
                </c:pt>
                <c:pt idx="203">
                  <c:v>0.3</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0.36363636363636365</c:v>
                </c:pt>
                <c:pt idx="218">
                  <c:v>#N/A</c:v>
                </c:pt>
                <c:pt idx="219">
                  <c:v>#N/A</c:v>
                </c:pt>
                <c:pt idx="220">
                  <c:v>#N/A</c:v>
                </c:pt>
                <c:pt idx="221">
                  <c:v>#N/A</c:v>
                </c:pt>
                <c:pt idx="222">
                  <c:v>#N/A</c:v>
                </c:pt>
                <c:pt idx="223">
                  <c:v>0.33333333333333331</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0.38461538461538464</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0.35714285714285715</c:v>
                </c:pt>
                <c:pt idx="258">
                  <c:v>0.33333333333333331</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0.3125</c:v>
                </c:pt>
                <c:pt idx="274">
                  <c:v>#N/A</c:v>
                </c:pt>
                <c:pt idx="275">
                  <c:v>#N/A</c:v>
                </c:pt>
                <c:pt idx="276">
                  <c:v>#N/A</c:v>
                </c:pt>
                <c:pt idx="277">
                  <c:v>0.35294117647058826</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0.33333333333333331</c:v>
                </c:pt>
                <c:pt idx="291">
                  <c:v>#N/A</c:v>
                </c:pt>
                <c:pt idx="292">
                  <c:v>#N/A</c:v>
                </c:pt>
                <c:pt idx="293">
                  <c:v>#N/A</c:v>
                </c:pt>
                <c:pt idx="294">
                  <c:v>#N/A</c:v>
                </c:pt>
                <c:pt idx="295">
                  <c:v>0.31578947368421051</c:v>
                </c:pt>
                <c:pt idx="296">
                  <c:v>#N/A</c:v>
                </c:pt>
                <c:pt idx="297">
                  <c:v>0.35</c:v>
                </c:pt>
                <c:pt idx="298">
                  <c:v>#N/A</c:v>
                </c:pt>
                <c:pt idx="299">
                  <c:v>#N/A</c:v>
                </c:pt>
                <c:pt idx="300">
                  <c:v>#N/A</c:v>
                </c:pt>
                <c:pt idx="301">
                  <c:v>#N/A</c:v>
                </c:pt>
                <c:pt idx="302">
                  <c:v>#N/A</c:v>
                </c:pt>
                <c:pt idx="303">
                  <c:v>#N/A</c:v>
                </c:pt>
                <c:pt idx="304">
                  <c:v>0.33333333333333331</c:v>
                </c:pt>
                <c:pt idx="305">
                  <c:v>#N/A</c:v>
                </c:pt>
                <c:pt idx="306">
                  <c:v>#N/A</c:v>
                </c:pt>
                <c:pt idx="307">
                  <c:v>#N/A</c:v>
                </c:pt>
                <c:pt idx="308">
                  <c:v>#N/A</c:v>
                </c:pt>
                <c:pt idx="309">
                  <c:v>0.36363636363636365</c:v>
                </c:pt>
                <c:pt idx="310">
                  <c:v>#N/A</c:v>
                </c:pt>
                <c:pt idx="311">
                  <c:v>#N/A</c:v>
                </c:pt>
                <c:pt idx="312">
                  <c:v>#N/A</c:v>
                </c:pt>
                <c:pt idx="313">
                  <c:v>0.39130434782608697</c:v>
                </c:pt>
                <c:pt idx="314">
                  <c:v>#N/A</c:v>
                </c:pt>
                <c:pt idx="315">
                  <c:v>#N/A</c:v>
                </c:pt>
                <c:pt idx="316">
                  <c:v>0.41666666666666669</c:v>
                </c:pt>
                <c:pt idx="317">
                  <c:v>0.44</c:v>
                </c:pt>
                <c:pt idx="318">
                  <c:v>#N/A</c:v>
                </c:pt>
                <c:pt idx="319">
                  <c:v>#N/A</c:v>
                </c:pt>
                <c:pt idx="320">
                  <c:v>#N/A</c:v>
                </c:pt>
                <c:pt idx="321">
                  <c:v>#N/A</c:v>
                </c:pt>
                <c:pt idx="322">
                  <c:v>#N/A</c:v>
                </c:pt>
                <c:pt idx="323">
                  <c:v>#N/A</c:v>
                </c:pt>
                <c:pt idx="324">
                  <c:v>#N/A</c:v>
                </c:pt>
                <c:pt idx="325">
                  <c:v>#N/A</c:v>
                </c:pt>
                <c:pt idx="326">
                  <c:v>#N/A</c:v>
                </c:pt>
                <c:pt idx="327">
                  <c:v>#N/A</c:v>
                </c:pt>
                <c:pt idx="328">
                  <c:v>#N/A</c:v>
                </c:pt>
                <c:pt idx="329">
                  <c:v>0.46153846153846156</c:v>
                </c:pt>
                <c:pt idx="330">
                  <c:v>#N/A</c:v>
                </c:pt>
                <c:pt idx="331">
                  <c:v>#N/A</c:v>
                </c:pt>
                <c:pt idx="332">
                  <c:v>#N/A</c:v>
                </c:pt>
                <c:pt idx="333">
                  <c:v>#N/A</c:v>
                </c:pt>
                <c:pt idx="334">
                  <c:v>0.48148148148148145</c:v>
                </c:pt>
                <c:pt idx="335">
                  <c:v>#N/A</c:v>
                </c:pt>
                <c:pt idx="336">
                  <c:v>#N/A</c:v>
                </c:pt>
                <c:pt idx="337">
                  <c:v>#N/A</c:v>
                </c:pt>
                <c:pt idx="338">
                  <c:v>0.5</c:v>
                </c:pt>
                <c:pt idx="339">
                  <c:v>#N/A</c:v>
                </c:pt>
                <c:pt idx="340">
                  <c:v>#N/A</c:v>
                </c:pt>
                <c:pt idx="341">
                  <c:v>0.48275862068965519</c:v>
                </c:pt>
                <c:pt idx="342">
                  <c:v>#N/A</c:v>
                </c:pt>
                <c:pt idx="343">
                  <c:v>#N/A</c:v>
                </c:pt>
                <c:pt idx="344">
                  <c:v>#N/A</c:v>
                </c:pt>
                <c:pt idx="345">
                  <c:v>0.46666666666666667</c:v>
                </c:pt>
                <c:pt idx="346">
                  <c:v>#N/A</c:v>
                </c:pt>
                <c:pt idx="347">
                  <c:v>#N/A</c:v>
                </c:pt>
                <c:pt idx="348">
                  <c:v>#N/A</c:v>
                </c:pt>
                <c:pt idx="349">
                  <c:v>0.45161290322580644</c:v>
                </c:pt>
                <c:pt idx="350">
                  <c:v>#N/A</c:v>
                </c:pt>
                <c:pt idx="351">
                  <c:v>#N/A</c:v>
                </c:pt>
                <c:pt idx="352">
                  <c:v>#N/A</c:v>
                </c:pt>
                <c:pt idx="353">
                  <c:v>0.4375</c:v>
                </c:pt>
                <c:pt idx="354">
                  <c:v>0.45454545454545453</c:v>
                </c:pt>
                <c:pt idx="355">
                  <c:v>#N/A</c:v>
                </c:pt>
                <c:pt idx="356">
                  <c:v>#N/A</c:v>
                </c:pt>
                <c:pt idx="357">
                  <c:v>#N/A</c:v>
                </c:pt>
                <c:pt idx="358">
                  <c:v>0.47058823529411764</c:v>
                </c:pt>
                <c:pt idx="359">
                  <c:v>0.45714285714285713</c:v>
                </c:pt>
                <c:pt idx="360">
                  <c:v>#N/A</c:v>
                </c:pt>
                <c:pt idx="361">
                  <c:v>#N/A</c:v>
                </c:pt>
                <c:pt idx="362">
                  <c:v>#N/A</c:v>
                </c:pt>
                <c:pt idx="363">
                  <c:v>0.44444444444444442</c:v>
                </c:pt>
                <c:pt idx="364">
                  <c:v>#N/A</c:v>
                </c:pt>
                <c:pt idx="365">
                  <c:v>#N/A</c:v>
                </c:pt>
                <c:pt idx="366">
                  <c:v>#N/A</c:v>
                </c:pt>
                <c:pt idx="367">
                  <c:v>#N/A</c:v>
                </c:pt>
                <c:pt idx="368">
                  <c:v>#N/A</c:v>
                </c:pt>
                <c:pt idx="369">
                  <c:v>#N/A</c:v>
                </c:pt>
                <c:pt idx="370">
                  <c:v>0.45945945945945948</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0.47368421052631576</c:v>
                </c:pt>
                <c:pt idx="388">
                  <c:v>0.46153846153846156</c:v>
                </c:pt>
                <c:pt idx="389">
                  <c:v>0.45</c:v>
                </c:pt>
                <c:pt idx="390">
                  <c:v>#N/A</c:v>
                </c:pt>
                <c:pt idx="391">
                  <c:v>#N/A</c:v>
                </c:pt>
                <c:pt idx="392">
                  <c:v>0.46341463414634149</c:v>
                </c:pt>
                <c:pt idx="393">
                  <c:v>#N/A</c:v>
                </c:pt>
                <c:pt idx="394">
                  <c:v>#N/A</c:v>
                </c:pt>
                <c:pt idx="395">
                  <c:v>#N/A</c:v>
                </c:pt>
                <c:pt idx="396">
                  <c:v>0.45238095238095238</c:v>
                </c:pt>
                <c:pt idx="397">
                  <c:v>#N/A</c:v>
                </c:pt>
                <c:pt idx="398">
                  <c:v>0.46511627906976744</c:v>
                </c:pt>
                <c:pt idx="399">
                  <c:v>0.45454545454545453</c:v>
                </c:pt>
                <c:pt idx="400">
                  <c:v>#N/A</c:v>
                </c:pt>
                <c:pt idx="401">
                  <c:v>#N/A</c:v>
                </c:pt>
                <c:pt idx="402">
                  <c:v>#N/A</c:v>
                </c:pt>
                <c:pt idx="403">
                  <c:v>0.44444444444444442</c:v>
                </c:pt>
                <c:pt idx="404">
                  <c:v>#N/A</c:v>
                </c:pt>
                <c:pt idx="405">
                  <c:v>0.43478260869565216</c:v>
                </c:pt>
                <c:pt idx="406">
                  <c:v>#N/A</c:v>
                </c:pt>
                <c:pt idx="407">
                  <c:v>0.42553191489361702</c:v>
                </c:pt>
                <c:pt idx="408">
                  <c:v>0.4375</c:v>
                </c:pt>
                <c:pt idx="409">
                  <c:v>#N/A</c:v>
                </c:pt>
                <c:pt idx="410">
                  <c:v>#N/A</c:v>
                </c:pt>
                <c:pt idx="411">
                  <c:v>0.44897959183673469</c:v>
                </c:pt>
                <c:pt idx="412">
                  <c:v>0.46</c:v>
                </c:pt>
                <c:pt idx="413">
                  <c:v>#N/A</c:v>
                </c:pt>
                <c:pt idx="414">
                  <c:v>#N/A</c:v>
                </c:pt>
                <c:pt idx="415">
                  <c:v>#N/A</c:v>
                </c:pt>
                <c:pt idx="416" formatCode="0.0%">
                  <c:v>0.47058823529411764</c:v>
                </c:pt>
                <c:pt idx="417">
                  <c:v>#N/A</c:v>
                </c:pt>
                <c:pt idx="418">
                  <c:v>#N/A</c:v>
                </c:pt>
              </c:numCache>
            </c:numRef>
          </c:val>
          <c:smooth val="0"/>
          <c:extLst>
            <c:ext xmlns:c16="http://schemas.microsoft.com/office/drawing/2014/chart" uri="{C3380CC4-5D6E-409C-BE32-E72D297353CC}">
              <c16:uniqueId val="{00000000-2254-4035-8D85-719BA1F1F642}"/>
            </c:ext>
          </c:extLst>
        </c:ser>
        <c:dLbls>
          <c:showLegendKey val="0"/>
          <c:showVal val="0"/>
          <c:showCatName val="0"/>
          <c:showSerName val="0"/>
          <c:showPercent val="0"/>
          <c:showBubbleSize val="0"/>
        </c:dLbls>
        <c:smooth val="0"/>
        <c:axId val="1294602272"/>
        <c:axId val="1703406928"/>
      </c:lineChart>
      <c:catAx>
        <c:axId val="1294602272"/>
        <c:scaling>
          <c:orientation val="minMax"/>
        </c:scaling>
        <c:delete val="0"/>
        <c:axPos val="b"/>
        <c:majorTickMark val="none"/>
        <c:minorTickMark val="none"/>
        <c:tickLblPos val="low"/>
        <c:spPr>
          <a:noFill/>
          <a:ln w="9525" cap="flat" cmpd="sng" algn="ctr">
            <a:solidFill>
              <a:sysClr val="windowText" lastClr="000000"/>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703406928"/>
        <c:crosses val="autoZero"/>
        <c:auto val="1"/>
        <c:lblAlgn val="ctr"/>
        <c:lblOffset val="100"/>
        <c:noMultiLvlLbl val="0"/>
      </c:catAx>
      <c:valAx>
        <c:axId val="1703406928"/>
        <c:scaling>
          <c:orientation val="minMax"/>
          <c:max val="1"/>
          <c:min val="0"/>
        </c:scaling>
        <c:delete val="0"/>
        <c:axPos val="l"/>
        <c:majorGridlines>
          <c:spPr>
            <a:ln w="9525" cap="flat" cmpd="sng" algn="ctr">
              <a:solidFill>
                <a:schemeClr val="tx1">
                  <a:lumMod val="75000"/>
                  <a:lumOff val="25000"/>
                </a:schemeClr>
              </a:solidFill>
              <a:prstDash val="dash"/>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294602272"/>
        <c:crosses val="autoZero"/>
        <c:crossBetween val="between"/>
        <c:majorUnit val="0.5"/>
      </c:valAx>
      <c:spPr>
        <a:noFill/>
        <a:ln>
          <a:noFill/>
        </a:ln>
        <a:effectLst/>
      </c:spPr>
    </c:plotArea>
    <c:plotVisOnly val="0"/>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US" sz="1600" b="1">
                <a:solidFill>
                  <a:sysClr val="windowText" lastClr="000000"/>
                </a:solidFill>
              </a:rPr>
              <a:t>P&amp;L: Wins and Losses Playing</a:t>
            </a:r>
            <a:r>
              <a:rPr lang="en-US" sz="1600" b="1" baseline="0">
                <a:solidFill>
                  <a:sysClr val="windowText" lastClr="000000"/>
                </a:solidFill>
              </a:rPr>
              <a:t> the Strategy (MOC)</a:t>
            </a:r>
            <a:endParaRPr lang="en-US"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2.2415547767511718E-2"/>
          <c:y val="0.11569527427162059"/>
          <c:w val="0.96910661022863476"/>
          <c:h val="0.77533177699521227"/>
        </c:manualLayout>
      </c:layout>
      <c:barChart>
        <c:barDir val="col"/>
        <c:grouping val="clustered"/>
        <c:varyColors val="0"/>
        <c:ser>
          <c:idx val="0"/>
          <c:order val="0"/>
          <c:spPr>
            <a:solidFill>
              <a:srgbClr val="00B050"/>
            </a:solidFill>
            <a:ln w="3175">
              <a:solidFill>
                <a:sysClr val="windowText" lastClr="000000"/>
              </a:solidFill>
            </a:ln>
            <a:effectLst/>
          </c:spPr>
          <c:invertIfNegative val="1"/>
          <c:cat>
            <c:strRef>
              <c:f>'2025-Q2'!$A$4:$A$422</c:f>
              <c:strCache>
                <c:ptCount val="419"/>
                <c:pt idx="0">
                  <c:v>DAL</c:v>
                </c:pt>
                <c:pt idx="1">
                  <c:v>STZ</c:v>
                </c:pt>
                <c:pt idx="2">
                  <c:v>JPM</c:v>
                </c:pt>
                <c:pt idx="3">
                  <c:v>WFC</c:v>
                </c:pt>
                <c:pt idx="4">
                  <c:v>BLK</c:v>
                </c:pt>
                <c:pt idx="5">
                  <c:v>BK</c:v>
                </c:pt>
                <c:pt idx="6">
                  <c:v>MS</c:v>
                </c:pt>
                <c:pt idx="7">
                  <c:v>FAST</c:v>
                </c:pt>
                <c:pt idx="8">
                  <c:v>GS</c:v>
                </c:pt>
                <c:pt idx="9">
                  <c:v>MTB</c:v>
                </c:pt>
                <c:pt idx="10">
                  <c:v>C</c:v>
                </c:pt>
                <c:pt idx="11">
                  <c:v>BAC</c:v>
                </c:pt>
                <c:pt idx="12">
                  <c:v>PNC</c:v>
                </c:pt>
                <c:pt idx="13">
                  <c:v>JNJ</c:v>
                </c:pt>
                <c:pt idx="14">
                  <c:v>JBHT</c:v>
                </c:pt>
                <c:pt idx="15">
                  <c:v>UAL</c:v>
                </c:pt>
                <c:pt idx="16">
                  <c:v>OMC</c:v>
                </c:pt>
                <c:pt idx="17">
                  <c:v>USB</c:v>
                </c:pt>
                <c:pt idx="18">
                  <c:v>CFG</c:v>
                </c:pt>
                <c:pt idx="19">
                  <c:v>ABT</c:v>
                </c:pt>
                <c:pt idx="20">
                  <c:v>TRV</c:v>
                </c:pt>
                <c:pt idx="21">
                  <c:v>PGR</c:v>
                </c:pt>
                <c:pt idx="22">
                  <c:v>CSX</c:v>
                </c:pt>
                <c:pt idx="23">
                  <c:v>KMI</c:v>
                </c:pt>
                <c:pt idx="24">
                  <c:v>STT</c:v>
                </c:pt>
                <c:pt idx="25">
                  <c:v>UNH</c:v>
                </c:pt>
                <c:pt idx="26">
                  <c:v>TFC</c:v>
                </c:pt>
                <c:pt idx="27">
                  <c:v>HBAN</c:v>
                </c:pt>
                <c:pt idx="28">
                  <c:v>RF</c:v>
                </c:pt>
                <c:pt idx="29">
                  <c:v>SCHW</c:v>
                </c:pt>
                <c:pt idx="30">
                  <c:v>DHI</c:v>
                </c:pt>
                <c:pt idx="31">
                  <c:v>FITB</c:v>
                </c:pt>
                <c:pt idx="32">
                  <c:v>KEY</c:v>
                </c:pt>
                <c:pt idx="33">
                  <c:v>AXP</c:v>
                </c:pt>
                <c:pt idx="34">
                  <c:v>MMC</c:v>
                </c:pt>
                <c:pt idx="35">
                  <c:v>SNA</c:v>
                </c:pt>
                <c:pt idx="36">
                  <c:v>BX</c:v>
                </c:pt>
                <c:pt idx="37">
                  <c:v>ALLY</c:v>
                </c:pt>
                <c:pt idx="38">
                  <c:v>NFLX</c:v>
                </c:pt>
                <c:pt idx="39">
                  <c:v>WRB</c:v>
                </c:pt>
                <c:pt idx="40">
                  <c:v>EFX</c:v>
                </c:pt>
                <c:pt idx="41">
                  <c:v>GPC</c:v>
                </c:pt>
                <c:pt idx="42">
                  <c:v>HAL</c:v>
                </c:pt>
                <c:pt idx="43">
                  <c:v>GE</c:v>
                </c:pt>
                <c:pt idx="44">
                  <c:v>VZ</c:v>
                </c:pt>
                <c:pt idx="45">
                  <c:v>LMT</c:v>
                </c:pt>
                <c:pt idx="46">
                  <c:v>DHR</c:v>
                </c:pt>
                <c:pt idx="47">
                  <c:v>NOC</c:v>
                </c:pt>
                <c:pt idx="48">
                  <c:v>PHM</c:v>
                </c:pt>
                <c:pt idx="49">
                  <c:v>RTX</c:v>
                </c:pt>
                <c:pt idx="50">
                  <c:v>KMB</c:v>
                </c:pt>
                <c:pt idx="51">
                  <c:v>MMM</c:v>
                </c:pt>
                <c:pt idx="52">
                  <c:v>PNR</c:v>
                </c:pt>
                <c:pt idx="53">
                  <c:v>STLD</c:v>
                </c:pt>
                <c:pt idx="54">
                  <c:v>ISRG</c:v>
                </c:pt>
                <c:pt idx="55">
                  <c:v>PKG</c:v>
                </c:pt>
                <c:pt idx="56">
                  <c:v>BKR</c:v>
                </c:pt>
                <c:pt idx="57">
                  <c:v>ENPH</c:v>
                </c:pt>
                <c:pt idx="58">
                  <c:v>COF</c:v>
                </c:pt>
                <c:pt idx="59">
                  <c:v>TSLA</c:v>
                </c:pt>
                <c:pt idx="60">
                  <c:v>EQT</c:v>
                </c:pt>
                <c:pt idx="61">
                  <c:v>GEV</c:v>
                </c:pt>
                <c:pt idx="62">
                  <c:v>APH</c:v>
                </c:pt>
                <c:pt idx="63">
                  <c:v>TEL</c:v>
                </c:pt>
                <c:pt idx="64">
                  <c:v>T</c:v>
                </c:pt>
                <c:pt idx="65">
                  <c:v>BA</c:v>
                </c:pt>
                <c:pt idx="66">
                  <c:v>NSC</c:v>
                </c:pt>
                <c:pt idx="67">
                  <c:v>TMO</c:v>
                </c:pt>
                <c:pt idx="68">
                  <c:v>AVY</c:v>
                </c:pt>
                <c:pt idx="69">
                  <c:v>PM</c:v>
                </c:pt>
                <c:pt idx="70">
                  <c:v>MAS</c:v>
                </c:pt>
                <c:pt idx="71">
                  <c:v>CME</c:v>
                </c:pt>
                <c:pt idx="72">
                  <c:v>WAB</c:v>
                </c:pt>
                <c:pt idx="73">
                  <c:v>GD</c:v>
                </c:pt>
                <c:pt idx="74">
                  <c:v>BSX</c:v>
                </c:pt>
                <c:pt idx="75">
                  <c:v>OTIS</c:v>
                </c:pt>
                <c:pt idx="76">
                  <c:v>TXN</c:v>
                </c:pt>
                <c:pt idx="77">
                  <c:v>DFS</c:v>
                </c:pt>
                <c:pt idx="78">
                  <c:v>IBM</c:v>
                </c:pt>
                <c:pt idx="79">
                  <c:v>LVS</c:v>
                </c:pt>
                <c:pt idx="80">
                  <c:v>CMG</c:v>
                </c:pt>
                <c:pt idx="81">
                  <c:v>EW</c:v>
                </c:pt>
                <c:pt idx="82">
                  <c:v>LRCX</c:v>
                </c:pt>
                <c:pt idx="83">
                  <c:v>LUV</c:v>
                </c:pt>
                <c:pt idx="84">
                  <c:v>FI</c:v>
                </c:pt>
                <c:pt idx="85">
                  <c:v>FCX</c:v>
                </c:pt>
                <c:pt idx="86">
                  <c:v>PG</c:v>
                </c:pt>
                <c:pt idx="87">
                  <c:v>TXT</c:v>
                </c:pt>
                <c:pt idx="88">
                  <c:v>UNP</c:v>
                </c:pt>
                <c:pt idx="89">
                  <c:v>NDAQ</c:v>
                </c:pt>
                <c:pt idx="90">
                  <c:v>CMCSA</c:v>
                </c:pt>
                <c:pt idx="91">
                  <c:v>VLO</c:v>
                </c:pt>
                <c:pt idx="92">
                  <c:v>DOW</c:v>
                </c:pt>
                <c:pt idx="93">
                  <c:v>TSCO</c:v>
                </c:pt>
                <c:pt idx="94">
                  <c:v>DOV</c:v>
                </c:pt>
                <c:pt idx="95">
                  <c:v>MRK</c:v>
                </c:pt>
                <c:pt idx="96">
                  <c:v>PEP</c:v>
                </c:pt>
                <c:pt idx="97">
                  <c:v>BMY</c:v>
                </c:pt>
                <c:pt idx="98">
                  <c:v>IPG</c:v>
                </c:pt>
                <c:pt idx="99">
                  <c:v>LKQ</c:v>
                </c:pt>
                <c:pt idx="100">
                  <c:v>HAS</c:v>
                </c:pt>
                <c:pt idx="101">
                  <c:v>KDP</c:v>
                </c:pt>
                <c:pt idx="102">
                  <c:v>LHX</c:v>
                </c:pt>
                <c:pt idx="103">
                  <c:v>TMUS</c:v>
                </c:pt>
                <c:pt idx="104">
                  <c:v>HIG</c:v>
                </c:pt>
                <c:pt idx="105">
                  <c:v>EMN</c:v>
                </c:pt>
                <c:pt idx="106">
                  <c:v>RSG</c:v>
                </c:pt>
                <c:pt idx="107">
                  <c:v>INTC</c:v>
                </c:pt>
                <c:pt idx="108">
                  <c:v>GOOG</c:v>
                </c:pt>
                <c:pt idx="109">
                  <c:v>GILD</c:v>
                </c:pt>
                <c:pt idx="110">
                  <c:v>SLB</c:v>
                </c:pt>
                <c:pt idx="111">
                  <c:v>PSX</c:v>
                </c:pt>
                <c:pt idx="112">
                  <c:v>HCA</c:v>
                </c:pt>
                <c:pt idx="113">
                  <c:v>ABBV</c:v>
                </c:pt>
                <c:pt idx="114">
                  <c:v>CL</c:v>
                </c:pt>
                <c:pt idx="115">
                  <c:v>CHTR</c:v>
                </c:pt>
                <c:pt idx="116">
                  <c:v>LYB</c:v>
                </c:pt>
                <c:pt idx="117">
                  <c:v>TER</c:v>
                </c:pt>
                <c:pt idx="118">
                  <c:v>CINF</c:v>
                </c:pt>
                <c:pt idx="119">
                  <c:v>UHS</c:v>
                </c:pt>
                <c:pt idx="120">
                  <c:v>NUE</c:v>
                </c:pt>
                <c:pt idx="121">
                  <c:v>WM</c:v>
                </c:pt>
                <c:pt idx="122">
                  <c:v>BRO</c:v>
                </c:pt>
                <c:pt idx="123">
                  <c:v>FFIV</c:v>
                </c:pt>
                <c:pt idx="124">
                  <c:v>NXPI</c:v>
                </c:pt>
                <c:pt idx="125">
                  <c:v>CDNS</c:v>
                </c:pt>
                <c:pt idx="126">
                  <c:v>RCL</c:v>
                </c:pt>
                <c:pt idx="127">
                  <c:v>SHW</c:v>
                </c:pt>
                <c:pt idx="128">
                  <c:v>HLT</c:v>
                </c:pt>
                <c:pt idx="129">
                  <c:v>AOS</c:v>
                </c:pt>
                <c:pt idx="130">
                  <c:v>LH</c:v>
                </c:pt>
                <c:pt idx="131">
                  <c:v>SPGI</c:v>
                </c:pt>
                <c:pt idx="132">
                  <c:v>GM</c:v>
                </c:pt>
                <c:pt idx="133">
                  <c:v>PCAR</c:v>
                </c:pt>
                <c:pt idx="134">
                  <c:v>SYY</c:v>
                </c:pt>
                <c:pt idx="135">
                  <c:v>GLW</c:v>
                </c:pt>
                <c:pt idx="136">
                  <c:v>UPS</c:v>
                </c:pt>
                <c:pt idx="137">
                  <c:v>MO</c:v>
                </c:pt>
                <c:pt idx="138">
                  <c:v>PFE</c:v>
                </c:pt>
                <c:pt idx="139">
                  <c:v>AMCR</c:v>
                </c:pt>
                <c:pt idx="140">
                  <c:v>KO</c:v>
                </c:pt>
                <c:pt idx="141">
                  <c:v>ECL</c:v>
                </c:pt>
                <c:pt idx="142">
                  <c:v>ZBRA</c:v>
                </c:pt>
                <c:pt idx="143">
                  <c:v>PYPL</c:v>
                </c:pt>
                <c:pt idx="144">
                  <c:v>KHC</c:v>
                </c:pt>
                <c:pt idx="145">
                  <c:v>REGN</c:v>
                </c:pt>
                <c:pt idx="146">
                  <c:v>XYL</c:v>
                </c:pt>
                <c:pt idx="147">
                  <c:v>HON</c:v>
                </c:pt>
                <c:pt idx="148">
                  <c:v>SOFI</c:v>
                </c:pt>
                <c:pt idx="149">
                  <c:v>PPG</c:v>
                </c:pt>
                <c:pt idx="150">
                  <c:v>VLTO</c:v>
                </c:pt>
                <c:pt idx="151">
                  <c:v>STX</c:v>
                </c:pt>
                <c:pt idx="152">
                  <c:v>SNAP</c:v>
                </c:pt>
                <c:pt idx="153">
                  <c:v>SBUX</c:v>
                </c:pt>
                <c:pt idx="154">
                  <c:v>V</c:v>
                </c:pt>
                <c:pt idx="155">
                  <c:v>ACGL</c:v>
                </c:pt>
                <c:pt idx="156">
                  <c:v>FSLR</c:v>
                </c:pt>
                <c:pt idx="157">
                  <c:v>FRSH</c:v>
                </c:pt>
                <c:pt idx="158">
                  <c:v>CZR</c:v>
                </c:pt>
                <c:pt idx="159">
                  <c:v>TENB</c:v>
                </c:pt>
                <c:pt idx="160">
                  <c:v>MDLZ</c:v>
                </c:pt>
                <c:pt idx="161">
                  <c:v>GEHC</c:v>
                </c:pt>
                <c:pt idx="162">
                  <c:v>HES</c:v>
                </c:pt>
                <c:pt idx="163">
                  <c:v>WDC</c:v>
                </c:pt>
                <c:pt idx="164">
                  <c:v>CAT</c:v>
                </c:pt>
                <c:pt idx="165">
                  <c:v>TT</c:v>
                </c:pt>
                <c:pt idx="166">
                  <c:v>ITW</c:v>
                </c:pt>
                <c:pt idx="167">
                  <c:v>ADP</c:v>
                </c:pt>
                <c:pt idx="168">
                  <c:v>IP</c:v>
                </c:pt>
                <c:pt idx="169">
                  <c:v>YUM</c:v>
                </c:pt>
                <c:pt idx="170">
                  <c:v>GNRC</c:v>
                </c:pt>
                <c:pt idx="171">
                  <c:v>GRMN</c:v>
                </c:pt>
                <c:pt idx="172">
                  <c:v>SWK</c:v>
                </c:pt>
                <c:pt idx="173">
                  <c:v>VMC</c:v>
                </c:pt>
                <c:pt idx="174">
                  <c:v>NCLH</c:v>
                </c:pt>
                <c:pt idx="175">
                  <c:v>MSFT</c:v>
                </c:pt>
                <c:pt idx="176">
                  <c:v>PRU</c:v>
                </c:pt>
                <c:pt idx="177">
                  <c:v>META</c:v>
                </c:pt>
                <c:pt idx="178">
                  <c:v>CHRW</c:v>
                </c:pt>
                <c:pt idx="179">
                  <c:v>FMC</c:v>
                </c:pt>
                <c:pt idx="180">
                  <c:v>AFL</c:v>
                </c:pt>
                <c:pt idx="181">
                  <c:v>ALL</c:v>
                </c:pt>
                <c:pt idx="182">
                  <c:v>CTSH</c:v>
                </c:pt>
                <c:pt idx="183">
                  <c:v>PTC</c:v>
                </c:pt>
                <c:pt idx="184">
                  <c:v>ALGN</c:v>
                </c:pt>
                <c:pt idx="185">
                  <c:v>MGM</c:v>
                </c:pt>
                <c:pt idx="186">
                  <c:v>CWAN</c:v>
                </c:pt>
                <c:pt idx="187">
                  <c:v>EBAY</c:v>
                </c:pt>
                <c:pt idx="188">
                  <c:v>QCOM</c:v>
                </c:pt>
                <c:pt idx="189">
                  <c:v>MET</c:v>
                </c:pt>
                <c:pt idx="190">
                  <c:v>HOOD</c:v>
                </c:pt>
                <c:pt idx="191">
                  <c:v>ALB</c:v>
                </c:pt>
                <c:pt idx="192">
                  <c:v>KLAC</c:v>
                </c:pt>
                <c:pt idx="193">
                  <c:v>CFLT</c:v>
                </c:pt>
                <c:pt idx="194">
                  <c:v>IEX</c:v>
                </c:pt>
                <c:pt idx="195">
                  <c:v>HUBB</c:v>
                </c:pt>
                <c:pt idx="196">
                  <c:v>MA</c:v>
                </c:pt>
                <c:pt idx="197">
                  <c:v>SW</c:v>
                </c:pt>
                <c:pt idx="198">
                  <c:v>BIIB</c:v>
                </c:pt>
                <c:pt idx="199">
                  <c:v>APD</c:v>
                </c:pt>
                <c:pt idx="200">
                  <c:v>MCD</c:v>
                </c:pt>
                <c:pt idx="201">
                  <c:v>FTV</c:v>
                </c:pt>
                <c:pt idx="202">
                  <c:v>PH</c:v>
                </c:pt>
                <c:pt idx="203">
                  <c:v>CAH</c:v>
                </c:pt>
                <c:pt idx="204">
                  <c:v>GWW</c:v>
                </c:pt>
                <c:pt idx="205">
                  <c:v>CHD</c:v>
                </c:pt>
                <c:pt idx="206">
                  <c:v>IDXX</c:v>
                </c:pt>
                <c:pt idx="207">
                  <c:v>KKR</c:v>
                </c:pt>
                <c:pt idx="208">
                  <c:v>AME</c:v>
                </c:pt>
                <c:pt idx="209">
                  <c:v>EL</c:v>
                </c:pt>
                <c:pt idx="210">
                  <c:v>LLY</c:v>
                </c:pt>
                <c:pt idx="211">
                  <c:v>LIN</c:v>
                </c:pt>
                <c:pt idx="212">
                  <c:v>ICE</c:v>
                </c:pt>
                <c:pt idx="213">
                  <c:v>HSY</c:v>
                </c:pt>
                <c:pt idx="214">
                  <c:v>APTV</c:v>
                </c:pt>
                <c:pt idx="215">
                  <c:v>CARR</c:v>
                </c:pt>
                <c:pt idx="216">
                  <c:v>CVS</c:v>
                </c:pt>
                <c:pt idx="217">
                  <c:v>HWM</c:v>
                </c:pt>
                <c:pt idx="218">
                  <c:v>BAX</c:v>
                </c:pt>
                <c:pt idx="219">
                  <c:v>PWR</c:v>
                </c:pt>
                <c:pt idx="220">
                  <c:v>BLDR</c:v>
                </c:pt>
                <c:pt idx="221">
                  <c:v>HII</c:v>
                </c:pt>
                <c:pt idx="222">
                  <c:v>TRGP</c:v>
                </c:pt>
                <c:pt idx="223">
                  <c:v>BR</c:v>
                </c:pt>
                <c:pt idx="224">
                  <c:v>MPWR</c:v>
                </c:pt>
                <c:pt idx="225">
                  <c:v>PCOR</c:v>
                </c:pt>
                <c:pt idx="226">
                  <c:v>TEAM</c:v>
                </c:pt>
                <c:pt idx="227">
                  <c:v>MHK</c:v>
                </c:pt>
                <c:pt idx="228">
                  <c:v>SYK</c:v>
                </c:pt>
                <c:pt idx="229">
                  <c:v>AIG</c:v>
                </c:pt>
                <c:pt idx="230">
                  <c:v>DLB</c:v>
                </c:pt>
                <c:pt idx="231">
                  <c:v>AAPL</c:v>
                </c:pt>
                <c:pt idx="232">
                  <c:v>AJG</c:v>
                </c:pt>
                <c:pt idx="233">
                  <c:v>AMGN</c:v>
                </c:pt>
                <c:pt idx="234">
                  <c:v>HOLX</c:v>
                </c:pt>
                <c:pt idx="235">
                  <c:v>MTD</c:v>
                </c:pt>
                <c:pt idx="236">
                  <c:v>ROKU</c:v>
                </c:pt>
                <c:pt idx="237">
                  <c:v>IR</c:v>
                </c:pt>
                <c:pt idx="238">
                  <c:v>GDDY</c:v>
                </c:pt>
                <c:pt idx="239">
                  <c:v>LYV</c:v>
                </c:pt>
                <c:pt idx="240">
                  <c:v>MNST</c:v>
                </c:pt>
                <c:pt idx="241">
                  <c:v>XYZ</c:v>
                </c:pt>
                <c:pt idx="242">
                  <c:v>AMZN</c:v>
                </c:pt>
                <c:pt idx="243">
                  <c:v>ABNB</c:v>
                </c:pt>
                <c:pt idx="244">
                  <c:v>MSI</c:v>
                </c:pt>
                <c:pt idx="245">
                  <c:v>ETN</c:v>
                </c:pt>
                <c:pt idx="246">
                  <c:v>XOM</c:v>
                </c:pt>
                <c:pt idx="247">
                  <c:v>CVX</c:v>
                </c:pt>
                <c:pt idx="248">
                  <c:v>TROW</c:v>
                </c:pt>
                <c:pt idx="249">
                  <c:v>BEN</c:v>
                </c:pt>
                <c:pt idx="250">
                  <c:v>ZBH</c:v>
                </c:pt>
                <c:pt idx="251">
                  <c:v>TSN</c:v>
                </c:pt>
                <c:pt idx="252">
                  <c:v>CMI</c:v>
                </c:pt>
                <c:pt idx="253">
                  <c:v>ON</c:v>
                </c:pt>
                <c:pt idx="254">
                  <c:v>HSIC</c:v>
                </c:pt>
                <c:pt idx="255">
                  <c:v>CLX</c:v>
                </c:pt>
                <c:pt idx="256">
                  <c:v>F</c:v>
                </c:pt>
                <c:pt idx="257">
                  <c:v>PLTR</c:v>
                </c:pt>
                <c:pt idx="258">
                  <c:v>WMB</c:v>
                </c:pt>
                <c:pt idx="259">
                  <c:v>CE</c:v>
                </c:pt>
                <c:pt idx="260">
                  <c:v>IT</c:v>
                </c:pt>
                <c:pt idx="261">
                  <c:v>ADM</c:v>
                </c:pt>
                <c:pt idx="262">
                  <c:v>IQV</c:v>
                </c:pt>
                <c:pt idx="263">
                  <c:v>FIS</c:v>
                </c:pt>
                <c:pt idx="264">
                  <c:v>BALL</c:v>
                </c:pt>
                <c:pt idx="265">
                  <c:v>LDOS</c:v>
                </c:pt>
                <c:pt idx="266">
                  <c:v>MAR</c:v>
                </c:pt>
                <c:pt idx="267">
                  <c:v>GPN</c:v>
                </c:pt>
                <c:pt idx="268">
                  <c:v>MPC</c:v>
                </c:pt>
                <c:pt idx="269">
                  <c:v>J</c:v>
                </c:pt>
                <c:pt idx="270">
                  <c:v>WAT</c:v>
                </c:pt>
                <c:pt idx="271">
                  <c:v>ZTS</c:v>
                </c:pt>
                <c:pt idx="272">
                  <c:v>DDOG</c:v>
                </c:pt>
                <c:pt idx="273">
                  <c:v>DASH</c:v>
                </c:pt>
                <c:pt idx="274">
                  <c:v>VRNS</c:v>
                </c:pt>
                <c:pt idx="275">
                  <c:v>IFF</c:v>
                </c:pt>
                <c:pt idx="276">
                  <c:v>AMD</c:v>
                </c:pt>
                <c:pt idx="277">
                  <c:v>EA</c:v>
                </c:pt>
                <c:pt idx="278">
                  <c:v>INTA</c:v>
                </c:pt>
                <c:pt idx="279">
                  <c:v>LCID</c:v>
                </c:pt>
                <c:pt idx="280">
                  <c:v>AIZ</c:v>
                </c:pt>
                <c:pt idx="281">
                  <c:v>ANET</c:v>
                </c:pt>
                <c:pt idx="282">
                  <c:v>CPAY</c:v>
                </c:pt>
                <c:pt idx="283">
                  <c:v>KVYO</c:v>
                </c:pt>
                <c:pt idx="284">
                  <c:v>MOS</c:v>
                </c:pt>
                <c:pt idx="285">
                  <c:v>GEN</c:v>
                </c:pt>
                <c:pt idx="286">
                  <c:v>WYNN</c:v>
                </c:pt>
                <c:pt idx="287">
                  <c:v>CDW</c:v>
                </c:pt>
                <c:pt idx="288">
                  <c:v>ROK</c:v>
                </c:pt>
                <c:pt idx="289">
                  <c:v>BG</c:v>
                </c:pt>
                <c:pt idx="290">
                  <c:v>JCI</c:v>
                </c:pt>
                <c:pt idx="291">
                  <c:v>DAY</c:v>
                </c:pt>
                <c:pt idx="292">
                  <c:v>TECH</c:v>
                </c:pt>
                <c:pt idx="293">
                  <c:v>MKTX</c:v>
                </c:pt>
                <c:pt idx="294">
                  <c:v>DIS</c:v>
                </c:pt>
                <c:pt idx="295">
                  <c:v>UBER</c:v>
                </c:pt>
                <c:pt idx="296">
                  <c:v>EMR</c:v>
                </c:pt>
                <c:pt idx="297">
                  <c:v>COR</c:v>
                </c:pt>
                <c:pt idx="298">
                  <c:v>BWA</c:v>
                </c:pt>
                <c:pt idx="299">
                  <c:v>U</c:v>
                </c:pt>
                <c:pt idx="300">
                  <c:v>TRMB</c:v>
                </c:pt>
                <c:pt idx="301">
                  <c:v>AXON</c:v>
                </c:pt>
                <c:pt idx="302">
                  <c:v>SWKS</c:v>
                </c:pt>
                <c:pt idx="303">
                  <c:v>CTVA</c:v>
                </c:pt>
                <c:pt idx="304">
                  <c:v>FTNT</c:v>
                </c:pt>
                <c:pt idx="305">
                  <c:v>PAYC</c:v>
                </c:pt>
                <c:pt idx="306">
                  <c:v>APP</c:v>
                </c:pt>
                <c:pt idx="307">
                  <c:v>CF</c:v>
                </c:pt>
                <c:pt idx="308">
                  <c:v>CENX</c:v>
                </c:pt>
                <c:pt idx="309">
                  <c:v>KVUE</c:v>
                </c:pt>
                <c:pt idx="310">
                  <c:v>MTCH</c:v>
                </c:pt>
                <c:pt idx="311">
                  <c:v>TAP</c:v>
                </c:pt>
                <c:pt idx="312">
                  <c:v>COP</c:v>
                </c:pt>
                <c:pt idx="313">
                  <c:v>TPR</c:v>
                </c:pt>
                <c:pt idx="314">
                  <c:v>VTRS</c:v>
                </c:pt>
                <c:pt idx="315">
                  <c:v>WBD</c:v>
                </c:pt>
                <c:pt idx="316">
                  <c:v>MCK</c:v>
                </c:pt>
                <c:pt idx="317">
                  <c:v>NWS</c:v>
                </c:pt>
                <c:pt idx="318">
                  <c:v>EXPE</c:v>
                </c:pt>
                <c:pt idx="319">
                  <c:v>PODD</c:v>
                </c:pt>
                <c:pt idx="320">
                  <c:v>AKAM</c:v>
                </c:pt>
                <c:pt idx="321">
                  <c:v>DBX</c:v>
                </c:pt>
                <c:pt idx="322">
                  <c:v>SOLV</c:v>
                </c:pt>
                <c:pt idx="323">
                  <c:v>KODK</c:v>
                </c:pt>
                <c:pt idx="324">
                  <c:v>MCHP</c:v>
                </c:pt>
                <c:pt idx="325">
                  <c:v>FOX</c:v>
                </c:pt>
                <c:pt idx="326">
                  <c:v>GCT</c:v>
                </c:pt>
                <c:pt idx="327">
                  <c:v>DVA</c:v>
                </c:pt>
                <c:pt idx="328">
                  <c:v>ASTS</c:v>
                </c:pt>
                <c:pt idx="329">
                  <c:v>KRMN</c:v>
                </c:pt>
                <c:pt idx="330">
                  <c:v>QUIK</c:v>
                </c:pt>
                <c:pt idx="331">
                  <c:v>DT</c:v>
                </c:pt>
                <c:pt idx="332">
                  <c:v>STE</c:v>
                </c:pt>
                <c:pt idx="333">
                  <c:v>CSCO</c:v>
                </c:pt>
                <c:pt idx="334">
                  <c:v>STN</c:v>
                </c:pt>
                <c:pt idx="335">
                  <c:v>DE</c:v>
                </c:pt>
                <c:pt idx="336">
                  <c:v>WMT</c:v>
                </c:pt>
                <c:pt idx="337">
                  <c:v>WMS</c:v>
                </c:pt>
                <c:pt idx="338">
                  <c:v>TTWO</c:v>
                </c:pt>
                <c:pt idx="339">
                  <c:v>AMAT</c:v>
                </c:pt>
                <c:pt idx="340">
                  <c:v>DOCS</c:v>
                </c:pt>
                <c:pt idx="341">
                  <c:v>RBC</c:v>
                </c:pt>
                <c:pt idx="342">
                  <c:v>FLO</c:v>
                </c:pt>
                <c:pt idx="343">
                  <c:v>HD</c:v>
                </c:pt>
                <c:pt idx="344">
                  <c:v>EXP</c:v>
                </c:pt>
                <c:pt idx="345">
                  <c:v>PANW</c:v>
                </c:pt>
                <c:pt idx="346">
                  <c:v>TOL</c:v>
                </c:pt>
                <c:pt idx="347">
                  <c:v>MDT</c:v>
                </c:pt>
                <c:pt idx="348">
                  <c:v>LOW</c:v>
                </c:pt>
                <c:pt idx="349">
                  <c:v>TJX</c:v>
                </c:pt>
                <c:pt idx="350">
                  <c:v>TGT</c:v>
                </c:pt>
                <c:pt idx="351">
                  <c:v>ZM</c:v>
                </c:pt>
                <c:pt idx="352">
                  <c:v>ADI</c:v>
                </c:pt>
                <c:pt idx="353">
                  <c:v>RL</c:v>
                </c:pt>
                <c:pt idx="354">
                  <c:v>BJ</c:v>
                </c:pt>
                <c:pt idx="355">
                  <c:v>WSM</c:v>
                </c:pt>
                <c:pt idx="356">
                  <c:v>CPRT</c:v>
                </c:pt>
                <c:pt idx="357">
                  <c:v>DECK</c:v>
                </c:pt>
                <c:pt idx="358">
                  <c:v>INTU</c:v>
                </c:pt>
                <c:pt idx="359">
                  <c:v>ROST</c:v>
                </c:pt>
                <c:pt idx="360">
                  <c:v>WDAY</c:v>
                </c:pt>
                <c:pt idx="361">
                  <c:v>ADSK</c:v>
                </c:pt>
                <c:pt idx="362">
                  <c:v>BOX</c:v>
                </c:pt>
                <c:pt idx="363">
                  <c:v>OKTA</c:v>
                </c:pt>
                <c:pt idx="364">
                  <c:v>SMTC</c:v>
                </c:pt>
                <c:pt idx="365">
                  <c:v>M</c:v>
                </c:pt>
                <c:pt idx="366">
                  <c:v>ANF</c:v>
                </c:pt>
                <c:pt idx="367">
                  <c:v>DKS</c:v>
                </c:pt>
                <c:pt idx="368">
                  <c:v>ELF</c:v>
                </c:pt>
                <c:pt idx="369">
                  <c:v>SNPS</c:v>
                </c:pt>
                <c:pt idx="370">
                  <c:v>NTNX</c:v>
                </c:pt>
                <c:pt idx="371">
                  <c:v>NVDA</c:v>
                </c:pt>
                <c:pt idx="372">
                  <c:v>CRM</c:v>
                </c:pt>
                <c:pt idx="373">
                  <c:v>A</c:v>
                </c:pt>
                <c:pt idx="374">
                  <c:v>AI</c:v>
                </c:pt>
                <c:pt idx="375">
                  <c:v>HPQ</c:v>
                </c:pt>
                <c:pt idx="376">
                  <c:v>PSTG</c:v>
                </c:pt>
                <c:pt idx="377">
                  <c:v>VEEV</c:v>
                </c:pt>
                <c:pt idx="378">
                  <c:v>S</c:v>
                </c:pt>
                <c:pt idx="379">
                  <c:v>HRL</c:v>
                </c:pt>
                <c:pt idx="380">
                  <c:v>BBY</c:v>
                </c:pt>
                <c:pt idx="381">
                  <c:v>BURL</c:v>
                </c:pt>
                <c:pt idx="382">
                  <c:v>AEO</c:v>
                </c:pt>
                <c:pt idx="383">
                  <c:v>PATH</c:v>
                </c:pt>
                <c:pt idx="384">
                  <c:v>DELL</c:v>
                </c:pt>
                <c:pt idx="385">
                  <c:v>NTAP</c:v>
                </c:pt>
                <c:pt idx="386">
                  <c:v>ESTC</c:v>
                </c:pt>
                <c:pt idx="387">
                  <c:v>ZS</c:v>
                </c:pt>
                <c:pt idx="388">
                  <c:v>GAP</c:v>
                </c:pt>
                <c:pt idx="389">
                  <c:v>COST</c:v>
                </c:pt>
                <c:pt idx="390">
                  <c:v>ULTA</c:v>
                </c:pt>
                <c:pt idx="391">
                  <c:v>CPB</c:v>
                </c:pt>
                <c:pt idx="392">
                  <c:v>DG</c:v>
                </c:pt>
                <c:pt idx="393">
                  <c:v>OLLI</c:v>
                </c:pt>
                <c:pt idx="394">
                  <c:v>HQY</c:v>
                </c:pt>
                <c:pt idx="395">
                  <c:v>ASAN</c:v>
                </c:pt>
                <c:pt idx="396">
                  <c:v>CRWD</c:v>
                </c:pt>
                <c:pt idx="397">
                  <c:v>HPE</c:v>
                </c:pt>
                <c:pt idx="398">
                  <c:v>REVG</c:v>
                </c:pt>
                <c:pt idx="399">
                  <c:v>DLTR</c:v>
                </c:pt>
                <c:pt idx="400">
                  <c:v>VSCO</c:v>
                </c:pt>
                <c:pt idx="401">
                  <c:v>CIEN</c:v>
                </c:pt>
                <c:pt idx="402">
                  <c:v>DOCU</c:v>
                </c:pt>
                <c:pt idx="403">
                  <c:v>AVGO</c:v>
                </c:pt>
                <c:pt idx="404">
                  <c:v>CASY</c:v>
                </c:pt>
                <c:pt idx="405">
                  <c:v>CNM</c:v>
                </c:pt>
                <c:pt idx="406">
                  <c:v>GTLB</c:v>
                </c:pt>
                <c:pt idx="407">
                  <c:v>CHWY</c:v>
                </c:pt>
                <c:pt idx="408">
                  <c:v>ORCL</c:v>
                </c:pt>
                <c:pt idx="409">
                  <c:v>ADBE</c:v>
                </c:pt>
                <c:pt idx="410">
                  <c:v>LEN</c:v>
                </c:pt>
                <c:pt idx="411">
                  <c:v>JBL</c:v>
                </c:pt>
                <c:pt idx="412">
                  <c:v>DRI</c:v>
                </c:pt>
                <c:pt idx="413">
                  <c:v>SNX</c:v>
                </c:pt>
                <c:pt idx="414">
                  <c:v>CCL</c:v>
                </c:pt>
                <c:pt idx="415">
                  <c:v>GIS</c:v>
                </c:pt>
                <c:pt idx="416">
                  <c:v>MU</c:v>
                </c:pt>
                <c:pt idx="417">
                  <c:v>MKC</c:v>
                </c:pt>
                <c:pt idx="418">
                  <c:v>NKE</c:v>
                </c:pt>
              </c:strCache>
            </c:strRef>
          </c:cat>
          <c:val>
            <c:numRef>
              <c:f>'2025-Q2'!$AE$4:$AE$422</c:f>
              <c:numCache>
                <c:formatCode>0.00_);[Red]\(0.00\)</c:formatCode>
                <c:ptCount val="419"/>
                <c:pt idx="0">
                  <c:v>-3.9437012263099192</c:v>
                </c:pt>
                <c:pt idx="1">
                  <c:v>-0.1226826608505984</c:v>
                </c:pt>
                <c:pt idx="2">
                  <c:v>0.66707762758134548</c:v>
                </c:pt>
                <c:pt idx="3">
                  <c:v>-0.15845349389953767</c:v>
                </c:pt>
                <c:pt idx="4">
                  <c:v>0.38814752711210482</c:v>
                </c:pt>
                <c:pt idx="5">
                  <c:v>0.23060522995257593</c:v>
                </c:pt>
                <c:pt idx="6">
                  <c:v>0.24082066679176975</c:v>
                </c:pt>
                <c:pt idx="7">
                  <c:v>1.0665435193737045</c:v>
                </c:pt>
                <c:pt idx="8">
                  <c:v>0.32157592427797171</c:v>
                </c:pt>
                <c:pt idx="9">
                  <c:v>-5.8035243220431229E-2</c:v>
                </c:pt>
                <c:pt idx="10">
                  <c:v>0.2926289149003482</c:v>
                </c:pt>
                <c:pt idx="11">
                  <c:v>0.59994545950368006</c:v>
                </c:pt>
                <c:pt idx="12">
                  <c:v>-7.5113743668985865E-3</c:v>
                </c:pt>
                <c:pt idx="13">
                  <c:v>-7.9899801330221204E-2</c:v>
                </c:pt>
                <c:pt idx="14">
                  <c:v>1.2804381614980425</c:v>
                </c:pt>
                <c:pt idx="15">
                  <c:v>-2.4875621890556063E-3</c:v>
                </c:pt>
                <c:pt idx="16">
                  <c:v>1.2126339537507069</c:v>
                </c:pt>
                <c:pt idx="17">
                  <c:v>0.34946932435930883</c:v>
                </c:pt>
                <c:pt idx="18">
                  <c:v>-0.29547553093259532</c:v>
                </c:pt>
                <c:pt idx="19">
                  <c:v>0.45951513230866647</c:v>
                </c:pt>
                <c:pt idx="20">
                  <c:v>0.18825602819834863</c:v>
                </c:pt>
                <c:pt idx="21">
                  <c:v>-5.9155167626429014E-2</c:v>
                </c:pt>
                <c:pt idx="22">
                  <c:v>-0.20109689213893586</c:v>
                </c:pt>
                <c:pt idx="23">
                  <c:v>9.2764378478665574E-2</c:v>
                </c:pt>
                <c:pt idx="24">
                  <c:v>0.34116120390137972</c:v>
                </c:pt>
                <c:pt idx="25">
                  <c:v>-3.729944391266693</c:v>
                </c:pt>
                <c:pt idx="26">
                  <c:v>4.6296296296296301E-2</c:v>
                </c:pt>
                <c:pt idx="27">
                  <c:v>-0.50238633509168551</c:v>
                </c:pt>
                <c:pt idx="28">
                  <c:v>-0.12171796209354697</c:v>
                </c:pt>
                <c:pt idx="29">
                  <c:v>9.9075297225891687E-2</c:v>
                </c:pt>
                <c:pt idx="30">
                  <c:v>-0.52606204979864879</c:v>
                </c:pt>
                <c:pt idx="31">
                  <c:v>0.12112403100775194</c:v>
                </c:pt>
                <c:pt idx="32">
                  <c:v>-0.23691068467187876</c:v>
                </c:pt>
                <c:pt idx="33">
                  <c:v>-0.10609415361906209</c:v>
                </c:pt>
                <c:pt idx="34">
                  <c:v>-0.8105654504582398</c:v>
                </c:pt>
                <c:pt idx="35">
                  <c:v>-1.3333333333333344</c:v>
                </c:pt>
                <c:pt idx="36">
                  <c:v>-0.13010769310042325</c:v>
                </c:pt>
                <c:pt idx="37">
                  <c:v>-0.28485601823078521</c:v>
                </c:pt>
                <c:pt idx="38">
                  <c:v>0.25487395044346006</c:v>
                </c:pt>
                <c:pt idx="39">
                  <c:v>0.87133026387444812</c:v>
                </c:pt>
                <c:pt idx="40">
                  <c:v>-2.3061916484741518</c:v>
                </c:pt>
                <c:pt idx="41">
                  <c:v>-0.46652357956239476</c:v>
                </c:pt>
                <c:pt idx="42">
                  <c:v>0.92761557177615761</c:v>
                </c:pt>
                <c:pt idx="43">
                  <c:v>1.0120549481356875</c:v>
                </c:pt>
                <c:pt idx="44">
                  <c:v>0.10093951393741751</c:v>
                </c:pt>
                <c:pt idx="45">
                  <c:v>0.13636462810638625</c:v>
                </c:pt>
                <c:pt idx="46">
                  <c:v>-0.6406790657439444</c:v>
                </c:pt>
                <c:pt idx="47">
                  <c:v>-2.1094862577556963</c:v>
                </c:pt>
                <c:pt idx="48">
                  <c:v>-1.3926180503347279</c:v>
                </c:pt>
                <c:pt idx="49">
                  <c:v>-1.6346865419177528</c:v>
                </c:pt>
                <c:pt idx="50">
                  <c:v>-0.25582446871802011</c:v>
                </c:pt>
                <c:pt idx="51">
                  <c:v>1.3535305469638101</c:v>
                </c:pt>
                <c:pt idx="52">
                  <c:v>-1.536643026004729</c:v>
                </c:pt>
                <c:pt idx="53">
                  <c:v>0.71556350626118004</c:v>
                </c:pt>
                <c:pt idx="54">
                  <c:v>0.31993705699683883</c:v>
                </c:pt>
                <c:pt idx="55">
                  <c:v>0.1546686693130199</c:v>
                </c:pt>
                <c:pt idx="56">
                  <c:v>-1.0775112964893991</c:v>
                </c:pt>
                <c:pt idx="57">
                  <c:v>2.5921766797679222</c:v>
                </c:pt>
                <c:pt idx="58">
                  <c:v>0.61300430865648392</c:v>
                </c:pt>
                <c:pt idx="59">
                  <c:v>0.88946786009441026</c:v>
                </c:pt>
                <c:pt idx="60">
                  <c:v>6.176652254478178E-2</c:v>
                </c:pt>
                <c:pt idx="61">
                  <c:v>0.51215996565154631</c:v>
                </c:pt>
                <c:pt idx="62">
                  <c:v>1.3688212927756669</c:v>
                </c:pt>
                <c:pt idx="63">
                  <c:v>0.32596478081678704</c:v>
                </c:pt>
                <c:pt idx="64">
                  <c:v>0.14218595450049407</c:v>
                </c:pt>
                <c:pt idx="65">
                  <c:v>1.0101320863073262</c:v>
                </c:pt>
                <c:pt idx="66">
                  <c:v>-0.14772727272727043</c:v>
                </c:pt>
                <c:pt idx="67">
                  <c:v>0.11846433418443754</c:v>
                </c:pt>
                <c:pt idx="68">
                  <c:v>0.43661461610326335</c:v>
                </c:pt>
                <c:pt idx="69">
                  <c:v>0.40623159263095887</c:v>
                </c:pt>
                <c:pt idx="70">
                  <c:v>0.57246730696185499</c:v>
                </c:pt>
                <c:pt idx="71">
                  <c:v>-0.25606266003916273</c:v>
                </c:pt>
                <c:pt idx="72">
                  <c:v>0.99072349014128336</c:v>
                </c:pt>
                <c:pt idx="73">
                  <c:v>-0.55009704027171347</c:v>
                </c:pt>
                <c:pt idx="74">
                  <c:v>0.67859021567596089</c:v>
                </c:pt>
                <c:pt idx="75">
                  <c:v>-1.1200943237325258</c:v>
                </c:pt>
                <c:pt idx="76">
                  <c:v>1.0932194106692952</c:v>
                </c:pt>
                <c:pt idx="77">
                  <c:v>0.81799018784860233</c:v>
                </c:pt>
                <c:pt idx="78">
                  <c:v>-1.096491228070174</c:v>
                </c:pt>
                <c:pt idx="79">
                  <c:v>-1.0810548768663935</c:v>
                </c:pt>
                <c:pt idx="80">
                  <c:v>0.26661197703035255</c:v>
                </c:pt>
                <c:pt idx="81">
                  <c:v>-1.1046456618412333</c:v>
                </c:pt>
                <c:pt idx="82">
                  <c:v>-1.0415105649632865</c:v>
                </c:pt>
                <c:pt idx="83">
                  <c:v>0.61389759665621835</c:v>
                </c:pt>
                <c:pt idx="84">
                  <c:v>-3.0861354214647618</c:v>
                </c:pt>
                <c:pt idx="85">
                  <c:v>-1.15563133465947</c:v>
                </c:pt>
                <c:pt idx="86">
                  <c:v>-0.62350409300267506</c:v>
                </c:pt>
                <c:pt idx="87">
                  <c:v>-0.42780210377976008</c:v>
                </c:pt>
                <c:pt idx="88">
                  <c:v>0.32835866169199596</c:v>
                </c:pt>
                <c:pt idx="89">
                  <c:v>0.28117913832199326</c:v>
                </c:pt>
                <c:pt idx="90">
                  <c:v>0.6188956580601489</c:v>
                </c:pt>
                <c:pt idx="91">
                  <c:v>0.16593886462882135</c:v>
                </c:pt>
                <c:pt idx="92">
                  <c:v>-0.43678160919540365</c:v>
                </c:pt>
                <c:pt idx="93">
                  <c:v>-0.56201932557681122</c:v>
                </c:pt>
                <c:pt idx="94">
                  <c:v>0.33764151888588362</c:v>
                </c:pt>
                <c:pt idx="95">
                  <c:v>-0.23283379900093373</c:v>
                </c:pt>
                <c:pt idx="96">
                  <c:v>0.814236843338487</c:v>
                </c:pt>
                <c:pt idx="97">
                  <c:v>-5.4948828903083918E-2</c:v>
                </c:pt>
                <c:pt idx="98">
                  <c:v>-0.75725996943170726</c:v>
                </c:pt>
                <c:pt idx="99">
                  <c:v>-1.9265764696574115</c:v>
                </c:pt>
                <c:pt idx="100">
                  <c:v>-2.4293034731448095</c:v>
                </c:pt>
                <c:pt idx="101">
                  <c:v>-0.34574216159893911</c:v>
                </c:pt>
                <c:pt idx="102">
                  <c:v>-3.0819965173433223E-3</c:v>
                </c:pt>
                <c:pt idx="103">
                  <c:v>-1.869580695196684</c:v>
                </c:pt>
                <c:pt idx="104">
                  <c:v>-6.7091580006707729E-2</c:v>
                </c:pt>
                <c:pt idx="105">
                  <c:v>1.0269735214055924</c:v>
                </c:pt>
                <c:pt idx="106">
                  <c:v>0.19383064739436309</c:v>
                </c:pt>
                <c:pt idx="107">
                  <c:v>-1.116798510935318</c:v>
                </c:pt>
                <c:pt idx="108">
                  <c:v>0.24565966846266546</c:v>
                </c:pt>
                <c:pt idx="109">
                  <c:v>-0.46789134872036514</c:v>
                </c:pt>
                <c:pt idx="110">
                  <c:v>0.19562935394598505</c:v>
                </c:pt>
                <c:pt idx="111">
                  <c:v>0.1146241283790241</c:v>
                </c:pt>
                <c:pt idx="112">
                  <c:v>-0.65854349120802991</c:v>
                </c:pt>
                <c:pt idx="113">
                  <c:v>0.52577110014599548</c:v>
                </c:pt>
                <c:pt idx="114">
                  <c:v>0.21754764473210914</c:v>
                </c:pt>
                <c:pt idx="115">
                  <c:v>1.9045914969333659</c:v>
                </c:pt>
                <c:pt idx="116">
                  <c:v>-5.3445850914203646E-2</c:v>
                </c:pt>
                <c:pt idx="117">
                  <c:v>0.42084255282224681</c:v>
                </c:pt>
                <c:pt idx="118">
                  <c:v>0.4882117710556651</c:v>
                </c:pt>
                <c:pt idx="119">
                  <c:v>-9.9280936132478417E-2</c:v>
                </c:pt>
                <c:pt idx="120">
                  <c:v>-0.31454633839467278</c:v>
                </c:pt>
                <c:pt idx="121">
                  <c:v>-2.0371340434201891E-2</c:v>
                </c:pt>
                <c:pt idx="122">
                  <c:v>-0.99959377901578594</c:v>
                </c:pt>
                <c:pt idx="123">
                  <c:v>-0.14775971127123438</c:v>
                </c:pt>
                <c:pt idx="124">
                  <c:v>1.1567468406033432</c:v>
                </c:pt>
                <c:pt idx="125">
                  <c:v>0.9612468211194336</c:v>
                </c:pt>
                <c:pt idx="126">
                  <c:v>2.0803476492073664E-2</c:v>
                </c:pt>
                <c:pt idx="127">
                  <c:v>-0.79921733895243774</c:v>
                </c:pt>
                <c:pt idx="128">
                  <c:v>0.36176293622141925</c:v>
                </c:pt>
                <c:pt idx="129">
                  <c:v>-0.57630956056395877</c:v>
                </c:pt>
                <c:pt idx="130">
                  <c:v>0.78542392566782759</c:v>
                </c:pt>
                <c:pt idx="131">
                  <c:v>-0.43077372384588059</c:v>
                </c:pt>
                <c:pt idx="132">
                  <c:v>-0.10584250635055238</c:v>
                </c:pt>
                <c:pt idx="133">
                  <c:v>0.31689120672171517</c:v>
                </c:pt>
                <c:pt idx="134">
                  <c:v>4.26015336552132E-2</c:v>
                </c:pt>
                <c:pt idx="135">
                  <c:v>-0.13605442176870702</c:v>
                </c:pt>
                <c:pt idx="136">
                  <c:v>6.1798331445051369E-2</c:v>
                </c:pt>
                <c:pt idx="137">
                  <c:v>0.16612247236065961</c:v>
                </c:pt>
                <c:pt idx="138">
                  <c:v>-0.53506869125090284</c:v>
                </c:pt>
                <c:pt idx="139">
                  <c:v>0.51921079958463323</c:v>
                </c:pt>
                <c:pt idx="140">
                  <c:v>0.13000882202720573</c:v>
                </c:pt>
                <c:pt idx="141">
                  <c:v>-0.54944288722475532</c:v>
                </c:pt>
                <c:pt idx="142">
                  <c:v>-0.85972045395430352</c:v>
                </c:pt>
                <c:pt idx="143">
                  <c:v>-0.35679449663740087</c:v>
                </c:pt>
                <c:pt idx="144">
                  <c:v>-3.4710170079834707E-2</c:v>
                </c:pt>
                <c:pt idx="145">
                  <c:v>1.1445612197011874</c:v>
                </c:pt>
                <c:pt idx="146">
                  <c:v>-0.38819875776397444</c:v>
                </c:pt>
                <c:pt idx="147">
                  <c:v>-0.89953154589853646</c:v>
                </c:pt>
                <c:pt idx="148">
                  <c:v>8.8383838383838384E-2</c:v>
                </c:pt>
                <c:pt idx="149">
                  <c:v>0.81077609735735168</c:v>
                </c:pt>
                <c:pt idx="150">
                  <c:v>0.50309736097683377</c:v>
                </c:pt>
                <c:pt idx="151">
                  <c:v>1.9260620915032705</c:v>
                </c:pt>
                <c:pt idx="152">
                  <c:v>2.0718738540520709</c:v>
                </c:pt>
                <c:pt idx="153">
                  <c:v>-0.94284030642310013</c:v>
                </c:pt>
                <c:pt idx="154">
                  <c:v>0.19422971812290243</c:v>
                </c:pt>
                <c:pt idx="155">
                  <c:v>-0.30847494317566748</c:v>
                </c:pt>
                <c:pt idx="156">
                  <c:v>1.3868648596133313</c:v>
                </c:pt>
                <c:pt idx="157">
                  <c:v>0.49976754997675304</c:v>
                </c:pt>
                <c:pt idx="158">
                  <c:v>-0.55376920328688772</c:v>
                </c:pt>
                <c:pt idx="159">
                  <c:v>-1.5389944576405377</c:v>
                </c:pt>
                <c:pt idx="160">
                  <c:v>0.62960142168062638</c:v>
                </c:pt>
                <c:pt idx="161">
                  <c:v>0.54829392470749538</c:v>
                </c:pt>
                <c:pt idx="162">
                  <c:v>0.43886122428449037</c:v>
                </c:pt>
                <c:pt idx="163">
                  <c:v>-1.329394387001479</c:v>
                </c:pt>
                <c:pt idx="164">
                  <c:v>0.10138798525265694</c:v>
                </c:pt>
                <c:pt idx="165">
                  <c:v>1.4085370454202526</c:v>
                </c:pt>
                <c:pt idx="166">
                  <c:v>-0.12685280937607746</c:v>
                </c:pt>
                <c:pt idx="167">
                  <c:v>0.27217094363864047</c:v>
                </c:pt>
                <c:pt idx="168">
                  <c:v>0.68234306109594878</c:v>
                </c:pt>
                <c:pt idx="169">
                  <c:v>0.31033471009095631</c:v>
                </c:pt>
                <c:pt idx="170">
                  <c:v>-0.16778523489933059</c:v>
                </c:pt>
                <c:pt idx="171">
                  <c:v>-1.4069900375632858</c:v>
                </c:pt>
                <c:pt idx="172">
                  <c:v>0.33735988682119789</c:v>
                </c:pt>
                <c:pt idx="173">
                  <c:v>1.1534542490319946</c:v>
                </c:pt>
                <c:pt idx="174">
                  <c:v>1.2945914844649005</c:v>
                </c:pt>
                <c:pt idx="175">
                  <c:v>1.2708934203646522</c:v>
                </c:pt>
                <c:pt idx="176">
                  <c:v>0.15902378866062988</c:v>
                </c:pt>
                <c:pt idx="177">
                  <c:v>0.70461445051609106</c:v>
                </c:pt>
                <c:pt idx="178">
                  <c:v>-0.19801240379586332</c:v>
                </c:pt>
                <c:pt idx="179">
                  <c:v>1.3796119592875324</c:v>
                </c:pt>
                <c:pt idx="180">
                  <c:v>-0.79131394920868803</c:v>
                </c:pt>
                <c:pt idx="181">
                  <c:v>-9.6611052304381731E-2</c:v>
                </c:pt>
                <c:pt idx="182">
                  <c:v>0.37605908205337463</c:v>
                </c:pt>
                <c:pt idx="183">
                  <c:v>0.14734034544320454</c:v>
                </c:pt>
                <c:pt idx="184">
                  <c:v>-0.33083285247162708</c:v>
                </c:pt>
                <c:pt idx="185">
                  <c:v>0.317863954227594</c:v>
                </c:pt>
                <c:pt idx="186">
                  <c:v>-0.12459689240691879</c:v>
                </c:pt>
                <c:pt idx="187">
                  <c:v>-0.11981611893583599</c:v>
                </c:pt>
                <c:pt idx="188">
                  <c:v>1.487493825497328</c:v>
                </c:pt>
                <c:pt idx="189">
                  <c:v>-8.8452523108218287E-2</c:v>
                </c:pt>
                <c:pt idx="190">
                  <c:v>-0.84504174302586033</c:v>
                </c:pt>
                <c:pt idx="191">
                  <c:v>-0.21918588101338021</c:v>
                </c:pt>
                <c:pt idx="192">
                  <c:v>-0.62569079774391057</c:v>
                </c:pt>
                <c:pt idx="193">
                  <c:v>3.0589388212235753</c:v>
                </c:pt>
                <c:pt idx="194">
                  <c:v>-0.12262650648579308</c:v>
                </c:pt>
                <c:pt idx="195">
                  <c:v>-0.92057198450722078</c:v>
                </c:pt>
                <c:pt idx="196">
                  <c:v>-4.3486722864891622E-2</c:v>
                </c:pt>
                <c:pt idx="197">
                  <c:v>0.61478660955100684</c:v>
                </c:pt>
                <c:pt idx="198">
                  <c:v>2.0647505781300226E-2</c:v>
                </c:pt>
                <c:pt idx="199">
                  <c:v>-6.578381103446887E-2</c:v>
                </c:pt>
                <c:pt idx="200">
                  <c:v>-0.31336357474320831</c:v>
                </c:pt>
                <c:pt idx="201">
                  <c:v>0.69593915913330384</c:v>
                </c:pt>
                <c:pt idx="202">
                  <c:v>0.13938011657246277</c:v>
                </c:pt>
                <c:pt idx="203">
                  <c:v>0.5001533489041462</c:v>
                </c:pt>
                <c:pt idx="204">
                  <c:v>0.47381489327775317</c:v>
                </c:pt>
                <c:pt idx="205">
                  <c:v>-1.1677068653110541</c:v>
                </c:pt>
                <c:pt idx="206">
                  <c:v>1.4919681035479033</c:v>
                </c:pt>
                <c:pt idx="207">
                  <c:v>-3.2087745398322209E-2</c:v>
                </c:pt>
                <c:pt idx="208">
                  <c:v>-0.22801430986358573</c:v>
                </c:pt>
                <c:pt idx="209">
                  <c:v>0.29742050255726166</c:v>
                </c:pt>
                <c:pt idx="210">
                  <c:v>-1.943934590355415</c:v>
                </c:pt>
                <c:pt idx="211">
                  <c:v>-0.19048459575344406</c:v>
                </c:pt>
                <c:pt idx="212">
                  <c:v>0.28477307455696554</c:v>
                </c:pt>
                <c:pt idx="213">
                  <c:v>0.61706242398867461</c:v>
                </c:pt>
                <c:pt idx="214">
                  <c:v>2.9209019745297351E-2</c:v>
                </c:pt>
                <c:pt idx="215">
                  <c:v>-1.9347617524784115</c:v>
                </c:pt>
                <c:pt idx="216">
                  <c:v>0.68455503922450645</c:v>
                </c:pt>
                <c:pt idx="217">
                  <c:v>1.1365276374657234</c:v>
                </c:pt>
                <c:pt idx="218">
                  <c:v>0.26735108544540692</c:v>
                </c:pt>
                <c:pt idx="219">
                  <c:v>1.6650153176853788</c:v>
                </c:pt>
                <c:pt idx="220">
                  <c:v>1.0727520967427338</c:v>
                </c:pt>
                <c:pt idx="221">
                  <c:v>-0.2069404648201236</c:v>
                </c:pt>
                <c:pt idx="222">
                  <c:v>0.8347961771016168</c:v>
                </c:pt>
                <c:pt idx="223">
                  <c:v>-0.98941144114411539</c:v>
                </c:pt>
                <c:pt idx="224">
                  <c:v>0.97679082935802153</c:v>
                </c:pt>
                <c:pt idx="225">
                  <c:v>-0.43242103042767477</c:v>
                </c:pt>
                <c:pt idx="226">
                  <c:v>-1.4980864655636568</c:v>
                </c:pt>
                <c:pt idx="227">
                  <c:v>0.27555973070299222</c:v>
                </c:pt>
                <c:pt idx="228">
                  <c:v>0.18850771411000375</c:v>
                </c:pt>
                <c:pt idx="229">
                  <c:v>0.58139534883720967</c:v>
                </c:pt>
                <c:pt idx="230">
                  <c:v>0.28660190776231531</c:v>
                </c:pt>
                <c:pt idx="231">
                  <c:v>-0.62191386961684891</c:v>
                </c:pt>
                <c:pt idx="232">
                  <c:v>0.70520085631532547</c:v>
                </c:pt>
                <c:pt idx="233">
                  <c:v>-0.15035121103201693</c:v>
                </c:pt>
                <c:pt idx="234">
                  <c:v>0.90782122905028073</c:v>
                </c:pt>
                <c:pt idx="235">
                  <c:v>-0.68507196173818774</c:v>
                </c:pt>
                <c:pt idx="236">
                  <c:v>1.4171745701402303</c:v>
                </c:pt>
                <c:pt idx="237">
                  <c:v>0.11372085902987628</c:v>
                </c:pt>
                <c:pt idx="238">
                  <c:v>-1.3940874748735006</c:v>
                </c:pt>
                <c:pt idx="239">
                  <c:v>0.30835998172681678</c:v>
                </c:pt>
                <c:pt idx="240">
                  <c:v>0.14840949820788402</c:v>
                </c:pt>
                <c:pt idx="241">
                  <c:v>3.4057227542179649</c:v>
                </c:pt>
                <c:pt idx="242">
                  <c:v>-1.9277953031895327E-2</c:v>
                </c:pt>
                <c:pt idx="243">
                  <c:v>-0.16799720452651667</c:v>
                </c:pt>
                <c:pt idx="244">
                  <c:v>-1.2425236056714337</c:v>
                </c:pt>
                <c:pt idx="245">
                  <c:v>0.10773718756215858</c:v>
                </c:pt>
                <c:pt idx="246">
                  <c:v>-6.7750677506774354E-2</c:v>
                </c:pt>
                <c:pt idx="247">
                  <c:v>-0.27398600714320775</c:v>
                </c:pt>
                <c:pt idx="248">
                  <c:v>-0.66765017400514359</c:v>
                </c:pt>
                <c:pt idx="249">
                  <c:v>-1.1739594450373543</c:v>
                </c:pt>
                <c:pt idx="250">
                  <c:v>1.9372273230448649</c:v>
                </c:pt>
                <c:pt idx="251">
                  <c:v>-1.2913308109886501</c:v>
                </c:pt>
                <c:pt idx="252">
                  <c:v>0.13617920071146622</c:v>
                </c:pt>
                <c:pt idx="253">
                  <c:v>1.3918714706116282</c:v>
                </c:pt>
                <c:pt idx="254">
                  <c:v>-0.32669729453803237</c:v>
                </c:pt>
                <c:pt idx="255">
                  <c:v>0.40224486354986821</c:v>
                </c:pt>
                <c:pt idx="256">
                  <c:v>0.44247787610619199</c:v>
                </c:pt>
                <c:pt idx="257">
                  <c:v>-2.0077563222105521</c:v>
                </c:pt>
                <c:pt idx="258">
                  <c:v>-0.40717965763669722</c:v>
                </c:pt>
                <c:pt idx="259">
                  <c:v>-1.5933288660561369</c:v>
                </c:pt>
                <c:pt idx="260">
                  <c:v>-0.2318609770949451</c:v>
                </c:pt>
                <c:pt idx="261">
                  <c:v>-0.28771929824561499</c:v>
                </c:pt>
                <c:pt idx="262">
                  <c:v>0.66754213175750032</c:v>
                </c:pt>
                <c:pt idx="263">
                  <c:v>-0.51710929519918347</c:v>
                </c:pt>
                <c:pt idx="264">
                  <c:v>5.4644808743169529E-2</c:v>
                </c:pt>
                <c:pt idx="265">
                  <c:v>-0.7672029201027446</c:v>
                </c:pt>
                <c:pt idx="266">
                  <c:v>0.31611868268154669</c:v>
                </c:pt>
                <c:pt idx="267">
                  <c:v>-6.3091482649853207E-3</c:v>
                </c:pt>
                <c:pt idx="268">
                  <c:v>-0.14186376427358763</c:v>
                </c:pt>
                <c:pt idx="269">
                  <c:v>0.94237805680591824</c:v>
                </c:pt>
                <c:pt idx="270">
                  <c:v>0.44778689936276372</c:v>
                </c:pt>
                <c:pt idx="271">
                  <c:v>0.86359610274579168</c:v>
                </c:pt>
                <c:pt idx="272">
                  <c:v>-5.6764427625353352E-2</c:v>
                </c:pt>
                <c:pt idx="273">
                  <c:v>-1.240668614086337</c:v>
                </c:pt>
                <c:pt idx="274">
                  <c:v>-0.38024245162261877</c:v>
                </c:pt>
                <c:pt idx="275">
                  <c:v>1.1805555555555536</c:v>
                </c:pt>
                <c:pt idx="276">
                  <c:v>-0.2940580004055956</c:v>
                </c:pt>
                <c:pt idx="277">
                  <c:v>0.10353306587291403</c:v>
                </c:pt>
                <c:pt idx="278">
                  <c:v>1.0986769248703134</c:v>
                </c:pt>
                <c:pt idx="279">
                  <c:v>0.57224606580829762</c:v>
                </c:pt>
                <c:pt idx="280">
                  <c:v>-6.4031274222356258E-2</c:v>
                </c:pt>
                <c:pt idx="281">
                  <c:v>-0.79321361683375358</c:v>
                </c:pt>
                <c:pt idx="282">
                  <c:v>2.2474894521234131E-2</c:v>
                </c:pt>
                <c:pt idx="283">
                  <c:v>-1.0654008438818539</c:v>
                </c:pt>
                <c:pt idx="284">
                  <c:v>0.60755336617405509</c:v>
                </c:pt>
                <c:pt idx="285">
                  <c:v>-1.373768792120271</c:v>
                </c:pt>
                <c:pt idx="286">
                  <c:v>0.11973180076628484</c:v>
                </c:pt>
                <c:pt idx="287">
                  <c:v>-1.1783484820756842</c:v>
                </c:pt>
                <c:pt idx="288">
                  <c:v>1.9837976684449734</c:v>
                </c:pt>
                <c:pt idx="289">
                  <c:v>0.48191743432275486</c:v>
                </c:pt>
                <c:pt idx="290">
                  <c:v>0.17640656082272976</c:v>
                </c:pt>
                <c:pt idx="291">
                  <c:v>1.0740677092283899</c:v>
                </c:pt>
                <c:pt idx="292">
                  <c:v>-0.35973735680357644</c:v>
                </c:pt>
                <c:pt idx="293">
                  <c:v>-5.3885587789821054E-2</c:v>
                </c:pt>
                <c:pt idx="294">
                  <c:v>-1.7937868431521469</c:v>
                </c:pt>
                <c:pt idx="295">
                  <c:v>-0.42331741038486809</c:v>
                </c:pt>
                <c:pt idx="296">
                  <c:v>-0.40241136074080996</c:v>
                </c:pt>
                <c:pt idx="297">
                  <c:v>0.78917506275575022</c:v>
                </c:pt>
                <c:pt idx="298">
                  <c:v>-0.73563218390804674</c:v>
                </c:pt>
                <c:pt idx="299">
                  <c:v>-0.51594746716697903</c:v>
                </c:pt>
                <c:pt idx="300">
                  <c:v>0.78437565803326836</c:v>
                </c:pt>
                <c:pt idx="301">
                  <c:v>2.3542476709536624</c:v>
                </c:pt>
                <c:pt idx="302">
                  <c:v>-0.10217304625199515</c:v>
                </c:pt>
                <c:pt idx="303">
                  <c:v>1.1683738796414858</c:v>
                </c:pt>
                <c:pt idx="304">
                  <c:v>-1.40242378810595</c:v>
                </c:pt>
                <c:pt idx="305">
                  <c:v>1.5072666579204399</c:v>
                </c:pt>
                <c:pt idx="306">
                  <c:v>1.9799424416177867</c:v>
                </c:pt>
                <c:pt idx="307">
                  <c:v>0.13012764902714155</c:v>
                </c:pt>
                <c:pt idx="308">
                  <c:v>0.3265908133164796</c:v>
                </c:pt>
                <c:pt idx="309">
                  <c:v>0.68512909274484357</c:v>
                </c:pt>
                <c:pt idx="310">
                  <c:v>1.5964450296247543</c:v>
                </c:pt>
                <c:pt idx="311">
                  <c:v>0.7565095003518657</c:v>
                </c:pt>
                <c:pt idx="312">
                  <c:v>-0.2109223577699248</c:v>
                </c:pt>
                <c:pt idx="313">
                  <c:v>0.62207357859531986</c:v>
                </c:pt>
                <c:pt idx="314">
                  <c:v>-0.94961240310077477</c:v>
                </c:pt>
                <c:pt idx="315">
                  <c:v>-0.87616822429906538</c:v>
                </c:pt>
                <c:pt idx="316">
                  <c:v>7.7508149221297507E-2</c:v>
                </c:pt>
                <c:pt idx="317">
                  <c:v>3.5897435897435638E-2</c:v>
                </c:pt>
                <c:pt idx="318">
                  <c:v>-1.2160482868808837</c:v>
                </c:pt>
                <c:pt idx="319">
                  <c:v>3.480544747081713</c:v>
                </c:pt>
                <c:pt idx="320">
                  <c:v>1.7926810237203479</c:v>
                </c:pt>
                <c:pt idx="321">
                  <c:v>-0.1291119344335922</c:v>
                </c:pt>
                <c:pt idx="322">
                  <c:v>0.90049527239982252</c:v>
                </c:pt>
                <c:pt idx="323">
                  <c:v>-3.2587064676616917</c:v>
                </c:pt>
                <c:pt idx="324">
                  <c:v>-2.0994437661104319</c:v>
                </c:pt>
                <c:pt idx="325">
                  <c:v>0.7134703196347032</c:v>
                </c:pt>
                <c:pt idx="326">
                  <c:v>-1.8972746331236898</c:v>
                </c:pt>
                <c:pt idx="327">
                  <c:v>-5.1928269750053893E-2</c:v>
                </c:pt>
                <c:pt idx="328">
                  <c:v>-0.37432498772705025</c:v>
                </c:pt>
                <c:pt idx="329">
                  <c:v>1.3321713147410392</c:v>
                </c:pt>
                <c:pt idx="330">
                  <c:v>2.213740458015268</c:v>
                </c:pt>
                <c:pt idx="331">
                  <c:v>0.9761245218308926</c:v>
                </c:pt>
                <c:pt idx="332">
                  <c:v>1.4197802197802196</c:v>
                </c:pt>
                <c:pt idx="333">
                  <c:v>0.80763582966226277</c:v>
                </c:pt>
                <c:pt idx="334">
                  <c:v>0.84635416666666952</c:v>
                </c:pt>
                <c:pt idx="335">
                  <c:v>0.63048576214405405</c:v>
                </c:pt>
                <c:pt idx="336">
                  <c:v>-8.2619023030052793E-2</c:v>
                </c:pt>
                <c:pt idx="337">
                  <c:v>0.56706114398422203</c:v>
                </c:pt>
                <c:pt idx="338">
                  <c:v>-0.4017101374422542</c:v>
                </c:pt>
                <c:pt idx="339">
                  <c:v>-0.87553648068669521</c:v>
                </c:pt>
                <c:pt idx="340">
                  <c:v>-1.6794981465640155</c:v>
                </c:pt>
                <c:pt idx="341">
                  <c:v>4.0841887439758903E-2</c:v>
                </c:pt>
                <c:pt idx="342">
                  <c:v>-0.23432923257175953</c:v>
                </c:pt>
                <c:pt idx="343">
                  <c:v>-0.10235999086228338</c:v>
                </c:pt>
                <c:pt idx="344">
                  <c:v>-1.4644899083832743</c:v>
                </c:pt>
                <c:pt idx="345">
                  <c:v>-1.1329356917592208</c:v>
                </c:pt>
                <c:pt idx="346">
                  <c:v>7.9737186234172155E-2</c:v>
                </c:pt>
                <c:pt idx="347">
                  <c:v>-0.37821774535911795</c:v>
                </c:pt>
                <c:pt idx="348">
                  <c:v>0.27963963963963934</c:v>
                </c:pt>
                <c:pt idx="349">
                  <c:v>-0.48173126806492528</c:v>
                </c:pt>
                <c:pt idx="350">
                  <c:v>0.86798478054083394</c:v>
                </c:pt>
                <c:pt idx="351">
                  <c:v>-4.0516996880191822E-2</c:v>
                </c:pt>
                <c:pt idx="352">
                  <c:v>-0.77175771757717604</c:v>
                </c:pt>
                <c:pt idx="353">
                  <c:v>0.2154228129107644</c:v>
                </c:pt>
                <c:pt idx="354">
                  <c:v>-0.21702127659574375</c:v>
                </c:pt>
                <c:pt idx="355">
                  <c:v>-0.74737970462124836</c:v>
                </c:pt>
                <c:pt idx="356">
                  <c:v>-1.9205407187603032</c:v>
                </c:pt>
                <c:pt idx="357">
                  <c:v>3.3098051656224401</c:v>
                </c:pt>
                <c:pt idx="358">
                  <c:v>1.352710676055068</c:v>
                </c:pt>
                <c:pt idx="359">
                  <c:v>-1.6409414340448834</c:v>
                </c:pt>
                <c:pt idx="360">
                  <c:v>-2.0864728439984805</c:v>
                </c:pt>
                <c:pt idx="361">
                  <c:v>1.977401129943503E-2</c:v>
                </c:pt>
                <c:pt idx="362">
                  <c:v>2.8722840487546377</c:v>
                </c:pt>
                <c:pt idx="363">
                  <c:v>-2.6918990703851264</c:v>
                </c:pt>
                <c:pt idx="364">
                  <c:v>-0.7607013924703464</c:v>
                </c:pt>
                <c:pt idx="365">
                  <c:v>5.5370985603541402E-2</c:v>
                </c:pt>
                <c:pt idx="366">
                  <c:v>-2.4454525815510899</c:v>
                </c:pt>
                <c:pt idx="367">
                  <c:v>-0.27742700799755154</c:v>
                </c:pt>
                <c:pt idx="368">
                  <c:v>3.9300184162062632</c:v>
                </c:pt>
                <c:pt idx="369">
                  <c:v>-0.26814869277512199</c:v>
                </c:pt>
                <c:pt idx="370">
                  <c:v>-0.63818097290900822</c:v>
                </c:pt>
                <c:pt idx="371">
                  <c:v>0.54150285587122848</c:v>
                </c:pt>
                <c:pt idx="372">
                  <c:v>-0.55006098370949696</c:v>
                </c:pt>
                <c:pt idx="373">
                  <c:v>0.3607503607503631</c:v>
                </c:pt>
                <c:pt idx="374">
                  <c:v>3.4607587604981211</c:v>
                </c:pt>
                <c:pt idx="375">
                  <c:v>-1.3786764705882353</c:v>
                </c:pt>
                <c:pt idx="376">
                  <c:v>-0.45339136742836417</c:v>
                </c:pt>
                <c:pt idx="377">
                  <c:v>3.1664463303339185</c:v>
                </c:pt>
                <c:pt idx="378">
                  <c:v>-1.9318759532282654</c:v>
                </c:pt>
                <c:pt idx="379">
                  <c:v>0.18863737239236575</c:v>
                </c:pt>
                <c:pt idx="380">
                  <c:v>-1.211782252050708</c:v>
                </c:pt>
                <c:pt idx="381">
                  <c:v>-0.75373374128561021</c:v>
                </c:pt>
                <c:pt idx="382">
                  <c:v>0.32796660703637281</c:v>
                </c:pt>
                <c:pt idx="383">
                  <c:v>0.47655847501287879</c:v>
                </c:pt>
                <c:pt idx="384">
                  <c:v>-0.34615271788553414</c:v>
                </c:pt>
                <c:pt idx="385">
                  <c:v>0.79125088196754167</c:v>
                </c:pt>
                <c:pt idx="386">
                  <c:v>-2.0210800825817654</c:v>
                </c:pt>
                <c:pt idx="387">
                  <c:v>1.6320868676410045</c:v>
                </c:pt>
                <c:pt idx="388">
                  <c:v>-3.3631484794275495</c:v>
                </c:pt>
                <c:pt idx="389">
                  <c:v>0.51945992029660859</c:v>
                </c:pt>
                <c:pt idx="390">
                  <c:v>1.9626670460023519</c:v>
                </c:pt>
                <c:pt idx="391">
                  <c:v>-0.1028202115158648</c:v>
                </c:pt>
                <c:pt idx="392">
                  <c:v>2.6414188192514825</c:v>
                </c:pt>
                <c:pt idx="393">
                  <c:v>-0.2993209435310949</c:v>
                </c:pt>
                <c:pt idx="394">
                  <c:v>1.4938319198149559</c:v>
                </c:pt>
                <c:pt idx="395">
                  <c:v>-3.4122807017543861</c:v>
                </c:pt>
                <c:pt idx="396">
                  <c:v>-0.96161715361322431</c:v>
                </c:pt>
                <c:pt idx="397">
                  <c:v>0.14132278123233463</c:v>
                </c:pt>
                <c:pt idx="398">
                  <c:v>2.561346946086331</c:v>
                </c:pt>
                <c:pt idx="399">
                  <c:v>-1.3957816377171193</c:v>
                </c:pt>
                <c:pt idx="400">
                  <c:v>-0.33382185311838397</c:v>
                </c:pt>
                <c:pt idx="401">
                  <c:v>-2.1536138594190817</c:v>
                </c:pt>
                <c:pt idx="402">
                  <c:v>-3.1611051309651965</c:v>
                </c:pt>
                <c:pt idx="403">
                  <c:v>-0.83355775272829868</c:v>
                </c:pt>
                <c:pt idx="404">
                  <c:v>1.9315258712923098</c:v>
                </c:pt>
                <c:pt idx="405">
                  <c:v>-0.34552502949603842</c:v>
                </c:pt>
                <c:pt idx="406">
                  <c:v>-1.7659589088160514</c:v>
                </c:pt>
                <c:pt idx="407">
                  <c:v>-1.8308218679478792</c:v>
                </c:pt>
                <c:pt idx="408">
                  <c:v>2.2186944853913917</c:v>
                </c:pt>
                <c:pt idx="409">
                  <c:v>0.88635338103526085</c:v>
                </c:pt>
                <c:pt idx="410">
                  <c:v>-0.64479568706732593</c:v>
                </c:pt>
                <c:pt idx="411">
                  <c:v>1.4812152048077278</c:v>
                </c:pt>
                <c:pt idx="412">
                  <c:v>0.2267115600448921</c:v>
                </c:pt>
                <c:pt idx="413">
                  <c:v>1.2121212121212113</c:v>
                </c:pt>
                <c:pt idx="414">
                  <c:v>1.1508596783139231</c:v>
                </c:pt>
                <c:pt idx="415">
                  <c:v>0.85190039318479693</c:v>
                </c:pt>
                <c:pt idx="416">
                  <c:v>-0.16371971185330714</c:v>
                </c:pt>
                <c:pt idx="417">
                  <c:v>-0.88946224877783542</c:v>
                </c:pt>
                <c:pt idx="418">
                  <c:v>2.5317130369896632</c:v>
                </c:pt>
              </c:numCache>
            </c:numRef>
          </c:val>
          <c:extLst>
            <c:ext xmlns:c14="http://schemas.microsoft.com/office/drawing/2007/8/2/chart" uri="{6F2FDCE9-48DA-4B69-8628-5D25D57E5C99}">
              <c14:invertSolidFillFmt>
                <c14:spPr xmlns:c14="http://schemas.microsoft.com/office/drawing/2007/8/2/chart">
                  <a:solidFill>
                    <a:srgbClr val="FF9999"/>
                  </a:solidFill>
                  <a:ln w="3175">
                    <a:solidFill>
                      <a:sysClr val="windowText" lastClr="000000"/>
                    </a:solidFill>
                  </a:ln>
                  <a:effectLst/>
                </c14:spPr>
              </c14:invertSolidFillFmt>
            </c:ext>
            <c:ext xmlns:c16="http://schemas.microsoft.com/office/drawing/2014/chart" uri="{C3380CC4-5D6E-409C-BE32-E72D297353CC}">
              <c16:uniqueId val="{00000000-5EE3-488A-A811-901A62C54B90}"/>
            </c:ext>
          </c:extLst>
        </c:ser>
        <c:dLbls>
          <c:showLegendKey val="0"/>
          <c:showVal val="0"/>
          <c:showCatName val="0"/>
          <c:showSerName val="0"/>
          <c:showPercent val="0"/>
          <c:showBubbleSize val="0"/>
        </c:dLbls>
        <c:gapWidth val="0"/>
        <c:axId val="875938799"/>
        <c:axId val="875955599"/>
      </c:barChart>
      <c:lineChart>
        <c:grouping val="standard"/>
        <c:varyColors val="0"/>
        <c:ser>
          <c:idx val="1"/>
          <c:order val="1"/>
          <c:tx>
            <c:v>R, MOC</c:v>
          </c:tx>
          <c:spPr>
            <a:ln w="19050" cap="rnd">
              <a:solidFill>
                <a:sysClr val="windowText" lastClr="000000"/>
              </a:solidFill>
              <a:prstDash val="sysDash"/>
              <a:round/>
            </a:ln>
            <a:effectLst/>
          </c:spPr>
          <c:marker>
            <c:symbol val="none"/>
          </c:marker>
          <c:val>
            <c:numRef>
              <c:f>'2025-Q2'!$HV$4:$HV$422</c:f>
              <c:numCache>
                <c:formatCode>0.0</c:formatCode>
                <c:ptCount val="419"/>
                <c:pt idx="0">
                  <c:v>-3.9437012263099192</c:v>
                </c:pt>
                <c:pt idx="1">
                  <c:v>-4.0663838871605176</c:v>
                </c:pt>
                <c:pt idx="2">
                  <c:v>-3.3993062595791721</c:v>
                </c:pt>
                <c:pt idx="3">
                  <c:v>-3.5577597534787095</c:v>
                </c:pt>
                <c:pt idx="4">
                  <c:v>-3.1696122263666049</c:v>
                </c:pt>
                <c:pt idx="5">
                  <c:v>-2.9390069964140291</c:v>
                </c:pt>
                <c:pt idx="6">
                  <c:v>-2.6981863296222595</c:v>
                </c:pt>
                <c:pt idx="7">
                  <c:v>-1.631642810248555</c:v>
                </c:pt>
                <c:pt idx="8">
                  <c:v>-1.3100668859705833</c:v>
                </c:pt>
                <c:pt idx="9">
                  <c:v>-1.3681021291910145</c:v>
                </c:pt>
                <c:pt idx="10">
                  <c:v>-1.0754732142906662</c:v>
                </c:pt>
                <c:pt idx="11">
                  <c:v>-0.47552775478698617</c:v>
                </c:pt>
                <c:pt idx="12">
                  <c:v>-0.48303912915388475</c:v>
                </c:pt>
                <c:pt idx="13">
                  <c:v>-0.56293893048410593</c:v>
                </c:pt>
                <c:pt idx="14">
                  <c:v>0.71749923101393653</c:v>
                </c:pt>
                <c:pt idx="15">
                  <c:v>0.71501166882488087</c:v>
                </c:pt>
                <c:pt idx="16">
                  <c:v>1.9276456225755878</c:v>
                </c:pt>
                <c:pt idx="17">
                  <c:v>2.2771149469348968</c:v>
                </c:pt>
                <c:pt idx="18">
                  <c:v>1.9816394160023014</c:v>
                </c:pt>
                <c:pt idx="19">
                  <c:v>2.4411545483109678</c:v>
                </c:pt>
                <c:pt idx="20">
                  <c:v>2.6294105765093163</c:v>
                </c:pt>
                <c:pt idx="21">
                  <c:v>2.5702554088828875</c:v>
                </c:pt>
                <c:pt idx="22">
                  <c:v>2.3691585167439517</c:v>
                </c:pt>
                <c:pt idx="23">
                  <c:v>2.4619228952226173</c:v>
                </c:pt>
                <c:pt idx="24">
                  <c:v>2.8030840991239971</c:v>
                </c:pt>
                <c:pt idx="25">
                  <c:v>-0.92686029214269583</c:v>
                </c:pt>
                <c:pt idx="26">
                  <c:v>-0.88056399584639955</c:v>
                </c:pt>
                <c:pt idx="27">
                  <c:v>-1.3829503309380851</c:v>
                </c:pt>
                <c:pt idx="28">
                  <c:v>-1.504668293031632</c:v>
                </c:pt>
                <c:pt idx="29">
                  <c:v>-1.4055929958057403</c:v>
                </c:pt>
                <c:pt idx="30">
                  <c:v>-1.9316550456043891</c:v>
                </c:pt>
                <c:pt idx="31">
                  <c:v>-1.8105310145966371</c:v>
                </c:pt>
                <c:pt idx="32">
                  <c:v>-2.047441699268516</c:v>
                </c:pt>
                <c:pt idx="33">
                  <c:v>-2.1535358528875781</c:v>
                </c:pt>
                <c:pt idx="34">
                  <c:v>-2.9641013033458181</c:v>
                </c:pt>
                <c:pt idx="35">
                  <c:v>-4.2974346366791529</c:v>
                </c:pt>
                <c:pt idx="36">
                  <c:v>-4.427542329779576</c:v>
                </c:pt>
                <c:pt idx="37">
                  <c:v>-4.7123983480103613</c:v>
                </c:pt>
                <c:pt idx="38">
                  <c:v>-4.4575243975669014</c:v>
                </c:pt>
                <c:pt idx="39">
                  <c:v>-3.5861941336924534</c:v>
                </c:pt>
                <c:pt idx="40">
                  <c:v>-5.8923857821666052</c:v>
                </c:pt>
                <c:pt idx="41">
                  <c:v>-6.3589093617290002</c:v>
                </c:pt>
                <c:pt idx="42">
                  <c:v>-5.4312937899528428</c:v>
                </c:pt>
                <c:pt idx="43">
                  <c:v>-4.4192388418171555</c:v>
                </c:pt>
                <c:pt idx="44">
                  <c:v>-4.3182993278797381</c:v>
                </c:pt>
                <c:pt idx="45">
                  <c:v>-4.1819346997733522</c:v>
                </c:pt>
                <c:pt idx="46">
                  <c:v>-4.8226137655172963</c:v>
                </c:pt>
                <c:pt idx="47">
                  <c:v>-6.9321000232729926</c:v>
                </c:pt>
                <c:pt idx="48">
                  <c:v>-8.3247180736077198</c:v>
                </c:pt>
                <c:pt idx="49">
                  <c:v>-9.9594046155254716</c:v>
                </c:pt>
                <c:pt idx="50">
                  <c:v>-10.215229084243491</c:v>
                </c:pt>
                <c:pt idx="51">
                  <c:v>-8.8616985372796808</c:v>
                </c:pt>
                <c:pt idx="52">
                  <c:v>-10.39834156328441</c:v>
                </c:pt>
                <c:pt idx="53">
                  <c:v>-9.6827780570232296</c:v>
                </c:pt>
                <c:pt idx="54">
                  <c:v>-9.3628410000263909</c:v>
                </c:pt>
                <c:pt idx="55">
                  <c:v>-9.2081723307133707</c:v>
                </c:pt>
                <c:pt idx="56">
                  <c:v>-10.28568362720277</c:v>
                </c:pt>
                <c:pt idx="57">
                  <c:v>-7.6935069474348481</c:v>
                </c:pt>
                <c:pt idx="58">
                  <c:v>-7.0805026387783645</c:v>
                </c:pt>
                <c:pt idx="59">
                  <c:v>-6.1910347786839539</c:v>
                </c:pt>
                <c:pt idx="60">
                  <c:v>-6.1292682561391718</c:v>
                </c:pt>
                <c:pt idx="61">
                  <c:v>-5.6171082904876251</c:v>
                </c:pt>
                <c:pt idx="62">
                  <c:v>-4.2482869977119577</c:v>
                </c:pt>
                <c:pt idx="63">
                  <c:v>-3.9223222168951706</c:v>
                </c:pt>
                <c:pt idx="64">
                  <c:v>-3.7801362623946764</c:v>
                </c:pt>
                <c:pt idx="65">
                  <c:v>-2.7700041760873502</c:v>
                </c:pt>
                <c:pt idx="66">
                  <c:v>-2.9177314488146204</c:v>
                </c:pt>
                <c:pt idx="67">
                  <c:v>-2.7992671146301831</c:v>
                </c:pt>
                <c:pt idx="68">
                  <c:v>-2.3626524985269199</c:v>
                </c:pt>
                <c:pt idx="69">
                  <c:v>-1.956420905895961</c:v>
                </c:pt>
                <c:pt idx="70">
                  <c:v>-1.3839535989341059</c:v>
                </c:pt>
                <c:pt idx="71">
                  <c:v>-1.6400162589732685</c:v>
                </c:pt>
                <c:pt idx="72">
                  <c:v>-0.64929276883198517</c:v>
                </c:pt>
                <c:pt idx="73">
                  <c:v>-1.1993898091036987</c:v>
                </c:pt>
                <c:pt idx="74">
                  <c:v>-0.52079959342773785</c:v>
                </c:pt>
                <c:pt idx="75">
                  <c:v>-1.6408939171602637</c:v>
                </c:pt>
                <c:pt idx="76">
                  <c:v>-0.54767450649096849</c:v>
                </c:pt>
                <c:pt idx="77">
                  <c:v>0.27031568135763384</c:v>
                </c:pt>
                <c:pt idx="78">
                  <c:v>-0.82617554671254012</c:v>
                </c:pt>
                <c:pt idx="79">
                  <c:v>-1.9072304235789335</c:v>
                </c:pt>
                <c:pt idx="80">
                  <c:v>-1.6406184465485809</c:v>
                </c:pt>
                <c:pt idx="81">
                  <c:v>-2.7452641083898142</c:v>
                </c:pt>
                <c:pt idx="82">
                  <c:v>-3.7867746733531007</c:v>
                </c:pt>
                <c:pt idx="83">
                  <c:v>-3.1728770766968823</c:v>
                </c:pt>
                <c:pt idx="84">
                  <c:v>-6.2590124981616437</c:v>
                </c:pt>
                <c:pt idx="85">
                  <c:v>-7.4146438328211133</c:v>
                </c:pt>
                <c:pt idx="86">
                  <c:v>-8.0381479258237878</c:v>
                </c:pt>
                <c:pt idx="87">
                  <c:v>-8.4659500296035475</c:v>
                </c:pt>
                <c:pt idx="88">
                  <c:v>-8.1375913679115524</c:v>
                </c:pt>
                <c:pt idx="89">
                  <c:v>-7.8564122295895586</c:v>
                </c:pt>
                <c:pt idx="90">
                  <c:v>-7.2375165715294099</c:v>
                </c:pt>
                <c:pt idx="91">
                  <c:v>-7.0715777069005883</c:v>
                </c:pt>
                <c:pt idx="92">
                  <c:v>-7.5083593160959916</c:v>
                </c:pt>
                <c:pt idx="93">
                  <c:v>-8.0703786416728036</c:v>
                </c:pt>
                <c:pt idx="94">
                  <c:v>-7.7327371227869204</c:v>
                </c:pt>
                <c:pt idx="95">
                  <c:v>-7.9655709217878545</c:v>
                </c:pt>
                <c:pt idx="96">
                  <c:v>-7.1513340784493673</c:v>
                </c:pt>
                <c:pt idx="97">
                  <c:v>-7.2062829073524508</c:v>
                </c:pt>
                <c:pt idx="98">
                  <c:v>-7.9635428767841585</c:v>
                </c:pt>
                <c:pt idx="99">
                  <c:v>-9.8901193464415691</c:v>
                </c:pt>
                <c:pt idx="100">
                  <c:v>-12.319422819586379</c:v>
                </c:pt>
                <c:pt idx="101">
                  <c:v>-12.665164981185317</c:v>
                </c:pt>
                <c:pt idx="102">
                  <c:v>-12.66824697770266</c:v>
                </c:pt>
                <c:pt idx="103">
                  <c:v>-14.537827672899343</c:v>
                </c:pt>
                <c:pt idx="104">
                  <c:v>-14.604919252906051</c:v>
                </c:pt>
                <c:pt idx="105">
                  <c:v>-13.577945731500458</c:v>
                </c:pt>
                <c:pt idx="106">
                  <c:v>-13.384115084106096</c:v>
                </c:pt>
                <c:pt idx="107">
                  <c:v>-14.500913595041414</c:v>
                </c:pt>
                <c:pt idx="108">
                  <c:v>-14.255253926578749</c:v>
                </c:pt>
                <c:pt idx="109">
                  <c:v>-14.723145275299114</c:v>
                </c:pt>
                <c:pt idx="110">
                  <c:v>-14.527515921353128</c:v>
                </c:pt>
                <c:pt idx="111">
                  <c:v>-14.412891792974104</c:v>
                </c:pt>
                <c:pt idx="112">
                  <c:v>-15.071435284182135</c:v>
                </c:pt>
                <c:pt idx="113">
                  <c:v>-14.54566418403614</c:v>
                </c:pt>
                <c:pt idx="114">
                  <c:v>-14.32811653930403</c:v>
                </c:pt>
                <c:pt idx="115">
                  <c:v>-12.423525042370665</c:v>
                </c:pt>
                <c:pt idx="116">
                  <c:v>-12.476970893284868</c:v>
                </c:pt>
                <c:pt idx="117">
                  <c:v>-12.056128340462621</c:v>
                </c:pt>
                <c:pt idx="118">
                  <c:v>-11.567916569406956</c:v>
                </c:pt>
                <c:pt idx="119">
                  <c:v>-11.667197505539434</c:v>
                </c:pt>
                <c:pt idx="120">
                  <c:v>-11.981743843934106</c:v>
                </c:pt>
                <c:pt idx="121">
                  <c:v>-12.002115184368309</c:v>
                </c:pt>
                <c:pt idx="122">
                  <c:v>-13.001708963384095</c:v>
                </c:pt>
                <c:pt idx="123">
                  <c:v>-13.14946867465533</c:v>
                </c:pt>
                <c:pt idx="124">
                  <c:v>-11.992721834051986</c:v>
                </c:pt>
                <c:pt idx="125">
                  <c:v>-11.031475012932553</c:v>
                </c:pt>
                <c:pt idx="126">
                  <c:v>-11.01067153644048</c:v>
                </c:pt>
                <c:pt idx="127">
                  <c:v>-11.809888875392918</c:v>
                </c:pt>
                <c:pt idx="128">
                  <c:v>-11.448125939171499</c:v>
                </c:pt>
                <c:pt idx="129">
                  <c:v>-12.024435499735457</c:v>
                </c:pt>
                <c:pt idx="130">
                  <c:v>-11.239011574067629</c:v>
                </c:pt>
                <c:pt idx="131">
                  <c:v>-11.66978529791351</c:v>
                </c:pt>
                <c:pt idx="132">
                  <c:v>-11.775627804264062</c:v>
                </c:pt>
                <c:pt idx="133">
                  <c:v>-11.458736597542346</c:v>
                </c:pt>
                <c:pt idx="134">
                  <c:v>-11.416135063887133</c:v>
                </c:pt>
                <c:pt idx="135">
                  <c:v>-11.552189485655839</c:v>
                </c:pt>
                <c:pt idx="136">
                  <c:v>-11.490391154210789</c:v>
                </c:pt>
                <c:pt idx="137">
                  <c:v>-11.324268681850128</c:v>
                </c:pt>
                <c:pt idx="138">
                  <c:v>-11.859337373101031</c:v>
                </c:pt>
                <c:pt idx="139">
                  <c:v>-11.340126573516399</c:v>
                </c:pt>
                <c:pt idx="140">
                  <c:v>-11.210117751489193</c:v>
                </c:pt>
                <c:pt idx="141">
                  <c:v>-11.759560638713948</c:v>
                </c:pt>
                <c:pt idx="142">
                  <c:v>-12.619281092668251</c:v>
                </c:pt>
                <c:pt idx="143">
                  <c:v>-12.976075589305651</c:v>
                </c:pt>
                <c:pt idx="144">
                  <c:v>-13.010785759385486</c:v>
                </c:pt>
                <c:pt idx="145">
                  <c:v>-11.8662245396843</c:v>
                </c:pt>
                <c:pt idx="146">
                  <c:v>-12.254423297448275</c:v>
                </c:pt>
                <c:pt idx="147">
                  <c:v>-13.153954843346812</c:v>
                </c:pt>
                <c:pt idx="148">
                  <c:v>-13.065571004962973</c:v>
                </c:pt>
                <c:pt idx="149">
                  <c:v>-12.254794907605621</c:v>
                </c:pt>
                <c:pt idx="150">
                  <c:v>-11.751697546628787</c:v>
                </c:pt>
                <c:pt idx="151">
                  <c:v>-9.8256354551255161</c:v>
                </c:pt>
                <c:pt idx="152">
                  <c:v>-7.7537616010734451</c:v>
                </c:pt>
                <c:pt idx="153">
                  <c:v>-8.6966019074965448</c:v>
                </c:pt>
                <c:pt idx="154">
                  <c:v>-8.5023721893736433</c:v>
                </c:pt>
                <c:pt idx="155">
                  <c:v>-8.810847132549311</c:v>
                </c:pt>
                <c:pt idx="156">
                  <c:v>-7.4239822729359801</c:v>
                </c:pt>
                <c:pt idx="157">
                  <c:v>-6.9242147229592268</c:v>
                </c:pt>
                <c:pt idx="158">
                  <c:v>-7.4779839262461145</c:v>
                </c:pt>
                <c:pt idx="159">
                  <c:v>-9.0169783838866522</c:v>
                </c:pt>
                <c:pt idx="160">
                  <c:v>-8.3873769622060266</c:v>
                </c:pt>
                <c:pt idx="161">
                  <c:v>-7.839083037498531</c:v>
                </c:pt>
                <c:pt idx="162">
                  <c:v>-7.4002218132140403</c:v>
                </c:pt>
                <c:pt idx="163">
                  <c:v>-8.7296162002155189</c:v>
                </c:pt>
                <c:pt idx="164">
                  <c:v>-8.6282282149628617</c:v>
                </c:pt>
                <c:pt idx="165">
                  <c:v>-7.2196911695426094</c:v>
                </c:pt>
                <c:pt idx="166">
                  <c:v>-7.346543978918687</c:v>
                </c:pt>
                <c:pt idx="167">
                  <c:v>-7.0743730352800469</c:v>
                </c:pt>
                <c:pt idx="168">
                  <c:v>-6.3920299741840978</c:v>
                </c:pt>
                <c:pt idx="169">
                  <c:v>-6.0816952640931419</c:v>
                </c:pt>
                <c:pt idx="170">
                  <c:v>-6.2494804989924724</c:v>
                </c:pt>
                <c:pt idx="171">
                  <c:v>-7.6564705365557586</c:v>
                </c:pt>
                <c:pt idx="172">
                  <c:v>-7.3191106497345606</c:v>
                </c:pt>
                <c:pt idx="173">
                  <c:v>-6.1656564007025665</c:v>
                </c:pt>
                <c:pt idx="174">
                  <c:v>-4.8710649162376658</c:v>
                </c:pt>
                <c:pt idx="175">
                  <c:v>-3.6001714958730133</c:v>
                </c:pt>
                <c:pt idx="176">
                  <c:v>-3.4411477072123833</c:v>
                </c:pt>
                <c:pt idx="177">
                  <c:v>-2.7365332566962923</c:v>
                </c:pt>
                <c:pt idx="178">
                  <c:v>-2.9345456604921556</c:v>
                </c:pt>
                <c:pt idx="179">
                  <c:v>-1.5549337012046232</c:v>
                </c:pt>
                <c:pt idx="180">
                  <c:v>-2.3462476504133112</c:v>
                </c:pt>
                <c:pt idx="181">
                  <c:v>-2.4428587027176931</c:v>
                </c:pt>
                <c:pt idx="182">
                  <c:v>-2.0667996206643187</c:v>
                </c:pt>
                <c:pt idx="183">
                  <c:v>-1.9194592752211141</c:v>
                </c:pt>
                <c:pt idx="184">
                  <c:v>-2.2502921276927412</c:v>
                </c:pt>
                <c:pt idx="185">
                  <c:v>-1.9324281734651472</c:v>
                </c:pt>
                <c:pt idx="186">
                  <c:v>-2.0570250658720659</c:v>
                </c:pt>
                <c:pt idx="187">
                  <c:v>-2.1768411848079019</c:v>
                </c:pt>
                <c:pt idx="188">
                  <c:v>-0.68934735931057389</c:v>
                </c:pt>
                <c:pt idx="189">
                  <c:v>-0.77779988241879217</c:v>
                </c:pt>
                <c:pt idx="190">
                  <c:v>-1.6228416254446525</c:v>
                </c:pt>
                <c:pt idx="191">
                  <c:v>-1.8420275064580327</c:v>
                </c:pt>
                <c:pt idx="192">
                  <c:v>-2.4677183042019433</c:v>
                </c:pt>
                <c:pt idx="193">
                  <c:v>0.59122051702163203</c:v>
                </c:pt>
                <c:pt idx="194">
                  <c:v>0.46859401053583893</c:v>
                </c:pt>
                <c:pt idx="195">
                  <c:v>-0.45197797397138184</c:v>
                </c:pt>
                <c:pt idx="196">
                  <c:v>-0.49546469683627348</c:v>
                </c:pt>
                <c:pt idx="197">
                  <c:v>0.11932191271473336</c:v>
                </c:pt>
                <c:pt idx="198">
                  <c:v>0.13996941849603359</c:v>
                </c:pt>
                <c:pt idx="199">
                  <c:v>7.4185607461564718E-2</c:v>
                </c:pt>
                <c:pt idx="200">
                  <c:v>-0.23917796728164359</c:v>
                </c:pt>
                <c:pt idx="201">
                  <c:v>0.45676119185166025</c:v>
                </c:pt>
                <c:pt idx="202">
                  <c:v>0.59614130842412305</c:v>
                </c:pt>
                <c:pt idx="203">
                  <c:v>1.0962946573282693</c:v>
                </c:pt>
                <c:pt idx="204">
                  <c:v>1.5701095506060225</c:v>
                </c:pt>
                <c:pt idx="205">
                  <c:v>0.40240268529496848</c:v>
                </c:pt>
                <c:pt idx="206">
                  <c:v>1.8943707888428718</c:v>
                </c:pt>
                <c:pt idx="207">
                  <c:v>1.8622830434445496</c:v>
                </c:pt>
                <c:pt idx="208">
                  <c:v>1.634268733580964</c:v>
                </c:pt>
                <c:pt idx="209">
                  <c:v>1.9316892361382256</c:v>
                </c:pt>
                <c:pt idx="210">
                  <c:v>-1.2245354217189419E-2</c:v>
                </c:pt>
                <c:pt idx="211">
                  <c:v>-0.20272994997063348</c:v>
                </c:pt>
                <c:pt idx="212">
                  <c:v>8.2043124586332061E-2</c:v>
                </c:pt>
                <c:pt idx="213">
                  <c:v>0.69910554857500662</c:v>
                </c:pt>
                <c:pt idx="214">
                  <c:v>0.72831456832030395</c:v>
                </c:pt>
                <c:pt idx="215">
                  <c:v>-1.2064471841581077</c:v>
                </c:pt>
                <c:pt idx="216">
                  <c:v>-0.52189214493360125</c:v>
                </c:pt>
                <c:pt idx="217">
                  <c:v>0.61463549253212213</c:v>
                </c:pt>
                <c:pt idx="218">
                  <c:v>0.88198657797752911</c:v>
                </c:pt>
                <c:pt idx="219">
                  <c:v>2.5470018956629081</c:v>
                </c:pt>
                <c:pt idx="220">
                  <c:v>3.6197539924056419</c:v>
                </c:pt>
                <c:pt idx="221">
                  <c:v>3.4128135275855183</c:v>
                </c:pt>
                <c:pt idx="222">
                  <c:v>4.2476097046871351</c:v>
                </c:pt>
                <c:pt idx="223">
                  <c:v>3.2581982635430196</c:v>
                </c:pt>
                <c:pt idx="224">
                  <c:v>4.2349890929010412</c:v>
                </c:pt>
                <c:pt idx="225">
                  <c:v>3.8025680624733664</c:v>
                </c:pt>
                <c:pt idx="226">
                  <c:v>2.3044815969097097</c:v>
                </c:pt>
                <c:pt idx="227">
                  <c:v>2.5800413276127019</c:v>
                </c:pt>
                <c:pt idx="228">
                  <c:v>2.7685490417227054</c:v>
                </c:pt>
                <c:pt idx="229">
                  <c:v>3.3499443905599149</c:v>
                </c:pt>
                <c:pt idx="230">
                  <c:v>3.6365462983222301</c:v>
                </c:pt>
                <c:pt idx="231">
                  <c:v>3.0146324287053812</c:v>
                </c:pt>
                <c:pt idx="232">
                  <c:v>3.7198332850207065</c:v>
                </c:pt>
                <c:pt idx="233">
                  <c:v>3.5694820739886897</c:v>
                </c:pt>
                <c:pt idx="234">
                  <c:v>4.4773033030389708</c:v>
                </c:pt>
                <c:pt idx="235">
                  <c:v>3.7922313413007833</c:v>
                </c:pt>
                <c:pt idx="236">
                  <c:v>5.2094059114410136</c:v>
                </c:pt>
                <c:pt idx="237">
                  <c:v>5.32312677047089</c:v>
                </c:pt>
                <c:pt idx="238">
                  <c:v>3.9290392955973896</c:v>
                </c:pt>
                <c:pt idx="239">
                  <c:v>4.2373992773242062</c:v>
                </c:pt>
                <c:pt idx="240">
                  <c:v>4.38580877553209</c:v>
                </c:pt>
                <c:pt idx="241">
                  <c:v>7.7915315297500545</c:v>
                </c:pt>
                <c:pt idx="242">
                  <c:v>7.7722535767181595</c:v>
                </c:pt>
                <c:pt idx="243">
                  <c:v>7.6042563721916432</c:v>
                </c:pt>
                <c:pt idx="244">
                  <c:v>6.361732766520209</c:v>
                </c:pt>
                <c:pt idx="245">
                  <c:v>6.4694699540823679</c:v>
                </c:pt>
                <c:pt idx="246">
                  <c:v>6.4017192765755935</c:v>
                </c:pt>
                <c:pt idx="247">
                  <c:v>6.1277332694323858</c:v>
                </c:pt>
                <c:pt idx="248">
                  <c:v>5.4600830954272421</c:v>
                </c:pt>
                <c:pt idx="249">
                  <c:v>4.2861236503898876</c:v>
                </c:pt>
                <c:pt idx="250">
                  <c:v>6.2233509734347523</c:v>
                </c:pt>
                <c:pt idx="251">
                  <c:v>4.9320201624461024</c:v>
                </c:pt>
                <c:pt idx="252">
                  <c:v>5.0681993631575688</c:v>
                </c:pt>
                <c:pt idx="253">
                  <c:v>6.4600708337691968</c:v>
                </c:pt>
                <c:pt idx="254">
                  <c:v>6.1333735392311644</c:v>
                </c:pt>
                <c:pt idx="255">
                  <c:v>6.5356184027810329</c:v>
                </c:pt>
                <c:pt idx="256">
                  <c:v>6.9780962788872252</c:v>
                </c:pt>
                <c:pt idx="257">
                  <c:v>4.9703399566766731</c:v>
                </c:pt>
                <c:pt idx="258">
                  <c:v>4.5631602990399758</c:v>
                </c:pt>
                <c:pt idx="259">
                  <c:v>2.9698314329838391</c:v>
                </c:pt>
                <c:pt idx="260">
                  <c:v>2.737970455888894</c:v>
                </c:pt>
                <c:pt idx="261">
                  <c:v>2.4502511576432791</c:v>
                </c:pt>
                <c:pt idx="262">
                  <c:v>3.1177932894007796</c:v>
                </c:pt>
                <c:pt idx="263">
                  <c:v>2.6006839942015962</c:v>
                </c:pt>
                <c:pt idx="264">
                  <c:v>2.6553288029447657</c:v>
                </c:pt>
                <c:pt idx="265">
                  <c:v>1.8881258828420211</c:v>
                </c:pt>
                <c:pt idx="266">
                  <c:v>2.2042445655235676</c:v>
                </c:pt>
                <c:pt idx="267">
                  <c:v>2.1979354172585821</c:v>
                </c:pt>
                <c:pt idx="268">
                  <c:v>2.0560716529849943</c:v>
                </c:pt>
                <c:pt idx="269">
                  <c:v>2.9984497097909126</c:v>
                </c:pt>
                <c:pt idx="270">
                  <c:v>3.4462366091536762</c:v>
                </c:pt>
                <c:pt idx="271">
                  <c:v>4.3098327118994675</c:v>
                </c:pt>
                <c:pt idx="272">
                  <c:v>4.2530682842741143</c:v>
                </c:pt>
                <c:pt idx="273">
                  <c:v>3.0123996701877775</c:v>
                </c:pt>
                <c:pt idx="274">
                  <c:v>2.6321572185651587</c:v>
                </c:pt>
                <c:pt idx="275">
                  <c:v>3.8127127741207123</c:v>
                </c:pt>
                <c:pt idx="276">
                  <c:v>3.5186547737151166</c:v>
                </c:pt>
                <c:pt idx="277">
                  <c:v>3.6221878395880305</c:v>
                </c:pt>
                <c:pt idx="278">
                  <c:v>4.7208647644583444</c:v>
                </c:pt>
                <c:pt idx="279">
                  <c:v>5.2931108302666416</c:v>
                </c:pt>
                <c:pt idx="280">
                  <c:v>5.2290795560442858</c:v>
                </c:pt>
                <c:pt idx="281">
                  <c:v>4.4358659392105322</c:v>
                </c:pt>
                <c:pt idx="282">
                  <c:v>4.458340833731766</c:v>
                </c:pt>
                <c:pt idx="283">
                  <c:v>3.3929399898499124</c:v>
                </c:pt>
                <c:pt idx="284">
                  <c:v>4.0004933560239673</c:v>
                </c:pt>
                <c:pt idx="285">
                  <c:v>2.6267245639036965</c:v>
                </c:pt>
                <c:pt idx="286">
                  <c:v>2.7464563646699811</c:v>
                </c:pt>
                <c:pt idx="287">
                  <c:v>1.5681078825942969</c:v>
                </c:pt>
                <c:pt idx="288">
                  <c:v>3.5519055510392703</c:v>
                </c:pt>
                <c:pt idx="289">
                  <c:v>4.0338229853620255</c:v>
                </c:pt>
                <c:pt idx="290">
                  <c:v>4.2102295461847552</c:v>
                </c:pt>
                <c:pt idx="291">
                  <c:v>5.2842972554131453</c:v>
                </c:pt>
                <c:pt idx="292">
                  <c:v>4.9245598986095693</c:v>
                </c:pt>
                <c:pt idx="293">
                  <c:v>4.8706743108197479</c:v>
                </c:pt>
                <c:pt idx="294">
                  <c:v>3.0768874676676008</c:v>
                </c:pt>
                <c:pt idx="295">
                  <c:v>2.6535700572827325</c:v>
                </c:pt>
                <c:pt idx="296">
                  <c:v>2.2511586965419226</c:v>
                </c:pt>
                <c:pt idx="297">
                  <c:v>3.0403337592976727</c:v>
                </c:pt>
                <c:pt idx="298">
                  <c:v>2.3047015753896258</c:v>
                </c:pt>
                <c:pt idx="299">
                  <c:v>1.7887541082226468</c:v>
                </c:pt>
                <c:pt idx="300">
                  <c:v>2.5731297662559154</c:v>
                </c:pt>
                <c:pt idx="301">
                  <c:v>4.9273774372095778</c:v>
                </c:pt>
                <c:pt idx="302">
                  <c:v>4.825204390957583</c:v>
                </c:pt>
                <c:pt idx="303">
                  <c:v>5.9935782705990688</c:v>
                </c:pt>
                <c:pt idx="304">
                  <c:v>4.5911544824931187</c:v>
                </c:pt>
                <c:pt idx="305">
                  <c:v>6.0984211404135582</c:v>
                </c:pt>
                <c:pt idx="306">
                  <c:v>8.0783635820313453</c:v>
                </c:pt>
                <c:pt idx="307">
                  <c:v>8.2084912310584865</c:v>
                </c:pt>
                <c:pt idx="308">
                  <c:v>8.5350820443749669</c:v>
                </c:pt>
                <c:pt idx="309">
                  <c:v>9.2202111371198097</c:v>
                </c:pt>
                <c:pt idx="310">
                  <c:v>10.816656166744565</c:v>
                </c:pt>
                <c:pt idx="311">
                  <c:v>11.573165667096431</c:v>
                </c:pt>
                <c:pt idx="312">
                  <c:v>11.362243309326507</c:v>
                </c:pt>
                <c:pt idx="313">
                  <c:v>11.984316887921826</c:v>
                </c:pt>
                <c:pt idx="314">
                  <c:v>11.034704484821052</c:v>
                </c:pt>
                <c:pt idx="315">
                  <c:v>10.158536260521988</c:v>
                </c:pt>
                <c:pt idx="316">
                  <c:v>10.236044409743286</c:v>
                </c:pt>
                <c:pt idx="317">
                  <c:v>10.271941845640722</c:v>
                </c:pt>
                <c:pt idx="318">
                  <c:v>9.0558935587598377</c:v>
                </c:pt>
                <c:pt idx="319">
                  <c:v>12.53643830584155</c:v>
                </c:pt>
                <c:pt idx="320">
                  <c:v>14.329119329561898</c:v>
                </c:pt>
                <c:pt idx="321">
                  <c:v>14.200007395128306</c:v>
                </c:pt>
                <c:pt idx="322">
                  <c:v>15.100502667528129</c:v>
                </c:pt>
                <c:pt idx="323">
                  <c:v>11.841796199866437</c:v>
                </c:pt>
                <c:pt idx="324">
                  <c:v>9.7423524337560039</c:v>
                </c:pt>
                <c:pt idx="325">
                  <c:v>10.455822753390708</c:v>
                </c:pt>
                <c:pt idx="326">
                  <c:v>8.5585481202670177</c:v>
                </c:pt>
                <c:pt idx="327">
                  <c:v>8.5066198505169641</c:v>
                </c:pt>
                <c:pt idx="328">
                  <c:v>8.1322948627899141</c:v>
                </c:pt>
                <c:pt idx="329">
                  <c:v>9.4644661775309533</c:v>
                </c:pt>
                <c:pt idx="330">
                  <c:v>11.678206635546221</c:v>
                </c:pt>
                <c:pt idx="331">
                  <c:v>12.654331157377113</c:v>
                </c:pt>
                <c:pt idx="332">
                  <c:v>14.074111377157333</c:v>
                </c:pt>
                <c:pt idx="333">
                  <c:v>14.881747206819597</c:v>
                </c:pt>
                <c:pt idx="334">
                  <c:v>15.728101373486266</c:v>
                </c:pt>
                <c:pt idx="335">
                  <c:v>16.358587135630319</c:v>
                </c:pt>
                <c:pt idx="336">
                  <c:v>16.275968112600268</c:v>
                </c:pt>
                <c:pt idx="337">
                  <c:v>16.84302925658449</c:v>
                </c:pt>
                <c:pt idx="338">
                  <c:v>16.441319119142236</c:v>
                </c:pt>
                <c:pt idx="339">
                  <c:v>15.565782638455541</c:v>
                </c:pt>
                <c:pt idx="340">
                  <c:v>13.886284491891526</c:v>
                </c:pt>
                <c:pt idx="341">
                  <c:v>13.927126379331286</c:v>
                </c:pt>
                <c:pt idx="342">
                  <c:v>13.692797146759526</c:v>
                </c:pt>
                <c:pt idx="343">
                  <c:v>13.590437155897243</c:v>
                </c:pt>
                <c:pt idx="344">
                  <c:v>12.125947247513968</c:v>
                </c:pt>
                <c:pt idx="345">
                  <c:v>10.993011555754748</c:v>
                </c:pt>
                <c:pt idx="346">
                  <c:v>11.072748741988921</c:v>
                </c:pt>
                <c:pt idx="347">
                  <c:v>10.694530996629803</c:v>
                </c:pt>
                <c:pt idx="348">
                  <c:v>10.974170636269442</c:v>
                </c:pt>
                <c:pt idx="349">
                  <c:v>10.492439368204517</c:v>
                </c:pt>
                <c:pt idx="350">
                  <c:v>11.36042414874535</c:v>
                </c:pt>
                <c:pt idx="351">
                  <c:v>11.319907151865159</c:v>
                </c:pt>
                <c:pt idx="352">
                  <c:v>10.548149434287984</c:v>
                </c:pt>
                <c:pt idx="353">
                  <c:v>10.763572247198748</c:v>
                </c:pt>
                <c:pt idx="354">
                  <c:v>10.546550970603004</c:v>
                </c:pt>
                <c:pt idx="355">
                  <c:v>9.7991712659817551</c:v>
                </c:pt>
                <c:pt idx="356">
                  <c:v>7.8786305472214515</c:v>
                </c:pt>
                <c:pt idx="357">
                  <c:v>11.188435712843891</c:v>
                </c:pt>
                <c:pt idx="358">
                  <c:v>12.541146388898959</c:v>
                </c:pt>
                <c:pt idx="359">
                  <c:v>10.900204954854075</c:v>
                </c:pt>
                <c:pt idx="360">
                  <c:v>8.8137321108555948</c:v>
                </c:pt>
                <c:pt idx="361">
                  <c:v>8.8335061221550291</c:v>
                </c:pt>
                <c:pt idx="362">
                  <c:v>11.705790170909667</c:v>
                </c:pt>
                <c:pt idx="363">
                  <c:v>9.0138911005245408</c:v>
                </c:pt>
                <c:pt idx="364">
                  <c:v>8.2531897080541938</c:v>
                </c:pt>
                <c:pt idx="365">
                  <c:v>8.3085606936577356</c:v>
                </c:pt>
                <c:pt idx="366">
                  <c:v>5.8631081121066462</c:v>
                </c:pt>
                <c:pt idx="367">
                  <c:v>5.5856811041090948</c:v>
                </c:pt>
                <c:pt idx="368">
                  <c:v>9.5156995203153585</c:v>
                </c:pt>
                <c:pt idx="369">
                  <c:v>9.2475508275402358</c:v>
                </c:pt>
                <c:pt idx="370">
                  <c:v>8.6093698546312272</c:v>
                </c:pt>
                <c:pt idx="371">
                  <c:v>9.1508727105024548</c:v>
                </c:pt>
                <c:pt idx="372">
                  <c:v>8.6008117267929585</c:v>
                </c:pt>
                <c:pt idx="373">
                  <c:v>8.9615620875433208</c:v>
                </c:pt>
                <c:pt idx="374">
                  <c:v>12.422320848041442</c:v>
                </c:pt>
                <c:pt idx="375">
                  <c:v>11.043644377453207</c:v>
                </c:pt>
                <c:pt idx="376">
                  <c:v>10.590253010024842</c:v>
                </c:pt>
                <c:pt idx="377">
                  <c:v>13.756699340358761</c:v>
                </c:pt>
                <c:pt idx="378">
                  <c:v>11.824823387130495</c:v>
                </c:pt>
                <c:pt idx="379">
                  <c:v>12.013460759522861</c:v>
                </c:pt>
                <c:pt idx="380">
                  <c:v>10.801678507472152</c:v>
                </c:pt>
                <c:pt idx="381">
                  <c:v>10.047944766186543</c:v>
                </c:pt>
                <c:pt idx="382">
                  <c:v>10.375911373222916</c:v>
                </c:pt>
                <c:pt idx="383">
                  <c:v>10.852469848235796</c:v>
                </c:pt>
                <c:pt idx="384">
                  <c:v>10.506317130350261</c:v>
                </c:pt>
                <c:pt idx="385">
                  <c:v>11.297568012317804</c:v>
                </c:pt>
                <c:pt idx="386">
                  <c:v>9.2764879297360388</c:v>
                </c:pt>
                <c:pt idx="387">
                  <c:v>10.908574797377042</c:v>
                </c:pt>
                <c:pt idx="388">
                  <c:v>7.5454263179494934</c:v>
                </c:pt>
                <c:pt idx="389">
                  <c:v>8.0648862382461015</c:v>
                </c:pt>
                <c:pt idx="390">
                  <c:v>10.027553284248453</c:v>
                </c:pt>
                <c:pt idx="391">
                  <c:v>9.9247330727325878</c:v>
                </c:pt>
                <c:pt idx="392">
                  <c:v>12.56615189198407</c:v>
                </c:pt>
                <c:pt idx="393">
                  <c:v>12.266830948452975</c:v>
                </c:pt>
                <c:pt idx="394">
                  <c:v>13.760662868267932</c:v>
                </c:pt>
                <c:pt idx="395">
                  <c:v>10.348382166513545</c:v>
                </c:pt>
                <c:pt idx="396">
                  <c:v>9.3867650129003213</c:v>
                </c:pt>
                <c:pt idx="397">
                  <c:v>9.5280877941326558</c:v>
                </c:pt>
                <c:pt idx="398">
                  <c:v>12.089434740218987</c:v>
                </c:pt>
                <c:pt idx="399">
                  <c:v>10.693653102501868</c:v>
                </c:pt>
                <c:pt idx="400">
                  <c:v>10.359831249383484</c:v>
                </c:pt>
                <c:pt idx="401">
                  <c:v>8.2062173899644026</c:v>
                </c:pt>
                <c:pt idx="402">
                  <c:v>5.0451122589992057</c:v>
                </c:pt>
                <c:pt idx="403">
                  <c:v>4.2115545062709074</c:v>
                </c:pt>
                <c:pt idx="404">
                  <c:v>6.1430803775632175</c:v>
                </c:pt>
                <c:pt idx="405">
                  <c:v>5.7975553480671786</c:v>
                </c:pt>
                <c:pt idx="406">
                  <c:v>4.0315964392511274</c:v>
                </c:pt>
                <c:pt idx="407">
                  <c:v>2.2007745713032483</c:v>
                </c:pt>
                <c:pt idx="408">
                  <c:v>4.4194690566946395</c:v>
                </c:pt>
                <c:pt idx="409">
                  <c:v>5.3058224377299004</c:v>
                </c:pt>
                <c:pt idx="410">
                  <c:v>4.6610267506625744</c:v>
                </c:pt>
                <c:pt idx="411">
                  <c:v>6.1422419554703023</c:v>
                </c:pt>
                <c:pt idx="412">
                  <c:v>6.3689535155151944</c:v>
                </c:pt>
                <c:pt idx="413">
                  <c:v>7.5810747276364054</c:v>
                </c:pt>
                <c:pt idx="414">
                  <c:v>8.7319344059503283</c:v>
                </c:pt>
                <c:pt idx="415">
                  <c:v>9.5838347991351256</c:v>
                </c:pt>
                <c:pt idx="416">
                  <c:v>9.4201150872818182</c:v>
                </c:pt>
                <c:pt idx="417">
                  <c:v>8.5306528385039826</c:v>
                </c:pt>
                <c:pt idx="418">
                  <c:v>11.062365875493645</c:v>
                </c:pt>
              </c:numCache>
            </c:numRef>
          </c:val>
          <c:smooth val="0"/>
          <c:extLst>
            <c:ext xmlns:c16="http://schemas.microsoft.com/office/drawing/2014/chart" uri="{C3380CC4-5D6E-409C-BE32-E72D297353CC}">
              <c16:uniqueId val="{00000001-5EE3-488A-A811-901A62C54B90}"/>
            </c:ext>
          </c:extLst>
        </c:ser>
        <c:dLbls>
          <c:showLegendKey val="0"/>
          <c:showVal val="0"/>
          <c:showCatName val="0"/>
          <c:showSerName val="0"/>
          <c:showPercent val="0"/>
          <c:showBubbleSize val="0"/>
        </c:dLbls>
        <c:marker val="1"/>
        <c:smooth val="0"/>
        <c:axId val="556417039"/>
        <c:axId val="556416559"/>
      </c:lineChart>
      <c:catAx>
        <c:axId val="875938799"/>
        <c:scaling>
          <c:orientation val="minMax"/>
        </c:scaling>
        <c:delete val="0"/>
        <c:axPos val="b"/>
        <c:numFmt formatCode="General" sourceLinked="1"/>
        <c:majorTickMark val="none"/>
        <c:minorTickMark val="none"/>
        <c:tickLblPos val="low"/>
        <c:spPr>
          <a:noFill/>
          <a:ln w="9525" cap="flat" cmpd="sng" algn="ctr">
            <a:solidFill>
              <a:sysClr val="windowText" lastClr="000000"/>
            </a:solidFill>
            <a:round/>
          </a:ln>
          <a:effectLst/>
        </c:spPr>
        <c:txPr>
          <a:bodyPr rot="-60000000" spcFirstLastPara="1" vertOverflow="ellipsis" vert="horz" wrap="square" anchor="ctr" anchorCtr="1"/>
          <a:lstStyle/>
          <a:p>
            <a:pPr>
              <a:defRPr sz="700" b="1" i="0" u="none" strike="noStrike" kern="1200" baseline="0">
                <a:solidFill>
                  <a:sysClr val="windowText" lastClr="000000"/>
                </a:solidFill>
                <a:latin typeface="+mn-lt"/>
                <a:ea typeface="+mn-ea"/>
                <a:cs typeface="+mn-cs"/>
              </a:defRPr>
            </a:pPr>
            <a:endParaRPr lang="en-US"/>
          </a:p>
        </c:txPr>
        <c:crossAx val="875955599"/>
        <c:crosses val="autoZero"/>
        <c:auto val="1"/>
        <c:lblAlgn val="ctr"/>
        <c:lblOffset val="100"/>
        <c:noMultiLvlLbl val="0"/>
      </c:catAx>
      <c:valAx>
        <c:axId val="875955599"/>
        <c:scaling>
          <c:orientation val="minMax"/>
        </c:scaling>
        <c:delete val="0"/>
        <c:axPos val="l"/>
        <c:majorGridlines>
          <c:spPr>
            <a:ln w="9525" cap="flat" cmpd="sng" algn="ctr">
              <a:solidFill>
                <a:schemeClr val="bg1">
                  <a:lumMod val="65000"/>
                </a:schemeClr>
              </a:solidFill>
              <a:prstDash val="dash"/>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875938799"/>
        <c:crosses val="autoZero"/>
        <c:crossBetween val="between"/>
      </c:valAx>
      <c:valAx>
        <c:axId val="556416559"/>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556417039"/>
        <c:crosses val="max"/>
        <c:crossBetween val="between"/>
      </c:valAx>
      <c:catAx>
        <c:axId val="556417039"/>
        <c:scaling>
          <c:orientation val="minMax"/>
        </c:scaling>
        <c:delete val="1"/>
        <c:axPos val="b"/>
        <c:majorTickMark val="out"/>
        <c:minorTickMark val="none"/>
        <c:tickLblPos val="nextTo"/>
        <c:crossAx val="556416559"/>
        <c:crosses val="autoZero"/>
        <c:auto val="1"/>
        <c:lblAlgn val="ctr"/>
        <c:lblOffset val="100"/>
        <c:noMultiLvlLbl val="0"/>
      </c:catAx>
      <c:spPr>
        <a:gradFill>
          <a:gsLst>
            <a:gs pos="12000">
              <a:srgbClr val="00FF00">
                <a:alpha val="80000"/>
              </a:srgbClr>
            </a:gs>
            <a:gs pos="61000">
              <a:schemeClr val="bg1"/>
            </a:gs>
            <a:gs pos="47000">
              <a:schemeClr val="bg1"/>
            </a:gs>
            <a:gs pos="96000">
              <a:srgbClr val="FF4D4D"/>
            </a:gs>
            <a:gs pos="0">
              <a:srgbClr val="00B050">
                <a:alpha val="85000"/>
              </a:srgbClr>
            </a:gs>
            <a:gs pos="92000">
              <a:srgbClr val="FF9999">
                <a:alpha val="80000"/>
              </a:srgbClr>
            </a:gs>
          </a:gsLst>
          <a:lin ang="5400000" scaled="1"/>
        </a:gradFill>
        <a:ln>
          <a:solidFill>
            <a:sysClr val="windowText" lastClr="000000"/>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9334907807782635E-2"/>
          <c:y val="7.5676575670331966E-2"/>
          <c:w val="0.94870171597992958"/>
          <c:h val="0.84851364945020646"/>
        </c:manualLayout>
      </c:layout>
      <c:lineChart>
        <c:grouping val="standard"/>
        <c:varyColors val="0"/>
        <c:ser>
          <c:idx val="1"/>
          <c:order val="0"/>
          <c:tx>
            <c:v>Expectancy 25-ma</c:v>
          </c:tx>
          <c:spPr>
            <a:ln w="12700" cap="rnd">
              <a:solidFill>
                <a:schemeClr val="accent6"/>
              </a:solidFill>
              <a:round/>
            </a:ln>
            <a:effectLst/>
          </c:spPr>
          <c:marker>
            <c:symbol val="none"/>
          </c:marker>
          <c:cat>
            <c:strLit>
              <c:ptCount val="396"/>
              <c:pt idx="0">
                <c:v>24</c:v>
              </c:pt>
              <c:pt idx="1">
                <c:v>25</c:v>
              </c:pt>
              <c:pt idx="2">
                <c:v>26</c:v>
              </c:pt>
              <c:pt idx="3">
                <c:v>27</c:v>
              </c:pt>
              <c:pt idx="4">
                <c:v>28</c:v>
              </c:pt>
              <c:pt idx="5">
                <c:v>29</c:v>
              </c:pt>
              <c:pt idx="6">
                <c:v>30</c:v>
              </c:pt>
              <c:pt idx="7">
                <c:v>31</c:v>
              </c:pt>
              <c:pt idx="8">
                <c:v>32</c:v>
              </c:pt>
              <c:pt idx="9">
                <c:v>33</c:v>
              </c:pt>
              <c:pt idx="10">
                <c:v>34</c:v>
              </c:pt>
              <c:pt idx="11">
                <c:v>35</c:v>
              </c:pt>
              <c:pt idx="12">
                <c:v>36</c:v>
              </c:pt>
              <c:pt idx="13">
                <c:v>37</c:v>
              </c:pt>
              <c:pt idx="14">
                <c:v>38</c:v>
              </c:pt>
              <c:pt idx="15">
                <c:v>39</c:v>
              </c:pt>
              <c:pt idx="16">
                <c:v>40</c:v>
              </c:pt>
              <c:pt idx="17">
                <c:v>41</c:v>
              </c:pt>
              <c:pt idx="18">
                <c:v>42</c:v>
              </c:pt>
              <c:pt idx="19">
                <c:v>43</c:v>
              </c:pt>
              <c:pt idx="20">
                <c:v>44</c:v>
              </c:pt>
              <c:pt idx="21">
                <c:v>45</c:v>
              </c:pt>
              <c:pt idx="22">
                <c:v>46</c:v>
              </c:pt>
              <c:pt idx="23">
                <c:v>47</c:v>
              </c:pt>
              <c:pt idx="24">
                <c:v>48</c:v>
              </c:pt>
              <c:pt idx="25">
                <c:v>49</c:v>
              </c:pt>
              <c:pt idx="26">
                <c:v>50</c:v>
              </c:pt>
              <c:pt idx="27">
                <c:v>51</c:v>
              </c:pt>
              <c:pt idx="28">
                <c:v>52</c:v>
              </c:pt>
              <c:pt idx="29">
                <c:v>53</c:v>
              </c:pt>
              <c:pt idx="30">
                <c:v>54</c:v>
              </c:pt>
              <c:pt idx="31">
                <c:v>55</c:v>
              </c:pt>
              <c:pt idx="32">
                <c:v>56</c:v>
              </c:pt>
              <c:pt idx="33">
                <c:v>57</c:v>
              </c:pt>
              <c:pt idx="34">
                <c:v>58</c:v>
              </c:pt>
              <c:pt idx="35">
                <c:v>59</c:v>
              </c:pt>
              <c:pt idx="36">
                <c:v>60</c:v>
              </c:pt>
              <c:pt idx="37">
                <c:v>61</c:v>
              </c:pt>
              <c:pt idx="38">
                <c:v>62</c:v>
              </c:pt>
              <c:pt idx="39">
                <c:v>63</c:v>
              </c:pt>
              <c:pt idx="40">
                <c:v>64</c:v>
              </c:pt>
              <c:pt idx="41">
                <c:v>65</c:v>
              </c:pt>
              <c:pt idx="42">
                <c:v>66</c:v>
              </c:pt>
              <c:pt idx="43">
                <c:v>67</c:v>
              </c:pt>
              <c:pt idx="44">
                <c:v>68</c:v>
              </c:pt>
              <c:pt idx="45">
                <c:v>69</c:v>
              </c:pt>
              <c:pt idx="46">
                <c:v>70</c:v>
              </c:pt>
              <c:pt idx="47">
                <c:v>71</c:v>
              </c:pt>
              <c:pt idx="48">
                <c:v>72</c:v>
              </c:pt>
              <c:pt idx="49">
                <c:v>73</c:v>
              </c:pt>
              <c:pt idx="50">
                <c:v>74</c:v>
              </c:pt>
              <c:pt idx="51">
                <c:v>75</c:v>
              </c:pt>
              <c:pt idx="52">
                <c:v>76</c:v>
              </c:pt>
              <c:pt idx="53">
                <c:v>77</c:v>
              </c:pt>
              <c:pt idx="54">
                <c:v>78</c:v>
              </c:pt>
              <c:pt idx="55">
                <c:v>79</c:v>
              </c:pt>
              <c:pt idx="56">
                <c:v>80</c:v>
              </c:pt>
              <c:pt idx="57">
                <c:v>81</c:v>
              </c:pt>
              <c:pt idx="58">
                <c:v>82</c:v>
              </c:pt>
              <c:pt idx="59">
                <c:v>83</c:v>
              </c:pt>
              <c:pt idx="60">
                <c:v>84</c:v>
              </c:pt>
              <c:pt idx="61">
                <c:v>85</c:v>
              </c:pt>
              <c:pt idx="62">
                <c:v>86</c:v>
              </c:pt>
              <c:pt idx="63">
                <c:v>87</c:v>
              </c:pt>
              <c:pt idx="64">
                <c:v>88</c:v>
              </c:pt>
              <c:pt idx="65">
                <c:v>89</c:v>
              </c:pt>
              <c:pt idx="66">
                <c:v>90</c:v>
              </c:pt>
              <c:pt idx="67">
                <c:v>91</c:v>
              </c:pt>
              <c:pt idx="68">
                <c:v>92</c:v>
              </c:pt>
              <c:pt idx="69">
                <c:v>93</c:v>
              </c:pt>
              <c:pt idx="70">
                <c:v>94</c:v>
              </c:pt>
              <c:pt idx="71">
                <c:v>95</c:v>
              </c:pt>
              <c:pt idx="72">
                <c:v>96</c:v>
              </c:pt>
              <c:pt idx="73">
                <c:v>97</c:v>
              </c:pt>
              <c:pt idx="74">
                <c:v>98</c:v>
              </c:pt>
              <c:pt idx="75">
                <c:v>99</c:v>
              </c:pt>
              <c:pt idx="76">
                <c:v>100</c:v>
              </c:pt>
              <c:pt idx="77">
                <c:v>101</c:v>
              </c:pt>
              <c:pt idx="78">
                <c:v>102</c:v>
              </c:pt>
              <c:pt idx="79">
                <c:v>103</c:v>
              </c:pt>
              <c:pt idx="80">
                <c:v>104</c:v>
              </c:pt>
              <c:pt idx="81">
                <c:v>105</c:v>
              </c:pt>
              <c:pt idx="82">
                <c:v>106</c:v>
              </c:pt>
              <c:pt idx="83">
                <c:v>107</c:v>
              </c:pt>
              <c:pt idx="84">
                <c:v>108</c:v>
              </c:pt>
              <c:pt idx="85">
                <c:v>109</c:v>
              </c:pt>
              <c:pt idx="86">
                <c:v>110</c:v>
              </c:pt>
              <c:pt idx="87">
                <c:v>111</c:v>
              </c:pt>
              <c:pt idx="88">
                <c:v>112</c:v>
              </c:pt>
              <c:pt idx="89">
                <c:v>113</c:v>
              </c:pt>
              <c:pt idx="90">
                <c:v>114</c:v>
              </c:pt>
              <c:pt idx="91">
                <c:v>115</c:v>
              </c:pt>
              <c:pt idx="92">
                <c:v>116</c:v>
              </c:pt>
              <c:pt idx="93">
                <c:v>117</c:v>
              </c:pt>
              <c:pt idx="94">
                <c:v>118</c:v>
              </c:pt>
              <c:pt idx="95">
                <c:v>119</c:v>
              </c:pt>
              <c:pt idx="96">
                <c:v>120</c:v>
              </c:pt>
              <c:pt idx="97">
                <c:v>121</c:v>
              </c:pt>
              <c:pt idx="98">
                <c:v>122</c:v>
              </c:pt>
              <c:pt idx="99">
                <c:v>123</c:v>
              </c:pt>
              <c:pt idx="100">
                <c:v>124</c:v>
              </c:pt>
              <c:pt idx="101">
                <c:v>125</c:v>
              </c:pt>
              <c:pt idx="102">
                <c:v>126</c:v>
              </c:pt>
              <c:pt idx="103">
                <c:v>127</c:v>
              </c:pt>
              <c:pt idx="104">
                <c:v>128</c:v>
              </c:pt>
              <c:pt idx="105">
                <c:v>129</c:v>
              </c:pt>
              <c:pt idx="106">
                <c:v>130</c:v>
              </c:pt>
              <c:pt idx="107">
                <c:v>131</c:v>
              </c:pt>
              <c:pt idx="108">
                <c:v>132</c:v>
              </c:pt>
              <c:pt idx="109">
                <c:v>133</c:v>
              </c:pt>
              <c:pt idx="110">
                <c:v>134</c:v>
              </c:pt>
              <c:pt idx="111">
                <c:v>135</c:v>
              </c:pt>
              <c:pt idx="112">
                <c:v>136</c:v>
              </c:pt>
              <c:pt idx="113">
                <c:v>137</c:v>
              </c:pt>
              <c:pt idx="114">
                <c:v>138</c:v>
              </c:pt>
              <c:pt idx="115">
                <c:v>139</c:v>
              </c:pt>
              <c:pt idx="116">
                <c:v>140</c:v>
              </c:pt>
              <c:pt idx="117">
                <c:v>141</c:v>
              </c:pt>
              <c:pt idx="118">
                <c:v>142</c:v>
              </c:pt>
              <c:pt idx="119">
                <c:v>143</c:v>
              </c:pt>
              <c:pt idx="120">
                <c:v>144</c:v>
              </c:pt>
              <c:pt idx="121">
                <c:v>145</c:v>
              </c:pt>
              <c:pt idx="122">
                <c:v>146</c:v>
              </c:pt>
              <c:pt idx="123">
                <c:v>147</c:v>
              </c:pt>
              <c:pt idx="124">
                <c:v>148</c:v>
              </c:pt>
              <c:pt idx="125">
                <c:v>149</c:v>
              </c:pt>
              <c:pt idx="126">
                <c:v>150</c:v>
              </c:pt>
              <c:pt idx="127">
                <c:v>151</c:v>
              </c:pt>
              <c:pt idx="128">
                <c:v>152</c:v>
              </c:pt>
              <c:pt idx="129">
                <c:v>153</c:v>
              </c:pt>
              <c:pt idx="130">
                <c:v>154</c:v>
              </c:pt>
              <c:pt idx="131">
                <c:v>155</c:v>
              </c:pt>
              <c:pt idx="132">
                <c:v>156</c:v>
              </c:pt>
              <c:pt idx="133">
                <c:v>157</c:v>
              </c:pt>
              <c:pt idx="134">
                <c:v>158</c:v>
              </c:pt>
              <c:pt idx="135">
                <c:v>159</c:v>
              </c:pt>
              <c:pt idx="136">
                <c:v>160</c:v>
              </c:pt>
              <c:pt idx="137">
                <c:v>161</c:v>
              </c:pt>
              <c:pt idx="138">
                <c:v>162</c:v>
              </c:pt>
              <c:pt idx="139">
                <c:v>163</c:v>
              </c:pt>
              <c:pt idx="140">
                <c:v>164</c:v>
              </c:pt>
              <c:pt idx="141">
                <c:v>165</c:v>
              </c:pt>
              <c:pt idx="142">
                <c:v>166</c:v>
              </c:pt>
              <c:pt idx="143">
                <c:v>167</c:v>
              </c:pt>
              <c:pt idx="144">
                <c:v>168</c:v>
              </c:pt>
              <c:pt idx="145">
                <c:v>169</c:v>
              </c:pt>
              <c:pt idx="146">
                <c:v>170</c:v>
              </c:pt>
              <c:pt idx="147">
                <c:v>171</c:v>
              </c:pt>
              <c:pt idx="148">
                <c:v>172</c:v>
              </c:pt>
              <c:pt idx="149">
                <c:v>173</c:v>
              </c:pt>
              <c:pt idx="150">
                <c:v>174</c:v>
              </c:pt>
              <c:pt idx="151">
                <c:v>175</c:v>
              </c:pt>
              <c:pt idx="152">
                <c:v>176</c:v>
              </c:pt>
              <c:pt idx="153">
                <c:v>177</c:v>
              </c:pt>
              <c:pt idx="154">
                <c:v>178</c:v>
              </c:pt>
              <c:pt idx="155">
                <c:v>179</c:v>
              </c:pt>
              <c:pt idx="156">
                <c:v>180</c:v>
              </c:pt>
              <c:pt idx="157">
                <c:v>181</c:v>
              </c:pt>
              <c:pt idx="158">
                <c:v>182</c:v>
              </c:pt>
              <c:pt idx="159">
                <c:v>183</c:v>
              </c:pt>
              <c:pt idx="160">
                <c:v>184</c:v>
              </c:pt>
              <c:pt idx="161">
                <c:v>185</c:v>
              </c:pt>
              <c:pt idx="162">
                <c:v>186</c:v>
              </c:pt>
              <c:pt idx="163">
                <c:v>187</c:v>
              </c:pt>
              <c:pt idx="164">
                <c:v>188</c:v>
              </c:pt>
              <c:pt idx="165">
                <c:v>189</c:v>
              </c:pt>
              <c:pt idx="166">
                <c:v>190</c:v>
              </c:pt>
              <c:pt idx="167">
                <c:v>191</c:v>
              </c:pt>
              <c:pt idx="168">
                <c:v>192</c:v>
              </c:pt>
              <c:pt idx="169">
                <c:v>193</c:v>
              </c:pt>
              <c:pt idx="170">
                <c:v>194</c:v>
              </c:pt>
              <c:pt idx="171">
                <c:v>195</c:v>
              </c:pt>
              <c:pt idx="172">
                <c:v>196</c:v>
              </c:pt>
              <c:pt idx="173">
                <c:v>197</c:v>
              </c:pt>
              <c:pt idx="174">
                <c:v>198</c:v>
              </c:pt>
              <c:pt idx="175">
                <c:v>199</c:v>
              </c:pt>
              <c:pt idx="176">
                <c:v>200</c:v>
              </c:pt>
              <c:pt idx="177">
                <c:v>201</c:v>
              </c:pt>
              <c:pt idx="178">
                <c:v>202</c:v>
              </c:pt>
              <c:pt idx="179">
                <c:v>203</c:v>
              </c:pt>
              <c:pt idx="180">
                <c:v>204</c:v>
              </c:pt>
              <c:pt idx="181">
                <c:v>205</c:v>
              </c:pt>
              <c:pt idx="182">
                <c:v>206</c:v>
              </c:pt>
              <c:pt idx="183">
                <c:v>207</c:v>
              </c:pt>
              <c:pt idx="184">
                <c:v>208</c:v>
              </c:pt>
              <c:pt idx="185">
                <c:v>209</c:v>
              </c:pt>
              <c:pt idx="186">
                <c:v>210</c:v>
              </c:pt>
              <c:pt idx="187">
                <c:v>211</c:v>
              </c:pt>
              <c:pt idx="188">
                <c:v>212</c:v>
              </c:pt>
              <c:pt idx="189">
                <c:v>213</c:v>
              </c:pt>
              <c:pt idx="190">
                <c:v>214</c:v>
              </c:pt>
              <c:pt idx="191">
                <c:v>215</c:v>
              </c:pt>
              <c:pt idx="192">
                <c:v>216</c:v>
              </c:pt>
              <c:pt idx="193">
                <c:v>217</c:v>
              </c:pt>
              <c:pt idx="194">
                <c:v>218</c:v>
              </c:pt>
              <c:pt idx="195">
                <c:v>219</c:v>
              </c:pt>
              <c:pt idx="196">
                <c:v>220</c:v>
              </c:pt>
              <c:pt idx="197">
                <c:v>221</c:v>
              </c:pt>
              <c:pt idx="198">
                <c:v>222</c:v>
              </c:pt>
              <c:pt idx="199">
                <c:v>223</c:v>
              </c:pt>
              <c:pt idx="200">
                <c:v>224</c:v>
              </c:pt>
              <c:pt idx="201">
                <c:v>225</c:v>
              </c:pt>
              <c:pt idx="202">
                <c:v>226</c:v>
              </c:pt>
              <c:pt idx="203">
                <c:v>227</c:v>
              </c:pt>
              <c:pt idx="204">
                <c:v>228</c:v>
              </c:pt>
              <c:pt idx="205">
                <c:v>229</c:v>
              </c:pt>
              <c:pt idx="206">
                <c:v>230</c:v>
              </c:pt>
              <c:pt idx="207">
                <c:v>231</c:v>
              </c:pt>
              <c:pt idx="208">
                <c:v>232</c:v>
              </c:pt>
              <c:pt idx="209">
                <c:v>233</c:v>
              </c:pt>
              <c:pt idx="210">
                <c:v>234</c:v>
              </c:pt>
              <c:pt idx="211">
                <c:v>235</c:v>
              </c:pt>
              <c:pt idx="212">
                <c:v>236</c:v>
              </c:pt>
              <c:pt idx="213">
                <c:v>237</c:v>
              </c:pt>
              <c:pt idx="214">
                <c:v>238</c:v>
              </c:pt>
              <c:pt idx="215">
                <c:v>239</c:v>
              </c:pt>
              <c:pt idx="216">
                <c:v>240</c:v>
              </c:pt>
              <c:pt idx="217">
                <c:v>241</c:v>
              </c:pt>
              <c:pt idx="218">
                <c:v>242</c:v>
              </c:pt>
              <c:pt idx="219">
                <c:v>243</c:v>
              </c:pt>
              <c:pt idx="220">
                <c:v>244</c:v>
              </c:pt>
              <c:pt idx="221">
                <c:v>245</c:v>
              </c:pt>
              <c:pt idx="222">
                <c:v>246</c:v>
              </c:pt>
              <c:pt idx="223">
                <c:v>247</c:v>
              </c:pt>
              <c:pt idx="224">
                <c:v>248</c:v>
              </c:pt>
              <c:pt idx="225">
                <c:v>249</c:v>
              </c:pt>
              <c:pt idx="226">
                <c:v>250</c:v>
              </c:pt>
              <c:pt idx="227">
                <c:v>251</c:v>
              </c:pt>
              <c:pt idx="228">
                <c:v>252</c:v>
              </c:pt>
              <c:pt idx="229">
                <c:v>253</c:v>
              </c:pt>
              <c:pt idx="230">
                <c:v>254</c:v>
              </c:pt>
              <c:pt idx="231">
                <c:v>255</c:v>
              </c:pt>
              <c:pt idx="232">
                <c:v>256</c:v>
              </c:pt>
              <c:pt idx="233">
                <c:v>257</c:v>
              </c:pt>
              <c:pt idx="234">
                <c:v>258</c:v>
              </c:pt>
              <c:pt idx="235">
                <c:v>259</c:v>
              </c:pt>
              <c:pt idx="236">
                <c:v>260</c:v>
              </c:pt>
              <c:pt idx="237">
                <c:v>261</c:v>
              </c:pt>
              <c:pt idx="238">
                <c:v>262</c:v>
              </c:pt>
              <c:pt idx="239">
                <c:v>263</c:v>
              </c:pt>
              <c:pt idx="240">
                <c:v>264</c:v>
              </c:pt>
              <c:pt idx="241">
                <c:v>265</c:v>
              </c:pt>
              <c:pt idx="242">
                <c:v>266</c:v>
              </c:pt>
              <c:pt idx="243">
                <c:v>267</c:v>
              </c:pt>
              <c:pt idx="244">
                <c:v>268</c:v>
              </c:pt>
              <c:pt idx="245">
                <c:v>269</c:v>
              </c:pt>
              <c:pt idx="246">
                <c:v>270</c:v>
              </c:pt>
              <c:pt idx="247">
                <c:v>271</c:v>
              </c:pt>
              <c:pt idx="248">
                <c:v>272</c:v>
              </c:pt>
              <c:pt idx="249">
                <c:v>273</c:v>
              </c:pt>
              <c:pt idx="250">
                <c:v>274</c:v>
              </c:pt>
              <c:pt idx="251">
                <c:v>275</c:v>
              </c:pt>
              <c:pt idx="252">
                <c:v>276</c:v>
              </c:pt>
              <c:pt idx="253">
                <c:v>277</c:v>
              </c:pt>
              <c:pt idx="254">
                <c:v>278</c:v>
              </c:pt>
              <c:pt idx="255">
                <c:v>279</c:v>
              </c:pt>
              <c:pt idx="256">
                <c:v>280</c:v>
              </c:pt>
              <c:pt idx="257">
                <c:v>281</c:v>
              </c:pt>
              <c:pt idx="258">
                <c:v>282</c:v>
              </c:pt>
              <c:pt idx="259">
                <c:v>283</c:v>
              </c:pt>
              <c:pt idx="260">
                <c:v>284</c:v>
              </c:pt>
              <c:pt idx="261">
                <c:v>285</c:v>
              </c:pt>
              <c:pt idx="262">
                <c:v>286</c:v>
              </c:pt>
              <c:pt idx="263">
                <c:v>287</c:v>
              </c:pt>
              <c:pt idx="264">
                <c:v>288</c:v>
              </c:pt>
              <c:pt idx="265">
                <c:v>289</c:v>
              </c:pt>
              <c:pt idx="266">
                <c:v>290</c:v>
              </c:pt>
              <c:pt idx="267">
                <c:v>291</c:v>
              </c:pt>
              <c:pt idx="268">
                <c:v>292</c:v>
              </c:pt>
              <c:pt idx="269">
                <c:v>293</c:v>
              </c:pt>
              <c:pt idx="270">
                <c:v>294</c:v>
              </c:pt>
              <c:pt idx="271">
                <c:v>295</c:v>
              </c:pt>
              <c:pt idx="272">
                <c:v>296</c:v>
              </c:pt>
              <c:pt idx="273">
                <c:v>297</c:v>
              </c:pt>
              <c:pt idx="274">
                <c:v>298</c:v>
              </c:pt>
              <c:pt idx="275">
                <c:v>299</c:v>
              </c:pt>
              <c:pt idx="276">
                <c:v>300</c:v>
              </c:pt>
              <c:pt idx="277">
                <c:v>301</c:v>
              </c:pt>
              <c:pt idx="278">
                <c:v>302</c:v>
              </c:pt>
              <c:pt idx="279">
                <c:v>303</c:v>
              </c:pt>
              <c:pt idx="280">
                <c:v>304</c:v>
              </c:pt>
              <c:pt idx="281">
                <c:v>305</c:v>
              </c:pt>
              <c:pt idx="282">
                <c:v>306</c:v>
              </c:pt>
              <c:pt idx="283">
                <c:v>307</c:v>
              </c:pt>
              <c:pt idx="284">
                <c:v>308</c:v>
              </c:pt>
              <c:pt idx="285">
                <c:v>309</c:v>
              </c:pt>
              <c:pt idx="286">
                <c:v>310</c:v>
              </c:pt>
              <c:pt idx="287">
                <c:v>311</c:v>
              </c:pt>
              <c:pt idx="288">
                <c:v>312</c:v>
              </c:pt>
              <c:pt idx="289">
                <c:v>313</c:v>
              </c:pt>
              <c:pt idx="290">
                <c:v>314</c:v>
              </c:pt>
              <c:pt idx="291">
                <c:v>315</c:v>
              </c:pt>
              <c:pt idx="292">
                <c:v>316</c:v>
              </c:pt>
              <c:pt idx="293">
                <c:v>317</c:v>
              </c:pt>
              <c:pt idx="294">
                <c:v>318</c:v>
              </c:pt>
              <c:pt idx="295">
                <c:v>319</c:v>
              </c:pt>
              <c:pt idx="296">
                <c:v>320</c:v>
              </c:pt>
              <c:pt idx="297">
                <c:v>321</c:v>
              </c:pt>
              <c:pt idx="298">
                <c:v>322</c:v>
              </c:pt>
              <c:pt idx="299">
                <c:v>323</c:v>
              </c:pt>
              <c:pt idx="300">
                <c:v>324</c:v>
              </c:pt>
              <c:pt idx="301">
                <c:v>325</c:v>
              </c:pt>
              <c:pt idx="302">
                <c:v>326</c:v>
              </c:pt>
              <c:pt idx="303">
                <c:v>327</c:v>
              </c:pt>
              <c:pt idx="304">
                <c:v>328</c:v>
              </c:pt>
              <c:pt idx="305">
                <c:v>329</c:v>
              </c:pt>
              <c:pt idx="306">
                <c:v>330</c:v>
              </c:pt>
              <c:pt idx="307">
                <c:v>331</c:v>
              </c:pt>
              <c:pt idx="308">
                <c:v>332</c:v>
              </c:pt>
              <c:pt idx="309">
                <c:v>333</c:v>
              </c:pt>
              <c:pt idx="310">
                <c:v>334</c:v>
              </c:pt>
              <c:pt idx="311">
                <c:v>335</c:v>
              </c:pt>
              <c:pt idx="312">
                <c:v>336</c:v>
              </c:pt>
              <c:pt idx="313">
                <c:v>337</c:v>
              </c:pt>
              <c:pt idx="314">
                <c:v>338</c:v>
              </c:pt>
              <c:pt idx="315">
                <c:v>339</c:v>
              </c:pt>
              <c:pt idx="316">
                <c:v>340</c:v>
              </c:pt>
              <c:pt idx="317">
                <c:v>341</c:v>
              </c:pt>
              <c:pt idx="318">
                <c:v>342</c:v>
              </c:pt>
              <c:pt idx="319">
                <c:v>343</c:v>
              </c:pt>
              <c:pt idx="320">
                <c:v>344</c:v>
              </c:pt>
              <c:pt idx="321">
                <c:v>345</c:v>
              </c:pt>
              <c:pt idx="322">
                <c:v>346</c:v>
              </c:pt>
              <c:pt idx="323">
                <c:v>347</c:v>
              </c:pt>
              <c:pt idx="324">
                <c:v>348</c:v>
              </c:pt>
              <c:pt idx="325">
                <c:v>349</c:v>
              </c:pt>
              <c:pt idx="326">
                <c:v>350</c:v>
              </c:pt>
              <c:pt idx="327">
                <c:v>351</c:v>
              </c:pt>
              <c:pt idx="328">
                <c:v>352</c:v>
              </c:pt>
              <c:pt idx="329">
                <c:v>353</c:v>
              </c:pt>
              <c:pt idx="330">
                <c:v>354</c:v>
              </c:pt>
              <c:pt idx="331">
                <c:v>355</c:v>
              </c:pt>
              <c:pt idx="332">
                <c:v>356</c:v>
              </c:pt>
              <c:pt idx="333">
                <c:v>357</c:v>
              </c:pt>
              <c:pt idx="334">
                <c:v>358</c:v>
              </c:pt>
              <c:pt idx="335">
                <c:v>359</c:v>
              </c:pt>
              <c:pt idx="336">
                <c:v>360</c:v>
              </c:pt>
              <c:pt idx="337">
                <c:v>361</c:v>
              </c:pt>
              <c:pt idx="338">
                <c:v>362</c:v>
              </c:pt>
              <c:pt idx="339">
                <c:v>363</c:v>
              </c:pt>
              <c:pt idx="340">
                <c:v>364</c:v>
              </c:pt>
              <c:pt idx="341">
                <c:v>365</c:v>
              </c:pt>
              <c:pt idx="342">
                <c:v>366</c:v>
              </c:pt>
              <c:pt idx="343">
                <c:v>367</c:v>
              </c:pt>
              <c:pt idx="344">
                <c:v>368</c:v>
              </c:pt>
              <c:pt idx="345">
                <c:v>369</c:v>
              </c:pt>
              <c:pt idx="346">
                <c:v>370</c:v>
              </c:pt>
              <c:pt idx="347">
                <c:v>371</c:v>
              </c:pt>
              <c:pt idx="348">
                <c:v>372</c:v>
              </c:pt>
              <c:pt idx="349">
                <c:v>373</c:v>
              </c:pt>
              <c:pt idx="350">
                <c:v>374</c:v>
              </c:pt>
              <c:pt idx="351">
                <c:v>375</c:v>
              </c:pt>
              <c:pt idx="352">
                <c:v>376</c:v>
              </c:pt>
              <c:pt idx="353">
                <c:v>377</c:v>
              </c:pt>
              <c:pt idx="354">
                <c:v>378</c:v>
              </c:pt>
              <c:pt idx="355">
                <c:v>379</c:v>
              </c:pt>
              <c:pt idx="356">
                <c:v>380</c:v>
              </c:pt>
              <c:pt idx="357">
                <c:v>381</c:v>
              </c:pt>
              <c:pt idx="358">
                <c:v>382</c:v>
              </c:pt>
              <c:pt idx="359">
                <c:v>383</c:v>
              </c:pt>
              <c:pt idx="360">
                <c:v>384</c:v>
              </c:pt>
              <c:pt idx="361">
                <c:v>385</c:v>
              </c:pt>
              <c:pt idx="362">
                <c:v>386</c:v>
              </c:pt>
              <c:pt idx="363">
                <c:v>387</c:v>
              </c:pt>
              <c:pt idx="364">
                <c:v>388</c:v>
              </c:pt>
              <c:pt idx="365">
                <c:v>389</c:v>
              </c:pt>
              <c:pt idx="366">
                <c:v>390</c:v>
              </c:pt>
              <c:pt idx="367">
                <c:v>391</c:v>
              </c:pt>
              <c:pt idx="368">
                <c:v>392</c:v>
              </c:pt>
              <c:pt idx="369">
                <c:v>393</c:v>
              </c:pt>
              <c:pt idx="370">
                <c:v>394</c:v>
              </c:pt>
              <c:pt idx="371">
                <c:v>395</c:v>
              </c:pt>
              <c:pt idx="372">
                <c:v>396</c:v>
              </c:pt>
              <c:pt idx="373">
                <c:v>397</c:v>
              </c:pt>
              <c:pt idx="374">
                <c:v>398</c:v>
              </c:pt>
              <c:pt idx="375">
                <c:v>399</c:v>
              </c:pt>
              <c:pt idx="376">
                <c:v>400</c:v>
              </c:pt>
              <c:pt idx="377">
                <c:v>401</c:v>
              </c:pt>
              <c:pt idx="378">
                <c:v>402</c:v>
              </c:pt>
              <c:pt idx="379">
                <c:v>403</c:v>
              </c:pt>
              <c:pt idx="380">
                <c:v>404</c:v>
              </c:pt>
              <c:pt idx="381">
                <c:v>405</c:v>
              </c:pt>
              <c:pt idx="382">
                <c:v>406</c:v>
              </c:pt>
              <c:pt idx="383">
                <c:v>407</c:v>
              </c:pt>
              <c:pt idx="384">
                <c:v>408</c:v>
              </c:pt>
              <c:pt idx="385">
                <c:v>409</c:v>
              </c:pt>
              <c:pt idx="386">
                <c:v>410</c:v>
              </c:pt>
              <c:pt idx="387">
                <c:v>411</c:v>
              </c:pt>
              <c:pt idx="388">
                <c:v>412</c:v>
              </c:pt>
              <c:pt idx="389">
                <c:v>413</c:v>
              </c:pt>
              <c:pt idx="390">
                <c:v>414</c:v>
              </c:pt>
              <c:pt idx="391">
                <c:v>415</c:v>
              </c:pt>
              <c:pt idx="392">
                <c:v>416</c:v>
              </c:pt>
              <c:pt idx="393">
                <c:v>417</c:v>
              </c:pt>
              <c:pt idx="394">
                <c:v>418</c:v>
              </c:pt>
              <c:pt idx="395">
                <c:v>419</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'2025-Q2'!$BL$4:$BL$422</c15:sqref>
                  </c15:fullRef>
                </c:ext>
              </c:extLst>
              <c:f>'2025-Q2'!$BL$27:$BL$422</c:f>
              <c:numCache>
                <c:formatCode>0.0</c:formatCode>
                <c:ptCount val="396"/>
                <c:pt idx="1">
                  <c:v>0.10887222895835286</c:v>
                </c:pt>
                <c:pt idx="2">
                  <c:v>-3.5754982418806147E-2</c:v>
                </c:pt>
                <c:pt idx="3">
                  <c:v>-1.6925152853429767E-2</c:v>
                </c:pt>
                <c:pt idx="4">
                  <c:v>-2.2947738904403811E-2</c:v>
                </c:pt>
                <c:pt idx="5">
                  <c:v>-5.3660996249020487E-2</c:v>
                </c:pt>
                <c:pt idx="6">
                  <c:v>-1.0249591886103486E-2</c:v>
                </c:pt>
                <c:pt idx="7">
                  <c:v>-9.1750311246953861E-3</c:v>
                </c:pt>
                <c:pt idx="8">
                  <c:v>1.666321940640305E-2</c:v>
                </c:pt>
                <c:pt idx="9">
                  <c:v>-2.4691063340222311E-2</c:v>
                </c:pt>
                <c:pt idx="10">
                  <c:v>-2.862169466584305E-2</c:v>
                </c:pt>
                <c:pt idx="11">
                  <c:v>-7.5019756860705181E-2</c:v>
                </c:pt>
                <c:pt idx="12">
                  <c:v>-0.1284147494298363</c:v>
                </c:pt>
                <c:pt idx="13">
                  <c:v>-0.1539761539590091</c:v>
                </c:pt>
                <c:pt idx="14">
                  <c:v>-0.15168393840313382</c:v>
                </c:pt>
                <c:pt idx="15">
                  <c:v>-0.17897636478364964</c:v>
                </c:pt>
                <c:pt idx="16">
                  <c:v>-0.20252187058303542</c:v>
                </c:pt>
                <c:pt idx="17">
                  <c:v>-0.29744688095959232</c:v>
                </c:pt>
                <c:pt idx="18">
                  <c:v>-0.32983108773743508</c:v>
                </c:pt>
                <c:pt idx="19">
                  <c:v>-0.27271842758147441</c:v>
                </c:pt>
                <c:pt idx="20">
                  <c:v>-0.26060818138271097</c:v>
                </c:pt>
                <c:pt idx="21">
                  <c:v>-0.29157451642296389</c:v>
                </c:pt>
                <c:pt idx="22">
                  <c:v>-0.30374039073839298</c:v>
                </c:pt>
                <c:pt idx="23">
                  <c:v>-0.35305109698131615</c:v>
                </c:pt>
                <c:pt idx="24">
                  <c:v>-0.40704293908869571</c:v>
                </c:pt>
                <c:pt idx="25">
                  <c:v>-0.39315872675464775</c:v>
                </c:pt>
                <c:pt idx="26">
                  <c:v>-0.33694968191681968</c:v>
                </c:pt>
                <c:pt idx="27">
                  <c:v>-0.38670024314414236</c:v>
                </c:pt>
                <c:pt idx="28">
                  <c:v>-0.32605124757515469</c:v>
                </c:pt>
                <c:pt idx="29">
                  <c:v>-0.33919538690548928</c:v>
                </c:pt>
                <c:pt idx="30">
                  <c:v>-0.3367941470215301</c:v>
                </c:pt>
                <c:pt idx="31">
                  <c:v>-0.28518196206966545</c:v>
                </c:pt>
                <c:pt idx="32">
                  <c:v>-0.28131445525626009</c:v>
                </c:pt>
                <c:pt idx="33">
                  <c:v>-0.28805171093130849</c:v>
                </c:pt>
                <c:pt idx="34">
                  <c:v>-0.21239306194633722</c:v>
                </c:pt>
                <c:pt idx="35">
                  <c:v>-0.14958849930717708</c:v>
                </c:pt>
                <c:pt idx="36">
                  <c:v>-6.9420205001239493E-2</c:v>
                </c:pt>
                <c:pt idx="37">
                  <c:v>-3.5880116506036952E-2</c:v>
                </c:pt>
                <c:pt idx="38">
                  <c:v>1.3226415764391746E-2</c:v>
                </c:pt>
                <c:pt idx="39">
                  <c:v>0.10956812921597826</c:v>
                </c:pt>
                <c:pt idx="40">
                  <c:v>0.14451181459330786</c:v>
                </c:pt>
                <c:pt idx="41">
                  <c:v>0.21443656105012604</c:v>
                </c:pt>
                <c:pt idx="42">
                  <c:v>0.28683673262200021</c:v>
                </c:pt>
                <c:pt idx="43">
                  <c:v>0.21678862379651892</c:v>
                </c:pt>
                <c:pt idx="44">
                  <c:v>0.15286279906048394</c:v>
                </c:pt>
                <c:pt idx="45">
                  <c:v>0.17260806361055511</c:v>
                </c:pt>
                <c:pt idx="46">
                  <c:v>0.19263632522390811</c:v>
                </c:pt>
                <c:pt idx="47">
                  <c:v>0.26696451295589591</c:v>
                </c:pt>
                <c:pt idx="48">
                  <c:v>0.30302866665918143</c:v>
                </c:pt>
                <c:pt idx="49">
                  <c:v>0.36975426234441877</c:v>
                </c:pt>
                <c:pt idx="50">
                  <c:v>0.4233282250822471</c:v>
                </c:pt>
                <c:pt idx="51">
                  <c:v>0.49131587400220716</c:v>
                </c:pt>
                <c:pt idx="52">
                  <c:v>0.43299466101950379</c:v>
                </c:pt>
                <c:pt idx="53">
                  <c:v>0.5397714269578614</c:v>
                </c:pt>
                <c:pt idx="54">
                  <c:v>0.50868592422144177</c:v>
                </c:pt>
                <c:pt idx="55">
                  <c:v>0.4402313743980612</c:v>
                </c:pt>
                <c:pt idx="56">
                  <c:v>0.41388223277804831</c:v>
                </c:pt>
                <c:pt idx="57">
                  <c:v>0.44700966732940955</c:v>
                </c:pt>
                <c:pt idx="58">
                  <c:v>0.33588543424541661</c:v>
                </c:pt>
                <c:pt idx="59">
                  <c:v>0.27987800675394248</c:v>
                </c:pt>
                <c:pt idx="60">
                  <c:v>0.20983384534322214</c:v>
                </c:pt>
                <c:pt idx="61">
                  <c:v>0.11591103702659482</c:v>
                </c:pt>
                <c:pt idx="62">
                  <c:v>5.1525937367425542E-2</c:v>
                </c:pt>
                <c:pt idx="63">
                  <c:v>-7.3644109933386007E-2</c:v>
                </c:pt>
                <c:pt idx="64">
                  <c:v>-0.11085855770982107</c:v>
                </c:pt>
                <c:pt idx="65">
                  <c:v>-6.5374792765126255E-2</c:v>
                </c:pt>
                <c:pt idx="66">
                  <c:v>-0.12516484546682066</c:v>
                </c:pt>
                <c:pt idx="67">
                  <c:v>-6.1855511922500155E-2</c:v>
                </c:pt>
                <c:pt idx="68">
                  <c:v>-3.712775421607388E-2</c:v>
                </c:pt>
                <c:pt idx="69">
                  <c:v>-3.1241129376574719E-2</c:v>
                </c:pt>
                <c:pt idx="70">
                  <c:v>-8.5174874125339473E-2</c:v>
                </c:pt>
                <c:pt idx="71">
                  <c:v>-0.13718338262422386</c:v>
                </c:pt>
                <c:pt idx="72">
                  <c:v>-0.11090832959713821</c:v>
                </c:pt>
                <c:pt idx="73">
                  <c:v>-0.15314568752879329</c:v>
                </c:pt>
                <c:pt idx="74">
                  <c:v>-0.13735029373235202</c:v>
                </c:pt>
                <c:pt idx="75">
                  <c:v>-0.18707511551172321</c:v>
                </c:pt>
                <c:pt idx="76">
                  <c:v>-0.19258869285905891</c:v>
                </c:pt>
                <c:pt idx="77">
                  <c:v>-0.29737595573075803</c:v>
                </c:pt>
                <c:pt idx="78">
                  <c:v>-0.30437327749243681</c:v>
                </c:pt>
                <c:pt idx="79">
                  <c:v>-0.26629471899318125</c:v>
                </c:pt>
                <c:pt idx="80">
                  <c:v>-0.31293866570019163</c:v>
                </c:pt>
                <c:pt idx="81">
                  <c:v>-0.31996089939482331</c:v>
                </c:pt>
                <c:pt idx="82">
                  <c:v>-0.25417762520664766</c:v>
                </c:pt>
                <c:pt idx="83">
                  <c:v>-0.21696923252510131</c:v>
                </c:pt>
                <c:pt idx="84">
                  <c:v>-0.24884099811022189</c:v>
                </c:pt>
                <c:pt idx="85">
                  <c:v>-0.15171322289523226</c:v>
                </c:pt>
                <c:pt idx="86">
                  <c:v>-0.16630726815861208</c:v>
                </c:pt>
                <c:pt idx="87">
                  <c:v>-0.13305412727610524</c:v>
                </c:pt>
                <c:pt idx="88">
                  <c:v>-0.12447787449389397</c:v>
                </c:pt>
                <c:pt idx="89">
                  <c:v>-0.14219049495199154</c:v>
                </c:pt>
                <c:pt idx="90">
                  <c:v>-0.10454336572644013</c:v>
                </c:pt>
                <c:pt idx="91">
                  <c:v>-0.13263645920015163</c:v>
                </c:pt>
                <c:pt idx="92">
                  <c:v>-7.5850667229427446E-2</c:v>
                </c:pt>
                <c:pt idx="93">
                  <c:v>-6.7757161239806199E-2</c:v>
                </c:pt>
                <c:pt idx="94">
                  <c:v>-1.7912275207862729E-2</c:v>
                </c:pt>
                <c:pt idx="95">
                  <c:v>4.8537698001336435E-2</c:v>
                </c:pt>
                <c:pt idx="96">
                  <c:v>2.7254401333380179E-2</c:v>
                </c:pt>
                <c:pt idx="97">
                  <c:v>3.1808310138773235E-2</c:v>
                </c:pt>
                <c:pt idx="98">
                  <c:v>8.9195851033198811E-3</c:v>
                </c:pt>
                <c:pt idx="99">
                  <c:v>-1.7856892096441649E-2</c:v>
                </c:pt>
                <c:pt idx="100">
                  <c:v>-4.7396091891501154E-3</c:v>
                </c:pt>
                <c:pt idx="101">
                  <c:v>9.5388555349408002E-2</c:v>
                </c:pt>
                <c:pt idx="102">
                  <c:v>0.12286416912179465</c:v>
                </c:pt>
                <c:pt idx="103">
                  <c:v>0.1402774494447879</c:v>
                </c:pt>
                <c:pt idx="104">
                  <c:v>0.16237721294460047</c:v>
                </c:pt>
                <c:pt idx="105">
                  <c:v>0.1724088574028238</c:v>
                </c:pt>
                <c:pt idx="106">
                  <c:v>0.12616357801037034</c:v>
                </c:pt>
                <c:pt idx="107">
                  <c:v>9.5853414241322307E-2</c:v>
                </c:pt>
                <c:pt idx="108">
                  <c:v>0.14062010315067971</c:v>
                </c:pt>
                <c:pt idx="109">
                  <c:v>9.8605926700512991E-2</c:v>
                </c:pt>
                <c:pt idx="110">
                  <c:v>0.1593675512278353</c:v>
                </c:pt>
                <c:pt idx="111">
                  <c:v>0.16665468063196215</c:v>
                </c:pt>
                <c:pt idx="112">
                  <c:v>0.17128123275247603</c:v>
                </c:pt>
                <c:pt idx="113">
                  <c:v>0.16150394948899488</c:v>
                </c:pt>
                <c:pt idx="114">
                  <c:v>0.12292173350605058</c:v>
                </c:pt>
                <c:pt idx="115">
                  <c:v>0.10921998761804858</c:v>
                </c:pt>
                <c:pt idx="116">
                  <c:v>6.4629225432037141E-2</c:v>
                </c:pt>
                <c:pt idx="117">
                  <c:v>3.9929430025486212E-2</c:v>
                </c:pt>
                <c:pt idx="118">
                  <c:v>6.3521480956729628E-3</c:v>
                </c:pt>
                <c:pt idx="119">
                  <c:v>-8.5550196282470528E-2</c:v>
                </c:pt>
                <c:pt idx="120">
                  <c:v>-8.2946727312482732E-2</c:v>
                </c:pt>
                <c:pt idx="121">
                  <c:v>-9.3263412478634733E-2</c:v>
                </c:pt>
                <c:pt idx="122">
                  <c:v>-2.4883070934490902E-2</c:v>
                </c:pt>
                <c:pt idx="123">
                  <c:v>-8.1370666892963681E-4</c:v>
                </c:pt>
                <c:pt idx="124">
                  <c:v>-1.0696698735678502E-2</c:v>
                </c:pt>
                <c:pt idx="125">
                  <c:v>-1.3750782170927929E-2</c:v>
                </c:pt>
                <c:pt idx="126">
                  <c:v>1.7544346873212317E-2</c:v>
                </c:pt>
                <c:pt idx="127">
                  <c:v>-8.6948822024229509E-3</c:v>
                </c:pt>
                <c:pt idx="128">
                  <c:v>6.281508993814934E-2</c:v>
                </c:pt>
                <c:pt idx="129">
                  <c:v>0.15059950014812343</c:v>
                </c:pt>
                <c:pt idx="130">
                  <c:v>9.9820631409733296E-2</c:v>
                </c:pt>
                <c:pt idx="131">
                  <c:v>0.10847393212806318</c:v>
                </c:pt>
                <c:pt idx="132">
                  <c:v>8.9587444716148018E-2</c:v>
                </c:pt>
                <c:pt idx="133">
                  <c:v>0.1884355434338795</c:v>
                </c:pt>
                <c:pt idx="134">
                  <c:v>0.17178218127310632</c:v>
                </c:pt>
                <c:pt idx="135">
                  <c:v>0.16966730794819418</c:v>
                </c:pt>
                <c:pt idx="136">
                  <c:v>6.5899553815662273E-2</c:v>
                </c:pt>
                <c:pt idx="137">
                  <c:v>8.298985439836383E-2</c:v>
                </c:pt>
                <c:pt idx="138">
                  <c:v>0.13980150042488471</c:v>
                </c:pt>
                <c:pt idx="139">
                  <c:v>0.14651633438106712</c:v>
                </c:pt>
                <c:pt idx="140">
                  <c:v>0.10432195678724984</c:v>
                </c:pt>
                <c:pt idx="141">
                  <c:v>0.12683152098188505</c:v>
                </c:pt>
                <c:pt idx="142">
                  <c:v>0.1836762833700547</c:v>
                </c:pt>
                <c:pt idx="143">
                  <c:v>0.22950031622878458</c:v>
                </c:pt>
                <c:pt idx="144">
                  <c:v>0.23294783099038679</c:v>
                </c:pt>
                <c:pt idx="145">
                  <c:v>0.28488324787157804</c:v>
                </c:pt>
                <c:pt idx="146">
                  <c:v>0.23038388721578179</c:v>
                </c:pt>
                <c:pt idx="147">
                  <c:v>0.2668774246615101</c:v>
                </c:pt>
                <c:pt idx="148">
                  <c:v>0.2302496404617326</c:v>
                </c:pt>
                <c:pt idx="149">
                  <c:v>0.18306229195215096</c:v>
                </c:pt>
                <c:pt idx="150">
                  <c:v>0.16345461317728682</c:v>
                </c:pt>
                <c:pt idx="151">
                  <c:v>0.23979444425834415</c:v>
                </c:pt>
                <c:pt idx="152">
                  <c:v>0.25504038438412868</c:v>
                </c:pt>
                <c:pt idx="153">
                  <c:v>0.16050247182546937</c:v>
                </c:pt>
                <c:pt idx="154">
                  <c:v>0.2794370787374133</c:v>
                </c:pt>
                <c:pt idx="155">
                  <c:v>0.30528783316627328</c:v>
                </c:pt>
                <c:pt idx="156">
                  <c:v>0.35531710255119914</c:v>
                </c:pt>
                <c:pt idx="157">
                  <c:v>0.25573159931247197</c:v>
                </c:pt>
                <c:pt idx="158">
                  <c:v>0.22098297469743111</c:v>
                </c:pt>
                <c:pt idx="159">
                  <c:v>0.23204943954700247</c:v>
                </c:pt>
                <c:pt idx="160">
                  <c:v>0.34473223933901914</c:v>
                </c:pt>
                <c:pt idx="161">
                  <c:v>0.25591435049256445</c:v>
                </c:pt>
                <c:pt idx="162">
                  <c:v>0.17925453407654321</c:v>
                </c:pt>
                <c:pt idx="163">
                  <c:v>0.16236552202741023</c:v>
                </c:pt>
                <c:pt idx="164">
                  <c:v>0.21958440978362098</c:v>
                </c:pt>
                <c:pt idx="165">
                  <c:v>0.24607024558332255</c:v>
                </c:pt>
                <c:pt idx="166">
                  <c:v>0.19855806439155238</c:v>
                </c:pt>
                <c:pt idx="167">
                  <c:v>0.2310684668949618</c:v>
                </c:pt>
                <c:pt idx="168">
                  <c:v>0.21029679709179419</c:v>
                </c:pt>
                <c:pt idx="169">
                  <c:v>0.1475298533639032</c:v>
                </c:pt>
                <c:pt idx="170">
                  <c:v>0.22739106607938753</c:v>
                </c:pt>
                <c:pt idx="171">
                  <c:v>0.17017514854647114</c:v>
                </c:pt>
                <c:pt idx="172">
                  <c:v>0.23440982365494573</c:v>
                </c:pt>
                <c:pt idx="173">
                  <c:v>0.23698731414190438</c:v>
                </c:pt>
                <c:pt idx="174">
                  <c:v>0.22540265011607544</c:v>
                </c:pt>
                <c:pt idx="175">
                  <c:v>0.16256852801158928</c:v>
                </c:pt>
                <c:pt idx="176">
                  <c:v>0.13276832202807262</c:v>
                </c:pt>
                <c:pt idx="177">
                  <c:v>0.11695048760893702</c:v>
                </c:pt>
                <c:pt idx="178">
                  <c:v>0.106830089729282</c:v>
                </c:pt>
                <c:pt idx="179">
                  <c:v>0.10512394717620314</c:v>
                </c:pt>
                <c:pt idx="180">
                  <c:v>7.7773926996819828E-2</c:v>
                </c:pt>
                <c:pt idx="181">
                  <c:v>0.11121531958318773</c:v>
                </c:pt>
                <c:pt idx="182">
                  <c:v>8.1000597546870848E-2</c:v>
                </c:pt>
                <c:pt idx="183">
                  <c:v>0.10729484225934961</c:v>
                </c:pt>
                <c:pt idx="184">
                  <c:v>7.7248319593205036E-2</c:v>
                </c:pt>
                <c:pt idx="185">
                  <c:v>0.13496551647129121</c:v>
                </c:pt>
                <c:pt idx="186">
                  <c:v>0.17745319031926571</c:v>
                </c:pt>
                <c:pt idx="187">
                  <c:v>0.14051314255612479</c:v>
                </c:pt>
                <c:pt idx="188">
                  <c:v>9.8801344692920845E-2</c:v>
                </c:pt>
                <c:pt idx="189">
                  <c:v>4.8511445865833204E-2</c:v>
                </c:pt>
                <c:pt idx="190">
                  <c:v>6.0733001189149788E-2</c:v>
                </c:pt>
                <c:pt idx="191">
                  <c:v>5.5110951844356111E-2</c:v>
                </c:pt>
                <c:pt idx="192">
                  <c:v>3.2002266310584136E-2</c:v>
                </c:pt>
                <c:pt idx="193">
                  <c:v>0.10266309224200071</c:v>
                </c:pt>
                <c:pt idx="194">
                  <c:v>6.1612979487580904E-2</c:v>
                </c:pt>
                <c:pt idx="195">
                  <c:v>7.9088400015301652E-2</c:v>
                </c:pt>
                <c:pt idx="196">
                  <c:v>0.13672332771321805</c:v>
                </c:pt>
                <c:pt idx="197">
                  <c:v>0.15431389139647655</c:v>
                </c:pt>
                <c:pt idx="198">
                  <c:v>0.16687685128837942</c:v>
                </c:pt>
                <c:pt idx="199">
                  <c:v>0.17037933195309968</c:v>
                </c:pt>
                <c:pt idx="200">
                  <c:v>0.12535657393197325</c:v>
                </c:pt>
                <c:pt idx="201">
                  <c:v>0.15336335499909864</c:v>
                </c:pt>
                <c:pt idx="202">
                  <c:v>9.4881637571665817E-2</c:v>
                </c:pt>
                <c:pt idx="203">
                  <c:v>1.3720439446964008E-2</c:v>
                </c:pt>
                <c:pt idx="204">
                  <c:v>3.836030887882444E-2</c:v>
                </c:pt>
                <c:pt idx="205">
                  <c:v>2.4247467387266609E-2</c:v>
                </c:pt>
                <c:pt idx="206">
                  <c:v>6.5163795874397579E-2</c:v>
                </c:pt>
                <c:pt idx="207">
                  <c:v>3.9294895089144785E-2</c:v>
                </c:pt>
                <c:pt idx="208">
                  <c:v>2.4225767721296591E-2</c:v>
                </c:pt>
                <c:pt idx="209">
                  <c:v>5.7543030624605862E-2</c:v>
                </c:pt>
                <c:pt idx="210">
                  <c:v>6.6673141452674903E-2</c:v>
                </c:pt>
                <c:pt idx="211">
                  <c:v>0.13035269367804689</c:v>
                </c:pt>
                <c:pt idx="212">
                  <c:v>0.14212022299725413</c:v>
                </c:pt>
                <c:pt idx="213">
                  <c:v>0.22247148959034072</c:v>
                </c:pt>
                <c:pt idx="214">
                  <c:v>0.21703800094806297</c:v>
                </c:pt>
                <c:pt idx="215">
                  <c:v>0.12717035661924447</c:v>
                </c:pt>
                <c:pt idx="216">
                  <c:v>0.18411415115731031</c:v>
                </c:pt>
                <c:pt idx="217">
                  <c:v>0.13017201260650793</c:v>
                </c:pt>
                <c:pt idx="218">
                  <c:v>0.24222950480294217</c:v>
                </c:pt>
                <c:pt idx="219">
                  <c:v>0.26751860662811522</c:v>
                </c:pt>
                <c:pt idx="220">
                  <c:v>0.22047957670664572</c:v>
                </c:pt>
                <c:pt idx="221">
                  <c:v>0.16742051208523948</c:v>
                </c:pt>
                <c:pt idx="222">
                  <c:v>0.16320293398887364</c:v>
                </c:pt>
                <c:pt idx="223">
                  <c:v>0.14356455833531429</c:v>
                </c:pt>
                <c:pt idx="224">
                  <c:v>0.15001943323715927</c:v>
                </c:pt>
                <c:pt idx="225">
                  <c:v>0.11441331040245856</c:v>
                </c:pt>
                <c:pt idx="226">
                  <c:v>0.11469966256462825</c:v>
                </c:pt>
                <c:pt idx="227">
                  <c:v>0.20370442655253426</c:v>
                </c:pt>
                <c:pt idx="228">
                  <c:v>0.15012032063620728</c:v>
                </c:pt>
                <c:pt idx="229">
                  <c:v>0.13002177345268925</c:v>
                </c:pt>
                <c:pt idx="230">
                  <c:v>0.15973418272031992</c:v>
                </c:pt>
                <c:pt idx="231">
                  <c:v>0.13320334866631889</c:v>
                </c:pt>
                <c:pt idx="232">
                  <c:v>0.17694647434879365</c:v>
                </c:pt>
                <c:pt idx="233">
                  <c:v>0.14491095600969572</c:v>
                </c:pt>
                <c:pt idx="234">
                  <c:v>6.7201977534025376E-2</c:v>
                </c:pt>
                <c:pt idx="235">
                  <c:v>3.3415547930007679E-2</c:v>
                </c:pt>
                <c:pt idx="236">
                  <c:v>2.5092222527315754E-3</c:v>
                </c:pt>
                <c:pt idx="237">
                  <c:v>-5.6252176465420758E-2</c:v>
                </c:pt>
                <c:pt idx="238">
                  <c:v>-6.5976792427317438E-2</c:v>
                </c:pt>
                <c:pt idx="239">
                  <c:v>1.2971335082744133E-2</c:v>
                </c:pt>
                <c:pt idx="240">
                  <c:v>6.9054627889066468E-4</c:v>
                </c:pt>
                <c:pt idx="241">
                  <c:v>-2.1744651579558009E-2</c:v>
                </c:pt>
                <c:pt idx="242">
                  <c:v>-0.1623823458642415</c:v>
                </c:pt>
                <c:pt idx="243">
                  <c:v>-0.14279664314157942</c:v>
                </c:pt>
                <c:pt idx="244">
                  <c:v>-0.15154254072403936</c:v>
                </c:pt>
                <c:pt idx="245">
                  <c:v>-0.12489914536707325</c:v>
                </c:pt>
                <c:pt idx="246">
                  <c:v>-9.6643762109864251E-2</c:v>
                </c:pt>
                <c:pt idx="247">
                  <c:v>-7.2131692771562964E-2</c:v>
                </c:pt>
                <c:pt idx="248">
                  <c:v>-7.106298031530478E-2</c:v>
                </c:pt>
                <c:pt idx="249">
                  <c:v>-4.342119915424078E-2</c:v>
                </c:pt>
                <c:pt idx="250">
                  <c:v>-6.5225059839259955E-2</c:v>
                </c:pt>
                <c:pt idx="251">
                  <c:v>-0.10756253742765942</c:v>
                </c:pt>
                <c:pt idx="252">
                  <c:v>-5.9026524781595882E-2</c:v>
                </c:pt>
                <c:pt idx="253">
                  <c:v>-5.3148421801220348E-2</c:v>
                </c:pt>
                <c:pt idx="254">
                  <c:v>-6.6181428750742552E-2</c:v>
                </c:pt>
                <c:pt idx="255">
                  <c:v>-5.5123958514376736E-2</c:v>
                </c:pt>
                <c:pt idx="256">
                  <c:v>-7.3410691670172737E-2</c:v>
                </c:pt>
                <c:pt idx="257">
                  <c:v>-5.0507358017726815E-2</c:v>
                </c:pt>
                <c:pt idx="258">
                  <c:v>-2.6849444246100092E-2</c:v>
                </c:pt>
                <c:pt idx="259">
                  <c:v>3.6435650801866616E-3</c:v>
                </c:pt>
                <c:pt idx="260">
                  <c:v>-6.9453426893885247E-3</c:v>
                </c:pt>
                <c:pt idx="261">
                  <c:v>-2.3420410273043899E-2</c:v>
                </c:pt>
                <c:pt idx="262">
                  <c:v>-4.4689898145134709E-2</c:v>
                </c:pt>
                <c:pt idx="263">
                  <c:v>-3.4109810279969753E-2</c:v>
                </c:pt>
                <c:pt idx="264">
                  <c:v>-2.1643437256165184E-2</c:v>
                </c:pt>
                <c:pt idx="265">
                  <c:v>6.7871970748181104E-2</c:v>
                </c:pt>
                <c:pt idx="266">
                  <c:v>4.0461299082023387E-2</c:v>
                </c:pt>
                <c:pt idx="267">
                  <c:v>1.421975436268056E-2</c:v>
                </c:pt>
                <c:pt idx="268">
                  <c:v>4.7420280070824321E-2</c:v>
                </c:pt>
                <c:pt idx="269">
                  <c:v>2.2172777775063324E-2</c:v>
                </c:pt>
                <c:pt idx="270">
                  <c:v>-5.5320505684195991E-2</c:v>
                </c:pt>
                <c:pt idx="271">
                  <c:v>-0.14174430863756385</c:v>
                </c:pt>
                <c:pt idx="272">
                  <c:v>-0.15588314857300445</c:v>
                </c:pt>
                <c:pt idx="273">
                  <c:v>-0.21017169746408193</c:v>
                </c:pt>
                <c:pt idx="274">
                  <c:v>-0.16147017311705575</c:v>
                </c:pt>
                <c:pt idx="275">
                  <c:v>-0.16028881213727914</c:v>
                </c:pt>
                <c:pt idx="276">
                  <c:v>-0.17384100068946759</c:v>
                </c:pt>
                <c:pt idx="277">
                  <c:v>-0.15807358939870447</c:v>
                </c:pt>
                <c:pt idx="278">
                  <c:v>-0.12365979419714236</c:v>
                </c:pt>
                <c:pt idx="279">
                  <c:v>-0.13741428481056814</c:v>
                </c:pt>
                <c:pt idx="280">
                  <c:v>-0.11733484079048466</c:v>
                </c:pt>
                <c:pt idx="281">
                  <c:v>-0.19196550645047658</c:v>
                </c:pt>
                <c:pt idx="282">
                  <c:v>-0.11427273992726733</c:v>
                </c:pt>
                <c:pt idx="283">
                  <c:v>-4.4845914555389971E-2</c:v>
                </c:pt>
                <c:pt idx="284">
                  <c:v>3.7190168740946987E-2</c:v>
                </c:pt>
                <c:pt idx="285">
                  <c:v>5.5797973982868856E-2</c:v>
                </c:pt>
                <c:pt idx="286">
                  <c:v>0.12881466630051755</c:v>
                </c:pt>
                <c:pt idx="287">
                  <c:v>0.10391150271151262</c:v>
                </c:pt>
                <c:pt idx="288">
                  <c:v>0.15466256205884599</c:v>
                </c:pt>
                <c:pt idx="289">
                  <c:v>7.1120771635976604E-2</c:v>
                </c:pt>
                <c:pt idx="290">
                  <c:v>0.1288019995205778</c:v>
                </c:pt>
                <c:pt idx="291">
                  <c:v>0.10012131285302076</c:v>
                </c:pt>
                <c:pt idx="292">
                  <c:v>9.1175433016905463E-2</c:v>
                </c:pt>
                <c:pt idx="293">
                  <c:v>0.14437800032900283</c:v>
                </c:pt>
                <c:pt idx="294">
                  <c:v>0.19083778218759648</c:v>
                </c:pt>
                <c:pt idx="295">
                  <c:v>0.20027804132757737</c:v>
                </c:pt>
                <c:pt idx="296">
                  <c:v>0.31471276456793423</c:v>
                </c:pt>
                <c:pt idx="297">
                  <c:v>0.38154364169819238</c:v>
                </c:pt>
                <c:pt idx="298">
                  <c:v>0.38367798061375119</c:v>
                </c:pt>
                <c:pt idx="299">
                  <c:v>0.41997380538634166</c:v>
                </c:pt>
                <c:pt idx="300">
                  <c:v>0.35330713871967495</c:v>
                </c:pt>
                <c:pt idx="301">
                  <c:v>0.26226267317531465</c:v>
                </c:pt>
                <c:pt idx="302">
                  <c:v>0.24443667971620456</c:v>
                </c:pt>
                <c:pt idx="303">
                  <c:v>0.18105390710428587</c:v>
                </c:pt>
                <c:pt idx="304">
                  <c:v>0.14948160036115227</c:v>
                </c:pt>
                <c:pt idx="305">
                  <c:v>0.17540255004831173</c:v>
                </c:pt>
                <c:pt idx="306">
                  <c:v>0.15636709727623077</c:v>
                </c:pt>
                <c:pt idx="307">
                  <c:v>0.10089317304125395</c:v>
                </c:pt>
                <c:pt idx="308">
                  <c:v>8.53972743169399E-2</c:v>
                </c:pt>
                <c:pt idx="309">
                  <c:v>0.10605013178395672</c:v>
                </c:pt>
                <c:pt idx="310">
                  <c:v>8.5313555556848469E-2</c:v>
                </c:pt>
                <c:pt idx="311">
                  <c:v>9.7376157679214398E-2</c:v>
                </c:pt>
                <c:pt idx="312">
                  <c:v>7.1313378382779291E-2</c:v>
                </c:pt>
                <c:pt idx="313">
                  <c:v>6.643586374152427E-2</c:v>
                </c:pt>
                <c:pt idx="314">
                  <c:v>0.10852687937769048</c:v>
                </c:pt>
                <c:pt idx="315">
                  <c:v>0.15170070976392622</c:v>
                </c:pt>
                <c:pt idx="316">
                  <c:v>9.6437427549458762E-2</c:v>
                </c:pt>
                <c:pt idx="317">
                  <c:v>-3.8881854722134082E-2</c:v>
                </c:pt>
                <c:pt idx="318">
                  <c:v>-5.7680818385421023E-2</c:v>
                </c:pt>
                <c:pt idx="319">
                  <c:v>2.4201433705840002E-2</c:v>
                </c:pt>
                <c:pt idx="320">
                  <c:v>-5.6978402410141057E-2</c:v>
                </c:pt>
                <c:pt idx="321">
                  <c:v>-0.11252602460898885</c:v>
                </c:pt>
                <c:pt idx="322">
                  <c:v>-0.15886911085459715</c:v>
                </c:pt>
                <c:pt idx="323">
                  <c:v>-0.18732649526455389</c:v>
                </c:pt>
                <c:pt idx="324">
                  <c:v>-0.11896170810851978</c:v>
                </c:pt>
                <c:pt idx="325">
                  <c:v>-3.3466131946276928E-2</c:v>
                </c:pt>
                <c:pt idx="326">
                  <c:v>-8.3677870774493998E-2</c:v>
                </c:pt>
                <c:pt idx="327">
                  <c:v>2.5032722765611554E-2</c:v>
                </c:pt>
                <c:pt idx="328">
                  <c:v>2.0496331173558032E-2</c:v>
                </c:pt>
                <c:pt idx="329">
                  <c:v>4.926687292904923E-2</c:v>
                </c:pt>
                <c:pt idx="330">
                  <c:v>1.9151911017600298E-3</c:v>
                </c:pt>
                <c:pt idx="331">
                  <c:v>-1.703429728544158E-2</c:v>
                </c:pt>
                <c:pt idx="332">
                  <c:v>-7.5959945701006643E-2</c:v>
                </c:pt>
                <c:pt idx="333">
                  <c:v>-0.14775858557086338</c:v>
                </c:pt>
                <c:pt idx="334">
                  <c:v>-1.8258166959771813E-2</c:v>
                </c:pt>
                <c:pt idx="335">
                  <c:v>2.7168623357934081E-2</c:v>
                </c:pt>
                <c:pt idx="336">
                  <c:v>-7.6716208574030276E-2</c:v>
                </c:pt>
                <c:pt idx="337">
                  <c:v>-0.13397177432385568</c:v>
                </c:pt>
                <c:pt idx="338">
                  <c:v>-0.21566145216737972</c:v>
                </c:pt>
                <c:pt idx="339">
                  <c:v>-0.15554348186099395</c:v>
                </c:pt>
                <c:pt idx="340">
                  <c:v>-0.21828543726303862</c:v>
                </c:pt>
                <c:pt idx="341">
                  <c:v>-0.11580200804102887</c:v>
                </c:pt>
                <c:pt idx="342">
                  <c:v>-0.13724292852460301</c:v>
                </c:pt>
                <c:pt idx="343">
                  <c:v>-0.38540568533791264</c:v>
                </c:pt>
                <c:pt idx="344">
                  <c:v>-0.43721744965676196</c:v>
                </c:pt>
                <c:pt idx="345">
                  <c:v>-0.26538624547130896</c:v>
                </c:pt>
                <c:pt idx="346">
                  <c:v>-0.21682828153664566</c:v>
                </c:pt>
                <c:pt idx="347">
                  <c:v>-0.19052061503639281</c:v>
                </c:pt>
                <c:pt idx="348">
                  <c:v>-0.15542621271587961</c:v>
                </c:pt>
                <c:pt idx="349">
                  <c:v>-0.1812910759488551</c:v>
                </c:pt>
                <c:pt idx="350">
                  <c:v>-0.1261188137525803</c:v>
                </c:pt>
                <c:pt idx="351">
                  <c:v>-6.7709393158590245E-2</c:v>
                </c:pt>
                <c:pt idx="352">
                  <c:v>-0.13750705544703792</c:v>
                </c:pt>
                <c:pt idx="353">
                  <c:v>-0.17826898646134268</c:v>
                </c:pt>
                <c:pt idx="354">
                  <c:v>-5.6711682101652061E-2</c:v>
                </c:pt>
                <c:pt idx="355">
                  <c:v>-0.16353774475962196</c:v>
                </c:pt>
                <c:pt idx="356">
                  <c:v>-0.13439931581188688</c:v>
                </c:pt>
                <c:pt idx="357">
                  <c:v>-0.12947224955857023</c:v>
                </c:pt>
                <c:pt idx="358">
                  <c:v>-0.23080493932986798</c:v>
                </c:pt>
                <c:pt idx="359">
                  <c:v>-0.2227677460418753</c:v>
                </c:pt>
                <c:pt idx="360">
                  <c:v>-4.6564495639402993E-2</c:v>
                </c:pt>
                <c:pt idx="361">
                  <c:v>2.136286963143327E-2</c:v>
                </c:pt>
                <c:pt idx="362">
                  <c:v>5.3012904910134967E-2</c:v>
                </c:pt>
                <c:pt idx="363">
                  <c:v>-0.12213615163181771</c:v>
                </c:pt>
                <c:pt idx="364">
                  <c:v>-4.1683800647999191E-3</c:v>
                </c:pt>
                <c:pt idx="365">
                  <c:v>-0.11399107912433884</c:v>
                </c:pt>
                <c:pt idx="366">
                  <c:v>-9.2776560462624863E-2</c:v>
                </c:pt>
                <c:pt idx="367">
                  <c:v>0.21149286875368326</c:v>
                </c:pt>
                <c:pt idx="368">
                  <c:v>0.2351577443923252</c:v>
                </c:pt>
                <c:pt idx="369">
                  <c:v>0.16700296790085772</c:v>
                </c:pt>
                <c:pt idx="370">
                  <c:v>0.12114751806340224</c:v>
                </c:pt>
                <c:pt idx="371">
                  <c:v>0.16344661188467619</c:v>
                </c:pt>
                <c:pt idx="372">
                  <c:v>4.5952334688830664E-2</c:v>
                </c:pt>
                <c:pt idx="373">
                  <c:v>2.9621515374539911E-2</c:v>
                </c:pt>
                <c:pt idx="374">
                  <c:v>4.8900994871656424E-2</c:v>
                </c:pt>
                <c:pt idx="375">
                  <c:v>3.4711992107431512E-2</c:v>
                </c:pt>
                <c:pt idx="376">
                  <c:v>7.7734198922332853E-2</c:v>
                </c:pt>
                <c:pt idx="377">
                  <c:v>0.11263415631934399</c:v>
                </c:pt>
                <c:pt idx="378">
                  <c:v>-4.0180639802009283E-2</c:v>
                </c:pt>
                <c:pt idx="379">
                  <c:v>-6.3672817606978918E-2</c:v>
                </c:pt>
                <c:pt idx="380">
                  <c:v>-7.0016727433225581E-2</c:v>
                </c:pt>
                <c:pt idx="381">
                  <c:v>4.5439157680963189E-2</c:v>
                </c:pt>
                <c:pt idx="382">
                  <c:v>-2.4787980946912994E-2</c:v>
                </c:pt>
                <c:pt idx="383">
                  <c:v>-0.17654443170668599</c:v>
                </c:pt>
                <c:pt idx="384">
                  <c:v>-0.33573768441974705</c:v>
                </c:pt>
                <c:pt idx="385">
                  <c:v>-0.27766206902997664</c:v>
                </c:pt>
                <c:pt idx="386">
                  <c:v>-0.27517944138081141</c:v>
                </c:pt>
                <c:pt idx="387">
                  <c:v>-0.14064133428577036</c:v>
                </c:pt>
                <c:pt idx="388">
                  <c:v>-0.155644729167148</c:v>
                </c:pt>
                <c:pt idx="389">
                  <c:v>-3.2021804097194462E-2</c:v>
                </c:pt>
                <c:pt idx="390">
                  <c:v>-2.5623558618477774E-2</c:v>
                </c:pt>
                <c:pt idx="391">
                  <c:v>-7.0350869474409453E-2</c:v>
                </c:pt>
                <c:pt idx="392">
                  <c:v>-3.7511582119195239E-2</c:v>
                </c:pt>
                <c:pt idx="393">
                  <c:v>-9.2734099060486977E-2</c:v>
                </c:pt>
                <c:pt idx="394">
                  <c:v>-9.2535242553349453E-2</c:v>
                </c:pt>
                <c:pt idx="395">
                  <c:v>-6.8708065834909599E-2</c:v>
                </c:pt>
              </c:numCache>
            </c:numRef>
          </c:val>
          <c:smooth val="0"/>
          <c:extLst xmlns:c15="http://schemas.microsoft.com/office/drawing/2012/chart">
            <c:ext xmlns:c16="http://schemas.microsoft.com/office/drawing/2014/chart" uri="{C3380CC4-5D6E-409C-BE32-E72D297353CC}">
              <c16:uniqueId val="{00000000-803E-4CB0-B231-E3453DAE9A00}"/>
            </c:ext>
          </c:extLst>
        </c:ser>
        <c:dLbls>
          <c:showLegendKey val="0"/>
          <c:showVal val="0"/>
          <c:showCatName val="0"/>
          <c:showSerName val="0"/>
          <c:showPercent val="0"/>
          <c:showBubbleSize val="0"/>
        </c:dLbls>
        <c:smooth val="0"/>
        <c:axId val="1218075600"/>
        <c:axId val="1218077040"/>
        <c:extLst>
          <c:ext xmlns:c15="http://schemas.microsoft.com/office/drawing/2012/chart" uri="{02D57815-91ED-43cb-92C2-25804820EDAC}">
            <c15:filteredLineSeries>
              <c15:ser>
                <c:idx val="2"/>
                <c:order val="1"/>
                <c:tx>
                  <c:v>Expectancy 50-ma</c:v>
                </c:tx>
                <c:spPr>
                  <a:ln w="28575" cap="rnd">
                    <a:solidFill>
                      <a:schemeClr val="accent3"/>
                    </a:solidFill>
                    <a:prstDash val="solid"/>
                    <a:round/>
                  </a:ln>
                  <a:effectLst/>
                </c:spPr>
                <c:marker>
                  <c:symbol val="none"/>
                </c:marker>
                <c:val>
                  <c:numRef>
                    <c:extLst>
                      <c:ext uri="{02D57815-91ED-43cb-92C2-25804820EDAC}">
                        <c15:fullRef>
                          <c15:sqref>'2025-Q2'!$BK$4:$BK$422</c15:sqref>
                        </c15:fullRef>
                        <c15:formulaRef>
                          <c15:sqref>'2025-Q2'!$BK$27:$BK$422</c15:sqref>
                        </c15:formulaRef>
                      </c:ext>
                    </c:extLst>
                    <c:numCache>
                      <c:formatCode>0.0</c:formatCode>
                      <c:ptCount val="396"/>
                      <c:pt idx="26">
                        <c:v>-0.17277545103367981</c:v>
                      </c:pt>
                      <c:pt idx="27">
                        <c:v>-0.20298687204073348</c:v>
                      </c:pt>
                      <c:pt idx="28">
                        <c:v>-0.18279189275385516</c:v>
                      </c:pt>
                      <c:pt idx="29">
                        <c:v>-0.20054643683991433</c:v>
                      </c:pt>
                      <c:pt idx="30">
                        <c:v>-0.18657499567754737</c:v>
                      </c:pt>
                      <c:pt idx="31">
                        <c:v>-0.15871912335642224</c:v>
                      </c:pt>
                      <c:pt idx="32">
                        <c:v>-0.13487652613621415</c:v>
                      </c:pt>
                      <c:pt idx="33">
                        <c:v>-0.14588140520334353</c:v>
                      </c:pt>
                      <c:pt idx="34">
                        <c:v>-0.11850252444938444</c:v>
                      </c:pt>
                      <c:pt idx="35">
                        <c:v>-0.1071897128145116</c:v>
                      </c:pt>
                      <c:pt idx="36">
                        <c:v>-8.8645683742217332E-2</c:v>
                      </c:pt>
                      <c:pt idx="37">
                        <c:v>-8.8897574669384541E-2</c:v>
                      </c:pt>
                      <c:pt idx="38">
                        <c:v>-6.6335092838762974E-2</c:v>
                      </c:pt>
                      <c:pt idx="39">
                        <c:v>-1.7162855108978123E-2</c:v>
                      </c:pt>
                      <c:pt idx="40">
                        <c:v>-1.589557525854535E-2</c:v>
                      </c:pt>
                      <c:pt idx="41">
                        <c:v>-3.4259726313360363E-2</c:v>
                      </c:pt>
                      <c:pt idx="42">
                        <c:v>-1.7959339953092325E-2</c:v>
                      </c:pt>
                      <c:pt idx="43">
                        <c:v>-2.9072935133475034E-2</c:v>
                      </c:pt>
                      <c:pt idx="44">
                        <c:v>-4.4695592972765132E-2</c:v>
                      </c:pt>
                      <c:pt idx="45">
                        <c:v>-5.1298762201552724E-2</c:v>
                      </c:pt>
                      <c:pt idx="46">
                        <c:v>-4.9672733444166735E-2</c:v>
                      </c:pt>
                      <c:pt idx="47">
                        <c:v>-4.2312030586750253E-2</c:v>
                      </c:pt>
                      <c:pt idx="48">
                        <c:v>-5.4233481298245137E-2</c:v>
                      </c:pt>
                      <c:pt idx="49">
                        <c:v>-2.8990523887478758E-2</c:v>
                      </c:pt>
                      <c:pt idx="50">
                        <c:v>-1.5547452971732696E-2</c:v>
                      </c:pt>
                      <c:pt idx="51">
                        <c:v>6.0548556169773171E-2</c:v>
                      </c:pt>
                      <c:pt idx="52">
                        <c:v>4.2168014182611645E-2</c:v>
                      </c:pt>
                      <c:pt idx="53">
                        <c:v>8.0813146091218271E-2</c:v>
                      </c:pt>
                      <c:pt idx="54">
                        <c:v>9.4598464557683754E-2</c:v>
                      </c:pt>
                      <c:pt idx="55">
                        <c:v>6.6521359785660067E-2</c:v>
                      </c:pt>
                      <c:pt idx="56">
                        <c:v>7.6652105815157731E-2</c:v>
                      </c:pt>
                      <c:pt idx="57">
                        <c:v>6.9291818758159721E-2</c:v>
                      </c:pt>
                      <c:pt idx="58">
                        <c:v>6.178572434343501E-2</c:v>
                      </c:pt>
                      <c:pt idx="59">
                        <c:v>4.7060137895381146E-2</c:v>
                      </c:pt>
                      <c:pt idx="60">
                        <c:v>5.3781117359746326E-2</c:v>
                      </c:pt>
                      <c:pt idx="61">
                        <c:v>3.3265318558831025E-2</c:v>
                      </c:pt>
                      <c:pt idx="62">
                        <c:v>3.6415952824454353E-2</c:v>
                      </c:pt>
                      <c:pt idx="63">
                        <c:v>2.1857059125895785E-2</c:v>
                      </c:pt>
                      <c:pt idx="64">
                        <c:v>1.8163328278368952E-2</c:v>
                      </c:pt>
                      <c:pt idx="65">
                        <c:v>3.4313812595594219E-2</c:v>
                      </c:pt>
                      <c:pt idx="66">
                        <c:v>6.8181677793293496E-2</c:v>
                      </c:pt>
                      <c:pt idx="67">
                        <c:v>0.10491485277399246</c:v>
                      </c:pt>
                      <c:pt idx="68">
                        <c:v>7.3099743709935161E-2</c:v>
                      </c:pt>
                      <c:pt idx="69">
                        <c:v>6.3384763801515392E-2</c:v>
                      </c:pt>
                      <c:pt idx="70">
                        <c:v>5.3527087704645468E-2</c:v>
                      </c:pt>
                      <c:pt idx="71">
                        <c:v>4.0966473470334303E-2</c:v>
                      </c:pt>
                      <c:pt idx="72">
                        <c:v>6.6837902393843823E-2</c:v>
                      </c:pt>
                      <c:pt idx="73">
                        <c:v>9.7958101892472491E-2</c:v>
                      </c:pt>
                      <c:pt idx="74">
                        <c:v>0.11235676353941518</c:v>
                      </c:pt>
                      <c:pt idx="75">
                        <c:v>0.13548583937232139</c:v>
                      </c:pt>
                      <c:pt idx="76">
                        <c:v>0.13922378932515336</c:v>
                      </c:pt>
                      <c:pt idx="77">
                        <c:v>9.5150792013416599E-2</c:v>
                      </c:pt>
                      <c:pt idx="78">
                        <c:v>0.11200951926421</c:v>
                      </c:pt>
                      <c:pt idx="79">
                        <c:v>0.10177107379983451</c:v>
                      </c:pt>
                      <c:pt idx="80">
                        <c:v>6.2773753999894655E-2</c:v>
                      </c:pt>
                      <c:pt idx="81">
                        <c:v>4.9968596688878077E-2</c:v>
                      </c:pt>
                      <c:pt idx="82">
                        <c:v>7.8722767205765432E-2</c:v>
                      </c:pt>
                      <c:pt idx="83">
                        <c:v>4.4772052605999112E-2</c:v>
                      </c:pt>
                      <c:pt idx="84">
                        <c:v>4.1548679582239069E-3</c:v>
                      </c:pt>
                      <c:pt idx="85">
                        <c:v>-7.8811903881653572E-3</c:v>
                      </c:pt>
                      <c:pt idx="86">
                        <c:v>-2.8797623001833212E-2</c:v>
                      </c:pt>
                      <c:pt idx="87">
                        <c:v>-5.1283212394352705E-2</c:v>
                      </c:pt>
                      <c:pt idx="88">
                        <c:v>-9.8859673576567178E-2</c:v>
                      </c:pt>
                      <c:pt idx="89">
                        <c:v>-0.10903734217705548</c:v>
                      </c:pt>
                      <c:pt idx="90">
                        <c:v>-9.1308285594989588E-2</c:v>
                      </c:pt>
                      <c:pt idx="91">
                        <c:v>-0.10482174313708346</c:v>
                      </c:pt>
                      <c:pt idx="92">
                        <c:v>-7.3219901803038029E-2</c:v>
                      </c:pt>
                      <c:pt idx="93">
                        <c:v>-4.69252163486297E-2</c:v>
                      </c:pt>
                      <c:pt idx="94">
                        <c:v>-4.1733081704563454E-2</c:v>
                      </c:pt>
                      <c:pt idx="95">
                        <c:v>-3.1082840140951539E-2</c:v>
                      </c:pt>
                      <c:pt idx="96">
                        <c:v>-5.3017153417414045E-2</c:v>
                      </c:pt>
                      <c:pt idx="97">
                        <c:v>-3.7652076367731623E-2</c:v>
                      </c:pt>
                      <c:pt idx="98">
                        <c:v>-6.8060575081134264E-2</c:v>
                      </c:pt>
                      <c:pt idx="99">
                        <c:v>-8.5106719217022966E-2</c:v>
                      </c:pt>
                      <c:pt idx="100">
                        <c:v>-0.10880395227052528</c:v>
                      </c:pt>
                      <c:pt idx="101">
                        <c:v>-7.3652260821631316E-2</c:v>
                      </c:pt>
                      <c:pt idx="102">
                        <c:v>-9.6444109653823343E-2</c:v>
                      </c:pt>
                      <c:pt idx="103">
                        <c:v>-8.2433163588492439E-2</c:v>
                      </c:pt>
                      <c:pt idx="104">
                        <c:v>-7.615332672683571E-2</c:v>
                      </c:pt>
                      <c:pt idx="105">
                        <c:v>-7.0768090998734198E-2</c:v>
                      </c:pt>
                      <c:pt idx="106">
                        <c:v>-8.1700277453754175E-2</c:v>
                      </c:pt>
                      <c:pt idx="107">
                        <c:v>-7.5243957396048028E-2</c:v>
                      </c:pt>
                      <c:pt idx="108">
                        <c:v>-6.5474083843407457E-2</c:v>
                      </c:pt>
                      <c:pt idx="109">
                        <c:v>-6.349514970951993E-2</c:v>
                      </c:pt>
                      <c:pt idx="110">
                        <c:v>-7.0693659012129647E-3</c:v>
                      </c:pt>
                      <c:pt idx="111">
                        <c:v>6.2811592379156079E-3</c:v>
                      </c:pt>
                      <c:pt idx="112">
                        <c:v>2.3602997766363858E-2</c:v>
                      </c:pt>
                      <c:pt idx="113">
                        <c:v>2.7143911422352493E-2</c:v>
                      </c:pt>
                      <c:pt idx="114">
                        <c:v>2.839977540598837E-3</c:v>
                      </c:pt>
                      <c:pt idx="115">
                        <c:v>1.2370673405351145E-2</c:v>
                      </c:pt>
                      <c:pt idx="116">
                        <c:v>-9.9775331257693847E-3</c:v>
                      </c:pt>
                      <c:pt idx="117">
                        <c:v>-8.3966242278496542E-3</c:v>
                      </c:pt>
                      <c:pt idx="118">
                        <c:v>-2.2936442968439611E-2</c:v>
                      </c:pt>
                      <c:pt idx="119">
                        <c:v>-3.1270501219517063E-2</c:v>
                      </c:pt>
                      <c:pt idx="120">
                        <c:v>-2.5898825761543474E-2</c:v>
                      </c:pt>
                      <c:pt idx="121">
                        <c:v>-2.8829617808479879E-2</c:v>
                      </c:pt>
                      <c:pt idx="122">
                        <c:v>-3.9292667839830649E-3</c:v>
                      </c:pt>
                      <c:pt idx="123">
                        <c:v>-1.683842568531177E-2</c:v>
                      </c:pt>
                      <c:pt idx="124">
                        <c:v>-2.061474388250293E-2</c:v>
                      </c:pt>
                      <c:pt idx="125">
                        <c:v>1.5766694522434177E-2</c:v>
                      </c:pt>
                      <c:pt idx="126">
                        <c:v>6.1016041648161823E-2</c:v>
                      </c:pt>
                      <c:pt idx="127">
                        <c:v>6.5406034056514475E-2</c:v>
                      </c:pt>
                      <c:pt idx="128">
                        <c:v>8.8401577738829576E-2</c:v>
                      </c:pt>
                      <c:pt idx="129">
                        <c:v>0.1610009919254233</c:v>
                      </c:pt>
                      <c:pt idx="130">
                        <c:v>0.12819048794852414</c:v>
                      </c:pt>
                      <c:pt idx="131">
                        <c:v>0.10608182127130737</c:v>
                      </c:pt>
                      <c:pt idx="132">
                        <c:v>8.7804254777217192E-2</c:v>
                      </c:pt>
                      <c:pt idx="133">
                        <c:v>0.15514312106253078</c:v>
                      </c:pt>
                      <c:pt idx="134">
                        <c:v>0.15467833618295632</c:v>
                      </c:pt>
                      <c:pt idx="135">
                        <c:v>0.17426844729131871</c:v>
                      </c:pt>
                      <c:pt idx="136">
                        <c:v>0.1230798383122476</c:v>
                      </c:pt>
                      <c:pt idx="137">
                        <c:v>0.1308777758684814</c:v>
                      </c:pt>
                      <c:pt idx="138">
                        <c:v>0.14383597522903696</c:v>
                      </c:pt>
                      <c:pt idx="139">
                        <c:v>0.13790052345910478</c:v>
                      </c:pt>
                      <c:pt idx="140">
                        <c:v>0.10850167486793136</c:v>
                      </c:pt>
                      <c:pt idx="141">
                        <c:v>9.2944469877806593E-2</c:v>
                      </c:pt>
                      <c:pt idx="142">
                        <c:v>0.10278027933649084</c:v>
                      </c:pt>
                      <c:pt idx="143">
                        <c:v>9.2435794498806595E-2</c:v>
                      </c:pt>
                      <c:pt idx="144">
                        <c:v>6.6306240732981706E-2</c:v>
                      </c:pt>
                      <c:pt idx="145">
                        <c:v>9.9984805460619053E-2</c:v>
                      </c:pt>
                      <c:pt idx="146">
                        <c:v>9.5358521754521211E-2</c:v>
                      </c:pt>
                      <c:pt idx="147">
                        <c:v>0.11214049409378334</c:v>
                      </c:pt>
                      <c:pt idx="148">
                        <c:v>0.10343852239658419</c:v>
                      </c:pt>
                      <c:pt idx="149">
                        <c:v>0.1096676450930847</c:v>
                      </c:pt>
                      <c:pt idx="150">
                        <c:v>9.5049070562101226E-2</c:v>
                      </c:pt>
                      <c:pt idx="151">
                        <c:v>0.12387117162478922</c:v>
                      </c:pt>
                      <c:pt idx="152">
                        <c:v>0.14578304520849997</c:v>
                      </c:pt>
                      <c:pt idx="153">
                        <c:v>0.16006362136585778</c:v>
                      </c:pt>
                      <c:pt idx="154">
                        <c:v>0.18170459861581889</c:v>
                      </c:pt>
                      <c:pt idx="155">
                        <c:v>0.19564394884925881</c:v>
                      </c:pt>
                      <c:pt idx="156">
                        <c:v>0.21753609893215561</c:v>
                      </c:pt>
                      <c:pt idx="157">
                        <c:v>0.21269886914342692</c:v>
                      </c:pt>
                      <c:pt idx="158">
                        <c:v>0.21586686018141538</c:v>
                      </c:pt>
                      <c:pt idx="159">
                        <c:v>0.21060939145090229</c:v>
                      </c:pt>
                      <c:pt idx="160">
                        <c:v>0.21211861766577608</c:v>
                      </c:pt>
                      <c:pt idx="161">
                        <c:v>0.17319433473852558</c:v>
                      </c:pt>
                      <c:pt idx="162">
                        <c:v>0.15271126752281114</c:v>
                      </c:pt>
                      <c:pt idx="163">
                        <c:v>0.15762241771978461</c:v>
                      </c:pt>
                      <c:pt idx="164">
                        <c:v>0.16368388595071756</c:v>
                      </c:pt>
                      <c:pt idx="165">
                        <c:v>0.1836649799534493</c:v>
                      </c:pt>
                      <c:pt idx="166">
                        <c:v>0.18209459651952392</c:v>
                      </c:pt>
                      <c:pt idx="167">
                        <c:v>0.20479395389845101</c:v>
                      </c:pt>
                      <c:pt idx="168">
                        <c:v>0.21422973742011409</c:v>
                      </c:pt>
                      <c:pt idx="169">
                        <c:v>0.21522309579881202</c:v>
                      </c:pt>
                      <c:pt idx="170">
                        <c:v>0.25568576103353235</c:v>
                      </c:pt>
                      <c:pt idx="171">
                        <c:v>0.20966960383426436</c:v>
                      </c:pt>
                      <c:pt idx="172">
                        <c:v>0.22105028755852188</c:v>
                      </c:pt>
                      <c:pt idx="173">
                        <c:v>0.23350965153187617</c:v>
                      </c:pt>
                      <c:pt idx="174">
                        <c:v>0.21462578670560289</c:v>
                      </c:pt>
                      <c:pt idx="175">
                        <c:v>0.19638326219397773</c:v>
                      </c:pt>
                      <c:pt idx="176">
                        <c:v>0.21651464732374776</c:v>
                      </c:pt>
                      <c:pt idx="177">
                        <c:v>0.18713132020125162</c:v>
                      </c:pt>
                      <c:pt idx="178">
                        <c:v>0.15981989340639818</c:v>
                      </c:pt>
                      <c:pt idx="179">
                        <c:v>0.19829560673249375</c:v>
                      </c:pt>
                      <c:pt idx="180">
                        <c:v>0.2021860963665339</c:v>
                      </c:pt>
                      <c:pt idx="181">
                        <c:v>0.22351280657694678</c:v>
                      </c:pt>
                      <c:pt idx="182">
                        <c:v>0.16214938723791106</c:v>
                      </c:pt>
                      <c:pt idx="183">
                        <c:v>0.17836572194402397</c:v>
                      </c:pt>
                      <c:pt idx="184">
                        <c:v>0.16590912348828152</c:v>
                      </c:pt>
                      <c:pt idx="185">
                        <c:v>0.20772731606634007</c:v>
                      </c:pt>
                      <c:pt idx="186">
                        <c:v>0.19994293548326206</c:v>
                      </c:pt>
                      <c:pt idx="187">
                        <c:v>0.15797823878540465</c:v>
                      </c:pt>
                      <c:pt idx="188">
                        <c:v>0.13982639110664444</c:v>
                      </c:pt>
                      <c:pt idx="189">
                        <c:v>0.15575972449274098</c:v>
                      </c:pt>
                      <c:pt idx="190">
                        <c:v>0.14904533662315628</c:v>
                      </c:pt>
                      <c:pt idx="191">
                        <c:v>0.14051128813560174</c:v>
                      </c:pt>
                      <c:pt idx="192">
                        <c:v>0.11548071246101382</c:v>
                      </c:pt>
                      <c:pt idx="193">
                        <c:v>0.15008072642461898</c:v>
                      </c:pt>
                      <c:pt idx="194">
                        <c:v>0.14405062684153377</c:v>
                      </c:pt>
                      <c:pt idx="195">
                        <c:v>0.13402186023402429</c:v>
                      </c:pt>
                      <c:pt idx="196">
                        <c:v>0.15597323908437585</c:v>
                      </c:pt>
                      <c:pt idx="197">
                        <c:v>0.19554177699924813</c:v>
                      </c:pt>
                      <c:pt idx="198">
                        <c:v>0.20653306637371713</c:v>
                      </c:pt>
                      <c:pt idx="199">
                        <c:v>0.19984562158188413</c:v>
                      </c:pt>
                      <c:pt idx="200">
                        <c:v>0.15929571216056232</c:v>
                      </c:pt>
                      <c:pt idx="201">
                        <c:v>0.1362928055087366</c:v>
                      </c:pt>
                      <c:pt idx="202">
                        <c:v>0.12700947627949641</c:v>
                      </c:pt>
                      <c:pt idx="203">
                        <c:v>6.5437287087269091E-2</c:v>
                      </c:pt>
                      <c:pt idx="204">
                        <c:v>6.8722334222809517E-2</c:v>
                      </c:pt>
                      <c:pt idx="205">
                        <c:v>5.7977988994980516E-2</c:v>
                      </c:pt>
                      <c:pt idx="206">
                        <c:v>6.6865485518873863E-2</c:v>
                      </c:pt>
                      <c:pt idx="207">
                        <c:v>8.7521682139880805E-2</c:v>
                      </c:pt>
                      <c:pt idx="208">
                        <c:v>6.1997287575428571E-2</c:v>
                      </c:pt>
                      <c:pt idx="209">
                        <c:v>6.4132711709133441E-2</c:v>
                      </c:pt>
                      <c:pt idx="210">
                        <c:v>0.10532233096331728</c:v>
                      </c:pt>
                      <c:pt idx="211">
                        <c:v>0.13352731858615649</c:v>
                      </c:pt>
                      <c:pt idx="212">
                        <c:v>0.12970374159156636</c:v>
                      </c:pt>
                      <c:pt idx="213">
                        <c:v>0.15720326439610083</c:v>
                      </c:pt>
                      <c:pt idx="214">
                        <c:v>0.1345292143055265</c:v>
                      </c:pt>
                      <c:pt idx="215">
                        <c:v>0.10481743424944778</c:v>
                      </c:pt>
                      <c:pt idx="216">
                        <c:v>9.2003554592188092E-2</c:v>
                      </c:pt>
                      <c:pt idx="217">
                        <c:v>0.11001833418197585</c:v>
                      </c:pt>
                      <c:pt idx="218">
                        <c:v>0.19140045256105323</c:v>
                      </c:pt>
                      <c:pt idx="219">
                        <c:v>0.15408563050838814</c:v>
                      </c:pt>
                      <c:pt idx="220">
                        <c:v>0.18112545316446316</c:v>
                      </c:pt>
                      <c:pt idx="221">
                        <c:v>0.16204712121439499</c:v>
                      </c:pt>
                      <c:pt idx="222">
                        <c:v>0.16964087629720179</c:v>
                      </c:pt>
                      <c:pt idx="223">
                        <c:v>0.15892657569150356</c:v>
                      </c:pt>
                      <c:pt idx="224">
                        <c:v>0.15302116477334732</c:v>
                      </c:pt>
                      <c:pt idx="225">
                        <c:v>0.12711529969592955</c:v>
                      </c:pt>
                      <c:pt idx="226">
                        <c:v>0.12588406375734201</c:v>
                      </c:pt>
                      <c:pt idx="227">
                        <c:v>0.11387445549889524</c:v>
                      </c:pt>
                      <c:pt idx="228">
                        <c:v>9.1220520952811593E-2</c:v>
                      </c:pt>
                      <c:pt idx="229">
                        <c:v>8.4101912222915229E-2</c:v>
                      </c:pt>
                      <c:pt idx="230">
                        <c:v>9.1124917087439958E-2</c:v>
                      </c:pt>
                      <c:pt idx="231">
                        <c:v>0.11362305769960482</c:v>
                      </c:pt>
                      <c:pt idx="232">
                        <c:v>9.6823103620150591E-2</c:v>
                      </c:pt>
                      <c:pt idx="233">
                        <c:v>9.7964029917378778E-2</c:v>
                      </c:pt>
                      <c:pt idx="234">
                        <c:v>7.1440561494684363E-2</c:v>
                      </c:pt>
                      <c:pt idx="235">
                        <c:v>6.1508497391527472E-2</c:v>
                      </c:pt>
                      <c:pt idx="236">
                        <c:v>6.0701781439869755E-2</c:v>
                      </c:pt>
                      <c:pt idx="237">
                        <c:v>7.9676503816930019E-2</c:v>
                      </c:pt>
                      <c:pt idx="238">
                        <c:v>7.7285095158951198E-2</c:v>
                      </c:pt>
                      <c:pt idx="239">
                        <c:v>8.0936601196244948E-2</c:v>
                      </c:pt>
                      <c:pt idx="240">
                        <c:v>6.4793351809455363E-2</c:v>
                      </c:pt>
                      <c:pt idx="241">
                        <c:v>8.3144875236904781E-2</c:v>
                      </c:pt>
                      <c:pt idx="242">
                        <c:v>5.8877733507932142E-2</c:v>
                      </c:pt>
                      <c:pt idx="243">
                        <c:v>5.1880819193807992E-2</c:v>
                      </c:pt>
                      <c:pt idx="244">
                        <c:v>6.5809982794792637E-2</c:v>
                      </c:pt>
                      <c:pt idx="245">
                        <c:v>3.1235884674249342E-2</c:v>
                      </c:pt>
                      <c:pt idx="246">
                        <c:v>4.4162049544031384E-2</c:v>
                      </c:pt>
                      <c:pt idx="247">
                        <c:v>3.9422303661532362E-2</c:v>
                      </c:pt>
                      <c:pt idx="248">
                        <c:v>3.2300008639145082E-2</c:v>
                      </c:pt>
                      <c:pt idx="249">
                        <c:v>4.2726413152822537E-2</c:v>
                      </c:pt>
                      <c:pt idx="250">
                        <c:v>1.658985633816272E-2</c:v>
                      </c:pt>
                      <c:pt idx="251">
                        <c:v>1.2652367999232616E-2</c:v>
                      </c:pt>
                      <c:pt idx="252">
                        <c:v>5.4847038838531648E-2</c:v>
                      </c:pt>
                      <c:pt idx="253">
                        <c:v>3.8347546882892838E-2</c:v>
                      </c:pt>
                      <c:pt idx="254">
                        <c:v>4.5910469018435374E-2</c:v>
                      </c:pt>
                      <c:pt idx="255">
                        <c:v>5.3479180505217661E-2</c:v>
                      </c:pt>
                      <c:pt idx="256">
                        <c:v>4.047031024049183E-2</c:v>
                      </c:pt>
                      <c:pt idx="257">
                        <c:v>6.059746704786708E-2</c:v>
                      </c:pt>
                      <c:pt idx="258">
                        <c:v>2.9244324059331389E-2</c:v>
                      </c:pt>
                      <c:pt idx="259">
                        <c:v>2.9993709205283353E-2</c:v>
                      </c:pt>
                      <c:pt idx="260">
                        <c:v>-7.9472367438479449E-3</c:v>
                      </c:pt>
                      <c:pt idx="261">
                        <c:v>-3.0938128182189926E-3</c:v>
                      </c:pt>
                      <c:pt idx="262">
                        <c:v>-5.6295598708786511E-2</c:v>
                      </c:pt>
                      <c:pt idx="263">
                        <c:v>-4.463730441777141E-2</c:v>
                      </c:pt>
                      <c:pt idx="264">
                        <c:v>-9.6135451282494695E-3</c:v>
                      </c:pt>
                      <c:pt idx="265">
                        <c:v>2.5023785032340165E-2</c:v>
                      </c:pt>
                      <c:pt idx="266">
                        <c:v>1.4022376745689869E-2</c:v>
                      </c:pt>
                      <c:pt idx="267">
                        <c:v>-6.2124056026322802E-2</c:v>
                      </c:pt>
                      <c:pt idx="268">
                        <c:v>-4.4239180483852822E-2</c:v>
                      </c:pt>
                      <c:pt idx="269">
                        <c:v>-6.7917514791541858E-2</c:v>
                      </c:pt>
                      <c:pt idx="270">
                        <c:v>-6.7208459340686352E-2</c:v>
                      </c:pt>
                      <c:pt idx="271">
                        <c:v>-0.11305131765168638</c:v>
                      </c:pt>
                      <c:pt idx="272">
                        <c:v>-0.11742384481501428</c:v>
                      </c:pt>
                      <c:pt idx="273">
                        <c:v>-0.13736915219779808</c:v>
                      </c:pt>
                      <c:pt idx="274">
                        <c:v>-0.12135188542159443</c:v>
                      </c:pt>
                      <c:pt idx="275">
                        <c:v>-0.12484186935172108</c:v>
                      </c:pt>
                      <c:pt idx="276">
                        <c:v>-0.13392567478246928</c:v>
                      </c:pt>
                      <c:pt idx="277">
                        <c:v>-0.11574940813456305</c:v>
                      </c:pt>
                      <c:pt idx="278">
                        <c:v>-8.0930314806480441E-2</c:v>
                      </c:pt>
                      <c:pt idx="279">
                        <c:v>-9.5095053260226367E-2</c:v>
                      </c:pt>
                      <c:pt idx="280">
                        <c:v>-8.4798784487909951E-2</c:v>
                      </c:pt>
                      <c:pt idx="281">
                        <c:v>-0.12385852335176803</c:v>
                      </c:pt>
                      <c:pt idx="282">
                        <c:v>-0.10034752390915014</c:v>
                      </c:pt>
                      <c:pt idx="283">
                        <c:v>-2.603023683942432E-2</c:v>
                      </c:pt>
                      <c:pt idx="284">
                        <c:v>-6.05992633837829E-3</c:v>
                      </c:pt>
                      <c:pt idx="285">
                        <c:v>2.3550563046849646E-2</c:v>
                      </c:pt>
                      <c:pt idx="286">
                        <c:v>3.6237822674182636E-2</c:v>
                      </c:pt>
                      <c:pt idx="287">
                        <c:v>4.0306843151643609E-2</c:v>
                      </c:pt>
                      <c:pt idx="288">
                        <c:v>6.1232068359801453E-2</c:v>
                      </c:pt>
                      <c:pt idx="289">
                        <c:v>6.0238897710883137E-2</c:v>
                      </c:pt>
                      <c:pt idx="290">
                        <c:v>8.929570229575777E-2</c:v>
                      </c:pt>
                      <c:pt idx="291">
                        <c:v>6.9127773332308309E-2</c:v>
                      </c:pt>
                      <c:pt idx="292">
                        <c:v>7.2746857595389611E-2</c:v>
                      </c:pt>
                      <c:pt idx="293">
                        <c:v>8.0042755734979251E-2</c:v>
                      </c:pt>
                      <c:pt idx="294">
                        <c:v>9.0660004436648511E-2</c:v>
                      </c:pt>
                      <c:pt idx="295">
                        <c:v>3.5409584067034421E-2</c:v>
                      </c:pt>
                      <c:pt idx="296">
                        <c:v>7.5998383854734328E-2</c:v>
                      </c:pt>
                      <c:pt idx="297">
                        <c:v>8.8934158808950517E-2</c:v>
                      </c:pt>
                      <c:pt idx="298">
                        <c:v>9.2197704462401553E-2</c:v>
                      </c:pt>
                      <c:pt idx="299">
                        <c:v>0.11775756326107974</c:v>
                      </c:pt>
                      <c:pt idx="300">
                        <c:v>9.6509163291197908E-2</c:v>
                      </c:pt>
                      <c:pt idx="301">
                        <c:v>4.4895190843892221E-2</c:v>
                      </c:pt>
                      <c:pt idx="302">
                        <c:v>6.7862235952232022E-2</c:v>
                      </c:pt>
                      <c:pt idx="303">
                        <c:v>2.8522614667287841E-2</c:v>
                      </c:pt>
                      <c:pt idx="304">
                        <c:v>1.7503994949854551E-2</c:v>
                      </c:pt>
                      <c:pt idx="305">
                        <c:v>5.4809750747420339E-4</c:v>
                      </c:pt>
                      <c:pt idx="306">
                        <c:v>3.0897037378286641E-3</c:v>
                      </c:pt>
                      <c:pt idx="307">
                        <c:v>3.7841071804252696E-2</c:v>
                      </c:pt>
                      <c:pt idx="308">
                        <c:v>3.4816928279998327E-2</c:v>
                      </c:pt>
                      <c:pt idx="309">
                        <c:v>8.0048300283522278E-2</c:v>
                      </c:pt>
                      <c:pt idx="310">
                        <c:v>9.0604805589128826E-2</c:v>
                      </c:pt>
                      <c:pt idx="311">
                        <c:v>0.11133987106381817</c:v>
                      </c:pt>
                      <c:pt idx="312">
                        <c:v>0.11394366269117598</c:v>
                      </c:pt>
                      <c:pt idx="313">
                        <c:v>0.10427854820972787</c:v>
                      </c:pt>
                      <c:pt idx="314">
                        <c:v>0.10962315661051246</c:v>
                      </c:pt>
                      <c:pt idx="315">
                        <c:v>0.12474747867325973</c:v>
                      </c:pt>
                      <c:pt idx="316">
                        <c:v>0.11385569418877871</c:v>
                      </c:pt>
                      <c:pt idx="317">
                        <c:v>3.6891688338500046E-2</c:v>
                      </c:pt>
                      <c:pt idx="318">
                        <c:v>5.0733206356406345E-2</c:v>
                      </c:pt>
                      <c:pt idx="319">
                        <c:v>7.5170553762052422E-2</c:v>
                      </c:pt>
                      <c:pt idx="320">
                        <c:v>0.11838133696844572</c:v>
                      </c:pt>
                      <c:pt idx="321">
                        <c:v>0.11061272079095832</c:v>
                      </c:pt>
                      <c:pt idx="322">
                        <c:v>0.11784899776714393</c:v>
                      </c:pt>
                      <c:pt idx="323">
                        <c:v>0.10482940218733067</c:v>
                      </c:pt>
                      <c:pt idx="324">
                        <c:v>0.1171727153055776</c:v>
                      </c:pt>
                      <c:pt idx="325">
                        <c:v>0.11508262521548755</c:v>
                      </c:pt>
                      <c:pt idx="326">
                        <c:v>0.10506009526433725</c:v>
                      </c:pt>
                      <c:pt idx="327">
                        <c:v>0.1028688731486648</c:v>
                      </c:pt>
                      <c:pt idx="328">
                        <c:v>9.6459302941917638E-2</c:v>
                      </c:pt>
                      <c:pt idx="329">
                        <c:v>8.3848954367241144E-2</c:v>
                      </c:pt>
                      <c:pt idx="330">
                        <c:v>0.10003005251394698</c:v>
                      </c:pt>
                      <c:pt idx="331">
                        <c:v>8.6460293125165566E-2</c:v>
                      </c:pt>
                      <c:pt idx="332">
                        <c:v>1.9259912707189991E-2</c:v>
                      </c:pt>
                      <c:pt idx="333">
                        <c:v>-1.2426076872382907E-2</c:v>
                      </c:pt>
                      <c:pt idx="334">
                        <c:v>5.3576735117808492E-2</c:v>
                      </c:pt>
                      <c:pt idx="335">
                        <c:v>6.0516849592526435E-2</c:v>
                      </c:pt>
                      <c:pt idx="336">
                        <c:v>2.362980704840453E-2</c:v>
                      </c:pt>
                      <c:pt idx="337">
                        <c:v>-4.0038619981622968E-2</c:v>
                      </c:pt>
                      <c:pt idx="338">
                        <c:v>-3.3767955291165705E-2</c:v>
                      </c:pt>
                      <c:pt idx="339">
                        <c:v>-1.7425262017526144E-2</c:v>
                      </c:pt>
                      <c:pt idx="340">
                        <c:v>-4.5347680869250978E-2</c:v>
                      </c:pt>
                      <c:pt idx="341">
                        <c:v>-6.6597032190467115E-2</c:v>
                      </c:pt>
                      <c:pt idx="342">
                        <c:v>-9.0077258070396585E-2</c:v>
                      </c:pt>
                      <c:pt idx="343">
                        <c:v>-0.21295118000070215</c:v>
                      </c:pt>
                      <c:pt idx="344">
                        <c:v>-0.20036640852372392</c:v>
                      </c:pt>
                      <c:pt idx="345">
                        <c:v>-0.17943678422866327</c:v>
                      </c:pt>
                      <c:pt idx="346">
                        <c:v>-0.18133696385027509</c:v>
                      </c:pt>
                      <c:pt idx="347">
                        <c:v>-0.18226989563774132</c:v>
                      </c:pt>
                      <c:pt idx="348">
                        <c:v>-0.17052729374553305</c:v>
                      </c:pt>
                      <c:pt idx="349">
                        <c:v>-0.1522164821187775</c:v>
                      </c:pt>
                      <c:pt idx="350">
                        <c:v>-8.9130648199610224E-2</c:v>
                      </c:pt>
                      <c:pt idx="351">
                        <c:v>-5.3204163288732606E-2</c:v>
                      </c:pt>
                      <c:pt idx="352">
                        <c:v>-6.2821178333744246E-2</c:v>
                      </c:pt>
                      <c:pt idx="353">
                        <c:v>-8.0026339044006314E-2</c:v>
                      </c:pt>
                      <c:pt idx="354">
                        <c:v>-1.6027063561034928E-2</c:v>
                      </c:pt>
                      <c:pt idx="355">
                        <c:v>-7.34921278927608E-2</c:v>
                      </c:pt>
                      <c:pt idx="356">
                        <c:v>-9.8386331719380424E-2</c:v>
                      </c:pt>
                      <c:pt idx="357">
                        <c:v>-0.11986083881013798</c:v>
                      </c:pt>
                      <c:pt idx="358">
                        <c:v>-0.11485080043910387</c:v>
                      </c:pt>
                      <c:pt idx="359">
                        <c:v>-9.3523801206835455E-2</c:v>
                      </c:pt>
                      <c:pt idx="360">
                        <c:v>-4.8340519610904166E-2</c:v>
                      </c:pt>
                      <c:pt idx="361">
                        <c:v>-6.501387435729597E-2</c:v>
                      </c:pt>
                      <c:pt idx="362">
                        <c:v>-4.0479434706860357E-2</c:v>
                      </c:pt>
                      <c:pt idx="363">
                        <c:v>-0.13275677752228024</c:v>
                      </c:pt>
                      <c:pt idx="364">
                        <c:v>-0.12328222578361406</c:v>
                      </c:pt>
                      <c:pt idx="365">
                        <c:v>-0.17181128552736591</c:v>
                      </c:pt>
                      <c:pt idx="366">
                        <c:v>-0.11702461094064198</c:v>
                      </c:pt>
                      <c:pt idx="367">
                        <c:v>-7.8364336431150011E-2</c:v>
                      </c:pt>
                      <c:pt idx="368">
                        <c:v>-9.4888253180481358E-2</c:v>
                      </c:pt>
                      <c:pt idx="369">
                        <c:v>-6.7446099073163873E-2</c:v>
                      </c:pt>
                      <c:pt idx="370">
                        <c:v>-6.4500192514079555E-2</c:v>
                      </c:pt>
                      <c:pt idx="371">
                        <c:v>-2.1112034268104658E-2</c:v>
                      </c:pt>
                      <c:pt idx="372">
                        <c:v>-5.3887878768840769E-2</c:v>
                      </c:pt>
                      <c:pt idx="373">
                        <c:v>-7.7924870377247657E-2</c:v>
                      </c:pt>
                      <c:pt idx="374">
                        <c:v>-4.7947084790643545E-2</c:v>
                      </c:pt>
                      <c:pt idx="375">
                        <c:v>5.9907681522301456E-3</c:v>
                      </c:pt>
                      <c:pt idx="376">
                        <c:v>-3.6470440255383603E-2</c:v>
                      </c:pt>
                      <c:pt idx="377">
                        <c:v>-3.3957426471113335E-2</c:v>
                      </c:pt>
                      <c:pt idx="378">
                        <c:v>-6.0750819926564184E-2</c:v>
                      </c:pt>
                      <c:pt idx="379">
                        <c:v>-0.10628613224713028</c:v>
                      </c:pt>
                      <c:pt idx="380">
                        <c:v>-0.12487754679327243</c:v>
                      </c:pt>
                      <c:pt idx="381">
                        <c:v>-5.9161287119153055E-2</c:v>
                      </c:pt>
                      <c:pt idx="382">
                        <c:v>-5.3365498127128673E-2</c:v>
                      </c:pt>
                      <c:pt idx="383">
                        <c:v>-0.17266693358029253</c:v>
                      </c:pt>
                      <c:pt idx="384">
                        <c:v>-0.22979367349974475</c:v>
                      </c:pt>
                      <c:pt idx="385">
                        <c:v>-0.16548680458526918</c:v>
                      </c:pt>
                      <c:pt idx="386">
                        <c:v>-0.11108326823533822</c:v>
                      </c:pt>
                      <c:pt idx="387">
                        <c:v>-9.5246718581475556E-2</c:v>
                      </c:pt>
                      <c:pt idx="388">
                        <c:v>-0.12333284943669107</c:v>
                      </c:pt>
                      <c:pt idx="389">
                        <c:v>-7.8679468944443831E-2</c:v>
                      </c:pt>
                      <c:pt idx="390">
                        <c:v>-7.1935386229366433E-2</c:v>
                      </c:pt>
                      <c:pt idx="391">
                        <c:v>-4.4918306906053224E-2</c:v>
                      </c:pt>
                      <c:pt idx="392">
                        <c:v>7.905879842887735E-2</c:v>
                      </c:pt>
                      <c:pt idx="393">
                        <c:v>0.10479557622497362</c:v>
                      </c:pt>
                      <c:pt idx="394">
                        <c:v>2.1925308944900194E-2</c:v>
                      </c:pt>
                      <c:pt idx="395">
                        <c:v>5.2948073582763371E-2</c:v>
                      </c:pt>
                    </c:numCache>
                  </c:numRef>
                </c:val>
                <c:smooth val="0"/>
                <c:extLst>
                  <c:ext xmlns:c16="http://schemas.microsoft.com/office/drawing/2014/chart" uri="{C3380CC4-5D6E-409C-BE32-E72D297353CC}">
                    <c16:uniqueId val="{00000001-803E-4CB0-B231-E3453DAE9A00}"/>
                  </c:ext>
                </c:extLst>
              </c15:ser>
            </c15:filteredLineSeries>
            <c15:filteredLineSeries>
              <c15:ser>
                <c:idx val="0"/>
                <c:order val="2"/>
                <c:tx>
                  <c:v>Overall Expectancy</c:v>
                </c:tx>
                <c:spPr>
                  <a:ln w="19050" cap="rnd">
                    <a:solidFill>
                      <a:schemeClr val="tx1"/>
                    </a:solidFill>
                    <a:round/>
                  </a:ln>
                  <a:effectLst/>
                </c:spPr>
                <c:marker>
                  <c:symbol val="none"/>
                </c:marker>
                <c:val>
                  <c:numRef>
                    <c:extLst>
                      <c:ext xmlns:c15="http://schemas.microsoft.com/office/drawing/2012/chart" uri="{02D57815-91ED-43cb-92C2-25804820EDAC}">
                        <c15:fullRef>
                          <c15:sqref>'2025-Q2'!$BM$4:$BM$422</c15:sqref>
                        </c15:fullRef>
                        <c15:formulaRef>
                          <c15:sqref>'2025-Q2'!$BM$27:$BM$422</c15:sqref>
                        </c15:formulaRef>
                      </c:ext>
                    </c:extLst>
                    <c:numCache>
                      <c:formatCode>0.0</c:formatCode>
                      <c:ptCount val="396"/>
                      <c:pt idx="1">
                        <c:v>8.973436199439902E-2</c:v>
                      </c:pt>
                      <c:pt idx="2">
                        <c:v>-2.6672199148551731E-2</c:v>
                      </c:pt>
                      <c:pt idx="3">
                        <c:v>-1.0423708919455823E-2</c:v>
                      </c:pt>
                      <c:pt idx="4">
                        <c:v>-3.0236598850123333E-2</c:v>
                      </c:pt>
                      <c:pt idx="5">
                        <c:v>-6.2771326363856628E-2</c:v>
                      </c:pt>
                      <c:pt idx="6">
                        <c:v>-4.6257988888848217E-2</c:v>
                      </c:pt>
                      <c:pt idx="7">
                        <c:v>-6.2513128567494719E-2</c:v>
                      </c:pt>
                      <c:pt idx="8">
                        <c:v>-4.4359254152473673E-2</c:v>
                      </c:pt>
                      <c:pt idx="9">
                        <c:v>-5.8450124391627223E-2</c:v>
                      </c:pt>
                      <c:pt idx="10">
                        <c:v>-5.6672858683203875E-2</c:v>
                      </c:pt>
                      <c:pt idx="11">
                        <c:v>-8.0888799617971699E-2</c:v>
                      </c:pt>
                      <c:pt idx="12">
                        <c:v>-0.10145536464420164</c:v>
                      </c:pt>
                      <c:pt idx="13">
                        <c:v>-0.10783514087199067</c:v>
                      </c:pt>
                      <c:pt idx="14">
                        <c:v>-9.9681878929904447E-2</c:v>
                      </c:pt>
                      <c:pt idx="15">
                        <c:v>-9.2132280130932984E-2</c:v>
                      </c:pt>
                      <c:pt idx="16">
                        <c:v>-8.8158098331877724E-2</c:v>
                      </c:pt>
                      <c:pt idx="17">
                        <c:v>-0.13505311001513151</c:v>
                      </c:pt>
                      <c:pt idx="18">
                        <c:v>-0.14690216190083824</c:v>
                      </c:pt>
                      <c:pt idx="19">
                        <c:v>-0.11156920832525703</c:v>
                      </c:pt>
                      <c:pt idx="20">
                        <c:v>-9.1724202127262441E-2</c:v>
                      </c:pt>
                      <c:pt idx="21">
                        <c:v>-9.7795556874961956E-2</c:v>
                      </c:pt>
                      <c:pt idx="22">
                        <c:v>-9.5890911991418054E-2</c:v>
                      </c:pt>
                      <c:pt idx="23">
                        <c:v>-0.1193018411995812</c:v>
                      </c:pt>
                      <c:pt idx="24">
                        <c:v>-0.14725624673415014</c:v>
                      </c:pt>
                      <c:pt idx="25">
                        <c:v>-0.15480834936747387</c:v>
                      </c:pt>
                      <c:pt idx="26">
                        <c:v>-0.18234438451565674</c:v>
                      </c:pt>
                      <c:pt idx="27">
                        <c:v>-0.19507737685154639</c:v>
                      </c:pt>
                      <c:pt idx="28">
                        <c:v>-0.17303665302273694</c:v>
                      </c:pt>
                      <c:pt idx="29">
                        <c:v>-0.19434439881488819</c:v>
                      </c:pt>
                      <c:pt idx="30">
                        <c:v>-0.18162209892969813</c:v>
                      </c:pt>
                      <c:pt idx="31">
                        <c:v>-0.16486283704243587</c:v>
                      </c:pt>
                      <c:pt idx="32">
                        <c:v>-0.1509349556122439</c:v>
                      </c:pt>
                      <c:pt idx="33">
                        <c:v>-0.16017801540713</c:v>
                      </c:pt>
                      <c:pt idx="34">
                        <c:v>-0.12477075420495452</c:v>
                      </c:pt>
                      <c:pt idx="35">
                        <c:v>-0.11136983846285485</c:v>
                      </c:pt>
                      <c:pt idx="36">
                        <c:v>-8.9798304203704105E-2</c:v>
                      </c:pt>
                      <c:pt idx="37">
                        <c:v>-8.0113165982206205E-2</c:v>
                      </c:pt>
                      <c:pt idx="38">
                        <c:v>-5.5762112987525411E-2</c:v>
                      </c:pt>
                      <c:pt idx="39">
                        <c:v>-1.3554852296935394E-2</c:v>
                      </c:pt>
                      <c:pt idx="40">
                        <c:v>1.3511161180873102E-3</c:v>
                      </c:pt>
                      <c:pt idx="41">
                        <c:v>-2.7117459133421751E-3</c:v>
                      </c:pt>
                      <c:pt idx="42">
                        <c:v>1.5167083571436354E-2</c:v>
                      </c:pt>
                      <c:pt idx="43">
                        <c:v>9.287158760103293E-3</c:v>
                      </c:pt>
                      <c:pt idx="44">
                        <c:v>-3.1513958395212971E-3</c:v>
                      </c:pt>
                      <c:pt idx="45">
                        <c:v>-1.2405575233247856E-3</c:v>
                      </c:pt>
                      <c:pt idx="46">
                        <c:v>5.7846596998924601E-3</c:v>
                      </c:pt>
                      <c:pt idx="47">
                        <c:v>1.502713081009973E-2</c:v>
                      </c:pt>
                      <c:pt idx="48">
                        <c:v>7.0474558783379148E-3</c:v>
                      </c:pt>
                      <c:pt idx="49">
                        <c:v>2.2715718350743153E-2</c:v>
                      </c:pt>
                      <c:pt idx="50">
                        <c:v>1.9810627044234336E-2</c:v>
                      </c:pt>
                      <c:pt idx="51">
                        <c:v>3.1119341741684181E-2</c:v>
                      </c:pt>
                      <c:pt idx="52">
                        <c:v>2.4038954846122042E-2</c:v>
                      </c:pt>
                      <c:pt idx="53">
                        <c:v>4.1480942035811173E-2</c:v>
                      </c:pt>
                      <c:pt idx="54">
                        <c:v>3.7301984145286481E-2</c:v>
                      </c:pt>
                      <c:pt idx="55">
                        <c:v>2.4535801552120977E-2</c:v>
                      </c:pt>
                      <c:pt idx="56">
                        <c:v>2.3683728814569378E-2</c:v>
                      </c:pt>
                      <c:pt idx="57">
                        <c:v>2.524808401270159E-2</c:v>
                      </c:pt>
                      <c:pt idx="58">
                        <c:v>1.4151611124976248E-2</c:v>
                      </c:pt>
                      <c:pt idx="59">
                        <c:v>5.1340927655436804E-3</c:v>
                      </c:pt>
                      <c:pt idx="60">
                        <c:v>-1.6910966504963478E-3</c:v>
                      </c:pt>
                      <c:pt idx="61">
                        <c:v>-2.3401496461761272E-2</c:v>
                      </c:pt>
                      <c:pt idx="62">
                        <c:v>-2.5222122919080662E-2</c:v>
                      </c:pt>
                      <c:pt idx="63">
                        <c:v>-3.0977683253351491E-2</c:v>
                      </c:pt>
                      <c:pt idx="64">
                        <c:v>-3.051127853622658E-2</c:v>
                      </c:pt>
                      <c:pt idx="65">
                        <c:v>-2.0344194421296605E-2</c:v>
                      </c:pt>
                      <c:pt idx="66">
                        <c:v>-2.3645484677285743E-2</c:v>
                      </c:pt>
                      <c:pt idx="67">
                        <c:v>-1.0155474298193223E-2</c:v>
                      </c:pt>
                      <c:pt idx="68">
                        <c:v>-1.2418356222709729E-2</c:v>
                      </c:pt>
                      <c:pt idx="69">
                        <c:v>-9.3185667045567553E-3</c:v>
                      </c:pt>
                      <c:pt idx="70">
                        <c:v>-1.8345166746181005E-2</c:v>
                      </c:pt>
                      <c:pt idx="71">
                        <c:v>-2.4870087137773847E-2</c:v>
                      </c:pt>
                      <c:pt idx="72">
                        <c:v>-2.359678559050131E-2</c:v>
                      </c:pt>
                      <c:pt idx="73">
                        <c:v>-2.2375203593975077E-2</c:v>
                      </c:pt>
                      <c:pt idx="74">
                        <c:v>-2.0079295326892451E-2</c:v>
                      </c:pt>
                      <c:pt idx="75">
                        <c:v>-2.3665931890573401E-2</c:v>
                      </c:pt>
                      <c:pt idx="76">
                        <c:v>-2.9877567531711974E-2</c:v>
                      </c:pt>
                      <c:pt idx="77">
                        <c:v>-4.1983825311994953E-2</c:v>
                      </c:pt>
                      <c:pt idx="78">
                        <c:v>-4.6076246803711508E-2</c:v>
                      </c:pt>
                      <c:pt idx="79">
                        <c:v>-4.5815918953514306E-2</c:v>
                      </c:pt>
                      <c:pt idx="80">
                        <c:v>-5.7007387859031151E-2</c:v>
                      </c:pt>
                      <c:pt idx="81">
                        <c:v>-5.6704073141350043E-2</c:v>
                      </c:pt>
                      <c:pt idx="82">
                        <c:v>-4.9000080357718287E-2</c:v>
                      </c:pt>
                      <c:pt idx="83">
                        <c:v>-4.6711225360629972E-2</c:v>
                      </c:pt>
                      <c:pt idx="84">
                        <c:v>-5.8917380290715193E-2</c:v>
                      </c:pt>
                      <c:pt idx="85">
                        <c:v>-5.3045484143399213E-2</c:v>
                      </c:pt>
                      <c:pt idx="86">
                        <c:v>-5.7516220681874904E-2</c:v>
                      </c:pt>
                      <c:pt idx="87">
                        <c:v>-5.4246951576073968E-2</c:v>
                      </c:pt>
                      <c:pt idx="88">
                        <c:v>-5.1758387263707926E-2</c:v>
                      </c:pt>
                      <c:pt idx="89">
                        <c:v>-4.748137767517864E-2</c:v>
                      </c:pt>
                      <c:pt idx="90">
                        <c:v>-4.1593664597515088E-2</c:v>
                      </c:pt>
                      <c:pt idx="91">
                        <c:v>-3.6870083835994556E-2</c:v>
                      </c:pt>
                      <c:pt idx="92">
                        <c:v>-2.6196167700215354E-2</c:v>
                      </c:pt>
                      <c:pt idx="93">
                        <c:v>-2.1885091748025071E-2</c:v>
                      </c:pt>
                      <c:pt idx="94">
                        <c:v>-1.8408919952013412E-2</c:v>
                      </c:pt>
                      <c:pt idx="95">
                        <c:v>-9.6572758660092815E-3</c:v>
                      </c:pt>
                      <c:pt idx="96">
                        <c:v>-1.319942819461351E-2</c:v>
                      </c:pt>
                      <c:pt idx="97">
                        <c:v>-1.1365181778068193E-2</c:v>
                      </c:pt>
                      <c:pt idx="98">
                        <c:v>-1.4301486184036583E-2</c:v>
                      </c:pt>
                      <c:pt idx="99">
                        <c:v>-2.2677638695754534E-2</c:v>
                      </c:pt>
                      <c:pt idx="100">
                        <c:v>-2.5050378894354439E-2</c:v>
                      </c:pt>
                      <c:pt idx="101">
                        <c:v>-1.4845219782210324E-2</c:v>
                      </c:pt>
                      <c:pt idx="102">
                        <c:v>-1.2922007507410377E-2</c:v>
                      </c:pt>
                      <c:pt idx="103">
                        <c:v>-9.5441213865533562E-3</c:v>
                      </c:pt>
                      <c:pt idx="104">
                        <c:v>-1.4604203232220532E-2</c:v>
                      </c:pt>
                      <c:pt idx="105">
                        <c:v>-1.2741908874195036E-2</c:v>
                      </c:pt>
                      <c:pt idx="106">
                        <c:v>-1.5691685135837539E-2</c:v>
                      </c:pt>
                      <c:pt idx="107">
                        <c:v>-1.9860807309575186E-2</c:v>
                      </c:pt>
                      <c:pt idx="108">
                        <c:v>-2.1572534035077633E-2</c:v>
                      </c:pt>
                      <c:pt idx="109">
                        <c:v>-2.4938418076072857E-2</c:v>
                      </c:pt>
                      <c:pt idx="110">
                        <c:v>-1.7482055927689227E-2</c:v>
                      </c:pt>
                      <c:pt idx="111">
                        <c:v>-1.3741071178853011E-2</c:v>
                      </c:pt>
                      <c:pt idx="112">
                        <c:v>-1.113903349061314E-2</c:v>
                      </c:pt>
                      <c:pt idx="113">
                        <c:v>-9.6919484676665276E-3</c:v>
                      </c:pt>
                      <c:pt idx="114">
                        <c:v>-1.2091553814967073E-2</c:v>
                      </c:pt>
                      <c:pt idx="115">
                        <c:v>-1.0860143530130645E-2</c:v>
                      </c:pt>
                      <c:pt idx="116">
                        <c:v>-1.0164462981600375E-2</c:v>
                      </c:pt>
                      <c:pt idx="117">
                        <c:v>-1.108028357362963E-2</c:v>
                      </c:pt>
                      <c:pt idx="118">
                        <c:v>-1.4179217267223654E-2</c:v>
                      </c:pt>
                      <c:pt idx="119">
                        <c:v>-2.2992802343474599E-2</c:v>
                      </c:pt>
                      <c:pt idx="120">
                        <c:v>-2.5399996987261732E-2</c:v>
                      </c:pt>
                      <c:pt idx="121">
                        <c:v>-2.5563946945600824E-2</c:v>
                      </c:pt>
                      <c:pt idx="122">
                        <c:v>-1.6211356765854352E-2</c:v>
                      </c:pt>
                      <c:pt idx="123">
                        <c:v>-1.9113552559871079E-2</c:v>
                      </c:pt>
                      <c:pt idx="124">
                        <c:v>-2.2795030076296709E-2</c:v>
                      </c:pt>
                      <c:pt idx="125">
                        <c:v>-1.476122165805026E-2</c:v>
                      </c:pt>
                      <c:pt idx="126">
                        <c:v>-7.9304284940226646E-3</c:v>
                      </c:pt>
                      <c:pt idx="127">
                        <c:v>-9.4667249745221862E-3</c:v>
                      </c:pt>
                      <c:pt idx="128">
                        <c:v>-1.9668471399374647E-3</c:v>
                      </c:pt>
                      <c:pt idx="129">
                        <c:v>1.3864583391711937E-2</c:v>
                      </c:pt>
                      <c:pt idx="130">
                        <c:v>2.9584202440548842E-3</c:v>
                      </c:pt>
                      <c:pt idx="131">
                        <c:v>7.1020997191761416E-4</c:v>
                      </c:pt>
                      <c:pt idx="132">
                        <c:v>-3.8967203508112002E-3</c:v>
                      </c:pt>
                      <c:pt idx="133">
                        <c:v>8.8794839600592236E-3</c:v>
                      </c:pt>
                      <c:pt idx="134">
                        <c:v>1.2354171123527227E-2</c:v>
                      </c:pt>
                      <c:pt idx="135">
                        <c:v>1.5010302450060993E-2</c:v>
                      </c:pt>
                      <c:pt idx="136">
                        <c:v>8.286268166760619E-4</c:v>
                      </c:pt>
                      <c:pt idx="137">
                        <c:v>4.6394373906135499E-3</c:v>
                      </c:pt>
                      <c:pt idx="138">
                        <c:v>1.1274093112078162E-2</c:v>
                      </c:pt>
                      <c:pt idx="139">
                        <c:v>1.3210726434592137E-2</c:v>
                      </c:pt>
                      <c:pt idx="140">
                        <c:v>7.2257567210804495E-3</c:v>
                      </c:pt>
                      <c:pt idx="141">
                        <c:v>9.7482911555475654E-3</c:v>
                      </c:pt>
                      <c:pt idx="142">
                        <c:v>1.5532880917503666E-2</c:v>
                      </c:pt>
                      <c:pt idx="143">
                        <c:v>1.4667887249118244E-2</c:v>
                      </c:pt>
                      <c:pt idx="144">
                        <c:v>1.2893429813059406E-2</c:v>
                      </c:pt>
                      <c:pt idx="145">
                        <c:v>2.0208928341285983E-2</c:v>
                      </c:pt>
                      <c:pt idx="146">
                        <c:v>1.9957288779881233E-2</c:v>
                      </c:pt>
                      <c:pt idx="147">
                        <c:v>2.2586218656354993E-2</c:v>
                      </c:pt>
                      <c:pt idx="148">
                        <c:v>1.385218930378722E-2</c:v>
                      </c:pt>
                      <c:pt idx="149">
                        <c:v>1.374066631071841E-2</c:v>
                      </c:pt>
                      <c:pt idx="150">
                        <c:v>1.6648281927176843E-2</c:v>
                      </c:pt>
                      <c:pt idx="151">
                        <c:v>2.608791791603288E-2</c:v>
                      </c:pt>
                      <c:pt idx="152">
                        <c:v>3.4528686615526834E-2</c:v>
                      </c:pt>
                      <c:pt idx="153">
                        <c:v>3.4654480534286214E-2</c:v>
                      </c:pt>
                      <c:pt idx="154">
                        <c:v>4.180631284280778E-2</c:v>
                      </c:pt>
                      <c:pt idx="155">
                        <c:v>4.325295181454783E-2</c:v>
                      </c:pt>
                      <c:pt idx="156">
                        <c:v>4.5972439939185726E-2</c:v>
                      </c:pt>
                      <c:pt idx="157">
                        <c:v>4.3024137925641422E-2</c:v>
                      </c:pt>
                      <c:pt idx="158">
                        <c:v>4.1079853873368571E-2</c:v>
                      </c:pt>
                      <c:pt idx="159">
                        <c:v>4.4742481301829291E-2</c:v>
                      </c:pt>
                      <c:pt idx="160">
                        <c:v>4.7559164533389389E-2</c:v>
                      </c:pt>
                      <c:pt idx="161">
                        <c:v>3.8620584768664284E-2</c:v>
                      </c:pt>
                      <c:pt idx="162">
                        <c:v>3.3912722774571191E-2</c:v>
                      </c:pt>
                      <c:pt idx="163">
                        <c:v>3.3221852724726067E-2</c:v>
                      </c:pt>
                      <c:pt idx="164">
                        <c:v>3.5503374185360204E-2</c:v>
                      </c:pt>
                      <c:pt idx="165">
                        <c:v>4.1059387197081541E-2</c:v>
                      </c:pt>
                      <c:pt idx="166">
                        <c:v>3.9696893905760096E-2</c:v>
                      </c:pt>
                      <c:pt idx="167">
                        <c:v>4.306936567003556E-2</c:v>
                      </c:pt>
                      <c:pt idx="168">
                        <c:v>3.8664146541087685E-2</c:v>
                      </c:pt>
                      <c:pt idx="169">
                        <c:v>3.6805985615414052E-2</c:v>
                      </c:pt>
                      <c:pt idx="170">
                        <c:v>4.6791318270951017E-2</c:v>
                      </c:pt>
                      <c:pt idx="171">
                        <c:v>4.1623703096915293E-2</c:v>
                      </c:pt>
                      <c:pt idx="172">
                        <c:v>4.2055215059311458E-2</c:v>
                      </c:pt>
                      <c:pt idx="173">
                        <c:v>4.2141208757877635E-2</c:v>
                      </c:pt>
                      <c:pt idx="174">
                        <c:v>4.3090238930457866E-2</c:v>
                      </c:pt>
                      <c:pt idx="175">
                        <c:v>4.3364818269324049E-2</c:v>
                      </c:pt>
                      <c:pt idx="176">
                        <c:v>4.6981284475172691E-2</c:v>
                      </c:pt>
                      <c:pt idx="177">
                        <c:v>4.5062712660657145E-2</c:v>
                      </c:pt>
                      <c:pt idx="178">
                        <c:v>5.0060771926989281E-2</c:v>
                      </c:pt>
                      <c:pt idx="179">
                        <c:v>5.1085601252261775E-2</c:v>
                      </c:pt>
                      <c:pt idx="180">
                        <c:v>5.0095036097911404E-2</c:v>
                      </c:pt>
                      <c:pt idx="181">
                        <c:v>5.1550009532296541E-2</c:v>
                      </c:pt>
                      <c:pt idx="182">
                        <c:v>4.6124021085557527E-2</c:v>
                      </c:pt>
                      <c:pt idx="183">
                        <c:v>5.2513261520379224E-2</c:v>
                      </c:pt>
                      <c:pt idx="184">
                        <c:v>5.1356222422950834E-2</c:v>
                      </c:pt>
                      <c:pt idx="185">
                        <c:v>5.0329885617153937E-2</c:v>
                      </c:pt>
                      <c:pt idx="186">
                        <c:v>5.1162362828818496E-2</c:v>
                      </c:pt>
                      <c:pt idx="187">
                        <c:v>4.6091540395388125E-2</c:v>
                      </c:pt>
                      <c:pt idx="188">
                        <c:v>4.3135226246088398E-2</c:v>
                      </c:pt>
                      <c:pt idx="189">
                        <c:v>4.2126809046451837E-2</c:v>
                      </c:pt>
                      <c:pt idx="190">
                        <c:v>4.233988257861291E-2</c:v>
                      </c:pt>
                      <c:pt idx="191">
                        <c:v>4.4669872739933468E-2</c:v>
                      </c:pt>
                      <c:pt idx="192">
                        <c:v>3.8072096266914067E-2</c:v>
                      </c:pt>
                      <c:pt idx="193">
                        <c:v>4.4562822718087231E-2</c:v>
                      </c:pt>
                      <c:pt idx="194">
                        <c:v>4.8705689136486326E-2</c:v>
                      </c:pt>
                      <c:pt idx="195">
                        <c:v>4.6090557553794625E-2</c:v>
                      </c:pt>
                      <c:pt idx="196">
                        <c:v>5.3004115202070441E-2</c:v>
                      </c:pt>
                      <c:pt idx="197">
                        <c:v>5.5021110453456146E-2</c:v>
                      </c:pt>
                      <c:pt idx="198">
                        <c:v>5.7224272929910551E-2</c:v>
                      </c:pt>
                      <c:pt idx="199">
                        <c:v>5.7798574593825015E-2</c:v>
                      </c:pt>
                      <c:pt idx="200">
                        <c:v>5.593826447916906E-2</c:v>
                      </c:pt>
                      <c:pt idx="201">
                        <c:v>5.7296396087864673E-2</c:v>
                      </c:pt>
                      <c:pt idx="202">
                        <c:v>5.5240340126298589E-2</c:v>
                      </c:pt>
                      <c:pt idx="203">
                        <c:v>4.7195542028119999E-2</c:v>
                      </c:pt>
                      <c:pt idx="204">
                        <c:v>4.9028048622563755E-2</c:v>
                      </c:pt>
                      <c:pt idx="205">
                        <c:v>4.8794491872499811E-2</c:v>
                      </c:pt>
                      <c:pt idx="206">
                        <c:v>4.8394101045586044E-2</c:v>
                      </c:pt>
                      <c:pt idx="207">
                        <c:v>5.1310032519251599E-2</c:v>
                      </c:pt>
                      <c:pt idx="208">
                        <c:v>4.8654045073302538E-2</c:v>
                      </c:pt>
                      <c:pt idx="209">
                        <c:v>5.1319836307297508E-2</c:v>
                      </c:pt>
                      <c:pt idx="210">
                        <c:v>5.3038139873370756E-2</c:v>
                      </c:pt>
                      <c:pt idx="211">
                        <c:v>5.5251627086715174E-2</c:v>
                      </c:pt>
                      <c:pt idx="212">
                        <c:v>5.3803701436873276E-2</c:v>
                      </c:pt>
                      <c:pt idx="213">
                        <c:v>6.1328259774906156E-2</c:v>
                      </c:pt>
                      <c:pt idx="214">
                        <c:v>6.0868423930776204E-2</c:v>
                      </c:pt>
                      <c:pt idx="215">
                        <c:v>5.3486533701116348E-2</c:v>
                      </c:pt>
                      <c:pt idx="216">
                        <c:v>5.3443444052442488E-2</c:v>
                      </c:pt>
                      <c:pt idx="217">
                        <c:v>5.362835205389057E-2</c:v>
                      </c:pt>
                      <c:pt idx="218">
                        <c:v>6.8899082032345349E-2</c:v>
                      </c:pt>
                      <c:pt idx="219">
                        <c:v>6.9060894115160101E-2</c:v>
                      </c:pt>
                      <c:pt idx="220">
                        <c:v>7.0380716238203439E-2</c:v>
                      </c:pt>
                      <c:pt idx="221">
                        <c:v>6.6715013111611404E-2</c:v>
                      </c:pt>
                      <c:pt idx="222">
                        <c:v>6.8227081057569042E-2</c:v>
                      </c:pt>
                      <c:pt idx="223">
                        <c:v>6.6713344505286779E-2</c:v>
                      </c:pt>
                      <c:pt idx="224">
                        <c:v>6.5647810783317953E-2</c:v>
                      </c:pt>
                      <c:pt idx="225">
                        <c:v>6.3261132047514115E-2</c:v>
                      </c:pt>
                      <c:pt idx="226">
                        <c:v>6.1407233730636744E-2</c:v>
                      </c:pt>
                      <c:pt idx="227">
                        <c:v>6.29721063912215E-2</c:v>
                      </c:pt>
                      <c:pt idx="228">
                        <c:v>5.9251599610514759E-2</c:v>
                      </c:pt>
                      <c:pt idx="229">
                        <c:v>5.7013766700077816E-2</c:v>
                      </c:pt>
                      <c:pt idx="230">
                        <c:v>5.9543298458633022E-2</c:v>
                      </c:pt>
                      <c:pt idx="231">
                        <c:v>5.9540004818059183E-2</c:v>
                      </c:pt>
                      <c:pt idx="232">
                        <c:v>6.1372657483304803E-2</c:v>
                      </c:pt>
                      <c:pt idx="233">
                        <c:v>6.0623718909893827E-2</c:v>
                      </c:pt>
                      <c:pt idx="234">
                        <c:v>5.4616178948524774E-2</c:v>
                      </c:pt>
                      <c:pt idx="235">
                        <c:v>5.3357224183892889E-2</c:v>
                      </c:pt>
                      <c:pt idx="236">
                        <c:v>4.9078477290078394E-2</c:v>
                      </c:pt>
                      <c:pt idx="237">
                        <c:v>5.0300740057537319E-2</c:v>
                      </c:pt>
                      <c:pt idx="238">
                        <c:v>4.8997194980312221E-2</c:v>
                      </c:pt>
                      <c:pt idx="239">
                        <c:v>4.9838649930172667E-2</c:v>
                      </c:pt>
                      <c:pt idx="240">
                        <c:v>4.8650341778630542E-2</c:v>
                      </c:pt>
                      <c:pt idx="241">
                        <c:v>4.6720062473579918E-2</c:v>
                      </c:pt>
                      <c:pt idx="242">
                        <c:v>4.742112483165991E-2</c:v>
                      </c:pt>
                      <c:pt idx="243">
                        <c:v>4.9482701091552131E-2</c:v>
                      </c:pt>
                      <c:pt idx="244">
                        <c:v>4.9941534492614389E-2</c:v>
                      </c:pt>
                      <c:pt idx="245">
                        <c:v>4.9155017019211759E-2</c:v>
                      </c:pt>
                      <c:pt idx="246">
                        <c:v>5.3213955138575471E-2</c:v>
                      </c:pt>
                      <c:pt idx="247">
                        <c:v>5.4150936433641182E-2</c:v>
                      </c:pt>
                      <c:pt idx="248">
                        <c:v>5.3323832964633208E-2</c:v>
                      </c:pt>
                      <c:pt idx="249">
                        <c:v>5.3723413556684967E-2</c:v>
                      </c:pt>
                      <c:pt idx="250">
                        <c:v>5.0077306338239737E-2</c:v>
                      </c:pt>
                      <c:pt idx="251">
                        <c:v>4.769794643092768E-2</c:v>
                      </c:pt>
                      <c:pt idx="252">
                        <c:v>4.8752681095325441E-2</c:v>
                      </c:pt>
                      <c:pt idx="253">
                        <c:v>4.7277156787325553E-2</c:v>
                      </c:pt>
                      <c:pt idx="254">
                        <c:v>4.845130248102239E-2</c:v>
                      </c:pt>
                      <c:pt idx="255">
                        <c:v>4.9478861167547218E-2</c:v>
                      </c:pt>
                      <c:pt idx="256">
                        <c:v>4.9557617942756114E-2</c:v>
                      </c:pt>
                      <c:pt idx="257">
                        <c:v>5.0952355193592674E-2</c:v>
                      </c:pt>
                      <c:pt idx="258">
                        <c:v>4.7587723626123721E-2</c:v>
                      </c:pt>
                      <c:pt idx="259">
                        <c:v>4.9154099613543903E-2</c:v>
                      </c:pt>
                      <c:pt idx="260">
                        <c:v>4.4319614535865033E-2</c:v>
                      </c:pt>
                      <c:pt idx="261">
                        <c:v>4.4010466309442609E-2</c:v>
                      </c:pt>
                      <c:pt idx="262">
                        <c:v>4.0979082626620401E-2</c:v>
                      </c:pt>
                      <c:pt idx="263">
                        <c:v>4.2699720120683508E-2</c:v>
                      </c:pt>
                      <c:pt idx="264">
                        <c:v>4.2717376035258103E-2</c:v>
                      </c:pt>
                      <c:pt idx="265">
                        <c:v>4.8711473440149498E-2</c:v>
                      </c:pt>
                      <c:pt idx="266">
                        <c:v>4.6984660973352139E-2</c:v>
                      </c:pt>
                      <c:pt idx="267">
                        <c:v>4.6623281960520388E-2</c:v>
                      </c:pt>
                      <c:pt idx="268">
                        <c:v>4.9896706321202959E-2</c:v>
                      </c:pt>
                      <c:pt idx="269">
                        <c:v>4.7020542739059888E-2</c:v>
                      </c:pt>
                      <c:pt idx="270">
                        <c:v>4.4165834167722712E-2</c:v>
                      </c:pt>
                      <c:pt idx="271">
                        <c:v>3.7733206974839541E-2</c:v>
                      </c:pt>
                      <c:pt idx="272">
                        <c:v>3.5834472473159192E-2</c:v>
                      </c:pt>
                      <c:pt idx="273">
                        <c:v>3.1690907287451005E-2</c:v>
                      </c:pt>
                      <c:pt idx="274">
                        <c:v>3.2498079223997632E-2</c:v>
                      </c:pt>
                      <c:pt idx="275">
                        <c:v>3.0467274130679373E-2</c:v>
                      </c:pt>
                      <c:pt idx="276">
                        <c:v>3.0365716550243775E-2</c:v>
                      </c:pt>
                      <c:pt idx="277">
                        <c:v>3.0378513937280954E-2</c:v>
                      </c:pt>
                      <c:pt idx="278">
                        <c:v>3.436412991654194E-2</c:v>
                      </c:pt>
                      <c:pt idx="279">
                        <c:v>3.4221931173206169E-2</c:v>
                      </c:pt>
                      <c:pt idx="280">
                        <c:v>3.59959276454263E-2</c:v>
                      </c:pt>
                      <c:pt idx="281">
                        <c:v>3.1208111961106975E-2</c:v>
                      </c:pt>
                      <c:pt idx="282">
                        <c:v>3.4519344981650997E-2</c:v>
                      </c:pt>
                      <c:pt idx="283">
                        <c:v>4.1659486406345848E-2</c:v>
                      </c:pt>
                      <c:pt idx="284">
                        <c:v>4.3884820606199165E-2</c:v>
                      </c:pt>
                      <c:pt idx="285">
                        <c:v>4.5106576853601504E-2</c:v>
                      </c:pt>
                      <c:pt idx="286">
                        <c:v>4.8194788028149589E-2</c:v>
                      </c:pt>
                      <c:pt idx="287">
                        <c:v>4.7757579557633385E-2</c:v>
                      </c:pt>
                      <c:pt idx="288">
                        <c:v>5.182425753085091E-2</c:v>
                      </c:pt>
                      <c:pt idx="289">
                        <c:v>5.065698119841093E-2</c:v>
                      </c:pt>
                      <c:pt idx="290">
                        <c:v>5.3648412962696068E-2</c:v>
                      </c:pt>
                      <c:pt idx="291">
                        <c:v>5.1017167847101433E-2</c:v>
                      </c:pt>
                      <c:pt idx="292">
                        <c:v>5.3320329339284496E-2</c:v>
                      </c:pt>
                      <c:pt idx="293">
                        <c:v>5.4846905459841069E-2</c:v>
                      </c:pt>
                      <c:pt idx="294">
                        <c:v>5.5835533962265378E-2</c:v>
                      </c:pt>
                      <c:pt idx="295">
                        <c:v>5.0590116271997172E-2</c:v>
                      </c:pt>
                      <c:pt idx="296">
                        <c:v>5.7733821769542115E-2</c:v>
                      </c:pt>
                      <c:pt idx="297">
                        <c:v>5.9036730550865286E-2</c:v>
                      </c:pt>
                      <c:pt idx="298">
                        <c:v>5.9864525230108927E-2</c:v>
                      </c:pt>
                      <c:pt idx="299">
                        <c:v>6.0709164395454103E-2</c:v>
                      </c:pt>
                      <c:pt idx="300">
                        <c:v>5.5377757509459898E-2</c:v>
                      </c:pt>
                      <c:pt idx="301">
                        <c:v>4.8309229306167489E-2</c:v>
                      </c:pt>
                      <c:pt idx="302">
                        <c:v>5.0579399471474787E-2</c:v>
                      </c:pt>
                      <c:pt idx="303">
                        <c:v>4.5552271630240421E-2</c:v>
                      </c:pt>
                      <c:pt idx="304">
                        <c:v>4.4755493942800005E-2</c:v>
                      </c:pt>
                      <c:pt idx="305">
                        <c:v>4.2259993615031674E-2</c:v>
                      </c:pt>
                      <c:pt idx="306">
                        <c:v>4.3854839382699927E-2</c:v>
                      </c:pt>
                      <c:pt idx="307">
                        <c:v>4.6259189283321824E-2</c:v>
                      </c:pt>
                      <c:pt idx="308">
                        <c:v>4.7142941580219401E-2</c:v>
                      </c:pt>
                      <c:pt idx="309">
                        <c:v>4.9817374001086434E-2</c:v>
                      </c:pt>
                      <c:pt idx="310">
                        <c:v>5.111743466361552E-2</c:v>
                      </c:pt>
                      <c:pt idx="311">
                        <c:v>5.1603018460908485E-2</c:v>
                      </c:pt>
                      <c:pt idx="312">
                        <c:v>5.3428579789270729E-2</c:v>
                      </c:pt>
                      <c:pt idx="313">
                        <c:v>5.19778388980437E-2</c:v>
                      </c:pt>
                      <c:pt idx="314">
                        <c:v>5.7866194244759847E-2</c:v>
                      </c:pt>
                      <c:pt idx="315">
                        <c:v>5.859270093196197E-2</c:v>
                      </c:pt>
                      <c:pt idx="316">
                        <c:v>5.6647528705736382E-2</c:v>
                      </c:pt>
                      <c:pt idx="317">
                        <c:v>4.8136136840810161E-2</c:v>
                      </c:pt>
                      <c:pt idx="318">
                        <c:v>4.7700816784692582E-2</c:v>
                      </c:pt>
                      <c:pt idx="319">
                        <c:v>4.8814235957472592E-2</c:v>
                      </c:pt>
                      <c:pt idx="320">
                        <c:v>4.9565008447674273E-2</c:v>
                      </c:pt>
                      <c:pt idx="321">
                        <c:v>4.6775767801747935E-2</c:v>
                      </c:pt>
                      <c:pt idx="322">
                        <c:v>4.4233090614827011E-2</c:v>
                      </c:pt>
                      <c:pt idx="323">
                        <c:v>4.301411446143466E-2</c:v>
                      </c:pt>
                      <c:pt idx="324">
                        <c:v>4.3012502098712678E-2</c:v>
                      </c:pt>
                      <c:pt idx="325">
                        <c:v>4.2589817266038714E-2</c:v>
                      </c:pt>
                      <c:pt idx="326">
                        <c:v>4.1134107023824085E-2</c:v>
                      </c:pt>
                      <c:pt idx="327">
                        <c:v>4.4220543852504006E-2</c:v>
                      </c:pt>
                      <c:pt idx="328">
                        <c:v>4.3159688331185657E-2</c:v>
                      </c:pt>
                      <c:pt idx="329">
                        <c:v>4.2875948222582581E-2</c:v>
                      </c:pt>
                      <c:pt idx="330">
                        <c:v>4.1016883541906711E-2</c:v>
                      </c:pt>
                      <c:pt idx="331">
                        <c:v>4.1932209072235167E-2</c:v>
                      </c:pt>
                      <c:pt idx="332">
                        <c:v>3.8630499893560884E-2</c:v>
                      </c:pt>
                      <c:pt idx="333">
                        <c:v>3.6121066955434732E-2</c:v>
                      </c:pt>
                      <c:pt idx="334">
                        <c:v>4.6415555876126502E-2</c:v>
                      </c:pt>
                      <c:pt idx="335">
                        <c:v>5.0045199911845945E-2</c:v>
                      </c:pt>
                      <c:pt idx="336">
                        <c:v>4.453915998567836E-2</c:v>
                      </c:pt>
                      <c:pt idx="337">
                        <c:v>3.924442479375162E-2</c:v>
                      </c:pt>
                      <c:pt idx="338">
                        <c:v>3.913601478050921E-2</c:v>
                      </c:pt>
                      <c:pt idx="339">
                        <c:v>4.4006442339973167E-2</c:v>
                      </c:pt>
                      <c:pt idx="340">
                        <c:v>3.792039513289671E-2</c:v>
                      </c:pt>
                      <c:pt idx="341">
                        <c:v>3.7039376607371353E-2</c:v>
                      </c:pt>
                      <c:pt idx="342">
                        <c:v>3.5198377396857349E-2</c:v>
                      </c:pt>
                      <c:pt idx="343">
                        <c:v>1.9368231062575701E-2</c:v>
                      </c:pt>
                      <c:pt idx="344">
                        <c:v>1.6630235501578536E-2</c:v>
                      </c:pt>
                      <c:pt idx="345">
                        <c:v>2.575334350899814E-2</c:v>
                      </c:pt>
                      <c:pt idx="346">
                        <c:v>2.6713357606254064E-2</c:v>
                      </c:pt>
                      <c:pt idx="347">
                        <c:v>2.7393213860398943E-2</c:v>
                      </c:pt>
                      <c:pt idx="348">
                        <c:v>2.9792191968965112E-2</c:v>
                      </c:pt>
                      <c:pt idx="349">
                        <c:v>2.7698577284520461E-2</c:v>
                      </c:pt>
                      <c:pt idx="350">
                        <c:v>3.006408319391423E-2</c:v>
                      </c:pt>
                      <c:pt idx="351">
                        <c:v>3.6876469502037733E-2</c:v>
                      </c:pt>
                      <c:pt idx="352">
                        <c:v>3.1262058261705861E-2</c:v>
                      </c:pt>
                      <c:pt idx="353">
                        <c:v>2.8324894061108979E-2</c:v>
                      </c:pt>
                      <c:pt idx="354">
                        <c:v>3.466186434204676E-2</c:v>
                      </c:pt>
                      <c:pt idx="355">
                        <c:v>2.8489421112540728E-2</c:v>
                      </c:pt>
                      <c:pt idx="356">
                        <c:v>2.7348618596869746E-2</c:v>
                      </c:pt>
                      <c:pt idx="357">
                        <c:v>2.5350169722115335E-2</c:v>
                      </c:pt>
                      <c:pt idx="358">
                        <c:v>2.8394360001064371E-2</c:v>
                      </c:pt>
                      <c:pt idx="359">
                        <c:v>3.2368232682260606E-2</c:v>
                      </c:pt>
                      <c:pt idx="360">
                        <c:v>3.8723919801716494E-2</c:v>
                      </c:pt>
                      <c:pt idx="361">
                        <c:v>3.8185218419039393E-2</c:v>
                      </c:pt>
                      <c:pt idx="362">
                        <c:v>4.0136165733931889E-2</c:v>
                      </c:pt>
                      <c:pt idx="363">
                        <c:v>3.3387428368513737E-2</c:v>
                      </c:pt>
                      <c:pt idx="364">
                        <c:v>3.5306222491635064E-2</c:v>
                      </c:pt>
                      <c:pt idx="365">
                        <c:v>2.742826602463258E-2</c:v>
                      </c:pt>
                      <c:pt idx="366">
                        <c:v>2.7085107988933762E-2</c:v>
                      </c:pt>
                      <c:pt idx="367">
                        <c:v>3.1701950175977912E-2</c:v>
                      </c:pt>
                      <c:pt idx="368">
                        <c:v>3.0609362944869975E-2</c:v>
                      </c:pt>
                      <c:pt idx="369">
                        <c:v>3.4804218708248742E-2</c:v>
                      </c:pt>
                      <c:pt idx="370">
                        <c:v>3.2773173263703194E-2</c:v>
                      </c:pt>
                      <c:pt idx="371">
                        <c:v>3.6073538327404842E-2</c:v>
                      </c:pt>
                      <c:pt idx="372">
                        <c:v>3.0887635807262094E-2</c:v>
                      </c:pt>
                      <c:pt idx="373">
                        <c:v>2.7889438819873123E-2</c:v>
                      </c:pt>
                      <c:pt idx="374">
                        <c:v>3.1322844186721939E-2</c:v>
                      </c:pt>
                      <c:pt idx="375">
                        <c:v>3.6833272846992324E-2</c:v>
                      </c:pt>
                      <c:pt idx="376">
                        <c:v>3.4244722198649311E-2</c:v>
                      </c:pt>
                      <c:pt idx="377">
                        <c:v>3.3651718127236122E-2</c:v>
                      </c:pt>
                      <c:pt idx="378">
                        <c:v>3.0093703299113043E-2</c:v>
                      </c:pt>
                      <c:pt idx="379">
                        <c:v>2.2842853998705861E-2</c:v>
                      </c:pt>
                      <c:pt idx="380">
                        <c:v>2.1391229903415503E-2</c:v>
                      </c:pt>
                      <c:pt idx="381">
                        <c:v>2.6652823718888944E-2</c:v>
                      </c:pt>
                      <c:pt idx="382">
                        <c:v>2.518952215944277E-2</c:v>
                      </c:pt>
                      <c:pt idx="383">
                        <c:v>1.9615288266925459E-2</c:v>
                      </c:pt>
                      <c:pt idx="384">
                        <c:v>1.5873880130797689E-2</c:v>
                      </c:pt>
                      <c:pt idx="385">
                        <c:v>1.8972511896285457E-2</c:v>
                      </c:pt>
                      <c:pt idx="386">
                        <c:v>2.1007497411652254E-2</c:v>
                      </c:pt>
                      <c:pt idx="387">
                        <c:v>2.2882971828395514E-2</c:v>
                      </c:pt>
                      <c:pt idx="388">
                        <c:v>2.3805087615475014E-2</c:v>
                      </c:pt>
                      <c:pt idx="389">
                        <c:v>2.3896005765501722E-2</c:v>
                      </c:pt>
                      <c:pt idx="390">
                        <c:v>2.3967640459473968E-2</c:v>
                      </c:pt>
                      <c:pt idx="391">
                        <c:v>2.5630580197462956E-2</c:v>
                      </c:pt>
                      <c:pt idx="392">
                        <c:v>2.6589136349541225E-2</c:v>
                      </c:pt>
                      <c:pt idx="393">
                        <c:v>2.7241499942037367E-2</c:v>
                      </c:pt>
                      <c:pt idx="394">
                        <c:v>2.5357055507333307E-2</c:v>
                      </c:pt>
                      <c:pt idx="395">
                        <c:v>2.990774700107917E-2</c:v>
                      </c:pt>
                    </c:numCache>
                  </c:numRef>
                </c:val>
                <c:smooth val="0"/>
                <c:extLst xmlns:c15="http://schemas.microsoft.com/office/drawing/2012/chart">
                  <c:ext xmlns:c16="http://schemas.microsoft.com/office/drawing/2014/chart" uri="{C3380CC4-5D6E-409C-BE32-E72D297353CC}">
                    <c16:uniqueId val="{00000002-803E-4CB0-B231-E3453DAE9A00}"/>
                  </c:ext>
                </c:extLst>
              </c15:ser>
            </c15:filteredLineSeries>
          </c:ext>
        </c:extLst>
      </c:lineChart>
      <c:catAx>
        <c:axId val="1218075600"/>
        <c:scaling>
          <c:orientation val="minMax"/>
        </c:scaling>
        <c:delete val="0"/>
        <c:axPos val="b"/>
        <c:numFmt formatCode="General" sourceLinked="0"/>
        <c:majorTickMark val="none"/>
        <c:minorTickMark val="none"/>
        <c:tickLblPos val="low"/>
        <c:spPr>
          <a:noFill/>
          <a:ln w="19050" cap="flat" cmpd="sng" algn="ctr">
            <a:solidFill>
              <a:sysClr val="windowText" lastClr="000000"/>
            </a:solidFill>
            <a:prstDash val="sysDash"/>
            <a:round/>
          </a:ln>
          <a:effectLst/>
        </c:spPr>
        <c:txPr>
          <a:bodyPr rot="-60000000" spcFirstLastPara="1" vertOverflow="ellipsis" vert="horz" wrap="square" anchor="ctr" anchorCtr="1"/>
          <a:lstStyle/>
          <a:p>
            <a:pPr>
              <a:defRPr sz="900" b="1" i="0" u="none" strike="noStrike" kern="1200" baseline="0">
                <a:solidFill>
                  <a:schemeClr val="accent3">
                    <a:lumMod val="50000"/>
                  </a:schemeClr>
                </a:solidFill>
                <a:latin typeface="+mn-lt"/>
                <a:ea typeface="+mn-ea"/>
                <a:cs typeface="+mn-cs"/>
              </a:defRPr>
            </a:pPr>
            <a:endParaRPr lang="en-US"/>
          </a:p>
        </c:txPr>
        <c:crossAx val="1218077040"/>
        <c:crosses val="autoZero"/>
        <c:auto val="1"/>
        <c:lblAlgn val="ctr"/>
        <c:lblOffset val="100"/>
        <c:noMultiLvlLbl val="0"/>
      </c:catAx>
      <c:valAx>
        <c:axId val="1218077040"/>
        <c:scaling>
          <c:orientation val="minMax"/>
          <c:max val="1.2"/>
          <c:min val="-0.60000000000000009"/>
        </c:scaling>
        <c:delete val="0"/>
        <c:axPos val="l"/>
        <c:majorGridlines>
          <c:spPr>
            <a:ln w="9525" cap="flat" cmpd="sng" algn="ctr">
              <a:noFill/>
              <a:prstDash val="dash"/>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218075600"/>
        <c:crosses val="autoZero"/>
        <c:crossBetween val="between"/>
      </c:valAx>
      <c:spPr>
        <a:gradFill>
          <a:gsLst>
            <a:gs pos="0">
              <a:srgbClr val="00FF00"/>
            </a:gs>
            <a:gs pos="70000">
              <a:schemeClr val="bg1"/>
            </a:gs>
            <a:gs pos="56000">
              <a:schemeClr val="bg1"/>
            </a:gs>
            <a:gs pos="100000">
              <a:srgbClr val="FFCCCC"/>
            </a:gs>
          </a:gsLst>
          <a:lin ang="5400000" scaled="1"/>
        </a:gradFill>
        <a:ln w="3175">
          <a:solidFill>
            <a:sysClr val="windowText" lastClr="000000"/>
          </a:solidFill>
        </a:ln>
        <a:effectLst/>
      </c:spPr>
    </c:plotArea>
    <c:legend>
      <c:legendPos val="t"/>
      <c:layout>
        <c:manualLayout>
          <c:xMode val="edge"/>
          <c:yMode val="edge"/>
          <c:x val="0.29114578859460755"/>
          <c:y val="8.5508359074163345E-3"/>
          <c:w val="0.39448888970132362"/>
          <c:h val="5.4672451657828483E-2"/>
        </c:manualLayout>
      </c:layout>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legend>
    <c:plotVisOnly val="0"/>
    <c:dispBlanksAs val="span"/>
    <c:showDLblsOverMax val="0"/>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userShapes r:id="rId3"/>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6169619422572175E-2"/>
          <c:y val="5.0978511618140702E-2"/>
          <c:w val="0.82043389107611553"/>
          <c:h val="0.94609129748436782"/>
        </c:manualLayout>
      </c:layout>
      <c:pieChart>
        <c:varyColors val="1"/>
        <c:ser>
          <c:idx val="0"/>
          <c:order val="0"/>
          <c:spPr>
            <a:solidFill>
              <a:srgbClr val="92D050"/>
            </a:solidFill>
            <a:ln w="3175">
              <a:solidFill>
                <a:sysClr val="windowText" lastClr="000000"/>
              </a:solidFill>
            </a:ln>
          </c:spPr>
          <c:explosion val="11"/>
          <c:dPt>
            <c:idx val="0"/>
            <c:bubble3D val="0"/>
            <c:spPr>
              <a:solidFill>
                <a:srgbClr val="92D050"/>
              </a:solidFill>
              <a:ln w="3175">
                <a:solidFill>
                  <a:sysClr val="windowText" lastClr="000000"/>
                </a:solidFill>
              </a:ln>
              <a:effectLst/>
            </c:spPr>
            <c:extLst>
              <c:ext xmlns:c16="http://schemas.microsoft.com/office/drawing/2014/chart" uri="{C3380CC4-5D6E-409C-BE32-E72D297353CC}">
                <c16:uniqueId val="{00000001-D453-469D-ABAE-4ACF2F9681AA}"/>
              </c:ext>
            </c:extLst>
          </c:dPt>
          <c:dPt>
            <c:idx val="1"/>
            <c:bubble3D val="0"/>
            <c:spPr>
              <a:solidFill>
                <a:srgbClr val="FFFF00"/>
              </a:solidFill>
              <a:ln w="3175">
                <a:solidFill>
                  <a:sysClr val="windowText" lastClr="000000"/>
                </a:solidFill>
              </a:ln>
              <a:effectLst/>
            </c:spPr>
            <c:extLst>
              <c:ext xmlns:c16="http://schemas.microsoft.com/office/drawing/2014/chart" uri="{C3380CC4-5D6E-409C-BE32-E72D297353CC}">
                <c16:uniqueId val="{00000003-D453-469D-ABAE-4ACF2F9681AA}"/>
              </c:ext>
            </c:extLst>
          </c:dPt>
          <c:dLbls>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layout>
                    <c:manualLayout>
                      <c:w val="0.28296833989501313"/>
                      <c:h val="0.38793060233488358"/>
                    </c:manualLayout>
                  </c15:layout>
                </c:ext>
                <c:ext xmlns:c16="http://schemas.microsoft.com/office/drawing/2014/chart" uri="{C3380CC4-5D6E-409C-BE32-E72D297353CC}">
                  <c16:uniqueId val="{00000001-D453-469D-ABAE-4ACF2F9681AA}"/>
                </c:ext>
              </c:extLst>
            </c:dLbl>
            <c:dLbl>
              <c:idx val="1"/>
              <c:layout>
                <c:manualLayout>
                  <c:x val="0.11624671916010498"/>
                  <c:y val="6.7426548967197561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453-469D-ABAE-4ACF2F9681AA}"/>
                </c:ext>
              </c:extLst>
            </c:dLbl>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'Q1-STATS'!$AE$3:$AF$3</c:f>
              <c:numCache>
                <c:formatCode>0</c:formatCode>
                <c:ptCount val="2"/>
                <c:pt idx="0">
                  <c:v>347</c:v>
                </c:pt>
                <c:pt idx="1">
                  <c:v>72</c:v>
                </c:pt>
              </c:numCache>
            </c:numRef>
          </c:val>
          <c:extLst>
            <c:ext xmlns:c16="http://schemas.microsoft.com/office/drawing/2014/chart" uri="{C3380CC4-5D6E-409C-BE32-E72D297353CC}">
              <c16:uniqueId val="{00000004-D453-469D-ABAE-4ACF2F9681AA}"/>
            </c:ext>
          </c:extLst>
        </c:ser>
        <c:dLbls>
          <c:showLegendKey val="0"/>
          <c:showVal val="0"/>
          <c:showCatName val="0"/>
          <c:showSerName val="0"/>
          <c:showPercent val="0"/>
          <c:showBubbleSize val="0"/>
          <c:showLeaderLines val="1"/>
        </c:dLbls>
        <c:firstSliceAng val="9"/>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1" i="0" u="none" strike="noStrike" kern="1200" spc="0" baseline="0">
                <a:solidFill>
                  <a:schemeClr val="accent6">
                    <a:lumMod val="50000"/>
                  </a:schemeClr>
                </a:solidFill>
                <a:latin typeface="+mn-lt"/>
                <a:ea typeface="+mn-ea"/>
                <a:cs typeface="+mn-cs"/>
              </a:defRPr>
            </a:pPr>
            <a:r>
              <a:rPr lang="en-US" sz="1050" b="1">
                <a:solidFill>
                  <a:schemeClr val="accent6">
                    <a:lumMod val="50000"/>
                  </a:schemeClr>
                </a:solidFill>
              </a:rPr>
              <a:t>Gap</a:t>
            </a:r>
            <a:r>
              <a:rPr lang="en-US" sz="1050" b="1" baseline="0">
                <a:solidFill>
                  <a:schemeClr val="accent6">
                    <a:lumMod val="50000"/>
                  </a:schemeClr>
                </a:solidFill>
              </a:rPr>
              <a:t> Ups</a:t>
            </a:r>
            <a:endParaRPr lang="en-US" sz="1050" b="1">
              <a:solidFill>
                <a:schemeClr val="accent6">
                  <a:lumMod val="50000"/>
                </a:schemeClr>
              </a:solidFill>
            </a:endParaRPr>
          </a:p>
        </c:rich>
      </c:tx>
      <c:layout>
        <c:manualLayout>
          <c:xMode val="edge"/>
          <c:yMode val="edge"/>
          <c:x val="7.7123044045723788E-2"/>
          <c:y val="0.13905930470347649"/>
        </c:manualLayout>
      </c:layout>
      <c:overlay val="0"/>
      <c:spPr>
        <a:solidFill>
          <a:schemeClr val="accent3">
            <a:lumMod val="20000"/>
            <a:lumOff val="80000"/>
          </a:schemeClr>
        </a:solidFill>
        <a:ln>
          <a:solidFill>
            <a:schemeClr val="accent3"/>
          </a:solidFill>
        </a:ln>
        <a:effectLst>
          <a:outerShdw blurRad="50800" dist="38100" dir="2700000" algn="tl" rotWithShape="0">
            <a:prstClr val="black">
              <a:alpha val="40000"/>
            </a:prstClr>
          </a:outerShdw>
        </a:effectLst>
      </c:spPr>
    </c:title>
    <c:autoTitleDeleted val="0"/>
    <c:plotArea>
      <c:layout>
        <c:manualLayout>
          <c:layoutTarget val="inner"/>
          <c:xMode val="edge"/>
          <c:yMode val="edge"/>
          <c:x val="6.4257737013642527E-2"/>
          <c:y val="0.1091686391961741"/>
          <c:w val="0.87240544726991098"/>
          <c:h val="0.78492858638069019"/>
        </c:manualLayout>
      </c:layout>
      <c:barChart>
        <c:barDir val="col"/>
        <c:grouping val="clustered"/>
        <c:varyColors val="0"/>
        <c:ser>
          <c:idx val="1"/>
          <c:order val="1"/>
          <c:tx>
            <c:v>Average Gap Size Up</c:v>
          </c:tx>
          <c:spPr>
            <a:solidFill>
              <a:srgbClr val="00FF00"/>
            </a:solidFill>
            <a:ln>
              <a:solidFill>
                <a:sysClr val="windowText" lastClr="000000"/>
              </a:solidFill>
            </a:ln>
            <a:effectLst/>
          </c:spPr>
          <c:invertIfNegative val="0"/>
          <c:dLbls>
            <c:spPr>
              <a:solidFill>
                <a:schemeClr val="accent6">
                  <a:lumMod val="20000"/>
                  <a:lumOff val="80000"/>
                </a:schemeClr>
              </a:solidFill>
              <a:ln>
                <a:solidFill>
                  <a:sysClr val="windowText" lastClr="000000"/>
                </a:solidFill>
              </a:ln>
              <a:effectLst/>
            </c:spPr>
            <c:txPr>
              <a:bodyPr rot="0" spcFirstLastPara="1" vertOverflow="ellipsis" vert="horz" wrap="square" lIns="9144" tIns="9144" rIns="9144" bIns="9144"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'Stats Roll Up'!$B$4:$B$17</c:f>
              <c:strCache>
                <c:ptCount val="14"/>
                <c:pt idx="0">
                  <c:v>All</c:v>
                </c:pt>
                <c:pt idx="1">
                  <c:v>XLF</c:v>
                </c:pt>
                <c:pt idx="2">
                  <c:v>INS</c:v>
                </c:pt>
                <c:pt idx="3">
                  <c:v>XLY</c:v>
                </c:pt>
                <c:pt idx="4">
                  <c:v>XHB</c:v>
                </c:pt>
                <c:pt idx="5">
                  <c:v>XLP</c:v>
                </c:pt>
                <c:pt idx="6">
                  <c:v>XLK</c:v>
                </c:pt>
                <c:pt idx="7">
                  <c:v>SMH</c:v>
                </c:pt>
                <c:pt idx="8">
                  <c:v>IGV</c:v>
                </c:pt>
                <c:pt idx="9">
                  <c:v>XLC</c:v>
                </c:pt>
                <c:pt idx="10">
                  <c:v>XLI</c:v>
                </c:pt>
                <c:pt idx="11">
                  <c:v>XLV</c:v>
                </c:pt>
                <c:pt idx="12">
                  <c:v>XLB</c:v>
                </c:pt>
                <c:pt idx="13">
                  <c:v>XLE</c:v>
                </c:pt>
              </c:strCache>
            </c:strRef>
          </c:cat>
          <c:val>
            <c:numRef>
              <c:f>'Stats Roll Up'!$D$4:$D$17</c:f>
              <c:numCache>
                <c:formatCode>0.0%</c:formatCode>
                <c:ptCount val="14"/>
                <c:pt idx="0">
                  <c:v>4.6357040804207855E-2</c:v>
                </c:pt>
                <c:pt idx="1">
                  <c:v>3.1927346292928448E-2</c:v>
                </c:pt>
                <c:pt idx="2">
                  <c:v>2.6761169315794971E-2</c:v>
                </c:pt>
                <c:pt idx="3">
                  <c:v>5.1198517866104451E-2</c:v>
                </c:pt>
                <c:pt idx="4">
                  <c:v>4.0147183803193306E-2</c:v>
                </c:pt>
                <c:pt idx="5">
                  <c:v>5.2444382678876265E-2</c:v>
                </c:pt>
                <c:pt idx="6">
                  <c:v>6.0472459406191656E-2</c:v>
                </c:pt>
                <c:pt idx="7">
                  <c:v>4.1402110312169567E-2</c:v>
                </c:pt>
                <c:pt idx="8">
                  <c:v>5.8416271252104218E-2</c:v>
                </c:pt>
                <c:pt idx="9">
                  <c:v>4.0812057797851464E-2</c:v>
                </c:pt>
                <c:pt idx="10">
                  <c:v>4.9648120397567989E-2</c:v>
                </c:pt>
                <c:pt idx="11">
                  <c:v>5.1041195081963066E-2</c:v>
                </c:pt>
                <c:pt idx="12">
                  <c:v>3.7831771620207406E-2</c:v>
                </c:pt>
                <c:pt idx="13">
                  <c:v>1.6977055049360614E-2</c:v>
                </c:pt>
              </c:numCache>
            </c:numRef>
          </c:val>
          <c:extLst>
            <c:ext xmlns:c16="http://schemas.microsoft.com/office/drawing/2014/chart" uri="{C3380CC4-5D6E-409C-BE32-E72D297353CC}">
              <c16:uniqueId val="{00000001-212B-4514-9412-F928D909F1B7}"/>
            </c:ext>
          </c:extLst>
        </c:ser>
        <c:dLbls>
          <c:showLegendKey val="0"/>
          <c:showVal val="0"/>
          <c:showCatName val="0"/>
          <c:showSerName val="0"/>
          <c:showPercent val="0"/>
          <c:showBubbleSize val="0"/>
        </c:dLbls>
        <c:gapWidth val="100"/>
        <c:axId val="976137584"/>
        <c:axId val="976143344"/>
      </c:barChart>
      <c:lineChart>
        <c:grouping val="standard"/>
        <c:varyColors val="0"/>
        <c:ser>
          <c:idx val="0"/>
          <c:order val="0"/>
          <c:tx>
            <c:v>% That Gap Up</c:v>
          </c:tx>
          <c:spPr>
            <a:ln w="28575" cap="rnd">
              <a:solidFill>
                <a:sysClr val="windowText" lastClr="000000"/>
              </a:solidFill>
              <a:round/>
            </a:ln>
            <a:effectLst/>
          </c:spPr>
          <c:marker>
            <c:symbol val="none"/>
          </c:marker>
          <c:dLbls>
            <c:spPr>
              <a:solidFill>
                <a:schemeClr val="bg1">
                  <a:lumMod val="85000"/>
                </a:schemeClr>
              </a:solidFill>
              <a:ln>
                <a:solidFill>
                  <a:sysClr val="windowText" lastClr="000000"/>
                </a:solid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'Stats Roll Up'!$B$4:$B$17</c:f>
              <c:strCache>
                <c:ptCount val="14"/>
                <c:pt idx="0">
                  <c:v>All</c:v>
                </c:pt>
                <c:pt idx="1">
                  <c:v>XLF</c:v>
                </c:pt>
                <c:pt idx="2">
                  <c:v>INS</c:v>
                </c:pt>
                <c:pt idx="3">
                  <c:v>XLY</c:v>
                </c:pt>
                <c:pt idx="4">
                  <c:v>XHB</c:v>
                </c:pt>
                <c:pt idx="5">
                  <c:v>XLP</c:v>
                </c:pt>
                <c:pt idx="6">
                  <c:v>XLK</c:v>
                </c:pt>
                <c:pt idx="7">
                  <c:v>SMH</c:v>
                </c:pt>
                <c:pt idx="8">
                  <c:v>IGV</c:v>
                </c:pt>
                <c:pt idx="9">
                  <c:v>XLC</c:v>
                </c:pt>
                <c:pt idx="10">
                  <c:v>XLI</c:v>
                </c:pt>
                <c:pt idx="11">
                  <c:v>XLV</c:v>
                </c:pt>
                <c:pt idx="12">
                  <c:v>XLB</c:v>
                </c:pt>
                <c:pt idx="13">
                  <c:v>XLE</c:v>
                </c:pt>
              </c:strCache>
            </c:strRef>
          </c:cat>
          <c:val>
            <c:numRef>
              <c:f>'Stats Roll Up'!$E$4:$E$17</c:f>
              <c:numCache>
                <c:formatCode>0%</c:formatCode>
                <c:ptCount val="14"/>
                <c:pt idx="0">
                  <c:v>0.47961630695443647</c:v>
                </c:pt>
                <c:pt idx="1">
                  <c:v>0.46511627906976744</c:v>
                </c:pt>
                <c:pt idx="2">
                  <c:v>0.46666666666666667</c:v>
                </c:pt>
                <c:pt idx="3">
                  <c:v>0.52</c:v>
                </c:pt>
                <c:pt idx="4">
                  <c:v>0.75</c:v>
                </c:pt>
                <c:pt idx="5">
                  <c:v>0.3888888888888889</c:v>
                </c:pt>
                <c:pt idx="6">
                  <c:v>0.43333333333333335</c:v>
                </c:pt>
                <c:pt idx="7">
                  <c:v>0.5</c:v>
                </c:pt>
                <c:pt idx="8">
                  <c:v>0.45238095238095238</c:v>
                </c:pt>
                <c:pt idx="9">
                  <c:v>0.58823529411764708</c:v>
                </c:pt>
                <c:pt idx="10">
                  <c:v>0.44615384615384618</c:v>
                </c:pt>
                <c:pt idx="11">
                  <c:v>0.62222222222222223</c:v>
                </c:pt>
                <c:pt idx="12">
                  <c:v>0.40740740740740738</c:v>
                </c:pt>
                <c:pt idx="13">
                  <c:v>0.46153846153846156</c:v>
                </c:pt>
              </c:numCache>
            </c:numRef>
          </c:val>
          <c:smooth val="1"/>
          <c:extLst>
            <c:ext xmlns:c16="http://schemas.microsoft.com/office/drawing/2014/chart" uri="{C3380CC4-5D6E-409C-BE32-E72D297353CC}">
              <c16:uniqueId val="{00000000-212B-4514-9412-F928D909F1B7}"/>
            </c:ext>
          </c:extLst>
        </c:ser>
        <c:dLbls>
          <c:showLegendKey val="0"/>
          <c:showVal val="0"/>
          <c:showCatName val="0"/>
          <c:showSerName val="0"/>
          <c:showPercent val="0"/>
          <c:showBubbleSize val="0"/>
        </c:dLbls>
        <c:marker val="1"/>
        <c:smooth val="0"/>
        <c:axId val="1491153712"/>
        <c:axId val="1491150832"/>
      </c:lineChart>
      <c:catAx>
        <c:axId val="976137584"/>
        <c:scaling>
          <c:orientation val="minMax"/>
        </c:scaling>
        <c:delete val="0"/>
        <c:axPos val="b"/>
        <c:numFmt formatCode="General" sourceLinked="1"/>
        <c:majorTickMark val="out"/>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976143344"/>
        <c:crosses val="autoZero"/>
        <c:auto val="1"/>
        <c:lblAlgn val="ctr"/>
        <c:lblOffset val="100"/>
        <c:noMultiLvlLbl val="0"/>
      </c:catAx>
      <c:valAx>
        <c:axId val="976143344"/>
        <c:scaling>
          <c:orientation val="minMax"/>
          <c:max val="0.12000000000000001"/>
        </c:scaling>
        <c:delete val="0"/>
        <c:axPos val="l"/>
        <c:majorGridlines>
          <c:spPr>
            <a:ln w="9525" cap="flat" cmpd="sng" algn="ctr">
              <a:no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976137584"/>
        <c:crosses val="autoZero"/>
        <c:crossBetween val="between"/>
      </c:valAx>
      <c:valAx>
        <c:axId val="1491150832"/>
        <c:scaling>
          <c:orientation val="minMax"/>
        </c:scaling>
        <c:delete val="0"/>
        <c:axPos val="r"/>
        <c:majorGridlines>
          <c:spPr>
            <a:ln w="9525" cap="flat" cmpd="sng" algn="ctr">
              <a:solidFill>
                <a:schemeClr val="accent3">
                  <a:lumMod val="40000"/>
                  <a:lumOff val="60000"/>
                </a:schemeClr>
              </a:solidFill>
              <a:prstDash val="sysDash"/>
              <a:round/>
            </a:ln>
            <a:effectLst/>
          </c:spPr>
        </c:majorGridlines>
        <c:numFmt formatCode="0%"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91153712"/>
        <c:crosses val="max"/>
        <c:crossBetween val="between"/>
        <c:majorUnit val="0.5"/>
      </c:valAx>
      <c:catAx>
        <c:axId val="1491153712"/>
        <c:scaling>
          <c:orientation val="minMax"/>
        </c:scaling>
        <c:delete val="1"/>
        <c:axPos val="b"/>
        <c:numFmt formatCode="General" sourceLinked="1"/>
        <c:majorTickMark val="out"/>
        <c:minorTickMark val="none"/>
        <c:tickLblPos val="nextTo"/>
        <c:crossAx val="1491150832"/>
        <c:crosses val="autoZero"/>
        <c:auto val="1"/>
        <c:lblAlgn val="ctr"/>
        <c:lblOffset val="100"/>
        <c:noMultiLvlLbl val="0"/>
      </c:catAx>
      <c:spPr>
        <a:noFill/>
        <a:ln>
          <a:noFill/>
        </a:ln>
        <a:effectLst/>
      </c:spPr>
    </c:plotArea>
    <c:legend>
      <c:legendPos val="t"/>
      <c:layout>
        <c:manualLayout>
          <c:xMode val="edge"/>
          <c:yMode val="edge"/>
          <c:x val="0.3251834043285573"/>
          <c:y val="1.8548218282530636E-2"/>
          <c:w val="0.48241953874618132"/>
          <c:h val="6.9018887976426274E-2"/>
        </c:manualLayout>
      </c:layou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FF9900"/>
                </a:solidFill>
                <a:latin typeface="+mn-lt"/>
                <a:ea typeface="+mn-ea"/>
                <a:cs typeface="+mn-cs"/>
              </a:defRPr>
            </a:pPr>
            <a:r>
              <a:rPr lang="en-US" sz="1000" b="1">
                <a:solidFill>
                  <a:srgbClr val="FF9900"/>
                </a:solidFill>
              </a:rPr>
              <a:t>Gap Downs</a:t>
            </a:r>
          </a:p>
        </c:rich>
      </c:tx>
      <c:layout>
        <c:manualLayout>
          <c:xMode val="edge"/>
          <c:yMode val="edge"/>
          <c:x val="6.9740437158469948E-2"/>
          <c:y val="0.1058524003362144"/>
        </c:manualLayout>
      </c:layout>
      <c:overlay val="0"/>
      <c:spPr>
        <a:solidFill>
          <a:srgbClr val="FFFFCC"/>
        </a:solidFill>
        <a:ln>
          <a:solidFill>
            <a:srgbClr val="FFCC00"/>
          </a:solidFill>
        </a:ln>
        <a:effectLst>
          <a:outerShdw blurRad="50800" dist="38100" dir="2700000" algn="tl" rotWithShape="0">
            <a:prstClr val="black">
              <a:alpha val="40000"/>
            </a:prstClr>
          </a:outerShdw>
        </a:effectLst>
      </c:spPr>
    </c:title>
    <c:autoTitleDeleted val="0"/>
    <c:plotArea>
      <c:layout>
        <c:manualLayout>
          <c:layoutTarget val="inner"/>
          <c:xMode val="edge"/>
          <c:yMode val="edge"/>
          <c:x val="6.9897845761083141E-2"/>
          <c:y val="8.0536301731273366E-2"/>
          <c:w val="0.84982179481663156"/>
          <c:h val="0.82146623846987821"/>
        </c:manualLayout>
      </c:layout>
      <c:barChart>
        <c:barDir val="col"/>
        <c:grouping val="clustered"/>
        <c:varyColors val="0"/>
        <c:ser>
          <c:idx val="1"/>
          <c:order val="1"/>
          <c:tx>
            <c:v>Ave Gap Size Down</c:v>
          </c:tx>
          <c:spPr>
            <a:solidFill>
              <a:srgbClr val="FFFF00"/>
            </a:solidFill>
            <a:ln>
              <a:solidFill>
                <a:sysClr val="windowText" lastClr="000000"/>
              </a:solidFill>
            </a:ln>
            <a:effectLst/>
          </c:spPr>
          <c:invertIfNegative val="0"/>
          <c:dLbls>
            <c:spPr>
              <a:solidFill>
                <a:schemeClr val="accent6">
                  <a:lumMod val="20000"/>
                  <a:lumOff val="80000"/>
                </a:schemeClr>
              </a:solidFill>
              <a:ln>
                <a:solidFill>
                  <a:sysClr val="windowText" lastClr="000000"/>
                </a:solidFill>
              </a:ln>
              <a:effectLst/>
            </c:spPr>
            <c:txPr>
              <a:bodyPr rot="0" spcFirstLastPara="1" vertOverflow="ellipsis" vert="horz" wrap="square" lIns="9144" tIns="9144" rIns="9144" bIns="9144"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'Stats Roll Up'!$B$4:$B$17</c:f>
              <c:strCache>
                <c:ptCount val="14"/>
                <c:pt idx="0">
                  <c:v>All</c:v>
                </c:pt>
                <c:pt idx="1">
                  <c:v>XLF</c:v>
                </c:pt>
                <c:pt idx="2">
                  <c:v>INS</c:v>
                </c:pt>
                <c:pt idx="3">
                  <c:v>XLY</c:v>
                </c:pt>
                <c:pt idx="4">
                  <c:v>XHB</c:v>
                </c:pt>
                <c:pt idx="5">
                  <c:v>XLP</c:v>
                </c:pt>
                <c:pt idx="6">
                  <c:v>XLK</c:v>
                </c:pt>
                <c:pt idx="7">
                  <c:v>SMH</c:v>
                </c:pt>
                <c:pt idx="8">
                  <c:v>IGV</c:v>
                </c:pt>
                <c:pt idx="9">
                  <c:v>XLC</c:v>
                </c:pt>
                <c:pt idx="10">
                  <c:v>XLI</c:v>
                </c:pt>
                <c:pt idx="11">
                  <c:v>XLV</c:v>
                </c:pt>
                <c:pt idx="12">
                  <c:v>XLB</c:v>
                </c:pt>
                <c:pt idx="13">
                  <c:v>XLE</c:v>
                </c:pt>
              </c:strCache>
            </c:strRef>
          </c:cat>
          <c:val>
            <c:numRef>
              <c:f>'Stats Roll Up'!$V$4:$V$17</c:f>
              <c:numCache>
                <c:formatCode>0.0%</c:formatCode>
                <c:ptCount val="14"/>
                <c:pt idx="0">
                  <c:v>4.5323511529993678E-2</c:v>
                </c:pt>
                <c:pt idx="1">
                  <c:v>3.477953592783041E-2</c:v>
                </c:pt>
                <c:pt idx="2">
                  <c:v>2.692893519041753E-2</c:v>
                </c:pt>
                <c:pt idx="3">
                  <c:v>6.5004181480607021E-2</c:v>
                </c:pt>
                <c:pt idx="4">
                  <c:v>3.4822805228487526E-2</c:v>
                </c:pt>
                <c:pt idx="5">
                  <c:v>3.3673155383727622E-2</c:v>
                </c:pt>
                <c:pt idx="6">
                  <c:v>5.5116662941629653E-2</c:v>
                </c:pt>
                <c:pt idx="7">
                  <c:v>3.969582180105273E-2</c:v>
                </c:pt>
                <c:pt idx="8">
                  <c:v>9.5133128100834186E-2</c:v>
                </c:pt>
                <c:pt idx="9">
                  <c:v>5.1596195448361859E-2</c:v>
                </c:pt>
                <c:pt idx="10">
                  <c:v>3.2714538884720729E-2</c:v>
                </c:pt>
                <c:pt idx="11">
                  <c:v>2.2911722881398519E-2</c:v>
                </c:pt>
                <c:pt idx="12">
                  <c:v>2.8609147868622644E-2</c:v>
                </c:pt>
                <c:pt idx="13">
                  <c:v>2.6983825804193302E-2</c:v>
                </c:pt>
              </c:numCache>
            </c:numRef>
          </c:val>
          <c:extLst>
            <c:ext xmlns:c16="http://schemas.microsoft.com/office/drawing/2014/chart" uri="{C3380CC4-5D6E-409C-BE32-E72D297353CC}">
              <c16:uniqueId val="{00000000-309F-4D08-9F0E-748E3E5A7D64}"/>
            </c:ext>
          </c:extLst>
        </c:ser>
        <c:dLbls>
          <c:showLegendKey val="0"/>
          <c:showVal val="0"/>
          <c:showCatName val="0"/>
          <c:showSerName val="0"/>
          <c:showPercent val="0"/>
          <c:showBubbleSize val="0"/>
        </c:dLbls>
        <c:gapWidth val="100"/>
        <c:axId val="976137584"/>
        <c:axId val="976143344"/>
      </c:barChart>
      <c:lineChart>
        <c:grouping val="standard"/>
        <c:varyColors val="0"/>
        <c:ser>
          <c:idx val="0"/>
          <c:order val="0"/>
          <c:tx>
            <c:v>% That Gap Down</c:v>
          </c:tx>
          <c:spPr>
            <a:ln w="28575" cap="rnd">
              <a:solidFill>
                <a:sysClr val="windowText" lastClr="000000"/>
              </a:solidFill>
              <a:round/>
            </a:ln>
            <a:effectLst/>
          </c:spPr>
          <c:marker>
            <c:symbol val="none"/>
          </c:marker>
          <c:dLbls>
            <c:spPr>
              <a:solidFill>
                <a:schemeClr val="bg1">
                  <a:lumMod val="85000"/>
                </a:schemeClr>
              </a:solidFill>
              <a:ln>
                <a:solidFill>
                  <a:sysClr val="windowText" lastClr="000000"/>
                </a:solidFill>
              </a:ln>
              <a:effectLst/>
            </c:spPr>
            <c:txPr>
              <a:bodyPr rot="0" spcFirstLastPara="1" vertOverflow="ellipsis" vert="horz" wrap="square" lIns="18288" tIns="18288" rIns="18288" bIns="18288"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f>'Stats Roll Up'!$B$4:$B$17</c:f>
              <c:strCache>
                <c:ptCount val="14"/>
                <c:pt idx="0">
                  <c:v>All</c:v>
                </c:pt>
                <c:pt idx="1">
                  <c:v>XLF</c:v>
                </c:pt>
                <c:pt idx="2">
                  <c:v>INS</c:v>
                </c:pt>
                <c:pt idx="3">
                  <c:v>XLY</c:v>
                </c:pt>
                <c:pt idx="4">
                  <c:v>XHB</c:v>
                </c:pt>
                <c:pt idx="5">
                  <c:v>XLP</c:v>
                </c:pt>
                <c:pt idx="6">
                  <c:v>XLK</c:v>
                </c:pt>
                <c:pt idx="7">
                  <c:v>SMH</c:v>
                </c:pt>
                <c:pt idx="8">
                  <c:v>IGV</c:v>
                </c:pt>
                <c:pt idx="9">
                  <c:v>XLC</c:v>
                </c:pt>
                <c:pt idx="10">
                  <c:v>XLI</c:v>
                </c:pt>
                <c:pt idx="11">
                  <c:v>XLV</c:v>
                </c:pt>
                <c:pt idx="12">
                  <c:v>XLB</c:v>
                </c:pt>
                <c:pt idx="13">
                  <c:v>XLE</c:v>
                </c:pt>
              </c:strCache>
            </c:strRef>
          </c:cat>
          <c:val>
            <c:numRef>
              <c:f>'Stats Roll Up'!$W$4:$W$17</c:f>
              <c:numCache>
                <c:formatCode>0%</c:formatCode>
                <c:ptCount val="14"/>
                <c:pt idx="0">
                  <c:v>0.52038369304556353</c:v>
                </c:pt>
                <c:pt idx="1">
                  <c:v>0.53488372093023262</c:v>
                </c:pt>
                <c:pt idx="2">
                  <c:v>0.53333333333333333</c:v>
                </c:pt>
                <c:pt idx="3">
                  <c:v>0.48</c:v>
                </c:pt>
                <c:pt idx="4">
                  <c:v>0.25</c:v>
                </c:pt>
                <c:pt idx="5">
                  <c:v>0.61111111111111116</c:v>
                </c:pt>
                <c:pt idx="6">
                  <c:v>0.56666666666666665</c:v>
                </c:pt>
                <c:pt idx="7">
                  <c:v>0.5</c:v>
                </c:pt>
                <c:pt idx="8">
                  <c:v>0.54761904761904767</c:v>
                </c:pt>
                <c:pt idx="9">
                  <c:v>0.41176470588235292</c:v>
                </c:pt>
                <c:pt idx="10">
                  <c:v>0.55384615384615388</c:v>
                </c:pt>
                <c:pt idx="11">
                  <c:v>0.37777777777777777</c:v>
                </c:pt>
                <c:pt idx="12">
                  <c:v>0.59259259259259256</c:v>
                </c:pt>
                <c:pt idx="13">
                  <c:v>0.53846153846153844</c:v>
                </c:pt>
              </c:numCache>
            </c:numRef>
          </c:val>
          <c:smooth val="1"/>
          <c:extLst>
            <c:ext xmlns:c16="http://schemas.microsoft.com/office/drawing/2014/chart" uri="{C3380CC4-5D6E-409C-BE32-E72D297353CC}">
              <c16:uniqueId val="{00000002-309F-4D08-9F0E-748E3E5A7D64}"/>
            </c:ext>
          </c:extLst>
        </c:ser>
        <c:dLbls>
          <c:showLegendKey val="0"/>
          <c:showVal val="0"/>
          <c:showCatName val="0"/>
          <c:showSerName val="0"/>
          <c:showPercent val="0"/>
          <c:showBubbleSize val="0"/>
        </c:dLbls>
        <c:marker val="1"/>
        <c:smooth val="0"/>
        <c:axId val="1491153712"/>
        <c:axId val="1491150832"/>
      </c:lineChart>
      <c:catAx>
        <c:axId val="976137584"/>
        <c:scaling>
          <c:orientation val="minMax"/>
        </c:scaling>
        <c:delete val="0"/>
        <c:axPos val="b"/>
        <c:numFmt formatCode="General" sourceLinked="1"/>
        <c:majorTickMark val="out"/>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976143344"/>
        <c:crosses val="autoZero"/>
        <c:auto val="1"/>
        <c:lblAlgn val="ctr"/>
        <c:lblOffset val="100"/>
        <c:noMultiLvlLbl val="0"/>
      </c:catAx>
      <c:valAx>
        <c:axId val="976143344"/>
        <c:scaling>
          <c:orientation val="minMax"/>
          <c:max val="0.12000000000000001"/>
        </c:scaling>
        <c:delete val="0"/>
        <c:axPos val="l"/>
        <c:majorGridlines>
          <c:spPr>
            <a:ln w="9525" cap="flat" cmpd="sng" algn="ctr">
              <a:no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976137584"/>
        <c:crosses val="autoZero"/>
        <c:crossBetween val="between"/>
      </c:valAx>
      <c:valAx>
        <c:axId val="1491150832"/>
        <c:scaling>
          <c:orientation val="minMax"/>
          <c:max val="1"/>
        </c:scaling>
        <c:delete val="0"/>
        <c:axPos val="r"/>
        <c:majorGridlines>
          <c:spPr>
            <a:ln w="9525" cap="flat" cmpd="sng" algn="ctr">
              <a:solidFill>
                <a:srgbClr val="FFC000"/>
              </a:solidFill>
              <a:prstDash val="sysDash"/>
              <a:round/>
            </a:ln>
            <a:effectLst/>
          </c:spPr>
        </c:majorGridlines>
        <c:numFmt formatCode="0%" sourceLinked="1"/>
        <c:majorTickMark val="out"/>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91153712"/>
        <c:crosses val="max"/>
        <c:crossBetween val="between"/>
        <c:majorUnit val="0.5"/>
      </c:valAx>
      <c:catAx>
        <c:axId val="1491153712"/>
        <c:scaling>
          <c:orientation val="minMax"/>
        </c:scaling>
        <c:delete val="1"/>
        <c:axPos val="b"/>
        <c:numFmt formatCode="General" sourceLinked="1"/>
        <c:majorTickMark val="out"/>
        <c:minorTickMark val="none"/>
        <c:tickLblPos val="nextTo"/>
        <c:crossAx val="1491150832"/>
        <c:crosses val="autoZero"/>
        <c:auto val="1"/>
        <c:lblAlgn val="ctr"/>
        <c:lblOffset val="100"/>
        <c:noMultiLvlLbl val="0"/>
      </c:catAx>
      <c:spPr>
        <a:noFill/>
        <a:ln>
          <a:noFill/>
        </a:ln>
        <a:effectLst/>
      </c:spPr>
    </c:plotArea>
    <c:legend>
      <c:legendPos val="t"/>
      <c:layout>
        <c:manualLayout>
          <c:xMode val="edge"/>
          <c:yMode val="edge"/>
          <c:x val="0.22084588299413394"/>
          <c:y val="3.6641215500998682E-4"/>
          <c:w val="0.55830805473086353"/>
          <c:h val="7.6098643409485939E-2"/>
        </c:manualLayout>
      </c:layout>
      <c:overlay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chemeClr val="tx2"/>
                </a:solidFill>
                <a:latin typeface="+mn-lt"/>
                <a:ea typeface="+mn-ea"/>
                <a:cs typeface="+mn-cs"/>
              </a:defRPr>
            </a:pPr>
            <a:r>
              <a:rPr lang="en-US" sz="1000" b="1">
                <a:solidFill>
                  <a:schemeClr val="tx2"/>
                </a:solidFill>
              </a:rPr>
              <a:t>Sideways Trending </a:t>
            </a:r>
          </a:p>
          <a:p>
            <a:pPr>
              <a:defRPr sz="1000" b="1" i="0" u="none" strike="noStrike" kern="1200" spc="0" baseline="0">
                <a:solidFill>
                  <a:schemeClr val="tx2"/>
                </a:solidFill>
                <a:latin typeface="+mn-lt"/>
                <a:ea typeface="+mn-ea"/>
                <a:cs typeface="+mn-cs"/>
              </a:defRPr>
            </a:pPr>
            <a:r>
              <a:rPr lang="en-US" sz="1000" b="1">
                <a:solidFill>
                  <a:schemeClr val="tx2"/>
                </a:solidFill>
              </a:rPr>
              <a:t>Stocks</a:t>
            </a:r>
          </a:p>
        </c:rich>
      </c:tx>
      <c:layout>
        <c:manualLayout>
          <c:xMode val="edge"/>
          <c:yMode val="edge"/>
          <c:x val="7.330578538625844E-2"/>
          <c:y val="0.12678936605316973"/>
        </c:manualLayout>
      </c:layout>
      <c:overlay val="0"/>
      <c:spPr>
        <a:solidFill>
          <a:schemeClr val="tx2">
            <a:lumMod val="10000"/>
            <a:lumOff val="90000"/>
          </a:schemeClr>
        </a:solidFill>
        <a:ln>
          <a:solidFill>
            <a:schemeClr val="tx2"/>
          </a:solidFill>
        </a:ln>
        <a:effectLst>
          <a:outerShdw blurRad="50800" dist="38100" dir="2700000" algn="tl" rotWithShape="0">
            <a:prstClr val="black">
              <a:alpha val="40000"/>
            </a:prstClr>
          </a:outerShdw>
        </a:effectLst>
      </c:spPr>
    </c:title>
    <c:autoTitleDeleted val="0"/>
    <c:plotArea>
      <c:layout>
        <c:manualLayout>
          <c:layoutTarget val="inner"/>
          <c:xMode val="edge"/>
          <c:yMode val="edge"/>
          <c:x val="6.4257737013642527E-2"/>
          <c:y val="0.1091686391961741"/>
          <c:w val="0.87240544726991098"/>
          <c:h val="0.78492858638069019"/>
        </c:manualLayout>
      </c:layout>
      <c:barChart>
        <c:barDir val="col"/>
        <c:grouping val="clustered"/>
        <c:varyColors val="0"/>
        <c:ser>
          <c:idx val="1"/>
          <c:order val="1"/>
          <c:tx>
            <c:v>Average Gap Size (UP)</c:v>
          </c:tx>
          <c:spPr>
            <a:solidFill>
              <a:srgbClr val="00FF00"/>
            </a:solidFill>
            <a:ln>
              <a:solidFill>
                <a:sysClr val="windowText" lastClr="000000"/>
              </a:solidFill>
            </a:ln>
            <a:effectLst/>
          </c:spPr>
          <c:invertIfNegative val="0"/>
          <c:dLbls>
            <c:spPr>
              <a:solidFill>
                <a:srgbClr val="00FF00"/>
              </a:solidFill>
              <a:ln>
                <a:solidFill>
                  <a:sysClr val="windowText" lastClr="000000"/>
                </a:solidFill>
              </a:ln>
              <a:effectLst/>
            </c:spPr>
            <c:txPr>
              <a:bodyPr rot="0" spcFirstLastPara="1" vertOverflow="ellipsis" horzOverflow="clip" vert="horz" wrap="square" lIns="9144" tIns="9144" rIns="9144" bIns="9144" anchor="ctr" anchorCtr="1">
                <a:spAutoFit/>
              </a:bodyPr>
              <a:lstStyle/>
              <a:p>
                <a:pPr>
                  <a:defRPr sz="700" b="1"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'Stats Roll Up'!$B$4:$B$17</c:f>
              <c:strCache>
                <c:ptCount val="14"/>
                <c:pt idx="0">
                  <c:v>All</c:v>
                </c:pt>
                <c:pt idx="1">
                  <c:v>XLF</c:v>
                </c:pt>
                <c:pt idx="2">
                  <c:v>INS</c:v>
                </c:pt>
                <c:pt idx="3">
                  <c:v>XLY</c:v>
                </c:pt>
                <c:pt idx="4">
                  <c:v>XHB</c:v>
                </c:pt>
                <c:pt idx="5">
                  <c:v>XLP</c:v>
                </c:pt>
                <c:pt idx="6">
                  <c:v>XLK</c:v>
                </c:pt>
                <c:pt idx="7">
                  <c:v>SMH</c:v>
                </c:pt>
                <c:pt idx="8">
                  <c:v>IGV</c:v>
                </c:pt>
                <c:pt idx="9">
                  <c:v>XLC</c:v>
                </c:pt>
                <c:pt idx="10">
                  <c:v>XLI</c:v>
                </c:pt>
                <c:pt idx="11">
                  <c:v>XLV</c:v>
                </c:pt>
                <c:pt idx="12">
                  <c:v>XLB</c:v>
                </c:pt>
                <c:pt idx="13">
                  <c:v>XLE</c:v>
                </c:pt>
              </c:strCache>
            </c:strRef>
          </c:cat>
          <c:val>
            <c:numRef>
              <c:f>'Stats Roll Up'!$Q$4:$Q$17</c:f>
              <c:numCache>
                <c:formatCode>0.0%</c:formatCode>
                <c:ptCount val="14"/>
                <c:pt idx="0">
                  <c:v>5.1080630313194597E-2</c:v>
                </c:pt>
                <c:pt idx="1">
                  <c:v>2.7080188365885705E-2</c:v>
                </c:pt>
                <c:pt idx="2">
                  <c:v>3.4049845082289677E-2</c:v>
                </c:pt>
                <c:pt idx="3">
                  <c:v>4.322784024863445E-2</c:v>
                </c:pt>
                <c:pt idx="4">
                  <c:v>4.7509648961587964E-2</c:v>
                </c:pt>
                <c:pt idx="5">
                  <c:v>9.9770716014112901E-2</c:v>
                </c:pt>
                <c:pt idx="6">
                  <c:v>5.9089559561367445E-2</c:v>
                </c:pt>
                <c:pt idx="7">
                  <c:v>3.9082092017653822E-2</c:v>
                </c:pt>
                <c:pt idx="8">
                  <c:v>8.1580866280049791E-2</c:v>
                </c:pt>
                <c:pt idx="9">
                  <c:v>4.116386314577964E-2</c:v>
                </c:pt>
                <c:pt idx="10">
                  <c:v>5.3229448657496646E-2</c:v>
                </c:pt>
                <c:pt idx="11">
                  <c:v>5.6248129981961922E-2</c:v>
                </c:pt>
                <c:pt idx="12">
                  <c:v>3.9873151322342898E-2</c:v>
                </c:pt>
                <c:pt idx="13">
                  <c:v>3.005970763845997E-2</c:v>
                </c:pt>
              </c:numCache>
            </c:numRef>
          </c:val>
          <c:extLst>
            <c:ext xmlns:c16="http://schemas.microsoft.com/office/drawing/2014/chart" uri="{C3380CC4-5D6E-409C-BE32-E72D297353CC}">
              <c16:uniqueId val="{00000000-1E80-4595-84E0-18915D7E49D3}"/>
            </c:ext>
          </c:extLst>
        </c:ser>
        <c:ser>
          <c:idx val="2"/>
          <c:order val="2"/>
          <c:tx>
            <c:v>Average Gap Size (Dwn)</c:v>
          </c:tx>
          <c:spPr>
            <a:solidFill>
              <a:srgbClr val="FFFF00"/>
            </a:solidFill>
            <a:ln>
              <a:solidFill>
                <a:sysClr val="windowText" lastClr="000000"/>
              </a:solidFill>
            </a:ln>
            <a:effectLst/>
          </c:spPr>
          <c:invertIfNegative val="0"/>
          <c:dLbls>
            <c:spPr>
              <a:solidFill>
                <a:srgbClr val="FFFF00"/>
              </a:solidFill>
              <a:ln>
                <a:solidFill>
                  <a:sysClr val="windowText" lastClr="000000"/>
                </a:solidFill>
              </a:ln>
              <a:effectLst/>
            </c:spPr>
            <c:txPr>
              <a:bodyPr rot="0" spcFirstLastPara="1" vertOverflow="ellipsis" vert="horz" wrap="square" lIns="9144" tIns="9144" rIns="9144" bIns="9144" anchor="ctr" anchorCtr="1">
                <a:spAutoFit/>
              </a:bodyPr>
              <a:lstStyle/>
              <a:p>
                <a:pPr>
                  <a:defRPr sz="7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val>
            <c:numRef>
              <c:f>'Stats Roll Up'!$AI$4:$AI$17</c:f>
              <c:numCache>
                <c:formatCode>0.0%</c:formatCode>
                <c:ptCount val="14"/>
                <c:pt idx="0">
                  <c:v>4.7065913181416126E-2</c:v>
                </c:pt>
                <c:pt idx="1">
                  <c:v>2.9361721269724365E-2</c:v>
                </c:pt>
                <c:pt idx="2">
                  <c:v>3.0289118415597702E-2</c:v>
                </c:pt>
                <c:pt idx="3">
                  <c:v>5.2535392037258301E-2</c:v>
                </c:pt>
                <c:pt idx="4">
                  <c:v>0</c:v>
                </c:pt>
                <c:pt idx="5">
                  <c:v>3.6687349228357778E-2</c:v>
                </c:pt>
                <c:pt idx="6">
                  <c:v>5.8186495095649347E-2</c:v>
                </c:pt>
                <c:pt idx="7">
                  <c:v>3.1540255951176661E-2</c:v>
                </c:pt>
                <c:pt idx="8">
                  <c:v>0.11461672454881174</c:v>
                </c:pt>
                <c:pt idx="9">
                  <c:v>1.8830102450957002E-2</c:v>
                </c:pt>
                <c:pt idx="10">
                  <c:v>2.4912081745406114E-2</c:v>
                </c:pt>
                <c:pt idx="11">
                  <c:v>2.780417176186999E-2</c:v>
                </c:pt>
                <c:pt idx="12">
                  <c:v>3.0743154072951889E-2</c:v>
                </c:pt>
                <c:pt idx="13">
                  <c:v>2.3673198542854459E-2</c:v>
                </c:pt>
              </c:numCache>
            </c:numRef>
          </c:val>
          <c:extLst>
            <c:ext xmlns:c16="http://schemas.microsoft.com/office/drawing/2014/chart" uri="{C3380CC4-5D6E-409C-BE32-E72D297353CC}">
              <c16:uniqueId val="{00000000-7E3B-4DDB-B344-C0F965A69032}"/>
            </c:ext>
          </c:extLst>
        </c:ser>
        <c:dLbls>
          <c:showLegendKey val="0"/>
          <c:showVal val="0"/>
          <c:showCatName val="0"/>
          <c:showSerName val="0"/>
          <c:showPercent val="0"/>
          <c:showBubbleSize val="0"/>
        </c:dLbls>
        <c:gapWidth val="60"/>
        <c:overlap val="-15"/>
        <c:axId val="976137584"/>
        <c:axId val="976143344"/>
      </c:barChart>
      <c:lineChart>
        <c:grouping val="standard"/>
        <c:varyColors val="0"/>
        <c:ser>
          <c:idx val="0"/>
          <c:order val="0"/>
          <c:tx>
            <c:v>% of Sideways Trends that Gap Up</c:v>
          </c:tx>
          <c:spPr>
            <a:ln w="28575" cap="rnd">
              <a:solidFill>
                <a:sysClr val="windowText" lastClr="000000"/>
              </a:solidFill>
              <a:round/>
            </a:ln>
            <a:effectLst/>
          </c:spPr>
          <c:marker>
            <c:symbol val="none"/>
          </c:marker>
          <c:dLbls>
            <c:spPr>
              <a:solidFill>
                <a:schemeClr val="bg1">
                  <a:lumMod val="85000"/>
                </a:schemeClr>
              </a:solidFill>
              <a:ln>
                <a:solidFill>
                  <a:sysClr val="windowText" lastClr="000000"/>
                </a:solidFill>
              </a:ln>
              <a:effectLst/>
            </c:spPr>
            <c:txPr>
              <a:bodyPr rot="0" spcFirstLastPara="1" vertOverflow="ellipsis" vert="horz" wrap="square" lIns="9144" tIns="9144" rIns="9144" bIns="9144"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f>'Stats Roll Up'!$B$4:$B$17</c:f>
              <c:strCache>
                <c:ptCount val="14"/>
                <c:pt idx="0">
                  <c:v>All</c:v>
                </c:pt>
                <c:pt idx="1">
                  <c:v>XLF</c:v>
                </c:pt>
                <c:pt idx="2">
                  <c:v>INS</c:v>
                </c:pt>
                <c:pt idx="3">
                  <c:v>XLY</c:v>
                </c:pt>
                <c:pt idx="4">
                  <c:v>XHB</c:v>
                </c:pt>
                <c:pt idx="5">
                  <c:v>XLP</c:v>
                </c:pt>
                <c:pt idx="6">
                  <c:v>XLK</c:v>
                </c:pt>
                <c:pt idx="7">
                  <c:v>SMH</c:v>
                </c:pt>
                <c:pt idx="8">
                  <c:v>IGV</c:v>
                </c:pt>
                <c:pt idx="9">
                  <c:v>XLC</c:v>
                </c:pt>
                <c:pt idx="10">
                  <c:v>XLI</c:v>
                </c:pt>
                <c:pt idx="11">
                  <c:v>XLV</c:v>
                </c:pt>
                <c:pt idx="12">
                  <c:v>XLB</c:v>
                </c:pt>
                <c:pt idx="13">
                  <c:v>XLE</c:v>
                </c:pt>
              </c:strCache>
            </c:strRef>
          </c:cat>
          <c:val>
            <c:numRef>
              <c:f>'Stats Roll Up'!$O$4:$O$17</c:f>
              <c:numCache>
                <c:formatCode>0%</c:formatCode>
                <c:ptCount val="14"/>
                <c:pt idx="0">
                  <c:v>0.50495049504950495</c:v>
                </c:pt>
                <c:pt idx="1">
                  <c:v>0.41666666666666669</c:v>
                </c:pt>
                <c:pt idx="2">
                  <c:v>0.41666666666666669</c:v>
                </c:pt>
                <c:pt idx="3">
                  <c:v>0.58333333333333337</c:v>
                </c:pt>
                <c:pt idx="4">
                  <c:v>1</c:v>
                </c:pt>
                <c:pt idx="5">
                  <c:v>0.30769230769230771</c:v>
                </c:pt>
                <c:pt idx="6">
                  <c:v>0.47368421052631576</c:v>
                </c:pt>
                <c:pt idx="7">
                  <c:v>0.5</c:v>
                </c:pt>
                <c:pt idx="8">
                  <c:v>0.36363636363636365</c:v>
                </c:pt>
                <c:pt idx="9">
                  <c:v>0.75</c:v>
                </c:pt>
                <c:pt idx="10">
                  <c:v>0.51515151515151514</c:v>
                </c:pt>
                <c:pt idx="11">
                  <c:v>0.73913043478260865</c:v>
                </c:pt>
                <c:pt idx="12">
                  <c:v>0.625</c:v>
                </c:pt>
                <c:pt idx="13">
                  <c:v>0.33333333333333331</c:v>
                </c:pt>
              </c:numCache>
            </c:numRef>
          </c:val>
          <c:smooth val="1"/>
          <c:extLst>
            <c:ext xmlns:c16="http://schemas.microsoft.com/office/drawing/2014/chart" uri="{C3380CC4-5D6E-409C-BE32-E72D297353CC}">
              <c16:uniqueId val="{00000002-1E80-4595-84E0-18915D7E49D3}"/>
            </c:ext>
          </c:extLst>
        </c:ser>
        <c:dLbls>
          <c:showLegendKey val="0"/>
          <c:showVal val="0"/>
          <c:showCatName val="0"/>
          <c:showSerName val="0"/>
          <c:showPercent val="0"/>
          <c:showBubbleSize val="0"/>
        </c:dLbls>
        <c:marker val="1"/>
        <c:smooth val="0"/>
        <c:axId val="1491153712"/>
        <c:axId val="1491150832"/>
      </c:lineChart>
      <c:catAx>
        <c:axId val="976137584"/>
        <c:scaling>
          <c:orientation val="minMax"/>
        </c:scaling>
        <c:delete val="0"/>
        <c:axPos val="b"/>
        <c:numFmt formatCode="General" sourceLinked="1"/>
        <c:majorTickMark val="out"/>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976143344"/>
        <c:crosses val="autoZero"/>
        <c:auto val="1"/>
        <c:lblAlgn val="ctr"/>
        <c:lblOffset val="100"/>
        <c:noMultiLvlLbl val="0"/>
      </c:catAx>
      <c:valAx>
        <c:axId val="976143344"/>
        <c:scaling>
          <c:orientation val="minMax"/>
        </c:scaling>
        <c:delete val="0"/>
        <c:axPos val="l"/>
        <c:majorGridlines>
          <c:spPr>
            <a:ln w="9525" cap="flat" cmpd="sng" algn="ctr">
              <a:no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976137584"/>
        <c:crosses val="autoZero"/>
        <c:crossBetween val="between"/>
      </c:valAx>
      <c:valAx>
        <c:axId val="1491150832"/>
        <c:scaling>
          <c:orientation val="minMax"/>
          <c:max val="1"/>
        </c:scaling>
        <c:delete val="0"/>
        <c:axPos val="r"/>
        <c:majorGridlines>
          <c:spPr>
            <a:ln w="9525" cap="flat" cmpd="sng" algn="ctr">
              <a:solidFill>
                <a:schemeClr val="tx2">
                  <a:lumMod val="25000"/>
                  <a:lumOff val="75000"/>
                </a:schemeClr>
              </a:solidFill>
              <a:prstDash val="sysDash"/>
              <a:round/>
            </a:ln>
            <a:effectLst/>
          </c:spPr>
        </c:majorGridlines>
        <c:numFmt formatCode="0%"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91153712"/>
        <c:crosses val="max"/>
        <c:crossBetween val="between"/>
        <c:majorUnit val="0.5"/>
      </c:valAx>
      <c:catAx>
        <c:axId val="1491153712"/>
        <c:scaling>
          <c:orientation val="minMax"/>
        </c:scaling>
        <c:delete val="1"/>
        <c:axPos val="b"/>
        <c:numFmt formatCode="General" sourceLinked="1"/>
        <c:majorTickMark val="out"/>
        <c:minorTickMark val="none"/>
        <c:tickLblPos val="nextTo"/>
        <c:crossAx val="1491150832"/>
        <c:crosses val="autoZero"/>
        <c:auto val="1"/>
        <c:lblAlgn val="ctr"/>
        <c:lblOffset val="100"/>
        <c:noMultiLvlLbl val="0"/>
      </c:catAx>
      <c:spPr>
        <a:noFill/>
        <a:ln>
          <a:noFill/>
        </a:ln>
        <a:effectLst/>
      </c:spPr>
    </c:plotArea>
    <c:legend>
      <c:legendPos val="t"/>
      <c:layout>
        <c:manualLayout>
          <c:xMode val="edge"/>
          <c:yMode val="edge"/>
          <c:x val="4.9306064674201094E-2"/>
          <c:y val="1.6359918200408999E-2"/>
          <c:w val="0.89023444318553291"/>
          <c:h val="6.8268843695151599E-2"/>
        </c:manualLayout>
      </c:layout>
      <c:overlay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Sector Size</a:t>
            </a:r>
            <a:endParaRPr lang="en-US" b="0">
              <a:solidFill>
                <a:sysClr val="windowText" lastClr="000000"/>
              </a:solidFill>
            </a:endParaRPr>
          </a:p>
        </c:rich>
      </c:tx>
      <c:layout>
        <c:manualLayout>
          <c:xMode val="edge"/>
          <c:yMode val="edge"/>
          <c:x val="7.0500814241982193E-2"/>
          <c:y val="4.7058823529411764E-2"/>
        </c:manualLayout>
      </c:layout>
      <c:overlay val="0"/>
      <c:spPr>
        <a:solidFill>
          <a:schemeClr val="accent3">
            <a:lumMod val="20000"/>
            <a:lumOff val="80000"/>
          </a:schemeClr>
        </a:solidFill>
        <a:ln>
          <a:solidFill>
            <a:sysClr val="windowText" lastClr="000000"/>
          </a:solidFill>
        </a:ln>
        <a:effectLst>
          <a:outerShdw blurRad="50800" dist="38100" dir="2700000" algn="tl" rotWithShape="0">
            <a:prstClr val="black">
              <a:alpha val="40000"/>
            </a:prstClr>
          </a:outerShdw>
        </a:effectLst>
      </c:spPr>
    </c:title>
    <c:autoTitleDeleted val="0"/>
    <c:plotArea>
      <c:layout>
        <c:manualLayout>
          <c:layoutTarget val="inner"/>
          <c:xMode val="edge"/>
          <c:yMode val="edge"/>
          <c:x val="4.8341684562157004E-2"/>
          <c:y val="8.547112462006079E-2"/>
          <c:w val="0.88686852779766168"/>
          <c:h val="0.83350198246495788"/>
        </c:manualLayout>
      </c:layout>
      <c:barChart>
        <c:barDir val="col"/>
        <c:grouping val="clustered"/>
        <c:varyColors val="0"/>
        <c:ser>
          <c:idx val="0"/>
          <c:order val="0"/>
          <c:tx>
            <c:v>Sector Size</c:v>
          </c:tx>
          <c:spPr>
            <a:solidFill>
              <a:schemeClr val="accent6"/>
            </a:solidFill>
            <a:ln>
              <a:solidFill>
                <a:sysClr val="windowText" lastClr="000000"/>
              </a:solidFill>
            </a:ln>
            <a:effectLst/>
          </c:spPr>
          <c:invertIfNegative val="0"/>
          <c:dPt>
            <c:idx val="0"/>
            <c:invertIfNegative val="0"/>
            <c:bubble3D val="0"/>
            <c:spPr>
              <a:solidFill>
                <a:srgbClr val="92D050"/>
              </a:solidFill>
              <a:ln>
                <a:solidFill>
                  <a:sysClr val="windowText" lastClr="000000"/>
                </a:solidFill>
              </a:ln>
              <a:effectLst/>
            </c:spPr>
            <c:extLst>
              <c:ext xmlns:c16="http://schemas.microsoft.com/office/drawing/2014/chart" uri="{C3380CC4-5D6E-409C-BE32-E72D297353CC}">
                <c16:uniqueId val="{00000005-5C89-444F-AD8B-091E347D9545}"/>
              </c:ext>
            </c:extLst>
          </c:dPt>
          <c:dPt>
            <c:idx val="1"/>
            <c:invertIfNegative val="0"/>
            <c:bubble3D val="0"/>
            <c:spPr>
              <a:solidFill>
                <a:srgbClr val="92D050"/>
              </a:solidFill>
              <a:ln>
                <a:solidFill>
                  <a:sysClr val="windowText" lastClr="000000"/>
                </a:solidFill>
              </a:ln>
              <a:effectLst/>
            </c:spPr>
            <c:extLst>
              <c:ext xmlns:c16="http://schemas.microsoft.com/office/drawing/2014/chart" uri="{C3380CC4-5D6E-409C-BE32-E72D297353CC}">
                <c16:uniqueId val="{00000006-5C89-444F-AD8B-091E347D9545}"/>
              </c:ext>
            </c:extLst>
          </c:dPt>
          <c:dPt>
            <c:idx val="5"/>
            <c:invertIfNegative val="0"/>
            <c:bubble3D val="0"/>
            <c:spPr>
              <a:solidFill>
                <a:schemeClr val="accent4">
                  <a:lumMod val="40000"/>
                  <a:lumOff val="60000"/>
                </a:schemeClr>
              </a:solidFill>
              <a:ln>
                <a:solidFill>
                  <a:sysClr val="windowText" lastClr="000000"/>
                </a:solidFill>
              </a:ln>
              <a:effectLst/>
            </c:spPr>
            <c:extLst>
              <c:ext xmlns:c16="http://schemas.microsoft.com/office/drawing/2014/chart" uri="{C3380CC4-5D6E-409C-BE32-E72D297353CC}">
                <c16:uniqueId val="{00000002-5C89-444F-AD8B-091E347D9545}"/>
              </c:ext>
            </c:extLst>
          </c:dPt>
          <c:dPt>
            <c:idx val="6"/>
            <c:invertIfNegative val="0"/>
            <c:bubble3D val="0"/>
            <c:spPr>
              <a:solidFill>
                <a:schemeClr val="accent4">
                  <a:lumMod val="40000"/>
                  <a:lumOff val="60000"/>
                </a:schemeClr>
              </a:solidFill>
              <a:ln>
                <a:solidFill>
                  <a:sysClr val="windowText" lastClr="000000"/>
                </a:solidFill>
              </a:ln>
              <a:effectLst/>
            </c:spPr>
            <c:extLst>
              <c:ext xmlns:c16="http://schemas.microsoft.com/office/drawing/2014/chart" uri="{C3380CC4-5D6E-409C-BE32-E72D297353CC}">
                <c16:uniqueId val="{00000003-5C89-444F-AD8B-091E347D9545}"/>
              </c:ext>
            </c:extLst>
          </c:dPt>
          <c:dPt>
            <c:idx val="7"/>
            <c:invertIfNegative val="0"/>
            <c:bubble3D val="0"/>
            <c:spPr>
              <a:solidFill>
                <a:schemeClr val="accent4">
                  <a:lumMod val="40000"/>
                  <a:lumOff val="60000"/>
                </a:schemeClr>
              </a:solidFill>
              <a:ln>
                <a:solidFill>
                  <a:sysClr val="windowText" lastClr="000000"/>
                </a:solidFill>
              </a:ln>
              <a:effectLst/>
            </c:spPr>
            <c:extLst>
              <c:ext xmlns:c16="http://schemas.microsoft.com/office/drawing/2014/chart" uri="{C3380CC4-5D6E-409C-BE32-E72D297353CC}">
                <c16:uniqueId val="{00000004-5C89-444F-AD8B-091E347D9545}"/>
              </c:ext>
            </c:extLst>
          </c:dPt>
          <c:dPt>
            <c:idx val="10"/>
            <c:invertIfNegative val="0"/>
            <c:bubble3D val="0"/>
            <c:spPr>
              <a:solidFill>
                <a:schemeClr val="accent5">
                  <a:lumMod val="20000"/>
                  <a:lumOff val="80000"/>
                </a:schemeClr>
              </a:solidFill>
              <a:ln>
                <a:solidFill>
                  <a:sysClr val="windowText" lastClr="000000"/>
                </a:solidFill>
              </a:ln>
              <a:effectLst/>
            </c:spPr>
            <c:extLst>
              <c:ext xmlns:c16="http://schemas.microsoft.com/office/drawing/2014/chart" uri="{C3380CC4-5D6E-409C-BE32-E72D297353CC}">
                <c16:uniqueId val="{00000008-5C89-444F-AD8B-091E347D9545}"/>
              </c:ext>
            </c:extLst>
          </c:dPt>
          <c:dPt>
            <c:idx val="11"/>
            <c:invertIfNegative val="0"/>
            <c:bubble3D val="0"/>
            <c:spPr>
              <a:solidFill>
                <a:schemeClr val="accent5">
                  <a:lumMod val="20000"/>
                  <a:lumOff val="80000"/>
                </a:schemeClr>
              </a:solidFill>
              <a:ln>
                <a:solidFill>
                  <a:sysClr val="windowText" lastClr="000000"/>
                </a:solidFill>
              </a:ln>
              <a:effectLst/>
            </c:spPr>
            <c:extLst>
              <c:ext xmlns:c16="http://schemas.microsoft.com/office/drawing/2014/chart" uri="{C3380CC4-5D6E-409C-BE32-E72D297353CC}">
                <c16:uniqueId val="{00000007-5C89-444F-AD8B-091E347D9545}"/>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'Stats Roll Up'!$B$5:$B$17</c:f>
              <c:strCache>
                <c:ptCount val="13"/>
                <c:pt idx="0">
                  <c:v>XLF</c:v>
                </c:pt>
                <c:pt idx="1">
                  <c:v>INS</c:v>
                </c:pt>
                <c:pt idx="2">
                  <c:v>XLY</c:v>
                </c:pt>
                <c:pt idx="3">
                  <c:v>XHB</c:v>
                </c:pt>
                <c:pt idx="4">
                  <c:v>XLP</c:v>
                </c:pt>
                <c:pt idx="5">
                  <c:v>XLK</c:v>
                </c:pt>
                <c:pt idx="6">
                  <c:v>SMH</c:v>
                </c:pt>
                <c:pt idx="7">
                  <c:v>IGV</c:v>
                </c:pt>
                <c:pt idx="8">
                  <c:v>XLC</c:v>
                </c:pt>
                <c:pt idx="9">
                  <c:v>XLI</c:v>
                </c:pt>
                <c:pt idx="10">
                  <c:v>XLV</c:v>
                </c:pt>
                <c:pt idx="11">
                  <c:v>XLB</c:v>
                </c:pt>
                <c:pt idx="12">
                  <c:v>XLE</c:v>
                </c:pt>
              </c:strCache>
            </c:strRef>
          </c:cat>
          <c:val>
            <c:numRef>
              <c:f>'Stats Roll Up'!$R$5:$R$17</c:f>
              <c:numCache>
                <c:formatCode>0</c:formatCode>
                <c:ptCount val="13"/>
                <c:pt idx="0">
                  <c:v>43</c:v>
                </c:pt>
                <c:pt idx="1">
                  <c:v>15</c:v>
                </c:pt>
                <c:pt idx="2">
                  <c:v>50</c:v>
                </c:pt>
                <c:pt idx="3">
                  <c:v>8</c:v>
                </c:pt>
                <c:pt idx="4">
                  <c:v>36</c:v>
                </c:pt>
                <c:pt idx="5">
                  <c:v>30</c:v>
                </c:pt>
                <c:pt idx="6">
                  <c:v>20</c:v>
                </c:pt>
                <c:pt idx="7">
                  <c:v>44</c:v>
                </c:pt>
                <c:pt idx="8">
                  <c:v>17</c:v>
                </c:pt>
                <c:pt idx="9">
                  <c:v>65</c:v>
                </c:pt>
                <c:pt idx="10">
                  <c:v>45</c:v>
                </c:pt>
                <c:pt idx="11">
                  <c:v>27</c:v>
                </c:pt>
                <c:pt idx="12">
                  <c:v>13</c:v>
                </c:pt>
              </c:numCache>
            </c:numRef>
          </c:val>
          <c:extLst>
            <c:ext xmlns:c16="http://schemas.microsoft.com/office/drawing/2014/chart" uri="{C3380CC4-5D6E-409C-BE32-E72D297353CC}">
              <c16:uniqueId val="{00000000-5C89-444F-AD8B-091E347D9545}"/>
            </c:ext>
          </c:extLst>
        </c:ser>
        <c:dLbls>
          <c:showLegendKey val="0"/>
          <c:showVal val="0"/>
          <c:showCatName val="0"/>
          <c:showSerName val="0"/>
          <c:showPercent val="0"/>
          <c:showBubbleSize val="0"/>
        </c:dLbls>
        <c:gapWidth val="110"/>
        <c:axId val="212220240"/>
        <c:axId val="212203920"/>
      </c:barChart>
      <c:catAx>
        <c:axId val="212220240"/>
        <c:scaling>
          <c:orientation val="minMax"/>
        </c:scaling>
        <c:delete val="0"/>
        <c:axPos val="b"/>
        <c:numFmt formatCode="General" sourceLinked="1"/>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12203920"/>
        <c:crosses val="autoZero"/>
        <c:auto val="1"/>
        <c:lblAlgn val="ctr"/>
        <c:lblOffset val="100"/>
        <c:noMultiLvlLbl val="0"/>
      </c:catAx>
      <c:valAx>
        <c:axId val="212203920"/>
        <c:scaling>
          <c:orientation val="minMax"/>
        </c:scaling>
        <c:delete val="0"/>
        <c:axPos val="l"/>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12220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 Reported</a:t>
            </a:r>
            <a:r>
              <a:rPr lang="en-US" b="1" baseline="0">
                <a:solidFill>
                  <a:sysClr val="windowText" lastClr="000000"/>
                </a:solidFill>
              </a:rPr>
              <a:t>, </a:t>
            </a:r>
            <a:r>
              <a:rPr lang="en-US" sz="1050" b="0" baseline="0">
                <a:solidFill>
                  <a:sysClr val="windowText" lastClr="000000"/>
                </a:solidFill>
              </a:rPr>
              <a:t>by sector</a:t>
            </a:r>
            <a:endParaRPr lang="en-US" b="0">
              <a:solidFill>
                <a:sysClr val="windowText" lastClr="000000"/>
              </a:solidFill>
            </a:endParaRPr>
          </a:p>
        </c:rich>
      </c:tx>
      <c:layout>
        <c:manualLayout>
          <c:xMode val="edge"/>
          <c:yMode val="edge"/>
          <c:x val="8.0556116382888038E-2"/>
          <c:y val="0"/>
        </c:manualLayout>
      </c:layout>
      <c:overlay val="0"/>
      <c:spPr>
        <a:noFill/>
        <a:ln>
          <a:noFill/>
        </a:ln>
        <a:effectLst/>
      </c:spPr>
    </c:title>
    <c:autoTitleDeleted val="0"/>
    <c:plotArea>
      <c:layout>
        <c:manualLayout>
          <c:layoutTarget val="inner"/>
          <c:xMode val="edge"/>
          <c:yMode val="edge"/>
          <c:x val="4.8341684562157004E-2"/>
          <c:y val="8.547112462006079E-2"/>
          <c:w val="0.88686852779766168"/>
          <c:h val="0.83350198246495788"/>
        </c:manualLayout>
      </c:layout>
      <c:barChart>
        <c:barDir val="col"/>
        <c:grouping val="clustered"/>
        <c:varyColors val="0"/>
        <c:ser>
          <c:idx val="2"/>
          <c:order val="0"/>
          <c:tx>
            <c:v>Number Reported</c:v>
          </c:tx>
          <c:spPr>
            <a:solidFill>
              <a:srgbClr val="00FF00"/>
            </a:solidFill>
            <a:ln>
              <a:solidFill>
                <a:sysClr val="windowText" lastClr="000000"/>
              </a:solidFill>
            </a:ln>
            <a:effectLst/>
          </c:spPr>
          <c:invertIfNegative val="0"/>
          <c:dLbls>
            <c:spPr>
              <a:noFill/>
              <a:ln>
                <a:noFill/>
              </a:ln>
              <a:effectLst/>
            </c:spPr>
            <c:txPr>
              <a:bodyPr wrap="square" lIns="38100" tIns="19050" rIns="38100" bIns="19050" anchor="ctr">
                <a:spAutoFit/>
              </a:bodyPr>
              <a:lstStyle/>
              <a:p>
                <a:pPr>
                  <a:defRPr sz="900" b="1"/>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'Stats Roll Up'!$B$5:$B$17</c:f>
              <c:strCache>
                <c:ptCount val="13"/>
                <c:pt idx="0">
                  <c:v>XLF</c:v>
                </c:pt>
                <c:pt idx="1">
                  <c:v>INS</c:v>
                </c:pt>
                <c:pt idx="2">
                  <c:v>XLY</c:v>
                </c:pt>
                <c:pt idx="3">
                  <c:v>XHB</c:v>
                </c:pt>
                <c:pt idx="4">
                  <c:v>XLP</c:v>
                </c:pt>
                <c:pt idx="5">
                  <c:v>XLK</c:v>
                </c:pt>
                <c:pt idx="6">
                  <c:v>SMH</c:v>
                </c:pt>
                <c:pt idx="7">
                  <c:v>IGV</c:v>
                </c:pt>
                <c:pt idx="8">
                  <c:v>XLC</c:v>
                </c:pt>
                <c:pt idx="9">
                  <c:v>XLI</c:v>
                </c:pt>
                <c:pt idx="10">
                  <c:v>XLV</c:v>
                </c:pt>
                <c:pt idx="11">
                  <c:v>XLB</c:v>
                </c:pt>
                <c:pt idx="12">
                  <c:v>XLE</c:v>
                </c:pt>
              </c:strCache>
            </c:strRef>
          </c:cat>
          <c:val>
            <c:numRef>
              <c:f>'Stats Roll Up'!$AK$5:$AK$17</c:f>
              <c:numCache>
                <c:formatCode>General</c:formatCode>
                <c:ptCount val="13"/>
                <c:pt idx="0">
                  <c:v>43</c:v>
                </c:pt>
                <c:pt idx="1">
                  <c:v>15</c:v>
                </c:pt>
                <c:pt idx="2">
                  <c:v>50</c:v>
                </c:pt>
                <c:pt idx="3">
                  <c:v>8</c:v>
                </c:pt>
                <c:pt idx="4">
                  <c:v>36</c:v>
                </c:pt>
                <c:pt idx="5">
                  <c:v>30</c:v>
                </c:pt>
                <c:pt idx="6">
                  <c:v>20</c:v>
                </c:pt>
                <c:pt idx="7">
                  <c:v>44</c:v>
                </c:pt>
                <c:pt idx="8">
                  <c:v>17</c:v>
                </c:pt>
                <c:pt idx="9">
                  <c:v>65</c:v>
                </c:pt>
                <c:pt idx="10">
                  <c:v>45</c:v>
                </c:pt>
                <c:pt idx="11">
                  <c:v>27</c:v>
                </c:pt>
                <c:pt idx="12">
                  <c:v>13</c:v>
                </c:pt>
              </c:numCache>
            </c:numRef>
          </c:val>
          <c:extLst>
            <c:ext xmlns:c16="http://schemas.microsoft.com/office/drawing/2014/chart" uri="{C3380CC4-5D6E-409C-BE32-E72D297353CC}">
              <c16:uniqueId val="{00000012-7F62-4626-89EB-B9C9263A4E31}"/>
            </c:ext>
          </c:extLst>
        </c:ser>
        <c:dLbls>
          <c:showLegendKey val="0"/>
          <c:showVal val="0"/>
          <c:showCatName val="0"/>
          <c:showSerName val="0"/>
          <c:showPercent val="0"/>
          <c:showBubbleSize val="0"/>
        </c:dLbls>
        <c:gapWidth val="110"/>
        <c:axId val="212220240"/>
        <c:axId val="212203920"/>
      </c:barChart>
      <c:lineChart>
        <c:grouping val="standard"/>
        <c:varyColors val="0"/>
        <c:ser>
          <c:idx val="1"/>
          <c:order val="1"/>
          <c:tx>
            <c:v>% Reported</c:v>
          </c:tx>
          <c:spPr>
            <a:ln w="28575" cap="rnd">
              <a:solidFill>
                <a:sysClr val="windowText" lastClr="000000"/>
              </a:solidFill>
              <a:round/>
            </a:ln>
            <a:effectLst/>
          </c:spPr>
          <c:marker>
            <c:symbol val="none"/>
          </c:marker>
          <c:dLbls>
            <c:spPr>
              <a:solidFill>
                <a:schemeClr val="accent6">
                  <a:lumMod val="20000"/>
                  <a:lumOff val="80000"/>
                </a:schemeClr>
              </a:solidFill>
              <a:ln>
                <a:solidFill>
                  <a:sysClr val="windowText" lastClr="000000"/>
                </a:solidFill>
              </a:ln>
              <a:effectLst/>
            </c:spPr>
            <c:txPr>
              <a:bodyPr rot="0" spcFirstLastPara="1" vertOverflow="ellipsis" vert="horz" wrap="square" lIns="18288" tIns="9144" rIns="18288" bIns="9144"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'Stats Roll Up'!$B$5:$B$17</c:f>
              <c:strCache>
                <c:ptCount val="13"/>
                <c:pt idx="0">
                  <c:v>XLF</c:v>
                </c:pt>
                <c:pt idx="1">
                  <c:v>INS</c:v>
                </c:pt>
                <c:pt idx="2">
                  <c:v>XLY</c:v>
                </c:pt>
                <c:pt idx="3">
                  <c:v>XHB</c:v>
                </c:pt>
                <c:pt idx="4">
                  <c:v>XLP</c:v>
                </c:pt>
                <c:pt idx="5">
                  <c:v>XLK</c:v>
                </c:pt>
                <c:pt idx="6">
                  <c:v>SMH</c:v>
                </c:pt>
                <c:pt idx="7">
                  <c:v>IGV</c:v>
                </c:pt>
                <c:pt idx="8">
                  <c:v>XLC</c:v>
                </c:pt>
                <c:pt idx="9">
                  <c:v>XLI</c:v>
                </c:pt>
                <c:pt idx="10">
                  <c:v>XLV</c:v>
                </c:pt>
                <c:pt idx="11">
                  <c:v>XLB</c:v>
                </c:pt>
                <c:pt idx="12">
                  <c:v>XLE</c:v>
                </c:pt>
              </c:strCache>
            </c:strRef>
          </c:cat>
          <c:val>
            <c:numRef>
              <c:f>'Stats Roll Up'!$S$5:$S$17</c:f>
              <c:numCache>
                <c:formatCode>0%</c:formatCode>
                <c:ptCount val="13"/>
                <c:pt idx="0">
                  <c:v>1</c:v>
                </c:pt>
                <c:pt idx="1">
                  <c:v>1</c:v>
                </c:pt>
                <c:pt idx="2">
                  <c:v>1</c:v>
                </c:pt>
                <c:pt idx="3">
                  <c:v>1</c:v>
                </c:pt>
                <c:pt idx="4">
                  <c:v>1</c:v>
                </c:pt>
                <c:pt idx="5">
                  <c:v>1</c:v>
                </c:pt>
                <c:pt idx="6">
                  <c:v>1</c:v>
                </c:pt>
                <c:pt idx="7">
                  <c:v>1</c:v>
                </c:pt>
                <c:pt idx="8">
                  <c:v>1</c:v>
                </c:pt>
                <c:pt idx="9">
                  <c:v>1</c:v>
                </c:pt>
                <c:pt idx="10">
                  <c:v>1</c:v>
                </c:pt>
                <c:pt idx="11">
                  <c:v>1</c:v>
                </c:pt>
                <c:pt idx="12">
                  <c:v>1</c:v>
                </c:pt>
              </c:numCache>
            </c:numRef>
          </c:val>
          <c:smooth val="0"/>
          <c:extLst>
            <c:ext xmlns:c16="http://schemas.microsoft.com/office/drawing/2014/chart" uri="{C3380CC4-5D6E-409C-BE32-E72D297353CC}">
              <c16:uniqueId val="{00000011-7F62-4626-89EB-B9C9263A4E31}"/>
            </c:ext>
          </c:extLst>
        </c:ser>
        <c:dLbls>
          <c:showLegendKey val="0"/>
          <c:showVal val="0"/>
          <c:showCatName val="0"/>
          <c:showSerName val="0"/>
          <c:showPercent val="0"/>
          <c:showBubbleSize val="0"/>
        </c:dLbls>
        <c:marker val="1"/>
        <c:smooth val="0"/>
        <c:axId val="212218320"/>
        <c:axId val="212216880"/>
      </c:lineChart>
      <c:catAx>
        <c:axId val="212220240"/>
        <c:scaling>
          <c:orientation val="minMax"/>
        </c:scaling>
        <c:delete val="0"/>
        <c:axPos val="b"/>
        <c:numFmt formatCode="General" sourceLinked="1"/>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12203920"/>
        <c:crosses val="autoZero"/>
        <c:auto val="1"/>
        <c:lblAlgn val="ctr"/>
        <c:lblOffset val="100"/>
        <c:noMultiLvlLbl val="0"/>
      </c:catAx>
      <c:valAx>
        <c:axId val="212203920"/>
        <c:scaling>
          <c:orientation val="minMax"/>
          <c:max val="80"/>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12220240"/>
        <c:crosses val="autoZero"/>
        <c:crossBetween val="between"/>
      </c:valAx>
      <c:valAx>
        <c:axId val="212216880"/>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ysClr val="windowText" lastClr="000000"/>
                </a:solidFill>
                <a:latin typeface="+mn-lt"/>
                <a:ea typeface="+mn-ea"/>
                <a:cs typeface="+mn-cs"/>
              </a:defRPr>
            </a:pPr>
            <a:endParaRPr lang="en-US"/>
          </a:p>
        </c:txPr>
        <c:crossAx val="212218320"/>
        <c:crosses val="max"/>
        <c:crossBetween val="between"/>
      </c:valAx>
      <c:catAx>
        <c:axId val="212218320"/>
        <c:scaling>
          <c:orientation val="minMax"/>
        </c:scaling>
        <c:delete val="1"/>
        <c:axPos val="b"/>
        <c:numFmt formatCode="General" sourceLinked="1"/>
        <c:majorTickMark val="out"/>
        <c:minorTickMark val="none"/>
        <c:tickLblPos val="nextTo"/>
        <c:crossAx val="212216880"/>
        <c:crosses val="autoZero"/>
        <c:auto val="1"/>
        <c:lblAlgn val="ctr"/>
        <c:lblOffset val="100"/>
        <c:noMultiLvlLbl val="0"/>
      </c:catAx>
      <c:spPr>
        <a:noFill/>
        <a:ln>
          <a:noFill/>
        </a:ln>
        <a:effectLst/>
      </c:spPr>
    </c:plotArea>
    <c:legend>
      <c:legendPos val="b"/>
      <c:layout>
        <c:manualLayout>
          <c:xMode val="edge"/>
          <c:yMode val="edge"/>
          <c:x val="0.40278387332730947"/>
          <c:y val="2.3963101103590123E-2"/>
          <c:w val="0.51854965362936178"/>
          <c:h val="6.8389536414331195E-2"/>
        </c:manualLayout>
      </c:layou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accent3">
                    <a:lumMod val="50000"/>
                  </a:schemeClr>
                </a:solidFill>
                <a:latin typeface="+mn-lt"/>
                <a:ea typeface="+mn-ea"/>
                <a:cs typeface="+mn-cs"/>
              </a:defRPr>
            </a:pPr>
            <a:r>
              <a:rPr lang="en-US" b="1">
                <a:solidFill>
                  <a:schemeClr val="accent3">
                    <a:lumMod val="50000"/>
                  </a:schemeClr>
                </a:solidFill>
              </a:rPr>
              <a:t>Percent</a:t>
            </a:r>
            <a:r>
              <a:rPr lang="en-US" b="1" baseline="0">
                <a:solidFill>
                  <a:schemeClr val="accent3">
                    <a:lumMod val="50000"/>
                  </a:schemeClr>
                </a:solidFill>
              </a:rPr>
              <a:t> of Sector that Beat Earnings Expecations</a:t>
            </a:r>
            <a:endParaRPr lang="en-US" b="1">
              <a:solidFill>
                <a:schemeClr val="accent3">
                  <a:lumMod val="50000"/>
                </a:schemeClr>
              </a:solidFill>
            </a:endParaRPr>
          </a:p>
        </c:rich>
      </c:tx>
      <c:layout>
        <c:manualLayout>
          <c:xMode val="edge"/>
          <c:yMode val="edge"/>
          <c:x val="0.11804155730533683"/>
          <c:y val="1.230769230769230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3">
                  <a:lumMod val="50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rgbClr val="92D050"/>
            </a:solidFill>
            <a:ln>
              <a:solidFill>
                <a:sysClr val="windowText" lastClr="0000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'Stats Roll Up'!$AN$22:$AN$35</c15:sqref>
                  </c15:fullRef>
                </c:ext>
              </c:extLst>
              <c:f>('Stats Roll Up'!$AN$23,'Stats Roll Up'!$AN$25:$AN$28,'Stats Roll Up'!$AN$32)</c:f>
              <c:strCache>
                <c:ptCount val="6"/>
                <c:pt idx="0">
                  <c:v>Financials</c:v>
                </c:pt>
                <c:pt idx="1">
                  <c:v>Consumer Discretionary</c:v>
                </c:pt>
                <c:pt idx="2">
                  <c:v>Home Builders</c:v>
                </c:pt>
                <c:pt idx="3">
                  <c:v>Consumer Staples</c:v>
                </c:pt>
                <c:pt idx="4">
                  <c:v>Technology</c:v>
                </c:pt>
                <c:pt idx="5">
                  <c:v>Industrials</c:v>
                </c:pt>
              </c:strCache>
            </c:strRef>
          </c:cat>
          <c:val>
            <c:numRef>
              <c:extLst>
                <c:ext xmlns:c15="http://schemas.microsoft.com/office/drawing/2012/chart" uri="{02D57815-91ED-43cb-92C2-25804820EDAC}">
                  <c15:fullRef>
                    <c15:sqref>'Stats Roll Up'!$AO$22:$AO$35</c15:sqref>
                  </c15:fullRef>
                </c:ext>
              </c:extLst>
              <c:f>('Stats Roll Up'!$AO$23,'Stats Roll Up'!$AO$25:$AO$28,'Stats Roll Up'!$AO$32)</c:f>
              <c:numCache>
                <c:formatCode>0%</c:formatCode>
                <c:ptCount val="6"/>
                <c:pt idx="0">
                  <c:v>0.46511627906976744</c:v>
                </c:pt>
                <c:pt idx="1">
                  <c:v>0.52</c:v>
                </c:pt>
                <c:pt idx="2">
                  <c:v>0.75</c:v>
                </c:pt>
                <c:pt idx="3">
                  <c:v>0.3888888888888889</c:v>
                </c:pt>
                <c:pt idx="4">
                  <c:v>0.43333333333333335</c:v>
                </c:pt>
                <c:pt idx="5">
                  <c:v>0.44615384615384618</c:v>
                </c:pt>
              </c:numCache>
            </c:numRef>
          </c:val>
          <c:extLst>
            <c:ext xmlns:c16="http://schemas.microsoft.com/office/drawing/2014/chart" uri="{C3380CC4-5D6E-409C-BE32-E72D297353CC}">
              <c16:uniqueId val="{00000000-E8C9-49BD-8E9A-39C3280524BA}"/>
            </c:ext>
          </c:extLst>
        </c:ser>
        <c:dLbls>
          <c:showLegendKey val="0"/>
          <c:showVal val="0"/>
          <c:showCatName val="0"/>
          <c:showSerName val="0"/>
          <c:showPercent val="0"/>
          <c:showBubbleSize val="0"/>
        </c:dLbls>
        <c:gapWidth val="120"/>
        <c:overlap val="-27"/>
        <c:axId val="361307088"/>
        <c:axId val="361307568"/>
      </c:barChart>
      <c:catAx>
        <c:axId val="361307088"/>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361307568"/>
        <c:crosses val="autoZero"/>
        <c:auto val="1"/>
        <c:lblAlgn val="ctr"/>
        <c:lblOffset val="100"/>
        <c:noMultiLvlLbl val="0"/>
      </c:catAx>
      <c:valAx>
        <c:axId val="361307568"/>
        <c:scaling>
          <c:orientation val="minMax"/>
        </c:scaling>
        <c:delete val="0"/>
        <c:axPos val="l"/>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361307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5.xml.rels><?xml version="1.0" encoding="UTF-8" standalone="yes"?>
<Relationships xmlns="http://schemas.openxmlformats.org/package/2006/relationships"><Relationship Id="rId8" Type="http://schemas.openxmlformats.org/officeDocument/2006/relationships/chart" Target="../charts/chart16.xml"/><Relationship Id="rId13" Type="http://schemas.openxmlformats.org/officeDocument/2006/relationships/chart" Target="../charts/chart21.xml"/><Relationship Id="rId18" Type="http://schemas.openxmlformats.org/officeDocument/2006/relationships/chart" Target="../charts/chart26.xml"/><Relationship Id="rId26" Type="http://schemas.openxmlformats.org/officeDocument/2006/relationships/chart" Target="../charts/chart34.xml"/><Relationship Id="rId3" Type="http://schemas.openxmlformats.org/officeDocument/2006/relationships/chart" Target="../charts/chart11.xml"/><Relationship Id="rId21" Type="http://schemas.openxmlformats.org/officeDocument/2006/relationships/chart" Target="../charts/chart29.xml"/><Relationship Id="rId7" Type="http://schemas.openxmlformats.org/officeDocument/2006/relationships/chart" Target="../charts/chart15.xml"/><Relationship Id="rId12" Type="http://schemas.openxmlformats.org/officeDocument/2006/relationships/chart" Target="../charts/chart20.xml"/><Relationship Id="rId17" Type="http://schemas.openxmlformats.org/officeDocument/2006/relationships/chart" Target="../charts/chart25.xml"/><Relationship Id="rId25" Type="http://schemas.openxmlformats.org/officeDocument/2006/relationships/chart" Target="../charts/chart33.xml"/><Relationship Id="rId2" Type="http://schemas.openxmlformats.org/officeDocument/2006/relationships/chart" Target="../charts/chart10.xml"/><Relationship Id="rId16" Type="http://schemas.openxmlformats.org/officeDocument/2006/relationships/chart" Target="../charts/chart24.xml"/><Relationship Id="rId20" Type="http://schemas.openxmlformats.org/officeDocument/2006/relationships/chart" Target="../charts/chart28.xml"/><Relationship Id="rId29" Type="http://schemas.openxmlformats.org/officeDocument/2006/relationships/chart" Target="../charts/chart37.xml"/><Relationship Id="rId1" Type="http://schemas.openxmlformats.org/officeDocument/2006/relationships/chart" Target="../charts/chart9.xml"/><Relationship Id="rId6" Type="http://schemas.openxmlformats.org/officeDocument/2006/relationships/chart" Target="../charts/chart14.xml"/><Relationship Id="rId11" Type="http://schemas.openxmlformats.org/officeDocument/2006/relationships/chart" Target="../charts/chart19.xml"/><Relationship Id="rId24" Type="http://schemas.openxmlformats.org/officeDocument/2006/relationships/chart" Target="../charts/chart32.xml"/><Relationship Id="rId32" Type="http://schemas.openxmlformats.org/officeDocument/2006/relationships/image" Target="../media/image7.png"/><Relationship Id="rId5" Type="http://schemas.openxmlformats.org/officeDocument/2006/relationships/chart" Target="../charts/chart13.xml"/><Relationship Id="rId15" Type="http://schemas.openxmlformats.org/officeDocument/2006/relationships/chart" Target="../charts/chart23.xml"/><Relationship Id="rId23" Type="http://schemas.openxmlformats.org/officeDocument/2006/relationships/chart" Target="../charts/chart31.xml"/><Relationship Id="rId28" Type="http://schemas.openxmlformats.org/officeDocument/2006/relationships/chart" Target="../charts/chart36.xml"/><Relationship Id="rId10" Type="http://schemas.openxmlformats.org/officeDocument/2006/relationships/chart" Target="../charts/chart18.xml"/><Relationship Id="rId19" Type="http://schemas.openxmlformats.org/officeDocument/2006/relationships/chart" Target="../charts/chart27.xml"/><Relationship Id="rId31" Type="http://schemas.openxmlformats.org/officeDocument/2006/relationships/chart" Target="../charts/chart39.xml"/><Relationship Id="rId4" Type="http://schemas.openxmlformats.org/officeDocument/2006/relationships/chart" Target="../charts/chart12.xml"/><Relationship Id="rId9" Type="http://schemas.openxmlformats.org/officeDocument/2006/relationships/chart" Target="../charts/chart17.xml"/><Relationship Id="rId14" Type="http://schemas.openxmlformats.org/officeDocument/2006/relationships/chart" Target="../charts/chart22.xml"/><Relationship Id="rId22" Type="http://schemas.openxmlformats.org/officeDocument/2006/relationships/chart" Target="../charts/chart30.xml"/><Relationship Id="rId27" Type="http://schemas.openxmlformats.org/officeDocument/2006/relationships/chart" Target="../charts/chart35.xml"/><Relationship Id="rId30" Type="http://schemas.openxmlformats.org/officeDocument/2006/relationships/chart" Target="../charts/chart38.xml"/></Relationships>
</file>

<file path=xl/drawings/_rels/drawing7.xml.rels><?xml version="1.0" encoding="UTF-8" standalone="yes"?>
<Relationships xmlns="http://schemas.openxmlformats.org/package/2006/relationships"><Relationship Id="rId8" Type="http://schemas.openxmlformats.org/officeDocument/2006/relationships/chart" Target="../charts/chart46.xml"/><Relationship Id="rId3" Type="http://schemas.openxmlformats.org/officeDocument/2006/relationships/chart" Target="../charts/chart42.xml"/><Relationship Id="rId7" Type="http://schemas.openxmlformats.org/officeDocument/2006/relationships/chart" Target="../charts/chart45.xml"/><Relationship Id="rId12" Type="http://schemas.openxmlformats.org/officeDocument/2006/relationships/chart" Target="../charts/chart50.xml"/><Relationship Id="rId2" Type="http://schemas.openxmlformats.org/officeDocument/2006/relationships/chart" Target="../charts/chart41.xml"/><Relationship Id="rId1" Type="http://schemas.openxmlformats.org/officeDocument/2006/relationships/chart" Target="../charts/chart40.xml"/><Relationship Id="rId6" Type="http://schemas.openxmlformats.org/officeDocument/2006/relationships/image" Target="../media/image8.png"/><Relationship Id="rId11" Type="http://schemas.openxmlformats.org/officeDocument/2006/relationships/chart" Target="../charts/chart49.xml"/><Relationship Id="rId5" Type="http://schemas.openxmlformats.org/officeDocument/2006/relationships/chart" Target="../charts/chart44.xml"/><Relationship Id="rId10" Type="http://schemas.openxmlformats.org/officeDocument/2006/relationships/chart" Target="../charts/chart48.xml"/><Relationship Id="rId4" Type="http://schemas.openxmlformats.org/officeDocument/2006/relationships/chart" Target="../charts/chart43.xml"/><Relationship Id="rId9" Type="http://schemas.openxmlformats.org/officeDocument/2006/relationships/chart" Target="../charts/chart47.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51.xml"/><Relationship Id="rId1" Type="http://schemas.openxmlformats.org/officeDocument/2006/relationships/image" Target="../media/image9.png"/></Relationships>
</file>

<file path=xl/drawings/_rels/drawing11.xml.rels><?xml version="1.0" encoding="UTF-8" standalone="yes"?>
<Relationships xmlns="http://schemas.openxmlformats.org/package/2006/relationships"><Relationship Id="rId3" Type="http://schemas.openxmlformats.org/officeDocument/2006/relationships/chart" Target="../charts/chart54.xml"/><Relationship Id="rId7" Type="http://schemas.openxmlformats.org/officeDocument/2006/relationships/image" Target="../media/image10.png"/><Relationship Id="rId2" Type="http://schemas.openxmlformats.org/officeDocument/2006/relationships/chart" Target="../charts/chart53.xml"/><Relationship Id="rId1" Type="http://schemas.openxmlformats.org/officeDocument/2006/relationships/chart" Target="../charts/chart52.xml"/><Relationship Id="rId6" Type="http://schemas.openxmlformats.org/officeDocument/2006/relationships/chart" Target="../charts/chart57.xml"/><Relationship Id="rId5" Type="http://schemas.openxmlformats.org/officeDocument/2006/relationships/chart" Target="../charts/chart56.xml"/><Relationship Id="rId4" Type="http://schemas.openxmlformats.org/officeDocument/2006/relationships/chart" Target="../charts/chart55.xml"/></Relationships>
</file>

<file path=xl/drawings/drawing1.xml><?xml version="1.0" encoding="utf-8"?>
<xdr:wsDr xmlns:xdr="http://schemas.openxmlformats.org/drawingml/2006/spreadsheetDrawing" xmlns:a="http://schemas.openxmlformats.org/drawingml/2006/main">
  <xdr:twoCellAnchor>
    <xdr:from>
      <xdr:col>2</xdr:col>
      <xdr:colOff>209548</xdr:colOff>
      <xdr:row>0</xdr:row>
      <xdr:rowOff>114299</xdr:rowOff>
    </xdr:from>
    <xdr:to>
      <xdr:col>12</xdr:col>
      <xdr:colOff>190499</xdr:colOff>
      <xdr:row>16</xdr:row>
      <xdr:rowOff>133350</xdr:rowOff>
    </xdr:to>
    <xdr:graphicFrame macro="">
      <xdr:nvGraphicFramePr>
        <xdr:cNvPr id="2" name="Chart 1">
          <a:extLst>
            <a:ext uri="{FF2B5EF4-FFF2-40B4-BE49-F238E27FC236}">
              <a16:creationId xmlns:a16="http://schemas.microsoft.com/office/drawing/2014/main" id="{1091590D-7857-C5B2-6457-4B6A0CCD37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0</xdr:row>
      <xdr:rowOff>19050</xdr:rowOff>
    </xdr:from>
    <xdr:to>
      <xdr:col>7</xdr:col>
      <xdr:colOff>304801</xdr:colOff>
      <xdr:row>13</xdr:row>
      <xdr:rowOff>135866</xdr:rowOff>
    </xdr:to>
    <xdr:pic>
      <xdr:nvPicPr>
        <xdr:cNvPr id="3" name="Picture 2">
          <a:extLst>
            <a:ext uri="{FF2B5EF4-FFF2-40B4-BE49-F238E27FC236}">
              <a16:creationId xmlns:a16="http://schemas.microsoft.com/office/drawing/2014/main" id="{6ED99A60-0C95-8445-F4E2-0CE06421B385}"/>
            </a:ext>
          </a:extLst>
        </xdr:cNvPr>
        <xdr:cNvPicPr>
          <a:picLocks noChangeAspect="1"/>
        </xdr:cNvPicPr>
      </xdr:nvPicPr>
      <xdr:blipFill>
        <a:blip xmlns:r="http://schemas.openxmlformats.org/officeDocument/2006/relationships" r:embed="rId1"/>
        <a:stretch>
          <a:fillRect/>
        </a:stretch>
      </xdr:blipFill>
      <xdr:spPr>
        <a:xfrm>
          <a:off x="1" y="19050"/>
          <a:ext cx="4572000" cy="2593316"/>
        </a:xfrm>
        <a:prstGeom prst="rect">
          <a:avLst/>
        </a:prstGeom>
      </xdr:spPr>
    </xdr:pic>
    <xdr:clientData/>
  </xdr:twoCellAnchor>
  <xdr:twoCellAnchor editAs="oneCell">
    <xdr:from>
      <xdr:col>7</xdr:col>
      <xdr:colOff>314324</xdr:colOff>
      <xdr:row>0</xdr:row>
      <xdr:rowOff>28574</xdr:rowOff>
    </xdr:from>
    <xdr:to>
      <xdr:col>13</xdr:col>
      <xdr:colOff>523369</xdr:colOff>
      <xdr:row>13</xdr:row>
      <xdr:rowOff>133349</xdr:rowOff>
    </xdr:to>
    <xdr:pic>
      <xdr:nvPicPr>
        <xdr:cNvPr id="2" name="Picture 1">
          <a:extLst>
            <a:ext uri="{FF2B5EF4-FFF2-40B4-BE49-F238E27FC236}">
              <a16:creationId xmlns:a16="http://schemas.microsoft.com/office/drawing/2014/main" id="{D2928066-00EA-49AE-B015-9E11C0DD8A0D}"/>
            </a:ext>
          </a:extLst>
        </xdr:cNvPr>
        <xdr:cNvPicPr>
          <a:picLocks noChangeAspect="1"/>
        </xdr:cNvPicPr>
      </xdr:nvPicPr>
      <xdr:blipFill>
        <a:blip xmlns:r="http://schemas.openxmlformats.org/officeDocument/2006/relationships" r:embed="rId2"/>
        <a:stretch>
          <a:fillRect/>
        </a:stretch>
      </xdr:blipFill>
      <xdr:spPr>
        <a:xfrm>
          <a:off x="4581524" y="28574"/>
          <a:ext cx="3866645" cy="2581275"/>
        </a:xfrm>
        <a:prstGeom prst="rect">
          <a:avLst/>
        </a:prstGeom>
      </xdr:spPr>
    </xdr:pic>
    <xdr:clientData/>
  </xdr:twoCellAnchor>
  <xdr:twoCellAnchor editAs="oneCell">
    <xdr:from>
      <xdr:col>13</xdr:col>
      <xdr:colOff>566058</xdr:colOff>
      <xdr:row>0</xdr:row>
      <xdr:rowOff>28575</xdr:rowOff>
    </xdr:from>
    <xdr:to>
      <xdr:col>20</xdr:col>
      <xdr:colOff>166008</xdr:colOff>
      <xdr:row>13</xdr:row>
      <xdr:rowOff>133687</xdr:rowOff>
    </xdr:to>
    <xdr:pic>
      <xdr:nvPicPr>
        <xdr:cNvPr id="4" name="Picture 3">
          <a:extLst>
            <a:ext uri="{FF2B5EF4-FFF2-40B4-BE49-F238E27FC236}">
              <a16:creationId xmlns:a16="http://schemas.microsoft.com/office/drawing/2014/main" id="{27274C75-8F99-8A6E-212B-92AD41015414}"/>
            </a:ext>
          </a:extLst>
        </xdr:cNvPr>
        <xdr:cNvPicPr>
          <a:picLocks noChangeAspect="1"/>
        </xdr:cNvPicPr>
      </xdr:nvPicPr>
      <xdr:blipFill>
        <a:blip xmlns:r="http://schemas.openxmlformats.org/officeDocument/2006/relationships" r:embed="rId3"/>
        <a:stretch>
          <a:fillRect/>
        </a:stretch>
      </xdr:blipFill>
      <xdr:spPr>
        <a:xfrm>
          <a:off x="8526237" y="28575"/>
          <a:ext cx="3886200" cy="2581612"/>
        </a:xfrm>
        <a:prstGeom prst="rect">
          <a:avLst/>
        </a:prstGeom>
      </xdr:spPr>
    </xdr:pic>
    <xdr:clientData/>
  </xdr:twoCellAnchor>
  <xdr:twoCellAnchor editAs="oneCell">
    <xdr:from>
      <xdr:col>13</xdr:col>
      <xdr:colOff>571501</xdr:colOff>
      <xdr:row>13</xdr:row>
      <xdr:rowOff>149678</xdr:rowOff>
    </xdr:from>
    <xdr:to>
      <xdr:col>20</xdr:col>
      <xdr:colOff>176894</xdr:colOff>
      <xdr:row>25</xdr:row>
      <xdr:rowOff>123090</xdr:rowOff>
    </xdr:to>
    <xdr:pic>
      <xdr:nvPicPr>
        <xdr:cNvPr id="7" name="Picture 6">
          <a:extLst>
            <a:ext uri="{FF2B5EF4-FFF2-40B4-BE49-F238E27FC236}">
              <a16:creationId xmlns:a16="http://schemas.microsoft.com/office/drawing/2014/main" id="{81AC02E2-1A80-7C52-E078-3229C15645F3}"/>
            </a:ext>
          </a:extLst>
        </xdr:cNvPr>
        <xdr:cNvPicPr>
          <a:picLocks noChangeAspect="1"/>
        </xdr:cNvPicPr>
      </xdr:nvPicPr>
      <xdr:blipFill>
        <a:blip xmlns:r="http://schemas.openxmlformats.org/officeDocument/2006/relationships" r:embed="rId4"/>
        <a:stretch>
          <a:fillRect/>
        </a:stretch>
      </xdr:blipFill>
      <xdr:spPr>
        <a:xfrm>
          <a:off x="8531680" y="2626178"/>
          <a:ext cx="3891643" cy="2259412"/>
        </a:xfrm>
        <a:prstGeom prst="rect">
          <a:avLst/>
        </a:prstGeom>
      </xdr:spPr>
    </xdr:pic>
    <xdr:clientData/>
  </xdr:twoCellAnchor>
  <xdr:twoCellAnchor editAs="oneCell">
    <xdr:from>
      <xdr:col>7</xdr:col>
      <xdr:colOff>322082</xdr:colOff>
      <xdr:row>13</xdr:row>
      <xdr:rowOff>156483</xdr:rowOff>
    </xdr:from>
    <xdr:to>
      <xdr:col>13</xdr:col>
      <xdr:colOff>538716</xdr:colOff>
      <xdr:row>25</xdr:row>
      <xdr:rowOff>129268</xdr:rowOff>
    </xdr:to>
    <xdr:pic>
      <xdr:nvPicPr>
        <xdr:cNvPr id="10" name="Picture 9">
          <a:extLst>
            <a:ext uri="{FF2B5EF4-FFF2-40B4-BE49-F238E27FC236}">
              <a16:creationId xmlns:a16="http://schemas.microsoft.com/office/drawing/2014/main" id="{CFDA1FCB-D820-4011-7B41-D818E87E5913}"/>
            </a:ext>
          </a:extLst>
        </xdr:cNvPr>
        <xdr:cNvPicPr>
          <a:picLocks noChangeAspect="1"/>
        </xdr:cNvPicPr>
      </xdr:nvPicPr>
      <xdr:blipFill>
        <a:blip xmlns:r="http://schemas.openxmlformats.org/officeDocument/2006/relationships" r:embed="rId5"/>
        <a:stretch>
          <a:fillRect/>
        </a:stretch>
      </xdr:blipFill>
      <xdr:spPr>
        <a:xfrm>
          <a:off x="4608332" y="2632983"/>
          <a:ext cx="3890563" cy="2258785"/>
        </a:xfrm>
        <a:prstGeom prst="rect">
          <a:avLst/>
        </a:prstGeom>
      </xdr:spPr>
    </xdr:pic>
    <xdr:clientData/>
  </xdr:twoCellAnchor>
  <xdr:twoCellAnchor editAs="oneCell">
    <xdr:from>
      <xdr:col>0</xdr:col>
      <xdr:colOff>47626</xdr:colOff>
      <xdr:row>13</xdr:row>
      <xdr:rowOff>142875</xdr:rowOff>
    </xdr:from>
    <xdr:to>
      <xdr:col>7</xdr:col>
      <xdr:colOff>270122</xdr:colOff>
      <xdr:row>25</xdr:row>
      <xdr:rowOff>136071</xdr:rowOff>
    </xdr:to>
    <xdr:pic>
      <xdr:nvPicPr>
        <xdr:cNvPr id="13" name="Picture 12">
          <a:extLst>
            <a:ext uri="{FF2B5EF4-FFF2-40B4-BE49-F238E27FC236}">
              <a16:creationId xmlns:a16="http://schemas.microsoft.com/office/drawing/2014/main" id="{67FD8080-4CC5-5C0E-811E-E07755DBA652}"/>
            </a:ext>
          </a:extLst>
        </xdr:cNvPr>
        <xdr:cNvPicPr>
          <a:picLocks noChangeAspect="1"/>
        </xdr:cNvPicPr>
      </xdr:nvPicPr>
      <xdr:blipFill>
        <a:blip xmlns:r="http://schemas.openxmlformats.org/officeDocument/2006/relationships" r:embed="rId6"/>
        <a:stretch>
          <a:fillRect/>
        </a:stretch>
      </xdr:blipFill>
      <xdr:spPr>
        <a:xfrm>
          <a:off x="47626" y="2619375"/>
          <a:ext cx="4508746" cy="227919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31748</xdr:colOff>
      <xdr:row>86</xdr:row>
      <xdr:rowOff>66674</xdr:rowOff>
    </xdr:from>
    <xdr:to>
      <xdr:col>37</xdr:col>
      <xdr:colOff>296332</xdr:colOff>
      <xdr:row>116</xdr:row>
      <xdr:rowOff>148166</xdr:rowOff>
    </xdr:to>
    <xdr:graphicFrame macro="">
      <xdr:nvGraphicFramePr>
        <xdr:cNvPr id="2" name="Chart 1">
          <a:extLst>
            <a:ext uri="{FF2B5EF4-FFF2-40B4-BE49-F238E27FC236}">
              <a16:creationId xmlns:a16="http://schemas.microsoft.com/office/drawing/2014/main" id="{390678BC-C58B-8AEC-BC62-58CC70A497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10585</xdr:colOff>
      <xdr:row>117</xdr:row>
      <xdr:rowOff>42334</xdr:rowOff>
    </xdr:from>
    <xdr:to>
      <xdr:col>37</xdr:col>
      <xdr:colOff>285750</xdr:colOff>
      <xdr:row>147</xdr:row>
      <xdr:rowOff>123826</xdr:rowOff>
    </xdr:to>
    <xdr:graphicFrame macro="">
      <xdr:nvGraphicFramePr>
        <xdr:cNvPr id="4" name="Chart 3">
          <a:extLst>
            <a:ext uri="{FF2B5EF4-FFF2-40B4-BE49-F238E27FC236}">
              <a16:creationId xmlns:a16="http://schemas.microsoft.com/office/drawing/2014/main" id="{7260456A-6C2C-4C0F-A5CB-3FE5914DDD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57149</xdr:colOff>
      <xdr:row>47</xdr:row>
      <xdr:rowOff>76200</xdr:rowOff>
    </xdr:from>
    <xdr:to>
      <xdr:col>32</xdr:col>
      <xdr:colOff>114300</xdr:colOff>
      <xdr:row>59</xdr:row>
      <xdr:rowOff>76200</xdr:rowOff>
    </xdr:to>
    <xdr:graphicFrame macro="">
      <xdr:nvGraphicFramePr>
        <xdr:cNvPr id="3" name="Chart 2">
          <a:extLst>
            <a:ext uri="{FF2B5EF4-FFF2-40B4-BE49-F238E27FC236}">
              <a16:creationId xmlns:a16="http://schemas.microsoft.com/office/drawing/2014/main" id="{BA66472C-9BB7-40C3-ACD8-B9533A958D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276224</xdr:colOff>
      <xdr:row>26</xdr:row>
      <xdr:rowOff>9525</xdr:rowOff>
    </xdr:from>
    <xdr:to>
      <xdr:col>31</xdr:col>
      <xdr:colOff>76199</xdr:colOff>
      <xdr:row>42</xdr:row>
      <xdr:rowOff>47625</xdr:rowOff>
    </xdr:to>
    <xdr:graphicFrame macro="">
      <xdr:nvGraphicFramePr>
        <xdr:cNvPr id="4" name="Chart 3">
          <a:extLst>
            <a:ext uri="{FF2B5EF4-FFF2-40B4-BE49-F238E27FC236}">
              <a16:creationId xmlns:a16="http://schemas.microsoft.com/office/drawing/2014/main" id="{558096E4-B538-4E60-A875-1942EB8AFE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76200</xdr:colOff>
      <xdr:row>61</xdr:row>
      <xdr:rowOff>66675</xdr:rowOff>
    </xdr:from>
    <xdr:to>
      <xdr:col>32</xdr:col>
      <xdr:colOff>114300</xdr:colOff>
      <xdr:row>73</xdr:row>
      <xdr:rowOff>133350</xdr:rowOff>
    </xdr:to>
    <xdr:graphicFrame macro="">
      <xdr:nvGraphicFramePr>
        <xdr:cNvPr id="5" name="Chart 4">
          <a:extLst>
            <a:ext uri="{FF2B5EF4-FFF2-40B4-BE49-F238E27FC236}">
              <a16:creationId xmlns:a16="http://schemas.microsoft.com/office/drawing/2014/main" id="{061A0130-0B61-4C6F-AE1C-4E090BFA3F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114300</xdr:colOff>
      <xdr:row>75</xdr:row>
      <xdr:rowOff>38101</xdr:rowOff>
    </xdr:from>
    <xdr:to>
      <xdr:col>32</xdr:col>
      <xdr:colOff>114300</xdr:colOff>
      <xdr:row>87</xdr:row>
      <xdr:rowOff>133351</xdr:rowOff>
    </xdr:to>
    <xdr:graphicFrame macro="">
      <xdr:nvGraphicFramePr>
        <xdr:cNvPr id="6" name="Chart 5">
          <a:extLst>
            <a:ext uri="{FF2B5EF4-FFF2-40B4-BE49-F238E27FC236}">
              <a16:creationId xmlns:a16="http://schemas.microsoft.com/office/drawing/2014/main" id="{71E41C67-18D2-490C-83D8-BB52ED7F2B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19050</xdr:colOff>
      <xdr:row>92</xdr:row>
      <xdr:rowOff>57149</xdr:rowOff>
    </xdr:from>
    <xdr:to>
      <xdr:col>32</xdr:col>
      <xdr:colOff>95250</xdr:colOff>
      <xdr:row>105</xdr:row>
      <xdr:rowOff>180974</xdr:rowOff>
    </xdr:to>
    <xdr:graphicFrame macro="">
      <xdr:nvGraphicFramePr>
        <xdr:cNvPr id="7" name="Chart 6">
          <a:extLst>
            <a:ext uri="{FF2B5EF4-FFF2-40B4-BE49-F238E27FC236}">
              <a16:creationId xmlns:a16="http://schemas.microsoft.com/office/drawing/2014/main" id="{C67D2463-9C51-4E35-8904-7CEB88A5EC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142874</xdr:colOff>
      <xdr:row>0</xdr:row>
      <xdr:rowOff>123825</xdr:rowOff>
    </xdr:from>
    <xdr:to>
      <xdr:col>25</xdr:col>
      <xdr:colOff>523874</xdr:colOff>
      <xdr:row>34</xdr:row>
      <xdr:rowOff>114300</xdr:rowOff>
    </xdr:to>
    <xdr:graphicFrame macro="">
      <xdr:nvGraphicFramePr>
        <xdr:cNvPr id="2" name="Chart 1">
          <a:extLst>
            <a:ext uri="{FF2B5EF4-FFF2-40B4-BE49-F238E27FC236}">
              <a16:creationId xmlns:a16="http://schemas.microsoft.com/office/drawing/2014/main" id="{2B6F5BA9-8152-4337-9A60-82E4778588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104774</xdr:colOff>
      <xdr:row>35</xdr:row>
      <xdr:rowOff>38100</xdr:rowOff>
    </xdr:from>
    <xdr:to>
      <xdr:col>25</xdr:col>
      <xdr:colOff>552450</xdr:colOff>
      <xdr:row>63</xdr:row>
      <xdr:rowOff>142875</xdr:rowOff>
    </xdr:to>
    <xdr:graphicFrame macro="">
      <xdr:nvGraphicFramePr>
        <xdr:cNvPr id="8" name="Chart 7">
          <a:extLst>
            <a:ext uri="{FF2B5EF4-FFF2-40B4-BE49-F238E27FC236}">
              <a16:creationId xmlns:a16="http://schemas.microsoft.com/office/drawing/2014/main" id="{EB6642F6-46F5-4B2E-89A7-63B24481F6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142873</xdr:colOff>
      <xdr:row>264</xdr:row>
      <xdr:rowOff>66675</xdr:rowOff>
    </xdr:from>
    <xdr:to>
      <xdr:col>11</xdr:col>
      <xdr:colOff>295273</xdr:colOff>
      <xdr:row>291</xdr:row>
      <xdr:rowOff>171450</xdr:rowOff>
    </xdr:to>
    <xdr:graphicFrame macro="">
      <xdr:nvGraphicFramePr>
        <xdr:cNvPr id="10" name="Chart 9">
          <a:extLst>
            <a:ext uri="{FF2B5EF4-FFF2-40B4-BE49-F238E27FC236}">
              <a16:creationId xmlns:a16="http://schemas.microsoft.com/office/drawing/2014/main" id="{056F09CB-0D7E-41D0-B004-20A9D22BF8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142874</xdr:colOff>
      <xdr:row>319</xdr:row>
      <xdr:rowOff>171450</xdr:rowOff>
    </xdr:from>
    <xdr:to>
      <xdr:col>11</xdr:col>
      <xdr:colOff>295274</xdr:colOff>
      <xdr:row>347</xdr:row>
      <xdr:rowOff>85725</xdr:rowOff>
    </xdr:to>
    <xdr:graphicFrame macro="">
      <xdr:nvGraphicFramePr>
        <xdr:cNvPr id="11" name="Chart 10">
          <a:extLst>
            <a:ext uri="{FF2B5EF4-FFF2-40B4-BE49-F238E27FC236}">
              <a16:creationId xmlns:a16="http://schemas.microsoft.com/office/drawing/2014/main" id="{DA7D764D-4753-4023-9F9A-D798F350A0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342900</xdr:colOff>
      <xdr:row>319</xdr:row>
      <xdr:rowOff>180975</xdr:rowOff>
    </xdr:from>
    <xdr:to>
      <xdr:col>22</xdr:col>
      <xdr:colOff>495300</xdr:colOff>
      <xdr:row>347</xdr:row>
      <xdr:rowOff>95250</xdr:rowOff>
    </xdr:to>
    <xdr:graphicFrame macro="">
      <xdr:nvGraphicFramePr>
        <xdr:cNvPr id="13" name="Chart 12">
          <a:extLst>
            <a:ext uri="{FF2B5EF4-FFF2-40B4-BE49-F238E27FC236}">
              <a16:creationId xmlns:a16="http://schemas.microsoft.com/office/drawing/2014/main" id="{EA7D20D4-7153-46CB-A074-7981082A69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381000</xdr:colOff>
      <xdr:row>264</xdr:row>
      <xdr:rowOff>47625</xdr:rowOff>
    </xdr:from>
    <xdr:to>
      <xdr:col>22</xdr:col>
      <xdr:colOff>533400</xdr:colOff>
      <xdr:row>291</xdr:row>
      <xdr:rowOff>152400</xdr:rowOff>
    </xdr:to>
    <xdr:graphicFrame macro="">
      <xdr:nvGraphicFramePr>
        <xdr:cNvPr id="14" name="Chart 13">
          <a:extLst>
            <a:ext uri="{FF2B5EF4-FFF2-40B4-BE49-F238E27FC236}">
              <a16:creationId xmlns:a16="http://schemas.microsoft.com/office/drawing/2014/main" id="{92E1AD3B-8792-432B-B82E-AB443BF341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323850</xdr:colOff>
      <xdr:row>347</xdr:row>
      <xdr:rowOff>123825</xdr:rowOff>
    </xdr:from>
    <xdr:to>
      <xdr:col>22</xdr:col>
      <xdr:colOff>476250</xdr:colOff>
      <xdr:row>375</xdr:row>
      <xdr:rowOff>38100</xdr:rowOff>
    </xdr:to>
    <xdr:graphicFrame macro="">
      <xdr:nvGraphicFramePr>
        <xdr:cNvPr id="16" name="Chart 15">
          <a:extLst>
            <a:ext uri="{FF2B5EF4-FFF2-40B4-BE49-F238E27FC236}">
              <a16:creationId xmlns:a16="http://schemas.microsoft.com/office/drawing/2014/main" id="{D870335E-E336-4D70-8D1B-BFA99056E4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133350</xdr:colOff>
      <xdr:row>347</xdr:row>
      <xdr:rowOff>133350</xdr:rowOff>
    </xdr:from>
    <xdr:to>
      <xdr:col>11</xdr:col>
      <xdr:colOff>285750</xdr:colOff>
      <xdr:row>375</xdr:row>
      <xdr:rowOff>47625</xdr:rowOff>
    </xdr:to>
    <xdr:graphicFrame macro="">
      <xdr:nvGraphicFramePr>
        <xdr:cNvPr id="17" name="Chart 16">
          <a:extLst>
            <a:ext uri="{FF2B5EF4-FFF2-40B4-BE49-F238E27FC236}">
              <a16:creationId xmlns:a16="http://schemas.microsoft.com/office/drawing/2014/main" id="{9AE870BB-36AA-49EC-9DDF-464F9687A4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323850</xdr:colOff>
      <xdr:row>375</xdr:row>
      <xdr:rowOff>76200</xdr:rowOff>
    </xdr:from>
    <xdr:to>
      <xdr:col>22</xdr:col>
      <xdr:colOff>476250</xdr:colOff>
      <xdr:row>402</xdr:row>
      <xdr:rowOff>180975</xdr:rowOff>
    </xdr:to>
    <xdr:graphicFrame macro="">
      <xdr:nvGraphicFramePr>
        <xdr:cNvPr id="18" name="Chart 17">
          <a:extLst>
            <a:ext uri="{FF2B5EF4-FFF2-40B4-BE49-F238E27FC236}">
              <a16:creationId xmlns:a16="http://schemas.microsoft.com/office/drawing/2014/main" id="{591F5CFC-4A52-44EC-94AF-70565E42CA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152400</xdr:colOff>
      <xdr:row>292</xdr:row>
      <xdr:rowOff>19050</xdr:rowOff>
    </xdr:from>
    <xdr:to>
      <xdr:col>11</xdr:col>
      <xdr:colOff>304800</xdr:colOff>
      <xdr:row>319</xdr:row>
      <xdr:rowOff>123825</xdr:rowOff>
    </xdr:to>
    <xdr:graphicFrame macro="">
      <xdr:nvGraphicFramePr>
        <xdr:cNvPr id="20" name="Chart 19">
          <a:extLst>
            <a:ext uri="{FF2B5EF4-FFF2-40B4-BE49-F238E27FC236}">
              <a16:creationId xmlns:a16="http://schemas.microsoft.com/office/drawing/2014/main" id="{9470D82F-CD72-4800-A8D4-8A2CEB5E42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333375</xdr:colOff>
      <xdr:row>403</xdr:row>
      <xdr:rowOff>28575</xdr:rowOff>
    </xdr:from>
    <xdr:to>
      <xdr:col>22</xdr:col>
      <xdr:colOff>485775</xdr:colOff>
      <xdr:row>430</xdr:row>
      <xdr:rowOff>133350</xdr:rowOff>
    </xdr:to>
    <xdr:graphicFrame macro="">
      <xdr:nvGraphicFramePr>
        <xdr:cNvPr id="21" name="Chart 20">
          <a:extLst>
            <a:ext uri="{FF2B5EF4-FFF2-40B4-BE49-F238E27FC236}">
              <a16:creationId xmlns:a16="http://schemas.microsoft.com/office/drawing/2014/main" id="{CFFF5F8E-DC3F-4D55-AF21-DFF7479A2F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142875</xdr:colOff>
      <xdr:row>403</xdr:row>
      <xdr:rowOff>28575</xdr:rowOff>
    </xdr:from>
    <xdr:to>
      <xdr:col>11</xdr:col>
      <xdr:colOff>295275</xdr:colOff>
      <xdr:row>430</xdr:row>
      <xdr:rowOff>133350</xdr:rowOff>
    </xdr:to>
    <xdr:graphicFrame macro="">
      <xdr:nvGraphicFramePr>
        <xdr:cNvPr id="22" name="Chart 21">
          <a:extLst>
            <a:ext uri="{FF2B5EF4-FFF2-40B4-BE49-F238E27FC236}">
              <a16:creationId xmlns:a16="http://schemas.microsoft.com/office/drawing/2014/main" id="{FF45F86A-65FB-4FAA-AC61-C99AC626B6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142875</xdr:colOff>
      <xdr:row>430</xdr:row>
      <xdr:rowOff>171450</xdr:rowOff>
    </xdr:from>
    <xdr:to>
      <xdr:col>11</xdr:col>
      <xdr:colOff>295275</xdr:colOff>
      <xdr:row>458</xdr:row>
      <xdr:rowOff>85725</xdr:rowOff>
    </xdr:to>
    <xdr:graphicFrame macro="">
      <xdr:nvGraphicFramePr>
        <xdr:cNvPr id="24" name="Chart 23">
          <a:extLst>
            <a:ext uri="{FF2B5EF4-FFF2-40B4-BE49-F238E27FC236}">
              <a16:creationId xmlns:a16="http://schemas.microsoft.com/office/drawing/2014/main" id="{E50CC558-563D-478C-A84C-F70981B54E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11</xdr:col>
      <xdr:colOff>342900</xdr:colOff>
      <xdr:row>430</xdr:row>
      <xdr:rowOff>171450</xdr:rowOff>
    </xdr:from>
    <xdr:to>
      <xdr:col>22</xdr:col>
      <xdr:colOff>495300</xdr:colOff>
      <xdr:row>458</xdr:row>
      <xdr:rowOff>85725</xdr:rowOff>
    </xdr:to>
    <xdr:graphicFrame macro="">
      <xdr:nvGraphicFramePr>
        <xdr:cNvPr id="25" name="Chart 24">
          <a:extLst>
            <a:ext uri="{FF2B5EF4-FFF2-40B4-BE49-F238E27FC236}">
              <a16:creationId xmlns:a16="http://schemas.microsoft.com/office/drawing/2014/main" id="{351FB791-5856-4ECC-9390-F3E717CD63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361950</xdr:colOff>
      <xdr:row>458</xdr:row>
      <xdr:rowOff>123825</xdr:rowOff>
    </xdr:from>
    <xdr:to>
      <xdr:col>22</xdr:col>
      <xdr:colOff>514350</xdr:colOff>
      <xdr:row>486</xdr:row>
      <xdr:rowOff>38100</xdr:rowOff>
    </xdr:to>
    <xdr:graphicFrame macro="">
      <xdr:nvGraphicFramePr>
        <xdr:cNvPr id="26" name="Chart 25">
          <a:extLst>
            <a:ext uri="{FF2B5EF4-FFF2-40B4-BE49-F238E27FC236}">
              <a16:creationId xmlns:a16="http://schemas.microsoft.com/office/drawing/2014/main" id="{606D339B-3DBE-436F-83E2-2DE58C8C41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142875</xdr:colOff>
      <xdr:row>202</xdr:row>
      <xdr:rowOff>85725</xdr:rowOff>
    </xdr:from>
    <xdr:to>
      <xdr:col>22</xdr:col>
      <xdr:colOff>466725</xdr:colOff>
      <xdr:row>235</xdr:row>
      <xdr:rowOff>171450</xdr:rowOff>
    </xdr:to>
    <xdr:graphicFrame macro="">
      <xdr:nvGraphicFramePr>
        <xdr:cNvPr id="27" name="Chart 26">
          <a:extLst>
            <a:ext uri="{FF2B5EF4-FFF2-40B4-BE49-F238E27FC236}">
              <a16:creationId xmlns:a16="http://schemas.microsoft.com/office/drawing/2014/main" id="{5E115936-EC31-49D4-A29A-60F4A98AA3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123825</xdr:colOff>
      <xdr:row>375</xdr:row>
      <xdr:rowOff>85725</xdr:rowOff>
    </xdr:from>
    <xdr:to>
      <xdr:col>11</xdr:col>
      <xdr:colOff>276225</xdr:colOff>
      <xdr:row>403</xdr:row>
      <xdr:rowOff>0</xdr:rowOff>
    </xdr:to>
    <xdr:graphicFrame macro="">
      <xdr:nvGraphicFramePr>
        <xdr:cNvPr id="7" name="Chart 6">
          <a:extLst>
            <a:ext uri="{FF2B5EF4-FFF2-40B4-BE49-F238E27FC236}">
              <a16:creationId xmlns:a16="http://schemas.microsoft.com/office/drawing/2014/main" id="{7821E766-ED18-4D38-ABAF-4EA814F8AD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0</xdr:col>
      <xdr:colOff>142875</xdr:colOff>
      <xdr:row>458</xdr:row>
      <xdr:rowOff>104775</xdr:rowOff>
    </xdr:from>
    <xdr:to>
      <xdr:col>11</xdr:col>
      <xdr:colOff>295275</xdr:colOff>
      <xdr:row>486</xdr:row>
      <xdr:rowOff>19050</xdr:rowOff>
    </xdr:to>
    <xdr:graphicFrame macro="">
      <xdr:nvGraphicFramePr>
        <xdr:cNvPr id="19" name="Chart 18">
          <a:extLst>
            <a:ext uri="{FF2B5EF4-FFF2-40B4-BE49-F238E27FC236}">
              <a16:creationId xmlns:a16="http://schemas.microsoft.com/office/drawing/2014/main" id="{9DC89DC4-4936-4283-8549-8190BA2D08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11</xdr:col>
      <xdr:colOff>342900</xdr:colOff>
      <xdr:row>292</xdr:row>
      <xdr:rowOff>19050</xdr:rowOff>
    </xdr:from>
    <xdr:to>
      <xdr:col>22</xdr:col>
      <xdr:colOff>495300</xdr:colOff>
      <xdr:row>319</xdr:row>
      <xdr:rowOff>123825</xdr:rowOff>
    </xdr:to>
    <xdr:graphicFrame macro="">
      <xdr:nvGraphicFramePr>
        <xdr:cNvPr id="28" name="Chart 27">
          <a:extLst>
            <a:ext uri="{FF2B5EF4-FFF2-40B4-BE49-F238E27FC236}">
              <a16:creationId xmlns:a16="http://schemas.microsoft.com/office/drawing/2014/main" id="{A0460624-7E76-4905-9AA9-75B8A82368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0</xdr:col>
      <xdr:colOff>161924</xdr:colOff>
      <xdr:row>68</xdr:row>
      <xdr:rowOff>114300</xdr:rowOff>
    </xdr:from>
    <xdr:to>
      <xdr:col>25</xdr:col>
      <xdr:colOff>514349</xdr:colOff>
      <xdr:row>102</xdr:row>
      <xdr:rowOff>104776</xdr:rowOff>
    </xdr:to>
    <xdr:graphicFrame macro="">
      <xdr:nvGraphicFramePr>
        <xdr:cNvPr id="23" name="Chart 22">
          <a:extLst>
            <a:ext uri="{FF2B5EF4-FFF2-40B4-BE49-F238E27FC236}">
              <a16:creationId xmlns:a16="http://schemas.microsoft.com/office/drawing/2014/main" id="{8C52F174-A593-4BD1-84B9-EF21FB838D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0</xdr:col>
      <xdr:colOff>171450</xdr:colOff>
      <xdr:row>148</xdr:row>
      <xdr:rowOff>104775</xdr:rowOff>
    </xdr:from>
    <xdr:to>
      <xdr:col>13</xdr:col>
      <xdr:colOff>19050</xdr:colOff>
      <xdr:row>171</xdr:row>
      <xdr:rowOff>190499</xdr:rowOff>
    </xdr:to>
    <xdr:graphicFrame macro="">
      <xdr:nvGraphicFramePr>
        <xdr:cNvPr id="15" name="Chart 14">
          <a:extLst>
            <a:ext uri="{FF2B5EF4-FFF2-40B4-BE49-F238E27FC236}">
              <a16:creationId xmlns:a16="http://schemas.microsoft.com/office/drawing/2014/main" id="{BA783319-27B0-4463-BD17-1E34CDD10C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13</xdr:col>
      <xdr:colOff>104776</xdr:colOff>
      <xdr:row>148</xdr:row>
      <xdr:rowOff>104775</xdr:rowOff>
    </xdr:from>
    <xdr:to>
      <xdr:col>25</xdr:col>
      <xdr:colOff>561976</xdr:colOff>
      <xdr:row>172</xdr:row>
      <xdr:rowOff>9525</xdr:rowOff>
    </xdr:to>
    <xdr:graphicFrame macro="">
      <xdr:nvGraphicFramePr>
        <xdr:cNvPr id="29" name="Chart 28">
          <a:extLst>
            <a:ext uri="{FF2B5EF4-FFF2-40B4-BE49-F238E27FC236}">
              <a16:creationId xmlns:a16="http://schemas.microsoft.com/office/drawing/2014/main" id="{C7E80179-44E8-47EF-ADDC-A8667D44AC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3</xdr:col>
      <xdr:colOff>66674</xdr:colOff>
      <xdr:row>174</xdr:row>
      <xdr:rowOff>9525</xdr:rowOff>
    </xdr:from>
    <xdr:to>
      <xdr:col>22</xdr:col>
      <xdr:colOff>438149</xdr:colOff>
      <xdr:row>201</xdr:row>
      <xdr:rowOff>9525</xdr:rowOff>
    </xdr:to>
    <xdr:graphicFrame macro="">
      <xdr:nvGraphicFramePr>
        <xdr:cNvPr id="30" name="Chart 29">
          <a:extLst>
            <a:ext uri="{FF2B5EF4-FFF2-40B4-BE49-F238E27FC236}">
              <a16:creationId xmlns:a16="http://schemas.microsoft.com/office/drawing/2014/main" id="{729E2B67-A435-4A21-9205-39A07D975C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0</xdr:col>
      <xdr:colOff>380999</xdr:colOff>
      <xdr:row>71</xdr:row>
      <xdr:rowOff>95250</xdr:rowOff>
    </xdr:from>
    <xdr:to>
      <xdr:col>3</xdr:col>
      <xdr:colOff>676274</xdr:colOff>
      <xdr:row>82</xdr:row>
      <xdr:rowOff>85724</xdr:rowOff>
    </xdr:to>
    <xdr:graphicFrame macro="">
      <xdr:nvGraphicFramePr>
        <xdr:cNvPr id="31" name="Chart 30">
          <a:extLst>
            <a:ext uri="{FF2B5EF4-FFF2-40B4-BE49-F238E27FC236}">
              <a16:creationId xmlns:a16="http://schemas.microsoft.com/office/drawing/2014/main" id="{507275DF-DD89-4B93-91AA-FFAE055A3B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4</xdr:col>
      <xdr:colOff>180975</xdr:colOff>
      <xdr:row>486</xdr:row>
      <xdr:rowOff>57150</xdr:rowOff>
    </xdr:from>
    <xdr:to>
      <xdr:col>22</xdr:col>
      <xdr:colOff>485775</xdr:colOff>
      <xdr:row>513</xdr:row>
      <xdr:rowOff>161925</xdr:rowOff>
    </xdr:to>
    <xdr:graphicFrame macro="">
      <xdr:nvGraphicFramePr>
        <xdr:cNvPr id="9" name="Chart 8">
          <a:extLst>
            <a:ext uri="{FF2B5EF4-FFF2-40B4-BE49-F238E27FC236}">
              <a16:creationId xmlns:a16="http://schemas.microsoft.com/office/drawing/2014/main" id="{E000C81E-9B07-498C-9274-2DCACA8A08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4</xdr:col>
      <xdr:colOff>190500</xdr:colOff>
      <xdr:row>514</xdr:row>
      <xdr:rowOff>19050</xdr:rowOff>
    </xdr:from>
    <xdr:to>
      <xdr:col>22</xdr:col>
      <xdr:colOff>495300</xdr:colOff>
      <xdr:row>541</xdr:row>
      <xdr:rowOff>123825</xdr:rowOff>
    </xdr:to>
    <xdr:graphicFrame macro="">
      <xdr:nvGraphicFramePr>
        <xdr:cNvPr id="4" name="Chart 3">
          <a:extLst>
            <a:ext uri="{FF2B5EF4-FFF2-40B4-BE49-F238E27FC236}">
              <a16:creationId xmlns:a16="http://schemas.microsoft.com/office/drawing/2014/main" id="{1F5A17A5-E53E-4600-8C38-E812481492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4</xdr:col>
      <xdr:colOff>190500</xdr:colOff>
      <xdr:row>542</xdr:row>
      <xdr:rowOff>9525</xdr:rowOff>
    </xdr:from>
    <xdr:to>
      <xdr:col>22</xdr:col>
      <xdr:colOff>495300</xdr:colOff>
      <xdr:row>569</xdr:row>
      <xdr:rowOff>114300</xdr:rowOff>
    </xdr:to>
    <xdr:graphicFrame macro="">
      <xdr:nvGraphicFramePr>
        <xdr:cNvPr id="6" name="Chart 5">
          <a:extLst>
            <a:ext uri="{FF2B5EF4-FFF2-40B4-BE49-F238E27FC236}">
              <a16:creationId xmlns:a16="http://schemas.microsoft.com/office/drawing/2014/main" id="{4AC324F8-6129-4641-A8E1-1932BD647F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0</xdr:col>
      <xdr:colOff>133350</xdr:colOff>
      <xdr:row>236</xdr:row>
      <xdr:rowOff>28575</xdr:rowOff>
    </xdr:from>
    <xdr:to>
      <xdr:col>11</xdr:col>
      <xdr:colOff>323850</xdr:colOff>
      <xdr:row>263</xdr:row>
      <xdr:rowOff>161925</xdr:rowOff>
    </xdr:to>
    <xdr:graphicFrame macro="">
      <xdr:nvGraphicFramePr>
        <xdr:cNvPr id="12" name="Chart 11">
          <a:extLst>
            <a:ext uri="{FF2B5EF4-FFF2-40B4-BE49-F238E27FC236}">
              <a16:creationId xmlns:a16="http://schemas.microsoft.com/office/drawing/2014/main" id="{A384FFAE-35C5-457F-9B5E-4041AAD01B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11</xdr:col>
      <xdr:colOff>381000</xdr:colOff>
      <xdr:row>236</xdr:row>
      <xdr:rowOff>28575</xdr:rowOff>
    </xdr:from>
    <xdr:to>
      <xdr:col>22</xdr:col>
      <xdr:colOff>581025</xdr:colOff>
      <xdr:row>263</xdr:row>
      <xdr:rowOff>161925</xdr:rowOff>
    </xdr:to>
    <xdr:graphicFrame macro="">
      <xdr:nvGraphicFramePr>
        <xdr:cNvPr id="34" name="Chart 33">
          <a:extLst>
            <a:ext uri="{FF2B5EF4-FFF2-40B4-BE49-F238E27FC236}">
              <a16:creationId xmlns:a16="http://schemas.microsoft.com/office/drawing/2014/main" id="{5BFE4D9C-B7BB-4901-B8B5-4DF8A79B0E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0</xdr:col>
      <xdr:colOff>133350</xdr:colOff>
      <xdr:row>107</xdr:row>
      <xdr:rowOff>171450</xdr:rowOff>
    </xdr:from>
    <xdr:to>
      <xdr:col>25</xdr:col>
      <xdr:colOff>485775</xdr:colOff>
      <xdr:row>140</xdr:row>
      <xdr:rowOff>114300</xdr:rowOff>
    </xdr:to>
    <xdr:graphicFrame macro="">
      <xdr:nvGraphicFramePr>
        <xdr:cNvPr id="3" name="Chart 2">
          <a:extLst>
            <a:ext uri="{FF2B5EF4-FFF2-40B4-BE49-F238E27FC236}">
              <a16:creationId xmlns:a16="http://schemas.microsoft.com/office/drawing/2014/main" id="{49E16FA5-C8AC-4F1C-904D-08C8F0BC0A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26</xdr:col>
      <xdr:colOff>133351</xdr:colOff>
      <xdr:row>108</xdr:row>
      <xdr:rowOff>123825</xdr:rowOff>
    </xdr:from>
    <xdr:to>
      <xdr:col>37</xdr:col>
      <xdr:colOff>486919</xdr:colOff>
      <xdr:row>138</xdr:row>
      <xdr:rowOff>114681</xdr:rowOff>
    </xdr:to>
    <xdr:graphicFrame macro="">
      <xdr:nvGraphicFramePr>
        <xdr:cNvPr id="5" name="Chart 4">
          <a:extLst>
            <a:ext uri="{FF2B5EF4-FFF2-40B4-BE49-F238E27FC236}">
              <a16:creationId xmlns:a16="http://schemas.microsoft.com/office/drawing/2014/main" id="{CC23CCF9-0A29-4C53-B410-47FD430C2F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editAs="oneCell">
    <xdr:from>
      <xdr:col>39</xdr:col>
      <xdr:colOff>495300</xdr:colOff>
      <xdr:row>107</xdr:row>
      <xdr:rowOff>152400</xdr:rowOff>
    </xdr:from>
    <xdr:to>
      <xdr:col>51</xdr:col>
      <xdr:colOff>239880</xdr:colOff>
      <xdr:row>137</xdr:row>
      <xdr:rowOff>143751</xdr:rowOff>
    </xdr:to>
    <xdr:pic>
      <xdr:nvPicPr>
        <xdr:cNvPr id="32" name="Picture 31">
          <a:extLst>
            <a:ext uri="{FF2B5EF4-FFF2-40B4-BE49-F238E27FC236}">
              <a16:creationId xmlns:a16="http://schemas.microsoft.com/office/drawing/2014/main" id="{05E60BD4-48B6-A694-FA88-7033A2B60574}"/>
            </a:ext>
          </a:extLst>
        </xdr:cNvPr>
        <xdr:cNvPicPr>
          <a:picLocks noChangeAspect="1"/>
        </xdr:cNvPicPr>
      </xdr:nvPicPr>
      <xdr:blipFill>
        <a:blip xmlns:r="http://schemas.openxmlformats.org/officeDocument/2006/relationships" r:embed="rId32"/>
        <a:stretch>
          <a:fillRect/>
        </a:stretch>
      </xdr:blipFill>
      <xdr:spPr>
        <a:xfrm>
          <a:off x="24279225" y="20535900"/>
          <a:ext cx="7059780" cy="5706351"/>
        </a:xfrm>
        <a:prstGeom prst="rect">
          <a:avLst/>
        </a:prstGeom>
      </xdr:spPr>
    </xdr:pic>
    <xdr:clientData/>
  </xdr:twoCellAnchor>
</xdr:wsDr>
</file>

<file path=xl/drawings/drawing6.xml><?xml version="1.0" encoding="utf-8"?>
<c:userShapes xmlns:c="http://schemas.openxmlformats.org/drawingml/2006/chart">
  <cdr:relSizeAnchor xmlns:cdr="http://schemas.openxmlformats.org/drawingml/2006/chartDrawing">
    <cdr:from>
      <cdr:x>0.02067</cdr:x>
      <cdr:y>0.61939</cdr:y>
    </cdr:from>
    <cdr:to>
      <cdr:x>0.96627</cdr:x>
      <cdr:y>0.61939</cdr:y>
    </cdr:to>
    <cdr:cxnSp macro="">
      <cdr:nvCxnSpPr>
        <cdr:cNvPr id="2" name="Straight Connector 1">
          <a:extLst xmlns:a="http://schemas.openxmlformats.org/drawingml/2006/main">
            <a:ext uri="{FF2B5EF4-FFF2-40B4-BE49-F238E27FC236}">
              <a16:creationId xmlns:a16="http://schemas.microsoft.com/office/drawing/2014/main" id="{1AE48C9F-7DA0-FD75-E689-2A64645B6CD3}"/>
            </a:ext>
          </a:extLst>
        </cdr:cNvPr>
        <cdr:cNvCxnSpPr/>
      </cdr:nvCxnSpPr>
      <cdr:spPr>
        <a:xfrm xmlns:a="http://schemas.openxmlformats.org/drawingml/2006/main">
          <a:off x="145923" y="3534156"/>
          <a:ext cx="6675120" cy="0"/>
        </a:xfrm>
        <a:prstGeom xmlns:a="http://schemas.openxmlformats.org/drawingml/2006/main" prst="line">
          <a:avLst/>
        </a:prstGeom>
        <a:ln xmlns:a="http://schemas.openxmlformats.org/drawingml/2006/main">
          <a:solidFill>
            <a:sysClr val="windowText" lastClr="000000"/>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0.11649</cdr:x>
      <cdr:y>0.30438</cdr:y>
    </cdr:from>
    <cdr:to>
      <cdr:x>0.34722</cdr:x>
      <cdr:y>0.3795</cdr:y>
    </cdr:to>
    <cdr:sp macro="" textlink="">
      <cdr:nvSpPr>
        <cdr:cNvPr id="3" name="TextBox 34">
          <a:extLst xmlns:a="http://schemas.openxmlformats.org/drawingml/2006/main">
            <a:ext uri="{FF2B5EF4-FFF2-40B4-BE49-F238E27FC236}">
              <a16:creationId xmlns:a16="http://schemas.microsoft.com/office/drawing/2014/main" id="{D23BFC41-0E81-7C67-A9F9-246027E01DE6}"/>
            </a:ext>
          </a:extLst>
        </cdr:cNvPr>
        <cdr:cNvSpPr txBox="1"/>
      </cdr:nvSpPr>
      <cdr:spPr>
        <a:xfrm xmlns:a="http://schemas.openxmlformats.org/drawingml/2006/main">
          <a:off x="822330" y="1736741"/>
          <a:ext cx="1628762" cy="428623"/>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1100" b="1">
              <a:solidFill>
                <a:srgbClr val="0000FF"/>
              </a:solidFill>
            </a:rPr>
            <a:t>Liberation Day Tariffs</a:t>
          </a:r>
          <a:r>
            <a:rPr lang="en-US" sz="1100" b="1" baseline="0">
              <a:solidFill>
                <a:srgbClr val="0000FF"/>
              </a:solidFill>
            </a:rPr>
            <a:t> Announced</a:t>
          </a:r>
          <a:endParaRPr lang="en-US" sz="1100" b="1">
            <a:solidFill>
              <a:srgbClr val="0000FF"/>
            </a:solidFill>
          </a:endParaRPr>
        </a:p>
      </cdr:txBody>
    </cdr:sp>
  </cdr:relSizeAnchor>
  <cdr:relSizeAnchor xmlns:cdr="http://schemas.openxmlformats.org/drawingml/2006/chartDrawing">
    <cdr:from>
      <cdr:x>0.02564</cdr:x>
      <cdr:y>0.38228</cdr:y>
    </cdr:from>
    <cdr:to>
      <cdr:x>0.14842</cdr:x>
      <cdr:y>0.59095</cdr:y>
    </cdr:to>
    <cdr:sp macro="" textlink="">
      <cdr:nvSpPr>
        <cdr:cNvPr id="7" name="Freeform: Shape 6">
          <a:extLst xmlns:a="http://schemas.openxmlformats.org/drawingml/2006/main">
            <a:ext uri="{FF2B5EF4-FFF2-40B4-BE49-F238E27FC236}">
              <a16:creationId xmlns:a16="http://schemas.microsoft.com/office/drawing/2014/main" id="{31A739B3-3393-BB65-792E-3A0F0E851232}"/>
            </a:ext>
          </a:extLst>
        </cdr:cNvPr>
        <cdr:cNvSpPr/>
      </cdr:nvSpPr>
      <cdr:spPr>
        <a:xfrm xmlns:a="http://schemas.openxmlformats.org/drawingml/2006/main">
          <a:off x="180974" y="2181225"/>
          <a:ext cx="866775" cy="1190625"/>
        </a:xfrm>
        <a:custGeom xmlns:a="http://schemas.openxmlformats.org/drawingml/2006/main">
          <a:avLst/>
          <a:gdLst>
            <a:gd name="connsiteX0" fmla="*/ 866775 w 866775"/>
            <a:gd name="connsiteY0" fmla="*/ 0 h 1190625"/>
            <a:gd name="connsiteX1" fmla="*/ 257175 w 866775"/>
            <a:gd name="connsiteY1" fmla="*/ 590550 h 1190625"/>
            <a:gd name="connsiteX2" fmla="*/ 0 w 866775"/>
            <a:gd name="connsiteY2" fmla="*/ 1190625 h 1190625"/>
          </a:gdLst>
          <a:ahLst/>
          <a:cxnLst>
            <a:cxn ang="0">
              <a:pos x="connsiteX0" y="connsiteY0"/>
            </a:cxn>
            <a:cxn ang="0">
              <a:pos x="connsiteX1" y="connsiteY1"/>
            </a:cxn>
            <a:cxn ang="0">
              <a:pos x="connsiteX2" y="connsiteY2"/>
            </a:cxn>
          </a:cxnLst>
          <a:rect l="l" t="t" r="r" b="b"/>
          <a:pathLst>
            <a:path w="866775" h="1190625">
              <a:moveTo>
                <a:pt x="866775" y="0"/>
              </a:moveTo>
              <a:cubicBezTo>
                <a:pt x="634206" y="196056"/>
                <a:pt x="401637" y="392113"/>
                <a:pt x="257175" y="590550"/>
              </a:cubicBezTo>
              <a:cubicBezTo>
                <a:pt x="112713" y="788987"/>
                <a:pt x="56356" y="989806"/>
                <a:pt x="0" y="1190625"/>
              </a:cubicBezTo>
            </a:path>
          </a:pathLst>
        </a:custGeom>
        <a:noFill xmlns:a="http://schemas.openxmlformats.org/drawingml/2006/main"/>
        <a:ln xmlns:a="http://schemas.openxmlformats.org/drawingml/2006/main">
          <a:solidFill>
            <a:srgbClr val="0000FF"/>
          </a:solidFill>
          <a:headEnd type="none" w="med" len="med"/>
          <a:tailEnd type="arrow" w="med" len="med"/>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userShapes>
</file>

<file path=xl/drawings/drawing7.xml><?xml version="1.0" encoding="utf-8"?>
<xdr:wsDr xmlns:xdr="http://schemas.openxmlformats.org/drawingml/2006/spreadsheetDrawing" xmlns:a="http://schemas.openxmlformats.org/drawingml/2006/main">
  <xdr:twoCellAnchor>
    <xdr:from>
      <xdr:col>0</xdr:col>
      <xdr:colOff>238125</xdr:colOff>
      <xdr:row>23</xdr:row>
      <xdr:rowOff>28574</xdr:rowOff>
    </xdr:from>
    <xdr:to>
      <xdr:col>35</xdr:col>
      <xdr:colOff>285750</xdr:colOff>
      <xdr:row>45</xdr:row>
      <xdr:rowOff>38099</xdr:rowOff>
    </xdr:to>
    <xdr:graphicFrame macro="">
      <xdr:nvGraphicFramePr>
        <xdr:cNvPr id="2" name="Chart 1">
          <a:extLst>
            <a:ext uri="{FF2B5EF4-FFF2-40B4-BE49-F238E27FC236}">
              <a16:creationId xmlns:a16="http://schemas.microsoft.com/office/drawing/2014/main" id="{8DD3BC77-977D-4003-A0B0-E6B2449C83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200025</xdr:colOff>
      <xdr:row>48</xdr:row>
      <xdr:rowOff>95250</xdr:rowOff>
    </xdr:from>
    <xdr:to>
      <xdr:col>35</xdr:col>
      <xdr:colOff>314325</xdr:colOff>
      <xdr:row>73</xdr:row>
      <xdr:rowOff>57150</xdr:rowOff>
    </xdr:to>
    <xdr:graphicFrame macro="">
      <xdr:nvGraphicFramePr>
        <xdr:cNvPr id="3" name="Chart 2">
          <a:extLst>
            <a:ext uri="{FF2B5EF4-FFF2-40B4-BE49-F238E27FC236}">
              <a16:creationId xmlns:a16="http://schemas.microsoft.com/office/drawing/2014/main" id="{94147065-039A-48A2-9994-5D2759FEB5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238125</xdr:colOff>
      <xdr:row>193</xdr:row>
      <xdr:rowOff>161925</xdr:rowOff>
    </xdr:from>
    <xdr:to>
      <xdr:col>35</xdr:col>
      <xdr:colOff>361950</xdr:colOff>
      <xdr:row>211</xdr:row>
      <xdr:rowOff>9525</xdr:rowOff>
    </xdr:to>
    <xdr:graphicFrame macro="">
      <xdr:nvGraphicFramePr>
        <xdr:cNvPr id="4" name="Chart 3">
          <a:extLst>
            <a:ext uri="{FF2B5EF4-FFF2-40B4-BE49-F238E27FC236}">
              <a16:creationId xmlns:a16="http://schemas.microsoft.com/office/drawing/2014/main" id="{59D528A5-978B-4778-82D4-34233E6F55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238125</xdr:colOff>
      <xdr:row>213</xdr:row>
      <xdr:rowOff>57150</xdr:rowOff>
    </xdr:from>
    <xdr:to>
      <xdr:col>35</xdr:col>
      <xdr:colOff>361950</xdr:colOff>
      <xdr:row>230</xdr:row>
      <xdr:rowOff>95250</xdr:rowOff>
    </xdr:to>
    <xdr:graphicFrame macro="">
      <xdr:nvGraphicFramePr>
        <xdr:cNvPr id="5" name="Chart 4">
          <a:extLst>
            <a:ext uri="{FF2B5EF4-FFF2-40B4-BE49-F238E27FC236}">
              <a16:creationId xmlns:a16="http://schemas.microsoft.com/office/drawing/2014/main" id="{2536247B-0ADD-40C5-87FC-7BC4EC9AC5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238125</xdr:colOff>
      <xdr:row>232</xdr:row>
      <xdr:rowOff>57149</xdr:rowOff>
    </xdr:from>
    <xdr:to>
      <xdr:col>35</xdr:col>
      <xdr:colOff>361950</xdr:colOff>
      <xdr:row>250</xdr:row>
      <xdr:rowOff>142874</xdr:rowOff>
    </xdr:to>
    <xdr:graphicFrame macro="">
      <xdr:nvGraphicFramePr>
        <xdr:cNvPr id="6" name="Chart 5">
          <a:extLst>
            <a:ext uri="{FF2B5EF4-FFF2-40B4-BE49-F238E27FC236}">
              <a16:creationId xmlns:a16="http://schemas.microsoft.com/office/drawing/2014/main" id="{FC00083A-652F-4DEB-8965-C9BEEE6EE9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37</xdr:col>
      <xdr:colOff>60367</xdr:colOff>
      <xdr:row>48</xdr:row>
      <xdr:rowOff>69844</xdr:rowOff>
    </xdr:from>
    <xdr:to>
      <xdr:col>63</xdr:col>
      <xdr:colOff>469973</xdr:colOff>
      <xdr:row>48</xdr:row>
      <xdr:rowOff>69844</xdr:rowOff>
    </xdr:to>
    <xdr:cxnSp macro="">
      <xdr:nvCxnSpPr>
        <xdr:cNvPr id="7" name="Straight Connector 6">
          <a:extLst>
            <a:ext uri="{FF2B5EF4-FFF2-40B4-BE49-F238E27FC236}">
              <a16:creationId xmlns:a16="http://schemas.microsoft.com/office/drawing/2014/main" id="{39F3AACD-C25F-AA53-B100-0502FBBDBA78}"/>
            </a:ext>
          </a:extLst>
        </xdr:cNvPr>
        <xdr:cNvCxnSpPr/>
      </xdr:nvCxnSpPr>
      <xdr:spPr>
        <a:xfrm>
          <a:off x="17643517" y="8709019"/>
          <a:ext cx="16259206" cy="0"/>
        </a:xfrm>
        <a:prstGeom prst="line">
          <a:avLst/>
        </a:prstGeom>
        <a:ln>
          <a:solidFill>
            <a:schemeClr val="accent6"/>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24</xdr:col>
      <xdr:colOff>342898</xdr:colOff>
      <xdr:row>16</xdr:row>
      <xdr:rowOff>49275</xdr:rowOff>
    </xdr:from>
    <xdr:to>
      <xdr:col>34</xdr:col>
      <xdr:colOff>299154</xdr:colOff>
      <xdr:row>22</xdr:row>
      <xdr:rowOff>142875</xdr:rowOff>
    </xdr:to>
    <xdr:pic>
      <xdr:nvPicPr>
        <xdr:cNvPr id="8" name="Picture 7">
          <a:extLst>
            <a:ext uri="{FF2B5EF4-FFF2-40B4-BE49-F238E27FC236}">
              <a16:creationId xmlns:a16="http://schemas.microsoft.com/office/drawing/2014/main" id="{8CD4AF3C-91B0-1B34-E9D0-756E0B632ABE}"/>
            </a:ext>
          </a:extLst>
        </xdr:cNvPr>
        <xdr:cNvPicPr>
          <a:picLocks noChangeAspect="1"/>
        </xdr:cNvPicPr>
      </xdr:nvPicPr>
      <xdr:blipFill>
        <a:blip xmlns:r="http://schemas.openxmlformats.org/officeDocument/2006/relationships" r:embed="rId6"/>
        <a:stretch>
          <a:fillRect/>
        </a:stretch>
      </xdr:blipFill>
      <xdr:spPr>
        <a:xfrm>
          <a:off x="11201398" y="3163950"/>
          <a:ext cx="4852106" cy="1236600"/>
        </a:xfrm>
        <a:prstGeom prst="rect">
          <a:avLst/>
        </a:prstGeom>
      </xdr:spPr>
    </xdr:pic>
    <xdr:clientData/>
  </xdr:twoCellAnchor>
  <xdr:twoCellAnchor>
    <xdr:from>
      <xdr:col>0</xdr:col>
      <xdr:colOff>190500</xdr:colOff>
      <xdr:row>97</xdr:row>
      <xdr:rowOff>123824</xdr:rowOff>
    </xdr:from>
    <xdr:to>
      <xdr:col>35</xdr:col>
      <xdr:colOff>247650</xdr:colOff>
      <xdr:row>120</xdr:row>
      <xdr:rowOff>95250</xdr:rowOff>
    </xdr:to>
    <xdr:graphicFrame macro="">
      <xdr:nvGraphicFramePr>
        <xdr:cNvPr id="9" name="Chart 8">
          <a:extLst>
            <a:ext uri="{FF2B5EF4-FFF2-40B4-BE49-F238E27FC236}">
              <a16:creationId xmlns:a16="http://schemas.microsoft.com/office/drawing/2014/main" id="{05565BA3-D66D-4C4B-AFC0-8B6828D812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228600</xdr:colOff>
      <xdr:row>148</xdr:row>
      <xdr:rowOff>38100</xdr:rowOff>
    </xdr:from>
    <xdr:to>
      <xdr:col>35</xdr:col>
      <xdr:colOff>285750</xdr:colOff>
      <xdr:row>168</xdr:row>
      <xdr:rowOff>180975</xdr:rowOff>
    </xdr:to>
    <xdr:graphicFrame macro="">
      <xdr:nvGraphicFramePr>
        <xdr:cNvPr id="10" name="Chart 9">
          <a:extLst>
            <a:ext uri="{FF2B5EF4-FFF2-40B4-BE49-F238E27FC236}">
              <a16:creationId xmlns:a16="http://schemas.microsoft.com/office/drawing/2014/main" id="{21D6DED0-3CB7-42A0-AAE0-415581A4E1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228600</xdr:colOff>
      <xdr:row>171</xdr:row>
      <xdr:rowOff>114300</xdr:rowOff>
    </xdr:from>
    <xdr:to>
      <xdr:col>35</xdr:col>
      <xdr:colOff>285750</xdr:colOff>
      <xdr:row>192</xdr:row>
      <xdr:rowOff>66675</xdr:rowOff>
    </xdr:to>
    <xdr:graphicFrame macro="">
      <xdr:nvGraphicFramePr>
        <xdr:cNvPr id="11" name="Chart 10">
          <a:extLst>
            <a:ext uri="{FF2B5EF4-FFF2-40B4-BE49-F238E27FC236}">
              <a16:creationId xmlns:a16="http://schemas.microsoft.com/office/drawing/2014/main" id="{54E769F1-42BB-4CE8-BAEE-991A96AC9E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200025</xdr:colOff>
      <xdr:row>123</xdr:row>
      <xdr:rowOff>38101</xdr:rowOff>
    </xdr:from>
    <xdr:to>
      <xdr:col>35</xdr:col>
      <xdr:colOff>257175</xdr:colOff>
      <xdr:row>146</xdr:row>
      <xdr:rowOff>1</xdr:rowOff>
    </xdr:to>
    <xdr:graphicFrame macro="">
      <xdr:nvGraphicFramePr>
        <xdr:cNvPr id="13" name="Chart 12">
          <a:extLst>
            <a:ext uri="{FF2B5EF4-FFF2-40B4-BE49-F238E27FC236}">
              <a16:creationId xmlns:a16="http://schemas.microsoft.com/office/drawing/2014/main" id="{2423B921-074B-47B9-9949-FE3687DA99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209550</xdr:colOff>
      <xdr:row>74</xdr:row>
      <xdr:rowOff>0</xdr:rowOff>
    </xdr:from>
    <xdr:to>
      <xdr:col>35</xdr:col>
      <xdr:colOff>323850</xdr:colOff>
      <xdr:row>93</xdr:row>
      <xdr:rowOff>171450</xdr:rowOff>
    </xdr:to>
    <xdr:graphicFrame macro="">
      <xdr:nvGraphicFramePr>
        <xdr:cNvPr id="12" name="Chart 11">
          <a:extLst>
            <a:ext uri="{FF2B5EF4-FFF2-40B4-BE49-F238E27FC236}">
              <a16:creationId xmlns:a16="http://schemas.microsoft.com/office/drawing/2014/main" id="{87343261-9180-4BD3-B5D5-2B9F694767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36</xdr:col>
      <xdr:colOff>1</xdr:colOff>
      <xdr:row>24</xdr:row>
      <xdr:rowOff>0</xdr:rowOff>
    </xdr:from>
    <xdr:to>
      <xdr:col>44</xdr:col>
      <xdr:colOff>361951</xdr:colOff>
      <xdr:row>46</xdr:row>
      <xdr:rowOff>9525</xdr:rowOff>
    </xdr:to>
    <xdr:graphicFrame macro="">
      <xdr:nvGraphicFramePr>
        <xdr:cNvPr id="14" name="Chart 13">
          <a:extLst>
            <a:ext uri="{FF2B5EF4-FFF2-40B4-BE49-F238E27FC236}">
              <a16:creationId xmlns:a16="http://schemas.microsoft.com/office/drawing/2014/main" id="{4D1C26C2-F564-48FC-863A-D4FCCBAC74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0.03947</cdr:x>
      <cdr:y>0.83113</cdr:y>
    </cdr:from>
    <cdr:to>
      <cdr:x>0.98665</cdr:x>
      <cdr:y>0.8326</cdr:y>
    </cdr:to>
    <cdr:cxnSp macro="">
      <cdr:nvCxnSpPr>
        <cdr:cNvPr id="2" name="Straight Connector 1">
          <a:extLst xmlns:a="http://schemas.openxmlformats.org/drawingml/2006/main">
            <a:ext uri="{FF2B5EF4-FFF2-40B4-BE49-F238E27FC236}">
              <a16:creationId xmlns:a16="http://schemas.microsoft.com/office/drawing/2014/main" id="{62EF2675-8D66-AEA3-D7B3-EC149EBA2842}"/>
            </a:ext>
          </a:extLst>
        </cdr:cNvPr>
        <cdr:cNvCxnSpPr/>
      </cdr:nvCxnSpPr>
      <cdr:spPr>
        <a:xfrm xmlns:a="http://schemas.openxmlformats.org/drawingml/2006/main" flipV="1">
          <a:off x="647699" y="3594115"/>
          <a:ext cx="15544800" cy="6335"/>
        </a:xfrm>
        <a:prstGeom xmlns:a="http://schemas.openxmlformats.org/drawingml/2006/main" prst="line">
          <a:avLst/>
        </a:prstGeom>
        <a:ln xmlns:a="http://schemas.openxmlformats.org/drawingml/2006/main">
          <a:solidFill>
            <a:srgbClr val="FF0000"/>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0.03888</cdr:x>
      <cdr:y>0.45301</cdr:y>
    </cdr:from>
    <cdr:to>
      <cdr:x>0.99721</cdr:x>
      <cdr:y>0.45301</cdr:y>
    </cdr:to>
    <cdr:cxnSp macro="">
      <cdr:nvCxnSpPr>
        <cdr:cNvPr id="4" name="Straight Connector 3">
          <a:extLst xmlns:a="http://schemas.openxmlformats.org/drawingml/2006/main">
            <a:ext uri="{FF2B5EF4-FFF2-40B4-BE49-F238E27FC236}">
              <a16:creationId xmlns:a16="http://schemas.microsoft.com/office/drawing/2014/main" id="{59D274E6-2F3B-435F-87F7-36F15E25F821}"/>
            </a:ext>
          </a:extLst>
        </cdr:cNvPr>
        <cdr:cNvCxnSpPr/>
      </cdr:nvCxnSpPr>
      <cdr:spPr>
        <a:xfrm xmlns:a="http://schemas.openxmlformats.org/drawingml/2006/main">
          <a:off x="638144" y="1958969"/>
          <a:ext cx="15727680" cy="0"/>
        </a:xfrm>
        <a:prstGeom xmlns:a="http://schemas.openxmlformats.org/drawingml/2006/main" prst="line">
          <a:avLst/>
        </a:prstGeom>
        <a:ln xmlns:a="http://schemas.openxmlformats.org/drawingml/2006/main">
          <a:solidFill>
            <a:schemeClr val="accent6"/>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userShapes>
</file>

<file path=xl/drawings/drawing9.xml><?xml version="1.0" encoding="utf-8"?>
<c:userShapes xmlns:c="http://schemas.openxmlformats.org/drawingml/2006/chart">
  <cdr:relSizeAnchor xmlns:cdr="http://schemas.openxmlformats.org/drawingml/2006/chartDrawing">
    <cdr:from>
      <cdr:x>0.06492</cdr:x>
      <cdr:y>0.82659</cdr:y>
    </cdr:from>
    <cdr:to>
      <cdr:x>0.98129</cdr:x>
      <cdr:y>0.82806</cdr:y>
    </cdr:to>
    <cdr:cxnSp macro="">
      <cdr:nvCxnSpPr>
        <cdr:cNvPr id="2" name="Straight Connector 1">
          <a:extLst xmlns:a="http://schemas.openxmlformats.org/drawingml/2006/main">
            <a:ext uri="{FF2B5EF4-FFF2-40B4-BE49-F238E27FC236}">
              <a16:creationId xmlns:a16="http://schemas.microsoft.com/office/drawing/2014/main" id="{62EF2675-8D66-AEA3-D7B3-EC149EBA2842}"/>
            </a:ext>
          </a:extLst>
        </cdr:cNvPr>
        <cdr:cNvCxnSpPr/>
      </cdr:nvCxnSpPr>
      <cdr:spPr>
        <a:xfrm xmlns:a="http://schemas.openxmlformats.org/drawingml/2006/main" flipV="1">
          <a:off x="340123" y="3472132"/>
          <a:ext cx="4800600" cy="6175"/>
        </a:xfrm>
        <a:prstGeom xmlns:a="http://schemas.openxmlformats.org/drawingml/2006/main" prst="line">
          <a:avLst/>
        </a:prstGeom>
        <a:ln xmlns:a="http://schemas.openxmlformats.org/drawingml/2006/main">
          <a:solidFill>
            <a:srgbClr val="FF0000"/>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0.06727</cdr:x>
      <cdr:y>0.45578</cdr:y>
    </cdr:from>
    <cdr:to>
      <cdr:x>0.98364</cdr:x>
      <cdr:y>0.45578</cdr:y>
    </cdr:to>
    <cdr:cxnSp macro="">
      <cdr:nvCxnSpPr>
        <cdr:cNvPr id="4" name="Straight Connector 3">
          <a:extLst xmlns:a="http://schemas.openxmlformats.org/drawingml/2006/main">
            <a:ext uri="{FF2B5EF4-FFF2-40B4-BE49-F238E27FC236}">
              <a16:creationId xmlns:a16="http://schemas.microsoft.com/office/drawing/2014/main" id="{59D274E6-2F3B-435F-87F7-36F15E25F821}"/>
            </a:ext>
          </a:extLst>
        </cdr:cNvPr>
        <cdr:cNvCxnSpPr/>
      </cdr:nvCxnSpPr>
      <cdr:spPr>
        <a:xfrm xmlns:a="http://schemas.openxmlformats.org/drawingml/2006/main" flipV="1">
          <a:off x="352425" y="1914525"/>
          <a:ext cx="4800600" cy="0"/>
        </a:xfrm>
        <a:prstGeom xmlns:a="http://schemas.openxmlformats.org/drawingml/2006/main" prst="line">
          <a:avLst/>
        </a:prstGeom>
        <a:ln xmlns:a="http://schemas.openxmlformats.org/drawingml/2006/main">
          <a:solidFill>
            <a:schemeClr val="accent6"/>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userShapes>
</file>

<file path=xl/drawings/drawing10.xml><?xml version="1.0" encoding="utf-8"?>
<xdr:wsDr xmlns:xdr="http://schemas.openxmlformats.org/drawingml/2006/spreadsheetDrawing" xmlns:a="http://schemas.openxmlformats.org/drawingml/2006/main">
  <xdr:twoCellAnchor editAs="oneCell">
    <xdr:from>
      <xdr:col>13</xdr:col>
      <xdr:colOff>19050</xdr:colOff>
      <xdr:row>4</xdr:row>
      <xdr:rowOff>104775</xdr:rowOff>
    </xdr:from>
    <xdr:to>
      <xdr:col>30</xdr:col>
      <xdr:colOff>467961</xdr:colOff>
      <xdr:row>8</xdr:row>
      <xdr:rowOff>114461</xdr:rowOff>
    </xdr:to>
    <xdr:pic>
      <xdr:nvPicPr>
        <xdr:cNvPr id="2" name="Picture 1">
          <a:extLst>
            <a:ext uri="{FF2B5EF4-FFF2-40B4-BE49-F238E27FC236}">
              <a16:creationId xmlns:a16="http://schemas.microsoft.com/office/drawing/2014/main" id="{F62C0E29-6209-B90A-C1C6-AC0AFED4AD7C}"/>
            </a:ext>
          </a:extLst>
        </xdr:cNvPr>
        <xdr:cNvPicPr>
          <a:picLocks noChangeAspect="1"/>
        </xdr:cNvPicPr>
      </xdr:nvPicPr>
      <xdr:blipFill>
        <a:blip xmlns:r="http://schemas.openxmlformats.org/officeDocument/2006/relationships" r:embed="rId1"/>
        <a:stretch>
          <a:fillRect/>
        </a:stretch>
      </xdr:blipFill>
      <xdr:spPr>
        <a:xfrm>
          <a:off x="8467725" y="1362075"/>
          <a:ext cx="8859486" cy="1152686"/>
        </a:xfrm>
        <a:prstGeom prst="rect">
          <a:avLst/>
        </a:prstGeom>
      </xdr:spPr>
    </xdr:pic>
    <xdr:clientData/>
  </xdr:twoCellAnchor>
  <xdr:twoCellAnchor>
    <xdr:from>
      <xdr:col>31</xdr:col>
      <xdr:colOff>600076</xdr:colOff>
      <xdr:row>0</xdr:row>
      <xdr:rowOff>0</xdr:rowOff>
    </xdr:from>
    <xdr:to>
      <xdr:col>34</xdr:col>
      <xdr:colOff>57150</xdr:colOff>
      <xdr:row>3</xdr:row>
      <xdr:rowOff>133350</xdr:rowOff>
    </xdr:to>
    <xdr:graphicFrame macro="">
      <xdr:nvGraphicFramePr>
        <xdr:cNvPr id="3" name="Chart 2">
          <a:extLst>
            <a:ext uri="{FF2B5EF4-FFF2-40B4-BE49-F238E27FC236}">
              <a16:creationId xmlns:a16="http://schemas.microsoft.com/office/drawing/2014/main" id="{A3236978-E430-4208-B4DC-99BE10DDB0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xdr:col>
      <xdr:colOff>38099</xdr:colOff>
      <xdr:row>17</xdr:row>
      <xdr:rowOff>57150</xdr:rowOff>
    </xdr:from>
    <xdr:to>
      <xdr:col>11</xdr:col>
      <xdr:colOff>491489</xdr:colOff>
      <xdr:row>33</xdr:row>
      <xdr:rowOff>114300</xdr:rowOff>
    </xdr:to>
    <xdr:graphicFrame macro="">
      <xdr:nvGraphicFramePr>
        <xdr:cNvPr id="2" name="Chart 1">
          <a:extLst>
            <a:ext uri="{FF2B5EF4-FFF2-40B4-BE49-F238E27FC236}">
              <a16:creationId xmlns:a16="http://schemas.microsoft.com/office/drawing/2014/main" id="{88C24F93-F8C7-85BD-8116-A19607946F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504825</xdr:colOff>
      <xdr:row>17</xdr:row>
      <xdr:rowOff>57150</xdr:rowOff>
    </xdr:from>
    <xdr:to>
      <xdr:col>35</xdr:col>
      <xdr:colOff>24765</xdr:colOff>
      <xdr:row>33</xdr:row>
      <xdr:rowOff>128588</xdr:rowOff>
    </xdr:to>
    <xdr:graphicFrame macro="">
      <xdr:nvGraphicFramePr>
        <xdr:cNvPr id="3" name="Chart 2">
          <a:extLst>
            <a:ext uri="{FF2B5EF4-FFF2-40B4-BE49-F238E27FC236}">
              <a16:creationId xmlns:a16="http://schemas.microsoft.com/office/drawing/2014/main" id="{2C89E865-3595-44B8-8855-29DA748098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19050</xdr:colOff>
      <xdr:row>17</xdr:row>
      <xdr:rowOff>57150</xdr:rowOff>
    </xdr:from>
    <xdr:to>
      <xdr:col>24</xdr:col>
      <xdr:colOff>434340</xdr:colOff>
      <xdr:row>33</xdr:row>
      <xdr:rowOff>114300</xdr:rowOff>
    </xdr:to>
    <xdr:graphicFrame macro="">
      <xdr:nvGraphicFramePr>
        <xdr:cNvPr id="4" name="Chart 3">
          <a:extLst>
            <a:ext uri="{FF2B5EF4-FFF2-40B4-BE49-F238E27FC236}">
              <a16:creationId xmlns:a16="http://schemas.microsoft.com/office/drawing/2014/main" id="{6D18A032-513D-4F8F-886D-F990AAA0D8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19050</xdr:colOff>
      <xdr:row>33</xdr:row>
      <xdr:rowOff>152401</xdr:rowOff>
    </xdr:from>
    <xdr:to>
      <xdr:col>24</xdr:col>
      <xdr:colOff>447676</xdr:colOff>
      <xdr:row>50</xdr:row>
      <xdr:rowOff>152401</xdr:rowOff>
    </xdr:to>
    <xdr:graphicFrame macro="">
      <xdr:nvGraphicFramePr>
        <xdr:cNvPr id="5" name="Chart 4">
          <a:extLst>
            <a:ext uri="{FF2B5EF4-FFF2-40B4-BE49-F238E27FC236}">
              <a16:creationId xmlns:a16="http://schemas.microsoft.com/office/drawing/2014/main" id="{789D17DD-9A9C-CC51-6870-F474F185A8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28575</xdr:colOff>
      <xdr:row>33</xdr:row>
      <xdr:rowOff>161925</xdr:rowOff>
    </xdr:from>
    <xdr:to>
      <xdr:col>11</xdr:col>
      <xdr:colOff>481965</xdr:colOff>
      <xdr:row>50</xdr:row>
      <xdr:rowOff>180975</xdr:rowOff>
    </xdr:to>
    <xdr:graphicFrame macro="">
      <xdr:nvGraphicFramePr>
        <xdr:cNvPr id="6" name="Chart 5">
          <a:extLst>
            <a:ext uri="{FF2B5EF4-FFF2-40B4-BE49-F238E27FC236}">
              <a16:creationId xmlns:a16="http://schemas.microsoft.com/office/drawing/2014/main" id="{76F2E6B3-F5DA-49B7-A07C-BA266CDD7B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38</xdr:col>
      <xdr:colOff>590550</xdr:colOff>
      <xdr:row>2</xdr:row>
      <xdr:rowOff>171450</xdr:rowOff>
    </xdr:from>
    <xdr:to>
      <xdr:col>45</xdr:col>
      <xdr:colOff>190500</xdr:colOff>
      <xdr:row>16</xdr:row>
      <xdr:rowOff>161925</xdr:rowOff>
    </xdr:to>
    <xdr:graphicFrame macro="">
      <xdr:nvGraphicFramePr>
        <xdr:cNvPr id="8" name="Chart 7">
          <a:extLst>
            <a:ext uri="{FF2B5EF4-FFF2-40B4-BE49-F238E27FC236}">
              <a16:creationId xmlns:a16="http://schemas.microsoft.com/office/drawing/2014/main" id="{CA5EA40D-4858-4A01-A138-B7FA506C40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42</xdr:col>
      <xdr:colOff>0</xdr:colOff>
      <xdr:row>22</xdr:row>
      <xdr:rowOff>0</xdr:rowOff>
    </xdr:from>
    <xdr:to>
      <xdr:col>49</xdr:col>
      <xdr:colOff>323486</xdr:colOff>
      <xdr:row>38</xdr:row>
      <xdr:rowOff>61229</xdr:rowOff>
    </xdr:to>
    <xdr:pic>
      <xdr:nvPicPr>
        <xdr:cNvPr id="10" name="Picture 9">
          <a:extLst>
            <a:ext uri="{FF2B5EF4-FFF2-40B4-BE49-F238E27FC236}">
              <a16:creationId xmlns:a16="http://schemas.microsoft.com/office/drawing/2014/main" id="{67A1B627-F0B8-9DA3-0C5A-1774C733CA7A}"/>
            </a:ext>
          </a:extLst>
        </xdr:cNvPr>
        <xdr:cNvPicPr>
          <a:picLocks noChangeAspect="1"/>
        </xdr:cNvPicPr>
      </xdr:nvPicPr>
      <xdr:blipFill>
        <a:blip xmlns:r="http://schemas.openxmlformats.org/officeDocument/2006/relationships" r:embed="rId7"/>
        <a:stretch>
          <a:fillRect/>
        </a:stretch>
      </xdr:blipFill>
      <xdr:spPr>
        <a:xfrm>
          <a:off x="22650450" y="4772025"/>
          <a:ext cx="4590686" cy="310922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4</xdr:col>
      <xdr:colOff>3257550</xdr:colOff>
      <xdr:row>7</xdr:row>
      <xdr:rowOff>76200</xdr:rowOff>
    </xdr:from>
    <xdr:to>
      <xdr:col>5</xdr:col>
      <xdr:colOff>342900</xdr:colOff>
      <xdr:row>10</xdr:row>
      <xdr:rowOff>171450</xdr:rowOff>
    </xdr:to>
    <xdr:sp macro="" textlink="">
      <xdr:nvSpPr>
        <xdr:cNvPr id="2" name="TextBox 1">
          <a:extLst>
            <a:ext uri="{FF2B5EF4-FFF2-40B4-BE49-F238E27FC236}">
              <a16:creationId xmlns:a16="http://schemas.microsoft.com/office/drawing/2014/main" id="{DE268A8D-CF0F-1967-9FC1-7C56AB7C8B11}"/>
            </a:ext>
          </a:extLst>
        </xdr:cNvPr>
        <xdr:cNvSpPr txBox="1"/>
      </xdr:nvSpPr>
      <xdr:spPr>
        <a:xfrm>
          <a:off x="5638800" y="1409700"/>
          <a:ext cx="1685925" cy="666750"/>
        </a:xfrm>
        <a:prstGeom prst="rect">
          <a:avLst/>
        </a:prstGeom>
        <a:solidFill>
          <a:schemeClr val="accent3">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a:t>When deleting</a:t>
          </a:r>
          <a:r>
            <a:rPr lang="en-US" sz="1000" b="1" baseline="0"/>
            <a:t> these, also delete from Sheet with their sectors.</a:t>
          </a:r>
          <a:endParaRPr lang="en-US" sz="1000" b="1"/>
        </a:p>
      </xdr:txBody>
    </xdr:sp>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Users/ryanc/Dropbox/!Trading/!!%20--%20Day%20Trading%202024%20Onward/My%20Stock%20Universe/S&amp;P%20500%20by%20SPDR.xlsx" TargetMode="External"/><Relationship Id="rId2" Type="http://schemas.openxmlformats.org/officeDocument/2006/relationships/externalLinkPath" Target="file:///C:\Users\ryanc\Dropbox\!Trading\!!%20--%20Day%20Trading%202024%20Onward\My%20Stock%20Universe\S&amp;P%20500%20by%20SPDR.xlsx" TargetMode="External"/><Relationship Id="rId1" Type="http://schemas.openxmlformats.org/officeDocument/2006/relationships/externalLinkPath" Target="/Users/ryanc/Dropbox/!Trading/!!%20--%20Day%20Trading%202024%20Onward/My%20Stock%20Universe/S&amp;P%20500%20by%20SPDR.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d.docs.live.net/58c6644054d92bd9/Teton%20Trader/My%20Earnings%20Strategy/2025-Q1%20Earnings.xlsx" TargetMode="External"/><Relationship Id="rId1" Type="http://schemas.openxmlformats.org/officeDocument/2006/relationships/externalLinkPath" Target="2025-Q1%20Earning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P500"/>
      <sheetName val="IGV"/>
    </sheetNames>
    <sheetDataSet>
      <sheetData sheetId="0">
        <row r="2">
          <cell r="A2" t="str">
            <v>GE</v>
          </cell>
          <cell r="B2" t="str">
            <v>XLI</v>
          </cell>
          <cell r="D2" t="str">
            <v>Y</v>
          </cell>
        </row>
        <row r="3">
          <cell r="A3" t="str">
            <v>CAT</v>
          </cell>
          <cell r="B3" t="str">
            <v>XLI</v>
          </cell>
          <cell r="D3" t="str">
            <v>Y</v>
          </cell>
        </row>
        <row r="4">
          <cell r="A4" t="str">
            <v>RTX</v>
          </cell>
          <cell r="B4" t="str">
            <v>XLI</v>
          </cell>
          <cell r="D4" t="str">
            <v>Y</v>
          </cell>
        </row>
        <row r="5">
          <cell r="A5" t="str">
            <v>UNP</v>
          </cell>
          <cell r="B5" t="str">
            <v>XLI</v>
          </cell>
          <cell r="D5" t="str">
            <v>Y</v>
          </cell>
        </row>
        <row r="6">
          <cell r="A6" t="str">
            <v>HON</v>
          </cell>
          <cell r="B6" t="str">
            <v>XLI</v>
          </cell>
          <cell r="D6" t="str">
            <v>Y</v>
          </cell>
        </row>
        <row r="7">
          <cell r="A7" t="str">
            <v>UBER</v>
          </cell>
          <cell r="B7" t="str">
            <v>XLI</v>
          </cell>
          <cell r="D7" t="str">
            <v>Y</v>
          </cell>
        </row>
        <row r="8">
          <cell r="A8" t="str">
            <v>BA</v>
          </cell>
          <cell r="B8" t="str">
            <v>XLI</v>
          </cell>
          <cell r="D8" t="str">
            <v>Y</v>
          </cell>
        </row>
        <row r="9">
          <cell r="A9" t="str">
            <v>DE</v>
          </cell>
          <cell r="B9" t="str">
            <v>XLI</v>
          </cell>
          <cell r="D9" t="str">
            <v>Y</v>
          </cell>
        </row>
        <row r="10">
          <cell r="A10" t="str">
            <v>ETN</v>
          </cell>
          <cell r="B10" t="str">
            <v>XLI</v>
          </cell>
          <cell r="D10" t="str">
            <v>Y</v>
          </cell>
        </row>
        <row r="11">
          <cell r="A11" t="str">
            <v>ADP</v>
          </cell>
          <cell r="B11" t="str">
            <v>XLI</v>
          </cell>
          <cell r="D11" t="str">
            <v>Y</v>
          </cell>
        </row>
        <row r="12">
          <cell r="A12" t="str">
            <v>LMT</v>
          </cell>
          <cell r="B12" t="str">
            <v>XLI</v>
          </cell>
          <cell r="D12" t="str">
            <v>Y</v>
          </cell>
        </row>
        <row r="13">
          <cell r="A13" t="str">
            <v>UPS</v>
          </cell>
          <cell r="B13" t="str">
            <v>XLI</v>
          </cell>
          <cell r="D13" t="str">
            <v>Y</v>
          </cell>
        </row>
        <row r="14">
          <cell r="A14" t="str">
            <v>GEV</v>
          </cell>
          <cell r="B14" t="str">
            <v>XLI</v>
          </cell>
          <cell r="D14" t="str">
            <v>Y</v>
          </cell>
        </row>
        <row r="15">
          <cell r="A15" t="str">
            <v>PH</v>
          </cell>
          <cell r="B15" t="str">
            <v>XLI</v>
          </cell>
          <cell r="D15" t="str">
            <v>Y</v>
          </cell>
        </row>
        <row r="16">
          <cell r="A16" t="str">
            <v>TT</v>
          </cell>
          <cell r="B16" t="str">
            <v>XLI</v>
          </cell>
          <cell r="D16" t="str">
            <v>Y</v>
          </cell>
        </row>
        <row r="17">
          <cell r="A17" t="str">
            <v>MMM</v>
          </cell>
          <cell r="B17" t="str">
            <v>XLI</v>
          </cell>
          <cell r="D17" t="str">
            <v>Y</v>
          </cell>
        </row>
        <row r="18">
          <cell r="A18" t="str">
            <v>WM</v>
          </cell>
          <cell r="B18" t="str">
            <v>XLI</v>
          </cell>
          <cell r="D18" t="str">
            <v>Y</v>
          </cell>
        </row>
        <row r="19">
          <cell r="A19" t="str">
            <v>TDG</v>
          </cell>
          <cell r="B19" t="str">
            <v>XLI</v>
          </cell>
          <cell r="D19" t="str">
            <v>Y</v>
          </cell>
        </row>
        <row r="20">
          <cell r="A20" t="str">
            <v>EMR</v>
          </cell>
          <cell r="B20" t="str">
            <v>XLI</v>
          </cell>
          <cell r="D20" t="str">
            <v>Y</v>
          </cell>
        </row>
        <row r="21">
          <cell r="A21" t="str">
            <v>ITW</v>
          </cell>
          <cell r="B21" t="str">
            <v>XLI</v>
          </cell>
          <cell r="D21" t="str">
            <v>Y</v>
          </cell>
        </row>
        <row r="22">
          <cell r="A22" t="str">
            <v>GD</v>
          </cell>
          <cell r="B22" t="str">
            <v>XLI</v>
          </cell>
          <cell r="D22" t="str">
            <v>Y</v>
          </cell>
        </row>
        <row r="23">
          <cell r="A23" t="str">
            <v>CTAS</v>
          </cell>
          <cell r="B23" t="str">
            <v>XLI</v>
          </cell>
          <cell r="D23" t="str">
            <v>Y</v>
          </cell>
        </row>
        <row r="24">
          <cell r="A24" t="str">
            <v>NOC</v>
          </cell>
          <cell r="B24" t="str">
            <v>XLI</v>
          </cell>
          <cell r="D24" t="str">
            <v>Y</v>
          </cell>
        </row>
        <row r="25">
          <cell r="A25" t="str">
            <v>CSX</v>
          </cell>
          <cell r="B25" t="str">
            <v>XLI</v>
          </cell>
          <cell r="D25" t="str">
            <v>Y</v>
          </cell>
        </row>
        <row r="26">
          <cell r="A26" t="str">
            <v>FDX</v>
          </cell>
          <cell r="B26" t="str">
            <v>XLI</v>
          </cell>
          <cell r="D26" t="str">
            <v>Y</v>
          </cell>
        </row>
        <row r="27">
          <cell r="A27" t="str">
            <v>NSC</v>
          </cell>
          <cell r="B27" t="str">
            <v>XLI</v>
          </cell>
          <cell r="D27" t="str">
            <v>Y</v>
          </cell>
        </row>
        <row r="28">
          <cell r="A28" t="str">
            <v>PCAR</v>
          </cell>
          <cell r="B28" t="str">
            <v>XLI</v>
          </cell>
          <cell r="D28" t="str">
            <v>Y</v>
          </cell>
        </row>
        <row r="29">
          <cell r="A29" t="str">
            <v>CARR</v>
          </cell>
          <cell r="B29" t="str">
            <v>XHB</v>
          </cell>
          <cell r="D29" t="str">
            <v>Y</v>
          </cell>
        </row>
        <row r="30">
          <cell r="A30" t="str">
            <v>JCI</v>
          </cell>
          <cell r="B30" t="str">
            <v>XLI</v>
          </cell>
          <cell r="D30" t="str">
            <v>Y</v>
          </cell>
        </row>
        <row r="31">
          <cell r="A31" t="str">
            <v>URI</v>
          </cell>
          <cell r="B31" t="str">
            <v>XLI</v>
          </cell>
          <cell r="D31" t="str">
            <v>Y</v>
          </cell>
        </row>
        <row r="32">
          <cell r="A32" t="str">
            <v>CPRT</v>
          </cell>
          <cell r="B32" t="str">
            <v>XLI</v>
          </cell>
          <cell r="D32" t="str">
            <v>Y</v>
          </cell>
        </row>
        <row r="33">
          <cell r="A33" t="str">
            <v>GWW</v>
          </cell>
          <cell r="B33" t="str">
            <v>XLI</v>
          </cell>
          <cell r="D33" t="str">
            <v>Y</v>
          </cell>
        </row>
        <row r="34">
          <cell r="A34" t="str">
            <v>HWM</v>
          </cell>
          <cell r="B34" t="str">
            <v>XLI</v>
          </cell>
          <cell r="D34" t="str">
            <v>Y</v>
          </cell>
        </row>
        <row r="35">
          <cell r="A35" t="str">
            <v>CMI</v>
          </cell>
          <cell r="B35" t="str">
            <v>XLI</v>
          </cell>
          <cell r="D35" t="str">
            <v>Y</v>
          </cell>
        </row>
        <row r="36">
          <cell r="A36" t="str">
            <v>PAYX</v>
          </cell>
          <cell r="B36" t="str">
            <v>XLI</v>
          </cell>
          <cell r="D36" t="str">
            <v>Y</v>
          </cell>
        </row>
        <row r="37">
          <cell r="A37" t="str">
            <v>RSG</v>
          </cell>
          <cell r="B37" t="str">
            <v>XLI</v>
          </cell>
          <cell r="D37" t="str">
            <v>Y</v>
          </cell>
        </row>
        <row r="38">
          <cell r="A38" t="str">
            <v>AXON</v>
          </cell>
          <cell r="B38" t="str">
            <v>XLI</v>
          </cell>
          <cell r="D38" t="str">
            <v>Y</v>
          </cell>
        </row>
        <row r="39">
          <cell r="A39" t="str">
            <v>FAST</v>
          </cell>
          <cell r="B39" t="str">
            <v>XLI</v>
          </cell>
          <cell r="D39" t="str">
            <v>Y</v>
          </cell>
        </row>
        <row r="40">
          <cell r="A40" t="str">
            <v>DAL</v>
          </cell>
          <cell r="B40" t="str">
            <v>XLI</v>
          </cell>
          <cell r="D40" t="str">
            <v>Y</v>
          </cell>
        </row>
        <row r="41">
          <cell r="A41" t="str">
            <v>PWR</v>
          </cell>
          <cell r="B41" t="str">
            <v>XLI</v>
          </cell>
          <cell r="D41" t="str">
            <v>Y</v>
          </cell>
        </row>
        <row r="42">
          <cell r="A42" t="str">
            <v>AME</v>
          </cell>
          <cell r="B42" t="str">
            <v>XLI</v>
          </cell>
          <cell r="D42" t="str">
            <v>Y</v>
          </cell>
        </row>
        <row r="43">
          <cell r="A43" t="str">
            <v>LHX</v>
          </cell>
          <cell r="B43" t="str">
            <v>XLI</v>
          </cell>
          <cell r="D43" t="str">
            <v>Y</v>
          </cell>
        </row>
        <row r="44">
          <cell r="A44" t="str">
            <v>VRSK</v>
          </cell>
          <cell r="B44" t="str">
            <v>XLI</v>
          </cell>
          <cell r="D44" t="str">
            <v>Y</v>
          </cell>
        </row>
        <row r="45">
          <cell r="A45" t="str">
            <v>OTIS</v>
          </cell>
          <cell r="B45" t="str">
            <v>XLI</v>
          </cell>
          <cell r="D45" t="str">
            <v>Y</v>
          </cell>
        </row>
        <row r="46">
          <cell r="A46" t="str">
            <v>IR</v>
          </cell>
          <cell r="B46" t="str">
            <v>XLI</v>
          </cell>
          <cell r="D46" t="str">
            <v>Y</v>
          </cell>
        </row>
        <row r="47">
          <cell r="A47" t="str">
            <v>ODFL</v>
          </cell>
          <cell r="B47" t="str">
            <v>XLI</v>
          </cell>
          <cell r="D47" t="str">
            <v>Y</v>
          </cell>
        </row>
        <row r="48">
          <cell r="A48" t="str">
            <v>WAB</v>
          </cell>
          <cell r="B48" t="str">
            <v>XLI</v>
          </cell>
          <cell r="D48" t="str">
            <v>Y</v>
          </cell>
        </row>
        <row r="49">
          <cell r="A49" t="str">
            <v>UAL</v>
          </cell>
          <cell r="B49" t="str">
            <v>XLI</v>
          </cell>
          <cell r="D49" t="str">
            <v>Y</v>
          </cell>
        </row>
        <row r="50">
          <cell r="A50" t="str">
            <v>EFX</v>
          </cell>
          <cell r="B50" t="str">
            <v>XLF</v>
          </cell>
          <cell r="D50" t="str">
            <v>Y</v>
          </cell>
        </row>
        <row r="51">
          <cell r="A51" t="str">
            <v>ROK</v>
          </cell>
          <cell r="B51" t="str">
            <v>XLI</v>
          </cell>
          <cell r="D51" t="str">
            <v>Y</v>
          </cell>
        </row>
        <row r="52">
          <cell r="A52" t="str">
            <v>XYL</v>
          </cell>
          <cell r="B52" t="str">
            <v>XLI</v>
          </cell>
          <cell r="D52" t="str">
            <v>Y</v>
          </cell>
        </row>
        <row r="53">
          <cell r="A53" t="str">
            <v>BR</v>
          </cell>
          <cell r="B53" t="str">
            <v>XLI</v>
          </cell>
          <cell r="D53" t="str">
            <v>Y</v>
          </cell>
        </row>
        <row r="54">
          <cell r="A54" t="str">
            <v>FTV</v>
          </cell>
          <cell r="B54" t="str">
            <v>XLI</v>
          </cell>
          <cell r="D54" t="str">
            <v>Y</v>
          </cell>
        </row>
        <row r="55">
          <cell r="A55" t="str">
            <v>DOV</v>
          </cell>
          <cell r="B55" t="str">
            <v>XLI</v>
          </cell>
          <cell r="D55" t="str">
            <v>Y</v>
          </cell>
        </row>
        <row r="56">
          <cell r="A56" t="str">
            <v>VLTO</v>
          </cell>
          <cell r="B56" t="str">
            <v>XLI</v>
          </cell>
          <cell r="D56" t="str">
            <v>Y</v>
          </cell>
        </row>
        <row r="57">
          <cell r="A57" t="str">
            <v>HUBB</v>
          </cell>
          <cell r="B57" t="str">
            <v>XLI</v>
          </cell>
          <cell r="D57" t="str">
            <v>Y</v>
          </cell>
        </row>
        <row r="58">
          <cell r="A58" t="str">
            <v>LII</v>
          </cell>
          <cell r="B58" t="str">
            <v>XHB</v>
          </cell>
          <cell r="D58" t="str">
            <v>Y</v>
          </cell>
        </row>
        <row r="59">
          <cell r="A59" t="str">
            <v>BLDR</v>
          </cell>
          <cell r="B59" t="str">
            <v>XHB</v>
          </cell>
          <cell r="D59" t="str">
            <v>Y</v>
          </cell>
        </row>
        <row r="60">
          <cell r="A60" t="str">
            <v>LDOS</v>
          </cell>
          <cell r="B60" t="str">
            <v>XLI</v>
          </cell>
          <cell r="D60" t="str">
            <v>Y</v>
          </cell>
        </row>
        <row r="61">
          <cell r="A61" t="str">
            <v>LUV</v>
          </cell>
          <cell r="B61" t="str">
            <v>XLI</v>
          </cell>
          <cell r="D61" t="str">
            <v>Y</v>
          </cell>
        </row>
        <row r="62">
          <cell r="A62" t="str">
            <v>SNA</v>
          </cell>
          <cell r="B62" t="str">
            <v>XLI</v>
          </cell>
          <cell r="D62" t="str">
            <v>Y</v>
          </cell>
        </row>
        <row r="63">
          <cell r="A63" t="str">
            <v>MAS</v>
          </cell>
          <cell r="B63" t="str">
            <v>XHB</v>
          </cell>
          <cell r="D63" t="str">
            <v>Y</v>
          </cell>
        </row>
        <row r="64">
          <cell r="A64" t="str">
            <v>J</v>
          </cell>
          <cell r="B64" t="str">
            <v>XLI</v>
          </cell>
          <cell r="D64" t="str">
            <v>Y</v>
          </cell>
        </row>
        <row r="65">
          <cell r="A65" t="str">
            <v>PNR</v>
          </cell>
          <cell r="B65" t="str">
            <v>XLI</v>
          </cell>
          <cell r="D65" t="str">
            <v>Y</v>
          </cell>
        </row>
        <row r="66">
          <cell r="A66" t="str">
            <v>IEX</v>
          </cell>
          <cell r="B66" t="str">
            <v>XLI</v>
          </cell>
          <cell r="D66" t="str">
            <v>Y</v>
          </cell>
        </row>
        <row r="67">
          <cell r="A67" t="str">
            <v>EXPD</v>
          </cell>
          <cell r="B67" t="str">
            <v>XLI</v>
          </cell>
          <cell r="D67" t="str">
            <v>Y</v>
          </cell>
        </row>
        <row r="68">
          <cell r="A68" t="str">
            <v>TXT</v>
          </cell>
          <cell r="B68" t="str">
            <v>XLI</v>
          </cell>
          <cell r="D68" t="str">
            <v>Y</v>
          </cell>
        </row>
        <row r="69">
          <cell r="A69" t="str">
            <v>SWK</v>
          </cell>
          <cell r="B69" t="str">
            <v>XLI</v>
          </cell>
          <cell r="D69" t="str">
            <v>Y</v>
          </cell>
        </row>
        <row r="70">
          <cell r="A70" t="str">
            <v>ROL</v>
          </cell>
          <cell r="B70" t="str">
            <v>XLI</v>
          </cell>
          <cell r="D70" t="str">
            <v>Y</v>
          </cell>
        </row>
        <row r="71">
          <cell r="A71" t="str">
            <v>JBHT</v>
          </cell>
          <cell r="B71" t="str">
            <v>XLI</v>
          </cell>
          <cell r="D71" t="str">
            <v>Y</v>
          </cell>
        </row>
        <row r="72">
          <cell r="A72" t="str">
            <v>CHRW</v>
          </cell>
          <cell r="B72" t="str">
            <v>XLI</v>
          </cell>
          <cell r="D72" t="str">
            <v>Y</v>
          </cell>
        </row>
        <row r="73">
          <cell r="A73" t="str">
            <v>NDSN</v>
          </cell>
          <cell r="B73" t="str">
            <v>XLI</v>
          </cell>
          <cell r="D73" t="str">
            <v>Y</v>
          </cell>
        </row>
        <row r="74">
          <cell r="A74" t="str">
            <v>ALLE</v>
          </cell>
          <cell r="B74" t="str">
            <v>XHB</v>
          </cell>
          <cell r="D74" t="str">
            <v>Y</v>
          </cell>
        </row>
        <row r="75">
          <cell r="A75" t="str">
            <v>DAY</v>
          </cell>
          <cell r="B75" t="str">
            <v>XLI</v>
          </cell>
          <cell r="D75" t="str">
            <v>Y</v>
          </cell>
        </row>
        <row r="76">
          <cell r="A76" t="str">
            <v>PAYC</v>
          </cell>
          <cell r="B76" t="str">
            <v>XLI</v>
          </cell>
          <cell r="D76" t="str">
            <v>Y</v>
          </cell>
        </row>
        <row r="77">
          <cell r="A77" t="str">
            <v>GNRC</v>
          </cell>
          <cell r="B77" t="str">
            <v>XLI</v>
          </cell>
          <cell r="D77" t="str">
            <v>Y</v>
          </cell>
        </row>
        <row r="78">
          <cell r="A78" t="str">
            <v>AOS</v>
          </cell>
          <cell r="B78" t="str">
            <v>XHB</v>
          </cell>
          <cell r="D78" t="str">
            <v>Y</v>
          </cell>
        </row>
        <row r="79">
          <cell r="A79" t="str">
            <v>HII</v>
          </cell>
          <cell r="B79" t="str">
            <v>XLI</v>
          </cell>
          <cell r="D79" t="str">
            <v>Y</v>
          </cell>
        </row>
        <row r="80">
          <cell r="A80" t="str">
            <v>META</v>
          </cell>
          <cell r="B80" t="str">
            <v>XLC</v>
          </cell>
          <cell r="D80" t="str">
            <v>Y</v>
          </cell>
        </row>
        <row r="81">
          <cell r="A81" t="str">
            <v>GOOGL</v>
          </cell>
          <cell r="B81" t="str">
            <v>XLC</v>
          </cell>
          <cell r="D81" t="str">
            <v>Y</v>
          </cell>
        </row>
        <row r="82">
          <cell r="A82" t="str">
            <v>GOOG</v>
          </cell>
          <cell r="B82" t="str">
            <v>XLC</v>
          </cell>
          <cell r="D82" t="str">
            <v>Y</v>
          </cell>
        </row>
        <row r="83">
          <cell r="A83" t="str">
            <v>NFLX</v>
          </cell>
          <cell r="B83" t="str">
            <v>XLC</v>
          </cell>
          <cell r="D83" t="str">
            <v>Y</v>
          </cell>
        </row>
        <row r="84">
          <cell r="A84" t="str">
            <v>T</v>
          </cell>
          <cell r="B84" t="str">
            <v>XLC</v>
          </cell>
          <cell r="D84" t="str">
            <v>Y</v>
          </cell>
        </row>
        <row r="85">
          <cell r="A85" t="str">
            <v>DIS</v>
          </cell>
          <cell r="B85" t="str">
            <v>XLC</v>
          </cell>
          <cell r="D85" t="str">
            <v>Y</v>
          </cell>
        </row>
        <row r="86">
          <cell r="A86" t="str">
            <v>TTWO</v>
          </cell>
          <cell r="B86" t="str">
            <v>IGV</v>
          </cell>
          <cell r="D86" t="str">
            <v>Y</v>
          </cell>
        </row>
        <row r="87">
          <cell r="A87" t="str">
            <v>CHTR</v>
          </cell>
          <cell r="B87" t="str">
            <v>XLC</v>
          </cell>
          <cell r="D87" t="str">
            <v>Y</v>
          </cell>
        </row>
        <row r="88">
          <cell r="A88" t="str">
            <v>VZ</v>
          </cell>
          <cell r="B88" t="str">
            <v>XLC</v>
          </cell>
          <cell r="D88" t="str">
            <v>Y</v>
          </cell>
        </row>
        <row r="89">
          <cell r="A89" t="str">
            <v>CMCSA</v>
          </cell>
          <cell r="B89" t="str">
            <v>XLC</v>
          </cell>
          <cell r="D89" t="str">
            <v>Y</v>
          </cell>
        </row>
        <row r="90">
          <cell r="A90" t="str">
            <v>TMUS</v>
          </cell>
          <cell r="B90" t="str">
            <v>XLC</v>
          </cell>
          <cell r="D90" t="str">
            <v>Y</v>
          </cell>
        </row>
        <row r="91">
          <cell r="A91" t="str">
            <v>WBD</v>
          </cell>
          <cell r="B91" t="str">
            <v>XLC</v>
          </cell>
          <cell r="D91" t="str">
            <v>Y</v>
          </cell>
        </row>
        <row r="92">
          <cell r="A92" t="str">
            <v>LYV</v>
          </cell>
          <cell r="B92" t="str">
            <v>XLC</v>
          </cell>
          <cell r="D92" t="str">
            <v>Y</v>
          </cell>
        </row>
        <row r="93">
          <cell r="A93" t="str">
            <v>EA</v>
          </cell>
          <cell r="B93" t="str">
            <v>IGV</v>
          </cell>
          <cell r="D93" t="str">
            <v>Y</v>
          </cell>
        </row>
        <row r="94">
          <cell r="A94" t="str">
            <v>OMC</v>
          </cell>
          <cell r="B94" t="str">
            <v>XLC</v>
          </cell>
          <cell r="D94" t="str">
            <v>Y</v>
          </cell>
        </row>
        <row r="95">
          <cell r="A95" t="str">
            <v>FOXA</v>
          </cell>
          <cell r="B95" t="str">
            <v>XLC</v>
          </cell>
          <cell r="D95" t="str">
            <v>Y</v>
          </cell>
        </row>
        <row r="96">
          <cell r="A96" t="str">
            <v>IPG</v>
          </cell>
          <cell r="B96" t="str">
            <v>XLC</v>
          </cell>
          <cell r="D96" t="str">
            <v>Y</v>
          </cell>
        </row>
        <row r="97">
          <cell r="A97" t="str">
            <v>NWSA</v>
          </cell>
          <cell r="B97" t="str">
            <v>XLC</v>
          </cell>
          <cell r="D97" t="str">
            <v>Y</v>
          </cell>
        </row>
        <row r="98">
          <cell r="A98" t="str">
            <v>MTCH</v>
          </cell>
          <cell r="B98" t="str">
            <v>XLC</v>
          </cell>
          <cell r="D98" t="str">
            <v>Y</v>
          </cell>
        </row>
        <row r="99">
          <cell r="A99" t="str">
            <v>PARA</v>
          </cell>
          <cell r="B99" t="str">
            <v>XLC</v>
          </cell>
          <cell r="D99" t="str">
            <v>Y</v>
          </cell>
        </row>
        <row r="100">
          <cell r="A100" t="str">
            <v>FOX</v>
          </cell>
          <cell r="B100" t="str">
            <v>XLC</v>
          </cell>
          <cell r="D100" t="str">
            <v>Y</v>
          </cell>
        </row>
        <row r="101">
          <cell r="A101" t="str">
            <v>NWS</v>
          </cell>
          <cell r="B101" t="str">
            <v>XLC</v>
          </cell>
          <cell r="D101" t="str">
            <v>Y</v>
          </cell>
        </row>
        <row r="102">
          <cell r="A102" t="str">
            <v>AMZN</v>
          </cell>
          <cell r="B102" t="str">
            <v>XLY</v>
          </cell>
          <cell r="D102" t="str">
            <v>Y</v>
          </cell>
        </row>
        <row r="103">
          <cell r="A103" t="str">
            <v>TSLA</v>
          </cell>
          <cell r="B103" t="str">
            <v>XLY</v>
          </cell>
          <cell r="D103" t="str">
            <v>Y</v>
          </cell>
        </row>
        <row r="104">
          <cell r="A104" t="str">
            <v>HD</v>
          </cell>
          <cell r="B104" t="str">
            <v>XLY</v>
          </cell>
          <cell r="D104" t="str">
            <v>Y</v>
          </cell>
        </row>
        <row r="105">
          <cell r="A105" t="str">
            <v>MCD</v>
          </cell>
          <cell r="B105" t="str">
            <v>XLY</v>
          </cell>
          <cell r="D105" t="str">
            <v>Y</v>
          </cell>
        </row>
        <row r="106">
          <cell r="A106" t="str">
            <v>LOW</v>
          </cell>
          <cell r="B106" t="str">
            <v>XLY</v>
          </cell>
          <cell r="D106" t="str">
            <v>Y</v>
          </cell>
        </row>
        <row r="107">
          <cell r="A107" t="str">
            <v>BKNG</v>
          </cell>
          <cell r="B107" t="str">
            <v>XLY</v>
          </cell>
          <cell r="D107" t="str">
            <v>Y</v>
          </cell>
        </row>
        <row r="108">
          <cell r="A108" t="str">
            <v>TJX</v>
          </cell>
          <cell r="B108" t="str">
            <v>XLY</v>
          </cell>
          <cell r="D108" t="str">
            <v>Y</v>
          </cell>
        </row>
        <row r="109">
          <cell r="A109" t="str">
            <v>SBUX</v>
          </cell>
          <cell r="B109" t="str">
            <v>XLY</v>
          </cell>
          <cell r="D109" t="str">
            <v>Y</v>
          </cell>
        </row>
        <row r="110">
          <cell r="A110" t="str">
            <v>NKE</v>
          </cell>
          <cell r="B110" t="str">
            <v>XLY</v>
          </cell>
          <cell r="D110" t="str">
            <v>Y</v>
          </cell>
        </row>
        <row r="111">
          <cell r="A111" t="str">
            <v>CMG</v>
          </cell>
          <cell r="B111" t="str">
            <v>XLY</v>
          </cell>
          <cell r="D111" t="str">
            <v>Y</v>
          </cell>
        </row>
        <row r="112">
          <cell r="A112" t="str">
            <v>ORLY</v>
          </cell>
          <cell r="B112" t="str">
            <v>XLY</v>
          </cell>
          <cell r="D112" t="str">
            <v>Y</v>
          </cell>
        </row>
        <row r="113">
          <cell r="A113" t="str">
            <v>MAR</v>
          </cell>
          <cell r="B113" t="str">
            <v>XLY</v>
          </cell>
          <cell r="D113" t="str">
            <v>Y</v>
          </cell>
        </row>
        <row r="114">
          <cell r="A114" t="str">
            <v>HLT</v>
          </cell>
          <cell r="B114" t="str">
            <v>XLY</v>
          </cell>
          <cell r="D114" t="str">
            <v>Y</v>
          </cell>
        </row>
        <row r="115">
          <cell r="A115" t="str">
            <v>GM</v>
          </cell>
          <cell r="B115" t="str">
            <v>XLY</v>
          </cell>
          <cell r="D115" t="str">
            <v>Y</v>
          </cell>
        </row>
        <row r="116">
          <cell r="A116" t="str">
            <v>RCL</v>
          </cell>
          <cell r="B116" t="str">
            <v>XLY</v>
          </cell>
          <cell r="D116" t="str">
            <v>Y</v>
          </cell>
        </row>
        <row r="117">
          <cell r="A117" t="str">
            <v>AZO</v>
          </cell>
          <cell r="B117" t="str">
            <v>XLY</v>
          </cell>
          <cell r="D117" t="str">
            <v>Y</v>
          </cell>
        </row>
        <row r="118">
          <cell r="A118" t="str">
            <v>ABNB</v>
          </cell>
          <cell r="B118" t="str">
            <v>XLY</v>
          </cell>
          <cell r="D118" t="str">
            <v>Y</v>
          </cell>
        </row>
        <row r="119">
          <cell r="A119" t="str">
            <v>ROST</v>
          </cell>
          <cell r="B119" t="str">
            <v>XLY</v>
          </cell>
          <cell r="D119" t="str">
            <v>Y</v>
          </cell>
        </row>
        <row r="120">
          <cell r="A120" t="str">
            <v>LULU</v>
          </cell>
          <cell r="B120" t="str">
            <v>XLY</v>
          </cell>
          <cell r="D120" t="str">
            <v>Y</v>
          </cell>
        </row>
        <row r="121">
          <cell r="A121" t="str">
            <v>DHI</v>
          </cell>
          <cell r="B121" t="str">
            <v>XHB</v>
          </cell>
          <cell r="D121" t="str">
            <v>Y</v>
          </cell>
        </row>
        <row r="122">
          <cell r="A122" t="str">
            <v>YUM</v>
          </cell>
          <cell r="B122" t="str">
            <v>XLY</v>
          </cell>
          <cell r="D122" t="str">
            <v>Y</v>
          </cell>
        </row>
        <row r="123">
          <cell r="A123" t="str">
            <v>GRMN</v>
          </cell>
          <cell r="B123" t="str">
            <v>XLY</v>
          </cell>
          <cell r="D123" t="str">
            <v>Y</v>
          </cell>
        </row>
        <row r="124">
          <cell r="A124" t="str">
            <v>LEN</v>
          </cell>
          <cell r="B124" t="str">
            <v>XHB</v>
          </cell>
          <cell r="D124" t="str">
            <v>Y</v>
          </cell>
        </row>
        <row r="125">
          <cell r="A125" t="str">
            <v>DECK</v>
          </cell>
          <cell r="B125" t="str">
            <v>XLY</v>
          </cell>
          <cell r="D125" t="str">
            <v>Y</v>
          </cell>
        </row>
        <row r="126">
          <cell r="A126" t="str">
            <v>EBAY</v>
          </cell>
          <cell r="B126" t="str">
            <v>XLY</v>
          </cell>
          <cell r="D126" t="str">
            <v>Y</v>
          </cell>
        </row>
        <row r="127">
          <cell r="A127" t="str">
            <v>TSCO</v>
          </cell>
          <cell r="B127" t="str">
            <v>XLY</v>
          </cell>
          <cell r="D127" t="str">
            <v>Y</v>
          </cell>
        </row>
        <row r="128">
          <cell r="A128" t="str">
            <v>CCL</v>
          </cell>
          <cell r="B128" t="str">
            <v>XLY</v>
          </cell>
          <cell r="D128" t="str">
            <v>Y</v>
          </cell>
        </row>
        <row r="129">
          <cell r="A129" t="str">
            <v>NVR</v>
          </cell>
          <cell r="B129" t="str">
            <v>XHB</v>
          </cell>
          <cell r="D129" t="str">
            <v>Y</v>
          </cell>
        </row>
        <row r="130">
          <cell r="A130" t="str">
            <v>PHM</v>
          </cell>
          <cell r="B130" t="str">
            <v>XHB</v>
          </cell>
          <cell r="D130" t="str">
            <v>Y</v>
          </cell>
        </row>
        <row r="131">
          <cell r="A131" t="str">
            <v>DRI</v>
          </cell>
          <cell r="B131" t="str">
            <v>XLY</v>
          </cell>
          <cell r="D131" t="str">
            <v>Y</v>
          </cell>
        </row>
        <row r="132">
          <cell r="A132" t="str">
            <v>EXPE</v>
          </cell>
          <cell r="B132" t="str">
            <v>XLY</v>
          </cell>
          <cell r="D132" t="str">
            <v>Y</v>
          </cell>
        </row>
        <row r="133">
          <cell r="A133" t="str">
            <v>ULTA</v>
          </cell>
          <cell r="B133" t="str">
            <v>XLY</v>
          </cell>
          <cell r="D133" t="str">
            <v>Y</v>
          </cell>
        </row>
        <row r="134">
          <cell r="A134" t="str">
            <v>TPR</v>
          </cell>
          <cell r="B134" t="str">
            <v>XLY</v>
          </cell>
          <cell r="D134" t="str">
            <v>Y</v>
          </cell>
        </row>
        <row r="135">
          <cell r="A135" t="str">
            <v>GPC</v>
          </cell>
          <cell r="B135" t="str">
            <v>XLY</v>
          </cell>
          <cell r="D135" t="str">
            <v>Y</v>
          </cell>
        </row>
        <row r="136">
          <cell r="A136" t="str">
            <v>BBY</v>
          </cell>
          <cell r="B136" t="str">
            <v>XLY</v>
          </cell>
          <cell r="D136" t="str">
            <v>Y</v>
          </cell>
        </row>
        <row r="137">
          <cell r="A137" t="str">
            <v>LVS</v>
          </cell>
          <cell r="B137" t="str">
            <v>XLY</v>
          </cell>
          <cell r="D137" t="str">
            <v>Y</v>
          </cell>
        </row>
        <row r="138">
          <cell r="A138" t="str">
            <v>APTV</v>
          </cell>
          <cell r="B138" t="str">
            <v>XLY</v>
          </cell>
          <cell r="D138" t="str">
            <v>Y</v>
          </cell>
        </row>
        <row r="139">
          <cell r="A139" t="str">
            <v>DPZ</v>
          </cell>
          <cell r="B139" t="str">
            <v>XLY</v>
          </cell>
          <cell r="D139" t="str">
            <v>Y</v>
          </cell>
        </row>
        <row r="140">
          <cell r="A140" t="str">
            <v>POOL</v>
          </cell>
          <cell r="B140" t="str">
            <v>XLY</v>
          </cell>
          <cell r="D140" t="str">
            <v>Y</v>
          </cell>
        </row>
        <row r="141">
          <cell r="A141" t="str">
            <v>KMX</v>
          </cell>
          <cell r="B141" t="str">
            <v>XLY</v>
          </cell>
          <cell r="D141" t="str">
            <v>Y</v>
          </cell>
        </row>
        <row r="142">
          <cell r="A142" t="str">
            <v>NCLH</v>
          </cell>
          <cell r="B142" t="str">
            <v>XLY</v>
          </cell>
          <cell r="D142" t="str">
            <v>Y</v>
          </cell>
        </row>
        <row r="143">
          <cell r="A143" t="str">
            <v>LKQ</v>
          </cell>
          <cell r="B143" t="str">
            <v>XLY</v>
          </cell>
          <cell r="D143" t="str">
            <v>Y</v>
          </cell>
        </row>
        <row r="144">
          <cell r="A144" t="str">
            <v>RL</v>
          </cell>
          <cell r="B144" t="str">
            <v>XLY</v>
          </cell>
          <cell r="D144" t="str">
            <v>Y</v>
          </cell>
        </row>
        <row r="145">
          <cell r="A145" t="str">
            <v>WYNN</v>
          </cell>
          <cell r="B145" t="str">
            <v>XLY</v>
          </cell>
          <cell r="D145" t="str">
            <v>Y</v>
          </cell>
        </row>
        <row r="146">
          <cell r="A146" t="str">
            <v>HAS</v>
          </cell>
          <cell r="B146" t="str">
            <v>XLY</v>
          </cell>
          <cell r="D146" t="str">
            <v>Y</v>
          </cell>
        </row>
        <row r="147">
          <cell r="A147" t="str">
            <v>MGM</v>
          </cell>
          <cell r="B147" t="str">
            <v>XLY</v>
          </cell>
          <cell r="D147" t="str">
            <v>Y</v>
          </cell>
        </row>
        <row r="148">
          <cell r="A148" t="str">
            <v>CZR</v>
          </cell>
          <cell r="B148" t="str">
            <v>XLY</v>
          </cell>
          <cell r="D148" t="str">
            <v>Y</v>
          </cell>
        </row>
        <row r="149">
          <cell r="A149" t="str">
            <v>TKO</v>
          </cell>
          <cell r="B149" t="str">
            <v>XLC</v>
          </cell>
          <cell r="D149" t="str">
            <v>Y</v>
          </cell>
        </row>
        <row r="150">
          <cell r="A150" t="str">
            <v>MHK</v>
          </cell>
          <cell r="B150" t="str">
            <v>XLY</v>
          </cell>
          <cell r="D150" t="str">
            <v>Y</v>
          </cell>
        </row>
        <row r="151">
          <cell r="A151" t="str">
            <v>MRP</v>
          </cell>
          <cell r="B151" t="str">
            <v>XLY</v>
          </cell>
          <cell r="D151" t="str">
            <v>Y</v>
          </cell>
        </row>
        <row r="152">
          <cell r="A152" t="str">
            <v>COST</v>
          </cell>
          <cell r="B152" t="str">
            <v>XLP</v>
          </cell>
          <cell r="D152" t="str">
            <v>Y</v>
          </cell>
        </row>
        <row r="153">
          <cell r="A153" t="str">
            <v>WMT</v>
          </cell>
          <cell r="B153" t="str">
            <v>XLP</v>
          </cell>
          <cell r="D153" t="str">
            <v>Y</v>
          </cell>
        </row>
        <row r="154">
          <cell r="A154" t="str">
            <v>PG</v>
          </cell>
          <cell r="B154" t="str">
            <v>XLP</v>
          </cell>
          <cell r="D154" t="str">
            <v>Y</v>
          </cell>
        </row>
        <row r="155">
          <cell r="A155" t="str">
            <v>KO</v>
          </cell>
          <cell r="B155" t="str">
            <v>XLP</v>
          </cell>
          <cell r="D155" t="str">
            <v>Y</v>
          </cell>
        </row>
        <row r="156">
          <cell r="A156" t="str">
            <v>PEP</v>
          </cell>
          <cell r="B156" t="str">
            <v>XLP</v>
          </cell>
          <cell r="D156" t="str">
            <v>Y</v>
          </cell>
        </row>
        <row r="157">
          <cell r="A157" t="str">
            <v>PM</v>
          </cell>
          <cell r="B157" t="str">
            <v>XLP</v>
          </cell>
          <cell r="D157" t="str">
            <v>Y</v>
          </cell>
        </row>
        <row r="158">
          <cell r="A158" t="str">
            <v>MO</v>
          </cell>
          <cell r="B158" t="str">
            <v>XLP</v>
          </cell>
          <cell r="D158" t="str">
            <v>Y</v>
          </cell>
        </row>
        <row r="159">
          <cell r="A159" t="str">
            <v>CL</v>
          </cell>
          <cell r="B159" t="str">
            <v>XLP</v>
          </cell>
          <cell r="D159" t="str">
            <v>Y</v>
          </cell>
        </row>
        <row r="160">
          <cell r="A160" t="str">
            <v>MDLZ</v>
          </cell>
          <cell r="B160" t="str">
            <v>XLP</v>
          </cell>
          <cell r="D160" t="str">
            <v>Y</v>
          </cell>
        </row>
        <row r="161">
          <cell r="A161" t="str">
            <v>TGT</v>
          </cell>
          <cell r="B161" t="str">
            <v>XLP</v>
          </cell>
          <cell r="D161" t="str">
            <v>Y</v>
          </cell>
        </row>
        <row r="162">
          <cell r="A162" t="str">
            <v>KMB</v>
          </cell>
          <cell r="B162" t="str">
            <v>XLP</v>
          </cell>
          <cell r="D162" t="str">
            <v>Y</v>
          </cell>
        </row>
        <row r="163">
          <cell r="A163" t="str">
            <v>KVUE</v>
          </cell>
          <cell r="B163" t="str">
            <v>XLP</v>
          </cell>
          <cell r="D163" t="str">
            <v>Y</v>
          </cell>
        </row>
        <row r="164">
          <cell r="A164" t="str">
            <v>KR</v>
          </cell>
          <cell r="B164" t="str">
            <v>XLP</v>
          </cell>
          <cell r="D164" t="str">
            <v>Y</v>
          </cell>
        </row>
        <row r="165">
          <cell r="A165" t="str">
            <v>SYY</v>
          </cell>
          <cell r="B165" t="str">
            <v>XLP</v>
          </cell>
          <cell r="D165" t="str">
            <v>Y</v>
          </cell>
        </row>
        <row r="166">
          <cell r="A166" t="str">
            <v>KDP</v>
          </cell>
          <cell r="B166" t="str">
            <v>XLP</v>
          </cell>
          <cell r="D166" t="str">
            <v>Y</v>
          </cell>
        </row>
        <row r="167">
          <cell r="A167" t="str">
            <v>MNST</v>
          </cell>
          <cell r="B167" t="str">
            <v>XLP</v>
          </cell>
          <cell r="D167" t="str">
            <v>Y</v>
          </cell>
        </row>
        <row r="168">
          <cell r="A168" t="str">
            <v>GIS</v>
          </cell>
          <cell r="B168" t="str">
            <v>XLP</v>
          </cell>
          <cell r="D168" t="str">
            <v>Y</v>
          </cell>
        </row>
        <row r="169">
          <cell r="A169" t="str">
            <v>STZ</v>
          </cell>
          <cell r="B169" t="str">
            <v>XLP</v>
          </cell>
          <cell r="D169" t="str">
            <v>Y</v>
          </cell>
        </row>
        <row r="170">
          <cell r="A170" t="str">
            <v>CHD</v>
          </cell>
          <cell r="B170" t="str">
            <v>XLP</v>
          </cell>
          <cell r="D170" t="str">
            <v>Y</v>
          </cell>
        </row>
        <row r="171">
          <cell r="A171" t="str">
            <v>ADM</v>
          </cell>
          <cell r="B171" t="str">
            <v>XLP</v>
          </cell>
          <cell r="D171" t="str">
            <v>Y</v>
          </cell>
        </row>
        <row r="172">
          <cell r="A172" t="str">
            <v>HSY</v>
          </cell>
          <cell r="B172" t="str">
            <v>XLP</v>
          </cell>
          <cell r="D172" t="str">
            <v>Y</v>
          </cell>
        </row>
        <row r="173">
          <cell r="A173" t="str">
            <v>K</v>
          </cell>
          <cell r="B173" t="str">
            <v>XLP</v>
          </cell>
          <cell r="D173" t="str">
            <v>Y</v>
          </cell>
        </row>
        <row r="174">
          <cell r="A174" t="str">
            <v>CLX</v>
          </cell>
          <cell r="B174" t="str">
            <v>XLP</v>
          </cell>
          <cell r="D174" t="str">
            <v>Y</v>
          </cell>
        </row>
        <row r="175">
          <cell r="A175" t="str">
            <v>EL</v>
          </cell>
          <cell r="B175" t="str">
            <v>XLP</v>
          </cell>
          <cell r="D175" t="str">
            <v>Y</v>
          </cell>
        </row>
        <row r="176">
          <cell r="A176" t="str">
            <v>MKC</v>
          </cell>
          <cell r="B176" t="str">
            <v>XLP</v>
          </cell>
          <cell r="D176" t="str">
            <v>Y</v>
          </cell>
        </row>
        <row r="177">
          <cell r="A177" t="str">
            <v>TSN</v>
          </cell>
          <cell r="B177" t="str">
            <v>XLP</v>
          </cell>
          <cell r="D177" t="str">
            <v>Y</v>
          </cell>
        </row>
        <row r="178">
          <cell r="A178" t="str">
            <v>DG</v>
          </cell>
          <cell r="B178" t="str">
            <v>XLP</v>
          </cell>
          <cell r="D178" t="str">
            <v>Y</v>
          </cell>
        </row>
        <row r="179">
          <cell r="A179" t="str">
            <v>DLTR</v>
          </cell>
          <cell r="B179" t="str">
            <v>XLP</v>
          </cell>
          <cell r="D179" t="str">
            <v>Y</v>
          </cell>
        </row>
        <row r="180">
          <cell r="A180" t="str">
            <v>CAG</v>
          </cell>
          <cell r="B180" t="str">
            <v>XLP</v>
          </cell>
          <cell r="D180" t="str">
            <v>Y</v>
          </cell>
        </row>
        <row r="181">
          <cell r="A181" t="str">
            <v>SJM</v>
          </cell>
          <cell r="B181" t="str">
            <v>XLP</v>
          </cell>
          <cell r="D181" t="str">
            <v>Y</v>
          </cell>
        </row>
        <row r="182">
          <cell r="A182" t="str">
            <v>BG</v>
          </cell>
          <cell r="B182" t="str">
            <v>XLP</v>
          </cell>
          <cell r="D182" t="str">
            <v>Y</v>
          </cell>
        </row>
        <row r="183">
          <cell r="A183" t="str">
            <v>TAP</v>
          </cell>
          <cell r="B183" t="str">
            <v>XLP</v>
          </cell>
          <cell r="D183" t="str">
            <v>Y</v>
          </cell>
        </row>
        <row r="184">
          <cell r="A184" t="str">
            <v>HRL</v>
          </cell>
          <cell r="B184" t="str">
            <v>XLP</v>
          </cell>
          <cell r="D184" t="str">
            <v>Y</v>
          </cell>
        </row>
        <row r="185">
          <cell r="A185" t="str">
            <v>LW</v>
          </cell>
          <cell r="B185" t="str">
            <v>XLP</v>
          </cell>
          <cell r="D185" t="str">
            <v>Y</v>
          </cell>
        </row>
        <row r="186">
          <cell r="A186" t="str">
            <v>WBA</v>
          </cell>
          <cell r="B186" t="str">
            <v>XLP</v>
          </cell>
          <cell r="D186" t="str">
            <v>Y</v>
          </cell>
        </row>
        <row r="187">
          <cell r="A187" t="str">
            <v>CPB</v>
          </cell>
          <cell r="B187" t="str">
            <v>XLP</v>
          </cell>
          <cell r="D187" t="str">
            <v>Y</v>
          </cell>
        </row>
        <row r="188">
          <cell r="A188" t="str">
            <v>BF.b</v>
          </cell>
          <cell r="B188" t="str">
            <v>XLP</v>
          </cell>
          <cell r="D188" t="str">
            <v>Y</v>
          </cell>
        </row>
        <row r="189">
          <cell r="A189" t="str">
            <v>XOM</v>
          </cell>
          <cell r="B189" t="str">
            <v>XLE</v>
          </cell>
          <cell r="D189" t="str">
            <v>Y</v>
          </cell>
        </row>
        <row r="190">
          <cell r="A190" t="str">
            <v>CVX</v>
          </cell>
          <cell r="B190" t="str">
            <v>XLE</v>
          </cell>
          <cell r="D190" t="str">
            <v>Y</v>
          </cell>
        </row>
        <row r="191">
          <cell r="A191" t="str">
            <v>COP</v>
          </cell>
          <cell r="B191" t="str">
            <v>XLE</v>
          </cell>
          <cell r="D191" t="str">
            <v>Y</v>
          </cell>
        </row>
        <row r="192">
          <cell r="A192" t="str">
            <v>EOG</v>
          </cell>
          <cell r="B192" t="str">
            <v>XLE</v>
          </cell>
          <cell r="D192" t="str">
            <v>Y</v>
          </cell>
        </row>
        <row r="193">
          <cell r="A193" t="str">
            <v>WMB</v>
          </cell>
          <cell r="B193" t="str">
            <v>XLE</v>
          </cell>
          <cell r="D193" t="str">
            <v>Y</v>
          </cell>
        </row>
        <row r="194">
          <cell r="A194" t="str">
            <v>SLB</v>
          </cell>
          <cell r="B194" t="str">
            <v>XLE</v>
          </cell>
          <cell r="D194" t="str">
            <v>Y</v>
          </cell>
        </row>
        <row r="195">
          <cell r="A195" t="str">
            <v>OKE</v>
          </cell>
          <cell r="B195" t="str">
            <v>XLE</v>
          </cell>
          <cell r="D195" t="str">
            <v>Y</v>
          </cell>
        </row>
        <row r="196">
          <cell r="A196" t="str">
            <v>KMI</v>
          </cell>
          <cell r="B196" t="str">
            <v>XLE</v>
          </cell>
          <cell r="D196" t="str">
            <v>Y</v>
          </cell>
        </row>
        <row r="197">
          <cell r="A197" t="str">
            <v>PSX</v>
          </cell>
          <cell r="B197" t="str">
            <v>XLE</v>
          </cell>
          <cell r="D197" t="str">
            <v>Y</v>
          </cell>
        </row>
        <row r="198">
          <cell r="A198" t="str">
            <v>MPC</v>
          </cell>
          <cell r="B198" t="str">
            <v>XLE</v>
          </cell>
          <cell r="D198" t="str">
            <v>Y</v>
          </cell>
        </row>
        <row r="199">
          <cell r="A199" t="str">
            <v>VLO</v>
          </cell>
          <cell r="B199" t="str">
            <v>XLE</v>
          </cell>
          <cell r="D199" t="str">
            <v>Y</v>
          </cell>
        </row>
        <row r="200">
          <cell r="A200" t="str">
            <v>TRGP</v>
          </cell>
          <cell r="B200" t="str">
            <v>XLE</v>
          </cell>
          <cell r="D200" t="str">
            <v>Y</v>
          </cell>
        </row>
        <row r="201">
          <cell r="A201" t="str">
            <v>BKR</v>
          </cell>
          <cell r="B201" t="str">
            <v>XLE</v>
          </cell>
          <cell r="D201" t="str">
            <v>Y</v>
          </cell>
        </row>
        <row r="202">
          <cell r="A202" t="str">
            <v>XYZ</v>
          </cell>
          <cell r="B202" t="str">
            <v>XLF</v>
          </cell>
          <cell r="D202" t="str">
            <v>Y</v>
          </cell>
        </row>
        <row r="203">
          <cell r="A203" t="str">
            <v>OXY</v>
          </cell>
          <cell r="B203" t="str">
            <v>XLE</v>
          </cell>
          <cell r="D203" t="str">
            <v>Y</v>
          </cell>
        </row>
        <row r="204">
          <cell r="A204" t="str">
            <v>FANG</v>
          </cell>
          <cell r="B204" t="str">
            <v>XLE</v>
          </cell>
          <cell r="D204" t="str">
            <v>Y</v>
          </cell>
        </row>
        <row r="205">
          <cell r="A205" t="str">
            <v>EQT</v>
          </cell>
          <cell r="B205" t="str">
            <v>XLE</v>
          </cell>
          <cell r="D205" t="str">
            <v>Y</v>
          </cell>
        </row>
        <row r="206">
          <cell r="A206" t="str">
            <v>HAL</v>
          </cell>
          <cell r="B206" t="str">
            <v>XLE</v>
          </cell>
          <cell r="D206" t="str">
            <v>Y</v>
          </cell>
        </row>
        <row r="207">
          <cell r="A207" t="str">
            <v>TPL</v>
          </cell>
          <cell r="B207" t="str">
            <v>XLE</v>
          </cell>
          <cell r="D207" t="str">
            <v>Y</v>
          </cell>
        </row>
        <row r="208">
          <cell r="A208" t="str">
            <v>DVN</v>
          </cell>
          <cell r="B208" t="str">
            <v>XLE</v>
          </cell>
          <cell r="D208" t="str">
            <v>Y</v>
          </cell>
        </row>
        <row r="209">
          <cell r="A209" t="str">
            <v>CTRA</v>
          </cell>
          <cell r="B209" t="str">
            <v>XLE</v>
          </cell>
          <cell r="D209" t="str">
            <v>Y</v>
          </cell>
        </row>
        <row r="210">
          <cell r="A210" t="str">
            <v>APA</v>
          </cell>
          <cell r="B210" t="str">
            <v>XLE</v>
          </cell>
          <cell r="D210" t="str">
            <v>Y</v>
          </cell>
        </row>
        <row r="211">
          <cell r="A211" t="str">
            <v>BRK.b</v>
          </cell>
          <cell r="B211" t="str">
            <v>XLF</v>
          </cell>
          <cell r="D211" t="str">
            <v>Y</v>
          </cell>
        </row>
        <row r="212">
          <cell r="A212" t="str">
            <v>JPM</v>
          </cell>
          <cell r="B212" t="str">
            <v>XLF</v>
          </cell>
          <cell r="D212" t="str">
            <v>Y</v>
          </cell>
        </row>
        <row r="213">
          <cell r="A213" t="str">
            <v>V</v>
          </cell>
          <cell r="B213" t="str">
            <v>XLF</v>
          </cell>
          <cell r="D213" t="str">
            <v>Y</v>
          </cell>
        </row>
        <row r="214">
          <cell r="A214" t="str">
            <v>MA</v>
          </cell>
          <cell r="B214" t="str">
            <v>XLF</v>
          </cell>
          <cell r="D214" t="str">
            <v>Y</v>
          </cell>
        </row>
        <row r="215">
          <cell r="A215" t="str">
            <v>BAC</v>
          </cell>
          <cell r="B215" t="str">
            <v>XLF</v>
          </cell>
          <cell r="D215" t="str">
            <v>Y</v>
          </cell>
        </row>
        <row r="216">
          <cell r="A216" t="str">
            <v>WFC</v>
          </cell>
          <cell r="B216" t="str">
            <v>XLF</v>
          </cell>
          <cell r="D216" t="str">
            <v>Y</v>
          </cell>
        </row>
        <row r="217">
          <cell r="A217" t="str">
            <v>GS</v>
          </cell>
          <cell r="B217" t="str">
            <v>XLF</v>
          </cell>
          <cell r="D217" t="str">
            <v>Y</v>
          </cell>
        </row>
        <row r="218">
          <cell r="A218" t="str">
            <v>AXP</v>
          </cell>
          <cell r="B218" t="str">
            <v>XLF</v>
          </cell>
          <cell r="D218" t="str">
            <v>Y</v>
          </cell>
        </row>
        <row r="219">
          <cell r="A219" t="str">
            <v>MS</v>
          </cell>
          <cell r="B219" t="str">
            <v>XLF</v>
          </cell>
          <cell r="D219" t="str">
            <v>Y</v>
          </cell>
        </row>
        <row r="220">
          <cell r="A220" t="str">
            <v>SPGI</v>
          </cell>
          <cell r="B220" t="str">
            <v>XLF</v>
          </cell>
          <cell r="D220" t="str">
            <v>Y</v>
          </cell>
        </row>
        <row r="221">
          <cell r="A221" t="str">
            <v>C</v>
          </cell>
          <cell r="B221" t="str">
            <v>XLF</v>
          </cell>
          <cell r="D221" t="str">
            <v>Y</v>
          </cell>
        </row>
        <row r="222">
          <cell r="A222" t="str">
            <v>BLK</v>
          </cell>
          <cell r="B222" t="str">
            <v>XLF</v>
          </cell>
          <cell r="D222" t="str">
            <v>Y</v>
          </cell>
        </row>
        <row r="223">
          <cell r="A223" t="str">
            <v>PGR</v>
          </cell>
          <cell r="B223" t="str">
            <v>INS</v>
          </cell>
          <cell r="D223" t="str">
            <v>Y</v>
          </cell>
        </row>
        <row r="224">
          <cell r="A224" t="str">
            <v>BX</v>
          </cell>
          <cell r="B224" t="str">
            <v>XLF</v>
          </cell>
          <cell r="D224" t="str">
            <v>Y</v>
          </cell>
        </row>
        <row r="225">
          <cell r="A225" t="str">
            <v>SCHW</v>
          </cell>
          <cell r="B225" t="str">
            <v>XLF</v>
          </cell>
          <cell r="D225" t="str">
            <v>Y</v>
          </cell>
        </row>
        <row r="226">
          <cell r="A226" t="str">
            <v>FI</v>
          </cell>
          <cell r="B226" t="str">
            <v>XLF</v>
          </cell>
          <cell r="D226" t="str">
            <v>Y</v>
          </cell>
        </row>
        <row r="227">
          <cell r="A227" t="str">
            <v>MMC</v>
          </cell>
          <cell r="B227" t="str">
            <v>INS</v>
          </cell>
          <cell r="D227" t="str">
            <v>Y</v>
          </cell>
        </row>
        <row r="228">
          <cell r="A228" t="str">
            <v>KKR</v>
          </cell>
          <cell r="B228" t="str">
            <v>XLF</v>
          </cell>
          <cell r="D228" t="str">
            <v>Y</v>
          </cell>
        </row>
        <row r="229">
          <cell r="A229" t="str">
            <v>CB</v>
          </cell>
          <cell r="B229" t="str">
            <v>INS</v>
          </cell>
          <cell r="D229" t="str">
            <v>Y</v>
          </cell>
        </row>
        <row r="230">
          <cell r="A230" t="str">
            <v>ICE</v>
          </cell>
          <cell r="B230" t="str">
            <v>XLF</v>
          </cell>
          <cell r="D230" t="str">
            <v>Y</v>
          </cell>
        </row>
        <row r="231">
          <cell r="A231" t="str">
            <v>PYPL</v>
          </cell>
          <cell r="B231" t="str">
            <v>XLF</v>
          </cell>
          <cell r="D231" t="str">
            <v>Y</v>
          </cell>
        </row>
        <row r="232">
          <cell r="A232" t="str">
            <v>CME</v>
          </cell>
          <cell r="B232" t="str">
            <v>XLF</v>
          </cell>
          <cell r="D232" t="str">
            <v>Y</v>
          </cell>
        </row>
        <row r="233">
          <cell r="A233" t="str">
            <v>AON</v>
          </cell>
          <cell r="B233" t="str">
            <v>INS</v>
          </cell>
          <cell r="D233" t="str">
            <v>Y</v>
          </cell>
        </row>
        <row r="234">
          <cell r="A234" t="str">
            <v>PNC</v>
          </cell>
          <cell r="B234" t="str">
            <v>XLF</v>
          </cell>
          <cell r="D234" t="str">
            <v>Y</v>
          </cell>
        </row>
        <row r="235">
          <cell r="A235" t="str">
            <v>MCO</v>
          </cell>
          <cell r="B235" t="str">
            <v>XLF</v>
          </cell>
          <cell r="D235" t="str">
            <v>Y</v>
          </cell>
        </row>
        <row r="236">
          <cell r="A236" t="str">
            <v>USB</v>
          </cell>
          <cell r="B236" t="str">
            <v>XLF</v>
          </cell>
          <cell r="D236" t="str">
            <v>Y</v>
          </cell>
        </row>
        <row r="237">
          <cell r="A237" t="str">
            <v>COF</v>
          </cell>
          <cell r="B237" t="str">
            <v>XLF</v>
          </cell>
          <cell r="D237" t="str">
            <v>Y</v>
          </cell>
        </row>
        <row r="238">
          <cell r="A238" t="str">
            <v>APO</v>
          </cell>
          <cell r="B238" t="str">
            <v>XLF</v>
          </cell>
          <cell r="D238" t="str">
            <v>Y</v>
          </cell>
        </row>
        <row r="239">
          <cell r="A239" t="str">
            <v>AJG</v>
          </cell>
          <cell r="B239" t="str">
            <v>INS</v>
          </cell>
          <cell r="D239" t="str">
            <v>Y</v>
          </cell>
        </row>
        <row r="240">
          <cell r="A240" t="str">
            <v>TFC</v>
          </cell>
          <cell r="B240" t="str">
            <v>XLF</v>
          </cell>
          <cell r="D240" t="str">
            <v>Y</v>
          </cell>
        </row>
        <row r="241">
          <cell r="A241" t="str">
            <v>BK</v>
          </cell>
          <cell r="B241" t="str">
            <v>XLF</v>
          </cell>
          <cell r="D241" t="str">
            <v>Y</v>
          </cell>
        </row>
        <row r="242">
          <cell r="A242" t="str">
            <v>TRV</v>
          </cell>
          <cell r="B242" t="str">
            <v>INS</v>
          </cell>
          <cell r="D242" t="str">
            <v>Y</v>
          </cell>
        </row>
        <row r="243">
          <cell r="A243" t="str">
            <v>AMP</v>
          </cell>
          <cell r="B243" t="str">
            <v>XLF</v>
          </cell>
          <cell r="D243" t="str">
            <v>Y</v>
          </cell>
        </row>
        <row r="244">
          <cell r="A244" t="str">
            <v>AFL</v>
          </cell>
          <cell r="B244" t="str">
            <v>INS</v>
          </cell>
          <cell r="D244" t="str">
            <v>Y</v>
          </cell>
        </row>
        <row r="245">
          <cell r="A245" t="str">
            <v>ALL</v>
          </cell>
          <cell r="B245" t="str">
            <v>INS</v>
          </cell>
          <cell r="D245" t="str">
            <v>Y</v>
          </cell>
        </row>
        <row r="246">
          <cell r="A246" t="str">
            <v>MET</v>
          </cell>
          <cell r="B246" t="str">
            <v>INS</v>
          </cell>
          <cell r="D246" t="str">
            <v>Y</v>
          </cell>
        </row>
        <row r="247">
          <cell r="A247" t="str">
            <v>DFS</v>
          </cell>
          <cell r="B247" t="str">
            <v>XLF</v>
          </cell>
          <cell r="D247" t="str">
            <v>Y</v>
          </cell>
        </row>
        <row r="248">
          <cell r="A248" t="str">
            <v>MSCI</v>
          </cell>
          <cell r="B248" t="str">
            <v>XLF</v>
          </cell>
          <cell r="D248" t="str">
            <v>Y</v>
          </cell>
        </row>
        <row r="249">
          <cell r="A249" t="str">
            <v>AIG</v>
          </cell>
          <cell r="B249" t="str">
            <v>INS</v>
          </cell>
          <cell r="D249" t="str">
            <v>Y</v>
          </cell>
        </row>
        <row r="250">
          <cell r="A250" t="str">
            <v>FIS</v>
          </cell>
          <cell r="B250" t="str">
            <v>XLF</v>
          </cell>
          <cell r="D250" t="str">
            <v>Y</v>
          </cell>
        </row>
        <row r="251">
          <cell r="A251" t="str">
            <v>PRU</v>
          </cell>
          <cell r="B251" t="str">
            <v>INS</v>
          </cell>
          <cell r="D251" t="str">
            <v>Y</v>
          </cell>
        </row>
        <row r="252">
          <cell r="A252" t="str">
            <v>ACGL</v>
          </cell>
          <cell r="B252" t="str">
            <v>INS</v>
          </cell>
          <cell r="D252" t="str">
            <v>Y</v>
          </cell>
        </row>
        <row r="253">
          <cell r="A253" t="str">
            <v>NDAQ</v>
          </cell>
          <cell r="B253" t="str">
            <v>XLF</v>
          </cell>
          <cell r="D253" t="str">
            <v>Y</v>
          </cell>
        </row>
        <row r="254">
          <cell r="A254" t="str">
            <v>MTB</v>
          </cell>
          <cell r="B254" t="str">
            <v>XLF</v>
          </cell>
          <cell r="D254" t="str">
            <v>Y</v>
          </cell>
        </row>
        <row r="255">
          <cell r="A255" t="str">
            <v>WTW</v>
          </cell>
          <cell r="B255" t="str">
            <v>XLF</v>
          </cell>
          <cell r="D255" t="str">
            <v>Y</v>
          </cell>
        </row>
        <row r="256">
          <cell r="A256" t="str">
            <v>HIG</v>
          </cell>
          <cell r="B256" t="str">
            <v>INS</v>
          </cell>
          <cell r="D256" t="str">
            <v>Y</v>
          </cell>
        </row>
        <row r="257">
          <cell r="A257" t="str">
            <v>RJF</v>
          </cell>
          <cell r="B257" t="str">
            <v>XLF</v>
          </cell>
          <cell r="D257" t="str">
            <v>Y</v>
          </cell>
        </row>
        <row r="258">
          <cell r="A258" t="str">
            <v>FITB</v>
          </cell>
          <cell r="B258" t="str">
            <v>XLF</v>
          </cell>
          <cell r="D258" t="str">
            <v>Y</v>
          </cell>
        </row>
        <row r="259">
          <cell r="A259" t="str">
            <v>STT</v>
          </cell>
          <cell r="B259" t="str">
            <v>XLF</v>
          </cell>
          <cell r="D259" t="str">
            <v>Y</v>
          </cell>
        </row>
        <row r="260">
          <cell r="A260" t="str">
            <v>GPN</v>
          </cell>
          <cell r="B260" t="str">
            <v>XLF</v>
          </cell>
          <cell r="D260" t="str">
            <v>Y</v>
          </cell>
        </row>
        <row r="261">
          <cell r="A261" t="str">
            <v>SYF</v>
          </cell>
          <cell r="B261" t="str">
            <v>XLF</v>
          </cell>
          <cell r="D261" t="str">
            <v>Y</v>
          </cell>
        </row>
        <row r="262">
          <cell r="A262" t="str">
            <v>CPAY</v>
          </cell>
          <cell r="B262" t="str">
            <v>XLF</v>
          </cell>
          <cell r="D262" t="str">
            <v>Y</v>
          </cell>
        </row>
        <row r="263">
          <cell r="A263" t="str">
            <v>BRO</v>
          </cell>
          <cell r="B263" t="str">
            <v>INS</v>
          </cell>
          <cell r="D263" t="str">
            <v>Y</v>
          </cell>
        </row>
        <row r="264">
          <cell r="A264" t="str">
            <v>TROW</v>
          </cell>
          <cell r="B264" t="str">
            <v>XLF</v>
          </cell>
          <cell r="D264" t="str">
            <v>Y</v>
          </cell>
        </row>
        <row r="265">
          <cell r="A265" t="str">
            <v>HBAN</v>
          </cell>
          <cell r="B265" t="str">
            <v>XLF</v>
          </cell>
          <cell r="D265" t="str">
            <v>Y</v>
          </cell>
        </row>
        <row r="266">
          <cell r="A266" t="str">
            <v>RF</v>
          </cell>
          <cell r="B266" t="str">
            <v>XLF</v>
          </cell>
          <cell r="D266" t="str">
            <v>Y</v>
          </cell>
        </row>
        <row r="267">
          <cell r="A267" t="str">
            <v>NTRS</v>
          </cell>
          <cell r="B267" t="str">
            <v>XLF</v>
          </cell>
          <cell r="D267" t="str">
            <v>Y</v>
          </cell>
        </row>
        <row r="268">
          <cell r="A268" t="str">
            <v>CINF</v>
          </cell>
          <cell r="B268" t="str">
            <v>INS</v>
          </cell>
          <cell r="D268" t="str">
            <v>Y</v>
          </cell>
        </row>
        <row r="269">
          <cell r="A269" t="str">
            <v>CBOE</v>
          </cell>
          <cell r="B269" t="str">
            <v>XLF</v>
          </cell>
          <cell r="D269" t="str">
            <v>Y</v>
          </cell>
        </row>
        <row r="270">
          <cell r="A270" t="str">
            <v>CFG</v>
          </cell>
          <cell r="B270" t="str">
            <v>XLF</v>
          </cell>
          <cell r="D270" t="str">
            <v>Y</v>
          </cell>
        </row>
        <row r="271">
          <cell r="A271" t="str">
            <v>FDS</v>
          </cell>
          <cell r="B271" t="str">
            <v>XLF</v>
          </cell>
          <cell r="D271" t="str">
            <v>Y</v>
          </cell>
        </row>
        <row r="272">
          <cell r="A272" t="str">
            <v>WRB</v>
          </cell>
          <cell r="B272" t="str">
            <v>INS</v>
          </cell>
          <cell r="D272" t="str">
            <v>Y</v>
          </cell>
        </row>
        <row r="273">
          <cell r="A273" t="str">
            <v>KEY</v>
          </cell>
          <cell r="B273" t="str">
            <v>XLF</v>
          </cell>
          <cell r="D273" t="str">
            <v>Y</v>
          </cell>
        </row>
        <row r="274">
          <cell r="A274" t="str">
            <v>PFG</v>
          </cell>
          <cell r="B274" t="str">
            <v>INS</v>
          </cell>
          <cell r="D274" t="str">
            <v>Y</v>
          </cell>
        </row>
        <row r="275">
          <cell r="A275" t="str">
            <v>EG</v>
          </cell>
          <cell r="B275" t="str">
            <v>XLF</v>
          </cell>
          <cell r="D275" t="str">
            <v>Y</v>
          </cell>
        </row>
        <row r="276">
          <cell r="A276" t="str">
            <v>L</v>
          </cell>
          <cell r="B276" t="str">
            <v>INS</v>
          </cell>
          <cell r="D276" t="str">
            <v>Y</v>
          </cell>
        </row>
        <row r="277">
          <cell r="A277" t="str">
            <v>JKHY</v>
          </cell>
          <cell r="B277" t="str">
            <v>XLF</v>
          </cell>
          <cell r="D277" t="str">
            <v>Y</v>
          </cell>
        </row>
        <row r="278">
          <cell r="A278" t="str">
            <v>AIZ</v>
          </cell>
          <cell r="B278" t="str">
            <v>INS</v>
          </cell>
          <cell r="D278" t="str">
            <v>Y</v>
          </cell>
        </row>
        <row r="279">
          <cell r="A279" t="str">
            <v>GL</v>
          </cell>
          <cell r="B279" t="str">
            <v>INS</v>
          </cell>
          <cell r="D279" t="str">
            <v>Y</v>
          </cell>
        </row>
        <row r="280">
          <cell r="A280" t="str">
            <v>ERIE</v>
          </cell>
          <cell r="B280" t="str">
            <v>XLF</v>
          </cell>
          <cell r="D280" t="str">
            <v>Y</v>
          </cell>
        </row>
        <row r="281">
          <cell r="A281" t="str">
            <v>MKTX</v>
          </cell>
          <cell r="B281" t="str">
            <v>XLF</v>
          </cell>
          <cell r="D281" t="str">
            <v>Y</v>
          </cell>
        </row>
        <row r="282">
          <cell r="A282" t="str">
            <v>IVZ</v>
          </cell>
          <cell r="B282" t="str">
            <v>XLF</v>
          </cell>
          <cell r="D282" t="str">
            <v>Y</v>
          </cell>
        </row>
        <row r="283">
          <cell r="A283" t="str">
            <v>BEN</v>
          </cell>
          <cell r="B283" t="str">
            <v>XLF</v>
          </cell>
          <cell r="D283" t="str">
            <v>Y</v>
          </cell>
        </row>
        <row r="284">
          <cell r="A284" t="str">
            <v>LLY</v>
          </cell>
          <cell r="B284" t="str">
            <v>XLV</v>
          </cell>
          <cell r="D284" t="str">
            <v>Y</v>
          </cell>
        </row>
        <row r="285">
          <cell r="A285" t="str">
            <v>UNH</v>
          </cell>
          <cell r="B285" t="str">
            <v>H-INS</v>
          </cell>
          <cell r="D285" t="str">
            <v>Y</v>
          </cell>
        </row>
        <row r="286">
          <cell r="A286" t="str">
            <v>JNJ</v>
          </cell>
          <cell r="B286" t="str">
            <v>XLV</v>
          </cell>
          <cell r="D286" t="str">
            <v>Y</v>
          </cell>
        </row>
        <row r="287">
          <cell r="A287" t="str">
            <v>ABBV</v>
          </cell>
          <cell r="B287" t="str">
            <v>XLV</v>
          </cell>
          <cell r="D287" t="str">
            <v>Y</v>
          </cell>
        </row>
        <row r="288">
          <cell r="A288" t="str">
            <v>MRK</v>
          </cell>
          <cell r="B288" t="str">
            <v>XLV</v>
          </cell>
          <cell r="D288" t="str">
            <v>Y</v>
          </cell>
        </row>
        <row r="289">
          <cell r="A289" t="str">
            <v>ABT</v>
          </cell>
          <cell r="B289" t="str">
            <v>XLV</v>
          </cell>
          <cell r="D289" t="str">
            <v>Y</v>
          </cell>
        </row>
        <row r="290">
          <cell r="A290" t="str">
            <v>TMO</v>
          </cell>
          <cell r="B290" t="str">
            <v>XLV</v>
          </cell>
          <cell r="D290" t="str">
            <v>Y</v>
          </cell>
        </row>
        <row r="291">
          <cell r="A291" t="str">
            <v>ISRG</v>
          </cell>
          <cell r="B291" t="str">
            <v>XLV</v>
          </cell>
          <cell r="D291" t="str">
            <v>Y</v>
          </cell>
        </row>
        <row r="292">
          <cell r="A292" t="str">
            <v>DHR</v>
          </cell>
          <cell r="B292" t="str">
            <v>XLV</v>
          </cell>
          <cell r="D292" t="str">
            <v>Y</v>
          </cell>
        </row>
        <row r="293">
          <cell r="A293" t="str">
            <v>PFE</v>
          </cell>
          <cell r="B293" t="str">
            <v>XLV</v>
          </cell>
          <cell r="D293" t="str">
            <v>Y</v>
          </cell>
        </row>
        <row r="294">
          <cell r="A294" t="str">
            <v>AMGN</v>
          </cell>
          <cell r="B294" t="str">
            <v>XLV</v>
          </cell>
          <cell r="D294" t="str">
            <v>Y</v>
          </cell>
        </row>
        <row r="295">
          <cell r="A295" t="str">
            <v>BSX</v>
          </cell>
          <cell r="B295" t="str">
            <v>XLV</v>
          </cell>
          <cell r="D295" t="str">
            <v>Y</v>
          </cell>
        </row>
        <row r="296">
          <cell r="A296" t="str">
            <v>SYK</v>
          </cell>
          <cell r="B296" t="str">
            <v>XLV</v>
          </cell>
          <cell r="D296" t="str">
            <v>Y</v>
          </cell>
        </row>
        <row r="297">
          <cell r="A297" t="str">
            <v>BMY</v>
          </cell>
          <cell r="B297" t="str">
            <v>XLV</v>
          </cell>
          <cell r="D297" t="str">
            <v>Y</v>
          </cell>
        </row>
        <row r="298">
          <cell r="A298" t="str">
            <v>GILD</v>
          </cell>
          <cell r="B298" t="str">
            <v>XLV</v>
          </cell>
          <cell r="D298" t="str">
            <v>Y</v>
          </cell>
        </row>
        <row r="299">
          <cell r="A299" t="str">
            <v>MDT</v>
          </cell>
          <cell r="B299" t="str">
            <v>XLV</v>
          </cell>
          <cell r="D299" t="str">
            <v>Y</v>
          </cell>
        </row>
        <row r="300">
          <cell r="A300" t="str">
            <v>VRTX</v>
          </cell>
          <cell r="B300" t="str">
            <v>XLV</v>
          </cell>
          <cell r="D300" t="str">
            <v>Y</v>
          </cell>
        </row>
        <row r="301">
          <cell r="A301" t="str">
            <v>ELV</v>
          </cell>
          <cell r="B301" t="str">
            <v>H-INS</v>
          </cell>
          <cell r="D301" t="str">
            <v>Y</v>
          </cell>
        </row>
        <row r="302">
          <cell r="A302" t="str">
            <v>CI</v>
          </cell>
          <cell r="B302" t="str">
            <v>H-INS</v>
          </cell>
          <cell r="D302" t="str">
            <v>Y</v>
          </cell>
        </row>
        <row r="303">
          <cell r="A303" t="str">
            <v>ZTS</v>
          </cell>
          <cell r="B303" t="str">
            <v>XLV</v>
          </cell>
          <cell r="D303" t="str">
            <v>Y</v>
          </cell>
        </row>
        <row r="304">
          <cell r="A304" t="str">
            <v>MCK</v>
          </cell>
          <cell r="B304" t="str">
            <v>XLV</v>
          </cell>
          <cell r="D304" t="str">
            <v>Y</v>
          </cell>
        </row>
        <row r="305">
          <cell r="A305" t="str">
            <v>REGN</v>
          </cell>
          <cell r="B305" t="str">
            <v>XLV</v>
          </cell>
          <cell r="D305" t="str">
            <v>Y</v>
          </cell>
        </row>
        <row r="306">
          <cell r="A306" t="str">
            <v>BDX</v>
          </cell>
          <cell r="B306" t="str">
            <v>XLV</v>
          </cell>
          <cell r="D306" t="str">
            <v>Y</v>
          </cell>
        </row>
        <row r="307">
          <cell r="A307" t="str">
            <v>CVS</v>
          </cell>
          <cell r="B307" t="str">
            <v>XLV</v>
          </cell>
          <cell r="D307" t="str">
            <v>Y</v>
          </cell>
        </row>
        <row r="308">
          <cell r="A308" t="str">
            <v>HCA</v>
          </cell>
          <cell r="B308" t="str">
            <v>XLV</v>
          </cell>
          <cell r="D308" t="str">
            <v>Y</v>
          </cell>
        </row>
        <row r="309">
          <cell r="A309" t="str">
            <v>COR</v>
          </cell>
          <cell r="B309" t="str">
            <v>XLV</v>
          </cell>
          <cell r="D309" t="str">
            <v>Y</v>
          </cell>
        </row>
        <row r="310">
          <cell r="A310" t="str">
            <v>A</v>
          </cell>
          <cell r="B310" t="str">
            <v>XLV</v>
          </cell>
          <cell r="D310" t="str">
            <v>Y</v>
          </cell>
        </row>
        <row r="311">
          <cell r="A311" t="str">
            <v>EW</v>
          </cell>
          <cell r="B311" t="str">
            <v>XLV</v>
          </cell>
          <cell r="D311" t="str">
            <v>Y</v>
          </cell>
        </row>
        <row r="312">
          <cell r="A312" t="str">
            <v>GEHC</v>
          </cell>
          <cell r="B312" t="str">
            <v>XLV</v>
          </cell>
          <cell r="D312" t="str">
            <v>Y</v>
          </cell>
        </row>
        <row r="313">
          <cell r="A313" t="str">
            <v>RMD</v>
          </cell>
          <cell r="B313" t="str">
            <v>XLV</v>
          </cell>
          <cell r="D313" t="str">
            <v>Y</v>
          </cell>
        </row>
        <row r="314">
          <cell r="A314" t="str">
            <v>HUM</v>
          </cell>
          <cell r="B314" t="str">
            <v>H-INS</v>
          </cell>
          <cell r="D314" t="str">
            <v>Y</v>
          </cell>
        </row>
        <row r="315">
          <cell r="A315" t="str">
            <v>IQV</v>
          </cell>
          <cell r="B315" t="str">
            <v>XLV</v>
          </cell>
          <cell r="D315" t="str">
            <v>Y</v>
          </cell>
        </row>
        <row r="316">
          <cell r="A316" t="str">
            <v>IDXX</v>
          </cell>
          <cell r="B316" t="str">
            <v>XLV</v>
          </cell>
          <cell r="D316" t="str">
            <v>Y</v>
          </cell>
        </row>
        <row r="317">
          <cell r="A317" t="str">
            <v>DXCM</v>
          </cell>
          <cell r="B317" t="str">
            <v>XLV</v>
          </cell>
          <cell r="D317" t="str">
            <v>Y</v>
          </cell>
        </row>
        <row r="318">
          <cell r="A318" t="str">
            <v>CNC</v>
          </cell>
          <cell r="B318" t="str">
            <v>H-INS</v>
          </cell>
          <cell r="D318" t="str">
            <v>Y</v>
          </cell>
        </row>
        <row r="319">
          <cell r="A319" t="str">
            <v>CAH</v>
          </cell>
          <cell r="B319" t="str">
            <v>XLV</v>
          </cell>
          <cell r="D319" t="str">
            <v>Y</v>
          </cell>
        </row>
        <row r="320">
          <cell r="A320" t="str">
            <v>MTD</v>
          </cell>
          <cell r="B320" t="str">
            <v>XLV</v>
          </cell>
          <cell r="D320" t="str">
            <v>Y</v>
          </cell>
        </row>
        <row r="321">
          <cell r="A321" t="str">
            <v>WST</v>
          </cell>
          <cell r="B321" t="str">
            <v>XLV</v>
          </cell>
          <cell r="D321" t="str">
            <v>Y</v>
          </cell>
        </row>
        <row r="322">
          <cell r="A322" t="str">
            <v>WAT</v>
          </cell>
          <cell r="B322" t="str">
            <v>XLV</v>
          </cell>
          <cell r="D322" t="str">
            <v>Y</v>
          </cell>
        </row>
        <row r="323">
          <cell r="A323" t="str">
            <v>ZBH</v>
          </cell>
          <cell r="B323" t="str">
            <v>XLV</v>
          </cell>
          <cell r="D323" t="str">
            <v>Y</v>
          </cell>
        </row>
        <row r="324">
          <cell r="A324" t="str">
            <v>STE</v>
          </cell>
          <cell r="B324" t="str">
            <v>XLV</v>
          </cell>
          <cell r="D324" t="str">
            <v>Y</v>
          </cell>
        </row>
        <row r="325">
          <cell r="A325" t="str">
            <v>BIIB</v>
          </cell>
          <cell r="B325" t="str">
            <v>XLV</v>
          </cell>
          <cell r="D325" t="str">
            <v>Y</v>
          </cell>
        </row>
        <row r="326">
          <cell r="A326" t="str">
            <v>LH</v>
          </cell>
          <cell r="B326" t="str">
            <v>XLV</v>
          </cell>
          <cell r="D326" t="str">
            <v>Y</v>
          </cell>
        </row>
        <row r="327">
          <cell r="A327" t="str">
            <v>COO</v>
          </cell>
          <cell r="B327" t="str">
            <v>XLV</v>
          </cell>
          <cell r="D327" t="str">
            <v>Y</v>
          </cell>
        </row>
        <row r="328">
          <cell r="A328" t="str">
            <v>PODD</v>
          </cell>
          <cell r="B328" t="str">
            <v>XLV</v>
          </cell>
          <cell r="D328" t="str">
            <v>Y</v>
          </cell>
        </row>
        <row r="329">
          <cell r="A329" t="str">
            <v>DGX</v>
          </cell>
          <cell r="B329" t="str">
            <v>XLV</v>
          </cell>
          <cell r="D329" t="str">
            <v>Y</v>
          </cell>
        </row>
        <row r="330">
          <cell r="A330" t="str">
            <v>MOH</v>
          </cell>
          <cell r="B330" t="str">
            <v>XLV</v>
          </cell>
          <cell r="D330" t="str">
            <v>Y</v>
          </cell>
        </row>
        <row r="331">
          <cell r="A331" t="str">
            <v>BAX</v>
          </cell>
          <cell r="B331" t="str">
            <v>XLV</v>
          </cell>
          <cell r="D331" t="str">
            <v>Y</v>
          </cell>
        </row>
        <row r="332">
          <cell r="A332" t="str">
            <v>HOLX</v>
          </cell>
          <cell r="B332" t="str">
            <v>XLV</v>
          </cell>
          <cell r="D332" t="str">
            <v>Y</v>
          </cell>
        </row>
        <row r="333">
          <cell r="A333" t="str">
            <v>ALGN</v>
          </cell>
          <cell r="B333" t="str">
            <v>XLV</v>
          </cell>
          <cell r="D333" t="str">
            <v>Y</v>
          </cell>
        </row>
        <row r="334">
          <cell r="A334" t="str">
            <v>RVTY</v>
          </cell>
          <cell r="B334" t="str">
            <v>XLV</v>
          </cell>
          <cell r="D334" t="str">
            <v>Y</v>
          </cell>
        </row>
        <row r="335">
          <cell r="A335" t="str">
            <v>MRNA</v>
          </cell>
          <cell r="B335" t="str">
            <v>XLV</v>
          </cell>
          <cell r="D335" t="str">
            <v>Y</v>
          </cell>
        </row>
        <row r="336">
          <cell r="A336" t="str">
            <v>VTRS</v>
          </cell>
          <cell r="B336" t="str">
            <v>XLV</v>
          </cell>
          <cell r="D336" t="str">
            <v>Y</v>
          </cell>
        </row>
        <row r="337">
          <cell r="A337" t="str">
            <v>TECH</v>
          </cell>
          <cell r="B337" t="str">
            <v>XLV</v>
          </cell>
          <cell r="D337" t="str">
            <v>Y</v>
          </cell>
        </row>
        <row r="338">
          <cell r="A338" t="str">
            <v>INCY</v>
          </cell>
          <cell r="B338" t="str">
            <v>XLV</v>
          </cell>
          <cell r="D338" t="str">
            <v>Y</v>
          </cell>
        </row>
        <row r="339">
          <cell r="A339" t="str">
            <v>UHS</v>
          </cell>
          <cell r="B339" t="str">
            <v>XLV</v>
          </cell>
          <cell r="D339" t="str">
            <v>Y</v>
          </cell>
        </row>
        <row r="340">
          <cell r="A340" t="str">
            <v>SOLV</v>
          </cell>
          <cell r="B340" t="str">
            <v>XLV</v>
          </cell>
          <cell r="D340" t="str">
            <v>Y</v>
          </cell>
        </row>
        <row r="341">
          <cell r="A341" t="str">
            <v>HSIC</v>
          </cell>
          <cell r="B341" t="str">
            <v>XLV</v>
          </cell>
          <cell r="D341" t="str">
            <v>Y</v>
          </cell>
        </row>
        <row r="342">
          <cell r="A342" t="str">
            <v>EXE</v>
          </cell>
          <cell r="B342" t="str">
            <v>XLE</v>
          </cell>
          <cell r="D342" t="str">
            <v>Y</v>
          </cell>
        </row>
        <row r="343">
          <cell r="A343" t="str">
            <v>CRL</v>
          </cell>
          <cell r="B343" t="str">
            <v>XLV</v>
          </cell>
          <cell r="D343" t="str">
            <v>Y</v>
          </cell>
        </row>
        <row r="344">
          <cell r="A344" t="str">
            <v>DVA</v>
          </cell>
          <cell r="B344" t="str">
            <v>XLV</v>
          </cell>
          <cell r="D344" t="str">
            <v>Y</v>
          </cell>
        </row>
        <row r="345">
          <cell r="A345" t="str">
            <v>LIN</v>
          </cell>
          <cell r="B345" t="str">
            <v>XLB</v>
          </cell>
          <cell r="D345" t="str">
            <v>Y</v>
          </cell>
        </row>
        <row r="346">
          <cell r="A346" t="str">
            <v>SHW</v>
          </cell>
          <cell r="B346" t="str">
            <v>XLB</v>
          </cell>
          <cell r="D346" t="str">
            <v>Y</v>
          </cell>
        </row>
        <row r="347">
          <cell r="A347" t="str">
            <v>APD</v>
          </cell>
          <cell r="B347" t="str">
            <v>XLB</v>
          </cell>
          <cell r="D347" t="str">
            <v>Y</v>
          </cell>
        </row>
        <row r="348">
          <cell r="A348" t="str">
            <v>ECL</v>
          </cell>
          <cell r="B348" t="str">
            <v>XLB</v>
          </cell>
          <cell r="D348" t="str">
            <v>Y</v>
          </cell>
        </row>
        <row r="349">
          <cell r="A349" t="str">
            <v>FCX</v>
          </cell>
          <cell r="B349" t="str">
            <v>XLB</v>
          </cell>
          <cell r="D349" t="str">
            <v>Y</v>
          </cell>
        </row>
        <row r="350">
          <cell r="A350" t="str">
            <v>NEM</v>
          </cell>
          <cell r="B350" t="str">
            <v>XLB</v>
          </cell>
          <cell r="D350" t="str">
            <v>Y</v>
          </cell>
        </row>
        <row r="351">
          <cell r="A351" t="str">
            <v>CTVA</v>
          </cell>
          <cell r="B351" t="str">
            <v>XLB</v>
          </cell>
          <cell r="D351" t="str">
            <v>Y</v>
          </cell>
        </row>
        <row r="352">
          <cell r="A352" t="str">
            <v>VMC</v>
          </cell>
          <cell r="B352" t="str">
            <v>XLB</v>
          </cell>
          <cell r="D352" t="str">
            <v>Y</v>
          </cell>
        </row>
        <row r="353">
          <cell r="A353" t="str">
            <v>MLM</v>
          </cell>
          <cell r="B353" t="str">
            <v>XLB</v>
          </cell>
          <cell r="D353" t="str">
            <v>Y</v>
          </cell>
        </row>
        <row r="354">
          <cell r="A354" t="str">
            <v>DD</v>
          </cell>
          <cell r="B354" t="str">
            <v>XLB</v>
          </cell>
          <cell r="D354" t="str">
            <v>Y</v>
          </cell>
        </row>
        <row r="355">
          <cell r="A355" t="str">
            <v>PPG</v>
          </cell>
          <cell r="B355" t="str">
            <v>XLB</v>
          </cell>
          <cell r="D355" t="str">
            <v>Y</v>
          </cell>
        </row>
        <row r="356">
          <cell r="A356" t="str">
            <v>NUE</v>
          </cell>
          <cell r="B356" t="str">
            <v>XLB</v>
          </cell>
          <cell r="D356" t="str">
            <v>Y</v>
          </cell>
        </row>
        <row r="357">
          <cell r="A357" t="str">
            <v>SW</v>
          </cell>
          <cell r="B357" t="str">
            <v>XLB</v>
          </cell>
          <cell r="D357" t="str">
            <v>Y</v>
          </cell>
        </row>
        <row r="358">
          <cell r="A358" t="str">
            <v>IFF</v>
          </cell>
          <cell r="B358" t="str">
            <v>XLB</v>
          </cell>
          <cell r="D358" t="str">
            <v>Y</v>
          </cell>
        </row>
        <row r="359">
          <cell r="A359" t="str">
            <v>PKG</v>
          </cell>
          <cell r="B359" t="str">
            <v>XLB</v>
          </cell>
          <cell r="D359" t="str">
            <v>Y</v>
          </cell>
        </row>
        <row r="360">
          <cell r="A360" t="str">
            <v>IP</v>
          </cell>
          <cell r="B360" t="str">
            <v>XLB</v>
          </cell>
          <cell r="D360" t="str">
            <v>Y</v>
          </cell>
        </row>
        <row r="361">
          <cell r="A361" t="str">
            <v>LYB</v>
          </cell>
          <cell r="B361" t="str">
            <v>XLB</v>
          </cell>
          <cell r="D361" t="str">
            <v>Y</v>
          </cell>
        </row>
        <row r="362">
          <cell r="A362" t="str">
            <v>STLD</v>
          </cell>
          <cell r="B362" t="str">
            <v>XLB</v>
          </cell>
          <cell r="D362" t="str">
            <v>Y</v>
          </cell>
        </row>
        <row r="363">
          <cell r="A363" t="str">
            <v>BALL</v>
          </cell>
          <cell r="B363" t="str">
            <v>XLB</v>
          </cell>
          <cell r="D363" t="str">
            <v>Y</v>
          </cell>
        </row>
        <row r="364">
          <cell r="A364" t="str">
            <v>AVY</v>
          </cell>
          <cell r="B364" t="str">
            <v>XLB</v>
          </cell>
          <cell r="D364" t="str">
            <v>Y</v>
          </cell>
        </row>
        <row r="365">
          <cell r="A365" t="str">
            <v>CF</v>
          </cell>
          <cell r="B365" t="str">
            <v>XLB</v>
          </cell>
          <cell r="D365" t="str">
            <v>Y</v>
          </cell>
        </row>
        <row r="366">
          <cell r="A366" t="str">
            <v>AMCR</v>
          </cell>
          <cell r="B366" t="str">
            <v>XLB</v>
          </cell>
          <cell r="D366" t="str">
            <v>Y</v>
          </cell>
        </row>
        <row r="367">
          <cell r="A367" t="str">
            <v>EMN</v>
          </cell>
          <cell r="B367" t="str">
            <v>XLB</v>
          </cell>
          <cell r="D367" t="str">
            <v>Y</v>
          </cell>
        </row>
        <row r="368">
          <cell r="A368" t="str">
            <v>ALB</v>
          </cell>
          <cell r="B368" t="str">
            <v>XLB</v>
          </cell>
          <cell r="D368" t="str">
            <v>Y</v>
          </cell>
        </row>
        <row r="369">
          <cell r="A369" t="str">
            <v>MOS</v>
          </cell>
          <cell r="B369" t="str">
            <v>XLB</v>
          </cell>
          <cell r="D369" t="str">
            <v>Y</v>
          </cell>
        </row>
        <row r="370">
          <cell r="A370" t="str">
            <v>DASH</v>
          </cell>
          <cell r="B370" t="str">
            <v>XLY</v>
          </cell>
          <cell r="D370" t="str">
            <v>Y</v>
          </cell>
        </row>
        <row r="371">
          <cell r="A371" t="str">
            <v>WSM</v>
          </cell>
          <cell r="B371" t="str">
            <v>XLY</v>
          </cell>
          <cell r="D371" t="str">
            <v>Y</v>
          </cell>
        </row>
        <row r="372">
          <cell r="A372" t="str">
            <v>PLD</v>
          </cell>
          <cell r="B372" t="str">
            <v>XLRE</v>
          </cell>
          <cell r="D372" t="str">
            <v>Y</v>
          </cell>
        </row>
        <row r="373">
          <cell r="A373" t="str">
            <v>AMT</v>
          </cell>
          <cell r="B373" t="str">
            <v>XLRE</v>
          </cell>
          <cell r="D373" t="str">
            <v>Y</v>
          </cell>
        </row>
        <row r="374">
          <cell r="A374" t="str">
            <v>EQIX</v>
          </cell>
          <cell r="B374" t="str">
            <v>XLRE</v>
          </cell>
          <cell r="D374" t="str">
            <v>Y</v>
          </cell>
        </row>
        <row r="375">
          <cell r="A375" t="str">
            <v>WELL</v>
          </cell>
          <cell r="B375" t="str">
            <v>XLRE</v>
          </cell>
          <cell r="D375" t="str">
            <v>Y</v>
          </cell>
        </row>
        <row r="376">
          <cell r="A376" t="str">
            <v>SPG</v>
          </cell>
          <cell r="B376" t="str">
            <v>XLRE</v>
          </cell>
          <cell r="D376" t="str">
            <v>Y</v>
          </cell>
        </row>
        <row r="377">
          <cell r="A377" t="str">
            <v>DLR</v>
          </cell>
          <cell r="B377" t="str">
            <v>XLRE</v>
          </cell>
          <cell r="D377" t="str">
            <v>Y</v>
          </cell>
        </row>
        <row r="378">
          <cell r="A378" t="str">
            <v>O</v>
          </cell>
          <cell r="B378" t="str">
            <v>XLRE</v>
          </cell>
          <cell r="D378" t="str">
            <v>Y</v>
          </cell>
        </row>
        <row r="379">
          <cell r="A379" t="str">
            <v>PSA</v>
          </cell>
          <cell r="B379" t="str">
            <v>XLRE</v>
          </cell>
          <cell r="D379" t="str">
            <v>Y</v>
          </cell>
        </row>
        <row r="380">
          <cell r="A380" t="str">
            <v>CBRE</v>
          </cell>
          <cell r="B380" t="str">
            <v>XLRE</v>
          </cell>
          <cell r="D380" t="str">
            <v>Y</v>
          </cell>
        </row>
        <row r="381">
          <cell r="A381" t="str">
            <v>CCI</v>
          </cell>
          <cell r="B381" t="str">
            <v>XLRE</v>
          </cell>
          <cell r="D381" t="str">
            <v>Y</v>
          </cell>
        </row>
        <row r="382">
          <cell r="A382" t="str">
            <v>EXR</v>
          </cell>
          <cell r="B382" t="str">
            <v>XLRE</v>
          </cell>
          <cell r="D382" t="str">
            <v>Y</v>
          </cell>
        </row>
        <row r="383">
          <cell r="A383" t="str">
            <v>VICI</v>
          </cell>
          <cell r="B383" t="str">
            <v>XLRE</v>
          </cell>
          <cell r="D383" t="str">
            <v>Y</v>
          </cell>
        </row>
        <row r="384">
          <cell r="A384" t="str">
            <v>CSGP</v>
          </cell>
          <cell r="B384" t="str">
            <v>XLRE</v>
          </cell>
          <cell r="D384" t="str">
            <v>Y</v>
          </cell>
        </row>
        <row r="385">
          <cell r="A385" t="str">
            <v>AVB</v>
          </cell>
          <cell r="B385" t="str">
            <v>XLRE</v>
          </cell>
          <cell r="D385" t="str">
            <v>Y</v>
          </cell>
        </row>
        <row r="386">
          <cell r="A386" t="str">
            <v>IRM</v>
          </cell>
          <cell r="B386" t="str">
            <v>XLRE</v>
          </cell>
          <cell r="D386" t="str">
            <v>Y</v>
          </cell>
        </row>
        <row r="387">
          <cell r="A387" t="str">
            <v>VTR</v>
          </cell>
          <cell r="B387" t="str">
            <v>XLRE</v>
          </cell>
          <cell r="D387" t="str">
            <v>Y</v>
          </cell>
        </row>
        <row r="388">
          <cell r="A388" t="str">
            <v>EQR</v>
          </cell>
          <cell r="B388" t="str">
            <v>XLRE</v>
          </cell>
          <cell r="D388" t="str">
            <v>Y</v>
          </cell>
        </row>
        <row r="389">
          <cell r="A389" t="str">
            <v>WY</v>
          </cell>
          <cell r="B389" t="str">
            <v>XLRE</v>
          </cell>
          <cell r="D389" t="str">
            <v>Y</v>
          </cell>
        </row>
        <row r="390">
          <cell r="A390" t="str">
            <v>SBAC</v>
          </cell>
          <cell r="B390" t="str">
            <v>XLRE</v>
          </cell>
          <cell r="D390" t="str">
            <v>Y</v>
          </cell>
        </row>
        <row r="391">
          <cell r="A391" t="str">
            <v>ESS</v>
          </cell>
          <cell r="B391" t="str">
            <v>XLRE</v>
          </cell>
          <cell r="D391" t="str">
            <v>Y</v>
          </cell>
        </row>
        <row r="392">
          <cell r="A392" t="str">
            <v>MAA</v>
          </cell>
          <cell r="B392" t="str">
            <v>XLRE</v>
          </cell>
          <cell r="D392" t="str">
            <v>Y</v>
          </cell>
        </row>
        <row r="393">
          <cell r="A393" t="str">
            <v>INVH</v>
          </cell>
          <cell r="B393" t="str">
            <v>XLRE</v>
          </cell>
          <cell r="D393" t="str">
            <v>Y</v>
          </cell>
        </row>
        <row r="394">
          <cell r="A394" t="str">
            <v>ARE</v>
          </cell>
          <cell r="B394" t="str">
            <v>XLRE</v>
          </cell>
          <cell r="D394" t="str">
            <v>Y</v>
          </cell>
        </row>
        <row r="395">
          <cell r="A395" t="str">
            <v>KIM</v>
          </cell>
          <cell r="B395" t="str">
            <v>XLRE</v>
          </cell>
          <cell r="D395" t="str">
            <v>Y</v>
          </cell>
        </row>
        <row r="396">
          <cell r="A396" t="str">
            <v>DOC</v>
          </cell>
          <cell r="B396" t="str">
            <v>XLRE</v>
          </cell>
          <cell r="D396" t="str">
            <v>Y</v>
          </cell>
        </row>
        <row r="397">
          <cell r="A397" t="str">
            <v>UDR</v>
          </cell>
          <cell r="B397" t="str">
            <v>XLRE</v>
          </cell>
          <cell r="D397" t="str">
            <v>Y</v>
          </cell>
        </row>
        <row r="398">
          <cell r="A398" t="str">
            <v>CPT</v>
          </cell>
          <cell r="B398" t="str">
            <v>XLRE</v>
          </cell>
          <cell r="D398" t="str">
            <v>Y</v>
          </cell>
        </row>
        <row r="399">
          <cell r="A399" t="str">
            <v>HST</v>
          </cell>
          <cell r="B399" t="str">
            <v>XLRE</v>
          </cell>
          <cell r="D399" t="str">
            <v>Y</v>
          </cell>
        </row>
        <row r="400">
          <cell r="A400" t="str">
            <v>REG</v>
          </cell>
          <cell r="B400" t="str">
            <v>XLRE</v>
          </cell>
          <cell r="D400" t="str">
            <v>Y</v>
          </cell>
        </row>
        <row r="401">
          <cell r="A401" t="str">
            <v>BXP</v>
          </cell>
          <cell r="B401" t="str">
            <v>XLRE</v>
          </cell>
          <cell r="D401" t="str">
            <v>Y</v>
          </cell>
        </row>
        <row r="402">
          <cell r="A402" t="str">
            <v>FRT</v>
          </cell>
          <cell r="B402" t="str">
            <v>XLRE</v>
          </cell>
          <cell r="D402" t="str">
            <v>Y</v>
          </cell>
        </row>
        <row r="403">
          <cell r="A403" t="str">
            <v>AAPL</v>
          </cell>
          <cell r="B403" t="str">
            <v>XLK</v>
          </cell>
          <cell r="D403" t="str">
            <v>Y</v>
          </cell>
        </row>
        <row r="404">
          <cell r="A404" t="str">
            <v>MSFT</v>
          </cell>
          <cell r="B404" t="str">
            <v>XLK</v>
          </cell>
          <cell r="D404" t="str">
            <v>Y</v>
          </cell>
        </row>
        <row r="405">
          <cell r="A405" t="str">
            <v>NVDA</v>
          </cell>
          <cell r="B405" t="str">
            <v>SMH</v>
          </cell>
          <cell r="D405" t="str">
            <v>Y</v>
          </cell>
        </row>
        <row r="406">
          <cell r="A406" t="str">
            <v>AVGO</v>
          </cell>
          <cell r="B406" t="str">
            <v>SMH</v>
          </cell>
          <cell r="D406" t="str">
            <v>Y</v>
          </cell>
        </row>
        <row r="407">
          <cell r="A407" t="str">
            <v>CRM</v>
          </cell>
          <cell r="B407" t="str">
            <v>IGV</v>
          </cell>
          <cell r="D407" t="str">
            <v>Y</v>
          </cell>
        </row>
        <row r="408">
          <cell r="A408" t="str">
            <v>ORCL</v>
          </cell>
          <cell r="B408" t="str">
            <v>IGV</v>
          </cell>
          <cell r="D408" t="str">
            <v>Y</v>
          </cell>
        </row>
        <row r="409">
          <cell r="A409" t="str">
            <v>CSCO</v>
          </cell>
          <cell r="B409" t="str">
            <v>XLK</v>
          </cell>
          <cell r="D409" t="str">
            <v>Y</v>
          </cell>
        </row>
        <row r="410">
          <cell r="A410" t="str">
            <v>NOW</v>
          </cell>
          <cell r="B410" t="str">
            <v>IGV</v>
          </cell>
          <cell r="D410" t="str">
            <v>Y</v>
          </cell>
        </row>
        <row r="411">
          <cell r="A411" t="str">
            <v>ACN</v>
          </cell>
          <cell r="B411" t="str">
            <v>XLK</v>
          </cell>
          <cell r="D411" t="str">
            <v>Y</v>
          </cell>
        </row>
        <row r="412">
          <cell r="A412" t="str">
            <v>IBM</v>
          </cell>
          <cell r="B412" t="str">
            <v>XLK</v>
          </cell>
          <cell r="D412" t="str">
            <v>Y</v>
          </cell>
        </row>
        <row r="413">
          <cell r="A413" t="str">
            <v>ADBE</v>
          </cell>
          <cell r="B413" t="str">
            <v>IGV</v>
          </cell>
          <cell r="D413" t="str">
            <v>Y</v>
          </cell>
        </row>
        <row r="414">
          <cell r="A414" t="str">
            <v>QCOM</v>
          </cell>
          <cell r="B414" t="str">
            <v>SMH</v>
          </cell>
          <cell r="D414" t="str">
            <v>Y</v>
          </cell>
        </row>
        <row r="415">
          <cell r="A415" t="str">
            <v>AMD</v>
          </cell>
          <cell r="B415" t="str">
            <v>SMH</v>
          </cell>
          <cell r="D415" t="str">
            <v>Y</v>
          </cell>
        </row>
        <row r="416">
          <cell r="A416" t="str">
            <v>TXN</v>
          </cell>
          <cell r="B416" t="str">
            <v>SMH</v>
          </cell>
          <cell r="D416" t="str">
            <v>Y</v>
          </cell>
        </row>
        <row r="417">
          <cell r="A417" t="str">
            <v>INTU</v>
          </cell>
          <cell r="B417" t="str">
            <v>IGV</v>
          </cell>
          <cell r="D417" t="str">
            <v>Y</v>
          </cell>
        </row>
        <row r="418">
          <cell r="A418" t="str">
            <v>PLTR</v>
          </cell>
          <cell r="B418" t="str">
            <v>IGV</v>
          </cell>
          <cell r="D418" t="str">
            <v>Y</v>
          </cell>
        </row>
        <row r="419">
          <cell r="A419" t="str">
            <v>AMAT</v>
          </cell>
          <cell r="B419" t="str">
            <v>SMH</v>
          </cell>
          <cell r="D419" t="str">
            <v>Y</v>
          </cell>
        </row>
        <row r="420">
          <cell r="A420" t="str">
            <v>PANW</v>
          </cell>
          <cell r="B420" t="str">
            <v>IGV</v>
          </cell>
          <cell r="D420" t="str">
            <v>Y</v>
          </cell>
        </row>
        <row r="421">
          <cell r="A421" t="str">
            <v>ADI</v>
          </cell>
          <cell r="B421" t="str">
            <v>SMH</v>
          </cell>
          <cell r="D421" t="str">
            <v>Y</v>
          </cell>
        </row>
        <row r="422">
          <cell r="A422" t="str">
            <v>ANET</v>
          </cell>
          <cell r="B422" t="str">
            <v>XLK</v>
          </cell>
          <cell r="D422" t="str">
            <v>Y</v>
          </cell>
        </row>
        <row r="423">
          <cell r="A423" t="str">
            <v>MU</v>
          </cell>
          <cell r="B423" t="str">
            <v>SMH</v>
          </cell>
          <cell r="D423" t="str">
            <v>Y</v>
          </cell>
        </row>
        <row r="424">
          <cell r="A424" t="str">
            <v>LRCX</v>
          </cell>
          <cell r="B424" t="str">
            <v>SMH</v>
          </cell>
          <cell r="D424" t="str">
            <v>Y</v>
          </cell>
        </row>
        <row r="425">
          <cell r="A425" t="str">
            <v>KLAC</v>
          </cell>
          <cell r="B425" t="str">
            <v>SMH</v>
          </cell>
          <cell r="D425" t="str">
            <v>Y</v>
          </cell>
        </row>
        <row r="426">
          <cell r="A426" t="str">
            <v>INTC</v>
          </cell>
          <cell r="B426" t="str">
            <v>SMH</v>
          </cell>
          <cell r="D426" t="str">
            <v>Y</v>
          </cell>
        </row>
        <row r="427">
          <cell r="A427" t="str">
            <v>CRWD</v>
          </cell>
          <cell r="B427" t="str">
            <v>IGV</v>
          </cell>
          <cell r="D427" t="str">
            <v>Y</v>
          </cell>
        </row>
        <row r="428">
          <cell r="A428" t="str">
            <v>APH</v>
          </cell>
          <cell r="B428" t="str">
            <v>XLK</v>
          </cell>
          <cell r="D428" t="str">
            <v>Y</v>
          </cell>
        </row>
        <row r="429">
          <cell r="A429" t="str">
            <v>CDNS</v>
          </cell>
          <cell r="B429" t="str">
            <v>SMH</v>
          </cell>
          <cell r="D429" t="str">
            <v>Y</v>
          </cell>
        </row>
        <row r="430">
          <cell r="A430" t="str">
            <v>SNPS</v>
          </cell>
          <cell r="B430" t="str">
            <v>SMH</v>
          </cell>
          <cell r="D430" t="str">
            <v>Y</v>
          </cell>
        </row>
        <row r="431">
          <cell r="A431" t="str">
            <v>MSI</v>
          </cell>
          <cell r="B431" t="str">
            <v>XLK</v>
          </cell>
          <cell r="D431" t="str">
            <v>Y</v>
          </cell>
        </row>
        <row r="432">
          <cell r="A432" t="str">
            <v>ADSK</v>
          </cell>
          <cell r="B432" t="str">
            <v>IGV</v>
          </cell>
          <cell r="D432" t="str">
            <v>Y</v>
          </cell>
        </row>
        <row r="433">
          <cell r="A433" t="str">
            <v>FTNT</v>
          </cell>
          <cell r="B433" t="str">
            <v>IGV</v>
          </cell>
          <cell r="D433" t="str">
            <v>Y</v>
          </cell>
        </row>
        <row r="434">
          <cell r="A434" t="str">
            <v>ROP</v>
          </cell>
          <cell r="B434" t="str">
            <v>IGV</v>
          </cell>
          <cell r="D434" t="str">
            <v>Y</v>
          </cell>
        </row>
        <row r="435">
          <cell r="A435" t="str">
            <v>WDAY</v>
          </cell>
          <cell r="B435" t="str">
            <v>IGV</v>
          </cell>
          <cell r="D435" t="str">
            <v>Y</v>
          </cell>
        </row>
        <row r="436">
          <cell r="A436" t="str">
            <v>NXPI</v>
          </cell>
          <cell r="B436" t="str">
            <v>SMH</v>
          </cell>
          <cell r="D436" t="str">
            <v>Y</v>
          </cell>
        </row>
        <row r="437">
          <cell r="A437" t="str">
            <v>TEL</v>
          </cell>
          <cell r="B437" t="str">
            <v>XLK</v>
          </cell>
          <cell r="D437" t="str">
            <v>Y</v>
          </cell>
        </row>
        <row r="438">
          <cell r="A438" t="str">
            <v>FICO</v>
          </cell>
          <cell r="B438" t="str">
            <v>IGV</v>
          </cell>
          <cell r="D438" t="str">
            <v>Y</v>
          </cell>
        </row>
        <row r="439">
          <cell r="A439" t="str">
            <v>IT</v>
          </cell>
          <cell r="B439" t="str">
            <v>XLK</v>
          </cell>
          <cell r="D439" t="str">
            <v>Y</v>
          </cell>
        </row>
        <row r="440">
          <cell r="A440" t="str">
            <v>CTSH</v>
          </cell>
          <cell r="B440" t="str">
            <v>XLK</v>
          </cell>
          <cell r="D440" t="str">
            <v>Y</v>
          </cell>
        </row>
        <row r="441">
          <cell r="A441" t="str">
            <v>GLW</v>
          </cell>
          <cell r="B441" t="str">
            <v>XLK</v>
          </cell>
          <cell r="D441" t="str">
            <v>Y</v>
          </cell>
        </row>
        <row r="442">
          <cell r="A442" t="str">
            <v>HPQ</v>
          </cell>
          <cell r="B442" t="str">
            <v>XLK</v>
          </cell>
          <cell r="D442" t="str">
            <v>Y</v>
          </cell>
        </row>
        <row r="443">
          <cell r="A443" t="str">
            <v>DELL</v>
          </cell>
          <cell r="B443" t="str">
            <v>XLK</v>
          </cell>
          <cell r="D443" t="str">
            <v>Y</v>
          </cell>
        </row>
        <row r="444">
          <cell r="A444" t="str">
            <v>MCHP</v>
          </cell>
          <cell r="B444" t="str">
            <v>SMH</v>
          </cell>
          <cell r="D444" t="str">
            <v>Y</v>
          </cell>
        </row>
        <row r="445">
          <cell r="A445" t="str">
            <v>TTD</v>
          </cell>
          <cell r="B445" t="str">
            <v>XLC</v>
          </cell>
          <cell r="D445" t="str">
            <v>Y</v>
          </cell>
        </row>
        <row r="446">
          <cell r="A446" t="str">
            <v>HPE</v>
          </cell>
          <cell r="B446" t="str">
            <v>XLK</v>
          </cell>
          <cell r="D446" t="str">
            <v>Y</v>
          </cell>
        </row>
        <row r="447">
          <cell r="A447" t="str">
            <v>MPWR</v>
          </cell>
          <cell r="B447" t="str">
            <v>SMH</v>
          </cell>
          <cell r="D447" t="str">
            <v>Y</v>
          </cell>
        </row>
        <row r="448">
          <cell r="A448" t="str">
            <v>KEYS</v>
          </cell>
          <cell r="B448" t="str">
            <v>XLK</v>
          </cell>
          <cell r="D448" t="str">
            <v>Y</v>
          </cell>
        </row>
        <row r="449">
          <cell r="A449" t="str">
            <v>GDDY</v>
          </cell>
          <cell r="B449" t="str">
            <v>XLK</v>
          </cell>
          <cell r="D449" t="str">
            <v>Y</v>
          </cell>
        </row>
        <row r="450">
          <cell r="A450" t="str">
            <v>TYL</v>
          </cell>
          <cell r="B450" t="str">
            <v>IGV</v>
          </cell>
          <cell r="D450" t="str">
            <v>Y</v>
          </cell>
        </row>
        <row r="451">
          <cell r="A451" t="str">
            <v>CDW</v>
          </cell>
          <cell r="B451" t="str">
            <v>XLK</v>
          </cell>
          <cell r="D451" t="str">
            <v>Y</v>
          </cell>
        </row>
        <row r="452">
          <cell r="A452" t="str">
            <v>NTAP</v>
          </cell>
          <cell r="B452" t="str">
            <v>XLK</v>
          </cell>
          <cell r="D452" t="str">
            <v>Y</v>
          </cell>
        </row>
        <row r="453">
          <cell r="A453" t="str">
            <v>TDY</v>
          </cell>
          <cell r="B453" t="str">
            <v>XLK</v>
          </cell>
          <cell r="D453" t="str">
            <v>Y</v>
          </cell>
        </row>
        <row r="454">
          <cell r="A454" t="str">
            <v>ON</v>
          </cell>
          <cell r="B454" t="str">
            <v>SMH</v>
          </cell>
          <cell r="D454" t="str">
            <v>Y</v>
          </cell>
        </row>
        <row r="455">
          <cell r="A455" t="str">
            <v>PTC</v>
          </cell>
          <cell r="B455" t="str">
            <v>IGV</v>
          </cell>
          <cell r="D455" t="str">
            <v>Y</v>
          </cell>
        </row>
        <row r="456">
          <cell r="A456" t="str">
            <v>WDC</v>
          </cell>
          <cell r="B456" t="str">
            <v>XLK</v>
          </cell>
          <cell r="D456" t="str">
            <v>Y</v>
          </cell>
        </row>
        <row r="457">
          <cell r="A457" t="str">
            <v>STX</v>
          </cell>
          <cell r="B457" t="str">
            <v>XLK</v>
          </cell>
          <cell r="D457" t="str">
            <v>Y</v>
          </cell>
        </row>
        <row r="458">
          <cell r="A458" t="str">
            <v>ZBRA</v>
          </cell>
          <cell r="B458" t="str">
            <v>XLK</v>
          </cell>
          <cell r="D458" t="str">
            <v>Y</v>
          </cell>
        </row>
        <row r="459">
          <cell r="A459" t="str">
            <v>TER</v>
          </cell>
          <cell r="B459" t="str">
            <v>SMH</v>
          </cell>
          <cell r="D459" t="str">
            <v>Y</v>
          </cell>
        </row>
        <row r="460">
          <cell r="A460" t="str">
            <v>TRMB</v>
          </cell>
          <cell r="B460" t="str">
            <v>XLK</v>
          </cell>
          <cell r="D460" t="str">
            <v>Y</v>
          </cell>
        </row>
        <row r="461">
          <cell r="A461" t="str">
            <v>JBL</v>
          </cell>
          <cell r="B461" t="str">
            <v>XLK</v>
          </cell>
          <cell r="D461" t="str">
            <v>Y</v>
          </cell>
        </row>
        <row r="462">
          <cell r="A462" t="str">
            <v>FSLR</v>
          </cell>
          <cell r="B462" t="str">
            <v>XLK</v>
          </cell>
          <cell r="D462" t="str">
            <v>Y</v>
          </cell>
        </row>
        <row r="463">
          <cell r="A463" t="str">
            <v>VRSN</v>
          </cell>
          <cell r="B463" t="str">
            <v>XLK</v>
          </cell>
          <cell r="D463" t="str">
            <v>Y</v>
          </cell>
        </row>
        <row r="464">
          <cell r="A464" t="str">
            <v>FFIV</v>
          </cell>
          <cell r="B464" t="str">
            <v>XLK</v>
          </cell>
          <cell r="D464" t="str">
            <v>Y</v>
          </cell>
        </row>
        <row r="465">
          <cell r="A465" t="str">
            <v>AKAM</v>
          </cell>
          <cell r="B465" t="str">
            <v>XLK</v>
          </cell>
          <cell r="D465" t="str">
            <v>Y</v>
          </cell>
        </row>
        <row r="466">
          <cell r="A466" t="str">
            <v>GEN</v>
          </cell>
          <cell r="B466" t="str">
            <v>IGV</v>
          </cell>
          <cell r="D466" t="str">
            <v>Y</v>
          </cell>
        </row>
        <row r="467">
          <cell r="A467" t="str">
            <v>SMCI</v>
          </cell>
          <cell r="B467" t="str">
            <v>XLK</v>
          </cell>
          <cell r="D467" t="str">
            <v>Y</v>
          </cell>
        </row>
        <row r="468">
          <cell r="A468" t="str">
            <v>SWKS</v>
          </cell>
          <cell r="B468" t="str">
            <v>SMH</v>
          </cell>
          <cell r="D468" t="str">
            <v>Y</v>
          </cell>
        </row>
        <row r="469">
          <cell r="A469" t="str">
            <v>EPAM</v>
          </cell>
          <cell r="B469" t="str">
            <v>XLK</v>
          </cell>
          <cell r="D469" t="str">
            <v>Y</v>
          </cell>
        </row>
        <row r="470">
          <cell r="A470" t="str">
            <v>DDOG</v>
          </cell>
          <cell r="B470" t="str">
            <v>IGV</v>
          </cell>
          <cell r="D470" t="str">
            <v>Y</v>
          </cell>
        </row>
        <row r="471">
          <cell r="A471" t="str">
            <v>ENPH</v>
          </cell>
          <cell r="B471" t="str">
            <v>XLK</v>
          </cell>
          <cell r="D471" t="str">
            <v>Y</v>
          </cell>
        </row>
        <row r="472">
          <cell r="A472" t="str">
            <v>NEE</v>
          </cell>
          <cell r="B472" t="str">
            <v>XLU</v>
          </cell>
          <cell r="D472" t="str">
            <v>Y</v>
          </cell>
        </row>
        <row r="473">
          <cell r="A473" t="str">
            <v>SO</v>
          </cell>
          <cell r="B473" t="str">
            <v>XLU</v>
          </cell>
          <cell r="D473" t="str">
            <v>Y</v>
          </cell>
        </row>
        <row r="474">
          <cell r="A474" t="str">
            <v>DUK</v>
          </cell>
          <cell r="B474" t="str">
            <v>XLU</v>
          </cell>
          <cell r="D474" t="str">
            <v>Y</v>
          </cell>
        </row>
        <row r="475">
          <cell r="A475" t="str">
            <v>CEG</v>
          </cell>
          <cell r="B475" t="str">
            <v>XLU</v>
          </cell>
          <cell r="D475" t="str">
            <v>Y</v>
          </cell>
        </row>
        <row r="476">
          <cell r="A476" t="str">
            <v>AEP</v>
          </cell>
          <cell r="B476" t="str">
            <v>XLU</v>
          </cell>
          <cell r="D476" t="str">
            <v>Y</v>
          </cell>
        </row>
        <row r="477">
          <cell r="A477" t="str">
            <v>SRE</v>
          </cell>
          <cell r="B477" t="str">
            <v>XLU</v>
          </cell>
          <cell r="D477" t="str">
            <v>Y</v>
          </cell>
        </row>
        <row r="478">
          <cell r="A478" t="str">
            <v>D</v>
          </cell>
          <cell r="B478" t="str">
            <v>XLU</v>
          </cell>
          <cell r="D478" t="str">
            <v>Y</v>
          </cell>
        </row>
        <row r="479">
          <cell r="A479" t="str">
            <v>VST</v>
          </cell>
          <cell r="B479" t="str">
            <v>XLU</v>
          </cell>
          <cell r="D479" t="str">
            <v>Y</v>
          </cell>
        </row>
        <row r="480">
          <cell r="A480" t="str">
            <v>PEG</v>
          </cell>
          <cell r="B480" t="str">
            <v>XLU</v>
          </cell>
          <cell r="D480" t="str">
            <v>Y</v>
          </cell>
        </row>
        <row r="481">
          <cell r="A481" t="str">
            <v>EXC</v>
          </cell>
          <cell r="B481" t="str">
            <v>XLU</v>
          </cell>
          <cell r="D481" t="str">
            <v>Y</v>
          </cell>
        </row>
        <row r="482">
          <cell r="A482" t="str">
            <v>XEL</v>
          </cell>
          <cell r="B482" t="str">
            <v>XLU</v>
          </cell>
          <cell r="D482" t="str">
            <v>Y</v>
          </cell>
        </row>
        <row r="483">
          <cell r="A483" t="str">
            <v>PCG</v>
          </cell>
          <cell r="B483" t="str">
            <v>XLU</v>
          </cell>
          <cell r="D483" t="str">
            <v>Y</v>
          </cell>
        </row>
        <row r="484">
          <cell r="A484" t="str">
            <v>ETR</v>
          </cell>
          <cell r="B484" t="str">
            <v>XLU</v>
          </cell>
          <cell r="D484" t="str">
            <v>Y</v>
          </cell>
        </row>
        <row r="485">
          <cell r="A485" t="str">
            <v>ED</v>
          </cell>
          <cell r="B485" t="str">
            <v>XLU</v>
          </cell>
          <cell r="D485" t="str">
            <v>Y</v>
          </cell>
        </row>
        <row r="486">
          <cell r="A486" t="str">
            <v>WEC</v>
          </cell>
          <cell r="B486" t="str">
            <v>XLU</v>
          </cell>
          <cell r="D486" t="str">
            <v>Y</v>
          </cell>
        </row>
        <row r="487">
          <cell r="A487" t="str">
            <v>AWK</v>
          </cell>
          <cell r="B487" t="str">
            <v>XLU</v>
          </cell>
          <cell r="D487" t="str">
            <v>Y</v>
          </cell>
        </row>
        <row r="488">
          <cell r="A488" t="str">
            <v>DTE</v>
          </cell>
          <cell r="B488" t="str">
            <v>XLU</v>
          </cell>
          <cell r="D488" t="str">
            <v>Y</v>
          </cell>
        </row>
        <row r="489">
          <cell r="A489" t="str">
            <v>AEE</v>
          </cell>
          <cell r="B489" t="str">
            <v>XLU</v>
          </cell>
          <cell r="D489" t="str">
            <v>Y</v>
          </cell>
        </row>
        <row r="490">
          <cell r="A490" t="str">
            <v>PPL</v>
          </cell>
          <cell r="B490" t="str">
            <v>XLU</v>
          </cell>
          <cell r="D490" t="str">
            <v>Y</v>
          </cell>
        </row>
        <row r="491">
          <cell r="A491" t="str">
            <v>EIX</v>
          </cell>
          <cell r="B491" t="str">
            <v>XLU</v>
          </cell>
          <cell r="D491" t="str">
            <v>Y</v>
          </cell>
        </row>
        <row r="492">
          <cell r="A492" t="str">
            <v>ATO</v>
          </cell>
          <cell r="B492" t="str">
            <v>XLU</v>
          </cell>
          <cell r="D492" t="str">
            <v>Y</v>
          </cell>
        </row>
        <row r="493">
          <cell r="A493" t="str">
            <v>CNP</v>
          </cell>
          <cell r="B493" t="str">
            <v>XLU</v>
          </cell>
          <cell r="D493" t="str">
            <v>Y</v>
          </cell>
        </row>
        <row r="494">
          <cell r="A494" t="str">
            <v>ES</v>
          </cell>
          <cell r="B494" t="str">
            <v>XLU</v>
          </cell>
          <cell r="D494" t="str">
            <v>Y</v>
          </cell>
        </row>
        <row r="495">
          <cell r="A495" t="str">
            <v>FE</v>
          </cell>
          <cell r="B495" t="str">
            <v>XLU</v>
          </cell>
          <cell r="D495" t="str">
            <v>Y</v>
          </cell>
        </row>
        <row r="496">
          <cell r="A496" t="str">
            <v>CMS</v>
          </cell>
          <cell r="B496" t="str">
            <v>XLU</v>
          </cell>
          <cell r="D496" t="str">
            <v>Y</v>
          </cell>
        </row>
        <row r="497">
          <cell r="A497" t="str">
            <v>NRG</v>
          </cell>
          <cell r="B497" t="str">
            <v>XLU</v>
          </cell>
          <cell r="D497" t="str">
            <v>Y</v>
          </cell>
        </row>
        <row r="498">
          <cell r="A498" t="str">
            <v>NI</v>
          </cell>
          <cell r="B498" t="str">
            <v>XLU</v>
          </cell>
          <cell r="D498" t="str">
            <v>Y</v>
          </cell>
        </row>
        <row r="499">
          <cell r="A499" t="str">
            <v>LNT</v>
          </cell>
          <cell r="B499" t="str">
            <v>XLU</v>
          </cell>
          <cell r="D499" t="str">
            <v>Y</v>
          </cell>
        </row>
        <row r="500">
          <cell r="A500" t="str">
            <v>EVRG</v>
          </cell>
          <cell r="B500" t="str">
            <v>XLU</v>
          </cell>
          <cell r="D500" t="str">
            <v>Y</v>
          </cell>
        </row>
        <row r="501">
          <cell r="A501" t="str">
            <v>PNW</v>
          </cell>
          <cell r="B501" t="str">
            <v>XLU</v>
          </cell>
          <cell r="D501" t="str">
            <v>Y</v>
          </cell>
        </row>
        <row r="502">
          <cell r="A502" t="str">
            <v>AES</v>
          </cell>
          <cell r="B502" t="str">
            <v>XLU</v>
          </cell>
          <cell r="D502" t="str">
            <v>Y</v>
          </cell>
        </row>
        <row r="503">
          <cell r="A503" t="str">
            <v>ASML</v>
          </cell>
          <cell r="B503" t="str">
            <v>SMH</v>
          </cell>
        </row>
        <row r="504">
          <cell r="A504" t="str">
            <v>MRVL</v>
          </cell>
          <cell r="B504" t="str">
            <v>SMH</v>
          </cell>
        </row>
        <row r="505">
          <cell r="A505" t="str">
            <v>QRVO</v>
          </cell>
          <cell r="B505" t="str">
            <v>SMH</v>
          </cell>
        </row>
        <row r="506">
          <cell r="A506" t="str">
            <v>STM</v>
          </cell>
          <cell r="B506" t="str">
            <v>SMH</v>
          </cell>
        </row>
        <row r="507">
          <cell r="A507" t="str">
            <v>TSM</v>
          </cell>
          <cell r="B507" t="str">
            <v>SMH</v>
          </cell>
        </row>
        <row r="508">
          <cell r="A508" t="str">
            <v>ARM</v>
          </cell>
          <cell r="B508" t="str">
            <v>SMH</v>
          </cell>
        </row>
        <row r="509">
          <cell r="A509" t="str">
            <v>APP</v>
          </cell>
          <cell r="B509" t="str">
            <v>IGV</v>
          </cell>
        </row>
        <row r="510">
          <cell r="A510" t="str">
            <v>MSTR</v>
          </cell>
          <cell r="B510" t="str">
            <v>IGV</v>
          </cell>
        </row>
        <row r="511">
          <cell r="A511" t="str">
            <v>TEAM</v>
          </cell>
          <cell r="B511" t="str">
            <v>IGV</v>
          </cell>
        </row>
        <row r="512">
          <cell r="A512" t="str">
            <v>DDOG</v>
          </cell>
          <cell r="B512" t="str">
            <v>IGV</v>
          </cell>
        </row>
        <row r="513">
          <cell r="A513" t="str">
            <v>ZM</v>
          </cell>
          <cell r="B513" t="str">
            <v>IGV</v>
          </cell>
        </row>
        <row r="514">
          <cell r="A514" t="str">
            <v>ZS</v>
          </cell>
          <cell r="B514" t="str">
            <v>IGV</v>
          </cell>
        </row>
        <row r="515">
          <cell r="A515" t="str">
            <v>DOCU</v>
          </cell>
          <cell r="B515" t="str">
            <v>IGV</v>
          </cell>
        </row>
        <row r="516">
          <cell r="A516" t="str">
            <v>DT</v>
          </cell>
          <cell r="B516" t="str">
            <v>IGV</v>
          </cell>
        </row>
        <row r="517">
          <cell r="A517" t="str">
            <v>NTNX</v>
          </cell>
          <cell r="B517" t="str">
            <v>IGV</v>
          </cell>
        </row>
        <row r="518">
          <cell r="A518" t="str">
            <v>MANH</v>
          </cell>
          <cell r="B518" t="str">
            <v>IGV</v>
          </cell>
        </row>
        <row r="519">
          <cell r="A519" t="str">
            <v>SNAP</v>
          </cell>
          <cell r="B519" t="str">
            <v>IGV</v>
          </cell>
        </row>
        <row r="520">
          <cell r="A520" t="str">
            <v>ESTC</v>
          </cell>
          <cell r="B520" t="str">
            <v>IGV</v>
          </cell>
        </row>
        <row r="521">
          <cell r="A521" t="str">
            <v>GTLB</v>
          </cell>
          <cell r="B521" t="str">
            <v>IGV</v>
          </cell>
        </row>
        <row r="522">
          <cell r="A522" t="str">
            <v>PCOR</v>
          </cell>
          <cell r="B522" t="str">
            <v>IGV</v>
          </cell>
        </row>
        <row r="523">
          <cell r="A523" t="str">
            <v>CFLT</v>
          </cell>
          <cell r="B523" t="str">
            <v>IGV</v>
          </cell>
        </row>
        <row r="524">
          <cell r="A524" t="str">
            <v>CVLT</v>
          </cell>
          <cell r="B524" t="str">
            <v>IGV</v>
          </cell>
        </row>
        <row r="525">
          <cell r="A525" t="str">
            <v>DBX</v>
          </cell>
          <cell r="B525" t="str">
            <v>IGV</v>
          </cell>
        </row>
        <row r="526">
          <cell r="A526" t="str">
            <v>S</v>
          </cell>
          <cell r="B526" t="str">
            <v>IGV</v>
          </cell>
        </row>
        <row r="527">
          <cell r="A527" t="str">
            <v>U</v>
          </cell>
          <cell r="B527" t="str">
            <v>IGV</v>
          </cell>
        </row>
        <row r="528">
          <cell r="A528" t="str">
            <v>PATH</v>
          </cell>
          <cell r="B528" t="str">
            <v>IGV</v>
          </cell>
        </row>
        <row r="529">
          <cell r="A529" t="str">
            <v>CWAN</v>
          </cell>
          <cell r="B529" t="str">
            <v>IGV</v>
          </cell>
        </row>
        <row r="530">
          <cell r="A530" t="str">
            <v>APPF</v>
          </cell>
          <cell r="B530" t="str">
            <v>IGV</v>
          </cell>
        </row>
        <row r="531">
          <cell r="A531" t="str">
            <v>RBRK</v>
          </cell>
          <cell r="B531" t="str">
            <v>IGV</v>
          </cell>
        </row>
        <row r="532">
          <cell r="A532" t="str">
            <v>DLB</v>
          </cell>
          <cell r="B532" t="str">
            <v>IGV</v>
          </cell>
        </row>
        <row r="533">
          <cell r="A533" t="str">
            <v>BOX</v>
          </cell>
          <cell r="B533" t="str">
            <v>IGV</v>
          </cell>
        </row>
        <row r="534">
          <cell r="A534" t="str">
            <v>TENB</v>
          </cell>
          <cell r="B534" t="str">
            <v>IGV</v>
          </cell>
        </row>
        <row r="535">
          <cell r="A535" t="str">
            <v>VRNS</v>
          </cell>
          <cell r="B535" t="str">
            <v>IGV</v>
          </cell>
        </row>
        <row r="536">
          <cell r="A536" t="str">
            <v>ZETA</v>
          </cell>
          <cell r="B536" t="str">
            <v>IGV</v>
          </cell>
        </row>
        <row r="537">
          <cell r="A537" t="str">
            <v>AI</v>
          </cell>
          <cell r="B537" t="str">
            <v>IGV</v>
          </cell>
        </row>
        <row r="538">
          <cell r="A538" t="str">
            <v>KVYO</v>
          </cell>
          <cell r="B538" t="str">
            <v>IGV</v>
          </cell>
        </row>
        <row r="539">
          <cell r="A539" t="str">
            <v>INTA</v>
          </cell>
          <cell r="B539" t="str">
            <v>IGV</v>
          </cell>
        </row>
        <row r="540">
          <cell r="A540" t="str">
            <v>FRSH</v>
          </cell>
          <cell r="B540" t="str">
            <v>IGV</v>
          </cell>
        </row>
        <row r="541">
          <cell r="A541" t="str">
            <v>BB</v>
          </cell>
          <cell r="B541" t="str">
            <v>IGV</v>
          </cell>
        </row>
        <row r="542">
          <cell r="A542" t="str">
            <v>BRZE</v>
          </cell>
          <cell r="B542" t="str">
            <v>IGV</v>
          </cell>
        </row>
        <row r="543">
          <cell r="A543" t="str">
            <v>NOVA</v>
          </cell>
          <cell r="B543" t="str">
            <v>XLK</v>
          </cell>
        </row>
        <row r="544">
          <cell r="A544" t="str">
            <v>GCT</v>
          </cell>
          <cell r="B544" t="str">
            <v>XLK</v>
          </cell>
        </row>
        <row r="545">
          <cell r="A545" t="str">
            <v>ASTS</v>
          </cell>
          <cell r="B545" t="str">
            <v>XLK</v>
          </cell>
        </row>
        <row r="546">
          <cell r="A546" t="str">
            <v>SEAT</v>
          </cell>
          <cell r="B546" t="str">
            <v>XLC</v>
          </cell>
        </row>
        <row r="547">
          <cell r="A547" t="str">
            <v>SWIM</v>
          </cell>
          <cell r="B547" t="str">
            <v>XLI</v>
          </cell>
        </row>
        <row r="548">
          <cell r="A548" t="str">
            <v>CRCT</v>
          </cell>
          <cell r="B548" t="str">
            <v>XLK</v>
          </cell>
        </row>
        <row r="549">
          <cell r="A549" t="str">
            <v>ORN</v>
          </cell>
          <cell r="B549" t="str">
            <v>XLI</v>
          </cell>
        </row>
        <row r="550">
          <cell r="A550" t="str">
            <v>DIN</v>
          </cell>
          <cell r="B550" t="str">
            <v>XLY</v>
          </cell>
        </row>
        <row r="551">
          <cell r="A551" t="str">
            <v>SMRT</v>
          </cell>
          <cell r="B551" t="str">
            <v>XLK</v>
          </cell>
        </row>
        <row r="552">
          <cell r="A552" t="str">
            <v>FL</v>
          </cell>
          <cell r="B552" t="str">
            <v>XLY</v>
          </cell>
        </row>
        <row r="553">
          <cell r="A553" t="str">
            <v>ANF</v>
          </cell>
          <cell r="B553" t="str">
            <v>XLY</v>
          </cell>
        </row>
        <row r="554">
          <cell r="A554" t="str">
            <v>REVG</v>
          </cell>
          <cell r="B554" t="str">
            <v>XLI</v>
          </cell>
        </row>
        <row r="555">
          <cell r="A555" t="str">
            <v>EWCZ</v>
          </cell>
          <cell r="B555" t="str">
            <v>XLP</v>
          </cell>
        </row>
        <row r="556">
          <cell r="A556" t="str">
            <v>CMPO</v>
          </cell>
          <cell r="B556" t="str">
            <v>XLI</v>
          </cell>
        </row>
        <row r="557">
          <cell r="A557" t="str">
            <v>THO</v>
          </cell>
          <cell r="B557" t="str">
            <v>XLY</v>
          </cell>
        </row>
        <row r="558">
          <cell r="A558" t="str">
            <v>EVGO</v>
          </cell>
          <cell r="B558" t="str">
            <v>XLY</v>
          </cell>
        </row>
        <row r="559">
          <cell r="A559" t="str">
            <v>VSCO</v>
          </cell>
          <cell r="B559" t="str">
            <v>XLY</v>
          </cell>
        </row>
        <row r="560">
          <cell r="A560" t="str">
            <v>CDXC</v>
          </cell>
          <cell r="B560" t="str">
            <v>XLP</v>
          </cell>
        </row>
        <row r="561">
          <cell r="A561" t="str">
            <v>YEXT</v>
          </cell>
          <cell r="B561" t="str">
            <v>IGV</v>
          </cell>
        </row>
        <row r="562">
          <cell r="A562" t="str">
            <v>VUZI</v>
          </cell>
          <cell r="B562" t="str">
            <v>XLK</v>
          </cell>
        </row>
        <row r="563">
          <cell r="A563" t="str">
            <v>SVCO</v>
          </cell>
          <cell r="B563" t="str">
            <v>XLK</v>
          </cell>
        </row>
        <row r="564">
          <cell r="A564" t="str">
            <v>MEI</v>
          </cell>
          <cell r="B564" t="str">
            <v>XLK</v>
          </cell>
        </row>
        <row r="565">
          <cell r="A565" t="str">
            <v>GRND</v>
          </cell>
          <cell r="B565" t="str">
            <v>XLK</v>
          </cell>
        </row>
        <row r="566">
          <cell r="A566" t="str">
            <v>RGTI</v>
          </cell>
          <cell r="B566" t="str">
            <v>XLK</v>
          </cell>
        </row>
        <row r="567">
          <cell r="A567" t="str">
            <v>M</v>
          </cell>
          <cell r="B567" t="str">
            <v>XLY</v>
          </cell>
        </row>
        <row r="568">
          <cell r="A568" t="str">
            <v>BURL</v>
          </cell>
          <cell r="B568" t="str">
            <v>XLY</v>
          </cell>
        </row>
        <row r="569">
          <cell r="A569" t="str">
            <v>BJ</v>
          </cell>
          <cell r="B569" t="str">
            <v>XLP</v>
          </cell>
        </row>
        <row r="570">
          <cell r="A570" t="str">
            <v>TTC</v>
          </cell>
          <cell r="B570" t="str">
            <v>XLI</v>
          </cell>
        </row>
        <row r="571">
          <cell r="A571" t="str">
            <v>BKSY</v>
          </cell>
          <cell r="B571" t="str">
            <v>XLK</v>
          </cell>
        </row>
        <row r="572">
          <cell r="A572" t="str">
            <v>SWBI</v>
          </cell>
          <cell r="B572" t="str">
            <v>XLI</v>
          </cell>
        </row>
        <row r="573">
          <cell r="A573" t="str">
            <v>BBAI</v>
          </cell>
          <cell r="B573" t="str">
            <v>XLK</v>
          </cell>
        </row>
        <row r="574">
          <cell r="A574" t="str">
            <v>GAP</v>
          </cell>
          <cell r="B574" t="str">
            <v>XLY</v>
          </cell>
        </row>
        <row r="575">
          <cell r="A575" t="str">
            <v>FNKO</v>
          </cell>
          <cell r="B575" t="str">
            <v>XLY</v>
          </cell>
        </row>
        <row r="576">
          <cell r="A576" t="str">
            <v>NPWR</v>
          </cell>
          <cell r="B576" t="str">
            <v>XLI</v>
          </cell>
        </row>
        <row r="577">
          <cell r="A577" t="str">
            <v>TLS</v>
          </cell>
          <cell r="B577" t="str">
            <v>XLK</v>
          </cell>
        </row>
        <row r="578">
          <cell r="A578" t="str">
            <v>LFMD</v>
          </cell>
          <cell r="B578" t="str">
            <v>XLV</v>
          </cell>
        </row>
        <row r="579">
          <cell r="A579" t="str">
            <v>ASAN</v>
          </cell>
          <cell r="B579" t="str">
            <v>IGV</v>
          </cell>
        </row>
        <row r="580">
          <cell r="A580" t="str">
            <v>FWRG</v>
          </cell>
          <cell r="B580" t="str">
            <v>XLY</v>
          </cell>
        </row>
        <row r="581">
          <cell r="A581" t="str">
            <v>DKS</v>
          </cell>
          <cell r="B581" t="str">
            <v>XLY</v>
          </cell>
        </row>
        <row r="582">
          <cell r="A582" t="str">
            <v>UNFI</v>
          </cell>
          <cell r="B582" t="str">
            <v>XLP</v>
          </cell>
        </row>
        <row r="583">
          <cell r="A583" t="str">
            <v>CIEN</v>
          </cell>
          <cell r="B583" t="str">
            <v>XLK</v>
          </cell>
        </row>
        <row r="584">
          <cell r="A584" t="str">
            <v>SFIX</v>
          </cell>
          <cell r="B584" t="str">
            <v>XLY</v>
          </cell>
        </row>
        <row r="585">
          <cell r="A585" t="str">
            <v>MXCT</v>
          </cell>
          <cell r="B585" t="str">
            <v>XLV</v>
          </cell>
        </row>
        <row r="586">
          <cell r="A586" t="str">
            <v>CXM</v>
          </cell>
          <cell r="B586" t="str">
            <v>IGV</v>
          </cell>
        </row>
        <row r="587">
          <cell r="A587" t="str">
            <v>AEO</v>
          </cell>
          <cell r="B587" t="str">
            <v>XLY</v>
          </cell>
        </row>
        <row r="588">
          <cell r="A588" t="str">
            <v>BLDE</v>
          </cell>
          <cell r="B588" t="str">
            <v>XLI</v>
          </cell>
        </row>
        <row r="589">
          <cell r="A589" t="str">
            <v>RDW</v>
          </cell>
          <cell r="B589" t="str">
            <v>XLI</v>
          </cell>
        </row>
        <row r="590">
          <cell r="A590" t="str">
            <v>GRPN</v>
          </cell>
          <cell r="B590" t="str">
            <v>XLC</v>
          </cell>
        </row>
        <row r="591">
          <cell r="A591" t="str">
            <v>PD</v>
          </cell>
          <cell r="B591" t="str">
            <v>IGV</v>
          </cell>
        </row>
        <row r="592">
          <cell r="A592" t="str">
            <v>JNPR</v>
          </cell>
          <cell r="B592" t="str">
            <v>XLK</v>
          </cell>
        </row>
        <row r="593">
          <cell r="A593" t="str">
            <v>MAPS</v>
          </cell>
          <cell r="B593" t="str">
            <v>XLK</v>
          </cell>
        </row>
        <row r="594">
          <cell r="A594" t="str">
            <v>SAIC</v>
          </cell>
          <cell r="B594" t="str">
            <v>XLK</v>
          </cell>
        </row>
        <row r="595">
          <cell r="A595" t="str">
            <v>IMMR</v>
          </cell>
          <cell r="B595" t="str">
            <v>XLK</v>
          </cell>
        </row>
        <row r="596">
          <cell r="A596" t="str">
            <v>NCMI</v>
          </cell>
          <cell r="B596" t="str">
            <v>XLC</v>
          </cell>
        </row>
        <row r="597">
          <cell r="A597" t="str">
            <v>RCAT</v>
          </cell>
          <cell r="B597" t="str">
            <v>XLK</v>
          </cell>
        </row>
        <row r="598">
          <cell r="A598" t="str">
            <v>CNM</v>
          </cell>
          <cell r="B598" t="str">
            <v>XLI</v>
          </cell>
        </row>
        <row r="599">
          <cell r="A599" t="str">
            <v>HQY</v>
          </cell>
          <cell r="B599" t="str">
            <v>XLV</v>
          </cell>
        </row>
        <row r="600">
          <cell r="A600" t="str">
            <v>CAL</v>
          </cell>
          <cell r="B600" t="str">
            <v>XLY</v>
          </cell>
        </row>
        <row r="601">
          <cell r="A601" t="str">
            <v>OLLI</v>
          </cell>
          <cell r="B601" t="str">
            <v>XLP</v>
          </cell>
        </row>
        <row r="602">
          <cell r="A602" t="str">
            <v>CHWY</v>
          </cell>
          <cell r="B602" t="str">
            <v>XLY</v>
          </cell>
        </row>
        <row r="603">
          <cell r="A603" t="str">
            <v>OUST</v>
          </cell>
          <cell r="B603" t="str">
            <v>XLK</v>
          </cell>
        </row>
        <row r="604">
          <cell r="A604" t="str">
            <v>SCS</v>
          </cell>
          <cell r="B604" t="str">
            <v>XLY</v>
          </cell>
        </row>
        <row r="605">
          <cell r="A605" t="str">
            <v>NN</v>
          </cell>
          <cell r="B605" t="str">
            <v>XLK</v>
          </cell>
        </row>
        <row r="606">
          <cell r="A606" t="str">
            <v>FIVE</v>
          </cell>
          <cell r="B606" t="str">
            <v>XLY</v>
          </cell>
        </row>
        <row r="607">
          <cell r="A607" t="str">
            <v>LUNR</v>
          </cell>
          <cell r="B607" t="str">
            <v>XLI</v>
          </cell>
        </row>
        <row r="608">
          <cell r="A608" t="str">
            <v>WGO</v>
          </cell>
          <cell r="B608" t="str">
            <v>XLY</v>
          </cell>
        </row>
        <row r="609">
          <cell r="A609" t="str">
            <v>ASO</v>
          </cell>
          <cell r="B609" t="str">
            <v>XLY</v>
          </cell>
        </row>
        <row r="610">
          <cell r="A610" t="str">
            <v>KULR</v>
          </cell>
          <cell r="B610" t="str">
            <v>XLK</v>
          </cell>
        </row>
        <row r="611">
          <cell r="A611" t="str">
            <v>PL</v>
          </cell>
          <cell r="B611" t="str">
            <v>XLI</v>
          </cell>
        </row>
        <row r="612">
          <cell r="A612" t="str">
            <v>BKKT</v>
          </cell>
          <cell r="B612" t="str">
            <v>XLK</v>
          </cell>
        </row>
        <row r="613">
          <cell r="A613" t="str">
            <v>WOOF</v>
          </cell>
          <cell r="B613" t="str">
            <v>XLY</v>
          </cell>
        </row>
        <row r="614">
          <cell r="A614" t="str">
            <v>MLKN</v>
          </cell>
          <cell r="B614" t="str">
            <v>XLY</v>
          </cell>
        </row>
        <row r="615">
          <cell r="A615" t="str">
            <v>SMTC</v>
          </cell>
          <cell r="B615" t="str">
            <v>SMH</v>
          </cell>
        </row>
        <row r="616">
          <cell r="A616" t="str">
            <v>VRNT</v>
          </cell>
          <cell r="B616" t="str">
            <v>XLK</v>
          </cell>
        </row>
        <row r="617">
          <cell r="A617" t="str">
            <v>CATX</v>
          </cell>
          <cell r="B617" t="str">
            <v>XLV</v>
          </cell>
        </row>
        <row r="618">
          <cell r="A618" t="str">
            <v>DBI</v>
          </cell>
          <cell r="B618" t="str">
            <v>XLY</v>
          </cell>
        </row>
        <row r="619">
          <cell r="A619" t="str">
            <v>QBTS</v>
          </cell>
          <cell r="B619" t="str">
            <v>XLK</v>
          </cell>
        </row>
        <row r="620">
          <cell r="A620" t="str">
            <v>PAY</v>
          </cell>
          <cell r="B620" t="str">
            <v>IGV</v>
          </cell>
        </row>
        <row r="621">
          <cell r="A621"/>
          <cell r="B621"/>
        </row>
        <row r="622">
          <cell r="A622"/>
          <cell r="B622"/>
        </row>
        <row r="623">
          <cell r="A623"/>
          <cell r="B623"/>
        </row>
        <row r="624">
          <cell r="A624"/>
          <cell r="B624"/>
        </row>
        <row r="625">
          <cell r="A625" t="str">
            <v>DOW</v>
          </cell>
          <cell r="B625" t="str">
            <v>XLB</v>
          </cell>
        </row>
        <row r="626">
          <cell r="A626" t="str">
            <v>F</v>
          </cell>
          <cell r="B626" t="str">
            <v>XLY</v>
          </cell>
        </row>
        <row r="627">
          <cell r="A627" t="str">
            <v>KHC</v>
          </cell>
          <cell r="B627" t="str">
            <v>XLP</v>
          </cell>
        </row>
        <row r="628">
          <cell r="A628" t="str">
            <v>CE</v>
          </cell>
          <cell r="B628" t="str">
            <v>XLB</v>
          </cell>
        </row>
        <row r="629">
          <cell r="A629" t="str">
            <v>BWA</v>
          </cell>
          <cell r="B629" t="str">
            <v>XLY</v>
          </cell>
        </row>
        <row r="630">
          <cell r="A630" t="str">
            <v>FMC</v>
          </cell>
          <cell r="B630" t="str">
            <v>XLB</v>
          </cell>
        </row>
        <row r="631">
          <cell r="A631" t="str">
            <v>ROKU</v>
          </cell>
          <cell r="B631" t="str">
            <v>XLC</v>
          </cell>
        </row>
        <row r="632">
          <cell r="A632" t="str">
            <v>VEEV</v>
          </cell>
          <cell r="B632" t="str">
            <v>XLV</v>
          </cell>
        </row>
        <row r="633">
          <cell r="A633" t="str">
            <v>OKTA</v>
          </cell>
          <cell r="B633" t="str">
            <v>IGV</v>
          </cell>
        </row>
        <row r="634">
          <cell r="A634" t="str">
            <v>HOOD</v>
          </cell>
          <cell r="B634" t="str">
            <v>XLF</v>
          </cell>
        </row>
        <row r="635">
          <cell r="A635" t="str">
            <v>DASH</v>
          </cell>
          <cell r="B635" t="str">
            <v>XLY</v>
          </cell>
        </row>
        <row r="636">
          <cell r="A636" t="str">
            <v>ZM</v>
          </cell>
          <cell r="B636" t="str">
            <v>XLK</v>
          </cell>
        </row>
        <row r="637">
          <cell r="A637" t="str">
            <v>DOCS</v>
          </cell>
          <cell r="B637" t="str">
            <v>IGV</v>
          </cell>
        </row>
        <row r="638">
          <cell r="A638" t="str">
            <v>TOL</v>
          </cell>
          <cell r="B638" t="str">
            <v>XHB</v>
          </cell>
        </row>
        <row r="639">
          <cell r="A639" t="str">
            <v>LCID</v>
          </cell>
          <cell r="B639" t="str">
            <v>XLY</v>
          </cell>
        </row>
        <row r="640">
          <cell r="A640" t="str">
            <v>SOFI</v>
          </cell>
          <cell r="B640" t="str">
            <v>XLF</v>
          </cell>
        </row>
        <row r="641">
          <cell r="A641" t="str">
            <v>ALLY</v>
          </cell>
          <cell r="B641" t="str">
            <v>XLF</v>
          </cell>
        </row>
        <row r="642">
          <cell r="A642"/>
          <cell r="B642"/>
        </row>
        <row r="643">
          <cell r="A643" t="str">
            <v>CENX</v>
          </cell>
          <cell r="B643" t="str">
            <v>XLB</v>
          </cell>
        </row>
        <row r="644">
          <cell r="A644"/>
          <cell r="B644"/>
        </row>
        <row r="645">
          <cell r="A645"/>
          <cell r="B645"/>
        </row>
        <row r="646">
          <cell r="A646" t="str">
            <v>WMS</v>
          </cell>
          <cell r="B646" t="str">
            <v>XLI</v>
          </cell>
        </row>
        <row r="647">
          <cell r="A647"/>
          <cell r="B647"/>
        </row>
        <row r="648">
          <cell r="A648" t="str">
            <v>FLO</v>
          </cell>
          <cell r="B648" t="str">
            <v>XLP</v>
          </cell>
        </row>
        <row r="649">
          <cell r="A649" t="str">
            <v>EXP</v>
          </cell>
          <cell r="B649" t="str">
            <v>XLB</v>
          </cell>
        </row>
        <row r="650">
          <cell r="A650" t="str">
            <v>ELF</v>
          </cell>
          <cell r="B650" t="str">
            <v>XLP</v>
          </cell>
        </row>
        <row r="651">
          <cell r="A651" t="str">
            <v>PSTG</v>
          </cell>
          <cell r="B651" t="str">
            <v>IGV</v>
          </cell>
        </row>
        <row r="652">
          <cell r="A652" t="str">
            <v>CASY</v>
          </cell>
          <cell r="B652" t="str">
            <v>XLP</v>
          </cell>
        </row>
        <row r="653">
          <cell r="A653" t="str">
            <v>SNX</v>
          </cell>
          <cell r="B653" t="str">
            <v>XLK</v>
          </cell>
        </row>
        <row r="654">
          <cell r="A654" t="str">
            <v>STN</v>
          </cell>
          <cell r="B654" t="str">
            <v>XLI</v>
          </cell>
        </row>
        <row r="655">
          <cell r="A655"/>
          <cell r="B655"/>
        </row>
      </sheetData>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w to update dates"/>
      <sheetName val="Indices"/>
      <sheetName val="Pivot"/>
      <sheetName val="Sector Summary"/>
      <sheetName val="Summary Data"/>
      <sheetName val="Earnings"/>
      <sheetName val="Charts"/>
      <sheetName val="SPDR Chart"/>
      <sheetName val="Rev Curves"/>
      <sheetName val="2025-Q1"/>
      <sheetName val="Mgmt"/>
      <sheetName val="Sheet1"/>
      <sheetName val="Expectancy"/>
      <sheetName val="Q1-STATS"/>
      <sheetName val="Stats Roll Up"/>
      <sheetName val="Symbo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4">
          <cell r="A4" t="str">
            <v>STZ</v>
          </cell>
          <cell r="FQ4">
            <v>1.2290222546515868</v>
          </cell>
        </row>
        <row r="5">
          <cell r="FQ5">
            <v>2.1977620788130943</v>
          </cell>
        </row>
        <row r="6">
          <cell r="FQ6">
            <v>4.6923390853206843</v>
          </cell>
        </row>
        <row r="7">
          <cell r="FQ7">
            <v>4.88966940145328</v>
          </cell>
        </row>
        <row r="8">
          <cell r="FQ8">
            <v>5.8659301122272653</v>
          </cell>
        </row>
        <row r="9">
          <cell r="FQ9">
            <v>6.6378347658179182</v>
          </cell>
        </row>
        <row r="10">
          <cell r="FQ10">
            <v>7.617239578398598</v>
          </cell>
        </row>
        <row r="11">
          <cell r="FQ11">
            <v>8.2294844763577828</v>
          </cell>
        </row>
        <row r="12">
          <cell r="FQ12">
            <v>8.9230144561664044</v>
          </cell>
        </row>
        <row r="13">
          <cell r="FQ13">
            <v>9.3238707612956482</v>
          </cell>
        </row>
        <row r="14">
          <cell r="FQ14">
            <v>9.2884850571201358</v>
          </cell>
        </row>
        <row r="15">
          <cell r="FQ15">
            <v>10.322294504506857</v>
          </cell>
        </row>
        <row r="16">
          <cell r="FQ16">
            <v>9.0800274919345156</v>
          </cell>
        </row>
        <row r="17">
          <cell r="FQ17">
            <v>8.094434826577606</v>
          </cell>
        </row>
        <row r="18">
          <cell r="FQ18">
            <v>7.6662972251438424</v>
          </cell>
        </row>
        <row r="19">
          <cell r="FQ19">
            <v>6.6637909594796829</v>
          </cell>
        </row>
        <row r="20">
          <cell r="FQ20">
            <v>7.419682466816278</v>
          </cell>
        </row>
        <row r="21">
          <cell r="FQ21">
            <v>6.9897319516868892</v>
          </cell>
        </row>
        <row r="22">
          <cell r="FQ22">
            <v>6.6419989036729792</v>
          </cell>
        </row>
        <row r="23">
          <cell r="FQ23">
            <v>5.8409241698686207</v>
          </cell>
        </row>
        <row r="24">
          <cell r="FQ24">
            <v>5.9992772973428892</v>
          </cell>
        </row>
        <row r="25">
          <cell r="FQ25">
            <v>6.407107639920377</v>
          </cell>
        </row>
        <row r="26">
          <cell r="FQ26">
            <v>6.2254837082964478</v>
          </cell>
        </row>
        <row r="27">
          <cell r="FQ27">
            <v>6.7533378286122892</v>
          </cell>
        </row>
        <row r="28">
          <cell r="FQ28">
            <v>7.2815942279599435</v>
          </cell>
        </row>
        <row r="29">
          <cell r="FQ29">
            <v>6.8018561085333697</v>
          </cell>
        </row>
        <row r="30">
          <cell r="FQ30">
            <v>7.031144937280926</v>
          </cell>
        </row>
        <row r="31">
          <cell r="FQ31">
            <v>6.2479026786288312</v>
          </cell>
        </row>
        <row r="32">
          <cell r="FQ32">
            <v>8.7076196626536095</v>
          </cell>
        </row>
        <row r="33">
          <cell r="FQ33">
            <v>9.0121242604142502</v>
          </cell>
        </row>
        <row r="34">
          <cell r="FQ34">
            <v>9.8159003492066255</v>
          </cell>
        </row>
        <row r="35">
          <cell r="FQ35">
            <v>11.030715164021439</v>
          </cell>
        </row>
        <row r="36">
          <cell r="FQ36">
            <v>11.585171425873199</v>
          </cell>
        </row>
        <row r="37">
          <cell r="FQ37">
            <v>12.052040590008646</v>
          </cell>
        </row>
        <row r="38">
          <cell r="FQ38">
            <v>11.672441880073432</v>
          </cell>
        </row>
        <row r="39">
          <cell r="FQ39">
            <v>12.233339315970868</v>
          </cell>
        </row>
        <row r="40">
          <cell r="FQ40">
            <v>12.904864801852792</v>
          </cell>
        </row>
        <row r="41">
          <cell r="FQ41">
            <v>13.695130732610442</v>
          </cell>
        </row>
        <row r="42">
          <cell r="FQ42">
            <v>14.035656693500531</v>
          </cell>
        </row>
        <row r="43">
          <cell r="FQ43">
            <v>14.334787520907691</v>
          </cell>
        </row>
        <row r="44">
          <cell r="FQ44">
            <v>14.790648139962247</v>
          </cell>
        </row>
        <row r="45">
          <cell r="FQ45">
            <v>14.090730241768487</v>
          </cell>
        </row>
        <row r="46">
          <cell r="FQ46">
            <v>14.372298359593914</v>
          </cell>
        </row>
        <row r="47">
          <cell r="FQ47">
            <v>14.49888063807493</v>
          </cell>
        </row>
        <row r="48">
          <cell r="FQ48">
            <v>14.242553841753015</v>
          </cell>
        </row>
        <row r="49">
          <cell r="FQ49">
            <v>15.396372770046353</v>
          </cell>
        </row>
        <row r="50">
          <cell r="FQ50">
            <v>16.163265617091874</v>
          </cell>
        </row>
        <row r="51">
          <cell r="FQ51">
            <v>16.76001187836351</v>
          </cell>
        </row>
        <row r="52">
          <cell r="FQ52">
            <v>17.177851052917958</v>
          </cell>
        </row>
        <row r="53">
          <cell r="FQ53">
            <v>17.022653486415802</v>
          </cell>
        </row>
        <row r="54">
          <cell r="FQ54">
            <v>16.854257345873293</v>
          </cell>
        </row>
        <row r="55">
          <cell r="FQ55">
            <v>16.121500141522755</v>
          </cell>
        </row>
        <row r="56">
          <cell r="FQ56">
            <v>15.240021983238853</v>
          </cell>
        </row>
        <row r="57">
          <cell r="FQ57">
            <v>14.438121181338047</v>
          </cell>
        </row>
        <row r="58">
          <cell r="FQ58">
            <v>14.362937826012301</v>
          </cell>
        </row>
        <row r="59">
          <cell r="FQ59">
            <v>13.967327820907656</v>
          </cell>
        </row>
        <row r="60">
          <cell r="FQ60">
            <v>13.894075628464414</v>
          </cell>
        </row>
        <row r="61">
          <cell r="FQ61">
            <v>14.466258727055964</v>
          </cell>
        </row>
        <row r="62">
          <cell r="FQ62">
            <v>14.466258727055964</v>
          </cell>
        </row>
        <row r="63">
          <cell r="FQ63">
            <v>14.654809666719663</v>
          </cell>
        </row>
        <row r="64">
          <cell r="FQ64">
            <v>15.082737594647588</v>
          </cell>
        </row>
        <row r="65">
          <cell r="FQ65">
            <v>15.899077725262011</v>
          </cell>
        </row>
        <row r="66">
          <cell r="FQ66">
            <v>16.891420899304247</v>
          </cell>
        </row>
        <row r="67">
          <cell r="FQ67">
            <v>17.476600163976549</v>
          </cell>
        </row>
        <row r="68">
          <cell r="FQ68">
            <v>18.175443167101285</v>
          </cell>
        </row>
        <row r="69">
          <cell r="FQ69">
            <v>16.979764604343334</v>
          </cell>
        </row>
        <row r="70">
          <cell r="FQ70">
            <v>16.411117529463887</v>
          </cell>
        </row>
        <row r="71">
          <cell r="FQ71">
            <v>16.387019921468557</v>
          </cell>
        </row>
        <row r="72">
          <cell r="FQ72">
            <v>15.7234758153015</v>
          </cell>
        </row>
        <row r="73">
          <cell r="FQ73">
            <v>14.921872608888675</v>
          </cell>
        </row>
        <row r="74">
          <cell r="FQ74">
            <v>15.860839745038909</v>
          </cell>
        </row>
        <row r="75">
          <cell r="FQ75">
            <v>15.854513033663483</v>
          </cell>
        </row>
        <row r="76">
          <cell r="FQ76">
            <v>16.115283592300131</v>
          </cell>
        </row>
        <row r="77">
          <cell r="FQ77">
            <v>16.495391815252692</v>
          </cell>
        </row>
        <row r="78">
          <cell r="FQ78">
            <v>15.215383985603488</v>
          </cell>
        </row>
        <row r="79">
          <cell r="FQ79">
            <v>17.519007496404811</v>
          </cell>
        </row>
        <row r="80">
          <cell r="FQ80">
            <v>18.789695748191011</v>
          </cell>
        </row>
        <row r="81">
          <cell r="FQ81">
            <v>17.927580404958817</v>
          </cell>
        </row>
        <row r="82">
          <cell r="FQ82">
            <v>17.47665202299595</v>
          </cell>
        </row>
        <row r="83">
          <cell r="FQ83">
            <v>17.802375822622736</v>
          </cell>
        </row>
        <row r="84">
          <cell r="FQ84">
            <v>18.357783269525783</v>
          </cell>
        </row>
        <row r="85">
          <cell r="FQ85">
            <v>19.178170079925277</v>
          </cell>
        </row>
        <row r="86">
          <cell r="FQ86">
            <v>18.779927274982139</v>
          </cell>
        </row>
        <row r="87">
          <cell r="FQ87">
            <v>18.659279222586413</v>
          </cell>
        </row>
        <row r="88">
          <cell r="FQ88">
            <v>19.92156043802008</v>
          </cell>
        </row>
        <row r="89">
          <cell r="FQ89">
            <v>19.608636687107385</v>
          </cell>
        </row>
        <row r="90">
          <cell r="FQ90">
            <v>18.720913343299216</v>
          </cell>
        </row>
        <row r="91">
          <cell r="FQ91">
            <v>19.500829317680921</v>
          </cell>
        </row>
        <row r="92">
          <cell r="FQ92">
            <v>20.429468056651192</v>
          </cell>
        </row>
        <row r="93">
          <cell r="FQ93">
            <v>21.987298029387347</v>
          </cell>
        </row>
        <row r="94">
          <cell r="FQ94">
            <v>23.007479887892558</v>
          </cell>
        </row>
        <row r="95">
          <cell r="FQ95">
            <v>23.479920832774447</v>
          </cell>
        </row>
        <row r="96">
          <cell r="FQ96">
            <v>23.661908673204724</v>
          </cell>
        </row>
        <row r="97">
          <cell r="FQ97">
            <v>23.829148923383833</v>
          </cell>
        </row>
        <row r="98">
          <cell r="FQ98">
            <v>22.267248547299715</v>
          </cell>
        </row>
        <row r="99">
          <cell r="FQ99">
            <v>22.084130305234837</v>
          </cell>
        </row>
        <row r="100">
          <cell r="FQ100">
            <v>23.052813957039511</v>
          </cell>
        </row>
        <row r="101">
          <cell r="FQ101">
            <v>20.314865029004554</v>
          </cell>
        </row>
        <row r="102">
          <cell r="FQ102">
            <v>19.02853747101944</v>
          </cell>
        </row>
        <row r="103">
          <cell r="FQ103">
            <v>19.518429570734188</v>
          </cell>
        </row>
        <row r="104">
          <cell r="FQ104">
            <v>19.706719172289098</v>
          </cell>
        </row>
        <row r="105">
          <cell r="FQ105">
            <v>19.942271371375661</v>
          </cell>
        </row>
        <row r="106">
          <cell r="FQ106">
            <v>20.59840239813126</v>
          </cell>
        </row>
        <row r="107">
          <cell r="FQ107">
            <v>19.762165759692348</v>
          </cell>
        </row>
        <row r="108">
          <cell r="FQ108">
            <v>21.073728928857228</v>
          </cell>
        </row>
        <row r="109">
          <cell r="FQ109">
            <v>19.080812262190562</v>
          </cell>
        </row>
        <row r="110">
          <cell r="FQ110">
            <v>19.399235194721378</v>
          </cell>
        </row>
        <row r="111">
          <cell r="FQ111">
            <v>18.88018215003218</v>
          </cell>
        </row>
        <row r="112">
          <cell r="FQ112">
            <v>18.968969919516933</v>
          </cell>
        </row>
        <row r="113">
          <cell r="FQ113">
            <v>18.923640249187262</v>
          </cell>
        </row>
        <row r="114">
          <cell r="FQ114">
            <v>20.479254417310084</v>
          </cell>
        </row>
        <row r="115">
          <cell r="FQ115">
            <v>21.069763221122983</v>
          </cell>
        </row>
        <row r="116">
          <cell r="FQ116">
            <v>21.39995385949155</v>
          </cell>
        </row>
        <row r="117">
          <cell r="FQ117">
            <v>22.104961655398395</v>
          </cell>
        </row>
        <row r="118">
          <cell r="FQ118">
            <v>22.462750442061914</v>
          </cell>
        </row>
        <row r="119">
          <cell r="FQ119">
            <v>22.989707711921394</v>
          </cell>
        </row>
        <row r="120">
          <cell r="FQ120">
            <v>23.692103164621354</v>
          </cell>
        </row>
        <row r="121">
          <cell r="FQ121">
            <v>23.613831405072197</v>
          </cell>
        </row>
        <row r="122">
          <cell r="FQ122">
            <v>22.708831405072196</v>
          </cell>
        </row>
        <row r="123">
          <cell r="FQ123">
            <v>23.776254726245011</v>
          </cell>
        </row>
        <row r="124">
          <cell r="FQ124">
            <v>23.276210474541319</v>
          </cell>
        </row>
        <row r="125">
          <cell r="FQ125">
            <v>22.479958893536377</v>
          </cell>
        </row>
        <row r="126">
          <cell r="FQ126">
            <v>22.290385433820738</v>
          </cell>
        </row>
        <row r="127">
          <cell r="FQ127">
            <v>22.135985022086306</v>
          </cell>
        </row>
        <row r="128">
          <cell r="FQ128">
            <v>22.643129977419537</v>
          </cell>
        </row>
        <row r="129">
          <cell r="FQ129">
            <v>23.295638886212753</v>
          </cell>
        </row>
        <row r="130">
          <cell r="FQ130">
            <v>23.347949261103771</v>
          </cell>
        </row>
        <row r="131">
          <cell r="FQ131">
            <v>24.021378277476515</v>
          </cell>
        </row>
        <row r="132">
          <cell r="FQ132">
            <v>24.187534814424481</v>
          </cell>
        </row>
        <row r="133">
          <cell r="FQ133">
            <v>24.262497333165108</v>
          </cell>
        </row>
        <row r="134">
          <cell r="FQ134">
            <v>24.632902623899589</v>
          </cell>
        </row>
        <row r="135">
          <cell r="FQ135">
            <v>24.5866419365661</v>
          </cell>
        </row>
        <row r="136">
          <cell r="FQ136">
            <v>25.147180053158028</v>
          </cell>
        </row>
        <row r="137">
          <cell r="FQ137">
            <v>25.169820586180865</v>
          </cell>
        </row>
        <row r="138">
          <cell r="FQ138">
            <v>23.96204883753742</v>
          </cell>
        </row>
        <row r="139">
          <cell r="FQ139">
            <v>25.014323107734299</v>
          </cell>
        </row>
        <row r="140">
          <cell r="FQ140">
            <v>22.996633776612128</v>
          </cell>
        </row>
        <row r="141">
          <cell r="FQ141">
            <v>22.234114355075135</v>
          </cell>
        </row>
        <row r="142">
          <cell r="FQ142">
            <v>22.19919815395782</v>
          </cell>
        </row>
        <row r="143">
          <cell r="FQ143">
            <v>20.713640080507222</v>
          </cell>
        </row>
        <row r="144">
          <cell r="FQ144">
            <v>24.057587136759956</v>
          </cell>
        </row>
        <row r="145">
          <cell r="FQ145">
            <v>23.250478269078489</v>
          </cell>
        </row>
        <row r="146">
          <cell r="FQ146">
            <v>23.101410701922028</v>
          </cell>
        </row>
        <row r="147">
          <cell r="FQ147">
            <v>21.995992730577498</v>
          </cell>
        </row>
        <row r="148">
          <cell r="FQ148">
            <v>21.723048342996467</v>
          </cell>
        </row>
        <row r="149">
          <cell r="FQ149">
            <v>21.464208029127107</v>
          </cell>
        </row>
        <row r="150">
          <cell r="FQ150">
            <v>21.41494473923504</v>
          </cell>
        </row>
        <row r="151">
          <cell r="FQ151">
            <v>22.41615499338841</v>
          </cell>
        </row>
        <row r="152">
          <cell r="FQ152">
            <v>21.221434933182046</v>
          </cell>
        </row>
        <row r="153">
          <cell r="FQ153">
            <v>20.276111818278</v>
          </cell>
        </row>
        <row r="154">
          <cell r="FQ154">
            <v>20.397484432202749</v>
          </cell>
        </row>
        <row r="155">
          <cell r="FQ155">
            <v>20.378813782464135</v>
          </cell>
        </row>
        <row r="156">
          <cell r="FQ156">
            <v>20.002215428987171</v>
          </cell>
        </row>
        <row r="157">
          <cell r="FQ157">
            <v>19.438342338767477</v>
          </cell>
        </row>
        <row r="158">
          <cell r="FQ158">
            <v>19.258325519677811</v>
          </cell>
        </row>
        <row r="159">
          <cell r="FQ159">
            <v>18.720691111075659</v>
          </cell>
        </row>
        <row r="160">
          <cell r="FQ160">
            <v>20.432454096523106</v>
          </cell>
        </row>
        <row r="161">
          <cell r="FQ161">
            <v>20.158069249647554</v>
          </cell>
        </row>
        <row r="162">
          <cell r="FQ162">
            <v>23.951557029282935</v>
          </cell>
        </row>
        <row r="163">
          <cell r="FQ163">
            <v>23.698378045580821</v>
          </cell>
        </row>
        <row r="164">
          <cell r="FQ164">
            <v>23.095465707783013</v>
          </cell>
        </row>
        <row r="165">
          <cell r="FQ165">
            <v>22.884519684863751</v>
          </cell>
        </row>
        <row r="166">
          <cell r="FQ166">
            <v>24.717853018197083</v>
          </cell>
        </row>
        <row r="167">
          <cell r="FQ167">
            <v>25.180353850033114</v>
          </cell>
        </row>
        <row r="168">
          <cell r="FQ168">
            <v>25.11674061848095</v>
          </cell>
        </row>
        <row r="169">
          <cell r="FQ169">
            <v>24.978889864896832</v>
          </cell>
        </row>
        <row r="170">
          <cell r="FQ170">
            <v>23.628947586566664</v>
          </cell>
        </row>
        <row r="171">
          <cell r="FQ171">
            <v>24.050081774664939</v>
          </cell>
        </row>
        <row r="172">
          <cell r="FQ172">
            <v>24.047814200968791</v>
          </cell>
        </row>
        <row r="173">
          <cell r="FQ173">
            <v>24.659992675644034</v>
          </cell>
        </row>
        <row r="174">
          <cell r="FQ174">
            <v>23.924099556652017</v>
          </cell>
        </row>
        <row r="175">
          <cell r="FQ175">
            <v>24.746784234758383</v>
          </cell>
        </row>
        <row r="176">
          <cell r="FQ176">
            <v>23.808285630913662</v>
          </cell>
        </row>
        <row r="177">
          <cell r="FQ177">
            <v>22.633236777679066</v>
          </cell>
        </row>
        <row r="178">
          <cell r="FQ178">
            <v>22.93182526844997</v>
          </cell>
        </row>
        <row r="179">
          <cell r="FQ179">
            <v>23.438289349484222</v>
          </cell>
        </row>
        <row r="180">
          <cell r="FQ180">
            <v>23.564697165564926</v>
          </cell>
        </row>
        <row r="181">
          <cell r="FQ181">
            <v>24.827231900372222</v>
          </cell>
        </row>
        <row r="182">
          <cell r="FQ182">
            <v>25.904686667601336</v>
          </cell>
        </row>
        <row r="183">
          <cell r="FQ183">
            <v>26.982272874497887</v>
          </cell>
        </row>
        <row r="184">
          <cell r="FQ184">
            <v>26.482094239271021</v>
          </cell>
        </row>
        <row r="185">
          <cell r="FQ185">
            <v>26.683852417682893</v>
          </cell>
        </row>
        <row r="186">
          <cell r="FQ186">
            <v>26.073671106664762</v>
          </cell>
        </row>
        <row r="187">
          <cell r="FQ187">
            <v>24.901363562492598</v>
          </cell>
        </row>
        <row r="188">
          <cell r="FQ188">
            <v>26.559662028322446</v>
          </cell>
        </row>
        <row r="189">
          <cell r="FQ189">
            <v>26.655964475673265</v>
          </cell>
        </row>
        <row r="190">
          <cell r="FQ190">
            <v>27.211322042791345</v>
          </cell>
        </row>
        <row r="191">
          <cell r="FQ191">
            <v>26.364151592096665</v>
          </cell>
        </row>
        <row r="192">
          <cell r="FQ192">
            <v>27.841007792940268</v>
          </cell>
        </row>
        <row r="193">
          <cell r="FQ193">
            <v>27.401556047850537</v>
          </cell>
        </row>
        <row r="194">
          <cell r="FQ194">
            <v>26.605679759190743</v>
          </cell>
        </row>
        <row r="195">
          <cell r="FQ195">
            <v>26.653544022741283</v>
          </cell>
        </row>
        <row r="196">
          <cell r="FQ196">
            <v>26.609432016603961</v>
          </cell>
        </row>
        <row r="197">
          <cell r="FQ197">
            <v>25.809828388278632</v>
          </cell>
        </row>
        <row r="198">
          <cell r="FQ198">
            <v>25.818445116219806</v>
          </cell>
        </row>
        <row r="199">
          <cell r="FQ199">
            <v>25.252407380370752</v>
          </cell>
        </row>
        <row r="200">
          <cell r="FQ200">
            <v>24.543673955587941</v>
          </cell>
        </row>
        <row r="201">
          <cell r="FQ201">
            <v>30.132126953367365</v>
          </cell>
        </row>
        <row r="202">
          <cell r="FQ202">
            <v>30.218333849919091</v>
          </cell>
        </row>
        <row r="203">
          <cell r="FQ203">
            <v>31.509964934462218</v>
          </cell>
        </row>
        <row r="204">
          <cell r="FQ204">
            <v>29.580522228254445</v>
          </cell>
        </row>
        <row r="205">
          <cell r="FQ205">
            <v>29.933567241493634</v>
          </cell>
        </row>
        <row r="206">
          <cell r="FQ206">
            <v>29.156984206846083</v>
          </cell>
        </row>
        <row r="207">
          <cell r="FQ207">
            <v>29.060403175360666</v>
          </cell>
        </row>
        <row r="208">
          <cell r="FQ208">
            <v>29.853201855844901</v>
          </cell>
        </row>
        <row r="209">
          <cell r="FQ209">
            <v>29.416051968404453</v>
          </cell>
        </row>
        <row r="210">
          <cell r="FQ210">
            <v>29.329905833233337</v>
          </cell>
        </row>
        <row r="211">
          <cell r="FQ211">
            <v>31.447471710664654</v>
          </cell>
        </row>
        <row r="212">
          <cell r="FQ212">
            <v>31.630323402042801</v>
          </cell>
        </row>
        <row r="213">
          <cell r="FQ213">
            <v>31.21203406120911</v>
          </cell>
        </row>
        <row r="214">
          <cell r="FQ214">
            <v>33.182703938470738</v>
          </cell>
        </row>
        <row r="215">
          <cell r="FQ215">
            <v>33.886604238493817</v>
          </cell>
        </row>
        <row r="216">
          <cell r="FQ216">
            <v>34.721937038636</v>
          </cell>
        </row>
        <row r="217">
          <cell r="FQ217">
            <v>33.627707877777347</v>
          </cell>
        </row>
        <row r="218">
          <cell r="FQ218">
            <v>35.17376806615318</v>
          </cell>
        </row>
        <row r="219">
          <cell r="FQ219">
            <v>34.413693764625449</v>
          </cell>
        </row>
        <row r="220">
          <cell r="FQ220">
            <v>33.949586553113392</v>
          </cell>
        </row>
        <row r="221">
          <cell r="FQ221">
            <v>33.800458022961465</v>
          </cell>
        </row>
        <row r="222">
          <cell r="FQ222">
            <v>33.459281552373227</v>
          </cell>
        </row>
        <row r="223">
          <cell r="FQ223">
            <v>33.631120662609312</v>
          </cell>
        </row>
        <row r="224">
          <cell r="FQ224">
            <v>34.496921528410176</v>
          </cell>
        </row>
        <row r="225">
          <cell r="FQ225">
            <v>34.431633739838148</v>
          </cell>
        </row>
        <row r="226">
          <cell r="FQ226">
            <v>34.549257344303854</v>
          </cell>
        </row>
        <row r="227">
          <cell r="FQ227">
            <v>34.09943272873452</v>
          </cell>
        </row>
        <row r="228">
          <cell r="FQ228">
            <v>33.484621036772744</v>
          </cell>
        </row>
        <row r="229">
          <cell r="FQ229">
            <v>33.53216892428803</v>
          </cell>
        </row>
        <row r="230">
          <cell r="FQ230">
            <v>34.631070023189125</v>
          </cell>
        </row>
        <row r="231">
          <cell r="FQ231">
            <v>35.498498823830921</v>
          </cell>
        </row>
        <row r="232">
          <cell r="FQ232">
            <v>37.07153016879375</v>
          </cell>
        </row>
        <row r="233">
          <cell r="FQ233">
            <v>36.216473781291441</v>
          </cell>
        </row>
        <row r="234">
          <cell r="FQ234">
            <v>40.911390333121176</v>
          </cell>
        </row>
        <row r="235">
          <cell r="FQ235">
            <v>41.052231588775143</v>
          </cell>
        </row>
        <row r="236">
          <cell r="FQ236">
            <v>41.151231687775244</v>
          </cell>
        </row>
        <row r="237">
          <cell r="FQ237">
            <v>41.309374093082653</v>
          </cell>
        </row>
        <row r="238">
          <cell r="FQ238">
            <v>41.256732931652394</v>
          </cell>
        </row>
        <row r="239">
          <cell r="FQ239">
            <v>41.121915504571355</v>
          </cell>
        </row>
        <row r="240">
          <cell r="FQ240">
            <v>43.025514018339365</v>
          </cell>
        </row>
        <row r="241">
          <cell r="FQ241">
            <v>42.474580804937069</v>
          </cell>
        </row>
        <row r="242">
          <cell r="FQ242">
            <v>42.255041836770218</v>
          </cell>
        </row>
        <row r="243">
          <cell r="FQ243">
            <v>41.601884911632048</v>
          </cell>
        </row>
        <row r="244">
          <cell r="FQ244">
            <v>42.102818327935722</v>
          </cell>
        </row>
        <row r="245">
          <cell r="FQ245">
            <v>41.941729729206422</v>
          </cell>
        </row>
        <row r="246">
          <cell r="FQ246">
            <v>41.158928238415051</v>
          </cell>
        </row>
        <row r="247">
          <cell r="FQ247">
            <v>41.147939937723436</v>
          </cell>
        </row>
        <row r="248">
          <cell r="FQ248">
            <v>41.312677964081516</v>
          </cell>
        </row>
        <row r="249">
          <cell r="FQ249">
            <v>42.262519233922781</v>
          </cell>
        </row>
        <row r="250">
          <cell r="FQ250">
            <v>41.196866821642075</v>
          </cell>
        </row>
        <row r="251">
          <cell r="FQ251">
            <v>42.223930684570426</v>
          </cell>
        </row>
        <row r="252">
          <cell r="FQ252">
            <v>42.114897568071314</v>
          </cell>
        </row>
        <row r="253">
          <cell r="FQ253">
            <v>41.165089379984622</v>
          </cell>
        </row>
        <row r="254">
          <cell r="FQ254">
            <v>40.510739880369535</v>
          </cell>
        </row>
        <row r="255">
          <cell r="FQ255">
            <v>40.710081187355144</v>
          </cell>
        </row>
        <row r="256">
          <cell r="FQ256">
            <v>40.249536396566036</v>
          </cell>
        </row>
        <row r="257">
          <cell r="FQ257">
            <v>43.513368503407136</v>
          </cell>
        </row>
        <row r="258">
          <cell r="FQ258">
            <v>45.956474259765905</v>
          </cell>
        </row>
        <row r="259">
          <cell r="FQ259">
            <v>46.971108936878139</v>
          </cell>
        </row>
        <row r="260">
          <cell r="FQ260">
            <v>46.050558962963194</v>
          </cell>
        </row>
        <row r="261">
          <cell r="FQ261">
            <v>48.128992340609173</v>
          </cell>
        </row>
        <row r="262">
          <cell r="FQ262">
            <v>47.760047842694512</v>
          </cell>
        </row>
        <row r="263">
          <cell r="FQ263">
            <v>47.318311042460032</v>
          </cell>
        </row>
        <row r="264">
          <cell r="FQ264">
            <v>48.076682572890384</v>
          </cell>
        </row>
        <row r="265">
          <cell r="FQ265">
            <v>48.343424554940221</v>
          </cell>
        </row>
        <row r="266">
          <cell r="FQ266">
            <v>49.701665032691295</v>
          </cell>
        </row>
        <row r="267">
          <cell r="FQ267">
            <v>50.352292964299707</v>
          </cell>
        </row>
        <row r="268">
          <cell r="FQ268">
            <v>51.349399880685169</v>
          </cell>
        </row>
        <row r="269">
          <cell r="FQ269">
            <v>53.488628406307626</v>
          </cell>
        </row>
        <row r="270">
          <cell r="FQ270">
            <v>54.094878406307622</v>
          </cell>
        </row>
        <row r="271">
          <cell r="FQ271">
            <v>53.904125386051469</v>
          </cell>
        </row>
        <row r="272">
          <cell r="FQ272">
            <v>53.490089147632183</v>
          </cell>
        </row>
        <row r="273">
          <cell r="FQ273">
            <v>53.556956348968725</v>
          </cell>
        </row>
        <row r="274">
          <cell r="FQ274">
            <v>54.008309843135677</v>
          </cell>
        </row>
        <row r="275">
          <cell r="FQ275">
            <v>54.109122851265759</v>
          </cell>
        </row>
        <row r="276">
          <cell r="FQ276">
            <v>53.94009361689136</v>
          </cell>
        </row>
        <row r="277">
          <cell r="FQ277">
            <v>53.68828373335343</v>
          </cell>
        </row>
        <row r="278">
          <cell r="FQ278">
            <v>54.045452623214203</v>
          </cell>
        </row>
        <row r="279">
          <cell r="FQ279">
            <v>53.321616414198822</v>
          </cell>
        </row>
        <row r="280">
          <cell r="FQ280">
            <v>54.083299863721159</v>
          </cell>
        </row>
        <row r="281">
          <cell r="FQ281">
            <v>54.882187243241184</v>
          </cell>
        </row>
        <row r="282">
          <cell r="FQ282">
            <v>54.163404739272274</v>
          </cell>
        </row>
        <row r="283">
          <cell r="FQ283">
            <v>55.623788030589942</v>
          </cell>
        </row>
        <row r="284">
          <cell r="FQ284">
            <v>56.059139583259935</v>
          </cell>
        </row>
        <row r="285">
          <cell r="FQ285">
            <v>53.90977269883377</v>
          </cell>
        </row>
        <row r="286">
          <cell r="FQ286">
            <v>53.483111029668358</v>
          </cell>
        </row>
        <row r="287">
          <cell r="FQ287">
            <v>52.718184025559609</v>
          </cell>
        </row>
        <row r="288">
          <cell r="FQ288">
            <v>52.164846489662715</v>
          </cell>
        </row>
        <row r="289">
          <cell r="FQ289">
            <v>52.263669210295184</v>
          </cell>
        </row>
        <row r="290">
          <cell r="FQ290">
            <v>53.23447567309249</v>
          </cell>
        </row>
        <row r="291">
          <cell r="FQ291">
            <v>53.083020385327444</v>
          </cell>
        </row>
        <row r="292">
          <cell r="FQ292">
            <v>53.809293125420524</v>
          </cell>
        </row>
        <row r="293">
          <cell r="FQ293">
            <v>53.668315681811499</v>
          </cell>
        </row>
        <row r="294">
          <cell r="FQ294">
            <v>55.274074264314265</v>
          </cell>
        </row>
        <row r="295">
          <cell r="FQ295">
            <v>56.11393988581483</v>
          </cell>
        </row>
        <row r="296">
          <cell r="FQ296">
            <v>56.397991621839758</v>
          </cell>
        </row>
        <row r="297">
          <cell r="FQ297">
            <v>58.097991621839761</v>
          </cell>
        </row>
        <row r="298">
          <cell r="FQ298">
            <v>58.22067595505041</v>
          </cell>
        </row>
        <row r="299">
          <cell r="FQ299">
            <v>59.375735680089853</v>
          </cell>
        </row>
        <row r="300">
          <cell r="FQ300">
            <v>58.50711564228267</v>
          </cell>
        </row>
        <row r="301">
          <cell r="FQ301">
            <v>57.21619373825294</v>
          </cell>
        </row>
        <row r="302">
          <cell r="FQ302">
            <v>56.383481831715528</v>
          </cell>
        </row>
        <row r="303">
          <cell r="FQ303">
            <v>56.697947240520563</v>
          </cell>
        </row>
        <row r="304">
          <cell r="FQ304">
            <v>56.000915485480959</v>
          </cell>
        </row>
        <row r="305">
          <cell r="FQ305">
            <v>55.924484461540409</v>
          </cell>
        </row>
        <row r="306">
          <cell r="FQ306">
            <v>56.876027720775973</v>
          </cell>
        </row>
        <row r="307">
          <cell r="FQ307">
            <v>56.37438598418349</v>
          </cell>
        </row>
        <row r="308">
          <cell r="FQ308">
            <v>56.530739942932655</v>
          </cell>
        </row>
        <row r="309">
          <cell r="FQ309">
            <v>55.812724277136304</v>
          </cell>
        </row>
        <row r="310">
          <cell r="FQ310">
            <v>56.516258045147254</v>
          </cell>
        </row>
        <row r="311">
          <cell r="FQ311">
            <v>54.489296547717323</v>
          </cell>
        </row>
        <row r="312">
          <cell r="FQ312">
            <v>59.705079747829508</v>
          </cell>
        </row>
        <row r="313">
          <cell r="FQ313">
            <v>60.122867549876567</v>
          </cell>
        </row>
        <row r="314">
          <cell r="FQ314">
            <v>59.351366234896993</v>
          </cell>
        </row>
        <row r="315">
          <cell r="FQ315">
            <v>58.211691363338062</v>
          </cell>
        </row>
        <row r="316">
          <cell r="FQ316">
            <v>57.892905093267537</v>
          </cell>
        </row>
        <row r="317">
          <cell r="FQ317">
            <v>58.688403735099122</v>
          </cell>
        </row>
        <row r="318">
          <cell r="FQ318">
            <v>58.645523401857673</v>
          </cell>
        </row>
        <row r="319">
          <cell r="FQ319">
            <v>54.589009397472253</v>
          </cell>
        </row>
        <row r="320">
          <cell r="FQ320">
            <v>53.482054091264992</v>
          </cell>
        </row>
        <row r="321">
          <cell r="FQ321">
            <v>52.303382435511956</v>
          </cell>
        </row>
        <row r="322">
          <cell r="FQ322">
            <v>51.004622672304897</v>
          </cell>
        </row>
        <row r="323">
          <cell r="FQ323">
            <v>51.183430382493363</v>
          </cell>
        </row>
        <row r="324">
          <cell r="FQ324">
            <v>53.209451369447422</v>
          </cell>
        </row>
        <row r="325">
          <cell r="FQ325">
            <v>52.356536262991312</v>
          </cell>
        </row>
        <row r="326">
          <cell r="FQ326">
            <v>52.656475384258776</v>
          </cell>
        </row>
        <row r="327">
          <cell r="FQ327">
            <v>53.47585229763893</v>
          </cell>
        </row>
        <row r="328">
          <cell r="FQ328">
            <v>53.86036095899383</v>
          </cell>
        </row>
        <row r="329">
          <cell r="FQ329">
            <v>52.465329435515898</v>
          </cell>
        </row>
        <row r="330">
          <cell r="FQ330">
            <v>50.294690480735973</v>
          </cell>
        </row>
        <row r="331">
          <cell r="FQ331">
            <v>49.431014576672347</v>
          </cell>
        </row>
        <row r="332">
          <cell r="FQ332">
            <v>48.615348504418201</v>
          </cell>
        </row>
        <row r="333">
          <cell r="FQ333">
            <v>49.935810111164763</v>
          </cell>
        </row>
        <row r="334">
          <cell r="FQ334">
            <v>50.562376527204862</v>
          </cell>
        </row>
        <row r="335">
          <cell r="FQ335">
            <v>50.492987682795999</v>
          </cell>
        </row>
        <row r="336">
          <cell r="FQ336">
            <v>49.62203268513052</v>
          </cell>
        </row>
        <row r="337">
          <cell r="FQ337">
            <v>50.219163499298972</v>
          </cell>
        </row>
        <row r="338">
          <cell r="FQ338">
            <v>49.424325546519974</v>
          </cell>
        </row>
        <row r="339">
          <cell r="FQ339">
            <v>49.118205647477069</v>
          </cell>
        </row>
        <row r="340">
          <cell r="FQ340">
            <v>48.133752799166842</v>
          </cell>
        </row>
        <row r="341">
          <cell r="FQ341">
            <v>47.289962232312668</v>
          </cell>
        </row>
        <row r="342">
          <cell r="FQ342">
            <v>47.658748646097223</v>
          </cell>
        </row>
        <row r="343">
          <cell r="FQ343">
            <v>48.711380225044593</v>
          </cell>
        </row>
        <row r="344">
          <cell r="FQ344">
            <v>52.170589684826219</v>
          </cell>
        </row>
        <row r="345">
          <cell r="FQ345">
            <v>51.642705754519852</v>
          </cell>
        </row>
        <row r="346">
          <cell r="FQ346">
            <v>51.815716135142694</v>
          </cell>
        </row>
        <row r="347">
          <cell r="FQ347">
            <v>52.557398695007073</v>
          </cell>
        </row>
        <row r="348">
          <cell r="FQ348">
            <v>54.35924244209712</v>
          </cell>
        </row>
        <row r="349">
          <cell r="FQ349">
            <v>54.16037993563409</v>
          </cell>
        </row>
        <row r="350">
          <cell r="FQ350">
            <v>54.617367948310338</v>
          </cell>
        </row>
        <row r="351">
          <cell r="FQ351">
            <v>57.532801873359645</v>
          </cell>
        </row>
        <row r="352">
          <cell r="FQ352">
            <v>56.249113930097238</v>
          </cell>
        </row>
        <row r="353">
          <cell r="FQ353">
            <v>54.916105061397261</v>
          </cell>
        </row>
        <row r="354">
          <cell r="FQ354">
            <v>54.079566599858801</v>
          </cell>
        </row>
        <row r="355">
          <cell r="FQ355">
            <v>54.964628400112161</v>
          </cell>
        </row>
        <row r="356">
          <cell r="FQ356">
            <v>54.289370423032892</v>
          </cell>
        </row>
        <row r="357">
          <cell r="FQ357">
            <v>54.247931097112591</v>
          </cell>
        </row>
        <row r="358">
          <cell r="FQ358">
            <v>55.080115409802666</v>
          </cell>
        </row>
        <row r="359">
          <cell r="FQ359">
            <v>53.60981205076969</v>
          </cell>
        </row>
        <row r="360">
          <cell r="FQ360">
            <v>54.125886500854293</v>
          </cell>
        </row>
        <row r="361">
          <cell r="FQ361">
            <v>53.318995213099413</v>
          </cell>
        </row>
        <row r="362">
          <cell r="FQ362">
            <v>55.810844304855351</v>
          </cell>
        </row>
        <row r="363">
          <cell r="FQ363">
            <v>56.297757820261516</v>
          </cell>
        </row>
        <row r="364">
          <cell r="FQ364">
            <v>55.607480668782102</v>
          </cell>
        </row>
        <row r="365">
          <cell r="FQ365">
            <v>54.072236355816685</v>
          </cell>
        </row>
        <row r="366">
          <cell r="FQ366">
            <v>52.843670902031654</v>
          </cell>
        </row>
        <row r="367">
          <cell r="FQ367">
            <v>52.989668840884278</v>
          </cell>
        </row>
        <row r="368">
          <cell r="FQ368">
            <v>53.10211065878083</v>
          </cell>
        </row>
        <row r="369">
          <cell r="FQ369">
            <v>53.492888306299399</v>
          </cell>
        </row>
        <row r="370">
          <cell r="FQ370">
            <v>53.620319560491218</v>
          </cell>
        </row>
        <row r="371">
          <cell r="FQ371">
            <v>54.247144221318969</v>
          </cell>
        </row>
        <row r="372">
          <cell r="FQ372">
            <v>51.851365255700358</v>
          </cell>
        </row>
        <row r="373">
          <cell r="FQ373">
            <v>54.814551939817278</v>
          </cell>
        </row>
        <row r="374">
          <cell r="FQ374">
            <v>54.001337056685131</v>
          </cell>
        </row>
        <row r="375">
          <cell r="FQ375">
            <v>54.441065572123428</v>
          </cell>
        </row>
        <row r="376">
          <cell r="FQ376">
            <v>54.343978193482648</v>
          </cell>
        </row>
        <row r="377">
          <cell r="FQ377">
            <v>52.356011646928089</v>
          </cell>
        </row>
        <row r="378">
          <cell r="FQ378">
            <v>53.011979302359421</v>
          </cell>
        </row>
        <row r="379">
          <cell r="FQ379">
            <v>53.443927142620218</v>
          </cell>
        </row>
        <row r="380">
          <cell r="FQ380">
            <v>55.97937535218523</v>
          </cell>
        </row>
        <row r="381">
          <cell r="FQ381">
            <v>55.578305833468647</v>
          </cell>
        </row>
        <row r="382">
          <cell r="FQ382">
            <v>55.969412410010754</v>
          </cell>
        </row>
        <row r="383">
          <cell r="FQ383">
            <v>56.441685414276442</v>
          </cell>
        </row>
        <row r="384">
          <cell r="FQ384">
            <v>55.845691965323631</v>
          </cell>
        </row>
        <row r="385">
          <cell r="FQ385">
            <v>55.140454117972304</v>
          </cell>
        </row>
        <row r="386">
          <cell r="FQ386">
            <v>53.971328672017236</v>
          </cell>
        </row>
        <row r="387">
          <cell r="FQ387">
            <v>53.048795545953134</v>
          </cell>
        </row>
        <row r="388">
          <cell r="FQ388">
            <v>52.109562061333868</v>
          </cell>
        </row>
        <row r="389">
          <cell r="FQ389">
            <v>52.811131622833805</v>
          </cell>
        </row>
        <row r="390">
          <cell r="FQ390">
            <v>49.875188562335588</v>
          </cell>
        </row>
        <row r="391">
          <cell r="FQ391">
            <v>51.113283800430828</v>
          </cell>
        </row>
        <row r="392">
          <cell r="FQ392">
            <v>51.214803698330819</v>
          </cell>
        </row>
        <row r="393">
          <cell r="FQ393">
            <v>51.60672611097862</v>
          </cell>
        </row>
        <row r="394">
          <cell r="FQ394">
            <v>50.544869484807791</v>
          </cell>
        </row>
        <row r="395">
          <cell r="FQ395">
            <v>50.371916294323164</v>
          </cell>
        </row>
        <row r="396">
          <cell r="FQ396">
            <v>49.516699471705195</v>
          </cell>
        </row>
        <row r="397">
          <cell r="FQ397">
            <v>46.852880602929467</v>
          </cell>
        </row>
        <row r="398">
          <cell r="FQ398">
            <v>46.582908423233349</v>
          </cell>
        </row>
        <row r="399">
          <cell r="FQ399">
            <v>46.085545048353197</v>
          </cell>
        </row>
        <row r="400">
          <cell r="FQ400">
            <v>48.014191704488006</v>
          </cell>
        </row>
        <row r="401">
          <cell r="FQ401">
            <v>49.002892269459757</v>
          </cell>
        </row>
        <row r="402">
          <cell r="FQ402">
            <v>48.454744121311606</v>
          </cell>
        </row>
        <row r="403">
          <cell r="FQ403">
            <v>50.578416825871258</v>
          </cell>
        </row>
        <row r="404">
          <cell r="FQ404">
            <v>49.862830044710705</v>
          </cell>
        </row>
        <row r="405">
          <cell r="FQ405">
            <v>51.265489333005227</v>
          </cell>
        </row>
        <row r="406">
          <cell r="FQ406">
            <v>51.715417565311732</v>
          </cell>
        </row>
        <row r="407">
          <cell r="FQ407">
            <v>50.485460389731614</v>
          </cell>
        </row>
        <row r="408">
          <cell r="FQ408">
            <v>49.268865488494512</v>
          </cell>
        </row>
        <row r="409">
          <cell r="FQ409">
            <v>50.074190192473331</v>
          </cell>
        </row>
        <row r="410">
          <cell r="FQ410">
            <v>49.32577338188036</v>
          </cell>
        </row>
        <row r="411">
          <cell r="FQ411">
            <v>51.401519922302796</v>
          </cell>
        </row>
        <row r="412">
          <cell r="FQ412">
            <v>52.799566320349193</v>
          </cell>
        </row>
        <row r="413">
          <cell r="FQ413">
            <v>53.613683189511931</v>
          </cell>
        </row>
        <row r="414">
          <cell r="FQ414">
            <v>54.626740370961727</v>
          </cell>
        </row>
        <row r="415">
          <cell r="FQ415">
            <v>58.784920954804228</v>
          </cell>
        </row>
        <row r="416">
          <cell r="FQ416">
            <v>59.146336073154956</v>
          </cell>
        </row>
        <row r="417">
          <cell r="FQ417">
            <v>59.972782354146695</v>
          </cell>
        </row>
        <row r="418">
          <cell r="FQ418">
            <v>62.198990414919017</v>
          </cell>
        </row>
        <row r="419">
          <cell r="FQ419">
            <v>62.701871155585749</v>
          </cell>
        </row>
        <row r="420">
          <cell r="FQ420">
            <v>62.917655456743724</v>
          </cell>
        </row>
        <row r="421">
          <cell r="FQ421">
            <v>60.36803191122695</v>
          </cell>
        </row>
        <row r="422">
          <cell r="FQ422">
            <v>61.137048350346483</v>
          </cell>
        </row>
        <row r="423">
          <cell r="FQ423">
            <v>60.626148504249585</v>
          </cell>
        </row>
        <row r="424">
          <cell r="FQ424">
            <v>63.131716432980099</v>
          </cell>
        </row>
        <row r="425">
          <cell r="FQ425">
            <v>64.011030567954819</v>
          </cell>
        </row>
        <row r="426">
          <cell r="FQ426">
            <v>68.557393477627087</v>
          </cell>
        </row>
        <row r="427">
          <cell r="FQ427">
            <v>69.158912396909301</v>
          </cell>
        </row>
        <row r="428">
          <cell r="FQ428">
            <v>68.765584750240734</v>
          </cell>
        </row>
        <row r="429">
          <cell r="FQ429">
            <v>69.719346386132699</v>
          </cell>
        </row>
        <row r="430">
          <cell r="FQ430">
            <v>70.388924260950745</v>
          </cell>
        </row>
        <row r="431">
          <cell r="FQ431">
            <v>71.65545412871181</v>
          </cell>
        </row>
        <row r="432">
          <cell r="FQ432">
            <v>72.890341866190226</v>
          </cell>
        </row>
        <row r="433">
          <cell r="FQ433">
            <v>75.750302418458475</v>
          </cell>
        </row>
        <row r="434">
          <cell r="FQ434">
            <v>74.91084572729838</v>
          </cell>
        </row>
        <row r="435">
          <cell r="FQ435">
            <v>73.389203603246614</v>
          </cell>
        </row>
        <row r="436">
          <cell r="FQ436">
            <v>71.919535060407341</v>
          </cell>
        </row>
        <row r="437">
          <cell r="FQ437">
            <v>69.601181855475119</v>
          </cell>
        </row>
        <row r="438">
          <cell r="FQ438">
            <v>69.696692839238253</v>
          </cell>
        </row>
        <row r="439">
          <cell r="FQ439">
            <v>66.963995550624759</v>
          </cell>
        </row>
        <row r="440">
          <cell r="FQ440">
            <v>65.563175180684354</v>
          </cell>
        </row>
        <row r="441">
          <cell r="FQ441">
            <v>66.807370617793183</v>
          </cell>
        </row>
        <row r="442">
          <cell r="FQ442">
            <v>67.10656541152801</v>
          </cell>
        </row>
        <row r="443">
          <cell r="FQ443">
            <v>66.329866382401804</v>
          </cell>
        </row>
        <row r="444">
          <cell r="FQ444">
            <v>67.870005403800192</v>
          </cell>
        </row>
        <row r="445">
          <cell r="FQ445">
            <v>68.855541618785892</v>
          </cell>
        </row>
        <row r="446">
          <cell r="FQ446">
            <v>68.2187491659557</v>
          </cell>
        </row>
        <row r="447">
          <cell r="FQ447">
            <v>68.635291861582004</v>
          </cell>
        </row>
        <row r="448">
          <cell r="FQ448">
            <v>68.632809486445467</v>
          </cell>
        </row>
      </sheetData>
      <sheetData sheetId="10" refreshError="1"/>
      <sheetData sheetId="11" refreshError="1"/>
      <sheetData sheetId="12" refreshError="1"/>
      <sheetData sheetId="13" refreshError="1"/>
      <sheetData sheetId="14" refreshError="1"/>
      <sheetData sheetId="15"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yan Schaefer" refreshedDate="45754.792446874999" createdVersion="8" refreshedVersion="8" minRefreshableVersion="3" recordCount="4468" xr:uid="{592CA5EA-9581-40DC-A7C4-E8BB65171450}">
  <cacheSource type="worksheet">
    <worksheetSource ref="A1:D4468" sheet="Earnings"/>
  </cacheSource>
  <cacheFields count="6">
    <cacheField name="Date/Time" numFmtId="22">
      <sharedItems containsSemiMixedTypes="0" containsNonDate="0" containsDate="1" containsString="0" minDate="2025-04-01T05:00:00" maxDate="2025-06-12T15:00:00" count="154">
        <d v="2025-04-01T05:00:00"/>
        <d v="2025-04-01T05:30:00"/>
        <d v="2025-04-01T06:00:00"/>
        <d v="2025-04-01T06:20:00"/>
        <d v="2025-04-01T06:30:00"/>
        <d v="2025-04-01T12:16:00"/>
        <d v="2025-04-01T14:05:00"/>
        <d v="2025-04-01T14:06:00"/>
        <d v="2025-04-01T15:00:00"/>
        <d v="2025-04-02T04:30:00"/>
        <d v="2025-04-02T05:00:00"/>
        <d v="2025-04-02T06:00:00"/>
        <d v="2025-04-02T06:50:00"/>
        <d v="2025-04-02T14:00:00"/>
        <d v="2025-04-02T14:05:00"/>
        <d v="2025-04-02T14:15:00"/>
        <d v="2025-04-02T14:22:00"/>
        <d v="2025-04-02T14:39:00"/>
        <d v="2025-04-02T14:45:00"/>
        <d v="2025-04-02T15:00:00"/>
        <d v="2025-04-02T15:17:00"/>
        <d v="2025-04-02T23:00:00"/>
        <d v="2025-04-03T04:00:00"/>
        <d v="2025-04-03T04:30:00"/>
        <d v="2025-04-03T04:45:00"/>
        <d v="2025-04-03T05:30:00"/>
        <d v="2025-04-03T06:30:00"/>
        <d v="2025-04-03T14:01:00"/>
        <d v="2025-04-03T14:05:00"/>
        <d v="2025-04-03T14:15:00"/>
        <d v="2025-04-03T15:00:00"/>
        <d v="2025-04-04T05:00:00"/>
        <d v="2025-04-04T06:30:00"/>
        <d v="2025-04-04T14:10:00"/>
        <d v="2025-04-07T04:58:00"/>
        <d v="2025-04-07T07:00:00"/>
        <d v="2025-04-07T14:05:00"/>
        <d v="2025-04-07T14:10:00"/>
        <d v="2025-04-07T14:15:00"/>
        <d v="2025-04-07T15:00:00"/>
        <d v="2025-04-08T07:00:00"/>
        <d v="2025-04-08T15:00:00"/>
        <d v="2025-04-09T07:00:00"/>
        <d v="2025-04-09T11:00:00"/>
        <d v="2025-04-09T15:00:00"/>
        <d v="2025-04-10T07:00:00"/>
        <d v="2025-04-10T15:00:00"/>
        <d v="2025-04-11T07:00:00"/>
        <d v="2025-04-11T15:00:00"/>
        <d v="2025-04-14T07:00:00"/>
        <d v="2025-04-14T15:00:00"/>
        <d v="2025-04-15T07:00:00"/>
        <d v="2025-04-15T15:00:00"/>
        <d v="2025-04-16T07:00:00"/>
        <d v="2025-04-16T11:00:00"/>
        <d v="2025-04-16T15:00:00"/>
        <d v="2025-04-17T07:00:00"/>
        <d v="2025-04-17T11:00:00"/>
        <d v="2025-04-17T15:00:00"/>
        <d v="2025-04-18T07:00:00"/>
        <d v="2025-04-18T11:00:00"/>
        <d v="2025-04-18T15:00:00"/>
        <d v="2025-04-19T07:00:00"/>
        <d v="2025-04-21T07:00:00"/>
        <d v="2025-04-21T11:00:00"/>
        <d v="2025-04-21T15:00:00"/>
        <d v="2025-04-22T07:00:00"/>
        <d v="2025-04-22T11:00:00"/>
        <d v="2025-04-22T15:00:00"/>
        <d v="2025-04-23T07:00:00"/>
        <d v="2025-04-23T11:00:00"/>
        <d v="2025-04-23T15:00:00"/>
        <d v="2025-04-24T07:00:00"/>
        <d v="2025-04-24T11:00:00"/>
        <d v="2025-04-24T15:00:00"/>
        <d v="2025-04-25T07:00:00"/>
        <d v="2025-04-25T11:00:00"/>
        <d v="2025-04-25T15:00:00"/>
        <d v="2025-04-28T07:00:00"/>
        <d v="2025-04-28T15:00:00"/>
        <d v="2025-04-29T07:00:00"/>
        <d v="2025-04-29T11:00:00"/>
        <d v="2025-04-29T15:00:00"/>
        <d v="2025-04-30T07:00:00"/>
        <d v="2025-04-30T11:00:00"/>
        <d v="2025-04-30T15:00:00"/>
        <d v="2025-05-01T07:00:00"/>
        <d v="2025-05-01T15:00:00"/>
        <d v="2025-05-02T07:00:00"/>
        <d v="2025-05-02T15:00:00"/>
        <d v="2025-05-03T07:00:00"/>
        <d v="2025-05-05T07:00:00"/>
        <d v="2025-05-05T11:00:00"/>
        <d v="2025-05-05T15:00:00"/>
        <d v="2025-05-06T07:00:00"/>
        <d v="2025-05-06T11:00:00"/>
        <d v="2025-05-06T15:00:00"/>
        <d v="2025-05-07T07:00:00"/>
        <d v="2025-05-07T11:00:00"/>
        <d v="2025-05-07T15:00:00"/>
        <d v="2025-05-08T07:00:00"/>
        <d v="2025-05-08T11:00:00"/>
        <d v="2025-05-08T15:00:00"/>
        <d v="2025-05-09T07:00:00"/>
        <d v="2025-05-09T15:00:00"/>
        <d v="2025-05-12T07:00:00"/>
        <d v="2025-05-12T15:00:00"/>
        <d v="2025-05-13T07:00:00"/>
        <d v="2025-05-13T11:00:00"/>
        <d v="2025-05-13T15:00:00"/>
        <d v="2025-05-14T07:00:00"/>
        <d v="2025-05-14T11:00:00"/>
        <d v="2025-05-14T15:00:00"/>
        <d v="2025-05-15T07:00:00"/>
        <d v="2025-05-15T11:00:00"/>
        <d v="2025-05-15T15:00:00"/>
        <d v="2025-05-16T07:00:00"/>
        <d v="2025-05-19T07:00:00"/>
        <d v="2025-05-19T15:00:00"/>
        <d v="2025-05-20T07:00:00"/>
        <d v="2025-05-20T15:00:00"/>
        <d v="2025-05-21T07:00:00"/>
        <d v="2025-05-21T15:00:00"/>
        <d v="2025-05-22T07:00:00"/>
        <d v="2025-05-22T15:00:00"/>
        <d v="2025-05-23T07:00:00"/>
        <d v="2025-05-23T15:00:00"/>
        <d v="2025-05-26T15:00:00"/>
        <d v="2025-05-27T07:00:00"/>
        <d v="2025-05-27T15:00:00"/>
        <d v="2025-05-28T07:00:00"/>
        <d v="2025-05-28T15:00:00"/>
        <d v="2025-05-29T07:00:00"/>
        <d v="2025-05-29T15:00:00"/>
        <d v="2025-05-30T07:00:00"/>
        <d v="2025-05-30T15:00:00"/>
        <d v="2025-06-02T07:00:00"/>
        <d v="2025-06-02T15:00:00"/>
        <d v="2025-06-03T07:00:00"/>
        <d v="2025-06-03T15:00:00"/>
        <d v="2025-06-04T07:00:00"/>
        <d v="2025-06-04T15:00:00"/>
        <d v="2025-06-05T07:00:00"/>
        <d v="2025-06-05T15:00:00"/>
        <d v="2025-06-06T07:00:00"/>
        <d v="2025-06-06T15:00:00"/>
        <d v="2025-06-09T07:00:00"/>
        <d v="2025-06-09T15:00:00"/>
        <d v="2025-06-10T07:00:00"/>
        <d v="2025-06-10T15:00:00"/>
        <d v="2025-06-11T07:00:00"/>
        <d v="2025-06-11T15:00:00"/>
        <d v="2025-06-12T07:00:00"/>
        <d v="2025-06-12T15:00:00"/>
      </sharedItems>
      <fieldGroup par="5"/>
    </cacheField>
    <cacheField name="Ticker" numFmtId="0">
      <sharedItems/>
    </cacheField>
    <cacheField name="When" numFmtId="0">
      <sharedItems/>
    </cacheField>
    <cacheField name="Index" numFmtId="0">
      <sharedItems containsBlank="1" count="6">
        <s v=""/>
        <s v="IWM"/>
        <s v="S&amp;P Mid"/>
        <s v="SP500"/>
        <s v="NQ100"/>
        <m u="1"/>
      </sharedItems>
    </cacheField>
    <cacheField name="Days (Date/Time)" numFmtId="0" databaseField="0">
      <fieldGroup base="0">
        <rangePr groupBy="days" startDate="2025-04-01T05:00:00" endDate="2025-06-12T15:00:00"/>
        <groupItems count="368">
          <s v="&lt;4/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6/12/2025"/>
        </groupItems>
      </fieldGroup>
    </cacheField>
    <cacheField name="Months (Date/Time)" numFmtId="0" databaseField="0">
      <fieldGroup base="0">
        <rangePr groupBy="months" startDate="2025-04-01T05:00:00" endDate="2025-06-12T15:00:00"/>
        <groupItems count="14">
          <s v="&lt;4/1/2025"/>
          <s v="Jan"/>
          <s v="Feb"/>
          <s v="Mar"/>
          <s v="Apr"/>
          <s v="May"/>
          <s v="Jun"/>
          <s v="Jul"/>
          <s v="Aug"/>
          <s v="Sep"/>
          <s v="Oct"/>
          <s v="Nov"/>
          <s v="Dec"/>
          <s v="&gt;6/12/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68">
  <r>
    <x v="0"/>
    <s v="ULBI"/>
    <s v="on 4/1/25, 7:00 AM Before Market Eastern Standard Time"/>
    <x v="0"/>
  </r>
  <r>
    <x v="0"/>
    <s v="POAI"/>
    <s v="on 4/1/25, 7:00 AM Before Market Eastern Standard Time"/>
    <x v="0"/>
  </r>
  <r>
    <x v="1"/>
    <s v="JSDA"/>
    <s v="on 4/1/25, 7:30 AM After Market Eastern Standard Time"/>
    <x v="0"/>
  </r>
  <r>
    <x v="2"/>
    <s v="NG"/>
    <s v="on 4/1/25, 8:00 AM Before Market Eastern Standard Time"/>
    <x v="1"/>
  </r>
  <r>
    <x v="3"/>
    <s v="SHFS"/>
    <s v="on 4/1/25, 8:20 AM After Market Eastern Standard Time"/>
    <x v="0"/>
  </r>
  <r>
    <x v="4"/>
    <s v="RNXT"/>
    <s v="on 4/1/25, 8:30 AM After Market Eastern Standard Time"/>
    <x v="0"/>
  </r>
  <r>
    <x v="5"/>
    <s v="MNTS"/>
    <s v="on 4/1/25, 2:16 PM Unspecified Eastern Standard Time"/>
    <x v="0"/>
  </r>
  <r>
    <x v="6"/>
    <s v="SPWH"/>
    <s v="on 4/1/25, 4:05 PM After Market Eastern Standard Time"/>
    <x v="0"/>
  </r>
  <r>
    <x v="6"/>
    <s v="SATX"/>
    <s v="on 4/1/25, 4:05 PM After Market Eastern Standard Time"/>
    <x v="0"/>
  </r>
  <r>
    <x v="7"/>
    <s v="NCNO"/>
    <s v="on 4/1/25, 4:06 PM After Market Eastern Standard Time"/>
    <x v="0"/>
  </r>
  <r>
    <x v="8"/>
    <s v="SHWZ"/>
    <s v="on 4/1/25 After Market Eastern Standard Time"/>
    <x v="0"/>
  </r>
  <r>
    <x v="9"/>
    <s v="TMQ"/>
    <s v="on 4/2/25, 6:30 AM Before Market Eastern Standard Time"/>
    <x v="0"/>
  </r>
  <r>
    <x v="9"/>
    <s v="ANGO"/>
    <s v="on 4/2/25, 6:30 AM Before Market Eastern Standard Time"/>
    <x v="1"/>
  </r>
  <r>
    <x v="10"/>
    <s v="BB"/>
    <s v="on 4/2/25, 7:00 AM Before Market Eastern Standard Time"/>
    <x v="0"/>
  </r>
  <r>
    <x v="10"/>
    <s v="CGNT"/>
    <s v="on 4/2/25, 7:00 AM Before Market Eastern Standard Time"/>
    <x v="0"/>
  </r>
  <r>
    <x v="11"/>
    <s v="UNF"/>
    <s v="on 4/2/25, 8:00 AM Before Market Eastern Standard Time"/>
    <x v="1"/>
  </r>
  <r>
    <x v="12"/>
    <s v="CENN"/>
    <s v="on 4/2/25, 8:50 AM Before Market Eastern Standard Time"/>
    <x v="0"/>
  </r>
  <r>
    <x v="13"/>
    <s v="BSET"/>
    <s v="on 4/2/25, 4:00 PM After Market Eastern Standard Time"/>
    <x v="0"/>
  </r>
  <r>
    <x v="14"/>
    <s v="PENG"/>
    <s v="on 4/2/25, 4:05 PM After Market Eastern Standard Time"/>
    <x v="1"/>
  </r>
  <r>
    <x v="14"/>
    <s v="CYCC"/>
    <s v="on 4/2/25, 4:05 PM After Market Eastern Standard Time"/>
    <x v="0"/>
  </r>
  <r>
    <x v="14"/>
    <s v="RGP"/>
    <s v="on 4/2/25, 4:05 PM After Market Eastern Standard Time"/>
    <x v="1"/>
  </r>
  <r>
    <x v="15"/>
    <s v="FC"/>
    <s v="on 4/2/25, 4:15 PM After Market Eastern Standard Time"/>
    <x v="1"/>
  </r>
  <r>
    <x v="16"/>
    <s v="RH"/>
    <s v="on 4/2/25, 4:22 PM After Market Eastern Standard Time"/>
    <x v="2"/>
  </r>
  <r>
    <x v="17"/>
    <s v="LPA"/>
    <s v="on 4/2/25, 4:39 PM After Market Eastern Standard Time"/>
    <x v="0"/>
  </r>
  <r>
    <x v="18"/>
    <s v="KEN"/>
    <s v="on 4/2/25, 4:45 PM Before Market Eastern Standard Time"/>
    <x v="0"/>
  </r>
  <r>
    <x v="19"/>
    <s v="NBTX"/>
    <s v="on 4/2/25 After Market Eastern Standard Time"/>
    <x v="0"/>
  </r>
  <r>
    <x v="20"/>
    <s v="NBY"/>
    <s v="on 4/2/25, 5:17 PM After Market Eastern Standard Time"/>
    <x v="0"/>
  </r>
  <r>
    <x v="21"/>
    <s v="CXAI"/>
    <s v="on 4/3/25, 1:00 AM Unspecified Eastern Standard Time"/>
    <x v="0"/>
  </r>
  <r>
    <x v="22"/>
    <s v="AYI"/>
    <s v="on 4/3/25, 6:00 AM Before Market Eastern Standard Time"/>
    <x v="2"/>
  </r>
  <r>
    <x v="23"/>
    <s v="MSM"/>
    <s v="on 4/3/25, 6:30 AM Before Market Eastern Standard Time"/>
    <x v="2"/>
  </r>
  <r>
    <x v="24"/>
    <s v="LNN"/>
    <s v="on 4/3/25, 6:45 AM Before Market Eastern Standard Time"/>
    <x v="1"/>
  </r>
  <r>
    <x v="25"/>
    <s v="CAG"/>
    <s v="on 4/3/25, 7:30 AM Before Market Eastern Standard Time"/>
    <x v="3"/>
  </r>
  <r>
    <x v="26"/>
    <s v="LW"/>
    <s v="on 4/3/25, 8:30 AM Before Market Eastern Standard Time"/>
    <x v="3"/>
  </r>
  <r>
    <x v="27"/>
    <s v="IMAB"/>
    <s v="on 4/3/25, 4:01 PM After Market Eastern Standard Time"/>
    <x v="0"/>
  </r>
  <r>
    <x v="28"/>
    <s v="LFCR"/>
    <s v="on 4/3/25, 4:05 PM After Market Eastern Standard Time"/>
    <x v="0"/>
  </r>
  <r>
    <x v="28"/>
    <s v="SLP"/>
    <s v="on 4/3/25, 4:05 PM After Market Eastern Standard Time"/>
    <x v="1"/>
  </r>
  <r>
    <x v="29"/>
    <s v="GES"/>
    <s v="on 4/3/25, 4:15 PM After Market Eastern Standard Time"/>
    <x v="0"/>
  </r>
  <r>
    <x v="30"/>
    <s v="ITHUF"/>
    <s v="on 4/3/25 After Market Eastern Standard Time"/>
    <x v="0"/>
  </r>
  <r>
    <x v="30"/>
    <s v="KXIN"/>
    <s v="on 4/3/25 After Market Eastern Standard Time"/>
    <x v="0"/>
  </r>
  <r>
    <x v="30"/>
    <s v="OMGAQ"/>
    <s v="on 4/3/25 After Market Eastern Standard Time"/>
    <x v="0"/>
  </r>
  <r>
    <x v="31"/>
    <s v="AMS"/>
    <s v="on 4/4/25, 7:00 AM Before Market Eastern Standard Time"/>
    <x v="0"/>
  </r>
  <r>
    <x v="32"/>
    <s v="RDUS"/>
    <s v="on 4/4/25, 8:30 AM Before Market Eastern Standard Time"/>
    <x v="1"/>
  </r>
  <r>
    <x v="33"/>
    <s v="RSLS"/>
    <s v="on 4/4/25, 4:10 PM After Market Eastern Standard Time"/>
    <x v="0"/>
  </r>
  <r>
    <x v="34"/>
    <s v="PHVS"/>
    <s v="on 4/7/25, 6:58 AM Before Market Eastern Standard Time"/>
    <x v="0"/>
  </r>
  <r>
    <x v="35"/>
    <s v="SALM"/>
    <s v="on 4/7/25 Unspecified Eastern Standard Time"/>
    <x v="0"/>
  </r>
  <r>
    <x v="35"/>
    <s v="VISL"/>
    <s v="on 4/7/25 Before Market Eastern Standard Time"/>
    <x v="0"/>
  </r>
  <r>
    <x v="36"/>
    <s v="PLAY"/>
    <s v="on 4/7/25, 4:05 PM After Market Eastern Standard Time"/>
    <x v="1"/>
  </r>
  <r>
    <x v="37"/>
    <s v="LEVI"/>
    <s v="on 4/7/25, 4:10 PM After Market Eastern Standard Time"/>
    <x v="0"/>
  </r>
  <r>
    <x v="38"/>
    <s v="GBX"/>
    <s v="on 4/7/25, 4:15 PM After Market Eastern Standard Time"/>
    <x v="1"/>
  </r>
  <r>
    <x v="39"/>
    <s v="EVLV"/>
    <s v="on 4/7/25 After Market Eastern Standard Time"/>
    <x v="1"/>
  </r>
  <r>
    <x v="39"/>
    <s v="MESA"/>
    <s v="on 4/7/25 After Market Eastern Standard Time"/>
    <x v="0"/>
  </r>
  <r>
    <x v="39"/>
    <s v="AULT"/>
    <s v="on 4/7/25 After Market Eastern Standard Time"/>
    <x v="0"/>
  </r>
  <r>
    <x v="39"/>
    <s v="POWW"/>
    <s v="on 4/7/25 After Market Eastern Standard Time"/>
    <x v="0"/>
  </r>
  <r>
    <x v="39"/>
    <s v="SNAX"/>
    <s v="on 4/7/25 After Market Eastern Standard Time"/>
    <x v="0"/>
  </r>
  <r>
    <x v="39"/>
    <s v="TBIO"/>
    <s v="on 4/7/25 After Market Eastern Standard Time"/>
    <x v="0"/>
  </r>
  <r>
    <x v="39"/>
    <s v="ANGH"/>
    <s v="on 4/7/25 After Market Eastern Standard Time"/>
    <x v="0"/>
  </r>
  <r>
    <x v="39"/>
    <s v="KLDI"/>
    <s v="on 4/7/25 After Market Eastern Standard Time"/>
    <x v="0"/>
  </r>
  <r>
    <x v="39"/>
    <s v="AILE"/>
    <s v="on 4/7/25 After Market Eastern Standard Time"/>
    <x v="0"/>
  </r>
  <r>
    <x v="39"/>
    <s v="XELB"/>
    <s v="on 4/7/25 After Market Eastern Standard Time"/>
    <x v="0"/>
  </r>
  <r>
    <x v="39"/>
    <s v="DESP"/>
    <s v="on 4/7/25 After Market Eastern Standard Time"/>
    <x v="1"/>
  </r>
  <r>
    <x v="39"/>
    <s v="PRTG"/>
    <s v="on 4/7/25 After Market Eastern Standard Time"/>
    <x v="0"/>
  </r>
  <r>
    <x v="39"/>
    <s v="FORA"/>
    <s v="on 4/7/25 After Market Eastern Standard Time"/>
    <x v="0"/>
  </r>
  <r>
    <x v="39"/>
    <s v="LVRO"/>
    <s v="on 4/7/25 After Market Eastern Standard Time"/>
    <x v="0"/>
  </r>
  <r>
    <x v="39"/>
    <s v="GORO"/>
    <s v="on 4/7/25 After Market Eastern Standard Time"/>
    <x v="0"/>
  </r>
  <r>
    <x v="39"/>
    <s v="LZM"/>
    <s v="on 4/7/25 After Market Eastern Standard Time"/>
    <x v="1"/>
  </r>
  <r>
    <x v="39"/>
    <s v="MAXN"/>
    <s v="on 4/7/25 After Market Eastern Standard Time"/>
    <x v="0"/>
  </r>
  <r>
    <x v="39"/>
    <s v="RBTC"/>
    <s v="on 4/7/25 After Market Eastern Standard Time"/>
    <x v="0"/>
  </r>
  <r>
    <x v="39"/>
    <s v="BGXXQ"/>
    <s v="on 4/7/25 After Market Eastern Standard Time"/>
    <x v="0"/>
  </r>
  <r>
    <x v="39"/>
    <s v="ALDX"/>
    <s v="on 4/7/25 After Market Eastern Standard Time"/>
    <x v="1"/>
  </r>
  <r>
    <x v="39"/>
    <s v="MOVE"/>
    <s v="on 4/7/25 After Market Eastern Standard Time"/>
    <x v="0"/>
  </r>
  <r>
    <x v="39"/>
    <s v="GLBS"/>
    <s v="on 4/7/25 After Market Eastern Standard Time"/>
    <x v="0"/>
  </r>
  <r>
    <x v="39"/>
    <s v="MARK"/>
    <s v="on 4/7/25 After Market Eastern Standard Time"/>
    <x v="0"/>
  </r>
  <r>
    <x v="39"/>
    <s v="PBLA"/>
    <s v="on 4/7/25 After Market Eastern Standard Time"/>
    <x v="0"/>
  </r>
  <r>
    <x v="39"/>
    <s v="HPH"/>
    <s v="on 4/7/25 After Market Eastern Standard Time"/>
    <x v="0"/>
  </r>
  <r>
    <x v="39"/>
    <s v="XCH"/>
    <s v="on 4/7/25 After Market Eastern Standard Time"/>
    <x v="0"/>
  </r>
  <r>
    <x v="39"/>
    <s v="PACS"/>
    <s v="on 4/7/25 After Market Eastern Standard Time"/>
    <x v="1"/>
  </r>
  <r>
    <x v="40"/>
    <s v="TOYO"/>
    <s v="on 4/8/25 Before Market Eastern Standard Time"/>
    <x v="0"/>
  </r>
  <r>
    <x v="40"/>
    <s v="TLRY"/>
    <s v="on 4/8/25 Before Market Eastern Standard Time"/>
    <x v="0"/>
  </r>
  <r>
    <x v="40"/>
    <s v="WBA"/>
    <s v="on 4/8/25 Before Market Eastern Standard Time"/>
    <x v="3"/>
  </r>
  <r>
    <x v="40"/>
    <s v="CTRM"/>
    <s v="on 4/8/25 Before Market Eastern Standard Time"/>
    <x v="0"/>
  </r>
  <r>
    <x v="40"/>
    <s v="LEJUY"/>
    <s v="on 4/8/25 Before Market Eastern Standard Time"/>
    <x v="0"/>
  </r>
  <r>
    <x v="40"/>
    <s v="BHIL"/>
    <s v="on 4/8/25 Before Market Eastern Standard Time"/>
    <x v="0"/>
  </r>
  <r>
    <x v="40"/>
    <s v="SLGL"/>
    <s v="on 4/8/25 Before Market Eastern Standard Time"/>
    <x v="0"/>
  </r>
  <r>
    <x v="40"/>
    <s v="RPM"/>
    <s v="on 4/8/25 Before Market Eastern Standard Time"/>
    <x v="2"/>
  </r>
  <r>
    <x v="40"/>
    <s v="TLK"/>
    <s v="on 4/8/25 Unspecified Eastern Standard Time"/>
    <x v="0"/>
  </r>
  <r>
    <x v="40"/>
    <s v="WDFC"/>
    <s v="on 4/8/25 Before Market Eastern Standard Time"/>
    <x v="1"/>
  </r>
  <r>
    <x v="40"/>
    <s v="TORO"/>
    <s v="on 4/8/25 Before Market Eastern Standard Time"/>
    <x v="0"/>
  </r>
  <r>
    <x v="40"/>
    <s v="HEPS"/>
    <s v="on 4/8/25 Before Market Eastern Standard Time"/>
    <x v="0"/>
  </r>
  <r>
    <x v="41"/>
    <s v="CALM"/>
    <s v="on 4/8/25 After Market Eastern Standard Time"/>
    <x v="1"/>
  </r>
  <r>
    <x v="41"/>
    <s v="URG"/>
    <s v="on 4/8/25 After Market Eastern Standard Time"/>
    <x v="1"/>
  </r>
  <r>
    <x v="41"/>
    <s v="CUTRQ"/>
    <s v="on 4/8/25 After Market Eastern Standard Time"/>
    <x v="0"/>
  </r>
  <r>
    <x v="41"/>
    <s v="SOND"/>
    <s v="on 4/8/25 After Market Eastern Standard Time"/>
    <x v="0"/>
  </r>
  <r>
    <x v="41"/>
    <s v="AEHR"/>
    <s v="on 4/8/25 After Market Eastern Standard Time"/>
    <x v="1"/>
  </r>
  <r>
    <x v="41"/>
    <s v="KRMN"/>
    <s v="on 4/8/25 After Market Eastern Standard Time"/>
    <x v="0"/>
  </r>
  <r>
    <x v="41"/>
    <s v="FPAY"/>
    <s v="on 4/8/25 After Market Eastern Standard Time"/>
    <x v="0"/>
  </r>
  <r>
    <x v="41"/>
    <s v="ADN"/>
    <s v="on 4/8/25 After Market Eastern Standard Time"/>
    <x v="0"/>
  </r>
  <r>
    <x v="41"/>
    <s v="KRUS"/>
    <s v="on 4/8/25 After Market Eastern Standard Time"/>
    <x v="1"/>
  </r>
  <r>
    <x v="41"/>
    <s v="TTOO"/>
    <s v="on 4/8/25 After Market Eastern Standard Time"/>
    <x v="0"/>
  </r>
  <r>
    <x v="41"/>
    <s v="MRIN"/>
    <s v="on 4/8/25 After Market Eastern Standard Time"/>
    <x v="0"/>
  </r>
  <r>
    <x v="41"/>
    <s v="DM"/>
    <s v="on 4/8/25 After Market Eastern Standard Time"/>
    <x v="0"/>
  </r>
  <r>
    <x v="41"/>
    <s v="DNMRQ"/>
    <s v="on 4/8/25 After Market Eastern Standard Time"/>
    <x v="0"/>
  </r>
  <r>
    <x v="41"/>
    <s v="GENC"/>
    <s v="on 4/8/25 After Market Eastern Standard Time"/>
    <x v="1"/>
  </r>
  <r>
    <x v="41"/>
    <s v="MAMA"/>
    <s v="on 4/8/25 After Market Eastern Standard Time"/>
    <x v="1"/>
  </r>
  <r>
    <x v="41"/>
    <s v="MLEC"/>
    <s v="on 4/8/25 After Market Eastern Standard Time"/>
    <x v="0"/>
  </r>
  <r>
    <x v="41"/>
    <s v="ORMP"/>
    <s v="on 4/8/25 After Market Eastern Standard Time"/>
    <x v="0"/>
  </r>
  <r>
    <x v="42"/>
    <s v="SMPL"/>
    <s v="on 4/9/25 Before Market Eastern Standard Time"/>
    <x v="1"/>
  </r>
  <r>
    <x v="42"/>
    <s v="DAL"/>
    <s v="on 4/9/25 Before Market Eastern Standard Time"/>
    <x v="3"/>
  </r>
  <r>
    <x v="42"/>
    <s v="ADUR"/>
    <s v="on 4/9/25 Before Market Eastern Standard Time"/>
    <x v="0"/>
  </r>
  <r>
    <x v="42"/>
    <s v="UXIN"/>
    <s v="on 4/9/25 Before Market Eastern Standard Time"/>
    <x v="0"/>
  </r>
  <r>
    <x v="42"/>
    <s v="NEOG"/>
    <s v="on 4/9/25 Before Market Eastern Standard Time"/>
    <x v="1"/>
  </r>
  <r>
    <x v="42"/>
    <s v="SVNDY"/>
    <s v="on 4/9/25 Unspecified Eastern Standard Time"/>
    <x v="0"/>
  </r>
  <r>
    <x v="43"/>
    <s v="MFON"/>
    <s v="on 4/9/25 During Market Eastern Standard Time"/>
    <x v="0"/>
  </r>
  <r>
    <x v="44"/>
    <s v="ZNOG"/>
    <s v="on 4/9/25 After Market Eastern Standard Time"/>
    <x v="0"/>
  </r>
  <r>
    <x v="44"/>
    <s v="OTRK"/>
    <s v="on 4/9/25 After Market Eastern Standard Time"/>
    <x v="0"/>
  </r>
  <r>
    <x v="44"/>
    <s v="SMID"/>
    <s v="on 4/9/25 After Market Eastern Standard Time"/>
    <x v="1"/>
  </r>
  <r>
    <x v="44"/>
    <s v="LAKE"/>
    <s v="on 4/9/25 After Market Eastern Standard Time"/>
    <x v="0"/>
  </r>
  <r>
    <x v="44"/>
    <s v="PSMT"/>
    <s v="on 4/9/25 After Market Eastern Standard Time"/>
    <x v="1"/>
  </r>
  <r>
    <x v="44"/>
    <s v="STZ"/>
    <s v="on 4/9/25 After Market Eastern Standard Time"/>
    <x v="3"/>
  </r>
  <r>
    <x v="44"/>
    <s v="CSLR"/>
    <s v="on 4/9/25 After Market Eastern Standard Time"/>
    <x v="0"/>
  </r>
  <r>
    <x v="44"/>
    <s v="RELL"/>
    <s v="on 4/9/25 After Market Eastern Standard Time"/>
    <x v="0"/>
  </r>
  <r>
    <x v="44"/>
    <s v="SGRP"/>
    <s v="on 4/9/25 After Market Eastern Standard Time"/>
    <x v="0"/>
  </r>
  <r>
    <x v="44"/>
    <s v="UPXI"/>
    <s v="on 4/9/25 After Market Eastern Standard Time"/>
    <x v="0"/>
  </r>
  <r>
    <x v="44"/>
    <s v="TBBB"/>
    <s v="on 4/9/25 After Market Eastern Standard Time"/>
    <x v="0"/>
  </r>
  <r>
    <x v="44"/>
    <s v="FTEL"/>
    <s v="on 4/9/25 After Market Eastern Standard Time"/>
    <x v="0"/>
  </r>
  <r>
    <x v="44"/>
    <s v="NRIX"/>
    <s v="on 4/9/25 After Market Eastern Standard Time"/>
    <x v="1"/>
  </r>
  <r>
    <x v="44"/>
    <s v="RENB"/>
    <s v="on 4/9/25 After Market Eastern Standard Time"/>
    <x v="0"/>
  </r>
  <r>
    <x v="44"/>
    <s v="EYEN"/>
    <s v="on 4/9/25 After Market Eastern Standard Time"/>
    <x v="0"/>
  </r>
  <r>
    <x v="44"/>
    <s v="PCYO"/>
    <s v="on 4/9/25 After Market Eastern Standard Time"/>
    <x v="1"/>
  </r>
  <r>
    <x v="44"/>
    <s v="DJT"/>
    <s v="on 4/9/25 After Market Eastern Standard Time"/>
    <x v="0"/>
  </r>
  <r>
    <x v="44"/>
    <s v="TC"/>
    <s v="on 4/9/25 After Market Eastern Standard Time"/>
    <x v="0"/>
  </r>
  <r>
    <x v="45"/>
    <s v="LOVE"/>
    <s v="on 4/10/25 Before Market Eastern Standard Time"/>
    <x v="1"/>
  </r>
  <r>
    <x v="45"/>
    <s v="RILY"/>
    <s v="on 4/10/25 Unspecified Eastern Standard Time"/>
    <x v="0"/>
  </r>
  <r>
    <x v="45"/>
    <s v="FRCOY"/>
    <s v="on 4/10/25 Unspecified Eastern Standard Time"/>
    <x v="0"/>
  </r>
  <r>
    <x v="45"/>
    <s v="BSVN"/>
    <s v="on 4/10/25 Before Market Eastern Standard Time"/>
    <x v="1"/>
  </r>
  <r>
    <x v="45"/>
    <s v="VCIG"/>
    <s v="on 4/10/25 Before Market Eastern Standard Time"/>
    <x v="0"/>
  </r>
  <r>
    <x v="45"/>
    <s v="BKSC"/>
    <s v="on 4/10/25 Unspecified Eastern Standard Time"/>
    <x v="0"/>
  </r>
  <r>
    <x v="45"/>
    <s v="KMX"/>
    <s v="on 4/10/25 Before Market Eastern Standard Time"/>
    <x v="3"/>
  </r>
  <r>
    <x v="45"/>
    <s v="NTIC"/>
    <s v="on 4/10/25 Before Market Eastern Standard Time"/>
    <x v="0"/>
  </r>
  <r>
    <x v="45"/>
    <s v="EM"/>
    <s v="on 4/10/25 Before Market Eastern Standard Time"/>
    <x v="0"/>
  </r>
  <r>
    <x v="45"/>
    <s v="BYRN"/>
    <s v="on 4/10/25 Before Market Eastern Standard Time"/>
    <x v="1"/>
  </r>
  <r>
    <x v="45"/>
    <s v="CYTO"/>
    <s v="on 4/10/25 Before Market Eastern Standard Time"/>
    <x v="0"/>
  </r>
  <r>
    <x v="45"/>
    <s v="MOV"/>
    <s v="on 4/10/25 Before Market Eastern Standard Time"/>
    <x v="1"/>
  </r>
  <r>
    <x v="45"/>
    <s v="KNDI"/>
    <s v="on 4/10/25 Before Market Eastern Standard Time"/>
    <x v="0"/>
  </r>
  <r>
    <x v="46"/>
    <s v="XTIA"/>
    <s v="on 4/10/25 After Market Eastern Standard Time"/>
    <x v="0"/>
  </r>
  <r>
    <x v="46"/>
    <s v="WYY"/>
    <s v="on 4/10/25 After Market Eastern Standard Time"/>
    <x v="0"/>
  </r>
  <r>
    <x v="46"/>
    <s v="FRMO"/>
    <s v="on 4/10/25 After Market Eastern Standard Time"/>
    <x v="0"/>
  </r>
  <r>
    <x v="46"/>
    <s v="HMR"/>
    <s v="on 4/10/25 After Market Eastern Standard Time"/>
    <x v="0"/>
  </r>
  <r>
    <x v="46"/>
    <s v="SUNE"/>
    <s v="on 4/10/25 After Market Eastern Standard Time"/>
    <x v="0"/>
  </r>
  <r>
    <x v="46"/>
    <s v="PSNY"/>
    <s v="on 4/10/25 After Market Eastern Standard Time"/>
    <x v="0"/>
  </r>
  <r>
    <x v="46"/>
    <s v="PDYN"/>
    <s v="on 4/10/25 After Market Eastern Standard Time"/>
    <x v="0"/>
  </r>
  <r>
    <x v="47"/>
    <s v="VIRC"/>
    <s v="on 4/11/25 Before Market Eastern Standard Time"/>
    <x v="0"/>
  </r>
  <r>
    <x v="47"/>
    <s v="INV"/>
    <s v="on 4/11/25 Before Market Eastern Standard Time"/>
    <x v="0"/>
  </r>
  <r>
    <x v="47"/>
    <s v="JPM"/>
    <s v="on 4/11/25 Before Market Eastern Standard Time"/>
    <x v="3"/>
  </r>
  <r>
    <x v="47"/>
    <s v="WFC"/>
    <s v="on 4/11/25 Before Market Eastern Standard Time"/>
    <x v="3"/>
  </r>
  <r>
    <x v="47"/>
    <s v="BK"/>
    <s v="on 4/11/25 Before Market Eastern Standard Time"/>
    <x v="3"/>
  </r>
  <r>
    <x v="47"/>
    <s v="STEC"/>
    <s v="on 4/11/25 Before Market Eastern Standard Time"/>
    <x v="0"/>
  </r>
  <r>
    <x v="47"/>
    <s v="BLK"/>
    <s v="on 4/11/25 Before Market Eastern Standard Time"/>
    <x v="3"/>
  </r>
  <r>
    <x v="47"/>
    <s v="FAST"/>
    <s v="on 4/11/25 Before Market Eastern Standard Time"/>
    <x v="3"/>
  </r>
  <r>
    <x v="47"/>
    <s v="MS"/>
    <s v="on 4/11/25 Before Market Eastern Standard Time"/>
    <x v="3"/>
  </r>
  <r>
    <x v="47"/>
    <s v="UNTY"/>
    <s v="on 4/11/25 Before Market Eastern Standard Time"/>
    <x v="1"/>
  </r>
  <r>
    <x v="47"/>
    <s v="AVD"/>
    <s v="on 4/11/25 Before Market Eastern Standard Time"/>
    <x v="0"/>
  </r>
  <r>
    <x v="48"/>
    <s v="BFRG"/>
    <s v="on 4/11/25 After Market Eastern Standard Time"/>
    <x v="0"/>
  </r>
  <r>
    <x v="48"/>
    <s v="CELU"/>
    <s v="on 4/11/25 After Market Eastern Standard Time"/>
    <x v="0"/>
  </r>
  <r>
    <x v="48"/>
    <s v="FFNTF"/>
    <s v="on 4/11/25 After Market Eastern Standard Time"/>
    <x v="0"/>
  </r>
  <r>
    <x v="48"/>
    <s v="AGAE"/>
    <s v="on 4/11/25 After Market Eastern Standard Time"/>
    <x v="0"/>
  </r>
  <r>
    <x v="48"/>
    <s v="AKTSQ"/>
    <s v="on 4/11/25 After Market Eastern Standard Time"/>
    <x v="0"/>
  </r>
  <r>
    <x v="48"/>
    <s v="PLCE"/>
    <s v="on 4/11/25 After Market Eastern Standard Time"/>
    <x v="0"/>
  </r>
  <r>
    <x v="48"/>
    <s v="CETY"/>
    <s v="on 4/11/25 After Market Eastern Standard Time"/>
    <x v="0"/>
  </r>
  <r>
    <x v="48"/>
    <s v="ADVM"/>
    <s v="on 4/11/25 After Market Eastern Standard Time"/>
    <x v="0"/>
  </r>
  <r>
    <x v="48"/>
    <s v="ZEO"/>
    <s v="on 4/11/25 After Market Eastern Standard Time"/>
    <x v="0"/>
  </r>
  <r>
    <x v="48"/>
    <s v="HIFS"/>
    <s v="on 4/11/25 After Market Eastern Standard Time"/>
    <x v="1"/>
  </r>
  <r>
    <x v="48"/>
    <s v="MAIA"/>
    <s v="on 4/11/25 After Market Eastern Standard Time"/>
    <x v="0"/>
  </r>
  <r>
    <x v="48"/>
    <s v="OLB"/>
    <s v="on 4/11/25 After Market Eastern Standard Time"/>
    <x v="0"/>
  </r>
  <r>
    <x v="48"/>
    <s v="BEEM"/>
    <s v="on 4/11/25 After Market Eastern Standard Time"/>
    <x v="0"/>
  </r>
  <r>
    <x v="48"/>
    <s v="MLSS"/>
    <s v="on 4/11/25 After Market Eastern Standard Time"/>
    <x v="0"/>
  </r>
  <r>
    <x v="48"/>
    <s v="AREC"/>
    <s v="on 4/11/25 After Market Eastern Standard Time"/>
    <x v="0"/>
  </r>
  <r>
    <x v="48"/>
    <s v="CMBM"/>
    <s v="on 4/11/25 After Market Eastern Standard Time"/>
    <x v="0"/>
  </r>
  <r>
    <x v="48"/>
    <s v="KITT"/>
    <s v="on 4/11/25 After Market Eastern Standard Time"/>
    <x v="0"/>
  </r>
  <r>
    <x v="49"/>
    <s v="KOPN"/>
    <s v="on 4/14/25 Before Market Eastern Standard Time"/>
    <x v="0"/>
  </r>
  <r>
    <x v="49"/>
    <s v="MTB"/>
    <s v="on 4/14/25 Before Market Eastern Standard Time"/>
    <x v="3"/>
  </r>
  <r>
    <x v="49"/>
    <s v="ALOT"/>
    <s v="on 4/14/25 Before Market Eastern Standard Time"/>
    <x v="0"/>
  </r>
  <r>
    <x v="49"/>
    <s v="GS"/>
    <s v="on 4/14/25 Before Market Eastern Standard Time"/>
    <x v="3"/>
  </r>
  <r>
    <x v="50"/>
    <s v="CYDY"/>
    <s v="on 4/14/25 After Market Eastern Standard Time"/>
    <x v="0"/>
  </r>
  <r>
    <x v="50"/>
    <s v="PNFP"/>
    <s v="on 4/14/25 After Market Eastern Standard Time"/>
    <x v="2"/>
  </r>
  <r>
    <x v="50"/>
    <s v="KMTS"/>
    <s v="on 4/14/25 After Market Eastern Standard Time"/>
    <x v="0"/>
  </r>
  <r>
    <x v="50"/>
    <s v="PLG"/>
    <s v="on 4/14/25 After Market Eastern Standard Time"/>
    <x v="0"/>
  </r>
  <r>
    <x v="50"/>
    <s v="SKIL"/>
    <s v="on 4/14/25 After Market Eastern Standard Time"/>
    <x v="0"/>
  </r>
  <r>
    <x v="50"/>
    <s v="APLD"/>
    <s v="on 4/14/25 After Market Eastern Standard Time"/>
    <x v="1"/>
  </r>
  <r>
    <x v="50"/>
    <s v="FBK"/>
    <s v="on 4/14/25 After Market Eastern Standard Time"/>
    <x v="1"/>
  </r>
  <r>
    <x v="51"/>
    <s v="JNJ"/>
    <s v="on 4/15/25 Before Market Eastern Standard Time"/>
    <x v="3"/>
  </r>
  <r>
    <x v="51"/>
    <s v="BAC"/>
    <s v="on 4/15/25 Before Market Eastern Standard Time"/>
    <x v="3"/>
  </r>
  <r>
    <x v="51"/>
    <s v="BDRFY"/>
    <s v="on 4/15/25 Unspecified Eastern Standard Time"/>
    <x v="0"/>
  </r>
  <r>
    <x v="51"/>
    <s v="ERIC"/>
    <s v="on 4/15/25 Before Market Eastern Standard Time"/>
    <x v="0"/>
  </r>
  <r>
    <x v="51"/>
    <s v="THCH"/>
    <s v="on 4/15/25 Before Market Eastern Standard Time"/>
    <x v="0"/>
  </r>
  <r>
    <x v="51"/>
    <s v="AREN"/>
    <s v="on 4/15/25 Before Market Eastern Standard Time"/>
    <x v="0"/>
  </r>
  <r>
    <x v="51"/>
    <s v="RENT"/>
    <s v="on 4/15/25 Before Market Eastern Standard Time"/>
    <x v="0"/>
  </r>
  <r>
    <x v="51"/>
    <s v="BSEM"/>
    <s v="on 4/15/25 Unspecified Eastern Standard Time"/>
    <x v="0"/>
  </r>
  <r>
    <x v="51"/>
    <s v="CYTOF"/>
    <s v="on 4/15/25 Before Market Eastern Standard Time"/>
    <x v="0"/>
  </r>
  <r>
    <x v="51"/>
    <s v="LU"/>
    <s v="on 4/15/25 Before Market Eastern Standard Time"/>
    <x v="0"/>
  </r>
  <r>
    <x v="51"/>
    <s v="ACI"/>
    <s v="on 4/15/25 Before Market Eastern Standard Time"/>
    <x v="0"/>
  </r>
  <r>
    <x v="51"/>
    <s v="PNC"/>
    <s v="on 4/15/25 Before Market Eastern Standard Time"/>
    <x v="3"/>
  </r>
  <r>
    <x v="51"/>
    <s v="LNZA"/>
    <s v="on 4/15/25 Unspecified Eastern Standard Time"/>
    <x v="0"/>
  </r>
  <r>
    <x v="51"/>
    <s v="AFMD"/>
    <s v="on 4/15/25 Before Market Eastern Standard Time"/>
    <x v="0"/>
  </r>
  <r>
    <x v="51"/>
    <s v="APLT"/>
    <s v="on 4/15/25 Before Market Eastern Standard Time"/>
    <x v="1"/>
  </r>
  <r>
    <x v="51"/>
    <s v="C"/>
    <s v="on 4/15/25 Before Market Eastern Standard Time"/>
    <x v="3"/>
  </r>
  <r>
    <x v="51"/>
    <s v="GMGI"/>
    <s v="on 4/15/25 Before Market Eastern Standard Time"/>
    <x v="0"/>
  </r>
  <r>
    <x v="52"/>
    <s v="FULT"/>
    <s v="on 4/15/25 After Market Eastern Standard Time"/>
    <x v="1"/>
  </r>
  <r>
    <x v="52"/>
    <s v="BLNE"/>
    <s v="on 4/15/25 After Market Eastern Standard Time"/>
    <x v="0"/>
  </r>
  <r>
    <x v="52"/>
    <s v="HWC"/>
    <s v="on 4/15/25 After Market Eastern Standard Time"/>
    <x v="1"/>
  </r>
  <r>
    <x v="52"/>
    <s v="JBHT"/>
    <s v="on 4/15/25 After Market Eastern Standard Time"/>
    <x v="3"/>
  </r>
  <r>
    <x v="52"/>
    <s v="IBKR"/>
    <s v="on 4/15/25 After Market Eastern Standard Time"/>
    <x v="2"/>
  </r>
  <r>
    <x v="52"/>
    <s v="BFC"/>
    <s v="on 4/15/25 After Market Eastern Standard Time"/>
    <x v="1"/>
  </r>
  <r>
    <x v="52"/>
    <s v="UAL"/>
    <s v="on 4/15/25 After Market Eastern Standard Time"/>
    <x v="3"/>
  </r>
  <r>
    <x v="52"/>
    <s v="MTNB"/>
    <s v="on 4/15/25 After Market Eastern Standard Time"/>
    <x v="0"/>
  </r>
  <r>
    <x v="52"/>
    <s v="EQBK"/>
    <s v="on 4/15/25 After Market Eastern Standard Time"/>
    <x v="1"/>
  </r>
  <r>
    <x v="52"/>
    <s v="KORE"/>
    <s v="on 4/15/25 After Market Eastern Standard Time"/>
    <x v="0"/>
  </r>
  <r>
    <x v="52"/>
    <s v="PPSI"/>
    <s v="on 4/15/25 After Market Eastern Standard Time"/>
    <x v="0"/>
  </r>
  <r>
    <x v="52"/>
    <s v="TTGT"/>
    <s v="on 4/15/25 After Market Eastern Standard Time"/>
    <x v="1"/>
  </r>
  <r>
    <x v="52"/>
    <s v="GAME"/>
    <s v="on 4/15/25 After Market Eastern Standard Time"/>
    <x v="0"/>
  </r>
  <r>
    <x v="52"/>
    <s v="AMX"/>
    <s v="on 4/15/25 After Market Eastern Standard Time"/>
    <x v="0"/>
  </r>
  <r>
    <x v="52"/>
    <s v="OMC"/>
    <s v="on 4/15/25 After Market Eastern Standard Time"/>
    <x v="3"/>
  </r>
  <r>
    <x v="53"/>
    <s v="CBSH"/>
    <s v="on 4/16/25 Before Market Eastern Standard Time"/>
    <x v="2"/>
  </r>
  <r>
    <x v="53"/>
    <s v="WIT"/>
    <s v="on 4/16/25 Before Market Eastern Standard Time"/>
    <x v="0"/>
  </r>
  <r>
    <x v="53"/>
    <s v="PGR"/>
    <s v="on 4/16/25 Before Market Eastern Standard Time"/>
    <x v="3"/>
  </r>
  <r>
    <x v="53"/>
    <s v="PLBC"/>
    <s v="on 4/16/25 Unspecified Eastern Standard Time"/>
    <x v="1"/>
  </r>
  <r>
    <x v="53"/>
    <s v="NRDBY"/>
    <s v="on 4/16/25 Before Market Eastern Standard Time"/>
    <x v="0"/>
  </r>
  <r>
    <x v="53"/>
    <s v="FHN"/>
    <s v="on 4/16/25 Before Market Eastern Standard Time"/>
    <x v="2"/>
  </r>
  <r>
    <x v="53"/>
    <s v="ASML"/>
    <s v="on 4/16/25 Before Market Eastern Standard Time"/>
    <x v="4"/>
  </r>
  <r>
    <x v="53"/>
    <s v="PLD"/>
    <s v="on 4/16/25 Before Market Eastern Standard Time"/>
    <x v="3"/>
  </r>
  <r>
    <x v="53"/>
    <s v="ISPC"/>
    <s v="on 4/16/25 Before Market Eastern Standard Time"/>
    <x v="0"/>
  </r>
  <r>
    <x v="53"/>
    <s v="ABT"/>
    <s v="on 4/16/25 Before Market Eastern Standard Time"/>
    <x v="3"/>
  </r>
  <r>
    <x v="53"/>
    <s v="GHG"/>
    <s v="on 4/16/25 Before Market Eastern Standard Time"/>
    <x v="0"/>
  </r>
  <r>
    <x v="53"/>
    <s v="SDVKY"/>
    <s v="on 4/16/25 Before Market Eastern Standard Time"/>
    <x v="0"/>
  </r>
  <r>
    <x v="53"/>
    <s v="MRTN"/>
    <s v="on 4/16/25 Before Market Eastern Standard Time"/>
    <x v="1"/>
  </r>
  <r>
    <x v="53"/>
    <s v="CTBI"/>
    <s v="on 4/16/25 Before Market Eastern Standard Time"/>
    <x v="1"/>
  </r>
  <r>
    <x v="53"/>
    <s v="ALV"/>
    <s v="on 4/16/25 Before Market Eastern Standard Time"/>
    <x v="2"/>
  </r>
  <r>
    <x v="53"/>
    <s v="CFG"/>
    <s v="on 4/16/25 Before Market Eastern Standard Time"/>
    <x v="3"/>
  </r>
  <r>
    <x v="53"/>
    <s v="FMNB"/>
    <s v="on 4/16/25 Before Market Eastern Standard Time"/>
    <x v="1"/>
  </r>
  <r>
    <x v="53"/>
    <s v="USB"/>
    <s v="on 4/16/25 Before Market Eastern Standard Time"/>
    <x v="3"/>
  </r>
  <r>
    <x v="53"/>
    <s v="TRV"/>
    <s v="on 4/16/25 Before Market Eastern Standard Time"/>
    <x v="3"/>
  </r>
  <r>
    <x v="54"/>
    <s v="WINA"/>
    <s v="on 4/16/25 During Market Eastern Standard Time"/>
    <x v="1"/>
  </r>
  <r>
    <x v="54"/>
    <s v="UNB"/>
    <s v="on 4/16/25 During Market Eastern Standard Time"/>
    <x v="0"/>
  </r>
  <r>
    <x v="54"/>
    <s v="HARL"/>
    <s v="on 4/16/25 During Market Eastern Standard Time"/>
    <x v="0"/>
  </r>
  <r>
    <x v="55"/>
    <s v="SNV"/>
    <s v="on 4/16/25 After Market Eastern Standard Time"/>
    <x v="2"/>
  </r>
  <r>
    <x v="55"/>
    <s v="CNS"/>
    <s v="on 4/16/25 After Market Eastern Standard Time"/>
    <x v="1"/>
  </r>
  <r>
    <x v="55"/>
    <s v="LBRT"/>
    <s v="on 4/16/25 After Market Eastern Standard Time"/>
    <x v="1"/>
  </r>
  <r>
    <x v="55"/>
    <s v="SFNC"/>
    <s v="on 4/16/25 After Market Eastern Standard Time"/>
    <x v="1"/>
  </r>
  <r>
    <x v="55"/>
    <s v="MCRI"/>
    <s v="on 4/16/25 After Market Eastern Standard Time"/>
    <x v="1"/>
  </r>
  <r>
    <x v="55"/>
    <s v="BANR"/>
    <s v="on 4/16/25 After Market Eastern Standard Time"/>
    <x v="1"/>
  </r>
  <r>
    <x v="55"/>
    <s v="TFIN"/>
    <s v="on 4/16/25 After Market Eastern Standard Time"/>
    <x v="1"/>
  </r>
  <r>
    <x v="55"/>
    <s v="HOMB"/>
    <s v="on 4/16/25 After Market Eastern Standard Time"/>
    <x v="1"/>
  </r>
  <r>
    <x v="55"/>
    <s v="FNB"/>
    <s v="on 4/16/25 After Market Eastern Standard Time"/>
    <x v="2"/>
  </r>
  <r>
    <x v="55"/>
    <s v="SLG"/>
    <s v="on 4/16/25 After Market Eastern Standard Time"/>
    <x v="1"/>
  </r>
  <r>
    <x v="55"/>
    <s v="FNLC"/>
    <s v="on 4/16/25 After Market Eastern Standard Time"/>
    <x v="1"/>
  </r>
  <r>
    <x v="55"/>
    <s v="CSX"/>
    <s v="on 4/16/25 After Market Eastern Standard Time"/>
    <x v="3"/>
  </r>
  <r>
    <x v="55"/>
    <s v="GSBC"/>
    <s v="on 4/16/25 After Market Eastern Standard Time"/>
    <x v="1"/>
  </r>
  <r>
    <x v="55"/>
    <s v="GLDG"/>
    <s v="on 4/16/25 After Market Eastern Standard Time"/>
    <x v="0"/>
  </r>
  <r>
    <x v="55"/>
    <s v="UBFO"/>
    <s v="on 4/16/25 After Market Eastern Standard Time"/>
    <x v="0"/>
  </r>
  <r>
    <x v="55"/>
    <s v="OZK"/>
    <s v="on 4/16/25 After Market Eastern Standard Time"/>
    <x v="2"/>
  </r>
  <r>
    <x v="55"/>
    <s v="FR"/>
    <s v="on 4/16/25 After Market Eastern Standard Time"/>
    <x v="2"/>
  </r>
  <r>
    <x v="55"/>
    <s v="FMCB"/>
    <s v="on 4/16/25 After Market Eastern Standard Time"/>
    <x v="0"/>
  </r>
  <r>
    <x v="55"/>
    <s v="MMLP"/>
    <s v="on 4/16/25 After Market Eastern Standard Time"/>
    <x v="0"/>
  </r>
  <r>
    <x v="55"/>
    <s v="OSBC"/>
    <s v="on 4/16/25 After Market Eastern Standard Time"/>
    <x v="1"/>
  </r>
  <r>
    <x v="55"/>
    <s v="AA"/>
    <s v="on 4/16/25 After Market Eastern Standard Time"/>
    <x v="2"/>
  </r>
  <r>
    <x v="55"/>
    <s v="REXR"/>
    <s v="on 4/16/25 After Market Eastern Standard Time"/>
    <x v="2"/>
  </r>
  <r>
    <x v="56"/>
    <s v="CNF"/>
    <s v="on 4/17/25 Before Market Eastern Standard Time"/>
    <x v="0"/>
  </r>
  <r>
    <x v="56"/>
    <s v="TSM"/>
    <s v="on 4/17/25 Before Market Eastern Standard Time"/>
    <x v="0"/>
  </r>
  <r>
    <x v="56"/>
    <s v="SCHW"/>
    <s v="on 4/17/25 Before Market Eastern Standard Time"/>
    <x v="3"/>
  </r>
  <r>
    <x v="56"/>
    <s v="NNDM"/>
    <s v="on 4/17/25 Before Market Eastern Standard Time"/>
    <x v="0"/>
  </r>
  <r>
    <x v="56"/>
    <s v="UNH"/>
    <s v="on 4/17/25 Before Market Eastern Standard Time"/>
    <x v="3"/>
  </r>
  <r>
    <x v="56"/>
    <s v="SFST"/>
    <s v="on 4/17/25 Before Market Eastern Standard Time"/>
    <x v="1"/>
  </r>
  <r>
    <x v="56"/>
    <s v="MMC"/>
    <s v="on 4/17/25 Before Market Eastern Standard Time"/>
    <x v="3"/>
  </r>
  <r>
    <x v="56"/>
    <s v="FITB"/>
    <s v="on 4/17/25 Before Market Eastern Standard Time"/>
    <x v="3"/>
  </r>
  <r>
    <x v="56"/>
    <s v="BX"/>
    <s v="on 4/17/25 Before Market Eastern Standard Time"/>
    <x v="3"/>
  </r>
  <r>
    <x v="56"/>
    <s v="KEY"/>
    <s v="on 4/17/25 Before Market Eastern Standard Time"/>
    <x v="3"/>
  </r>
  <r>
    <x v="56"/>
    <s v="RF"/>
    <s v="on 4/17/25 Before Market Eastern Standard Time"/>
    <x v="3"/>
  </r>
  <r>
    <x v="56"/>
    <s v="STT"/>
    <s v="on 4/17/25 Before Market Eastern Standard Time"/>
    <x v="3"/>
  </r>
  <r>
    <x v="56"/>
    <s v="CASS"/>
    <s v="on 4/17/25 Before Market Eastern Standard Time"/>
    <x v="1"/>
  </r>
  <r>
    <x v="56"/>
    <s v="AXP"/>
    <s v="on 4/17/25 Before Market Eastern Standard Time"/>
    <x v="3"/>
  </r>
  <r>
    <x v="56"/>
    <s v="BMI"/>
    <s v="on 4/17/25 Before Market Eastern Standard Time"/>
    <x v="1"/>
  </r>
  <r>
    <x v="56"/>
    <s v="TCBI"/>
    <s v="on 4/17/25 Before Market Eastern Standard Time"/>
    <x v="1"/>
  </r>
  <r>
    <x v="56"/>
    <s v="HOFT"/>
    <s v="on 4/17/25 Before Market Eastern Standard Time"/>
    <x v="1"/>
  </r>
  <r>
    <x v="56"/>
    <s v="BCBP"/>
    <s v="on 4/17/25 Before Market Eastern Standard Time"/>
    <x v="1"/>
  </r>
  <r>
    <x v="56"/>
    <s v="KIRK"/>
    <s v="on 4/17/25 Before Market Eastern Standard Time"/>
    <x v="0"/>
  </r>
  <r>
    <x v="56"/>
    <s v="YJ"/>
    <s v="on 4/17/25 Before Market Eastern Standard Time"/>
    <x v="0"/>
  </r>
  <r>
    <x v="56"/>
    <s v="HBAN"/>
    <s v="on 4/17/25 Before Market Eastern Standard Time"/>
    <x v="3"/>
  </r>
  <r>
    <x v="56"/>
    <s v="ACU"/>
    <s v="on 4/17/25 Before Market Eastern Standard Time"/>
    <x v="0"/>
  </r>
  <r>
    <x v="56"/>
    <s v="OMH"/>
    <s v="on 4/17/25 Before Market Eastern Standard Time"/>
    <x v="0"/>
  </r>
  <r>
    <x v="56"/>
    <s v="SNA"/>
    <s v="on 4/17/25 Before Market Eastern Standard Time"/>
    <x v="3"/>
  </r>
  <r>
    <x v="56"/>
    <s v="IIIN"/>
    <s v="on 4/17/25 Before Market Eastern Standard Time"/>
    <x v="1"/>
  </r>
  <r>
    <x v="56"/>
    <s v="TFC"/>
    <s v="on 4/17/25 Before Market Eastern Standard Time"/>
    <x v="3"/>
  </r>
  <r>
    <x v="56"/>
    <s v="ALLY"/>
    <s v="on 4/17/25 Before Market Eastern Standard Time"/>
    <x v="2"/>
  </r>
  <r>
    <x v="56"/>
    <s v="MAN"/>
    <s v="on 4/17/25 Before Market Eastern Standard Time"/>
    <x v="2"/>
  </r>
  <r>
    <x v="56"/>
    <s v="DHI"/>
    <s v="on 4/17/25 Before Market Eastern Standard Time"/>
    <x v="3"/>
  </r>
  <r>
    <x v="56"/>
    <s v="FOR"/>
    <s v="on 4/17/25 Before Market Eastern Standard Time"/>
    <x v="1"/>
  </r>
  <r>
    <x v="56"/>
    <s v="INFY"/>
    <s v="on 4/17/25 Before Market Eastern Standard Time"/>
    <x v="0"/>
  </r>
  <r>
    <x v="56"/>
    <s v="SNT"/>
    <s v="on 4/17/25 Before Market Eastern Standard Time"/>
    <x v="0"/>
  </r>
  <r>
    <x v="57"/>
    <s v="WABC"/>
    <s v="on 4/17/25 During Market Eastern Standard Time"/>
    <x v="1"/>
  </r>
  <r>
    <x v="58"/>
    <s v="INDB"/>
    <s v="on 4/17/25 After Market Eastern Standard Time"/>
    <x v="1"/>
  </r>
  <r>
    <x v="58"/>
    <s v="WAL"/>
    <s v="on 4/17/25 After Market Eastern Standard Time"/>
    <x v="2"/>
  </r>
  <r>
    <x v="58"/>
    <s v="ALK"/>
    <s v="on 4/17/25 After Market Eastern Standard Time"/>
    <x v="0"/>
  </r>
  <r>
    <x v="58"/>
    <s v="NFLX"/>
    <s v="on 4/17/25 After Market Eastern Standard Time"/>
    <x v="3"/>
  </r>
  <r>
    <x v="58"/>
    <s v="BCML"/>
    <s v="on 4/17/25 After Market Eastern Standard Time"/>
    <x v="1"/>
  </r>
  <r>
    <x v="58"/>
    <s v="FFIN"/>
    <s v="on 4/17/25 After Market Eastern Standard Time"/>
    <x v="1"/>
  </r>
  <r>
    <x v="58"/>
    <s v="PPG"/>
    <s v="on 4/17/25 After Market Eastern Standard Time"/>
    <x v="3"/>
  </r>
  <r>
    <x v="59"/>
    <s v="PKBK"/>
    <s v="on 4/18/25 Unspecified Eastern Standard Time"/>
    <x v="1"/>
  </r>
  <r>
    <x v="60"/>
    <s v="ATLO"/>
    <s v="on 4/18/25 During Market Eastern Standard Time"/>
    <x v="0"/>
  </r>
  <r>
    <x v="61"/>
    <s v="CHMG"/>
    <s v="on 4/18/25 After Market Eastern Standard Time"/>
    <x v="1"/>
  </r>
  <r>
    <x v="62"/>
    <s v="HDB"/>
    <s v="on 4/19/25 Unspecified Eastern Standard Time"/>
    <x v="0"/>
  </r>
  <r>
    <x v="62"/>
    <s v="IBN"/>
    <s v="on 4/19/25 Unspecified Eastern Standard Time"/>
    <x v="0"/>
  </r>
  <r>
    <x v="63"/>
    <s v="HBT"/>
    <s v="on 4/21/25 Before Market Eastern Standard Time"/>
    <x v="1"/>
  </r>
  <r>
    <x v="63"/>
    <s v="PEBK"/>
    <s v="on 4/21/25 Before Market Eastern Standard Time"/>
    <x v="0"/>
  </r>
  <r>
    <x v="63"/>
    <s v="VLRS"/>
    <s v="on 4/21/25 Before Market Eastern Standard Time"/>
    <x v="0"/>
  </r>
  <r>
    <x v="63"/>
    <s v="CCBG"/>
    <s v="on 4/21/25 Before Market Eastern Standard Time"/>
    <x v="1"/>
  </r>
  <r>
    <x v="63"/>
    <s v="CMA"/>
    <s v="on 4/21/25 Before Market Eastern Standard Time"/>
    <x v="0"/>
  </r>
  <r>
    <x v="63"/>
    <s v="DX"/>
    <s v="on 4/21/25 Before Market Eastern Standard Time"/>
    <x v="1"/>
  </r>
  <r>
    <x v="63"/>
    <s v="KSPI"/>
    <s v="on 4/21/25 Before Market Eastern Standard Time"/>
    <x v="0"/>
  </r>
  <r>
    <x v="63"/>
    <s v="BOH"/>
    <s v="on 4/21/25 Before Market Eastern Standard Time"/>
    <x v="1"/>
  </r>
  <r>
    <x v="63"/>
    <s v="SSBK"/>
    <s v="on 4/21/25 Before Market Eastern Standard Time"/>
    <x v="1"/>
  </r>
  <r>
    <x v="63"/>
    <s v="GNTY"/>
    <s v="on 4/21/25 Before Market Eastern Standard Time"/>
    <x v="1"/>
  </r>
  <r>
    <x v="64"/>
    <s v="MCBS"/>
    <s v="on 4/21/25 During Market Eastern Standard Time"/>
    <x v="1"/>
  </r>
  <r>
    <x v="65"/>
    <s v="SMBK"/>
    <s v="on 4/21/25 After Market Eastern Standard Time"/>
    <x v="1"/>
  </r>
  <r>
    <x v="65"/>
    <s v="CBNK"/>
    <s v="on 4/21/25 After Market Eastern Standard Time"/>
    <x v="1"/>
  </r>
  <r>
    <x v="65"/>
    <s v="CCNE"/>
    <s v="on 4/21/25 After Market Eastern Standard Time"/>
    <x v="1"/>
  </r>
  <r>
    <x v="65"/>
    <s v="ZION"/>
    <s v="on 4/21/25 After Market Eastern Standard Time"/>
    <x v="2"/>
  </r>
  <r>
    <x v="65"/>
    <s v="SFBS"/>
    <s v="on 4/21/25 After Market Eastern Standard Time"/>
    <x v="1"/>
  </r>
  <r>
    <x v="65"/>
    <s v="CADE"/>
    <s v="on 4/21/25 After Market Eastern Standard Time"/>
    <x v="1"/>
  </r>
  <r>
    <x v="65"/>
    <s v="BOKF"/>
    <s v="on 4/21/25 After Market Eastern Standard Time"/>
    <x v="0"/>
  </r>
  <r>
    <x v="65"/>
    <s v="AGNC"/>
    <s v="on 4/21/25 After Market Eastern Standard Time"/>
    <x v="0"/>
  </r>
  <r>
    <x v="65"/>
    <s v="TRST"/>
    <s v="on 4/21/25 After Market Eastern Standard Time"/>
    <x v="1"/>
  </r>
  <r>
    <x v="65"/>
    <s v="HSTM"/>
    <s v="on 4/21/25 After Market Eastern Standard Time"/>
    <x v="1"/>
  </r>
  <r>
    <x v="65"/>
    <s v="OVLY"/>
    <s v="on 4/21/25 After Market Eastern Standard Time"/>
    <x v="1"/>
  </r>
  <r>
    <x v="65"/>
    <s v="MEDP"/>
    <s v="on 4/21/25 After Market Eastern Standard Time"/>
    <x v="2"/>
  </r>
  <r>
    <x v="65"/>
    <s v="CATY"/>
    <s v="on 4/21/25 After Market Eastern Standard Time"/>
    <x v="1"/>
  </r>
  <r>
    <x v="65"/>
    <s v="HBCP"/>
    <s v="on 4/21/25 After Market Eastern Standard Time"/>
    <x v="1"/>
  </r>
  <r>
    <x v="65"/>
    <s v="ELS"/>
    <s v="on 4/21/25 After Market Eastern Standard Time"/>
    <x v="2"/>
  </r>
  <r>
    <x v="65"/>
    <s v="AZZ"/>
    <s v="on 4/21/25 After Market Eastern Standard Time"/>
    <x v="1"/>
  </r>
  <r>
    <x v="65"/>
    <s v="CFB"/>
    <s v="on 4/21/25 After Market Eastern Standard Time"/>
    <x v="1"/>
  </r>
  <r>
    <x v="65"/>
    <s v="LSBK"/>
    <s v="on 4/21/25 After Market Eastern Standard Time"/>
    <x v="0"/>
  </r>
  <r>
    <x v="65"/>
    <s v="AMTD"/>
    <s v="on 4/21/25 After Market Eastern Standard Time"/>
    <x v="0"/>
  </r>
  <r>
    <x v="65"/>
    <s v="ISTR"/>
    <s v="on 4/21/25 After Market Eastern Standard Time"/>
    <x v="1"/>
  </r>
  <r>
    <x v="65"/>
    <s v="FUNC"/>
    <s v="on 4/21/25 After Market Eastern Standard Time"/>
    <x v="0"/>
  </r>
  <r>
    <x v="65"/>
    <s v="CALX"/>
    <s v="on 4/21/25 After Market Eastern Standard Time"/>
    <x v="1"/>
  </r>
  <r>
    <x v="65"/>
    <s v="PTEN"/>
    <s v="on 4/21/25 After Market Eastern Standard Time"/>
    <x v="1"/>
  </r>
  <r>
    <x v="65"/>
    <s v="WASH"/>
    <s v="on 4/21/25 After Market Eastern Standard Time"/>
    <x v="1"/>
  </r>
  <r>
    <x v="65"/>
    <s v="RBB"/>
    <s v="on 4/21/25 After Market Eastern Standard Time"/>
    <x v="1"/>
  </r>
  <r>
    <x v="65"/>
    <s v="FLXS"/>
    <s v="on 4/21/25 After Market Eastern Standard Time"/>
    <x v="1"/>
  </r>
  <r>
    <x v="65"/>
    <s v="WTFC"/>
    <s v="on 4/21/25 After Market Eastern Standard Time"/>
    <x v="2"/>
  </r>
  <r>
    <x v="65"/>
    <s v="WRB"/>
    <s v="on 4/21/25 After Market Eastern Standard Time"/>
    <x v="3"/>
  </r>
  <r>
    <x v="65"/>
    <s v="CLF"/>
    <s v="on 4/21/25 After Market Eastern Standard Time"/>
    <x v="2"/>
  </r>
  <r>
    <x v="65"/>
    <s v="HXL"/>
    <s v="on 4/21/25 After Market Eastern Standard Time"/>
    <x v="2"/>
  </r>
  <r>
    <x v="66"/>
    <s v="SAP"/>
    <s v="on 4/22/25 Unspecified Eastern Standard Time"/>
    <x v="0"/>
  </r>
  <r>
    <x v="66"/>
    <s v="XIFR"/>
    <s v="on 4/22/25 Unspecified Eastern Standard Time"/>
    <x v="0"/>
  </r>
  <r>
    <x v="66"/>
    <s v="IRDM"/>
    <s v="on 4/22/25 Before Market Eastern Standard Time"/>
    <x v="2"/>
  </r>
  <r>
    <x v="66"/>
    <s v="NOC"/>
    <s v="on 4/22/25 Before Market Eastern Standard Time"/>
    <x v="3"/>
  </r>
  <r>
    <x v="66"/>
    <s v="KNSA"/>
    <s v="on 4/22/25 Before Market Eastern Standard Time"/>
    <x v="1"/>
  </r>
  <r>
    <x v="66"/>
    <s v="MBWM"/>
    <s v="on 4/22/25 Before Market Eastern Standard Time"/>
    <x v="1"/>
  </r>
  <r>
    <x v="66"/>
    <s v="GE"/>
    <s v="on 4/22/25 Before Market Eastern Standard Time"/>
    <x v="3"/>
  </r>
  <r>
    <x v="66"/>
    <s v="DGX"/>
    <s v="on 4/22/25 Before Market Eastern Standard Time"/>
    <x v="3"/>
  </r>
  <r>
    <x v="66"/>
    <s v="NEE"/>
    <s v="on 4/22/25 Before Market Eastern Standard Time"/>
    <x v="3"/>
  </r>
  <r>
    <x v="66"/>
    <s v="FI"/>
    <s v="on 4/22/25 Before Market Eastern Standard Time"/>
    <x v="3"/>
  </r>
  <r>
    <x v="66"/>
    <s v="ELV"/>
    <s v="on 4/22/25 Before Market Eastern Standard Time"/>
    <x v="3"/>
  </r>
  <r>
    <x v="66"/>
    <s v="MSCI"/>
    <s v="on 4/22/25 Before Market Eastern Standard Time"/>
    <x v="3"/>
  </r>
  <r>
    <x v="66"/>
    <s v="GPC"/>
    <s v="on 4/22/25 Before Market Eastern Standard Time"/>
    <x v="3"/>
  </r>
  <r>
    <x v="66"/>
    <s v="IVZ"/>
    <s v="on 4/22/25 Before Market Eastern Standard Time"/>
    <x v="3"/>
  </r>
  <r>
    <x v="66"/>
    <s v="KMB"/>
    <s v="on 4/22/25 Before Market Eastern Standard Time"/>
    <x v="3"/>
  </r>
  <r>
    <x v="66"/>
    <s v="SYF"/>
    <s v="on 4/22/25 Before Market Eastern Standard Time"/>
    <x v="3"/>
  </r>
  <r>
    <x v="66"/>
    <s v="ASRV"/>
    <s v="on 4/22/25 Before Market Eastern Standard Time"/>
    <x v="0"/>
  </r>
  <r>
    <x v="66"/>
    <s v="VMI"/>
    <s v="on 4/22/25 Before Market Eastern Standard Time"/>
    <x v="2"/>
  </r>
  <r>
    <x v="66"/>
    <s v="CHCO"/>
    <s v="on 4/22/25 Before Market Eastern Standard Time"/>
    <x v="1"/>
  </r>
  <r>
    <x v="66"/>
    <s v="JBLU"/>
    <s v="on 4/22/25 Before Market Eastern Standard Time"/>
    <x v="1"/>
  </r>
  <r>
    <x v="66"/>
    <s v="LMT"/>
    <s v="on 4/22/25 Before Market Eastern Standard Time"/>
    <x v="3"/>
  </r>
  <r>
    <x v="66"/>
    <s v="NVR"/>
    <s v="on 4/22/25 Before Market Eastern Standard Time"/>
    <x v="3"/>
  </r>
  <r>
    <x v="66"/>
    <s v="HRI"/>
    <s v="on 4/22/25 Before Market Eastern Standard Time"/>
    <x v="1"/>
  </r>
  <r>
    <x v="66"/>
    <s v="NEP"/>
    <s v="on 4/22/25 Unspecified Eastern Standard Time"/>
    <x v="0"/>
  </r>
  <r>
    <x v="66"/>
    <s v="PHM"/>
    <s v="on 4/22/25 Before Market Eastern Standard Time"/>
    <x v="3"/>
  </r>
  <r>
    <x v="66"/>
    <s v="EFX"/>
    <s v="on 4/22/25 Before Market Eastern Standard Time"/>
    <x v="3"/>
  </r>
  <r>
    <x v="66"/>
    <s v="MLI"/>
    <s v="on 4/22/25 Before Market Eastern Standard Time"/>
    <x v="1"/>
  </r>
  <r>
    <x v="66"/>
    <s v="SIFY"/>
    <s v="on 4/22/25 Before Market Eastern Standard Time"/>
    <x v="0"/>
  </r>
  <r>
    <x v="66"/>
    <s v="VZ"/>
    <s v="on 4/22/25 Before Market Eastern Standard Time"/>
    <x v="3"/>
  </r>
  <r>
    <x v="66"/>
    <s v="ONB"/>
    <s v="on 4/22/25 Before Market Eastern Standard Time"/>
    <x v="1"/>
  </r>
  <r>
    <x v="66"/>
    <s v="DHR"/>
    <s v="on 4/22/25 Before Market Eastern Standard Time"/>
    <x v="3"/>
  </r>
  <r>
    <x v="66"/>
    <s v="HTLD"/>
    <s v="on 4/22/25 Before Market Eastern Standard Time"/>
    <x v="1"/>
  </r>
  <r>
    <x v="66"/>
    <s v="DCOM"/>
    <s v="on 4/22/25 Before Market Eastern Standard Time"/>
    <x v="1"/>
  </r>
  <r>
    <x v="66"/>
    <s v="PEBO"/>
    <s v="on 4/22/25 Before Market Eastern Standard Time"/>
    <x v="1"/>
  </r>
  <r>
    <x v="66"/>
    <s v="HAL"/>
    <s v="on 4/22/25 Before Market Eastern Standard Time"/>
    <x v="3"/>
  </r>
  <r>
    <x v="66"/>
    <s v="RTX"/>
    <s v="on 4/22/25 Before Market Eastern Standard Time"/>
    <x v="3"/>
  </r>
  <r>
    <x v="66"/>
    <s v="UCB"/>
    <s v="on 4/22/25 Before Market Eastern Standard Time"/>
    <x v="1"/>
  </r>
  <r>
    <x v="66"/>
    <s v="NTRS"/>
    <s v="on 4/22/25 Before Market Eastern Standard Time"/>
    <x v="3"/>
  </r>
  <r>
    <x v="67"/>
    <s v="GCBC"/>
    <s v="on 4/22/25 During Market Eastern Standard Time"/>
    <x v="1"/>
  </r>
  <r>
    <x v="68"/>
    <s v="FVCB"/>
    <s v="on 4/22/25 After Market Eastern Standard Time"/>
    <x v="1"/>
  </r>
  <r>
    <x v="68"/>
    <s v="COF"/>
    <s v="on 4/22/25 After Market Eastern Standard Time"/>
    <x v="3"/>
  </r>
  <r>
    <x v="68"/>
    <s v="NIC"/>
    <s v="on 4/22/25 After Market Eastern Standard Time"/>
    <x v="1"/>
  </r>
  <r>
    <x v="68"/>
    <s v="MANH"/>
    <s v="on 4/22/25 After Market Eastern Standard Time"/>
    <x v="2"/>
  </r>
  <r>
    <x v="68"/>
    <s v="NTB"/>
    <s v="on 4/22/25 After Market Eastern Standard Time"/>
    <x v="1"/>
  </r>
  <r>
    <x v="68"/>
    <s v="FRAF"/>
    <s v="on 4/22/25 After Market Eastern Standard Time"/>
    <x v="0"/>
  </r>
  <r>
    <x v="68"/>
    <s v="RRC"/>
    <s v="on 4/22/25 After Market Eastern Standard Time"/>
    <x v="2"/>
  </r>
  <r>
    <x v="68"/>
    <s v="FCF"/>
    <s v="on 4/22/25 After Market Eastern Standard Time"/>
    <x v="1"/>
  </r>
  <r>
    <x v="68"/>
    <s v="ASR"/>
    <s v="on 4/22/25 After Market Eastern Standard Time"/>
    <x v="0"/>
  </r>
  <r>
    <x v="68"/>
    <s v="PFC"/>
    <s v="on 4/22/25 After Market Eastern Standard Time"/>
    <x v="1"/>
  </r>
  <r>
    <x v="68"/>
    <s v="EQT"/>
    <s v="on 4/22/25 After Market Eastern Standard Time"/>
    <x v="3"/>
  </r>
  <r>
    <x v="68"/>
    <s v="KREF"/>
    <s v="on 4/22/25 After Market Eastern Standard Time"/>
    <x v="1"/>
  </r>
  <r>
    <x v="68"/>
    <s v="EWBC"/>
    <s v="on 4/22/25 After Market Eastern Standard Time"/>
    <x v="2"/>
  </r>
  <r>
    <x v="68"/>
    <s v="BDN"/>
    <s v="on 4/22/25 After Market Eastern Standard Time"/>
    <x v="1"/>
  </r>
  <r>
    <x v="68"/>
    <s v="BUSE"/>
    <s v="on 4/22/25 After Market Eastern Standard Time"/>
    <x v="1"/>
  </r>
  <r>
    <x v="68"/>
    <s v="IEX"/>
    <s v="on 4/22/25 After Market Eastern Standard Time"/>
    <x v="3"/>
  </r>
  <r>
    <x v="68"/>
    <s v="ADC"/>
    <s v="on 4/22/25 After Market Eastern Standard Time"/>
    <x v="2"/>
  </r>
  <r>
    <x v="68"/>
    <s v="PGC"/>
    <s v="on 4/22/25 After Market Eastern Standard Time"/>
    <x v="1"/>
  </r>
  <r>
    <x v="68"/>
    <s v="BKR"/>
    <s v="on 4/22/25 After Market Eastern Standard Time"/>
    <x v="3"/>
  </r>
  <r>
    <x v="68"/>
    <s v="QCRH"/>
    <s v="on 4/22/25 After Market Eastern Standard Time"/>
    <x v="1"/>
  </r>
  <r>
    <x v="68"/>
    <s v="WFRD"/>
    <s v="on 4/22/25 After Market Eastern Standard Time"/>
    <x v="2"/>
  </r>
  <r>
    <x v="68"/>
    <s v="ISRG"/>
    <s v="on 4/22/25 After Market Eastern Standard Time"/>
    <x v="3"/>
  </r>
  <r>
    <x v="68"/>
    <s v="FRBA"/>
    <s v="on 4/22/25 After Market Eastern Standard Time"/>
    <x v="1"/>
  </r>
  <r>
    <x v="68"/>
    <s v="CB"/>
    <s v="on 4/22/25 After Market Eastern Standard Time"/>
    <x v="3"/>
  </r>
  <r>
    <x v="68"/>
    <s v="STLD"/>
    <s v="on 4/22/25 After Market Eastern Standard Time"/>
    <x v="3"/>
  </r>
  <r>
    <x v="68"/>
    <s v="ENPH"/>
    <s v="on 4/22/25 After Market Eastern Standard Time"/>
    <x v="3"/>
  </r>
  <r>
    <x v="68"/>
    <s v="NBHC"/>
    <s v="on 4/22/25 After Market Eastern Standard Time"/>
    <x v="1"/>
  </r>
  <r>
    <x v="68"/>
    <s v="WNEB"/>
    <s v="on 4/22/25 After Market Eastern Standard Time"/>
    <x v="0"/>
  </r>
  <r>
    <x v="68"/>
    <s v="ZWS"/>
    <s v="on 4/22/25 After Market Eastern Standard Time"/>
    <x v="1"/>
  </r>
  <r>
    <x v="68"/>
    <s v="TRMK"/>
    <s v="on 4/22/25 After Market Eastern Standard Time"/>
    <x v="1"/>
  </r>
  <r>
    <x v="68"/>
    <s v="TSLA"/>
    <s v="on 4/22/25 After Market Eastern Standard Time"/>
    <x v="3"/>
  </r>
  <r>
    <x v="68"/>
    <s v="WAFD"/>
    <s v="on 4/22/25 After Market Eastern Standard Time"/>
    <x v="1"/>
  </r>
  <r>
    <x v="68"/>
    <s v="MSFT"/>
    <s v="on 4/22/25 After Market Eastern Standard Time"/>
    <x v="3"/>
  </r>
  <r>
    <x v="68"/>
    <s v="VICR"/>
    <s v="on 4/22/25 After Market Eastern Standard Time"/>
    <x v="1"/>
  </r>
  <r>
    <x v="68"/>
    <s v="NPB"/>
    <s v="on 4/22/25 After Market Eastern Standard Time"/>
    <x v="0"/>
  </r>
  <r>
    <x v="68"/>
    <s v="MIND"/>
    <s v="on 4/22/25 After Market Eastern Standard Time"/>
    <x v="0"/>
  </r>
  <r>
    <x v="68"/>
    <s v="NANX"/>
    <s v="on 4/22/25 After Market Eastern Standard Time"/>
    <x v="0"/>
  </r>
  <r>
    <x v="68"/>
    <s v="PKG"/>
    <s v="on 4/22/25 After Market Eastern Standard Time"/>
    <x v="3"/>
  </r>
  <r>
    <x v="69"/>
    <s v="FANUY"/>
    <s v="on 4/23/25 Unspecified Eastern Standard Time"/>
    <x v="0"/>
  </r>
  <r>
    <x v="69"/>
    <s v="BPOP"/>
    <s v="on 4/23/25 Before Market Eastern Standard Time"/>
    <x v="0"/>
  </r>
  <r>
    <x v="69"/>
    <s v="MAS"/>
    <s v="on 4/23/25 Before Market Eastern Standard Time"/>
    <x v="3"/>
  </r>
  <r>
    <x v="69"/>
    <s v="BSX"/>
    <s v="on 4/23/25 Before Market Eastern Standard Time"/>
    <x v="3"/>
  </r>
  <r>
    <x v="69"/>
    <s v="PB"/>
    <s v="on 4/23/25 Before Market Eastern Standard Time"/>
    <x v="2"/>
  </r>
  <r>
    <x v="69"/>
    <s v="HCSG"/>
    <s v="on 4/23/25 Before Market Eastern Standard Time"/>
    <x v="1"/>
  </r>
  <r>
    <x v="69"/>
    <s v="SYBT"/>
    <s v="on 4/23/25 Before Market Eastern Standard Time"/>
    <x v="1"/>
  </r>
  <r>
    <x v="69"/>
    <s v="CHKP"/>
    <s v="on 4/23/25 Before Market Eastern Standard Time"/>
    <x v="0"/>
  </r>
  <r>
    <x v="69"/>
    <s v="RCI"/>
    <s v="on 4/23/25 Before Market Eastern Standard Time"/>
    <x v="0"/>
  </r>
  <r>
    <x v="69"/>
    <s v="BG"/>
    <s v="on 4/23/25 Before Market Eastern Standard Time"/>
    <x v="3"/>
  </r>
  <r>
    <x v="69"/>
    <s v="CPF"/>
    <s v="on 4/23/25 Before Market Eastern Standard Time"/>
    <x v="1"/>
  </r>
  <r>
    <x v="69"/>
    <s v="TMHC"/>
    <s v="on 4/23/25 Before Market Eastern Standard Time"/>
    <x v="1"/>
  </r>
  <r>
    <x v="69"/>
    <s v="AKZOY"/>
    <s v="on 4/23/25 Before Market Eastern Standard Time"/>
    <x v="0"/>
  </r>
  <r>
    <x v="69"/>
    <s v="TEL"/>
    <s v="on 4/23/25 Before Market Eastern Standard Time"/>
    <x v="3"/>
  </r>
  <r>
    <x v="69"/>
    <s v="UMC"/>
    <s v="on 4/23/25 Before Market Eastern Standard Time"/>
    <x v="0"/>
  </r>
  <r>
    <x v="69"/>
    <s v="VIRT"/>
    <s v="on 4/23/25 Before Market Eastern Standard Time"/>
    <x v="0"/>
  </r>
  <r>
    <x v="69"/>
    <s v="OC"/>
    <s v="on 4/23/25 Before Market Eastern Standard Time"/>
    <x v="2"/>
  </r>
  <r>
    <x v="69"/>
    <s v="VRT"/>
    <s v="on 4/23/25 Before Market Eastern Standard Time"/>
    <x v="0"/>
  </r>
  <r>
    <x v="69"/>
    <s v="GEV"/>
    <s v="on 4/23/25 Before Market Eastern Standard Time"/>
    <x v="3"/>
  </r>
  <r>
    <x v="69"/>
    <s v="JMSB"/>
    <s v="on 4/23/25 Before Market Eastern Standard Time"/>
    <x v="1"/>
  </r>
  <r>
    <x v="69"/>
    <s v="APH"/>
    <s v="on 4/23/25 Before Market Eastern Standard Time"/>
    <x v="3"/>
  </r>
  <r>
    <x v="69"/>
    <s v="CSTM"/>
    <s v="on 4/23/25 Before Market Eastern Standard Time"/>
    <x v="1"/>
  </r>
  <r>
    <x v="69"/>
    <s v="UNLRY"/>
    <s v="on 4/23/25 Unspecified Eastern Standard Time"/>
    <x v="0"/>
  </r>
  <r>
    <x v="69"/>
    <s v="WIMI"/>
    <s v="on 4/23/25 Before Market Eastern Standard Time"/>
    <x v="0"/>
  </r>
  <r>
    <x v="69"/>
    <s v="FHB"/>
    <s v="on 4/23/25 Before Market Eastern Standard Time"/>
    <x v="0"/>
  </r>
  <r>
    <x v="69"/>
    <s v="TMO"/>
    <s v="on 4/23/25 Before Market Eastern Standard Time"/>
    <x v="3"/>
  </r>
  <r>
    <x v="69"/>
    <s v="NSC"/>
    <s v="on 4/23/25 Before Market Eastern Standard Time"/>
    <x v="3"/>
  </r>
  <r>
    <x v="69"/>
    <s v="HNVR"/>
    <s v="on 4/23/25 Before Market Eastern Standard Time"/>
    <x v="0"/>
  </r>
  <r>
    <x v="69"/>
    <s v="AVY"/>
    <s v="on 4/23/25 Before Market Eastern Standard Time"/>
    <x v="3"/>
  </r>
  <r>
    <x v="69"/>
    <s v="OFG"/>
    <s v="on 4/23/25 Before Market Eastern Standard Time"/>
    <x v="1"/>
  </r>
  <r>
    <x v="69"/>
    <s v="PERF"/>
    <s v="on 4/23/25 Before Market Eastern Standard Time"/>
    <x v="0"/>
  </r>
  <r>
    <x v="69"/>
    <s v="EDU"/>
    <s v="on 4/23/25 Before Market Eastern Standard Time"/>
    <x v="0"/>
  </r>
  <r>
    <x v="69"/>
    <s v="R"/>
    <s v="on 4/23/25 Before Market Eastern Standard Time"/>
    <x v="2"/>
  </r>
  <r>
    <x v="69"/>
    <s v="ETR"/>
    <s v="on 4/23/25 Before Market Eastern Standard Time"/>
    <x v="3"/>
  </r>
  <r>
    <x v="69"/>
    <s v="BA"/>
    <s v="on 4/23/25 Before Market Eastern Standard Time"/>
    <x v="3"/>
  </r>
  <r>
    <x v="69"/>
    <s v="HTB"/>
    <s v="on 4/23/25 Before Market Eastern Standard Time"/>
    <x v="0"/>
  </r>
  <r>
    <x v="69"/>
    <s v="MHO"/>
    <s v="on 4/23/25 Before Market Eastern Standard Time"/>
    <x v="1"/>
  </r>
  <r>
    <x v="69"/>
    <s v="GPI"/>
    <s v="on 4/23/25 Before Market Eastern Standard Time"/>
    <x v="1"/>
  </r>
  <r>
    <x v="69"/>
    <s v="ASAZY"/>
    <s v="on 4/23/25 Before Market Eastern Standard Time"/>
    <x v="0"/>
  </r>
  <r>
    <x v="69"/>
    <s v="ODFL"/>
    <s v="on 4/23/25 Before Market Eastern Standard Time"/>
    <x v="3"/>
  </r>
  <r>
    <x v="69"/>
    <s v="TDY"/>
    <s v="on 4/23/25 Before Market Eastern Standard Time"/>
    <x v="3"/>
  </r>
  <r>
    <x v="69"/>
    <s v="SLAB"/>
    <s v="on 4/23/25 Before Market Eastern Standard Time"/>
    <x v="1"/>
  </r>
  <r>
    <x v="69"/>
    <s v="PRG"/>
    <s v="on 4/23/25 Before Market Eastern Standard Time"/>
    <x v="1"/>
  </r>
  <r>
    <x v="69"/>
    <s v="CME"/>
    <s v="on 4/23/25 Before Market Eastern Standard Time"/>
    <x v="3"/>
  </r>
  <r>
    <x v="69"/>
    <s v="HTBI"/>
    <s v="on 4/23/25 Before Market Eastern Standard Time"/>
    <x v="1"/>
  </r>
  <r>
    <x v="69"/>
    <s v="TNL"/>
    <s v="on 4/23/25 Before Market Eastern Standard Time"/>
    <x v="2"/>
  </r>
  <r>
    <x v="69"/>
    <s v="LAD"/>
    <s v="on 4/23/25 Before Market Eastern Standard Time"/>
    <x v="2"/>
  </r>
  <r>
    <x v="69"/>
    <s v="FCCO"/>
    <s v="on 4/23/25 Before Market Eastern Standard Time"/>
    <x v="0"/>
  </r>
  <r>
    <x v="69"/>
    <s v="ADSE"/>
    <s v="on 4/23/25 Before Market Eastern Standard Time"/>
    <x v="0"/>
  </r>
  <r>
    <x v="69"/>
    <s v="GD"/>
    <s v="on 4/23/25 Before Market Eastern Standard Time"/>
    <x v="3"/>
  </r>
  <r>
    <x v="69"/>
    <s v="WAB"/>
    <s v="on 4/23/25 Before Market Eastern Standard Time"/>
    <x v="3"/>
  </r>
  <r>
    <x v="69"/>
    <s v="T"/>
    <s v="on 4/23/25 Before Market Eastern Standard Time"/>
    <x v="3"/>
  </r>
  <r>
    <x v="69"/>
    <s v="CFFN"/>
    <s v="on 4/23/25 Before Market Eastern Standard Time"/>
    <x v="1"/>
  </r>
  <r>
    <x v="69"/>
    <s v="VLVLY"/>
    <s v="on 4/23/25 Before Market Eastern Standard Time"/>
    <x v="0"/>
  </r>
  <r>
    <x v="69"/>
    <s v="GATX"/>
    <s v="on 4/23/25 Before Market Eastern Standard Time"/>
    <x v="1"/>
  </r>
  <r>
    <x v="69"/>
    <s v="LII"/>
    <s v="on 4/23/25 Before Market Eastern Standard Time"/>
    <x v="2"/>
  </r>
  <r>
    <x v="69"/>
    <s v="TZOO"/>
    <s v="on 4/23/25 Before Market Eastern Standard Time"/>
    <x v="0"/>
  </r>
  <r>
    <x v="69"/>
    <s v="PM"/>
    <s v="on 4/23/25 Before Market Eastern Standard Time"/>
    <x v="3"/>
  </r>
  <r>
    <x v="69"/>
    <s v="COOP"/>
    <s v="on 4/23/25 Before Market Eastern Standard Time"/>
    <x v="1"/>
  </r>
  <r>
    <x v="70"/>
    <s v="SOMC"/>
    <s v="on 4/23/25 During Market Eastern Standard Time"/>
    <x v="0"/>
  </r>
  <r>
    <x v="71"/>
    <s v="FE"/>
    <s v="on 4/23/25 After Market Eastern Standard Time"/>
    <x v="3"/>
  </r>
  <r>
    <x v="71"/>
    <s v="GGG"/>
    <s v="on 4/23/25 After Market Eastern Standard Time"/>
    <x v="2"/>
  </r>
  <r>
    <x v="71"/>
    <s v="IBM"/>
    <s v="on 4/23/25 After Market Eastern Standard Time"/>
    <x v="3"/>
  </r>
  <r>
    <x v="71"/>
    <s v="WCN"/>
    <s v="on 4/23/25 After Market Eastern Standard Time"/>
    <x v="0"/>
  </r>
  <r>
    <x v="71"/>
    <s v="PMT"/>
    <s v="on 4/23/25 After Market Eastern Standard Time"/>
    <x v="1"/>
  </r>
  <r>
    <x v="71"/>
    <s v="CCS"/>
    <s v="on 4/23/25 After Market Eastern Standard Time"/>
    <x v="1"/>
  </r>
  <r>
    <x v="71"/>
    <s v="LGCL"/>
    <s v="on 4/23/25 After Market Eastern Standard Time"/>
    <x v="0"/>
  </r>
  <r>
    <x v="71"/>
    <s v="BANC"/>
    <s v="on 4/23/25 After Market Eastern Standard Time"/>
    <x v="1"/>
  </r>
  <r>
    <x v="71"/>
    <s v="PFBC"/>
    <s v="on 4/23/25 After Market Eastern Standard Time"/>
    <x v="1"/>
  </r>
  <r>
    <x v="71"/>
    <s v="VIST"/>
    <s v="on 4/23/25 After Market Eastern Standard Time"/>
    <x v="0"/>
  </r>
  <r>
    <x v="71"/>
    <s v="EGBN"/>
    <s v="on 4/23/25 After Market Eastern Standard Time"/>
    <x v="1"/>
  </r>
  <r>
    <x v="71"/>
    <s v="WU"/>
    <s v="on 4/23/25 After Market Eastern Standard Time"/>
    <x v="2"/>
  </r>
  <r>
    <x v="71"/>
    <s v="MTH"/>
    <s v="on 4/23/25 After Market Eastern Standard Time"/>
    <x v="1"/>
  </r>
  <r>
    <x v="71"/>
    <s v="QS"/>
    <s v="on 4/23/25 After Market Eastern Standard Time"/>
    <x v="0"/>
  </r>
  <r>
    <x v="71"/>
    <s v="ATNI"/>
    <s v="on 4/23/25 After Market Eastern Standard Time"/>
    <x v="1"/>
  </r>
  <r>
    <x v="71"/>
    <s v="ROL"/>
    <s v="on 4/23/25 After Market Eastern Standard Time"/>
    <x v="3"/>
  </r>
  <r>
    <x v="71"/>
    <s v="SNBR"/>
    <s v="on 4/23/25 After Market Eastern Standard Time"/>
    <x v="1"/>
  </r>
  <r>
    <x v="71"/>
    <s v="SLM"/>
    <s v="on 4/23/25 After Market Eastern Standard Time"/>
    <x v="2"/>
  </r>
  <r>
    <x v="71"/>
    <s v="AMTB"/>
    <s v="on 4/23/25 After Market Eastern Standard Time"/>
    <x v="1"/>
  </r>
  <r>
    <x v="71"/>
    <s v="LVS"/>
    <s v="on 4/23/25 After Market Eastern Standard Time"/>
    <x v="3"/>
  </r>
  <r>
    <x v="71"/>
    <s v="MOH"/>
    <s v="on 4/23/25 After Market Eastern Standard Time"/>
    <x v="3"/>
  </r>
  <r>
    <x v="71"/>
    <s v="RJF"/>
    <s v="on 4/23/25 After Market Eastern Standard Time"/>
    <x v="3"/>
  </r>
  <r>
    <x v="71"/>
    <s v="STC"/>
    <s v="on 4/23/25 After Market Eastern Standard Time"/>
    <x v="1"/>
  </r>
  <r>
    <x v="71"/>
    <s v="UVSP"/>
    <s v="on 4/23/25 After Market Eastern Standard Time"/>
    <x v="1"/>
  </r>
  <r>
    <x v="71"/>
    <s v="MPB"/>
    <s v="on 4/23/25 After Market Eastern Standard Time"/>
    <x v="1"/>
  </r>
  <r>
    <x v="71"/>
    <s v="EW"/>
    <s v="on 4/23/25 After Market Eastern Standard Time"/>
    <x v="3"/>
  </r>
  <r>
    <x v="71"/>
    <s v="NEM"/>
    <s v="on 4/23/25 After Market Eastern Standard Time"/>
    <x v="3"/>
  </r>
  <r>
    <x v="71"/>
    <s v="CP"/>
    <s v="on 4/23/25 After Market Eastern Standard Time"/>
    <x v="0"/>
  </r>
  <r>
    <x v="71"/>
    <s v="TR"/>
    <s v="on 4/23/25 After Market Eastern Standard Time"/>
    <x v="0"/>
  </r>
  <r>
    <x v="71"/>
    <s v="RLI"/>
    <s v="on 4/23/25 After Market Eastern Standard Time"/>
    <x v="2"/>
  </r>
  <r>
    <x v="71"/>
    <s v="CHDN"/>
    <s v="on 4/23/25 After Market Eastern Standard Time"/>
    <x v="2"/>
  </r>
  <r>
    <x v="71"/>
    <s v="RBBN"/>
    <s v="on 4/23/25 After Market Eastern Standard Time"/>
    <x v="1"/>
  </r>
  <r>
    <x v="71"/>
    <s v="CVBF"/>
    <s v="on 4/23/25 After Market Eastern Standard Time"/>
    <x v="1"/>
  </r>
  <r>
    <x v="71"/>
    <s v="CHE"/>
    <s v="on 4/23/25 After Market Eastern Standard Time"/>
    <x v="2"/>
  </r>
  <r>
    <x v="71"/>
    <s v="KNX"/>
    <s v="on 4/23/25 After Market Eastern Standard Time"/>
    <x v="2"/>
  </r>
  <r>
    <x v="71"/>
    <s v="NRIM"/>
    <s v="on 4/23/25 After Market Eastern Standard Time"/>
    <x v="1"/>
  </r>
  <r>
    <x v="71"/>
    <s v="NBR"/>
    <s v="on 4/23/25 After Market Eastern Standard Time"/>
    <x v="1"/>
  </r>
  <r>
    <x v="71"/>
    <s v="LOB"/>
    <s v="on 4/23/25 After Market Eastern Standard Time"/>
    <x v="1"/>
  </r>
  <r>
    <x v="71"/>
    <s v="CASH"/>
    <s v="on 4/23/25 After Market Eastern Standard Time"/>
    <x v="1"/>
  </r>
  <r>
    <x v="71"/>
    <s v="TXN"/>
    <s v="on 4/23/25 After Market Eastern Standard Time"/>
    <x v="3"/>
  </r>
  <r>
    <x v="71"/>
    <s v="PEN"/>
    <s v="on 4/23/25 After Market Eastern Standard Time"/>
    <x v="2"/>
  </r>
  <r>
    <x v="71"/>
    <s v="OBK"/>
    <s v="on 4/23/25 After Market Eastern Standard Time"/>
    <x v="1"/>
  </r>
  <r>
    <x v="71"/>
    <s v="MAT"/>
    <s v="on 4/23/25 After Market Eastern Standard Time"/>
    <x v="2"/>
  </r>
  <r>
    <x v="71"/>
    <s v="FSBW"/>
    <s v="on 4/23/25 After Market Eastern Standard Time"/>
    <x v="1"/>
  </r>
  <r>
    <x v="71"/>
    <s v="NOW"/>
    <s v="on 4/23/25 After Market Eastern Standard Time"/>
    <x v="3"/>
  </r>
  <r>
    <x v="71"/>
    <s v="VTMX"/>
    <s v="on 4/23/25 After Market Eastern Standard Time"/>
    <x v="0"/>
  </r>
  <r>
    <x v="71"/>
    <s v="PLXS"/>
    <s v="on 4/23/25 After Market Eastern Standard Time"/>
    <x v="1"/>
  </r>
  <r>
    <x v="71"/>
    <s v="MTDR"/>
    <s v="on 4/23/25 After Market Eastern Standard Time"/>
    <x v="2"/>
  </r>
  <r>
    <x v="71"/>
    <s v="TCBX"/>
    <s v="on 4/23/25 After Market Eastern Standard Time"/>
    <x v="1"/>
  </r>
  <r>
    <x v="71"/>
    <s v="TOWN"/>
    <s v="on 4/23/25 After Market Eastern Standard Time"/>
    <x v="1"/>
  </r>
  <r>
    <x v="71"/>
    <s v="KMI"/>
    <s v="on 4/23/25 After Market Eastern Standard Time"/>
    <x v="3"/>
  </r>
  <r>
    <x v="71"/>
    <s v="CVLG"/>
    <s v="on 4/23/25 After Market Eastern Standard Time"/>
    <x v="1"/>
  </r>
  <r>
    <x v="71"/>
    <s v="GLPG"/>
    <s v="on 4/23/25 After Market Eastern Standard Time"/>
    <x v="0"/>
  </r>
  <r>
    <x v="71"/>
    <s v="CMG"/>
    <s v="on 4/23/25 After Market Eastern Standard Time"/>
    <x v="3"/>
  </r>
  <r>
    <x v="71"/>
    <s v="RMD"/>
    <s v="on 4/23/25 After Market Eastern Standard Time"/>
    <x v="3"/>
  </r>
  <r>
    <x v="71"/>
    <s v="HLX"/>
    <s v="on 4/23/25 After Market Eastern Standard Time"/>
    <x v="1"/>
  </r>
  <r>
    <x v="71"/>
    <s v="ORLY"/>
    <s v="on 4/23/25 After Market Eastern Standard Time"/>
    <x v="3"/>
  </r>
  <r>
    <x v="71"/>
    <s v="CBAN"/>
    <s v="on 4/23/25 After Market Eastern Standard Time"/>
    <x v="1"/>
  </r>
  <r>
    <x v="71"/>
    <s v="RNR"/>
    <s v="on 4/23/25 After Market Eastern Standard Time"/>
    <x v="2"/>
  </r>
  <r>
    <x v="71"/>
    <s v="BWFG"/>
    <s v="on 4/23/25 After Market Eastern Standard Time"/>
    <x v="1"/>
  </r>
  <r>
    <x v="71"/>
    <s v="MXL"/>
    <s v="on 4/23/25 After Market Eastern Standard Time"/>
    <x v="1"/>
  </r>
  <r>
    <x v="71"/>
    <s v="HBNC"/>
    <s v="on 4/23/25 After Market Eastern Standard Time"/>
    <x v="1"/>
  </r>
  <r>
    <x v="71"/>
    <s v="VRE"/>
    <s v="on 4/23/25 After Market Eastern Standard Time"/>
    <x v="1"/>
  </r>
  <r>
    <x v="71"/>
    <s v="GSHD"/>
    <s v="on 4/23/25 After Market Eastern Standard Time"/>
    <x v="1"/>
  </r>
  <r>
    <x v="71"/>
    <s v="PI"/>
    <s v="on 4/23/25 After Market Eastern Standard Time"/>
    <x v="1"/>
  </r>
  <r>
    <x v="71"/>
    <s v="NFBK"/>
    <s v="on 4/23/25 After Market Eastern Standard Time"/>
    <x v="1"/>
  </r>
  <r>
    <x v="71"/>
    <s v="WHR"/>
    <s v="on 4/23/25 After Market Eastern Standard Time"/>
    <x v="2"/>
  </r>
  <r>
    <x v="71"/>
    <s v="CYH"/>
    <s v="on 4/23/25 After Market Eastern Standard Time"/>
    <x v="1"/>
  </r>
  <r>
    <x v="71"/>
    <s v="SEIC"/>
    <s v="on 4/23/25 After Market Eastern Standard Time"/>
    <x v="2"/>
  </r>
  <r>
    <x v="71"/>
    <s v="CLS"/>
    <s v="on 4/23/25 After Market Eastern Standard Time"/>
    <x v="0"/>
  </r>
  <r>
    <x v="71"/>
    <s v="PEGA"/>
    <s v="on 4/23/25 After Market Eastern Standard Time"/>
    <x v="0"/>
  </r>
  <r>
    <x v="71"/>
    <s v="CLB"/>
    <s v="on 4/23/25 After Market Eastern Standard Time"/>
    <x v="1"/>
  </r>
  <r>
    <x v="71"/>
    <s v="VLTO"/>
    <s v="on 4/23/25 After Market Eastern Standard Time"/>
    <x v="3"/>
  </r>
  <r>
    <x v="71"/>
    <s v="OMAB"/>
    <s v="on 4/23/25 After Market Eastern Standard Time"/>
    <x v="0"/>
  </r>
  <r>
    <x v="71"/>
    <s v="DFS"/>
    <s v="on 4/23/25 After Market Eastern Standard Time"/>
    <x v="3"/>
  </r>
  <r>
    <x v="71"/>
    <s v="TYL"/>
    <s v="on 4/23/25 After Market Eastern Standard Time"/>
    <x v="3"/>
  </r>
  <r>
    <x v="71"/>
    <s v="EGP"/>
    <s v="on 4/23/25 After Market Eastern Standard Time"/>
    <x v="2"/>
  </r>
  <r>
    <x v="71"/>
    <s v="TER"/>
    <s v="on 4/23/25 After Market Eastern Standard Time"/>
    <x v="3"/>
  </r>
  <r>
    <x v="71"/>
    <s v="JAKK"/>
    <s v="on 4/23/25 After Market Eastern Standard Time"/>
    <x v="1"/>
  </r>
  <r>
    <x v="71"/>
    <s v="BRKL"/>
    <s v="on 4/23/25 After Market Eastern Standard Time"/>
    <x v="1"/>
  </r>
  <r>
    <x v="71"/>
    <s v="NBBK"/>
    <s v="on 4/23/25 After Market Eastern Standard Time"/>
    <x v="1"/>
  </r>
  <r>
    <x v="71"/>
    <s v="NEU"/>
    <s v="on 4/23/25 After Market Eastern Standard Time"/>
    <x v="2"/>
  </r>
  <r>
    <x v="71"/>
    <s v="INBK"/>
    <s v="on 4/23/25 After Market Eastern Standard Time"/>
    <x v="1"/>
  </r>
  <r>
    <x v="71"/>
    <s v="PFSI"/>
    <s v="on 4/23/25 After Market Eastern Standard Time"/>
    <x v="1"/>
  </r>
  <r>
    <x v="71"/>
    <s v="UHT"/>
    <s v="on 4/23/25 After Market Eastern Standard Time"/>
    <x v="1"/>
  </r>
  <r>
    <x v="71"/>
    <s v="LRCX"/>
    <s v="on 4/23/25 After Market Eastern Standard Time"/>
    <x v="3"/>
  </r>
  <r>
    <x v="71"/>
    <s v="GTY"/>
    <s v="on 4/23/25 After Market Eastern Standard Time"/>
    <x v="1"/>
  </r>
  <r>
    <x v="71"/>
    <s v="EPRT"/>
    <s v="on 4/23/25 After Market Eastern Standard Time"/>
    <x v="1"/>
  </r>
  <r>
    <x v="71"/>
    <s v="FBNC"/>
    <s v="on 4/23/25 After Market Eastern Standard Time"/>
    <x v="1"/>
  </r>
  <r>
    <x v="71"/>
    <s v="OII"/>
    <s v="on 4/23/25 After Market Eastern Standard Time"/>
    <x v="1"/>
  </r>
  <r>
    <x v="71"/>
    <s v="VKTX"/>
    <s v="on 4/23/25 After Market Eastern Standard Time"/>
    <x v="0"/>
  </r>
  <r>
    <x v="71"/>
    <s v="FAF"/>
    <s v="on 4/23/25 After Market Eastern Standard Time"/>
    <x v="2"/>
  </r>
  <r>
    <x v="71"/>
    <s v="MC"/>
    <s v="on 4/23/25 After Market Eastern Standard Time"/>
    <x v="1"/>
  </r>
  <r>
    <x v="71"/>
    <s v="EPOW"/>
    <s v="on 4/23/25 After Market Eastern Standard Time"/>
    <x v="0"/>
  </r>
  <r>
    <x v="71"/>
    <s v="CACI"/>
    <s v="on 4/23/25 After Market Eastern Standard Time"/>
    <x v="2"/>
  </r>
  <r>
    <x v="71"/>
    <s v="KALU"/>
    <s v="on 4/23/25 After Market Eastern Standard Time"/>
    <x v="1"/>
  </r>
  <r>
    <x v="71"/>
    <s v="PDS"/>
    <s v="on 4/23/25 After Market Eastern Standard Time"/>
    <x v="0"/>
  </r>
  <r>
    <x v="71"/>
    <s v="ASGN"/>
    <s v="on 4/23/25 After Market Eastern Standard Time"/>
    <x v="1"/>
  </r>
  <r>
    <x v="72"/>
    <s v="VC"/>
    <s v="on 4/24/25 Before Market Eastern Standard Time"/>
    <x v="1"/>
  </r>
  <r>
    <x v="72"/>
    <s v="BNPQY"/>
    <s v="on 4/24/25 Before Market Eastern Standard Time"/>
    <x v="0"/>
  </r>
  <r>
    <x v="72"/>
    <s v="CBRE"/>
    <s v="on 4/24/25 Before Market Eastern Standard Time"/>
    <x v="3"/>
  </r>
  <r>
    <x v="72"/>
    <s v="STBA"/>
    <s v="on 4/24/25 Before Market Eastern Standard Time"/>
    <x v="1"/>
  </r>
  <r>
    <x v="72"/>
    <s v="PCG"/>
    <s v="on 4/24/25 Before Market Eastern Standard Time"/>
    <x v="3"/>
  </r>
  <r>
    <x v="72"/>
    <s v="LYTS"/>
    <s v="on 4/24/25 Before Market Eastern Standard Time"/>
    <x v="1"/>
  </r>
  <r>
    <x v="72"/>
    <s v="CRS"/>
    <s v="on 4/24/25 Before Market Eastern Standard Time"/>
    <x v="1"/>
  </r>
  <r>
    <x v="72"/>
    <s v="ACCD"/>
    <s v="on 4/24/25 Unspecified Eastern Standard Time"/>
    <x v="1"/>
  </r>
  <r>
    <x v="72"/>
    <s v="PPBI"/>
    <s v="on 4/24/25 Before Market Eastern Standard Time"/>
    <x v="1"/>
  </r>
  <r>
    <x v="72"/>
    <s v="AUB"/>
    <s v="on 4/24/25 Before Market Eastern Standard Time"/>
    <x v="1"/>
  </r>
  <r>
    <x v="72"/>
    <s v="WNS"/>
    <s v="on 4/24/25 Before Market Eastern Standard Time"/>
    <x v="1"/>
  </r>
  <r>
    <x v="72"/>
    <s v="AMBP"/>
    <s v="on 4/24/25 Before Market Eastern Standard Time"/>
    <x v="1"/>
  </r>
  <r>
    <x v="72"/>
    <s v="OUKPY"/>
    <s v="on 4/24/25 Before Market Eastern Standard Time"/>
    <x v="0"/>
  </r>
  <r>
    <x v="72"/>
    <s v="XEL"/>
    <s v="on 4/24/25 Before Market Eastern Standard Time"/>
    <x v="3"/>
  </r>
  <r>
    <x v="72"/>
    <s v="HOG"/>
    <s v="on 4/24/25 Before Market Eastern Standard Time"/>
    <x v="2"/>
  </r>
  <r>
    <x v="72"/>
    <s v="TAL"/>
    <s v="on 4/24/25 Before Market Eastern Standard Time"/>
    <x v="0"/>
  </r>
  <r>
    <x v="72"/>
    <s v="PRTC"/>
    <s v="on 4/24/25 Before Market Eastern Standard Time"/>
    <x v="0"/>
  </r>
  <r>
    <x v="72"/>
    <s v="KB"/>
    <s v="on 4/24/25 Before Market Eastern Standard Time"/>
    <x v="0"/>
  </r>
  <r>
    <x v="72"/>
    <s v="CHGCY"/>
    <s v="on 4/24/25 Unspecified Eastern Standard Time"/>
    <x v="0"/>
  </r>
  <r>
    <x v="72"/>
    <s v="HSQVY"/>
    <s v="on 4/24/25 Before Market Eastern Standard Time"/>
    <x v="0"/>
  </r>
  <r>
    <x v="72"/>
    <s v="AMAL"/>
    <s v="on 4/24/25 Before Market Eastern Standard Time"/>
    <x v="1"/>
  </r>
  <r>
    <x v="72"/>
    <s v="BHLB"/>
    <s v="on 4/24/25 Before Market Eastern Standard Time"/>
    <x v="1"/>
  </r>
  <r>
    <x v="72"/>
    <s v="GNFT"/>
    <s v="on 4/24/25 Unspecified Eastern Standard Time"/>
    <x v="0"/>
  </r>
  <r>
    <x v="72"/>
    <s v="OIS"/>
    <s v="on 4/24/25 Before Market Eastern Standard Time"/>
    <x v="1"/>
  </r>
  <r>
    <x v="72"/>
    <s v="XPRO"/>
    <s v="on 4/24/25 Before Market Eastern Standard Time"/>
    <x v="1"/>
  </r>
  <r>
    <x v="72"/>
    <s v="NVCR"/>
    <s v="on 4/24/25 Before Market Eastern Standard Time"/>
    <x v="1"/>
  </r>
  <r>
    <x v="72"/>
    <s v="SBSI"/>
    <s v="on 4/24/25 Before Market Eastern Standard Time"/>
    <x v="1"/>
  </r>
  <r>
    <x v="72"/>
    <s v="CNX"/>
    <s v="on 4/24/25 Before Market Eastern Standard Time"/>
    <x v="1"/>
  </r>
  <r>
    <x v="72"/>
    <s v="BKRKY"/>
    <s v="on 4/24/25 Unspecified Eastern Standard Time"/>
    <x v="0"/>
  </r>
  <r>
    <x v="72"/>
    <s v="HZO"/>
    <s v="on 4/24/25 Before Market Eastern Standard Time"/>
    <x v="1"/>
  </r>
  <r>
    <x v="72"/>
    <s v="APOG"/>
    <s v="on 4/24/25 Before Market Eastern Standard Time"/>
    <x v="1"/>
  </r>
  <r>
    <x v="72"/>
    <s v="LADR"/>
    <s v="on 4/24/25 Before Market Eastern Standard Time"/>
    <x v="1"/>
  </r>
  <r>
    <x v="72"/>
    <s v="ASPS"/>
    <s v="on 4/24/25 Before Market Eastern Standard Time"/>
    <x v="0"/>
  </r>
  <r>
    <x v="72"/>
    <s v="HONE"/>
    <s v="on 4/24/25 Before Market Eastern Standard Time"/>
    <x v="1"/>
  </r>
  <r>
    <x v="72"/>
    <s v="PEP"/>
    <s v="on 4/24/25 Before Market Eastern Standard Time"/>
    <x v="3"/>
  </r>
  <r>
    <x v="72"/>
    <s v="TCBK"/>
    <s v="on 4/24/25 Before Market Eastern Standard Time"/>
    <x v="1"/>
  </r>
  <r>
    <x v="72"/>
    <s v="FCNCA"/>
    <s v="on 4/24/25 Before Market Eastern Standard Time"/>
    <x v="0"/>
  </r>
  <r>
    <x v="72"/>
    <s v="TPH"/>
    <s v="on 4/24/25 Before Market Eastern Standard Time"/>
    <x v="1"/>
  </r>
  <r>
    <x v="72"/>
    <s v="AAL"/>
    <s v="on 4/24/25 Before Market Eastern Standard Time"/>
    <x v="2"/>
  </r>
  <r>
    <x v="72"/>
    <s v="SHYF"/>
    <s v="on 4/24/25 Before Market Eastern Standard Time"/>
    <x v="1"/>
  </r>
  <r>
    <x v="72"/>
    <s v="SNY"/>
    <s v="on 4/24/25 Before Market Eastern Standard Time"/>
    <x v="0"/>
  </r>
  <r>
    <x v="72"/>
    <s v="HFWA"/>
    <s v="on 4/24/25 Before Market Eastern Standard Time"/>
    <x v="1"/>
  </r>
  <r>
    <x v="72"/>
    <s v="HAS"/>
    <s v="on 4/24/25 Before Market Eastern Standard Time"/>
    <x v="3"/>
  </r>
  <r>
    <x v="72"/>
    <s v="WSO"/>
    <s v="on 4/24/25 Before Market Eastern Standard Time"/>
    <x v="2"/>
  </r>
  <r>
    <x v="72"/>
    <s v="LUV"/>
    <s v="on 4/24/25 Before Market Eastern Standard Time"/>
    <x v="3"/>
  </r>
  <r>
    <x v="72"/>
    <s v="MBLY"/>
    <s v="on 4/24/25 Before Market Eastern Standard Time"/>
    <x v="0"/>
  </r>
  <r>
    <x v="72"/>
    <s v="TSCO"/>
    <s v="on 4/24/25 Before Market Eastern Standard Time"/>
    <x v="3"/>
  </r>
  <r>
    <x v="72"/>
    <s v="TEX"/>
    <s v="on 4/24/25 Before Market Eastern Standard Time"/>
    <x v="1"/>
  </r>
  <r>
    <x v="72"/>
    <s v="BMY"/>
    <s v="on 4/24/25 Before Market Eastern Standard Time"/>
    <x v="3"/>
  </r>
  <r>
    <x v="72"/>
    <s v="CMS"/>
    <s v="on 4/24/25 Before Market Eastern Standard Time"/>
    <x v="3"/>
  </r>
  <r>
    <x v="72"/>
    <s v="DASTY"/>
    <s v="on 4/24/25 Before Market Eastern Standard Time"/>
    <x v="0"/>
  </r>
  <r>
    <x v="72"/>
    <s v="WTBA"/>
    <s v="on 4/24/25 Before Market Eastern Standard Time"/>
    <x v="1"/>
  </r>
  <r>
    <x v="72"/>
    <s v="HESM"/>
    <s v="on 4/24/25 Before Market Eastern Standard Time"/>
    <x v="0"/>
  </r>
  <r>
    <x v="72"/>
    <s v="IPG"/>
    <s v="on 4/24/25 Before Market Eastern Standard Time"/>
    <x v="3"/>
  </r>
  <r>
    <x v="72"/>
    <s v="CMCSA"/>
    <s v="on 4/24/25 Before Market Eastern Standard Time"/>
    <x v="3"/>
  </r>
  <r>
    <x v="72"/>
    <s v="RES"/>
    <s v="on 4/24/25 Before Market Eastern Standard Time"/>
    <x v="1"/>
  </r>
  <r>
    <x v="72"/>
    <s v="VFS"/>
    <s v="on 4/24/25 Before Market Eastern Standard Time"/>
    <x v="0"/>
  </r>
  <r>
    <x v="72"/>
    <s v="ADT"/>
    <s v="on 4/24/25 Before Market Eastern Standard Time"/>
    <x v="0"/>
  </r>
  <r>
    <x v="72"/>
    <s v="FBP"/>
    <s v="on 4/24/25 Before Market Eastern Standard Time"/>
    <x v="1"/>
  </r>
  <r>
    <x v="72"/>
    <s v="VLO"/>
    <s v="on 4/24/25 Before Market Eastern Standard Time"/>
    <x v="3"/>
  </r>
  <r>
    <x v="72"/>
    <s v="ORI"/>
    <s v="on 4/24/25 Before Market Eastern Standard Time"/>
    <x v="2"/>
  </r>
  <r>
    <x v="72"/>
    <s v="RCL"/>
    <s v="on 4/24/25 Before Market Eastern Standard Time"/>
    <x v="3"/>
  </r>
  <r>
    <x v="72"/>
    <s v="ALPMY"/>
    <s v="on 4/24/25 Before Market Eastern Standard Time"/>
    <x v="0"/>
  </r>
  <r>
    <x v="72"/>
    <s v="UBSI"/>
    <s v="on 4/24/25 Before Market Eastern Standard Time"/>
    <x v="1"/>
  </r>
  <r>
    <x v="72"/>
    <s v="KRNY"/>
    <s v="on 4/24/25 Before Market Eastern Standard Time"/>
    <x v="1"/>
  </r>
  <r>
    <x v="72"/>
    <s v="KDP"/>
    <s v="on 4/24/25 Before Market Eastern Standard Time"/>
    <x v="3"/>
  </r>
  <r>
    <x v="72"/>
    <s v="NDAQ"/>
    <s v="on 4/24/25 Before Market Eastern Standard Time"/>
    <x v="3"/>
  </r>
  <r>
    <x v="72"/>
    <s v="VALE"/>
    <s v="on 4/24/25 Unspecified Eastern Standard Time"/>
    <x v="0"/>
  </r>
  <r>
    <x v="72"/>
    <s v="LPL"/>
    <s v="on 4/24/25 Unspecified Eastern Standard Time"/>
    <x v="0"/>
  </r>
  <r>
    <x v="72"/>
    <s v="WBS"/>
    <s v="on 4/24/25 Before Market Eastern Standard Time"/>
    <x v="2"/>
  </r>
  <r>
    <x v="72"/>
    <s v="ESCA"/>
    <s v="on 4/24/25 Before Market Eastern Standard Time"/>
    <x v="0"/>
  </r>
  <r>
    <x v="72"/>
    <s v="WTW"/>
    <s v="on 4/24/25 Before Market Eastern Standard Time"/>
    <x v="3"/>
  </r>
  <r>
    <x v="72"/>
    <s v="MRK"/>
    <s v="on 4/24/25 Before Market Eastern Standard Time"/>
    <x v="3"/>
  </r>
  <r>
    <x v="72"/>
    <s v="IBCP"/>
    <s v="on 4/24/25 Before Market Eastern Standard Time"/>
    <x v="1"/>
  </r>
  <r>
    <x v="72"/>
    <s v="TXT"/>
    <s v="on 4/24/25 Before Market Eastern Standard Time"/>
    <x v="3"/>
  </r>
  <r>
    <x v="72"/>
    <s v="CAJPY"/>
    <s v="on 4/24/25 Before Market Eastern Standard Time"/>
    <x v="0"/>
  </r>
  <r>
    <x v="72"/>
    <s v="WST"/>
    <s v="on 4/24/25 Before Market Eastern Standard Time"/>
    <x v="3"/>
  </r>
  <r>
    <x v="72"/>
    <s v="HES"/>
    <s v="on 4/24/25 Before Market Eastern Standard Time"/>
    <x v="3"/>
  </r>
  <r>
    <x v="72"/>
    <s v="ITGR"/>
    <s v="on 4/24/25 Before Market Eastern Standard Time"/>
    <x v="1"/>
  </r>
  <r>
    <x v="72"/>
    <s v="FCFS"/>
    <s v="on 4/24/25 Before Market Eastern Standard Time"/>
    <x v="1"/>
  </r>
  <r>
    <x v="72"/>
    <s v="POOL"/>
    <s v="on 4/24/25 Before Market Eastern Standard Time"/>
    <x v="3"/>
  </r>
  <r>
    <x v="72"/>
    <s v="NJDCY"/>
    <s v="on 4/24/25 Unspecified Eastern Standard Time"/>
    <x v="0"/>
  </r>
  <r>
    <x v="72"/>
    <s v="RRBI"/>
    <s v="on 4/24/25 Before Market Eastern Standard Time"/>
    <x v="1"/>
  </r>
  <r>
    <x v="72"/>
    <s v="CARE"/>
    <s v="on 4/24/25 Before Market Eastern Standard Time"/>
    <x v="1"/>
  </r>
  <r>
    <x v="72"/>
    <s v="UNP"/>
    <s v="on 4/24/25 Before Market Eastern Standard Time"/>
    <x v="3"/>
  </r>
  <r>
    <x v="72"/>
    <s v="LECO"/>
    <s v="on 4/24/25 Before Market Eastern Standard Time"/>
    <x v="2"/>
  </r>
  <r>
    <x v="72"/>
    <s v="STM"/>
    <s v="on 4/24/25 Before Market Eastern Standard Time"/>
    <x v="0"/>
  </r>
  <r>
    <x v="72"/>
    <s v="CIVB"/>
    <s v="on 4/24/25 Before Market Eastern Standard Time"/>
    <x v="1"/>
  </r>
  <r>
    <x v="72"/>
    <s v="DOW"/>
    <s v="on 4/24/25 Before Market Eastern Standard Time"/>
    <x v="3"/>
  </r>
  <r>
    <x v="72"/>
    <s v="FTI"/>
    <s v="on 4/24/25 Before Market Eastern Standard Time"/>
    <x v="0"/>
  </r>
  <r>
    <x v="72"/>
    <s v="NOK"/>
    <s v="on 4/24/25 Before Market Eastern Standard Time"/>
    <x v="0"/>
  </r>
  <r>
    <x v="72"/>
    <s v="SRCE"/>
    <s v="on 4/24/25 Before Market Eastern Standard Time"/>
    <x v="1"/>
  </r>
  <r>
    <x v="72"/>
    <s v="FCX"/>
    <s v="on 4/24/25 Before Market Eastern Standard Time"/>
    <x v="3"/>
  </r>
  <r>
    <x v="72"/>
    <s v="DOV"/>
    <s v="on 4/24/25 Before Market Eastern Standard Time"/>
    <x v="3"/>
  </r>
  <r>
    <x v="72"/>
    <s v="FSV"/>
    <s v="on 4/24/25 Before Market Eastern Standard Time"/>
    <x v="0"/>
  </r>
  <r>
    <x v="72"/>
    <s v="AB"/>
    <s v="on 4/24/25 Before Market Eastern Standard Time"/>
    <x v="0"/>
  </r>
  <r>
    <x v="72"/>
    <s v="CNP"/>
    <s v="on 4/24/25 Before Market Eastern Standard Time"/>
    <x v="3"/>
  </r>
  <r>
    <x v="72"/>
    <s v="ORANY"/>
    <s v="on 4/24/25 Before Market Eastern Standard Time"/>
    <x v="0"/>
  </r>
  <r>
    <x v="72"/>
    <s v="DGICA"/>
    <s v="on 4/24/25 Before Market Eastern Standard Time"/>
    <x v="1"/>
  </r>
  <r>
    <x v="72"/>
    <s v="HELE"/>
    <s v="on 4/24/25 Before Market Eastern Standard Time"/>
    <x v="1"/>
  </r>
  <r>
    <x v="72"/>
    <s v="SPFI"/>
    <s v="on 4/24/25 Before Market Eastern Standard Time"/>
    <x v="1"/>
  </r>
  <r>
    <x v="72"/>
    <s v="TECK"/>
    <s v="on 4/24/25 Before Market Eastern Standard Time"/>
    <x v="0"/>
  </r>
  <r>
    <x v="72"/>
    <s v="GRC"/>
    <s v="on 4/24/25 Before Market Eastern Standard Time"/>
    <x v="1"/>
  </r>
  <r>
    <x v="72"/>
    <s v="FCN"/>
    <s v="on 4/24/25 Before Market Eastern Standard Time"/>
    <x v="2"/>
  </r>
  <r>
    <x v="72"/>
    <s v="E"/>
    <s v="on 4/24/25 Unspecified Eastern Standard Time"/>
    <x v="0"/>
  </r>
  <r>
    <x v="72"/>
    <s v="NLST"/>
    <s v="on 4/24/25 Before Market Eastern Standard Time"/>
    <x v="0"/>
  </r>
  <r>
    <x v="72"/>
    <s v="HOUS"/>
    <s v="on 4/24/25 Before Market Eastern Standard Time"/>
    <x v="1"/>
  </r>
  <r>
    <x v="72"/>
    <s v="OPRA"/>
    <s v="on 4/24/25 Before Market Eastern Standard Time"/>
    <x v="0"/>
  </r>
  <r>
    <x v="72"/>
    <s v="PAL"/>
    <s v="on 4/24/25 Before Market Eastern Standard Time"/>
    <x v="0"/>
  </r>
  <r>
    <x v="72"/>
    <s v="PRCT"/>
    <s v="on 4/24/25 Before Market Eastern Standard Time"/>
    <x v="1"/>
  </r>
  <r>
    <x v="72"/>
    <s v="LKQ"/>
    <s v="on 4/24/25 Before Market Eastern Standard Time"/>
    <x v="3"/>
  </r>
  <r>
    <x v="72"/>
    <s v="ABG"/>
    <s v="on 4/24/25 Before Market Eastern Standard Time"/>
    <x v="1"/>
  </r>
  <r>
    <x v="72"/>
    <s v="LHX"/>
    <s v="on 4/24/25 Before Market Eastern Standard Time"/>
    <x v="3"/>
  </r>
  <r>
    <x v="72"/>
    <s v="ESQ"/>
    <s v="on 4/24/25 Before Market Eastern Standard Time"/>
    <x v="1"/>
  </r>
  <r>
    <x v="72"/>
    <s v="UTMD"/>
    <s v="on 4/24/25 Before Market Eastern Standard Time"/>
    <x v="0"/>
  </r>
  <r>
    <x v="72"/>
    <s v="VLY"/>
    <s v="on 4/24/25 Before Market Eastern Standard Time"/>
    <x v="1"/>
  </r>
  <r>
    <x v="72"/>
    <s v="OSIS"/>
    <s v="on 4/24/25 Before Market Eastern Standard Time"/>
    <x v="1"/>
  </r>
  <r>
    <x v="72"/>
    <s v="LVWR"/>
    <s v="on 4/24/25 Before Market Eastern Standard Time"/>
    <x v="0"/>
  </r>
  <r>
    <x v="72"/>
    <s v="PG"/>
    <s v="on 4/24/25 Before Market Eastern Standard Time"/>
    <x v="3"/>
  </r>
  <r>
    <x v="72"/>
    <s v="DAR"/>
    <s v="on 4/24/25 Before Market Eastern Standard Time"/>
    <x v="2"/>
  </r>
  <r>
    <x v="72"/>
    <s v="FRME"/>
    <s v="on 4/24/25 Before Market Eastern Standard Time"/>
    <x v="1"/>
  </r>
  <r>
    <x v="72"/>
    <s v="ALLE"/>
    <s v="on 4/24/25 Before Market Eastern Standard Time"/>
    <x v="3"/>
  </r>
  <r>
    <x v="72"/>
    <s v="DGICB"/>
    <s v="on 4/24/25 Before Market Eastern Standard Time"/>
    <x v="0"/>
  </r>
  <r>
    <x v="72"/>
    <s v="TRU"/>
    <s v="on 4/24/25 Before Market Eastern Standard Time"/>
    <x v="0"/>
  </r>
  <r>
    <x v="72"/>
    <s v="RS"/>
    <s v="on 4/24/25 Before Market Eastern Standard Time"/>
    <x v="2"/>
  </r>
  <r>
    <x v="72"/>
    <s v="STRA"/>
    <s v="on 4/24/25 Before Market Eastern Standard Time"/>
    <x v="1"/>
  </r>
  <r>
    <x v="72"/>
    <s v="PKX"/>
    <s v="on 4/24/25 Unspecified Eastern Standard Time"/>
    <x v="0"/>
  </r>
  <r>
    <x v="72"/>
    <s v="MPX"/>
    <s v="on 4/24/25 Before Market Eastern Standard Time"/>
    <x v="0"/>
  </r>
  <r>
    <x v="72"/>
    <s v="CBZ"/>
    <s v="on 4/24/25 Before Market Eastern Standard Time"/>
    <x v="1"/>
  </r>
  <r>
    <x v="72"/>
    <s v="CVAC"/>
    <s v="on 4/24/25 Before Market Eastern Standard Time"/>
    <x v="0"/>
  </r>
  <r>
    <x v="72"/>
    <s v="SAH"/>
    <s v="on 4/24/25 Before Market Eastern Standard Time"/>
    <x v="1"/>
  </r>
  <r>
    <x v="73"/>
    <s v="PWOD"/>
    <s v="on 4/24/25 During Market Eastern Standard Time"/>
    <x v="0"/>
  </r>
  <r>
    <x v="73"/>
    <s v="NECB"/>
    <s v="on 4/24/25 During Market Eastern Standard Time"/>
    <x v="1"/>
  </r>
  <r>
    <x v="73"/>
    <s v="CFFI"/>
    <s v="on 4/24/25 During Market Eastern Standard Time"/>
    <x v="0"/>
  </r>
  <r>
    <x v="73"/>
    <s v="PPIH"/>
    <s v="on 4/24/25 During Market Eastern Standard Time"/>
    <x v="0"/>
  </r>
  <r>
    <x v="74"/>
    <s v="BAFN"/>
    <s v="on 4/24/25 After Market Eastern Standard Time"/>
    <x v="0"/>
  </r>
  <r>
    <x v="74"/>
    <s v="VRSN"/>
    <s v="on 4/24/25 After Market Eastern Standard Time"/>
    <x v="3"/>
  </r>
  <r>
    <x v="74"/>
    <s v="WDC"/>
    <s v="on 4/24/25 After Market Eastern Standard Time"/>
    <x v="3"/>
  </r>
  <r>
    <x v="74"/>
    <s v="HIG"/>
    <s v="on 4/24/25 After Market Eastern Standard Time"/>
    <x v="3"/>
  </r>
  <r>
    <x v="74"/>
    <s v="MSBI"/>
    <s v="on 4/24/25 After Market Eastern Standard Time"/>
    <x v="1"/>
  </r>
  <r>
    <x v="74"/>
    <s v="JNPR"/>
    <s v="on 4/24/25 After Market Eastern Standard Time"/>
    <x v="3"/>
  </r>
  <r>
    <x v="74"/>
    <s v="NEGG"/>
    <s v="on 4/24/25 After Market Eastern Standard Time"/>
    <x v="0"/>
  </r>
  <r>
    <x v="74"/>
    <s v="PINE"/>
    <s v="on 4/24/25 After Market Eastern Standard Time"/>
    <x v="1"/>
  </r>
  <r>
    <x v="74"/>
    <s v="RHI"/>
    <s v="on 4/24/25 After Market Eastern Standard Time"/>
    <x v="0"/>
  </r>
  <r>
    <x v="74"/>
    <s v="EBC"/>
    <s v="on 4/24/25 After Market Eastern Standard Time"/>
    <x v="1"/>
  </r>
  <r>
    <x v="74"/>
    <s v="SSB"/>
    <s v="on 4/24/25 After Market Eastern Standard Time"/>
    <x v="1"/>
  </r>
  <r>
    <x v="74"/>
    <s v="WKC"/>
    <s v="on 4/24/25 After Market Eastern Standard Time"/>
    <x v="1"/>
  </r>
  <r>
    <x v="74"/>
    <s v="BELFA"/>
    <s v="on 4/24/25 After Market Eastern Standard Time"/>
    <x v="0"/>
  </r>
  <r>
    <x v="74"/>
    <s v="TPC"/>
    <s v="on 4/24/25 After Market Eastern Standard Time"/>
    <x v="1"/>
  </r>
  <r>
    <x v="74"/>
    <s v="CUBI"/>
    <s v="on 4/24/25 After Market Eastern Standard Time"/>
    <x v="1"/>
  </r>
  <r>
    <x v="74"/>
    <s v="ATOM"/>
    <s v="on 4/24/25 After Market Eastern Standard Time"/>
    <x v="0"/>
  </r>
  <r>
    <x v="74"/>
    <s v="EHC"/>
    <s v="on 4/24/25 After Market Eastern Standard Time"/>
    <x v="2"/>
  </r>
  <r>
    <x v="74"/>
    <s v="SKYW"/>
    <s v="on 4/24/25 After Market Eastern Standard Time"/>
    <x v="1"/>
  </r>
  <r>
    <x v="74"/>
    <s v="BFST"/>
    <s v="on 4/24/25 After Market Eastern Standard Time"/>
    <x v="1"/>
  </r>
  <r>
    <x v="74"/>
    <s v="BELFB"/>
    <s v="on 4/24/25 After Market Eastern Standard Time"/>
    <x v="1"/>
  </r>
  <r>
    <x v="74"/>
    <s v="PECO"/>
    <s v="on 4/24/25 After Market Eastern Standard Time"/>
    <x v="1"/>
  </r>
  <r>
    <x v="74"/>
    <s v="MTX"/>
    <s v="on 4/24/25 After Market Eastern Standard Time"/>
    <x v="1"/>
  </r>
  <r>
    <x v="74"/>
    <s v="RSG"/>
    <s v="on 4/24/25 After Market Eastern Standard Time"/>
    <x v="3"/>
  </r>
  <r>
    <x v="74"/>
    <s v="SAM"/>
    <s v="on 4/24/25 After Market Eastern Standard Time"/>
    <x v="2"/>
  </r>
  <r>
    <x v="74"/>
    <s v="BY"/>
    <s v="on 4/24/25 After Market Eastern Standard Time"/>
    <x v="1"/>
  </r>
  <r>
    <x v="74"/>
    <s v="USCB"/>
    <s v="on 4/24/25 After Market Eastern Standard Time"/>
    <x v="1"/>
  </r>
  <r>
    <x v="74"/>
    <s v="ULH"/>
    <s v="on 4/24/25 After Market Eastern Standard Time"/>
    <x v="1"/>
  </r>
  <r>
    <x v="74"/>
    <s v="UVE"/>
    <s v="on 4/24/25 After Market Eastern Standard Time"/>
    <x v="1"/>
  </r>
  <r>
    <x v="74"/>
    <s v="OCFC"/>
    <s v="on 4/24/25 After Market Eastern Standard Time"/>
    <x v="1"/>
  </r>
  <r>
    <x v="74"/>
    <s v="BLX"/>
    <s v="on 4/24/25 After Market Eastern Standard Time"/>
    <x v="1"/>
  </r>
  <r>
    <x v="74"/>
    <s v="FIX"/>
    <s v="on 4/24/25 After Market Eastern Standard Time"/>
    <x v="2"/>
  </r>
  <r>
    <x v="74"/>
    <s v="WEX"/>
    <s v="on 4/24/25 After Market Eastern Standard Time"/>
    <x v="2"/>
  </r>
  <r>
    <x v="74"/>
    <s v="DOC"/>
    <s v="on 4/24/25 After Market Eastern Standard Time"/>
    <x v="3"/>
  </r>
  <r>
    <x v="74"/>
    <s v="MBCN"/>
    <s v="on 4/24/25 After Market Eastern Standard Time"/>
    <x v="1"/>
  </r>
  <r>
    <x v="74"/>
    <s v="OPBK"/>
    <s v="on 4/24/25 After Market Eastern Standard Time"/>
    <x v="0"/>
  </r>
  <r>
    <x v="74"/>
    <s v="ERIE"/>
    <s v="on 4/24/25 After Market Eastern Standard Time"/>
    <x v="3"/>
  </r>
  <r>
    <x v="74"/>
    <s v="PFS"/>
    <s v="on 4/24/25 After Market Eastern Standard Time"/>
    <x v="1"/>
  </r>
  <r>
    <x v="74"/>
    <s v="CINF"/>
    <s v="on 4/24/25 After Market Eastern Standard Time"/>
    <x v="3"/>
  </r>
  <r>
    <x v="74"/>
    <s v="CWST"/>
    <s v="on 4/24/25 After Market Eastern Standard Time"/>
    <x v="1"/>
  </r>
  <r>
    <x v="74"/>
    <s v="WY"/>
    <s v="on 4/24/25 After Market Eastern Standard Time"/>
    <x v="3"/>
  </r>
  <r>
    <x v="74"/>
    <s v="INTC"/>
    <s v="on 4/24/25 After Market Eastern Standard Time"/>
    <x v="3"/>
  </r>
  <r>
    <x v="74"/>
    <s v="SSNC"/>
    <s v="on 4/24/25 After Market Eastern Standard Time"/>
    <x v="0"/>
  </r>
  <r>
    <x v="74"/>
    <s v="FFBC"/>
    <s v="on 4/24/25 After Market Eastern Standard Time"/>
    <x v="1"/>
  </r>
  <r>
    <x v="74"/>
    <s v="SPSC"/>
    <s v="on 4/24/25 After Market Eastern Standard Time"/>
    <x v="1"/>
  </r>
  <r>
    <x v="74"/>
    <s v="PVBC"/>
    <s v="on 4/24/25 After Market Eastern Standard Time"/>
    <x v="0"/>
  </r>
  <r>
    <x v="74"/>
    <s v="HTH"/>
    <s v="on 4/24/25 After Market Eastern Standard Time"/>
    <x v="1"/>
  </r>
  <r>
    <x v="74"/>
    <s v="WSFS"/>
    <s v="on 4/24/25 After Market Eastern Standard Time"/>
    <x v="1"/>
  </r>
  <r>
    <x v="74"/>
    <s v="FPH"/>
    <s v="on 4/24/25 After Market Eastern Standard Time"/>
    <x v="0"/>
  </r>
  <r>
    <x v="74"/>
    <s v="CWBC"/>
    <s v="on 4/24/25 After Market Eastern Standard Time"/>
    <x v="1"/>
  </r>
  <r>
    <x v="74"/>
    <s v="KNSL"/>
    <s v="on 4/24/25 After Market Eastern Standard Time"/>
    <x v="2"/>
  </r>
  <r>
    <x v="74"/>
    <s v="INDO"/>
    <s v="on 4/24/25 After Market Eastern Standard Time"/>
    <x v="0"/>
  </r>
  <r>
    <x v="74"/>
    <s v="AEM"/>
    <s v="on 4/24/25 After Market Eastern Standard Time"/>
    <x v="0"/>
  </r>
  <r>
    <x v="74"/>
    <s v="ALEX"/>
    <s v="on 4/24/25 After Market Eastern Standard Time"/>
    <x v="1"/>
  </r>
  <r>
    <x v="74"/>
    <s v="PFG"/>
    <s v="on 4/24/25 After Market Eastern Standard Time"/>
    <x v="3"/>
  </r>
  <r>
    <x v="74"/>
    <s v="IVAC"/>
    <s v="on 4/24/25 After Market Eastern Standard Time"/>
    <x v="0"/>
  </r>
  <r>
    <x v="74"/>
    <s v="TMUS"/>
    <s v="on 4/24/25 After Market Eastern Standard Time"/>
    <x v="3"/>
  </r>
  <r>
    <x v="74"/>
    <s v="SBCF"/>
    <s v="on 4/24/25 After Market Eastern Standard Time"/>
    <x v="1"/>
  </r>
  <r>
    <x v="74"/>
    <s v="GBCI"/>
    <s v="on 4/24/25 After Market Eastern Standard Time"/>
    <x v="1"/>
  </r>
  <r>
    <x v="74"/>
    <s v="ARR"/>
    <s v="on 4/24/25 After Market Eastern Standard Time"/>
    <x v="1"/>
  </r>
  <r>
    <x v="74"/>
    <s v="SAGE"/>
    <s v="on 4/24/25 After Market Eastern Standard Time"/>
    <x v="1"/>
  </r>
  <r>
    <x v="74"/>
    <s v="FRST"/>
    <s v="on 4/24/25 After Market Eastern Standard Time"/>
    <x v="1"/>
  </r>
  <r>
    <x v="74"/>
    <s v="SCCO"/>
    <s v="on 4/24/25 After Market Eastern Standard Time"/>
    <x v="0"/>
  </r>
  <r>
    <x v="74"/>
    <s v="PFIS"/>
    <s v="on 4/24/25 After Market Eastern Standard Time"/>
    <x v="1"/>
  </r>
  <r>
    <x v="74"/>
    <s v="COLB"/>
    <s v="on 4/24/25 After Market Eastern Standard Time"/>
    <x v="2"/>
  </r>
  <r>
    <x v="74"/>
    <s v="BPRN"/>
    <s v="on 4/24/25 After Market Eastern Standard Time"/>
    <x v="1"/>
  </r>
  <r>
    <x v="74"/>
    <s v="CHX"/>
    <s v="on 4/24/25 After Market Eastern Standard Time"/>
    <x v="1"/>
  </r>
  <r>
    <x v="74"/>
    <s v="ALSN"/>
    <s v="on 4/24/25 After Market Eastern Standard Time"/>
    <x v="0"/>
  </r>
  <r>
    <x v="74"/>
    <s v="MOFG"/>
    <s v="on 4/24/25 After Market Eastern Standard Time"/>
    <x v="1"/>
  </r>
  <r>
    <x v="74"/>
    <s v="IMAX"/>
    <s v="on 4/24/25 After Market Eastern Standard Time"/>
    <x v="1"/>
  </r>
  <r>
    <x v="74"/>
    <s v="ASB"/>
    <s v="on 4/24/25 After Market Eastern Standard Time"/>
    <x v="1"/>
  </r>
  <r>
    <x v="74"/>
    <s v="MYFW"/>
    <s v="on 4/24/25 After Market Eastern Standard Time"/>
    <x v="1"/>
  </r>
  <r>
    <x v="74"/>
    <s v="SJW"/>
    <s v="on 4/24/25 After Market Eastern Standard Time"/>
    <x v="1"/>
  </r>
  <r>
    <x v="74"/>
    <s v="NKSH"/>
    <s v="on 4/24/25 After Market Eastern Standard Time"/>
    <x v="1"/>
  </r>
  <r>
    <x v="74"/>
    <s v="BMRN"/>
    <s v="on 4/24/25 After Market Eastern Standard Time"/>
    <x v="2"/>
  </r>
  <r>
    <x v="74"/>
    <s v="BYD"/>
    <s v="on 4/24/25 After Market Eastern Standard Time"/>
    <x v="2"/>
  </r>
  <r>
    <x v="74"/>
    <s v="PCB"/>
    <s v="on 4/24/25 After Market Eastern Standard Time"/>
    <x v="1"/>
  </r>
  <r>
    <x v="74"/>
    <s v="ORC"/>
    <s v="on 4/24/25 After Market Eastern Standard Time"/>
    <x v="1"/>
  </r>
  <r>
    <x v="74"/>
    <s v="BHB"/>
    <s v="on 4/24/25 After Market Eastern Standard Time"/>
    <x v="1"/>
  </r>
  <r>
    <x v="74"/>
    <s v="MGRC"/>
    <s v="on 4/24/25 After Market Eastern Standard Time"/>
    <x v="1"/>
  </r>
  <r>
    <x v="74"/>
    <s v="ACNB"/>
    <s v="on 4/24/25 After Market Eastern Standard Time"/>
    <x v="1"/>
  </r>
  <r>
    <x v="74"/>
    <s v="UHS"/>
    <s v="on 4/24/25 After Market Eastern Standard Time"/>
    <x v="3"/>
  </r>
  <r>
    <x v="74"/>
    <s v="SKX"/>
    <s v="on 4/24/25 After Market Eastern Standard Time"/>
    <x v="2"/>
  </r>
  <r>
    <x v="74"/>
    <s v="MHUA"/>
    <s v="on 4/24/25 After Market Eastern Standard Time"/>
    <x v="0"/>
  </r>
  <r>
    <x v="74"/>
    <s v="FICO"/>
    <s v="on 4/24/25 After Market Eastern Standard Time"/>
    <x v="3"/>
  </r>
  <r>
    <x v="74"/>
    <s v="KN"/>
    <s v="on 4/24/25 After Market Eastern Standard Time"/>
    <x v="1"/>
  </r>
  <r>
    <x v="74"/>
    <s v="HTBK"/>
    <s v="on 4/24/25 After Market Eastern Standard Time"/>
    <x v="1"/>
  </r>
  <r>
    <x v="74"/>
    <s v="DLR"/>
    <s v="on 4/24/25 After Market Eastern Standard Time"/>
    <x v="3"/>
  </r>
  <r>
    <x v="74"/>
    <s v="MCB"/>
    <s v="on 4/24/25 After Market Eastern Standard Time"/>
    <x v="1"/>
  </r>
  <r>
    <x v="74"/>
    <s v="CSL"/>
    <s v="on 4/24/25 After Market Eastern Standard Time"/>
    <x v="2"/>
  </r>
  <r>
    <x v="74"/>
    <s v="EMN"/>
    <s v="on 4/24/25 After Market Eastern Standard Time"/>
    <x v="3"/>
  </r>
  <r>
    <x v="74"/>
    <s v="GLPI"/>
    <s v="on 4/24/25 After Market Eastern Standard Time"/>
    <x v="2"/>
  </r>
  <r>
    <x v="74"/>
    <s v="ROG"/>
    <s v="on 4/24/25 After Market Eastern Standard Time"/>
    <x v="1"/>
  </r>
  <r>
    <x v="74"/>
    <s v="BANF"/>
    <s v="on 4/24/25 After Market Eastern Standard Time"/>
    <x v="1"/>
  </r>
  <r>
    <x v="74"/>
    <s v="NBTB"/>
    <s v="on 4/24/25 After Market Eastern Standard Time"/>
    <x v="1"/>
  </r>
  <r>
    <x v="75"/>
    <s v="CNC"/>
    <s v="on 4/25/25 Before Market Eastern Standard Time"/>
    <x v="3"/>
  </r>
  <r>
    <x v="75"/>
    <s v="PNGAY"/>
    <s v="on 4/25/25 Unspecified Eastern Standard Time"/>
    <x v="0"/>
  </r>
  <r>
    <x v="75"/>
    <s v="RBCAA"/>
    <s v="on 4/25/25 Before Market Eastern Standard Time"/>
    <x v="1"/>
  </r>
  <r>
    <x v="75"/>
    <s v="SEOAY"/>
    <s v="on 4/25/25 Before Market Eastern Standard Time"/>
    <x v="0"/>
  </r>
  <r>
    <x v="75"/>
    <s v="AVTR"/>
    <s v="on 4/25/25 Before Market Eastern Standard Time"/>
    <x v="2"/>
  </r>
  <r>
    <x v="75"/>
    <s v="CL"/>
    <s v="on 4/25/25 Before Market Eastern Standard Time"/>
    <x v="3"/>
  </r>
  <r>
    <x v="75"/>
    <s v="DNZOY"/>
    <s v="on 4/25/25 Unspecified Eastern Standard Time"/>
    <x v="0"/>
  </r>
  <r>
    <x v="75"/>
    <s v="NWL"/>
    <s v="on 4/25/25 Before Market Eastern Standard Time"/>
    <x v="0"/>
  </r>
  <r>
    <x v="75"/>
    <s v="KOF"/>
    <s v="on 4/25/25 Unspecified Eastern Standard Time"/>
    <x v="0"/>
  </r>
  <r>
    <x v="75"/>
    <s v="VRTS"/>
    <s v="on 4/25/25 Before Market Eastern Standard Time"/>
    <x v="1"/>
  </r>
  <r>
    <x v="75"/>
    <s v="NMR"/>
    <s v="on 4/25/25 Before Market Eastern Standard Time"/>
    <x v="0"/>
  </r>
  <r>
    <x v="75"/>
    <s v="DSNKY"/>
    <s v="on 4/25/25 Unspecified Eastern Standard Time"/>
    <x v="0"/>
  </r>
  <r>
    <x v="75"/>
    <s v="LKFN"/>
    <s v="on 4/25/25 Before Market Eastern Standard Time"/>
    <x v="1"/>
  </r>
  <r>
    <x v="75"/>
    <s v="BALL"/>
    <s v="on 4/25/25 Before Market Eastern Standard Time"/>
    <x v="3"/>
  </r>
  <r>
    <x v="75"/>
    <s v="PHIN"/>
    <s v="on 4/25/25 Before Market Eastern Standard Time"/>
    <x v="1"/>
  </r>
  <r>
    <x v="75"/>
    <s v="SKFRY"/>
    <s v="on 4/25/25 Before Market Eastern Standard Time"/>
    <x v="0"/>
  </r>
  <r>
    <x v="75"/>
    <s v="EAF"/>
    <s v="on 4/25/25 Before Market Eastern Standard Time"/>
    <x v="1"/>
  </r>
  <r>
    <x v="75"/>
    <s v="LYB"/>
    <s v="on 4/25/25 Before Market Eastern Standard Time"/>
    <x v="3"/>
  </r>
  <r>
    <x v="75"/>
    <s v="TNET"/>
    <s v="on 4/25/25 Before Market Eastern Standard Time"/>
    <x v="1"/>
  </r>
  <r>
    <x v="75"/>
    <s v="TMP"/>
    <s v="on 4/25/25 Before Market Eastern Standard Time"/>
    <x v="1"/>
  </r>
  <r>
    <x v="75"/>
    <s v="SHG"/>
    <s v="on 4/25/25 Before Market Eastern Standard Time"/>
    <x v="0"/>
  </r>
  <r>
    <x v="75"/>
    <s v="CVEO"/>
    <s v="on 4/25/25 Before Market Eastern Standard Time"/>
    <x v="0"/>
  </r>
  <r>
    <x v="75"/>
    <s v="SAIA"/>
    <s v="on 4/25/25 Before Market Eastern Standard Time"/>
    <x v="2"/>
  </r>
  <r>
    <x v="75"/>
    <s v="SLB"/>
    <s v="on 4/25/25 Before Market Eastern Standard Time"/>
    <x v="3"/>
  </r>
  <r>
    <x v="75"/>
    <s v="NPK"/>
    <s v="on 4/25/25 Unspecified Eastern Standard Time"/>
    <x v="1"/>
  </r>
  <r>
    <x v="75"/>
    <s v="PSX"/>
    <s v="on 4/25/25 Before Market Eastern Standard Time"/>
    <x v="3"/>
  </r>
  <r>
    <x v="75"/>
    <s v="SXT"/>
    <s v="on 4/25/25 Before Market Eastern Standard Time"/>
    <x v="1"/>
  </r>
  <r>
    <x v="75"/>
    <s v="FMX"/>
    <s v="on 4/25/25 Before Market Eastern Standard Time"/>
    <x v="0"/>
  </r>
  <r>
    <x v="75"/>
    <s v="POR"/>
    <s v="on 4/25/25 Before Market Eastern Standard Time"/>
    <x v="1"/>
  </r>
  <r>
    <x v="75"/>
    <s v="GNTX"/>
    <s v="on 4/25/25 Before Market Eastern Standard Time"/>
    <x v="2"/>
  </r>
  <r>
    <x v="75"/>
    <s v="CHTR"/>
    <s v="on 4/25/25 Before Market Eastern Standard Time"/>
    <x v="3"/>
  </r>
  <r>
    <x v="75"/>
    <s v="CSUAY"/>
    <s v="on 4/25/25 Unspecified Eastern Standard Time"/>
    <x v="0"/>
  </r>
  <r>
    <x v="75"/>
    <s v="MOG/B"/>
    <s v="on 4/25/25 Before Market Eastern Standard Time"/>
    <x v="0"/>
  </r>
  <r>
    <x v="75"/>
    <s v="BCMXY"/>
    <s v="on 4/25/25 Unspecified Eastern Standard Time"/>
    <x v="0"/>
  </r>
  <r>
    <x v="75"/>
    <s v="AN"/>
    <s v="on 4/25/25 Before Market Eastern Standard Time"/>
    <x v="2"/>
  </r>
  <r>
    <x v="75"/>
    <s v="MOG/A"/>
    <s v="on 4/25/25 Before Market Eastern Standard Time"/>
    <x v="0"/>
  </r>
  <r>
    <x v="75"/>
    <s v="SHECY"/>
    <s v="on 4/25/25 Unspecified Eastern Standard Time"/>
    <x v="0"/>
  </r>
  <r>
    <x v="75"/>
    <s v="AON"/>
    <s v="on 4/25/25 Before Market Eastern Standard Time"/>
    <x v="3"/>
  </r>
  <r>
    <x v="75"/>
    <s v="HCA"/>
    <s v="on 4/25/25 Before Market Eastern Standard Time"/>
    <x v="3"/>
  </r>
  <r>
    <x v="75"/>
    <s v="WT"/>
    <s v="on 4/25/25 Before Market Eastern Standard Time"/>
    <x v="1"/>
  </r>
  <r>
    <x v="75"/>
    <s v="FLG"/>
    <s v="on 4/25/25 Before Market Eastern Standard Time"/>
    <x v="1"/>
  </r>
  <r>
    <x v="75"/>
    <s v="ABBV"/>
    <s v="on 4/25/25 Before Market Eastern Standard Time"/>
    <x v="3"/>
  </r>
  <r>
    <x v="75"/>
    <s v="CRI"/>
    <s v="on 4/25/25 Before Market Eastern Standard Time"/>
    <x v="2"/>
  </r>
  <r>
    <x v="75"/>
    <s v="PIPR"/>
    <s v="on 4/25/25 Before Market Eastern Standard Time"/>
    <x v="1"/>
  </r>
  <r>
    <x v="75"/>
    <s v="NBIS"/>
    <s v="on 4/25/25 Before Market Eastern Standard Time"/>
    <x v="0"/>
  </r>
  <r>
    <x v="75"/>
    <s v="STEL"/>
    <s v="on 4/25/25 Before Market Eastern Standard Time"/>
    <x v="1"/>
  </r>
  <r>
    <x v="76"/>
    <s v="MRBK"/>
    <s v="on 4/25/25 During Market Eastern Standard Time"/>
    <x v="0"/>
  </r>
  <r>
    <x v="76"/>
    <s v="BOTJ"/>
    <s v="on 4/25/25 During Market Eastern Standard Time"/>
    <x v="0"/>
  </r>
  <r>
    <x v="77"/>
    <s v="BHRB"/>
    <s v="on 4/25/25 After Market Eastern Standard Time"/>
    <x v="1"/>
  </r>
  <r>
    <x v="77"/>
    <s v="EBON"/>
    <s v="on 4/25/25 After Market Eastern Standard Time"/>
    <x v="0"/>
  </r>
  <r>
    <x v="78"/>
    <s v="KMTUY"/>
    <s v="on 4/28/25 Unspecified Eastern Standard Time"/>
    <x v="0"/>
  </r>
  <r>
    <x v="78"/>
    <s v="HTHIY"/>
    <s v="on 4/28/25 Unspecified Eastern Standard Time"/>
    <x v="0"/>
  </r>
  <r>
    <x v="78"/>
    <s v="COUR"/>
    <s v="on 4/28/25 Before Market Eastern Standard Time"/>
    <x v="1"/>
  </r>
  <r>
    <x v="78"/>
    <s v="CCB"/>
    <s v="on 4/28/25 Unspecified Eastern Standard Time"/>
    <x v="1"/>
  </r>
  <r>
    <x v="78"/>
    <s v="CZWI"/>
    <s v="on 4/28/25 Before Market Eastern Standard Time"/>
    <x v="0"/>
  </r>
  <r>
    <x v="78"/>
    <s v="MKTAY"/>
    <s v="on 4/28/25 Unspecified Eastern Standard Time"/>
    <x v="0"/>
  </r>
  <r>
    <x v="78"/>
    <s v="ARLP"/>
    <s v="on 4/28/25 Before Market Eastern Standard Time"/>
    <x v="0"/>
  </r>
  <r>
    <x v="78"/>
    <s v="SVA"/>
    <s v="on 4/28/25 Before Market Eastern Standard Time"/>
    <x v="0"/>
  </r>
  <r>
    <x v="78"/>
    <s v="HOPE"/>
    <s v="on 4/28/25 Before Market Eastern Standard Time"/>
    <x v="1"/>
  </r>
  <r>
    <x v="78"/>
    <s v="PROV"/>
    <s v="on 4/28/25 Before Market Eastern Standard Time"/>
    <x v="0"/>
  </r>
  <r>
    <x v="78"/>
    <s v="BKU"/>
    <s v="on 4/28/25 Before Market Eastern Standard Time"/>
    <x v="1"/>
  </r>
  <r>
    <x v="78"/>
    <s v="BSRR"/>
    <s v="on 4/28/25 Before Market Eastern Standard Time"/>
    <x v="1"/>
  </r>
  <r>
    <x v="78"/>
    <s v="MIELY"/>
    <s v="on 4/28/25 Unspecified Eastern Standard Time"/>
    <x v="0"/>
  </r>
  <r>
    <x v="78"/>
    <s v="BMRC"/>
    <s v="on 4/28/25 Before Market Eastern Standard Time"/>
    <x v="1"/>
  </r>
  <r>
    <x v="78"/>
    <s v="ROP"/>
    <s v="on 4/28/25 Before Market Eastern Standard Time"/>
    <x v="3"/>
  </r>
  <r>
    <x v="78"/>
    <s v="OLCLY"/>
    <s v="on 4/28/25 Unspecified Eastern Standard Time"/>
    <x v="0"/>
  </r>
  <r>
    <x v="78"/>
    <s v="RVTY"/>
    <s v="on 4/28/25 Before Market Eastern Standard Time"/>
    <x v="3"/>
  </r>
  <r>
    <x v="78"/>
    <s v="DPZ"/>
    <s v="on 4/28/25 Before Market Eastern Standard Time"/>
    <x v="3"/>
  </r>
  <r>
    <x v="78"/>
    <s v="SILC"/>
    <s v="on 4/28/25 Before Market Eastern Standard Time"/>
    <x v="0"/>
  </r>
  <r>
    <x v="78"/>
    <s v="EBF"/>
    <s v="on 4/28/25 Before Market Eastern Standard Time"/>
    <x v="1"/>
  </r>
  <r>
    <x v="78"/>
    <s v="DBOEY"/>
    <s v="on 4/28/25 Unspecified Eastern Standard Time"/>
    <x v="0"/>
  </r>
  <r>
    <x v="78"/>
    <s v="YUMC"/>
    <s v="on 4/28/25 Before Market Eastern Standard Time"/>
    <x v="0"/>
  </r>
  <r>
    <x v="78"/>
    <s v="GGB"/>
    <s v="on 4/28/25 Unspecified Eastern Standard Time"/>
    <x v="0"/>
  </r>
  <r>
    <x v="78"/>
    <s v="TTDKY"/>
    <s v="on 4/28/25 Before Market Eastern Standard Time"/>
    <x v="0"/>
  </r>
  <r>
    <x v="78"/>
    <s v="CX"/>
    <s v="on 4/28/25 Before Market Eastern Standard Time"/>
    <x v="0"/>
  </r>
  <r>
    <x v="79"/>
    <s v="SANM"/>
    <s v="on 4/28/25 After Market Eastern Standard Time"/>
    <x v="1"/>
  </r>
  <r>
    <x v="79"/>
    <s v="SSD"/>
    <s v="on 4/28/25 After Market Eastern Standard Time"/>
    <x v="2"/>
  </r>
  <r>
    <x v="79"/>
    <s v="HLIT"/>
    <s v="on 4/28/25 After Market Eastern Standard Time"/>
    <x v="1"/>
  </r>
  <r>
    <x v="79"/>
    <s v="NOV"/>
    <s v="on 4/28/25 After Market Eastern Standard Time"/>
    <x v="2"/>
  </r>
  <r>
    <x v="79"/>
    <s v="PARAA"/>
    <s v="on 4/28/25 After Market Eastern Standard Time"/>
    <x v="0"/>
  </r>
  <r>
    <x v="79"/>
    <s v="LSCC"/>
    <s v="on 4/28/25 After Market Eastern Standard Time"/>
    <x v="2"/>
  </r>
  <r>
    <x v="79"/>
    <s v="PLOW"/>
    <s v="on 4/28/25 After Market Eastern Standard Time"/>
    <x v="1"/>
  </r>
  <r>
    <x v="79"/>
    <s v="HSII"/>
    <s v="on 4/28/25 After Market Eastern Standard Time"/>
    <x v="1"/>
  </r>
  <r>
    <x v="79"/>
    <s v="NUE"/>
    <s v="on 4/28/25 After Market Eastern Standard Time"/>
    <x v="3"/>
  </r>
  <r>
    <x v="79"/>
    <s v="CVI"/>
    <s v="on 4/28/25 After Market Eastern Standard Time"/>
    <x v="1"/>
  </r>
  <r>
    <x v="79"/>
    <s v="SEI"/>
    <s v="on 4/28/25 After Market Eastern Standard Time"/>
    <x v="1"/>
  </r>
  <r>
    <x v="79"/>
    <s v="FSBC"/>
    <s v="on 4/28/25 After Market Eastern Standard Time"/>
    <x v="1"/>
  </r>
  <r>
    <x v="79"/>
    <s v="PARA"/>
    <s v="on 4/28/25 After Market Eastern Standard Time"/>
    <x v="3"/>
  </r>
  <r>
    <x v="79"/>
    <s v="AIN"/>
    <s v="on 4/28/25 After Market Eastern Standard Time"/>
    <x v="1"/>
  </r>
  <r>
    <x v="79"/>
    <s v="ABCB"/>
    <s v="on 4/28/25 After Market Eastern Standard Time"/>
    <x v="1"/>
  </r>
  <r>
    <x v="79"/>
    <s v="LTM"/>
    <s v="on 4/28/25 After Market Eastern Standard Time"/>
    <x v="0"/>
  </r>
  <r>
    <x v="79"/>
    <s v="MBIN"/>
    <s v="on 4/28/25 After Market Eastern Standard Time"/>
    <x v="1"/>
  </r>
  <r>
    <x v="79"/>
    <s v="KFRC"/>
    <s v="on 4/28/25 After Market Eastern Standard Time"/>
    <x v="1"/>
  </r>
  <r>
    <x v="79"/>
    <s v="NWBI"/>
    <s v="on 4/28/25 After Market Eastern Standard Time"/>
    <x v="1"/>
  </r>
  <r>
    <x v="79"/>
    <s v="ALRS"/>
    <s v="on 4/28/25 After Market Eastern Standard Time"/>
    <x v="1"/>
  </r>
  <r>
    <x v="79"/>
    <s v="SBAC"/>
    <s v="on 4/28/25 After Market Eastern Standard Time"/>
    <x v="3"/>
  </r>
  <r>
    <x v="79"/>
    <s v="CDNS"/>
    <s v="on 4/28/25 After Market Eastern Standard Time"/>
    <x v="3"/>
  </r>
  <r>
    <x v="79"/>
    <s v="CHGG"/>
    <s v="on 4/28/25 After Market Eastern Standard Time"/>
    <x v="0"/>
  </r>
  <r>
    <x v="79"/>
    <s v="GLTO"/>
    <s v="on 4/28/25 After Market Eastern Standard Time"/>
    <x v="0"/>
  </r>
  <r>
    <x v="79"/>
    <s v="LTC"/>
    <s v="on 4/28/25 After Market Eastern Standard Time"/>
    <x v="1"/>
  </r>
  <r>
    <x v="79"/>
    <s v="CR"/>
    <s v="on 4/28/25 After Market Eastern Standard Time"/>
    <x v="2"/>
  </r>
  <r>
    <x v="79"/>
    <s v="RBOT"/>
    <s v="on 4/28/25 After Market Eastern Standard Time"/>
    <x v="0"/>
  </r>
  <r>
    <x v="79"/>
    <s v="BRX"/>
    <s v="on 4/28/25 After Market Eastern Standard Time"/>
    <x v="2"/>
  </r>
  <r>
    <x v="79"/>
    <s v="SEVN"/>
    <s v="on 4/28/25 After Market Eastern Standard Time"/>
    <x v="0"/>
  </r>
  <r>
    <x v="79"/>
    <s v="MVBF"/>
    <s v="on 4/28/25 After Market Eastern Standard Time"/>
    <x v="1"/>
  </r>
  <r>
    <x v="79"/>
    <s v="PAC"/>
    <s v="on 4/28/25 After Market Eastern Standard Time"/>
    <x v="0"/>
  </r>
  <r>
    <x v="79"/>
    <s v="EKSO"/>
    <s v="on 4/28/25 After Market Eastern Standard Time"/>
    <x v="0"/>
  </r>
  <r>
    <x v="79"/>
    <s v="UMBF"/>
    <s v="on 4/28/25 After Market Eastern Standard Time"/>
    <x v="1"/>
  </r>
  <r>
    <x v="79"/>
    <s v="PCH"/>
    <s v="on 4/28/25 After Market Eastern Standard Time"/>
    <x v="1"/>
  </r>
  <r>
    <x v="79"/>
    <s v="PII"/>
    <s v="on 4/28/25 After Market Eastern Standard Time"/>
    <x v="2"/>
  </r>
  <r>
    <x v="79"/>
    <s v="PRK"/>
    <s v="on 4/28/25 After Market Eastern Standard Time"/>
    <x v="1"/>
  </r>
  <r>
    <x v="79"/>
    <s v="STRM"/>
    <s v="on 4/28/25 After Market Eastern Standard Time"/>
    <x v="0"/>
  </r>
  <r>
    <x v="79"/>
    <s v="CCK"/>
    <s v="on 4/28/25 After Market Eastern Standard Time"/>
    <x v="2"/>
  </r>
  <r>
    <x v="79"/>
    <s v="SMBC"/>
    <s v="on 4/28/25 After Market Eastern Standard Time"/>
    <x v="1"/>
  </r>
  <r>
    <x v="79"/>
    <s v="HTLF"/>
    <s v="on 4/28/25 After Market Eastern Standard Time"/>
    <x v="1"/>
  </r>
  <r>
    <x v="79"/>
    <s v="ST"/>
    <s v="on 4/28/25 After Market Eastern Standard Time"/>
    <x v="2"/>
  </r>
  <r>
    <x v="79"/>
    <s v="AMKR"/>
    <s v="on 4/28/25 After Market Eastern Standard Time"/>
    <x v="2"/>
  </r>
  <r>
    <x v="79"/>
    <s v="FLS"/>
    <s v="on 4/28/25 After Market Eastern Standard Time"/>
    <x v="2"/>
  </r>
  <r>
    <x v="79"/>
    <s v="MED"/>
    <s v="on 4/28/25 After Market Eastern Standard Time"/>
    <x v="1"/>
  </r>
  <r>
    <x v="79"/>
    <s v="UCTT"/>
    <s v="on 4/28/25 After Market Eastern Standard Time"/>
    <x v="1"/>
  </r>
  <r>
    <x v="79"/>
    <s v="TWO"/>
    <s v="on 4/28/25 After Market Eastern Standard Time"/>
    <x v="1"/>
  </r>
  <r>
    <x v="79"/>
    <s v="WM"/>
    <s v="on 4/28/25 After Market Eastern Standard Time"/>
    <x v="3"/>
  </r>
  <r>
    <x v="79"/>
    <s v="FFIV"/>
    <s v="on 4/28/25 After Market Eastern Standard Time"/>
    <x v="3"/>
  </r>
  <r>
    <x v="79"/>
    <s v="LNKB"/>
    <s v="on 4/28/25 After Market Eastern Standard Time"/>
    <x v="0"/>
  </r>
  <r>
    <x v="79"/>
    <s v="NXPI"/>
    <s v="on 4/28/25 After Market Eastern Standard Time"/>
    <x v="3"/>
  </r>
  <r>
    <x v="79"/>
    <s v="ZENV"/>
    <s v="on 4/28/25 After Market Eastern Standard Time"/>
    <x v="0"/>
  </r>
  <r>
    <x v="79"/>
    <s v="FISI"/>
    <s v="on 4/28/25 After Market Eastern Standard Time"/>
    <x v="1"/>
  </r>
  <r>
    <x v="79"/>
    <s v="CNO"/>
    <s v="on 4/28/25 After Market Eastern Standard Time"/>
    <x v="1"/>
  </r>
  <r>
    <x v="79"/>
    <s v="ARE"/>
    <s v="on 4/28/25 After Market Eastern Standard Time"/>
    <x v="3"/>
  </r>
  <r>
    <x v="79"/>
    <s v="WELL"/>
    <s v="on 4/28/25 After Market Eastern Standard Time"/>
    <x v="3"/>
  </r>
  <r>
    <x v="79"/>
    <s v="NTST"/>
    <s v="on 4/28/25 After Market Eastern Standard Time"/>
    <x v="1"/>
  </r>
  <r>
    <x v="79"/>
    <s v="LTRX"/>
    <s v="on 4/28/25 After Market Eastern Standard Time"/>
    <x v="0"/>
  </r>
  <r>
    <x v="79"/>
    <s v="RIG"/>
    <s v="on 4/28/25 After Market Eastern Standard Time"/>
    <x v="1"/>
  </r>
  <r>
    <x v="79"/>
    <s v="EFSC"/>
    <s v="on 4/28/25 After Market Eastern Standard Time"/>
    <x v="1"/>
  </r>
  <r>
    <x v="79"/>
    <s v="RMBS"/>
    <s v="on 4/28/25 After Market Eastern Standard Time"/>
    <x v="1"/>
  </r>
  <r>
    <x v="79"/>
    <s v="MSA"/>
    <s v="on 4/28/25 After Market Eastern Standard Time"/>
    <x v="2"/>
  </r>
  <r>
    <x v="79"/>
    <s v="GABC"/>
    <s v="on 4/28/25 After Market Eastern Standard Time"/>
    <x v="1"/>
  </r>
  <r>
    <x v="79"/>
    <s v="UAN"/>
    <s v="on 4/28/25 After Market Eastern Standard Time"/>
    <x v="0"/>
  </r>
  <r>
    <x v="79"/>
    <s v="BRO"/>
    <s v="on 4/28/25 After Market Eastern Standard Time"/>
    <x v="3"/>
  </r>
  <r>
    <x v="79"/>
    <s v="CDP"/>
    <s v="on 4/28/25 After Market Eastern Standard Time"/>
    <x v="1"/>
  </r>
  <r>
    <x v="79"/>
    <s v="CLW"/>
    <s v="on 4/28/25 After Market Eastern Standard Time"/>
    <x v="1"/>
  </r>
  <r>
    <x v="80"/>
    <s v="REGN"/>
    <s v="on 4/29/25 Before Market Eastern Standard Time"/>
    <x v="3"/>
  </r>
  <r>
    <x v="80"/>
    <s v="GLW"/>
    <s v="on 4/29/25 Before Market Eastern Standard Time"/>
    <x v="3"/>
  </r>
  <r>
    <x v="80"/>
    <s v="KHC"/>
    <s v="on 4/29/25 Before Market Eastern Standard Time"/>
    <x v="3"/>
  </r>
  <r>
    <x v="80"/>
    <s v="REE"/>
    <s v="on 4/29/25 Before Market Eastern Standard Time"/>
    <x v="0"/>
  </r>
  <r>
    <x v="80"/>
    <s v="PDCC"/>
    <s v="on 4/29/25 Before Market Eastern Standard Time"/>
    <x v="0"/>
  </r>
  <r>
    <x v="80"/>
    <s v="AOS"/>
    <s v="on 4/29/25 Before Market Eastern Standard Time"/>
    <x v="3"/>
  </r>
  <r>
    <x v="80"/>
    <s v="SYY"/>
    <s v="on 4/29/25 Before Market Eastern Standard Time"/>
    <x v="3"/>
  </r>
  <r>
    <x v="80"/>
    <s v="AWI"/>
    <s v="on 4/29/25 Before Market Eastern Standard Time"/>
    <x v="0"/>
  </r>
  <r>
    <x v="80"/>
    <s v="SASR"/>
    <s v="on 4/29/25 Before Market Eastern Standard Time"/>
    <x v="1"/>
  </r>
  <r>
    <x v="80"/>
    <s v="ARVN"/>
    <s v="on 4/29/25 Before Market Eastern Standard Time"/>
    <x v="1"/>
  </r>
  <r>
    <x v="80"/>
    <s v="REPYY"/>
    <s v="on 4/29/25 Unspecified Eastern Standard Time"/>
    <x v="0"/>
  </r>
  <r>
    <x v="80"/>
    <s v="BCH"/>
    <s v="on 4/29/25 Unspecified Eastern Standard Time"/>
    <x v="0"/>
  </r>
  <r>
    <x v="80"/>
    <s v="RITM"/>
    <s v="on 4/29/25 Before Market Eastern Standard Time"/>
    <x v="0"/>
  </r>
  <r>
    <x v="80"/>
    <s v="ELUXY"/>
    <s v="on 4/29/25 Before Market Eastern Standard Time"/>
    <x v="0"/>
  </r>
  <r>
    <x v="80"/>
    <s v="CPAC"/>
    <s v="on 4/29/25 Unspecified Eastern Standard Time"/>
    <x v="0"/>
  </r>
  <r>
    <x v="80"/>
    <s v="BHKLY"/>
    <s v="on 4/29/25 Unspecified Eastern Standard Time"/>
    <x v="0"/>
  </r>
  <r>
    <x v="80"/>
    <s v="DTM"/>
    <s v="on 4/29/25 Before Market Eastern Standard Time"/>
    <x v="2"/>
  </r>
  <r>
    <x v="80"/>
    <s v="SOFI"/>
    <s v="on 4/29/25 Before Market Eastern Standard Time"/>
    <x v="0"/>
  </r>
  <r>
    <x v="80"/>
    <s v="SITC"/>
    <s v="on 4/29/25 Before Market Eastern Standard Time"/>
    <x v="1"/>
  </r>
  <r>
    <x v="80"/>
    <s v="IPGP"/>
    <s v="on 4/29/25 Before Market Eastern Standard Time"/>
    <x v="2"/>
  </r>
  <r>
    <x v="80"/>
    <s v="BACHY"/>
    <s v="on 4/29/25 Unspecified Eastern Standard Time"/>
    <x v="0"/>
  </r>
  <r>
    <x v="80"/>
    <s v="CWK"/>
    <s v="on 4/29/25 Before Market Eastern Standard Time"/>
    <x v="1"/>
  </r>
  <r>
    <x v="80"/>
    <s v="CICHY"/>
    <s v="on 4/29/25 Unspecified Eastern Standard Time"/>
    <x v="0"/>
  </r>
  <r>
    <x v="80"/>
    <s v="ZBRA"/>
    <s v="on 4/29/25 Before Market Eastern Standard Time"/>
    <x v="3"/>
  </r>
  <r>
    <x v="80"/>
    <s v="ECL"/>
    <s v="on 4/29/25 Before Market Eastern Standard Time"/>
    <x v="3"/>
  </r>
  <r>
    <x v="80"/>
    <s v="GEHC"/>
    <s v="on 4/29/25 Before Market Eastern Standard Time"/>
    <x v="3"/>
  </r>
  <r>
    <x v="80"/>
    <s v="ARCC"/>
    <s v="on 4/29/25 Before Market Eastern Standard Time"/>
    <x v="0"/>
  </r>
  <r>
    <x v="80"/>
    <s v="THRM"/>
    <s v="on 4/29/25 Before Market Eastern Standard Time"/>
    <x v="1"/>
  </r>
  <r>
    <x v="80"/>
    <s v="XYL"/>
    <s v="on 4/29/25 Before Market Eastern Standard Time"/>
    <x v="3"/>
  </r>
  <r>
    <x v="80"/>
    <s v="CBU"/>
    <s v="on 4/29/25 Before Market Eastern Standard Time"/>
    <x v="1"/>
  </r>
  <r>
    <x v="80"/>
    <s v="XRX"/>
    <s v="on 4/29/25 Before Market Eastern Standard Time"/>
    <x v="1"/>
  </r>
  <r>
    <x v="80"/>
    <s v="HLT"/>
    <s v="on 4/29/25 Before Market Eastern Standard Time"/>
    <x v="3"/>
  </r>
  <r>
    <x v="80"/>
    <s v="BBVA"/>
    <s v="on 4/29/25 Before Market Eastern Standard Time"/>
    <x v="0"/>
  </r>
  <r>
    <x v="80"/>
    <s v="HNI"/>
    <s v="on 4/29/25 Before Market Eastern Standard Time"/>
    <x v="1"/>
  </r>
  <r>
    <x v="80"/>
    <s v="GM"/>
    <s v="on 4/29/25 Before Market Eastern Standard Time"/>
    <x v="3"/>
  </r>
  <r>
    <x v="80"/>
    <s v="ARCB"/>
    <s v="on 4/29/25 Before Market Eastern Standard Time"/>
    <x v="1"/>
  </r>
  <r>
    <x v="80"/>
    <s v="UPS"/>
    <s v="on 4/29/25 Before Market Eastern Standard Time"/>
    <x v="3"/>
  </r>
  <r>
    <x v="80"/>
    <s v="FNMA"/>
    <s v="on 4/29/25 Before Market Eastern Standard Time"/>
    <x v="0"/>
  </r>
  <r>
    <x v="80"/>
    <s v="VNCE"/>
    <s v="on 4/29/25 Before Market Eastern Standard Time"/>
    <x v="0"/>
  </r>
  <r>
    <x v="80"/>
    <s v="PYPL"/>
    <s v="on 4/29/25 Before Market Eastern Standard Time"/>
    <x v="3"/>
  </r>
  <r>
    <x v="80"/>
    <s v="FSS"/>
    <s v="on 4/29/25 Before Market Eastern Standard Time"/>
    <x v="1"/>
  </r>
  <r>
    <x v="80"/>
    <s v="LGIH"/>
    <s v="on 4/29/25 Before Market Eastern Standard Time"/>
    <x v="1"/>
  </r>
  <r>
    <x v="80"/>
    <s v="SHW"/>
    <s v="on 4/29/25 Before Market Eastern Standard Time"/>
    <x v="3"/>
  </r>
  <r>
    <x v="80"/>
    <s v="FNWB"/>
    <s v="on 4/29/25 Unspecified Eastern Standard Time"/>
    <x v="0"/>
  </r>
  <r>
    <x v="80"/>
    <s v="PCAR"/>
    <s v="on 4/29/25 Before Market Eastern Standard Time"/>
    <x v="3"/>
  </r>
  <r>
    <x v="80"/>
    <s v="NXRT"/>
    <s v="on 4/29/25 Before Market Eastern Standard Time"/>
    <x v="1"/>
  </r>
  <r>
    <x v="80"/>
    <s v="DQ"/>
    <s v="on 4/29/25 Before Market Eastern Standard Time"/>
    <x v="0"/>
  </r>
  <r>
    <x v="80"/>
    <s v="CECO"/>
    <s v="on 4/29/25 Before Market Eastern Standard Time"/>
    <x v="1"/>
  </r>
  <r>
    <x v="80"/>
    <s v="LH"/>
    <s v="on 4/29/25 Before Market Eastern Standard Time"/>
    <x v="3"/>
  </r>
  <r>
    <x v="80"/>
    <s v="SSNHZ"/>
    <s v="on 4/29/25 Unspecified Eastern Standard Time"/>
    <x v="0"/>
  </r>
  <r>
    <x v="80"/>
    <s v="DB"/>
    <s v="on 4/29/25 Before Market Eastern Standard Time"/>
    <x v="0"/>
  </r>
  <r>
    <x v="80"/>
    <s v="NAUT"/>
    <s v="on 4/29/25 Before Market Eastern Standard Time"/>
    <x v="0"/>
  </r>
  <r>
    <x v="80"/>
    <s v="NVS"/>
    <s v="on 4/29/25 Before Market Eastern Standard Time"/>
    <x v="0"/>
  </r>
  <r>
    <x v="80"/>
    <s v="SRL"/>
    <s v="on 4/29/25 Before Market Eastern Standard Time"/>
    <x v="0"/>
  </r>
  <r>
    <x v="80"/>
    <s v="PTAIY"/>
    <s v="on 4/29/25 Unspecified Eastern Standard Time"/>
    <x v="0"/>
  </r>
  <r>
    <x v="80"/>
    <s v="TV"/>
    <s v="on 4/29/25 Unspecified Eastern Standard Time"/>
    <x v="0"/>
  </r>
  <r>
    <x v="80"/>
    <s v="INCY"/>
    <s v="on 4/29/25 Before Market Eastern Standard Time"/>
    <x v="3"/>
  </r>
  <r>
    <x v="80"/>
    <s v="LODE"/>
    <s v="on 4/29/25 Unspecified Eastern Standard Time"/>
    <x v="0"/>
  </r>
  <r>
    <x v="80"/>
    <s v="CIHKY"/>
    <s v="on 4/29/25 Unspecified Eastern Standard Time"/>
    <x v="0"/>
  </r>
  <r>
    <x v="80"/>
    <s v="HUBB"/>
    <s v="on 4/29/25 Before Market Eastern Standard Time"/>
    <x v="3"/>
  </r>
  <r>
    <x v="80"/>
    <s v="MLCO"/>
    <s v="on 4/29/25 Before Market Eastern Standard Time"/>
    <x v="0"/>
  </r>
  <r>
    <x v="80"/>
    <s v="TRS"/>
    <s v="on 4/29/25 Before Market Eastern Standard Time"/>
    <x v="1"/>
  </r>
  <r>
    <x v="80"/>
    <s v="MMM"/>
    <s v="on 4/29/25 Before Market Eastern Standard Time"/>
    <x v="3"/>
  </r>
  <r>
    <x v="80"/>
    <s v="AMT"/>
    <s v="on 4/29/25 Before Market Eastern Standard Time"/>
    <x v="3"/>
  </r>
  <r>
    <x v="80"/>
    <s v="BLKB"/>
    <s v="on 4/29/25 Before Market Eastern Standard Time"/>
    <x v="1"/>
  </r>
  <r>
    <x v="80"/>
    <s v="EPD"/>
    <s v="on 4/29/25 Before Market Eastern Standard Time"/>
    <x v="0"/>
  </r>
  <r>
    <x v="80"/>
    <s v="ASBFY"/>
    <s v="on 4/29/25 Unspecified Eastern Standard Time"/>
    <x v="0"/>
  </r>
  <r>
    <x v="80"/>
    <s v="SCL"/>
    <s v="on 4/29/25 Before Market Eastern Standard Time"/>
    <x v="1"/>
  </r>
  <r>
    <x v="80"/>
    <s v="MCO"/>
    <s v="on 4/29/25 Before Market Eastern Standard Time"/>
    <x v="3"/>
  </r>
  <r>
    <x v="80"/>
    <s v="BP"/>
    <s v="on 4/29/25 Before Market Eastern Standard Time"/>
    <x v="0"/>
  </r>
  <r>
    <x v="80"/>
    <s v="NEO"/>
    <s v="on 4/29/25 Before Market Eastern Standard Time"/>
    <x v="1"/>
  </r>
  <r>
    <x v="80"/>
    <s v="ENIC"/>
    <s v="on 4/29/25 Unspecified Eastern Standard Time"/>
    <x v="0"/>
  </r>
  <r>
    <x v="80"/>
    <s v="SFD"/>
    <s v="on 4/29/25 Before Market Eastern Standard Time"/>
    <x v="0"/>
  </r>
  <r>
    <x v="80"/>
    <s v="MO"/>
    <s v="on 4/29/25 Before Market Eastern Standard Time"/>
    <x v="3"/>
  </r>
  <r>
    <x v="80"/>
    <s v="PFE"/>
    <s v="on 4/29/25 Before Market Eastern Standard Time"/>
    <x v="3"/>
  </r>
  <r>
    <x v="80"/>
    <s v="CAC"/>
    <s v="on 4/29/25 Before Market Eastern Standard Time"/>
    <x v="1"/>
  </r>
  <r>
    <x v="80"/>
    <s v="CAT"/>
    <s v="on 4/29/25 Before Market Eastern Standard Time"/>
    <x v="3"/>
  </r>
  <r>
    <x v="80"/>
    <s v="TT"/>
    <s v="on 4/29/25 Before Market Eastern Standard Time"/>
    <x v="3"/>
  </r>
  <r>
    <x v="80"/>
    <s v="IT"/>
    <s v="on 4/29/25 Before Market Eastern Standard Time"/>
    <x v="3"/>
  </r>
  <r>
    <x v="80"/>
    <s v="THC"/>
    <s v="on 4/29/25 Before Market Eastern Standard Time"/>
    <x v="2"/>
  </r>
  <r>
    <x v="80"/>
    <s v="CC"/>
    <s v="on 4/29/25 Before Market Eastern Standard Time"/>
    <x v="2"/>
  </r>
  <r>
    <x v="80"/>
    <s v="ETN"/>
    <s v="on 4/29/25 Before Market Eastern Standard Time"/>
    <x v="3"/>
  </r>
  <r>
    <x v="80"/>
    <s v="ITW"/>
    <s v="on 4/29/25 Before Market Eastern Standard Time"/>
    <x v="3"/>
  </r>
  <r>
    <x v="80"/>
    <s v="HON"/>
    <s v="on 4/29/25 Before Market Eastern Standard Time"/>
    <x v="3"/>
  </r>
  <r>
    <x v="80"/>
    <s v="OMF"/>
    <s v="on 4/29/25 Before Market Eastern Standard Time"/>
    <x v="0"/>
  </r>
  <r>
    <x v="80"/>
    <s v="MSC"/>
    <s v="on 4/29/25 Before Market Eastern Standard Time"/>
    <x v="0"/>
  </r>
  <r>
    <x v="80"/>
    <s v="DENN"/>
    <s v="on 4/29/25 Before Market Eastern Standard Time"/>
    <x v="1"/>
  </r>
  <r>
    <x v="80"/>
    <s v="AZN"/>
    <s v="on 4/29/25 Before Market Eastern Standard Time"/>
    <x v="4"/>
  </r>
  <r>
    <x v="80"/>
    <s v="SPOT"/>
    <s v="on 4/29/25 Before Market Eastern Standard Time"/>
    <x v="0"/>
  </r>
  <r>
    <x v="80"/>
    <s v="HSBC"/>
    <s v="on 4/29/25 Before Market Eastern Standard Time"/>
    <x v="0"/>
  </r>
  <r>
    <x v="80"/>
    <s v="PUMP"/>
    <s v="on 4/29/25 Before Market Eastern Standard Time"/>
    <x v="1"/>
  </r>
  <r>
    <x v="80"/>
    <s v="WMMVY"/>
    <s v="on 4/29/25 Unspecified Eastern Standard Time"/>
    <x v="0"/>
  </r>
  <r>
    <x v="80"/>
    <s v="CURB"/>
    <s v="on 4/29/25 Before Market Eastern Standard Time"/>
    <x v="1"/>
  </r>
  <r>
    <x v="80"/>
    <s v="LDOS"/>
    <s v="on 4/29/25 Before Market Eastern Standard Time"/>
    <x v="3"/>
  </r>
  <r>
    <x v="80"/>
    <s v="ASTE"/>
    <s v="on 4/29/25 Before Market Eastern Standard Time"/>
    <x v="1"/>
  </r>
  <r>
    <x v="80"/>
    <s v="AMCR"/>
    <s v="on 4/29/25 Before Market Eastern Standard Time"/>
    <x v="3"/>
  </r>
  <r>
    <x v="80"/>
    <s v="ADM"/>
    <s v="on 4/29/25 Before Market Eastern Standard Time"/>
    <x v="3"/>
  </r>
  <r>
    <x v="80"/>
    <s v="CLVT"/>
    <s v="on 4/29/25 Before Market Eastern Standard Time"/>
    <x v="0"/>
  </r>
  <r>
    <x v="80"/>
    <s v="PEG"/>
    <s v="on 4/29/25 Before Market Eastern Standard Time"/>
    <x v="3"/>
  </r>
  <r>
    <x v="80"/>
    <s v="PNR"/>
    <s v="on 4/29/25 Before Market Eastern Standard Time"/>
    <x v="3"/>
  </r>
  <r>
    <x v="80"/>
    <s v="MLM"/>
    <s v="on 4/29/25 Before Market Eastern Standard Time"/>
    <x v="3"/>
  </r>
  <r>
    <x v="80"/>
    <s v="NHYDY"/>
    <s v="on 4/29/25 Before Market Eastern Standard Time"/>
    <x v="0"/>
  </r>
  <r>
    <x v="80"/>
    <s v="EAT"/>
    <s v="on 4/29/25 Before Market Eastern Standard Time"/>
    <x v="1"/>
  </r>
  <r>
    <x v="80"/>
    <s v="MNY"/>
    <s v="on 4/29/25 Before Market Eastern Standard Time"/>
    <x v="0"/>
  </r>
  <r>
    <x v="80"/>
    <s v="KO"/>
    <s v="on 4/29/25 Before Market Eastern Standard Time"/>
    <x v="3"/>
  </r>
  <r>
    <x v="80"/>
    <s v="WGS"/>
    <s v="on 4/29/25 Before Market Eastern Standard Time"/>
    <x v="1"/>
  </r>
  <r>
    <x v="80"/>
    <s v="OPCH"/>
    <s v="on 4/29/25 Before Market Eastern Standard Time"/>
    <x v="1"/>
  </r>
  <r>
    <x v="80"/>
    <s v="CVLT"/>
    <s v="on 4/29/25 Before Market Eastern Standard Time"/>
    <x v="1"/>
  </r>
  <r>
    <x v="80"/>
    <s v="ADDYY"/>
    <s v="on 4/29/25 Before Market Eastern Standard Time"/>
    <x v="0"/>
  </r>
  <r>
    <x v="80"/>
    <s v="SPGI"/>
    <s v="on 4/29/25 Before Market Eastern Standard Time"/>
    <x v="3"/>
  </r>
  <r>
    <x v="81"/>
    <s v="ASMIY"/>
    <s v="on 4/29/25 During Market Eastern Standard Time"/>
    <x v="0"/>
  </r>
  <r>
    <x v="81"/>
    <s v="THFF"/>
    <s v="on 4/29/25 During Market Eastern Standard Time"/>
    <x v="1"/>
  </r>
  <r>
    <x v="81"/>
    <s v="VIRDY"/>
    <s v="on 4/29/25 During Market Eastern Standard Time"/>
    <x v="0"/>
  </r>
  <r>
    <x v="82"/>
    <s v="FNRN"/>
    <s v="on 4/29/25 After Market Eastern Standard Time"/>
    <x v="0"/>
  </r>
  <r>
    <x v="82"/>
    <s v="BYSI"/>
    <s v="on 4/29/25 After Market Eastern Standard Time"/>
    <x v="0"/>
  </r>
  <r>
    <x v="82"/>
    <s v="TSBK"/>
    <s v="on 4/29/25 After Market Eastern Standard Time"/>
    <x v="1"/>
  </r>
  <r>
    <x v="82"/>
    <s v="BRSP"/>
    <s v="on 4/29/25 After Market Eastern Standard Time"/>
    <x v="1"/>
  </r>
  <r>
    <x v="82"/>
    <s v="ESSA"/>
    <s v="on 4/29/25 After Market Eastern Standard Time"/>
    <x v="0"/>
  </r>
  <r>
    <x v="82"/>
    <s v="APAM"/>
    <s v="on 4/29/25 After Market Eastern Standard Time"/>
    <x v="1"/>
  </r>
  <r>
    <x v="82"/>
    <s v="WPC"/>
    <s v="on 4/29/25 After Market Eastern Standard Time"/>
    <x v="2"/>
  </r>
  <r>
    <x v="82"/>
    <s v="SWKS"/>
    <s v="on 4/29/25 After Market Eastern Standard Time"/>
    <x v="3"/>
  </r>
  <r>
    <x v="82"/>
    <s v="QUAD"/>
    <s v="on 4/29/25 After Market Eastern Standard Time"/>
    <x v="1"/>
  </r>
  <r>
    <x v="82"/>
    <s v="ILPT"/>
    <s v="on 4/29/25 After Market Eastern Standard Time"/>
    <x v="1"/>
  </r>
  <r>
    <x v="82"/>
    <s v="LRN"/>
    <s v="on 4/29/25 After Market Eastern Standard Time"/>
    <x v="1"/>
  </r>
  <r>
    <x v="82"/>
    <s v="FRSH"/>
    <s v="on 4/29/25 After Market Eastern Standard Time"/>
    <x v="1"/>
  </r>
  <r>
    <x v="82"/>
    <s v="MCY"/>
    <s v="on 4/29/25 After Market Eastern Standard Time"/>
    <x v="1"/>
  </r>
  <r>
    <x v="82"/>
    <s v="FSP"/>
    <s v="on 4/29/25 After Market Eastern Standard Time"/>
    <x v="0"/>
  </r>
  <r>
    <x v="82"/>
    <s v="FIBK"/>
    <s v="on 4/29/25 After Market Eastern Standard Time"/>
    <x v="1"/>
  </r>
  <r>
    <x v="82"/>
    <s v="HIW"/>
    <s v="on 4/29/25 After Market Eastern Standard Time"/>
    <x v="0"/>
  </r>
  <r>
    <x v="82"/>
    <s v="LOGI"/>
    <s v="on 4/29/25 After Market Eastern Standard Time"/>
    <x v="0"/>
  </r>
  <r>
    <x v="82"/>
    <s v="HEES"/>
    <s v="on 4/29/25 After Market Eastern Standard Time"/>
    <x v="1"/>
  </r>
  <r>
    <x v="82"/>
    <s v="SNAP"/>
    <s v="on 4/29/25 After Market Eastern Standard Time"/>
    <x v="0"/>
  </r>
  <r>
    <x v="82"/>
    <s v="EIX"/>
    <s v="on 4/29/25 After Market Eastern Standard Time"/>
    <x v="3"/>
  </r>
  <r>
    <x v="82"/>
    <s v="ARI"/>
    <s v="on 4/29/25 After Market Eastern Standard Time"/>
    <x v="1"/>
  </r>
  <r>
    <x v="82"/>
    <s v="ENVA"/>
    <s v="on 4/29/25 After Market Eastern Standard Time"/>
    <x v="1"/>
  </r>
  <r>
    <x v="82"/>
    <s v="RWT"/>
    <s v="on 4/29/25 After Market Eastern Standard Time"/>
    <x v="1"/>
  </r>
  <r>
    <x v="82"/>
    <s v="HYLN"/>
    <s v="on 4/29/25 After Market Eastern Standard Time"/>
    <x v="1"/>
  </r>
  <r>
    <x v="82"/>
    <s v="USNA"/>
    <s v="on 4/29/25 After Market Eastern Standard Time"/>
    <x v="1"/>
  </r>
  <r>
    <x v="82"/>
    <s v="WSBC"/>
    <s v="on 4/29/25 After Market Eastern Standard Time"/>
    <x v="1"/>
  </r>
  <r>
    <x v="82"/>
    <s v="BXC"/>
    <s v="on 4/29/25 After Market Eastern Standard Time"/>
    <x v="1"/>
  </r>
  <r>
    <x v="82"/>
    <s v="FFIC"/>
    <s v="on 4/29/25 After Market Eastern Standard Time"/>
    <x v="1"/>
  </r>
  <r>
    <x v="82"/>
    <s v="WTTR"/>
    <s v="on 4/29/25 After Market Eastern Standard Time"/>
    <x v="1"/>
  </r>
  <r>
    <x v="82"/>
    <s v="BKNG"/>
    <s v="on 4/29/25 After Market Eastern Standard Time"/>
    <x v="3"/>
  </r>
  <r>
    <x v="82"/>
    <s v="MFIN"/>
    <s v="on 4/29/25 After Market Eastern Standard Time"/>
    <x v="1"/>
  </r>
  <r>
    <x v="82"/>
    <s v="TMDX"/>
    <s v="on 4/29/25 After Market Eastern Standard Time"/>
    <x v="1"/>
  </r>
  <r>
    <x v="82"/>
    <s v="ATGN"/>
    <s v="on 4/29/25 After Market Eastern Standard Time"/>
    <x v="0"/>
  </r>
  <r>
    <x v="82"/>
    <s v="USLM"/>
    <s v="on 4/29/25 After Market Eastern Standard Time"/>
    <x v="1"/>
  </r>
  <r>
    <x v="82"/>
    <s v="EXR"/>
    <s v="on 4/29/25 After Market Eastern Standard Time"/>
    <x v="3"/>
  </r>
  <r>
    <x v="82"/>
    <s v="QGEN"/>
    <s v="on 4/29/25 After Market Eastern Standard Time"/>
    <x v="0"/>
  </r>
  <r>
    <x v="82"/>
    <s v="FCBC"/>
    <s v="on 4/29/25 After Market Eastern Standard Time"/>
    <x v="1"/>
  </r>
  <r>
    <x v="82"/>
    <s v="NMIH"/>
    <s v="on 4/29/25 After Market Eastern Standard Time"/>
    <x v="1"/>
  </r>
  <r>
    <x v="82"/>
    <s v="TRTX"/>
    <s v="on 4/29/25 After Market Eastern Standard Time"/>
    <x v="1"/>
  </r>
  <r>
    <x v="82"/>
    <s v="UNM"/>
    <s v="on 4/29/25 After Market Eastern Standard Time"/>
    <x v="2"/>
  </r>
  <r>
    <x v="82"/>
    <s v="BGFV"/>
    <s v="on 4/29/25 After Market Eastern Standard Time"/>
    <x v="0"/>
  </r>
  <r>
    <x v="82"/>
    <s v="TFSL"/>
    <s v="on 4/29/25 After Market Eastern Standard Time"/>
    <x v="0"/>
  </r>
  <r>
    <x v="82"/>
    <s v="LSTR"/>
    <s v="on 4/29/25 After Market Eastern Standard Time"/>
    <x v="2"/>
  </r>
  <r>
    <x v="82"/>
    <s v="HURN"/>
    <s v="on 4/29/25 After Market Eastern Standard Time"/>
    <x v="1"/>
  </r>
  <r>
    <x v="82"/>
    <s v="ESI"/>
    <s v="on 4/29/25 After Market Eastern Standard Time"/>
    <x v="0"/>
  </r>
  <r>
    <x v="82"/>
    <s v="EBTC"/>
    <s v="on 4/29/25 After Market Eastern Standard Time"/>
    <x v="1"/>
  </r>
  <r>
    <x v="82"/>
    <s v="FSLR"/>
    <s v="on 4/29/25 After Market Eastern Standard Time"/>
    <x v="3"/>
  </r>
  <r>
    <x v="82"/>
    <s v="WSBF"/>
    <s v="on 4/29/25 After Market Eastern Standard Time"/>
    <x v="1"/>
  </r>
  <r>
    <x v="82"/>
    <s v="EQR"/>
    <s v="on 4/29/25 After Market Eastern Standard Time"/>
    <x v="3"/>
  </r>
  <r>
    <x v="82"/>
    <s v="LMND"/>
    <s v="on 4/29/25 After Market Eastern Standard Time"/>
    <x v="1"/>
  </r>
  <r>
    <x v="82"/>
    <s v="OS"/>
    <s v="on 4/29/25 After Market Eastern Standard Time"/>
    <x v="0"/>
  </r>
  <r>
    <x v="82"/>
    <s v="AROC"/>
    <s v="on 4/29/25 After Market Eastern Standard Time"/>
    <x v="1"/>
  </r>
  <r>
    <x v="82"/>
    <s v="FPI"/>
    <s v="on 4/29/25 After Market Eastern Standard Time"/>
    <x v="1"/>
  </r>
  <r>
    <x v="82"/>
    <s v="OKE"/>
    <s v="on 4/29/25 After Market Eastern Standard Time"/>
    <x v="3"/>
  </r>
  <r>
    <x v="82"/>
    <s v="EXE"/>
    <s v="on 4/29/25 After Market Eastern Standard Time"/>
    <x v="2"/>
  </r>
  <r>
    <x v="82"/>
    <s v="LFUS"/>
    <s v="on 4/29/25 After Market Eastern Standard Time"/>
    <x v="2"/>
  </r>
  <r>
    <x v="82"/>
    <s v="UFPI"/>
    <s v="on 4/29/25 After Market Eastern Standard Time"/>
    <x v="1"/>
  </r>
  <r>
    <x v="82"/>
    <s v="CBNA"/>
    <s v="on 4/29/25 After Market Eastern Standard Time"/>
    <x v="0"/>
  </r>
  <r>
    <x v="82"/>
    <s v="NWE"/>
    <s v="on 4/29/25 After Market Eastern Standard Time"/>
    <x v="1"/>
  </r>
  <r>
    <x v="82"/>
    <s v="TTI"/>
    <s v="on 4/29/25 After Market Eastern Standard Time"/>
    <x v="1"/>
  </r>
  <r>
    <x v="82"/>
    <s v="HAFC"/>
    <s v="on 4/29/25 After Market Eastern Standard Time"/>
    <x v="1"/>
  </r>
  <r>
    <x v="82"/>
    <s v="HMST"/>
    <s v="on 4/29/25 After Market Eastern Standard Time"/>
    <x v="1"/>
  </r>
  <r>
    <x v="82"/>
    <s v="GOOGL"/>
    <s v="on 4/29/25 After Market Eastern Standard Time"/>
    <x v="3"/>
  </r>
  <r>
    <x v="82"/>
    <s v="STAG"/>
    <s v="on 4/29/25 After Market Eastern Standard Time"/>
    <x v="2"/>
  </r>
  <r>
    <x v="82"/>
    <s v="EQH"/>
    <s v="on 4/29/25 After Market Eastern Standard Time"/>
    <x v="2"/>
  </r>
  <r>
    <x v="82"/>
    <s v="SB"/>
    <s v="on 4/29/25 After Market Eastern Standard Time"/>
    <x v="1"/>
  </r>
  <r>
    <x v="82"/>
    <s v="RNST"/>
    <s v="on 4/29/25 After Market Eastern Standard Time"/>
    <x v="1"/>
  </r>
  <r>
    <x v="82"/>
    <s v="VBTX"/>
    <s v="on 4/29/25 After Market Eastern Standard Time"/>
    <x v="1"/>
  </r>
  <r>
    <x v="82"/>
    <s v="KRG"/>
    <s v="on 4/29/25 After Market Eastern Standard Time"/>
    <x v="1"/>
  </r>
  <r>
    <x v="82"/>
    <s v="SEB"/>
    <s v="on 4/29/25 After Market Eastern Standard Time"/>
    <x v="0"/>
  </r>
  <r>
    <x v="82"/>
    <s v="VREX"/>
    <s v="on 4/29/25 After Market Eastern Standard Time"/>
    <x v="1"/>
  </r>
  <r>
    <x v="82"/>
    <s v="MIR"/>
    <s v="on 4/29/25 After Market Eastern Standard Time"/>
    <x v="1"/>
  </r>
  <r>
    <x v="82"/>
    <s v="LUMN"/>
    <s v="on 4/29/25 After Market Eastern Standard Time"/>
    <x v="1"/>
  </r>
  <r>
    <x v="82"/>
    <s v="GIC"/>
    <s v="on 4/29/25 After Market Eastern Standard Time"/>
    <x v="1"/>
  </r>
  <r>
    <x v="82"/>
    <s v="REG"/>
    <s v="on 4/29/25 After Market Eastern Standard Time"/>
    <x v="3"/>
  </r>
  <r>
    <x v="82"/>
    <s v="TRVG"/>
    <s v="on 4/29/25 After Market Eastern Standard Time"/>
    <x v="0"/>
  </r>
  <r>
    <x v="82"/>
    <s v="NGD"/>
    <s v="on 4/29/25 After Market Eastern Standard Time"/>
    <x v="0"/>
  </r>
  <r>
    <x v="82"/>
    <s v="DHIL"/>
    <s v="on 4/29/25 After Market Eastern Standard Time"/>
    <x v="1"/>
  </r>
  <r>
    <x v="82"/>
    <s v="FORR"/>
    <s v="on 4/29/25 After Market Eastern Standard Time"/>
    <x v="1"/>
  </r>
  <r>
    <x v="82"/>
    <s v="SON"/>
    <s v="on 4/29/25 After Market Eastern Standard Time"/>
    <x v="2"/>
  </r>
  <r>
    <x v="82"/>
    <s v="MTAL"/>
    <s v="on 4/29/25 After Market Eastern Standard Time"/>
    <x v="1"/>
  </r>
  <r>
    <x v="82"/>
    <s v="NRC"/>
    <s v="on 4/29/25 After Market Eastern Standard Time"/>
    <x v="1"/>
  </r>
  <r>
    <x v="82"/>
    <s v="TREE"/>
    <s v="on 4/29/25 After Market Eastern Standard Time"/>
    <x v="1"/>
  </r>
  <r>
    <x v="82"/>
    <s v="BFIN"/>
    <s v="on 4/29/25 After Market Eastern Standard Time"/>
    <x v="0"/>
  </r>
  <r>
    <x v="82"/>
    <s v="JBGS"/>
    <s v="on 4/29/25 After Market Eastern Standard Time"/>
    <x v="1"/>
  </r>
  <r>
    <x v="82"/>
    <s v="MMSI"/>
    <s v="on 4/29/25 After Market Eastern Standard Time"/>
    <x v="1"/>
  </r>
  <r>
    <x v="82"/>
    <s v="LXFR"/>
    <s v="on 4/29/25 After Market Eastern Standard Time"/>
    <x v="1"/>
  </r>
  <r>
    <x v="82"/>
    <s v="PSA"/>
    <s v="on 4/29/25 After Market Eastern Standard Time"/>
    <x v="3"/>
  </r>
  <r>
    <x v="82"/>
    <s v="ESS"/>
    <s v="on 4/29/25 After Market Eastern Standard Time"/>
    <x v="3"/>
  </r>
  <r>
    <x v="82"/>
    <s v="ETWO"/>
    <s v="on 4/29/25 After Market Eastern Standard Time"/>
    <x v="1"/>
  </r>
  <r>
    <x v="82"/>
    <s v="MSTR"/>
    <s v="on 4/29/25 After Market Eastern Standard Time"/>
    <x v="0"/>
  </r>
  <r>
    <x v="82"/>
    <s v="AKO/B"/>
    <s v="on 4/29/25 After Market Eastern Standard Time"/>
    <x v="0"/>
  </r>
  <r>
    <x v="82"/>
    <s v="SBUX"/>
    <s v="on 4/29/25 After Market Eastern Standard Time"/>
    <x v="3"/>
  </r>
  <r>
    <x v="82"/>
    <s v="AKR"/>
    <s v="on 4/29/25 After Market Eastern Standard Time"/>
    <x v="1"/>
  </r>
  <r>
    <x v="82"/>
    <s v="CHCT"/>
    <s v="on 4/29/25 After Market Eastern Standard Time"/>
    <x v="1"/>
  </r>
  <r>
    <x v="82"/>
    <s v="LC"/>
    <s v="on 4/29/25 After Market Eastern Standard Time"/>
    <x v="1"/>
  </r>
  <r>
    <x v="82"/>
    <s v="CZR"/>
    <s v="on 4/29/25 After Market Eastern Standard Time"/>
    <x v="3"/>
  </r>
  <r>
    <x v="82"/>
    <s v="HI"/>
    <s v="on 4/29/25 After Market Eastern Standard Time"/>
    <x v="1"/>
  </r>
  <r>
    <x v="82"/>
    <s v="AKO/A"/>
    <s v="on 4/29/25 After Market Eastern Standard Time"/>
    <x v="0"/>
  </r>
  <r>
    <x v="82"/>
    <s v="WERN"/>
    <s v="on 4/29/25 After Market Eastern Standard Time"/>
    <x v="1"/>
  </r>
  <r>
    <x v="82"/>
    <s v="TXG"/>
    <s v="on 4/29/25 After Market Eastern Standard Time"/>
    <x v="0"/>
  </r>
  <r>
    <x v="82"/>
    <s v="AMSF"/>
    <s v="on 4/29/25 After Market Eastern Standard Time"/>
    <x v="1"/>
  </r>
  <r>
    <x v="82"/>
    <s v="STX"/>
    <s v="on 4/29/25 After Market Eastern Standard Time"/>
    <x v="3"/>
  </r>
  <r>
    <x v="82"/>
    <s v="GOOG"/>
    <s v="on 4/29/25 After Market Eastern Standard Time"/>
    <x v="3"/>
  </r>
  <r>
    <x v="82"/>
    <s v="AAT"/>
    <s v="on 4/29/25 After Market Eastern Standard Time"/>
    <x v="1"/>
  </r>
  <r>
    <x v="82"/>
    <s v="AEYE"/>
    <s v="on 4/29/25 After Market Eastern Standard Time"/>
    <x v="1"/>
  </r>
  <r>
    <x v="82"/>
    <s v="OI"/>
    <s v="on 4/29/25 After Market Eastern Standard Time"/>
    <x v="1"/>
  </r>
  <r>
    <x v="82"/>
    <s v="EEFT"/>
    <s v="on 4/29/25 After Market Eastern Standard Time"/>
    <x v="2"/>
  </r>
  <r>
    <x v="82"/>
    <s v="KAI"/>
    <s v="on 4/29/25 After Market Eastern Standard Time"/>
    <x v="1"/>
  </r>
  <r>
    <x v="82"/>
    <s v="MDXG"/>
    <s v="on 4/29/25 After Market Eastern Standard Time"/>
    <x v="1"/>
  </r>
  <r>
    <x v="82"/>
    <s v="TX"/>
    <s v="on 4/29/25 After Market Eastern Standard Time"/>
    <x v="0"/>
  </r>
  <r>
    <x v="82"/>
    <s v="CCCS"/>
    <s v="on 4/29/25 After Market Eastern Standard Time"/>
    <x v="0"/>
  </r>
  <r>
    <x v="82"/>
    <s v="V"/>
    <s v="on 4/29/25 After Market Eastern Standard Time"/>
    <x v="3"/>
  </r>
  <r>
    <x v="82"/>
    <s v="CSGP"/>
    <s v="on 4/29/25 After Market Eastern Standard Time"/>
    <x v="3"/>
  </r>
  <r>
    <x v="82"/>
    <s v="RCKY"/>
    <s v="on 4/29/25 After Market Eastern Standard Time"/>
    <x v="0"/>
  </r>
  <r>
    <x v="82"/>
    <s v="ACGL"/>
    <s v="on 4/29/25 After Market Eastern Standard Time"/>
    <x v="3"/>
  </r>
  <r>
    <x v="82"/>
    <s v="BXP"/>
    <s v="on 4/29/25 After Market Eastern Standard Time"/>
    <x v="3"/>
  </r>
  <r>
    <x v="82"/>
    <s v="SMCI"/>
    <s v="on 4/29/25 After Market Eastern Standard Time"/>
    <x v="3"/>
  </r>
  <r>
    <x v="82"/>
    <s v="RUSHB"/>
    <s v="on 4/29/25 After Market Eastern Standard Time"/>
    <x v="1"/>
  </r>
  <r>
    <x v="82"/>
    <s v="ASH"/>
    <s v="on 4/29/25 After Market Eastern Standard Time"/>
    <x v="2"/>
  </r>
  <r>
    <x v="82"/>
    <s v="LXU"/>
    <s v="on 4/29/25 After Market Eastern Standard Time"/>
    <x v="1"/>
  </r>
  <r>
    <x v="82"/>
    <s v="RUSHA"/>
    <s v="on 4/29/25 After Market Eastern Standard Time"/>
    <x v="1"/>
  </r>
  <r>
    <x v="82"/>
    <s v="ESRT"/>
    <s v="on 4/29/25 After Market Eastern Standard Time"/>
    <x v="1"/>
  </r>
  <r>
    <x v="83"/>
    <s v="DFIN"/>
    <s v="on 4/30/25 Before Market Eastern Standard Time"/>
    <x v="1"/>
  </r>
  <r>
    <x v="83"/>
    <s v="DAY"/>
    <s v="on 4/30/25 Before Market Eastern Standard Time"/>
    <x v="3"/>
  </r>
  <r>
    <x v="83"/>
    <s v="MBGYY"/>
    <s v="on 4/30/25 Before Market Eastern Standard Time"/>
    <x v="0"/>
  </r>
  <r>
    <x v="83"/>
    <s v="OSK"/>
    <s v="on 4/30/25 Before Market Eastern Standard Time"/>
    <x v="2"/>
  </r>
  <r>
    <x v="83"/>
    <s v="TECH"/>
    <s v="on 4/30/25 Before Market Eastern Standard Time"/>
    <x v="3"/>
  </r>
  <r>
    <x v="83"/>
    <s v="CDW"/>
    <s v="on 4/30/25 Before Market Eastern Standard Time"/>
    <x v="3"/>
  </r>
  <r>
    <x v="83"/>
    <s v="SITE"/>
    <s v="on 4/30/25 Before Market Eastern Standard Time"/>
    <x v="0"/>
  </r>
  <r>
    <x v="83"/>
    <s v="PPL"/>
    <s v="on 4/30/25 Before Market Eastern Standard Time"/>
    <x v="3"/>
  </r>
  <r>
    <x v="83"/>
    <s v="NERV"/>
    <s v="on 4/30/25 Before Market Eastern Standard Time"/>
    <x v="0"/>
  </r>
  <r>
    <x v="83"/>
    <s v="BGC"/>
    <s v="on 4/30/25 Before Market Eastern Standard Time"/>
    <x v="1"/>
  </r>
  <r>
    <x v="83"/>
    <s v="MAR"/>
    <s v="on 4/30/25 Before Market Eastern Standard Time"/>
    <x v="3"/>
  </r>
  <r>
    <x v="83"/>
    <s v="GIL"/>
    <s v="on 4/30/25 Before Market Eastern Standard Time"/>
    <x v="0"/>
  </r>
  <r>
    <x v="83"/>
    <s v="COCO"/>
    <s v="on 4/30/25 Before Market Eastern Standard Time"/>
    <x v="1"/>
  </r>
  <r>
    <x v="83"/>
    <s v="PPERY"/>
    <s v="on 4/30/25 Unspecified Eastern Standard Time"/>
    <x v="0"/>
  </r>
  <r>
    <x v="83"/>
    <s v="NSP"/>
    <s v="on 4/30/25 Before Market Eastern Standard Time"/>
    <x v="1"/>
  </r>
  <r>
    <x v="83"/>
    <s v="EADSY"/>
    <s v="on 4/30/25 Unspecified Eastern Standard Time"/>
    <x v="0"/>
  </r>
  <r>
    <x v="83"/>
    <s v="BSAC"/>
    <s v="on 4/30/25 Before Market Eastern Standard Time"/>
    <x v="0"/>
  </r>
  <r>
    <x v="83"/>
    <s v="AMRN"/>
    <s v="on 4/30/25 Before Market Eastern Standard Time"/>
    <x v="0"/>
  </r>
  <r>
    <x v="83"/>
    <s v="SAN"/>
    <s v="on 4/30/25 Before Market Eastern Standard Time"/>
    <x v="0"/>
  </r>
  <r>
    <x v="83"/>
    <s v="NAVI"/>
    <s v="on 4/30/25 Unspecified Eastern Standard Time"/>
    <x v="1"/>
  </r>
  <r>
    <x v="83"/>
    <s v="FFWM"/>
    <s v="on 4/30/25 Before Market Eastern Standard Time"/>
    <x v="1"/>
  </r>
  <r>
    <x v="83"/>
    <s v="SLGN"/>
    <s v="on 4/30/25 Before Market Eastern Standard Time"/>
    <x v="2"/>
  </r>
  <r>
    <x v="83"/>
    <s v="CJPRY"/>
    <s v="on 4/30/25 Unspecified Eastern Standard Time"/>
    <x v="0"/>
  </r>
  <r>
    <x v="83"/>
    <s v="SMP"/>
    <s v="on 4/30/25 Before Market Eastern Standard Time"/>
    <x v="1"/>
  </r>
  <r>
    <x v="83"/>
    <s v="OGE"/>
    <s v="on 4/30/25 Before Market Eastern Standard Time"/>
    <x v="2"/>
  </r>
  <r>
    <x v="83"/>
    <s v="AER"/>
    <s v="on 4/30/25 Before Market Eastern Standard Time"/>
    <x v="0"/>
  </r>
  <r>
    <x v="83"/>
    <s v="EXTR"/>
    <s v="on 4/30/25 Before Market Eastern Standard Time"/>
    <x v="1"/>
  </r>
  <r>
    <x v="83"/>
    <s v="TTE"/>
    <s v="on 4/30/25 Before Market Eastern Standard Time"/>
    <x v="0"/>
  </r>
  <r>
    <x v="83"/>
    <s v="AXTA"/>
    <s v="on 4/30/25 Before Market Eastern Standard Time"/>
    <x v="2"/>
  </r>
  <r>
    <x v="83"/>
    <s v="GIB"/>
    <s v="on 4/30/25 Before Market Eastern Standard Time"/>
    <x v="0"/>
  </r>
  <r>
    <x v="83"/>
    <s v="AROW"/>
    <s v="on 4/30/25 Before Market Eastern Standard Time"/>
    <x v="1"/>
  </r>
  <r>
    <x v="83"/>
    <s v="AMSSY"/>
    <s v="on 4/30/25 Before Market Eastern Standard Time"/>
    <x v="0"/>
  </r>
  <r>
    <x v="83"/>
    <s v="MTRN"/>
    <s v="on 4/30/25 Before Market Eastern Standard Time"/>
    <x v="1"/>
  </r>
  <r>
    <x v="83"/>
    <s v="ADP"/>
    <s v="on 4/30/25 Before Market Eastern Standard Time"/>
    <x v="3"/>
  </r>
  <r>
    <x v="83"/>
    <s v="TWIN"/>
    <s v="on 4/30/25 Before Market Eastern Standard Time"/>
    <x v="0"/>
  </r>
  <r>
    <x v="83"/>
    <s v="FNV"/>
    <s v="on 4/30/25 Before Market Eastern Standard Time"/>
    <x v="0"/>
  </r>
  <r>
    <x v="83"/>
    <s v="BLFY"/>
    <s v="on 4/30/25 Before Market Eastern Standard Time"/>
    <x v="1"/>
  </r>
  <r>
    <x v="83"/>
    <s v="AVT"/>
    <s v="on 4/30/25 Before Market Eastern Standard Time"/>
    <x v="2"/>
  </r>
  <r>
    <x v="83"/>
    <s v="TCPC"/>
    <s v="on 4/30/25 Before Market Eastern Standard Time"/>
    <x v="0"/>
  </r>
  <r>
    <x v="83"/>
    <s v="EVR"/>
    <s v="on 4/30/25 Before Market Eastern Standard Time"/>
    <x v="2"/>
  </r>
  <r>
    <x v="83"/>
    <s v="TRN"/>
    <s v="on 4/30/25 Before Market Eastern Standard Time"/>
    <x v="1"/>
  </r>
  <r>
    <x v="83"/>
    <s v="UE"/>
    <s v="on 4/30/25 Before Market Eastern Standard Time"/>
    <x v="1"/>
  </r>
  <r>
    <x v="83"/>
    <s v="SMG"/>
    <s v="on 4/30/25 Before Market Eastern Standard Time"/>
    <x v="2"/>
  </r>
  <r>
    <x v="83"/>
    <s v="RPT"/>
    <s v="on 4/30/25 Before Market Eastern Standard Time"/>
    <x v="0"/>
  </r>
  <r>
    <x v="83"/>
    <s v="BLCO"/>
    <s v="on 4/30/25 Before Market Eastern Standard Time"/>
    <x v="0"/>
  </r>
  <r>
    <x v="83"/>
    <s v="IP"/>
    <s v="on 4/30/25 Before Market Eastern Standard Time"/>
    <x v="3"/>
  </r>
  <r>
    <x v="83"/>
    <s v="HUM"/>
    <s v="on 4/30/25 Before Market Eastern Standard Time"/>
    <x v="3"/>
  </r>
  <r>
    <x v="83"/>
    <s v="CRARY"/>
    <s v="on 4/30/25 Unspecified Eastern Standard Time"/>
    <x v="0"/>
  </r>
  <r>
    <x v="83"/>
    <s v="LANV"/>
    <s v="on 4/30/25 Before Market Eastern Standard Time"/>
    <x v="0"/>
  </r>
  <r>
    <x v="83"/>
    <s v="BSBR"/>
    <s v="on 4/30/25 Before Market Eastern Standard Time"/>
    <x v="0"/>
  </r>
  <r>
    <x v="83"/>
    <s v="IBDRY"/>
    <s v="on 4/30/25 Unspecified Eastern Standard Time"/>
    <x v="0"/>
  </r>
  <r>
    <x v="83"/>
    <s v="ETSY"/>
    <s v="on 4/30/25 Before Market Eastern Standard Time"/>
    <x v="0"/>
  </r>
  <r>
    <x v="83"/>
    <s v="GSK"/>
    <s v="on 4/30/25 Before Market Eastern Standard Time"/>
    <x v="0"/>
  </r>
  <r>
    <x v="83"/>
    <s v="MAC"/>
    <s v="on 4/30/25 Before Market Eastern Standard Time"/>
    <x v="1"/>
  </r>
  <r>
    <x v="83"/>
    <s v="SXC"/>
    <s v="on 4/30/25 Before Market Eastern Standard Time"/>
    <x v="1"/>
  </r>
  <r>
    <x v="83"/>
    <s v="SBT"/>
    <s v="on 4/30/25 Before Market Eastern Standard Time"/>
    <x v="0"/>
  </r>
  <r>
    <x v="83"/>
    <s v="EME"/>
    <s v="on 4/30/25 Before Market Eastern Standard Time"/>
    <x v="2"/>
  </r>
  <r>
    <x v="83"/>
    <s v="MHH"/>
    <s v="on 4/30/25 Before Market Eastern Standard Time"/>
    <x v="0"/>
  </r>
  <r>
    <x v="83"/>
    <s v="BXMT"/>
    <s v="on 4/30/25 Before Market Eastern Standard Time"/>
    <x v="1"/>
  </r>
  <r>
    <x v="83"/>
    <s v="LTH"/>
    <s v="on 4/30/25 Before Market Eastern Standard Time"/>
    <x v="1"/>
  </r>
  <r>
    <x v="83"/>
    <s v="VWAGY"/>
    <s v="on 4/30/25 Unspecified Eastern Standard Time"/>
    <x v="0"/>
  </r>
  <r>
    <x v="83"/>
    <s v="LINE"/>
    <s v="on 4/30/25 Before Market Eastern Standard Time"/>
    <x v="0"/>
  </r>
  <r>
    <x v="83"/>
    <s v="MA"/>
    <s v="on 4/30/25 Before Market Eastern Standard Time"/>
    <x v="3"/>
  </r>
  <r>
    <x v="83"/>
    <s v="PSN"/>
    <s v="on 4/30/25 Before Market Eastern Standard Time"/>
    <x v="2"/>
  </r>
  <r>
    <x v="83"/>
    <s v="GTE"/>
    <s v="on 4/30/25 Before Market Eastern Standard Time"/>
    <x v="0"/>
  </r>
  <r>
    <x v="83"/>
    <s v="BIPC"/>
    <s v="on 4/30/25 Before Market Eastern Standard Time"/>
    <x v="1"/>
  </r>
  <r>
    <x v="83"/>
    <s v="AUOTY"/>
    <s v="on 4/30/25 Unspecified Eastern Standard Time"/>
    <x v="0"/>
  </r>
  <r>
    <x v="83"/>
    <s v="TW"/>
    <s v="on 4/30/25 Before Market Eastern Standard Time"/>
    <x v="0"/>
  </r>
  <r>
    <x v="83"/>
    <s v="CHEF"/>
    <s v="on 4/30/25 Before Market Eastern Standard Time"/>
    <x v="1"/>
  </r>
  <r>
    <x v="83"/>
    <s v="BFLY"/>
    <s v="on 4/30/25 Before Market Eastern Standard Time"/>
    <x v="0"/>
  </r>
  <r>
    <x v="83"/>
    <s v="DAN"/>
    <s v="on 4/30/25 Before Market Eastern Standard Time"/>
    <x v="1"/>
  </r>
  <r>
    <x v="83"/>
    <s v="YUM"/>
    <s v="on 4/30/25 Before Market Eastern Standard Time"/>
    <x v="3"/>
  </r>
  <r>
    <x v="83"/>
    <s v="FDBC"/>
    <s v="on 4/30/25 Before Market Eastern Standard Time"/>
    <x v="1"/>
  </r>
  <r>
    <x v="83"/>
    <s v="EJPRY"/>
    <s v="on 4/30/25 Unspecified Eastern Standard Time"/>
    <x v="0"/>
  </r>
  <r>
    <x v="83"/>
    <s v="MRAAY"/>
    <s v="on 4/30/25 Unspecified Eastern Standard Time"/>
    <x v="0"/>
  </r>
  <r>
    <x v="83"/>
    <s v="SUBCY"/>
    <s v="on 4/30/25 Before Market Eastern Standard Time"/>
    <x v="0"/>
  </r>
  <r>
    <x v="83"/>
    <s v="WING"/>
    <s v="on 4/30/25 Before Market Eastern Standard Time"/>
    <x v="2"/>
  </r>
  <r>
    <x v="83"/>
    <s v="WNC"/>
    <s v="on 4/30/25 Before Market Eastern Standard Time"/>
    <x v="1"/>
  </r>
  <r>
    <x v="83"/>
    <s v="NHTC"/>
    <s v="on 4/30/25 Before Market Eastern Standard Time"/>
    <x v="0"/>
  </r>
  <r>
    <x v="83"/>
    <s v="JCI"/>
    <s v="on 4/30/25 Before Market Eastern Standard Time"/>
    <x v="3"/>
  </r>
  <r>
    <x v="83"/>
    <s v="BIP"/>
    <s v="on 4/30/25 Before Market Eastern Standard Time"/>
    <x v="0"/>
  </r>
  <r>
    <x v="83"/>
    <s v="FXNC"/>
    <s v="on 4/30/25 Before Market Eastern Standard Time"/>
    <x v="0"/>
  </r>
  <r>
    <x v="83"/>
    <s v="GPN"/>
    <s v="on 4/30/25 Before Market Eastern Standard Time"/>
    <x v="3"/>
  </r>
  <r>
    <x v="83"/>
    <s v="TOELY"/>
    <s v="on 4/30/25 Unspecified Eastern Standard Time"/>
    <x v="0"/>
  </r>
  <r>
    <x v="83"/>
    <s v="ROCK"/>
    <s v="on 4/30/25 Before Market Eastern Standard Time"/>
    <x v="1"/>
  </r>
  <r>
    <x v="83"/>
    <s v="LKNCY"/>
    <s v="on 4/30/25 Before Market Eastern Standard Time"/>
    <x v="0"/>
  </r>
  <r>
    <x v="83"/>
    <s v="SW"/>
    <s v="on 4/30/25 Before Market Eastern Standard Time"/>
    <x v="3"/>
  </r>
  <r>
    <x v="83"/>
    <s v="SF"/>
    <s v="on 4/30/25 Before Market Eastern Standard Time"/>
    <x v="2"/>
  </r>
  <r>
    <x v="83"/>
    <s v="FMCC"/>
    <s v="on 4/30/25 Before Market Eastern Standard Time"/>
    <x v="0"/>
  </r>
  <r>
    <x v="83"/>
    <s v="UBS"/>
    <s v="on 4/30/25 Before Market Eastern Standard Time"/>
    <x v="0"/>
  </r>
  <r>
    <x v="83"/>
    <s v="SWK"/>
    <s v="on 4/30/25 Before Market Eastern Standard Time"/>
    <x v="3"/>
  </r>
  <r>
    <x v="83"/>
    <s v="VRSK"/>
    <s v="on 4/30/25 Before Market Eastern Standard Time"/>
    <x v="3"/>
  </r>
  <r>
    <x v="83"/>
    <s v="OSW"/>
    <s v="on 4/30/25 Before Market Eastern Standard Time"/>
    <x v="1"/>
  </r>
  <r>
    <x v="83"/>
    <s v="CLH"/>
    <s v="on 4/30/25 Before Market Eastern Standard Time"/>
    <x v="2"/>
  </r>
  <r>
    <x v="83"/>
    <s v="UFPT"/>
    <s v="on 4/30/25 Before Market Eastern Standard Time"/>
    <x v="1"/>
  </r>
  <r>
    <x v="83"/>
    <s v="EQNR"/>
    <s v="on 4/30/25 Before Market Eastern Standard Time"/>
    <x v="0"/>
  </r>
  <r>
    <x v="83"/>
    <s v="OTLY"/>
    <s v="on 4/30/25 Before Market Eastern Standard Time"/>
    <x v="0"/>
  </r>
  <r>
    <x v="83"/>
    <s v="CVE"/>
    <s v="on 4/30/25 Before Market Eastern Standard Time"/>
    <x v="0"/>
  </r>
  <r>
    <x v="83"/>
    <s v="CNDT"/>
    <s v="on 4/30/25 Before Market Eastern Standard Time"/>
    <x v="1"/>
  </r>
  <r>
    <x v="83"/>
    <s v="TKR"/>
    <s v="on 4/30/25 Before Market Eastern Standard Time"/>
    <x v="2"/>
  </r>
  <r>
    <x v="83"/>
    <s v="MT"/>
    <s v="on 4/30/25 Before Market Eastern Standard Time"/>
    <x v="0"/>
  </r>
  <r>
    <x v="83"/>
    <s v="DHLGY"/>
    <s v="on 4/30/25 Unspecified Eastern Standard Time"/>
    <x v="0"/>
  </r>
  <r>
    <x v="83"/>
    <s v="ESAB"/>
    <s v="on 4/30/25 Before Market Eastern Standard Time"/>
    <x v="2"/>
  </r>
  <r>
    <x v="83"/>
    <s v="SCSC"/>
    <s v="on 4/30/25 Before Market Eastern Standard Time"/>
    <x v="1"/>
  </r>
  <r>
    <x v="83"/>
    <s v="OTIS"/>
    <s v="on 4/30/25 Before Market Eastern Standard Time"/>
    <x v="3"/>
  </r>
  <r>
    <x v="83"/>
    <s v="RGEN"/>
    <s v="on 4/30/25 Before Market Eastern Standard Time"/>
    <x v="2"/>
  </r>
  <r>
    <x v="83"/>
    <s v="SRDX"/>
    <s v="on 4/30/25 Before Market Eastern Standard Time"/>
    <x v="1"/>
  </r>
  <r>
    <x v="83"/>
    <s v="BCS"/>
    <s v="on 4/30/25 Before Market Eastern Standard Time"/>
    <x v="0"/>
  </r>
  <r>
    <x v="83"/>
    <s v="SHOO"/>
    <s v="on 4/30/25 Before Market Eastern Standard Time"/>
    <x v="1"/>
  </r>
  <r>
    <x v="83"/>
    <s v="ALKS"/>
    <s v="on 4/30/25 Before Market Eastern Standard Time"/>
    <x v="1"/>
  </r>
  <r>
    <x v="83"/>
    <s v="NMRK"/>
    <s v="on 4/30/25 Before Market Eastern Standard Time"/>
    <x v="1"/>
  </r>
  <r>
    <x v="83"/>
    <s v="ASX"/>
    <s v="on 4/30/25 Before Market Eastern Standard Time"/>
    <x v="0"/>
  </r>
  <r>
    <x v="83"/>
    <s v="LIND"/>
    <s v="on 4/30/25 Before Market Eastern Standard Time"/>
    <x v="1"/>
  </r>
  <r>
    <x v="83"/>
    <s v="GNRC"/>
    <s v="on 4/30/25 Before Market Eastern Standard Time"/>
    <x v="3"/>
  </r>
  <r>
    <x v="83"/>
    <s v="GHC"/>
    <s v="on 4/30/25 Before Market Eastern Standard Time"/>
    <x v="1"/>
  </r>
  <r>
    <x v="83"/>
    <s v="GRMN"/>
    <s v="on 4/30/25 Before Market Eastern Standard Time"/>
    <x v="3"/>
  </r>
  <r>
    <x v="84"/>
    <s v="TKC"/>
    <s v="on 4/30/25 During Market Eastern Standard Time"/>
    <x v="0"/>
  </r>
  <r>
    <x v="85"/>
    <s v="FTAI"/>
    <s v="on 4/30/25 After Market Eastern Standard Time"/>
    <x v="1"/>
  </r>
  <r>
    <x v="85"/>
    <s v="JBSS"/>
    <s v="on 4/30/25 After Market Eastern Standard Time"/>
    <x v="1"/>
  </r>
  <r>
    <x v="85"/>
    <s v="MRAM"/>
    <s v="on 4/30/25 After Market Eastern Standard Time"/>
    <x v="0"/>
  </r>
  <r>
    <x v="85"/>
    <s v="UPWK"/>
    <s v="on 4/30/25 After Market Eastern Standard Time"/>
    <x v="1"/>
  </r>
  <r>
    <x v="85"/>
    <s v="LUNG"/>
    <s v="on 4/30/25 After Market Eastern Standard Time"/>
    <x v="1"/>
  </r>
  <r>
    <x v="85"/>
    <s v="WAY"/>
    <s v="on 4/30/25 After Market Eastern Standard Time"/>
    <x v="1"/>
  </r>
  <r>
    <x v="85"/>
    <s v="BWB"/>
    <s v="on 4/30/25 After Market Eastern Standard Time"/>
    <x v="1"/>
  </r>
  <r>
    <x v="85"/>
    <s v="RSI"/>
    <s v="on 4/30/25 After Market Eastern Standard Time"/>
    <x v="1"/>
  </r>
  <r>
    <x v="85"/>
    <s v="HOOD"/>
    <s v="on 4/30/25 After Market Eastern Standard Time"/>
    <x v="0"/>
  </r>
  <r>
    <x v="85"/>
    <s v="TWI"/>
    <s v="on 4/30/25 After Market Eastern Standard Time"/>
    <x v="1"/>
  </r>
  <r>
    <x v="85"/>
    <s v="AFG"/>
    <s v="on 4/30/25 After Market Eastern Standard Time"/>
    <x v="2"/>
  </r>
  <r>
    <x v="85"/>
    <s v="DLX"/>
    <s v="on 4/30/25 After Market Eastern Standard Time"/>
    <x v="1"/>
  </r>
  <r>
    <x v="85"/>
    <s v="WOLF"/>
    <s v="on 4/30/25 After Market Eastern Standard Time"/>
    <x v="0"/>
  </r>
  <r>
    <x v="85"/>
    <s v="MAA"/>
    <s v="on 4/30/25 After Market Eastern Standard Time"/>
    <x v="3"/>
  </r>
  <r>
    <x v="85"/>
    <s v="META"/>
    <s v="on 4/30/25 After Market Eastern Standard Time"/>
    <x v="3"/>
  </r>
  <r>
    <x v="85"/>
    <s v="ES"/>
    <s v="on 4/30/25 After Market Eastern Standard Time"/>
    <x v="3"/>
  </r>
  <r>
    <x v="85"/>
    <s v="OFLX"/>
    <s v="on 4/30/25 After Market Eastern Standard Time"/>
    <x v="0"/>
  </r>
  <r>
    <x v="85"/>
    <s v="GKOS"/>
    <s v="on 4/30/25 After Market Eastern Standard Time"/>
    <x v="1"/>
  </r>
  <r>
    <x v="85"/>
    <s v="FBRT"/>
    <s v="on 4/30/25 After Market Eastern Standard Time"/>
    <x v="1"/>
  </r>
  <r>
    <x v="85"/>
    <s v="CMPR"/>
    <s v="on 4/30/25 After Market Eastern Standard Time"/>
    <x v="1"/>
  </r>
  <r>
    <x v="85"/>
    <s v="EBAY"/>
    <s v="on 4/30/25 After Market Eastern Standard Time"/>
    <x v="3"/>
  </r>
  <r>
    <x v="85"/>
    <s v="CDE"/>
    <s v="on 4/30/25 After Market Eastern Standard Time"/>
    <x v="1"/>
  </r>
  <r>
    <x v="85"/>
    <s v="SFM"/>
    <s v="on 4/30/25 After Market Eastern Standard Time"/>
    <x v="1"/>
  </r>
  <r>
    <x v="85"/>
    <s v="HST"/>
    <s v="on 4/30/25 After Market Eastern Standard Time"/>
    <x v="3"/>
  </r>
  <r>
    <x v="85"/>
    <s v="EQIX"/>
    <s v="on 4/30/25 After Market Eastern Standard Time"/>
    <x v="3"/>
  </r>
  <r>
    <x v="85"/>
    <s v="MYRG"/>
    <s v="on 4/30/25 After Market Eastern Standard Time"/>
    <x v="1"/>
  </r>
  <r>
    <x v="85"/>
    <s v="NWPX"/>
    <s v="on 4/30/25 After Market Eastern Standard Time"/>
    <x v="1"/>
  </r>
  <r>
    <x v="85"/>
    <s v="MG"/>
    <s v="on 4/30/25 After Market Eastern Standard Time"/>
    <x v="1"/>
  </r>
  <r>
    <x v="85"/>
    <s v="HDSN"/>
    <s v="on 4/30/25 After Market Eastern Standard Time"/>
    <x v="1"/>
  </r>
  <r>
    <x v="85"/>
    <s v="AGI"/>
    <s v="on 4/30/25 After Market Eastern Standard Time"/>
    <x v="0"/>
  </r>
  <r>
    <x v="85"/>
    <s v="LCNB"/>
    <s v="on 4/30/25 After Market Eastern Standard Time"/>
    <x v="1"/>
  </r>
  <r>
    <x v="85"/>
    <s v="AX"/>
    <s v="on 4/30/25 After Market Eastern Standard Time"/>
    <x v="1"/>
  </r>
  <r>
    <x v="85"/>
    <s v="TIPT"/>
    <s v="on 4/30/25 After Market Eastern Standard Time"/>
    <x v="1"/>
  </r>
  <r>
    <x v="85"/>
    <s v="RYI"/>
    <s v="on 4/30/25 After Market Eastern Standard Time"/>
    <x v="1"/>
  </r>
  <r>
    <x v="85"/>
    <s v="EBS"/>
    <s v="on 4/30/25 After Market Eastern Standard Time"/>
    <x v="0"/>
  </r>
  <r>
    <x v="85"/>
    <s v="TTMI"/>
    <s v="on 4/30/25 After Market Eastern Standard Time"/>
    <x v="1"/>
  </r>
  <r>
    <x v="85"/>
    <s v="INN"/>
    <s v="on 4/30/25 After Market Eastern Standard Time"/>
    <x v="1"/>
  </r>
  <r>
    <x v="85"/>
    <s v="MCW"/>
    <s v="on 4/30/25 After Market Eastern Standard Time"/>
    <x v="1"/>
  </r>
  <r>
    <x v="85"/>
    <s v="VAL"/>
    <s v="on 4/30/25 After Market Eastern Standard Time"/>
    <x v="1"/>
  </r>
  <r>
    <x v="85"/>
    <s v="SYNX"/>
    <s v="on 4/30/25 After Market Eastern Standard Time"/>
    <x v="0"/>
  </r>
  <r>
    <x v="85"/>
    <s v="JAZZ"/>
    <s v="on 4/30/25 After Market Eastern Standard Time"/>
    <x v="2"/>
  </r>
  <r>
    <x v="85"/>
    <s v="NYMT"/>
    <s v="on 4/30/25 After Market Eastern Standard Time"/>
    <x v="1"/>
  </r>
  <r>
    <x v="85"/>
    <s v="BVN"/>
    <s v="on 4/30/25 After Market Eastern Standard Time"/>
    <x v="0"/>
  </r>
  <r>
    <x v="85"/>
    <s v="MTG"/>
    <s v="on 4/30/25 After Market Eastern Standard Time"/>
    <x v="2"/>
  </r>
  <r>
    <x v="85"/>
    <s v="ENSG"/>
    <s v="on 4/30/25 After Market Eastern Standard Time"/>
    <x v="1"/>
  </r>
  <r>
    <x v="85"/>
    <s v="HCC"/>
    <s v="on 4/30/25 After Market Eastern Standard Time"/>
    <x v="1"/>
  </r>
  <r>
    <x v="85"/>
    <s v="RGCO"/>
    <s v="on 4/30/25 After Market Eastern Standard Time"/>
    <x v="0"/>
  </r>
  <r>
    <x v="85"/>
    <s v="SMHI"/>
    <s v="on 4/30/25 After Market Eastern Standard Time"/>
    <x v="0"/>
  </r>
  <r>
    <x v="85"/>
    <s v="BHE"/>
    <s v="on 4/30/25 After Market Eastern Standard Time"/>
    <x v="1"/>
  </r>
  <r>
    <x v="85"/>
    <s v="LARK"/>
    <s v="on 4/30/25 After Market Eastern Standard Time"/>
    <x v="0"/>
  </r>
  <r>
    <x v="85"/>
    <s v="SRPT"/>
    <s v="on 4/30/25 After Market Eastern Standard Time"/>
    <x v="2"/>
  </r>
  <r>
    <x v="85"/>
    <s v="TTEK"/>
    <s v="on 4/30/25 After Market Eastern Standard Time"/>
    <x v="2"/>
  </r>
  <r>
    <x v="85"/>
    <s v="AEIS"/>
    <s v="on 4/30/25 After Market Eastern Standard Time"/>
    <x v="1"/>
  </r>
  <r>
    <x v="85"/>
    <s v="AMWL"/>
    <s v="on 4/30/25 After Market Eastern Standard Time"/>
    <x v="0"/>
  </r>
  <r>
    <x v="85"/>
    <s v="CACC"/>
    <s v="on 4/30/25 After Market Eastern Standard Time"/>
    <x v="0"/>
  </r>
  <r>
    <x v="85"/>
    <s v="NOVA"/>
    <s v="on 4/30/25 After Market Eastern Standard Time"/>
    <x v="1"/>
  </r>
  <r>
    <x v="85"/>
    <s v="GL"/>
    <s v="on 4/30/25 After Market Eastern Standard Time"/>
    <x v="3"/>
  </r>
  <r>
    <x v="85"/>
    <s v="TENB"/>
    <s v="on 4/30/25 After Market Eastern Standard Time"/>
    <x v="1"/>
  </r>
  <r>
    <x v="85"/>
    <s v="ACT"/>
    <s v="on 4/30/25 After Market Eastern Standard Time"/>
    <x v="1"/>
  </r>
  <r>
    <x v="85"/>
    <s v="EPR"/>
    <s v="on 4/30/25 After Market Eastern Standard Time"/>
    <x v="2"/>
  </r>
  <r>
    <x v="85"/>
    <s v="CHRW"/>
    <s v="on 4/30/25 After Market Eastern Standard Time"/>
    <x v="3"/>
  </r>
  <r>
    <x v="85"/>
    <s v="CNMD"/>
    <s v="on 4/30/25 After Market Eastern Standard Time"/>
    <x v="1"/>
  </r>
  <r>
    <x v="85"/>
    <s v="SPOK"/>
    <s v="on 4/30/25 After Market Eastern Standard Time"/>
    <x v="1"/>
  </r>
  <r>
    <x v="85"/>
    <s v="ATRC"/>
    <s v="on 4/30/25 After Market Eastern Standard Time"/>
    <x v="1"/>
  </r>
  <r>
    <x v="85"/>
    <s v="MAX"/>
    <s v="on 4/30/25 After Market Eastern Standard Time"/>
    <x v="1"/>
  </r>
  <r>
    <x v="85"/>
    <s v="URI"/>
    <s v="on 4/30/25 After Market Eastern Standard Time"/>
    <x v="3"/>
  </r>
  <r>
    <x v="85"/>
    <s v="BBSI"/>
    <s v="on 4/30/25 After Market Eastern Standard Time"/>
    <x v="1"/>
  </r>
  <r>
    <x v="85"/>
    <s v="ELME"/>
    <s v="on 4/30/25 After Market Eastern Standard Time"/>
    <x v="1"/>
  </r>
  <r>
    <x v="85"/>
    <s v="NBIX"/>
    <s v="on 4/30/25 After Market Eastern Standard Time"/>
    <x v="2"/>
  </r>
  <r>
    <x v="85"/>
    <s v="RELY"/>
    <s v="on 4/30/25 After Market Eastern Standard Time"/>
    <x v="1"/>
  </r>
  <r>
    <x v="85"/>
    <s v="AFL"/>
    <s v="on 4/30/25 After Market Eastern Standard Time"/>
    <x v="3"/>
  </r>
  <r>
    <x v="85"/>
    <s v="MGY"/>
    <s v="on 4/30/25 After Market Eastern Standard Time"/>
    <x v="1"/>
  </r>
  <r>
    <x v="85"/>
    <s v="SCI"/>
    <s v="on 4/30/25 After Market Eastern Standard Time"/>
    <x v="2"/>
  </r>
  <r>
    <x v="85"/>
    <s v="CAR"/>
    <s v="on 4/30/25 After Market Eastern Standard Time"/>
    <x v="2"/>
  </r>
  <r>
    <x v="85"/>
    <s v="FMBH"/>
    <s v="on 4/30/25 After Market Eastern Standard Time"/>
    <x v="1"/>
  </r>
  <r>
    <x v="85"/>
    <s v="RM"/>
    <s v="on 4/30/25 After Market Eastern Standard Time"/>
    <x v="1"/>
  </r>
  <r>
    <x v="85"/>
    <s v="EQC"/>
    <s v="on 4/30/25 After Market Eastern Standard Time"/>
    <x v="0"/>
  </r>
  <r>
    <x v="85"/>
    <s v="CSV"/>
    <s v="on 4/30/25 After Market Eastern Standard Time"/>
    <x v="1"/>
  </r>
  <r>
    <x v="85"/>
    <s v="EG"/>
    <s v="on 4/30/25 After Market Eastern Standard Time"/>
    <x v="3"/>
  </r>
  <r>
    <x v="85"/>
    <s v="AMP"/>
    <s v="on 4/30/25 After Market Eastern Standard Time"/>
    <x v="3"/>
  </r>
  <r>
    <x v="85"/>
    <s v="BNL"/>
    <s v="on 4/30/25 After Market Eastern Standard Time"/>
    <x v="1"/>
  </r>
  <r>
    <x v="85"/>
    <s v="PRDO"/>
    <s v="on 4/30/25 After Market Eastern Standard Time"/>
    <x v="1"/>
  </r>
  <r>
    <x v="85"/>
    <s v="ALL"/>
    <s v="on 4/30/25 After Market Eastern Standard Time"/>
    <x v="3"/>
  </r>
  <r>
    <x v="85"/>
    <s v="VICI"/>
    <s v="on 4/30/25 After Market Eastern Standard Time"/>
    <x v="3"/>
  </r>
  <r>
    <x v="85"/>
    <s v="PDM"/>
    <s v="on 4/30/25 After Market Eastern Standard Time"/>
    <x v="1"/>
  </r>
  <r>
    <x v="85"/>
    <s v="TS"/>
    <s v="on 4/30/25 After Market Eastern Standard Time"/>
    <x v="0"/>
  </r>
  <r>
    <x v="85"/>
    <s v="CWAN"/>
    <s v="on 4/30/25 After Market Eastern Standard Time"/>
    <x v="1"/>
  </r>
  <r>
    <x v="85"/>
    <s v="AMED"/>
    <s v="on 4/30/25 After Market Eastern Standard Time"/>
    <x v="2"/>
  </r>
  <r>
    <x v="85"/>
    <s v="SGU"/>
    <s v="on 4/30/25 After Market Eastern Standard Time"/>
    <x v="0"/>
  </r>
  <r>
    <x v="85"/>
    <s v="TROX"/>
    <s v="on 4/30/25 After Market Eastern Standard Time"/>
    <x v="1"/>
  </r>
  <r>
    <x v="85"/>
    <s v="MORN"/>
    <s v="on 4/30/25 After Market Eastern Standard Time"/>
    <x v="2"/>
  </r>
  <r>
    <x v="85"/>
    <s v="CRD/A"/>
    <s v="on 4/30/25 After Market Eastern Standard Time"/>
    <x v="0"/>
  </r>
  <r>
    <x v="85"/>
    <s v="ACA"/>
    <s v="on 4/30/25 After Market Eastern Standard Time"/>
    <x v="1"/>
  </r>
  <r>
    <x v="85"/>
    <s v="AWK"/>
    <s v="on 4/30/25 After Market Eastern Standard Time"/>
    <x v="3"/>
  </r>
  <r>
    <x v="85"/>
    <s v="NOG"/>
    <s v="on 4/30/25 After Market Eastern Standard Time"/>
    <x v="1"/>
  </r>
  <r>
    <x v="85"/>
    <s v="WEAV"/>
    <s v="on 4/30/25 After Market Eastern Standard Time"/>
    <x v="1"/>
  </r>
  <r>
    <x v="85"/>
    <s v="TPVG"/>
    <s v="on 4/30/25 After Market Eastern Standard Time"/>
    <x v="0"/>
  </r>
  <r>
    <x v="85"/>
    <s v="PRU"/>
    <s v="on 4/30/25 After Market Eastern Standard Time"/>
    <x v="3"/>
  </r>
  <r>
    <x v="85"/>
    <s v="WH"/>
    <s v="on 4/30/25 After Market Eastern Standard Time"/>
    <x v="2"/>
  </r>
  <r>
    <x v="85"/>
    <s v="FORM"/>
    <s v="on 4/30/25 After Market Eastern Standard Time"/>
    <x v="1"/>
  </r>
  <r>
    <x v="85"/>
    <s v="CLX"/>
    <s v="on 4/30/25 After Market Eastern Standard Time"/>
    <x v="3"/>
  </r>
  <r>
    <x v="85"/>
    <s v="NGVT"/>
    <s v="on 4/30/25 After Market Eastern Standard Time"/>
    <x v="1"/>
  </r>
  <r>
    <x v="85"/>
    <s v="FARO"/>
    <s v="on 4/30/25 After Market Eastern Standard Time"/>
    <x v="1"/>
  </r>
  <r>
    <x v="85"/>
    <s v="CRD/B"/>
    <s v="on 4/30/25 After Market Eastern Standard Time"/>
    <x v="0"/>
  </r>
  <r>
    <x v="85"/>
    <s v="KMPR"/>
    <s v="on 4/30/25 After Market Eastern Standard Time"/>
    <x v="2"/>
  </r>
  <r>
    <x v="85"/>
    <s v="TSLX"/>
    <s v="on 4/30/25 After Market Eastern Standard Time"/>
    <x v="0"/>
  </r>
  <r>
    <x v="85"/>
    <s v="PINS"/>
    <s v="on 4/30/25 After Market Eastern Standard Time"/>
    <x v="0"/>
  </r>
  <r>
    <x v="85"/>
    <s v="INFA"/>
    <s v="on 4/30/25 After Market Eastern Standard Time"/>
    <x v="0"/>
  </r>
  <r>
    <x v="85"/>
    <s v="JOE"/>
    <s v="on 4/30/25 After Market Eastern Standard Time"/>
    <x v="1"/>
  </r>
  <r>
    <x v="85"/>
    <s v="TNDM"/>
    <s v="on 4/30/25 After Market Eastern Standard Time"/>
    <x v="1"/>
  </r>
  <r>
    <x v="85"/>
    <s v="KLIC"/>
    <s v="on 4/30/25 After Market Eastern Standard Time"/>
    <x v="1"/>
  </r>
  <r>
    <x v="85"/>
    <s v="SRI"/>
    <s v="on 4/30/25 After Market Eastern Standard Time"/>
    <x v="0"/>
  </r>
  <r>
    <x v="85"/>
    <s v="ALGN"/>
    <s v="on 4/30/25 After Market Eastern Standard Time"/>
    <x v="3"/>
  </r>
  <r>
    <x v="85"/>
    <s v="ENVX"/>
    <s v="on 4/30/25 After Market Eastern Standard Time"/>
    <x v="1"/>
  </r>
  <r>
    <x v="85"/>
    <s v="PGRE"/>
    <s v="on 4/30/25 After Market Eastern Standard Time"/>
    <x v="1"/>
  </r>
  <r>
    <x v="85"/>
    <s v="WHD"/>
    <s v="on 4/30/25 After Market Eastern Standard Time"/>
    <x v="1"/>
  </r>
  <r>
    <x v="85"/>
    <s v="QRVO"/>
    <s v="on 4/30/25 After Market Eastern Standard Time"/>
    <x v="3"/>
  </r>
  <r>
    <x v="85"/>
    <s v="IRT"/>
    <s v="on 4/30/25 After Market Eastern Standard Time"/>
    <x v="1"/>
  </r>
  <r>
    <x v="85"/>
    <s v="SIGI"/>
    <s v="on 4/30/25 After Market Eastern Standard Time"/>
    <x v="1"/>
  </r>
  <r>
    <x v="85"/>
    <s v="TGB"/>
    <s v="on 4/30/25 After Market Eastern Standard Time"/>
    <x v="0"/>
  </r>
  <r>
    <x v="85"/>
    <s v="GRBK"/>
    <s v="on 4/30/25 After Market Eastern Standard Time"/>
    <x v="1"/>
  </r>
  <r>
    <x v="85"/>
    <s v="ROOT"/>
    <s v="on 4/30/25 After Market Eastern Standard Time"/>
    <x v="1"/>
  </r>
  <r>
    <x v="85"/>
    <s v="GFL"/>
    <s v="on 4/30/25 After Market Eastern Standard Time"/>
    <x v="0"/>
  </r>
  <r>
    <x v="85"/>
    <s v="FAT"/>
    <s v="on 4/30/25 After Market Eastern Standard Time"/>
    <x v="0"/>
  </r>
  <r>
    <x v="85"/>
    <s v="MPWR"/>
    <s v="on 4/30/25 After Market Eastern Standard Time"/>
    <x v="3"/>
  </r>
  <r>
    <x v="85"/>
    <s v="CODI"/>
    <s v="on 4/30/25 After Market Eastern Standard Time"/>
    <x v="1"/>
  </r>
  <r>
    <x v="85"/>
    <s v="CTSH"/>
    <s v="on 4/30/25 After Market Eastern Standard Time"/>
    <x v="3"/>
  </r>
  <r>
    <x v="85"/>
    <s v="ASPN"/>
    <s v="on 4/30/25 After Market Eastern Standard Time"/>
    <x v="1"/>
  </r>
  <r>
    <x v="85"/>
    <s v="PPC"/>
    <s v="on 4/30/25 After Market Eastern Standard Time"/>
    <x v="2"/>
  </r>
  <r>
    <x v="85"/>
    <s v="FINW"/>
    <s v="on 4/30/25 After Market Eastern Standard Time"/>
    <x v="0"/>
  </r>
  <r>
    <x v="85"/>
    <s v="SKT"/>
    <s v="on 4/30/25 After Market Eastern Standard Time"/>
    <x v="1"/>
  </r>
  <r>
    <x v="85"/>
    <s v="SPNT"/>
    <s v="on 4/30/25 After Market Eastern Standard Time"/>
    <x v="1"/>
  </r>
  <r>
    <x v="85"/>
    <s v="ICLR"/>
    <s v="on 4/30/25 After Market Eastern Standard Time"/>
    <x v="0"/>
  </r>
  <r>
    <x v="85"/>
    <s v="OPI"/>
    <s v="on 4/30/25 After Market Eastern Standard Time"/>
    <x v="0"/>
  </r>
  <r>
    <x v="85"/>
    <s v="HLF"/>
    <s v="on 4/30/25 After Market Eastern Standard Time"/>
    <x v="1"/>
  </r>
  <r>
    <x v="85"/>
    <s v="AXS"/>
    <s v="on 4/30/25 After Market Eastern Standard Time"/>
    <x v="0"/>
  </r>
  <r>
    <x v="85"/>
    <s v="HVT"/>
    <s v="on 4/30/25 After Market Eastern Standard Time"/>
    <x v="1"/>
  </r>
  <r>
    <x v="85"/>
    <s v="RIOT"/>
    <s v="on 4/30/25 After Market Eastern Standard Time"/>
    <x v="1"/>
  </r>
  <r>
    <x v="85"/>
    <s v="ACHC"/>
    <s v="on 4/30/25 After Market Eastern Standard Time"/>
    <x v="2"/>
  </r>
  <r>
    <x v="85"/>
    <s v="CORT"/>
    <s v="on 4/30/25 After Market Eastern Standard Time"/>
    <x v="1"/>
  </r>
  <r>
    <x v="85"/>
    <s v="CCI"/>
    <s v="on 4/30/25 After Market Eastern Standard Time"/>
    <x v="3"/>
  </r>
  <r>
    <x v="85"/>
    <s v="PLPC"/>
    <s v="on 4/30/25 After Market Eastern Standard Time"/>
    <x v="1"/>
  </r>
  <r>
    <x v="85"/>
    <s v="GLAD"/>
    <s v="on 4/30/25 After Market Eastern Standard Time"/>
    <x v="0"/>
  </r>
  <r>
    <x v="85"/>
    <s v="EVTC"/>
    <s v="on 4/30/25 After Market Eastern Standard Time"/>
    <x v="1"/>
  </r>
  <r>
    <x v="85"/>
    <s v="NC"/>
    <s v="on 4/30/25 After Market Eastern Standard Time"/>
    <x v="0"/>
  </r>
  <r>
    <x v="85"/>
    <s v="WSR"/>
    <s v="on 4/30/25 After Market Eastern Standard Time"/>
    <x v="1"/>
  </r>
  <r>
    <x v="85"/>
    <s v="ORN"/>
    <s v="on 4/30/25 After Market Eastern Standard Time"/>
    <x v="1"/>
  </r>
  <r>
    <x v="85"/>
    <s v="UDR"/>
    <s v="on 4/30/25 After Market Eastern Standard Time"/>
    <x v="3"/>
  </r>
  <r>
    <x v="85"/>
    <s v="AM"/>
    <s v="on 4/30/25 After Market Eastern Standard Time"/>
    <x v="2"/>
  </r>
  <r>
    <x v="85"/>
    <s v="FMC"/>
    <s v="on 4/30/25 After Market Eastern Standard Time"/>
    <x v="3"/>
  </r>
  <r>
    <x v="85"/>
    <s v="ARAY"/>
    <s v="on 4/30/25 After Market Eastern Standard Time"/>
    <x v="0"/>
  </r>
  <r>
    <x v="85"/>
    <s v="MET"/>
    <s v="on 4/30/25 After Market Eastern Standard Time"/>
    <x v="3"/>
  </r>
  <r>
    <x v="85"/>
    <s v="AVNW"/>
    <s v="on 4/30/25 After Market Eastern Standard Time"/>
    <x v="0"/>
  </r>
  <r>
    <x v="85"/>
    <s v="AVB"/>
    <s v="on 4/30/25 After Market Eastern Standard Time"/>
    <x v="3"/>
  </r>
  <r>
    <x v="85"/>
    <s v="VTR"/>
    <s v="on 4/30/25 After Market Eastern Standard Time"/>
    <x v="3"/>
  </r>
  <r>
    <x v="85"/>
    <s v="NVEC"/>
    <s v="on 4/30/25 After Market Eastern Standard Time"/>
    <x v="1"/>
  </r>
  <r>
    <x v="85"/>
    <s v="SCKT"/>
    <s v="on 4/30/25 After Market Eastern Standard Time"/>
    <x v="0"/>
  </r>
  <r>
    <x v="85"/>
    <s v="BRBS"/>
    <s v="on 4/30/25 After Market Eastern Standard Time"/>
    <x v="0"/>
  </r>
  <r>
    <x v="85"/>
    <s v="BHC"/>
    <s v="on 4/30/25 After Market Eastern Standard Time"/>
    <x v="0"/>
  </r>
  <r>
    <x v="85"/>
    <s v="MKL"/>
    <s v="on 4/30/25 After Market Eastern Standard Time"/>
    <x v="0"/>
  </r>
  <r>
    <x v="85"/>
    <s v="IVT"/>
    <s v="on 4/30/25 After Market Eastern Standard Time"/>
    <x v="1"/>
  </r>
  <r>
    <x v="85"/>
    <s v="COFS"/>
    <s v="on 4/30/25 After Market Eastern Standard Time"/>
    <x v="1"/>
  </r>
  <r>
    <x v="85"/>
    <s v="NTGR"/>
    <s v="on 4/30/25 After Market Eastern Standard Time"/>
    <x v="1"/>
  </r>
  <r>
    <x v="85"/>
    <s v="CRK"/>
    <s v="on 4/30/25 After Market Eastern Standard Time"/>
    <x v="1"/>
  </r>
  <r>
    <x v="85"/>
    <s v="TDOC"/>
    <s v="on 4/30/25 After Market Eastern Standard Time"/>
    <x v="1"/>
  </r>
  <r>
    <x v="85"/>
    <s v="NLY"/>
    <s v="on 4/30/25 After Market Eastern Standard Time"/>
    <x v="2"/>
  </r>
  <r>
    <x v="85"/>
    <s v="QTWO"/>
    <s v="on 4/30/25 After Market Eastern Standard Time"/>
    <x v="1"/>
  </r>
  <r>
    <x v="85"/>
    <s v="CNXN"/>
    <s v="on 4/30/25 After Market Eastern Standard Time"/>
    <x v="1"/>
  </r>
  <r>
    <x v="85"/>
    <s v="CWH"/>
    <s v="on 4/30/25 After Market Eastern Standard Time"/>
    <x v="1"/>
  </r>
  <r>
    <x v="85"/>
    <s v="WHG"/>
    <s v="on 4/30/25 After Market Eastern Standard Time"/>
    <x v="0"/>
  </r>
  <r>
    <x v="85"/>
    <s v="SDGR"/>
    <s v="on 4/30/25 After Market Eastern Standard Time"/>
    <x v="1"/>
  </r>
  <r>
    <x v="85"/>
    <s v="CVNA"/>
    <s v="on 4/30/25 After Market Eastern Standard Time"/>
    <x v="0"/>
  </r>
  <r>
    <x v="85"/>
    <s v="FCPT"/>
    <s v="on 4/30/25 After Market Eastern Standard Time"/>
    <x v="1"/>
  </r>
  <r>
    <x v="85"/>
    <s v="JBTM"/>
    <s v="on 4/30/25 After Market Eastern Standard Time"/>
    <x v="0"/>
  </r>
  <r>
    <x v="85"/>
    <s v="ALKT"/>
    <s v="on 4/30/25 After Market Eastern Standard Time"/>
    <x v="1"/>
  </r>
  <r>
    <x v="85"/>
    <s v="GNW"/>
    <s v="on 4/30/25 After Market Eastern Standard Time"/>
    <x v="1"/>
  </r>
  <r>
    <x v="85"/>
    <s v="PCOR"/>
    <s v="on 4/30/25 After Market Eastern Standard Time"/>
    <x v="0"/>
  </r>
  <r>
    <x v="85"/>
    <s v="QCOM"/>
    <s v="on 4/30/25 After Market Eastern Standard Time"/>
    <x v="3"/>
  </r>
  <r>
    <x v="85"/>
    <s v="KRMD"/>
    <s v="on 4/30/25 After Market Eastern Standard Time"/>
    <x v="0"/>
  </r>
  <r>
    <x v="85"/>
    <s v="NFG"/>
    <s v="on 4/30/25 After Market Eastern Standard Time"/>
    <x v="2"/>
  </r>
  <r>
    <x v="85"/>
    <s v="FBMS"/>
    <s v="on 4/30/25 After Market Eastern Standard Time"/>
    <x v="1"/>
  </r>
  <r>
    <x v="85"/>
    <s v="AR"/>
    <s v="on 4/30/25 After Market Eastern Standard Time"/>
    <x v="2"/>
  </r>
  <r>
    <x v="85"/>
    <s v="OBT"/>
    <s v="on 4/30/25 After Market Eastern Standard Time"/>
    <x v="1"/>
  </r>
  <r>
    <x v="85"/>
    <s v="KXIN"/>
    <s v="on 4/30/25 After Market Eastern Standard Time"/>
    <x v="0"/>
  </r>
  <r>
    <x v="85"/>
    <s v="ALB"/>
    <s v="on 4/30/25 After Market Eastern Standard Time"/>
    <x v="3"/>
  </r>
  <r>
    <x v="85"/>
    <s v="THG"/>
    <s v="on 4/30/25 After Market Eastern Standard Time"/>
    <x v="2"/>
  </r>
  <r>
    <x v="85"/>
    <s v="CENX"/>
    <s v="on 4/30/25 After Market Eastern Standard Time"/>
    <x v="1"/>
  </r>
  <r>
    <x v="85"/>
    <s v="MEOH"/>
    <s v="on 4/30/25 After Market Eastern Standard Time"/>
    <x v="0"/>
  </r>
  <r>
    <x v="85"/>
    <s v="PTC"/>
    <s v="on 4/30/25 After Market Eastern Standard Time"/>
    <x v="3"/>
  </r>
  <r>
    <x v="85"/>
    <s v="FMAO"/>
    <s v="on 4/30/25 After Market Eastern Standard Time"/>
    <x v="1"/>
  </r>
  <r>
    <x v="85"/>
    <s v="MGM"/>
    <s v="on 4/30/25 After Market Eastern Standard Time"/>
    <x v="3"/>
  </r>
  <r>
    <x v="86"/>
    <s v="AAON"/>
    <s v="on 5/1/25 Before Market Eastern Standard Time"/>
    <x v="2"/>
  </r>
  <r>
    <x v="86"/>
    <s v="GWW"/>
    <s v="on 5/1/25 Before Market Eastern Standard Time"/>
    <x v="3"/>
  </r>
  <r>
    <x v="86"/>
    <s v="BECN"/>
    <s v="on 5/1/25 Before Market Eastern Standard Time"/>
    <x v="1"/>
  </r>
  <r>
    <x v="86"/>
    <s v="PWR"/>
    <s v="on 5/1/25 Before Market Eastern Standard Time"/>
    <x v="3"/>
  </r>
  <r>
    <x v="86"/>
    <s v="ITRI"/>
    <s v="on 5/1/25 Before Market Eastern Standard Time"/>
    <x v="1"/>
  </r>
  <r>
    <x v="86"/>
    <s v="MGPI"/>
    <s v="on 5/1/25 Before Market Eastern Standard Time"/>
    <x v="1"/>
  </r>
  <r>
    <x v="86"/>
    <s v="DYN"/>
    <s v="on 5/1/25 Before Market Eastern Standard Time"/>
    <x v="1"/>
  </r>
  <r>
    <x v="86"/>
    <s v="LAZ"/>
    <s v="on 5/1/25 Before Market Eastern Standard Time"/>
    <x v="0"/>
  </r>
  <r>
    <x v="86"/>
    <s v="FTDR"/>
    <s v="on 5/1/25 Before Market Eastern Standard Time"/>
    <x v="1"/>
  </r>
  <r>
    <x v="86"/>
    <s v="VNT"/>
    <s v="on 5/1/25 Before Market Eastern Standard Time"/>
    <x v="2"/>
  </r>
  <r>
    <x v="86"/>
    <s v="SHC"/>
    <s v="on 5/1/25 Before Market Eastern Standard Time"/>
    <x v="2"/>
  </r>
  <r>
    <x v="86"/>
    <s v="LAUR"/>
    <s v="on 5/1/25 Before Market Eastern Standard Time"/>
    <x v="1"/>
  </r>
  <r>
    <x v="86"/>
    <s v="LLY"/>
    <s v="on 5/1/25 Before Market Eastern Standard Time"/>
    <x v="3"/>
  </r>
  <r>
    <x v="86"/>
    <s v="PNW"/>
    <s v="on 5/1/25 Before Market Eastern Standard Time"/>
    <x v="3"/>
  </r>
  <r>
    <x v="86"/>
    <s v="CRTO"/>
    <s v="on 5/1/25 Before Market Eastern Standard Time"/>
    <x v="0"/>
  </r>
  <r>
    <x v="86"/>
    <s v="EXC"/>
    <s v="on 5/1/25 Before Market Eastern Standard Time"/>
    <x v="3"/>
  </r>
  <r>
    <x v="86"/>
    <s v="DRVN"/>
    <s v="on 5/1/25 Before Market Eastern Standard Time"/>
    <x v="1"/>
  </r>
  <r>
    <x v="86"/>
    <s v="ZBH"/>
    <s v="on 5/1/25 Before Market Eastern Standard Time"/>
    <x v="3"/>
  </r>
  <r>
    <x v="86"/>
    <s v="TFX"/>
    <s v="on 5/1/25 Before Market Eastern Standard Time"/>
    <x v="3"/>
  </r>
  <r>
    <x v="86"/>
    <s v="SSTK"/>
    <s v="on 5/1/25 Before Market Eastern Standard Time"/>
    <x v="1"/>
  </r>
  <r>
    <x v="86"/>
    <s v="BBIO"/>
    <s v="on 5/1/25 Before Market Eastern Standard Time"/>
    <x v="1"/>
  </r>
  <r>
    <x v="86"/>
    <s v="MITSY"/>
    <s v="on 5/1/25 Unspecified Eastern Standard Time"/>
    <x v="0"/>
  </r>
  <r>
    <x v="86"/>
    <s v="AXGN"/>
    <s v="on 5/1/25 Before Market Eastern Standard Time"/>
    <x v="1"/>
  </r>
  <r>
    <x v="86"/>
    <s v="IRMD"/>
    <s v="on 5/1/25 Before Market Eastern Standard Time"/>
    <x v="1"/>
  </r>
  <r>
    <x v="86"/>
    <s v="GVA"/>
    <s v="on 5/1/25 Before Market Eastern Standard Time"/>
    <x v="1"/>
  </r>
  <r>
    <x v="86"/>
    <s v="ALNY"/>
    <s v="on 5/1/25 Before Market Eastern Standard Time"/>
    <x v="0"/>
  </r>
  <r>
    <x v="86"/>
    <s v="JHG"/>
    <s v="on 5/1/25 Before Market Eastern Standard Time"/>
    <x v="2"/>
  </r>
  <r>
    <x v="86"/>
    <s v="MTLS"/>
    <s v="on 5/1/25 Before Market Eastern Standard Time"/>
    <x v="0"/>
  </r>
  <r>
    <x v="86"/>
    <s v="CTS"/>
    <s v="on 5/1/25 Before Market Eastern Standard Time"/>
    <x v="1"/>
  </r>
  <r>
    <x v="86"/>
    <s v="UTZ"/>
    <s v="on 5/1/25 Before Market Eastern Standard Time"/>
    <x v="1"/>
  </r>
  <r>
    <x v="86"/>
    <s v="HOCPY"/>
    <s v="on 5/1/25 Unspecified Eastern Standard Time"/>
    <x v="0"/>
  </r>
  <r>
    <x v="86"/>
    <s v="TRI"/>
    <s v="on 5/1/25 Before Market Eastern Standard Time"/>
    <x v="0"/>
  </r>
  <r>
    <x v="86"/>
    <s v="MX"/>
    <s v="on 5/1/25 Before Market Eastern Standard Time"/>
    <x v="0"/>
  </r>
  <r>
    <x v="86"/>
    <s v="COMM"/>
    <s v="on 5/1/25 Before Market Eastern Standard Time"/>
    <x v="1"/>
  </r>
  <r>
    <x v="86"/>
    <s v="LIN"/>
    <s v="on 5/1/25 Before Market Eastern Standard Time"/>
    <x v="3"/>
  </r>
  <r>
    <x v="86"/>
    <s v="GCI"/>
    <s v="on 5/1/25 Before Market Eastern Standard Time"/>
    <x v="1"/>
  </r>
  <r>
    <x v="86"/>
    <s v="GTLS"/>
    <s v="on 5/1/25 Before Market Eastern Standard Time"/>
    <x v="1"/>
  </r>
  <r>
    <x v="86"/>
    <s v="TPB"/>
    <s v="on 5/1/25 Before Market Eastern Standard Time"/>
    <x v="1"/>
  </r>
  <r>
    <x v="86"/>
    <s v="HWM"/>
    <s v="on 5/1/25 Before Market Eastern Standard Time"/>
    <x v="3"/>
  </r>
  <r>
    <x v="86"/>
    <s v="KTB"/>
    <s v="on 5/1/25 Before Market Eastern Standard Time"/>
    <x v="1"/>
  </r>
  <r>
    <x v="86"/>
    <s v="IDXX"/>
    <s v="on 5/1/25 Before Market Eastern Standard Time"/>
    <x v="3"/>
  </r>
  <r>
    <x v="86"/>
    <s v="KEX"/>
    <s v="on 5/1/25 Before Market Eastern Standard Time"/>
    <x v="2"/>
  </r>
  <r>
    <x v="86"/>
    <s v="CRAI"/>
    <s v="on 5/1/25 Before Market Eastern Standard Time"/>
    <x v="1"/>
  </r>
  <r>
    <x v="86"/>
    <s v="H"/>
    <s v="on 5/1/25 Before Market Eastern Standard Time"/>
    <x v="2"/>
  </r>
  <r>
    <x v="86"/>
    <s v="MYE"/>
    <s v="on 5/1/25 Before Market Eastern Standard Time"/>
    <x v="1"/>
  </r>
  <r>
    <x v="86"/>
    <s v="SO"/>
    <s v="on 5/1/25 Before Market Eastern Standard Time"/>
    <x v="3"/>
  </r>
  <r>
    <x v="86"/>
    <s v="DINO"/>
    <s v="on 5/1/25 Before Market Eastern Standard Time"/>
    <x v="2"/>
  </r>
  <r>
    <x v="86"/>
    <s v="LXP"/>
    <s v="on 5/1/25 Before Market Eastern Standard Time"/>
    <x v="1"/>
  </r>
  <r>
    <x v="86"/>
    <s v="ULCC"/>
    <s v="on 5/1/25 Before Market Eastern Standard Time"/>
    <x v="1"/>
  </r>
  <r>
    <x v="86"/>
    <s v="HSY"/>
    <s v="on 5/1/25 Before Market Eastern Standard Time"/>
    <x v="3"/>
  </r>
  <r>
    <x v="86"/>
    <s v="BAX"/>
    <s v="on 5/1/25 Before Market Eastern Standard Time"/>
    <x v="3"/>
  </r>
  <r>
    <x v="86"/>
    <s v="HIPO"/>
    <s v="on 5/1/25 Before Market Eastern Standard Time"/>
    <x v="1"/>
  </r>
  <r>
    <x v="86"/>
    <s v="CCRD"/>
    <s v="on 5/1/25 Before Market Eastern Standard Time"/>
    <x v="0"/>
  </r>
  <r>
    <x v="86"/>
    <s v="NSIT"/>
    <s v="on 5/1/25 Before Market Eastern Standard Time"/>
    <x v="1"/>
  </r>
  <r>
    <x v="86"/>
    <s v="BIIB"/>
    <s v="on 5/1/25 Before Market Eastern Standard Time"/>
    <x v="3"/>
  </r>
  <r>
    <x v="86"/>
    <s v="WLK"/>
    <s v="on 5/1/25 Before Market Eastern Standard Time"/>
    <x v="2"/>
  </r>
  <r>
    <x v="86"/>
    <s v="LANC"/>
    <s v="on 5/1/25 Before Market Eastern Standard Time"/>
    <x v="1"/>
  </r>
  <r>
    <x v="86"/>
    <s v="VMC"/>
    <s v="on 5/1/25 Before Market Eastern Standard Time"/>
    <x v="3"/>
  </r>
  <r>
    <x v="86"/>
    <s v="UNIT"/>
    <s v="on 5/1/25 Before Market Eastern Standard Time"/>
    <x v="1"/>
  </r>
  <r>
    <x v="86"/>
    <s v="ECVT"/>
    <s v="on 5/1/25 Before Market Eastern Standard Time"/>
    <x v="1"/>
  </r>
  <r>
    <x v="86"/>
    <s v="FTV"/>
    <s v="on 5/1/25 Before Market Eastern Standard Time"/>
    <x v="3"/>
  </r>
  <r>
    <x v="86"/>
    <s v="APG"/>
    <s v="on 5/1/25 Before Market Eastern Standard Time"/>
    <x v="0"/>
  </r>
  <r>
    <x v="86"/>
    <s v="BLDR"/>
    <s v="on 5/1/25 Before Market Eastern Standard Time"/>
    <x v="3"/>
  </r>
  <r>
    <x v="86"/>
    <s v="OXSQ"/>
    <s v="on 5/1/25 Before Market Eastern Standard Time"/>
    <x v="0"/>
  </r>
  <r>
    <x v="86"/>
    <s v="PBF"/>
    <s v="on 5/1/25 Before Market Eastern Standard Time"/>
    <x v="1"/>
  </r>
  <r>
    <x v="86"/>
    <s v="DSGR"/>
    <s v="on 5/1/25 Before Market Eastern Standard Time"/>
    <x v="1"/>
  </r>
  <r>
    <x v="86"/>
    <s v="CHD"/>
    <s v="on 5/1/25 Before Market Eastern Standard Time"/>
    <x v="3"/>
  </r>
  <r>
    <x v="86"/>
    <s v="CARR"/>
    <s v="on 5/1/25 Before Market Eastern Standard Time"/>
    <x v="3"/>
  </r>
  <r>
    <x v="86"/>
    <s v="HTZ"/>
    <s v="on 5/1/25 Before Market Eastern Standard Time"/>
    <x v="1"/>
  </r>
  <r>
    <x v="86"/>
    <s v="K"/>
    <s v="on 5/1/25 Before Market Eastern Standard Time"/>
    <x v="3"/>
  </r>
  <r>
    <x v="86"/>
    <s v="DFH"/>
    <s v="on 5/1/25 Before Market Eastern Standard Time"/>
    <x v="1"/>
  </r>
  <r>
    <x v="86"/>
    <s v="BPMC"/>
    <s v="on 5/1/25 Before Market Eastern Standard Time"/>
    <x v="1"/>
  </r>
  <r>
    <x v="86"/>
    <s v="OCSL"/>
    <s v="on 5/1/25 Before Market Eastern Standard Time"/>
    <x v="0"/>
  </r>
  <r>
    <x v="86"/>
    <s v="UPBD"/>
    <s v="on 5/1/25 Before Market Eastern Standard Time"/>
    <x v="1"/>
  </r>
  <r>
    <x v="86"/>
    <s v="VSTS"/>
    <s v="on 5/1/25 Before Market Eastern Standard Time"/>
    <x v="0"/>
  </r>
  <r>
    <x v="86"/>
    <s v="ITT"/>
    <s v="on 5/1/25 Before Market Eastern Standard Time"/>
    <x v="2"/>
  </r>
  <r>
    <x v="86"/>
    <s v="SMMT"/>
    <s v="on 5/1/25 Before Market Eastern Standard Time"/>
    <x v="1"/>
  </r>
  <r>
    <x v="86"/>
    <s v="IRM"/>
    <s v="on 5/1/25 Before Market Eastern Standard Time"/>
    <x v="3"/>
  </r>
  <r>
    <x v="86"/>
    <s v="ABUS"/>
    <s v="on 5/1/25 Before Market Eastern Standard Time"/>
    <x v="1"/>
  </r>
  <r>
    <x v="86"/>
    <s v="BRKR"/>
    <s v="on 5/1/25 Before Market Eastern Standard Time"/>
    <x v="2"/>
  </r>
  <r>
    <x v="86"/>
    <s v="MRNA"/>
    <s v="on 5/1/25 Before Market Eastern Standard Time"/>
    <x v="3"/>
  </r>
  <r>
    <x v="86"/>
    <s v="MTSUY"/>
    <s v="on 5/1/25 Unspecified Eastern Standard Time"/>
    <x v="0"/>
  </r>
  <r>
    <x v="86"/>
    <s v="GTES"/>
    <s v="on 5/1/25 Before Market Eastern Standard Time"/>
    <x v="0"/>
  </r>
  <r>
    <x v="86"/>
    <s v="XPO"/>
    <s v="on 5/1/25 Before Market Eastern Standard Time"/>
    <x v="2"/>
  </r>
  <r>
    <x v="86"/>
    <s v="SOS"/>
    <s v="on 5/1/25 Before Market Eastern Standard Time"/>
    <x v="0"/>
  </r>
  <r>
    <x v="86"/>
    <s v="HAYW"/>
    <s v="on 5/1/25 Before Market Eastern Standard Time"/>
    <x v="0"/>
  </r>
  <r>
    <x v="86"/>
    <s v="ZJK"/>
    <s v="on 5/1/25 Before Market Eastern Standard Time"/>
    <x v="0"/>
  </r>
  <r>
    <x v="86"/>
    <s v="CAH"/>
    <s v="on 5/1/25 Before Market Eastern Standard Time"/>
    <x v="3"/>
  </r>
  <r>
    <x v="86"/>
    <s v="TARA"/>
    <s v="on 5/1/25 Before Market Eastern Standard Time"/>
    <x v="0"/>
  </r>
  <r>
    <x v="86"/>
    <s v="PJT"/>
    <s v="on 5/1/25 Before Market Eastern Standard Time"/>
    <x v="1"/>
  </r>
  <r>
    <x v="86"/>
    <s v="ATI"/>
    <s v="on 5/1/25 Before Market Eastern Standard Time"/>
    <x v="0"/>
  </r>
  <r>
    <x v="86"/>
    <s v="NVRI"/>
    <s v="on 5/1/25 Before Market Eastern Standard Time"/>
    <x v="1"/>
  </r>
  <r>
    <x v="86"/>
    <s v="IDCC"/>
    <s v="on 5/1/25 Before Market Eastern Standard Time"/>
    <x v="1"/>
  </r>
  <r>
    <x v="86"/>
    <s v="GHRS"/>
    <s v="on 5/1/25 Before Market Eastern Standard Time"/>
    <x v="0"/>
  </r>
  <r>
    <x v="86"/>
    <s v="SIRI"/>
    <s v="on 5/1/25 Before Market Eastern Standard Time"/>
    <x v="0"/>
  </r>
  <r>
    <x v="86"/>
    <s v="DBRG"/>
    <s v="on 5/1/25 Before Market Eastern Standard Time"/>
    <x v="1"/>
  </r>
  <r>
    <x v="86"/>
    <s v="CVS"/>
    <s v="on 5/1/25 Before Market Eastern Standard Time"/>
    <x v="3"/>
  </r>
  <r>
    <x v="86"/>
    <s v="SNDR"/>
    <s v="on 5/1/25 Before Market Eastern Standard Time"/>
    <x v="0"/>
  </r>
  <r>
    <x v="86"/>
    <s v="GPRE"/>
    <s v="on 5/1/25 Before Market Eastern Standard Time"/>
    <x v="1"/>
  </r>
  <r>
    <x v="86"/>
    <s v="ONEW"/>
    <s v="on 5/1/25 Before Market Eastern Standard Time"/>
    <x v="1"/>
  </r>
  <r>
    <x v="86"/>
    <s v="BDC"/>
    <s v="on 5/1/25 Before Market Eastern Standard Time"/>
    <x v="1"/>
  </r>
  <r>
    <x v="86"/>
    <s v="AGCO"/>
    <s v="on 5/1/25 Before Market Eastern Standard Time"/>
    <x v="2"/>
  </r>
  <r>
    <x v="86"/>
    <s v="XPEL"/>
    <s v="on 5/1/25 Before Market Eastern Standard Time"/>
    <x v="1"/>
  </r>
  <r>
    <x v="86"/>
    <s v="EL"/>
    <s v="on 5/1/25 Before Market Eastern Standard Time"/>
    <x v="3"/>
  </r>
  <r>
    <x v="86"/>
    <s v="RBLX"/>
    <s v="on 5/1/25 Before Market Eastern Standard Time"/>
    <x v="0"/>
  </r>
  <r>
    <x v="86"/>
    <s v="OMCL"/>
    <s v="on 5/1/25 Before Market Eastern Standard Time"/>
    <x v="1"/>
  </r>
  <r>
    <x v="86"/>
    <s v="CCJ"/>
    <s v="on 5/1/25 Before Market Eastern Standard Time"/>
    <x v="0"/>
  </r>
  <r>
    <x v="86"/>
    <s v="LSEA"/>
    <s v="on 5/1/25 Before Market Eastern Standard Time"/>
    <x v="1"/>
  </r>
  <r>
    <x v="86"/>
    <s v="KIM"/>
    <s v="on 5/1/25 Before Market Eastern Standard Time"/>
    <x v="3"/>
  </r>
  <r>
    <x v="86"/>
    <s v="MSGS"/>
    <s v="on 5/1/25 Before Market Eastern Standard Time"/>
    <x v="0"/>
  </r>
  <r>
    <x v="86"/>
    <s v="OLPX"/>
    <s v="on 5/1/25 Before Market Eastern Standard Time"/>
    <x v="1"/>
  </r>
  <r>
    <x v="86"/>
    <s v="BFH"/>
    <s v="on 5/1/25 Before Market Eastern Standard Time"/>
    <x v="1"/>
  </r>
  <r>
    <x v="86"/>
    <s v="DTE"/>
    <s v="on 5/1/25 Before Market Eastern Standard Time"/>
    <x v="3"/>
  </r>
  <r>
    <x v="86"/>
    <s v="APD"/>
    <s v="on 5/1/25 Before Market Eastern Standard Time"/>
    <x v="3"/>
  </r>
  <r>
    <x v="86"/>
    <s v="PAX"/>
    <s v="on 5/1/25 Before Market Eastern Standard Time"/>
    <x v="1"/>
  </r>
  <r>
    <x v="86"/>
    <s v="SUP"/>
    <s v="on 5/1/25 Before Market Eastern Standard Time"/>
    <x v="0"/>
  </r>
  <r>
    <x v="86"/>
    <s v="NCLH"/>
    <s v="on 5/1/25 Before Market Eastern Standard Time"/>
    <x v="3"/>
  </r>
  <r>
    <x v="86"/>
    <s v="MTSI"/>
    <s v="on 5/1/25 Before Market Eastern Standard Time"/>
    <x v="2"/>
  </r>
  <r>
    <x v="86"/>
    <s v="CWT"/>
    <s v="on 5/1/25 Before Market Eastern Standard Time"/>
    <x v="1"/>
  </r>
  <r>
    <x v="86"/>
    <s v="KKR"/>
    <s v="on 5/1/25 Before Market Eastern Standard Time"/>
    <x v="3"/>
  </r>
  <r>
    <x v="86"/>
    <s v="WCC"/>
    <s v="on 5/1/25 Before Market Eastern Standard Time"/>
    <x v="2"/>
  </r>
  <r>
    <x v="86"/>
    <s v="ENOV"/>
    <s v="on 5/1/25 Before Market Eastern Standard Time"/>
    <x v="2"/>
  </r>
  <r>
    <x v="86"/>
    <s v="ICE"/>
    <s v="on 5/1/25 Before Market Eastern Standard Time"/>
    <x v="3"/>
  </r>
  <r>
    <x v="86"/>
    <s v="CFR"/>
    <s v="on 5/1/25 Before Market Eastern Standard Time"/>
    <x v="2"/>
  </r>
  <r>
    <x v="86"/>
    <s v="OGN"/>
    <s v="on 5/1/25 Before Market Eastern Standard Time"/>
    <x v="0"/>
  </r>
  <r>
    <x v="86"/>
    <s v="AGIO"/>
    <s v="on 5/1/25 Before Market Eastern Standard Time"/>
    <x v="1"/>
  </r>
  <r>
    <x v="86"/>
    <s v="PTVE"/>
    <s v="on 5/1/25 Before Market Eastern Standard Time"/>
    <x v="1"/>
  </r>
  <r>
    <x v="86"/>
    <s v="OWL"/>
    <s v="on 5/1/25 Before Market Eastern Standard Time"/>
    <x v="0"/>
  </r>
  <r>
    <x v="86"/>
    <s v="CNH"/>
    <s v="on 5/1/25 Before Market Eastern Standard Time"/>
    <x v="2"/>
  </r>
  <r>
    <x v="86"/>
    <s v="INMD"/>
    <s v="on 5/1/25 Before Market Eastern Standard Time"/>
    <x v="1"/>
  </r>
  <r>
    <x v="86"/>
    <s v="FLWS"/>
    <s v="on 5/1/25 Before Market Eastern Standard Time"/>
    <x v="1"/>
  </r>
  <r>
    <x v="86"/>
    <s v="WLKP"/>
    <s v="on 5/1/25 Before Market Eastern Standard Time"/>
    <x v="0"/>
  </r>
  <r>
    <x v="86"/>
    <s v="BDRBF"/>
    <s v="on 5/1/25 Before Market Eastern Standard Time"/>
    <x v="0"/>
  </r>
  <r>
    <x v="86"/>
    <s v="IQV"/>
    <s v="on 5/1/25 Before Market Eastern Standard Time"/>
    <x v="3"/>
  </r>
  <r>
    <x v="86"/>
    <s v="MCD"/>
    <s v="on 5/1/25 Before Market Eastern Standard Time"/>
    <x v="3"/>
  </r>
  <r>
    <x v="86"/>
    <s v="TUSK"/>
    <s v="on 5/1/25 Before Market Eastern Standard Time"/>
    <x v="0"/>
  </r>
  <r>
    <x v="86"/>
    <s v="CNOB"/>
    <s v="on 5/1/25 Before Market Eastern Standard Time"/>
    <x v="1"/>
  </r>
  <r>
    <x v="86"/>
    <s v="CCO"/>
    <s v="on 5/1/25 Before Market Eastern Standard Time"/>
    <x v="1"/>
  </r>
  <r>
    <x v="86"/>
    <s v="ARW"/>
    <s v="on 5/1/25 Before Market Eastern Standard Time"/>
    <x v="2"/>
  </r>
  <r>
    <x v="86"/>
    <s v="ONIT"/>
    <s v="on 5/1/25 Before Market Eastern Standard Time"/>
    <x v="1"/>
  </r>
  <r>
    <x v="86"/>
    <s v="NNN"/>
    <s v="on 5/1/25 Before Market Eastern Standard Time"/>
    <x v="2"/>
  </r>
  <r>
    <x v="86"/>
    <s v="AVBP"/>
    <s v="on 5/1/25 Before Market Eastern Standard Time"/>
    <x v="1"/>
  </r>
  <r>
    <x v="86"/>
    <s v="W"/>
    <s v="on 5/1/25 Before Market Eastern Standard Time"/>
    <x v="0"/>
  </r>
  <r>
    <x v="86"/>
    <s v="FDP"/>
    <s v="on 5/1/25 Before Market Eastern Standard Time"/>
    <x v="1"/>
  </r>
  <r>
    <x v="86"/>
    <s v="AVNS"/>
    <s v="on 5/1/25 Before Market Eastern Standard Time"/>
    <x v="1"/>
  </r>
  <r>
    <x v="86"/>
    <s v="NREF"/>
    <s v="on 5/1/25 Before Market Eastern Standard Time"/>
    <x v="0"/>
  </r>
  <r>
    <x v="86"/>
    <s v="PH"/>
    <s v="on 5/1/25 Before Market Eastern Standard Time"/>
    <x v="3"/>
  </r>
  <r>
    <x v="86"/>
    <s v="ENTG"/>
    <s v="on 5/1/25 Before Market Eastern Standard Time"/>
    <x v="0"/>
  </r>
  <r>
    <x v="86"/>
    <s v="PACK"/>
    <s v="on 5/1/25 Before Market Eastern Standard Time"/>
    <x v="1"/>
  </r>
  <r>
    <x v="86"/>
    <s v="GEL"/>
    <s v="on 5/1/25 Before Market Eastern Standard Time"/>
    <x v="0"/>
  </r>
  <r>
    <x v="86"/>
    <s v="BC"/>
    <s v="on 5/1/25 Before Market Eastern Standard Time"/>
    <x v="2"/>
  </r>
  <r>
    <x v="86"/>
    <s v="WEN"/>
    <s v="on 5/1/25 Before Market Eastern Standard Time"/>
    <x v="2"/>
  </r>
  <r>
    <x v="86"/>
    <s v="BTU"/>
    <s v="on 5/1/25 Before Market Eastern Standard Time"/>
    <x v="1"/>
  </r>
  <r>
    <x v="86"/>
    <s v="MDV"/>
    <s v="on 5/1/25 Before Market Eastern Standard Time"/>
    <x v="0"/>
  </r>
  <r>
    <x v="86"/>
    <s v="DBD"/>
    <s v="on 5/1/25 Before Market Eastern Standard Time"/>
    <x v="1"/>
  </r>
  <r>
    <x v="86"/>
    <s v="GTX"/>
    <s v="on 5/1/25 Before Market Eastern Standard Time"/>
    <x v="0"/>
  </r>
  <r>
    <x v="86"/>
    <s v="MBUU"/>
    <s v="on 5/1/25 Before Market Eastern Standard Time"/>
    <x v="1"/>
  </r>
  <r>
    <x v="86"/>
    <s v="MCS"/>
    <s v="on 5/1/25 Before Market Eastern Standard Time"/>
    <x v="1"/>
  </r>
  <r>
    <x v="86"/>
    <s v="AME"/>
    <s v="on 5/1/25 Before Market Eastern Standard Time"/>
    <x v="3"/>
  </r>
  <r>
    <x v="86"/>
    <s v="GPK"/>
    <s v="on 5/1/25 Before Market Eastern Standard Time"/>
    <x v="2"/>
  </r>
  <r>
    <x v="86"/>
    <s v="LNTH"/>
    <s v="on 5/1/25 Before Market Eastern Standard Time"/>
    <x v="1"/>
  </r>
  <r>
    <x v="86"/>
    <s v="D"/>
    <s v="on 5/1/25 Before Market Eastern Standard Time"/>
    <x v="3"/>
  </r>
  <r>
    <x v="86"/>
    <s v="DRS"/>
    <s v="on 5/1/25 Before Market Eastern Standard Time"/>
    <x v="1"/>
  </r>
  <r>
    <x v="86"/>
    <s v="LYG"/>
    <s v="on 5/1/25 Before Market Eastern Standard Time"/>
    <x v="0"/>
  </r>
  <r>
    <x v="86"/>
    <s v="AIT"/>
    <s v="on 5/1/25 Before Market Eastern Standard Time"/>
    <x v="1"/>
  </r>
  <r>
    <x v="86"/>
    <s v="BDX"/>
    <s v="on 5/1/25 Unspecified Eastern Standard Time"/>
    <x v="3"/>
  </r>
  <r>
    <x v="86"/>
    <s v="APTV"/>
    <s v="on 5/1/25 Before Market Eastern Standard Time"/>
    <x v="3"/>
  </r>
  <r>
    <x v="86"/>
    <s v="PATK"/>
    <s v="on 5/1/25 Before Market Eastern Standard Time"/>
    <x v="1"/>
  </r>
  <r>
    <x v="86"/>
    <s v="WLFC"/>
    <s v="on 5/1/25 Before Market Eastern Standard Time"/>
    <x v="1"/>
  </r>
  <r>
    <x v="86"/>
    <s v="MDU"/>
    <s v="on 5/1/25 Before Market Eastern Standard Time"/>
    <x v="0"/>
  </r>
  <r>
    <x v="87"/>
    <s v="PLMR"/>
    <s v="on 5/1/25 After Market Eastern Standard Time"/>
    <x v="1"/>
  </r>
  <r>
    <x v="87"/>
    <s v="RARE"/>
    <s v="on 5/1/25 After Market Eastern Standard Time"/>
    <x v="0"/>
  </r>
  <r>
    <x v="87"/>
    <s v="BLND"/>
    <s v="on 5/1/25 After Market Eastern Standard Time"/>
    <x v="1"/>
  </r>
  <r>
    <x v="87"/>
    <s v="SBFG"/>
    <s v="on 5/1/25 After Market Eastern Standard Time"/>
    <x v="0"/>
  </r>
  <r>
    <x v="87"/>
    <s v="CSR"/>
    <s v="on 5/1/25 After Market Eastern Standard Time"/>
    <x v="1"/>
  </r>
  <r>
    <x v="87"/>
    <s v="WW"/>
    <s v="on 5/1/25 After Market Eastern Standard Time"/>
    <x v="0"/>
  </r>
  <r>
    <x v="87"/>
    <s v="BBAI"/>
    <s v="on 5/1/25 After Market Eastern Standard Time"/>
    <x v="1"/>
  </r>
  <r>
    <x v="87"/>
    <s v="AWRE"/>
    <s v="on 5/1/25 After Market Eastern Standard Time"/>
    <x v="0"/>
  </r>
  <r>
    <x v="87"/>
    <s v="AIP"/>
    <s v="on 5/1/25 After Market Eastern Standard Time"/>
    <x v="1"/>
  </r>
  <r>
    <x v="87"/>
    <s v="SAND"/>
    <s v="on 5/1/25 After Market Eastern Standard Time"/>
    <x v="0"/>
  </r>
  <r>
    <x v="87"/>
    <s v="ACCO"/>
    <s v="on 5/1/25 After Market Eastern Standard Time"/>
    <x v="1"/>
  </r>
  <r>
    <x v="87"/>
    <s v="EB"/>
    <s v="on 5/1/25 After Market Eastern Standard Time"/>
    <x v="1"/>
  </r>
  <r>
    <x v="87"/>
    <s v="GDDY"/>
    <s v="on 5/1/25 After Market Eastern Standard Time"/>
    <x v="3"/>
  </r>
  <r>
    <x v="87"/>
    <s v="MTZ"/>
    <s v="on 5/1/25 After Market Eastern Standard Time"/>
    <x v="2"/>
  </r>
  <r>
    <x v="87"/>
    <s v="FBIZ"/>
    <s v="on 5/1/25 After Market Eastern Standard Time"/>
    <x v="1"/>
  </r>
  <r>
    <x v="87"/>
    <s v="CIVI"/>
    <s v="on 5/1/25 After Market Eastern Standard Time"/>
    <x v="2"/>
  </r>
  <r>
    <x v="87"/>
    <s v="DRH"/>
    <s v="on 5/1/25 After Market Eastern Standard Time"/>
    <x v="1"/>
  </r>
  <r>
    <x v="87"/>
    <s v="DMLP"/>
    <s v="on 5/1/25 After Market Eastern Standard Time"/>
    <x v="0"/>
  </r>
  <r>
    <x v="87"/>
    <s v="EIG"/>
    <s v="on 5/1/25 After Market Eastern Standard Time"/>
    <x v="1"/>
  </r>
  <r>
    <x v="87"/>
    <s v="VRRM"/>
    <s v="on 5/1/25 After Market Eastern Standard Time"/>
    <x v="1"/>
  </r>
  <r>
    <x v="87"/>
    <s v="AMGN"/>
    <s v="on 5/1/25 After Market Eastern Standard Time"/>
    <x v="3"/>
  </r>
  <r>
    <x v="87"/>
    <s v="APPF"/>
    <s v="on 5/1/25 After Market Eastern Standard Time"/>
    <x v="2"/>
  </r>
  <r>
    <x v="87"/>
    <s v="RVSB"/>
    <s v="on 5/1/25 After Market Eastern Standard Time"/>
    <x v="0"/>
  </r>
  <r>
    <x v="87"/>
    <s v="NRDS"/>
    <s v="on 5/1/25 After Market Eastern Standard Time"/>
    <x v="1"/>
  </r>
  <r>
    <x v="87"/>
    <s v="OHI"/>
    <s v="on 5/1/25 After Market Eastern Standard Time"/>
    <x v="2"/>
  </r>
  <r>
    <x v="87"/>
    <s v="X"/>
    <s v="on 5/1/25 After Market Eastern Standard Time"/>
    <x v="2"/>
  </r>
  <r>
    <x v="87"/>
    <s v="ARDX"/>
    <s v="on 5/1/25 After Market Eastern Standard Time"/>
    <x v="1"/>
  </r>
  <r>
    <x v="87"/>
    <s v="INVX"/>
    <s v="on 5/1/25 After Market Eastern Standard Time"/>
    <x v="1"/>
  </r>
  <r>
    <x v="87"/>
    <s v="BJRI"/>
    <s v="on 5/1/25 After Market Eastern Standard Time"/>
    <x v="1"/>
  </r>
  <r>
    <x v="87"/>
    <s v="AES"/>
    <s v="on 5/1/25 After Market Eastern Standard Time"/>
    <x v="3"/>
  </r>
  <r>
    <x v="87"/>
    <s v="GILD"/>
    <s v="on 5/1/25 After Market Eastern Standard Time"/>
    <x v="3"/>
  </r>
  <r>
    <x v="87"/>
    <s v="ICFI"/>
    <s v="on 5/1/25 After Market Eastern Standard Time"/>
    <x v="1"/>
  </r>
  <r>
    <x v="87"/>
    <s v="EOG"/>
    <s v="on 5/1/25 After Market Eastern Standard Time"/>
    <x v="3"/>
  </r>
  <r>
    <x v="87"/>
    <s v="ATEN"/>
    <s v="on 5/1/25 After Market Eastern Standard Time"/>
    <x v="1"/>
  </r>
  <r>
    <x v="87"/>
    <s v="OFS"/>
    <s v="on 5/1/25 After Market Eastern Standard Time"/>
    <x v="0"/>
  </r>
  <r>
    <x v="87"/>
    <s v="LPLA"/>
    <s v="on 5/1/25 After Market Eastern Standard Time"/>
    <x v="0"/>
  </r>
  <r>
    <x v="87"/>
    <s v="DVA"/>
    <s v="on 5/1/25 After Market Eastern Standard Time"/>
    <x v="3"/>
  </r>
  <r>
    <x v="87"/>
    <s v="LMAT"/>
    <s v="on 5/1/25 After Market Eastern Standard Time"/>
    <x v="1"/>
  </r>
  <r>
    <x v="87"/>
    <s v="SXI"/>
    <s v="on 5/1/25 After Market Eastern Standard Time"/>
    <x v="1"/>
  </r>
  <r>
    <x v="87"/>
    <s v="ILMN"/>
    <s v="on 5/1/25 After Market Eastern Standard Time"/>
    <x v="4"/>
  </r>
  <r>
    <x v="87"/>
    <s v="XPOF"/>
    <s v="on 5/1/25 After Market Eastern Standard Time"/>
    <x v="1"/>
  </r>
  <r>
    <x v="87"/>
    <s v="FLIC"/>
    <s v="on 5/1/25 After Market Eastern Standard Time"/>
    <x v="1"/>
  </r>
  <r>
    <x v="87"/>
    <s v="HTGC"/>
    <s v="on 5/1/25 After Market Eastern Standard Time"/>
    <x v="0"/>
  </r>
  <r>
    <x v="87"/>
    <s v="MHK"/>
    <s v="on 5/1/25 After Market Eastern Standard Time"/>
    <x v="3"/>
  </r>
  <r>
    <x v="87"/>
    <s v="TDW"/>
    <s v="on 5/1/25 After Market Eastern Standard Time"/>
    <x v="1"/>
  </r>
  <r>
    <x v="87"/>
    <s v="NEXA"/>
    <s v="on 5/1/25 After Market Eastern Standard Time"/>
    <x v="0"/>
  </r>
  <r>
    <x v="87"/>
    <s v="CSTL"/>
    <s v="on 5/1/25 After Market Eastern Standard Time"/>
    <x v="1"/>
  </r>
  <r>
    <x v="87"/>
    <s v="AJG"/>
    <s v="on 5/1/25 After Market Eastern Standard Time"/>
    <x v="3"/>
  </r>
  <r>
    <x v="87"/>
    <s v="SIMO"/>
    <s v="on 5/1/25 After Market Eastern Standard Time"/>
    <x v="0"/>
  </r>
  <r>
    <x v="87"/>
    <s v="ASUR"/>
    <s v="on 5/1/25 After Market Eastern Standard Time"/>
    <x v="1"/>
  </r>
  <r>
    <x v="87"/>
    <s v="IR"/>
    <s v="on 5/1/25 After Market Eastern Standard Time"/>
    <x v="3"/>
  </r>
  <r>
    <x v="87"/>
    <s v="HUN"/>
    <s v="on 5/1/25 After Market Eastern Standard Time"/>
    <x v="0"/>
  </r>
  <r>
    <x v="87"/>
    <s v="BFAM"/>
    <s v="on 5/1/25 After Market Eastern Standard Time"/>
    <x v="0"/>
  </r>
  <r>
    <x v="87"/>
    <s v="WK"/>
    <s v="on 5/1/25 After Market Eastern Standard Time"/>
    <x v="1"/>
  </r>
  <r>
    <x v="87"/>
    <s v="GECC"/>
    <s v="on 5/1/25 After Market Eastern Standard Time"/>
    <x v="0"/>
  </r>
  <r>
    <x v="87"/>
    <s v="DUOL"/>
    <s v="on 5/1/25 After Market Eastern Standard Time"/>
    <x v="2"/>
  </r>
  <r>
    <x v="87"/>
    <s v="FND"/>
    <s v="on 5/1/25 After Market Eastern Standard Time"/>
    <x v="2"/>
  </r>
  <r>
    <x v="87"/>
    <s v="KWR"/>
    <s v="on 5/1/25 After Market Eastern Standard Time"/>
    <x v="1"/>
  </r>
  <r>
    <x v="87"/>
    <s v="BWMX"/>
    <s v="on 5/1/25 After Market Eastern Standard Time"/>
    <x v="0"/>
  </r>
  <r>
    <x v="87"/>
    <s v="KLAC"/>
    <s v="on 5/1/25 After Market Eastern Standard Time"/>
    <x v="3"/>
  </r>
  <r>
    <x v="87"/>
    <s v="DMRC"/>
    <s v="on 5/1/25 After Market Eastern Standard Time"/>
    <x v="1"/>
  </r>
  <r>
    <x v="87"/>
    <s v="COLM"/>
    <s v="on 5/1/25 After Market Eastern Standard Time"/>
    <x v="2"/>
  </r>
  <r>
    <x v="87"/>
    <s v="SM"/>
    <s v="on 5/1/25 After Market Eastern Standard Time"/>
    <x v="1"/>
  </r>
  <r>
    <x v="87"/>
    <s v="LBTYK"/>
    <s v="on 5/1/25 After Market Eastern Standard Time"/>
    <x v="0"/>
  </r>
  <r>
    <x v="87"/>
    <s v="VEL"/>
    <s v="on 5/1/25 After Market Eastern Standard Time"/>
    <x v="1"/>
  </r>
  <r>
    <x v="87"/>
    <s v="AAPL"/>
    <s v="on 5/1/25 After Market Eastern Standard Time"/>
    <x v="3"/>
  </r>
  <r>
    <x v="87"/>
    <s v="PTCT"/>
    <s v="on 5/1/25 After Market Eastern Standard Time"/>
    <x v="1"/>
  </r>
  <r>
    <x v="87"/>
    <s v="RMAX"/>
    <s v="on 5/1/25 After Market Eastern Standard Time"/>
    <x v="1"/>
  </r>
  <r>
    <x v="87"/>
    <s v="OUT"/>
    <s v="on 5/1/25 After Market Eastern Standard Time"/>
    <x v="1"/>
  </r>
  <r>
    <x v="87"/>
    <s v="LFVN"/>
    <s v="on 5/1/25 After Market Eastern Standard Time"/>
    <x v="0"/>
  </r>
  <r>
    <x v="87"/>
    <s v="MODV"/>
    <s v="on 5/1/25 After Market Eastern Standard Time"/>
    <x v="0"/>
  </r>
  <r>
    <x v="87"/>
    <s v="ALHC"/>
    <s v="on 5/1/25 After Market Eastern Standard Time"/>
    <x v="1"/>
  </r>
  <r>
    <x v="87"/>
    <s v="SPXC"/>
    <s v="on 5/1/25 After Market Eastern Standard Time"/>
    <x v="1"/>
  </r>
  <r>
    <x v="87"/>
    <s v="SEM"/>
    <s v="on 5/1/25 After Market Eastern Standard Time"/>
    <x v="1"/>
  </r>
  <r>
    <x v="87"/>
    <s v="UMH"/>
    <s v="on 5/1/25 After Market Eastern Standard Time"/>
    <x v="1"/>
  </r>
  <r>
    <x v="87"/>
    <s v="CUZ"/>
    <s v="on 5/1/25 After Market Eastern Standard Time"/>
    <x v="2"/>
  </r>
  <r>
    <x v="87"/>
    <s v="XYZ"/>
    <s v="on 5/1/25 After Market Eastern Standard Time"/>
    <x v="0"/>
  </r>
  <r>
    <x v="87"/>
    <s v="CZNC"/>
    <s v="on 5/1/25 After Market Eastern Standard Time"/>
    <x v="1"/>
  </r>
  <r>
    <x v="87"/>
    <s v="SMC"/>
    <s v="on 5/1/25 After Market Eastern Standard Time"/>
    <x v="0"/>
  </r>
  <r>
    <x v="87"/>
    <s v="ATR"/>
    <s v="on 5/1/25 After Market Eastern Standard Time"/>
    <x v="2"/>
  </r>
  <r>
    <x v="87"/>
    <s v="APLE"/>
    <s v="on 5/1/25 After Market Eastern Standard Time"/>
    <x v="1"/>
  </r>
  <r>
    <x v="87"/>
    <s v="DKNG"/>
    <s v="on 5/1/25 After Market Eastern Standard Time"/>
    <x v="0"/>
  </r>
  <r>
    <x v="87"/>
    <s v="COHU"/>
    <s v="on 5/1/25 After Market Eastern Standard Time"/>
    <x v="1"/>
  </r>
  <r>
    <x v="87"/>
    <s v="CLAR"/>
    <s v="on 5/1/25 After Market Eastern Standard Time"/>
    <x v="0"/>
  </r>
  <r>
    <x v="87"/>
    <s v="BOOM"/>
    <s v="on 5/1/25 After Market Eastern Standard Time"/>
    <x v="0"/>
  </r>
  <r>
    <x v="87"/>
    <s v="GDYN"/>
    <s v="on 5/1/25 After Market Eastern Standard Time"/>
    <x v="1"/>
  </r>
  <r>
    <x v="87"/>
    <s v="RMBI"/>
    <s v="on 5/1/25 After Market Eastern Standard Time"/>
    <x v="0"/>
  </r>
  <r>
    <x v="87"/>
    <s v="FIVN"/>
    <s v="on 5/1/25 After Market Eastern Standard Time"/>
    <x v="0"/>
  </r>
  <r>
    <x v="87"/>
    <s v="MITK"/>
    <s v="on 5/1/25 After Market Eastern Standard Time"/>
    <x v="1"/>
  </r>
  <r>
    <x v="87"/>
    <s v="IRTC"/>
    <s v="on 5/1/25 After Market Eastern Standard Time"/>
    <x v="1"/>
  </r>
  <r>
    <x v="87"/>
    <s v="WSC"/>
    <s v="on 5/1/25 After Market Eastern Standard Time"/>
    <x v="0"/>
  </r>
  <r>
    <x v="87"/>
    <s v="BILL"/>
    <s v="on 5/1/25 After Market Eastern Standard Time"/>
    <x v="0"/>
  </r>
  <r>
    <x v="87"/>
    <s v="SES"/>
    <s v="on 5/1/25 After Market Eastern Standard Time"/>
    <x v="0"/>
  </r>
  <r>
    <x v="87"/>
    <s v="AIG"/>
    <s v="on 5/1/25 After Market Eastern Standard Time"/>
    <x v="3"/>
  </r>
  <r>
    <x v="87"/>
    <s v="GEVO"/>
    <s v="on 5/1/25 After Market Eastern Standard Time"/>
    <x v="0"/>
  </r>
  <r>
    <x v="87"/>
    <s v="OSPN"/>
    <s v="on 5/1/25 After Market Eastern Standard Time"/>
    <x v="1"/>
  </r>
  <r>
    <x v="87"/>
    <s v="ZYME"/>
    <s v="on 5/1/25 After Market Eastern Standard Time"/>
    <x v="1"/>
  </r>
  <r>
    <x v="87"/>
    <s v="MERC"/>
    <s v="on 5/1/25 After Market Eastern Standard Time"/>
    <x v="0"/>
  </r>
  <r>
    <x v="87"/>
    <s v="ZEUS"/>
    <s v="on 5/1/25 After Market Eastern Standard Time"/>
    <x v="1"/>
  </r>
  <r>
    <x v="87"/>
    <s v="OLN"/>
    <s v="on 5/1/25 After Market Eastern Standard Time"/>
    <x v="2"/>
  </r>
  <r>
    <x v="87"/>
    <s v="LYV"/>
    <s v="on 5/1/25 After Market Eastern Standard Time"/>
    <x v="3"/>
  </r>
  <r>
    <x v="87"/>
    <s v="ATYR"/>
    <s v="on 5/1/25 After Market Eastern Standard Time"/>
    <x v="0"/>
  </r>
  <r>
    <x v="87"/>
    <s v="RMNI"/>
    <s v="on 5/1/25 After Market Eastern Standard Time"/>
    <x v="0"/>
  </r>
  <r>
    <x v="87"/>
    <s v="DXCM"/>
    <s v="on 5/1/25 After Market Eastern Standard Time"/>
    <x v="3"/>
  </r>
  <r>
    <x v="87"/>
    <s v="ALTR"/>
    <s v="on 5/1/25 After Market Eastern Standard Time"/>
    <x v="1"/>
  </r>
  <r>
    <x v="87"/>
    <s v="MP"/>
    <s v="on 5/1/25 After Market Eastern Standard Time"/>
    <x v="0"/>
  </r>
  <r>
    <x v="87"/>
    <s v="MATW"/>
    <s v="on 5/1/25 After Market Eastern Standard Time"/>
    <x v="1"/>
  </r>
  <r>
    <x v="87"/>
    <s v="TBBK"/>
    <s v="on 5/1/25 After Market Eastern Standard Time"/>
    <x v="1"/>
  </r>
  <r>
    <x v="87"/>
    <s v="CTRE"/>
    <s v="on 5/1/25 After Market Eastern Standard Time"/>
    <x v="1"/>
  </r>
  <r>
    <x v="87"/>
    <s v="RHP"/>
    <s v="on 5/1/25 After Market Eastern Standard Time"/>
    <x v="1"/>
  </r>
  <r>
    <x v="87"/>
    <s v="NCSM"/>
    <s v="on 5/1/25 After Market Eastern Standard Time"/>
    <x v="0"/>
  </r>
  <r>
    <x v="87"/>
    <s v="ROKU"/>
    <s v="on 5/1/25 After Market Eastern Standard Time"/>
    <x v="0"/>
  </r>
  <r>
    <x v="87"/>
    <s v="CNI"/>
    <s v="on 5/1/25 After Market Eastern Standard Time"/>
    <x v="0"/>
  </r>
  <r>
    <x v="87"/>
    <s v="SYK"/>
    <s v="on 5/1/25 After Market Eastern Standard Time"/>
    <x v="3"/>
  </r>
  <r>
    <x v="87"/>
    <s v="PEB"/>
    <s v="on 5/1/25 After Market Eastern Standard Time"/>
    <x v="1"/>
  </r>
  <r>
    <x v="87"/>
    <s v="MNST"/>
    <s v="on 5/1/25 After Market Eastern Standard Time"/>
    <x v="3"/>
  </r>
  <r>
    <x v="87"/>
    <s v="CGNX"/>
    <s v="on 5/1/25 After Market Eastern Standard Time"/>
    <x v="2"/>
  </r>
  <r>
    <x v="87"/>
    <s v="RYAN"/>
    <s v="on 5/1/25 After Market Eastern Standard Time"/>
    <x v="2"/>
  </r>
  <r>
    <x v="87"/>
    <s v="HRTG"/>
    <s v="on 5/1/25 After Market Eastern Standard Time"/>
    <x v="1"/>
  </r>
  <r>
    <x v="87"/>
    <s v="EVC"/>
    <s v="on 5/1/25 After Market Eastern Standard Time"/>
    <x v="0"/>
  </r>
  <r>
    <x v="87"/>
    <s v="SAMG"/>
    <s v="on 5/1/25 After Market Eastern Standard Time"/>
    <x v="0"/>
  </r>
  <r>
    <x v="87"/>
    <s v="UDMY"/>
    <s v="on 5/1/25 After Market Eastern Standard Time"/>
    <x v="1"/>
  </r>
  <r>
    <x v="87"/>
    <s v="PLYM"/>
    <s v="on 5/1/25 After Market Eastern Standard Time"/>
    <x v="1"/>
  </r>
  <r>
    <x v="87"/>
    <s v="VIR"/>
    <s v="on 5/1/25 After Market Eastern Standard Time"/>
    <x v="1"/>
  </r>
  <r>
    <x v="87"/>
    <s v="EXPO"/>
    <s v="on 5/1/25 After Market Eastern Standard Time"/>
    <x v="1"/>
  </r>
  <r>
    <x v="87"/>
    <s v="SGHT"/>
    <s v="on 5/1/25 After Market Eastern Standard Time"/>
    <x v="0"/>
  </r>
  <r>
    <x v="87"/>
    <s v="CPSS"/>
    <s v="on 5/1/25 After Market Eastern Standard Time"/>
    <x v="0"/>
  </r>
  <r>
    <x v="87"/>
    <s v="AXTI"/>
    <s v="on 5/1/25 After Market Eastern Standard Time"/>
    <x v="0"/>
  </r>
  <r>
    <x v="87"/>
    <s v="OLED"/>
    <s v="on 5/1/25 After Market Eastern Standard Time"/>
    <x v="2"/>
  </r>
  <r>
    <x v="87"/>
    <s v="LBTYA"/>
    <s v="on 5/1/25 After Market Eastern Standard Time"/>
    <x v="0"/>
  </r>
  <r>
    <x v="87"/>
    <s v="FET"/>
    <s v="on 5/1/25 After Market Eastern Standard Time"/>
    <x v="0"/>
  </r>
  <r>
    <x v="87"/>
    <s v="AMH"/>
    <s v="on 5/1/25 After Market Eastern Standard Time"/>
    <x v="2"/>
  </r>
  <r>
    <x v="87"/>
    <s v="VIAV"/>
    <s v="on 5/1/25 After Market Eastern Standard Time"/>
    <x v="1"/>
  </r>
  <r>
    <x v="87"/>
    <s v="ZYXI"/>
    <s v="on 5/1/25 After Market Eastern Standard Time"/>
    <x v="0"/>
  </r>
  <r>
    <x v="87"/>
    <s v="ASND"/>
    <s v="on 5/1/25 After Market Eastern Standard Time"/>
    <x v="0"/>
  </r>
  <r>
    <x v="87"/>
    <s v="RLAY"/>
    <s v="on 5/1/25 After Market Eastern Standard Time"/>
    <x v="1"/>
  </r>
  <r>
    <x v="87"/>
    <s v="LOCO"/>
    <s v="on 5/1/25 After Market Eastern Standard Time"/>
    <x v="1"/>
  </r>
  <r>
    <x v="87"/>
    <s v="EXAS"/>
    <s v="on 5/1/25 After Market Eastern Standard Time"/>
    <x v="0"/>
  </r>
  <r>
    <x v="87"/>
    <s v="EXLS"/>
    <s v="on 5/1/25 After Market Eastern Standard Time"/>
    <x v="1"/>
  </r>
  <r>
    <x v="87"/>
    <s v="EGO"/>
    <s v="on 5/1/25 After Market Eastern Standard Time"/>
    <x v="0"/>
  </r>
  <r>
    <x v="87"/>
    <s v="NET"/>
    <s v="on 5/1/25 After Market Eastern Standard Time"/>
    <x v="0"/>
  </r>
  <r>
    <x v="87"/>
    <s v="HUBG"/>
    <s v="on 5/1/25 After Market Eastern Standard Time"/>
    <x v="1"/>
  </r>
  <r>
    <x v="87"/>
    <s v="RRR"/>
    <s v="on 5/1/25 After Market Eastern Standard Time"/>
    <x v="1"/>
  </r>
  <r>
    <x v="87"/>
    <s v="CUBE"/>
    <s v="on 5/1/25 After Market Eastern Standard Time"/>
    <x v="2"/>
  </r>
  <r>
    <x v="87"/>
    <s v="CPT"/>
    <s v="on 5/1/25 After Market Eastern Standard Time"/>
    <x v="3"/>
  </r>
  <r>
    <x v="87"/>
    <s v="TEAM"/>
    <s v="on 5/1/25 After Market Eastern Standard Time"/>
    <x v="4"/>
  </r>
  <r>
    <x v="87"/>
    <s v="MTD"/>
    <s v="on 5/1/25 After Market Eastern Standard Time"/>
    <x v="3"/>
  </r>
  <r>
    <x v="87"/>
    <s v="LXRX"/>
    <s v="on 5/1/25 After Market Eastern Standard Time"/>
    <x v="0"/>
  </r>
  <r>
    <x v="87"/>
    <s v="VGZ"/>
    <s v="on 5/1/25 After Market Eastern Standard Time"/>
    <x v="0"/>
  </r>
  <r>
    <x v="87"/>
    <s v="CTO"/>
    <s v="on 5/1/25 After Market Eastern Standard Time"/>
    <x v="1"/>
  </r>
  <r>
    <x v="87"/>
    <s v="SWI"/>
    <s v="on 5/1/25 After Market Eastern Standard Time"/>
    <x v="1"/>
  </r>
  <r>
    <x v="87"/>
    <s v="STEM"/>
    <s v="on 5/1/25 After Market Eastern Standard Time"/>
    <x v="0"/>
  </r>
  <r>
    <x v="87"/>
    <s v="FOXF"/>
    <s v="on 5/1/25 After Market Eastern Standard Time"/>
    <x v="1"/>
  </r>
  <r>
    <x v="87"/>
    <s v="TEO"/>
    <s v="on 5/1/25 After Market Eastern Standard Time"/>
    <x v="0"/>
  </r>
  <r>
    <x v="87"/>
    <s v="PCTY"/>
    <s v="on 5/1/25 After Market Eastern Standard Time"/>
    <x v="2"/>
  </r>
  <r>
    <x v="87"/>
    <s v="COIN"/>
    <s v="on 5/1/25 After Market Eastern Standard Time"/>
    <x v="0"/>
  </r>
  <r>
    <x v="87"/>
    <s v="LASR"/>
    <s v="on 5/1/25 After Market Eastern Standard Time"/>
    <x v="1"/>
  </r>
  <r>
    <x v="87"/>
    <s v="CERS"/>
    <s v="on 5/1/25 After Market Eastern Standard Time"/>
    <x v="1"/>
  </r>
  <r>
    <x v="87"/>
    <s v="TRUP"/>
    <s v="on 5/1/25 After Market Eastern Standard Time"/>
    <x v="1"/>
  </r>
  <r>
    <x v="87"/>
    <s v="CG"/>
    <s v="on 5/1/25 After Market Eastern Standard Time"/>
    <x v="2"/>
  </r>
  <r>
    <x v="87"/>
    <s v="HOLX"/>
    <s v="on 5/1/25 After Market Eastern Standard Time"/>
    <x v="3"/>
  </r>
  <r>
    <x v="87"/>
    <s v="SHBI"/>
    <s v="on 5/1/25 After Market Eastern Standard Time"/>
    <x v="1"/>
  </r>
  <r>
    <x v="87"/>
    <s v="PRSU"/>
    <s v="on 5/1/25 After Market Eastern Standard Time"/>
    <x v="0"/>
  </r>
  <r>
    <x v="87"/>
    <s v="CTOS"/>
    <s v="on 5/1/25 After Market Eastern Standard Time"/>
    <x v="1"/>
  </r>
  <r>
    <x v="87"/>
    <s v="LBTYB"/>
    <s v="on 5/1/25 After Market Eastern Standard Time"/>
    <x v="0"/>
  </r>
  <r>
    <x v="87"/>
    <s v="WLDN"/>
    <s v="on 5/1/25 After Market Eastern Standard Time"/>
    <x v="1"/>
  </r>
  <r>
    <x v="87"/>
    <s v="FHI"/>
    <s v="on 5/1/25 After Market Eastern Standard Time"/>
    <x v="2"/>
  </r>
  <r>
    <x v="87"/>
    <s v="DLB"/>
    <s v="on 5/1/25 After Market Eastern Standard Time"/>
    <x v="2"/>
  </r>
  <r>
    <x v="88"/>
    <s v="AEE"/>
    <s v="on 5/2/25 Before Market Eastern Standard Time"/>
    <x v="3"/>
  </r>
  <r>
    <x v="88"/>
    <s v="BEPC"/>
    <s v="on 5/2/25 Before Market Eastern Standard Time"/>
    <x v="0"/>
  </r>
  <r>
    <x v="88"/>
    <s v="AXL"/>
    <s v="on 5/2/25 Before Market Eastern Standard Time"/>
    <x v="1"/>
  </r>
  <r>
    <x v="88"/>
    <s v="ADNT"/>
    <s v="on 5/2/25 Before Market Eastern Standard Time"/>
    <x v="1"/>
  </r>
  <r>
    <x v="88"/>
    <s v="OMI"/>
    <s v="on 5/2/25 Before Market Eastern Standard Time"/>
    <x v="1"/>
  </r>
  <r>
    <x v="88"/>
    <s v="JOUT"/>
    <s v="on 5/2/25 Before Market Eastern Standard Time"/>
    <x v="0"/>
  </r>
  <r>
    <x v="88"/>
    <s v="PWP"/>
    <s v="on 5/2/25 Before Market Eastern Standard Time"/>
    <x v="1"/>
  </r>
  <r>
    <x v="88"/>
    <s v="TWST"/>
    <s v="on 5/2/25 Before Market Eastern Standard Time"/>
    <x v="1"/>
  </r>
  <r>
    <x v="88"/>
    <s v="BBU"/>
    <s v="on 5/2/25 Before Market Eastern Standard Time"/>
    <x v="0"/>
  </r>
  <r>
    <x v="88"/>
    <s v="SHEN"/>
    <s v="on 5/2/25 Before Market Eastern Standard Time"/>
    <x v="1"/>
  </r>
  <r>
    <x v="88"/>
    <s v="TILE"/>
    <s v="on 5/2/25 Before Market Eastern Standard Time"/>
    <x v="1"/>
  </r>
  <r>
    <x v="88"/>
    <s v="TRP"/>
    <s v="on 5/2/25 Before Market Eastern Standard Time"/>
    <x v="0"/>
  </r>
  <r>
    <x v="88"/>
    <s v="SHEL"/>
    <s v="on 5/2/25 Before Market Eastern Standard Time"/>
    <x v="0"/>
  </r>
  <r>
    <x v="88"/>
    <s v="XOM"/>
    <s v="on 5/2/25 Before Market Eastern Standard Time"/>
    <x v="3"/>
  </r>
  <r>
    <x v="88"/>
    <s v="TROW"/>
    <s v="on 5/2/25 Before Market Eastern Standard Time"/>
    <x v="3"/>
  </r>
  <r>
    <x v="88"/>
    <s v="IMO"/>
    <s v="on 5/2/25 Before Market Eastern Standard Time"/>
    <x v="0"/>
  </r>
  <r>
    <x v="88"/>
    <s v="BASFY"/>
    <s v="on 5/2/25 Before Market Eastern Standard Time"/>
    <x v="0"/>
  </r>
  <r>
    <x v="88"/>
    <s v="CHT"/>
    <s v="on 5/2/25 Before Market Eastern Standard Time"/>
    <x v="0"/>
  </r>
  <r>
    <x v="88"/>
    <s v="BEP"/>
    <s v="on 5/2/25 Before Market Eastern Standard Time"/>
    <x v="0"/>
  </r>
  <r>
    <x v="88"/>
    <s v="CNK"/>
    <s v="on 5/2/25 Before Market Eastern Standard Time"/>
    <x v="1"/>
  </r>
  <r>
    <x v="88"/>
    <s v="PRLB"/>
    <s v="on 5/2/25 Before Market Eastern Standard Time"/>
    <x v="1"/>
  </r>
  <r>
    <x v="88"/>
    <s v="CBOE"/>
    <s v="on 5/2/25 Before Market Eastern Standard Time"/>
    <x v="3"/>
  </r>
  <r>
    <x v="88"/>
    <s v="ING"/>
    <s v="on 5/2/25 Before Market Eastern Standard Time"/>
    <x v="0"/>
  </r>
  <r>
    <x v="88"/>
    <s v="CCEC"/>
    <s v="on 5/2/25 Before Market Eastern Standard Time"/>
    <x v="0"/>
  </r>
  <r>
    <x v="88"/>
    <s v="FLR"/>
    <s v="on 5/2/25 Before Market Eastern Standard Time"/>
    <x v="1"/>
  </r>
  <r>
    <x v="88"/>
    <s v="IESC"/>
    <s v="on 5/2/25 Before Market Eastern Standard Time"/>
    <x v="1"/>
  </r>
  <r>
    <x v="88"/>
    <s v="OPY"/>
    <s v="on 5/2/25 Before Market Eastern Standard Time"/>
    <x v="0"/>
  </r>
  <r>
    <x v="88"/>
    <s v="BEN"/>
    <s v="on 5/2/25 Before Market Eastern Standard Time"/>
    <x v="3"/>
  </r>
  <r>
    <x v="88"/>
    <s v="MITT"/>
    <s v="on 5/2/25 Before Market Eastern Standard Time"/>
    <x v="1"/>
  </r>
  <r>
    <x v="88"/>
    <s v="ITOCY"/>
    <s v="on 5/2/25 Unspecified Eastern Standard Time"/>
    <x v="0"/>
  </r>
  <r>
    <x v="88"/>
    <s v="FUBO"/>
    <s v="on 5/2/25 Before Market Eastern Standard Time"/>
    <x v="1"/>
  </r>
  <r>
    <x v="88"/>
    <s v="BCPC"/>
    <s v="on 5/2/25 Before Market Eastern Standard Time"/>
    <x v="1"/>
  </r>
  <r>
    <x v="88"/>
    <s v="CVX"/>
    <s v="on 5/2/25 Before Market Eastern Standard Time"/>
    <x v="3"/>
  </r>
  <r>
    <x v="88"/>
    <s v="XHR"/>
    <s v="on 5/2/25 Before Market Eastern Standard Time"/>
    <x v="1"/>
  </r>
  <r>
    <x v="88"/>
    <s v="CI"/>
    <s v="on 5/2/25 Before Market Eastern Standard Time"/>
    <x v="3"/>
  </r>
  <r>
    <x v="88"/>
    <s v="NWG"/>
    <s v="on 5/2/25 Before Market Eastern Standard Time"/>
    <x v="0"/>
  </r>
  <r>
    <x v="88"/>
    <s v="APO"/>
    <s v="on 5/2/25 Before Market Eastern Standard Time"/>
    <x v="0"/>
  </r>
  <r>
    <x v="88"/>
    <s v="CIO"/>
    <s v="on 5/2/25 Before Market Eastern Standard Time"/>
    <x v="1"/>
  </r>
  <r>
    <x v="88"/>
    <s v="RPID"/>
    <s v="on 5/2/25 Before Market Eastern Standard Time"/>
    <x v="0"/>
  </r>
  <r>
    <x v="88"/>
    <s v="TAC"/>
    <s v="on 5/2/25 Before Market Eastern Standard Time"/>
    <x v="0"/>
  </r>
  <r>
    <x v="88"/>
    <s v="NVT"/>
    <s v="on 5/2/25 Before Market Eastern Standard Time"/>
    <x v="2"/>
  </r>
  <r>
    <x v="89"/>
    <s v="TNC"/>
    <s v="on 5/2/25 After Market Eastern Standard Time"/>
    <x v="1"/>
  </r>
  <r>
    <x v="89"/>
    <s v="FYBR"/>
    <s v="on 5/2/25 After Market Eastern Standard Time"/>
    <x v="2"/>
  </r>
  <r>
    <x v="89"/>
    <s v="NODK"/>
    <s v="on 5/2/25 After Market Eastern Standard Time"/>
    <x v="0"/>
  </r>
  <r>
    <x v="89"/>
    <s v="UUUU"/>
    <s v="on 5/2/25 After Market Eastern Standard Time"/>
    <x v="1"/>
  </r>
  <r>
    <x v="89"/>
    <s v="CRBG"/>
    <s v="on 5/2/25 After Market Eastern Standard Time"/>
    <x v="0"/>
  </r>
  <r>
    <x v="90"/>
    <s v="BRK/B"/>
    <s v="on 5/3/25 Unspecified Eastern Standard Time"/>
    <x v="0"/>
  </r>
  <r>
    <x v="90"/>
    <s v="BRK/A"/>
    <s v="on 5/3/25 Unspecified Eastern Standard Time"/>
    <x v="0"/>
  </r>
  <r>
    <x v="91"/>
    <s v="FIS"/>
    <s v="on 5/5/25 Before Market Eastern Standard Time"/>
    <x v="3"/>
  </r>
  <r>
    <x v="91"/>
    <s v="CLDT"/>
    <s v="on 5/5/25 Before Market Eastern Standard Time"/>
    <x v="1"/>
  </r>
  <r>
    <x v="91"/>
    <s v="LUCK"/>
    <s v="on 5/5/25 Before Market Eastern Standard Time"/>
    <x v="0"/>
  </r>
  <r>
    <x v="91"/>
    <s v="CNA"/>
    <s v="on 5/5/25 Before Market Eastern Standard Time"/>
    <x v="0"/>
  </r>
  <r>
    <x v="91"/>
    <s v="SID"/>
    <s v="on 5/5/25 Unspecified Eastern Standard Time"/>
    <x v="0"/>
  </r>
  <r>
    <x v="91"/>
    <s v="ALX"/>
    <s v="on 5/5/25 Before Market Eastern Standard Time"/>
    <x v="1"/>
  </r>
  <r>
    <x v="91"/>
    <s v="BNTX"/>
    <s v="on 5/5/25 Before Market Eastern Standard Time"/>
    <x v="0"/>
  </r>
  <r>
    <x v="91"/>
    <s v="ON"/>
    <s v="on 5/5/25 Before Market Eastern Standard Time"/>
    <x v="3"/>
  </r>
  <r>
    <x v="91"/>
    <s v="THS"/>
    <s v="on 5/5/25 Before Market Eastern Standard Time"/>
    <x v="1"/>
  </r>
  <r>
    <x v="91"/>
    <s v="KVHI"/>
    <s v="on 5/5/25 Before Market Eastern Standard Time"/>
    <x v="0"/>
  </r>
  <r>
    <x v="91"/>
    <s v="FRPT"/>
    <s v="on 5/5/25 Before Market Eastern Standard Time"/>
    <x v="0"/>
  </r>
  <r>
    <x v="91"/>
    <s v="AGM"/>
    <s v="on 5/5/25 Before Market Eastern Standard Time"/>
    <x v="1"/>
  </r>
  <r>
    <x v="91"/>
    <s v="ADCT"/>
    <s v="on 5/5/25 Before Market Eastern Standard Time"/>
    <x v="0"/>
  </r>
  <r>
    <x v="91"/>
    <s v="AXSM"/>
    <s v="on 5/5/25 Before Market Eastern Standard Time"/>
    <x v="1"/>
  </r>
  <r>
    <x v="91"/>
    <s v="L"/>
    <s v="on 5/5/25 Before Market Eastern Standard Time"/>
    <x v="3"/>
  </r>
  <r>
    <x v="91"/>
    <s v="CRNT"/>
    <s v="on 5/5/25 Before Market Eastern Standard Time"/>
    <x v="0"/>
  </r>
  <r>
    <x v="91"/>
    <s v="PK"/>
    <s v="on 5/5/25 Before Market Eastern Standard Time"/>
    <x v="2"/>
  </r>
  <r>
    <x v="91"/>
    <s v="SHAK"/>
    <s v="on 5/5/25 Before Market Eastern Standard Time"/>
    <x v="1"/>
  </r>
  <r>
    <x v="91"/>
    <s v="TIMB"/>
    <s v="on 5/5/25 Unspecified Eastern Standard Time"/>
    <x v="0"/>
  </r>
  <r>
    <x v="91"/>
    <s v="TSN"/>
    <s v="on 5/5/25 Before Market Eastern Standard Time"/>
    <x v="3"/>
  </r>
  <r>
    <x v="91"/>
    <s v="AMR"/>
    <s v="on 5/5/25 Before Market Eastern Standard Time"/>
    <x v="1"/>
  </r>
  <r>
    <x v="91"/>
    <s v="ARES"/>
    <s v="on 5/5/25 Before Market Eastern Standard Time"/>
    <x v="0"/>
  </r>
  <r>
    <x v="91"/>
    <s v="KRYS"/>
    <s v="on 5/5/25 Before Market Eastern Standard Time"/>
    <x v="1"/>
  </r>
  <r>
    <x v="91"/>
    <s v="RLJ"/>
    <s v="on 5/5/25 Before Market Eastern Standard Time"/>
    <x v="1"/>
  </r>
  <r>
    <x v="91"/>
    <s v="AISP"/>
    <s v="on 5/5/25 Before Market Eastern Standard Time"/>
    <x v="0"/>
  </r>
  <r>
    <x v="91"/>
    <s v="NSSC"/>
    <s v="on 5/5/25 Before Market Eastern Standard Time"/>
    <x v="1"/>
  </r>
  <r>
    <x v="91"/>
    <s v="AMG"/>
    <s v="on 5/5/25 Before Market Eastern Standard Time"/>
    <x v="2"/>
  </r>
  <r>
    <x v="91"/>
    <s v="BCRX"/>
    <s v="on 5/5/25 Before Market Eastern Standard Time"/>
    <x v="1"/>
  </r>
  <r>
    <x v="91"/>
    <s v="CMI"/>
    <s v="on 5/5/25 Before Market Eastern Standard Time"/>
    <x v="3"/>
  </r>
  <r>
    <x v="91"/>
    <s v="IART"/>
    <s v="on 5/5/25 Before Market Eastern Standard Time"/>
    <x v="1"/>
  </r>
  <r>
    <x v="92"/>
    <s v="LPTV"/>
    <s v="on 5/5/25 During Market Eastern Standard Time"/>
    <x v="0"/>
  </r>
  <r>
    <x v="93"/>
    <s v="NSA"/>
    <s v="on 5/5/25 After Market Eastern Standard Time"/>
    <x v="2"/>
  </r>
  <r>
    <x v="93"/>
    <s v="RRX"/>
    <s v="on 5/5/25 After Market Eastern Standard Time"/>
    <x v="2"/>
  </r>
  <r>
    <x v="93"/>
    <s v="CMPO"/>
    <s v="on 5/5/25 After Market Eastern Standard Time"/>
    <x v="1"/>
  </r>
  <r>
    <x v="93"/>
    <s v="NMFC"/>
    <s v="on 5/5/25 After Market Eastern Standard Time"/>
    <x v="0"/>
  </r>
  <r>
    <x v="93"/>
    <s v="RANI"/>
    <s v="on 5/5/25 After Market Eastern Standard Time"/>
    <x v="0"/>
  </r>
  <r>
    <x v="93"/>
    <s v="ENTA"/>
    <s v="on 5/5/25 After Market Eastern Standard Time"/>
    <x v="1"/>
  </r>
  <r>
    <x v="93"/>
    <s v="HPK"/>
    <s v="on 5/5/25 After Market Eastern Standard Time"/>
    <x v="1"/>
  </r>
  <r>
    <x v="93"/>
    <s v="TDUP"/>
    <s v="on 5/5/25 After Market Eastern Standard Time"/>
    <x v="0"/>
  </r>
  <r>
    <x v="93"/>
    <s v="COKE"/>
    <s v="on 5/5/25 After Market Eastern Standard Time"/>
    <x v="2"/>
  </r>
  <r>
    <x v="93"/>
    <s v="CRGY"/>
    <s v="on 5/5/25 After Market Eastern Standard Time"/>
    <x v="1"/>
  </r>
  <r>
    <x v="93"/>
    <s v="HIMS"/>
    <s v="on 5/5/25 After Market Eastern Standard Time"/>
    <x v="1"/>
  </r>
  <r>
    <x v="93"/>
    <s v="INSP"/>
    <s v="on 5/5/25 After Market Eastern Standard Time"/>
    <x v="0"/>
  </r>
  <r>
    <x v="93"/>
    <s v="BWXT"/>
    <s v="on 5/5/25 After Market Eastern Standard Time"/>
    <x v="2"/>
  </r>
  <r>
    <x v="93"/>
    <s v="SYM"/>
    <s v="on 5/5/25 After Market Eastern Standard Time"/>
    <x v="0"/>
  </r>
  <r>
    <x v="93"/>
    <s v="RCKT"/>
    <s v="on 5/5/25 After Market Eastern Standard Time"/>
    <x v="1"/>
  </r>
  <r>
    <x v="93"/>
    <s v="BYON"/>
    <s v="on 5/5/25 After Market Eastern Standard Time"/>
    <x v="1"/>
  </r>
  <r>
    <x v="93"/>
    <s v="CIB"/>
    <s v="on 5/5/25 After Market Eastern Standard Time"/>
    <x v="0"/>
  </r>
  <r>
    <x v="93"/>
    <s v="SAR"/>
    <s v="on 5/5/25 After Market Eastern Standard Time"/>
    <x v="0"/>
  </r>
  <r>
    <x v="93"/>
    <s v="PARR"/>
    <s v="on 5/5/25 After Market Eastern Standard Time"/>
    <x v="1"/>
  </r>
  <r>
    <x v="93"/>
    <s v="KIDS"/>
    <s v="on 5/5/25 After Market Eastern Standard Time"/>
    <x v="1"/>
  </r>
  <r>
    <x v="93"/>
    <s v="MYPS"/>
    <s v="on 5/5/25 After Market Eastern Standard Time"/>
    <x v="0"/>
  </r>
  <r>
    <x v="93"/>
    <s v="ARTNA"/>
    <s v="on 5/5/25 After Market Eastern Standard Time"/>
    <x v="0"/>
  </r>
  <r>
    <x v="93"/>
    <s v="VTS"/>
    <s v="on 5/5/25 After Market Eastern Standard Time"/>
    <x v="1"/>
  </r>
  <r>
    <x v="93"/>
    <s v="IFF"/>
    <s v="on 5/5/25 After Market Eastern Standard Time"/>
    <x v="3"/>
  </r>
  <r>
    <x v="93"/>
    <s v="APA"/>
    <s v="on 5/5/25 After Market Eastern Standard Time"/>
    <x v="3"/>
  </r>
  <r>
    <x v="93"/>
    <s v="METC"/>
    <s v="on 5/5/25 After Market Eastern Standard Time"/>
    <x v="0"/>
  </r>
  <r>
    <x v="93"/>
    <s v="JJSF"/>
    <s v="on 5/5/25 After Market Eastern Standard Time"/>
    <x v="1"/>
  </r>
  <r>
    <x v="93"/>
    <s v="STRL"/>
    <s v="on 5/5/25 After Market Eastern Standard Time"/>
    <x v="1"/>
  </r>
  <r>
    <x v="93"/>
    <s v="VNOM"/>
    <s v="on 5/5/25 After Market Eastern Standard Time"/>
    <x v="2"/>
  </r>
  <r>
    <x v="93"/>
    <s v="VRNS"/>
    <s v="on 5/5/25 After Market Eastern Standard Time"/>
    <x v="1"/>
  </r>
  <r>
    <x v="93"/>
    <s v="PLTR"/>
    <s v="on 5/5/25 After Market Eastern Standard Time"/>
    <x v="3"/>
  </r>
  <r>
    <x v="93"/>
    <s v="HNRG"/>
    <s v="on 5/5/25 After Market Eastern Standard Time"/>
    <x v="1"/>
  </r>
  <r>
    <x v="93"/>
    <s v="EVER"/>
    <s v="on 5/5/25 After Market Eastern Standard Time"/>
    <x v="1"/>
  </r>
  <r>
    <x v="93"/>
    <s v="O"/>
    <s v="on 5/5/25 After Market Eastern Standard Time"/>
    <x v="3"/>
  </r>
  <r>
    <x v="93"/>
    <s v="LITE"/>
    <s v="on 5/5/25 After Market Eastern Standard Time"/>
    <x v="2"/>
  </r>
  <r>
    <x v="93"/>
    <s v="ORIC"/>
    <s v="on 5/5/25 After Market Eastern Standard Time"/>
    <x v="1"/>
  </r>
  <r>
    <x v="93"/>
    <s v="SIBN"/>
    <s v="on 5/5/25 After Market Eastern Standard Time"/>
    <x v="1"/>
  </r>
  <r>
    <x v="93"/>
    <s v="SMLR"/>
    <s v="on 5/5/25 After Market Eastern Standard Time"/>
    <x v="1"/>
  </r>
  <r>
    <x v="93"/>
    <s v="CTRA"/>
    <s v="on 5/5/25 After Market Eastern Standard Time"/>
    <x v="3"/>
  </r>
  <r>
    <x v="93"/>
    <s v="NEXT"/>
    <s v="on 5/5/25 After Market Eastern Standard Time"/>
    <x v="1"/>
  </r>
  <r>
    <x v="93"/>
    <s v="ICHR"/>
    <s v="on 5/5/25 After Market Eastern Standard Time"/>
    <x v="1"/>
  </r>
  <r>
    <x v="93"/>
    <s v="PLYA"/>
    <s v="on 5/5/25 After Market Eastern Standard Time"/>
    <x v="0"/>
  </r>
  <r>
    <x v="93"/>
    <s v="TDC"/>
    <s v="on 5/5/25 After Market Eastern Standard Time"/>
    <x v="2"/>
  </r>
  <r>
    <x v="93"/>
    <s v="VRTX"/>
    <s v="on 5/5/25 After Market Eastern Standard Time"/>
    <x v="3"/>
  </r>
  <r>
    <x v="93"/>
    <s v="CBT"/>
    <s v="on 5/5/25 After Market Eastern Standard Time"/>
    <x v="1"/>
  </r>
  <r>
    <x v="93"/>
    <s v="SEMR"/>
    <s v="on 5/5/25 After Market Eastern Standard Time"/>
    <x v="1"/>
  </r>
  <r>
    <x v="93"/>
    <s v="GAIA"/>
    <s v="on 5/5/25 After Market Eastern Standard Time"/>
    <x v="0"/>
  </r>
  <r>
    <x v="93"/>
    <s v="REI"/>
    <s v="on 5/5/25 After Market Eastern Standard Time"/>
    <x v="1"/>
  </r>
  <r>
    <x v="93"/>
    <s v="NCMI"/>
    <s v="on 5/5/25 After Market Eastern Standard Time"/>
    <x v="1"/>
  </r>
  <r>
    <x v="93"/>
    <s v="ETD"/>
    <s v="on 5/5/25 After Market Eastern Standard Time"/>
    <x v="1"/>
  </r>
  <r>
    <x v="93"/>
    <s v="WMB"/>
    <s v="on 5/5/25 After Market Eastern Standard Time"/>
    <x v="3"/>
  </r>
  <r>
    <x v="93"/>
    <s v="EML"/>
    <s v="on 5/5/25 After Market Eastern Standard Time"/>
    <x v="0"/>
  </r>
  <r>
    <x v="93"/>
    <s v="TGS"/>
    <s v="on 5/5/25 After Market Eastern Standard Time"/>
    <x v="0"/>
  </r>
  <r>
    <x v="93"/>
    <s v="CE"/>
    <s v="on 5/5/25 After Market Eastern Standard Time"/>
    <x v="3"/>
  </r>
  <r>
    <x v="93"/>
    <s v="AESI"/>
    <s v="on 5/5/25 After Market Eastern Standard Time"/>
    <x v="1"/>
  </r>
  <r>
    <x v="93"/>
    <s v="SAFE"/>
    <s v="on 5/5/25 After Market Eastern Standard Time"/>
    <x v="1"/>
  </r>
  <r>
    <x v="93"/>
    <s v="DHC"/>
    <s v="on 5/5/25 After Market Eastern Standard Time"/>
    <x v="1"/>
  </r>
  <r>
    <x v="93"/>
    <s v="OPAD"/>
    <s v="on 5/5/25 After Market Eastern Standard Time"/>
    <x v="0"/>
  </r>
  <r>
    <x v="93"/>
    <s v="MNOV"/>
    <s v="on 5/5/25 After Market Eastern Standard Time"/>
    <x v="0"/>
  </r>
  <r>
    <x v="93"/>
    <b v="1"/>
    <s v="on 5/5/25 After Market Eastern Standard Time"/>
    <x v="0"/>
  </r>
  <r>
    <x v="93"/>
    <s v="PRAA"/>
    <s v="on 5/5/25 After Market Eastern Standard Time"/>
    <x v="1"/>
  </r>
  <r>
    <x v="93"/>
    <s v="FN"/>
    <s v="on 5/5/25 After Market Eastern Standard Time"/>
    <x v="1"/>
  </r>
  <r>
    <x v="93"/>
    <s v="TALO"/>
    <s v="on 5/5/25 After Market Eastern Standard Time"/>
    <x v="1"/>
  </r>
  <r>
    <x v="93"/>
    <s v="MTTR"/>
    <s v="on 5/5/25 After Market Eastern Standard Time"/>
    <x v="1"/>
  </r>
  <r>
    <x v="93"/>
    <s v="AL"/>
    <s v="on 5/5/25 After Market Eastern Standard Time"/>
    <x v="0"/>
  </r>
  <r>
    <x v="93"/>
    <s v="DAWN"/>
    <s v="on 5/5/25 After Market Eastern Standard Time"/>
    <x v="1"/>
  </r>
  <r>
    <x v="93"/>
    <s v="FANG"/>
    <s v="on 5/5/25 After Market Eastern Standard Time"/>
    <x v="3"/>
  </r>
  <r>
    <x v="93"/>
    <s v="BSM"/>
    <s v="on 5/5/25 After Market Eastern Standard Time"/>
    <x v="0"/>
  </r>
  <r>
    <x v="93"/>
    <s v="TCMD"/>
    <s v="on 5/5/25 After Market Eastern Standard Time"/>
    <x v="1"/>
  </r>
  <r>
    <x v="93"/>
    <s v="ADUS"/>
    <s v="on 5/5/25 After Market Eastern Standard Time"/>
    <x v="1"/>
  </r>
  <r>
    <x v="93"/>
    <s v="TBI"/>
    <s v="on 5/5/25 After Market Eastern Standard Time"/>
    <x v="1"/>
  </r>
  <r>
    <x v="93"/>
    <s v="NINE"/>
    <s v="on 5/5/25 After Market Eastern Standard Time"/>
    <x v="0"/>
  </r>
  <r>
    <x v="93"/>
    <s v="BWMN"/>
    <s v="on 5/5/25 After Market Eastern Standard Time"/>
    <x v="1"/>
  </r>
  <r>
    <x v="93"/>
    <s v="ACM"/>
    <s v="on 5/5/25 After Market Eastern Standard Time"/>
    <x v="2"/>
  </r>
  <r>
    <x v="93"/>
    <s v="GT"/>
    <s v="on 5/5/25 After Market Eastern Standard Time"/>
    <x v="1"/>
  </r>
  <r>
    <x v="93"/>
    <s v="SPG"/>
    <s v="on 5/5/25 After Market Eastern Standard Time"/>
    <x v="3"/>
  </r>
  <r>
    <x v="93"/>
    <s v="ALCO"/>
    <s v="on 5/5/25 After Market Eastern Standard Time"/>
    <x v="0"/>
  </r>
  <r>
    <x v="93"/>
    <s v="GRAL"/>
    <s v="on 5/5/25 After Market Eastern Standard Time"/>
    <x v="0"/>
  </r>
  <r>
    <x v="93"/>
    <s v="BODI"/>
    <s v="on 5/5/25 After Market Eastern Standard Time"/>
    <x v="0"/>
  </r>
  <r>
    <x v="93"/>
    <s v="WWD"/>
    <s v="on 5/5/25 After Market Eastern Standard Time"/>
    <x v="2"/>
  </r>
  <r>
    <x v="93"/>
    <s v="ALTO"/>
    <s v="on 5/5/25 After Market Eastern Standard Time"/>
    <x v="0"/>
  </r>
  <r>
    <x v="93"/>
    <s v="CMTG"/>
    <s v="on 5/5/25 After Market Eastern Standard Time"/>
    <x v="1"/>
  </r>
  <r>
    <x v="93"/>
    <s v="VMEO"/>
    <s v="on 5/5/25 After Market Eastern Standard Time"/>
    <x v="1"/>
  </r>
  <r>
    <x v="93"/>
    <s v="VNO"/>
    <s v="on 5/5/25 After Market Eastern Standard Time"/>
    <x v="2"/>
  </r>
  <r>
    <x v="93"/>
    <s v="AMRC"/>
    <s v="on 5/5/25 After Market Eastern Standard Time"/>
    <x v="1"/>
  </r>
  <r>
    <x v="93"/>
    <s v="F"/>
    <s v="on 5/5/25 After Market Eastern Standard Time"/>
    <x v="3"/>
  </r>
  <r>
    <x v="93"/>
    <s v="BRCC"/>
    <s v="on 5/5/25 After Market Eastern Standard Time"/>
    <x v="0"/>
  </r>
  <r>
    <x v="93"/>
    <s v="AMBC"/>
    <s v="on 5/5/25 After Market Eastern Standard Time"/>
    <x v="1"/>
  </r>
  <r>
    <x v="93"/>
    <s v="ADEA"/>
    <s v="on 5/5/25 After Market Eastern Standard Time"/>
    <x v="1"/>
  </r>
  <r>
    <x v="93"/>
    <s v="OGS"/>
    <s v="on 5/5/25 After Market Eastern Standard Time"/>
    <x v="1"/>
  </r>
  <r>
    <x v="93"/>
    <s v="JELD"/>
    <s v="on 5/5/25 After Market Eastern Standard Time"/>
    <x v="1"/>
  </r>
  <r>
    <x v="93"/>
    <s v="BRBR"/>
    <s v="on 5/5/25 After Market Eastern Standard Time"/>
    <x v="2"/>
  </r>
  <r>
    <x v="93"/>
    <s v="CRH"/>
    <s v="on 5/5/25 After Market Eastern Standard Time"/>
    <x v="0"/>
  </r>
  <r>
    <x v="93"/>
    <s v="NJR"/>
    <s v="on 5/5/25 After Market Eastern Standard Time"/>
    <x v="1"/>
  </r>
  <r>
    <x v="93"/>
    <s v="GBDC"/>
    <s v="on 5/5/25 After Market Eastern Standard Time"/>
    <x v="0"/>
  </r>
  <r>
    <x v="93"/>
    <s v="OTTR"/>
    <s v="on 5/5/25 After Market Eastern Standard Time"/>
    <x v="1"/>
  </r>
  <r>
    <x v="93"/>
    <s v="FGEN"/>
    <s v="on 5/5/25 After Market Eastern Standard Time"/>
    <x v="0"/>
  </r>
  <r>
    <x v="93"/>
    <s v="WTRG"/>
    <s v="on 5/5/25 After Market Eastern Standard Time"/>
    <x v="2"/>
  </r>
  <r>
    <x v="94"/>
    <s v="KBR"/>
    <s v="on 5/6/25 Before Market Eastern Standard Time"/>
    <x v="2"/>
  </r>
  <r>
    <x v="94"/>
    <s v="QURE"/>
    <s v="on 5/6/25 Before Market Eastern Standard Time"/>
    <x v="0"/>
  </r>
  <r>
    <x v="94"/>
    <s v="BSY"/>
    <s v="on 5/6/25 Before Market Eastern Standard Time"/>
    <x v="0"/>
  </r>
  <r>
    <x v="94"/>
    <s v="GILT"/>
    <s v="on 5/6/25 Before Market Eastern Standard Time"/>
    <x v="0"/>
  </r>
  <r>
    <x v="94"/>
    <s v="WEC"/>
    <s v="on 5/6/25 Before Market Eastern Standard Time"/>
    <x v="3"/>
  </r>
  <r>
    <x v="94"/>
    <s v="SOPH"/>
    <s v="on 5/6/25 Before Market Eastern Standard Time"/>
    <x v="0"/>
  </r>
  <r>
    <x v="94"/>
    <s v="HBIO"/>
    <s v="on 5/6/25 Before Market Eastern Standard Time"/>
    <x v="0"/>
  </r>
  <r>
    <x v="94"/>
    <s v="ENR"/>
    <s v="on 5/6/25 Before Market Eastern Standard Time"/>
    <x v="1"/>
  </r>
  <r>
    <x v="94"/>
    <s v="PTLO"/>
    <s v="on 5/6/25 Before Market Eastern Standard Time"/>
    <x v="1"/>
  </r>
  <r>
    <x v="94"/>
    <s v="JMIA"/>
    <s v="on 5/6/25 Before Market Eastern Standard Time"/>
    <x v="0"/>
  </r>
  <r>
    <x v="94"/>
    <s v="BAND"/>
    <s v="on 5/6/25 Before Market Eastern Standard Time"/>
    <x v="1"/>
  </r>
  <r>
    <x v="94"/>
    <s v="FWRG"/>
    <s v="on 5/6/25 Before Market Eastern Standard Time"/>
    <x v="1"/>
  </r>
  <r>
    <x v="94"/>
    <s v="BOSSY"/>
    <s v="on 5/6/25 Before Market Eastern Standard Time"/>
    <x v="0"/>
  </r>
  <r>
    <x v="94"/>
    <s v="CNR"/>
    <s v="on 5/6/25 Before Market Eastern Standard Time"/>
    <x v="0"/>
  </r>
  <r>
    <x v="94"/>
    <s v="SPB"/>
    <s v="on 5/6/25 Before Market Eastern Standard Time"/>
    <x v="0"/>
  </r>
  <r>
    <x v="94"/>
    <s v="DEA"/>
    <s v="on 5/6/25 Before Market Eastern Standard Time"/>
    <x v="1"/>
  </r>
  <r>
    <x v="94"/>
    <s v="CBDBY"/>
    <s v="on 5/6/25 Unspecified Eastern Standard Time"/>
    <x v="0"/>
  </r>
  <r>
    <x v="94"/>
    <s v="COHN"/>
    <s v="on 5/6/25 Before Market Eastern Standard Time"/>
    <x v="0"/>
  </r>
  <r>
    <x v="94"/>
    <s v="BLDE"/>
    <s v="on 5/6/25 Before Market Eastern Standard Time"/>
    <x v="1"/>
  </r>
  <r>
    <x v="94"/>
    <s v="HLMN"/>
    <s v="on 5/6/25 Before Market Eastern Standard Time"/>
    <x v="1"/>
  </r>
  <r>
    <x v="94"/>
    <s v="VPG"/>
    <s v="on 5/6/25 Before Market Eastern Standard Time"/>
    <x v="1"/>
  </r>
  <r>
    <x v="94"/>
    <s v="GFS"/>
    <s v="on 5/6/25 Before Market Eastern Standard Time"/>
    <x v="4"/>
  </r>
  <r>
    <x v="94"/>
    <s v="MNDO"/>
    <s v="on 5/6/25 Before Market Eastern Standard Time"/>
    <x v="0"/>
  </r>
  <r>
    <x v="94"/>
    <s v="LEA"/>
    <s v="on 5/6/25 Before Market Eastern Standard Time"/>
    <x v="2"/>
  </r>
  <r>
    <x v="94"/>
    <s v="AHCO"/>
    <s v="on 5/6/25 Before Market Eastern Standard Time"/>
    <x v="1"/>
  </r>
  <r>
    <x v="94"/>
    <s v="EXPD"/>
    <s v="on 5/6/25 Before Market Eastern Standard Time"/>
    <x v="3"/>
  </r>
  <r>
    <x v="94"/>
    <s v="RYTM"/>
    <s v="on 5/6/25 Before Market Eastern Standard Time"/>
    <x v="1"/>
  </r>
  <r>
    <x v="94"/>
    <s v="ARMK"/>
    <s v="on 5/6/25 Before Market Eastern Standard Time"/>
    <x v="2"/>
  </r>
  <r>
    <x v="94"/>
    <s v="SHLS"/>
    <s v="on 5/6/25 Before Market Eastern Standard Time"/>
    <x v="1"/>
  </r>
  <r>
    <x v="94"/>
    <s v="ESPR"/>
    <s v="on 5/6/25 Before Market Eastern Standard Time"/>
    <x v="1"/>
  </r>
  <r>
    <x v="94"/>
    <s v="GEO"/>
    <s v="on 5/6/25 Before Market Eastern Standard Time"/>
    <x v="1"/>
  </r>
  <r>
    <x v="94"/>
    <s v="BLMN"/>
    <s v="on 5/6/25 Before Market Eastern Standard Time"/>
    <x v="1"/>
  </r>
  <r>
    <x v="94"/>
    <s v="SONO"/>
    <s v="on 5/6/25 Before Market Eastern Standard Time"/>
    <x v="1"/>
  </r>
  <r>
    <x v="94"/>
    <s v="SRE"/>
    <s v="on 5/6/25 Before Market Eastern Standard Time"/>
    <x v="3"/>
  </r>
  <r>
    <x v="94"/>
    <s v="PSBD"/>
    <s v="on 5/6/25 Before Market Eastern Standard Time"/>
    <x v="0"/>
  </r>
  <r>
    <x v="94"/>
    <s v="SUN"/>
    <s v="on 5/6/25 Before Market Eastern Standard Time"/>
    <x v="0"/>
  </r>
  <r>
    <x v="94"/>
    <s v="ALGS"/>
    <s v="on 5/6/25 Before Market Eastern Standard Time"/>
    <x v="0"/>
  </r>
  <r>
    <x v="94"/>
    <s v="AOMR"/>
    <s v="on 5/6/25 Before Market Eastern Standard Time"/>
    <x v="0"/>
  </r>
  <r>
    <x v="94"/>
    <s v="FELE"/>
    <s v="on 5/6/25 Before Market Eastern Standard Time"/>
    <x v="1"/>
  </r>
  <r>
    <x v="94"/>
    <s v="FMS"/>
    <s v="on 5/6/25 Unspecified Eastern Standard Time"/>
    <x v="0"/>
  </r>
  <r>
    <x v="94"/>
    <s v="XFOR"/>
    <s v="on 5/6/25 Before Market Eastern Standard Time"/>
    <x v="0"/>
  </r>
  <r>
    <x v="94"/>
    <s v="RACE"/>
    <s v="on 5/6/25 Before Market Eastern Standard Time"/>
    <x v="0"/>
  </r>
  <r>
    <x v="94"/>
    <s v="SEAT"/>
    <s v="on 5/6/25 Before Market Eastern Standard Time"/>
    <x v="1"/>
  </r>
  <r>
    <x v="94"/>
    <s v="BHOOY"/>
    <s v="on 5/6/25 Unspecified Eastern Standard Time"/>
    <x v="0"/>
  </r>
  <r>
    <x v="94"/>
    <s v="GBTG"/>
    <s v="on 5/6/25 Before Market Eastern Standard Time"/>
    <x v="1"/>
  </r>
  <r>
    <x v="94"/>
    <s v="PSTNY"/>
    <s v="on 5/6/25 Unspecified Eastern Standard Time"/>
    <x v="0"/>
  </r>
  <r>
    <x v="94"/>
    <s v="INZY"/>
    <s v="on 5/6/25 Before Market Eastern Standard Time"/>
    <x v="0"/>
  </r>
  <r>
    <x v="94"/>
    <s v="GOLF"/>
    <s v="on 5/6/25 Before Market Eastern Standard Time"/>
    <x v="1"/>
  </r>
  <r>
    <x v="94"/>
    <s v="TDG"/>
    <s v="on 5/6/25 Before Market Eastern Standard Time"/>
    <x v="3"/>
  </r>
  <r>
    <x v="94"/>
    <s v="NMRA"/>
    <s v="on 5/6/25 Before Market Eastern Standard Time"/>
    <x v="1"/>
  </r>
  <r>
    <x v="94"/>
    <s v="AUDC"/>
    <s v="on 5/6/25 Before Market Eastern Standard Time"/>
    <x v="0"/>
  </r>
  <r>
    <x v="94"/>
    <s v="CMT"/>
    <s v="on 5/6/25 Before Market Eastern Standard Time"/>
    <x v="0"/>
  </r>
  <r>
    <x v="94"/>
    <s v="NVCT"/>
    <s v="on 5/6/25 Before Market Eastern Standard Time"/>
    <x v="0"/>
  </r>
  <r>
    <x v="94"/>
    <s v="MASS"/>
    <s v="on 5/6/25 Before Market Eastern Standard Time"/>
    <x v="0"/>
  </r>
  <r>
    <x v="94"/>
    <s v="PHG"/>
    <s v="on 5/6/25 Before Market Eastern Standard Time"/>
    <x v="0"/>
  </r>
  <r>
    <x v="94"/>
    <s v="KNF"/>
    <s v="on 5/6/25 Before Market Eastern Standard Time"/>
    <x v="1"/>
  </r>
  <r>
    <x v="94"/>
    <s v="BVS"/>
    <s v="on 5/6/25 Before Market Eastern Standard Time"/>
    <x v="1"/>
  </r>
  <r>
    <x v="94"/>
    <s v="REAX"/>
    <s v="on 5/6/25 Before Market Eastern Standard Time"/>
    <x v="1"/>
  </r>
  <r>
    <x v="94"/>
    <s v="BTDR"/>
    <s v="on 5/6/25 Before Market Eastern Standard Time"/>
    <x v="0"/>
  </r>
  <r>
    <x v="94"/>
    <s v="CRBP"/>
    <s v="on 5/6/25 Before Market Eastern Standard Time"/>
    <x v="0"/>
  </r>
  <r>
    <x v="94"/>
    <s v="ML"/>
    <s v="on 5/6/25 Before Market Eastern Standard Time"/>
    <x v="1"/>
  </r>
  <r>
    <x v="94"/>
    <s v="MPLX"/>
    <s v="on 5/6/25 Before Market Eastern Standard Time"/>
    <x v="0"/>
  </r>
  <r>
    <x v="94"/>
    <s v="OEDC"/>
    <s v="on 5/6/25 Before Market Eastern Standard Time"/>
    <x v="0"/>
  </r>
  <r>
    <x v="94"/>
    <s v="JKS"/>
    <s v="on 5/6/25 Before Market Eastern Standard Time"/>
    <x v="0"/>
  </r>
  <r>
    <x v="94"/>
    <s v="NOVT"/>
    <s v="on 5/6/25 Before Market Eastern Standard Time"/>
    <x v="1"/>
  </r>
  <r>
    <x v="94"/>
    <s v="BLD"/>
    <s v="on 5/6/25 Before Market Eastern Standard Time"/>
    <x v="2"/>
  </r>
  <r>
    <x v="94"/>
    <s v="BLDP"/>
    <s v="on 5/6/25 Before Market Eastern Standard Time"/>
    <x v="0"/>
  </r>
  <r>
    <x v="94"/>
    <s v="TRC"/>
    <s v="on 5/6/25 Before Market Eastern Standard Time"/>
    <x v="1"/>
  </r>
  <r>
    <x v="94"/>
    <s v="SGI"/>
    <s v="on 5/6/25 Before Market Eastern Standard Time"/>
    <x v="0"/>
  </r>
  <r>
    <x v="94"/>
    <s v="IONS"/>
    <s v="on 5/6/25 Before Market Eastern Standard Time"/>
    <x v="0"/>
  </r>
  <r>
    <x v="94"/>
    <s v="OCUL"/>
    <s v="on 5/6/25 Before Market Eastern Standard Time"/>
    <x v="1"/>
  </r>
  <r>
    <x v="94"/>
    <s v="CIFR"/>
    <s v="on 5/6/25 Before Market Eastern Standard Time"/>
    <x v="1"/>
  </r>
  <r>
    <x v="94"/>
    <s v="OFIX"/>
    <s v="on 5/6/25 Before Market Eastern Standard Time"/>
    <x v="1"/>
  </r>
  <r>
    <x v="94"/>
    <s v="DKL"/>
    <s v="on 5/6/25 Before Market Eastern Standard Time"/>
    <x v="0"/>
  </r>
  <r>
    <x v="94"/>
    <s v="JLL"/>
    <s v="on 5/6/25 Before Market Eastern Standard Time"/>
    <x v="2"/>
  </r>
  <r>
    <x v="94"/>
    <s v="CGTX"/>
    <s v="on 5/6/25 Before Market Eastern Standard Time"/>
    <x v="0"/>
  </r>
  <r>
    <x v="94"/>
    <s v="ERJ"/>
    <s v="on 5/6/25 Before Market Eastern Standard Time"/>
    <x v="0"/>
  </r>
  <r>
    <x v="94"/>
    <s v="HSIC"/>
    <s v="on 5/6/25 Before Market Eastern Standard Time"/>
    <x v="3"/>
  </r>
  <r>
    <x v="94"/>
    <s v="VWDRY"/>
    <s v="on 5/6/25 Unspecified Eastern Standard Time"/>
    <x v="0"/>
  </r>
  <r>
    <x v="94"/>
    <s v="TELNY"/>
    <s v="on 5/6/25 Before Market Eastern Standard Time"/>
    <x v="0"/>
  </r>
  <r>
    <x v="94"/>
    <s v="IDYA"/>
    <s v="on 5/6/25 Before Market Eastern Standard Time"/>
    <x v="1"/>
  </r>
  <r>
    <x v="94"/>
    <s v="MKTX"/>
    <s v="on 5/6/25 Before Market Eastern Standard Time"/>
    <x v="3"/>
  </r>
  <r>
    <x v="94"/>
    <s v="NPO"/>
    <s v="on 5/6/25 Before Market Eastern Standard Time"/>
    <x v="1"/>
  </r>
  <r>
    <x v="94"/>
    <s v="COGT"/>
    <s v="on 5/6/25 Before Market Eastern Standard Time"/>
    <x v="1"/>
  </r>
  <r>
    <x v="94"/>
    <s v="USAC"/>
    <s v="on 5/6/25 Before Market Eastern Standard Time"/>
    <x v="0"/>
  </r>
  <r>
    <x v="94"/>
    <s v="CTTAY"/>
    <s v="on 5/6/25 Unspecified Eastern Standard Time"/>
    <x v="0"/>
  </r>
  <r>
    <x v="94"/>
    <s v="TXNM"/>
    <s v="on 5/6/25 Before Market Eastern Standard Time"/>
    <x v="1"/>
  </r>
  <r>
    <x v="94"/>
    <s v="HGTY"/>
    <s v="on 5/6/25 Before Market Eastern Standard Time"/>
    <x v="0"/>
  </r>
  <r>
    <x v="94"/>
    <s v="APLS"/>
    <s v="on 5/6/25 Before Market Eastern Standard Time"/>
    <x v="0"/>
  </r>
  <r>
    <x v="94"/>
    <s v="BEAM"/>
    <s v="on 5/6/25 Before Market Eastern Standard Time"/>
    <x v="1"/>
  </r>
  <r>
    <x v="94"/>
    <s v="J"/>
    <s v="on 5/6/25 Before Market Eastern Standard Time"/>
    <x v="3"/>
  </r>
  <r>
    <x v="94"/>
    <s v="HRTX"/>
    <s v="on 5/6/25 Unspecified Eastern Standard Time"/>
    <x v="0"/>
  </r>
  <r>
    <x v="94"/>
    <s v="ZTS"/>
    <s v="on 5/6/25 Before Market Eastern Standard Time"/>
    <x v="3"/>
  </r>
  <r>
    <x v="94"/>
    <s v="MPC"/>
    <s v="on 5/6/25 Before Market Eastern Standard Time"/>
    <x v="3"/>
  </r>
  <r>
    <x v="94"/>
    <s v="LGND"/>
    <s v="on 5/6/25 Before Market Eastern Standard Time"/>
    <x v="1"/>
  </r>
  <r>
    <x v="94"/>
    <s v="ATKR"/>
    <s v="on 5/6/25 Before Market Eastern Standard Time"/>
    <x v="1"/>
  </r>
  <r>
    <x v="94"/>
    <s v="PCT"/>
    <s v="on 5/6/25 Before Market Eastern Standard Time"/>
    <x v="1"/>
  </r>
  <r>
    <x v="94"/>
    <s v="RPTX"/>
    <s v="on 5/6/25 Before Market Eastern Standard Time"/>
    <x v="0"/>
  </r>
  <r>
    <x v="94"/>
    <s v="TRDA"/>
    <s v="on 5/6/25 Before Market Eastern Standard Time"/>
    <x v="1"/>
  </r>
  <r>
    <x v="94"/>
    <s v="DDOG"/>
    <s v="on 5/6/25 Before Market Eastern Standard Time"/>
    <x v="4"/>
  </r>
  <r>
    <x v="94"/>
    <s v="VLCN"/>
    <s v="on 5/6/25 Before Market Eastern Standard Time"/>
    <x v="0"/>
  </r>
  <r>
    <x v="94"/>
    <s v="AVNT"/>
    <s v="on 5/6/25 Before Market Eastern Standard Time"/>
    <x v="1"/>
  </r>
  <r>
    <x v="94"/>
    <s v="GOGO"/>
    <s v="on 5/6/25 Before Market Eastern Standard Time"/>
    <x v="1"/>
  </r>
  <r>
    <x v="94"/>
    <s v="FSTR"/>
    <s v="on 5/6/25 Before Market Eastern Standard Time"/>
    <x v="1"/>
  </r>
  <r>
    <x v="94"/>
    <s v="DK"/>
    <s v="on 5/6/25 Before Market Eastern Standard Time"/>
    <x v="1"/>
  </r>
  <r>
    <x v="94"/>
    <s v="HRMY"/>
    <s v="on 5/6/25 Before Market Eastern Standard Time"/>
    <x v="1"/>
  </r>
  <r>
    <x v="94"/>
    <s v="KOS"/>
    <s v="on 5/6/25 Before Market Eastern Standard Time"/>
    <x v="1"/>
  </r>
  <r>
    <x v="94"/>
    <s v="IRBT"/>
    <s v="on 5/6/25 Before Market Eastern Standard Time"/>
    <x v="1"/>
  </r>
  <r>
    <x v="94"/>
    <s v="WAT"/>
    <s v="on 5/6/25 Before Market Eastern Standard Time"/>
    <x v="3"/>
  </r>
  <r>
    <x v="94"/>
    <s v="TALK"/>
    <s v="on 5/6/25 Before Market Eastern Standard Time"/>
    <x v="1"/>
  </r>
  <r>
    <x v="94"/>
    <s v="CIGI"/>
    <s v="on 5/6/25 Before Market Eastern Standard Time"/>
    <x v="0"/>
  </r>
  <r>
    <x v="94"/>
    <s v="KVUE"/>
    <s v="on 5/6/25 Before Market Eastern Standard Time"/>
    <x v="3"/>
  </r>
  <r>
    <x v="94"/>
    <s v="SHO"/>
    <s v="on 5/6/25 Before Market Eastern Standard Time"/>
    <x v="1"/>
  </r>
  <r>
    <x v="94"/>
    <s v="STOK"/>
    <s v="on 5/6/25 Before Market Eastern Standard Time"/>
    <x v="1"/>
  </r>
  <r>
    <x v="94"/>
    <s v="PMTS"/>
    <s v="on 5/6/25 Before Market Eastern Standard Time"/>
    <x v="0"/>
  </r>
  <r>
    <x v="94"/>
    <s v="AEP"/>
    <s v="on 5/6/25 Before Market Eastern Standard Time"/>
    <x v="3"/>
  </r>
  <r>
    <x v="94"/>
    <s v="ROK"/>
    <s v="on 5/6/25 Before Market Eastern Standard Time"/>
    <x v="3"/>
  </r>
  <r>
    <x v="94"/>
    <s v="EHTH"/>
    <s v="on 5/6/25 Before Market Eastern Standard Time"/>
    <x v="0"/>
  </r>
  <r>
    <x v="94"/>
    <s v="SEE"/>
    <s v="on 5/6/25 Before Market Eastern Standard Time"/>
    <x v="0"/>
  </r>
  <r>
    <x v="94"/>
    <s v="EEX"/>
    <s v="on 5/6/25 Before Market Eastern Standard Time"/>
    <x v="0"/>
  </r>
  <r>
    <x v="94"/>
    <s v="MD"/>
    <s v="on 5/6/25 Before Market Eastern Standard Time"/>
    <x v="1"/>
  </r>
  <r>
    <x v="94"/>
    <s v="DUK"/>
    <s v="on 5/6/25 Before Market Eastern Standard Time"/>
    <x v="3"/>
  </r>
  <r>
    <x v="94"/>
    <s v="BAM"/>
    <s v="on 5/6/25 Before Market Eastern Standard Time"/>
    <x v="0"/>
  </r>
  <r>
    <x v="94"/>
    <s v="YMAB"/>
    <s v="on 5/6/25 Before Market Eastern Standard Time"/>
    <x v="1"/>
  </r>
  <r>
    <x v="94"/>
    <s v="PINC"/>
    <s v="on 5/6/25 Before Market Eastern Standard Time"/>
    <x v="0"/>
  </r>
  <r>
    <x v="94"/>
    <s v="LCII"/>
    <s v="on 5/6/25 Before Market Eastern Standard Time"/>
    <x v="1"/>
  </r>
  <r>
    <x v="94"/>
    <s v="NRG"/>
    <s v="on 5/6/25 Before Market Eastern Standard Time"/>
    <x v="3"/>
  </r>
  <r>
    <x v="94"/>
    <s v="KLG"/>
    <s v="on 5/6/25 Before Market Eastern Standard Time"/>
    <x v="1"/>
  </r>
  <r>
    <x v="95"/>
    <s v="NE"/>
    <s v="on 5/6/25 During Market Eastern Standard Time"/>
    <x v="1"/>
  </r>
  <r>
    <x v="95"/>
    <s v="YORW"/>
    <s v="on 5/6/25 During Market Eastern Standard Time"/>
    <x v="1"/>
  </r>
  <r>
    <x v="96"/>
    <s v="PUBM"/>
    <s v="on 5/6/25 After Market Eastern Standard Time"/>
    <x v="1"/>
  </r>
  <r>
    <x v="96"/>
    <s v="INVH"/>
    <s v="on 5/6/25 After Market Eastern Standard Time"/>
    <x v="3"/>
  </r>
  <r>
    <x v="96"/>
    <s v="ARKO"/>
    <s v="on 5/6/25 After Market Eastern Standard Time"/>
    <x v="1"/>
  </r>
  <r>
    <x v="96"/>
    <s v="NNBR"/>
    <s v="on 5/6/25 After Market Eastern Standard Time"/>
    <x v="0"/>
  </r>
  <r>
    <x v="96"/>
    <s v="BMBL"/>
    <s v="on 5/6/25 After Market Eastern Standard Time"/>
    <x v="1"/>
  </r>
  <r>
    <x v="96"/>
    <s v="FTCO"/>
    <s v="on 5/6/25 After Market Eastern Standard Time"/>
    <x v="0"/>
  </r>
  <r>
    <x v="96"/>
    <s v="CERT"/>
    <s v="on 5/6/25 After Market Eastern Standard Time"/>
    <x v="0"/>
  </r>
  <r>
    <x v="96"/>
    <s v="CPNG"/>
    <s v="on 5/6/25 After Market Eastern Standard Time"/>
    <x v="0"/>
  </r>
  <r>
    <x v="96"/>
    <s v="PRTS"/>
    <s v="on 5/6/25 After Market Eastern Standard Time"/>
    <x v="0"/>
  </r>
  <r>
    <x v="96"/>
    <s v="OSCR"/>
    <s v="on 5/6/25 After Market Eastern Standard Time"/>
    <x v="1"/>
  </r>
  <r>
    <x v="96"/>
    <s v="NATR"/>
    <s v="on 5/6/25 After Market Eastern Standard Time"/>
    <x v="1"/>
  </r>
  <r>
    <x v="96"/>
    <s v="MATX"/>
    <s v="on 5/6/25 After Market Eastern Standard Time"/>
    <x v="1"/>
  </r>
  <r>
    <x v="96"/>
    <s v="RMR"/>
    <s v="on 5/6/25 After Market Eastern Standard Time"/>
    <x v="1"/>
  </r>
  <r>
    <x v="96"/>
    <s v="SARO"/>
    <s v="on 5/6/25 After Market Eastern Standard Time"/>
    <x v="0"/>
  </r>
  <r>
    <x v="96"/>
    <s v="LEU"/>
    <s v="on 5/6/25 After Market Eastern Standard Time"/>
    <x v="1"/>
  </r>
  <r>
    <x v="96"/>
    <s v="GNL"/>
    <s v="on 5/6/25 After Market Eastern Standard Time"/>
    <x v="1"/>
  </r>
  <r>
    <x v="96"/>
    <s v="REAL"/>
    <s v="on 5/6/25 After Market Eastern Standard Time"/>
    <x v="1"/>
  </r>
  <r>
    <x v="96"/>
    <s v="PSTL"/>
    <s v="on 5/6/25 After Market Eastern Standard Time"/>
    <x v="1"/>
  </r>
  <r>
    <x v="96"/>
    <s v="ANET"/>
    <s v="on 5/6/25 After Market Eastern Standard Time"/>
    <x v="3"/>
  </r>
  <r>
    <x v="96"/>
    <s v="ANGI"/>
    <s v="on 5/6/25 After Market Eastern Standard Time"/>
    <x v="0"/>
  </r>
  <r>
    <x v="96"/>
    <s v="ET"/>
    <s v="on 5/6/25 After Market Eastern Standard Time"/>
    <x v="0"/>
  </r>
  <r>
    <x v="96"/>
    <s v="KE"/>
    <s v="on 5/6/25 After Market Eastern Standard Time"/>
    <x v="1"/>
  </r>
  <r>
    <x v="96"/>
    <s v="FRGE"/>
    <s v="on 5/6/25 After Market Eastern Standard Time"/>
    <x v="0"/>
  </r>
  <r>
    <x v="96"/>
    <s v="PRA"/>
    <s v="on 5/6/25 After Market Eastern Standard Time"/>
    <x v="1"/>
  </r>
  <r>
    <x v="96"/>
    <s v="NEWT"/>
    <s v="on 5/6/25 After Market Eastern Standard Time"/>
    <x v="1"/>
  </r>
  <r>
    <x v="96"/>
    <s v="BCSF"/>
    <s v="on 5/6/25 After Market Eastern Standard Time"/>
    <x v="0"/>
  </r>
  <r>
    <x v="96"/>
    <s v="VATE"/>
    <s v="on 5/6/25 After Market Eastern Standard Time"/>
    <x v="0"/>
  </r>
  <r>
    <x v="96"/>
    <s v="INGM"/>
    <s v="on 5/6/25 After Market Eastern Standard Time"/>
    <x v="0"/>
  </r>
  <r>
    <x v="96"/>
    <s v="JANX"/>
    <s v="on 5/6/25 After Market Eastern Standard Time"/>
    <x v="1"/>
  </r>
  <r>
    <x v="96"/>
    <s v="VOYA"/>
    <s v="on 5/6/25 After Market Eastern Standard Time"/>
    <x v="2"/>
  </r>
  <r>
    <x v="96"/>
    <s v="BROS"/>
    <s v="on 5/6/25 After Market Eastern Standard Time"/>
    <x v="0"/>
  </r>
  <r>
    <x v="96"/>
    <s v="GPOR"/>
    <s v="on 5/6/25 After Market Eastern Standard Time"/>
    <x v="1"/>
  </r>
  <r>
    <x v="96"/>
    <s v="CRUS"/>
    <s v="on 5/6/25 After Market Eastern Standard Time"/>
    <x v="2"/>
  </r>
  <r>
    <x v="96"/>
    <s v="ALAB"/>
    <s v="on 5/6/25 After Market Eastern Standard Time"/>
    <x v="0"/>
  </r>
  <r>
    <x v="96"/>
    <s v="PRGO"/>
    <s v="on 5/6/25 After Market Eastern Standard Time"/>
    <x v="2"/>
  </r>
  <r>
    <x v="96"/>
    <s v="MBC"/>
    <s v="on 5/6/25 After Market Eastern Standard Time"/>
    <x v="1"/>
  </r>
  <r>
    <x v="96"/>
    <s v="MTCH"/>
    <s v="on 5/6/25 After Market Eastern Standard Time"/>
    <x v="3"/>
  </r>
  <r>
    <x v="96"/>
    <s v="LAZR"/>
    <s v="on 5/6/25 After Market Eastern Standard Time"/>
    <x v="1"/>
  </r>
  <r>
    <x v="96"/>
    <s v="LCID"/>
    <s v="on 5/6/25 After Market Eastern Standard Time"/>
    <x v="0"/>
  </r>
  <r>
    <x v="96"/>
    <s v="DNLI"/>
    <s v="on 5/6/25 After Market Eastern Standard Time"/>
    <x v="1"/>
  </r>
  <r>
    <x v="96"/>
    <s v="KTOS"/>
    <s v="on 5/6/25 After Market Eastern Standard Time"/>
    <x v="1"/>
  </r>
  <r>
    <x v="96"/>
    <s v="SERV"/>
    <s v="on 5/6/25 After Market Eastern Standard Time"/>
    <x v="0"/>
  </r>
  <r>
    <x v="96"/>
    <s v="INTA"/>
    <s v="on 5/6/25 After Market Eastern Standard Time"/>
    <x v="1"/>
  </r>
  <r>
    <x v="96"/>
    <s v="ALGT"/>
    <s v="on 5/6/25 After Market Eastern Standard Time"/>
    <x v="1"/>
  </r>
  <r>
    <x v="96"/>
    <s v="USPH"/>
    <s v="on 5/6/25 After Market Eastern Standard Time"/>
    <x v="1"/>
  </r>
  <r>
    <x v="96"/>
    <s v="FOA"/>
    <s v="on 5/6/25 After Market Eastern Standard Time"/>
    <x v="0"/>
  </r>
  <r>
    <x v="96"/>
    <s v="AMTM"/>
    <s v="on 5/6/25 After Market Eastern Standard Time"/>
    <x v="3"/>
  </r>
  <r>
    <x v="96"/>
    <s v="CXDO"/>
    <s v="on 5/6/25 After Market Eastern Standard Time"/>
    <x v="0"/>
  </r>
  <r>
    <x v="96"/>
    <s v="CLOV"/>
    <s v="on 5/6/25 After Market Eastern Standard Time"/>
    <x v="0"/>
  </r>
  <r>
    <x v="96"/>
    <s v="FBIN"/>
    <s v="on 5/6/25 After Market Eastern Standard Time"/>
    <x v="2"/>
  </r>
  <r>
    <x v="96"/>
    <s v="RIVN"/>
    <s v="on 5/6/25 After Market Eastern Standard Time"/>
    <x v="0"/>
  </r>
  <r>
    <x v="96"/>
    <s v="CRC"/>
    <s v="on 5/6/25 After Market Eastern Standard Time"/>
    <x v="1"/>
  </r>
  <r>
    <x v="96"/>
    <s v="UPST"/>
    <s v="on 5/6/25 After Market Eastern Standard Time"/>
    <x v="1"/>
  </r>
  <r>
    <x v="96"/>
    <s v="DSP"/>
    <s v="on 5/6/25 After Market Eastern Standard Time"/>
    <x v="1"/>
  </r>
  <r>
    <x v="96"/>
    <s v="ICUI"/>
    <s v="on 5/6/25 After Market Eastern Standard Time"/>
    <x v="1"/>
  </r>
  <r>
    <x v="96"/>
    <s v="AGO"/>
    <s v="on 5/6/25 After Market Eastern Standard Time"/>
    <x v="0"/>
  </r>
  <r>
    <x v="96"/>
    <s v="HCKT"/>
    <s v="on 5/6/25 After Market Eastern Standard Time"/>
    <x v="1"/>
  </r>
  <r>
    <x v="96"/>
    <s v="SMWB"/>
    <s v="on 5/6/25 After Market Eastern Standard Time"/>
    <x v="0"/>
  </r>
  <r>
    <x v="96"/>
    <s v="MRCY"/>
    <s v="on 5/6/25 After Market Eastern Standard Time"/>
    <x v="1"/>
  </r>
  <r>
    <x v="96"/>
    <s v="IMRX"/>
    <s v="on 5/6/25 After Market Eastern Standard Time"/>
    <x v="0"/>
  </r>
  <r>
    <x v="96"/>
    <s v="KGC"/>
    <s v="on 5/6/25 After Market Eastern Standard Time"/>
    <x v="0"/>
  </r>
  <r>
    <x v="96"/>
    <s v="RVLV"/>
    <s v="on 5/6/25 After Market Eastern Standard Time"/>
    <x v="1"/>
  </r>
  <r>
    <x v="96"/>
    <s v="AZPN"/>
    <s v="on 5/6/25 After Market Eastern Standard Time"/>
    <x v="2"/>
  </r>
  <r>
    <x v="96"/>
    <s v="JKHY"/>
    <s v="on 5/6/25 After Market Eastern Standard Time"/>
    <x v="3"/>
  </r>
  <r>
    <x v="96"/>
    <s v="PSIX"/>
    <s v="on 5/6/25 After Market Eastern Standard Time"/>
    <x v="0"/>
  </r>
  <r>
    <x v="96"/>
    <s v="GPMT"/>
    <s v="on 5/6/25 After Market Eastern Standard Time"/>
    <x v="1"/>
  </r>
  <r>
    <x v="96"/>
    <s v="KAR"/>
    <s v="on 5/6/25 After Market Eastern Standard Time"/>
    <x v="1"/>
  </r>
  <r>
    <x v="96"/>
    <s v="PXLW"/>
    <s v="on 5/6/25 After Market Eastern Standard Time"/>
    <x v="0"/>
  </r>
  <r>
    <x v="96"/>
    <s v="LEG"/>
    <s v="on 5/6/25 After Market Eastern Standard Time"/>
    <x v="0"/>
  </r>
  <r>
    <x v="96"/>
    <s v="CELH"/>
    <s v="on 5/6/25 After Market Eastern Standard Time"/>
    <x v="2"/>
  </r>
  <r>
    <x v="96"/>
    <s v="SNCR"/>
    <s v="on 5/6/25 After Market Eastern Standard Time"/>
    <x v="0"/>
  </r>
  <r>
    <x v="96"/>
    <s v="GWH"/>
    <s v="on 5/6/25 After Market Eastern Standard Time"/>
    <x v="0"/>
  </r>
  <r>
    <x v="96"/>
    <s v="HALO"/>
    <s v="on 5/6/25 After Market Eastern Standard Time"/>
    <x v="1"/>
  </r>
  <r>
    <x v="96"/>
    <s v="FTEK"/>
    <s v="on 5/6/25 After Market Eastern Standard Time"/>
    <x v="0"/>
  </r>
  <r>
    <x v="96"/>
    <s v="TXO"/>
    <s v="on 5/6/25 After Market Eastern Standard Time"/>
    <x v="0"/>
  </r>
  <r>
    <x v="96"/>
    <s v="POWL"/>
    <s v="on 5/6/25 After Market Eastern Standard Time"/>
    <x v="1"/>
  </r>
  <r>
    <x v="96"/>
    <s v="CIX"/>
    <s v="on 5/6/25 After Market Eastern Standard Time"/>
    <x v="0"/>
  </r>
  <r>
    <x v="96"/>
    <s v="ANAB"/>
    <s v="on 5/6/25 After Market Eastern Standard Time"/>
    <x v="1"/>
  </r>
  <r>
    <x v="96"/>
    <s v="GPRO"/>
    <s v="on 5/6/25 After Market Eastern Standard Time"/>
    <x v="0"/>
  </r>
  <r>
    <x v="96"/>
    <s v="PAYS"/>
    <s v="on 5/6/25 After Market Eastern Standard Time"/>
    <x v="0"/>
  </r>
  <r>
    <x v="96"/>
    <s v="EOLS"/>
    <s v="on 5/6/25 After Market Eastern Standard Time"/>
    <x v="1"/>
  </r>
  <r>
    <x v="96"/>
    <s v="INGN"/>
    <s v="on 5/6/25 After Market Eastern Standard Time"/>
    <x v="1"/>
  </r>
  <r>
    <x v="96"/>
    <s v="PHLT"/>
    <s v="on 5/6/25 After Market Eastern Standard Time"/>
    <x v="0"/>
  </r>
  <r>
    <x v="96"/>
    <s v="VTOL"/>
    <s v="on 5/6/25 After Market Eastern Standard Time"/>
    <x v="1"/>
  </r>
  <r>
    <x v="96"/>
    <s v="KIND"/>
    <s v="on 5/6/25 After Market Eastern Standard Time"/>
    <x v="1"/>
  </r>
  <r>
    <x v="96"/>
    <s v="AGL"/>
    <s v="on 5/6/25 After Market Eastern Standard Time"/>
    <x v="1"/>
  </r>
  <r>
    <x v="96"/>
    <s v="PNTG"/>
    <s v="on 5/6/25 After Market Eastern Standard Time"/>
    <x v="1"/>
  </r>
  <r>
    <x v="96"/>
    <s v="TOST"/>
    <s v="on 5/6/25 After Market Eastern Standard Time"/>
    <x v="0"/>
  </r>
  <r>
    <x v="96"/>
    <s v="OVV"/>
    <s v="on 5/6/25 After Market Eastern Standard Time"/>
    <x v="2"/>
  </r>
  <r>
    <x v="96"/>
    <s v="LPRO"/>
    <s v="on 5/6/25 After Market Eastern Standard Time"/>
    <x v="1"/>
  </r>
  <r>
    <x v="96"/>
    <s v="BL"/>
    <s v="on 5/6/25 After Market Eastern Standard Time"/>
    <x v="1"/>
  </r>
  <r>
    <x v="96"/>
    <s v="LZ"/>
    <s v="on 5/6/25 After Market Eastern Standard Time"/>
    <x v="1"/>
  </r>
  <r>
    <x v="96"/>
    <s v="UTL"/>
    <s v="on 5/6/25 After Market Eastern Standard Time"/>
    <x v="1"/>
  </r>
  <r>
    <x v="96"/>
    <s v="SPCE"/>
    <s v="on 5/6/25 After Market Eastern Standard Time"/>
    <x v="0"/>
  </r>
  <r>
    <x v="96"/>
    <s v="SLDP"/>
    <s v="on 5/6/25 After Market Eastern Standard Time"/>
    <x v="0"/>
  </r>
  <r>
    <x v="96"/>
    <s v="IPAR"/>
    <s v="on 5/6/25 After Market Eastern Standard Time"/>
    <x v="1"/>
  </r>
  <r>
    <x v="96"/>
    <s v="NVRO"/>
    <s v="on 5/6/25 After Market Eastern Standard Time"/>
    <x v="0"/>
  </r>
  <r>
    <x v="96"/>
    <s v="SSSS"/>
    <s v="on 5/6/25 After Market Eastern Standard Time"/>
    <x v="0"/>
  </r>
  <r>
    <x v="96"/>
    <s v="BWIN"/>
    <s v="on 5/6/25 After Market Eastern Standard Time"/>
    <x v="1"/>
  </r>
  <r>
    <x v="96"/>
    <s v="AWR"/>
    <s v="on 5/6/25 After Market Eastern Standard Time"/>
    <x v="1"/>
  </r>
  <r>
    <x v="96"/>
    <s v="IGIC"/>
    <s v="on 5/6/25 After Market Eastern Standard Time"/>
    <x v="0"/>
  </r>
  <r>
    <x v="96"/>
    <s v="AMD"/>
    <s v="on 5/6/25 After Market Eastern Standard Time"/>
    <x v="3"/>
  </r>
  <r>
    <x v="96"/>
    <s v="HASI"/>
    <s v="on 5/6/25 After Market Eastern Standard Time"/>
    <x v="1"/>
  </r>
  <r>
    <x v="96"/>
    <s v="CRCT"/>
    <s v="on 5/6/25 After Market Eastern Standard Time"/>
    <x v="1"/>
  </r>
  <r>
    <x v="96"/>
    <s v="AIZ"/>
    <s v="on 5/6/25 After Market Eastern Standard Time"/>
    <x v="3"/>
  </r>
  <r>
    <x v="96"/>
    <s v="LAND"/>
    <s v="on 5/6/25 After Market Eastern Standard Time"/>
    <x v="1"/>
  </r>
  <r>
    <x v="96"/>
    <s v="SWIM"/>
    <s v="on 5/6/25 After Market Eastern Standard Time"/>
    <x v="1"/>
  </r>
  <r>
    <x v="96"/>
    <s v="NRDY"/>
    <s v="on 5/6/25 After Market Eastern Standard Time"/>
    <x v="0"/>
  </r>
  <r>
    <x v="96"/>
    <s v="TWLO"/>
    <s v="on 5/6/25 After Market Eastern Standard Time"/>
    <x v="0"/>
  </r>
  <r>
    <x v="96"/>
    <s v="FTK"/>
    <s v="on 5/6/25 After Market Eastern Standard Time"/>
    <x v="0"/>
  </r>
  <r>
    <x v="96"/>
    <s v="LDI"/>
    <s v="on 5/6/25 After Market Eastern Standard Time"/>
    <x v="0"/>
  </r>
  <r>
    <x v="96"/>
    <s v="UFCS"/>
    <s v="on 5/6/25 After Market Eastern Standard Time"/>
    <x v="1"/>
  </r>
  <r>
    <x v="96"/>
    <s v="ATRO"/>
    <s v="on 5/6/25 After Market Eastern Standard Time"/>
    <x v="1"/>
  </r>
  <r>
    <x v="96"/>
    <s v="AQST"/>
    <s v="on 5/6/25 After Market Eastern Standard Time"/>
    <x v="1"/>
  </r>
  <r>
    <x v="96"/>
    <s v="OLO"/>
    <s v="on 5/6/25 After Market Eastern Standard Time"/>
    <x v="1"/>
  </r>
  <r>
    <x v="96"/>
    <s v="UIS"/>
    <s v="on 5/6/25 After Market Eastern Standard Time"/>
    <x v="1"/>
  </r>
  <r>
    <x v="96"/>
    <s v="TEM"/>
    <s v="on 5/6/25 After Market Eastern Standard Time"/>
    <x v="0"/>
  </r>
  <r>
    <x v="96"/>
    <s v="ARWR"/>
    <s v="on 5/6/25 After Market Eastern Standard Time"/>
    <x v="1"/>
  </r>
  <r>
    <x v="96"/>
    <s v="DH"/>
    <s v="on 5/6/25 After Market Eastern Standard Time"/>
    <x v="1"/>
  </r>
  <r>
    <x v="96"/>
    <s v="PLRX"/>
    <s v="on 5/6/25 After Market Eastern Standard Time"/>
    <x v="1"/>
  </r>
  <r>
    <x v="96"/>
    <s v="CYRX"/>
    <s v="on 5/6/25 After Market Eastern Standard Time"/>
    <x v="1"/>
  </r>
  <r>
    <x v="96"/>
    <s v="GIFI"/>
    <s v="on 5/6/25 After Market Eastern Standard Time"/>
    <x v="0"/>
  </r>
  <r>
    <x v="96"/>
    <s v="STKS"/>
    <s v="on 5/6/25 After Market Eastern Standard Time"/>
    <x v="0"/>
  </r>
  <r>
    <x v="96"/>
    <s v="AEVA"/>
    <s v="on 5/6/25 After Market Eastern Standard Time"/>
    <x v="0"/>
  </r>
  <r>
    <x v="96"/>
    <s v="MYGN"/>
    <s v="on 5/6/25 After Market Eastern Standard Time"/>
    <x v="1"/>
  </r>
  <r>
    <x v="96"/>
    <s v="RDDT"/>
    <s v="on 5/6/25 After Market Eastern Standard Time"/>
    <x v="0"/>
  </r>
  <r>
    <x v="96"/>
    <s v="AXON"/>
    <s v="on 5/6/25 After Market Eastern Standard Time"/>
    <x v="3"/>
  </r>
  <r>
    <x v="96"/>
    <s v="RNGR"/>
    <s v="on 5/6/25 After Market Eastern Standard Time"/>
    <x v="1"/>
  </r>
  <r>
    <x v="96"/>
    <s v="CLLS"/>
    <s v="on 5/6/25 After Market Eastern Standard Time"/>
    <x v="0"/>
  </r>
  <r>
    <x v="96"/>
    <s v="DV"/>
    <s v="on 5/6/25 After Market Eastern Standard Time"/>
    <x v="0"/>
  </r>
  <r>
    <x v="96"/>
    <s v="SPR"/>
    <s v="on 5/6/25 After Market Eastern Standard Time"/>
    <x v="0"/>
  </r>
  <r>
    <x v="96"/>
    <s v="PRI"/>
    <s v="on 5/6/25 After Market Eastern Standard Time"/>
    <x v="2"/>
  </r>
  <r>
    <x v="96"/>
    <s v="CMP"/>
    <s v="on 5/6/25 After Market Eastern Standard Time"/>
    <x v="1"/>
  </r>
  <r>
    <x v="96"/>
    <s v="RYAM"/>
    <s v="on 5/6/25 After Market Eastern Standard Time"/>
    <x v="1"/>
  </r>
  <r>
    <x v="96"/>
    <s v="ASRT"/>
    <s v="on 5/6/25 After Market Eastern Standard Time"/>
    <x v="0"/>
  </r>
  <r>
    <x v="96"/>
    <s v="DORM"/>
    <s v="on 5/6/25 After Market Eastern Standard Time"/>
    <x v="1"/>
  </r>
  <r>
    <x v="96"/>
    <s v="AMZN"/>
    <s v="on 5/6/25 After Market Eastern Standard Time"/>
    <x v="3"/>
  </r>
  <r>
    <x v="96"/>
    <s v="DEI"/>
    <s v="on 5/6/25 After Market Eastern Standard Time"/>
    <x v="1"/>
  </r>
  <r>
    <x v="96"/>
    <s v="ISPO"/>
    <s v="on 5/6/25 After Market Eastern Standard Time"/>
    <x v="0"/>
  </r>
  <r>
    <x v="96"/>
    <s v="AHT"/>
    <s v="on 5/6/25 After Market Eastern Standard Time"/>
    <x v="0"/>
  </r>
  <r>
    <x v="96"/>
    <s v="MDLZ"/>
    <s v="on 5/6/25 After Market Eastern Standard Time"/>
    <x v="3"/>
  </r>
  <r>
    <x v="96"/>
    <s v="OLMA"/>
    <s v="on 5/6/25 After Market Eastern Standard Time"/>
    <x v="1"/>
  </r>
  <r>
    <x v="96"/>
    <s v="RWAY"/>
    <s v="on 5/6/25 After Market Eastern Standard Time"/>
    <x v="0"/>
  </r>
  <r>
    <x v="96"/>
    <s v="RIGL"/>
    <s v="on 5/6/25 After Market Eastern Standard Time"/>
    <x v="1"/>
  </r>
  <r>
    <x v="96"/>
    <s v="EXEL"/>
    <s v="on 5/6/25 After Market Eastern Standard Time"/>
    <x v="2"/>
  </r>
  <r>
    <x v="96"/>
    <s v="NBN"/>
    <s v="on 5/6/25 After Market Eastern Standard Time"/>
    <x v="1"/>
  </r>
  <r>
    <x v="96"/>
    <s v="CGBD"/>
    <s v="on 5/6/25 After Market Eastern Standard Time"/>
    <x v="0"/>
  </r>
  <r>
    <x v="96"/>
    <s v="FLYW"/>
    <s v="on 5/6/25 After Market Eastern Standard Time"/>
    <x v="1"/>
  </r>
  <r>
    <x v="96"/>
    <s v="GMRE"/>
    <s v="on 5/6/25 After Market Eastern Standard Time"/>
    <x v="1"/>
  </r>
  <r>
    <x v="96"/>
    <s v="CRBU"/>
    <s v="on 5/6/25 After Market Eastern Standard Time"/>
    <x v="0"/>
  </r>
  <r>
    <x v="96"/>
    <s v="ODD"/>
    <s v="on 5/6/25 After Market Eastern Standard Time"/>
    <x v="0"/>
  </r>
  <r>
    <x v="96"/>
    <s v="MEC"/>
    <s v="on 5/6/25 After Market Eastern Standard Time"/>
    <x v="1"/>
  </r>
  <r>
    <x v="96"/>
    <s v="GO"/>
    <s v="on 5/6/25 After Market Eastern Standard Time"/>
    <x v="0"/>
  </r>
  <r>
    <x v="96"/>
    <s v="EGY"/>
    <s v="on 5/6/25 After Market Eastern Standard Time"/>
    <x v="1"/>
  </r>
  <r>
    <x v="96"/>
    <s v="CTKB"/>
    <s v="on 5/6/25 After Market Eastern Standard Time"/>
    <x v="1"/>
  </r>
  <r>
    <x v="96"/>
    <s v="MWA"/>
    <s v="on 5/6/25 After Market Eastern Standard Time"/>
    <x v="1"/>
  </r>
  <r>
    <x v="96"/>
    <s v="MTW"/>
    <s v="on 5/6/25 After Market Eastern Standard Time"/>
    <x v="1"/>
  </r>
  <r>
    <x v="96"/>
    <s v="SLNG"/>
    <s v="on 5/6/25 After Market Eastern Standard Time"/>
    <x v="0"/>
  </r>
  <r>
    <x v="96"/>
    <s v="PRO"/>
    <s v="on 5/6/25 After Market Eastern Standard Time"/>
    <x v="1"/>
  </r>
  <r>
    <x v="96"/>
    <s v="ANDE"/>
    <s v="on 5/6/25 After Market Eastern Standard Time"/>
    <x v="1"/>
  </r>
  <r>
    <x v="96"/>
    <s v="QLYS"/>
    <s v="on 5/6/25 After Market Eastern Standard Time"/>
    <x v="1"/>
  </r>
  <r>
    <x v="96"/>
    <s v="GMED"/>
    <s v="on 5/6/25 After Market Eastern Standard Time"/>
    <x v="2"/>
  </r>
  <r>
    <x v="96"/>
    <s v="BTG"/>
    <s v="on 5/6/25 After Market Eastern Standard Time"/>
    <x v="0"/>
  </r>
  <r>
    <x v="96"/>
    <s v="MXCT"/>
    <s v="on 5/6/25 After Market Eastern Standard Time"/>
    <x v="1"/>
  </r>
  <r>
    <x v="96"/>
    <s v="VVX"/>
    <s v="on 5/6/25 After Market Eastern Standard Time"/>
    <x v="1"/>
  </r>
  <r>
    <x v="96"/>
    <s v="HOUR"/>
    <s v="on 5/6/25 After Market Eastern Standard Time"/>
    <x v="0"/>
  </r>
  <r>
    <x v="96"/>
    <s v="VCYT"/>
    <s v="on 5/6/25 After Market Eastern Standard Time"/>
    <x v="1"/>
  </r>
  <r>
    <x v="96"/>
    <s v="MASI"/>
    <s v="on 5/6/25 After Market Eastern Standard Time"/>
    <x v="2"/>
  </r>
  <r>
    <x v="96"/>
    <s v="HRZN"/>
    <s v="on 5/6/25 After Market Eastern Standard Time"/>
    <x v="0"/>
  </r>
  <r>
    <x v="96"/>
    <s v="COHR"/>
    <s v="on 5/6/25 After Market Eastern Standard Time"/>
    <x v="2"/>
  </r>
  <r>
    <x v="96"/>
    <s v="EA"/>
    <s v="on 5/6/25 After Market Eastern Standard Time"/>
    <x v="3"/>
  </r>
  <r>
    <x v="96"/>
    <s v="ATROB"/>
    <s v="on 5/6/25 After Market Eastern Standard Time"/>
    <x v="0"/>
  </r>
  <r>
    <x v="96"/>
    <s v="WEYS"/>
    <s v="on 5/6/25 After Market Eastern Standard Time"/>
    <x v="1"/>
  </r>
  <r>
    <x v="96"/>
    <s v="HY"/>
    <s v="on 5/6/25 After Market Eastern Standard Time"/>
    <x v="1"/>
  </r>
  <r>
    <x v="96"/>
    <s v="MLNK"/>
    <s v="on 5/6/25 After Market Eastern Standard Time"/>
    <x v="1"/>
  </r>
  <r>
    <x v="96"/>
    <s v="GOSS"/>
    <s v="on 5/6/25 After Market Eastern Standard Time"/>
    <x v="0"/>
  </r>
  <r>
    <x v="96"/>
    <s v="RGR"/>
    <s v="on 5/6/25 After Market Eastern Standard Time"/>
    <x v="1"/>
  </r>
  <r>
    <x v="96"/>
    <s v="LOPE"/>
    <s v="on 5/6/25 After Market Eastern Standard Time"/>
    <x v="2"/>
  </r>
  <r>
    <x v="96"/>
    <s v="JETMF"/>
    <s v="on 5/6/25 After Market Eastern Standard Time"/>
    <x v="0"/>
  </r>
  <r>
    <x v="96"/>
    <s v="PLSE"/>
    <s v="on 5/6/25 After Market Eastern Standard Time"/>
    <x v="1"/>
  </r>
  <r>
    <x v="96"/>
    <s v="PTGX"/>
    <s v="on 5/6/25 After Market Eastern Standard Time"/>
    <x v="1"/>
  </r>
  <r>
    <x v="96"/>
    <s v="VTEX"/>
    <s v="on 5/6/25 After Market Eastern Standard Time"/>
    <x v="0"/>
  </r>
  <r>
    <x v="96"/>
    <s v="STE"/>
    <s v="on 5/6/25 After Market Eastern Standard Time"/>
    <x v="3"/>
  </r>
  <r>
    <x v="96"/>
    <s v="INNV"/>
    <s v="on 5/6/25 After Market Eastern Standard Time"/>
    <x v="0"/>
  </r>
  <r>
    <x v="96"/>
    <s v="SU"/>
    <s v="on 5/6/25 After Market Eastern Standard Time"/>
    <x v="0"/>
  </r>
  <r>
    <x v="96"/>
    <s v="SD"/>
    <s v="on 5/6/25 After Market Eastern Standard Time"/>
    <x v="1"/>
  </r>
  <r>
    <x v="96"/>
    <s v="CLPT"/>
    <s v="on 5/6/25 After Market Eastern Standard Time"/>
    <x v="0"/>
  </r>
  <r>
    <x v="96"/>
    <s v="ONTF"/>
    <s v="on 5/6/25 After Market Eastern Standard Time"/>
    <x v="1"/>
  </r>
  <r>
    <x v="96"/>
    <s v="CPIX"/>
    <s v="on 5/6/25 After Market Eastern Standard Time"/>
    <x v="0"/>
  </r>
  <r>
    <x v="96"/>
    <s v="GOOD"/>
    <s v="on 5/6/25 After Market Eastern Standard Time"/>
    <x v="1"/>
  </r>
  <r>
    <x v="96"/>
    <s v="KTCC"/>
    <s v="on 5/6/25 After Market Eastern Standard Time"/>
    <x v="0"/>
  </r>
  <r>
    <x v="96"/>
    <s v="IAC"/>
    <s v="on 5/6/25 After Market Eastern Standard Time"/>
    <x v="0"/>
  </r>
  <r>
    <x v="96"/>
    <s v="SIGA"/>
    <s v="on 5/6/25 After Market Eastern Standard Time"/>
    <x v="1"/>
  </r>
  <r>
    <x v="96"/>
    <s v="BBDC"/>
    <s v="on 5/6/25 After Market Eastern Standard Time"/>
    <x v="0"/>
  </r>
  <r>
    <x v="96"/>
    <s v="TMCI"/>
    <s v="on 5/6/25 After Market Eastern Standard Time"/>
    <x v="1"/>
  </r>
  <r>
    <x v="96"/>
    <s v="LYEL"/>
    <s v="on 5/6/25 After Market Eastern Standard Time"/>
    <x v="1"/>
  </r>
  <r>
    <x v="96"/>
    <s v="COTY"/>
    <s v="on 5/6/25 After Market Eastern Standard Time"/>
    <x v="2"/>
  </r>
  <r>
    <x v="96"/>
    <s v="CLBK"/>
    <s v="on 5/6/25 After Market Eastern Standard Time"/>
    <x v="1"/>
  </r>
  <r>
    <x v="96"/>
    <s v="MEG"/>
    <s v="on 5/6/25 After Market Eastern Standard Time"/>
    <x v="1"/>
  </r>
  <r>
    <x v="96"/>
    <s v="KD"/>
    <s v="on 5/6/25 After Market Eastern Standard Time"/>
    <x v="2"/>
  </r>
  <r>
    <x v="96"/>
    <s v="AMRK"/>
    <s v="on 5/6/25 After Market Eastern Standard Time"/>
    <x v="1"/>
  </r>
  <r>
    <x v="96"/>
    <s v="OLP"/>
    <s v="on 5/6/25 After Market Eastern Standard Time"/>
    <x v="1"/>
  </r>
  <r>
    <x v="96"/>
    <s v="DVN"/>
    <s v="on 5/6/25 After Market Eastern Standard Time"/>
    <x v="3"/>
  </r>
  <r>
    <x v="96"/>
    <s v="ZETA"/>
    <s v="on 5/6/25 After Market Eastern Standard Time"/>
    <x v="1"/>
  </r>
  <r>
    <x v="97"/>
    <s v="MFA"/>
    <s v="on 5/7/25 Before Market Eastern Standard Time"/>
    <x v="1"/>
  </r>
  <r>
    <x v="97"/>
    <s v="MLTX"/>
    <s v="on 5/7/25 Before Market Eastern Standard Time"/>
    <x v="0"/>
  </r>
  <r>
    <x v="97"/>
    <s v="SCRYY"/>
    <s v="on 5/7/25 Before Market Eastern Standard Time"/>
    <x v="0"/>
  </r>
  <r>
    <x v="97"/>
    <s v="PERI"/>
    <s v="on 5/7/25 Before Market Eastern Standard Time"/>
    <x v="0"/>
  </r>
  <r>
    <x v="97"/>
    <s v="SKM"/>
    <s v="on 5/7/25 Unspecified Eastern Standard Time"/>
    <x v="0"/>
  </r>
  <r>
    <x v="97"/>
    <s v="JAPAY"/>
    <s v="on 5/7/25 Unspecified Eastern Standard Time"/>
    <x v="0"/>
  </r>
  <r>
    <x v="97"/>
    <s v="SNCY"/>
    <s v="on 5/7/25 Before Market Eastern Standard Time"/>
    <x v="1"/>
  </r>
  <r>
    <x v="97"/>
    <s v="VLN"/>
    <s v="on 5/7/25 Before Market Eastern Standard Time"/>
    <x v="0"/>
  </r>
  <r>
    <x v="97"/>
    <s v="ODP"/>
    <s v="on 5/7/25 Before Market Eastern Standard Time"/>
    <x v="1"/>
  </r>
  <r>
    <x v="97"/>
    <s v="RDWR"/>
    <s v="on 5/7/25 Before Market Eastern Standard Time"/>
    <x v="0"/>
  </r>
  <r>
    <x v="97"/>
    <s v="ELA"/>
    <s v="on 5/7/25 Unspecified Eastern Standard Time"/>
    <x v="0"/>
  </r>
  <r>
    <x v="97"/>
    <s v="FLEX"/>
    <s v="on 5/7/25 Before Market Eastern Standard Time"/>
    <x v="0"/>
  </r>
  <r>
    <x v="97"/>
    <s v="VERX"/>
    <s v="on 5/7/25 Before Market Eastern Standard Time"/>
    <x v="1"/>
  </r>
  <r>
    <x v="97"/>
    <s v="VONOY"/>
    <s v="on 5/7/25 Unspecified Eastern Standard Time"/>
    <x v="0"/>
  </r>
  <r>
    <x v="97"/>
    <s v="BKSY"/>
    <s v="on 5/7/25 Before Market Eastern Standard Time"/>
    <x v="0"/>
  </r>
  <r>
    <x v="97"/>
    <s v="MRC"/>
    <s v="on 5/7/25 Before Market Eastern Standard Time"/>
    <x v="1"/>
  </r>
  <r>
    <x v="97"/>
    <s v="FTS"/>
    <s v="on 5/7/25 Before Market Eastern Standard Time"/>
    <x v="0"/>
  </r>
  <r>
    <x v="97"/>
    <s v="YOU"/>
    <s v="on 5/7/25 Before Market Eastern Standard Time"/>
    <x v="1"/>
  </r>
  <r>
    <x v="97"/>
    <s v="KLBAY"/>
    <s v="on 5/7/25 Before Market Eastern Standard Time"/>
    <x v="0"/>
  </r>
  <r>
    <x v="97"/>
    <s v="INVZ"/>
    <s v="on 5/7/25 Before Market Eastern Standard Time"/>
    <x v="0"/>
  </r>
  <r>
    <x v="97"/>
    <s v="LBRDK"/>
    <s v="on 5/7/25 Before Market Eastern Standard Time"/>
    <x v="0"/>
  </r>
  <r>
    <x v="97"/>
    <s v="GHI"/>
    <s v="on 5/7/25 Before Market Eastern Standard Time"/>
    <x v="0"/>
  </r>
  <r>
    <x v="97"/>
    <s v="TBLA"/>
    <s v="on 5/7/25 Before Market Eastern Standard Time"/>
    <x v="0"/>
  </r>
  <r>
    <x v="97"/>
    <s v="DIN"/>
    <s v="on 5/7/25 Before Market Eastern Standard Time"/>
    <x v="1"/>
  </r>
  <r>
    <x v="97"/>
    <s v="BWA"/>
    <s v="on 5/7/25 Before Market Eastern Standard Time"/>
    <x v="3"/>
  </r>
  <r>
    <x v="97"/>
    <s v="SAXPY"/>
    <s v="on 5/7/25 Before Market Eastern Standard Time"/>
    <x v="0"/>
  </r>
  <r>
    <x v="97"/>
    <s v="DSGN"/>
    <s v="on 5/7/25 Before Market Eastern Standard Time"/>
    <x v="0"/>
  </r>
  <r>
    <x v="97"/>
    <s v="CPSH"/>
    <s v="on 5/7/25 Unspecified Eastern Standard Time"/>
    <x v="0"/>
  </r>
  <r>
    <x v="97"/>
    <s v="WWW"/>
    <s v="on 5/7/25 Before Market Eastern Standard Time"/>
    <x v="1"/>
  </r>
  <r>
    <x v="97"/>
    <s v="REFI"/>
    <s v="on 5/7/25 Before Market Eastern Standard Time"/>
    <x v="1"/>
  </r>
  <r>
    <x v="97"/>
    <s v="EYE"/>
    <s v="on 5/7/25 Before Market Eastern Standard Time"/>
    <x v="1"/>
  </r>
  <r>
    <x v="97"/>
    <s v="CEVA"/>
    <s v="on 5/7/25 Before Market Eastern Standard Time"/>
    <x v="1"/>
  </r>
  <r>
    <x v="97"/>
    <s v="AZTA"/>
    <s v="on 5/7/25 Before Market Eastern Standard Time"/>
    <x v="2"/>
  </r>
  <r>
    <x v="97"/>
    <s v="OPHC"/>
    <s v="on 5/7/25 Unspecified Eastern Standard Time"/>
    <x v="0"/>
  </r>
  <r>
    <x v="97"/>
    <s v="GERN"/>
    <s v="on 5/7/25 Before Market Eastern Standard Time"/>
    <x v="1"/>
  </r>
  <r>
    <x v="97"/>
    <s v="BBD"/>
    <s v="on 5/7/25 Unspecified Eastern Standard Time"/>
    <x v="0"/>
  </r>
  <r>
    <x v="97"/>
    <s v="ZVIA"/>
    <s v="on 5/7/25 Before Market Eastern Standard Time"/>
    <x v="0"/>
  </r>
  <r>
    <x v="97"/>
    <s v="ENLT"/>
    <s v="on 5/7/25 Before Market Eastern Standard Time"/>
    <x v="0"/>
  </r>
  <r>
    <x v="97"/>
    <s v="CRL"/>
    <s v="on 5/7/25 Before Market Eastern Standard Time"/>
    <x v="3"/>
  </r>
  <r>
    <x v="97"/>
    <s v="BATRA"/>
    <s v="on 5/7/25 Before Market Eastern Standard Time"/>
    <x v="1"/>
  </r>
  <r>
    <x v="97"/>
    <s v="NABZY"/>
    <s v="on 5/7/25 Unspecified Eastern Standard Time"/>
    <x v="0"/>
  </r>
  <r>
    <x v="97"/>
    <s v="IRS"/>
    <s v="on 5/7/25 Before Market Eastern Standard Time"/>
    <x v="0"/>
  </r>
  <r>
    <x v="97"/>
    <s v="MDGL"/>
    <s v="on 5/7/25 Before Market Eastern Standard Time"/>
    <x v="1"/>
  </r>
  <r>
    <x v="97"/>
    <s v="MCRB"/>
    <s v="on 5/7/25 Before Market Eastern Standard Time"/>
    <x v="0"/>
  </r>
  <r>
    <x v="97"/>
    <s v="KMDA"/>
    <s v="on 5/7/25 Before Market Eastern Standard Time"/>
    <x v="0"/>
  </r>
  <r>
    <x v="97"/>
    <s v="REYN"/>
    <s v="on 5/7/25 Before Market Eastern Standard Time"/>
    <x v="0"/>
  </r>
  <r>
    <x v="97"/>
    <s v="DNNGY"/>
    <s v="on 5/7/25 Unspecified Eastern Standard Time"/>
    <x v="0"/>
  </r>
  <r>
    <x v="97"/>
    <s v="INGR"/>
    <s v="on 5/7/25 Before Market Eastern Standard Time"/>
    <x v="2"/>
  </r>
  <r>
    <x v="97"/>
    <s v="SMMNY"/>
    <s v="on 5/7/25 Before Market Eastern Standard Time"/>
    <x v="0"/>
  </r>
  <r>
    <x v="97"/>
    <s v="DD"/>
    <s v="on 5/7/25 Before Market Eastern Standard Time"/>
    <x v="3"/>
  </r>
  <r>
    <x v="97"/>
    <s v="ITIC"/>
    <s v="on 5/7/25 Before Market Eastern Standard Time"/>
    <x v="1"/>
  </r>
  <r>
    <x v="97"/>
    <s v="CRSP"/>
    <s v="on 5/7/25 Unspecified Eastern Standard Time"/>
    <x v="0"/>
  </r>
  <r>
    <x v="97"/>
    <s v="SR"/>
    <s v="on 5/7/25 Before Market Eastern Standard Time"/>
    <x v="1"/>
  </r>
  <r>
    <x v="97"/>
    <s v="LPX"/>
    <s v="on 5/7/25 Before Market Eastern Standard Time"/>
    <x v="2"/>
  </r>
  <r>
    <x v="97"/>
    <s v="SKYT"/>
    <s v="on 5/7/25 Unspecified Eastern Standard Time"/>
    <x v="1"/>
  </r>
  <r>
    <x v="97"/>
    <s v="DIS"/>
    <s v="on 5/7/25 Before Market Eastern Standard Time"/>
    <x v="3"/>
  </r>
  <r>
    <x v="97"/>
    <s v="ANZGY"/>
    <s v="on 5/7/25 Unspecified Eastern Standard Time"/>
    <x v="0"/>
  </r>
  <r>
    <x v="97"/>
    <s v="ELEZY"/>
    <s v="on 5/7/25 Unspecified Eastern Standard Time"/>
    <x v="0"/>
  </r>
  <r>
    <x v="97"/>
    <s v="OPFI"/>
    <s v="on 5/7/25 Before Market Eastern Standard Time"/>
    <x v="0"/>
  </r>
  <r>
    <x v="97"/>
    <s v="TPG"/>
    <s v="on 5/7/25 Before Market Eastern Standard Time"/>
    <x v="0"/>
  </r>
  <r>
    <x v="97"/>
    <s v="SMRT"/>
    <s v="on 5/7/25 Before Market Eastern Standard Time"/>
    <x v="1"/>
  </r>
  <r>
    <x v="97"/>
    <s v="UBER"/>
    <s v="on 5/7/25 Before Market Eastern Standard Time"/>
    <x v="3"/>
  </r>
  <r>
    <x v="97"/>
    <s v="TNGX"/>
    <s v="on 5/7/25 Before Market Eastern Standard Time"/>
    <x v="1"/>
  </r>
  <r>
    <x v="97"/>
    <s v="EYPT"/>
    <s v="on 5/7/25 Before Market Eastern Standard Time"/>
    <x v="1"/>
  </r>
  <r>
    <x v="97"/>
    <s v="ZURVY"/>
    <s v="on 5/7/25 Unspecified Eastern Standard Time"/>
    <x v="0"/>
  </r>
  <r>
    <x v="97"/>
    <s v="VST"/>
    <s v="on 5/7/25 Before Market Eastern Standard Time"/>
    <x v="3"/>
  </r>
  <r>
    <x v="97"/>
    <s v="AVDL"/>
    <s v="on 5/7/25 Before Market Eastern Standard Time"/>
    <x v="1"/>
  </r>
  <r>
    <x v="97"/>
    <s v="TIIAY"/>
    <s v="on 5/7/25 Unspecified Eastern Standard Time"/>
    <x v="0"/>
  </r>
  <r>
    <x v="97"/>
    <s v="GOLD"/>
    <s v="on 5/7/25 Before Market Eastern Standard Time"/>
    <x v="0"/>
  </r>
  <r>
    <x v="97"/>
    <s v="NYT"/>
    <s v="on 5/7/25 Before Market Eastern Standard Time"/>
    <x v="2"/>
  </r>
  <r>
    <x v="97"/>
    <s v="CCU"/>
    <s v="on 5/7/25 Unspecified Eastern Standard Time"/>
    <x v="0"/>
  </r>
  <r>
    <x v="97"/>
    <s v="NEUE"/>
    <s v="on 5/7/25 Before Market Eastern Standard Time"/>
    <x v="0"/>
  </r>
  <r>
    <x v="97"/>
    <s v="ACRS"/>
    <s v="on 5/7/25 Before Market Eastern Standard Time"/>
    <x v="0"/>
  </r>
  <r>
    <x v="97"/>
    <s v="DBVT"/>
    <s v="on 5/7/25 Before Market Eastern Standard Time"/>
    <x v="0"/>
  </r>
  <r>
    <x v="97"/>
    <s v="ALIT"/>
    <s v="on 5/7/25 Before Market Eastern Standard Time"/>
    <x v="1"/>
  </r>
  <r>
    <x v="97"/>
    <s v="GFF"/>
    <s v="on 5/7/25 Before Market Eastern Standard Time"/>
    <x v="1"/>
  </r>
  <r>
    <x v="97"/>
    <s v="SWX"/>
    <s v="on 5/7/25 Before Market Eastern Standard Time"/>
    <x v="1"/>
  </r>
  <r>
    <x v="97"/>
    <s v="NDOI"/>
    <s v="on 5/7/25 Before Market Eastern Standard Time"/>
    <x v="0"/>
  </r>
  <r>
    <x v="97"/>
    <s v="RGS"/>
    <s v="on 5/7/25 Before Market Eastern Standard Time"/>
    <x v="0"/>
  </r>
  <r>
    <x v="97"/>
    <s v="BAK"/>
    <s v="on 5/7/25 Unspecified Eastern Standard Time"/>
    <x v="0"/>
  </r>
  <r>
    <x v="97"/>
    <s v="ADRNY"/>
    <s v="on 5/7/25 Before Market Eastern Standard Time"/>
    <x v="0"/>
  </r>
  <r>
    <x v="97"/>
    <s v="BWAY"/>
    <s v="on 5/7/25 Before Market Eastern Standard Time"/>
    <x v="0"/>
  </r>
  <r>
    <x v="97"/>
    <s v="STN"/>
    <s v="on 5/7/25 Before Market Eastern Standard Time"/>
    <x v="0"/>
  </r>
  <r>
    <x v="97"/>
    <s v="LIVN"/>
    <s v="on 5/7/25 Before Market Eastern Standard Time"/>
    <x v="1"/>
  </r>
  <r>
    <x v="97"/>
    <s v="SEDG"/>
    <s v="on 5/7/25 Before Market Eastern Standard Time"/>
    <x v="0"/>
  </r>
  <r>
    <x v="97"/>
    <s v="RXO"/>
    <s v="on 5/7/25 Before Market Eastern Standard Time"/>
    <x v="1"/>
  </r>
  <r>
    <x v="97"/>
    <s v="PRKS"/>
    <s v="on 5/7/25 Before Market Eastern Standard Time"/>
    <x v="1"/>
  </r>
  <r>
    <x v="97"/>
    <s v="CHH"/>
    <s v="on 5/7/25 Before Market Eastern Standard Time"/>
    <x v="2"/>
  </r>
  <r>
    <x v="97"/>
    <s v="UTHR"/>
    <s v="on 5/7/25 Before Market Eastern Standard Time"/>
    <x v="2"/>
  </r>
  <r>
    <x v="97"/>
    <s v="STGW"/>
    <s v="on 5/7/25 Before Market Eastern Standard Time"/>
    <x v="1"/>
  </r>
  <r>
    <x v="97"/>
    <s v="PYPD"/>
    <s v="on 5/7/25 Before Market Eastern Standard Time"/>
    <x v="0"/>
  </r>
  <r>
    <x v="97"/>
    <s v="VSH"/>
    <s v="on 5/7/25 Before Market Eastern Standard Time"/>
    <x v="1"/>
  </r>
  <r>
    <x v="97"/>
    <s v="KRNT"/>
    <s v="on 5/7/25 Before Market Eastern Standard Time"/>
    <x v="0"/>
  </r>
  <r>
    <x v="97"/>
    <s v="ASC"/>
    <s v="on 5/7/25 Before Market Eastern Standard Time"/>
    <x v="1"/>
  </r>
  <r>
    <x v="97"/>
    <s v="PAG"/>
    <s v="on 5/7/25 Before Market Eastern Standard Time"/>
    <x v="2"/>
  </r>
  <r>
    <x v="97"/>
    <s v="UOVEY"/>
    <s v="on 5/7/25 Unspecified Eastern Standard Time"/>
    <x v="0"/>
  </r>
  <r>
    <x v="97"/>
    <s v="PAYO"/>
    <s v="on 5/7/25 Before Market Eastern Standard Time"/>
    <x v="1"/>
  </r>
  <r>
    <x v="97"/>
    <s v="EVGO"/>
    <s v="on 5/7/25 Before Market Eastern Standard Time"/>
    <x v="1"/>
  </r>
  <r>
    <x v="97"/>
    <s v="TMICY"/>
    <s v="on 5/7/25 Before Market Eastern Standard Time"/>
    <x v="0"/>
  </r>
  <r>
    <x v="97"/>
    <s v="SPNS"/>
    <s v="on 5/7/25 Before Market Eastern Standard Time"/>
    <x v="1"/>
  </r>
  <r>
    <x v="97"/>
    <s v="WOW"/>
    <s v="on 5/7/25 Before Market Eastern Standard Time"/>
    <x v="1"/>
  </r>
  <r>
    <x v="97"/>
    <s v="PRLD"/>
    <s v="on 5/7/25 Before Market Eastern Standard Time"/>
    <x v="0"/>
  </r>
  <r>
    <x v="97"/>
    <s v="HAIN"/>
    <s v="on 5/7/25 Before Market Eastern Standard Time"/>
    <x v="1"/>
  </r>
  <r>
    <x v="97"/>
    <s v="BCO"/>
    <s v="on 5/7/25 Before Market Eastern Standard Time"/>
    <x v="1"/>
  </r>
  <r>
    <x v="97"/>
    <s v="AVDX"/>
    <s v="on 5/7/25 Before Market Eastern Standard Time"/>
    <x v="1"/>
  </r>
  <r>
    <x v="97"/>
    <s v="BR"/>
    <s v="on 5/7/25 Before Market Eastern Standard Time"/>
    <x v="3"/>
  </r>
  <r>
    <x v="97"/>
    <s v="CSPI"/>
    <s v="on 5/7/25 Before Market Eastern Standard Time"/>
    <x v="0"/>
  </r>
  <r>
    <x v="97"/>
    <s v="NVO"/>
    <s v="on 5/7/25 Before Market Eastern Standard Time"/>
    <x v="0"/>
  </r>
  <r>
    <x v="97"/>
    <s v="DIBS"/>
    <s v="on 5/7/25 Before Market Eastern Standard Time"/>
    <x v="0"/>
  </r>
  <r>
    <x v="97"/>
    <s v="HR"/>
    <s v="on 5/7/25 Before Market Eastern Standard Time"/>
    <x v="2"/>
  </r>
  <r>
    <x v="97"/>
    <s v="VRDN"/>
    <s v="on 5/7/25 Before Market Eastern Standard Time"/>
    <x v="1"/>
  </r>
  <r>
    <x v="97"/>
    <s v="TEVA"/>
    <s v="on 5/7/25 Before Market Eastern Standard Time"/>
    <x v="0"/>
  </r>
  <r>
    <x v="97"/>
    <s v="SGHC"/>
    <s v="on 5/7/25 Before Market Eastern Standard Time"/>
    <x v="1"/>
  </r>
  <r>
    <x v="97"/>
    <s v="IFRX"/>
    <s v="on 5/7/25 Before Market Eastern Standard Time"/>
    <x v="0"/>
  </r>
  <r>
    <x v="97"/>
    <s v="HLLY"/>
    <s v="on 5/7/25 Before Market Eastern Standard Time"/>
    <x v="0"/>
  </r>
  <r>
    <x v="97"/>
    <s v="ICL"/>
    <s v="on 5/7/25 Before Market Eastern Standard Time"/>
    <x v="0"/>
  </r>
  <r>
    <x v="97"/>
    <s v="DNBBY"/>
    <s v="on 5/7/25 Before Market Eastern Standard Time"/>
    <x v="0"/>
  </r>
  <r>
    <x v="97"/>
    <s v="AVA"/>
    <s v="on 5/7/25 Before Market Eastern Standard Time"/>
    <x v="1"/>
  </r>
  <r>
    <x v="97"/>
    <s v="BATRK"/>
    <s v="on 5/7/25 Before Market Eastern Standard Time"/>
    <x v="1"/>
  </r>
  <r>
    <x v="97"/>
    <s v="EMR"/>
    <s v="on 5/7/25 Before Market Eastern Standard Time"/>
    <x v="3"/>
  </r>
  <r>
    <x v="97"/>
    <s v="CTRI"/>
    <s v="on 5/7/25 Before Market Eastern Standard Time"/>
    <x v="1"/>
  </r>
  <r>
    <x v="97"/>
    <s v="ATHM"/>
    <s v="on 5/7/25 Before Market Eastern Standard Time"/>
    <x v="0"/>
  </r>
  <r>
    <x v="97"/>
    <s v="PFGC"/>
    <s v="on 5/7/25 Before Market Eastern Standard Time"/>
    <x v="2"/>
  </r>
  <r>
    <x v="97"/>
    <s v="NI"/>
    <s v="on 5/7/25 Before Market Eastern Standard Time"/>
    <x v="3"/>
  </r>
  <r>
    <x v="97"/>
    <s v="MMS"/>
    <s v="on 5/7/25 Before Market Eastern Standard Time"/>
    <x v="1"/>
  </r>
  <r>
    <x v="97"/>
    <s v="COR"/>
    <s v="on 5/7/25 Before Market Eastern Standard Time"/>
    <x v="3"/>
  </r>
  <r>
    <x v="97"/>
    <s v="SHOP"/>
    <s v="on 5/7/25 Before Market Eastern Standard Time"/>
    <x v="0"/>
  </r>
  <r>
    <x v="97"/>
    <s v="TRIN"/>
    <s v="on 5/7/25 Before Market Eastern Standard Time"/>
    <x v="0"/>
  </r>
  <r>
    <x v="97"/>
    <s v="MCFT"/>
    <s v="on 5/7/25 Before Market Eastern Standard Time"/>
    <x v="1"/>
  </r>
  <r>
    <x v="97"/>
    <s v="IEP"/>
    <s v="on 5/7/25 Before Market Eastern Standard Time"/>
    <x v="0"/>
  </r>
  <r>
    <x v="97"/>
    <s v="VFF"/>
    <s v="on 5/7/25 Before Market Eastern Standard Time"/>
    <x v="0"/>
  </r>
  <r>
    <x v="97"/>
    <s v="WHF"/>
    <s v="on 5/7/25 Before Market Eastern Standard Time"/>
    <x v="0"/>
  </r>
  <r>
    <x v="97"/>
    <s v="GCMG"/>
    <s v="on 5/7/25 Before Market Eastern Standard Time"/>
    <x v="1"/>
  </r>
  <r>
    <x v="97"/>
    <s v="LBRDB"/>
    <s v="on 5/7/25 Before Market Eastern Standard Time"/>
    <x v="0"/>
  </r>
  <r>
    <x v="97"/>
    <s v="MNTS"/>
    <s v="on 5/7/25 Unspecified Eastern Standard Time"/>
    <x v="0"/>
  </r>
  <r>
    <x v="97"/>
    <s v="VCEL"/>
    <s v="on 5/7/25 Before Market Eastern Standard Time"/>
    <x v="1"/>
  </r>
  <r>
    <x v="97"/>
    <s v="GNE"/>
    <s v="on 5/7/25 Before Market Eastern Standard Time"/>
    <x v="1"/>
  </r>
  <r>
    <x v="97"/>
    <s v="IMCR"/>
    <s v="on 5/7/25 Before Market Eastern Standard Time"/>
    <x v="0"/>
  </r>
  <r>
    <x v="97"/>
    <s v="VVV"/>
    <s v="on 5/7/25 Before Market Eastern Standard Time"/>
    <x v="2"/>
  </r>
  <r>
    <x v="97"/>
    <s v="CLNN"/>
    <s v="on 5/7/25 Before Market Eastern Standard Time"/>
    <x v="0"/>
  </r>
  <r>
    <x v="97"/>
    <s v="TH"/>
    <s v="on 5/7/25 Before Market Eastern Standard Time"/>
    <x v="1"/>
  </r>
  <r>
    <x v="97"/>
    <s v="GBLI"/>
    <s v="on 5/7/25 Before Market Eastern Standard Time"/>
    <x v="0"/>
  </r>
  <r>
    <x v="97"/>
    <s v="LBRDA"/>
    <s v="on 5/7/25 Before Market Eastern Standard Time"/>
    <x v="0"/>
  </r>
  <r>
    <x v="98"/>
    <s v="MGEE"/>
    <s v="on 5/7/25 During Market Eastern Standard Time"/>
    <x v="1"/>
  </r>
  <r>
    <x v="99"/>
    <s v="TBCH"/>
    <s v="on 5/7/25 After Market Eastern Standard Time"/>
    <x v="0"/>
  </r>
  <r>
    <x v="99"/>
    <s v="STKL"/>
    <s v="on 5/7/25 After Market Eastern Standard Time"/>
    <x v="1"/>
  </r>
  <r>
    <x v="99"/>
    <s v="EGHT"/>
    <s v="on 5/7/25 After Market Eastern Standard Time"/>
    <x v="1"/>
  </r>
  <r>
    <x v="99"/>
    <s v="MODG"/>
    <s v="on 5/7/25 After Market Eastern Standard Time"/>
    <x v="1"/>
  </r>
  <r>
    <x v="99"/>
    <s v="RCUS"/>
    <s v="on 5/7/25 After Market Eastern Standard Time"/>
    <x v="1"/>
  </r>
  <r>
    <x v="99"/>
    <s v="PSEC"/>
    <s v="on 5/7/25 After Market Eastern Standard Time"/>
    <x v="0"/>
  </r>
  <r>
    <x v="99"/>
    <s v="QNST"/>
    <s v="on 5/7/25 After Market Eastern Standard Time"/>
    <x v="1"/>
  </r>
  <r>
    <x v="99"/>
    <s v="WMK"/>
    <s v="on 5/7/25 After Market Eastern Standard Time"/>
    <x v="1"/>
  </r>
  <r>
    <x v="99"/>
    <s v="Z"/>
    <s v="on 5/7/25 After Market Eastern Standard Time"/>
    <x v="0"/>
  </r>
  <r>
    <x v="99"/>
    <s v="ECG"/>
    <s v="on 5/7/25 After Market Eastern Standard Time"/>
    <x v="0"/>
  </r>
  <r>
    <x v="99"/>
    <s v="PR"/>
    <s v="on 5/7/25 After Market Eastern Standard Time"/>
    <x v="2"/>
  </r>
  <r>
    <x v="99"/>
    <s v="FLL"/>
    <s v="on 5/7/25 After Market Eastern Standard Time"/>
    <x v="0"/>
  </r>
  <r>
    <x v="99"/>
    <s v="RDN"/>
    <s v="on 5/7/25 After Market Eastern Standard Time"/>
    <x v="1"/>
  </r>
  <r>
    <x v="99"/>
    <s v="NL"/>
    <s v="on 5/7/25 After Market Eastern Standard Time"/>
    <x v="0"/>
  </r>
  <r>
    <x v="99"/>
    <s v="DASH"/>
    <s v="on 5/7/25 After Market Eastern Standard Time"/>
    <x v="4"/>
  </r>
  <r>
    <x v="99"/>
    <s v="SUI"/>
    <s v="on 5/7/25 After Market Eastern Standard Time"/>
    <x v="0"/>
  </r>
  <r>
    <x v="99"/>
    <s v="TTEC"/>
    <s v="on 5/7/25 After Market Eastern Standard Time"/>
    <x v="0"/>
  </r>
  <r>
    <x v="99"/>
    <s v="HL"/>
    <s v="on 5/7/25 After Market Eastern Standard Time"/>
    <x v="1"/>
  </r>
  <r>
    <x v="99"/>
    <s v="GNK"/>
    <s v="on 5/7/25 After Market Eastern Standard Time"/>
    <x v="1"/>
  </r>
  <r>
    <x v="99"/>
    <s v="SCYX"/>
    <s v="on 5/7/25 After Market Eastern Standard Time"/>
    <x v="0"/>
  </r>
  <r>
    <x v="99"/>
    <s v="MRCC"/>
    <s v="on 5/7/25 After Market Eastern Standard Time"/>
    <x v="0"/>
  </r>
  <r>
    <x v="99"/>
    <s v="ASM"/>
    <s v="on 5/7/25 After Market Eastern Standard Time"/>
    <x v="0"/>
  </r>
  <r>
    <x v="99"/>
    <s v="CSGS"/>
    <s v="on 5/7/25 After Market Eastern Standard Time"/>
    <x v="1"/>
  </r>
  <r>
    <x v="99"/>
    <s v="BCAB"/>
    <s v="on 5/7/25 After Market Eastern Standard Time"/>
    <x v="0"/>
  </r>
  <r>
    <x v="99"/>
    <s v="HBB"/>
    <s v="on 5/7/25 After Market Eastern Standard Time"/>
    <x v="0"/>
  </r>
  <r>
    <x v="99"/>
    <s v="SBGI"/>
    <s v="on 5/7/25 After Market Eastern Standard Time"/>
    <x v="1"/>
  </r>
  <r>
    <x v="99"/>
    <s v="GAIN"/>
    <s v="on 5/7/25 After Market Eastern Standard Time"/>
    <x v="0"/>
  </r>
  <r>
    <x v="99"/>
    <s v="PAYC"/>
    <s v="on 5/7/25 After Market Eastern Standard Time"/>
    <x v="3"/>
  </r>
  <r>
    <x v="99"/>
    <s v="NVST"/>
    <s v="on 5/7/25 After Market Eastern Standard Time"/>
    <x v="2"/>
  </r>
  <r>
    <x v="99"/>
    <s v="MLR"/>
    <s v="on 5/7/25 After Market Eastern Standard Time"/>
    <x v="1"/>
  </r>
  <r>
    <x v="99"/>
    <s v="KRO"/>
    <s v="on 5/7/25 After Market Eastern Standard Time"/>
    <x v="1"/>
  </r>
  <r>
    <x v="99"/>
    <s v="GLRE"/>
    <s v="on 5/7/25 After Market Eastern Standard Time"/>
    <x v="1"/>
  </r>
  <r>
    <x v="99"/>
    <s v="CCAP"/>
    <s v="on 5/7/25 After Market Eastern Standard Time"/>
    <x v="0"/>
  </r>
  <r>
    <x v="99"/>
    <s v="SNEX"/>
    <s v="on 5/7/25 After Market Eastern Standard Time"/>
    <x v="1"/>
  </r>
  <r>
    <x v="99"/>
    <s v="WES"/>
    <s v="on 5/7/25 After Market Eastern Standard Time"/>
    <x v="0"/>
  </r>
  <r>
    <x v="99"/>
    <s v="RGNX"/>
    <s v="on 5/7/25 After Market Eastern Standard Time"/>
    <x v="1"/>
  </r>
  <r>
    <x v="99"/>
    <s v="AUR"/>
    <s v="on 5/7/25 After Market Eastern Standard Time"/>
    <x v="1"/>
  </r>
  <r>
    <x v="99"/>
    <s v="AMPH"/>
    <s v="on 5/7/25 After Market Eastern Standard Time"/>
    <x v="1"/>
  </r>
  <r>
    <x v="99"/>
    <s v="AMPY"/>
    <s v="on 5/7/25 After Market Eastern Standard Time"/>
    <x v="1"/>
  </r>
  <r>
    <x v="99"/>
    <s v="OXY"/>
    <s v="on 5/7/25 After Market Eastern Standard Time"/>
    <x v="3"/>
  </r>
  <r>
    <x v="99"/>
    <s v="MUSA"/>
    <s v="on 5/7/25 After Market Eastern Standard Time"/>
    <x v="2"/>
  </r>
  <r>
    <x v="99"/>
    <s v="RUN"/>
    <s v="on 5/7/25 After Market Eastern Standard Time"/>
    <x v="1"/>
  </r>
  <r>
    <x v="99"/>
    <s v="BHF"/>
    <s v="on 5/7/25 After Market Eastern Standard Time"/>
    <x v="2"/>
  </r>
  <r>
    <x v="99"/>
    <s v="BGS"/>
    <s v="on 5/7/25 After Market Eastern Standard Time"/>
    <x v="1"/>
  </r>
  <r>
    <x v="99"/>
    <s v="MTRX"/>
    <s v="on 5/7/25 After Market Eastern Standard Time"/>
    <x v="1"/>
  </r>
  <r>
    <x v="99"/>
    <s v="DLHC"/>
    <s v="on 5/7/25 After Market Eastern Standard Time"/>
    <x v="0"/>
  </r>
  <r>
    <x v="99"/>
    <s v="PIII"/>
    <s v="on 5/7/25 After Market Eastern Standard Time"/>
    <x v="0"/>
  </r>
  <r>
    <x v="99"/>
    <s v="IIPR"/>
    <s v="on 5/7/25 After Market Eastern Standard Time"/>
    <x v="1"/>
  </r>
  <r>
    <x v="99"/>
    <s v="ARM"/>
    <s v="on 5/7/25 After Market Eastern Standard Time"/>
    <x v="4"/>
  </r>
  <r>
    <x v="99"/>
    <s v="OM"/>
    <s v="on 5/7/25 After Market Eastern Standard Time"/>
    <x v="0"/>
  </r>
  <r>
    <x v="99"/>
    <s v="GEG"/>
    <s v="on 5/7/25 After Market Eastern Standard Time"/>
    <x v="0"/>
  </r>
  <r>
    <x v="99"/>
    <s v="NTR"/>
    <s v="on 5/7/25 After Market Eastern Standard Time"/>
    <x v="0"/>
  </r>
  <r>
    <x v="99"/>
    <s v="MKFG"/>
    <s v="on 5/7/25 After Market Eastern Standard Time"/>
    <x v="0"/>
  </r>
  <r>
    <x v="99"/>
    <s v="LILAK"/>
    <s v="on 5/7/25 After Market Eastern Standard Time"/>
    <x v="1"/>
  </r>
  <r>
    <x v="99"/>
    <s v="GWRS"/>
    <s v="on 5/7/25 After Market Eastern Standard Time"/>
    <x v="0"/>
  </r>
  <r>
    <x v="99"/>
    <s v="CAMP"/>
    <s v="on 5/7/25 After Market Eastern Standard Time"/>
    <x v="0"/>
  </r>
  <r>
    <x v="99"/>
    <s v="FOSL"/>
    <s v="on 5/7/25 After Market Eastern Standard Time"/>
    <x v="0"/>
  </r>
  <r>
    <x v="99"/>
    <s v="REPX"/>
    <s v="on 5/7/25 After Market Eastern Standard Time"/>
    <x v="1"/>
  </r>
  <r>
    <x v="99"/>
    <s v="FLUT"/>
    <s v="on 5/7/25 After Market Eastern Standard Time"/>
    <x v="0"/>
  </r>
  <r>
    <x v="99"/>
    <s v="DOX"/>
    <s v="on 5/7/25 After Market Eastern Standard Time"/>
    <x v="0"/>
  </r>
  <r>
    <x v="99"/>
    <s v="ABNB"/>
    <s v="on 5/7/25 After Market Eastern Standard Time"/>
    <x v="3"/>
  </r>
  <r>
    <x v="99"/>
    <s v="EBR"/>
    <s v="on 5/7/25 After Market Eastern Standard Time"/>
    <x v="0"/>
  </r>
  <r>
    <x v="99"/>
    <s v="PSNL"/>
    <s v="on 5/7/25 After Market Eastern Standard Time"/>
    <x v="0"/>
  </r>
  <r>
    <x v="99"/>
    <s v="FSM"/>
    <s v="on 5/7/25 After Market Eastern Standard Time"/>
    <x v="0"/>
  </r>
  <r>
    <x v="99"/>
    <s v="CIA"/>
    <s v="on 5/7/25 After Market Eastern Standard Time"/>
    <x v="0"/>
  </r>
  <r>
    <x v="99"/>
    <s v="VECO"/>
    <s v="on 5/7/25 After Market Eastern Standard Time"/>
    <x v="1"/>
  </r>
  <r>
    <x v="99"/>
    <s v="CURI"/>
    <s v="on 5/7/25 After Market Eastern Standard Time"/>
    <x v="0"/>
  </r>
  <r>
    <x v="99"/>
    <s v="ALVO"/>
    <s v="on 5/7/25 After Market Eastern Standard Time"/>
    <x v="0"/>
  </r>
  <r>
    <x v="99"/>
    <s v="OSUR"/>
    <s v="on 5/7/25 After Market Eastern Standard Time"/>
    <x v="1"/>
  </r>
  <r>
    <x v="99"/>
    <s v="POWI"/>
    <s v="on 5/7/25 After Market Eastern Standard Time"/>
    <x v="1"/>
  </r>
  <r>
    <x v="99"/>
    <s v="KNTK"/>
    <s v="on 5/7/25 After Market Eastern Standard Time"/>
    <x v="1"/>
  </r>
  <r>
    <x v="99"/>
    <s v="CPRX"/>
    <s v="on 5/7/25 After Market Eastern Standard Time"/>
    <x v="1"/>
  </r>
  <r>
    <x v="99"/>
    <s v="BOXL"/>
    <s v="on 5/7/25 After Market Eastern Standard Time"/>
    <x v="0"/>
  </r>
  <r>
    <x v="99"/>
    <s v="FNF"/>
    <s v="on 5/7/25 After Market Eastern Standard Time"/>
    <x v="2"/>
  </r>
  <r>
    <x v="99"/>
    <s v="QTRX"/>
    <s v="on 5/7/25 After Market Eastern Standard Time"/>
    <x v="1"/>
  </r>
  <r>
    <x v="99"/>
    <s v="UFI"/>
    <s v="on 5/7/25 After Market Eastern Standard Time"/>
    <x v="0"/>
  </r>
  <r>
    <x v="99"/>
    <s v="HHH"/>
    <s v="on 5/7/25 After Market Eastern Standard Time"/>
    <x v="0"/>
  </r>
  <r>
    <x v="99"/>
    <s v="BKD"/>
    <s v="on 5/7/25 After Market Eastern Standard Time"/>
    <x v="1"/>
  </r>
  <r>
    <x v="99"/>
    <s v="HPP"/>
    <s v="on 5/7/25 After Market Eastern Standard Time"/>
    <x v="1"/>
  </r>
  <r>
    <x v="99"/>
    <s v="MRUS"/>
    <s v="on 5/7/25 After Market Eastern Standard Time"/>
    <x v="0"/>
  </r>
  <r>
    <x v="99"/>
    <s v="NRGV"/>
    <s v="on 5/7/25 After Market Eastern Standard Time"/>
    <x v="0"/>
  </r>
  <r>
    <x v="99"/>
    <s v="FLNC"/>
    <s v="on 5/7/25 After Market Eastern Standard Time"/>
    <x v="1"/>
  </r>
  <r>
    <x v="99"/>
    <s v="DDD"/>
    <s v="on 5/7/25 After Market Eastern Standard Time"/>
    <x v="1"/>
  </r>
  <r>
    <x v="99"/>
    <s v="PX"/>
    <s v="on 5/7/25 After Market Eastern Standard Time"/>
    <x v="1"/>
  </r>
  <r>
    <x v="99"/>
    <s v="EFC"/>
    <s v="on 5/7/25 After Market Eastern Standard Time"/>
    <x v="1"/>
  </r>
  <r>
    <x v="99"/>
    <s v="DCGO"/>
    <s v="on 5/7/25 After Market Eastern Standard Time"/>
    <x v="1"/>
  </r>
  <r>
    <x v="99"/>
    <s v="ACVA"/>
    <s v="on 5/7/25 After Market Eastern Standard Time"/>
    <x v="1"/>
  </r>
  <r>
    <x v="99"/>
    <s v="IPI"/>
    <s v="on 5/7/25 After Market Eastern Standard Time"/>
    <x v="1"/>
  </r>
  <r>
    <x v="99"/>
    <s v="TTD"/>
    <s v="on 5/7/25 After Market Eastern Standard Time"/>
    <x v="4"/>
  </r>
  <r>
    <x v="99"/>
    <s v="BRY"/>
    <s v="on 5/7/25 After Market Eastern Standard Time"/>
    <x v="1"/>
  </r>
  <r>
    <x v="99"/>
    <s v="WTS"/>
    <s v="on 5/7/25 After Market Eastern Standard Time"/>
    <x v="1"/>
  </r>
  <r>
    <x v="99"/>
    <s v="ZD"/>
    <s v="on 5/7/25 After Market Eastern Standard Time"/>
    <x v="1"/>
  </r>
  <r>
    <x v="99"/>
    <s v="ARMP"/>
    <s v="on 5/7/25 After Market Eastern Standard Time"/>
    <x v="0"/>
  </r>
  <r>
    <x v="99"/>
    <s v="EPSN"/>
    <s v="on 5/7/25 After Market Eastern Standard Time"/>
    <x v="0"/>
  </r>
  <r>
    <x v="99"/>
    <s v="PKOH"/>
    <s v="on 5/7/25 After Market Eastern Standard Time"/>
    <x v="1"/>
  </r>
  <r>
    <x v="99"/>
    <s v="ALTG"/>
    <s v="on 5/7/25 After Market Eastern Standard Time"/>
    <x v="1"/>
  </r>
  <r>
    <x v="99"/>
    <s v="OBDC"/>
    <s v="on 5/7/25 After Market Eastern Standard Time"/>
    <x v="0"/>
  </r>
  <r>
    <x v="99"/>
    <s v="PKST"/>
    <s v="on 5/7/25 After Market Eastern Standard Time"/>
    <x v="1"/>
  </r>
  <r>
    <x v="99"/>
    <s v="COMP"/>
    <s v="on 5/7/25 After Market Eastern Standard Time"/>
    <x v="1"/>
  </r>
  <r>
    <x v="99"/>
    <s v="RYN"/>
    <s v="on 5/7/25 After Market Eastern Standard Time"/>
    <x v="2"/>
  </r>
  <r>
    <x v="99"/>
    <s v="AZEK"/>
    <s v="on 5/7/25 After Market Eastern Standard Time"/>
    <x v="0"/>
  </r>
  <r>
    <x v="99"/>
    <s v="CENT"/>
    <s v="on 5/7/25 After Market Eastern Standard Time"/>
    <x v="1"/>
  </r>
  <r>
    <x v="99"/>
    <s v="ZVRA"/>
    <s v="on 5/7/25 After Market Eastern Standard Time"/>
    <x v="1"/>
  </r>
  <r>
    <x v="99"/>
    <s v="BNGO"/>
    <s v="on 5/7/25 After Market Eastern Standard Time"/>
    <x v="0"/>
  </r>
  <r>
    <x v="99"/>
    <s v="AOSL"/>
    <s v="on 5/7/25 After Market Eastern Standard Time"/>
    <x v="1"/>
  </r>
  <r>
    <x v="99"/>
    <s v="PRIM"/>
    <s v="on 5/7/25 After Market Eastern Standard Time"/>
    <x v="1"/>
  </r>
  <r>
    <x v="99"/>
    <s v="CXT"/>
    <s v="on 5/7/25 After Market Eastern Standard Time"/>
    <x v="2"/>
  </r>
  <r>
    <x v="99"/>
    <s v="EXPI"/>
    <s v="on 5/7/25 After Market Eastern Standard Time"/>
    <x v="1"/>
  </r>
  <r>
    <x v="99"/>
    <s v="MFC"/>
    <s v="on 5/7/25 After Market Eastern Standard Time"/>
    <x v="0"/>
  </r>
  <r>
    <x v="99"/>
    <s v="SGC"/>
    <s v="on 5/7/25 After Market Eastern Standard Time"/>
    <x v="1"/>
  </r>
  <r>
    <x v="99"/>
    <s v="ACR"/>
    <s v="on 5/7/25 After Market Eastern Standard Time"/>
    <x v="0"/>
  </r>
  <r>
    <x v="99"/>
    <s v="MATV"/>
    <s v="on 5/7/25 After Market Eastern Standard Time"/>
    <x v="1"/>
  </r>
  <r>
    <x v="99"/>
    <s v="KGS"/>
    <s v="on 5/7/25 After Market Eastern Standard Time"/>
    <x v="1"/>
  </r>
  <r>
    <x v="99"/>
    <s v="ECOR"/>
    <s v="on 5/7/25 After Market Eastern Standard Time"/>
    <x v="0"/>
  </r>
  <r>
    <x v="99"/>
    <s v="FG"/>
    <s v="on 5/7/25 After Market Eastern Standard Time"/>
    <x v="1"/>
  </r>
  <r>
    <x v="99"/>
    <s v="CLMB"/>
    <s v="on 5/7/25 After Market Eastern Standard Time"/>
    <x v="1"/>
  </r>
  <r>
    <x v="99"/>
    <s v="CPAY"/>
    <s v="on 5/7/25 After Market Eastern Standard Time"/>
    <x v="3"/>
  </r>
  <r>
    <x v="99"/>
    <s v="KROS"/>
    <s v="on 5/7/25 After Market Eastern Standard Time"/>
    <x v="1"/>
  </r>
  <r>
    <x v="99"/>
    <s v="UGI"/>
    <s v="on 5/7/25 After Market Eastern Standard Time"/>
    <x v="2"/>
  </r>
  <r>
    <x v="99"/>
    <s v="CPK"/>
    <s v="on 5/7/25 After Market Eastern Standard Time"/>
    <x v="1"/>
  </r>
  <r>
    <x v="99"/>
    <s v="ARIS"/>
    <s v="on 5/7/25 After Market Eastern Standard Time"/>
    <x v="1"/>
  </r>
  <r>
    <x v="99"/>
    <s v="PHX"/>
    <s v="on 5/7/25 After Market Eastern Standard Time"/>
    <x v="0"/>
  </r>
  <r>
    <x v="99"/>
    <s v="CAPL"/>
    <s v="on 5/7/25 After Market Eastern Standard Time"/>
    <x v="0"/>
  </r>
  <r>
    <x v="99"/>
    <s v="ALNT"/>
    <s v="on 5/7/25 After Market Eastern Standard Time"/>
    <x v="1"/>
  </r>
  <r>
    <x v="99"/>
    <s v="MKSI"/>
    <s v="on 5/7/25 After Market Eastern Standard Time"/>
    <x v="2"/>
  </r>
  <r>
    <x v="99"/>
    <s v="VSTA"/>
    <s v="on 5/7/25 After Market Eastern Standard Time"/>
    <x v="0"/>
  </r>
  <r>
    <x v="99"/>
    <s v="ACLS"/>
    <s v="on 5/7/25 After Market Eastern Standard Time"/>
    <x v="1"/>
  </r>
  <r>
    <x v="99"/>
    <s v="CCSI"/>
    <s v="on 5/7/25 After Market Eastern Standard Time"/>
    <x v="1"/>
  </r>
  <r>
    <x v="99"/>
    <s v="EE"/>
    <s v="on 5/7/25 After Market Eastern Standard Time"/>
    <x v="1"/>
  </r>
  <r>
    <x v="99"/>
    <s v="CFLT"/>
    <s v="on 5/7/25 After Market Eastern Standard Time"/>
    <x v="0"/>
  </r>
  <r>
    <x v="99"/>
    <s v="FTNT"/>
    <s v="on 5/7/25 After Market Eastern Standard Time"/>
    <x v="3"/>
  </r>
  <r>
    <x v="99"/>
    <s v="SERA"/>
    <s v="on 5/7/25 After Market Eastern Standard Time"/>
    <x v="0"/>
  </r>
  <r>
    <x v="99"/>
    <s v="OR"/>
    <s v="on 5/7/25 After Market Eastern Standard Time"/>
    <x v="0"/>
  </r>
  <r>
    <x v="99"/>
    <s v="HP"/>
    <s v="on 5/7/25 After Market Eastern Standard Time"/>
    <x v="1"/>
  </r>
  <r>
    <x v="99"/>
    <s v="SUPN"/>
    <s v="on 5/7/25 After Market Eastern Standard Time"/>
    <x v="1"/>
  </r>
  <r>
    <x v="99"/>
    <s v="CRSR"/>
    <s v="on 5/7/25 After Market Eastern Standard Time"/>
    <x v="1"/>
  </r>
  <r>
    <x v="99"/>
    <s v="KW"/>
    <s v="on 5/7/25 After Market Eastern Standard Time"/>
    <x v="1"/>
  </r>
  <r>
    <x v="99"/>
    <s v="ZG"/>
    <s v="on 5/7/25 After Market Eastern Standard Time"/>
    <x v="0"/>
  </r>
  <r>
    <x v="99"/>
    <s v="DGII"/>
    <s v="on 5/7/25 After Market Eastern Standard Time"/>
    <x v="1"/>
  </r>
  <r>
    <x v="99"/>
    <s v="SBRA"/>
    <s v="on 5/7/25 After Market Eastern Standard Time"/>
    <x v="1"/>
  </r>
  <r>
    <x v="99"/>
    <s v="ASYS"/>
    <s v="on 5/7/25 After Market Eastern Standard Time"/>
    <x v="0"/>
  </r>
  <r>
    <x v="99"/>
    <s v="CPA"/>
    <s v="on 5/7/25 After Market Eastern Standard Time"/>
    <x v="0"/>
  </r>
  <r>
    <x v="99"/>
    <s v="RDW"/>
    <s v="on 5/7/25 After Market Eastern Standard Time"/>
    <x v="1"/>
  </r>
  <r>
    <x v="99"/>
    <s v="GRWG"/>
    <s v="on 5/7/25 After Market Eastern Standard Time"/>
    <x v="0"/>
  </r>
  <r>
    <x v="99"/>
    <s v="INSG"/>
    <s v="on 5/7/25 After Market Eastern Standard Time"/>
    <x v="0"/>
  </r>
  <r>
    <x v="99"/>
    <s v="OPK"/>
    <s v="on 5/7/25 After Market Eastern Standard Time"/>
    <x v="1"/>
  </r>
  <r>
    <x v="99"/>
    <s v="CDXC"/>
    <s v="on 5/7/25 After Market Eastern Standard Time"/>
    <x v="1"/>
  </r>
  <r>
    <x v="99"/>
    <s v="BKH"/>
    <s v="on 5/7/25 After Market Eastern Standard Time"/>
    <x v="1"/>
  </r>
  <r>
    <x v="99"/>
    <s v="LNW"/>
    <s v="on 5/7/25 After Market Eastern Standard Time"/>
    <x v="2"/>
  </r>
  <r>
    <x v="99"/>
    <s v="CART"/>
    <s v="on 5/7/25 After Market Eastern Standard Time"/>
    <x v="0"/>
  </r>
  <r>
    <x v="99"/>
    <s v="QDEL"/>
    <s v="on 5/7/25 After Market Eastern Standard Time"/>
    <x v="0"/>
  </r>
  <r>
    <x v="99"/>
    <s v="VNDA"/>
    <s v="on 5/7/25 After Market Eastern Standard Time"/>
    <x v="1"/>
  </r>
  <r>
    <x v="99"/>
    <s v="FRPH"/>
    <s v="on 5/7/25 After Market Eastern Standard Time"/>
    <x v="1"/>
  </r>
  <r>
    <x v="99"/>
    <s v="LFMD"/>
    <s v="on 5/7/25 After Market Eastern Standard Time"/>
    <x v="1"/>
  </r>
  <r>
    <x v="99"/>
    <s v="TSVT"/>
    <s v="on 5/7/25 After Market Eastern Standard Time"/>
    <x v="0"/>
  </r>
  <r>
    <x v="99"/>
    <s v="HUBS"/>
    <s v="on 5/7/25 After Market Eastern Standard Time"/>
    <x v="0"/>
  </r>
  <r>
    <x v="99"/>
    <s v="RVMD"/>
    <s v="on 5/7/25 After Market Eastern Standard Time"/>
    <x v="1"/>
  </r>
  <r>
    <x v="99"/>
    <s v="AMC"/>
    <s v="on 5/7/25 After Market Eastern Standard Time"/>
    <x v="1"/>
  </r>
  <r>
    <x v="99"/>
    <s v="PRCH"/>
    <s v="on 5/7/25 After Market Eastern Standard Time"/>
    <x v="1"/>
  </r>
  <r>
    <x v="99"/>
    <s v="EBR/B"/>
    <s v="on 5/7/25 After Market Eastern Standard Time"/>
    <x v="0"/>
  </r>
  <r>
    <x v="99"/>
    <s v="ACEL"/>
    <s v="on 5/7/25 After Market Eastern Standard Time"/>
    <x v="1"/>
  </r>
  <r>
    <x v="99"/>
    <s v="SVC"/>
    <s v="on 5/7/25 After Market Eastern Standard Time"/>
    <x v="1"/>
  </r>
  <r>
    <x v="99"/>
    <s v="ERII"/>
    <s v="on 5/7/25 After Market Eastern Standard Time"/>
    <x v="1"/>
  </r>
  <r>
    <x v="99"/>
    <s v="TPL"/>
    <s v="on 5/7/25 After Market Eastern Standard Time"/>
    <x v="2"/>
  </r>
  <r>
    <x v="99"/>
    <s v="LMB"/>
    <s v="on 5/7/25 After Market Eastern Standard Time"/>
    <x v="1"/>
  </r>
  <r>
    <x v="99"/>
    <s v="MOS"/>
    <s v="on 5/7/25 After Market Eastern Standard Time"/>
    <x v="3"/>
  </r>
  <r>
    <x v="99"/>
    <s v="PCVX"/>
    <s v="on 5/7/25 After Market Eastern Standard Time"/>
    <x v="1"/>
  </r>
  <r>
    <x v="99"/>
    <s v="EQX"/>
    <s v="on 5/7/25 After Market Eastern Standard Time"/>
    <x v="0"/>
  </r>
  <r>
    <x v="99"/>
    <s v="SVCO"/>
    <s v="on 5/7/25 After Market Eastern Standard Time"/>
    <x v="0"/>
  </r>
  <r>
    <x v="99"/>
    <s v="MIRM"/>
    <s v="on 5/7/25 After Market Eastern Standard Time"/>
    <x v="1"/>
  </r>
  <r>
    <x v="99"/>
    <s v="BGSF"/>
    <s v="on 5/7/25 After Market Eastern Standard Time"/>
    <x v="0"/>
  </r>
  <r>
    <x v="99"/>
    <s v="MYO"/>
    <s v="on 5/7/25 After Market Eastern Standard Time"/>
    <x v="0"/>
  </r>
  <r>
    <x v="99"/>
    <s v="JXN"/>
    <s v="on 5/7/25 After Market Eastern Standard Time"/>
    <x v="1"/>
  </r>
  <r>
    <x v="99"/>
    <s v="IONQ"/>
    <s v="on 5/7/25 After Market Eastern Standard Time"/>
    <x v="1"/>
  </r>
  <r>
    <x v="99"/>
    <s v="NVEE"/>
    <s v="on 5/7/25 After Market Eastern Standard Time"/>
    <x v="1"/>
  </r>
  <r>
    <x v="99"/>
    <s v="SITM"/>
    <s v="on 5/7/25 After Market Eastern Standard Time"/>
    <x v="1"/>
  </r>
  <r>
    <x v="99"/>
    <s v="GXO"/>
    <s v="on 5/7/25 After Market Eastern Standard Time"/>
    <x v="2"/>
  </r>
  <r>
    <x v="99"/>
    <s v="JRVR"/>
    <s v="on 5/7/25 After Market Eastern Standard Time"/>
    <x v="0"/>
  </r>
  <r>
    <x v="99"/>
    <s v="LILA"/>
    <s v="on 5/7/25 After Market Eastern Standard Time"/>
    <x v="1"/>
  </r>
  <r>
    <x v="99"/>
    <s v="CXW"/>
    <s v="on 5/7/25 After Market Eastern Standard Time"/>
    <x v="1"/>
  </r>
  <r>
    <x v="99"/>
    <s v="NDLS"/>
    <s v="on 5/7/25 After Market Eastern Standard Time"/>
    <x v="0"/>
  </r>
  <r>
    <x v="99"/>
    <s v="MDAI"/>
    <s v="on 5/7/25 After Market Eastern Standard Time"/>
    <x v="0"/>
  </r>
  <r>
    <x v="99"/>
    <s v="NAGE"/>
    <s v="on 5/7/25 After Market Eastern Standard Time"/>
    <x v="0"/>
  </r>
  <r>
    <x v="99"/>
    <s v="FROG"/>
    <s v="on 5/7/25 After Market Eastern Standard Time"/>
    <x v="0"/>
  </r>
  <r>
    <x v="99"/>
    <s v="LOMA"/>
    <s v="on 5/7/25 After Market Eastern Standard Time"/>
    <x v="0"/>
  </r>
  <r>
    <x v="99"/>
    <s v="CTVA"/>
    <s v="on 5/7/25 After Market Eastern Standard Time"/>
    <x v="3"/>
  </r>
  <r>
    <x v="99"/>
    <s v="ARQ"/>
    <s v="on 5/7/25 After Market Eastern Standard Time"/>
    <x v="1"/>
  </r>
  <r>
    <x v="99"/>
    <s v="ATO"/>
    <s v="on 5/7/25 After Market Eastern Standard Time"/>
    <x v="3"/>
  </r>
  <r>
    <x v="99"/>
    <s v="SAFT"/>
    <s v="on 5/7/25 After Market Eastern Standard Time"/>
    <x v="1"/>
  </r>
  <r>
    <x v="99"/>
    <s v="ECPG"/>
    <s v="on 5/7/25 After Market Eastern Standard Time"/>
    <x v="1"/>
  </r>
  <r>
    <x v="99"/>
    <s v="VAC"/>
    <s v="on 5/7/25 After Market Eastern Standard Time"/>
    <x v="2"/>
  </r>
  <r>
    <x v="99"/>
    <s v="NXE"/>
    <s v="on 5/7/25 After Market Eastern Standard Time"/>
    <x v="0"/>
  </r>
  <r>
    <x v="99"/>
    <s v="PYCR"/>
    <s v="on 5/7/25 After Market Eastern Standard Time"/>
    <x v="0"/>
  </r>
  <r>
    <x v="99"/>
    <s v="MQ"/>
    <s v="on 5/7/25 After Market Eastern Standard Time"/>
    <x v="1"/>
  </r>
  <r>
    <x v="99"/>
    <s v="FSLY"/>
    <s v="on 5/7/25 After Market Eastern Standard Time"/>
    <x v="1"/>
  </r>
  <r>
    <x v="99"/>
    <s v="COOK"/>
    <s v="on 5/7/25 After Market Eastern Standard Time"/>
    <x v="0"/>
  </r>
  <r>
    <x v="99"/>
    <s v="KFS"/>
    <s v="on 5/7/25 After Market Eastern Standard Time"/>
    <x v="0"/>
  </r>
  <r>
    <x v="99"/>
    <s v="ASTH"/>
    <s v="on 5/7/25 After Market Eastern Standard Time"/>
    <x v="1"/>
  </r>
  <r>
    <x v="99"/>
    <s v="LYFT"/>
    <s v="on 5/7/25 After Market Eastern Standard Time"/>
    <x v="0"/>
  </r>
  <r>
    <x v="99"/>
    <s v="SONX"/>
    <s v="on 5/7/25 After Market Eastern Standard Time"/>
    <x v="0"/>
  </r>
  <r>
    <x v="99"/>
    <s v="LILAB"/>
    <s v="on 5/7/25 After Market Eastern Standard Time"/>
    <x v="0"/>
  </r>
  <r>
    <x v="99"/>
    <s v="TACT"/>
    <s v="on 5/7/25 After Market Eastern Standard Time"/>
    <x v="0"/>
  </r>
  <r>
    <x v="99"/>
    <s v="ANSS"/>
    <s v="on 5/7/25 After Market Eastern Standard Time"/>
    <x v="3"/>
  </r>
  <r>
    <x v="99"/>
    <s v="MUR"/>
    <s v="on 5/7/25 After Market Eastern Standard Time"/>
    <x v="1"/>
  </r>
  <r>
    <x v="99"/>
    <s v="BYND"/>
    <s v="on 5/7/25 After Market Eastern Standard Time"/>
    <x v="1"/>
  </r>
  <r>
    <x v="99"/>
    <s v="ASMB"/>
    <s v="on 5/7/25 After Market Eastern Standard Time"/>
    <x v="0"/>
  </r>
  <r>
    <x v="99"/>
    <s v="LB"/>
    <s v="on 5/7/25 After Market Eastern Standard Time"/>
    <x v="0"/>
  </r>
  <r>
    <x v="99"/>
    <s v="RGLD"/>
    <s v="on 5/7/25 After Market Eastern Standard Time"/>
    <x v="2"/>
  </r>
  <r>
    <x v="99"/>
    <s v="FIP"/>
    <s v="on 5/7/25 After Market Eastern Standard Time"/>
    <x v="1"/>
  </r>
  <r>
    <x v="99"/>
    <s v="RDVT"/>
    <s v="on 5/7/25 After Market Eastern Standard Time"/>
    <x v="1"/>
  </r>
  <r>
    <x v="99"/>
    <s v="TRNO"/>
    <s v="on 5/7/25 After Market Eastern Standard Time"/>
    <x v="1"/>
  </r>
  <r>
    <x v="99"/>
    <s v="SPIR"/>
    <s v="on 5/7/25 After Market Eastern Standard Time"/>
    <x v="1"/>
  </r>
  <r>
    <x v="99"/>
    <s v="XPER"/>
    <s v="on 5/7/25 After Market Eastern Standard Time"/>
    <x v="1"/>
  </r>
  <r>
    <x v="99"/>
    <s v="FWRD"/>
    <s v="on 5/7/25 After Market Eastern Standard Time"/>
    <x v="1"/>
  </r>
  <r>
    <x v="99"/>
    <s v="IGMS"/>
    <s v="on 5/7/25 After Market Eastern Standard Time"/>
    <x v="0"/>
  </r>
  <r>
    <x v="99"/>
    <s v="SLRC"/>
    <s v="on 5/7/25 After Market Eastern Standard Time"/>
    <x v="0"/>
  </r>
  <r>
    <x v="99"/>
    <s v="NOA"/>
    <s v="on 5/7/25 After Market Eastern Standard Time"/>
    <x v="0"/>
  </r>
  <r>
    <x v="99"/>
    <s v="PAAS"/>
    <s v="on 5/7/25 After Market Eastern Standard Time"/>
    <x v="0"/>
  </r>
  <r>
    <x v="99"/>
    <s v="RNG"/>
    <s v="on 5/7/25 After Market Eastern Standard Time"/>
    <x v="0"/>
  </r>
  <r>
    <x v="99"/>
    <s v="ACNT"/>
    <s v="on 5/7/25 After Market Eastern Standard Time"/>
    <x v="0"/>
  </r>
  <r>
    <x v="99"/>
    <s v="TRIP"/>
    <s v="on 5/7/25 After Market Eastern Standard Time"/>
    <x v="0"/>
  </r>
  <r>
    <x v="99"/>
    <s v="ADPT"/>
    <s v="on 5/7/25 After Market Eastern Standard Time"/>
    <x v="1"/>
  </r>
  <r>
    <x v="99"/>
    <s v="STAA"/>
    <s v="on 5/7/25 After Market Eastern Standard Time"/>
    <x v="1"/>
  </r>
  <r>
    <x v="99"/>
    <s v="WHWK"/>
    <s v="on 5/7/25 After Market Eastern Standard Time"/>
    <x v="0"/>
  </r>
  <r>
    <x v="99"/>
    <s v="DHX"/>
    <s v="on 5/7/25 After Market Eastern Standard Time"/>
    <x v="0"/>
  </r>
  <r>
    <x v="99"/>
    <s v="AKA"/>
    <s v="on 5/7/25 After Market Eastern Standard Time"/>
    <x v="0"/>
  </r>
  <r>
    <x v="99"/>
    <s v="ADTN"/>
    <s v="on 5/7/25 After Market Eastern Standard Time"/>
    <x v="1"/>
  </r>
  <r>
    <x v="99"/>
    <s v="BIRD"/>
    <s v="on 5/7/25 After Market Eastern Standard Time"/>
    <x v="0"/>
  </r>
  <r>
    <x v="99"/>
    <s v="FSK"/>
    <s v="on 5/7/25 After Market Eastern Standard Time"/>
    <x v="0"/>
  </r>
  <r>
    <x v="99"/>
    <s v="HG"/>
    <s v="on 5/7/25 After Market Eastern Standard Time"/>
    <x v="1"/>
  </r>
  <r>
    <x v="99"/>
    <s v="GTBIF"/>
    <s v="on 5/7/25 After Market Eastern Standard Time"/>
    <x v="0"/>
  </r>
  <r>
    <x v="99"/>
    <s v="PAHC"/>
    <s v="on 5/7/25 After Market Eastern Standard Time"/>
    <x v="1"/>
  </r>
  <r>
    <x v="99"/>
    <s v="PCRX"/>
    <s v="on 5/7/25 After Market Eastern Standard Time"/>
    <x v="1"/>
  </r>
  <r>
    <x v="99"/>
    <s v="APP"/>
    <s v="on 5/7/25 After Market Eastern Standard Time"/>
    <x v="0"/>
  </r>
  <r>
    <x v="99"/>
    <s v="STR"/>
    <s v="on 5/7/25 After Market Eastern Standard Time"/>
    <x v="1"/>
  </r>
  <r>
    <x v="99"/>
    <s v="UGP"/>
    <s v="on 5/7/25 After Market Eastern Standard Time"/>
    <x v="0"/>
  </r>
  <r>
    <x v="99"/>
    <s v="CF"/>
    <s v="on 5/7/25 After Market Eastern Standard Time"/>
    <x v="3"/>
  </r>
  <r>
    <x v="99"/>
    <s v="MGNI"/>
    <s v="on 5/7/25 After Market Eastern Standard Time"/>
    <x v="1"/>
  </r>
  <r>
    <x v="99"/>
    <s v="IVR"/>
    <s v="on 5/7/25 After Market Eastern Standard Time"/>
    <x v="1"/>
  </r>
  <r>
    <x v="99"/>
    <s v="EZPW"/>
    <s v="on 5/7/25 After Market Eastern Standard Time"/>
    <x v="0"/>
  </r>
  <r>
    <x v="99"/>
    <s v="CW"/>
    <s v="on 5/7/25 After Market Eastern Standard Time"/>
    <x v="2"/>
  </r>
  <r>
    <x v="99"/>
    <s v="ATEC"/>
    <s v="on 5/7/25 After Market Eastern Standard Time"/>
    <x v="1"/>
  </r>
  <r>
    <x v="99"/>
    <s v="CENTA"/>
    <s v="on 5/7/25 After Market Eastern Standard Time"/>
    <x v="1"/>
  </r>
  <r>
    <x v="99"/>
    <s v="GSAT"/>
    <s v="on 5/7/25 After Market Eastern Standard Time"/>
    <x v="1"/>
  </r>
  <r>
    <x v="99"/>
    <s v="CYN"/>
    <s v="on 5/7/25 After Market Eastern Standard Time"/>
    <x v="0"/>
  </r>
  <r>
    <x v="99"/>
    <s v="CCRN"/>
    <s v="on 5/7/25 After Market Eastern Standard Time"/>
    <x v="1"/>
  </r>
  <r>
    <x v="99"/>
    <s v="VET"/>
    <s v="on 5/7/25 After Market Eastern Standard Time"/>
    <x v="0"/>
  </r>
  <r>
    <x v="99"/>
    <s v="INVA"/>
    <s v="on 5/7/25 After Market Eastern Standard Time"/>
    <x v="1"/>
  </r>
  <r>
    <x v="99"/>
    <s v="BHR"/>
    <s v="on 5/7/25 After Market Eastern Standard Time"/>
    <x v="1"/>
  </r>
  <r>
    <x v="99"/>
    <s v="CAKE"/>
    <s v="on 5/7/25 After Market Eastern Standard Time"/>
    <x v="1"/>
  </r>
  <r>
    <x v="99"/>
    <s v="DRCT"/>
    <s v="on 5/7/25 After Market Eastern Standard Time"/>
    <x v="0"/>
  </r>
  <r>
    <x v="99"/>
    <s v="LAB"/>
    <s v="on 5/7/25 After Market Eastern Standard Time"/>
    <x v="1"/>
  </r>
  <r>
    <x v="99"/>
    <s v="ZNTL"/>
    <s v="on 5/7/25 After Market Eastern Standard Time"/>
    <x v="0"/>
  </r>
  <r>
    <x v="99"/>
    <s v="LSF"/>
    <s v="on 5/7/25 After Market Eastern Standard Time"/>
    <x v="0"/>
  </r>
  <r>
    <x v="99"/>
    <s v="SKWD"/>
    <s v="on 5/7/25 After Market Eastern Standard Time"/>
    <x v="1"/>
  </r>
  <r>
    <x v="99"/>
    <s v="HLIO"/>
    <s v="on 5/7/25 After Market Eastern Standard Time"/>
    <x v="1"/>
  </r>
  <r>
    <x v="99"/>
    <s v="BV"/>
    <s v="on 5/7/25 After Market Eastern Standard Time"/>
    <x v="1"/>
  </r>
  <r>
    <x v="99"/>
    <s v="PRPL"/>
    <s v="on 5/7/25 After Market Eastern Standard Time"/>
    <x v="0"/>
  </r>
  <r>
    <x v="99"/>
    <s v="ORA"/>
    <s v="on 5/7/25 After Market Eastern Standard Time"/>
    <x v="1"/>
  </r>
  <r>
    <x v="99"/>
    <s v="EHAB"/>
    <s v="on 5/7/25 After Market Eastern Standard Time"/>
    <x v="1"/>
  </r>
  <r>
    <x v="99"/>
    <s v="CDLX"/>
    <s v="on 5/7/25 After Market Eastern Standard Time"/>
    <x v="0"/>
  </r>
  <r>
    <x v="99"/>
    <s v="ZIMV"/>
    <s v="on 5/7/25 After Market Eastern Standard Time"/>
    <x v="1"/>
  </r>
  <r>
    <x v="99"/>
    <s v="BLBD"/>
    <s v="on 5/7/25 After Market Eastern Standard Time"/>
    <x v="1"/>
  </r>
  <r>
    <x v="99"/>
    <s v="WYNN"/>
    <s v="on 5/7/25 After Market Eastern Standard Time"/>
    <x v="3"/>
  </r>
  <r>
    <x v="99"/>
    <s v="KVYO"/>
    <s v="on 5/7/25 After Market Eastern Standard Time"/>
    <x v="0"/>
  </r>
  <r>
    <x v="99"/>
    <s v="RXST"/>
    <s v="on 5/7/25 After Market Eastern Standard Time"/>
    <x v="1"/>
  </r>
  <r>
    <x v="100"/>
    <s v="PAR"/>
    <s v="on 5/8/25 Before Market Eastern Standard Time"/>
    <x v="1"/>
  </r>
  <r>
    <x v="100"/>
    <s v="FOX"/>
    <s v="on 5/8/25 Before Market Eastern Standard Time"/>
    <x v="3"/>
  </r>
  <r>
    <x v="100"/>
    <s v="ELAN"/>
    <s v="on 5/8/25 Before Market Eastern Standard Time"/>
    <x v="0"/>
  </r>
  <r>
    <x v="100"/>
    <s v="GTN"/>
    <s v="on 5/8/25 Before Market Eastern Standard Time"/>
    <x v="1"/>
  </r>
  <r>
    <x v="100"/>
    <s v="WVE"/>
    <s v="on 5/8/25 Before Market Eastern Standard Time"/>
    <x v="1"/>
  </r>
  <r>
    <x v="100"/>
    <s v="AXDX"/>
    <s v="on 5/8/25 Before Market Eastern Standard Time"/>
    <x v="0"/>
  </r>
  <r>
    <x v="100"/>
    <s v="BFS"/>
    <s v="on 5/8/25 Unspecified Eastern Standard Time"/>
    <x v="1"/>
  </r>
  <r>
    <x v="100"/>
    <s v="KYMR"/>
    <s v="on 5/8/25 Before Market Eastern Standard Time"/>
    <x v="1"/>
  </r>
  <r>
    <x v="100"/>
    <s v="IMKTA"/>
    <s v="on 5/8/25 Before Market Eastern Standard Time"/>
    <x v="1"/>
  </r>
  <r>
    <x v="100"/>
    <s v="FWONK"/>
    <s v="on 5/8/25 Before Market Eastern Standard Time"/>
    <x v="0"/>
  </r>
  <r>
    <x v="100"/>
    <s v="NTDOY"/>
    <s v="on 5/8/25 Unspecified Eastern Standard Time"/>
    <x v="0"/>
  </r>
  <r>
    <x v="100"/>
    <s v="KRP"/>
    <s v="on 5/8/25 Before Market Eastern Standard Time"/>
    <x v="0"/>
  </r>
  <r>
    <x v="100"/>
    <s v="MNTK"/>
    <s v="on 5/8/25 Before Market Eastern Standard Time"/>
    <x v="1"/>
  </r>
  <r>
    <x v="100"/>
    <s v="INTR"/>
    <s v="on 5/8/25 Before Market Eastern Standard Time"/>
    <x v="0"/>
  </r>
  <r>
    <x v="100"/>
    <s v="SPRY"/>
    <s v="on 5/8/25 Before Market Eastern Standard Time"/>
    <x v="1"/>
  </r>
  <r>
    <x v="100"/>
    <s v="KLTR"/>
    <s v="on 5/8/25 Before Market Eastern Standard Time"/>
    <x v="0"/>
  </r>
  <r>
    <x v="100"/>
    <s v="PLNT"/>
    <s v="on 5/8/25 Before Market Eastern Standard Time"/>
    <x v="2"/>
  </r>
  <r>
    <x v="100"/>
    <s v="IFNNY"/>
    <s v="on 5/8/25 Before Market Eastern Standard Time"/>
    <x v="0"/>
  </r>
  <r>
    <x v="100"/>
    <s v="IRWD"/>
    <s v="on 5/8/25 Before Market Eastern Standard Time"/>
    <x v="1"/>
  </r>
  <r>
    <x v="100"/>
    <s v="SABR"/>
    <s v="on 5/8/25 Before Market Eastern Standard Time"/>
    <x v="1"/>
  </r>
  <r>
    <x v="100"/>
    <s v="ANIP"/>
    <s v="on 5/8/25 Before Market Eastern Standard Time"/>
    <x v="1"/>
  </r>
  <r>
    <x v="100"/>
    <s v="ITUB"/>
    <s v="on 5/8/25 Unspecified Eastern Standard Time"/>
    <x v="0"/>
  </r>
  <r>
    <x v="100"/>
    <s v="HAE"/>
    <s v="on 5/8/25 Before Market Eastern Standard Time"/>
    <x v="1"/>
  </r>
  <r>
    <x v="100"/>
    <s v="AG"/>
    <s v="on 5/8/25 Before Market Eastern Standard Time"/>
    <x v="0"/>
  </r>
  <r>
    <x v="100"/>
    <s v="XMTR"/>
    <s v="on 5/8/25 Before Market Eastern Standard Time"/>
    <x v="1"/>
  </r>
  <r>
    <x v="100"/>
    <s v="QTTB"/>
    <s v="on 5/8/25 Before Market Eastern Standard Time"/>
    <x v="0"/>
  </r>
  <r>
    <x v="100"/>
    <s v="KPTI"/>
    <s v="on 5/8/25 Before Market Eastern Standard Time"/>
    <x v="0"/>
  </r>
  <r>
    <x v="100"/>
    <s v="PFX"/>
    <s v="on 5/8/25 Before Market Eastern Standard Time"/>
    <x v="0"/>
  </r>
  <r>
    <x v="100"/>
    <s v="YPF"/>
    <s v="on 5/8/25 Unspecified Eastern Standard Time"/>
    <x v="0"/>
  </r>
  <r>
    <x v="100"/>
    <s v="WD"/>
    <s v="on 5/8/25 Before Market Eastern Standard Time"/>
    <x v="1"/>
  </r>
  <r>
    <x v="100"/>
    <s v="IDA"/>
    <s v="on 5/8/25 Before Market Eastern Standard Time"/>
    <x v="2"/>
  </r>
  <r>
    <x v="100"/>
    <s v="AVAH"/>
    <s v="on 5/8/25 Before Market Eastern Standard Time"/>
    <x v="1"/>
  </r>
  <r>
    <x v="100"/>
    <s v="WRBY"/>
    <s v="on 5/8/25 Before Market Eastern Standard Time"/>
    <x v="1"/>
  </r>
  <r>
    <x v="100"/>
    <s v="BBGI"/>
    <s v="on 5/8/25 Before Market Eastern Standard Time"/>
    <x v="0"/>
  </r>
  <r>
    <x v="100"/>
    <s v="LOCL"/>
    <s v="on 5/8/25 Before Market Eastern Standard Time"/>
    <x v="0"/>
  </r>
  <r>
    <x v="100"/>
    <s v="DNUT"/>
    <s v="on 5/8/25 Before Market Eastern Standard Time"/>
    <x v="1"/>
  </r>
  <r>
    <x v="100"/>
    <s v="CCOI"/>
    <s v="on 5/8/25 Before Market Eastern Standard Time"/>
    <x v="1"/>
  </r>
  <r>
    <x v="100"/>
    <s v="INSM"/>
    <s v="on 5/8/25 Before Market Eastern Standard Time"/>
    <x v="1"/>
  </r>
  <r>
    <x v="100"/>
    <s v="SATS"/>
    <s v="on 5/8/25 Before Market Eastern Standard Time"/>
    <x v="1"/>
  </r>
  <r>
    <x v="100"/>
    <s v="BTSG"/>
    <s v="on 5/8/25 Before Market Eastern Standard Time"/>
    <x v="1"/>
  </r>
  <r>
    <x v="100"/>
    <s v="CEG"/>
    <s v="on 5/8/25 Before Market Eastern Standard Time"/>
    <x v="3"/>
  </r>
  <r>
    <x v="100"/>
    <s v="HHS"/>
    <s v="on 5/8/25 Before Market Eastern Standard Time"/>
    <x v="0"/>
  </r>
  <r>
    <x v="100"/>
    <s v="UP"/>
    <s v="on 5/8/25 Before Market Eastern Standard Time"/>
    <x v="1"/>
  </r>
  <r>
    <x v="100"/>
    <s v="FOUR"/>
    <s v="on 5/8/25 Before Market Eastern Standard Time"/>
    <x v="2"/>
  </r>
  <r>
    <x v="100"/>
    <s v="PRPH"/>
    <s v="on 5/8/25 Before Market Eastern Standard Time"/>
    <x v="0"/>
  </r>
  <r>
    <x v="100"/>
    <s v="BKTI"/>
    <s v="on 5/8/25 Before Market Eastern Standard Time"/>
    <x v="0"/>
  </r>
  <r>
    <x v="100"/>
    <s v="WTM"/>
    <s v="on 5/8/25 Before Market Eastern Standard Time"/>
    <x v="0"/>
  </r>
  <r>
    <x v="100"/>
    <s v="TRMD"/>
    <s v="on 5/8/25 Before Market Eastern Standard Time"/>
    <x v="0"/>
  </r>
  <r>
    <x v="100"/>
    <s v="ZURA"/>
    <s v="on 5/8/25 Before Market Eastern Standard Time"/>
    <x v="0"/>
  </r>
  <r>
    <x v="100"/>
    <s v="TGLS"/>
    <s v="on 5/8/25 Before Market Eastern Standard Time"/>
    <x v="1"/>
  </r>
  <r>
    <x v="100"/>
    <s v="VRNA"/>
    <s v="on 5/8/25 Before Market Eastern Standard Time"/>
    <x v="0"/>
  </r>
  <r>
    <x v="100"/>
    <s v="LNSR"/>
    <s v="on 5/8/25 Before Market Eastern Standard Time"/>
    <x v="0"/>
  </r>
  <r>
    <x v="100"/>
    <s v="CMPS"/>
    <s v="on 5/8/25 Before Market Eastern Standard Time"/>
    <x v="0"/>
  </r>
  <r>
    <x v="100"/>
    <s v="ARHS"/>
    <s v="on 5/8/25 Before Market Eastern Standard Time"/>
    <x v="1"/>
  </r>
  <r>
    <x v="100"/>
    <s v="PENN"/>
    <s v="on 5/8/25 Before Market Eastern Standard Time"/>
    <x v="0"/>
  </r>
  <r>
    <x v="100"/>
    <s v="MGTX"/>
    <s v="on 5/8/25 Before Market Eastern Standard Time"/>
    <x v="1"/>
  </r>
  <r>
    <x v="100"/>
    <s v="SVRA"/>
    <s v="on 5/8/25 Before Market Eastern Standard Time"/>
    <x v="1"/>
  </r>
  <r>
    <x v="100"/>
    <s v="AUPH"/>
    <s v="on 5/8/25 Before Market Eastern Standard Time"/>
    <x v="1"/>
  </r>
  <r>
    <x v="100"/>
    <s v="BLUE"/>
    <s v="on 5/8/25 Before Market Eastern Standard Time"/>
    <x v="0"/>
  </r>
  <r>
    <x v="100"/>
    <s v="MAGN"/>
    <s v="on 5/8/25 Before Market Eastern Standard Time"/>
    <x v="0"/>
  </r>
  <r>
    <x v="100"/>
    <s v="LRMR"/>
    <s v="on 5/8/25 Before Market Eastern Standard Time"/>
    <x v="1"/>
  </r>
  <r>
    <x v="100"/>
    <s v="DTC"/>
    <s v="on 5/8/25 Before Market Eastern Standard Time"/>
    <x v="0"/>
  </r>
  <r>
    <x v="100"/>
    <s v="PZZA"/>
    <s v="on 5/8/25 Before Market Eastern Standard Time"/>
    <x v="1"/>
  </r>
  <r>
    <x v="100"/>
    <s v="ENLAY"/>
    <s v="on 5/8/25 Unspecified Eastern Standard Time"/>
    <x v="0"/>
  </r>
  <r>
    <x v="100"/>
    <s v="CQP"/>
    <s v="on 5/8/25 Before Market Eastern Standard Time"/>
    <x v="0"/>
  </r>
  <r>
    <x v="100"/>
    <s v="VTRS"/>
    <s v="on 5/8/25 Before Market Eastern Standard Time"/>
    <x v="3"/>
  </r>
  <r>
    <x v="100"/>
    <s v="SBH"/>
    <s v="on 5/8/25 Before Market Eastern Standard Time"/>
    <x v="1"/>
  </r>
  <r>
    <x v="100"/>
    <s v="EPC"/>
    <s v="on 5/8/25 Before Market Eastern Standard Time"/>
    <x v="1"/>
  </r>
  <r>
    <x v="100"/>
    <s v="VG"/>
    <s v="on 5/8/25 Before Market Eastern Standard Time"/>
    <x v="0"/>
  </r>
  <r>
    <x v="100"/>
    <s v="SNDX"/>
    <s v="on 5/8/25 Before Market Eastern Standard Time"/>
    <x v="1"/>
  </r>
  <r>
    <x v="100"/>
    <s v="VYX"/>
    <s v="on 5/8/25 Before Market Eastern Standard Time"/>
    <x v="1"/>
  </r>
  <r>
    <x v="100"/>
    <s v="MHLD"/>
    <s v="on 5/8/25 Before Market Eastern Standard Time"/>
    <x v="0"/>
  </r>
  <r>
    <x v="100"/>
    <s v="TTSH"/>
    <s v="on 5/8/25 Before Market Eastern Standard Time"/>
    <x v="0"/>
  </r>
  <r>
    <x v="100"/>
    <s v="ADV"/>
    <s v="on 5/8/25 Before Market Eastern Standard Time"/>
    <x v="1"/>
  </r>
  <r>
    <x v="100"/>
    <s v="NXST"/>
    <s v="on 5/8/25 Before Market Eastern Standard Time"/>
    <x v="2"/>
  </r>
  <r>
    <x v="100"/>
    <s v="EWTX"/>
    <s v="on 5/8/25 Before Market Eastern Standard Time"/>
    <x v="1"/>
  </r>
  <r>
    <x v="100"/>
    <s v="IBRX"/>
    <s v="on 5/8/25 Before Market Eastern Standard Time"/>
    <x v="1"/>
  </r>
  <r>
    <x v="100"/>
    <s v="FVRR"/>
    <s v="on 5/8/25 Before Market Eastern Standard Time"/>
    <x v="0"/>
  </r>
  <r>
    <x v="100"/>
    <s v="CRIS"/>
    <s v="on 5/8/25 Before Market Eastern Standard Time"/>
    <x v="0"/>
  </r>
  <r>
    <x v="100"/>
    <s v="TGTX"/>
    <s v="on 5/8/25 Before Market Eastern Standard Time"/>
    <x v="1"/>
  </r>
  <r>
    <x v="100"/>
    <s v="TSQ"/>
    <s v="on 5/8/25 Before Market Eastern Standard Time"/>
    <x v="0"/>
  </r>
  <r>
    <x v="100"/>
    <s v="MLYS"/>
    <s v="on 5/8/25 Unspecified Eastern Standard Time"/>
    <x v="1"/>
  </r>
  <r>
    <x v="100"/>
    <s v="EWCZ"/>
    <s v="on 5/8/25 Before Market Eastern Standard Time"/>
    <x v="1"/>
  </r>
  <r>
    <x v="100"/>
    <s v="BCYC"/>
    <s v="on 5/8/25 Before Market Eastern Standard Time"/>
    <x v="0"/>
  </r>
  <r>
    <x v="100"/>
    <s v="FUJIY"/>
    <s v="on 5/8/25 Unspecified Eastern Standard Time"/>
    <x v="0"/>
  </r>
  <r>
    <x v="100"/>
    <s v="KELYB"/>
    <s v="on 5/8/25 Before Market Eastern Standard Time"/>
    <x v="0"/>
  </r>
  <r>
    <x v="100"/>
    <s v="CIG"/>
    <s v="on 5/8/25 Unspecified Eastern Standard Time"/>
    <x v="0"/>
  </r>
  <r>
    <x v="100"/>
    <s v="IBP"/>
    <s v="on 5/8/25 Before Market Eastern Standard Time"/>
    <x v="1"/>
  </r>
  <r>
    <x v="100"/>
    <s v="NTCT"/>
    <s v="on 5/8/25 Before Market Eastern Standard Time"/>
    <x v="1"/>
  </r>
  <r>
    <x v="100"/>
    <s v="RPRX"/>
    <s v="on 5/8/25 Before Market Eastern Standard Time"/>
    <x v="0"/>
  </r>
  <r>
    <x v="100"/>
    <s v="RLYB"/>
    <s v="on 5/8/25 Before Market Eastern Standard Time"/>
    <x v="0"/>
  </r>
  <r>
    <x v="100"/>
    <s v="ACRE"/>
    <s v="on 5/8/25 Before Market Eastern Standard Time"/>
    <x v="1"/>
  </r>
  <r>
    <x v="100"/>
    <s v="IRON"/>
    <s v="on 5/8/25 Before Market Eastern Standard Time"/>
    <x v="1"/>
  </r>
  <r>
    <x v="100"/>
    <s v="QSR"/>
    <s v="on 5/8/25 Before Market Eastern Standard Time"/>
    <x v="0"/>
  </r>
  <r>
    <x v="100"/>
    <s v="JBI"/>
    <s v="on 5/8/25 Before Market Eastern Standard Time"/>
    <x v="1"/>
  </r>
  <r>
    <x v="100"/>
    <s v="XNCR"/>
    <s v="on 5/8/25 Before Market Eastern Standard Time"/>
    <x v="1"/>
  </r>
  <r>
    <x v="100"/>
    <s v="HII"/>
    <s v="on 5/8/25 Before Market Eastern Standard Time"/>
    <x v="3"/>
  </r>
  <r>
    <x v="100"/>
    <s v="ETON"/>
    <s v="on 5/8/25 Before Market Eastern Standard Time"/>
    <x v="0"/>
  </r>
  <r>
    <x v="100"/>
    <s v="PHAT"/>
    <s v="on 5/8/25 Before Market Eastern Standard Time"/>
    <x v="1"/>
  </r>
  <r>
    <x v="100"/>
    <s v="LQDT"/>
    <s v="on 5/8/25 Before Market Eastern Standard Time"/>
    <x v="1"/>
  </r>
  <r>
    <x v="100"/>
    <s v="TRGP"/>
    <s v="on 5/8/25 Before Market Eastern Standard Time"/>
    <x v="3"/>
  </r>
  <r>
    <x v="100"/>
    <s v="ATXS"/>
    <s v="on 5/8/25 Before Market Eastern Standard Time"/>
    <x v="1"/>
  </r>
  <r>
    <x v="100"/>
    <s v="BTAI"/>
    <s v="on 5/8/25 Before Market Eastern Standard Time"/>
    <x v="0"/>
  </r>
  <r>
    <x v="100"/>
    <s v="EPAM"/>
    <s v="on 5/8/25 Before Market Eastern Standard Time"/>
    <x v="3"/>
  </r>
  <r>
    <x v="100"/>
    <s v="ABEV"/>
    <s v="on 5/8/25 Before Market Eastern Standard Time"/>
    <x v="0"/>
  </r>
  <r>
    <x v="100"/>
    <s v="LCUT"/>
    <s v="on 5/8/25 Before Market Eastern Standard Time"/>
    <x v="0"/>
  </r>
  <r>
    <x v="100"/>
    <s v="PTON"/>
    <s v="on 5/8/25 Before Market Eastern Standard Time"/>
    <x v="1"/>
  </r>
  <r>
    <x v="100"/>
    <s v="SN"/>
    <s v="on 5/8/25 Before Market Eastern Standard Time"/>
    <x v="0"/>
  </r>
  <r>
    <x v="100"/>
    <s v="CAMT"/>
    <s v="on 5/8/25 Before Market Eastern Standard Time"/>
    <x v="0"/>
  </r>
  <r>
    <x v="100"/>
    <s v="DCO"/>
    <s v="on 5/8/25 Before Market Eastern Standard Time"/>
    <x v="1"/>
  </r>
  <r>
    <x v="100"/>
    <s v="KELYA"/>
    <s v="on 5/8/25 Before Market Eastern Standard Time"/>
    <x v="1"/>
  </r>
  <r>
    <x v="100"/>
    <s v="VITL"/>
    <s v="on 5/8/25 Before Market Eastern Standard Time"/>
    <x v="1"/>
  </r>
  <r>
    <x v="100"/>
    <s v="FFNW"/>
    <s v="on 5/8/25 Before Market Eastern Standard Time"/>
    <x v="0"/>
  </r>
  <r>
    <x v="100"/>
    <s v="OB"/>
    <s v="on 5/8/25 Before Market Eastern Standard Time"/>
    <x v="1"/>
  </r>
  <r>
    <x v="100"/>
    <s v="TARS"/>
    <s v="on 5/8/25 Before Market Eastern Standard Time"/>
    <x v="1"/>
  </r>
  <r>
    <x v="100"/>
    <s v="MBX"/>
    <s v="on 5/8/25 Before Market Eastern Standard Time"/>
    <x v="0"/>
  </r>
  <r>
    <x v="100"/>
    <s v="GDRX"/>
    <s v="on 5/8/25 Before Market Eastern Standard Time"/>
    <x v="0"/>
  </r>
  <r>
    <x v="100"/>
    <s v="NRP"/>
    <s v="on 5/8/25 Before Market Eastern Standard Time"/>
    <x v="0"/>
  </r>
  <r>
    <x v="100"/>
    <s v="SPPJY"/>
    <s v="on 5/8/25 Before Market Eastern Standard Time"/>
    <x v="0"/>
  </r>
  <r>
    <x v="100"/>
    <s v="WFCF"/>
    <s v="on 5/8/25 Before Market Eastern Standard Time"/>
    <x v="0"/>
  </r>
  <r>
    <x v="100"/>
    <s v="CARS"/>
    <s v="on 5/8/25 Before Market Eastern Standard Time"/>
    <x v="1"/>
  </r>
  <r>
    <x v="100"/>
    <s v="SOBKY"/>
    <s v="on 5/8/25 Unspecified Eastern Standard Time"/>
    <x v="0"/>
  </r>
  <r>
    <x v="100"/>
    <s v="NABL"/>
    <s v="on 5/8/25 Before Market Eastern Standard Time"/>
    <x v="1"/>
  </r>
  <r>
    <x v="100"/>
    <s v="GENI"/>
    <s v="on 5/8/25 Before Market Eastern Standard Time"/>
    <x v="0"/>
  </r>
  <r>
    <x v="100"/>
    <s v="IAS"/>
    <s v="on 5/8/25 Before Market Eastern Standard Time"/>
    <x v="1"/>
  </r>
  <r>
    <x v="100"/>
    <s v="GOCO"/>
    <s v="on 5/8/25 Before Market Eastern Standard Time"/>
    <x v="0"/>
  </r>
  <r>
    <x v="100"/>
    <s v="FUN"/>
    <s v="on 5/8/25 Before Market Eastern Standard Time"/>
    <x v="1"/>
  </r>
  <r>
    <x v="100"/>
    <s v="CROX"/>
    <s v="on 5/8/25 Before Market Eastern Standard Time"/>
    <x v="2"/>
  </r>
  <r>
    <x v="100"/>
    <s v="AMLX"/>
    <s v="on 5/8/25 Before Market Eastern Standard Time"/>
    <x v="0"/>
  </r>
  <r>
    <x v="100"/>
    <s v="LAMR"/>
    <s v="on 5/8/25 Before Market Eastern Standard Time"/>
    <x v="2"/>
  </r>
  <r>
    <x v="100"/>
    <s v="ZBIO"/>
    <s v="on 5/8/25 Before Market Eastern Standard Time"/>
    <x v="0"/>
  </r>
  <r>
    <x v="100"/>
    <s v="IE"/>
    <s v="on 5/8/25 Before Market Eastern Standard Time"/>
    <x v="1"/>
  </r>
  <r>
    <x v="100"/>
    <s v="CIM"/>
    <s v="on 5/8/25 Before Market Eastern Standard Time"/>
    <x v="1"/>
  </r>
  <r>
    <x v="100"/>
    <s v="TE"/>
    <s v="on 5/8/25 Before Market Eastern Standard Time"/>
    <x v="0"/>
  </r>
  <r>
    <x v="100"/>
    <s v="TIXT"/>
    <s v="on 5/8/25 Before Market Eastern Standard Time"/>
    <x v="0"/>
  </r>
  <r>
    <x v="100"/>
    <s v="OSS"/>
    <s v="on 5/8/25 Before Market Eastern Standard Time"/>
    <x v="0"/>
  </r>
  <r>
    <x v="100"/>
    <s v="PROK"/>
    <s v="on 5/8/25 Before Market Eastern Standard Time"/>
    <x v="1"/>
  </r>
  <r>
    <x v="100"/>
    <s v="TGNA"/>
    <s v="on 5/8/25 Before Market Eastern Standard Time"/>
    <x v="1"/>
  </r>
  <r>
    <x v="100"/>
    <s v="RXRX"/>
    <s v="on 5/8/25 Before Market Eastern Standard Time"/>
    <x v="1"/>
  </r>
  <r>
    <x v="100"/>
    <s v="IMOS"/>
    <s v="on 5/8/25 Before Market Eastern Standard Time"/>
    <x v="0"/>
  </r>
  <r>
    <x v="100"/>
    <s v="SNDA"/>
    <s v="on 5/8/25 Before Market Eastern Standard Time"/>
    <x v="0"/>
  </r>
  <r>
    <x v="100"/>
    <s v="XERS"/>
    <s v="on 5/8/25 Before Market Eastern Standard Time"/>
    <x v="1"/>
  </r>
  <r>
    <x v="100"/>
    <s v="THRY"/>
    <s v="on 5/8/25 Before Market Eastern Standard Time"/>
    <x v="1"/>
  </r>
  <r>
    <x v="100"/>
    <s v="TPR"/>
    <s v="on 5/8/25 Before Market Eastern Standard Time"/>
    <x v="3"/>
  </r>
  <r>
    <x v="100"/>
    <s v="CWEN"/>
    <s v="on 5/8/25 Before Market Eastern Standard Time"/>
    <x v="0"/>
  </r>
  <r>
    <x v="100"/>
    <s v="BUD"/>
    <s v="on 5/8/25 Before Market Eastern Standard Time"/>
    <x v="0"/>
  </r>
  <r>
    <x v="100"/>
    <s v="LEE"/>
    <s v="on 5/8/25 Before Market Eastern Standard Time"/>
    <x v="0"/>
  </r>
  <r>
    <x v="100"/>
    <s v="ACHV"/>
    <s v="on 5/8/25 Before Market Eastern Standard Time"/>
    <x v="0"/>
  </r>
  <r>
    <x v="100"/>
    <s v="PET"/>
    <s v="on 5/8/25 Before Market Eastern Standard Time"/>
    <x v="0"/>
  </r>
  <r>
    <x v="100"/>
    <s v="CSIQ"/>
    <s v="on 5/8/25 Before Market Eastern Standard Time"/>
    <x v="0"/>
  </r>
  <r>
    <x v="100"/>
    <s v="ONC"/>
    <s v="on 5/8/25 Before Market Eastern Standard Time"/>
    <x v="0"/>
  </r>
  <r>
    <x v="100"/>
    <s v="EDR"/>
    <s v="on 5/8/25 Before Market Eastern Standard Time"/>
    <x v="0"/>
  </r>
  <r>
    <x v="100"/>
    <s v="UPLD"/>
    <s v="on 5/8/25 Before Market Eastern Standard Time"/>
    <x v="0"/>
  </r>
  <r>
    <x v="100"/>
    <s v="FOXA"/>
    <s v="on 5/8/25 Before Market Eastern Standard Time"/>
    <x v="3"/>
  </r>
  <r>
    <x v="100"/>
    <s v="SION"/>
    <s v="on 5/8/25 Before Market Eastern Standard Time"/>
    <x v="0"/>
  </r>
  <r>
    <x v="100"/>
    <s v="EXK"/>
    <s v="on 5/8/25 Before Market Eastern Standard Time"/>
    <x v="0"/>
  </r>
  <r>
    <x v="100"/>
    <s v="GMAB"/>
    <s v="on 5/8/25 Unspecified Eastern Standard Time"/>
    <x v="0"/>
  </r>
  <r>
    <x v="100"/>
    <s v="ILLM"/>
    <s v="on 5/8/25 Before Market Eastern Standard Time"/>
    <x v="0"/>
  </r>
  <r>
    <x v="100"/>
    <s v="FWONA"/>
    <s v="on 5/8/25 Before Market Eastern Standard Time"/>
    <x v="0"/>
  </r>
  <r>
    <x v="100"/>
    <s v="INSE"/>
    <s v="on 5/8/25 Before Market Eastern Standard Time"/>
    <x v="1"/>
  </r>
  <r>
    <x v="100"/>
    <s v="MIDD"/>
    <s v="on 5/8/25 Before Market Eastern Standard Time"/>
    <x v="2"/>
  </r>
  <r>
    <x v="100"/>
    <s v="PMVP"/>
    <s v="on 5/8/25 Before Market Eastern Standard Time"/>
    <x v="0"/>
  </r>
  <r>
    <x v="100"/>
    <s v="BERY"/>
    <s v="on 5/8/25 Before Market Eastern Standard Time"/>
    <x v="2"/>
  </r>
  <r>
    <x v="100"/>
    <s v="ONCY"/>
    <s v="on 5/8/25 Before Market Eastern Standard Time"/>
    <x v="0"/>
  </r>
  <r>
    <x v="100"/>
    <s v="CPPCY"/>
    <s v="on 5/8/25 Unspecified Eastern Standard Time"/>
    <x v="0"/>
  </r>
  <r>
    <x v="100"/>
    <s v="XRAY"/>
    <s v="on 5/8/25 Before Market Eastern Standard Time"/>
    <x v="2"/>
  </r>
  <r>
    <x v="100"/>
    <s v="PLX"/>
    <s v="on 5/8/25 Before Market Eastern Standard Time"/>
    <x v="0"/>
  </r>
  <r>
    <x v="100"/>
    <s v="TAP"/>
    <s v="on 5/8/25 Before Market Eastern Standard Time"/>
    <x v="3"/>
  </r>
  <r>
    <x v="100"/>
    <s v="HBI"/>
    <s v="on 5/8/25 Before Market Eastern Standard Time"/>
    <x v="1"/>
  </r>
  <r>
    <x v="100"/>
    <s v="OCS"/>
    <s v="on 5/8/25 Unspecified Eastern Standard Time"/>
    <x v="0"/>
  </r>
  <r>
    <x v="100"/>
    <s v="MSGE"/>
    <s v="on 5/8/25 Before Market Eastern Standard Time"/>
    <x v="1"/>
  </r>
  <r>
    <x v="100"/>
    <s v="HIMX"/>
    <s v="on 5/8/25 Before Market Eastern Standard Time"/>
    <x v="0"/>
  </r>
  <r>
    <x v="100"/>
    <s v="APPN"/>
    <s v="on 5/8/25 Before Market Eastern Standard Time"/>
    <x v="1"/>
  </r>
  <r>
    <x v="100"/>
    <s v="PRVA"/>
    <s v="on 5/8/25 Before Market Eastern Standard Time"/>
    <x v="1"/>
  </r>
  <r>
    <x v="100"/>
    <s v="NOMD"/>
    <s v="on 5/8/25 Before Market Eastern Standard Time"/>
    <x v="0"/>
  </r>
  <r>
    <x v="100"/>
    <s v="BLFS"/>
    <s v="on 5/8/25 Before Market Eastern Standard Time"/>
    <x v="1"/>
  </r>
  <r>
    <x v="100"/>
    <s v="PGY"/>
    <s v="on 5/8/25 Before Market Eastern Standard Time"/>
    <x v="1"/>
  </r>
  <r>
    <x v="100"/>
    <s v="FWONB"/>
    <s v="on 5/8/25 Before Market Eastern Standard Time"/>
    <x v="0"/>
  </r>
  <r>
    <x v="100"/>
    <s v="SCMWY"/>
    <s v="on 5/8/25 Before Market Eastern Standard Time"/>
    <x v="0"/>
  </r>
  <r>
    <x v="100"/>
    <s v="INSW"/>
    <s v="on 5/8/25 Before Market Eastern Standard Time"/>
    <x v="1"/>
  </r>
  <r>
    <x v="100"/>
    <s v="BBXIA"/>
    <s v="on 5/8/25 Before Market Eastern Standard Time"/>
    <x v="0"/>
  </r>
  <r>
    <x v="100"/>
    <s v="VERA"/>
    <s v="on 5/8/25 Before Market Eastern Standard Time"/>
    <x v="1"/>
  </r>
  <r>
    <x v="100"/>
    <s v="MITEY"/>
    <s v="on 5/8/25 Unspecified Eastern Standard Time"/>
    <x v="0"/>
  </r>
  <r>
    <x v="100"/>
    <s v="CRMD"/>
    <s v="on 5/8/25 Before Market Eastern Standard Time"/>
    <x v="1"/>
  </r>
  <r>
    <x v="100"/>
    <s v="DBSDY"/>
    <s v="on 5/8/25 Unspecified Eastern Standard Time"/>
    <x v="0"/>
  </r>
  <r>
    <x v="100"/>
    <s v="ACIW"/>
    <s v="on 5/8/25 Before Market Eastern Standard Time"/>
    <x v="1"/>
  </r>
  <r>
    <x v="100"/>
    <s v="NUVL"/>
    <s v="on 5/8/25 Before Market Eastern Standard Time"/>
    <x v="1"/>
  </r>
  <r>
    <x v="100"/>
    <s v="SPHR"/>
    <s v="on 5/8/25 Before Market Eastern Standard Time"/>
    <x v="1"/>
  </r>
  <r>
    <x v="100"/>
    <s v="ACMR"/>
    <s v="on 5/8/25 Before Market Eastern Standard Time"/>
    <x v="1"/>
  </r>
  <r>
    <x v="100"/>
    <s v="LNC"/>
    <s v="on 5/8/25 Before Market Eastern Standard Time"/>
    <x v="0"/>
  </r>
  <r>
    <x v="100"/>
    <s v="DNB"/>
    <s v="on 5/8/25 Before Market Eastern Standard Time"/>
    <x v="0"/>
  </r>
  <r>
    <x v="100"/>
    <s v="TU"/>
    <s v="on 5/8/25 Before Market Eastern Standard Time"/>
    <x v="0"/>
  </r>
  <r>
    <x v="100"/>
    <s v="GRVY"/>
    <s v="on 5/8/25 Before Market Eastern Standard Time"/>
    <x v="0"/>
  </r>
  <r>
    <x v="100"/>
    <s v="BCE"/>
    <s v="on 5/8/25 Before Market Eastern Standard Time"/>
    <x v="0"/>
  </r>
  <r>
    <x v="100"/>
    <s v="RAPT"/>
    <s v="on 5/8/25 Before Market Eastern Standard Time"/>
    <x v="0"/>
  </r>
  <r>
    <x v="100"/>
    <s v="APYX"/>
    <s v="on 5/8/25 Before Market Eastern Standard Time"/>
    <x v="0"/>
  </r>
  <r>
    <x v="100"/>
    <s v="WBX"/>
    <s v="on 5/8/25 Before Market Eastern Standard Time"/>
    <x v="0"/>
  </r>
  <r>
    <x v="100"/>
    <s v="ARGX"/>
    <s v="on 5/8/25 Before Market Eastern Standard Time"/>
    <x v="0"/>
  </r>
  <r>
    <x v="100"/>
    <s v="SUNS"/>
    <s v="on 5/8/25 Before Market Eastern Standard Time"/>
    <x v="0"/>
  </r>
  <r>
    <x v="100"/>
    <s v="LXEO"/>
    <s v="on 5/8/25 Before Market Eastern Standard Time"/>
    <x v="0"/>
  </r>
  <r>
    <x v="100"/>
    <s v="RC"/>
    <s v="on 5/8/25 Before Market Eastern Standard Time"/>
    <x v="1"/>
  </r>
  <r>
    <x v="100"/>
    <s v="ITCI"/>
    <s v="on 5/8/25 Before Market Eastern Standard Time"/>
    <x v="0"/>
  </r>
  <r>
    <x v="100"/>
    <s v="DOUG"/>
    <s v="on 5/8/25 Before Market Eastern Standard Time"/>
    <x v="0"/>
  </r>
  <r>
    <x v="100"/>
    <s v="AKBA"/>
    <s v="on 5/8/25 Before Market Eastern Standard Time"/>
    <x v="1"/>
  </r>
  <r>
    <x v="100"/>
    <s v="WRLD"/>
    <s v="on 5/8/25 Before Market Eastern Standard Time"/>
    <x v="1"/>
  </r>
  <r>
    <x v="100"/>
    <s v="USFD"/>
    <s v="on 5/8/25 Before Market Eastern Standard Time"/>
    <x v="2"/>
  </r>
  <r>
    <x v="100"/>
    <s v="ALE"/>
    <s v="on 5/8/25 Before Market Eastern Standard Time"/>
    <x v="1"/>
  </r>
  <r>
    <x v="100"/>
    <s v="TIGO"/>
    <s v="on 5/8/25 Before Market Eastern Standard Time"/>
    <x v="0"/>
  </r>
  <r>
    <x v="100"/>
    <s v="DWTX"/>
    <s v="on 5/8/25 Before Market Eastern Standard Time"/>
    <x v="0"/>
  </r>
  <r>
    <x v="100"/>
    <s v="NAMS"/>
    <s v="on 5/8/25 Before Market Eastern Standard Time"/>
    <x v="0"/>
  </r>
  <r>
    <x v="100"/>
    <s v="IVVD"/>
    <s v="on 5/8/25 Before Market Eastern Standard Time"/>
    <x v="0"/>
  </r>
  <r>
    <x v="100"/>
    <s v="CBL"/>
    <s v="on 5/8/25 Before Market Eastern Standard Time"/>
    <x v="1"/>
  </r>
  <r>
    <x v="100"/>
    <s v="BRDG"/>
    <s v="on 5/8/25 Before Market Eastern Standard Time"/>
    <x v="0"/>
  </r>
  <r>
    <x v="100"/>
    <s v="TAK"/>
    <s v="on 5/8/25 Before Market Eastern Standard Time"/>
    <x v="0"/>
  </r>
  <r>
    <x v="100"/>
    <s v="COLD"/>
    <s v="on 5/8/25 Before Market Eastern Standard Time"/>
    <x v="0"/>
  </r>
  <r>
    <x v="100"/>
    <s v="TM"/>
    <s v="on 5/8/25 Before Market Eastern Standard Time"/>
    <x v="0"/>
  </r>
  <r>
    <x v="100"/>
    <s v="SWTX"/>
    <s v="on 5/8/25 Before Market Eastern Standard Time"/>
    <x v="1"/>
  </r>
  <r>
    <x v="100"/>
    <s v="TSEM"/>
    <s v="on 5/8/25 Before Market Eastern Standard Time"/>
    <x v="0"/>
  </r>
  <r>
    <x v="100"/>
    <s v="FA"/>
    <s v="on 5/8/25 Before Market Eastern Standard Time"/>
    <x v="1"/>
  </r>
  <r>
    <x v="100"/>
    <s v="HENKY"/>
    <s v="on 5/8/25 Unspecified Eastern Standard Time"/>
    <x v="0"/>
  </r>
  <r>
    <x v="100"/>
    <s v="SPH"/>
    <s v="on 5/8/25 Before Market Eastern Standard Time"/>
    <x v="0"/>
  </r>
  <r>
    <x v="100"/>
    <s v="ATUS"/>
    <s v="on 5/8/25 Before Market Eastern Standard Time"/>
    <x v="0"/>
  </r>
  <r>
    <x v="100"/>
    <s v="KAOOY"/>
    <s v="on 5/8/25 Unspecified Eastern Standard Time"/>
    <x v="0"/>
  </r>
  <r>
    <x v="100"/>
    <s v="TIL"/>
    <s v="on 5/8/25 Before Market Eastern Standard Time"/>
    <x v="0"/>
  </r>
  <r>
    <x v="100"/>
    <s v="PLL"/>
    <s v="on 5/8/25 Before Market Eastern Standard Time"/>
    <x v="1"/>
  </r>
  <r>
    <x v="100"/>
    <s v="KZR"/>
    <s v="on 5/8/25 Before Market Eastern Standard Time"/>
    <x v="0"/>
  </r>
  <r>
    <x v="100"/>
    <s v="FOLD"/>
    <s v="on 5/8/25 Before Market Eastern Standard Time"/>
    <x v="1"/>
  </r>
  <r>
    <x v="100"/>
    <s v="ASAIY"/>
    <s v="on 5/8/25 Unspecified Eastern Standard Time"/>
    <x v="0"/>
  </r>
  <r>
    <x v="100"/>
    <s v="STVN"/>
    <s v="on 5/8/25 Before Market Eastern Standard Time"/>
    <x v="0"/>
  </r>
  <r>
    <x v="100"/>
    <s v="SLVM"/>
    <s v="on 5/8/25 Before Market Eastern Standard Time"/>
    <x v="1"/>
  </r>
  <r>
    <x v="100"/>
    <s v="PRM"/>
    <s v="on 5/8/25 Before Market Eastern Standard Time"/>
    <x v="1"/>
  </r>
  <r>
    <x v="100"/>
    <s v="LFST"/>
    <s v="on 5/8/25 Before Market Eastern Standard Time"/>
    <x v="1"/>
  </r>
  <r>
    <x v="100"/>
    <s v="VERV"/>
    <s v="on 5/8/25 Before Market Eastern Standard Time"/>
    <x v="1"/>
  </r>
  <r>
    <x v="100"/>
    <s v="TG"/>
    <s v="on 5/8/25 Before Market Eastern Standard Time"/>
    <x v="1"/>
  </r>
  <r>
    <x v="100"/>
    <s v="MPLN"/>
    <s v="on 5/8/25 Before Market Eastern Standard Time"/>
    <x v="0"/>
  </r>
  <r>
    <x v="100"/>
    <s v="GLP"/>
    <s v="on 5/8/25 Before Market Eastern Standard Time"/>
    <x v="0"/>
  </r>
  <r>
    <x v="100"/>
    <s v="PRTH"/>
    <s v="on 5/8/25 Before Market Eastern Standard Time"/>
    <x v="0"/>
  </r>
  <r>
    <x v="100"/>
    <s v="BIGC"/>
    <s v="on 5/8/25 Before Market Eastern Standard Time"/>
    <x v="1"/>
  </r>
  <r>
    <x v="100"/>
    <s v="YETI"/>
    <s v="on 5/8/25 Before Market Eastern Standard Time"/>
    <x v="2"/>
  </r>
  <r>
    <x v="100"/>
    <s v="CGON"/>
    <s v="on 5/8/25 Before Market Eastern Standard Time"/>
    <x v="1"/>
  </r>
  <r>
    <x v="100"/>
    <s v="NVMI"/>
    <s v="on 5/8/25 Before Market Eastern Standard Time"/>
    <x v="0"/>
  </r>
  <r>
    <x v="100"/>
    <s v="WBD"/>
    <s v="on 5/8/25 Before Market Eastern Standard Time"/>
    <x v="3"/>
  </r>
  <r>
    <x v="100"/>
    <s v="DKILY"/>
    <s v="on 5/8/25 Unspecified Eastern Standard Time"/>
    <x v="0"/>
  </r>
  <r>
    <x v="100"/>
    <s v="UWMC"/>
    <s v="on 5/8/25 Before Market Eastern Standard Time"/>
    <x v="0"/>
  </r>
  <r>
    <x v="100"/>
    <s v="CRON"/>
    <s v="on 5/8/25 Before Market Eastern Standard Time"/>
    <x v="0"/>
  </r>
  <r>
    <x v="100"/>
    <s v="AAMI"/>
    <s v="on 5/8/25 Before Market Eastern Standard Time"/>
    <x v="0"/>
  </r>
  <r>
    <x v="100"/>
    <s v="PLTK"/>
    <s v="on 5/8/25 Before Market Eastern Standard Time"/>
    <x v="0"/>
  </r>
  <r>
    <x v="100"/>
    <s v="INFU"/>
    <s v="on 5/8/25 Before Market Eastern Standard Time"/>
    <x v="0"/>
  </r>
  <r>
    <x v="100"/>
    <s v="COP"/>
    <s v="on 5/8/25 Before Market Eastern Standard Time"/>
    <x v="3"/>
  </r>
  <r>
    <x v="100"/>
    <s v="ALGM"/>
    <s v="on 5/8/25 Before Market Eastern Standard Time"/>
    <x v="2"/>
  </r>
  <r>
    <x v="100"/>
    <s v="LNG"/>
    <s v="on 5/8/25 Before Market Eastern Standard Time"/>
    <x v="0"/>
  </r>
  <r>
    <x v="100"/>
    <s v="TLS"/>
    <s v="on 5/8/25 Before Market Eastern Standard Time"/>
    <x v="1"/>
  </r>
  <r>
    <x v="100"/>
    <s v="CBSTF"/>
    <s v="on 5/8/25 Before Market Eastern Standard Time"/>
    <x v="0"/>
  </r>
  <r>
    <x v="100"/>
    <s v="IRD"/>
    <s v="on 5/8/25 Before Market Eastern Standard Time"/>
    <x v="0"/>
  </r>
  <r>
    <x v="100"/>
    <s v="SNDL"/>
    <s v="on 5/8/25 Before Market Eastern Standard Time"/>
    <x v="0"/>
  </r>
  <r>
    <x v="100"/>
    <s v="CTEV"/>
    <s v="on 5/8/25 Before Market Eastern Standard Time"/>
    <x v="0"/>
  </r>
  <r>
    <x v="100"/>
    <s v="CMLS"/>
    <s v="on 5/8/25 Before Market Eastern Standard Time"/>
    <x v="0"/>
  </r>
  <r>
    <x v="100"/>
    <s v="U"/>
    <s v="on 5/8/25 Before Market Eastern Standard Time"/>
    <x v="0"/>
  </r>
  <r>
    <x v="100"/>
    <s v="AMTX"/>
    <s v="on 5/8/25 Before Market Eastern Standard Time"/>
    <x v="0"/>
  </r>
  <r>
    <x v="100"/>
    <s v="PRMB"/>
    <s v="on 5/8/25 Before Market Eastern Standard Time"/>
    <x v="1"/>
  </r>
  <r>
    <x v="100"/>
    <s v="CBAT"/>
    <s v="on 5/8/25 Before Market Eastern Standard Time"/>
    <x v="0"/>
  </r>
  <r>
    <x v="100"/>
    <s v="ACDC"/>
    <s v="on 5/8/25 Before Market Eastern Standard Time"/>
    <x v="0"/>
  </r>
  <r>
    <x v="101"/>
    <s v="PBT"/>
    <s v="on 5/8/25 During Market Eastern Standard Time"/>
    <x v="0"/>
  </r>
  <r>
    <x v="101"/>
    <s v="UBCP"/>
    <s v="on 5/8/25 During Market Eastern Standard Time"/>
    <x v="0"/>
  </r>
  <r>
    <x v="101"/>
    <s v="SEZL"/>
    <s v="on 5/8/25 During Market Eastern Standard Time"/>
    <x v="1"/>
  </r>
  <r>
    <x v="101"/>
    <s v="IBOC"/>
    <s v="on 5/8/25 During Market Eastern Standard Time"/>
    <x v="1"/>
  </r>
  <r>
    <x v="102"/>
    <s v="NKTX"/>
    <s v="on 5/8/25 After Market Eastern Standard Time"/>
    <x v="0"/>
  </r>
  <r>
    <x v="102"/>
    <s v="INUV"/>
    <s v="on 5/8/25 After Market Eastern Standard Time"/>
    <x v="0"/>
  </r>
  <r>
    <x v="102"/>
    <s v="CORZ"/>
    <s v="on 5/8/25 After Market Eastern Standard Time"/>
    <x v="1"/>
  </r>
  <r>
    <x v="102"/>
    <s v="GH"/>
    <s v="on 5/8/25 After Market Eastern Standard Time"/>
    <x v="1"/>
  </r>
  <r>
    <x v="102"/>
    <s v="MARA"/>
    <s v="on 5/8/25 After Market Eastern Standard Time"/>
    <x v="1"/>
  </r>
  <r>
    <x v="102"/>
    <s v="AIRG"/>
    <s v="on 5/8/25 After Market Eastern Standard Time"/>
    <x v="0"/>
  </r>
  <r>
    <x v="102"/>
    <s v="AURA"/>
    <s v="on 5/8/25 After Market Eastern Standard Time"/>
    <x v="1"/>
  </r>
  <r>
    <x v="102"/>
    <s v="OWLT"/>
    <s v="on 5/8/25 After Market Eastern Standard Time"/>
    <x v="0"/>
  </r>
  <r>
    <x v="102"/>
    <s v="MQBKY"/>
    <s v="on 5/8/25 After Market Eastern Standard Time"/>
    <x v="0"/>
  </r>
  <r>
    <x v="102"/>
    <s v="EGAN"/>
    <s v="on 5/8/25 After Market Eastern Standard Time"/>
    <x v="0"/>
  </r>
  <r>
    <x v="102"/>
    <s v="MRVI"/>
    <s v="on 5/8/25 After Market Eastern Standard Time"/>
    <x v="1"/>
  </r>
  <r>
    <x v="102"/>
    <s v="FTHM"/>
    <s v="on 5/8/25 After Market Eastern Standard Time"/>
    <x v="0"/>
  </r>
  <r>
    <x v="102"/>
    <s v="QVCGA"/>
    <s v="on 5/8/25 After Market Eastern Standard Time"/>
    <x v="0"/>
  </r>
  <r>
    <x v="102"/>
    <s v="RKDA"/>
    <s v="on 5/8/25 After Market Eastern Standard Time"/>
    <x v="0"/>
  </r>
  <r>
    <x v="102"/>
    <s v="MELI"/>
    <s v="on 5/8/25 After Market Eastern Standard Time"/>
    <x v="4"/>
  </r>
  <r>
    <x v="102"/>
    <s v="IOVA"/>
    <s v="on 5/8/25 After Market Eastern Standard Time"/>
    <x v="1"/>
  </r>
  <r>
    <x v="102"/>
    <s v="CTSO"/>
    <s v="on 5/8/25 After Market Eastern Standard Time"/>
    <x v="0"/>
  </r>
  <r>
    <x v="102"/>
    <s v="LESL"/>
    <s v="on 5/8/25 After Market Eastern Standard Time"/>
    <x v="1"/>
  </r>
  <r>
    <x v="102"/>
    <s v="CHRS"/>
    <s v="on 5/8/25 After Market Eastern Standard Time"/>
    <x v="0"/>
  </r>
  <r>
    <x v="102"/>
    <s v="WEST"/>
    <s v="on 5/8/25 After Market Eastern Standard Time"/>
    <x v="1"/>
  </r>
  <r>
    <x v="102"/>
    <s v="GPCR"/>
    <s v="on 5/8/25 After Market Eastern Standard Time"/>
    <x v="0"/>
  </r>
  <r>
    <x v="102"/>
    <s v="OPAL"/>
    <s v="on 5/8/25 After Market Eastern Standard Time"/>
    <x v="0"/>
  </r>
  <r>
    <x v="102"/>
    <s v="SUZ"/>
    <s v="on 5/8/25 After Market Eastern Standard Time"/>
    <x v="0"/>
  </r>
  <r>
    <x v="102"/>
    <s v="SST"/>
    <s v="on 5/8/25 After Market Eastern Standard Time"/>
    <x v="0"/>
  </r>
  <r>
    <x v="102"/>
    <s v="ONTO"/>
    <s v="on 5/8/25 After Market Eastern Standard Time"/>
    <x v="2"/>
  </r>
  <r>
    <x v="102"/>
    <s v="FF"/>
    <s v="on 5/8/25 After Market Eastern Standard Time"/>
    <x v="0"/>
  </r>
  <r>
    <x v="102"/>
    <s v="RGTI"/>
    <s v="on 5/8/25 After Market Eastern Standard Time"/>
    <x v="0"/>
  </r>
  <r>
    <x v="102"/>
    <s v="SMR"/>
    <s v="on 5/8/25 After Market Eastern Standard Time"/>
    <x v="1"/>
  </r>
  <r>
    <x v="102"/>
    <s v="SEER"/>
    <s v="on 5/8/25 After Market Eastern Standard Time"/>
    <x v="0"/>
  </r>
  <r>
    <x v="102"/>
    <s v="CRNC"/>
    <s v="on 5/8/25 After Market Eastern Standard Time"/>
    <x v="0"/>
  </r>
  <r>
    <x v="102"/>
    <s v="OUST"/>
    <s v="on 5/8/25 After Market Eastern Standard Time"/>
    <x v="1"/>
  </r>
  <r>
    <x v="102"/>
    <s v="PODD"/>
    <s v="on 5/8/25 After Market Eastern Standard Time"/>
    <x v="3"/>
  </r>
  <r>
    <x v="102"/>
    <s v="NLCP"/>
    <s v="on 5/8/25 After Market Eastern Standard Time"/>
    <x v="0"/>
  </r>
  <r>
    <x v="102"/>
    <s v="ONL"/>
    <s v="on 5/8/25 After Market Eastern Standard Time"/>
    <x v="1"/>
  </r>
  <r>
    <x v="102"/>
    <s v="CARM"/>
    <s v="on 5/8/25 After Market Eastern Standard Time"/>
    <x v="0"/>
  </r>
  <r>
    <x v="102"/>
    <s v="PLUG"/>
    <s v="on 5/8/25 After Market Eastern Standard Time"/>
    <x v="1"/>
  </r>
  <r>
    <x v="102"/>
    <s v="INTS"/>
    <s v="on 5/8/25 After Market Eastern Standard Time"/>
    <x v="0"/>
  </r>
  <r>
    <x v="102"/>
    <s v="ZOMDF"/>
    <s v="on 5/8/25 After Market Eastern Standard Time"/>
    <x v="0"/>
  </r>
  <r>
    <x v="102"/>
    <s v="KOSS"/>
    <s v="on 5/8/25 After Market Eastern Standard Time"/>
    <x v="0"/>
  </r>
  <r>
    <x v="102"/>
    <s v="GYRE"/>
    <s v="on 5/8/25 After Market Eastern Standard Time"/>
    <x v="0"/>
  </r>
  <r>
    <x v="102"/>
    <s v="BLZE"/>
    <s v="on 5/8/25 After Market Eastern Standard Time"/>
    <x v="1"/>
  </r>
  <r>
    <x v="102"/>
    <s v="MCK"/>
    <s v="on 5/8/25 After Market Eastern Standard Time"/>
    <x v="3"/>
  </r>
  <r>
    <x v="102"/>
    <s v="RLMD"/>
    <s v="on 5/8/25 After Market Eastern Standard Time"/>
    <x v="0"/>
  </r>
  <r>
    <x v="102"/>
    <s v="BRT"/>
    <s v="on 5/8/25 After Market Eastern Standard Time"/>
    <x v="1"/>
  </r>
  <r>
    <x v="102"/>
    <s v="ACLX"/>
    <s v="on 5/8/25 After Market Eastern Standard Time"/>
    <x v="1"/>
  </r>
  <r>
    <x v="102"/>
    <s v="CABO"/>
    <s v="on 5/8/25 After Market Eastern Standard Time"/>
    <x v="1"/>
  </r>
  <r>
    <x v="102"/>
    <s v="AARD"/>
    <s v="on 5/8/25 After Market Eastern Standard Time"/>
    <x v="0"/>
  </r>
  <r>
    <x v="102"/>
    <s v="HLVX"/>
    <s v="on 5/8/25 After Market Eastern Standard Time"/>
    <x v="0"/>
  </r>
  <r>
    <x v="102"/>
    <s v="LRFC"/>
    <s v="on 5/8/25 After Market Eastern Standard Time"/>
    <x v="0"/>
  </r>
  <r>
    <x v="102"/>
    <s v="TASK"/>
    <s v="on 5/8/25 After Market Eastern Standard Time"/>
    <x v="0"/>
  </r>
  <r>
    <x v="102"/>
    <s v="GRNT"/>
    <s v="on 5/8/25 After Market Eastern Standard Time"/>
    <x v="1"/>
  </r>
  <r>
    <x v="102"/>
    <s v="HNST"/>
    <s v="on 5/8/25 After Market Eastern Standard Time"/>
    <x v="1"/>
  </r>
  <r>
    <x v="102"/>
    <s v="ATLC"/>
    <s v="on 5/8/25 After Market Eastern Standard Time"/>
    <x v="1"/>
  </r>
  <r>
    <x v="102"/>
    <s v="ALG"/>
    <s v="on 5/8/25 After Market Eastern Standard Time"/>
    <x v="1"/>
  </r>
  <r>
    <x v="102"/>
    <s v="EXPE"/>
    <s v="on 5/8/25 After Market Eastern Standard Time"/>
    <x v="3"/>
  </r>
  <r>
    <x v="102"/>
    <s v="ELP"/>
    <s v="on 5/8/25 After Market Eastern Standard Time"/>
    <x v="0"/>
  </r>
  <r>
    <x v="102"/>
    <s v="AVPT"/>
    <s v="on 5/8/25 After Market Eastern Standard Time"/>
    <x v="1"/>
  </r>
  <r>
    <x v="102"/>
    <s v="G"/>
    <s v="on 5/8/25 After Market Eastern Standard Time"/>
    <x v="2"/>
  </r>
  <r>
    <x v="102"/>
    <s v="GDEN"/>
    <s v="on 5/8/25 After Market Eastern Standard Time"/>
    <x v="1"/>
  </r>
  <r>
    <x v="102"/>
    <s v="PBA"/>
    <s v="on 5/8/25 After Market Eastern Standard Time"/>
    <x v="0"/>
  </r>
  <r>
    <x v="102"/>
    <s v="CTLP"/>
    <s v="on 5/8/25 After Market Eastern Standard Time"/>
    <x v="1"/>
  </r>
  <r>
    <x v="102"/>
    <s v="BMEA"/>
    <s v="on 5/8/25 After Market Eastern Standard Time"/>
    <x v="1"/>
  </r>
  <r>
    <x v="102"/>
    <s v="NWS"/>
    <s v="on 5/8/25 After Market Eastern Standard Time"/>
    <x v="3"/>
  </r>
  <r>
    <x v="102"/>
    <s v="AMPX"/>
    <s v="on 5/8/25 After Market Eastern Standard Time"/>
    <x v="0"/>
  </r>
  <r>
    <x v="102"/>
    <s v="LAW"/>
    <s v="on 5/8/25 After Market Eastern Standard Time"/>
    <x v="0"/>
  </r>
  <r>
    <x v="102"/>
    <s v="NWSA"/>
    <s v="on 5/8/25 After Market Eastern Standard Time"/>
    <x v="3"/>
  </r>
  <r>
    <x v="102"/>
    <s v="MNKD"/>
    <s v="on 5/8/25 After Market Eastern Standard Time"/>
    <x v="1"/>
  </r>
  <r>
    <x v="102"/>
    <s v="ARLO"/>
    <s v="on 5/8/25 After Market Eastern Standard Time"/>
    <x v="1"/>
  </r>
  <r>
    <x v="102"/>
    <s v="KRON"/>
    <s v="on 5/8/25 After Market Eastern Standard Time"/>
    <x v="0"/>
  </r>
  <r>
    <x v="102"/>
    <s v="FDUS"/>
    <s v="on 5/8/25 After Market Eastern Standard Time"/>
    <x v="0"/>
  </r>
  <r>
    <x v="102"/>
    <s v="DBX"/>
    <s v="on 5/8/25 After Market Eastern Standard Time"/>
    <x v="2"/>
  </r>
  <r>
    <x v="102"/>
    <s v="FARM"/>
    <s v="on 5/8/25 After Market Eastern Standard Time"/>
    <x v="0"/>
  </r>
  <r>
    <x v="102"/>
    <s v="OXBR"/>
    <s v="on 5/8/25 After Market Eastern Standard Time"/>
    <x v="0"/>
  </r>
  <r>
    <x v="102"/>
    <s v="GRND"/>
    <s v="on 5/8/25 After Market Eastern Standard Time"/>
    <x v="1"/>
  </r>
  <r>
    <x v="102"/>
    <s v="HGBL"/>
    <s v="on 5/8/25 After Market Eastern Standard Time"/>
    <x v="0"/>
  </r>
  <r>
    <x v="102"/>
    <s v="OABI"/>
    <s v="on 5/8/25 After Market Eastern Standard Time"/>
    <x v="1"/>
  </r>
  <r>
    <x v="102"/>
    <s v="CDNA"/>
    <s v="on 5/8/25 After Market Eastern Standard Time"/>
    <x v="1"/>
  </r>
  <r>
    <x v="102"/>
    <s v="VTYX"/>
    <s v="on 5/8/25 After Market Eastern Standard Time"/>
    <x v="0"/>
  </r>
  <r>
    <x v="102"/>
    <s v="EVCM"/>
    <s v="on 5/8/25 After Market Eastern Standard Time"/>
    <x v="1"/>
  </r>
  <r>
    <x v="102"/>
    <s v="ORGO"/>
    <s v="on 5/8/25 After Market Eastern Standard Time"/>
    <x v="1"/>
  </r>
  <r>
    <x v="102"/>
    <s v="DNA"/>
    <s v="on 5/8/25 After Market Eastern Standard Time"/>
    <x v="0"/>
  </r>
  <r>
    <x v="102"/>
    <s v="GROW"/>
    <s v="on 5/8/25 After Market Eastern Standard Time"/>
    <x v="0"/>
  </r>
  <r>
    <x v="102"/>
    <s v="TPIC"/>
    <s v="on 5/8/25 After Market Eastern Standard Time"/>
    <x v="0"/>
  </r>
  <r>
    <x v="102"/>
    <s v="ARCT"/>
    <s v="on 5/8/25 After Market Eastern Standard Time"/>
    <x v="1"/>
  </r>
  <r>
    <x v="102"/>
    <s v="STHO"/>
    <s v="on 5/8/25 After Market Eastern Standard Time"/>
    <x v="0"/>
  </r>
  <r>
    <x v="102"/>
    <s v="IHRT"/>
    <s v="on 5/8/25 After Market Eastern Standard Time"/>
    <x v="1"/>
  </r>
  <r>
    <x v="102"/>
    <s v="OTEX"/>
    <s v="on 5/8/25 After Market Eastern Standard Time"/>
    <x v="0"/>
  </r>
  <r>
    <x v="102"/>
    <s v="BEAT"/>
    <s v="on 5/8/25 After Market Eastern Standard Time"/>
    <x v="0"/>
  </r>
  <r>
    <x v="102"/>
    <s v="RDNT"/>
    <s v="on 5/8/25 After Market Eastern Standard Time"/>
    <x v="1"/>
  </r>
  <r>
    <x v="102"/>
    <s v="CBUS"/>
    <s v="on 5/8/25 After Market Eastern Standard Time"/>
    <x v="0"/>
  </r>
  <r>
    <x v="102"/>
    <s v="CLFD"/>
    <s v="on 5/8/25 After Market Eastern Standard Time"/>
    <x v="1"/>
  </r>
  <r>
    <x v="102"/>
    <s v="IIIV"/>
    <s v="on 5/8/25 After Market Eastern Standard Time"/>
    <x v="1"/>
  </r>
  <r>
    <x v="102"/>
    <s v="QUBT"/>
    <s v="on 5/8/25 After Market Eastern Standard Time"/>
    <x v="0"/>
  </r>
  <r>
    <x v="102"/>
    <s v="NLOP"/>
    <s v="on 5/8/25 After Market Eastern Standard Time"/>
    <x v="1"/>
  </r>
  <r>
    <x v="102"/>
    <s v="AHR"/>
    <s v="on 5/8/25 After Market Eastern Standard Time"/>
    <x v="1"/>
  </r>
  <r>
    <x v="102"/>
    <s v="BIO"/>
    <s v="on 5/8/25 After Market Eastern Standard Time"/>
    <x v="2"/>
  </r>
  <r>
    <x v="102"/>
    <s v="PTMN"/>
    <s v="on 5/8/25 After Market Eastern Standard Time"/>
    <x v="0"/>
  </r>
  <r>
    <x v="102"/>
    <s v="COLL"/>
    <s v="on 5/8/25 After Market Eastern Standard Time"/>
    <x v="1"/>
  </r>
  <r>
    <x v="102"/>
    <s v="ACAD"/>
    <s v="on 5/8/25 After Market Eastern Standard Time"/>
    <x v="1"/>
  </r>
  <r>
    <x v="102"/>
    <s v="HCI"/>
    <s v="on 5/8/25 After Market Eastern Standard Time"/>
    <x v="1"/>
  </r>
  <r>
    <x v="102"/>
    <s v="ANIK"/>
    <s v="on 5/8/25 After Market Eastern Standard Time"/>
    <x v="1"/>
  </r>
  <r>
    <x v="102"/>
    <s v="KRC"/>
    <s v="on 5/8/25 After Market Eastern Standard Time"/>
    <x v="2"/>
  </r>
  <r>
    <x v="102"/>
    <s v="TKNO"/>
    <s v="on 5/8/25 After Market Eastern Standard Time"/>
    <x v="0"/>
  </r>
  <r>
    <x v="102"/>
    <s v="KRT"/>
    <s v="on 5/8/25 After Market Eastern Standard Time"/>
    <x v="1"/>
  </r>
  <r>
    <x v="102"/>
    <s v="MBI"/>
    <s v="on 5/8/25 After Market Eastern Standard Time"/>
    <x v="1"/>
  </r>
  <r>
    <x v="102"/>
    <s v="WATT"/>
    <s v="on 5/8/25 After Market Eastern Standard Time"/>
    <x v="0"/>
  </r>
  <r>
    <x v="102"/>
    <s v="ATRA"/>
    <s v="on 5/8/25 After Market Eastern Standard Time"/>
    <x v="0"/>
  </r>
  <r>
    <x v="102"/>
    <s v="CREX"/>
    <s v="on 5/8/25 After Market Eastern Standard Time"/>
    <x v="0"/>
  </r>
  <r>
    <x v="102"/>
    <s v="INMB"/>
    <s v="on 5/8/25 After Market Eastern Standard Time"/>
    <x v="0"/>
  </r>
  <r>
    <x v="102"/>
    <s v="MRAI"/>
    <s v="on 5/8/25 After Market Eastern Standard Time"/>
    <x v="0"/>
  </r>
  <r>
    <x v="102"/>
    <s v="MSDL"/>
    <s v="on 5/8/25 After Market Eastern Standard Time"/>
    <x v="0"/>
  </r>
  <r>
    <x v="102"/>
    <s v="SLNO"/>
    <s v="on 5/8/25 After Market Eastern Standard Time"/>
    <x v="1"/>
  </r>
  <r>
    <x v="102"/>
    <s v="LIB"/>
    <s v="on 5/8/25 After Market Eastern Standard Time"/>
    <x v="0"/>
  </r>
  <r>
    <x v="102"/>
    <s v="ADMA"/>
    <s v="on 5/8/25 After Market Eastern Standard Time"/>
    <x v="1"/>
  </r>
  <r>
    <x v="102"/>
    <s v="AAOI"/>
    <s v="on 5/8/25 After Market Eastern Standard Time"/>
    <x v="1"/>
  </r>
  <r>
    <x v="102"/>
    <s v="RPAY"/>
    <s v="on 5/8/25 After Market Eastern Standard Time"/>
    <x v="1"/>
  </r>
  <r>
    <x v="102"/>
    <s v="INFN"/>
    <s v="on 5/8/25 After Market Eastern Standard Time"/>
    <x v="1"/>
  </r>
  <r>
    <x v="102"/>
    <s v="HLI"/>
    <s v="on 5/8/25 After Market Eastern Standard Time"/>
    <x v="2"/>
  </r>
  <r>
    <x v="102"/>
    <s v="NVTS"/>
    <s v="on 5/8/25 After Market Eastern Standard Time"/>
    <x v="1"/>
  </r>
  <r>
    <x v="102"/>
    <s v="HCAT"/>
    <s v="on 5/8/25 After Market Eastern Standard Time"/>
    <x v="1"/>
  </r>
  <r>
    <x v="102"/>
    <s v="NGVC"/>
    <s v="on 5/8/25 After Market Eastern Standard Time"/>
    <x v="1"/>
  </r>
  <r>
    <x v="102"/>
    <s v="LSTA"/>
    <s v="on 5/8/25 After Market Eastern Standard Time"/>
    <x v="0"/>
  </r>
  <r>
    <x v="102"/>
    <s v="ED"/>
    <s v="on 5/8/25 After Market Eastern Standard Time"/>
    <x v="3"/>
  </r>
  <r>
    <x v="102"/>
    <s v="DMAC"/>
    <s v="on 5/8/25 After Market Eastern Standard Time"/>
    <x v="0"/>
  </r>
  <r>
    <x v="102"/>
    <s v="GETY"/>
    <s v="on 5/8/25 After Market Eastern Standard Time"/>
    <x v="1"/>
  </r>
  <r>
    <x v="102"/>
    <s v="PHUN"/>
    <s v="on 5/8/25 After Market Eastern Standard Time"/>
    <x v="0"/>
  </r>
  <r>
    <x v="102"/>
    <s v="ZIP"/>
    <s v="on 5/8/25 After Market Eastern Standard Time"/>
    <x v="1"/>
  </r>
  <r>
    <x v="102"/>
    <s v="PACB"/>
    <s v="on 5/8/25 After Market Eastern Standard Time"/>
    <x v="1"/>
  </r>
  <r>
    <x v="102"/>
    <s v="RKLB"/>
    <s v="on 5/8/25 After Market Eastern Standard Time"/>
    <x v="1"/>
  </r>
  <r>
    <x v="102"/>
    <s v="AMN"/>
    <s v="on 5/8/25 After Market Eastern Standard Time"/>
    <x v="1"/>
  </r>
  <r>
    <x v="102"/>
    <s v="FNKO"/>
    <s v="on 5/8/25 After Market Eastern Standard Time"/>
    <x v="1"/>
  </r>
  <r>
    <x v="102"/>
    <s v="WBTN"/>
    <s v="on 5/8/25 After Market Eastern Standard Time"/>
    <x v="0"/>
  </r>
  <r>
    <x v="102"/>
    <s v="CWEN/A"/>
    <s v="on 5/8/25 After Market Eastern Standard Time"/>
    <x v="0"/>
  </r>
  <r>
    <x v="102"/>
    <s v="AFRM"/>
    <s v="on 5/8/25 After Market Eastern Standard Time"/>
    <x v="0"/>
  </r>
  <r>
    <x v="102"/>
    <s v="ASLE"/>
    <s v="on 5/8/25 After Market Eastern Standard Time"/>
    <x v="1"/>
  </r>
  <r>
    <x v="102"/>
    <s v="MSI"/>
    <s v="on 5/8/25 After Market Eastern Standard Time"/>
    <x v="3"/>
  </r>
  <r>
    <x v="102"/>
    <s v="CLNE"/>
    <s v="on 5/8/25 After Market Eastern Standard Time"/>
    <x v="1"/>
  </r>
  <r>
    <x v="102"/>
    <s v="PBPB"/>
    <s v="on 5/8/25 After Market Eastern Standard Time"/>
    <x v="1"/>
  </r>
  <r>
    <x v="102"/>
    <s v="STRT"/>
    <s v="on 5/8/25 After Market Eastern Standard Time"/>
    <x v="0"/>
  </r>
  <r>
    <x v="102"/>
    <s v="GRPN"/>
    <s v="on 5/8/25 After Market Eastern Standard Time"/>
    <x v="1"/>
  </r>
  <r>
    <x v="102"/>
    <s v="ARDT"/>
    <s v="on 5/8/25 After Market Eastern Standard Time"/>
    <x v="1"/>
  </r>
  <r>
    <x v="102"/>
    <s v="CODX"/>
    <s v="on 5/8/25 After Market Eastern Standard Time"/>
    <x v="0"/>
  </r>
  <r>
    <x v="102"/>
    <s v="CLSD"/>
    <s v="on 5/8/25 After Market Eastern Standard Time"/>
    <x v="0"/>
  </r>
  <r>
    <x v="102"/>
    <s v="RKT"/>
    <s v="on 5/8/25 After Market Eastern Standard Time"/>
    <x v="0"/>
  </r>
  <r>
    <x v="102"/>
    <s v="CRDF"/>
    <s v="on 5/8/25 After Market Eastern Standard Time"/>
    <x v="0"/>
  </r>
  <r>
    <x v="102"/>
    <s v="ESTA"/>
    <s v="on 5/8/25 After Market Eastern Standard Time"/>
    <x v="0"/>
  </r>
  <r>
    <x v="102"/>
    <s v="EVI"/>
    <s v="on 5/8/25 After Market Eastern Standard Time"/>
    <x v="0"/>
  </r>
  <r>
    <x v="102"/>
    <s v="SOLV"/>
    <s v="on 5/8/25 After Market Eastern Standard Time"/>
    <x v="3"/>
  </r>
  <r>
    <x v="102"/>
    <s v="DIOD"/>
    <s v="on 5/8/25 After Market Eastern Standard Time"/>
    <x v="1"/>
  </r>
  <r>
    <x v="102"/>
    <s v="JAMF"/>
    <s v="on 5/8/25 After Market Eastern Standard Time"/>
    <x v="1"/>
  </r>
  <r>
    <x v="102"/>
    <s v="CVRX"/>
    <s v="on 5/8/25 After Market Eastern Standard Time"/>
    <x v="0"/>
  </r>
  <r>
    <x v="102"/>
    <s v="OEC"/>
    <s v="on 5/8/25 After Market Eastern Standard Time"/>
    <x v="1"/>
  </r>
  <r>
    <x v="102"/>
    <s v="CDXS"/>
    <s v="on 5/8/25 After Market Eastern Standard Time"/>
    <x v="1"/>
  </r>
  <r>
    <x v="102"/>
    <s v="XENE"/>
    <s v="on 5/8/25 After Market Eastern Standard Time"/>
    <x v="0"/>
  </r>
  <r>
    <x v="102"/>
    <s v="LEGH"/>
    <s v="on 5/8/25 After Market Eastern Standard Time"/>
    <x v="1"/>
  </r>
  <r>
    <x v="102"/>
    <s v="BRLT"/>
    <s v="on 5/8/25 After Market Eastern Standard Time"/>
    <x v="0"/>
  </r>
  <r>
    <x v="102"/>
    <s v="EVBN"/>
    <s v="on 5/8/25 After Market Eastern Standard Time"/>
    <x v="0"/>
  </r>
  <r>
    <x v="102"/>
    <s v="SPT"/>
    <s v="on 5/8/25 After Market Eastern Standard Time"/>
    <x v="1"/>
  </r>
  <r>
    <x v="102"/>
    <s v="SYNA"/>
    <s v="on 5/8/25 After Market Eastern Standard Time"/>
    <x v="1"/>
  </r>
  <r>
    <x v="102"/>
    <s v="GSBD"/>
    <s v="on 5/8/25 After Market Eastern Standard Time"/>
    <x v="0"/>
  </r>
  <r>
    <x v="102"/>
    <s v="FIGS"/>
    <s v="on 5/8/25 After Market Eastern Standard Time"/>
    <x v="1"/>
  </r>
  <r>
    <x v="102"/>
    <s v="GEN"/>
    <s v="on 5/8/25 After Market Eastern Standard Time"/>
    <x v="3"/>
  </r>
  <r>
    <x v="102"/>
    <s v="TRVI"/>
    <s v="on 5/8/25 After Market Eastern Standard Time"/>
    <x v="0"/>
  </r>
  <r>
    <x v="102"/>
    <s v="NXTC"/>
    <s v="on 5/8/25 After Market Eastern Standard Time"/>
    <x v="0"/>
  </r>
  <r>
    <x v="102"/>
    <s v="INAB"/>
    <s v="on 5/8/25 After Market Eastern Standard Time"/>
    <x v="0"/>
  </r>
  <r>
    <x v="102"/>
    <s v="MTUS"/>
    <s v="on 5/8/25 After Market Eastern Standard Time"/>
    <x v="1"/>
  </r>
  <r>
    <x v="102"/>
    <s v="TKO"/>
    <s v="on 5/8/25 After Market Eastern Standard Time"/>
    <x v="2"/>
  </r>
  <r>
    <x v="102"/>
    <s v="TCX"/>
    <s v="on 5/8/25 After Market Eastern Standard Time"/>
    <x v="0"/>
  </r>
  <r>
    <x v="102"/>
    <s v="AMPS"/>
    <s v="on 5/8/25 After Market Eastern Standard Time"/>
    <x v="1"/>
  </r>
  <r>
    <x v="102"/>
    <s v="HFFG"/>
    <s v="on 5/8/25 After Market Eastern Standard Time"/>
    <x v="0"/>
  </r>
  <r>
    <x v="102"/>
    <s v="SSRM"/>
    <s v="on 5/8/25 After Market Eastern Standard Time"/>
    <x v="1"/>
  </r>
  <r>
    <x v="102"/>
    <s v="PANL"/>
    <s v="on 5/8/25 After Market Eastern Standard Time"/>
    <x v="1"/>
  </r>
  <r>
    <x v="102"/>
    <s v="TSE"/>
    <s v="on 5/8/25 After Market Eastern Standard Time"/>
    <x v="0"/>
  </r>
  <r>
    <x v="102"/>
    <s v="ALRM"/>
    <s v="on 5/8/25 After Market Eastern Standard Time"/>
    <x v="1"/>
  </r>
  <r>
    <x v="102"/>
    <s v="SCM"/>
    <s v="on 5/8/25 After Market Eastern Standard Time"/>
    <x v="0"/>
  </r>
  <r>
    <x v="102"/>
    <s v="DNTH"/>
    <s v="on 5/8/25 After Market Eastern Standard Time"/>
    <x v="1"/>
  </r>
  <r>
    <x v="102"/>
    <s v="III"/>
    <s v="on 5/8/25 After Market Eastern Standard Time"/>
    <x v="0"/>
  </r>
  <r>
    <x v="102"/>
    <s v="GCT"/>
    <s v="on 5/8/25 After Market Eastern Standard Time"/>
    <x v="1"/>
  </r>
  <r>
    <x v="102"/>
    <s v="ABCL"/>
    <s v="on 5/8/25 After Market Eastern Standard Time"/>
    <x v="0"/>
  </r>
  <r>
    <x v="102"/>
    <s v="PLBY"/>
    <s v="on 5/8/25 After Market Eastern Standard Time"/>
    <x v="0"/>
  </r>
  <r>
    <x v="102"/>
    <s v="VHI"/>
    <s v="on 5/8/25 After Market Eastern Standard Time"/>
    <x v="0"/>
  </r>
  <r>
    <x v="102"/>
    <s v="PDFS"/>
    <s v="on 5/8/25 After Market Eastern Standard Time"/>
    <x v="1"/>
  </r>
  <r>
    <x v="102"/>
    <s v="ELDN"/>
    <s v="on 5/8/25 After Market Eastern Standard Time"/>
    <x v="0"/>
  </r>
  <r>
    <x v="102"/>
    <s v="ALXO"/>
    <s v="on 5/8/25 After Market Eastern Standard Time"/>
    <x v="0"/>
  </r>
  <r>
    <x v="102"/>
    <s v="SOUN"/>
    <s v="on 5/8/25 After Market Eastern Standard Time"/>
    <x v="1"/>
  </r>
  <r>
    <x v="102"/>
    <s v="IBEX"/>
    <s v="on 5/8/25 After Market Eastern Standard Time"/>
    <x v="1"/>
  </r>
  <r>
    <x v="102"/>
    <s v="VCTR"/>
    <s v="on 5/8/25 After Market Eastern Standard Time"/>
    <x v="1"/>
  </r>
  <r>
    <x v="102"/>
    <s v="BLNK"/>
    <s v="on 5/8/25 After Market Eastern Standard Time"/>
    <x v="0"/>
  </r>
  <r>
    <x v="102"/>
    <s v="IPM"/>
    <s v="on 5/8/25 After Market Eastern Standard Time"/>
    <x v="0"/>
  </r>
  <r>
    <x v="102"/>
    <s v="QRHC"/>
    <s v="on 5/8/25 After Market Eastern Standard Time"/>
    <x v="0"/>
  </r>
  <r>
    <x v="102"/>
    <s v="VTVT"/>
    <s v="on 5/8/25 After Market Eastern Standard Time"/>
    <x v="0"/>
  </r>
  <r>
    <x v="102"/>
    <s v="SLF"/>
    <s v="on 5/8/25 After Market Eastern Standard Time"/>
    <x v="0"/>
  </r>
  <r>
    <x v="102"/>
    <s v="PBYI"/>
    <s v="on 5/8/25 After Market Eastern Standard Time"/>
    <x v="0"/>
  </r>
  <r>
    <x v="102"/>
    <s v="NNI"/>
    <s v="on 5/8/25 After Market Eastern Standard Time"/>
    <x v="1"/>
  </r>
  <r>
    <x v="102"/>
    <s v="RNA"/>
    <s v="on 5/8/25 After Market Eastern Standard Time"/>
    <x v="1"/>
  </r>
  <r>
    <x v="102"/>
    <s v="CTMX"/>
    <s v="on 5/8/25 After Market Eastern Standard Time"/>
    <x v="0"/>
  </r>
  <r>
    <x v="102"/>
    <s v="ESE"/>
    <s v="on 5/8/25 After Market Eastern Standard Time"/>
    <x v="1"/>
  </r>
  <r>
    <x v="102"/>
    <s v="MVST"/>
    <s v="on 5/8/25 After Market Eastern Standard Time"/>
    <x v="0"/>
  </r>
  <r>
    <x v="102"/>
    <s v="FDMT"/>
    <s v="on 5/8/25 After Market Eastern Standard Time"/>
    <x v="1"/>
  </r>
  <r>
    <x v="102"/>
    <s v="SRG"/>
    <s v="on 5/8/25 After Market Eastern Standard Time"/>
    <x v="0"/>
  </r>
  <r>
    <x v="102"/>
    <s v="LIF"/>
    <s v="on 5/8/25 After Market Eastern Standard Time"/>
    <x v="1"/>
  </r>
  <r>
    <x v="102"/>
    <s v="GDOT"/>
    <s v="on 5/8/25 After Market Eastern Standard Time"/>
    <x v="1"/>
  </r>
  <r>
    <x v="102"/>
    <s v="ALLK"/>
    <s v="on 5/8/25 After Market Eastern Standard Time"/>
    <x v="0"/>
  </r>
  <r>
    <x v="102"/>
    <s v="NEPH"/>
    <s v="on 5/8/25 After Market Eastern Standard Time"/>
    <x v="0"/>
  </r>
  <r>
    <x v="102"/>
    <s v="TXRH"/>
    <s v="on 5/8/25 After Market Eastern Standard Time"/>
    <x v="2"/>
  </r>
  <r>
    <x v="102"/>
    <s v="INDI"/>
    <s v="on 5/8/25 After Market Eastern Standard Time"/>
    <x v="1"/>
  </r>
  <r>
    <x v="102"/>
    <s v="FRT"/>
    <s v="on 5/8/25 After Market Eastern Standard Time"/>
    <x v="3"/>
  </r>
  <r>
    <x v="102"/>
    <s v="LIEN"/>
    <s v="on 5/8/25 After Market Eastern Standard Time"/>
    <x v="0"/>
  </r>
  <r>
    <x v="102"/>
    <s v="SNES"/>
    <s v="on 5/8/25 After Market Eastern Standard Time"/>
    <x v="0"/>
  </r>
  <r>
    <x v="102"/>
    <s v="BDSX"/>
    <s v="on 5/8/25 After Market Eastern Standard Time"/>
    <x v="0"/>
  </r>
  <r>
    <x v="102"/>
    <s v="SLQT"/>
    <s v="on 5/8/25 After Market Eastern Standard Time"/>
    <x v="1"/>
  </r>
  <r>
    <x v="102"/>
    <s v="POST"/>
    <s v="on 5/8/25 After Market Eastern Standard Time"/>
    <x v="2"/>
  </r>
  <r>
    <x v="102"/>
    <s v="ACOG"/>
    <s v="on 5/8/25 After Market Eastern Standard Time"/>
    <x v="0"/>
  </r>
  <r>
    <x v="102"/>
    <s v="TTAN"/>
    <s v="on 5/8/25 After Market Eastern Standard Time"/>
    <x v="0"/>
  </r>
  <r>
    <x v="102"/>
    <s v="ARRY"/>
    <s v="on 5/8/25 After Market Eastern Standard Time"/>
    <x v="1"/>
  </r>
  <r>
    <x v="102"/>
    <s v="RICK"/>
    <s v="on 5/8/25 After Market Eastern Standard Time"/>
    <x v="1"/>
  </r>
  <r>
    <x v="102"/>
    <s v="NPKI"/>
    <s v="on 5/8/25 After Market Eastern Standard Time"/>
    <x v="0"/>
  </r>
  <r>
    <x v="102"/>
    <s v="GTIM"/>
    <s v="on 5/8/25 After Market Eastern Standard Time"/>
    <x v="0"/>
  </r>
  <r>
    <x v="102"/>
    <s v="CLSK"/>
    <s v="on 5/8/25 After Market Eastern Standard Time"/>
    <x v="0"/>
  </r>
  <r>
    <x v="102"/>
    <s v="CRNX"/>
    <s v="on 5/8/25 After Market Eastern Standard Time"/>
    <x v="1"/>
  </r>
  <r>
    <x v="102"/>
    <s v="AIV"/>
    <s v="on 5/8/25 After Market Eastern Standard Time"/>
    <x v="1"/>
  </r>
  <r>
    <x v="102"/>
    <s v="NKTR"/>
    <s v="on 5/8/25 After Market Eastern Standard Time"/>
    <x v="1"/>
  </r>
  <r>
    <x v="102"/>
    <s v="PBI"/>
    <s v="on 5/8/25 After Market Eastern Standard Time"/>
    <x v="1"/>
  </r>
  <r>
    <x v="102"/>
    <s v="REFR"/>
    <s v="on 5/8/25 After Market Eastern Standard Time"/>
    <x v="0"/>
  </r>
  <r>
    <x v="102"/>
    <s v="IOSP"/>
    <s v="on 5/8/25 After Market Eastern Standard Time"/>
    <x v="1"/>
  </r>
  <r>
    <x v="102"/>
    <s v="LNT"/>
    <s v="on 5/8/25 After Market Eastern Standard Time"/>
    <x v="3"/>
  </r>
  <r>
    <x v="102"/>
    <s v="TYRA"/>
    <s v="on 5/8/25 After Market Eastern Standard Time"/>
    <x v="1"/>
  </r>
  <r>
    <x v="102"/>
    <s v="SKLZ"/>
    <s v="on 5/8/25 After Market Eastern Standard Time"/>
    <x v="0"/>
  </r>
  <r>
    <x v="102"/>
    <s v="AFYA"/>
    <s v="on 5/8/25 After Market Eastern Standard Time"/>
    <x v="0"/>
  </r>
  <r>
    <x v="102"/>
    <s v="VXRT"/>
    <s v="on 5/8/25 After Market Eastern Standard Time"/>
    <x v="0"/>
  </r>
  <r>
    <x v="102"/>
    <s v="LSAK"/>
    <s v="on 5/8/25 After Market Eastern Standard Time"/>
    <x v="0"/>
  </r>
  <r>
    <x v="102"/>
    <s v="LFT"/>
    <s v="on 5/8/25 After Market Eastern Standard Time"/>
    <x v="0"/>
  </r>
  <r>
    <x v="102"/>
    <s v="MGNX"/>
    <s v="on 5/8/25 After Market Eastern Standard Time"/>
    <x v="1"/>
  </r>
  <r>
    <x v="102"/>
    <s v="BE"/>
    <s v="on 5/8/25 After Market Eastern Standard Time"/>
    <x v="1"/>
  </r>
  <r>
    <x v="102"/>
    <s v="VINP"/>
    <s v="on 5/8/25 After Market Eastern Standard Time"/>
    <x v="0"/>
  </r>
  <r>
    <x v="102"/>
    <s v="ATGE"/>
    <s v="on 5/8/25 After Market Eastern Standard Time"/>
    <x v="1"/>
  </r>
  <r>
    <x v="102"/>
    <s v="REZI"/>
    <s v="on 5/8/25 After Market Eastern Standard Time"/>
    <x v="1"/>
  </r>
  <r>
    <x v="102"/>
    <s v="RLGT"/>
    <s v="on 5/8/25 After Market Eastern Standard Time"/>
    <x v="1"/>
  </r>
  <r>
    <x v="102"/>
    <s v="CARG"/>
    <s v="on 5/8/25 After Market Eastern Standard Time"/>
    <x v="1"/>
  </r>
  <r>
    <x v="102"/>
    <s v="ACHR"/>
    <s v="on 5/8/25 After Market Eastern Standard Time"/>
    <x v="1"/>
  </r>
  <r>
    <x v="102"/>
    <s v="YELP"/>
    <s v="on 5/8/25 After Market Eastern Standard Time"/>
    <x v="1"/>
  </r>
  <r>
    <x v="102"/>
    <s v="LENZ"/>
    <s v="on 5/8/25 After Market Eastern Standard Time"/>
    <x v="1"/>
  </r>
  <r>
    <x v="102"/>
    <s v="HIT"/>
    <s v="on 5/8/25 After Market Eastern Standard Time"/>
    <x v="0"/>
  </r>
  <r>
    <x v="102"/>
    <s v="SSP"/>
    <s v="on 5/8/25 After Market Eastern Standard Time"/>
    <x v="0"/>
  </r>
  <r>
    <x v="102"/>
    <s v="EMKR"/>
    <s v="on 5/8/25 After Market Eastern Standard Time"/>
    <x v="0"/>
  </r>
  <r>
    <x v="102"/>
    <s v="AC"/>
    <s v="on 5/8/25 After Market Eastern Standard Time"/>
    <x v="0"/>
  </r>
  <r>
    <x v="102"/>
    <s v="NUS"/>
    <s v="on 5/8/25 After Market Eastern Standard Time"/>
    <x v="1"/>
  </r>
  <r>
    <x v="102"/>
    <s v="TNK"/>
    <s v="on 5/8/25 After Market Eastern Standard Time"/>
    <x v="1"/>
  </r>
  <r>
    <x v="102"/>
    <s v="CLPR"/>
    <s v="on 5/8/25 After Market Eastern Standard Time"/>
    <x v="0"/>
  </r>
  <r>
    <x v="102"/>
    <s v="FLUX"/>
    <s v="on 5/8/25 After Market Eastern Standard Time"/>
    <x v="0"/>
  </r>
  <r>
    <x v="102"/>
    <s v="STNG"/>
    <s v="on 5/8/25 After Market Eastern Standard Time"/>
    <x v="1"/>
  </r>
  <r>
    <x v="102"/>
    <s v="TK"/>
    <s v="on 5/8/25 After Market Eastern Standard Time"/>
    <x v="1"/>
  </r>
  <r>
    <x v="102"/>
    <s v="RXT"/>
    <s v="on 5/8/25 After Market Eastern Standard Time"/>
    <x v="0"/>
  </r>
  <r>
    <x v="102"/>
    <s v="DXPE"/>
    <s v="on 5/8/25 After Market Eastern Standard Time"/>
    <x v="1"/>
  </r>
  <r>
    <x v="102"/>
    <s v="SKIN"/>
    <s v="on 5/8/25 After Market Eastern Standard Time"/>
    <x v="0"/>
  </r>
  <r>
    <x v="102"/>
    <s v="ACIC"/>
    <s v="on 5/8/25 After Market Eastern Standard Time"/>
    <x v="1"/>
  </r>
  <r>
    <x v="102"/>
    <s v="VOR"/>
    <s v="on 5/8/25 After Market Eastern Standard Time"/>
    <x v="0"/>
  </r>
  <r>
    <x v="102"/>
    <s v="HMN"/>
    <s v="on 5/8/25 After Market Eastern Standard Time"/>
    <x v="1"/>
  </r>
  <r>
    <x v="102"/>
    <s v="ELUT"/>
    <s v="on 5/8/25 After Market Eastern Standard Time"/>
    <x v="0"/>
  </r>
  <r>
    <x v="102"/>
    <s v="LTRN"/>
    <s v="on 5/8/25 After Market Eastern Standard Time"/>
    <x v="0"/>
  </r>
  <r>
    <x v="102"/>
    <s v="IRIX"/>
    <s v="on 5/8/25 After Market Eastern Standard Time"/>
    <x v="0"/>
  </r>
  <r>
    <x v="102"/>
    <s v="SG"/>
    <s v="on 5/8/25 After Market Eastern Standard Time"/>
    <x v="1"/>
  </r>
  <r>
    <x v="102"/>
    <s v="MSEX"/>
    <s v="on 5/8/25 After Market Eastern Standard Time"/>
    <x v="1"/>
  </r>
  <r>
    <x v="102"/>
    <s v="BW"/>
    <s v="on 5/8/25 After Market Eastern Standard Time"/>
    <x v="0"/>
  </r>
  <r>
    <x v="102"/>
    <s v="ALEC"/>
    <s v="on 5/8/25 After Market Eastern Standard Time"/>
    <x v="1"/>
  </r>
  <r>
    <x v="102"/>
    <s v="RGA"/>
    <s v="on 5/8/25 After Market Eastern Standard Time"/>
    <x v="2"/>
  </r>
  <r>
    <x v="102"/>
    <s v="FIHL"/>
    <s v="on 5/8/25 After Market Eastern Standard Time"/>
    <x v="1"/>
  </r>
  <r>
    <x v="102"/>
    <s v="MVIS"/>
    <s v="on 5/8/25 After Market Eastern Standard Time"/>
    <x v="1"/>
  </r>
  <r>
    <x v="102"/>
    <s v="BDTX"/>
    <s v="on 5/8/25 After Market Eastern Standard Time"/>
    <x v="0"/>
  </r>
  <r>
    <x v="102"/>
    <s v="BCC"/>
    <s v="on 5/8/25 After Market Eastern Standard Time"/>
    <x v="1"/>
  </r>
  <r>
    <x v="102"/>
    <s v="DTI"/>
    <s v="on 5/8/25 After Market Eastern Standard Time"/>
    <x v="0"/>
  </r>
  <r>
    <x v="102"/>
    <s v="RGLS"/>
    <s v="on 5/8/25 After Market Eastern Standard Time"/>
    <x v="0"/>
  </r>
  <r>
    <x v="102"/>
    <s v="HRB"/>
    <s v="on 5/8/25 After Market Eastern Standard Time"/>
    <x v="2"/>
  </r>
  <r>
    <x v="102"/>
    <s v="ETNB"/>
    <s v="on 5/8/25 After Market Eastern Standard Time"/>
    <x v="1"/>
  </r>
  <r>
    <x v="102"/>
    <s v="AMPL"/>
    <s v="on 5/8/25 After Market Eastern Standard Time"/>
    <x v="1"/>
  </r>
  <r>
    <x v="102"/>
    <s v="AHH"/>
    <s v="on 5/8/25 After Market Eastern Standard Time"/>
    <x v="1"/>
  </r>
  <r>
    <x v="102"/>
    <s v="HQI"/>
    <s v="on 5/8/25 After Market Eastern Standard Time"/>
    <x v="0"/>
  </r>
  <r>
    <x v="102"/>
    <s v="SILA"/>
    <s v="on 5/8/25 After Market Eastern Standard Time"/>
    <x v="0"/>
  </r>
  <r>
    <x v="102"/>
    <s v="NFE"/>
    <s v="on 5/8/25 After Market Eastern Standard Time"/>
    <x v="0"/>
  </r>
  <r>
    <x v="102"/>
    <s v="IFS"/>
    <s v="on 5/8/25 After Market Eastern Standard Time"/>
    <x v="0"/>
  </r>
  <r>
    <x v="102"/>
    <s v="AKAM"/>
    <s v="on 5/8/25 After Market Eastern Standard Time"/>
    <x v="3"/>
  </r>
  <r>
    <x v="102"/>
    <s v="SYRE"/>
    <s v="on 5/8/25 After Market Eastern Standard Time"/>
    <x v="1"/>
  </r>
  <r>
    <x v="102"/>
    <s v="KURA"/>
    <s v="on 5/8/25 After Market Eastern Standard Time"/>
    <x v="1"/>
  </r>
  <r>
    <x v="102"/>
    <s v="GSIT"/>
    <s v="on 5/8/25 After Market Eastern Standard Time"/>
    <x v="0"/>
  </r>
  <r>
    <x v="102"/>
    <s v="BZH"/>
    <s v="on 5/8/25 After Market Eastern Standard Time"/>
    <x v="1"/>
  </r>
  <r>
    <x v="102"/>
    <s v="UEIC"/>
    <s v="on 5/8/25 After Market Eastern Standard Time"/>
    <x v="0"/>
  </r>
  <r>
    <x v="102"/>
    <s v="MEIP"/>
    <s v="on 5/8/25 After Market Eastern Standard Time"/>
    <x v="0"/>
  </r>
  <r>
    <x v="102"/>
    <s v="MAIN"/>
    <s v="on 5/8/25 After Market Eastern Standard Time"/>
    <x v="0"/>
  </r>
  <r>
    <x v="102"/>
    <s v="FFAI"/>
    <s v="on 5/8/25 After Market Eastern Standard Time"/>
    <x v="0"/>
  </r>
  <r>
    <x v="102"/>
    <s v="SGMO"/>
    <s v="on 5/8/25 After Market Eastern Standard Time"/>
    <x v="0"/>
  </r>
  <r>
    <x v="102"/>
    <s v="SRTS"/>
    <s v="on 5/8/25 After Market Eastern Standard Time"/>
    <x v="0"/>
  </r>
  <r>
    <x v="102"/>
    <s v="CPS"/>
    <s v="on 5/8/25 After Market Eastern Standard Time"/>
    <x v="1"/>
  </r>
  <r>
    <x v="102"/>
    <s v="QSI"/>
    <s v="on 5/8/25 After Market Eastern Standard Time"/>
    <x v="0"/>
  </r>
  <r>
    <x v="102"/>
    <s v="TELA"/>
    <s v="on 5/8/25 After Market Eastern Standard Time"/>
    <x v="0"/>
  </r>
  <r>
    <x v="102"/>
    <s v="JYNT"/>
    <s v="on 5/8/25 After Market Eastern Standard Time"/>
    <x v="0"/>
  </r>
  <r>
    <x v="102"/>
    <s v="ENFN"/>
    <s v="on 5/8/25 After Market Eastern Standard Time"/>
    <x v="1"/>
  </r>
  <r>
    <x v="102"/>
    <s v="RBA"/>
    <s v="on 5/8/25 After Market Eastern Standard Time"/>
    <x v="2"/>
  </r>
  <r>
    <x v="102"/>
    <s v="WPM"/>
    <s v="on 5/8/25 After Market Eastern Standard Time"/>
    <x v="0"/>
  </r>
  <r>
    <x v="102"/>
    <s v="DDI"/>
    <s v="on 5/8/25 After Market Eastern Standard Time"/>
    <x v="0"/>
  </r>
  <r>
    <x v="102"/>
    <s v="KODK"/>
    <s v="on 5/8/25 After Market Eastern Standard Time"/>
    <x v="1"/>
  </r>
  <r>
    <x v="102"/>
    <s v="NOTE"/>
    <s v="on 5/8/25 After Market Eastern Standard Time"/>
    <x v="0"/>
  </r>
  <r>
    <x v="102"/>
    <s v="QVCGB"/>
    <s v="on 5/8/25 After Market Eastern Standard Time"/>
    <x v="0"/>
  </r>
  <r>
    <x v="102"/>
    <s v="SVV"/>
    <s v="on 5/8/25 After Market Eastern Standard Time"/>
    <x v="1"/>
  </r>
  <r>
    <x v="102"/>
    <s v="OPEN"/>
    <s v="on 5/8/25 After Market Eastern Standard Time"/>
    <x v="1"/>
  </r>
  <r>
    <x v="102"/>
    <s v="DVAX"/>
    <s v="on 5/8/25 After Market Eastern Standard Time"/>
    <x v="1"/>
  </r>
  <r>
    <x v="102"/>
    <s v="OPRT"/>
    <s v="on 5/8/25 After Market Eastern Standard Time"/>
    <x v="0"/>
  </r>
  <r>
    <x v="103"/>
    <s v="PAA"/>
    <s v="on 5/9/25 Before Market Eastern Standard Time"/>
    <x v="0"/>
  </r>
  <r>
    <x v="103"/>
    <s v="TDS"/>
    <s v="on 5/9/25 Before Market Eastern Standard Time"/>
    <x v="1"/>
  </r>
  <r>
    <x v="103"/>
    <s v="CMRE"/>
    <s v="on 5/9/25 Before Market Eastern Standard Time"/>
    <x v="1"/>
  </r>
  <r>
    <x v="103"/>
    <s v="NTTYY"/>
    <s v="on 5/9/25 Unspecified Eastern Standard Time"/>
    <x v="0"/>
  </r>
  <r>
    <x v="103"/>
    <s v="PAGP"/>
    <s v="on 5/9/25 Before Market Eastern Standard Time"/>
    <x v="0"/>
  </r>
  <r>
    <x v="103"/>
    <s v="UHG"/>
    <s v="on 5/9/25 Before Market Eastern Standard Time"/>
    <x v="0"/>
  </r>
  <r>
    <x v="103"/>
    <s v="CRESY"/>
    <s v="on 5/9/25 Unspecified Eastern Standard Time"/>
    <x v="0"/>
  </r>
  <r>
    <x v="103"/>
    <s v="HOWL"/>
    <s v="on 5/9/25 Before Market Eastern Standard Time"/>
    <x v="0"/>
  </r>
  <r>
    <x v="103"/>
    <s v="VRN"/>
    <s v="on 5/9/25 Before Market Eastern Standard Time"/>
    <x v="0"/>
  </r>
  <r>
    <x v="103"/>
    <s v="ICAGY"/>
    <s v="on 5/9/25 Before Market Eastern Standard Time"/>
    <x v="0"/>
  </r>
  <r>
    <x v="103"/>
    <s v="MTSFY"/>
    <s v="on 5/9/25 Unspecified Eastern Standard Time"/>
    <x v="0"/>
  </r>
  <r>
    <x v="103"/>
    <s v="MGA"/>
    <s v="on 5/9/25 Before Market Eastern Standard Time"/>
    <x v="0"/>
  </r>
  <r>
    <x v="103"/>
    <s v="KUBTY"/>
    <s v="on 5/9/25 Before Market Eastern Standard Time"/>
    <x v="0"/>
  </r>
  <r>
    <x v="103"/>
    <s v="ATMU"/>
    <s v="on 5/9/25 Before Market Eastern Standard Time"/>
    <x v="1"/>
  </r>
  <r>
    <x v="103"/>
    <s v="TRMB"/>
    <s v="on 5/9/25 Before Market Eastern Standard Time"/>
    <x v="3"/>
  </r>
  <r>
    <x v="103"/>
    <s v="EDN"/>
    <s v="on 5/9/25 Unspecified Eastern Standard Time"/>
    <x v="0"/>
  </r>
  <r>
    <x v="103"/>
    <s v="AIRS"/>
    <s v="on 5/9/25 Before Market Eastern Standard Time"/>
    <x v="0"/>
  </r>
  <r>
    <x v="103"/>
    <s v="NHC"/>
    <s v="on 5/9/25 Before Market Eastern Standard Time"/>
    <x v="1"/>
  </r>
  <r>
    <x v="103"/>
    <s v="HSON"/>
    <s v="on 5/9/25 Before Market Eastern Standard Time"/>
    <x v="0"/>
  </r>
  <r>
    <x v="103"/>
    <s v="NYC"/>
    <s v="on 5/9/25 Before Market Eastern Standard Time"/>
    <x v="0"/>
  </r>
  <r>
    <x v="103"/>
    <s v="KOP"/>
    <s v="on 5/9/25 Before Market Eastern Standard Time"/>
    <x v="1"/>
  </r>
  <r>
    <x v="103"/>
    <s v="EVEX"/>
    <s v="on 5/9/25 Before Market Eastern Standard Time"/>
    <x v="0"/>
  </r>
  <r>
    <x v="103"/>
    <s v="AMRX"/>
    <s v="on 5/9/25 Before Market Eastern Standard Time"/>
    <x v="1"/>
  </r>
  <r>
    <x v="103"/>
    <s v="PRME"/>
    <s v="on 5/9/25 Before Market Eastern Standard Time"/>
    <x v="1"/>
  </r>
  <r>
    <x v="103"/>
    <s v="CMTOY"/>
    <s v="on 5/9/25 Before Market Eastern Standard Time"/>
    <x v="0"/>
  </r>
  <r>
    <x v="103"/>
    <s v="ROAD"/>
    <s v="on 5/9/25 Before Market Eastern Standard Time"/>
    <x v="1"/>
  </r>
  <r>
    <x v="103"/>
    <s v="NVAX"/>
    <s v="on 5/9/25 Before Market Eastern Standard Time"/>
    <x v="1"/>
  </r>
  <r>
    <x v="103"/>
    <s v="FLGT"/>
    <s v="on 5/9/25 Before Market Eastern Standard Time"/>
    <x v="1"/>
  </r>
  <r>
    <x v="103"/>
    <s v="RCRUY"/>
    <s v="on 5/9/25 Unspecified Eastern Standard Time"/>
    <x v="0"/>
  </r>
  <r>
    <x v="103"/>
    <s v="UI"/>
    <s v="on 5/9/25 Before Market Eastern Standard Time"/>
    <x v="0"/>
  </r>
  <r>
    <x v="103"/>
    <s v="FTCI"/>
    <s v="on 5/9/25 Before Market Eastern Standard Time"/>
    <x v="0"/>
  </r>
  <r>
    <x v="103"/>
    <s v="RDY"/>
    <s v="on 5/9/25 Before Market Eastern Standard Time"/>
    <x v="0"/>
  </r>
  <r>
    <x v="103"/>
    <s v="AQN"/>
    <s v="on 5/9/25 Before Market Eastern Standard Time"/>
    <x v="0"/>
  </r>
  <r>
    <x v="103"/>
    <s v="ABR"/>
    <s v="on 5/9/25 Before Market Eastern Standard Time"/>
    <x v="1"/>
  </r>
  <r>
    <x v="103"/>
    <s v="ESNT"/>
    <s v="on 5/9/25 Before Market Eastern Standard Time"/>
    <x v="1"/>
  </r>
  <r>
    <x v="103"/>
    <s v="USM"/>
    <s v="on 5/9/25 Before Market Eastern Standard Time"/>
    <x v="0"/>
  </r>
  <r>
    <x v="103"/>
    <s v="ASIX"/>
    <s v="on 5/9/25 Before Market Eastern Standard Time"/>
    <x v="1"/>
  </r>
  <r>
    <x v="103"/>
    <s v="NPSCY"/>
    <s v="on 5/9/25 Unspecified Eastern Standard Time"/>
    <x v="0"/>
  </r>
  <r>
    <x v="103"/>
    <s v="ORKLY"/>
    <s v="on 5/9/25 Unspecified Eastern Standard Time"/>
    <x v="0"/>
  </r>
  <r>
    <x v="103"/>
    <s v="AKRO"/>
    <s v="on 5/9/25 Before Market Eastern Standard Time"/>
    <x v="1"/>
  </r>
  <r>
    <x v="103"/>
    <s v="SACH"/>
    <s v="on 5/9/25 Before Market Eastern Standard Time"/>
    <x v="0"/>
  </r>
  <r>
    <x v="103"/>
    <s v="EDPFY"/>
    <s v="on 5/9/25 Unspecified Eastern Standard Time"/>
    <x v="0"/>
  </r>
  <r>
    <x v="103"/>
    <s v="ENB"/>
    <s v="on 5/9/25 Before Market Eastern Standard Time"/>
    <x v="0"/>
  </r>
  <r>
    <x v="104"/>
    <s v="SELF"/>
    <s v="on 5/9/25 After Market Eastern Standard Time"/>
    <x v="0"/>
  </r>
  <r>
    <x v="104"/>
    <s v="BH"/>
    <s v="on 5/9/25 After Market Eastern Standard Time"/>
    <x v="0"/>
  </r>
  <r>
    <x v="104"/>
    <s v="ALTI"/>
    <s v="on 5/9/25 After Market Eastern Standard Time"/>
    <x v="0"/>
  </r>
  <r>
    <x v="104"/>
    <s v="SKYE"/>
    <s v="on 5/9/25 After Market Eastern Standard Time"/>
    <x v="0"/>
  </r>
  <r>
    <x v="104"/>
    <s v="CEPU"/>
    <s v="on 5/9/25 After Market Eastern Standard Time"/>
    <x v="0"/>
  </r>
  <r>
    <x v="104"/>
    <s v="REVB"/>
    <s v="on 5/9/25 After Market Eastern Standard Time"/>
    <x v="0"/>
  </r>
  <r>
    <x v="104"/>
    <s v="RNXT"/>
    <s v="on 5/9/25 After Market Eastern Standard Time"/>
    <x v="0"/>
  </r>
  <r>
    <x v="104"/>
    <s v="SHCO"/>
    <s v="on 5/9/25 After Market Eastern Standard Time"/>
    <x v="0"/>
  </r>
  <r>
    <x v="104"/>
    <s v="PPTA"/>
    <s v="on 5/9/25 After Market Eastern Standard Time"/>
    <x v="1"/>
  </r>
  <r>
    <x v="104"/>
    <s v="TBNK"/>
    <s v="on 5/9/25 After Market Eastern Standard Time"/>
    <x v="0"/>
  </r>
  <r>
    <x v="104"/>
    <s v="TBRG"/>
    <s v="on 5/9/25 After Market Eastern Standard Time"/>
    <x v="0"/>
  </r>
  <r>
    <x v="104"/>
    <s v="HE"/>
    <s v="on 5/9/25 After Market Eastern Standard Time"/>
    <x v="1"/>
  </r>
  <r>
    <x v="105"/>
    <s v="DNN"/>
    <s v="on 5/12/25 Unspecified Eastern Standard Time"/>
    <x v="0"/>
  </r>
  <r>
    <x v="105"/>
    <s v="GROY"/>
    <s v="on 5/12/25 Before Market Eastern Standard Time"/>
    <x v="0"/>
  </r>
  <r>
    <x v="105"/>
    <s v="SBS"/>
    <s v="on 5/12/25 Unspecified Eastern Standard Time"/>
    <x v="0"/>
  </r>
  <r>
    <x v="105"/>
    <s v="EMBC"/>
    <s v="on 5/12/25 Before Market Eastern Standard Time"/>
    <x v="1"/>
  </r>
  <r>
    <x v="105"/>
    <s v="BLTE"/>
    <s v="on 5/12/25 Before Market Eastern Standard Time"/>
    <x v="0"/>
  </r>
  <r>
    <x v="105"/>
    <s v="AGEN"/>
    <s v="on 5/12/25 Before Market Eastern Standard Time"/>
    <x v="0"/>
  </r>
  <r>
    <x v="105"/>
    <s v="LPTX"/>
    <s v="on 5/12/25 Before Market Eastern Standard Time"/>
    <x v="0"/>
  </r>
  <r>
    <x v="105"/>
    <s v="QTRHF"/>
    <s v="on 5/12/25 Before Market Eastern Standard Time"/>
    <x v="0"/>
  </r>
  <r>
    <x v="105"/>
    <s v="IDR"/>
    <s v="on 5/12/25 Before Market Eastern Standard Time"/>
    <x v="0"/>
  </r>
  <r>
    <x v="105"/>
    <s v="PSFE"/>
    <s v="on 5/12/25 Before Market Eastern Standard Time"/>
    <x v="1"/>
  </r>
  <r>
    <x v="105"/>
    <s v="COCP"/>
    <s v="on 5/12/25 Before Market Eastern Standard Time"/>
    <x v="0"/>
  </r>
  <r>
    <x v="105"/>
    <s v="IKNA"/>
    <s v="on 5/12/25 Before Market Eastern Standard Time"/>
    <x v="0"/>
  </r>
  <r>
    <x v="105"/>
    <s v="CMCL"/>
    <s v="on 5/12/25 Before Market Eastern Standard Time"/>
    <x v="0"/>
  </r>
  <r>
    <x v="105"/>
    <s v="CNTY"/>
    <s v="on 5/12/25 Before Market Eastern Standard Time"/>
    <x v="0"/>
  </r>
  <r>
    <x v="105"/>
    <s v="PAVM"/>
    <s v="on 5/12/25 Before Market Eastern Standard Time"/>
    <x v="0"/>
  </r>
  <r>
    <x v="105"/>
    <s v="HUYA"/>
    <s v="on 5/12/25 Before Market Eastern Standard Time"/>
    <x v="0"/>
  </r>
  <r>
    <x v="105"/>
    <s v="RNAC"/>
    <s v="on 5/12/25 Before Market Eastern Standard Time"/>
    <x v="0"/>
  </r>
  <r>
    <x v="105"/>
    <s v="DC"/>
    <s v="on 5/12/25 Unspecified Eastern Standard Time"/>
    <x v="0"/>
  </r>
  <r>
    <x v="105"/>
    <s v="PRAX"/>
    <s v="on 5/12/25 Before Market Eastern Standard Time"/>
    <x v="1"/>
  </r>
  <r>
    <x v="105"/>
    <s v="MAG"/>
    <s v="on 5/12/25 Before Market Eastern Standard Time"/>
    <x v="0"/>
  </r>
  <r>
    <x v="105"/>
    <s v="HGV"/>
    <s v="on 5/12/25 Before Market Eastern Standard Time"/>
    <x v="1"/>
  </r>
  <r>
    <x v="105"/>
    <s v="RMBL"/>
    <s v="on 5/12/25 Before Market Eastern Standard Time"/>
    <x v="0"/>
  </r>
  <r>
    <x v="105"/>
    <s v="BUR"/>
    <s v="on 5/12/25 Before Market Eastern Standard Time"/>
    <x v="1"/>
  </r>
  <r>
    <x v="105"/>
    <s v="EVRG"/>
    <s v="on 5/12/25 Before Market Eastern Standard Time"/>
    <x v="3"/>
  </r>
  <r>
    <x v="105"/>
    <s v="MMI"/>
    <s v="on 5/12/25 Before Market Eastern Standard Time"/>
    <x v="1"/>
  </r>
  <r>
    <x v="105"/>
    <s v="WULF"/>
    <s v="on 5/12/25 Before Market Eastern Standard Time"/>
    <x v="1"/>
  </r>
  <r>
    <x v="105"/>
    <s v="SGRY"/>
    <s v="on 5/12/25 Before Market Eastern Standard Time"/>
    <x v="1"/>
  </r>
  <r>
    <x v="105"/>
    <s v="BHVN"/>
    <s v="on 5/12/25 Before Market Eastern Standard Time"/>
    <x v="1"/>
  </r>
  <r>
    <x v="105"/>
    <s v="ITOS"/>
    <s v="on 5/12/25 Before Market Eastern Standard Time"/>
    <x v="1"/>
  </r>
  <r>
    <x v="105"/>
    <s v="DOCN"/>
    <s v="on 5/12/25 Before Market Eastern Standard Time"/>
    <x v="1"/>
  </r>
  <r>
    <x v="105"/>
    <s v="LUCD"/>
    <s v="on 5/12/25 Before Market Eastern Standard Time"/>
    <x v="0"/>
  </r>
  <r>
    <x v="105"/>
    <s v="DNOW"/>
    <s v="on 5/12/25 Before Market Eastern Standard Time"/>
    <x v="1"/>
  </r>
  <r>
    <x v="105"/>
    <s v="SMTI"/>
    <s v="on 5/12/25 Before Market Eastern Standard Time"/>
    <x v="0"/>
  </r>
  <r>
    <x v="105"/>
    <s v="MIST"/>
    <s v="on 5/12/25 Before Market Eastern Standard Time"/>
    <x v="0"/>
  </r>
  <r>
    <x v="105"/>
    <s v="NPWR"/>
    <s v="on 5/12/25 Before Market Eastern Standard Time"/>
    <x v="1"/>
  </r>
  <r>
    <x v="105"/>
    <s v="INTT"/>
    <s v="on 5/12/25 Before Market Eastern Standard Time"/>
    <x v="0"/>
  </r>
  <r>
    <x v="105"/>
    <s v="IX"/>
    <s v="on 5/12/25 Unspecified Eastern Standard Time"/>
    <x v="0"/>
  </r>
  <r>
    <x v="105"/>
    <s v="GORV"/>
    <s v="on 5/12/25 Before Market Eastern Standard Time"/>
    <x v="0"/>
  </r>
  <r>
    <x v="105"/>
    <s v="NWN"/>
    <s v="on 5/12/25 Before Market Eastern Standard Time"/>
    <x v="1"/>
  </r>
  <r>
    <x v="105"/>
    <s v="SGA"/>
    <s v="on 5/12/25 Before Market Eastern Standard Time"/>
    <x v="0"/>
  </r>
  <r>
    <x v="105"/>
    <s v="CLMT"/>
    <s v="on 5/12/25 Before Market Eastern Standard Time"/>
    <x v="0"/>
  </r>
  <r>
    <x v="105"/>
    <s v="MPW"/>
    <s v="on 5/12/25 Before Market Eastern Standard Time"/>
    <x v="0"/>
  </r>
  <r>
    <x v="105"/>
    <s v="ANNX"/>
    <s v="on 5/12/25 Before Market Eastern Standard Time"/>
    <x v="1"/>
  </r>
  <r>
    <x v="105"/>
    <s v="BOLD"/>
    <s v="on 5/12/25 Before Market Eastern Standard Time"/>
    <x v="0"/>
  </r>
  <r>
    <x v="105"/>
    <s v="GLDD"/>
    <s v="on 5/12/25 Before Market Eastern Standard Time"/>
    <x v="1"/>
  </r>
  <r>
    <x v="105"/>
    <s v="APGE"/>
    <s v="on 5/12/25 Before Market Eastern Standard Time"/>
    <x v="1"/>
  </r>
  <r>
    <x v="105"/>
    <s v="AVXL"/>
    <s v="on 5/12/25 Before Market Eastern Standard Time"/>
    <x v="1"/>
  </r>
  <r>
    <x v="105"/>
    <s v="STWD"/>
    <s v="on 5/12/25 Before Market Eastern Standard Time"/>
    <x v="2"/>
  </r>
  <r>
    <x v="105"/>
    <s v="ISPR"/>
    <s v="on 5/12/25 Before Market Eastern Standard Time"/>
    <x v="0"/>
  </r>
  <r>
    <x v="105"/>
    <s v="ACTG"/>
    <s v="on 5/12/25 Before Market Eastern Standard Time"/>
    <x v="0"/>
  </r>
  <r>
    <x v="105"/>
    <s v="CGEM"/>
    <s v="on 5/12/25 Before Market Eastern Standard Time"/>
    <x v="1"/>
  </r>
  <r>
    <x v="105"/>
    <s v="IMXI"/>
    <s v="on 5/12/25 Before Market Eastern Standard Time"/>
    <x v="1"/>
  </r>
  <r>
    <x v="105"/>
    <s v="SAVA"/>
    <s v="on 5/12/25 Before Market Eastern Standard Time"/>
    <x v="1"/>
  </r>
  <r>
    <x v="105"/>
    <s v="BKV"/>
    <s v="on 5/12/25 Before Market Eastern Standard Time"/>
    <x v="0"/>
  </r>
  <r>
    <x v="105"/>
    <s v="DTST"/>
    <s v="on 5/12/25 Before Market Eastern Standard Time"/>
    <x v="0"/>
  </r>
  <r>
    <x v="105"/>
    <s v="ULBI"/>
    <s v="on 5/12/25 Before Market Eastern Standard Time"/>
    <x v="0"/>
  </r>
  <r>
    <x v="105"/>
    <s v="AVTE"/>
    <s v="on 5/12/25 Before Market Eastern Standard Time"/>
    <x v="0"/>
  </r>
  <r>
    <x v="105"/>
    <s v="HMC"/>
    <s v="on 5/12/25 Before Market Eastern Standard Time"/>
    <x v="0"/>
  </r>
  <r>
    <x v="105"/>
    <s v="NSPR"/>
    <s v="on 5/12/25 Before Market Eastern Standard Time"/>
    <x v="0"/>
  </r>
  <r>
    <x v="105"/>
    <s v="CNTA"/>
    <s v="on 5/12/25 Before Market Eastern Standard Time"/>
    <x v="0"/>
  </r>
  <r>
    <x v="105"/>
    <s v="FTRE"/>
    <s v="on 5/12/25 Before Market Eastern Standard Time"/>
    <x v="0"/>
  </r>
  <r>
    <x v="105"/>
    <s v="WMG"/>
    <s v="on 5/12/25 Before Market Eastern Standard Time"/>
    <x v="2"/>
  </r>
  <r>
    <x v="105"/>
    <s v="AMCX"/>
    <s v="on 5/12/25 Before Market Eastern Standard Time"/>
    <x v="1"/>
  </r>
  <r>
    <x v="105"/>
    <s v="URGN"/>
    <s v="on 5/12/25 Before Market Eastern Standard Time"/>
    <x v="1"/>
  </r>
  <r>
    <x v="105"/>
    <s v="NTLA"/>
    <s v="on 5/12/25 Before Market Eastern Standard Time"/>
    <x v="1"/>
  </r>
  <r>
    <x v="105"/>
    <s v="XGN"/>
    <s v="on 5/12/25 Before Market Eastern Standard Time"/>
    <x v="0"/>
  </r>
  <r>
    <x v="105"/>
    <s v="LINC"/>
    <s v="on 5/12/25 Before Market Eastern Standard Time"/>
    <x v="1"/>
  </r>
  <r>
    <x v="105"/>
    <s v="TBN"/>
    <s v="on 5/12/25 Unspecified Eastern Standard Time"/>
    <x v="0"/>
  </r>
  <r>
    <x v="105"/>
    <s v="SZKMY"/>
    <s v="on 5/12/25 Unspecified Eastern Standard Time"/>
    <x v="0"/>
  </r>
  <r>
    <x v="105"/>
    <s v="STXS"/>
    <s v="on 5/12/25 Before Market Eastern Standard Time"/>
    <x v="0"/>
  </r>
  <r>
    <x v="105"/>
    <s v="BRNS"/>
    <s v="on 5/12/25 Before Market Eastern Standard Time"/>
    <x v="0"/>
  </r>
  <r>
    <x v="105"/>
    <s v="HUT"/>
    <s v="on 5/12/25 Before Market Eastern Standard Time"/>
    <x v="1"/>
  </r>
  <r>
    <x v="105"/>
    <s v="KMT"/>
    <s v="on 5/12/25 Before Market Eastern Standard Time"/>
    <x v="1"/>
  </r>
  <r>
    <x v="105"/>
    <s v="TME"/>
    <s v="on 5/12/25 Before Market Eastern Standard Time"/>
    <x v="0"/>
  </r>
  <r>
    <x v="106"/>
    <s v="VYGR"/>
    <s v="on 5/12/25 After Market Eastern Standard Time"/>
    <x v="1"/>
  </r>
  <r>
    <x v="106"/>
    <s v="APEI"/>
    <s v="on 5/12/25 After Market Eastern Standard Time"/>
    <x v="1"/>
  </r>
  <r>
    <x v="106"/>
    <s v="VIV"/>
    <s v="on 5/12/25 After Market Eastern Standard Time"/>
    <x v="0"/>
  </r>
  <r>
    <x v="106"/>
    <s v="FENG"/>
    <s v="on 5/12/25 After Market Eastern Standard Time"/>
    <x v="0"/>
  </r>
  <r>
    <x v="106"/>
    <s v="SHIM"/>
    <s v="on 5/12/25 After Market Eastern Standard Time"/>
    <x v="0"/>
  </r>
  <r>
    <x v="106"/>
    <s v="ASTS"/>
    <s v="on 5/12/25 After Market Eastern Standard Time"/>
    <x v="1"/>
  </r>
  <r>
    <x v="106"/>
    <s v="CWCO"/>
    <s v="on 5/12/25 After Market Eastern Standard Time"/>
    <x v="1"/>
  </r>
  <r>
    <x v="106"/>
    <s v="DJCO"/>
    <s v="on 5/12/25 After Market Eastern Standard Time"/>
    <x v="1"/>
  </r>
  <r>
    <x v="106"/>
    <s v="KINS"/>
    <s v="on 5/12/25 After Market Eastern Standard Time"/>
    <x v="0"/>
  </r>
  <r>
    <x v="106"/>
    <s v="FNA"/>
    <s v="on 5/12/25 After Market Eastern Standard Time"/>
    <x v="1"/>
  </r>
  <r>
    <x v="106"/>
    <s v="PRSO"/>
    <s v="on 5/12/25 After Market Eastern Standard Time"/>
    <x v="0"/>
  </r>
  <r>
    <x v="106"/>
    <s v="PRTA"/>
    <s v="on 5/12/25 After Market Eastern Standard Time"/>
    <x v="1"/>
  </r>
  <r>
    <x v="106"/>
    <s v="SBR"/>
    <s v="on 5/12/25 After Market Eastern Standard Time"/>
    <x v="0"/>
  </r>
  <r>
    <x v="106"/>
    <s v="SAVEQ"/>
    <s v="on 5/12/25 After Market Eastern Standard Time"/>
    <x v="0"/>
  </r>
  <r>
    <x v="106"/>
    <s v="INO"/>
    <s v="on 5/12/25 After Market Eastern Standard Time"/>
    <x v="0"/>
  </r>
  <r>
    <x v="106"/>
    <s v="AORT"/>
    <s v="on 5/12/25 After Market Eastern Standard Time"/>
    <x v="1"/>
  </r>
  <r>
    <x v="106"/>
    <s v="LWLG"/>
    <s v="on 5/12/25 After Market Eastern Standard Time"/>
    <x v="1"/>
  </r>
  <r>
    <x v="106"/>
    <s v="CNNE"/>
    <s v="on 5/12/25 After Market Eastern Standard Time"/>
    <x v="1"/>
  </r>
  <r>
    <x v="106"/>
    <s v="SANA"/>
    <s v="on 5/12/25 After Market Eastern Standard Time"/>
    <x v="1"/>
  </r>
  <r>
    <x v="106"/>
    <s v="PNNT"/>
    <s v="on 5/12/25 After Market Eastern Standard Time"/>
    <x v="0"/>
  </r>
  <r>
    <x v="106"/>
    <s v="NWBO"/>
    <s v="on 5/12/25 After Market Eastern Standard Time"/>
    <x v="0"/>
  </r>
  <r>
    <x v="106"/>
    <s v="STRO"/>
    <s v="on 5/12/25 After Market Eastern Standard Time"/>
    <x v="1"/>
  </r>
  <r>
    <x v="106"/>
    <s v="EXFY"/>
    <s v="on 5/12/25 After Market Eastern Standard Time"/>
    <x v="0"/>
  </r>
  <r>
    <x v="106"/>
    <s v="CHRD"/>
    <s v="on 5/12/25 After Market Eastern Standard Time"/>
    <x v="2"/>
  </r>
  <r>
    <x v="106"/>
    <s v="VERI"/>
    <s v="on 5/12/25 After Market Eastern Standard Time"/>
    <x v="0"/>
  </r>
  <r>
    <x v="106"/>
    <s v="INVE"/>
    <s v="on 5/12/25 After Market Eastern Standard Time"/>
    <x v="0"/>
  </r>
  <r>
    <x v="106"/>
    <s v="SURG"/>
    <s v="on 5/12/25 After Market Eastern Standard Time"/>
    <x v="0"/>
  </r>
  <r>
    <x v="106"/>
    <s v="PBR"/>
    <s v="on 5/12/25 After Market Eastern Standard Time"/>
    <x v="0"/>
  </r>
  <r>
    <x v="106"/>
    <s v="ATSG"/>
    <s v="on 5/12/25 After Market Eastern Standard Time"/>
    <x v="1"/>
  </r>
  <r>
    <x v="106"/>
    <s v="QUIK"/>
    <s v="on 5/12/25 After Market Eastern Standard Time"/>
    <x v="0"/>
  </r>
  <r>
    <x v="106"/>
    <s v="FHTX"/>
    <s v="on 5/12/25 After Market Eastern Standard Time"/>
    <x v="1"/>
  </r>
  <r>
    <x v="106"/>
    <s v="TLN"/>
    <s v="on 5/12/25 After Market Eastern Standard Time"/>
    <x v="0"/>
  </r>
  <r>
    <x v="106"/>
    <s v="NGS"/>
    <s v="on 5/12/25 After Market Eastern Standard Time"/>
    <x v="1"/>
  </r>
  <r>
    <x v="106"/>
    <s v="BPT"/>
    <s v="on 5/12/25 After Market Eastern Standard Time"/>
    <x v="0"/>
  </r>
  <r>
    <x v="106"/>
    <s v="DAVE"/>
    <s v="on 5/12/25 After Market Eastern Standard Time"/>
    <x v="1"/>
  </r>
  <r>
    <x v="106"/>
    <s v="EVRI"/>
    <s v="on 5/12/25 After Market Eastern Standard Time"/>
    <x v="1"/>
  </r>
  <r>
    <x v="106"/>
    <s v="VMD"/>
    <s v="on 5/12/25 After Market Eastern Standard Time"/>
    <x v="1"/>
  </r>
  <r>
    <x v="106"/>
    <s v="EXOD"/>
    <s v="on 5/12/25 After Market Eastern Standard Time"/>
    <x v="0"/>
  </r>
  <r>
    <x v="106"/>
    <s v="RPD"/>
    <s v="on 5/12/25 After Market Eastern Standard Time"/>
    <x v="1"/>
  </r>
  <r>
    <x v="106"/>
    <s v="RDFN"/>
    <s v="on 5/12/25 After Market Eastern Standard Time"/>
    <x v="1"/>
  </r>
  <r>
    <x v="106"/>
    <s v="VSEC"/>
    <s v="on 5/12/25 After Market Eastern Standard Time"/>
    <x v="1"/>
  </r>
  <r>
    <x v="106"/>
    <s v="CHMI"/>
    <s v="on 5/12/25 After Market Eastern Standard Time"/>
    <x v="0"/>
  </r>
  <r>
    <x v="106"/>
    <s v="CLDX"/>
    <s v="on 5/12/25 After Market Eastern Standard Time"/>
    <x v="1"/>
  </r>
  <r>
    <x v="106"/>
    <s v="LOGC"/>
    <s v="on 5/12/25 After Market Eastern Standard Time"/>
    <x v="0"/>
  </r>
  <r>
    <x v="106"/>
    <s v="EMX"/>
    <s v="on 5/12/25 After Market Eastern Standard Time"/>
    <x v="0"/>
  </r>
  <r>
    <x v="106"/>
    <s v="VANI"/>
    <s v="on 5/12/25 After Market Eastern Standard Time"/>
    <x v="0"/>
  </r>
  <r>
    <x v="106"/>
    <s v="ESP"/>
    <s v="on 5/12/25 After Market Eastern Standard Time"/>
    <x v="0"/>
  </r>
  <r>
    <x v="106"/>
    <s v="TBPH"/>
    <s v="on 5/12/25 After Market Eastern Standard Time"/>
    <x v="1"/>
  </r>
  <r>
    <x v="106"/>
    <s v="HRGN"/>
    <s v="on 5/12/25 After Market Eastern Standard Time"/>
    <x v="0"/>
  </r>
  <r>
    <x v="106"/>
    <s v="CYTK"/>
    <s v="on 5/12/25 After Market Eastern Standard Time"/>
    <x v="1"/>
  </r>
  <r>
    <x v="106"/>
    <s v="DWSN"/>
    <s v="on 5/12/25 After Market Eastern Standard Time"/>
    <x v="0"/>
  </r>
  <r>
    <x v="106"/>
    <s v="BALY"/>
    <s v="on 5/12/25 After Market Eastern Standard Time"/>
    <x v="1"/>
  </r>
  <r>
    <x v="106"/>
    <s v="RCEL"/>
    <s v="on 5/12/25 After Market Eastern Standard Time"/>
    <x v="1"/>
  </r>
  <r>
    <x v="106"/>
    <s v="PFLT"/>
    <s v="on 5/12/25 After Market Eastern Standard Time"/>
    <x v="0"/>
  </r>
  <r>
    <x v="106"/>
    <s v="GAN"/>
    <s v="on 5/12/25 After Market Eastern Standard Time"/>
    <x v="0"/>
  </r>
  <r>
    <x v="106"/>
    <s v="AGS"/>
    <s v="on 5/12/25 After Market Eastern Standard Time"/>
    <x v="1"/>
  </r>
  <r>
    <x v="106"/>
    <s v="NHI"/>
    <s v="on 5/12/25 After Market Eastern Standard Time"/>
    <x v="1"/>
  </r>
  <r>
    <x v="106"/>
    <s v="VTLE"/>
    <s v="on 5/12/25 After Market Eastern Standard Time"/>
    <x v="1"/>
  </r>
  <r>
    <x v="106"/>
    <s v="TREX"/>
    <s v="on 5/12/25 After Market Eastern Standard Time"/>
    <x v="2"/>
  </r>
  <r>
    <x v="106"/>
    <s v="BZFD"/>
    <s v="on 5/12/25 After Market Eastern Standard Time"/>
    <x v="0"/>
  </r>
  <r>
    <x v="106"/>
    <s v="NXDT"/>
    <s v="on 5/12/25 After Market Eastern Standard Time"/>
    <x v="1"/>
  </r>
  <r>
    <x v="106"/>
    <s v="KLXE"/>
    <s v="on 5/12/25 After Market Eastern Standard Time"/>
    <x v="0"/>
  </r>
  <r>
    <x v="106"/>
    <s v="CON"/>
    <s v="on 5/12/25 After Market Eastern Standard Time"/>
    <x v="1"/>
  </r>
  <r>
    <x v="106"/>
    <s v="AP"/>
    <s v="on 5/12/25 After Market Eastern Standard Time"/>
    <x v="0"/>
  </r>
  <r>
    <x v="106"/>
    <s v="PAY"/>
    <s v="on 5/12/25 After Market Eastern Standard Time"/>
    <x v="0"/>
  </r>
  <r>
    <x v="106"/>
    <s v="PGNY"/>
    <s v="on 5/12/25 After Market Eastern Standard Time"/>
    <x v="1"/>
  </r>
  <r>
    <x v="106"/>
    <s v="MFIC"/>
    <s v="on 5/12/25 After Market Eastern Standard Time"/>
    <x v="0"/>
  </r>
  <r>
    <x v="106"/>
    <s v="CVGI"/>
    <s v="on 5/12/25 After Market Eastern Standard Time"/>
    <x v="0"/>
  </r>
  <r>
    <x v="106"/>
    <s v="BAER"/>
    <s v="on 5/12/25 After Market Eastern Standard Time"/>
    <x v="0"/>
  </r>
  <r>
    <x v="106"/>
    <s v="NATL"/>
    <s v="on 5/12/25 After Market Eastern Standard Time"/>
    <x v="1"/>
  </r>
  <r>
    <x v="106"/>
    <s v="SENS"/>
    <s v="on 5/12/25 After Market Eastern Standard Time"/>
    <x v="0"/>
  </r>
  <r>
    <x v="106"/>
    <s v="JOBY"/>
    <s v="on 5/12/25 After Market Eastern Standard Time"/>
    <x v="1"/>
  </r>
  <r>
    <x v="106"/>
    <s v="SCOR"/>
    <s v="on 5/12/25 After Market Eastern Standard Time"/>
    <x v="0"/>
  </r>
  <r>
    <x v="106"/>
    <s v="HYPR"/>
    <s v="on 5/12/25 After Market Eastern Standard Time"/>
    <x v="0"/>
  </r>
  <r>
    <x v="106"/>
    <s v="HSDT"/>
    <s v="on 5/12/25 After Market Eastern Standard Time"/>
    <x v="0"/>
  </r>
  <r>
    <x v="106"/>
    <s v="LPSN"/>
    <s v="on 5/12/25 After Market Eastern Standard Time"/>
    <x v="0"/>
  </r>
  <r>
    <x v="106"/>
    <s v="SA"/>
    <s v="on 5/12/25 After Market Eastern Standard Time"/>
    <x v="0"/>
  </r>
  <r>
    <x v="106"/>
    <s v="BIOX"/>
    <s v="on 5/12/25 After Market Eastern Standard Time"/>
    <x v="0"/>
  </r>
  <r>
    <x v="106"/>
    <s v="QNCX"/>
    <s v="on 5/12/25 After Market Eastern Standard Time"/>
    <x v="0"/>
  </r>
  <r>
    <x v="106"/>
    <s v="VCSA"/>
    <s v="on 5/12/25 After Market Eastern Standard Time"/>
    <x v="0"/>
  </r>
  <r>
    <x v="106"/>
    <s v="CDRE"/>
    <s v="on 5/12/25 After Market Eastern Standard Time"/>
    <x v="1"/>
  </r>
  <r>
    <x v="106"/>
    <s v="UTI"/>
    <s v="on 5/12/25 After Market Eastern Standard Time"/>
    <x v="1"/>
  </r>
  <r>
    <x v="106"/>
    <s v="SEG"/>
    <s v="on 5/12/25 After Market Eastern Standard Time"/>
    <x v="0"/>
  </r>
  <r>
    <x v="106"/>
    <s v="PAM"/>
    <s v="on 5/12/25 After Market Eastern Standard Time"/>
    <x v="0"/>
  </r>
  <r>
    <x v="106"/>
    <s v="EPM"/>
    <s v="on 5/12/25 After Market Eastern Standard Time"/>
    <x v="0"/>
  </r>
  <r>
    <x v="106"/>
    <s v="AAWH"/>
    <s v="on 5/12/25 After Market Eastern Standard Time"/>
    <x v="0"/>
  </r>
  <r>
    <x v="106"/>
    <s v="GHLD"/>
    <s v="on 5/12/25 After Market Eastern Standard Time"/>
    <x v="0"/>
  </r>
  <r>
    <x v="106"/>
    <s v="ARQT"/>
    <s v="on 5/12/25 After Market Eastern Standard Time"/>
    <x v="1"/>
  </r>
  <r>
    <x v="106"/>
    <s v="CVV"/>
    <s v="on 5/12/25 After Market Eastern Standard Time"/>
    <x v="0"/>
  </r>
  <r>
    <x v="106"/>
    <s v="NOTV"/>
    <s v="on 5/12/25 After Market Eastern Standard Time"/>
    <x v="0"/>
  </r>
  <r>
    <x v="106"/>
    <s v="GBIO"/>
    <s v="on 5/12/25 After Market Eastern Standard Time"/>
    <x v="0"/>
  </r>
  <r>
    <x v="106"/>
    <s v="GUTS"/>
    <s v="on 5/12/25 After Market Eastern Standard Time"/>
    <x v="0"/>
  </r>
  <r>
    <x v="106"/>
    <s v="TVTX"/>
    <s v="on 5/12/25 After Market Eastern Standard Time"/>
    <x v="1"/>
  </r>
  <r>
    <x v="106"/>
    <s v="MRMD"/>
    <s v="on 5/12/25 After Market Eastern Standard Time"/>
    <x v="0"/>
  </r>
  <r>
    <x v="106"/>
    <s v="ESGR"/>
    <s v="on 5/12/25 After Market Eastern Standard Time"/>
    <x v="1"/>
  </r>
  <r>
    <x v="106"/>
    <s v="ARKR"/>
    <s v="on 5/12/25 After Market Eastern Standard Time"/>
    <x v="0"/>
  </r>
  <r>
    <x v="106"/>
    <s v="ZI"/>
    <s v="on 5/12/25 After Market Eastern Standard Time"/>
    <x v="2"/>
  </r>
  <r>
    <x v="106"/>
    <s v="MUX"/>
    <s v="on 5/12/25 After Market Eastern Standard Time"/>
    <x v="0"/>
  </r>
  <r>
    <x v="106"/>
    <s v="BTMD"/>
    <s v="on 5/12/25 After Market Eastern Standard Time"/>
    <x v="0"/>
  </r>
  <r>
    <x v="106"/>
    <s v="MDBH"/>
    <s v="on 5/12/25 After Market Eastern Standard Time"/>
    <x v="0"/>
  </r>
  <r>
    <x v="106"/>
    <s v="MAPS"/>
    <s v="on 5/12/25 After Market Eastern Standard Time"/>
    <x v="0"/>
  </r>
  <r>
    <x v="106"/>
    <s v="WTI"/>
    <s v="on 5/12/25 After Market Eastern Standard Time"/>
    <x v="1"/>
  </r>
  <r>
    <x v="106"/>
    <s v="NXGL"/>
    <s v="on 5/12/25 After Market Eastern Standard Time"/>
    <x v="0"/>
  </r>
  <r>
    <x v="106"/>
    <s v="ALTM"/>
    <s v="on 5/12/25 After Market Eastern Standard Time"/>
    <x v="1"/>
  </r>
  <r>
    <x v="106"/>
    <s v="NTRA"/>
    <s v="on 5/12/25 After Market Eastern Standard Time"/>
    <x v="0"/>
  </r>
  <r>
    <x v="106"/>
    <s v="SLND"/>
    <s v="on 5/12/25 After Market Eastern Standard Time"/>
    <x v="0"/>
  </r>
  <r>
    <x v="106"/>
    <s v="EVH"/>
    <s v="on 5/12/25 After Market Eastern Standard Time"/>
    <x v="1"/>
  </r>
  <r>
    <x v="106"/>
    <s v="GEOS"/>
    <s v="on 5/12/25 After Market Eastern Standard Time"/>
    <x v="0"/>
  </r>
  <r>
    <x v="106"/>
    <s v="AKYA"/>
    <s v="on 5/12/25 After Market Eastern Standard Time"/>
    <x v="0"/>
  </r>
  <r>
    <x v="106"/>
    <s v="MNR"/>
    <s v="on 5/12/25 After Market Eastern Standard Time"/>
    <x v="0"/>
  </r>
  <r>
    <x v="107"/>
    <s v="DARE"/>
    <s v="on 5/13/25 Before Market Eastern Standard Time"/>
    <x v="0"/>
  </r>
  <r>
    <x v="107"/>
    <s v="ALVR"/>
    <s v="on 5/13/25 Before Market Eastern Standard Time"/>
    <x v="0"/>
  </r>
  <r>
    <x v="107"/>
    <s v="DTIL"/>
    <s v="on 5/13/25 Before Market Eastern Standard Time"/>
    <x v="0"/>
  </r>
  <r>
    <x v="107"/>
    <s v="QXO"/>
    <s v="on 5/13/25 Before Market Eastern Standard Time"/>
    <x v="0"/>
  </r>
  <r>
    <x v="107"/>
    <s v="NUWE"/>
    <s v="on 5/13/25 Before Market Eastern Standard Time"/>
    <x v="0"/>
  </r>
  <r>
    <x v="107"/>
    <s v="FULC"/>
    <s v="on 5/13/25 Before Market Eastern Standard Time"/>
    <x v="1"/>
  </r>
  <r>
    <x v="107"/>
    <s v="MMYT"/>
    <s v="on 5/13/25 Unspecified Eastern Standard Time"/>
    <x v="0"/>
  </r>
  <r>
    <x v="107"/>
    <s v="PBH"/>
    <s v="on 5/13/25 Before Market Eastern Standard Time"/>
    <x v="1"/>
  </r>
  <r>
    <x v="107"/>
    <s v="LQDA"/>
    <s v="on 5/13/25 Before Market Eastern Standard Time"/>
    <x v="1"/>
  </r>
  <r>
    <x v="107"/>
    <s v="SRRK"/>
    <s v="on 5/13/25 Before Market Eastern Standard Time"/>
    <x v="1"/>
  </r>
  <r>
    <x v="107"/>
    <s v="TSHA"/>
    <s v="on 5/13/25 Before Market Eastern Standard Time"/>
    <x v="1"/>
  </r>
  <r>
    <x v="107"/>
    <s v="IIJIY"/>
    <s v="on 5/13/25 Unspecified Eastern Standard Time"/>
    <x v="0"/>
  </r>
  <r>
    <x v="107"/>
    <s v="HYFM"/>
    <s v="on 5/13/25 Before Market Eastern Standard Time"/>
    <x v="0"/>
  </r>
  <r>
    <x v="107"/>
    <s v="IPHA"/>
    <s v="on 5/13/25 Before Market Eastern Standard Time"/>
    <x v="0"/>
  </r>
  <r>
    <x v="107"/>
    <s v="CYBR"/>
    <s v="on 5/13/25 Before Market Eastern Standard Time"/>
    <x v="0"/>
  </r>
  <r>
    <x v="107"/>
    <s v="SOHO"/>
    <s v="on 5/13/25 Before Market Eastern Standard Time"/>
    <x v="0"/>
  </r>
  <r>
    <x v="107"/>
    <s v="SFL"/>
    <s v="on 5/13/25 Before Market Eastern Standard Time"/>
    <x v="1"/>
  </r>
  <r>
    <x v="107"/>
    <s v="CHCI"/>
    <s v="on 5/13/25 Before Market Eastern Standard Time"/>
    <x v="0"/>
  </r>
  <r>
    <x v="107"/>
    <s v="RUM"/>
    <s v="on 5/13/25 Before Market Eastern Standard Time"/>
    <x v="0"/>
  </r>
  <r>
    <x v="107"/>
    <s v="EVTL"/>
    <s v="on 5/13/25 Before Market Eastern Standard Time"/>
    <x v="0"/>
  </r>
  <r>
    <x v="107"/>
    <s v="NMM"/>
    <s v="on 5/13/25 Before Market Eastern Standard Time"/>
    <x v="0"/>
  </r>
  <r>
    <x v="107"/>
    <s v="MTSR"/>
    <s v="on 5/13/25 Before Market Eastern Standard Time"/>
    <x v="0"/>
  </r>
  <r>
    <x v="107"/>
    <s v="ITRM"/>
    <s v="on 5/13/25 Before Market Eastern Standard Time"/>
    <x v="0"/>
  </r>
  <r>
    <x v="107"/>
    <s v="IHS"/>
    <s v="on 5/13/25 Before Market Eastern Standard Time"/>
    <x v="0"/>
  </r>
  <r>
    <x v="107"/>
    <s v="ONON"/>
    <s v="on 5/13/25 Before Market Eastern Standard Time"/>
    <x v="0"/>
  </r>
  <r>
    <x v="107"/>
    <s v="LOAR"/>
    <s v="on 5/13/25 Before Market Eastern Standard Time"/>
    <x v="0"/>
  </r>
  <r>
    <x v="107"/>
    <s v="SEPN"/>
    <s v="on 5/13/25 Before Market Eastern Standard Time"/>
    <x v="0"/>
  </r>
  <r>
    <x v="107"/>
    <s v="LEGN"/>
    <s v="on 5/13/25 Before Market Eastern Standard Time"/>
    <x v="0"/>
  </r>
  <r>
    <x v="107"/>
    <s v="CCLD"/>
    <s v="on 5/13/25 Before Market Eastern Standard Time"/>
    <x v="0"/>
  </r>
  <r>
    <x v="107"/>
    <s v="ACRV"/>
    <s v="on 5/13/25 Before Market Eastern Standard Time"/>
    <x v="0"/>
  </r>
  <r>
    <x v="107"/>
    <s v="BABA"/>
    <s v="on 5/13/25 Before Market Eastern Standard Time"/>
    <x v="0"/>
  </r>
  <r>
    <x v="107"/>
    <s v="BAYRY"/>
    <s v="on 5/13/25 Before Market Eastern Standard Time"/>
    <x v="0"/>
  </r>
  <r>
    <x v="107"/>
    <s v="RAND"/>
    <s v="on 5/13/25 Before Market Eastern Standard Time"/>
    <x v="0"/>
  </r>
  <r>
    <x v="107"/>
    <s v="IGT"/>
    <s v="on 5/13/25 Before Market Eastern Standard Time"/>
    <x v="1"/>
  </r>
  <r>
    <x v="107"/>
    <s v="STIM"/>
    <s v="on 5/13/25 Before Market Eastern Standard Time"/>
    <x v="0"/>
  </r>
  <r>
    <x v="107"/>
    <s v="OGI"/>
    <s v="on 5/13/25 Before Market Eastern Standard Time"/>
    <x v="0"/>
  </r>
  <r>
    <x v="107"/>
    <s v="KPLUY"/>
    <s v="on 5/13/25 Unspecified Eastern Standard Time"/>
    <x v="0"/>
  </r>
  <r>
    <x v="107"/>
    <s v="NYXH"/>
    <s v="on 5/13/25 Before Market Eastern Standard Time"/>
    <x v="0"/>
  </r>
  <r>
    <x v="107"/>
    <s v="DCTH"/>
    <s v="on 5/13/25 Before Market Eastern Standard Time"/>
    <x v="0"/>
  </r>
  <r>
    <x v="107"/>
    <s v="TOI"/>
    <s v="on 5/13/25 Before Market Eastern Standard Time"/>
    <x v="0"/>
  </r>
  <r>
    <x v="107"/>
    <s v="BNAI"/>
    <s v="on 5/13/25 Unspecified Eastern Standard Time"/>
    <x v="0"/>
  </r>
  <r>
    <x v="107"/>
    <s v="OPTN"/>
    <s v="on 5/13/25 Before Market Eastern Standard Time"/>
    <x v="0"/>
  </r>
  <r>
    <x v="107"/>
    <s v="KLRS"/>
    <s v="on 5/13/25 Before Market Eastern Standard Time"/>
    <x v="0"/>
  </r>
  <r>
    <x v="107"/>
    <s v="KALA"/>
    <s v="on 5/13/25 Before Market Eastern Standard Time"/>
    <x v="0"/>
  </r>
  <r>
    <x v="107"/>
    <s v="STTK"/>
    <s v="on 5/13/25 Before Market Eastern Standard Time"/>
    <x v="0"/>
  </r>
  <r>
    <x v="107"/>
    <s v="LUNR"/>
    <s v="on 5/13/25 Before Market Eastern Standard Time"/>
    <x v="1"/>
  </r>
  <r>
    <x v="107"/>
    <s v="MAMO"/>
    <s v="on 5/13/25 Before Market Eastern Standard Time"/>
    <x v="0"/>
  </r>
  <r>
    <x v="107"/>
    <s v="TRML"/>
    <s v="on 5/13/25 Before Market Eastern Standard Time"/>
    <x v="1"/>
  </r>
  <r>
    <x v="107"/>
    <s v="SFTBY"/>
    <s v="on 5/13/25 Unspecified Eastern Standard Time"/>
    <x v="0"/>
  </r>
  <r>
    <x v="107"/>
    <s v="ACIU"/>
    <s v="on 5/13/25 Before Market Eastern Standard Time"/>
    <x v="0"/>
  </r>
  <r>
    <x v="107"/>
    <s v="BCAX"/>
    <s v="on 5/13/25 Before Market Eastern Standard Time"/>
    <x v="0"/>
  </r>
  <r>
    <x v="107"/>
    <s v="VIGL"/>
    <s v="on 5/13/25 Before Market Eastern Standard Time"/>
    <x v="0"/>
  </r>
  <r>
    <x v="107"/>
    <s v="INKT"/>
    <s v="on 5/13/25 Before Market Eastern Standard Time"/>
    <x v="0"/>
  </r>
  <r>
    <x v="107"/>
    <s v="LEAT"/>
    <s v="on 5/13/25 Before Market Eastern Standard Time"/>
    <x v="0"/>
  </r>
  <r>
    <x v="107"/>
    <s v="DDL"/>
    <s v="on 5/13/25 Before Market Eastern Standard Time"/>
    <x v="0"/>
  </r>
  <r>
    <x v="107"/>
    <s v="LAC"/>
    <s v="on 5/13/25 Before Market Eastern Standard Time"/>
    <x v="0"/>
  </r>
  <r>
    <x v="107"/>
    <s v="ACCS"/>
    <s v="on 5/13/25 Before Market Eastern Standard Time"/>
    <x v="0"/>
  </r>
  <r>
    <x v="107"/>
    <s v="AVAL"/>
    <s v="on 5/13/25 Unspecified Eastern Standard Time"/>
    <x v="0"/>
  </r>
  <r>
    <x v="107"/>
    <s v="BOW"/>
    <s v="on 5/13/25 Before Market Eastern Standard Time"/>
    <x v="1"/>
  </r>
  <r>
    <x v="107"/>
    <s v="SDHC"/>
    <s v="on 5/13/25 Before Market Eastern Standard Time"/>
    <x v="0"/>
  </r>
  <r>
    <x v="107"/>
    <s v="PMN"/>
    <s v="on 5/13/25 Before Market Eastern Standard Time"/>
    <x v="0"/>
  </r>
  <r>
    <x v="107"/>
    <s v="FENC"/>
    <s v="on 5/13/25 Before Market Eastern Standard Time"/>
    <x v="0"/>
  </r>
  <r>
    <x v="107"/>
    <s v="SE"/>
    <s v="on 5/13/25 Before Market Eastern Standard Time"/>
    <x v="0"/>
  </r>
  <r>
    <x v="108"/>
    <s v="AAME"/>
    <s v="on 5/13/25 During Market Eastern Standard Time"/>
    <x v="0"/>
  </r>
  <r>
    <x v="109"/>
    <s v="NUVB"/>
    <s v="on 5/13/25 After Market Eastern Standard Time"/>
    <x v="1"/>
  </r>
  <r>
    <x v="109"/>
    <s v="UBX"/>
    <s v="on 5/13/25 After Market Eastern Standard Time"/>
    <x v="0"/>
  </r>
  <r>
    <x v="109"/>
    <s v="VINC"/>
    <s v="on 5/13/25 After Market Eastern Standard Time"/>
    <x v="0"/>
  </r>
  <r>
    <x v="109"/>
    <s v="ATER"/>
    <s v="on 5/13/25 After Market Eastern Standard Time"/>
    <x v="0"/>
  </r>
  <r>
    <x v="109"/>
    <s v="TNYA"/>
    <s v="on 5/13/25 After Market Eastern Standard Time"/>
    <x v="0"/>
  </r>
  <r>
    <x v="109"/>
    <s v="INOD"/>
    <s v="on 5/13/25 After Market Eastern Standard Time"/>
    <x v="1"/>
  </r>
  <r>
    <x v="109"/>
    <s v="SDRL"/>
    <s v="on 5/13/25 After Market Eastern Standard Time"/>
    <x v="1"/>
  </r>
  <r>
    <x v="109"/>
    <s v="DYAI"/>
    <s v="on 5/13/25 After Market Eastern Standard Time"/>
    <x v="0"/>
  </r>
  <r>
    <x v="109"/>
    <s v="ELMD"/>
    <s v="on 5/13/25 After Market Eastern Standard Time"/>
    <x v="0"/>
  </r>
  <r>
    <x v="109"/>
    <s v="RVYL"/>
    <s v="on 5/13/25 After Market Eastern Standard Time"/>
    <x v="0"/>
  </r>
  <r>
    <x v="109"/>
    <s v="ACET"/>
    <s v="on 5/13/25 After Market Eastern Standard Time"/>
    <x v="0"/>
  </r>
  <r>
    <x v="109"/>
    <s v="NXT"/>
    <s v="on 5/13/25 After Market Eastern Standard Time"/>
    <x v="1"/>
  </r>
  <r>
    <x v="109"/>
    <s v="PANW"/>
    <s v="on 5/13/25 After Market Eastern Standard Time"/>
    <x v="3"/>
  </r>
  <r>
    <x v="109"/>
    <s v="VRCA"/>
    <s v="on 5/13/25 After Market Eastern Standard Time"/>
    <x v="0"/>
  </r>
  <r>
    <x v="109"/>
    <s v="DFLI"/>
    <s v="on 5/13/25 After Market Eastern Standard Time"/>
    <x v="0"/>
  </r>
  <r>
    <x v="109"/>
    <s v="SSTI"/>
    <s v="on 5/13/25 After Market Eastern Standard Time"/>
    <x v="0"/>
  </r>
  <r>
    <x v="109"/>
    <s v="ARTV"/>
    <s v="on 5/13/25 After Market Eastern Standard Time"/>
    <x v="0"/>
  </r>
  <r>
    <x v="109"/>
    <s v="ULY"/>
    <s v="on 5/13/25 After Market Eastern Standard Time"/>
    <x v="0"/>
  </r>
  <r>
    <x v="109"/>
    <s v="HROW"/>
    <s v="on 5/13/25 After Market Eastern Standard Time"/>
    <x v="1"/>
  </r>
  <r>
    <x v="109"/>
    <s v="TERN"/>
    <s v="on 5/13/25 After Market Eastern Standard Time"/>
    <x v="1"/>
  </r>
  <r>
    <x v="109"/>
    <s v="ORGN"/>
    <s v="on 5/13/25 After Market Eastern Standard Time"/>
    <x v="0"/>
  </r>
  <r>
    <x v="109"/>
    <s v="TISI"/>
    <s v="on 5/13/25 After Market Eastern Standard Time"/>
    <x v="0"/>
  </r>
  <r>
    <x v="109"/>
    <s v="REED"/>
    <s v="on 5/13/25 After Market Eastern Standard Time"/>
    <x v="0"/>
  </r>
  <r>
    <x v="109"/>
    <s v="MGX"/>
    <s v="on 5/13/25 After Market Eastern Standard Time"/>
    <x v="0"/>
  </r>
  <r>
    <x v="109"/>
    <s v="LGVN"/>
    <s v="on 5/13/25 After Market Eastern Standard Time"/>
    <x v="0"/>
  </r>
  <r>
    <x v="109"/>
    <s v="ICCC"/>
    <s v="on 5/13/25 After Market Eastern Standard Time"/>
    <x v="0"/>
  </r>
  <r>
    <x v="109"/>
    <s v="DRRX"/>
    <s v="on 5/13/25 After Market Eastern Standard Time"/>
    <x v="0"/>
  </r>
  <r>
    <x v="109"/>
    <s v="EC"/>
    <s v="on 5/13/25 After Market Eastern Standard Time"/>
    <x v="0"/>
  </r>
  <r>
    <x v="109"/>
    <s v="MCHX"/>
    <s v="on 5/13/25 After Market Eastern Standard Time"/>
    <x v="0"/>
  </r>
  <r>
    <x v="109"/>
    <s v="BOOT"/>
    <s v="on 5/13/25 After Market Eastern Standard Time"/>
    <x v="1"/>
  </r>
  <r>
    <x v="109"/>
    <s v="EOSE"/>
    <s v="on 5/13/25 After Market Eastern Standard Time"/>
    <x v="0"/>
  </r>
  <r>
    <x v="109"/>
    <s v="TNON"/>
    <s v="on 5/13/25 After Market Eastern Standard Time"/>
    <x v="0"/>
  </r>
  <r>
    <x v="109"/>
    <s v="VTSI"/>
    <s v="on 5/13/25 After Market Eastern Standard Time"/>
    <x v="0"/>
  </r>
  <r>
    <x v="109"/>
    <s v="JSDA"/>
    <s v="on 5/13/25 After Market Eastern Standard Time"/>
    <x v="0"/>
  </r>
  <r>
    <x v="109"/>
    <s v="JACK"/>
    <s v="on 5/13/25 After Market Eastern Standard Time"/>
    <x v="1"/>
  </r>
  <r>
    <x v="109"/>
    <s v="NU"/>
    <s v="on 5/13/25 After Market Eastern Standard Time"/>
    <x v="0"/>
  </r>
  <r>
    <x v="109"/>
    <s v="VVOS"/>
    <s v="on 5/13/25 After Market Eastern Standard Time"/>
    <x v="0"/>
  </r>
  <r>
    <x v="109"/>
    <s v="ISSC"/>
    <s v="on 5/13/25 After Market Eastern Standard Time"/>
    <x v="0"/>
  </r>
  <r>
    <x v="109"/>
    <s v="BBNX"/>
    <s v="on 5/13/25 After Market Eastern Standard Time"/>
    <x v="0"/>
  </r>
  <r>
    <x v="109"/>
    <s v="CBLL"/>
    <s v="on 5/13/25 After Market Eastern Standard Time"/>
    <x v="0"/>
  </r>
  <r>
    <x v="109"/>
    <s v="DHT"/>
    <s v="on 5/13/25 After Market Eastern Standard Time"/>
    <x v="1"/>
  </r>
  <r>
    <x v="109"/>
    <s v="DLO"/>
    <s v="on 5/13/25 After Market Eastern Standard Time"/>
    <x v="0"/>
  </r>
  <r>
    <x v="109"/>
    <s v="ANTX"/>
    <s v="on 5/13/25 After Market Eastern Standard Time"/>
    <x v="0"/>
  </r>
  <r>
    <x v="109"/>
    <s v="GENK"/>
    <s v="on 5/13/25 After Market Eastern Standard Time"/>
    <x v="0"/>
  </r>
  <r>
    <x v="109"/>
    <s v="INTZ"/>
    <s v="on 5/13/25 After Market Eastern Standard Time"/>
    <x v="0"/>
  </r>
  <r>
    <x v="109"/>
    <s v="TLPH"/>
    <s v="on 5/13/25 After Market Eastern Standard Time"/>
    <x v="0"/>
  </r>
  <r>
    <x v="109"/>
    <s v="RVPH"/>
    <s v="on 5/13/25 After Market Eastern Standard Time"/>
    <x v="0"/>
  </r>
  <r>
    <x v="109"/>
    <s v="TOVX"/>
    <s v="on 5/13/25 After Market Eastern Standard Time"/>
    <x v="0"/>
  </r>
  <r>
    <x v="109"/>
    <s v="XPON"/>
    <s v="on 5/13/25 After Market Eastern Standard Time"/>
    <x v="0"/>
  </r>
  <r>
    <x v="109"/>
    <s v="CAPR"/>
    <s v="on 5/13/25 After Market Eastern Standard Time"/>
    <x v="1"/>
  </r>
  <r>
    <x v="109"/>
    <s v="CTXR"/>
    <s v="on 5/13/25 After Market Eastern Standard Time"/>
    <x v="0"/>
  </r>
  <r>
    <x v="109"/>
    <s v="MOBX"/>
    <s v="on 5/13/25 After Market Eastern Standard Time"/>
    <x v="0"/>
  </r>
  <r>
    <x v="109"/>
    <s v="IDN"/>
    <s v="on 5/13/25 After Market Eastern Standard Time"/>
    <x v="0"/>
  </r>
  <r>
    <x v="109"/>
    <s v="WALD"/>
    <s v="on 5/13/25 After Market Eastern Standard Time"/>
    <x v="0"/>
  </r>
  <r>
    <x v="109"/>
    <s v="SDST"/>
    <s v="on 5/13/25 After Market Eastern Standard Time"/>
    <x v="0"/>
  </r>
  <r>
    <x v="109"/>
    <s v="TYGO"/>
    <s v="on 5/13/25 After Market Eastern Standard Time"/>
    <x v="0"/>
  </r>
  <r>
    <x v="109"/>
    <s v="ASPI"/>
    <s v="on 5/13/25 After Market Eastern Standard Time"/>
    <x v="1"/>
  </r>
  <r>
    <x v="109"/>
    <s v="DERM"/>
    <s v="on 5/13/25 After Market Eastern Standard Time"/>
    <x v="0"/>
  </r>
  <r>
    <x v="109"/>
    <s v="STNE"/>
    <s v="on 5/13/25 After Market Eastern Standard Time"/>
    <x v="1"/>
  </r>
  <r>
    <x v="109"/>
    <s v="CRVS"/>
    <s v="on 5/13/25 After Market Eastern Standard Time"/>
    <x v="0"/>
  </r>
  <r>
    <x v="109"/>
    <s v="ICMB"/>
    <s v="on 5/13/25 After Market Eastern Standard Time"/>
    <x v="0"/>
  </r>
  <r>
    <x v="109"/>
    <s v="TNXP"/>
    <s v="on 5/13/25 After Market Eastern Standard Time"/>
    <x v="0"/>
  </r>
  <r>
    <x v="109"/>
    <s v="LAR"/>
    <s v="on 5/13/25 After Market Eastern Standard Time"/>
    <x v="0"/>
  </r>
  <r>
    <x v="110"/>
    <s v="SANW"/>
    <s v="on 5/14/25 Before Market Eastern Standard Time"/>
    <x v="0"/>
  </r>
  <r>
    <x v="110"/>
    <s v="DT"/>
    <s v="on 5/14/25 Before Market Eastern Standard Time"/>
    <x v="2"/>
  </r>
  <r>
    <x v="110"/>
    <s v="KPLT"/>
    <s v="on 5/14/25 Before Market Eastern Standard Time"/>
    <x v="0"/>
  </r>
  <r>
    <x v="110"/>
    <s v="AZUL"/>
    <s v="on 5/14/25 Unspecified Eastern Standard Time"/>
    <x v="0"/>
  </r>
  <r>
    <x v="110"/>
    <s v="JSPR"/>
    <s v="on 5/14/25 Before Market Eastern Standard Time"/>
    <x v="1"/>
  </r>
  <r>
    <x v="110"/>
    <s v="NEON"/>
    <s v="on 5/14/25 Before Market Eastern Standard Time"/>
    <x v="0"/>
  </r>
  <r>
    <x v="110"/>
    <s v="CTGO"/>
    <s v="on 5/14/25 Before Market Eastern Standard Time"/>
    <x v="1"/>
  </r>
  <r>
    <x v="110"/>
    <s v="WPRT"/>
    <s v="on 5/14/25 Before Market Eastern Standard Time"/>
    <x v="0"/>
  </r>
  <r>
    <x v="110"/>
    <s v="NVGS"/>
    <s v="on 5/14/25 Before Market Eastern Standard Time"/>
    <x v="0"/>
  </r>
  <r>
    <x v="110"/>
    <s v="BWEN"/>
    <s v="on 5/14/25 Before Market Eastern Standard Time"/>
    <x v="0"/>
  </r>
  <r>
    <x v="110"/>
    <s v="NSANY"/>
    <s v="on 5/14/25 Unspecified Eastern Standard Time"/>
    <x v="0"/>
  </r>
  <r>
    <x v="110"/>
    <s v="GIGI"/>
    <s v="on 5/14/25 Before Market Eastern Standard Time"/>
    <x v="0"/>
  </r>
  <r>
    <x v="110"/>
    <s v="EONGY"/>
    <s v="on 5/14/25 Before Market Eastern Standard Time"/>
    <x v="0"/>
  </r>
  <r>
    <x v="110"/>
    <s v="JAGX"/>
    <s v="on 5/14/25 Before Market Eastern Standard Time"/>
    <x v="0"/>
  </r>
  <r>
    <x v="110"/>
    <s v="DOLE"/>
    <s v="on 5/14/25 Before Market Eastern Standard Time"/>
    <x v="1"/>
  </r>
  <r>
    <x v="110"/>
    <s v="MHGVY"/>
    <s v="on 5/14/25 Unspecified Eastern Standard Time"/>
    <x v="0"/>
  </r>
  <r>
    <x v="110"/>
    <s v="RSKD"/>
    <s v="on 5/14/25 Before Market Eastern Standard Time"/>
    <x v="0"/>
  </r>
  <r>
    <x v="110"/>
    <s v="SMFG"/>
    <s v="on 5/14/25 Unspecified Eastern Standard Time"/>
    <x v="0"/>
  </r>
  <r>
    <x v="110"/>
    <s v="CDRO"/>
    <s v="on 5/14/25 Before Market Eastern Standard Time"/>
    <x v="0"/>
  </r>
  <r>
    <x v="110"/>
    <s v="MNMD"/>
    <s v="on 5/14/25 Before Market Eastern Standard Time"/>
    <x v="1"/>
  </r>
  <r>
    <x v="110"/>
    <s v="ALSMY"/>
    <s v="on 5/14/25 Before Market Eastern Standard Time"/>
    <x v="0"/>
  </r>
  <r>
    <x v="110"/>
    <s v="SOWG"/>
    <s v="on 5/14/25 Before Market Eastern Standard Time"/>
    <x v="0"/>
  </r>
  <r>
    <x v="110"/>
    <s v="BTM"/>
    <s v="on 5/14/25 Before Market Eastern Standard Time"/>
    <x v="0"/>
  </r>
  <r>
    <x v="110"/>
    <s v="CENN"/>
    <s v="on 5/14/25 Before Market Eastern Standard Time"/>
    <x v="0"/>
  </r>
  <r>
    <x v="110"/>
    <s v="APTO"/>
    <s v="on 5/14/25 Before Market Eastern Standard Time"/>
    <x v="0"/>
  </r>
  <r>
    <x v="110"/>
    <s v="PVLA"/>
    <s v="on 5/14/25 Before Market Eastern Standard Time"/>
    <x v="0"/>
  </r>
  <r>
    <x v="110"/>
    <s v="SRAD"/>
    <s v="on 5/14/25 Before Market Eastern Standard Time"/>
    <x v="0"/>
  </r>
  <r>
    <x v="110"/>
    <s v="AAVMY"/>
    <s v="on 5/14/25 Before Market Eastern Standard Time"/>
    <x v="0"/>
  </r>
  <r>
    <x v="110"/>
    <s v="GXYYY"/>
    <s v="on 5/14/25 Before Market Eastern Standard Time"/>
    <x v="0"/>
  </r>
  <r>
    <x v="110"/>
    <s v="PUTRY"/>
    <s v="on 5/14/25 Unspecified Eastern Standard Time"/>
    <x v="0"/>
  </r>
  <r>
    <x v="110"/>
    <s v="BURBY"/>
    <s v="on 5/14/25 Unspecified Eastern Standard Time"/>
    <x v="0"/>
  </r>
  <r>
    <x v="110"/>
    <s v="GRAB"/>
    <s v="on 5/14/25 Before Market Eastern Standard Time"/>
    <x v="0"/>
  </r>
  <r>
    <x v="110"/>
    <s v="TEF"/>
    <s v="on 5/14/25 Before Market Eastern Standard Time"/>
    <x v="0"/>
  </r>
  <r>
    <x v="110"/>
    <s v="SBC"/>
    <s v="on 5/14/25 Before Market Eastern Standard Time"/>
    <x v="0"/>
  </r>
  <r>
    <x v="110"/>
    <s v="IPWR"/>
    <s v="on 5/14/25 Before Market Eastern Standard Time"/>
    <x v="0"/>
  </r>
  <r>
    <x v="110"/>
    <s v="CLRB"/>
    <s v="on 5/14/25 Before Market Eastern Standard Time"/>
    <x v="0"/>
  </r>
  <r>
    <x v="110"/>
    <s v="TRUMY"/>
    <s v="on 5/14/25 Unspecified Eastern Standard Time"/>
    <x v="0"/>
  </r>
  <r>
    <x v="110"/>
    <s v="MYTE"/>
    <s v="on 5/14/25 Before Market Eastern Standard Time"/>
    <x v="0"/>
  </r>
  <r>
    <x v="110"/>
    <s v="ARCO"/>
    <s v="on 5/14/25 Before Market Eastern Standard Time"/>
    <x v="0"/>
  </r>
  <r>
    <x v="110"/>
    <s v="CAAS"/>
    <s v="on 5/14/25 Before Market Eastern Standard Time"/>
    <x v="0"/>
  </r>
  <r>
    <x v="110"/>
    <s v="TCEHY"/>
    <s v="on 5/14/25 Before Market Eastern Standard Time"/>
    <x v="0"/>
  </r>
  <r>
    <x v="110"/>
    <s v="BOC"/>
    <s v="on 5/14/25 Before Market Eastern Standard Time"/>
    <x v="1"/>
  </r>
  <r>
    <x v="110"/>
    <s v="MULN"/>
    <s v="on 5/14/25 Before Market Eastern Standard Time"/>
    <x v="0"/>
  </r>
  <r>
    <x v="110"/>
    <s v="AMS"/>
    <s v="on 5/14/25 Before Market Eastern Standard Time"/>
    <x v="0"/>
  </r>
  <r>
    <x v="110"/>
    <s v="LTRPA"/>
    <s v="on 5/14/25 Before Market Eastern Standard Time"/>
    <x v="0"/>
  </r>
  <r>
    <x v="110"/>
    <s v="BIAF"/>
    <s v="on 5/14/25 Before Market Eastern Standard Time"/>
    <x v="0"/>
  </r>
  <r>
    <x v="110"/>
    <s v="BFRI"/>
    <s v="on 5/14/25 Before Market Eastern Standard Time"/>
    <x v="0"/>
  </r>
  <r>
    <x v="110"/>
    <s v="CMCT"/>
    <s v="on 5/14/25 Before Market Eastern Standard Time"/>
    <x v="0"/>
  </r>
  <r>
    <x v="110"/>
    <s v="BCLI"/>
    <s v="on 5/14/25 Before Market Eastern Standard Time"/>
    <x v="0"/>
  </r>
  <r>
    <x v="110"/>
    <s v="MNDY"/>
    <s v="on 5/14/25 Before Market Eastern Standard Time"/>
    <x v="0"/>
  </r>
  <r>
    <x v="110"/>
    <s v="LTRPB"/>
    <s v="on 5/14/25 Before Market Eastern Standard Time"/>
    <x v="0"/>
  </r>
  <r>
    <x v="110"/>
    <s v="NVNO"/>
    <s v="on 5/14/25 Unspecified Eastern Standard Time"/>
    <x v="0"/>
  </r>
  <r>
    <x v="110"/>
    <s v="VERU"/>
    <s v="on 5/14/25 Before Market Eastern Standard Time"/>
    <x v="0"/>
  </r>
  <r>
    <x v="110"/>
    <s v="PEPG"/>
    <s v="on 5/14/25 Before Market Eastern Standard Time"/>
    <x v="0"/>
  </r>
  <r>
    <x v="110"/>
    <s v="EDBL"/>
    <s v="on 5/14/25 Before Market Eastern Standard Time"/>
    <x v="0"/>
  </r>
  <r>
    <x v="110"/>
    <s v="SYPR"/>
    <s v="on 5/14/25 Before Market Eastern Standard Time"/>
    <x v="0"/>
  </r>
  <r>
    <x v="110"/>
    <s v="PASG"/>
    <s v="on 5/14/25 Before Market Eastern Standard Time"/>
    <x v="0"/>
  </r>
  <r>
    <x v="110"/>
    <s v="AIPUY"/>
    <s v="on 5/14/25 Unspecified Eastern Standard Time"/>
    <x v="0"/>
  </r>
  <r>
    <x v="110"/>
    <s v="RDCM"/>
    <s v="on 5/14/25 Before Market Eastern Standard Time"/>
    <x v="0"/>
  </r>
  <r>
    <x v="110"/>
    <s v="ZLAB"/>
    <s v="on 5/14/25 Before Market Eastern Standard Time"/>
    <x v="0"/>
  </r>
  <r>
    <x v="110"/>
    <s v="ALUR"/>
    <s v="on 5/14/25 Before Market Eastern Standard Time"/>
    <x v="0"/>
  </r>
  <r>
    <x v="110"/>
    <s v="SMCAY"/>
    <s v="on 5/14/25 Unspecified Eastern Standard Time"/>
    <x v="0"/>
  </r>
  <r>
    <x v="110"/>
    <s v="RMTI"/>
    <s v="on 5/14/25 Before Market Eastern Standard Time"/>
    <x v="0"/>
  </r>
  <r>
    <x v="110"/>
    <s v="SNWV"/>
    <s v="on 5/14/25 Before Market Eastern Standard Time"/>
    <x v="0"/>
  </r>
  <r>
    <x v="110"/>
    <s v="SHIP"/>
    <s v="on 5/14/25 Before Market Eastern Standard Time"/>
    <x v="0"/>
  </r>
  <r>
    <x v="110"/>
    <s v="WRD"/>
    <s v="on 5/14/25 Before Market Eastern Standard Time"/>
    <x v="0"/>
  </r>
  <r>
    <x v="110"/>
    <s v="CMBT"/>
    <s v="on 5/14/25 Before Market Eastern Standard Time"/>
    <x v="0"/>
  </r>
  <r>
    <x v="110"/>
    <s v="CSTE"/>
    <s v="on 5/14/25 Before Market Eastern Standard Time"/>
    <x v="0"/>
  </r>
  <r>
    <x v="110"/>
    <s v="SONY"/>
    <s v="on 5/14/25 Before Market Eastern Standard Time"/>
    <x v="0"/>
  </r>
  <r>
    <x v="110"/>
    <s v="CSAN"/>
    <s v="on 5/14/25 Unspecified Eastern Standard Time"/>
    <x v="0"/>
  </r>
  <r>
    <x v="110"/>
    <s v="HBM"/>
    <s v="on 5/14/25 Before Market Eastern Standard Time"/>
    <x v="0"/>
  </r>
  <r>
    <x v="110"/>
    <s v="KDDIY"/>
    <s v="on 5/14/25 Unspecified Eastern Standard Time"/>
    <x v="0"/>
  </r>
  <r>
    <x v="110"/>
    <s v="STRS"/>
    <s v="on 5/14/25 Before Market Eastern Standard Time"/>
    <x v="0"/>
  </r>
  <r>
    <x v="110"/>
    <s v="WWR"/>
    <s v="on 5/14/25 Before Market Eastern Standard Time"/>
    <x v="0"/>
  </r>
  <r>
    <x v="110"/>
    <s v="FTLF"/>
    <s v="on 5/14/25 Before Market Eastern Standard Time"/>
    <x v="0"/>
  </r>
  <r>
    <x v="110"/>
    <s v="BTBT"/>
    <s v="on 5/14/25 Before Market Eastern Standard Time"/>
    <x v="1"/>
  </r>
  <r>
    <x v="110"/>
    <s v="CCCC"/>
    <s v="on 5/14/25 Before Market Eastern Standard Time"/>
    <x v="1"/>
  </r>
  <r>
    <x v="110"/>
    <s v="NMTC"/>
    <s v="on 5/14/25 Before Market Eastern Standard Time"/>
    <x v="0"/>
  </r>
  <r>
    <x v="110"/>
    <s v="NRXP"/>
    <s v="on 5/14/25 Before Market Eastern Standard Time"/>
    <x v="0"/>
  </r>
  <r>
    <x v="111"/>
    <s v="UBSFY"/>
    <s v="on 5/14/25 During Market Eastern Standard Time"/>
    <x v="0"/>
  </r>
  <r>
    <x v="111"/>
    <s v="SNFCA"/>
    <s v="on 5/14/25 During Market Eastern Standard Time"/>
    <x v="0"/>
  </r>
  <r>
    <x v="112"/>
    <s v="SKYH"/>
    <s v="on 5/14/25 After Market Eastern Standard Time"/>
    <x v="0"/>
  </r>
  <r>
    <x v="112"/>
    <s v="EDIT"/>
    <s v="on 5/14/25 After Market Eastern Standard Time"/>
    <x v="1"/>
  </r>
  <r>
    <x v="112"/>
    <s v="LIDR"/>
    <s v="on 5/14/25 After Market Eastern Standard Time"/>
    <x v="0"/>
  </r>
  <r>
    <x v="112"/>
    <s v="GNSS"/>
    <s v="on 5/14/25 After Market Eastern Standard Time"/>
    <x v="0"/>
  </r>
  <r>
    <x v="112"/>
    <s v="RAIL"/>
    <s v="on 5/14/25 After Market Eastern Standard Time"/>
    <x v="0"/>
  </r>
  <r>
    <x v="112"/>
    <s v="SKYX"/>
    <s v="on 5/14/25 After Market Eastern Standard Time"/>
    <x v="0"/>
  </r>
  <r>
    <x v="112"/>
    <s v="GAU"/>
    <s v="on 5/14/25 After Market Eastern Standard Time"/>
    <x v="0"/>
  </r>
  <r>
    <x v="112"/>
    <s v="OTCM"/>
    <s v="on 5/14/25 After Market Eastern Standard Time"/>
    <x v="0"/>
  </r>
  <r>
    <x v="112"/>
    <s v="BLIN"/>
    <s v="on 5/14/25 After Market Eastern Standard Time"/>
    <x v="0"/>
  </r>
  <r>
    <x v="112"/>
    <s v="DPRO"/>
    <s v="on 5/14/25 After Market Eastern Standard Time"/>
    <x v="0"/>
  </r>
  <r>
    <x v="112"/>
    <s v="SPRU"/>
    <s v="on 5/14/25 After Market Eastern Standard Time"/>
    <x v="0"/>
  </r>
  <r>
    <x v="112"/>
    <s v="AUID"/>
    <s v="on 5/14/25 After Market Eastern Standard Time"/>
    <x v="0"/>
  </r>
  <r>
    <x v="112"/>
    <s v="SMSI"/>
    <s v="on 5/14/25 After Market Eastern Standard Time"/>
    <x v="0"/>
  </r>
  <r>
    <x v="112"/>
    <s v="HWKN"/>
    <s v="on 5/14/25 After Market Eastern Standard Time"/>
    <x v="1"/>
  </r>
  <r>
    <x v="112"/>
    <s v="SLDB"/>
    <s v="on 5/14/25 After Market Eastern Standard Time"/>
    <x v="0"/>
  </r>
  <r>
    <x v="112"/>
    <s v="SCWO"/>
    <s v="on 5/14/25 After Market Eastern Standard Time"/>
    <x v="0"/>
  </r>
  <r>
    <x v="112"/>
    <s v="IREN"/>
    <s v="on 5/14/25 After Market Eastern Standard Time"/>
    <x v="0"/>
  </r>
  <r>
    <x v="112"/>
    <s v="NPCE"/>
    <s v="on 5/14/25 After Market Eastern Standard Time"/>
    <x v="0"/>
  </r>
  <r>
    <x v="112"/>
    <s v="DADA"/>
    <s v="on 5/14/25 After Market Eastern Standard Time"/>
    <x v="0"/>
  </r>
  <r>
    <x v="112"/>
    <s v="GLASF"/>
    <s v="on 5/14/25 After Market Eastern Standard Time"/>
    <x v="0"/>
  </r>
  <r>
    <x v="112"/>
    <s v="CNFR"/>
    <s v="on 5/14/25 After Market Eastern Standard Time"/>
    <x v="0"/>
  </r>
  <r>
    <x v="112"/>
    <s v="GSM"/>
    <s v="on 5/14/25 After Market Eastern Standard Time"/>
    <x v="0"/>
  </r>
  <r>
    <x v="112"/>
    <s v="SNAL"/>
    <s v="on 5/14/25 After Market Eastern Standard Time"/>
    <x v="0"/>
  </r>
  <r>
    <x v="112"/>
    <s v="NN"/>
    <s v="on 5/14/25 After Market Eastern Standard Time"/>
    <x v="1"/>
  </r>
  <r>
    <x v="112"/>
    <s v="BPTH"/>
    <s v="on 5/14/25 After Market Eastern Standard Time"/>
    <x v="0"/>
  </r>
  <r>
    <x v="112"/>
    <s v="FINV"/>
    <s v="on 5/14/25 After Market Eastern Standard Time"/>
    <x v="0"/>
  </r>
  <r>
    <x v="112"/>
    <s v="ZTO"/>
    <s v="on 5/14/25 After Market Eastern Standard Time"/>
    <x v="0"/>
  </r>
  <r>
    <x v="112"/>
    <s v="GCTS"/>
    <s v="on 5/14/25 After Market Eastern Standard Time"/>
    <x v="0"/>
  </r>
  <r>
    <x v="112"/>
    <s v="NNE"/>
    <s v="on 5/14/25 After Market Eastern Standard Time"/>
    <x v="0"/>
  </r>
  <r>
    <x v="112"/>
    <s v="CDTX"/>
    <s v="on 5/14/25 After Market Eastern Standard Time"/>
    <x v="0"/>
  </r>
  <r>
    <x v="112"/>
    <s v="AQMS"/>
    <s v="on 5/14/25 After Market Eastern Standard Time"/>
    <x v="0"/>
  </r>
  <r>
    <x v="112"/>
    <s v="LTBR"/>
    <s v="on 5/14/25 After Market Eastern Standard Time"/>
    <x v="0"/>
  </r>
  <r>
    <x v="112"/>
    <s v="ATHA"/>
    <s v="on 5/14/25 After Market Eastern Standard Time"/>
    <x v="0"/>
  </r>
  <r>
    <x v="112"/>
    <s v="PED"/>
    <s v="on 5/14/25 After Market Eastern Standard Time"/>
    <x v="0"/>
  </r>
  <r>
    <x v="112"/>
    <s v="XOS"/>
    <s v="on 5/14/25 After Market Eastern Standard Time"/>
    <x v="0"/>
  </r>
  <r>
    <x v="112"/>
    <s v="NMG"/>
    <s v="on 5/14/25 After Market Eastern Standard Time"/>
    <x v="0"/>
  </r>
  <r>
    <x v="112"/>
    <s v="SPRO"/>
    <s v="on 5/14/25 After Market Eastern Standard Time"/>
    <x v="0"/>
  </r>
  <r>
    <x v="112"/>
    <s v="GOVX"/>
    <s v="on 5/14/25 After Market Eastern Standard Time"/>
    <x v="0"/>
  </r>
  <r>
    <x v="112"/>
    <s v="OMER"/>
    <s v="on 5/14/25 After Market Eastern Standard Time"/>
    <x v="1"/>
  </r>
  <r>
    <x v="112"/>
    <s v="LVLU"/>
    <s v="on 5/14/25 After Market Eastern Standard Time"/>
    <x v="0"/>
  </r>
  <r>
    <x v="112"/>
    <s v="FLYX"/>
    <s v="on 5/14/25 After Market Eastern Standard Time"/>
    <x v="0"/>
  </r>
  <r>
    <x v="112"/>
    <s v="VOXX"/>
    <s v="on 5/14/25 After Market Eastern Standard Time"/>
    <x v="0"/>
  </r>
  <r>
    <x v="112"/>
    <s v="ABSI"/>
    <s v="on 5/14/25 After Market Eastern Standard Time"/>
    <x v="1"/>
  </r>
  <r>
    <x v="112"/>
    <s v="PSTV"/>
    <s v="on 5/14/25 After Market Eastern Standard Time"/>
    <x v="0"/>
  </r>
  <r>
    <x v="112"/>
    <s v="SRFM"/>
    <s v="on 5/14/25 After Market Eastern Standard Time"/>
    <x v="0"/>
  </r>
  <r>
    <x v="112"/>
    <s v="ANEB"/>
    <s v="on 5/14/25 After Market Eastern Standard Time"/>
    <x v="0"/>
  </r>
  <r>
    <x v="112"/>
    <s v="FGI"/>
    <s v="on 5/14/25 After Market Eastern Standard Time"/>
    <x v="0"/>
  </r>
  <r>
    <x v="112"/>
    <s v="GROV"/>
    <s v="on 5/14/25 After Market Eastern Standard Time"/>
    <x v="0"/>
  </r>
  <r>
    <x v="112"/>
    <s v="MSGM"/>
    <s v="on 5/14/25 After Market Eastern Standard Time"/>
    <x v="0"/>
  </r>
  <r>
    <x v="112"/>
    <s v="EARN"/>
    <s v="on 5/14/25 After Market Eastern Standard Time"/>
    <x v="0"/>
  </r>
  <r>
    <x v="112"/>
    <s v="OCX"/>
    <s v="on 5/14/25 After Market Eastern Standard Time"/>
    <x v="0"/>
  </r>
  <r>
    <x v="112"/>
    <s v="MDXH"/>
    <s v="on 5/14/25 After Market Eastern Standard Time"/>
    <x v="0"/>
  </r>
  <r>
    <x v="112"/>
    <s v="USIO"/>
    <s v="on 5/14/25 After Market Eastern Standard Time"/>
    <x v="0"/>
  </r>
  <r>
    <x v="112"/>
    <s v="AIRJ"/>
    <s v="on 5/14/25 After Market Eastern Standard Time"/>
    <x v="0"/>
  </r>
  <r>
    <x v="112"/>
    <s v="SUUN"/>
    <s v="on 5/14/25 After Market Eastern Standard Time"/>
    <x v="0"/>
  </r>
  <r>
    <x v="112"/>
    <s v="OMQS"/>
    <s v="on 5/14/25 After Market Eastern Standard Time"/>
    <x v="0"/>
  </r>
  <r>
    <x v="112"/>
    <s v="DLPN"/>
    <s v="on 5/14/25 After Market Eastern Standard Time"/>
    <x v="0"/>
  </r>
  <r>
    <x v="112"/>
    <s v="SXTP"/>
    <s v="on 5/14/25 After Market Eastern Standard Time"/>
    <x v="0"/>
  </r>
  <r>
    <x v="112"/>
    <s v="CSCO"/>
    <s v="on 5/14/25 After Market Eastern Standard Time"/>
    <x v="3"/>
  </r>
  <r>
    <x v="113"/>
    <s v="KT"/>
    <s v="on 5/15/25 Unspecified Eastern Standard Time"/>
    <x v="0"/>
  </r>
  <r>
    <x v="113"/>
    <s v="VEON"/>
    <s v="on 5/15/25 Before Market Eastern Standard Time"/>
    <x v="0"/>
  </r>
  <r>
    <x v="113"/>
    <s v="RAPP"/>
    <s v="on 5/15/25 Before Market Eastern Standard Time"/>
    <x v="1"/>
  </r>
  <r>
    <x v="113"/>
    <s v="ALIZY"/>
    <s v="on 5/15/25 Unspecified Eastern Standard Time"/>
    <x v="0"/>
  </r>
  <r>
    <x v="113"/>
    <s v="TOON"/>
    <s v="on 5/15/25 Before Market Eastern Standard Time"/>
    <x v="0"/>
  </r>
  <r>
    <x v="113"/>
    <s v="EPIX"/>
    <s v="on 5/15/25 Before Market Eastern Standard Time"/>
    <x v="0"/>
  </r>
  <r>
    <x v="113"/>
    <s v="LPTH"/>
    <s v="on 5/15/25 Before Market Eastern Standard Time"/>
    <x v="0"/>
  </r>
  <r>
    <x v="113"/>
    <s v="ULS"/>
    <s v="on 5/15/25 Before Market Eastern Standard Time"/>
    <x v="0"/>
  </r>
  <r>
    <x v="113"/>
    <s v="WKHS"/>
    <s v="on 5/15/25 Before Market Eastern Standard Time"/>
    <x v="0"/>
  </r>
  <r>
    <x v="113"/>
    <s v="CMRX"/>
    <s v="on 5/15/25 Before Market Eastern Standard Time"/>
    <x v="0"/>
  </r>
  <r>
    <x v="113"/>
    <s v="XNET"/>
    <s v="on 5/15/25 Before Market Eastern Standard Time"/>
    <x v="0"/>
  </r>
  <r>
    <x v="113"/>
    <s v="JPPHY"/>
    <s v="on 5/15/25 Unspecified Eastern Standard Time"/>
    <x v="0"/>
  </r>
  <r>
    <x v="113"/>
    <s v="PTN"/>
    <s v="on 5/15/25 Before Market Eastern Standard Time"/>
    <x v="0"/>
  </r>
  <r>
    <x v="113"/>
    <s v="TLSI"/>
    <s v="on 5/15/25 Before Market Eastern Standard Time"/>
    <x v="0"/>
  </r>
  <r>
    <x v="113"/>
    <s v="GALT"/>
    <s v="on 5/15/25 Before Market Eastern Standard Time"/>
    <x v="0"/>
  </r>
  <r>
    <x v="113"/>
    <s v="EQ"/>
    <s v="on 5/15/25 Before Market Eastern Standard Time"/>
    <x v="0"/>
  </r>
  <r>
    <x v="113"/>
    <s v="PDSB"/>
    <s v="on 5/15/25 Before Market Eastern Standard Time"/>
    <x v="0"/>
  </r>
  <r>
    <x v="113"/>
    <s v="ONDS"/>
    <s v="on 5/15/25 Before Market Eastern Standard Time"/>
    <x v="0"/>
  </r>
  <r>
    <x v="113"/>
    <s v="POAI"/>
    <s v="on 5/15/25 Before Market Eastern Standard Time"/>
    <x v="0"/>
  </r>
  <r>
    <x v="113"/>
    <s v="ADAP"/>
    <s v="on 5/15/25 Before Market Eastern Standard Time"/>
    <x v="0"/>
  </r>
  <r>
    <x v="113"/>
    <s v="JD"/>
    <s v="on 5/15/25 Before Market Eastern Standard Time"/>
    <x v="0"/>
  </r>
  <r>
    <x v="113"/>
    <s v="BIDU"/>
    <s v="on 5/15/25 Before Market Eastern Standard Time"/>
    <x v="0"/>
  </r>
  <r>
    <x v="113"/>
    <s v="IMPP"/>
    <s v="on 5/15/25 Before Market Eastern Standard Time"/>
    <x v="0"/>
  </r>
  <r>
    <x v="113"/>
    <s v="VEEE"/>
    <s v="on 5/15/25 Before Market Eastern Standard Time"/>
    <x v="0"/>
  </r>
  <r>
    <x v="113"/>
    <s v="EDAP"/>
    <s v="on 5/15/25 Before Market Eastern Standard Time"/>
    <x v="0"/>
  </r>
  <r>
    <x v="113"/>
    <s v="CABA"/>
    <s v="on 5/15/25 Before Market Eastern Standard Time"/>
    <x v="0"/>
  </r>
  <r>
    <x v="113"/>
    <s v="PYXS"/>
    <s v="on 5/15/25 Before Market Eastern Standard Time"/>
    <x v="1"/>
  </r>
  <r>
    <x v="113"/>
    <s v="UPB"/>
    <s v="on 5/15/25 Before Market Eastern Standard Time"/>
    <x v="0"/>
  </r>
  <r>
    <x v="113"/>
    <s v="DE"/>
    <s v="on 5/15/25 Before Market Eastern Standard Time"/>
    <x v="3"/>
  </r>
  <r>
    <x v="113"/>
    <s v="FLO"/>
    <s v="on 5/15/25 Before Market Eastern Standard Time"/>
    <x v="2"/>
  </r>
  <r>
    <x v="113"/>
    <s v="BN"/>
    <s v="on 5/15/25 Before Market Eastern Standard Time"/>
    <x v="0"/>
  </r>
  <r>
    <x v="113"/>
    <s v="MRSN"/>
    <s v="on 5/15/25 Before Market Eastern Standard Time"/>
    <x v="1"/>
  </r>
  <r>
    <x v="113"/>
    <s v="MRX"/>
    <s v="on 5/15/25 Before Market Eastern Standard Time"/>
    <x v="0"/>
  </r>
  <r>
    <x v="113"/>
    <s v="FLOC"/>
    <s v="on 5/15/25 Before Market Eastern Standard Time"/>
    <x v="0"/>
  </r>
  <r>
    <x v="113"/>
    <s v="TIC"/>
    <s v="on 5/15/25 Before Market Eastern Standard Time"/>
    <x v="0"/>
  </r>
  <r>
    <x v="113"/>
    <s v="PHGE"/>
    <s v="on 5/15/25 Before Market Eastern Standard Time"/>
    <x v="0"/>
  </r>
  <r>
    <x v="113"/>
    <s v="DTEGY"/>
    <s v="on 5/15/25 Before Market Eastern Standard Time"/>
    <x v="0"/>
  </r>
  <r>
    <x v="113"/>
    <s v="NGG"/>
    <s v="on 5/15/25 Unspecified Eastern Standard Time"/>
    <x v="0"/>
  </r>
  <r>
    <x v="113"/>
    <s v="ABOS"/>
    <s v="on 5/15/25 Before Market Eastern Standard Time"/>
    <x v="0"/>
  </r>
  <r>
    <x v="113"/>
    <s v="MITQ"/>
    <s v="on 5/15/25 Before Market Eastern Standard Time"/>
    <x v="0"/>
  </r>
  <r>
    <x v="113"/>
    <s v="HTHT"/>
    <s v="on 5/15/25 Before Market Eastern Standard Time"/>
    <x v="0"/>
  </r>
  <r>
    <x v="113"/>
    <s v="CXAI"/>
    <s v="on 5/15/25 Unspecified Eastern Standard Time"/>
    <x v="0"/>
  </r>
  <r>
    <x v="113"/>
    <s v="MFG"/>
    <s v="on 5/15/25 Unspecified Eastern Standard Time"/>
    <x v="0"/>
  </r>
  <r>
    <x v="113"/>
    <s v="WMS"/>
    <s v="on 5/15/25 Before Market Eastern Standard Time"/>
    <x v="2"/>
  </r>
  <r>
    <x v="113"/>
    <s v="DDS"/>
    <s v="on 5/15/25 Before Market Eastern Standard Time"/>
    <x v="0"/>
  </r>
  <r>
    <x v="113"/>
    <s v="ZVSA"/>
    <s v="on 5/15/25 Before Market Eastern Standard Time"/>
    <x v="0"/>
  </r>
  <r>
    <x v="113"/>
    <s v="CVM"/>
    <s v="on 5/15/25 Before Market Eastern Standard Time"/>
    <x v="0"/>
  </r>
  <r>
    <x v="113"/>
    <s v="MGIC"/>
    <s v="on 5/15/25 Before Market Eastern Standard Time"/>
    <x v="0"/>
  </r>
  <r>
    <x v="113"/>
    <s v="BRDCY"/>
    <s v="on 5/15/25 Unspecified Eastern Standard Time"/>
    <x v="0"/>
  </r>
  <r>
    <x v="113"/>
    <s v="PESI"/>
    <s v="on 5/15/25 Before Market Eastern Standard Time"/>
    <x v="1"/>
  </r>
  <r>
    <x v="113"/>
    <s v="IQ"/>
    <s v="on 5/15/25 Before Market Eastern Standard Time"/>
    <x v="0"/>
  </r>
  <r>
    <x v="113"/>
    <s v="GOOS"/>
    <s v="on 5/15/25 Before Market Eastern Standard Time"/>
    <x v="0"/>
  </r>
  <r>
    <x v="113"/>
    <s v="GSL"/>
    <s v="on 5/15/25 Before Market Eastern Standard Time"/>
    <x v="0"/>
  </r>
  <r>
    <x v="113"/>
    <s v="INR"/>
    <s v="on 5/15/25 Unspecified Eastern Standard Time"/>
    <x v="0"/>
  </r>
  <r>
    <x v="113"/>
    <s v="AFCG"/>
    <s v="on 5/15/25 Before Market Eastern Standard Time"/>
    <x v="0"/>
  </r>
  <r>
    <x v="113"/>
    <s v="VLOWY"/>
    <s v="on 5/15/25 Unspecified Eastern Standard Time"/>
    <x v="0"/>
  </r>
  <r>
    <x v="113"/>
    <s v="BRFS"/>
    <s v="on 5/15/25 Unspecified Eastern Standard Time"/>
    <x v="0"/>
  </r>
  <r>
    <x v="113"/>
    <s v="TCRX"/>
    <s v="on 5/15/25 Before Market Eastern Standard Time"/>
    <x v="0"/>
  </r>
  <r>
    <x v="113"/>
    <s v="WMT"/>
    <s v="on 5/15/25 Before Market Eastern Standard Time"/>
    <x v="3"/>
  </r>
  <r>
    <x v="113"/>
    <s v="LIVE"/>
    <s v="on 5/15/25 Before Market Eastern Standard Time"/>
    <x v="0"/>
  </r>
  <r>
    <x v="113"/>
    <s v="VERO"/>
    <s v="on 5/15/25 Before Market Eastern Standard Time"/>
    <x v="0"/>
  </r>
  <r>
    <x v="113"/>
    <s v="PRQR"/>
    <s v="on 5/15/25 Before Market Eastern Standard Time"/>
    <x v="0"/>
  </r>
  <r>
    <x v="113"/>
    <s v="BTOC"/>
    <s v="on 5/15/25 Before Market Eastern Standard Time"/>
    <x v="0"/>
  </r>
  <r>
    <x v="113"/>
    <s v="CDZI"/>
    <s v="on 5/15/25 Before Market Eastern Standard Time"/>
    <x v="0"/>
  </r>
  <r>
    <x v="113"/>
    <s v="CMPX"/>
    <s v="on 5/15/25 Before Market Eastern Standard Time"/>
    <x v="0"/>
  </r>
  <r>
    <x v="113"/>
    <s v="DRIO"/>
    <s v="on 5/15/25 Before Market Eastern Standard Time"/>
    <x v="0"/>
  </r>
  <r>
    <x v="113"/>
    <s v="CTM"/>
    <s v="on 5/15/25 Before Market Eastern Standard Time"/>
    <x v="0"/>
  </r>
  <r>
    <x v="113"/>
    <s v="GLUE"/>
    <s v="on 5/15/25 Before Market Eastern Standard Time"/>
    <x v="1"/>
  </r>
  <r>
    <x v="113"/>
    <s v="ENGIY"/>
    <s v="on 5/15/25 Unspecified Eastern Standard Time"/>
    <x v="0"/>
  </r>
  <r>
    <x v="113"/>
    <s v="MKTW"/>
    <s v="on 5/15/25 Before Market Eastern Standard Time"/>
    <x v="0"/>
  </r>
  <r>
    <x v="113"/>
    <s v="KBCSY"/>
    <s v="on 5/15/25 Unspecified Eastern Standard Time"/>
    <x v="0"/>
  </r>
  <r>
    <x v="113"/>
    <s v="ZONE"/>
    <s v="on 5/15/25 Before Market Eastern Standard Time"/>
    <x v="0"/>
  </r>
  <r>
    <x v="113"/>
    <s v="XXII"/>
    <s v="on 5/15/25 Before Market Eastern Standard Time"/>
    <x v="0"/>
  </r>
  <r>
    <x v="113"/>
    <s v="SIEB"/>
    <s v="on 5/15/25 Before Market Eastern Standard Time"/>
    <x v="0"/>
  </r>
  <r>
    <x v="113"/>
    <s v="LPCN"/>
    <s v="on 5/15/25 Before Market Eastern Standard Time"/>
    <x v="0"/>
  </r>
  <r>
    <x v="113"/>
    <s v="AAPG"/>
    <s v="on 5/15/25 Before Market Eastern Standard Time"/>
    <x v="0"/>
  </r>
  <r>
    <x v="113"/>
    <s v="SLE"/>
    <s v="on 5/15/25 Before Market Eastern Standard Time"/>
    <x v="0"/>
  </r>
  <r>
    <x v="113"/>
    <s v="HUMA"/>
    <s v="on 5/15/25 Before Market Eastern Standard Time"/>
    <x v="1"/>
  </r>
  <r>
    <x v="113"/>
    <s v="KRRO"/>
    <s v="on 5/15/25 Before Market Eastern Standard Time"/>
    <x v="1"/>
  </r>
  <r>
    <x v="113"/>
    <s v="OPRX"/>
    <s v="on 5/15/25 Before Market Eastern Standard Time"/>
    <x v="0"/>
  </r>
  <r>
    <x v="113"/>
    <s v="LFWD"/>
    <s v="on 5/15/25 Before Market Eastern Standard Time"/>
    <x v="0"/>
  </r>
  <r>
    <x v="113"/>
    <s v="SGMT"/>
    <s v="on 5/15/25 Before Market Eastern Standard Time"/>
    <x v="0"/>
  </r>
  <r>
    <x v="113"/>
    <s v="QBTS"/>
    <s v="on 5/15/25 Before Market Eastern Standard Time"/>
    <x v="0"/>
  </r>
  <r>
    <x v="113"/>
    <s v="AUTL"/>
    <s v="on 5/15/25 Before Market Eastern Standard Time"/>
    <x v="0"/>
  </r>
  <r>
    <x v="113"/>
    <s v="IMUX"/>
    <s v="on 5/15/25 Before Market Eastern Standard Time"/>
    <x v="0"/>
  </r>
  <r>
    <x v="113"/>
    <s v="UUGRY"/>
    <s v="on 5/15/25 Before Market Eastern Standard Time"/>
    <x v="0"/>
  </r>
  <r>
    <x v="113"/>
    <s v="BAP"/>
    <s v="on 5/15/25 Unspecified Eastern Standard Time"/>
    <x v="0"/>
  </r>
  <r>
    <x v="113"/>
    <s v="NICE"/>
    <s v="on 5/15/25 Before Market Eastern Standard Time"/>
    <x v="0"/>
  </r>
  <r>
    <x v="113"/>
    <s v="OTLK"/>
    <s v="on 5/15/25 Before Market Eastern Standard Time"/>
    <x v="0"/>
  </r>
  <r>
    <x v="113"/>
    <s v="ABEO"/>
    <s v="on 5/15/25 Before Market Eastern Standard Time"/>
    <x v="0"/>
  </r>
  <r>
    <x v="113"/>
    <s v="THRD"/>
    <s v="on 5/15/25 Before Market Eastern Standard Time"/>
    <x v="1"/>
  </r>
  <r>
    <x v="113"/>
    <s v="GOLLQ"/>
    <s v="on 5/15/25 Unspecified Eastern Standard Time"/>
    <x v="0"/>
  </r>
  <r>
    <x v="113"/>
    <s v="OCGN"/>
    <s v="on 5/15/25 Before Market Eastern Standard Time"/>
    <x v="1"/>
  </r>
  <r>
    <x v="113"/>
    <s v="ATAI"/>
    <s v="on 5/15/25 Before Market Eastern Standard Time"/>
    <x v="0"/>
  </r>
  <r>
    <x v="113"/>
    <s v="OVID"/>
    <s v="on 5/15/25 Before Market Eastern Standard Time"/>
    <x v="0"/>
  </r>
  <r>
    <x v="113"/>
    <s v="ACXP"/>
    <s v="on 5/15/25 Before Market Eastern Standard Time"/>
    <x v="0"/>
  </r>
  <r>
    <x v="113"/>
    <s v="WRAP"/>
    <s v="on 5/15/25 Before Market Eastern Standard Time"/>
    <x v="0"/>
  </r>
  <r>
    <x v="113"/>
    <s v="BNT"/>
    <s v="on 5/15/25 Before Market Eastern Standard Time"/>
    <x v="0"/>
  </r>
  <r>
    <x v="113"/>
    <s v="VRAR"/>
    <s v="on 5/15/25 Before Market Eastern Standard Time"/>
    <x v="0"/>
  </r>
  <r>
    <x v="113"/>
    <s v="ALT"/>
    <s v="on 5/15/25 Before Market Eastern Standard Time"/>
    <x v="1"/>
  </r>
  <r>
    <x v="113"/>
    <s v="SIEGY"/>
    <s v="on 5/15/25 Unspecified Eastern Standard Time"/>
    <x v="0"/>
  </r>
  <r>
    <x v="113"/>
    <s v="GGR"/>
    <s v="on 5/15/25 Before Market Eastern Standard Time"/>
    <x v="0"/>
  </r>
  <r>
    <x v="113"/>
    <s v="TRAW"/>
    <s v="on 5/15/25 Before Market Eastern Standard Time"/>
    <x v="0"/>
  </r>
  <r>
    <x v="113"/>
    <s v="UAA"/>
    <s v="on 5/15/25 Before Market Eastern Standard Time"/>
    <x v="2"/>
  </r>
  <r>
    <x v="113"/>
    <s v="MUFG"/>
    <s v="on 5/15/25 Unspecified Eastern Standard Time"/>
    <x v="0"/>
  </r>
  <r>
    <x v="113"/>
    <s v="FONR"/>
    <s v="on 5/15/25 Before Market Eastern Standard Time"/>
    <x v="0"/>
  </r>
  <r>
    <x v="113"/>
    <s v="GAMB"/>
    <s v="on 5/15/25 Before Market Eastern Standard Time"/>
    <x v="1"/>
  </r>
  <r>
    <x v="113"/>
    <s v="WKSP"/>
    <s v="on 5/15/25 Before Market Eastern Standard Time"/>
    <x v="0"/>
  </r>
  <r>
    <x v="113"/>
    <s v="NTWK"/>
    <s v="on 5/15/25 Before Market Eastern Standard Time"/>
    <x v="0"/>
  </r>
  <r>
    <x v="113"/>
    <s v="STRR"/>
    <s v="on 5/15/25 Before Market Eastern Standard Time"/>
    <x v="0"/>
  </r>
  <r>
    <x v="113"/>
    <s v="AIRI"/>
    <s v="on 5/15/25 Before Market Eastern Standard Time"/>
    <x v="0"/>
  </r>
  <r>
    <x v="113"/>
    <s v="MREO"/>
    <s v="on 5/15/25 Before Market Eastern Standard Time"/>
    <x v="0"/>
  </r>
  <r>
    <x v="113"/>
    <s v="UA"/>
    <s v="on 5/15/25 Before Market Eastern Standard Time"/>
    <x v="2"/>
  </r>
  <r>
    <x v="114"/>
    <s v="NURO"/>
    <s v="on 5/15/25 During Market Eastern Standard Time"/>
    <x v="0"/>
  </r>
  <r>
    <x v="114"/>
    <s v="TCRT"/>
    <s v="on 5/15/25 During Market Eastern Standard Time"/>
    <x v="0"/>
  </r>
  <r>
    <x v="115"/>
    <s v="HLGN"/>
    <s v="on 5/15/25 After Market Eastern Standard Time"/>
    <x v="0"/>
  </r>
  <r>
    <x v="115"/>
    <s v="CRGX"/>
    <s v="on 5/15/25 After Market Eastern Standard Time"/>
    <x v="1"/>
  </r>
  <r>
    <x v="115"/>
    <s v="IPSC"/>
    <s v="on 5/15/25 After Market Eastern Standard Time"/>
    <x v="0"/>
  </r>
  <r>
    <x v="115"/>
    <s v="RZLT"/>
    <s v="on 5/15/25 After Market Eastern Standard Time"/>
    <x v="0"/>
  </r>
  <r>
    <x v="115"/>
    <s v="AVIR"/>
    <s v="on 5/15/25 After Market Eastern Standard Time"/>
    <x v="1"/>
  </r>
  <r>
    <x v="115"/>
    <s v="ABL"/>
    <s v="on 5/15/25 After Market Eastern Standard Time"/>
    <x v="0"/>
  </r>
  <r>
    <x v="115"/>
    <s v="SHFS"/>
    <s v="on 5/15/25 After Market Eastern Standard Time"/>
    <x v="0"/>
  </r>
  <r>
    <x v="115"/>
    <s v="CLIR"/>
    <s v="on 5/15/25 After Market Eastern Standard Time"/>
    <x v="0"/>
  </r>
  <r>
    <x v="115"/>
    <s v="CYCC"/>
    <s v="on 5/15/25 After Market Eastern Standard Time"/>
    <x v="0"/>
  </r>
  <r>
    <x v="115"/>
    <s v="SND"/>
    <s v="on 5/15/25 After Market Eastern Standard Time"/>
    <x v="0"/>
  </r>
  <r>
    <x v="115"/>
    <s v="CELC"/>
    <s v="on 5/15/25 After Market Eastern Standard Time"/>
    <x v="1"/>
  </r>
  <r>
    <x v="115"/>
    <s v="TPST"/>
    <s v="on 5/15/25 After Market Eastern Standard Time"/>
    <x v="0"/>
  </r>
  <r>
    <x v="115"/>
    <s v="AWH"/>
    <s v="on 5/15/25 After Market Eastern Standard Time"/>
    <x v="0"/>
  </r>
  <r>
    <x v="115"/>
    <s v="XOMA"/>
    <s v="on 5/15/25 After Market Eastern Standard Time"/>
    <x v="1"/>
  </r>
  <r>
    <x v="115"/>
    <s v="KDLY"/>
    <s v="on 5/15/25 After Market Eastern Standard Time"/>
    <x v="0"/>
  </r>
  <r>
    <x v="115"/>
    <s v="VSTM"/>
    <s v="on 5/15/25 After Market Eastern Standard Time"/>
    <x v="0"/>
  </r>
  <r>
    <x v="115"/>
    <s v="LICYF"/>
    <s v="on 5/15/25 After Market Eastern Standard Time"/>
    <x v="0"/>
  </r>
  <r>
    <x v="115"/>
    <s v="CUE"/>
    <s v="on 5/15/25 After Market Eastern Standard Time"/>
    <x v="0"/>
  </r>
  <r>
    <x v="115"/>
    <s v="EP"/>
    <s v="on 5/15/25 After Market Eastern Standard Time"/>
    <x v="0"/>
  </r>
  <r>
    <x v="115"/>
    <s v="AENT"/>
    <s v="on 5/15/25 After Market Eastern Standard Time"/>
    <x v="0"/>
  </r>
  <r>
    <x v="115"/>
    <s v="NAK"/>
    <s v="on 5/15/25 After Market Eastern Standard Time"/>
    <x v="0"/>
  </r>
  <r>
    <x v="115"/>
    <s v="PVL"/>
    <s v="on 5/15/25 After Market Eastern Standard Time"/>
    <x v="0"/>
  </r>
  <r>
    <x v="115"/>
    <s v="SLRN"/>
    <s v="on 5/15/25 After Market Eastern Standard Time"/>
    <x v="1"/>
  </r>
  <r>
    <x v="115"/>
    <s v="VLDX"/>
    <s v="on 5/15/25 After Market Eastern Standard Time"/>
    <x v="0"/>
  </r>
  <r>
    <x v="115"/>
    <s v="APDN"/>
    <s v="on 5/15/25 After Market Eastern Standard Time"/>
    <x v="0"/>
  </r>
  <r>
    <x v="115"/>
    <s v="KNWND"/>
    <s v="on 5/15/25 After Market Eastern Standard Time"/>
    <x v="0"/>
  </r>
  <r>
    <x v="115"/>
    <s v="KOD"/>
    <s v="on 5/15/25 After Market Eastern Standard Time"/>
    <x v="0"/>
  </r>
  <r>
    <x v="115"/>
    <s v="SLXN"/>
    <s v="on 5/15/25 After Market Eastern Standard Time"/>
    <x v="0"/>
  </r>
  <r>
    <x v="115"/>
    <s v="GFR"/>
    <s v="on 5/15/25 After Market Eastern Standard Time"/>
    <x v="0"/>
  </r>
  <r>
    <x v="115"/>
    <s v="IAG"/>
    <s v="on 5/15/25 After Market Eastern Standard Time"/>
    <x v="0"/>
  </r>
  <r>
    <x v="115"/>
    <s v="BEEP"/>
    <s v="on 5/15/25 After Market Eastern Standard Time"/>
    <x v="0"/>
  </r>
  <r>
    <x v="115"/>
    <s v="YXT"/>
    <s v="on 5/15/25 After Market Eastern Standard Time"/>
    <x v="0"/>
  </r>
  <r>
    <x v="115"/>
    <s v="SSKN"/>
    <s v="on 5/15/25 After Market Eastern Standard Time"/>
    <x v="0"/>
  </r>
  <r>
    <x v="115"/>
    <s v="POCI"/>
    <s v="on 5/15/25 After Market Eastern Standard Time"/>
    <x v="0"/>
  </r>
  <r>
    <x v="115"/>
    <s v="WRN"/>
    <s v="on 5/15/25 After Market Eastern Standard Time"/>
    <x v="0"/>
  </r>
  <r>
    <x v="115"/>
    <s v="JOB"/>
    <s v="on 5/15/25 After Market Eastern Standard Time"/>
    <x v="0"/>
  </r>
  <r>
    <x v="115"/>
    <s v="SIDU"/>
    <s v="on 5/15/25 After Market Eastern Standard Time"/>
    <x v="0"/>
  </r>
  <r>
    <x v="115"/>
    <s v="GTEC"/>
    <s v="on 5/15/25 After Market Eastern Standard Time"/>
    <x v="0"/>
  </r>
  <r>
    <x v="115"/>
    <s v="ALMS"/>
    <s v="on 5/15/25 After Market Eastern Standard Time"/>
    <x v="0"/>
  </r>
  <r>
    <x v="115"/>
    <s v="ELVN"/>
    <s v="on 5/15/25 After Market Eastern Standard Time"/>
    <x v="1"/>
  </r>
  <r>
    <x v="115"/>
    <s v="MCHP"/>
    <s v="on 5/15/25 After Market Eastern Standard Time"/>
    <x v="3"/>
  </r>
  <r>
    <x v="115"/>
    <s v="AONC"/>
    <s v="on 5/15/25 After Market Eastern Standard Time"/>
    <x v="0"/>
  </r>
  <r>
    <x v="115"/>
    <s v="AGRO"/>
    <s v="on 5/15/25 After Market Eastern Standard Time"/>
    <x v="0"/>
  </r>
  <r>
    <x v="115"/>
    <s v="SLS"/>
    <s v="on 5/15/25 After Market Eastern Standard Time"/>
    <x v="0"/>
  </r>
  <r>
    <x v="115"/>
    <s v="GIPR"/>
    <s v="on 5/15/25 After Market Eastern Standard Time"/>
    <x v="0"/>
  </r>
  <r>
    <x v="115"/>
    <s v="VNRX"/>
    <s v="on 5/15/25 After Market Eastern Standard Time"/>
    <x v="0"/>
  </r>
  <r>
    <x v="115"/>
    <s v="DXC"/>
    <s v="on 5/15/25 After Market Eastern Standard Time"/>
    <x v="0"/>
  </r>
  <r>
    <x v="115"/>
    <s v="ABAT"/>
    <s v="on 5/15/25 After Market Eastern Standard Time"/>
    <x v="0"/>
  </r>
  <r>
    <x v="115"/>
    <s v="SCPH"/>
    <s v="on 5/15/25 After Market Eastern Standard Time"/>
    <x v="0"/>
  </r>
  <r>
    <x v="115"/>
    <s v="CATX"/>
    <s v="on 5/15/25 After Market Eastern Standard Time"/>
    <x v="1"/>
  </r>
  <r>
    <x v="115"/>
    <s v="FATE"/>
    <s v="on 5/15/25 After Market Eastern Standard Time"/>
    <x v="1"/>
  </r>
  <r>
    <x v="115"/>
    <s v="CPRT"/>
    <s v="on 5/15/25 After Market Eastern Standard Time"/>
    <x v="3"/>
  </r>
  <r>
    <x v="115"/>
    <s v="CARA"/>
    <s v="on 5/15/25 After Market Eastern Standard Time"/>
    <x v="0"/>
  </r>
  <r>
    <x v="115"/>
    <s v="FLNT"/>
    <s v="on 5/15/25 After Market Eastern Standard Time"/>
    <x v="0"/>
  </r>
  <r>
    <x v="115"/>
    <s v="ALLO"/>
    <s v="on 5/15/25 After Market Eastern Standard Time"/>
    <x v="1"/>
  </r>
  <r>
    <x v="115"/>
    <s v="OMEX"/>
    <s v="on 5/15/25 After Market Eastern Standard Time"/>
    <x v="0"/>
  </r>
  <r>
    <x v="115"/>
    <s v="FBIO"/>
    <s v="on 5/15/25 After Market Eastern Standard Time"/>
    <x v="0"/>
  </r>
  <r>
    <x v="115"/>
    <s v="SMXT"/>
    <s v="on 5/15/25 After Market Eastern Standard Time"/>
    <x v="0"/>
  </r>
  <r>
    <x v="115"/>
    <s v="VHC"/>
    <s v="on 5/15/25 After Market Eastern Standard Time"/>
    <x v="0"/>
  </r>
  <r>
    <x v="115"/>
    <s v="NAII"/>
    <s v="on 5/15/25 After Market Eastern Standard Time"/>
    <x v="0"/>
  </r>
  <r>
    <x v="115"/>
    <s v="IZEA"/>
    <s v="on 5/15/25 After Market Eastern Standard Time"/>
    <x v="0"/>
  </r>
  <r>
    <x v="115"/>
    <s v="KYTX"/>
    <s v="on 5/15/25 After Market Eastern Standard Time"/>
    <x v="0"/>
  </r>
  <r>
    <x v="115"/>
    <s v="FBLG"/>
    <s v="on 5/15/25 After Market Eastern Standard Time"/>
    <x v="0"/>
  </r>
  <r>
    <x v="115"/>
    <s v="LFLY"/>
    <s v="on 5/15/25 After Market Eastern Standard Time"/>
    <x v="0"/>
  </r>
  <r>
    <x v="115"/>
    <s v="BIOA"/>
    <s v="on 5/15/25 After Market Eastern Standard Time"/>
    <x v="0"/>
  </r>
  <r>
    <x v="115"/>
    <s v="GLXZ"/>
    <s v="on 5/15/25 After Market Eastern Standard Time"/>
    <x v="0"/>
  </r>
  <r>
    <x v="115"/>
    <s v="RSSS"/>
    <s v="on 5/15/25 After Market Eastern Standard Time"/>
    <x v="0"/>
  </r>
  <r>
    <x v="115"/>
    <s v="ERAS"/>
    <s v="on 5/15/25 After Market Eastern Standard Time"/>
    <x v="1"/>
  </r>
  <r>
    <x v="115"/>
    <s v="LQMT"/>
    <s v="on 5/15/25 After Market Eastern Standard Time"/>
    <x v="0"/>
  </r>
  <r>
    <x v="115"/>
    <s v="REKR"/>
    <s v="on 5/15/25 After Market Eastern Standard Time"/>
    <x v="0"/>
  </r>
  <r>
    <x v="115"/>
    <s v="FVR"/>
    <s v="on 5/15/25 After Market Eastern Standard Time"/>
    <x v="0"/>
  </r>
  <r>
    <x v="115"/>
    <s v="NBY"/>
    <s v="on 5/15/25 After Market Eastern Standard Time"/>
    <x v="0"/>
  </r>
  <r>
    <x v="115"/>
    <s v="KNW"/>
    <s v="on 5/15/25 After Market Eastern Standard Time"/>
    <x v="0"/>
  </r>
  <r>
    <x v="115"/>
    <s v="YCBD"/>
    <s v="on 5/15/25 After Market Eastern Standard Time"/>
    <x v="0"/>
  </r>
  <r>
    <x v="115"/>
    <s v="IBTA"/>
    <s v="on 5/15/25 After Market Eastern Standard Time"/>
    <x v="1"/>
  </r>
  <r>
    <x v="115"/>
    <s v="ICAD"/>
    <s v="on 5/15/25 After Market Eastern Standard Time"/>
    <x v="0"/>
  </r>
  <r>
    <x v="115"/>
    <s v="ICG"/>
    <s v="on 5/15/25 After Market Eastern Standard Time"/>
    <x v="0"/>
  </r>
  <r>
    <x v="115"/>
    <s v="BIVI"/>
    <s v="on 5/15/25 After Market Eastern Standard Time"/>
    <x v="0"/>
  </r>
  <r>
    <x v="115"/>
    <s v="TMC"/>
    <s v="on 5/15/25 After Market Eastern Standard Time"/>
    <x v="0"/>
  </r>
  <r>
    <x v="115"/>
    <s v="CADL"/>
    <s v="on 5/15/25 After Market Eastern Standard Time"/>
    <x v="0"/>
  </r>
  <r>
    <x v="115"/>
    <s v="DOCS"/>
    <s v="on 5/15/25 After Market Eastern Standard Time"/>
    <x v="2"/>
  </r>
  <r>
    <x v="115"/>
    <s v="CWD"/>
    <s v="on 5/15/25 After Market Eastern Standard Time"/>
    <x v="0"/>
  </r>
  <r>
    <x v="115"/>
    <s v="RSLS"/>
    <s v="on 5/15/25 After Market Eastern Standard Time"/>
    <x v="0"/>
  </r>
  <r>
    <x v="115"/>
    <s v="BOLT"/>
    <s v="on 5/15/25 After Market Eastern Standard Time"/>
    <x v="0"/>
  </r>
  <r>
    <x v="115"/>
    <s v="VUZI"/>
    <s v="on 5/15/25 After Market Eastern Standard Time"/>
    <x v="0"/>
  </r>
  <r>
    <x v="115"/>
    <s v="NGNE"/>
    <s v="on 5/15/25 After Market Eastern Standard Time"/>
    <x v="0"/>
  </r>
  <r>
    <x v="115"/>
    <s v="TSSI"/>
    <s v="on 5/15/25 After Market Eastern Standard Time"/>
    <x v="0"/>
  </r>
  <r>
    <x v="115"/>
    <s v="GRDN"/>
    <s v="on 5/15/25 After Market Eastern Standard Time"/>
    <x v="0"/>
  </r>
  <r>
    <x v="115"/>
    <s v="FLGC"/>
    <s v="on 5/15/25 After Market Eastern Standard Time"/>
    <x v="0"/>
  </r>
  <r>
    <x v="115"/>
    <s v="FEAM"/>
    <s v="on 5/15/25 After Market Eastern Standard Time"/>
    <x v="0"/>
  </r>
  <r>
    <x v="115"/>
    <s v="NUTX"/>
    <s v="on 5/15/25 After Market Eastern Standard Time"/>
    <x v="0"/>
  </r>
  <r>
    <x v="115"/>
    <s v="DALN"/>
    <s v="on 5/15/25 After Market Eastern Standard Time"/>
    <x v="0"/>
  </r>
  <r>
    <x v="115"/>
    <s v="KNWN"/>
    <s v="on 5/15/25 After Market Eastern Standard Time"/>
    <x v="0"/>
  </r>
  <r>
    <x v="115"/>
    <s v="SOAR"/>
    <s v="on 5/15/25 After Market Eastern Standard Time"/>
    <x v="0"/>
  </r>
  <r>
    <x v="115"/>
    <s v="IMNM"/>
    <s v="on 5/15/25 After Market Eastern Standard Time"/>
    <x v="1"/>
  </r>
  <r>
    <x v="115"/>
    <s v="TRAK"/>
    <s v="on 5/15/25 After Market Eastern Standard Time"/>
    <x v="1"/>
  </r>
  <r>
    <x v="115"/>
    <s v="PSQH"/>
    <s v="on 5/15/25 After Market Eastern Standard Time"/>
    <x v="0"/>
  </r>
  <r>
    <x v="115"/>
    <s v="HOFV"/>
    <s v="on 5/15/25 After Market Eastern Standard Time"/>
    <x v="0"/>
  </r>
  <r>
    <x v="115"/>
    <s v="DUOT"/>
    <s v="on 5/15/25 After Market Eastern Standard Time"/>
    <x v="0"/>
  </r>
  <r>
    <x v="115"/>
    <s v="XTNT"/>
    <s v="on 5/15/25 After Market Eastern Standard Time"/>
    <x v="0"/>
  </r>
  <r>
    <x v="115"/>
    <s v="OKLO"/>
    <s v="on 5/15/25 After Market Eastern Standard Time"/>
    <x v="0"/>
  </r>
  <r>
    <x v="115"/>
    <s v="ANRO"/>
    <s v="on 5/15/25 After Market Eastern Standard Time"/>
    <x v="0"/>
  </r>
  <r>
    <x v="115"/>
    <s v="IKT"/>
    <s v="on 5/15/25 After Market Eastern Standard Time"/>
    <x v="0"/>
  </r>
  <r>
    <x v="115"/>
    <s v="IOBT"/>
    <s v="on 5/15/25 After Market Eastern Standard Time"/>
    <x v="0"/>
  </r>
  <r>
    <x v="115"/>
    <s v="SCLX"/>
    <s v="on 5/15/25 After Market Eastern Standard Time"/>
    <x v="0"/>
  </r>
  <r>
    <x v="115"/>
    <s v="KULR"/>
    <s v="on 5/15/25 After Market Eastern Standard Time"/>
    <x v="0"/>
  </r>
  <r>
    <x v="115"/>
    <s v="MRRTY"/>
    <s v="on 5/15/25 After Market Eastern Standard Time"/>
    <x v="0"/>
  </r>
  <r>
    <x v="115"/>
    <s v="LGMK"/>
    <s v="on 5/15/25 After Market Eastern Standard Time"/>
    <x v="0"/>
  </r>
  <r>
    <x v="115"/>
    <s v="KARO"/>
    <s v="on 5/15/25 After Market Eastern Standard Time"/>
    <x v="0"/>
  </r>
  <r>
    <x v="115"/>
    <s v="CTNM"/>
    <s v="on 5/15/25 After Market Eastern Standard Time"/>
    <x v="0"/>
  </r>
  <r>
    <x v="115"/>
    <s v="SOC"/>
    <s v="on 5/15/25 After Market Eastern Standard Time"/>
    <x v="1"/>
  </r>
  <r>
    <x v="115"/>
    <s v="LCTX"/>
    <s v="on 5/15/25 After Market Eastern Standard Time"/>
    <x v="0"/>
  </r>
  <r>
    <x v="115"/>
    <s v="AMAT"/>
    <s v="on 5/15/25 After Market Eastern Standard Time"/>
    <x v="3"/>
  </r>
  <r>
    <x v="115"/>
    <s v="ATIP"/>
    <s v="on 5/15/25 After Market Eastern Standard Time"/>
    <x v="0"/>
  </r>
  <r>
    <x v="115"/>
    <s v="IPW"/>
    <s v="on 5/15/25 After Market Eastern Standard Time"/>
    <x v="0"/>
  </r>
  <r>
    <x v="115"/>
    <s v="LGCY"/>
    <s v="on 5/15/25 After Market Eastern Standard Time"/>
    <x v="0"/>
  </r>
  <r>
    <x v="115"/>
    <s v="PGEN"/>
    <s v="on 5/15/25 After Market Eastern Standard Time"/>
    <x v="0"/>
  </r>
  <r>
    <x v="115"/>
    <s v="CLYM"/>
    <s v="on 5/15/25 After Market Eastern Standard Time"/>
    <x v="0"/>
  </r>
  <r>
    <x v="115"/>
    <s v="BKKT"/>
    <s v="on 5/15/25 After Market Eastern Standard Time"/>
    <x v="0"/>
  </r>
  <r>
    <x v="115"/>
    <s v="TWFG"/>
    <s v="on 5/15/25 After Market Eastern Standard Time"/>
    <x v="0"/>
  </r>
  <r>
    <x v="115"/>
    <s v="TTWO"/>
    <s v="on 5/15/25 After Market Eastern Standard Time"/>
    <x v="3"/>
  </r>
  <r>
    <x v="115"/>
    <s v="ENSC"/>
    <s v="on 5/15/25 After Market Eastern Standard Time"/>
    <x v="0"/>
  </r>
  <r>
    <x v="115"/>
    <s v="SUPV"/>
    <s v="on 5/15/25 After Market Eastern Standard Time"/>
    <x v="0"/>
  </r>
  <r>
    <x v="115"/>
    <s v="TECX"/>
    <s v="on 5/15/25 After Market Eastern Standard Time"/>
    <x v="0"/>
  </r>
  <r>
    <x v="115"/>
    <s v="ATNM"/>
    <s v="on 5/15/25 After Market Eastern Standard Time"/>
    <x v="0"/>
  </r>
  <r>
    <x v="115"/>
    <s v="ZSPC"/>
    <s v="on 5/15/25 After Market Eastern Standard Time"/>
    <x v="0"/>
  </r>
  <r>
    <x v="115"/>
    <s v="OSTX"/>
    <s v="on 5/15/25 After Market Eastern Standard Time"/>
    <x v="0"/>
  </r>
  <r>
    <x v="115"/>
    <s v="FSI"/>
    <s v="on 5/15/25 After Market Eastern Standard Time"/>
    <x v="0"/>
  </r>
  <r>
    <x v="116"/>
    <s v="CAN"/>
    <s v="on 5/16/25 Before Market Eastern Standard Time"/>
    <x v="0"/>
  </r>
  <r>
    <x v="116"/>
    <s v="CFRUY"/>
    <s v="on 5/16/25 Before Market Eastern Standard Time"/>
    <x v="0"/>
  </r>
  <r>
    <x v="116"/>
    <s v="SSREY"/>
    <s v="on 5/16/25 Unspecified Eastern Standard Time"/>
    <x v="0"/>
  </r>
  <r>
    <x v="116"/>
    <s v="QFIN"/>
    <s v="on 5/16/25 Unspecified Eastern Standard Time"/>
    <x v="0"/>
  </r>
  <r>
    <x v="116"/>
    <s v="RLX"/>
    <s v="on 5/16/25 Before Market Eastern Standard Time"/>
    <x v="0"/>
  </r>
  <r>
    <x v="116"/>
    <s v="KEP"/>
    <s v="on 5/16/25 Before Market Eastern Standard Time"/>
    <x v="0"/>
  </r>
  <r>
    <x v="116"/>
    <s v="RBC"/>
    <s v="on 5/16/25 Before Market Eastern Standard Time"/>
    <x v="2"/>
  </r>
  <r>
    <x v="117"/>
    <s v="NIU"/>
    <s v="on 5/19/25 Before Market Eastern Standard Time"/>
    <x v="0"/>
  </r>
  <r>
    <x v="117"/>
    <s v="VDMCY"/>
    <s v="on 5/19/25 Unspecified Eastern Standard Time"/>
    <x v="0"/>
  </r>
  <r>
    <x v="117"/>
    <s v="CRGO"/>
    <s v="on 5/19/25 Before Market Eastern Standard Time"/>
    <x v="0"/>
  </r>
  <r>
    <x v="117"/>
    <s v="WIX"/>
    <s v="on 5/19/25 Before Market Eastern Standard Time"/>
    <x v="0"/>
  </r>
  <r>
    <x v="117"/>
    <s v="RYAAY"/>
    <s v="on 5/19/25 Before Market Eastern Standard Time"/>
    <x v="0"/>
  </r>
  <r>
    <x v="117"/>
    <s v="CGEN"/>
    <s v="on 5/19/25 Before Market Eastern Standard Time"/>
    <x v="0"/>
  </r>
  <r>
    <x v="117"/>
    <s v="SOHU"/>
    <s v="on 5/19/25 Before Market Eastern Standard Time"/>
    <x v="0"/>
  </r>
  <r>
    <x v="118"/>
    <s v="ZM"/>
    <s v="on 5/19/25 After Market Eastern Standard Time"/>
    <x v="0"/>
  </r>
  <r>
    <x v="118"/>
    <s v="ZEPP"/>
    <s v="on 5/19/25 After Market Eastern Standard Time"/>
    <x v="0"/>
  </r>
  <r>
    <x v="118"/>
    <s v="YALA"/>
    <s v="on 5/19/25 After Market Eastern Standard Time"/>
    <x v="0"/>
  </r>
  <r>
    <x v="118"/>
    <s v="NDSN"/>
    <s v="on 5/19/25 After Market Eastern Standard Time"/>
    <x v="3"/>
  </r>
  <r>
    <x v="118"/>
    <s v="TCOM"/>
    <s v="on 5/19/25 After Market Eastern Standard Time"/>
    <x v="0"/>
  </r>
  <r>
    <x v="118"/>
    <s v="AGYS"/>
    <s v="on 5/19/25 After Market Eastern Standard Time"/>
    <x v="1"/>
  </r>
  <r>
    <x v="118"/>
    <s v="TRNS"/>
    <s v="on 5/19/25 After Market Eastern Standard Time"/>
    <x v="1"/>
  </r>
  <r>
    <x v="118"/>
    <s v="JHX"/>
    <s v="on 5/19/25 After Market Eastern Standard Time"/>
    <x v="0"/>
  </r>
  <r>
    <x v="119"/>
    <s v="XPEV"/>
    <s v="on 5/20/25 Before Market Eastern Standard Time"/>
    <x v="0"/>
  </r>
  <r>
    <x v="119"/>
    <s v="BZ"/>
    <s v="on 5/20/25 Before Market Eastern Standard Time"/>
    <x v="0"/>
  </r>
  <r>
    <x v="119"/>
    <s v="ECX"/>
    <s v="on 5/20/25 Before Market Eastern Standard Time"/>
    <x v="0"/>
  </r>
  <r>
    <x v="119"/>
    <s v="YMM"/>
    <s v="on 5/20/25 Before Market Eastern Standard Time"/>
    <x v="0"/>
  </r>
  <r>
    <x v="119"/>
    <s v="IMTX"/>
    <s v="on 5/20/25 Before Market Eastern Standard Time"/>
    <x v="0"/>
  </r>
  <r>
    <x v="119"/>
    <s v="OCFT"/>
    <s v="on 5/20/25 Before Market Eastern Standard Time"/>
    <x v="0"/>
  </r>
  <r>
    <x v="119"/>
    <s v="FUFU"/>
    <s v="on 5/20/25 Before Market Eastern Standard Time"/>
    <x v="0"/>
  </r>
  <r>
    <x v="119"/>
    <s v="ELTK"/>
    <s v="on 5/20/25 Before Market Eastern Standard Time"/>
    <x v="0"/>
  </r>
  <r>
    <x v="119"/>
    <s v="TUYA"/>
    <s v="on 5/20/25 Before Market Eastern Standard Time"/>
    <x v="0"/>
  </r>
  <r>
    <x v="119"/>
    <s v="LI"/>
    <s v="on 5/20/25 Before Market Eastern Standard Time"/>
    <x v="0"/>
  </r>
  <r>
    <x v="119"/>
    <s v="RERE"/>
    <s v="on 5/20/25 Before Market Eastern Standard Time"/>
    <x v="0"/>
  </r>
  <r>
    <x v="119"/>
    <s v="VOD"/>
    <s v="on 5/20/25 Unspecified Eastern Standard Time"/>
    <x v="0"/>
  </r>
  <r>
    <x v="119"/>
    <s v="EXP"/>
    <s v="on 5/20/25 Before Market Eastern Standard Time"/>
    <x v="2"/>
  </r>
  <r>
    <x v="119"/>
    <s v="ZKH"/>
    <s v="on 5/20/25 Before Market Eastern Standard Time"/>
    <x v="0"/>
  </r>
  <r>
    <x v="119"/>
    <s v="HLTOY"/>
    <s v="on 5/20/25 Unspecified Eastern Standard Time"/>
    <x v="0"/>
  </r>
  <r>
    <x v="119"/>
    <s v="AS"/>
    <s v="on 5/20/25 Before Market Eastern Standard Time"/>
    <x v="0"/>
  </r>
  <r>
    <x v="119"/>
    <s v="GOTU"/>
    <s v="on 5/20/25 Before Market Eastern Standard Time"/>
    <x v="0"/>
  </r>
  <r>
    <x v="119"/>
    <s v="LVTX"/>
    <s v="on 5/20/25 Before Market Eastern Standard Time"/>
    <x v="0"/>
  </r>
  <r>
    <x v="119"/>
    <s v="HD"/>
    <s v="on 5/20/25 Before Market Eastern Standard Time"/>
    <x v="3"/>
  </r>
  <r>
    <x v="119"/>
    <s v="ARQQ"/>
    <s v="on 5/20/25 Before Market Eastern Standard Time"/>
    <x v="0"/>
  </r>
  <r>
    <x v="119"/>
    <s v="TKOMY"/>
    <s v="on 5/20/25 Unspecified Eastern Standard Time"/>
    <x v="0"/>
  </r>
  <r>
    <x v="119"/>
    <s v="GAUZ"/>
    <s v="on 5/20/25 Before Market Eastern Standard Time"/>
    <x v="0"/>
  </r>
  <r>
    <x v="120"/>
    <s v="TOL"/>
    <s v="on 5/20/25 After Market Eastern Standard Time"/>
    <x v="2"/>
  </r>
  <r>
    <x v="120"/>
    <s v="CSWC"/>
    <s v="on 5/20/25 After Market Eastern Standard Time"/>
    <x v="0"/>
  </r>
  <r>
    <x v="120"/>
    <s v="PXS"/>
    <s v="on 5/20/25 After Market Eastern Standard Time"/>
    <x v="0"/>
  </r>
  <r>
    <x v="120"/>
    <s v="VSAT"/>
    <s v="on 5/20/25 After Market Eastern Standard Time"/>
    <x v="1"/>
  </r>
  <r>
    <x v="120"/>
    <s v="XP"/>
    <s v="on 5/20/25 After Market Eastern Standard Time"/>
    <x v="0"/>
  </r>
  <r>
    <x v="120"/>
    <s v="DRTS"/>
    <s v="on 5/20/25 After Market Eastern Standard Time"/>
    <x v="0"/>
  </r>
  <r>
    <x v="120"/>
    <s v="SKY"/>
    <s v="on 5/20/25 After Market Eastern Standard Time"/>
    <x v="1"/>
  </r>
  <r>
    <x v="121"/>
    <s v="KC"/>
    <s v="on 5/21/25 Before Market Eastern Standard Time"/>
    <x v="0"/>
  </r>
  <r>
    <x v="121"/>
    <s v="CLCO"/>
    <s v="on 5/21/25 Before Market Eastern Standard Time"/>
    <x v="0"/>
  </r>
  <r>
    <x v="121"/>
    <s v="AIOT"/>
    <s v="on 5/21/25 Before Market Eastern Standard Time"/>
    <x v="1"/>
  </r>
  <r>
    <x v="121"/>
    <s v="LPG"/>
    <s v="on 5/21/25 Before Market Eastern Standard Time"/>
    <x v="1"/>
  </r>
  <r>
    <x v="121"/>
    <s v="ADI"/>
    <s v="on 5/21/25 Before Market Eastern Standard Time"/>
    <x v="3"/>
  </r>
  <r>
    <x v="121"/>
    <s v="GDS"/>
    <s v="on 5/21/25 Before Market Eastern Standard Time"/>
    <x v="0"/>
  </r>
  <r>
    <x v="121"/>
    <s v="MDT"/>
    <s v="on 5/21/25 Before Market Eastern Standard Time"/>
    <x v="3"/>
  </r>
  <r>
    <x v="121"/>
    <s v="TJX"/>
    <s v="on 5/21/25 Before Market Eastern Standard Time"/>
    <x v="3"/>
  </r>
  <r>
    <x v="121"/>
    <s v="CAAP"/>
    <s v="on 5/21/25 Before Market Eastern Standard Time"/>
    <x v="0"/>
  </r>
  <r>
    <x v="121"/>
    <s v="VFC"/>
    <s v="on 5/21/25 Before Market Eastern Standard Time"/>
    <x v="0"/>
  </r>
  <r>
    <x v="121"/>
    <s v="M"/>
    <s v="on 5/21/25 Before Market Eastern Standard Time"/>
    <x v="2"/>
  </r>
  <r>
    <x v="121"/>
    <s v="TGT"/>
    <s v="on 5/21/25 Before Market Eastern Standard Time"/>
    <x v="3"/>
  </r>
  <r>
    <x v="121"/>
    <s v="DY"/>
    <s v="on 5/21/25 Before Market Eastern Standard Time"/>
    <x v="1"/>
  </r>
  <r>
    <x v="121"/>
    <s v="VIPS"/>
    <s v="on 5/21/25 Before Market Eastern Standard Time"/>
    <x v="0"/>
  </r>
  <r>
    <x v="121"/>
    <s v="GOGL"/>
    <s v="on 5/21/25 Before Market Eastern Standard Time"/>
    <x v="1"/>
  </r>
  <r>
    <x v="121"/>
    <s v="YSG"/>
    <s v="on 5/21/25 Before Market Eastern Standard Time"/>
    <x v="0"/>
  </r>
  <r>
    <x v="121"/>
    <s v="NESR"/>
    <s v="on 5/21/25 Before Market Eastern Standard Time"/>
    <x v="0"/>
  </r>
  <r>
    <x v="121"/>
    <s v="EDRY"/>
    <s v="on 5/21/25 Before Market Eastern Standard Time"/>
    <x v="0"/>
  </r>
  <r>
    <x v="121"/>
    <s v="REX"/>
    <s v="on 5/21/25 Before Market Eastern Standard Time"/>
    <x v="1"/>
  </r>
  <r>
    <x v="121"/>
    <s v="LOW"/>
    <s v="on 5/21/25 Before Market Eastern Standard Time"/>
    <x v="3"/>
  </r>
  <r>
    <x v="121"/>
    <s v="ARBE"/>
    <s v="on 5/21/25 Before Market Eastern Standard Time"/>
    <x v="0"/>
  </r>
  <r>
    <x v="122"/>
    <s v="ELF"/>
    <s v="on 5/21/25 After Market Eastern Standard Time"/>
    <x v="2"/>
  </r>
  <r>
    <x v="122"/>
    <s v="UVV"/>
    <s v="on 5/21/25 After Market Eastern Standard Time"/>
    <x v="1"/>
  </r>
  <r>
    <x v="122"/>
    <s v="GPRK"/>
    <s v="on 5/21/25 After Market Eastern Standard Time"/>
    <x v="0"/>
  </r>
  <r>
    <x v="122"/>
    <s v="CINT"/>
    <s v="on 5/21/25 After Market Eastern Standard Time"/>
    <x v="0"/>
  </r>
  <r>
    <x v="122"/>
    <s v="API"/>
    <s v="on 5/21/25 After Market Eastern Standard Time"/>
    <x v="0"/>
  </r>
  <r>
    <x v="122"/>
    <s v="AUNA"/>
    <s v="on 5/21/25 After Market Eastern Standard Time"/>
    <x v="0"/>
  </r>
  <r>
    <x v="122"/>
    <s v="SNOW"/>
    <s v="on 5/21/25 After Market Eastern Standard Time"/>
    <x v="0"/>
  </r>
  <r>
    <x v="122"/>
    <s v="BBAR"/>
    <s v="on 5/21/25 After Market Eastern Standard Time"/>
    <x v="0"/>
  </r>
  <r>
    <x v="122"/>
    <s v="KNOP"/>
    <s v="on 5/21/25 After Market Eastern Standard Time"/>
    <x v="0"/>
  </r>
  <r>
    <x v="122"/>
    <s v="WOOF"/>
    <s v="on 5/21/25 After Market Eastern Standard Time"/>
    <x v="1"/>
  </r>
  <r>
    <x v="122"/>
    <s v="ENS"/>
    <s v="on 5/21/25 After Market Eastern Standard Time"/>
    <x v="1"/>
  </r>
  <r>
    <x v="122"/>
    <s v="SNPS"/>
    <s v="on 5/21/25 After Market Eastern Standard Time"/>
    <x v="3"/>
  </r>
  <r>
    <x v="122"/>
    <s v="TATT"/>
    <s v="on 5/21/25 After Market Eastern Standard Time"/>
    <x v="0"/>
  </r>
  <r>
    <x v="122"/>
    <s v="BMA"/>
    <s v="on 5/21/25 After Market Eastern Standard Time"/>
    <x v="0"/>
  </r>
  <r>
    <x v="122"/>
    <s v="PLUS"/>
    <s v="on 5/21/25 After Market Eastern Standard Time"/>
    <x v="1"/>
  </r>
  <r>
    <x v="122"/>
    <s v="RAMP"/>
    <s v="on 5/21/25 After Market Eastern Standard Time"/>
    <x v="1"/>
  </r>
  <r>
    <x v="123"/>
    <s v="REPL"/>
    <s v="on 5/22/25 Before Market Eastern Standard Time"/>
    <x v="1"/>
  </r>
  <r>
    <x v="123"/>
    <s v="RL"/>
    <s v="on 5/22/25 Before Market Eastern Standard Time"/>
    <x v="3"/>
  </r>
  <r>
    <x v="123"/>
    <s v="BTLCY"/>
    <s v="on 5/22/25 Unspecified Eastern Standard Time"/>
    <x v="0"/>
  </r>
  <r>
    <x v="123"/>
    <s v="FORTY"/>
    <s v="on 5/22/25 Unspecified Eastern Standard Time"/>
    <x v="0"/>
  </r>
  <r>
    <x v="123"/>
    <s v="HLNE"/>
    <s v="on 5/22/25 Before Market Eastern Standard Time"/>
    <x v="1"/>
  </r>
  <r>
    <x v="123"/>
    <s v="BJ"/>
    <s v="on 5/22/25 Before Market Eastern Standard Time"/>
    <x v="2"/>
  </r>
  <r>
    <x v="123"/>
    <s v="SLN"/>
    <s v="on 5/22/25 Before Market Eastern Standard Time"/>
    <x v="0"/>
  </r>
  <r>
    <x v="123"/>
    <s v="ATAT"/>
    <s v="on 5/22/25 Before Market Eastern Standard Time"/>
    <x v="0"/>
  </r>
  <r>
    <x v="123"/>
    <s v="TITN"/>
    <s v="on 5/22/25 Before Market Eastern Standard Time"/>
    <x v="1"/>
  </r>
  <r>
    <x v="123"/>
    <s v="ESEA"/>
    <s v="on 5/22/25 Before Market Eastern Standard Time"/>
    <x v="0"/>
  </r>
  <r>
    <x v="123"/>
    <s v="BRC"/>
    <s v="on 5/22/25 Before Market Eastern Standard Time"/>
    <x v="0"/>
  </r>
  <r>
    <x v="123"/>
    <s v="SCVL"/>
    <s v="on 5/22/25 Before Market Eastern Standard Time"/>
    <x v="1"/>
  </r>
  <r>
    <x v="123"/>
    <s v="JMPLY"/>
    <s v="on 5/22/25 Unspecified Eastern Standard Time"/>
    <x v="0"/>
  </r>
  <r>
    <x v="123"/>
    <s v="NTES"/>
    <s v="on 5/22/25 Before Market Eastern Standard Time"/>
    <x v="0"/>
  </r>
  <r>
    <x v="123"/>
    <s v="TD"/>
    <s v="on 5/22/25 Before Market Eastern Standard Time"/>
    <x v="0"/>
  </r>
  <r>
    <x v="123"/>
    <s v="DAVA"/>
    <s v="on 5/22/25 Before Market Eastern Standard Time"/>
    <x v="0"/>
  </r>
  <r>
    <x v="123"/>
    <s v="CLBT"/>
    <s v="on 5/22/25 Before Market Eastern Standard Time"/>
    <x v="0"/>
  </r>
  <r>
    <x v="123"/>
    <s v="HSHP"/>
    <s v="on 5/22/25 Before Market Eastern Standard Time"/>
    <x v="1"/>
  </r>
  <r>
    <x v="123"/>
    <s v="DAO"/>
    <s v="on 5/22/25 Before Market Eastern Standard Time"/>
    <x v="0"/>
  </r>
  <r>
    <x v="123"/>
    <s v="CRMT"/>
    <s v="on 5/22/25 Before Market Eastern Standard Time"/>
    <x v="1"/>
  </r>
  <r>
    <x v="123"/>
    <s v="CSWI"/>
    <s v="on 5/22/25 Before Market Eastern Standard Time"/>
    <x v="1"/>
  </r>
  <r>
    <x v="123"/>
    <s v="XIACY"/>
    <s v="on 5/22/25 Unspecified Eastern Standard Time"/>
    <x v="0"/>
  </r>
  <r>
    <x v="123"/>
    <s v="EVGN"/>
    <s v="on 5/22/25 Before Market Eastern Standard Time"/>
    <x v="0"/>
  </r>
  <r>
    <x v="123"/>
    <s v="WB"/>
    <s v="on 5/22/25 Before Market Eastern Standard Time"/>
    <x v="0"/>
  </r>
  <r>
    <x v="123"/>
    <s v="GASS"/>
    <s v="on 5/22/25 Before Market Eastern Standard Time"/>
    <x v="0"/>
  </r>
  <r>
    <x v="123"/>
    <s v="USEA"/>
    <s v="on 5/22/25 Before Market Eastern Standard Time"/>
    <x v="0"/>
  </r>
  <r>
    <x v="123"/>
    <s v="HOV"/>
    <s v="on 5/22/25 Before Market Eastern Standard Time"/>
    <x v="1"/>
  </r>
  <r>
    <x v="123"/>
    <s v="YI"/>
    <s v="on 5/22/25 Before Market Eastern Standard Time"/>
    <x v="0"/>
  </r>
  <r>
    <x v="123"/>
    <s v="PDD"/>
    <s v="on 5/22/25 Before Market Eastern Standard Time"/>
    <x v="4"/>
  </r>
  <r>
    <x v="123"/>
    <s v="CATO"/>
    <s v="on 5/22/25 Before Market Eastern Standard Time"/>
    <x v="0"/>
  </r>
  <r>
    <x v="123"/>
    <s v="AMWD"/>
    <s v="on 5/22/25 Before Market Eastern Standard Time"/>
    <x v="1"/>
  </r>
  <r>
    <x v="123"/>
    <s v="SOTK"/>
    <s v="on 5/22/25 Before Market Eastern Standard Time"/>
    <x v="0"/>
  </r>
  <r>
    <x v="123"/>
    <s v="GGAL"/>
    <s v="on 5/22/25 Unspecified Eastern Standard Time"/>
    <x v="0"/>
  </r>
  <r>
    <x v="123"/>
    <s v="BEKE"/>
    <s v="on 5/22/25 Before Market Eastern Standard Time"/>
    <x v="0"/>
  </r>
  <r>
    <x v="124"/>
    <s v="RMCF"/>
    <s v="on 5/22/25 After Market Eastern Standard Time"/>
    <x v="0"/>
  </r>
  <r>
    <x v="124"/>
    <s v="INTU"/>
    <s v="on 5/22/25 After Market Eastern Standard Time"/>
    <x v="3"/>
  </r>
  <r>
    <x v="124"/>
    <s v="STEP"/>
    <s v="on 5/22/25 After Market Eastern Standard Time"/>
    <x v="1"/>
  </r>
  <r>
    <x v="124"/>
    <s v="LX"/>
    <s v="on 5/22/25 After Market Eastern Standard Time"/>
    <x v="0"/>
  </r>
  <r>
    <x v="124"/>
    <s v="PAGS"/>
    <s v="on 5/22/25 After Market Eastern Standard Time"/>
    <x v="1"/>
  </r>
  <r>
    <x v="124"/>
    <s v="ROST"/>
    <s v="on 5/22/25 After Market Eastern Standard Time"/>
    <x v="3"/>
  </r>
  <r>
    <x v="124"/>
    <s v="WDAY"/>
    <s v="on 5/22/25 After Market Eastern Standard Time"/>
    <x v="4"/>
  </r>
  <r>
    <x v="124"/>
    <s v="SOL"/>
    <s v="on 5/22/25 After Market Eastern Standard Time"/>
    <x v="0"/>
  </r>
  <r>
    <x v="124"/>
    <s v="ME"/>
    <s v="on 5/22/25 After Market Eastern Standard Time"/>
    <x v="0"/>
  </r>
  <r>
    <x v="124"/>
    <s v="CVCO"/>
    <s v="on 5/22/25 After Market Eastern Standard Time"/>
    <x v="1"/>
  </r>
  <r>
    <x v="124"/>
    <s v="LGF/B"/>
    <s v="on 5/22/25 After Market Eastern Standard Time"/>
    <x v="0"/>
  </r>
  <r>
    <x v="124"/>
    <s v="GLOB"/>
    <s v="on 5/22/25 After Market Eastern Standard Time"/>
    <x v="0"/>
  </r>
  <r>
    <x v="124"/>
    <s v="DECK"/>
    <s v="on 5/22/25 After Market Eastern Standard Time"/>
    <x v="3"/>
  </r>
  <r>
    <x v="124"/>
    <s v="MEHCQ"/>
    <s v="on 5/22/25 After Market Eastern Standard Time"/>
    <x v="0"/>
  </r>
  <r>
    <x v="124"/>
    <s v="LGF/A"/>
    <s v="on 5/22/25 After Market Eastern Standard Time"/>
    <x v="0"/>
  </r>
  <r>
    <x v="124"/>
    <s v="BORR"/>
    <s v="on 5/22/25 After Market Eastern Standard Time"/>
    <x v="1"/>
  </r>
  <r>
    <x v="124"/>
    <s v="SATX"/>
    <s v="on 5/22/25 After Market Eastern Standard Time"/>
    <x v="0"/>
  </r>
  <r>
    <x v="124"/>
    <s v="TGI"/>
    <s v="on 5/22/25 After Market Eastern Standard Time"/>
    <x v="1"/>
  </r>
  <r>
    <x v="124"/>
    <s v="SBLK"/>
    <s v="on 5/22/25 After Market Eastern Standard Time"/>
    <x v="0"/>
  </r>
  <r>
    <x v="125"/>
    <s v="BKE"/>
    <s v="on 5/23/25 Before Market Eastern Standard Time"/>
    <x v="1"/>
  </r>
  <r>
    <x v="126"/>
    <s v="LPA"/>
    <s v="on 5/23/25 After Market Eastern Standard Time"/>
    <x v="0"/>
  </r>
  <r>
    <x v="127"/>
    <s v="KEYS"/>
    <s v="on 5/26/25 After Market Eastern Standard Time"/>
    <x v="3"/>
  </r>
  <r>
    <x v="128"/>
    <s v="BNS"/>
    <s v="on 5/27/25 Before Market Eastern Standard Time"/>
    <x v="0"/>
  </r>
  <r>
    <x v="128"/>
    <s v="STG"/>
    <s v="on 5/27/25 Before Market Eastern Standard Time"/>
    <x v="0"/>
  </r>
  <r>
    <x v="128"/>
    <s v="ESLT"/>
    <s v="on 5/27/25 Before Market Eastern Standard Time"/>
    <x v="0"/>
  </r>
  <r>
    <x v="128"/>
    <s v="ZIM"/>
    <s v="on 5/27/25 Before Market Eastern Standard Time"/>
    <x v="0"/>
  </r>
  <r>
    <x v="128"/>
    <s v="GLNG"/>
    <s v="on 5/27/25 Before Market Eastern Standard Time"/>
    <x v="1"/>
  </r>
  <r>
    <x v="128"/>
    <s v="AZO"/>
    <s v="on 5/27/25 Before Market Eastern Standard Time"/>
    <x v="3"/>
  </r>
  <r>
    <x v="128"/>
    <s v="DELKY"/>
    <s v="on 5/27/25 Unspecified Eastern Standard Time"/>
    <x v="0"/>
  </r>
  <r>
    <x v="128"/>
    <s v="EH"/>
    <s v="on 5/27/25 Before Market Eastern Standard Time"/>
    <x v="0"/>
  </r>
  <r>
    <x v="128"/>
    <s v="FUTU"/>
    <s v="on 5/27/25 Before Market Eastern Standard Time"/>
    <x v="0"/>
  </r>
  <r>
    <x v="128"/>
    <s v="CRVL"/>
    <s v="on 5/27/25 Before Market Eastern Standard Time"/>
    <x v="1"/>
  </r>
  <r>
    <x v="128"/>
    <s v="LITB"/>
    <s v="on 5/27/25 Before Market Eastern Standard Time"/>
    <x v="0"/>
  </r>
  <r>
    <x v="129"/>
    <s v="AMBA"/>
    <s v="on 5/27/25 After Market Eastern Standard Time"/>
    <x v="1"/>
  </r>
  <r>
    <x v="129"/>
    <s v="SQM"/>
    <s v="on 5/27/25 After Market Eastern Standard Time"/>
    <x v="0"/>
  </r>
  <r>
    <x v="129"/>
    <s v="OOMA"/>
    <s v="on 5/27/25 After Market Eastern Standard Time"/>
    <x v="1"/>
  </r>
  <r>
    <x v="129"/>
    <s v="JOYY"/>
    <s v="on 5/27/25 After Market Eastern Standard Time"/>
    <x v="0"/>
  </r>
  <r>
    <x v="129"/>
    <s v="MOD"/>
    <s v="on 5/27/25 After Market Eastern Standard Time"/>
    <x v="1"/>
  </r>
  <r>
    <x v="129"/>
    <s v="URBN"/>
    <s v="on 5/27/25 After Market Eastern Standard Time"/>
    <x v="1"/>
  </r>
  <r>
    <x v="129"/>
    <s v="YY"/>
    <s v="on 5/27/25 After Market Eastern Standard Time"/>
    <x v="0"/>
  </r>
  <r>
    <x v="129"/>
    <s v="DAC"/>
    <s v="on 5/27/25 After Market Eastern Standard Time"/>
    <x v="0"/>
  </r>
  <r>
    <x v="129"/>
    <s v="BOX"/>
    <s v="on 5/27/25 After Market Eastern Standard Time"/>
    <x v="1"/>
  </r>
  <r>
    <x v="130"/>
    <s v="WSM"/>
    <s v="on 5/28/25 Before Market Eastern Standard Time"/>
    <x v="2"/>
  </r>
  <r>
    <x v="130"/>
    <s v="NNOX"/>
    <s v="on 5/28/25 Before Market Eastern Standard Time"/>
    <x v="1"/>
  </r>
  <r>
    <x v="130"/>
    <s v="ALLT"/>
    <s v="on 5/28/25 Before Market Eastern Standard Time"/>
    <x v="0"/>
  </r>
  <r>
    <x v="130"/>
    <s v="IMVT"/>
    <s v="on 5/28/25 Before Market Eastern Standard Time"/>
    <x v="1"/>
  </r>
  <r>
    <x v="130"/>
    <s v="BMO"/>
    <s v="on 5/28/25 Before Market Eastern Standard Time"/>
    <x v="0"/>
  </r>
  <r>
    <x v="130"/>
    <s v="DKS"/>
    <s v="on 5/28/25 Before Market Eastern Standard Time"/>
    <x v="2"/>
  </r>
  <r>
    <x v="130"/>
    <s v="CLGN"/>
    <s v="on 5/28/25 Before Market Eastern Standard Time"/>
    <x v="0"/>
  </r>
  <r>
    <x v="130"/>
    <s v="CCG"/>
    <s v="on 5/28/25 Before Market Eastern Standard Time"/>
    <x v="0"/>
  </r>
  <r>
    <x v="130"/>
    <s v="ITRN"/>
    <s v="on 5/28/25 Before Market Eastern Standard Time"/>
    <x v="0"/>
  </r>
  <r>
    <x v="130"/>
    <s v="MOMO"/>
    <s v="on 5/28/25 Before Market Eastern Standard Time"/>
    <x v="0"/>
  </r>
  <r>
    <x v="130"/>
    <s v="BZUN"/>
    <s v="on 5/28/25 Before Market Eastern Standard Time"/>
    <x v="0"/>
  </r>
  <r>
    <x v="130"/>
    <s v="VNET"/>
    <s v="on 5/28/25 Before Market Eastern Standard Time"/>
    <x v="0"/>
  </r>
  <r>
    <x v="130"/>
    <s v="BNR"/>
    <s v="on 5/28/25 Before Market Eastern Standard Time"/>
    <x v="0"/>
  </r>
  <r>
    <x v="130"/>
    <s v="SSYS"/>
    <s v="on 5/28/25 Before Market Eastern Standard Time"/>
    <x v="0"/>
  </r>
  <r>
    <x v="130"/>
    <s v="ANF"/>
    <s v="on 5/28/25 Before Market Eastern Standard Time"/>
    <x v="1"/>
  </r>
  <r>
    <x v="130"/>
    <s v="BLRX"/>
    <s v="on 5/28/25 Before Market Eastern Standard Time"/>
    <x v="0"/>
  </r>
  <r>
    <x v="130"/>
    <s v="AAP"/>
    <s v="on 5/28/25 Before Market Eastern Standard Time"/>
    <x v="0"/>
  </r>
  <r>
    <x v="130"/>
    <s v="MLYBY"/>
    <s v="on 5/28/25 Unspecified Eastern Standard Time"/>
    <x v="0"/>
  </r>
  <r>
    <x v="130"/>
    <s v="MNRO"/>
    <s v="on 5/28/25 Before Market Eastern Standard Time"/>
    <x v="1"/>
  </r>
  <r>
    <x v="130"/>
    <s v="ICCM"/>
    <s v="on 5/28/25 Before Market Eastern Standard Time"/>
    <x v="0"/>
  </r>
  <r>
    <x v="130"/>
    <s v="DSX"/>
    <s v="on 5/28/25 Before Market Eastern Standard Time"/>
    <x v="0"/>
  </r>
  <r>
    <x v="130"/>
    <s v="SY"/>
    <s v="on 5/28/25 Before Market Eastern Standard Time"/>
    <x v="0"/>
  </r>
  <r>
    <x v="130"/>
    <s v="PLAB"/>
    <s v="on 5/28/25 Before Market Eastern Standard Time"/>
    <x v="1"/>
  </r>
  <r>
    <x v="130"/>
    <s v="RSVR"/>
    <s v="on 5/28/25 Before Market Eastern Standard Time"/>
    <x v="0"/>
  </r>
  <r>
    <x v="130"/>
    <s v="CPRI"/>
    <s v="on 5/28/25 Before Market Eastern Standard Time"/>
    <x v="2"/>
  </r>
  <r>
    <x v="131"/>
    <s v="OKTA"/>
    <s v="on 5/28/25 After Market Eastern Standard Time"/>
    <x v="0"/>
  </r>
  <r>
    <x v="131"/>
    <s v="FNGR"/>
    <s v="on 5/28/25 After Market Eastern Standard Time"/>
    <x v="0"/>
  </r>
  <r>
    <x v="131"/>
    <s v="PETS"/>
    <s v="on 5/28/25 After Market Eastern Standard Time"/>
    <x v="0"/>
  </r>
  <r>
    <x v="131"/>
    <s v="AI"/>
    <s v="on 5/28/25 After Market Eastern Standard Time"/>
    <x v="1"/>
  </r>
  <r>
    <x v="131"/>
    <s v="UHAL"/>
    <s v="on 5/28/25 After Market Eastern Standard Time"/>
    <x v="0"/>
  </r>
  <r>
    <x v="131"/>
    <s v="PATH"/>
    <s v="on 5/28/25 After Market Eastern Standard Time"/>
    <x v="0"/>
  </r>
  <r>
    <x v="131"/>
    <s v="CRM"/>
    <s v="on 5/28/25 After Market Eastern Standard Time"/>
    <x v="3"/>
  </r>
  <r>
    <x v="131"/>
    <s v="A"/>
    <s v="on 5/28/25 After Market Eastern Standard Time"/>
    <x v="3"/>
  </r>
  <r>
    <x v="131"/>
    <s v="AMSC"/>
    <s v="on 5/28/25 After Market Eastern Standard Time"/>
    <x v="1"/>
  </r>
  <r>
    <x v="131"/>
    <s v="CRDO"/>
    <s v="on 5/28/25 After Market Eastern Standard Time"/>
    <x v="1"/>
  </r>
  <r>
    <x v="131"/>
    <s v="NTNX"/>
    <s v="on 5/28/25 After Market Eastern Standard Time"/>
    <x v="0"/>
  </r>
  <r>
    <x v="131"/>
    <s v="HPQ"/>
    <s v="on 5/28/25 After Market Eastern Standard Time"/>
    <x v="3"/>
  </r>
  <r>
    <x v="131"/>
    <s v="PSTG"/>
    <s v="on 5/28/25 After Market Eastern Standard Time"/>
    <x v="2"/>
  </r>
  <r>
    <x v="131"/>
    <s v="BHST"/>
    <s v="on 5/28/25 After Market Eastern Standard Time"/>
    <x v="0"/>
  </r>
  <r>
    <x v="131"/>
    <s v="UHALB"/>
    <s v="on 5/28/25 After Market Eastern Standard Time"/>
    <x v="0"/>
  </r>
  <r>
    <x v="131"/>
    <s v="APPS"/>
    <s v="on 5/28/25 After Market Eastern Standard Time"/>
    <x v="0"/>
  </r>
  <r>
    <x v="131"/>
    <s v="NVDA"/>
    <s v="on 5/28/25 After Market Eastern Standard Time"/>
    <x v="3"/>
  </r>
  <r>
    <x v="131"/>
    <s v="GDEV"/>
    <s v="on 5/28/25 After Market Eastern Standard Time"/>
    <x v="0"/>
  </r>
  <r>
    <x v="131"/>
    <s v="DSGX"/>
    <s v="on 5/28/25 After Market Eastern Standard Time"/>
    <x v="0"/>
  </r>
  <r>
    <x v="131"/>
    <s v="AEO"/>
    <s v="on 5/28/25 After Market Eastern Standard Time"/>
    <x v="1"/>
  </r>
  <r>
    <x v="131"/>
    <s v="CMCO"/>
    <s v="on 5/28/25 After Market Eastern Standard Time"/>
    <x v="1"/>
  </r>
  <r>
    <x v="132"/>
    <s v="BIRK"/>
    <s v="on 5/29/25 Before Market Eastern Standard Time"/>
    <x v="0"/>
  </r>
  <r>
    <x v="132"/>
    <s v="GLBE"/>
    <s v="on 5/29/25 Before Market Eastern Standard Time"/>
    <x v="0"/>
  </r>
  <r>
    <x v="132"/>
    <s v="BURL"/>
    <s v="on 5/29/25 Before Market Eastern Standard Time"/>
    <x v="2"/>
  </r>
  <r>
    <x v="132"/>
    <s v="YTRA"/>
    <s v="on 5/29/25 Before Market Eastern Standard Time"/>
    <x v="0"/>
  </r>
  <r>
    <x v="132"/>
    <s v="CGC"/>
    <s v="on 5/29/25 Before Market Eastern Standard Time"/>
    <x v="0"/>
  </r>
  <r>
    <x v="132"/>
    <s v="SPTN"/>
    <s v="on 5/29/25 Before Market Eastern Standard Time"/>
    <x v="1"/>
  </r>
  <r>
    <x v="132"/>
    <s v="KSS"/>
    <s v="on 5/29/25 Before Market Eastern Standard Time"/>
    <x v="0"/>
  </r>
  <r>
    <x v="132"/>
    <s v="BBW"/>
    <s v="on 5/29/25 Before Market Eastern Standard Time"/>
    <x v="1"/>
  </r>
  <r>
    <x v="132"/>
    <s v="CAL"/>
    <s v="on 5/29/25 Before Market Eastern Standard Time"/>
    <x v="1"/>
  </r>
  <r>
    <x v="132"/>
    <s v="BBY"/>
    <s v="on 5/29/25 Before Market Eastern Standard Time"/>
    <x v="3"/>
  </r>
  <r>
    <x v="132"/>
    <s v="BILI"/>
    <s v="on 5/29/25 Before Market Eastern Standard Time"/>
    <x v="0"/>
  </r>
  <r>
    <x v="132"/>
    <s v="DG"/>
    <s v="on 5/29/25 Before Market Eastern Standard Time"/>
    <x v="3"/>
  </r>
  <r>
    <x v="132"/>
    <s v="NAT"/>
    <s v="on 5/29/25 Before Market Eastern Standard Time"/>
    <x v="1"/>
  </r>
  <r>
    <x v="132"/>
    <s v="VIK"/>
    <s v="on 5/29/25 Before Market Eastern Standard Time"/>
    <x v="0"/>
  </r>
  <r>
    <x v="132"/>
    <s v="FL"/>
    <s v="on 5/29/25 Before Market Eastern Standard Time"/>
    <x v="1"/>
  </r>
  <r>
    <x v="132"/>
    <s v="DIDIY"/>
    <s v="on 5/29/25 Unspecified Eastern Standard Time"/>
    <x v="0"/>
  </r>
  <r>
    <x v="132"/>
    <s v="PODC"/>
    <s v="on 5/29/25 Before Market Eastern Standard Time"/>
    <x v="0"/>
  </r>
  <r>
    <x v="132"/>
    <s v="RY"/>
    <s v="on 5/29/25 Before Market Eastern Standard Time"/>
    <x v="0"/>
  </r>
  <r>
    <x v="132"/>
    <s v="CM"/>
    <s v="on 5/29/25 Before Market Eastern Standard Time"/>
    <x v="0"/>
  </r>
  <r>
    <x v="132"/>
    <s v="ROIV"/>
    <s v="on 5/29/25 Before Market Eastern Standard Time"/>
    <x v="2"/>
  </r>
  <r>
    <x v="132"/>
    <s v="DXLG"/>
    <s v="on 5/29/25 Before Market Eastern Standard Time"/>
    <x v="0"/>
  </r>
  <r>
    <x v="132"/>
    <s v="CBRL"/>
    <s v="on 5/29/25 Before Market Eastern Standard Time"/>
    <x v="1"/>
  </r>
  <r>
    <x v="132"/>
    <s v="BOSC"/>
    <s v="on 5/29/25 Before Market Eastern Standard Time"/>
    <x v="0"/>
  </r>
  <r>
    <x v="132"/>
    <s v="HRL"/>
    <s v="on 5/29/25 Before Market Eastern Standard Time"/>
    <x v="3"/>
  </r>
  <r>
    <x v="133"/>
    <s v="HEI/A"/>
    <s v="on 5/29/25 After Market Eastern Standard Time"/>
    <x v="0"/>
  </r>
  <r>
    <x v="133"/>
    <s v="NTAP"/>
    <s v="on 5/29/25 After Market Eastern Standard Time"/>
    <x v="3"/>
  </r>
  <r>
    <x v="133"/>
    <s v="DELL"/>
    <s v="on 5/29/25 After Market Eastern Standard Time"/>
    <x v="3"/>
  </r>
  <r>
    <x v="133"/>
    <s v="LOOP"/>
    <s v="on 5/29/25 After Market Eastern Standard Time"/>
    <x v="0"/>
  </r>
  <r>
    <x v="133"/>
    <s v="NOAH"/>
    <s v="on 5/29/25 After Market Eastern Standard Time"/>
    <x v="0"/>
  </r>
  <r>
    <x v="133"/>
    <s v="MRVL"/>
    <s v="on 5/29/25 After Market Eastern Standard Time"/>
    <x v="4"/>
  </r>
  <r>
    <x v="133"/>
    <s v="ESTC"/>
    <s v="on 5/29/25 After Market Eastern Standard Time"/>
    <x v="0"/>
  </r>
  <r>
    <x v="133"/>
    <s v="CAE"/>
    <s v="on 5/29/25 After Market Eastern Standard Time"/>
    <x v="0"/>
  </r>
  <r>
    <x v="133"/>
    <s v="VEEV"/>
    <s v="on 5/29/25 After Market Eastern Standard Time"/>
    <x v="0"/>
  </r>
  <r>
    <x v="133"/>
    <s v="PD"/>
    <s v="on 5/29/25 After Market Eastern Standard Time"/>
    <x v="1"/>
  </r>
  <r>
    <x v="133"/>
    <s v="PKE"/>
    <s v="on 5/29/25 After Market Eastern Standard Time"/>
    <x v="1"/>
  </r>
  <r>
    <x v="133"/>
    <s v="GES"/>
    <s v="on 5/29/25 After Market Eastern Standard Time"/>
    <x v="0"/>
  </r>
  <r>
    <x v="133"/>
    <s v="ULTA"/>
    <s v="on 5/29/25 After Market Eastern Standard Time"/>
    <x v="3"/>
  </r>
  <r>
    <x v="133"/>
    <s v="S"/>
    <s v="on 5/29/25 After Market Eastern Standard Time"/>
    <x v="0"/>
  </r>
  <r>
    <x v="133"/>
    <s v="MDB"/>
    <s v="on 5/29/25 After Market Eastern Standard Time"/>
    <x v="4"/>
  </r>
  <r>
    <x v="133"/>
    <s v="DOMO"/>
    <s v="on 5/29/25 After Market Eastern Standard Time"/>
    <x v="1"/>
  </r>
  <r>
    <x v="133"/>
    <s v="HSAI"/>
    <s v="on 5/29/25 After Market Eastern Standard Time"/>
    <x v="0"/>
  </r>
  <r>
    <x v="133"/>
    <s v="HEI"/>
    <s v="on 5/29/25 After Market Eastern Standard Time"/>
    <x v="0"/>
  </r>
  <r>
    <x v="133"/>
    <s v="AGX"/>
    <s v="on 5/29/25 After Market Eastern Standard Time"/>
    <x v="1"/>
  </r>
  <r>
    <x v="133"/>
    <s v="PHR"/>
    <s v="on 5/29/25 After Market Eastern Standard Time"/>
    <x v="1"/>
  </r>
  <r>
    <x v="133"/>
    <s v="COST"/>
    <s v="on 5/29/25 After Market Eastern Standard Time"/>
    <x v="3"/>
  </r>
  <r>
    <x v="133"/>
    <s v="ASAN"/>
    <s v="on 5/29/25 After Market Eastern Standard Time"/>
    <x v="1"/>
  </r>
  <r>
    <x v="133"/>
    <s v="GAP"/>
    <s v="on 5/29/25 After Market Eastern Standard Time"/>
    <x v="2"/>
  </r>
  <r>
    <x v="133"/>
    <s v="ZS"/>
    <s v="on 5/29/25 After Market Eastern Standard Time"/>
    <x v="4"/>
  </r>
  <r>
    <x v="134"/>
    <s v="BAH"/>
    <s v="on 5/30/25 Before Market Eastern Standard Time"/>
    <x v="0"/>
  </r>
  <r>
    <x v="134"/>
    <s v="HAO"/>
    <s v="on 5/30/25 Before Market Eastern Standard Time"/>
    <x v="0"/>
  </r>
  <r>
    <x v="134"/>
    <s v="THR"/>
    <s v="on 5/30/25 Before Market Eastern Standard Time"/>
    <x v="1"/>
  </r>
  <r>
    <x v="134"/>
    <s v="FRHC"/>
    <s v="on 5/30/25 Before Market Eastern Standard Time"/>
    <x v="0"/>
  </r>
  <r>
    <x v="134"/>
    <s v="FRO"/>
    <s v="on 5/30/25 Before Market Eastern Standard Time"/>
    <x v="0"/>
  </r>
  <r>
    <x v="134"/>
    <s v="FLNG"/>
    <s v="on 5/30/25 Before Market Eastern Standard Time"/>
    <x v="1"/>
  </r>
  <r>
    <x v="135"/>
    <s v="RRGB"/>
    <s v="on 5/30/25 After Market Eastern Standard Time"/>
    <x v="0"/>
  </r>
  <r>
    <x v="135"/>
    <s v="POET"/>
    <s v="on 5/30/25 After Market Eastern Standard Time"/>
    <x v="0"/>
  </r>
  <r>
    <x v="135"/>
    <s v="CAVA"/>
    <s v="on 5/30/25 After Market Eastern Standard Time"/>
    <x v="0"/>
  </r>
  <r>
    <x v="136"/>
    <s v="SAIC"/>
    <s v="on 6/2/25 Before Market Eastern Standard Time"/>
    <x v="2"/>
  </r>
  <r>
    <x v="136"/>
    <s v="KEN"/>
    <s v="on 6/2/25 Before Market Eastern Standard Time"/>
    <x v="0"/>
  </r>
  <r>
    <x v="136"/>
    <s v="MNSO"/>
    <s v="on 6/2/25 Before Market Eastern Standard Time"/>
    <x v="0"/>
  </r>
  <r>
    <x v="137"/>
    <s v="GTLB"/>
    <s v="on 6/2/25 After Market Eastern Standard Time"/>
    <x v="0"/>
  </r>
  <r>
    <x v="137"/>
    <s v="KLC"/>
    <s v="on 6/2/25 After Market Eastern Standard Time"/>
    <x v="0"/>
  </r>
  <r>
    <x v="137"/>
    <s v="HQY"/>
    <s v="on 6/2/25 After Market Eastern Standard Time"/>
    <x v="1"/>
  </r>
  <r>
    <x v="138"/>
    <s v="BBWI"/>
    <s v="on 6/3/25 Before Market Eastern Standard Time"/>
    <x v="0"/>
  </r>
  <r>
    <x v="138"/>
    <s v="DBI"/>
    <s v="on 6/3/25 Before Market Eastern Standard Time"/>
    <x v="1"/>
  </r>
  <r>
    <x v="138"/>
    <s v="CTRN"/>
    <s v="on 6/3/25 Before Market Eastern Standard Time"/>
    <x v="0"/>
  </r>
  <r>
    <x v="138"/>
    <s v="SJM"/>
    <s v="on 6/3/25 Before Market Eastern Standard Time"/>
    <x v="3"/>
  </r>
  <r>
    <x v="138"/>
    <s v="DCI"/>
    <s v="on 6/3/25 Before Market Eastern Standard Time"/>
    <x v="2"/>
  </r>
  <r>
    <x v="138"/>
    <s v="VLGEA"/>
    <s v="on 6/3/25 Before Market Eastern Standard Time"/>
    <x v="1"/>
  </r>
  <r>
    <x v="138"/>
    <s v="FERG"/>
    <s v="on 6/3/25 Before Market Eastern Standard Time"/>
    <x v="0"/>
  </r>
  <r>
    <x v="139"/>
    <s v="HPE"/>
    <s v="on 6/3/25 After Market Eastern Standard Time"/>
    <x v="3"/>
  </r>
  <r>
    <x v="139"/>
    <s v="VRNT"/>
    <s v="on 6/3/25 After Market Eastern Standard Time"/>
    <x v="1"/>
  </r>
  <r>
    <x v="139"/>
    <s v="BARK"/>
    <s v="on 6/3/25 After Market Eastern Standard Time"/>
    <x v="1"/>
  </r>
  <r>
    <x v="139"/>
    <s v="ERLFF"/>
    <s v="on 6/3/25 After Market Eastern Standard Time"/>
    <x v="0"/>
  </r>
  <r>
    <x v="139"/>
    <s v="SPWH"/>
    <s v="on 6/3/25 After Market Eastern Standard Time"/>
    <x v="0"/>
  </r>
  <r>
    <x v="139"/>
    <s v="CRWD"/>
    <s v="on 6/3/25 After Market Eastern Standard Time"/>
    <x v="3"/>
  </r>
  <r>
    <x v="140"/>
    <s v="BF/A"/>
    <s v="on 6/4/25 Before Market Eastern Standard Time"/>
    <x v="0"/>
  </r>
  <r>
    <x v="140"/>
    <s v="BF/B"/>
    <s v="on 6/4/25 Before Market Eastern Standard Time"/>
    <x v="0"/>
  </r>
  <r>
    <x v="140"/>
    <s v="MLAB"/>
    <s v="on 6/4/25 Before Market Eastern Standard Time"/>
    <x v="1"/>
  </r>
  <r>
    <x v="140"/>
    <s v="LE"/>
    <s v="on 6/4/25 Before Market Eastern Standard Time"/>
    <x v="1"/>
  </r>
  <r>
    <x v="140"/>
    <s v="REVG"/>
    <s v="on 6/4/25 Before Market Eastern Standard Time"/>
    <x v="1"/>
  </r>
  <r>
    <x v="140"/>
    <s v="CPB"/>
    <s v="on 6/4/25 Before Market Eastern Standard Time"/>
    <x v="3"/>
  </r>
  <r>
    <x v="140"/>
    <s v="CHWY"/>
    <s v="on 6/4/25 Before Market Eastern Standard Time"/>
    <x v="2"/>
  </r>
  <r>
    <x v="140"/>
    <s v="WDH"/>
    <s v="on 6/4/25 Before Market Eastern Standard Time"/>
    <x v="0"/>
  </r>
  <r>
    <x v="140"/>
    <s v="GB"/>
    <s v="on 6/4/25 Before Market Eastern Standard Time"/>
    <x v="0"/>
  </r>
  <r>
    <x v="140"/>
    <s v="VBNK"/>
    <s v="on 6/4/25 Before Market Eastern Standard Time"/>
    <x v="0"/>
  </r>
  <r>
    <x v="140"/>
    <s v="CXM"/>
    <s v="on 6/4/25 Before Market Eastern Standard Time"/>
    <x v="1"/>
  </r>
  <r>
    <x v="140"/>
    <s v="THO"/>
    <s v="on 6/4/25 Before Market Eastern Standard Time"/>
    <x v="2"/>
  </r>
  <r>
    <x v="140"/>
    <s v="MDWD"/>
    <s v="on 6/4/25 Before Market Eastern Standard Time"/>
    <x v="0"/>
  </r>
  <r>
    <x v="140"/>
    <s v="TOUR"/>
    <s v="on 6/4/25 Before Market Eastern Standard Time"/>
    <x v="0"/>
  </r>
  <r>
    <x v="140"/>
    <s v="OLLI"/>
    <s v="on 6/4/25 Before Market Eastern Standard Time"/>
    <x v="2"/>
  </r>
  <r>
    <x v="141"/>
    <s v="FIVE"/>
    <s v="on 6/4/25 After Market Eastern Standard Time"/>
    <x v="2"/>
  </r>
  <r>
    <x v="141"/>
    <s v="GEF/B"/>
    <s v="on 6/4/25 After Market Eastern Standard Time"/>
    <x v="0"/>
  </r>
  <r>
    <x v="141"/>
    <s v="ANIX"/>
    <s v="on 6/4/25 After Market Eastern Standard Time"/>
    <x v="0"/>
  </r>
  <r>
    <x v="141"/>
    <s v="GEF"/>
    <s v="on 6/4/25 After Market Eastern Standard Time"/>
    <x v="1"/>
  </r>
  <r>
    <x v="141"/>
    <s v="VSCO"/>
    <s v="on 6/4/25 After Market Eastern Standard Time"/>
    <x v="1"/>
  </r>
  <r>
    <x v="141"/>
    <s v="CHPT"/>
    <s v="on 6/4/25 After Market Eastern Standard Time"/>
    <x v="1"/>
  </r>
  <r>
    <x v="141"/>
    <s v="NCNO"/>
    <s v="on 6/4/25 After Market Eastern Standard Time"/>
    <x v="0"/>
  </r>
  <r>
    <x v="141"/>
    <s v="OMCC"/>
    <s v="on 6/4/25 After Market Eastern Standard Time"/>
    <x v="0"/>
  </r>
  <r>
    <x v="141"/>
    <s v="SMTC"/>
    <s v="on 6/4/25 After Market Eastern Standard Time"/>
    <x v="1"/>
  </r>
  <r>
    <x v="141"/>
    <s v="IDT"/>
    <s v="on 6/4/25 After Market Eastern Standard Time"/>
    <x v="1"/>
  </r>
  <r>
    <x v="141"/>
    <s v="PVH"/>
    <s v="on 6/4/25 After Market Eastern Standard Time"/>
    <x v="2"/>
  </r>
  <r>
    <x v="141"/>
    <s v="BASE"/>
    <s v="on 6/4/25 After Market Eastern Standard Time"/>
    <x v="1"/>
  </r>
  <r>
    <x v="141"/>
    <s v="CURV"/>
    <s v="on 6/4/25 After Market Eastern Standard Time"/>
    <x v="0"/>
  </r>
  <r>
    <x v="142"/>
    <s v="OESX"/>
    <s v="on 6/5/25 Before Market Eastern Standard Time"/>
    <x v="0"/>
  </r>
  <r>
    <x v="142"/>
    <s v="LVO"/>
    <s v="on 6/5/25 Before Market Eastern Standard Time"/>
    <x v="0"/>
  </r>
  <r>
    <x v="142"/>
    <s v="HDL"/>
    <s v="on 6/5/25 Before Market Eastern Standard Time"/>
    <x v="0"/>
  </r>
  <r>
    <x v="142"/>
    <s v="JFIN"/>
    <s v="on 6/5/25 Before Market Eastern Standard Time"/>
    <x v="0"/>
  </r>
  <r>
    <x v="142"/>
    <s v="TTC"/>
    <s v="on 6/5/25 Before Market Eastern Standard Time"/>
    <x v="2"/>
  </r>
  <r>
    <x v="142"/>
    <s v="ABM"/>
    <s v="on 6/5/25 Before Market Eastern Standard Time"/>
    <x v="1"/>
  </r>
  <r>
    <x v="142"/>
    <s v="TIGR"/>
    <s v="on 6/5/25 Before Market Eastern Standard Time"/>
    <x v="0"/>
  </r>
  <r>
    <x v="142"/>
    <s v="PYYX"/>
    <s v="on 6/5/25 Before Market Eastern Standard Time"/>
    <x v="0"/>
  </r>
  <r>
    <x v="142"/>
    <s v="DOYU"/>
    <s v="on 6/5/25 Before Market Eastern Standard Time"/>
    <x v="0"/>
  </r>
  <r>
    <x v="142"/>
    <s v="NIO"/>
    <s v="on 6/5/25 Before Market Eastern Standard Time"/>
    <x v="0"/>
  </r>
  <r>
    <x v="142"/>
    <s v="DLTH"/>
    <s v="on 6/5/25 Before Market Eastern Standard Time"/>
    <x v="0"/>
  </r>
  <r>
    <x v="142"/>
    <s v="PONY"/>
    <s v="on 6/5/25 Before Market Eastern Standard Time"/>
    <x v="0"/>
  </r>
  <r>
    <x v="142"/>
    <s v="JWN"/>
    <s v="on 6/5/25 Before Market Eastern Standard Time"/>
    <x v="2"/>
  </r>
  <r>
    <x v="143"/>
    <s v="IOT"/>
    <s v="on 6/5/25 After Market Eastern Standard Time"/>
    <x v="0"/>
  </r>
  <r>
    <x v="143"/>
    <s v="GWRE"/>
    <s v="on 6/5/25 After Market Eastern Standard Time"/>
    <x v="0"/>
  </r>
  <r>
    <x v="143"/>
    <s v="ODC"/>
    <s v="on 6/5/25 After Market Eastern Standard Time"/>
    <x v="1"/>
  </r>
  <r>
    <x v="143"/>
    <s v="MTN"/>
    <s v="on 6/5/25 After Market Eastern Standard Time"/>
    <x v="2"/>
  </r>
  <r>
    <x v="143"/>
    <s v="AVO"/>
    <s v="on 6/5/25 After Market Eastern Standard Time"/>
    <x v="1"/>
  </r>
  <r>
    <x v="143"/>
    <s v="COO"/>
    <s v="on 6/5/25 After Market Eastern Standard Time"/>
    <x v="3"/>
  </r>
  <r>
    <x v="143"/>
    <s v="ZUMZ"/>
    <s v="on 6/5/25 After Market Eastern Standard Time"/>
    <x v="1"/>
  </r>
  <r>
    <x v="143"/>
    <s v="CANG"/>
    <s v="on 6/5/25 After Market Eastern Standard Time"/>
    <x v="0"/>
  </r>
  <r>
    <x v="143"/>
    <s v="NGL"/>
    <s v="on 6/5/25 After Market Eastern Standard Time"/>
    <x v="0"/>
  </r>
  <r>
    <x v="143"/>
    <s v="BBCP"/>
    <s v="on 6/5/25 After Market Eastern Standard Time"/>
    <x v="0"/>
  </r>
  <r>
    <x v="143"/>
    <s v="RNW"/>
    <s v="on 6/5/25 After Market Eastern Standard Time"/>
    <x v="0"/>
  </r>
  <r>
    <x v="143"/>
    <s v="TLYS"/>
    <s v="on 6/5/25 After Market Eastern Standard Time"/>
    <x v="0"/>
  </r>
  <r>
    <x v="143"/>
    <s v="LMNR"/>
    <s v="on 6/5/25 After Market Eastern Standard Time"/>
    <x v="1"/>
  </r>
  <r>
    <x v="143"/>
    <s v="DOCU"/>
    <s v="on 6/5/25 After Market Eastern Standard Time"/>
    <x v="2"/>
  </r>
  <r>
    <x v="143"/>
    <s v="NX"/>
    <s v="on 6/5/25 After Market Eastern Standard Time"/>
    <x v="1"/>
  </r>
  <r>
    <x v="143"/>
    <s v="PL"/>
    <s v="on 6/5/25 After Market Eastern Standard Time"/>
    <x v="1"/>
  </r>
  <r>
    <x v="143"/>
    <s v="BRZE"/>
    <s v="on 6/5/25 After Market Eastern Standard Time"/>
    <x v="1"/>
  </r>
  <r>
    <x v="143"/>
    <s v="LGTY"/>
    <s v="on 6/5/25 After Market Eastern Standard Time"/>
    <x v="1"/>
  </r>
  <r>
    <x v="144"/>
    <s v="HURC"/>
    <s v="on 6/6/25 Before Market Eastern Standard Time"/>
    <x v="0"/>
  </r>
  <r>
    <x v="144"/>
    <s v="GHM"/>
    <s v="on 6/6/25 Before Market Eastern Standard Time"/>
    <x v="1"/>
  </r>
  <r>
    <x v="144"/>
    <s v="GCO"/>
    <s v="on 6/6/25 Before Market Eastern Standard Time"/>
    <x v="1"/>
  </r>
  <r>
    <x v="144"/>
    <s v="JILL"/>
    <s v="on 6/6/25 Before Market Eastern Standard Time"/>
    <x v="0"/>
  </r>
  <r>
    <x v="145"/>
    <s v="GME"/>
    <s v="on 6/6/25 After Market Eastern Standard Time"/>
    <x v="2"/>
  </r>
  <r>
    <x v="146"/>
    <s v="OCC"/>
    <s v="on 6/9/25 Before Market Eastern Standard Time"/>
    <x v="0"/>
  </r>
  <r>
    <x v="146"/>
    <s v="FCEL"/>
    <s v="on 6/9/25 Before Market Eastern Standard Time"/>
    <x v="0"/>
  </r>
  <r>
    <x v="146"/>
    <s v="TTAM"/>
    <s v="on 6/9/25 Before Market Eastern Standard Time"/>
    <x v="0"/>
  </r>
  <r>
    <x v="146"/>
    <s v="GIII"/>
    <s v="on 6/9/25 Before Market Eastern Standard Time"/>
    <x v="1"/>
  </r>
  <r>
    <x v="147"/>
    <s v="ORCL"/>
    <s v="on 6/9/25 After Market Eastern Standard Time"/>
    <x v="3"/>
  </r>
  <r>
    <x v="147"/>
    <s v="UEC"/>
    <s v="on 6/9/25 After Market Eastern Standard Time"/>
    <x v="1"/>
  </r>
  <r>
    <x v="147"/>
    <s v="CVGW"/>
    <s v="on 6/9/25 After Market Eastern Standard Time"/>
    <x v="1"/>
  </r>
  <r>
    <x v="147"/>
    <s v="CMTL"/>
    <s v="on 6/9/25 After Market Eastern Standard Time"/>
    <x v="0"/>
  </r>
  <r>
    <x v="147"/>
    <s v="YEXT"/>
    <s v="on 6/9/25 After Market Eastern Standard Time"/>
    <x v="1"/>
  </r>
  <r>
    <x v="147"/>
    <s v="ADSK"/>
    <s v="on 6/9/25 After Market Eastern Standard Time"/>
    <x v="3"/>
  </r>
  <r>
    <x v="148"/>
    <s v="ASO"/>
    <s v="on 6/10/25 Before Market Eastern Standard Time"/>
    <x v="1"/>
  </r>
  <r>
    <x v="148"/>
    <s v="CNM"/>
    <s v="on 6/10/25 Before Market Eastern Standard Time"/>
    <x v="2"/>
  </r>
  <r>
    <x v="149"/>
    <s v="SFIX"/>
    <s v="on 6/10/25 After Market Eastern Standard Time"/>
    <x v="1"/>
  </r>
  <r>
    <x v="149"/>
    <s v="RBRK"/>
    <s v="on 6/10/25 After Market Eastern Standard Time"/>
    <x v="0"/>
  </r>
  <r>
    <x v="149"/>
    <s v="ZDGE"/>
    <s v="on 6/10/25 After Market Eastern Standard Time"/>
    <x v="0"/>
  </r>
  <r>
    <x v="149"/>
    <s v="VTGN"/>
    <s v="on 6/10/25 After Market Eastern Standard Time"/>
    <x v="0"/>
  </r>
  <r>
    <x v="149"/>
    <s v="CASY"/>
    <s v="on 6/10/25 After Market Eastern Standard Time"/>
    <x v="2"/>
  </r>
  <r>
    <x v="150"/>
    <s v="UNFI"/>
    <s v="on 6/11/25 Before Market Eastern Standard Time"/>
    <x v="1"/>
  </r>
  <r>
    <x v="150"/>
    <s v="VRA"/>
    <s v="on 6/11/25 Before Market Eastern Standard Time"/>
    <x v="0"/>
  </r>
  <r>
    <x v="150"/>
    <s v="DLTR"/>
    <s v="on 6/11/25 Before Market Eastern Standard Time"/>
    <x v="3"/>
  </r>
  <r>
    <x v="150"/>
    <s v="ZH"/>
    <s v="on 6/11/25 Before Market Eastern Standard Time"/>
    <x v="0"/>
  </r>
  <r>
    <x v="150"/>
    <s v="MPAA"/>
    <s v="on 6/11/25 Before Market Eastern Standard Time"/>
    <x v="0"/>
  </r>
  <r>
    <x v="150"/>
    <s v="ZK"/>
    <s v="on 6/11/25 Before Market Eastern Standard Time"/>
    <x v="0"/>
  </r>
  <r>
    <x v="150"/>
    <s v="CODA"/>
    <s v="on 6/11/25 Before Market Eastern Standard Time"/>
    <x v="0"/>
  </r>
  <r>
    <x v="151"/>
    <s v="AVGO"/>
    <s v="on 6/11/25 After Market Eastern Standard Time"/>
    <x v="3"/>
  </r>
  <r>
    <x v="152"/>
    <s v="SIG"/>
    <s v="on 6/12/25 Before Market Eastern Standard Time"/>
    <x v="1"/>
  </r>
  <r>
    <x v="152"/>
    <s v="CIEN"/>
    <s v="on 6/12/25 Before Market Eastern Standard Time"/>
    <x v="2"/>
  </r>
  <r>
    <x v="152"/>
    <s v="KFY"/>
    <s v="on 6/12/25 Before Market Eastern Standard Time"/>
    <x v="1"/>
  </r>
  <r>
    <x v="152"/>
    <s v="WLY"/>
    <s v="on 6/12/25 Before Market Eastern Standard Time"/>
    <x v="1"/>
  </r>
  <r>
    <x v="152"/>
    <s v="CNCK"/>
    <s v="on 6/12/25 Before Market Eastern Standard Time"/>
    <x v="0"/>
  </r>
  <r>
    <x v="152"/>
    <s v="WLYB"/>
    <s v="on 6/12/25 Before Market Eastern Standard Time"/>
    <x v="0"/>
  </r>
  <r>
    <x v="153"/>
    <s v="RH"/>
    <s v="on 6/12/25 After Market Eastern Standard Time"/>
    <x v="2"/>
  </r>
  <r>
    <x v="153"/>
    <s v="LULU"/>
    <s v="on 6/12/25 After Market Eastern Standard Time"/>
    <x v="3"/>
  </r>
  <r>
    <x v="153"/>
    <s v="SENEA"/>
    <s v="on 6/12/25 After Market Eastern Standard Time"/>
    <x v="1"/>
  </r>
  <r>
    <x v="153"/>
    <s v="RFL"/>
    <s v="on 6/12/25 After Market Eastern Standard Time"/>
    <x v="0"/>
  </r>
  <r>
    <x v="153"/>
    <s v="OXM"/>
    <s v="on 6/12/25 After Market Eastern Standard Time"/>
    <x v="1"/>
  </r>
  <r>
    <x v="153"/>
    <s v="ADBE"/>
    <s v="on 6/12/25 After Market Eastern Standard Time"/>
    <x v="3"/>
  </r>
  <r>
    <x v="153"/>
    <s v="ENZ"/>
    <s v="on 6/12/25 After Market Eastern Standard Time"/>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6430E9-C4C5-4457-A00B-87B7C0F2B442}" name="PivotTable1" cacheId="6" applyNumberFormats="0" applyBorderFormats="0" applyFontFormats="0" applyPatternFormats="0" applyAlignmentFormats="0" applyWidthHeightFormats="1" dataCaption="Values" updatedVersion="8" minRefreshableVersion="3" useAutoFormatting="1" itemPrintTitles="1" createdVersion="8" indent="0" multipleFieldFilters="0" chartFormat="17">
  <location ref="A3:B59" firstHeaderRow="1" firstDataRow="1" firstDataCol="1" rowPageCount="1" colPageCount="1"/>
  <pivotFields count="6">
    <pivotField numFmtId="22" showAll="0">
      <items count="1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t="default"/>
      </items>
    </pivotField>
    <pivotField dataField="1" showAll="0"/>
    <pivotField showAll="0"/>
    <pivotField axis="axisPage" multipleItemSelectionAllowed="1" showAll="0">
      <items count="7">
        <item x="0"/>
        <item x="1"/>
        <item x="4"/>
        <item x="2"/>
        <item x="3"/>
        <item h="1" m="1" x="5"/>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56">
    <i>
      <x v="92"/>
    </i>
    <i>
      <x v="93"/>
    </i>
    <i>
      <x v="94"/>
    </i>
    <i>
      <x v="95"/>
    </i>
    <i>
      <x v="98"/>
    </i>
    <i>
      <x v="99"/>
    </i>
    <i>
      <x v="100"/>
    </i>
    <i>
      <x v="101"/>
    </i>
    <i>
      <x v="102"/>
    </i>
    <i>
      <x v="105"/>
    </i>
    <i>
      <x v="106"/>
    </i>
    <i>
      <x v="107"/>
    </i>
    <i>
      <x v="108"/>
    </i>
    <i>
      <x v="109"/>
    </i>
    <i>
      <x v="110"/>
    </i>
    <i>
      <x v="112"/>
    </i>
    <i>
      <x v="113"/>
    </i>
    <i>
      <x v="114"/>
    </i>
    <i>
      <x v="115"/>
    </i>
    <i>
      <x v="116"/>
    </i>
    <i>
      <x v="119"/>
    </i>
    <i>
      <x v="120"/>
    </i>
    <i>
      <x v="121"/>
    </i>
    <i>
      <x v="122"/>
    </i>
    <i>
      <x v="123"/>
    </i>
    <i>
      <x v="124"/>
    </i>
    <i>
      <x v="126"/>
    </i>
    <i>
      <x v="127"/>
    </i>
    <i>
      <x v="128"/>
    </i>
    <i>
      <x v="129"/>
    </i>
    <i>
      <x v="130"/>
    </i>
    <i>
      <x v="133"/>
    </i>
    <i>
      <x v="134"/>
    </i>
    <i>
      <x v="135"/>
    </i>
    <i>
      <x v="136"/>
    </i>
    <i>
      <x v="137"/>
    </i>
    <i>
      <x v="140"/>
    </i>
    <i>
      <x v="141"/>
    </i>
    <i>
      <x v="142"/>
    </i>
    <i>
      <x v="143"/>
    </i>
    <i>
      <x v="144"/>
    </i>
    <i>
      <x v="147"/>
    </i>
    <i>
      <x v="148"/>
    </i>
    <i>
      <x v="149"/>
    </i>
    <i>
      <x v="150"/>
    </i>
    <i>
      <x v="151"/>
    </i>
    <i>
      <x v="154"/>
    </i>
    <i>
      <x v="155"/>
    </i>
    <i>
      <x v="156"/>
    </i>
    <i>
      <x v="157"/>
    </i>
    <i>
      <x v="158"/>
    </i>
    <i>
      <x v="161"/>
    </i>
    <i>
      <x v="162"/>
    </i>
    <i>
      <x v="163"/>
    </i>
    <i>
      <x v="164"/>
    </i>
    <i t="grand">
      <x/>
    </i>
  </rowItems>
  <colItems count="1">
    <i/>
  </colItems>
  <pageFields count="1">
    <pageField fld="3" hier="-1"/>
  </pageFields>
  <dataFields count="1">
    <dataField name="Count of Ticker" fld="1" subtotal="count" baseField="0" baseItem="0"/>
  </dataFields>
  <chartFormats count="3">
    <chartFormat chart="0"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2.xml"/><Relationship Id="rId1" Type="http://schemas.openxmlformats.org/officeDocument/2006/relationships/printerSettings" Target="../printerSettings/printerSettings7.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E0F13-DC4F-4506-91B1-22EDD6E76CFB}">
  <sheetPr codeName="Sheet2">
    <tabColor theme="0" tint="-0.499984740745262"/>
  </sheetPr>
  <dimension ref="A1:O2676"/>
  <sheetViews>
    <sheetView showGridLines="0" workbookViewId="0">
      <pane ySplit="1" topLeftCell="A2" activePane="bottomLeft" state="frozen"/>
      <selection pane="bottomLeft" activeCell="H2" sqref="H2"/>
    </sheetView>
  </sheetViews>
  <sheetFormatPr defaultRowHeight="15" x14ac:dyDescent="0.25"/>
  <cols>
    <col min="1" max="1" width="15.140625" customWidth="1"/>
    <col min="2" max="2" width="14.140625" style="7" customWidth="1"/>
    <col min="3" max="3" width="11.42578125" customWidth="1"/>
    <col min="4" max="4" width="13.28515625" customWidth="1"/>
    <col min="6" max="6" width="10.42578125" bestFit="1" customWidth="1"/>
  </cols>
  <sheetData>
    <row r="1" spans="1:15" x14ac:dyDescent="0.25">
      <c r="A1" s="2" t="s">
        <v>1603</v>
      </c>
      <c r="B1" s="2" t="s">
        <v>1602</v>
      </c>
      <c r="C1" s="2" t="s">
        <v>1610</v>
      </c>
      <c r="D1" s="2" t="s">
        <v>2608</v>
      </c>
      <c r="E1" s="2" t="s">
        <v>2326</v>
      </c>
      <c r="F1" s="11">
        <v>45616</v>
      </c>
      <c r="I1" s="3"/>
      <c r="K1" s="3"/>
      <c r="L1" s="3"/>
      <c r="M1" s="3"/>
      <c r="N1" s="4"/>
      <c r="O1" s="3"/>
    </row>
    <row r="2" spans="1:15" x14ac:dyDescent="0.25">
      <c r="A2" s="6" t="s">
        <v>1103</v>
      </c>
      <c r="B2" s="7" t="s">
        <v>1604</v>
      </c>
      <c r="C2" s="1" t="s">
        <v>1609</v>
      </c>
      <c r="I2" s="3"/>
      <c r="K2" s="3"/>
      <c r="L2" s="3"/>
      <c r="M2" s="3"/>
      <c r="N2" s="4"/>
      <c r="O2" s="3"/>
    </row>
    <row r="3" spans="1:15" x14ac:dyDescent="0.25">
      <c r="A3" s="6" t="s">
        <v>1263</v>
      </c>
      <c r="B3" s="7" t="s">
        <v>1604</v>
      </c>
      <c r="C3" s="1" t="s">
        <v>1609</v>
      </c>
      <c r="I3" s="3"/>
      <c r="K3" s="3"/>
      <c r="L3" s="3"/>
      <c r="M3" s="3"/>
      <c r="N3" s="4"/>
      <c r="O3" s="3"/>
    </row>
    <row r="4" spans="1:15" x14ac:dyDescent="0.25">
      <c r="A4" s="6" t="s">
        <v>1264</v>
      </c>
      <c r="B4" s="7" t="s">
        <v>1604</v>
      </c>
      <c r="C4" s="1" t="s">
        <v>1609</v>
      </c>
      <c r="I4" s="3"/>
      <c r="K4" s="3"/>
      <c r="L4" s="3"/>
      <c r="M4" s="3"/>
      <c r="N4" s="4"/>
      <c r="O4" s="3"/>
    </row>
    <row r="5" spans="1:15" x14ac:dyDescent="0.25">
      <c r="A5" s="6" t="s">
        <v>1265</v>
      </c>
      <c r="B5" s="7" t="s">
        <v>1604</v>
      </c>
      <c r="C5" s="1" t="s">
        <v>1609</v>
      </c>
      <c r="I5" s="3"/>
      <c r="K5" s="3"/>
      <c r="L5" s="3"/>
      <c r="M5" s="3"/>
      <c r="N5" s="4"/>
      <c r="O5" s="3"/>
    </row>
    <row r="6" spans="1:15" x14ac:dyDescent="0.25">
      <c r="A6" s="6" t="s">
        <v>1266</v>
      </c>
      <c r="B6" s="7" t="s">
        <v>1604</v>
      </c>
      <c r="C6" s="1" t="s">
        <v>1609</v>
      </c>
      <c r="I6" s="3"/>
      <c r="K6" s="3"/>
      <c r="L6" s="3"/>
      <c r="M6" s="3"/>
      <c r="N6" s="4"/>
      <c r="O6" s="3"/>
    </row>
    <row r="7" spans="1:15" x14ac:dyDescent="0.25">
      <c r="A7" s="6" t="s">
        <v>1267</v>
      </c>
      <c r="B7" s="7" t="s">
        <v>1604</v>
      </c>
      <c r="C7" s="1" t="s">
        <v>1609</v>
      </c>
      <c r="I7" s="3"/>
      <c r="K7" s="3"/>
      <c r="L7" s="3"/>
      <c r="M7" s="3"/>
      <c r="N7" s="4"/>
      <c r="O7" s="3"/>
    </row>
    <row r="8" spans="1:15" x14ac:dyDescent="0.25">
      <c r="A8" s="6" t="s">
        <v>1268</v>
      </c>
      <c r="B8" s="7" t="s">
        <v>1604</v>
      </c>
      <c r="C8" s="1" t="s">
        <v>1609</v>
      </c>
      <c r="I8" s="3"/>
      <c r="K8" s="3"/>
      <c r="L8" s="3"/>
      <c r="M8" s="3"/>
      <c r="N8" s="4"/>
      <c r="O8" s="3"/>
    </row>
    <row r="9" spans="1:15" x14ac:dyDescent="0.25">
      <c r="A9" s="6" t="s">
        <v>1269</v>
      </c>
      <c r="B9" s="7" t="s">
        <v>1604</v>
      </c>
      <c r="C9" s="1" t="s">
        <v>1609</v>
      </c>
      <c r="I9" s="3"/>
      <c r="K9" s="3"/>
      <c r="L9" s="3"/>
      <c r="M9" s="3"/>
      <c r="N9" s="4"/>
      <c r="O9" s="3"/>
    </row>
    <row r="10" spans="1:15" x14ac:dyDescent="0.25">
      <c r="A10" s="6" t="s">
        <v>1270</v>
      </c>
      <c r="B10" s="7" t="s">
        <v>1604</v>
      </c>
      <c r="C10" s="1" t="s">
        <v>1611</v>
      </c>
      <c r="I10" s="3"/>
      <c r="K10" s="3"/>
      <c r="L10" s="3"/>
      <c r="M10" s="3"/>
      <c r="N10" s="4"/>
      <c r="O10" s="3"/>
    </row>
    <row r="11" spans="1:15" x14ac:dyDescent="0.25">
      <c r="A11" s="6" t="s">
        <v>1258</v>
      </c>
      <c r="B11" s="7" t="s">
        <v>1604</v>
      </c>
      <c r="C11" s="1" t="s">
        <v>1609</v>
      </c>
      <c r="I11" s="3"/>
      <c r="K11" s="3"/>
      <c r="L11" s="3"/>
      <c r="M11" s="3"/>
      <c r="N11" s="4"/>
      <c r="O11" s="3"/>
    </row>
    <row r="12" spans="1:15" x14ac:dyDescent="0.25">
      <c r="A12" s="6" t="s">
        <v>1085</v>
      </c>
      <c r="B12" s="7" t="s">
        <v>1604</v>
      </c>
      <c r="C12" s="1" t="s">
        <v>1611</v>
      </c>
      <c r="I12" s="3"/>
      <c r="K12" s="3"/>
      <c r="L12" s="3"/>
      <c r="M12" s="3"/>
      <c r="N12" s="4"/>
      <c r="O12" s="3"/>
    </row>
    <row r="13" spans="1:15" x14ac:dyDescent="0.25">
      <c r="A13" s="6" t="s">
        <v>1271</v>
      </c>
      <c r="B13" s="7" t="s">
        <v>1604</v>
      </c>
      <c r="C13" s="1" t="s">
        <v>1611</v>
      </c>
      <c r="I13" s="3"/>
      <c r="K13" s="3"/>
      <c r="L13" s="3"/>
      <c r="M13" s="3"/>
      <c r="N13" s="4"/>
      <c r="O13" s="3"/>
    </row>
    <row r="14" spans="1:15" x14ac:dyDescent="0.25">
      <c r="A14" s="6" t="s">
        <v>1272</v>
      </c>
      <c r="B14" s="7" t="s">
        <v>1604</v>
      </c>
      <c r="C14" s="1" t="s">
        <v>1611</v>
      </c>
      <c r="I14" s="3"/>
      <c r="K14" s="3"/>
      <c r="L14" s="3"/>
      <c r="M14" s="3"/>
      <c r="N14" s="4"/>
      <c r="O14" s="3"/>
    </row>
    <row r="15" spans="1:15" x14ac:dyDescent="0.25">
      <c r="A15" s="6" t="s">
        <v>1273</v>
      </c>
      <c r="B15" s="7" t="s">
        <v>1604</v>
      </c>
      <c r="C15" s="1" t="s">
        <v>1611</v>
      </c>
      <c r="I15" s="3"/>
      <c r="K15" s="3"/>
      <c r="L15" s="3"/>
      <c r="M15" s="3"/>
      <c r="N15" s="4"/>
      <c r="O15" s="3"/>
    </row>
    <row r="16" spans="1:15" x14ac:dyDescent="0.25">
      <c r="A16" s="6" t="s">
        <v>1274</v>
      </c>
      <c r="B16" s="7" t="s">
        <v>1604</v>
      </c>
      <c r="C16" s="1" t="s">
        <v>1611</v>
      </c>
      <c r="I16" s="3"/>
      <c r="K16" s="3"/>
      <c r="L16" s="3"/>
      <c r="M16" s="3"/>
      <c r="N16" s="4"/>
      <c r="O16" s="3"/>
    </row>
    <row r="17" spans="1:15" x14ac:dyDescent="0.25">
      <c r="A17" s="6" t="s">
        <v>13</v>
      </c>
      <c r="B17" s="7" t="s">
        <v>1604</v>
      </c>
      <c r="C17" s="1" t="s">
        <v>1611</v>
      </c>
      <c r="I17" s="3"/>
      <c r="K17" s="3"/>
      <c r="L17" s="3"/>
      <c r="M17" s="3"/>
      <c r="N17" s="4"/>
      <c r="O17" s="3"/>
    </row>
    <row r="18" spans="1:15" x14ac:dyDescent="0.25">
      <c r="A18" s="6" t="s">
        <v>1242</v>
      </c>
      <c r="B18" s="7" t="s">
        <v>1604</v>
      </c>
      <c r="C18" s="1" t="s">
        <v>1611</v>
      </c>
      <c r="I18" s="3"/>
      <c r="K18" s="3"/>
      <c r="L18" s="3"/>
      <c r="M18" s="3"/>
      <c r="N18" s="4"/>
      <c r="O18" s="3"/>
    </row>
    <row r="19" spans="1:15" x14ac:dyDescent="0.25">
      <c r="A19" s="6" t="s">
        <v>1275</v>
      </c>
      <c r="B19" s="7" t="s">
        <v>1604</v>
      </c>
      <c r="C19" s="1" t="s">
        <v>1611</v>
      </c>
      <c r="I19" s="3"/>
      <c r="K19" s="3"/>
      <c r="L19" s="3"/>
      <c r="M19" s="3"/>
      <c r="N19" s="4"/>
      <c r="O19" s="3"/>
    </row>
    <row r="20" spans="1:15" x14ac:dyDescent="0.25">
      <c r="A20" s="6" t="s">
        <v>1260</v>
      </c>
      <c r="B20" s="7" t="s">
        <v>1604</v>
      </c>
      <c r="C20" s="1" t="s">
        <v>1609</v>
      </c>
      <c r="I20" s="3"/>
      <c r="K20" s="3"/>
      <c r="L20" s="3"/>
      <c r="M20" s="3"/>
      <c r="N20" s="4"/>
      <c r="O20" s="3"/>
    </row>
    <row r="21" spans="1:15" x14ac:dyDescent="0.25">
      <c r="A21" s="6" t="s">
        <v>1276</v>
      </c>
      <c r="B21" s="7" t="s">
        <v>1604</v>
      </c>
      <c r="C21" s="1" t="s">
        <v>1611</v>
      </c>
      <c r="I21" s="3"/>
      <c r="K21" s="3"/>
      <c r="L21" s="3"/>
      <c r="M21" s="3"/>
      <c r="N21" s="4"/>
      <c r="O21" s="3"/>
    </row>
    <row r="22" spans="1:15" x14ac:dyDescent="0.25">
      <c r="A22" s="6" t="s">
        <v>881</v>
      </c>
      <c r="B22" s="7" t="s">
        <v>1604</v>
      </c>
      <c r="C22" s="1" t="s">
        <v>1611</v>
      </c>
      <c r="I22" s="3"/>
      <c r="K22" s="3"/>
      <c r="L22" s="3"/>
      <c r="M22" s="3"/>
      <c r="N22" s="4"/>
      <c r="O22" s="3"/>
    </row>
    <row r="23" spans="1:15" x14ac:dyDescent="0.25">
      <c r="A23" s="6" t="s">
        <v>1277</v>
      </c>
      <c r="B23" s="7" t="s">
        <v>1604</v>
      </c>
      <c r="C23" s="1" t="s">
        <v>1609</v>
      </c>
      <c r="I23" s="3"/>
      <c r="K23" s="3"/>
      <c r="L23" s="3"/>
      <c r="M23" s="3"/>
      <c r="N23" s="4"/>
      <c r="O23" s="3"/>
    </row>
    <row r="24" spans="1:15" x14ac:dyDescent="0.25">
      <c r="A24" s="6" t="s">
        <v>1278</v>
      </c>
      <c r="B24" s="7" t="s">
        <v>1604</v>
      </c>
      <c r="C24" s="1" t="s">
        <v>1611</v>
      </c>
      <c r="I24" s="3"/>
      <c r="K24" s="3"/>
      <c r="L24" s="3"/>
      <c r="M24" s="5"/>
      <c r="N24" s="4"/>
      <c r="O24" s="3"/>
    </row>
    <row r="25" spans="1:15" x14ac:dyDescent="0.25">
      <c r="A25" s="6" t="s">
        <v>1279</v>
      </c>
      <c r="B25" s="7" t="s">
        <v>1604</v>
      </c>
      <c r="C25" s="1" t="s">
        <v>1611</v>
      </c>
      <c r="I25" s="3"/>
      <c r="K25" s="3"/>
      <c r="L25" s="3"/>
      <c r="M25" s="3"/>
      <c r="N25" s="4"/>
      <c r="O25" s="3"/>
    </row>
    <row r="26" spans="1:15" x14ac:dyDescent="0.25">
      <c r="A26" s="6" t="s">
        <v>1177</v>
      </c>
      <c r="B26" s="7" t="s">
        <v>1604</v>
      </c>
      <c r="C26" s="1" t="s">
        <v>1611</v>
      </c>
      <c r="I26" s="3"/>
      <c r="K26" s="3"/>
      <c r="L26" s="3"/>
      <c r="M26" s="3"/>
      <c r="N26" s="4"/>
      <c r="O26" s="3"/>
    </row>
    <row r="27" spans="1:15" x14ac:dyDescent="0.25">
      <c r="A27" s="6" t="s">
        <v>1280</v>
      </c>
      <c r="B27" s="7" t="s">
        <v>1604</v>
      </c>
      <c r="C27" s="1" t="s">
        <v>1611</v>
      </c>
      <c r="I27" s="3"/>
      <c r="K27" s="3"/>
      <c r="L27" s="3"/>
      <c r="M27" s="3"/>
      <c r="N27" s="4"/>
      <c r="O27" s="3"/>
    </row>
    <row r="28" spans="1:15" x14ac:dyDescent="0.25">
      <c r="A28" s="6" t="s">
        <v>9</v>
      </c>
      <c r="B28" s="7" t="s">
        <v>1604</v>
      </c>
      <c r="C28" s="1" t="s">
        <v>1611</v>
      </c>
      <c r="I28" s="3"/>
      <c r="K28" s="3"/>
      <c r="L28" s="3"/>
      <c r="M28" s="3"/>
      <c r="N28" s="4"/>
      <c r="O28" s="3"/>
    </row>
    <row r="29" spans="1:15" x14ac:dyDescent="0.25">
      <c r="A29" s="6" t="s">
        <v>1281</v>
      </c>
      <c r="B29" s="7" t="s">
        <v>1604</v>
      </c>
      <c r="C29" s="1" t="s">
        <v>1609</v>
      </c>
      <c r="I29" s="3"/>
      <c r="K29" s="3"/>
      <c r="L29" s="3"/>
      <c r="M29" s="3"/>
      <c r="N29" s="4"/>
      <c r="O29" s="3"/>
    </row>
    <row r="30" spans="1:15" x14ac:dyDescent="0.25">
      <c r="A30" s="6" t="s">
        <v>1282</v>
      </c>
      <c r="B30" s="7" t="s">
        <v>1604</v>
      </c>
      <c r="C30" s="1" t="s">
        <v>1611</v>
      </c>
      <c r="I30" s="3"/>
      <c r="K30" s="3"/>
      <c r="L30" s="3"/>
      <c r="M30" s="3"/>
      <c r="N30" s="4"/>
      <c r="O30" s="3"/>
    </row>
    <row r="31" spans="1:15" x14ac:dyDescent="0.25">
      <c r="A31" s="6" t="s">
        <v>1283</v>
      </c>
      <c r="B31" s="7" t="s">
        <v>1604</v>
      </c>
      <c r="C31" s="1" t="s">
        <v>1611</v>
      </c>
      <c r="I31" s="3"/>
      <c r="K31" s="3"/>
      <c r="L31" s="3"/>
      <c r="M31" s="3"/>
      <c r="N31" s="4"/>
      <c r="O31" s="3"/>
    </row>
    <row r="32" spans="1:15" x14ac:dyDescent="0.25">
      <c r="A32" s="6" t="s">
        <v>1284</v>
      </c>
      <c r="B32" s="7" t="s">
        <v>1604</v>
      </c>
      <c r="C32" s="1" t="s">
        <v>1611</v>
      </c>
      <c r="I32" s="3"/>
      <c r="K32" s="3"/>
      <c r="L32" s="3"/>
      <c r="M32" s="3"/>
      <c r="N32" s="4"/>
      <c r="O32" s="3"/>
    </row>
    <row r="33" spans="1:15" x14ac:dyDescent="0.25">
      <c r="A33" s="6" t="s">
        <v>1032</v>
      </c>
      <c r="B33" s="7" t="s">
        <v>1604</v>
      </c>
      <c r="C33" s="1" t="s">
        <v>1609</v>
      </c>
      <c r="I33" s="3"/>
      <c r="K33" s="3"/>
      <c r="L33" s="3"/>
      <c r="M33" s="3"/>
      <c r="N33" s="4"/>
      <c r="O33" s="3"/>
    </row>
    <row r="34" spans="1:15" x14ac:dyDescent="0.25">
      <c r="A34" s="6" t="s">
        <v>1285</v>
      </c>
      <c r="B34" s="7" t="s">
        <v>1604</v>
      </c>
      <c r="C34" s="1" t="s">
        <v>1611</v>
      </c>
      <c r="I34" s="3"/>
      <c r="K34" s="3"/>
      <c r="L34" s="3"/>
      <c r="M34" s="3"/>
      <c r="N34" s="4"/>
      <c r="O34" s="3"/>
    </row>
    <row r="35" spans="1:15" x14ac:dyDescent="0.25">
      <c r="A35" s="6" t="s">
        <v>1286</v>
      </c>
      <c r="B35" s="7" t="s">
        <v>1604</v>
      </c>
      <c r="C35" s="1" t="s">
        <v>1611</v>
      </c>
      <c r="I35" s="3"/>
      <c r="K35" s="3"/>
      <c r="L35" s="3"/>
      <c r="M35" s="3"/>
      <c r="N35" s="4"/>
      <c r="O35" s="3"/>
    </row>
    <row r="36" spans="1:15" x14ac:dyDescent="0.25">
      <c r="A36" s="6" t="s">
        <v>1287</v>
      </c>
      <c r="B36" s="7" t="s">
        <v>1604</v>
      </c>
      <c r="C36" s="1" t="s">
        <v>1609</v>
      </c>
      <c r="I36" s="3"/>
      <c r="K36" s="3"/>
      <c r="L36" s="3"/>
      <c r="M36" s="3"/>
      <c r="N36" s="4"/>
      <c r="O36" s="3"/>
    </row>
    <row r="37" spans="1:15" x14ac:dyDescent="0.25">
      <c r="A37" s="6" t="s">
        <v>1251</v>
      </c>
      <c r="B37" s="7" t="s">
        <v>1604</v>
      </c>
      <c r="C37" s="1" t="s">
        <v>1609</v>
      </c>
      <c r="I37" s="3"/>
      <c r="K37" s="3"/>
      <c r="L37" s="3"/>
      <c r="M37" s="3"/>
      <c r="N37" s="4"/>
      <c r="O37" s="3"/>
    </row>
    <row r="38" spans="1:15" x14ac:dyDescent="0.25">
      <c r="A38" s="6" t="s">
        <v>1288</v>
      </c>
      <c r="B38" s="7" t="s">
        <v>1604</v>
      </c>
      <c r="C38" s="1" t="s">
        <v>1609</v>
      </c>
      <c r="I38" s="3"/>
      <c r="K38" s="3"/>
      <c r="L38" s="3"/>
      <c r="M38" s="3"/>
      <c r="N38" s="4"/>
      <c r="O38" s="3"/>
    </row>
    <row r="39" spans="1:15" x14ac:dyDescent="0.25">
      <c r="A39" s="6" t="s">
        <v>1289</v>
      </c>
      <c r="B39" s="7" t="s">
        <v>1604</v>
      </c>
      <c r="C39" s="1" t="s">
        <v>1609</v>
      </c>
      <c r="I39" s="3"/>
      <c r="K39" s="3"/>
      <c r="L39" s="3"/>
      <c r="M39" s="5"/>
      <c r="N39" s="4"/>
      <c r="O39" s="3"/>
    </row>
    <row r="40" spans="1:15" x14ac:dyDescent="0.25">
      <c r="A40" s="6" t="s">
        <v>1290</v>
      </c>
      <c r="B40" s="7" t="s">
        <v>1604</v>
      </c>
      <c r="C40" s="1" t="s">
        <v>1611</v>
      </c>
      <c r="I40" s="3"/>
      <c r="K40" s="3"/>
      <c r="L40" s="3"/>
      <c r="M40" s="3"/>
      <c r="N40" s="4"/>
      <c r="O40" s="3"/>
    </row>
    <row r="41" spans="1:15" x14ac:dyDescent="0.25">
      <c r="A41" s="6" t="s">
        <v>1291</v>
      </c>
      <c r="B41" s="7" t="s">
        <v>1604</v>
      </c>
      <c r="C41" s="1" t="s">
        <v>1611</v>
      </c>
      <c r="I41" s="3"/>
      <c r="K41" s="3"/>
      <c r="L41" s="3"/>
      <c r="M41" s="3"/>
      <c r="N41" s="3"/>
      <c r="O41" s="3"/>
    </row>
    <row r="42" spans="1:15" x14ac:dyDescent="0.25">
      <c r="A42" s="6" t="s">
        <v>1292</v>
      </c>
      <c r="B42" s="7" t="s">
        <v>1604</v>
      </c>
      <c r="C42" s="1" t="s">
        <v>1611</v>
      </c>
      <c r="I42" s="3"/>
      <c r="K42" s="3"/>
      <c r="L42" s="3"/>
      <c r="M42" s="3"/>
      <c r="N42" s="4"/>
      <c r="O42" s="3"/>
    </row>
    <row r="43" spans="1:15" x14ac:dyDescent="0.25">
      <c r="A43" s="6" t="s">
        <v>1048</v>
      </c>
      <c r="B43" s="7" t="s">
        <v>1604</v>
      </c>
      <c r="C43" s="1" t="s">
        <v>1611</v>
      </c>
      <c r="I43" s="3"/>
      <c r="K43" s="3"/>
      <c r="L43" s="3"/>
      <c r="M43" s="3"/>
      <c r="N43" s="4"/>
      <c r="O43" s="3"/>
    </row>
    <row r="44" spans="1:15" x14ac:dyDescent="0.25">
      <c r="A44" s="6" t="s">
        <v>1293</v>
      </c>
      <c r="B44" s="7" t="s">
        <v>1604</v>
      </c>
      <c r="C44" s="1" t="s">
        <v>1611</v>
      </c>
      <c r="I44" s="3"/>
      <c r="K44" s="3"/>
      <c r="L44" s="3"/>
      <c r="M44" s="3"/>
      <c r="N44" s="4"/>
      <c r="O44" s="3"/>
    </row>
    <row r="45" spans="1:15" x14ac:dyDescent="0.25">
      <c r="A45" s="6" t="s">
        <v>1294</v>
      </c>
      <c r="B45" s="7" t="s">
        <v>1604</v>
      </c>
      <c r="C45" s="1" t="s">
        <v>1611</v>
      </c>
      <c r="I45" s="3"/>
      <c r="K45" s="3"/>
      <c r="L45" s="3"/>
      <c r="M45" s="3"/>
      <c r="N45" s="4"/>
      <c r="O45" s="3"/>
    </row>
    <row r="46" spans="1:15" x14ac:dyDescent="0.25">
      <c r="A46" s="6" t="s">
        <v>1295</v>
      </c>
      <c r="B46" s="7" t="s">
        <v>1604</v>
      </c>
      <c r="C46" s="1" t="s">
        <v>1611</v>
      </c>
      <c r="I46" s="3"/>
      <c r="K46" s="3"/>
      <c r="L46" s="3"/>
      <c r="M46" s="3"/>
      <c r="N46" s="4"/>
      <c r="O46" s="3"/>
    </row>
    <row r="47" spans="1:15" x14ac:dyDescent="0.25">
      <c r="A47" s="6" t="s">
        <v>1296</v>
      </c>
      <c r="B47" s="7" t="s">
        <v>1604</v>
      </c>
      <c r="C47" s="1" t="s">
        <v>1611</v>
      </c>
      <c r="I47" s="3"/>
      <c r="K47" s="3"/>
      <c r="L47" s="3"/>
      <c r="M47" s="3"/>
      <c r="N47" s="4"/>
      <c r="O47" s="3"/>
    </row>
    <row r="48" spans="1:15" x14ac:dyDescent="0.25">
      <c r="A48" s="6" t="s">
        <v>1297</v>
      </c>
      <c r="B48" s="7" t="s">
        <v>1604</v>
      </c>
      <c r="C48" s="1" t="s">
        <v>1611</v>
      </c>
      <c r="I48" s="3"/>
      <c r="K48" s="3"/>
      <c r="L48" s="3"/>
      <c r="M48" s="3"/>
      <c r="N48" s="4"/>
      <c r="O48" s="3"/>
    </row>
    <row r="49" spans="1:15" x14ac:dyDescent="0.25">
      <c r="A49" s="6" t="s">
        <v>1298</v>
      </c>
      <c r="B49" s="7" t="s">
        <v>1604</v>
      </c>
      <c r="C49" s="1" t="s">
        <v>1609</v>
      </c>
      <c r="I49" s="3"/>
      <c r="K49" s="3"/>
      <c r="L49" s="3"/>
      <c r="M49" s="3"/>
      <c r="N49" s="4"/>
      <c r="O49" s="3"/>
    </row>
    <row r="50" spans="1:15" x14ac:dyDescent="0.25">
      <c r="A50" s="6" t="s">
        <v>1299</v>
      </c>
      <c r="B50" s="7" t="s">
        <v>1604</v>
      </c>
      <c r="C50" s="1" t="s">
        <v>1611</v>
      </c>
      <c r="I50" s="3"/>
      <c r="K50" s="3"/>
      <c r="L50" s="3"/>
      <c r="M50" s="3"/>
      <c r="N50" s="4"/>
      <c r="O50" s="3"/>
    </row>
    <row r="51" spans="1:15" x14ac:dyDescent="0.25">
      <c r="A51" s="6" t="s">
        <v>1300</v>
      </c>
      <c r="B51" s="7" t="s">
        <v>1604</v>
      </c>
      <c r="C51" s="1" t="s">
        <v>1611</v>
      </c>
      <c r="I51" s="3"/>
      <c r="K51" s="3"/>
      <c r="L51" s="3"/>
      <c r="M51" s="3"/>
      <c r="N51" s="4"/>
      <c r="O51" s="3"/>
    </row>
    <row r="52" spans="1:15" x14ac:dyDescent="0.25">
      <c r="A52" s="6" t="s">
        <v>1301</v>
      </c>
      <c r="B52" s="7" t="s">
        <v>1604</v>
      </c>
      <c r="C52" s="1" t="s">
        <v>1611</v>
      </c>
      <c r="I52" s="3"/>
      <c r="K52" s="3"/>
      <c r="L52" s="3"/>
      <c r="M52" s="3"/>
      <c r="N52" s="4"/>
      <c r="O52" s="3"/>
    </row>
    <row r="53" spans="1:15" x14ac:dyDescent="0.25">
      <c r="A53" s="6" t="s">
        <v>1118</v>
      </c>
      <c r="B53" s="7" t="s">
        <v>1604</v>
      </c>
      <c r="C53" s="1" t="s">
        <v>1609</v>
      </c>
      <c r="I53" s="3"/>
      <c r="K53" s="3"/>
      <c r="L53" s="3"/>
      <c r="M53" s="3"/>
      <c r="N53" s="4"/>
      <c r="O53" s="3"/>
    </row>
    <row r="54" spans="1:15" x14ac:dyDescent="0.25">
      <c r="A54" s="6" t="s">
        <v>1302</v>
      </c>
      <c r="B54" s="7" t="s">
        <v>1604</v>
      </c>
      <c r="C54" s="1" t="s">
        <v>1609</v>
      </c>
      <c r="I54" s="3"/>
      <c r="K54" s="3"/>
      <c r="L54" s="3"/>
      <c r="M54" s="3"/>
      <c r="N54" s="4"/>
      <c r="O54" s="3"/>
    </row>
    <row r="55" spans="1:15" x14ac:dyDescent="0.25">
      <c r="A55" s="6" t="s">
        <v>1303</v>
      </c>
      <c r="B55" s="7" t="s">
        <v>1604</v>
      </c>
      <c r="C55" s="1" t="s">
        <v>1611</v>
      </c>
      <c r="I55" s="3"/>
      <c r="K55" s="3"/>
      <c r="L55" s="3"/>
      <c r="M55" s="5"/>
      <c r="N55" s="4"/>
      <c r="O55" s="3"/>
    </row>
    <row r="56" spans="1:15" x14ac:dyDescent="0.25">
      <c r="A56" s="6" t="s">
        <v>333</v>
      </c>
      <c r="B56" s="7" t="s">
        <v>1604</v>
      </c>
      <c r="C56" s="1" t="s">
        <v>1609</v>
      </c>
      <c r="I56" s="3"/>
      <c r="K56" s="3"/>
      <c r="L56" s="3"/>
      <c r="M56" s="3"/>
      <c r="N56" s="4"/>
      <c r="O56" s="3"/>
    </row>
    <row r="57" spans="1:15" x14ac:dyDescent="0.25">
      <c r="A57" s="6" t="s">
        <v>1304</v>
      </c>
      <c r="B57" s="7" t="s">
        <v>1604</v>
      </c>
      <c r="C57" s="1" t="s">
        <v>1611</v>
      </c>
      <c r="I57" s="3"/>
      <c r="K57" s="3"/>
      <c r="L57" s="3"/>
      <c r="M57" s="3"/>
      <c r="N57" s="4"/>
      <c r="O57" s="3"/>
    </row>
    <row r="58" spans="1:15" x14ac:dyDescent="0.25">
      <c r="A58" s="6" t="s">
        <v>1305</v>
      </c>
      <c r="B58" s="7" t="s">
        <v>1604</v>
      </c>
      <c r="C58" s="1" t="s">
        <v>1609</v>
      </c>
      <c r="I58" s="3"/>
      <c r="K58" s="3"/>
      <c r="L58" s="3"/>
      <c r="M58" s="3"/>
      <c r="N58" s="4"/>
      <c r="O58" s="3"/>
    </row>
    <row r="59" spans="1:15" x14ac:dyDescent="0.25">
      <c r="A59" s="6" t="s">
        <v>1306</v>
      </c>
      <c r="B59" s="7" t="s">
        <v>1604</v>
      </c>
      <c r="C59" s="1" t="s">
        <v>1611</v>
      </c>
      <c r="I59" s="3"/>
      <c r="K59" s="3"/>
      <c r="L59" s="3"/>
      <c r="M59" s="3"/>
      <c r="N59" s="4"/>
      <c r="O59" s="3"/>
    </row>
    <row r="60" spans="1:15" x14ac:dyDescent="0.25">
      <c r="A60" s="6" t="s">
        <v>1307</v>
      </c>
      <c r="B60" s="7" t="s">
        <v>1604</v>
      </c>
      <c r="C60" s="1" t="s">
        <v>1609</v>
      </c>
      <c r="I60" s="3"/>
      <c r="K60" s="3"/>
      <c r="L60" s="3"/>
      <c r="M60" s="3"/>
      <c r="N60" s="4"/>
      <c r="O60" s="3"/>
    </row>
    <row r="61" spans="1:15" x14ac:dyDescent="0.25">
      <c r="A61" s="6" t="s">
        <v>1308</v>
      </c>
      <c r="B61" s="7" t="s">
        <v>1604</v>
      </c>
      <c r="C61" s="1" t="s">
        <v>1611</v>
      </c>
      <c r="I61" s="3"/>
      <c r="K61" s="3"/>
      <c r="L61" s="3"/>
      <c r="M61" s="3"/>
      <c r="N61" s="4"/>
      <c r="O61" s="3"/>
    </row>
    <row r="62" spans="1:15" x14ac:dyDescent="0.25">
      <c r="A62" s="6" t="s">
        <v>1309</v>
      </c>
      <c r="B62" s="7" t="s">
        <v>1604</v>
      </c>
      <c r="C62" s="1" t="s">
        <v>1611</v>
      </c>
      <c r="I62" s="3"/>
      <c r="K62" s="3"/>
      <c r="L62" s="3"/>
      <c r="M62" s="3"/>
      <c r="N62" s="4"/>
      <c r="O62" s="3"/>
    </row>
    <row r="63" spans="1:15" x14ac:dyDescent="0.25">
      <c r="A63" s="6" t="s">
        <v>1310</v>
      </c>
      <c r="B63" s="7" t="s">
        <v>1604</v>
      </c>
      <c r="C63" s="1" t="s">
        <v>1611</v>
      </c>
      <c r="I63" s="3"/>
      <c r="K63" s="3"/>
      <c r="L63" s="3"/>
      <c r="M63" s="3"/>
      <c r="N63" s="4"/>
      <c r="O63" s="3"/>
    </row>
    <row r="64" spans="1:15" x14ac:dyDescent="0.25">
      <c r="A64" s="6" t="s">
        <v>1311</v>
      </c>
      <c r="B64" s="7" t="s">
        <v>1604</v>
      </c>
      <c r="C64" s="1" t="s">
        <v>1611</v>
      </c>
      <c r="I64" s="3"/>
      <c r="K64" s="3"/>
      <c r="L64" s="3"/>
      <c r="M64" s="3"/>
      <c r="N64" s="4"/>
      <c r="O64" s="3"/>
    </row>
    <row r="65" spans="1:15" x14ac:dyDescent="0.25">
      <c r="A65" s="6" t="s">
        <v>1312</v>
      </c>
      <c r="B65" s="7" t="s">
        <v>1604</v>
      </c>
      <c r="C65" s="1" t="s">
        <v>1609</v>
      </c>
      <c r="I65" s="3"/>
      <c r="K65" s="3"/>
      <c r="L65" s="3"/>
      <c r="M65" s="3"/>
      <c r="N65" s="4"/>
      <c r="O65" s="3"/>
    </row>
    <row r="66" spans="1:15" x14ac:dyDescent="0.25">
      <c r="A66" s="6" t="s">
        <v>1313</v>
      </c>
      <c r="B66" s="7" t="s">
        <v>1604</v>
      </c>
      <c r="C66" s="1" t="s">
        <v>1611</v>
      </c>
      <c r="I66" s="3"/>
      <c r="K66" s="3"/>
      <c r="L66" s="3"/>
      <c r="M66" s="3"/>
      <c r="N66" s="4"/>
      <c r="O66" s="3"/>
    </row>
    <row r="67" spans="1:15" x14ac:dyDescent="0.25">
      <c r="A67" s="6" t="s">
        <v>1079</v>
      </c>
      <c r="B67" s="7" t="s">
        <v>1604</v>
      </c>
      <c r="C67" s="1" t="s">
        <v>1611</v>
      </c>
      <c r="I67" s="3"/>
      <c r="K67" s="3"/>
      <c r="L67" s="3"/>
      <c r="M67" s="3"/>
      <c r="N67" s="4"/>
      <c r="O67" s="3"/>
    </row>
    <row r="68" spans="1:15" x14ac:dyDescent="0.25">
      <c r="A68" s="6" t="s">
        <v>1314</v>
      </c>
      <c r="B68" s="7" t="s">
        <v>1604</v>
      </c>
      <c r="C68" s="1" t="s">
        <v>1609</v>
      </c>
      <c r="I68" s="3"/>
      <c r="K68" s="3"/>
      <c r="L68" s="3"/>
      <c r="M68" s="3"/>
      <c r="N68" s="4"/>
      <c r="O68" s="3"/>
    </row>
    <row r="69" spans="1:15" x14ac:dyDescent="0.25">
      <c r="A69" s="6" t="s">
        <v>1315</v>
      </c>
      <c r="B69" s="7" t="s">
        <v>1604</v>
      </c>
      <c r="C69" s="1" t="s">
        <v>1611</v>
      </c>
      <c r="I69" s="3"/>
      <c r="K69" s="3"/>
      <c r="L69" s="3"/>
      <c r="M69" s="3"/>
      <c r="N69" s="4"/>
      <c r="O69" s="3"/>
    </row>
    <row r="70" spans="1:15" x14ac:dyDescent="0.25">
      <c r="A70" s="6" t="s">
        <v>1316</v>
      </c>
      <c r="B70" s="7" t="s">
        <v>1604</v>
      </c>
      <c r="C70" s="1" t="s">
        <v>1611</v>
      </c>
      <c r="I70" s="3"/>
      <c r="K70" s="3"/>
      <c r="L70" s="3"/>
      <c r="M70" s="3"/>
      <c r="N70" s="4"/>
      <c r="O70" s="3"/>
    </row>
    <row r="71" spans="1:15" x14ac:dyDescent="0.25">
      <c r="A71" s="6" t="s">
        <v>1317</v>
      </c>
      <c r="B71" s="7" t="s">
        <v>1604</v>
      </c>
      <c r="C71" s="1" t="s">
        <v>1611</v>
      </c>
      <c r="I71" s="3"/>
      <c r="K71" s="3"/>
      <c r="L71" s="3"/>
      <c r="M71" s="3"/>
      <c r="N71" s="4"/>
      <c r="O71" s="3"/>
    </row>
    <row r="72" spans="1:15" x14ac:dyDescent="0.25">
      <c r="A72" s="6" t="s">
        <v>1318</v>
      </c>
      <c r="B72" s="7" t="s">
        <v>1604</v>
      </c>
      <c r="C72" s="1" t="s">
        <v>1611</v>
      </c>
      <c r="I72" s="3"/>
      <c r="K72" s="3"/>
      <c r="L72" s="3"/>
      <c r="M72" s="3"/>
      <c r="N72" s="4"/>
      <c r="O72" s="3"/>
    </row>
    <row r="73" spans="1:15" x14ac:dyDescent="0.25">
      <c r="A73" s="6" t="s">
        <v>1319</v>
      </c>
      <c r="B73" s="7" t="s">
        <v>1604</v>
      </c>
      <c r="C73" s="1" t="s">
        <v>1611</v>
      </c>
      <c r="I73" s="3"/>
      <c r="K73" s="3"/>
      <c r="L73" s="3"/>
      <c r="M73" s="3"/>
      <c r="N73" s="4"/>
      <c r="O73" s="3"/>
    </row>
    <row r="74" spans="1:15" x14ac:dyDescent="0.25">
      <c r="A74" s="6" t="s">
        <v>89</v>
      </c>
      <c r="B74" s="7" t="s">
        <v>1604</v>
      </c>
      <c r="C74" s="1" t="s">
        <v>1611</v>
      </c>
      <c r="I74" s="3"/>
      <c r="K74" s="3"/>
      <c r="L74" s="3"/>
      <c r="M74" s="3"/>
      <c r="N74" s="4"/>
      <c r="O74" s="3"/>
    </row>
    <row r="75" spans="1:15" x14ac:dyDescent="0.25">
      <c r="A75" s="6" t="s">
        <v>1320</v>
      </c>
      <c r="B75" s="7" t="s">
        <v>1604</v>
      </c>
      <c r="C75" s="1" t="s">
        <v>1611</v>
      </c>
      <c r="I75" s="3"/>
      <c r="K75" s="3"/>
      <c r="L75" s="3"/>
      <c r="M75" s="3"/>
      <c r="N75" s="4"/>
      <c r="O75" s="3"/>
    </row>
    <row r="76" spans="1:15" x14ac:dyDescent="0.25">
      <c r="A76" s="6" t="s">
        <v>1059</v>
      </c>
      <c r="B76" s="7" t="s">
        <v>1604</v>
      </c>
      <c r="C76" s="1" t="s">
        <v>1609</v>
      </c>
      <c r="I76" s="3"/>
      <c r="K76" s="3"/>
      <c r="L76" s="3"/>
      <c r="M76" s="3"/>
      <c r="N76" s="4"/>
      <c r="O76" s="3"/>
    </row>
    <row r="77" spans="1:15" x14ac:dyDescent="0.25">
      <c r="A77" s="6" t="s">
        <v>1321</v>
      </c>
      <c r="B77" s="7" t="s">
        <v>1604</v>
      </c>
      <c r="C77" s="1" t="s">
        <v>1611</v>
      </c>
      <c r="I77" s="3"/>
      <c r="K77" s="3"/>
      <c r="L77" s="3"/>
      <c r="M77" s="3"/>
      <c r="N77" s="4"/>
      <c r="O77" s="3"/>
    </row>
    <row r="78" spans="1:15" x14ac:dyDescent="0.25">
      <c r="A78" s="6" t="s">
        <v>1100</v>
      </c>
      <c r="B78" s="7" t="s">
        <v>1604</v>
      </c>
      <c r="C78" s="1" t="s">
        <v>1611</v>
      </c>
      <c r="I78" s="3"/>
      <c r="K78" s="3"/>
      <c r="L78" s="3"/>
      <c r="M78" s="3"/>
      <c r="N78" s="4"/>
      <c r="O78" s="3"/>
    </row>
    <row r="79" spans="1:15" x14ac:dyDescent="0.25">
      <c r="A79" s="6" t="s">
        <v>1322</v>
      </c>
      <c r="B79" s="7" t="s">
        <v>1604</v>
      </c>
      <c r="C79" s="1" t="s">
        <v>1611</v>
      </c>
      <c r="I79" s="3"/>
      <c r="K79" s="3"/>
      <c r="L79" s="3"/>
      <c r="M79" s="3"/>
      <c r="N79" s="4"/>
      <c r="O79" s="3"/>
    </row>
    <row r="80" spans="1:15" x14ac:dyDescent="0.25">
      <c r="A80" s="6" t="s">
        <v>1323</v>
      </c>
      <c r="B80" s="7" t="s">
        <v>1604</v>
      </c>
      <c r="C80" s="1" t="s">
        <v>1611</v>
      </c>
      <c r="I80" s="3"/>
      <c r="K80" s="3"/>
      <c r="L80" s="3"/>
      <c r="M80" s="3"/>
      <c r="N80" s="4"/>
      <c r="O80" s="3"/>
    </row>
    <row r="81" spans="1:15" x14ac:dyDescent="0.25">
      <c r="A81" s="6" t="s">
        <v>1324</v>
      </c>
      <c r="B81" s="7" t="s">
        <v>1604</v>
      </c>
      <c r="C81" s="1" t="s">
        <v>1611</v>
      </c>
      <c r="I81" s="3"/>
      <c r="K81" s="3"/>
      <c r="L81" s="3"/>
      <c r="M81" s="3"/>
      <c r="N81" s="4"/>
      <c r="O81" s="3"/>
    </row>
    <row r="82" spans="1:15" x14ac:dyDescent="0.25">
      <c r="A82" s="6" t="s">
        <v>1102</v>
      </c>
      <c r="B82" s="7" t="s">
        <v>1604</v>
      </c>
      <c r="C82" s="1" t="s">
        <v>1609</v>
      </c>
      <c r="I82" s="3"/>
      <c r="K82" s="3"/>
      <c r="L82" s="3"/>
      <c r="M82" s="3"/>
      <c r="N82" s="4"/>
      <c r="O82" s="3"/>
    </row>
    <row r="83" spans="1:15" x14ac:dyDescent="0.25">
      <c r="A83" s="6" t="s">
        <v>1325</v>
      </c>
      <c r="B83" s="7" t="s">
        <v>1604</v>
      </c>
      <c r="C83" s="1" t="s">
        <v>1611</v>
      </c>
      <c r="I83" s="3"/>
      <c r="K83" s="3"/>
      <c r="L83" s="3"/>
      <c r="M83" s="3"/>
      <c r="N83" s="4"/>
      <c r="O83" s="3"/>
    </row>
    <row r="84" spans="1:15" x14ac:dyDescent="0.25">
      <c r="A84" s="6" t="s">
        <v>1326</v>
      </c>
      <c r="B84" s="7" t="s">
        <v>1604</v>
      </c>
      <c r="C84" s="1" t="s">
        <v>1611</v>
      </c>
      <c r="I84" s="3"/>
      <c r="K84" s="3"/>
      <c r="L84" s="3"/>
      <c r="M84" s="3"/>
      <c r="N84" s="4"/>
      <c r="O84" s="3"/>
    </row>
    <row r="85" spans="1:15" x14ac:dyDescent="0.25">
      <c r="A85" s="6" t="s">
        <v>1327</v>
      </c>
      <c r="B85" s="7" t="s">
        <v>1604</v>
      </c>
      <c r="C85" s="1" t="s">
        <v>1609</v>
      </c>
      <c r="I85" s="3"/>
      <c r="K85" s="3"/>
      <c r="L85" s="3"/>
      <c r="M85" s="3"/>
      <c r="N85" s="4"/>
      <c r="O85" s="3"/>
    </row>
    <row r="86" spans="1:15" x14ac:dyDescent="0.25">
      <c r="A86" s="6" t="s">
        <v>743</v>
      </c>
      <c r="B86" s="7" t="s">
        <v>1604</v>
      </c>
      <c r="C86" s="1" t="s">
        <v>1611</v>
      </c>
      <c r="I86" s="3"/>
      <c r="K86" s="3"/>
      <c r="L86" s="3"/>
      <c r="M86" s="3"/>
      <c r="N86" s="4"/>
      <c r="O86" s="3"/>
    </row>
    <row r="87" spans="1:15" x14ac:dyDescent="0.25">
      <c r="A87" s="6" t="s">
        <v>1328</v>
      </c>
      <c r="B87" s="7" t="s">
        <v>1604</v>
      </c>
      <c r="C87" s="1" t="s">
        <v>1611</v>
      </c>
      <c r="I87" s="3"/>
      <c r="K87" s="3"/>
      <c r="L87" s="3"/>
      <c r="M87" s="3"/>
      <c r="N87" s="4"/>
      <c r="O87" s="3"/>
    </row>
    <row r="88" spans="1:15" x14ac:dyDescent="0.25">
      <c r="A88" s="6" t="s">
        <v>66</v>
      </c>
      <c r="B88" s="7" t="s">
        <v>1604</v>
      </c>
      <c r="C88" s="1" t="s">
        <v>1609</v>
      </c>
      <c r="I88" s="3"/>
      <c r="K88" s="3"/>
      <c r="L88" s="3"/>
      <c r="M88" s="3"/>
      <c r="N88" s="4"/>
      <c r="O88" s="3"/>
    </row>
    <row r="89" spans="1:15" x14ac:dyDescent="0.25">
      <c r="A89" s="6" t="s">
        <v>1329</v>
      </c>
      <c r="B89" s="7" t="s">
        <v>1604</v>
      </c>
      <c r="C89" s="1" t="s">
        <v>1611</v>
      </c>
      <c r="I89" s="3"/>
      <c r="K89" s="3"/>
      <c r="L89" s="3"/>
      <c r="M89" s="3"/>
      <c r="N89" s="4"/>
      <c r="O89" s="3"/>
    </row>
    <row r="90" spans="1:15" x14ac:dyDescent="0.25">
      <c r="A90" s="6" t="s">
        <v>1330</v>
      </c>
      <c r="B90" s="7" t="s">
        <v>1604</v>
      </c>
      <c r="C90" s="1" t="s">
        <v>1611</v>
      </c>
      <c r="I90" s="3"/>
      <c r="K90" s="3"/>
      <c r="L90" s="3"/>
      <c r="M90" s="3"/>
      <c r="N90" s="4"/>
      <c r="O90" s="3"/>
    </row>
    <row r="91" spans="1:15" x14ac:dyDescent="0.25">
      <c r="A91" s="6" t="s">
        <v>1331</v>
      </c>
      <c r="B91" s="7" t="s">
        <v>1604</v>
      </c>
      <c r="C91" s="1" t="s">
        <v>1609</v>
      </c>
      <c r="I91" s="3"/>
      <c r="K91" s="3"/>
      <c r="L91" s="3"/>
      <c r="M91" s="3"/>
      <c r="N91" s="4"/>
      <c r="O91" s="3"/>
    </row>
    <row r="92" spans="1:15" x14ac:dyDescent="0.25">
      <c r="A92" s="6" t="s">
        <v>350</v>
      </c>
      <c r="B92" s="7" t="s">
        <v>1604</v>
      </c>
      <c r="C92" s="1" t="s">
        <v>1609</v>
      </c>
      <c r="I92" s="3"/>
      <c r="K92" s="3"/>
      <c r="L92" s="3"/>
      <c r="M92" s="3"/>
      <c r="N92" s="4"/>
      <c r="O92" s="3"/>
    </row>
    <row r="93" spans="1:15" x14ac:dyDescent="0.25">
      <c r="A93" s="6" t="s">
        <v>1112</v>
      </c>
      <c r="B93" s="7" t="s">
        <v>1604</v>
      </c>
      <c r="C93" s="1" t="s">
        <v>1611</v>
      </c>
      <c r="I93" s="3"/>
      <c r="K93" s="3"/>
      <c r="L93" s="3"/>
      <c r="M93" s="3"/>
      <c r="N93" s="4"/>
      <c r="O93" s="3"/>
    </row>
    <row r="94" spans="1:15" x14ac:dyDescent="0.25">
      <c r="A94" s="6" t="s">
        <v>1332</v>
      </c>
      <c r="B94" s="7" t="s">
        <v>1604</v>
      </c>
      <c r="C94" s="1" t="s">
        <v>1611</v>
      </c>
      <c r="I94" s="3"/>
      <c r="K94" s="3"/>
      <c r="L94" s="3"/>
      <c r="M94" s="3"/>
      <c r="N94" s="4"/>
      <c r="O94" s="3"/>
    </row>
    <row r="95" spans="1:15" x14ac:dyDescent="0.25">
      <c r="A95" s="6" t="s">
        <v>1333</v>
      </c>
      <c r="B95" s="7" t="s">
        <v>1604</v>
      </c>
      <c r="C95" s="1" t="s">
        <v>1611</v>
      </c>
      <c r="I95" s="3"/>
      <c r="K95" s="3"/>
      <c r="L95" s="3"/>
      <c r="M95" s="3"/>
      <c r="N95" s="4"/>
      <c r="O95" s="3"/>
    </row>
    <row r="96" spans="1:15" x14ac:dyDescent="0.25">
      <c r="A96" s="6" t="s">
        <v>1334</v>
      </c>
      <c r="B96" s="7" t="s">
        <v>1604</v>
      </c>
      <c r="C96" s="1" t="s">
        <v>1611</v>
      </c>
      <c r="I96" s="3"/>
      <c r="K96" s="3"/>
      <c r="L96" s="3"/>
      <c r="M96" s="3"/>
      <c r="N96" s="4"/>
      <c r="O96" s="3"/>
    </row>
    <row r="97" spans="1:15" x14ac:dyDescent="0.25">
      <c r="A97" s="6" t="s">
        <v>1335</v>
      </c>
      <c r="B97" s="7" t="s">
        <v>1604</v>
      </c>
      <c r="C97" s="1" t="s">
        <v>1609</v>
      </c>
      <c r="I97" s="3"/>
      <c r="K97" s="3"/>
      <c r="L97" s="3"/>
      <c r="M97" s="3"/>
      <c r="N97" s="4"/>
      <c r="O97" s="3"/>
    </row>
    <row r="98" spans="1:15" x14ac:dyDescent="0.25">
      <c r="A98" s="6" t="s">
        <v>1082</v>
      </c>
      <c r="B98" s="7" t="s">
        <v>1604</v>
      </c>
      <c r="C98" s="1" t="s">
        <v>1611</v>
      </c>
      <c r="I98" s="3"/>
      <c r="K98" s="3"/>
      <c r="L98" s="3"/>
      <c r="M98" s="3"/>
      <c r="N98" s="4"/>
      <c r="O98" s="3"/>
    </row>
    <row r="99" spans="1:15" x14ac:dyDescent="0.25">
      <c r="A99" s="6" t="s">
        <v>1336</v>
      </c>
      <c r="B99" s="7" t="s">
        <v>1604</v>
      </c>
      <c r="C99" s="1" t="s">
        <v>1611</v>
      </c>
      <c r="I99" s="3"/>
      <c r="K99" s="3"/>
      <c r="L99" s="3"/>
      <c r="M99" s="3"/>
      <c r="N99" s="4"/>
      <c r="O99" s="3"/>
    </row>
    <row r="100" spans="1:15" x14ac:dyDescent="0.25">
      <c r="A100" s="6" t="s">
        <v>1141</v>
      </c>
      <c r="B100" s="7" t="s">
        <v>1604</v>
      </c>
      <c r="C100" s="1" t="s">
        <v>1609</v>
      </c>
      <c r="I100" s="3"/>
      <c r="K100" s="3"/>
      <c r="L100" s="3"/>
      <c r="M100" s="3"/>
      <c r="N100" s="4"/>
      <c r="O100" s="3"/>
    </row>
    <row r="101" spans="1:15" x14ac:dyDescent="0.25">
      <c r="A101" s="6" t="s">
        <v>1337</v>
      </c>
      <c r="B101" s="7" t="s">
        <v>1604</v>
      </c>
      <c r="C101" s="1" t="s">
        <v>1609</v>
      </c>
      <c r="I101" s="3"/>
      <c r="K101" s="3"/>
      <c r="L101" s="3"/>
      <c r="M101" s="3"/>
      <c r="N101" s="4"/>
      <c r="O101" s="3"/>
    </row>
    <row r="102" spans="1:15" x14ac:dyDescent="0.25">
      <c r="A102" s="6" t="s">
        <v>1338</v>
      </c>
      <c r="B102" s="7" t="s">
        <v>1604</v>
      </c>
      <c r="C102" s="1" t="s">
        <v>1611</v>
      </c>
    </row>
    <row r="103" spans="1:15" x14ac:dyDescent="0.25">
      <c r="A103" s="6" t="s">
        <v>1339</v>
      </c>
      <c r="B103" s="7" t="s">
        <v>1604</v>
      </c>
      <c r="C103" s="1" t="s">
        <v>1611</v>
      </c>
    </row>
    <row r="104" spans="1:15" x14ac:dyDescent="0.25">
      <c r="A104" s="6" t="s">
        <v>1340</v>
      </c>
      <c r="B104" s="7" t="s">
        <v>1604</v>
      </c>
      <c r="C104" s="1" t="s">
        <v>1611</v>
      </c>
    </row>
    <row r="105" spans="1:15" x14ac:dyDescent="0.25">
      <c r="A105" s="6" t="s">
        <v>1341</v>
      </c>
      <c r="B105" s="7" t="s">
        <v>1604</v>
      </c>
      <c r="C105" s="1" t="s">
        <v>1611</v>
      </c>
    </row>
    <row r="106" spans="1:15" x14ac:dyDescent="0.25">
      <c r="A106" s="6" t="s">
        <v>1154</v>
      </c>
      <c r="B106" s="7" t="s">
        <v>1604</v>
      </c>
      <c r="C106" s="1" t="s">
        <v>1611</v>
      </c>
    </row>
    <row r="107" spans="1:15" x14ac:dyDescent="0.25">
      <c r="A107" s="6" t="s">
        <v>1342</v>
      </c>
      <c r="B107" s="7" t="s">
        <v>1604</v>
      </c>
      <c r="C107" s="1" t="s">
        <v>1611</v>
      </c>
    </row>
    <row r="108" spans="1:15" x14ac:dyDescent="0.25">
      <c r="A108" s="6" t="s">
        <v>1343</v>
      </c>
      <c r="B108" s="7" t="s">
        <v>1604</v>
      </c>
      <c r="C108" s="1" t="s">
        <v>1611</v>
      </c>
    </row>
    <row r="109" spans="1:15" x14ac:dyDescent="0.25">
      <c r="A109" s="6" t="s">
        <v>1344</v>
      </c>
      <c r="B109" s="7" t="s">
        <v>1604</v>
      </c>
      <c r="C109" s="1" t="s">
        <v>1611</v>
      </c>
    </row>
    <row r="110" spans="1:15" x14ac:dyDescent="0.25">
      <c r="A110" s="6" t="s">
        <v>1345</v>
      </c>
      <c r="B110" s="7" t="s">
        <v>1604</v>
      </c>
      <c r="C110" s="1" t="s">
        <v>1611</v>
      </c>
    </row>
    <row r="111" spans="1:15" x14ac:dyDescent="0.25">
      <c r="A111" s="6" t="s">
        <v>1346</v>
      </c>
      <c r="B111" s="7" t="s">
        <v>1604</v>
      </c>
      <c r="C111" s="1" t="s">
        <v>1609</v>
      </c>
    </row>
    <row r="112" spans="1:15" x14ac:dyDescent="0.25">
      <c r="A112" s="6" t="s">
        <v>1347</v>
      </c>
      <c r="B112" s="7" t="s">
        <v>1604</v>
      </c>
      <c r="C112" s="1" t="s">
        <v>1611</v>
      </c>
    </row>
    <row r="113" spans="1:3" x14ac:dyDescent="0.25">
      <c r="A113" s="6" t="s">
        <v>1348</v>
      </c>
      <c r="B113" s="7" t="s">
        <v>1604</v>
      </c>
      <c r="C113" s="1" t="s">
        <v>1611</v>
      </c>
    </row>
    <row r="114" spans="1:3" x14ac:dyDescent="0.25">
      <c r="A114" s="6" t="s">
        <v>1349</v>
      </c>
      <c r="B114" s="7" t="s">
        <v>1604</v>
      </c>
      <c r="C114" s="1" t="s">
        <v>1611</v>
      </c>
    </row>
    <row r="115" spans="1:3" x14ac:dyDescent="0.25">
      <c r="A115" s="6" t="s">
        <v>520</v>
      </c>
      <c r="B115" s="7" t="s">
        <v>1604</v>
      </c>
      <c r="C115" s="1" t="s">
        <v>1611</v>
      </c>
    </row>
    <row r="116" spans="1:3" x14ac:dyDescent="0.25">
      <c r="A116" s="6" t="s">
        <v>1350</v>
      </c>
      <c r="B116" s="7" t="s">
        <v>1604</v>
      </c>
      <c r="C116" s="1" t="s">
        <v>1609</v>
      </c>
    </row>
    <row r="117" spans="1:3" x14ac:dyDescent="0.25">
      <c r="A117" s="6" t="s">
        <v>1351</v>
      </c>
      <c r="B117" s="7" t="s">
        <v>1604</v>
      </c>
      <c r="C117" s="1" t="s">
        <v>1611</v>
      </c>
    </row>
    <row r="118" spans="1:3" x14ac:dyDescent="0.25">
      <c r="A118" s="6" t="s">
        <v>1352</v>
      </c>
      <c r="B118" s="7" t="s">
        <v>1604</v>
      </c>
      <c r="C118" s="1" t="s">
        <v>1609</v>
      </c>
    </row>
    <row r="119" spans="1:3" x14ac:dyDescent="0.25">
      <c r="A119" s="6" t="s">
        <v>1353</v>
      </c>
      <c r="B119" s="7" t="s">
        <v>1604</v>
      </c>
      <c r="C119" s="1" t="s">
        <v>1611</v>
      </c>
    </row>
    <row r="120" spans="1:3" x14ac:dyDescent="0.25">
      <c r="A120" s="6" t="s">
        <v>1354</v>
      </c>
      <c r="B120" s="7" t="s">
        <v>1604</v>
      </c>
      <c r="C120" s="1" t="s">
        <v>1611</v>
      </c>
    </row>
    <row r="121" spans="1:3" x14ac:dyDescent="0.25">
      <c r="A121" s="6" t="s">
        <v>1355</v>
      </c>
      <c r="B121" s="7" t="s">
        <v>1604</v>
      </c>
      <c r="C121" s="1" t="s">
        <v>1611</v>
      </c>
    </row>
    <row r="122" spans="1:3" x14ac:dyDescent="0.25">
      <c r="A122" s="6" t="s">
        <v>1157</v>
      </c>
      <c r="B122" s="7" t="s">
        <v>1604</v>
      </c>
      <c r="C122" s="1" t="s">
        <v>1609</v>
      </c>
    </row>
    <row r="123" spans="1:3" x14ac:dyDescent="0.25">
      <c r="A123" s="6" t="s">
        <v>1356</v>
      </c>
      <c r="B123" s="7" t="s">
        <v>1604</v>
      </c>
      <c r="C123" s="1" t="s">
        <v>1609</v>
      </c>
    </row>
    <row r="124" spans="1:3" x14ac:dyDescent="0.25">
      <c r="A124" s="6" t="s">
        <v>652</v>
      </c>
      <c r="B124" s="7" t="s">
        <v>1604</v>
      </c>
      <c r="C124" s="1" t="s">
        <v>1609</v>
      </c>
    </row>
    <row r="125" spans="1:3" x14ac:dyDescent="0.25">
      <c r="A125" s="6" t="s">
        <v>1357</v>
      </c>
      <c r="B125" s="7" t="s">
        <v>1604</v>
      </c>
      <c r="C125" s="1" t="s">
        <v>1611</v>
      </c>
    </row>
    <row r="126" spans="1:3" x14ac:dyDescent="0.25">
      <c r="A126" s="6" t="s">
        <v>1358</v>
      </c>
      <c r="B126" s="7" t="s">
        <v>1604</v>
      </c>
      <c r="C126" s="1" t="s">
        <v>1609</v>
      </c>
    </row>
    <row r="127" spans="1:3" x14ac:dyDescent="0.25">
      <c r="A127" s="6" t="s">
        <v>1204</v>
      </c>
      <c r="B127" s="7" t="s">
        <v>1604</v>
      </c>
      <c r="C127" s="1" t="s">
        <v>1609</v>
      </c>
    </row>
    <row r="128" spans="1:3" x14ac:dyDescent="0.25">
      <c r="A128" s="6" t="s">
        <v>1359</v>
      </c>
      <c r="B128" s="7" t="s">
        <v>1604</v>
      </c>
      <c r="C128" s="1" t="s">
        <v>1609</v>
      </c>
    </row>
    <row r="129" spans="1:3" x14ac:dyDescent="0.25">
      <c r="A129" s="6" t="s">
        <v>1360</v>
      </c>
      <c r="B129" s="7" t="s">
        <v>1604</v>
      </c>
      <c r="C129" s="1" t="s">
        <v>1611</v>
      </c>
    </row>
    <row r="130" spans="1:3" x14ac:dyDescent="0.25">
      <c r="A130" s="6" t="s">
        <v>776</v>
      </c>
      <c r="B130" s="7" t="s">
        <v>1604</v>
      </c>
      <c r="C130" s="1" t="s">
        <v>1611</v>
      </c>
    </row>
    <row r="131" spans="1:3" x14ac:dyDescent="0.25">
      <c r="A131" s="6" t="s">
        <v>1361</v>
      </c>
      <c r="B131" s="7" t="s">
        <v>1604</v>
      </c>
      <c r="C131" s="1" t="s">
        <v>1611</v>
      </c>
    </row>
    <row r="132" spans="1:3" x14ac:dyDescent="0.25">
      <c r="A132" s="6" t="s">
        <v>1362</v>
      </c>
      <c r="B132" s="7" t="s">
        <v>1604</v>
      </c>
      <c r="C132" s="1" t="s">
        <v>1611</v>
      </c>
    </row>
    <row r="133" spans="1:3" x14ac:dyDescent="0.25">
      <c r="A133" s="6" t="s">
        <v>1363</v>
      </c>
      <c r="B133" s="7" t="s">
        <v>1604</v>
      </c>
      <c r="C133" s="1" t="s">
        <v>1611</v>
      </c>
    </row>
    <row r="134" spans="1:3" x14ac:dyDescent="0.25">
      <c r="A134" s="6" t="s">
        <v>1364</v>
      </c>
      <c r="B134" s="7" t="s">
        <v>1604</v>
      </c>
      <c r="C134" s="1" t="s">
        <v>1609</v>
      </c>
    </row>
    <row r="135" spans="1:3" x14ac:dyDescent="0.25">
      <c r="A135" s="6" t="s">
        <v>1365</v>
      </c>
      <c r="B135" s="7" t="s">
        <v>1604</v>
      </c>
      <c r="C135" s="1" t="s">
        <v>1611</v>
      </c>
    </row>
    <row r="136" spans="1:3" x14ac:dyDescent="0.25">
      <c r="A136" s="6" t="s">
        <v>51</v>
      </c>
      <c r="B136" s="7" t="s">
        <v>1604</v>
      </c>
      <c r="C136" s="1" t="s">
        <v>1611</v>
      </c>
    </row>
    <row r="137" spans="1:3" x14ac:dyDescent="0.25">
      <c r="A137" s="6" t="s">
        <v>416</v>
      </c>
      <c r="B137" s="7" t="s">
        <v>1604</v>
      </c>
      <c r="C137" s="1" t="s">
        <v>1611</v>
      </c>
    </row>
    <row r="138" spans="1:3" x14ac:dyDescent="0.25">
      <c r="A138" s="6" t="s">
        <v>1366</v>
      </c>
      <c r="B138" s="7" t="s">
        <v>1604</v>
      </c>
      <c r="C138" s="1" t="s">
        <v>1611</v>
      </c>
    </row>
    <row r="139" spans="1:3" x14ac:dyDescent="0.25">
      <c r="A139" s="6" t="s">
        <v>48</v>
      </c>
      <c r="B139" s="7" t="s">
        <v>1604</v>
      </c>
      <c r="C139" s="1" t="s">
        <v>1609</v>
      </c>
    </row>
    <row r="140" spans="1:3" x14ac:dyDescent="0.25">
      <c r="A140" s="6" t="s">
        <v>1367</v>
      </c>
      <c r="B140" s="7" t="s">
        <v>1604</v>
      </c>
      <c r="C140" s="1" t="s">
        <v>1611</v>
      </c>
    </row>
    <row r="141" spans="1:3" x14ac:dyDescent="0.25">
      <c r="A141" s="6" t="s">
        <v>1368</v>
      </c>
      <c r="B141" s="7" t="s">
        <v>1604</v>
      </c>
      <c r="C141" s="1" t="s">
        <v>1611</v>
      </c>
    </row>
    <row r="142" spans="1:3" x14ac:dyDescent="0.25">
      <c r="A142" s="6" t="s">
        <v>790</v>
      </c>
      <c r="B142" s="7" t="s">
        <v>1604</v>
      </c>
      <c r="C142" s="1" t="s">
        <v>1611</v>
      </c>
    </row>
    <row r="143" spans="1:3" x14ac:dyDescent="0.25">
      <c r="A143" s="6" t="s">
        <v>176</v>
      </c>
      <c r="B143" s="7" t="s">
        <v>1604</v>
      </c>
      <c r="C143" s="1" t="s">
        <v>1611</v>
      </c>
    </row>
    <row r="144" spans="1:3" x14ac:dyDescent="0.25">
      <c r="A144" s="6" t="s">
        <v>43</v>
      </c>
      <c r="B144" s="7" t="s">
        <v>1604</v>
      </c>
      <c r="C144" s="1" t="s">
        <v>1609</v>
      </c>
    </row>
    <row r="145" spans="1:3" x14ac:dyDescent="0.25">
      <c r="A145" s="6" t="s">
        <v>613</v>
      </c>
      <c r="B145" s="7" t="s">
        <v>1604</v>
      </c>
      <c r="C145" s="1" t="s">
        <v>1611</v>
      </c>
    </row>
    <row r="146" spans="1:3" x14ac:dyDescent="0.25">
      <c r="A146" s="6" t="s">
        <v>542</v>
      </c>
      <c r="B146" s="7" t="s">
        <v>1604</v>
      </c>
      <c r="C146" s="1" t="s">
        <v>1611</v>
      </c>
    </row>
    <row r="147" spans="1:3" x14ac:dyDescent="0.25">
      <c r="A147" s="6" t="s">
        <v>1369</v>
      </c>
      <c r="B147" s="7" t="s">
        <v>1604</v>
      </c>
      <c r="C147" s="1" t="s">
        <v>1611</v>
      </c>
    </row>
    <row r="148" spans="1:3" x14ac:dyDescent="0.25">
      <c r="A148" s="6" t="s">
        <v>277</v>
      </c>
      <c r="B148" s="7" t="s">
        <v>1604</v>
      </c>
      <c r="C148" s="1" t="s">
        <v>1611</v>
      </c>
    </row>
    <row r="149" spans="1:3" x14ac:dyDescent="0.25">
      <c r="A149" s="6" t="s">
        <v>431</v>
      </c>
      <c r="B149" s="7" t="s">
        <v>1604</v>
      </c>
      <c r="C149" s="1" t="s">
        <v>1611</v>
      </c>
    </row>
    <row r="150" spans="1:3" x14ac:dyDescent="0.25">
      <c r="A150" s="6" t="s">
        <v>712</v>
      </c>
      <c r="B150" s="7" t="s">
        <v>1604</v>
      </c>
      <c r="C150" s="1" t="s">
        <v>1609</v>
      </c>
    </row>
    <row r="151" spans="1:3" x14ac:dyDescent="0.25">
      <c r="A151" s="6" t="s">
        <v>1370</v>
      </c>
      <c r="B151" s="7" t="s">
        <v>1604</v>
      </c>
      <c r="C151" s="1" t="s">
        <v>1611</v>
      </c>
    </row>
    <row r="152" spans="1:3" x14ac:dyDescent="0.25">
      <c r="A152" s="6" t="s">
        <v>1371</v>
      </c>
      <c r="B152" s="7" t="s">
        <v>1604</v>
      </c>
      <c r="C152" s="1" t="s">
        <v>1611</v>
      </c>
    </row>
    <row r="153" spans="1:3" x14ac:dyDescent="0.25">
      <c r="A153" s="6" t="s">
        <v>1372</v>
      </c>
      <c r="B153" s="7" t="s">
        <v>1604</v>
      </c>
      <c r="C153" s="1" t="s">
        <v>1611</v>
      </c>
    </row>
    <row r="154" spans="1:3" x14ac:dyDescent="0.25">
      <c r="A154" s="6" t="s">
        <v>1373</v>
      </c>
      <c r="B154" s="7" t="s">
        <v>1604</v>
      </c>
      <c r="C154" s="1" t="s">
        <v>1609</v>
      </c>
    </row>
    <row r="155" spans="1:3" x14ac:dyDescent="0.25">
      <c r="A155" s="6" t="s">
        <v>1374</v>
      </c>
      <c r="B155" s="7" t="s">
        <v>1604</v>
      </c>
      <c r="C155" s="1" t="s">
        <v>1611</v>
      </c>
    </row>
    <row r="156" spans="1:3" x14ac:dyDescent="0.25">
      <c r="A156" s="6" t="s">
        <v>28</v>
      </c>
      <c r="B156" s="7" t="s">
        <v>1604</v>
      </c>
      <c r="C156" s="1" t="s">
        <v>1611</v>
      </c>
    </row>
    <row r="157" spans="1:3" x14ac:dyDescent="0.25">
      <c r="A157" s="6" t="s">
        <v>1375</v>
      </c>
      <c r="B157" s="7" t="s">
        <v>1604</v>
      </c>
      <c r="C157" s="1" t="s">
        <v>1609</v>
      </c>
    </row>
    <row r="158" spans="1:3" x14ac:dyDescent="0.25">
      <c r="A158" s="6" t="s">
        <v>1376</v>
      </c>
      <c r="B158" s="7" t="s">
        <v>1604</v>
      </c>
      <c r="C158" s="1" t="s">
        <v>1611</v>
      </c>
    </row>
    <row r="159" spans="1:3" x14ac:dyDescent="0.25">
      <c r="A159" s="6" t="s">
        <v>1377</v>
      </c>
      <c r="B159" s="7" t="s">
        <v>1604</v>
      </c>
      <c r="C159" s="1" t="s">
        <v>1611</v>
      </c>
    </row>
    <row r="160" spans="1:3" x14ac:dyDescent="0.25">
      <c r="A160" s="6" t="s">
        <v>1378</v>
      </c>
      <c r="B160" s="7" t="s">
        <v>1604</v>
      </c>
      <c r="C160" s="1" t="s">
        <v>1611</v>
      </c>
    </row>
    <row r="161" spans="1:3" x14ac:dyDescent="0.25">
      <c r="A161" s="6" t="s">
        <v>1151</v>
      </c>
      <c r="B161" s="7" t="s">
        <v>1604</v>
      </c>
      <c r="C161" s="1" t="s">
        <v>1609</v>
      </c>
    </row>
    <row r="162" spans="1:3" x14ac:dyDescent="0.25">
      <c r="A162" s="6" t="s">
        <v>1379</v>
      </c>
      <c r="B162" s="7" t="s">
        <v>1604</v>
      </c>
      <c r="C162" s="1" t="s">
        <v>1611</v>
      </c>
    </row>
    <row r="163" spans="1:3" x14ac:dyDescent="0.25">
      <c r="A163" s="6" t="s">
        <v>556</v>
      </c>
      <c r="B163" s="7" t="s">
        <v>1604</v>
      </c>
      <c r="C163" s="1" t="s">
        <v>1611</v>
      </c>
    </row>
    <row r="164" spans="1:3" x14ac:dyDescent="0.25">
      <c r="A164" s="6" t="s">
        <v>1380</v>
      </c>
      <c r="B164" s="7" t="s">
        <v>1604</v>
      </c>
      <c r="C164" s="1" t="s">
        <v>1611</v>
      </c>
    </row>
    <row r="165" spans="1:3" x14ac:dyDescent="0.25">
      <c r="A165" s="6" t="s">
        <v>1381</v>
      </c>
      <c r="B165" s="7" t="s">
        <v>1604</v>
      </c>
      <c r="C165" s="1" t="s">
        <v>1611</v>
      </c>
    </row>
    <row r="166" spans="1:3" x14ac:dyDescent="0.25">
      <c r="A166" s="6" t="s">
        <v>1382</v>
      </c>
      <c r="B166" s="7" t="s">
        <v>1604</v>
      </c>
      <c r="C166" s="1" t="s">
        <v>1611</v>
      </c>
    </row>
    <row r="167" spans="1:3" x14ac:dyDescent="0.25">
      <c r="A167" s="6" t="s">
        <v>1383</v>
      </c>
      <c r="B167" s="7" t="s">
        <v>1604</v>
      </c>
      <c r="C167" s="1" t="s">
        <v>1611</v>
      </c>
    </row>
    <row r="168" spans="1:3" x14ac:dyDescent="0.25">
      <c r="A168" s="6" t="s">
        <v>19</v>
      </c>
      <c r="B168" s="7" t="s">
        <v>1604</v>
      </c>
      <c r="C168" s="1" t="s">
        <v>1609</v>
      </c>
    </row>
    <row r="169" spans="1:3" x14ac:dyDescent="0.25">
      <c r="A169" s="6" t="s">
        <v>1384</v>
      </c>
      <c r="B169" s="7" t="s">
        <v>1604</v>
      </c>
      <c r="C169" s="1" t="s">
        <v>1611</v>
      </c>
    </row>
    <row r="170" spans="1:3" x14ac:dyDescent="0.25">
      <c r="A170" s="6" t="s">
        <v>1385</v>
      </c>
      <c r="B170" s="7" t="s">
        <v>1604</v>
      </c>
      <c r="C170" s="1" t="s">
        <v>1611</v>
      </c>
    </row>
    <row r="171" spans="1:3" x14ac:dyDescent="0.25">
      <c r="A171" s="6" t="s">
        <v>1386</v>
      </c>
      <c r="B171" s="7" t="s">
        <v>1604</v>
      </c>
      <c r="C171" s="1" t="s">
        <v>1611</v>
      </c>
    </row>
    <row r="172" spans="1:3" x14ac:dyDescent="0.25">
      <c r="A172" s="6" t="s">
        <v>1387</v>
      </c>
      <c r="B172" s="7" t="s">
        <v>1604</v>
      </c>
      <c r="C172" s="1" t="s">
        <v>1611</v>
      </c>
    </row>
    <row r="173" spans="1:3" x14ac:dyDescent="0.25">
      <c r="A173" s="6" t="s">
        <v>1388</v>
      </c>
      <c r="B173" s="7" t="s">
        <v>1604</v>
      </c>
      <c r="C173" s="1" t="s">
        <v>1611</v>
      </c>
    </row>
    <row r="174" spans="1:3" x14ac:dyDescent="0.25">
      <c r="A174" s="6" t="s">
        <v>315</v>
      </c>
      <c r="B174" s="7" t="s">
        <v>1604</v>
      </c>
      <c r="C174" s="1" t="s">
        <v>1611</v>
      </c>
    </row>
    <row r="175" spans="1:3" x14ac:dyDescent="0.25">
      <c r="A175" s="6" t="s">
        <v>1389</v>
      </c>
      <c r="B175" s="7" t="s">
        <v>1604</v>
      </c>
      <c r="C175" s="1" t="s">
        <v>1609</v>
      </c>
    </row>
    <row r="176" spans="1:3" x14ac:dyDescent="0.25">
      <c r="A176" s="6" t="s">
        <v>1390</v>
      </c>
      <c r="B176" s="7" t="s">
        <v>1604</v>
      </c>
      <c r="C176" s="1" t="s">
        <v>1611</v>
      </c>
    </row>
    <row r="177" spans="1:3" x14ac:dyDescent="0.25">
      <c r="A177" s="6" t="s">
        <v>1391</v>
      </c>
      <c r="B177" s="7" t="s">
        <v>1604</v>
      </c>
      <c r="C177" s="1" t="s">
        <v>1611</v>
      </c>
    </row>
    <row r="178" spans="1:3" x14ac:dyDescent="0.25">
      <c r="A178" s="6" t="s">
        <v>1392</v>
      </c>
      <c r="B178" s="7" t="s">
        <v>1604</v>
      </c>
      <c r="C178" s="1" t="s">
        <v>1611</v>
      </c>
    </row>
    <row r="179" spans="1:3" x14ac:dyDescent="0.25">
      <c r="A179" s="6" t="s">
        <v>1393</v>
      </c>
      <c r="B179" s="7" t="s">
        <v>1604</v>
      </c>
      <c r="C179" s="1" t="s">
        <v>1609</v>
      </c>
    </row>
    <row r="180" spans="1:3" x14ac:dyDescent="0.25">
      <c r="A180" s="6" t="s">
        <v>1394</v>
      </c>
      <c r="B180" s="7" t="s">
        <v>1604</v>
      </c>
      <c r="C180" s="1" t="s">
        <v>1611</v>
      </c>
    </row>
    <row r="181" spans="1:3" x14ac:dyDescent="0.25">
      <c r="A181" s="6" t="s">
        <v>1395</v>
      </c>
      <c r="B181" s="7" t="s">
        <v>1604</v>
      </c>
      <c r="C181" s="1" t="s">
        <v>1611</v>
      </c>
    </row>
    <row r="182" spans="1:3" x14ac:dyDescent="0.25">
      <c r="A182" s="6" t="s">
        <v>1396</v>
      </c>
      <c r="B182" s="7" t="s">
        <v>1604</v>
      </c>
      <c r="C182" s="1" t="s">
        <v>1611</v>
      </c>
    </row>
    <row r="183" spans="1:3" x14ac:dyDescent="0.25">
      <c r="A183" s="6" t="s">
        <v>1097</v>
      </c>
      <c r="B183" s="7" t="s">
        <v>1604</v>
      </c>
      <c r="C183" s="1" t="s">
        <v>1611</v>
      </c>
    </row>
    <row r="184" spans="1:3" x14ac:dyDescent="0.25">
      <c r="A184" s="6" t="s">
        <v>436</v>
      </c>
      <c r="B184" s="7" t="s">
        <v>1604</v>
      </c>
      <c r="C184" s="1" t="s">
        <v>1611</v>
      </c>
    </row>
    <row r="185" spans="1:3" x14ac:dyDescent="0.25">
      <c r="A185" s="6" t="s">
        <v>120</v>
      </c>
      <c r="B185" s="7" t="s">
        <v>1604</v>
      </c>
      <c r="C185" s="1" t="s">
        <v>1609</v>
      </c>
    </row>
    <row r="186" spans="1:3" x14ac:dyDescent="0.25">
      <c r="A186" s="6" t="s">
        <v>289</v>
      </c>
      <c r="B186" s="7" t="s">
        <v>1604</v>
      </c>
      <c r="C186" s="1" t="s">
        <v>1611</v>
      </c>
    </row>
    <row r="187" spans="1:3" x14ac:dyDescent="0.25">
      <c r="A187" s="6" t="s">
        <v>1397</v>
      </c>
      <c r="B187" s="7" t="s">
        <v>1604</v>
      </c>
      <c r="C187" s="1" t="s">
        <v>1611</v>
      </c>
    </row>
    <row r="188" spans="1:3" x14ac:dyDescent="0.25">
      <c r="A188" s="6" t="s">
        <v>1398</v>
      </c>
      <c r="B188" s="7" t="s">
        <v>1604</v>
      </c>
      <c r="C188" s="1" t="s">
        <v>1611</v>
      </c>
    </row>
    <row r="189" spans="1:3" x14ac:dyDescent="0.25">
      <c r="A189" s="6" t="s">
        <v>1399</v>
      </c>
      <c r="B189" s="7" t="s">
        <v>1604</v>
      </c>
      <c r="C189" s="1" t="s">
        <v>1611</v>
      </c>
    </row>
    <row r="190" spans="1:3" x14ac:dyDescent="0.25">
      <c r="A190" s="6" t="s">
        <v>1123</v>
      </c>
      <c r="B190" s="7" t="s">
        <v>1604</v>
      </c>
      <c r="C190" s="1" t="s">
        <v>1609</v>
      </c>
    </row>
    <row r="191" spans="1:3" x14ac:dyDescent="0.25">
      <c r="A191" s="6" t="s">
        <v>75</v>
      </c>
      <c r="B191" s="7" t="s">
        <v>1604</v>
      </c>
      <c r="C191" s="1" t="s">
        <v>1609</v>
      </c>
    </row>
    <row r="192" spans="1:3" x14ac:dyDescent="0.25">
      <c r="A192" s="6" t="s">
        <v>598</v>
      </c>
      <c r="B192" s="7" t="s">
        <v>1604</v>
      </c>
      <c r="C192" s="1" t="s">
        <v>1611</v>
      </c>
    </row>
    <row r="193" spans="1:3" x14ac:dyDescent="0.25">
      <c r="A193" s="6" t="s">
        <v>1400</v>
      </c>
      <c r="B193" s="7" t="s">
        <v>1604</v>
      </c>
      <c r="C193" s="1" t="s">
        <v>1611</v>
      </c>
    </row>
    <row r="194" spans="1:3" x14ac:dyDescent="0.25">
      <c r="A194" s="6" t="s">
        <v>1401</v>
      </c>
      <c r="B194" s="7" t="s">
        <v>1604</v>
      </c>
      <c r="C194" s="1" t="s">
        <v>1611</v>
      </c>
    </row>
    <row r="195" spans="1:3" x14ac:dyDescent="0.25">
      <c r="A195" s="6" t="s">
        <v>775</v>
      </c>
      <c r="B195" s="7" t="s">
        <v>1604</v>
      </c>
      <c r="C195" s="1" t="s">
        <v>1609</v>
      </c>
    </row>
    <row r="196" spans="1:3" x14ac:dyDescent="0.25">
      <c r="A196" s="6" t="s">
        <v>1243</v>
      </c>
      <c r="B196" s="7" t="s">
        <v>1604</v>
      </c>
      <c r="C196" s="1" t="s">
        <v>1611</v>
      </c>
    </row>
    <row r="197" spans="1:3" x14ac:dyDescent="0.25">
      <c r="A197" s="6" t="s">
        <v>290</v>
      </c>
      <c r="B197" s="7" t="s">
        <v>1604</v>
      </c>
      <c r="C197" s="1" t="s">
        <v>1609</v>
      </c>
    </row>
    <row r="198" spans="1:3" x14ac:dyDescent="0.25">
      <c r="A198" s="6" t="s">
        <v>162</v>
      </c>
      <c r="B198" s="7" t="s">
        <v>1604</v>
      </c>
      <c r="C198" s="1" t="s">
        <v>1611</v>
      </c>
    </row>
    <row r="199" spans="1:3" x14ac:dyDescent="0.25">
      <c r="A199" s="6" t="s">
        <v>1402</v>
      </c>
      <c r="B199" s="7" t="s">
        <v>1604</v>
      </c>
      <c r="C199" s="1" t="s">
        <v>1609</v>
      </c>
    </row>
    <row r="200" spans="1:3" x14ac:dyDescent="0.25">
      <c r="A200" s="6" t="s">
        <v>114</v>
      </c>
      <c r="B200" s="7" t="s">
        <v>1604</v>
      </c>
      <c r="C200" s="1" t="s">
        <v>1611</v>
      </c>
    </row>
    <row r="201" spans="1:3" x14ac:dyDescent="0.25">
      <c r="A201" s="6" t="s">
        <v>205</v>
      </c>
      <c r="B201" s="7" t="s">
        <v>1604</v>
      </c>
      <c r="C201" s="1" t="s">
        <v>1611</v>
      </c>
    </row>
    <row r="202" spans="1:3" x14ac:dyDescent="0.25">
      <c r="A202" s="6" t="s">
        <v>1403</v>
      </c>
      <c r="B202" s="7" t="s">
        <v>1604</v>
      </c>
      <c r="C202" s="1" t="s">
        <v>1611</v>
      </c>
    </row>
    <row r="203" spans="1:3" x14ac:dyDescent="0.25">
      <c r="A203" s="6" t="s">
        <v>23</v>
      </c>
      <c r="B203" s="7" t="s">
        <v>1604</v>
      </c>
      <c r="C203" s="1" t="s">
        <v>1611</v>
      </c>
    </row>
    <row r="204" spans="1:3" x14ac:dyDescent="0.25">
      <c r="A204" s="6" t="s">
        <v>1404</v>
      </c>
      <c r="B204" s="7" t="s">
        <v>1604</v>
      </c>
      <c r="C204" s="1" t="s">
        <v>1611</v>
      </c>
    </row>
    <row r="205" spans="1:3" x14ac:dyDescent="0.25">
      <c r="A205" s="6" t="s">
        <v>298</v>
      </c>
      <c r="B205" s="7" t="s">
        <v>1604</v>
      </c>
      <c r="C205" s="1" t="s">
        <v>1611</v>
      </c>
    </row>
    <row r="206" spans="1:3" x14ac:dyDescent="0.25">
      <c r="A206" s="6" t="s">
        <v>282</v>
      </c>
      <c r="B206" s="7" t="s">
        <v>1604</v>
      </c>
      <c r="C206" s="1" t="s">
        <v>1611</v>
      </c>
    </row>
    <row r="207" spans="1:3" x14ac:dyDescent="0.25">
      <c r="A207" s="6" t="s">
        <v>990</v>
      </c>
      <c r="B207" s="7" t="s">
        <v>1604</v>
      </c>
      <c r="C207" s="1" t="s">
        <v>1611</v>
      </c>
    </row>
    <row r="208" spans="1:3" x14ac:dyDescent="0.25">
      <c r="A208" s="6" t="s">
        <v>141</v>
      </c>
      <c r="B208" s="7" t="s">
        <v>1604</v>
      </c>
      <c r="C208" s="1" t="s">
        <v>1611</v>
      </c>
    </row>
    <row r="209" spans="1:3" x14ac:dyDescent="0.25">
      <c r="A209" s="6" t="s">
        <v>1405</v>
      </c>
      <c r="B209" s="7" t="s">
        <v>1604</v>
      </c>
      <c r="C209" s="1" t="s">
        <v>1609</v>
      </c>
    </row>
    <row r="210" spans="1:3" x14ac:dyDescent="0.25">
      <c r="A210" s="6" t="s">
        <v>657</v>
      </c>
      <c r="B210" s="7" t="s">
        <v>1604</v>
      </c>
      <c r="C210" s="1" t="s">
        <v>1611</v>
      </c>
    </row>
    <row r="211" spans="1:3" x14ac:dyDescent="0.25">
      <c r="A211" s="6" t="s">
        <v>47</v>
      </c>
      <c r="B211" s="7" t="s">
        <v>1604</v>
      </c>
      <c r="C211" s="1" t="s">
        <v>1611</v>
      </c>
    </row>
    <row r="212" spans="1:3" x14ac:dyDescent="0.25">
      <c r="A212" s="6" t="s">
        <v>1406</v>
      </c>
      <c r="B212" s="7" t="s">
        <v>1604</v>
      </c>
      <c r="C212" s="1" t="s">
        <v>1611</v>
      </c>
    </row>
    <row r="213" spans="1:3" x14ac:dyDescent="0.25">
      <c r="A213" s="6" t="s">
        <v>1122</v>
      </c>
      <c r="B213" s="7" t="s">
        <v>1604</v>
      </c>
      <c r="C213" s="1" t="s">
        <v>1609</v>
      </c>
    </row>
    <row r="214" spans="1:3" x14ac:dyDescent="0.25">
      <c r="A214" s="6" t="s">
        <v>1407</v>
      </c>
      <c r="B214" s="7" t="s">
        <v>1604</v>
      </c>
      <c r="C214" s="1" t="s">
        <v>1611</v>
      </c>
    </row>
    <row r="215" spans="1:3" x14ac:dyDescent="0.25">
      <c r="A215" s="6" t="s">
        <v>1408</v>
      </c>
      <c r="B215" s="7" t="s">
        <v>1604</v>
      </c>
      <c r="C215" s="1" t="s">
        <v>1611</v>
      </c>
    </row>
    <row r="216" spans="1:3" x14ac:dyDescent="0.25">
      <c r="A216" s="6" t="s">
        <v>1409</v>
      </c>
      <c r="B216" s="7" t="s">
        <v>1604</v>
      </c>
      <c r="C216" s="1" t="s">
        <v>1611</v>
      </c>
    </row>
    <row r="217" spans="1:3" x14ac:dyDescent="0.25">
      <c r="A217" s="6" t="s">
        <v>1410</v>
      </c>
      <c r="B217" s="7" t="s">
        <v>1604</v>
      </c>
      <c r="C217" s="1" t="s">
        <v>1609</v>
      </c>
    </row>
    <row r="218" spans="1:3" x14ac:dyDescent="0.25">
      <c r="A218" s="6" t="s">
        <v>570</v>
      </c>
      <c r="B218" s="7" t="s">
        <v>1604</v>
      </c>
      <c r="C218" s="1" t="s">
        <v>1611</v>
      </c>
    </row>
    <row r="219" spans="1:3" x14ac:dyDescent="0.25">
      <c r="A219" s="6" t="s">
        <v>1411</v>
      </c>
      <c r="B219" s="7" t="s">
        <v>1604</v>
      </c>
      <c r="C219" s="1" t="s">
        <v>1611</v>
      </c>
    </row>
    <row r="220" spans="1:3" x14ac:dyDescent="0.25">
      <c r="A220" s="6" t="s">
        <v>1412</v>
      </c>
      <c r="B220" s="7" t="s">
        <v>1604</v>
      </c>
      <c r="C220" s="1" t="s">
        <v>1611</v>
      </c>
    </row>
    <row r="221" spans="1:3" x14ac:dyDescent="0.25">
      <c r="A221" s="6" t="s">
        <v>1413</v>
      </c>
      <c r="B221" s="7" t="s">
        <v>1604</v>
      </c>
      <c r="C221" s="1" t="s">
        <v>1611</v>
      </c>
    </row>
    <row r="222" spans="1:3" x14ac:dyDescent="0.25">
      <c r="A222" s="6" t="s">
        <v>53</v>
      </c>
      <c r="B222" s="7" t="s">
        <v>1604</v>
      </c>
      <c r="C222" s="1" t="s">
        <v>1611</v>
      </c>
    </row>
    <row r="223" spans="1:3" x14ac:dyDescent="0.25">
      <c r="A223" s="6" t="s">
        <v>546</v>
      </c>
      <c r="B223" s="7" t="s">
        <v>1604</v>
      </c>
      <c r="C223" s="1" t="s">
        <v>1611</v>
      </c>
    </row>
    <row r="224" spans="1:3" x14ac:dyDescent="0.25">
      <c r="A224" s="6" t="s">
        <v>1414</v>
      </c>
      <c r="B224" s="7" t="s">
        <v>1604</v>
      </c>
      <c r="C224" s="1" t="s">
        <v>1611</v>
      </c>
    </row>
    <row r="225" spans="1:3" x14ac:dyDescent="0.25">
      <c r="A225" s="6" t="s">
        <v>1415</v>
      </c>
      <c r="B225" s="7" t="s">
        <v>1604</v>
      </c>
      <c r="C225" s="1" t="s">
        <v>1611</v>
      </c>
    </row>
    <row r="226" spans="1:3" x14ac:dyDescent="0.25">
      <c r="A226" s="6" t="s">
        <v>164</v>
      </c>
      <c r="B226" s="7" t="s">
        <v>1604</v>
      </c>
      <c r="C226" s="1" t="s">
        <v>1611</v>
      </c>
    </row>
    <row r="227" spans="1:3" x14ac:dyDescent="0.25">
      <c r="A227" s="6" t="s">
        <v>1416</v>
      </c>
      <c r="B227" s="7" t="s">
        <v>1604</v>
      </c>
      <c r="C227" s="1" t="s">
        <v>1611</v>
      </c>
    </row>
    <row r="228" spans="1:3" x14ac:dyDescent="0.25">
      <c r="A228" s="6" t="s">
        <v>1417</v>
      </c>
      <c r="B228" s="7" t="s">
        <v>1604</v>
      </c>
      <c r="C228" s="1" t="s">
        <v>1611</v>
      </c>
    </row>
    <row r="229" spans="1:3" x14ac:dyDescent="0.25">
      <c r="A229" s="6" t="s">
        <v>1418</v>
      </c>
      <c r="B229" s="7" t="s">
        <v>1604</v>
      </c>
      <c r="C229" s="1" t="s">
        <v>1609</v>
      </c>
    </row>
    <row r="230" spans="1:3" x14ac:dyDescent="0.25">
      <c r="A230" s="6" t="s">
        <v>1419</v>
      </c>
      <c r="B230" s="7" t="s">
        <v>1604</v>
      </c>
      <c r="C230" s="1" t="s">
        <v>1609</v>
      </c>
    </row>
    <row r="231" spans="1:3" x14ac:dyDescent="0.25">
      <c r="A231" s="6" t="s">
        <v>1420</v>
      </c>
      <c r="B231" s="7" t="s">
        <v>1604</v>
      </c>
      <c r="C231" s="1" t="s">
        <v>1611</v>
      </c>
    </row>
    <row r="232" spans="1:3" x14ac:dyDescent="0.25">
      <c r="A232" s="6" t="s">
        <v>1421</v>
      </c>
      <c r="B232" s="7" t="s">
        <v>1604</v>
      </c>
      <c r="C232" s="1" t="s">
        <v>1611</v>
      </c>
    </row>
    <row r="233" spans="1:3" x14ac:dyDescent="0.25">
      <c r="A233" s="6" t="s">
        <v>1422</v>
      </c>
      <c r="B233" s="7" t="s">
        <v>1604</v>
      </c>
      <c r="C233" s="1" t="s">
        <v>1609</v>
      </c>
    </row>
    <row r="234" spans="1:3" x14ac:dyDescent="0.25">
      <c r="A234" s="6" t="s">
        <v>1423</v>
      </c>
      <c r="B234" s="7" t="s">
        <v>1604</v>
      </c>
      <c r="C234" s="1" t="s">
        <v>1611</v>
      </c>
    </row>
    <row r="235" spans="1:3" x14ac:dyDescent="0.25">
      <c r="A235" s="6" t="s">
        <v>1212</v>
      </c>
      <c r="B235" s="7" t="s">
        <v>1604</v>
      </c>
      <c r="C235" s="1" t="s">
        <v>1611</v>
      </c>
    </row>
    <row r="236" spans="1:3" x14ac:dyDescent="0.25">
      <c r="A236" s="6" t="s">
        <v>1424</v>
      </c>
      <c r="B236" s="7" t="s">
        <v>1604</v>
      </c>
      <c r="C236" s="1" t="s">
        <v>1611</v>
      </c>
    </row>
    <row r="237" spans="1:3" x14ac:dyDescent="0.25">
      <c r="A237" s="6" t="s">
        <v>1425</v>
      </c>
      <c r="B237" s="7" t="s">
        <v>1604</v>
      </c>
      <c r="C237" s="1" t="s">
        <v>1611</v>
      </c>
    </row>
    <row r="238" spans="1:3" x14ac:dyDescent="0.25">
      <c r="A238" s="6" t="s">
        <v>1426</v>
      </c>
      <c r="B238" s="7" t="s">
        <v>1604</v>
      </c>
      <c r="C238" s="1" t="s">
        <v>1611</v>
      </c>
    </row>
    <row r="239" spans="1:3" x14ac:dyDescent="0.25">
      <c r="A239" s="6" t="s">
        <v>1427</v>
      </c>
      <c r="B239" s="7" t="s">
        <v>1604</v>
      </c>
      <c r="C239" s="1" t="s">
        <v>1611</v>
      </c>
    </row>
    <row r="240" spans="1:3" x14ac:dyDescent="0.25">
      <c r="A240" s="6" t="s">
        <v>455</v>
      </c>
      <c r="B240" s="7" t="s">
        <v>1604</v>
      </c>
      <c r="C240" s="1" t="s">
        <v>1611</v>
      </c>
    </row>
    <row r="241" spans="1:3" x14ac:dyDescent="0.25">
      <c r="A241" s="6" t="s">
        <v>1428</v>
      </c>
      <c r="B241" s="7" t="s">
        <v>1604</v>
      </c>
      <c r="C241" s="1" t="s">
        <v>1609</v>
      </c>
    </row>
    <row r="242" spans="1:3" x14ac:dyDescent="0.25">
      <c r="A242" s="6" t="s">
        <v>1429</v>
      </c>
      <c r="B242" s="7" t="s">
        <v>1604</v>
      </c>
      <c r="C242" s="1" t="s">
        <v>1609</v>
      </c>
    </row>
    <row r="243" spans="1:3" x14ac:dyDescent="0.25">
      <c r="A243" s="6" t="s">
        <v>1430</v>
      </c>
      <c r="B243" s="7" t="s">
        <v>1604</v>
      </c>
      <c r="C243" s="1" t="s">
        <v>1611</v>
      </c>
    </row>
    <row r="244" spans="1:3" x14ac:dyDescent="0.25">
      <c r="A244" s="6" t="s">
        <v>168</v>
      </c>
      <c r="B244" s="7" t="s">
        <v>1604</v>
      </c>
      <c r="C244" s="1" t="s">
        <v>1611</v>
      </c>
    </row>
    <row r="245" spans="1:3" x14ac:dyDescent="0.25">
      <c r="A245" s="6" t="s">
        <v>1431</v>
      </c>
      <c r="B245" s="7" t="s">
        <v>1604</v>
      </c>
      <c r="C245" s="1" t="s">
        <v>1611</v>
      </c>
    </row>
    <row r="246" spans="1:3" x14ac:dyDescent="0.25">
      <c r="A246" s="6" t="s">
        <v>1432</v>
      </c>
      <c r="B246" s="7" t="s">
        <v>1604</v>
      </c>
      <c r="C246" s="1" t="s">
        <v>1611</v>
      </c>
    </row>
    <row r="247" spans="1:3" x14ac:dyDescent="0.25">
      <c r="A247" s="6" t="s">
        <v>1433</v>
      </c>
      <c r="B247" s="7" t="s">
        <v>1604</v>
      </c>
      <c r="C247" s="1" t="s">
        <v>1609</v>
      </c>
    </row>
    <row r="248" spans="1:3" x14ac:dyDescent="0.25">
      <c r="A248" s="6" t="s">
        <v>1434</v>
      </c>
      <c r="B248" s="7" t="s">
        <v>1604</v>
      </c>
      <c r="C248" s="1" t="s">
        <v>1609</v>
      </c>
    </row>
    <row r="249" spans="1:3" x14ac:dyDescent="0.25">
      <c r="A249" s="6" t="s">
        <v>1435</v>
      </c>
      <c r="B249" s="7" t="s">
        <v>1604</v>
      </c>
      <c r="C249" s="1" t="s">
        <v>1609</v>
      </c>
    </row>
    <row r="250" spans="1:3" x14ac:dyDescent="0.25">
      <c r="A250" s="6" t="s">
        <v>1231</v>
      </c>
      <c r="B250" s="7" t="s">
        <v>1604</v>
      </c>
      <c r="C250" s="1" t="s">
        <v>1609</v>
      </c>
    </row>
    <row r="251" spans="1:3" x14ac:dyDescent="0.25">
      <c r="A251" s="6" t="s">
        <v>1436</v>
      </c>
      <c r="B251" s="7" t="s">
        <v>1604</v>
      </c>
      <c r="C251" s="1" t="s">
        <v>1609</v>
      </c>
    </row>
    <row r="252" spans="1:3" x14ac:dyDescent="0.25">
      <c r="A252" s="6" t="s">
        <v>185</v>
      </c>
      <c r="B252" s="7" t="s">
        <v>1604</v>
      </c>
      <c r="C252" s="1" t="s">
        <v>1611</v>
      </c>
    </row>
    <row r="253" spans="1:3" x14ac:dyDescent="0.25">
      <c r="A253" s="6" t="s">
        <v>1437</v>
      </c>
      <c r="B253" s="7" t="s">
        <v>1604</v>
      </c>
      <c r="C253" s="1" t="s">
        <v>1611</v>
      </c>
    </row>
    <row r="254" spans="1:3" x14ac:dyDescent="0.25">
      <c r="A254" s="6" t="s">
        <v>1131</v>
      </c>
      <c r="B254" s="7" t="s">
        <v>1604</v>
      </c>
      <c r="C254" s="1" t="s">
        <v>1611</v>
      </c>
    </row>
    <row r="255" spans="1:3" x14ac:dyDescent="0.25">
      <c r="A255" s="6" t="s">
        <v>1438</v>
      </c>
      <c r="B255" s="7" t="s">
        <v>1604</v>
      </c>
      <c r="C255" s="1" t="s">
        <v>1611</v>
      </c>
    </row>
    <row r="256" spans="1:3" x14ac:dyDescent="0.25">
      <c r="A256" s="6" t="s">
        <v>1439</v>
      </c>
      <c r="B256" s="7" t="s">
        <v>1604</v>
      </c>
      <c r="C256" s="1" t="s">
        <v>1611</v>
      </c>
    </row>
    <row r="257" spans="1:3" x14ac:dyDescent="0.25">
      <c r="A257" s="6" t="s">
        <v>1440</v>
      </c>
      <c r="B257" s="7" t="s">
        <v>1604</v>
      </c>
      <c r="C257" s="1" t="s">
        <v>1611</v>
      </c>
    </row>
    <row r="258" spans="1:3" x14ac:dyDescent="0.25">
      <c r="A258" s="6" t="s">
        <v>1441</v>
      </c>
      <c r="B258" s="7" t="s">
        <v>1604</v>
      </c>
      <c r="C258" s="1" t="s">
        <v>1611</v>
      </c>
    </row>
    <row r="259" spans="1:3" x14ac:dyDescent="0.25">
      <c r="A259" s="6" t="s">
        <v>1442</v>
      </c>
      <c r="B259" s="7" t="s">
        <v>1604</v>
      </c>
      <c r="C259" s="1" t="s">
        <v>1611</v>
      </c>
    </row>
    <row r="260" spans="1:3" x14ac:dyDescent="0.25">
      <c r="A260" s="6" t="s">
        <v>1443</v>
      </c>
      <c r="B260" s="7" t="s">
        <v>1604</v>
      </c>
      <c r="C260" s="1" t="s">
        <v>1611</v>
      </c>
    </row>
    <row r="261" spans="1:3" x14ac:dyDescent="0.25">
      <c r="A261" s="6" t="s">
        <v>1444</v>
      </c>
      <c r="B261" s="7" t="s">
        <v>1604</v>
      </c>
      <c r="C261" s="1" t="s">
        <v>1611</v>
      </c>
    </row>
    <row r="262" spans="1:3" x14ac:dyDescent="0.25">
      <c r="A262" s="6" t="s">
        <v>1445</v>
      </c>
      <c r="B262" s="7" t="s">
        <v>1604</v>
      </c>
      <c r="C262" s="1" t="s">
        <v>1611</v>
      </c>
    </row>
    <row r="263" spans="1:3" x14ac:dyDescent="0.25">
      <c r="A263" s="6" t="s">
        <v>1150</v>
      </c>
      <c r="B263" s="7" t="s">
        <v>1604</v>
      </c>
      <c r="C263" s="1" t="s">
        <v>1611</v>
      </c>
    </row>
    <row r="264" spans="1:3" x14ac:dyDescent="0.25">
      <c r="A264" s="6" t="s">
        <v>573</v>
      </c>
      <c r="B264" s="7" t="s">
        <v>1604</v>
      </c>
      <c r="C264" s="1" t="s">
        <v>1611</v>
      </c>
    </row>
    <row r="265" spans="1:3" x14ac:dyDescent="0.25">
      <c r="A265" s="6" t="s">
        <v>1446</v>
      </c>
      <c r="B265" s="7" t="s">
        <v>1604</v>
      </c>
      <c r="C265" s="1" t="s">
        <v>1611</v>
      </c>
    </row>
    <row r="266" spans="1:3" x14ac:dyDescent="0.25">
      <c r="A266" s="6" t="s">
        <v>1447</v>
      </c>
      <c r="B266" s="7" t="s">
        <v>1604</v>
      </c>
      <c r="C266" s="1" t="s">
        <v>1611</v>
      </c>
    </row>
    <row r="267" spans="1:3" x14ac:dyDescent="0.25">
      <c r="A267" s="6" t="s">
        <v>1448</v>
      </c>
      <c r="B267" s="7" t="s">
        <v>1604</v>
      </c>
      <c r="C267" s="1" t="s">
        <v>1611</v>
      </c>
    </row>
    <row r="268" spans="1:3" x14ac:dyDescent="0.25">
      <c r="A268" s="6" t="s">
        <v>245</v>
      </c>
      <c r="B268" s="7" t="s">
        <v>1604</v>
      </c>
      <c r="C268" s="1" t="s">
        <v>1609</v>
      </c>
    </row>
    <row r="269" spans="1:3" x14ac:dyDescent="0.25">
      <c r="A269" s="6" t="s">
        <v>1449</v>
      </c>
      <c r="B269" s="7" t="s">
        <v>1604</v>
      </c>
      <c r="C269" s="1" t="s">
        <v>1611</v>
      </c>
    </row>
    <row r="270" spans="1:3" x14ac:dyDescent="0.25">
      <c r="A270" s="6" t="s">
        <v>1450</v>
      </c>
      <c r="B270" s="7" t="s">
        <v>1604</v>
      </c>
      <c r="C270" s="1" t="s">
        <v>1611</v>
      </c>
    </row>
    <row r="271" spans="1:3" x14ac:dyDescent="0.25">
      <c r="A271" s="6" t="s">
        <v>285</v>
      </c>
      <c r="B271" s="7" t="s">
        <v>1604</v>
      </c>
      <c r="C271" s="1" t="s">
        <v>1611</v>
      </c>
    </row>
    <row r="272" spans="1:3" x14ac:dyDescent="0.25">
      <c r="A272" s="6" t="s">
        <v>167</v>
      </c>
      <c r="B272" s="7" t="s">
        <v>1604</v>
      </c>
      <c r="C272" s="1" t="s">
        <v>1611</v>
      </c>
    </row>
    <row r="273" spans="1:3" x14ac:dyDescent="0.25">
      <c r="A273" s="6" t="s">
        <v>1451</v>
      </c>
      <c r="B273" s="7" t="s">
        <v>1604</v>
      </c>
      <c r="C273" s="1" t="s">
        <v>1609</v>
      </c>
    </row>
    <row r="274" spans="1:3" x14ac:dyDescent="0.25">
      <c r="A274" s="6" t="s">
        <v>818</v>
      </c>
      <c r="B274" s="7" t="s">
        <v>1604</v>
      </c>
      <c r="C274" s="1" t="s">
        <v>1611</v>
      </c>
    </row>
    <row r="275" spans="1:3" x14ac:dyDescent="0.25">
      <c r="A275" s="6" t="s">
        <v>1452</v>
      </c>
      <c r="B275" s="7" t="s">
        <v>1604</v>
      </c>
      <c r="C275" s="1" t="s">
        <v>1611</v>
      </c>
    </row>
    <row r="276" spans="1:3" x14ac:dyDescent="0.25">
      <c r="A276" s="6" t="s">
        <v>1453</v>
      </c>
      <c r="B276" s="7" t="s">
        <v>1604</v>
      </c>
      <c r="C276" s="1" t="s">
        <v>1611</v>
      </c>
    </row>
    <row r="277" spans="1:3" x14ac:dyDescent="0.25">
      <c r="A277" s="6" t="s">
        <v>1454</v>
      </c>
      <c r="B277" s="7" t="s">
        <v>1604</v>
      </c>
      <c r="C277" s="1" t="s">
        <v>1611</v>
      </c>
    </row>
    <row r="278" spans="1:3" x14ac:dyDescent="0.25">
      <c r="A278" s="6" t="s">
        <v>378</v>
      </c>
      <c r="B278" s="7" t="s">
        <v>1604</v>
      </c>
      <c r="C278" s="1" t="s">
        <v>1609</v>
      </c>
    </row>
    <row r="279" spans="1:3" x14ac:dyDescent="0.25">
      <c r="A279" s="6" t="s">
        <v>1455</v>
      </c>
      <c r="B279" s="7" t="s">
        <v>1604</v>
      </c>
      <c r="C279" s="1" t="s">
        <v>1611</v>
      </c>
    </row>
    <row r="280" spans="1:3" x14ac:dyDescent="0.25">
      <c r="A280" s="6" t="s">
        <v>1456</v>
      </c>
      <c r="B280" s="7" t="s">
        <v>1604</v>
      </c>
      <c r="C280" s="1" t="s">
        <v>1611</v>
      </c>
    </row>
    <row r="281" spans="1:3" x14ac:dyDescent="0.25">
      <c r="A281" s="6" t="s">
        <v>130</v>
      </c>
      <c r="B281" s="7" t="s">
        <v>1604</v>
      </c>
      <c r="C281" s="1" t="s">
        <v>1611</v>
      </c>
    </row>
    <row r="282" spans="1:3" x14ac:dyDescent="0.25">
      <c r="A282" s="6" t="s">
        <v>605</v>
      </c>
      <c r="B282" s="7" t="s">
        <v>1604</v>
      </c>
      <c r="C282" s="1" t="s">
        <v>1611</v>
      </c>
    </row>
    <row r="283" spans="1:3" x14ac:dyDescent="0.25">
      <c r="A283" s="6" t="s">
        <v>1457</v>
      </c>
      <c r="B283" s="7" t="s">
        <v>1604</v>
      </c>
      <c r="C283" s="1" t="s">
        <v>1611</v>
      </c>
    </row>
    <row r="284" spans="1:3" x14ac:dyDescent="0.25">
      <c r="A284" s="6" t="s">
        <v>873</v>
      </c>
      <c r="B284" s="7" t="s">
        <v>1604</v>
      </c>
      <c r="C284" s="1" t="s">
        <v>1611</v>
      </c>
    </row>
    <row r="285" spans="1:3" x14ac:dyDescent="0.25">
      <c r="A285" s="6" t="s">
        <v>1458</v>
      </c>
      <c r="B285" s="7" t="s">
        <v>1604</v>
      </c>
      <c r="C285" s="1" t="s">
        <v>1611</v>
      </c>
    </row>
    <row r="286" spans="1:3" x14ac:dyDescent="0.25">
      <c r="A286" s="6" t="s">
        <v>1459</v>
      </c>
      <c r="B286" s="7" t="s">
        <v>1604</v>
      </c>
      <c r="C286" s="1" t="s">
        <v>1611</v>
      </c>
    </row>
    <row r="287" spans="1:3" x14ac:dyDescent="0.25">
      <c r="A287" s="6" t="s">
        <v>1460</v>
      </c>
      <c r="B287" s="7" t="s">
        <v>1604</v>
      </c>
      <c r="C287" s="1" t="s">
        <v>1611</v>
      </c>
    </row>
    <row r="288" spans="1:3" x14ac:dyDescent="0.25">
      <c r="A288" s="6" t="s">
        <v>1461</v>
      </c>
      <c r="B288" s="7" t="s">
        <v>1604</v>
      </c>
      <c r="C288" s="1" t="s">
        <v>1609</v>
      </c>
    </row>
    <row r="289" spans="1:3" x14ac:dyDescent="0.25">
      <c r="A289" s="6" t="s">
        <v>1462</v>
      </c>
      <c r="B289" s="7" t="s">
        <v>1604</v>
      </c>
      <c r="C289" s="1" t="s">
        <v>1611</v>
      </c>
    </row>
    <row r="290" spans="1:3" x14ac:dyDescent="0.25">
      <c r="A290" s="6" t="s">
        <v>1463</v>
      </c>
      <c r="B290" s="7" t="s">
        <v>1604</v>
      </c>
      <c r="C290" s="1" t="s">
        <v>1611</v>
      </c>
    </row>
    <row r="291" spans="1:3" x14ac:dyDescent="0.25">
      <c r="A291" s="6" t="s">
        <v>1464</v>
      </c>
      <c r="B291" s="7" t="s">
        <v>1604</v>
      </c>
      <c r="C291" s="1" t="s">
        <v>1611</v>
      </c>
    </row>
    <row r="292" spans="1:3" x14ac:dyDescent="0.25">
      <c r="A292" s="6" t="s">
        <v>1465</v>
      </c>
      <c r="B292" s="7" t="s">
        <v>1604</v>
      </c>
      <c r="C292" s="1" t="s">
        <v>1611</v>
      </c>
    </row>
    <row r="293" spans="1:3" x14ac:dyDescent="0.25">
      <c r="A293" s="6" t="s">
        <v>480</v>
      </c>
      <c r="B293" s="7" t="s">
        <v>1604</v>
      </c>
      <c r="C293" s="1" t="s">
        <v>1609</v>
      </c>
    </row>
    <row r="294" spans="1:3" x14ac:dyDescent="0.25">
      <c r="A294" s="6" t="s">
        <v>1466</v>
      </c>
      <c r="B294" s="7" t="s">
        <v>1604</v>
      </c>
      <c r="C294" s="1" t="s">
        <v>1611</v>
      </c>
    </row>
    <row r="295" spans="1:3" x14ac:dyDescent="0.25">
      <c r="A295" s="6" t="s">
        <v>1467</v>
      </c>
      <c r="B295" s="7" t="s">
        <v>1604</v>
      </c>
      <c r="C295" s="1" t="s">
        <v>1609</v>
      </c>
    </row>
    <row r="296" spans="1:3" x14ac:dyDescent="0.25">
      <c r="A296" s="6" t="s">
        <v>1468</v>
      </c>
      <c r="B296" s="7" t="s">
        <v>1604</v>
      </c>
      <c r="C296" s="1" t="s">
        <v>1611</v>
      </c>
    </row>
    <row r="297" spans="1:3" x14ac:dyDescent="0.25">
      <c r="A297" s="6" t="s">
        <v>1469</v>
      </c>
      <c r="B297" s="7" t="s">
        <v>1604</v>
      </c>
      <c r="C297" s="1" t="s">
        <v>1611</v>
      </c>
    </row>
    <row r="298" spans="1:3" x14ac:dyDescent="0.25">
      <c r="A298" s="6" t="s">
        <v>16</v>
      </c>
      <c r="B298" s="7" t="s">
        <v>1604</v>
      </c>
      <c r="C298" s="1" t="s">
        <v>1611</v>
      </c>
    </row>
    <row r="299" spans="1:3" x14ac:dyDescent="0.25">
      <c r="A299" s="6" t="s">
        <v>1470</v>
      </c>
      <c r="B299" s="7" t="s">
        <v>1604</v>
      </c>
      <c r="C299" s="1" t="s">
        <v>1611</v>
      </c>
    </row>
    <row r="300" spans="1:3" x14ac:dyDescent="0.25">
      <c r="A300" s="6" t="s">
        <v>1471</v>
      </c>
      <c r="B300" s="7" t="s">
        <v>1604</v>
      </c>
      <c r="C300" s="1" t="s">
        <v>1611</v>
      </c>
    </row>
    <row r="301" spans="1:3" x14ac:dyDescent="0.25">
      <c r="A301" s="6" t="s">
        <v>1472</v>
      </c>
      <c r="B301" s="7" t="s">
        <v>1604</v>
      </c>
      <c r="C301" s="1" t="s">
        <v>1611</v>
      </c>
    </row>
    <row r="302" spans="1:3" x14ac:dyDescent="0.25">
      <c r="A302" s="6" t="s">
        <v>1473</v>
      </c>
      <c r="B302" s="7" t="s">
        <v>1604</v>
      </c>
      <c r="C302" s="1" t="s">
        <v>1609</v>
      </c>
    </row>
    <row r="303" spans="1:3" x14ac:dyDescent="0.25">
      <c r="A303" s="6" t="s">
        <v>1091</v>
      </c>
      <c r="B303" s="7" t="s">
        <v>1604</v>
      </c>
      <c r="C303" s="1" t="s">
        <v>1611</v>
      </c>
    </row>
    <row r="304" spans="1:3" x14ac:dyDescent="0.25">
      <c r="A304" s="6" t="s">
        <v>1474</v>
      </c>
      <c r="B304" s="7" t="s">
        <v>1604</v>
      </c>
      <c r="C304" s="1" t="s">
        <v>1611</v>
      </c>
    </row>
    <row r="305" spans="1:3" x14ac:dyDescent="0.25">
      <c r="A305" s="6" t="s">
        <v>1475</v>
      </c>
      <c r="B305" s="7" t="s">
        <v>1604</v>
      </c>
      <c r="C305" s="1" t="s">
        <v>1611</v>
      </c>
    </row>
    <row r="306" spans="1:3" x14ac:dyDescent="0.25">
      <c r="A306" s="6" t="s">
        <v>1476</v>
      </c>
      <c r="B306" s="7" t="s">
        <v>1604</v>
      </c>
      <c r="C306" s="1" t="s">
        <v>1611</v>
      </c>
    </row>
    <row r="307" spans="1:3" x14ac:dyDescent="0.25">
      <c r="A307" s="6" t="s">
        <v>1477</v>
      </c>
      <c r="B307" s="7" t="s">
        <v>1604</v>
      </c>
      <c r="C307" s="1" t="s">
        <v>1611</v>
      </c>
    </row>
    <row r="308" spans="1:3" x14ac:dyDescent="0.25">
      <c r="A308" s="6" t="s">
        <v>1229</v>
      </c>
      <c r="B308" s="7" t="s">
        <v>1604</v>
      </c>
      <c r="C308" s="1" t="s">
        <v>1611</v>
      </c>
    </row>
    <row r="309" spans="1:3" x14ac:dyDescent="0.25">
      <c r="A309" s="6" t="s">
        <v>569</v>
      </c>
      <c r="B309" s="7" t="s">
        <v>1604</v>
      </c>
      <c r="C309" s="1" t="s">
        <v>1611</v>
      </c>
    </row>
    <row r="310" spans="1:3" x14ac:dyDescent="0.25">
      <c r="A310" s="6" t="s">
        <v>1478</v>
      </c>
      <c r="B310" s="7" t="s">
        <v>1604</v>
      </c>
      <c r="C310" s="1" t="s">
        <v>1611</v>
      </c>
    </row>
    <row r="311" spans="1:3" x14ac:dyDescent="0.25">
      <c r="A311" s="6" t="s">
        <v>18</v>
      </c>
      <c r="B311" s="7" t="s">
        <v>1604</v>
      </c>
      <c r="C311" s="1" t="s">
        <v>1611</v>
      </c>
    </row>
    <row r="312" spans="1:3" x14ac:dyDescent="0.25">
      <c r="A312" s="6" t="s">
        <v>1479</v>
      </c>
      <c r="B312" s="7" t="s">
        <v>1604</v>
      </c>
      <c r="C312" s="1" t="s">
        <v>1611</v>
      </c>
    </row>
    <row r="313" spans="1:3" x14ac:dyDescent="0.25">
      <c r="A313" s="6" t="s">
        <v>1480</v>
      </c>
      <c r="B313" s="7" t="s">
        <v>1604</v>
      </c>
      <c r="C313" s="1" t="s">
        <v>1611</v>
      </c>
    </row>
    <row r="314" spans="1:3" x14ac:dyDescent="0.25">
      <c r="A314" s="6" t="s">
        <v>1481</v>
      </c>
      <c r="B314" s="7" t="s">
        <v>1604</v>
      </c>
      <c r="C314" s="1" t="s">
        <v>1611</v>
      </c>
    </row>
    <row r="315" spans="1:3" x14ac:dyDescent="0.25">
      <c r="A315" s="6" t="s">
        <v>1482</v>
      </c>
      <c r="B315" s="7" t="s">
        <v>1604</v>
      </c>
      <c r="C315" s="1" t="s">
        <v>1611</v>
      </c>
    </row>
    <row r="316" spans="1:3" x14ac:dyDescent="0.25">
      <c r="A316" s="6" t="s">
        <v>1483</v>
      </c>
      <c r="B316" s="7" t="s">
        <v>1604</v>
      </c>
      <c r="C316" s="1" t="s">
        <v>1611</v>
      </c>
    </row>
    <row r="317" spans="1:3" x14ac:dyDescent="0.25">
      <c r="A317" s="6" t="s">
        <v>1484</v>
      </c>
      <c r="B317" s="7" t="s">
        <v>1604</v>
      </c>
      <c r="C317" s="1" t="s">
        <v>1611</v>
      </c>
    </row>
    <row r="318" spans="1:3" x14ac:dyDescent="0.25">
      <c r="A318" s="6" t="s">
        <v>14</v>
      </c>
      <c r="B318" s="7" t="s">
        <v>1604</v>
      </c>
      <c r="C318" s="1" t="s">
        <v>1611</v>
      </c>
    </row>
    <row r="319" spans="1:3" x14ac:dyDescent="0.25">
      <c r="A319" s="6" t="s">
        <v>197</v>
      </c>
      <c r="B319" s="7" t="s">
        <v>1604</v>
      </c>
      <c r="C319" s="1" t="s">
        <v>1611</v>
      </c>
    </row>
    <row r="320" spans="1:3" x14ac:dyDescent="0.25">
      <c r="A320" s="6" t="s">
        <v>1485</v>
      </c>
      <c r="B320" s="7" t="s">
        <v>1604</v>
      </c>
      <c r="C320" s="1" t="s">
        <v>1611</v>
      </c>
    </row>
    <row r="321" spans="1:3" x14ac:dyDescent="0.25">
      <c r="A321" s="6" t="s">
        <v>1486</v>
      </c>
      <c r="B321" s="7" t="s">
        <v>1604</v>
      </c>
      <c r="C321" s="1" t="s">
        <v>1611</v>
      </c>
    </row>
    <row r="322" spans="1:3" x14ac:dyDescent="0.25">
      <c r="A322" s="6" t="s">
        <v>1487</v>
      </c>
      <c r="B322" s="7" t="s">
        <v>1604</v>
      </c>
      <c r="C322" s="1" t="s">
        <v>1611</v>
      </c>
    </row>
    <row r="323" spans="1:3" x14ac:dyDescent="0.25">
      <c r="A323" s="6" t="s">
        <v>1488</v>
      </c>
      <c r="B323" s="7" t="s">
        <v>1604</v>
      </c>
      <c r="C323" s="1" t="s">
        <v>1611</v>
      </c>
    </row>
    <row r="324" spans="1:3" x14ac:dyDescent="0.25">
      <c r="A324" s="6" t="s">
        <v>703</v>
      </c>
      <c r="B324" s="7" t="s">
        <v>1604</v>
      </c>
      <c r="C324" s="1" t="s">
        <v>1611</v>
      </c>
    </row>
    <row r="325" spans="1:3" x14ac:dyDescent="0.25">
      <c r="A325" s="6" t="s">
        <v>1489</v>
      </c>
      <c r="B325" s="7" t="s">
        <v>1604</v>
      </c>
      <c r="C325" s="1" t="s">
        <v>1611</v>
      </c>
    </row>
    <row r="326" spans="1:3" x14ac:dyDescent="0.25">
      <c r="A326" s="6" t="s">
        <v>1076</v>
      </c>
      <c r="B326" s="7" t="s">
        <v>1604</v>
      </c>
      <c r="C326" s="1" t="s">
        <v>1611</v>
      </c>
    </row>
    <row r="327" spans="1:3" x14ac:dyDescent="0.25">
      <c r="A327" s="6" t="s">
        <v>1490</v>
      </c>
      <c r="B327" s="7" t="s">
        <v>1604</v>
      </c>
      <c r="C327" s="1" t="s">
        <v>1611</v>
      </c>
    </row>
    <row r="328" spans="1:3" x14ac:dyDescent="0.25">
      <c r="A328" s="6" t="s">
        <v>1491</v>
      </c>
      <c r="B328" s="7" t="s">
        <v>1604</v>
      </c>
      <c r="C328" s="1" t="s">
        <v>1611</v>
      </c>
    </row>
    <row r="329" spans="1:3" x14ac:dyDescent="0.25">
      <c r="A329" s="6" t="s">
        <v>25</v>
      </c>
      <c r="B329" s="7" t="s">
        <v>1604</v>
      </c>
      <c r="C329" s="1" t="s">
        <v>1611</v>
      </c>
    </row>
    <row r="330" spans="1:3" x14ac:dyDescent="0.25">
      <c r="A330" s="6" t="s">
        <v>231</v>
      </c>
      <c r="B330" s="7" t="s">
        <v>1604</v>
      </c>
      <c r="C330" s="1" t="s">
        <v>1611</v>
      </c>
    </row>
    <row r="331" spans="1:3" x14ac:dyDescent="0.25">
      <c r="A331" s="6" t="s">
        <v>1120</v>
      </c>
      <c r="B331" s="7" t="s">
        <v>1604</v>
      </c>
      <c r="C331" s="1" t="s">
        <v>1611</v>
      </c>
    </row>
    <row r="332" spans="1:3" x14ac:dyDescent="0.25">
      <c r="A332" s="6" t="s">
        <v>1492</v>
      </c>
      <c r="B332" s="7" t="s">
        <v>1604</v>
      </c>
      <c r="C332" s="1" t="s">
        <v>1611</v>
      </c>
    </row>
    <row r="333" spans="1:3" x14ac:dyDescent="0.25">
      <c r="A333" s="6" t="s">
        <v>488</v>
      </c>
      <c r="B333" s="7" t="s">
        <v>1604</v>
      </c>
      <c r="C333" s="1" t="s">
        <v>1611</v>
      </c>
    </row>
    <row r="334" spans="1:3" x14ac:dyDescent="0.25">
      <c r="A334" s="6" t="s">
        <v>810</v>
      </c>
      <c r="B334" s="7" t="s">
        <v>1604</v>
      </c>
      <c r="C334" s="1" t="s">
        <v>1611</v>
      </c>
    </row>
    <row r="335" spans="1:3" x14ac:dyDescent="0.25">
      <c r="A335" s="6" t="s">
        <v>517</v>
      </c>
      <c r="B335" s="7" t="s">
        <v>1604</v>
      </c>
      <c r="C335" s="1" t="s">
        <v>1609</v>
      </c>
    </row>
    <row r="336" spans="1:3" x14ac:dyDescent="0.25">
      <c r="A336" s="6" t="s">
        <v>1493</v>
      </c>
      <c r="B336" s="7" t="s">
        <v>1604</v>
      </c>
      <c r="C336" s="1" t="s">
        <v>1611</v>
      </c>
    </row>
    <row r="337" spans="1:3" x14ac:dyDescent="0.25">
      <c r="A337" s="6" t="s">
        <v>1494</v>
      </c>
      <c r="B337" s="7" t="s">
        <v>1604</v>
      </c>
      <c r="C337" s="1" t="s">
        <v>1611</v>
      </c>
    </row>
    <row r="338" spans="1:3" x14ac:dyDescent="0.25">
      <c r="A338" s="6" t="s">
        <v>1495</v>
      </c>
      <c r="B338" s="7" t="s">
        <v>1604</v>
      </c>
      <c r="C338" s="1" t="s">
        <v>1611</v>
      </c>
    </row>
    <row r="339" spans="1:3" x14ac:dyDescent="0.25">
      <c r="A339" s="6" t="s">
        <v>1496</v>
      </c>
      <c r="B339" s="7" t="s">
        <v>1604</v>
      </c>
      <c r="C339" s="1" t="s">
        <v>1611</v>
      </c>
    </row>
    <row r="340" spans="1:3" x14ac:dyDescent="0.25">
      <c r="A340" s="6" t="s">
        <v>1497</v>
      </c>
      <c r="B340" s="7" t="s">
        <v>1604</v>
      </c>
      <c r="C340" s="1" t="s">
        <v>1611</v>
      </c>
    </row>
    <row r="341" spans="1:3" x14ac:dyDescent="0.25">
      <c r="A341" s="6" t="s">
        <v>1498</v>
      </c>
      <c r="B341" s="7" t="s">
        <v>1604</v>
      </c>
      <c r="C341" s="1" t="s">
        <v>1611</v>
      </c>
    </row>
    <row r="342" spans="1:3" x14ac:dyDescent="0.25">
      <c r="A342" s="6" t="s">
        <v>1499</v>
      </c>
      <c r="B342" s="7" t="s">
        <v>1604</v>
      </c>
      <c r="C342" s="1" t="s">
        <v>1611</v>
      </c>
    </row>
    <row r="343" spans="1:3" x14ac:dyDescent="0.25">
      <c r="A343" s="6" t="s">
        <v>1500</v>
      </c>
      <c r="B343" s="7" t="s">
        <v>1604</v>
      </c>
      <c r="C343" s="1" t="s">
        <v>1609</v>
      </c>
    </row>
    <row r="344" spans="1:3" x14ac:dyDescent="0.25">
      <c r="A344" s="6" t="s">
        <v>1501</v>
      </c>
      <c r="B344" s="7" t="s">
        <v>1604</v>
      </c>
      <c r="C344" s="1" t="s">
        <v>1611</v>
      </c>
    </row>
    <row r="345" spans="1:3" x14ac:dyDescent="0.25">
      <c r="A345" s="6" t="s">
        <v>658</v>
      </c>
      <c r="B345" s="7" t="s">
        <v>1604</v>
      </c>
      <c r="C345" s="1" t="s">
        <v>1611</v>
      </c>
    </row>
    <row r="346" spans="1:3" x14ac:dyDescent="0.25">
      <c r="A346" s="6" t="s">
        <v>495</v>
      </c>
      <c r="B346" s="7" t="s">
        <v>1604</v>
      </c>
      <c r="C346" s="1" t="s">
        <v>1611</v>
      </c>
    </row>
    <row r="347" spans="1:3" x14ac:dyDescent="0.25">
      <c r="A347" s="6" t="s">
        <v>250</v>
      </c>
      <c r="B347" s="7" t="s">
        <v>1604</v>
      </c>
      <c r="C347" s="1" t="s">
        <v>1611</v>
      </c>
    </row>
    <row r="348" spans="1:3" x14ac:dyDescent="0.25">
      <c r="A348" s="6" t="s">
        <v>1502</v>
      </c>
      <c r="B348" s="7" t="s">
        <v>1604</v>
      </c>
      <c r="C348" s="1" t="s">
        <v>1609</v>
      </c>
    </row>
    <row r="349" spans="1:3" x14ac:dyDescent="0.25">
      <c r="A349" s="6" t="s">
        <v>345</v>
      </c>
      <c r="B349" s="7" t="s">
        <v>1604</v>
      </c>
      <c r="C349" s="1" t="s">
        <v>1611</v>
      </c>
    </row>
    <row r="350" spans="1:3" x14ac:dyDescent="0.25">
      <c r="A350" s="6" t="s">
        <v>135</v>
      </c>
      <c r="B350" s="7" t="s">
        <v>1604</v>
      </c>
      <c r="C350" s="1" t="s">
        <v>1611</v>
      </c>
    </row>
    <row r="351" spans="1:3" x14ac:dyDescent="0.25">
      <c r="A351" s="6" t="s">
        <v>928</v>
      </c>
      <c r="B351" s="7" t="s">
        <v>1604</v>
      </c>
      <c r="C351" s="1" t="s">
        <v>1611</v>
      </c>
    </row>
    <row r="352" spans="1:3" x14ac:dyDescent="0.25">
      <c r="A352" s="6" t="s">
        <v>1503</v>
      </c>
      <c r="B352" s="7" t="s">
        <v>1604</v>
      </c>
      <c r="C352" s="1" t="s">
        <v>1611</v>
      </c>
    </row>
    <row r="353" spans="1:3" x14ac:dyDescent="0.25">
      <c r="A353" s="6" t="s">
        <v>1504</v>
      </c>
      <c r="B353" s="7" t="s">
        <v>1604</v>
      </c>
      <c r="C353" s="1" t="s">
        <v>1611</v>
      </c>
    </row>
    <row r="354" spans="1:3" x14ac:dyDescent="0.25">
      <c r="A354" s="6" t="s">
        <v>1505</v>
      </c>
      <c r="B354" s="7" t="s">
        <v>1604</v>
      </c>
      <c r="C354" s="1" t="s">
        <v>1611</v>
      </c>
    </row>
    <row r="355" spans="1:3" x14ac:dyDescent="0.25">
      <c r="A355" s="6" t="s">
        <v>1506</v>
      </c>
      <c r="B355" s="7" t="s">
        <v>1604</v>
      </c>
      <c r="C355" s="1" t="s">
        <v>1611</v>
      </c>
    </row>
    <row r="356" spans="1:3" x14ac:dyDescent="0.25">
      <c r="A356" s="6" t="s">
        <v>1507</v>
      </c>
      <c r="B356" s="7" t="s">
        <v>1604</v>
      </c>
      <c r="C356" s="1" t="s">
        <v>1611</v>
      </c>
    </row>
    <row r="357" spans="1:3" x14ac:dyDescent="0.25">
      <c r="A357" s="6" t="s">
        <v>22</v>
      </c>
      <c r="B357" s="7" t="s">
        <v>1604</v>
      </c>
      <c r="C357" s="1" t="s">
        <v>1611</v>
      </c>
    </row>
    <row r="358" spans="1:3" x14ac:dyDescent="0.25">
      <c r="A358" s="6" t="s">
        <v>1508</v>
      </c>
      <c r="B358" s="7" t="s">
        <v>1604</v>
      </c>
      <c r="C358" s="1" t="s">
        <v>1611</v>
      </c>
    </row>
    <row r="359" spans="1:3" x14ac:dyDescent="0.25">
      <c r="A359" s="6" t="s">
        <v>1509</v>
      </c>
      <c r="B359" s="7" t="s">
        <v>1604</v>
      </c>
      <c r="C359" s="1" t="s">
        <v>1611</v>
      </c>
    </row>
    <row r="360" spans="1:3" x14ac:dyDescent="0.25">
      <c r="A360" s="6" t="s">
        <v>1510</v>
      </c>
      <c r="B360" s="7" t="s">
        <v>1604</v>
      </c>
      <c r="C360" s="1" t="s">
        <v>1611</v>
      </c>
    </row>
    <row r="361" spans="1:3" x14ac:dyDescent="0.25">
      <c r="A361" s="6" t="s">
        <v>1511</v>
      </c>
      <c r="B361" s="7" t="s">
        <v>1604</v>
      </c>
      <c r="C361" s="1" t="s">
        <v>1611</v>
      </c>
    </row>
    <row r="362" spans="1:3" x14ac:dyDescent="0.25">
      <c r="A362" s="6" t="s">
        <v>1512</v>
      </c>
      <c r="B362" s="7" t="s">
        <v>1604</v>
      </c>
      <c r="C362" s="1" t="s">
        <v>1611</v>
      </c>
    </row>
    <row r="363" spans="1:3" x14ac:dyDescent="0.25">
      <c r="A363" s="6" t="s">
        <v>7</v>
      </c>
      <c r="B363" s="7" t="s">
        <v>1604</v>
      </c>
      <c r="C363" s="1" t="s">
        <v>1611</v>
      </c>
    </row>
    <row r="364" spans="1:3" x14ac:dyDescent="0.25">
      <c r="A364" s="6" t="s">
        <v>58</v>
      </c>
      <c r="B364" s="7" t="s">
        <v>1604</v>
      </c>
      <c r="C364" s="1" t="s">
        <v>1611</v>
      </c>
    </row>
    <row r="365" spans="1:3" x14ac:dyDescent="0.25">
      <c r="A365" s="6" t="s">
        <v>482</v>
      </c>
      <c r="B365" s="7" t="s">
        <v>1604</v>
      </c>
      <c r="C365" s="1" t="s">
        <v>1611</v>
      </c>
    </row>
    <row r="366" spans="1:3" x14ac:dyDescent="0.25">
      <c r="A366" s="6" t="s">
        <v>1513</v>
      </c>
      <c r="B366" s="7" t="s">
        <v>1604</v>
      </c>
      <c r="C366" s="1" t="s">
        <v>1611</v>
      </c>
    </row>
    <row r="367" spans="1:3" x14ac:dyDescent="0.25">
      <c r="A367" s="6" t="s">
        <v>1514</v>
      </c>
      <c r="B367" s="7" t="s">
        <v>1604</v>
      </c>
      <c r="C367" s="1" t="s">
        <v>1611</v>
      </c>
    </row>
    <row r="368" spans="1:3" x14ac:dyDescent="0.25">
      <c r="A368" s="6" t="s">
        <v>1515</v>
      </c>
      <c r="B368" s="7" t="s">
        <v>1604</v>
      </c>
      <c r="C368" s="1" t="s">
        <v>1611</v>
      </c>
    </row>
    <row r="369" spans="1:3" x14ac:dyDescent="0.25">
      <c r="A369" s="6" t="s">
        <v>1516</v>
      </c>
      <c r="B369" s="7" t="s">
        <v>1604</v>
      </c>
      <c r="C369" s="1" t="s">
        <v>1611</v>
      </c>
    </row>
    <row r="370" spans="1:3" x14ac:dyDescent="0.25">
      <c r="A370" s="6" t="s">
        <v>1517</v>
      </c>
      <c r="B370" s="7" t="s">
        <v>1604</v>
      </c>
      <c r="C370" s="1" t="s">
        <v>1611</v>
      </c>
    </row>
    <row r="371" spans="1:3" x14ac:dyDescent="0.25">
      <c r="A371" s="6" t="s">
        <v>1518</v>
      </c>
      <c r="B371" s="7" t="s">
        <v>1604</v>
      </c>
      <c r="C371" s="1" t="s">
        <v>1611</v>
      </c>
    </row>
    <row r="372" spans="1:3" x14ac:dyDescent="0.25">
      <c r="A372" s="6" t="s">
        <v>1519</v>
      </c>
      <c r="B372" s="7" t="s">
        <v>1604</v>
      </c>
      <c r="C372" s="1" t="s">
        <v>1611</v>
      </c>
    </row>
    <row r="373" spans="1:3" x14ac:dyDescent="0.25">
      <c r="A373" s="6" t="s">
        <v>1520</v>
      </c>
      <c r="B373" s="7" t="s">
        <v>1604</v>
      </c>
      <c r="C373" s="1" t="s">
        <v>1611</v>
      </c>
    </row>
    <row r="374" spans="1:3" x14ac:dyDescent="0.25">
      <c r="A374" s="6" t="s">
        <v>59</v>
      </c>
      <c r="B374" s="7" t="s">
        <v>1604</v>
      </c>
      <c r="C374" s="1" t="s">
        <v>1611</v>
      </c>
    </row>
    <row r="375" spans="1:3" x14ac:dyDescent="0.25">
      <c r="A375" s="6" t="s">
        <v>198</v>
      </c>
      <c r="B375" s="7" t="s">
        <v>1604</v>
      </c>
      <c r="C375" s="1" t="s">
        <v>1611</v>
      </c>
    </row>
    <row r="376" spans="1:3" x14ac:dyDescent="0.25">
      <c r="A376" s="6" t="s">
        <v>1521</v>
      </c>
      <c r="B376" s="7" t="s">
        <v>1604</v>
      </c>
      <c r="C376" s="1" t="s">
        <v>1611</v>
      </c>
    </row>
    <row r="377" spans="1:3" x14ac:dyDescent="0.25">
      <c r="A377" s="6" t="s">
        <v>1522</v>
      </c>
      <c r="B377" s="7" t="s">
        <v>1604</v>
      </c>
      <c r="C377" s="1" t="s">
        <v>1611</v>
      </c>
    </row>
    <row r="378" spans="1:3" x14ac:dyDescent="0.25">
      <c r="A378" s="6" t="s">
        <v>1523</v>
      </c>
      <c r="B378" s="7" t="s">
        <v>1604</v>
      </c>
      <c r="C378" s="1" t="s">
        <v>1611</v>
      </c>
    </row>
    <row r="379" spans="1:3" x14ac:dyDescent="0.25">
      <c r="A379" s="6" t="s">
        <v>1524</v>
      </c>
      <c r="B379" s="7" t="s">
        <v>1604</v>
      </c>
      <c r="C379" s="1" t="s">
        <v>1611</v>
      </c>
    </row>
    <row r="380" spans="1:3" x14ac:dyDescent="0.25">
      <c r="A380" s="6" t="s">
        <v>1228</v>
      </c>
      <c r="B380" s="7" t="s">
        <v>1604</v>
      </c>
      <c r="C380" s="1" t="s">
        <v>1611</v>
      </c>
    </row>
    <row r="381" spans="1:3" x14ac:dyDescent="0.25">
      <c r="A381" s="6" t="s">
        <v>1525</v>
      </c>
      <c r="B381" s="7" t="s">
        <v>1604</v>
      </c>
      <c r="C381" s="1" t="s">
        <v>1611</v>
      </c>
    </row>
    <row r="382" spans="1:3" x14ac:dyDescent="0.25">
      <c r="A382" s="6" t="s">
        <v>1526</v>
      </c>
      <c r="B382" s="7" t="s">
        <v>1604</v>
      </c>
      <c r="C382" s="1" t="s">
        <v>1611</v>
      </c>
    </row>
    <row r="383" spans="1:3" x14ac:dyDescent="0.25">
      <c r="A383" s="6" t="s">
        <v>1527</v>
      </c>
      <c r="B383" s="7" t="s">
        <v>1604</v>
      </c>
      <c r="C383" s="1" t="s">
        <v>1611</v>
      </c>
    </row>
    <row r="384" spans="1:3" x14ac:dyDescent="0.25">
      <c r="A384" s="6" t="s">
        <v>849</v>
      </c>
      <c r="B384" s="7" t="s">
        <v>1604</v>
      </c>
      <c r="C384" s="1" t="s">
        <v>1611</v>
      </c>
    </row>
    <row r="385" spans="1:3" x14ac:dyDescent="0.25">
      <c r="A385" s="6" t="s">
        <v>1528</v>
      </c>
      <c r="B385" s="7" t="s">
        <v>1604</v>
      </c>
      <c r="C385" s="1" t="s">
        <v>1611</v>
      </c>
    </row>
    <row r="386" spans="1:3" x14ac:dyDescent="0.25">
      <c r="A386" s="6" t="s">
        <v>1529</v>
      </c>
      <c r="B386" s="7" t="s">
        <v>1604</v>
      </c>
      <c r="C386" s="1" t="s">
        <v>1611</v>
      </c>
    </row>
    <row r="387" spans="1:3" x14ac:dyDescent="0.25">
      <c r="A387" s="6" t="s">
        <v>1530</v>
      </c>
      <c r="B387" s="7" t="s">
        <v>1604</v>
      </c>
      <c r="C387" s="1" t="s">
        <v>1611</v>
      </c>
    </row>
    <row r="388" spans="1:3" x14ac:dyDescent="0.25">
      <c r="A388" s="6" t="s">
        <v>1531</v>
      </c>
      <c r="B388" s="7" t="s">
        <v>1604</v>
      </c>
      <c r="C388" s="1" t="s">
        <v>1611</v>
      </c>
    </row>
    <row r="389" spans="1:3" x14ac:dyDescent="0.25">
      <c r="A389" s="6" t="s">
        <v>1532</v>
      </c>
      <c r="B389" s="7" t="s">
        <v>1604</v>
      </c>
      <c r="C389" s="1" t="s">
        <v>1611</v>
      </c>
    </row>
    <row r="390" spans="1:3" x14ac:dyDescent="0.25">
      <c r="A390" s="6" t="s">
        <v>1533</v>
      </c>
      <c r="B390" s="7" t="s">
        <v>1604</v>
      </c>
      <c r="C390" s="1" t="s">
        <v>1611</v>
      </c>
    </row>
    <row r="391" spans="1:3" x14ac:dyDescent="0.25">
      <c r="A391" s="6" t="s">
        <v>667</v>
      </c>
      <c r="B391" s="7" t="s">
        <v>1604</v>
      </c>
      <c r="C391" s="1" t="s">
        <v>1611</v>
      </c>
    </row>
    <row r="392" spans="1:3" x14ac:dyDescent="0.25">
      <c r="A392" s="6" t="s">
        <v>1143</v>
      </c>
      <c r="B392" s="7" t="s">
        <v>1604</v>
      </c>
      <c r="C392" s="1" t="s">
        <v>1611</v>
      </c>
    </row>
    <row r="393" spans="1:3" x14ac:dyDescent="0.25">
      <c r="A393" s="6" t="s">
        <v>38</v>
      </c>
      <c r="B393" s="7" t="s">
        <v>1604</v>
      </c>
      <c r="C393" s="1" t="s">
        <v>1611</v>
      </c>
    </row>
    <row r="394" spans="1:3" x14ac:dyDescent="0.25">
      <c r="A394" s="6" t="s">
        <v>1534</v>
      </c>
      <c r="B394" s="7" t="s">
        <v>1604</v>
      </c>
      <c r="C394" s="1" t="s">
        <v>1611</v>
      </c>
    </row>
    <row r="395" spans="1:3" x14ac:dyDescent="0.25">
      <c r="A395" s="6" t="s">
        <v>1535</v>
      </c>
      <c r="B395" s="7" t="s">
        <v>1604</v>
      </c>
      <c r="C395" s="1" t="s">
        <v>1611</v>
      </c>
    </row>
    <row r="396" spans="1:3" x14ac:dyDescent="0.25">
      <c r="A396" s="6" t="s">
        <v>1536</v>
      </c>
      <c r="B396" s="7" t="s">
        <v>1604</v>
      </c>
      <c r="C396" s="1" t="s">
        <v>1611</v>
      </c>
    </row>
    <row r="397" spans="1:3" x14ac:dyDescent="0.25">
      <c r="A397" s="6" t="s">
        <v>69</v>
      </c>
      <c r="B397" s="7" t="s">
        <v>1604</v>
      </c>
      <c r="C397" s="1" t="s">
        <v>1611</v>
      </c>
    </row>
    <row r="398" spans="1:3" x14ac:dyDescent="0.25">
      <c r="A398" s="6" t="s">
        <v>1537</v>
      </c>
      <c r="B398" s="7" t="s">
        <v>1604</v>
      </c>
      <c r="C398" s="1" t="s">
        <v>1611</v>
      </c>
    </row>
    <row r="399" spans="1:3" x14ac:dyDescent="0.25">
      <c r="A399" s="6" t="s">
        <v>1538</v>
      </c>
      <c r="B399" s="7" t="s">
        <v>1604</v>
      </c>
      <c r="C399" s="1" t="s">
        <v>1611</v>
      </c>
    </row>
    <row r="400" spans="1:3" x14ac:dyDescent="0.25">
      <c r="A400" s="6" t="s">
        <v>1539</v>
      </c>
      <c r="B400" s="7" t="s">
        <v>1604</v>
      </c>
      <c r="C400" s="1" t="s">
        <v>1611</v>
      </c>
    </row>
    <row r="401" spans="1:3" x14ac:dyDescent="0.25">
      <c r="A401" s="6" t="s">
        <v>1540</v>
      </c>
      <c r="B401" s="7" t="s">
        <v>1604</v>
      </c>
      <c r="C401" s="1" t="s">
        <v>1611</v>
      </c>
    </row>
    <row r="402" spans="1:3" x14ac:dyDescent="0.25">
      <c r="A402" s="6" t="s">
        <v>1541</v>
      </c>
      <c r="B402" s="7" t="s">
        <v>1604</v>
      </c>
      <c r="C402" s="1" t="s">
        <v>1611</v>
      </c>
    </row>
    <row r="403" spans="1:3" x14ac:dyDescent="0.25">
      <c r="A403" s="6" t="s">
        <v>1542</v>
      </c>
      <c r="B403" s="7" t="s">
        <v>1604</v>
      </c>
      <c r="C403" s="1" t="s">
        <v>1611</v>
      </c>
    </row>
    <row r="404" spans="1:3" x14ac:dyDescent="0.25">
      <c r="A404" s="6" t="s">
        <v>288</v>
      </c>
      <c r="B404" s="7" t="s">
        <v>1604</v>
      </c>
      <c r="C404" s="1" t="s">
        <v>1611</v>
      </c>
    </row>
    <row r="405" spans="1:3" x14ac:dyDescent="0.25">
      <c r="A405" s="6" t="s">
        <v>791</v>
      </c>
      <c r="B405" s="7" t="s">
        <v>1604</v>
      </c>
      <c r="C405" s="1" t="s">
        <v>1611</v>
      </c>
    </row>
    <row r="406" spans="1:3" x14ac:dyDescent="0.25">
      <c r="A406" s="6" t="s">
        <v>1543</v>
      </c>
      <c r="B406" s="7" t="s">
        <v>1604</v>
      </c>
      <c r="C406" s="1" t="s">
        <v>1611</v>
      </c>
    </row>
    <row r="407" spans="1:3" x14ac:dyDescent="0.25">
      <c r="A407" s="6" t="s">
        <v>1544</v>
      </c>
      <c r="B407" s="7" t="s">
        <v>1604</v>
      </c>
      <c r="C407" s="1" t="s">
        <v>1611</v>
      </c>
    </row>
    <row r="408" spans="1:3" x14ac:dyDescent="0.25">
      <c r="A408" s="6" t="s">
        <v>1545</v>
      </c>
      <c r="B408" s="7" t="s">
        <v>1604</v>
      </c>
      <c r="C408" s="1" t="s">
        <v>1611</v>
      </c>
    </row>
    <row r="409" spans="1:3" x14ac:dyDescent="0.25">
      <c r="A409" s="6" t="s">
        <v>1546</v>
      </c>
      <c r="B409" s="7" t="s">
        <v>1604</v>
      </c>
      <c r="C409" s="1" t="s">
        <v>1611</v>
      </c>
    </row>
    <row r="410" spans="1:3" x14ac:dyDescent="0.25">
      <c r="A410" s="6" t="s">
        <v>1547</v>
      </c>
      <c r="B410" s="7" t="s">
        <v>1604</v>
      </c>
      <c r="C410" s="1" t="s">
        <v>1611</v>
      </c>
    </row>
    <row r="411" spans="1:3" x14ac:dyDescent="0.25">
      <c r="A411" s="6" t="s">
        <v>850</v>
      </c>
      <c r="B411" s="7" t="s">
        <v>1604</v>
      </c>
      <c r="C411" s="1" t="s">
        <v>1611</v>
      </c>
    </row>
    <row r="412" spans="1:3" x14ac:dyDescent="0.25">
      <c r="A412" s="6" t="s">
        <v>214</v>
      </c>
      <c r="B412" s="7" t="s">
        <v>1604</v>
      </c>
      <c r="C412" s="1" t="s">
        <v>1611</v>
      </c>
    </row>
    <row r="413" spans="1:3" x14ac:dyDescent="0.25">
      <c r="A413" s="6" t="s">
        <v>1548</v>
      </c>
      <c r="B413" s="7" t="s">
        <v>1604</v>
      </c>
      <c r="C413" s="1" t="s">
        <v>1611</v>
      </c>
    </row>
    <row r="414" spans="1:3" x14ac:dyDescent="0.25">
      <c r="A414" s="6" t="s">
        <v>1549</v>
      </c>
      <c r="B414" s="7" t="s">
        <v>1604</v>
      </c>
      <c r="C414" s="1" t="s">
        <v>1611</v>
      </c>
    </row>
    <row r="415" spans="1:3" x14ac:dyDescent="0.25">
      <c r="A415" s="6" t="s">
        <v>1550</v>
      </c>
      <c r="B415" s="7" t="s">
        <v>1604</v>
      </c>
      <c r="C415" s="1" t="s">
        <v>1611</v>
      </c>
    </row>
    <row r="416" spans="1:3" x14ac:dyDescent="0.25">
      <c r="A416" s="6" t="s">
        <v>798</v>
      </c>
      <c r="B416" s="7" t="s">
        <v>1604</v>
      </c>
      <c r="C416" s="1" t="s">
        <v>1611</v>
      </c>
    </row>
    <row r="417" spans="1:3" x14ac:dyDescent="0.25">
      <c r="A417" s="6" t="s">
        <v>1188</v>
      </c>
      <c r="B417" s="7" t="s">
        <v>1604</v>
      </c>
      <c r="C417" s="1" t="s">
        <v>1611</v>
      </c>
    </row>
    <row r="418" spans="1:3" x14ac:dyDescent="0.25">
      <c r="A418" s="6" t="s">
        <v>1081</v>
      </c>
      <c r="B418" s="7" t="s">
        <v>1604</v>
      </c>
      <c r="C418" s="1" t="s">
        <v>1611</v>
      </c>
    </row>
    <row r="419" spans="1:3" x14ac:dyDescent="0.25">
      <c r="A419" s="6" t="s">
        <v>477</v>
      </c>
      <c r="B419" s="7" t="s">
        <v>1604</v>
      </c>
      <c r="C419" s="1" t="s">
        <v>1611</v>
      </c>
    </row>
    <row r="420" spans="1:3" x14ac:dyDescent="0.25">
      <c r="A420" s="6" t="s">
        <v>1551</v>
      </c>
      <c r="B420" s="7" t="s">
        <v>1604</v>
      </c>
      <c r="C420" s="1" t="s">
        <v>1611</v>
      </c>
    </row>
    <row r="421" spans="1:3" x14ac:dyDescent="0.25">
      <c r="A421" s="6" t="s">
        <v>1206</v>
      </c>
      <c r="B421" s="7" t="s">
        <v>1604</v>
      </c>
      <c r="C421" s="1" t="s">
        <v>1611</v>
      </c>
    </row>
    <row r="422" spans="1:3" x14ac:dyDescent="0.25">
      <c r="A422" s="6" t="s">
        <v>1224</v>
      </c>
      <c r="B422" s="7" t="s">
        <v>1604</v>
      </c>
      <c r="C422" s="1" t="s">
        <v>1611</v>
      </c>
    </row>
    <row r="423" spans="1:3" x14ac:dyDescent="0.25">
      <c r="A423" s="6" t="s">
        <v>1552</v>
      </c>
      <c r="B423" s="7" t="s">
        <v>1604</v>
      </c>
      <c r="C423" s="1" t="s">
        <v>1611</v>
      </c>
    </row>
    <row r="424" spans="1:3" x14ac:dyDescent="0.25">
      <c r="A424" s="6" t="s">
        <v>1553</v>
      </c>
      <c r="B424" s="7" t="s">
        <v>1604</v>
      </c>
      <c r="C424" s="1" t="s">
        <v>1611</v>
      </c>
    </row>
    <row r="425" spans="1:3" x14ac:dyDescent="0.25">
      <c r="A425" s="6" t="s">
        <v>579</v>
      </c>
      <c r="B425" s="7" t="s">
        <v>1604</v>
      </c>
      <c r="C425" s="1" t="s">
        <v>1611</v>
      </c>
    </row>
    <row r="426" spans="1:3" x14ac:dyDescent="0.25">
      <c r="A426" s="6" t="s">
        <v>1554</v>
      </c>
      <c r="B426" s="7" t="s">
        <v>1604</v>
      </c>
      <c r="C426" s="1" t="s">
        <v>1611</v>
      </c>
    </row>
    <row r="427" spans="1:3" x14ac:dyDescent="0.25">
      <c r="A427" s="6" t="s">
        <v>1555</v>
      </c>
      <c r="B427" s="7" t="s">
        <v>1604</v>
      </c>
      <c r="C427" s="1" t="s">
        <v>1611</v>
      </c>
    </row>
    <row r="428" spans="1:3" x14ac:dyDescent="0.25">
      <c r="A428" s="6" t="s">
        <v>1556</v>
      </c>
      <c r="B428" s="7" t="s">
        <v>1604</v>
      </c>
      <c r="C428" s="1" t="s">
        <v>1611</v>
      </c>
    </row>
    <row r="429" spans="1:3" x14ac:dyDescent="0.25">
      <c r="A429" s="6" t="s">
        <v>1557</v>
      </c>
      <c r="B429" s="7" t="s">
        <v>1604</v>
      </c>
      <c r="C429" s="1" t="s">
        <v>1611</v>
      </c>
    </row>
    <row r="430" spans="1:3" x14ac:dyDescent="0.25">
      <c r="A430" s="6" t="s">
        <v>1104</v>
      </c>
      <c r="B430" s="7" t="s">
        <v>1604</v>
      </c>
      <c r="C430" s="1" t="s">
        <v>1611</v>
      </c>
    </row>
    <row r="431" spans="1:3" x14ac:dyDescent="0.25">
      <c r="A431" s="6" t="s">
        <v>1558</v>
      </c>
      <c r="B431" s="7" t="s">
        <v>1604</v>
      </c>
      <c r="C431" s="1" t="s">
        <v>1611</v>
      </c>
    </row>
    <row r="432" spans="1:3" x14ac:dyDescent="0.25">
      <c r="A432" s="6" t="s">
        <v>589</v>
      </c>
      <c r="B432" s="7" t="s">
        <v>1604</v>
      </c>
      <c r="C432" s="1" t="s">
        <v>1611</v>
      </c>
    </row>
    <row r="433" spans="1:3" x14ac:dyDescent="0.25">
      <c r="A433" s="6" t="s">
        <v>1559</v>
      </c>
      <c r="B433" s="7" t="s">
        <v>1604</v>
      </c>
      <c r="C433" s="1" t="s">
        <v>1611</v>
      </c>
    </row>
    <row r="434" spans="1:3" x14ac:dyDescent="0.25">
      <c r="A434" s="6" t="s">
        <v>1250</v>
      </c>
      <c r="B434" s="7" t="s">
        <v>1604</v>
      </c>
      <c r="C434" s="1" t="s">
        <v>1611</v>
      </c>
    </row>
    <row r="435" spans="1:3" x14ac:dyDescent="0.25">
      <c r="A435" s="6" t="s">
        <v>1560</v>
      </c>
      <c r="B435" s="7" t="s">
        <v>1604</v>
      </c>
      <c r="C435" s="1" t="s">
        <v>1611</v>
      </c>
    </row>
    <row r="436" spans="1:3" x14ac:dyDescent="0.25">
      <c r="A436" s="6" t="s">
        <v>552</v>
      </c>
      <c r="B436" s="7" t="s">
        <v>1604</v>
      </c>
      <c r="C436" s="1" t="s">
        <v>1609</v>
      </c>
    </row>
    <row r="437" spans="1:3" x14ac:dyDescent="0.25">
      <c r="A437" s="6" t="s">
        <v>1561</v>
      </c>
      <c r="B437" s="7" t="s">
        <v>1604</v>
      </c>
      <c r="C437" s="1" t="s">
        <v>1611</v>
      </c>
    </row>
    <row r="438" spans="1:3" x14ac:dyDescent="0.25">
      <c r="A438" s="6" t="s">
        <v>1562</v>
      </c>
      <c r="B438" s="7" t="s">
        <v>1604</v>
      </c>
      <c r="C438" s="1" t="s">
        <v>1611</v>
      </c>
    </row>
    <row r="439" spans="1:3" x14ac:dyDescent="0.25">
      <c r="A439" s="6" t="s">
        <v>1563</v>
      </c>
      <c r="B439" s="7" t="s">
        <v>1604</v>
      </c>
      <c r="C439" s="1" t="s">
        <v>1611</v>
      </c>
    </row>
    <row r="440" spans="1:3" x14ac:dyDescent="0.25">
      <c r="A440" s="6" t="s">
        <v>1564</v>
      </c>
      <c r="B440" s="7" t="s">
        <v>1604</v>
      </c>
      <c r="C440" s="1" t="s">
        <v>1611</v>
      </c>
    </row>
    <row r="441" spans="1:3" x14ac:dyDescent="0.25">
      <c r="A441" s="6" t="s">
        <v>1183</v>
      </c>
      <c r="B441" s="7" t="s">
        <v>1604</v>
      </c>
      <c r="C441" s="1" t="s">
        <v>1609</v>
      </c>
    </row>
    <row r="442" spans="1:3" x14ac:dyDescent="0.25">
      <c r="A442" s="6" t="s">
        <v>36</v>
      </c>
      <c r="B442" s="7" t="s">
        <v>1604</v>
      </c>
      <c r="C442" s="1" t="s">
        <v>1611</v>
      </c>
    </row>
    <row r="443" spans="1:3" x14ac:dyDescent="0.25">
      <c r="A443" s="6" t="s">
        <v>527</v>
      </c>
      <c r="B443" s="7" t="s">
        <v>1604</v>
      </c>
      <c r="C443" s="1" t="s">
        <v>1611</v>
      </c>
    </row>
    <row r="444" spans="1:3" x14ac:dyDescent="0.25">
      <c r="A444" s="6" t="s">
        <v>948</v>
      </c>
      <c r="B444" s="7" t="s">
        <v>1604</v>
      </c>
      <c r="C444" s="1" t="s">
        <v>1611</v>
      </c>
    </row>
    <row r="445" spans="1:3" x14ac:dyDescent="0.25">
      <c r="A445" s="6" t="s">
        <v>1565</v>
      </c>
      <c r="B445" s="7" t="s">
        <v>1604</v>
      </c>
      <c r="C445" s="1" t="s">
        <v>1611</v>
      </c>
    </row>
    <row r="446" spans="1:3" x14ac:dyDescent="0.25">
      <c r="A446" s="6" t="s">
        <v>1566</v>
      </c>
      <c r="B446" s="7" t="s">
        <v>1604</v>
      </c>
      <c r="C446" s="1" t="s">
        <v>1611</v>
      </c>
    </row>
    <row r="447" spans="1:3" x14ac:dyDescent="0.25">
      <c r="A447" s="6" t="s">
        <v>659</v>
      </c>
      <c r="B447" s="7" t="s">
        <v>1604</v>
      </c>
      <c r="C447" s="1" t="s">
        <v>1611</v>
      </c>
    </row>
    <row r="448" spans="1:3" x14ac:dyDescent="0.25">
      <c r="A448" s="6" t="s">
        <v>1567</v>
      </c>
      <c r="B448" s="7" t="s">
        <v>1604</v>
      </c>
      <c r="C448" s="1" t="s">
        <v>1611</v>
      </c>
    </row>
    <row r="449" spans="1:3" x14ac:dyDescent="0.25">
      <c r="A449" s="6" t="s">
        <v>1568</v>
      </c>
      <c r="B449" s="7" t="s">
        <v>1604</v>
      </c>
      <c r="C449" s="1" t="s">
        <v>1611</v>
      </c>
    </row>
    <row r="450" spans="1:3" x14ac:dyDescent="0.25">
      <c r="A450" s="6" t="s">
        <v>1190</v>
      </c>
      <c r="B450" s="7" t="s">
        <v>1604</v>
      </c>
      <c r="C450" s="1" t="s">
        <v>1611</v>
      </c>
    </row>
    <row r="451" spans="1:3" x14ac:dyDescent="0.25">
      <c r="A451" s="6" t="s">
        <v>1569</v>
      </c>
      <c r="B451" s="7" t="s">
        <v>1604</v>
      </c>
      <c r="C451" s="1" t="s">
        <v>1611</v>
      </c>
    </row>
    <row r="452" spans="1:3" x14ac:dyDescent="0.25">
      <c r="A452" s="6" t="s">
        <v>437</v>
      </c>
      <c r="B452" s="7" t="s">
        <v>1604</v>
      </c>
      <c r="C452" s="1" t="s">
        <v>1611</v>
      </c>
    </row>
    <row r="453" spans="1:3" x14ac:dyDescent="0.25">
      <c r="A453" s="6" t="s">
        <v>1570</v>
      </c>
      <c r="B453" s="7" t="s">
        <v>1604</v>
      </c>
      <c r="C453" s="1" t="s">
        <v>1611</v>
      </c>
    </row>
    <row r="454" spans="1:3" x14ac:dyDescent="0.25">
      <c r="A454" s="6" t="s">
        <v>566</v>
      </c>
      <c r="B454" s="7" t="s">
        <v>1604</v>
      </c>
      <c r="C454" s="1" t="s">
        <v>1611</v>
      </c>
    </row>
    <row r="455" spans="1:3" x14ac:dyDescent="0.25">
      <c r="A455" s="6" t="s">
        <v>640</v>
      </c>
      <c r="B455" s="7" t="s">
        <v>1604</v>
      </c>
      <c r="C455" s="1" t="s">
        <v>1611</v>
      </c>
    </row>
    <row r="456" spans="1:3" x14ac:dyDescent="0.25">
      <c r="A456" s="6" t="s">
        <v>242</v>
      </c>
      <c r="B456" s="7" t="s">
        <v>1604</v>
      </c>
      <c r="C456" s="1" t="s">
        <v>1611</v>
      </c>
    </row>
    <row r="457" spans="1:3" x14ac:dyDescent="0.25">
      <c r="A457" s="6" t="s">
        <v>560</v>
      </c>
      <c r="B457" s="7" t="s">
        <v>1604</v>
      </c>
      <c r="C457" s="1" t="s">
        <v>1611</v>
      </c>
    </row>
    <row r="458" spans="1:3" x14ac:dyDescent="0.25">
      <c r="A458" s="6" t="s">
        <v>1571</v>
      </c>
      <c r="B458" s="7" t="s">
        <v>1604</v>
      </c>
      <c r="C458" s="1" t="s">
        <v>1611</v>
      </c>
    </row>
    <row r="459" spans="1:3" x14ac:dyDescent="0.25">
      <c r="A459" s="6" t="s">
        <v>1572</v>
      </c>
      <c r="B459" s="7" t="s">
        <v>1604</v>
      </c>
      <c r="C459" s="1" t="s">
        <v>1611</v>
      </c>
    </row>
    <row r="460" spans="1:3" x14ac:dyDescent="0.25">
      <c r="A460" s="6" t="s">
        <v>1573</v>
      </c>
      <c r="B460" s="7" t="s">
        <v>1604</v>
      </c>
      <c r="C460" s="1" t="s">
        <v>1611</v>
      </c>
    </row>
    <row r="461" spans="1:3" x14ac:dyDescent="0.25">
      <c r="A461" s="6" t="s">
        <v>486</v>
      </c>
      <c r="B461" s="7" t="s">
        <v>1604</v>
      </c>
      <c r="C461" s="1" t="s">
        <v>1611</v>
      </c>
    </row>
    <row r="462" spans="1:3" x14ac:dyDescent="0.25">
      <c r="A462" s="6" t="s">
        <v>1574</v>
      </c>
      <c r="B462" s="7" t="s">
        <v>1604</v>
      </c>
      <c r="C462" s="1" t="s">
        <v>1611</v>
      </c>
    </row>
    <row r="463" spans="1:3" x14ac:dyDescent="0.25">
      <c r="A463" s="6" t="s">
        <v>1575</v>
      </c>
      <c r="B463" s="7" t="s">
        <v>1604</v>
      </c>
      <c r="C463" s="1" t="s">
        <v>1611</v>
      </c>
    </row>
    <row r="464" spans="1:3" x14ac:dyDescent="0.25">
      <c r="A464" s="6" t="s">
        <v>1147</v>
      </c>
      <c r="B464" s="7" t="s">
        <v>1604</v>
      </c>
      <c r="C464" s="1" t="s">
        <v>1611</v>
      </c>
    </row>
    <row r="465" spans="1:3" x14ac:dyDescent="0.25">
      <c r="A465" s="6" t="s">
        <v>1576</v>
      </c>
      <c r="B465" s="7" t="s">
        <v>1604</v>
      </c>
      <c r="C465" s="1" t="s">
        <v>1611</v>
      </c>
    </row>
    <row r="466" spans="1:3" x14ac:dyDescent="0.25">
      <c r="A466" s="6" t="s">
        <v>1577</v>
      </c>
      <c r="B466" s="7" t="s">
        <v>1604</v>
      </c>
      <c r="C466" s="1" t="s">
        <v>1611</v>
      </c>
    </row>
    <row r="467" spans="1:3" x14ac:dyDescent="0.25">
      <c r="A467" s="6" t="s">
        <v>694</v>
      </c>
      <c r="B467" s="7" t="s">
        <v>1604</v>
      </c>
      <c r="C467" s="1" t="s">
        <v>1611</v>
      </c>
    </row>
    <row r="468" spans="1:3" x14ac:dyDescent="0.25">
      <c r="A468" s="6" t="s">
        <v>1578</v>
      </c>
      <c r="B468" s="7" t="s">
        <v>1604</v>
      </c>
      <c r="C468" s="1" t="s">
        <v>1611</v>
      </c>
    </row>
    <row r="469" spans="1:3" x14ac:dyDescent="0.25">
      <c r="A469" s="6" t="s">
        <v>1579</v>
      </c>
      <c r="B469" s="7" t="s">
        <v>1604</v>
      </c>
      <c r="C469" s="1" t="s">
        <v>1611</v>
      </c>
    </row>
    <row r="470" spans="1:3" x14ac:dyDescent="0.25">
      <c r="A470" s="6" t="s">
        <v>248</v>
      </c>
      <c r="B470" s="7" t="s">
        <v>1604</v>
      </c>
      <c r="C470" s="1" t="s">
        <v>1611</v>
      </c>
    </row>
    <row r="471" spans="1:3" x14ac:dyDescent="0.25">
      <c r="A471" s="6" t="s">
        <v>62</v>
      </c>
      <c r="B471" s="7" t="s">
        <v>1604</v>
      </c>
      <c r="C471" s="1" t="s">
        <v>1611</v>
      </c>
    </row>
    <row r="472" spans="1:3" x14ac:dyDescent="0.25">
      <c r="A472" s="6" t="s">
        <v>1580</v>
      </c>
      <c r="B472" s="7" t="s">
        <v>1604</v>
      </c>
      <c r="C472" s="1" t="s">
        <v>1611</v>
      </c>
    </row>
    <row r="473" spans="1:3" x14ac:dyDescent="0.25">
      <c r="A473" s="6" t="s">
        <v>1581</v>
      </c>
      <c r="B473" s="7" t="s">
        <v>1604</v>
      </c>
      <c r="C473" s="1" t="s">
        <v>1611</v>
      </c>
    </row>
    <row r="474" spans="1:3" x14ac:dyDescent="0.25">
      <c r="A474" s="6" t="s">
        <v>1582</v>
      </c>
      <c r="B474" s="7" t="s">
        <v>1604</v>
      </c>
      <c r="C474" s="1" t="s">
        <v>1611</v>
      </c>
    </row>
    <row r="475" spans="1:3" x14ac:dyDescent="0.25">
      <c r="A475" s="6" t="s">
        <v>188</v>
      </c>
      <c r="B475" s="7" t="s">
        <v>1604</v>
      </c>
      <c r="C475" s="1" t="s">
        <v>1611</v>
      </c>
    </row>
    <row r="476" spans="1:3" x14ac:dyDescent="0.25">
      <c r="A476" s="6" t="s">
        <v>1583</v>
      </c>
      <c r="B476" s="7" t="s">
        <v>1604</v>
      </c>
      <c r="C476" s="1" t="s">
        <v>1611</v>
      </c>
    </row>
    <row r="477" spans="1:3" x14ac:dyDescent="0.25">
      <c r="A477" s="6" t="s">
        <v>1584</v>
      </c>
      <c r="B477" s="7" t="s">
        <v>1604</v>
      </c>
      <c r="C477" s="1" t="s">
        <v>1611</v>
      </c>
    </row>
    <row r="478" spans="1:3" x14ac:dyDescent="0.25">
      <c r="A478" s="6" t="s">
        <v>1585</v>
      </c>
      <c r="B478" s="7" t="s">
        <v>1604</v>
      </c>
      <c r="C478" s="1" t="s">
        <v>1611</v>
      </c>
    </row>
    <row r="479" spans="1:3" x14ac:dyDescent="0.25">
      <c r="A479" s="6" t="s">
        <v>325</v>
      </c>
      <c r="B479" s="7" t="s">
        <v>1604</v>
      </c>
      <c r="C479" s="1" t="s">
        <v>1611</v>
      </c>
    </row>
    <row r="480" spans="1:3" x14ac:dyDescent="0.25">
      <c r="A480" s="6" t="s">
        <v>280</v>
      </c>
      <c r="B480" s="7" t="s">
        <v>1604</v>
      </c>
      <c r="C480" s="1" t="s">
        <v>1611</v>
      </c>
    </row>
    <row r="481" spans="1:3" x14ac:dyDescent="0.25">
      <c r="A481" s="6" t="s">
        <v>78</v>
      </c>
      <c r="B481" s="7" t="s">
        <v>1604</v>
      </c>
      <c r="C481" s="1" t="s">
        <v>1611</v>
      </c>
    </row>
    <row r="482" spans="1:3" x14ac:dyDescent="0.25">
      <c r="A482" s="6" t="s">
        <v>1586</v>
      </c>
      <c r="B482" s="7" t="s">
        <v>1604</v>
      </c>
      <c r="C482" s="1" t="s">
        <v>1611</v>
      </c>
    </row>
    <row r="483" spans="1:3" x14ac:dyDescent="0.25">
      <c r="A483" s="6" t="s">
        <v>1587</v>
      </c>
      <c r="B483" s="7" t="s">
        <v>1604</v>
      </c>
      <c r="C483" s="1" t="s">
        <v>1611</v>
      </c>
    </row>
    <row r="484" spans="1:3" x14ac:dyDescent="0.25">
      <c r="A484" s="6" t="s">
        <v>300</v>
      </c>
      <c r="B484" s="7" t="s">
        <v>1604</v>
      </c>
      <c r="C484" s="1" t="s">
        <v>1611</v>
      </c>
    </row>
    <row r="485" spans="1:3" x14ac:dyDescent="0.25">
      <c r="A485" s="6" t="s">
        <v>1588</v>
      </c>
      <c r="B485" s="7" t="s">
        <v>1604</v>
      </c>
      <c r="C485" s="1" t="s">
        <v>1611</v>
      </c>
    </row>
    <row r="486" spans="1:3" x14ac:dyDescent="0.25">
      <c r="A486" s="6" t="s">
        <v>163</v>
      </c>
      <c r="B486" s="7" t="s">
        <v>1604</v>
      </c>
      <c r="C486" s="1" t="s">
        <v>1611</v>
      </c>
    </row>
    <row r="487" spans="1:3" x14ac:dyDescent="0.25">
      <c r="A487" s="6" t="s">
        <v>1589</v>
      </c>
      <c r="B487" s="7" t="s">
        <v>1604</v>
      </c>
      <c r="C487" s="1" t="s">
        <v>1611</v>
      </c>
    </row>
    <row r="488" spans="1:3" x14ac:dyDescent="0.25">
      <c r="A488" s="6" t="s">
        <v>1590</v>
      </c>
      <c r="B488" s="7" t="s">
        <v>1604</v>
      </c>
      <c r="C488" s="1" t="s">
        <v>1611</v>
      </c>
    </row>
    <row r="489" spans="1:3" x14ac:dyDescent="0.25">
      <c r="A489" s="6" t="s">
        <v>1591</v>
      </c>
      <c r="B489" s="7" t="s">
        <v>1604</v>
      </c>
      <c r="C489" s="1" t="s">
        <v>1611</v>
      </c>
    </row>
    <row r="490" spans="1:3" x14ac:dyDescent="0.25">
      <c r="A490" s="6" t="s">
        <v>1592</v>
      </c>
      <c r="B490" s="7" t="s">
        <v>1604</v>
      </c>
      <c r="C490" s="1" t="s">
        <v>1611</v>
      </c>
    </row>
    <row r="491" spans="1:3" x14ac:dyDescent="0.25">
      <c r="A491" s="6" t="s">
        <v>1593</v>
      </c>
      <c r="B491" s="7" t="s">
        <v>1604</v>
      </c>
      <c r="C491" s="1" t="s">
        <v>1611</v>
      </c>
    </row>
    <row r="492" spans="1:3" x14ac:dyDescent="0.25">
      <c r="A492" s="6" t="s">
        <v>505</v>
      </c>
      <c r="B492" s="7" t="s">
        <v>1604</v>
      </c>
      <c r="C492" s="1" t="s">
        <v>1611</v>
      </c>
    </row>
    <row r="493" spans="1:3" x14ac:dyDescent="0.25">
      <c r="A493" s="6" t="s">
        <v>879</v>
      </c>
      <c r="B493" s="7" t="s">
        <v>1604</v>
      </c>
      <c r="C493" s="1" t="s">
        <v>1611</v>
      </c>
    </row>
    <row r="494" spans="1:3" x14ac:dyDescent="0.25">
      <c r="A494" s="6" t="s">
        <v>124</v>
      </c>
      <c r="B494" s="7" t="s">
        <v>1604</v>
      </c>
      <c r="C494" s="1" t="s">
        <v>1611</v>
      </c>
    </row>
    <row r="495" spans="1:3" x14ac:dyDescent="0.25">
      <c r="A495" s="6" t="s">
        <v>1594</v>
      </c>
      <c r="B495" s="7" t="s">
        <v>1604</v>
      </c>
      <c r="C495" s="1" t="s">
        <v>1611</v>
      </c>
    </row>
    <row r="496" spans="1:3" x14ac:dyDescent="0.25">
      <c r="A496" s="6" t="s">
        <v>1595</v>
      </c>
      <c r="B496" s="7" t="s">
        <v>1604</v>
      </c>
      <c r="C496" s="1" t="s">
        <v>1611</v>
      </c>
    </row>
    <row r="497" spans="1:3" x14ac:dyDescent="0.25">
      <c r="A497" s="6" t="s">
        <v>423</v>
      </c>
      <c r="B497" s="7" t="s">
        <v>1604</v>
      </c>
      <c r="C497" s="1" t="s">
        <v>1611</v>
      </c>
    </row>
    <row r="498" spans="1:3" x14ac:dyDescent="0.25">
      <c r="A498" s="6" t="s">
        <v>1596</v>
      </c>
      <c r="B498" s="7" t="s">
        <v>1604</v>
      </c>
      <c r="C498" s="1" t="s">
        <v>1611</v>
      </c>
    </row>
    <row r="499" spans="1:3" x14ac:dyDescent="0.25">
      <c r="A499" s="6" t="s">
        <v>1597</v>
      </c>
      <c r="B499" s="7" t="s">
        <v>1604</v>
      </c>
      <c r="C499" s="1" t="s">
        <v>1611</v>
      </c>
    </row>
    <row r="500" spans="1:3" x14ac:dyDescent="0.25">
      <c r="A500" s="6" t="s">
        <v>1598</v>
      </c>
      <c r="B500" s="7" t="s">
        <v>1604</v>
      </c>
      <c r="C500" s="1" t="s">
        <v>1609</v>
      </c>
    </row>
    <row r="501" spans="1:3" x14ac:dyDescent="0.25">
      <c r="A501" s="6" t="s">
        <v>1599</v>
      </c>
      <c r="B501" s="7" t="s">
        <v>1604</v>
      </c>
      <c r="C501" s="1" t="s">
        <v>1611</v>
      </c>
    </row>
    <row r="502" spans="1:3" x14ac:dyDescent="0.25">
      <c r="A502" s="6" t="s">
        <v>859</v>
      </c>
      <c r="B502" s="7" t="s">
        <v>1604</v>
      </c>
      <c r="C502" s="1" t="s">
        <v>1611</v>
      </c>
    </row>
    <row r="503" spans="1:3" x14ac:dyDescent="0.25">
      <c r="A503" s="6" t="s">
        <v>1600</v>
      </c>
      <c r="B503" s="7" t="s">
        <v>1604</v>
      </c>
      <c r="C503" s="1" t="s">
        <v>1611</v>
      </c>
    </row>
    <row r="504" spans="1:3" x14ac:dyDescent="0.25">
      <c r="A504" s="6" t="s">
        <v>1601</v>
      </c>
      <c r="B504" s="7" t="s">
        <v>1604</v>
      </c>
      <c r="C504" s="1" t="s">
        <v>1611</v>
      </c>
    </row>
    <row r="505" spans="1:3" x14ac:dyDescent="0.25">
      <c r="A505" s="9" t="s">
        <v>1103</v>
      </c>
      <c r="B505" s="7" t="s">
        <v>1609</v>
      </c>
      <c r="C505" s="1" t="s">
        <v>1604</v>
      </c>
    </row>
    <row r="506" spans="1:3" x14ac:dyDescent="0.25">
      <c r="A506" s="9" t="s">
        <v>1263</v>
      </c>
      <c r="B506" s="7" t="s">
        <v>1609</v>
      </c>
      <c r="C506" s="1" t="s">
        <v>1604</v>
      </c>
    </row>
    <row r="507" spans="1:3" x14ac:dyDescent="0.25">
      <c r="A507" s="9" t="s">
        <v>1264</v>
      </c>
      <c r="B507" s="7" t="s">
        <v>1609</v>
      </c>
      <c r="C507" s="1" t="s">
        <v>1604</v>
      </c>
    </row>
    <row r="508" spans="1:3" x14ac:dyDescent="0.25">
      <c r="A508" s="9" t="s">
        <v>1265</v>
      </c>
      <c r="B508" s="7" t="s">
        <v>1609</v>
      </c>
      <c r="C508" s="1" t="s">
        <v>1604</v>
      </c>
    </row>
    <row r="509" spans="1:3" x14ac:dyDescent="0.25">
      <c r="A509" s="9" t="s">
        <v>1266</v>
      </c>
      <c r="B509" s="7" t="s">
        <v>1609</v>
      </c>
      <c r="C509" s="1" t="s">
        <v>1604</v>
      </c>
    </row>
    <row r="510" spans="1:3" x14ac:dyDescent="0.25">
      <c r="A510" s="9" t="s">
        <v>1267</v>
      </c>
      <c r="B510" s="7" t="s">
        <v>1609</v>
      </c>
      <c r="C510" s="1" t="s">
        <v>1604</v>
      </c>
    </row>
    <row r="511" spans="1:3" x14ac:dyDescent="0.25">
      <c r="A511" s="9" t="s">
        <v>1268</v>
      </c>
      <c r="B511" s="7" t="s">
        <v>1609</v>
      </c>
      <c r="C511" s="1" t="s">
        <v>1604</v>
      </c>
    </row>
    <row r="512" spans="1:3" x14ac:dyDescent="0.25">
      <c r="A512" s="9" t="s">
        <v>1269</v>
      </c>
      <c r="B512" s="7" t="s">
        <v>1609</v>
      </c>
      <c r="C512" s="1" t="s">
        <v>1604</v>
      </c>
    </row>
    <row r="513" spans="1:3" x14ac:dyDescent="0.25">
      <c r="A513" s="9" t="s">
        <v>1258</v>
      </c>
      <c r="B513" s="7" t="s">
        <v>1609</v>
      </c>
      <c r="C513" s="1" t="s">
        <v>1604</v>
      </c>
    </row>
    <row r="514" spans="1:3" x14ac:dyDescent="0.25">
      <c r="A514" s="9" t="s">
        <v>1260</v>
      </c>
      <c r="B514" s="7" t="s">
        <v>1609</v>
      </c>
      <c r="C514" s="1" t="s">
        <v>1604</v>
      </c>
    </row>
    <row r="515" spans="1:3" x14ac:dyDescent="0.25">
      <c r="A515" s="9" t="s">
        <v>1277</v>
      </c>
      <c r="B515" s="7" t="s">
        <v>1609</v>
      </c>
      <c r="C515" s="1" t="s">
        <v>1604</v>
      </c>
    </row>
    <row r="516" spans="1:3" x14ac:dyDescent="0.25">
      <c r="A516" s="9" t="s">
        <v>1281</v>
      </c>
      <c r="B516" s="7" t="s">
        <v>1609</v>
      </c>
      <c r="C516" s="1" t="s">
        <v>1604</v>
      </c>
    </row>
    <row r="517" spans="1:3" x14ac:dyDescent="0.25">
      <c r="A517" s="9" t="s">
        <v>1605</v>
      </c>
      <c r="B517" s="7" t="s">
        <v>1609</v>
      </c>
      <c r="C517" s="1" t="s">
        <v>1611</v>
      </c>
    </row>
    <row r="518" spans="1:3" x14ac:dyDescent="0.25">
      <c r="A518" s="9" t="s">
        <v>1032</v>
      </c>
      <c r="B518" s="7" t="s">
        <v>1609</v>
      </c>
      <c r="C518" s="1" t="s">
        <v>1604</v>
      </c>
    </row>
    <row r="519" spans="1:3" x14ac:dyDescent="0.25">
      <c r="A519" s="9" t="s">
        <v>1287</v>
      </c>
      <c r="B519" s="7" t="s">
        <v>1609</v>
      </c>
      <c r="C519" s="1" t="s">
        <v>1604</v>
      </c>
    </row>
    <row r="520" spans="1:3" x14ac:dyDescent="0.25">
      <c r="A520" s="9" t="s">
        <v>1251</v>
      </c>
      <c r="B520" s="7" t="s">
        <v>1609</v>
      </c>
      <c r="C520" s="1" t="s">
        <v>1604</v>
      </c>
    </row>
    <row r="521" spans="1:3" x14ac:dyDescent="0.25">
      <c r="A521" s="9" t="s">
        <v>1288</v>
      </c>
      <c r="B521" s="7" t="s">
        <v>1609</v>
      </c>
      <c r="C521" s="1" t="s">
        <v>1604</v>
      </c>
    </row>
    <row r="522" spans="1:3" x14ac:dyDescent="0.25">
      <c r="A522" s="9" t="s">
        <v>1289</v>
      </c>
      <c r="B522" s="7" t="s">
        <v>1609</v>
      </c>
      <c r="C522" s="1" t="s">
        <v>1604</v>
      </c>
    </row>
    <row r="523" spans="1:3" x14ac:dyDescent="0.25">
      <c r="A523" s="9" t="s">
        <v>900</v>
      </c>
      <c r="B523" s="7" t="s">
        <v>1609</v>
      </c>
      <c r="C523" s="1" t="s">
        <v>1611</v>
      </c>
    </row>
    <row r="524" spans="1:3" x14ac:dyDescent="0.25">
      <c r="A524" s="9" t="s">
        <v>1298</v>
      </c>
      <c r="B524" s="7" t="s">
        <v>1609</v>
      </c>
      <c r="C524" s="1" t="s">
        <v>1604</v>
      </c>
    </row>
    <row r="525" spans="1:3" x14ac:dyDescent="0.25">
      <c r="A525" s="9" t="s">
        <v>1118</v>
      </c>
      <c r="B525" s="7" t="s">
        <v>1609</v>
      </c>
      <c r="C525" s="1" t="s">
        <v>1604</v>
      </c>
    </row>
    <row r="526" spans="1:3" x14ac:dyDescent="0.25">
      <c r="A526" s="9" t="s">
        <v>1302</v>
      </c>
      <c r="B526" s="7" t="s">
        <v>1609</v>
      </c>
      <c r="C526" s="1" t="s">
        <v>1604</v>
      </c>
    </row>
    <row r="527" spans="1:3" x14ac:dyDescent="0.25">
      <c r="A527" s="9" t="s">
        <v>333</v>
      </c>
      <c r="B527" s="7" t="s">
        <v>1609</v>
      </c>
      <c r="C527" s="1" t="s">
        <v>1604</v>
      </c>
    </row>
    <row r="528" spans="1:3" x14ac:dyDescent="0.25">
      <c r="A528" s="9" t="s">
        <v>1305</v>
      </c>
      <c r="B528" s="7" t="s">
        <v>1609</v>
      </c>
      <c r="C528" s="1" t="s">
        <v>1604</v>
      </c>
    </row>
    <row r="529" spans="1:3" x14ac:dyDescent="0.25">
      <c r="A529" s="9" t="s">
        <v>1307</v>
      </c>
      <c r="B529" s="7" t="s">
        <v>1609</v>
      </c>
      <c r="C529" s="1" t="s">
        <v>1604</v>
      </c>
    </row>
    <row r="530" spans="1:3" x14ac:dyDescent="0.25">
      <c r="A530" s="9" t="s">
        <v>1107</v>
      </c>
      <c r="B530" s="7" t="s">
        <v>1609</v>
      </c>
      <c r="C530" s="1" t="s">
        <v>1611</v>
      </c>
    </row>
    <row r="531" spans="1:3" x14ac:dyDescent="0.25">
      <c r="A531" s="9" t="s">
        <v>1312</v>
      </c>
      <c r="B531" s="7" t="s">
        <v>1609</v>
      </c>
      <c r="C531" s="1" t="s">
        <v>1604</v>
      </c>
    </row>
    <row r="532" spans="1:3" x14ac:dyDescent="0.25">
      <c r="A532" s="9" t="s">
        <v>1314</v>
      </c>
      <c r="B532" s="7" t="s">
        <v>1609</v>
      </c>
      <c r="C532" s="1" t="s">
        <v>1604</v>
      </c>
    </row>
    <row r="533" spans="1:3" x14ac:dyDescent="0.25">
      <c r="A533" s="9" t="s">
        <v>352</v>
      </c>
      <c r="B533" s="7" t="s">
        <v>1609</v>
      </c>
      <c r="C533" s="1" t="s">
        <v>1611</v>
      </c>
    </row>
    <row r="534" spans="1:3" x14ac:dyDescent="0.25">
      <c r="A534" s="9" t="s">
        <v>1059</v>
      </c>
      <c r="B534" s="7" t="s">
        <v>1609</v>
      </c>
      <c r="C534" s="1" t="s">
        <v>1604</v>
      </c>
    </row>
    <row r="535" spans="1:3" x14ac:dyDescent="0.25">
      <c r="A535" s="9" t="s">
        <v>1102</v>
      </c>
      <c r="B535" s="7" t="s">
        <v>1609</v>
      </c>
      <c r="C535" s="1" t="s">
        <v>1604</v>
      </c>
    </row>
    <row r="536" spans="1:3" x14ac:dyDescent="0.25">
      <c r="A536" s="9" t="s">
        <v>1327</v>
      </c>
      <c r="B536" s="7" t="s">
        <v>1609</v>
      </c>
      <c r="C536" s="1" t="s">
        <v>1604</v>
      </c>
    </row>
    <row r="537" spans="1:3" x14ac:dyDescent="0.25">
      <c r="A537" s="9" t="s">
        <v>66</v>
      </c>
      <c r="B537" s="7" t="s">
        <v>1609</v>
      </c>
      <c r="C537" s="1" t="s">
        <v>1604</v>
      </c>
    </row>
    <row r="538" spans="1:3" x14ac:dyDescent="0.25">
      <c r="A538" s="9" t="s">
        <v>1331</v>
      </c>
      <c r="B538" s="7" t="s">
        <v>1609</v>
      </c>
      <c r="C538" s="1" t="s">
        <v>1604</v>
      </c>
    </row>
    <row r="539" spans="1:3" x14ac:dyDescent="0.25">
      <c r="A539" s="9" t="s">
        <v>350</v>
      </c>
      <c r="B539" s="7" t="s">
        <v>1609</v>
      </c>
      <c r="C539" s="1" t="s">
        <v>1604</v>
      </c>
    </row>
    <row r="540" spans="1:3" x14ac:dyDescent="0.25">
      <c r="A540" s="9" t="s">
        <v>1335</v>
      </c>
      <c r="B540" s="7" t="s">
        <v>1609</v>
      </c>
      <c r="C540" s="1" t="s">
        <v>1604</v>
      </c>
    </row>
    <row r="541" spans="1:3" x14ac:dyDescent="0.25">
      <c r="A541" s="9" t="s">
        <v>1141</v>
      </c>
      <c r="B541" s="7" t="s">
        <v>1609</v>
      </c>
      <c r="C541" s="1" t="s">
        <v>1604</v>
      </c>
    </row>
    <row r="542" spans="1:3" x14ac:dyDescent="0.25">
      <c r="A542" s="9" t="s">
        <v>1337</v>
      </c>
      <c r="B542" s="7" t="s">
        <v>1609</v>
      </c>
      <c r="C542" s="1" t="s">
        <v>1604</v>
      </c>
    </row>
    <row r="543" spans="1:3" x14ac:dyDescent="0.25">
      <c r="A543" s="9" t="s">
        <v>341</v>
      </c>
      <c r="B543" s="7" t="s">
        <v>1609</v>
      </c>
      <c r="C543" s="1" t="s">
        <v>1611</v>
      </c>
    </row>
    <row r="544" spans="1:3" x14ac:dyDescent="0.25">
      <c r="A544" s="9" t="s">
        <v>1346</v>
      </c>
      <c r="B544" s="7" t="s">
        <v>1609</v>
      </c>
      <c r="C544" s="1" t="s">
        <v>1604</v>
      </c>
    </row>
    <row r="545" spans="1:3" x14ac:dyDescent="0.25">
      <c r="A545" s="9" t="s">
        <v>1350</v>
      </c>
      <c r="B545" s="7" t="s">
        <v>1609</v>
      </c>
      <c r="C545" s="1" t="s">
        <v>1604</v>
      </c>
    </row>
    <row r="546" spans="1:3" x14ac:dyDescent="0.25">
      <c r="A546" s="9" t="s">
        <v>1352</v>
      </c>
      <c r="B546" s="7" t="s">
        <v>1609</v>
      </c>
      <c r="C546" s="1" t="s">
        <v>1604</v>
      </c>
    </row>
    <row r="547" spans="1:3" x14ac:dyDescent="0.25">
      <c r="A547" s="9" t="s">
        <v>1157</v>
      </c>
      <c r="B547" s="7" t="s">
        <v>1609</v>
      </c>
      <c r="C547" s="1" t="s">
        <v>1604</v>
      </c>
    </row>
    <row r="548" spans="1:3" x14ac:dyDescent="0.25">
      <c r="A548" s="9" t="s">
        <v>1356</v>
      </c>
      <c r="B548" s="7" t="s">
        <v>1609</v>
      </c>
      <c r="C548" s="1" t="s">
        <v>1604</v>
      </c>
    </row>
    <row r="549" spans="1:3" x14ac:dyDescent="0.25">
      <c r="A549" s="9" t="s">
        <v>652</v>
      </c>
      <c r="B549" s="7" t="s">
        <v>1609</v>
      </c>
      <c r="C549" s="1" t="s">
        <v>1604</v>
      </c>
    </row>
    <row r="550" spans="1:3" x14ac:dyDescent="0.25">
      <c r="A550" s="9" t="s">
        <v>1358</v>
      </c>
      <c r="B550" s="7" t="s">
        <v>1609</v>
      </c>
      <c r="C550" s="1" t="s">
        <v>1604</v>
      </c>
    </row>
    <row r="551" spans="1:3" x14ac:dyDescent="0.25">
      <c r="A551" s="9" t="s">
        <v>1204</v>
      </c>
      <c r="B551" s="7" t="s">
        <v>1609</v>
      </c>
      <c r="C551" s="1" t="s">
        <v>1604</v>
      </c>
    </row>
    <row r="552" spans="1:3" x14ac:dyDescent="0.25">
      <c r="A552" s="9" t="s">
        <v>1359</v>
      </c>
      <c r="B552" s="7" t="s">
        <v>1609</v>
      </c>
      <c r="C552" s="1" t="s">
        <v>1604</v>
      </c>
    </row>
    <row r="553" spans="1:3" x14ac:dyDescent="0.25">
      <c r="A553" s="9" t="s">
        <v>1364</v>
      </c>
      <c r="B553" s="7" t="s">
        <v>1609</v>
      </c>
      <c r="C553" s="1" t="s">
        <v>1604</v>
      </c>
    </row>
    <row r="554" spans="1:3" x14ac:dyDescent="0.25">
      <c r="A554" s="9" t="s">
        <v>48</v>
      </c>
      <c r="B554" s="7" t="s">
        <v>1609</v>
      </c>
      <c r="C554" s="1" t="s">
        <v>1604</v>
      </c>
    </row>
    <row r="555" spans="1:3" x14ac:dyDescent="0.25">
      <c r="A555" s="9" t="s">
        <v>1180</v>
      </c>
      <c r="B555" s="7" t="s">
        <v>1609</v>
      </c>
      <c r="C555" s="1" t="s">
        <v>1611</v>
      </c>
    </row>
    <row r="556" spans="1:3" x14ac:dyDescent="0.25">
      <c r="A556" s="9" t="s">
        <v>43</v>
      </c>
      <c r="B556" s="7" t="s">
        <v>1609</v>
      </c>
      <c r="C556" s="1" t="s">
        <v>1604</v>
      </c>
    </row>
    <row r="557" spans="1:3" x14ac:dyDescent="0.25">
      <c r="A557" s="9" t="s">
        <v>1606</v>
      </c>
      <c r="B557" s="7" t="s">
        <v>1609</v>
      </c>
      <c r="C557" s="1" t="s">
        <v>1611</v>
      </c>
    </row>
    <row r="558" spans="1:3" x14ac:dyDescent="0.25">
      <c r="A558" s="9" t="s">
        <v>712</v>
      </c>
      <c r="B558" s="7" t="s">
        <v>1609</v>
      </c>
      <c r="C558" s="1" t="s">
        <v>1604</v>
      </c>
    </row>
    <row r="559" spans="1:3" x14ac:dyDescent="0.25">
      <c r="A559" s="9" t="s">
        <v>1373</v>
      </c>
      <c r="B559" s="7" t="s">
        <v>1609</v>
      </c>
      <c r="C559" s="1" t="s">
        <v>1604</v>
      </c>
    </row>
    <row r="560" spans="1:3" x14ac:dyDescent="0.25">
      <c r="A560" s="9" t="s">
        <v>1153</v>
      </c>
      <c r="B560" s="7" t="s">
        <v>1609</v>
      </c>
      <c r="C560" s="1" t="s">
        <v>1611</v>
      </c>
    </row>
    <row r="561" spans="1:3" x14ac:dyDescent="0.25">
      <c r="A561" s="9" t="s">
        <v>1375</v>
      </c>
      <c r="B561" s="7" t="s">
        <v>1609</v>
      </c>
      <c r="C561" s="1" t="s">
        <v>1604</v>
      </c>
    </row>
    <row r="562" spans="1:3" x14ac:dyDescent="0.25">
      <c r="A562" s="9" t="s">
        <v>1151</v>
      </c>
      <c r="B562" s="7" t="s">
        <v>1609</v>
      </c>
      <c r="C562" s="1" t="s">
        <v>1604</v>
      </c>
    </row>
    <row r="563" spans="1:3" x14ac:dyDescent="0.25">
      <c r="A563" s="9" t="s">
        <v>1607</v>
      </c>
      <c r="B563" s="7" t="s">
        <v>1609</v>
      </c>
      <c r="C563" s="1" t="s">
        <v>1611</v>
      </c>
    </row>
    <row r="564" spans="1:3" x14ac:dyDescent="0.25">
      <c r="A564" s="9" t="s">
        <v>19</v>
      </c>
      <c r="B564" s="7" t="s">
        <v>1609</v>
      </c>
      <c r="C564" s="1" t="s">
        <v>1604</v>
      </c>
    </row>
    <row r="565" spans="1:3" x14ac:dyDescent="0.25">
      <c r="A565" s="9" t="s">
        <v>671</v>
      </c>
      <c r="B565" s="7" t="s">
        <v>1609</v>
      </c>
      <c r="C565" s="1" t="s">
        <v>1611</v>
      </c>
    </row>
    <row r="566" spans="1:3" x14ac:dyDescent="0.25">
      <c r="A566" s="9" t="s">
        <v>1389</v>
      </c>
      <c r="B566" s="7" t="s">
        <v>1609</v>
      </c>
      <c r="C566" s="1" t="s">
        <v>1604</v>
      </c>
    </row>
    <row r="567" spans="1:3" x14ac:dyDescent="0.25">
      <c r="A567" s="9" t="s">
        <v>1393</v>
      </c>
      <c r="B567" s="7" t="s">
        <v>1609</v>
      </c>
      <c r="C567" s="1" t="s">
        <v>1604</v>
      </c>
    </row>
    <row r="568" spans="1:3" x14ac:dyDescent="0.25">
      <c r="A568" s="9" t="s">
        <v>120</v>
      </c>
      <c r="B568" s="7" t="s">
        <v>1609</v>
      </c>
      <c r="C568" s="1" t="s">
        <v>1604</v>
      </c>
    </row>
    <row r="569" spans="1:3" x14ac:dyDescent="0.25">
      <c r="A569" s="9" t="s">
        <v>1123</v>
      </c>
      <c r="B569" s="7" t="s">
        <v>1609</v>
      </c>
      <c r="C569" s="1" t="s">
        <v>1604</v>
      </c>
    </row>
    <row r="570" spans="1:3" x14ac:dyDescent="0.25">
      <c r="A570" s="9" t="s">
        <v>75</v>
      </c>
      <c r="B570" s="7" t="s">
        <v>1609</v>
      </c>
      <c r="C570" s="1" t="s">
        <v>1604</v>
      </c>
    </row>
    <row r="571" spans="1:3" x14ac:dyDescent="0.25">
      <c r="A571" s="9" t="s">
        <v>775</v>
      </c>
      <c r="B571" s="7" t="s">
        <v>1609</v>
      </c>
      <c r="C571" s="1" t="s">
        <v>1604</v>
      </c>
    </row>
    <row r="572" spans="1:3" x14ac:dyDescent="0.25">
      <c r="A572" s="9" t="s">
        <v>290</v>
      </c>
      <c r="B572" s="7" t="s">
        <v>1609</v>
      </c>
      <c r="C572" s="1" t="s">
        <v>1604</v>
      </c>
    </row>
    <row r="573" spans="1:3" x14ac:dyDescent="0.25">
      <c r="A573" s="9" t="s">
        <v>1402</v>
      </c>
      <c r="B573" s="7" t="s">
        <v>1609</v>
      </c>
      <c r="C573" s="1" t="s">
        <v>1604</v>
      </c>
    </row>
    <row r="574" spans="1:3" x14ac:dyDescent="0.25">
      <c r="A574" s="9" t="s">
        <v>1405</v>
      </c>
      <c r="B574" s="7" t="s">
        <v>1609</v>
      </c>
      <c r="C574" s="1" t="s">
        <v>1604</v>
      </c>
    </row>
    <row r="575" spans="1:3" x14ac:dyDescent="0.25">
      <c r="A575" s="9" t="s">
        <v>606</v>
      </c>
      <c r="B575" s="7" t="s">
        <v>1609</v>
      </c>
      <c r="C575" s="1" t="s">
        <v>1611</v>
      </c>
    </row>
    <row r="576" spans="1:3" x14ac:dyDescent="0.25">
      <c r="A576" s="9" t="s">
        <v>1122</v>
      </c>
      <c r="B576" s="7" t="s">
        <v>1609</v>
      </c>
      <c r="C576" s="1" t="s">
        <v>1604</v>
      </c>
    </row>
    <row r="577" spans="1:3" x14ac:dyDescent="0.25">
      <c r="A577" s="9" t="s">
        <v>1410</v>
      </c>
      <c r="B577" s="7" t="s">
        <v>1609</v>
      </c>
      <c r="C577" s="1" t="s">
        <v>1604</v>
      </c>
    </row>
    <row r="578" spans="1:3" x14ac:dyDescent="0.25">
      <c r="A578" s="9" t="s">
        <v>1418</v>
      </c>
      <c r="B578" s="7" t="s">
        <v>1609</v>
      </c>
      <c r="C578" s="1" t="s">
        <v>1604</v>
      </c>
    </row>
    <row r="579" spans="1:3" x14ac:dyDescent="0.25">
      <c r="A579" s="9" t="s">
        <v>1419</v>
      </c>
      <c r="B579" s="7" t="s">
        <v>1609</v>
      </c>
      <c r="C579" s="1" t="s">
        <v>1604</v>
      </c>
    </row>
    <row r="580" spans="1:3" x14ac:dyDescent="0.25">
      <c r="A580" s="9" t="s">
        <v>1422</v>
      </c>
      <c r="B580" s="7" t="s">
        <v>1609</v>
      </c>
      <c r="C580" s="1" t="s">
        <v>1604</v>
      </c>
    </row>
    <row r="581" spans="1:3" x14ac:dyDescent="0.25">
      <c r="A581" s="9" t="s">
        <v>1428</v>
      </c>
      <c r="B581" s="7" t="s">
        <v>1609</v>
      </c>
      <c r="C581" s="1" t="s">
        <v>1604</v>
      </c>
    </row>
    <row r="582" spans="1:3" x14ac:dyDescent="0.25">
      <c r="A582" s="9" t="s">
        <v>1429</v>
      </c>
      <c r="B582" s="7" t="s">
        <v>1609</v>
      </c>
      <c r="C582" s="1" t="s">
        <v>1604</v>
      </c>
    </row>
    <row r="583" spans="1:3" x14ac:dyDescent="0.25">
      <c r="A583" s="9" t="s">
        <v>1433</v>
      </c>
      <c r="B583" s="7" t="s">
        <v>1609</v>
      </c>
      <c r="C583" s="1" t="s">
        <v>1604</v>
      </c>
    </row>
    <row r="584" spans="1:3" x14ac:dyDescent="0.25">
      <c r="A584" s="9" t="s">
        <v>1434</v>
      </c>
      <c r="B584" s="7" t="s">
        <v>1609</v>
      </c>
      <c r="C584" s="1" t="s">
        <v>1604</v>
      </c>
    </row>
    <row r="585" spans="1:3" x14ac:dyDescent="0.25">
      <c r="A585" s="9" t="s">
        <v>1435</v>
      </c>
      <c r="B585" s="7" t="s">
        <v>1609</v>
      </c>
      <c r="C585" s="1" t="s">
        <v>1604</v>
      </c>
    </row>
    <row r="586" spans="1:3" x14ac:dyDescent="0.25">
      <c r="A586" s="9" t="s">
        <v>1231</v>
      </c>
      <c r="B586" s="7" t="s">
        <v>1609</v>
      </c>
      <c r="C586" s="1" t="s">
        <v>1604</v>
      </c>
    </row>
    <row r="587" spans="1:3" x14ac:dyDescent="0.25">
      <c r="A587" s="9" t="s">
        <v>1436</v>
      </c>
      <c r="B587" s="7" t="s">
        <v>1609</v>
      </c>
      <c r="C587" s="1" t="s">
        <v>1604</v>
      </c>
    </row>
    <row r="588" spans="1:3" x14ac:dyDescent="0.25">
      <c r="A588" s="9" t="s">
        <v>1608</v>
      </c>
      <c r="B588" s="7" t="s">
        <v>1609</v>
      </c>
      <c r="C588" s="1" t="s">
        <v>1611</v>
      </c>
    </row>
    <row r="589" spans="1:3" x14ac:dyDescent="0.25">
      <c r="A589" s="9" t="s">
        <v>245</v>
      </c>
      <c r="B589" s="7" t="s">
        <v>1609</v>
      </c>
      <c r="C589" s="1" t="s">
        <v>1604</v>
      </c>
    </row>
    <row r="590" spans="1:3" x14ac:dyDescent="0.25">
      <c r="A590" s="9" t="s">
        <v>1451</v>
      </c>
      <c r="B590" s="7" t="s">
        <v>1609</v>
      </c>
      <c r="C590" s="1" t="s">
        <v>1604</v>
      </c>
    </row>
    <row r="591" spans="1:3" x14ac:dyDescent="0.25">
      <c r="A591" s="9" t="s">
        <v>378</v>
      </c>
      <c r="B591" s="7" t="s">
        <v>1609</v>
      </c>
      <c r="C591" s="1" t="s">
        <v>1604</v>
      </c>
    </row>
    <row r="592" spans="1:3" x14ac:dyDescent="0.25">
      <c r="A592" s="9" t="s">
        <v>1461</v>
      </c>
      <c r="B592" s="7" t="s">
        <v>1609</v>
      </c>
      <c r="C592" s="1" t="s">
        <v>1604</v>
      </c>
    </row>
    <row r="593" spans="1:3" x14ac:dyDescent="0.25">
      <c r="A593" s="9" t="s">
        <v>1166</v>
      </c>
      <c r="B593" s="7" t="s">
        <v>1609</v>
      </c>
      <c r="C593" s="1" t="s">
        <v>1611</v>
      </c>
    </row>
    <row r="594" spans="1:3" x14ac:dyDescent="0.25">
      <c r="A594" s="9" t="s">
        <v>480</v>
      </c>
      <c r="B594" s="7" t="s">
        <v>1609</v>
      </c>
      <c r="C594" s="1" t="s">
        <v>1604</v>
      </c>
    </row>
    <row r="595" spans="1:3" x14ac:dyDescent="0.25">
      <c r="A595" s="9" t="s">
        <v>1467</v>
      </c>
      <c r="B595" s="7" t="s">
        <v>1609</v>
      </c>
      <c r="C595" s="1" t="s">
        <v>1604</v>
      </c>
    </row>
    <row r="596" spans="1:3" x14ac:dyDescent="0.25">
      <c r="A596" s="9" t="s">
        <v>1473</v>
      </c>
      <c r="B596" s="7" t="s">
        <v>1609</v>
      </c>
      <c r="C596" s="1" t="s">
        <v>1604</v>
      </c>
    </row>
    <row r="597" spans="1:3" x14ac:dyDescent="0.25">
      <c r="A597" s="9" t="s">
        <v>517</v>
      </c>
      <c r="B597" s="7" t="s">
        <v>1609</v>
      </c>
      <c r="C597" s="1" t="s">
        <v>1604</v>
      </c>
    </row>
    <row r="598" spans="1:3" x14ac:dyDescent="0.25">
      <c r="A598" s="9" t="s">
        <v>1500</v>
      </c>
      <c r="B598" s="7" t="s">
        <v>1609</v>
      </c>
      <c r="C598" s="1" t="s">
        <v>1604</v>
      </c>
    </row>
    <row r="599" spans="1:3" x14ac:dyDescent="0.25">
      <c r="A599" s="9" t="s">
        <v>190</v>
      </c>
      <c r="B599" s="7" t="s">
        <v>1609</v>
      </c>
      <c r="C599" s="1" t="s">
        <v>1611</v>
      </c>
    </row>
    <row r="600" spans="1:3" x14ac:dyDescent="0.25">
      <c r="A600" s="9" t="s">
        <v>1502</v>
      </c>
      <c r="B600" s="7" t="s">
        <v>1609</v>
      </c>
      <c r="C600" s="1" t="s">
        <v>1604</v>
      </c>
    </row>
    <row r="601" spans="1:3" x14ac:dyDescent="0.25">
      <c r="A601" s="9" t="s">
        <v>113</v>
      </c>
      <c r="B601" s="7" t="s">
        <v>1609</v>
      </c>
      <c r="C601" s="1" t="s">
        <v>1611</v>
      </c>
    </row>
    <row r="602" spans="1:3" x14ac:dyDescent="0.25">
      <c r="A602" s="9" t="s">
        <v>1234</v>
      </c>
      <c r="B602" s="7" t="s">
        <v>1609</v>
      </c>
      <c r="C602" s="1" t="s">
        <v>1611</v>
      </c>
    </row>
    <row r="603" spans="1:3" x14ac:dyDescent="0.25">
      <c r="A603" s="9" t="s">
        <v>552</v>
      </c>
      <c r="B603" s="7" t="s">
        <v>1609</v>
      </c>
      <c r="C603" s="1" t="s">
        <v>1604</v>
      </c>
    </row>
    <row r="604" spans="1:3" x14ac:dyDescent="0.25">
      <c r="A604" s="9" t="s">
        <v>1183</v>
      </c>
      <c r="B604" s="7" t="s">
        <v>1609</v>
      </c>
      <c r="C604" s="1" t="s">
        <v>1604</v>
      </c>
    </row>
    <row r="605" spans="1:3" x14ac:dyDescent="0.25">
      <c r="A605" s="9" t="s">
        <v>1598</v>
      </c>
      <c r="B605" s="7" t="s">
        <v>1609</v>
      </c>
      <c r="C605" s="1" t="s">
        <v>1604</v>
      </c>
    </row>
    <row r="606" spans="1:3" x14ac:dyDescent="0.25">
      <c r="A606" s="10" t="s">
        <v>1612</v>
      </c>
      <c r="B606" s="7" t="s">
        <v>2325</v>
      </c>
    </row>
    <row r="607" spans="1:3" x14ac:dyDescent="0.25">
      <c r="A607" s="10" t="s">
        <v>1613</v>
      </c>
      <c r="B607" s="7" t="s">
        <v>2325</v>
      </c>
    </row>
    <row r="608" spans="1:3" x14ac:dyDescent="0.25">
      <c r="A608" s="10" t="s">
        <v>1614</v>
      </c>
      <c r="B608" s="7" t="s">
        <v>2325</v>
      </c>
    </row>
    <row r="609" spans="1:2" x14ac:dyDescent="0.25">
      <c r="A609" s="10" t="s">
        <v>218</v>
      </c>
      <c r="B609" s="7" t="s">
        <v>2325</v>
      </c>
    </row>
    <row r="610" spans="1:2" x14ac:dyDescent="0.25">
      <c r="A610" s="10" t="s">
        <v>1615</v>
      </c>
      <c r="B610" s="7" t="s">
        <v>2325</v>
      </c>
    </row>
    <row r="611" spans="1:2" x14ac:dyDescent="0.25">
      <c r="A611" s="10" t="s">
        <v>1616</v>
      </c>
      <c r="B611" s="7" t="s">
        <v>2325</v>
      </c>
    </row>
    <row r="612" spans="1:2" x14ac:dyDescent="0.25">
      <c r="A612" s="10" t="s">
        <v>138</v>
      </c>
      <c r="B612" s="7" t="s">
        <v>2325</v>
      </c>
    </row>
    <row r="613" spans="1:2" x14ac:dyDescent="0.25">
      <c r="A613" s="10" t="s">
        <v>830</v>
      </c>
      <c r="B613" s="7" t="s">
        <v>2325</v>
      </c>
    </row>
    <row r="614" spans="1:2" x14ac:dyDescent="0.25">
      <c r="A614" s="10" t="s">
        <v>1617</v>
      </c>
      <c r="B614" s="7" t="s">
        <v>2325</v>
      </c>
    </row>
    <row r="615" spans="1:2" x14ac:dyDescent="0.25">
      <c r="A615" s="10" t="s">
        <v>1235</v>
      </c>
      <c r="B615" s="7" t="s">
        <v>2325</v>
      </c>
    </row>
    <row r="616" spans="1:2" x14ac:dyDescent="0.25">
      <c r="A616" s="10" t="s">
        <v>349</v>
      </c>
      <c r="B616" s="7" t="s">
        <v>2325</v>
      </c>
    </row>
    <row r="617" spans="1:2" x14ac:dyDescent="0.25">
      <c r="A617" s="10" t="s">
        <v>1618</v>
      </c>
      <c r="B617" s="7" t="s">
        <v>2325</v>
      </c>
    </row>
    <row r="618" spans="1:2" x14ac:dyDescent="0.25">
      <c r="A618" s="10" t="s">
        <v>1619</v>
      </c>
      <c r="B618" s="7" t="s">
        <v>2325</v>
      </c>
    </row>
    <row r="619" spans="1:2" x14ac:dyDescent="0.25">
      <c r="A619" s="10" t="s">
        <v>219</v>
      </c>
      <c r="B619" s="7" t="s">
        <v>2325</v>
      </c>
    </row>
    <row r="620" spans="1:2" x14ac:dyDescent="0.25">
      <c r="A620" s="10" t="s">
        <v>1620</v>
      </c>
      <c r="B620" s="7" t="s">
        <v>2325</v>
      </c>
    </row>
    <row r="621" spans="1:2" x14ac:dyDescent="0.25">
      <c r="A621" s="10" t="s">
        <v>1621</v>
      </c>
      <c r="B621" s="7" t="s">
        <v>2325</v>
      </c>
    </row>
    <row r="622" spans="1:2" x14ac:dyDescent="0.25">
      <c r="A622" s="10" t="s">
        <v>293</v>
      </c>
      <c r="B622" s="7" t="s">
        <v>2325</v>
      </c>
    </row>
    <row r="623" spans="1:2" x14ac:dyDescent="0.25">
      <c r="A623" s="10" t="s">
        <v>1622</v>
      </c>
      <c r="B623" s="7" t="s">
        <v>2325</v>
      </c>
    </row>
    <row r="624" spans="1:2" x14ac:dyDescent="0.25">
      <c r="A624" s="10" t="s">
        <v>12</v>
      </c>
      <c r="B624" s="7" t="s">
        <v>2325</v>
      </c>
    </row>
    <row r="625" spans="1:2" x14ac:dyDescent="0.25">
      <c r="A625" s="10" t="s">
        <v>1623</v>
      </c>
      <c r="B625" s="7" t="s">
        <v>2325</v>
      </c>
    </row>
    <row r="626" spans="1:2" x14ac:dyDescent="0.25">
      <c r="A626" s="10" t="s">
        <v>1139</v>
      </c>
      <c r="B626" s="7" t="s">
        <v>2325</v>
      </c>
    </row>
    <row r="627" spans="1:2" x14ac:dyDescent="0.25">
      <c r="A627" s="10" t="s">
        <v>988</v>
      </c>
      <c r="B627" s="7" t="s">
        <v>2325</v>
      </c>
    </row>
    <row r="628" spans="1:2" x14ac:dyDescent="0.25">
      <c r="A628" s="10" t="s">
        <v>96</v>
      </c>
      <c r="B628" s="7" t="s">
        <v>2325</v>
      </c>
    </row>
    <row r="629" spans="1:2" x14ac:dyDescent="0.25">
      <c r="A629" s="10" t="s">
        <v>1624</v>
      </c>
      <c r="B629" s="7" t="s">
        <v>2325</v>
      </c>
    </row>
    <row r="630" spans="1:2" x14ac:dyDescent="0.25">
      <c r="A630" s="10" t="s">
        <v>1625</v>
      </c>
      <c r="B630" s="7" t="s">
        <v>2325</v>
      </c>
    </row>
    <row r="631" spans="1:2" x14ac:dyDescent="0.25">
      <c r="A631" s="10" t="s">
        <v>1626</v>
      </c>
      <c r="B631" s="7" t="s">
        <v>2325</v>
      </c>
    </row>
    <row r="632" spans="1:2" x14ac:dyDescent="0.25">
      <c r="A632" s="10" t="s">
        <v>1627</v>
      </c>
      <c r="B632" s="7" t="s">
        <v>2325</v>
      </c>
    </row>
    <row r="633" spans="1:2" x14ac:dyDescent="0.25">
      <c r="A633" s="10" t="s">
        <v>1628</v>
      </c>
      <c r="B633" s="7" t="s">
        <v>2325</v>
      </c>
    </row>
    <row r="634" spans="1:2" x14ac:dyDescent="0.25">
      <c r="A634" s="10" t="s">
        <v>1629</v>
      </c>
      <c r="B634" s="7" t="s">
        <v>2325</v>
      </c>
    </row>
    <row r="635" spans="1:2" x14ac:dyDescent="0.25">
      <c r="A635" s="10" t="s">
        <v>1630</v>
      </c>
      <c r="B635" s="7" t="s">
        <v>2325</v>
      </c>
    </row>
    <row r="636" spans="1:2" x14ac:dyDescent="0.25">
      <c r="A636" s="10" t="s">
        <v>150</v>
      </c>
      <c r="B636" s="7" t="s">
        <v>2325</v>
      </c>
    </row>
    <row r="637" spans="1:2" x14ac:dyDescent="0.25">
      <c r="A637" s="10" t="s">
        <v>1631</v>
      </c>
      <c r="B637" s="7" t="s">
        <v>2325</v>
      </c>
    </row>
    <row r="638" spans="1:2" x14ac:dyDescent="0.25">
      <c r="A638" s="10" t="s">
        <v>1632</v>
      </c>
      <c r="B638" s="7" t="s">
        <v>2325</v>
      </c>
    </row>
    <row r="639" spans="1:2" x14ac:dyDescent="0.25">
      <c r="A639" s="10" t="s">
        <v>1633</v>
      </c>
      <c r="B639" s="7" t="s">
        <v>2325</v>
      </c>
    </row>
    <row r="640" spans="1:2" x14ac:dyDescent="0.25">
      <c r="A640" s="10" t="s">
        <v>1634</v>
      </c>
      <c r="B640" s="7" t="s">
        <v>2325</v>
      </c>
    </row>
    <row r="641" spans="1:2" x14ac:dyDescent="0.25">
      <c r="A641" s="10" t="s">
        <v>432</v>
      </c>
      <c r="B641" s="7" t="s">
        <v>2325</v>
      </c>
    </row>
    <row r="642" spans="1:2" x14ac:dyDescent="0.25">
      <c r="A642" s="10" t="s">
        <v>1635</v>
      </c>
      <c r="B642" s="7" t="s">
        <v>2325</v>
      </c>
    </row>
    <row r="643" spans="1:2" x14ac:dyDescent="0.25">
      <c r="A643" s="10" t="s">
        <v>1636</v>
      </c>
      <c r="B643" s="7" t="s">
        <v>2325</v>
      </c>
    </row>
    <row r="644" spans="1:2" x14ac:dyDescent="0.25">
      <c r="A644" s="10" t="s">
        <v>1637</v>
      </c>
      <c r="B644" s="7" t="s">
        <v>2325</v>
      </c>
    </row>
    <row r="645" spans="1:2" x14ac:dyDescent="0.25">
      <c r="A645" s="10" t="s">
        <v>1638</v>
      </c>
      <c r="B645" s="7" t="s">
        <v>2325</v>
      </c>
    </row>
    <row r="646" spans="1:2" x14ac:dyDescent="0.25">
      <c r="A646" s="10" t="s">
        <v>1639</v>
      </c>
      <c r="B646" s="7" t="s">
        <v>2325</v>
      </c>
    </row>
    <row r="647" spans="1:2" x14ac:dyDescent="0.25">
      <c r="A647" s="10" t="s">
        <v>1640</v>
      </c>
      <c r="B647" s="7" t="s">
        <v>2325</v>
      </c>
    </row>
    <row r="648" spans="1:2" x14ac:dyDescent="0.25">
      <c r="A648" s="10" t="s">
        <v>1641</v>
      </c>
      <c r="B648" s="7" t="s">
        <v>2325</v>
      </c>
    </row>
    <row r="649" spans="1:2" x14ac:dyDescent="0.25">
      <c r="A649" s="10" t="s">
        <v>1642</v>
      </c>
      <c r="B649" s="7" t="s">
        <v>2325</v>
      </c>
    </row>
    <row r="650" spans="1:2" x14ac:dyDescent="0.25">
      <c r="A650" s="10" t="s">
        <v>1643</v>
      </c>
      <c r="B650" s="7" t="s">
        <v>2325</v>
      </c>
    </row>
    <row r="651" spans="1:2" x14ac:dyDescent="0.25">
      <c r="A651" s="10" t="s">
        <v>1644</v>
      </c>
      <c r="B651" s="7" t="s">
        <v>2325</v>
      </c>
    </row>
    <row r="652" spans="1:2" x14ac:dyDescent="0.25">
      <c r="A652" s="10" t="s">
        <v>15</v>
      </c>
      <c r="B652" s="7" t="s">
        <v>2325</v>
      </c>
    </row>
    <row r="653" spans="1:2" x14ac:dyDescent="0.25">
      <c r="A653" s="10" t="s">
        <v>1645</v>
      </c>
      <c r="B653" s="7" t="s">
        <v>2325</v>
      </c>
    </row>
    <row r="654" spans="1:2" x14ac:dyDescent="0.25">
      <c r="A654" s="10" t="s">
        <v>184</v>
      </c>
      <c r="B654" s="7" t="s">
        <v>2325</v>
      </c>
    </row>
    <row r="655" spans="1:2" x14ac:dyDescent="0.25">
      <c r="A655" s="10" t="s">
        <v>479</v>
      </c>
      <c r="B655" s="7" t="s">
        <v>2325</v>
      </c>
    </row>
    <row r="656" spans="1:2" x14ac:dyDescent="0.25">
      <c r="A656" s="10" t="s">
        <v>1646</v>
      </c>
      <c r="B656" s="7" t="s">
        <v>2325</v>
      </c>
    </row>
    <row r="657" spans="1:2" x14ac:dyDescent="0.25">
      <c r="A657" s="10" t="s">
        <v>156</v>
      </c>
      <c r="B657" s="7" t="s">
        <v>2325</v>
      </c>
    </row>
    <row r="658" spans="1:2" x14ac:dyDescent="0.25">
      <c r="A658" s="10" t="s">
        <v>1647</v>
      </c>
      <c r="B658" s="7" t="s">
        <v>2325</v>
      </c>
    </row>
    <row r="659" spans="1:2" x14ac:dyDescent="0.25">
      <c r="A659" s="10" t="s">
        <v>1648</v>
      </c>
      <c r="B659" s="7" t="s">
        <v>2325</v>
      </c>
    </row>
    <row r="660" spans="1:2" x14ac:dyDescent="0.25">
      <c r="A660" s="10" t="s">
        <v>1649</v>
      </c>
      <c r="B660" s="7" t="s">
        <v>2325</v>
      </c>
    </row>
    <row r="661" spans="1:2" x14ac:dyDescent="0.25">
      <c r="A661" s="10" t="s">
        <v>398</v>
      </c>
      <c r="B661" s="7" t="s">
        <v>2325</v>
      </c>
    </row>
    <row r="662" spans="1:2" x14ac:dyDescent="0.25">
      <c r="A662" s="10" t="s">
        <v>1650</v>
      </c>
      <c r="B662" s="7" t="s">
        <v>2325</v>
      </c>
    </row>
    <row r="663" spans="1:2" x14ac:dyDescent="0.25">
      <c r="A663" s="10" t="s">
        <v>328</v>
      </c>
      <c r="B663" s="7" t="s">
        <v>2325</v>
      </c>
    </row>
    <row r="664" spans="1:2" x14ac:dyDescent="0.25">
      <c r="A664" s="10" t="s">
        <v>532</v>
      </c>
      <c r="B664" s="7" t="s">
        <v>2325</v>
      </c>
    </row>
    <row r="665" spans="1:2" x14ac:dyDescent="0.25">
      <c r="A665" s="10" t="s">
        <v>331</v>
      </c>
      <c r="B665" s="7" t="s">
        <v>2325</v>
      </c>
    </row>
    <row r="666" spans="1:2" x14ac:dyDescent="0.25">
      <c r="A666" s="10" t="s">
        <v>1096</v>
      </c>
      <c r="B666" s="7" t="s">
        <v>2325</v>
      </c>
    </row>
    <row r="667" spans="1:2" x14ac:dyDescent="0.25">
      <c r="A667" s="10" t="s">
        <v>1651</v>
      </c>
      <c r="B667" s="7" t="s">
        <v>2325</v>
      </c>
    </row>
    <row r="668" spans="1:2" x14ac:dyDescent="0.25">
      <c r="A668" s="10" t="s">
        <v>1652</v>
      </c>
      <c r="B668" s="7" t="s">
        <v>2325</v>
      </c>
    </row>
    <row r="669" spans="1:2" x14ac:dyDescent="0.25">
      <c r="A669" s="10" t="s">
        <v>1653</v>
      </c>
      <c r="B669" s="7" t="s">
        <v>2325</v>
      </c>
    </row>
    <row r="670" spans="1:2" x14ac:dyDescent="0.25">
      <c r="A670" s="10" t="s">
        <v>1654</v>
      </c>
      <c r="B670" s="7" t="s">
        <v>2325</v>
      </c>
    </row>
    <row r="671" spans="1:2" x14ac:dyDescent="0.25">
      <c r="A671" s="10" t="s">
        <v>1167</v>
      </c>
      <c r="B671" s="7" t="s">
        <v>2325</v>
      </c>
    </row>
    <row r="672" spans="1:2" x14ac:dyDescent="0.25">
      <c r="A672" s="10" t="s">
        <v>754</v>
      </c>
      <c r="B672" s="7" t="s">
        <v>2325</v>
      </c>
    </row>
    <row r="673" spans="1:2" x14ac:dyDescent="0.25">
      <c r="A673" s="10" t="s">
        <v>1655</v>
      </c>
      <c r="B673" s="7" t="s">
        <v>2325</v>
      </c>
    </row>
    <row r="674" spans="1:2" x14ac:dyDescent="0.25">
      <c r="A674" s="10" t="s">
        <v>1656</v>
      </c>
      <c r="B674" s="7" t="s">
        <v>2325</v>
      </c>
    </row>
    <row r="675" spans="1:2" x14ac:dyDescent="0.25">
      <c r="A675" s="10" t="s">
        <v>1657</v>
      </c>
      <c r="B675" s="7" t="s">
        <v>2325</v>
      </c>
    </row>
    <row r="676" spans="1:2" x14ac:dyDescent="0.25">
      <c r="A676" s="10" t="s">
        <v>49</v>
      </c>
      <c r="B676" s="7" t="s">
        <v>2325</v>
      </c>
    </row>
    <row r="677" spans="1:2" x14ac:dyDescent="0.25">
      <c r="A677" s="10" t="s">
        <v>405</v>
      </c>
      <c r="B677" s="7" t="s">
        <v>2325</v>
      </c>
    </row>
    <row r="678" spans="1:2" x14ac:dyDescent="0.25">
      <c r="A678" s="10" t="s">
        <v>1658</v>
      </c>
      <c r="B678" s="7" t="s">
        <v>2325</v>
      </c>
    </row>
    <row r="679" spans="1:2" x14ac:dyDescent="0.25">
      <c r="A679" s="10" t="s">
        <v>730</v>
      </c>
      <c r="B679" s="7" t="s">
        <v>2325</v>
      </c>
    </row>
    <row r="680" spans="1:2" x14ac:dyDescent="0.25">
      <c r="A680" s="10" t="s">
        <v>1659</v>
      </c>
      <c r="B680" s="7" t="s">
        <v>2325</v>
      </c>
    </row>
    <row r="681" spans="1:2" x14ac:dyDescent="0.25">
      <c r="A681" s="10" t="s">
        <v>118</v>
      </c>
      <c r="B681" s="7" t="s">
        <v>2325</v>
      </c>
    </row>
    <row r="682" spans="1:2" x14ac:dyDescent="0.25">
      <c r="A682" s="10" t="s">
        <v>1660</v>
      </c>
      <c r="B682" s="7" t="s">
        <v>2325</v>
      </c>
    </row>
    <row r="683" spans="1:2" x14ac:dyDescent="0.25">
      <c r="A683" s="10" t="s">
        <v>291</v>
      </c>
      <c r="B683" s="7" t="s">
        <v>2325</v>
      </c>
    </row>
    <row r="684" spans="1:2" x14ac:dyDescent="0.25">
      <c r="A684" s="10" t="s">
        <v>441</v>
      </c>
      <c r="B684" s="7" t="s">
        <v>2325</v>
      </c>
    </row>
    <row r="685" spans="1:2" x14ac:dyDescent="0.25">
      <c r="A685" s="10" t="s">
        <v>1661</v>
      </c>
      <c r="B685" s="7" t="s">
        <v>2325</v>
      </c>
    </row>
    <row r="686" spans="1:2" x14ac:dyDescent="0.25">
      <c r="A686" s="10" t="s">
        <v>1662</v>
      </c>
      <c r="B686" s="7" t="s">
        <v>2325</v>
      </c>
    </row>
    <row r="687" spans="1:2" x14ac:dyDescent="0.25">
      <c r="A687" s="10" t="s">
        <v>967</v>
      </c>
      <c r="B687" s="7" t="s">
        <v>2325</v>
      </c>
    </row>
    <row r="688" spans="1:2" x14ac:dyDescent="0.25">
      <c r="A688" s="10" t="s">
        <v>1663</v>
      </c>
      <c r="B688" s="7" t="s">
        <v>2325</v>
      </c>
    </row>
    <row r="689" spans="1:2" x14ac:dyDescent="0.25">
      <c r="A689" s="10" t="s">
        <v>1664</v>
      </c>
      <c r="B689" s="7" t="s">
        <v>2325</v>
      </c>
    </row>
    <row r="690" spans="1:2" x14ac:dyDescent="0.25">
      <c r="A690" s="10" t="s">
        <v>1665</v>
      </c>
      <c r="B690" s="7" t="s">
        <v>2325</v>
      </c>
    </row>
    <row r="691" spans="1:2" x14ac:dyDescent="0.25">
      <c r="A691" s="10" t="s">
        <v>866</v>
      </c>
      <c r="B691" s="7" t="s">
        <v>2325</v>
      </c>
    </row>
    <row r="692" spans="1:2" x14ac:dyDescent="0.25">
      <c r="A692" s="10" t="s">
        <v>1666</v>
      </c>
      <c r="B692" s="7" t="s">
        <v>2325</v>
      </c>
    </row>
    <row r="693" spans="1:2" x14ac:dyDescent="0.25">
      <c r="A693" s="10" t="s">
        <v>1667</v>
      </c>
      <c r="B693" s="7" t="s">
        <v>2325</v>
      </c>
    </row>
    <row r="694" spans="1:2" x14ac:dyDescent="0.25">
      <c r="A694" s="10" t="s">
        <v>1668</v>
      </c>
      <c r="B694" s="7" t="s">
        <v>2325</v>
      </c>
    </row>
    <row r="695" spans="1:2" x14ac:dyDescent="0.25">
      <c r="A695" s="10" t="s">
        <v>233</v>
      </c>
      <c r="B695" s="7" t="s">
        <v>2325</v>
      </c>
    </row>
    <row r="696" spans="1:2" x14ac:dyDescent="0.25">
      <c r="A696" s="10" t="s">
        <v>1669</v>
      </c>
      <c r="B696" s="7" t="s">
        <v>2325</v>
      </c>
    </row>
    <row r="697" spans="1:2" x14ac:dyDescent="0.25">
      <c r="A697" s="10" t="s">
        <v>1670</v>
      </c>
      <c r="B697" s="7" t="s">
        <v>2325</v>
      </c>
    </row>
    <row r="698" spans="1:2" x14ac:dyDescent="0.25">
      <c r="A698" s="10" t="s">
        <v>287</v>
      </c>
      <c r="B698" s="7" t="s">
        <v>2325</v>
      </c>
    </row>
    <row r="699" spans="1:2" x14ac:dyDescent="0.25">
      <c r="A699" s="10" t="s">
        <v>1671</v>
      </c>
      <c r="B699" s="7" t="s">
        <v>2325</v>
      </c>
    </row>
    <row r="700" spans="1:2" x14ac:dyDescent="0.25">
      <c r="A700" s="10" t="s">
        <v>1205</v>
      </c>
      <c r="B700" s="7" t="s">
        <v>2325</v>
      </c>
    </row>
    <row r="701" spans="1:2" x14ac:dyDescent="0.25">
      <c r="A701" s="10" t="s">
        <v>1672</v>
      </c>
      <c r="B701" s="7" t="s">
        <v>2325</v>
      </c>
    </row>
    <row r="702" spans="1:2" x14ac:dyDescent="0.25">
      <c r="A702" s="10" t="s">
        <v>483</v>
      </c>
      <c r="B702" s="7" t="s">
        <v>2325</v>
      </c>
    </row>
    <row r="703" spans="1:2" x14ac:dyDescent="0.25">
      <c r="A703" s="10" t="s">
        <v>1673</v>
      </c>
      <c r="B703" s="7" t="s">
        <v>2325</v>
      </c>
    </row>
    <row r="704" spans="1:2" x14ac:dyDescent="0.25">
      <c r="A704" s="10" t="s">
        <v>1674</v>
      </c>
      <c r="B704" s="7" t="s">
        <v>2325</v>
      </c>
    </row>
    <row r="705" spans="1:2" x14ac:dyDescent="0.25">
      <c r="A705" s="10" t="s">
        <v>1675</v>
      </c>
      <c r="B705" s="7" t="s">
        <v>2325</v>
      </c>
    </row>
    <row r="706" spans="1:2" x14ac:dyDescent="0.25">
      <c r="A706" s="10" t="s">
        <v>1676</v>
      </c>
      <c r="B706" s="7" t="s">
        <v>2325</v>
      </c>
    </row>
    <row r="707" spans="1:2" x14ac:dyDescent="0.25">
      <c r="A707" s="10" t="s">
        <v>629</v>
      </c>
      <c r="B707" s="7" t="s">
        <v>2325</v>
      </c>
    </row>
    <row r="708" spans="1:2" x14ac:dyDescent="0.25">
      <c r="A708" s="10" t="s">
        <v>1105</v>
      </c>
      <c r="B708" s="7" t="s">
        <v>2325</v>
      </c>
    </row>
    <row r="709" spans="1:2" x14ac:dyDescent="0.25">
      <c r="A709" s="10" t="s">
        <v>1677</v>
      </c>
      <c r="B709" s="7" t="s">
        <v>2325</v>
      </c>
    </row>
    <row r="710" spans="1:2" x14ac:dyDescent="0.25">
      <c r="A710" s="10" t="s">
        <v>1678</v>
      </c>
      <c r="B710" s="7" t="s">
        <v>2325</v>
      </c>
    </row>
    <row r="711" spans="1:2" x14ac:dyDescent="0.25">
      <c r="A711" s="10" t="s">
        <v>316</v>
      </c>
      <c r="B711" s="7" t="s">
        <v>2325</v>
      </c>
    </row>
    <row r="712" spans="1:2" x14ac:dyDescent="0.25">
      <c r="A712" s="10" t="s">
        <v>1132</v>
      </c>
      <c r="B712" s="7" t="s">
        <v>2325</v>
      </c>
    </row>
    <row r="713" spans="1:2" x14ac:dyDescent="0.25">
      <c r="A713" s="10" t="s">
        <v>973</v>
      </c>
      <c r="B713" s="7" t="s">
        <v>2325</v>
      </c>
    </row>
    <row r="714" spans="1:2" x14ac:dyDescent="0.25">
      <c r="A714" s="10" t="s">
        <v>1679</v>
      </c>
      <c r="B714" s="7" t="s">
        <v>2325</v>
      </c>
    </row>
    <row r="715" spans="1:2" x14ac:dyDescent="0.25">
      <c r="A715" s="10" t="s">
        <v>1680</v>
      </c>
      <c r="B715" s="7" t="s">
        <v>2325</v>
      </c>
    </row>
    <row r="716" spans="1:2" x14ac:dyDescent="0.25">
      <c r="A716" s="10" t="s">
        <v>1681</v>
      </c>
      <c r="B716" s="7" t="s">
        <v>2325</v>
      </c>
    </row>
    <row r="717" spans="1:2" x14ac:dyDescent="0.25">
      <c r="A717" s="10" t="s">
        <v>1682</v>
      </c>
      <c r="B717" s="7" t="s">
        <v>2325</v>
      </c>
    </row>
    <row r="718" spans="1:2" x14ac:dyDescent="0.25">
      <c r="A718" s="10" t="s">
        <v>1683</v>
      </c>
      <c r="B718" s="7" t="s">
        <v>2325</v>
      </c>
    </row>
    <row r="719" spans="1:2" x14ac:dyDescent="0.25">
      <c r="A719" s="10" t="s">
        <v>544</v>
      </c>
      <c r="B719" s="7" t="s">
        <v>2325</v>
      </c>
    </row>
    <row r="720" spans="1:2" x14ac:dyDescent="0.25">
      <c r="A720" s="10" t="s">
        <v>1684</v>
      </c>
      <c r="B720" s="7" t="s">
        <v>2325</v>
      </c>
    </row>
    <row r="721" spans="1:2" x14ac:dyDescent="0.25">
      <c r="A721" s="10" t="s">
        <v>1685</v>
      </c>
      <c r="B721" s="7" t="s">
        <v>2325</v>
      </c>
    </row>
    <row r="722" spans="1:2" x14ac:dyDescent="0.25">
      <c r="A722" s="10" t="s">
        <v>1686</v>
      </c>
      <c r="B722" s="7" t="s">
        <v>2325</v>
      </c>
    </row>
    <row r="723" spans="1:2" x14ac:dyDescent="0.25">
      <c r="A723" s="10" t="s">
        <v>1687</v>
      </c>
      <c r="B723" s="7" t="s">
        <v>2325</v>
      </c>
    </row>
    <row r="724" spans="1:2" x14ac:dyDescent="0.25">
      <c r="A724" s="10" t="s">
        <v>809</v>
      </c>
      <c r="B724" s="7" t="s">
        <v>2325</v>
      </c>
    </row>
    <row r="725" spans="1:2" x14ac:dyDescent="0.25">
      <c r="A725" s="10" t="s">
        <v>1176</v>
      </c>
      <c r="B725" s="7" t="s">
        <v>2325</v>
      </c>
    </row>
    <row r="726" spans="1:2" x14ac:dyDescent="0.25">
      <c r="A726" s="10" t="s">
        <v>692</v>
      </c>
      <c r="B726" s="7" t="s">
        <v>2325</v>
      </c>
    </row>
    <row r="727" spans="1:2" x14ac:dyDescent="0.25">
      <c r="A727" s="10" t="s">
        <v>1688</v>
      </c>
      <c r="B727" s="7" t="s">
        <v>2325</v>
      </c>
    </row>
    <row r="728" spans="1:2" x14ac:dyDescent="0.25">
      <c r="A728" s="10" t="s">
        <v>759</v>
      </c>
      <c r="B728" s="7" t="s">
        <v>2325</v>
      </c>
    </row>
    <row r="729" spans="1:2" x14ac:dyDescent="0.25">
      <c r="A729" s="10" t="s">
        <v>1689</v>
      </c>
      <c r="B729" s="7" t="s">
        <v>2325</v>
      </c>
    </row>
    <row r="730" spans="1:2" x14ac:dyDescent="0.25">
      <c r="A730" s="10" t="s">
        <v>264</v>
      </c>
      <c r="B730" s="7" t="s">
        <v>2325</v>
      </c>
    </row>
    <row r="731" spans="1:2" x14ac:dyDescent="0.25">
      <c r="A731" s="10" t="s">
        <v>1690</v>
      </c>
      <c r="B731" s="7" t="s">
        <v>2325</v>
      </c>
    </row>
    <row r="732" spans="1:2" x14ac:dyDescent="0.25">
      <c r="A732" s="10" t="s">
        <v>452</v>
      </c>
      <c r="B732" s="7" t="s">
        <v>2325</v>
      </c>
    </row>
    <row r="733" spans="1:2" x14ac:dyDescent="0.25">
      <c r="A733" s="10" t="s">
        <v>1691</v>
      </c>
      <c r="B733" s="7" t="s">
        <v>2325</v>
      </c>
    </row>
    <row r="734" spans="1:2" x14ac:dyDescent="0.25">
      <c r="A734" s="10" t="s">
        <v>1692</v>
      </c>
      <c r="B734" s="7" t="s">
        <v>2325</v>
      </c>
    </row>
    <row r="735" spans="1:2" x14ac:dyDescent="0.25">
      <c r="A735" s="10" t="s">
        <v>133</v>
      </c>
      <c r="B735" s="7" t="s">
        <v>2325</v>
      </c>
    </row>
    <row r="736" spans="1:2" x14ac:dyDescent="0.25">
      <c r="A736" s="10" t="s">
        <v>1693</v>
      </c>
      <c r="B736" s="7" t="s">
        <v>2325</v>
      </c>
    </row>
    <row r="737" spans="1:2" x14ac:dyDescent="0.25">
      <c r="A737" s="10" t="s">
        <v>1694</v>
      </c>
      <c r="B737" s="7" t="s">
        <v>2325</v>
      </c>
    </row>
    <row r="738" spans="1:2" x14ac:dyDescent="0.25">
      <c r="A738" s="10" t="s">
        <v>1695</v>
      </c>
      <c r="B738" s="7" t="s">
        <v>2325</v>
      </c>
    </row>
    <row r="739" spans="1:2" x14ac:dyDescent="0.25">
      <c r="A739" s="10" t="s">
        <v>108</v>
      </c>
      <c r="B739" s="7" t="s">
        <v>2325</v>
      </c>
    </row>
    <row r="740" spans="1:2" x14ac:dyDescent="0.25">
      <c r="A740" s="10" t="s">
        <v>61</v>
      </c>
      <c r="B740" s="7" t="s">
        <v>2325</v>
      </c>
    </row>
    <row r="741" spans="1:2" x14ac:dyDescent="0.25">
      <c r="A741" s="10" t="s">
        <v>1696</v>
      </c>
      <c r="B741" s="7" t="s">
        <v>2325</v>
      </c>
    </row>
    <row r="742" spans="1:2" x14ac:dyDescent="0.25">
      <c r="A742" s="10" t="s">
        <v>430</v>
      </c>
      <c r="B742" s="7" t="s">
        <v>2325</v>
      </c>
    </row>
    <row r="743" spans="1:2" x14ac:dyDescent="0.25">
      <c r="A743" s="10" t="s">
        <v>1697</v>
      </c>
      <c r="B743" s="7" t="s">
        <v>2325</v>
      </c>
    </row>
    <row r="744" spans="1:2" x14ac:dyDescent="0.25">
      <c r="A744" s="10" t="s">
        <v>1698</v>
      </c>
      <c r="B744" s="7" t="s">
        <v>2325</v>
      </c>
    </row>
    <row r="745" spans="1:2" x14ac:dyDescent="0.25">
      <c r="A745" s="10" t="s">
        <v>1699</v>
      </c>
      <c r="B745" s="7" t="s">
        <v>2325</v>
      </c>
    </row>
    <row r="746" spans="1:2" x14ac:dyDescent="0.25">
      <c r="A746" s="10" t="s">
        <v>439</v>
      </c>
      <c r="B746" s="7" t="s">
        <v>2325</v>
      </c>
    </row>
    <row r="747" spans="1:2" x14ac:dyDescent="0.25">
      <c r="A747" s="10" t="s">
        <v>269</v>
      </c>
      <c r="B747" s="7" t="s">
        <v>2325</v>
      </c>
    </row>
    <row r="748" spans="1:2" x14ac:dyDescent="0.25">
      <c r="A748" s="10" t="s">
        <v>128</v>
      </c>
      <c r="B748" s="7" t="s">
        <v>2325</v>
      </c>
    </row>
    <row r="749" spans="1:2" x14ac:dyDescent="0.25">
      <c r="A749" s="10" t="s">
        <v>1700</v>
      </c>
      <c r="B749" s="7" t="s">
        <v>2325</v>
      </c>
    </row>
    <row r="750" spans="1:2" x14ac:dyDescent="0.25">
      <c r="A750" s="10" t="s">
        <v>10</v>
      </c>
      <c r="B750" s="7" t="s">
        <v>2325</v>
      </c>
    </row>
    <row r="751" spans="1:2" x14ac:dyDescent="0.25">
      <c r="A751" s="10" t="s">
        <v>1701</v>
      </c>
      <c r="B751" s="7" t="s">
        <v>2325</v>
      </c>
    </row>
    <row r="752" spans="1:2" x14ac:dyDescent="0.25">
      <c r="A752" s="10" t="s">
        <v>268</v>
      </c>
      <c r="B752" s="7" t="s">
        <v>2325</v>
      </c>
    </row>
    <row r="753" spans="1:2" x14ac:dyDescent="0.25">
      <c r="A753" s="10" t="s">
        <v>1702</v>
      </c>
      <c r="B753" s="7" t="s">
        <v>2325</v>
      </c>
    </row>
    <row r="754" spans="1:2" x14ac:dyDescent="0.25">
      <c r="A754" s="10" t="s">
        <v>522</v>
      </c>
      <c r="B754" s="7" t="s">
        <v>2325</v>
      </c>
    </row>
    <row r="755" spans="1:2" x14ac:dyDescent="0.25">
      <c r="A755" s="10" t="s">
        <v>55</v>
      </c>
      <c r="B755" s="7" t="s">
        <v>2325</v>
      </c>
    </row>
    <row r="756" spans="1:2" x14ac:dyDescent="0.25">
      <c r="A756" s="10" t="s">
        <v>50</v>
      </c>
      <c r="B756" s="7" t="s">
        <v>2325</v>
      </c>
    </row>
    <row r="757" spans="1:2" x14ac:dyDescent="0.25">
      <c r="A757" s="10" t="s">
        <v>1703</v>
      </c>
      <c r="B757" s="7" t="s">
        <v>2325</v>
      </c>
    </row>
    <row r="758" spans="1:2" x14ac:dyDescent="0.25">
      <c r="A758" s="10" t="s">
        <v>1704</v>
      </c>
      <c r="B758" s="7" t="s">
        <v>2325</v>
      </c>
    </row>
    <row r="759" spans="1:2" x14ac:dyDescent="0.25">
      <c r="A759" s="10" t="s">
        <v>72</v>
      </c>
      <c r="B759" s="7" t="s">
        <v>2325</v>
      </c>
    </row>
    <row r="760" spans="1:2" x14ac:dyDescent="0.25">
      <c r="A760" s="10" t="s">
        <v>1705</v>
      </c>
      <c r="B760" s="7" t="s">
        <v>2325</v>
      </c>
    </row>
    <row r="761" spans="1:2" x14ac:dyDescent="0.25">
      <c r="A761" s="10" t="s">
        <v>725</v>
      </c>
      <c r="B761" s="7" t="s">
        <v>2325</v>
      </c>
    </row>
    <row r="762" spans="1:2" x14ac:dyDescent="0.25">
      <c r="A762" s="10" t="s">
        <v>886</v>
      </c>
      <c r="B762" s="7" t="s">
        <v>2325</v>
      </c>
    </row>
    <row r="763" spans="1:2" x14ac:dyDescent="0.25">
      <c r="A763" s="10" t="s">
        <v>1706</v>
      </c>
      <c r="B763" s="7" t="s">
        <v>2325</v>
      </c>
    </row>
    <row r="764" spans="1:2" x14ac:dyDescent="0.25">
      <c r="A764" s="10" t="s">
        <v>1707</v>
      </c>
      <c r="B764" s="7" t="s">
        <v>2325</v>
      </c>
    </row>
    <row r="765" spans="1:2" x14ac:dyDescent="0.25">
      <c r="A765" s="10" t="s">
        <v>1708</v>
      </c>
      <c r="B765" s="7" t="s">
        <v>2325</v>
      </c>
    </row>
    <row r="766" spans="1:2" x14ac:dyDescent="0.25">
      <c r="A766" s="10" t="s">
        <v>308</v>
      </c>
      <c r="B766" s="7" t="s">
        <v>2325</v>
      </c>
    </row>
    <row r="767" spans="1:2" x14ac:dyDescent="0.25">
      <c r="A767" s="10" t="s">
        <v>1709</v>
      </c>
      <c r="B767" s="7" t="s">
        <v>2325</v>
      </c>
    </row>
    <row r="768" spans="1:2" x14ac:dyDescent="0.25">
      <c r="A768" s="10" t="s">
        <v>876</v>
      </c>
      <c r="B768" s="7" t="s">
        <v>2325</v>
      </c>
    </row>
    <row r="769" spans="1:2" x14ac:dyDescent="0.25">
      <c r="A769" s="10" t="s">
        <v>541</v>
      </c>
      <c r="B769" s="7" t="s">
        <v>2325</v>
      </c>
    </row>
    <row r="770" spans="1:2" x14ac:dyDescent="0.25">
      <c r="A770" s="10" t="s">
        <v>257</v>
      </c>
      <c r="B770" s="7" t="s">
        <v>2325</v>
      </c>
    </row>
    <row r="771" spans="1:2" x14ac:dyDescent="0.25">
      <c r="A771" s="10" t="s">
        <v>1710</v>
      </c>
      <c r="B771" s="7" t="s">
        <v>2325</v>
      </c>
    </row>
    <row r="772" spans="1:2" x14ac:dyDescent="0.25">
      <c r="A772" s="10" t="s">
        <v>1711</v>
      </c>
      <c r="B772" s="7" t="s">
        <v>2325</v>
      </c>
    </row>
    <row r="773" spans="1:2" x14ac:dyDescent="0.25">
      <c r="A773" s="10" t="s">
        <v>1217</v>
      </c>
      <c r="B773" s="7" t="s">
        <v>2325</v>
      </c>
    </row>
    <row r="774" spans="1:2" x14ac:dyDescent="0.25">
      <c r="A774" s="10" t="s">
        <v>1712</v>
      </c>
      <c r="B774" s="7" t="s">
        <v>2325</v>
      </c>
    </row>
    <row r="775" spans="1:2" x14ac:dyDescent="0.25">
      <c r="A775" s="10" t="s">
        <v>1207</v>
      </c>
      <c r="B775" s="7" t="s">
        <v>2325</v>
      </c>
    </row>
    <row r="776" spans="1:2" x14ac:dyDescent="0.25">
      <c r="A776" s="10" t="s">
        <v>1713</v>
      </c>
      <c r="B776" s="7" t="s">
        <v>2325</v>
      </c>
    </row>
    <row r="777" spans="1:2" x14ac:dyDescent="0.25">
      <c r="A777" s="10" t="s">
        <v>1108</v>
      </c>
      <c r="B777" s="7" t="s">
        <v>2325</v>
      </c>
    </row>
    <row r="778" spans="1:2" x14ac:dyDescent="0.25">
      <c r="A778" s="10" t="s">
        <v>1185</v>
      </c>
      <c r="B778" s="7" t="s">
        <v>2325</v>
      </c>
    </row>
    <row r="779" spans="1:2" x14ac:dyDescent="0.25">
      <c r="A779" s="10" t="s">
        <v>1714</v>
      </c>
      <c r="B779" s="7" t="s">
        <v>2325</v>
      </c>
    </row>
    <row r="780" spans="1:2" x14ac:dyDescent="0.25">
      <c r="A780" s="10" t="s">
        <v>259</v>
      </c>
      <c r="B780" s="7" t="s">
        <v>2325</v>
      </c>
    </row>
    <row r="781" spans="1:2" x14ac:dyDescent="0.25">
      <c r="A781" s="10" t="s">
        <v>1715</v>
      </c>
      <c r="B781" s="7" t="s">
        <v>2325</v>
      </c>
    </row>
    <row r="782" spans="1:2" x14ac:dyDescent="0.25">
      <c r="A782" s="10" t="s">
        <v>647</v>
      </c>
      <c r="B782" s="7" t="s">
        <v>2325</v>
      </c>
    </row>
    <row r="783" spans="1:2" x14ac:dyDescent="0.25">
      <c r="A783" s="10" t="s">
        <v>1716</v>
      </c>
      <c r="B783" s="7" t="s">
        <v>2325</v>
      </c>
    </row>
    <row r="784" spans="1:2" x14ac:dyDescent="0.25">
      <c r="A784" s="10" t="s">
        <v>1717</v>
      </c>
      <c r="B784" s="7" t="s">
        <v>2325</v>
      </c>
    </row>
    <row r="785" spans="1:2" x14ac:dyDescent="0.25">
      <c r="A785" s="10" t="s">
        <v>872</v>
      </c>
      <c r="B785" s="7" t="s">
        <v>2325</v>
      </c>
    </row>
    <row r="786" spans="1:2" x14ac:dyDescent="0.25">
      <c r="A786" s="10" t="s">
        <v>358</v>
      </c>
      <c r="B786" s="7" t="s">
        <v>2325</v>
      </c>
    </row>
    <row r="787" spans="1:2" x14ac:dyDescent="0.25">
      <c r="A787" s="10" t="s">
        <v>1718</v>
      </c>
      <c r="B787" s="7" t="s">
        <v>2325</v>
      </c>
    </row>
    <row r="788" spans="1:2" x14ac:dyDescent="0.25">
      <c r="A788" s="10" t="s">
        <v>1098</v>
      </c>
      <c r="B788" s="7" t="s">
        <v>2325</v>
      </c>
    </row>
    <row r="789" spans="1:2" x14ac:dyDescent="0.25">
      <c r="A789" s="10" t="s">
        <v>1719</v>
      </c>
      <c r="B789" s="7" t="s">
        <v>2325</v>
      </c>
    </row>
    <row r="790" spans="1:2" x14ac:dyDescent="0.25">
      <c r="A790" s="10" t="s">
        <v>1720</v>
      </c>
      <c r="B790" s="7" t="s">
        <v>2325</v>
      </c>
    </row>
    <row r="791" spans="1:2" x14ac:dyDescent="0.25">
      <c r="A791" s="10" t="s">
        <v>1721</v>
      </c>
      <c r="B791" s="7" t="s">
        <v>2325</v>
      </c>
    </row>
    <row r="792" spans="1:2" x14ac:dyDescent="0.25">
      <c r="A792" s="10" t="s">
        <v>377</v>
      </c>
      <c r="B792" s="7" t="s">
        <v>2325</v>
      </c>
    </row>
    <row r="793" spans="1:2" x14ac:dyDescent="0.25">
      <c r="A793" s="10" t="s">
        <v>720</v>
      </c>
      <c r="B793" s="7" t="s">
        <v>2325</v>
      </c>
    </row>
    <row r="794" spans="1:2" x14ac:dyDescent="0.25">
      <c r="A794" s="10" t="s">
        <v>326</v>
      </c>
      <c r="B794" s="7" t="s">
        <v>2325</v>
      </c>
    </row>
    <row r="795" spans="1:2" x14ac:dyDescent="0.25">
      <c r="A795" s="10" t="s">
        <v>1722</v>
      </c>
      <c r="B795" s="7" t="s">
        <v>2325</v>
      </c>
    </row>
    <row r="796" spans="1:2" x14ac:dyDescent="0.25">
      <c r="A796" s="10" t="s">
        <v>498</v>
      </c>
      <c r="B796" s="7" t="s">
        <v>2325</v>
      </c>
    </row>
    <row r="797" spans="1:2" x14ac:dyDescent="0.25">
      <c r="A797" s="10" t="s">
        <v>1723</v>
      </c>
      <c r="B797" s="7" t="s">
        <v>2325</v>
      </c>
    </row>
    <row r="798" spans="1:2" x14ac:dyDescent="0.25">
      <c r="A798" s="10" t="s">
        <v>1065</v>
      </c>
      <c r="B798" s="7" t="s">
        <v>2325</v>
      </c>
    </row>
    <row r="799" spans="1:2" x14ac:dyDescent="0.25">
      <c r="A799" s="10" t="s">
        <v>654</v>
      </c>
      <c r="B799" s="7" t="s">
        <v>2325</v>
      </c>
    </row>
    <row r="800" spans="1:2" x14ac:dyDescent="0.25">
      <c r="A800" s="10" t="s">
        <v>459</v>
      </c>
      <c r="B800" s="7" t="s">
        <v>2325</v>
      </c>
    </row>
    <row r="801" spans="1:2" x14ac:dyDescent="0.25">
      <c r="A801" s="10" t="s">
        <v>1724</v>
      </c>
      <c r="B801" s="7" t="s">
        <v>2325</v>
      </c>
    </row>
    <row r="802" spans="1:2" x14ac:dyDescent="0.25">
      <c r="A802" s="10" t="s">
        <v>179</v>
      </c>
      <c r="B802" s="7" t="s">
        <v>2325</v>
      </c>
    </row>
    <row r="803" spans="1:2" x14ac:dyDescent="0.25">
      <c r="A803" s="10" t="s">
        <v>1725</v>
      </c>
      <c r="B803" s="7" t="s">
        <v>2325</v>
      </c>
    </row>
    <row r="804" spans="1:2" x14ac:dyDescent="0.25">
      <c r="A804" s="10" t="s">
        <v>717</v>
      </c>
      <c r="B804" s="7" t="s">
        <v>2325</v>
      </c>
    </row>
    <row r="805" spans="1:2" x14ac:dyDescent="0.25">
      <c r="A805" s="10" t="s">
        <v>529</v>
      </c>
      <c r="B805" s="7" t="s">
        <v>2325</v>
      </c>
    </row>
    <row r="806" spans="1:2" x14ac:dyDescent="0.25">
      <c r="A806" s="10" t="s">
        <v>649</v>
      </c>
      <c r="B806" s="7" t="s">
        <v>2325</v>
      </c>
    </row>
    <row r="807" spans="1:2" x14ac:dyDescent="0.25">
      <c r="A807" s="10" t="s">
        <v>1726</v>
      </c>
      <c r="B807" s="7" t="s">
        <v>2325</v>
      </c>
    </row>
    <row r="808" spans="1:2" x14ac:dyDescent="0.25">
      <c r="A808" s="10" t="s">
        <v>1727</v>
      </c>
      <c r="B808" s="7" t="s">
        <v>2325</v>
      </c>
    </row>
    <row r="809" spans="1:2" x14ac:dyDescent="0.25">
      <c r="A809" s="10" t="s">
        <v>1728</v>
      </c>
      <c r="B809" s="7" t="s">
        <v>2325</v>
      </c>
    </row>
    <row r="810" spans="1:2" x14ac:dyDescent="0.25">
      <c r="A810" s="10" t="s">
        <v>1729</v>
      </c>
      <c r="B810" s="7" t="s">
        <v>2325</v>
      </c>
    </row>
    <row r="811" spans="1:2" x14ac:dyDescent="0.25">
      <c r="A811" s="10" t="s">
        <v>178</v>
      </c>
      <c r="B811" s="7" t="s">
        <v>2325</v>
      </c>
    </row>
    <row r="812" spans="1:2" x14ac:dyDescent="0.25">
      <c r="A812" s="10" t="s">
        <v>971</v>
      </c>
      <c r="B812" s="7" t="s">
        <v>2325</v>
      </c>
    </row>
    <row r="813" spans="1:2" x14ac:dyDescent="0.25">
      <c r="A813" s="10" t="s">
        <v>129</v>
      </c>
      <c r="B813" s="7" t="s">
        <v>2325</v>
      </c>
    </row>
    <row r="814" spans="1:2" x14ac:dyDescent="0.25">
      <c r="A814" s="10" t="s">
        <v>543</v>
      </c>
      <c r="B814" s="7" t="s">
        <v>2325</v>
      </c>
    </row>
    <row r="815" spans="1:2" x14ac:dyDescent="0.25">
      <c r="A815" s="10" t="s">
        <v>386</v>
      </c>
      <c r="B815" s="7" t="s">
        <v>2325</v>
      </c>
    </row>
    <row r="816" spans="1:2" x14ac:dyDescent="0.25">
      <c r="A816" s="10" t="s">
        <v>837</v>
      </c>
      <c r="B816" s="7" t="s">
        <v>2325</v>
      </c>
    </row>
    <row r="817" spans="1:2" x14ac:dyDescent="0.25">
      <c r="A817" s="10" t="s">
        <v>1257</v>
      </c>
      <c r="B817" s="7" t="s">
        <v>2325</v>
      </c>
    </row>
    <row r="818" spans="1:2" x14ac:dyDescent="0.25">
      <c r="A818" s="10" t="s">
        <v>535</v>
      </c>
      <c r="B818" s="7" t="s">
        <v>2325</v>
      </c>
    </row>
    <row r="819" spans="1:2" x14ac:dyDescent="0.25">
      <c r="A819" s="10" t="s">
        <v>533</v>
      </c>
      <c r="B819" s="7" t="s">
        <v>2325</v>
      </c>
    </row>
    <row r="820" spans="1:2" x14ac:dyDescent="0.25">
      <c r="A820" s="10" t="s">
        <v>1730</v>
      </c>
      <c r="B820" s="7" t="s">
        <v>2325</v>
      </c>
    </row>
    <row r="821" spans="1:2" x14ac:dyDescent="0.25">
      <c r="A821" s="10" t="s">
        <v>1731</v>
      </c>
      <c r="B821" s="7" t="s">
        <v>2325</v>
      </c>
    </row>
    <row r="822" spans="1:2" x14ac:dyDescent="0.25">
      <c r="A822" s="10" t="s">
        <v>1732</v>
      </c>
      <c r="B822" s="7" t="s">
        <v>2325</v>
      </c>
    </row>
    <row r="823" spans="1:2" x14ac:dyDescent="0.25">
      <c r="A823" s="10" t="s">
        <v>578</v>
      </c>
      <c r="B823" s="7" t="s">
        <v>2325</v>
      </c>
    </row>
    <row r="824" spans="1:2" x14ac:dyDescent="0.25">
      <c r="A824" s="10" t="s">
        <v>1733</v>
      </c>
      <c r="B824" s="7" t="s">
        <v>2325</v>
      </c>
    </row>
    <row r="825" spans="1:2" x14ac:dyDescent="0.25">
      <c r="A825" s="10" t="s">
        <v>1734</v>
      </c>
      <c r="B825" s="7" t="s">
        <v>2325</v>
      </c>
    </row>
    <row r="826" spans="1:2" x14ac:dyDescent="0.25">
      <c r="A826" s="10" t="s">
        <v>1735</v>
      </c>
      <c r="B826" s="7" t="s">
        <v>2325</v>
      </c>
    </row>
    <row r="827" spans="1:2" x14ac:dyDescent="0.25">
      <c r="A827" s="10" t="s">
        <v>1067</v>
      </c>
      <c r="B827" s="7" t="s">
        <v>2325</v>
      </c>
    </row>
    <row r="828" spans="1:2" x14ac:dyDescent="0.25">
      <c r="A828" s="10" t="s">
        <v>977</v>
      </c>
      <c r="B828" s="7" t="s">
        <v>2325</v>
      </c>
    </row>
    <row r="829" spans="1:2" x14ac:dyDescent="0.25">
      <c r="A829" s="10" t="s">
        <v>910</v>
      </c>
      <c r="B829" s="7" t="s">
        <v>2325</v>
      </c>
    </row>
    <row r="830" spans="1:2" x14ac:dyDescent="0.25">
      <c r="A830" s="10" t="s">
        <v>1736</v>
      </c>
      <c r="B830" s="7" t="s">
        <v>2325</v>
      </c>
    </row>
    <row r="831" spans="1:2" x14ac:dyDescent="0.25">
      <c r="A831" s="10" t="s">
        <v>1737</v>
      </c>
      <c r="B831" s="7" t="s">
        <v>2325</v>
      </c>
    </row>
    <row r="832" spans="1:2" x14ac:dyDescent="0.25">
      <c r="A832" s="10" t="s">
        <v>1738</v>
      </c>
      <c r="B832" s="7" t="s">
        <v>2325</v>
      </c>
    </row>
    <row r="833" spans="1:2" x14ac:dyDescent="0.25">
      <c r="A833" s="10" t="s">
        <v>887</v>
      </c>
      <c r="B833" s="7" t="s">
        <v>2325</v>
      </c>
    </row>
    <row r="834" spans="1:2" x14ac:dyDescent="0.25">
      <c r="A834" s="10" t="s">
        <v>1739</v>
      </c>
      <c r="B834" s="7" t="s">
        <v>2325</v>
      </c>
    </row>
    <row r="835" spans="1:2" x14ac:dyDescent="0.25">
      <c r="A835" s="10" t="s">
        <v>1232</v>
      </c>
      <c r="B835" s="7" t="s">
        <v>2325</v>
      </c>
    </row>
    <row r="836" spans="1:2" x14ac:dyDescent="0.25">
      <c r="A836" s="10" t="s">
        <v>1740</v>
      </c>
      <c r="B836" s="7" t="s">
        <v>2325</v>
      </c>
    </row>
    <row r="837" spans="1:2" x14ac:dyDescent="0.25">
      <c r="A837" s="10" t="s">
        <v>346</v>
      </c>
      <c r="B837" s="7" t="s">
        <v>2325</v>
      </c>
    </row>
    <row r="838" spans="1:2" x14ac:dyDescent="0.25">
      <c r="A838" s="10" t="s">
        <v>1741</v>
      </c>
      <c r="B838" s="7" t="s">
        <v>2325</v>
      </c>
    </row>
    <row r="839" spans="1:2" x14ac:dyDescent="0.25">
      <c r="A839" s="10" t="s">
        <v>1742</v>
      </c>
      <c r="B839" s="7" t="s">
        <v>2325</v>
      </c>
    </row>
    <row r="840" spans="1:2" x14ac:dyDescent="0.25">
      <c r="A840" s="10" t="s">
        <v>513</v>
      </c>
      <c r="B840" s="7" t="s">
        <v>2325</v>
      </c>
    </row>
    <row r="841" spans="1:2" x14ac:dyDescent="0.25">
      <c r="A841" s="10" t="s">
        <v>1743</v>
      </c>
      <c r="B841" s="7" t="s">
        <v>2325</v>
      </c>
    </row>
    <row r="842" spans="1:2" x14ac:dyDescent="0.25">
      <c r="A842" s="10" t="s">
        <v>1744</v>
      </c>
      <c r="B842" s="7" t="s">
        <v>2325</v>
      </c>
    </row>
    <row r="843" spans="1:2" x14ac:dyDescent="0.25">
      <c r="A843" s="10" t="s">
        <v>1041</v>
      </c>
      <c r="B843" s="7" t="s">
        <v>2325</v>
      </c>
    </row>
    <row r="844" spans="1:2" x14ac:dyDescent="0.25">
      <c r="A844" s="10" t="s">
        <v>753</v>
      </c>
      <c r="B844" s="7" t="s">
        <v>2325</v>
      </c>
    </row>
    <row r="845" spans="1:2" x14ac:dyDescent="0.25">
      <c r="A845" s="10" t="s">
        <v>1745</v>
      </c>
      <c r="B845" s="7" t="s">
        <v>2325</v>
      </c>
    </row>
    <row r="846" spans="1:2" x14ac:dyDescent="0.25">
      <c r="A846" s="10" t="s">
        <v>160</v>
      </c>
      <c r="B846" s="7" t="s">
        <v>2325</v>
      </c>
    </row>
    <row r="847" spans="1:2" x14ac:dyDescent="0.25">
      <c r="A847" s="10" t="s">
        <v>243</v>
      </c>
      <c r="B847" s="7" t="s">
        <v>2325</v>
      </c>
    </row>
    <row r="848" spans="1:2" x14ac:dyDescent="0.25">
      <c r="A848" s="10" t="s">
        <v>917</v>
      </c>
      <c r="B848" s="7" t="s">
        <v>2325</v>
      </c>
    </row>
    <row r="849" spans="1:2" x14ac:dyDescent="0.25">
      <c r="A849" s="10" t="s">
        <v>1746</v>
      </c>
      <c r="B849" s="7" t="s">
        <v>2325</v>
      </c>
    </row>
    <row r="850" spans="1:2" x14ac:dyDescent="0.25">
      <c r="A850" s="10" t="s">
        <v>1747</v>
      </c>
      <c r="B850" s="7" t="s">
        <v>2325</v>
      </c>
    </row>
    <row r="851" spans="1:2" x14ac:dyDescent="0.25">
      <c r="A851" s="10" t="s">
        <v>224</v>
      </c>
      <c r="B851" s="7" t="s">
        <v>2325</v>
      </c>
    </row>
    <row r="852" spans="1:2" x14ac:dyDescent="0.25">
      <c r="A852" s="10" t="s">
        <v>1216</v>
      </c>
      <c r="B852" s="7" t="s">
        <v>2325</v>
      </c>
    </row>
    <row r="853" spans="1:2" x14ac:dyDescent="0.25">
      <c r="A853" s="10" t="s">
        <v>1748</v>
      </c>
      <c r="B853" s="7" t="s">
        <v>2325</v>
      </c>
    </row>
    <row r="854" spans="1:2" x14ac:dyDescent="0.25">
      <c r="A854" s="10" t="s">
        <v>1749</v>
      </c>
      <c r="B854" s="7" t="s">
        <v>2325</v>
      </c>
    </row>
    <row r="855" spans="1:2" x14ac:dyDescent="0.25">
      <c r="A855" s="10" t="s">
        <v>1750</v>
      </c>
      <c r="B855" s="7" t="s">
        <v>2325</v>
      </c>
    </row>
    <row r="856" spans="1:2" x14ac:dyDescent="0.25">
      <c r="A856" s="10" t="s">
        <v>1751</v>
      </c>
      <c r="B856" s="7" t="s">
        <v>2325</v>
      </c>
    </row>
    <row r="857" spans="1:2" x14ac:dyDescent="0.25">
      <c r="A857" s="10" t="s">
        <v>1752</v>
      </c>
      <c r="B857" s="7" t="s">
        <v>2325</v>
      </c>
    </row>
    <row r="858" spans="1:2" x14ac:dyDescent="0.25">
      <c r="A858" s="10" t="s">
        <v>686</v>
      </c>
      <c r="B858" s="7" t="s">
        <v>2325</v>
      </c>
    </row>
    <row r="859" spans="1:2" x14ac:dyDescent="0.25">
      <c r="A859" s="10" t="s">
        <v>1753</v>
      </c>
      <c r="B859" s="7" t="s">
        <v>2325</v>
      </c>
    </row>
    <row r="860" spans="1:2" x14ac:dyDescent="0.25">
      <c r="A860" s="10" t="s">
        <v>1754</v>
      </c>
      <c r="B860" s="7" t="s">
        <v>2325</v>
      </c>
    </row>
    <row r="861" spans="1:2" x14ac:dyDescent="0.25">
      <c r="A861" s="10" t="s">
        <v>758</v>
      </c>
      <c r="B861" s="7" t="s">
        <v>2325</v>
      </c>
    </row>
    <row r="862" spans="1:2" x14ac:dyDescent="0.25">
      <c r="A862" s="10" t="s">
        <v>1755</v>
      </c>
      <c r="B862" s="7" t="s">
        <v>2325</v>
      </c>
    </row>
    <row r="863" spans="1:2" x14ac:dyDescent="0.25">
      <c r="A863" s="10" t="s">
        <v>1194</v>
      </c>
      <c r="B863" s="7" t="s">
        <v>2325</v>
      </c>
    </row>
    <row r="864" spans="1:2" x14ac:dyDescent="0.25">
      <c r="A864" s="10" t="s">
        <v>170</v>
      </c>
      <c r="B864" s="7" t="s">
        <v>2325</v>
      </c>
    </row>
    <row r="865" spans="1:2" x14ac:dyDescent="0.25">
      <c r="A865" s="10" t="s">
        <v>474</v>
      </c>
      <c r="B865" s="7" t="s">
        <v>2325</v>
      </c>
    </row>
    <row r="866" spans="1:2" x14ac:dyDescent="0.25">
      <c r="A866" s="10" t="s">
        <v>1109</v>
      </c>
      <c r="B866" s="7" t="s">
        <v>2325</v>
      </c>
    </row>
    <row r="867" spans="1:2" x14ac:dyDescent="0.25">
      <c r="A867" s="10" t="s">
        <v>921</v>
      </c>
      <c r="B867" s="7" t="s">
        <v>2325</v>
      </c>
    </row>
    <row r="868" spans="1:2" x14ac:dyDescent="0.25">
      <c r="A868" s="10" t="s">
        <v>97</v>
      </c>
      <c r="B868" s="7" t="s">
        <v>2325</v>
      </c>
    </row>
    <row r="869" spans="1:2" x14ac:dyDescent="0.25">
      <c r="A869" s="10" t="s">
        <v>766</v>
      </c>
      <c r="B869" s="7" t="s">
        <v>2325</v>
      </c>
    </row>
    <row r="870" spans="1:2" x14ac:dyDescent="0.25">
      <c r="A870" s="10" t="s">
        <v>890</v>
      </c>
      <c r="B870" s="7" t="s">
        <v>2325</v>
      </c>
    </row>
    <row r="871" spans="1:2" x14ac:dyDescent="0.25">
      <c r="A871" s="10" t="s">
        <v>618</v>
      </c>
      <c r="B871" s="7" t="s">
        <v>2325</v>
      </c>
    </row>
    <row r="872" spans="1:2" x14ac:dyDescent="0.25">
      <c r="A872" s="10" t="s">
        <v>305</v>
      </c>
      <c r="B872" s="7" t="s">
        <v>2325</v>
      </c>
    </row>
    <row r="873" spans="1:2" x14ac:dyDescent="0.25">
      <c r="A873" s="10" t="s">
        <v>1756</v>
      </c>
      <c r="B873" s="7" t="s">
        <v>2325</v>
      </c>
    </row>
    <row r="874" spans="1:2" x14ac:dyDescent="0.25">
      <c r="A874" s="10" t="s">
        <v>428</v>
      </c>
      <c r="B874" s="7" t="s">
        <v>2325</v>
      </c>
    </row>
    <row r="875" spans="1:2" x14ac:dyDescent="0.25">
      <c r="A875" s="10" t="s">
        <v>24</v>
      </c>
      <c r="B875" s="7" t="s">
        <v>2325</v>
      </c>
    </row>
    <row r="876" spans="1:2" x14ac:dyDescent="0.25">
      <c r="A876" s="10" t="s">
        <v>580</v>
      </c>
      <c r="B876" s="7" t="s">
        <v>2325</v>
      </c>
    </row>
    <row r="877" spans="1:2" x14ac:dyDescent="0.25">
      <c r="A877" s="10" t="s">
        <v>1757</v>
      </c>
      <c r="B877" s="7" t="s">
        <v>2325</v>
      </c>
    </row>
    <row r="878" spans="1:2" x14ac:dyDescent="0.25">
      <c r="A878" s="10" t="s">
        <v>1758</v>
      </c>
      <c r="B878" s="7" t="s">
        <v>2325</v>
      </c>
    </row>
    <row r="879" spans="1:2" x14ac:dyDescent="0.25">
      <c r="A879" s="10" t="s">
        <v>1759</v>
      </c>
      <c r="B879" s="7" t="s">
        <v>2325</v>
      </c>
    </row>
    <row r="880" spans="1:2" x14ac:dyDescent="0.25">
      <c r="A880" s="10" t="s">
        <v>338</v>
      </c>
      <c r="B880" s="7" t="s">
        <v>2325</v>
      </c>
    </row>
    <row r="881" spans="1:2" x14ac:dyDescent="0.25">
      <c r="A881" s="10" t="s">
        <v>1760</v>
      </c>
      <c r="B881" s="7" t="s">
        <v>2325</v>
      </c>
    </row>
    <row r="882" spans="1:2" x14ac:dyDescent="0.25">
      <c r="A882" s="10" t="s">
        <v>1761</v>
      </c>
      <c r="B882" s="7" t="s">
        <v>2325</v>
      </c>
    </row>
    <row r="883" spans="1:2" x14ac:dyDescent="0.25">
      <c r="A883" s="10" t="s">
        <v>907</v>
      </c>
      <c r="B883" s="7" t="s">
        <v>2325</v>
      </c>
    </row>
    <row r="884" spans="1:2" x14ac:dyDescent="0.25">
      <c r="A884" s="10" t="s">
        <v>1130</v>
      </c>
      <c r="B884" s="7" t="s">
        <v>2325</v>
      </c>
    </row>
    <row r="885" spans="1:2" x14ac:dyDescent="0.25">
      <c r="A885" s="10" t="s">
        <v>1762</v>
      </c>
      <c r="B885" s="7" t="s">
        <v>2325</v>
      </c>
    </row>
    <row r="886" spans="1:2" x14ac:dyDescent="0.25">
      <c r="A886" s="10" t="s">
        <v>465</v>
      </c>
      <c r="B886" s="7" t="s">
        <v>2325</v>
      </c>
    </row>
    <row r="887" spans="1:2" x14ac:dyDescent="0.25">
      <c r="A887" s="10" t="s">
        <v>628</v>
      </c>
      <c r="B887" s="7" t="s">
        <v>2325</v>
      </c>
    </row>
    <row r="888" spans="1:2" x14ac:dyDescent="0.25">
      <c r="A888" s="10" t="s">
        <v>1763</v>
      </c>
      <c r="B888" s="7" t="s">
        <v>2325</v>
      </c>
    </row>
    <row r="889" spans="1:2" x14ac:dyDescent="0.25">
      <c r="A889" s="10" t="s">
        <v>340</v>
      </c>
      <c r="B889" s="7" t="s">
        <v>2325</v>
      </c>
    </row>
    <row r="890" spans="1:2" x14ac:dyDescent="0.25">
      <c r="A890" s="10" t="s">
        <v>86</v>
      </c>
      <c r="B890" s="7" t="s">
        <v>2325</v>
      </c>
    </row>
    <row r="891" spans="1:2" x14ac:dyDescent="0.25">
      <c r="A891" s="10" t="s">
        <v>420</v>
      </c>
      <c r="B891" s="7" t="s">
        <v>2325</v>
      </c>
    </row>
    <row r="892" spans="1:2" x14ac:dyDescent="0.25">
      <c r="A892" s="10" t="s">
        <v>668</v>
      </c>
      <c r="B892" s="7" t="s">
        <v>2325</v>
      </c>
    </row>
    <row r="893" spans="1:2" x14ac:dyDescent="0.25">
      <c r="A893" s="10" t="s">
        <v>1764</v>
      </c>
      <c r="B893" s="7" t="s">
        <v>2325</v>
      </c>
    </row>
    <row r="894" spans="1:2" x14ac:dyDescent="0.25">
      <c r="A894" s="10" t="s">
        <v>929</v>
      </c>
      <c r="B894" s="7" t="s">
        <v>2325</v>
      </c>
    </row>
    <row r="895" spans="1:2" x14ac:dyDescent="0.25">
      <c r="A895" s="10" t="s">
        <v>183</v>
      </c>
      <c r="B895" s="7" t="s">
        <v>2325</v>
      </c>
    </row>
    <row r="896" spans="1:2" x14ac:dyDescent="0.25">
      <c r="A896" s="10" t="s">
        <v>1765</v>
      </c>
      <c r="B896" s="7" t="s">
        <v>2325</v>
      </c>
    </row>
    <row r="897" spans="1:2" x14ac:dyDescent="0.25">
      <c r="A897" s="10" t="s">
        <v>1766</v>
      </c>
      <c r="B897" s="7" t="s">
        <v>2325</v>
      </c>
    </row>
    <row r="898" spans="1:2" x14ac:dyDescent="0.25">
      <c r="A898" s="10" t="s">
        <v>1086</v>
      </c>
      <c r="B898" s="7" t="s">
        <v>2325</v>
      </c>
    </row>
    <row r="899" spans="1:2" x14ac:dyDescent="0.25">
      <c r="A899" s="10" t="s">
        <v>414</v>
      </c>
      <c r="B899" s="7" t="s">
        <v>2325</v>
      </c>
    </row>
    <row r="900" spans="1:2" x14ac:dyDescent="0.25">
      <c r="A900" s="10" t="s">
        <v>1767</v>
      </c>
      <c r="B900" s="7" t="s">
        <v>2325</v>
      </c>
    </row>
    <row r="901" spans="1:2" x14ac:dyDescent="0.25">
      <c r="A901" s="10" t="s">
        <v>575</v>
      </c>
      <c r="B901" s="7" t="s">
        <v>2325</v>
      </c>
    </row>
    <row r="902" spans="1:2" x14ac:dyDescent="0.25">
      <c r="A902" s="10" t="s">
        <v>1768</v>
      </c>
      <c r="B902" s="7" t="s">
        <v>2325</v>
      </c>
    </row>
    <row r="903" spans="1:2" x14ac:dyDescent="0.25">
      <c r="A903" s="10" t="s">
        <v>1769</v>
      </c>
      <c r="B903" s="7" t="s">
        <v>2325</v>
      </c>
    </row>
    <row r="904" spans="1:2" x14ac:dyDescent="0.25">
      <c r="A904" s="10" t="s">
        <v>1770</v>
      </c>
      <c r="B904" s="7" t="s">
        <v>2325</v>
      </c>
    </row>
    <row r="905" spans="1:2" x14ac:dyDescent="0.25">
      <c r="A905" s="10" t="s">
        <v>260</v>
      </c>
      <c r="B905" s="7" t="s">
        <v>2325</v>
      </c>
    </row>
    <row r="906" spans="1:2" x14ac:dyDescent="0.25">
      <c r="A906" s="10" t="s">
        <v>1771</v>
      </c>
      <c r="B906" s="7" t="s">
        <v>2325</v>
      </c>
    </row>
    <row r="907" spans="1:2" x14ac:dyDescent="0.25">
      <c r="A907" s="10" t="s">
        <v>1772</v>
      </c>
      <c r="B907" s="7" t="s">
        <v>2325</v>
      </c>
    </row>
    <row r="908" spans="1:2" x14ac:dyDescent="0.25">
      <c r="A908" s="10" t="s">
        <v>1016</v>
      </c>
      <c r="B908" s="7" t="s">
        <v>2325</v>
      </c>
    </row>
    <row r="909" spans="1:2" x14ac:dyDescent="0.25">
      <c r="A909" s="10" t="s">
        <v>675</v>
      </c>
      <c r="B909" s="7" t="s">
        <v>2325</v>
      </c>
    </row>
    <row r="910" spans="1:2" x14ac:dyDescent="0.25">
      <c r="A910" s="10" t="s">
        <v>815</v>
      </c>
      <c r="B910" s="7" t="s">
        <v>2325</v>
      </c>
    </row>
    <row r="911" spans="1:2" x14ac:dyDescent="0.25">
      <c r="A911" s="10" t="s">
        <v>1773</v>
      </c>
      <c r="B911" s="7" t="s">
        <v>2325</v>
      </c>
    </row>
    <row r="912" spans="1:2" x14ac:dyDescent="0.25">
      <c r="A912" s="10" t="s">
        <v>914</v>
      </c>
      <c r="B912" s="7" t="s">
        <v>2325</v>
      </c>
    </row>
    <row r="913" spans="1:2" x14ac:dyDescent="0.25">
      <c r="A913" s="10" t="s">
        <v>1222</v>
      </c>
      <c r="B913" s="7" t="s">
        <v>2325</v>
      </c>
    </row>
    <row r="914" spans="1:2" x14ac:dyDescent="0.25">
      <c r="A914" s="10" t="s">
        <v>1774</v>
      </c>
      <c r="B914" s="7" t="s">
        <v>2325</v>
      </c>
    </row>
    <row r="915" spans="1:2" x14ac:dyDescent="0.25">
      <c r="A915" s="10" t="s">
        <v>808</v>
      </c>
      <c r="B915" s="7" t="s">
        <v>2325</v>
      </c>
    </row>
    <row r="916" spans="1:2" x14ac:dyDescent="0.25">
      <c r="A916" s="10" t="s">
        <v>1775</v>
      </c>
      <c r="B916" s="7" t="s">
        <v>2325</v>
      </c>
    </row>
    <row r="917" spans="1:2" x14ac:dyDescent="0.25">
      <c r="A917" s="10" t="s">
        <v>1776</v>
      </c>
      <c r="B917" s="7" t="s">
        <v>2325</v>
      </c>
    </row>
    <row r="918" spans="1:2" x14ac:dyDescent="0.25">
      <c r="A918" s="10" t="s">
        <v>731</v>
      </c>
      <c r="B918" s="7" t="s">
        <v>2325</v>
      </c>
    </row>
    <row r="919" spans="1:2" x14ac:dyDescent="0.25">
      <c r="A919" s="10" t="s">
        <v>1777</v>
      </c>
      <c r="B919" s="7" t="s">
        <v>2325</v>
      </c>
    </row>
    <row r="920" spans="1:2" x14ac:dyDescent="0.25">
      <c r="A920" s="10" t="s">
        <v>206</v>
      </c>
      <c r="B920" s="7" t="s">
        <v>2325</v>
      </c>
    </row>
    <row r="921" spans="1:2" x14ac:dyDescent="0.25">
      <c r="A921" s="10" t="s">
        <v>581</v>
      </c>
      <c r="B921" s="7" t="s">
        <v>2325</v>
      </c>
    </row>
    <row r="922" spans="1:2" x14ac:dyDescent="0.25">
      <c r="A922" s="10" t="s">
        <v>1778</v>
      </c>
      <c r="B922" s="7" t="s">
        <v>2325</v>
      </c>
    </row>
    <row r="923" spans="1:2" x14ac:dyDescent="0.25">
      <c r="A923" s="10" t="s">
        <v>1779</v>
      </c>
      <c r="B923" s="7" t="s">
        <v>2325</v>
      </c>
    </row>
    <row r="924" spans="1:2" x14ac:dyDescent="0.25">
      <c r="A924" s="10" t="s">
        <v>1780</v>
      </c>
      <c r="B924" s="7" t="s">
        <v>2325</v>
      </c>
    </row>
    <row r="925" spans="1:2" x14ac:dyDescent="0.25">
      <c r="A925" s="10" t="s">
        <v>1781</v>
      </c>
      <c r="B925" s="7" t="s">
        <v>2325</v>
      </c>
    </row>
    <row r="926" spans="1:2" x14ac:dyDescent="0.25">
      <c r="A926" s="10" t="s">
        <v>1237</v>
      </c>
      <c r="B926" s="7" t="s">
        <v>2325</v>
      </c>
    </row>
    <row r="927" spans="1:2" x14ac:dyDescent="0.25">
      <c r="A927" s="10" t="s">
        <v>1782</v>
      </c>
      <c r="B927" s="7" t="s">
        <v>2325</v>
      </c>
    </row>
    <row r="928" spans="1:2" x14ac:dyDescent="0.25">
      <c r="A928" s="10" t="s">
        <v>306</v>
      </c>
      <c r="B928" s="7" t="s">
        <v>2325</v>
      </c>
    </row>
    <row r="929" spans="1:2" x14ac:dyDescent="0.25">
      <c r="A929" s="10" t="s">
        <v>1783</v>
      </c>
      <c r="B929" s="7" t="s">
        <v>2325</v>
      </c>
    </row>
    <row r="930" spans="1:2" x14ac:dyDescent="0.25">
      <c r="A930" s="10" t="s">
        <v>301</v>
      </c>
      <c r="B930" s="7" t="s">
        <v>2325</v>
      </c>
    </row>
    <row r="931" spans="1:2" x14ac:dyDescent="0.25">
      <c r="A931" s="10" t="s">
        <v>1784</v>
      </c>
      <c r="B931" s="7" t="s">
        <v>2325</v>
      </c>
    </row>
    <row r="932" spans="1:2" x14ac:dyDescent="0.25">
      <c r="A932" s="10" t="s">
        <v>1092</v>
      </c>
      <c r="B932" s="7" t="s">
        <v>2325</v>
      </c>
    </row>
    <row r="933" spans="1:2" x14ac:dyDescent="0.25">
      <c r="A933" s="10" t="s">
        <v>1785</v>
      </c>
      <c r="B933" s="7" t="s">
        <v>2325</v>
      </c>
    </row>
    <row r="934" spans="1:2" x14ac:dyDescent="0.25">
      <c r="A934" s="10" t="s">
        <v>1006</v>
      </c>
      <c r="B934" s="7" t="s">
        <v>2325</v>
      </c>
    </row>
    <row r="935" spans="1:2" x14ac:dyDescent="0.25">
      <c r="A935" s="10" t="s">
        <v>1786</v>
      </c>
      <c r="B935" s="7" t="s">
        <v>2325</v>
      </c>
    </row>
    <row r="936" spans="1:2" x14ac:dyDescent="0.25">
      <c r="A936" s="10" t="s">
        <v>1787</v>
      </c>
      <c r="B936" s="7" t="s">
        <v>2325</v>
      </c>
    </row>
    <row r="937" spans="1:2" x14ac:dyDescent="0.25">
      <c r="A937" s="10" t="s">
        <v>1788</v>
      </c>
      <c r="B937" s="7" t="s">
        <v>2325</v>
      </c>
    </row>
    <row r="938" spans="1:2" x14ac:dyDescent="0.25">
      <c r="A938" s="10" t="s">
        <v>514</v>
      </c>
      <c r="B938" s="7" t="s">
        <v>2325</v>
      </c>
    </row>
    <row r="939" spans="1:2" x14ac:dyDescent="0.25">
      <c r="A939" s="10" t="s">
        <v>644</v>
      </c>
      <c r="B939" s="7" t="s">
        <v>2325</v>
      </c>
    </row>
    <row r="940" spans="1:2" x14ac:dyDescent="0.25">
      <c r="A940" s="10" t="s">
        <v>987</v>
      </c>
      <c r="B940" s="7" t="s">
        <v>2325</v>
      </c>
    </row>
    <row r="941" spans="1:2" x14ac:dyDescent="0.25">
      <c r="A941" s="10" t="s">
        <v>1789</v>
      </c>
      <c r="B941" s="7" t="s">
        <v>2325</v>
      </c>
    </row>
    <row r="942" spans="1:2" x14ac:dyDescent="0.25">
      <c r="A942" s="10" t="s">
        <v>852</v>
      </c>
      <c r="B942" s="7" t="s">
        <v>2325</v>
      </c>
    </row>
    <row r="943" spans="1:2" x14ac:dyDescent="0.25">
      <c r="A943" s="10" t="s">
        <v>1790</v>
      </c>
      <c r="B943" s="7" t="s">
        <v>2325</v>
      </c>
    </row>
    <row r="944" spans="1:2" x14ac:dyDescent="0.25">
      <c r="A944" s="10" t="s">
        <v>765</v>
      </c>
      <c r="B944" s="7" t="s">
        <v>2325</v>
      </c>
    </row>
    <row r="945" spans="1:2" x14ac:dyDescent="0.25">
      <c r="A945" s="10" t="s">
        <v>631</v>
      </c>
      <c r="B945" s="7" t="s">
        <v>2325</v>
      </c>
    </row>
    <row r="946" spans="1:2" x14ac:dyDescent="0.25">
      <c r="A946" s="10" t="s">
        <v>1791</v>
      </c>
      <c r="B946" s="7" t="s">
        <v>2325</v>
      </c>
    </row>
    <row r="947" spans="1:2" x14ac:dyDescent="0.25">
      <c r="A947" s="10" t="s">
        <v>1792</v>
      </c>
      <c r="B947" s="7" t="s">
        <v>2325</v>
      </c>
    </row>
    <row r="948" spans="1:2" x14ac:dyDescent="0.25">
      <c r="A948" s="10" t="s">
        <v>273</v>
      </c>
      <c r="B948" s="7" t="s">
        <v>2325</v>
      </c>
    </row>
    <row r="949" spans="1:2" x14ac:dyDescent="0.25">
      <c r="A949" s="10" t="s">
        <v>1083</v>
      </c>
      <c r="B949" s="7" t="s">
        <v>2325</v>
      </c>
    </row>
    <row r="950" spans="1:2" x14ac:dyDescent="0.25">
      <c r="A950" s="10" t="s">
        <v>1793</v>
      </c>
      <c r="B950" s="7" t="s">
        <v>2325</v>
      </c>
    </row>
    <row r="951" spans="1:2" x14ac:dyDescent="0.25">
      <c r="A951" s="10" t="s">
        <v>1794</v>
      </c>
      <c r="B951" s="7" t="s">
        <v>2325</v>
      </c>
    </row>
    <row r="952" spans="1:2" x14ac:dyDescent="0.25">
      <c r="A952" s="10" t="s">
        <v>26</v>
      </c>
      <c r="B952" s="7" t="s">
        <v>2325</v>
      </c>
    </row>
    <row r="953" spans="1:2" x14ac:dyDescent="0.25">
      <c r="A953" s="10" t="s">
        <v>484</v>
      </c>
      <c r="B953" s="7" t="s">
        <v>2325</v>
      </c>
    </row>
    <row r="954" spans="1:2" x14ac:dyDescent="0.25">
      <c r="A954" s="10" t="s">
        <v>123</v>
      </c>
      <c r="B954" s="7" t="s">
        <v>2325</v>
      </c>
    </row>
    <row r="955" spans="1:2" x14ac:dyDescent="0.25">
      <c r="A955" s="10" t="s">
        <v>1795</v>
      </c>
      <c r="B955" s="7" t="s">
        <v>2325</v>
      </c>
    </row>
    <row r="956" spans="1:2" x14ac:dyDescent="0.25">
      <c r="A956" s="10" t="s">
        <v>1796</v>
      </c>
      <c r="B956" s="7" t="s">
        <v>2325</v>
      </c>
    </row>
    <row r="957" spans="1:2" x14ac:dyDescent="0.25">
      <c r="A957" s="10" t="s">
        <v>1797</v>
      </c>
      <c r="B957" s="7" t="s">
        <v>2325</v>
      </c>
    </row>
    <row r="958" spans="1:2" x14ac:dyDescent="0.25">
      <c r="A958" s="10" t="s">
        <v>1798</v>
      </c>
      <c r="B958" s="7" t="s">
        <v>2325</v>
      </c>
    </row>
    <row r="959" spans="1:2" x14ac:dyDescent="0.25">
      <c r="A959" s="10" t="s">
        <v>1799</v>
      </c>
      <c r="B959" s="7" t="s">
        <v>2325</v>
      </c>
    </row>
    <row r="960" spans="1:2" x14ac:dyDescent="0.25">
      <c r="A960" s="10" t="s">
        <v>1800</v>
      </c>
      <c r="B960" s="7" t="s">
        <v>2325</v>
      </c>
    </row>
    <row r="961" spans="1:2" x14ac:dyDescent="0.25">
      <c r="A961" s="10" t="s">
        <v>888</v>
      </c>
      <c r="B961" s="7" t="s">
        <v>2325</v>
      </c>
    </row>
    <row r="962" spans="1:2" x14ac:dyDescent="0.25">
      <c r="A962" s="10" t="s">
        <v>1801</v>
      </c>
      <c r="B962" s="7" t="s">
        <v>2325</v>
      </c>
    </row>
    <row r="963" spans="1:2" x14ac:dyDescent="0.25">
      <c r="A963" s="10" t="s">
        <v>157</v>
      </c>
      <c r="B963" s="7" t="s">
        <v>2325</v>
      </c>
    </row>
    <row r="964" spans="1:2" x14ac:dyDescent="0.25">
      <c r="A964" s="10" t="s">
        <v>1802</v>
      </c>
      <c r="B964" s="7" t="s">
        <v>2325</v>
      </c>
    </row>
    <row r="965" spans="1:2" x14ac:dyDescent="0.25">
      <c r="A965" s="10" t="s">
        <v>481</v>
      </c>
      <c r="B965" s="7" t="s">
        <v>2325</v>
      </c>
    </row>
    <row r="966" spans="1:2" x14ac:dyDescent="0.25">
      <c r="A966" s="10" t="s">
        <v>1803</v>
      </c>
      <c r="B966" s="7" t="s">
        <v>2325</v>
      </c>
    </row>
    <row r="967" spans="1:2" x14ac:dyDescent="0.25">
      <c r="A967" s="10" t="s">
        <v>1804</v>
      </c>
      <c r="B967" s="7" t="s">
        <v>2325</v>
      </c>
    </row>
    <row r="968" spans="1:2" x14ac:dyDescent="0.25">
      <c r="A968" s="10" t="s">
        <v>1805</v>
      </c>
      <c r="B968" s="7" t="s">
        <v>2325</v>
      </c>
    </row>
    <row r="969" spans="1:2" x14ac:dyDescent="0.25">
      <c r="A969" s="10" t="s">
        <v>1806</v>
      </c>
      <c r="B969" s="7" t="s">
        <v>2325</v>
      </c>
    </row>
    <row r="970" spans="1:2" x14ac:dyDescent="0.25">
      <c r="A970" s="10" t="s">
        <v>1807</v>
      </c>
      <c r="B970" s="7" t="s">
        <v>2325</v>
      </c>
    </row>
    <row r="971" spans="1:2" x14ac:dyDescent="0.25">
      <c r="A971" s="10" t="s">
        <v>424</v>
      </c>
      <c r="B971" s="7" t="s">
        <v>2325</v>
      </c>
    </row>
    <row r="972" spans="1:2" x14ac:dyDescent="0.25">
      <c r="A972" s="10" t="s">
        <v>8</v>
      </c>
      <c r="B972" s="7" t="s">
        <v>2325</v>
      </c>
    </row>
    <row r="973" spans="1:2" x14ac:dyDescent="0.25">
      <c r="A973" s="10" t="s">
        <v>723</v>
      </c>
      <c r="B973" s="7" t="s">
        <v>2325</v>
      </c>
    </row>
    <row r="974" spans="1:2" x14ac:dyDescent="0.25">
      <c r="A974" s="10" t="s">
        <v>1808</v>
      </c>
      <c r="B974" s="7" t="s">
        <v>2325</v>
      </c>
    </row>
    <row r="975" spans="1:2" x14ac:dyDescent="0.25">
      <c r="A975" s="10" t="s">
        <v>826</v>
      </c>
      <c r="B975" s="7" t="s">
        <v>2325</v>
      </c>
    </row>
    <row r="976" spans="1:2" x14ac:dyDescent="0.25">
      <c r="A976" s="10" t="s">
        <v>1809</v>
      </c>
      <c r="B976" s="7" t="s">
        <v>2325</v>
      </c>
    </row>
    <row r="977" spans="1:2" x14ac:dyDescent="0.25">
      <c r="A977" s="10" t="s">
        <v>1039</v>
      </c>
      <c r="B977" s="7" t="s">
        <v>2325</v>
      </c>
    </row>
    <row r="978" spans="1:2" x14ac:dyDescent="0.25">
      <c r="A978" s="10" t="s">
        <v>454</v>
      </c>
      <c r="B978" s="7" t="s">
        <v>2325</v>
      </c>
    </row>
    <row r="979" spans="1:2" x14ac:dyDescent="0.25">
      <c r="A979" s="10" t="s">
        <v>52</v>
      </c>
      <c r="B979" s="7" t="s">
        <v>2325</v>
      </c>
    </row>
    <row r="980" spans="1:2" x14ac:dyDescent="0.25">
      <c r="A980" s="10" t="s">
        <v>710</v>
      </c>
      <c r="B980" s="7" t="s">
        <v>2325</v>
      </c>
    </row>
    <row r="981" spans="1:2" x14ac:dyDescent="0.25">
      <c r="A981" s="10" t="s">
        <v>1810</v>
      </c>
      <c r="B981" s="7" t="s">
        <v>2325</v>
      </c>
    </row>
    <row r="982" spans="1:2" x14ac:dyDescent="0.25">
      <c r="A982" s="10" t="s">
        <v>1811</v>
      </c>
      <c r="B982" s="7" t="s">
        <v>2325</v>
      </c>
    </row>
    <row r="983" spans="1:2" x14ac:dyDescent="0.25">
      <c r="A983" s="10" t="s">
        <v>824</v>
      </c>
      <c r="B983" s="7" t="s">
        <v>2325</v>
      </c>
    </row>
    <row r="984" spans="1:2" x14ac:dyDescent="0.25">
      <c r="A984" s="10" t="s">
        <v>1812</v>
      </c>
      <c r="B984" s="7" t="s">
        <v>2325</v>
      </c>
    </row>
    <row r="985" spans="1:2" x14ac:dyDescent="0.25">
      <c r="A985" s="10" t="s">
        <v>817</v>
      </c>
      <c r="B985" s="7" t="s">
        <v>2325</v>
      </c>
    </row>
    <row r="986" spans="1:2" x14ac:dyDescent="0.25">
      <c r="A986" s="10" t="s">
        <v>1026</v>
      </c>
      <c r="B986" s="7" t="s">
        <v>2325</v>
      </c>
    </row>
    <row r="987" spans="1:2" x14ac:dyDescent="0.25">
      <c r="A987" s="10" t="s">
        <v>1813</v>
      </c>
      <c r="B987" s="7" t="s">
        <v>2325</v>
      </c>
    </row>
    <row r="988" spans="1:2" x14ac:dyDescent="0.25">
      <c r="A988" s="10" t="s">
        <v>1814</v>
      </c>
      <c r="B988" s="7" t="s">
        <v>2325</v>
      </c>
    </row>
    <row r="989" spans="1:2" x14ac:dyDescent="0.25">
      <c r="A989" s="10" t="s">
        <v>1815</v>
      </c>
      <c r="B989" s="7" t="s">
        <v>2325</v>
      </c>
    </row>
    <row r="990" spans="1:2" x14ac:dyDescent="0.25">
      <c r="A990" s="10" t="s">
        <v>1816</v>
      </c>
      <c r="B990" s="7" t="s">
        <v>2325</v>
      </c>
    </row>
    <row r="991" spans="1:2" x14ac:dyDescent="0.25">
      <c r="A991" s="10" t="s">
        <v>1817</v>
      </c>
      <c r="B991" s="7" t="s">
        <v>2325</v>
      </c>
    </row>
    <row r="992" spans="1:2" x14ac:dyDescent="0.25">
      <c r="A992" s="10" t="s">
        <v>396</v>
      </c>
      <c r="B992" s="7" t="s">
        <v>2325</v>
      </c>
    </row>
    <row r="993" spans="1:2" x14ac:dyDescent="0.25">
      <c r="A993" s="10" t="s">
        <v>1158</v>
      </c>
      <c r="B993" s="7" t="s">
        <v>2325</v>
      </c>
    </row>
    <row r="994" spans="1:2" x14ac:dyDescent="0.25">
      <c r="A994" s="10" t="s">
        <v>1818</v>
      </c>
      <c r="B994" s="7" t="s">
        <v>2325</v>
      </c>
    </row>
    <row r="995" spans="1:2" x14ac:dyDescent="0.25">
      <c r="A995" s="10" t="s">
        <v>1819</v>
      </c>
      <c r="B995" s="7" t="s">
        <v>2325</v>
      </c>
    </row>
    <row r="996" spans="1:2" x14ac:dyDescent="0.25">
      <c r="A996" s="10" t="s">
        <v>925</v>
      </c>
      <c r="B996" s="7" t="s">
        <v>2325</v>
      </c>
    </row>
    <row r="997" spans="1:2" x14ac:dyDescent="0.25">
      <c r="A997" s="10" t="s">
        <v>1241</v>
      </c>
      <c r="B997" s="7" t="s">
        <v>2325</v>
      </c>
    </row>
    <row r="998" spans="1:2" x14ac:dyDescent="0.25">
      <c r="A998" s="10" t="s">
        <v>421</v>
      </c>
      <c r="B998" s="7" t="s">
        <v>2325</v>
      </c>
    </row>
    <row r="999" spans="1:2" x14ac:dyDescent="0.25">
      <c r="A999" s="10" t="s">
        <v>1820</v>
      </c>
      <c r="B999" s="7" t="s">
        <v>2325</v>
      </c>
    </row>
    <row r="1000" spans="1:2" x14ac:dyDescent="0.25">
      <c r="A1000" s="10" t="s">
        <v>1072</v>
      </c>
      <c r="B1000" s="7" t="s">
        <v>2325</v>
      </c>
    </row>
    <row r="1001" spans="1:2" x14ac:dyDescent="0.25">
      <c r="A1001" s="10" t="s">
        <v>1821</v>
      </c>
      <c r="B1001" s="7" t="s">
        <v>2325</v>
      </c>
    </row>
    <row r="1002" spans="1:2" x14ac:dyDescent="0.25">
      <c r="A1002" s="10" t="s">
        <v>1822</v>
      </c>
      <c r="B1002" s="7" t="s">
        <v>2325</v>
      </c>
    </row>
    <row r="1003" spans="1:2" x14ac:dyDescent="0.25">
      <c r="A1003" s="10" t="s">
        <v>1823</v>
      </c>
      <c r="B1003" s="7" t="s">
        <v>2325</v>
      </c>
    </row>
    <row r="1004" spans="1:2" x14ac:dyDescent="0.25">
      <c r="A1004" s="10" t="s">
        <v>1824</v>
      </c>
      <c r="B1004" s="7" t="s">
        <v>2325</v>
      </c>
    </row>
    <row r="1005" spans="1:2" x14ac:dyDescent="0.25">
      <c r="A1005" s="10" t="s">
        <v>1825</v>
      </c>
      <c r="B1005" s="7" t="s">
        <v>2325</v>
      </c>
    </row>
    <row r="1006" spans="1:2" x14ac:dyDescent="0.25">
      <c r="A1006" s="10" t="s">
        <v>1125</v>
      </c>
      <c r="B1006" s="7" t="s">
        <v>2325</v>
      </c>
    </row>
    <row r="1007" spans="1:2" x14ac:dyDescent="0.25">
      <c r="A1007" s="10" t="s">
        <v>756</v>
      </c>
      <c r="B1007" s="7" t="s">
        <v>2325</v>
      </c>
    </row>
    <row r="1008" spans="1:2" x14ac:dyDescent="0.25">
      <c r="A1008" s="10" t="s">
        <v>1826</v>
      </c>
      <c r="B1008" s="7" t="s">
        <v>2325</v>
      </c>
    </row>
    <row r="1009" spans="1:2" x14ac:dyDescent="0.25">
      <c r="A1009" s="10" t="s">
        <v>278</v>
      </c>
      <c r="B1009" s="7" t="s">
        <v>2325</v>
      </c>
    </row>
    <row r="1010" spans="1:2" x14ac:dyDescent="0.25">
      <c r="A1010" s="10" t="s">
        <v>521</v>
      </c>
      <c r="B1010" s="7" t="s">
        <v>2325</v>
      </c>
    </row>
    <row r="1011" spans="1:2" x14ac:dyDescent="0.25">
      <c r="A1011" s="10" t="s">
        <v>1827</v>
      </c>
      <c r="B1011" s="7" t="s">
        <v>2325</v>
      </c>
    </row>
    <row r="1012" spans="1:2" x14ac:dyDescent="0.25">
      <c r="A1012" s="10" t="s">
        <v>995</v>
      </c>
      <c r="B1012" s="7" t="s">
        <v>2325</v>
      </c>
    </row>
    <row r="1013" spans="1:2" x14ac:dyDescent="0.25">
      <c r="A1013" s="10" t="s">
        <v>1828</v>
      </c>
      <c r="B1013" s="7" t="s">
        <v>2325</v>
      </c>
    </row>
    <row r="1014" spans="1:2" x14ac:dyDescent="0.25">
      <c r="A1014" s="10" t="s">
        <v>84</v>
      </c>
      <c r="B1014" s="7" t="s">
        <v>2325</v>
      </c>
    </row>
    <row r="1015" spans="1:2" x14ac:dyDescent="0.25">
      <c r="A1015" s="10" t="s">
        <v>456</v>
      </c>
      <c r="B1015" s="7" t="s">
        <v>2325</v>
      </c>
    </row>
    <row r="1016" spans="1:2" x14ac:dyDescent="0.25">
      <c r="A1016" s="10" t="s">
        <v>411</v>
      </c>
      <c r="B1016" s="7" t="s">
        <v>2325</v>
      </c>
    </row>
    <row r="1017" spans="1:2" x14ac:dyDescent="0.25">
      <c r="A1017" s="10" t="s">
        <v>1829</v>
      </c>
      <c r="B1017" s="7" t="s">
        <v>2325</v>
      </c>
    </row>
    <row r="1018" spans="1:2" x14ac:dyDescent="0.25">
      <c r="A1018" s="10" t="s">
        <v>336</v>
      </c>
      <c r="B1018" s="7" t="s">
        <v>2325</v>
      </c>
    </row>
    <row r="1019" spans="1:2" x14ac:dyDescent="0.25">
      <c r="A1019" s="10" t="s">
        <v>633</v>
      </c>
      <c r="B1019" s="7" t="s">
        <v>2325</v>
      </c>
    </row>
    <row r="1020" spans="1:2" x14ac:dyDescent="0.25">
      <c r="A1020" s="10" t="s">
        <v>1830</v>
      </c>
      <c r="B1020" s="7" t="s">
        <v>2325</v>
      </c>
    </row>
    <row r="1021" spans="1:2" x14ac:dyDescent="0.25">
      <c r="A1021" s="10" t="s">
        <v>1831</v>
      </c>
      <c r="B1021" s="7" t="s">
        <v>2325</v>
      </c>
    </row>
    <row r="1022" spans="1:2" x14ac:dyDescent="0.25">
      <c r="A1022" s="10" t="s">
        <v>1832</v>
      </c>
      <c r="B1022" s="7" t="s">
        <v>2325</v>
      </c>
    </row>
    <row r="1023" spans="1:2" x14ac:dyDescent="0.25">
      <c r="A1023" s="10" t="s">
        <v>393</v>
      </c>
      <c r="B1023" s="7" t="s">
        <v>2325</v>
      </c>
    </row>
    <row r="1024" spans="1:2" x14ac:dyDescent="0.25">
      <c r="A1024" s="10" t="s">
        <v>1833</v>
      </c>
      <c r="B1024" s="7" t="s">
        <v>2325</v>
      </c>
    </row>
    <row r="1025" spans="1:2" x14ac:dyDescent="0.25">
      <c r="A1025" s="10" t="s">
        <v>1834</v>
      </c>
      <c r="B1025" s="7" t="s">
        <v>2325</v>
      </c>
    </row>
    <row r="1026" spans="1:2" x14ac:dyDescent="0.25">
      <c r="A1026" s="10" t="s">
        <v>689</v>
      </c>
      <c r="B1026" s="7" t="s">
        <v>2325</v>
      </c>
    </row>
    <row r="1027" spans="1:2" x14ac:dyDescent="0.25">
      <c r="A1027" s="10" t="s">
        <v>788</v>
      </c>
      <c r="B1027" s="7" t="s">
        <v>2325</v>
      </c>
    </row>
    <row r="1028" spans="1:2" x14ac:dyDescent="0.25">
      <c r="A1028" s="10" t="s">
        <v>1155</v>
      </c>
      <c r="B1028" s="7" t="s">
        <v>2325</v>
      </c>
    </row>
    <row r="1029" spans="1:2" x14ac:dyDescent="0.25">
      <c r="A1029" s="10" t="s">
        <v>1835</v>
      </c>
      <c r="B1029" s="7" t="s">
        <v>2325</v>
      </c>
    </row>
    <row r="1030" spans="1:2" x14ac:dyDescent="0.25">
      <c r="A1030" s="10" t="s">
        <v>1152</v>
      </c>
      <c r="B1030" s="7" t="s">
        <v>2325</v>
      </c>
    </row>
    <row r="1031" spans="1:2" x14ac:dyDescent="0.25">
      <c r="A1031" s="10" t="s">
        <v>1836</v>
      </c>
      <c r="B1031" s="7" t="s">
        <v>2325</v>
      </c>
    </row>
    <row r="1032" spans="1:2" x14ac:dyDescent="0.25">
      <c r="A1032" s="10" t="s">
        <v>1042</v>
      </c>
      <c r="B1032" s="7" t="s">
        <v>2325</v>
      </c>
    </row>
    <row r="1033" spans="1:2" x14ac:dyDescent="0.25">
      <c r="A1033" s="10" t="s">
        <v>590</v>
      </c>
      <c r="B1033" s="7" t="s">
        <v>2325</v>
      </c>
    </row>
    <row r="1034" spans="1:2" x14ac:dyDescent="0.25">
      <c r="A1034" s="10" t="s">
        <v>1837</v>
      </c>
      <c r="B1034" s="7" t="s">
        <v>2325</v>
      </c>
    </row>
    <row r="1035" spans="1:2" x14ac:dyDescent="0.25">
      <c r="A1035" s="10" t="s">
        <v>1838</v>
      </c>
      <c r="B1035" s="7" t="s">
        <v>2325</v>
      </c>
    </row>
    <row r="1036" spans="1:2" x14ac:dyDescent="0.25">
      <c r="A1036" s="10" t="s">
        <v>891</v>
      </c>
      <c r="B1036" s="7" t="s">
        <v>2325</v>
      </c>
    </row>
    <row r="1037" spans="1:2" x14ac:dyDescent="0.25">
      <c r="A1037" s="10" t="s">
        <v>1839</v>
      </c>
      <c r="B1037" s="7" t="s">
        <v>2325</v>
      </c>
    </row>
    <row r="1038" spans="1:2" x14ac:dyDescent="0.25">
      <c r="A1038" s="10" t="s">
        <v>1840</v>
      </c>
      <c r="B1038" s="7" t="s">
        <v>2325</v>
      </c>
    </row>
    <row r="1039" spans="1:2" x14ac:dyDescent="0.25">
      <c r="A1039" s="10" t="s">
        <v>1841</v>
      </c>
      <c r="B1039" s="7" t="s">
        <v>2325</v>
      </c>
    </row>
    <row r="1040" spans="1:2" x14ac:dyDescent="0.25">
      <c r="A1040" s="10" t="s">
        <v>221</v>
      </c>
      <c r="B1040" s="7" t="s">
        <v>2325</v>
      </c>
    </row>
    <row r="1041" spans="1:2" x14ac:dyDescent="0.25">
      <c r="A1041" s="10" t="s">
        <v>534</v>
      </c>
      <c r="B1041" s="7" t="s">
        <v>2325</v>
      </c>
    </row>
    <row r="1042" spans="1:2" x14ac:dyDescent="0.25">
      <c r="A1042" s="10" t="s">
        <v>963</v>
      </c>
      <c r="B1042" s="7" t="s">
        <v>2325</v>
      </c>
    </row>
    <row r="1043" spans="1:2" x14ac:dyDescent="0.25">
      <c r="A1043" s="10" t="s">
        <v>39</v>
      </c>
      <c r="B1043" s="7" t="s">
        <v>2325</v>
      </c>
    </row>
    <row r="1044" spans="1:2" x14ac:dyDescent="0.25">
      <c r="A1044" s="10" t="s">
        <v>1842</v>
      </c>
      <c r="B1044" s="7" t="s">
        <v>2325</v>
      </c>
    </row>
    <row r="1045" spans="1:2" x14ac:dyDescent="0.25">
      <c r="A1045" s="10" t="s">
        <v>220</v>
      </c>
      <c r="B1045" s="7" t="s">
        <v>2325</v>
      </c>
    </row>
    <row r="1046" spans="1:2" x14ac:dyDescent="0.25">
      <c r="A1046" s="10" t="s">
        <v>794</v>
      </c>
      <c r="B1046" s="7" t="s">
        <v>2325</v>
      </c>
    </row>
    <row r="1047" spans="1:2" x14ac:dyDescent="0.25">
      <c r="A1047" s="10" t="s">
        <v>1843</v>
      </c>
      <c r="B1047" s="7" t="s">
        <v>2325</v>
      </c>
    </row>
    <row r="1048" spans="1:2" x14ac:dyDescent="0.25">
      <c r="A1048" s="10" t="s">
        <v>1844</v>
      </c>
      <c r="B1048" s="7" t="s">
        <v>2325</v>
      </c>
    </row>
    <row r="1049" spans="1:2" x14ac:dyDescent="0.25">
      <c r="A1049" s="10" t="s">
        <v>764</v>
      </c>
      <c r="B1049" s="7" t="s">
        <v>2325</v>
      </c>
    </row>
    <row r="1050" spans="1:2" x14ac:dyDescent="0.25">
      <c r="A1050" s="10" t="s">
        <v>1845</v>
      </c>
      <c r="B1050" s="7" t="s">
        <v>2325</v>
      </c>
    </row>
    <row r="1051" spans="1:2" x14ac:dyDescent="0.25">
      <c r="A1051" s="10" t="s">
        <v>660</v>
      </c>
      <c r="B1051" s="7" t="s">
        <v>2325</v>
      </c>
    </row>
    <row r="1052" spans="1:2" x14ac:dyDescent="0.25">
      <c r="A1052" s="10" t="s">
        <v>207</v>
      </c>
      <c r="B1052" s="7" t="s">
        <v>2325</v>
      </c>
    </row>
    <row r="1053" spans="1:2" x14ac:dyDescent="0.25">
      <c r="A1053" s="10" t="s">
        <v>451</v>
      </c>
      <c r="B1053" s="7" t="s">
        <v>2325</v>
      </c>
    </row>
    <row r="1054" spans="1:2" x14ac:dyDescent="0.25">
      <c r="A1054" s="10" t="s">
        <v>964</v>
      </c>
      <c r="B1054" s="7" t="s">
        <v>2325</v>
      </c>
    </row>
    <row r="1055" spans="1:2" x14ac:dyDescent="0.25">
      <c r="A1055" s="10" t="s">
        <v>1846</v>
      </c>
      <c r="B1055" s="7" t="s">
        <v>2325</v>
      </c>
    </row>
    <row r="1056" spans="1:2" x14ac:dyDescent="0.25">
      <c r="A1056" s="10" t="s">
        <v>194</v>
      </c>
      <c r="B1056" s="7" t="s">
        <v>2325</v>
      </c>
    </row>
    <row r="1057" spans="1:2" x14ac:dyDescent="0.25">
      <c r="A1057" s="10" t="s">
        <v>215</v>
      </c>
      <c r="B1057" s="7" t="s">
        <v>2325</v>
      </c>
    </row>
    <row r="1058" spans="1:2" x14ac:dyDescent="0.25">
      <c r="A1058" s="10" t="s">
        <v>235</v>
      </c>
      <c r="B1058" s="7" t="s">
        <v>2325</v>
      </c>
    </row>
    <row r="1059" spans="1:2" x14ac:dyDescent="0.25">
      <c r="A1059" s="10" t="s">
        <v>845</v>
      </c>
      <c r="B1059" s="7" t="s">
        <v>2325</v>
      </c>
    </row>
    <row r="1060" spans="1:2" x14ac:dyDescent="0.25">
      <c r="A1060" s="10" t="s">
        <v>557</v>
      </c>
      <c r="B1060" s="7" t="s">
        <v>2325</v>
      </c>
    </row>
    <row r="1061" spans="1:2" x14ac:dyDescent="0.25">
      <c r="A1061" s="10" t="s">
        <v>1847</v>
      </c>
      <c r="B1061" s="7" t="s">
        <v>2325</v>
      </c>
    </row>
    <row r="1062" spans="1:2" x14ac:dyDescent="0.25">
      <c r="A1062" s="10" t="s">
        <v>102</v>
      </c>
      <c r="B1062" s="7" t="s">
        <v>2325</v>
      </c>
    </row>
    <row r="1063" spans="1:2" x14ac:dyDescent="0.25">
      <c r="A1063" s="10" t="s">
        <v>1848</v>
      </c>
      <c r="B1063" s="7" t="s">
        <v>2325</v>
      </c>
    </row>
    <row r="1064" spans="1:2" x14ac:dyDescent="0.25">
      <c r="A1064" s="10" t="s">
        <v>919</v>
      </c>
      <c r="B1064" s="7" t="s">
        <v>2325</v>
      </c>
    </row>
    <row r="1065" spans="1:2" x14ac:dyDescent="0.25">
      <c r="A1065" s="10" t="s">
        <v>1849</v>
      </c>
      <c r="B1065" s="7" t="s">
        <v>2325</v>
      </c>
    </row>
    <row r="1066" spans="1:2" x14ac:dyDescent="0.25">
      <c r="A1066" s="10" t="s">
        <v>161</v>
      </c>
      <c r="B1066" s="7" t="s">
        <v>2325</v>
      </c>
    </row>
    <row r="1067" spans="1:2" x14ac:dyDescent="0.25">
      <c r="A1067" s="10" t="s">
        <v>1010</v>
      </c>
      <c r="B1067" s="7" t="s">
        <v>2325</v>
      </c>
    </row>
    <row r="1068" spans="1:2" x14ac:dyDescent="0.25">
      <c r="A1068" s="10" t="s">
        <v>1850</v>
      </c>
      <c r="B1068" s="7" t="s">
        <v>2325</v>
      </c>
    </row>
    <row r="1069" spans="1:2" x14ac:dyDescent="0.25">
      <c r="A1069" s="10" t="s">
        <v>1851</v>
      </c>
      <c r="B1069" s="7" t="s">
        <v>2325</v>
      </c>
    </row>
    <row r="1070" spans="1:2" x14ac:dyDescent="0.25">
      <c r="A1070" s="10" t="s">
        <v>663</v>
      </c>
      <c r="B1070" s="7" t="s">
        <v>2325</v>
      </c>
    </row>
    <row r="1071" spans="1:2" x14ac:dyDescent="0.25">
      <c r="A1071" s="10" t="s">
        <v>1852</v>
      </c>
      <c r="B1071" s="7" t="s">
        <v>2325</v>
      </c>
    </row>
    <row r="1072" spans="1:2" x14ac:dyDescent="0.25">
      <c r="A1072" s="10" t="s">
        <v>1853</v>
      </c>
      <c r="B1072" s="7" t="s">
        <v>2325</v>
      </c>
    </row>
    <row r="1073" spans="1:2" x14ac:dyDescent="0.25">
      <c r="A1073" s="10" t="s">
        <v>1854</v>
      </c>
      <c r="B1073" s="7" t="s">
        <v>2325</v>
      </c>
    </row>
    <row r="1074" spans="1:2" x14ac:dyDescent="0.25">
      <c r="A1074" s="10" t="s">
        <v>559</v>
      </c>
      <c r="B1074" s="7" t="s">
        <v>2325</v>
      </c>
    </row>
    <row r="1075" spans="1:2" x14ac:dyDescent="0.25">
      <c r="A1075" s="10" t="s">
        <v>1855</v>
      </c>
      <c r="B1075" s="7" t="s">
        <v>2325</v>
      </c>
    </row>
    <row r="1076" spans="1:2" x14ac:dyDescent="0.25">
      <c r="A1076" s="10" t="s">
        <v>145</v>
      </c>
      <c r="B1076" s="7" t="s">
        <v>2325</v>
      </c>
    </row>
    <row r="1077" spans="1:2" x14ac:dyDescent="0.25">
      <c r="A1077" s="10" t="s">
        <v>1856</v>
      </c>
      <c r="B1077" s="7" t="s">
        <v>2325</v>
      </c>
    </row>
    <row r="1078" spans="1:2" x14ac:dyDescent="0.25">
      <c r="A1078" s="10" t="s">
        <v>700</v>
      </c>
      <c r="B1078" s="7" t="s">
        <v>2325</v>
      </c>
    </row>
    <row r="1079" spans="1:2" x14ac:dyDescent="0.25">
      <c r="A1079" s="10" t="s">
        <v>30</v>
      </c>
      <c r="B1079" s="7" t="s">
        <v>2325</v>
      </c>
    </row>
    <row r="1080" spans="1:2" x14ac:dyDescent="0.25">
      <c r="A1080" s="10" t="s">
        <v>320</v>
      </c>
      <c r="B1080" s="7" t="s">
        <v>2325</v>
      </c>
    </row>
    <row r="1081" spans="1:2" x14ac:dyDescent="0.25">
      <c r="A1081" s="10" t="s">
        <v>516</v>
      </c>
      <c r="B1081" s="7" t="s">
        <v>2325</v>
      </c>
    </row>
    <row r="1082" spans="1:2" x14ac:dyDescent="0.25">
      <c r="A1082" s="10" t="s">
        <v>1857</v>
      </c>
      <c r="B1082" s="7" t="s">
        <v>2325</v>
      </c>
    </row>
    <row r="1083" spans="1:2" x14ac:dyDescent="0.25">
      <c r="A1083" s="10" t="s">
        <v>572</v>
      </c>
      <c r="B1083" s="7" t="s">
        <v>2325</v>
      </c>
    </row>
    <row r="1084" spans="1:2" x14ac:dyDescent="0.25">
      <c r="A1084" s="10" t="s">
        <v>549</v>
      </c>
      <c r="B1084" s="7" t="s">
        <v>2325</v>
      </c>
    </row>
    <row r="1085" spans="1:2" x14ac:dyDescent="0.25">
      <c r="A1085" s="10" t="s">
        <v>1858</v>
      </c>
      <c r="B1085" s="7" t="s">
        <v>2325</v>
      </c>
    </row>
    <row r="1086" spans="1:2" x14ac:dyDescent="0.25">
      <c r="A1086" s="10" t="s">
        <v>1859</v>
      </c>
      <c r="B1086" s="7" t="s">
        <v>2325</v>
      </c>
    </row>
    <row r="1087" spans="1:2" x14ac:dyDescent="0.25">
      <c r="A1087" s="10" t="s">
        <v>153</v>
      </c>
      <c r="B1087" s="7" t="s">
        <v>2325</v>
      </c>
    </row>
    <row r="1088" spans="1:2" x14ac:dyDescent="0.25">
      <c r="A1088" s="10" t="s">
        <v>20</v>
      </c>
      <c r="B1088" s="7" t="s">
        <v>2325</v>
      </c>
    </row>
    <row r="1089" spans="1:2" x14ac:dyDescent="0.25">
      <c r="A1089" s="10" t="s">
        <v>372</v>
      </c>
      <c r="B1089" s="7" t="s">
        <v>2325</v>
      </c>
    </row>
    <row r="1090" spans="1:2" x14ac:dyDescent="0.25">
      <c r="A1090" s="10" t="s">
        <v>199</v>
      </c>
      <c r="B1090" s="7" t="s">
        <v>2325</v>
      </c>
    </row>
    <row r="1091" spans="1:2" x14ac:dyDescent="0.25">
      <c r="A1091" s="10" t="s">
        <v>1860</v>
      </c>
      <c r="B1091" s="7" t="s">
        <v>2325</v>
      </c>
    </row>
    <row r="1092" spans="1:2" x14ac:dyDescent="0.25">
      <c r="A1092" s="10" t="s">
        <v>109</v>
      </c>
      <c r="B1092" s="7" t="s">
        <v>2325</v>
      </c>
    </row>
    <row r="1093" spans="1:2" x14ac:dyDescent="0.25">
      <c r="A1093" s="10" t="s">
        <v>1861</v>
      </c>
      <c r="B1093" s="7" t="s">
        <v>2325</v>
      </c>
    </row>
    <row r="1094" spans="1:2" x14ac:dyDescent="0.25">
      <c r="A1094" s="10" t="s">
        <v>401</v>
      </c>
      <c r="B1094" s="7" t="s">
        <v>2325</v>
      </c>
    </row>
    <row r="1095" spans="1:2" x14ac:dyDescent="0.25">
      <c r="A1095" s="10" t="s">
        <v>173</v>
      </c>
      <c r="B1095" s="7" t="s">
        <v>2325</v>
      </c>
    </row>
    <row r="1096" spans="1:2" x14ac:dyDescent="0.25">
      <c r="A1096" s="10" t="s">
        <v>1862</v>
      </c>
      <c r="B1096" s="7" t="s">
        <v>2325</v>
      </c>
    </row>
    <row r="1097" spans="1:2" x14ac:dyDescent="0.25">
      <c r="A1097" s="10" t="s">
        <v>662</v>
      </c>
      <c r="B1097" s="7" t="s">
        <v>2325</v>
      </c>
    </row>
    <row r="1098" spans="1:2" x14ac:dyDescent="0.25">
      <c r="A1098" s="10" t="s">
        <v>904</v>
      </c>
      <c r="B1098" s="7" t="s">
        <v>2325</v>
      </c>
    </row>
    <row r="1099" spans="1:2" x14ac:dyDescent="0.25">
      <c r="A1099" s="10" t="s">
        <v>1863</v>
      </c>
      <c r="B1099" s="7" t="s">
        <v>2325</v>
      </c>
    </row>
    <row r="1100" spans="1:2" x14ac:dyDescent="0.25">
      <c r="A1100" s="10" t="s">
        <v>307</v>
      </c>
      <c r="B1100" s="7" t="s">
        <v>2325</v>
      </c>
    </row>
    <row r="1101" spans="1:2" x14ac:dyDescent="0.25">
      <c r="A1101" s="10" t="s">
        <v>742</v>
      </c>
      <c r="B1101" s="7" t="s">
        <v>2325</v>
      </c>
    </row>
    <row r="1102" spans="1:2" x14ac:dyDescent="0.25">
      <c r="A1102" s="10" t="s">
        <v>983</v>
      </c>
      <c r="B1102" s="7" t="s">
        <v>2325</v>
      </c>
    </row>
    <row r="1103" spans="1:2" x14ac:dyDescent="0.25">
      <c r="A1103" s="10" t="s">
        <v>1864</v>
      </c>
      <c r="B1103" s="7" t="s">
        <v>2325</v>
      </c>
    </row>
    <row r="1104" spans="1:2" x14ac:dyDescent="0.25">
      <c r="A1104" s="10" t="s">
        <v>1201</v>
      </c>
      <c r="B1104" s="7" t="s">
        <v>2325</v>
      </c>
    </row>
    <row r="1105" spans="1:2" x14ac:dyDescent="0.25">
      <c r="A1105" s="10" t="s">
        <v>297</v>
      </c>
      <c r="B1105" s="7" t="s">
        <v>2325</v>
      </c>
    </row>
    <row r="1106" spans="1:2" x14ac:dyDescent="0.25">
      <c r="A1106" s="10" t="s">
        <v>1865</v>
      </c>
      <c r="B1106" s="7" t="s">
        <v>2325</v>
      </c>
    </row>
    <row r="1107" spans="1:2" x14ac:dyDescent="0.25">
      <c r="A1107" s="10" t="s">
        <v>591</v>
      </c>
      <c r="B1107" s="7" t="s">
        <v>2325</v>
      </c>
    </row>
    <row r="1108" spans="1:2" x14ac:dyDescent="0.25">
      <c r="A1108" s="10" t="s">
        <v>1191</v>
      </c>
      <c r="B1108" s="7" t="s">
        <v>2325</v>
      </c>
    </row>
    <row r="1109" spans="1:2" x14ac:dyDescent="0.25">
      <c r="A1109" s="10" t="s">
        <v>1866</v>
      </c>
      <c r="B1109" s="7" t="s">
        <v>2325</v>
      </c>
    </row>
    <row r="1110" spans="1:2" x14ac:dyDescent="0.25">
      <c r="A1110" s="10" t="s">
        <v>376</v>
      </c>
      <c r="B1110" s="7" t="s">
        <v>2325</v>
      </c>
    </row>
    <row r="1111" spans="1:2" x14ac:dyDescent="0.25">
      <c r="A1111" s="10" t="s">
        <v>1867</v>
      </c>
      <c r="B1111" s="7" t="s">
        <v>2325</v>
      </c>
    </row>
    <row r="1112" spans="1:2" x14ac:dyDescent="0.25">
      <c r="A1112" s="10" t="s">
        <v>1868</v>
      </c>
      <c r="B1112" s="7" t="s">
        <v>2325</v>
      </c>
    </row>
    <row r="1113" spans="1:2" x14ac:dyDescent="0.25">
      <c r="A1113" s="10" t="s">
        <v>1869</v>
      </c>
      <c r="B1113" s="7" t="s">
        <v>2325</v>
      </c>
    </row>
    <row r="1114" spans="1:2" x14ac:dyDescent="0.25">
      <c r="A1114" s="10" t="s">
        <v>1870</v>
      </c>
      <c r="B1114" s="7" t="s">
        <v>2325</v>
      </c>
    </row>
    <row r="1115" spans="1:2" x14ac:dyDescent="0.25">
      <c r="A1115" s="10" t="s">
        <v>354</v>
      </c>
      <c r="B1115" s="7" t="s">
        <v>2325</v>
      </c>
    </row>
    <row r="1116" spans="1:2" x14ac:dyDescent="0.25">
      <c r="A1116" s="10" t="s">
        <v>284</v>
      </c>
      <c r="B1116" s="7" t="s">
        <v>2325</v>
      </c>
    </row>
    <row r="1117" spans="1:2" x14ac:dyDescent="0.25">
      <c r="A1117" s="10" t="s">
        <v>1871</v>
      </c>
      <c r="B1117" s="7" t="s">
        <v>2325</v>
      </c>
    </row>
    <row r="1118" spans="1:2" x14ac:dyDescent="0.25">
      <c r="A1118" s="10" t="s">
        <v>82</v>
      </c>
      <c r="B1118" s="7" t="s">
        <v>2325</v>
      </c>
    </row>
    <row r="1119" spans="1:2" x14ac:dyDescent="0.25">
      <c r="A1119" s="10" t="s">
        <v>34</v>
      </c>
      <c r="B1119" s="7" t="s">
        <v>2325</v>
      </c>
    </row>
    <row r="1120" spans="1:2" x14ac:dyDescent="0.25">
      <c r="A1120" s="10" t="s">
        <v>1872</v>
      </c>
      <c r="B1120" s="7" t="s">
        <v>2325</v>
      </c>
    </row>
    <row r="1121" spans="1:2" x14ac:dyDescent="0.25">
      <c r="A1121" s="10" t="s">
        <v>1873</v>
      </c>
      <c r="B1121" s="7" t="s">
        <v>2325</v>
      </c>
    </row>
    <row r="1122" spans="1:2" x14ac:dyDescent="0.25">
      <c r="A1122" s="10" t="s">
        <v>1189</v>
      </c>
      <c r="B1122" s="7" t="s">
        <v>2325</v>
      </c>
    </row>
    <row r="1123" spans="1:2" x14ac:dyDescent="0.25">
      <c r="A1123" s="10" t="s">
        <v>680</v>
      </c>
      <c r="B1123" s="7" t="s">
        <v>2325</v>
      </c>
    </row>
    <row r="1124" spans="1:2" x14ac:dyDescent="0.25">
      <c r="A1124" s="10" t="s">
        <v>1874</v>
      </c>
      <c r="B1124" s="7" t="s">
        <v>2325</v>
      </c>
    </row>
    <row r="1125" spans="1:2" x14ac:dyDescent="0.25">
      <c r="A1125" s="10" t="s">
        <v>1875</v>
      </c>
      <c r="B1125" s="7" t="s">
        <v>2325</v>
      </c>
    </row>
    <row r="1126" spans="1:2" x14ac:dyDescent="0.25">
      <c r="A1126" s="10" t="s">
        <v>364</v>
      </c>
      <c r="B1126" s="7" t="s">
        <v>2325</v>
      </c>
    </row>
    <row r="1127" spans="1:2" x14ac:dyDescent="0.25">
      <c r="A1127" s="10" t="s">
        <v>1876</v>
      </c>
      <c r="B1127" s="7" t="s">
        <v>2325</v>
      </c>
    </row>
    <row r="1128" spans="1:2" x14ac:dyDescent="0.25">
      <c r="A1128" s="10" t="s">
        <v>1877</v>
      </c>
      <c r="B1128" s="7" t="s">
        <v>2325</v>
      </c>
    </row>
    <row r="1129" spans="1:2" x14ac:dyDescent="0.25">
      <c r="A1129" s="10" t="s">
        <v>1094</v>
      </c>
      <c r="B1129" s="7" t="s">
        <v>2325</v>
      </c>
    </row>
    <row r="1130" spans="1:2" x14ac:dyDescent="0.25">
      <c r="A1130" s="10" t="s">
        <v>639</v>
      </c>
      <c r="B1130" s="7" t="s">
        <v>2325</v>
      </c>
    </row>
    <row r="1131" spans="1:2" x14ac:dyDescent="0.25">
      <c r="A1131" s="10" t="s">
        <v>88</v>
      </c>
      <c r="B1131" s="7" t="s">
        <v>2325</v>
      </c>
    </row>
    <row r="1132" spans="1:2" x14ac:dyDescent="0.25">
      <c r="A1132" s="10" t="s">
        <v>555</v>
      </c>
      <c r="B1132" s="7" t="s">
        <v>2325</v>
      </c>
    </row>
    <row r="1133" spans="1:2" x14ac:dyDescent="0.25">
      <c r="A1133" s="10" t="s">
        <v>1878</v>
      </c>
      <c r="B1133" s="7" t="s">
        <v>2325</v>
      </c>
    </row>
    <row r="1134" spans="1:2" x14ac:dyDescent="0.25">
      <c r="A1134" s="10" t="s">
        <v>882</v>
      </c>
      <c r="B1134" s="7" t="s">
        <v>2325</v>
      </c>
    </row>
    <row r="1135" spans="1:2" x14ac:dyDescent="0.25">
      <c r="A1135" s="10" t="s">
        <v>1879</v>
      </c>
      <c r="B1135" s="7" t="s">
        <v>2325</v>
      </c>
    </row>
    <row r="1136" spans="1:2" x14ac:dyDescent="0.25">
      <c r="A1136" s="10" t="s">
        <v>1880</v>
      </c>
      <c r="B1136" s="7" t="s">
        <v>2325</v>
      </c>
    </row>
    <row r="1137" spans="1:2" x14ac:dyDescent="0.25">
      <c r="A1137" s="10" t="s">
        <v>897</v>
      </c>
      <c r="B1137" s="7" t="s">
        <v>2325</v>
      </c>
    </row>
    <row r="1138" spans="1:2" x14ac:dyDescent="0.25">
      <c r="A1138" s="10" t="s">
        <v>816</v>
      </c>
      <c r="B1138" s="7" t="s">
        <v>2325</v>
      </c>
    </row>
    <row r="1139" spans="1:2" x14ac:dyDescent="0.25">
      <c r="A1139" s="10" t="s">
        <v>960</v>
      </c>
      <c r="B1139" s="7" t="s">
        <v>2325</v>
      </c>
    </row>
    <row r="1140" spans="1:2" x14ac:dyDescent="0.25">
      <c r="A1140" s="10" t="s">
        <v>863</v>
      </c>
      <c r="B1140" s="7" t="s">
        <v>2325</v>
      </c>
    </row>
    <row r="1141" spans="1:2" x14ac:dyDescent="0.25">
      <c r="A1141" s="10" t="s">
        <v>1881</v>
      </c>
      <c r="B1141" s="7" t="s">
        <v>2325</v>
      </c>
    </row>
    <row r="1142" spans="1:2" x14ac:dyDescent="0.25">
      <c r="A1142" s="10" t="s">
        <v>1882</v>
      </c>
      <c r="B1142" s="7" t="s">
        <v>2325</v>
      </c>
    </row>
    <row r="1143" spans="1:2" x14ac:dyDescent="0.25">
      <c r="A1143" s="10" t="s">
        <v>1883</v>
      </c>
      <c r="B1143" s="7" t="s">
        <v>2325</v>
      </c>
    </row>
    <row r="1144" spans="1:2" x14ac:dyDescent="0.25">
      <c r="A1144" s="10" t="s">
        <v>927</v>
      </c>
      <c r="B1144" s="7" t="s">
        <v>2325</v>
      </c>
    </row>
    <row r="1145" spans="1:2" x14ac:dyDescent="0.25">
      <c r="A1145" s="10" t="s">
        <v>1884</v>
      </c>
      <c r="B1145" s="7" t="s">
        <v>2325</v>
      </c>
    </row>
    <row r="1146" spans="1:2" x14ac:dyDescent="0.25">
      <c r="A1146" s="10" t="s">
        <v>1885</v>
      </c>
      <c r="B1146" s="7" t="s">
        <v>2325</v>
      </c>
    </row>
    <row r="1147" spans="1:2" x14ac:dyDescent="0.25">
      <c r="A1147" s="10" t="s">
        <v>1196</v>
      </c>
      <c r="B1147" s="7" t="s">
        <v>2325</v>
      </c>
    </row>
    <row r="1148" spans="1:2" x14ac:dyDescent="0.25">
      <c r="A1148" s="10" t="s">
        <v>1886</v>
      </c>
      <c r="B1148" s="7" t="s">
        <v>2325</v>
      </c>
    </row>
    <row r="1149" spans="1:2" x14ac:dyDescent="0.25">
      <c r="A1149" s="10" t="s">
        <v>841</v>
      </c>
      <c r="B1149" s="7" t="s">
        <v>2325</v>
      </c>
    </row>
    <row r="1150" spans="1:2" x14ac:dyDescent="0.25">
      <c r="A1150" s="10" t="s">
        <v>1028</v>
      </c>
      <c r="B1150" s="7" t="s">
        <v>2325</v>
      </c>
    </row>
    <row r="1151" spans="1:2" x14ac:dyDescent="0.25">
      <c r="A1151" s="10" t="s">
        <v>1887</v>
      </c>
      <c r="B1151" s="7" t="s">
        <v>2325</v>
      </c>
    </row>
    <row r="1152" spans="1:2" x14ac:dyDescent="0.25">
      <c r="A1152" s="10" t="s">
        <v>1888</v>
      </c>
      <c r="B1152" s="7" t="s">
        <v>2325</v>
      </c>
    </row>
    <row r="1153" spans="1:2" x14ac:dyDescent="0.25">
      <c r="A1153" s="10" t="s">
        <v>1156</v>
      </c>
      <c r="B1153" s="7" t="s">
        <v>2325</v>
      </c>
    </row>
    <row r="1154" spans="1:2" x14ac:dyDescent="0.25">
      <c r="A1154" s="10" t="s">
        <v>98</v>
      </c>
      <c r="B1154" s="7" t="s">
        <v>2325</v>
      </c>
    </row>
    <row r="1155" spans="1:2" x14ac:dyDescent="0.25">
      <c r="A1155" s="10" t="s">
        <v>1889</v>
      </c>
      <c r="B1155" s="7" t="s">
        <v>2325</v>
      </c>
    </row>
    <row r="1156" spans="1:2" x14ac:dyDescent="0.25">
      <c r="A1156" s="10" t="s">
        <v>530</v>
      </c>
      <c r="B1156" s="7" t="s">
        <v>2325</v>
      </c>
    </row>
    <row r="1157" spans="1:2" x14ac:dyDescent="0.25">
      <c r="A1157" s="10" t="s">
        <v>565</v>
      </c>
      <c r="B1157" s="7" t="s">
        <v>2325</v>
      </c>
    </row>
    <row r="1158" spans="1:2" x14ac:dyDescent="0.25">
      <c r="A1158" s="10" t="s">
        <v>608</v>
      </c>
      <c r="B1158" s="7" t="s">
        <v>2325</v>
      </c>
    </row>
    <row r="1159" spans="1:2" x14ac:dyDescent="0.25">
      <c r="A1159" s="10" t="s">
        <v>406</v>
      </c>
      <c r="B1159" s="7" t="s">
        <v>2325</v>
      </c>
    </row>
    <row r="1160" spans="1:2" x14ac:dyDescent="0.25">
      <c r="A1160" s="10" t="s">
        <v>249</v>
      </c>
      <c r="B1160" s="7" t="s">
        <v>2325</v>
      </c>
    </row>
    <row r="1161" spans="1:2" x14ac:dyDescent="0.25">
      <c r="A1161" s="10" t="s">
        <v>1890</v>
      </c>
      <c r="B1161" s="7" t="s">
        <v>2325</v>
      </c>
    </row>
    <row r="1162" spans="1:2" x14ac:dyDescent="0.25">
      <c r="A1162" s="10" t="s">
        <v>1891</v>
      </c>
      <c r="B1162" s="7" t="s">
        <v>2325</v>
      </c>
    </row>
    <row r="1163" spans="1:2" x14ac:dyDescent="0.25">
      <c r="A1163" s="10" t="s">
        <v>1892</v>
      </c>
      <c r="B1163" s="7" t="s">
        <v>2325</v>
      </c>
    </row>
    <row r="1164" spans="1:2" x14ac:dyDescent="0.25">
      <c r="A1164" s="10" t="s">
        <v>1893</v>
      </c>
      <c r="B1164" s="7" t="s">
        <v>2325</v>
      </c>
    </row>
    <row r="1165" spans="1:2" x14ac:dyDescent="0.25">
      <c r="A1165" s="10" t="s">
        <v>931</v>
      </c>
      <c r="B1165" s="7" t="s">
        <v>2325</v>
      </c>
    </row>
    <row r="1166" spans="1:2" x14ac:dyDescent="0.25">
      <c r="A1166" s="10" t="s">
        <v>1894</v>
      </c>
      <c r="B1166" s="7" t="s">
        <v>2325</v>
      </c>
    </row>
    <row r="1167" spans="1:2" x14ac:dyDescent="0.25">
      <c r="A1167" s="10" t="s">
        <v>1895</v>
      </c>
      <c r="B1167" s="7" t="s">
        <v>2325</v>
      </c>
    </row>
    <row r="1168" spans="1:2" x14ac:dyDescent="0.25">
      <c r="A1168" s="10" t="s">
        <v>1896</v>
      </c>
      <c r="B1168" s="7" t="s">
        <v>2325</v>
      </c>
    </row>
    <row r="1169" spans="1:2" x14ac:dyDescent="0.25">
      <c r="A1169" s="10" t="s">
        <v>1128</v>
      </c>
      <c r="B1169" s="7" t="s">
        <v>2325</v>
      </c>
    </row>
    <row r="1170" spans="1:2" x14ac:dyDescent="0.25">
      <c r="A1170" s="10" t="s">
        <v>1897</v>
      </c>
      <c r="B1170" s="7" t="s">
        <v>2325</v>
      </c>
    </row>
    <row r="1171" spans="1:2" x14ac:dyDescent="0.25">
      <c r="A1171" s="10" t="s">
        <v>1898</v>
      </c>
      <c r="B1171" s="7" t="s">
        <v>2325</v>
      </c>
    </row>
    <row r="1172" spans="1:2" x14ac:dyDescent="0.25">
      <c r="A1172" s="10" t="s">
        <v>342</v>
      </c>
      <c r="B1172" s="7" t="s">
        <v>2325</v>
      </c>
    </row>
    <row r="1173" spans="1:2" x14ac:dyDescent="0.25">
      <c r="A1173" s="10" t="s">
        <v>877</v>
      </c>
      <c r="B1173" s="7" t="s">
        <v>2325</v>
      </c>
    </row>
    <row r="1174" spans="1:2" x14ac:dyDescent="0.25">
      <c r="A1174" s="10" t="s">
        <v>1899</v>
      </c>
      <c r="B1174" s="7" t="s">
        <v>2325</v>
      </c>
    </row>
    <row r="1175" spans="1:2" x14ac:dyDescent="0.25">
      <c r="A1175" s="10" t="s">
        <v>755</v>
      </c>
      <c r="B1175" s="7" t="s">
        <v>2325</v>
      </c>
    </row>
    <row r="1176" spans="1:2" x14ac:dyDescent="0.25">
      <c r="A1176" s="10" t="s">
        <v>1900</v>
      </c>
      <c r="B1176" s="7" t="s">
        <v>2325</v>
      </c>
    </row>
    <row r="1177" spans="1:2" x14ac:dyDescent="0.25">
      <c r="A1177" s="10" t="s">
        <v>1901</v>
      </c>
      <c r="B1177" s="7" t="s">
        <v>2325</v>
      </c>
    </row>
    <row r="1178" spans="1:2" x14ac:dyDescent="0.25">
      <c r="A1178" s="10" t="s">
        <v>339</v>
      </c>
      <c r="B1178" s="7" t="s">
        <v>2325</v>
      </c>
    </row>
    <row r="1179" spans="1:2" x14ac:dyDescent="0.25">
      <c r="A1179" s="10" t="s">
        <v>1159</v>
      </c>
      <c r="B1179" s="7" t="s">
        <v>2325</v>
      </c>
    </row>
    <row r="1180" spans="1:2" x14ac:dyDescent="0.25">
      <c r="A1180" s="10" t="s">
        <v>1902</v>
      </c>
      <c r="B1180" s="7" t="s">
        <v>2325</v>
      </c>
    </row>
    <row r="1181" spans="1:2" x14ac:dyDescent="0.25">
      <c r="A1181" s="10" t="s">
        <v>1903</v>
      </c>
      <c r="B1181" s="7" t="s">
        <v>2325</v>
      </c>
    </row>
    <row r="1182" spans="1:2" x14ac:dyDescent="0.25">
      <c r="A1182" s="10" t="s">
        <v>1904</v>
      </c>
      <c r="B1182" s="7" t="s">
        <v>2325</v>
      </c>
    </row>
    <row r="1183" spans="1:2" x14ac:dyDescent="0.25">
      <c r="A1183" s="10" t="s">
        <v>1905</v>
      </c>
      <c r="B1183" s="7" t="s">
        <v>2325</v>
      </c>
    </row>
    <row r="1184" spans="1:2" x14ac:dyDescent="0.25">
      <c r="A1184" s="10" t="s">
        <v>896</v>
      </c>
      <c r="B1184" s="7" t="s">
        <v>2325</v>
      </c>
    </row>
    <row r="1185" spans="1:2" x14ac:dyDescent="0.25">
      <c r="A1185" s="10" t="s">
        <v>1906</v>
      </c>
      <c r="B1185" s="7" t="s">
        <v>2325</v>
      </c>
    </row>
    <row r="1186" spans="1:2" x14ac:dyDescent="0.25">
      <c r="A1186" s="10" t="s">
        <v>784</v>
      </c>
      <c r="B1186" s="7" t="s">
        <v>2325</v>
      </c>
    </row>
    <row r="1187" spans="1:2" x14ac:dyDescent="0.25">
      <c r="A1187" s="10" t="s">
        <v>1907</v>
      </c>
      <c r="B1187" s="7" t="s">
        <v>2325</v>
      </c>
    </row>
    <row r="1188" spans="1:2" x14ac:dyDescent="0.25">
      <c r="A1188" s="10" t="s">
        <v>1908</v>
      </c>
      <c r="B1188" s="7" t="s">
        <v>2325</v>
      </c>
    </row>
    <row r="1189" spans="1:2" x14ac:dyDescent="0.25">
      <c r="A1189" s="10" t="s">
        <v>1029</v>
      </c>
      <c r="B1189" s="7" t="s">
        <v>2325</v>
      </c>
    </row>
    <row r="1190" spans="1:2" x14ac:dyDescent="0.25">
      <c r="A1190" s="10" t="s">
        <v>1909</v>
      </c>
      <c r="B1190" s="7" t="s">
        <v>2325</v>
      </c>
    </row>
    <row r="1191" spans="1:2" x14ac:dyDescent="0.25">
      <c r="A1191" s="10" t="s">
        <v>679</v>
      </c>
      <c r="B1191" s="7" t="s">
        <v>2325</v>
      </c>
    </row>
    <row r="1192" spans="1:2" x14ac:dyDescent="0.25">
      <c r="A1192" s="10" t="s">
        <v>884</v>
      </c>
      <c r="B1192" s="7" t="s">
        <v>2325</v>
      </c>
    </row>
    <row r="1193" spans="1:2" x14ac:dyDescent="0.25">
      <c r="A1193" s="10" t="s">
        <v>344</v>
      </c>
      <c r="B1193" s="7" t="s">
        <v>2325</v>
      </c>
    </row>
    <row r="1194" spans="1:2" x14ac:dyDescent="0.25">
      <c r="A1194" s="10" t="s">
        <v>1910</v>
      </c>
      <c r="B1194" s="7" t="s">
        <v>2325</v>
      </c>
    </row>
    <row r="1195" spans="1:2" x14ac:dyDescent="0.25">
      <c r="A1195" s="10" t="s">
        <v>1911</v>
      </c>
      <c r="B1195" s="7" t="s">
        <v>2325</v>
      </c>
    </row>
    <row r="1196" spans="1:2" x14ac:dyDescent="0.25">
      <c r="A1196" s="10" t="s">
        <v>92</v>
      </c>
      <c r="B1196" s="7" t="s">
        <v>2325</v>
      </c>
    </row>
    <row r="1197" spans="1:2" x14ac:dyDescent="0.25">
      <c r="A1197" s="10" t="s">
        <v>599</v>
      </c>
      <c r="B1197" s="7" t="s">
        <v>2325</v>
      </c>
    </row>
    <row r="1198" spans="1:2" x14ac:dyDescent="0.25">
      <c r="A1198" s="10" t="s">
        <v>1912</v>
      </c>
      <c r="B1198" s="7" t="s">
        <v>2325</v>
      </c>
    </row>
    <row r="1199" spans="1:2" x14ac:dyDescent="0.25">
      <c r="A1199" s="10" t="s">
        <v>438</v>
      </c>
      <c r="B1199" s="7" t="s">
        <v>2325</v>
      </c>
    </row>
    <row r="1200" spans="1:2" x14ac:dyDescent="0.25">
      <c r="A1200" s="10" t="s">
        <v>833</v>
      </c>
      <c r="B1200" s="7" t="s">
        <v>2325</v>
      </c>
    </row>
    <row r="1201" spans="1:2" x14ac:dyDescent="0.25">
      <c r="A1201" s="10" t="s">
        <v>932</v>
      </c>
      <c r="B1201" s="7" t="s">
        <v>2325</v>
      </c>
    </row>
    <row r="1202" spans="1:2" x14ac:dyDescent="0.25">
      <c r="A1202" s="10" t="s">
        <v>40</v>
      </c>
      <c r="B1202" s="7" t="s">
        <v>2325</v>
      </c>
    </row>
    <row r="1203" spans="1:2" x14ac:dyDescent="0.25">
      <c r="A1203" s="10" t="s">
        <v>478</v>
      </c>
      <c r="B1203" s="7" t="s">
        <v>2325</v>
      </c>
    </row>
    <row r="1204" spans="1:2" x14ac:dyDescent="0.25">
      <c r="A1204" s="10" t="s">
        <v>1913</v>
      </c>
      <c r="B1204" s="7" t="s">
        <v>2325</v>
      </c>
    </row>
    <row r="1205" spans="1:2" x14ac:dyDescent="0.25">
      <c r="A1205" s="10" t="s">
        <v>1914</v>
      </c>
      <c r="B1205" s="7" t="s">
        <v>2325</v>
      </c>
    </row>
    <row r="1206" spans="1:2" x14ac:dyDescent="0.25">
      <c r="A1206" s="10" t="s">
        <v>1915</v>
      </c>
      <c r="B1206" s="7" t="s">
        <v>2325</v>
      </c>
    </row>
    <row r="1207" spans="1:2" x14ac:dyDescent="0.25">
      <c r="A1207" s="10" t="s">
        <v>1916</v>
      </c>
      <c r="B1207" s="7" t="s">
        <v>2325</v>
      </c>
    </row>
    <row r="1208" spans="1:2" x14ac:dyDescent="0.25">
      <c r="A1208" s="10" t="s">
        <v>1917</v>
      </c>
      <c r="B1208" s="7" t="s">
        <v>2325</v>
      </c>
    </row>
    <row r="1209" spans="1:2" x14ac:dyDescent="0.25">
      <c r="A1209" s="10" t="s">
        <v>769</v>
      </c>
      <c r="B1209" s="7" t="s">
        <v>2325</v>
      </c>
    </row>
    <row r="1210" spans="1:2" x14ac:dyDescent="0.25">
      <c r="A1210" s="10" t="s">
        <v>1918</v>
      </c>
      <c r="B1210" s="7" t="s">
        <v>2325</v>
      </c>
    </row>
    <row r="1211" spans="1:2" x14ac:dyDescent="0.25">
      <c r="A1211" s="10" t="s">
        <v>131</v>
      </c>
      <c r="B1211" s="7" t="s">
        <v>2325</v>
      </c>
    </row>
    <row r="1212" spans="1:2" x14ac:dyDescent="0.25">
      <c r="A1212" s="10" t="s">
        <v>1919</v>
      </c>
      <c r="B1212" s="7" t="s">
        <v>2325</v>
      </c>
    </row>
    <row r="1213" spans="1:2" x14ac:dyDescent="0.25">
      <c r="A1213" s="10" t="s">
        <v>1248</v>
      </c>
      <c r="B1213" s="7" t="s">
        <v>2325</v>
      </c>
    </row>
    <row r="1214" spans="1:2" x14ac:dyDescent="0.25">
      <c r="A1214" s="10" t="s">
        <v>568</v>
      </c>
      <c r="B1214" s="7" t="s">
        <v>2325</v>
      </c>
    </row>
    <row r="1215" spans="1:2" x14ac:dyDescent="0.25">
      <c r="A1215" s="10" t="s">
        <v>1920</v>
      </c>
      <c r="B1215" s="7" t="s">
        <v>2325</v>
      </c>
    </row>
    <row r="1216" spans="1:2" x14ac:dyDescent="0.25">
      <c r="A1216" s="10" t="s">
        <v>944</v>
      </c>
      <c r="B1216" s="7" t="s">
        <v>2325</v>
      </c>
    </row>
    <row r="1217" spans="1:2" x14ac:dyDescent="0.25">
      <c r="A1217" s="10" t="s">
        <v>491</v>
      </c>
      <c r="B1217" s="7" t="s">
        <v>2325</v>
      </c>
    </row>
    <row r="1218" spans="1:2" x14ac:dyDescent="0.25">
      <c r="A1218" s="10" t="s">
        <v>612</v>
      </c>
      <c r="B1218" s="7" t="s">
        <v>2325</v>
      </c>
    </row>
    <row r="1219" spans="1:2" x14ac:dyDescent="0.25">
      <c r="A1219" s="10" t="s">
        <v>45</v>
      </c>
      <c r="B1219" s="7" t="s">
        <v>2325</v>
      </c>
    </row>
    <row r="1220" spans="1:2" x14ac:dyDescent="0.25">
      <c r="A1220" s="10" t="s">
        <v>3</v>
      </c>
      <c r="B1220" s="7" t="s">
        <v>2325</v>
      </c>
    </row>
    <row r="1221" spans="1:2" x14ac:dyDescent="0.25">
      <c r="A1221" s="10" t="s">
        <v>1921</v>
      </c>
      <c r="B1221" s="7" t="s">
        <v>2325</v>
      </c>
    </row>
    <row r="1222" spans="1:2" x14ac:dyDescent="0.25">
      <c r="A1222" s="10" t="s">
        <v>1922</v>
      </c>
      <c r="B1222" s="7" t="s">
        <v>2325</v>
      </c>
    </row>
    <row r="1223" spans="1:2" x14ac:dyDescent="0.25">
      <c r="A1223" s="10" t="s">
        <v>1249</v>
      </c>
      <c r="B1223" s="7" t="s">
        <v>2325</v>
      </c>
    </row>
    <row r="1224" spans="1:2" x14ac:dyDescent="0.25">
      <c r="A1224" s="10" t="s">
        <v>1142</v>
      </c>
      <c r="B1224" s="7" t="s">
        <v>2325</v>
      </c>
    </row>
    <row r="1225" spans="1:2" x14ac:dyDescent="0.25">
      <c r="A1225" s="10" t="s">
        <v>1923</v>
      </c>
      <c r="B1225" s="7" t="s">
        <v>2325</v>
      </c>
    </row>
    <row r="1226" spans="1:2" x14ac:dyDescent="0.25">
      <c r="A1226" s="10" t="s">
        <v>1924</v>
      </c>
      <c r="B1226" s="7" t="s">
        <v>2325</v>
      </c>
    </row>
    <row r="1227" spans="1:2" x14ac:dyDescent="0.25">
      <c r="A1227" s="10" t="s">
        <v>1925</v>
      </c>
      <c r="B1227" s="7" t="s">
        <v>2325</v>
      </c>
    </row>
    <row r="1228" spans="1:2" x14ac:dyDescent="0.25">
      <c r="A1228" s="10" t="s">
        <v>1926</v>
      </c>
      <c r="B1228" s="7" t="s">
        <v>2325</v>
      </c>
    </row>
    <row r="1229" spans="1:2" x14ac:dyDescent="0.25">
      <c r="A1229" s="10" t="s">
        <v>444</v>
      </c>
      <c r="B1229" s="7" t="s">
        <v>2325</v>
      </c>
    </row>
    <row r="1230" spans="1:2" x14ac:dyDescent="0.25">
      <c r="A1230" s="10" t="s">
        <v>468</v>
      </c>
      <c r="B1230" s="7" t="s">
        <v>2325</v>
      </c>
    </row>
    <row r="1231" spans="1:2" x14ac:dyDescent="0.25">
      <c r="A1231" s="10" t="s">
        <v>547</v>
      </c>
      <c r="B1231" s="7" t="s">
        <v>2325</v>
      </c>
    </row>
    <row r="1232" spans="1:2" x14ac:dyDescent="0.25">
      <c r="A1232" s="10" t="s">
        <v>1927</v>
      </c>
      <c r="B1232" s="7" t="s">
        <v>2325</v>
      </c>
    </row>
    <row r="1233" spans="1:2" x14ac:dyDescent="0.25">
      <c r="A1233" s="10" t="s">
        <v>1161</v>
      </c>
      <c r="B1233" s="7" t="s">
        <v>2325</v>
      </c>
    </row>
    <row r="1234" spans="1:2" x14ac:dyDescent="0.25">
      <c r="A1234" s="10" t="s">
        <v>643</v>
      </c>
      <c r="B1234" s="7" t="s">
        <v>2325</v>
      </c>
    </row>
    <row r="1235" spans="1:2" x14ac:dyDescent="0.25">
      <c r="A1235" s="10" t="s">
        <v>1928</v>
      </c>
      <c r="B1235" s="7" t="s">
        <v>2325</v>
      </c>
    </row>
    <row r="1236" spans="1:2" x14ac:dyDescent="0.25">
      <c r="A1236" s="10" t="s">
        <v>1126</v>
      </c>
      <c r="B1236" s="7" t="s">
        <v>2325</v>
      </c>
    </row>
    <row r="1237" spans="1:2" x14ac:dyDescent="0.25">
      <c r="A1237" s="10" t="s">
        <v>368</v>
      </c>
      <c r="B1237" s="7" t="s">
        <v>2325</v>
      </c>
    </row>
    <row r="1238" spans="1:2" x14ac:dyDescent="0.25">
      <c r="A1238" s="10" t="s">
        <v>1929</v>
      </c>
      <c r="B1238" s="7" t="s">
        <v>2325</v>
      </c>
    </row>
    <row r="1239" spans="1:2" x14ac:dyDescent="0.25">
      <c r="A1239" s="10" t="s">
        <v>708</v>
      </c>
      <c r="B1239" s="7" t="s">
        <v>2325</v>
      </c>
    </row>
    <row r="1240" spans="1:2" x14ac:dyDescent="0.25">
      <c r="A1240" s="10" t="s">
        <v>1036</v>
      </c>
      <c r="B1240" s="7" t="s">
        <v>2325</v>
      </c>
    </row>
    <row r="1241" spans="1:2" x14ac:dyDescent="0.25">
      <c r="A1241" s="10" t="s">
        <v>905</v>
      </c>
      <c r="B1241" s="7" t="s">
        <v>2325</v>
      </c>
    </row>
    <row r="1242" spans="1:2" x14ac:dyDescent="0.25">
      <c r="A1242" s="10" t="s">
        <v>1199</v>
      </c>
      <c r="B1242" s="7" t="s">
        <v>2325</v>
      </c>
    </row>
    <row r="1243" spans="1:2" x14ac:dyDescent="0.25">
      <c r="A1243" s="10" t="s">
        <v>1930</v>
      </c>
      <c r="B1243" s="7" t="s">
        <v>2325</v>
      </c>
    </row>
    <row r="1244" spans="1:2" x14ac:dyDescent="0.25">
      <c r="A1244" s="10" t="s">
        <v>1931</v>
      </c>
      <c r="B1244" s="7" t="s">
        <v>2325</v>
      </c>
    </row>
    <row r="1245" spans="1:2" x14ac:dyDescent="0.25">
      <c r="A1245" s="10" t="s">
        <v>1932</v>
      </c>
      <c r="B1245" s="7" t="s">
        <v>2325</v>
      </c>
    </row>
    <row r="1246" spans="1:2" x14ac:dyDescent="0.25">
      <c r="A1246" s="10" t="s">
        <v>1933</v>
      </c>
      <c r="B1246" s="7" t="s">
        <v>2325</v>
      </c>
    </row>
    <row r="1247" spans="1:2" x14ac:dyDescent="0.25">
      <c r="A1247" s="10" t="s">
        <v>1934</v>
      </c>
      <c r="B1247" s="7" t="s">
        <v>2325</v>
      </c>
    </row>
    <row r="1248" spans="1:2" x14ac:dyDescent="0.25">
      <c r="A1248" s="10" t="s">
        <v>842</v>
      </c>
      <c r="B1248" s="7" t="s">
        <v>2325</v>
      </c>
    </row>
    <row r="1249" spans="1:2" x14ac:dyDescent="0.25">
      <c r="A1249" s="10" t="s">
        <v>997</v>
      </c>
      <c r="B1249" s="7" t="s">
        <v>2325</v>
      </c>
    </row>
    <row r="1250" spans="1:2" x14ac:dyDescent="0.25">
      <c r="A1250" s="10" t="s">
        <v>335</v>
      </c>
      <c r="B1250" s="7" t="s">
        <v>2325</v>
      </c>
    </row>
    <row r="1251" spans="1:2" x14ac:dyDescent="0.25">
      <c r="A1251" s="10" t="s">
        <v>127</v>
      </c>
      <c r="B1251" s="7" t="s">
        <v>2325</v>
      </c>
    </row>
    <row r="1252" spans="1:2" x14ac:dyDescent="0.25">
      <c r="A1252" s="10" t="s">
        <v>1935</v>
      </c>
      <c r="B1252" s="7" t="s">
        <v>2325</v>
      </c>
    </row>
    <row r="1253" spans="1:2" x14ac:dyDescent="0.25">
      <c r="A1253" s="10" t="s">
        <v>1936</v>
      </c>
      <c r="B1253" s="7" t="s">
        <v>2325</v>
      </c>
    </row>
    <row r="1254" spans="1:2" x14ac:dyDescent="0.25">
      <c r="A1254" s="10" t="s">
        <v>1051</v>
      </c>
      <c r="B1254" s="7" t="s">
        <v>2325</v>
      </c>
    </row>
    <row r="1255" spans="1:2" x14ac:dyDescent="0.25">
      <c r="A1255" s="10" t="s">
        <v>843</v>
      </c>
      <c r="B1255" s="7" t="s">
        <v>2325</v>
      </c>
    </row>
    <row r="1256" spans="1:2" x14ac:dyDescent="0.25">
      <c r="A1256" s="10" t="s">
        <v>1937</v>
      </c>
      <c r="B1256" s="7" t="s">
        <v>2325</v>
      </c>
    </row>
    <row r="1257" spans="1:2" x14ac:dyDescent="0.25">
      <c r="A1257" s="10" t="s">
        <v>1938</v>
      </c>
      <c r="B1257" s="7" t="s">
        <v>2325</v>
      </c>
    </row>
    <row r="1258" spans="1:2" x14ac:dyDescent="0.25">
      <c r="A1258" s="10" t="s">
        <v>1162</v>
      </c>
      <c r="B1258" s="7" t="s">
        <v>2325</v>
      </c>
    </row>
    <row r="1259" spans="1:2" x14ac:dyDescent="0.25">
      <c r="A1259" s="10" t="s">
        <v>1939</v>
      </c>
      <c r="B1259" s="7" t="s">
        <v>2325</v>
      </c>
    </row>
    <row r="1260" spans="1:2" x14ac:dyDescent="0.25">
      <c r="A1260" s="10" t="s">
        <v>773</v>
      </c>
      <c r="B1260" s="7" t="s">
        <v>2325</v>
      </c>
    </row>
    <row r="1261" spans="1:2" x14ac:dyDescent="0.25">
      <c r="A1261" s="10" t="s">
        <v>883</v>
      </c>
      <c r="B1261" s="7" t="s">
        <v>2325</v>
      </c>
    </row>
    <row r="1262" spans="1:2" x14ac:dyDescent="0.25">
      <c r="A1262" s="10" t="s">
        <v>343</v>
      </c>
      <c r="B1262" s="7" t="s">
        <v>2325</v>
      </c>
    </row>
    <row r="1263" spans="1:2" x14ac:dyDescent="0.25">
      <c r="A1263" s="10" t="s">
        <v>1940</v>
      </c>
      <c r="B1263" s="7" t="s">
        <v>2325</v>
      </c>
    </row>
    <row r="1264" spans="1:2" x14ac:dyDescent="0.25">
      <c r="A1264" s="10" t="s">
        <v>1941</v>
      </c>
      <c r="B1264" s="7" t="s">
        <v>2325</v>
      </c>
    </row>
    <row r="1265" spans="1:2" x14ac:dyDescent="0.25">
      <c r="A1265" s="10" t="s">
        <v>620</v>
      </c>
      <c r="B1265" s="7" t="s">
        <v>2325</v>
      </c>
    </row>
    <row r="1266" spans="1:2" x14ac:dyDescent="0.25">
      <c r="A1266" s="10" t="s">
        <v>1942</v>
      </c>
      <c r="B1266" s="7" t="s">
        <v>2325</v>
      </c>
    </row>
    <row r="1267" spans="1:2" x14ac:dyDescent="0.25">
      <c r="A1267" s="10" t="s">
        <v>831</v>
      </c>
      <c r="B1267" s="7" t="s">
        <v>2325</v>
      </c>
    </row>
    <row r="1268" spans="1:2" x14ac:dyDescent="0.25">
      <c r="A1268" s="10" t="s">
        <v>1943</v>
      </c>
      <c r="B1268" s="7" t="s">
        <v>2325</v>
      </c>
    </row>
    <row r="1269" spans="1:2" x14ac:dyDescent="0.25">
      <c r="A1269" s="10" t="s">
        <v>232</v>
      </c>
      <c r="B1269" s="7" t="s">
        <v>2325</v>
      </c>
    </row>
    <row r="1270" spans="1:2" x14ac:dyDescent="0.25">
      <c r="A1270" s="10" t="s">
        <v>1049</v>
      </c>
      <c r="B1270" s="7" t="s">
        <v>2325</v>
      </c>
    </row>
    <row r="1271" spans="1:2" x14ac:dyDescent="0.25">
      <c r="A1271" s="10" t="s">
        <v>381</v>
      </c>
      <c r="B1271" s="7" t="s">
        <v>2325</v>
      </c>
    </row>
    <row r="1272" spans="1:2" x14ac:dyDescent="0.25">
      <c r="A1272" s="10" t="s">
        <v>1944</v>
      </c>
      <c r="B1272" s="7" t="s">
        <v>2325</v>
      </c>
    </row>
    <row r="1273" spans="1:2" x14ac:dyDescent="0.25">
      <c r="A1273" s="10" t="s">
        <v>935</v>
      </c>
      <c r="B1273" s="7" t="s">
        <v>2325</v>
      </c>
    </row>
    <row r="1274" spans="1:2" x14ac:dyDescent="0.25">
      <c r="A1274" s="10" t="s">
        <v>1945</v>
      </c>
      <c r="B1274" s="7" t="s">
        <v>2325</v>
      </c>
    </row>
    <row r="1275" spans="1:2" x14ac:dyDescent="0.25">
      <c r="A1275" s="10" t="s">
        <v>1946</v>
      </c>
      <c r="B1275" s="7" t="s">
        <v>2325</v>
      </c>
    </row>
    <row r="1276" spans="1:2" x14ac:dyDescent="0.25">
      <c r="A1276" s="10" t="s">
        <v>226</v>
      </c>
      <c r="B1276" s="7" t="s">
        <v>2325</v>
      </c>
    </row>
    <row r="1277" spans="1:2" x14ac:dyDescent="0.25">
      <c r="A1277" s="10" t="s">
        <v>693</v>
      </c>
      <c r="B1277" s="7" t="s">
        <v>2325</v>
      </c>
    </row>
    <row r="1278" spans="1:2" x14ac:dyDescent="0.25">
      <c r="A1278" s="10" t="s">
        <v>1947</v>
      </c>
      <c r="B1278" s="7" t="s">
        <v>2325</v>
      </c>
    </row>
    <row r="1279" spans="1:2" x14ac:dyDescent="0.25">
      <c r="A1279" s="10" t="s">
        <v>251</v>
      </c>
      <c r="B1279" s="7" t="s">
        <v>2325</v>
      </c>
    </row>
    <row r="1280" spans="1:2" x14ac:dyDescent="0.25">
      <c r="A1280" s="10" t="s">
        <v>1948</v>
      </c>
      <c r="B1280" s="7" t="s">
        <v>2325</v>
      </c>
    </row>
    <row r="1281" spans="1:2" x14ac:dyDescent="0.25">
      <c r="A1281" s="10" t="s">
        <v>1949</v>
      </c>
      <c r="B1281" s="7" t="s">
        <v>2325</v>
      </c>
    </row>
    <row r="1282" spans="1:2" x14ac:dyDescent="0.25">
      <c r="A1282" s="10" t="s">
        <v>1261</v>
      </c>
      <c r="B1282" s="7" t="s">
        <v>2325</v>
      </c>
    </row>
    <row r="1283" spans="1:2" x14ac:dyDescent="0.25">
      <c r="A1283" s="10" t="s">
        <v>1950</v>
      </c>
      <c r="B1283" s="7" t="s">
        <v>2325</v>
      </c>
    </row>
    <row r="1284" spans="1:2" x14ac:dyDescent="0.25">
      <c r="A1284" s="10" t="s">
        <v>442</v>
      </c>
      <c r="B1284" s="7" t="s">
        <v>2325</v>
      </c>
    </row>
    <row r="1285" spans="1:2" x14ac:dyDescent="0.25">
      <c r="A1285" s="10" t="s">
        <v>1951</v>
      </c>
      <c r="B1285" s="7" t="s">
        <v>2325</v>
      </c>
    </row>
    <row r="1286" spans="1:2" x14ac:dyDescent="0.25">
      <c r="A1286" s="10" t="s">
        <v>1952</v>
      </c>
      <c r="B1286" s="7" t="s">
        <v>2325</v>
      </c>
    </row>
    <row r="1287" spans="1:2" x14ac:dyDescent="0.25">
      <c r="A1287" s="10" t="s">
        <v>223</v>
      </c>
      <c r="B1287" s="7" t="s">
        <v>2325</v>
      </c>
    </row>
    <row r="1288" spans="1:2" x14ac:dyDescent="0.25">
      <c r="A1288" s="10" t="s">
        <v>1953</v>
      </c>
      <c r="B1288" s="7" t="s">
        <v>2325</v>
      </c>
    </row>
    <row r="1289" spans="1:2" x14ac:dyDescent="0.25">
      <c r="A1289" s="10" t="s">
        <v>1954</v>
      </c>
      <c r="B1289" s="7" t="s">
        <v>2325</v>
      </c>
    </row>
    <row r="1290" spans="1:2" x14ac:dyDescent="0.25">
      <c r="A1290" s="10" t="s">
        <v>1138</v>
      </c>
      <c r="B1290" s="7" t="s">
        <v>2325</v>
      </c>
    </row>
    <row r="1291" spans="1:2" x14ac:dyDescent="0.25">
      <c r="A1291" s="10" t="s">
        <v>1245</v>
      </c>
      <c r="B1291" s="7" t="s">
        <v>2325</v>
      </c>
    </row>
    <row r="1292" spans="1:2" x14ac:dyDescent="0.25">
      <c r="A1292" s="10" t="s">
        <v>228</v>
      </c>
      <c r="B1292" s="7" t="s">
        <v>2325</v>
      </c>
    </row>
    <row r="1293" spans="1:2" x14ac:dyDescent="0.25">
      <c r="A1293" s="10" t="s">
        <v>779</v>
      </c>
      <c r="B1293" s="7" t="s">
        <v>2325</v>
      </c>
    </row>
    <row r="1294" spans="1:2" x14ac:dyDescent="0.25">
      <c r="A1294" s="10" t="s">
        <v>1955</v>
      </c>
      <c r="B1294" s="7" t="s">
        <v>2325</v>
      </c>
    </row>
    <row r="1295" spans="1:2" x14ac:dyDescent="0.25">
      <c r="A1295" s="10" t="s">
        <v>225</v>
      </c>
      <c r="B1295" s="7" t="s">
        <v>2325</v>
      </c>
    </row>
    <row r="1296" spans="1:2" x14ac:dyDescent="0.25">
      <c r="A1296" s="10" t="s">
        <v>799</v>
      </c>
      <c r="B1296" s="7" t="s">
        <v>2325</v>
      </c>
    </row>
    <row r="1297" spans="1:2" x14ac:dyDescent="0.25">
      <c r="A1297" s="10" t="s">
        <v>1956</v>
      </c>
      <c r="B1297" s="7" t="s">
        <v>2325</v>
      </c>
    </row>
    <row r="1298" spans="1:2" x14ac:dyDescent="0.25">
      <c r="A1298" s="10" t="s">
        <v>1957</v>
      </c>
      <c r="B1298" s="7" t="s">
        <v>2325</v>
      </c>
    </row>
    <row r="1299" spans="1:2" x14ac:dyDescent="0.25">
      <c r="A1299" s="10" t="s">
        <v>44</v>
      </c>
      <c r="B1299" s="7" t="s">
        <v>2325</v>
      </c>
    </row>
    <row r="1300" spans="1:2" x14ac:dyDescent="0.25">
      <c r="A1300" s="10" t="s">
        <v>804</v>
      </c>
      <c r="B1300" s="7" t="s">
        <v>2325</v>
      </c>
    </row>
    <row r="1301" spans="1:2" x14ac:dyDescent="0.25">
      <c r="A1301" s="10" t="s">
        <v>1958</v>
      </c>
      <c r="B1301" s="7" t="s">
        <v>2325</v>
      </c>
    </row>
    <row r="1302" spans="1:2" x14ac:dyDescent="0.25">
      <c r="A1302" s="10" t="s">
        <v>1959</v>
      </c>
      <c r="B1302" s="7" t="s">
        <v>2325</v>
      </c>
    </row>
    <row r="1303" spans="1:2" x14ac:dyDescent="0.25">
      <c r="A1303" s="10" t="s">
        <v>200</v>
      </c>
      <c r="B1303" s="7" t="s">
        <v>2325</v>
      </c>
    </row>
    <row r="1304" spans="1:2" x14ac:dyDescent="0.25">
      <c r="A1304" s="10" t="s">
        <v>448</v>
      </c>
      <c r="B1304" s="7" t="s">
        <v>2325</v>
      </c>
    </row>
    <row r="1305" spans="1:2" x14ac:dyDescent="0.25">
      <c r="A1305" s="10" t="s">
        <v>650</v>
      </c>
      <c r="B1305" s="7" t="s">
        <v>2325</v>
      </c>
    </row>
    <row r="1306" spans="1:2" x14ac:dyDescent="0.25">
      <c r="A1306" s="10" t="s">
        <v>279</v>
      </c>
      <c r="B1306" s="7" t="s">
        <v>2325</v>
      </c>
    </row>
    <row r="1307" spans="1:2" x14ac:dyDescent="0.25">
      <c r="A1307" s="10" t="s">
        <v>487</v>
      </c>
      <c r="B1307" s="7" t="s">
        <v>2325</v>
      </c>
    </row>
    <row r="1308" spans="1:2" x14ac:dyDescent="0.25">
      <c r="A1308" s="10" t="s">
        <v>909</v>
      </c>
      <c r="B1308" s="7" t="s">
        <v>2325</v>
      </c>
    </row>
    <row r="1309" spans="1:2" x14ac:dyDescent="0.25">
      <c r="A1309" s="10" t="s">
        <v>1960</v>
      </c>
      <c r="B1309" s="7" t="s">
        <v>2325</v>
      </c>
    </row>
    <row r="1310" spans="1:2" x14ac:dyDescent="0.25">
      <c r="A1310" s="10" t="s">
        <v>741</v>
      </c>
      <c r="B1310" s="7" t="s">
        <v>2325</v>
      </c>
    </row>
    <row r="1311" spans="1:2" x14ac:dyDescent="0.25">
      <c r="A1311" s="10" t="s">
        <v>312</v>
      </c>
      <c r="B1311" s="7" t="s">
        <v>2325</v>
      </c>
    </row>
    <row r="1312" spans="1:2" x14ac:dyDescent="0.25">
      <c r="A1312" s="10" t="s">
        <v>787</v>
      </c>
      <c r="B1312" s="7" t="s">
        <v>2325</v>
      </c>
    </row>
    <row r="1313" spans="1:2" x14ac:dyDescent="0.25">
      <c r="A1313" s="10" t="s">
        <v>642</v>
      </c>
      <c r="B1313" s="7" t="s">
        <v>2325</v>
      </c>
    </row>
    <row r="1314" spans="1:2" x14ac:dyDescent="0.25">
      <c r="A1314" s="10" t="s">
        <v>1008</v>
      </c>
      <c r="B1314" s="7" t="s">
        <v>2325</v>
      </c>
    </row>
    <row r="1315" spans="1:2" x14ac:dyDescent="0.25">
      <c r="A1315" s="10" t="s">
        <v>142</v>
      </c>
      <c r="B1315" s="7" t="s">
        <v>2325</v>
      </c>
    </row>
    <row r="1316" spans="1:2" x14ac:dyDescent="0.25">
      <c r="A1316" s="10" t="s">
        <v>5</v>
      </c>
      <c r="B1316" s="7" t="s">
        <v>2325</v>
      </c>
    </row>
    <row r="1317" spans="1:2" x14ac:dyDescent="0.25">
      <c r="A1317" s="10" t="s">
        <v>1961</v>
      </c>
      <c r="B1317" s="7" t="s">
        <v>2325</v>
      </c>
    </row>
    <row r="1318" spans="1:2" x14ac:dyDescent="0.25">
      <c r="A1318" s="10" t="s">
        <v>106</v>
      </c>
      <c r="B1318" s="7" t="s">
        <v>2325</v>
      </c>
    </row>
    <row r="1319" spans="1:2" x14ac:dyDescent="0.25">
      <c r="A1319" s="10" t="s">
        <v>616</v>
      </c>
      <c r="B1319" s="7" t="s">
        <v>2325</v>
      </c>
    </row>
    <row r="1320" spans="1:2" x14ac:dyDescent="0.25">
      <c r="A1320" s="10" t="s">
        <v>1962</v>
      </c>
      <c r="B1320" s="7" t="s">
        <v>2325</v>
      </c>
    </row>
    <row r="1321" spans="1:2" x14ac:dyDescent="0.25">
      <c r="A1321" s="10" t="s">
        <v>1045</v>
      </c>
      <c r="B1321" s="7" t="s">
        <v>2325</v>
      </c>
    </row>
    <row r="1322" spans="1:2" x14ac:dyDescent="0.25">
      <c r="A1322" s="10" t="s">
        <v>778</v>
      </c>
      <c r="B1322" s="7" t="s">
        <v>2325</v>
      </c>
    </row>
    <row r="1323" spans="1:2" x14ac:dyDescent="0.25">
      <c r="A1323" s="10" t="s">
        <v>1963</v>
      </c>
      <c r="B1323" s="7" t="s">
        <v>2325</v>
      </c>
    </row>
    <row r="1324" spans="1:2" x14ac:dyDescent="0.25">
      <c r="A1324" s="10" t="s">
        <v>1964</v>
      </c>
      <c r="B1324" s="7" t="s">
        <v>2325</v>
      </c>
    </row>
    <row r="1325" spans="1:2" x14ac:dyDescent="0.25">
      <c r="A1325" s="10" t="s">
        <v>1965</v>
      </c>
      <c r="B1325" s="7" t="s">
        <v>2325</v>
      </c>
    </row>
    <row r="1326" spans="1:2" x14ac:dyDescent="0.25">
      <c r="A1326" s="10" t="s">
        <v>1966</v>
      </c>
      <c r="B1326" s="7" t="s">
        <v>2325</v>
      </c>
    </row>
    <row r="1327" spans="1:2" x14ac:dyDescent="0.25">
      <c r="A1327" s="10" t="s">
        <v>1129</v>
      </c>
      <c r="B1327" s="7" t="s">
        <v>2325</v>
      </c>
    </row>
    <row r="1328" spans="1:2" x14ac:dyDescent="0.25">
      <c r="A1328" s="10" t="s">
        <v>992</v>
      </c>
      <c r="B1328" s="7" t="s">
        <v>2325</v>
      </c>
    </row>
    <row r="1329" spans="1:2" x14ac:dyDescent="0.25">
      <c r="A1329" s="10" t="s">
        <v>1967</v>
      </c>
      <c r="B1329" s="7" t="s">
        <v>2325</v>
      </c>
    </row>
    <row r="1330" spans="1:2" x14ac:dyDescent="0.25">
      <c r="A1330" s="10" t="s">
        <v>1968</v>
      </c>
      <c r="B1330" s="7" t="s">
        <v>2325</v>
      </c>
    </row>
    <row r="1331" spans="1:2" x14ac:dyDescent="0.25">
      <c r="A1331" s="10" t="s">
        <v>1969</v>
      </c>
      <c r="B1331" s="7" t="s">
        <v>2325</v>
      </c>
    </row>
    <row r="1332" spans="1:2" x14ac:dyDescent="0.25">
      <c r="A1332" s="10" t="s">
        <v>714</v>
      </c>
      <c r="B1332" s="7" t="s">
        <v>2325</v>
      </c>
    </row>
    <row r="1333" spans="1:2" x14ac:dyDescent="0.25">
      <c r="A1333" s="10" t="s">
        <v>1004</v>
      </c>
      <c r="B1333" s="7" t="s">
        <v>2325</v>
      </c>
    </row>
    <row r="1334" spans="1:2" x14ac:dyDescent="0.25">
      <c r="A1334" s="10" t="s">
        <v>1970</v>
      </c>
      <c r="B1334" s="7" t="s">
        <v>2325</v>
      </c>
    </row>
    <row r="1335" spans="1:2" x14ac:dyDescent="0.25">
      <c r="A1335" s="10" t="s">
        <v>1971</v>
      </c>
      <c r="B1335" s="7" t="s">
        <v>2325</v>
      </c>
    </row>
    <row r="1336" spans="1:2" x14ac:dyDescent="0.25">
      <c r="A1336" s="10" t="s">
        <v>1972</v>
      </c>
      <c r="B1336" s="7" t="s">
        <v>2325</v>
      </c>
    </row>
    <row r="1337" spans="1:2" x14ac:dyDescent="0.25">
      <c r="A1337" s="10" t="s">
        <v>395</v>
      </c>
      <c r="B1337" s="7" t="s">
        <v>2325</v>
      </c>
    </row>
    <row r="1338" spans="1:2" x14ac:dyDescent="0.25">
      <c r="A1338" s="10" t="s">
        <v>1033</v>
      </c>
      <c r="B1338" s="7" t="s">
        <v>2325</v>
      </c>
    </row>
    <row r="1339" spans="1:2" x14ac:dyDescent="0.25">
      <c r="A1339" s="10" t="s">
        <v>283</v>
      </c>
      <c r="B1339" s="7" t="s">
        <v>2325</v>
      </c>
    </row>
    <row r="1340" spans="1:2" x14ac:dyDescent="0.25">
      <c r="A1340" s="10" t="s">
        <v>403</v>
      </c>
      <c r="B1340" s="7" t="s">
        <v>2325</v>
      </c>
    </row>
    <row r="1341" spans="1:2" x14ac:dyDescent="0.25">
      <c r="A1341" s="10" t="s">
        <v>1171</v>
      </c>
      <c r="B1341" s="7" t="s">
        <v>2325</v>
      </c>
    </row>
    <row r="1342" spans="1:2" x14ac:dyDescent="0.25">
      <c r="A1342" s="10" t="s">
        <v>853</v>
      </c>
      <c r="B1342" s="7" t="s">
        <v>2325</v>
      </c>
    </row>
    <row r="1343" spans="1:2" x14ac:dyDescent="0.25">
      <c r="A1343" s="10" t="s">
        <v>934</v>
      </c>
      <c r="B1343" s="7" t="s">
        <v>2325</v>
      </c>
    </row>
    <row r="1344" spans="1:2" x14ac:dyDescent="0.25">
      <c r="A1344" s="10" t="s">
        <v>1973</v>
      </c>
      <c r="B1344" s="7" t="s">
        <v>2325</v>
      </c>
    </row>
    <row r="1345" spans="1:2" x14ac:dyDescent="0.25">
      <c r="A1345" s="10" t="s">
        <v>1974</v>
      </c>
      <c r="B1345" s="7" t="s">
        <v>2325</v>
      </c>
    </row>
    <row r="1346" spans="1:2" x14ac:dyDescent="0.25">
      <c r="A1346" s="10" t="s">
        <v>1975</v>
      </c>
      <c r="B1346" s="7" t="s">
        <v>2325</v>
      </c>
    </row>
    <row r="1347" spans="1:2" x14ac:dyDescent="0.25">
      <c r="A1347" s="10" t="s">
        <v>175</v>
      </c>
      <c r="B1347" s="7" t="s">
        <v>2325</v>
      </c>
    </row>
    <row r="1348" spans="1:2" x14ac:dyDescent="0.25">
      <c r="A1348" s="10" t="s">
        <v>413</v>
      </c>
      <c r="B1348" s="7" t="s">
        <v>2325</v>
      </c>
    </row>
    <row r="1349" spans="1:2" x14ac:dyDescent="0.25">
      <c r="A1349" s="10" t="s">
        <v>889</v>
      </c>
      <c r="B1349" s="7" t="s">
        <v>2325</v>
      </c>
    </row>
    <row r="1350" spans="1:2" x14ac:dyDescent="0.25">
      <c r="A1350" s="10" t="s">
        <v>1976</v>
      </c>
      <c r="B1350" s="7" t="s">
        <v>2325</v>
      </c>
    </row>
    <row r="1351" spans="1:2" x14ac:dyDescent="0.25">
      <c r="A1351" s="10" t="s">
        <v>209</v>
      </c>
      <c r="B1351" s="7" t="s">
        <v>2325</v>
      </c>
    </row>
    <row r="1352" spans="1:2" x14ac:dyDescent="0.25">
      <c r="A1352" s="10" t="s">
        <v>698</v>
      </c>
      <c r="B1352" s="7" t="s">
        <v>2325</v>
      </c>
    </row>
    <row r="1353" spans="1:2" x14ac:dyDescent="0.25">
      <c r="A1353" s="10" t="s">
        <v>383</v>
      </c>
      <c r="B1353" s="7" t="s">
        <v>2325</v>
      </c>
    </row>
    <row r="1354" spans="1:2" x14ac:dyDescent="0.25">
      <c r="A1354" s="10" t="s">
        <v>1977</v>
      </c>
      <c r="B1354" s="7" t="s">
        <v>2325</v>
      </c>
    </row>
    <row r="1355" spans="1:2" x14ac:dyDescent="0.25">
      <c r="A1355" s="10" t="s">
        <v>770</v>
      </c>
      <c r="B1355" s="7" t="s">
        <v>2325</v>
      </c>
    </row>
    <row r="1356" spans="1:2" x14ac:dyDescent="0.25">
      <c r="A1356" s="10" t="s">
        <v>949</v>
      </c>
      <c r="B1356" s="7" t="s">
        <v>2325</v>
      </c>
    </row>
    <row r="1357" spans="1:2" x14ac:dyDescent="0.25">
      <c r="A1357" s="10" t="s">
        <v>1246</v>
      </c>
      <c r="B1357" s="7" t="s">
        <v>2325</v>
      </c>
    </row>
    <row r="1358" spans="1:2" x14ac:dyDescent="0.25">
      <c r="A1358" s="10" t="s">
        <v>324</v>
      </c>
      <c r="B1358" s="7" t="s">
        <v>2325</v>
      </c>
    </row>
    <row r="1359" spans="1:2" x14ac:dyDescent="0.25">
      <c r="A1359" s="10" t="s">
        <v>294</v>
      </c>
      <c r="B1359" s="7" t="s">
        <v>2325</v>
      </c>
    </row>
    <row r="1360" spans="1:2" x14ac:dyDescent="0.25">
      <c r="A1360" s="10" t="s">
        <v>1978</v>
      </c>
      <c r="B1360" s="7" t="s">
        <v>2325</v>
      </c>
    </row>
    <row r="1361" spans="1:2" x14ac:dyDescent="0.25">
      <c r="A1361" s="10" t="s">
        <v>1227</v>
      </c>
      <c r="B1361" s="7" t="s">
        <v>2325</v>
      </c>
    </row>
    <row r="1362" spans="1:2" x14ac:dyDescent="0.25">
      <c r="A1362" s="10" t="s">
        <v>630</v>
      </c>
      <c r="B1362" s="7" t="s">
        <v>2325</v>
      </c>
    </row>
    <row r="1363" spans="1:2" x14ac:dyDescent="0.25">
      <c r="A1363" s="10" t="s">
        <v>261</v>
      </c>
      <c r="B1363" s="7" t="s">
        <v>2325</v>
      </c>
    </row>
    <row r="1364" spans="1:2" x14ac:dyDescent="0.25">
      <c r="A1364" s="10" t="s">
        <v>761</v>
      </c>
      <c r="B1364" s="7" t="s">
        <v>2325</v>
      </c>
    </row>
    <row r="1365" spans="1:2" x14ac:dyDescent="0.25">
      <c r="A1365" s="10" t="s">
        <v>632</v>
      </c>
      <c r="B1365" s="7" t="s">
        <v>2325</v>
      </c>
    </row>
    <row r="1366" spans="1:2" x14ac:dyDescent="0.25">
      <c r="A1366" s="10" t="s">
        <v>937</v>
      </c>
      <c r="B1366" s="7" t="s">
        <v>2325</v>
      </c>
    </row>
    <row r="1367" spans="1:2" x14ac:dyDescent="0.25">
      <c r="A1367" s="10" t="s">
        <v>112</v>
      </c>
      <c r="B1367" s="7" t="s">
        <v>2325</v>
      </c>
    </row>
    <row r="1368" spans="1:2" x14ac:dyDescent="0.25">
      <c r="A1368" s="10" t="s">
        <v>253</v>
      </c>
      <c r="B1368" s="7" t="s">
        <v>2325</v>
      </c>
    </row>
    <row r="1369" spans="1:2" x14ac:dyDescent="0.25">
      <c r="A1369" s="10" t="s">
        <v>1979</v>
      </c>
      <c r="B1369" s="7" t="s">
        <v>2325</v>
      </c>
    </row>
    <row r="1370" spans="1:2" x14ac:dyDescent="0.25">
      <c r="A1370" s="10" t="s">
        <v>1009</v>
      </c>
      <c r="B1370" s="7" t="s">
        <v>2325</v>
      </c>
    </row>
    <row r="1371" spans="1:2" x14ac:dyDescent="0.25">
      <c r="A1371" s="10" t="s">
        <v>103</v>
      </c>
      <c r="B1371" s="7" t="s">
        <v>2325</v>
      </c>
    </row>
    <row r="1372" spans="1:2" x14ac:dyDescent="0.25">
      <c r="A1372" s="10" t="s">
        <v>1980</v>
      </c>
      <c r="B1372" s="7" t="s">
        <v>2325</v>
      </c>
    </row>
    <row r="1373" spans="1:2" x14ac:dyDescent="0.25">
      <c r="A1373" s="10" t="s">
        <v>518</v>
      </c>
      <c r="B1373" s="7" t="s">
        <v>2325</v>
      </c>
    </row>
    <row r="1374" spans="1:2" x14ac:dyDescent="0.25">
      <c r="A1374" s="10" t="s">
        <v>1981</v>
      </c>
      <c r="B1374" s="7" t="s">
        <v>2325</v>
      </c>
    </row>
    <row r="1375" spans="1:2" x14ac:dyDescent="0.25">
      <c r="A1375" s="10" t="s">
        <v>1982</v>
      </c>
      <c r="B1375" s="7" t="s">
        <v>2325</v>
      </c>
    </row>
    <row r="1376" spans="1:2" x14ac:dyDescent="0.25">
      <c r="A1376" s="10" t="s">
        <v>1983</v>
      </c>
      <c r="B1376" s="7" t="s">
        <v>2325</v>
      </c>
    </row>
    <row r="1377" spans="1:2" x14ac:dyDescent="0.25">
      <c r="A1377" s="10" t="s">
        <v>1225</v>
      </c>
      <c r="B1377" s="7" t="s">
        <v>2325</v>
      </c>
    </row>
    <row r="1378" spans="1:2" x14ac:dyDescent="0.25">
      <c r="A1378" s="10" t="s">
        <v>1252</v>
      </c>
      <c r="B1378" s="7" t="s">
        <v>2325</v>
      </c>
    </row>
    <row r="1379" spans="1:2" x14ac:dyDescent="0.25">
      <c r="A1379" s="10" t="s">
        <v>1025</v>
      </c>
      <c r="B1379" s="7" t="s">
        <v>2325</v>
      </c>
    </row>
    <row r="1380" spans="1:2" x14ac:dyDescent="0.25">
      <c r="A1380" s="10" t="s">
        <v>922</v>
      </c>
      <c r="B1380" s="7" t="s">
        <v>2325</v>
      </c>
    </row>
    <row r="1381" spans="1:2" x14ac:dyDescent="0.25">
      <c r="A1381" s="10" t="s">
        <v>1984</v>
      </c>
      <c r="B1381" s="7" t="s">
        <v>2325</v>
      </c>
    </row>
    <row r="1382" spans="1:2" x14ac:dyDescent="0.25">
      <c r="A1382" s="10" t="s">
        <v>926</v>
      </c>
      <c r="B1382" s="7" t="s">
        <v>2325</v>
      </c>
    </row>
    <row r="1383" spans="1:2" x14ac:dyDescent="0.25">
      <c r="A1383" s="10" t="s">
        <v>1985</v>
      </c>
      <c r="B1383" s="7" t="s">
        <v>2325</v>
      </c>
    </row>
    <row r="1384" spans="1:2" x14ac:dyDescent="0.25">
      <c r="A1384" s="10" t="s">
        <v>1070</v>
      </c>
      <c r="B1384" s="7" t="s">
        <v>2325</v>
      </c>
    </row>
    <row r="1385" spans="1:2" x14ac:dyDescent="0.25">
      <c r="A1385" s="10" t="s">
        <v>1986</v>
      </c>
      <c r="B1385" s="7" t="s">
        <v>2325</v>
      </c>
    </row>
    <row r="1386" spans="1:2" x14ac:dyDescent="0.25">
      <c r="A1386" s="10" t="s">
        <v>1987</v>
      </c>
      <c r="B1386" s="7" t="s">
        <v>2325</v>
      </c>
    </row>
    <row r="1387" spans="1:2" x14ac:dyDescent="0.25">
      <c r="A1387" s="10" t="s">
        <v>1988</v>
      </c>
      <c r="B1387" s="7" t="s">
        <v>2325</v>
      </c>
    </row>
    <row r="1388" spans="1:2" x14ac:dyDescent="0.25">
      <c r="A1388" s="10" t="s">
        <v>993</v>
      </c>
      <c r="B1388" s="7" t="s">
        <v>2325</v>
      </c>
    </row>
    <row r="1389" spans="1:2" x14ac:dyDescent="0.25">
      <c r="A1389" s="10" t="s">
        <v>1989</v>
      </c>
      <c r="B1389" s="7" t="s">
        <v>2325</v>
      </c>
    </row>
    <row r="1390" spans="1:2" x14ac:dyDescent="0.25">
      <c r="A1390" s="10" t="s">
        <v>1990</v>
      </c>
      <c r="B1390" s="7" t="s">
        <v>2325</v>
      </c>
    </row>
    <row r="1391" spans="1:2" x14ac:dyDescent="0.25">
      <c r="A1391" s="10" t="s">
        <v>545</v>
      </c>
      <c r="B1391" s="7" t="s">
        <v>2325</v>
      </c>
    </row>
    <row r="1392" spans="1:2" x14ac:dyDescent="0.25">
      <c r="A1392" s="10" t="s">
        <v>425</v>
      </c>
      <c r="B1392" s="7" t="s">
        <v>2325</v>
      </c>
    </row>
    <row r="1393" spans="1:2" x14ac:dyDescent="0.25">
      <c r="A1393" s="10" t="s">
        <v>330</v>
      </c>
      <c r="B1393" s="7" t="s">
        <v>2325</v>
      </c>
    </row>
    <row r="1394" spans="1:2" x14ac:dyDescent="0.25">
      <c r="A1394" s="10" t="s">
        <v>1991</v>
      </c>
      <c r="B1394" s="7" t="s">
        <v>2325</v>
      </c>
    </row>
    <row r="1395" spans="1:2" x14ac:dyDescent="0.25">
      <c r="A1395" s="10" t="s">
        <v>785</v>
      </c>
      <c r="B1395" s="7" t="s">
        <v>2325</v>
      </c>
    </row>
    <row r="1396" spans="1:2" x14ac:dyDescent="0.25">
      <c r="A1396" s="10" t="s">
        <v>744</v>
      </c>
      <c r="B1396" s="7" t="s">
        <v>2325</v>
      </c>
    </row>
    <row r="1397" spans="1:2" x14ac:dyDescent="0.25">
      <c r="A1397" s="10" t="s">
        <v>1992</v>
      </c>
      <c r="B1397" s="7" t="s">
        <v>2325</v>
      </c>
    </row>
    <row r="1398" spans="1:2" x14ac:dyDescent="0.25">
      <c r="A1398" s="10" t="s">
        <v>1993</v>
      </c>
      <c r="B1398" s="7" t="s">
        <v>2325</v>
      </c>
    </row>
    <row r="1399" spans="1:2" x14ac:dyDescent="0.25">
      <c r="A1399" s="10" t="s">
        <v>584</v>
      </c>
      <c r="B1399" s="7" t="s">
        <v>2325</v>
      </c>
    </row>
    <row r="1400" spans="1:2" x14ac:dyDescent="0.25">
      <c r="A1400" s="10" t="s">
        <v>1994</v>
      </c>
      <c r="B1400" s="7" t="s">
        <v>2325</v>
      </c>
    </row>
    <row r="1401" spans="1:2" x14ac:dyDescent="0.25">
      <c r="A1401" s="10" t="s">
        <v>895</v>
      </c>
      <c r="B1401" s="7" t="s">
        <v>2325</v>
      </c>
    </row>
    <row r="1402" spans="1:2" x14ac:dyDescent="0.25">
      <c r="A1402" s="10" t="s">
        <v>57</v>
      </c>
      <c r="B1402" s="7" t="s">
        <v>2325</v>
      </c>
    </row>
    <row r="1403" spans="1:2" x14ac:dyDescent="0.25">
      <c r="A1403" s="10" t="s">
        <v>1995</v>
      </c>
      <c r="B1403" s="7" t="s">
        <v>2325</v>
      </c>
    </row>
    <row r="1404" spans="1:2" x14ac:dyDescent="0.25">
      <c r="A1404" s="10" t="s">
        <v>1057</v>
      </c>
      <c r="B1404" s="7" t="s">
        <v>2325</v>
      </c>
    </row>
    <row r="1405" spans="1:2" x14ac:dyDescent="0.25">
      <c r="A1405" s="10" t="s">
        <v>1002</v>
      </c>
      <c r="B1405" s="7" t="s">
        <v>2325</v>
      </c>
    </row>
    <row r="1406" spans="1:2" x14ac:dyDescent="0.25">
      <c r="A1406" s="10" t="s">
        <v>134</v>
      </c>
      <c r="B1406" s="7" t="s">
        <v>2325</v>
      </c>
    </row>
    <row r="1407" spans="1:2" x14ac:dyDescent="0.25">
      <c r="A1407" s="10" t="s">
        <v>781</v>
      </c>
      <c r="B1407" s="7" t="s">
        <v>2325</v>
      </c>
    </row>
    <row r="1408" spans="1:2" x14ac:dyDescent="0.25">
      <c r="A1408" s="10" t="s">
        <v>760</v>
      </c>
      <c r="B1408" s="7" t="s">
        <v>2325</v>
      </c>
    </row>
    <row r="1409" spans="1:2" x14ac:dyDescent="0.25">
      <c r="A1409" s="10" t="s">
        <v>1996</v>
      </c>
      <c r="B1409" s="7" t="s">
        <v>2325</v>
      </c>
    </row>
    <row r="1410" spans="1:2" x14ac:dyDescent="0.25">
      <c r="A1410" s="10" t="s">
        <v>360</v>
      </c>
      <c r="B1410" s="7" t="s">
        <v>2325</v>
      </c>
    </row>
    <row r="1411" spans="1:2" x14ac:dyDescent="0.25">
      <c r="A1411" s="10" t="s">
        <v>1997</v>
      </c>
      <c r="B1411" s="7" t="s">
        <v>2325</v>
      </c>
    </row>
    <row r="1412" spans="1:2" x14ac:dyDescent="0.25">
      <c r="A1412" s="10" t="s">
        <v>1061</v>
      </c>
      <c r="B1412" s="7" t="s">
        <v>2325</v>
      </c>
    </row>
    <row r="1413" spans="1:2" x14ac:dyDescent="0.25">
      <c r="A1413" s="10" t="s">
        <v>394</v>
      </c>
      <c r="B1413" s="7" t="s">
        <v>2325</v>
      </c>
    </row>
    <row r="1414" spans="1:2" x14ac:dyDescent="0.25">
      <c r="A1414" s="10" t="s">
        <v>461</v>
      </c>
      <c r="B1414" s="7" t="s">
        <v>2325</v>
      </c>
    </row>
    <row r="1415" spans="1:2" x14ac:dyDescent="0.25">
      <c r="A1415" s="10" t="s">
        <v>623</v>
      </c>
      <c r="B1415" s="7" t="s">
        <v>2325</v>
      </c>
    </row>
    <row r="1416" spans="1:2" x14ac:dyDescent="0.25">
      <c r="A1416" s="10" t="s">
        <v>1998</v>
      </c>
      <c r="B1416" s="7" t="s">
        <v>2325</v>
      </c>
    </row>
    <row r="1417" spans="1:2" x14ac:dyDescent="0.25">
      <c r="A1417" s="10" t="s">
        <v>1999</v>
      </c>
      <c r="B1417" s="7" t="s">
        <v>2325</v>
      </c>
    </row>
    <row r="1418" spans="1:2" x14ac:dyDescent="0.25">
      <c r="A1418" s="10" t="s">
        <v>347</v>
      </c>
      <c r="B1418" s="7" t="s">
        <v>2325</v>
      </c>
    </row>
    <row r="1419" spans="1:2" x14ac:dyDescent="0.25">
      <c r="A1419" s="10" t="s">
        <v>229</v>
      </c>
      <c r="B1419" s="7" t="s">
        <v>2325</v>
      </c>
    </row>
    <row r="1420" spans="1:2" x14ac:dyDescent="0.25">
      <c r="A1420" s="10" t="s">
        <v>2000</v>
      </c>
      <c r="B1420" s="7" t="s">
        <v>2325</v>
      </c>
    </row>
    <row r="1421" spans="1:2" x14ac:dyDescent="0.25">
      <c r="A1421" s="10" t="s">
        <v>2001</v>
      </c>
      <c r="B1421" s="7" t="s">
        <v>2325</v>
      </c>
    </row>
    <row r="1422" spans="1:2" x14ac:dyDescent="0.25">
      <c r="A1422" s="10" t="s">
        <v>2002</v>
      </c>
      <c r="B1422" s="7" t="s">
        <v>2325</v>
      </c>
    </row>
    <row r="1423" spans="1:2" x14ac:dyDescent="0.25">
      <c r="A1423" s="10" t="s">
        <v>1160</v>
      </c>
      <c r="B1423" s="7" t="s">
        <v>2325</v>
      </c>
    </row>
    <row r="1424" spans="1:2" x14ac:dyDescent="0.25">
      <c r="A1424" s="10" t="s">
        <v>507</v>
      </c>
      <c r="B1424" s="7" t="s">
        <v>2325</v>
      </c>
    </row>
    <row r="1425" spans="1:2" x14ac:dyDescent="0.25">
      <c r="A1425" s="10" t="s">
        <v>1236</v>
      </c>
      <c r="B1425" s="7" t="s">
        <v>2325</v>
      </c>
    </row>
    <row r="1426" spans="1:2" x14ac:dyDescent="0.25">
      <c r="A1426" s="10" t="s">
        <v>2003</v>
      </c>
      <c r="B1426" s="7" t="s">
        <v>2325</v>
      </c>
    </row>
    <row r="1427" spans="1:2" x14ac:dyDescent="0.25">
      <c r="A1427" s="10" t="s">
        <v>811</v>
      </c>
      <c r="B1427" s="7" t="s">
        <v>2325</v>
      </c>
    </row>
    <row r="1428" spans="1:2" x14ac:dyDescent="0.25">
      <c r="A1428" s="10" t="s">
        <v>1214</v>
      </c>
      <c r="B1428" s="7" t="s">
        <v>2325</v>
      </c>
    </row>
    <row r="1429" spans="1:2" x14ac:dyDescent="0.25">
      <c r="A1429" s="10" t="s">
        <v>389</v>
      </c>
      <c r="B1429" s="7" t="s">
        <v>2325</v>
      </c>
    </row>
    <row r="1430" spans="1:2" x14ac:dyDescent="0.25">
      <c r="A1430" s="10" t="s">
        <v>2004</v>
      </c>
      <c r="B1430" s="7" t="s">
        <v>2325</v>
      </c>
    </row>
    <row r="1431" spans="1:2" x14ac:dyDescent="0.25">
      <c r="A1431" s="10" t="s">
        <v>2005</v>
      </c>
      <c r="B1431" s="7" t="s">
        <v>2325</v>
      </c>
    </row>
    <row r="1432" spans="1:2" x14ac:dyDescent="0.25">
      <c r="A1432" s="10" t="s">
        <v>2006</v>
      </c>
      <c r="B1432" s="7" t="s">
        <v>2325</v>
      </c>
    </row>
    <row r="1433" spans="1:2" x14ac:dyDescent="0.25">
      <c r="A1433" s="10" t="s">
        <v>840</v>
      </c>
      <c r="B1433" s="7" t="s">
        <v>2325</v>
      </c>
    </row>
    <row r="1434" spans="1:2" x14ac:dyDescent="0.25">
      <c r="A1434" s="10" t="s">
        <v>848</v>
      </c>
      <c r="B1434" s="7" t="s">
        <v>2325</v>
      </c>
    </row>
    <row r="1435" spans="1:2" x14ac:dyDescent="0.25">
      <c r="A1435" s="10" t="s">
        <v>2007</v>
      </c>
      <c r="B1435" s="7" t="s">
        <v>2325</v>
      </c>
    </row>
    <row r="1436" spans="1:2" x14ac:dyDescent="0.25">
      <c r="A1436" s="10" t="s">
        <v>600</v>
      </c>
      <c r="B1436" s="7" t="s">
        <v>2325</v>
      </c>
    </row>
    <row r="1437" spans="1:2" x14ac:dyDescent="0.25">
      <c r="A1437" s="10" t="s">
        <v>110</v>
      </c>
      <c r="B1437" s="7" t="s">
        <v>2325</v>
      </c>
    </row>
    <row r="1438" spans="1:2" x14ac:dyDescent="0.25">
      <c r="A1438" s="10" t="s">
        <v>2008</v>
      </c>
      <c r="B1438" s="7" t="s">
        <v>2325</v>
      </c>
    </row>
    <row r="1439" spans="1:2" x14ac:dyDescent="0.25">
      <c r="A1439" s="10" t="s">
        <v>6</v>
      </c>
      <c r="B1439" s="7" t="s">
        <v>2325</v>
      </c>
    </row>
    <row r="1440" spans="1:2" x14ac:dyDescent="0.25">
      <c r="A1440" s="10" t="s">
        <v>2009</v>
      </c>
      <c r="B1440" s="7" t="s">
        <v>2325</v>
      </c>
    </row>
    <row r="1441" spans="1:2" x14ac:dyDescent="0.25">
      <c r="A1441" s="10" t="s">
        <v>898</v>
      </c>
      <c r="B1441" s="7" t="s">
        <v>2325</v>
      </c>
    </row>
    <row r="1442" spans="1:2" x14ac:dyDescent="0.25">
      <c r="A1442" s="10" t="s">
        <v>2010</v>
      </c>
      <c r="B1442" s="7" t="s">
        <v>2325</v>
      </c>
    </row>
    <row r="1443" spans="1:2" x14ac:dyDescent="0.25">
      <c r="A1443" s="10" t="s">
        <v>696</v>
      </c>
      <c r="B1443" s="7" t="s">
        <v>2325</v>
      </c>
    </row>
    <row r="1444" spans="1:2" x14ac:dyDescent="0.25">
      <c r="A1444" s="10" t="s">
        <v>528</v>
      </c>
      <c r="B1444" s="7" t="s">
        <v>2325</v>
      </c>
    </row>
    <row r="1445" spans="1:2" x14ac:dyDescent="0.25">
      <c r="A1445" s="10" t="s">
        <v>449</v>
      </c>
      <c r="B1445" s="7" t="s">
        <v>2325</v>
      </c>
    </row>
    <row r="1446" spans="1:2" x14ac:dyDescent="0.25">
      <c r="A1446" s="10" t="s">
        <v>2011</v>
      </c>
      <c r="B1446" s="7" t="s">
        <v>2325</v>
      </c>
    </row>
    <row r="1447" spans="1:2" x14ac:dyDescent="0.25">
      <c r="A1447" s="10" t="s">
        <v>2012</v>
      </c>
      <c r="B1447" s="7" t="s">
        <v>2325</v>
      </c>
    </row>
    <row r="1448" spans="1:2" x14ac:dyDescent="0.25">
      <c r="A1448" s="10" t="s">
        <v>1202</v>
      </c>
      <c r="B1448" s="7" t="s">
        <v>2325</v>
      </c>
    </row>
    <row r="1449" spans="1:2" x14ac:dyDescent="0.25">
      <c r="A1449" s="10" t="s">
        <v>202</v>
      </c>
      <c r="B1449" s="7" t="s">
        <v>2325</v>
      </c>
    </row>
    <row r="1450" spans="1:2" x14ac:dyDescent="0.25">
      <c r="A1450" s="10" t="s">
        <v>81</v>
      </c>
      <c r="B1450" s="7" t="s">
        <v>2325</v>
      </c>
    </row>
    <row r="1451" spans="1:2" x14ac:dyDescent="0.25">
      <c r="A1451" s="10" t="s">
        <v>854</v>
      </c>
      <c r="B1451" s="7" t="s">
        <v>2325</v>
      </c>
    </row>
    <row r="1452" spans="1:2" x14ac:dyDescent="0.25">
      <c r="A1452" s="10" t="s">
        <v>2013</v>
      </c>
      <c r="B1452" s="7" t="s">
        <v>2325</v>
      </c>
    </row>
    <row r="1453" spans="1:2" x14ac:dyDescent="0.25">
      <c r="A1453" s="10" t="s">
        <v>2014</v>
      </c>
      <c r="B1453" s="7" t="s">
        <v>2325</v>
      </c>
    </row>
    <row r="1454" spans="1:2" x14ac:dyDescent="0.25">
      <c r="A1454" s="10" t="s">
        <v>614</v>
      </c>
      <c r="B1454" s="7" t="s">
        <v>2325</v>
      </c>
    </row>
    <row r="1455" spans="1:2" x14ac:dyDescent="0.25">
      <c r="A1455" s="10" t="s">
        <v>1040</v>
      </c>
      <c r="B1455" s="7" t="s">
        <v>2325</v>
      </c>
    </row>
    <row r="1456" spans="1:2" x14ac:dyDescent="0.25">
      <c r="A1456" s="10" t="s">
        <v>2015</v>
      </c>
      <c r="B1456" s="7" t="s">
        <v>2325</v>
      </c>
    </row>
    <row r="1457" spans="1:2" x14ac:dyDescent="0.25">
      <c r="A1457" s="10" t="s">
        <v>2016</v>
      </c>
      <c r="B1457" s="7" t="s">
        <v>2325</v>
      </c>
    </row>
    <row r="1458" spans="1:2" x14ac:dyDescent="0.25">
      <c r="A1458" s="10" t="s">
        <v>2017</v>
      </c>
      <c r="B1458" s="7" t="s">
        <v>2325</v>
      </c>
    </row>
    <row r="1459" spans="1:2" x14ac:dyDescent="0.25">
      <c r="A1459" s="10" t="s">
        <v>2018</v>
      </c>
      <c r="B1459" s="7" t="s">
        <v>2325</v>
      </c>
    </row>
    <row r="1460" spans="1:2" x14ac:dyDescent="0.25">
      <c r="A1460" s="10" t="s">
        <v>551</v>
      </c>
      <c r="B1460" s="7" t="s">
        <v>2325</v>
      </c>
    </row>
    <row r="1461" spans="1:2" x14ac:dyDescent="0.25">
      <c r="A1461" s="10" t="s">
        <v>678</v>
      </c>
      <c r="B1461" s="7" t="s">
        <v>2325</v>
      </c>
    </row>
    <row r="1462" spans="1:2" x14ac:dyDescent="0.25">
      <c r="A1462" s="10" t="s">
        <v>653</v>
      </c>
      <c r="B1462" s="7" t="s">
        <v>2325</v>
      </c>
    </row>
    <row r="1463" spans="1:2" x14ac:dyDescent="0.25">
      <c r="A1463" s="10" t="s">
        <v>2019</v>
      </c>
      <c r="B1463" s="7" t="s">
        <v>2325</v>
      </c>
    </row>
    <row r="1464" spans="1:2" x14ac:dyDescent="0.25">
      <c r="A1464" s="10" t="s">
        <v>2020</v>
      </c>
      <c r="B1464" s="7" t="s">
        <v>2325</v>
      </c>
    </row>
    <row r="1465" spans="1:2" x14ac:dyDescent="0.25">
      <c r="A1465" s="10" t="s">
        <v>4</v>
      </c>
      <c r="B1465" s="7" t="s">
        <v>2325</v>
      </c>
    </row>
    <row r="1466" spans="1:2" x14ac:dyDescent="0.25">
      <c r="A1466" s="10" t="s">
        <v>140</v>
      </c>
      <c r="B1466" s="7" t="s">
        <v>2325</v>
      </c>
    </row>
    <row r="1467" spans="1:2" x14ac:dyDescent="0.25">
      <c r="A1467" s="10" t="s">
        <v>796</v>
      </c>
      <c r="B1467" s="7" t="s">
        <v>2325</v>
      </c>
    </row>
    <row r="1468" spans="1:2" x14ac:dyDescent="0.25">
      <c r="A1468" s="10" t="s">
        <v>2021</v>
      </c>
      <c r="B1468" s="7" t="s">
        <v>2325</v>
      </c>
    </row>
    <row r="1469" spans="1:2" x14ac:dyDescent="0.25">
      <c r="A1469" s="10" t="s">
        <v>42</v>
      </c>
      <c r="B1469" s="7" t="s">
        <v>2325</v>
      </c>
    </row>
    <row r="1470" spans="1:2" x14ac:dyDescent="0.25">
      <c r="A1470" s="10" t="s">
        <v>2022</v>
      </c>
      <c r="B1470" s="7" t="s">
        <v>2325</v>
      </c>
    </row>
    <row r="1471" spans="1:2" x14ac:dyDescent="0.25">
      <c r="A1471" s="10" t="s">
        <v>2023</v>
      </c>
      <c r="B1471" s="7" t="s">
        <v>2325</v>
      </c>
    </row>
    <row r="1472" spans="1:2" x14ac:dyDescent="0.25">
      <c r="A1472" s="10" t="s">
        <v>1038</v>
      </c>
      <c r="B1472" s="7" t="s">
        <v>2325</v>
      </c>
    </row>
    <row r="1473" spans="1:2" x14ac:dyDescent="0.25">
      <c r="A1473" s="10" t="s">
        <v>148</v>
      </c>
      <c r="B1473" s="7" t="s">
        <v>2325</v>
      </c>
    </row>
    <row r="1474" spans="1:2" x14ac:dyDescent="0.25">
      <c r="A1474" s="10" t="s">
        <v>526</v>
      </c>
      <c r="B1474" s="7" t="s">
        <v>2325</v>
      </c>
    </row>
    <row r="1475" spans="1:2" x14ac:dyDescent="0.25">
      <c r="A1475" s="10" t="s">
        <v>782</v>
      </c>
      <c r="B1475" s="7" t="s">
        <v>2325</v>
      </c>
    </row>
    <row r="1476" spans="1:2" x14ac:dyDescent="0.25">
      <c r="A1476" s="10" t="s">
        <v>2024</v>
      </c>
      <c r="B1476" s="7" t="s">
        <v>2325</v>
      </c>
    </row>
    <row r="1477" spans="1:2" x14ac:dyDescent="0.25">
      <c r="A1477" s="10" t="s">
        <v>774</v>
      </c>
      <c r="B1477" s="7" t="s">
        <v>2325</v>
      </c>
    </row>
    <row r="1478" spans="1:2" x14ac:dyDescent="0.25">
      <c r="A1478" s="10" t="s">
        <v>2025</v>
      </c>
      <c r="B1478" s="7" t="s">
        <v>2325</v>
      </c>
    </row>
    <row r="1479" spans="1:2" x14ac:dyDescent="0.25">
      <c r="A1479" s="10" t="s">
        <v>724</v>
      </c>
      <c r="B1479" s="7" t="s">
        <v>2325</v>
      </c>
    </row>
    <row r="1480" spans="1:2" x14ac:dyDescent="0.25">
      <c r="A1480" s="10" t="s">
        <v>719</v>
      </c>
      <c r="B1480" s="7" t="s">
        <v>2325</v>
      </c>
    </row>
    <row r="1481" spans="1:2" x14ac:dyDescent="0.25">
      <c r="A1481" s="10" t="s">
        <v>2026</v>
      </c>
      <c r="B1481" s="7" t="s">
        <v>2325</v>
      </c>
    </row>
    <row r="1482" spans="1:2" x14ac:dyDescent="0.25">
      <c r="A1482" s="10" t="s">
        <v>571</v>
      </c>
      <c r="B1482" s="7" t="s">
        <v>2325</v>
      </c>
    </row>
    <row r="1483" spans="1:2" x14ac:dyDescent="0.25">
      <c r="A1483" s="10" t="s">
        <v>70</v>
      </c>
      <c r="B1483" s="7" t="s">
        <v>2325</v>
      </c>
    </row>
    <row r="1484" spans="1:2" x14ac:dyDescent="0.25">
      <c r="A1484" s="10" t="s">
        <v>2027</v>
      </c>
      <c r="B1484" s="7" t="s">
        <v>2325</v>
      </c>
    </row>
    <row r="1485" spans="1:2" x14ac:dyDescent="0.25">
      <c r="A1485" s="10" t="s">
        <v>2028</v>
      </c>
      <c r="B1485" s="7" t="s">
        <v>2325</v>
      </c>
    </row>
    <row r="1486" spans="1:2" x14ac:dyDescent="0.25">
      <c r="A1486" s="10" t="s">
        <v>247</v>
      </c>
      <c r="B1486" s="7" t="s">
        <v>2325</v>
      </c>
    </row>
    <row r="1487" spans="1:2" x14ac:dyDescent="0.25">
      <c r="A1487" s="10" t="s">
        <v>2029</v>
      </c>
      <c r="B1487" s="7" t="s">
        <v>2325</v>
      </c>
    </row>
    <row r="1488" spans="1:2" x14ac:dyDescent="0.25">
      <c r="A1488" s="10" t="s">
        <v>2030</v>
      </c>
      <c r="B1488" s="7" t="s">
        <v>2325</v>
      </c>
    </row>
    <row r="1489" spans="1:2" x14ac:dyDescent="0.25">
      <c r="A1489" s="10" t="s">
        <v>492</v>
      </c>
      <c r="B1489" s="7" t="s">
        <v>2325</v>
      </c>
    </row>
    <row r="1490" spans="1:2" x14ac:dyDescent="0.25">
      <c r="A1490" s="10" t="s">
        <v>1030</v>
      </c>
      <c r="B1490" s="7" t="s">
        <v>2325</v>
      </c>
    </row>
    <row r="1491" spans="1:2" x14ac:dyDescent="0.25">
      <c r="A1491" s="10" t="s">
        <v>2031</v>
      </c>
      <c r="B1491" s="7" t="s">
        <v>2325</v>
      </c>
    </row>
    <row r="1492" spans="1:2" x14ac:dyDescent="0.25">
      <c r="A1492" s="10" t="s">
        <v>2032</v>
      </c>
      <c r="B1492" s="7" t="s">
        <v>2325</v>
      </c>
    </row>
    <row r="1493" spans="1:2" x14ac:dyDescent="0.25">
      <c r="A1493" s="10" t="s">
        <v>538</v>
      </c>
      <c r="B1493" s="7" t="s">
        <v>2325</v>
      </c>
    </row>
    <row r="1494" spans="1:2" x14ac:dyDescent="0.25">
      <c r="A1494" s="10" t="s">
        <v>2033</v>
      </c>
      <c r="B1494" s="7" t="s">
        <v>2325</v>
      </c>
    </row>
    <row r="1495" spans="1:2" x14ac:dyDescent="0.25">
      <c r="A1495" s="10" t="s">
        <v>286</v>
      </c>
      <c r="B1495" s="7" t="s">
        <v>2325</v>
      </c>
    </row>
    <row r="1496" spans="1:2" x14ac:dyDescent="0.25">
      <c r="A1496" s="10" t="s">
        <v>418</v>
      </c>
      <c r="B1496" s="7" t="s">
        <v>2325</v>
      </c>
    </row>
    <row r="1497" spans="1:2" x14ac:dyDescent="0.25">
      <c r="A1497" s="10" t="s">
        <v>1101</v>
      </c>
      <c r="B1497" s="7" t="s">
        <v>2325</v>
      </c>
    </row>
    <row r="1498" spans="1:2" x14ac:dyDescent="0.25">
      <c r="A1498" s="10" t="s">
        <v>801</v>
      </c>
      <c r="B1498" s="7" t="s">
        <v>2325</v>
      </c>
    </row>
    <row r="1499" spans="1:2" x14ac:dyDescent="0.25">
      <c r="A1499" s="10" t="s">
        <v>503</v>
      </c>
      <c r="B1499" s="7" t="s">
        <v>2325</v>
      </c>
    </row>
    <row r="1500" spans="1:2" x14ac:dyDescent="0.25">
      <c r="A1500" s="10" t="s">
        <v>2034</v>
      </c>
      <c r="B1500" s="7" t="s">
        <v>2325</v>
      </c>
    </row>
    <row r="1501" spans="1:2" x14ac:dyDescent="0.25">
      <c r="A1501" s="10" t="s">
        <v>2035</v>
      </c>
      <c r="B1501" s="7" t="s">
        <v>2325</v>
      </c>
    </row>
    <row r="1502" spans="1:2" x14ac:dyDescent="0.25">
      <c r="A1502" s="10" t="s">
        <v>2036</v>
      </c>
      <c r="B1502" s="7" t="s">
        <v>2325</v>
      </c>
    </row>
    <row r="1503" spans="1:2" x14ac:dyDescent="0.25">
      <c r="A1503" s="10" t="s">
        <v>2037</v>
      </c>
      <c r="B1503" s="7" t="s">
        <v>2325</v>
      </c>
    </row>
    <row r="1504" spans="1:2" x14ac:dyDescent="0.25">
      <c r="A1504" s="10" t="s">
        <v>2038</v>
      </c>
      <c r="B1504" s="7" t="s">
        <v>2325</v>
      </c>
    </row>
    <row r="1505" spans="1:2" x14ac:dyDescent="0.25">
      <c r="A1505" s="10" t="s">
        <v>493</v>
      </c>
      <c r="B1505" s="7" t="s">
        <v>2325</v>
      </c>
    </row>
    <row r="1506" spans="1:2" x14ac:dyDescent="0.25">
      <c r="A1506" s="10" t="s">
        <v>2039</v>
      </c>
      <c r="B1506" s="7" t="s">
        <v>2325</v>
      </c>
    </row>
    <row r="1507" spans="1:2" x14ac:dyDescent="0.25">
      <c r="A1507" s="10" t="s">
        <v>83</v>
      </c>
      <c r="B1507" s="7" t="s">
        <v>2325</v>
      </c>
    </row>
    <row r="1508" spans="1:2" x14ac:dyDescent="0.25">
      <c r="A1508" s="10" t="s">
        <v>2040</v>
      </c>
      <c r="B1508" s="7" t="s">
        <v>2325</v>
      </c>
    </row>
    <row r="1509" spans="1:2" x14ac:dyDescent="0.25">
      <c r="A1509" s="10" t="s">
        <v>146</v>
      </c>
      <c r="B1509" s="7" t="s">
        <v>2325</v>
      </c>
    </row>
    <row r="1510" spans="1:2" x14ac:dyDescent="0.25">
      <c r="A1510" s="10" t="s">
        <v>272</v>
      </c>
      <c r="B1510" s="7" t="s">
        <v>2325</v>
      </c>
    </row>
    <row r="1511" spans="1:2" x14ac:dyDescent="0.25">
      <c r="A1511" s="10" t="s">
        <v>2041</v>
      </c>
      <c r="B1511" s="7" t="s">
        <v>2325</v>
      </c>
    </row>
    <row r="1512" spans="1:2" x14ac:dyDescent="0.25">
      <c r="A1512" s="10" t="s">
        <v>313</v>
      </c>
      <c r="B1512" s="7" t="s">
        <v>2325</v>
      </c>
    </row>
    <row r="1513" spans="1:2" x14ac:dyDescent="0.25">
      <c r="A1513" s="10" t="s">
        <v>2042</v>
      </c>
      <c r="B1513" s="7" t="s">
        <v>2325</v>
      </c>
    </row>
    <row r="1514" spans="1:2" x14ac:dyDescent="0.25">
      <c r="A1514" s="10" t="s">
        <v>673</v>
      </c>
      <c r="B1514" s="7" t="s">
        <v>2325</v>
      </c>
    </row>
    <row r="1515" spans="1:2" x14ac:dyDescent="0.25">
      <c r="A1515" s="10" t="s">
        <v>404</v>
      </c>
      <c r="B1515" s="7" t="s">
        <v>2325</v>
      </c>
    </row>
    <row r="1516" spans="1:2" x14ac:dyDescent="0.25">
      <c r="A1516" s="10" t="s">
        <v>2043</v>
      </c>
      <c r="B1516" s="7" t="s">
        <v>2325</v>
      </c>
    </row>
    <row r="1517" spans="1:2" x14ac:dyDescent="0.25">
      <c r="A1517" s="10" t="s">
        <v>2044</v>
      </c>
      <c r="B1517" s="7" t="s">
        <v>2325</v>
      </c>
    </row>
    <row r="1518" spans="1:2" x14ac:dyDescent="0.25">
      <c r="A1518" s="10" t="s">
        <v>2045</v>
      </c>
      <c r="B1518" s="7" t="s">
        <v>2325</v>
      </c>
    </row>
    <row r="1519" spans="1:2" x14ac:dyDescent="0.25">
      <c r="A1519" s="10" t="s">
        <v>814</v>
      </c>
      <c r="B1519" s="7" t="s">
        <v>2325</v>
      </c>
    </row>
    <row r="1520" spans="1:2" x14ac:dyDescent="0.25">
      <c r="A1520" s="10" t="s">
        <v>158</v>
      </c>
      <c r="B1520" s="7" t="s">
        <v>2325</v>
      </c>
    </row>
    <row r="1521" spans="1:2" x14ac:dyDescent="0.25">
      <c r="A1521" s="10" t="s">
        <v>2046</v>
      </c>
      <c r="B1521" s="7" t="s">
        <v>2325</v>
      </c>
    </row>
    <row r="1522" spans="1:2" x14ac:dyDescent="0.25">
      <c r="A1522" s="10" t="s">
        <v>2047</v>
      </c>
      <c r="B1522" s="7" t="s">
        <v>2325</v>
      </c>
    </row>
    <row r="1523" spans="1:2" x14ac:dyDescent="0.25">
      <c r="A1523" s="10" t="s">
        <v>583</v>
      </c>
      <c r="B1523" s="7" t="s">
        <v>2325</v>
      </c>
    </row>
    <row r="1524" spans="1:2" x14ac:dyDescent="0.25">
      <c r="A1524" s="10" t="s">
        <v>713</v>
      </c>
      <c r="B1524" s="7" t="s">
        <v>2325</v>
      </c>
    </row>
    <row r="1525" spans="1:2" x14ac:dyDescent="0.25">
      <c r="A1525" s="10" t="s">
        <v>2048</v>
      </c>
      <c r="B1525" s="7" t="s">
        <v>2325</v>
      </c>
    </row>
    <row r="1526" spans="1:2" x14ac:dyDescent="0.25">
      <c r="A1526" s="10" t="s">
        <v>74</v>
      </c>
      <c r="B1526" s="7" t="s">
        <v>2325</v>
      </c>
    </row>
    <row r="1527" spans="1:2" x14ac:dyDescent="0.25">
      <c r="A1527" s="10" t="s">
        <v>1215</v>
      </c>
      <c r="B1527" s="7" t="s">
        <v>2325</v>
      </c>
    </row>
    <row r="1528" spans="1:2" x14ac:dyDescent="0.25">
      <c r="A1528" s="10" t="s">
        <v>867</v>
      </c>
      <c r="B1528" s="7" t="s">
        <v>2325</v>
      </c>
    </row>
    <row r="1529" spans="1:2" x14ac:dyDescent="0.25">
      <c r="A1529" s="10" t="s">
        <v>2049</v>
      </c>
      <c r="B1529" s="7" t="s">
        <v>2325</v>
      </c>
    </row>
    <row r="1530" spans="1:2" x14ac:dyDescent="0.25">
      <c r="A1530" s="10" t="s">
        <v>515</v>
      </c>
      <c r="B1530" s="7" t="s">
        <v>2325</v>
      </c>
    </row>
    <row r="1531" spans="1:2" x14ac:dyDescent="0.25">
      <c r="A1531" s="10" t="s">
        <v>419</v>
      </c>
      <c r="B1531" s="7" t="s">
        <v>2325</v>
      </c>
    </row>
    <row r="1532" spans="1:2" x14ac:dyDescent="0.25">
      <c r="A1532" s="10" t="s">
        <v>2050</v>
      </c>
      <c r="B1532" s="7" t="s">
        <v>2325</v>
      </c>
    </row>
    <row r="1533" spans="1:2" x14ac:dyDescent="0.25">
      <c r="A1533" s="10" t="s">
        <v>2051</v>
      </c>
      <c r="B1533" s="7" t="s">
        <v>2325</v>
      </c>
    </row>
    <row r="1534" spans="1:2" x14ac:dyDescent="0.25">
      <c r="A1534" s="10" t="s">
        <v>936</v>
      </c>
      <c r="B1534" s="7" t="s">
        <v>2325</v>
      </c>
    </row>
    <row r="1535" spans="1:2" x14ac:dyDescent="0.25">
      <c r="A1535" s="10" t="s">
        <v>457</v>
      </c>
      <c r="B1535" s="7" t="s">
        <v>2325</v>
      </c>
    </row>
    <row r="1536" spans="1:2" x14ac:dyDescent="0.25">
      <c r="A1536" s="10" t="s">
        <v>2052</v>
      </c>
      <c r="B1536" s="7" t="s">
        <v>2325</v>
      </c>
    </row>
    <row r="1537" spans="1:2" x14ac:dyDescent="0.25">
      <c r="A1537" s="10" t="s">
        <v>901</v>
      </c>
      <c r="B1537" s="7" t="s">
        <v>2325</v>
      </c>
    </row>
    <row r="1538" spans="1:2" x14ac:dyDescent="0.25">
      <c r="A1538" s="10" t="s">
        <v>447</v>
      </c>
      <c r="B1538" s="7" t="s">
        <v>2325</v>
      </c>
    </row>
    <row r="1539" spans="1:2" x14ac:dyDescent="0.25">
      <c r="A1539" s="10" t="s">
        <v>267</v>
      </c>
      <c r="B1539" s="7" t="s">
        <v>2325</v>
      </c>
    </row>
    <row r="1540" spans="1:2" x14ac:dyDescent="0.25">
      <c r="A1540" s="10" t="s">
        <v>2053</v>
      </c>
      <c r="B1540" s="7" t="s">
        <v>2325</v>
      </c>
    </row>
    <row r="1541" spans="1:2" x14ac:dyDescent="0.25">
      <c r="A1541" s="10" t="s">
        <v>2054</v>
      </c>
      <c r="B1541" s="7" t="s">
        <v>2325</v>
      </c>
    </row>
    <row r="1542" spans="1:2" x14ac:dyDescent="0.25">
      <c r="A1542" s="10" t="s">
        <v>2055</v>
      </c>
      <c r="B1542" s="7" t="s">
        <v>2325</v>
      </c>
    </row>
    <row r="1543" spans="1:2" x14ac:dyDescent="0.25">
      <c r="A1543" s="10" t="s">
        <v>472</v>
      </c>
      <c r="B1543" s="7" t="s">
        <v>2325</v>
      </c>
    </row>
    <row r="1544" spans="1:2" x14ac:dyDescent="0.25">
      <c r="A1544" s="10" t="s">
        <v>2056</v>
      </c>
      <c r="B1544" s="7" t="s">
        <v>2325</v>
      </c>
    </row>
    <row r="1545" spans="1:2" x14ac:dyDescent="0.25">
      <c r="A1545" s="10" t="s">
        <v>2057</v>
      </c>
      <c r="B1545" s="7" t="s">
        <v>2325</v>
      </c>
    </row>
    <row r="1546" spans="1:2" x14ac:dyDescent="0.25">
      <c r="A1546" s="10" t="s">
        <v>962</v>
      </c>
      <c r="B1546" s="7" t="s">
        <v>2325</v>
      </c>
    </row>
    <row r="1547" spans="1:2" x14ac:dyDescent="0.25">
      <c r="A1547" s="10" t="s">
        <v>2058</v>
      </c>
      <c r="B1547" s="7" t="s">
        <v>2325</v>
      </c>
    </row>
    <row r="1548" spans="1:2" x14ac:dyDescent="0.25">
      <c r="A1548" s="10" t="s">
        <v>1179</v>
      </c>
      <c r="B1548" s="7" t="s">
        <v>2325</v>
      </c>
    </row>
    <row r="1549" spans="1:2" x14ac:dyDescent="0.25">
      <c r="A1549" s="10" t="s">
        <v>211</v>
      </c>
      <c r="B1549" s="7" t="s">
        <v>2325</v>
      </c>
    </row>
    <row r="1550" spans="1:2" x14ac:dyDescent="0.25">
      <c r="A1550" s="10" t="s">
        <v>746</v>
      </c>
      <c r="B1550" s="7" t="s">
        <v>2325</v>
      </c>
    </row>
    <row r="1551" spans="1:2" x14ac:dyDescent="0.25">
      <c r="A1551" s="10" t="s">
        <v>2059</v>
      </c>
      <c r="B1551" s="7" t="s">
        <v>2325</v>
      </c>
    </row>
    <row r="1552" spans="1:2" x14ac:dyDescent="0.25">
      <c r="A1552" s="10" t="s">
        <v>767</v>
      </c>
      <c r="B1552" s="7" t="s">
        <v>2325</v>
      </c>
    </row>
    <row r="1553" spans="1:2" x14ac:dyDescent="0.25">
      <c r="A1553" s="10" t="s">
        <v>2060</v>
      </c>
      <c r="B1553" s="7" t="s">
        <v>2325</v>
      </c>
    </row>
    <row r="1554" spans="1:2" x14ac:dyDescent="0.25">
      <c r="A1554" s="10" t="s">
        <v>1178</v>
      </c>
      <c r="B1554" s="7" t="s">
        <v>2325</v>
      </c>
    </row>
    <row r="1555" spans="1:2" x14ac:dyDescent="0.25">
      <c r="A1555" s="10" t="s">
        <v>2061</v>
      </c>
      <c r="B1555" s="7" t="s">
        <v>2325</v>
      </c>
    </row>
    <row r="1556" spans="1:2" x14ac:dyDescent="0.25">
      <c r="A1556" s="10" t="s">
        <v>986</v>
      </c>
      <c r="B1556" s="7" t="s">
        <v>2325</v>
      </c>
    </row>
    <row r="1557" spans="1:2" x14ac:dyDescent="0.25">
      <c r="A1557" s="10" t="s">
        <v>2062</v>
      </c>
      <c r="B1557" s="7" t="s">
        <v>2325</v>
      </c>
    </row>
    <row r="1558" spans="1:2" x14ac:dyDescent="0.25">
      <c r="A1558" s="10" t="s">
        <v>1106</v>
      </c>
      <c r="B1558" s="7" t="s">
        <v>2325</v>
      </c>
    </row>
    <row r="1559" spans="1:2" x14ac:dyDescent="0.25">
      <c r="A1559" s="10" t="s">
        <v>2063</v>
      </c>
      <c r="B1559" s="7" t="s">
        <v>2325</v>
      </c>
    </row>
    <row r="1560" spans="1:2" x14ac:dyDescent="0.25">
      <c r="A1560" s="10" t="s">
        <v>2064</v>
      </c>
      <c r="B1560" s="7" t="s">
        <v>2325</v>
      </c>
    </row>
    <row r="1561" spans="1:2" x14ac:dyDescent="0.25">
      <c r="A1561" s="10" t="s">
        <v>1145</v>
      </c>
      <c r="B1561" s="7" t="s">
        <v>2325</v>
      </c>
    </row>
    <row r="1562" spans="1:2" x14ac:dyDescent="0.25">
      <c r="A1562" s="10" t="s">
        <v>2065</v>
      </c>
      <c r="B1562" s="7" t="s">
        <v>2325</v>
      </c>
    </row>
    <row r="1563" spans="1:2" x14ac:dyDescent="0.25">
      <c r="A1563" s="10" t="s">
        <v>2066</v>
      </c>
      <c r="B1563" s="7" t="s">
        <v>2325</v>
      </c>
    </row>
    <row r="1564" spans="1:2" x14ac:dyDescent="0.25">
      <c r="A1564" s="10" t="s">
        <v>467</v>
      </c>
      <c r="B1564" s="7" t="s">
        <v>2325</v>
      </c>
    </row>
    <row r="1565" spans="1:2" x14ac:dyDescent="0.25">
      <c r="A1565" s="10" t="s">
        <v>2067</v>
      </c>
      <c r="B1565" s="7" t="s">
        <v>2325</v>
      </c>
    </row>
    <row r="1566" spans="1:2" x14ac:dyDescent="0.25">
      <c r="A1566" s="10" t="s">
        <v>2068</v>
      </c>
      <c r="B1566" s="7" t="s">
        <v>2325</v>
      </c>
    </row>
    <row r="1567" spans="1:2" x14ac:dyDescent="0.25">
      <c r="A1567" s="10" t="s">
        <v>2069</v>
      </c>
      <c r="B1567" s="7" t="s">
        <v>2325</v>
      </c>
    </row>
    <row r="1568" spans="1:2" x14ac:dyDescent="0.25">
      <c r="A1568" s="10" t="s">
        <v>915</v>
      </c>
      <c r="B1568" s="7" t="s">
        <v>2325</v>
      </c>
    </row>
    <row r="1569" spans="1:2" x14ac:dyDescent="0.25">
      <c r="A1569" s="10" t="s">
        <v>2070</v>
      </c>
      <c r="B1569" s="7" t="s">
        <v>2325</v>
      </c>
    </row>
    <row r="1570" spans="1:2" x14ac:dyDescent="0.25">
      <c r="A1570" s="10" t="s">
        <v>2071</v>
      </c>
      <c r="B1570" s="7" t="s">
        <v>2325</v>
      </c>
    </row>
    <row r="1571" spans="1:2" x14ac:dyDescent="0.25">
      <c r="A1571" s="10" t="s">
        <v>1056</v>
      </c>
      <c r="B1571" s="7" t="s">
        <v>2325</v>
      </c>
    </row>
    <row r="1572" spans="1:2" x14ac:dyDescent="0.25">
      <c r="A1572" s="10" t="s">
        <v>464</v>
      </c>
      <c r="B1572" s="7" t="s">
        <v>2325</v>
      </c>
    </row>
    <row r="1573" spans="1:2" x14ac:dyDescent="0.25">
      <c r="A1573" s="10" t="s">
        <v>1000</v>
      </c>
      <c r="B1573" s="7" t="s">
        <v>2325</v>
      </c>
    </row>
    <row r="1574" spans="1:2" x14ac:dyDescent="0.25">
      <c r="A1574" s="10" t="s">
        <v>1074</v>
      </c>
      <c r="B1574" s="7" t="s">
        <v>2325</v>
      </c>
    </row>
    <row r="1575" spans="1:2" x14ac:dyDescent="0.25">
      <c r="A1575" s="10" t="s">
        <v>139</v>
      </c>
      <c r="B1575" s="7" t="s">
        <v>2325</v>
      </c>
    </row>
    <row r="1576" spans="1:2" x14ac:dyDescent="0.25">
      <c r="A1576" s="10" t="s">
        <v>950</v>
      </c>
      <c r="B1576" s="7" t="s">
        <v>2325</v>
      </c>
    </row>
    <row r="1577" spans="1:2" x14ac:dyDescent="0.25">
      <c r="A1577" s="10" t="s">
        <v>1198</v>
      </c>
      <c r="B1577" s="7" t="s">
        <v>2325</v>
      </c>
    </row>
    <row r="1578" spans="1:2" x14ac:dyDescent="0.25">
      <c r="A1578" s="10" t="s">
        <v>2072</v>
      </c>
      <c r="B1578" s="7" t="s">
        <v>2325</v>
      </c>
    </row>
    <row r="1579" spans="1:2" x14ac:dyDescent="0.25">
      <c r="A1579" s="10" t="s">
        <v>855</v>
      </c>
      <c r="B1579" s="7" t="s">
        <v>2325</v>
      </c>
    </row>
    <row r="1580" spans="1:2" x14ac:dyDescent="0.25">
      <c r="A1580" s="10" t="s">
        <v>812</v>
      </c>
      <c r="B1580" s="7" t="s">
        <v>2325</v>
      </c>
    </row>
    <row r="1581" spans="1:2" x14ac:dyDescent="0.25">
      <c r="A1581" s="10" t="s">
        <v>2073</v>
      </c>
      <c r="B1581" s="7" t="s">
        <v>2325</v>
      </c>
    </row>
    <row r="1582" spans="1:2" x14ac:dyDescent="0.25">
      <c r="A1582" s="10" t="s">
        <v>334</v>
      </c>
      <c r="B1582" s="7" t="s">
        <v>2325</v>
      </c>
    </row>
    <row r="1583" spans="1:2" x14ac:dyDescent="0.25">
      <c r="A1583" s="10" t="s">
        <v>2074</v>
      </c>
      <c r="B1583" s="7" t="s">
        <v>2325</v>
      </c>
    </row>
    <row r="1584" spans="1:2" x14ac:dyDescent="0.25">
      <c r="A1584" s="10" t="s">
        <v>392</v>
      </c>
      <c r="B1584" s="7" t="s">
        <v>2325</v>
      </c>
    </row>
    <row r="1585" spans="1:2" x14ac:dyDescent="0.25">
      <c r="A1585" s="10" t="s">
        <v>73</v>
      </c>
      <c r="B1585" s="7" t="s">
        <v>2325</v>
      </c>
    </row>
    <row r="1586" spans="1:2" x14ac:dyDescent="0.25">
      <c r="A1586" s="10" t="s">
        <v>2075</v>
      </c>
      <c r="B1586" s="7" t="s">
        <v>2325</v>
      </c>
    </row>
    <row r="1587" spans="1:2" x14ac:dyDescent="0.25">
      <c r="A1587" s="10" t="s">
        <v>793</v>
      </c>
      <c r="B1587" s="7" t="s">
        <v>2325</v>
      </c>
    </row>
    <row r="1588" spans="1:2" x14ac:dyDescent="0.25">
      <c r="A1588" s="10" t="s">
        <v>880</v>
      </c>
      <c r="B1588" s="7" t="s">
        <v>2325</v>
      </c>
    </row>
    <row r="1589" spans="1:2" x14ac:dyDescent="0.25">
      <c r="A1589" s="10" t="s">
        <v>1226</v>
      </c>
      <c r="B1589" s="7" t="s">
        <v>2325</v>
      </c>
    </row>
    <row r="1590" spans="1:2" x14ac:dyDescent="0.25">
      <c r="A1590" s="10" t="s">
        <v>94</v>
      </c>
      <c r="B1590" s="7" t="s">
        <v>2325</v>
      </c>
    </row>
    <row r="1591" spans="1:2" x14ac:dyDescent="0.25">
      <c r="A1591" s="10" t="s">
        <v>2076</v>
      </c>
      <c r="B1591" s="7" t="s">
        <v>2325</v>
      </c>
    </row>
    <row r="1592" spans="1:2" x14ac:dyDescent="0.25">
      <c r="A1592" s="10" t="s">
        <v>2077</v>
      </c>
      <c r="B1592" s="7" t="s">
        <v>2325</v>
      </c>
    </row>
    <row r="1593" spans="1:2" x14ac:dyDescent="0.25">
      <c r="A1593" s="10" t="s">
        <v>2078</v>
      </c>
      <c r="B1593" s="7" t="s">
        <v>2325</v>
      </c>
    </row>
    <row r="1594" spans="1:2" x14ac:dyDescent="0.25">
      <c r="A1594" s="10" t="s">
        <v>241</v>
      </c>
      <c r="B1594" s="7" t="s">
        <v>2325</v>
      </c>
    </row>
    <row r="1595" spans="1:2" x14ac:dyDescent="0.25">
      <c r="A1595" s="10" t="s">
        <v>11</v>
      </c>
      <c r="B1595" s="7" t="s">
        <v>2325</v>
      </c>
    </row>
    <row r="1596" spans="1:2" x14ac:dyDescent="0.25">
      <c r="A1596" s="10" t="s">
        <v>2079</v>
      </c>
      <c r="B1596" s="7" t="s">
        <v>2325</v>
      </c>
    </row>
    <row r="1597" spans="1:2" x14ac:dyDescent="0.25">
      <c r="A1597" s="10" t="s">
        <v>460</v>
      </c>
      <c r="B1597" s="7" t="s">
        <v>2325</v>
      </c>
    </row>
    <row r="1598" spans="1:2" x14ac:dyDescent="0.25">
      <c r="A1598" s="10" t="s">
        <v>627</v>
      </c>
      <c r="B1598" s="7" t="s">
        <v>2325</v>
      </c>
    </row>
    <row r="1599" spans="1:2" x14ac:dyDescent="0.25">
      <c r="A1599" s="10" t="s">
        <v>485</v>
      </c>
      <c r="B1599" s="7" t="s">
        <v>2325</v>
      </c>
    </row>
    <row r="1600" spans="1:2" x14ac:dyDescent="0.25">
      <c r="A1600" s="10" t="s">
        <v>2080</v>
      </c>
      <c r="B1600" s="7" t="s">
        <v>2325</v>
      </c>
    </row>
    <row r="1601" spans="1:2" x14ac:dyDescent="0.25">
      <c r="A1601" s="10" t="s">
        <v>2081</v>
      </c>
      <c r="B1601" s="7" t="s">
        <v>2325</v>
      </c>
    </row>
    <row r="1602" spans="1:2" x14ac:dyDescent="0.25">
      <c r="A1602" s="10" t="s">
        <v>2082</v>
      </c>
      <c r="B1602" s="7" t="s">
        <v>2325</v>
      </c>
    </row>
    <row r="1603" spans="1:2" x14ac:dyDescent="0.25">
      <c r="A1603" s="10" t="s">
        <v>2083</v>
      </c>
      <c r="B1603" s="7" t="s">
        <v>2325</v>
      </c>
    </row>
    <row r="1604" spans="1:2" x14ac:dyDescent="0.25">
      <c r="A1604" s="10" t="s">
        <v>93</v>
      </c>
      <c r="B1604" s="7" t="s">
        <v>2325</v>
      </c>
    </row>
    <row r="1605" spans="1:2" x14ac:dyDescent="0.25">
      <c r="A1605" s="10" t="s">
        <v>85</v>
      </c>
      <c r="B1605" s="7" t="s">
        <v>2325</v>
      </c>
    </row>
    <row r="1606" spans="1:2" x14ac:dyDescent="0.25">
      <c r="A1606" s="10" t="s">
        <v>90</v>
      </c>
      <c r="B1606" s="7" t="s">
        <v>2325</v>
      </c>
    </row>
    <row r="1607" spans="1:2" x14ac:dyDescent="0.25">
      <c r="A1607" s="10" t="s">
        <v>688</v>
      </c>
      <c r="B1607" s="7" t="s">
        <v>2325</v>
      </c>
    </row>
    <row r="1608" spans="1:2" x14ac:dyDescent="0.25">
      <c r="A1608" s="10" t="s">
        <v>1124</v>
      </c>
      <c r="B1608" s="7" t="s">
        <v>2325</v>
      </c>
    </row>
    <row r="1609" spans="1:2" x14ac:dyDescent="0.25">
      <c r="A1609" s="10" t="s">
        <v>2084</v>
      </c>
      <c r="B1609" s="7" t="s">
        <v>2325</v>
      </c>
    </row>
    <row r="1610" spans="1:2" x14ac:dyDescent="0.25">
      <c r="A1610" s="10" t="s">
        <v>976</v>
      </c>
      <c r="B1610" s="7" t="s">
        <v>2325</v>
      </c>
    </row>
    <row r="1611" spans="1:2" x14ac:dyDescent="0.25">
      <c r="A1611" s="10" t="s">
        <v>2085</v>
      </c>
      <c r="B1611" s="7" t="s">
        <v>2325</v>
      </c>
    </row>
    <row r="1612" spans="1:2" x14ac:dyDescent="0.25">
      <c r="A1612" s="10" t="s">
        <v>597</v>
      </c>
      <c r="B1612" s="7" t="s">
        <v>2325</v>
      </c>
    </row>
    <row r="1613" spans="1:2" x14ac:dyDescent="0.25">
      <c r="A1613" s="10" t="s">
        <v>2086</v>
      </c>
      <c r="B1613" s="7" t="s">
        <v>2325</v>
      </c>
    </row>
    <row r="1614" spans="1:2" x14ac:dyDescent="0.25">
      <c r="A1614" s="10" t="s">
        <v>856</v>
      </c>
      <c r="B1614" s="7" t="s">
        <v>2325</v>
      </c>
    </row>
    <row r="1615" spans="1:2" x14ac:dyDescent="0.25">
      <c r="A1615" s="10" t="s">
        <v>2087</v>
      </c>
      <c r="B1615" s="7" t="s">
        <v>2325</v>
      </c>
    </row>
    <row r="1616" spans="1:2" x14ac:dyDescent="0.25">
      <c r="A1616" s="10" t="s">
        <v>911</v>
      </c>
      <c r="B1616" s="7" t="s">
        <v>2325</v>
      </c>
    </row>
    <row r="1617" spans="1:2" x14ac:dyDescent="0.25">
      <c r="A1617" s="10" t="s">
        <v>2088</v>
      </c>
      <c r="B1617" s="7" t="s">
        <v>2325</v>
      </c>
    </row>
    <row r="1618" spans="1:2" x14ac:dyDescent="0.25">
      <c r="A1618" s="10" t="s">
        <v>166</v>
      </c>
      <c r="B1618" s="7" t="s">
        <v>2325</v>
      </c>
    </row>
    <row r="1619" spans="1:2" x14ac:dyDescent="0.25">
      <c r="A1619" s="10" t="s">
        <v>2089</v>
      </c>
      <c r="B1619" s="7" t="s">
        <v>2325</v>
      </c>
    </row>
    <row r="1620" spans="1:2" x14ac:dyDescent="0.25">
      <c r="A1620" s="10" t="s">
        <v>2090</v>
      </c>
      <c r="B1620" s="7" t="s">
        <v>2325</v>
      </c>
    </row>
    <row r="1621" spans="1:2" x14ac:dyDescent="0.25">
      <c r="A1621" s="10" t="s">
        <v>2091</v>
      </c>
      <c r="B1621" s="7" t="s">
        <v>2325</v>
      </c>
    </row>
    <row r="1622" spans="1:2" x14ac:dyDescent="0.25">
      <c r="A1622" s="10" t="s">
        <v>263</v>
      </c>
      <c r="B1622" s="7" t="s">
        <v>2325</v>
      </c>
    </row>
    <row r="1623" spans="1:2" x14ac:dyDescent="0.25">
      <c r="A1623" s="10" t="s">
        <v>2092</v>
      </c>
      <c r="B1623" s="7" t="s">
        <v>2325</v>
      </c>
    </row>
    <row r="1624" spans="1:2" x14ac:dyDescent="0.25">
      <c r="A1624" s="10" t="s">
        <v>2093</v>
      </c>
      <c r="B1624" s="7" t="s">
        <v>2325</v>
      </c>
    </row>
    <row r="1625" spans="1:2" x14ac:dyDescent="0.25">
      <c r="A1625" s="10" t="s">
        <v>2094</v>
      </c>
      <c r="B1625" s="7" t="s">
        <v>2325</v>
      </c>
    </row>
    <row r="1626" spans="1:2" x14ac:dyDescent="0.25">
      <c r="A1626" s="10" t="s">
        <v>728</v>
      </c>
      <c r="B1626" s="7" t="s">
        <v>2325</v>
      </c>
    </row>
    <row r="1627" spans="1:2" x14ac:dyDescent="0.25">
      <c r="A1627" s="10" t="s">
        <v>121</v>
      </c>
      <c r="B1627" s="7" t="s">
        <v>2325</v>
      </c>
    </row>
    <row r="1628" spans="1:2" x14ac:dyDescent="0.25">
      <c r="A1628" s="10" t="s">
        <v>116</v>
      </c>
      <c r="B1628" s="7" t="s">
        <v>2325</v>
      </c>
    </row>
    <row r="1629" spans="1:2" x14ac:dyDescent="0.25">
      <c r="A1629" s="10" t="s">
        <v>684</v>
      </c>
      <c r="B1629" s="7" t="s">
        <v>2325</v>
      </c>
    </row>
    <row r="1630" spans="1:2" x14ac:dyDescent="0.25">
      <c r="A1630" s="10" t="s">
        <v>2095</v>
      </c>
      <c r="B1630" s="7" t="s">
        <v>2325</v>
      </c>
    </row>
    <row r="1631" spans="1:2" x14ac:dyDescent="0.25">
      <c r="A1631" s="10" t="s">
        <v>361</v>
      </c>
      <c r="B1631" s="7" t="s">
        <v>2325</v>
      </c>
    </row>
    <row r="1632" spans="1:2" x14ac:dyDescent="0.25">
      <c r="A1632" s="10" t="s">
        <v>2096</v>
      </c>
      <c r="B1632" s="7" t="s">
        <v>2325</v>
      </c>
    </row>
    <row r="1633" spans="1:2" x14ac:dyDescent="0.25">
      <c r="A1633" s="10" t="s">
        <v>1011</v>
      </c>
      <c r="B1633" s="7" t="s">
        <v>2325</v>
      </c>
    </row>
    <row r="1634" spans="1:2" x14ac:dyDescent="0.25">
      <c r="A1634" s="10" t="s">
        <v>2097</v>
      </c>
      <c r="B1634" s="7" t="s">
        <v>2325</v>
      </c>
    </row>
    <row r="1635" spans="1:2" x14ac:dyDescent="0.25">
      <c r="A1635" s="10" t="s">
        <v>2098</v>
      </c>
      <c r="B1635" s="7" t="s">
        <v>2325</v>
      </c>
    </row>
    <row r="1636" spans="1:2" x14ac:dyDescent="0.25">
      <c r="A1636" s="10" t="s">
        <v>604</v>
      </c>
      <c r="B1636" s="7" t="s">
        <v>2325</v>
      </c>
    </row>
    <row r="1637" spans="1:2" x14ac:dyDescent="0.25">
      <c r="A1637" s="10" t="s">
        <v>2099</v>
      </c>
      <c r="B1637" s="7" t="s">
        <v>2325</v>
      </c>
    </row>
    <row r="1638" spans="1:2" x14ac:dyDescent="0.25">
      <c r="A1638" s="10" t="s">
        <v>1223</v>
      </c>
      <c r="B1638" s="7" t="s">
        <v>2325</v>
      </c>
    </row>
    <row r="1639" spans="1:2" x14ac:dyDescent="0.25">
      <c r="A1639" s="10" t="s">
        <v>2100</v>
      </c>
      <c r="B1639" s="7" t="s">
        <v>2325</v>
      </c>
    </row>
    <row r="1640" spans="1:2" x14ac:dyDescent="0.25">
      <c r="A1640" s="10" t="s">
        <v>2101</v>
      </c>
      <c r="B1640" s="7" t="s">
        <v>2325</v>
      </c>
    </row>
    <row r="1641" spans="1:2" x14ac:dyDescent="0.25">
      <c r="A1641" s="10" t="s">
        <v>1095</v>
      </c>
      <c r="B1641" s="7" t="s">
        <v>2325</v>
      </c>
    </row>
    <row r="1642" spans="1:2" x14ac:dyDescent="0.25">
      <c r="A1642" s="10" t="s">
        <v>2102</v>
      </c>
      <c r="B1642" s="7" t="s">
        <v>2325</v>
      </c>
    </row>
    <row r="1643" spans="1:2" x14ac:dyDescent="0.25">
      <c r="A1643" s="10" t="s">
        <v>508</v>
      </c>
      <c r="B1643" s="7" t="s">
        <v>2325</v>
      </c>
    </row>
    <row r="1644" spans="1:2" x14ac:dyDescent="0.25">
      <c r="A1644" s="10" t="s">
        <v>752</v>
      </c>
      <c r="B1644" s="7" t="s">
        <v>2325</v>
      </c>
    </row>
    <row r="1645" spans="1:2" x14ac:dyDescent="0.25">
      <c r="A1645" s="10" t="s">
        <v>857</v>
      </c>
      <c r="B1645" s="7" t="s">
        <v>2325</v>
      </c>
    </row>
    <row r="1646" spans="1:2" x14ac:dyDescent="0.25">
      <c r="A1646" s="10" t="s">
        <v>870</v>
      </c>
      <c r="B1646" s="7" t="s">
        <v>2325</v>
      </c>
    </row>
    <row r="1647" spans="1:2" x14ac:dyDescent="0.25">
      <c r="A1647" s="10" t="s">
        <v>2103</v>
      </c>
      <c r="B1647" s="7" t="s">
        <v>2325</v>
      </c>
    </row>
    <row r="1648" spans="1:2" x14ac:dyDescent="0.25">
      <c r="A1648" s="10" t="s">
        <v>1172</v>
      </c>
      <c r="B1648" s="7" t="s">
        <v>2325</v>
      </c>
    </row>
    <row r="1649" spans="1:2" x14ac:dyDescent="0.25">
      <c r="A1649" s="10" t="s">
        <v>2104</v>
      </c>
      <c r="B1649" s="7" t="s">
        <v>2325</v>
      </c>
    </row>
    <row r="1650" spans="1:2" x14ac:dyDescent="0.25">
      <c r="A1650" s="10" t="s">
        <v>930</v>
      </c>
      <c r="B1650" s="7" t="s">
        <v>2325</v>
      </c>
    </row>
    <row r="1651" spans="1:2" x14ac:dyDescent="0.25">
      <c r="A1651" s="10" t="s">
        <v>2105</v>
      </c>
      <c r="B1651" s="7" t="s">
        <v>2325</v>
      </c>
    </row>
    <row r="1652" spans="1:2" x14ac:dyDescent="0.25">
      <c r="A1652" s="10" t="s">
        <v>2106</v>
      </c>
      <c r="B1652" s="7" t="s">
        <v>2325</v>
      </c>
    </row>
    <row r="1653" spans="1:2" x14ac:dyDescent="0.25">
      <c r="A1653" s="10" t="s">
        <v>603</v>
      </c>
      <c r="B1653" s="7" t="s">
        <v>2325</v>
      </c>
    </row>
    <row r="1654" spans="1:2" x14ac:dyDescent="0.25">
      <c r="A1654" s="10" t="s">
        <v>2107</v>
      </c>
      <c r="B1654" s="7" t="s">
        <v>2325</v>
      </c>
    </row>
    <row r="1655" spans="1:2" x14ac:dyDescent="0.25">
      <c r="A1655" s="10" t="s">
        <v>2108</v>
      </c>
      <c r="B1655" s="7" t="s">
        <v>2325</v>
      </c>
    </row>
    <row r="1656" spans="1:2" x14ac:dyDescent="0.25">
      <c r="A1656" s="10" t="s">
        <v>2109</v>
      </c>
      <c r="B1656" s="7" t="s">
        <v>2325</v>
      </c>
    </row>
    <row r="1657" spans="1:2" x14ac:dyDescent="0.25">
      <c r="A1657" s="10" t="s">
        <v>982</v>
      </c>
      <c r="B1657" s="7" t="s">
        <v>2325</v>
      </c>
    </row>
    <row r="1658" spans="1:2" x14ac:dyDescent="0.25">
      <c r="A1658" s="10" t="s">
        <v>2110</v>
      </c>
      <c r="B1658" s="7" t="s">
        <v>2325</v>
      </c>
    </row>
    <row r="1659" spans="1:2" x14ac:dyDescent="0.25">
      <c r="A1659" s="10" t="s">
        <v>525</v>
      </c>
      <c r="B1659" s="7" t="s">
        <v>2325</v>
      </c>
    </row>
    <row r="1660" spans="1:2" x14ac:dyDescent="0.25">
      <c r="A1660" s="10" t="s">
        <v>615</v>
      </c>
      <c r="B1660" s="7" t="s">
        <v>2325</v>
      </c>
    </row>
    <row r="1661" spans="1:2" x14ac:dyDescent="0.25">
      <c r="A1661" s="10" t="s">
        <v>147</v>
      </c>
      <c r="B1661" s="7" t="s">
        <v>2325</v>
      </c>
    </row>
    <row r="1662" spans="1:2" x14ac:dyDescent="0.25">
      <c r="A1662" s="10" t="s">
        <v>2111</v>
      </c>
      <c r="B1662" s="7" t="s">
        <v>2325</v>
      </c>
    </row>
    <row r="1663" spans="1:2" x14ac:dyDescent="0.25">
      <c r="A1663" s="10" t="s">
        <v>685</v>
      </c>
      <c r="B1663" s="7" t="s">
        <v>2325</v>
      </c>
    </row>
    <row r="1664" spans="1:2" x14ac:dyDescent="0.25">
      <c r="A1664" s="10" t="s">
        <v>985</v>
      </c>
      <c r="B1664" s="7" t="s">
        <v>2325</v>
      </c>
    </row>
    <row r="1665" spans="1:2" x14ac:dyDescent="0.25">
      <c r="A1665" s="10" t="s">
        <v>2112</v>
      </c>
      <c r="B1665" s="7" t="s">
        <v>2325</v>
      </c>
    </row>
    <row r="1666" spans="1:2" x14ac:dyDescent="0.25">
      <c r="A1666" s="10" t="s">
        <v>736</v>
      </c>
      <c r="B1666" s="7" t="s">
        <v>2325</v>
      </c>
    </row>
    <row r="1667" spans="1:2" x14ac:dyDescent="0.25">
      <c r="A1667" s="10" t="s">
        <v>2113</v>
      </c>
      <c r="B1667" s="7" t="s">
        <v>2325</v>
      </c>
    </row>
    <row r="1668" spans="1:2" x14ac:dyDescent="0.25">
      <c r="A1668" s="10" t="s">
        <v>523</v>
      </c>
      <c r="B1668" s="7" t="s">
        <v>2325</v>
      </c>
    </row>
    <row r="1669" spans="1:2" x14ac:dyDescent="0.25">
      <c r="A1669" s="10" t="s">
        <v>596</v>
      </c>
      <c r="B1669" s="7" t="s">
        <v>2325</v>
      </c>
    </row>
    <row r="1670" spans="1:2" x14ac:dyDescent="0.25">
      <c r="A1670" s="10" t="s">
        <v>2114</v>
      </c>
      <c r="B1670" s="7" t="s">
        <v>2325</v>
      </c>
    </row>
    <row r="1671" spans="1:2" x14ac:dyDescent="0.25">
      <c r="A1671" s="10" t="s">
        <v>2115</v>
      </c>
      <c r="B1671" s="7" t="s">
        <v>2325</v>
      </c>
    </row>
    <row r="1672" spans="1:2" x14ac:dyDescent="0.25">
      <c r="A1672" s="10" t="s">
        <v>21</v>
      </c>
      <c r="B1672" s="7" t="s">
        <v>2325</v>
      </c>
    </row>
    <row r="1673" spans="1:2" x14ac:dyDescent="0.25">
      <c r="A1673" s="10" t="s">
        <v>172</v>
      </c>
      <c r="B1673" s="7" t="s">
        <v>2325</v>
      </c>
    </row>
    <row r="1674" spans="1:2" x14ac:dyDescent="0.25">
      <c r="A1674" s="10" t="s">
        <v>2116</v>
      </c>
      <c r="B1674" s="7" t="s">
        <v>2325</v>
      </c>
    </row>
    <row r="1675" spans="1:2" x14ac:dyDescent="0.25">
      <c r="A1675" s="10" t="s">
        <v>388</v>
      </c>
      <c r="B1675" s="7" t="s">
        <v>2325</v>
      </c>
    </row>
    <row r="1676" spans="1:2" x14ac:dyDescent="0.25">
      <c r="A1676" s="10" t="s">
        <v>2117</v>
      </c>
      <c r="B1676" s="7" t="s">
        <v>2325</v>
      </c>
    </row>
    <row r="1677" spans="1:2" x14ac:dyDescent="0.25">
      <c r="A1677" s="10" t="s">
        <v>1127</v>
      </c>
      <c r="B1677" s="7" t="s">
        <v>2325</v>
      </c>
    </row>
    <row r="1678" spans="1:2" x14ac:dyDescent="0.25">
      <c r="A1678" s="10" t="s">
        <v>2118</v>
      </c>
      <c r="B1678" s="7" t="s">
        <v>2325</v>
      </c>
    </row>
    <row r="1679" spans="1:2" x14ac:dyDescent="0.25">
      <c r="A1679" s="10" t="s">
        <v>1163</v>
      </c>
      <c r="B1679" s="7" t="s">
        <v>2325</v>
      </c>
    </row>
    <row r="1680" spans="1:2" x14ac:dyDescent="0.25">
      <c r="A1680" s="10" t="s">
        <v>772</v>
      </c>
      <c r="B1680" s="7" t="s">
        <v>2325</v>
      </c>
    </row>
    <row r="1681" spans="1:2" x14ac:dyDescent="0.25">
      <c r="A1681" s="10" t="s">
        <v>611</v>
      </c>
      <c r="B1681" s="7" t="s">
        <v>2325</v>
      </c>
    </row>
    <row r="1682" spans="1:2" x14ac:dyDescent="0.25">
      <c r="A1682" s="10" t="s">
        <v>2119</v>
      </c>
      <c r="B1682" s="7" t="s">
        <v>2325</v>
      </c>
    </row>
    <row r="1683" spans="1:2" x14ac:dyDescent="0.25">
      <c r="A1683" s="10" t="s">
        <v>607</v>
      </c>
      <c r="B1683" s="7" t="s">
        <v>2325</v>
      </c>
    </row>
    <row r="1684" spans="1:2" x14ac:dyDescent="0.25">
      <c r="A1684" s="10" t="s">
        <v>902</v>
      </c>
      <c r="B1684" s="7" t="s">
        <v>2325</v>
      </c>
    </row>
    <row r="1685" spans="1:2" x14ac:dyDescent="0.25">
      <c r="A1685" s="10" t="s">
        <v>1114</v>
      </c>
      <c r="B1685" s="7" t="s">
        <v>2325</v>
      </c>
    </row>
    <row r="1686" spans="1:2" x14ac:dyDescent="0.25">
      <c r="A1686" s="10" t="s">
        <v>2120</v>
      </c>
      <c r="B1686" s="7" t="s">
        <v>2325</v>
      </c>
    </row>
    <row r="1687" spans="1:2" x14ac:dyDescent="0.25">
      <c r="A1687" s="10" t="s">
        <v>2121</v>
      </c>
      <c r="B1687" s="7" t="s">
        <v>2325</v>
      </c>
    </row>
    <row r="1688" spans="1:2" x14ac:dyDescent="0.25">
      <c r="A1688" s="10" t="s">
        <v>2122</v>
      </c>
      <c r="B1688" s="7" t="s">
        <v>2325</v>
      </c>
    </row>
    <row r="1689" spans="1:2" x14ac:dyDescent="0.25">
      <c r="A1689" s="10" t="s">
        <v>991</v>
      </c>
      <c r="B1689" s="7" t="s">
        <v>2325</v>
      </c>
    </row>
    <row r="1690" spans="1:2" x14ac:dyDescent="0.25">
      <c r="A1690" s="10" t="s">
        <v>699</v>
      </c>
      <c r="B1690" s="7" t="s">
        <v>2325</v>
      </c>
    </row>
    <row r="1691" spans="1:2" x14ac:dyDescent="0.25">
      <c r="A1691" s="10" t="s">
        <v>2123</v>
      </c>
      <c r="B1691" s="7" t="s">
        <v>2325</v>
      </c>
    </row>
    <row r="1692" spans="1:2" x14ac:dyDescent="0.25">
      <c r="A1692" s="10" t="s">
        <v>216</v>
      </c>
      <c r="B1692" s="7" t="s">
        <v>2325</v>
      </c>
    </row>
    <row r="1693" spans="1:2" x14ac:dyDescent="0.25">
      <c r="A1693" s="10" t="s">
        <v>2124</v>
      </c>
      <c r="B1693" s="7" t="s">
        <v>2325</v>
      </c>
    </row>
    <row r="1694" spans="1:2" x14ac:dyDescent="0.25">
      <c r="A1694" s="10" t="s">
        <v>2125</v>
      </c>
      <c r="B1694" s="7" t="s">
        <v>2325</v>
      </c>
    </row>
    <row r="1695" spans="1:2" x14ac:dyDescent="0.25">
      <c r="A1695" s="10" t="s">
        <v>1221</v>
      </c>
      <c r="B1695" s="7" t="s">
        <v>2325</v>
      </c>
    </row>
    <row r="1696" spans="1:2" x14ac:dyDescent="0.25">
      <c r="A1696" s="10" t="s">
        <v>2126</v>
      </c>
      <c r="B1696" s="7" t="s">
        <v>2325</v>
      </c>
    </row>
    <row r="1697" spans="1:2" x14ac:dyDescent="0.25">
      <c r="A1697" s="10" t="s">
        <v>2127</v>
      </c>
      <c r="B1697" s="7" t="s">
        <v>2325</v>
      </c>
    </row>
    <row r="1698" spans="1:2" x14ac:dyDescent="0.25">
      <c r="A1698" s="10" t="s">
        <v>966</v>
      </c>
      <c r="B1698" s="7" t="s">
        <v>2325</v>
      </c>
    </row>
    <row r="1699" spans="1:2" x14ac:dyDescent="0.25">
      <c r="A1699" s="10" t="s">
        <v>321</v>
      </c>
      <c r="B1699" s="7" t="s">
        <v>2325</v>
      </c>
    </row>
    <row r="1700" spans="1:2" x14ac:dyDescent="0.25">
      <c r="A1700" s="10" t="s">
        <v>2128</v>
      </c>
      <c r="B1700" s="7" t="s">
        <v>2325</v>
      </c>
    </row>
    <row r="1701" spans="1:2" x14ac:dyDescent="0.25">
      <c r="A1701" s="10" t="s">
        <v>829</v>
      </c>
      <c r="B1701" s="7" t="s">
        <v>2325</v>
      </c>
    </row>
    <row r="1702" spans="1:2" x14ac:dyDescent="0.25">
      <c r="A1702" s="10" t="s">
        <v>913</v>
      </c>
      <c r="B1702" s="7" t="s">
        <v>2325</v>
      </c>
    </row>
    <row r="1703" spans="1:2" x14ac:dyDescent="0.25">
      <c r="A1703" s="10" t="s">
        <v>807</v>
      </c>
      <c r="B1703" s="7" t="s">
        <v>2325</v>
      </c>
    </row>
    <row r="1704" spans="1:2" x14ac:dyDescent="0.25">
      <c r="A1704" s="10" t="s">
        <v>60</v>
      </c>
      <c r="B1704" s="7" t="s">
        <v>2325</v>
      </c>
    </row>
    <row r="1705" spans="1:2" x14ac:dyDescent="0.25">
      <c r="A1705" s="10" t="s">
        <v>1013</v>
      </c>
      <c r="B1705" s="7" t="s">
        <v>2325</v>
      </c>
    </row>
    <row r="1706" spans="1:2" x14ac:dyDescent="0.25">
      <c r="A1706" s="10" t="s">
        <v>802</v>
      </c>
      <c r="B1706" s="7" t="s">
        <v>2325</v>
      </c>
    </row>
    <row r="1707" spans="1:2" x14ac:dyDescent="0.25">
      <c r="A1707" s="10" t="s">
        <v>252</v>
      </c>
      <c r="B1707" s="7" t="s">
        <v>2325</v>
      </c>
    </row>
    <row r="1708" spans="1:2" x14ac:dyDescent="0.25">
      <c r="A1708" s="10" t="s">
        <v>1012</v>
      </c>
      <c r="B1708" s="7" t="s">
        <v>2325</v>
      </c>
    </row>
    <row r="1709" spans="1:2" x14ac:dyDescent="0.25">
      <c r="A1709" s="10" t="s">
        <v>2129</v>
      </c>
      <c r="B1709" s="7" t="s">
        <v>2325</v>
      </c>
    </row>
    <row r="1710" spans="1:2" x14ac:dyDescent="0.25">
      <c r="A1710" s="10" t="s">
        <v>1181</v>
      </c>
      <c r="B1710" s="7" t="s">
        <v>2325</v>
      </c>
    </row>
    <row r="1711" spans="1:2" x14ac:dyDescent="0.25">
      <c r="A1711" s="10" t="s">
        <v>2130</v>
      </c>
      <c r="B1711" s="7" t="s">
        <v>2325</v>
      </c>
    </row>
    <row r="1712" spans="1:2" x14ac:dyDescent="0.25">
      <c r="A1712" s="10" t="s">
        <v>2131</v>
      </c>
      <c r="B1712" s="7" t="s">
        <v>2325</v>
      </c>
    </row>
    <row r="1713" spans="1:2" x14ac:dyDescent="0.25">
      <c r="A1713" s="10" t="s">
        <v>210</v>
      </c>
      <c r="B1713" s="7" t="s">
        <v>2325</v>
      </c>
    </row>
    <row r="1714" spans="1:2" x14ac:dyDescent="0.25">
      <c r="A1714" s="10" t="s">
        <v>2132</v>
      </c>
      <c r="B1714" s="7" t="s">
        <v>2325</v>
      </c>
    </row>
    <row r="1715" spans="1:2" x14ac:dyDescent="0.25">
      <c r="A1715" s="10" t="s">
        <v>2133</v>
      </c>
      <c r="B1715" s="7" t="s">
        <v>2325</v>
      </c>
    </row>
    <row r="1716" spans="1:2" x14ac:dyDescent="0.25">
      <c r="A1716" s="10" t="s">
        <v>587</v>
      </c>
      <c r="B1716" s="7" t="s">
        <v>2325</v>
      </c>
    </row>
    <row r="1717" spans="1:2" x14ac:dyDescent="0.25">
      <c r="A1717" s="10" t="s">
        <v>666</v>
      </c>
      <c r="B1717" s="7" t="s">
        <v>2325</v>
      </c>
    </row>
    <row r="1718" spans="1:2" x14ac:dyDescent="0.25">
      <c r="A1718" s="10" t="s">
        <v>892</v>
      </c>
      <c r="B1718" s="7" t="s">
        <v>2325</v>
      </c>
    </row>
    <row r="1719" spans="1:2" x14ac:dyDescent="0.25">
      <c r="A1719" s="10" t="s">
        <v>648</v>
      </c>
      <c r="B1719" s="7" t="s">
        <v>2325</v>
      </c>
    </row>
    <row r="1720" spans="1:2" x14ac:dyDescent="0.25">
      <c r="A1720" s="10" t="s">
        <v>1186</v>
      </c>
      <c r="B1720" s="7" t="s">
        <v>2325</v>
      </c>
    </row>
    <row r="1721" spans="1:2" x14ac:dyDescent="0.25">
      <c r="A1721" s="10" t="s">
        <v>2134</v>
      </c>
      <c r="B1721" s="7" t="s">
        <v>2325</v>
      </c>
    </row>
    <row r="1722" spans="1:2" x14ac:dyDescent="0.25">
      <c r="A1722" s="10" t="s">
        <v>2135</v>
      </c>
      <c r="B1722" s="7" t="s">
        <v>2325</v>
      </c>
    </row>
    <row r="1723" spans="1:2" x14ac:dyDescent="0.25">
      <c r="A1723" s="10" t="s">
        <v>2136</v>
      </c>
      <c r="B1723" s="7" t="s">
        <v>2325</v>
      </c>
    </row>
    <row r="1724" spans="1:2" x14ac:dyDescent="0.25">
      <c r="A1724" s="10" t="s">
        <v>2137</v>
      </c>
      <c r="B1724" s="7" t="s">
        <v>2325</v>
      </c>
    </row>
    <row r="1725" spans="1:2" x14ac:dyDescent="0.25">
      <c r="A1725" s="10" t="s">
        <v>2138</v>
      </c>
      <c r="B1725" s="7" t="s">
        <v>2325</v>
      </c>
    </row>
    <row r="1726" spans="1:2" x14ac:dyDescent="0.25">
      <c r="A1726" s="10" t="s">
        <v>2139</v>
      </c>
      <c r="B1726" s="7" t="s">
        <v>2325</v>
      </c>
    </row>
    <row r="1727" spans="1:2" x14ac:dyDescent="0.25">
      <c r="A1727" s="10" t="s">
        <v>1087</v>
      </c>
      <c r="B1727" s="7" t="s">
        <v>2325</v>
      </c>
    </row>
    <row r="1728" spans="1:2" x14ac:dyDescent="0.25">
      <c r="A1728" s="10" t="s">
        <v>2140</v>
      </c>
      <c r="B1728" s="7" t="s">
        <v>2325</v>
      </c>
    </row>
    <row r="1729" spans="1:2" x14ac:dyDescent="0.25">
      <c r="A1729" s="10" t="s">
        <v>2141</v>
      </c>
      <c r="B1729" s="7" t="s">
        <v>2325</v>
      </c>
    </row>
    <row r="1730" spans="1:2" x14ac:dyDescent="0.25">
      <c r="A1730" s="10" t="s">
        <v>2142</v>
      </c>
      <c r="B1730" s="7" t="s">
        <v>2325</v>
      </c>
    </row>
    <row r="1731" spans="1:2" x14ac:dyDescent="0.25">
      <c r="A1731" s="10" t="s">
        <v>2143</v>
      </c>
      <c r="B1731" s="7" t="s">
        <v>2325</v>
      </c>
    </row>
    <row r="1732" spans="1:2" x14ac:dyDescent="0.25">
      <c r="A1732" s="10" t="s">
        <v>2144</v>
      </c>
      <c r="B1732" s="7" t="s">
        <v>2325</v>
      </c>
    </row>
    <row r="1733" spans="1:2" x14ac:dyDescent="0.25">
      <c r="A1733" s="10" t="s">
        <v>2145</v>
      </c>
      <c r="B1733" s="7" t="s">
        <v>2325</v>
      </c>
    </row>
    <row r="1734" spans="1:2" x14ac:dyDescent="0.25">
      <c r="A1734" s="10" t="s">
        <v>2146</v>
      </c>
      <c r="B1734" s="7" t="s">
        <v>2325</v>
      </c>
    </row>
    <row r="1735" spans="1:2" x14ac:dyDescent="0.25">
      <c r="A1735" s="10" t="s">
        <v>878</v>
      </c>
      <c r="B1735" s="7" t="s">
        <v>2325</v>
      </c>
    </row>
    <row r="1736" spans="1:2" x14ac:dyDescent="0.25">
      <c r="A1736" s="10" t="s">
        <v>2147</v>
      </c>
      <c r="B1736" s="7" t="s">
        <v>2325</v>
      </c>
    </row>
    <row r="1737" spans="1:2" x14ac:dyDescent="0.25">
      <c r="A1737" s="10" t="s">
        <v>2148</v>
      </c>
      <c r="B1737" s="7" t="s">
        <v>2325</v>
      </c>
    </row>
    <row r="1738" spans="1:2" x14ac:dyDescent="0.25">
      <c r="A1738" s="10" t="s">
        <v>861</v>
      </c>
      <c r="B1738" s="7" t="s">
        <v>2325</v>
      </c>
    </row>
    <row r="1739" spans="1:2" x14ac:dyDescent="0.25">
      <c r="A1739" s="10" t="s">
        <v>2149</v>
      </c>
      <c r="B1739" s="7" t="s">
        <v>2325</v>
      </c>
    </row>
    <row r="1740" spans="1:2" x14ac:dyDescent="0.25">
      <c r="A1740" s="10" t="s">
        <v>961</v>
      </c>
      <c r="B1740" s="7" t="s">
        <v>2325</v>
      </c>
    </row>
    <row r="1741" spans="1:2" x14ac:dyDescent="0.25">
      <c r="A1741" s="10" t="s">
        <v>969</v>
      </c>
      <c r="B1741" s="7" t="s">
        <v>2325</v>
      </c>
    </row>
    <row r="1742" spans="1:2" x14ac:dyDescent="0.25">
      <c r="A1742" s="10" t="s">
        <v>2150</v>
      </c>
      <c r="B1742" s="7" t="s">
        <v>2325</v>
      </c>
    </row>
    <row r="1743" spans="1:2" x14ac:dyDescent="0.25">
      <c r="A1743" s="10" t="s">
        <v>2151</v>
      </c>
      <c r="B1743" s="7" t="s">
        <v>2325</v>
      </c>
    </row>
    <row r="1744" spans="1:2" x14ac:dyDescent="0.25">
      <c r="A1744" s="10" t="s">
        <v>965</v>
      </c>
      <c r="B1744" s="7" t="s">
        <v>2325</v>
      </c>
    </row>
    <row r="1745" spans="1:2" x14ac:dyDescent="0.25">
      <c r="A1745" s="10" t="s">
        <v>593</v>
      </c>
      <c r="B1745" s="7" t="s">
        <v>2325</v>
      </c>
    </row>
    <row r="1746" spans="1:2" x14ac:dyDescent="0.25">
      <c r="A1746" s="10" t="s">
        <v>1254</v>
      </c>
      <c r="B1746" s="7" t="s">
        <v>2325</v>
      </c>
    </row>
    <row r="1747" spans="1:2" x14ac:dyDescent="0.25">
      <c r="A1747" s="10" t="s">
        <v>152</v>
      </c>
      <c r="B1747" s="7" t="s">
        <v>2325</v>
      </c>
    </row>
    <row r="1748" spans="1:2" x14ac:dyDescent="0.25">
      <c r="A1748" s="10" t="s">
        <v>2152</v>
      </c>
      <c r="B1748" s="7" t="s">
        <v>2325</v>
      </c>
    </row>
    <row r="1749" spans="1:2" x14ac:dyDescent="0.25">
      <c r="A1749" s="10" t="s">
        <v>2153</v>
      </c>
      <c r="B1749" s="7" t="s">
        <v>2325</v>
      </c>
    </row>
    <row r="1750" spans="1:2" x14ac:dyDescent="0.25">
      <c r="A1750" s="10" t="s">
        <v>2154</v>
      </c>
      <c r="B1750" s="7" t="s">
        <v>2325</v>
      </c>
    </row>
    <row r="1751" spans="1:2" x14ac:dyDescent="0.25">
      <c r="A1751" s="10" t="s">
        <v>2155</v>
      </c>
      <c r="B1751" s="7" t="s">
        <v>2325</v>
      </c>
    </row>
    <row r="1752" spans="1:2" x14ac:dyDescent="0.25">
      <c r="A1752" s="10" t="s">
        <v>382</v>
      </c>
      <c r="B1752" s="7" t="s">
        <v>2325</v>
      </c>
    </row>
    <row r="1753" spans="1:2" x14ac:dyDescent="0.25">
      <c r="A1753" s="10" t="s">
        <v>625</v>
      </c>
      <c r="B1753" s="7" t="s">
        <v>2325</v>
      </c>
    </row>
    <row r="1754" spans="1:2" x14ac:dyDescent="0.25">
      <c r="A1754" s="10" t="s">
        <v>2156</v>
      </c>
      <c r="B1754" s="7" t="s">
        <v>2325</v>
      </c>
    </row>
    <row r="1755" spans="1:2" x14ac:dyDescent="0.25">
      <c r="A1755" s="10" t="s">
        <v>595</v>
      </c>
      <c r="B1755" s="7" t="s">
        <v>2325</v>
      </c>
    </row>
    <row r="1756" spans="1:2" x14ac:dyDescent="0.25">
      <c r="A1756" s="10" t="s">
        <v>380</v>
      </c>
      <c r="B1756" s="7" t="s">
        <v>2325</v>
      </c>
    </row>
    <row r="1757" spans="1:2" x14ac:dyDescent="0.25">
      <c r="A1757" s="10" t="s">
        <v>2157</v>
      </c>
      <c r="B1757" s="7" t="s">
        <v>2325</v>
      </c>
    </row>
    <row r="1758" spans="1:2" x14ac:dyDescent="0.25">
      <c r="A1758" s="10" t="s">
        <v>2158</v>
      </c>
      <c r="B1758" s="7" t="s">
        <v>2325</v>
      </c>
    </row>
    <row r="1759" spans="1:2" x14ac:dyDescent="0.25">
      <c r="A1759" s="10" t="s">
        <v>672</v>
      </c>
      <c r="B1759" s="7" t="s">
        <v>2325</v>
      </c>
    </row>
    <row r="1760" spans="1:2" x14ac:dyDescent="0.25">
      <c r="A1760" s="10" t="s">
        <v>2159</v>
      </c>
      <c r="B1760" s="7" t="s">
        <v>2325</v>
      </c>
    </row>
    <row r="1761" spans="1:2" x14ac:dyDescent="0.25">
      <c r="A1761" s="10" t="s">
        <v>2160</v>
      </c>
      <c r="B1761" s="7" t="s">
        <v>2325</v>
      </c>
    </row>
    <row r="1762" spans="1:2" x14ac:dyDescent="0.25">
      <c r="A1762" s="10" t="s">
        <v>292</v>
      </c>
      <c r="B1762" s="7" t="s">
        <v>2325</v>
      </c>
    </row>
    <row r="1763" spans="1:2" x14ac:dyDescent="0.25">
      <c r="A1763" s="10" t="s">
        <v>737</v>
      </c>
      <c r="B1763" s="7" t="s">
        <v>2325</v>
      </c>
    </row>
    <row r="1764" spans="1:2" x14ac:dyDescent="0.25">
      <c r="A1764" s="10" t="s">
        <v>899</v>
      </c>
      <c r="B1764" s="7" t="s">
        <v>2325</v>
      </c>
    </row>
    <row r="1765" spans="1:2" x14ac:dyDescent="0.25">
      <c r="A1765" s="10" t="s">
        <v>80</v>
      </c>
      <c r="B1765" s="7" t="s">
        <v>2325</v>
      </c>
    </row>
    <row r="1766" spans="1:2" x14ac:dyDescent="0.25">
      <c r="A1766" s="10" t="s">
        <v>2161</v>
      </c>
      <c r="B1766" s="7" t="s">
        <v>2325</v>
      </c>
    </row>
    <row r="1767" spans="1:2" x14ac:dyDescent="0.25">
      <c r="A1767" s="10" t="s">
        <v>706</v>
      </c>
      <c r="B1767" s="7" t="s">
        <v>2325</v>
      </c>
    </row>
    <row r="1768" spans="1:2" x14ac:dyDescent="0.25">
      <c r="A1768" s="10" t="s">
        <v>2162</v>
      </c>
      <c r="B1768" s="7" t="s">
        <v>2325</v>
      </c>
    </row>
    <row r="1769" spans="1:2" x14ac:dyDescent="0.25">
      <c r="A1769" s="10" t="s">
        <v>1078</v>
      </c>
      <c r="B1769" s="7" t="s">
        <v>2325</v>
      </c>
    </row>
    <row r="1770" spans="1:2" x14ac:dyDescent="0.25">
      <c r="A1770" s="10" t="s">
        <v>356</v>
      </c>
      <c r="B1770" s="7" t="s">
        <v>2325</v>
      </c>
    </row>
    <row r="1771" spans="1:2" x14ac:dyDescent="0.25">
      <c r="A1771" s="10" t="s">
        <v>2163</v>
      </c>
      <c r="B1771" s="7" t="s">
        <v>2325</v>
      </c>
    </row>
    <row r="1772" spans="1:2" x14ac:dyDescent="0.25">
      <c r="A1772" s="10" t="s">
        <v>1133</v>
      </c>
      <c r="B1772" s="7" t="s">
        <v>2325</v>
      </c>
    </row>
    <row r="1773" spans="1:2" x14ac:dyDescent="0.25">
      <c r="A1773" s="10" t="s">
        <v>2164</v>
      </c>
      <c r="B1773" s="7" t="s">
        <v>2325</v>
      </c>
    </row>
    <row r="1774" spans="1:2" x14ac:dyDescent="0.25">
      <c r="A1774" s="10" t="s">
        <v>427</v>
      </c>
      <c r="B1774" s="7" t="s">
        <v>2325</v>
      </c>
    </row>
    <row r="1775" spans="1:2" x14ac:dyDescent="0.25">
      <c r="A1775" s="10" t="s">
        <v>669</v>
      </c>
      <c r="B1775" s="7" t="s">
        <v>2325</v>
      </c>
    </row>
    <row r="1776" spans="1:2" x14ac:dyDescent="0.25">
      <c r="A1776" s="10" t="s">
        <v>1055</v>
      </c>
      <c r="B1776" s="7" t="s">
        <v>2325</v>
      </c>
    </row>
    <row r="1777" spans="1:2" x14ac:dyDescent="0.25">
      <c r="A1777" s="10" t="s">
        <v>2165</v>
      </c>
      <c r="B1777" s="7" t="s">
        <v>2325</v>
      </c>
    </row>
    <row r="1778" spans="1:2" x14ac:dyDescent="0.25">
      <c r="A1778" s="10" t="s">
        <v>716</v>
      </c>
      <c r="B1778" s="7" t="s">
        <v>2325</v>
      </c>
    </row>
    <row r="1779" spans="1:2" x14ac:dyDescent="0.25">
      <c r="A1779" s="10" t="s">
        <v>2166</v>
      </c>
      <c r="B1779" s="7" t="s">
        <v>2325</v>
      </c>
    </row>
    <row r="1780" spans="1:2" x14ac:dyDescent="0.25">
      <c r="A1780" s="10" t="s">
        <v>490</v>
      </c>
      <c r="B1780" s="7" t="s">
        <v>2325</v>
      </c>
    </row>
    <row r="1781" spans="1:2" x14ac:dyDescent="0.25">
      <c r="A1781" s="10" t="s">
        <v>825</v>
      </c>
      <c r="B1781" s="7" t="s">
        <v>2325</v>
      </c>
    </row>
    <row r="1782" spans="1:2" x14ac:dyDescent="0.25">
      <c r="A1782" s="10" t="s">
        <v>302</v>
      </c>
      <c r="B1782" s="7" t="s">
        <v>2325</v>
      </c>
    </row>
    <row r="1783" spans="1:2" x14ac:dyDescent="0.25">
      <c r="A1783" s="10" t="s">
        <v>750</v>
      </c>
      <c r="B1783" s="7" t="s">
        <v>2325</v>
      </c>
    </row>
    <row r="1784" spans="1:2" x14ac:dyDescent="0.25">
      <c r="A1784" s="10" t="s">
        <v>2167</v>
      </c>
      <c r="B1784" s="7" t="s">
        <v>2325</v>
      </c>
    </row>
    <row r="1785" spans="1:2" x14ac:dyDescent="0.25">
      <c r="A1785" s="10" t="s">
        <v>201</v>
      </c>
      <c r="B1785" s="7" t="s">
        <v>2325</v>
      </c>
    </row>
    <row r="1786" spans="1:2" x14ac:dyDescent="0.25">
      <c r="A1786" s="10" t="s">
        <v>885</v>
      </c>
      <c r="B1786" s="7" t="s">
        <v>2325</v>
      </c>
    </row>
    <row r="1787" spans="1:2" x14ac:dyDescent="0.25">
      <c r="A1787" s="10" t="s">
        <v>2168</v>
      </c>
      <c r="B1787" s="7" t="s">
        <v>2325</v>
      </c>
    </row>
    <row r="1788" spans="1:2" x14ac:dyDescent="0.25">
      <c r="A1788" s="10" t="s">
        <v>408</v>
      </c>
      <c r="B1788" s="7" t="s">
        <v>2325</v>
      </c>
    </row>
    <row r="1789" spans="1:2" x14ac:dyDescent="0.25">
      <c r="A1789" s="10" t="s">
        <v>664</v>
      </c>
      <c r="B1789" s="7" t="s">
        <v>2325</v>
      </c>
    </row>
    <row r="1790" spans="1:2" x14ac:dyDescent="0.25">
      <c r="A1790" s="10" t="s">
        <v>592</v>
      </c>
      <c r="B1790" s="7" t="s">
        <v>2325</v>
      </c>
    </row>
    <row r="1791" spans="1:2" x14ac:dyDescent="0.25">
      <c r="A1791" s="10" t="s">
        <v>638</v>
      </c>
      <c r="B1791" s="7" t="s">
        <v>2325</v>
      </c>
    </row>
    <row r="1792" spans="1:2" x14ac:dyDescent="0.25">
      <c r="A1792" s="10" t="s">
        <v>122</v>
      </c>
      <c r="B1792" s="7" t="s">
        <v>2325</v>
      </c>
    </row>
    <row r="1793" spans="1:2" x14ac:dyDescent="0.25">
      <c r="A1793" s="10" t="s">
        <v>311</v>
      </c>
      <c r="B1793" s="7" t="s">
        <v>2325</v>
      </c>
    </row>
    <row r="1794" spans="1:2" x14ac:dyDescent="0.25">
      <c r="A1794" s="10" t="s">
        <v>1115</v>
      </c>
      <c r="B1794" s="7" t="s">
        <v>2325</v>
      </c>
    </row>
    <row r="1795" spans="1:2" x14ac:dyDescent="0.25">
      <c r="A1795" s="10" t="s">
        <v>323</v>
      </c>
      <c r="B1795" s="7" t="s">
        <v>2325</v>
      </c>
    </row>
    <row r="1796" spans="1:2" x14ac:dyDescent="0.25">
      <c r="A1796" s="10" t="s">
        <v>1062</v>
      </c>
      <c r="B1796" s="7" t="s">
        <v>2325</v>
      </c>
    </row>
    <row r="1797" spans="1:2" x14ac:dyDescent="0.25">
      <c r="A1797" s="10" t="s">
        <v>2169</v>
      </c>
      <c r="B1797" s="7" t="s">
        <v>2325</v>
      </c>
    </row>
    <row r="1798" spans="1:2" x14ac:dyDescent="0.25">
      <c r="A1798" s="10" t="s">
        <v>2170</v>
      </c>
      <c r="B1798" s="7" t="s">
        <v>2325</v>
      </c>
    </row>
    <row r="1799" spans="1:2" x14ac:dyDescent="0.25">
      <c r="A1799" s="10" t="s">
        <v>763</v>
      </c>
      <c r="B1799" s="7" t="s">
        <v>2325</v>
      </c>
    </row>
    <row r="1800" spans="1:2" x14ac:dyDescent="0.25">
      <c r="A1800" s="10" t="s">
        <v>2171</v>
      </c>
      <c r="B1800" s="7" t="s">
        <v>2325</v>
      </c>
    </row>
    <row r="1801" spans="1:2" x14ac:dyDescent="0.25">
      <c r="A1801" s="10" t="s">
        <v>687</v>
      </c>
      <c r="B1801" s="7" t="s">
        <v>2325</v>
      </c>
    </row>
    <row r="1802" spans="1:2" x14ac:dyDescent="0.25">
      <c r="A1802" s="10" t="s">
        <v>933</v>
      </c>
      <c r="B1802" s="7" t="s">
        <v>2325</v>
      </c>
    </row>
    <row r="1803" spans="1:2" x14ac:dyDescent="0.25">
      <c r="A1803" s="10" t="s">
        <v>941</v>
      </c>
      <c r="B1803" s="7" t="s">
        <v>2325</v>
      </c>
    </row>
    <row r="1804" spans="1:2" x14ac:dyDescent="0.25">
      <c r="A1804" s="10" t="s">
        <v>984</v>
      </c>
      <c r="B1804" s="7" t="s">
        <v>2325</v>
      </c>
    </row>
    <row r="1805" spans="1:2" x14ac:dyDescent="0.25">
      <c r="A1805" s="10" t="s">
        <v>365</v>
      </c>
      <c r="B1805" s="7" t="s">
        <v>2325</v>
      </c>
    </row>
    <row r="1806" spans="1:2" x14ac:dyDescent="0.25">
      <c r="A1806" s="10" t="s">
        <v>968</v>
      </c>
      <c r="B1806" s="7" t="s">
        <v>2325</v>
      </c>
    </row>
    <row r="1807" spans="1:2" x14ac:dyDescent="0.25">
      <c r="A1807" s="10" t="s">
        <v>1024</v>
      </c>
      <c r="B1807" s="7" t="s">
        <v>2325</v>
      </c>
    </row>
    <row r="1808" spans="1:2" x14ac:dyDescent="0.25">
      <c r="A1808" s="10" t="s">
        <v>1073</v>
      </c>
      <c r="B1808" s="7" t="s">
        <v>2325</v>
      </c>
    </row>
    <row r="1809" spans="1:2" x14ac:dyDescent="0.25">
      <c r="A1809" s="10" t="s">
        <v>2172</v>
      </c>
      <c r="B1809" s="7" t="s">
        <v>2325</v>
      </c>
    </row>
    <row r="1810" spans="1:2" x14ac:dyDescent="0.25">
      <c r="A1810" s="10" t="s">
        <v>2173</v>
      </c>
      <c r="B1810" s="7" t="s">
        <v>2325</v>
      </c>
    </row>
    <row r="1811" spans="1:2" x14ac:dyDescent="0.25">
      <c r="A1811" s="10" t="s">
        <v>2174</v>
      </c>
      <c r="B1811" s="7" t="s">
        <v>2325</v>
      </c>
    </row>
    <row r="1812" spans="1:2" x14ac:dyDescent="0.25">
      <c r="A1812" s="10" t="s">
        <v>651</v>
      </c>
      <c r="B1812" s="7" t="s">
        <v>2325</v>
      </c>
    </row>
    <row r="1813" spans="1:2" x14ac:dyDescent="0.25">
      <c r="A1813" s="10" t="s">
        <v>2175</v>
      </c>
      <c r="B1813" s="7" t="s">
        <v>2325</v>
      </c>
    </row>
    <row r="1814" spans="1:2" x14ac:dyDescent="0.25">
      <c r="A1814" s="10" t="s">
        <v>266</v>
      </c>
      <c r="B1814" s="7" t="s">
        <v>2325</v>
      </c>
    </row>
    <row r="1815" spans="1:2" x14ac:dyDescent="0.25">
      <c r="A1815" s="10" t="s">
        <v>494</v>
      </c>
      <c r="B1815" s="7" t="s">
        <v>2325</v>
      </c>
    </row>
    <row r="1816" spans="1:2" x14ac:dyDescent="0.25">
      <c r="A1816" s="10" t="s">
        <v>2176</v>
      </c>
      <c r="B1816" s="7" t="s">
        <v>2325</v>
      </c>
    </row>
    <row r="1817" spans="1:2" x14ac:dyDescent="0.25">
      <c r="A1817" s="10" t="s">
        <v>244</v>
      </c>
      <c r="B1817" s="7" t="s">
        <v>2325</v>
      </c>
    </row>
    <row r="1818" spans="1:2" x14ac:dyDescent="0.25">
      <c r="A1818" s="10" t="s">
        <v>2177</v>
      </c>
      <c r="B1818" s="7" t="s">
        <v>2325</v>
      </c>
    </row>
    <row r="1819" spans="1:2" x14ac:dyDescent="0.25">
      <c r="A1819" s="10" t="s">
        <v>1035</v>
      </c>
      <c r="B1819" s="7" t="s">
        <v>2325</v>
      </c>
    </row>
    <row r="1820" spans="1:2" x14ac:dyDescent="0.25">
      <c r="A1820" s="10" t="s">
        <v>234</v>
      </c>
      <c r="B1820" s="7" t="s">
        <v>2325</v>
      </c>
    </row>
    <row r="1821" spans="1:2" x14ac:dyDescent="0.25">
      <c r="A1821" s="10" t="s">
        <v>585</v>
      </c>
      <c r="B1821" s="7" t="s">
        <v>2325</v>
      </c>
    </row>
    <row r="1822" spans="1:2" x14ac:dyDescent="0.25">
      <c r="A1822" s="10" t="s">
        <v>217</v>
      </c>
      <c r="B1822" s="7" t="s">
        <v>2325</v>
      </c>
    </row>
    <row r="1823" spans="1:2" x14ac:dyDescent="0.25">
      <c r="A1823" s="10" t="s">
        <v>95</v>
      </c>
      <c r="B1823" s="7" t="s">
        <v>2325</v>
      </c>
    </row>
    <row r="1824" spans="1:2" x14ac:dyDescent="0.25">
      <c r="A1824" s="10" t="s">
        <v>2178</v>
      </c>
      <c r="B1824" s="7" t="s">
        <v>2325</v>
      </c>
    </row>
    <row r="1825" spans="1:2" x14ac:dyDescent="0.25">
      <c r="A1825" s="10" t="s">
        <v>374</v>
      </c>
      <c r="B1825" s="7" t="s">
        <v>2325</v>
      </c>
    </row>
    <row r="1826" spans="1:2" x14ac:dyDescent="0.25">
      <c r="A1826" s="10" t="s">
        <v>1022</v>
      </c>
      <c r="B1826" s="7" t="s">
        <v>2325</v>
      </c>
    </row>
    <row r="1827" spans="1:2" x14ac:dyDescent="0.25">
      <c r="A1827" s="10" t="s">
        <v>31</v>
      </c>
      <c r="B1827" s="7" t="s">
        <v>2325</v>
      </c>
    </row>
    <row r="1828" spans="1:2" x14ac:dyDescent="0.25">
      <c r="A1828" s="10" t="s">
        <v>563</v>
      </c>
      <c r="B1828" s="7" t="s">
        <v>2325</v>
      </c>
    </row>
    <row r="1829" spans="1:2" x14ac:dyDescent="0.25">
      <c r="A1829" s="10" t="s">
        <v>2179</v>
      </c>
      <c r="B1829" s="7" t="s">
        <v>2325</v>
      </c>
    </row>
    <row r="1830" spans="1:2" x14ac:dyDescent="0.25">
      <c r="A1830" s="10" t="s">
        <v>203</v>
      </c>
      <c r="B1830" s="7" t="s">
        <v>2325</v>
      </c>
    </row>
    <row r="1831" spans="1:2" x14ac:dyDescent="0.25">
      <c r="A1831" s="10" t="s">
        <v>318</v>
      </c>
      <c r="B1831" s="7" t="s">
        <v>2325</v>
      </c>
    </row>
    <row r="1832" spans="1:2" x14ac:dyDescent="0.25">
      <c r="A1832" s="10" t="s">
        <v>429</v>
      </c>
      <c r="B1832" s="7" t="s">
        <v>2325</v>
      </c>
    </row>
    <row r="1833" spans="1:2" x14ac:dyDescent="0.25">
      <c r="A1833" s="10" t="s">
        <v>749</v>
      </c>
      <c r="B1833" s="7" t="s">
        <v>2325</v>
      </c>
    </row>
    <row r="1834" spans="1:2" x14ac:dyDescent="0.25">
      <c r="A1834" s="10" t="s">
        <v>385</v>
      </c>
      <c r="B1834" s="7" t="s">
        <v>2325</v>
      </c>
    </row>
    <row r="1835" spans="1:2" x14ac:dyDescent="0.25">
      <c r="A1835" s="10" t="s">
        <v>2180</v>
      </c>
      <c r="B1835" s="7" t="s">
        <v>2325</v>
      </c>
    </row>
    <row r="1836" spans="1:2" x14ac:dyDescent="0.25">
      <c r="A1836" s="10" t="s">
        <v>2181</v>
      </c>
      <c r="B1836" s="7" t="s">
        <v>2325</v>
      </c>
    </row>
    <row r="1837" spans="1:2" x14ac:dyDescent="0.25">
      <c r="A1837" s="10" t="s">
        <v>2182</v>
      </c>
      <c r="B1837" s="7" t="s">
        <v>2325</v>
      </c>
    </row>
    <row r="1838" spans="1:2" x14ac:dyDescent="0.25">
      <c r="A1838" s="10" t="s">
        <v>619</v>
      </c>
      <c r="B1838" s="7" t="s">
        <v>2325</v>
      </c>
    </row>
    <row r="1839" spans="1:2" x14ac:dyDescent="0.25">
      <c r="A1839" s="10" t="s">
        <v>351</v>
      </c>
      <c r="B1839" s="7" t="s">
        <v>2325</v>
      </c>
    </row>
    <row r="1840" spans="1:2" x14ac:dyDescent="0.25">
      <c r="A1840" s="10" t="s">
        <v>2183</v>
      </c>
      <c r="B1840" s="7" t="s">
        <v>2325</v>
      </c>
    </row>
    <row r="1841" spans="1:2" x14ac:dyDescent="0.25">
      <c r="A1841" s="10" t="s">
        <v>1256</v>
      </c>
      <c r="B1841" s="7" t="s">
        <v>2325</v>
      </c>
    </row>
    <row r="1842" spans="1:2" x14ac:dyDescent="0.25">
      <c r="A1842" s="10" t="s">
        <v>32</v>
      </c>
      <c r="B1842" s="7" t="s">
        <v>2325</v>
      </c>
    </row>
    <row r="1843" spans="1:2" x14ac:dyDescent="0.25">
      <c r="A1843" s="10" t="s">
        <v>582</v>
      </c>
      <c r="B1843" s="7" t="s">
        <v>2325</v>
      </c>
    </row>
    <row r="1844" spans="1:2" x14ac:dyDescent="0.25">
      <c r="A1844" s="10" t="s">
        <v>2184</v>
      </c>
      <c r="B1844" s="7" t="s">
        <v>2325</v>
      </c>
    </row>
    <row r="1845" spans="1:2" x14ac:dyDescent="0.25">
      <c r="A1845" s="10" t="s">
        <v>975</v>
      </c>
      <c r="B1845" s="7" t="s">
        <v>2325</v>
      </c>
    </row>
    <row r="1846" spans="1:2" x14ac:dyDescent="0.25">
      <c r="A1846" s="10" t="s">
        <v>1213</v>
      </c>
      <c r="B1846" s="7" t="s">
        <v>2325</v>
      </c>
    </row>
    <row r="1847" spans="1:2" x14ac:dyDescent="0.25">
      <c r="A1847" s="10" t="s">
        <v>2185</v>
      </c>
      <c r="B1847" s="7" t="s">
        <v>2325</v>
      </c>
    </row>
    <row r="1848" spans="1:2" x14ac:dyDescent="0.25">
      <c r="A1848" s="10" t="s">
        <v>2186</v>
      </c>
      <c r="B1848" s="7" t="s">
        <v>2325</v>
      </c>
    </row>
    <row r="1849" spans="1:2" x14ac:dyDescent="0.25">
      <c r="A1849" s="10" t="s">
        <v>510</v>
      </c>
      <c r="B1849" s="7" t="s">
        <v>2325</v>
      </c>
    </row>
    <row r="1850" spans="1:2" x14ac:dyDescent="0.25">
      <c r="A1850" s="10" t="s">
        <v>531</v>
      </c>
      <c r="B1850" s="7" t="s">
        <v>2325</v>
      </c>
    </row>
    <row r="1851" spans="1:2" x14ac:dyDescent="0.25">
      <c r="A1851" s="10" t="s">
        <v>2187</v>
      </c>
      <c r="B1851" s="7" t="s">
        <v>2325</v>
      </c>
    </row>
    <row r="1852" spans="1:2" x14ac:dyDescent="0.25">
      <c r="A1852" s="10" t="s">
        <v>159</v>
      </c>
      <c r="B1852" s="7" t="s">
        <v>2325</v>
      </c>
    </row>
    <row r="1853" spans="1:2" x14ac:dyDescent="0.25">
      <c r="A1853" s="10" t="s">
        <v>213</v>
      </c>
      <c r="B1853" s="7" t="s">
        <v>2325</v>
      </c>
    </row>
    <row r="1854" spans="1:2" x14ac:dyDescent="0.25">
      <c r="A1854" s="10" t="s">
        <v>2188</v>
      </c>
      <c r="B1854" s="7" t="s">
        <v>2325</v>
      </c>
    </row>
    <row r="1855" spans="1:2" x14ac:dyDescent="0.25">
      <c r="A1855" s="10" t="s">
        <v>2189</v>
      </c>
      <c r="B1855" s="7" t="s">
        <v>2325</v>
      </c>
    </row>
    <row r="1856" spans="1:2" x14ac:dyDescent="0.25">
      <c r="A1856" s="10" t="s">
        <v>2190</v>
      </c>
      <c r="B1856" s="7" t="s">
        <v>2325</v>
      </c>
    </row>
    <row r="1857" spans="1:2" x14ac:dyDescent="0.25">
      <c r="A1857" s="10" t="s">
        <v>362</v>
      </c>
      <c r="B1857" s="7" t="s">
        <v>2325</v>
      </c>
    </row>
    <row r="1858" spans="1:2" x14ac:dyDescent="0.25">
      <c r="A1858" s="10" t="s">
        <v>303</v>
      </c>
      <c r="B1858" s="7" t="s">
        <v>2325</v>
      </c>
    </row>
    <row r="1859" spans="1:2" x14ac:dyDescent="0.25">
      <c r="A1859" s="10" t="s">
        <v>2191</v>
      </c>
      <c r="B1859" s="7" t="s">
        <v>2325</v>
      </c>
    </row>
    <row r="1860" spans="1:2" x14ac:dyDescent="0.25">
      <c r="A1860" s="10" t="s">
        <v>2192</v>
      </c>
      <c r="B1860" s="7" t="s">
        <v>2325</v>
      </c>
    </row>
    <row r="1861" spans="1:2" x14ac:dyDescent="0.25">
      <c r="A1861" s="10" t="s">
        <v>822</v>
      </c>
      <c r="B1861" s="7" t="s">
        <v>2325</v>
      </c>
    </row>
    <row r="1862" spans="1:2" x14ac:dyDescent="0.25">
      <c r="A1862" s="10" t="s">
        <v>780</v>
      </c>
      <c r="B1862" s="7" t="s">
        <v>2325</v>
      </c>
    </row>
    <row r="1863" spans="1:2" x14ac:dyDescent="0.25">
      <c r="A1863" s="10" t="s">
        <v>2193</v>
      </c>
      <c r="B1863" s="7" t="s">
        <v>2325</v>
      </c>
    </row>
    <row r="1864" spans="1:2" x14ac:dyDescent="0.25">
      <c r="A1864" s="10" t="s">
        <v>2194</v>
      </c>
      <c r="B1864" s="7" t="s">
        <v>2325</v>
      </c>
    </row>
    <row r="1865" spans="1:2" x14ac:dyDescent="0.25">
      <c r="A1865" s="10" t="s">
        <v>2195</v>
      </c>
      <c r="B1865" s="7" t="s">
        <v>2325</v>
      </c>
    </row>
    <row r="1866" spans="1:2" x14ac:dyDescent="0.25">
      <c r="A1866" s="10" t="s">
        <v>1063</v>
      </c>
      <c r="B1866" s="7" t="s">
        <v>2325</v>
      </c>
    </row>
    <row r="1867" spans="1:2" x14ac:dyDescent="0.25">
      <c r="A1867" s="10" t="s">
        <v>550</v>
      </c>
      <c r="B1867" s="7" t="s">
        <v>2325</v>
      </c>
    </row>
    <row r="1868" spans="1:2" x14ac:dyDescent="0.25">
      <c r="A1868" s="10" t="s">
        <v>2196</v>
      </c>
      <c r="B1868" s="7" t="s">
        <v>2325</v>
      </c>
    </row>
    <row r="1869" spans="1:2" x14ac:dyDescent="0.25">
      <c r="A1869" s="10" t="s">
        <v>353</v>
      </c>
      <c r="B1869" s="7" t="s">
        <v>2325</v>
      </c>
    </row>
    <row r="1870" spans="1:2" x14ac:dyDescent="0.25">
      <c r="A1870" s="10" t="s">
        <v>1034</v>
      </c>
      <c r="B1870" s="7" t="s">
        <v>2325</v>
      </c>
    </row>
    <row r="1871" spans="1:2" x14ac:dyDescent="0.25">
      <c r="A1871" s="10" t="s">
        <v>208</v>
      </c>
      <c r="B1871" s="7" t="s">
        <v>2325</v>
      </c>
    </row>
    <row r="1872" spans="1:2" x14ac:dyDescent="0.25">
      <c r="A1872" s="10" t="s">
        <v>387</v>
      </c>
      <c r="B1872" s="7" t="s">
        <v>2325</v>
      </c>
    </row>
    <row r="1873" spans="1:2" x14ac:dyDescent="0.25">
      <c r="A1873" s="10" t="s">
        <v>2197</v>
      </c>
      <c r="B1873" s="7" t="s">
        <v>2325</v>
      </c>
    </row>
    <row r="1874" spans="1:2" x14ac:dyDescent="0.25">
      <c r="A1874" s="10" t="s">
        <v>2198</v>
      </c>
      <c r="B1874" s="7" t="s">
        <v>2325</v>
      </c>
    </row>
    <row r="1875" spans="1:2" x14ac:dyDescent="0.25">
      <c r="A1875" s="10" t="s">
        <v>191</v>
      </c>
      <c r="B1875" s="7" t="s">
        <v>2325</v>
      </c>
    </row>
    <row r="1876" spans="1:2" x14ac:dyDescent="0.25">
      <c r="A1876" s="10" t="s">
        <v>1037</v>
      </c>
      <c r="B1876" s="7" t="s">
        <v>2325</v>
      </c>
    </row>
    <row r="1877" spans="1:2" x14ac:dyDescent="0.25">
      <c r="A1877" s="10" t="s">
        <v>2199</v>
      </c>
      <c r="B1877" s="7" t="s">
        <v>2325</v>
      </c>
    </row>
    <row r="1878" spans="1:2" x14ac:dyDescent="0.25">
      <c r="A1878" s="10" t="s">
        <v>655</v>
      </c>
      <c r="B1878" s="7" t="s">
        <v>2325</v>
      </c>
    </row>
    <row r="1879" spans="1:2" x14ac:dyDescent="0.25">
      <c r="A1879" s="10" t="s">
        <v>469</v>
      </c>
      <c r="B1879" s="7" t="s">
        <v>2325</v>
      </c>
    </row>
    <row r="1880" spans="1:2" x14ac:dyDescent="0.25">
      <c r="A1880" s="10" t="s">
        <v>1192</v>
      </c>
      <c r="B1880" s="7" t="s">
        <v>2325</v>
      </c>
    </row>
    <row r="1881" spans="1:2" x14ac:dyDescent="0.25">
      <c r="A1881" s="10" t="s">
        <v>2200</v>
      </c>
      <c r="B1881" s="7" t="s">
        <v>2325</v>
      </c>
    </row>
    <row r="1882" spans="1:2" x14ac:dyDescent="0.25">
      <c r="A1882" s="10" t="s">
        <v>2201</v>
      </c>
      <c r="B1882" s="7" t="s">
        <v>2325</v>
      </c>
    </row>
    <row r="1883" spans="1:2" x14ac:dyDescent="0.25">
      <c r="A1883" s="10" t="s">
        <v>366</v>
      </c>
      <c r="B1883" s="7" t="s">
        <v>2325</v>
      </c>
    </row>
    <row r="1884" spans="1:2" x14ac:dyDescent="0.25">
      <c r="A1884" s="10" t="s">
        <v>536</v>
      </c>
      <c r="B1884" s="7" t="s">
        <v>2325</v>
      </c>
    </row>
    <row r="1885" spans="1:2" x14ac:dyDescent="0.25">
      <c r="A1885" s="10" t="s">
        <v>2202</v>
      </c>
      <c r="B1885" s="7" t="s">
        <v>2325</v>
      </c>
    </row>
    <row r="1886" spans="1:2" x14ac:dyDescent="0.25">
      <c r="A1886" s="10" t="s">
        <v>661</v>
      </c>
      <c r="B1886" s="7" t="s">
        <v>2325</v>
      </c>
    </row>
    <row r="1887" spans="1:2" x14ac:dyDescent="0.25">
      <c r="A1887" s="10" t="s">
        <v>646</v>
      </c>
      <c r="B1887" s="7" t="s">
        <v>2325</v>
      </c>
    </row>
    <row r="1888" spans="1:2" x14ac:dyDescent="0.25">
      <c r="A1888" s="10" t="s">
        <v>835</v>
      </c>
      <c r="B1888" s="7" t="s">
        <v>2325</v>
      </c>
    </row>
    <row r="1889" spans="1:2" x14ac:dyDescent="0.25">
      <c r="A1889" s="10" t="s">
        <v>390</v>
      </c>
      <c r="B1889" s="7" t="s">
        <v>2325</v>
      </c>
    </row>
    <row r="1890" spans="1:2" x14ac:dyDescent="0.25">
      <c r="A1890" s="10" t="s">
        <v>27</v>
      </c>
      <c r="B1890" s="7" t="s">
        <v>2325</v>
      </c>
    </row>
    <row r="1891" spans="1:2" x14ac:dyDescent="0.25">
      <c r="A1891" s="10" t="s">
        <v>617</v>
      </c>
      <c r="B1891" s="7" t="s">
        <v>2325</v>
      </c>
    </row>
    <row r="1892" spans="1:2" x14ac:dyDescent="0.25">
      <c r="A1892" s="10" t="s">
        <v>132</v>
      </c>
      <c r="B1892" s="7" t="s">
        <v>2325</v>
      </c>
    </row>
    <row r="1893" spans="1:2" x14ac:dyDescent="0.25">
      <c r="A1893" s="10" t="s">
        <v>2203</v>
      </c>
      <c r="B1893" s="7" t="s">
        <v>2325</v>
      </c>
    </row>
    <row r="1894" spans="1:2" x14ac:dyDescent="0.25">
      <c r="A1894" s="10" t="s">
        <v>844</v>
      </c>
      <c r="B1894" s="7" t="s">
        <v>2325</v>
      </c>
    </row>
    <row r="1895" spans="1:2" x14ac:dyDescent="0.25">
      <c r="A1895" s="10" t="s">
        <v>2204</v>
      </c>
      <c r="B1895" s="7" t="s">
        <v>2325</v>
      </c>
    </row>
    <row r="1896" spans="1:2" x14ac:dyDescent="0.25">
      <c r="A1896" s="10" t="s">
        <v>622</v>
      </c>
      <c r="B1896" s="7" t="s">
        <v>2325</v>
      </c>
    </row>
    <row r="1897" spans="1:2" x14ac:dyDescent="0.25">
      <c r="A1897" s="10" t="s">
        <v>674</v>
      </c>
      <c r="B1897" s="7" t="s">
        <v>2325</v>
      </c>
    </row>
    <row r="1898" spans="1:2" x14ac:dyDescent="0.25">
      <c r="A1898" s="10" t="s">
        <v>107</v>
      </c>
      <c r="B1898" s="7" t="s">
        <v>2325</v>
      </c>
    </row>
    <row r="1899" spans="1:2" x14ac:dyDescent="0.25">
      <c r="A1899" s="10" t="s">
        <v>322</v>
      </c>
      <c r="B1899" s="7" t="s">
        <v>2325</v>
      </c>
    </row>
    <row r="1900" spans="1:2" x14ac:dyDescent="0.25">
      <c r="A1900" s="10" t="s">
        <v>970</v>
      </c>
      <c r="B1900" s="7" t="s">
        <v>2325</v>
      </c>
    </row>
    <row r="1901" spans="1:2" x14ac:dyDescent="0.25">
      <c r="A1901" s="10" t="s">
        <v>2205</v>
      </c>
      <c r="B1901" s="7" t="s">
        <v>2325</v>
      </c>
    </row>
    <row r="1902" spans="1:2" x14ac:dyDescent="0.25">
      <c r="A1902" s="10" t="s">
        <v>189</v>
      </c>
      <c r="B1902" s="7" t="s">
        <v>2325</v>
      </c>
    </row>
    <row r="1903" spans="1:2" x14ac:dyDescent="0.25">
      <c r="A1903" s="10" t="s">
        <v>697</v>
      </c>
      <c r="B1903" s="7" t="s">
        <v>2325</v>
      </c>
    </row>
    <row r="1904" spans="1:2" x14ac:dyDescent="0.25">
      <c r="A1904" s="10" t="s">
        <v>265</v>
      </c>
      <c r="B1904" s="7" t="s">
        <v>2325</v>
      </c>
    </row>
    <row r="1905" spans="1:2" x14ac:dyDescent="0.25">
      <c r="A1905" s="10" t="s">
        <v>1259</v>
      </c>
      <c r="B1905" s="7" t="s">
        <v>2325</v>
      </c>
    </row>
    <row r="1906" spans="1:2" x14ac:dyDescent="0.25">
      <c r="A1906" s="10" t="s">
        <v>125</v>
      </c>
      <c r="B1906" s="7" t="s">
        <v>2325</v>
      </c>
    </row>
    <row r="1907" spans="1:2" x14ac:dyDescent="0.25">
      <c r="A1907" s="10" t="s">
        <v>355</v>
      </c>
      <c r="B1907" s="7" t="s">
        <v>2325</v>
      </c>
    </row>
    <row r="1908" spans="1:2" x14ac:dyDescent="0.25">
      <c r="A1908" s="10" t="s">
        <v>916</v>
      </c>
      <c r="B1908" s="7" t="s">
        <v>2325</v>
      </c>
    </row>
    <row r="1909" spans="1:2" x14ac:dyDescent="0.25">
      <c r="A1909" s="10" t="s">
        <v>540</v>
      </c>
      <c r="B1909" s="7" t="s">
        <v>2325</v>
      </c>
    </row>
    <row r="1910" spans="1:2" x14ac:dyDescent="0.25">
      <c r="A1910" s="10" t="s">
        <v>836</v>
      </c>
      <c r="B1910" s="7" t="s">
        <v>2325</v>
      </c>
    </row>
    <row r="1911" spans="1:2" x14ac:dyDescent="0.25">
      <c r="A1911" s="10" t="s">
        <v>2206</v>
      </c>
      <c r="B1911" s="7" t="s">
        <v>2325</v>
      </c>
    </row>
    <row r="1912" spans="1:2" x14ac:dyDescent="0.25">
      <c r="A1912" s="10" t="s">
        <v>2207</v>
      </c>
      <c r="B1912" s="7" t="s">
        <v>2325</v>
      </c>
    </row>
    <row r="1913" spans="1:2" x14ac:dyDescent="0.25">
      <c r="A1913" s="10" t="s">
        <v>588</v>
      </c>
      <c r="B1913" s="7" t="s">
        <v>2325</v>
      </c>
    </row>
    <row r="1914" spans="1:2" x14ac:dyDescent="0.25">
      <c r="A1914" s="10" t="s">
        <v>363</v>
      </c>
      <c r="B1914" s="7" t="s">
        <v>2325</v>
      </c>
    </row>
    <row r="1915" spans="1:2" x14ac:dyDescent="0.25">
      <c r="A1915" s="10" t="s">
        <v>947</v>
      </c>
      <c r="B1915" s="7" t="s">
        <v>2325</v>
      </c>
    </row>
    <row r="1916" spans="1:2" x14ac:dyDescent="0.25">
      <c r="A1916" s="10" t="s">
        <v>71</v>
      </c>
      <c r="B1916" s="7" t="s">
        <v>2325</v>
      </c>
    </row>
    <row r="1917" spans="1:2" x14ac:dyDescent="0.25">
      <c r="A1917" s="10" t="s">
        <v>869</v>
      </c>
      <c r="B1917" s="7" t="s">
        <v>2325</v>
      </c>
    </row>
    <row r="1918" spans="1:2" x14ac:dyDescent="0.25">
      <c r="A1918" s="10" t="s">
        <v>2208</v>
      </c>
      <c r="B1918" s="7" t="s">
        <v>2325</v>
      </c>
    </row>
    <row r="1919" spans="1:2" x14ac:dyDescent="0.25">
      <c r="A1919" s="10" t="s">
        <v>762</v>
      </c>
      <c r="B1919" s="7" t="s">
        <v>2325</v>
      </c>
    </row>
    <row r="1920" spans="1:2" x14ac:dyDescent="0.25">
      <c r="A1920" s="10" t="s">
        <v>1134</v>
      </c>
      <c r="B1920" s="7" t="s">
        <v>2325</v>
      </c>
    </row>
    <row r="1921" spans="1:2" x14ac:dyDescent="0.25">
      <c r="A1921" s="10" t="s">
        <v>858</v>
      </c>
      <c r="B1921" s="7" t="s">
        <v>2325</v>
      </c>
    </row>
    <row r="1922" spans="1:2" x14ac:dyDescent="0.25">
      <c r="A1922" s="10" t="s">
        <v>2209</v>
      </c>
      <c r="B1922" s="7" t="s">
        <v>2325</v>
      </c>
    </row>
    <row r="1923" spans="1:2" x14ac:dyDescent="0.25">
      <c r="A1923" s="10" t="s">
        <v>2210</v>
      </c>
      <c r="B1923" s="7" t="s">
        <v>2325</v>
      </c>
    </row>
    <row r="1924" spans="1:2" x14ac:dyDescent="0.25">
      <c r="A1924" s="10" t="s">
        <v>727</v>
      </c>
      <c r="B1924" s="7" t="s">
        <v>2325</v>
      </c>
    </row>
    <row r="1925" spans="1:2" x14ac:dyDescent="0.25">
      <c r="A1925" s="10" t="s">
        <v>834</v>
      </c>
      <c r="B1925" s="7" t="s">
        <v>2325</v>
      </c>
    </row>
    <row r="1926" spans="1:2" x14ac:dyDescent="0.25">
      <c r="A1926" s="10" t="s">
        <v>768</v>
      </c>
      <c r="B1926" s="7" t="s">
        <v>2325</v>
      </c>
    </row>
    <row r="1927" spans="1:2" x14ac:dyDescent="0.25">
      <c r="A1927" s="10" t="s">
        <v>2211</v>
      </c>
      <c r="B1927" s="7" t="s">
        <v>2325</v>
      </c>
    </row>
    <row r="1928" spans="1:2" x14ac:dyDescent="0.25">
      <c r="A1928" s="10" t="s">
        <v>733</v>
      </c>
      <c r="B1928" s="7" t="s">
        <v>2325</v>
      </c>
    </row>
    <row r="1929" spans="1:2" x14ac:dyDescent="0.25">
      <c r="A1929" s="10" t="s">
        <v>500</v>
      </c>
      <c r="B1929" s="7" t="s">
        <v>2325</v>
      </c>
    </row>
    <row r="1930" spans="1:2" x14ac:dyDescent="0.25">
      <c r="A1930" s="10" t="s">
        <v>734</v>
      </c>
      <c r="B1930" s="7" t="s">
        <v>2325</v>
      </c>
    </row>
    <row r="1931" spans="1:2" x14ac:dyDescent="0.25">
      <c r="A1931" s="10" t="s">
        <v>2212</v>
      </c>
      <c r="B1931" s="7" t="s">
        <v>2325</v>
      </c>
    </row>
    <row r="1932" spans="1:2" x14ac:dyDescent="0.25">
      <c r="A1932" s="10" t="s">
        <v>1044</v>
      </c>
      <c r="B1932" s="7" t="s">
        <v>2325</v>
      </c>
    </row>
    <row r="1933" spans="1:2" x14ac:dyDescent="0.25">
      <c r="A1933" s="10" t="s">
        <v>246</v>
      </c>
      <c r="B1933" s="7" t="s">
        <v>2325</v>
      </c>
    </row>
    <row r="1934" spans="1:2" x14ac:dyDescent="0.25">
      <c r="A1934" s="10" t="s">
        <v>327</v>
      </c>
      <c r="B1934" s="7" t="s">
        <v>2325</v>
      </c>
    </row>
    <row r="1935" spans="1:2" x14ac:dyDescent="0.25">
      <c r="A1935" s="10" t="s">
        <v>379</v>
      </c>
      <c r="B1935" s="7" t="s">
        <v>2325</v>
      </c>
    </row>
    <row r="1936" spans="1:2" x14ac:dyDescent="0.25">
      <c r="A1936" s="10" t="s">
        <v>496</v>
      </c>
      <c r="B1936" s="7" t="s">
        <v>2325</v>
      </c>
    </row>
    <row r="1937" spans="1:2" x14ac:dyDescent="0.25">
      <c r="A1937" s="10" t="s">
        <v>2213</v>
      </c>
      <c r="B1937" s="7" t="s">
        <v>2325</v>
      </c>
    </row>
    <row r="1938" spans="1:2" x14ac:dyDescent="0.25">
      <c r="A1938" s="10" t="s">
        <v>875</v>
      </c>
      <c r="B1938" s="7" t="s">
        <v>2325</v>
      </c>
    </row>
    <row r="1939" spans="1:2" x14ac:dyDescent="0.25">
      <c r="A1939" s="10" t="s">
        <v>2214</v>
      </c>
      <c r="B1939" s="7" t="s">
        <v>2325</v>
      </c>
    </row>
    <row r="1940" spans="1:2" x14ac:dyDescent="0.25">
      <c r="A1940" s="10" t="s">
        <v>2215</v>
      </c>
      <c r="B1940" s="7" t="s">
        <v>2325</v>
      </c>
    </row>
    <row r="1941" spans="1:2" x14ac:dyDescent="0.25">
      <c r="A1941" s="10" t="s">
        <v>2216</v>
      </c>
      <c r="B1941" s="7" t="s">
        <v>2325</v>
      </c>
    </row>
    <row r="1942" spans="1:2" x14ac:dyDescent="0.25">
      <c r="A1942" s="10" t="s">
        <v>2217</v>
      </c>
      <c r="B1942" s="7" t="s">
        <v>2325</v>
      </c>
    </row>
    <row r="1943" spans="1:2" x14ac:dyDescent="0.25">
      <c r="A1943" s="10" t="s">
        <v>846</v>
      </c>
      <c r="B1943" s="7" t="s">
        <v>2325</v>
      </c>
    </row>
    <row r="1944" spans="1:2" x14ac:dyDescent="0.25">
      <c r="A1944" s="10" t="s">
        <v>1137</v>
      </c>
      <c r="B1944" s="7" t="s">
        <v>2325</v>
      </c>
    </row>
    <row r="1945" spans="1:2" x14ac:dyDescent="0.25">
      <c r="A1945" s="10" t="s">
        <v>56</v>
      </c>
      <c r="B1945" s="7" t="s">
        <v>2325</v>
      </c>
    </row>
    <row r="1946" spans="1:2" x14ac:dyDescent="0.25">
      <c r="A1946" s="10" t="s">
        <v>1068</v>
      </c>
      <c r="B1946" s="7" t="s">
        <v>2325</v>
      </c>
    </row>
    <row r="1947" spans="1:2" x14ac:dyDescent="0.25">
      <c r="A1947" s="10" t="s">
        <v>955</v>
      </c>
      <c r="B1947" s="7" t="s">
        <v>2325</v>
      </c>
    </row>
    <row r="1948" spans="1:2" x14ac:dyDescent="0.25">
      <c r="A1948" s="10" t="s">
        <v>2218</v>
      </c>
      <c r="B1948" s="7" t="s">
        <v>2325</v>
      </c>
    </row>
    <row r="1949" spans="1:2" x14ac:dyDescent="0.25">
      <c r="A1949" s="10" t="s">
        <v>2219</v>
      </c>
      <c r="B1949" s="7" t="s">
        <v>2325</v>
      </c>
    </row>
    <row r="1950" spans="1:2" x14ac:dyDescent="0.25">
      <c r="A1950" s="10" t="s">
        <v>2220</v>
      </c>
      <c r="B1950" s="7" t="s">
        <v>2325</v>
      </c>
    </row>
    <row r="1951" spans="1:2" x14ac:dyDescent="0.25">
      <c r="A1951" s="10" t="s">
        <v>237</v>
      </c>
      <c r="B1951" s="7" t="s">
        <v>2325</v>
      </c>
    </row>
    <row r="1952" spans="1:2" x14ac:dyDescent="0.25">
      <c r="A1952" s="10" t="s">
        <v>373</v>
      </c>
      <c r="B1952" s="7" t="s">
        <v>2325</v>
      </c>
    </row>
    <row r="1953" spans="1:2" x14ac:dyDescent="0.25">
      <c r="A1953" s="10" t="s">
        <v>2221</v>
      </c>
      <c r="B1953" s="7" t="s">
        <v>2325</v>
      </c>
    </row>
    <row r="1954" spans="1:2" x14ac:dyDescent="0.25">
      <c r="A1954" s="10" t="s">
        <v>2222</v>
      </c>
      <c r="B1954" s="7" t="s">
        <v>2325</v>
      </c>
    </row>
    <row r="1955" spans="1:2" x14ac:dyDescent="0.25">
      <c r="A1955" s="10" t="s">
        <v>2223</v>
      </c>
      <c r="B1955" s="7" t="s">
        <v>2325</v>
      </c>
    </row>
    <row r="1956" spans="1:2" x14ac:dyDescent="0.25">
      <c r="A1956" s="10" t="s">
        <v>2224</v>
      </c>
      <c r="B1956" s="7" t="s">
        <v>2325</v>
      </c>
    </row>
    <row r="1957" spans="1:2" x14ac:dyDescent="0.25">
      <c r="A1957" s="10" t="s">
        <v>2225</v>
      </c>
      <c r="B1957" s="7" t="s">
        <v>2325</v>
      </c>
    </row>
    <row r="1958" spans="1:2" x14ac:dyDescent="0.25">
      <c r="A1958" s="10" t="s">
        <v>512</v>
      </c>
      <c r="B1958" s="7" t="s">
        <v>2325</v>
      </c>
    </row>
    <row r="1959" spans="1:2" x14ac:dyDescent="0.25">
      <c r="A1959" s="10" t="s">
        <v>871</v>
      </c>
      <c r="B1959" s="7" t="s">
        <v>2325</v>
      </c>
    </row>
    <row r="1960" spans="1:2" x14ac:dyDescent="0.25">
      <c r="A1960" s="10" t="s">
        <v>715</v>
      </c>
      <c r="B1960" s="7" t="s">
        <v>2325</v>
      </c>
    </row>
    <row r="1961" spans="1:2" x14ac:dyDescent="0.25">
      <c r="A1961" s="10" t="s">
        <v>1021</v>
      </c>
      <c r="B1961" s="7" t="s">
        <v>2325</v>
      </c>
    </row>
    <row r="1962" spans="1:2" x14ac:dyDescent="0.25">
      <c r="A1962" s="10" t="s">
        <v>952</v>
      </c>
      <c r="B1962" s="7" t="s">
        <v>2325</v>
      </c>
    </row>
    <row r="1963" spans="1:2" x14ac:dyDescent="0.25">
      <c r="A1963" s="10" t="s">
        <v>415</v>
      </c>
      <c r="B1963" s="7" t="s">
        <v>2325</v>
      </c>
    </row>
    <row r="1964" spans="1:2" x14ac:dyDescent="0.25">
      <c r="A1964" s="10" t="s">
        <v>957</v>
      </c>
      <c r="B1964" s="7" t="s">
        <v>2325</v>
      </c>
    </row>
    <row r="1965" spans="1:2" x14ac:dyDescent="0.25">
      <c r="A1965" s="10" t="s">
        <v>2226</v>
      </c>
      <c r="B1965" s="7" t="s">
        <v>2325</v>
      </c>
    </row>
    <row r="1966" spans="1:2" x14ac:dyDescent="0.25">
      <c r="A1966" s="10" t="s">
        <v>471</v>
      </c>
      <c r="B1966" s="7" t="s">
        <v>2325</v>
      </c>
    </row>
    <row r="1967" spans="1:2" x14ac:dyDescent="0.25">
      <c r="A1967" s="10" t="s">
        <v>2227</v>
      </c>
      <c r="B1967" s="7" t="s">
        <v>2325</v>
      </c>
    </row>
    <row r="1968" spans="1:2" x14ac:dyDescent="0.25">
      <c r="A1968" s="10" t="s">
        <v>601</v>
      </c>
      <c r="B1968" s="7" t="s">
        <v>2325</v>
      </c>
    </row>
    <row r="1969" spans="1:2" x14ac:dyDescent="0.25">
      <c r="A1969" s="10" t="s">
        <v>154</v>
      </c>
      <c r="B1969" s="7" t="s">
        <v>2325</v>
      </c>
    </row>
    <row r="1970" spans="1:2" x14ac:dyDescent="0.25">
      <c r="A1970" s="10" t="s">
        <v>996</v>
      </c>
      <c r="B1970" s="7" t="s">
        <v>2325</v>
      </c>
    </row>
    <row r="1971" spans="1:2" x14ac:dyDescent="0.25">
      <c r="A1971" s="10" t="s">
        <v>1054</v>
      </c>
      <c r="B1971" s="7" t="s">
        <v>2325</v>
      </c>
    </row>
    <row r="1972" spans="1:2" x14ac:dyDescent="0.25">
      <c r="A1972" s="10" t="s">
        <v>105</v>
      </c>
      <c r="B1972" s="7" t="s">
        <v>2325</v>
      </c>
    </row>
    <row r="1973" spans="1:2" x14ac:dyDescent="0.25">
      <c r="A1973" s="10" t="s">
        <v>212</v>
      </c>
      <c r="B1973" s="7" t="s">
        <v>2325</v>
      </c>
    </row>
    <row r="1974" spans="1:2" x14ac:dyDescent="0.25">
      <c r="A1974" s="10" t="s">
        <v>1220</v>
      </c>
      <c r="B1974" s="7" t="s">
        <v>2325</v>
      </c>
    </row>
    <row r="1975" spans="1:2" x14ac:dyDescent="0.25">
      <c r="A1975" s="10" t="s">
        <v>375</v>
      </c>
      <c r="B1975" s="7" t="s">
        <v>2325</v>
      </c>
    </row>
    <row r="1976" spans="1:2" x14ac:dyDescent="0.25">
      <c r="A1976" s="10" t="s">
        <v>1007</v>
      </c>
      <c r="B1976" s="7" t="s">
        <v>2325</v>
      </c>
    </row>
    <row r="1977" spans="1:2" x14ac:dyDescent="0.25">
      <c r="A1977" s="10" t="s">
        <v>2228</v>
      </c>
      <c r="B1977" s="7" t="s">
        <v>2325</v>
      </c>
    </row>
    <row r="1978" spans="1:2" x14ac:dyDescent="0.25">
      <c r="A1978" s="10" t="s">
        <v>1090</v>
      </c>
      <c r="B1978" s="7" t="s">
        <v>2325</v>
      </c>
    </row>
    <row r="1979" spans="1:2" x14ac:dyDescent="0.25">
      <c r="A1979" s="10" t="s">
        <v>2229</v>
      </c>
      <c r="B1979" s="7" t="s">
        <v>2325</v>
      </c>
    </row>
    <row r="1980" spans="1:2" x14ac:dyDescent="0.25">
      <c r="A1980" s="10" t="s">
        <v>1121</v>
      </c>
      <c r="B1980" s="7" t="s">
        <v>2325</v>
      </c>
    </row>
    <row r="1981" spans="1:2" x14ac:dyDescent="0.25">
      <c r="A1981" s="10" t="s">
        <v>2230</v>
      </c>
      <c r="B1981" s="7" t="s">
        <v>2325</v>
      </c>
    </row>
    <row r="1982" spans="1:2" x14ac:dyDescent="0.25">
      <c r="A1982" s="10" t="s">
        <v>2231</v>
      </c>
      <c r="B1982" s="7" t="s">
        <v>2325</v>
      </c>
    </row>
    <row r="1983" spans="1:2" x14ac:dyDescent="0.25">
      <c r="A1983" s="10" t="s">
        <v>1174</v>
      </c>
      <c r="B1983" s="7" t="s">
        <v>2325</v>
      </c>
    </row>
    <row r="1984" spans="1:2" x14ac:dyDescent="0.25">
      <c r="A1984" s="10" t="s">
        <v>463</v>
      </c>
      <c r="B1984" s="7" t="s">
        <v>2325</v>
      </c>
    </row>
    <row r="1985" spans="1:2" x14ac:dyDescent="0.25">
      <c r="A1985" s="10" t="s">
        <v>397</v>
      </c>
      <c r="B1985" s="7" t="s">
        <v>2325</v>
      </c>
    </row>
    <row r="1986" spans="1:2" x14ac:dyDescent="0.25">
      <c r="A1986" s="10" t="s">
        <v>1119</v>
      </c>
      <c r="B1986" s="7" t="s">
        <v>2325</v>
      </c>
    </row>
    <row r="1987" spans="1:2" x14ac:dyDescent="0.25">
      <c r="A1987" s="10" t="s">
        <v>602</v>
      </c>
      <c r="B1987" s="7" t="s">
        <v>2325</v>
      </c>
    </row>
    <row r="1988" spans="1:2" x14ac:dyDescent="0.25">
      <c r="A1988" s="10" t="s">
        <v>2232</v>
      </c>
      <c r="B1988" s="7" t="s">
        <v>2325</v>
      </c>
    </row>
    <row r="1989" spans="1:2" x14ac:dyDescent="0.25">
      <c r="A1989" s="10" t="s">
        <v>409</v>
      </c>
      <c r="B1989" s="7" t="s">
        <v>2325</v>
      </c>
    </row>
    <row r="1990" spans="1:2" x14ac:dyDescent="0.25">
      <c r="A1990" s="10" t="s">
        <v>314</v>
      </c>
      <c r="B1990" s="7" t="s">
        <v>2325</v>
      </c>
    </row>
    <row r="1991" spans="1:2" x14ac:dyDescent="0.25">
      <c r="A1991" s="10" t="s">
        <v>847</v>
      </c>
      <c r="B1991" s="7" t="s">
        <v>2325</v>
      </c>
    </row>
    <row r="1992" spans="1:2" x14ac:dyDescent="0.25">
      <c r="A1992" s="10" t="s">
        <v>1019</v>
      </c>
      <c r="B1992" s="7" t="s">
        <v>2325</v>
      </c>
    </row>
    <row r="1993" spans="1:2" x14ac:dyDescent="0.25">
      <c r="A1993" s="10" t="s">
        <v>943</v>
      </c>
      <c r="B1993" s="7" t="s">
        <v>2325</v>
      </c>
    </row>
    <row r="1994" spans="1:2" x14ac:dyDescent="0.25">
      <c r="A1994" s="10" t="s">
        <v>196</v>
      </c>
      <c r="B1994" s="7" t="s">
        <v>2325</v>
      </c>
    </row>
    <row r="1995" spans="1:2" x14ac:dyDescent="0.25">
      <c r="A1995" s="10" t="s">
        <v>2233</v>
      </c>
      <c r="B1995" s="7" t="s">
        <v>2325</v>
      </c>
    </row>
    <row r="1996" spans="1:2" x14ac:dyDescent="0.25">
      <c r="A1996" s="10" t="s">
        <v>91</v>
      </c>
      <c r="B1996" s="7" t="s">
        <v>2325</v>
      </c>
    </row>
    <row r="1997" spans="1:2" x14ac:dyDescent="0.25">
      <c r="A1997" s="10" t="s">
        <v>1208</v>
      </c>
      <c r="B1997" s="7" t="s">
        <v>2325</v>
      </c>
    </row>
    <row r="1998" spans="1:2" x14ac:dyDescent="0.25">
      <c r="A1998" s="10" t="s">
        <v>2234</v>
      </c>
      <c r="B1998" s="7" t="s">
        <v>2325</v>
      </c>
    </row>
    <row r="1999" spans="1:2" x14ac:dyDescent="0.25">
      <c r="A1999" s="10" t="s">
        <v>979</v>
      </c>
      <c r="B1999" s="7" t="s">
        <v>2325</v>
      </c>
    </row>
    <row r="2000" spans="1:2" x14ac:dyDescent="0.25">
      <c r="A2000" s="10" t="s">
        <v>721</v>
      </c>
      <c r="B2000" s="7" t="s">
        <v>2325</v>
      </c>
    </row>
    <row r="2001" spans="1:2" x14ac:dyDescent="0.25">
      <c r="A2001" s="10" t="s">
        <v>1219</v>
      </c>
      <c r="B2001" s="7" t="s">
        <v>2325</v>
      </c>
    </row>
    <row r="2002" spans="1:2" x14ac:dyDescent="0.25">
      <c r="A2002" s="10" t="s">
        <v>1023</v>
      </c>
      <c r="B2002" s="7" t="s">
        <v>2325</v>
      </c>
    </row>
    <row r="2003" spans="1:2" x14ac:dyDescent="0.25">
      <c r="A2003" s="10" t="s">
        <v>391</v>
      </c>
      <c r="B2003" s="7" t="s">
        <v>2325</v>
      </c>
    </row>
    <row r="2004" spans="1:2" x14ac:dyDescent="0.25">
      <c r="A2004" s="10" t="s">
        <v>2235</v>
      </c>
      <c r="B2004" s="7" t="s">
        <v>2325</v>
      </c>
    </row>
    <row r="2005" spans="1:2" x14ac:dyDescent="0.25">
      <c r="A2005" s="10" t="s">
        <v>938</v>
      </c>
      <c r="B2005" s="7" t="s">
        <v>2325</v>
      </c>
    </row>
    <row r="2006" spans="1:2" x14ac:dyDescent="0.25">
      <c r="A2006" s="10" t="s">
        <v>445</v>
      </c>
      <c r="B2006" s="7" t="s">
        <v>2325</v>
      </c>
    </row>
    <row r="2007" spans="1:2" x14ac:dyDescent="0.25">
      <c r="A2007" s="10" t="s">
        <v>974</v>
      </c>
      <c r="B2007" s="7" t="s">
        <v>2325</v>
      </c>
    </row>
    <row r="2008" spans="1:2" x14ac:dyDescent="0.25">
      <c r="A2008" s="10" t="s">
        <v>2236</v>
      </c>
      <c r="B2008" s="7" t="s">
        <v>2325</v>
      </c>
    </row>
    <row r="2009" spans="1:2" x14ac:dyDescent="0.25">
      <c r="A2009" s="10" t="s">
        <v>2237</v>
      </c>
      <c r="B2009" s="7" t="s">
        <v>2325</v>
      </c>
    </row>
    <row r="2010" spans="1:2" x14ac:dyDescent="0.25">
      <c r="A2010" s="10" t="s">
        <v>2238</v>
      </c>
      <c r="B2010" s="7" t="s">
        <v>2325</v>
      </c>
    </row>
    <row r="2011" spans="1:2" x14ac:dyDescent="0.25">
      <c r="A2011" s="10" t="s">
        <v>2239</v>
      </c>
      <c r="B2011" s="7" t="s">
        <v>2325</v>
      </c>
    </row>
    <row r="2012" spans="1:2" x14ac:dyDescent="0.25">
      <c r="A2012" s="10" t="s">
        <v>732</v>
      </c>
      <c r="B2012" s="7" t="s">
        <v>2325</v>
      </c>
    </row>
    <row r="2013" spans="1:2" x14ac:dyDescent="0.25">
      <c r="A2013" s="10" t="s">
        <v>2240</v>
      </c>
      <c r="B2013" s="7" t="s">
        <v>2325</v>
      </c>
    </row>
    <row r="2014" spans="1:2" x14ac:dyDescent="0.25">
      <c r="A2014" s="10" t="s">
        <v>2241</v>
      </c>
      <c r="B2014" s="7" t="s">
        <v>2325</v>
      </c>
    </row>
    <row r="2015" spans="1:2" x14ac:dyDescent="0.25">
      <c r="A2015" s="10" t="s">
        <v>978</v>
      </c>
      <c r="B2015" s="7" t="s">
        <v>2325</v>
      </c>
    </row>
    <row r="2016" spans="1:2" x14ac:dyDescent="0.25">
      <c r="A2016" s="10" t="s">
        <v>2242</v>
      </c>
      <c r="B2016" s="7" t="s">
        <v>2325</v>
      </c>
    </row>
    <row r="2017" spans="1:2" x14ac:dyDescent="0.25">
      <c r="A2017" s="10" t="s">
        <v>1031</v>
      </c>
      <c r="B2017" s="7" t="s">
        <v>2325</v>
      </c>
    </row>
    <row r="2018" spans="1:2" x14ac:dyDescent="0.25">
      <c r="A2018" s="10" t="s">
        <v>609</v>
      </c>
      <c r="B2018" s="7" t="s">
        <v>2325</v>
      </c>
    </row>
    <row r="2019" spans="1:2" x14ac:dyDescent="0.25">
      <c r="A2019" s="10" t="s">
        <v>2243</v>
      </c>
      <c r="B2019" s="7" t="s">
        <v>2325</v>
      </c>
    </row>
    <row r="2020" spans="1:2" x14ac:dyDescent="0.25">
      <c r="A2020" s="10" t="s">
        <v>1060</v>
      </c>
      <c r="B2020" s="7" t="s">
        <v>2325</v>
      </c>
    </row>
    <row r="2021" spans="1:2" x14ac:dyDescent="0.25">
      <c r="A2021" s="10" t="s">
        <v>1239</v>
      </c>
      <c r="B2021" s="7" t="s">
        <v>2325</v>
      </c>
    </row>
    <row r="2022" spans="1:2" x14ac:dyDescent="0.25">
      <c r="A2022" s="10" t="s">
        <v>989</v>
      </c>
      <c r="B2022" s="7" t="s">
        <v>2325</v>
      </c>
    </row>
    <row r="2023" spans="1:2" x14ac:dyDescent="0.25">
      <c r="A2023" s="10" t="s">
        <v>2244</v>
      </c>
      <c r="B2023" s="7" t="s">
        <v>2325</v>
      </c>
    </row>
    <row r="2024" spans="1:2" x14ac:dyDescent="0.25">
      <c r="A2024" s="10" t="s">
        <v>681</v>
      </c>
      <c r="B2024" s="7" t="s">
        <v>2325</v>
      </c>
    </row>
    <row r="2025" spans="1:2" x14ac:dyDescent="0.25">
      <c r="A2025" s="10" t="s">
        <v>1211</v>
      </c>
      <c r="B2025" s="7" t="s">
        <v>2325</v>
      </c>
    </row>
    <row r="2026" spans="1:2" x14ac:dyDescent="0.25">
      <c r="A2026" s="10" t="s">
        <v>740</v>
      </c>
      <c r="B2026" s="7" t="s">
        <v>2325</v>
      </c>
    </row>
    <row r="2027" spans="1:2" x14ac:dyDescent="0.25">
      <c r="A2027" s="10" t="s">
        <v>1164</v>
      </c>
      <c r="B2027" s="7" t="s">
        <v>2325</v>
      </c>
    </row>
    <row r="2028" spans="1:2" x14ac:dyDescent="0.25">
      <c r="A2028" s="10" t="s">
        <v>2245</v>
      </c>
      <c r="B2028" s="7" t="s">
        <v>2325</v>
      </c>
    </row>
    <row r="2029" spans="1:2" x14ac:dyDescent="0.25">
      <c r="A2029" s="10" t="s">
        <v>2246</v>
      </c>
      <c r="B2029" s="7" t="s">
        <v>2325</v>
      </c>
    </row>
    <row r="2030" spans="1:2" x14ac:dyDescent="0.25">
      <c r="A2030" s="10" t="s">
        <v>458</v>
      </c>
      <c r="B2030" s="7" t="s">
        <v>2325</v>
      </c>
    </row>
    <row r="2031" spans="1:2" x14ac:dyDescent="0.25">
      <c r="A2031" s="10" t="s">
        <v>2247</v>
      </c>
      <c r="B2031" s="7" t="s">
        <v>2325</v>
      </c>
    </row>
    <row r="2032" spans="1:2" x14ac:dyDescent="0.25">
      <c r="A2032" s="10" t="s">
        <v>2248</v>
      </c>
      <c r="B2032" s="7" t="s">
        <v>2325</v>
      </c>
    </row>
    <row r="2033" spans="1:2" x14ac:dyDescent="0.25">
      <c r="A2033" s="10" t="s">
        <v>2249</v>
      </c>
      <c r="B2033" s="7" t="s">
        <v>2325</v>
      </c>
    </row>
    <row r="2034" spans="1:2" x14ac:dyDescent="0.25">
      <c r="A2034" s="10" t="s">
        <v>695</v>
      </c>
      <c r="B2034" s="7" t="s">
        <v>2325</v>
      </c>
    </row>
    <row r="2035" spans="1:2" x14ac:dyDescent="0.25">
      <c r="A2035" s="10" t="s">
        <v>2250</v>
      </c>
      <c r="B2035" s="7" t="s">
        <v>2325</v>
      </c>
    </row>
    <row r="2036" spans="1:2" x14ac:dyDescent="0.25">
      <c r="A2036" s="10" t="s">
        <v>1197</v>
      </c>
      <c r="B2036" s="7" t="s">
        <v>2325</v>
      </c>
    </row>
    <row r="2037" spans="1:2" x14ac:dyDescent="0.25">
      <c r="A2037" s="10" t="s">
        <v>645</v>
      </c>
      <c r="B2037" s="7" t="s">
        <v>2325</v>
      </c>
    </row>
    <row r="2038" spans="1:2" x14ac:dyDescent="0.25">
      <c r="A2038" s="10" t="s">
        <v>2251</v>
      </c>
      <c r="B2038" s="7" t="s">
        <v>2325</v>
      </c>
    </row>
    <row r="2039" spans="1:2" x14ac:dyDescent="0.25">
      <c r="A2039" s="10" t="s">
        <v>1088</v>
      </c>
      <c r="B2039" s="7" t="s">
        <v>2325</v>
      </c>
    </row>
    <row r="2040" spans="1:2" x14ac:dyDescent="0.25">
      <c r="A2040" s="10" t="s">
        <v>635</v>
      </c>
      <c r="B2040" s="7" t="s">
        <v>2325</v>
      </c>
    </row>
    <row r="2041" spans="1:2" x14ac:dyDescent="0.25">
      <c r="A2041" s="10" t="s">
        <v>862</v>
      </c>
      <c r="B2041" s="7" t="s">
        <v>2325</v>
      </c>
    </row>
    <row r="2042" spans="1:2" x14ac:dyDescent="0.25">
      <c r="A2042" s="10" t="s">
        <v>367</v>
      </c>
      <c r="B2042" s="7" t="s">
        <v>2325</v>
      </c>
    </row>
    <row r="2043" spans="1:2" x14ac:dyDescent="0.25">
      <c r="A2043" s="10" t="s">
        <v>2252</v>
      </c>
      <c r="B2043" s="7" t="s">
        <v>2325</v>
      </c>
    </row>
    <row r="2044" spans="1:2" x14ac:dyDescent="0.25">
      <c r="A2044" s="10" t="s">
        <v>2253</v>
      </c>
      <c r="B2044" s="7" t="s">
        <v>2325</v>
      </c>
    </row>
    <row r="2045" spans="1:2" x14ac:dyDescent="0.25">
      <c r="A2045" s="10" t="s">
        <v>2254</v>
      </c>
      <c r="B2045" s="7" t="s">
        <v>2325</v>
      </c>
    </row>
    <row r="2046" spans="1:2" x14ac:dyDescent="0.25">
      <c r="A2046" s="10" t="s">
        <v>2255</v>
      </c>
      <c r="B2046" s="7" t="s">
        <v>2325</v>
      </c>
    </row>
    <row r="2047" spans="1:2" x14ac:dyDescent="0.25">
      <c r="A2047" s="10" t="s">
        <v>1110</v>
      </c>
      <c r="B2047" s="7" t="s">
        <v>2325</v>
      </c>
    </row>
    <row r="2048" spans="1:2" x14ac:dyDescent="0.25">
      <c r="A2048" s="10" t="s">
        <v>1233</v>
      </c>
      <c r="B2048" s="7" t="s">
        <v>2325</v>
      </c>
    </row>
    <row r="2049" spans="1:2" x14ac:dyDescent="0.25">
      <c r="A2049" s="10" t="s">
        <v>417</v>
      </c>
      <c r="B2049" s="7" t="s">
        <v>2325</v>
      </c>
    </row>
    <row r="2050" spans="1:2" x14ac:dyDescent="0.25">
      <c r="A2050" s="10" t="s">
        <v>959</v>
      </c>
      <c r="B2050" s="7" t="s">
        <v>2325</v>
      </c>
    </row>
    <row r="2051" spans="1:2" x14ac:dyDescent="0.25">
      <c r="A2051" s="10" t="s">
        <v>2256</v>
      </c>
      <c r="B2051" s="7" t="s">
        <v>2325</v>
      </c>
    </row>
    <row r="2052" spans="1:2" x14ac:dyDescent="0.25">
      <c r="A2052" s="10" t="s">
        <v>329</v>
      </c>
      <c r="B2052" s="7" t="s">
        <v>2325</v>
      </c>
    </row>
    <row r="2053" spans="1:2" x14ac:dyDescent="0.25">
      <c r="A2053" s="10" t="s">
        <v>2257</v>
      </c>
      <c r="B2053" s="7" t="s">
        <v>2325</v>
      </c>
    </row>
    <row r="2054" spans="1:2" x14ac:dyDescent="0.25">
      <c r="A2054" s="10" t="s">
        <v>806</v>
      </c>
      <c r="B2054" s="7" t="s">
        <v>2325</v>
      </c>
    </row>
    <row r="2055" spans="1:2" x14ac:dyDescent="0.25">
      <c r="A2055" s="10" t="s">
        <v>2258</v>
      </c>
      <c r="B2055" s="7" t="s">
        <v>2325</v>
      </c>
    </row>
    <row r="2056" spans="1:2" x14ac:dyDescent="0.25">
      <c r="A2056" s="10" t="s">
        <v>2259</v>
      </c>
      <c r="B2056" s="7" t="s">
        <v>2325</v>
      </c>
    </row>
    <row r="2057" spans="1:2" x14ac:dyDescent="0.25">
      <c r="A2057" s="10" t="s">
        <v>946</v>
      </c>
      <c r="B2057" s="7" t="s">
        <v>2325</v>
      </c>
    </row>
    <row r="2058" spans="1:2" x14ac:dyDescent="0.25">
      <c r="A2058" s="10" t="s">
        <v>691</v>
      </c>
      <c r="B2058" s="7" t="s">
        <v>2325</v>
      </c>
    </row>
    <row r="2059" spans="1:2" x14ac:dyDescent="0.25">
      <c r="A2059" s="10" t="s">
        <v>2260</v>
      </c>
      <c r="B2059" s="7" t="s">
        <v>2325</v>
      </c>
    </row>
    <row r="2060" spans="1:2" x14ac:dyDescent="0.25">
      <c r="A2060" s="10" t="s">
        <v>2261</v>
      </c>
      <c r="B2060" s="7" t="s">
        <v>2325</v>
      </c>
    </row>
    <row r="2061" spans="1:2" x14ac:dyDescent="0.25">
      <c r="A2061" s="10" t="s">
        <v>972</v>
      </c>
      <c r="B2061" s="7" t="s">
        <v>2325</v>
      </c>
    </row>
    <row r="2062" spans="1:2" x14ac:dyDescent="0.25">
      <c r="A2062" s="10" t="s">
        <v>554</v>
      </c>
      <c r="B2062" s="7" t="s">
        <v>2325</v>
      </c>
    </row>
    <row r="2063" spans="1:2" x14ac:dyDescent="0.25">
      <c r="A2063" s="10" t="s">
        <v>2262</v>
      </c>
      <c r="B2063" s="7" t="s">
        <v>2325</v>
      </c>
    </row>
    <row r="2064" spans="1:2" x14ac:dyDescent="0.25">
      <c r="A2064" s="10" t="s">
        <v>860</v>
      </c>
      <c r="B2064" s="7" t="s">
        <v>2325</v>
      </c>
    </row>
    <row r="2065" spans="1:2" x14ac:dyDescent="0.25">
      <c r="A2065" s="10" t="s">
        <v>502</v>
      </c>
      <c r="B2065" s="7" t="s">
        <v>2325</v>
      </c>
    </row>
    <row r="2066" spans="1:2" x14ac:dyDescent="0.25">
      <c r="A2066" s="10" t="s">
        <v>747</v>
      </c>
      <c r="B2066" s="7" t="s">
        <v>2325</v>
      </c>
    </row>
    <row r="2067" spans="1:2" x14ac:dyDescent="0.25">
      <c r="A2067" s="10" t="s">
        <v>410</v>
      </c>
      <c r="B2067" s="7" t="s">
        <v>2325</v>
      </c>
    </row>
    <row r="2068" spans="1:2" x14ac:dyDescent="0.25">
      <c r="A2068" s="10" t="s">
        <v>2263</v>
      </c>
      <c r="B2068" s="7" t="s">
        <v>2325</v>
      </c>
    </row>
    <row r="2069" spans="1:2" x14ac:dyDescent="0.25">
      <c r="A2069" s="10" t="s">
        <v>739</v>
      </c>
      <c r="B2069" s="7" t="s">
        <v>2325</v>
      </c>
    </row>
    <row r="2070" spans="1:2" x14ac:dyDescent="0.25">
      <c r="A2070" s="10" t="s">
        <v>2264</v>
      </c>
      <c r="B2070" s="7" t="s">
        <v>2325</v>
      </c>
    </row>
    <row r="2071" spans="1:2" x14ac:dyDescent="0.25">
      <c r="A2071" s="10" t="s">
        <v>771</v>
      </c>
      <c r="B2071" s="7" t="s">
        <v>2325</v>
      </c>
    </row>
    <row r="2072" spans="1:2" x14ac:dyDescent="0.25">
      <c r="A2072" s="10" t="s">
        <v>2265</v>
      </c>
      <c r="B2072" s="7" t="s">
        <v>2325</v>
      </c>
    </row>
    <row r="2073" spans="1:2" x14ac:dyDescent="0.25">
      <c r="A2073" s="10" t="s">
        <v>2266</v>
      </c>
      <c r="B2073" s="7" t="s">
        <v>2325</v>
      </c>
    </row>
    <row r="2074" spans="1:2" x14ac:dyDescent="0.25">
      <c r="A2074" s="10" t="s">
        <v>149</v>
      </c>
      <c r="B2074" s="7" t="s">
        <v>2325</v>
      </c>
    </row>
    <row r="2075" spans="1:2" x14ac:dyDescent="0.25">
      <c r="A2075" s="10" t="s">
        <v>827</v>
      </c>
      <c r="B2075" s="7" t="s">
        <v>2325</v>
      </c>
    </row>
    <row r="2076" spans="1:2" x14ac:dyDescent="0.25">
      <c r="A2076" s="10" t="s">
        <v>998</v>
      </c>
      <c r="B2076" s="7" t="s">
        <v>2325</v>
      </c>
    </row>
    <row r="2077" spans="1:2" x14ac:dyDescent="0.25">
      <c r="A2077" s="10" t="s">
        <v>2267</v>
      </c>
      <c r="B2077" s="7" t="s">
        <v>2325</v>
      </c>
    </row>
    <row r="2078" spans="1:2" x14ac:dyDescent="0.25">
      <c r="A2078" s="10" t="s">
        <v>2268</v>
      </c>
      <c r="B2078" s="7" t="s">
        <v>2325</v>
      </c>
    </row>
    <row r="2079" spans="1:2" x14ac:dyDescent="0.25">
      <c r="A2079" s="10" t="s">
        <v>893</v>
      </c>
      <c r="B2079" s="7" t="s">
        <v>2325</v>
      </c>
    </row>
    <row r="2080" spans="1:2" x14ac:dyDescent="0.25">
      <c r="A2080" s="10" t="s">
        <v>1210</v>
      </c>
      <c r="B2080" s="7" t="s">
        <v>2325</v>
      </c>
    </row>
    <row r="2081" spans="1:2" x14ac:dyDescent="0.25">
      <c r="A2081" s="10" t="s">
        <v>980</v>
      </c>
      <c r="B2081" s="7" t="s">
        <v>2325</v>
      </c>
    </row>
    <row r="2082" spans="1:2" x14ac:dyDescent="0.25">
      <c r="A2082" s="10" t="s">
        <v>1148</v>
      </c>
      <c r="B2082" s="7" t="s">
        <v>2325</v>
      </c>
    </row>
    <row r="2083" spans="1:2" x14ac:dyDescent="0.25">
      <c r="A2083" s="10" t="s">
        <v>561</v>
      </c>
      <c r="B2083" s="7" t="s">
        <v>2325</v>
      </c>
    </row>
    <row r="2084" spans="1:2" x14ac:dyDescent="0.25">
      <c r="A2084" s="10" t="s">
        <v>317</v>
      </c>
      <c r="B2084" s="7" t="s">
        <v>2325</v>
      </c>
    </row>
    <row r="2085" spans="1:2" x14ac:dyDescent="0.25">
      <c r="A2085" s="10" t="s">
        <v>1027</v>
      </c>
      <c r="B2085" s="7" t="s">
        <v>2325</v>
      </c>
    </row>
    <row r="2086" spans="1:2" x14ac:dyDescent="0.25">
      <c r="A2086" s="10" t="s">
        <v>348</v>
      </c>
      <c r="B2086" s="7" t="s">
        <v>2325</v>
      </c>
    </row>
    <row r="2087" spans="1:2" x14ac:dyDescent="0.25">
      <c r="A2087" s="10" t="s">
        <v>2269</v>
      </c>
      <c r="B2087" s="7" t="s">
        <v>2325</v>
      </c>
    </row>
    <row r="2088" spans="1:2" x14ac:dyDescent="0.25">
      <c r="A2088" s="10" t="s">
        <v>2270</v>
      </c>
      <c r="B2088" s="7" t="s">
        <v>2325</v>
      </c>
    </row>
    <row r="2089" spans="1:2" x14ac:dyDescent="0.25">
      <c r="A2089" s="10" t="s">
        <v>2271</v>
      </c>
      <c r="B2089" s="7" t="s">
        <v>2325</v>
      </c>
    </row>
    <row r="2090" spans="1:2" x14ac:dyDescent="0.25">
      <c r="A2090" s="10" t="s">
        <v>2272</v>
      </c>
      <c r="B2090" s="7" t="s">
        <v>2325</v>
      </c>
    </row>
    <row r="2091" spans="1:2" x14ac:dyDescent="0.25">
      <c r="A2091" s="10" t="s">
        <v>2273</v>
      </c>
      <c r="B2091" s="7" t="s">
        <v>2325</v>
      </c>
    </row>
    <row r="2092" spans="1:2" x14ac:dyDescent="0.25">
      <c r="A2092" s="10" t="s">
        <v>371</v>
      </c>
      <c r="B2092" s="7" t="s">
        <v>2325</v>
      </c>
    </row>
    <row r="2093" spans="1:2" x14ac:dyDescent="0.25">
      <c r="A2093" s="10" t="s">
        <v>874</v>
      </c>
      <c r="B2093" s="7" t="s">
        <v>2325</v>
      </c>
    </row>
    <row r="2094" spans="1:2" x14ac:dyDescent="0.25">
      <c r="A2094" s="10" t="s">
        <v>610</v>
      </c>
      <c r="B2094" s="7" t="s">
        <v>2325</v>
      </c>
    </row>
    <row r="2095" spans="1:2" x14ac:dyDescent="0.25">
      <c r="A2095" s="10" t="s">
        <v>677</v>
      </c>
      <c r="B2095" s="7" t="s">
        <v>2325</v>
      </c>
    </row>
    <row r="2096" spans="1:2" x14ac:dyDescent="0.25">
      <c r="A2096" s="10" t="s">
        <v>440</v>
      </c>
      <c r="B2096" s="7" t="s">
        <v>2325</v>
      </c>
    </row>
    <row r="2097" spans="1:2" x14ac:dyDescent="0.25">
      <c r="A2097" s="10" t="s">
        <v>504</v>
      </c>
      <c r="B2097" s="7" t="s">
        <v>2325</v>
      </c>
    </row>
    <row r="2098" spans="1:2" x14ac:dyDescent="0.25">
      <c r="A2098" s="10" t="s">
        <v>319</v>
      </c>
      <c r="B2098" s="7" t="s">
        <v>2325</v>
      </c>
    </row>
    <row r="2099" spans="1:2" x14ac:dyDescent="0.25">
      <c r="A2099" s="10" t="s">
        <v>2274</v>
      </c>
      <c r="B2099" s="7" t="s">
        <v>2325</v>
      </c>
    </row>
    <row r="2100" spans="1:2" x14ac:dyDescent="0.25">
      <c r="A2100" s="10" t="s">
        <v>2275</v>
      </c>
      <c r="B2100" s="7" t="s">
        <v>2325</v>
      </c>
    </row>
    <row r="2101" spans="1:2" x14ac:dyDescent="0.25">
      <c r="A2101" s="10" t="s">
        <v>1089</v>
      </c>
      <c r="B2101" s="7" t="s">
        <v>2325</v>
      </c>
    </row>
    <row r="2102" spans="1:2" x14ac:dyDescent="0.25">
      <c r="A2102" s="10" t="s">
        <v>1247</v>
      </c>
      <c r="B2102" s="7" t="s">
        <v>2325</v>
      </c>
    </row>
    <row r="2103" spans="1:2" x14ac:dyDescent="0.25">
      <c r="A2103" s="10" t="s">
        <v>2276</v>
      </c>
      <c r="B2103" s="7" t="s">
        <v>2325</v>
      </c>
    </row>
    <row r="2104" spans="1:2" x14ac:dyDescent="0.25">
      <c r="A2104" s="10" t="s">
        <v>748</v>
      </c>
      <c r="B2104" s="7" t="s">
        <v>2325</v>
      </c>
    </row>
    <row r="2105" spans="1:2" x14ac:dyDescent="0.25">
      <c r="A2105" s="10" t="s">
        <v>1071</v>
      </c>
      <c r="B2105" s="7" t="s">
        <v>2325</v>
      </c>
    </row>
    <row r="2106" spans="1:2" x14ac:dyDescent="0.25">
      <c r="A2106" s="10" t="s">
        <v>2277</v>
      </c>
      <c r="B2106" s="7" t="s">
        <v>2325</v>
      </c>
    </row>
    <row r="2107" spans="1:2" x14ac:dyDescent="0.25">
      <c r="A2107" s="10" t="s">
        <v>2278</v>
      </c>
      <c r="B2107" s="7" t="s">
        <v>2325</v>
      </c>
    </row>
    <row r="2108" spans="1:2" x14ac:dyDescent="0.25">
      <c r="A2108" s="10" t="s">
        <v>2279</v>
      </c>
      <c r="B2108" s="7" t="s">
        <v>2325</v>
      </c>
    </row>
    <row r="2109" spans="1:2" x14ac:dyDescent="0.25">
      <c r="A2109" s="10" t="s">
        <v>999</v>
      </c>
      <c r="B2109" s="7" t="s">
        <v>2325</v>
      </c>
    </row>
    <row r="2110" spans="1:2" x14ac:dyDescent="0.25">
      <c r="A2110" s="10" t="s">
        <v>1066</v>
      </c>
      <c r="B2110" s="7" t="s">
        <v>2325</v>
      </c>
    </row>
    <row r="2111" spans="1:2" x14ac:dyDescent="0.25">
      <c r="A2111" s="10" t="s">
        <v>2280</v>
      </c>
      <c r="B2111" s="7" t="s">
        <v>2325</v>
      </c>
    </row>
    <row r="2112" spans="1:2" x14ac:dyDescent="0.25">
      <c r="A2112" s="10" t="s">
        <v>786</v>
      </c>
      <c r="B2112" s="7" t="s">
        <v>2325</v>
      </c>
    </row>
    <row r="2113" spans="1:2" x14ac:dyDescent="0.25">
      <c r="A2113" s="10" t="s">
        <v>1064</v>
      </c>
      <c r="B2113" s="7" t="s">
        <v>2325</v>
      </c>
    </row>
    <row r="2114" spans="1:2" x14ac:dyDescent="0.25">
      <c r="A2114" s="10" t="s">
        <v>1169</v>
      </c>
      <c r="B2114" s="7" t="s">
        <v>2325</v>
      </c>
    </row>
    <row r="2115" spans="1:2" x14ac:dyDescent="0.25">
      <c r="A2115" s="10" t="s">
        <v>803</v>
      </c>
      <c r="B2115" s="7" t="s">
        <v>2325</v>
      </c>
    </row>
    <row r="2116" spans="1:2" x14ac:dyDescent="0.25">
      <c r="A2116" s="10" t="s">
        <v>2281</v>
      </c>
      <c r="B2116" s="7" t="s">
        <v>2325</v>
      </c>
    </row>
    <row r="2117" spans="1:2" x14ac:dyDescent="0.25">
      <c r="A2117" s="10" t="s">
        <v>65</v>
      </c>
      <c r="B2117" s="7" t="s">
        <v>2325</v>
      </c>
    </row>
    <row r="2118" spans="1:2" x14ac:dyDescent="0.25">
      <c r="A2118" s="10" t="s">
        <v>2282</v>
      </c>
      <c r="B2118" s="7" t="s">
        <v>2325</v>
      </c>
    </row>
    <row r="2119" spans="1:2" x14ac:dyDescent="0.25">
      <c r="A2119" s="10" t="s">
        <v>2283</v>
      </c>
      <c r="B2119" s="7" t="s">
        <v>2325</v>
      </c>
    </row>
    <row r="2120" spans="1:2" x14ac:dyDescent="0.25">
      <c r="A2120" s="10" t="s">
        <v>450</v>
      </c>
      <c r="B2120" s="7" t="s">
        <v>2325</v>
      </c>
    </row>
    <row r="2121" spans="1:2" x14ac:dyDescent="0.25">
      <c r="A2121" s="10" t="s">
        <v>446</v>
      </c>
      <c r="B2121" s="7" t="s">
        <v>2325</v>
      </c>
    </row>
    <row r="2122" spans="1:2" x14ac:dyDescent="0.25">
      <c r="A2122" s="10" t="s">
        <v>1014</v>
      </c>
      <c r="B2122" s="7" t="s">
        <v>2325</v>
      </c>
    </row>
    <row r="2123" spans="1:2" x14ac:dyDescent="0.25">
      <c r="A2123" s="10" t="s">
        <v>953</v>
      </c>
      <c r="B2123" s="7" t="s">
        <v>2325</v>
      </c>
    </row>
    <row r="2124" spans="1:2" x14ac:dyDescent="0.25">
      <c r="A2124" s="10" t="s">
        <v>2284</v>
      </c>
      <c r="B2124" s="7" t="s">
        <v>2325</v>
      </c>
    </row>
    <row r="2125" spans="1:2" x14ac:dyDescent="0.25">
      <c r="A2125" s="10" t="s">
        <v>407</v>
      </c>
      <c r="B2125" s="7" t="s">
        <v>2325</v>
      </c>
    </row>
    <row r="2126" spans="1:2" x14ac:dyDescent="0.25">
      <c r="A2126" s="10" t="s">
        <v>2285</v>
      </c>
      <c r="B2126" s="7" t="s">
        <v>2325</v>
      </c>
    </row>
    <row r="2127" spans="1:2" x14ac:dyDescent="0.25">
      <c r="A2127" s="10" t="s">
        <v>276</v>
      </c>
      <c r="B2127" s="7" t="s">
        <v>2325</v>
      </c>
    </row>
    <row r="2128" spans="1:2" x14ac:dyDescent="0.25">
      <c r="A2128" s="10" t="s">
        <v>1046</v>
      </c>
      <c r="B2128" s="7" t="s">
        <v>2325</v>
      </c>
    </row>
    <row r="2129" spans="1:2" x14ac:dyDescent="0.25">
      <c r="A2129" s="10" t="s">
        <v>227</v>
      </c>
      <c r="B2129" s="7" t="s">
        <v>2325</v>
      </c>
    </row>
    <row r="2130" spans="1:2" x14ac:dyDescent="0.25">
      <c r="A2130" s="10" t="s">
        <v>186</v>
      </c>
      <c r="B2130" s="7" t="s">
        <v>2325</v>
      </c>
    </row>
    <row r="2131" spans="1:2" x14ac:dyDescent="0.25">
      <c r="A2131" s="10" t="s">
        <v>2286</v>
      </c>
      <c r="B2131" s="7" t="s">
        <v>2325</v>
      </c>
    </row>
    <row r="2132" spans="1:2" x14ac:dyDescent="0.25">
      <c r="A2132" s="10" t="s">
        <v>958</v>
      </c>
      <c r="B2132" s="7" t="s">
        <v>2325</v>
      </c>
    </row>
    <row r="2133" spans="1:2" x14ac:dyDescent="0.25">
      <c r="A2133" s="10" t="s">
        <v>2287</v>
      </c>
      <c r="B2133" s="7" t="s">
        <v>2325</v>
      </c>
    </row>
    <row r="2134" spans="1:2" x14ac:dyDescent="0.25">
      <c r="A2134" s="10" t="s">
        <v>641</v>
      </c>
      <c r="B2134" s="7" t="s">
        <v>2325</v>
      </c>
    </row>
    <row r="2135" spans="1:2" x14ac:dyDescent="0.25">
      <c r="A2135" s="10" t="s">
        <v>676</v>
      </c>
      <c r="B2135" s="7" t="s">
        <v>2325</v>
      </c>
    </row>
    <row r="2136" spans="1:2" x14ac:dyDescent="0.25">
      <c r="A2136" s="10" t="s">
        <v>567</v>
      </c>
      <c r="B2136" s="7" t="s">
        <v>2325</v>
      </c>
    </row>
    <row r="2137" spans="1:2" x14ac:dyDescent="0.25">
      <c r="A2137" s="10" t="s">
        <v>99</v>
      </c>
      <c r="B2137" s="7" t="s">
        <v>2325</v>
      </c>
    </row>
    <row r="2138" spans="1:2" x14ac:dyDescent="0.25">
      <c r="A2138" s="10" t="s">
        <v>2288</v>
      </c>
      <c r="B2138" s="7" t="s">
        <v>2325</v>
      </c>
    </row>
    <row r="2139" spans="1:2" x14ac:dyDescent="0.25">
      <c r="A2139" s="10" t="s">
        <v>945</v>
      </c>
      <c r="B2139" s="7" t="s">
        <v>2325</v>
      </c>
    </row>
    <row r="2140" spans="1:2" x14ac:dyDescent="0.25">
      <c r="A2140" s="10" t="s">
        <v>2289</v>
      </c>
      <c r="B2140" s="7" t="s">
        <v>2325</v>
      </c>
    </row>
    <row r="2141" spans="1:2" x14ac:dyDescent="0.25">
      <c r="A2141" s="10" t="s">
        <v>1218</v>
      </c>
      <c r="B2141" s="7" t="s">
        <v>2325</v>
      </c>
    </row>
    <row r="2142" spans="1:2" x14ac:dyDescent="0.25">
      <c r="A2142" s="10" t="s">
        <v>954</v>
      </c>
      <c r="B2142" s="7" t="s">
        <v>2325</v>
      </c>
    </row>
    <row r="2143" spans="1:2" x14ac:dyDescent="0.25">
      <c r="A2143" s="10" t="s">
        <v>171</v>
      </c>
      <c r="B2143" s="7" t="s">
        <v>2325</v>
      </c>
    </row>
    <row r="2144" spans="1:2" x14ac:dyDescent="0.25">
      <c r="A2144" s="10" t="s">
        <v>820</v>
      </c>
      <c r="B2144" s="7" t="s">
        <v>2325</v>
      </c>
    </row>
    <row r="2145" spans="1:2" x14ac:dyDescent="0.25">
      <c r="A2145" s="10" t="s">
        <v>751</v>
      </c>
      <c r="B2145" s="7" t="s">
        <v>2325</v>
      </c>
    </row>
    <row r="2146" spans="1:2" x14ac:dyDescent="0.25">
      <c r="A2146" s="10" t="s">
        <v>2290</v>
      </c>
      <c r="B2146" s="7" t="s">
        <v>2325</v>
      </c>
    </row>
    <row r="2147" spans="1:2" x14ac:dyDescent="0.25">
      <c r="A2147" s="10" t="s">
        <v>656</v>
      </c>
      <c r="B2147" s="7" t="s">
        <v>2325</v>
      </c>
    </row>
    <row r="2148" spans="1:2" x14ac:dyDescent="0.25">
      <c r="A2148" s="10" t="s">
        <v>637</v>
      </c>
      <c r="B2148" s="7" t="s">
        <v>2325</v>
      </c>
    </row>
    <row r="2149" spans="1:2" x14ac:dyDescent="0.25">
      <c r="A2149" s="10" t="s">
        <v>1001</v>
      </c>
      <c r="B2149" s="7" t="s">
        <v>2325</v>
      </c>
    </row>
    <row r="2150" spans="1:2" x14ac:dyDescent="0.25">
      <c r="A2150" s="10" t="s">
        <v>624</v>
      </c>
      <c r="B2150" s="7" t="s">
        <v>2325</v>
      </c>
    </row>
    <row r="2151" spans="1:2" x14ac:dyDescent="0.25">
      <c r="A2151" s="10" t="s">
        <v>230</v>
      </c>
      <c r="B2151" s="7" t="s">
        <v>2325</v>
      </c>
    </row>
    <row r="2152" spans="1:2" x14ac:dyDescent="0.25">
      <c r="A2152" s="10" t="s">
        <v>155</v>
      </c>
      <c r="B2152" s="7" t="s">
        <v>2325</v>
      </c>
    </row>
    <row r="2153" spans="1:2" x14ac:dyDescent="0.25">
      <c r="A2153" s="10" t="s">
        <v>2291</v>
      </c>
      <c r="B2153" s="7" t="s">
        <v>2325</v>
      </c>
    </row>
    <row r="2154" spans="1:2" x14ac:dyDescent="0.25">
      <c r="A2154" s="10" t="s">
        <v>2292</v>
      </c>
      <c r="B2154" s="7" t="s">
        <v>2325</v>
      </c>
    </row>
    <row r="2155" spans="1:2" x14ac:dyDescent="0.25">
      <c r="A2155" s="10" t="s">
        <v>738</v>
      </c>
      <c r="B2155" s="7" t="s">
        <v>2325</v>
      </c>
    </row>
    <row r="2156" spans="1:2" x14ac:dyDescent="0.25">
      <c r="A2156" s="10" t="s">
        <v>79</v>
      </c>
      <c r="B2156" s="7" t="s">
        <v>2325</v>
      </c>
    </row>
    <row r="2157" spans="1:2" x14ac:dyDescent="0.25">
      <c r="A2157" s="10" t="s">
        <v>2293</v>
      </c>
      <c r="B2157" s="7" t="s">
        <v>2325</v>
      </c>
    </row>
    <row r="2158" spans="1:2" x14ac:dyDescent="0.25">
      <c r="A2158" s="10" t="s">
        <v>499</v>
      </c>
      <c r="B2158" s="7" t="s">
        <v>2325</v>
      </c>
    </row>
    <row r="2159" spans="1:2" x14ac:dyDescent="0.25">
      <c r="A2159" s="10" t="s">
        <v>2294</v>
      </c>
      <c r="B2159" s="7" t="s">
        <v>2325</v>
      </c>
    </row>
    <row r="2160" spans="1:2" x14ac:dyDescent="0.25">
      <c r="A2160" s="10" t="s">
        <v>497</v>
      </c>
      <c r="B2160" s="7" t="s">
        <v>2325</v>
      </c>
    </row>
    <row r="2161" spans="1:2" x14ac:dyDescent="0.25">
      <c r="A2161" s="10" t="s">
        <v>745</v>
      </c>
      <c r="B2161" s="7" t="s">
        <v>2325</v>
      </c>
    </row>
    <row r="2162" spans="1:2" x14ac:dyDescent="0.25">
      <c r="A2162" s="10" t="s">
        <v>2295</v>
      </c>
      <c r="B2162" s="7" t="s">
        <v>2325</v>
      </c>
    </row>
    <row r="2163" spans="1:2" x14ac:dyDescent="0.25">
      <c r="A2163" s="10" t="s">
        <v>704</v>
      </c>
      <c r="B2163" s="7" t="s">
        <v>2325</v>
      </c>
    </row>
    <row r="2164" spans="1:2" x14ac:dyDescent="0.25">
      <c r="A2164" s="10" t="s">
        <v>2296</v>
      </c>
      <c r="B2164" s="7" t="s">
        <v>2325</v>
      </c>
    </row>
    <row r="2165" spans="1:2" x14ac:dyDescent="0.25">
      <c r="A2165" s="10" t="s">
        <v>2297</v>
      </c>
      <c r="B2165" s="7" t="s">
        <v>2325</v>
      </c>
    </row>
    <row r="2166" spans="1:2" x14ac:dyDescent="0.25">
      <c r="A2166" s="10" t="s">
        <v>2298</v>
      </c>
      <c r="B2166" s="7" t="s">
        <v>2325</v>
      </c>
    </row>
    <row r="2167" spans="1:2" x14ac:dyDescent="0.25">
      <c r="A2167" s="10" t="s">
        <v>690</v>
      </c>
      <c r="B2167" s="7" t="s">
        <v>2325</v>
      </c>
    </row>
    <row r="2168" spans="1:2" x14ac:dyDescent="0.25">
      <c r="A2168" s="10" t="s">
        <v>1050</v>
      </c>
      <c r="B2168" s="7" t="s">
        <v>2325</v>
      </c>
    </row>
    <row r="2169" spans="1:2" x14ac:dyDescent="0.25">
      <c r="A2169" s="10" t="s">
        <v>805</v>
      </c>
      <c r="B2169" s="7" t="s">
        <v>2325</v>
      </c>
    </row>
    <row r="2170" spans="1:2" x14ac:dyDescent="0.25">
      <c r="A2170" s="10" t="s">
        <v>626</v>
      </c>
      <c r="B2170" s="7" t="s">
        <v>2325</v>
      </c>
    </row>
    <row r="2171" spans="1:2" x14ac:dyDescent="0.25">
      <c r="A2171" s="10" t="s">
        <v>1018</v>
      </c>
      <c r="B2171" s="7" t="s">
        <v>2325</v>
      </c>
    </row>
    <row r="2172" spans="1:2" x14ac:dyDescent="0.25">
      <c r="A2172" s="10" t="s">
        <v>839</v>
      </c>
      <c r="B2172" s="7" t="s">
        <v>2325</v>
      </c>
    </row>
    <row r="2173" spans="1:2" x14ac:dyDescent="0.25">
      <c r="A2173" s="10" t="s">
        <v>636</v>
      </c>
      <c r="B2173" s="7" t="s">
        <v>2325</v>
      </c>
    </row>
    <row r="2174" spans="1:2" x14ac:dyDescent="0.25">
      <c r="A2174" s="10" t="s">
        <v>2299</v>
      </c>
      <c r="B2174" s="7" t="s">
        <v>2325</v>
      </c>
    </row>
    <row r="2175" spans="1:2" x14ac:dyDescent="0.25">
      <c r="A2175" s="10" t="s">
        <v>894</v>
      </c>
      <c r="B2175" s="7" t="s">
        <v>2325</v>
      </c>
    </row>
    <row r="2176" spans="1:2" x14ac:dyDescent="0.25">
      <c r="A2176" s="10" t="s">
        <v>236</v>
      </c>
      <c r="B2176" s="7" t="s">
        <v>2325</v>
      </c>
    </row>
    <row r="2177" spans="1:2" x14ac:dyDescent="0.25">
      <c r="A2177" s="10" t="s">
        <v>2300</v>
      </c>
      <c r="B2177" s="7" t="s">
        <v>2325</v>
      </c>
    </row>
    <row r="2178" spans="1:2" x14ac:dyDescent="0.25">
      <c r="A2178" s="10" t="s">
        <v>920</v>
      </c>
      <c r="B2178" s="7" t="s">
        <v>2325</v>
      </c>
    </row>
    <row r="2179" spans="1:2" x14ac:dyDescent="0.25">
      <c r="A2179" s="10" t="s">
        <v>2301</v>
      </c>
      <c r="B2179" s="7" t="s">
        <v>2325</v>
      </c>
    </row>
    <row r="2180" spans="1:2" x14ac:dyDescent="0.25">
      <c r="A2180" s="10" t="s">
        <v>1043</v>
      </c>
      <c r="B2180" s="7" t="s">
        <v>2325</v>
      </c>
    </row>
    <row r="2181" spans="1:2" x14ac:dyDescent="0.25">
      <c r="A2181" s="10" t="s">
        <v>942</v>
      </c>
      <c r="B2181" s="7" t="s">
        <v>2325</v>
      </c>
    </row>
    <row r="2182" spans="1:2" x14ac:dyDescent="0.25">
      <c r="A2182" s="10" t="s">
        <v>2302</v>
      </c>
      <c r="B2182" s="7" t="s">
        <v>2325</v>
      </c>
    </row>
    <row r="2183" spans="1:2" x14ac:dyDescent="0.25">
      <c r="A2183" s="10" t="s">
        <v>2303</v>
      </c>
      <c r="B2183" s="7" t="s">
        <v>2325</v>
      </c>
    </row>
    <row r="2184" spans="1:2" x14ac:dyDescent="0.25">
      <c r="A2184" s="10" t="s">
        <v>2304</v>
      </c>
      <c r="B2184" s="7" t="s">
        <v>2325</v>
      </c>
    </row>
    <row r="2185" spans="1:2" x14ac:dyDescent="0.25">
      <c r="A2185" s="10" t="s">
        <v>426</v>
      </c>
      <c r="B2185" s="7" t="s">
        <v>2325</v>
      </c>
    </row>
    <row r="2186" spans="1:2" x14ac:dyDescent="0.25">
      <c r="A2186" s="10" t="s">
        <v>2305</v>
      </c>
      <c r="B2186" s="7" t="s">
        <v>2325</v>
      </c>
    </row>
    <row r="2187" spans="1:2" x14ac:dyDescent="0.25">
      <c r="A2187" s="10" t="s">
        <v>67</v>
      </c>
      <c r="B2187" s="7" t="s">
        <v>2325</v>
      </c>
    </row>
    <row r="2188" spans="1:2" x14ac:dyDescent="0.25">
      <c r="A2188" s="10" t="s">
        <v>2306</v>
      </c>
      <c r="B2188" s="7" t="s">
        <v>2325</v>
      </c>
    </row>
    <row r="2189" spans="1:2" x14ac:dyDescent="0.25">
      <c r="A2189" s="10" t="s">
        <v>222</v>
      </c>
      <c r="B2189" s="7" t="s">
        <v>2325</v>
      </c>
    </row>
    <row r="2190" spans="1:2" x14ac:dyDescent="0.25">
      <c r="A2190" s="10" t="s">
        <v>2307</v>
      </c>
      <c r="B2190" s="7" t="s">
        <v>2325</v>
      </c>
    </row>
    <row r="2191" spans="1:2" x14ac:dyDescent="0.25">
      <c r="A2191" s="10" t="s">
        <v>2308</v>
      </c>
      <c r="B2191" s="7" t="s">
        <v>2325</v>
      </c>
    </row>
    <row r="2192" spans="1:2" x14ac:dyDescent="0.25">
      <c r="A2192" s="10" t="s">
        <v>795</v>
      </c>
      <c r="B2192" s="7" t="s">
        <v>2325</v>
      </c>
    </row>
    <row r="2193" spans="1:2" x14ac:dyDescent="0.25">
      <c r="A2193" s="10" t="s">
        <v>2309</v>
      </c>
      <c r="B2193" s="7" t="s">
        <v>2325</v>
      </c>
    </row>
    <row r="2194" spans="1:2" x14ac:dyDescent="0.25">
      <c r="A2194" s="10" t="s">
        <v>2310</v>
      </c>
      <c r="B2194" s="7" t="s">
        <v>2325</v>
      </c>
    </row>
    <row r="2195" spans="1:2" x14ac:dyDescent="0.25">
      <c r="A2195" s="10" t="s">
        <v>254</v>
      </c>
      <c r="B2195" s="7" t="s">
        <v>2325</v>
      </c>
    </row>
    <row r="2196" spans="1:2" x14ac:dyDescent="0.25">
      <c r="A2196" s="10" t="s">
        <v>400</v>
      </c>
      <c r="B2196" s="7" t="s">
        <v>2325</v>
      </c>
    </row>
    <row r="2197" spans="1:2" x14ac:dyDescent="0.25">
      <c r="A2197" s="10" t="s">
        <v>2311</v>
      </c>
      <c r="B2197" s="7" t="s">
        <v>2325</v>
      </c>
    </row>
    <row r="2198" spans="1:2" x14ac:dyDescent="0.25">
      <c r="A2198" s="10" t="s">
        <v>1244</v>
      </c>
      <c r="B2198" s="7" t="s">
        <v>2325</v>
      </c>
    </row>
    <row r="2199" spans="1:2" x14ac:dyDescent="0.25">
      <c r="A2199" s="10" t="s">
        <v>310</v>
      </c>
      <c r="B2199" s="7" t="s">
        <v>2325</v>
      </c>
    </row>
    <row r="2200" spans="1:2" x14ac:dyDescent="0.25">
      <c r="A2200" s="10" t="s">
        <v>2312</v>
      </c>
      <c r="B2200" s="7" t="s">
        <v>2325</v>
      </c>
    </row>
    <row r="2201" spans="1:2" x14ac:dyDescent="0.25">
      <c r="A2201" s="10" t="s">
        <v>1170</v>
      </c>
      <c r="B2201" s="7" t="s">
        <v>2325</v>
      </c>
    </row>
    <row r="2202" spans="1:2" x14ac:dyDescent="0.25">
      <c r="A2202" s="10" t="s">
        <v>332</v>
      </c>
      <c r="B2202" s="7" t="s">
        <v>2325</v>
      </c>
    </row>
    <row r="2203" spans="1:2" x14ac:dyDescent="0.25">
      <c r="A2203" s="10" t="s">
        <v>104</v>
      </c>
      <c r="B2203" s="7" t="s">
        <v>2325</v>
      </c>
    </row>
    <row r="2204" spans="1:2" x14ac:dyDescent="0.25">
      <c r="A2204" s="10" t="s">
        <v>77</v>
      </c>
      <c r="B2204" s="7" t="s">
        <v>2325</v>
      </c>
    </row>
    <row r="2205" spans="1:2" x14ac:dyDescent="0.25">
      <c r="A2205" s="10" t="s">
        <v>2313</v>
      </c>
      <c r="B2205" s="7" t="s">
        <v>2325</v>
      </c>
    </row>
    <row r="2206" spans="1:2" x14ac:dyDescent="0.25">
      <c r="A2206" s="10" t="s">
        <v>54</v>
      </c>
      <c r="B2206" s="7" t="s">
        <v>2325</v>
      </c>
    </row>
    <row r="2207" spans="1:2" x14ac:dyDescent="0.25">
      <c r="A2207" s="10" t="s">
        <v>2314</v>
      </c>
      <c r="B2207" s="7" t="s">
        <v>2325</v>
      </c>
    </row>
    <row r="2208" spans="1:2" x14ac:dyDescent="0.25">
      <c r="A2208" s="10" t="s">
        <v>908</v>
      </c>
      <c r="B2208" s="7" t="s">
        <v>2325</v>
      </c>
    </row>
    <row r="2209" spans="1:2" x14ac:dyDescent="0.25">
      <c r="A2209" s="10" t="s">
        <v>271</v>
      </c>
      <c r="B2209" s="7" t="s">
        <v>2325</v>
      </c>
    </row>
    <row r="2210" spans="1:2" x14ac:dyDescent="0.25">
      <c r="A2210" s="10" t="s">
        <v>709</v>
      </c>
      <c r="B2210" s="7" t="s">
        <v>2325</v>
      </c>
    </row>
    <row r="2211" spans="1:2" x14ac:dyDescent="0.25">
      <c r="A2211" s="10" t="s">
        <v>256</v>
      </c>
      <c r="B2211" s="7" t="s">
        <v>2325</v>
      </c>
    </row>
    <row r="2212" spans="1:2" x14ac:dyDescent="0.25">
      <c r="A2212" s="10" t="s">
        <v>701</v>
      </c>
      <c r="B2212" s="7" t="s">
        <v>2325</v>
      </c>
    </row>
    <row r="2213" spans="1:2" x14ac:dyDescent="0.25">
      <c r="A2213" s="10" t="s">
        <v>711</v>
      </c>
      <c r="B2213" s="7" t="s">
        <v>2325</v>
      </c>
    </row>
    <row r="2214" spans="1:2" x14ac:dyDescent="0.25">
      <c r="A2214" s="10" t="s">
        <v>2315</v>
      </c>
      <c r="B2214" s="7" t="s">
        <v>2325</v>
      </c>
    </row>
    <row r="2215" spans="1:2" x14ac:dyDescent="0.25">
      <c r="A2215" s="10" t="s">
        <v>1003</v>
      </c>
      <c r="B2215" s="7" t="s">
        <v>2325</v>
      </c>
    </row>
    <row r="2216" spans="1:2" x14ac:dyDescent="0.25">
      <c r="A2216" s="10" t="s">
        <v>509</v>
      </c>
      <c r="B2216" s="7" t="s">
        <v>2325</v>
      </c>
    </row>
    <row r="2217" spans="1:2" x14ac:dyDescent="0.25">
      <c r="A2217" s="10" t="s">
        <v>240</v>
      </c>
      <c r="B2217" s="7" t="s">
        <v>2325</v>
      </c>
    </row>
    <row r="2218" spans="1:2" x14ac:dyDescent="0.25">
      <c r="A2218" s="10" t="s">
        <v>2316</v>
      </c>
      <c r="B2218" s="7" t="s">
        <v>2325</v>
      </c>
    </row>
    <row r="2219" spans="1:2" x14ac:dyDescent="0.25">
      <c r="A2219" s="10" t="s">
        <v>2317</v>
      </c>
      <c r="B2219" s="7" t="s">
        <v>2325</v>
      </c>
    </row>
    <row r="2220" spans="1:2" x14ac:dyDescent="0.25">
      <c r="A2220" s="10" t="s">
        <v>1005</v>
      </c>
      <c r="B2220" s="7" t="s">
        <v>2325</v>
      </c>
    </row>
    <row r="2221" spans="1:2" x14ac:dyDescent="0.25">
      <c r="A2221" s="10" t="s">
        <v>923</v>
      </c>
      <c r="B2221" s="7" t="s">
        <v>2325</v>
      </c>
    </row>
    <row r="2222" spans="1:2" x14ac:dyDescent="0.25">
      <c r="A2222" s="10" t="s">
        <v>558</v>
      </c>
      <c r="B2222" s="7" t="s">
        <v>2325</v>
      </c>
    </row>
    <row r="2223" spans="1:2" x14ac:dyDescent="0.25">
      <c r="A2223" s="10" t="s">
        <v>2318</v>
      </c>
      <c r="B2223" s="7" t="s">
        <v>2325</v>
      </c>
    </row>
    <row r="2224" spans="1:2" x14ac:dyDescent="0.25">
      <c r="A2224" s="10" t="s">
        <v>524</v>
      </c>
      <c r="B2224" s="7" t="s">
        <v>2325</v>
      </c>
    </row>
    <row r="2225" spans="1:2" x14ac:dyDescent="0.25">
      <c r="A2225" s="10" t="s">
        <v>115</v>
      </c>
      <c r="B2225" s="7" t="s">
        <v>2325</v>
      </c>
    </row>
    <row r="2226" spans="1:2" x14ac:dyDescent="0.25">
      <c r="A2226" s="10" t="s">
        <v>181</v>
      </c>
      <c r="B2226" s="7" t="s">
        <v>2325</v>
      </c>
    </row>
    <row r="2227" spans="1:2" x14ac:dyDescent="0.25">
      <c r="A2227" s="10" t="s">
        <v>1253</v>
      </c>
      <c r="B2227" s="7" t="s">
        <v>2325</v>
      </c>
    </row>
    <row r="2228" spans="1:2" x14ac:dyDescent="0.25">
      <c r="A2228" s="10" t="s">
        <v>735</v>
      </c>
      <c r="B2228" s="7" t="s">
        <v>2325</v>
      </c>
    </row>
    <row r="2229" spans="1:2" x14ac:dyDescent="0.25">
      <c r="A2229" s="10" t="s">
        <v>819</v>
      </c>
      <c r="B2229" s="7" t="s">
        <v>2325</v>
      </c>
    </row>
    <row r="2230" spans="1:2" x14ac:dyDescent="0.25">
      <c r="A2230" s="10" t="s">
        <v>777</v>
      </c>
      <c r="B2230" s="7" t="s">
        <v>2325</v>
      </c>
    </row>
    <row r="2231" spans="1:2" x14ac:dyDescent="0.25">
      <c r="A2231" s="10" t="s">
        <v>37</v>
      </c>
      <c r="B2231" s="7" t="s">
        <v>2325</v>
      </c>
    </row>
    <row r="2232" spans="1:2" x14ac:dyDescent="0.25">
      <c r="A2232" s="10" t="s">
        <v>2319</v>
      </c>
      <c r="B2232" s="7" t="s">
        <v>2325</v>
      </c>
    </row>
    <row r="2233" spans="1:2" x14ac:dyDescent="0.25">
      <c r="A2233" s="10" t="s">
        <v>174</v>
      </c>
      <c r="B2233" s="7" t="s">
        <v>2325</v>
      </c>
    </row>
    <row r="2234" spans="1:2" x14ac:dyDescent="0.25">
      <c r="A2234" s="10" t="s">
        <v>1053</v>
      </c>
      <c r="B2234" s="7" t="s">
        <v>2325</v>
      </c>
    </row>
    <row r="2235" spans="1:2" x14ac:dyDescent="0.25">
      <c r="A2235" s="10" t="s">
        <v>594</v>
      </c>
      <c r="B2235" s="7" t="s">
        <v>2325</v>
      </c>
    </row>
    <row r="2236" spans="1:2" x14ac:dyDescent="0.25">
      <c r="A2236" s="10" t="s">
        <v>634</v>
      </c>
      <c r="B2236" s="7" t="s">
        <v>2325</v>
      </c>
    </row>
    <row r="2237" spans="1:2" x14ac:dyDescent="0.25">
      <c r="A2237" s="10" t="s">
        <v>1017</v>
      </c>
      <c r="B2237" s="7" t="s">
        <v>2325</v>
      </c>
    </row>
    <row r="2238" spans="1:2" x14ac:dyDescent="0.25">
      <c r="A2238" s="10" t="s">
        <v>562</v>
      </c>
      <c r="B2238" s="7" t="s">
        <v>2325</v>
      </c>
    </row>
    <row r="2239" spans="1:2" x14ac:dyDescent="0.25">
      <c r="A2239" s="10" t="s">
        <v>789</v>
      </c>
      <c r="B2239" s="7" t="s">
        <v>2325</v>
      </c>
    </row>
    <row r="2240" spans="1:2" x14ac:dyDescent="0.25">
      <c r="A2240" s="10" t="s">
        <v>1136</v>
      </c>
      <c r="B2240" s="7" t="s">
        <v>2325</v>
      </c>
    </row>
    <row r="2241" spans="1:2" x14ac:dyDescent="0.25">
      <c r="A2241" s="10" t="s">
        <v>702</v>
      </c>
      <c r="B2241" s="7" t="s">
        <v>2325</v>
      </c>
    </row>
    <row r="2242" spans="1:2" x14ac:dyDescent="0.25">
      <c r="A2242" s="10" t="s">
        <v>1015</v>
      </c>
      <c r="B2242" s="7" t="s">
        <v>2325</v>
      </c>
    </row>
    <row r="2243" spans="1:2" x14ac:dyDescent="0.25">
      <c r="A2243" s="10" t="s">
        <v>2320</v>
      </c>
      <c r="B2243" s="7" t="s">
        <v>2325</v>
      </c>
    </row>
    <row r="2244" spans="1:2" x14ac:dyDescent="0.25">
      <c r="A2244" s="10" t="s">
        <v>1047</v>
      </c>
      <c r="B2244" s="7" t="s">
        <v>2325</v>
      </c>
    </row>
    <row r="2245" spans="1:2" x14ac:dyDescent="0.25">
      <c r="A2245" s="10" t="s">
        <v>864</v>
      </c>
      <c r="B2245" s="7" t="s">
        <v>2325</v>
      </c>
    </row>
    <row r="2246" spans="1:2" x14ac:dyDescent="0.25">
      <c r="A2246" s="10" t="s">
        <v>1052</v>
      </c>
      <c r="B2246" s="7" t="s">
        <v>2325</v>
      </c>
    </row>
    <row r="2247" spans="1:2" x14ac:dyDescent="0.25">
      <c r="A2247" s="10" t="s">
        <v>994</v>
      </c>
      <c r="B2247" s="7" t="s">
        <v>2325</v>
      </c>
    </row>
    <row r="2248" spans="1:2" x14ac:dyDescent="0.25">
      <c r="A2248" s="10" t="s">
        <v>757</v>
      </c>
      <c r="B2248" s="7" t="s">
        <v>2325</v>
      </c>
    </row>
    <row r="2249" spans="1:2" x14ac:dyDescent="0.25">
      <c r="A2249" s="10" t="s">
        <v>912</v>
      </c>
      <c r="B2249" s="7" t="s">
        <v>2325</v>
      </c>
    </row>
    <row r="2250" spans="1:2" x14ac:dyDescent="0.25">
      <c r="A2250" s="10" t="s">
        <v>800</v>
      </c>
      <c r="B2250" s="7" t="s">
        <v>2325</v>
      </c>
    </row>
    <row r="2251" spans="1:2" x14ac:dyDescent="0.25">
      <c r="A2251" s="10" t="s">
        <v>100</v>
      </c>
      <c r="B2251" s="7" t="s">
        <v>2325</v>
      </c>
    </row>
    <row r="2252" spans="1:2" x14ac:dyDescent="0.25">
      <c r="A2252" s="10" t="s">
        <v>918</v>
      </c>
      <c r="B2252" s="7" t="s">
        <v>2325</v>
      </c>
    </row>
    <row r="2253" spans="1:2" x14ac:dyDescent="0.25">
      <c r="A2253" s="10" t="s">
        <v>705</v>
      </c>
      <c r="B2253" s="7" t="s">
        <v>2325</v>
      </c>
    </row>
    <row r="2254" spans="1:2" x14ac:dyDescent="0.25">
      <c r="A2254" s="10" t="s">
        <v>238</v>
      </c>
      <c r="B2254" s="7" t="s">
        <v>2325</v>
      </c>
    </row>
    <row r="2255" spans="1:2" x14ac:dyDescent="0.25">
      <c r="A2255" s="10" t="s">
        <v>783</v>
      </c>
      <c r="B2255" s="7" t="s">
        <v>2325</v>
      </c>
    </row>
    <row r="2256" spans="1:2" x14ac:dyDescent="0.25">
      <c r="A2256" s="10" t="s">
        <v>707</v>
      </c>
      <c r="B2256" s="7" t="s">
        <v>2325</v>
      </c>
    </row>
    <row r="2257" spans="1:2" x14ac:dyDescent="0.25">
      <c r="A2257" s="10" t="s">
        <v>718</v>
      </c>
      <c r="B2257" s="7" t="s">
        <v>2325</v>
      </c>
    </row>
    <row r="2258" spans="1:2" x14ac:dyDescent="0.25">
      <c r="A2258" s="10" t="s">
        <v>304</v>
      </c>
      <c r="B2258" s="7" t="s">
        <v>2325</v>
      </c>
    </row>
    <row r="2259" spans="1:2" x14ac:dyDescent="0.25">
      <c r="A2259" s="10" t="s">
        <v>2321</v>
      </c>
      <c r="B2259" s="7" t="s">
        <v>2325</v>
      </c>
    </row>
    <row r="2260" spans="1:2" x14ac:dyDescent="0.25">
      <c r="A2260" s="10" t="s">
        <v>2322</v>
      </c>
      <c r="B2260" s="7" t="s">
        <v>2325</v>
      </c>
    </row>
    <row r="2261" spans="1:2" x14ac:dyDescent="0.25">
      <c r="A2261" s="10" t="s">
        <v>823</v>
      </c>
      <c r="B2261" s="7" t="s">
        <v>2325</v>
      </c>
    </row>
    <row r="2262" spans="1:2" x14ac:dyDescent="0.25">
      <c r="A2262" s="10" t="s">
        <v>939</v>
      </c>
      <c r="B2262" s="7" t="s">
        <v>2325</v>
      </c>
    </row>
    <row r="2263" spans="1:2" x14ac:dyDescent="0.25">
      <c r="A2263" s="10" t="s">
        <v>511</v>
      </c>
      <c r="B2263" s="7" t="s">
        <v>2325</v>
      </c>
    </row>
    <row r="2264" spans="1:2" x14ac:dyDescent="0.25">
      <c r="A2264" s="10" t="s">
        <v>2323</v>
      </c>
      <c r="B2264" s="7" t="s">
        <v>2325</v>
      </c>
    </row>
    <row r="2265" spans="1:2" x14ac:dyDescent="0.25">
      <c r="A2265" s="10" t="s">
        <v>940</v>
      </c>
      <c r="B2265" s="7" t="s">
        <v>2325</v>
      </c>
    </row>
    <row r="2266" spans="1:2" x14ac:dyDescent="0.25">
      <c r="A2266" s="10" t="s">
        <v>865</v>
      </c>
      <c r="B2266" s="7" t="s">
        <v>2325</v>
      </c>
    </row>
    <row r="2267" spans="1:2" x14ac:dyDescent="0.25">
      <c r="A2267" s="10" t="s">
        <v>2324</v>
      </c>
      <c r="B2267" s="7" t="s">
        <v>2325</v>
      </c>
    </row>
    <row r="2268" spans="1:2" x14ac:dyDescent="0.25">
      <c r="A2268" s="10" t="s">
        <v>1209</v>
      </c>
      <c r="B2268" s="7" t="s">
        <v>2325</v>
      </c>
    </row>
    <row r="2269" spans="1:2" x14ac:dyDescent="0.25">
      <c r="A2269" s="10" t="s">
        <v>1058</v>
      </c>
      <c r="B2269" s="7" t="s">
        <v>2325</v>
      </c>
    </row>
    <row r="2270" spans="1:2" x14ac:dyDescent="0.25">
      <c r="A2270" s="12" t="s">
        <v>435</v>
      </c>
      <c r="B2270" s="7" t="s">
        <v>2504</v>
      </c>
    </row>
    <row r="2271" spans="1:2" x14ac:dyDescent="0.25">
      <c r="A2271" s="12" t="s">
        <v>2360</v>
      </c>
      <c r="B2271" s="7" t="s">
        <v>2504</v>
      </c>
    </row>
    <row r="2272" spans="1:2" x14ac:dyDescent="0.25">
      <c r="A2272" s="12" t="s">
        <v>113</v>
      </c>
      <c r="B2272" s="7" t="s">
        <v>2504</v>
      </c>
    </row>
    <row r="2273" spans="1:2" x14ac:dyDescent="0.25">
      <c r="A2273" s="12" t="s">
        <v>2361</v>
      </c>
      <c r="B2273" s="7" t="s">
        <v>2504</v>
      </c>
    </row>
    <row r="2274" spans="1:2" x14ac:dyDescent="0.25">
      <c r="A2274" s="12" t="s">
        <v>2327</v>
      </c>
      <c r="B2274" s="7" t="s">
        <v>2504</v>
      </c>
    </row>
    <row r="2275" spans="1:2" x14ac:dyDescent="0.25">
      <c r="A2275" s="12" t="s">
        <v>2362</v>
      </c>
      <c r="B2275" s="7" t="s">
        <v>2504</v>
      </c>
    </row>
    <row r="2276" spans="1:2" x14ac:dyDescent="0.25">
      <c r="A2276" s="12" t="s">
        <v>2357</v>
      </c>
      <c r="B2276" s="7" t="s">
        <v>2504</v>
      </c>
    </row>
    <row r="2277" spans="1:2" x14ac:dyDescent="0.25">
      <c r="A2277" s="12" t="s">
        <v>2363</v>
      </c>
      <c r="B2277" s="7" t="s">
        <v>2504</v>
      </c>
    </row>
    <row r="2278" spans="1:2" x14ac:dyDescent="0.25">
      <c r="A2278" s="12" t="s">
        <v>1099</v>
      </c>
      <c r="B2278" s="7" t="s">
        <v>2504</v>
      </c>
    </row>
    <row r="2279" spans="1:2" x14ac:dyDescent="0.25">
      <c r="A2279" s="12" t="s">
        <v>2364</v>
      </c>
      <c r="B2279" s="7" t="s">
        <v>2504</v>
      </c>
    </row>
    <row r="2280" spans="1:2" x14ac:dyDescent="0.25">
      <c r="A2280" s="12" t="s">
        <v>1144</v>
      </c>
      <c r="B2280" s="7" t="s">
        <v>2504</v>
      </c>
    </row>
    <row r="2281" spans="1:2" x14ac:dyDescent="0.25">
      <c r="A2281" s="12" t="s">
        <v>851</v>
      </c>
      <c r="B2281" s="7" t="s">
        <v>2504</v>
      </c>
    </row>
    <row r="2282" spans="1:2" x14ac:dyDescent="0.25">
      <c r="A2282" s="12" t="s">
        <v>2352</v>
      </c>
      <c r="B2282" s="7" t="s">
        <v>2504</v>
      </c>
    </row>
    <row r="2283" spans="1:2" x14ac:dyDescent="0.25">
      <c r="A2283" s="12" t="s">
        <v>2365</v>
      </c>
      <c r="B2283" s="7" t="s">
        <v>2504</v>
      </c>
    </row>
    <row r="2284" spans="1:2" x14ac:dyDescent="0.25">
      <c r="A2284" s="12" t="s">
        <v>275</v>
      </c>
      <c r="B2284" s="7" t="s">
        <v>2504</v>
      </c>
    </row>
    <row r="2285" spans="1:2" x14ac:dyDescent="0.25">
      <c r="A2285" s="12" t="s">
        <v>2328</v>
      </c>
      <c r="B2285" s="7" t="s">
        <v>2504</v>
      </c>
    </row>
    <row r="2286" spans="1:2" x14ac:dyDescent="0.25">
      <c r="A2286" s="12" t="s">
        <v>2343</v>
      </c>
      <c r="B2286" s="7" t="s">
        <v>2504</v>
      </c>
    </row>
    <row r="2287" spans="1:2" x14ac:dyDescent="0.25">
      <c r="A2287" s="12" t="s">
        <v>1230</v>
      </c>
      <c r="B2287" s="7" t="s">
        <v>2504</v>
      </c>
    </row>
    <row r="2288" spans="1:2" x14ac:dyDescent="0.25">
      <c r="A2288" s="12" t="s">
        <v>574</v>
      </c>
      <c r="B2288" s="7" t="s">
        <v>2504</v>
      </c>
    </row>
    <row r="2289" spans="1:2" x14ac:dyDescent="0.25">
      <c r="A2289" s="12" t="s">
        <v>2366</v>
      </c>
      <c r="B2289" s="7" t="s">
        <v>2504</v>
      </c>
    </row>
    <row r="2290" spans="1:2" x14ac:dyDescent="0.25">
      <c r="A2290" s="12" t="s">
        <v>470</v>
      </c>
      <c r="B2290" s="7" t="s">
        <v>2504</v>
      </c>
    </row>
    <row r="2291" spans="1:2" x14ac:dyDescent="0.25">
      <c r="A2291" s="12" t="s">
        <v>462</v>
      </c>
      <c r="B2291" s="7" t="s">
        <v>2504</v>
      </c>
    </row>
    <row r="2292" spans="1:2" x14ac:dyDescent="0.25">
      <c r="A2292" s="12" t="s">
        <v>1240</v>
      </c>
      <c r="B2292" s="7" t="s">
        <v>2504</v>
      </c>
    </row>
    <row r="2293" spans="1:2" x14ac:dyDescent="0.25">
      <c r="A2293" s="12" t="s">
        <v>1175</v>
      </c>
      <c r="B2293" s="7" t="s">
        <v>2504</v>
      </c>
    </row>
    <row r="2294" spans="1:2" x14ac:dyDescent="0.25">
      <c r="A2294" s="12" t="s">
        <v>548</v>
      </c>
      <c r="B2294" s="7" t="s">
        <v>2504</v>
      </c>
    </row>
    <row r="2295" spans="1:2" x14ac:dyDescent="0.25">
      <c r="A2295" s="12" t="s">
        <v>1195</v>
      </c>
      <c r="B2295" s="7" t="s">
        <v>2504</v>
      </c>
    </row>
    <row r="2296" spans="1:2" x14ac:dyDescent="0.25">
      <c r="A2296" s="12" t="s">
        <v>2367</v>
      </c>
      <c r="B2296" s="7" t="s">
        <v>2504</v>
      </c>
    </row>
    <row r="2297" spans="1:2" x14ac:dyDescent="0.25">
      <c r="A2297" s="12" t="s">
        <v>2330</v>
      </c>
      <c r="B2297" s="7" t="s">
        <v>2504</v>
      </c>
    </row>
    <row r="2298" spans="1:2" x14ac:dyDescent="0.25">
      <c r="A2298" s="12" t="s">
        <v>2349</v>
      </c>
      <c r="B2298" s="7" t="s">
        <v>2504</v>
      </c>
    </row>
    <row r="2299" spans="1:2" x14ac:dyDescent="0.25">
      <c r="A2299" s="12" t="s">
        <v>1075</v>
      </c>
      <c r="B2299" s="7" t="s">
        <v>2504</v>
      </c>
    </row>
    <row r="2300" spans="1:2" x14ac:dyDescent="0.25">
      <c r="A2300" s="12" t="s">
        <v>2368</v>
      </c>
      <c r="B2300" s="7" t="s">
        <v>2504</v>
      </c>
    </row>
    <row r="2301" spans="1:2" x14ac:dyDescent="0.25">
      <c r="A2301" s="12" t="s">
        <v>1613</v>
      </c>
      <c r="B2301" s="7" t="s">
        <v>2504</v>
      </c>
    </row>
    <row r="2302" spans="1:2" x14ac:dyDescent="0.25">
      <c r="A2302" s="12" t="s">
        <v>2331</v>
      </c>
      <c r="B2302" s="7" t="s">
        <v>2504</v>
      </c>
    </row>
    <row r="2303" spans="1:2" x14ac:dyDescent="0.25">
      <c r="A2303" s="12" t="s">
        <v>433</v>
      </c>
      <c r="B2303" s="7" t="s">
        <v>2504</v>
      </c>
    </row>
    <row r="2304" spans="1:2" x14ac:dyDescent="0.25">
      <c r="A2304" s="12" t="s">
        <v>2369</v>
      </c>
      <c r="B2304" s="7" t="s">
        <v>2504</v>
      </c>
    </row>
    <row r="2305" spans="1:2" x14ac:dyDescent="0.25">
      <c r="A2305" s="12" t="s">
        <v>2370</v>
      </c>
      <c r="B2305" s="7" t="s">
        <v>2504</v>
      </c>
    </row>
    <row r="2306" spans="1:2" x14ac:dyDescent="0.25">
      <c r="A2306" s="12" t="s">
        <v>2371</v>
      </c>
      <c r="B2306" s="7" t="s">
        <v>2504</v>
      </c>
    </row>
    <row r="2307" spans="1:2" x14ac:dyDescent="0.25">
      <c r="A2307" s="12" t="s">
        <v>2372</v>
      </c>
      <c r="B2307" s="7" t="s">
        <v>2504</v>
      </c>
    </row>
    <row r="2308" spans="1:2" x14ac:dyDescent="0.25">
      <c r="A2308" s="12" t="s">
        <v>2373</v>
      </c>
      <c r="B2308" s="7" t="s">
        <v>2504</v>
      </c>
    </row>
    <row r="2309" spans="1:2" x14ac:dyDescent="0.25">
      <c r="A2309" s="12" t="s">
        <v>296</v>
      </c>
      <c r="B2309" s="7" t="s">
        <v>2504</v>
      </c>
    </row>
    <row r="2310" spans="1:2" x14ac:dyDescent="0.25">
      <c r="A2310" s="12" t="s">
        <v>17</v>
      </c>
      <c r="B2310" s="7" t="s">
        <v>2504</v>
      </c>
    </row>
    <row r="2311" spans="1:2" x14ac:dyDescent="0.25">
      <c r="A2311" s="12" t="s">
        <v>2374</v>
      </c>
      <c r="B2311" s="7" t="s">
        <v>2504</v>
      </c>
    </row>
    <row r="2312" spans="1:2" x14ac:dyDescent="0.25">
      <c r="A2312" s="12" t="s">
        <v>2375</v>
      </c>
      <c r="B2312" s="7" t="s">
        <v>2504</v>
      </c>
    </row>
    <row r="2313" spans="1:2" x14ac:dyDescent="0.25">
      <c r="A2313" s="12" t="s">
        <v>2376</v>
      </c>
      <c r="B2313" s="7" t="s">
        <v>2504</v>
      </c>
    </row>
    <row r="2314" spans="1:2" x14ac:dyDescent="0.25">
      <c r="A2314" s="12" t="s">
        <v>2377</v>
      </c>
      <c r="B2314" s="7" t="s">
        <v>2504</v>
      </c>
    </row>
    <row r="2315" spans="1:2" x14ac:dyDescent="0.25">
      <c r="A2315" s="12" t="s">
        <v>309</v>
      </c>
      <c r="B2315" s="7" t="s">
        <v>2504</v>
      </c>
    </row>
    <row r="2316" spans="1:2" x14ac:dyDescent="0.25">
      <c r="A2316" s="12" t="s">
        <v>2378</v>
      </c>
      <c r="B2316" s="7" t="s">
        <v>2504</v>
      </c>
    </row>
    <row r="2317" spans="1:2" x14ac:dyDescent="0.25">
      <c r="A2317" s="12" t="s">
        <v>337</v>
      </c>
      <c r="B2317" s="7" t="s">
        <v>2504</v>
      </c>
    </row>
    <row r="2318" spans="1:2" x14ac:dyDescent="0.25">
      <c r="A2318" s="12" t="s">
        <v>2379</v>
      </c>
      <c r="B2318" s="7" t="s">
        <v>2504</v>
      </c>
    </row>
    <row r="2319" spans="1:2" x14ac:dyDescent="0.25">
      <c r="A2319" s="12" t="s">
        <v>119</v>
      </c>
      <c r="B2319" s="7" t="s">
        <v>2504</v>
      </c>
    </row>
    <row r="2320" spans="1:2" x14ac:dyDescent="0.25">
      <c r="A2320" s="12" t="s">
        <v>2380</v>
      </c>
      <c r="B2320" s="7" t="s">
        <v>2504</v>
      </c>
    </row>
    <row r="2321" spans="1:2" x14ac:dyDescent="0.25">
      <c r="A2321" s="12" t="s">
        <v>2381</v>
      </c>
      <c r="B2321" s="7" t="s">
        <v>2504</v>
      </c>
    </row>
    <row r="2322" spans="1:2" x14ac:dyDescent="0.25">
      <c r="A2322" s="12" t="s">
        <v>2382</v>
      </c>
      <c r="B2322" s="7" t="s">
        <v>2504</v>
      </c>
    </row>
    <row r="2323" spans="1:2" x14ac:dyDescent="0.25">
      <c r="A2323" s="12" t="s">
        <v>2383</v>
      </c>
      <c r="B2323" s="7" t="s">
        <v>2504</v>
      </c>
    </row>
    <row r="2324" spans="1:2" x14ac:dyDescent="0.25">
      <c r="A2324" s="12" t="s">
        <v>821</v>
      </c>
      <c r="B2324" s="7" t="s">
        <v>2504</v>
      </c>
    </row>
    <row r="2325" spans="1:2" x14ac:dyDescent="0.25">
      <c r="A2325" s="12" t="s">
        <v>2384</v>
      </c>
      <c r="B2325" s="7" t="s">
        <v>2504</v>
      </c>
    </row>
    <row r="2326" spans="1:2" x14ac:dyDescent="0.25">
      <c r="A2326" s="12" t="s">
        <v>1140</v>
      </c>
      <c r="B2326" s="7" t="s">
        <v>2504</v>
      </c>
    </row>
    <row r="2327" spans="1:2" x14ac:dyDescent="0.25">
      <c r="A2327" s="12" t="s">
        <v>2329</v>
      </c>
      <c r="B2327" s="7" t="s">
        <v>2504</v>
      </c>
    </row>
    <row r="2328" spans="1:2" x14ac:dyDescent="0.25">
      <c r="A2328" s="12" t="s">
        <v>1111</v>
      </c>
      <c r="B2328" s="7" t="s">
        <v>2504</v>
      </c>
    </row>
    <row r="2329" spans="1:2" x14ac:dyDescent="0.25">
      <c r="A2329" s="12" t="s">
        <v>137</v>
      </c>
      <c r="B2329" s="7" t="s">
        <v>2504</v>
      </c>
    </row>
    <row r="2330" spans="1:2" x14ac:dyDescent="0.25">
      <c r="A2330" s="12" t="s">
        <v>126</v>
      </c>
      <c r="B2330" s="7" t="s">
        <v>2504</v>
      </c>
    </row>
    <row r="2331" spans="1:2" x14ac:dyDescent="0.25">
      <c r="A2331" s="12" t="s">
        <v>832</v>
      </c>
      <c r="B2331" s="7" t="s">
        <v>2504</v>
      </c>
    </row>
    <row r="2332" spans="1:2" x14ac:dyDescent="0.25">
      <c r="A2332" s="12" t="s">
        <v>2385</v>
      </c>
      <c r="B2332" s="7" t="s">
        <v>2504</v>
      </c>
    </row>
    <row r="2333" spans="1:2" x14ac:dyDescent="0.25">
      <c r="A2333" s="12" t="s">
        <v>2386</v>
      </c>
      <c r="B2333" s="7" t="s">
        <v>2504</v>
      </c>
    </row>
    <row r="2334" spans="1:2" x14ac:dyDescent="0.25">
      <c r="A2334" s="12" t="s">
        <v>1020</v>
      </c>
      <c r="B2334" s="7" t="s">
        <v>2504</v>
      </c>
    </row>
    <row r="2335" spans="1:2" x14ac:dyDescent="0.25">
      <c r="A2335" s="12" t="s">
        <v>2387</v>
      </c>
      <c r="B2335" s="7" t="s">
        <v>2504</v>
      </c>
    </row>
    <row r="2336" spans="1:2" x14ac:dyDescent="0.25">
      <c r="A2336" s="12" t="s">
        <v>519</v>
      </c>
      <c r="B2336" s="7" t="s">
        <v>2504</v>
      </c>
    </row>
    <row r="2337" spans="1:2" x14ac:dyDescent="0.25">
      <c r="A2337" s="12" t="s">
        <v>2388</v>
      </c>
      <c r="B2337" s="7" t="s">
        <v>2504</v>
      </c>
    </row>
    <row r="2338" spans="1:2" x14ac:dyDescent="0.25">
      <c r="A2338" s="12" t="s">
        <v>1200</v>
      </c>
      <c r="B2338" s="7" t="s">
        <v>2504</v>
      </c>
    </row>
    <row r="2339" spans="1:2" x14ac:dyDescent="0.25">
      <c r="A2339" s="12" t="s">
        <v>2389</v>
      </c>
      <c r="B2339" s="7" t="s">
        <v>2504</v>
      </c>
    </row>
    <row r="2340" spans="1:2" x14ac:dyDescent="0.25">
      <c r="A2340" s="12" t="s">
        <v>2390</v>
      </c>
      <c r="B2340" s="7" t="s">
        <v>2504</v>
      </c>
    </row>
    <row r="2341" spans="1:2" x14ac:dyDescent="0.25">
      <c r="A2341" s="12" t="s">
        <v>180</v>
      </c>
      <c r="B2341" s="7" t="s">
        <v>2504</v>
      </c>
    </row>
    <row r="2342" spans="1:2" x14ac:dyDescent="0.25">
      <c r="A2342" s="12" t="s">
        <v>2345</v>
      </c>
      <c r="B2342" s="7" t="s">
        <v>2504</v>
      </c>
    </row>
    <row r="2343" spans="1:2" x14ac:dyDescent="0.25">
      <c r="A2343" s="12" t="s">
        <v>2391</v>
      </c>
      <c r="B2343" s="7" t="s">
        <v>2504</v>
      </c>
    </row>
    <row r="2344" spans="1:2" x14ac:dyDescent="0.25">
      <c r="A2344" s="12" t="s">
        <v>2392</v>
      </c>
      <c r="B2344" s="7" t="s">
        <v>2504</v>
      </c>
    </row>
    <row r="2345" spans="1:2" x14ac:dyDescent="0.25">
      <c r="A2345" s="12" t="s">
        <v>1615</v>
      </c>
      <c r="B2345" s="7" t="s">
        <v>2504</v>
      </c>
    </row>
    <row r="2346" spans="1:2" x14ac:dyDescent="0.25">
      <c r="A2346" s="12" t="s">
        <v>1135</v>
      </c>
      <c r="B2346" s="7" t="s">
        <v>2504</v>
      </c>
    </row>
    <row r="2347" spans="1:2" x14ac:dyDescent="0.25">
      <c r="A2347" s="12" t="s">
        <v>2393</v>
      </c>
      <c r="B2347" s="7" t="s">
        <v>2504</v>
      </c>
    </row>
    <row r="2348" spans="1:2" x14ac:dyDescent="0.25">
      <c r="A2348" s="12" t="s">
        <v>412</v>
      </c>
      <c r="B2348" s="7" t="s">
        <v>2504</v>
      </c>
    </row>
    <row r="2349" spans="1:2" x14ac:dyDescent="0.25">
      <c r="A2349" s="12" t="s">
        <v>434</v>
      </c>
      <c r="B2349" s="7" t="s">
        <v>2504</v>
      </c>
    </row>
    <row r="2350" spans="1:2" x14ac:dyDescent="0.25">
      <c r="A2350" s="12" t="s">
        <v>2353</v>
      </c>
      <c r="B2350" s="7" t="s">
        <v>2504</v>
      </c>
    </row>
    <row r="2351" spans="1:2" x14ac:dyDescent="0.25">
      <c r="A2351" s="12" t="s">
        <v>262</v>
      </c>
      <c r="B2351" s="7" t="s">
        <v>2504</v>
      </c>
    </row>
    <row r="2352" spans="1:2" x14ac:dyDescent="0.25">
      <c r="A2352" s="12" t="s">
        <v>2394</v>
      </c>
      <c r="B2352" s="7" t="s">
        <v>2504</v>
      </c>
    </row>
    <row r="2353" spans="1:2" x14ac:dyDescent="0.25">
      <c r="A2353" s="12" t="s">
        <v>2395</v>
      </c>
      <c r="B2353" s="7" t="s">
        <v>2504</v>
      </c>
    </row>
    <row r="2354" spans="1:2" x14ac:dyDescent="0.25">
      <c r="A2354" s="12" t="s">
        <v>2135</v>
      </c>
      <c r="B2354" s="7" t="s">
        <v>2504</v>
      </c>
    </row>
    <row r="2355" spans="1:2" x14ac:dyDescent="0.25">
      <c r="A2355" s="12" t="s">
        <v>868</v>
      </c>
      <c r="B2355" s="7" t="s">
        <v>2504</v>
      </c>
    </row>
    <row r="2356" spans="1:2" x14ac:dyDescent="0.25">
      <c r="A2356" s="12" t="s">
        <v>2396</v>
      </c>
      <c r="B2356" s="7" t="s">
        <v>2504</v>
      </c>
    </row>
    <row r="2357" spans="1:2" x14ac:dyDescent="0.25">
      <c r="A2357" s="12" t="s">
        <v>2397</v>
      </c>
      <c r="B2357" s="7" t="s">
        <v>2504</v>
      </c>
    </row>
    <row r="2358" spans="1:2" x14ac:dyDescent="0.25">
      <c r="A2358" s="12" t="s">
        <v>2398</v>
      </c>
      <c r="B2358" s="7" t="s">
        <v>2504</v>
      </c>
    </row>
    <row r="2359" spans="1:2" x14ac:dyDescent="0.25">
      <c r="A2359" s="12" t="s">
        <v>2399</v>
      </c>
      <c r="B2359" s="7" t="s">
        <v>2504</v>
      </c>
    </row>
    <row r="2360" spans="1:2" x14ac:dyDescent="0.25">
      <c r="A2360" s="12" t="s">
        <v>2400</v>
      </c>
      <c r="B2360" s="7" t="s">
        <v>2504</v>
      </c>
    </row>
    <row r="2361" spans="1:2" x14ac:dyDescent="0.25">
      <c r="A2361" s="12" t="s">
        <v>2401</v>
      </c>
      <c r="B2361" s="7" t="s">
        <v>2504</v>
      </c>
    </row>
    <row r="2362" spans="1:2" x14ac:dyDescent="0.25">
      <c r="A2362" s="12" t="s">
        <v>144</v>
      </c>
      <c r="B2362" s="7" t="s">
        <v>2504</v>
      </c>
    </row>
    <row r="2363" spans="1:2" x14ac:dyDescent="0.25">
      <c r="A2363" s="12" t="s">
        <v>2340</v>
      </c>
      <c r="B2363" s="7" t="s">
        <v>2504</v>
      </c>
    </row>
    <row r="2364" spans="1:2" x14ac:dyDescent="0.25">
      <c r="A2364" s="12" t="s">
        <v>2402</v>
      </c>
      <c r="B2364" s="7" t="s">
        <v>2504</v>
      </c>
    </row>
    <row r="2365" spans="1:2" x14ac:dyDescent="0.25">
      <c r="A2365" s="12" t="s">
        <v>2333</v>
      </c>
      <c r="B2365" s="7" t="s">
        <v>2504</v>
      </c>
    </row>
    <row r="2366" spans="1:2" x14ac:dyDescent="0.25">
      <c r="A2366" s="12" t="s">
        <v>2403</v>
      </c>
      <c r="B2366" s="7" t="s">
        <v>2504</v>
      </c>
    </row>
    <row r="2367" spans="1:2" x14ac:dyDescent="0.25">
      <c r="A2367" s="12" t="s">
        <v>369</v>
      </c>
      <c r="B2367" s="7" t="s">
        <v>2504</v>
      </c>
    </row>
    <row r="2368" spans="1:2" x14ac:dyDescent="0.25">
      <c r="A2368" s="12" t="s">
        <v>813</v>
      </c>
      <c r="B2368" s="7" t="s">
        <v>2504</v>
      </c>
    </row>
    <row r="2369" spans="1:2" x14ac:dyDescent="0.25">
      <c r="A2369" s="12" t="s">
        <v>1255</v>
      </c>
      <c r="B2369" s="7" t="s">
        <v>2504</v>
      </c>
    </row>
    <row r="2370" spans="1:2" x14ac:dyDescent="0.25">
      <c r="A2370" s="12" t="s">
        <v>466</v>
      </c>
      <c r="B2370" s="7" t="s">
        <v>2504</v>
      </c>
    </row>
    <row r="2371" spans="1:2" x14ac:dyDescent="0.25">
      <c r="A2371" s="12" t="s">
        <v>1077</v>
      </c>
      <c r="B2371" s="7" t="s">
        <v>2504</v>
      </c>
    </row>
    <row r="2372" spans="1:2" x14ac:dyDescent="0.25">
      <c r="A2372" s="12" t="s">
        <v>255</v>
      </c>
      <c r="B2372" s="7" t="s">
        <v>2504</v>
      </c>
    </row>
    <row r="2373" spans="1:2" x14ac:dyDescent="0.25">
      <c r="A2373" s="12" t="s">
        <v>2404</v>
      </c>
      <c r="B2373" s="7" t="s">
        <v>2504</v>
      </c>
    </row>
    <row r="2374" spans="1:2" x14ac:dyDescent="0.25">
      <c r="A2374" s="12" t="s">
        <v>2405</v>
      </c>
      <c r="B2374" s="7" t="s">
        <v>2504</v>
      </c>
    </row>
    <row r="2375" spans="1:2" x14ac:dyDescent="0.25">
      <c r="A2375" s="12" t="s">
        <v>2406</v>
      </c>
      <c r="B2375" s="7" t="s">
        <v>2504</v>
      </c>
    </row>
    <row r="2376" spans="1:2" x14ac:dyDescent="0.25">
      <c r="A2376" s="12" t="s">
        <v>29</v>
      </c>
      <c r="B2376" s="7" t="s">
        <v>2504</v>
      </c>
    </row>
    <row r="2377" spans="1:2" x14ac:dyDescent="0.25">
      <c r="A2377" s="12" t="s">
        <v>2407</v>
      </c>
      <c r="B2377" s="7" t="s">
        <v>2504</v>
      </c>
    </row>
    <row r="2378" spans="1:2" x14ac:dyDescent="0.25">
      <c r="A2378" s="12" t="s">
        <v>564</v>
      </c>
      <c r="B2378" s="7" t="s">
        <v>2504</v>
      </c>
    </row>
    <row r="2379" spans="1:2" x14ac:dyDescent="0.25">
      <c r="A2379" s="12" t="s">
        <v>169</v>
      </c>
      <c r="B2379" s="7" t="s">
        <v>2504</v>
      </c>
    </row>
    <row r="2380" spans="1:2" x14ac:dyDescent="0.25">
      <c r="A2380" s="12" t="s">
        <v>2408</v>
      </c>
      <c r="B2380" s="7" t="s">
        <v>2504</v>
      </c>
    </row>
    <row r="2381" spans="1:2" x14ac:dyDescent="0.25">
      <c r="A2381" s="12" t="s">
        <v>2409</v>
      </c>
      <c r="B2381" s="7" t="s">
        <v>2504</v>
      </c>
    </row>
    <row r="2382" spans="1:2" x14ac:dyDescent="0.25">
      <c r="A2382" s="12" t="s">
        <v>2410</v>
      </c>
      <c r="B2382" s="7" t="s">
        <v>2504</v>
      </c>
    </row>
    <row r="2383" spans="1:2" x14ac:dyDescent="0.25">
      <c r="A2383" s="12" t="s">
        <v>370</v>
      </c>
      <c r="B2383" s="7" t="s">
        <v>2504</v>
      </c>
    </row>
    <row r="2384" spans="1:2" x14ac:dyDescent="0.25">
      <c r="A2384" s="12" t="s">
        <v>838</v>
      </c>
      <c r="B2384" s="7" t="s">
        <v>2504</v>
      </c>
    </row>
    <row r="2385" spans="1:2" x14ac:dyDescent="0.25">
      <c r="A2385" s="12" t="s">
        <v>1173</v>
      </c>
      <c r="B2385" s="7" t="s">
        <v>2504</v>
      </c>
    </row>
    <row r="2386" spans="1:2" x14ac:dyDescent="0.25">
      <c r="A2386" s="12" t="s">
        <v>2411</v>
      </c>
      <c r="B2386" s="7" t="s">
        <v>2504</v>
      </c>
    </row>
    <row r="2387" spans="1:2" x14ac:dyDescent="0.25">
      <c r="A2387" s="12" t="s">
        <v>830</v>
      </c>
      <c r="B2387" s="7" t="s">
        <v>2504</v>
      </c>
    </row>
    <row r="2388" spans="1:2" x14ac:dyDescent="0.25">
      <c r="A2388" s="12" t="s">
        <v>138</v>
      </c>
      <c r="B2388" s="7" t="s">
        <v>2504</v>
      </c>
    </row>
    <row r="2389" spans="1:2" x14ac:dyDescent="0.25">
      <c r="A2389" s="12" t="s">
        <v>2412</v>
      </c>
      <c r="B2389" s="7" t="s">
        <v>2504</v>
      </c>
    </row>
    <row r="2390" spans="1:2" x14ac:dyDescent="0.25">
      <c r="A2390" s="12" t="s">
        <v>1235</v>
      </c>
      <c r="B2390" s="7" t="s">
        <v>2504</v>
      </c>
    </row>
    <row r="2391" spans="1:2" x14ac:dyDescent="0.25">
      <c r="A2391" s="12" t="s">
        <v>2413</v>
      </c>
      <c r="B2391" s="7" t="s">
        <v>2504</v>
      </c>
    </row>
    <row r="2392" spans="1:2" x14ac:dyDescent="0.25">
      <c r="A2392" s="12" t="s">
        <v>2414</v>
      </c>
      <c r="B2392" s="7" t="s">
        <v>2504</v>
      </c>
    </row>
    <row r="2393" spans="1:2" x14ac:dyDescent="0.25">
      <c r="A2393" s="12" t="s">
        <v>665</v>
      </c>
      <c r="B2393" s="7" t="s">
        <v>2504</v>
      </c>
    </row>
    <row r="2394" spans="1:2" x14ac:dyDescent="0.25">
      <c r="A2394" s="12" t="s">
        <v>2415</v>
      </c>
      <c r="B2394" s="7" t="s">
        <v>2504</v>
      </c>
    </row>
    <row r="2395" spans="1:2" x14ac:dyDescent="0.25">
      <c r="A2395" s="12" t="s">
        <v>2416</v>
      </c>
      <c r="B2395" s="7" t="s">
        <v>2504</v>
      </c>
    </row>
    <row r="2396" spans="1:2" x14ac:dyDescent="0.25">
      <c r="A2396" s="12" t="s">
        <v>2417</v>
      </c>
      <c r="B2396" s="7" t="s">
        <v>2504</v>
      </c>
    </row>
    <row r="2397" spans="1:2" x14ac:dyDescent="0.25">
      <c r="A2397" s="12" t="s">
        <v>2418</v>
      </c>
      <c r="B2397" s="7" t="s">
        <v>2504</v>
      </c>
    </row>
    <row r="2398" spans="1:2" x14ac:dyDescent="0.25">
      <c r="A2398" s="12" t="s">
        <v>357</v>
      </c>
      <c r="B2398" s="7" t="s">
        <v>2504</v>
      </c>
    </row>
    <row r="2399" spans="1:2" x14ac:dyDescent="0.25">
      <c r="A2399" s="12" t="s">
        <v>2419</v>
      </c>
      <c r="B2399" s="7" t="s">
        <v>2504</v>
      </c>
    </row>
    <row r="2400" spans="1:2" x14ac:dyDescent="0.25">
      <c r="A2400" s="12" t="s">
        <v>2332</v>
      </c>
      <c r="B2400" s="7" t="s">
        <v>2504</v>
      </c>
    </row>
    <row r="2401" spans="1:2" x14ac:dyDescent="0.25">
      <c r="A2401" s="12" t="s">
        <v>192</v>
      </c>
      <c r="B2401" s="7" t="s">
        <v>2504</v>
      </c>
    </row>
    <row r="2402" spans="1:2" x14ac:dyDescent="0.25">
      <c r="A2402" s="12" t="s">
        <v>1168</v>
      </c>
      <c r="B2402" s="7" t="s">
        <v>2504</v>
      </c>
    </row>
    <row r="2403" spans="1:2" x14ac:dyDescent="0.25">
      <c r="A2403" s="12" t="s">
        <v>33</v>
      </c>
      <c r="B2403" s="7" t="s">
        <v>2504</v>
      </c>
    </row>
    <row r="2404" spans="1:2" x14ac:dyDescent="0.25">
      <c r="A2404" s="12" t="s">
        <v>2420</v>
      </c>
      <c r="B2404" s="7" t="s">
        <v>2504</v>
      </c>
    </row>
    <row r="2405" spans="1:2" x14ac:dyDescent="0.25">
      <c r="A2405" s="12" t="s">
        <v>2421</v>
      </c>
      <c r="B2405" s="7" t="s">
        <v>2504</v>
      </c>
    </row>
    <row r="2406" spans="1:2" x14ac:dyDescent="0.25">
      <c r="A2406" s="12" t="s">
        <v>2422</v>
      </c>
      <c r="B2406" s="7" t="s">
        <v>2504</v>
      </c>
    </row>
    <row r="2407" spans="1:2" x14ac:dyDescent="0.25">
      <c r="A2407" s="12" t="s">
        <v>2335</v>
      </c>
      <c r="B2407" s="7" t="s">
        <v>2504</v>
      </c>
    </row>
    <row r="2408" spans="1:2" x14ac:dyDescent="0.25">
      <c r="A2408" s="12" t="s">
        <v>2423</v>
      </c>
      <c r="B2408" s="7" t="s">
        <v>2504</v>
      </c>
    </row>
    <row r="2409" spans="1:2" x14ac:dyDescent="0.25">
      <c r="A2409" s="12" t="s">
        <v>2424</v>
      </c>
      <c r="B2409" s="7" t="s">
        <v>2504</v>
      </c>
    </row>
    <row r="2410" spans="1:2" x14ac:dyDescent="0.25">
      <c r="A2410" s="12" t="s">
        <v>2425</v>
      </c>
      <c r="B2410" s="7" t="s">
        <v>2504</v>
      </c>
    </row>
    <row r="2411" spans="1:2" x14ac:dyDescent="0.25">
      <c r="A2411" s="12" t="s">
        <v>553</v>
      </c>
      <c r="B2411" s="7" t="s">
        <v>2504</v>
      </c>
    </row>
    <row r="2412" spans="1:2" x14ac:dyDescent="0.25">
      <c r="A2412" s="12" t="s">
        <v>2351</v>
      </c>
      <c r="B2412" s="7" t="s">
        <v>2504</v>
      </c>
    </row>
    <row r="2413" spans="1:2" x14ac:dyDescent="0.25">
      <c r="A2413" s="12" t="s">
        <v>1619</v>
      </c>
      <c r="B2413" s="7" t="s">
        <v>2504</v>
      </c>
    </row>
    <row r="2414" spans="1:2" x14ac:dyDescent="0.25">
      <c r="A2414" s="12" t="s">
        <v>951</v>
      </c>
      <c r="B2414" s="7" t="s">
        <v>2504</v>
      </c>
    </row>
    <row r="2415" spans="1:2" x14ac:dyDescent="0.25">
      <c r="A2415" s="12" t="s">
        <v>2426</v>
      </c>
      <c r="B2415" s="7" t="s">
        <v>2504</v>
      </c>
    </row>
    <row r="2416" spans="1:2" x14ac:dyDescent="0.25">
      <c r="A2416" s="12" t="s">
        <v>2427</v>
      </c>
      <c r="B2416" s="7" t="s">
        <v>2504</v>
      </c>
    </row>
    <row r="2417" spans="1:2" x14ac:dyDescent="0.25">
      <c r="A2417" s="12" t="s">
        <v>1618</v>
      </c>
      <c r="B2417" s="7" t="s">
        <v>2504</v>
      </c>
    </row>
    <row r="2418" spans="1:2" x14ac:dyDescent="0.25">
      <c r="A2418" s="12" t="s">
        <v>2350</v>
      </c>
      <c r="B2418" s="7" t="s">
        <v>2504</v>
      </c>
    </row>
    <row r="2419" spans="1:2" x14ac:dyDescent="0.25">
      <c r="A2419" s="12" t="s">
        <v>2428</v>
      </c>
      <c r="B2419" s="7" t="s">
        <v>2504</v>
      </c>
    </row>
    <row r="2420" spans="1:2" x14ac:dyDescent="0.25">
      <c r="A2420" s="12" t="s">
        <v>2429</v>
      </c>
      <c r="B2420" s="7" t="s">
        <v>2504</v>
      </c>
    </row>
    <row r="2421" spans="1:2" x14ac:dyDescent="0.25">
      <c r="A2421" s="12" t="s">
        <v>476</v>
      </c>
      <c r="B2421" s="7" t="s">
        <v>2504</v>
      </c>
    </row>
    <row r="2422" spans="1:2" x14ac:dyDescent="0.25">
      <c r="A2422" s="12" t="s">
        <v>2430</v>
      </c>
      <c r="B2422" s="7" t="s">
        <v>2504</v>
      </c>
    </row>
    <row r="2423" spans="1:2" x14ac:dyDescent="0.25">
      <c r="A2423" s="12" t="s">
        <v>293</v>
      </c>
      <c r="B2423" s="7" t="s">
        <v>2504</v>
      </c>
    </row>
    <row r="2424" spans="1:2" x14ac:dyDescent="0.25">
      <c r="A2424" s="12" t="s">
        <v>136</v>
      </c>
      <c r="B2424" s="7" t="s">
        <v>2504</v>
      </c>
    </row>
    <row r="2425" spans="1:2" x14ac:dyDescent="0.25">
      <c r="A2425" s="12" t="s">
        <v>2346</v>
      </c>
      <c r="B2425" s="7" t="s">
        <v>2504</v>
      </c>
    </row>
    <row r="2426" spans="1:2" x14ac:dyDescent="0.25">
      <c r="A2426" s="12" t="s">
        <v>1620</v>
      </c>
      <c r="B2426" s="7" t="s">
        <v>2504</v>
      </c>
    </row>
    <row r="2427" spans="1:2" x14ac:dyDescent="0.25">
      <c r="A2427" s="12" t="s">
        <v>2431</v>
      </c>
      <c r="B2427" s="7" t="s">
        <v>2504</v>
      </c>
    </row>
    <row r="2428" spans="1:2" x14ac:dyDescent="0.25">
      <c r="A2428" s="12" t="s">
        <v>2432</v>
      </c>
      <c r="B2428" s="7" t="s">
        <v>2504</v>
      </c>
    </row>
    <row r="2429" spans="1:2" x14ac:dyDescent="0.25">
      <c r="A2429" s="12" t="s">
        <v>2433</v>
      </c>
      <c r="B2429" s="7" t="s">
        <v>2504</v>
      </c>
    </row>
    <row r="2430" spans="1:2" x14ac:dyDescent="0.25">
      <c r="A2430" s="12" t="s">
        <v>722</v>
      </c>
      <c r="B2430" s="7" t="s">
        <v>2504</v>
      </c>
    </row>
    <row r="2431" spans="1:2" x14ac:dyDescent="0.25">
      <c r="A2431" s="12" t="s">
        <v>258</v>
      </c>
      <c r="B2431" s="7" t="s">
        <v>2504</v>
      </c>
    </row>
    <row r="2432" spans="1:2" x14ac:dyDescent="0.25">
      <c r="A2432" s="12" t="s">
        <v>1080</v>
      </c>
      <c r="B2432" s="7" t="s">
        <v>2504</v>
      </c>
    </row>
    <row r="2433" spans="1:2" x14ac:dyDescent="0.25">
      <c r="A2433" s="12" t="s">
        <v>2337</v>
      </c>
      <c r="B2433" s="7" t="s">
        <v>2504</v>
      </c>
    </row>
    <row r="2434" spans="1:2" x14ac:dyDescent="0.25">
      <c r="A2434" s="12" t="s">
        <v>2434</v>
      </c>
      <c r="B2434" s="7" t="s">
        <v>2504</v>
      </c>
    </row>
    <row r="2435" spans="1:2" x14ac:dyDescent="0.25">
      <c r="A2435" s="12" t="s">
        <v>2435</v>
      </c>
      <c r="B2435" s="7" t="s">
        <v>2504</v>
      </c>
    </row>
    <row r="2436" spans="1:2" x14ac:dyDescent="0.25">
      <c r="A2436" s="12" t="s">
        <v>1622</v>
      </c>
      <c r="B2436" s="7" t="s">
        <v>2504</v>
      </c>
    </row>
    <row r="2437" spans="1:2" x14ac:dyDescent="0.25">
      <c r="A2437" s="12" t="s">
        <v>2436</v>
      </c>
      <c r="B2437" s="7" t="s">
        <v>2504</v>
      </c>
    </row>
    <row r="2438" spans="1:2" x14ac:dyDescent="0.25">
      <c r="A2438" s="12" t="s">
        <v>2334</v>
      </c>
      <c r="B2438" s="7" t="s">
        <v>2504</v>
      </c>
    </row>
    <row r="2439" spans="1:2" x14ac:dyDescent="0.25">
      <c r="A2439" s="12" t="s">
        <v>2437</v>
      </c>
      <c r="B2439" s="7" t="s">
        <v>2504</v>
      </c>
    </row>
    <row r="2440" spans="1:2" x14ac:dyDescent="0.25">
      <c r="A2440" s="12" t="s">
        <v>489</v>
      </c>
      <c r="B2440" s="7" t="s">
        <v>2504</v>
      </c>
    </row>
    <row r="2441" spans="1:2" x14ac:dyDescent="0.25">
      <c r="A2441" s="12" t="s">
        <v>1139</v>
      </c>
      <c r="B2441" s="7" t="s">
        <v>2504</v>
      </c>
    </row>
    <row r="2442" spans="1:2" x14ac:dyDescent="0.25">
      <c r="A2442" s="12" t="s">
        <v>729</v>
      </c>
      <c r="B2442" s="7" t="s">
        <v>2504</v>
      </c>
    </row>
    <row r="2443" spans="1:2" x14ac:dyDescent="0.25">
      <c r="A2443" s="12" t="s">
        <v>2347</v>
      </c>
      <c r="B2443" s="7" t="s">
        <v>2504</v>
      </c>
    </row>
    <row r="2444" spans="1:2" x14ac:dyDescent="0.25">
      <c r="A2444" s="12" t="s">
        <v>2438</v>
      </c>
      <c r="B2444" s="7" t="s">
        <v>2504</v>
      </c>
    </row>
    <row r="2445" spans="1:2" x14ac:dyDescent="0.25">
      <c r="A2445" s="12" t="s">
        <v>1623</v>
      </c>
      <c r="B2445" s="7" t="s">
        <v>2504</v>
      </c>
    </row>
    <row r="2446" spans="1:2" x14ac:dyDescent="0.25">
      <c r="A2446" s="12" t="s">
        <v>621</v>
      </c>
      <c r="B2446" s="7" t="s">
        <v>2504</v>
      </c>
    </row>
    <row r="2447" spans="1:2" x14ac:dyDescent="0.25">
      <c r="A2447" s="12" t="s">
        <v>239</v>
      </c>
      <c r="B2447" s="7" t="s">
        <v>2504</v>
      </c>
    </row>
    <row r="2448" spans="1:2" x14ac:dyDescent="0.25">
      <c r="A2448" s="12" t="s">
        <v>384</v>
      </c>
      <c r="B2448" s="7" t="s">
        <v>2504</v>
      </c>
    </row>
    <row r="2449" spans="1:2" x14ac:dyDescent="0.25">
      <c r="A2449" s="12" t="s">
        <v>2355</v>
      </c>
      <c r="B2449" s="7" t="s">
        <v>2504</v>
      </c>
    </row>
    <row r="2450" spans="1:2" x14ac:dyDescent="0.25">
      <c r="A2450" s="12" t="s">
        <v>2439</v>
      </c>
      <c r="B2450" s="7" t="s">
        <v>2504</v>
      </c>
    </row>
    <row r="2451" spans="1:2" x14ac:dyDescent="0.25">
      <c r="A2451" s="12" t="s">
        <v>1626</v>
      </c>
      <c r="B2451" s="7" t="s">
        <v>2504</v>
      </c>
    </row>
    <row r="2452" spans="1:2" x14ac:dyDescent="0.25">
      <c r="A2452" s="12" t="s">
        <v>12</v>
      </c>
      <c r="B2452" s="7" t="s">
        <v>2504</v>
      </c>
    </row>
    <row r="2453" spans="1:2" x14ac:dyDescent="0.25">
      <c r="A2453" s="12" t="s">
        <v>2440</v>
      </c>
      <c r="B2453" s="7" t="s">
        <v>2504</v>
      </c>
    </row>
    <row r="2454" spans="1:2" x14ac:dyDescent="0.25">
      <c r="A2454" s="12" t="s">
        <v>151</v>
      </c>
      <c r="B2454" s="7" t="s">
        <v>2504</v>
      </c>
    </row>
    <row r="2455" spans="1:2" x14ac:dyDescent="0.25">
      <c r="A2455" s="12" t="s">
        <v>2441</v>
      </c>
      <c r="B2455" s="7" t="s">
        <v>2504</v>
      </c>
    </row>
    <row r="2456" spans="1:2" x14ac:dyDescent="0.25">
      <c r="A2456" s="12" t="s">
        <v>2442</v>
      </c>
      <c r="B2456" s="7" t="s">
        <v>2504</v>
      </c>
    </row>
    <row r="2457" spans="1:2" x14ac:dyDescent="0.25">
      <c r="A2457" s="12" t="s">
        <v>165</v>
      </c>
      <c r="B2457" s="7" t="s">
        <v>2504</v>
      </c>
    </row>
    <row r="2458" spans="1:2" x14ac:dyDescent="0.25">
      <c r="A2458" s="12" t="s">
        <v>2443</v>
      </c>
      <c r="B2458" s="7" t="s">
        <v>2504</v>
      </c>
    </row>
    <row r="2459" spans="1:2" x14ac:dyDescent="0.25">
      <c r="A2459" s="12" t="s">
        <v>2444</v>
      </c>
      <c r="B2459" s="7" t="s">
        <v>2504</v>
      </c>
    </row>
    <row r="2460" spans="1:2" x14ac:dyDescent="0.25">
      <c r="A2460" s="12" t="s">
        <v>2445</v>
      </c>
      <c r="B2460" s="7" t="s">
        <v>2504</v>
      </c>
    </row>
    <row r="2461" spans="1:2" x14ac:dyDescent="0.25">
      <c r="A2461" s="12" t="s">
        <v>2446</v>
      </c>
      <c r="B2461" s="7" t="s">
        <v>2504</v>
      </c>
    </row>
    <row r="2462" spans="1:2" x14ac:dyDescent="0.25">
      <c r="A2462" s="12" t="s">
        <v>402</v>
      </c>
      <c r="B2462" s="7" t="s">
        <v>2504</v>
      </c>
    </row>
    <row r="2463" spans="1:2" x14ac:dyDescent="0.25">
      <c r="A2463" s="12" t="s">
        <v>2359</v>
      </c>
      <c r="B2463" s="7" t="s">
        <v>2504</v>
      </c>
    </row>
    <row r="2464" spans="1:2" x14ac:dyDescent="0.25">
      <c r="A2464" s="12" t="s">
        <v>2447</v>
      </c>
      <c r="B2464" s="7" t="s">
        <v>2504</v>
      </c>
    </row>
    <row r="2465" spans="1:2" x14ac:dyDescent="0.25">
      <c r="A2465" s="12" t="s">
        <v>1627</v>
      </c>
      <c r="B2465" s="7" t="s">
        <v>2504</v>
      </c>
    </row>
    <row r="2466" spans="1:2" x14ac:dyDescent="0.25">
      <c r="A2466" s="12" t="s">
        <v>2448</v>
      </c>
      <c r="B2466" s="7" t="s">
        <v>2504</v>
      </c>
    </row>
    <row r="2467" spans="1:2" x14ac:dyDescent="0.25">
      <c r="A2467" s="12" t="s">
        <v>143</v>
      </c>
      <c r="B2467" s="7" t="s">
        <v>2504</v>
      </c>
    </row>
    <row r="2468" spans="1:2" x14ac:dyDescent="0.25">
      <c r="A2468" s="12" t="s">
        <v>2449</v>
      </c>
      <c r="B2468" s="7" t="s">
        <v>2504</v>
      </c>
    </row>
    <row r="2469" spans="1:2" x14ac:dyDescent="0.25">
      <c r="A2469" s="12" t="s">
        <v>2450</v>
      </c>
      <c r="B2469" s="7" t="s">
        <v>2504</v>
      </c>
    </row>
    <row r="2470" spans="1:2" x14ac:dyDescent="0.25">
      <c r="A2470" s="12" t="s">
        <v>64</v>
      </c>
      <c r="B2470" s="7" t="s">
        <v>2504</v>
      </c>
    </row>
    <row r="2471" spans="1:2" x14ac:dyDescent="0.25">
      <c r="A2471" s="12" t="s">
        <v>2451</v>
      </c>
      <c r="B2471" s="7" t="s">
        <v>2504</v>
      </c>
    </row>
    <row r="2472" spans="1:2" x14ac:dyDescent="0.25">
      <c r="A2472" s="12" t="s">
        <v>924</v>
      </c>
      <c r="B2472" s="7" t="s">
        <v>2504</v>
      </c>
    </row>
    <row r="2473" spans="1:2" x14ac:dyDescent="0.25">
      <c r="A2473" s="12" t="s">
        <v>1630</v>
      </c>
      <c r="B2473" s="7" t="s">
        <v>2504</v>
      </c>
    </row>
    <row r="2474" spans="1:2" x14ac:dyDescent="0.25">
      <c r="A2474" s="12" t="s">
        <v>2452</v>
      </c>
      <c r="B2474" s="7" t="s">
        <v>2504</v>
      </c>
    </row>
    <row r="2475" spans="1:2" x14ac:dyDescent="0.25">
      <c r="A2475" s="12" t="s">
        <v>2453</v>
      </c>
      <c r="B2475" s="7" t="s">
        <v>2504</v>
      </c>
    </row>
    <row r="2476" spans="1:2" x14ac:dyDescent="0.25">
      <c r="A2476" s="12" t="s">
        <v>2338</v>
      </c>
      <c r="B2476" s="7" t="s">
        <v>2504</v>
      </c>
    </row>
    <row r="2477" spans="1:2" x14ac:dyDescent="0.25">
      <c r="A2477" s="12" t="s">
        <v>1238</v>
      </c>
      <c r="B2477" s="7" t="s">
        <v>2504</v>
      </c>
    </row>
    <row r="2478" spans="1:2" x14ac:dyDescent="0.25">
      <c r="A2478" s="12" t="s">
        <v>903</v>
      </c>
      <c r="B2478" s="7" t="s">
        <v>2504</v>
      </c>
    </row>
    <row r="2479" spans="1:2" x14ac:dyDescent="0.25">
      <c r="A2479" s="12" t="s">
        <v>117</v>
      </c>
      <c r="B2479" s="7" t="s">
        <v>2504</v>
      </c>
    </row>
    <row r="2480" spans="1:2" x14ac:dyDescent="0.25">
      <c r="A2480" s="12" t="s">
        <v>443</v>
      </c>
      <c r="B2480" s="7" t="s">
        <v>2504</v>
      </c>
    </row>
    <row r="2481" spans="1:2" x14ac:dyDescent="0.25">
      <c r="A2481" s="12" t="s">
        <v>670</v>
      </c>
      <c r="B2481" s="7" t="s">
        <v>2504</v>
      </c>
    </row>
    <row r="2482" spans="1:2" x14ac:dyDescent="0.25">
      <c r="A2482" s="12" t="s">
        <v>2454</v>
      </c>
      <c r="B2482" s="7" t="s">
        <v>2504</v>
      </c>
    </row>
    <row r="2483" spans="1:2" x14ac:dyDescent="0.25">
      <c r="A2483" s="12" t="s">
        <v>2336</v>
      </c>
      <c r="B2483" s="7" t="s">
        <v>2504</v>
      </c>
    </row>
    <row r="2484" spans="1:2" x14ac:dyDescent="0.25">
      <c r="A2484" s="12" t="s">
        <v>101</v>
      </c>
      <c r="B2484" s="7" t="s">
        <v>2504</v>
      </c>
    </row>
    <row r="2485" spans="1:2" x14ac:dyDescent="0.25">
      <c r="A2485" s="12" t="s">
        <v>1632</v>
      </c>
      <c r="B2485" s="7" t="s">
        <v>2504</v>
      </c>
    </row>
    <row r="2486" spans="1:2" x14ac:dyDescent="0.25">
      <c r="A2486" s="12" t="s">
        <v>683</v>
      </c>
      <c r="B2486" s="7" t="s">
        <v>2504</v>
      </c>
    </row>
    <row r="2487" spans="1:2" x14ac:dyDescent="0.25">
      <c r="A2487" s="12" t="s">
        <v>2455</v>
      </c>
      <c r="B2487" s="7" t="s">
        <v>2504</v>
      </c>
    </row>
    <row r="2488" spans="1:2" x14ac:dyDescent="0.25">
      <c r="A2488" s="12" t="s">
        <v>2456</v>
      </c>
      <c r="B2488" s="7" t="s">
        <v>2504</v>
      </c>
    </row>
    <row r="2489" spans="1:2" x14ac:dyDescent="0.25">
      <c r="A2489" s="12" t="s">
        <v>2457</v>
      </c>
      <c r="B2489" s="7" t="s">
        <v>2504</v>
      </c>
    </row>
    <row r="2490" spans="1:2" x14ac:dyDescent="0.25">
      <c r="A2490" s="12" t="s">
        <v>299</v>
      </c>
      <c r="B2490" s="7" t="s">
        <v>2504</v>
      </c>
    </row>
    <row r="2491" spans="1:2" x14ac:dyDescent="0.25">
      <c r="A2491" s="12" t="s">
        <v>2458</v>
      </c>
      <c r="B2491" s="7" t="s">
        <v>2504</v>
      </c>
    </row>
    <row r="2492" spans="1:2" x14ac:dyDescent="0.25">
      <c r="A2492" s="12" t="s">
        <v>1642</v>
      </c>
      <c r="B2492" s="7" t="s">
        <v>2504</v>
      </c>
    </row>
    <row r="2493" spans="1:2" x14ac:dyDescent="0.25">
      <c r="A2493" s="12" t="s">
        <v>2459</v>
      </c>
      <c r="B2493" s="7" t="s">
        <v>2504</v>
      </c>
    </row>
    <row r="2494" spans="1:2" x14ac:dyDescent="0.25">
      <c r="A2494" s="12" t="s">
        <v>1165</v>
      </c>
      <c r="B2494" s="7" t="s">
        <v>2504</v>
      </c>
    </row>
    <row r="2495" spans="1:2" x14ac:dyDescent="0.25">
      <c r="A2495" s="12" t="s">
        <v>2358</v>
      </c>
      <c r="B2495" s="7" t="s">
        <v>2504</v>
      </c>
    </row>
    <row r="2496" spans="1:2" x14ac:dyDescent="0.25">
      <c r="A2496" s="12" t="s">
        <v>2460</v>
      </c>
      <c r="B2496" s="7" t="s">
        <v>2504</v>
      </c>
    </row>
    <row r="2497" spans="1:2" x14ac:dyDescent="0.25">
      <c r="A2497" s="12" t="s">
        <v>2461</v>
      </c>
      <c r="B2497" s="7" t="s">
        <v>2504</v>
      </c>
    </row>
    <row r="2498" spans="1:2" x14ac:dyDescent="0.25">
      <c r="A2498" s="12" t="s">
        <v>328</v>
      </c>
      <c r="B2498" s="7" t="s">
        <v>2504</v>
      </c>
    </row>
    <row r="2499" spans="1:2" x14ac:dyDescent="0.25">
      <c r="A2499" s="12" t="s">
        <v>1641</v>
      </c>
      <c r="B2499" s="7" t="s">
        <v>2504</v>
      </c>
    </row>
    <row r="2500" spans="1:2" x14ac:dyDescent="0.25">
      <c r="A2500" s="12" t="s">
        <v>1648</v>
      </c>
      <c r="B2500" s="7" t="s">
        <v>2504</v>
      </c>
    </row>
    <row r="2501" spans="1:2" x14ac:dyDescent="0.25">
      <c r="A2501" s="12" t="s">
        <v>184</v>
      </c>
      <c r="B2501" s="7" t="s">
        <v>2504</v>
      </c>
    </row>
    <row r="2502" spans="1:2" x14ac:dyDescent="0.25">
      <c r="A2502" s="12" t="s">
        <v>15</v>
      </c>
      <c r="B2502" s="7" t="s">
        <v>2504</v>
      </c>
    </row>
    <row r="2503" spans="1:2" x14ac:dyDescent="0.25">
      <c r="A2503" s="12" t="s">
        <v>156</v>
      </c>
      <c r="B2503" s="7" t="s">
        <v>2504</v>
      </c>
    </row>
    <row r="2504" spans="1:2" x14ac:dyDescent="0.25">
      <c r="A2504" s="12" t="s">
        <v>1643</v>
      </c>
      <c r="B2504" s="7" t="s">
        <v>2504</v>
      </c>
    </row>
    <row r="2505" spans="1:2" x14ac:dyDescent="0.25">
      <c r="A2505" s="12" t="s">
        <v>2462</v>
      </c>
      <c r="B2505" s="7" t="s">
        <v>2504</v>
      </c>
    </row>
    <row r="2506" spans="1:2" x14ac:dyDescent="0.25">
      <c r="A2506" s="12" t="s">
        <v>2463</v>
      </c>
      <c r="B2506" s="7" t="s">
        <v>2504</v>
      </c>
    </row>
    <row r="2507" spans="1:2" x14ac:dyDescent="0.25">
      <c r="A2507" s="12" t="s">
        <v>2464</v>
      </c>
      <c r="B2507" s="7" t="s">
        <v>2504</v>
      </c>
    </row>
    <row r="2508" spans="1:2" x14ac:dyDescent="0.25">
      <c r="A2508" s="12" t="s">
        <v>2341</v>
      </c>
      <c r="B2508" s="7" t="s">
        <v>2504</v>
      </c>
    </row>
    <row r="2509" spans="1:2" x14ac:dyDescent="0.25">
      <c r="A2509" s="12" t="s">
        <v>1647</v>
      </c>
      <c r="B2509" s="7" t="s">
        <v>2504</v>
      </c>
    </row>
    <row r="2510" spans="1:2" x14ac:dyDescent="0.25">
      <c r="A2510" s="12" t="s">
        <v>1187</v>
      </c>
      <c r="B2510" s="7" t="s">
        <v>2504</v>
      </c>
    </row>
    <row r="2511" spans="1:2" x14ac:dyDescent="0.25">
      <c r="A2511" s="12" t="s">
        <v>1650</v>
      </c>
      <c r="B2511" s="7" t="s">
        <v>2504</v>
      </c>
    </row>
    <row r="2512" spans="1:2" x14ac:dyDescent="0.25">
      <c r="A2512" s="12" t="s">
        <v>2344</v>
      </c>
      <c r="B2512" s="7" t="s">
        <v>2504</v>
      </c>
    </row>
    <row r="2513" spans="1:2" x14ac:dyDescent="0.25">
      <c r="A2513" s="12" t="s">
        <v>1653</v>
      </c>
      <c r="B2513" s="7" t="s">
        <v>2504</v>
      </c>
    </row>
    <row r="2514" spans="1:2" x14ac:dyDescent="0.25">
      <c r="A2514" s="12" t="s">
        <v>204</v>
      </c>
      <c r="B2514" s="7" t="s">
        <v>2504</v>
      </c>
    </row>
    <row r="2515" spans="1:2" x14ac:dyDescent="0.25">
      <c r="A2515" s="12" t="s">
        <v>1656</v>
      </c>
      <c r="B2515" s="7" t="s">
        <v>2504</v>
      </c>
    </row>
    <row r="2516" spans="1:2" x14ac:dyDescent="0.25">
      <c r="A2516" s="12" t="s">
        <v>501</v>
      </c>
      <c r="B2516" s="7" t="s">
        <v>2504</v>
      </c>
    </row>
    <row r="2517" spans="1:2" x14ac:dyDescent="0.25">
      <c r="A2517" s="12" t="s">
        <v>1652</v>
      </c>
      <c r="B2517" s="7" t="s">
        <v>2504</v>
      </c>
    </row>
    <row r="2518" spans="1:2" x14ac:dyDescent="0.25">
      <c r="A2518" s="12" t="s">
        <v>1654</v>
      </c>
      <c r="B2518" s="7" t="s">
        <v>2504</v>
      </c>
    </row>
    <row r="2519" spans="1:2" x14ac:dyDescent="0.25">
      <c r="A2519" s="12" t="s">
        <v>1668</v>
      </c>
      <c r="B2519" s="7" t="s">
        <v>2504</v>
      </c>
    </row>
    <row r="2520" spans="1:2" x14ac:dyDescent="0.25">
      <c r="A2520" s="12" t="s">
        <v>682</v>
      </c>
      <c r="B2520" s="7" t="s">
        <v>2504</v>
      </c>
    </row>
    <row r="2521" spans="1:2" x14ac:dyDescent="0.25">
      <c r="A2521" s="12" t="s">
        <v>2465</v>
      </c>
      <c r="B2521" s="7" t="s">
        <v>2504</v>
      </c>
    </row>
    <row r="2522" spans="1:2" x14ac:dyDescent="0.25">
      <c r="A2522" s="12" t="s">
        <v>754</v>
      </c>
      <c r="B2522" s="7" t="s">
        <v>2504</v>
      </c>
    </row>
    <row r="2523" spans="1:2" x14ac:dyDescent="0.25">
      <c r="A2523" s="12" t="s">
        <v>1665</v>
      </c>
      <c r="B2523" s="7" t="s">
        <v>2504</v>
      </c>
    </row>
    <row r="2524" spans="1:2" x14ac:dyDescent="0.25">
      <c r="A2524" s="12" t="s">
        <v>49</v>
      </c>
      <c r="B2524" s="7" t="s">
        <v>2504</v>
      </c>
    </row>
    <row r="2525" spans="1:2" x14ac:dyDescent="0.25">
      <c r="A2525" s="12" t="s">
        <v>87</v>
      </c>
      <c r="B2525" s="7" t="s">
        <v>2504</v>
      </c>
    </row>
    <row r="2526" spans="1:2" x14ac:dyDescent="0.25">
      <c r="A2526" s="12" t="s">
        <v>291</v>
      </c>
      <c r="B2526" s="7" t="s">
        <v>2504</v>
      </c>
    </row>
    <row r="2527" spans="1:2" x14ac:dyDescent="0.25">
      <c r="A2527" s="12" t="s">
        <v>1193</v>
      </c>
      <c r="B2527" s="7" t="s">
        <v>2504</v>
      </c>
    </row>
    <row r="2528" spans="1:2" x14ac:dyDescent="0.25">
      <c r="A2528" s="12" t="s">
        <v>1182</v>
      </c>
      <c r="B2528" s="7" t="s">
        <v>2504</v>
      </c>
    </row>
    <row r="2529" spans="1:2" x14ac:dyDescent="0.25">
      <c r="A2529" s="12" t="s">
        <v>46</v>
      </c>
      <c r="B2529" s="7" t="s">
        <v>2504</v>
      </c>
    </row>
    <row r="2530" spans="1:2" x14ac:dyDescent="0.25">
      <c r="A2530" s="12" t="s">
        <v>1661</v>
      </c>
      <c r="B2530" s="7" t="s">
        <v>2504</v>
      </c>
    </row>
    <row r="2531" spans="1:2" x14ac:dyDescent="0.25">
      <c r="A2531" s="12" t="s">
        <v>68</v>
      </c>
      <c r="B2531" s="7" t="s">
        <v>2504</v>
      </c>
    </row>
    <row r="2532" spans="1:2" x14ac:dyDescent="0.25">
      <c r="A2532" s="12" t="s">
        <v>1657</v>
      </c>
      <c r="B2532" s="7" t="s">
        <v>2504</v>
      </c>
    </row>
    <row r="2533" spans="1:2" x14ac:dyDescent="0.25">
      <c r="A2533" s="12" t="s">
        <v>63</v>
      </c>
      <c r="B2533" s="7" t="s">
        <v>2504</v>
      </c>
    </row>
    <row r="2534" spans="1:2" x14ac:dyDescent="0.25">
      <c r="A2534" s="12" t="s">
        <v>187</v>
      </c>
      <c r="B2534" s="7" t="s">
        <v>2504</v>
      </c>
    </row>
    <row r="2535" spans="1:2" x14ac:dyDescent="0.25">
      <c r="A2535" s="12" t="s">
        <v>1663</v>
      </c>
      <c r="B2535" s="7" t="s">
        <v>2504</v>
      </c>
    </row>
    <row r="2536" spans="1:2" x14ac:dyDescent="0.25">
      <c r="A2536" s="12" t="s">
        <v>2466</v>
      </c>
      <c r="B2536" s="7" t="s">
        <v>2504</v>
      </c>
    </row>
    <row r="2537" spans="1:2" x14ac:dyDescent="0.25">
      <c r="A2537" s="12" t="s">
        <v>2467</v>
      </c>
      <c r="B2537" s="7" t="s">
        <v>2504</v>
      </c>
    </row>
    <row r="2538" spans="1:2" x14ac:dyDescent="0.25">
      <c r="A2538" s="12" t="s">
        <v>1117</v>
      </c>
      <c r="B2538" s="7" t="s">
        <v>2504</v>
      </c>
    </row>
    <row r="2539" spans="1:2" x14ac:dyDescent="0.25">
      <c r="A2539" s="12" t="s">
        <v>2468</v>
      </c>
      <c r="B2539" s="7" t="s">
        <v>2504</v>
      </c>
    </row>
    <row r="2540" spans="1:2" x14ac:dyDescent="0.25">
      <c r="A2540" s="12" t="s">
        <v>1069</v>
      </c>
      <c r="B2540" s="7" t="s">
        <v>2504</v>
      </c>
    </row>
    <row r="2541" spans="1:2" x14ac:dyDescent="0.25">
      <c r="A2541" s="12" t="s">
        <v>1669</v>
      </c>
      <c r="B2541" s="7" t="s">
        <v>2504</v>
      </c>
    </row>
    <row r="2542" spans="1:2" x14ac:dyDescent="0.25">
      <c r="A2542" s="12" t="s">
        <v>2469</v>
      </c>
      <c r="B2542" s="7" t="s">
        <v>2504</v>
      </c>
    </row>
    <row r="2543" spans="1:2" x14ac:dyDescent="0.25">
      <c r="A2543" s="12" t="s">
        <v>233</v>
      </c>
      <c r="B2543" s="7" t="s">
        <v>2504</v>
      </c>
    </row>
    <row r="2544" spans="1:2" x14ac:dyDescent="0.25">
      <c r="A2544" s="12" t="s">
        <v>2470</v>
      </c>
      <c r="B2544" s="7" t="s">
        <v>2504</v>
      </c>
    </row>
    <row r="2545" spans="1:2" x14ac:dyDescent="0.25">
      <c r="A2545" s="12" t="s">
        <v>2471</v>
      </c>
      <c r="B2545" s="7" t="s">
        <v>2504</v>
      </c>
    </row>
    <row r="2546" spans="1:2" x14ac:dyDescent="0.25">
      <c r="A2546" s="12" t="s">
        <v>1084</v>
      </c>
      <c r="B2546" s="7" t="s">
        <v>2504</v>
      </c>
    </row>
    <row r="2547" spans="1:2" x14ac:dyDescent="0.25">
      <c r="A2547" s="12" t="s">
        <v>586</v>
      </c>
      <c r="B2547" s="7" t="s">
        <v>2504</v>
      </c>
    </row>
    <row r="2548" spans="1:2" x14ac:dyDescent="0.25">
      <c r="A2548" s="12" t="s">
        <v>1676</v>
      </c>
      <c r="B2548" s="7" t="s">
        <v>2504</v>
      </c>
    </row>
    <row r="2549" spans="1:2" x14ac:dyDescent="0.25">
      <c r="A2549" s="12" t="s">
        <v>906</v>
      </c>
      <c r="B2549" s="7" t="s">
        <v>2504</v>
      </c>
    </row>
    <row r="2550" spans="1:2" x14ac:dyDescent="0.25">
      <c r="A2550" s="12" t="s">
        <v>2472</v>
      </c>
      <c r="B2550" s="7" t="s">
        <v>2504</v>
      </c>
    </row>
    <row r="2551" spans="1:2" x14ac:dyDescent="0.25">
      <c r="A2551" s="12" t="s">
        <v>1682</v>
      </c>
      <c r="B2551" s="7" t="s">
        <v>2504</v>
      </c>
    </row>
    <row r="2552" spans="1:2" x14ac:dyDescent="0.25">
      <c r="A2552" s="12" t="s">
        <v>1683</v>
      </c>
      <c r="B2552" s="7" t="s">
        <v>2504</v>
      </c>
    </row>
    <row r="2553" spans="1:2" x14ac:dyDescent="0.25">
      <c r="A2553" s="12" t="s">
        <v>1132</v>
      </c>
      <c r="B2553" s="7" t="s">
        <v>2504</v>
      </c>
    </row>
    <row r="2554" spans="1:2" x14ac:dyDescent="0.25">
      <c r="A2554" s="12" t="s">
        <v>1262</v>
      </c>
      <c r="B2554" s="7" t="s">
        <v>2504</v>
      </c>
    </row>
    <row r="2555" spans="1:2" x14ac:dyDescent="0.25">
      <c r="A2555" s="12" t="s">
        <v>2473</v>
      </c>
      <c r="B2555" s="7" t="s">
        <v>2504</v>
      </c>
    </row>
    <row r="2556" spans="1:2" x14ac:dyDescent="0.25">
      <c r="A2556" s="12" t="s">
        <v>1684</v>
      </c>
      <c r="B2556" s="7" t="s">
        <v>2504</v>
      </c>
    </row>
    <row r="2557" spans="1:2" x14ac:dyDescent="0.25">
      <c r="A2557" s="12" t="s">
        <v>2474</v>
      </c>
      <c r="B2557" s="7" t="s">
        <v>2504</v>
      </c>
    </row>
    <row r="2558" spans="1:2" x14ac:dyDescent="0.25">
      <c r="A2558" s="12" t="s">
        <v>2475</v>
      </c>
      <c r="B2558" s="7" t="s">
        <v>2504</v>
      </c>
    </row>
    <row r="2559" spans="1:2" x14ac:dyDescent="0.25">
      <c r="A2559" s="12" t="s">
        <v>1105</v>
      </c>
      <c r="B2559" s="7" t="s">
        <v>2504</v>
      </c>
    </row>
    <row r="2560" spans="1:2" x14ac:dyDescent="0.25">
      <c r="A2560" s="12" t="s">
        <v>1678</v>
      </c>
      <c r="B2560" s="7" t="s">
        <v>2504</v>
      </c>
    </row>
    <row r="2561" spans="1:2" x14ac:dyDescent="0.25">
      <c r="A2561" s="12" t="s">
        <v>1685</v>
      </c>
      <c r="B2561" s="7" t="s">
        <v>2504</v>
      </c>
    </row>
    <row r="2562" spans="1:2" x14ac:dyDescent="0.25">
      <c r="A2562" s="12" t="s">
        <v>316</v>
      </c>
      <c r="B2562" s="7" t="s">
        <v>2504</v>
      </c>
    </row>
    <row r="2563" spans="1:2" x14ac:dyDescent="0.25">
      <c r="A2563" s="12" t="s">
        <v>2476</v>
      </c>
      <c r="B2563" s="7" t="s">
        <v>2504</v>
      </c>
    </row>
    <row r="2564" spans="1:2" x14ac:dyDescent="0.25">
      <c r="A2564" s="12" t="s">
        <v>182</v>
      </c>
      <c r="B2564" s="7" t="s">
        <v>2504</v>
      </c>
    </row>
    <row r="2565" spans="1:2" x14ac:dyDescent="0.25">
      <c r="A2565" s="12" t="s">
        <v>359</v>
      </c>
      <c r="B2565" s="7" t="s">
        <v>2504</v>
      </c>
    </row>
    <row r="2566" spans="1:2" x14ac:dyDescent="0.25">
      <c r="A2566" s="12" t="s">
        <v>76</v>
      </c>
      <c r="B2566" s="7" t="s">
        <v>2504</v>
      </c>
    </row>
    <row r="2567" spans="1:2" x14ac:dyDescent="0.25">
      <c r="A2567" s="12" t="s">
        <v>1113</v>
      </c>
      <c r="B2567" s="7" t="s">
        <v>2504</v>
      </c>
    </row>
    <row r="2568" spans="1:2" x14ac:dyDescent="0.25">
      <c r="A2568" s="12" t="s">
        <v>1184</v>
      </c>
      <c r="B2568" s="7" t="s">
        <v>2504</v>
      </c>
    </row>
    <row r="2569" spans="1:2" x14ac:dyDescent="0.25">
      <c r="A2569" s="12" t="s">
        <v>1203</v>
      </c>
      <c r="B2569" s="7" t="s">
        <v>2504</v>
      </c>
    </row>
    <row r="2570" spans="1:2" x14ac:dyDescent="0.25">
      <c r="A2570" s="12" t="s">
        <v>1116</v>
      </c>
      <c r="B2570" s="7" t="s">
        <v>2504</v>
      </c>
    </row>
    <row r="2571" spans="1:2" x14ac:dyDescent="0.25">
      <c r="A2571" s="12" t="s">
        <v>544</v>
      </c>
      <c r="B2571" s="7" t="s">
        <v>2504</v>
      </c>
    </row>
    <row r="2572" spans="1:2" x14ac:dyDescent="0.25">
      <c r="A2572" s="12" t="s">
        <v>2477</v>
      </c>
      <c r="B2572" s="7" t="s">
        <v>2504</v>
      </c>
    </row>
    <row r="2573" spans="1:2" x14ac:dyDescent="0.25">
      <c r="A2573" s="12" t="s">
        <v>797</v>
      </c>
      <c r="B2573" s="7" t="s">
        <v>2504</v>
      </c>
    </row>
    <row r="2574" spans="1:2" x14ac:dyDescent="0.25">
      <c r="A2574" s="12" t="s">
        <v>1690</v>
      </c>
      <c r="B2574" s="7" t="s">
        <v>2504</v>
      </c>
    </row>
    <row r="2575" spans="1:2" x14ac:dyDescent="0.25">
      <c r="A2575" s="12" t="s">
        <v>2478</v>
      </c>
      <c r="B2575" s="7" t="s">
        <v>2504</v>
      </c>
    </row>
    <row r="2576" spans="1:2" x14ac:dyDescent="0.25">
      <c r="A2576" s="12" t="s">
        <v>2479</v>
      </c>
      <c r="B2576" s="7" t="s">
        <v>2504</v>
      </c>
    </row>
    <row r="2577" spans="1:2" x14ac:dyDescent="0.25">
      <c r="A2577" s="12" t="s">
        <v>430</v>
      </c>
      <c r="B2577" s="7" t="s">
        <v>2504</v>
      </c>
    </row>
    <row r="2578" spans="1:2" x14ac:dyDescent="0.25">
      <c r="A2578" s="12" t="s">
        <v>1698</v>
      </c>
      <c r="B2578" s="7" t="s">
        <v>2504</v>
      </c>
    </row>
    <row r="2579" spans="1:2" x14ac:dyDescent="0.25">
      <c r="A2579" s="12" t="s">
        <v>522</v>
      </c>
      <c r="B2579" s="7" t="s">
        <v>2504</v>
      </c>
    </row>
    <row r="2580" spans="1:2" x14ac:dyDescent="0.25">
      <c r="A2580" s="12" t="s">
        <v>128</v>
      </c>
      <c r="B2580" s="7" t="s">
        <v>2504</v>
      </c>
    </row>
    <row r="2581" spans="1:2" x14ac:dyDescent="0.25">
      <c r="A2581" s="12" t="s">
        <v>10</v>
      </c>
      <c r="B2581" s="7" t="s">
        <v>2504</v>
      </c>
    </row>
    <row r="2582" spans="1:2" x14ac:dyDescent="0.25">
      <c r="A2582" s="12" t="s">
        <v>2480</v>
      </c>
      <c r="B2582" s="7" t="s">
        <v>2504</v>
      </c>
    </row>
    <row r="2583" spans="1:2" x14ac:dyDescent="0.25">
      <c r="A2583" s="12" t="s">
        <v>828</v>
      </c>
      <c r="B2583" s="7" t="s">
        <v>2504</v>
      </c>
    </row>
    <row r="2584" spans="1:2" x14ac:dyDescent="0.25">
      <c r="A2584" s="12" t="s">
        <v>2481</v>
      </c>
      <c r="B2584" s="7" t="s">
        <v>2504</v>
      </c>
    </row>
    <row r="2585" spans="1:2" x14ac:dyDescent="0.25">
      <c r="A2585" s="12" t="s">
        <v>439</v>
      </c>
      <c r="B2585" s="7" t="s">
        <v>2504</v>
      </c>
    </row>
    <row r="2586" spans="1:2" x14ac:dyDescent="0.25">
      <c r="A2586" s="12" t="s">
        <v>2482</v>
      </c>
      <c r="B2586" s="7" t="s">
        <v>2504</v>
      </c>
    </row>
    <row r="2587" spans="1:2" x14ac:dyDescent="0.25">
      <c r="A2587" s="12" t="s">
        <v>270</v>
      </c>
      <c r="B2587" s="7" t="s">
        <v>2504</v>
      </c>
    </row>
    <row r="2588" spans="1:2" x14ac:dyDescent="0.25">
      <c r="A2588" s="12" t="s">
        <v>177</v>
      </c>
      <c r="B2588" s="7" t="s">
        <v>2504</v>
      </c>
    </row>
    <row r="2589" spans="1:2" x14ac:dyDescent="0.25">
      <c r="A2589" s="12" t="s">
        <v>1093</v>
      </c>
      <c r="B2589" s="7" t="s">
        <v>2504</v>
      </c>
    </row>
    <row r="2590" spans="1:2" x14ac:dyDescent="0.25">
      <c r="A2590" s="12" t="s">
        <v>1709</v>
      </c>
      <c r="B2590" s="7" t="s">
        <v>2504</v>
      </c>
    </row>
    <row r="2591" spans="1:2" x14ac:dyDescent="0.25">
      <c r="A2591" s="12" t="s">
        <v>1146</v>
      </c>
      <c r="B2591" s="7" t="s">
        <v>2504</v>
      </c>
    </row>
    <row r="2592" spans="1:2" x14ac:dyDescent="0.25">
      <c r="A2592" s="12" t="s">
        <v>1704</v>
      </c>
      <c r="B2592" s="7" t="s">
        <v>2504</v>
      </c>
    </row>
    <row r="2593" spans="1:2" x14ac:dyDescent="0.25">
      <c r="A2593" s="12" t="s">
        <v>2354</v>
      </c>
      <c r="B2593" s="7" t="s">
        <v>2504</v>
      </c>
    </row>
    <row r="2594" spans="1:2" x14ac:dyDescent="0.25">
      <c r="A2594" s="12" t="s">
        <v>1711</v>
      </c>
      <c r="B2594" s="7" t="s">
        <v>2504</v>
      </c>
    </row>
    <row r="2595" spans="1:2" x14ac:dyDescent="0.25">
      <c r="A2595" s="12" t="s">
        <v>2483</v>
      </c>
      <c r="B2595" s="7" t="s">
        <v>2504</v>
      </c>
    </row>
    <row r="2596" spans="1:2" x14ac:dyDescent="0.25">
      <c r="A2596" s="12" t="s">
        <v>308</v>
      </c>
      <c r="B2596" s="7" t="s">
        <v>2504</v>
      </c>
    </row>
    <row r="2597" spans="1:2" x14ac:dyDescent="0.25">
      <c r="A2597" s="12" t="s">
        <v>422</v>
      </c>
      <c r="B2597" s="7" t="s">
        <v>2504</v>
      </c>
    </row>
    <row r="2598" spans="1:2" x14ac:dyDescent="0.25">
      <c r="A2598" s="12" t="s">
        <v>1710</v>
      </c>
      <c r="B2598" s="7" t="s">
        <v>2504</v>
      </c>
    </row>
    <row r="2599" spans="1:2" x14ac:dyDescent="0.25">
      <c r="A2599" s="12" t="s">
        <v>1098</v>
      </c>
      <c r="B2599" s="7" t="s">
        <v>2504</v>
      </c>
    </row>
    <row r="2600" spans="1:2" x14ac:dyDescent="0.25">
      <c r="A2600" s="12" t="s">
        <v>2484</v>
      </c>
      <c r="B2600" s="7" t="s">
        <v>2504</v>
      </c>
    </row>
    <row r="2601" spans="1:2" x14ac:dyDescent="0.25">
      <c r="A2601" s="12" t="s">
        <v>539</v>
      </c>
      <c r="B2601" s="7" t="s">
        <v>2504</v>
      </c>
    </row>
    <row r="2602" spans="1:2" x14ac:dyDescent="0.25">
      <c r="A2602" s="12" t="s">
        <v>459</v>
      </c>
      <c r="B2602" s="7" t="s">
        <v>2504</v>
      </c>
    </row>
    <row r="2603" spans="1:2" x14ac:dyDescent="0.25">
      <c r="A2603" s="12" t="s">
        <v>1719</v>
      </c>
      <c r="B2603" s="7" t="s">
        <v>2504</v>
      </c>
    </row>
    <row r="2604" spans="1:2" x14ac:dyDescent="0.25">
      <c r="A2604" s="12" t="s">
        <v>647</v>
      </c>
      <c r="B2604" s="7" t="s">
        <v>2504</v>
      </c>
    </row>
    <row r="2605" spans="1:2" x14ac:dyDescent="0.25">
      <c r="A2605" s="12" t="s">
        <v>506</v>
      </c>
      <c r="B2605" s="7" t="s">
        <v>2504</v>
      </c>
    </row>
    <row r="2606" spans="1:2" x14ac:dyDescent="0.25">
      <c r="A2606" s="12" t="s">
        <v>1725</v>
      </c>
      <c r="B2606" s="7" t="s">
        <v>2504</v>
      </c>
    </row>
    <row r="2607" spans="1:2" x14ac:dyDescent="0.25">
      <c r="A2607" s="12" t="s">
        <v>1723</v>
      </c>
      <c r="B2607" s="7" t="s">
        <v>2504</v>
      </c>
    </row>
    <row r="2608" spans="1:2" x14ac:dyDescent="0.25">
      <c r="A2608" s="12" t="s">
        <v>281</v>
      </c>
      <c r="B2608" s="7" t="s">
        <v>2504</v>
      </c>
    </row>
    <row r="2609" spans="1:2" x14ac:dyDescent="0.25">
      <c r="A2609" s="12" t="s">
        <v>2485</v>
      </c>
      <c r="B2609" s="7" t="s">
        <v>2504</v>
      </c>
    </row>
    <row r="2610" spans="1:2" x14ac:dyDescent="0.25">
      <c r="A2610" s="12" t="s">
        <v>2339</v>
      </c>
      <c r="B2610" s="7" t="s">
        <v>2504</v>
      </c>
    </row>
    <row r="2611" spans="1:2" x14ac:dyDescent="0.25">
      <c r="A2611" s="12" t="s">
        <v>126</v>
      </c>
      <c r="B2611" s="7" t="s">
        <v>2504</v>
      </c>
    </row>
    <row r="2612" spans="1:2" x14ac:dyDescent="0.25">
      <c r="A2612" s="12" t="s">
        <v>2486</v>
      </c>
      <c r="B2612" s="7" t="s">
        <v>2504</v>
      </c>
    </row>
    <row r="2613" spans="1:2" x14ac:dyDescent="0.25">
      <c r="A2613" s="12" t="s">
        <v>1733</v>
      </c>
      <c r="B2613" s="7" t="s">
        <v>2504</v>
      </c>
    </row>
    <row r="2614" spans="1:2" x14ac:dyDescent="0.25">
      <c r="A2614" s="12" t="s">
        <v>2487</v>
      </c>
      <c r="B2614" s="7" t="s">
        <v>2504</v>
      </c>
    </row>
    <row r="2615" spans="1:2" x14ac:dyDescent="0.25">
      <c r="A2615" s="12" t="s">
        <v>2488</v>
      </c>
      <c r="B2615" s="7" t="s">
        <v>2504</v>
      </c>
    </row>
    <row r="2616" spans="1:2" x14ac:dyDescent="0.25">
      <c r="A2616" s="12" t="s">
        <v>1740</v>
      </c>
      <c r="B2616" s="7" t="s">
        <v>2504</v>
      </c>
    </row>
    <row r="2617" spans="1:2" x14ac:dyDescent="0.25">
      <c r="A2617" s="12" t="s">
        <v>346</v>
      </c>
      <c r="B2617" s="7" t="s">
        <v>2504</v>
      </c>
    </row>
    <row r="2618" spans="1:2" x14ac:dyDescent="0.25">
      <c r="A2618" s="12" t="s">
        <v>1737</v>
      </c>
      <c r="B2618" s="7" t="s">
        <v>2504</v>
      </c>
    </row>
    <row r="2619" spans="1:2" x14ac:dyDescent="0.25">
      <c r="A2619" s="12" t="s">
        <v>1739</v>
      </c>
      <c r="B2619" s="7" t="s">
        <v>2504</v>
      </c>
    </row>
    <row r="2620" spans="1:2" x14ac:dyDescent="0.25">
      <c r="A2620" s="12" t="s">
        <v>2489</v>
      </c>
      <c r="B2620" s="7" t="s">
        <v>2504</v>
      </c>
    </row>
    <row r="2621" spans="1:2" x14ac:dyDescent="0.25">
      <c r="A2621" s="12" t="s">
        <v>1738</v>
      </c>
      <c r="B2621" s="7" t="s">
        <v>2504</v>
      </c>
    </row>
    <row r="2622" spans="1:2" x14ac:dyDescent="0.25">
      <c r="A2622" s="12" t="s">
        <v>41</v>
      </c>
      <c r="B2622" s="7" t="s">
        <v>2504</v>
      </c>
    </row>
    <row r="2623" spans="1:2" x14ac:dyDescent="0.25">
      <c r="A2623" s="12" t="s">
        <v>2348</v>
      </c>
      <c r="B2623" s="7" t="s">
        <v>2504</v>
      </c>
    </row>
    <row r="2624" spans="1:2" x14ac:dyDescent="0.25">
      <c r="A2624" s="12" t="s">
        <v>1772</v>
      </c>
      <c r="B2624" s="7" t="s">
        <v>2504</v>
      </c>
    </row>
    <row r="2625" spans="1:2" x14ac:dyDescent="0.25">
      <c r="A2625" s="12" t="s">
        <v>2490</v>
      </c>
      <c r="B2625" s="7" t="s">
        <v>2504</v>
      </c>
    </row>
    <row r="2626" spans="1:2" x14ac:dyDescent="0.25">
      <c r="A2626" s="12" t="s">
        <v>537</v>
      </c>
      <c r="B2626" s="7" t="s">
        <v>2504</v>
      </c>
    </row>
    <row r="2627" spans="1:2" x14ac:dyDescent="0.25">
      <c r="A2627" s="12" t="s">
        <v>2491</v>
      </c>
      <c r="B2627" s="7" t="s">
        <v>2504</v>
      </c>
    </row>
    <row r="2628" spans="1:2" x14ac:dyDescent="0.25">
      <c r="A2628" s="12" t="s">
        <v>97</v>
      </c>
      <c r="B2628" s="7" t="s">
        <v>2504</v>
      </c>
    </row>
    <row r="2629" spans="1:2" x14ac:dyDescent="0.25">
      <c r="A2629" s="12" t="s">
        <v>295</v>
      </c>
      <c r="B2629" s="7" t="s">
        <v>2504</v>
      </c>
    </row>
    <row r="2630" spans="1:2" x14ac:dyDescent="0.25">
      <c r="A2630" s="12" t="s">
        <v>1760</v>
      </c>
      <c r="B2630" s="7" t="s">
        <v>2504</v>
      </c>
    </row>
    <row r="2631" spans="1:2" x14ac:dyDescent="0.25">
      <c r="A2631" s="12" t="s">
        <v>1746</v>
      </c>
      <c r="B2631" s="7" t="s">
        <v>2504</v>
      </c>
    </row>
    <row r="2632" spans="1:2" x14ac:dyDescent="0.25">
      <c r="A2632" s="12" t="s">
        <v>2492</v>
      </c>
      <c r="B2632" s="7" t="s">
        <v>2504</v>
      </c>
    </row>
    <row r="2633" spans="1:2" x14ac:dyDescent="0.25">
      <c r="A2633" s="12" t="s">
        <v>1769</v>
      </c>
      <c r="B2633" s="7" t="s">
        <v>2504</v>
      </c>
    </row>
    <row r="2634" spans="1:2" x14ac:dyDescent="0.25">
      <c r="A2634" s="12" t="s">
        <v>2493</v>
      </c>
      <c r="B2634" s="7" t="s">
        <v>2504</v>
      </c>
    </row>
    <row r="2635" spans="1:2" x14ac:dyDescent="0.25">
      <c r="A2635" s="12" t="s">
        <v>792</v>
      </c>
      <c r="B2635" s="7" t="s">
        <v>2504</v>
      </c>
    </row>
    <row r="2636" spans="1:2" x14ac:dyDescent="0.25">
      <c r="A2636" s="12" t="s">
        <v>2494</v>
      </c>
      <c r="B2636" s="7" t="s">
        <v>2504</v>
      </c>
    </row>
    <row r="2637" spans="1:2" x14ac:dyDescent="0.25">
      <c r="A2637" s="12" t="s">
        <v>1744</v>
      </c>
      <c r="B2637" s="7" t="s">
        <v>2504</v>
      </c>
    </row>
    <row r="2638" spans="1:2" x14ac:dyDescent="0.25">
      <c r="A2638" s="12" t="s">
        <v>2495</v>
      </c>
      <c r="B2638" s="7" t="s">
        <v>2504</v>
      </c>
    </row>
    <row r="2639" spans="1:2" x14ac:dyDescent="0.25">
      <c r="A2639" s="12" t="s">
        <v>1747</v>
      </c>
      <c r="B2639" s="7" t="s">
        <v>2504</v>
      </c>
    </row>
    <row r="2640" spans="1:2" x14ac:dyDescent="0.25">
      <c r="A2640" s="12" t="s">
        <v>2496</v>
      </c>
      <c r="B2640" s="7" t="s">
        <v>2504</v>
      </c>
    </row>
    <row r="2641" spans="1:2" x14ac:dyDescent="0.25">
      <c r="A2641" s="12" t="s">
        <v>473</v>
      </c>
      <c r="B2641" s="7" t="s">
        <v>2504</v>
      </c>
    </row>
    <row r="2642" spans="1:2" x14ac:dyDescent="0.25">
      <c r="A2642" s="12" t="s">
        <v>453</v>
      </c>
      <c r="B2642" s="7" t="s">
        <v>2504</v>
      </c>
    </row>
    <row r="2643" spans="1:2" x14ac:dyDescent="0.25">
      <c r="A2643" s="12" t="s">
        <v>2497</v>
      </c>
      <c r="B2643" s="7" t="s">
        <v>2504</v>
      </c>
    </row>
    <row r="2644" spans="1:2" x14ac:dyDescent="0.25">
      <c r="A2644" s="12" t="s">
        <v>731</v>
      </c>
      <c r="B2644" s="7" t="s">
        <v>2504</v>
      </c>
    </row>
    <row r="2645" spans="1:2" x14ac:dyDescent="0.25">
      <c r="A2645" s="12" t="s">
        <v>2498</v>
      </c>
      <c r="B2645" s="7" t="s">
        <v>2504</v>
      </c>
    </row>
    <row r="2646" spans="1:2" x14ac:dyDescent="0.25">
      <c r="A2646" s="12" t="s">
        <v>956</v>
      </c>
      <c r="B2646" s="7" t="s">
        <v>2504</v>
      </c>
    </row>
    <row r="2647" spans="1:2" x14ac:dyDescent="0.25">
      <c r="A2647" s="12" t="s">
        <v>111</v>
      </c>
      <c r="B2647" s="7" t="s">
        <v>2504</v>
      </c>
    </row>
    <row r="2648" spans="1:2" x14ac:dyDescent="0.25">
      <c r="A2648" s="12" t="s">
        <v>35</v>
      </c>
      <c r="B2648" s="7" t="s">
        <v>2504</v>
      </c>
    </row>
    <row r="2649" spans="1:2" x14ac:dyDescent="0.25">
      <c r="A2649" s="12" t="s">
        <v>1781</v>
      </c>
      <c r="B2649" s="7" t="s">
        <v>2504</v>
      </c>
    </row>
    <row r="2650" spans="1:2" x14ac:dyDescent="0.25">
      <c r="A2650" s="12" t="s">
        <v>399</v>
      </c>
      <c r="B2650" s="7" t="s">
        <v>2504</v>
      </c>
    </row>
    <row r="2651" spans="1:2" x14ac:dyDescent="0.25">
      <c r="A2651" s="12" t="s">
        <v>2356</v>
      </c>
      <c r="B2651" s="7" t="s">
        <v>2504</v>
      </c>
    </row>
    <row r="2652" spans="1:2" x14ac:dyDescent="0.25">
      <c r="A2652" s="12" t="s">
        <v>2499</v>
      </c>
      <c r="B2652" s="7" t="s">
        <v>2504</v>
      </c>
    </row>
    <row r="2653" spans="1:2" x14ac:dyDescent="0.25">
      <c r="A2653" s="12" t="s">
        <v>628</v>
      </c>
      <c r="B2653" s="7" t="s">
        <v>2504</v>
      </c>
    </row>
    <row r="2654" spans="1:2" x14ac:dyDescent="0.25">
      <c r="A2654" s="12" t="s">
        <v>157</v>
      </c>
      <c r="B2654" s="7" t="s">
        <v>2504</v>
      </c>
    </row>
    <row r="2655" spans="1:2" x14ac:dyDescent="0.25">
      <c r="A2655" s="12" t="s">
        <v>1800</v>
      </c>
      <c r="B2655" s="7" t="s">
        <v>2504</v>
      </c>
    </row>
    <row r="2656" spans="1:2" x14ac:dyDescent="0.25">
      <c r="A2656" s="12" t="s">
        <v>475</v>
      </c>
      <c r="B2656" s="7" t="s">
        <v>2504</v>
      </c>
    </row>
    <row r="2657" spans="1:2" x14ac:dyDescent="0.25">
      <c r="A2657" s="12" t="s">
        <v>274</v>
      </c>
      <c r="B2657" s="7" t="s">
        <v>2504</v>
      </c>
    </row>
    <row r="2658" spans="1:2" x14ac:dyDescent="0.25">
      <c r="A2658" s="12" t="s">
        <v>1822</v>
      </c>
      <c r="B2658" s="7" t="s">
        <v>2504</v>
      </c>
    </row>
    <row r="2659" spans="1:2" x14ac:dyDescent="0.25">
      <c r="A2659" s="12" t="s">
        <v>726</v>
      </c>
      <c r="B2659" s="7" t="s">
        <v>2504</v>
      </c>
    </row>
    <row r="2660" spans="1:2" x14ac:dyDescent="0.25">
      <c r="A2660" s="12" t="s">
        <v>1152</v>
      </c>
      <c r="B2660" s="7" t="s">
        <v>2504</v>
      </c>
    </row>
    <row r="2661" spans="1:2" x14ac:dyDescent="0.25">
      <c r="A2661" s="12" t="s">
        <v>195</v>
      </c>
      <c r="B2661" s="7" t="s">
        <v>2504</v>
      </c>
    </row>
    <row r="2662" spans="1:2" x14ac:dyDescent="0.25">
      <c r="A2662" s="12" t="s">
        <v>1149</v>
      </c>
      <c r="B2662" s="7" t="s">
        <v>2504</v>
      </c>
    </row>
    <row r="2663" spans="1:2" x14ac:dyDescent="0.25">
      <c r="A2663" s="12" t="s">
        <v>2500</v>
      </c>
      <c r="B2663" s="7" t="s">
        <v>2504</v>
      </c>
    </row>
    <row r="2664" spans="1:2" x14ac:dyDescent="0.25">
      <c r="A2664" s="12" t="s">
        <v>193</v>
      </c>
      <c r="B2664" s="7" t="s">
        <v>2504</v>
      </c>
    </row>
    <row r="2665" spans="1:2" x14ac:dyDescent="0.25">
      <c r="A2665" s="12" t="s">
        <v>981</v>
      </c>
      <c r="B2665" s="7" t="s">
        <v>2504</v>
      </c>
    </row>
    <row r="2666" spans="1:2" x14ac:dyDescent="0.25">
      <c r="A2666" s="12" t="s">
        <v>2501</v>
      </c>
      <c r="B2666" s="7" t="s">
        <v>2504</v>
      </c>
    </row>
    <row r="2667" spans="1:2" x14ac:dyDescent="0.25">
      <c r="A2667" s="12" t="s">
        <v>2342</v>
      </c>
      <c r="B2667" s="7" t="s">
        <v>2504</v>
      </c>
    </row>
    <row r="2668" spans="1:2" x14ac:dyDescent="0.25">
      <c r="A2668" s="12" t="s">
        <v>576</v>
      </c>
      <c r="B2668" s="7" t="s">
        <v>2504</v>
      </c>
    </row>
    <row r="2669" spans="1:2" x14ac:dyDescent="0.25">
      <c r="A2669" s="12" t="s">
        <v>2502</v>
      </c>
      <c r="B2669" s="7" t="s">
        <v>2504</v>
      </c>
    </row>
    <row r="2670" spans="1:2" x14ac:dyDescent="0.25">
      <c r="A2670" s="12" t="s">
        <v>1196</v>
      </c>
      <c r="B2670" s="7" t="s">
        <v>2504</v>
      </c>
    </row>
    <row r="2671" spans="1:2" x14ac:dyDescent="0.25">
      <c r="A2671" s="12" t="s">
        <v>307</v>
      </c>
      <c r="B2671" s="7" t="s">
        <v>2504</v>
      </c>
    </row>
    <row r="2672" spans="1:2" x14ac:dyDescent="0.25">
      <c r="A2672" s="12" t="s">
        <v>2503</v>
      </c>
      <c r="B2672" s="7" t="s">
        <v>2504</v>
      </c>
    </row>
    <row r="2673" spans="1:2" x14ac:dyDescent="0.25">
      <c r="A2673" s="12" t="s">
        <v>1665</v>
      </c>
      <c r="B2673" s="7" t="s">
        <v>2504</v>
      </c>
    </row>
    <row r="2674" spans="1:2" x14ac:dyDescent="0.25">
      <c r="A2674" s="12" t="s">
        <v>577</v>
      </c>
      <c r="B2674" s="7" t="s">
        <v>2504</v>
      </c>
    </row>
    <row r="2675" spans="1:2" x14ac:dyDescent="0.25">
      <c r="A2675" s="12" t="s">
        <v>2380</v>
      </c>
      <c r="B2675" s="7" t="s">
        <v>2504</v>
      </c>
    </row>
    <row r="2676" spans="1:2" x14ac:dyDescent="0.25">
      <c r="A2676" s="12" t="s">
        <v>2491</v>
      </c>
      <c r="B2676" s="7" t="s">
        <v>2504</v>
      </c>
    </row>
  </sheetData>
  <autoFilter ref="A1:D2676" xr:uid="{23CE0F13-DC4F-4506-91B1-22EDD6E76CFB}"/>
  <phoneticPr fontId="19"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032F2-B9FE-483E-A833-B41C94B99B65}">
  <sheetPr codeName="Sheet3">
    <tabColor theme="0" tint="-0.499984740745262"/>
  </sheetPr>
  <dimension ref="A1:C6"/>
  <sheetViews>
    <sheetView showGridLines="0" workbookViewId="0">
      <selection activeCell="C14" sqref="C14"/>
    </sheetView>
  </sheetViews>
  <sheetFormatPr defaultRowHeight="15" x14ac:dyDescent="0.25"/>
  <cols>
    <col min="1" max="1" width="12.28515625" customWidth="1"/>
    <col min="2" max="2" width="18.28515625" customWidth="1"/>
    <col min="3" max="3" width="25" bestFit="1" customWidth="1"/>
  </cols>
  <sheetData>
    <row r="1" spans="1:3" x14ac:dyDescent="0.25">
      <c r="A1" s="285" t="s">
        <v>2608</v>
      </c>
      <c r="B1" s="450" t="s">
        <v>2612</v>
      </c>
      <c r="C1" s="448" t="s">
        <v>2611</v>
      </c>
    </row>
    <row r="2" spans="1:3" x14ac:dyDescent="0.25">
      <c r="A2" s="286" t="s">
        <v>2829</v>
      </c>
      <c r="B2" s="449" t="s">
        <v>2830</v>
      </c>
      <c r="C2" s="449" t="s">
        <v>4531</v>
      </c>
    </row>
    <row r="3" spans="1:3" x14ac:dyDescent="0.25">
      <c r="B3" s="449" t="s">
        <v>2831</v>
      </c>
      <c r="C3" s="449" t="s">
        <v>4535</v>
      </c>
    </row>
    <row r="4" spans="1:3" x14ac:dyDescent="0.25">
      <c r="B4" s="449" t="s">
        <v>2832</v>
      </c>
      <c r="C4" s="449" t="s">
        <v>4532</v>
      </c>
    </row>
    <row r="5" spans="1:3" x14ac:dyDescent="0.25">
      <c r="B5" s="449" t="s">
        <v>2833</v>
      </c>
      <c r="C5" s="449" t="s">
        <v>4533</v>
      </c>
    </row>
    <row r="6" spans="1:3" x14ac:dyDescent="0.25">
      <c r="B6" s="449" t="s">
        <v>2834</v>
      </c>
      <c r="C6" s="449" t="s">
        <v>4534</v>
      </c>
    </row>
  </sheetData>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001FB-D66D-473D-A8EF-A77D4FB4E42F}">
  <sheetPr codeName="Sheet4"/>
  <dimension ref="A1:B59"/>
  <sheetViews>
    <sheetView showGridLines="0" workbookViewId="0">
      <selection activeCell="D8" sqref="D8"/>
    </sheetView>
  </sheetViews>
  <sheetFormatPr defaultRowHeight="15" x14ac:dyDescent="0.25"/>
  <cols>
    <col min="1" max="1" width="13.42578125" bestFit="1" customWidth="1"/>
    <col min="2" max="2" width="14.85546875" bestFit="1" customWidth="1"/>
  </cols>
  <sheetData>
    <row r="1" spans="1:2" x14ac:dyDescent="0.25">
      <c r="A1" s="40" t="s">
        <v>1602</v>
      </c>
      <c r="B1" t="s">
        <v>3032</v>
      </c>
    </row>
    <row r="3" spans="1:2" x14ac:dyDescent="0.25">
      <c r="A3" s="40" t="s">
        <v>2547</v>
      </c>
      <c r="B3" t="s">
        <v>2546</v>
      </c>
    </row>
    <row r="4" spans="1:2" x14ac:dyDescent="0.25">
      <c r="A4" s="41" t="s">
        <v>3030</v>
      </c>
      <c r="B4">
        <v>11</v>
      </c>
    </row>
    <row r="5" spans="1:2" x14ac:dyDescent="0.25">
      <c r="A5" s="41" t="s">
        <v>3031</v>
      </c>
      <c r="B5">
        <v>17</v>
      </c>
    </row>
    <row r="6" spans="1:2" x14ac:dyDescent="0.25">
      <c r="A6" s="41" t="s">
        <v>3046</v>
      </c>
      <c r="B6">
        <v>12</v>
      </c>
    </row>
    <row r="7" spans="1:2" x14ac:dyDescent="0.25">
      <c r="A7" s="41" t="s">
        <v>4424</v>
      </c>
      <c r="B7">
        <v>3</v>
      </c>
    </row>
    <row r="8" spans="1:2" x14ac:dyDescent="0.25">
      <c r="A8" s="41" t="s">
        <v>4425</v>
      </c>
      <c r="B8">
        <v>33</v>
      </c>
    </row>
    <row r="9" spans="1:2" x14ac:dyDescent="0.25">
      <c r="A9" s="41" t="s">
        <v>3048</v>
      </c>
      <c r="B9">
        <v>29</v>
      </c>
    </row>
    <row r="10" spans="1:2" x14ac:dyDescent="0.25">
      <c r="A10" s="41" t="s">
        <v>3049</v>
      </c>
      <c r="B10">
        <v>25</v>
      </c>
    </row>
    <row r="11" spans="1:2" x14ac:dyDescent="0.25">
      <c r="A11" s="41" t="s">
        <v>3033</v>
      </c>
      <c r="B11">
        <v>20</v>
      </c>
    </row>
    <row r="12" spans="1:2" x14ac:dyDescent="0.25">
      <c r="A12" s="41" t="s">
        <v>3034</v>
      </c>
      <c r="B12">
        <v>28</v>
      </c>
    </row>
    <row r="13" spans="1:2" x14ac:dyDescent="0.25">
      <c r="A13" s="41" t="s">
        <v>3035</v>
      </c>
      <c r="B13">
        <v>11</v>
      </c>
    </row>
    <row r="14" spans="1:2" x14ac:dyDescent="0.25">
      <c r="A14" s="41" t="s">
        <v>3036</v>
      </c>
      <c r="B14">
        <v>32</v>
      </c>
    </row>
    <row r="15" spans="1:2" x14ac:dyDescent="0.25">
      <c r="A15" s="41" t="s">
        <v>3037</v>
      </c>
      <c r="B15">
        <v>44</v>
      </c>
    </row>
    <row r="16" spans="1:2" x14ac:dyDescent="0.25">
      <c r="A16" s="41" t="s">
        <v>3038</v>
      </c>
      <c r="B16">
        <v>40</v>
      </c>
    </row>
    <row r="17" spans="1:2" x14ac:dyDescent="0.25">
      <c r="A17" s="41" t="s">
        <v>4426</v>
      </c>
      <c r="B17">
        <v>3</v>
      </c>
    </row>
    <row r="18" spans="1:2" x14ac:dyDescent="0.25">
      <c r="A18" s="41" t="s">
        <v>4427</v>
      </c>
      <c r="B18">
        <v>2</v>
      </c>
    </row>
    <row r="19" spans="1:2" x14ac:dyDescent="0.25">
      <c r="A19" s="41" t="s">
        <v>3039</v>
      </c>
      <c r="B19">
        <v>41</v>
      </c>
    </row>
    <row r="20" spans="1:2" x14ac:dyDescent="0.25">
      <c r="A20" s="41" t="s">
        <v>3040</v>
      </c>
      <c r="B20">
        <v>77</v>
      </c>
    </row>
    <row r="21" spans="1:2" x14ac:dyDescent="0.25">
      <c r="A21" s="41" t="s">
        <v>3041</v>
      </c>
      <c r="B21">
        <v>158</v>
      </c>
    </row>
    <row r="22" spans="1:2" x14ac:dyDescent="0.25">
      <c r="A22" s="41" t="s">
        <v>3042</v>
      </c>
      <c r="B22">
        <v>229</v>
      </c>
    </row>
    <row r="23" spans="1:2" x14ac:dyDescent="0.25">
      <c r="A23" s="41" t="s">
        <v>3043</v>
      </c>
      <c r="B23">
        <v>50</v>
      </c>
    </row>
    <row r="24" spans="1:2" x14ac:dyDescent="0.25">
      <c r="A24" s="41" t="s">
        <v>3044</v>
      </c>
      <c r="B24">
        <v>91</v>
      </c>
    </row>
    <row r="25" spans="1:2" x14ac:dyDescent="0.25">
      <c r="A25" s="41" t="s">
        <v>3045</v>
      </c>
      <c r="B25">
        <v>236</v>
      </c>
    </row>
    <row r="26" spans="1:2" x14ac:dyDescent="0.25">
      <c r="A26" s="41" t="s">
        <v>3047</v>
      </c>
      <c r="B26">
        <v>308</v>
      </c>
    </row>
    <row r="27" spans="1:2" x14ac:dyDescent="0.25">
      <c r="A27" s="41" t="s">
        <v>3050</v>
      </c>
      <c r="B27">
        <v>338</v>
      </c>
    </row>
    <row r="28" spans="1:2" x14ac:dyDescent="0.25">
      <c r="A28" s="41" t="s">
        <v>3051</v>
      </c>
      <c r="B28">
        <v>46</v>
      </c>
    </row>
    <row r="29" spans="1:2" x14ac:dyDescent="0.25">
      <c r="A29" s="41" t="s">
        <v>4428</v>
      </c>
      <c r="B29">
        <v>2</v>
      </c>
    </row>
    <row r="30" spans="1:2" x14ac:dyDescent="0.25">
      <c r="A30" s="41" t="s">
        <v>4429</v>
      </c>
      <c r="B30">
        <v>129</v>
      </c>
    </row>
    <row r="31" spans="1:2" x14ac:dyDescent="0.25">
      <c r="A31" s="41" t="s">
        <v>4430</v>
      </c>
      <c r="B31">
        <v>334</v>
      </c>
    </row>
    <row r="32" spans="1:2" x14ac:dyDescent="0.25">
      <c r="A32" s="41" t="s">
        <v>4431</v>
      </c>
      <c r="B32">
        <v>410</v>
      </c>
    </row>
    <row r="33" spans="1:2" x14ac:dyDescent="0.25">
      <c r="A33" s="41" t="s">
        <v>4432</v>
      </c>
      <c r="B33">
        <v>572</v>
      </c>
    </row>
    <row r="34" spans="1:2" x14ac:dyDescent="0.25">
      <c r="A34" s="41" t="s">
        <v>4433</v>
      </c>
      <c r="B34">
        <v>55</v>
      </c>
    </row>
    <row r="35" spans="1:2" x14ac:dyDescent="0.25">
      <c r="A35" s="41" t="s">
        <v>4434</v>
      </c>
      <c r="B35">
        <v>184</v>
      </c>
    </row>
    <row r="36" spans="1:2" x14ac:dyDescent="0.25">
      <c r="A36" s="41" t="s">
        <v>4435</v>
      </c>
      <c r="B36">
        <v>127</v>
      </c>
    </row>
    <row r="37" spans="1:2" x14ac:dyDescent="0.25">
      <c r="A37" s="41" t="s">
        <v>4436</v>
      </c>
      <c r="B37">
        <v>140</v>
      </c>
    </row>
    <row r="38" spans="1:2" x14ac:dyDescent="0.25">
      <c r="A38" s="41" t="s">
        <v>4437</v>
      </c>
      <c r="B38">
        <v>243</v>
      </c>
    </row>
    <row r="39" spans="1:2" x14ac:dyDescent="0.25">
      <c r="A39" s="41" t="s">
        <v>4438</v>
      </c>
      <c r="B39">
        <v>7</v>
      </c>
    </row>
    <row r="40" spans="1:2" x14ac:dyDescent="0.25">
      <c r="A40" s="41" t="s">
        <v>4439</v>
      </c>
      <c r="B40">
        <v>15</v>
      </c>
    </row>
    <row r="41" spans="1:2" x14ac:dyDescent="0.25">
      <c r="A41" s="41" t="s">
        <v>4440</v>
      </c>
      <c r="B41">
        <v>29</v>
      </c>
    </row>
    <row r="42" spans="1:2" x14ac:dyDescent="0.25">
      <c r="A42" s="41" t="s">
        <v>4441</v>
      </c>
      <c r="B42">
        <v>37</v>
      </c>
    </row>
    <row r="43" spans="1:2" x14ac:dyDescent="0.25">
      <c r="A43" s="41" t="s">
        <v>4442</v>
      </c>
      <c r="B43">
        <v>53</v>
      </c>
    </row>
    <row r="44" spans="1:2" x14ac:dyDescent="0.25">
      <c r="A44" s="41" t="s">
        <v>4443</v>
      </c>
      <c r="B44">
        <v>2</v>
      </c>
    </row>
    <row r="45" spans="1:2" x14ac:dyDescent="0.25">
      <c r="A45" s="41" t="s">
        <v>4444</v>
      </c>
      <c r="B45">
        <v>1</v>
      </c>
    </row>
    <row r="46" spans="1:2" x14ac:dyDescent="0.25">
      <c r="A46" s="41" t="s">
        <v>4445</v>
      </c>
      <c r="B46">
        <v>20</v>
      </c>
    </row>
    <row r="47" spans="1:2" x14ac:dyDescent="0.25">
      <c r="A47" s="41" t="s">
        <v>4446</v>
      </c>
      <c r="B47">
        <v>46</v>
      </c>
    </row>
    <row r="48" spans="1:2" x14ac:dyDescent="0.25">
      <c r="A48" s="41" t="s">
        <v>4447</v>
      </c>
      <c r="B48">
        <v>48</v>
      </c>
    </row>
    <row r="49" spans="1:2" x14ac:dyDescent="0.25">
      <c r="A49" s="41" t="s">
        <v>4448</v>
      </c>
      <c r="B49">
        <v>9</v>
      </c>
    </row>
    <row r="50" spans="1:2" x14ac:dyDescent="0.25">
      <c r="A50" s="41" t="s">
        <v>4449</v>
      </c>
      <c r="B50">
        <v>6</v>
      </c>
    </row>
    <row r="51" spans="1:2" x14ac:dyDescent="0.25">
      <c r="A51" s="41" t="s">
        <v>4450</v>
      </c>
      <c r="B51">
        <v>13</v>
      </c>
    </row>
    <row r="52" spans="1:2" x14ac:dyDescent="0.25">
      <c r="A52" s="41" t="s">
        <v>4451</v>
      </c>
      <c r="B52">
        <v>28</v>
      </c>
    </row>
    <row r="53" spans="1:2" x14ac:dyDescent="0.25">
      <c r="A53" s="41" t="s">
        <v>4452</v>
      </c>
      <c r="B53">
        <v>31</v>
      </c>
    </row>
    <row r="54" spans="1:2" x14ac:dyDescent="0.25">
      <c r="A54" s="41" t="s">
        <v>4453</v>
      </c>
      <c r="B54">
        <v>5</v>
      </c>
    </row>
    <row r="55" spans="1:2" x14ac:dyDescent="0.25">
      <c r="A55" s="41" t="s">
        <v>4454</v>
      </c>
      <c r="B55">
        <v>10</v>
      </c>
    </row>
    <row r="56" spans="1:2" x14ac:dyDescent="0.25">
      <c r="A56" s="41" t="s">
        <v>4455</v>
      </c>
      <c r="B56">
        <v>7</v>
      </c>
    </row>
    <row r="57" spans="1:2" x14ac:dyDescent="0.25">
      <c r="A57" s="41" t="s">
        <v>4456</v>
      </c>
      <c r="B57">
        <v>8</v>
      </c>
    </row>
    <row r="58" spans="1:2" x14ac:dyDescent="0.25">
      <c r="A58" s="41" t="s">
        <v>4457</v>
      </c>
      <c r="B58">
        <v>13</v>
      </c>
    </row>
    <row r="59" spans="1:2" x14ac:dyDescent="0.25">
      <c r="A59" s="41" t="s">
        <v>2548</v>
      </c>
      <c r="B59">
        <v>4468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65B52-3EE0-4074-AF25-F6027C33DFA2}">
  <sheetPr codeName="Sheet5">
    <tabColor theme="0" tint="-0.499984740745262"/>
  </sheetPr>
  <dimension ref="A1"/>
  <sheetViews>
    <sheetView showGridLines="0" zoomScale="140" zoomScaleNormal="140" workbookViewId="0">
      <selection activeCell="N31" sqref="N31"/>
    </sheetView>
  </sheetViews>
  <sheetFormatPr defaultRowHeight="15"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B1244-E068-401E-BE08-6D247EA630DC}">
  <sheetPr codeName="Sheet6">
    <tabColor theme="0" tint="-0.499984740745262"/>
  </sheetPr>
  <dimension ref="B1:AL86"/>
  <sheetViews>
    <sheetView showGridLines="0" zoomScale="90" zoomScaleNormal="90" workbookViewId="0">
      <pane ySplit="3" topLeftCell="A100" activePane="bottomLeft" state="frozen"/>
      <selection pane="bottomLeft" activeCell="AM117" sqref="AM117"/>
    </sheetView>
  </sheetViews>
  <sheetFormatPr defaultRowHeight="15" x14ac:dyDescent="0.25"/>
  <cols>
    <col min="1" max="1" width="2.85546875" customWidth="1"/>
    <col min="2" max="2" width="9.140625" bestFit="1" customWidth="1"/>
    <col min="3" max="17" width="5" customWidth="1"/>
    <col min="18" max="18" width="6.5703125" bestFit="1" customWidth="1"/>
    <col min="19" max="19" width="5.42578125" bestFit="1" customWidth="1"/>
    <col min="20" max="20" width="2.5703125" customWidth="1"/>
    <col min="21" max="21" width="9.85546875" bestFit="1" customWidth="1"/>
    <col min="22" max="36" width="5" customWidth="1"/>
    <col min="37" max="38" width="5.42578125" bestFit="1" customWidth="1"/>
  </cols>
  <sheetData>
    <row r="1" spans="2:38" x14ac:dyDescent="0.25">
      <c r="B1" s="367" t="s">
        <v>4467</v>
      </c>
      <c r="C1" s="347">
        <f>C2/SUM($C$2:$Q$2)</f>
        <v>8.6705202312138727E-2</v>
      </c>
      <c r="D1" s="347">
        <f t="shared" ref="D1:Q1" si="0">D2/SUM($C$2:$Q$2)</f>
        <v>0.17630057803468208</v>
      </c>
      <c r="E1" s="347">
        <f t="shared" si="0"/>
        <v>2.023121387283237E-2</v>
      </c>
      <c r="F1" s="347">
        <f t="shared" si="0"/>
        <v>0.11560693641618497</v>
      </c>
      <c r="G1" s="347">
        <f t="shared" si="0"/>
        <v>0.12427745664739884</v>
      </c>
      <c r="H1" s="347">
        <f t="shared" si="0"/>
        <v>3.7572254335260118E-2</v>
      </c>
      <c r="I1" s="347">
        <f t="shared" si="0"/>
        <v>0</v>
      </c>
      <c r="J1" s="347">
        <f t="shared" si="0"/>
        <v>0.11271676300578035</v>
      </c>
      <c r="K1" s="347">
        <f t="shared" si="0"/>
        <v>4.6242774566473986E-2</v>
      </c>
      <c r="L1" s="347">
        <f t="shared" si="0"/>
        <v>7.5144508670520235E-2</v>
      </c>
      <c r="M1" s="347">
        <f t="shared" si="0"/>
        <v>6.358381502890173E-2</v>
      </c>
      <c r="N1" s="347">
        <f t="shared" si="0"/>
        <v>0</v>
      </c>
      <c r="O1" s="347">
        <f t="shared" si="0"/>
        <v>5.4913294797687862E-2</v>
      </c>
      <c r="P1" s="347">
        <f t="shared" si="0"/>
        <v>4.3352601156069363E-2</v>
      </c>
      <c r="Q1" s="347">
        <f t="shared" si="0"/>
        <v>4.3352601156069363E-2</v>
      </c>
      <c r="R1" s="664" t="s">
        <v>4561</v>
      </c>
      <c r="S1" s="663" t="s">
        <v>2540</v>
      </c>
      <c r="U1" s="367" t="s">
        <v>4467</v>
      </c>
      <c r="V1" s="347">
        <f>V2/SUM($C$2:$Q$2)</f>
        <v>1.7341040462427744E-2</v>
      </c>
      <c r="W1" s="347">
        <f t="shared" ref="W1:AJ1" si="1">W2/SUM($C$2:$Q$2)</f>
        <v>1.1560693641618497E-2</v>
      </c>
      <c r="X1" s="347">
        <f t="shared" si="1"/>
        <v>2.8901734104046241E-3</v>
      </c>
      <c r="Y1" s="347">
        <f t="shared" si="1"/>
        <v>8.670520231213872E-3</v>
      </c>
      <c r="Z1" s="347">
        <f t="shared" si="1"/>
        <v>5.7803468208092483E-3</v>
      </c>
      <c r="AA1" s="347">
        <f t="shared" si="1"/>
        <v>0</v>
      </c>
      <c r="AB1" s="347">
        <f t="shared" si="1"/>
        <v>0</v>
      </c>
      <c r="AC1" s="347">
        <f t="shared" si="1"/>
        <v>3.1791907514450865E-2</v>
      </c>
      <c r="AD1" s="347">
        <f t="shared" si="1"/>
        <v>2.8901734104046241E-3</v>
      </c>
      <c r="AE1" s="347">
        <f t="shared" si="1"/>
        <v>1.1560693641618497E-2</v>
      </c>
      <c r="AF1" s="347">
        <f t="shared" si="1"/>
        <v>1.4450867052023121E-2</v>
      </c>
      <c r="AG1" s="347">
        <f t="shared" si="1"/>
        <v>0</v>
      </c>
      <c r="AH1" s="347">
        <f t="shared" si="1"/>
        <v>2.8901734104046241E-3</v>
      </c>
      <c r="AI1" s="347">
        <f t="shared" si="1"/>
        <v>0</v>
      </c>
      <c r="AJ1" s="347">
        <f t="shared" si="1"/>
        <v>8.3815028901734104E-2</v>
      </c>
      <c r="AK1" s="663" t="s">
        <v>2522</v>
      </c>
      <c r="AL1" s="663" t="s">
        <v>2540</v>
      </c>
    </row>
    <row r="2" spans="2:38" x14ac:dyDescent="0.25">
      <c r="B2" s="367" t="s">
        <v>4559</v>
      </c>
      <c r="C2" s="365">
        <f>SUM(C4:C86)</f>
        <v>30</v>
      </c>
      <c r="D2" s="365">
        <f t="shared" ref="D2:Q2" si="2">SUM(D4:D86)</f>
        <v>61</v>
      </c>
      <c r="E2" s="365">
        <f t="shared" si="2"/>
        <v>7</v>
      </c>
      <c r="F2" s="365">
        <f t="shared" si="2"/>
        <v>40</v>
      </c>
      <c r="G2" s="365">
        <f t="shared" si="2"/>
        <v>43</v>
      </c>
      <c r="H2" s="365">
        <f t="shared" si="2"/>
        <v>13</v>
      </c>
      <c r="I2" s="365">
        <f t="shared" si="2"/>
        <v>0</v>
      </c>
      <c r="J2" s="365">
        <f t="shared" si="2"/>
        <v>39</v>
      </c>
      <c r="K2" s="365">
        <f t="shared" si="2"/>
        <v>16</v>
      </c>
      <c r="L2" s="365">
        <f t="shared" si="2"/>
        <v>26</v>
      </c>
      <c r="M2" s="365">
        <f t="shared" si="2"/>
        <v>22</v>
      </c>
      <c r="N2" s="365">
        <f t="shared" si="2"/>
        <v>0</v>
      </c>
      <c r="O2" s="365">
        <f t="shared" si="2"/>
        <v>19</v>
      </c>
      <c r="P2" s="365">
        <f t="shared" si="2"/>
        <v>15</v>
      </c>
      <c r="Q2" s="365">
        <f t="shared" si="2"/>
        <v>15</v>
      </c>
      <c r="R2" s="663"/>
      <c r="S2" s="663"/>
      <c r="U2" s="367" t="s">
        <v>4560</v>
      </c>
      <c r="V2" s="365">
        <f>SUM(V4:V86)</f>
        <v>6</v>
      </c>
      <c r="W2" s="365">
        <f t="shared" ref="W2:AJ2" si="3">SUM(W4:W86)</f>
        <v>4</v>
      </c>
      <c r="X2" s="365">
        <f t="shared" si="3"/>
        <v>1</v>
      </c>
      <c r="Y2" s="365">
        <f t="shared" si="3"/>
        <v>3</v>
      </c>
      <c r="Z2" s="365">
        <f t="shared" si="3"/>
        <v>2</v>
      </c>
      <c r="AA2" s="365">
        <f t="shared" si="3"/>
        <v>0</v>
      </c>
      <c r="AB2" s="365">
        <f t="shared" si="3"/>
        <v>0</v>
      </c>
      <c r="AC2" s="365">
        <f t="shared" si="3"/>
        <v>11</v>
      </c>
      <c r="AD2" s="365">
        <f t="shared" si="3"/>
        <v>1</v>
      </c>
      <c r="AE2" s="365">
        <f t="shared" si="3"/>
        <v>4</v>
      </c>
      <c r="AF2" s="365">
        <f t="shared" si="3"/>
        <v>5</v>
      </c>
      <c r="AG2" s="365">
        <f t="shared" si="3"/>
        <v>0</v>
      </c>
      <c r="AH2" s="365">
        <f t="shared" si="3"/>
        <v>1</v>
      </c>
      <c r="AI2" s="365">
        <f t="shared" si="3"/>
        <v>0</v>
      </c>
      <c r="AJ2" s="365">
        <f t="shared" si="3"/>
        <v>29</v>
      </c>
      <c r="AK2" s="663"/>
      <c r="AL2" s="663"/>
    </row>
    <row r="3" spans="2:38" x14ac:dyDescent="0.25">
      <c r="B3" s="367" t="s">
        <v>4468</v>
      </c>
      <c r="C3" s="114" t="s">
        <v>2615</v>
      </c>
      <c r="D3" s="115" t="s">
        <v>2613</v>
      </c>
      <c r="E3" s="361" t="s">
        <v>2663</v>
      </c>
      <c r="F3" s="150" t="s">
        <v>2612</v>
      </c>
      <c r="G3" s="42" t="s">
        <v>2618</v>
      </c>
      <c r="H3" s="113" t="s">
        <v>2611</v>
      </c>
      <c r="I3" s="112" t="s">
        <v>2616</v>
      </c>
      <c r="J3" s="149" t="s">
        <v>2619</v>
      </c>
      <c r="K3" s="43" t="s">
        <v>2610</v>
      </c>
      <c r="L3" s="109" t="s">
        <v>2614</v>
      </c>
      <c r="M3" s="455" t="s">
        <v>2609</v>
      </c>
      <c r="N3" s="44" t="s">
        <v>2617</v>
      </c>
      <c r="O3" s="110" t="s">
        <v>2659</v>
      </c>
      <c r="P3" s="111" t="s">
        <v>2661</v>
      </c>
      <c r="Q3" s="157" t="s">
        <v>2690</v>
      </c>
      <c r="R3" s="663"/>
      <c r="S3" s="663"/>
      <c r="U3" s="367" t="s">
        <v>4468</v>
      </c>
      <c r="V3" s="114" t="s">
        <v>2615</v>
      </c>
      <c r="W3" s="115" t="s">
        <v>2613</v>
      </c>
      <c r="X3" s="361" t="s">
        <v>2663</v>
      </c>
      <c r="Y3" s="150" t="s">
        <v>2612</v>
      </c>
      <c r="Z3" s="42" t="s">
        <v>2618</v>
      </c>
      <c r="AA3" s="113" t="s">
        <v>2611</v>
      </c>
      <c r="AB3" s="112" t="s">
        <v>2616</v>
      </c>
      <c r="AC3" s="149" t="s">
        <v>2619</v>
      </c>
      <c r="AD3" s="43" t="s">
        <v>2610</v>
      </c>
      <c r="AE3" s="109" t="s">
        <v>2614</v>
      </c>
      <c r="AF3" s="455" t="s">
        <v>2609</v>
      </c>
      <c r="AG3" s="44" t="s">
        <v>2617</v>
      </c>
      <c r="AH3" s="110" t="s">
        <v>2659</v>
      </c>
      <c r="AI3" s="111" t="s">
        <v>2661</v>
      </c>
      <c r="AJ3" s="157" t="s">
        <v>2690</v>
      </c>
      <c r="AK3" s="663"/>
      <c r="AL3" s="663"/>
    </row>
    <row r="4" spans="2:38" x14ac:dyDescent="0.25">
      <c r="B4" s="366">
        <v>45756</v>
      </c>
      <c r="C4" s="452">
        <f>COUNTIFS('2025-Q2'!$E$4:$E$422,'SPDR Chart'!C$3,'2025-Q2'!$F$4:$F$422,'SPDR Chart'!$B4,'2025-Q2'!$D$4:$D$422,"Y")</f>
        <v>1</v>
      </c>
      <c r="D4" s="453">
        <f>COUNTIFS('2025-Q2'!$E$4:$E$422,'SPDR Chart'!D$3,'2025-Q2'!$F$4:$F$422,'SPDR Chart'!$B4,'2025-Q2'!$D$4:$D$422,"Y")</f>
        <v>1</v>
      </c>
      <c r="E4" s="453">
        <f>COUNTIFS('2025-Q2'!$E$4:$E$422,'SPDR Chart'!E$3,'2025-Q2'!$F$4:$F$422,'SPDR Chart'!$B4,'2025-Q2'!$D$4:$D$422,"Y")</f>
        <v>0</v>
      </c>
      <c r="F4" s="453">
        <f>COUNTIFS('2025-Q2'!$E$4:$E$422,'SPDR Chart'!F$3,'2025-Q2'!$F$4:$F$422,'SPDR Chart'!$B4,'2025-Q2'!$D$4:$D$422,"Y")</f>
        <v>0</v>
      </c>
      <c r="G4" s="453">
        <f>COUNTIFS('2025-Q2'!$E$4:$E$422,'SPDR Chart'!G$3,'2025-Q2'!$F$4:$F$422,'SPDR Chart'!$B4,'2025-Q2'!$D$4:$D$422,"Y")</f>
        <v>0</v>
      </c>
      <c r="H4" s="453">
        <f>COUNTIFS('2025-Q2'!$E$4:$E$422,'SPDR Chart'!H$3,'2025-Q2'!$F$4:$F$422,'SPDR Chart'!$B4,'2025-Q2'!$D$4:$D$422,"Y")</f>
        <v>0</v>
      </c>
      <c r="I4" s="453">
        <f>COUNTIFS('2025-Q2'!$E$4:$E$422,'SPDR Chart'!I$3,'2025-Q2'!$F$4:$F$422,'SPDR Chart'!$B4,'2025-Q2'!$D$4:$D$422,"Y")</f>
        <v>0</v>
      </c>
      <c r="J4" s="453">
        <f>COUNTIFS('2025-Q2'!$E$4:$E$422,'SPDR Chart'!J$3,'2025-Q2'!$F$4:$F$422,'SPDR Chart'!$B4,'2025-Q2'!$D$4:$D$422,"Y")</f>
        <v>0</v>
      </c>
      <c r="K4" s="453">
        <f>COUNTIFS('2025-Q2'!$E$4:$E$422,'SPDR Chart'!K$3,'2025-Q2'!$F$4:$F$422,'SPDR Chart'!$B4,'2025-Q2'!$D$4:$D$422,"Y")</f>
        <v>0</v>
      </c>
      <c r="L4" s="453">
        <f>COUNTIFS('2025-Q2'!$E$4:$E$422,'SPDR Chart'!L$3,'2025-Q2'!$F$4:$F$422,'SPDR Chart'!$B4,'2025-Q2'!$D$4:$D$422,"Y")</f>
        <v>0</v>
      </c>
      <c r="M4" s="453">
        <f>COUNTIFS('2025-Q2'!$E$4:$E$422,'SPDR Chart'!M$3,'2025-Q2'!$F$4:$F$422,'SPDR Chart'!$B4,'2025-Q2'!$D$4:$D$422,"Y")</f>
        <v>0</v>
      </c>
      <c r="N4" s="453">
        <f>COUNTIFS('2025-Q2'!$E$4:$E$422,'SPDR Chart'!N$3,'2025-Q2'!$F$4:$F$422,'SPDR Chart'!$B4,'2025-Q2'!$D$4:$D$422,"Y")</f>
        <v>0</v>
      </c>
      <c r="O4" s="453">
        <f>COUNTIFS('2025-Q2'!$E$4:$E$422,'SPDR Chart'!O$3,'2025-Q2'!$F$4:$F$422,'SPDR Chart'!$B4,'2025-Q2'!$D$4:$D$422,"Y")</f>
        <v>0</v>
      </c>
      <c r="P4" s="453">
        <f>COUNTIFS('2025-Q2'!$E$4:$E$422,'SPDR Chart'!P$3,'2025-Q2'!$F$4:$F$422,'SPDR Chart'!$B4,'2025-Q2'!$D$4:$D$422,"Y")</f>
        <v>0</v>
      </c>
      <c r="Q4" s="454">
        <f>COUNTIFS('2025-Q2'!$E$4:$E$422,'SPDR Chart'!Q$3,'2025-Q2'!$F$4:$F$422,'SPDR Chart'!$B4,'2025-Q2'!$D$4:$D$422,"Y")</f>
        <v>0</v>
      </c>
      <c r="R4" s="452">
        <f>SUM(C4:Q4)</f>
        <v>2</v>
      </c>
      <c r="S4" s="456">
        <f>SUM($R$4:R4)/SUM($R$4:$R$86)</f>
        <v>5.7803468208092483E-3</v>
      </c>
      <c r="U4" s="366">
        <v>45756</v>
      </c>
      <c r="V4" s="452">
        <f>COUNTIFS('2025-Q2'!$E$4:$E$422,'SPDR Chart'!V$3,'2025-Q2'!$F$4:$F$422,'SPDR Chart'!$B4,'2025-Q2'!$D$4:$D$422,"N")</f>
        <v>0</v>
      </c>
      <c r="W4" s="453">
        <f>COUNTIFS('2025-Q2'!$E$4:$E$422,'SPDR Chart'!W$3,'2025-Q2'!$F$4:$F$422,'SPDR Chart'!$B4,'2025-Q2'!$D$4:$D$422,"N")</f>
        <v>0</v>
      </c>
      <c r="X4" s="453">
        <f>COUNTIFS('2025-Q2'!$E$4:$E$422,'SPDR Chart'!X$3,'2025-Q2'!$F$4:$F$422,'SPDR Chart'!$B4,'2025-Q2'!$D$4:$D$422,"N")</f>
        <v>0</v>
      </c>
      <c r="Y4" s="453">
        <f>COUNTIFS('2025-Q2'!$E$4:$E$422,'SPDR Chart'!Y$3,'2025-Q2'!$F$4:$F$422,'SPDR Chart'!$B4,'2025-Q2'!$D$4:$D$422,"N")</f>
        <v>0</v>
      </c>
      <c r="Z4" s="453">
        <f>COUNTIFS('2025-Q2'!$E$4:$E$422,'SPDR Chart'!Z$3,'2025-Q2'!$F$4:$F$422,'SPDR Chart'!$B4,'2025-Q2'!$D$4:$D$422,"N")</f>
        <v>0</v>
      </c>
      <c r="AA4" s="453">
        <f>COUNTIFS('2025-Q2'!$E$4:$E$422,'SPDR Chart'!AA$3,'2025-Q2'!$F$4:$F$422,'SPDR Chart'!$B4,'2025-Q2'!$D$4:$D$422,"N")</f>
        <v>0</v>
      </c>
      <c r="AB4" s="453">
        <f>COUNTIFS('2025-Q2'!$E$4:$E$422,'SPDR Chart'!AB$3,'2025-Q2'!$F$4:$F$422,'SPDR Chart'!$B4,'2025-Q2'!$D$4:$D$422,"N")</f>
        <v>0</v>
      </c>
      <c r="AC4" s="453">
        <f>COUNTIFS('2025-Q2'!$E$4:$E$422,'SPDR Chart'!AC$3,'2025-Q2'!$F$4:$F$422,'SPDR Chart'!$B4,'2025-Q2'!$D$4:$D$422,"N")</f>
        <v>0</v>
      </c>
      <c r="AD4" s="453">
        <f>COUNTIFS('2025-Q2'!$E$4:$E$422,'SPDR Chart'!AD$3,'2025-Q2'!$F$4:$F$422,'SPDR Chart'!$B4,'2025-Q2'!$D$4:$D$422,"N")</f>
        <v>0</v>
      </c>
      <c r="AE4" s="453">
        <f>COUNTIFS('2025-Q2'!$E$4:$E$422,'SPDR Chart'!AE$3,'2025-Q2'!$F$4:$F$422,'SPDR Chart'!$B4,'2025-Q2'!$D$4:$D$422,"N")</f>
        <v>0</v>
      </c>
      <c r="AF4" s="453">
        <f>COUNTIFS('2025-Q2'!$E$4:$E$422,'SPDR Chart'!AF$3,'2025-Q2'!$F$4:$F$422,'SPDR Chart'!$B4,'2025-Q2'!$D$4:$D$422,"N")</f>
        <v>0</v>
      </c>
      <c r="AG4" s="453">
        <f>COUNTIFS('2025-Q2'!$E$4:$E$422,'SPDR Chart'!AG$3,'2025-Q2'!$F$4:$F$422,'SPDR Chart'!$B4,'2025-Q2'!$D$4:$D$422,"N")</f>
        <v>0</v>
      </c>
      <c r="AH4" s="453">
        <f>COUNTIFS('2025-Q2'!$E$4:$E$422,'SPDR Chart'!AH$3,'2025-Q2'!$F$4:$F$422,'SPDR Chart'!$B4,'2025-Q2'!$D$4:$D$422,"N")</f>
        <v>0</v>
      </c>
      <c r="AI4" s="453">
        <f>COUNTIFS('2025-Q2'!$E$4:$E$422,'SPDR Chart'!AI$3,'2025-Q2'!$F$4:$F$422,'SPDR Chart'!$B4,'2025-Q2'!$D$4:$D$422,"N")</f>
        <v>0</v>
      </c>
      <c r="AJ4" s="454">
        <f>COUNTIFS('2025-Q2'!$E$4:$E$422,'SPDR Chart'!AJ$3,'2025-Q2'!$F$4:$F$422,'SPDR Chart'!$B4,'2025-Q2'!$D$4:$D$422,"N")</f>
        <v>0</v>
      </c>
      <c r="AK4" s="452">
        <f>SUM(V4:AJ4)</f>
        <v>0</v>
      </c>
      <c r="AL4" s="456">
        <f>SUM($AK$4:AK4)/SUM($AK$4:$AK$86)</f>
        <v>0</v>
      </c>
    </row>
    <row r="5" spans="2:38" x14ac:dyDescent="0.25">
      <c r="B5" s="366">
        <v>45757</v>
      </c>
      <c r="C5" s="158">
        <f>COUNTIFS('2025-Q2'!$E$4:$E$422,'SPDR Chart'!C$3,'2025-Q2'!$F$4:$F$422,'SPDR Chart'!$B5,'2025-Q2'!$D$4:$D$422,"Y")</f>
        <v>0</v>
      </c>
      <c r="D5" s="158">
        <f>COUNTIFS('2025-Q2'!$E$4:$E$422,'SPDR Chart'!D$3,'2025-Q2'!$F$4:$F$422,'SPDR Chart'!$B5,'2025-Q2'!$D$4:$D$422,"Y")</f>
        <v>0</v>
      </c>
      <c r="E5" s="158">
        <f>COUNTIFS('2025-Q2'!$E$4:$E$422,'SPDR Chart'!E$3,'2025-Q2'!$F$4:$F$422,'SPDR Chart'!$B5,'2025-Q2'!$D$4:$D$422,"Y")</f>
        <v>0</v>
      </c>
      <c r="F5" s="158">
        <f>COUNTIFS('2025-Q2'!$E$4:$E$422,'SPDR Chart'!F$3,'2025-Q2'!$F$4:$F$422,'SPDR Chart'!$B5,'2025-Q2'!$D$4:$D$422,"Y")</f>
        <v>0</v>
      </c>
      <c r="G5" s="158">
        <f>COUNTIFS('2025-Q2'!$E$4:$E$422,'SPDR Chart'!G$3,'2025-Q2'!$F$4:$F$422,'SPDR Chart'!$B5,'2025-Q2'!$D$4:$D$422,"Y")</f>
        <v>0</v>
      </c>
      <c r="H5" s="158">
        <f>COUNTIFS('2025-Q2'!$E$4:$E$422,'SPDR Chart'!H$3,'2025-Q2'!$F$4:$F$422,'SPDR Chart'!$B5,'2025-Q2'!$D$4:$D$422,"Y")</f>
        <v>0</v>
      </c>
      <c r="I5" s="158">
        <f>COUNTIFS('2025-Q2'!$E$4:$E$422,'SPDR Chart'!I$3,'2025-Q2'!$F$4:$F$422,'SPDR Chart'!$B5,'2025-Q2'!$D$4:$D$422,"Y")</f>
        <v>0</v>
      </c>
      <c r="J5" s="158">
        <f>COUNTIFS('2025-Q2'!$E$4:$E$422,'SPDR Chart'!J$3,'2025-Q2'!$F$4:$F$422,'SPDR Chart'!$B5,'2025-Q2'!$D$4:$D$422,"Y")</f>
        <v>0</v>
      </c>
      <c r="K5" s="158">
        <f>COUNTIFS('2025-Q2'!$E$4:$E$422,'SPDR Chart'!K$3,'2025-Q2'!$F$4:$F$422,'SPDR Chart'!$B5,'2025-Q2'!$D$4:$D$422,"Y")</f>
        <v>0</v>
      </c>
      <c r="L5" s="158">
        <f>COUNTIFS('2025-Q2'!$E$4:$E$422,'SPDR Chart'!L$3,'2025-Q2'!$F$4:$F$422,'SPDR Chart'!$B5,'2025-Q2'!$D$4:$D$422,"Y")</f>
        <v>0</v>
      </c>
      <c r="M5" s="158">
        <f>COUNTIFS('2025-Q2'!$E$4:$E$422,'SPDR Chart'!M$3,'2025-Q2'!$F$4:$F$422,'SPDR Chart'!$B5,'2025-Q2'!$D$4:$D$422,"Y")</f>
        <v>0</v>
      </c>
      <c r="N5" s="158">
        <f>COUNTIFS('2025-Q2'!$E$4:$E$422,'SPDR Chart'!N$3,'2025-Q2'!$F$4:$F$422,'SPDR Chart'!$B5,'2025-Q2'!$D$4:$D$422,"Y")</f>
        <v>0</v>
      </c>
      <c r="O5" s="158">
        <f>COUNTIFS('2025-Q2'!$E$4:$E$422,'SPDR Chart'!O$3,'2025-Q2'!$F$4:$F$422,'SPDR Chart'!$B5,'2025-Q2'!$D$4:$D$422,"Y")</f>
        <v>0</v>
      </c>
      <c r="P5" s="158">
        <f>COUNTIFS('2025-Q2'!$E$4:$E$422,'SPDR Chart'!P$3,'2025-Q2'!$F$4:$F$422,'SPDR Chart'!$B5,'2025-Q2'!$D$4:$D$422,"Y")</f>
        <v>0</v>
      </c>
      <c r="Q5" s="363">
        <f>COUNTIFS('2025-Q2'!$E$4:$E$422,'SPDR Chart'!Q$3,'2025-Q2'!$F$4:$F$422,'SPDR Chart'!$B5,'2025-Q2'!$D$4:$D$422,"Y")</f>
        <v>0</v>
      </c>
      <c r="R5" s="457">
        <f t="shared" ref="R5:R68" si="4">SUM(C5:Q5)</f>
        <v>0</v>
      </c>
      <c r="S5" s="458">
        <f>SUM($R$4:R5)/SUM($R$4:$R$86)</f>
        <v>5.7803468208092483E-3</v>
      </c>
      <c r="U5" s="366">
        <v>45757</v>
      </c>
      <c r="V5" s="158">
        <f>COUNTIFS('2025-Q2'!$E$4:$E$422,'SPDR Chart'!V$3,'2025-Q2'!$F$4:$F$422,'SPDR Chart'!$B5,'2025-Q2'!$D$4:$D$422,"N")</f>
        <v>0</v>
      </c>
      <c r="W5" s="158">
        <f>COUNTIFS('2025-Q2'!$E$4:$E$422,'SPDR Chart'!W$3,'2025-Q2'!$F$4:$F$422,'SPDR Chart'!$B5,'2025-Q2'!$D$4:$D$422,"N")</f>
        <v>0</v>
      </c>
      <c r="X5" s="158">
        <f>COUNTIFS('2025-Q2'!$E$4:$E$422,'SPDR Chart'!X$3,'2025-Q2'!$F$4:$F$422,'SPDR Chart'!$B5,'2025-Q2'!$D$4:$D$422,"N")</f>
        <v>0</v>
      </c>
      <c r="Y5" s="158">
        <f>COUNTIFS('2025-Q2'!$E$4:$E$422,'SPDR Chart'!Y$3,'2025-Q2'!$F$4:$F$422,'SPDR Chart'!$B5,'2025-Q2'!$D$4:$D$422,"N")</f>
        <v>0</v>
      </c>
      <c r="Z5" s="158">
        <f>COUNTIFS('2025-Q2'!$E$4:$E$422,'SPDR Chart'!Z$3,'2025-Q2'!$F$4:$F$422,'SPDR Chart'!$B5,'2025-Q2'!$D$4:$D$422,"N")</f>
        <v>0</v>
      </c>
      <c r="AA5" s="158">
        <f>COUNTIFS('2025-Q2'!$E$4:$E$422,'SPDR Chart'!AA$3,'2025-Q2'!$F$4:$F$422,'SPDR Chart'!$B5,'2025-Q2'!$D$4:$D$422,"N")</f>
        <v>0</v>
      </c>
      <c r="AB5" s="158">
        <f>COUNTIFS('2025-Q2'!$E$4:$E$422,'SPDR Chart'!AB$3,'2025-Q2'!$F$4:$F$422,'SPDR Chart'!$B5,'2025-Q2'!$D$4:$D$422,"N")</f>
        <v>0</v>
      </c>
      <c r="AC5" s="158">
        <f>COUNTIFS('2025-Q2'!$E$4:$E$422,'SPDR Chart'!AC$3,'2025-Q2'!$F$4:$F$422,'SPDR Chart'!$B5,'2025-Q2'!$D$4:$D$422,"N")</f>
        <v>0</v>
      </c>
      <c r="AD5" s="158">
        <f>COUNTIFS('2025-Q2'!$E$4:$E$422,'SPDR Chart'!AD$3,'2025-Q2'!$F$4:$F$422,'SPDR Chart'!$B5,'2025-Q2'!$D$4:$D$422,"N")</f>
        <v>0</v>
      </c>
      <c r="AE5" s="158">
        <f>COUNTIFS('2025-Q2'!$E$4:$E$422,'SPDR Chart'!AE$3,'2025-Q2'!$F$4:$F$422,'SPDR Chart'!$B5,'2025-Q2'!$D$4:$D$422,"N")</f>
        <v>0</v>
      </c>
      <c r="AF5" s="158">
        <f>COUNTIFS('2025-Q2'!$E$4:$E$422,'SPDR Chart'!AF$3,'2025-Q2'!$F$4:$F$422,'SPDR Chart'!$B5,'2025-Q2'!$D$4:$D$422,"N")</f>
        <v>0</v>
      </c>
      <c r="AG5" s="158">
        <f>COUNTIFS('2025-Q2'!$E$4:$E$422,'SPDR Chart'!AG$3,'2025-Q2'!$F$4:$F$422,'SPDR Chart'!$B5,'2025-Q2'!$D$4:$D$422,"N")</f>
        <v>0</v>
      </c>
      <c r="AH5" s="158">
        <f>COUNTIFS('2025-Q2'!$E$4:$E$422,'SPDR Chart'!AH$3,'2025-Q2'!$F$4:$F$422,'SPDR Chart'!$B5,'2025-Q2'!$D$4:$D$422,"N")</f>
        <v>0</v>
      </c>
      <c r="AI5" s="158">
        <f>COUNTIFS('2025-Q2'!$E$4:$E$422,'SPDR Chart'!AI$3,'2025-Q2'!$F$4:$F$422,'SPDR Chart'!$B5,'2025-Q2'!$D$4:$D$422,"N")</f>
        <v>0</v>
      </c>
      <c r="AJ5" s="363">
        <f>COUNTIFS('2025-Q2'!$E$4:$E$422,'SPDR Chart'!AJ$3,'2025-Q2'!$F$4:$F$422,'SPDR Chart'!$B5,'2025-Q2'!$D$4:$D$422,"N")</f>
        <v>0</v>
      </c>
      <c r="AK5" s="457">
        <f t="shared" ref="AK5:AK68" si="5">SUM(V5:AJ5)</f>
        <v>0</v>
      </c>
      <c r="AL5" s="458">
        <f>SUM($AK$4:AK5)/SUM($AK$4:$AK$86)</f>
        <v>0</v>
      </c>
    </row>
    <row r="6" spans="2:38" x14ac:dyDescent="0.25">
      <c r="B6" s="366">
        <v>45758</v>
      </c>
      <c r="C6" s="158">
        <f>COUNTIFS('2025-Q2'!$E$4:$E$422,'SPDR Chart'!C$3,'2025-Q2'!$F$4:$F$422,'SPDR Chart'!$B6,'2025-Q2'!$D$4:$D$422,"Y")</f>
        <v>0</v>
      </c>
      <c r="D6" s="158">
        <f>COUNTIFS('2025-Q2'!$E$4:$E$422,'SPDR Chart'!D$3,'2025-Q2'!$F$4:$F$422,'SPDR Chart'!$B6,'2025-Q2'!$D$4:$D$422,"Y")</f>
        <v>1</v>
      </c>
      <c r="E6" s="158">
        <f>COUNTIFS('2025-Q2'!$E$4:$E$422,'SPDR Chart'!E$3,'2025-Q2'!$F$4:$F$422,'SPDR Chart'!$B6,'2025-Q2'!$D$4:$D$422,"Y")</f>
        <v>0</v>
      </c>
      <c r="F6" s="158">
        <f>COUNTIFS('2025-Q2'!$E$4:$E$422,'SPDR Chart'!F$3,'2025-Q2'!$F$4:$F$422,'SPDR Chart'!$B6,'2025-Q2'!$D$4:$D$422,"Y")</f>
        <v>5</v>
      </c>
      <c r="G6" s="158">
        <f>COUNTIFS('2025-Q2'!$E$4:$E$422,'SPDR Chart'!G$3,'2025-Q2'!$F$4:$F$422,'SPDR Chart'!$B6,'2025-Q2'!$D$4:$D$422,"Y")</f>
        <v>0</v>
      </c>
      <c r="H6" s="158">
        <f>COUNTIFS('2025-Q2'!$E$4:$E$422,'SPDR Chart'!H$3,'2025-Q2'!$F$4:$F$422,'SPDR Chart'!$B6,'2025-Q2'!$D$4:$D$422,"Y")</f>
        <v>0</v>
      </c>
      <c r="I6" s="158">
        <f>COUNTIFS('2025-Q2'!$E$4:$E$422,'SPDR Chart'!I$3,'2025-Q2'!$F$4:$F$422,'SPDR Chart'!$B6,'2025-Q2'!$D$4:$D$422,"Y")</f>
        <v>0</v>
      </c>
      <c r="J6" s="158">
        <f>COUNTIFS('2025-Q2'!$E$4:$E$422,'SPDR Chart'!J$3,'2025-Q2'!$F$4:$F$422,'SPDR Chart'!$B6,'2025-Q2'!$D$4:$D$422,"Y")</f>
        <v>0</v>
      </c>
      <c r="K6" s="158">
        <f>COUNTIFS('2025-Q2'!$E$4:$E$422,'SPDR Chart'!K$3,'2025-Q2'!$F$4:$F$422,'SPDR Chart'!$B6,'2025-Q2'!$D$4:$D$422,"Y")</f>
        <v>0</v>
      </c>
      <c r="L6" s="158">
        <f>COUNTIFS('2025-Q2'!$E$4:$E$422,'SPDR Chart'!L$3,'2025-Q2'!$F$4:$F$422,'SPDR Chart'!$B6,'2025-Q2'!$D$4:$D$422,"Y")</f>
        <v>0</v>
      </c>
      <c r="M6" s="158">
        <f>COUNTIFS('2025-Q2'!$E$4:$E$422,'SPDR Chart'!M$3,'2025-Q2'!$F$4:$F$422,'SPDR Chart'!$B6,'2025-Q2'!$D$4:$D$422,"Y")</f>
        <v>0</v>
      </c>
      <c r="N6" s="158">
        <f>COUNTIFS('2025-Q2'!$E$4:$E$422,'SPDR Chart'!N$3,'2025-Q2'!$F$4:$F$422,'SPDR Chart'!$B6,'2025-Q2'!$D$4:$D$422,"Y")</f>
        <v>0</v>
      </c>
      <c r="O6" s="158">
        <f>COUNTIFS('2025-Q2'!$E$4:$E$422,'SPDR Chart'!O$3,'2025-Q2'!$F$4:$F$422,'SPDR Chart'!$B6,'2025-Q2'!$D$4:$D$422,"Y")</f>
        <v>0</v>
      </c>
      <c r="P6" s="158">
        <f>COUNTIFS('2025-Q2'!$E$4:$E$422,'SPDR Chart'!P$3,'2025-Q2'!$F$4:$F$422,'SPDR Chart'!$B6,'2025-Q2'!$D$4:$D$422,"Y")</f>
        <v>0</v>
      </c>
      <c r="Q6" s="363">
        <f>COUNTIFS('2025-Q2'!$E$4:$E$422,'SPDR Chart'!Q$3,'2025-Q2'!$F$4:$F$422,'SPDR Chart'!$B6,'2025-Q2'!$D$4:$D$422,"Y")</f>
        <v>0</v>
      </c>
      <c r="R6" s="457">
        <f t="shared" si="4"/>
        <v>6</v>
      </c>
      <c r="S6" s="458">
        <f>SUM($R$4:R6)/SUM($R$4:$R$86)</f>
        <v>2.3121387283236993E-2</v>
      </c>
      <c r="U6" s="366">
        <v>45758</v>
      </c>
      <c r="V6" s="158">
        <f>COUNTIFS('2025-Q2'!$E$4:$E$422,'SPDR Chart'!V$3,'2025-Q2'!$F$4:$F$422,'SPDR Chart'!$B6,'2025-Q2'!$D$4:$D$422,"N")</f>
        <v>0</v>
      </c>
      <c r="W6" s="158">
        <f>COUNTIFS('2025-Q2'!$E$4:$E$422,'SPDR Chart'!W$3,'2025-Q2'!$F$4:$F$422,'SPDR Chart'!$B6,'2025-Q2'!$D$4:$D$422,"N")</f>
        <v>0</v>
      </c>
      <c r="X6" s="158">
        <f>COUNTIFS('2025-Q2'!$E$4:$E$422,'SPDR Chart'!X$3,'2025-Q2'!$F$4:$F$422,'SPDR Chart'!$B6,'2025-Q2'!$D$4:$D$422,"N")</f>
        <v>0</v>
      </c>
      <c r="Y6" s="158">
        <f>COUNTIFS('2025-Q2'!$E$4:$E$422,'SPDR Chart'!Y$3,'2025-Q2'!$F$4:$F$422,'SPDR Chart'!$B6,'2025-Q2'!$D$4:$D$422,"N")</f>
        <v>0</v>
      </c>
      <c r="Z6" s="158">
        <f>COUNTIFS('2025-Q2'!$E$4:$E$422,'SPDR Chart'!Z$3,'2025-Q2'!$F$4:$F$422,'SPDR Chart'!$B6,'2025-Q2'!$D$4:$D$422,"N")</f>
        <v>0</v>
      </c>
      <c r="AA6" s="158">
        <f>COUNTIFS('2025-Q2'!$E$4:$E$422,'SPDR Chart'!AA$3,'2025-Q2'!$F$4:$F$422,'SPDR Chart'!$B6,'2025-Q2'!$D$4:$D$422,"N")</f>
        <v>0</v>
      </c>
      <c r="AB6" s="158">
        <f>COUNTIFS('2025-Q2'!$E$4:$E$422,'SPDR Chart'!AB$3,'2025-Q2'!$F$4:$F$422,'SPDR Chart'!$B6,'2025-Q2'!$D$4:$D$422,"N")</f>
        <v>0</v>
      </c>
      <c r="AC6" s="158">
        <f>COUNTIFS('2025-Q2'!$E$4:$E$422,'SPDR Chart'!AC$3,'2025-Q2'!$F$4:$F$422,'SPDR Chart'!$B6,'2025-Q2'!$D$4:$D$422,"N")</f>
        <v>0</v>
      </c>
      <c r="AD6" s="158">
        <f>COUNTIFS('2025-Q2'!$E$4:$E$422,'SPDR Chart'!AD$3,'2025-Q2'!$F$4:$F$422,'SPDR Chart'!$B6,'2025-Q2'!$D$4:$D$422,"N")</f>
        <v>0</v>
      </c>
      <c r="AE6" s="158">
        <f>COUNTIFS('2025-Q2'!$E$4:$E$422,'SPDR Chart'!AE$3,'2025-Q2'!$F$4:$F$422,'SPDR Chart'!$B6,'2025-Q2'!$D$4:$D$422,"N")</f>
        <v>0</v>
      </c>
      <c r="AF6" s="158">
        <f>COUNTIFS('2025-Q2'!$E$4:$E$422,'SPDR Chart'!AF$3,'2025-Q2'!$F$4:$F$422,'SPDR Chart'!$B6,'2025-Q2'!$D$4:$D$422,"N")</f>
        <v>0</v>
      </c>
      <c r="AG6" s="158">
        <f>COUNTIFS('2025-Q2'!$E$4:$E$422,'SPDR Chart'!AG$3,'2025-Q2'!$F$4:$F$422,'SPDR Chart'!$B6,'2025-Q2'!$D$4:$D$422,"N")</f>
        <v>0</v>
      </c>
      <c r="AH6" s="158">
        <f>COUNTIFS('2025-Q2'!$E$4:$E$422,'SPDR Chart'!AH$3,'2025-Q2'!$F$4:$F$422,'SPDR Chart'!$B6,'2025-Q2'!$D$4:$D$422,"N")</f>
        <v>0</v>
      </c>
      <c r="AI6" s="158">
        <f>COUNTIFS('2025-Q2'!$E$4:$E$422,'SPDR Chart'!AI$3,'2025-Q2'!$F$4:$F$422,'SPDR Chart'!$B6,'2025-Q2'!$D$4:$D$422,"N")</f>
        <v>0</v>
      </c>
      <c r="AJ6" s="363">
        <f>COUNTIFS('2025-Q2'!$E$4:$E$422,'SPDR Chart'!AJ$3,'2025-Q2'!$F$4:$F$422,'SPDR Chart'!$B6,'2025-Q2'!$D$4:$D$422,"N")</f>
        <v>0</v>
      </c>
      <c r="AK6" s="457">
        <f t="shared" si="5"/>
        <v>0</v>
      </c>
      <c r="AL6" s="458">
        <f>SUM($AK$4:AK6)/SUM($AK$4:$AK$86)</f>
        <v>0</v>
      </c>
    </row>
    <row r="7" spans="2:38" x14ac:dyDescent="0.25">
      <c r="B7" s="366">
        <v>45759</v>
      </c>
      <c r="C7" s="158">
        <f>COUNTIFS('2025-Q2'!$E$4:$E$422,'SPDR Chart'!C$3,'2025-Q2'!$F$4:$F$422,'SPDR Chart'!$B7,'2025-Q2'!$D$4:$D$422,"Y")</f>
        <v>0</v>
      </c>
      <c r="D7" s="158">
        <f>COUNTIFS('2025-Q2'!$E$4:$E$422,'SPDR Chart'!D$3,'2025-Q2'!$F$4:$F$422,'SPDR Chart'!$B7,'2025-Q2'!$D$4:$D$422,"Y")</f>
        <v>0</v>
      </c>
      <c r="E7" s="158">
        <f>COUNTIFS('2025-Q2'!$E$4:$E$422,'SPDR Chart'!E$3,'2025-Q2'!$F$4:$F$422,'SPDR Chart'!$B7,'2025-Q2'!$D$4:$D$422,"Y")</f>
        <v>0</v>
      </c>
      <c r="F7" s="158">
        <f>COUNTIFS('2025-Q2'!$E$4:$E$422,'SPDR Chart'!F$3,'2025-Q2'!$F$4:$F$422,'SPDR Chart'!$B7,'2025-Q2'!$D$4:$D$422,"Y")</f>
        <v>0</v>
      </c>
      <c r="G7" s="158">
        <f>COUNTIFS('2025-Q2'!$E$4:$E$422,'SPDR Chart'!G$3,'2025-Q2'!$F$4:$F$422,'SPDR Chart'!$B7,'2025-Q2'!$D$4:$D$422,"Y")</f>
        <v>0</v>
      </c>
      <c r="H7" s="158">
        <f>COUNTIFS('2025-Q2'!$E$4:$E$422,'SPDR Chart'!H$3,'2025-Q2'!$F$4:$F$422,'SPDR Chart'!$B7,'2025-Q2'!$D$4:$D$422,"Y")</f>
        <v>0</v>
      </c>
      <c r="I7" s="158">
        <f>COUNTIFS('2025-Q2'!$E$4:$E$422,'SPDR Chart'!I$3,'2025-Q2'!$F$4:$F$422,'SPDR Chart'!$B7,'2025-Q2'!$D$4:$D$422,"Y")</f>
        <v>0</v>
      </c>
      <c r="J7" s="158">
        <f>COUNTIFS('2025-Q2'!$E$4:$E$422,'SPDR Chart'!J$3,'2025-Q2'!$F$4:$F$422,'SPDR Chart'!$B7,'2025-Q2'!$D$4:$D$422,"Y")</f>
        <v>0</v>
      </c>
      <c r="K7" s="158">
        <f>COUNTIFS('2025-Q2'!$E$4:$E$422,'SPDR Chart'!K$3,'2025-Q2'!$F$4:$F$422,'SPDR Chart'!$B7,'2025-Q2'!$D$4:$D$422,"Y")</f>
        <v>0</v>
      </c>
      <c r="L7" s="158">
        <f>COUNTIFS('2025-Q2'!$E$4:$E$422,'SPDR Chart'!L$3,'2025-Q2'!$F$4:$F$422,'SPDR Chart'!$B7,'2025-Q2'!$D$4:$D$422,"Y")</f>
        <v>0</v>
      </c>
      <c r="M7" s="158">
        <f>COUNTIFS('2025-Q2'!$E$4:$E$422,'SPDR Chart'!M$3,'2025-Q2'!$F$4:$F$422,'SPDR Chart'!$B7,'2025-Q2'!$D$4:$D$422,"Y")</f>
        <v>0</v>
      </c>
      <c r="N7" s="158">
        <f>COUNTIFS('2025-Q2'!$E$4:$E$422,'SPDR Chart'!N$3,'2025-Q2'!$F$4:$F$422,'SPDR Chart'!$B7,'2025-Q2'!$D$4:$D$422,"Y")</f>
        <v>0</v>
      </c>
      <c r="O7" s="158">
        <f>COUNTIFS('2025-Q2'!$E$4:$E$422,'SPDR Chart'!O$3,'2025-Q2'!$F$4:$F$422,'SPDR Chart'!$B7,'2025-Q2'!$D$4:$D$422,"Y")</f>
        <v>0</v>
      </c>
      <c r="P7" s="158">
        <f>COUNTIFS('2025-Q2'!$E$4:$E$422,'SPDR Chart'!P$3,'2025-Q2'!$F$4:$F$422,'SPDR Chart'!$B7,'2025-Q2'!$D$4:$D$422,"Y")</f>
        <v>0</v>
      </c>
      <c r="Q7" s="363">
        <f>COUNTIFS('2025-Q2'!$E$4:$E$422,'SPDR Chart'!Q$3,'2025-Q2'!$F$4:$F$422,'SPDR Chart'!$B7,'2025-Q2'!$D$4:$D$422,"Y")</f>
        <v>0</v>
      </c>
      <c r="R7" s="457">
        <f t="shared" si="4"/>
        <v>0</v>
      </c>
      <c r="S7" s="458">
        <f>SUM($R$4:R7)/SUM($R$4:$R$86)</f>
        <v>2.3121387283236993E-2</v>
      </c>
      <c r="U7" s="366">
        <v>45759</v>
      </c>
      <c r="V7" s="158">
        <f>COUNTIFS('2025-Q2'!$E$4:$E$422,'SPDR Chart'!V$3,'2025-Q2'!$F$4:$F$422,'SPDR Chart'!$B7,'2025-Q2'!$D$4:$D$422,"N")</f>
        <v>0</v>
      </c>
      <c r="W7" s="158">
        <f>COUNTIFS('2025-Q2'!$E$4:$E$422,'SPDR Chart'!W$3,'2025-Q2'!$F$4:$F$422,'SPDR Chart'!$B7,'2025-Q2'!$D$4:$D$422,"N")</f>
        <v>0</v>
      </c>
      <c r="X7" s="158">
        <f>COUNTIFS('2025-Q2'!$E$4:$E$422,'SPDR Chart'!X$3,'2025-Q2'!$F$4:$F$422,'SPDR Chart'!$B7,'2025-Q2'!$D$4:$D$422,"N")</f>
        <v>0</v>
      </c>
      <c r="Y7" s="158">
        <f>COUNTIFS('2025-Q2'!$E$4:$E$422,'SPDR Chart'!Y$3,'2025-Q2'!$F$4:$F$422,'SPDR Chart'!$B7,'2025-Q2'!$D$4:$D$422,"N")</f>
        <v>0</v>
      </c>
      <c r="Z7" s="158">
        <f>COUNTIFS('2025-Q2'!$E$4:$E$422,'SPDR Chart'!Z$3,'2025-Q2'!$F$4:$F$422,'SPDR Chart'!$B7,'2025-Q2'!$D$4:$D$422,"N")</f>
        <v>0</v>
      </c>
      <c r="AA7" s="158">
        <f>COUNTIFS('2025-Q2'!$E$4:$E$422,'SPDR Chart'!AA$3,'2025-Q2'!$F$4:$F$422,'SPDR Chart'!$B7,'2025-Q2'!$D$4:$D$422,"N")</f>
        <v>0</v>
      </c>
      <c r="AB7" s="158">
        <f>COUNTIFS('2025-Q2'!$E$4:$E$422,'SPDR Chart'!AB$3,'2025-Q2'!$F$4:$F$422,'SPDR Chart'!$B7,'2025-Q2'!$D$4:$D$422,"N")</f>
        <v>0</v>
      </c>
      <c r="AC7" s="158">
        <f>COUNTIFS('2025-Q2'!$E$4:$E$422,'SPDR Chart'!AC$3,'2025-Q2'!$F$4:$F$422,'SPDR Chart'!$B7,'2025-Q2'!$D$4:$D$422,"N")</f>
        <v>0</v>
      </c>
      <c r="AD7" s="158">
        <f>COUNTIFS('2025-Q2'!$E$4:$E$422,'SPDR Chart'!AD$3,'2025-Q2'!$F$4:$F$422,'SPDR Chart'!$B7,'2025-Q2'!$D$4:$D$422,"N")</f>
        <v>0</v>
      </c>
      <c r="AE7" s="158">
        <f>COUNTIFS('2025-Q2'!$E$4:$E$422,'SPDR Chart'!AE$3,'2025-Q2'!$F$4:$F$422,'SPDR Chart'!$B7,'2025-Q2'!$D$4:$D$422,"N")</f>
        <v>0</v>
      </c>
      <c r="AF7" s="158">
        <f>COUNTIFS('2025-Q2'!$E$4:$E$422,'SPDR Chart'!AF$3,'2025-Q2'!$F$4:$F$422,'SPDR Chart'!$B7,'2025-Q2'!$D$4:$D$422,"N")</f>
        <v>0</v>
      </c>
      <c r="AG7" s="158">
        <f>COUNTIFS('2025-Q2'!$E$4:$E$422,'SPDR Chart'!AG$3,'2025-Q2'!$F$4:$F$422,'SPDR Chart'!$B7,'2025-Q2'!$D$4:$D$422,"N")</f>
        <v>0</v>
      </c>
      <c r="AH7" s="158">
        <f>COUNTIFS('2025-Q2'!$E$4:$E$422,'SPDR Chart'!AH$3,'2025-Q2'!$F$4:$F$422,'SPDR Chart'!$B7,'2025-Q2'!$D$4:$D$422,"N")</f>
        <v>0</v>
      </c>
      <c r="AI7" s="158">
        <f>COUNTIFS('2025-Q2'!$E$4:$E$422,'SPDR Chart'!AI$3,'2025-Q2'!$F$4:$F$422,'SPDR Chart'!$B7,'2025-Q2'!$D$4:$D$422,"N")</f>
        <v>0</v>
      </c>
      <c r="AJ7" s="363">
        <f>COUNTIFS('2025-Q2'!$E$4:$E$422,'SPDR Chart'!AJ$3,'2025-Q2'!$F$4:$F$422,'SPDR Chart'!$B7,'2025-Q2'!$D$4:$D$422,"N")</f>
        <v>0</v>
      </c>
      <c r="AK7" s="457">
        <f t="shared" si="5"/>
        <v>0</v>
      </c>
      <c r="AL7" s="458">
        <f>SUM($AK$4:AK7)/SUM($AK$4:$AK$86)</f>
        <v>0</v>
      </c>
    </row>
    <row r="8" spans="2:38" x14ac:dyDescent="0.25">
      <c r="B8" s="366">
        <v>45760</v>
      </c>
      <c r="C8" s="158">
        <f>COUNTIFS('2025-Q2'!$E$4:$E$422,'SPDR Chart'!C$3,'2025-Q2'!$F$4:$F$422,'SPDR Chart'!$B8,'2025-Q2'!$D$4:$D$422,"Y")</f>
        <v>0</v>
      </c>
      <c r="D8" s="158">
        <f>COUNTIFS('2025-Q2'!$E$4:$E$422,'SPDR Chart'!D$3,'2025-Q2'!$F$4:$F$422,'SPDR Chart'!$B8,'2025-Q2'!$D$4:$D$422,"Y")</f>
        <v>0</v>
      </c>
      <c r="E8" s="158">
        <f>COUNTIFS('2025-Q2'!$E$4:$E$422,'SPDR Chart'!E$3,'2025-Q2'!$F$4:$F$422,'SPDR Chart'!$B8,'2025-Q2'!$D$4:$D$422,"Y")</f>
        <v>0</v>
      </c>
      <c r="F8" s="158">
        <f>COUNTIFS('2025-Q2'!$E$4:$E$422,'SPDR Chart'!F$3,'2025-Q2'!$F$4:$F$422,'SPDR Chart'!$B8,'2025-Q2'!$D$4:$D$422,"Y")</f>
        <v>0</v>
      </c>
      <c r="G8" s="158">
        <f>COUNTIFS('2025-Q2'!$E$4:$E$422,'SPDR Chart'!G$3,'2025-Q2'!$F$4:$F$422,'SPDR Chart'!$B8,'2025-Q2'!$D$4:$D$422,"Y")</f>
        <v>0</v>
      </c>
      <c r="H8" s="158">
        <f>COUNTIFS('2025-Q2'!$E$4:$E$422,'SPDR Chart'!H$3,'2025-Q2'!$F$4:$F$422,'SPDR Chart'!$B8,'2025-Q2'!$D$4:$D$422,"Y")</f>
        <v>0</v>
      </c>
      <c r="I8" s="158">
        <f>COUNTIFS('2025-Q2'!$E$4:$E$422,'SPDR Chart'!I$3,'2025-Q2'!$F$4:$F$422,'SPDR Chart'!$B8,'2025-Q2'!$D$4:$D$422,"Y")</f>
        <v>0</v>
      </c>
      <c r="J8" s="158">
        <f>COUNTIFS('2025-Q2'!$E$4:$E$422,'SPDR Chart'!J$3,'2025-Q2'!$F$4:$F$422,'SPDR Chart'!$B8,'2025-Q2'!$D$4:$D$422,"Y")</f>
        <v>0</v>
      </c>
      <c r="K8" s="158">
        <f>COUNTIFS('2025-Q2'!$E$4:$E$422,'SPDR Chart'!K$3,'2025-Q2'!$F$4:$F$422,'SPDR Chart'!$B8,'2025-Q2'!$D$4:$D$422,"Y")</f>
        <v>0</v>
      </c>
      <c r="L8" s="158">
        <f>COUNTIFS('2025-Q2'!$E$4:$E$422,'SPDR Chart'!L$3,'2025-Q2'!$F$4:$F$422,'SPDR Chart'!$B8,'2025-Q2'!$D$4:$D$422,"Y")</f>
        <v>0</v>
      </c>
      <c r="M8" s="158">
        <f>COUNTIFS('2025-Q2'!$E$4:$E$422,'SPDR Chart'!M$3,'2025-Q2'!$F$4:$F$422,'SPDR Chart'!$B8,'2025-Q2'!$D$4:$D$422,"Y")</f>
        <v>0</v>
      </c>
      <c r="N8" s="158">
        <f>COUNTIFS('2025-Q2'!$E$4:$E$422,'SPDR Chart'!N$3,'2025-Q2'!$F$4:$F$422,'SPDR Chart'!$B8,'2025-Q2'!$D$4:$D$422,"Y")</f>
        <v>0</v>
      </c>
      <c r="O8" s="158">
        <f>COUNTIFS('2025-Q2'!$E$4:$E$422,'SPDR Chart'!O$3,'2025-Q2'!$F$4:$F$422,'SPDR Chart'!$B8,'2025-Q2'!$D$4:$D$422,"Y")</f>
        <v>0</v>
      </c>
      <c r="P8" s="158">
        <f>COUNTIFS('2025-Q2'!$E$4:$E$422,'SPDR Chart'!P$3,'2025-Q2'!$F$4:$F$422,'SPDR Chart'!$B8,'2025-Q2'!$D$4:$D$422,"Y")</f>
        <v>0</v>
      </c>
      <c r="Q8" s="363">
        <f>COUNTIFS('2025-Q2'!$E$4:$E$422,'SPDR Chart'!Q$3,'2025-Q2'!$F$4:$F$422,'SPDR Chart'!$B8,'2025-Q2'!$D$4:$D$422,"Y")</f>
        <v>0</v>
      </c>
      <c r="R8" s="457">
        <f t="shared" si="4"/>
        <v>0</v>
      </c>
      <c r="S8" s="458">
        <f>SUM($R$4:R8)/SUM($R$4:$R$86)</f>
        <v>2.3121387283236993E-2</v>
      </c>
      <c r="U8" s="366">
        <v>45760</v>
      </c>
      <c r="V8" s="158">
        <f>COUNTIFS('2025-Q2'!$E$4:$E$422,'SPDR Chart'!V$3,'2025-Q2'!$F$4:$F$422,'SPDR Chart'!$B8,'2025-Q2'!$D$4:$D$422,"N")</f>
        <v>0</v>
      </c>
      <c r="W8" s="158">
        <f>COUNTIFS('2025-Q2'!$E$4:$E$422,'SPDR Chart'!W$3,'2025-Q2'!$F$4:$F$422,'SPDR Chart'!$B8,'2025-Q2'!$D$4:$D$422,"N")</f>
        <v>0</v>
      </c>
      <c r="X8" s="158">
        <f>COUNTIFS('2025-Q2'!$E$4:$E$422,'SPDR Chart'!X$3,'2025-Q2'!$F$4:$F$422,'SPDR Chart'!$B8,'2025-Q2'!$D$4:$D$422,"N")</f>
        <v>0</v>
      </c>
      <c r="Y8" s="158">
        <f>COUNTIFS('2025-Q2'!$E$4:$E$422,'SPDR Chart'!Y$3,'2025-Q2'!$F$4:$F$422,'SPDR Chart'!$B8,'2025-Q2'!$D$4:$D$422,"N")</f>
        <v>0</v>
      </c>
      <c r="Z8" s="158">
        <f>COUNTIFS('2025-Q2'!$E$4:$E$422,'SPDR Chart'!Z$3,'2025-Q2'!$F$4:$F$422,'SPDR Chart'!$B8,'2025-Q2'!$D$4:$D$422,"N")</f>
        <v>0</v>
      </c>
      <c r="AA8" s="158">
        <f>COUNTIFS('2025-Q2'!$E$4:$E$422,'SPDR Chart'!AA$3,'2025-Q2'!$F$4:$F$422,'SPDR Chart'!$B8,'2025-Q2'!$D$4:$D$422,"N")</f>
        <v>0</v>
      </c>
      <c r="AB8" s="158">
        <f>COUNTIFS('2025-Q2'!$E$4:$E$422,'SPDR Chart'!AB$3,'2025-Q2'!$F$4:$F$422,'SPDR Chart'!$B8,'2025-Q2'!$D$4:$D$422,"N")</f>
        <v>0</v>
      </c>
      <c r="AC8" s="158">
        <f>COUNTIFS('2025-Q2'!$E$4:$E$422,'SPDR Chart'!AC$3,'2025-Q2'!$F$4:$F$422,'SPDR Chart'!$B8,'2025-Q2'!$D$4:$D$422,"N")</f>
        <v>0</v>
      </c>
      <c r="AD8" s="158">
        <f>COUNTIFS('2025-Q2'!$E$4:$E$422,'SPDR Chart'!AD$3,'2025-Q2'!$F$4:$F$422,'SPDR Chart'!$B8,'2025-Q2'!$D$4:$D$422,"N")</f>
        <v>0</v>
      </c>
      <c r="AE8" s="158">
        <f>COUNTIFS('2025-Q2'!$E$4:$E$422,'SPDR Chart'!AE$3,'2025-Q2'!$F$4:$F$422,'SPDR Chart'!$B8,'2025-Q2'!$D$4:$D$422,"N")</f>
        <v>0</v>
      </c>
      <c r="AF8" s="158">
        <f>COUNTIFS('2025-Q2'!$E$4:$E$422,'SPDR Chart'!AF$3,'2025-Q2'!$F$4:$F$422,'SPDR Chart'!$B8,'2025-Q2'!$D$4:$D$422,"N")</f>
        <v>0</v>
      </c>
      <c r="AG8" s="158">
        <f>COUNTIFS('2025-Q2'!$E$4:$E$422,'SPDR Chart'!AG$3,'2025-Q2'!$F$4:$F$422,'SPDR Chart'!$B8,'2025-Q2'!$D$4:$D$422,"N")</f>
        <v>0</v>
      </c>
      <c r="AH8" s="158">
        <f>COUNTIFS('2025-Q2'!$E$4:$E$422,'SPDR Chart'!AH$3,'2025-Q2'!$F$4:$F$422,'SPDR Chart'!$B8,'2025-Q2'!$D$4:$D$422,"N")</f>
        <v>0</v>
      </c>
      <c r="AI8" s="158">
        <f>COUNTIFS('2025-Q2'!$E$4:$E$422,'SPDR Chart'!AI$3,'2025-Q2'!$F$4:$F$422,'SPDR Chart'!$B8,'2025-Q2'!$D$4:$D$422,"N")</f>
        <v>0</v>
      </c>
      <c r="AJ8" s="363">
        <f>COUNTIFS('2025-Q2'!$E$4:$E$422,'SPDR Chart'!AJ$3,'2025-Q2'!$F$4:$F$422,'SPDR Chart'!$B8,'2025-Q2'!$D$4:$D$422,"N")</f>
        <v>0</v>
      </c>
      <c r="AK8" s="457">
        <f t="shared" si="5"/>
        <v>0</v>
      </c>
      <c r="AL8" s="458">
        <f>SUM($AK$4:AK8)/SUM($AK$4:$AK$86)</f>
        <v>0</v>
      </c>
    </row>
    <row r="9" spans="2:38" x14ac:dyDescent="0.25">
      <c r="B9" s="366">
        <v>45761</v>
      </c>
      <c r="C9" s="158">
        <f>COUNTIFS('2025-Q2'!$E$4:$E$422,'SPDR Chart'!C$3,'2025-Q2'!$F$4:$F$422,'SPDR Chart'!$B9,'2025-Q2'!$D$4:$D$422,"Y")</f>
        <v>0</v>
      </c>
      <c r="D9" s="158">
        <f>COUNTIFS('2025-Q2'!$E$4:$E$422,'SPDR Chart'!D$3,'2025-Q2'!$F$4:$F$422,'SPDR Chart'!$B9,'2025-Q2'!$D$4:$D$422,"Y")</f>
        <v>0</v>
      </c>
      <c r="E9" s="158">
        <f>COUNTIFS('2025-Q2'!$E$4:$E$422,'SPDR Chart'!E$3,'2025-Q2'!$F$4:$F$422,'SPDR Chart'!$B9,'2025-Q2'!$D$4:$D$422,"Y")</f>
        <v>0</v>
      </c>
      <c r="F9" s="158">
        <f>COUNTIFS('2025-Q2'!$E$4:$E$422,'SPDR Chart'!F$3,'2025-Q2'!$F$4:$F$422,'SPDR Chart'!$B9,'2025-Q2'!$D$4:$D$422,"Y")</f>
        <v>2</v>
      </c>
      <c r="G9" s="158">
        <f>COUNTIFS('2025-Q2'!$E$4:$E$422,'SPDR Chart'!G$3,'2025-Q2'!$F$4:$F$422,'SPDR Chart'!$B9,'2025-Q2'!$D$4:$D$422,"Y")</f>
        <v>0</v>
      </c>
      <c r="H9" s="158">
        <f>COUNTIFS('2025-Q2'!$E$4:$E$422,'SPDR Chart'!H$3,'2025-Q2'!$F$4:$F$422,'SPDR Chart'!$B9,'2025-Q2'!$D$4:$D$422,"Y")</f>
        <v>0</v>
      </c>
      <c r="I9" s="158">
        <f>COUNTIFS('2025-Q2'!$E$4:$E$422,'SPDR Chart'!I$3,'2025-Q2'!$F$4:$F$422,'SPDR Chart'!$B9,'2025-Q2'!$D$4:$D$422,"Y")</f>
        <v>0</v>
      </c>
      <c r="J9" s="158">
        <f>COUNTIFS('2025-Q2'!$E$4:$E$422,'SPDR Chart'!J$3,'2025-Q2'!$F$4:$F$422,'SPDR Chart'!$B9,'2025-Q2'!$D$4:$D$422,"Y")</f>
        <v>0</v>
      </c>
      <c r="K9" s="158">
        <f>COUNTIFS('2025-Q2'!$E$4:$E$422,'SPDR Chart'!K$3,'2025-Q2'!$F$4:$F$422,'SPDR Chart'!$B9,'2025-Q2'!$D$4:$D$422,"Y")</f>
        <v>0</v>
      </c>
      <c r="L9" s="158">
        <f>COUNTIFS('2025-Q2'!$E$4:$E$422,'SPDR Chart'!L$3,'2025-Q2'!$F$4:$F$422,'SPDR Chart'!$B9,'2025-Q2'!$D$4:$D$422,"Y")</f>
        <v>0</v>
      </c>
      <c r="M9" s="158">
        <f>COUNTIFS('2025-Q2'!$E$4:$E$422,'SPDR Chart'!M$3,'2025-Q2'!$F$4:$F$422,'SPDR Chart'!$B9,'2025-Q2'!$D$4:$D$422,"Y")</f>
        <v>0</v>
      </c>
      <c r="N9" s="158">
        <f>COUNTIFS('2025-Q2'!$E$4:$E$422,'SPDR Chart'!N$3,'2025-Q2'!$F$4:$F$422,'SPDR Chart'!$B9,'2025-Q2'!$D$4:$D$422,"Y")</f>
        <v>0</v>
      </c>
      <c r="O9" s="158">
        <f>COUNTIFS('2025-Q2'!$E$4:$E$422,'SPDR Chart'!O$3,'2025-Q2'!$F$4:$F$422,'SPDR Chart'!$B9,'2025-Q2'!$D$4:$D$422,"Y")</f>
        <v>0</v>
      </c>
      <c r="P9" s="158">
        <f>COUNTIFS('2025-Q2'!$E$4:$E$422,'SPDR Chart'!P$3,'2025-Q2'!$F$4:$F$422,'SPDR Chart'!$B9,'2025-Q2'!$D$4:$D$422,"Y")</f>
        <v>0</v>
      </c>
      <c r="Q9" s="363">
        <f>COUNTIFS('2025-Q2'!$E$4:$E$422,'SPDR Chart'!Q$3,'2025-Q2'!$F$4:$F$422,'SPDR Chart'!$B9,'2025-Q2'!$D$4:$D$422,"Y")</f>
        <v>0</v>
      </c>
      <c r="R9" s="457">
        <f t="shared" si="4"/>
        <v>2</v>
      </c>
      <c r="S9" s="458">
        <f>SUM($R$4:R9)/SUM($R$4:$R$86)</f>
        <v>2.8901734104046242E-2</v>
      </c>
      <c r="U9" s="366">
        <v>45761</v>
      </c>
      <c r="V9" s="158">
        <f>COUNTIFS('2025-Q2'!$E$4:$E$422,'SPDR Chart'!V$3,'2025-Q2'!$F$4:$F$422,'SPDR Chart'!$B9,'2025-Q2'!$D$4:$D$422,"N")</f>
        <v>0</v>
      </c>
      <c r="W9" s="158">
        <f>COUNTIFS('2025-Q2'!$E$4:$E$422,'SPDR Chart'!W$3,'2025-Q2'!$F$4:$F$422,'SPDR Chart'!$B9,'2025-Q2'!$D$4:$D$422,"N")</f>
        <v>0</v>
      </c>
      <c r="X9" s="158">
        <f>COUNTIFS('2025-Q2'!$E$4:$E$422,'SPDR Chart'!X$3,'2025-Q2'!$F$4:$F$422,'SPDR Chart'!$B9,'2025-Q2'!$D$4:$D$422,"N")</f>
        <v>0</v>
      </c>
      <c r="Y9" s="158">
        <f>COUNTIFS('2025-Q2'!$E$4:$E$422,'SPDR Chart'!Y$3,'2025-Q2'!$F$4:$F$422,'SPDR Chart'!$B9,'2025-Q2'!$D$4:$D$422,"N")</f>
        <v>0</v>
      </c>
      <c r="Z9" s="158">
        <f>COUNTIFS('2025-Q2'!$E$4:$E$422,'SPDR Chart'!Z$3,'2025-Q2'!$F$4:$F$422,'SPDR Chart'!$B9,'2025-Q2'!$D$4:$D$422,"N")</f>
        <v>0</v>
      </c>
      <c r="AA9" s="158">
        <f>COUNTIFS('2025-Q2'!$E$4:$E$422,'SPDR Chart'!AA$3,'2025-Q2'!$F$4:$F$422,'SPDR Chart'!$B9,'2025-Q2'!$D$4:$D$422,"N")</f>
        <v>0</v>
      </c>
      <c r="AB9" s="158">
        <f>COUNTIFS('2025-Q2'!$E$4:$E$422,'SPDR Chart'!AB$3,'2025-Q2'!$F$4:$F$422,'SPDR Chart'!$B9,'2025-Q2'!$D$4:$D$422,"N")</f>
        <v>0</v>
      </c>
      <c r="AC9" s="158">
        <f>COUNTIFS('2025-Q2'!$E$4:$E$422,'SPDR Chart'!AC$3,'2025-Q2'!$F$4:$F$422,'SPDR Chart'!$B9,'2025-Q2'!$D$4:$D$422,"N")</f>
        <v>0</v>
      </c>
      <c r="AD9" s="158">
        <f>COUNTIFS('2025-Q2'!$E$4:$E$422,'SPDR Chart'!AD$3,'2025-Q2'!$F$4:$F$422,'SPDR Chart'!$B9,'2025-Q2'!$D$4:$D$422,"N")</f>
        <v>0</v>
      </c>
      <c r="AE9" s="158">
        <f>COUNTIFS('2025-Q2'!$E$4:$E$422,'SPDR Chart'!AE$3,'2025-Q2'!$F$4:$F$422,'SPDR Chart'!$B9,'2025-Q2'!$D$4:$D$422,"N")</f>
        <v>0</v>
      </c>
      <c r="AF9" s="158">
        <f>COUNTIFS('2025-Q2'!$E$4:$E$422,'SPDR Chart'!AF$3,'2025-Q2'!$F$4:$F$422,'SPDR Chart'!$B9,'2025-Q2'!$D$4:$D$422,"N")</f>
        <v>0</v>
      </c>
      <c r="AG9" s="158">
        <f>COUNTIFS('2025-Q2'!$E$4:$E$422,'SPDR Chart'!AG$3,'2025-Q2'!$F$4:$F$422,'SPDR Chart'!$B9,'2025-Q2'!$D$4:$D$422,"N")</f>
        <v>0</v>
      </c>
      <c r="AH9" s="158">
        <f>COUNTIFS('2025-Q2'!$E$4:$E$422,'SPDR Chart'!AH$3,'2025-Q2'!$F$4:$F$422,'SPDR Chart'!$B9,'2025-Q2'!$D$4:$D$422,"N")</f>
        <v>0</v>
      </c>
      <c r="AI9" s="158">
        <f>COUNTIFS('2025-Q2'!$E$4:$E$422,'SPDR Chart'!AI$3,'2025-Q2'!$F$4:$F$422,'SPDR Chart'!$B9,'2025-Q2'!$D$4:$D$422,"N")</f>
        <v>0</v>
      </c>
      <c r="AJ9" s="363">
        <f>COUNTIFS('2025-Q2'!$E$4:$E$422,'SPDR Chart'!AJ$3,'2025-Q2'!$F$4:$F$422,'SPDR Chart'!$B9,'2025-Q2'!$D$4:$D$422,"N")</f>
        <v>0</v>
      </c>
      <c r="AK9" s="457">
        <f t="shared" si="5"/>
        <v>0</v>
      </c>
      <c r="AL9" s="458">
        <f>SUM($AK$4:AK9)/SUM($AK$4:$AK$86)</f>
        <v>0</v>
      </c>
    </row>
    <row r="10" spans="2:38" x14ac:dyDescent="0.25">
      <c r="B10" s="366">
        <v>45762</v>
      </c>
      <c r="C10" s="158">
        <f>COUNTIFS('2025-Q2'!$E$4:$E$422,'SPDR Chart'!C$3,'2025-Q2'!$F$4:$F$422,'SPDR Chart'!$B10,'2025-Q2'!$D$4:$D$422,"Y")</f>
        <v>0</v>
      </c>
      <c r="D10" s="158">
        <f>COUNTIFS('2025-Q2'!$E$4:$E$422,'SPDR Chart'!D$3,'2025-Q2'!$F$4:$F$422,'SPDR Chart'!$B10,'2025-Q2'!$D$4:$D$422,"Y")</f>
        <v>2</v>
      </c>
      <c r="E10" s="158">
        <f>COUNTIFS('2025-Q2'!$E$4:$E$422,'SPDR Chart'!E$3,'2025-Q2'!$F$4:$F$422,'SPDR Chart'!$B10,'2025-Q2'!$D$4:$D$422,"Y")</f>
        <v>0</v>
      </c>
      <c r="F10" s="158">
        <f>COUNTIFS('2025-Q2'!$E$4:$E$422,'SPDR Chart'!F$3,'2025-Q2'!$F$4:$F$422,'SPDR Chart'!$B10,'2025-Q2'!$D$4:$D$422,"Y")</f>
        <v>3</v>
      </c>
      <c r="G10" s="158">
        <f>COUNTIFS('2025-Q2'!$E$4:$E$422,'SPDR Chart'!G$3,'2025-Q2'!$F$4:$F$422,'SPDR Chart'!$B10,'2025-Q2'!$D$4:$D$422,"Y")</f>
        <v>1</v>
      </c>
      <c r="H10" s="158">
        <f>COUNTIFS('2025-Q2'!$E$4:$E$422,'SPDR Chart'!H$3,'2025-Q2'!$F$4:$F$422,'SPDR Chart'!$B10,'2025-Q2'!$D$4:$D$422,"Y")</f>
        <v>0</v>
      </c>
      <c r="I10" s="158">
        <f>COUNTIFS('2025-Q2'!$E$4:$E$422,'SPDR Chart'!I$3,'2025-Q2'!$F$4:$F$422,'SPDR Chart'!$B10,'2025-Q2'!$D$4:$D$422,"Y")</f>
        <v>0</v>
      </c>
      <c r="J10" s="158">
        <f>COUNTIFS('2025-Q2'!$E$4:$E$422,'SPDR Chart'!J$3,'2025-Q2'!$F$4:$F$422,'SPDR Chart'!$B10,'2025-Q2'!$D$4:$D$422,"Y")</f>
        <v>0</v>
      </c>
      <c r="K10" s="158">
        <f>COUNTIFS('2025-Q2'!$E$4:$E$422,'SPDR Chart'!K$3,'2025-Q2'!$F$4:$F$422,'SPDR Chart'!$B10,'2025-Q2'!$D$4:$D$422,"Y")</f>
        <v>1</v>
      </c>
      <c r="L10" s="158">
        <f>COUNTIFS('2025-Q2'!$E$4:$E$422,'SPDR Chart'!L$3,'2025-Q2'!$F$4:$F$422,'SPDR Chart'!$B10,'2025-Q2'!$D$4:$D$422,"Y")</f>
        <v>0</v>
      </c>
      <c r="M10" s="158">
        <f>COUNTIFS('2025-Q2'!$E$4:$E$422,'SPDR Chart'!M$3,'2025-Q2'!$F$4:$F$422,'SPDR Chart'!$B10,'2025-Q2'!$D$4:$D$422,"Y")</f>
        <v>0</v>
      </c>
      <c r="N10" s="158">
        <f>COUNTIFS('2025-Q2'!$E$4:$E$422,'SPDR Chart'!N$3,'2025-Q2'!$F$4:$F$422,'SPDR Chart'!$B10,'2025-Q2'!$D$4:$D$422,"Y")</f>
        <v>0</v>
      </c>
      <c r="O10" s="158">
        <f>COUNTIFS('2025-Q2'!$E$4:$E$422,'SPDR Chart'!O$3,'2025-Q2'!$F$4:$F$422,'SPDR Chart'!$B10,'2025-Q2'!$D$4:$D$422,"Y")</f>
        <v>0</v>
      </c>
      <c r="P10" s="158">
        <f>COUNTIFS('2025-Q2'!$E$4:$E$422,'SPDR Chart'!P$3,'2025-Q2'!$F$4:$F$422,'SPDR Chart'!$B10,'2025-Q2'!$D$4:$D$422,"Y")</f>
        <v>0</v>
      </c>
      <c r="Q10" s="363">
        <f>COUNTIFS('2025-Q2'!$E$4:$E$422,'SPDR Chart'!Q$3,'2025-Q2'!$F$4:$F$422,'SPDR Chart'!$B10,'2025-Q2'!$D$4:$D$422,"Y")</f>
        <v>0</v>
      </c>
      <c r="R10" s="457">
        <f t="shared" si="4"/>
        <v>7</v>
      </c>
      <c r="S10" s="458">
        <f>SUM($R$4:R10)/SUM($R$4:$R$86)</f>
        <v>4.9132947976878616E-2</v>
      </c>
      <c r="U10" s="366">
        <v>45762</v>
      </c>
      <c r="V10" s="158">
        <f>COUNTIFS('2025-Q2'!$E$4:$E$422,'SPDR Chart'!V$3,'2025-Q2'!$F$4:$F$422,'SPDR Chart'!$B10,'2025-Q2'!$D$4:$D$422,"N")</f>
        <v>0</v>
      </c>
      <c r="W10" s="158">
        <f>COUNTIFS('2025-Q2'!$E$4:$E$422,'SPDR Chart'!W$3,'2025-Q2'!$F$4:$F$422,'SPDR Chart'!$B10,'2025-Q2'!$D$4:$D$422,"N")</f>
        <v>0</v>
      </c>
      <c r="X10" s="158">
        <f>COUNTIFS('2025-Q2'!$E$4:$E$422,'SPDR Chart'!X$3,'2025-Q2'!$F$4:$F$422,'SPDR Chart'!$B10,'2025-Q2'!$D$4:$D$422,"N")</f>
        <v>0</v>
      </c>
      <c r="Y10" s="158">
        <f>COUNTIFS('2025-Q2'!$E$4:$E$422,'SPDR Chart'!Y$3,'2025-Q2'!$F$4:$F$422,'SPDR Chart'!$B10,'2025-Q2'!$D$4:$D$422,"N")</f>
        <v>0</v>
      </c>
      <c r="Z10" s="158">
        <f>COUNTIFS('2025-Q2'!$E$4:$E$422,'SPDR Chart'!Z$3,'2025-Q2'!$F$4:$F$422,'SPDR Chart'!$B10,'2025-Q2'!$D$4:$D$422,"N")</f>
        <v>0</v>
      </c>
      <c r="AA10" s="158">
        <f>COUNTIFS('2025-Q2'!$E$4:$E$422,'SPDR Chart'!AA$3,'2025-Q2'!$F$4:$F$422,'SPDR Chart'!$B10,'2025-Q2'!$D$4:$D$422,"N")</f>
        <v>0</v>
      </c>
      <c r="AB10" s="158">
        <f>COUNTIFS('2025-Q2'!$E$4:$E$422,'SPDR Chart'!AB$3,'2025-Q2'!$F$4:$F$422,'SPDR Chart'!$B10,'2025-Q2'!$D$4:$D$422,"N")</f>
        <v>0</v>
      </c>
      <c r="AC10" s="158">
        <f>COUNTIFS('2025-Q2'!$E$4:$E$422,'SPDR Chart'!AC$3,'2025-Q2'!$F$4:$F$422,'SPDR Chart'!$B10,'2025-Q2'!$D$4:$D$422,"N")</f>
        <v>0</v>
      </c>
      <c r="AD10" s="158">
        <f>COUNTIFS('2025-Q2'!$E$4:$E$422,'SPDR Chart'!AD$3,'2025-Q2'!$F$4:$F$422,'SPDR Chart'!$B10,'2025-Q2'!$D$4:$D$422,"N")</f>
        <v>0</v>
      </c>
      <c r="AE10" s="158">
        <f>COUNTIFS('2025-Q2'!$E$4:$E$422,'SPDR Chart'!AE$3,'2025-Q2'!$F$4:$F$422,'SPDR Chart'!$B10,'2025-Q2'!$D$4:$D$422,"N")</f>
        <v>0</v>
      </c>
      <c r="AF10" s="158">
        <f>COUNTIFS('2025-Q2'!$E$4:$E$422,'SPDR Chart'!AF$3,'2025-Q2'!$F$4:$F$422,'SPDR Chart'!$B10,'2025-Q2'!$D$4:$D$422,"N")</f>
        <v>0</v>
      </c>
      <c r="AG10" s="158">
        <f>COUNTIFS('2025-Q2'!$E$4:$E$422,'SPDR Chart'!AG$3,'2025-Q2'!$F$4:$F$422,'SPDR Chart'!$B10,'2025-Q2'!$D$4:$D$422,"N")</f>
        <v>0</v>
      </c>
      <c r="AH10" s="158">
        <f>COUNTIFS('2025-Q2'!$E$4:$E$422,'SPDR Chart'!AH$3,'2025-Q2'!$F$4:$F$422,'SPDR Chart'!$B10,'2025-Q2'!$D$4:$D$422,"N")</f>
        <v>0</v>
      </c>
      <c r="AI10" s="158">
        <f>COUNTIFS('2025-Q2'!$E$4:$E$422,'SPDR Chart'!AI$3,'2025-Q2'!$F$4:$F$422,'SPDR Chart'!$B10,'2025-Q2'!$D$4:$D$422,"N")</f>
        <v>0</v>
      </c>
      <c r="AJ10" s="363">
        <f>COUNTIFS('2025-Q2'!$E$4:$E$422,'SPDR Chart'!AJ$3,'2025-Q2'!$F$4:$F$422,'SPDR Chart'!$B10,'2025-Q2'!$D$4:$D$422,"N")</f>
        <v>0</v>
      </c>
      <c r="AK10" s="457">
        <f t="shared" si="5"/>
        <v>0</v>
      </c>
      <c r="AL10" s="458">
        <f>SUM($AK$4:AK10)/SUM($AK$4:$AK$86)</f>
        <v>0</v>
      </c>
    </row>
    <row r="11" spans="2:38" x14ac:dyDescent="0.25">
      <c r="B11" s="366">
        <v>45763</v>
      </c>
      <c r="C11" s="158">
        <f>COUNTIFS('2025-Q2'!$E$4:$E$422,'SPDR Chart'!C$3,'2025-Q2'!$F$4:$F$422,'SPDR Chart'!$B11,'2025-Q2'!$D$4:$D$422,"Y")</f>
        <v>0</v>
      </c>
      <c r="D11" s="158">
        <f>COUNTIFS('2025-Q2'!$E$4:$E$422,'SPDR Chart'!D$3,'2025-Q2'!$F$4:$F$422,'SPDR Chart'!$B11,'2025-Q2'!$D$4:$D$422,"Y")</f>
        <v>1</v>
      </c>
      <c r="E11" s="158">
        <f>COUNTIFS('2025-Q2'!$E$4:$E$422,'SPDR Chart'!E$3,'2025-Q2'!$F$4:$F$422,'SPDR Chart'!$B11,'2025-Q2'!$D$4:$D$422,"Y")</f>
        <v>0</v>
      </c>
      <c r="F11" s="158">
        <f>COUNTIFS('2025-Q2'!$E$4:$E$422,'SPDR Chart'!F$3,'2025-Q2'!$F$4:$F$422,'SPDR Chart'!$B11,'2025-Q2'!$D$4:$D$422,"Y")</f>
        <v>2</v>
      </c>
      <c r="G11" s="158">
        <f>COUNTIFS('2025-Q2'!$E$4:$E$422,'SPDR Chart'!G$3,'2025-Q2'!$F$4:$F$422,'SPDR Chart'!$B11,'2025-Q2'!$D$4:$D$422,"Y")</f>
        <v>1</v>
      </c>
      <c r="H11" s="158">
        <f>COUNTIFS('2025-Q2'!$E$4:$E$422,'SPDR Chart'!H$3,'2025-Q2'!$F$4:$F$422,'SPDR Chart'!$B11,'2025-Q2'!$D$4:$D$422,"Y")</f>
        <v>1</v>
      </c>
      <c r="I11" s="158">
        <f>COUNTIFS('2025-Q2'!$E$4:$E$422,'SPDR Chart'!I$3,'2025-Q2'!$F$4:$F$422,'SPDR Chart'!$B11,'2025-Q2'!$D$4:$D$422,"Y")</f>
        <v>0</v>
      </c>
      <c r="J11" s="158">
        <f>COUNTIFS('2025-Q2'!$E$4:$E$422,'SPDR Chart'!J$3,'2025-Q2'!$F$4:$F$422,'SPDR Chart'!$B11,'2025-Q2'!$D$4:$D$422,"Y")</f>
        <v>0</v>
      </c>
      <c r="K11" s="158">
        <f>COUNTIFS('2025-Q2'!$E$4:$E$422,'SPDR Chart'!K$3,'2025-Q2'!$F$4:$F$422,'SPDR Chart'!$B11,'2025-Q2'!$D$4:$D$422,"Y")</f>
        <v>0</v>
      </c>
      <c r="L11" s="158">
        <f>COUNTIFS('2025-Q2'!$E$4:$E$422,'SPDR Chart'!L$3,'2025-Q2'!$F$4:$F$422,'SPDR Chart'!$B11,'2025-Q2'!$D$4:$D$422,"Y")</f>
        <v>0</v>
      </c>
      <c r="M11" s="158">
        <f>COUNTIFS('2025-Q2'!$E$4:$E$422,'SPDR Chart'!M$3,'2025-Q2'!$F$4:$F$422,'SPDR Chart'!$B11,'2025-Q2'!$D$4:$D$422,"Y")</f>
        <v>0</v>
      </c>
      <c r="N11" s="158">
        <f>COUNTIFS('2025-Q2'!$E$4:$E$422,'SPDR Chart'!N$3,'2025-Q2'!$F$4:$F$422,'SPDR Chart'!$B11,'2025-Q2'!$D$4:$D$422,"Y")</f>
        <v>0</v>
      </c>
      <c r="O11" s="158">
        <f>COUNTIFS('2025-Q2'!$E$4:$E$422,'SPDR Chart'!O$3,'2025-Q2'!$F$4:$F$422,'SPDR Chart'!$B11,'2025-Q2'!$D$4:$D$422,"Y")</f>
        <v>0</v>
      </c>
      <c r="P11" s="158">
        <f>COUNTIFS('2025-Q2'!$E$4:$E$422,'SPDR Chart'!P$3,'2025-Q2'!$F$4:$F$422,'SPDR Chart'!$B11,'2025-Q2'!$D$4:$D$422,"Y")</f>
        <v>2</v>
      </c>
      <c r="Q11" s="363">
        <f>COUNTIFS('2025-Q2'!$E$4:$E$422,'SPDR Chart'!Q$3,'2025-Q2'!$F$4:$F$422,'SPDR Chart'!$B11,'2025-Q2'!$D$4:$D$422,"Y")</f>
        <v>0</v>
      </c>
      <c r="R11" s="457">
        <f t="shared" si="4"/>
        <v>7</v>
      </c>
      <c r="S11" s="458">
        <f>SUM($R$4:R11)/SUM($R$4:$R$86)</f>
        <v>6.9364161849710976E-2</v>
      </c>
      <c r="U11" s="366">
        <v>45763</v>
      </c>
      <c r="V11" s="158">
        <f>COUNTIFS('2025-Q2'!$E$4:$E$422,'SPDR Chart'!V$3,'2025-Q2'!$F$4:$F$422,'SPDR Chart'!$B11,'2025-Q2'!$D$4:$D$422,"N")</f>
        <v>0</v>
      </c>
      <c r="W11" s="158">
        <f>COUNTIFS('2025-Q2'!$E$4:$E$422,'SPDR Chart'!W$3,'2025-Q2'!$F$4:$F$422,'SPDR Chart'!$B11,'2025-Q2'!$D$4:$D$422,"N")</f>
        <v>0</v>
      </c>
      <c r="X11" s="158">
        <f>COUNTIFS('2025-Q2'!$E$4:$E$422,'SPDR Chart'!X$3,'2025-Q2'!$F$4:$F$422,'SPDR Chart'!$B11,'2025-Q2'!$D$4:$D$422,"N")</f>
        <v>0</v>
      </c>
      <c r="Y11" s="158">
        <f>COUNTIFS('2025-Q2'!$E$4:$E$422,'SPDR Chart'!Y$3,'2025-Q2'!$F$4:$F$422,'SPDR Chart'!$B11,'2025-Q2'!$D$4:$D$422,"N")</f>
        <v>0</v>
      </c>
      <c r="Z11" s="158">
        <f>COUNTIFS('2025-Q2'!$E$4:$E$422,'SPDR Chart'!Z$3,'2025-Q2'!$F$4:$F$422,'SPDR Chart'!$B11,'2025-Q2'!$D$4:$D$422,"N")</f>
        <v>0</v>
      </c>
      <c r="AA11" s="158">
        <f>COUNTIFS('2025-Q2'!$E$4:$E$422,'SPDR Chart'!AA$3,'2025-Q2'!$F$4:$F$422,'SPDR Chart'!$B11,'2025-Q2'!$D$4:$D$422,"N")</f>
        <v>0</v>
      </c>
      <c r="AB11" s="158">
        <f>COUNTIFS('2025-Q2'!$E$4:$E$422,'SPDR Chart'!AB$3,'2025-Q2'!$F$4:$F$422,'SPDR Chart'!$B11,'2025-Q2'!$D$4:$D$422,"N")</f>
        <v>0</v>
      </c>
      <c r="AC11" s="158">
        <f>COUNTIFS('2025-Q2'!$E$4:$E$422,'SPDR Chart'!AC$3,'2025-Q2'!$F$4:$F$422,'SPDR Chart'!$B11,'2025-Q2'!$D$4:$D$422,"N")</f>
        <v>0</v>
      </c>
      <c r="AD11" s="158">
        <f>COUNTIFS('2025-Q2'!$E$4:$E$422,'SPDR Chart'!AD$3,'2025-Q2'!$F$4:$F$422,'SPDR Chart'!$B11,'2025-Q2'!$D$4:$D$422,"N")</f>
        <v>0</v>
      </c>
      <c r="AE11" s="158">
        <f>COUNTIFS('2025-Q2'!$E$4:$E$422,'SPDR Chart'!AE$3,'2025-Q2'!$F$4:$F$422,'SPDR Chart'!$B11,'2025-Q2'!$D$4:$D$422,"N")</f>
        <v>0</v>
      </c>
      <c r="AF11" s="158">
        <f>COUNTIFS('2025-Q2'!$E$4:$E$422,'SPDR Chart'!AF$3,'2025-Q2'!$F$4:$F$422,'SPDR Chart'!$B11,'2025-Q2'!$D$4:$D$422,"N")</f>
        <v>0</v>
      </c>
      <c r="AG11" s="158">
        <f>COUNTIFS('2025-Q2'!$E$4:$E$422,'SPDR Chart'!AG$3,'2025-Q2'!$F$4:$F$422,'SPDR Chart'!$B11,'2025-Q2'!$D$4:$D$422,"N")</f>
        <v>0</v>
      </c>
      <c r="AH11" s="158">
        <f>COUNTIFS('2025-Q2'!$E$4:$E$422,'SPDR Chart'!AH$3,'2025-Q2'!$F$4:$F$422,'SPDR Chart'!$B11,'2025-Q2'!$D$4:$D$422,"N")</f>
        <v>0</v>
      </c>
      <c r="AI11" s="158">
        <f>COUNTIFS('2025-Q2'!$E$4:$E$422,'SPDR Chart'!AI$3,'2025-Q2'!$F$4:$F$422,'SPDR Chart'!$B11,'2025-Q2'!$D$4:$D$422,"N")</f>
        <v>0</v>
      </c>
      <c r="AJ11" s="363">
        <f>COUNTIFS('2025-Q2'!$E$4:$E$422,'SPDR Chart'!AJ$3,'2025-Q2'!$F$4:$F$422,'SPDR Chart'!$B11,'2025-Q2'!$D$4:$D$422,"N")</f>
        <v>0</v>
      </c>
      <c r="AK11" s="457">
        <f t="shared" si="5"/>
        <v>0</v>
      </c>
      <c r="AL11" s="458">
        <f>SUM($AK$4:AK11)/SUM($AK$4:$AK$86)</f>
        <v>0</v>
      </c>
    </row>
    <row r="12" spans="2:38" x14ac:dyDescent="0.25">
      <c r="B12" s="366">
        <v>45764</v>
      </c>
      <c r="C12" s="158">
        <f>COUNTIFS('2025-Q2'!$E$4:$E$422,'SPDR Chart'!C$3,'2025-Q2'!$F$4:$F$422,'SPDR Chart'!$B12,'2025-Q2'!$D$4:$D$422,"Y")</f>
        <v>0</v>
      </c>
      <c r="D12" s="158">
        <f>COUNTIFS('2025-Q2'!$E$4:$E$422,'SPDR Chart'!D$3,'2025-Q2'!$F$4:$F$422,'SPDR Chart'!$B12,'2025-Q2'!$D$4:$D$422,"Y")</f>
        <v>1</v>
      </c>
      <c r="E12" s="158">
        <f>COUNTIFS('2025-Q2'!$E$4:$E$422,'SPDR Chart'!E$3,'2025-Q2'!$F$4:$F$422,'SPDR Chart'!$B12,'2025-Q2'!$D$4:$D$422,"Y")</f>
        <v>1</v>
      </c>
      <c r="F12" s="158">
        <f>COUNTIFS('2025-Q2'!$E$4:$E$422,'SPDR Chart'!F$3,'2025-Q2'!$F$4:$F$422,'SPDR Chart'!$B12,'2025-Q2'!$D$4:$D$422,"Y")</f>
        <v>9</v>
      </c>
      <c r="G12" s="158">
        <f>COUNTIFS('2025-Q2'!$E$4:$E$422,'SPDR Chart'!G$3,'2025-Q2'!$F$4:$F$422,'SPDR Chart'!$B12,'2025-Q2'!$D$4:$D$422,"Y")</f>
        <v>0</v>
      </c>
      <c r="H12" s="158">
        <f>COUNTIFS('2025-Q2'!$E$4:$E$422,'SPDR Chart'!H$3,'2025-Q2'!$F$4:$F$422,'SPDR Chart'!$B12,'2025-Q2'!$D$4:$D$422,"Y")</f>
        <v>0</v>
      </c>
      <c r="I12" s="158">
        <f>COUNTIFS('2025-Q2'!$E$4:$E$422,'SPDR Chart'!I$3,'2025-Q2'!$F$4:$F$422,'SPDR Chart'!$B12,'2025-Q2'!$D$4:$D$422,"Y")</f>
        <v>0</v>
      </c>
      <c r="J12" s="158">
        <f>COUNTIFS('2025-Q2'!$E$4:$E$422,'SPDR Chart'!J$3,'2025-Q2'!$F$4:$F$422,'SPDR Chart'!$B12,'2025-Q2'!$D$4:$D$422,"Y")</f>
        <v>0</v>
      </c>
      <c r="K12" s="158">
        <f>COUNTIFS('2025-Q2'!$E$4:$E$422,'SPDR Chart'!K$3,'2025-Q2'!$F$4:$F$422,'SPDR Chart'!$B12,'2025-Q2'!$D$4:$D$422,"Y")</f>
        <v>1</v>
      </c>
      <c r="L12" s="158">
        <f>COUNTIFS('2025-Q2'!$E$4:$E$422,'SPDR Chart'!L$3,'2025-Q2'!$F$4:$F$422,'SPDR Chart'!$B12,'2025-Q2'!$D$4:$D$422,"Y")</f>
        <v>0</v>
      </c>
      <c r="M12" s="158">
        <f>COUNTIFS('2025-Q2'!$E$4:$E$422,'SPDR Chart'!M$3,'2025-Q2'!$F$4:$F$422,'SPDR Chart'!$B12,'2025-Q2'!$D$4:$D$422,"Y")</f>
        <v>0</v>
      </c>
      <c r="N12" s="158">
        <f>COUNTIFS('2025-Q2'!$E$4:$E$422,'SPDR Chart'!N$3,'2025-Q2'!$F$4:$F$422,'SPDR Chart'!$B12,'2025-Q2'!$D$4:$D$422,"Y")</f>
        <v>0</v>
      </c>
      <c r="O12" s="158">
        <f>COUNTIFS('2025-Q2'!$E$4:$E$422,'SPDR Chart'!O$3,'2025-Q2'!$F$4:$F$422,'SPDR Chart'!$B12,'2025-Q2'!$D$4:$D$422,"Y")</f>
        <v>0</v>
      </c>
      <c r="P12" s="158">
        <f>COUNTIFS('2025-Q2'!$E$4:$E$422,'SPDR Chart'!P$3,'2025-Q2'!$F$4:$F$422,'SPDR Chart'!$B12,'2025-Q2'!$D$4:$D$422,"Y")</f>
        <v>1</v>
      </c>
      <c r="Q12" s="363">
        <f>COUNTIFS('2025-Q2'!$E$4:$E$422,'SPDR Chart'!Q$3,'2025-Q2'!$F$4:$F$422,'SPDR Chart'!$B12,'2025-Q2'!$D$4:$D$422,"Y")</f>
        <v>0</v>
      </c>
      <c r="R12" s="457">
        <f t="shared" si="4"/>
        <v>13</v>
      </c>
      <c r="S12" s="458">
        <f>SUM($R$4:R12)/SUM($R$4:$R$86)</f>
        <v>0.1069364161849711</v>
      </c>
      <c r="U12" s="366">
        <v>45764</v>
      </c>
      <c r="V12" s="158">
        <f>COUNTIFS('2025-Q2'!$E$4:$E$422,'SPDR Chart'!V$3,'2025-Q2'!$F$4:$F$422,'SPDR Chart'!$B12,'2025-Q2'!$D$4:$D$422,"N")</f>
        <v>0</v>
      </c>
      <c r="W12" s="158">
        <f>COUNTIFS('2025-Q2'!$E$4:$E$422,'SPDR Chart'!W$3,'2025-Q2'!$F$4:$F$422,'SPDR Chart'!$B12,'2025-Q2'!$D$4:$D$422,"N")</f>
        <v>0</v>
      </c>
      <c r="X12" s="158">
        <f>COUNTIFS('2025-Q2'!$E$4:$E$422,'SPDR Chart'!X$3,'2025-Q2'!$F$4:$F$422,'SPDR Chart'!$B12,'2025-Q2'!$D$4:$D$422,"N")</f>
        <v>0</v>
      </c>
      <c r="Y12" s="158">
        <f>COUNTIFS('2025-Q2'!$E$4:$E$422,'SPDR Chart'!Y$3,'2025-Q2'!$F$4:$F$422,'SPDR Chart'!$B12,'2025-Q2'!$D$4:$D$422,"N")</f>
        <v>1</v>
      </c>
      <c r="Z12" s="158">
        <f>COUNTIFS('2025-Q2'!$E$4:$E$422,'SPDR Chart'!Z$3,'2025-Q2'!$F$4:$F$422,'SPDR Chart'!$B12,'2025-Q2'!$D$4:$D$422,"N")</f>
        <v>0</v>
      </c>
      <c r="AA12" s="158">
        <f>COUNTIFS('2025-Q2'!$E$4:$E$422,'SPDR Chart'!AA$3,'2025-Q2'!$F$4:$F$422,'SPDR Chart'!$B12,'2025-Q2'!$D$4:$D$422,"N")</f>
        <v>0</v>
      </c>
      <c r="AB12" s="158">
        <f>COUNTIFS('2025-Q2'!$E$4:$E$422,'SPDR Chart'!AB$3,'2025-Q2'!$F$4:$F$422,'SPDR Chart'!$B12,'2025-Q2'!$D$4:$D$422,"N")</f>
        <v>0</v>
      </c>
      <c r="AC12" s="158">
        <f>COUNTIFS('2025-Q2'!$E$4:$E$422,'SPDR Chart'!AC$3,'2025-Q2'!$F$4:$F$422,'SPDR Chart'!$B12,'2025-Q2'!$D$4:$D$422,"N")</f>
        <v>0</v>
      </c>
      <c r="AD12" s="158">
        <f>COUNTIFS('2025-Q2'!$E$4:$E$422,'SPDR Chart'!AD$3,'2025-Q2'!$F$4:$F$422,'SPDR Chart'!$B12,'2025-Q2'!$D$4:$D$422,"N")</f>
        <v>0</v>
      </c>
      <c r="AE12" s="158">
        <f>COUNTIFS('2025-Q2'!$E$4:$E$422,'SPDR Chart'!AE$3,'2025-Q2'!$F$4:$F$422,'SPDR Chart'!$B12,'2025-Q2'!$D$4:$D$422,"N")</f>
        <v>0</v>
      </c>
      <c r="AF12" s="158">
        <f>COUNTIFS('2025-Q2'!$E$4:$E$422,'SPDR Chart'!AF$3,'2025-Q2'!$F$4:$F$422,'SPDR Chart'!$B12,'2025-Q2'!$D$4:$D$422,"N")</f>
        <v>0</v>
      </c>
      <c r="AG12" s="158">
        <f>COUNTIFS('2025-Q2'!$E$4:$E$422,'SPDR Chart'!AG$3,'2025-Q2'!$F$4:$F$422,'SPDR Chart'!$B12,'2025-Q2'!$D$4:$D$422,"N")</f>
        <v>0</v>
      </c>
      <c r="AH12" s="158">
        <f>COUNTIFS('2025-Q2'!$E$4:$E$422,'SPDR Chart'!AH$3,'2025-Q2'!$F$4:$F$422,'SPDR Chart'!$B12,'2025-Q2'!$D$4:$D$422,"N")</f>
        <v>0</v>
      </c>
      <c r="AI12" s="158">
        <f>COUNTIFS('2025-Q2'!$E$4:$E$422,'SPDR Chart'!AI$3,'2025-Q2'!$F$4:$F$422,'SPDR Chart'!$B12,'2025-Q2'!$D$4:$D$422,"N")</f>
        <v>0</v>
      </c>
      <c r="AJ12" s="363">
        <f>COUNTIFS('2025-Q2'!$E$4:$E$422,'SPDR Chart'!AJ$3,'2025-Q2'!$F$4:$F$422,'SPDR Chart'!$B12,'2025-Q2'!$D$4:$D$422,"N")</f>
        <v>0</v>
      </c>
      <c r="AK12" s="457">
        <f t="shared" si="5"/>
        <v>1</v>
      </c>
      <c r="AL12" s="458">
        <f>SUM($AK$4:AK12)/SUM($AK$4:$AK$86)</f>
        <v>1.4925373134328358E-2</v>
      </c>
    </row>
    <row r="13" spans="2:38" x14ac:dyDescent="0.25">
      <c r="B13" s="366">
        <v>45765</v>
      </c>
      <c r="C13" s="158">
        <f>COUNTIFS('2025-Q2'!$E$4:$E$422,'SPDR Chart'!C$3,'2025-Q2'!$F$4:$F$422,'SPDR Chart'!$B13,'2025-Q2'!$D$4:$D$422,"Y")</f>
        <v>0</v>
      </c>
      <c r="D13" s="158">
        <f>COUNTIFS('2025-Q2'!$E$4:$E$422,'SPDR Chart'!D$3,'2025-Q2'!$F$4:$F$422,'SPDR Chart'!$B13,'2025-Q2'!$D$4:$D$422,"Y")</f>
        <v>0</v>
      </c>
      <c r="E13" s="158">
        <f>COUNTIFS('2025-Q2'!$E$4:$E$422,'SPDR Chart'!E$3,'2025-Q2'!$F$4:$F$422,'SPDR Chart'!$B13,'2025-Q2'!$D$4:$D$422,"Y")</f>
        <v>0</v>
      </c>
      <c r="F13" s="158">
        <f>COUNTIFS('2025-Q2'!$E$4:$E$422,'SPDR Chart'!F$3,'2025-Q2'!$F$4:$F$422,'SPDR Chart'!$B13,'2025-Q2'!$D$4:$D$422,"Y")</f>
        <v>0</v>
      </c>
      <c r="G13" s="158">
        <f>COUNTIFS('2025-Q2'!$E$4:$E$422,'SPDR Chart'!G$3,'2025-Q2'!$F$4:$F$422,'SPDR Chart'!$B13,'2025-Q2'!$D$4:$D$422,"Y")</f>
        <v>0</v>
      </c>
      <c r="H13" s="158">
        <f>COUNTIFS('2025-Q2'!$E$4:$E$422,'SPDR Chart'!H$3,'2025-Q2'!$F$4:$F$422,'SPDR Chart'!$B13,'2025-Q2'!$D$4:$D$422,"Y")</f>
        <v>0</v>
      </c>
      <c r="I13" s="158">
        <f>COUNTIFS('2025-Q2'!$E$4:$E$422,'SPDR Chart'!I$3,'2025-Q2'!$F$4:$F$422,'SPDR Chart'!$B13,'2025-Q2'!$D$4:$D$422,"Y")</f>
        <v>0</v>
      </c>
      <c r="J13" s="158">
        <f>COUNTIFS('2025-Q2'!$E$4:$E$422,'SPDR Chart'!J$3,'2025-Q2'!$F$4:$F$422,'SPDR Chart'!$B13,'2025-Q2'!$D$4:$D$422,"Y")</f>
        <v>0</v>
      </c>
      <c r="K13" s="158">
        <f>COUNTIFS('2025-Q2'!$E$4:$E$422,'SPDR Chart'!K$3,'2025-Q2'!$F$4:$F$422,'SPDR Chart'!$B13,'2025-Q2'!$D$4:$D$422,"Y")</f>
        <v>0</v>
      </c>
      <c r="L13" s="158">
        <f>COUNTIFS('2025-Q2'!$E$4:$E$422,'SPDR Chart'!L$3,'2025-Q2'!$F$4:$F$422,'SPDR Chart'!$B13,'2025-Q2'!$D$4:$D$422,"Y")</f>
        <v>0</v>
      </c>
      <c r="M13" s="158">
        <f>COUNTIFS('2025-Q2'!$E$4:$E$422,'SPDR Chart'!M$3,'2025-Q2'!$F$4:$F$422,'SPDR Chart'!$B13,'2025-Q2'!$D$4:$D$422,"Y")</f>
        <v>0</v>
      </c>
      <c r="N13" s="158">
        <f>COUNTIFS('2025-Q2'!$E$4:$E$422,'SPDR Chart'!N$3,'2025-Q2'!$F$4:$F$422,'SPDR Chart'!$B13,'2025-Q2'!$D$4:$D$422,"Y")</f>
        <v>0</v>
      </c>
      <c r="O13" s="158">
        <f>COUNTIFS('2025-Q2'!$E$4:$E$422,'SPDR Chart'!O$3,'2025-Q2'!$F$4:$F$422,'SPDR Chart'!$B13,'2025-Q2'!$D$4:$D$422,"Y")</f>
        <v>0</v>
      </c>
      <c r="P13" s="158">
        <f>COUNTIFS('2025-Q2'!$E$4:$E$422,'SPDR Chart'!P$3,'2025-Q2'!$F$4:$F$422,'SPDR Chart'!$B13,'2025-Q2'!$D$4:$D$422,"Y")</f>
        <v>0</v>
      </c>
      <c r="Q13" s="363">
        <f>COUNTIFS('2025-Q2'!$E$4:$E$422,'SPDR Chart'!Q$3,'2025-Q2'!$F$4:$F$422,'SPDR Chart'!$B13,'2025-Q2'!$D$4:$D$422,"Y")</f>
        <v>0</v>
      </c>
      <c r="R13" s="457">
        <f t="shared" si="4"/>
        <v>0</v>
      </c>
      <c r="S13" s="458">
        <f>SUM($R$4:R13)/SUM($R$4:$R$86)</f>
        <v>0.1069364161849711</v>
      </c>
      <c r="U13" s="366">
        <v>45765</v>
      </c>
      <c r="V13" s="158">
        <f>COUNTIFS('2025-Q2'!$E$4:$E$422,'SPDR Chart'!V$3,'2025-Q2'!$F$4:$F$422,'SPDR Chart'!$B13,'2025-Q2'!$D$4:$D$422,"N")</f>
        <v>0</v>
      </c>
      <c r="W13" s="158">
        <f>COUNTIFS('2025-Q2'!$E$4:$E$422,'SPDR Chart'!W$3,'2025-Q2'!$F$4:$F$422,'SPDR Chart'!$B13,'2025-Q2'!$D$4:$D$422,"N")</f>
        <v>0</v>
      </c>
      <c r="X13" s="158">
        <f>COUNTIFS('2025-Q2'!$E$4:$E$422,'SPDR Chart'!X$3,'2025-Q2'!$F$4:$F$422,'SPDR Chart'!$B13,'2025-Q2'!$D$4:$D$422,"N")</f>
        <v>0</v>
      </c>
      <c r="Y13" s="158">
        <f>COUNTIFS('2025-Q2'!$E$4:$E$422,'SPDR Chart'!Y$3,'2025-Q2'!$F$4:$F$422,'SPDR Chart'!$B13,'2025-Q2'!$D$4:$D$422,"N")</f>
        <v>0</v>
      </c>
      <c r="Z13" s="158">
        <f>COUNTIFS('2025-Q2'!$E$4:$E$422,'SPDR Chart'!Z$3,'2025-Q2'!$F$4:$F$422,'SPDR Chart'!$B13,'2025-Q2'!$D$4:$D$422,"N")</f>
        <v>0</v>
      </c>
      <c r="AA13" s="158">
        <f>COUNTIFS('2025-Q2'!$E$4:$E$422,'SPDR Chart'!AA$3,'2025-Q2'!$F$4:$F$422,'SPDR Chart'!$B13,'2025-Q2'!$D$4:$D$422,"N")</f>
        <v>0</v>
      </c>
      <c r="AB13" s="158">
        <f>COUNTIFS('2025-Q2'!$E$4:$E$422,'SPDR Chart'!AB$3,'2025-Q2'!$F$4:$F$422,'SPDR Chart'!$B13,'2025-Q2'!$D$4:$D$422,"N")</f>
        <v>0</v>
      </c>
      <c r="AC13" s="158">
        <f>COUNTIFS('2025-Q2'!$E$4:$E$422,'SPDR Chart'!AC$3,'2025-Q2'!$F$4:$F$422,'SPDR Chart'!$B13,'2025-Q2'!$D$4:$D$422,"N")</f>
        <v>0</v>
      </c>
      <c r="AD13" s="158">
        <f>COUNTIFS('2025-Q2'!$E$4:$E$422,'SPDR Chart'!AD$3,'2025-Q2'!$F$4:$F$422,'SPDR Chart'!$B13,'2025-Q2'!$D$4:$D$422,"N")</f>
        <v>0</v>
      </c>
      <c r="AE13" s="158">
        <f>COUNTIFS('2025-Q2'!$E$4:$E$422,'SPDR Chart'!AE$3,'2025-Q2'!$F$4:$F$422,'SPDR Chart'!$B13,'2025-Q2'!$D$4:$D$422,"N")</f>
        <v>0</v>
      </c>
      <c r="AF13" s="158">
        <f>COUNTIFS('2025-Q2'!$E$4:$E$422,'SPDR Chart'!AF$3,'2025-Q2'!$F$4:$F$422,'SPDR Chart'!$B13,'2025-Q2'!$D$4:$D$422,"N")</f>
        <v>0</v>
      </c>
      <c r="AG13" s="158">
        <f>COUNTIFS('2025-Q2'!$E$4:$E$422,'SPDR Chart'!AG$3,'2025-Q2'!$F$4:$F$422,'SPDR Chart'!$B13,'2025-Q2'!$D$4:$D$422,"N")</f>
        <v>0</v>
      </c>
      <c r="AH13" s="158">
        <f>COUNTIFS('2025-Q2'!$E$4:$E$422,'SPDR Chart'!AH$3,'2025-Q2'!$F$4:$F$422,'SPDR Chart'!$B13,'2025-Q2'!$D$4:$D$422,"N")</f>
        <v>0</v>
      </c>
      <c r="AI13" s="158">
        <f>COUNTIFS('2025-Q2'!$E$4:$E$422,'SPDR Chart'!AI$3,'2025-Q2'!$F$4:$F$422,'SPDR Chart'!$B13,'2025-Q2'!$D$4:$D$422,"N")</f>
        <v>0</v>
      </c>
      <c r="AJ13" s="363">
        <f>COUNTIFS('2025-Q2'!$E$4:$E$422,'SPDR Chart'!AJ$3,'2025-Q2'!$F$4:$F$422,'SPDR Chart'!$B13,'2025-Q2'!$D$4:$D$422,"N")</f>
        <v>0</v>
      </c>
      <c r="AK13" s="457">
        <f t="shared" si="5"/>
        <v>0</v>
      </c>
      <c r="AL13" s="458">
        <f>SUM($AK$4:AK13)/SUM($AK$4:$AK$86)</f>
        <v>1.4925373134328358E-2</v>
      </c>
    </row>
    <row r="14" spans="2:38" x14ac:dyDescent="0.25">
      <c r="B14" s="366">
        <v>45766</v>
      </c>
      <c r="C14" s="158">
        <f>COUNTIFS('2025-Q2'!$E$4:$E$422,'SPDR Chart'!C$3,'2025-Q2'!$F$4:$F$422,'SPDR Chart'!$B14,'2025-Q2'!$D$4:$D$422,"Y")</f>
        <v>0</v>
      </c>
      <c r="D14" s="158">
        <f>COUNTIFS('2025-Q2'!$E$4:$E$422,'SPDR Chart'!D$3,'2025-Q2'!$F$4:$F$422,'SPDR Chart'!$B14,'2025-Q2'!$D$4:$D$422,"Y")</f>
        <v>0</v>
      </c>
      <c r="E14" s="158">
        <f>COUNTIFS('2025-Q2'!$E$4:$E$422,'SPDR Chart'!E$3,'2025-Q2'!$F$4:$F$422,'SPDR Chart'!$B14,'2025-Q2'!$D$4:$D$422,"Y")</f>
        <v>0</v>
      </c>
      <c r="F14" s="158">
        <f>COUNTIFS('2025-Q2'!$E$4:$E$422,'SPDR Chart'!F$3,'2025-Q2'!$F$4:$F$422,'SPDR Chart'!$B14,'2025-Q2'!$D$4:$D$422,"Y")</f>
        <v>0</v>
      </c>
      <c r="G14" s="158">
        <f>COUNTIFS('2025-Q2'!$E$4:$E$422,'SPDR Chart'!G$3,'2025-Q2'!$F$4:$F$422,'SPDR Chart'!$B14,'2025-Q2'!$D$4:$D$422,"Y")</f>
        <v>0</v>
      </c>
      <c r="H14" s="158">
        <f>COUNTIFS('2025-Q2'!$E$4:$E$422,'SPDR Chart'!H$3,'2025-Q2'!$F$4:$F$422,'SPDR Chart'!$B14,'2025-Q2'!$D$4:$D$422,"Y")</f>
        <v>0</v>
      </c>
      <c r="I14" s="158">
        <f>COUNTIFS('2025-Q2'!$E$4:$E$422,'SPDR Chart'!I$3,'2025-Q2'!$F$4:$F$422,'SPDR Chart'!$B14,'2025-Q2'!$D$4:$D$422,"Y")</f>
        <v>0</v>
      </c>
      <c r="J14" s="158">
        <f>COUNTIFS('2025-Q2'!$E$4:$E$422,'SPDR Chart'!J$3,'2025-Q2'!$F$4:$F$422,'SPDR Chart'!$B14,'2025-Q2'!$D$4:$D$422,"Y")</f>
        <v>0</v>
      </c>
      <c r="K14" s="158">
        <f>COUNTIFS('2025-Q2'!$E$4:$E$422,'SPDR Chart'!K$3,'2025-Q2'!$F$4:$F$422,'SPDR Chart'!$B14,'2025-Q2'!$D$4:$D$422,"Y")</f>
        <v>0</v>
      </c>
      <c r="L14" s="158">
        <f>COUNTIFS('2025-Q2'!$E$4:$E$422,'SPDR Chart'!L$3,'2025-Q2'!$F$4:$F$422,'SPDR Chart'!$B14,'2025-Q2'!$D$4:$D$422,"Y")</f>
        <v>0</v>
      </c>
      <c r="M14" s="158">
        <f>COUNTIFS('2025-Q2'!$E$4:$E$422,'SPDR Chart'!M$3,'2025-Q2'!$F$4:$F$422,'SPDR Chart'!$B14,'2025-Q2'!$D$4:$D$422,"Y")</f>
        <v>0</v>
      </c>
      <c r="N14" s="158">
        <f>COUNTIFS('2025-Q2'!$E$4:$E$422,'SPDR Chart'!N$3,'2025-Q2'!$F$4:$F$422,'SPDR Chart'!$B14,'2025-Q2'!$D$4:$D$422,"Y")</f>
        <v>0</v>
      </c>
      <c r="O14" s="158">
        <f>COUNTIFS('2025-Q2'!$E$4:$E$422,'SPDR Chart'!O$3,'2025-Q2'!$F$4:$F$422,'SPDR Chart'!$B14,'2025-Q2'!$D$4:$D$422,"Y")</f>
        <v>0</v>
      </c>
      <c r="P14" s="158">
        <f>COUNTIFS('2025-Q2'!$E$4:$E$422,'SPDR Chart'!P$3,'2025-Q2'!$F$4:$F$422,'SPDR Chart'!$B14,'2025-Q2'!$D$4:$D$422,"Y")</f>
        <v>0</v>
      </c>
      <c r="Q14" s="363">
        <f>COUNTIFS('2025-Q2'!$E$4:$E$422,'SPDR Chart'!Q$3,'2025-Q2'!$F$4:$F$422,'SPDR Chart'!$B14,'2025-Q2'!$D$4:$D$422,"Y")</f>
        <v>0</v>
      </c>
      <c r="R14" s="457">
        <f t="shared" si="4"/>
        <v>0</v>
      </c>
      <c r="S14" s="458">
        <f>SUM($R$4:R14)/SUM($R$4:$R$86)</f>
        <v>0.1069364161849711</v>
      </c>
      <c r="U14" s="366">
        <v>45766</v>
      </c>
      <c r="V14" s="158">
        <f>COUNTIFS('2025-Q2'!$E$4:$E$422,'SPDR Chart'!V$3,'2025-Q2'!$F$4:$F$422,'SPDR Chart'!$B14,'2025-Q2'!$D$4:$D$422,"N")</f>
        <v>0</v>
      </c>
      <c r="W14" s="158">
        <f>COUNTIFS('2025-Q2'!$E$4:$E$422,'SPDR Chart'!W$3,'2025-Q2'!$F$4:$F$422,'SPDR Chart'!$B14,'2025-Q2'!$D$4:$D$422,"N")</f>
        <v>0</v>
      </c>
      <c r="X14" s="158">
        <f>COUNTIFS('2025-Q2'!$E$4:$E$422,'SPDR Chart'!X$3,'2025-Q2'!$F$4:$F$422,'SPDR Chart'!$B14,'2025-Q2'!$D$4:$D$422,"N")</f>
        <v>0</v>
      </c>
      <c r="Y14" s="158">
        <f>COUNTIFS('2025-Q2'!$E$4:$E$422,'SPDR Chart'!Y$3,'2025-Q2'!$F$4:$F$422,'SPDR Chart'!$B14,'2025-Q2'!$D$4:$D$422,"N")</f>
        <v>0</v>
      </c>
      <c r="Z14" s="158">
        <f>COUNTIFS('2025-Q2'!$E$4:$E$422,'SPDR Chart'!Z$3,'2025-Q2'!$F$4:$F$422,'SPDR Chart'!$B14,'2025-Q2'!$D$4:$D$422,"N")</f>
        <v>0</v>
      </c>
      <c r="AA14" s="158">
        <f>COUNTIFS('2025-Q2'!$E$4:$E$422,'SPDR Chart'!AA$3,'2025-Q2'!$F$4:$F$422,'SPDR Chart'!$B14,'2025-Q2'!$D$4:$D$422,"N")</f>
        <v>0</v>
      </c>
      <c r="AB14" s="158">
        <f>COUNTIFS('2025-Q2'!$E$4:$E$422,'SPDR Chart'!AB$3,'2025-Q2'!$F$4:$F$422,'SPDR Chart'!$B14,'2025-Q2'!$D$4:$D$422,"N")</f>
        <v>0</v>
      </c>
      <c r="AC14" s="158">
        <f>COUNTIFS('2025-Q2'!$E$4:$E$422,'SPDR Chart'!AC$3,'2025-Q2'!$F$4:$F$422,'SPDR Chart'!$B14,'2025-Q2'!$D$4:$D$422,"N")</f>
        <v>0</v>
      </c>
      <c r="AD14" s="158">
        <f>COUNTIFS('2025-Q2'!$E$4:$E$422,'SPDR Chart'!AD$3,'2025-Q2'!$F$4:$F$422,'SPDR Chart'!$B14,'2025-Q2'!$D$4:$D$422,"N")</f>
        <v>0</v>
      </c>
      <c r="AE14" s="158">
        <f>COUNTIFS('2025-Q2'!$E$4:$E$422,'SPDR Chart'!AE$3,'2025-Q2'!$F$4:$F$422,'SPDR Chart'!$B14,'2025-Q2'!$D$4:$D$422,"N")</f>
        <v>0</v>
      </c>
      <c r="AF14" s="158">
        <f>COUNTIFS('2025-Q2'!$E$4:$E$422,'SPDR Chart'!AF$3,'2025-Q2'!$F$4:$F$422,'SPDR Chart'!$B14,'2025-Q2'!$D$4:$D$422,"N")</f>
        <v>0</v>
      </c>
      <c r="AG14" s="158">
        <f>COUNTIFS('2025-Q2'!$E$4:$E$422,'SPDR Chart'!AG$3,'2025-Q2'!$F$4:$F$422,'SPDR Chart'!$B14,'2025-Q2'!$D$4:$D$422,"N")</f>
        <v>0</v>
      </c>
      <c r="AH14" s="158">
        <f>COUNTIFS('2025-Q2'!$E$4:$E$422,'SPDR Chart'!AH$3,'2025-Q2'!$F$4:$F$422,'SPDR Chart'!$B14,'2025-Q2'!$D$4:$D$422,"N")</f>
        <v>0</v>
      </c>
      <c r="AI14" s="158">
        <f>COUNTIFS('2025-Q2'!$E$4:$E$422,'SPDR Chart'!AI$3,'2025-Q2'!$F$4:$F$422,'SPDR Chart'!$B14,'2025-Q2'!$D$4:$D$422,"N")</f>
        <v>0</v>
      </c>
      <c r="AJ14" s="363">
        <f>COUNTIFS('2025-Q2'!$E$4:$E$422,'SPDR Chart'!AJ$3,'2025-Q2'!$F$4:$F$422,'SPDR Chart'!$B14,'2025-Q2'!$D$4:$D$422,"N")</f>
        <v>0</v>
      </c>
      <c r="AK14" s="457">
        <f t="shared" si="5"/>
        <v>0</v>
      </c>
      <c r="AL14" s="458">
        <f>SUM($AK$4:AK14)/SUM($AK$4:$AK$86)</f>
        <v>1.4925373134328358E-2</v>
      </c>
    </row>
    <row r="15" spans="2:38" x14ac:dyDescent="0.25">
      <c r="B15" s="366">
        <v>45767</v>
      </c>
      <c r="C15" s="158">
        <f>COUNTIFS('2025-Q2'!$E$4:$E$422,'SPDR Chart'!C$3,'2025-Q2'!$F$4:$F$422,'SPDR Chart'!$B15,'2025-Q2'!$D$4:$D$422,"Y")</f>
        <v>0</v>
      </c>
      <c r="D15" s="158">
        <f>COUNTIFS('2025-Q2'!$E$4:$E$422,'SPDR Chart'!D$3,'2025-Q2'!$F$4:$F$422,'SPDR Chart'!$B15,'2025-Q2'!$D$4:$D$422,"Y")</f>
        <v>0</v>
      </c>
      <c r="E15" s="158">
        <f>COUNTIFS('2025-Q2'!$E$4:$E$422,'SPDR Chart'!E$3,'2025-Q2'!$F$4:$F$422,'SPDR Chart'!$B15,'2025-Q2'!$D$4:$D$422,"Y")</f>
        <v>0</v>
      </c>
      <c r="F15" s="158">
        <f>COUNTIFS('2025-Q2'!$E$4:$E$422,'SPDR Chart'!F$3,'2025-Q2'!$F$4:$F$422,'SPDR Chart'!$B15,'2025-Q2'!$D$4:$D$422,"Y")</f>
        <v>0</v>
      </c>
      <c r="G15" s="158">
        <f>COUNTIFS('2025-Q2'!$E$4:$E$422,'SPDR Chart'!G$3,'2025-Q2'!$F$4:$F$422,'SPDR Chart'!$B15,'2025-Q2'!$D$4:$D$422,"Y")</f>
        <v>0</v>
      </c>
      <c r="H15" s="158">
        <f>COUNTIFS('2025-Q2'!$E$4:$E$422,'SPDR Chart'!H$3,'2025-Q2'!$F$4:$F$422,'SPDR Chart'!$B15,'2025-Q2'!$D$4:$D$422,"Y")</f>
        <v>0</v>
      </c>
      <c r="I15" s="158">
        <f>COUNTIFS('2025-Q2'!$E$4:$E$422,'SPDR Chart'!I$3,'2025-Q2'!$F$4:$F$422,'SPDR Chart'!$B15,'2025-Q2'!$D$4:$D$422,"Y")</f>
        <v>0</v>
      </c>
      <c r="J15" s="158">
        <f>COUNTIFS('2025-Q2'!$E$4:$E$422,'SPDR Chart'!J$3,'2025-Q2'!$F$4:$F$422,'SPDR Chart'!$B15,'2025-Q2'!$D$4:$D$422,"Y")</f>
        <v>0</v>
      </c>
      <c r="K15" s="158">
        <f>COUNTIFS('2025-Q2'!$E$4:$E$422,'SPDR Chart'!K$3,'2025-Q2'!$F$4:$F$422,'SPDR Chart'!$B15,'2025-Q2'!$D$4:$D$422,"Y")</f>
        <v>0</v>
      </c>
      <c r="L15" s="158">
        <f>COUNTIFS('2025-Q2'!$E$4:$E$422,'SPDR Chart'!L$3,'2025-Q2'!$F$4:$F$422,'SPDR Chart'!$B15,'2025-Q2'!$D$4:$D$422,"Y")</f>
        <v>0</v>
      </c>
      <c r="M15" s="158">
        <f>COUNTIFS('2025-Q2'!$E$4:$E$422,'SPDR Chart'!M$3,'2025-Q2'!$F$4:$F$422,'SPDR Chart'!$B15,'2025-Q2'!$D$4:$D$422,"Y")</f>
        <v>0</v>
      </c>
      <c r="N15" s="158">
        <f>COUNTIFS('2025-Q2'!$E$4:$E$422,'SPDR Chart'!N$3,'2025-Q2'!$F$4:$F$422,'SPDR Chart'!$B15,'2025-Q2'!$D$4:$D$422,"Y")</f>
        <v>0</v>
      </c>
      <c r="O15" s="158">
        <f>COUNTIFS('2025-Q2'!$E$4:$E$422,'SPDR Chart'!O$3,'2025-Q2'!$F$4:$F$422,'SPDR Chart'!$B15,'2025-Q2'!$D$4:$D$422,"Y")</f>
        <v>0</v>
      </c>
      <c r="P15" s="158">
        <f>COUNTIFS('2025-Q2'!$E$4:$E$422,'SPDR Chart'!P$3,'2025-Q2'!$F$4:$F$422,'SPDR Chart'!$B15,'2025-Q2'!$D$4:$D$422,"Y")</f>
        <v>0</v>
      </c>
      <c r="Q15" s="363">
        <f>COUNTIFS('2025-Q2'!$E$4:$E$422,'SPDR Chart'!Q$3,'2025-Q2'!$F$4:$F$422,'SPDR Chart'!$B15,'2025-Q2'!$D$4:$D$422,"Y")</f>
        <v>0</v>
      </c>
      <c r="R15" s="457">
        <f t="shared" si="4"/>
        <v>0</v>
      </c>
      <c r="S15" s="458">
        <f>SUM($R$4:R15)/SUM($R$4:$R$86)</f>
        <v>0.1069364161849711</v>
      </c>
      <c r="U15" s="366">
        <v>45767</v>
      </c>
      <c r="V15" s="158">
        <f>COUNTIFS('2025-Q2'!$E$4:$E$422,'SPDR Chart'!V$3,'2025-Q2'!$F$4:$F$422,'SPDR Chart'!$B15,'2025-Q2'!$D$4:$D$422,"N")</f>
        <v>0</v>
      </c>
      <c r="W15" s="158">
        <f>COUNTIFS('2025-Q2'!$E$4:$E$422,'SPDR Chart'!W$3,'2025-Q2'!$F$4:$F$422,'SPDR Chart'!$B15,'2025-Q2'!$D$4:$D$422,"N")</f>
        <v>0</v>
      </c>
      <c r="X15" s="158">
        <f>COUNTIFS('2025-Q2'!$E$4:$E$422,'SPDR Chart'!X$3,'2025-Q2'!$F$4:$F$422,'SPDR Chart'!$B15,'2025-Q2'!$D$4:$D$422,"N")</f>
        <v>0</v>
      </c>
      <c r="Y15" s="158">
        <f>COUNTIFS('2025-Q2'!$E$4:$E$422,'SPDR Chart'!Y$3,'2025-Q2'!$F$4:$F$422,'SPDR Chart'!$B15,'2025-Q2'!$D$4:$D$422,"N")</f>
        <v>0</v>
      </c>
      <c r="Z15" s="158">
        <f>COUNTIFS('2025-Q2'!$E$4:$E$422,'SPDR Chart'!Z$3,'2025-Q2'!$F$4:$F$422,'SPDR Chart'!$B15,'2025-Q2'!$D$4:$D$422,"N")</f>
        <v>0</v>
      </c>
      <c r="AA15" s="158">
        <f>COUNTIFS('2025-Q2'!$E$4:$E$422,'SPDR Chart'!AA$3,'2025-Q2'!$F$4:$F$422,'SPDR Chart'!$B15,'2025-Q2'!$D$4:$D$422,"N")</f>
        <v>0</v>
      </c>
      <c r="AB15" s="158">
        <f>COUNTIFS('2025-Q2'!$E$4:$E$422,'SPDR Chart'!AB$3,'2025-Q2'!$F$4:$F$422,'SPDR Chart'!$B15,'2025-Q2'!$D$4:$D$422,"N")</f>
        <v>0</v>
      </c>
      <c r="AC15" s="158">
        <f>COUNTIFS('2025-Q2'!$E$4:$E$422,'SPDR Chart'!AC$3,'2025-Q2'!$F$4:$F$422,'SPDR Chart'!$B15,'2025-Q2'!$D$4:$D$422,"N")</f>
        <v>0</v>
      </c>
      <c r="AD15" s="158">
        <f>COUNTIFS('2025-Q2'!$E$4:$E$422,'SPDR Chart'!AD$3,'2025-Q2'!$F$4:$F$422,'SPDR Chart'!$B15,'2025-Q2'!$D$4:$D$422,"N")</f>
        <v>0</v>
      </c>
      <c r="AE15" s="158">
        <f>COUNTIFS('2025-Q2'!$E$4:$E$422,'SPDR Chart'!AE$3,'2025-Q2'!$F$4:$F$422,'SPDR Chart'!$B15,'2025-Q2'!$D$4:$D$422,"N")</f>
        <v>0</v>
      </c>
      <c r="AF15" s="158">
        <f>COUNTIFS('2025-Q2'!$E$4:$E$422,'SPDR Chart'!AF$3,'2025-Q2'!$F$4:$F$422,'SPDR Chart'!$B15,'2025-Q2'!$D$4:$D$422,"N")</f>
        <v>0</v>
      </c>
      <c r="AG15" s="158">
        <f>COUNTIFS('2025-Q2'!$E$4:$E$422,'SPDR Chart'!AG$3,'2025-Q2'!$F$4:$F$422,'SPDR Chart'!$B15,'2025-Q2'!$D$4:$D$422,"N")</f>
        <v>0</v>
      </c>
      <c r="AH15" s="158">
        <f>COUNTIFS('2025-Q2'!$E$4:$E$422,'SPDR Chart'!AH$3,'2025-Q2'!$F$4:$F$422,'SPDR Chart'!$B15,'2025-Q2'!$D$4:$D$422,"N")</f>
        <v>0</v>
      </c>
      <c r="AI15" s="158">
        <f>COUNTIFS('2025-Q2'!$E$4:$E$422,'SPDR Chart'!AI$3,'2025-Q2'!$F$4:$F$422,'SPDR Chart'!$B15,'2025-Q2'!$D$4:$D$422,"N")</f>
        <v>0</v>
      </c>
      <c r="AJ15" s="363">
        <f>COUNTIFS('2025-Q2'!$E$4:$E$422,'SPDR Chart'!AJ$3,'2025-Q2'!$F$4:$F$422,'SPDR Chart'!$B15,'2025-Q2'!$D$4:$D$422,"N")</f>
        <v>0</v>
      </c>
      <c r="AK15" s="457">
        <f t="shared" si="5"/>
        <v>0</v>
      </c>
      <c r="AL15" s="458">
        <f>SUM($AK$4:AK15)/SUM($AK$4:$AK$86)</f>
        <v>1.4925373134328358E-2</v>
      </c>
    </row>
    <row r="16" spans="2:38" x14ac:dyDescent="0.25">
      <c r="B16" s="366">
        <v>45768</v>
      </c>
      <c r="C16" s="158">
        <f>COUNTIFS('2025-Q2'!$E$4:$E$422,'SPDR Chart'!C$3,'2025-Q2'!$F$4:$F$422,'SPDR Chart'!$B16,'2025-Q2'!$D$4:$D$422,"Y")</f>
        <v>0</v>
      </c>
      <c r="D16" s="158">
        <f>COUNTIFS('2025-Q2'!$E$4:$E$422,'SPDR Chart'!D$3,'2025-Q2'!$F$4:$F$422,'SPDR Chart'!$B16,'2025-Q2'!$D$4:$D$422,"Y")</f>
        <v>0</v>
      </c>
      <c r="E16" s="158">
        <f>COUNTIFS('2025-Q2'!$E$4:$E$422,'SPDR Chart'!E$3,'2025-Q2'!$F$4:$F$422,'SPDR Chart'!$B16,'2025-Q2'!$D$4:$D$422,"Y")</f>
        <v>0</v>
      </c>
      <c r="F16" s="158">
        <f>COUNTIFS('2025-Q2'!$E$4:$E$422,'SPDR Chart'!F$3,'2025-Q2'!$F$4:$F$422,'SPDR Chart'!$B16,'2025-Q2'!$D$4:$D$422,"Y")</f>
        <v>0</v>
      </c>
      <c r="G16" s="158">
        <f>COUNTIFS('2025-Q2'!$E$4:$E$422,'SPDR Chart'!G$3,'2025-Q2'!$F$4:$F$422,'SPDR Chart'!$B16,'2025-Q2'!$D$4:$D$422,"Y")</f>
        <v>0</v>
      </c>
      <c r="H16" s="158">
        <f>COUNTIFS('2025-Q2'!$E$4:$E$422,'SPDR Chart'!H$3,'2025-Q2'!$F$4:$F$422,'SPDR Chart'!$B16,'2025-Q2'!$D$4:$D$422,"Y")</f>
        <v>0</v>
      </c>
      <c r="I16" s="158">
        <f>COUNTIFS('2025-Q2'!$E$4:$E$422,'SPDR Chart'!I$3,'2025-Q2'!$F$4:$F$422,'SPDR Chart'!$B16,'2025-Q2'!$D$4:$D$422,"Y")</f>
        <v>0</v>
      </c>
      <c r="J16" s="158">
        <f>COUNTIFS('2025-Q2'!$E$4:$E$422,'SPDR Chart'!J$3,'2025-Q2'!$F$4:$F$422,'SPDR Chart'!$B16,'2025-Q2'!$D$4:$D$422,"Y")</f>
        <v>0</v>
      </c>
      <c r="K16" s="158">
        <f>COUNTIFS('2025-Q2'!$E$4:$E$422,'SPDR Chart'!K$3,'2025-Q2'!$F$4:$F$422,'SPDR Chart'!$B16,'2025-Q2'!$D$4:$D$422,"Y")</f>
        <v>0</v>
      </c>
      <c r="L16" s="158">
        <f>COUNTIFS('2025-Q2'!$E$4:$E$422,'SPDR Chart'!L$3,'2025-Q2'!$F$4:$F$422,'SPDR Chart'!$B16,'2025-Q2'!$D$4:$D$422,"Y")</f>
        <v>0</v>
      </c>
      <c r="M16" s="158">
        <f>COUNTIFS('2025-Q2'!$E$4:$E$422,'SPDR Chart'!M$3,'2025-Q2'!$F$4:$F$422,'SPDR Chart'!$B16,'2025-Q2'!$D$4:$D$422,"Y")</f>
        <v>0</v>
      </c>
      <c r="N16" s="158">
        <f>COUNTIFS('2025-Q2'!$E$4:$E$422,'SPDR Chart'!N$3,'2025-Q2'!$F$4:$F$422,'SPDR Chart'!$B16,'2025-Q2'!$D$4:$D$422,"Y")</f>
        <v>0</v>
      </c>
      <c r="O16" s="158">
        <f>COUNTIFS('2025-Q2'!$E$4:$E$422,'SPDR Chart'!O$3,'2025-Q2'!$F$4:$F$422,'SPDR Chart'!$B16,'2025-Q2'!$D$4:$D$422,"Y")</f>
        <v>0</v>
      </c>
      <c r="P16" s="158">
        <f>COUNTIFS('2025-Q2'!$E$4:$E$422,'SPDR Chart'!P$3,'2025-Q2'!$F$4:$F$422,'SPDR Chart'!$B16,'2025-Q2'!$D$4:$D$422,"Y")</f>
        <v>1</v>
      </c>
      <c r="Q16" s="363">
        <f>COUNTIFS('2025-Q2'!$E$4:$E$422,'SPDR Chart'!Q$3,'2025-Q2'!$F$4:$F$422,'SPDR Chart'!$B16,'2025-Q2'!$D$4:$D$422,"Y")</f>
        <v>0</v>
      </c>
      <c r="R16" s="457">
        <f t="shared" si="4"/>
        <v>1</v>
      </c>
      <c r="S16" s="458">
        <f>SUM($R$4:R16)/SUM($R$4:$R$86)</f>
        <v>0.10982658959537572</v>
      </c>
      <c r="U16" s="366">
        <v>45768</v>
      </c>
      <c r="V16" s="158">
        <f>COUNTIFS('2025-Q2'!$E$4:$E$422,'SPDR Chart'!V$3,'2025-Q2'!$F$4:$F$422,'SPDR Chart'!$B16,'2025-Q2'!$D$4:$D$422,"N")</f>
        <v>0</v>
      </c>
      <c r="W16" s="158">
        <f>COUNTIFS('2025-Q2'!$E$4:$E$422,'SPDR Chart'!W$3,'2025-Q2'!$F$4:$F$422,'SPDR Chart'!$B16,'2025-Q2'!$D$4:$D$422,"N")</f>
        <v>0</v>
      </c>
      <c r="X16" s="158">
        <f>COUNTIFS('2025-Q2'!$E$4:$E$422,'SPDR Chart'!X$3,'2025-Q2'!$F$4:$F$422,'SPDR Chart'!$B16,'2025-Q2'!$D$4:$D$422,"N")</f>
        <v>0</v>
      </c>
      <c r="Y16" s="158">
        <f>COUNTIFS('2025-Q2'!$E$4:$E$422,'SPDR Chart'!Y$3,'2025-Q2'!$F$4:$F$422,'SPDR Chart'!$B16,'2025-Q2'!$D$4:$D$422,"N")</f>
        <v>0</v>
      </c>
      <c r="Z16" s="158">
        <f>COUNTIFS('2025-Q2'!$E$4:$E$422,'SPDR Chart'!Z$3,'2025-Q2'!$F$4:$F$422,'SPDR Chart'!$B16,'2025-Q2'!$D$4:$D$422,"N")</f>
        <v>0</v>
      </c>
      <c r="AA16" s="158">
        <f>COUNTIFS('2025-Q2'!$E$4:$E$422,'SPDR Chart'!AA$3,'2025-Q2'!$F$4:$F$422,'SPDR Chart'!$B16,'2025-Q2'!$D$4:$D$422,"N")</f>
        <v>0</v>
      </c>
      <c r="AB16" s="158">
        <f>COUNTIFS('2025-Q2'!$E$4:$E$422,'SPDR Chart'!AB$3,'2025-Q2'!$F$4:$F$422,'SPDR Chart'!$B16,'2025-Q2'!$D$4:$D$422,"N")</f>
        <v>0</v>
      </c>
      <c r="AC16" s="158">
        <f>COUNTIFS('2025-Q2'!$E$4:$E$422,'SPDR Chart'!AC$3,'2025-Q2'!$F$4:$F$422,'SPDR Chart'!$B16,'2025-Q2'!$D$4:$D$422,"N")</f>
        <v>0</v>
      </c>
      <c r="AD16" s="158">
        <f>COUNTIFS('2025-Q2'!$E$4:$E$422,'SPDR Chart'!AD$3,'2025-Q2'!$F$4:$F$422,'SPDR Chart'!$B16,'2025-Q2'!$D$4:$D$422,"N")</f>
        <v>0</v>
      </c>
      <c r="AE16" s="158">
        <f>COUNTIFS('2025-Q2'!$E$4:$E$422,'SPDR Chart'!AE$3,'2025-Q2'!$F$4:$F$422,'SPDR Chart'!$B16,'2025-Q2'!$D$4:$D$422,"N")</f>
        <v>0</v>
      </c>
      <c r="AF16" s="158">
        <f>COUNTIFS('2025-Q2'!$E$4:$E$422,'SPDR Chart'!AF$3,'2025-Q2'!$F$4:$F$422,'SPDR Chart'!$B16,'2025-Q2'!$D$4:$D$422,"N")</f>
        <v>0</v>
      </c>
      <c r="AG16" s="158">
        <f>COUNTIFS('2025-Q2'!$E$4:$E$422,'SPDR Chart'!AG$3,'2025-Q2'!$F$4:$F$422,'SPDR Chart'!$B16,'2025-Q2'!$D$4:$D$422,"N")</f>
        <v>0</v>
      </c>
      <c r="AH16" s="158">
        <f>COUNTIFS('2025-Q2'!$E$4:$E$422,'SPDR Chart'!AH$3,'2025-Q2'!$F$4:$F$422,'SPDR Chart'!$B16,'2025-Q2'!$D$4:$D$422,"N")</f>
        <v>0</v>
      </c>
      <c r="AI16" s="158">
        <f>COUNTIFS('2025-Q2'!$E$4:$E$422,'SPDR Chart'!AI$3,'2025-Q2'!$F$4:$F$422,'SPDR Chart'!$B16,'2025-Q2'!$D$4:$D$422,"N")</f>
        <v>0</v>
      </c>
      <c r="AJ16" s="363">
        <f>COUNTIFS('2025-Q2'!$E$4:$E$422,'SPDR Chart'!AJ$3,'2025-Q2'!$F$4:$F$422,'SPDR Chart'!$B16,'2025-Q2'!$D$4:$D$422,"N")</f>
        <v>0</v>
      </c>
      <c r="AK16" s="457">
        <f t="shared" si="5"/>
        <v>0</v>
      </c>
      <c r="AL16" s="458">
        <f>SUM($AK$4:AK16)/SUM($AK$4:$AK$86)</f>
        <v>1.4925373134328358E-2</v>
      </c>
    </row>
    <row r="17" spans="2:38" x14ac:dyDescent="0.25">
      <c r="B17" s="366">
        <v>45769</v>
      </c>
      <c r="C17" s="158">
        <f>COUNTIFS('2025-Q2'!$E$4:$E$422,'SPDR Chart'!C$3,'2025-Q2'!$F$4:$F$422,'SPDR Chart'!$B17,'2025-Q2'!$D$4:$D$422,"Y")</f>
        <v>1</v>
      </c>
      <c r="D17" s="158">
        <f>COUNTIFS('2025-Q2'!$E$4:$E$422,'SPDR Chart'!D$3,'2025-Q2'!$F$4:$F$422,'SPDR Chart'!$B17,'2025-Q2'!$D$4:$D$422,"Y")</f>
        <v>6</v>
      </c>
      <c r="E17" s="158">
        <f>COUNTIFS('2025-Q2'!$E$4:$E$422,'SPDR Chart'!E$3,'2025-Q2'!$F$4:$F$422,'SPDR Chart'!$B17,'2025-Q2'!$D$4:$D$422,"Y")</f>
        <v>1</v>
      </c>
      <c r="F17" s="158">
        <f>COUNTIFS('2025-Q2'!$E$4:$E$422,'SPDR Chart'!F$3,'2025-Q2'!$F$4:$F$422,'SPDR Chart'!$B17,'2025-Q2'!$D$4:$D$422,"Y")</f>
        <v>2</v>
      </c>
      <c r="G17" s="158">
        <f>COUNTIFS('2025-Q2'!$E$4:$E$422,'SPDR Chart'!G$3,'2025-Q2'!$F$4:$F$422,'SPDR Chart'!$B17,'2025-Q2'!$D$4:$D$422,"Y")</f>
        <v>2</v>
      </c>
      <c r="H17" s="158">
        <f>COUNTIFS('2025-Q2'!$E$4:$E$422,'SPDR Chart'!H$3,'2025-Q2'!$F$4:$F$422,'SPDR Chart'!$B17,'2025-Q2'!$D$4:$D$422,"Y")</f>
        <v>3</v>
      </c>
      <c r="I17" s="158">
        <f>COUNTIFS('2025-Q2'!$E$4:$E$422,'SPDR Chart'!I$3,'2025-Q2'!$F$4:$F$422,'SPDR Chart'!$B17,'2025-Q2'!$D$4:$D$422,"Y")</f>
        <v>0</v>
      </c>
      <c r="J17" s="158">
        <f>COUNTIFS('2025-Q2'!$E$4:$E$422,'SPDR Chart'!J$3,'2025-Q2'!$F$4:$F$422,'SPDR Chart'!$B17,'2025-Q2'!$D$4:$D$422,"Y")</f>
        <v>2</v>
      </c>
      <c r="K17" s="158">
        <f>COUNTIFS('2025-Q2'!$E$4:$E$422,'SPDR Chart'!K$3,'2025-Q2'!$F$4:$F$422,'SPDR Chart'!$B17,'2025-Q2'!$D$4:$D$422,"Y")</f>
        <v>1</v>
      </c>
      <c r="L17" s="158">
        <f>COUNTIFS('2025-Q2'!$E$4:$E$422,'SPDR Chart'!L$3,'2025-Q2'!$F$4:$F$422,'SPDR Chart'!$B17,'2025-Q2'!$D$4:$D$422,"Y")</f>
        <v>1</v>
      </c>
      <c r="M17" s="158">
        <f>COUNTIFS('2025-Q2'!$E$4:$E$422,'SPDR Chart'!M$3,'2025-Q2'!$F$4:$F$422,'SPDR Chart'!$B17,'2025-Q2'!$D$4:$D$422,"Y")</f>
        <v>2</v>
      </c>
      <c r="N17" s="158">
        <f>COUNTIFS('2025-Q2'!$E$4:$E$422,'SPDR Chart'!N$3,'2025-Q2'!$F$4:$F$422,'SPDR Chart'!$B17,'2025-Q2'!$D$4:$D$422,"Y")</f>
        <v>0</v>
      </c>
      <c r="O17" s="158">
        <f>COUNTIFS('2025-Q2'!$E$4:$E$422,'SPDR Chart'!O$3,'2025-Q2'!$F$4:$F$422,'SPDR Chart'!$B17,'2025-Q2'!$D$4:$D$422,"Y")</f>
        <v>0</v>
      </c>
      <c r="P17" s="158">
        <f>COUNTIFS('2025-Q2'!$E$4:$E$422,'SPDR Chart'!P$3,'2025-Q2'!$F$4:$F$422,'SPDR Chart'!$B17,'2025-Q2'!$D$4:$D$422,"Y")</f>
        <v>0</v>
      </c>
      <c r="Q17" s="363">
        <f>COUNTIFS('2025-Q2'!$E$4:$E$422,'SPDR Chart'!Q$3,'2025-Q2'!$F$4:$F$422,'SPDR Chart'!$B17,'2025-Q2'!$D$4:$D$422,"Y")</f>
        <v>0</v>
      </c>
      <c r="R17" s="457">
        <f t="shared" si="4"/>
        <v>21</v>
      </c>
      <c r="S17" s="458">
        <f>SUM($R$4:R17)/SUM($R$4:$R$86)</f>
        <v>0.17052023121387283</v>
      </c>
      <c r="U17" s="366">
        <v>45769</v>
      </c>
      <c r="V17" s="158">
        <f>COUNTIFS('2025-Q2'!$E$4:$E$422,'SPDR Chart'!V$3,'2025-Q2'!$F$4:$F$422,'SPDR Chart'!$B17,'2025-Q2'!$D$4:$D$422,"N")</f>
        <v>0</v>
      </c>
      <c r="W17" s="158">
        <f>COUNTIFS('2025-Q2'!$E$4:$E$422,'SPDR Chart'!W$3,'2025-Q2'!$F$4:$F$422,'SPDR Chart'!$B17,'2025-Q2'!$D$4:$D$422,"N")</f>
        <v>0</v>
      </c>
      <c r="X17" s="158">
        <f>COUNTIFS('2025-Q2'!$E$4:$E$422,'SPDR Chart'!X$3,'2025-Q2'!$F$4:$F$422,'SPDR Chart'!$B17,'2025-Q2'!$D$4:$D$422,"N")</f>
        <v>0</v>
      </c>
      <c r="Y17" s="158">
        <f>COUNTIFS('2025-Q2'!$E$4:$E$422,'SPDR Chart'!Y$3,'2025-Q2'!$F$4:$F$422,'SPDR Chart'!$B17,'2025-Q2'!$D$4:$D$422,"N")</f>
        <v>0</v>
      </c>
      <c r="Z17" s="158">
        <f>COUNTIFS('2025-Q2'!$E$4:$E$422,'SPDR Chart'!Z$3,'2025-Q2'!$F$4:$F$422,'SPDR Chart'!$B17,'2025-Q2'!$D$4:$D$422,"N")</f>
        <v>0</v>
      </c>
      <c r="AA17" s="158">
        <f>COUNTIFS('2025-Q2'!$E$4:$E$422,'SPDR Chart'!AA$3,'2025-Q2'!$F$4:$F$422,'SPDR Chart'!$B17,'2025-Q2'!$D$4:$D$422,"N")</f>
        <v>0</v>
      </c>
      <c r="AB17" s="158">
        <f>COUNTIFS('2025-Q2'!$E$4:$E$422,'SPDR Chart'!AB$3,'2025-Q2'!$F$4:$F$422,'SPDR Chart'!$B17,'2025-Q2'!$D$4:$D$422,"N")</f>
        <v>0</v>
      </c>
      <c r="AC17" s="158">
        <f>COUNTIFS('2025-Q2'!$E$4:$E$422,'SPDR Chart'!AC$3,'2025-Q2'!$F$4:$F$422,'SPDR Chart'!$B17,'2025-Q2'!$D$4:$D$422,"N")</f>
        <v>0</v>
      </c>
      <c r="AD17" s="158">
        <f>COUNTIFS('2025-Q2'!$E$4:$E$422,'SPDR Chart'!AD$3,'2025-Q2'!$F$4:$F$422,'SPDR Chart'!$B17,'2025-Q2'!$D$4:$D$422,"N")</f>
        <v>0</v>
      </c>
      <c r="AE17" s="158">
        <f>COUNTIFS('2025-Q2'!$E$4:$E$422,'SPDR Chart'!AE$3,'2025-Q2'!$F$4:$F$422,'SPDR Chart'!$B17,'2025-Q2'!$D$4:$D$422,"N")</f>
        <v>0</v>
      </c>
      <c r="AF17" s="158">
        <f>COUNTIFS('2025-Q2'!$E$4:$E$422,'SPDR Chart'!AF$3,'2025-Q2'!$F$4:$F$422,'SPDR Chart'!$B17,'2025-Q2'!$D$4:$D$422,"N")</f>
        <v>0</v>
      </c>
      <c r="AG17" s="158">
        <f>COUNTIFS('2025-Q2'!$E$4:$E$422,'SPDR Chart'!AG$3,'2025-Q2'!$F$4:$F$422,'SPDR Chart'!$B17,'2025-Q2'!$D$4:$D$422,"N")</f>
        <v>0</v>
      </c>
      <c r="AH17" s="158">
        <f>COUNTIFS('2025-Q2'!$E$4:$E$422,'SPDR Chart'!AH$3,'2025-Q2'!$F$4:$F$422,'SPDR Chart'!$B17,'2025-Q2'!$D$4:$D$422,"N")</f>
        <v>0</v>
      </c>
      <c r="AI17" s="158">
        <f>COUNTIFS('2025-Q2'!$E$4:$E$422,'SPDR Chart'!AI$3,'2025-Q2'!$F$4:$F$422,'SPDR Chart'!$B17,'2025-Q2'!$D$4:$D$422,"N")</f>
        <v>0</v>
      </c>
      <c r="AJ17" s="363">
        <f>COUNTIFS('2025-Q2'!$E$4:$E$422,'SPDR Chart'!AJ$3,'2025-Q2'!$F$4:$F$422,'SPDR Chart'!$B17,'2025-Q2'!$D$4:$D$422,"N")</f>
        <v>0</v>
      </c>
      <c r="AK17" s="457">
        <f t="shared" si="5"/>
        <v>0</v>
      </c>
      <c r="AL17" s="458">
        <f>SUM($AK$4:AK17)/SUM($AK$4:$AK$86)</f>
        <v>1.4925373134328358E-2</v>
      </c>
    </row>
    <row r="18" spans="2:38" x14ac:dyDescent="0.25">
      <c r="B18" s="366">
        <v>45770</v>
      </c>
      <c r="C18" s="158">
        <f>COUNTIFS('2025-Q2'!$E$4:$E$422,'SPDR Chart'!C$3,'2025-Q2'!$F$4:$F$422,'SPDR Chart'!$B18,'2025-Q2'!$D$4:$D$422,"Y")</f>
        <v>1</v>
      </c>
      <c r="D18" s="158">
        <f>COUNTIFS('2025-Q2'!$E$4:$E$422,'SPDR Chart'!D$3,'2025-Q2'!$F$4:$F$422,'SPDR Chart'!$B18,'2025-Q2'!$D$4:$D$422,"Y")</f>
        <v>7</v>
      </c>
      <c r="E18" s="158">
        <f>COUNTIFS('2025-Q2'!$E$4:$E$422,'SPDR Chart'!E$3,'2025-Q2'!$F$4:$F$422,'SPDR Chart'!$B18,'2025-Q2'!$D$4:$D$422,"Y")</f>
        <v>1</v>
      </c>
      <c r="F18" s="158">
        <f>COUNTIFS('2025-Q2'!$E$4:$E$422,'SPDR Chart'!F$3,'2025-Q2'!$F$4:$F$422,'SPDR Chart'!$B18,'2025-Q2'!$D$4:$D$422,"Y")</f>
        <v>2</v>
      </c>
      <c r="G18" s="158">
        <f>COUNTIFS('2025-Q2'!$E$4:$E$422,'SPDR Chart'!G$3,'2025-Q2'!$F$4:$F$422,'SPDR Chart'!$B18,'2025-Q2'!$D$4:$D$422,"Y")</f>
        <v>3</v>
      </c>
      <c r="H18" s="158">
        <f>COUNTIFS('2025-Q2'!$E$4:$E$422,'SPDR Chart'!H$3,'2025-Q2'!$F$4:$F$422,'SPDR Chart'!$B18,'2025-Q2'!$D$4:$D$422,"Y")</f>
        <v>0</v>
      </c>
      <c r="I18" s="158">
        <f>COUNTIFS('2025-Q2'!$E$4:$E$422,'SPDR Chart'!I$3,'2025-Q2'!$F$4:$F$422,'SPDR Chart'!$B18,'2025-Q2'!$D$4:$D$422,"Y")</f>
        <v>0</v>
      </c>
      <c r="J18" s="158">
        <f>COUNTIFS('2025-Q2'!$E$4:$E$422,'SPDR Chart'!J$3,'2025-Q2'!$F$4:$F$422,'SPDR Chart'!$B18,'2025-Q2'!$D$4:$D$422,"Y")</f>
        <v>2</v>
      </c>
      <c r="K18" s="158">
        <f>COUNTIFS('2025-Q2'!$E$4:$E$422,'SPDR Chart'!K$3,'2025-Q2'!$F$4:$F$422,'SPDR Chart'!$B18,'2025-Q2'!$D$4:$D$422,"Y")</f>
        <v>1</v>
      </c>
      <c r="L18" s="158">
        <f>COUNTIFS('2025-Q2'!$E$4:$E$422,'SPDR Chart'!L$3,'2025-Q2'!$F$4:$F$422,'SPDR Chart'!$B18,'2025-Q2'!$D$4:$D$422,"Y")</f>
        <v>3</v>
      </c>
      <c r="M18" s="158">
        <f>COUNTIFS('2025-Q2'!$E$4:$E$422,'SPDR Chart'!M$3,'2025-Q2'!$F$4:$F$422,'SPDR Chart'!$B18,'2025-Q2'!$D$4:$D$422,"Y")</f>
        <v>1</v>
      </c>
      <c r="N18" s="158">
        <f>COUNTIFS('2025-Q2'!$E$4:$E$422,'SPDR Chart'!N$3,'2025-Q2'!$F$4:$F$422,'SPDR Chart'!$B18,'2025-Q2'!$D$4:$D$422,"Y")</f>
        <v>0</v>
      </c>
      <c r="O18" s="158">
        <f>COUNTIFS('2025-Q2'!$E$4:$E$422,'SPDR Chart'!O$3,'2025-Q2'!$F$4:$F$422,'SPDR Chart'!$B18,'2025-Q2'!$D$4:$D$422,"Y")</f>
        <v>2</v>
      </c>
      <c r="P18" s="158">
        <f>COUNTIFS('2025-Q2'!$E$4:$E$422,'SPDR Chart'!P$3,'2025-Q2'!$F$4:$F$422,'SPDR Chart'!$B18,'2025-Q2'!$D$4:$D$422,"Y")</f>
        <v>0</v>
      </c>
      <c r="Q18" s="363">
        <f>COUNTIFS('2025-Q2'!$E$4:$E$422,'SPDR Chart'!Q$3,'2025-Q2'!$F$4:$F$422,'SPDR Chart'!$B18,'2025-Q2'!$D$4:$D$422,"Y")</f>
        <v>0</v>
      </c>
      <c r="R18" s="457">
        <f t="shared" si="4"/>
        <v>23</v>
      </c>
      <c r="S18" s="458">
        <f>SUM($R$4:R18)/SUM($R$4:$R$86)</f>
        <v>0.23699421965317918</v>
      </c>
      <c r="U18" s="366">
        <v>45770</v>
      </c>
      <c r="V18" s="158">
        <f>COUNTIFS('2025-Q2'!$E$4:$E$422,'SPDR Chart'!V$3,'2025-Q2'!$F$4:$F$422,'SPDR Chart'!$B18,'2025-Q2'!$D$4:$D$422,"N")</f>
        <v>0</v>
      </c>
      <c r="W18" s="158">
        <f>COUNTIFS('2025-Q2'!$E$4:$E$422,'SPDR Chart'!W$3,'2025-Q2'!$F$4:$F$422,'SPDR Chart'!$B18,'2025-Q2'!$D$4:$D$422,"N")</f>
        <v>0</v>
      </c>
      <c r="X18" s="158">
        <f>COUNTIFS('2025-Q2'!$E$4:$E$422,'SPDR Chart'!X$3,'2025-Q2'!$F$4:$F$422,'SPDR Chart'!$B18,'2025-Q2'!$D$4:$D$422,"N")</f>
        <v>0</v>
      </c>
      <c r="Y18" s="158">
        <f>COUNTIFS('2025-Q2'!$E$4:$E$422,'SPDR Chart'!Y$3,'2025-Q2'!$F$4:$F$422,'SPDR Chart'!$B18,'2025-Q2'!$D$4:$D$422,"N")</f>
        <v>0</v>
      </c>
      <c r="Z18" s="158">
        <f>COUNTIFS('2025-Q2'!$E$4:$E$422,'SPDR Chart'!Z$3,'2025-Q2'!$F$4:$F$422,'SPDR Chart'!$B18,'2025-Q2'!$D$4:$D$422,"N")</f>
        <v>0</v>
      </c>
      <c r="AA18" s="158">
        <f>COUNTIFS('2025-Q2'!$E$4:$E$422,'SPDR Chart'!AA$3,'2025-Q2'!$F$4:$F$422,'SPDR Chart'!$B18,'2025-Q2'!$D$4:$D$422,"N")</f>
        <v>0</v>
      </c>
      <c r="AB18" s="158">
        <f>COUNTIFS('2025-Q2'!$E$4:$E$422,'SPDR Chart'!AB$3,'2025-Q2'!$F$4:$F$422,'SPDR Chart'!$B18,'2025-Q2'!$D$4:$D$422,"N")</f>
        <v>0</v>
      </c>
      <c r="AC18" s="158">
        <f>COUNTIFS('2025-Q2'!$E$4:$E$422,'SPDR Chart'!AC$3,'2025-Q2'!$F$4:$F$422,'SPDR Chart'!$B18,'2025-Q2'!$D$4:$D$422,"N")</f>
        <v>0</v>
      </c>
      <c r="AD18" s="158">
        <f>COUNTIFS('2025-Q2'!$E$4:$E$422,'SPDR Chart'!AD$3,'2025-Q2'!$F$4:$F$422,'SPDR Chart'!$B18,'2025-Q2'!$D$4:$D$422,"N")</f>
        <v>0</v>
      </c>
      <c r="AE18" s="158">
        <f>COUNTIFS('2025-Q2'!$E$4:$E$422,'SPDR Chart'!AE$3,'2025-Q2'!$F$4:$F$422,'SPDR Chart'!$B18,'2025-Q2'!$D$4:$D$422,"N")</f>
        <v>0</v>
      </c>
      <c r="AF18" s="158">
        <f>COUNTIFS('2025-Q2'!$E$4:$E$422,'SPDR Chart'!AF$3,'2025-Q2'!$F$4:$F$422,'SPDR Chart'!$B18,'2025-Q2'!$D$4:$D$422,"N")</f>
        <v>0</v>
      </c>
      <c r="AG18" s="158">
        <f>COUNTIFS('2025-Q2'!$E$4:$E$422,'SPDR Chart'!AG$3,'2025-Q2'!$F$4:$F$422,'SPDR Chart'!$B18,'2025-Q2'!$D$4:$D$422,"N")</f>
        <v>0</v>
      </c>
      <c r="AH18" s="158">
        <f>COUNTIFS('2025-Q2'!$E$4:$E$422,'SPDR Chart'!AH$3,'2025-Q2'!$F$4:$F$422,'SPDR Chart'!$B18,'2025-Q2'!$D$4:$D$422,"N")</f>
        <v>0</v>
      </c>
      <c r="AI18" s="158">
        <f>COUNTIFS('2025-Q2'!$E$4:$E$422,'SPDR Chart'!AI$3,'2025-Q2'!$F$4:$F$422,'SPDR Chart'!$B18,'2025-Q2'!$D$4:$D$422,"N")</f>
        <v>0</v>
      </c>
      <c r="AJ18" s="363">
        <f>COUNTIFS('2025-Q2'!$E$4:$E$422,'SPDR Chart'!AJ$3,'2025-Q2'!$F$4:$F$422,'SPDR Chart'!$B18,'2025-Q2'!$D$4:$D$422,"N")</f>
        <v>0</v>
      </c>
      <c r="AK18" s="457">
        <f t="shared" si="5"/>
        <v>0</v>
      </c>
      <c r="AL18" s="458">
        <f>SUM($AK$4:AK18)/SUM($AK$4:$AK$86)</f>
        <v>1.4925373134328358E-2</v>
      </c>
    </row>
    <row r="19" spans="2:38" x14ac:dyDescent="0.25">
      <c r="B19" s="366">
        <v>45771</v>
      </c>
      <c r="C19" s="158">
        <f>COUNTIFS('2025-Q2'!$E$4:$E$422,'SPDR Chart'!C$3,'2025-Q2'!$F$4:$F$422,'SPDR Chart'!$B19,'2025-Q2'!$D$4:$D$422,"Y")</f>
        <v>3</v>
      </c>
      <c r="D19" s="158">
        <f>COUNTIFS('2025-Q2'!$E$4:$E$422,'SPDR Chart'!D$3,'2025-Q2'!$F$4:$F$422,'SPDR Chart'!$B19,'2025-Q2'!$D$4:$D$422,"Y")</f>
        <v>5</v>
      </c>
      <c r="E19" s="158">
        <f>COUNTIFS('2025-Q2'!$E$4:$E$422,'SPDR Chart'!E$3,'2025-Q2'!$F$4:$F$422,'SPDR Chart'!$B19,'2025-Q2'!$D$4:$D$422,"Y")</f>
        <v>0</v>
      </c>
      <c r="F19" s="158">
        <f>COUNTIFS('2025-Q2'!$E$4:$E$422,'SPDR Chart'!F$3,'2025-Q2'!$F$4:$F$422,'SPDR Chart'!$B19,'2025-Q2'!$D$4:$D$422,"Y")</f>
        <v>2</v>
      </c>
      <c r="G19" s="158">
        <f>COUNTIFS('2025-Q2'!$E$4:$E$422,'SPDR Chart'!G$3,'2025-Q2'!$F$4:$F$422,'SPDR Chart'!$B19,'2025-Q2'!$D$4:$D$422,"Y")</f>
        <v>3</v>
      </c>
      <c r="H19" s="158">
        <f>COUNTIFS('2025-Q2'!$E$4:$E$422,'SPDR Chart'!H$3,'2025-Q2'!$F$4:$F$422,'SPDR Chart'!$B19,'2025-Q2'!$D$4:$D$422,"Y")</f>
        <v>1</v>
      </c>
      <c r="I19" s="158">
        <f>COUNTIFS('2025-Q2'!$E$4:$E$422,'SPDR Chart'!I$3,'2025-Q2'!$F$4:$F$422,'SPDR Chart'!$B19,'2025-Q2'!$D$4:$D$422,"Y")</f>
        <v>0</v>
      </c>
      <c r="J19" s="158">
        <f>COUNTIFS('2025-Q2'!$E$4:$E$422,'SPDR Chart'!J$3,'2025-Q2'!$F$4:$F$422,'SPDR Chart'!$B19,'2025-Q2'!$D$4:$D$422,"Y")</f>
        <v>3</v>
      </c>
      <c r="K19" s="158">
        <f>COUNTIFS('2025-Q2'!$E$4:$E$422,'SPDR Chart'!K$3,'2025-Q2'!$F$4:$F$422,'SPDR Chart'!$B19,'2025-Q2'!$D$4:$D$422,"Y")</f>
        <v>4</v>
      </c>
      <c r="L19" s="158">
        <f>COUNTIFS('2025-Q2'!$E$4:$E$422,'SPDR Chart'!L$3,'2025-Q2'!$F$4:$F$422,'SPDR Chart'!$B19,'2025-Q2'!$D$4:$D$422,"Y")</f>
        <v>0</v>
      </c>
      <c r="M19" s="158">
        <f>COUNTIFS('2025-Q2'!$E$4:$E$422,'SPDR Chart'!M$3,'2025-Q2'!$F$4:$F$422,'SPDR Chart'!$B19,'2025-Q2'!$D$4:$D$422,"Y")</f>
        <v>2</v>
      </c>
      <c r="N19" s="158">
        <f>COUNTIFS('2025-Q2'!$E$4:$E$422,'SPDR Chart'!N$3,'2025-Q2'!$F$4:$F$422,'SPDR Chart'!$B19,'2025-Q2'!$D$4:$D$422,"Y")</f>
        <v>0</v>
      </c>
      <c r="O19" s="158">
        <f>COUNTIFS('2025-Q2'!$E$4:$E$422,'SPDR Chart'!O$3,'2025-Q2'!$F$4:$F$422,'SPDR Chart'!$B19,'2025-Q2'!$D$4:$D$422,"Y")</f>
        <v>1</v>
      </c>
      <c r="P19" s="158">
        <f>COUNTIFS('2025-Q2'!$E$4:$E$422,'SPDR Chart'!P$3,'2025-Q2'!$F$4:$F$422,'SPDR Chart'!$B19,'2025-Q2'!$D$4:$D$422,"Y")</f>
        <v>1</v>
      </c>
      <c r="Q19" s="363">
        <f>COUNTIFS('2025-Q2'!$E$4:$E$422,'SPDR Chart'!Q$3,'2025-Q2'!$F$4:$F$422,'SPDR Chart'!$B19,'2025-Q2'!$D$4:$D$422,"Y")</f>
        <v>0</v>
      </c>
      <c r="R19" s="457">
        <f t="shared" si="4"/>
        <v>25</v>
      </c>
      <c r="S19" s="458">
        <f>SUM($R$4:R19)/SUM($R$4:$R$86)</f>
        <v>0.30924855491329478</v>
      </c>
      <c r="U19" s="366">
        <v>45771</v>
      </c>
      <c r="V19" s="158">
        <f>COUNTIFS('2025-Q2'!$E$4:$E$422,'SPDR Chart'!V$3,'2025-Q2'!$F$4:$F$422,'SPDR Chart'!$B19,'2025-Q2'!$D$4:$D$422,"N")</f>
        <v>0</v>
      </c>
      <c r="W19" s="158">
        <f>COUNTIFS('2025-Q2'!$E$4:$E$422,'SPDR Chart'!W$3,'2025-Q2'!$F$4:$F$422,'SPDR Chart'!$B19,'2025-Q2'!$D$4:$D$422,"N")</f>
        <v>0</v>
      </c>
      <c r="X19" s="158">
        <f>COUNTIFS('2025-Q2'!$E$4:$E$422,'SPDR Chart'!X$3,'2025-Q2'!$F$4:$F$422,'SPDR Chart'!$B19,'2025-Q2'!$D$4:$D$422,"N")</f>
        <v>0</v>
      </c>
      <c r="Y19" s="158">
        <f>COUNTIFS('2025-Q2'!$E$4:$E$422,'SPDR Chart'!Y$3,'2025-Q2'!$F$4:$F$422,'SPDR Chart'!$B19,'2025-Q2'!$D$4:$D$422,"N")</f>
        <v>0</v>
      </c>
      <c r="Z19" s="158">
        <f>COUNTIFS('2025-Q2'!$E$4:$E$422,'SPDR Chart'!Z$3,'2025-Q2'!$F$4:$F$422,'SPDR Chart'!$B19,'2025-Q2'!$D$4:$D$422,"N")</f>
        <v>0</v>
      </c>
      <c r="AA19" s="158">
        <f>COUNTIFS('2025-Q2'!$E$4:$E$422,'SPDR Chart'!AA$3,'2025-Q2'!$F$4:$F$422,'SPDR Chart'!$B19,'2025-Q2'!$D$4:$D$422,"N")</f>
        <v>0</v>
      </c>
      <c r="AB19" s="158">
        <f>COUNTIFS('2025-Q2'!$E$4:$E$422,'SPDR Chart'!AB$3,'2025-Q2'!$F$4:$F$422,'SPDR Chart'!$B19,'2025-Q2'!$D$4:$D$422,"N")</f>
        <v>0</v>
      </c>
      <c r="AC19" s="158">
        <f>COUNTIFS('2025-Q2'!$E$4:$E$422,'SPDR Chart'!AC$3,'2025-Q2'!$F$4:$F$422,'SPDR Chart'!$B19,'2025-Q2'!$D$4:$D$422,"N")</f>
        <v>0</v>
      </c>
      <c r="AD19" s="158">
        <f>COUNTIFS('2025-Q2'!$E$4:$E$422,'SPDR Chart'!AD$3,'2025-Q2'!$F$4:$F$422,'SPDR Chart'!$B19,'2025-Q2'!$D$4:$D$422,"N")</f>
        <v>0</v>
      </c>
      <c r="AE19" s="158">
        <f>COUNTIFS('2025-Q2'!$E$4:$E$422,'SPDR Chart'!AE$3,'2025-Q2'!$F$4:$F$422,'SPDR Chart'!$B19,'2025-Q2'!$D$4:$D$422,"N")</f>
        <v>0</v>
      </c>
      <c r="AF19" s="158">
        <f>COUNTIFS('2025-Q2'!$E$4:$E$422,'SPDR Chart'!AF$3,'2025-Q2'!$F$4:$F$422,'SPDR Chart'!$B19,'2025-Q2'!$D$4:$D$422,"N")</f>
        <v>1</v>
      </c>
      <c r="AG19" s="158">
        <f>COUNTIFS('2025-Q2'!$E$4:$E$422,'SPDR Chart'!AG$3,'2025-Q2'!$F$4:$F$422,'SPDR Chart'!$B19,'2025-Q2'!$D$4:$D$422,"N")</f>
        <v>0</v>
      </c>
      <c r="AH19" s="158">
        <f>COUNTIFS('2025-Q2'!$E$4:$E$422,'SPDR Chart'!AH$3,'2025-Q2'!$F$4:$F$422,'SPDR Chart'!$B19,'2025-Q2'!$D$4:$D$422,"N")</f>
        <v>0</v>
      </c>
      <c r="AI19" s="158">
        <f>COUNTIFS('2025-Q2'!$E$4:$E$422,'SPDR Chart'!AI$3,'2025-Q2'!$F$4:$F$422,'SPDR Chart'!$B19,'2025-Q2'!$D$4:$D$422,"N")</f>
        <v>0</v>
      </c>
      <c r="AJ19" s="363">
        <f>COUNTIFS('2025-Q2'!$E$4:$E$422,'SPDR Chart'!AJ$3,'2025-Q2'!$F$4:$F$422,'SPDR Chart'!$B19,'2025-Q2'!$D$4:$D$422,"N")</f>
        <v>0</v>
      </c>
      <c r="AK19" s="457">
        <f t="shared" si="5"/>
        <v>1</v>
      </c>
      <c r="AL19" s="458">
        <f>SUM($AK$4:AK19)/SUM($AK$4:$AK$86)</f>
        <v>2.9850746268656716E-2</v>
      </c>
    </row>
    <row r="20" spans="2:38" x14ac:dyDescent="0.25">
      <c r="B20" s="366">
        <v>45772</v>
      </c>
      <c r="C20" s="158">
        <f>COUNTIFS('2025-Q2'!$E$4:$E$422,'SPDR Chart'!C$3,'2025-Q2'!$F$4:$F$422,'SPDR Chart'!$B20,'2025-Q2'!$D$4:$D$422,"Y")</f>
        <v>1</v>
      </c>
      <c r="D20" s="158">
        <f>COUNTIFS('2025-Q2'!$E$4:$E$422,'SPDR Chart'!D$3,'2025-Q2'!$F$4:$F$422,'SPDR Chart'!$B20,'2025-Q2'!$D$4:$D$422,"Y")</f>
        <v>0</v>
      </c>
      <c r="E20" s="158">
        <f>COUNTIFS('2025-Q2'!$E$4:$E$422,'SPDR Chart'!E$3,'2025-Q2'!$F$4:$F$422,'SPDR Chart'!$B20,'2025-Q2'!$D$4:$D$422,"Y")</f>
        <v>0</v>
      </c>
      <c r="F20" s="158">
        <f>COUNTIFS('2025-Q2'!$E$4:$E$422,'SPDR Chart'!F$3,'2025-Q2'!$F$4:$F$422,'SPDR Chart'!$B20,'2025-Q2'!$D$4:$D$422,"Y")</f>
        <v>0</v>
      </c>
      <c r="G20" s="158">
        <f>COUNTIFS('2025-Q2'!$E$4:$E$422,'SPDR Chart'!G$3,'2025-Q2'!$F$4:$F$422,'SPDR Chart'!$B20,'2025-Q2'!$D$4:$D$422,"Y")</f>
        <v>2</v>
      </c>
      <c r="H20" s="158">
        <f>COUNTIFS('2025-Q2'!$E$4:$E$422,'SPDR Chart'!H$3,'2025-Q2'!$F$4:$F$422,'SPDR Chart'!$B20,'2025-Q2'!$D$4:$D$422,"Y")</f>
        <v>2</v>
      </c>
      <c r="I20" s="158">
        <f>COUNTIFS('2025-Q2'!$E$4:$E$422,'SPDR Chart'!I$3,'2025-Q2'!$F$4:$F$422,'SPDR Chart'!$B20,'2025-Q2'!$D$4:$D$422,"Y")</f>
        <v>0</v>
      </c>
      <c r="J20" s="158">
        <f>COUNTIFS('2025-Q2'!$E$4:$E$422,'SPDR Chart'!J$3,'2025-Q2'!$F$4:$F$422,'SPDR Chart'!$B20,'2025-Q2'!$D$4:$D$422,"Y")</f>
        <v>0</v>
      </c>
      <c r="K20" s="158">
        <f>COUNTIFS('2025-Q2'!$E$4:$E$422,'SPDR Chart'!K$3,'2025-Q2'!$F$4:$F$422,'SPDR Chart'!$B20,'2025-Q2'!$D$4:$D$422,"Y")</f>
        <v>1</v>
      </c>
      <c r="L20" s="158">
        <f>COUNTIFS('2025-Q2'!$E$4:$E$422,'SPDR Chart'!L$3,'2025-Q2'!$F$4:$F$422,'SPDR Chart'!$B20,'2025-Q2'!$D$4:$D$422,"Y")</f>
        <v>0</v>
      </c>
      <c r="M20" s="158">
        <f>COUNTIFS('2025-Q2'!$E$4:$E$422,'SPDR Chart'!M$3,'2025-Q2'!$F$4:$F$422,'SPDR Chart'!$B20,'2025-Q2'!$D$4:$D$422,"Y")</f>
        <v>1</v>
      </c>
      <c r="N20" s="158">
        <f>COUNTIFS('2025-Q2'!$E$4:$E$422,'SPDR Chart'!N$3,'2025-Q2'!$F$4:$F$422,'SPDR Chart'!$B20,'2025-Q2'!$D$4:$D$422,"Y")</f>
        <v>0</v>
      </c>
      <c r="O20" s="158">
        <f>COUNTIFS('2025-Q2'!$E$4:$E$422,'SPDR Chart'!O$3,'2025-Q2'!$F$4:$F$422,'SPDR Chart'!$B20,'2025-Q2'!$D$4:$D$422,"Y")</f>
        <v>0</v>
      </c>
      <c r="P20" s="158">
        <f>COUNTIFS('2025-Q2'!$E$4:$E$422,'SPDR Chart'!P$3,'2025-Q2'!$F$4:$F$422,'SPDR Chart'!$B20,'2025-Q2'!$D$4:$D$422,"Y")</f>
        <v>0</v>
      </c>
      <c r="Q20" s="363">
        <f>COUNTIFS('2025-Q2'!$E$4:$E$422,'SPDR Chart'!Q$3,'2025-Q2'!$F$4:$F$422,'SPDR Chart'!$B20,'2025-Q2'!$D$4:$D$422,"Y")</f>
        <v>0</v>
      </c>
      <c r="R20" s="457">
        <f t="shared" si="4"/>
        <v>7</v>
      </c>
      <c r="S20" s="458">
        <f>SUM($R$4:R20)/SUM($R$4:$R$86)</f>
        <v>0.32947976878612717</v>
      </c>
      <c r="U20" s="366">
        <v>45772</v>
      </c>
      <c r="V20" s="158">
        <f>COUNTIFS('2025-Q2'!$E$4:$E$422,'SPDR Chart'!V$3,'2025-Q2'!$F$4:$F$422,'SPDR Chart'!$B20,'2025-Q2'!$D$4:$D$422,"N")</f>
        <v>0</v>
      </c>
      <c r="W20" s="158">
        <f>COUNTIFS('2025-Q2'!$E$4:$E$422,'SPDR Chart'!W$3,'2025-Q2'!$F$4:$F$422,'SPDR Chart'!$B20,'2025-Q2'!$D$4:$D$422,"N")</f>
        <v>0</v>
      </c>
      <c r="X20" s="158">
        <f>COUNTIFS('2025-Q2'!$E$4:$E$422,'SPDR Chart'!X$3,'2025-Q2'!$F$4:$F$422,'SPDR Chart'!$B20,'2025-Q2'!$D$4:$D$422,"N")</f>
        <v>0</v>
      </c>
      <c r="Y20" s="158">
        <f>COUNTIFS('2025-Q2'!$E$4:$E$422,'SPDR Chart'!Y$3,'2025-Q2'!$F$4:$F$422,'SPDR Chart'!$B20,'2025-Q2'!$D$4:$D$422,"N")</f>
        <v>0</v>
      </c>
      <c r="Z20" s="158">
        <f>COUNTIFS('2025-Q2'!$E$4:$E$422,'SPDR Chart'!Z$3,'2025-Q2'!$F$4:$F$422,'SPDR Chart'!$B20,'2025-Q2'!$D$4:$D$422,"N")</f>
        <v>0</v>
      </c>
      <c r="AA20" s="158">
        <f>COUNTIFS('2025-Q2'!$E$4:$E$422,'SPDR Chart'!AA$3,'2025-Q2'!$F$4:$F$422,'SPDR Chart'!$B20,'2025-Q2'!$D$4:$D$422,"N")</f>
        <v>0</v>
      </c>
      <c r="AB20" s="158">
        <f>COUNTIFS('2025-Q2'!$E$4:$E$422,'SPDR Chart'!AB$3,'2025-Q2'!$F$4:$F$422,'SPDR Chart'!$B20,'2025-Q2'!$D$4:$D$422,"N")</f>
        <v>0</v>
      </c>
      <c r="AC20" s="158">
        <f>COUNTIFS('2025-Q2'!$E$4:$E$422,'SPDR Chart'!AC$3,'2025-Q2'!$F$4:$F$422,'SPDR Chart'!$B20,'2025-Q2'!$D$4:$D$422,"N")</f>
        <v>0</v>
      </c>
      <c r="AD20" s="158">
        <f>COUNTIFS('2025-Q2'!$E$4:$E$422,'SPDR Chart'!AD$3,'2025-Q2'!$F$4:$F$422,'SPDR Chart'!$B20,'2025-Q2'!$D$4:$D$422,"N")</f>
        <v>0</v>
      </c>
      <c r="AE20" s="158">
        <f>COUNTIFS('2025-Q2'!$E$4:$E$422,'SPDR Chart'!AE$3,'2025-Q2'!$F$4:$F$422,'SPDR Chart'!$B20,'2025-Q2'!$D$4:$D$422,"N")</f>
        <v>0</v>
      </c>
      <c r="AF20" s="158">
        <f>COUNTIFS('2025-Q2'!$E$4:$E$422,'SPDR Chart'!AF$3,'2025-Q2'!$F$4:$F$422,'SPDR Chart'!$B20,'2025-Q2'!$D$4:$D$422,"N")</f>
        <v>0</v>
      </c>
      <c r="AG20" s="158">
        <f>COUNTIFS('2025-Q2'!$E$4:$E$422,'SPDR Chart'!AG$3,'2025-Q2'!$F$4:$F$422,'SPDR Chart'!$B20,'2025-Q2'!$D$4:$D$422,"N")</f>
        <v>0</v>
      </c>
      <c r="AH20" s="158">
        <f>COUNTIFS('2025-Q2'!$E$4:$E$422,'SPDR Chart'!AH$3,'2025-Q2'!$F$4:$F$422,'SPDR Chart'!$B20,'2025-Q2'!$D$4:$D$422,"N")</f>
        <v>0</v>
      </c>
      <c r="AI20" s="158">
        <f>COUNTIFS('2025-Q2'!$E$4:$E$422,'SPDR Chart'!AI$3,'2025-Q2'!$F$4:$F$422,'SPDR Chart'!$B20,'2025-Q2'!$D$4:$D$422,"N")</f>
        <v>0</v>
      </c>
      <c r="AJ20" s="363">
        <f>COUNTIFS('2025-Q2'!$E$4:$E$422,'SPDR Chart'!AJ$3,'2025-Q2'!$F$4:$F$422,'SPDR Chart'!$B20,'2025-Q2'!$D$4:$D$422,"N")</f>
        <v>0</v>
      </c>
      <c r="AK20" s="457">
        <f t="shared" si="5"/>
        <v>0</v>
      </c>
      <c r="AL20" s="458">
        <f>SUM($AK$4:AK20)/SUM($AK$4:$AK$86)</f>
        <v>2.9850746268656716E-2</v>
      </c>
    </row>
    <row r="21" spans="2:38" x14ac:dyDescent="0.25">
      <c r="B21" s="366">
        <v>45773</v>
      </c>
      <c r="C21" s="158">
        <f>COUNTIFS('2025-Q2'!$E$4:$E$422,'SPDR Chart'!C$3,'2025-Q2'!$F$4:$F$422,'SPDR Chart'!$B21,'2025-Q2'!$D$4:$D$422,"Y")</f>
        <v>0</v>
      </c>
      <c r="D21" s="158">
        <f>COUNTIFS('2025-Q2'!$E$4:$E$422,'SPDR Chart'!D$3,'2025-Q2'!$F$4:$F$422,'SPDR Chart'!$B21,'2025-Q2'!$D$4:$D$422,"Y")</f>
        <v>0</v>
      </c>
      <c r="E21" s="158">
        <f>COUNTIFS('2025-Q2'!$E$4:$E$422,'SPDR Chart'!E$3,'2025-Q2'!$F$4:$F$422,'SPDR Chart'!$B21,'2025-Q2'!$D$4:$D$422,"Y")</f>
        <v>0</v>
      </c>
      <c r="F21" s="158">
        <f>COUNTIFS('2025-Q2'!$E$4:$E$422,'SPDR Chart'!F$3,'2025-Q2'!$F$4:$F$422,'SPDR Chart'!$B21,'2025-Q2'!$D$4:$D$422,"Y")</f>
        <v>0</v>
      </c>
      <c r="G21" s="158">
        <f>COUNTIFS('2025-Q2'!$E$4:$E$422,'SPDR Chart'!G$3,'2025-Q2'!$F$4:$F$422,'SPDR Chart'!$B21,'2025-Q2'!$D$4:$D$422,"Y")</f>
        <v>0</v>
      </c>
      <c r="H21" s="158">
        <f>COUNTIFS('2025-Q2'!$E$4:$E$422,'SPDR Chart'!H$3,'2025-Q2'!$F$4:$F$422,'SPDR Chart'!$B21,'2025-Q2'!$D$4:$D$422,"Y")</f>
        <v>0</v>
      </c>
      <c r="I21" s="158">
        <f>COUNTIFS('2025-Q2'!$E$4:$E$422,'SPDR Chart'!I$3,'2025-Q2'!$F$4:$F$422,'SPDR Chart'!$B21,'2025-Q2'!$D$4:$D$422,"Y")</f>
        <v>0</v>
      </c>
      <c r="J21" s="158">
        <f>COUNTIFS('2025-Q2'!$E$4:$E$422,'SPDR Chart'!J$3,'2025-Q2'!$F$4:$F$422,'SPDR Chart'!$B21,'2025-Q2'!$D$4:$D$422,"Y")</f>
        <v>0</v>
      </c>
      <c r="K21" s="158">
        <f>COUNTIFS('2025-Q2'!$E$4:$E$422,'SPDR Chart'!K$3,'2025-Q2'!$F$4:$F$422,'SPDR Chart'!$B21,'2025-Q2'!$D$4:$D$422,"Y")</f>
        <v>0</v>
      </c>
      <c r="L21" s="158">
        <f>COUNTIFS('2025-Q2'!$E$4:$E$422,'SPDR Chart'!L$3,'2025-Q2'!$F$4:$F$422,'SPDR Chart'!$B21,'2025-Q2'!$D$4:$D$422,"Y")</f>
        <v>0</v>
      </c>
      <c r="M21" s="158">
        <f>COUNTIFS('2025-Q2'!$E$4:$E$422,'SPDR Chart'!M$3,'2025-Q2'!$F$4:$F$422,'SPDR Chart'!$B21,'2025-Q2'!$D$4:$D$422,"Y")</f>
        <v>0</v>
      </c>
      <c r="N21" s="158">
        <f>COUNTIFS('2025-Q2'!$E$4:$E$422,'SPDR Chart'!N$3,'2025-Q2'!$F$4:$F$422,'SPDR Chart'!$B21,'2025-Q2'!$D$4:$D$422,"Y")</f>
        <v>0</v>
      </c>
      <c r="O21" s="158">
        <f>COUNTIFS('2025-Q2'!$E$4:$E$422,'SPDR Chart'!O$3,'2025-Q2'!$F$4:$F$422,'SPDR Chart'!$B21,'2025-Q2'!$D$4:$D$422,"Y")</f>
        <v>0</v>
      </c>
      <c r="P21" s="158">
        <f>COUNTIFS('2025-Q2'!$E$4:$E$422,'SPDR Chart'!P$3,'2025-Q2'!$F$4:$F$422,'SPDR Chart'!$B21,'2025-Q2'!$D$4:$D$422,"Y")</f>
        <v>0</v>
      </c>
      <c r="Q21" s="363">
        <f>COUNTIFS('2025-Q2'!$E$4:$E$422,'SPDR Chart'!Q$3,'2025-Q2'!$F$4:$F$422,'SPDR Chart'!$B21,'2025-Q2'!$D$4:$D$422,"Y")</f>
        <v>0</v>
      </c>
      <c r="R21" s="457">
        <f t="shared" si="4"/>
        <v>0</v>
      </c>
      <c r="S21" s="458">
        <f>SUM($R$4:R21)/SUM($R$4:$R$86)</f>
        <v>0.32947976878612717</v>
      </c>
      <c r="U21" s="366">
        <v>45773</v>
      </c>
      <c r="V21" s="158">
        <f>COUNTIFS('2025-Q2'!$E$4:$E$422,'SPDR Chart'!V$3,'2025-Q2'!$F$4:$F$422,'SPDR Chart'!$B21,'2025-Q2'!$D$4:$D$422,"N")</f>
        <v>0</v>
      </c>
      <c r="W21" s="158">
        <f>COUNTIFS('2025-Q2'!$E$4:$E$422,'SPDR Chart'!W$3,'2025-Q2'!$F$4:$F$422,'SPDR Chart'!$B21,'2025-Q2'!$D$4:$D$422,"N")</f>
        <v>0</v>
      </c>
      <c r="X21" s="158">
        <f>COUNTIFS('2025-Q2'!$E$4:$E$422,'SPDR Chart'!X$3,'2025-Q2'!$F$4:$F$422,'SPDR Chart'!$B21,'2025-Q2'!$D$4:$D$422,"N")</f>
        <v>0</v>
      </c>
      <c r="Y21" s="158">
        <f>COUNTIFS('2025-Q2'!$E$4:$E$422,'SPDR Chart'!Y$3,'2025-Q2'!$F$4:$F$422,'SPDR Chart'!$B21,'2025-Q2'!$D$4:$D$422,"N")</f>
        <v>0</v>
      </c>
      <c r="Z21" s="158">
        <f>COUNTIFS('2025-Q2'!$E$4:$E$422,'SPDR Chart'!Z$3,'2025-Q2'!$F$4:$F$422,'SPDR Chart'!$B21,'2025-Q2'!$D$4:$D$422,"N")</f>
        <v>0</v>
      </c>
      <c r="AA21" s="158">
        <f>COUNTIFS('2025-Q2'!$E$4:$E$422,'SPDR Chart'!AA$3,'2025-Q2'!$F$4:$F$422,'SPDR Chart'!$B21,'2025-Q2'!$D$4:$D$422,"N")</f>
        <v>0</v>
      </c>
      <c r="AB21" s="158">
        <f>COUNTIFS('2025-Q2'!$E$4:$E$422,'SPDR Chart'!AB$3,'2025-Q2'!$F$4:$F$422,'SPDR Chart'!$B21,'2025-Q2'!$D$4:$D$422,"N")</f>
        <v>0</v>
      </c>
      <c r="AC21" s="158">
        <f>COUNTIFS('2025-Q2'!$E$4:$E$422,'SPDR Chart'!AC$3,'2025-Q2'!$F$4:$F$422,'SPDR Chart'!$B21,'2025-Q2'!$D$4:$D$422,"N")</f>
        <v>0</v>
      </c>
      <c r="AD21" s="158">
        <f>COUNTIFS('2025-Q2'!$E$4:$E$422,'SPDR Chart'!AD$3,'2025-Q2'!$F$4:$F$422,'SPDR Chart'!$B21,'2025-Q2'!$D$4:$D$422,"N")</f>
        <v>0</v>
      </c>
      <c r="AE21" s="158">
        <f>COUNTIFS('2025-Q2'!$E$4:$E$422,'SPDR Chart'!AE$3,'2025-Q2'!$F$4:$F$422,'SPDR Chart'!$B21,'2025-Q2'!$D$4:$D$422,"N")</f>
        <v>0</v>
      </c>
      <c r="AF21" s="158">
        <f>COUNTIFS('2025-Q2'!$E$4:$E$422,'SPDR Chart'!AF$3,'2025-Q2'!$F$4:$F$422,'SPDR Chart'!$B21,'2025-Q2'!$D$4:$D$422,"N")</f>
        <v>0</v>
      </c>
      <c r="AG21" s="158">
        <f>COUNTIFS('2025-Q2'!$E$4:$E$422,'SPDR Chart'!AG$3,'2025-Q2'!$F$4:$F$422,'SPDR Chart'!$B21,'2025-Q2'!$D$4:$D$422,"N")</f>
        <v>0</v>
      </c>
      <c r="AH21" s="158">
        <f>COUNTIFS('2025-Q2'!$E$4:$E$422,'SPDR Chart'!AH$3,'2025-Q2'!$F$4:$F$422,'SPDR Chart'!$B21,'2025-Q2'!$D$4:$D$422,"N")</f>
        <v>0</v>
      </c>
      <c r="AI21" s="158">
        <f>COUNTIFS('2025-Q2'!$E$4:$E$422,'SPDR Chart'!AI$3,'2025-Q2'!$F$4:$F$422,'SPDR Chart'!$B21,'2025-Q2'!$D$4:$D$422,"N")</f>
        <v>0</v>
      </c>
      <c r="AJ21" s="363">
        <f>COUNTIFS('2025-Q2'!$E$4:$E$422,'SPDR Chart'!AJ$3,'2025-Q2'!$F$4:$F$422,'SPDR Chart'!$B21,'2025-Q2'!$D$4:$D$422,"N")</f>
        <v>0</v>
      </c>
      <c r="AK21" s="457">
        <f t="shared" si="5"/>
        <v>0</v>
      </c>
      <c r="AL21" s="458">
        <f>SUM($AK$4:AK21)/SUM($AK$4:$AK$86)</f>
        <v>2.9850746268656716E-2</v>
      </c>
    </row>
    <row r="22" spans="2:38" x14ac:dyDescent="0.25">
      <c r="B22" s="366">
        <v>45774</v>
      </c>
      <c r="C22" s="158">
        <f>COUNTIFS('2025-Q2'!$E$4:$E$422,'SPDR Chart'!C$3,'2025-Q2'!$F$4:$F$422,'SPDR Chart'!$B22,'2025-Q2'!$D$4:$D$422,"Y")</f>
        <v>0</v>
      </c>
      <c r="D22" s="158">
        <f>COUNTIFS('2025-Q2'!$E$4:$E$422,'SPDR Chart'!D$3,'2025-Q2'!$F$4:$F$422,'SPDR Chart'!$B22,'2025-Q2'!$D$4:$D$422,"Y")</f>
        <v>0</v>
      </c>
      <c r="E22" s="158">
        <f>COUNTIFS('2025-Q2'!$E$4:$E$422,'SPDR Chart'!E$3,'2025-Q2'!$F$4:$F$422,'SPDR Chart'!$B22,'2025-Q2'!$D$4:$D$422,"Y")</f>
        <v>0</v>
      </c>
      <c r="F22" s="158">
        <f>COUNTIFS('2025-Q2'!$E$4:$E$422,'SPDR Chart'!F$3,'2025-Q2'!$F$4:$F$422,'SPDR Chart'!$B22,'2025-Q2'!$D$4:$D$422,"Y")</f>
        <v>0</v>
      </c>
      <c r="G22" s="158">
        <f>COUNTIFS('2025-Q2'!$E$4:$E$422,'SPDR Chart'!G$3,'2025-Q2'!$F$4:$F$422,'SPDR Chart'!$B22,'2025-Q2'!$D$4:$D$422,"Y")</f>
        <v>0</v>
      </c>
      <c r="H22" s="158">
        <f>COUNTIFS('2025-Q2'!$E$4:$E$422,'SPDR Chart'!H$3,'2025-Q2'!$F$4:$F$422,'SPDR Chart'!$B22,'2025-Q2'!$D$4:$D$422,"Y")</f>
        <v>0</v>
      </c>
      <c r="I22" s="158">
        <f>COUNTIFS('2025-Q2'!$E$4:$E$422,'SPDR Chart'!I$3,'2025-Q2'!$F$4:$F$422,'SPDR Chart'!$B22,'2025-Q2'!$D$4:$D$422,"Y")</f>
        <v>0</v>
      </c>
      <c r="J22" s="158">
        <f>COUNTIFS('2025-Q2'!$E$4:$E$422,'SPDR Chart'!J$3,'2025-Q2'!$F$4:$F$422,'SPDR Chart'!$B22,'2025-Q2'!$D$4:$D$422,"Y")</f>
        <v>0</v>
      </c>
      <c r="K22" s="158">
        <f>COUNTIFS('2025-Q2'!$E$4:$E$422,'SPDR Chart'!K$3,'2025-Q2'!$F$4:$F$422,'SPDR Chart'!$B22,'2025-Q2'!$D$4:$D$422,"Y")</f>
        <v>0</v>
      </c>
      <c r="L22" s="158">
        <f>COUNTIFS('2025-Q2'!$E$4:$E$422,'SPDR Chart'!L$3,'2025-Q2'!$F$4:$F$422,'SPDR Chart'!$B22,'2025-Q2'!$D$4:$D$422,"Y")</f>
        <v>0</v>
      </c>
      <c r="M22" s="158">
        <f>COUNTIFS('2025-Q2'!$E$4:$E$422,'SPDR Chart'!M$3,'2025-Q2'!$F$4:$F$422,'SPDR Chart'!$B22,'2025-Q2'!$D$4:$D$422,"Y")</f>
        <v>0</v>
      </c>
      <c r="N22" s="158">
        <f>COUNTIFS('2025-Q2'!$E$4:$E$422,'SPDR Chart'!N$3,'2025-Q2'!$F$4:$F$422,'SPDR Chart'!$B22,'2025-Q2'!$D$4:$D$422,"Y")</f>
        <v>0</v>
      </c>
      <c r="O22" s="158">
        <f>COUNTIFS('2025-Q2'!$E$4:$E$422,'SPDR Chart'!O$3,'2025-Q2'!$F$4:$F$422,'SPDR Chart'!$B22,'2025-Q2'!$D$4:$D$422,"Y")</f>
        <v>0</v>
      </c>
      <c r="P22" s="158">
        <f>COUNTIFS('2025-Q2'!$E$4:$E$422,'SPDR Chart'!P$3,'2025-Q2'!$F$4:$F$422,'SPDR Chart'!$B22,'2025-Q2'!$D$4:$D$422,"Y")</f>
        <v>0</v>
      </c>
      <c r="Q22" s="363">
        <f>COUNTIFS('2025-Q2'!$E$4:$E$422,'SPDR Chart'!Q$3,'2025-Q2'!$F$4:$F$422,'SPDR Chart'!$B22,'2025-Q2'!$D$4:$D$422,"Y")</f>
        <v>0</v>
      </c>
      <c r="R22" s="457">
        <f t="shared" si="4"/>
        <v>0</v>
      </c>
      <c r="S22" s="458">
        <f>SUM($R$4:R22)/SUM($R$4:$R$86)</f>
        <v>0.32947976878612717</v>
      </c>
      <c r="U22" s="366">
        <v>45774</v>
      </c>
      <c r="V22" s="158">
        <f>COUNTIFS('2025-Q2'!$E$4:$E$422,'SPDR Chart'!V$3,'2025-Q2'!$F$4:$F$422,'SPDR Chart'!$B22,'2025-Q2'!$D$4:$D$422,"N")</f>
        <v>0</v>
      </c>
      <c r="W22" s="158">
        <f>COUNTIFS('2025-Q2'!$E$4:$E$422,'SPDR Chart'!W$3,'2025-Q2'!$F$4:$F$422,'SPDR Chart'!$B22,'2025-Q2'!$D$4:$D$422,"N")</f>
        <v>0</v>
      </c>
      <c r="X22" s="158">
        <f>COUNTIFS('2025-Q2'!$E$4:$E$422,'SPDR Chart'!X$3,'2025-Q2'!$F$4:$F$422,'SPDR Chart'!$B22,'2025-Q2'!$D$4:$D$422,"N")</f>
        <v>0</v>
      </c>
      <c r="Y22" s="158">
        <f>COUNTIFS('2025-Q2'!$E$4:$E$422,'SPDR Chart'!Y$3,'2025-Q2'!$F$4:$F$422,'SPDR Chart'!$B22,'2025-Q2'!$D$4:$D$422,"N")</f>
        <v>0</v>
      </c>
      <c r="Z22" s="158">
        <f>COUNTIFS('2025-Q2'!$E$4:$E$422,'SPDR Chart'!Z$3,'2025-Q2'!$F$4:$F$422,'SPDR Chart'!$B22,'2025-Q2'!$D$4:$D$422,"N")</f>
        <v>0</v>
      </c>
      <c r="AA22" s="158">
        <f>COUNTIFS('2025-Q2'!$E$4:$E$422,'SPDR Chart'!AA$3,'2025-Q2'!$F$4:$F$422,'SPDR Chart'!$B22,'2025-Q2'!$D$4:$D$422,"N")</f>
        <v>0</v>
      </c>
      <c r="AB22" s="158">
        <f>COUNTIFS('2025-Q2'!$E$4:$E$422,'SPDR Chart'!AB$3,'2025-Q2'!$F$4:$F$422,'SPDR Chart'!$B22,'2025-Q2'!$D$4:$D$422,"N")</f>
        <v>0</v>
      </c>
      <c r="AC22" s="158">
        <f>COUNTIFS('2025-Q2'!$E$4:$E$422,'SPDR Chart'!AC$3,'2025-Q2'!$F$4:$F$422,'SPDR Chart'!$B22,'2025-Q2'!$D$4:$D$422,"N")</f>
        <v>0</v>
      </c>
      <c r="AD22" s="158">
        <f>COUNTIFS('2025-Q2'!$E$4:$E$422,'SPDR Chart'!AD$3,'2025-Q2'!$F$4:$F$422,'SPDR Chart'!$B22,'2025-Q2'!$D$4:$D$422,"N")</f>
        <v>0</v>
      </c>
      <c r="AE22" s="158">
        <f>COUNTIFS('2025-Q2'!$E$4:$E$422,'SPDR Chart'!AE$3,'2025-Q2'!$F$4:$F$422,'SPDR Chart'!$B22,'2025-Q2'!$D$4:$D$422,"N")</f>
        <v>0</v>
      </c>
      <c r="AF22" s="158">
        <f>COUNTIFS('2025-Q2'!$E$4:$E$422,'SPDR Chart'!AF$3,'2025-Q2'!$F$4:$F$422,'SPDR Chart'!$B22,'2025-Q2'!$D$4:$D$422,"N")</f>
        <v>0</v>
      </c>
      <c r="AG22" s="158">
        <f>COUNTIFS('2025-Q2'!$E$4:$E$422,'SPDR Chart'!AG$3,'2025-Q2'!$F$4:$F$422,'SPDR Chart'!$B22,'2025-Q2'!$D$4:$D$422,"N")</f>
        <v>0</v>
      </c>
      <c r="AH22" s="158">
        <f>COUNTIFS('2025-Q2'!$E$4:$E$422,'SPDR Chart'!AH$3,'2025-Q2'!$F$4:$F$422,'SPDR Chart'!$B22,'2025-Q2'!$D$4:$D$422,"N")</f>
        <v>0</v>
      </c>
      <c r="AI22" s="158">
        <f>COUNTIFS('2025-Q2'!$E$4:$E$422,'SPDR Chart'!AI$3,'2025-Q2'!$F$4:$F$422,'SPDR Chart'!$B22,'2025-Q2'!$D$4:$D$422,"N")</f>
        <v>0</v>
      </c>
      <c r="AJ22" s="363">
        <f>COUNTIFS('2025-Q2'!$E$4:$E$422,'SPDR Chart'!AJ$3,'2025-Q2'!$F$4:$F$422,'SPDR Chart'!$B22,'2025-Q2'!$D$4:$D$422,"N")</f>
        <v>0</v>
      </c>
      <c r="AK22" s="457">
        <f t="shared" si="5"/>
        <v>0</v>
      </c>
      <c r="AL22" s="458">
        <f>SUM($AK$4:AK22)/SUM($AK$4:$AK$86)</f>
        <v>2.9850746268656716E-2</v>
      </c>
    </row>
    <row r="23" spans="2:38" x14ac:dyDescent="0.25">
      <c r="B23" s="366">
        <v>45775</v>
      </c>
      <c r="C23" s="158">
        <f>COUNTIFS('2025-Q2'!$E$4:$E$422,'SPDR Chart'!C$3,'2025-Q2'!$F$4:$F$422,'SPDR Chart'!$B23,'2025-Q2'!$D$4:$D$422,"Y")</f>
        <v>0</v>
      </c>
      <c r="D23" s="158">
        <f>COUNTIFS('2025-Q2'!$E$4:$E$422,'SPDR Chart'!D$3,'2025-Q2'!$F$4:$F$422,'SPDR Chart'!$B23,'2025-Q2'!$D$4:$D$422,"Y")</f>
        <v>1</v>
      </c>
      <c r="E23" s="158">
        <f>COUNTIFS('2025-Q2'!$E$4:$E$422,'SPDR Chart'!E$3,'2025-Q2'!$F$4:$F$422,'SPDR Chart'!$B23,'2025-Q2'!$D$4:$D$422,"Y")</f>
        <v>0</v>
      </c>
      <c r="F23" s="158">
        <f>COUNTIFS('2025-Q2'!$E$4:$E$422,'SPDR Chart'!F$3,'2025-Q2'!$F$4:$F$422,'SPDR Chart'!$B23,'2025-Q2'!$D$4:$D$422,"Y")</f>
        <v>0</v>
      </c>
      <c r="G23" s="158">
        <f>COUNTIFS('2025-Q2'!$E$4:$E$422,'SPDR Chart'!G$3,'2025-Q2'!$F$4:$F$422,'SPDR Chart'!$B23,'2025-Q2'!$D$4:$D$422,"Y")</f>
        <v>1</v>
      </c>
      <c r="H23" s="158">
        <f>COUNTIFS('2025-Q2'!$E$4:$E$422,'SPDR Chart'!H$3,'2025-Q2'!$F$4:$F$422,'SPDR Chart'!$B23,'2025-Q2'!$D$4:$D$422,"Y")</f>
        <v>0</v>
      </c>
      <c r="I23" s="158">
        <f>COUNTIFS('2025-Q2'!$E$4:$E$422,'SPDR Chart'!I$3,'2025-Q2'!$F$4:$F$422,'SPDR Chart'!$B23,'2025-Q2'!$D$4:$D$422,"Y")</f>
        <v>0</v>
      </c>
      <c r="J23" s="158">
        <f>COUNTIFS('2025-Q2'!$E$4:$E$422,'SPDR Chart'!J$3,'2025-Q2'!$F$4:$F$422,'SPDR Chart'!$B23,'2025-Q2'!$D$4:$D$422,"Y")</f>
        <v>0</v>
      </c>
      <c r="K23" s="158">
        <f>COUNTIFS('2025-Q2'!$E$4:$E$422,'SPDR Chart'!K$3,'2025-Q2'!$F$4:$F$422,'SPDR Chart'!$B23,'2025-Q2'!$D$4:$D$422,"Y")</f>
        <v>0</v>
      </c>
      <c r="L23" s="158">
        <f>COUNTIFS('2025-Q2'!$E$4:$E$422,'SPDR Chart'!L$3,'2025-Q2'!$F$4:$F$422,'SPDR Chart'!$B23,'2025-Q2'!$D$4:$D$422,"Y")</f>
        <v>1</v>
      </c>
      <c r="M23" s="158">
        <f>COUNTIFS('2025-Q2'!$E$4:$E$422,'SPDR Chart'!M$3,'2025-Q2'!$F$4:$F$422,'SPDR Chart'!$B23,'2025-Q2'!$D$4:$D$422,"Y")</f>
        <v>1</v>
      </c>
      <c r="N23" s="158">
        <f>COUNTIFS('2025-Q2'!$E$4:$E$422,'SPDR Chart'!N$3,'2025-Q2'!$F$4:$F$422,'SPDR Chart'!$B23,'2025-Q2'!$D$4:$D$422,"Y")</f>
        <v>0</v>
      </c>
      <c r="O23" s="158">
        <f>COUNTIFS('2025-Q2'!$E$4:$E$422,'SPDR Chart'!O$3,'2025-Q2'!$F$4:$F$422,'SPDR Chart'!$B23,'2025-Q2'!$D$4:$D$422,"Y")</f>
        <v>3</v>
      </c>
      <c r="P23" s="158">
        <f>COUNTIFS('2025-Q2'!$E$4:$E$422,'SPDR Chart'!P$3,'2025-Q2'!$F$4:$F$422,'SPDR Chart'!$B23,'2025-Q2'!$D$4:$D$422,"Y")</f>
        <v>2</v>
      </c>
      <c r="Q23" s="363">
        <f>COUNTIFS('2025-Q2'!$E$4:$E$422,'SPDR Chart'!Q$3,'2025-Q2'!$F$4:$F$422,'SPDR Chart'!$B23,'2025-Q2'!$D$4:$D$422,"Y")</f>
        <v>0</v>
      </c>
      <c r="R23" s="457">
        <f t="shared" si="4"/>
        <v>9</v>
      </c>
      <c r="S23" s="458">
        <f>SUM($R$4:R23)/SUM($R$4:$R$86)</f>
        <v>0.3554913294797688</v>
      </c>
      <c r="U23" s="366">
        <v>45775</v>
      </c>
      <c r="V23" s="158">
        <f>COUNTIFS('2025-Q2'!$E$4:$E$422,'SPDR Chart'!V$3,'2025-Q2'!$F$4:$F$422,'SPDR Chart'!$B23,'2025-Q2'!$D$4:$D$422,"N")</f>
        <v>0</v>
      </c>
      <c r="W23" s="158">
        <f>COUNTIFS('2025-Q2'!$E$4:$E$422,'SPDR Chart'!W$3,'2025-Q2'!$F$4:$F$422,'SPDR Chart'!$B23,'2025-Q2'!$D$4:$D$422,"N")</f>
        <v>0</v>
      </c>
      <c r="X23" s="158">
        <f>COUNTIFS('2025-Q2'!$E$4:$E$422,'SPDR Chart'!X$3,'2025-Q2'!$F$4:$F$422,'SPDR Chart'!$B23,'2025-Q2'!$D$4:$D$422,"N")</f>
        <v>0</v>
      </c>
      <c r="Y23" s="158">
        <f>COUNTIFS('2025-Q2'!$E$4:$E$422,'SPDR Chart'!Y$3,'2025-Q2'!$F$4:$F$422,'SPDR Chart'!$B23,'2025-Q2'!$D$4:$D$422,"N")</f>
        <v>0</v>
      </c>
      <c r="Z23" s="158">
        <f>COUNTIFS('2025-Q2'!$E$4:$E$422,'SPDR Chart'!Z$3,'2025-Q2'!$F$4:$F$422,'SPDR Chart'!$B23,'2025-Q2'!$D$4:$D$422,"N")</f>
        <v>0</v>
      </c>
      <c r="AA23" s="158">
        <f>COUNTIFS('2025-Q2'!$E$4:$E$422,'SPDR Chart'!AA$3,'2025-Q2'!$F$4:$F$422,'SPDR Chart'!$B23,'2025-Q2'!$D$4:$D$422,"N")</f>
        <v>0</v>
      </c>
      <c r="AB23" s="158">
        <f>COUNTIFS('2025-Q2'!$E$4:$E$422,'SPDR Chart'!AB$3,'2025-Q2'!$F$4:$F$422,'SPDR Chart'!$B23,'2025-Q2'!$D$4:$D$422,"N")</f>
        <v>0</v>
      </c>
      <c r="AC23" s="158">
        <f>COUNTIFS('2025-Q2'!$E$4:$E$422,'SPDR Chart'!AC$3,'2025-Q2'!$F$4:$F$422,'SPDR Chart'!$B23,'2025-Q2'!$D$4:$D$422,"N")</f>
        <v>0</v>
      </c>
      <c r="AD23" s="158">
        <f>COUNTIFS('2025-Q2'!$E$4:$E$422,'SPDR Chart'!AD$3,'2025-Q2'!$F$4:$F$422,'SPDR Chart'!$B23,'2025-Q2'!$D$4:$D$422,"N")</f>
        <v>0</v>
      </c>
      <c r="AE23" s="158">
        <f>COUNTIFS('2025-Q2'!$E$4:$E$422,'SPDR Chart'!AE$3,'2025-Q2'!$F$4:$F$422,'SPDR Chart'!$B23,'2025-Q2'!$D$4:$D$422,"N")</f>
        <v>0</v>
      </c>
      <c r="AF23" s="158">
        <f>COUNTIFS('2025-Q2'!$E$4:$E$422,'SPDR Chart'!AF$3,'2025-Q2'!$F$4:$F$422,'SPDR Chart'!$B23,'2025-Q2'!$D$4:$D$422,"N")</f>
        <v>0</v>
      </c>
      <c r="AG23" s="158">
        <f>COUNTIFS('2025-Q2'!$E$4:$E$422,'SPDR Chart'!AG$3,'2025-Q2'!$F$4:$F$422,'SPDR Chart'!$B23,'2025-Q2'!$D$4:$D$422,"N")</f>
        <v>0</v>
      </c>
      <c r="AH23" s="158">
        <f>COUNTIFS('2025-Q2'!$E$4:$E$422,'SPDR Chart'!AH$3,'2025-Q2'!$F$4:$F$422,'SPDR Chart'!$B23,'2025-Q2'!$D$4:$D$422,"N")</f>
        <v>0</v>
      </c>
      <c r="AI23" s="158">
        <f>COUNTIFS('2025-Q2'!$E$4:$E$422,'SPDR Chart'!AI$3,'2025-Q2'!$F$4:$F$422,'SPDR Chart'!$B23,'2025-Q2'!$D$4:$D$422,"N")</f>
        <v>0</v>
      </c>
      <c r="AJ23" s="363">
        <f>COUNTIFS('2025-Q2'!$E$4:$E$422,'SPDR Chart'!AJ$3,'2025-Q2'!$F$4:$F$422,'SPDR Chart'!$B23,'2025-Q2'!$D$4:$D$422,"N")</f>
        <v>0</v>
      </c>
      <c r="AK23" s="457">
        <f t="shared" si="5"/>
        <v>0</v>
      </c>
      <c r="AL23" s="458">
        <f>SUM($AK$4:AK23)/SUM($AK$4:$AK$86)</f>
        <v>2.9850746268656716E-2</v>
      </c>
    </row>
    <row r="24" spans="2:38" x14ac:dyDescent="0.25">
      <c r="B24" s="366">
        <v>45776</v>
      </c>
      <c r="C24" s="158">
        <f>COUNTIFS('2025-Q2'!$E$4:$E$422,'SPDR Chart'!C$3,'2025-Q2'!$F$4:$F$422,'SPDR Chart'!$B24,'2025-Q2'!$D$4:$D$422,"Y")</f>
        <v>4</v>
      </c>
      <c r="D24" s="158">
        <f>COUNTIFS('2025-Q2'!$E$4:$E$422,'SPDR Chart'!D$3,'2025-Q2'!$F$4:$F$422,'SPDR Chart'!$B24,'2025-Q2'!$D$4:$D$422,"Y")</f>
        <v>5</v>
      </c>
      <c r="E24" s="158">
        <f>COUNTIFS('2025-Q2'!$E$4:$E$422,'SPDR Chart'!E$3,'2025-Q2'!$F$4:$F$422,'SPDR Chart'!$B24,'2025-Q2'!$D$4:$D$422,"Y")</f>
        <v>1</v>
      </c>
      <c r="F24" s="158">
        <f>COUNTIFS('2025-Q2'!$E$4:$E$422,'SPDR Chart'!F$3,'2025-Q2'!$F$4:$F$422,'SPDR Chart'!$B24,'2025-Q2'!$D$4:$D$422,"Y")</f>
        <v>3</v>
      </c>
      <c r="G24" s="158">
        <f>COUNTIFS('2025-Q2'!$E$4:$E$422,'SPDR Chart'!G$3,'2025-Q2'!$F$4:$F$422,'SPDR Chart'!$B24,'2025-Q2'!$D$4:$D$422,"Y")</f>
        <v>3</v>
      </c>
      <c r="H24" s="158">
        <f>COUNTIFS('2025-Q2'!$E$4:$E$422,'SPDR Chart'!H$3,'2025-Q2'!$F$4:$F$422,'SPDR Chart'!$B24,'2025-Q2'!$D$4:$D$422,"Y")</f>
        <v>0</v>
      </c>
      <c r="I24" s="158">
        <f>COUNTIFS('2025-Q2'!$E$4:$E$422,'SPDR Chart'!I$3,'2025-Q2'!$F$4:$F$422,'SPDR Chart'!$B24,'2025-Q2'!$D$4:$D$422,"Y")</f>
        <v>0</v>
      </c>
      <c r="J24" s="158">
        <f>COUNTIFS('2025-Q2'!$E$4:$E$422,'SPDR Chart'!J$3,'2025-Q2'!$F$4:$F$422,'SPDR Chart'!$B24,'2025-Q2'!$D$4:$D$422,"Y")</f>
        <v>5</v>
      </c>
      <c r="K24" s="158">
        <f>COUNTIFS('2025-Q2'!$E$4:$E$422,'SPDR Chart'!K$3,'2025-Q2'!$F$4:$F$422,'SPDR Chart'!$B24,'2025-Q2'!$D$4:$D$422,"Y")</f>
        <v>0</v>
      </c>
      <c r="L24" s="158">
        <f>COUNTIFS('2025-Q2'!$E$4:$E$422,'SPDR Chart'!L$3,'2025-Q2'!$F$4:$F$422,'SPDR Chart'!$B24,'2025-Q2'!$D$4:$D$422,"Y")</f>
        <v>4</v>
      </c>
      <c r="M24" s="158">
        <f>COUNTIFS('2025-Q2'!$E$4:$E$422,'SPDR Chart'!M$3,'2025-Q2'!$F$4:$F$422,'SPDR Chart'!$B24,'2025-Q2'!$D$4:$D$422,"Y")</f>
        <v>4</v>
      </c>
      <c r="N24" s="158">
        <f>COUNTIFS('2025-Q2'!$E$4:$E$422,'SPDR Chart'!N$3,'2025-Q2'!$F$4:$F$422,'SPDR Chart'!$B24,'2025-Q2'!$D$4:$D$422,"Y")</f>
        <v>0</v>
      </c>
      <c r="O24" s="158">
        <f>COUNTIFS('2025-Q2'!$E$4:$E$422,'SPDR Chart'!O$3,'2025-Q2'!$F$4:$F$422,'SPDR Chart'!$B24,'2025-Q2'!$D$4:$D$422,"Y")</f>
        <v>0</v>
      </c>
      <c r="P24" s="158">
        <f>COUNTIFS('2025-Q2'!$E$4:$E$422,'SPDR Chart'!P$3,'2025-Q2'!$F$4:$F$422,'SPDR Chart'!$B24,'2025-Q2'!$D$4:$D$422,"Y")</f>
        <v>1</v>
      </c>
      <c r="Q24" s="363">
        <f>COUNTIFS('2025-Q2'!$E$4:$E$422,'SPDR Chart'!Q$3,'2025-Q2'!$F$4:$F$422,'SPDR Chart'!$B24,'2025-Q2'!$D$4:$D$422,"Y")</f>
        <v>0</v>
      </c>
      <c r="R24" s="457">
        <f t="shared" si="4"/>
        <v>30</v>
      </c>
      <c r="S24" s="458">
        <f>SUM($R$4:R24)/SUM($R$4:$R$86)</f>
        <v>0.44219653179190749</v>
      </c>
      <c r="U24" s="366">
        <v>45776</v>
      </c>
      <c r="V24" s="158">
        <f>COUNTIFS('2025-Q2'!$E$4:$E$422,'SPDR Chart'!V$3,'2025-Q2'!$F$4:$F$422,'SPDR Chart'!$B24,'2025-Q2'!$D$4:$D$422,"N")</f>
        <v>1</v>
      </c>
      <c r="W24" s="158">
        <f>COUNTIFS('2025-Q2'!$E$4:$E$422,'SPDR Chart'!W$3,'2025-Q2'!$F$4:$F$422,'SPDR Chart'!$B24,'2025-Q2'!$D$4:$D$422,"N")</f>
        <v>0</v>
      </c>
      <c r="X24" s="158">
        <f>COUNTIFS('2025-Q2'!$E$4:$E$422,'SPDR Chart'!X$3,'2025-Q2'!$F$4:$F$422,'SPDR Chart'!$B24,'2025-Q2'!$D$4:$D$422,"N")</f>
        <v>0</v>
      </c>
      <c r="Y24" s="158">
        <f>COUNTIFS('2025-Q2'!$E$4:$E$422,'SPDR Chart'!Y$3,'2025-Q2'!$F$4:$F$422,'SPDR Chart'!$B24,'2025-Q2'!$D$4:$D$422,"N")</f>
        <v>1</v>
      </c>
      <c r="Z24" s="158">
        <f>COUNTIFS('2025-Q2'!$E$4:$E$422,'SPDR Chart'!Z$3,'2025-Q2'!$F$4:$F$422,'SPDR Chart'!$B24,'2025-Q2'!$D$4:$D$422,"N")</f>
        <v>0</v>
      </c>
      <c r="AA24" s="158">
        <f>COUNTIFS('2025-Q2'!$E$4:$E$422,'SPDR Chart'!AA$3,'2025-Q2'!$F$4:$F$422,'SPDR Chart'!$B24,'2025-Q2'!$D$4:$D$422,"N")</f>
        <v>0</v>
      </c>
      <c r="AB24" s="158">
        <f>COUNTIFS('2025-Q2'!$E$4:$E$422,'SPDR Chart'!AB$3,'2025-Q2'!$F$4:$F$422,'SPDR Chart'!$B24,'2025-Q2'!$D$4:$D$422,"N")</f>
        <v>0</v>
      </c>
      <c r="AC24" s="158">
        <f>COUNTIFS('2025-Q2'!$E$4:$E$422,'SPDR Chart'!AC$3,'2025-Q2'!$F$4:$F$422,'SPDR Chart'!$B24,'2025-Q2'!$D$4:$D$422,"N")</f>
        <v>0</v>
      </c>
      <c r="AD24" s="158">
        <f>COUNTIFS('2025-Q2'!$E$4:$E$422,'SPDR Chart'!AD$3,'2025-Q2'!$F$4:$F$422,'SPDR Chart'!$B24,'2025-Q2'!$D$4:$D$422,"N")</f>
        <v>0</v>
      </c>
      <c r="AE24" s="158">
        <f>COUNTIFS('2025-Q2'!$E$4:$E$422,'SPDR Chart'!AE$3,'2025-Q2'!$F$4:$F$422,'SPDR Chart'!$B24,'2025-Q2'!$D$4:$D$422,"N")</f>
        <v>0</v>
      </c>
      <c r="AF24" s="158">
        <f>COUNTIFS('2025-Q2'!$E$4:$E$422,'SPDR Chart'!AF$3,'2025-Q2'!$F$4:$F$422,'SPDR Chart'!$B24,'2025-Q2'!$D$4:$D$422,"N")</f>
        <v>0</v>
      </c>
      <c r="AG24" s="158">
        <f>COUNTIFS('2025-Q2'!$E$4:$E$422,'SPDR Chart'!AG$3,'2025-Q2'!$F$4:$F$422,'SPDR Chart'!$B24,'2025-Q2'!$D$4:$D$422,"N")</f>
        <v>0</v>
      </c>
      <c r="AH24" s="158">
        <f>COUNTIFS('2025-Q2'!$E$4:$E$422,'SPDR Chart'!AH$3,'2025-Q2'!$F$4:$F$422,'SPDR Chart'!$B24,'2025-Q2'!$D$4:$D$422,"N")</f>
        <v>0</v>
      </c>
      <c r="AI24" s="158">
        <f>COUNTIFS('2025-Q2'!$E$4:$E$422,'SPDR Chart'!AI$3,'2025-Q2'!$F$4:$F$422,'SPDR Chart'!$B24,'2025-Q2'!$D$4:$D$422,"N")</f>
        <v>0</v>
      </c>
      <c r="AJ24" s="363">
        <f>COUNTIFS('2025-Q2'!$E$4:$E$422,'SPDR Chart'!AJ$3,'2025-Q2'!$F$4:$F$422,'SPDR Chart'!$B24,'2025-Q2'!$D$4:$D$422,"N")</f>
        <v>3</v>
      </c>
      <c r="AK24" s="457">
        <f t="shared" si="5"/>
        <v>5</v>
      </c>
      <c r="AL24" s="458">
        <f>SUM($AK$4:AK24)/SUM($AK$4:$AK$86)</f>
        <v>0.1044776119402985</v>
      </c>
    </row>
    <row r="25" spans="2:38" x14ac:dyDescent="0.25">
      <c r="B25" s="366">
        <v>45777</v>
      </c>
      <c r="C25" s="158">
        <f>COUNTIFS('2025-Q2'!$E$4:$E$422,'SPDR Chart'!C$3,'2025-Q2'!$F$4:$F$422,'SPDR Chart'!$B25,'2025-Q2'!$D$4:$D$422,"Y")</f>
        <v>0</v>
      </c>
      <c r="D25" s="158">
        <f>COUNTIFS('2025-Q2'!$E$4:$E$422,'SPDR Chart'!D$3,'2025-Q2'!$F$4:$F$422,'SPDR Chart'!$B25,'2025-Q2'!$D$4:$D$422,"Y")</f>
        <v>7</v>
      </c>
      <c r="E25" s="158">
        <f>COUNTIFS('2025-Q2'!$E$4:$E$422,'SPDR Chart'!E$3,'2025-Q2'!$F$4:$F$422,'SPDR Chart'!$B25,'2025-Q2'!$D$4:$D$422,"Y")</f>
        <v>0</v>
      </c>
      <c r="F25" s="158">
        <f>COUNTIFS('2025-Q2'!$E$4:$E$422,'SPDR Chart'!F$3,'2025-Q2'!$F$4:$F$422,'SPDR Chart'!$B25,'2025-Q2'!$D$4:$D$422,"Y")</f>
        <v>0</v>
      </c>
      <c r="G25" s="158">
        <f>COUNTIFS('2025-Q2'!$E$4:$E$422,'SPDR Chart'!G$3,'2025-Q2'!$F$4:$F$422,'SPDR Chart'!$B25,'2025-Q2'!$D$4:$D$422,"Y")</f>
        <v>2</v>
      </c>
      <c r="H25" s="158">
        <f>COUNTIFS('2025-Q2'!$E$4:$E$422,'SPDR Chart'!H$3,'2025-Q2'!$F$4:$F$422,'SPDR Chart'!$B25,'2025-Q2'!$D$4:$D$422,"Y")</f>
        <v>0</v>
      </c>
      <c r="I25" s="158">
        <f>COUNTIFS('2025-Q2'!$E$4:$E$422,'SPDR Chart'!I$3,'2025-Q2'!$F$4:$F$422,'SPDR Chart'!$B25,'2025-Q2'!$D$4:$D$422,"Y")</f>
        <v>0</v>
      </c>
      <c r="J25" s="158">
        <f>COUNTIFS('2025-Q2'!$E$4:$E$422,'SPDR Chart'!J$3,'2025-Q2'!$F$4:$F$422,'SPDR Chart'!$B25,'2025-Q2'!$D$4:$D$422,"Y")</f>
        <v>5</v>
      </c>
      <c r="K25" s="158">
        <f>COUNTIFS('2025-Q2'!$E$4:$E$422,'SPDR Chart'!K$3,'2025-Q2'!$F$4:$F$422,'SPDR Chart'!$B25,'2025-Q2'!$D$4:$D$422,"Y")</f>
        <v>1</v>
      </c>
      <c r="L25" s="158">
        <f>COUNTIFS('2025-Q2'!$E$4:$E$422,'SPDR Chart'!L$3,'2025-Q2'!$F$4:$F$422,'SPDR Chart'!$B25,'2025-Q2'!$D$4:$D$422,"Y")</f>
        <v>3</v>
      </c>
      <c r="M25" s="158">
        <f>COUNTIFS('2025-Q2'!$E$4:$E$422,'SPDR Chart'!M$3,'2025-Q2'!$F$4:$F$422,'SPDR Chart'!$B25,'2025-Q2'!$D$4:$D$422,"Y")</f>
        <v>3</v>
      </c>
      <c r="N25" s="158">
        <f>COUNTIFS('2025-Q2'!$E$4:$E$422,'SPDR Chart'!N$3,'2025-Q2'!$F$4:$F$422,'SPDR Chart'!$B25,'2025-Q2'!$D$4:$D$422,"Y")</f>
        <v>0</v>
      </c>
      <c r="O25" s="158">
        <f>COUNTIFS('2025-Q2'!$E$4:$E$422,'SPDR Chart'!O$3,'2025-Q2'!$F$4:$F$422,'SPDR Chart'!$B25,'2025-Q2'!$D$4:$D$422,"Y")</f>
        <v>2</v>
      </c>
      <c r="P25" s="158">
        <f>COUNTIFS('2025-Q2'!$E$4:$E$422,'SPDR Chart'!P$3,'2025-Q2'!$F$4:$F$422,'SPDR Chart'!$B25,'2025-Q2'!$D$4:$D$422,"Y")</f>
        <v>4</v>
      </c>
      <c r="Q25" s="363">
        <f>COUNTIFS('2025-Q2'!$E$4:$E$422,'SPDR Chart'!Q$3,'2025-Q2'!$F$4:$F$422,'SPDR Chart'!$B25,'2025-Q2'!$D$4:$D$422,"Y")</f>
        <v>1</v>
      </c>
      <c r="R25" s="457">
        <f t="shared" si="4"/>
        <v>28</v>
      </c>
      <c r="S25" s="458">
        <f>SUM($R$4:R25)/SUM($R$4:$R$86)</f>
        <v>0.52312138728323698</v>
      </c>
      <c r="U25" s="366">
        <v>45777</v>
      </c>
      <c r="V25" s="158">
        <f>COUNTIFS('2025-Q2'!$E$4:$E$422,'SPDR Chart'!V$3,'2025-Q2'!$F$4:$F$422,'SPDR Chart'!$B25,'2025-Q2'!$D$4:$D$422,"N")</f>
        <v>0</v>
      </c>
      <c r="W25" s="158">
        <f>COUNTIFS('2025-Q2'!$E$4:$E$422,'SPDR Chart'!W$3,'2025-Q2'!$F$4:$F$422,'SPDR Chart'!$B25,'2025-Q2'!$D$4:$D$422,"N")</f>
        <v>0</v>
      </c>
      <c r="X25" s="158">
        <f>COUNTIFS('2025-Q2'!$E$4:$E$422,'SPDR Chart'!X$3,'2025-Q2'!$F$4:$F$422,'SPDR Chart'!$B25,'2025-Q2'!$D$4:$D$422,"N")</f>
        <v>0</v>
      </c>
      <c r="Y25" s="158">
        <f>COUNTIFS('2025-Q2'!$E$4:$E$422,'SPDR Chart'!Y$3,'2025-Q2'!$F$4:$F$422,'SPDR Chart'!$B25,'2025-Q2'!$D$4:$D$422,"N")</f>
        <v>1</v>
      </c>
      <c r="Z25" s="158">
        <f>COUNTIFS('2025-Q2'!$E$4:$E$422,'SPDR Chart'!Z$3,'2025-Q2'!$F$4:$F$422,'SPDR Chart'!$B25,'2025-Q2'!$D$4:$D$422,"N")</f>
        <v>0</v>
      </c>
      <c r="AA25" s="158">
        <f>COUNTIFS('2025-Q2'!$E$4:$E$422,'SPDR Chart'!AA$3,'2025-Q2'!$F$4:$F$422,'SPDR Chart'!$B25,'2025-Q2'!$D$4:$D$422,"N")</f>
        <v>0</v>
      </c>
      <c r="AB25" s="158">
        <f>COUNTIFS('2025-Q2'!$E$4:$E$422,'SPDR Chart'!AB$3,'2025-Q2'!$F$4:$F$422,'SPDR Chart'!$B25,'2025-Q2'!$D$4:$D$422,"N")</f>
        <v>0</v>
      </c>
      <c r="AC25" s="158">
        <f>COUNTIFS('2025-Q2'!$E$4:$E$422,'SPDR Chart'!AC$3,'2025-Q2'!$F$4:$F$422,'SPDR Chart'!$B25,'2025-Q2'!$D$4:$D$422,"N")</f>
        <v>0</v>
      </c>
      <c r="AD25" s="158">
        <f>COUNTIFS('2025-Q2'!$E$4:$E$422,'SPDR Chart'!AD$3,'2025-Q2'!$F$4:$F$422,'SPDR Chart'!$B25,'2025-Q2'!$D$4:$D$422,"N")</f>
        <v>0</v>
      </c>
      <c r="AE25" s="158">
        <f>COUNTIFS('2025-Q2'!$E$4:$E$422,'SPDR Chart'!AE$3,'2025-Q2'!$F$4:$F$422,'SPDR Chart'!$B25,'2025-Q2'!$D$4:$D$422,"N")</f>
        <v>0</v>
      </c>
      <c r="AF25" s="158">
        <f>COUNTIFS('2025-Q2'!$E$4:$E$422,'SPDR Chart'!AF$3,'2025-Q2'!$F$4:$F$422,'SPDR Chart'!$B25,'2025-Q2'!$D$4:$D$422,"N")</f>
        <v>1</v>
      </c>
      <c r="AG25" s="158">
        <f>COUNTIFS('2025-Q2'!$E$4:$E$422,'SPDR Chart'!AG$3,'2025-Q2'!$F$4:$F$422,'SPDR Chart'!$B25,'2025-Q2'!$D$4:$D$422,"N")</f>
        <v>0</v>
      </c>
      <c r="AH25" s="158">
        <f>COUNTIFS('2025-Q2'!$E$4:$E$422,'SPDR Chart'!AH$3,'2025-Q2'!$F$4:$F$422,'SPDR Chart'!$B25,'2025-Q2'!$D$4:$D$422,"N")</f>
        <v>0</v>
      </c>
      <c r="AI25" s="158">
        <f>COUNTIFS('2025-Q2'!$E$4:$E$422,'SPDR Chart'!AI$3,'2025-Q2'!$F$4:$F$422,'SPDR Chart'!$B25,'2025-Q2'!$D$4:$D$422,"N")</f>
        <v>0</v>
      </c>
      <c r="AJ25" s="363">
        <f>COUNTIFS('2025-Q2'!$E$4:$E$422,'SPDR Chart'!AJ$3,'2025-Q2'!$F$4:$F$422,'SPDR Chart'!$B25,'2025-Q2'!$D$4:$D$422,"N")</f>
        <v>2</v>
      </c>
      <c r="AK25" s="457">
        <f t="shared" si="5"/>
        <v>4</v>
      </c>
      <c r="AL25" s="458">
        <f>SUM($AK$4:AK25)/SUM($AK$4:$AK$86)</f>
        <v>0.16417910447761194</v>
      </c>
    </row>
    <row r="26" spans="2:38" x14ac:dyDescent="0.25">
      <c r="B26" s="366">
        <v>45778</v>
      </c>
      <c r="C26" s="158">
        <f>COUNTIFS('2025-Q2'!$E$4:$E$422,'SPDR Chart'!C$3,'2025-Q2'!$F$4:$F$422,'SPDR Chart'!$B26,'2025-Q2'!$D$4:$D$422,"Y")</f>
        <v>4</v>
      </c>
      <c r="D26" s="158">
        <f>COUNTIFS('2025-Q2'!$E$4:$E$422,'SPDR Chart'!D$3,'2025-Q2'!$F$4:$F$422,'SPDR Chart'!$B26,'2025-Q2'!$D$4:$D$422,"Y")</f>
        <v>11</v>
      </c>
      <c r="E26" s="158">
        <f>COUNTIFS('2025-Q2'!$E$4:$E$422,'SPDR Chart'!E$3,'2025-Q2'!$F$4:$F$422,'SPDR Chart'!$B26,'2025-Q2'!$D$4:$D$422,"Y")</f>
        <v>2</v>
      </c>
      <c r="F26" s="158">
        <f>COUNTIFS('2025-Q2'!$E$4:$E$422,'SPDR Chart'!F$3,'2025-Q2'!$F$4:$F$422,'SPDR Chart'!$B26,'2025-Q2'!$D$4:$D$422,"Y")</f>
        <v>4</v>
      </c>
      <c r="G26" s="158">
        <f>COUNTIFS('2025-Q2'!$E$4:$E$422,'SPDR Chart'!G$3,'2025-Q2'!$F$4:$F$422,'SPDR Chart'!$B26,'2025-Q2'!$D$4:$D$422,"Y")</f>
        <v>10</v>
      </c>
      <c r="H26" s="158">
        <f>COUNTIFS('2025-Q2'!$E$4:$E$422,'SPDR Chart'!H$3,'2025-Q2'!$F$4:$F$422,'SPDR Chart'!$B26,'2025-Q2'!$D$4:$D$422,"Y")</f>
        <v>1</v>
      </c>
      <c r="I26" s="158">
        <f>COUNTIFS('2025-Q2'!$E$4:$E$422,'SPDR Chart'!I$3,'2025-Q2'!$F$4:$F$422,'SPDR Chart'!$B26,'2025-Q2'!$D$4:$D$422,"Y")</f>
        <v>0</v>
      </c>
      <c r="J26" s="158">
        <f>COUNTIFS('2025-Q2'!$E$4:$E$422,'SPDR Chart'!J$3,'2025-Q2'!$F$4:$F$422,'SPDR Chart'!$B26,'2025-Q2'!$D$4:$D$422,"Y")</f>
        <v>5</v>
      </c>
      <c r="K26" s="158">
        <f>COUNTIFS('2025-Q2'!$E$4:$E$422,'SPDR Chart'!K$3,'2025-Q2'!$F$4:$F$422,'SPDR Chart'!$B26,'2025-Q2'!$D$4:$D$422,"Y")</f>
        <v>1</v>
      </c>
      <c r="L26" s="158">
        <f>COUNTIFS('2025-Q2'!$E$4:$E$422,'SPDR Chart'!L$3,'2025-Q2'!$F$4:$F$422,'SPDR Chart'!$B26,'2025-Q2'!$D$4:$D$422,"Y")</f>
        <v>3</v>
      </c>
      <c r="M26" s="158">
        <f>COUNTIFS('2025-Q2'!$E$4:$E$422,'SPDR Chart'!M$3,'2025-Q2'!$F$4:$F$422,'SPDR Chart'!$B26,'2025-Q2'!$D$4:$D$422,"Y")</f>
        <v>3</v>
      </c>
      <c r="N26" s="158">
        <f>COUNTIFS('2025-Q2'!$E$4:$E$422,'SPDR Chart'!N$3,'2025-Q2'!$F$4:$F$422,'SPDR Chart'!$B26,'2025-Q2'!$D$4:$D$422,"Y")</f>
        <v>0</v>
      </c>
      <c r="O26" s="158">
        <f>COUNTIFS('2025-Q2'!$E$4:$E$422,'SPDR Chart'!O$3,'2025-Q2'!$F$4:$F$422,'SPDR Chart'!$B26,'2025-Q2'!$D$4:$D$422,"Y")</f>
        <v>1</v>
      </c>
      <c r="P26" s="158">
        <f>COUNTIFS('2025-Q2'!$E$4:$E$422,'SPDR Chart'!P$3,'2025-Q2'!$F$4:$F$422,'SPDR Chart'!$B26,'2025-Q2'!$D$4:$D$422,"Y")</f>
        <v>2</v>
      </c>
      <c r="Q26" s="363">
        <f>COUNTIFS('2025-Q2'!$E$4:$E$422,'SPDR Chart'!Q$3,'2025-Q2'!$F$4:$F$422,'SPDR Chart'!$B26,'2025-Q2'!$D$4:$D$422,"Y")</f>
        <v>0</v>
      </c>
      <c r="R26" s="457">
        <f t="shared" si="4"/>
        <v>47</v>
      </c>
      <c r="S26" s="458">
        <f>SUM($R$4:R26)/SUM($R$4:$R$86)</f>
        <v>0.65895953757225434</v>
      </c>
      <c r="U26" s="366">
        <v>45778</v>
      </c>
      <c r="V26" s="158">
        <f>COUNTIFS('2025-Q2'!$E$4:$E$422,'SPDR Chart'!V$3,'2025-Q2'!$F$4:$F$422,'SPDR Chart'!$B26,'2025-Q2'!$D$4:$D$422,"N")</f>
        <v>0</v>
      </c>
      <c r="W26" s="158">
        <f>COUNTIFS('2025-Q2'!$E$4:$E$422,'SPDR Chart'!W$3,'2025-Q2'!$F$4:$F$422,'SPDR Chart'!$B26,'2025-Q2'!$D$4:$D$422,"N")</f>
        <v>0</v>
      </c>
      <c r="X26" s="158">
        <f>COUNTIFS('2025-Q2'!$E$4:$E$422,'SPDR Chart'!X$3,'2025-Q2'!$F$4:$F$422,'SPDR Chart'!$B26,'2025-Q2'!$D$4:$D$422,"N")</f>
        <v>0</v>
      </c>
      <c r="Y26" s="158">
        <f>COUNTIFS('2025-Q2'!$E$4:$E$422,'SPDR Chart'!Y$3,'2025-Q2'!$F$4:$F$422,'SPDR Chart'!$B26,'2025-Q2'!$D$4:$D$422,"N")</f>
        <v>0</v>
      </c>
      <c r="Z26" s="158">
        <f>COUNTIFS('2025-Q2'!$E$4:$E$422,'SPDR Chart'!Z$3,'2025-Q2'!$F$4:$F$422,'SPDR Chart'!$B26,'2025-Q2'!$D$4:$D$422,"N")</f>
        <v>0</v>
      </c>
      <c r="AA26" s="158">
        <f>COUNTIFS('2025-Q2'!$E$4:$E$422,'SPDR Chart'!AA$3,'2025-Q2'!$F$4:$F$422,'SPDR Chart'!$B26,'2025-Q2'!$D$4:$D$422,"N")</f>
        <v>0</v>
      </c>
      <c r="AB26" s="158">
        <f>COUNTIFS('2025-Q2'!$E$4:$E$422,'SPDR Chart'!AB$3,'2025-Q2'!$F$4:$F$422,'SPDR Chart'!$B26,'2025-Q2'!$D$4:$D$422,"N")</f>
        <v>0</v>
      </c>
      <c r="AC26" s="158">
        <f>COUNTIFS('2025-Q2'!$E$4:$E$422,'SPDR Chart'!AC$3,'2025-Q2'!$F$4:$F$422,'SPDR Chart'!$B26,'2025-Q2'!$D$4:$D$422,"N")</f>
        <v>0</v>
      </c>
      <c r="AD26" s="158">
        <f>COUNTIFS('2025-Q2'!$E$4:$E$422,'SPDR Chart'!AD$3,'2025-Q2'!$F$4:$F$422,'SPDR Chart'!$B26,'2025-Q2'!$D$4:$D$422,"N")</f>
        <v>1</v>
      </c>
      <c r="AE26" s="158">
        <f>COUNTIFS('2025-Q2'!$E$4:$E$422,'SPDR Chart'!AE$3,'2025-Q2'!$F$4:$F$422,'SPDR Chart'!$B26,'2025-Q2'!$D$4:$D$422,"N")</f>
        <v>0</v>
      </c>
      <c r="AF26" s="158">
        <f>COUNTIFS('2025-Q2'!$E$4:$E$422,'SPDR Chart'!AF$3,'2025-Q2'!$F$4:$F$422,'SPDR Chart'!$B26,'2025-Q2'!$D$4:$D$422,"N")</f>
        <v>0</v>
      </c>
      <c r="AG26" s="158">
        <f>COUNTIFS('2025-Q2'!$E$4:$E$422,'SPDR Chart'!AG$3,'2025-Q2'!$F$4:$F$422,'SPDR Chart'!$B26,'2025-Q2'!$D$4:$D$422,"N")</f>
        <v>0</v>
      </c>
      <c r="AH26" s="158">
        <f>COUNTIFS('2025-Q2'!$E$4:$E$422,'SPDR Chart'!AH$3,'2025-Q2'!$F$4:$F$422,'SPDR Chart'!$B26,'2025-Q2'!$D$4:$D$422,"N")</f>
        <v>0</v>
      </c>
      <c r="AI26" s="158">
        <f>COUNTIFS('2025-Q2'!$E$4:$E$422,'SPDR Chart'!AI$3,'2025-Q2'!$F$4:$F$422,'SPDR Chart'!$B26,'2025-Q2'!$D$4:$D$422,"N")</f>
        <v>0</v>
      </c>
      <c r="AJ26" s="363">
        <f>COUNTIFS('2025-Q2'!$E$4:$E$422,'SPDR Chart'!AJ$3,'2025-Q2'!$F$4:$F$422,'SPDR Chart'!$B26,'2025-Q2'!$D$4:$D$422,"N")</f>
        <v>3</v>
      </c>
      <c r="AK26" s="457">
        <f t="shared" si="5"/>
        <v>4</v>
      </c>
      <c r="AL26" s="458">
        <f>SUM($AK$4:AK26)/SUM($AK$4:$AK$86)</f>
        <v>0.22388059701492538</v>
      </c>
    </row>
    <row r="27" spans="2:38" x14ac:dyDescent="0.25">
      <c r="B27" s="366">
        <v>45779</v>
      </c>
      <c r="C27" s="158">
        <f>COUNTIFS('2025-Q2'!$E$4:$E$422,'SPDR Chart'!C$3,'2025-Q2'!$F$4:$F$422,'SPDR Chart'!$B27,'2025-Q2'!$D$4:$D$422,"Y")</f>
        <v>0</v>
      </c>
      <c r="D27" s="158">
        <f>COUNTIFS('2025-Q2'!$E$4:$E$422,'SPDR Chart'!D$3,'2025-Q2'!$F$4:$F$422,'SPDR Chart'!$B27,'2025-Q2'!$D$4:$D$422,"Y")</f>
        <v>1</v>
      </c>
      <c r="E27" s="158">
        <f>COUNTIFS('2025-Q2'!$E$4:$E$422,'SPDR Chart'!E$3,'2025-Q2'!$F$4:$F$422,'SPDR Chart'!$B27,'2025-Q2'!$D$4:$D$422,"Y")</f>
        <v>0</v>
      </c>
      <c r="F27" s="158">
        <f>COUNTIFS('2025-Q2'!$E$4:$E$422,'SPDR Chart'!F$3,'2025-Q2'!$F$4:$F$422,'SPDR Chart'!$B27,'2025-Q2'!$D$4:$D$422,"Y")</f>
        <v>2</v>
      </c>
      <c r="G27" s="158">
        <f>COUNTIFS('2025-Q2'!$E$4:$E$422,'SPDR Chart'!G$3,'2025-Q2'!$F$4:$F$422,'SPDR Chart'!$B27,'2025-Q2'!$D$4:$D$422,"Y")</f>
        <v>0</v>
      </c>
      <c r="H27" s="158">
        <f>COUNTIFS('2025-Q2'!$E$4:$E$422,'SPDR Chart'!H$3,'2025-Q2'!$F$4:$F$422,'SPDR Chart'!$B27,'2025-Q2'!$D$4:$D$422,"Y")</f>
        <v>2</v>
      </c>
      <c r="I27" s="158">
        <f>COUNTIFS('2025-Q2'!$E$4:$E$422,'SPDR Chart'!I$3,'2025-Q2'!$F$4:$F$422,'SPDR Chart'!$B27,'2025-Q2'!$D$4:$D$422,"Y")</f>
        <v>0</v>
      </c>
      <c r="J27" s="158">
        <f>COUNTIFS('2025-Q2'!$E$4:$E$422,'SPDR Chart'!J$3,'2025-Q2'!$F$4:$F$422,'SPDR Chart'!$B27,'2025-Q2'!$D$4:$D$422,"Y")</f>
        <v>0</v>
      </c>
      <c r="K27" s="158">
        <f>COUNTIFS('2025-Q2'!$E$4:$E$422,'SPDR Chart'!K$3,'2025-Q2'!$F$4:$F$422,'SPDR Chart'!$B27,'2025-Q2'!$D$4:$D$422,"Y")</f>
        <v>0</v>
      </c>
      <c r="L27" s="158">
        <f>COUNTIFS('2025-Q2'!$E$4:$E$422,'SPDR Chart'!L$3,'2025-Q2'!$F$4:$F$422,'SPDR Chart'!$B27,'2025-Q2'!$D$4:$D$422,"Y")</f>
        <v>0</v>
      </c>
      <c r="M27" s="158">
        <f>COUNTIFS('2025-Q2'!$E$4:$E$422,'SPDR Chart'!M$3,'2025-Q2'!$F$4:$F$422,'SPDR Chart'!$B27,'2025-Q2'!$D$4:$D$422,"Y")</f>
        <v>0</v>
      </c>
      <c r="N27" s="158">
        <f>COUNTIFS('2025-Q2'!$E$4:$E$422,'SPDR Chart'!N$3,'2025-Q2'!$F$4:$F$422,'SPDR Chart'!$B27,'2025-Q2'!$D$4:$D$422,"Y")</f>
        <v>0</v>
      </c>
      <c r="O27" s="158">
        <f>COUNTIFS('2025-Q2'!$E$4:$E$422,'SPDR Chart'!O$3,'2025-Q2'!$F$4:$F$422,'SPDR Chart'!$B27,'2025-Q2'!$D$4:$D$422,"Y")</f>
        <v>0</v>
      </c>
      <c r="P27" s="158">
        <f>COUNTIFS('2025-Q2'!$E$4:$E$422,'SPDR Chart'!P$3,'2025-Q2'!$F$4:$F$422,'SPDR Chart'!$B27,'2025-Q2'!$D$4:$D$422,"Y")</f>
        <v>0</v>
      </c>
      <c r="Q27" s="363">
        <f>COUNTIFS('2025-Q2'!$E$4:$E$422,'SPDR Chart'!Q$3,'2025-Q2'!$F$4:$F$422,'SPDR Chart'!$B27,'2025-Q2'!$D$4:$D$422,"Y")</f>
        <v>0</v>
      </c>
      <c r="R27" s="457">
        <f t="shared" si="4"/>
        <v>5</v>
      </c>
      <c r="S27" s="458">
        <f>SUM($R$4:R27)/SUM($R$4:$R$86)</f>
        <v>0.67341040462427748</v>
      </c>
      <c r="U27" s="366">
        <v>45779</v>
      </c>
      <c r="V27" s="158">
        <f>COUNTIFS('2025-Q2'!$E$4:$E$422,'SPDR Chart'!V$3,'2025-Q2'!$F$4:$F$422,'SPDR Chart'!$B27,'2025-Q2'!$D$4:$D$422,"N")</f>
        <v>0</v>
      </c>
      <c r="W27" s="158">
        <f>COUNTIFS('2025-Q2'!$E$4:$E$422,'SPDR Chart'!W$3,'2025-Q2'!$F$4:$F$422,'SPDR Chart'!$B27,'2025-Q2'!$D$4:$D$422,"N")</f>
        <v>0</v>
      </c>
      <c r="X27" s="158">
        <f>COUNTIFS('2025-Q2'!$E$4:$E$422,'SPDR Chart'!X$3,'2025-Q2'!$F$4:$F$422,'SPDR Chart'!$B27,'2025-Q2'!$D$4:$D$422,"N")</f>
        <v>0</v>
      </c>
      <c r="Y27" s="158">
        <f>COUNTIFS('2025-Q2'!$E$4:$E$422,'SPDR Chart'!Y$3,'2025-Q2'!$F$4:$F$422,'SPDR Chart'!$B27,'2025-Q2'!$D$4:$D$422,"N")</f>
        <v>0</v>
      </c>
      <c r="Z27" s="158">
        <f>COUNTIFS('2025-Q2'!$E$4:$E$422,'SPDR Chart'!Z$3,'2025-Q2'!$F$4:$F$422,'SPDR Chart'!$B27,'2025-Q2'!$D$4:$D$422,"N")</f>
        <v>0</v>
      </c>
      <c r="AA27" s="158">
        <f>COUNTIFS('2025-Q2'!$E$4:$E$422,'SPDR Chart'!AA$3,'2025-Q2'!$F$4:$F$422,'SPDR Chart'!$B27,'2025-Q2'!$D$4:$D$422,"N")</f>
        <v>0</v>
      </c>
      <c r="AB27" s="158">
        <f>COUNTIFS('2025-Q2'!$E$4:$E$422,'SPDR Chart'!AB$3,'2025-Q2'!$F$4:$F$422,'SPDR Chart'!$B27,'2025-Q2'!$D$4:$D$422,"N")</f>
        <v>0</v>
      </c>
      <c r="AC27" s="158">
        <f>COUNTIFS('2025-Q2'!$E$4:$E$422,'SPDR Chart'!AC$3,'2025-Q2'!$F$4:$F$422,'SPDR Chart'!$B27,'2025-Q2'!$D$4:$D$422,"N")</f>
        <v>0</v>
      </c>
      <c r="AD27" s="158">
        <f>COUNTIFS('2025-Q2'!$E$4:$E$422,'SPDR Chart'!AD$3,'2025-Q2'!$F$4:$F$422,'SPDR Chart'!$B27,'2025-Q2'!$D$4:$D$422,"N")</f>
        <v>0</v>
      </c>
      <c r="AE27" s="158">
        <f>COUNTIFS('2025-Q2'!$E$4:$E$422,'SPDR Chart'!AE$3,'2025-Q2'!$F$4:$F$422,'SPDR Chart'!$B27,'2025-Q2'!$D$4:$D$422,"N")</f>
        <v>0</v>
      </c>
      <c r="AF27" s="158">
        <f>COUNTIFS('2025-Q2'!$E$4:$E$422,'SPDR Chart'!AF$3,'2025-Q2'!$F$4:$F$422,'SPDR Chart'!$B27,'2025-Q2'!$D$4:$D$422,"N")</f>
        <v>0</v>
      </c>
      <c r="AG27" s="158">
        <f>COUNTIFS('2025-Q2'!$E$4:$E$422,'SPDR Chart'!AG$3,'2025-Q2'!$F$4:$F$422,'SPDR Chart'!$B27,'2025-Q2'!$D$4:$D$422,"N")</f>
        <v>0</v>
      </c>
      <c r="AH27" s="158">
        <f>COUNTIFS('2025-Q2'!$E$4:$E$422,'SPDR Chart'!AH$3,'2025-Q2'!$F$4:$F$422,'SPDR Chart'!$B27,'2025-Q2'!$D$4:$D$422,"N")</f>
        <v>0</v>
      </c>
      <c r="AI27" s="158">
        <f>COUNTIFS('2025-Q2'!$E$4:$E$422,'SPDR Chart'!AI$3,'2025-Q2'!$F$4:$F$422,'SPDR Chart'!$B27,'2025-Q2'!$D$4:$D$422,"N")</f>
        <v>0</v>
      </c>
      <c r="AJ27" s="363">
        <f>COUNTIFS('2025-Q2'!$E$4:$E$422,'SPDR Chart'!AJ$3,'2025-Q2'!$F$4:$F$422,'SPDR Chart'!$B27,'2025-Q2'!$D$4:$D$422,"N")</f>
        <v>0</v>
      </c>
      <c r="AK27" s="457">
        <f t="shared" si="5"/>
        <v>0</v>
      </c>
      <c r="AL27" s="458">
        <f>SUM($AK$4:AK27)/SUM($AK$4:$AK$86)</f>
        <v>0.22388059701492538</v>
      </c>
    </row>
    <row r="28" spans="2:38" x14ac:dyDescent="0.25">
      <c r="B28" s="366">
        <v>45780</v>
      </c>
      <c r="C28" s="158">
        <f>COUNTIFS('2025-Q2'!$E$4:$E$422,'SPDR Chart'!C$3,'2025-Q2'!$F$4:$F$422,'SPDR Chart'!$B28,'2025-Q2'!$D$4:$D$422,"Y")</f>
        <v>0</v>
      </c>
      <c r="D28" s="158">
        <f>COUNTIFS('2025-Q2'!$E$4:$E$422,'SPDR Chart'!D$3,'2025-Q2'!$F$4:$F$422,'SPDR Chart'!$B28,'2025-Q2'!$D$4:$D$422,"Y")</f>
        <v>0</v>
      </c>
      <c r="E28" s="158">
        <f>COUNTIFS('2025-Q2'!$E$4:$E$422,'SPDR Chart'!E$3,'2025-Q2'!$F$4:$F$422,'SPDR Chart'!$B28,'2025-Q2'!$D$4:$D$422,"Y")</f>
        <v>0</v>
      </c>
      <c r="F28" s="158">
        <f>COUNTIFS('2025-Q2'!$E$4:$E$422,'SPDR Chart'!F$3,'2025-Q2'!$F$4:$F$422,'SPDR Chart'!$B28,'2025-Q2'!$D$4:$D$422,"Y")</f>
        <v>0</v>
      </c>
      <c r="G28" s="158">
        <f>COUNTIFS('2025-Q2'!$E$4:$E$422,'SPDR Chart'!G$3,'2025-Q2'!$F$4:$F$422,'SPDR Chart'!$B28,'2025-Q2'!$D$4:$D$422,"Y")</f>
        <v>0</v>
      </c>
      <c r="H28" s="158">
        <f>COUNTIFS('2025-Q2'!$E$4:$E$422,'SPDR Chart'!H$3,'2025-Q2'!$F$4:$F$422,'SPDR Chart'!$B28,'2025-Q2'!$D$4:$D$422,"Y")</f>
        <v>0</v>
      </c>
      <c r="I28" s="158">
        <f>COUNTIFS('2025-Q2'!$E$4:$E$422,'SPDR Chart'!I$3,'2025-Q2'!$F$4:$F$422,'SPDR Chart'!$B28,'2025-Q2'!$D$4:$D$422,"Y")</f>
        <v>0</v>
      </c>
      <c r="J28" s="158">
        <f>COUNTIFS('2025-Q2'!$E$4:$E$422,'SPDR Chart'!J$3,'2025-Q2'!$F$4:$F$422,'SPDR Chart'!$B28,'2025-Q2'!$D$4:$D$422,"Y")</f>
        <v>0</v>
      </c>
      <c r="K28" s="158">
        <f>COUNTIFS('2025-Q2'!$E$4:$E$422,'SPDR Chart'!K$3,'2025-Q2'!$F$4:$F$422,'SPDR Chart'!$B28,'2025-Q2'!$D$4:$D$422,"Y")</f>
        <v>0</v>
      </c>
      <c r="L28" s="158">
        <f>COUNTIFS('2025-Q2'!$E$4:$E$422,'SPDR Chart'!L$3,'2025-Q2'!$F$4:$F$422,'SPDR Chart'!$B28,'2025-Q2'!$D$4:$D$422,"Y")</f>
        <v>0</v>
      </c>
      <c r="M28" s="158">
        <f>COUNTIFS('2025-Q2'!$E$4:$E$422,'SPDR Chart'!M$3,'2025-Q2'!$F$4:$F$422,'SPDR Chart'!$B28,'2025-Q2'!$D$4:$D$422,"Y")</f>
        <v>0</v>
      </c>
      <c r="N28" s="158">
        <f>COUNTIFS('2025-Q2'!$E$4:$E$422,'SPDR Chart'!N$3,'2025-Q2'!$F$4:$F$422,'SPDR Chart'!$B28,'2025-Q2'!$D$4:$D$422,"Y")</f>
        <v>0</v>
      </c>
      <c r="O28" s="158">
        <f>COUNTIFS('2025-Q2'!$E$4:$E$422,'SPDR Chart'!O$3,'2025-Q2'!$F$4:$F$422,'SPDR Chart'!$B28,'2025-Q2'!$D$4:$D$422,"Y")</f>
        <v>0</v>
      </c>
      <c r="P28" s="158">
        <f>COUNTIFS('2025-Q2'!$E$4:$E$422,'SPDR Chart'!P$3,'2025-Q2'!$F$4:$F$422,'SPDR Chart'!$B28,'2025-Q2'!$D$4:$D$422,"Y")</f>
        <v>0</v>
      </c>
      <c r="Q28" s="363">
        <f>COUNTIFS('2025-Q2'!$E$4:$E$422,'SPDR Chart'!Q$3,'2025-Q2'!$F$4:$F$422,'SPDR Chart'!$B28,'2025-Q2'!$D$4:$D$422,"Y")</f>
        <v>0</v>
      </c>
      <c r="R28" s="457">
        <f t="shared" si="4"/>
        <v>0</v>
      </c>
      <c r="S28" s="458">
        <f>SUM($R$4:R28)/SUM($R$4:$R$86)</f>
        <v>0.67341040462427748</v>
      </c>
      <c r="U28" s="366">
        <v>45780</v>
      </c>
      <c r="V28" s="158">
        <f>COUNTIFS('2025-Q2'!$E$4:$E$422,'SPDR Chart'!V$3,'2025-Q2'!$F$4:$F$422,'SPDR Chart'!$B28,'2025-Q2'!$D$4:$D$422,"N")</f>
        <v>0</v>
      </c>
      <c r="W28" s="158">
        <f>COUNTIFS('2025-Q2'!$E$4:$E$422,'SPDR Chart'!W$3,'2025-Q2'!$F$4:$F$422,'SPDR Chart'!$B28,'2025-Q2'!$D$4:$D$422,"N")</f>
        <v>0</v>
      </c>
      <c r="X28" s="158">
        <f>COUNTIFS('2025-Q2'!$E$4:$E$422,'SPDR Chart'!X$3,'2025-Q2'!$F$4:$F$422,'SPDR Chart'!$B28,'2025-Q2'!$D$4:$D$422,"N")</f>
        <v>0</v>
      </c>
      <c r="Y28" s="158">
        <f>COUNTIFS('2025-Q2'!$E$4:$E$422,'SPDR Chart'!Y$3,'2025-Q2'!$F$4:$F$422,'SPDR Chart'!$B28,'2025-Q2'!$D$4:$D$422,"N")</f>
        <v>0</v>
      </c>
      <c r="Z28" s="158">
        <f>COUNTIFS('2025-Q2'!$E$4:$E$422,'SPDR Chart'!Z$3,'2025-Q2'!$F$4:$F$422,'SPDR Chart'!$B28,'2025-Q2'!$D$4:$D$422,"N")</f>
        <v>0</v>
      </c>
      <c r="AA28" s="158">
        <f>COUNTIFS('2025-Q2'!$E$4:$E$422,'SPDR Chart'!AA$3,'2025-Q2'!$F$4:$F$422,'SPDR Chart'!$B28,'2025-Q2'!$D$4:$D$422,"N")</f>
        <v>0</v>
      </c>
      <c r="AB28" s="158">
        <f>COUNTIFS('2025-Q2'!$E$4:$E$422,'SPDR Chart'!AB$3,'2025-Q2'!$F$4:$F$422,'SPDR Chart'!$B28,'2025-Q2'!$D$4:$D$422,"N")</f>
        <v>0</v>
      </c>
      <c r="AC28" s="158">
        <f>COUNTIFS('2025-Q2'!$E$4:$E$422,'SPDR Chart'!AC$3,'2025-Q2'!$F$4:$F$422,'SPDR Chart'!$B28,'2025-Q2'!$D$4:$D$422,"N")</f>
        <v>0</v>
      </c>
      <c r="AD28" s="158">
        <f>COUNTIFS('2025-Q2'!$E$4:$E$422,'SPDR Chart'!AD$3,'2025-Q2'!$F$4:$F$422,'SPDR Chart'!$B28,'2025-Q2'!$D$4:$D$422,"N")</f>
        <v>0</v>
      </c>
      <c r="AE28" s="158">
        <f>COUNTIFS('2025-Q2'!$E$4:$E$422,'SPDR Chart'!AE$3,'2025-Q2'!$F$4:$F$422,'SPDR Chart'!$B28,'2025-Q2'!$D$4:$D$422,"N")</f>
        <v>0</v>
      </c>
      <c r="AF28" s="158">
        <f>COUNTIFS('2025-Q2'!$E$4:$E$422,'SPDR Chart'!AF$3,'2025-Q2'!$F$4:$F$422,'SPDR Chart'!$B28,'2025-Q2'!$D$4:$D$422,"N")</f>
        <v>0</v>
      </c>
      <c r="AG28" s="158">
        <f>COUNTIFS('2025-Q2'!$E$4:$E$422,'SPDR Chart'!AG$3,'2025-Q2'!$F$4:$F$422,'SPDR Chart'!$B28,'2025-Q2'!$D$4:$D$422,"N")</f>
        <v>0</v>
      </c>
      <c r="AH28" s="158">
        <f>COUNTIFS('2025-Q2'!$E$4:$E$422,'SPDR Chart'!AH$3,'2025-Q2'!$F$4:$F$422,'SPDR Chart'!$B28,'2025-Q2'!$D$4:$D$422,"N")</f>
        <v>0</v>
      </c>
      <c r="AI28" s="158">
        <f>COUNTIFS('2025-Q2'!$E$4:$E$422,'SPDR Chart'!AI$3,'2025-Q2'!$F$4:$F$422,'SPDR Chart'!$B28,'2025-Q2'!$D$4:$D$422,"N")</f>
        <v>0</v>
      </c>
      <c r="AJ28" s="363">
        <f>COUNTIFS('2025-Q2'!$E$4:$E$422,'SPDR Chart'!AJ$3,'2025-Q2'!$F$4:$F$422,'SPDR Chart'!$B28,'2025-Q2'!$D$4:$D$422,"N")</f>
        <v>0</v>
      </c>
      <c r="AK28" s="457">
        <f t="shared" si="5"/>
        <v>0</v>
      </c>
      <c r="AL28" s="458">
        <f>SUM($AK$4:AK28)/SUM($AK$4:$AK$86)</f>
        <v>0.22388059701492538</v>
      </c>
    </row>
    <row r="29" spans="2:38" x14ac:dyDescent="0.25">
      <c r="B29" s="366">
        <v>45781</v>
      </c>
      <c r="C29" s="158">
        <f>COUNTIFS('2025-Q2'!$E$4:$E$422,'SPDR Chart'!C$3,'2025-Q2'!$F$4:$F$422,'SPDR Chart'!$B29,'2025-Q2'!$D$4:$D$422,"Y")</f>
        <v>0</v>
      </c>
      <c r="D29" s="158">
        <f>COUNTIFS('2025-Q2'!$E$4:$E$422,'SPDR Chart'!D$3,'2025-Q2'!$F$4:$F$422,'SPDR Chart'!$B29,'2025-Q2'!$D$4:$D$422,"Y")</f>
        <v>0</v>
      </c>
      <c r="E29" s="158">
        <f>COUNTIFS('2025-Q2'!$E$4:$E$422,'SPDR Chart'!E$3,'2025-Q2'!$F$4:$F$422,'SPDR Chart'!$B29,'2025-Q2'!$D$4:$D$422,"Y")</f>
        <v>0</v>
      </c>
      <c r="F29" s="158">
        <f>COUNTIFS('2025-Q2'!$E$4:$E$422,'SPDR Chart'!F$3,'2025-Q2'!$F$4:$F$422,'SPDR Chart'!$B29,'2025-Q2'!$D$4:$D$422,"Y")</f>
        <v>0</v>
      </c>
      <c r="G29" s="158">
        <f>COUNTIFS('2025-Q2'!$E$4:$E$422,'SPDR Chart'!G$3,'2025-Q2'!$F$4:$F$422,'SPDR Chart'!$B29,'2025-Q2'!$D$4:$D$422,"Y")</f>
        <v>0</v>
      </c>
      <c r="H29" s="158">
        <f>COUNTIFS('2025-Q2'!$E$4:$E$422,'SPDR Chart'!H$3,'2025-Q2'!$F$4:$F$422,'SPDR Chart'!$B29,'2025-Q2'!$D$4:$D$422,"Y")</f>
        <v>0</v>
      </c>
      <c r="I29" s="158">
        <f>COUNTIFS('2025-Q2'!$E$4:$E$422,'SPDR Chart'!I$3,'2025-Q2'!$F$4:$F$422,'SPDR Chart'!$B29,'2025-Q2'!$D$4:$D$422,"Y")</f>
        <v>0</v>
      </c>
      <c r="J29" s="158">
        <f>COUNTIFS('2025-Q2'!$E$4:$E$422,'SPDR Chart'!J$3,'2025-Q2'!$F$4:$F$422,'SPDR Chart'!$B29,'2025-Q2'!$D$4:$D$422,"Y")</f>
        <v>0</v>
      </c>
      <c r="K29" s="158">
        <f>COUNTIFS('2025-Q2'!$E$4:$E$422,'SPDR Chart'!K$3,'2025-Q2'!$F$4:$F$422,'SPDR Chart'!$B29,'2025-Q2'!$D$4:$D$422,"Y")</f>
        <v>0</v>
      </c>
      <c r="L29" s="158">
        <f>COUNTIFS('2025-Q2'!$E$4:$E$422,'SPDR Chart'!L$3,'2025-Q2'!$F$4:$F$422,'SPDR Chart'!$B29,'2025-Q2'!$D$4:$D$422,"Y")</f>
        <v>0</v>
      </c>
      <c r="M29" s="158">
        <f>COUNTIFS('2025-Q2'!$E$4:$E$422,'SPDR Chart'!M$3,'2025-Q2'!$F$4:$F$422,'SPDR Chart'!$B29,'2025-Q2'!$D$4:$D$422,"Y")</f>
        <v>0</v>
      </c>
      <c r="N29" s="158">
        <f>COUNTIFS('2025-Q2'!$E$4:$E$422,'SPDR Chart'!N$3,'2025-Q2'!$F$4:$F$422,'SPDR Chart'!$B29,'2025-Q2'!$D$4:$D$422,"Y")</f>
        <v>0</v>
      </c>
      <c r="O29" s="158">
        <f>COUNTIFS('2025-Q2'!$E$4:$E$422,'SPDR Chart'!O$3,'2025-Q2'!$F$4:$F$422,'SPDR Chart'!$B29,'2025-Q2'!$D$4:$D$422,"Y")</f>
        <v>0</v>
      </c>
      <c r="P29" s="158">
        <f>COUNTIFS('2025-Q2'!$E$4:$E$422,'SPDR Chart'!P$3,'2025-Q2'!$F$4:$F$422,'SPDR Chart'!$B29,'2025-Q2'!$D$4:$D$422,"Y")</f>
        <v>0</v>
      </c>
      <c r="Q29" s="363">
        <f>COUNTIFS('2025-Q2'!$E$4:$E$422,'SPDR Chart'!Q$3,'2025-Q2'!$F$4:$F$422,'SPDR Chart'!$B29,'2025-Q2'!$D$4:$D$422,"Y")</f>
        <v>0</v>
      </c>
      <c r="R29" s="457">
        <f t="shared" si="4"/>
        <v>0</v>
      </c>
      <c r="S29" s="458">
        <f>SUM($R$4:R29)/SUM($R$4:$R$86)</f>
        <v>0.67341040462427748</v>
      </c>
      <c r="U29" s="366">
        <v>45781</v>
      </c>
      <c r="V29" s="158">
        <f>COUNTIFS('2025-Q2'!$E$4:$E$422,'SPDR Chart'!V$3,'2025-Q2'!$F$4:$F$422,'SPDR Chart'!$B29,'2025-Q2'!$D$4:$D$422,"N")</f>
        <v>0</v>
      </c>
      <c r="W29" s="158">
        <f>COUNTIFS('2025-Q2'!$E$4:$E$422,'SPDR Chart'!W$3,'2025-Q2'!$F$4:$F$422,'SPDR Chart'!$B29,'2025-Q2'!$D$4:$D$422,"N")</f>
        <v>0</v>
      </c>
      <c r="X29" s="158">
        <f>COUNTIFS('2025-Q2'!$E$4:$E$422,'SPDR Chart'!X$3,'2025-Q2'!$F$4:$F$422,'SPDR Chart'!$B29,'2025-Q2'!$D$4:$D$422,"N")</f>
        <v>0</v>
      </c>
      <c r="Y29" s="158">
        <f>COUNTIFS('2025-Q2'!$E$4:$E$422,'SPDR Chart'!Y$3,'2025-Q2'!$F$4:$F$422,'SPDR Chart'!$B29,'2025-Q2'!$D$4:$D$422,"N")</f>
        <v>0</v>
      </c>
      <c r="Z29" s="158">
        <f>COUNTIFS('2025-Q2'!$E$4:$E$422,'SPDR Chart'!Z$3,'2025-Q2'!$F$4:$F$422,'SPDR Chart'!$B29,'2025-Q2'!$D$4:$D$422,"N")</f>
        <v>0</v>
      </c>
      <c r="AA29" s="158">
        <f>COUNTIFS('2025-Q2'!$E$4:$E$422,'SPDR Chart'!AA$3,'2025-Q2'!$F$4:$F$422,'SPDR Chart'!$B29,'2025-Q2'!$D$4:$D$422,"N")</f>
        <v>0</v>
      </c>
      <c r="AB29" s="158">
        <f>COUNTIFS('2025-Q2'!$E$4:$E$422,'SPDR Chart'!AB$3,'2025-Q2'!$F$4:$F$422,'SPDR Chart'!$B29,'2025-Q2'!$D$4:$D$422,"N")</f>
        <v>0</v>
      </c>
      <c r="AC29" s="158">
        <f>COUNTIFS('2025-Q2'!$E$4:$E$422,'SPDR Chart'!AC$3,'2025-Q2'!$F$4:$F$422,'SPDR Chart'!$B29,'2025-Q2'!$D$4:$D$422,"N")</f>
        <v>0</v>
      </c>
      <c r="AD29" s="158">
        <f>COUNTIFS('2025-Q2'!$E$4:$E$422,'SPDR Chart'!AD$3,'2025-Q2'!$F$4:$F$422,'SPDR Chart'!$B29,'2025-Q2'!$D$4:$D$422,"N")</f>
        <v>0</v>
      </c>
      <c r="AE29" s="158">
        <f>COUNTIFS('2025-Q2'!$E$4:$E$422,'SPDR Chart'!AE$3,'2025-Q2'!$F$4:$F$422,'SPDR Chart'!$B29,'2025-Q2'!$D$4:$D$422,"N")</f>
        <v>0</v>
      </c>
      <c r="AF29" s="158">
        <f>COUNTIFS('2025-Q2'!$E$4:$E$422,'SPDR Chart'!AF$3,'2025-Q2'!$F$4:$F$422,'SPDR Chart'!$B29,'2025-Q2'!$D$4:$D$422,"N")</f>
        <v>0</v>
      </c>
      <c r="AG29" s="158">
        <f>COUNTIFS('2025-Q2'!$E$4:$E$422,'SPDR Chart'!AG$3,'2025-Q2'!$F$4:$F$422,'SPDR Chart'!$B29,'2025-Q2'!$D$4:$D$422,"N")</f>
        <v>0</v>
      </c>
      <c r="AH29" s="158">
        <f>COUNTIFS('2025-Q2'!$E$4:$E$422,'SPDR Chart'!AH$3,'2025-Q2'!$F$4:$F$422,'SPDR Chart'!$B29,'2025-Q2'!$D$4:$D$422,"N")</f>
        <v>0</v>
      </c>
      <c r="AI29" s="158">
        <f>COUNTIFS('2025-Q2'!$E$4:$E$422,'SPDR Chart'!AI$3,'2025-Q2'!$F$4:$F$422,'SPDR Chart'!$B29,'2025-Q2'!$D$4:$D$422,"N")</f>
        <v>0</v>
      </c>
      <c r="AJ29" s="363">
        <f>COUNTIFS('2025-Q2'!$E$4:$E$422,'SPDR Chart'!AJ$3,'2025-Q2'!$F$4:$F$422,'SPDR Chart'!$B29,'2025-Q2'!$D$4:$D$422,"N")</f>
        <v>0</v>
      </c>
      <c r="AK29" s="457">
        <f t="shared" si="5"/>
        <v>0</v>
      </c>
      <c r="AL29" s="458">
        <f>SUM($AK$4:AK29)/SUM($AK$4:$AK$86)</f>
        <v>0.22388059701492538</v>
      </c>
    </row>
    <row r="30" spans="2:38" x14ac:dyDescent="0.25">
      <c r="B30" s="366">
        <v>45782</v>
      </c>
      <c r="C30" s="158">
        <f>COUNTIFS('2025-Q2'!$E$4:$E$422,'SPDR Chart'!C$3,'2025-Q2'!$F$4:$F$422,'SPDR Chart'!$B30,'2025-Q2'!$D$4:$D$422,"Y")</f>
        <v>2</v>
      </c>
      <c r="D30" s="158">
        <f>COUNTIFS('2025-Q2'!$E$4:$E$422,'SPDR Chart'!D$3,'2025-Q2'!$F$4:$F$422,'SPDR Chart'!$B30,'2025-Q2'!$D$4:$D$422,"Y")</f>
        <v>1</v>
      </c>
      <c r="E30" s="158">
        <f>COUNTIFS('2025-Q2'!$E$4:$E$422,'SPDR Chart'!E$3,'2025-Q2'!$F$4:$F$422,'SPDR Chart'!$B30,'2025-Q2'!$D$4:$D$422,"Y")</f>
        <v>0</v>
      </c>
      <c r="F30" s="158">
        <f>COUNTIFS('2025-Q2'!$E$4:$E$422,'SPDR Chart'!F$3,'2025-Q2'!$F$4:$F$422,'SPDR Chart'!$B30,'2025-Q2'!$D$4:$D$422,"Y")</f>
        <v>0</v>
      </c>
      <c r="G30" s="158">
        <f>COUNTIFS('2025-Q2'!$E$4:$E$422,'SPDR Chart'!G$3,'2025-Q2'!$F$4:$F$422,'SPDR Chart'!$B30,'2025-Q2'!$D$4:$D$422,"Y")</f>
        <v>2</v>
      </c>
      <c r="H30" s="158">
        <f>COUNTIFS('2025-Q2'!$E$4:$E$422,'SPDR Chart'!H$3,'2025-Q2'!$F$4:$F$422,'SPDR Chart'!$B30,'2025-Q2'!$D$4:$D$422,"Y")</f>
        <v>1</v>
      </c>
      <c r="I30" s="158">
        <f>COUNTIFS('2025-Q2'!$E$4:$E$422,'SPDR Chart'!I$3,'2025-Q2'!$F$4:$F$422,'SPDR Chart'!$B30,'2025-Q2'!$D$4:$D$422,"Y")</f>
        <v>0</v>
      </c>
      <c r="J30" s="158">
        <f>COUNTIFS('2025-Q2'!$E$4:$E$422,'SPDR Chart'!J$3,'2025-Q2'!$F$4:$F$422,'SPDR Chart'!$B30,'2025-Q2'!$D$4:$D$422,"Y")</f>
        <v>0</v>
      </c>
      <c r="K30" s="158">
        <f>COUNTIFS('2025-Q2'!$E$4:$E$422,'SPDR Chart'!K$3,'2025-Q2'!$F$4:$F$422,'SPDR Chart'!$B30,'2025-Q2'!$D$4:$D$422,"Y")</f>
        <v>0</v>
      </c>
      <c r="L30" s="158">
        <f>COUNTIFS('2025-Q2'!$E$4:$E$422,'SPDR Chart'!L$3,'2025-Q2'!$F$4:$F$422,'SPDR Chart'!$B30,'2025-Q2'!$D$4:$D$422,"Y")</f>
        <v>0</v>
      </c>
      <c r="M30" s="158">
        <f>COUNTIFS('2025-Q2'!$E$4:$E$422,'SPDR Chart'!M$3,'2025-Q2'!$F$4:$F$422,'SPDR Chart'!$B30,'2025-Q2'!$D$4:$D$422,"Y")</f>
        <v>0</v>
      </c>
      <c r="N30" s="158">
        <f>COUNTIFS('2025-Q2'!$E$4:$E$422,'SPDR Chart'!N$3,'2025-Q2'!$F$4:$F$422,'SPDR Chart'!$B30,'2025-Q2'!$D$4:$D$422,"Y")</f>
        <v>0</v>
      </c>
      <c r="O30" s="158">
        <f>COUNTIFS('2025-Q2'!$E$4:$E$422,'SPDR Chart'!O$3,'2025-Q2'!$F$4:$F$422,'SPDR Chart'!$B30,'2025-Q2'!$D$4:$D$422,"Y")</f>
        <v>1</v>
      </c>
      <c r="P30" s="158">
        <f>COUNTIFS('2025-Q2'!$E$4:$E$422,'SPDR Chart'!P$3,'2025-Q2'!$F$4:$F$422,'SPDR Chart'!$B30,'2025-Q2'!$D$4:$D$422,"Y")</f>
        <v>0</v>
      </c>
      <c r="Q30" s="363">
        <f>COUNTIFS('2025-Q2'!$E$4:$E$422,'SPDR Chart'!Q$3,'2025-Q2'!$F$4:$F$422,'SPDR Chart'!$B30,'2025-Q2'!$D$4:$D$422,"Y")</f>
        <v>1</v>
      </c>
      <c r="R30" s="457">
        <f t="shared" si="4"/>
        <v>8</v>
      </c>
      <c r="S30" s="458">
        <f>SUM($R$4:R30)/SUM($R$4:$R$86)</f>
        <v>0.69653179190751446</v>
      </c>
      <c r="U30" s="366">
        <v>45782</v>
      </c>
      <c r="V30" s="158">
        <f>COUNTIFS('2025-Q2'!$E$4:$E$422,'SPDR Chart'!V$3,'2025-Q2'!$F$4:$F$422,'SPDR Chart'!$B30,'2025-Q2'!$D$4:$D$422,"N")</f>
        <v>0</v>
      </c>
      <c r="W30" s="158">
        <f>COUNTIFS('2025-Q2'!$E$4:$E$422,'SPDR Chart'!W$3,'2025-Q2'!$F$4:$F$422,'SPDR Chart'!$B30,'2025-Q2'!$D$4:$D$422,"N")</f>
        <v>0</v>
      </c>
      <c r="X30" s="158">
        <f>COUNTIFS('2025-Q2'!$E$4:$E$422,'SPDR Chart'!X$3,'2025-Q2'!$F$4:$F$422,'SPDR Chart'!$B30,'2025-Q2'!$D$4:$D$422,"N")</f>
        <v>0</v>
      </c>
      <c r="Y30" s="158">
        <f>COUNTIFS('2025-Q2'!$E$4:$E$422,'SPDR Chart'!Y$3,'2025-Q2'!$F$4:$F$422,'SPDR Chart'!$B30,'2025-Q2'!$D$4:$D$422,"N")</f>
        <v>0</v>
      </c>
      <c r="Z30" s="158">
        <f>COUNTIFS('2025-Q2'!$E$4:$E$422,'SPDR Chart'!Z$3,'2025-Q2'!$F$4:$F$422,'SPDR Chart'!$B30,'2025-Q2'!$D$4:$D$422,"N")</f>
        <v>0</v>
      </c>
      <c r="AA30" s="158">
        <f>COUNTIFS('2025-Q2'!$E$4:$E$422,'SPDR Chart'!AA$3,'2025-Q2'!$F$4:$F$422,'SPDR Chart'!$B30,'2025-Q2'!$D$4:$D$422,"N")</f>
        <v>0</v>
      </c>
      <c r="AB30" s="158">
        <f>COUNTIFS('2025-Q2'!$E$4:$E$422,'SPDR Chart'!AB$3,'2025-Q2'!$F$4:$F$422,'SPDR Chart'!$B30,'2025-Q2'!$D$4:$D$422,"N")</f>
        <v>0</v>
      </c>
      <c r="AC30" s="158">
        <f>COUNTIFS('2025-Q2'!$E$4:$E$422,'SPDR Chart'!AC$3,'2025-Q2'!$F$4:$F$422,'SPDR Chart'!$B30,'2025-Q2'!$D$4:$D$422,"N")</f>
        <v>1</v>
      </c>
      <c r="AD30" s="158">
        <f>COUNTIFS('2025-Q2'!$E$4:$E$422,'SPDR Chart'!AD$3,'2025-Q2'!$F$4:$F$422,'SPDR Chart'!$B30,'2025-Q2'!$D$4:$D$422,"N")</f>
        <v>0</v>
      </c>
      <c r="AE30" s="158">
        <f>COUNTIFS('2025-Q2'!$E$4:$E$422,'SPDR Chart'!AE$3,'2025-Q2'!$F$4:$F$422,'SPDR Chart'!$B30,'2025-Q2'!$D$4:$D$422,"N")</f>
        <v>0</v>
      </c>
      <c r="AF30" s="158">
        <f>COUNTIFS('2025-Q2'!$E$4:$E$422,'SPDR Chart'!AF$3,'2025-Q2'!$F$4:$F$422,'SPDR Chart'!$B30,'2025-Q2'!$D$4:$D$422,"N")</f>
        <v>1</v>
      </c>
      <c r="AG30" s="158">
        <f>COUNTIFS('2025-Q2'!$E$4:$E$422,'SPDR Chart'!AG$3,'2025-Q2'!$F$4:$F$422,'SPDR Chart'!$B30,'2025-Q2'!$D$4:$D$422,"N")</f>
        <v>0</v>
      </c>
      <c r="AH30" s="158">
        <f>COUNTIFS('2025-Q2'!$E$4:$E$422,'SPDR Chart'!AH$3,'2025-Q2'!$F$4:$F$422,'SPDR Chart'!$B30,'2025-Q2'!$D$4:$D$422,"N")</f>
        <v>0</v>
      </c>
      <c r="AI30" s="158">
        <f>COUNTIFS('2025-Q2'!$E$4:$E$422,'SPDR Chart'!AI$3,'2025-Q2'!$F$4:$F$422,'SPDR Chart'!$B30,'2025-Q2'!$D$4:$D$422,"N")</f>
        <v>0</v>
      </c>
      <c r="AJ30" s="363">
        <f>COUNTIFS('2025-Q2'!$E$4:$E$422,'SPDR Chart'!AJ$3,'2025-Q2'!$F$4:$F$422,'SPDR Chart'!$B30,'2025-Q2'!$D$4:$D$422,"N")</f>
        <v>0</v>
      </c>
      <c r="AK30" s="457">
        <f t="shared" si="5"/>
        <v>2</v>
      </c>
      <c r="AL30" s="458">
        <f>SUM($AK$4:AK30)/SUM($AK$4:$AK$86)</f>
        <v>0.2537313432835821</v>
      </c>
    </row>
    <row r="31" spans="2:38" x14ac:dyDescent="0.25">
      <c r="B31" s="366">
        <v>45783</v>
      </c>
      <c r="C31" s="158">
        <f>COUNTIFS('2025-Q2'!$E$4:$E$422,'SPDR Chart'!C$3,'2025-Q2'!$F$4:$F$422,'SPDR Chart'!$B31,'2025-Q2'!$D$4:$D$422,"Y")</f>
        <v>1</v>
      </c>
      <c r="D31" s="158">
        <f>COUNTIFS('2025-Q2'!$E$4:$E$422,'SPDR Chart'!D$3,'2025-Q2'!$F$4:$F$422,'SPDR Chart'!$B31,'2025-Q2'!$D$4:$D$422,"Y")</f>
        <v>2</v>
      </c>
      <c r="E31" s="158">
        <f>COUNTIFS('2025-Q2'!$E$4:$E$422,'SPDR Chart'!E$3,'2025-Q2'!$F$4:$F$422,'SPDR Chart'!$B31,'2025-Q2'!$D$4:$D$422,"Y")</f>
        <v>0</v>
      </c>
      <c r="F31" s="158">
        <f>COUNTIFS('2025-Q2'!$E$4:$E$422,'SPDR Chart'!F$3,'2025-Q2'!$F$4:$F$422,'SPDR Chart'!$B31,'2025-Q2'!$D$4:$D$422,"Y")</f>
        <v>3</v>
      </c>
      <c r="G31" s="158">
        <f>COUNTIFS('2025-Q2'!$E$4:$E$422,'SPDR Chart'!G$3,'2025-Q2'!$F$4:$F$422,'SPDR Chart'!$B31,'2025-Q2'!$D$4:$D$422,"Y")</f>
        <v>3</v>
      </c>
      <c r="H31" s="158">
        <f>COUNTIFS('2025-Q2'!$E$4:$E$422,'SPDR Chart'!H$3,'2025-Q2'!$F$4:$F$422,'SPDR Chart'!$B31,'2025-Q2'!$D$4:$D$422,"Y")</f>
        <v>1</v>
      </c>
      <c r="I31" s="158">
        <f>COUNTIFS('2025-Q2'!$E$4:$E$422,'SPDR Chart'!I$3,'2025-Q2'!$F$4:$F$422,'SPDR Chart'!$B31,'2025-Q2'!$D$4:$D$422,"Y")</f>
        <v>0</v>
      </c>
      <c r="J31" s="158">
        <f>COUNTIFS('2025-Q2'!$E$4:$E$422,'SPDR Chart'!J$3,'2025-Q2'!$F$4:$F$422,'SPDR Chart'!$B31,'2025-Q2'!$D$4:$D$422,"Y")</f>
        <v>3</v>
      </c>
      <c r="K31" s="158">
        <f>COUNTIFS('2025-Q2'!$E$4:$E$422,'SPDR Chart'!K$3,'2025-Q2'!$F$4:$F$422,'SPDR Chart'!$B31,'2025-Q2'!$D$4:$D$422,"Y")</f>
        <v>0</v>
      </c>
      <c r="L31" s="158">
        <f>COUNTIFS('2025-Q2'!$E$4:$E$422,'SPDR Chart'!L$3,'2025-Q2'!$F$4:$F$422,'SPDR Chart'!$B31,'2025-Q2'!$D$4:$D$422,"Y")</f>
        <v>2</v>
      </c>
      <c r="M31" s="158">
        <f>COUNTIFS('2025-Q2'!$E$4:$E$422,'SPDR Chart'!M$3,'2025-Q2'!$F$4:$F$422,'SPDR Chart'!$B31,'2025-Q2'!$D$4:$D$422,"Y")</f>
        <v>3</v>
      </c>
      <c r="N31" s="158">
        <f>COUNTIFS('2025-Q2'!$E$4:$E$422,'SPDR Chart'!N$3,'2025-Q2'!$F$4:$F$422,'SPDR Chart'!$B31,'2025-Q2'!$D$4:$D$422,"Y")</f>
        <v>0</v>
      </c>
      <c r="O31" s="158">
        <f>COUNTIFS('2025-Q2'!$E$4:$E$422,'SPDR Chart'!O$3,'2025-Q2'!$F$4:$F$422,'SPDR Chart'!$B31,'2025-Q2'!$D$4:$D$422,"Y")</f>
        <v>1</v>
      </c>
      <c r="P31" s="158">
        <f>COUNTIFS('2025-Q2'!$E$4:$E$422,'SPDR Chart'!P$3,'2025-Q2'!$F$4:$F$422,'SPDR Chart'!$B31,'2025-Q2'!$D$4:$D$422,"Y")</f>
        <v>1</v>
      </c>
      <c r="Q31" s="363">
        <f>COUNTIFS('2025-Q2'!$E$4:$E$422,'SPDR Chart'!Q$3,'2025-Q2'!$F$4:$F$422,'SPDR Chart'!$B31,'2025-Q2'!$D$4:$D$422,"Y")</f>
        <v>3</v>
      </c>
      <c r="R31" s="457">
        <f t="shared" si="4"/>
        <v>23</v>
      </c>
      <c r="S31" s="458">
        <f>SUM($R$4:R31)/SUM($R$4:$R$86)</f>
        <v>0.76300578034682076</v>
      </c>
      <c r="U31" s="366">
        <v>45783</v>
      </c>
      <c r="V31" s="158">
        <f>COUNTIFS('2025-Q2'!$E$4:$E$422,'SPDR Chart'!V$3,'2025-Q2'!$F$4:$F$422,'SPDR Chart'!$B31,'2025-Q2'!$D$4:$D$422,"N")</f>
        <v>0</v>
      </c>
      <c r="W31" s="158">
        <f>COUNTIFS('2025-Q2'!$E$4:$E$422,'SPDR Chart'!W$3,'2025-Q2'!$F$4:$F$422,'SPDR Chart'!$B31,'2025-Q2'!$D$4:$D$422,"N")</f>
        <v>0</v>
      </c>
      <c r="X31" s="158">
        <f>COUNTIFS('2025-Q2'!$E$4:$E$422,'SPDR Chart'!X$3,'2025-Q2'!$F$4:$F$422,'SPDR Chart'!$B31,'2025-Q2'!$D$4:$D$422,"N")</f>
        <v>0</v>
      </c>
      <c r="Y31" s="158">
        <f>COUNTIFS('2025-Q2'!$E$4:$E$422,'SPDR Chart'!Y$3,'2025-Q2'!$F$4:$F$422,'SPDR Chart'!$B31,'2025-Q2'!$D$4:$D$422,"N")</f>
        <v>0</v>
      </c>
      <c r="Z31" s="158">
        <f>COUNTIFS('2025-Q2'!$E$4:$E$422,'SPDR Chart'!Z$3,'2025-Q2'!$F$4:$F$422,'SPDR Chart'!$B31,'2025-Q2'!$D$4:$D$422,"N")</f>
        <v>0</v>
      </c>
      <c r="AA31" s="158">
        <f>COUNTIFS('2025-Q2'!$E$4:$E$422,'SPDR Chart'!AA$3,'2025-Q2'!$F$4:$F$422,'SPDR Chart'!$B31,'2025-Q2'!$D$4:$D$422,"N")</f>
        <v>0</v>
      </c>
      <c r="AB31" s="158">
        <f>COUNTIFS('2025-Q2'!$E$4:$E$422,'SPDR Chart'!AB$3,'2025-Q2'!$F$4:$F$422,'SPDR Chart'!$B31,'2025-Q2'!$D$4:$D$422,"N")</f>
        <v>0</v>
      </c>
      <c r="AC31" s="158">
        <f>COUNTIFS('2025-Q2'!$E$4:$E$422,'SPDR Chart'!AC$3,'2025-Q2'!$F$4:$F$422,'SPDR Chart'!$B31,'2025-Q2'!$D$4:$D$422,"N")</f>
        <v>1</v>
      </c>
      <c r="AD31" s="158">
        <f>COUNTIFS('2025-Q2'!$E$4:$E$422,'SPDR Chart'!AD$3,'2025-Q2'!$F$4:$F$422,'SPDR Chart'!$B31,'2025-Q2'!$D$4:$D$422,"N")</f>
        <v>0</v>
      </c>
      <c r="AE31" s="158">
        <f>COUNTIFS('2025-Q2'!$E$4:$E$422,'SPDR Chart'!AE$3,'2025-Q2'!$F$4:$F$422,'SPDR Chart'!$B31,'2025-Q2'!$D$4:$D$422,"N")</f>
        <v>0</v>
      </c>
      <c r="AF31" s="158">
        <f>COUNTIFS('2025-Q2'!$E$4:$E$422,'SPDR Chart'!AF$3,'2025-Q2'!$F$4:$F$422,'SPDR Chart'!$B31,'2025-Q2'!$D$4:$D$422,"N")</f>
        <v>0</v>
      </c>
      <c r="AG31" s="158">
        <f>COUNTIFS('2025-Q2'!$E$4:$E$422,'SPDR Chart'!AG$3,'2025-Q2'!$F$4:$F$422,'SPDR Chart'!$B31,'2025-Q2'!$D$4:$D$422,"N")</f>
        <v>0</v>
      </c>
      <c r="AH31" s="158">
        <f>COUNTIFS('2025-Q2'!$E$4:$E$422,'SPDR Chart'!AH$3,'2025-Q2'!$F$4:$F$422,'SPDR Chart'!$B31,'2025-Q2'!$D$4:$D$422,"N")</f>
        <v>0</v>
      </c>
      <c r="AI31" s="158">
        <f>COUNTIFS('2025-Q2'!$E$4:$E$422,'SPDR Chart'!AI$3,'2025-Q2'!$F$4:$F$422,'SPDR Chart'!$B31,'2025-Q2'!$D$4:$D$422,"N")</f>
        <v>0</v>
      </c>
      <c r="AJ31" s="363">
        <f>COUNTIFS('2025-Q2'!$E$4:$E$422,'SPDR Chart'!AJ$3,'2025-Q2'!$F$4:$F$422,'SPDR Chart'!$B31,'2025-Q2'!$D$4:$D$422,"N")</f>
        <v>3</v>
      </c>
      <c r="AK31" s="457">
        <f t="shared" si="5"/>
        <v>4</v>
      </c>
      <c r="AL31" s="458">
        <f>SUM($AK$4:AK31)/SUM($AK$4:$AK$86)</f>
        <v>0.31343283582089554</v>
      </c>
    </row>
    <row r="32" spans="2:38" x14ac:dyDescent="0.25">
      <c r="B32" s="366">
        <v>45784</v>
      </c>
      <c r="C32" s="158">
        <f>COUNTIFS('2025-Q2'!$E$4:$E$422,'SPDR Chart'!C$3,'2025-Q2'!$F$4:$F$422,'SPDR Chart'!$B32,'2025-Q2'!$D$4:$D$422,"Y")</f>
        <v>1</v>
      </c>
      <c r="D32" s="158">
        <f>COUNTIFS('2025-Q2'!$E$4:$E$422,'SPDR Chart'!D$3,'2025-Q2'!$F$4:$F$422,'SPDR Chart'!$B32,'2025-Q2'!$D$4:$D$422,"Y")</f>
        <v>7</v>
      </c>
      <c r="E32" s="158">
        <f>COUNTIFS('2025-Q2'!$E$4:$E$422,'SPDR Chart'!E$3,'2025-Q2'!$F$4:$F$422,'SPDR Chart'!$B32,'2025-Q2'!$D$4:$D$422,"Y")</f>
        <v>0</v>
      </c>
      <c r="F32" s="158">
        <f>COUNTIFS('2025-Q2'!$E$4:$E$422,'SPDR Chart'!F$3,'2025-Q2'!$F$4:$F$422,'SPDR Chart'!$B32,'2025-Q2'!$D$4:$D$422,"Y")</f>
        <v>1</v>
      </c>
      <c r="G32" s="158">
        <f>COUNTIFS('2025-Q2'!$E$4:$E$422,'SPDR Chart'!G$3,'2025-Q2'!$F$4:$F$422,'SPDR Chart'!$B32,'2025-Q2'!$D$4:$D$422,"Y")</f>
        <v>2</v>
      </c>
      <c r="H32" s="158">
        <f>COUNTIFS('2025-Q2'!$E$4:$E$422,'SPDR Chart'!H$3,'2025-Q2'!$F$4:$F$422,'SPDR Chart'!$B32,'2025-Q2'!$D$4:$D$422,"Y")</f>
        <v>0</v>
      </c>
      <c r="I32" s="158">
        <f>COUNTIFS('2025-Q2'!$E$4:$E$422,'SPDR Chart'!I$3,'2025-Q2'!$F$4:$F$422,'SPDR Chart'!$B32,'2025-Q2'!$D$4:$D$422,"Y")</f>
        <v>0</v>
      </c>
      <c r="J32" s="158">
        <f>COUNTIFS('2025-Q2'!$E$4:$E$422,'SPDR Chart'!J$3,'2025-Q2'!$F$4:$F$422,'SPDR Chart'!$B32,'2025-Q2'!$D$4:$D$422,"Y")</f>
        <v>0</v>
      </c>
      <c r="K32" s="158">
        <f>COUNTIFS('2025-Q2'!$E$4:$E$422,'SPDR Chart'!K$3,'2025-Q2'!$F$4:$F$422,'SPDR Chart'!$B32,'2025-Q2'!$D$4:$D$422,"Y")</f>
        <v>1</v>
      </c>
      <c r="L32" s="158">
        <f>COUNTIFS('2025-Q2'!$E$4:$E$422,'SPDR Chart'!L$3,'2025-Q2'!$F$4:$F$422,'SPDR Chart'!$B32,'2025-Q2'!$D$4:$D$422,"Y")</f>
        <v>2</v>
      </c>
      <c r="M32" s="158">
        <f>COUNTIFS('2025-Q2'!$E$4:$E$422,'SPDR Chart'!M$3,'2025-Q2'!$F$4:$F$422,'SPDR Chart'!$B32,'2025-Q2'!$D$4:$D$422,"Y")</f>
        <v>2</v>
      </c>
      <c r="N32" s="158">
        <f>COUNTIFS('2025-Q2'!$E$4:$E$422,'SPDR Chart'!N$3,'2025-Q2'!$F$4:$F$422,'SPDR Chart'!$B32,'2025-Q2'!$D$4:$D$422,"Y")</f>
        <v>0</v>
      </c>
      <c r="O32" s="158">
        <f>COUNTIFS('2025-Q2'!$E$4:$E$422,'SPDR Chart'!O$3,'2025-Q2'!$F$4:$F$422,'SPDR Chart'!$B32,'2025-Q2'!$D$4:$D$422,"Y")</f>
        <v>1</v>
      </c>
      <c r="P32" s="158">
        <f>COUNTIFS('2025-Q2'!$E$4:$E$422,'SPDR Chart'!P$3,'2025-Q2'!$F$4:$F$422,'SPDR Chart'!$B32,'2025-Q2'!$D$4:$D$422,"Y")</f>
        <v>0</v>
      </c>
      <c r="Q32" s="363">
        <f>COUNTIFS('2025-Q2'!$E$4:$E$422,'SPDR Chart'!Q$3,'2025-Q2'!$F$4:$F$422,'SPDR Chart'!$B32,'2025-Q2'!$D$4:$D$422,"Y")</f>
        <v>1</v>
      </c>
      <c r="R32" s="457">
        <f t="shared" si="4"/>
        <v>18</v>
      </c>
      <c r="S32" s="458">
        <f>SUM($R$4:R32)/SUM($R$4:$R$86)</f>
        <v>0.81502890173410403</v>
      </c>
      <c r="U32" s="366">
        <v>45784</v>
      </c>
      <c r="V32" s="158">
        <f>COUNTIFS('2025-Q2'!$E$4:$E$422,'SPDR Chart'!V$3,'2025-Q2'!$F$4:$F$422,'SPDR Chart'!$B32,'2025-Q2'!$D$4:$D$422,"N")</f>
        <v>0</v>
      </c>
      <c r="W32" s="158">
        <f>COUNTIFS('2025-Q2'!$E$4:$E$422,'SPDR Chart'!W$3,'2025-Q2'!$F$4:$F$422,'SPDR Chart'!$B32,'2025-Q2'!$D$4:$D$422,"N")</f>
        <v>0</v>
      </c>
      <c r="X32" s="158">
        <f>COUNTIFS('2025-Q2'!$E$4:$E$422,'SPDR Chart'!X$3,'2025-Q2'!$F$4:$F$422,'SPDR Chart'!$B32,'2025-Q2'!$D$4:$D$422,"N")</f>
        <v>0</v>
      </c>
      <c r="Y32" s="158">
        <f>COUNTIFS('2025-Q2'!$E$4:$E$422,'SPDR Chart'!Y$3,'2025-Q2'!$F$4:$F$422,'SPDR Chart'!$B32,'2025-Q2'!$D$4:$D$422,"N")</f>
        <v>0</v>
      </c>
      <c r="Z32" s="158">
        <f>COUNTIFS('2025-Q2'!$E$4:$E$422,'SPDR Chart'!Z$3,'2025-Q2'!$F$4:$F$422,'SPDR Chart'!$B32,'2025-Q2'!$D$4:$D$422,"N")</f>
        <v>0</v>
      </c>
      <c r="AA32" s="158">
        <f>COUNTIFS('2025-Q2'!$E$4:$E$422,'SPDR Chart'!AA$3,'2025-Q2'!$F$4:$F$422,'SPDR Chart'!$B32,'2025-Q2'!$D$4:$D$422,"N")</f>
        <v>0</v>
      </c>
      <c r="AB32" s="158">
        <f>COUNTIFS('2025-Q2'!$E$4:$E$422,'SPDR Chart'!AB$3,'2025-Q2'!$F$4:$F$422,'SPDR Chart'!$B32,'2025-Q2'!$D$4:$D$422,"N")</f>
        <v>0</v>
      </c>
      <c r="AC32" s="158">
        <f>COUNTIFS('2025-Q2'!$E$4:$E$422,'SPDR Chart'!AC$3,'2025-Q2'!$F$4:$F$422,'SPDR Chart'!$B32,'2025-Q2'!$D$4:$D$422,"N")</f>
        <v>1</v>
      </c>
      <c r="AD32" s="158">
        <f>COUNTIFS('2025-Q2'!$E$4:$E$422,'SPDR Chart'!AD$3,'2025-Q2'!$F$4:$F$422,'SPDR Chart'!$B32,'2025-Q2'!$D$4:$D$422,"N")</f>
        <v>0</v>
      </c>
      <c r="AE32" s="158">
        <f>COUNTIFS('2025-Q2'!$E$4:$E$422,'SPDR Chart'!AE$3,'2025-Q2'!$F$4:$F$422,'SPDR Chart'!$B32,'2025-Q2'!$D$4:$D$422,"N")</f>
        <v>0</v>
      </c>
      <c r="AF32" s="158">
        <f>COUNTIFS('2025-Q2'!$E$4:$E$422,'SPDR Chart'!AF$3,'2025-Q2'!$F$4:$F$422,'SPDR Chart'!$B32,'2025-Q2'!$D$4:$D$422,"N")</f>
        <v>1</v>
      </c>
      <c r="AG32" s="158">
        <f>COUNTIFS('2025-Q2'!$E$4:$E$422,'SPDR Chart'!AG$3,'2025-Q2'!$F$4:$F$422,'SPDR Chart'!$B32,'2025-Q2'!$D$4:$D$422,"N")</f>
        <v>0</v>
      </c>
      <c r="AH32" s="158">
        <f>COUNTIFS('2025-Q2'!$E$4:$E$422,'SPDR Chart'!AH$3,'2025-Q2'!$F$4:$F$422,'SPDR Chart'!$B32,'2025-Q2'!$D$4:$D$422,"N")</f>
        <v>0</v>
      </c>
      <c r="AI32" s="158">
        <f>COUNTIFS('2025-Q2'!$E$4:$E$422,'SPDR Chart'!AI$3,'2025-Q2'!$F$4:$F$422,'SPDR Chart'!$B32,'2025-Q2'!$D$4:$D$422,"N")</f>
        <v>0</v>
      </c>
      <c r="AJ32" s="363">
        <f>COUNTIFS('2025-Q2'!$E$4:$E$422,'SPDR Chart'!AJ$3,'2025-Q2'!$F$4:$F$422,'SPDR Chart'!$B32,'2025-Q2'!$D$4:$D$422,"N")</f>
        <v>2</v>
      </c>
      <c r="AK32" s="457">
        <f t="shared" si="5"/>
        <v>4</v>
      </c>
      <c r="AL32" s="458">
        <f>SUM($AK$4:AK32)/SUM($AK$4:$AK$86)</f>
        <v>0.37313432835820898</v>
      </c>
    </row>
    <row r="33" spans="2:38" x14ac:dyDescent="0.25">
      <c r="B33" s="366">
        <v>45785</v>
      </c>
      <c r="C33" s="158">
        <f>COUNTIFS('2025-Q2'!$E$4:$E$422,'SPDR Chart'!C$3,'2025-Q2'!$F$4:$F$422,'SPDR Chart'!$B33,'2025-Q2'!$D$4:$D$422,"Y")</f>
        <v>2</v>
      </c>
      <c r="D33" s="158">
        <f>COUNTIFS('2025-Q2'!$E$4:$E$422,'SPDR Chart'!D$3,'2025-Q2'!$F$4:$F$422,'SPDR Chart'!$B33,'2025-Q2'!$D$4:$D$422,"Y")</f>
        <v>0</v>
      </c>
      <c r="E33" s="158">
        <f>COUNTIFS('2025-Q2'!$E$4:$E$422,'SPDR Chart'!E$3,'2025-Q2'!$F$4:$F$422,'SPDR Chart'!$B33,'2025-Q2'!$D$4:$D$422,"Y")</f>
        <v>0</v>
      </c>
      <c r="F33" s="158">
        <f>COUNTIFS('2025-Q2'!$E$4:$E$422,'SPDR Chart'!F$3,'2025-Q2'!$F$4:$F$422,'SPDR Chart'!$B33,'2025-Q2'!$D$4:$D$422,"Y")</f>
        <v>0</v>
      </c>
      <c r="G33" s="158">
        <f>COUNTIFS('2025-Q2'!$E$4:$E$422,'SPDR Chart'!G$3,'2025-Q2'!$F$4:$F$422,'SPDR Chart'!$B33,'2025-Q2'!$D$4:$D$422,"Y")</f>
        <v>4</v>
      </c>
      <c r="H33" s="158">
        <f>COUNTIFS('2025-Q2'!$E$4:$E$422,'SPDR Chart'!H$3,'2025-Q2'!$F$4:$F$422,'SPDR Chart'!$B33,'2025-Q2'!$D$4:$D$422,"Y")</f>
        <v>1</v>
      </c>
      <c r="I33" s="158">
        <f>COUNTIFS('2025-Q2'!$E$4:$E$422,'SPDR Chart'!I$3,'2025-Q2'!$F$4:$F$422,'SPDR Chart'!$B33,'2025-Q2'!$D$4:$D$422,"Y")</f>
        <v>0</v>
      </c>
      <c r="J33" s="158">
        <f>COUNTIFS('2025-Q2'!$E$4:$E$422,'SPDR Chart'!J$3,'2025-Q2'!$F$4:$F$422,'SPDR Chart'!$B33,'2025-Q2'!$D$4:$D$422,"Y")</f>
        <v>2</v>
      </c>
      <c r="K33" s="158">
        <f>COUNTIFS('2025-Q2'!$E$4:$E$422,'SPDR Chart'!K$3,'2025-Q2'!$F$4:$F$422,'SPDR Chart'!$B33,'2025-Q2'!$D$4:$D$422,"Y")</f>
        <v>3</v>
      </c>
      <c r="L33" s="158">
        <f>COUNTIFS('2025-Q2'!$E$4:$E$422,'SPDR Chart'!L$3,'2025-Q2'!$F$4:$F$422,'SPDR Chart'!$B33,'2025-Q2'!$D$4:$D$422,"Y")</f>
        <v>1</v>
      </c>
      <c r="M33" s="158">
        <f>COUNTIFS('2025-Q2'!$E$4:$E$422,'SPDR Chart'!M$3,'2025-Q2'!$F$4:$F$422,'SPDR Chart'!$B33,'2025-Q2'!$D$4:$D$422,"Y")</f>
        <v>0</v>
      </c>
      <c r="N33" s="158">
        <f>COUNTIFS('2025-Q2'!$E$4:$E$422,'SPDR Chart'!N$3,'2025-Q2'!$F$4:$F$422,'SPDR Chart'!$B33,'2025-Q2'!$D$4:$D$422,"Y")</f>
        <v>0</v>
      </c>
      <c r="O33" s="158">
        <f>COUNTIFS('2025-Q2'!$E$4:$E$422,'SPDR Chart'!O$3,'2025-Q2'!$F$4:$F$422,'SPDR Chart'!$B33,'2025-Q2'!$D$4:$D$422,"Y")</f>
        <v>1</v>
      </c>
      <c r="P33" s="158">
        <f>COUNTIFS('2025-Q2'!$E$4:$E$422,'SPDR Chart'!P$3,'2025-Q2'!$F$4:$F$422,'SPDR Chart'!$B33,'2025-Q2'!$D$4:$D$422,"Y")</f>
        <v>0</v>
      </c>
      <c r="Q33" s="363">
        <f>COUNTIFS('2025-Q2'!$E$4:$E$422,'SPDR Chart'!Q$3,'2025-Q2'!$F$4:$F$422,'SPDR Chart'!$B33,'2025-Q2'!$D$4:$D$422,"Y")</f>
        <v>0</v>
      </c>
      <c r="R33" s="457">
        <f t="shared" si="4"/>
        <v>14</v>
      </c>
      <c r="S33" s="458">
        <f>SUM($R$4:R33)/SUM($R$4:$R$86)</f>
        <v>0.8554913294797688</v>
      </c>
      <c r="U33" s="366">
        <v>45785</v>
      </c>
      <c r="V33" s="158">
        <f>COUNTIFS('2025-Q2'!$E$4:$E$422,'SPDR Chart'!V$3,'2025-Q2'!$F$4:$F$422,'SPDR Chart'!$B33,'2025-Q2'!$D$4:$D$422,"N")</f>
        <v>0</v>
      </c>
      <c r="W33" s="158">
        <f>COUNTIFS('2025-Q2'!$E$4:$E$422,'SPDR Chart'!W$3,'2025-Q2'!$F$4:$F$422,'SPDR Chart'!$B33,'2025-Q2'!$D$4:$D$422,"N")</f>
        <v>0</v>
      </c>
      <c r="X33" s="158">
        <f>COUNTIFS('2025-Q2'!$E$4:$E$422,'SPDR Chart'!X$3,'2025-Q2'!$F$4:$F$422,'SPDR Chart'!$B33,'2025-Q2'!$D$4:$D$422,"N")</f>
        <v>0</v>
      </c>
      <c r="Y33" s="158">
        <f>COUNTIFS('2025-Q2'!$E$4:$E$422,'SPDR Chart'!Y$3,'2025-Q2'!$F$4:$F$422,'SPDR Chart'!$B33,'2025-Q2'!$D$4:$D$422,"N")</f>
        <v>0</v>
      </c>
      <c r="Z33" s="158">
        <f>COUNTIFS('2025-Q2'!$E$4:$E$422,'SPDR Chart'!Z$3,'2025-Q2'!$F$4:$F$422,'SPDR Chart'!$B33,'2025-Q2'!$D$4:$D$422,"N")</f>
        <v>0</v>
      </c>
      <c r="AA33" s="158">
        <f>COUNTIFS('2025-Q2'!$E$4:$E$422,'SPDR Chart'!AA$3,'2025-Q2'!$F$4:$F$422,'SPDR Chart'!$B33,'2025-Q2'!$D$4:$D$422,"N")</f>
        <v>0</v>
      </c>
      <c r="AB33" s="158">
        <f>COUNTIFS('2025-Q2'!$E$4:$E$422,'SPDR Chart'!AB$3,'2025-Q2'!$F$4:$F$422,'SPDR Chart'!$B33,'2025-Q2'!$D$4:$D$422,"N")</f>
        <v>0</v>
      </c>
      <c r="AC33" s="158">
        <f>COUNTIFS('2025-Q2'!$E$4:$E$422,'SPDR Chart'!AC$3,'2025-Q2'!$F$4:$F$422,'SPDR Chart'!$B33,'2025-Q2'!$D$4:$D$422,"N")</f>
        <v>0</v>
      </c>
      <c r="AD33" s="158">
        <f>COUNTIFS('2025-Q2'!$E$4:$E$422,'SPDR Chart'!AD$3,'2025-Q2'!$F$4:$F$422,'SPDR Chart'!$B33,'2025-Q2'!$D$4:$D$422,"N")</f>
        <v>0</v>
      </c>
      <c r="AE33" s="158">
        <f>COUNTIFS('2025-Q2'!$E$4:$E$422,'SPDR Chart'!AE$3,'2025-Q2'!$F$4:$F$422,'SPDR Chart'!$B33,'2025-Q2'!$D$4:$D$422,"N")</f>
        <v>0</v>
      </c>
      <c r="AF33" s="158">
        <f>COUNTIFS('2025-Q2'!$E$4:$E$422,'SPDR Chart'!AF$3,'2025-Q2'!$F$4:$F$422,'SPDR Chart'!$B33,'2025-Q2'!$D$4:$D$422,"N")</f>
        <v>0</v>
      </c>
      <c r="AG33" s="158">
        <f>COUNTIFS('2025-Q2'!$E$4:$E$422,'SPDR Chart'!AG$3,'2025-Q2'!$F$4:$F$422,'SPDR Chart'!$B33,'2025-Q2'!$D$4:$D$422,"N")</f>
        <v>0</v>
      </c>
      <c r="AH33" s="158">
        <f>COUNTIFS('2025-Q2'!$E$4:$E$422,'SPDR Chart'!AH$3,'2025-Q2'!$F$4:$F$422,'SPDR Chart'!$B33,'2025-Q2'!$D$4:$D$422,"N")</f>
        <v>0</v>
      </c>
      <c r="AI33" s="158">
        <f>COUNTIFS('2025-Q2'!$E$4:$E$422,'SPDR Chart'!AI$3,'2025-Q2'!$F$4:$F$422,'SPDR Chart'!$B33,'2025-Q2'!$D$4:$D$422,"N")</f>
        <v>0</v>
      </c>
      <c r="AJ33" s="363">
        <f>COUNTIFS('2025-Q2'!$E$4:$E$422,'SPDR Chart'!AJ$3,'2025-Q2'!$F$4:$F$422,'SPDR Chart'!$B33,'2025-Q2'!$D$4:$D$422,"N")</f>
        <v>1</v>
      </c>
      <c r="AK33" s="457">
        <f t="shared" si="5"/>
        <v>1</v>
      </c>
      <c r="AL33" s="458">
        <f>SUM($AK$4:AK33)/SUM($AK$4:$AK$86)</f>
        <v>0.38805970149253732</v>
      </c>
    </row>
    <row r="34" spans="2:38" x14ac:dyDescent="0.25">
      <c r="B34" s="366">
        <v>45786</v>
      </c>
      <c r="C34" s="158">
        <f>COUNTIFS('2025-Q2'!$E$4:$E$422,'SPDR Chart'!C$3,'2025-Q2'!$F$4:$F$422,'SPDR Chart'!$B34,'2025-Q2'!$D$4:$D$422,"Y")</f>
        <v>0</v>
      </c>
      <c r="D34" s="158">
        <f>COUNTIFS('2025-Q2'!$E$4:$E$422,'SPDR Chart'!D$3,'2025-Q2'!$F$4:$F$422,'SPDR Chart'!$B34,'2025-Q2'!$D$4:$D$422,"Y")</f>
        <v>0</v>
      </c>
      <c r="E34" s="158">
        <f>COUNTIFS('2025-Q2'!$E$4:$E$422,'SPDR Chart'!E$3,'2025-Q2'!$F$4:$F$422,'SPDR Chart'!$B34,'2025-Q2'!$D$4:$D$422,"Y")</f>
        <v>0</v>
      </c>
      <c r="F34" s="158">
        <f>COUNTIFS('2025-Q2'!$E$4:$E$422,'SPDR Chart'!F$3,'2025-Q2'!$F$4:$F$422,'SPDR Chart'!$B34,'2025-Q2'!$D$4:$D$422,"Y")</f>
        <v>0</v>
      </c>
      <c r="G34" s="158">
        <f>COUNTIFS('2025-Q2'!$E$4:$E$422,'SPDR Chart'!G$3,'2025-Q2'!$F$4:$F$422,'SPDR Chart'!$B34,'2025-Q2'!$D$4:$D$422,"Y")</f>
        <v>0</v>
      </c>
      <c r="H34" s="158">
        <f>COUNTIFS('2025-Q2'!$E$4:$E$422,'SPDR Chart'!H$3,'2025-Q2'!$F$4:$F$422,'SPDR Chart'!$B34,'2025-Q2'!$D$4:$D$422,"Y")</f>
        <v>0</v>
      </c>
      <c r="I34" s="158">
        <f>COUNTIFS('2025-Q2'!$E$4:$E$422,'SPDR Chart'!I$3,'2025-Q2'!$F$4:$F$422,'SPDR Chart'!$B34,'2025-Q2'!$D$4:$D$422,"Y")</f>
        <v>0</v>
      </c>
      <c r="J34" s="158">
        <f>COUNTIFS('2025-Q2'!$E$4:$E$422,'SPDR Chart'!J$3,'2025-Q2'!$F$4:$F$422,'SPDR Chart'!$B34,'2025-Q2'!$D$4:$D$422,"Y")</f>
        <v>0</v>
      </c>
      <c r="K34" s="158">
        <f>COUNTIFS('2025-Q2'!$E$4:$E$422,'SPDR Chart'!K$3,'2025-Q2'!$F$4:$F$422,'SPDR Chart'!$B34,'2025-Q2'!$D$4:$D$422,"Y")</f>
        <v>0</v>
      </c>
      <c r="L34" s="158">
        <f>COUNTIFS('2025-Q2'!$E$4:$E$422,'SPDR Chart'!L$3,'2025-Q2'!$F$4:$F$422,'SPDR Chart'!$B34,'2025-Q2'!$D$4:$D$422,"Y")</f>
        <v>0</v>
      </c>
      <c r="M34" s="158">
        <f>COUNTIFS('2025-Q2'!$E$4:$E$422,'SPDR Chart'!M$3,'2025-Q2'!$F$4:$F$422,'SPDR Chart'!$B34,'2025-Q2'!$D$4:$D$422,"Y")</f>
        <v>0</v>
      </c>
      <c r="N34" s="158">
        <f>COUNTIFS('2025-Q2'!$E$4:$E$422,'SPDR Chart'!N$3,'2025-Q2'!$F$4:$F$422,'SPDR Chart'!$B34,'2025-Q2'!$D$4:$D$422,"Y")</f>
        <v>0</v>
      </c>
      <c r="O34" s="158">
        <f>COUNTIFS('2025-Q2'!$E$4:$E$422,'SPDR Chart'!O$3,'2025-Q2'!$F$4:$F$422,'SPDR Chart'!$B34,'2025-Q2'!$D$4:$D$422,"Y")</f>
        <v>0</v>
      </c>
      <c r="P34" s="158">
        <f>COUNTIFS('2025-Q2'!$E$4:$E$422,'SPDR Chart'!P$3,'2025-Q2'!$F$4:$F$422,'SPDR Chart'!$B34,'2025-Q2'!$D$4:$D$422,"Y")</f>
        <v>0</v>
      </c>
      <c r="Q34" s="363">
        <f>COUNTIFS('2025-Q2'!$E$4:$E$422,'SPDR Chart'!Q$3,'2025-Q2'!$F$4:$F$422,'SPDR Chart'!$B34,'2025-Q2'!$D$4:$D$422,"Y")</f>
        <v>0</v>
      </c>
      <c r="R34" s="457">
        <f t="shared" si="4"/>
        <v>0</v>
      </c>
      <c r="S34" s="458">
        <f>SUM($R$4:R34)/SUM($R$4:$R$86)</f>
        <v>0.8554913294797688</v>
      </c>
      <c r="U34" s="366">
        <v>45786</v>
      </c>
      <c r="V34" s="158">
        <f>COUNTIFS('2025-Q2'!$E$4:$E$422,'SPDR Chart'!V$3,'2025-Q2'!$F$4:$F$422,'SPDR Chart'!$B34,'2025-Q2'!$D$4:$D$422,"N")</f>
        <v>0</v>
      </c>
      <c r="W34" s="158">
        <f>COUNTIFS('2025-Q2'!$E$4:$E$422,'SPDR Chart'!W$3,'2025-Q2'!$F$4:$F$422,'SPDR Chart'!$B34,'2025-Q2'!$D$4:$D$422,"N")</f>
        <v>0</v>
      </c>
      <c r="X34" s="158">
        <f>COUNTIFS('2025-Q2'!$E$4:$E$422,'SPDR Chart'!X$3,'2025-Q2'!$F$4:$F$422,'SPDR Chart'!$B34,'2025-Q2'!$D$4:$D$422,"N")</f>
        <v>0</v>
      </c>
      <c r="Y34" s="158">
        <f>COUNTIFS('2025-Q2'!$E$4:$E$422,'SPDR Chart'!Y$3,'2025-Q2'!$F$4:$F$422,'SPDR Chart'!$B34,'2025-Q2'!$D$4:$D$422,"N")</f>
        <v>0</v>
      </c>
      <c r="Z34" s="158">
        <f>COUNTIFS('2025-Q2'!$E$4:$E$422,'SPDR Chart'!Z$3,'2025-Q2'!$F$4:$F$422,'SPDR Chart'!$B34,'2025-Q2'!$D$4:$D$422,"N")</f>
        <v>0</v>
      </c>
      <c r="AA34" s="158">
        <f>COUNTIFS('2025-Q2'!$E$4:$E$422,'SPDR Chart'!AA$3,'2025-Q2'!$F$4:$F$422,'SPDR Chart'!$B34,'2025-Q2'!$D$4:$D$422,"N")</f>
        <v>0</v>
      </c>
      <c r="AB34" s="158">
        <f>COUNTIFS('2025-Q2'!$E$4:$E$422,'SPDR Chart'!AB$3,'2025-Q2'!$F$4:$F$422,'SPDR Chart'!$B34,'2025-Q2'!$D$4:$D$422,"N")</f>
        <v>0</v>
      </c>
      <c r="AC34" s="158">
        <f>COUNTIFS('2025-Q2'!$E$4:$E$422,'SPDR Chart'!AC$3,'2025-Q2'!$F$4:$F$422,'SPDR Chart'!$B34,'2025-Q2'!$D$4:$D$422,"N")</f>
        <v>0</v>
      </c>
      <c r="AD34" s="158">
        <f>COUNTIFS('2025-Q2'!$E$4:$E$422,'SPDR Chart'!AD$3,'2025-Q2'!$F$4:$F$422,'SPDR Chart'!$B34,'2025-Q2'!$D$4:$D$422,"N")</f>
        <v>0</v>
      </c>
      <c r="AE34" s="158">
        <f>COUNTIFS('2025-Q2'!$E$4:$E$422,'SPDR Chart'!AE$3,'2025-Q2'!$F$4:$F$422,'SPDR Chart'!$B34,'2025-Q2'!$D$4:$D$422,"N")</f>
        <v>0</v>
      </c>
      <c r="AF34" s="158">
        <f>COUNTIFS('2025-Q2'!$E$4:$E$422,'SPDR Chart'!AF$3,'2025-Q2'!$F$4:$F$422,'SPDR Chart'!$B34,'2025-Q2'!$D$4:$D$422,"N")</f>
        <v>0</v>
      </c>
      <c r="AG34" s="158">
        <f>COUNTIFS('2025-Q2'!$E$4:$E$422,'SPDR Chart'!AG$3,'2025-Q2'!$F$4:$F$422,'SPDR Chart'!$B34,'2025-Q2'!$D$4:$D$422,"N")</f>
        <v>0</v>
      </c>
      <c r="AH34" s="158">
        <f>COUNTIFS('2025-Q2'!$E$4:$E$422,'SPDR Chart'!AH$3,'2025-Q2'!$F$4:$F$422,'SPDR Chart'!$B34,'2025-Q2'!$D$4:$D$422,"N")</f>
        <v>0</v>
      </c>
      <c r="AI34" s="158">
        <f>COUNTIFS('2025-Q2'!$E$4:$E$422,'SPDR Chart'!AI$3,'2025-Q2'!$F$4:$F$422,'SPDR Chart'!$B34,'2025-Q2'!$D$4:$D$422,"N")</f>
        <v>0</v>
      </c>
      <c r="AJ34" s="363">
        <f>COUNTIFS('2025-Q2'!$E$4:$E$422,'SPDR Chart'!AJ$3,'2025-Q2'!$F$4:$F$422,'SPDR Chart'!$B34,'2025-Q2'!$D$4:$D$422,"N")</f>
        <v>0</v>
      </c>
      <c r="AK34" s="457">
        <f t="shared" si="5"/>
        <v>0</v>
      </c>
      <c r="AL34" s="458">
        <f>SUM($AK$4:AK34)/SUM($AK$4:$AK$86)</f>
        <v>0.38805970149253732</v>
      </c>
    </row>
    <row r="35" spans="2:38" x14ac:dyDescent="0.25">
      <c r="B35" s="366">
        <v>45787</v>
      </c>
      <c r="C35" s="158">
        <f>COUNTIFS('2025-Q2'!$E$4:$E$422,'SPDR Chart'!C$3,'2025-Q2'!$F$4:$F$422,'SPDR Chart'!$B35,'2025-Q2'!$D$4:$D$422,"Y")</f>
        <v>0</v>
      </c>
      <c r="D35" s="158">
        <f>COUNTIFS('2025-Q2'!$E$4:$E$422,'SPDR Chart'!D$3,'2025-Q2'!$F$4:$F$422,'SPDR Chart'!$B35,'2025-Q2'!$D$4:$D$422,"Y")</f>
        <v>0</v>
      </c>
      <c r="E35" s="158">
        <f>COUNTIFS('2025-Q2'!$E$4:$E$422,'SPDR Chart'!E$3,'2025-Q2'!$F$4:$F$422,'SPDR Chart'!$B35,'2025-Q2'!$D$4:$D$422,"Y")</f>
        <v>0</v>
      </c>
      <c r="F35" s="158">
        <f>COUNTIFS('2025-Q2'!$E$4:$E$422,'SPDR Chart'!F$3,'2025-Q2'!$F$4:$F$422,'SPDR Chart'!$B35,'2025-Q2'!$D$4:$D$422,"Y")</f>
        <v>0</v>
      </c>
      <c r="G35" s="158">
        <f>COUNTIFS('2025-Q2'!$E$4:$E$422,'SPDR Chart'!G$3,'2025-Q2'!$F$4:$F$422,'SPDR Chart'!$B35,'2025-Q2'!$D$4:$D$422,"Y")</f>
        <v>0</v>
      </c>
      <c r="H35" s="158">
        <f>COUNTIFS('2025-Q2'!$E$4:$E$422,'SPDR Chart'!H$3,'2025-Q2'!$F$4:$F$422,'SPDR Chart'!$B35,'2025-Q2'!$D$4:$D$422,"Y")</f>
        <v>0</v>
      </c>
      <c r="I35" s="158">
        <f>COUNTIFS('2025-Q2'!$E$4:$E$422,'SPDR Chart'!I$3,'2025-Q2'!$F$4:$F$422,'SPDR Chart'!$B35,'2025-Q2'!$D$4:$D$422,"Y")</f>
        <v>0</v>
      </c>
      <c r="J35" s="158">
        <f>COUNTIFS('2025-Q2'!$E$4:$E$422,'SPDR Chart'!J$3,'2025-Q2'!$F$4:$F$422,'SPDR Chart'!$B35,'2025-Q2'!$D$4:$D$422,"Y")</f>
        <v>0</v>
      </c>
      <c r="K35" s="158">
        <f>COUNTIFS('2025-Q2'!$E$4:$E$422,'SPDR Chart'!K$3,'2025-Q2'!$F$4:$F$422,'SPDR Chart'!$B35,'2025-Q2'!$D$4:$D$422,"Y")</f>
        <v>0</v>
      </c>
      <c r="L35" s="158">
        <f>COUNTIFS('2025-Q2'!$E$4:$E$422,'SPDR Chart'!L$3,'2025-Q2'!$F$4:$F$422,'SPDR Chart'!$B35,'2025-Q2'!$D$4:$D$422,"Y")</f>
        <v>0</v>
      </c>
      <c r="M35" s="158">
        <f>COUNTIFS('2025-Q2'!$E$4:$E$422,'SPDR Chart'!M$3,'2025-Q2'!$F$4:$F$422,'SPDR Chart'!$B35,'2025-Q2'!$D$4:$D$422,"Y")</f>
        <v>0</v>
      </c>
      <c r="N35" s="158">
        <f>COUNTIFS('2025-Q2'!$E$4:$E$422,'SPDR Chart'!N$3,'2025-Q2'!$F$4:$F$422,'SPDR Chart'!$B35,'2025-Q2'!$D$4:$D$422,"Y")</f>
        <v>0</v>
      </c>
      <c r="O35" s="158">
        <f>COUNTIFS('2025-Q2'!$E$4:$E$422,'SPDR Chart'!O$3,'2025-Q2'!$F$4:$F$422,'SPDR Chart'!$B35,'2025-Q2'!$D$4:$D$422,"Y")</f>
        <v>0</v>
      </c>
      <c r="P35" s="158">
        <f>COUNTIFS('2025-Q2'!$E$4:$E$422,'SPDR Chart'!P$3,'2025-Q2'!$F$4:$F$422,'SPDR Chart'!$B35,'2025-Q2'!$D$4:$D$422,"Y")</f>
        <v>0</v>
      </c>
      <c r="Q35" s="363">
        <f>COUNTIFS('2025-Q2'!$E$4:$E$422,'SPDR Chart'!Q$3,'2025-Q2'!$F$4:$F$422,'SPDR Chart'!$B35,'2025-Q2'!$D$4:$D$422,"Y")</f>
        <v>0</v>
      </c>
      <c r="R35" s="457">
        <f t="shared" si="4"/>
        <v>0</v>
      </c>
      <c r="S35" s="458">
        <f>SUM($R$4:R35)/SUM($R$4:$R$86)</f>
        <v>0.8554913294797688</v>
      </c>
      <c r="U35" s="366">
        <v>45787</v>
      </c>
      <c r="V35" s="158">
        <f>COUNTIFS('2025-Q2'!$E$4:$E$422,'SPDR Chart'!V$3,'2025-Q2'!$F$4:$F$422,'SPDR Chart'!$B35,'2025-Q2'!$D$4:$D$422,"N")</f>
        <v>0</v>
      </c>
      <c r="W35" s="158">
        <f>COUNTIFS('2025-Q2'!$E$4:$E$422,'SPDR Chart'!W$3,'2025-Q2'!$F$4:$F$422,'SPDR Chart'!$B35,'2025-Q2'!$D$4:$D$422,"N")</f>
        <v>0</v>
      </c>
      <c r="X35" s="158">
        <f>COUNTIFS('2025-Q2'!$E$4:$E$422,'SPDR Chart'!X$3,'2025-Q2'!$F$4:$F$422,'SPDR Chart'!$B35,'2025-Q2'!$D$4:$D$422,"N")</f>
        <v>0</v>
      </c>
      <c r="Y35" s="158">
        <f>COUNTIFS('2025-Q2'!$E$4:$E$422,'SPDR Chart'!Y$3,'2025-Q2'!$F$4:$F$422,'SPDR Chart'!$B35,'2025-Q2'!$D$4:$D$422,"N")</f>
        <v>0</v>
      </c>
      <c r="Z35" s="158">
        <f>COUNTIFS('2025-Q2'!$E$4:$E$422,'SPDR Chart'!Z$3,'2025-Q2'!$F$4:$F$422,'SPDR Chart'!$B35,'2025-Q2'!$D$4:$D$422,"N")</f>
        <v>0</v>
      </c>
      <c r="AA35" s="158">
        <f>COUNTIFS('2025-Q2'!$E$4:$E$422,'SPDR Chart'!AA$3,'2025-Q2'!$F$4:$F$422,'SPDR Chart'!$B35,'2025-Q2'!$D$4:$D$422,"N")</f>
        <v>0</v>
      </c>
      <c r="AB35" s="158">
        <f>COUNTIFS('2025-Q2'!$E$4:$E$422,'SPDR Chart'!AB$3,'2025-Q2'!$F$4:$F$422,'SPDR Chart'!$B35,'2025-Q2'!$D$4:$D$422,"N")</f>
        <v>0</v>
      </c>
      <c r="AC35" s="158">
        <f>COUNTIFS('2025-Q2'!$E$4:$E$422,'SPDR Chart'!AC$3,'2025-Q2'!$F$4:$F$422,'SPDR Chart'!$B35,'2025-Q2'!$D$4:$D$422,"N")</f>
        <v>0</v>
      </c>
      <c r="AD35" s="158">
        <f>COUNTIFS('2025-Q2'!$E$4:$E$422,'SPDR Chart'!AD$3,'2025-Q2'!$F$4:$F$422,'SPDR Chart'!$B35,'2025-Q2'!$D$4:$D$422,"N")</f>
        <v>0</v>
      </c>
      <c r="AE35" s="158">
        <f>COUNTIFS('2025-Q2'!$E$4:$E$422,'SPDR Chart'!AE$3,'2025-Q2'!$F$4:$F$422,'SPDR Chart'!$B35,'2025-Q2'!$D$4:$D$422,"N")</f>
        <v>0</v>
      </c>
      <c r="AF35" s="158">
        <f>COUNTIFS('2025-Q2'!$E$4:$E$422,'SPDR Chart'!AF$3,'2025-Q2'!$F$4:$F$422,'SPDR Chart'!$B35,'2025-Q2'!$D$4:$D$422,"N")</f>
        <v>0</v>
      </c>
      <c r="AG35" s="158">
        <f>COUNTIFS('2025-Q2'!$E$4:$E$422,'SPDR Chart'!AG$3,'2025-Q2'!$F$4:$F$422,'SPDR Chart'!$B35,'2025-Q2'!$D$4:$D$422,"N")</f>
        <v>0</v>
      </c>
      <c r="AH35" s="158">
        <f>COUNTIFS('2025-Q2'!$E$4:$E$422,'SPDR Chart'!AH$3,'2025-Q2'!$F$4:$F$422,'SPDR Chart'!$B35,'2025-Q2'!$D$4:$D$422,"N")</f>
        <v>0</v>
      </c>
      <c r="AI35" s="158">
        <f>COUNTIFS('2025-Q2'!$E$4:$E$422,'SPDR Chart'!AI$3,'2025-Q2'!$F$4:$F$422,'SPDR Chart'!$B35,'2025-Q2'!$D$4:$D$422,"N")</f>
        <v>0</v>
      </c>
      <c r="AJ35" s="363">
        <f>COUNTIFS('2025-Q2'!$E$4:$E$422,'SPDR Chart'!AJ$3,'2025-Q2'!$F$4:$F$422,'SPDR Chart'!$B35,'2025-Q2'!$D$4:$D$422,"N")</f>
        <v>0</v>
      </c>
      <c r="AK35" s="457">
        <f t="shared" si="5"/>
        <v>0</v>
      </c>
      <c r="AL35" s="458">
        <f>SUM($AK$4:AK35)/SUM($AK$4:$AK$86)</f>
        <v>0.38805970149253732</v>
      </c>
    </row>
    <row r="36" spans="2:38" x14ac:dyDescent="0.25">
      <c r="B36" s="366">
        <v>45788</v>
      </c>
      <c r="C36" s="158">
        <f>COUNTIFS('2025-Q2'!$E$4:$E$422,'SPDR Chart'!C$3,'2025-Q2'!$F$4:$F$422,'SPDR Chart'!$B36,'2025-Q2'!$D$4:$D$422,"Y")</f>
        <v>0</v>
      </c>
      <c r="D36" s="158">
        <f>COUNTIFS('2025-Q2'!$E$4:$E$422,'SPDR Chart'!D$3,'2025-Q2'!$F$4:$F$422,'SPDR Chart'!$B36,'2025-Q2'!$D$4:$D$422,"Y")</f>
        <v>0</v>
      </c>
      <c r="E36" s="158">
        <f>COUNTIFS('2025-Q2'!$E$4:$E$422,'SPDR Chart'!E$3,'2025-Q2'!$F$4:$F$422,'SPDR Chart'!$B36,'2025-Q2'!$D$4:$D$422,"Y")</f>
        <v>0</v>
      </c>
      <c r="F36" s="158">
        <f>COUNTIFS('2025-Q2'!$E$4:$E$422,'SPDR Chart'!F$3,'2025-Q2'!$F$4:$F$422,'SPDR Chart'!$B36,'2025-Q2'!$D$4:$D$422,"Y")</f>
        <v>0</v>
      </c>
      <c r="G36" s="158">
        <f>COUNTIFS('2025-Q2'!$E$4:$E$422,'SPDR Chart'!G$3,'2025-Q2'!$F$4:$F$422,'SPDR Chart'!$B36,'2025-Q2'!$D$4:$D$422,"Y")</f>
        <v>0</v>
      </c>
      <c r="H36" s="158">
        <f>COUNTIFS('2025-Q2'!$E$4:$E$422,'SPDR Chart'!H$3,'2025-Q2'!$F$4:$F$422,'SPDR Chart'!$B36,'2025-Q2'!$D$4:$D$422,"Y")</f>
        <v>0</v>
      </c>
      <c r="I36" s="158">
        <f>COUNTIFS('2025-Q2'!$E$4:$E$422,'SPDR Chart'!I$3,'2025-Q2'!$F$4:$F$422,'SPDR Chart'!$B36,'2025-Q2'!$D$4:$D$422,"Y")</f>
        <v>0</v>
      </c>
      <c r="J36" s="158">
        <f>COUNTIFS('2025-Q2'!$E$4:$E$422,'SPDR Chart'!J$3,'2025-Q2'!$F$4:$F$422,'SPDR Chart'!$B36,'2025-Q2'!$D$4:$D$422,"Y")</f>
        <v>0</v>
      </c>
      <c r="K36" s="158">
        <f>COUNTIFS('2025-Q2'!$E$4:$E$422,'SPDR Chart'!K$3,'2025-Q2'!$F$4:$F$422,'SPDR Chart'!$B36,'2025-Q2'!$D$4:$D$422,"Y")</f>
        <v>0</v>
      </c>
      <c r="L36" s="158">
        <f>COUNTIFS('2025-Q2'!$E$4:$E$422,'SPDR Chart'!L$3,'2025-Q2'!$F$4:$F$422,'SPDR Chart'!$B36,'2025-Q2'!$D$4:$D$422,"Y")</f>
        <v>0</v>
      </c>
      <c r="M36" s="158">
        <f>COUNTIFS('2025-Q2'!$E$4:$E$422,'SPDR Chart'!M$3,'2025-Q2'!$F$4:$F$422,'SPDR Chart'!$B36,'2025-Q2'!$D$4:$D$422,"Y")</f>
        <v>0</v>
      </c>
      <c r="N36" s="158">
        <f>COUNTIFS('2025-Q2'!$E$4:$E$422,'SPDR Chart'!N$3,'2025-Q2'!$F$4:$F$422,'SPDR Chart'!$B36,'2025-Q2'!$D$4:$D$422,"Y")</f>
        <v>0</v>
      </c>
      <c r="O36" s="158">
        <f>COUNTIFS('2025-Q2'!$E$4:$E$422,'SPDR Chart'!O$3,'2025-Q2'!$F$4:$F$422,'SPDR Chart'!$B36,'2025-Q2'!$D$4:$D$422,"Y")</f>
        <v>0</v>
      </c>
      <c r="P36" s="158">
        <f>COUNTIFS('2025-Q2'!$E$4:$E$422,'SPDR Chart'!P$3,'2025-Q2'!$F$4:$F$422,'SPDR Chart'!$B36,'2025-Q2'!$D$4:$D$422,"Y")</f>
        <v>0</v>
      </c>
      <c r="Q36" s="363">
        <f>COUNTIFS('2025-Q2'!$E$4:$E$422,'SPDR Chart'!Q$3,'2025-Q2'!$F$4:$F$422,'SPDR Chart'!$B36,'2025-Q2'!$D$4:$D$422,"Y")</f>
        <v>0</v>
      </c>
      <c r="R36" s="457">
        <f t="shared" si="4"/>
        <v>0</v>
      </c>
      <c r="S36" s="458">
        <f>SUM($R$4:R36)/SUM($R$4:$R$86)</f>
        <v>0.8554913294797688</v>
      </c>
      <c r="U36" s="366">
        <v>45788</v>
      </c>
      <c r="V36" s="158">
        <f>COUNTIFS('2025-Q2'!$E$4:$E$422,'SPDR Chart'!V$3,'2025-Q2'!$F$4:$F$422,'SPDR Chart'!$B36,'2025-Q2'!$D$4:$D$422,"N")</f>
        <v>0</v>
      </c>
      <c r="W36" s="158">
        <f>COUNTIFS('2025-Q2'!$E$4:$E$422,'SPDR Chart'!W$3,'2025-Q2'!$F$4:$F$422,'SPDR Chart'!$B36,'2025-Q2'!$D$4:$D$422,"N")</f>
        <v>0</v>
      </c>
      <c r="X36" s="158">
        <f>COUNTIFS('2025-Q2'!$E$4:$E$422,'SPDR Chart'!X$3,'2025-Q2'!$F$4:$F$422,'SPDR Chart'!$B36,'2025-Q2'!$D$4:$D$422,"N")</f>
        <v>0</v>
      </c>
      <c r="Y36" s="158">
        <f>COUNTIFS('2025-Q2'!$E$4:$E$422,'SPDR Chart'!Y$3,'2025-Q2'!$F$4:$F$422,'SPDR Chart'!$B36,'2025-Q2'!$D$4:$D$422,"N")</f>
        <v>0</v>
      </c>
      <c r="Z36" s="158">
        <f>COUNTIFS('2025-Q2'!$E$4:$E$422,'SPDR Chart'!Z$3,'2025-Q2'!$F$4:$F$422,'SPDR Chart'!$B36,'2025-Q2'!$D$4:$D$422,"N")</f>
        <v>0</v>
      </c>
      <c r="AA36" s="158">
        <f>COUNTIFS('2025-Q2'!$E$4:$E$422,'SPDR Chart'!AA$3,'2025-Q2'!$F$4:$F$422,'SPDR Chart'!$B36,'2025-Q2'!$D$4:$D$422,"N")</f>
        <v>0</v>
      </c>
      <c r="AB36" s="158">
        <f>COUNTIFS('2025-Q2'!$E$4:$E$422,'SPDR Chart'!AB$3,'2025-Q2'!$F$4:$F$422,'SPDR Chart'!$B36,'2025-Q2'!$D$4:$D$422,"N")</f>
        <v>0</v>
      </c>
      <c r="AC36" s="158">
        <f>COUNTIFS('2025-Q2'!$E$4:$E$422,'SPDR Chart'!AC$3,'2025-Q2'!$F$4:$F$422,'SPDR Chart'!$B36,'2025-Q2'!$D$4:$D$422,"N")</f>
        <v>0</v>
      </c>
      <c r="AD36" s="158">
        <f>COUNTIFS('2025-Q2'!$E$4:$E$422,'SPDR Chart'!AD$3,'2025-Q2'!$F$4:$F$422,'SPDR Chart'!$B36,'2025-Q2'!$D$4:$D$422,"N")</f>
        <v>0</v>
      </c>
      <c r="AE36" s="158">
        <f>COUNTIFS('2025-Q2'!$E$4:$E$422,'SPDR Chart'!AE$3,'2025-Q2'!$F$4:$F$422,'SPDR Chart'!$B36,'2025-Q2'!$D$4:$D$422,"N")</f>
        <v>0</v>
      </c>
      <c r="AF36" s="158">
        <f>COUNTIFS('2025-Q2'!$E$4:$E$422,'SPDR Chart'!AF$3,'2025-Q2'!$F$4:$F$422,'SPDR Chart'!$B36,'2025-Q2'!$D$4:$D$422,"N")</f>
        <v>0</v>
      </c>
      <c r="AG36" s="158">
        <f>COUNTIFS('2025-Q2'!$E$4:$E$422,'SPDR Chart'!AG$3,'2025-Q2'!$F$4:$F$422,'SPDR Chart'!$B36,'2025-Q2'!$D$4:$D$422,"N")</f>
        <v>0</v>
      </c>
      <c r="AH36" s="158">
        <f>COUNTIFS('2025-Q2'!$E$4:$E$422,'SPDR Chart'!AH$3,'2025-Q2'!$F$4:$F$422,'SPDR Chart'!$B36,'2025-Q2'!$D$4:$D$422,"N")</f>
        <v>0</v>
      </c>
      <c r="AI36" s="158">
        <f>COUNTIFS('2025-Q2'!$E$4:$E$422,'SPDR Chart'!AI$3,'2025-Q2'!$F$4:$F$422,'SPDR Chart'!$B36,'2025-Q2'!$D$4:$D$422,"N")</f>
        <v>0</v>
      </c>
      <c r="AJ36" s="363">
        <f>COUNTIFS('2025-Q2'!$E$4:$E$422,'SPDR Chart'!AJ$3,'2025-Q2'!$F$4:$F$422,'SPDR Chart'!$B36,'2025-Q2'!$D$4:$D$422,"N")</f>
        <v>0</v>
      </c>
      <c r="AK36" s="457">
        <f t="shared" si="5"/>
        <v>0</v>
      </c>
      <c r="AL36" s="458">
        <f>SUM($AK$4:AK36)/SUM($AK$4:$AK$86)</f>
        <v>0.38805970149253732</v>
      </c>
    </row>
    <row r="37" spans="2:38" x14ac:dyDescent="0.25">
      <c r="B37" s="366">
        <v>45789</v>
      </c>
      <c r="C37" s="158">
        <f>COUNTIFS('2025-Q2'!$E$4:$E$422,'SPDR Chart'!C$3,'2025-Q2'!$F$4:$F$422,'SPDR Chart'!$B37,'2025-Q2'!$D$4:$D$422,"Y")</f>
        <v>0</v>
      </c>
      <c r="D37" s="158">
        <f>COUNTIFS('2025-Q2'!$E$4:$E$422,'SPDR Chart'!D$3,'2025-Q2'!$F$4:$F$422,'SPDR Chart'!$B37,'2025-Q2'!$D$4:$D$422,"Y")</f>
        <v>0</v>
      </c>
      <c r="E37" s="158">
        <f>COUNTIFS('2025-Q2'!$E$4:$E$422,'SPDR Chart'!E$3,'2025-Q2'!$F$4:$F$422,'SPDR Chart'!$B37,'2025-Q2'!$D$4:$D$422,"Y")</f>
        <v>0</v>
      </c>
      <c r="F37" s="158">
        <f>COUNTIFS('2025-Q2'!$E$4:$E$422,'SPDR Chart'!F$3,'2025-Q2'!$F$4:$F$422,'SPDR Chart'!$B37,'2025-Q2'!$D$4:$D$422,"Y")</f>
        <v>0</v>
      </c>
      <c r="G37" s="158">
        <f>COUNTIFS('2025-Q2'!$E$4:$E$422,'SPDR Chart'!G$3,'2025-Q2'!$F$4:$F$422,'SPDR Chart'!$B37,'2025-Q2'!$D$4:$D$422,"Y")</f>
        <v>1</v>
      </c>
      <c r="H37" s="158">
        <f>COUNTIFS('2025-Q2'!$E$4:$E$422,'SPDR Chart'!H$3,'2025-Q2'!$F$4:$F$422,'SPDR Chart'!$B37,'2025-Q2'!$D$4:$D$422,"Y")</f>
        <v>0</v>
      </c>
      <c r="I37" s="158">
        <f>COUNTIFS('2025-Q2'!$E$4:$E$422,'SPDR Chart'!I$3,'2025-Q2'!$F$4:$F$422,'SPDR Chart'!$B37,'2025-Q2'!$D$4:$D$422,"Y")</f>
        <v>0</v>
      </c>
      <c r="J37" s="158">
        <f>COUNTIFS('2025-Q2'!$E$4:$E$422,'SPDR Chart'!J$3,'2025-Q2'!$F$4:$F$422,'SPDR Chart'!$B37,'2025-Q2'!$D$4:$D$422,"Y")</f>
        <v>0</v>
      </c>
      <c r="K37" s="158">
        <f>COUNTIFS('2025-Q2'!$E$4:$E$422,'SPDR Chart'!K$3,'2025-Q2'!$F$4:$F$422,'SPDR Chart'!$B37,'2025-Q2'!$D$4:$D$422,"Y")</f>
        <v>1</v>
      </c>
      <c r="L37" s="158">
        <f>COUNTIFS('2025-Q2'!$E$4:$E$422,'SPDR Chart'!L$3,'2025-Q2'!$F$4:$F$422,'SPDR Chart'!$B37,'2025-Q2'!$D$4:$D$422,"Y")</f>
        <v>0</v>
      </c>
      <c r="M37" s="158">
        <f>COUNTIFS('2025-Q2'!$E$4:$E$422,'SPDR Chart'!M$3,'2025-Q2'!$F$4:$F$422,'SPDR Chart'!$B37,'2025-Q2'!$D$4:$D$422,"Y")</f>
        <v>0</v>
      </c>
      <c r="N37" s="158">
        <f>COUNTIFS('2025-Q2'!$E$4:$E$422,'SPDR Chart'!N$3,'2025-Q2'!$F$4:$F$422,'SPDR Chart'!$B37,'2025-Q2'!$D$4:$D$422,"Y")</f>
        <v>0</v>
      </c>
      <c r="O37" s="158">
        <f>COUNTIFS('2025-Q2'!$E$4:$E$422,'SPDR Chart'!O$3,'2025-Q2'!$F$4:$F$422,'SPDR Chart'!$B37,'2025-Q2'!$D$4:$D$422,"Y")</f>
        <v>0</v>
      </c>
      <c r="P37" s="158">
        <f>COUNTIFS('2025-Q2'!$E$4:$E$422,'SPDR Chart'!P$3,'2025-Q2'!$F$4:$F$422,'SPDR Chart'!$B37,'2025-Q2'!$D$4:$D$422,"Y")</f>
        <v>0</v>
      </c>
      <c r="Q37" s="363">
        <f>COUNTIFS('2025-Q2'!$E$4:$E$422,'SPDR Chart'!Q$3,'2025-Q2'!$F$4:$F$422,'SPDR Chart'!$B37,'2025-Q2'!$D$4:$D$422,"Y")</f>
        <v>0</v>
      </c>
      <c r="R37" s="457">
        <f t="shared" si="4"/>
        <v>2</v>
      </c>
      <c r="S37" s="458">
        <f>SUM($R$4:R37)/SUM($R$4:$R$86)</f>
        <v>0.86127167630057799</v>
      </c>
      <c r="U37" s="366">
        <v>45789</v>
      </c>
      <c r="V37" s="158">
        <f>COUNTIFS('2025-Q2'!$E$4:$E$422,'SPDR Chart'!V$3,'2025-Q2'!$F$4:$F$422,'SPDR Chart'!$B37,'2025-Q2'!$D$4:$D$422,"N")</f>
        <v>0</v>
      </c>
      <c r="W37" s="158">
        <f>COUNTIFS('2025-Q2'!$E$4:$E$422,'SPDR Chart'!W$3,'2025-Q2'!$F$4:$F$422,'SPDR Chart'!$B37,'2025-Q2'!$D$4:$D$422,"N")</f>
        <v>0</v>
      </c>
      <c r="X37" s="158">
        <f>COUNTIFS('2025-Q2'!$E$4:$E$422,'SPDR Chart'!X$3,'2025-Q2'!$F$4:$F$422,'SPDR Chart'!$B37,'2025-Q2'!$D$4:$D$422,"N")</f>
        <v>0</v>
      </c>
      <c r="Y37" s="158">
        <f>COUNTIFS('2025-Q2'!$E$4:$E$422,'SPDR Chart'!Y$3,'2025-Q2'!$F$4:$F$422,'SPDR Chart'!$B37,'2025-Q2'!$D$4:$D$422,"N")</f>
        <v>0</v>
      </c>
      <c r="Z37" s="158">
        <f>COUNTIFS('2025-Q2'!$E$4:$E$422,'SPDR Chart'!Z$3,'2025-Q2'!$F$4:$F$422,'SPDR Chart'!$B37,'2025-Q2'!$D$4:$D$422,"N")</f>
        <v>0</v>
      </c>
      <c r="AA37" s="158">
        <f>COUNTIFS('2025-Q2'!$E$4:$E$422,'SPDR Chart'!AA$3,'2025-Q2'!$F$4:$F$422,'SPDR Chart'!$B37,'2025-Q2'!$D$4:$D$422,"N")</f>
        <v>0</v>
      </c>
      <c r="AB37" s="158">
        <f>COUNTIFS('2025-Q2'!$E$4:$E$422,'SPDR Chart'!AB$3,'2025-Q2'!$F$4:$F$422,'SPDR Chart'!$B37,'2025-Q2'!$D$4:$D$422,"N")</f>
        <v>0</v>
      </c>
      <c r="AC37" s="158">
        <f>COUNTIFS('2025-Q2'!$E$4:$E$422,'SPDR Chart'!AC$3,'2025-Q2'!$F$4:$F$422,'SPDR Chart'!$B37,'2025-Q2'!$D$4:$D$422,"N")</f>
        <v>0</v>
      </c>
      <c r="AD37" s="158">
        <f>COUNTIFS('2025-Q2'!$E$4:$E$422,'SPDR Chart'!AD$3,'2025-Q2'!$F$4:$F$422,'SPDR Chart'!$B37,'2025-Q2'!$D$4:$D$422,"N")</f>
        <v>0</v>
      </c>
      <c r="AE37" s="158">
        <f>COUNTIFS('2025-Q2'!$E$4:$E$422,'SPDR Chart'!AE$3,'2025-Q2'!$F$4:$F$422,'SPDR Chart'!$B37,'2025-Q2'!$D$4:$D$422,"N")</f>
        <v>2</v>
      </c>
      <c r="AF37" s="158">
        <f>COUNTIFS('2025-Q2'!$E$4:$E$422,'SPDR Chart'!AF$3,'2025-Q2'!$F$4:$F$422,'SPDR Chart'!$B37,'2025-Q2'!$D$4:$D$422,"N")</f>
        <v>0</v>
      </c>
      <c r="AG37" s="158">
        <f>COUNTIFS('2025-Q2'!$E$4:$E$422,'SPDR Chart'!AG$3,'2025-Q2'!$F$4:$F$422,'SPDR Chart'!$B37,'2025-Q2'!$D$4:$D$422,"N")</f>
        <v>0</v>
      </c>
      <c r="AH37" s="158">
        <f>COUNTIFS('2025-Q2'!$E$4:$E$422,'SPDR Chart'!AH$3,'2025-Q2'!$F$4:$F$422,'SPDR Chart'!$B37,'2025-Q2'!$D$4:$D$422,"N")</f>
        <v>0</v>
      </c>
      <c r="AI37" s="158">
        <f>COUNTIFS('2025-Q2'!$E$4:$E$422,'SPDR Chart'!AI$3,'2025-Q2'!$F$4:$F$422,'SPDR Chart'!$B37,'2025-Q2'!$D$4:$D$422,"N")</f>
        <v>0</v>
      </c>
      <c r="AJ37" s="363">
        <f>COUNTIFS('2025-Q2'!$E$4:$E$422,'SPDR Chart'!AJ$3,'2025-Q2'!$F$4:$F$422,'SPDR Chart'!$B37,'2025-Q2'!$D$4:$D$422,"N")</f>
        <v>0</v>
      </c>
      <c r="AK37" s="457">
        <f t="shared" si="5"/>
        <v>2</v>
      </c>
      <c r="AL37" s="458">
        <f>SUM($AK$4:AK37)/SUM($AK$4:$AK$86)</f>
        <v>0.41791044776119401</v>
      </c>
    </row>
    <row r="38" spans="2:38" x14ac:dyDescent="0.25">
      <c r="B38" s="366">
        <v>45790</v>
      </c>
      <c r="C38" s="158">
        <f>COUNTIFS('2025-Q2'!$E$4:$E$422,'SPDR Chart'!C$3,'2025-Q2'!$F$4:$F$422,'SPDR Chart'!$B38,'2025-Q2'!$D$4:$D$422,"Y")</f>
        <v>0</v>
      </c>
      <c r="D38" s="158">
        <f>COUNTIFS('2025-Q2'!$E$4:$E$422,'SPDR Chart'!D$3,'2025-Q2'!$F$4:$F$422,'SPDR Chart'!$B38,'2025-Q2'!$D$4:$D$422,"Y")</f>
        <v>0</v>
      </c>
      <c r="E38" s="158">
        <f>COUNTIFS('2025-Q2'!$E$4:$E$422,'SPDR Chart'!E$3,'2025-Q2'!$F$4:$F$422,'SPDR Chart'!$B38,'2025-Q2'!$D$4:$D$422,"Y")</f>
        <v>0</v>
      </c>
      <c r="F38" s="158">
        <f>COUNTIFS('2025-Q2'!$E$4:$E$422,'SPDR Chart'!F$3,'2025-Q2'!$F$4:$F$422,'SPDR Chart'!$B38,'2025-Q2'!$D$4:$D$422,"Y")</f>
        <v>0</v>
      </c>
      <c r="G38" s="158">
        <f>COUNTIFS('2025-Q2'!$E$4:$E$422,'SPDR Chart'!G$3,'2025-Q2'!$F$4:$F$422,'SPDR Chart'!$B38,'2025-Q2'!$D$4:$D$422,"Y")</f>
        <v>0</v>
      </c>
      <c r="H38" s="158">
        <f>COUNTIFS('2025-Q2'!$E$4:$E$422,'SPDR Chart'!H$3,'2025-Q2'!$F$4:$F$422,'SPDR Chart'!$B38,'2025-Q2'!$D$4:$D$422,"Y")</f>
        <v>0</v>
      </c>
      <c r="I38" s="158">
        <f>COUNTIFS('2025-Q2'!$E$4:$E$422,'SPDR Chart'!I$3,'2025-Q2'!$F$4:$F$422,'SPDR Chart'!$B38,'2025-Q2'!$D$4:$D$422,"Y")</f>
        <v>0</v>
      </c>
      <c r="J38" s="158">
        <f>COUNTIFS('2025-Q2'!$E$4:$E$422,'SPDR Chart'!J$3,'2025-Q2'!$F$4:$F$422,'SPDR Chart'!$B38,'2025-Q2'!$D$4:$D$422,"Y")</f>
        <v>0</v>
      </c>
      <c r="K38" s="158">
        <f>COUNTIFS('2025-Q2'!$E$4:$E$422,'SPDR Chart'!K$3,'2025-Q2'!$F$4:$F$422,'SPDR Chart'!$B38,'2025-Q2'!$D$4:$D$422,"Y")</f>
        <v>0</v>
      </c>
      <c r="L38" s="158">
        <f>COUNTIFS('2025-Q2'!$E$4:$E$422,'SPDR Chart'!L$3,'2025-Q2'!$F$4:$F$422,'SPDR Chart'!$B38,'2025-Q2'!$D$4:$D$422,"Y")</f>
        <v>0</v>
      </c>
      <c r="M38" s="158">
        <f>COUNTIFS('2025-Q2'!$E$4:$E$422,'SPDR Chart'!M$3,'2025-Q2'!$F$4:$F$422,'SPDR Chart'!$B38,'2025-Q2'!$D$4:$D$422,"Y")</f>
        <v>0</v>
      </c>
      <c r="N38" s="158">
        <f>COUNTIFS('2025-Q2'!$E$4:$E$422,'SPDR Chart'!N$3,'2025-Q2'!$F$4:$F$422,'SPDR Chart'!$B38,'2025-Q2'!$D$4:$D$422,"Y")</f>
        <v>0</v>
      </c>
      <c r="O38" s="158">
        <f>COUNTIFS('2025-Q2'!$E$4:$E$422,'SPDR Chart'!O$3,'2025-Q2'!$F$4:$F$422,'SPDR Chart'!$B38,'2025-Q2'!$D$4:$D$422,"Y")</f>
        <v>0</v>
      </c>
      <c r="P38" s="158">
        <f>COUNTIFS('2025-Q2'!$E$4:$E$422,'SPDR Chart'!P$3,'2025-Q2'!$F$4:$F$422,'SPDR Chart'!$B38,'2025-Q2'!$D$4:$D$422,"Y")</f>
        <v>0</v>
      </c>
      <c r="Q38" s="363">
        <f>COUNTIFS('2025-Q2'!$E$4:$E$422,'SPDR Chart'!Q$3,'2025-Q2'!$F$4:$F$422,'SPDR Chart'!$B38,'2025-Q2'!$D$4:$D$422,"Y")</f>
        <v>0</v>
      </c>
      <c r="R38" s="457">
        <f t="shared" si="4"/>
        <v>0</v>
      </c>
      <c r="S38" s="458">
        <f>SUM($R$4:R38)/SUM($R$4:$R$86)</f>
        <v>0.86127167630057799</v>
      </c>
      <c r="U38" s="366">
        <v>45790</v>
      </c>
      <c r="V38" s="158">
        <f>COUNTIFS('2025-Q2'!$E$4:$E$422,'SPDR Chart'!V$3,'2025-Q2'!$F$4:$F$422,'SPDR Chart'!$B38,'2025-Q2'!$D$4:$D$422,"N")</f>
        <v>0</v>
      </c>
      <c r="W38" s="158">
        <f>COUNTIFS('2025-Q2'!$E$4:$E$422,'SPDR Chart'!W$3,'2025-Q2'!$F$4:$F$422,'SPDR Chart'!$B38,'2025-Q2'!$D$4:$D$422,"N")</f>
        <v>0</v>
      </c>
      <c r="X38" s="158">
        <f>COUNTIFS('2025-Q2'!$E$4:$E$422,'SPDR Chart'!X$3,'2025-Q2'!$F$4:$F$422,'SPDR Chart'!$B38,'2025-Q2'!$D$4:$D$422,"N")</f>
        <v>0</v>
      </c>
      <c r="Y38" s="158">
        <f>COUNTIFS('2025-Q2'!$E$4:$E$422,'SPDR Chart'!Y$3,'2025-Q2'!$F$4:$F$422,'SPDR Chart'!$B38,'2025-Q2'!$D$4:$D$422,"N")</f>
        <v>0</v>
      </c>
      <c r="Z38" s="158">
        <f>COUNTIFS('2025-Q2'!$E$4:$E$422,'SPDR Chart'!Z$3,'2025-Q2'!$F$4:$F$422,'SPDR Chart'!$B38,'2025-Q2'!$D$4:$D$422,"N")</f>
        <v>0</v>
      </c>
      <c r="AA38" s="158">
        <f>COUNTIFS('2025-Q2'!$E$4:$E$422,'SPDR Chart'!AA$3,'2025-Q2'!$F$4:$F$422,'SPDR Chart'!$B38,'2025-Q2'!$D$4:$D$422,"N")</f>
        <v>0</v>
      </c>
      <c r="AB38" s="158">
        <f>COUNTIFS('2025-Q2'!$E$4:$E$422,'SPDR Chart'!AB$3,'2025-Q2'!$F$4:$F$422,'SPDR Chart'!$B38,'2025-Q2'!$D$4:$D$422,"N")</f>
        <v>0</v>
      </c>
      <c r="AC38" s="158">
        <f>COUNTIFS('2025-Q2'!$E$4:$E$422,'SPDR Chart'!AC$3,'2025-Q2'!$F$4:$F$422,'SPDR Chart'!$B38,'2025-Q2'!$D$4:$D$422,"N")</f>
        <v>0</v>
      </c>
      <c r="AD38" s="158">
        <f>COUNTIFS('2025-Q2'!$E$4:$E$422,'SPDR Chart'!AD$3,'2025-Q2'!$F$4:$F$422,'SPDR Chart'!$B38,'2025-Q2'!$D$4:$D$422,"N")</f>
        <v>0</v>
      </c>
      <c r="AE38" s="158">
        <f>COUNTIFS('2025-Q2'!$E$4:$E$422,'SPDR Chart'!AE$3,'2025-Q2'!$F$4:$F$422,'SPDR Chart'!$B38,'2025-Q2'!$D$4:$D$422,"N")</f>
        <v>0</v>
      </c>
      <c r="AF38" s="158">
        <f>COUNTIFS('2025-Q2'!$E$4:$E$422,'SPDR Chart'!AF$3,'2025-Q2'!$F$4:$F$422,'SPDR Chart'!$B38,'2025-Q2'!$D$4:$D$422,"N")</f>
        <v>0</v>
      </c>
      <c r="AG38" s="158">
        <f>COUNTIFS('2025-Q2'!$E$4:$E$422,'SPDR Chart'!AG$3,'2025-Q2'!$F$4:$F$422,'SPDR Chart'!$B38,'2025-Q2'!$D$4:$D$422,"N")</f>
        <v>0</v>
      </c>
      <c r="AH38" s="158">
        <f>COUNTIFS('2025-Q2'!$E$4:$E$422,'SPDR Chart'!AH$3,'2025-Q2'!$F$4:$F$422,'SPDR Chart'!$B38,'2025-Q2'!$D$4:$D$422,"N")</f>
        <v>0</v>
      </c>
      <c r="AI38" s="158">
        <f>COUNTIFS('2025-Q2'!$E$4:$E$422,'SPDR Chart'!AI$3,'2025-Q2'!$F$4:$F$422,'SPDR Chart'!$B38,'2025-Q2'!$D$4:$D$422,"N")</f>
        <v>0</v>
      </c>
      <c r="AJ38" s="363">
        <f>COUNTIFS('2025-Q2'!$E$4:$E$422,'SPDR Chart'!AJ$3,'2025-Q2'!$F$4:$F$422,'SPDR Chart'!$B38,'2025-Q2'!$D$4:$D$422,"N")</f>
        <v>0</v>
      </c>
      <c r="AK38" s="457">
        <f t="shared" si="5"/>
        <v>0</v>
      </c>
      <c r="AL38" s="458">
        <f>SUM($AK$4:AK38)/SUM($AK$4:$AK$86)</f>
        <v>0.41791044776119401</v>
      </c>
    </row>
    <row r="39" spans="2:38" x14ac:dyDescent="0.25">
      <c r="B39" s="366">
        <v>45791</v>
      </c>
      <c r="C39" s="158">
        <f>COUNTIFS('2025-Q2'!$E$4:$E$422,'SPDR Chart'!C$3,'2025-Q2'!$F$4:$F$422,'SPDR Chart'!$B39,'2025-Q2'!$D$4:$D$422,"Y")</f>
        <v>0</v>
      </c>
      <c r="D39" s="158">
        <f>COUNTIFS('2025-Q2'!$E$4:$E$422,'SPDR Chart'!D$3,'2025-Q2'!$F$4:$F$422,'SPDR Chart'!$B39,'2025-Q2'!$D$4:$D$422,"Y")</f>
        <v>0</v>
      </c>
      <c r="E39" s="158">
        <f>COUNTIFS('2025-Q2'!$E$4:$E$422,'SPDR Chart'!E$3,'2025-Q2'!$F$4:$F$422,'SPDR Chart'!$B39,'2025-Q2'!$D$4:$D$422,"Y")</f>
        <v>0</v>
      </c>
      <c r="F39" s="158">
        <f>COUNTIFS('2025-Q2'!$E$4:$E$422,'SPDR Chart'!F$3,'2025-Q2'!$F$4:$F$422,'SPDR Chart'!$B39,'2025-Q2'!$D$4:$D$422,"Y")</f>
        <v>0</v>
      </c>
      <c r="G39" s="158">
        <f>COUNTIFS('2025-Q2'!$E$4:$E$422,'SPDR Chart'!G$3,'2025-Q2'!$F$4:$F$422,'SPDR Chart'!$B39,'2025-Q2'!$D$4:$D$422,"Y")</f>
        <v>1</v>
      </c>
      <c r="H39" s="158">
        <f>COUNTIFS('2025-Q2'!$E$4:$E$422,'SPDR Chart'!H$3,'2025-Q2'!$F$4:$F$422,'SPDR Chart'!$B39,'2025-Q2'!$D$4:$D$422,"Y")</f>
        <v>0</v>
      </c>
      <c r="I39" s="158">
        <f>COUNTIFS('2025-Q2'!$E$4:$E$422,'SPDR Chart'!I$3,'2025-Q2'!$F$4:$F$422,'SPDR Chart'!$B39,'2025-Q2'!$D$4:$D$422,"Y")</f>
        <v>0</v>
      </c>
      <c r="J39" s="158">
        <f>COUNTIFS('2025-Q2'!$E$4:$E$422,'SPDR Chart'!J$3,'2025-Q2'!$F$4:$F$422,'SPDR Chart'!$B39,'2025-Q2'!$D$4:$D$422,"Y")</f>
        <v>0</v>
      </c>
      <c r="K39" s="158">
        <f>COUNTIFS('2025-Q2'!$E$4:$E$422,'SPDR Chart'!K$3,'2025-Q2'!$F$4:$F$422,'SPDR Chart'!$B39,'2025-Q2'!$D$4:$D$422,"Y")</f>
        <v>0</v>
      </c>
      <c r="L39" s="158">
        <f>COUNTIFS('2025-Q2'!$E$4:$E$422,'SPDR Chart'!L$3,'2025-Q2'!$F$4:$F$422,'SPDR Chart'!$B39,'2025-Q2'!$D$4:$D$422,"Y")</f>
        <v>1</v>
      </c>
      <c r="M39" s="158">
        <f>COUNTIFS('2025-Q2'!$E$4:$E$422,'SPDR Chart'!M$3,'2025-Q2'!$F$4:$F$422,'SPDR Chart'!$B39,'2025-Q2'!$D$4:$D$422,"Y")</f>
        <v>0</v>
      </c>
      <c r="N39" s="158">
        <f>COUNTIFS('2025-Q2'!$E$4:$E$422,'SPDR Chart'!N$3,'2025-Q2'!$F$4:$F$422,'SPDR Chart'!$B39,'2025-Q2'!$D$4:$D$422,"Y")</f>
        <v>0</v>
      </c>
      <c r="O39" s="158">
        <f>COUNTIFS('2025-Q2'!$E$4:$E$422,'SPDR Chart'!O$3,'2025-Q2'!$F$4:$F$422,'SPDR Chart'!$B39,'2025-Q2'!$D$4:$D$422,"Y")</f>
        <v>0</v>
      </c>
      <c r="P39" s="158">
        <f>COUNTIFS('2025-Q2'!$E$4:$E$422,'SPDR Chart'!P$3,'2025-Q2'!$F$4:$F$422,'SPDR Chart'!$B39,'2025-Q2'!$D$4:$D$422,"Y")</f>
        <v>0</v>
      </c>
      <c r="Q39" s="363">
        <f>COUNTIFS('2025-Q2'!$E$4:$E$422,'SPDR Chart'!Q$3,'2025-Q2'!$F$4:$F$422,'SPDR Chart'!$B39,'2025-Q2'!$D$4:$D$422,"Y")</f>
        <v>0</v>
      </c>
      <c r="R39" s="457">
        <f t="shared" si="4"/>
        <v>2</v>
      </c>
      <c r="S39" s="458">
        <f>SUM($R$4:R39)/SUM($R$4:$R$86)</f>
        <v>0.86705202312138729</v>
      </c>
      <c r="U39" s="366">
        <v>45791</v>
      </c>
      <c r="V39" s="158">
        <f>COUNTIFS('2025-Q2'!$E$4:$E$422,'SPDR Chart'!V$3,'2025-Q2'!$F$4:$F$422,'SPDR Chart'!$B39,'2025-Q2'!$D$4:$D$422,"N")</f>
        <v>0</v>
      </c>
      <c r="W39" s="158">
        <f>COUNTIFS('2025-Q2'!$E$4:$E$422,'SPDR Chart'!W$3,'2025-Q2'!$F$4:$F$422,'SPDR Chart'!$B39,'2025-Q2'!$D$4:$D$422,"N")</f>
        <v>1</v>
      </c>
      <c r="X39" s="158">
        <f>COUNTIFS('2025-Q2'!$E$4:$E$422,'SPDR Chart'!X$3,'2025-Q2'!$F$4:$F$422,'SPDR Chart'!$B39,'2025-Q2'!$D$4:$D$422,"N")</f>
        <v>0</v>
      </c>
      <c r="Y39" s="158">
        <f>COUNTIFS('2025-Q2'!$E$4:$E$422,'SPDR Chart'!Y$3,'2025-Q2'!$F$4:$F$422,'SPDR Chart'!$B39,'2025-Q2'!$D$4:$D$422,"N")</f>
        <v>0</v>
      </c>
      <c r="Z39" s="158">
        <f>COUNTIFS('2025-Q2'!$E$4:$E$422,'SPDR Chart'!Z$3,'2025-Q2'!$F$4:$F$422,'SPDR Chart'!$B39,'2025-Q2'!$D$4:$D$422,"N")</f>
        <v>0</v>
      </c>
      <c r="AA39" s="158">
        <f>COUNTIFS('2025-Q2'!$E$4:$E$422,'SPDR Chart'!AA$3,'2025-Q2'!$F$4:$F$422,'SPDR Chart'!$B39,'2025-Q2'!$D$4:$D$422,"N")</f>
        <v>0</v>
      </c>
      <c r="AB39" s="158">
        <f>COUNTIFS('2025-Q2'!$E$4:$E$422,'SPDR Chart'!AB$3,'2025-Q2'!$F$4:$F$422,'SPDR Chart'!$B39,'2025-Q2'!$D$4:$D$422,"N")</f>
        <v>0</v>
      </c>
      <c r="AC39" s="158">
        <f>COUNTIFS('2025-Q2'!$E$4:$E$422,'SPDR Chart'!AC$3,'2025-Q2'!$F$4:$F$422,'SPDR Chart'!$B39,'2025-Q2'!$D$4:$D$422,"N")</f>
        <v>0</v>
      </c>
      <c r="AD39" s="158">
        <f>COUNTIFS('2025-Q2'!$E$4:$E$422,'SPDR Chart'!AD$3,'2025-Q2'!$F$4:$F$422,'SPDR Chart'!$B39,'2025-Q2'!$D$4:$D$422,"N")</f>
        <v>0</v>
      </c>
      <c r="AE39" s="158">
        <f>COUNTIFS('2025-Q2'!$E$4:$E$422,'SPDR Chart'!AE$3,'2025-Q2'!$F$4:$F$422,'SPDR Chart'!$B39,'2025-Q2'!$D$4:$D$422,"N")</f>
        <v>0</v>
      </c>
      <c r="AF39" s="158">
        <f>COUNTIFS('2025-Q2'!$E$4:$E$422,'SPDR Chart'!AF$3,'2025-Q2'!$F$4:$F$422,'SPDR Chart'!$B39,'2025-Q2'!$D$4:$D$422,"N")</f>
        <v>0</v>
      </c>
      <c r="AG39" s="158">
        <f>COUNTIFS('2025-Q2'!$E$4:$E$422,'SPDR Chart'!AG$3,'2025-Q2'!$F$4:$F$422,'SPDR Chart'!$B39,'2025-Q2'!$D$4:$D$422,"N")</f>
        <v>0</v>
      </c>
      <c r="AH39" s="158">
        <f>COUNTIFS('2025-Q2'!$E$4:$E$422,'SPDR Chart'!AH$3,'2025-Q2'!$F$4:$F$422,'SPDR Chart'!$B39,'2025-Q2'!$D$4:$D$422,"N")</f>
        <v>0</v>
      </c>
      <c r="AI39" s="158">
        <f>COUNTIFS('2025-Q2'!$E$4:$E$422,'SPDR Chart'!AI$3,'2025-Q2'!$F$4:$F$422,'SPDR Chart'!$B39,'2025-Q2'!$D$4:$D$422,"N")</f>
        <v>0</v>
      </c>
      <c r="AJ39" s="363">
        <f>COUNTIFS('2025-Q2'!$E$4:$E$422,'SPDR Chart'!AJ$3,'2025-Q2'!$F$4:$F$422,'SPDR Chart'!$B39,'2025-Q2'!$D$4:$D$422,"N")</f>
        <v>1</v>
      </c>
      <c r="AK39" s="457">
        <f t="shared" si="5"/>
        <v>2</v>
      </c>
      <c r="AL39" s="458">
        <f>SUM($AK$4:AK39)/SUM($AK$4:$AK$86)</f>
        <v>0.44776119402985076</v>
      </c>
    </row>
    <row r="40" spans="2:38" x14ac:dyDescent="0.25">
      <c r="B40" s="366">
        <v>45792</v>
      </c>
      <c r="C40" s="158">
        <f>COUNTIFS('2025-Q2'!$E$4:$E$422,'SPDR Chart'!C$3,'2025-Q2'!$F$4:$F$422,'SPDR Chart'!$B40,'2025-Q2'!$D$4:$D$422,"Y")</f>
        <v>1</v>
      </c>
      <c r="D40" s="158">
        <f>COUNTIFS('2025-Q2'!$E$4:$E$422,'SPDR Chart'!D$3,'2025-Q2'!$F$4:$F$422,'SPDR Chart'!$B40,'2025-Q2'!$D$4:$D$422,"Y")</f>
        <v>1</v>
      </c>
      <c r="E40" s="158">
        <f>COUNTIFS('2025-Q2'!$E$4:$E$422,'SPDR Chart'!E$3,'2025-Q2'!$F$4:$F$422,'SPDR Chart'!$B40,'2025-Q2'!$D$4:$D$422,"Y")</f>
        <v>0</v>
      </c>
      <c r="F40" s="158">
        <f>COUNTIFS('2025-Q2'!$E$4:$E$422,'SPDR Chart'!F$3,'2025-Q2'!$F$4:$F$422,'SPDR Chart'!$B40,'2025-Q2'!$D$4:$D$422,"Y")</f>
        <v>0</v>
      </c>
      <c r="G40" s="158">
        <f>COUNTIFS('2025-Q2'!$E$4:$E$422,'SPDR Chart'!G$3,'2025-Q2'!$F$4:$F$422,'SPDR Chart'!$B40,'2025-Q2'!$D$4:$D$422,"Y")</f>
        <v>0</v>
      </c>
      <c r="H40" s="158">
        <f>COUNTIFS('2025-Q2'!$E$4:$E$422,'SPDR Chart'!H$3,'2025-Q2'!$F$4:$F$422,'SPDR Chart'!$B40,'2025-Q2'!$D$4:$D$422,"Y")</f>
        <v>0</v>
      </c>
      <c r="I40" s="158">
        <f>COUNTIFS('2025-Q2'!$E$4:$E$422,'SPDR Chart'!I$3,'2025-Q2'!$F$4:$F$422,'SPDR Chart'!$B40,'2025-Q2'!$D$4:$D$422,"Y")</f>
        <v>0</v>
      </c>
      <c r="J40" s="158">
        <f>COUNTIFS('2025-Q2'!$E$4:$E$422,'SPDR Chart'!J$3,'2025-Q2'!$F$4:$F$422,'SPDR Chart'!$B40,'2025-Q2'!$D$4:$D$422,"Y")</f>
        <v>0</v>
      </c>
      <c r="K40" s="158">
        <f>COUNTIFS('2025-Q2'!$E$4:$E$422,'SPDR Chart'!K$3,'2025-Q2'!$F$4:$F$422,'SPDR Chart'!$B40,'2025-Q2'!$D$4:$D$422,"Y")</f>
        <v>0</v>
      </c>
      <c r="L40" s="158">
        <f>COUNTIFS('2025-Q2'!$E$4:$E$422,'SPDR Chart'!L$3,'2025-Q2'!$F$4:$F$422,'SPDR Chart'!$B40,'2025-Q2'!$D$4:$D$422,"Y")</f>
        <v>0</v>
      </c>
      <c r="M40" s="158">
        <f>COUNTIFS('2025-Q2'!$E$4:$E$422,'SPDR Chart'!M$3,'2025-Q2'!$F$4:$F$422,'SPDR Chart'!$B40,'2025-Q2'!$D$4:$D$422,"Y")</f>
        <v>0</v>
      </c>
      <c r="N40" s="158">
        <f>COUNTIFS('2025-Q2'!$E$4:$E$422,'SPDR Chart'!N$3,'2025-Q2'!$F$4:$F$422,'SPDR Chart'!$B40,'2025-Q2'!$D$4:$D$422,"Y")</f>
        <v>0</v>
      </c>
      <c r="O40" s="158">
        <f>COUNTIFS('2025-Q2'!$E$4:$E$422,'SPDR Chart'!O$3,'2025-Q2'!$F$4:$F$422,'SPDR Chart'!$B40,'2025-Q2'!$D$4:$D$422,"Y")</f>
        <v>1</v>
      </c>
      <c r="P40" s="158">
        <f>COUNTIFS('2025-Q2'!$E$4:$E$422,'SPDR Chart'!P$3,'2025-Q2'!$F$4:$F$422,'SPDR Chart'!$B40,'2025-Q2'!$D$4:$D$422,"Y")</f>
        <v>0</v>
      </c>
      <c r="Q40" s="363">
        <f>COUNTIFS('2025-Q2'!$E$4:$E$422,'SPDR Chart'!Q$3,'2025-Q2'!$F$4:$F$422,'SPDR Chart'!$B40,'2025-Q2'!$D$4:$D$422,"Y")</f>
        <v>1</v>
      </c>
      <c r="R40" s="457">
        <f t="shared" si="4"/>
        <v>4</v>
      </c>
      <c r="S40" s="458">
        <f>SUM($R$4:R40)/SUM($R$4:$R$86)</f>
        <v>0.87861271676300579</v>
      </c>
      <c r="U40" s="366">
        <v>45792</v>
      </c>
      <c r="V40" s="158">
        <f>COUNTIFS('2025-Q2'!$E$4:$E$422,'SPDR Chart'!V$3,'2025-Q2'!$F$4:$F$422,'SPDR Chart'!$B40,'2025-Q2'!$D$4:$D$422,"N")</f>
        <v>0</v>
      </c>
      <c r="W40" s="158">
        <f>COUNTIFS('2025-Q2'!$E$4:$E$422,'SPDR Chart'!W$3,'2025-Q2'!$F$4:$F$422,'SPDR Chart'!$B40,'2025-Q2'!$D$4:$D$422,"N")</f>
        <v>1</v>
      </c>
      <c r="X40" s="158">
        <f>COUNTIFS('2025-Q2'!$E$4:$E$422,'SPDR Chart'!X$3,'2025-Q2'!$F$4:$F$422,'SPDR Chart'!$B40,'2025-Q2'!$D$4:$D$422,"N")</f>
        <v>0</v>
      </c>
      <c r="Y40" s="158">
        <f>COUNTIFS('2025-Q2'!$E$4:$E$422,'SPDR Chart'!Y$3,'2025-Q2'!$F$4:$F$422,'SPDR Chart'!$B40,'2025-Q2'!$D$4:$D$422,"N")</f>
        <v>0</v>
      </c>
      <c r="Z40" s="158">
        <f>COUNTIFS('2025-Q2'!$E$4:$E$422,'SPDR Chart'!Z$3,'2025-Q2'!$F$4:$F$422,'SPDR Chart'!$B40,'2025-Q2'!$D$4:$D$422,"N")</f>
        <v>0</v>
      </c>
      <c r="AA40" s="158">
        <f>COUNTIFS('2025-Q2'!$E$4:$E$422,'SPDR Chart'!AA$3,'2025-Q2'!$F$4:$F$422,'SPDR Chart'!$B40,'2025-Q2'!$D$4:$D$422,"N")</f>
        <v>0</v>
      </c>
      <c r="AB40" s="158">
        <f>COUNTIFS('2025-Q2'!$E$4:$E$422,'SPDR Chart'!AB$3,'2025-Q2'!$F$4:$F$422,'SPDR Chart'!$B40,'2025-Q2'!$D$4:$D$422,"N")</f>
        <v>0</v>
      </c>
      <c r="AC40" s="158">
        <f>COUNTIFS('2025-Q2'!$E$4:$E$422,'SPDR Chart'!AC$3,'2025-Q2'!$F$4:$F$422,'SPDR Chart'!$B40,'2025-Q2'!$D$4:$D$422,"N")</f>
        <v>0</v>
      </c>
      <c r="AD40" s="158">
        <f>COUNTIFS('2025-Q2'!$E$4:$E$422,'SPDR Chart'!AD$3,'2025-Q2'!$F$4:$F$422,'SPDR Chart'!$B40,'2025-Q2'!$D$4:$D$422,"N")</f>
        <v>0</v>
      </c>
      <c r="AE40" s="158">
        <f>COUNTIFS('2025-Q2'!$E$4:$E$422,'SPDR Chart'!AE$3,'2025-Q2'!$F$4:$F$422,'SPDR Chart'!$B40,'2025-Q2'!$D$4:$D$422,"N")</f>
        <v>0</v>
      </c>
      <c r="AF40" s="158">
        <f>COUNTIFS('2025-Q2'!$E$4:$E$422,'SPDR Chart'!AF$3,'2025-Q2'!$F$4:$F$422,'SPDR Chart'!$B40,'2025-Q2'!$D$4:$D$422,"N")</f>
        <v>0</v>
      </c>
      <c r="AG40" s="158">
        <f>COUNTIFS('2025-Q2'!$E$4:$E$422,'SPDR Chart'!AG$3,'2025-Q2'!$F$4:$F$422,'SPDR Chart'!$B40,'2025-Q2'!$D$4:$D$422,"N")</f>
        <v>0</v>
      </c>
      <c r="AH40" s="158">
        <f>COUNTIFS('2025-Q2'!$E$4:$E$422,'SPDR Chart'!AH$3,'2025-Q2'!$F$4:$F$422,'SPDR Chart'!$B40,'2025-Q2'!$D$4:$D$422,"N")</f>
        <v>0</v>
      </c>
      <c r="AI40" s="158">
        <f>COUNTIFS('2025-Q2'!$E$4:$E$422,'SPDR Chart'!AI$3,'2025-Q2'!$F$4:$F$422,'SPDR Chart'!$B40,'2025-Q2'!$D$4:$D$422,"N")</f>
        <v>0</v>
      </c>
      <c r="AJ40" s="363">
        <f>COUNTIFS('2025-Q2'!$E$4:$E$422,'SPDR Chart'!AJ$3,'2025-Q2'!$F$4:$F$422,'SPDR Chart'!$B40,'2025-Q2'!$D$4:$D$422,"N")</f>
        <v>1</v>
      </c>
      <c r="AK40" s="457">
        <f t="shared" si="5"/>
        <v>2</v>
      </c>
      <c r="AL40" s="458">
        <f>SUM($AK$4:AK40)/SUM($AK$4:$AK$86)</f>
        <v>0.47761194029850745</v>
      </c>
    </row>
    <row r="41" spans="2:38" x14ac:dyDescent="0.25">
      <c r="B41" s="366">
        <v>45793</v>
      </c>
      <c r="C41" s="158">
        <f>COUNTIFS('2025-Q2'!$E$4:$E$422,'SPDR Chart'!C$3,'2025-Q2'!$F$4:$F$422,'SPDR Chart'!$B41,'2025-Q2'!$D$4:$D$422,"Y")</f>
        <v>0</v>
      </c>
      <c r="D41" s="158">
        <f>COUNTIFS('2025-Q2'!$E$4:$E$422,'SPDR Chart'!D$3,'2025-Q2'!$F$4:$F$422,'SPDR Chart'!$B41,'2025-Q2'!$D$4:$D$422,"Y")</f>
        <v>0</v>
      </c>
      <c r="E41" s="158">
        <f>COUNTIFS('2025-Q2'!$E$4:$E$422,'SPDR Chart'!E$3,'2025-Q2'!$F$4:$F$422,'SPDR Chart'!$B41,'2025-Q2'!$D$4:$D$422,"Y")</f>
        <v>0</v>
      </c>
      <c r="F41" s="158">
        <f>COUNTIFS('2025-Q2'!$E$4:$E$422,'SPDR Chart'!F$3,'2025-Q2'!$F$4:$F$422,'SPDR Chart'!$B41,'2025-Q2'!$D$4:$D$422,"Y")</f>
        <v>0</v>
      </c>
      <c r="G41" s="158">
        <f>COUNTIFS('2025-Q2'!$E$4:$E$422,'SPDR Chart'!G$3,'2025-Q2'!$F$4:$F$422,'SPDR Chart'!$B41,'2025-Q2'!$D$4:$D$422,"Y")</f>
        <v>0</v>
      </c>
      <c r="H41" s="158">
        <f>COUNTIFS('2025-Q2'!$E$4:$E$422,'SPDR Chart'!H$3,'2025-Q2'!$F$4:$F$422,'SPDR Chart'!$B41,'2025-Q2'!$D$4:$D$422,"Y")</f>
        <v>0</v>
      </c>
      <c r="I41" s="158">
        <f>COUNTIFS('2025-Q2'!$E$4:$E$422,'SPDR Chart'!I$3,'2025-Q2'!$F$4:$F$422,'SPDR Chart'!$B41,'2025-Q2'!$D$4:$D$422,"Y")</f>
        <v>0</v>
      </c>
      <c r="J41" s="158">
        <f>COUNTIFS('2025-Q2'!$E$4:$E$422,'SPDR Chart'!J$3,'2025-Q2'!$F$4:$F$422,'SPDR Chart'!$B41,'2025-Q2'!$D$4:$D$422,"Y")</f>
        <v>0</v>
      </c>
      <c r="K41" s="158">
        <f>COUNTIFS('2025-Q2'!$E$4:$E$422,'SPDR Chart'!K$3,'2025-Q2'!$F$4:$F$422,'SPDR Chart'!$B41,'2025-Q2'!$D$4:$D$422,"Y")</f>
        <v>0</v>
      </c>
      <c r="L41" s="158">
        <f>COUNTIFS('2025-Q2'!$E$4:$E$422,'SPDR Chart'!L$3,'2025-Q2'!$F$4:$F$422,'SPDR Chart'!$B41,'2025-Q2'!$D$4:$D$422,"Y")</f>
        <v>0</v>
      </c>
      <c r="M41" s="158">
        <f>COUNTIFS('2025-Q2'!$E$4:$E$422,'SPDR Chart'!M$3,'2025-Q2'!$F$4:$F$422,'SPDR Chart'!$B41,'2025-Q2'!$D$4:$D$422,"Y")</f>
        <v>0</v>
      </c>
      <c r="N41" s="158">
        <f>COUNTIFS('2025-Q2'!$E$4:$E$422,'SPDR Chart'!N$3,'2025-Q2'!$F$4:$F$422,'SPDR Chart'!$B41,'2025-Q2'!$D$4:$D$422,"Y")</f>
        <v>0</v>
      </c>
      <c r="O41" s="158">
        <f>COUNTIFS('2025-Q2'!$E$4:$E$422,'SPDR Chart'!O$3,'2025-Q2'!$F$4:$F$422,'SPDR Chart'!$B41,'2025-Q2'!$D$4:$D$422,"Y")</f>
        <v>0</v>
      </c>
      <c r="P41" s="158">
        <f>COUNTIFS('2025-Q2'!$E$4:$E$422,'SPDR Chart'!P$3,'2025-Q2'!$F$4:$F$422,'SPDR Chart'!$B41,'2025-Q2'!$D$4:$D$422,"Y")</f>
        <v>0</v>
      </c>
      <c r="Q41" s="363">
        <f>COUNTIFS('2025-Q2'!$E$4:$E$422,'SPDR Chart'!Q$3,'2025-Q2'!$F$4:$F$422,'SPDR Chart'!$B41,'2025-Q2'!$D$4:$D$422,"Y")</f>
        <v>0</v>
      </c>
      <c r="R41" s="457">
        <f t="shared" si="4"/>
        <v>0</v>
      </c>
      <c r="S41" s="458">
        <f>SUM($R$4:R41)/SUM($R$4:$R$86)</f>
        <v>0.87861271676300579</v>
      </c>
      <c r="U41" s="366">
        <v>45793</v>
      </c>
      <c r="V41" s="158">
        <f>COUNTIFS('2025-Q2'!$E$4:$E$422,'SPDR Chart'!V$3,'2025-Q2'!$F$4:$F$422,'SPDR Chart'!$B41,'2025-Q2'!$D$4:$D$422,"N")</f>
        <v>1</v>
      </c>
      <c r="W41" s="158">
        <f>COUNTIFS('2025-Q2'!$E$4:$E$422,'SPDR Chart'!W$3,'2025-Q2'!$F$4:$F$422,'SPDR Chart'!$B41,'2025-Q2'!$D$4:$D$422,"N")</f>
        <v>0</v>
      </c>
      <c r="X41" s="158">
        <f>COUNTIFS('2025-Q2'!$E$4:$E$422,'SPDR Chart'!X$3,'2025-Q2'!$F$4:$F$422,'SPDR Chart'!$B41,'2025-Q2'!$D$4:$D$422,"N")</f>
        <v>0</v>
      </c>
      <c r="Y41" s="158">
        <f>COUNTIFS('2025-Q2'!$E$4:$E$422,'SPDR Chart'!Y$3,'2025-Q2'!$F$4:$F$422,'SPDR Chart'!$B41,'2025-Q2'!$D$4:$D$422,"N")</f>
        <v>0</v>
      </c>
      <c r="Z41" s="158">
        <f>COUNTIFS('2025-Q2'!$E$4:$E$422,'SPDR Chart'!Z$3,'2025-Q2'!$F$4:$F$422,'SPDR Chart'!$B41,'2025-Q2'!$D$4:$D$422,"N")</f>
        <v>0</v>
      </c>
      <c r="AA41" s="158">
        <f>COUNTIFS('2025-Q2'!$E$4:$E$422,'SPDR Chart'!AA$3,'2025-Q2'!$F$4:$F$422,'SPDR Chart'!$B41,'2025-Q2'!$D$4:$D$422,"N")</f>
        <v>0</v>
      </c>
      <c r="AB41" s="158">
        <f>COUNTIFS('2025-Q2'!$E$4:$E$422,'SPDR Chart'!AB$3,'2025-Q2'!$F$4:$F$422,'SPDR Chart'!$B41,'2025-Q2'!$D$4:$D$422,"N")</f>
        <v>0</v>
      </c>
      <c r="AC41" s="158">
        <f>COUNTIFS('2025-Q2'!$E$4:$E$422,'SPDR Chart'!AC$3,'2025-Q2'!$F$4:$F$422,'SPDR Chart'!$B41,'2025-Q2'!$D$4:$D$422,"N")</f>
        <v>0</v>
      </c>
      <c r="AD41" s="158">
        <f>COUNTIFS('2025-Q2'!$E$4:$E$422,'SPDR Chart'!AD$3,'2025-Q2'!$F$4:$F$422,'SPDR Chart'!$B41,'2025-Q2'!$D$4:$D$422,"N")</f>
        <v>0</v>
      </c>
      <c r="AE41" s="158">
        <f>COUNTIFS('2025-Q2'!$E$4:$E$422,'SPDR Chart'!AE$3,'2025-Q2'!$F$4:$F$422,'SPDR Chart'!$B41,'2025-Q2'!$D$4:$D$422,"N")</f>
        <v>0</v>
      </c>
      <c r="AF41" s="158">
        <f>COUNTIFS('2025-Q2'!$E$4:$E$422,'SPDR Chart'!AF$3,'2025-Q2'!$F$4:$F$422,'SPDR Chart'!$B41,'2025-Q2'!$D$4:$D$422,"N")</f>
        <v>0</v>
      </c>
      <c r="AG41" s="158">
        <f>COUNTIFS('2025-Q2'!$E$4:$E$422,'SPDR Chart'!AG$3,'2025-Q2'!$F$4:$F$422,'SPDR Chart'!$B41,'2025-Q2'!$D$4:$D$422,"N")</f>
        <v>0</v>
      </c>
      <c r="AH41" s="158">
        <f>COUNTIFS('2025-Q2'!$E$4:$E$422,'SPDR Chart'!AH$3,'2025-Q2'!$F$4:$F$422,'SPDR Chart'!$B41,'2025-Q2'!$D$4:$D$422,"N")</f>
        <v>0</v>
      </c>
      <c r="AI41" s="158">
        <f>COUNTIFS('2025-Q2'!$E$4:$E$422,'SPDR Chart'!AI$3,'2025-Q2'!$F$4:$F$422,'SPDR Chart'!$B41,'2025-Q2'!$D$4:$D$422,"N")</f>
        <v>0</v>
      </c>
      <c r="AJ41" s="363">
        <f>COUNTIFS('2025-Q2'!$E$4:$E$422,'SPDR Chart'!AJ$3,'2025-Q2'!$F$4:$F$422,'SPDR Chart'!$B41,'2025-Q2'!$D$4:$D$422,"N")</f>
        <v>0</v>
      </c>
      <c r="AK41" s="457">
        <f t="shared" si="5"/>
        <v>1</v>
      </c>
      <c r="AL41" s="458">
        <f>SUM($AK$4:AK41)/SUM($AK$4:$AK$86)</f>
        <v>0.4925373134328358</v>
      </c>
    </row>
    <row r="42" spans="2:38" x14ac:dyDescent="0.25">
      <c r="B42" s="366">
        <v>45794</v>
      </c>
      <c r="C42" s="158">
        <f>COUNTIFS('2025-Q2'!$E$4:$E$422,'SPDR Chart'!C$3,'2025-Q2'!$F$4:$F$422,'SPDR Chart'!$B42,'2025-Q2'!$D$4:$D$422,"Y")</f>
        <v>0</v>
      </c>
      <c r="D42" s="158">
        <f>COUNTIFS('2025-Q2'!$E$4:$E$422,'SPDR Chart'!D$3,'2025-Q2'!$F$4:$F$422,'SPDR Chart'!$B42,'2025-Q2'!$D$4:$D$422,"Y")</f>
        <v>0</v>
      </c>
      <c r="E42" s="158">
        <f>COUNTIFS('2025-Q2'!$E$4:$E$422,'SPDR Chart'!E$3,'2025-Q2'!$F$4:$F$422,'SPDR Chart'!$B42,'2025-Q2'!$D$4:$D$422,"Y")</f>
        <v>0</v>
      </c>
      <c r="F42" s="158">
        <f>COUNTIFS('2025-Q2'!$E$4:$E$422,'SPDR Chart'!F$3,'2025-Q2'!$F$4:$F$422,'SPDR Chart'!$B42,'2025-Q2'!$D$4:$D$422,"Y")</f>
        <v>0</v>
      </c>
      <c r="G42" s="158">
        <f>COUNTIFS('2025-Q2'!$E$4:$E$422,'SPDR Chart'!G$3,'2025-Q2'!$F$4:$F$422,'SPDR Chart'!$B42,'2025-Q2'!$D$4:$D$422,"Y")</f>
        <v>0</v>
      </c>
      <c r="H42" s="158">
        <f>COUNTIFS('2025-Q2'!$E$4:$E$422,'SPDR Chart'!H$3,'2025-Q2'!$F$4:$F$422,'SPDR Chart'!$B42,'2025-Q2'!$D$4:$D$422,"Y")</f>
        <v>0</v>
      </c>
      <c r="I42" s="158">
        <f>COUNTIFS('2025-Q2'!$E$4:$E$422,'SPDR Chart'!I$3,'2025-Q2'!$F$4:$F$422,'SPDR Chart'!$B42,'2025-Q2'!$D$4:$D$422,"Y")</f>
        <v>0</v>
      </c>
      <c r="J42" s="158">
        <f>COUNTIFS('2025-Q2'!$E$4:$E$422,'SPDR Chart'!J$3,'2025-Q2'!$F$4:$F$422,'SPDR Chart'!$B42,'2025-Q2'!$D$4:$D$422,"Y")</f>
        <v>0</v>
      </c>
      <c r="K42" s="158">
        <f>COUNTIFS('2025-Q2'!$E$4:$E$422,'SPDR Chart'!K$3,'2025-Q2'!$F$4:$F$422,'SPDR Chart'!$B42,'2025-Q2'!$D$4:$D$422,"Y")</f>
        <v>0</v>
      </c>
      <c r="L42" s="158">
        <f>COUNTIFS('2025-Q2'!$E$4:$E$422,'SPDR Chart'!L$3,'2025-Q2'!$F$4:$F$422,'SPDR Chart'!$B42,'2025-Q2'!$D$4:$D$422,"Y")</f>
        <v>0</v>
      </c>
      <c r="M42" s="158">
        <f>COUNTIFS('2025-Q2'!$E$4:$E$422,'SPDR Chart'!M$3,'2025-Q2'!$F$4:$F$422,'SPDR Chart'!$B42,'2025-Q2'!$D$4:$D$422,"Y")</f>
        <v>0</v>
      </c>
      <c r="N42" s="158">
        <f>COUNTIFS('2025-Q2'!$E$4:$E$422,'SPDR Chart'!N$3,'2025-Q2'!$F$4:$F$422,'SPDR Chart'!$B42,'2025-Q2'!$D$4:$D$422,"Y")</f>
        <v>0</v>
      </c>
      <c r="O42" s="158">
        <f>COUNTIFS('2025-Q2'!$E$4:$E$422,'SPDR Chart'!O$3,'2025-Q2'!$F$4:$F$422,'SPDR Chart'!$B42,'2025-Q2'!$D$4:$D$422,"Y")</f>
        <v>0</v>
      </c>
      <c r="P42" s="158">
        <f>COUNTIFS('2025-Q2'!$E$4:$E$422,'SPDR Chart'!P$3,'2025-Q2'!$F$4:$F$422,'SPDR Chart'!$B42,'2025-Q2'!$D$4:$D$422,"Y")</f>
        <v>0</v>
      </c>
      <c r="Q42" s="363">
        <f>COUNTIFS('2025-Q2'!$E$4:$E$422,'SPDR Chart'!Q$3,'2025-Q2'!$F$4:$F$422,'SPDR Chart'!$B42,'2025-Q2'!$D$4:$D$422,"Y")</f>
        <v>0</v>
      </c>
      <c r="R42" s="457">
        <f t="shared" si="4"/>
        <v>0</v>
      </c>
      <c r="S42" s="458">
        <f>SUM($R$4:R42)/SUM($R$4:$R$86)</f>
        <v>0.87861271676300579</v>
      </c>
      <c r="U42" s="366">
        <v>45794</v>
      </c>
      <c r="V42" s="158">
        <f>COUNTIFS('2025-Q2'!$E$4:$E$422,'SPDR Chart'!V$3,'2025-Q2'!$F$4:$F$422,'SPDR Chart'!$B42,'2025-Q2'!$D$4:$D$422,"N")</f>
        <v>0</v>
      </c>
      <c r="W42" s="158">
        <f>COUNTIFS('2025-Q2'!$E$4:$E$422,'SPDR Chart'!W$3,'2025-Q2'!$F$4:$F$422,'SPDR Chart'!$B42,'2025-Q2'!$D$4:$D$422,"N")</f>
        <v>0</v>
      </c>
      <c r="X42" s="158">
        <f>COUNTIFS('2025-Q2'!$E$4:$E$422,'SPDR Chart'!X$3,'2025-Q2'!$F$4:$F$422,'SPDR Chart'!$B42,'2025-Q2'!$D$4:$D$422,"N")</f>
        <v>0</v>
      </c>
      <c r="Y42" s="158">
        <f>COUNTIFS('2025-Q2'!$E$4:$E$422,'SPDR Chart'!Y$3,'2025-Q2'!$F$4:$F$422,'SPDR Chart'!$B42,'2025-Q2'!$D$4:$D$422,"N")</f>
        <v>0</v>
      </c>
      <c r="Z42" s="158">
        <f>COUNTIFS('2025-Q2'!$E$4:$E$422,'SPDR Chart'!Z$3,'2025-Q2'!$F$4:$F$422,'SPDR Chart'!$B42,'2025-Q2'!$D$4:$D$422,"N")</f>
        <v>0</v>
      </c>
      <c r="AA42" s="158">
        <f>COUNTIFS('2025-Q2'!$E$4:$E$422,'SPDR Chart'!AA$3,'2025-Q2'!$F$4:$F$422,'SPDR Chart'!$B42,'2025-Q2'!$D$4:$D$422,"N")</f>
        <v>0</v>
      </c>
      <c r="AB42" s="158">
        <f>COUNTIFS('2025-Q2'!$E$4:$E$422,'SPDR Chart'!AB$3,'2025-Q2'!$F$4:$F$422,'SPDR Chart'!$B42,'2025-Q2'!$D$4:$D$422,"N")</f>
        <v>0</v>
      </c>
      <c r="AC42" s="158">
        <f>COUNTIFS('2025-Q2'!$E$4:$E$422,'SPDR Chart'!AC$3,'2025-Q2'!$F$4:$F$422,'SPDR Chart'!$B42,'2025-Q2'!$D$4:$D$422,"N")</f>
        <v>0</v>
      </c>
      <c r="AD42" s="158">
        <f>COUNTIFS('2025-Q2'!$E$4:$E$422,'SPDR Chart'!AD$3,'2025-Q2'!$F$4:$F$422,'SPDR Chart'!$B42,'2025-Q2'!$D$4:$D$422,"N")</f>
        <v>0</v>
      </c>
      <c r="AE42" s="158">
        <f>COUNTIFS('2025-Q2'!$E$4:$E$422,'SPDR Chart'!AE$3,'2025-Q2'!$F$4:$F$422,'SPDR Chart'!$B42,'2025-Q2'!$D$4:$D$422,"N")</f>
        <v>0</v>
      </c>
      <c r="AF42" s="158">
        <f>COUNTIFS('2025-Q2'!$E$4:$E$422,'SPDR Chart'!AF$3,'2025-Q2'!$F$4:$F$422,'SPDR Chart'!$B42,'2025-Q2'!$D$4:$D$422,"N")</f>
        <v>0</v>
      </c>
      <c r="AG42" s="158">
        <f>COUNTIFS('2025-Q2'!$E$4:$E$422,'SPDR Chart'!AG$3,'2025-Q2'!$F$4:$F$422,'SPDR Chart'!$B42,'2025-Q2'!$D$4:$D$422,"N")</f>
        <v>0</v>
      </c>
      <c r="AH42" s="158">
        <f>COUNTIFS('2025-Q2'!$E$4:$E$422,'SPDR Chart'!AH$3,'2025-Q2'!$F$4:$F$422,'SPDR Chart'!$B42,'2025-Q2'!$D$4:$D$422,"N")</f>
        <v>0</v>
      </c>
      <c r="AI42" s="158">
        <f>COUNTIFS('2025-Q2'!$E$4:$E$422,'SPDR Chart'!AI$3,'2025-Q2'!$F$4:$F$422,'SPDR Chart'!$B42,'2025-Q2'!$D$4:$D$422,"N")</f>
        <v>0</v>
      </c>
      <c r="AJ42" s="363">
        <f>COUNTIFS('2025-Q2'!$E$4:$E$422,'SPDR Chart'!AJ$3,'2025-Q2'!$F$4:$F$422,'SPDR Chart'!$B42,'2025-Q2'!$D$4:$D$422,"N")</f>
        <v>0</v>
      </c>
      <c r="AK42" s="457">
        <f t="shared" si="5"/>
        <v>0</v>
      </c>
      <c r="AL42" s="458">
        <f>SUM($AK$4:AK42)/SUM($AK$4:$AK$86)</f>
        <v>0.4925373134328358</v>
      </c>
    </row>
    <row r="43" spans="2:38" x14ac:dyDescent="0.25">
      <c r="B43" s="366">
        <v>45795</v>
      </c>
      <c r="C43" s="158">
        <f>COUNTIFS('2025-Q2'!$E$4:$E$422,'SPDR Chart'!C$3,'2025-Q2'!$F$4:$F$422,'SPDR Chart'!$B43,'2025-Q2'!$D$4:$D$422,"Y")</f>
        <v>0</v>
      </c>
      <c r="D43" s="158">
        <f>COUNTIFS('2025-Q2'!$E$4:$E$422,'SPDR Chart'!D$3,'2025-Q2'!$F$4:$F$422,'SPDR Chart'!$B43,'2025-Q2'!$D$4:$D$422,"Y")</f>
        <v>0</v>
      </c>
      <c r="E43" s="158">
        <f>COUNTIFS('2025-Q2'!$E$4:$E$422,'SPDR Chart'!E$3,'2025-Q2'!$F$4:$F$422,'SPDR Chart'!$B43,'2025-Q2'!$D$4:$D$422,"Y")</f>
        <v>0</v>
      </c>
      <c r="F43" s="158">
        <f>COUNTIFS('2025-Q2'!$E$4:$E$422,'SPDR Chart'!F$3,'2025-Q2'!$F$4:$F$422,'SPDR Chart'!$B43,'2025-Q2'!$D$4:$D$422,"Y")</f>
        <v>0</v>
      </c>
      <c r="G43" s="158">
        <f>COUNTIFS('2025-Q2'!$E$4:$E$422,'SPDR Chart'!G$3,'2025-Q2'!$F$4:$F$422,'SPDR Chart'!$B43,'2025-Q2'!$D$4:$D$422,"Y")</f>
        <v>0</v>
      </c>
      <c r="H43" s="158">
        <f>COUNTIFS('2025-Q2'!$E$4:$E$422,'SPDR Chart'!H$3,'2025-Q2'!$F$4:$F$422,'SPDR Chart'!$B43,'2025-Q2'!$D$4:$D$422,"Y")</f>
        <v>0</v>
      </c>
      <c r="I43" s="158">
        <f>COUNTIFS('2025-Q2'!$E$4:$E$422,'SPDR Chart'!I$3,'2025-Q2'!$F$4:$F$422,'SPDR Chart'!$B43,'2025-Q2'!$D$4:$D$422,"Y")</f>
        <v>0</v>
      </c>
      <c r="J43" s="158">
        <f>COUNTIFS('2025-Q2'!$E$4:$E$422,'SPDR Chart'!J$3,'2025-Q2'!$F$4:$F$422,'SPDR Chart'!$B43,'2025-Q2'!$D$4:$D$422,"Y")</f>
        <v>0</v>
      </c>
      <c r="K43" s="158">
        <f>COUNTIFS('2025-Q2'!$E$4:$E$422,'SPDR Chart'!K$3,'2025-Q2'!$F$4:$F$422,'SPDR Chart'!$B43,'2025-Q2'!$D$4:$D$422,"Y")</f>
        <v>0</v>
      </c>
      <c r="L43" s="158">
        <f>COUNTIFS('2025-Q2'!$E$4:$E$422,'SPDR Chart'!L$3,'2025-Q2'!$F$4:$F$422,'SPDR Chart'!$B43,'2025-Q2'!$D$4:$D$422,"Y")</f>
        <v>0</v>
      </c>
      <c r="M43" s="158">
        <f>COUNTIFS('2025-Q2'!$E$4:$E$422,'SPDR Chart'!M$3,'2025-Q2'!$F$4:$F$422,'SPDR Chart'!$B43,'2025-Q2'!$D$4:$D$422,"Y")</f>
        <v>0</v>
      </c>
      <c r="N43" s="158">
        <f>COUNTIFS('2025-Q2'!$E$4:$E$422,'SPDR Chart'!N$3,'2025-Q2'!$F$4:$F$422,'SPDR Chart'!$B43,'2025-Q2'!$D$4:$D$422,"Y")</f>
        <v>0</v>
      </c>
      <c r="O43" s="158">
        <f>COUNTIFS('2025-Q2'!$E$4:$E$422,'SPDR Chart'!O$3,'2025-Q2'!$F$4:$F$422,'SPDR Chart'!$B43,'2025-Q2'!$D$4:$D$422,"Y")</f>
        <v>0</v>
      </c>
      <c r="P43" s="158">
        <f>COUNTIFS('2025-Q2'!$E$4:$E$422,'SPDR Chart'!P$3,'2025-Q2'!$F$4:$F$422,'SPDR Chart'!$B43,'2025-Q2'!$D$4:$D$422,"Y")</f>
        <v>0</v>
      </c>
      <c r="Q43" s="363">
        <f>COUNTIFS('2025-Q2'!$E$4:$E$422,'SPDR Chart'!Q$3,'2025-Q2'!$F$4:$F$422,'SPDR Chart'!$B43,'2025-Q2'!$D$4:$D$422,"Y")</f>
        <v>0</v>
      </c>
      <c r="R43" s="457">
        <f t="shared" si="4"/>
        <v>0</v>
      </c>
      <c r="S43" s="458">
        <f>SUM($R$4:R43)/SUM($R$4:$R$86)</f>
        <v>0.87861271676300579</v>
      </c>
      <c r="U43" s="366">
        <v>45795</v>
      </c>
      <c r="V43" s="158">
        <f>COUNTIFS('2025-Q2'!$E$4:$E$422,'SPDR Chart'!V$3,'2025-Q2'!$F$4:$F$422,'SPDR Chart'!$B43,'2025-Q2'!$D$4:$D$422,"N")</f>
        <v>0</v>
      </c>
      <c r="W43" s="158">
        <f>COUNTIFS('2025-Q2'!$E$4:$E$422,'SPDR Chart'!W$3,'2025-Q2'!$F$4:$F$422,'SPDR Chart'!$B43,'2025-Q2'!$D$4:$D$422,"N")</f>
        <v>0</v>
      </c>
      <c r="X43" s="158">
        <f>COUNTIFS('2025-Q2'!$E$4:$E$422,'SPDR Chart'!X$3,'2025-Q2'!$F$4:$F$422,'SPDR Chart'!$B43,'2025-Q2'!$D$4:$D$422,"N")</f>
        <v>0</v>
      </c>
      <c r="Y43" s="158">
        <f>COUNTIFS('2025-Q2'!$E$4:$E$422,'SPDR Chart'!Y$3,'2025-Q2'!$F$4:$F$422,'SPDR Chart'!$B43,'2025-Q2'!$D$4:$D$422,"N")</f>
        <v>0</v>
      </c>
      <c r="Z43" s="158">
        <f>COUNTIFS('2025-Q2'!$E$4:$E$422,'SPDR Chart'!Z$3,'2025-Q2'!$F$4:$F$422,'SPDR Chart'!$B43,'2025-Q2'!$D$4:$D$422,"N")</f>
        <v>0</v>
      </c>
      <c r="AA43" s="158">
        <f>COUNTIFS('2025-Q2'!$E$4:$E$422,'SPDR Chart'!AA$3,'2025-Q2'!$F$4:$F$422,'SPDR Chart'!$B43,'2025-Q2'!$D$4:$D$422,"N")</f>
        <v>0</v>
      </c>
      <c r="AB43" s="158">
        <f>COUNTIFS('2025-Q2'!$E$4:$E$422,'SPDR Chart'!AB$3,'2025-Q2'!$F$4:$F$422,'SPDR Chart'!$B43,'2025-Q2'!$D$4:$D$422,"N")</f>
        <v>0</v>
      </c>
      <c r="AC43" s="158">
        <f>COUNTIFS('2025-Q2'!$E$4:$E$422,'SPDR Chart'!AC$3,'2025-Q2'!$F$4:$F$422,'SPDR Chart'!$B43,'2025-Q2'!$D$4:$D$422,"N")</f>
        <v>0</v>
      </c>
      <c r="AD43" s="158">
        <f>COUNTIFS('2025-Q2'!$E$4:$E$422,'SPDR Chart'!AD$3,'2025-Q2'!$F$4:$F$422,'SPDR Chart'!$B43,'2025-Q2'!$D$4:$D$422,"N")</f>
        <v>0</v>
      </c>
      <c r="AE43" s="158">
        <f>COUNTIFS('2025-Q2'!$E$4:$E$422,'SPDR Chart'!AE$3,'2025-Q2'!$F$4:$F$422,'SPDR Chart'!$B43,'2025-Q2'!$D$4:$D$422,"N")</f>
        <v>0</v>
      </c>
      <c r="AF43" s="158">
        <f>COUNTIFS('2025-Q2'!$E$4:$E$422,'SPDR Chart'!AF$3,'2025-Q2'!$F$4:$F$422,'SPDR Chart'!$B43,'2025-Q2'!$D$4:$D$422,"N")</f>
        <v>0</v>
      </c>
      <c r="AG43" s="158">
        <f>COUNTIFS('2025-Q2'!$E$4:$E$422,'SPDR Chart'!AG$3,'2025-Q2'!$F$4:$F$422,'SPDR Chart'!$B43,'2025-Q2'!$D$4:$D$422,"N")</f>
        <v>0</v>
      </c>
      <c r="AH43" s="158">
        <f>COUNTIFS('2025-Q2'!$E$4:$E$422,'SPDR Chart'!AH$3,'2025-Q2'!$F$4:$F$422,'SPDR Chart'!$B43,'2025-Q2'!$D$4:$D$422,"N")</f>
        <v>0</v>
      </c>
      <c r="AI43" s="158">
        <f>COUNTIFS('2025-Q2'!$E$4:$E$422,'SPDR Chart'!AI$3,'2025-Q2'!$F$4:$F$422,'SPDR Chart'!$B43,'2025-Q2'!$D$4:$D$422,"N")</f>
        <v>0</v>
      </c>
      <c r="AJ43" s="363">
        <f>COUNTIFS('2025-Q2'!$E$4:$E$422,'SPDR Chart'!AJ$3,'2025-Q2'!$F$4:$F$422,'SPDR Chart'!$B43,'2025-Q2'!$D$4:$D$422,"N")</f>
        <v>0</v>
      </c>
      <c r="AK43" s="457">
        <f t="shared" si="5"/>
        <v>0</v>
      </c>
      <c r="AL43" s="458">
        <f>SUM($AK$4:AK43)/SUM($AK$4:$AK$86)</f>
        <v>0.4925373134328358</v>
      </c>
    </row>
    <row r="44" spans="2:38" x14ac:dyDescent="0.25">
      <c r="B44" s="366">
        <v>45796</v>
      </c>
      <c r="C44" s="158">
        <f>COUNTIFS('2025-Q2'!$E$4:$E$422,'SPDR Chart'!C$3,'2025-Q2'!$F$4:$F$422,'SPDR Chart'!$B44,'2025-Q2'!$D$4:$D$422,"Y")</f>
        <v>0</v>
      </c>
      <c r="D44" s="158">
        <f>COUNTIFS('2025-Q2'!$E$4:$E$422,'SPDR Chart'!D$3,'2025-Q2'!$F$4:$F$422,'SPDR Chart'!$B44,'2025-Q2'!$D$4:$D$422,"Y")</f>
        <v>0</v>
      </c>
      <c r="E44" s="158">
        <f>COUNTIFS('2025-Q2'!$E$4:$E$422,'SPDR Chart'!E$3,'2025-Q2'!$F$4:$F$422,'SPDR Chart'!$B44,'2025-Q2'!$D$4:$D$422,"Y")</f>
        <v>0</v>
      </c>
      <c r="F44" s="158">
        <f>COUNTIFS('2025-Q2'!$E$4:$E$422,'SPDR Chart'!F$3,'2025-Q2'!$F$4:$F$422,'SPDR Chart'!$B44,'2025-Q2'!$D$4:$D$422,"Y")</f>
        <v>0</v>
      </c>
      <c r="G44" s="158">
        <f>COUNTIFS('2025-Q2'!$E$4:$E$422,'SPDR Chart'!G$3,'2025-Q2'!$F$4:$F$422,'SPDR Chart'!$B44,'2025-Q2'!$D$4:$D$422,"Y")</f>
        <v>0</v>
      </c>
      <c r="H44" s="158">
        <f>COUNTIFS('2025-Q2'!$E$4:$E$422,'SPDR Chart'!H$3,'2025-Q2'!$F$4:$F$422,'SPDR Chart'!$B44,'2025-Q2'!$D$4:$D$422,"Y")</f>
        <v>0</v>
      </c>
      <c r="I44" s="158">
        <f>COUNTIFS('2025-Q2'!$E$4:$E$422,'SPDR Chart'!I$3,'2025-Q2'!$F$4:$F$422,'SPDR Chart'!$B44,'2025-Q2'!$D$4:$D$422,"Y")</f>
        <v>0</v>
      </c>
      <c r="J44" s="158">
        <f>COUNTIFS('2025-Q2'!$E$4:$E$422,'SPDR Chart'!J$3,'2025-Q2'!$F$4:$F$422,'SPDR Chart'!$B44,'2025-Q2'!$D$4:$D$422,"Y")</f>
        <v>0</v>
      </c>
      <c r="K44" s="158">
        <f>COUNTIFS('2025-Q2'!$E$4:$E$422,'SPDR Chart'!K$3,'2025-Q2'!$F$4:$F$422,'SPDR Chart'!$B44,'2025-Q2'!$D$4:$D$422,"Y")</f>
        <v>0</v>
      </c>
      <c r="L44" s="158">
        <f>COUNTIFS('2025-Q2'!$E$4:$E$422,'SPDR Chart'!L$3,'2025-Q2'!$F$4:$F$422,'SPDR Chart'!$B44,'2025-Q2'!$D$4:$D$422,"Y")</f>
        <v>0</v>
      </c>
      <c r="M44" s="158">
        <f>COUNTIFS('2025-Q2'!$E$4:$E$422,'SPDR Chart'!M$3,'2025-Q2'!$F$4:$F$422,'SPDR Chart'!$B44,'2025-Q2'!$D$4:$D$422,"Y")</f>
        <v>0</v>
      </c>
      <c r="N44" s="158">
        <f>COUNTIFS('2025-Q2'!$E$4:$E$422,'SPDR Chart'!N$3,'2025-Q2'!$F$4:$F$422,'SPDR Chart'!$B44,'2025-Q2'!$D$4:$D$422,"Y")</f>
        <v>0</v>
      </c>
      <c r="O44" s="158">
        <f>COUNTIFS('2025-Q2'!$E$4:$E$422,'SPDR Chart'!O$3,'2025-Q2'!$F$4:$F$422,'SPDR Chart'!$B44,'2025-Q2'!$D$4:$D$422,"Y")</f>
        <v>0</v>
      </c>
      <c r="P44" s="158">
        <f>COUNTIFS('2025-Q2'!$E$4:$E$422,'SPDR Chart'!P$3,'2025-Q2'!$F$4:$F$422,'SPDR Chart'!$B44,'2025-Q2'!$D$4:$D$422,"Y")</f>
        <v>0</v>
      </c>
      <c r="Q44" s="363">
        <f>COUNTIFS('2025-Q2'!$E$4:$E$422,'SPDR Chart'!Q$3,'2025-Q2'!$F$4:$F$422,'SPDR Chart'!$B44,'2025-Q2'!$D$4:$D$422,"Y")</f>
        <v>0</v>
      </c>
      <c r="R44" s="457">
        <f t="shared" si="4"/>
        <v>0</v>
      </c>
      <c r="S44" s="458">
        <f>SUM($R$4:R44)/SUM($R$4:$R$86)</f>
        <v>0.87861271676300579</v>
      </c>
      <c r="U44" s="366">
        <v>45796</v>
      </c>
      <c r="V44" s="158">
        <f>COUNTIFS('2025-Q2'!$E$4:$E$422,'SPDR Chart'!V$3,'2025-Q2'!$F$4:$F$422,'SPDR Chart'!$B44,'2025-Q2'!$D$4:$D$422,"N")</f>
        <v>0</v>
      </c>
      <c r="W44" s="158">
        <f>COUNTIFS('2025-Q2'!$E$4:$E$422,'SPDR Chart'!W$3,'2025-Q2'!$F$4:$F$422,'SPDR Chart'!$B44,'2025-Q2'!$D$4:$D$422,"N")</f>
        <v>0</v>
      </c>
      <c r="X44" s="158">
        <f>COUNTIFS('2025-Q2'!$E$4:$E$422,'SPDR Chart'!X$3,'2025-Q2'!$F$4:$F$422,'SPDR Chart'!$B44,'2025-Q2'!$D$4:$D$422,"N")</f>
        <v>0</v>
      </c>
      <c r="Y44" s="158">
        <f>COUNTIFS('2025-Q2'!$E$4:$E$422,'SPDR Chart'!Y$3,'2025-Q2'!$F$4:$F$422,'SPDR Chart'!$B44,'2025-Q2'!$D$4:$D$422,"N")</f>
        <v>0</v>
      </c>
      <c r="Z44" s="158">
        <f>COUNTIFS('2025-Q2'!$E$4:$E$422,'SPDR Chart'!Z$3,'2025-Q2'!$F$4:$F$422,'SPDR Chart'!$B44,'2025-Q2'!$D$4:$D$422,"N")</f>
        <v>0</v>
      </c>
      <c r="AA44" s="158">
        <f>COUNTIFS('2025-Q2'!$E$4:$E$422,'SPDR Chart'!AA$3,'2025-Q2'!$F$4:$F$422,'SPDR Chart'!$B44,'2025-Q2'!$D$4:$D$422,"N")</f>
        <v>0</v>
      </c>
      <c r="AB44" s="158">
        <f>COUNTIFS('2025-Q2'!$E$4:$E$422,'SPDR Chart'!AB$3,'2025-Q2'!$F$4:$F$422,'SPDR Chart'!$B44,'2025-Q2'!$D$4:$D$422,"N")</f>
        <v>0</v>
      </c>
      <c r="AC44" s="158">
        <f>COUNTIFS('2025-Q2'!$E$4:$E$422,'SPDR Chart'!AC$3,'2025-Q2'!$F$4:$F$422,'SPDR Chart'!$B44,'2025-Q2'!$D$4:$D$422,"N")</f>
        <v>0</v>
      </c>
      <c r="AD44" s="158">
        <f>COUNTIFS('2025-Q2'!$E$4:$E$422,'SPDR Chart'!AD$3,'2025-Q2'!$F$4:$F$422,'SPDR Chart'!$B44,'2025-Q2'!$D$4:$D$422,"N")</f>
        <v>0</v>
      </c>
      <c r="AE44" s="158">
        <f>COUNTIFS('2025-Q2'!$E$4:$E$422,'SPDR Chart'!AE$3,'2025-Q2'!$F$4:$F$422,'SPDR Chart'!$B44,'2025-Q2'!$D$4:$D$422,"N")</f>
        <v>0</v>
      </c>
      <c r="AF44" s="158">
        <f>COUNTIFS('2025-Q2'!$E$4:$E$422,'SPDR Chart'!AF$3,'2025-Q2'!$F$4:$F$422,'SPDR Chart'!$B44,'2025-Q2'!$D$4:$D$422,"N")</f>
        <v>0</v>
      </c>
      <c r="AG44" s="158">
        <f>COUNTIFS('2025-Q2'!$E$4:$E$422,'SPDR Chart'!AG$3,'2025-Q2'!$F$4:$F$422,'SPDR Chart'!$B44,'2025-Q2'!$D$4:$D$422,"N")</f>
        <v>0</v>
      </c>
      <c r="AH44" s="158">
        <f>COUNTIFS('2025-Q2'!$E$4:$E$422,'SPDR Chart'!AH$3,'2025-Q2'!$F$4:$F$422,'SPDR Chart'!$B44,'2025-Q2'!$D$4:$D$422,"N")</f>
        <v>0</v>
      </c>
      <c r="AI44" s="158">
        <f>COUNTIFS('2025-Q2'!$E$4:$E$422,'SPDR Chart'!AI$3,'2025-Q2'!$F$4:$F$422,'SPDR Chart'!$B44,'2025-Q2'!$D$4:$D$422,"N")</f>
        <v>0</v>
      </c>
      <c r="AJ44" s="363">
        <f>COUNTIFS('2025-Q2'!$E$4:$E$422,'SPDR Chart'!AJ$3,'2025-Q2'!$F$4:$F$422,'SPDR Chart'!$B44,'2025-Q2'!$D$4:$D$422,"N")</f>
        <v>0</v>
      </c>
      <c r="AK44" s="457">
        <f t="shared" si="5"/>
        <v>0</v>
      </c>
      <c r="AL44" s="458">
        <f>SUM($AK$4:AK44)/SUM($AK$4:$AK$86)</f>
        <v>0.4925373134328358</v>
      </c>
    </row>
    <row r="45" spans="2:38" x14ac:dyDescent="0.25">
      <c r="B45" s="366">
        <v>45797</v>
      </c>
      <c r="C45" s="158">
        <f>COUNTIFS('2025-Q2'!$E$4:$E$422,'SPDR Chart'!C$3,'2025-Q2'!$F$4:$F$422,'SPDR Chart'!$B45,'2025-Q2'!$D$4:$D$422,"Y")</f>
        <v>0</v>
      </c>
      <c r="D45" s="158">
        <f>COUNTIFS('2025-Q2'!$E$4:$E$422,'SPDR Chart'!D$3,'2025-Q2'!$F$4:$F$422,'SPDR Chart'!$B45,'2025-Q2'!$D$4:$D$422,"Y")</f>
        <v>0</v>
      </c>
      <c r="E45" s="158">
        <f>COUNTIFS('2025-Q2'!$E$4:$E$422,'SPDR Chart'!E$3,'2025-Q2'!$F$4:$F$422,'SPDR Chart'!$B45,'2025-Q2'!$D$4:$D$422,"Y")</f>
        <v>0</v>
      </c>
      <c r="F45" s="158">
        <f>COUNTIFS('2025-Q2'!$E$4:$E$422,'SPDR Chart'!F$3,'2025-Q2'!$F$4:$F$422,'SPDR Chart'!$B45,'2025-Q2'!$D$4:$D$422,"Y")</f>
        <v>0</v>
      </c>
      <c r="G45" s="158">
        <f>COUNTIFS('2025-Q2'!$E$4:$E$422,'SPDR Chart'!G$3,'2025-Q2'!$F$4:$F$422,'SPDR Chart'!$B45,'2025-Q2'!$D$4:$D$422,"Y")</f>
        <v>0</v>
      </c>
      <c r="H45" s="158">
        <f>COUNTIFS('2025-Q2'!$E$4:$E$422,'SPDR Chart'!H$3,'2025-Q2'!$F$4:$F$422,'SPDR Chart'!$B45,'2025-Q2'!$D$4:$D$422,"Y")</f>
        <v>0</v>
      </c>
      <c r="I45" s="158">
        <f>COUNTIFS('2025-Q2'!$E$4:$E$422,'SPDR Chart'!I$3,'2025-Q2'!$F$4:$F$422,'SPDR Chart'!$B45,'2025-Q2'!$D$4:$D$422,"Y")</f>
        <v>0</v>
      </c>
      <c r="J45" s="158">
        <f>COUNTIFS('2025-Q2'!$E$4:$E$422,'SPDR Chart'!J$3,'2025-Q2'!$F$4:$F$422,'SPDR Chart'!$B45,'2025-Q2'!$D$4:$D$422,"Y")</f>
        <v>1</v>
      </c>
      <c r="K45" s="158">
        <f>COUNTIFS('2025-Q2'!$E$4:$E$422,'SPDR Chart'!K$3,'2025-Q2'!$F$4:$F$422,'SPDR Chart'!$B45,'2025-Q2'!$D$4:$D$422,"Y")</f>
        <v>0</v>
      </c>
      <c r="L45" s="158">
        <f>COUNTIFS('2025-Q2'!$E$4:$E$422,'SPDR Chart'!L$3,'2025-Q2'!$F$4:$F$422,'SPDR Chart'!$B45,'2025-Q2'!$D$4:$D$422,"Y")</f>
        <v>0</v>
      </c>
      <c r="M45" s="158">
        <f>COUNTIFS('2025-Q2'!$E$4:$E$422,'SPDR Chart'!M$3,'2025-Q2'!$F$4:$F$422,'SPDR Chart'!$B45,'2025-Q2'!$D$4:$D$422,"Y")</f>
        <v>0</v>
      </c>
      <c r="N45" s="158">
        <f>COUNTIFS('2025-Q2'!$E$4:$E$422,'SPDR Chart'!N$3,'2025-Q2'!$F$4:$F$422,'SPDR Chart'!$B45,'2025-Q2'!$D$4:$D$422,"Y")</f>
        <v>0</v>
      </c>
      <c r="O45" s="158">
        <f>COUNTIFS('2025-Q2'!$E$4:$E$422,'SPDR Chart'!O$3,'2025-Q2'!$F$4:$F$422,'SPDR Chart'!$B45,'2025-Q2'!$D$4:$D$422,"Y")</f>
        <v>0</v>
      </c>
      <c r="P45" s="158">
        <f>COUNTIFS('2025-Q2'!$E$4:$E$422,'SPDR Chart'!P$3,'2025-Q2'!$F$4:$F$422,'SPDR Chart'!$B45,'2025-Q2'!$D$4:$D$422,"Y")</f>
        <v>0</v>
      </c>
      <c r="Q45" s="363">
        <f>COUNTIFS('2025-Q2'!$E$4:$E$422,'SPDR Chart'!Q$3,'2025-Q2'!$F$4:$F$422,'SPDR Chart'!$B45,'2025-Q2'!$D$4:$D$422,"Y")</f>
        <v>1</v>
      </c>
      <c r="R45" s="457">
        <f t="shared" si="4"/>
        <v>2</v>
      </c>
      <c r="S45" s="458">
        <f>SUM($R$4:R45)/SUM($R$4:$R$86)</f>
        <v>0.88439306358381498</v>
      </c>
      <c r="U45" s="366">
        <v>45797</v>
      </c>
      <c r="V45" s="158">
        <f>COUNTIFS('2025-Q2'!$E$4:$E$422,'SPDR Chart'!V$3,'2025-Q2'!$F$4:$F$422,'SPDR Chart'!$B45,'2025-Q2'!$D$4:$D$422,"N")</f>
        <v>0</v>
      </c>
      <c r="W45" s="158">
        <f>COUNTIFS('2025-Q2'!$E$4:$E$422,'SPDR Chart'!W$3,'2025-Q2'!$F$4:$F$422,'SPDR Chart'!$B45,'2025-Q2'!$D$4:$D$422,"N")</f>
        <v>0</v>
      </c>
      <c r="X45" s="158">
        <f>COUNTIFS('2025-Q2'!$E$4:$E$422,'SPDR Chart'!X$3,'2025-Q2'!$F$4:$F$422,'SPDR Chart'!$B45,'2025-Q2'!$D$4:$D$422,"N")</f>
        <v>1</v>
      </c>
      <c r="Y45" s="158">
        <f>COUNTIFS('2025-Q2'!$E$4:$E$422,'SPDR Chart'!Y$3,'2025-Q2'!$F$4:$F$422,'SPDR Chart'!$B45,'2025-Q2'!$D$4:$D$422,"N")</f>
        <v>0</v>
      </c>
      <c r="Z45" s="158">
        <f>COUNTIFS('2025-Q2'!$E$4:$E$422,'SPDR Chart'!Z$3,'2025-Q2'!$F$4:$F$422,'SPDR Chart'!$B45,'2025-Q2'!$D$4:$D$422,"N")</f>
        <v>0</v>
      </c>
      <c r="AA45" s="158">
        <f>COUNTIFS('2025-Q2'!$E$4:$E$422,'SPDR Chart'!AA$3,'2025-Q2'!$F$4:$F$422,'SPDR Chart'!$B45,'2025-Q2'!$D$4:$D$422,"N")</f>
        <v>0</v>
      </c>
      <c r="AB45" s="158">
        <f>COUNTIFS('2025-Q2'!$E$4:$E$422,'SPDR Chart'!AB$3,'2025-Q2'!$F$4:$F$422,'SPDR Chart'!$B45,'2025-Q2'!$D$4:$D$422,"N")</f>
        <v>0</v>
      </c>
      <c r="AC45" s="158">
        <f>COUNTIFS('2025-Q2'!$E$4:$E$422,'SPDR Chart'!AC$3,'2025-Q2'!$F$4:$F$422,'SPDR Chart'!$B45,'2025-Q2'!$D$4:$D$422,"N")</f>
        <v>0</v>
      </c>
      <c r="AD45" s="158">
        <f>COUNTIFS('2025-Q2'!$E$4:$E$422,'SPDR Chart'!AD$3,'2025-Q2'!$F$4:$F$422,'SPDR Chart'!$B45,'2025-Q2'!$D$4:$D$422,"N")</f>
        <v>0</v>
      </c>
      <c r="AE45" s="158">
        <f>COUNTIFS('2025-Q2'!$E$4:$E$422,'SPDR Chart'!AE$3,'2025-Q2'!$F$4:$F$422,'SPDR Chart'!$B45,'2025-Q2'!$D$4:$D$422,"N")</f>
        <v>0</v>
      </c>
      <c r="AF45" s="158">
        <f>COUNTIFS('2025-Q2'!$E$4:$E$422,'SPDR Chart'!AF$3,'2025-Q2'!$F$4:$F$422,'SPDR Chart'!$B45,'2025-Q2'!$D$4:$D$422,"N")</f>
        <v>1</v>
      </c>
      <c r="AG45" s="158">
        <f>COUNTIFS('2025-Q2'!$E$4:$E$422,'SPDR Chart'!AG$3,'2025-Q2'!$F$4:$F$422,'SPDR Chart'!$B45,'2025-Q2'!$D$4:$D$422,"N")</f>
        <v>0</v>
      </c>
      <c r="AH45" s="158">
        <f>COUNTIFS('2025-Q2'!$E$4:$E$422,'SPDR Chart'!AH$3,'2025-Q2'!$F$4:$F$422,'SPDR Chart'!$B45,'2025-Q2'!$D$4:$D$422,"N")</f>
        <v>0</v>
      </c>
      <c r="AI45" s="158">
        <f>COUNTIFS('2025-Q2'!$E$4:$E$422,'SPDR Chart'!AI$3,'2025-Q2'!$F$4:$F$422,'SPDR Chart'!$B45,'2025-Q2'!$D$4:$D$422,"N")</f>
        <v>0</v>
      </c>
      <c r="AJ45" s="363">
        <f>COUNTIFS('2025-Q2'!$E$4:$E$422,'SPDR Chart'!AJ$3,'2025-Q2'!$F$4:$F$422,'SPDR Chart'!$B45,'2025-Q2'!$D$4:$D$422,"N")</f>
        <v>0</v>
      </c>
      <c r="AK45" s="457">
        <f t="shared" si="5"/>
        <v>2</v>
      </c>
      <c r="AL45" s="458">
        <f>SUM($AK$4:AK45)/SUM($AK$4:$AK$86)</f>
        <v>0.52238805970149249</v>
      </c>
    </row>
    <row r="46" spans="2:38" x14ac:dyDescent="0.25">
      <c r="B46" s="366">
        <v>45798</v>
      </c>
      <c r="C46" s="158">
        <f>COUNTIFS('2025-Q2'!$E$4:$E$422,'SPDR Chart'!C$3,'2025-Q2'!$F$4:$F$422,'SPDR Chart'!$B46,'2025-Q2'!$D$4:$D$422,"Y")</f>
        <v>1</v>
      </c>
      <c r="D46" s="158">
        <f>COUNTIFS('2025-Q2'!$E$4:$E$422,'SPDR Chart'!D$3,'2025-Q2'!$F$4:$F$422,'SPDR Chart'!$B46,'2025-Q2'!$D$4:$D$422,"Y")</f>
        <v>0</v>
      </c>
      <c r="E46" s="158">
        <f>COUNTIFS('2025-Q2'!$E$4:$E$422,'SPDR Chart'!E$3,'2025-Q2'!$F$4:$F$422,'SPDR Chart'!$B46,'2025-Q2'!$D$4:$D$422,"Y")</f>
        <v>0</v>
      </c>
      <c r="F46" s="158">
        <f>COUNTIFS('2025-Q2'!$E$4:$E$422,'SPDR Chart'!F$3,'2025-Q2'!$F$4:$F$422,'SPDR Chart'!$B46,'2025-Q2'!$D$4:$D$422,"Y")</f>
        <v>0</v>
      </c>
      <c r="G46" s="158">
        <f>COUNTIFS('2025-Q2'!$E$4:$E$422,'SPDR Chart'!G$3,'2025-Q2'!$F$4:$F$422,'SPDR Chart'!$B46,'2025-Q2'!$D$4:$D$422,"Y")</f>
        <v>1</v>
      </c>
      <c r="H46" s="158">
        <f>COUNTIFS('2025-Q2'!$E$4:$E$422,'SPDR Chart'!H$3,'2025-Q2'!$F$4:$F$422,'SPDR Chart'!$B46,'2025-Q2'!$D$4:$D$422,"Y")</f>
        <v>0</v>
      </c>
      <c r="I46" s="158">
        <f>COUNTIFS('2025-Q2'!$E$4:$E$422,'SPDR Chart'!I$3,'2025-Q2'!$F$4:$F$422,'SPDR Chart'!$B46,'2025-Q2'!$D$4:$D$422,"Y")</f>
        <v>0</v>
      </c>
      <c r="J46" s="158">
        <f>COUNTIFS('2025-Q2'!$E$4:$E$422,'SPDR Chart'!J$3,'2025-Q2'!$F$4:$F$422,'SPDR Chart'!$B46,'2025-Q2'!$D$4:$D$422,"Y")</f>
        <v>2</v>
      </c>
      <c r="K46" s="158">
        <f>COUNTIFS('2025-Q2'!$E$4:$E$422,'SPDR Chart'!K$3,'2025-Q2'!$F$4:$F$422,'SPDR Chart'!$B46,'2025-Q2'!$D$4:$D$422,"Y")</f>
        <v>0</v>
      </c>
      <c r="L46" s="158">
        <f>COUNTIFS('2025-Q2'!$E$4:$E$422,'SPDR Chart'!L$3,'2025-Q2'!$F$4:$F$422,'SPDR Chart'!$B46,'2025-Q2'!$D$4:$D$422,"Y")</f>
        <v>0</v>
      </c>
      <c r="M46" s="158">
        <f>COUNTIFS('2025-Q2'!$E$4:$E$422,'SPDR Chart'!M$3,'2025-Q2'!$F$4:$F$422,'SPDR Chart'!$B46,'2025-Q2'!$D$4:$D$422,"Y")</f>
        <v>0</v>
      </c>
      <c r="N46" s="158">
        <f>COUNTIFS('2025-Q2'!$E$4:$E$422,'SPDR Chart'!N$3,'2025-Q2'!$F$4:$F$422,'SPDR Chart'!$B46,'2025-Q2'!$D$4:$D$422,"Y")</f>
        <v>0</v>
      </c>
      <c r="O46" s="158">
        <f>COUNTIFS('2025-Q2'!$E$4:$E$422,'SPDR Chart'!O$3,'2025-Q2'!$F$4:$F$422,'SPDR Chart'!$B46,'2025-Q2'!$D$4:$D$422,"Y")</f>
        <v>0</v>
      </c>
      <c r="P46" s="158">
        <f>COUNTIFS('2025-Q2'!$E$4:$E$422,'SPDR Chart'!P$3,'2025-Q2'!$F$4:$F$422,'SPDR Chart'!$B46,'2025-Q2'!$D$4:$D$422,"Y")</f>
        <v>0</v>
      </c>
      <c r="Q46" s="363">
        <f>COUNTIFS('2025-Q2'!$E$4:$E$422,'SPDR Chart'!Q$3,'2025-Q2'!$F$4:$F$422,'SPDR Chart'!$B46,'2025-Q2'!$D$4:$D$422,"Y")</f>
        <v>0</v>
      </c>
      <c r="R46" s="457">
        <f t="shared" si="4"/>
        <v>4</v>
      </c>
      <c r="S46" s="458">
        <f>SUM($R$4:R46)/SUM($R$4:$R$86)</f>
        <v>0.89595375722543358</v>
      </c>
      <c r="U46" s="366">
        <v>45798</v>
      </c>
      <c r="V46" s="158">
        <f>COUNTIFS('2025-Q2'!$E$4:$E$422,'SPDR Chart'!V$3,'2025-Q2'!$F$4:$F$422,'SPDR Chart'!$B46,'2025-Q2'!$D$4:$D$422,"N")</f>
        <v>0</v>
      </c>
      <c r="W46" s="158">
        <f>COUNTIFS('2025-Q2'!$E$4:$E$422,'SPDR Chart'!W$3,'2025-Q2'!$F$4:$F$422,'SPDR Chart'!$B46,'2025-Q2'!$D$4:$D$422,"N")</f>
        <v>0</v>
      </c>
      <c r="X46" s="158">
        <f>COUNTIFS('2025-Q2'!$E$4:$E$422,'SPDR Chart'!X$3,'2025-Q2'!$F$4:$F$422,'SPDR Chart'!$B46,'2025-Q2'!$D$4:$D$422,"N")</f>
        <v>0</v>
      </c>
      <c r="Y46" s="158">
        <f>COUNTIFS('2025-Q2'!$E$4:$E$422,'SPDR Chart'!Y$3,'2025-Q2'!$F$4:$F$422,'SPDR Chart'!$B46,'2025-Q2'!$D$4:$D$422,"N")</f>
        <v>0</v>
      </c>
      <c r="Z46" s="158">
        <f>COUNTIFS('2025-Q2'!$E$4:$E$422,'SPDR Chart'!Z$3,'2025-Q2'!$F$4:$F$422,'SPDR Chart'!$B46,'2025-Q2'!$D$4:$D$422,"N")</f>
        <v>0</v>
      </c>
      <c r="AA46" s="158">
        <f>COUNTIFS('2025-Q2'!$E$4:$E$422,'SPDR Chart'!AA$3,'2025-Q2'!$F$4:$F$422,'SPDR Chart'!$B46,'2025-Q2'!$D$4:$D$422,"N")</f>
        <v>0</v>
      </c>
      <c r="AB46" s="158">
        <f>COUNTIFS('2025-Q2'!$E$4:$E$422,'SPDR Chart'!AB$3,'2025-Q2'!$F$4:$F$422,'SPDR Chart'!$B46,'2025-Q2'!$D$4:$D$422,"N")</f>
        <v>0</v>
      </c>
      <c r="AC46" s="158">
        <f>COUNTIFS('2025-Q2'!$E$4:$E$422,'SPDR Chart'!AC$3,'2025-Q2'!$F$4:$F$422,'SPDR Chart'!$B46,'2025-Q2'!$D$4:$D$422,"N")</f>
        <v>0</v>
      </c>
      <c r="AD46" s="158">
        <f>COUNTIFS('2025-Q2'!$E$4:$E$422,'SPDR Chart'!AD$3,'2025-Q2'!$F$4:$F$422,'SPDR Chart'!$B46,'2025-Q2'!$D$4:$D$422,"N")</f>
        <v>0</v>
      </c>
      <c r="AE46" s="158">
        <f>COUNTIFS('2025-Q2'!$E$4:$E$422,'SPDR Chart'!AE$3,'2025-Q2'!$F$4:$F$422,'SPDR Chart'!$B46,'2025-Q2'!$D$4:$D$422,"N")</f>
        <v>0</v>
      </c>
      <c r="AF46" s="158">
        <f>COUNTIFS('2025-Q2'!$E$4:$E$422,'SPDR Chart'!AF$3,'2025-Q2'!$F$4:$F$422,'SPDR Chart'!$B46,'2025-Q2'!$D$4:$D$422,"N")</f>
        <v>0</v>
      </c>
      <c r="AG46" s="158">
        <f>COUNTIFS('2025-Q2'!$E$4:$E$422,'SPDR Chart'!AG$3,'2025-Q2'!$F$4:$F$422,'SPDR Chart'!$B46,'2025-Q2'!$D$4:$D$422,"N")</f>
        <v>0</v>
      </c>
      <c r="AH46" s="158">
        <f>COUNTIFS('2025-Q2'!$E$4:$E$422,'SPDR Chart'!AH$3,'2025-Q2'!$F$4:$F$422,'SPDR Chart'!$B46,'2025-Q2'!$D$4:$D$422,"N")</f>
        <v>0</v>
      </c>
      <c r="AI46" s="158">
        <f>COUNTIFS('2025-Q2'!$E$4:$E$422,'SPDR Chart'!AI$3,'2025-Q2'!$F$4:$F$422,'SPDR Chart'!$B46,'2025-Q2'!$D$4:$D$422,"N")</f>
        <v>0</v>
      </c>
      <c r="AJ46" s="363">
        <f>COUNTIFS('2025-Q2'!$E$4:$E$422,'SPDR Chart'!AJ$3,'2025-Q2'!$F$4:$F$422,'SPDR Chart'!$B46,'2025-Q2'!$D$4:$D$422,"N")</f>
        <v>1</v>
      </c>
      <c r="AK46" s="457">
        <f t="shared" si="5"/>
        <v>1</v>
      </c>
      <c r="AL46" s="458">
        <f>SUM($AK$4:AK46)/SUM($AK$4:$AK$86)</f>
        <v>0.53731343283582089</v>
      </c>
    </row>
    <row r="47" spans="2:38" x14ac:dyDescent="0.25">
      <c r="B47" s="366">
        <v>45799</v>
      </c>
      <c r="C47" s="158">
        <f>COUNTIFS('2025-Q2'!$E$4:$E$422,'SPDR Chart'!C$3,'2025-Q2'!$F$4:$F$422,'SPDR Chart'!$B47,'2025-Q2'!$D$4:$D$422,"Y")</f>
        <v>0</v>
      </c>
      <c r="D47" s="158">
        <f>COUNTIFS('2025-Q2'!$E$4:$E$422,'SPDR Chart'!D$3,'2025-Q2'!$F$4:$F$422,'SPDR Chart'!$B47,'2025-Q2'!$D$4:$D$422,"Y")</f>
        <v>1</v>
      </c>
      <c r="E47" s="158">
        <f>COUNTIFS('2025-Q2'!$E$4:$E$422,'SPDR Chart'!E$3,'2025-Q2'!$F$4:$F$422,'SPDR Chart'!$B47,'2025-Q2'!$D$4:$D$422,"Y")</f>
        <v>0</v>
      </c>
      <c r="F47" s="158">
        <f>COUNTIFS('2025-Q2'!$E$4:$E$422,'SPDR Chart'!F$3,'2025-Q2'!$F$4:$F$422,'SPDR Chart'!$B47,'2025-Q2'!$D$4:$D$422,"Y")</f>
        <v>0</v>
      </c>
      <c r="G47" s="158">
        <f>COUNTIFS('2025-Q2'!$E$4:$E$422,'SPDR Chart'!G$3,'2025-Q2'!$F$4:$F$422,'SPDR Chart'!$B47,'2025-Q2'!$D$4:$D$422,"Y")</f>
        <v>0</v>
      </c>
      <c r="H47" s="158">
        <f>COUNTIFS('2025-Q2'!$E$4:$E$422,'SPDR Chart'!H$3,'2025-Q2'!$F$4:$F$422,'SPDR Chart'!$B47,'2025-Q2'!$D$4:$D$422,"Y")</f>
        <v>0</v>
      </c>
      <c r="I47" s="158">
        <f>COUNTIFS('2025-Q2'!$E$4:$E$422,'SPDR Chart'!I$3,'2025-Q2'!$F$4:$F$422,'SPDR Chart'!$B47,'2025-Q2'!$D$4:$D$422,"Y")</f>
        <v>0</v>
      </c>
      <c r="J47" s="158">
        <f>COUNTIFS('2025-Q2'!$E$4:$E$422,'SPDR Chart'!J$3,'2025-Q2'!$F$4:$F$422,'SPDR Chart'!$B47,'2025-Q2'!$D$4:$D$422,"Y")</f>
        <v>4</v>
      </c>
      <c r="K47" s="158">
        <f>COUNTIFS('2025-Q2'!$E$4:$E$422,'SPDR Chart'!K$3,'2025-Q2'!$F$4:$F$422,'SPDR Chart'!$B47,'2025-Q2'!$D$4:$D$422,"Y")</f>
        <v>0</v>
      </c>
      <c r="L47" s="158">
        <f>COUNTIFS('2025-Q2'!$E$4:$E$422,'SPDR Chart'!L$3,'2025-Q2'!$F$4:$F$422,'SPDR Chart'!$B47,'2025-Q2'!$D$4:$D$422,"Y")</f>
        <v>0</v>
      </c>
      <c r="M47" s="158">
        <f>COUNTIFS('2025-Q2'!$E$4:$E$422,'SPDR Chart'!M$3,'2025-Q2'!$F$4:$F$422,'SPDR Chart'!$B47,'2025-Q2'!$D$4:$D$422,"Y")</f>
        <v>0</v>
      </c>
      <c r="N47" s="158">
        <f>COUNTIFS('2025-Q2'!$E$4:$E$422,'SPDR Chart'!N$3,'2025-Q2'!$F$4:$F$422,'SPDR Chart'!$B47,'2025-Q2'!$D$4:$D$422,"Y")</f>
        <v>0</v>
      </c>
      <c r="O47" s="158">
        <f>COUNTIFS('2025-Q2'!$E$4:$E$422,'SPDR Chart'!O$3,'2025-Q2'!$F$4:$F$422,'SPDR Chart'!$B47,'2025-Q2'!$D$4:$D$422,"Y")</f>
        <v>1</v>
      </c>
      <c r="P47" s="158">
        <f>COUNTIFS('2025-Q2'!$E$4:$E$422,'SPDR Chart'!P$3,'2025-Q2'!$F$4:$F$422,'SPDR Chart'!$B47,'2025-Q2'!$D$4:$D$422,"Y")</f>
        <v>0</v>
      </c>
      <c r="Q47" s="363">
        <f>COUNTIFS('2025-Q2'!$E$4:$E$422,'SPDR Chart'!Q$3,'2025-Q2'!$F$4:$F$422,'SPDR Chart'!$B47,'2025-Q2'!$D$4:$D$422,"Y")</f>
        <v>3</v>
      </c>
      <c r="R47" s="457">
        <f t="shared" si="4"/>
        <v>9</v>
      </c>
      <c r="S47" s="458">
        <f>SUM($R$4:R47)/SUM($R$4:$R$86)</f>
        <v>0.9219653179190751</v>
      </c>
      <c r="U47" s="366">
        <v>45799</v>
      </c>
      <c r="V47" s="158">
        <f>COUNTIFS('2025-Q2'!$E$4:$E$422,'SPDR Chart'!V$3,'2025-Q2'!$F$4:$F$422,'SPDR Chart'!$B47,'2025-Q2'!$D$4:$D$422,"N")</f>
        <v>1</v>
      </c>
      <c r="W47" s="158">
        <f>COUNTIFS('2025-Q2'!$E$4:$E$422,'SPDR Chart'!W$3,'2025-Q2'!$F$4:$F$422,'SPDR Chart'!$B47,'2025-Q2'!$D$4:$D$422,"N")</f>
        <v>0</v>
      </c>
      <c r="X47" s="158">
        <f>COUNTIFS('2025-Q2'!$E$4:$E$422,'SPDR Chart'!X$3,'2025-Q2'!$F$4:$F$422,'SPDR Chart'!$B47,'2025-Q2'!$D$4:$D$422,"N")</f>
        <v>0</v>
      </c>
      <c r="Y47" s="158">
        <f>COUNTIFS('2025-Q2'!$E$4:$E$422,'SPDR Chart'!Y$3,'2025-Q2'!$F$4:$F$422,'SPDR Chart'!$B47,'2025-Q2'!$D$4:$D$422,"N")</f>
        <v>0</v>
      </c>
      <c r="Z47" s="158">
        <f>COUNTIFS('2025-Q2'!$E$4:$E$422,'SPDR Chart'!Z$3,'2025-Q2'!$F$4:$F$422,'SPDR Chart'!$B47,'2025-Q2'!$D$4:$D$422,"N")</f>
        <v>0</v>
      </c>
      <c r="AA47" s="158">
        <f>COUNTIFS('2025-Q2'!$E$4:$E$422,'SPDR Chart'!AA$3,'2025-Q2'!$F$4:$F$422,'SPDR Chart'!$B47,'2025-Q2'!$D$4:$D$422,"N")</f>
        <v>0</v>
      </c>
      <c r="AB47" s="158">
        <f>COUNTIFS('2025-Q2'!$E$4:$E$422,'SPDR Chart'!AB$3,'2025-Q2'!$F$4:$F$422,'SPDR Chart'!$B47,'2025-Q2'!$D$4:$D$422,"N")</f>
        <v>0</v>
      </c>
      <c r="AC47" s="158">
        <f>COUNTIFS('2025-Q2'!$E$4:$E$422,'SPDR Chart'!AC$3,'2025-Q2'!$F$4:$F$422,'SPDR Chart'!$B47,'2025-Q2'!$D$4:$D$422,"N")</f>
        <v>0</v>
      </c>
      <c r="AD47" s="158">
        <f>COUNTIFS('2025-Q2'!$E$4:$E$422,'SPDR Chart'!AD$3,'2025-Q2'!$F$4:$F$422,'SPDR Chart'!$B47,'2025-Q2'!$D$4:$D$422,"N")</f>
        <v>0</v>
      </c>
      <c r="AE47" s="158">
        <f>COUNTIFS('2025-Q2'!$E$4:$E$422,'SPDR Chart'!AE$3,'2025-Q2'!$F$4:$F$422,'SPDR Chart'!$B47,'2025-Q2'!$D$4:$D$422,"N")</f>
        <v>0</v>
      </c>
      <c r="AF47" s="158">
        <f>COUNTIFS('2025-Q2'!$E$4:$E$422,'SPDR Chart'!AF$3,'2025-Q2'!$F$4:$F$422,'SPDR Chart'!$B47,'2025-Q2'!$D$4:$D$422,"N")</f>
        <v>0</v>
      </c>
      <c r="AG47" s="158">
        <f>COUNTIFS('2025-Q2'!$E$4:$E$422,'SPDR Chart'!AG$3,'2025-Q2'!$F$4:$F$422,'SPDR Chart'!$B47,'2025-Q2'!$D$4:$D$422,"N")</f>
        <v>0</v>
      </c>
      <c r="AH47" s="158">
        <f>COUNTIFS('2025-Q2'!$E$4:$E$422,'SPDR Chart'!AH$3,'2025-Q2'!$F$4:$F$422,'SPDR Chart'!$B47,'2025-Q2'!$D$4:$D$422,"N")</f>
        <v>0</v>
      </c>
      <c r="AI47" s="158">
        <f>COUNTIFS('2025-Q2'!$E$4:$E$422,'SPDR Chart'!AI$3,'2025-Q2'!$F$4:$F$422,'SPDR Chart'!$B47,'2025-Q2'!$D$4:$D$422,"N")</f>
        <v>0</v>
      </c>
      <c r="AJ47" s="363">
        <f>COUNTIFS('2025-Q2'!$E$4:$E$422,'SPDR Chart'!AJ$3,'2025-Q2'!$F$4:$F$422,'SPDR Chart'!$B47,'2025-Q2'!$D$4:$D$422,"N")</f>
        <v>0</v>
      </c>
      <c r="AK47" s="457">
        <f t="shared" si="5"/>
        <v>1</v>
      </c>
      <c r="AL47" s="458">
        <f>SUM($AK$4:AK47)/SUM($AK$4:$AK$86)</f>
        <v>0.55223880597014929</v>
      </c>
    </row>
    <row r="48" spans="2:38" x14ac:dyDescent="0.25">
      <c r="B48" s="366">
        <v>45800</v>
      </c>
      <c r="C48" s="158">
        <f>COUNTIFS('2025-Q2'!$E$4:$E$422,'SPDR Chart'!C$3,'2025-Q2'!$F$4:$F$422,'SPDR Chart'!$B48,'2025-Q2'!$D$4:$D$422,"Y")</f>
        <v>0</v>
      </c>
      <c r="D48" s="158">
        <f>COUNTIFS('2025-Q2'!$E$4:$E$422,'SPDR Chart'!D$3,'2025-Q2'!$F$4:$F$422,'SPDR Chart'!$B48,'2025-Q2'!$D$4:$D$422,"Y")</f>
        <v>0</v>
      </c>
      <c r="E48" s="158">
        <f>COUNTIFS('2025-Q2'!$E$4:$E$422,'SPDR Chart'!E$3,'2025-Q2'!$F$4:$F$422,'SPDR Chart'!$B48,'2025-Q2'!$D$4:$D$422,"Y")</f>
        <v>0</v>
      </c>
      <c r="F48" s="158">
        <f>COUNTIFS('2025-Q2'!$E$4:$E$422,'SPDR Chart'!F$3,'2025-Q2'!$F$4:$F$422,'SPDR Chart'!$B48,'2025-Q2'!$D$4:$D$422,"Y")</f>
        <v>0</v>
      </c>
      <c r="G48" s="158">
        <f>COUNTIFS('2025-Q2'!$E$4:$E$422,'SPDR Chart'!G$3,'2025-Q2'!$F$4:$F$422,'SPDR Chart'!$B48,'2025-Q2'!$D$4:$D$422,"Y")</f>
        <v>0</v>
      </c>
      <c r="H48" s="158">
        <f>COUNTIFS('2025-Q2'!$E$4:$E$422,'SPDR Chart'!H$3,'2025-Q2'!$F$4:$F$422,'SPDR Chart'!$B48,'2025-Q2'!$D$4:$D$422,"Y")</f>
        <v>0</v>
      </c>
      <c r="I48" s="158">
        <f>COUNTIFS('2025-Q2'!$E$4:$E$422,'SPDR Chart'!I$3,'2025-Q2'!$F$4:$F$422,'SPDR Chart'!$B48,'2025-Q2'!$D$4:$D$422,"Y")</f>
        <v>0</v>
      </c>
      <c r="J48" s="158">
        <f>COUNTIFS('2025-Q2'!$E$4:$E$422,'SPDR Chart'!J$3,'2025-Q2'!$F$4:$F$422,'SPDR Chart'!$B48,'2025-Q2'!$D$4:$D$422,"Y")</f>
        <v>0</v>
      </c>
      <c r="K48" s="158">
        <f>COUNTIFS('2025-Q2'!$E$4:$E$422,'SPDR Chart'!K$3,'2025-Q2'!$F$4:$F$422,'SPDR Chart'!$B48,'2025-Q2'!$D$4:$D$422,"Y")</f>
        <v>0</v>
      </c>
      <c r="L48" s="158">
        <f>COUNTIFS('2025-Q2'!$E$4:$E$422,'SPDR Chart'!L$3,'2025-Q2'!$F$4:$F$422,'SPDR Chart'!$B48,'2025-Q2'!$D$4:$D$422,"Y")</f>
        <v>0</v>
      </c>
      <c r="M48" s="158">
        <f>COUNTIFS('2025-Q2'!$E$4:$E$422,'SPDR Chart'!M$3,'2025-Q2'!$F$4:$F$422,'SPDR Chart'!$B48,'2025-Q2'!$D$4:$D$422,"Y")</f>
        <v>0</v>
      </c>
      <c r="N48" s="158">
        <f>COUNTIFS('2025-Q2'!$E$4:$E$422,'SPDR Chart'!N$3,'2025-Q2'!$F$4:$F$422,'SPDR Chart'!$B48,'2025-Q2'!$D$4:$D$422,"Y")</f>
        <v>0</v>
      </c>
      <c r="O48" s="158">
        <f>COUNTIFS('2025-Q2'!$E$4:$E$422,'SPDR Chart'!O$3,'2025-Q2'!$F$4:$F$422,'SPDR Chart'!$B48,'2025-Q2'!$D$4:$D$422,"Y")</f>
        <v>0</v>
      </c>
      <c r="P48" s="158">
        <f>COUNTIFS('2025-Q2'!$E$4:$E$422,'SPDR Chart'!P$3,'2025-Q2'!$F$4:$F$422,'SPDR Chart'!$B48,'2025-Q2'!$D$4:$D$422,"Y")</f>
        <v>0</v>
      </c>
      <c r="Q48" s="363">
        <f>COUNTIFS('2025-Q2'!$E$4:$E$422,'SPDR Chart'!Q$3,'2025-Q2'!$F$4:$F$422,'SPDR Chart'!$B48,'2025-Q2'!$D$4:$D$422,"Y")</f>
        <v>0</v>
      </c>
      <c r="R48" s="457">
        <f t="shared" si="4"/>
        <v>0</v>
      </c>
      <c r="S48" s="458">
        <f>SUM($R$4:R48)/SUM($R$4:$R$86)</f>
        <v>0.9219653179190751</v>
      </c>
      <c r="U48" s="366">
        <v>45800</v>
      </c>
      <c r="V48" s="158">
        <f>COUNTIFS('2025-Q2'!$E$4:$E$422,'SPDR Chart'!V$3,'2025-Q2'!$F$4:$F$422,'SPDR Chart'!$B48,'2025-Q2'!$D$4:$D$422,"N")</f>
        <v>0</v>
      </c>
      <c r="W48" s="158">
        <f>COUNTIFS('2025-Q2'!$E$4:$E$422,'SPDR Chart'!W$3,'2025-Q2'!$F$4:$F$422,'SPDR Chart'!$B48,'2025-Q2'!$D$4:$D$422,"N")</f>
        <v>0</v>
      </c>
      <c r="X48" s="158">
        <f>COUNTIFS('2025-Q2'!$E$4:$E$422,'SPDR Chart'!X$3,'2025-Q2'!$F$4:$F$422,'SPDR Chart'!$B48,'2025-Q2'!$D$4:$D$422,"N")</f>
        <v>0</v>
      </c>
      <c r="Y48" s="158">
        <f>COUNTIFS('2025-Q2'!$E$4:$E$422,'SPDR Chart'!Y$3,'2025-Q2'!$F$4:$F$422,'SPDR Chart'!$B48,'2025-Q2'!$D$4:$D$422,"N")</f>
        <v>0</v>
      </c>
      <c r="Z48" s="158">
        <f>COUNTIFS('2025-Q2'!$E$4:$E$422,'SPDR Chart'!Z$3,'2025-Q2'!$F$4:$F$422,'SPDR Chart'!$B48,'2025-Q2'!$D$4:$D$422,"N")</f>
        <v>0</v>
      </c>
      <c r="AA48" s="158">
        <f>COUNTIFS('2025-Q2'!$E$4:$E$422,'SPDR Chart'!AA$3,'2025-Q2'!$F$4:$F$422,'SPDR Chart'!$B48,'2025-Q2'!$D$4:$D$422,"N")</f>
        <v>0</v>
      </c>
      <c r="AB48" s="158">
        <f>COUNTIFS('2025-Q2'!$E$4:$E$422,'SPDR Chart'!AB$3,'2025-Q2'!$F$4:$F$422,'SPDR Chart'!$B48,'2025-Q2'!$D$4:$D$422,"N")</f>
        <v>0</v>
      </c>
      <c r="AC48" s="158">
        <f>COUNTIFS('2025-Q2'!$E$4:$E$422,'SPDR Chart'!AC$3,'2025-Q2'!$F$4:$F$422,'SPDR Chart'!$B48,'2025-Q2'!$D$4:$D$422,"N")</f>
        <v>0</v>
      </c>
      <c r="AD48" s="158">
        <f>COUNTIFS('2025-Q2'!$E$4:$E$422,'SPDR Chart'!AD$3,'2025-Q2'!$F$4:$F$422,'SPDR Chart'!$B48,'2025-Q2'!$D$4:$D$422,"N")</f>
        <v>0</v>
      </c>
      <c r="AE48" s="158">
        <f>COUNTIFS('2025-Q2'!$E$4:$E$422,'SPDR Chart'!AE$3,'2025-Q2'!$F$4:$F$422,'SPDR Chart'!$B48,'2025-Q2'!$D$4:$D$422,"N")</f>
        <v>0</v>
      </c>
      <c r="AF48" s="158">
        <f>COUNTIFS('2025-Q2'!$E$4:$E$422,'SPDR Chart'!AF$3,'2025-Q2'!$F$4:$F$422,'SPDR Chart'!$B48,'2025-Q2'!$D$4:$D$422,"N")</f>
        <v>0</v>
      </c>
      <c r="AG48" s="158">
        <f>COUNTIFS('2025-Q2'!$E$4:$E$422,'SPDR Chart'!AG$3,'2025-Q2'!$F$4:$F$422,'SPDR Chart'!$B48,'2025-Q2'!$D$4:$D$422,"N")</f>
        <v>0</v>
      </c>
      <c r="AH48" s="158">
        <f>COUNTIFS('2025-Q2'!$E$4:$E$422,'SPDR Chart'!AH$3,'2025-Q2'!$F$4:$F$422,'SPDR Chart'!$B48,'2025-Q2'!$D$4:$D$422,"N")</f>
        <v>0</v>
      </c>
      <c r="AI48" s="158">
        <f>COUNTIFS('2025-Q2'!$E$4:$E$422,'SPDR Chart'!AI$3,'2025-Q2'!$F$4:$F$422,'SPDR Chart'!$B48,'2025-Q2'!$D$4:$D$422,"N")</f>
        <v>0</v>
      </c>
      <c r="AJ48" s="363">
        <f>COUNTIFS('2025-Q2'!$E$4:$E$422,'SPDR Chart'!AJ$3,'2025-Q2'!$F$4:$F$422,'SPDR Chart'!$B48,'2025-Q2'!$D$4:$D$422,"N")</f>
        <v>0</v>
      </c>
      <c r="AK48" s="457">
        <f t="shared" si="5"/>
        <v>0</v>
      </c>
      <c r="AL48" s="458">
        <f>SUM($AK$4:AK48)/SUM($AK$4:$AK$86)</f>
        <v>0.55223880597014929</v>
      </c>
    </row>
    <row r="49" spans="2:38" x14ac:dyDescent="0.25">
      <c r="B49" s="366">
        <v>45801</v>
      </c>
      <c r="C49" s="158">
        <f>COUNTIFS('2025-Q2'!$E$4:$E$422,'SPDR Chart'!C$3,'2025-Q2'!$F$4:$F$422,'SPDR Chart'!$B49,'2025-Q2'!$D$4:$D$422,"Y")</f>
        <v>0</v>
      </c>
      <c r="D49" s="158">
        <f>COUNTIFS('2025-Q2'!$E$4:$E$422,'SPDR Chart'!D$3,'2025-Q2'!$F$4:$F$422,'SPDR Chart'!$B49,'2025-Q2'!$D$4:$D$422,"Y")</f>
        <v>0</v>
      </c>
      <c r="E49" s="158">
        <f>COUNTIFS('2025-Q2'!$E$4:$E$422,'SPDR Chart'!E$3,'2025-Q2'!$F$4:$F$422,'SPDR Chart'!$B49,'2025-Q2'!$D$4:$D$422,"Y")</f>
        <v>0</v>
      </c>
      <c r="F49" s="158">
        <f>COUNTIFS('2025-Q2'!$E$4:$E$422,'SPDR Chart'!F$3,'2025-Q2'!$F$4:$F$422,'SPDR Chart'!$B49,'2025-Q2'!$D$4:$D$422,"Y")</f>
        <v>0</v>
      </c>
      <c r="G49" s="158">
        <f>COUNTIFS('2025-Q2'!$E$4:$E$422,'SPDR Chart'!G$3,'2025-Q2'!$F$4:$F$422,'SPDR Chart'!$B49,'2025-Q2'!$D$4:$D$422,"Y")</f>
        <v>0</v>
      </c>
      <c r="H49" s="158">
        <f>COUNTIFS('2025-Q2'!$E$4:$E$422,'SPDR Chart'!H$3,'2025-Q2'!$F$4:$F$422,'SPDR Chart'!$B49,'2025-Q2'!$D$4:$D$422,"Y")</f>
        <v>0</v>
      </c>
      <c r="I49" s="158">
        <f>COUNTIFS('2025-Q2'!$E$4:$E$422,'SPDR Chart'!I$3,'2025-Q2'!$F$4:$F$422,'SPDR Chart'!$B49,'2025-Q2'!$D$4:$D$422,"Y")</f>
        <v>0</v>
      </c>
      <c r="J49" s="158">
        <f>COUNTIFS('2025-Q2'!$E$4:$E$422,'SPDR Chart'!J$3,'2025-Q2'!$F$4:$F$422,'SPDR Chart'!$B49,'2025-Q2'!$D$4:$D$422,"Y")</f>
        <v>0</v>
      </c>
      <c r="K49" s="158">
        <f>COUNTIFS('2025-Q2'!$E$4:$E$422,'SPDR Chart'!K$3,'2025-Q2'!$F$4:$F$422,'SPDR Chart'!$B49,'2025-Q2'!$D$4:$D$422,"Y")</f>
        <v>0</v>
      </c>
      <c r="L49" s="158">
        <f>COUNTIFS('2025-Q2'!$E$4:$E$422,'SPDR Chart'!L$3,'2025-Q2'!$F$4:$F$422,'SPDR Chart'!$B49,'2025-Q2'!$D$4:$D$422,"Y")</f>
        <v>0</v>
      </c>
      <c r="M49" s="158">
        <f>COUNTIFS('2025-Q2'!$E$4:$E$422,'SPDR Chart'!M$3,'2025-Q2'!$F$4:$F$422,'SPDR Chart'!$B49,'2025-Q2'!$D$4:$D$422,"Y")</f>
        <v>0</v>
      </c>
      <c r="N49" s="158">
        <f>COUNTIFS('2025-Q2'!$E$4:$E$422,'SPDR Chart'!N$3,'2025-Q2'!$F$4:$F$422,'SPDR Chart'!$B49,'2025-Q2'!$D$4:$D$422,"Y")</f>
        <v>0</v>
      </c>
      <c r="O49" s="158">
        <f>COUNTIFS('2025-Q2'!$E$4:$E$422,'SPDR Chart'!O$3,'2025-Q2'!$F$4:$F$422,'SPDR Chart'!$B49,'2025-Q2'!$D$4:$D$422,"Y")</f>
        <v>0</v>
      </c>
      <c r="P49" s="158">
        <f>COUNTIFS('2025-Q2'!$E$4:$E$422,'SPDR Chart'!P$3,'2025-Q2'!$F$4:$F$422,'SPDR Chart'!$B49,'2025-Q2'!$D$4:$D$422,"Y")</f>
        <v>0</v>
      </c>
      <c r="Q49" s="363">
        <f>COUNTIFS('2025-Q2'!$E$4:$E$422,'SPDR Chart'!Q$3,'2025-Q2'!$F$4:$F$422,'SPDR Chart'!$B49,'2025-Q2'!$D$4:$D$422,"Y")</f>
        <v>0</v>
      </c>
      <c r="R49" s="457">
        <f t="shared" si="4"/>
        <v>0</v>
      </c>
      <c r="S49" s="458">
        <f>SUM($R$4:R49)/SUM($R$4:$R$86)</f>
        <v>0.9219653179190751</v>
      </c>
      <c r="U49" s="366">
        <v>45801</v>
      </c>
      <c r="V49" s="158">
        <f>COUNTIFS('2025-Q2'!$E$4:$E$422,'SPDR Chart'!V$3,'2025-Q2'!$F$4:$F$422,'SPDR Chart'!$B49,'2025-Q2'!$D$4:$D$422,"N")</f>
        <v>0</v>
      </c>
      <c r="W49" s="158">
        <f>COUNTIFS('2025-Q2'!$E$4:$E$422,'SPDR Chart'!W$3,'2025-Q2'!$F$4:$F$422,'SPDR Chart'!$B49,'2025-Q2'!$D$4:$D$422,"N")</f>
        <v>0</v>
      </c>
      <c r="X49" s="158">
        <f>COUNTIFS('2025-Q2'!$E$4:$E$422,'SPDR Chart'!X$3,'2025-Q2'!$F$4:$F$422,'SPDR Chart'!$B49,'2025-Q2'!$D$4:$D$422,"N")</f>
        <v>0</v>
      </c>
      <c r="Y49" s="158">
        <f>COUNTIFS('2025-Q2'!$E$4:$E$422,'SPDR Chart'!Y$3,'2025-Q2'!$F$4:$F$422,'SPDR Chart'!$B49,'2025-Q2'!$D$4:$D$422,"N")</f>
        <v>0</v>
      </c>
      <c r="Z49" s="158">
        <f>COUNTIFS('2025-Q2'!$E$4:$E$422,'SPDR Chart'!Z$3,'2025-Q2'!$F$4:$F$422,'SPDR Chart'!$B49,'2025-Q2'!$D$4:$D$422,"N")</f>
        <v>0</v>
      </c>
      <c r="AA49" s="158">
        <f>COUNTIFS('2025-Q2'!$E$4:$E$422,'SPDR Chart'!AA$3,'2025-Q2'!$F$4:$F$422,'SPDR Chart'!$B49,'2025-Q2'!$D$4:$D$422,"N")</f>
        <v>0</v>
      </c>
      <c r="AB49" s="158">
        <f>COUNTIFS('2025-Q2'!$E$4:$E$422,'SPDR Chart'!AB$3,'2025-Q2'!$F$4:$F$422,'SPDR Chart'!$B49,'2025-Q2'!$D$4:$D$422,"N")</f>
        <v>0</v>
      </c>
      <c r="AC49" s="158">
        <f>COUNTIFS('2025-Q2'!$E$4:$E$422,'SPDR Chart'!AC$3,'2025-Q2'!$F$4:$F$422,'SPDR Chart'!$B49,'2025-Q2'!$D$4:$D$422,"N")</f>
        <v>0</v>
      </c>
      <c r="AD49" s="158">
        <f>COUNTIFS('2025-Q2'!$E$4:$E$422,'SPDR Chart'!AD$3,'2025-Q2'!$F$4:$F$422,'SPDR Chart'!$B49,'2025-Q2'!$D$4:$D$422,"N")</f>
        <v>0</v>
      </c>
      <c r="AE49" s="158">
        <f>COUNTIFS('2025-Q2'!$E$4:$E$422,'SPDR Chart'!AE$3,'2025-Q2'!$F$4:$F$422,'SPDR Chart'!$B49,'2025-Q2'!$D$4:$D$422,"N")</f>
        <v>0</v>
      </c>
      <c r="AF49" s="158">
        <f>COUNTIFS('2025-Q2'!$E$4:$E$422,'SPDR Chart'!AF$3,'2025-Q2'!$F$4:$F$422,'SPDR Chart'!$B49,'2025-Q2'!$D$4:$D$422,"N")</f>
        <v>0</v>
      </c>
      <c r="AG49" s="158">
        <f>COUNTIFS('2025-Q2'!$E$4:$E$422,'SPDR Chart'!AG$3,'2025-Q2'!$F$4:$F$422,'SPDR Chart'!$B49,'2025-Q2'!$D$4:$D$422,"N")</f>
        <v>0</v>
      </c>
      <c r="AH49" s="158">
        <f>COUNTIFS('2025-Q2'!$E$4:$E$422,'SPDR Chart'!AH$3,'2025-Q2'!$F$4:$F$422,'SPDR Chart'!$B49,'2025-Q2'!$D$4:$D$422,"N")</f>
        <v>0</v>
      </c>
      <c r="AI49" s="158">
        <f>COUNTIFS('2025-Q2'!$E$4:$E$422,'SPDR Chart'!AI$3,'2025-Q2'!$F$4:$F$422,'SPDR Chart'!$B49,'2025-Q2'!$D$4:$D$422,"N")</f>
        <v>0</v>
      </c>
      <c r="AJ49" s="363">
        <f>COUNTIFS('2025-Q2'!$E$4:$E$422,'SPDR Chart'!AJ$3,'2025-Q2'!$F$4:$F$422,'SPDR Chart'!$B49,'2025-Q2'!$D$4:$D$422,"N")</f>
        <v>0</v>
      </c>
      <c r="AK49" s="457">
        <f t="shared" si="5"/>
        <v>0</v>
      </c>
      <c r="AL49" s="458">
        <f>SUM($AK$4:AK49)/SUM($AK$4:$AK$86)</f>
        <v>0.55223880597014929</v>
      </c>
    </row>
    <row r="50" spans="2:38" x14ac:dyDescent="0.25">
      <c r="B50" s="366">
        <v>45802</v>
      </c>
      <c r="C50" s="158">
        <f>COUNTIFS('2025-Q2'!$E$4:$E$422,'SPDR Chart'!C$3,'2025-Q2'!$F$4:$F$422,'SPDR Chart'!$B50,'2025-Q2'!$D$4:$D$422,"Y")</f>
        <v>0</v>
      </c>
      <c r="D50" s="158">
        <f>COUNTIFS('2025-Q2'!$E$4:$E$422,'SPDR Chart'!D$3,'2025-Q2'!$F$4:$F$422,'SPDR Chart'!$B50,'2025-Q2'!$D$4:$D$422,"Y")</f>
        <v>0</v>
      </c>
      <c r="E50" s="158">
        <f>COUNTIFS('2025-Q2'!$E$4:$E$422,'SPDR Chart'!E$3,'2025-Q2'!$F$4:$F$422,'SPDR Chart'!$B50,'2025-Q2'!$D$4:$D$422,"Y")</f>
        <v>0</v>
      </c>
      <c r="F50" s="158">
        <f>COUNTIFS('2025-Q2'!$E$4:$E$422,'SPDR Chart'!F$3,'2025-Q2'!$F$4:$F$422,'SPDR Chart'!$B50,'2025-Q2'!$D$4:$D$422,"Y")</f>
        <v>0</v>
      </c>
      <c r="G50" s="158">
        <f>COUNTIFS('2025-Q2'!$E$4:$E$422,'SPDR Chart'!G$3,'2025-Q2'!$F$4:$F$422,'SPDR Chart'!$B50,'2025-Q2'!$D$4:$D$422,"Y")</f>
        <v>0</v>
      </c>
      <c r="H50" s="158">
        <f>COUNTIFS('2025-Q2'!$E$4:$E$422,'SPDR Chart'!H$3,'2025-Q2'!$F$4:$F$422,'SPDR Chart'!$B50,'2025-Q2'!$D$4:$D$422,"Y")</f>
        <v>0</v>
      </c>
      <c r="I50" s="158">
        <f>COUNTIFS('2025-Q2'!$E$4:$E$422,'SPDR Chart'!I$3,'2025-Q2'!$F$4:$F$422,'SPDR Chart'!$B50,'2025-Q2'!$D$4:$D$422,"Y")</f>
        <v>0</v>
      </c>
      <c r="J50" s="158">
        <f>COUNTIFS('2025-Q2'!$E$4:$E$422,'SPDR Chart'!J$3,'2025-Q2'!$F$4:$F$422,'SPDR Chart'!$B50,'2025-Q2'!$D$4:$D$422,"Y")</f>
        <v>0</v>
      </c>
      <c r="K50" s="158">
        <f>COUNTIFS('2025-Q2'!$E$4:$E$422,'SPDR Chart'!K$3,'2025-Q2'!$F$4:$F$422,'SPDR Chart'!$B50,'2025-Q2'!$D$4:$D$422,"Y")</f>
        <v>0</v>
      </c>
      <c r="L50" s="158">
        <f>COUNTIFS('2025-Q2'!$E$4:$E$422,'SPDR Chart'!L$3,'2025-Q2'!$F$4:$F$422,'SPDR Chart'!$B50,'2025-Q2'!$D$4:$D$422,"Y")</f>
        <v>0</v>
      </c>
      <c r="M50" s="158">
        <f>COUNTIFS('2025-Q2'!$E$4:$E$422,'SPDR Chart'!M$3,'2025-Q2'!$F$4:$F$422,'SPDR Chart'!$B50,'2025-Q2'!$D$4:$D$422,"Y")</f>
        <v>0</v>
      </c>
      <c r="N50" s="158">
        <f>COUNTIFS('2025-Q2'!$E$4:$E$422,'SPDR Chart'!N$3,'2025-Q2'!$F$4:$F$422,'SPDR Chart'!$B50,'2025-Q2'!$D$4:$D$422,"Y")</f>
        <v>0</v>
      </c>
      <c r="O50" s="158">
        <f>COUNTIFS('2025-Q2'!$E$4:$E$422,'SPDR Chart'!O$3,'2025-Q2'!$F$4:$F$422,'SPDR Chart'!$B50,'2025-Q2'!$D$4:$D$422,"Y")</f>
        <v>0</v>
      </c>
      <c r="P50" s="158">
        <f>COUNTIFS('2025-Q2'!$E$4:$E$422,'SPDR Chart'!P$3,'2025-Q2'!$F$4:$F$422,'SPDR Chart'!$B50,'2025-Q2'!$D$4:$D$422,"Y")</f>
        <v>0</v>
      </c>
      <c r="Q50" s="363">
        <f>COUNTIFS('2025-Q2'!$E$4:$E$422,'SPDR Chart'!Q$3,'2025-Q2'!$F$4:$F$422,'SPDR Chart'!$B50,'2025-Q2'!$D$4:$D$422,"Y")</f>
        <v>0</v>
      </c>
      <c r="R50" s="457">
        <f t="shared" si="4"/>
        <v>0</v>
      </c>
      <c r="S50" s="458">
        <f>SUM($R$4:R50)/SUM($R$4:$R$86)</f>
        <v>0.9219653179190751</v>
      </c>
      <c r="U50" s="366">
        <v>45802</v>
      </c>
      <c r="V50" s="158">
        <f>COUNTIFS('2025-Q2'!$E$4:$E$422,'SPDR Chart'!V$3,'2025-Q2'!$F$4:$F$422,'SPDR Chart'!$B50,'2025-Q2'!$D$4:$D$422,"N")</f>
        <v>0</v>
      </c>
      <c r="W50" s="158">
        <f>COUNTIFS('2025-Q2'!$E$4:$E$422,'SPDR Chart'!W$3,'2025-Q2'!$F$4:$F$422,'SPDR Chart'!$B50,'2025-Q2'!$D$4:$D$422,"N")</f>
        <v>0</v>
      </c>
      <c r="X50" s="158">
        <f>COUNTIFS('2025-Q2'!$E$4:$E$422,'SPDR Chart'!X$3,'2025-Q2'!$F$4:$F$422,'SPDR Chart'!$B50,'2025-Q2'!$D$4:$D$422,"N")</f>
        <v>0</v>
      </c>
      <c r="Y50" s="158">
        <f>COUNTIFS('2025-Q2'!$E$4:$E$422,'SPDR Chart'!Y$3,'2025-Q2'!$F$4:$F$422,'SPDR Chart'!$B50,'2025-Q2'!$D$4:$D$422,"N")</f>
        <v>0</v>
      </c>
      <c r="Z50" s="158">
        <f>COUNTIFS('2025-Q2'!$E$4:$E$422,'SPDR Chart'!Z$3,'2025-Q2'!$F$4:$F$422,'SPDR Chart'!$B50,'2025-Q2'!$D$4:$D$422,"N")</f>
        <v>0</v>
      </c>
      <c r="AA50" s="158">
        <f>COUNTIFS('2025-Q2'!$E$4:$E$422,'SPDR Chart'!AA$3,'2025-Q2'!$F$4:$F$422,'SPDR Chart'!$B50,'2025-Q2'!$D$4:$D$422,"N")</f>
        <v>0</v>
      </c>
      <c r="AB50" s="158">
        <f>COUNTIFS('2025-Q2'!$E$4:$E$422,'SPDR Chart'!AB$3,'2025-Q2'!$F$4:$F$422,'SPDR Chart'!$B50,'2025-Q2'!$D$4:$D$422,"N")</f>
        <v>0</v>
      </c>
      <c r="AC50" s="158">
        <f>COUNTIFS('2025-Q2'!$E$4:$E$422,'SPDR Chart'!AC$3,'2025-Q2'!$F$4:$F$422,'SPDR Chart'!$B50,'2025-Q2'!$D$4:$D$422,"N")</f>
        <v>0</v>
      </c>
      <c r="AD50" s="158">
        <f>COUNTIFS('2025-Q2'!$E$4:$E$422,'SPDR Chart'!AD$3,'2025-Q2'!$F$4:$F$422,'SPDR Chart'!$B50,'2025-Q2'!$D$4:$D$422,"N")</f>
        <v>0</v>
      </c>
      <c r="AE50" s="158">
        <f>COUNTIFS('2025-Q2'!$E$4:$E$422,'SPDR Chart'!AE$3,'2025-Q2'!$F$4:$F$422,'SPDR Chart'!$B50,'2025-Q2'!$D$4:$D$422,"N")</f>
        <v>0</v>
      </c>
      <c r="AF50" s="158">
        <f>COUNTIFS('2025-Q2'!$E$4:$E$422,'SPDR Chart'!AF$3,'2025-Q2'!$F$4:$F$422,'SPDR Chart'!$B50,'2025-Q2'!$D$4:$D$422,"N")</f>
        <v>0</v>
      </c>
      <c r="AG50" s="158">
        <f>COUNTIFS('2025-Q2'!$E$4:$E$422,'SPDR Chart'!AG$3,'2025-Q2'!$F$4:$F$422,'SPDR Chart'!$B50,'2025-Q2'!$D$4:$D$422,"N")</f>
        <v>0</v>
      </c>
      <c r="AH50" s="158">
        <f>COUNTIFS('2025-Q2'!$E$4:$E$422,'SPDR Chart'!AH$3,'2025-Q2'!$F$4:$F$422,'SPDR Chart'!$B50,'2025-Q2'!$D$4:$D$422,"N")</f>
        <v>0</v>
      </c>
      <c r="AI50" s="158">
        <f>COUNTIFS('2025-Q2'!$E$4:$E$422,'SPDR Chart'!AI$3,'2025-Q2'!$F$4:$F$422,'SPDR Chart'!$B50,'2025-Q2'!$D$4:$D$422,"N")</f>
        <v>0</v>
      </c>
      <c r="AJ50" s="363">
        <f>COUNTIFS('2025-Q2'!$E$4:$E$422,'SPDR Chart'!AJ$3,'2025-Q2'!$F$4:$F$422,'SPDR Chart'!$B50,'2025-Q2'!$D$4:$D$422,"N")</f>
        <v>0</v>
      </c>
      <c r="AK50" s="457">
        <f t="shared" si="5"/>
        <v>0</v>
      </c>
      <c r="AL50" s="458">
        <f>SUM($AK$4:AK50)/SUM($AK$4:$AK$86)</f>
        <v>0.55223880597014929</v>
      </c>
    </row>
    <row r="51" spans="2:38" x14ac:dyDescent="0.25">
      <c r="B51" s="366">
        <v>45803</v>
      </c>
      <c r="C51" s="158">
        <f>COUNTIFS('2025-Q2'!$E$4:$E$422,'SPDR Chart'!C$3,'2025-Q2'!$F$4:$F$422,'SPDR Chart'!$B51,'2025-Q2'!$D$4:$D$422,"Y")</f>
        <v>0</v>
      </c>
      <c r="D51" s="158">
        <f>COUNTIFS('2025-Q2'!$E$4:$E$422,'SPDR Chart'!D$3,'2025-Q2'!$F$4:$F$422,'SPDR Chart'!$B51,'2025-Q2'!$D$4:$D$422,"Y")</f>
        <v>0</v>
      </c>
      <c r="E51" s="158">
        <f>COUNTIFS('2025-Q2'!$E$4:$E$422,'SPDR Chart'!E$3,'2025-Q2'!$F$4:$F$422,'SPDR Chart'!$B51,'2025-Q2'!$D$4:$D$422,"Y")</f>
        <v>0</v>
      </c>
      <c r="F51" s="158">
        <f>COUNTIFS('2025-Q2'!$E$4:$E$422,'SPDR Chart'!F$3,'2025-Q2'!$F$4:$F$422,'SPDR Chart'!$B51,'2025-Q2'!$D$4:$D$422,"Y")</f>
        <v>0</v>
      </c>
      <c r="G51" s="158">
        <f>COUNTIFS('2025-Q2'!$E$4:$E$422,'SPDR Chart'!G$3,'2025-Q2'!$F$4:$F$422,'SPDR Chart'!$B51,'2025-Q2'!$D$4:$D$422,"Y")</f>
        <v>0</v>
      </c>
      <c r="H51" s="158">
        <f>COUNTIFS('2025-Q2'!$E$4:$E$422,'SPDR Chart'!H$3,'2025-Q2'!$F$4:$F$422,'SPDR Chart'!$B51,'2025-Q2'!$D$4:$D$422,"Y")</f>
        <v>0</v>
      </c>
      <c r="I51" s="158">
        <f>COUNTIFS('2025-Q2'!$E$4:$E$422,'SPDR Chart'!I$3,'2025-Q2'!$F$4:$F$422,'SPDR Chart'!$B51,'2025-Q2'!$D$4:$D$422,"Y")</f>
        <v>0</v>
      </c>
      <c r="J51" s="158">
        <f>COUNTIFS('2025-Q2'!$E$4:$E$422,'SPDR Chart'!J$3,'2025-Q2'!$F$4:$F$422,'SPDR Chart'!$B51,'2025-Q2'!$D$4:$D$422,"Y")</f>
        <v>0</v>
      </c>
      <c r="K51" s="158">
        <f>COUNTIFS('2025-Q2'!$E$4:$E$422,'SPDR Chart'!K$3,'2025-Q2'!$F$4:$F$422,'SPDR Chart'!$B51,'2025-Q2'!$D$4:$D$422,"Y")</f>
        <v>0</v>
      </c>
      <c r="L51" s="158">
        <f>COUNTIFS('2025-Q2'!$E$4:$E$422,'SPDR Chart'!L$3,'2025-Q2'!$F$4:$F$422,'SPDR Chart'!$B51,'2025-Q2'!$D$4:$D$422,"Y")</f>
        <v>0</v>
      </c>
      <c r="M51" s="158">
        <f>COUNTIFS('2025-Q2'!$E$4:$E$422,'SPDR Chart'!M$3,'2025-Q2'!$F$4:$F$422,'SPDR Chart'!$B51,'2025-Q2'!$D$4:$D$422,"Y")</f>
        <v>0</v>
      </c>
      <c r="N51" s="158">
        <f>COUNTIFS('2025-Q2'!$E$4:$E$422,'SPDR Chart'!N$3,'2025-Q2'!$F$4:$F$422,'SPDR Chart'!$B51,'2025-Q2'!$D$4:$D$422,"Y")</f>
        <v>0</v>
      </c>
      <c r="O51" s="158">
        <f>COUNTIFS('2025-Q2'!$E$4:$E$422,'SPDR Chart'!O$3,'2025-Q2'!$F$4:$F$422,'SPDR Chart'!$B51,'2025-Q2'!$D$4:$D$422,"Y")</f>
        <v>0</v>
      </c>
      <c r="P51" s="158">
        <f>COUNTIFS('2025-Q2'!$E$4:$E$422,'SPDR Chart'!P$3,'2025-Q2'!$F$4:$F$422,'SPDR Chart'!$B51,'2025-Q2'!$D$4:$D$422,"Y")</f>
        <v>0</v>
      </c>
      <c r="Q51" s="363">
        <f>COUNTIFS('2025-Q2'!$E$4:$E$422,'SPDR Chart'!Q$3,'2025-Q2'!$F$4:$F$422,'SPDR Chart'!$B51,'2025-Q2'!$D$4:$D$422,"Y")</f>
        <v>0</v>
      </c>
      <c r="R51" s="457">
        <f t="shared" si="4"/>
        <v>0</v>
      </c>
      <c r="S51" s="458">
        <f>SUM($R$4:R51)/SUM($R$4:$R$86)</f>
        <v>0.9219653179190751</v>
      </c>
      <c r="U51" s="366">
        <v>45803</v>
      </c>
      <c r="V51" s="158">
        <f>COUNTIFS('2025-Q2'!$E$4:$E$422,'SPDR Chart'!V$3,'2025-Q2'!$F$4:$F$422,'SPDR Chart'!$B51,'2025-Q2'!$D$4:$D$422,"N")</f>
        <v>0</v>
      </c>
      <c r="W51" s="158">
        <f>COUNTIFS('2025-Q2'!$E$4:$E$422,'SPDR Chart'!W$3,'2025-Q2'!$F$4:$F$422,'SPDR Chart'!$B51,'2025-Q2'!$D$4:$D$422,"N")</f>
        <v>0</v>
      </c>
      <c r="X51" s="158">
        <f>COUNTIFS('2025-Q2'!$E$4:$E$422,'SPDR Chart'!X$3,'2025-Q2'!$F$4:$F$422,'SPDR Chart'!$B51,'2025-Q2'!$D$4:$D$422,"N")</f>
        <v>0</v>
      </c>
      <c r="Y51" s="158">
        <f>COUNTIFS('2025-Q2'!$E$4:$E$422,'SPDR Chart'!Y$3,'2025-Q2'!$F$4:$F$422,'SPDR Chart'!$B51,'2025-Q2'!$D$4:$D$422,"N")</f>
        <v>0</v>
      </c>
      <c r="Z51" s="158">
        <f>COUNTIFS('2025-Q2'!$E$4:$E$422,'SPDR Chart'!Z$3,'2025-Q2'!$F$4:$F$422,'SPDR Chart'!$B51,'2025-Q2'!$D$4:$D$422,"N")</f>
        <v>0</v>
      </c>
      <c r="AA51" s="158">
        <f>COUNTIFS('2025-Q2'!$E$4:$E$422,'SPDR Chart'!AA$3,'2025-Q2'!$F$4:$F$422,'SPDR Chart'!$B51,'2025-Q2'!$D$4:$D$422,"N")</f>
        <v>0</v>
      </c>
      <c r="AB51" s="158">
        <f>COUNTIFS('2025-Q2'!$E$4:$E$422,'SPDR Chart'!AB$3,'2025-Q2'!$F$4:$F$422,'SPDR Chart'!$B51,'2025-Q2'!$D$4:$D$422,"N")</f>
        <v>0</v>
      </c>
      <c r="AC51" s="158">
        <f>COUNTIFS('2025-Q2'!$E$4:$E$422,'SPDR Chart'!AC$3,'2025-Q2'!$F$4:$F$422,'SPDR Chart'!$B51,'2025-Q2'!$D$4:$D$422,"N")</f>
        <v>0</v>
      </c>
      <c r="AD51" s="158">
        <f>COUNTIFS('2025-Q2'!$E$4:$E$422,'SPDR Chart'!AD$3,'2025-Q2'!$F$4:$F$422,'SPDR Chart'!$B51,'2025-Q2'!$D$4:$D$422,"N")</f>
        <v>0</v>
      </c>
      <c r="AE51" s="158">
        <f>COUNTIFS('2025-Q2'!$E$4:$E$422,'SPDR Chart'!AE$3,'2025-Q2'!$F$4:$F$422,'SPDR Chart'!$B51,'2025-Q2'!$D$4:$D$422,"N")</f>
        <v>0</v>
      </c>
      <c r="AF51" s="158">
        <f>COUNTIFS('2025-Q2'!$E$4:$E$422,'SPDR Chart'!AF$3,'2025-Q2'!$F$4:$F$422,'SPDR Chart'!$B51,'2025-Q2'!$D$4:$D$422,"N")</f>
        <v>0</v>
      </c>
      <c r="AG51" s="158">
        <f>COUNTIFS('2025-Q2'!$E$4:$E$422,'SPDR Chart'!AG$3,'2025-Q2'!$F$4:$F$422,'SPDR Chart'!$B51,'2025-Q2'!$D$4:$D$422,"N")</f>
        <v>0</v>
      </c>
      <c r="AH51" s="158">
        <f>COUNTIFS('2025-Q2'!$E$4:$E$422,'SPDR Chart'!AH$3,'2025-Q2'!$F$4:$F$422,'SPDR Chart'!$B51,'2025-Q2'!$D$4:$D$422,"N")</f>
        <v>0</v>
      </c>
      <c r="AI51" s="158">
        <f>COUNTIFS('2025-Q2'!$E$4:$E$422,'SPDR Chart'!AI$3,'2025-Q2'!$F$4:$F$422,'SPDR Chart'!$B51,'2025-Q2'!$D$4:$D$422,"N")</f>
        <v>0</v>
      </c>
      <c r="AJ51" s="363">
        <f>COUNTIFS('2025-Q2'!$E$4:$E$422,'SPDR Chart'!AJ$3,'2025-Q2'!$F$4:$F$422,'SPDR Chart'!$B51,'2025-Q2'!$D$4:$D$422,"N")</f>
        <v>0</v>
      </c>
      <c r="AK51" s="457">
        <f t="shared" si="5"/>
        <v>0</v>
      </c>
      <c r="AL51" s="458">
        <f>SUM($AK$4:AK51)/SUM($AK$4:$AK$86)</f>
        <v>0.55223880597014929</v>
      </c>
    </row>
    <row r="52" spans="2:38" x14ac:dyDescent="0.25">
      <c r="B52" s="366">
        <v>45804</v>
      </c>
      <c r="C52" s="158">
        <f>COUNTIFS('2025-Q2'!$E$4:$E$422,'SPDR Chart'!C$3,'2025-Q2'!$F$4:$F$422,'SPDR Chart'!$B52,'2025-Q2'!$D$4:$D$422,"Y")</f>
        <v>0</v>
      </c>
      <c r="D52" s="158">
        <f>COUNTIFS('2025-Q2'!$E$4:$E$422,'SPDR Chart'!D$3,'2025-Q2'!$F$4:$F$422,'SPDR Chart'!$B52,'2025-Q2'!$D$4:$D$422,"Y")</f>
        <v>0</v>
      </c>
      <c r="E52" s="158">
        <f>COUNTIFS('2025-Q2'!$E$4:$E$422,'SPDR Chart'!E$3,'2025-Q2'!$F$4:$F$422,'SPDR Chart'!$B52,'2025-Q2'!$D$4:$D$422,"Y")</f>
        <v>0</v>
      </c>
      <c r="F52" s="158">
        <f>COUNTIFS('2025-Q2'!$E$4:$E$422,'SPDR Chart'!F$3,'2025-Q2'!$F$4:$F$422,'SPDR Chart'!$B52,'2025-Q2'!$D$4:$D$422,"Y")</f>
        <v>0</v>
      </c>
      <c r="G52" s="158">
        <f>COUNTIFS('2025-Q2'!$E$4:$E$422,'SPDR Chart'!G$3,'2025-Q2'!$F$4:$F$422,'SPDR Chart'!$B52,'2025-Q2'!$D$4:$D$422,"Y")</f>
        <v>0</v>
      </c>
      <c r="H52" s="158">
        <f>COUNTIFS('2025-Q2'!$E$4:$E$422,'SPDR Chart'!H$3,'2025-Q2'!$F$4:$F$422,'SPDR Chart'!$B52,'2025-Q2'!$D$4:$D$422,"Y")</f>
        <v>0</v>
      </c>
      <c r="I52" s="158">
        <f>COUNTIFS('2025-Q2'!$E$4:$E$422,'SPDR Chart'!I$3,'2025-Q2'!$F$4:$F$422,'SPDR Chart'!$B52,'2025-Q2'!$D$4:$D$422,"Y")</f>
        <v>0</v>
      </c>
      <c r="J52" s="158">
        <f>COUNTIFS('2025-Q2'!$E$4:$E$422,'SPDR Chart'!J$3,'2025-Q2'!$F$4:$F$422,'SPDR Chart'!$B52,'2025-Q2'!$D$4:$D$422,"Y")</f>
        <v>0</v>
      </c>
      <c r="K52" s="158">
        <f>COUNTIFS('2025-Q2'!$E$4:$E$422,'SPDR Chart'!K$3,'2025-Q2'!$F$4:$F$422,'SPDR Chart'!$B52,'2025-Q2'!$D$4:$D$422,"Y")</f>
        <v>0</v>
      </c>
      <c r="L52" s="158">
        <f>COUNTIFS('2025-Q2'!$E$4:$E$422,'SPDR Chart'!L$3,'2025-Q2'!$F$4:$F$422,'SPDR Chart'!$B52,'2025-Q2'!$D$4:$D$422,"Y")</f>
        <v>0</v>
      </c>
      <c r="M52" s="158">
        <f>COUNTIFS('2025-Q2'!$E$4:$E$422,'SPDR Chart'!M$3,'2025-Q2'!$F$4:$F$422,'SPDR Chart'!$B52,'2025-Q2'!$D$4:$D$422,"Y")</f>
        <v>0</v>
      </c>
      <c r="N52" s="158">
        <f>COUNTIFS('2025-Q2'!$E$4:$E$422,'SPDR Chart'!N$3,'2025-Q2'!$F$4:$F$422,'SPDR Chart'!$B52,'2025-Q2'!$D$4:$D$422,"Y")</f>
        <v>0</v>
      </c>
      <c r="O52" s="158">
        <f>COUNTIFS('2025-Q2'!$E$4:$E$422,'SPDR Chart'!O$3,'2025-Q2'!$F$4:$F$422,'SPDR Chart'!$B52,'2025-Q2'!$D$4:$D$422,"Y")</f>
        <v>0</v>
      </c>
      <c r="P52" s="158">
        <f>COUNTIFS('2025-Q2'!$E$4:$E$422,'SPDR Chart'!P$3,'2025-Q2'!$F$4:$F$422,'SPDR Chart'!$B52,'2025-Q2'!$D$4:$D$422,"Y")</f>
        <v>0</v>
      </c>
      <c r="Q52" s="363">
        <f>COUNTIFS('2025-Q2'!$E$4:$E$422,'SPDR Chart'!Q$3,'2025-Q2'!$F$4:$F$422,'SPDR Chart'!$B52,'2025-Q2'!$D$4:$D$422,"Y")</f>
        <v>0</v>
      </c>
      <c r="R52" s="457">
        <f t="shared" si="4"/>
        <v>0</v>
      </c>
      <c r="S52" s="458">
        <f>SUM($R$4:R52)/SUM($R$4:$R$86)</f>
        <v>0.9219653179190751</v>
      </c>
      <c r="U52" s="366">
        <v>45804</v>
      </c>
      <c r="V52" s="158">
        <f>COUNTIFS('2025-Q2'!$E$4:$E$422,'SPDR Chart'!V$3,'2025-Q2'!$F$4:$F$422,'SPDR Chart'!$B52,'2025-Q2'!$D$4:$D$422,"N")</f>
        <v>0</v>
      </c>
      <c r="W52" s="158">
        <f>COUNTIFS('2025-Q2'!$E$4:$E$422,'SPDR Chart'!W$3,'2025-Q2'!$F$4:$F$422,'SPDR Chart'!$B52,'2025-Q2'!$D$4:$D$422,"N")</f>
        <v>0</v>
      </c>
      <c r="X52" s="158">
        <f>COUNTIFS('2025-Q2'!$E$4:$E$422,'SPDR Chart'!X$3,'2025-Q2'!$F$4:$F$422,'SPDR Chart'!$B52,'2025-Q2'!$D$4:$D$422,"N")</f>
        <v>0</v>
      </c>
      <c r="Y52" s="158">
        <f>COUNTIFS('2025-Q2'!$E$4:$E$422,'SPDR Chart'!Y$3,'2025-Q2'!$F$4:$F$422,'SPDR Chart'!$B52,'2025-Q2'!$D$4:$D$422,"N")</f>
        <v>0</v>
      </c>
      <c r="Z52" s="158">
        <f>COUNTIFS('2025-Q2'!$E$4:$E$422,'SPDR Chart'!Z$3,'2025-Q2'!$F$4:$F$422,'SPDR Chart'!$B52,'2025-Q2'!$D$4:$D$422,"N")</f>
        <v>0</v>
      </c>
      <c r="AA52" s="158">
        <f>COUNTIFS('2025-Q2'!$E$4:$E$422,'SPDR Chart'!AA$3,'2025-Q2'!$F$4:$F$422,'SPDR Chart'!$B52,'2025-Q2'!$D$4:$D$422,"N")</f>
        <v>0</v>
      </c>
      <c r="AB52" s="158">
        <f>COUNTIFS('2025-Q2'!$E$4:$E$422,'SPDR Chart'!AB$3,'2025-Q2'!$F$4:$F$422,'SPDR Chart'!$B52,'2025-Q2'!$D$4:$D$422,"N")</f>
        <v>0</v>
      </c>
      <c r="AC52" s="158">
        <f>COUNTIFS('2025-Q2'!$E$4:$E$422,'SPDR Chart'!AC$3,'2025-Q2'!$F$4:$F$422,'SPDR Chart'!$B52,'2025-Q2'!$D$4:$D$422,"N")</f>
        <v>0</v>
      </c>
      <c r="AD52" s="158">
        <f>COUNTIFS('2025-Q2'!$E$4:$E$422,'SPDR Chart'!AD$3,'2025-Q2'!$F$4:$F$422,'SPDR Chart'!$B52,'2025-Q2'!$D$4:$D$422,"N")</f>
        <v>0</v>
      </c>
      <c r="AE52" s="158">
        <f>COUNTIFS('2025-Q2'!$E$4:$E$422,'SPDR Chart'!AE$3,'2025-Q2'!$F$4:$F$422,'SPDR Chart'!$B52,'2025-Q2'!$D$4:$D$422,"N")</f>
        <v>0</v>
      </c>
      <c r="AF52" s="158">
        <f>COUNTIFS('2025-Q2'!$E$4:$E$422,'SPDR Chart'!AF$3,'2025-Q2'!$F$4:$F$422,'SPDR Chart'!$B52,'2025-Q2'!$D$4:$D$422,"N")</f>
        <v>0</v>
      </c>
      <c r="AG52" s="158">
        <f>COUNTIFS('2025-Q2'!$E$4:$E$422,'SPDR Chart'!AG$3,'2025-Q2'!$F$4:$F$422,'SPDR Chart'!$B52,'2025-Q2'!$D$4:$D$422,"N")</f>
        <v>0</v>
      </c>
      <c r="AH52" s="158">
        <f>COUNTIFS('2025-Q2'!$E$4:$E$422,'SPDR Chart'!AH$3,'2025-Q2'!$F$4:$F$422,'SPDR Chart'!$B52,'2025-Q2'!$D$4:$D$422,"N")</f>
        <v>1</v>
      </c>
      <c r="AI52" s="158">
        <f>COUNTIFS('2025-Q2'!$E$4:$E$422,'SPDR Chart'!AI$3,'2025-Q2'!$F$4:$F$422,'SPDR Chart'!$B52,'2025-Q2'!$D$4:$D$422,"N")</f>
        <v>0</v>
      </c>
      <c r="AJ52" s="363">
        <f>COUNTIFS('2025-Q2'!$E$4:$E$422,'SPDR Chart'!AJ$3,'2025-Q2'!$F$4:$F$422,'SPDR Chart'!$B52,'2025-Q2'!$D$4:$D$422,"N")</f>
        <v>2</v>
      </c>
      <c r="AK52" s="457">
        <f t="shared" si="5"/>
        <v>3</v>
      </c>
      <c r="AL52" s="458">
        <f>SUM($AK$4:AK52)/SUM($AK$4:$AK$86)</f>
        <v>0.59701492537313428</v>
      </c>
    </row>
    <row r="53" spans="2:38" x14ac:dyDescent="0.25">
      <c r="B53" s="366">
        <v>45805</v>
      </c>
      <c r="C53" s="158">
        <f>COUNTIFS('2025-Q2'!$E$4:$E$422,'SPDR Chart'!C$3,'2025-Q2'!$F$4:$F$422,'SPDR Chart'!$B53,'2025-Q2'!$D$4:$D$422,"Y")</f>
        <v>0</v>
      </c>
      <c r="D53" s="158">
        <f>COUNTIFS('2025-Q2'!$E$4:$E$422,'SPDR Chart'!D$3,'2025-Q2'!$F$4:$F$422,'SPDR Chart'!$B53,'2025-Q2'!$D$4:$D$422,"Y")</f>
        <v>0</v>
      </c>
      <c r="E53" s="158">
        <f>COUNTIFS('2025-Q2'!$E$4:$E$422,'SPDR Chart'!E$3,'2025-Q2'!$F$4:$F$422,'SPDR Chart'!$B53,'2025-Q2'!$D$4:$D$422,"Y")</f>
        <v>0</v>
      </c>
      <c r="F53" s="158">
        <f>COUNTIFS('2025-Q2'!$E$4:$E$422,'SPDR Chart'!F$3,'2025-Q2'!$F$4:$F$422,'SPDR Chart'!$B53,'2025-Q2'!$D$4:$D$422,"Y")</f>
        <v>0</v>
      </c>
      <c r="G53" s="158">
        <f>COUNTIFS('2025-Q2'!$E$4:$E$422,'SPDR Chart'!G$3,'2025-Q2'!$F$4:$F$422,'SPDR Chart'!$B53,'2025-Q2'!$D$4:$D$422,"Y")</f>
        <v>1</v>
      </c>
      <c r="H53" s="158">
        <f>COUNTIFS('2025-Q2'!$E$4:$E$422,'SPDR Chart'!H$3,'2025-Q2'!$F$4:$F$422,'SPDR Chart'!$B53,'2025-Q2'!$D$4:$D$422,"Y")</f>
        <v>0</v>
      </c>
      <c r="I53" s="158">
        <f>COUNTIFS('2025-Q2'!$E$4:$E$422,'SPDR Chart'!I$3,'2025-Q2'!$F$4:$F$422,'SPDR Chart'!$B53,'2025-Q2'!$D$4:$D$422,"Y")</f>
        <v>0</v>
      </c>
      <c r="J53" s="158">
        <f>COUNTIFS('2025-Q2'!$E$4:$E$422,'SPDR Chart'!J$3,'2025-Q2'!$F$4:$F$422,'SPDR Chart'!$B53,'2025-Q2'!$D$4:$D$422,"Y")</f>
        <v>0</v>
      </c>
      <c r="K53" s="158">
        <f>COUNTIFS('2025-Q2'!$E$4:$E$422,'SPDR Chart'!K$3,'2025-Q2'!$F$4:$F$422,'SPDR Chart'!$B53,'2025-Q2'!$D$4:$D$422,"Y")</f>
        <v>0</v>
      </c>
      <c r="L53" s="158">
        <f>COUNTIFS('2025-Q2'!$E$4:$E$422,'SPDR Chart'!L$3,'2025-Q2'!$F$4:$F$422,'SPDR Chart'!$B53,'2025-Q2'!$D$4:$D$422,"Y")</f>
        <v>1</v>
      </c>
      <c r="M53" s="158">
        <f>COUNTIFS('2025-Q2'!$E$4:$E$422,'SPDR Chart'!M$3,'2025-Q2'!$F$4:$F$422,'SPDR Chart'!$B53,'2025-Q2'!$D$4:$D$422,"Y")</f>
        <v>0</v>
      </c>
      <c r="N53" s="158">
        <f>COUNTIFS('2025-Q2'!$E$4:$E$422,'SPDR Chart'!N$3,'2025-Q2'!$F$4:$F$422,'SPDR Chart'!$B53,'2025-Q2'!$D$4:$D$422,"Y")</f>
        <v>0</v>
      </c>
      <c r="O53" s="158">
        <f>COUNTIFS('2025-Q2'!$E$4:$E$422,'SPDR Chart'!O$3,'2025-Q2'!$F$4:$F$422,'SPDR Chart'!$B53,'2025-Q2'!$D$4:$D$422,"Y")</f>
        <v>2</v>
      </c>
      <c r="P53" s="158">
        <f>COUNTIFS('2025-Q2'!$E$4:$E$422,'SPDR Chart'!P$3,'2025-Q2'!$F$4:$F$422,'SPDR Chart'!$B53,'2025-Q2'!$D$4:$D$422,"Y")</f>
        <v>0</v>
      </c>
      <c r="Q53" s="363">
        <f>COUNTIFS('2025-Q2'!$E$4:$E$422,'SPDR Chart'!Q$3,'2025-Q2'!$F$4:$F$422,'SPDR Chart'!$B53,'2025-Q2'!$D$4:$D$422,"Y")</f>
        <v>1</v>
      </c>
      <c r="R53" s="457">
        <f t="shared" si="4"/>
        <v>5</v>
      </c>
      <c r="S53" s="458">
        <f>SUM($R$4:R53)/SUM($R$4:$R$86)</f>
        <v>0.93641618497109824</v>
      </c>
      <c r="U53" s="366">
        <v>45805</v>
      </c>
      <c r="V53" s="158">
        <f>COUNTIFS('2025-Q2'!$E$4:$E$422,'SPDR Chart'!V$3,'2025-Q2'!$F$4:$F$422,'SPDR Chart'!$B53,'2025-Q2'!$D$4:$D$422,"N")</f>
        <v>1</v>
      </c>
      <c r="W53" s="158">
        <f>COUNTIFS('2025-Q2'!$E$4:$E$422,'SPDR Chart'!W$3,'2025-Q2'!$F$4:$F$422,'SPDR Chart'!$B53,'2025-Q2'!$D$4:$D$422,"N")</f>
        <v>0</v>
      </c>
      <c r="X53" s="158">
        <f>COUNTIFS('2025-Q2'!$E$4:$E$422,'SPDR Chart'!X$3,'2025-Q2'!$F$4:$F$422,'SPDR Chart'!$B53,'2025-Q2'!$D$4:$D$422,"N")</f>
        <v>0</v>
      </c>
      <c r="Y53" s="158">
        <f>COUNTIFS('2025-Q2'!$E$4:$E$422,'SPDR Chart'!Y$3,'2025-Q2'!$F$4:$F$422,'SPDR Chart'!$B53,'2025-Q2'!$D$4:$D$422,"N")</f>
        <v>0</v>
      </c>
      <c r="Z53" s="158">
        <f>COUNTIFS('2025-Q2'!$E$4:$E$422,'SPDR Chart'!Z$3,'2025-Q2'!$F$4:$F$422,'SPDR Chart'!$B53,'2025-Q2'!$D$4:$D$422,"N")</f>
        <v>1</v>
      </c>
      <c r="AA53" s="158">
        <f>COUNTIFS('2025-Q2'!$E$4:$E$422,'SPDR Chart'!AA$3,'2025-Q2'!$F$4:$F$422,'SPDR Chart'!$B53,'2025-Q2'!$D$4:$D$422,"N")</f>
        <v>0</v>
      </c>
      <c r="AB53" s="158">
        <f>COUNTIFS('2025-Q2'!$E$4:$E$422,'SPDR Chart'!AB$3,'2025-Q2'!$F$4:$F$422,'SPDR Chart'!$B53,'2025-Q2'!$D$4:$D$422,"N")</f>
        <v>0</v>
      </c>
      <c r="AC53" s="158">
        <f>COUNTIFS('2025-Q2'!$E$4:$E$422,'SPDR Chart'!AC$3,'2025-Q2'!$F$4:$F$422,'SPDR Chart'!$B53,'2025-Q2'!$D$4:$D$422,"N")</f>
        <v>3</v>
      </c>
      <c r="AD53" s="158">
        <f>COUNTIFS('2025-Q2'!$E$4:$E$422,'SPDR Chart'!AD$3,'2025-Q2'!$F$4:$F$422,'SPDR Chart'!$B53,'2025-Q2'!$D$4:$D$422,"N")</f>
        <v>0</v>
      </c>
      <c r="AE53" s="158">
        <f>COUNTIFS('2025-Q2'!$E$4:$E$422,'SPDR Chart'!AE$3,'2025-Q2'!$F$4:$F$422,'SPDR Chart'!$B53,'2025-Q2'!$D$4:$D$422,"N")</f>
        <v>0</v>
      </c>
      <c r="AF53" s="158">
        <f>COUNTIFS('2025-Q2'!$E$4:$E$422,'SPDR Chart'!AF$3,'2025-Q2'!$F$4:$F$422,'SPDR Chart'!$B53,'2025-Q2'!$D$4:$D$422,"N")</f>
        <v>0</v>
      </c>
      <c r="AG53" s="158">
        <f>COUNTIFS('2025-Q2'!$E$4:$E$422,'SPDR Chart'!AG$3,'2025-Q2'!$F$4:$F$422,'SPDR Chart'!$B53,'2025-Q2'!$D$4:$D$422,"N")</f>
        <v>0</v>
      </c>
      <c r="AH53" s="158">
        <f>COUNTIFS('2025-Q2'!$E$4:$E$422,'SPDR Chart'!AH$3,'2025-Q2'!$F$4:$F$422,'SPDR Chart'!$B53,'2025-Q2'!$D$4:$D$422,"N")</f>
        <v>0</v>
      </c>
      <c r="AI53" s="158">
        <f>COUNTIFS('2025-Q2'!$E$4:$E$422,'SPDR Chart'!AI$3,'2025-Q2'!$F$4:$F$422,'SPDR Chart'!$B53,'2025-Q2'!$D$4:$D$422,"N")</f>
        <v>0</v>
      </c>
      <c r="AJ53" s="363">
        <f>COUNTIFS('2025-Q2'!$E$4:$E$422,'SPDR Chart'!AJ$3,'2025-Q2'!$F$4:$F$422,'SPDR Chart'!$B53,'2025-Q2'!$D$4:$D$422,"N")</f>
        <v>4</v>
      </c>
      <c r="AK53" s="457">
        <f t="shared" si="5"/>
        <v>9</v>
      </c>
      <c r="AL53" s="458">
        <f>SUM($AK$4:AK53)/SUM($AK$4:$AK$86)</f>
        <v>0.73134328358208955</v>
      </c>
    </row>
    <row r="54" spans="2:38" x14ac:dyDescent="0.25">
      <c r="B54" s="366">
        <v>45806</v>
      </c>
      <c r="C54" s="158">
        <f>COUNTIFS('2025-Q2'!$E$4:$E$422,'SPDR Chart'!C$3,'2025-Q2'!$F$4:$F$422,'SPDR Chart'!$B54,'2025-Q2'!$D$4:$D$422,"Y")</f>
        <v>2</v>
      </c>
      <c r="D54" s="158">
        <f>COUNTIFS('2025-Q2'!$E$4:$E$422,'SPDR Chart'!D$3,'2025-Q2'!$F$4:$F$422,'SPDR Chart'!$B54,'2025-Q2'!$D$4:$D$422,"Y")</f>
        <v>0</v>
      </c>
      <c r="E54" s="158">
        <f>COUNTIFS('2025-Q2'!$E$4:$E$422,'SPDR Chart'!E$3,'2025-Q2'!$F$4:$F$422,'SPDR Chart'!$B54,'2025-Q2'!$D$4:$D$422,"Y")</f>
        <v>0</v>
      </c>
      <c r="F54" s="158">
        <f>COUNTIFS('2025-Q2'!$E$4:$E$422,'SPDR Chart'!F$3,'2025-Q2'!$F$4:$F$422,'SPDR Chart'!$B54,'2025-Q2'!$D$4:$D$422,"Y")</f>
        <v>0</v>
      </c>
      <c r="G54" s="158">
        <f>COUNTIFS('2025-Q2'!$E$4:$E$422,'SPDR Chart'!G$3,'2025-Q2'!$F$4:$F$422,'SPDR Chart'!$B54,'2025-Q2'!$D$4:$D$422,"Y")</f>
        <v>0</v>
      </c>
      <c r="H54" s="158">
        <f>COUNTIFS('2025-Q2'!$E$4:$E$422,'SPDR Chart'!H$3,'2025-Q2'!$F$4:$F$422,'SPDR Chart'!$B54,'2025-Q2'!$D$4:$D$422,"Y")</f>
        <v>0</v>
      </c>
      <c r="I54" s="158">
        <f>COUNTIFS('2025-Q2'!$E$4:$E$422,'SPDR Chart'!I$3,'2025-Q2'!$F$4:$F$422,'SPDR Chart'!$B54,'2025-Q2'!$D$4:$D$422,"Y")</f>
        <v>0</v>
      </c>
      <c r="J54" s="158">
        <f>COUNTIFS('2025-Q2'!$E$4:$E$422,'SPDR Chart'!J$3,'2025-Q2'!$F$4:$F$422,'SPDR Chart'!$B54,'2025-Q2'!$D$4:$D$422,"Y")</f>
        <v>2</v>
      </c>
      <c r="K54" s="158">
        <f>COUNTIFS('2025-Q2'!$E$4:$E$422,'SPDR Chart'!K$3,'2025-Q2'!$F$4:$F$422,'SPDR Chart'!$B54,'2025-Q2'!$D$4:$D$422,"Y")</f>
        <v>0</v>
      </c>
      <c r="L54" s="158">
        <f>COUNTIFS('2025-Q2'!$E$4:$E$422,'SPDR Chart'!L$3,'2025-Q2'!$F$4:$F$422,'SPDR Chart'!$B54,'2025-Q2'!$D$4:$D$422,"Y")</f>
        <v>2</v>
      </c>
      <c r="M54" s="158">
        <f>COUNTIFS('2025-Q2'!$E$4:$E$422,'SPDR Chart'!M$3,'2025-Q2'!$F$4:$F$422,'SPDR Chart'!$B54,'2025-Q2'!$D$4:$D$422,"Y")</f>
        <v>0</v>
      </c>
      <c r="N54" s="158">
        <f>COUNTIFS('2025-Q2'!$E$4:$E$422,'SPDR Chart'!N$3,'2025-Q2'!$F$4:$F$422,'SPDR Chart'!$B54,'2025-Q2'!$D$4:$D$422,"Y")</f>
        <v>0</v>
      </c>
      <c r="O54" s="158">
        <f>COUNTIFS('2025-Q2'!$E$4:$E$422,'SPDR Chart'!O$3,'2025-Q2'!$F$4:$F$422,'SPDR Chart'!$B54,'2025-Q2'!$D$4:$D$422,"Y")</f>
        <v>0</v>
      </c>
      <c r="P54" s="158">
        <f>COUNTIFS('2025-Q2'!$E$4:$E$422,'SPDR Chart'!P$3,'2025-Q2'!$F$4:$F$422,'SPDR Chart'!$B54,'2025-Q2'!$D$4:$D$422,"Y")</f>
        <v>0</v>
      </c>
      <c r="Q54" s="363">
        <f>COUNTIFS('2025-Q2'!$E$4:$E$422,'SPDR Chart'!Q$3,'2025-Q2'!$F$4:$F$422,'SPDR Chart'!$B54,'2025-Q2'!$D$4:$D$422,"Y")</f>
        <v>0</v>
      </c>
      <c r="R54" s="457">
        <f t="shared" si="4"/>
        <v>6</v>
      </c>
      <c r="S54" s="458">
        <f>SUM($R$4:R54)/SUM($R$4:$R$86)</f>
        <v>0.95375722543352603</v>
      </c>
      <c r="U54" s="366">
        <v>45806</v>
      </c>
      <c r="V54" s="158">
        <f>COUNTIFS('2025-Q2'!$E$4:$E$422,'SPDR Chart'!V$3,'2025-Q2'!$F$4:$F$422,'SPDR Chart'!$B54,'2025-Q2'!$D$4:$D$422,"N")</f>
        <v>0</v>
      </c>
      <c r="W54" s="158">
        <f>COUNTIFS('2025-Q2'!$E$4:$E$422,'SPDR Chart'!W$3,'2025-Q2'!$F$4:$F$422,'SPDR Chart'!$B54,'2025-Q2'!$D$4:$D$422,"N")</f>
        <v>0</v>
      </c>
      <c r="X54" s="158">
        <f>COUNTIFS('2025-Q2'!$E$4:$E$422,'SPDR Chart'!X$3,'2025-Q2'!$F$4:$F$422,'SPDR Chart'!$B54,'2025-Q2'!$D$4:$D$422,"N")</f>
        <v>0</v>
      </c>
      <c r="Y54" s="158">
        <f>COUNTIFS('2025-Q2'!$E$4:$E$422,'SPDR Chart'!Y$3,'2025-Q2'!$F$4:$F$422,'SPDR Chart'!$B54,'2025-Q2'!$D$4:$D$422,"N")</f>
        <v>0</v>
      </c>
      <c r="Z54" s="158">
        <f>COUNTIFS('2025-Q2'!$E$4:$E$422,'SPDR Chart'!Z$3,'2025-Q2'!$F$4:$F$422,'SPDR Chart'!$B54,'2025-Q2'!$D$4:$D$422,"N")</f>
        <v>0</v>
      </c>
      <c r="AA54" s="158">
        <f>COUNTIFS('2025-Q2'!$E$4:$E$422,'SPDR Chart'!AA$3,'2025-Q2'!$F$4:$F$422,'SPDR Chart'!$B54,'2025-Q2'!$D$4:$D$422,"N")</f>
        <v>0</v>
      </c>
      <c r="AB54" s="158">
        <f>COUNTIFS('2025-Q2'!$E$4:$E$422,'SPDR Chart'!AB$3,'2025-Q2'!$F$4:$F$422,'SPDR Chart'!$B54,'2025-Q2'!$D$4:$D$422,"N")</f>
        <v>0</v>
      </c>
      <c r="AC54" s="158">
        <f>COUNTIFS('2025-Q2'!$E$4:$E$422,'SPDR Chart'!AC$3,'2025-Q2'!$F$4:$F$422,'SPDR Chart'!$B54,'2025-Q2'!$D$4:$D$422,"N")</f>
        <v>3</v>
      </c>
      <c r="AD54" s="158">
        <f>COUNTIFS('2025-Q2'!$E$4:$E$422,'SPDR Chart'!AD$3,'2025-Q2'!$F$4:$F$422,'SPDR Chart'!$B54,'2025-Q2'!$D$4:$D$422,"N")</f>
        <v>0</v>
      </c>
      <c r="AE54" s="158">
        <f>COUNTIFS('2025-Q2'!$E$4:$E$422,'SPDR Chart'!AE$3,'2025-Q2'!$F$4:$F$422,'SPDR Chart'!$B54,'2025-Q2'!$D$4:$D$422,"N")</f>
        <v>0</v>
      </c>
      <c r="AF54" s="158">
        <f>COUNTIFS('2025-Q2'!$E$4:$E$422,'SPDR Chart'!AF$3,'2025-Q2'!$F$4:$F$422,'SPDR Chart'!$B54,'2025-Q2'!$D$4:$D$422,"N")</f>
        <v>0</v>
      </c>
      <c r="AG54" s="158">
        <f>COUNTIFS('2025-Q2'!$E$4:$E$422,'SPDR Chart'!AG$3,'2025-Q2'!$F$4:$F$422,'SPDR Chart'!$B54,'2025-Q2'!$D$4:$D$422,"N")</f>
        <v>0</v>
      </c>
      <c r="AH54" s="158">
        <f>COUNTIFS('2025-Q2'!$E$4:$E$422,'SPDR Chart'!AH$3,'2025-Q2'!$F$4:$F$422,'SPDR Chart'!$B54,'2025-Q2'!$D$4:$D$422,"N")</f>
        <v>0</v>
      </c>
      <c r="AI54" s="158">
        <f>COUNTIFS('2025-Q2'!$E$4:$E$422,'SPDR Chart'!AI$3,'2025-Q2'!$F$4:$F$422,'SPDR Chart'!$B54,'2025-Q2'!$D$4:$D$422,"N")</f>
        <v>0</v>
      </c>
      <c r="AJ54" s="363">
        <f>COUNTIFS('2025-Q2'!$E$4:$E$422,'SPDR Chart'!AJ$3,'2025-Q2'!$F$4:$F$422,'SPDR Chart'!$B54,'2025-Q2'!$D$4:$D$422,"N")</f>
        <v>3</v>
      </c>
      <c r="AK54" s="457">
        <f t="shared" si="5"/>
        <v>6</v>
      </c>
      <c r="AL54" s="458">
        <f>SUM($AK$4:AK54)/SUM($AK$4:$AK$86)</f>
        <v>0.82089552238805974</v>
      </c>
    </row>
    <row r="55" spans="2:38" x14ac:dyDescent="0.25">
      <c r="B55" s="366">
        <v>45807</v>
      </c>
      <c r="C55" s="158">
        <f>COUNTIFS('2025-Q2'!$E$4:$E$422,'SPDR Chart'!C$3,'2025-Q2'!$F$4:$F$422,'SPDR Chart'!$B55,'2025-Q2'!$D$4:$D$422,"Y")</f>
        <v>0</v>
      </c>
      <c r="D55" s="158">
        <f>COUNTIFS('2025-Q2'!$E$4:$E$422,'SPDR Chart'!D$3,'2025-Q2'!$F$4:$F$422,'SPDR Chart'!$B55,'2025-Q2'!$D$4:$D$422,"Y")</f>
        <v>0</v>
      </c>
      <c r="E55" s="158">
        <f>COUNTIFS('2025-Q2'!$E$4:$E$422,'SPDR Chart'!E$3,'2025-Q2'!$F$4:$F$422,'SPDR Chart'!$B55,'2025-Q2'!$D$4:$D$422,"Y")</f>
        <v>0</v>
      </c>
      <c r="F55" s="158">
        <f>COUNTIFS('2025-Q2'!$E$4:$E$422,'SPDR Chart'!F$3,'2025-Q2'!$F$4:$F$422,'SPDR Chart'!$B55,'2025-Q2'!$D$4:$D$422,"Y")</f>
        <v>0</v>
      </c>
      <c r="G55" s="158">
        <f>COUNTIFS('2025-Q2'!$E$4:$E$422,'SPDR Chart'!G$3,'2025-Q2'!$F$4:$F$422,'SPDR Chart'!$B55,'2025-Q2'!$D$4:$D$422,"Y")</f>
        <v>0</v>
      </c>
      <c r="H55" s="158">
        <f>COUNTIFS('2025-Q2'!$E$4:$E$422,'SPDR Chart'!H$3,'2025-Q2'!$F$4:$F$422,'SPDR Chart'!$B55,'2025-Q2'!$D$4:$D$422,"Y")</f>
        <v>0</v>
      </c>
      <c r="I55" s="158">
        <f>COUNTIFS('2025-Q2'!$E$4:$E$422,'SPDR Chart'!I$3,'2025-Q2'!$F$4:$F$422,'SPDR Chart'!$B55,'2025-Q2'!$D$4:$D$422,"Y")</f>
        <v>0</v>
      </c>
      <c r="J55" s="158">
        <f>COUNTIFS('2025-Q2'!$E$4:$E$422,'SPDR Chart'!J$3,'2025-Q2'!$F$4:$F$422,'SPDR Chart'!$B55,'2025-Q2'!$D$4:$D$422,"Y")</f>
        <v>0</v>
      </c>
      <c r="K55" s="158">
        <f>COUNTIFS('2025-Q2'!$E$4:$E$422,'SPDR Chart'!K$3,'2025-Q2'!$F$4:$F$422,'SPDR Chart'!$B55,'2025-Q2'!$D$4:$D$422,"Y")</f>
        <v>0</v>
      </c>
      <c r="L55" s="158">
        <f>COUNTIFS('2025-Q2'!$E$4:$E$422,'SPDR Chart'!L$3,'2025-Q2'!$F$4:$F$422,'SPDR Chart'!$B55,'2025-Q2'!$D$4:$D$422,"Y")</f>
        <v>0</v>
      </c>
      <c r="M55" s="158">
        <f>COUNTIFS('2025-Q2'!$E$4:$E$422,'SPDR Chart'!M$3,'2025-Q2'!$F$4:$F$422,'SPDR Chart'!$B55,'2025-Q2'!$D$4:$D$422,"Y")</f>
        <v>0</v>
      </c>
      <c r="N55" s="158">
        <f>COUNTIFS('2025-Q2'!$E$4:$E$422,'SPDR Chart'!N$3,'2025-Q2'!$F$4:$F$422,'SPDR Chart'!$B55,'2025-Q2'!$D$4:$D$422,"Y")</f>
        <v>0</v>
      </c>
      <c r="O55" s="158">
        <f>COUNTIFS('2025-Q2'!$E$4:$E$422,'SPDR Chart'!O$3,'2025-Q2'!$F$4:$F$422,'SPDR Chart'!$B55,'2025-Q2'!$D$4:$D$422,"Y")</f>
        <v>0</v>
      </c>
      <c r="P55" s="158">
        <f>COUNTIFS('2025-Q2'!$E$4:$E$422,'SPDR Chart'!P$3,'2025-Q2'!$F$4:$F$422,'SPDR Chart'!$B55,'2025-Q2'!$D$4:$D$422,"Y")</f>
        <v>0</v>
      </c>
      <c r="Q55" s="363">
        <f>COUNTIFS('2025-Q2'!$E$4:$E$422,'SPDR Chart'!Q$3,'2025-Q2'!$F$4:$F$422,'SPDR Chart'!$B55,'2025-Q2'!$D$4:$D$422,"Y")</f>
        <v>0</v>
      </c>
      <c r="R55" s="457">
        <f t="shared" si="4"/>
        <v>0</v>
      </c>
      <c r="S55" s="458">
        <f>SUM($R$4:R55)/SUM($R$4:$R$86)</f>
        <v>0.95375722543352603</v>
      </c>
      <c r="U55" s="366">
        <v>45807</v>
      </c>
      <c r="V55" s="158">
        <f>COUNTIFS('2025-Q2'!$E$4:$E$422,'SPDR Chart'!V$3,'2025-Q2'!$F$4:$F$422,'SPDR Chart'!$B55,'2025-Q2'!$D$4:$D$422,"N")</f>
        <v>0</v>
      </c>
      <c r="W55" s="158">
        <f>COUNTIFS('2025-Q2'!$E$4:$E$422,'SPDR Chart'!W$3,'2025-Q2'!$F$4:$F$422,'SPDR Chart'!$B55,'2025-Q2'!$D$4:$D$422,"N")</f>
        <v>0</v>
      </c>
      <c r="X55" s="158">
        <f>COUNTIFS('2025-Q2'!$E$4:$E$422,'SPDR Chart'!X$3,'2025-Q2'!$F$4:$F$422,'SPDR Chart'!$B55,'2025-Q2'!$D$4:$D$422,"N")</f>
        <v>0</v>
      </c>
      <c r="Y55" s="158">
        <f>COUNTIFS('2025-Q2'!$E$4:$E$422,'SPDR Chart'!Y$3,'2025-Q2'!$F$4:$F$422,'SPDR Chart'!$B55,'2025-Q2'!$D$4:$D$422,"N")</f>
        <v>0</v>
      </c>
      <c r="Z55" s="158">
        <f>COUNTIFS('2025-Q2'!$E$4:$E$422,'SPDR Chart'!Z$3,'2025-Q2'!$F$4:$F$422,'SPDR Chart'!$B55,'2025-Q2'!$D$4:$D$422,"N")</f>
        <v>0</v>
      </c>
      <c r="AA55" s="158">
        <f>COUNTIFS('2025-Q2'!$E$4:$E$422,'SPDR Chart'!AA$3,'2025-Q2'!$F$4:$F$422,'SPDR Chart'!$B55,'2025-Q2'!$D$4:$D$422,"N")</f>
        <v>0</v>
      </c>
      <c r="AB55" s="158">
        <f>COUNTIFS('2025-Q2'!$E$4:$E$422,'SPDR Chart'!AB$3,'2025-Q2'!$F$4:$F$422,'SPDR Chart'!$B55,'2025-Q2'!$D$4:$D$422,"N")</f>
        <v>0</v>
      </c>
      <c r="AC55" s="158">
        <f>COUNTIFS('2025-Q2'!$E$4:$E$422,'SPDR Chart'!AC$3,'2025-Q2'!$F$4:$F$422,'SPDR Chart'!$B55,'2025-Q2'!$D$4:$D$422,"N")</f>
        <v>0</v>
      </c>
      <c r="AD55" s="158">
        <f>COUNTIFS('2025-Q2'!$E$4:$E$422,'SPDR Chart'!AD$3,'2025-Q2'!$F$4:$F$422,'SPDR Chart'!$B55,'2025-Q2'!$D$4:$D$422,"N")</f>
        <v>0</v>
      </c>
      <c r="AE55" s="158">
        <f>COUNTIFS('2025-Q2'!$E$4:$E$422,'SPDR Chart'!AE$3,'2025-Q2'!$F$4:$F$422,'SPDR Chart'!$B55,'2025-Q2'!$D$4:$D$422,"N")</f>
        <v>0</v>
      </c>
      <c r="AF55" s="158">
        <f>COUNTIFS('2025-Q2'!$E$4:$E$422,'SPDR Chart'!AF$3,'2025-Q2'!$F$4:$F$422,'SPDR Chart'!$B55,'2025-Q2'!$D$4:$D$422,"N")</f>
        <v>0</v>
      </c>
      <c r="AG55" s="158">
        <f>COUNTIFS('2025-Q2'!$E$4:$E$422,'SPDR Chart'!AG$3,'2025-Q2'!$F$4:$F$422,'SPDR Chart'!$B55,'2025-Q2'!$D$4:$D$422,"N")</f>
        <v>0</v>
      </c>
      <c r="AH55" s="158">
        <f>COUNTIFS('2025-Q2'!$E$4:$E$422,'SPDR Chart'!AH$3,'2025-Q2'!$F$4:$F$422,'SPDR Chart'!$B55,'2025-Q2'!$D$4:$D$422,"N")</f>
        <v>0</v>
      </c>
      <c r="AI55" s="158">
        <f>COUNTIFS('2025-Q2'!$E$4:$E$422,'SPDR Chart'!AI$3,'2025-Q2'!$F$4:$F$422,'SPDR Chart'!$B55,'2025-Q2'!$D$4:$D$422,"N")</f>
        <v>0</v>
      </c>
      <c r="AJ55" s="363">
        <f>COUNTIFS('2025-Q2'!$E$4:$E$422,'SPDR Chart'!AJ$3,'2025-Q2'!$F$4:$F$422,'SPDR Chart'!$B55,'2025-Q2'!$D$4:$D$422,"N")</f>
        <v>0</v>
      </c>
      <c r="AK55" s="457">
        <f t="shared" si="5"/>
        <v>0</v>
      </c>
      <c r="AL55" s="458">
        <f>SUM($AK$4:AK55)/SUM($AK$4:$AK$86)</f>
        <v>0.82089552238805974</v>
      </c>
    </row>
    <row r="56" spans="2:38" x14ac:dyDescent="0.25">
      <c r="B56" s="366">
        <v>45808</v>
      </c>
      <c r="C56" s="158">
        <f>COUNTIFS('2025-Q2'!$E$4:$E$422,'SPDR Chart'!C$3,'2025-Q2'!$F$4:$F$422,'SPDR Chart'!$B56,'2025-Q2'!$D$4:$D$422,"Y")</f>
        <v>0</v>
      </c>
      <c r="D56" s="158">
        <f>COUNTIFS('2025-Q2'!$E$4:$E$422,'SPDR Chart'!D$3,'2025-Q2'!$F$4:$F$422,'SPDR Chart'!$B56,'2025-Q2'!$D$4:$D$422,"Y")</f>
        <v>0</v>
      </c>
      <c r="E56" s="158">
        <f>COUNTIFS('2025-Q2'!$E$4:$E$422,'SPDR Chart'!E$3,'2025-Q2'!$F$4:$F$422,'SPDR Chart'!$B56,'2025-Q2'!$D$4:$D$422,"Y")</f>
        <v>0</v>
      </c>
      <c r="F56" s="158">
        <f>COUNTIFS('2025-Q2'!$E$4:$E$422,'SPDR Chart'!F$3,'2025-Q2'!$F$4:$F$422,'SPDR Chart'!$B56,'2025-Q2'!$D$4:$D$422,"Y")</f>
        <v>0</v>
      </c>
      <c r="G56" s="158">
        <f>COUNTIFS('2025-Q2'!$E$4:$E$422,'SPDR Chart'!G$3,'2025-Q2'!$F$4:$F$422,'SPDR Chart'!$B56,'2025-Q2'!$D$4:$D$422,"Y")</f>
        <v>0</v>
      </c>
      <c r="H56" s="158">
        <f>COUNTIFS('2025-Q2'!$E$4:$E$422,'SPDR Chart'!H$3,'2025-Q2'!$F$4:$F$422,'SPDR Chart'!$B56,'2025-Q2'!$D$4:$D$422,"Y")</f>
        <v>0</v>
      </c>
      <c r="I56" s="158">
        <f>COUNTIFS('2025-Q2'!$E$4:$E$422,'SPDR Chart'!I$3,'2025-Q2'!$F$4:$F$422,'SPDR Chart'!$B56,'2025-Q2'!$D$4:$D$422,"Y")</f>
        <v>0</v>
      </c>
      <c r="J56" s="158">
        <f>COUNTIFS('2025-Q2'!$E$4:$E$422,'SPDR Chart'!J$3,'2025-Q2'!$F$4:$F$422,'SPDR Chart'!$B56,'2025-Q2'!$D$4:$D$422,"Y")</f>
        <v>0</v>
      </c>
      <c r="K56" s="158">
        <f>COUNTIFS('2025-Q2'!$E$4:$E$422,'SPDR Chart'!K$3,'2025-Q2'!$F$4:$F$422,'SPDR Chart'!$B56,'2025-Q2'!$D$4:$D$422,"Y")</f>
        <v>0</v>
      </c>
      <c r="L56" s="158">
        <f>COUNTIFS('2025-Q2'!$E$4:$E$422,'SPDR Chart'!L$3,'2025-Q2'!$F$4:$F$422,'SPDR Chart'!$B56,'2025-Q2'!$D$4:$D$422,"Y")</f>
        <v>0</v>
      </c>
      <c r="M56" s="158">
        <f>COUNTIFS('2025-Q2'!$E$4:$E$422,'SPDR Chart'!M$3,'2025-Q2'!$F$4:$F$422,'SPDR Chart'!$B56,'2025-Q2'!$D$4:$D$422,"Y")</f>
        <v>0</v>
      </c>
      <c r="N56" s="158">
        <f>COUNTIFS('2025-Q2'!$E$4:$E$422,'SPDR Chart'!N$3,'2025-Q2'!$F$4:$F$422,'SPDR Chart'!$B56,'2025-Q2'!$D$4:$D$422,"Y")</f>
        <v>0</v>
      </c>
      <c r="O56" s="158">
        <f>COUNTIFS('2025-Q2'!$E$4:$E$422,'SPDR Chart'!O$3,'2025-Q2'!$F$4:$F$422,'SPDR Chart'!$B56,'2025-Q2'!$D$4:$D$422,"Y")</f>
        <v>0</v>
      </c>
      <c r="P56" s="158">
        <f>COUNTIFS('2025-Q2'!$E$4:$E$422,'SPDR Chart'!P$3,'2025-Q2'!$F$4:$F$422,'SPDR Chart'!$B56,'2025-Q2'!$D$4:$D$422,"Y")</f>
        <v>0</v>
      </c>
      <c r="Q56" s="363">
        <f>COUNTIFS('2025-Q2'!$E$4:$E$422,'SPDR Chart'!Q$3,'2025-Q2'!$F$4:$F$422,'SPDR Chart'!$B56,'2025-Q2'!$D$4:$D$422,"Y")</f>
        <v>0</v>
      </c>
      <c r="R56" s="457">
        <f t="shared" si="4"/>
        <v>0</v>
      </c>
      <c r="S56" s="458">
        <f>SUM($R$4:R56)/SUM($R$4:$R$86)</f>
        <v>0.95375722543352603</v>
      </c>
      <c r="U56" s="366">
        <v>45808</v>
      </c>
      <c r="V56" s="158">
        <f>COUNTIFS('2025-Q2'!$E$4:$E$422,'SPDR Chart'!V$3,'2025-Q2'!$F$4:$F$422,'SPDR Chart'!$B56,'2025-Q2'!$D$4:$D$422,"N")</f>
        <v>0</v>
      </c>
      <c r="W56" s="158">
        <f>COUNTIFS('2025-Q2'!$E$4:$E$422,'SPDR Chart'!W$3,'2025-Q2'!$F$4:$F$422,'SPDR Chart'!$B56,'2025-Q2'!$D$4:$D$422,"N")</f>
        <v>0</v>
      </c>
      <c r="X56" s="158">
        <f>COUNTIFS('2025-Q2'!$E$4:$E$422,'SPDR Chart'!X$3,'2025-Q2'!$F$4:$F$422,'SPDR Chart'!$B56,'2025-Q2'!$D$4:$D$422,"N")</f>
        <v>0</v>
      </c>
      <c r="Y56" s="158">
        <f>COUNTIFS('2025-Q2'!$E$4:$E$422,'SPDR Chart'!Y$3,'2025-Q2'!$F$4:$F$422,'SPDR Chart'!$B56,'2025-Q2'!$D$4:$D$422,"N")</f>
        <v>0</v>
      </c>
      <c r="Z56" s="158">
        <f>COUNTIFS('2025-Q2'!$E$4:$E$422,'SPDR Chart'!Z$3,'2025-Q2'!$F$4:$F$422,'SPDR Chart'!$B56,'2025-Q2'!$D$4:$D$422,"N")</f>
        <v>0</v>
      </c>
      <c r="AA56" s="158">
        <f>COUNTIFS('2025-Q2'!$E$4:$E$422,'SPDR Chart'!AA$3,'2025-Q2'!$F$4:$F$422,'SPDR Chart'!$B56,'2025-Q2'!$D$4:$D$422,"N")</f>
        <v>0</v>
      </c>
      <c r="AB56" s="158">
        <f>COUNTIFS('2025-Q2'!$E$4:$E$422,'SPDR Chart'!AB$3,'2025-Q2'!$F$4:$F$422,'SPDR Chart'!$B56,'2025-Q2'!$D$4:$D$422,"N")</f>
        <v>0</v>
      </c>
      <c r="AC56" s="158">
        <f>COUNTIFS('2025-Q2'!$E$4:$E$422,'SPDR Chart'!AC$3,'2025-Q2'!$F$4:$F$422,'SPDR Chart'!$B56,'2025-Q2'!$D$4:$D$422,"N")</f>
        <v>0</v>
      </c>
      <c r="AD56" s="158">
        <f>COUNTIFS('2025-Q2'!$E$4:$E$422,'SPDR Chart'!AD$3,'2025-Q2'!$F$4:$F$422,'SPDR Chart'!$B56,'2025-Q2'!$D$4:$D$422,"N")</f>
        <v>0</v>
      </c>
      <c r="AE56" s="158">
        <f>COUNTIFS('2025-Q2'!$E$4:$E$422,'SPDR Chart'!AE$3,'2025-Q2'!$F$4:$F$422,'SPDR Chart'!$B56,'2025-Q2'!$D$4:$D$422,"N")</f>
        <v>0</v>
      </c>
      <c r="AF56" s="158">
        <f>COUNTIFS('2025-Q2'!$E$4:$E$422,'SPDR Chart'!AF$3,'2025-Q2'!$F$4:$F$422,'SPDR Chart'!$B56,'2025-Q2'!$D$4:$D$422,"N")</f>
        <v>0</v>
      </c>
      <c r="AG56" s="158">
        <f>COUNTIFS('2025-Q2'!$E$4:$E$422,'SPDR Chart'!AG$3,'2025-Q2'!$F$4:$F$422,'SPDR Chart'!$B56,'2025-Q2'!$D$4:$D$422,"N")</f>
        <v>0</v>
      </c>
      <c r="AH56" s="158">
        <f>COUNTIFS('2025-Q2'!$E$4:$E$422,'SPDR Chart'!AH$3,'2025-Q2'!$F$4:$F$422,'SPDR Chart'!$B56,'2025-Q2'!$D$4:$D$422,"N")</f>
        <v>0</v>
      </c>
      <c r="AI56" s="158">
        <f>COUNTIFS('2025-Q2'!$E$4:$E$422,'SPDR Chart'!AI$3,'2025-Q2'!$F$4:$F$422,'SPDR Chart'!$B56,'2025-Q2'!$D$4:$D$422,"N")</f>
        <v>0</v>
      </c>
      <c r="AJ56" s="363">
        <f>COUNTIFS('2025-Q2'!$E$4:$E$422,'SPDR Chart'!AJ$3,'2025-Q2'!$F$4:$F$422,'SPDR Chart'!$B56,'2025-Q2'!$D$4:$D$422,"N")</f>
        <v>0</v>
      </c>
      <c r="AK56" s="457">
        <f t="shared" si="5"/>
        <v>0</v>
      </c>
      <c r="AL56" s="458">
        <f>SUM($AK$4:AK56)/SUM($AK$4:$AK$86)</f>
        <v>0.82089552238805974</v>
      </c>
    </row>
    <row r="57" spans="2:38" x14ac:dyDescent="0.25">
      <c r="B57" s="366">
        <v>45809</v>
      </c>
      <c r="C57" s="158">
        <f>COUNTIFS('2025-Q2'!$E$4:$E$422,'SPDR Chart'!C$3,'2025-Q2'!$F$4:$F$422,'SPDR Chart'!$B57,'2025-Q2'!$D$4:$D$422,"Y")</f>
        <v>0</v>
      </c>
      <c r="D57" s="158">
        <f>COUNTIFS('2025-Q2'!$E$4:$E$422,'SPDR Chart'!D$3,'2025-Q2'!$F$4:$F$422,'SPDR Chart'!$B57,'2025-Q2'!$D$4:$D$422,"Y")</f>
        <v>0</v>
      </c>
      <c r="E57" s="158">
        <f>COUNTIFS('2025-Q2'!$E$4:$E$422,'SPDR Chart'!E$3,'2025-Q2'!$F$4:$F$422,'SPDR Chart'!$B57,'2025-Q2'!$D$4:$D$422,"Y")</f>
        <v>0</v>
      </c>
      <c r="F57" s="158">
        <f>COUNTIFS('2025-Q2'!$E$4:$E$422,'SPDR Chart'!F$3,'2025-Q2'!$F$4:$F$422,'SPDR Chart'!$B57,'2025-Q2'!$D$4:$D$422,"Y")</f>
        <v>0</v>
      </c>
      <c r="G57" s="158">
        <f>COUNTIFS('2025-Q2'!$E$4:$E$422,'SPDR Chart'!G$3,'2025-Q2'!$F$4:$F$422,'SPDR Chart'!$B57,'2025-Q2'!$D$4:$D$422,"Y")</f>
        <v>0</v>
      </c>
      <c r="H57" s="158">
        <f>COUNTIFS('2025-Q2'!$E$4:$E$422,'SPDR Chart'!H$3,'2025-Q2'!$F$4:$F$422,'SPDR Chart'!$B57,'2025-Q2'!$D$4:$D$422,"Y")</f>
        <v>0</v>
      </c>
      <c r="I57" s="158">
        <f>COUNTIFS('2025-Q2'!$E$4:$E$422,'SPDR Chart'!I$3,'2025-Q2'!$F$4:$F$422,'SPDR Chart'!$B57,'2025-Q2'!$D$4:$D$422,"Y")</f>
        <v>0</v>
      </c>
      <c r="J57" s="158">
        <f>COUNTIFS('2025-Q2'!$E$4:$E$422,'SPDR Chart'!J$3,'2025-Q2'!$F$4:$F$422,'SPDR Chart'!$B57,'2025-Q2'!$D$4:$D$422,"Y")</f>
        <v>0</v>
      </c>
      <c r="K57" s="158">
        <f>COUNTIFS('2025-Q2'!$E$4:$E$422,'SPDR Chart'!K$3,'2025-Q2'!$F$4:$F$422,'SPDR Chart'!$B57,'2025-Q2'!$D$4:$D$422,"Y")</f>
        <v>0</v>
      </c>
      <c r="L57" s="158">
        <f>COUNTIFS('2025-Q2'!$E$4:$E$422,'SPDR Chart'!L$3,'2025-Q2'!$F$4:$F$422,'SPDR Chart'!$B57,'2025-Q2'!$D$4:$D$422,"Y")</f>
        <v>0</v>
      </c>
      <c r="M57" s="158">
        <f>COUNTIFS('2025-Q2'!$E$4:$E$422,'SPDR Chart'!M$3,'2025-Q2'!$F$4:$F$422,'SPDR Chart'!$B57,'2025-Q2'!$D$4:$D$422,"Y")</f>
        <v>0</v>
      </c>
      <c r="N57" s="158">
        <f>COUNTIFS('2025-Q2'!$E$4:$E$422,'SPDR Chart'!N$3,'2025-Q2'!$F$4:$F$422,'SPDR Chart'!$B57,'2025-Q2'!$D$4:$D$422,"Y")</f>
        <v>0</v>
      </c>
      <c r="O57" s="158">
        <f>COUNTIFS('2025-Q2'!$E$4:$E$422,'SPDR Chart'!O$3,'2025-Q2'!$F$4:$F$422,'SPDR Chart'!$B57,'2025-Q2'!$D$4:$D$422,"Y")</f>
        <v>0</v>
      </c>
      <c r="P57" s="158">
        <f>COUNTIFS('2025-Q2'!$E$4:$E$422,'SPDR Chart'!P$3,'2025-Q2'!$F$4:$F$422,'SPDR Chart'!$B57,'2025-Q2'!$D$4:$D$422,"Y")</f>
        <v>0</v>
      </c>
      <c r="Q57" s="363">
        <f>COUNTIFS('2025-Q2'!$E$4:$E$422,'SPDR Chart'!Q$3,'2025-Q2'!$F$4:$F$422,'SPDR Chart'!$B57,'2025-Q2'!$D$4:$D$422,"Y")</f>
        <v>0</v>
      </c>
      <c r="R57" s="457">
        <f t="shared" si="4"/>
        <v>0</v>
      </c>
      <c r="S57" s="458">
        <f>SUM($R$4:R57)/SUM($R$4:$R$86)</f>
        <v>0.95375722543352603</v>
      </c>
      <c r="U57" s="366">
        <v>45809</v>
      </c>
      <c r="V57" s="158">
        <f>COUNTIFS('2025-Q2'!$E$4:$E$422,'SPDR Chart'!V$3,'2025-Q2'!$F$4:$F$422,'SPDR Chart'!$B57,'2025-Q2'!$D$4:$D$422,"N")</f>
        <v>0</v>
      </c>
      <c r="W57" s="158">
        <f>COUNTIFS('2025-Q2'!$E$4:$E$422,'SPDR Chart'!W$3,'2025-Q2'!$F$4:$F$422,'SPDR Chart'!$B57,'2025-Q2'!$D$4:$D$422,"N")</f>
        <v>0</v>
      </c>
      <c r="X57" s="158">
        <f>COUNTIFS('2025-Q2'!$E$4:$E$422,'SPDR Chart'!X$3,'2025-Q2'!$F$4:$F$422,'SPDR Chart'!$B57,'2025-Q2'!$D$4:$D$422,"N")</f>
        <v>0</v>
      </c>
      <c r="Y57" s="158">
        <f>COUNTIFS('2025-Q2'!$E$4:$E$422,'SPDR Chart'!Y$3,'2025-Q2'!$F$4:$F$422,'SPDR Chart'!$B57,'2025-Q2'!$D$4:$D$422,"N")</f>
        <v>0</v>
      </c>
      <c r="Z57" s="158">
        <f>COUNTIFS('2025-Q2'!$E$4:$E$422,'SPDR Chart'!Z$3,'2025-Q2'!$F$4:$F$422,'SPDR Chart'!$B57,'2025-Q2'!$D$4:$D$422,"N")</f>
        <v>0</v>
      </c>
      <c r="AA57" s="158">
        <f>COUNTIFS('2025-Q2'!$E$4:$E$422,'SPDR Chart'!AA$3,'2025-Q2'!$F$4:$F$422,'SPDR Chart'!$B57,'2025-Q2'!$D$4:$D$422,"N")</f>
        <v>0</v>
      </c>
      <c r="AB57" s="158">
        <f>COUNTIFS('2025-Q2'!$E$4:$E$422,'SPDR Chart'!AB$3,'2025-Q2'!$F$4:$F$422,'SPDR Chart'!$B57,'2025-Q2'!$D$4:$D$422,"N")</f>
        <v>0</v>
      </c>
      <c r="AC57" s="158">
        <f>COUNTIFS('2025-Q2'!$E$4:$E$422,'SPDR Chart'!AC$3,'2025-Q2'!$F$4:$F$422,'SPDR Chart'!$B57,'2025-Q2'!$D$4:$D$422,"N")</f>
        <v>0</v>
      </c>
      <c r="AD57" s="158">
        <f>COUNTIFS('2025-Q2'!$E$4:$E$422,'SPDR Chart'!AD$3,'2025-Q2'!$F$4:$F$422,'SPDR Chart'!$B57,'2025-Q2'!$D$4:$D$422,"N")</f>
        <v>0</v>
      </c>
      <c r="AE57" s="158">
        <f>COUNTIFS('2025-Q2'!$E$4:$E$422,'SPDR Chart'!AE$3,'2025-Q2'!$F$4:$F$422,'SPDR Chart'!$B57,'2025-Q2'!$D$4:$D$422,"N")</f>
        <v>0</v>
      </c>
      <c r="AF57" s="158">
        <f>COUNTIFS('2025-Q2'!$E$4:$E$422,'SPDR Chart'!AF$3,'2025-Q2'!$F$4:$F$422,'SPDR Chart'!$B57,'2025-Q2'!$D$4:$D$422,"N")</f>
        <v>0</v>
      </c>
      <c r="AG57" s="158">
        <f>COUNTIFS('2025-Q2'!$E$4:$E$422,'SPDR Chart'!AG$3,'2025-Q2'!$F$4:$F$422,'SPDR Chart'!$B57,'2025-Q2'!$D$4:$D$422,"N")</f>
        <v>0</v>
      </c>
      <c r="AH57" s="158">
        <f>COUNTIFS('2025-Q2'!$E$4:$E$422,'SPDR Chart'!AH$3,'2025-Q2'!$F$4:$F$422,'SPDR Chart'!$B57,'2025-Q2'!$D$4:$D$422,"N")</f>
        <v>0</v>
      </c>
      <c r="AI57" s="158">
        <f>COUNTIFS('2025-Q2'!$E$4:$E$422,'SPDR Chart'!AI$3,'2025-Q2'!$F$4:$F$422,'SPDR Chart'!$B57,'2025-Q2'!$D$4:$D$422,"N")</f>
        <v>0</v>
      </c>
      <c r="AJ57" s="363">
        <f>COUNTIFS('2025-Q2'!$E$4:$E$422,'SPDR Chart'!AJ$3,'2025-Q2'!$F$4:$F$422,'SPDR Chart'!$B57,'2025-Q2'!$D$4:$D$422,"N")</f>
        <v>0</v>
      </c>
      <c r="AK57" s="457">
        <f t="shared" si="5"/>
        <v>0</v>
      </c>
      <c r="AL57" s="458">
        <f>SUM($AK$4:AK57)/SUM($AK$4:$AK$86)</f>
        <v>0.82089552238805974</v>
      </c>
    </row>
    <row r="58" spans="2:38" x14ac:dyDescent="0.25">
      <c r="B58" s="366">
        <v>45810</v>
      </c>
      <c r="C58" s="158">
        <f>COUNTIFS('2025-Q2'!$E$4:$E$422,'SPDR Chart'!C$3,'2025-Q2'!$F$4:$F$422,'SPDR Chart'!$B58,'2025-Q2'!$D$4:$D$422,"Y")</f>
        <v>1</v>
      </c>
      <c r="D58" s="158">
        <f>COUNTIFS('2025-Q2'!$E$4:$E$422,'SPDR Chart'!D$3,'2025-Q2'!$F$4:$F$422,'SPDR Chart'!$B58,'2025-Q2'!$D$4:$D$422,"Y")</f>
        <v>0</v>
      </c>
      <c r="E58" s="158">
        <f>COUNTIFS('2025-Q2'!$E$4:$E$422,'SPDR Chart'!E$3,'2025-Q2'!$F$4:$F$422,'SPDR Chart'!$B58,'2025-Q2'!$D$4:$D$422,"Y")</f>
        <v>0</v>
      </c>
      <c r="F58" s="158">
        <f>COUNTIFS('2025-Q2'!$E$4:$E$422,'SPDR Chart'!F$3,'2025-Q2'!$F$4:$F$422,'SPDR Chart'!$B58,'2025-Q2'!$D$4:$D$422,"Y")</f>
        <v>0</v>
      </c>
      <c r="G58" s="158">
        <f>COUNTIFS('2025-Q2'!$E$4:$E$422,'SPDR Chart'!G$3,'2025-Q2'!$F$4:$F$422,'SPDR Chart'!$B58,'2025-Q2'!$D$4:$D$422,"Y")</f>
        <v>0</v>
      </c>
      <c r="H58" s="158">
        <f>COUNTIFS('2025-Q2'!$E$4:$E$422,'SPDR Chart'!H$3,'2025-Q2'!$F$4:$F$422,'SPDR Chart'!$B58,'2025-Q2'!$D$4:$D$422,"Y")</f>
        <v>0</v>
      </c>
      <c r="I58" s="158">
        <f>COUNTIFS('2025-Q2'!$E$4:$E$422,'SPDR Chart'!I$3,'2025-Q2'!$F$4:$F$422,'SPDR Chart'!$B58,'2025-Q2'!$D$4:$D$422,"Y")</f>
        <v>0</v>
      </c>
      <c r="J58" s="158">
        <f>COUNTIFS('2025-Q2'!$E$4:$E$422,'SPDR Chart'!J$3,'2025-Q2'!$F$4:$F$422,'SPDR Chart'!$B58,'2025-Q2'!$D$4:$D$422,"Y")</f>
        <v>0</v>
      </c>
      <c r="K58" s="158">
        <f>COUNTIFS('2025-Q2'!$E$4:$E$422,'SPDR Chart'!K$3,'2025-Q2'!$F$4:$F$422,'SPDR Chart'!$B58,'2025-Q2'!$D$4:$D$422,"Y")</f>
        <v>0</v>
      </c>
      <c r="L58" s="158">
        <f>COUNTIFS('2025-Q2'!$E$4:$E$422,'SPDR Chart'!L$3,'2025-Q2'!$F$4:$F$422,'SPDR Chart'!$B58,'2025-Q2'!$D$4:$D$422,"Y")</f>
        <v>0</v>
      </c>
      <c r="M58" s="158">
        <f>COUNTIFS('2025-Q2'!$E$4:$E$422,'SPDR Chart'!M$3,'2025-Q2'!$F$4:$F$422,'SPDR Chart'!$B58,'2025-Q2'!$D$4:$D$422,"Y")</f>
        <v>0</v>
      </c>
      <c r="N58" s="158">
        <f>COUNTIFS('2025-Q2'!$E$4:$E$422,'SPDR Chart'!N$3,'2025-Q2'!$F$4:$F$422,'SPDR Chart'!$B58,'2025-Q2'!$D$4:$D$422,"Y")</f>
        <v>0</v>
      </c>
      <c r="O58" s="158">
        <f>COUNTIFS('2025-Q2'!$E$4:$E$422,'SPDR Chart'!O$3,'2025-Q2'!$F$4:$F$422,'SPDR Chart'!$B58,'2025-Q2'!$D$4:$D$422,"Y")</f>
        <v>0</v>
      </c>
      <c r="P58" s="158">
        <f>COUNTIFS('2025-Q2'!$E$4:$E$422,'SPDR Chart'!P$3,'2025-Q2'!$F$4:$F$422,'SPDR Chart'!$B58,'2025-Q2'!$D$4:$D$422,"Y")</f>
        <v>0</v>
      </c>
      <c r="Q58" s="363">
        <f>COUNTIFS('2025-Q2'!$E$4:$E$422,'SPDR Chart'!Q$3,'2025-Q2'!$F$4:$F$422,'SPDR Chart'!$B58,'2025-Q2'!$D$4:$D$422,"Y")</f>
        <v>0</v>
      </c>
      <c r="R58" s="457">
        <f t="shared" si="4"/>
        <v>1</v>
      </c>
      <c r="S58" s="458">
        <f>SUM($R$4:R58)/SUM($R$4:$R$86)</f>
        <v>0.95664739884393069</v>
      </c>
      <c r="U58" s="366">
        <v>45810</v>
      </c>
      <c r="V58" s="158">
        <f>COUNTIFS('2025-Q2'!$E$4:$E$422,'SPDR Chart'!V$3,'2025-Q2'!$F$4:$F$422,'SPDR Chart'!$B58,'2025-Q2'!$D$4:$D$422,"N")</f>
        <v>0</v>
      </c>
      <c r="W58" s="158">
        <f>COUNTIFS('2025-Q2'!$E$4:$E$422,'SPDR Chart'!W$3,'2025-Q2'!$F$4:$F$422,'SPDR Chart'!$B58,'2025-Q2'!$D$4:$D$422,"N")</f>
        <v>0</v>
      </c>
      <c r="X58" s="158">
        <f>COUNTIFS('2025-Q2'!$E$4:$E$422,'SPDR Chart'!X$3,'2025-Q2'!$F$4:$F$422,'SPDR Chart'!$B58,'2025-Q2'!$D$4:$D$422,"N")</f>
        <v>0</v>
      </c>
      <c r="Y58" s="158">
        <f>COUNTIFS('2025-Q2'!$E$4:$E$422,'SPDR Chart'!Y$3,'2025-Q2'!$F$4:$F$422,'SPDR Chart'!$B58,'2025-Q2'!$D$4:$D$422,"N")</f>
        <v>0</v>
      </c>
      <c r="Z58" s="158">
        <f>COUNTIFS('2025-Q2'!$E$4:$E$422,'SPDR Chart'!Z$3,'2025-Q2'!$F$4:$F$422,'SPDR Chart'!$B58,'2025-Q2'!$D$4:$D$422,"N")</f>
        <v>0</v>
      </c>
      <c r="AA58" s="158">
        <f>COUNTIFS('2025-Q2'!$E$4:$E$422,'SPDR Chart'!AA$3,'2025-Q2'!$F$4:$F$422,'SPDR Chart'!$B58,'2025-Q2'!$D$4:$D$422,"N")</f>
        <v>0</v>
      </c>
      <c r="AB58" s="158">
        <f>COUNTIFS('2025-Q2'!$E$4:$E$422,'SPDR Chart'!AB$3,'2025-Q2'!$F$4:$F$422,'SPDR Chart'!$B58,'2025-Q2'!$D$4:$D$422,"N")</f>
        <v>0</v>
      </c>
      <c r="AC58" s="158">
        <f>COUNTIFS('2025-Q2'!$E$4:$E$422,'SPDR Chart'!AC$3,'2025-Q2'!$F$4:$F$422,'SPDR Chart'!$B58,'2025-Q2'!$D$4:$D$422,"N")</f>
        <v>0</v>
      </c>
      <c r="AD58" s="158">
        <f>COUNTIFS('2025-Q2'!$E$4:$E$422,'SPDR Chart'!AD$3,'2025-Q2'!$F$4:$F$422,'SPDR Chart'!$B58,'2025-Q2'!$D$4:$D$422,"N")</f>
        <v>0</v>
      </c>
      <c r="AE58" s="158">
        <f>COUNTIFS('2025-Q2'!$E$4:$E$422,'SPDR Chart'!AE$3,'2025-Q2'!$F$4:$F$422,'SPDR Chart'!$B58,'2025-Q2'!$D$4:$D$422,"N")</f>
        <v>0</v>
      </c>
      <c r="AF58" s="158">
        <f>COUNTIFS('2025-Q2'!$E$4:$E$422,'SPDR Chart'!AF$3,'2025-Q2'!$F$4:$F$422,'SPDR Chart'!$B58,'2025-Q2'!$D$4:$D$422,"N")</f>
        <v>0</v>
      </c>
      <c r="AG58" s="158">
        <f>COUNTIFS('2025-Q2'!$E$4:$E$422,'SPDR Chart'!AG$3,'2025-Q2'!$F$4:$F$422,'SPDR Chart'!$B58,'2025-Q2'!$D$4:$D$422,"N")</f>
        <v>0</v>
      </c>
      <c r="AH58" s="158">
        <f>COUNTIFS('2025-Q2'!$E$4:$E$422,'SPDR Chart'!AH$3,'2025-Q2'!$F$4:$F$422,'SPDR Chart'!$B58,'2025-Q2'!$D$4:$D$422,"N")</f>
        <v>0</v>
      </c>
      <c r="AI58" s="158">
        <f>COUNTIFS('2025-Q2'!$E$4:$E$422,'SPDR Chart'!AI$3,'2025-Q2'!$F$4:$F$422,'SPDR Chart'!$B58,'2025-Q2'!$D$4:$D$422,"N")</f>
        <v>0</v>
      </c>
      <c r="AJ58" s="363">
        <f>COUNTIFS('2025-Q2'!$E$4:$E$422,'SPDR Chart'!AJ$3,'2025-Q2'!$F$4:$F$422,'SPDR Chart'!$B58,'2025-Q2'!$D$4:$D$422,"N")</f>
        <v>0</v>
      </c>
      <c r="AK58" s="457">
        <f t="shared" si="5"/>
        <v>0</v>
      </c>
      <c r="AL58" s="458">
        <f>SUM($AK$4:AK58)/SUM($AK$4:$AK$86)</f>
        <v>0.82089552238805974</v>
      </c>
    </row>
    <row r="59" spans="2:38" x14ac:dyDescent="0.25">
      <c r="B59" s="366">
        <v>45811</v>
      </c>
      <c r="C59" s="158">
        <f>COUNTIFS('2025-Q2'!$E$4:$E$422,'SPDR Chart'!C$3,'2025-Q2'!$F$4:$F$422,'SPDR Chart'!$B59,'2025-Q2'!$D$4:$D$422,"Y")</f>
        <v>1</v>
      </c>
      <c r="D59" s="158">
        <f>COUNTIFS('2025-Q2'!$E$4:$E$422,'SPDR Chart'!D$3,'2025-Q2'!$F$4:$F$422,'SPDR Chart'!$B59,'2025-Q2'!$D$4:$D$422,"Y")</f>
        <v>0</v>
      </c>
      <c r="E59" s="158">
        <f>COUNTIFS('2025-Q2'!$E$4:$E$422,'SPDR Chart'!E$3,'2025-Q2'!$F$4:$F$422,'SPDR Chart'!$B59,'2025-Q2'!$D$4:$D$422,"Y")</f>
        <v>0</v>
      </c>
      <c r="F59" s="158">
        <f>COUNTIFS('2025-Q2'!$E$4:$E$422,'SPDR Chart'!F$3,'2025-Q2'!$F$4:$F$422,'SPDR Chart'!$B59,'2025-Q2'!$D$4:$D$422,"Y")</f>
        <v>0</v>
      </c>
      <c r="G59" s="158">
        <f>COUNTIFS('2025-Q2'!$E$4:$E$422,'SPDR Chart'!G$3,'2025-Q2'!$F$4:$F$422,'SPDR Chart'!$B59,'2025-Q2'!$D$4:$D$422,"Y")</f>
        <v>0</v>
      </c>
      <c r="H59" s="158">
        <f>COUNTIFS('2025-Q2'!$E$4:$E$422,'SPDR Chart'!H$3,'2025-Q2'!$F$4:$F$422,'SPDR Chart'!$B59,'2025-Q2'!$D$4:$D$422,"Y")</f>
        <v>0</v>
      </c>
      <c r="I59" s="158">
        <f>COUNTIFS('2025-Q2'!$E$4:$E$422,'SPDR Chart'!I$3,'2025-Q2'!$F$4:$F$422,'SPDR Chart'!$B59,'2025-Q2'!$D$4:$D$422,"Y")</f>
        <v>0</v>
      </c>
      <c r="J59" s="158">
        <f>COUNTIFS('2025-Q2'!$E$4:$E$422,'SPDR Chart'!J$3,'2025-Q2'!$F$4:$F$422,'SPDR Chart'!$B59,'2025-Q2'!$D$4:$D$422,"Y")</f>
        <v>0</v>
      </c>
      <c r="K59" s="158">
        <f>COUNTIFS('2025-Q2'!$E$4:$E$422,'SPDR Chart'!K$3,'2025-Q2'!$F$4:$F$422,'SPDR Chart'!$B59,'2025-Q2'!$D$4:$D$422,"Y")</f>
        <v>0</v>
      </c>
      <c r="L59" s="158">
        <f>COUNTIFS('2025-Q2'!$E$4:$E$422,'SPDR Chart'!L$3,'2025-Q2'!$F$4:$F$422,'SPDR Chart'!$B59,'2025-Q2'!$D$4:$D$422,"Y")</f>
        <v>1</v>
      </c>
      <c r="M59" s="158">
        <f>COUNTIFS('2025-Q2'!$E$4:$E$422,'SPDR Chart'!M$3,'2025-Q2'!$F$4:$F$422,'SPDR Chart'!$B59,'2025-Q2'!$D$4:$D$422,"Y")</f>
        <v>0</v>
      </c>
      <c r="N59" s="158">
        <f>COUNTIFS('2025-Q2'!$E$4:$E$422,'SPDR Chart'!N$3,'2025-Q2'!$F$4:$F$422,'SPDR Chart'!$B59,'2025-Q2'!$D$4:$D$422,"Y")</f>
        <v>0</v>
      </c>
      <c r="O59" s="158">
        <f>COUNTIFS('2025-Q2'!$E$4:$E$422,'SPDR Chart'!O$3,'2025-Q2'!$F$4:$F$422,'SPDR Chart'!$B59,'2025-Q2'!$D$4:$D$422,"Y")</f>
        <v>0</v>
      </c>
      <c r="P59" s="158">
        <f>COUNTIFS('2025-Q2'!$E$4:$E$422,'SPDR Chart'!P$3,'2025-Q2'!$F$4:$F$422,'SPDR Chart'!$B59,'2025-Q2'!$D$4:$D$422,"Y")</f>
        <v>0</v>
      </c>
      <c r="Q59" s="363">
        <f>COUNTIFS('2025-Q2'!$E$4:$E$422,'SPDR Chart'!Q$3,'2025-Q2'!$F$4:$F$422,'SPDR Chart'!$B59,'2025-Q2'!$D$4:$D$422,"Y")</f>
        <v>1</v>
      </c>
      <c r="R59" s="457">
        <f t="shared" si="4"/>
        <v>3</v>
      </c>
      <c r="S59" s="458">
        <f>SUM($R$4:R59)/SUM($R$4:$R$86)</f>
        <v>0.96531791907514453</v>
      </c>
      <c r="U59" s="366">
        <v>45811</v>
      </c>
      <c r="V59" s="158">
        <f>COUNTIFS('2025-Q2'!$E$4:$E$422,'SPDR Chart'!V$3,'2025-Q2'!$F$4:$F$422,'SPDR Chart'!$B59,'2025-Q2'!$D$4:$D$422,"N")</f>
        <v>1</v>
      </c>
      <c r="W59" s="158">
        <f>COUNTIFS('2025-Q2'!$E$4:$E$422,'SPDR Chart'!W$3,'2025-Q2'!$F$4:$F$422,'SPDR Chart'!$B59,'2025-Q2'!$D$4:$D$422,"N")</f>
        <v>0</v>
      </c>
      <c r="X59" s="158">
        <f>COUNTIFS('2025-Q2'!$E$4:$E$422,'SPDR Chart'!X$3,'2025-Q2'!$F$4:$F$422,'SPDR Chart'!$B59,'2025-Q2'!$D$4:$D$422,"N")</f>
        <v>0</v>
      </c>
      <c r="Y59" s="158">
        <f>COUNTIFS('2025-Q2'!$E$4:$E$422,'SPDR Chart'!Y$3,'2025-Q2'!$F$4:$F$422,'SPDR Chart'!$B59,'2025-Q2'!$D$4:$D$422,"N")</f>
        <v>0</v>
      </c>
      <c r="Z59" s="158">
        <f>COUNTIFS('2025-Q2'!$E$4:$E$422,'SPDR Chart'!Z$3,'2025-Q2'!$F$4:$F$422,'SPDR Chart'!$B59,'2025-Q2'!$D$4:$D$422,"N")</f>
        <v>1</v>
      </c>
      <c r="AA59" s="158">
        <f>COUNTIFS('2025-Q2'!$E$4:$E$422,'SPDR Chart'!AA$3,'2025-Q2'!$F$4:$F$422,'SPDR Chart'!$B59,'2025-Q2'!$D$4:$D$422,"N")</f>
        <v>0</v>
      </c>
      <c r="AB59" s="158">
        <f>COUNTIFS('2025-Q2'!$E$4:$E$422,'SPDR Chart'!AB$3,'2025-Q2'!$F$4:$F$422,'SPDR Chart'!$B59,'2025-Q2'!$D$4:$D$422,"N")</f>
        <v>0</v>
      </c>
      <c r="AC59" s="158">
        <f>COUNTIFS('2025-Q2'!$E$4:$E$422,'SPDR Chart'!AC$3,'2025-Q2'!$F$4:$F$422,'SPDR Chart'!$B59,'2025-Q2'!$D$4:$D$422,"N")</f>
        <v>0</v>
      </c>
      <c r="AD59" s="158">
        <f>COUNTIFS('2025-Q2'!$E$4:$E$422,'SPDR Chart'!AD$3,'2025-Q2'!$F$4:$F$422,'SPDR Chart'!$B59,'2025-Q2'!$D$4:$D$422,"N")</f>
        <v>0</v>
      </c>
      <c r="AE59" s="158">
        <f>COUNTIFS('2025-Q2'!$E$4:$E$422,'SPDR Chart'!AE$3,'2025-Q2'!$F$4:$F$422,'SPDR Chart'!$B59,'2025-Q2'!$D$4:$D$422,"N")</f>
        <v>0</v>
      </c>
      <c r="AF59" s="158">
        <f>COUNTIFS('2025-Q2'!$E$4:$E$422,'SPDR Chart'!AF$3,'2025-Q2'!$F$4:$F$422,'SPDR Chart'!$B59,'2025-Q2'!$D$4:$D$422,"N")</f>
        <v>0</v>
      </c>
      <c r="AG59" s="158">
        <f>COUNTIFS('2025-Q2'!$E$4:$E$422,'SPDR Chart'!AG$3,'2025-Q2'!$F$4:$F$422,'SPDR Chart'!$B59,'2025-Q2'!$D$4:$D$422,"N")</f>
        <v>0</v>
      </c>
      <c r="AH59" s="158">
        <f>COUNTIFS('2025-Q2'!$E$4:$E$422,'SPDR Chart'!AH$3,'2025-Q2'!$F$4:$F$422,'SPDR Chart'!$B59,'2025-Q2'!$D$4:$D$422,"N")</f>
        <v>0</v>
      </c>
      <c r="AI59" s="158">
        <f>COUNTIFS('2025-Q2'!$E$4:$E$422,'SPDR Chart'!AI$3,'2025-Q2'!$F$4:$F$422,'SPDR Chart'!$B59,'2025-Q2'!$D$4:$D$422,"N")</f>
        <v>0</v>
      </c>
      <c r="AJ59" s="363">
        <f>COUNTIFS('2025-Q2'!$E$4:$E$422,'SPDR Chart'!AJ$3,'2025-Q2'!$F$4:$F$422,'SPDR Chart'!$B59,'2025-Q2'!$D$4:$D$422,"N")</f>
        <v>1</v>
      </c>
      <c r="AK59" s="457">
        <f t="shared" si="5"/>
        <v>3</v>
      </c>
      <c r="AL59" s="458">
        <f>SUM($AK$4:AK59)/SUM($AK$4:$AK$86)</f>
        <v>0.86567164179104472</v>
      </c>
    </row>
    <row r="60" spans="2:38" x14ac:dyDescent="0.25">
      <c r="B60" s="366">
        <v>45812</v>
      </c>
      <c r="C60" s="158">
        <f>COUNTIFS('2025-Q2'!$E$4:$E$422,'SPDR Chart'!C$3,'2025-Q2'!$F$4:$F$422,'SPDR Chart'!$B60,'2025-Q2'!$D$4:$D$422,"Y")</f>
        <v>1</v>
      </c>
      <c r="D60" s="158">
        <f>COUNTIFS('2025-Q2'!$E$4:$E$422,'SPDR Chart'!D$3,'2025-Q2'!$F$4:$F$422,'SPDR Chart'!$B60,'2025-Q2'!$D$4:$D$422,"Y")</f>
        <v>0</v>
      </c>
      <c r="E60" s="158">
        <f>COUNTIFS('2025-Q2'!$E$4:$E$422,'SPDR Chart'!E$3,'2025-Q2'!$F$4:$F$422,'SPDR Chart'!$B60,'2025-Q2'!$D$4:$D$422,"Y")</f>
        <v>0</v>
      </c>
      <c r="F60" s="158">
        <f>COUNTIFS('2025-Q2'!$E$4:$E$422,'SPDR Chart'!F$3,'2025-Q2'!$F$4:$F$422,'SPDR Chart'!$B60,'2025-Q2'!$D$4:$D$422,"Y")</f>
        <v>0</v>
      </c>
      <c r="G60" s="158">
        <f>COUNTIFS('2025-Q2'!$E$4:$E$422,'SPDR Chart'!G$3,'2025-Q2'!$F$4:$F$422,'SPDR Chart'!$B60,'2025-Q2'!$D$4:$D$422,"Y")</f>
        <v>0</v>
      </c>
      <c r="H60" s="158">
        <f>COUNTIFS('2025-Q2'!$E$4:$E$422,'SPDR Chart'!H$3,'2025-Q2'!$F$4:$F$422,'SPDR Chart'!$B60,'2025-Q2'!$D$4:$D$422,"Y")</f>
        <v>0</v>
      </c>
      <c r="I60" s="158">
        <f>COUNTIFS('2025-Q2'!$E$4:$E$422,'SPDR Chart'!I$3,'2025-Q2'!$F$4:$F$422,'SPDR Chart'!$B60,'2025-Q2'!$D$4:$D$422,"Y")</f>
        <v>0</v>
      </c>
      <c r="J60" s="158">
        <f>COUNTIFS('2025-Q2'!$E$4:$E$422,'SPDR Chart'!J$3,'2025-Q2'!$F$4:$F$422,'SPDR Chart'!$B60,'2025-Q2'!$D$4:$D$422,"Y")</f>
        <v>0</v>
      </c>
      <c r="K60" s="158">
        <f>COUNTIFS('2025-Q2'!$E$4:$E$422,'SPDR Chart'!K$3,'2025-Q2'!$F$4:$F$422,'SPDR Chart'!$B60,'2025-Q2'!$D$4:$D$422,"Y")</f>
        <v>0</v>
      </c>
      <c r="L60" s="158">
        <f>COUNTIFS('2025-Q2'!$E$4:$E$422,'SPDR Chart'!L$3,'2025-Q2'!$F$4:$F$422,'SPDR Chart'!$B60,'2025-Q2'!$D$4:$D$422,"Y")</f>
        <v>0</v>
      </c>
      <c r="M60" s="158">
        <f>COUNTIFS('2025-Q2'!$E$4:$E$422,'SPDR Chart'!M$3,'2025-Q2'!$F$4:$F$422,'SPDR Chart'!$B60,'2025-Q2'!$D$4:$D$422,"Y")</f>
        <v>0</v>
      </c>
      <c r="N60" s="158">
        <f>COUNTIFS('2025-Q2'!$E$4:$E$422,'SPDR Chart'!N$3,'2025-Q2'!$F$4:$F$422,'SPDR Chart'!$B60,'2025-Q2'!$D$4:$D$422,"Y")</f>
        <v>0</v>
      </c>
      <c r="O60" s="158">
        <f>COUNTIFS('2025-Q2'!$E$4:$E$422,'SPDR Chart'!O$3,'2025-Q2'!$F$4:$F$422,'SPDR Chart'!$B60,'2025-Q2'!$D$4:$D$422,"Y")</f>
        <v>0</v>
      </c>
      <c r="P60" s="158">
        <f>COUNTIFS('2025-Q2'!$E$4:$E$422,'SPDR Chart'!P$3,'2025-Q2'!$F$4:$F$422,'SPDR Chart'!$B60,'2025-Q2'!$D$4:$D$422,"Y")</f>
        <v>0</v>
      </c>
      <c r="Q60" s="363">
        <f>COUNTIFS('2025-Q2'!$E$4:$E$422,'SPDR Chart'!Q$3,'2025-Q2'!$F$4:$F$422,'SPDR Chart'!$B60,'2025-Q2'!$D$4:$D$422,"Y")</f>
        <v>0</v>
      </c>
      <c r="R60" s="457">
        <f t="shared" si="4"/>
        <v>1</v>
      </c>
      <c r="S60" s="458">
        <f>SUM($R$4:R60)/SUM($R$4:$R$86)</f>
        <v>0.96820809248554918</v>
      </c>
      <c r="U60" s="366">
        <v>45812</v>
      </c>
      <c r="V60" s="158">
        <f>COUNTIFS('2025-Q2'!$E$4:$E$422,'SPDR Chart'!V$3,'2025-Q2'!$F$4:$F$422,'SPDR Chart'!$B60,'2025-Q2'!$D$4:$D$422,"N")</f>
        <v>0</v>
      </c>
      <c r="W60" s="158">
        <f>COUNTIFS('2025-Q2'!$E$4:$E$422,'SPDR Chart'!W$3,'2025-Q2'!$F$4:$F$422,'SPDR Chart'!$B60,'2025-Q2'!$D$4:$D$422,"N")</f>
        <v>1</v>
      </c>
      <c r="X60" s="158">
        <f>COUNTIFS('2025-Q2'!$E$4:$E$422,'SPDR Chart'!X$3,'2025-Q2'!$F$4:$F$422,'SPDR Chart'!$B60,'2025-Q2'!$D$4:$D$422,"N")</f>
        <v>0</v>
      </c>
      <c r="Y60" s="158">
        <f>COUNTIFS('2025-Q2'!$E$4:$E$422,'SPDR Chart'!Y$3,'2025-Q2'!$F$4:$F$422,'SPDR Chart'!$B60,'2025-Q2'!$D$4:$D$422,"N")</f>
        <v>0</v>
      </c>
      <c r="Z60" s="158">
        <f>COUNTIFS('2025-Q2'!$E$4:$E$422,'SPDR Chart'!Z$3,'2025-Q2'!$F$4:$F$422,'SPDR Chart'!$B60,'2025-Q2'!$D$4:$D$422,"N")</f>
        <v>0</v>
      </c>
      <c r="AA60" s="158">
        <f>COUNTIFS('2025-Q2'!$E$4:$E$422,'SPDR Chart'!AA$3,'2025-Q2'!$F$4:$F$422,'SPDR Chart'!$B60,'2025-Q2'!$D$4:$D$422,"N")</f>
        <v>0</v>
      </c>
      <c r="AB60" s="158">
        <f>COUNTIFS('2025-Q2'!$E$4:$E$422,'SPDR Chart'!AB$3,'2025-Q2'!$F$4:$F$422,'SPDR Chart'!$B60,'2025-Q2'!$D$4:$D$422,"N")</f>
        <v>0</v>
      </c>
      <c r="AC60" s="158">
        <f>COUNTIFS('2025-Q2'!$E$4:$E$422,'SPDR Chart'!AC$3,'2025-Q2'!$F$4:$F$422,'SPDR Chart'!$B60,'2025-Q2'!$D$4:$D$422,"N")</f>
        <v>0</v>
      </c>
      <c r="AD60" s="158">
        <f>COUNTIFS('2025-Q2'!$E$4:$E$422,'SPDR Chart'!AD$3,'2025-Q2'!$F$4:$F$422,'SPDR Chart'!$B60,'2025-Q2'!$D$4:$D$422,"N")</f>
        <v>0</v>
      </c>
      <c r="AE60" s="158">
        <f>COUNTIFS('2025-Q2'!$E$4:$E$422,'SPDR Chart'!AE$3,'2025-Q2'!$F$4:$F$422,'SPDR Chart'!$B60,'2025-Q2'!$D$4:$D$422,"N")</f>
        <v>0</v>
      </c>
      <c r="AF60" s="158">
        <f>COUNTIFS('2025-Q2'!$E$4:$E$422,'SPDR Chart'!AF$3,'2025-Q2'!$F$4:$F$422,'SPDR Chart'!$B60,'2025-Q2'!$D$4:$D$422,"N")</f>
        <v>0</v>
      </c>
      <c r="AG60" s="158">
        <f>COUNTIFS('2025-Q2'!$E$4:$E$422,'SPDR Chart'!AG$3,'2025-Q2'!$F$4:$F$422,'SPDR Chart'!$B60,'2025-Q2'!$D$4:$D$422,"N")</f>
        <v>0</v>
      </c>
      <c r="AH60" s="158">
        <f>COUNTIFS('2025-Q2'!$E$4:$E$422,'SPDR Chart'!AH$3,'2025-Q2'!$F$4:$F$422,'SPDR Chart'!$B60,'2025-Q2'!$D$4:$D$422,"N")</f>
        <v>0</v>
      </c>
      <c r="AI60" s="158">
        <f>COUNTIFS('2025-Q2'!$E$4:$E$422,'SPDR Chart'!AI$3,'2025-Q2'!$F$4:$F$422,'SPDR Chart'!$B60,'2025-Q2'!$D$4:$D$422,"N")</f>
        <v>0</v>
      </c>
      <c r="AJ60" s="363">
        <f>COUNTIFS('2025-Q2'!$E$4:$E$422,'SPDR Chart'!AJ$3,'2025-Q2'!$F$4:$F$422,'SPDR Chart'!$B60,'2025-Q2'!$D$4:$D$422,"N")</f>
        <v>0</v>
      </c>
      <c r="AK60" s="457">
        <f t="shared" si="5"/>
        <v>1</v>
      </c>
      <c r="AL60" s="458">
        <f>SUM($AK$4:AK60)/SUM($AK$4:$AK$86)</f>
        <v>0.88059701492537312</v>
      </c>
    </row>
    <row r="61" spans="2:38" x14ac:dyDescent="0.25">
      <c r="B61" s="366">
        <v>45813</v>
      </c>
      <c r="C61" s="158">
        <f>COUNTIFS('2025-Q2'!$E$4:$E$422,'SPDR Chart'!C$3,'2025-Q2'!$F$4:$F$422,'SPDR Chart'!$B61,'2025-Q2'!$D$4:$D$422,"Y")</f>
        <v>0</v>
      </c>
      <c r="D61" s="158">
        <f>COUNTIFS('2025-Q2'!$E$4:$E$422,'SPDR Chart'!D$3,'2025-Q2'!$F$4:$F$422,'SPDR Chart'!$B61,'2025-Q2'!$D$4:$D$422,"Y")</f>
        <v>0</v>
      </c>
      <c r="E61" s="158">
        <f>COUNTIFS('2025-Q2'!$E$4:$E$422,'SPDR Chart'!E$3,'2025-Q2'!$F$4:$F$422,'SPDR Chart'!$B61,'2025-Q2'!$D$4:$D$422,"Y")</f>
        <v>0</v>
      </c>
      <c r="F61" s="158">
        <f>COUNTIFS('2025-Q2'!$E$4:$E$422,'SPDR Chart'!F$3,'2025-Q2'!$F$4:$F$422,'SPDR Chart'!$B61,'2025-Q2'!$D$4:$D$422,"Y")</f>
        <v>0</v>
      </c>
      <c r="G61" s="158">
        <f>COUNTIFS('2025-Q2'!$E$4:$E$422,'SPDR Chart'!G$3,'2025-Q2'!$F$4:$F$422,'SPDR Chart'!$B61,'2025-Q2'!$D$4:$D$422,"Y")</f>
        <v>0</v>
      </c>
      <c r="H61" s="158">
        <f>COUNTIFS('2025-Q2'!$E$4:$E$422,'SPDR Chart'!H$3,'2025-Q2'!$F$4:$F$422,'SPDR Chart'!$B61,'2025-Q2'!$D$4:$D$422,"Y")</f>
        <v>0</v>
      </c>
      <c r="I61" s="158">
        <f>COUNTIFS('2025-Q2'!$E$4:$E$422,'SPDR Chart'!I$3,'2025-Q2'!$F$4:$F$422,'SPDR Chart'!$B61,'2025-Q2'!$D$4:$D$422,"Y")</f>
        <v>0</v>
      </c>
      <c r="J61" s="158">
        <f>COUNTIFS('2025-Q2'!$E$4:$E$422,'SPDR Chart'!J$3,'2025-Q2'!$F$4:$F$422,'SPDR Chart'!$B61,'2025-Q2'!$D$4:$D$422,"Y")</f>
        <v>0</v>
      </c>
      <c r="K61" s="158">
        <f>COUNTIFS('2025-Q2'!$E$4:$E$422,'SPDR Chart'!K$3,'2025-Q2'!$F$4:$F$422,'SPDR Chart'!$B61,'2025-Q2'!$D$4:$D$422,"Y")</f>
        <v>0</v>
      </c>
      <c r="L61" s="158">
        <f>COUNTIFS('2025-Q2'!$E$4:$E$422,'SPDR Chart'!L$3,'2025-Q2'!$F$4:$F$422,'SPDR Chart'!$B61,'2025-Q2'!$D$4:$D$422,"Y")</f>
        <v>0</v>
      </c>
      <c r="M61" s="158">
        <f>COUNTIFS('2025-Q2'!$E$4:$E$422,'SPDR Chart'!M$3,'2025-Q2'!$F$4:$F$422,'SPDR Chart'!$B61,'2025-Q2'!$D$4:$D$422,"Y")</f>
        <v>0</v>
      </c>
      <c r="N61" s="158">
        <f>COUNTIFS('2025-Q2'!$E$4:$E$422,'SPDR Chart'!N$3,'2025-Q2'!$F$4:$F$422,'SPDR Chart'!$B61,'2025-Q2'!$D$4:$D$422,"Y")</f>
        <v>0</v>
      </c>
      <c r="O61" s="158">
        <f>COUNTIFS('2025-Q2'!$E$4:$E$422,'SPDR Chart'!O$3,'2025-Q2'!$F$4:$F$422,'SPDR Chart'!$B61,'2025-Q2'!$D$4:$D$422,"Y")</f>
        <v>1</v>
      </c>
      <c r="P61" s="158">
        <f>COUNTIFS('2025-Q2'!$E$4:$E$422,'SPDR Chart'!P$3,'2025-Q2'!$F$4:$F$422,'SPDR Chart'!$B61,'2025-Q2'!$D$4:$D$422,"Y")</f>
        <v>0</v>
      </c>
      <c r="Q61" s="363">
        <f>COUNTIFS('2025-Q2'!$E$4:$E$422,'SPDR Chart'!Q$3,'2025-Q2'!$F$4:$F$422,'SPDR Chart'!$B61,'2025-Q2'!$D$4:$D$422,"Y")</f>
        <v>0</v>
      </c>
      <c r="R61" s="457">
        <f t="shared" si="4"/>
        <v>1</v>
      </c>
      <c r="S61" s="458">
        <f>SUM($R$4:R61)/SUM($R$4:$R$86)</f>
        <v>0.97109826589595372</v>
      </c>
      <c r="U61" s="366">
        <v>45813</v>
      </c>
      <c r="V61" s="158">
        <f>COUNTIFS('2025-Q2'!$E$4:$E$422,'SPDR Chart'!V$3,'2025-Q2'!$F$4:$F$422,'SPDR Chart'!$B61,'2025-Q2'!$D$4:$D$422,"N")</f>
        <v>0</v>
      </c>
      <c r="W61" s="158">
        <f>COUNTIFS('2025-Q2'!$E$4:$E$422,'SPDR Chart'!W$3,'2025-Q2'!$F$4:$F$422,'SPDR Chart'!$B61,'2025-Q2'!$D$4:$D$422,"N")</f>
        <v>0</v>
      </c>
      <c r="X61" s="158">
        <f>COUNTIFS('2025-Q2'!$E$4:$E$422,'SPDR Chart'!X$3,'2025-Q2'!$F$4:$F$422,'SPDR Chart'!$B61,'2025-Q2'!$D$4:$D$422,"N")</f>
        <v>0</v>
      </c>
      <c r="Y61" s="158">
        <f>COUNTIFS('2025-Q2'!$E$4:$E$422,'SPDR Chart'!Y$3,'2025-Q2'!$F$4:$F$422,'SPDR Chart'!$B61,'2025-Q2'!$D$4:$D$422,"N")</f>
        <v>0</v>
      </c>
      <c r="Z61" s="158">
        <f>COUNTIFS('2025-Q2'!$E$4:$E$422,'SPDR Chart'!Z$3,'2025-Q2'!$F$4:$F$422,'SPDR Chart'!$B61,'2025-Q2'!$D$4:$D$422,"N")</f>
        <v>0</v>
      </c>
      <c r="AA61" s="158">
        <f>COUNTIFS('2025-Q2'!$E$4:$E$422,'SPDR Chart'!AA$3,'2025-Q2'!$F$4:$F$422,'SPDR Chart'!$B61,'2025-Q2'!$D$4:$D$422,"N")</f>
        <v>0</v>
      </c>
      <c r="AB61" s="158">
        <f>COUNTIFS('2025-Q2'!$E$4:$E$422,'SPDR Chart'!AB$3,'2025-Q2'!$F$4:$F$422,'SPDR Chart'!$B61,'2025-Q2'!$D$4:$D$422,"N")</f>
        <v>0</v>
      </c>
      <c r="AC61" s="158">
        <f>COUNTIFS('2025-Q2'!$E$4:$E$422,'SPDR Chart'!AC$3,'2025-Q2'!$F$4:$F$422,'SPDR Chart'!$B61,'2025-Q2'!$D$4:$D$422,"N")</f>
        <v>1</v>
      </c>
      <c r="AD61" s="158">
        <f>COUNTIFS('2025-Q2'!$E$4:$E$422,'SPDR Chart'!AD$3,'2025-Q2'!$F$4:$F$422,'SPDR Chart'!$B61,'2025-Q2'!$D$4:$D$422,"N")</f>
        <v>0</v>
      </c>
      <c r="AE61" s="158">
        <f>COUNTIFS('2025-Q2'!$E$4:$E$422,'SPDR Chart'!AE$3,'2025-Q2'!$F$4:$F$422,'SPDR Chart'!$B61,'2025-Q2'!$D$4:$D$422,"N")</f>
        <v>1</v>
      </c>
      <c r="AF61" s="158">
        <f>COUNTIFS('2025-Q2'!$E$4:$E$422,'SPDR Chart'!AF$3,'2025-Q2'!$F$4:$F$422,'SPDR Chart'!$B61,'2025-Q2'!$D$4:$D$422,"N")</f>
        <v>0</v>
      </c>
      <c r="AG61" s="158">
        <f>COUNTIFS('2025-Q2'!$E$4:$E$422,'SPDR Chart'!AG$3,'2025-Q2'!$F$4:$F$422,'SPDR Chart'!$B61,'2025-Q2'!$D$4:$D$422,"N")</f>
        <v>0</v>
      </c>
      <c r="AH61" s="158">
        <f>COUNTIFS('2025-Q2'!$E$4:$E$422,'SPDR Chart'!AH$3,'2025-Q2'!$F$4:$F$422,'SPDR Chart'!$B61,'2025-Q2'!$D$4:$D$422,"N")</f>
        <v>0</v>
      </c>
      <c r="AI61" s="158">
        <f>COUNTIFS('2025-Q2'!$E$4:$E$422,'SPDR Chart'!AI$3,'2025-Q2'!$F$4:$F$422,'SPDR Chart'!$B61,'2025-Q2'!$D$4:$D$422,"N")</f>
        <v>0</v>
      </c>
      <c r="AJ61" s="363">
        <f>COUNTIFS('2025-Q2'!$E$4:$E$422,'SPDR Chart'!AJ$3,'2025-Q2'!$F$4:$F$422,'SPDR Chart'!$B61,'2025-Q2'!$D$4:$D$422,"N")</f>
        <v>1</v>
      </c>
      <c r="AK61" s="457">
        <f t="shared" si="5"/>
        <v>3</v>
      </c>
      <c r="AL61" s="458">
        <f>SUM($AK$4:AK61)/SUM($AK$4:$AK$86)</f>
        <v>0.92537313432835822</v>
      </c>
    </row>
    <row r="62" spans="2:38" x14ac:dyDescent="0.25">
      <c r="B62" s="366">
        <v>45814</v>
      </c>
      <c r="C62" s="158">
        <f>COUNTIFS('2025-Q2'!$E$4:$E$422,'SPDR Chart'!C$3,'2025-Q2'!$F$4:$F$422,'SPDR Chart'!$B62,'2025-Q2'!$D$4:$D$422,"Y")</f>
        <v>0</v>
      </c>
      <c r="D62" s="158">
        <f>COUNTIFS('2025-Q2'!$E$4:$E$422,'SPDR Chart'!D$3,'2025-Q2'!$F$4:$F$422,'SPDR Chart'!$B62,'2025-Q2'!$D$4:$D$422,"Y")</f>
        <v>0</v>
      </c>
      <c r="E62" s="158">
        <f>COUNTIFS('2025-Q2'!$E$4:$E$422,'SPDR Chart'!E$3,'2025-Q2'!$F$4:$F$422,'SPDR Chart'!$B62,'2025-Q2'!$D$4:$D$422,"Y")</f>
        <v>0</v>
      </c>
      <c r="F62" s="158">
        <f>COUNTIFS('2025-Q2'!$E$4:$E$422,'SPDR Chart'!F$3,'2025-Q2'!$F$4:$F$422,'SPDR Chart'!$B62,'2025-Q2'!$D$4:$D$422,"Y")</f>
        <v>0</v>
      </c>
      <c r="G62" s="158">
        <f>COUNTIFS('2025-Q2'!$E$4:$E$422,'SPDR Chart'!G$3,'2025-Q2'!$F$4:$F$422,'SPDR Chart'!$B62,'2025-Q2'!$D$4:$D$422,"Y")</f>
        <v>0</v>
      </c>
      <c r="H62" s="158">
        <f>COUNTIFS('2025-Q2'!$E$4:$E$422,'SPDR Chart'!H$3,'2025-Q2'!$F$4:$F$422,'SPDR Chart'!$B62,'2025-Q2'!$D$4:$D$422,"Y")</f>
        <v>0</v>
      </c>
      <c r="I62" s="158">
        <f>COUNTIFS('2025-Q2'!$E$4:$E$422,'SPDR Chart'!I$3,'2025-Q2'!$F$4:$F$422,'SPDR Chart'!$B62,'2025-Q2'!$D$4:$D$422,"Y")</f>
        <v>0</v>
      </c>
      <c r="J62" s="158">
        <f>COUNTIFS('2025-Q2'!$E$4:$E$422,'SPDR Chart'!J$3,'2025-Q2'!$F$4:$F$422,'SPDR Chart'!$B62,'2025-Q2'!$D$4:$D$422,"Y")</f>
        <v>0</v>
      </c>
      <c r="K62" s="158">
        <f>COUNTIFS('2025-Q2'!$E$4:$E$422,'SPDR Chart'!K$3,'2025-Q2'!$F$4:$F$422,'SPDR Chart'!$B62,'2025-Q2'!$D$4:$D$422,"Y")</f>
        <v>0</v>
      </c>
      <c r="L62" s="158">
        <f>COUNTIFS('2025-Q2'!$E$4:$E$422,'SPDR Chart'!L$3,'2025-Q2'!$F$4:$F$422,'SPDR Chart'!$B62,'2025-Q2'!$D$4:$D$422,"Y")</f>
        <v>0</v>
      </c>
      <c r="M62" s="158">
        <f>COUNTIFS('2025-Q2'!$E$4:$E$422,'SPDR Chart'!M$3,'2025-Q2'!$F$4:$F$422,'SPDR Chart'!$B62,'2025-Q2'!$D$4:$D$422,"Y")</f>
        <v>0</v>
      </c>
      <c r="N62" s="158">
        <f>COUNTIFS('2025-Q2'!$E$4:$E$422,'SPDR Chart'!N$3,'2025-Q2'!$F$4:$F$422,'SPDR Chart'!$B62,'2025-Q2'!$D$4:$D$422,"Y")</f>
        <v>0</v>
      </c>
      <c r="O62" s="158">
        <f>COUNTIFS('2025-Q2'!$E$4:$E$422,'SPDR Chart'!O$3,'2025-Q2'!$F$4:$F$422,'SPDR Chart'!$B62,'2025-Q2'!$D$4:$D$422,"Y")</f>
        <v>0</v>
      </c>
      <c r="P62" s="158">
        <f>COUNTIFS('2025-Q2'!$E$4:$E$422,'SPDR Chart'!P$3,'2025-Q2'!$F$4:$F$422,'SPDR Chart'!$B62,'2025-Q2'!$D$4:$D$422,"Y")</f>
        <v>0</v>
      </c>
      <c r="Q62" s="363">
        <f>COUNTIFS('2025-Q2'!$E$4:$E$422,'SPDR Chart'!Q$3,'2025-Q2'!$F$4:$F$422,'SPDR Chart'!$B62,'2025-Q2'!$D$4:$D$422,"Y")</f>
        <v>0</v>
      </c>
      <c r="R62" s="457">
        <f t="shared" si="4"/>
        <v>0</v>
      </c>
      <c r="S62" s="458">
        <f>SUM($R$4:R62)/SUM($R$4:$R$86)</f>
        <v>0.97109826589595372</v>
      </c>
      <c r="U62" s="366">
        <v>45814</v>
      </c>
      <c r="V62" s="158">
        <f>COUNTIFS('2025-Q2'!$E$4:$E$422,'SPDR Chart'!V$3,'2025-Q2'!$F$4:$F$422,'SPDR Chart'!$B62,'2025-Q2'!$D$4:$D$422,"N")</f>
        <v>0</v>
      </c>
      <c r="W62" s="158">
        <f>COUNTIFS('2025-Q2'!$E$4:$E$422,'SPDR Chart'!W$3,'2025-Q2'!$F$4:$F$422,'SPDR Chart'!$B62,'2025-Q2'!$D$4:$D$422,"N")</f>
        <v>0</v>
      </c>
      <c r="X62" s="158">
        <f>COUNTIFS('2025-Q2'!$E$4:$E$422,'SPDR Chart'!X$3,'2025-Q2'!$F$4:$F$422,'SPDR Chart'!$B62,'2025-Q2'!$D$4:$D$422,"N")</f>
        <v>0</v>
      </c>
      <c r="Y62" s="158">
        <f>COUNTIFS('2025-Q2'!$E$4:$E$422,'SPDR Chart'!Y$3,'2025-Q2'!$F$4:$F$422,'SPDR Chart'!$B62,'2025-Q2'!$D$4:$D$422,"N")</f>
        <v>0</v>
      </c>
      <c r="Z62" s="158">
        <f>COUNTIFS('2025-Q2'!$E$4:$E$422,'SPDR Chart'!Z$3,'2025-Q2'!$F$4:$F$422,'SPDR Chart'!$B62,'2025-Q2'!$D$4:$D$422,"N")</f>
        <v>0</v>
      </c>
      <c r="AA62" s="158">
        <f>COUNTIFS('2025-Q2'!$E$4:$E$422,'SPDR Chart'!AA$3,'2025-Q2'!$F$4:$F$422,'SPDR Chart'!$B62,'2025-Q2'!$D$4:$D$422,"N")</f>
        <v>0</v>
      </c>
      <c r="AB62" s="158">
        <f>COUNTIFS('2025-Q2'!$E$4:$E$422,'SPDR Chart'!AB$3,'2025-Q2'!$F$4:$F$422,'SPDR Chart'!$B62,'2025-Q2'!$D$4:$D$422,"N")</f>
        <v>0</v>
      </c>
      <c r="AC62" s="158">
        <f>COUNTIFS('2025-Q2'!$E$4:$E$422,'SPDR Chart'!AC$3,'2025-Q2'!$F$4:$F$422,'SPDR Chart'!$B62,'2025-Q2'!$D$4:$D$422,"N")</f>
        <v>0</v>
      </c>
      <c r="AD62" s="158">
        <f>COUNTIFS('2025-Q2'!$E$4:$E$422,'SPDR Chart'!AD$3,'2025-Q2'!$F$4:$F$422,'SPDR Chart'!$B62,'2025-Q2'!$D$4:$D$422,"N")</f>
        <v>0</v>
      </c>
      <c r="AE62" s="158">
        <f>COUNTIFS('2025-Q2'!$E$4:$E$422,'SPDR Chart'!AE$3,'2025-Q2'!$F$4:$F$422,'SPDR Chart'!$B62,'2025-Q2'!$D$4:$D$422,"N")</f>
        <v>0</v>
      </c>
      <c r="AF62" s="158">
        <f>COUNTIFS('2025-Q2'!$E$4:$E$422,'SPDR Chart'!AF$3,'2025-Q2'!$F$4:$F$422,'SPDR Chart'!$B62,'2025-Q2'!$D$4:$D$422,"N")</f>
        <v>0</v>
      </c>
      <c r="AG62" s="158">
        <f>COUNTIFS('2025-Q2'!$E$4:$E$422,'SPDR Chart'!AG$3,'2025-Q2'!$F$4:$F$422,'SPDR Chart'!$B62,'2025-Q2'!$D$4:$D$422,"N")</f>
        <v>0</v>
      </c>
      <c r="AH62" s="158">
        <f>COUNTIFS('2025-Q2'!$E$4:$E$422,'SPDR Chart'!AH$3,'2025-Q2'!$F$4:$F$422,'SPDR Chart'!$B62,'2025-Q2'!$D$4:$D$422,"N")</f>
        <v>0</v>
      </c>
      <c r="AI62" s="158">
        <f>COUNTIFS('2025-Q2'!$E$4:$E$422,'SPDR Chart'!AI$3,'2025-Q2'!$F$4:$F$422,'SPDR Chart'!$B62,'2025-Q2'!$D$4:$D$422,"N")</f>
        <v>0</v>
      </c>
      <c r="AJ62" s="363">
        <f>COUNTIFS('2025-Q2'!$E$4:$E$422,'SPDR Chart'!AJ$3,'2025-Q2'!$F$4:$F$422,'SPDR Chart'!$B62,'2025-Q2'!$D$4:$D$422,"N")</f>
        <v>0</v>
      </c>
      <c r="AK62" s="457">
        <f t="shared" si="5"/>
        <v>0</v>
      </c>
      <c r="AL62" s="458">
        <f>SUM($AK$4:AK62)/SUM($AK$4:$AK$86)</f>
        <v>0.92537313432835822</v>
      </c>
    </row>
    <row r="63" spans="2:38" x14ac:dyDescent="0.25">
      <c r="B63" s="366">
        <v>45815</v>
      </c>
      <c r="C63" s="158">
        <f>COUNTIFS('2025-Q2'!$E$4:$E$422,'SPDR Chart'!C$3,'2025-Q2'!$F$4:$F$422,'SPDR Chart'!$B63,'2025-Q2'!$D$4:$D$422,"Y")</f>
        <v>0</v>
      </c>
      <c r="D63" s="158">
        <f>COUNTIFS('2025-Q2'!$E$4:$E$422,'SPDR Chart'!D$3,'2025-Q2'!$F$4:$F$422,'SPDR Chart'!$B63,'2025-Q2'!$D$4:$D$422,"Y")</f>
        <v>0</v>
      </c>
      <c r="E63" s="158">
        <f>COUNTIFS('2025-Q2'!$E$4:$E$422,'SPDR Chart'!E$3,'2025-Q2'!$F$4:$F$422,'SPDR Chart'!$B63,'2025-Q2'!$D$4:$D$422,"Y")</f>
        <v>0</v>
      </c>
      <c r="F63" s="158">
        <f>COUNTIFS('2025-Q2'!$E$4:$E$422,'SPDR Chart'!F$3,'2025-Q2'!$F$4:$F$422,'SPDR Chart'!$B63,'2025-Q2'!$D$4:$D$422,"Y")</f>
        <v>0</v>
      </c>
      <c r="G63" s="158">
        <f>COUNTIFS('2025-Q2'!$E$4:$E$422,'SPDR Chart'!G$3,'2025-Q2'!$F$4:$F$422,'SPDR Chart'!$B63,'2025-Q2'!$D$4:$D$422,"Y")</f>
        <v>0</v>
      </c>
      <c r="H63" s="158">
        <f>COUNTIFS('2025-Q2'!$E$4:$E$422,'SPDR Chart'!H$3,'2025-Q2'!$F$4:$F$422,'SPDR Chart'!$B63,'2025-Q2'!$D$4:$D$422,"Y")</f>
        <v>0</v>
      </c>
      <c r="I63" s="158">
        <f>COUNTIFS('2025-Q2'!$E$4:$E$422,'SPDR Chart'!I$3,'2025-Q2'!$F$4:$F$422,'SPDR Chart'!$B63,'2025-Q2'!$D$4:$D$422,"Y")</f>
        <v>0</v>
      </c>
      <c r="J63" s="158">
        <f>COUNTIFS('2025-Q2'!$E$4:$E$422,'SPDR Chart'!J$3,'2025-Q2'!$F$4:$F$422,'SPDR Chart'!$B63,'2025-Q2'!$D$4:$D$422,"Y")</f>
        <v>0</v>
      </c>
      <c r="K63" s="158">
        <f>COUNTIFS('2025-Q2'!$E$4:$E$422,'SPDR Chart'!K$3,'2025-Q2'!$F$4:$F$422,'SPDR Chart'!$B63,'2025-Q2'!$D$4:$D$422,"Y")</f>
        <v>0</v>
      </c>
      <c r="L63" s="158">
        <f>COUNTIFS('2025-Q2'!$E$4:$E$422,'SPDR Chart'!L$3,'2025-Q2'!$F$4:$F$422,'SPDR Chart'!$B63,'2025-Q2'!$D$4:$D$422,"Y")</f>
        <v>0</v>
      </c>
      <c r="M63" s="158">
        <f>COUNTIFS('2025-Q2'!$E$4:$E$422,'SPDR Chart'!M$3,'2025-Q2'!$F$4:$F$422,'SPDR Chart'!$B63,'2025-Q2'!$D$4:$D$422,"Y")</f>
        <v>0</v>
      </c>
      <c r="N63" s="158">
        <f>COUNTIFS('2025-Q2'!$E$4:$E$422,'SPDR Chart'!N$3,'2025-Q2'!$F$4:$F$422,'SPDR Chart'!$B63,'2025-Q2'!$D$4:$D$422,"Y")</f>
        <v>0</v>
      </c>
      <c r="O63" s="158">
        <f>COUNTIFS('2025-Q2'!$E$4:$E$422,'SPDR Chart'!O$3,'2025-Q2'!$F$4:$F$422,'SPDR Chart'!$B63,'2025-Q2'!$D$4:$D$422,"Y")</f>
        <v>0</v>
      </c>
      <c r="P63" s="158">
        <f>COUNTIFS('2025-Q2'!$E$4:$E$422,'SPDR Chart'!P$3,'2025-Q2'!$F$4:$F$422,'SPDR Chart'!$B63,'2025-Q2'!$D$4:$D$422,"Y")</f>
        <v>0</v>
      </c>
      <c r="Q63" s="363">
        <f>COUNTIFS('2025-Q2'!$E$4:$E$422,'SPDR Chart'!Q$3,'2025-Q2'!$F$4:$F$422,'SPDR Chart'!$B63,'2025-Q2'!$D$4:$D$422,"Y")</f>
        <v>0</v>
      </c>
      <c r="R63" s="457">
        <f t="shared" si="4"/>
        <v>0</v>
      </c>
      <c r="S63" s="458">
        <f>SUM($R$4:R63)/SUM($R$4:$R$86)</f>
        <v>0.97109826589595372</v>
      </c>
      <c r="U63" s="366">
        <v>45815</v>
      </c>
      <c r="V63" s="158">
        <f>COUNTIFS('2025-Q2'!$E$4:$E$422,'SPDR Chart'!V$3,'2025-Q2'!$F$4:$F$422,'SPDR Chart'!$B63,'2025-Q2'!$D$4:$D$422,"N")</f>
        <v>0</v>
      </c>
      <c r="W63" s="158">
        <f>COUNTIFS('2025-Q2'!$E$4:$E$422,'SPDR Chart'!W$3,'2025-Q2'!$F$4:$F$422,'SPDR Chart'!$B63,'2025-Q2'!$D$4:$D$422,"N")</f>
        <v>0</v>
      </c>
      <c r="X63" s="158">
        <f>COUNTIFS('2025-Q2'!$E$4:$E$422,'SPDR Chart'!X$3,'2025-Q2'!$F$4:$F$422,'SPDR Chart'!$B63,'2025-Q2'!$D$4:$D$422,"N")</f>
        <v>0</v>
      </c>
      <c r="Y63" s="158">
        <f>COUNTIFS('2025-Q2'!$E$4:$E$422,'SPDR Chart'!Y$3,'2025-Q2'!$F$4:$F$422,'SPDR Chart'!$B63,'2025-Q2'!$D$4:$D$422,"N")</f>
        <v>0</v>
      </c>
      <c r="Z63" s="158">
        <f>COUNTIFS('2025-Q2'!$E$4:$E$422,'SPDR Chart'!Z$3,'2025-Q2'!$F$4:$F$422,'SPDR Chart'!$B63,'2025-Q2'!$D$4:$D$422,"N")</f>
        <v>0</v>
      </c>
      <c r="AA63" s="158">
        <f>COUNTIFS('2025-Q2'!$E$4:$E$422,'SPDR Chart'!AA$3,'2025-Q2'!$F$4:$F$422,'SPDR Chart'!$B63,'2025-Q2'!$D$4:$D$422,"N")</f>
        <v>0</v>
      </c>
      <c r="AB63" s="158">
        <f>COUNTIFS('2025-Q2'!$E$4:$E$422,'SPDR Chart'!AB$3,'2025-Q2'!$F$4:$F$422,'SPDR Chart'!$B63,'2025-Q2'!$D$4:$D$422,"N")</f>
        <v>0</v>
      </c>
      <c r="AC63" s="158">
        <f>COUNTIFS('2025-Q2'!$E$4:$E$422,'SPDR Chart'!AC$3,'2025-Q2'!$F$4:$F$422,'SPDR Chart'!$B63,'2025-Q2'!$D$4:$D$422,"N")</f>
        <v>0</v>
      </c>
      <c r="AD63" s="158">
        <f>COUNTIFS('2025-Q2'!$E$4:$E$422,'SPDR Chart'!AD$3,'2025-Q2'!$F$4:$F$422,'SPDR Chart'!$B63,'2025-Q2'!$D$4:$D$422,"N")</f>
        <v>0</v>
      </c>
      <c r="AE63" s="158">
        <f>COUNTIFS('2025-Q2'!$E$4:$E$422,'SPDR Chart'!AE$3,'2025-Q2'!$F$4:$F$422,'SPDR Chart'!$B63,'2025-Q2'!$D$4:$D$422,"N")</f>
        <v>0</v>
      </c>
      <c r="AF63" s="158">
        <f>COUNTIFS('2025-Q2'!$E$4:$E$422,'SPDR Chart'!AF$3,'2025-Q2'!$F$4:$F$422,'SPDR Chart'!$B63,'2025-Q2'!$D$4:$D$422,"N")</f>
        <v>0</v>
      </c>
      <c r="AG63" s="158">
        <f>COUNTIFS('2025-Q2'!$E$4:$E$422,'SPDR Chart'!AG$3,'2025-Q2'!$F$4:$F$422,'SPDR Chart'!$B63,'2025-Q2'!$D$4:$D$422,"N")</f>
        <v>0</v>
      </c>
      <c r="AH63" s="158">
        <f>COUNTIFS('2025-Q2'!$E$4:$E$422,'SPDR Chart'!AH$3,'2025-Q2'!$F$4:$F$422,'SPDR Chart'!$B63,'2025-Q2'!$D$4:$D$422,"N")</f>
        <v>0</v>
      </c>
      <c r="AI63" s="158">
        <f>COUNTIFS('2025-Q2'!$E$4:$E$422,'SPDR Chart'!AI$3,'2025-Q2'!$F$4:$F$422,'SPDR Chart'!$B63,'2025-Q2'!$D$4:$D$422,"N")</f>
        <v>0</v>
      </c>
      <c r="AJ63" s="363">
        <f>COUNTIFS('2025-Q2'!$E$4:$E$422,'SPDR Chart'!AJ$3,'2025-Q2'!$F$4:$F$422,'SPDR Chart'!$B63,'2025-Q2'!$D$4:$D$422,"N")</f>
        <v>0</v>
      </c>
      <c r="AK63" s="457">
        <f t="shared" si="5"/>
        <v>0</v>
      </c>
      <c r="AL63" s="458">
        <f>SUM($AK$4:AK63)/SUM($AK$4:$AK$86)</f>
        <v>0.92537313432835822</v>
      </c>
    </row>
    <row r="64" spans="2:38" x14ac:dyDescent="0.25">
      <c r="B64" s="366">
        <v>45816</v>
      </c>
      <c r="C64" s="158">
        <f>COUNTIFS('2025-Q2'!$E$4:$E$422,'SPDR Chart'!C$3,'2025-Q2'!$F$4:$F$422,'SPDR Chart'!$B64,'2025-Q2'!$D$4:$D$422,"Y")</f>
        <v>0</v>
      </c>
      <c r="D64" s="158">
        <f>COUNTIFS('2025-Q2'!$E$4:$E$422,'SPDR Chart'!D$3,'2025-Q2'!$F$4:$F$422,'SPDR Chart'!$B64,'2025-Q2'!$D$4:$D$422,"Y")</f>
        <v>0</v>
      </c>
      <c r="E64" s="158">
        <f>COUNTIFS('2025-Q2'!$E$4:$E$422,'SPDR Chart'!E$3,'2025-Q2'!$F$4:$F$422,'SPDR Chart'!$B64,'2025-Q2'!$D$4:$D$422,"Y")</f>
        <v>0</v>
      </c>
      <c r="F64" s="158">
        <f>COUNTIFS('2025-Q2'!$E$4:$E$422,'SPDR Chart'!F$3,'2025-Q2'!$F$4:$F$422,'SPDR Chart'!$B64,'2025-Q2'!$D$4:$D$422,"Y")</f>
        <v>0</v>
      </c>
      <c r="G64" s="158">
        <f>COUNTIFS('2025-Q2'!$E$4:$E$422,'SPDR Chart'!G$3,'2025-Q2'!$F$4:$F$422,'SPDR Chart'!$B64,'2025-Q2'!$D$4:$D$422,"Y")</f>
        <v>0</v>
      </c>
      <c r="H64" s="158">
        <f>COUNTIFS('2025-Q2'!$E$4:$E$422,'SPDR Chart'!H$3,'2025-Q2'!$F$4:$F$422,'SPDR Chart'!$B64,'2025-Q2'!$D$4:$D$422,"Y")</f>
        <v>0</v>
      </c>
      <c r="I64" s="158">
        <f>COUNTIFS('2025-Q2'!$E$4:$E$422,'SPDR Chart'!I$3,'2025-Q2'!$F$4:$F$422,'SPDR Chart'!$B64,'2025-Q2'!$D$4:$D$422,"Y")</f>
        <v>0</v>
      </c>
      <c r="J64" s="158">
        <f>COUNTIFS('2025-Q2'!$E$4:$E$422,'SPDR Chart'!J$3,'2025-Q2'!$F$4:$F$422,'SPDR Chart'!$B64,'2025-Q2'!$D$4:$D$422,"Y")</f>
        <v>0</v>
      </c>
      <c r="K64" s="158">
        <f>COUNTIFS('2025-Q2'!$E$4:$E$422,'SPDR Chart'!K$3,'2025-Q2'!$F$4:$F$422,'SPDR Chart'!$B64,'2025-Q2'!$D$4:$D$422,"Y")</f>
        <v>0</v>
      </c>
      <c r="L64" s="158">
        <f>COUNTIFS('2025-Q2'!$E$4:$E$422,'SPDR Chart'!L$3,'2025-Q2'!$F$4:$F$422,'SPDR Chart'!$B64,'2025-Q2'!$D$4:$D$422,"Y")</f>
        <v>0</v>
      </c>
      <c r="M64" s="158">
        <f>COUNTIFS('2025-Q2'!$E$4:$E$422,'SPDR Chart'!M$3,'2025-Q2'!$F$4:$F$422,'SPDR Chart'!$B64,'2025-Q2'!$D$4:$D$422,"Y")</f>
        <v>0</v>
      </c>
      <c r="N64" s="158">
        <f>COUNTIFS('2025-Q2'!$E$4:$E$422,'SPDR Chart'!N$3,'2025-Q2'!$F$4:$F$422,'SPDR Chart'!$B64,'2025-Q2'!$D$4:$D$422,"Y")</f>
        <v>0</v>
      </c>
      <c r="O64" s="158">
        <f>COUNTIFS('2025-Q2'!$E$4:$E$422,'SPDR Chart'!O$3,'2025-Q2'!$F$4:$F$422,'SPDR Chart'!$B64,'2025-Q2'!$D$4:$D$422,"Y")</f>
        <v>0</v>
      </c>
      <c r="P64" s="158">
        <f>COUNTIFS('2025-Q2'!$E$4:$E$422,'SPDR Chart'!P$3,'2025-Q2'!$F$4:$F$422,'SPDR Chart'!$B64,'2025-Q2'!$D$4:$D$422,"Y")</f>
        <v>0</v>
      </c>
      <c r="Q64" s="363">
        <f>COUNTIFS('2025-Q2'!$E$4:$E$422,'SPDR Chart'!Q$3,'2025-Q2'!$F$4:$F$422,'SPDR Chart'!$B64,'2025-Q2'!$D$4:$D$422,"Y")</f>
        <v>0</v>
      </c>
      <c r="R64" s="457">
        <f t="shared" si="4"/>
        <v>0</v>
      </c>
      <c r="S64" s="458">
        <f>SUM($R$4:R64)/SUM($R$4:$R$86)</f>
        <v>0.97109826589595372</v>
      </c>
      <c r="U64" s="366">
        <v>45816</v>
      </c>
      <c r="V64" s="158">
        <f>COUNTIFS('2025-Q2'!$E$4:$E$422,'SPDR Chart'!V$3,'2025-Q2'!$F$4:$F$422,'SPDR Chart'!$B64,'2025-Q2'!$D$4:$D$422,"N")</f>
        <v>0</v>
      </c>
      <c r="W64" s="158">
        <f>COUNTIFS('2025-Q2'!$E$4:$E$422,'SPDR Chart'!W$3,'2025-Q2'!$F$4:$F$422,'SPDR Chart'!$B64,'2025-Q2'!$D$4:$D$422,"N")</f>
        <v>0</v>
      </c>
      <c r="X64" s="158">
        <f>COUNTIFS('2025-Q2'!$E$4:$E$422,'SPDR Chart'!X$3,'2025-Q2'!$F$4:$F$422,'SPDR Chart'!$B64,'2025-Q2'!$D$4:$D$422,"N")</f>
        <v>0</v>
      </c>
      <c r="Y64" s="158">
        <f>COUNTIFS('2025-Q2'!$E$4:$E$422,'SPDR Chart'!Y$3,'2025-Q2'!$F$4:$F$422,'SPDR Chart'!$B64,'2025-Q2'!$D$4:$D$422,"N")</f>
        <v>0</v>
      </c>
      <c r="Z64" s="158">
        <f>COUNTIFS('2025-Q2'!$E$4:$E$422,'SPDR Chart'!Z$3,'2025-Q2'!$F$4:$F$422,'SPDR Chart'!$B64,'2025-Q2'!$D$4:$D$422,"N")</f>
        <v>0</v>
      </c>
      <c r="AA64" s="158">
        <f>COUNTIFS('2025-Q2'!$E$4:$E$422,'SPDR Chart'!AA$3,'2025-Q2'!$F$4:$F$422,'SPDR Chart'!$B64,'2025-Q2'!$D$4:$D$422,"N")</f>
        <v>0</v>
      </c>
      <c r="AB64" s="158">
        <f>COUNTIFS('2025-Q2'!$E$4:$E$422,'SPDR Chart'!AB$3,'2025-Q2'!$F$4:$F$422,'SPDR Chart'!$B64,'2025-Q2'!$D$4:$D$422,"N")</f>
        <v>0</v>
      </c>
      <c r="AC64" s="158">
        <f>COUNTIFS('2025-Q2'!$E$4:$E$422,'SPDR Chart'!AC$3,'2025-Q2'!$F$4:$F$422,'SPDR Chart'!$B64,'2025-Q2'!$D$4:$D$422,"N")</f>
        <v>0</v>
      </c>
      <c r="AD64" s="158">
        <f>COUNTIFS('2025-Q2'!$E$4:$E$422,'SPDR Chart'!AD$3,'2025-Q2'!$F$4:$F$422,'SPDR Chart'!$B64,'2025-Q2'!$D$4:$D$422,"N")</f>
        <v>0</v>
      </c>
      <c r="AE64" s="158">
        <f>COUNTIFS('2025-Q2'!$E$4:$E$422,'SPDR Chart'!AE$3,'2025-Q2'!$F$4:$F$422,'SPDR Chart'!$B64,'2025-Q2'!$D$4:$D$422,"N")</f>
        <v>0</v>
      </c>
      <c r="AF64" s="158">
        <f>COUNTIFS('2025-Q2'!$E$4:$E$422,'SPDR Chart'!AF$3,'2025-Q2'!$F$4:$F$422,'SPDR Chart'!$B64,'2025-Q2'!$D$4:$D$422,"N")</f>
        <v>0</v>
      </c>
      <c r="AG64" s="158">
        <f>COUNTIFS('2025-Q2'!$E$4:$E$422,'SPDR Chart'!AG$3,'2025-Q2'!$F$4:$F$422,'SPDR Chart'!$B64,'2025-Q2'!$D$4:$D$422,"N")</f>
        <v>0</v>
      </c>
      <c r="AH64" s="158">
        <f>COUNTIFS('2025-Q2'!$E$4:$E$422,'SPDR Chart'!AH$3,'2025-Q2'!$F$4:$F$422,'SPDR Chart'!$B64,'2025-Q2'!$D$4:$D$422,"N")</f>
        <v>0</v>
      </c>
      <c r="AI64" s="158">
        <f>COUNTIFS('2025-Q2'!$E$4:$E$422,'SPDR Chart'!AI$3,'2025-Q2'!$F$4:$F$422,'SPDR Chart'!$B64,'2025-Q2'!$D$4:$D$422,"N")</f>
        <v>0</v>
      </c>
      <c r="AJ64" s="363">
        <f>COUNTIFS('2025-Q2'!$E$4:$E$422,'SPDR Chart'!AJ$3,'2025-Q2'!$F$4:$F$422,'SPDR Chart'!$B64,'2025-Q2'!$D$4:$D$422,"N")</f>
        <v>0</v>
      </c>
      <c r="AK64" s="457">
        <f t="shared" si="5"/>
        <v>0</v>
      </c>
      <c r="AL64" s="458">
        <f>SUM($AK$4:AK64)/SUM($AK$4:$AK$86)</f>
        <v>0.92537313432835822</v>
      </c>
    </row>
    <row r="65" spans="2:38" x14ac:dyDescent="0.25">
      <c r="B65" s="366">
        <v>45817</v>
      </c>
      <c r="C65" s="158">
        <f>COUNTIFS('2025-Q2'!$E$4:$E$422,'SPDR Chart'!C$3,'2025-Q2'!$F$4:$F$422,'SPDR Chart'!$B65,'2025-Q2'!$D$4:$D$422,"Y")</f>
        <v>0</v>
      </c>
      <c r="D65" s="158">
        <f>COUNTIFS('2025-Q2'!$E$4:$E$422,'SPDR Chart'!D$3,'2025-Q2'!$F$4:$F$422,'SPDR Chart'!$B65,'2025-Q2'!$D$4:$D$422,"Y")</f>
        <v>0</v>
      </c>
      <c r="E65" s="158">
        <f>COUNTIFS('2025-Q2'!$E$4:$E$422,'SPDR Chart'!E$3,'2025-Q2'!$F$4:$F$422,'SPDR Chart'!$B65,'2025-Q2'!$D$4:$D$422,"Y")</f>
        <v>0</v>
      </c>
      <c r="F65" s="158">
        <f>COUNTIFS('2025-Q2'!$E$4:$E$422,'SPDR Chart'!F$3,'2025-Q2'!$F$4:$F$422,'SPDR Chart'!$B65,'2025-Q2'!$D$4:$D$422,"Y")</f>
        <v>0</v>
      </c>
      <c r="G65" s="158">
        <f>COUNTIFS('2025-Q2'!$E$4:$E$422,'SPDR Chart'!G$3,'2025-Q2'!$F$4:$F$422,'SPDR Chart'!$B65,'2025-Q2'!$D$4:$D$422,"Y")</f>
        <v>0</v>
      </c>
      <c r="H65" s="158">
        <f>COUNTIFS('2025-Q2'!$E$4:$E$422,'SPDR Chart'!H$3,'2025-Q2'!$F$4:$F$422,'SPDR Chart'!$B65,'2025-Q2'!$D$4:$D$422,"Y")</f>
        <v>0</v>
      </c>
      <c r="I65" s="158">
        <f>COUNTIFS('2025-Q2'!$E$4:$E$422,'SPDR Chart'!I$3,'2025-Q2'!$F$4:$F$422,'SPDR Chart'!$B65,'2025-Q2'!$D$4:$D$422,"Y")</f>
        <v>0</v>
      </c>
      <c r="J65" s="158">
        <f>COUNTIFS('2025-Q2'!$E$4:$E$422,'SPDR Chart'!J$3,'2025-Q2'!$F$4:$F$422,'SPDR Chart'!$B65,'2025-Q2'!$D$4:$D$422,"Y")</f>
        <v>0</v>
      </c>
      <c r="K65" s="158">
        <f>COUNTIFS('2025-Q2'!$E$4:$E$422,'SPDR Chart'!K$3,'2025-Q2'!$F$4:$F$422,'SPDR Chart'!$B65,'2025-Q2'!$D$4:$D$422,"Y")</f>
        <v>0</v>
      </c>
      <c r="L65" s="158">
        <f>COUNTIFS('2025-Q2'!$E$4:$E$422,'SPDR Chart'!L$3,'2025-Q2'!$F$4:$F$422,'SPDR Chart'!$B65,'2025-Q2'!$D$4:$D$422,"Y")</f>
        <v>0</v>
      </c>
      <c r="M65" s="158">
        <f>COUNTIFS('2025-Q2'!$E$4:$E$422,'SPDR Chart'!M$3,'2025-Q2'!$F$4:$F$422,'SPDR Chart'!$B65,'2025-Q2'!$D$4:$D$422,"Y")</f>
        <v>0</v>
      </c>
      <c r="N65" s="158">
        <f>COUNTIFS('2025-Q2'!$E$4:$E$422,'SPDR Chart'!N$3,'2025-Q2'!$F$4:$F$422,'SPDR Chart'!$B65,'2025-Q2'!$D$4:$D$422,"Y")</f>
        <v>0</v>
      </c>
      <c r="O65" s="158">
        <f>COUNTIFS('2025-Q2'!$E$4:$E$422,'SPDR Chart'!O$3,'2025-Q2'!$F$4:$F$422,'SPDR Chart'!$B65,'2025-Q2'!$D$4:$D$422,"Y")</f>
        <v>0</v>
      </c>
      <c r="P65" s="158">
        <f>COUNTIFS('2025-Q2'!$E$4:$E$422,'SPDR Chart'!P$3,'2025-Q2'!$F$4:$F$422,'SPDR Chart'!$B65,'2025-Q2'!$D$4:$D$422,"Y")</f>
        <v>0</v>
      </c>
      <c r="Q65" s="363">
        <f>COUNTIFS('2025-Q2'!$E$4:$E$422,'SPDR Chart'!Q$3,'2025-Q2'!$F$4:$F$422,'SPDR Chart'!$B65,'2025-Q2'!$D$4:$D$422,"Y")</f>
        <v>0</v>
      </c>
      <c r="R65" s="457">
        <f t="shared" si="4"/>
        <v>0</v>
      </c>
      <c r="S65" s="458">
        <f>SUM($R$4:R65)/SUM($R$4:$R$86)</f>
        <v>0.97109826589595372</v>
      </c>
      <c r="U65" s="366">
        <v>45817</v>
      </c>
      <c r="V65" s="158">
        <f>COUNTIFS('2025-Q2'!$E$4:$E$422,'SPDR Chart'!V$3,'2025-Q2'!$F$4:$F$422,'SPDR Chart'!$B65,'2025-Q2'!$D$4:$D$422,"N")</f>
        <v>1</v>
      </c>
      <c r="W65" s="158">
        <f>COUNTIFS('2025-Q2'!$E$4:$E$422,'SPDR Chart'!W$3,'2025-Q2'!$F$4:$F$422,'SPDR Chart'!$B65,'2025-Q2'!$D$4:$D$422,"N")</f>
        <v>0</v>
      </c>
      <c r="X65" s="158">
        <f>COUNTIFS('2025-Q2'!$E$4:$E$422,'SPDR Chart'!X$3,'2025-Q2'!$F$4:$F$422,'SPDR Chart'!$B65,'2025-Q2'!$D$4:$D$422,"N")</f>
        <v>0</v>
      </c>
      <c r="Y65" s="158">
        <f>COUNTIFS('2025-Q2'!$E$4:$E$422,'SPDR Chart'!Y$3,'2025-Q2'!$F$4:$F$422,'SPDR Chart'!$B65,'2025-Q2'!$D$4:$D$422,"N")</f>
        <v>0</v>
      </c>
      <c r="Z65" s="158">
        <f>COUNTIFS('2025-Q2'!$E$4:$E$422,'SPDR Chart'!Z$3,'2025-Q2'!$F$4:$F$422,'SPDR Chart'!$B65,'2025-Q2'!$D$4:$D$422,"N")</f>
        <v>0</v>
      </c>
      <c r="AA65" s="158">
        <f>COUNTIFS('2025-Q2'!$E$4:$E$422,'SPDR Chart'!AA$3,'2025-Q2'!$F$4:$F$422,'SPDR Chart'!$B65,'2025-Q2'!$D$4:$D$422,"N")</f>
        <v>0</v>
      </c>
      <c r="AB65" s="158">
        <f>COUNTIFS('2025-Q2'!$E$4:$E$422,'SPDR Chart'!AB$3,'2025-Q2'!$F$4:$F$422,'SPDR Chart'!$B65,'2025-Q2'!$D$4:$D$422,"N")</f>
        <v>0</v>
      </c>
      <c r="AC65" s="158">
        <f>COUNTIFS('2025-Q2'!$E$4:$E$422,'SPDR Chart'!AC$3,'2025-Q2'!$F$4:$F$422,'SPDR Chart'!$B65,'2025-Q2'!$D$4:$D$422,"N")</f>
        <v>0</v>
      </c>
      <c r="AD65" s="158">
        <f>COUNTIFS('2025-Q2'!$E$4:$E$422,'SPDR Chart'!AD$3,'2025-Q2'!$F$4:$F$422,'SPDR Chart'!$B65,'2025-Q2'!$D$4:$D$422,"N")</f>
        <v>0</v>
      </c>
      <c r="AE65" s="158">
        <f>COUNTIFS('2025-Q2'!$E$4:$E$422,'SPDR Chart'!AE$3,'2025-Q2'!$F$4:$F$422,'SPDR Chart'!$B65,'2025-Q2'!$D$4:$D$422,"N")</f>
        <v>0</v>
      </c>
      <c r="AF65" s="158">
        <f>COUNTIFS('2025-Q2'!$E$4:$E$422,'SPDR Chart'!AF$3,'2025-Q2'!$F$4:$F$422,'SPDR Chart'!$B65,'2025-Q2'!$D$4:$D$422,"N")</f>
        <v>0</v>
      </c>
      <c r="AG65" s="158">
        <f>COUNTIFS('2025-Q2'!$E$4:$E$422,'SPDR Chart'!AG$3,'2025-Q2'!$F$4:$F$422,'SPDR Chart'!$B65,'2025-Q2'!$D$4:$D$422,"N")</f>
        <v>0</v>
      </c>
      <c r="AH65" s="158">
        <f>COUNTIFS('2025-Q2'!$E$4:$E$422,'SPDR Chart'!AH$3,'2025-Q2'!$F$4:$F$422,'SPDR Chart'!$B65,'2025-Q2'!$D$4:$D$422,"N")</f>
        <v>0</v>
      </c>
      <c r="AI65" s="158">
        <f>COUNTIFS('2025-Q2'!$E$4:$E$422,'SPDR Chart'!AI$3,'2025-Q2'!$F$4:$F$422,'SPDR Chart'!$B65,'2025-Q2'!$D$4:$D$422,"N")</f>
        <v>0</v>
      </c>
      <c r="AJ65" s="363">
        <f>COUNTIFS('2025-Q2'!$E$4:$E$422,'SPDR Chart'!AJ$3,'2025-Q2'!$F$4:$F$422,'SPDR Chart'!$B65,'2025-Q2'!$D$4:$D$422,"N")</f>
        <v>0</v>
      </c>
      <c r="AK65" s="457">
        <f t="shared" si="5"/>
        <v>1</v>
      </c>
      <c r="AL65" s="458">
        <f>SUM($AK$4:AK65)/SUM($AK$4:$AK$86)</f>
        <v>0.94029850746268662</v>
      </c>
    </row>
    <row r="66" spans="2:38" x14ac:dyDescent="0.25">
      <c r="B66" s="366">
        <v>45818</v>
      </c>
      <c r="C66" s="158">
        <f>COUNTIFS('2025-Q2'!$E$4:$E$422,'SPDR Chart'!C$3,'2025-Q2'!$F$4:$F$422,'SPDR Chart'!$B66,'2025-Q2'!$D$4:$D$422,"Y")</f>
        <v>0</v>
      </c>
      <c r="D66" s="158">
        <f>COUNTIFS('2025-Q2'!$E$4:$E$422,'SPDR Chart'!D$3,'2025-Q2'!$F$4:$F$422,'SPDR Chart'!$B66,'2025-Q2'!$D$4:$D$422,"Y")</f>
        <v>0</v>
      </c>
      <c r="E66" s="158">
        <f>COUNTIFS('2025-Q2'!$E$4:$E$422,'SPDR Chart'!E$3,'2025-Q2'!$F$4:$F$422,'SPDR Chart'!$B66,'2025-Q2'!$D$4:$D$422,"Y")</f>
        <v>0</v>
      </c>
      <c r="F66" s="158">
        <f>COUNTIFS('2025-Q2'!$E$4:$E$422,'SPDR Chart'!F$3,'2025-Q2'!$F$4:$F$422,'SPDR Chart'!$B66,'2025-Q2'!$D$4:$D$422,"Y")</f>
        <v>0</v>
      </c>
      <c r="G66" s="158">
        <f>COUNTIFS('2025-Q2'!$E$4:$E$422,'SPDR Chart'!G$3,'2025-Q2'!$F$4:$F$422,'SPDR Chart'!$B66,'2025-Q2'!$D$4:$D$422,"Y")</f>
        <v>0</v>
      </c>
      <c r="H66" s="158">
        <f>COUNTIFS('2025-Q2'!$E$4:$E$422,'SPDR Chart'!H$3,'2025-Q2'!$F$4:$F$422,'SPDR Chart'!$B66,'2025-Q2'!$D$4:$D$422,"Y")</f>
        <v>0</v>
      </c>
      <c r="I66" s="158">
        <f>COUNTIFS('2025-Q2'!$E$4:$E$422,'SPDR Chart'!I$3,'2025-Q2'!$F$4:$F$422,'SPDR Chart'!$B66,'2025-Q2'!$D$4:$D$422,"Y")</f>
        <v>0</v>
      </c>
      <c r="J66" s="158">
        <f>COUNTIFS('2025-Q2'!$E$4:$E$422,'SPDR Chart'!J$3,'2025-Q2'!$F$4:$F$422,'SPDR Chart'!$B66,'2025-Q2'!$D$4:$D$422,"Y")</f>
        <v>0</v>
      </c>
      <c r="K66" s="158">
        <f>COUNTIFS('2025-Q2'!$E$4:$E$422,'SPDR Chart'!K$3,'2025-Q2'!$F$4:$F$422,'SPDR Chart'!$B66,'2025-Q2'!$D$4:$D$422,"Y")</f>
        <v>0</v>
      </c>
      <c r="L66" s="158">
        <f>COUNTIFS('2025-Q2'!$E$4:$E$422,'SPDR Chart'!L$3,'2025-Q2'!$F$4:$F$422,'SPDR Chart'!$B66,'2025-Q2'!$D$4:$D$422,"Y")</f>
        <v>0</v>
      </c>
      <c r="M66" s="158">
        <f>COUNTIFS('2025-Q2'!$E$4:$E$422,'SPDR Chart'!M$3,'2025-Q2'!$F$4:$F$422,'SPDR Chart'!$B66,'2025-Q2'!$D$4:$D$422,"Y")</f>
        <v>0</v>
      </c>
      <c r="N66" s="158">
        <f>COUNTIFS('2025-Q2'!$E$4:$E$422,'SPDR Chart'!N$3,'2025-Q2'!$F$4:$F$422,'SPDR Chart'!$B66,'2025-Q2'!$D$4:$D$422,"Y")</f>
        <v>0</v>
      </c>
      <c r="O66" s="158">
        <f>COUNTIFS('2025-Q2'!$E$4:$E$422,'SPDR Chart'!O$3,'2025-Q2'!$F$4:$F$422,'SPDR Chart'!$B66,'2025-Q2'!$D$4:$D$422,"Y")</f>
        <v>0</v>
      </c>
      <c r="P66" s="158">
        <f>COUNTIFS('2025-Q2'!$E$4:$E$422,'SPDR Chart'!P$3,'2025-Q2'!$F$4:$F$422,'SPDR Chart'!$B66,'2025-Q2'!$D$4:$D$422,"Y")</f>
        <v>0</v>
      </c>
      <c r="Q66" s="363">
        <f>COUNTIFS('2025-Q2'!$E$4:$E$422,'SPDR Chart'!Q$3,'2025-Q2'!$F$4:$F$422,'SPDR Chart'!$B66,'2025-Q2'!$D$4:$D$422,"Y")</f>
        <v>0</v>
      </c>
      <c r="R66" s="457">
        <f t="shared" si="4"/>
        <v>0</v>
      </c>
      <c r="S66" s="458">
        <f>SUM($R$4:R66)/SUM($R$4:$R$86)</f>
        <v>0.97109826589595372</v>
      </c>
      <c r="U66" s="366">
        <v>45818</v>
      </c>
      <c r="V66" s="158">
        <f>COUNTIFS('2025-Q2'!$E$4:$E$422,'SPDR Chart'!V$3,'2025-Q2'!$F$4:$F$422,'SPDR Chart'!$B66,'2025-Q2'!$D$4:$D$422,"N")</f>
        <v>0</v>
      </c>
      <c r="W66" s="158">
        <f>COUNTIFS('2025-Q2'!$E$4:$E$422,'SPDR Chart'!W$3,'2025-Q2'!$F$4:$F$422,'SPDR Chart'!$B66,'2025-Q2'!$D$4:$D$422,"N")</f>
        <v>1</v>
      </c>
      <c r="X66" s="158">
        <f>COUNTIFS('2025-Q2'!$E$4:$E$422,'SPDR Chart'!X$3,'2025-Q2'!$F$4:$F$422,'SPDR Chart'!$B66,'2025-Q2'!$D$4:$D$422,"N")</f>
        <v>0</v>
      </c>
      <c r="Y66" s="158">
        <f>COUNTIFS('2025-Q2'!$E$4:$E$422,'SPDR Chart'!Y$3,'2025-Q2'!$F$4:$F$422,'SPDR Chart'!$B66,'2025-Q2'!$D$4:$D$422,"N")</f>
        <v>0</v>
      </c>
      <c r="Z66" s="158">
        <f>COUNTIFS('2025-Q2'!$E$4:$E$422,'SPDR Chart'!Z$3,'2025-Q2'!$F$4:$F$422,'SPDR Chart'!$B66,'2025-Q2'!$D$4:$D$422,"N")</f>
        <v>0</v>
      </c>
      <c r="AA66" s="158">
        <f>COUNTIFS('2025-Q2'!$E$4:$E$422,'SPDR Chart'!AA$3,'2025-Q2'!$F$4:$F$422,'SPDR Chart'!$B66,'2025-Q2'!$D$4:$D$422,"N")</f>
        <v>0</v>
      </c>
      <c r="AB66" s="158">
        <f>COUNTIFS('2025-Q2'!$E$4:$E$422,'SPDR Chart'!AB$3,'2025-Q2'!$F$4:$F$422,'SPDR Chart'!$B66,'2025-Q2'!$D$4:$D$422,"N")</f>
        <v>0</v>
      </c>
      <c r="AC66" s="158">
        <f>COUNTIFS('2025-Q2'!$E$4:$E$422,'SPDR Chart'!AC$3,'2025-Q2'!$F$4:$F$422,'SPDR Chart'!$B66,'2025-Q2'!$D$4:$D$422,"N")</f>
        <v>0</v>
      </c>
      <c r="AD66" s="158">
        <f>COUNTIFS('2025-Q2'!$E$4:$E$422,'SPDR Chart'!AD$3,'2025-Q2'!$F$4:$F$422,'SPDR Chart'!$B66,'2025-Q2'!$D$4:$D$422,"N")</f>
        <v>0</v>
      </c>
      <c r="AE66" s="158">
        <f>COUNTIFS('2025-Q2'!$E$4:$E$422,'SPDR Chart'!AE$3,'2025-Q2'!$F$4:$F$422,'SPDR Chart'!$B66,'2025-Q2'!$D$4:$D$422,"N")</f>
        <v>0</v>
      </c>
      <c r="AF66" s="158">
        <f>COUNTIFS('2025-Q2'!$E$4:$E$422,'SPDR Chart'!AF$3,'2025-Q2'!$F$4:$F$422,'SPDR Chart'!$B66,'2025-Q2'!$D$4:$D$422,"N")</f>
        <v>0</v>
      </c>
      <c r="AG66" s="158">
        <f>COUNTIFS('2025-Q2'!$E$4:$E$422,'SPDR Chart'!AG$3,'2025-Q2'!$F$4:$F$422,'SPDR Chart'!$B66,'2025-Q2'!$D$4:$D$422,"N")</f>
        <v>0</v>
      </c>
      <c r="AH66" s="158">
        <f>COUNTIFS('2025-Q2'!$E$4:$E$422,'SPDR Chart'!AH$3,'2025-Q2'!$F$4:$F$422,'SPDR Chart'!$B66,'2025-Q2'!$D$4:$D$422,"N")</f>
        <v>0</v>
      </c>
      <c r="AI66" s="158">
        <f>COUNTIFS('2025-Q2'!$E$4:$E$422,'SPDR Chart'!AI$3,'2025-Q2'!$F$4:$F$422,'SPDR Chart'!$B66,'2025-Q2'!$D$4:$D$422,"N")</f>
        <v>0</v>
      </c>
      <c r="AJ66" s="363">
        <f>COUNTIFS('2025-Q2'!$E$4:$E$422,'SPDR Chart'!AJ$3,'2025-Q2'!$F$4:$F$422,'SPDR Chart'!$B66,'2025-Q2'!$D$4:$D$422,"N")</f>
        <v>1</v>
      </c>
      <c r="AK66" s="457">
        <f t="shared" si="5"/>
        <v>2</v>
      </c>
      <c r="AL66" s="458">
        <f>SUM($AK$4:AK66)/SUM($AK$4:$AK$86)</f>
        <v>0.97014925373134331</v>
      </c>
    </row>
    <row r="67" spans="2:38" x14ac:dyDescent="0.25">
      <c r="B67" s="366">
        <v>45819</v>
      </c>
      <c r="C67" s="158">
        <f>COUNTIFS('2025-Q2'!$E$4:$E$422,'SPDR Chart'!C$3,'2025-Q2'!$F$4:$F$422,'SPDR Chart'!$B67,'2025-Q2'!$D$4:$D$422,"Y")</f>
        <v>0</v>
      </c>
      <c r="D67" s="158">
        <f>COUNTIFS('2025-Q2'!$E$4:$E$422,'SPDR Chart'!D$3,'2025-Q2'!$F$4:$F$422,'SPDR Chart'!$B67,'2025-Q2'!$D$4:$D$422,"Y")</f>
        <v>0</v>
      </c>
      <c r="E67" s="158">
        <f>COUNTIFS('2025-Q2'!$E$4:$E$422,'SPDR Chart'!E$3,'2025-Q2'!$F$4:$F$422,'SPDR Chart'!$B67,'2025-Q2'!$D$4:$D$422,"Y")</f>
        <v>0</v>
      </c>
      <c r="F67" s="158">
        <f>COUNTIFS('2025-Q2'!$E$4:$E$422,'SPDR Chart'!F$3,'2025-Q2'!$F$4:$F$422,'SPDR Chart'!$B67,'2025-Q2'!$D$4:$D$422,"Y")</f>
        <v>0</v>
      </c>
      <c r="G67" s="158">
        <f>COUNTIFS('2025-Q2'!$E$4:$E$422,'SPDR Chart'!G$3,'2025-Q2'!$F$4:$F$422,'SPDR Chart'!$B67,'2025-Q2'!$D$4:$D$422,"Y")</f>
        <v>0</v>
      </c>
      <c r="H67" s="158">
        <f>COUNTIFS('2025-Q2'!$E$4:$E$422,'SPDR Chart'!H$3,'2025-Q2'!$F$4:$F$422,'SPDR Chart'!$B67,'2025-Q2'!$D$4:$D$422,"Y")</f>
        <v>0</v>
      </c>
      <c r="I67" s="158">
        <f>COUNTIFS('2025-Q2'!$E$4:$E$422,'SPDR Chart'!I$3,'2025-Q2'!$F$4:$F$422,'SPDR Chart'!$B67,'2025-Q2'!$D$4:$D$422,"Y")</f>
        <v>0</v>
      </c>
      <c r="J67" s="158">
        <f>COUNTIFS('2025-Q2'!$E$4:$E$422,'SPDR Chart'!J$3,'2025-Q2'!$F$4:$F$422,'SPDR Chart'!$B67,'2025-Q2'!$D$4:$D$422,"Y")</f>
        <v>0</v>
      </c>
      <c r="K67" s="158">
        <f>COUNTIFS('2025-Q2'!$E$4:$E$422,'SPDR Chart'!K$3,'2025-Q2'!$F$4:$F$422,'SPDR Chart'!$B67,'2025-Q2'!$D$4:$D$422,"Y")</f>
        <v>0</v>
      </c>
      <c r="L67" s="158">
        <f>COUNTIFS('2025-Q2'!$E$4:$E$422,'SPDR Chart'!L$3,'2025-Q2'!$F$4:$F$422,'SPDR Chart'!$B67,'2025-Q2'!$D$4:$D$422,"Y")</f>
        <v>0</v>
      </c>
      <c r="M67" s="158">
        <f>COUNTIFS('2025-Q2'!$E$4:$E$422,'SPDR Chart'!M$3,'2025-Q2'!$F$4:$F$422,'SPDR Chart'!$B67,'2025-Q2'!$D$4:$D$422,"Y")</f>
        <v>0</v>
      </c>
      <c r="N67" s="158">
        <f>COUNTIFS('2025-Q2'!$E$4:$E$422,'SPDR Chart'!N$3,'2025-Q2'!$F$4:$F$422,'SPDR Chart'!$B67,'2025-Q2'!$D$4:$D$422,"Y")</f>
        <v>0</v>
      </c>
      <c r="O67" s="158">
        <f>COUNTIFS('2025-Q2'!$E$4:$E$422,'SPDR Chart'!O$3,'2025-Q2'!$F$4:$F$422,'SPDR Chart'!$B67,'2025-Q2'!$D$4:$D$422,"Y")</f>
        <v>0</v>
      </c>
      <c r="P67" s="158">
        <f>COUNTIFS('2025-Q2'!$E$4:$E$422,'SPDR Chart'!P$3,'2025-Q2'!$F$4:$F$422,'SPDR Chart'!$B67,'2025-Q2'!$D$4:$D$422,"Y")</f>
        <v>0</v>
      </c>
      <c r="Q67" s="363">
        <f>COUNTIFS('2025-Q2'!$E$4:$E$422,'SPDR Chart'!Q$3,'2025-Q2'!$F$4:$F$422,'SPDR Chart'!$B67,'2025-Q2'!$D$4:$D$422,"Y")</f>
        <v>1</v>
      </c>
      <c r="R67" s="457">
        <f t="shared" si="4"/>
        <v>1</v>
      </c>
      <c r="S67" s="458">
        <f>SUM($R$4:R67)/SUM($R$4:$R$86)</f>
        <v>0.97398843930635837</v>
      </c>
      <c r="U67" s="366">
        <v>45819</v>
      </c>
      <c r="V67" s="158">
        <f>COUNTIFS('2025-Q2'!$E$4:$E$422,'SPDR Chart'!V$3,'2025-Q2'!$F$4:$F$422,'SPDR Chart'!$B67,'2025-Q2'!$D$4:$D$422,"N")</f>
        <v>0</v>
      </c>
      <c r="W67" s="158">
        <f>COUNTIFS('2025-Q2'!$E$4:$E$422,'SPDR Chart'!W$3,'2025-Q2'!$F$4:$F$422,'SPDR Chart'!$B67,'2025-Q2'!$D$4:$D$422,"N")</f>
        <v>0</v>
      </c>
      <c r="X67" s="158">
        <f>COUNTIFS('2025-Q2'!$E$4:$E$422,'SPDR Chart'!X$3,'2025-Q2'!$F$4:$F$422,'SPDR Chart'!$B67,'2025-Q2'!$D$4:$D$422,"N")</f>
        <v>0</v>
      </c>
      <c r="Y67" s="158">
        <f>COUNTIFS('2025-Q2'!$E$4:$E$422,'SPDR Chart'!Y$3,'2025-Q2'!$F$4:$F$422,'SPDR Chart'!$B67,'2025-Q2'!$D$4:$D$422,"N")</f>
        <v>0</v>
      </c>
      <c r="Z67" s="158">
        <f>COUNTIFS('2025-Q2'!$E$4:$E$422,'SPDR Chart'!Z$3,'2025-Q2'!$F$4:$F$422,'SPDR Chart'!$B67,'2025-Q2'!$D$4:$D$422,"N")</f>
        <v>0</v>
      </c>
      <c r="AA67" s="158">
        <f>COUNTIFS('2025-Q2'!$E$4:$E$422,'SPDR Chart'!AA$3,'2025-Q2'!$F$4:$F$422,'SPDR Chart'!$B67,'2025-Q2'!$D$4:$D$422,"N")</f>
        <v>0</v>
      </c>
      <c r="AB67" s="158">
        <f>COUNTIFS('2025-Q2'!$E$4:$E$422,'SPDR Chart'!AB$3,'2025-Q2'!$F$4:$F$422,'SPDR Chart'!$B67,'2025-Q2'!$D$4:$D$422,"N")</f>
        <v>0</v>
      </c>
      <c r="AC67" s="158">
        <f>COUNTIFS('2025-Q2'!$E$4:$E$422,'SPDR Chart'!AC$3,'2025-Q2'!$F$4:$F$422,'SPDR Chart'!$B67,'2025-Q2'!$D$4:$D$422,"N")</f>
        <v>1</v>
      </c>
      <c r="AD67" s="158">
        <f>COUNTIFS('2025-Q2'!$E$4:$E$422,'SPDR Chart'!AD$3,'2025-Q2'!$F$4:$F$422,'SPDR Chart'!$B67,'2025-Q2'!$D$4:$D$422,"N")</f>
        <v>0</v>
      </c>
      <c r="AE67" s="158">
        <f>COUNTIFS('2025-Q2'!$E$4:$E$422,'SPDR Chart'!AE$3,'2025-Q2'!$F$4:$F$422,'SPDR Chart'!$B67,'2025-Q2'!$D$4:$D$422,"N")</f>
        <v>0</v>
      </c>
      <c r="AF67" s="158">
        <f>COUNTIFS('2025-Q2'!$E$4:$E$422,'SPDR Chart'!AF$3,'2025-Q2'!$F$4:$F$422,'SPDR Chart'!$B67,'2025-Q2'!$D$4:$D$422,"N")</f>
        <v>0</v>
      </c>
      <c r="AG67" s="158">
        <f>COUNTIFS('2025-Q2'!$E$4:$E$422,'SPDR Chart'!AG$3,'2025-Q2'!$F$4:$F$422,'SPDR Chart'!$B67,'2025-Q2'!$D$4:$D$422,"N")</f>
        <v>0</v>
      </c>
      <c r="AH67" s="158">
        <f>COUNTIFS('2025-Q2'!$E$4:$E$422,'SPDR Chart'!AH$3,'2025-Q2'!$F$4:$F$422,'SPDR Chart'!$B67,'2025-Q2'!$D$4:$D$422,"N")</f>
        <v>0</v>
      </c>
      <c r="AI67" s="158">
        <f>COUNTIFS('2025-Q2'!$E$4:$E$422,'SPDR Chart'!AI$3,'2025-Q2'!$F$4:$F$422,'SPDR Chart'!$B67,'2025-Q2'!$D$4:$D$422,"N")</f>
        <v>0</v>
      </c>
      <c r="AJ67" s="363">
        <f>COUNTIFS('2025-Q2'!$E$4:$E$422,'SPDR Chart'!AJ$3,'2025-Q2'!$F$4:$F$422,'SPDR Chart'!$B67,'2025-Q2'!$D$4:$D$422,"N")</f>
        <v>0</v>
      </c>
      <c r="AK67" s="457">
        <f t="shared" si="5"/>
        <v>1</v>
      </c>
      <c r="AL67" s="458">
        <f>SUM($AK$4:AK67)/SUM($AK$4:$AK$86)</f>
        <v>0.9850746268656716</v>
      </c>
    </row>
    <row r="68" spans="2:38" x14ac:dyDescent="0.25">
      <c r="B68" s="366">
        <v>45820</v>
      </c>
      <c r="C68" s="158">
        <f>COUNTIFS('2025-Q2'!$E$4:$E$422,'SPDR Chart'!C$3,'2025-Q2'!$F$4:$F$422,'SPDR Chart'!$B68,'2025-Q2'!$D$4:$D$422,"Y")</f>
        <v>0</v>
      </c>
      <c r="D68" s="158">
        <f>COUNTIFS('2025-Q2'!$E$4:$E$422,'SPDR Chart'!D$3,'2025-Q2'!$F$4:$F$422,'SPDR Chart'!$B68,'2025-Q2'!$D$4:$D$422,"Y")</f>
        <v>0</v>
      </c>
      <c r="E68" s="158">
        <f>COUNTIFS('2025-Q2'!$E$4:$E$422,'SPDR Chart'!E$3,'2025-Q2'!$F$4:$F$422,'SPDR Chart'!$B68,'2025-Q2'!$D$4:$D$422,"Y")</f>
        <v>0</v>
      </c>
      <c r="F68" s="158">
        <f>COUNTIFS('2025-Q2'!$E$4:$E$422,'SPDR Chart'!F$3,'2025-Q2'!$F$4:$F$422,'SPDR Chart'!$B68,'2025-Q2'!$D$4:$D$422,"Y")</f>
        <v>0</v>
      </c>
      <c r="G68" s="158">
        <f>COUNTIFS('2025-Q2'!$E$4:$E$422,'SPDR Chart'!G$3,'2025-Q2'!$F$4:$F$422,'SPDR Chart'!$B68,'2025-Q2'!$D$4:$D$422,"Y")</f>
        <v>0</v>
      </c>
      <c r="H68" s="158">
        <f>COUNTIFS('2025-Q2'!$E$4:$E$422,'SPDR Chart'!H$3,'2025-Q2'!$F$4:$F$422,'SPDR Chart'!$B68,'2025-Q2'!$D$4:$D$422,"Y")</f>
        <v>0</v>
      </c>
      <c r="I68" s="158">
        <f>COUNTIFS('2025-Q2'!$E$4:$E$422,'SPDR Chart'!I$3,'2025-Q2'!$F$4:$F$422,'SPDR Chart'!$B68,'2025-Q2'!$D$4:$D$422,"Y")</f>
        <v>0</v>
      </c>
      <c r="J68" s="158">
        <f>COUNTIFS('2025-Q2'!$E$4:$E$422,'SPDR Chart'!J$3,'2025-Q2'!$F$4:$F$422,'SPDR Chart'!$B68,'2025-Q2'!$D$4:$D$422,"Y")</f>
        <v>0</v>
      </c>
      <c r="K68" s="158">
        <f>COUNTIFS('2025-Q2'!$E$4:$E$422,'SPDR Chart'!K$3,'2025-Q2'!$F$4:$F$422,'SPDR Chart'!$B68,'2025-Q2'!$D$4:$D$422,"Y")</f>
        <v>0</v>
      </c>
      <c r="L68" s="158">
        <f>COUNTIFS('2025-Q2'!$E$4:$E$422,'SPDR Chart'!L$3,'2025-Q2'!$F$4:$F$422,'SPDR Chart'!$B68,'2025-Q2'!$D$4:$D$422,"Y")</f>
        <v>0</v>
      </c>
      <c r="M68" s="158">
        <f>COUNTIFS('2025-Q2'!$E$4:$E$422,'SPDR Chart'!M$3,'2025-Q2'!$F$4:$F$422,'SPDR Chart'!$B68,'2025-Q2'!$D$4:$D$422,"Y")</f>
        <v>0</v>
      </c>
      <c r="N68" s="158">
        <f>COUNTIFS('2025-Q2'!$E$4:$E$422,'SPDR Chart'!N$3,'2025-Q2'!$F$4:$F$422,'SPDR Chart'!$B68,'2025-Q2'!$D$4:$D$422,"Y")</f>
        <v>0</v>
      </c>
      <c r="O68" s="158">
        <f>COUNTIFS('2025-Q2'!$E$4:$E$422,'SPDR Chart'!O$3,'2025-Q2'!$F$4:$F$422,'SPDR Chart'!$B68,'2025-Q2'!$D$4:$D$422,"Y")</f>
        <v>0</v>
      </c>
      <c r="P68" s="158">
        <f>COUNTIFS('2025-Q2'!$E$4:$E$422,'SPDR Chart'!P$3,'2025-Q2'!$F$4:$F$422,'SPDR Chart'!$B68,'2025-Q2'!$D$4:$D$422,"Y")</f>
        <v>0</v>
      </c>
      <c r="Q68" s="363">
        <f>COUNTIFS('2025-Q2'!$E$4:$E$422,'SPDR Chart'!Q$3,'2025-Q2'!$F$4:$F$422,'SPDR Chart'!$B68,'2025-Q2'!$D$4:$D$422,"Y")</f>
        <v>1</v>
      </c>
      <c r="R68" s="457">
        <f t="shared" si="4"/>
        <v>1</v>
      </c>
      <c r="S68" s="458">
        <f>SUM($R$4:R68)/SUM($R$4:$R$86)</f>
        <v>0.97687861271676302</v>
      </c>
      <c r="U68" s="366">
        <v>45820</v>
      </c>
      <c r="V68" s="158">
        <f>COUNTIFS('2025-Q2'!$E$4:$E$422,'SPDR Chart'!V$3,'2025-Q2'!$F$4:$F$422,'SPDR Chart'!$B68,'2025-Q2'!$D$4:$D$422,"N")</f>
        <v>0</v>
      </c>
      <c r="W68" s="158">
        <f>COUNTIFS('2025-Q2'!$E$4:$E$422,'SPDR Chart'!W$3,'2025-Q2'!$F$4:$F$422,'SPDR Chart'!$B68,'2025-Q2'!$D$4:$D$422,"N")</f>
        <v>0</v>
      </c>
      <c r="X68" s="158">
        <f>COUNTIFS('2025-Q2'!$E$4:$E$422,'SPDR Chart'!X$3,'2025-Q2'!$F$4:$F$422,'SPDR Chart'!$B68,'2025-Q2'!$D$4:$D$422,"N")</f>
        <v>0</v>
      </c>
      <c r="Y68" s="158">
        <f>COUNTIFS('2025-Q2'!$E$4:$E$422,'SPDR Chart'!Y$3,'2025-Q2'!$F$4:$F$422,'SPDR Chart'!$B68,'2025-Q2'!$D$4:$D$422,"N")</f>
        <v>0</v>
      </c>
      <c r="Z68" s="158">
        <f>COUNTIFS('2025-Q2'!$E$4:$E$422,'SPDR Chart'!Z$3,'2025-Q2'!$F$4:$F$422,'SPDR Chart'!$B68,'2025-Q2'!$D$4:$D$422,"N")</f>
        <v>0</v>
      </c>
      <c r="AA68" s="158">
        <f>COUNTIFS('2025-Q2'!$E$4:$E$422,'SPDR Chart'!AA$3,'2025-Q2'!$F$4:$F$422,'SPDR Chart'!$B68,'2025-Q2'!$D$4:$D$422,"N")</f>
        <v>0</v>
      </c>
      <c r="AB68" s="158">
        <f>COUNTIFS('2025-Q2'!$E$4:$E$422,'SPDR Chart'!AB$3,'2025-Q2'!$F$4:$F$422,'SPDR Chart'!$B68,'2025-Q2'!$D$4:$D$422,"N")</f>
        <v>0</v>
      </c>
      <c r="AC68" s="158">
        <f>COUNTIFS('2025-Q2'!$E$4:$E$422,'SPDR Chart'!AC$3,'2025-Q2'!$F$4:$F$422,'SPDR Chart'!$B68,'2025-Q2'!$D$4:$D$422,"N")</f>
        <v>0</v>
      </c>
      <c r="AD68" s="158">
        <f>COUNTIFS('2025-Q2'!$E$4:$E$422,'SPDR Chart'!AD$3,'2025-Q2'!$F$4:$F$422,'SPDR Chart'!$B68,'2025-Q2'!$D$4:$D$422,"N")</f>
        <v>0</v>
      </c>
      <c r="AE68" s="158">
        <f>COUNTIFS('2025-Q2'!$E$4:$E$422,'SPDR Chart'!AE$3,'2025-Q2'!$F$4:$F$422,'SPDR Chart'!$B68,'2025-Q2'!$D$4:$D$422,"N")</f>
        <v>0</v>
      </c>
      <c r="AF68" s="158">
        <f>COUNTIFS('2025-Q2'!$E$4:$E$422,'SPDR Chart'!AF$3,'2025-Q2'!$F$4:$F$422,'SPDR Chart'!$B68,'2025-Q2'!$D$4:$D$422,"N")</f>
        <v>0</v>
      </c>
      <c r="AG68" s="158">
        <f>COUNTIFS('2025-Q2'!$E$4:$E$422,'SPDR Chart'!AG$3,'2025-Q2'!$F$4:$F$422,'SPDR Chart'!$B68,'2025-Q2'!$D$4:$D$422,"N")</f>
        <v>0</v>
      </c>
      <c r="AH68" s="158">
        <f>COUNTIFS('2025-Q2'!$E$4:$E$422,'SPDR Chart'!AH$3,'2025-Q2'!$F$4:$F$422,'SPDR Chart'!$B68,'2025-Q2'!$D$4:$D$422,"N")</f>
        <v>0</v>
      </c>
      <c r="AI68" s="158">
        <f>COUNTIFS('2025-Q2'!$E$4:$E$422,'SPDR Chart'!AI$3,'2025-Q2'!$F$4:$F$422,'SPDR Chart'!$B68,'2025-Q2'!$D$4:$D$422,"N")</f>
        <v>0</v>
      </c>
      <c r="AJ68" s="363">
        <f>COUNTIFS('2025-Q2'!$E$4:$E$422,'SPDR Chart'!AJ$3,'2025-Q2'!$F$4:$F$422,'SPDR Chart'!$B68,'2025-Q2'!$D$4:$D$422,"N")</f>
        <v>0</v>
      </c>
      <c r="AK68" s="457">
        <f t="shared" si="5"/>
        <v>0</v>
      </c>
      <c r="AL68" s="458">
        <f>SUM($AK$4:AK68)/SUM($AK$4:$AK$86)</f>
        <v>0.9850746268656716</v>
      </c>
    </row>
    <row r="69" spans="2:38" x14ac:dyDescent="0.25">
      <c r="B69" s="366">
        <v>45821</v>
      </c>
      <c r="C69" s="158">
        <f>COUNTIFS('2025-Q2'!$E$4:$E$422,'SPDR Chart'!C$3,'2025-Q2'!$F$4:$F$422,'SPDR Chart'!$B69,'2025-Q2'!$D$4:$D$422,"Y")</f>
        <v>0</v>
      </c>
      <c r="D69" s="158">
        <f>COUNTIFS('2025-Q2'!$E$4:$E$422,'SPDR Chart'!D$3,'2025-Q2'!$F$4:$F$422,'SPDR Chart'!$B69,'2025-Q2'!$D$4:$D$422,"Y")</f>
        <v>0</v>
      </c>
      <c r="E69" s="158">
        <f>COUNTIFS('2025-Q2'!$E$4:$E$422,'SPDR Chart'!E$3,'2025-Q2'!$F$4:$F$422,'SPDR Chart'!$B69,'2025-Q2'!$D$4:$D$422,"Y")</f>
        <v>0</v>
      </c>
      <c r="F69" s="158">
        <f>COUNTIFS('2025-Q2'!$E$4:$E$422,'SPDR Chart'!F$3,'2025-Q2'!$F$4:$F$422,'SPDR Chart'!$B69,'2025-Q2'!$D$4:$D$422,"Y")</f>
        <v>0</v>
      </c>
      <c r="G69" s="158">
        <f>COUNTIFS('2025-Q2'!$E$4:$E$422,'SPDR Chart'!G$3,'2025-Q2'!$F$4:$F$422,'SPDR Chart'!$B69,'2025-Q2'!$D$4:$D$422,"Y")</f>
        <v>0</v>
      </c>
      <c r="H69" s="158">
        <f>COUNTIFS('2025-Q2'!$E$4:$E$422,'SPDR Chart'!H$3,'2025-Q2'!$F$4:$F$422,'SPDR Chart'!$B69,'2025-Q2'!$D$4:$D$422,"Y")</f>
        <v>0</v>
      </c>
      <c r="I69" s="158">
        <f>COUNTIFS('2025-Q2'!$E$4:$E$422,'SPDR Chart'!I$3,'2025-Q2'!$F$4:$F$422,'SPDR Chart'!$B69,'2025-Q2'!$D$4:$D$422,"Y")</f>
        <v>0</v>
      </c>
      <c r="J69" s="158">
        <f>COUNTIFS('2025-Q2'!$E$4:$E$422,'SPDR Chart'!J$3,'2025-Q2'!$F$4:$F$422,'SPDR Chart'!$B69,'2025-Q2'!$D$4:$D$422,"Y")</f>
        <v>0</v>
      </c>
      <c r="K69" s="158">
        <f>COUNTIFS('2025-Q2'!$E$4:$E$422,'SPDR Chart'!K$3,'2025-Q2'!$F$4:$F$422,'SPDR Chart'!$B69,'2025-Q2'!$D$4:$D$422,"Y")</f>
        <v>0</v>
      </c>
      <c r="L69" s="158">
        <f>COUNTIFS('2025-Q2'!$E$4:$E$422,'SPDR Chart'!L$3,'2025-Q2'!$F$4:$F$422,'SPDR Chart'!$B69,'2025-Q2'!$D$4:$D$422,"Y")</f>
        <v>0</v>
      </c>
      <c r="M69" s="158">
        <f>COUNTIFS('2025-Q2'!$E$4:$E$422,'SPDR Chart'!M$3,'2025-Q2'!$F$4:$F$422,'SPDR Chart'!$B69,'2025-Q2'!$D$4:$D$422,"Y")</f>
        <v>0</v>
      </c>
      <c r="N69" s="158">
        <f>COUNTIFS('2025-Q2'!$E$4:$E$422,'SPDR Chart'!N$3,'2025-Q2'!$F$4:$F$422,'SPDR Chart'!$B69,'2025-Q2'!$D$4:$D$422,"Y")</f>
        <v>0</v>
      </c>
      <c r="O69" s="158">
        <f>COUNTIFS('2025-Q2'!$E$4:$E$422,'SPDR Chart'!O$3,'2025-Q2'!$F$4:$F$422,'SPDR Chart'!$B69,'2025-Q2'!$D$4:$D$422,"Y")</f>
        <v>0</v>
      </c>
      <c r="P69" s="158">
        <f>COUNTIFS('2025-Q2'!$E$4:$E$422,'SPDR Chart'!P$3,'2025-Q2'!$F$4:$F$422,'SPDR Chart'!$B69,'2025-Q2'!$D$4:$D$422,"Y")</f>
        <v>0</v>
      </c>
      <c r="Q69" s="363">
        <f>COUNTIFS('2025-Q2'!$E$4:$E$422,'SPDR Chart'!Q$3,'2025-Q2'!$F$4:$F$422,'SPDR Chart'!$B69,'2025-Q2'!$D$4:$D$422,"Y")</f>
        <v>0</v>
      </c>
      <c r="R69" s="457">
        <f t="shared" ref="R69:R86" si="6">SUM(C69:Q69)</f>
        <v>0</v>
      </c>
      <c r="S69" s="458">
        <f>SUM($R$4:R69)/SUM($R$4:$R$86)</f>
        <v>0.97687861271676302</v>
      </c>
      <c r="U69" s="366">
        <v>45821</v>
      </c>
      <c r="V69" s="158">
        <f>COUNTIFS('2025-Q2'!$E$4:$E$422,'SPDR Chart'!V$3,'2025-Q2'!$F$4:$F$422,'SPDR Chart'!$B69,'2025-Q2'!$D$4:$D$422,"N")</f>
        <v>0</v>
      </c>
      <c r="W69" s="158">
        <f>COUNTIFS('2025-Q2'!$E$4:$E$422,'SPDR Chart'!W$3,'2025-Q2'!$F$4:$F$422,'SPDR Chart'!$B69,'2025-Q2'!$D$4:$D$422,"N")</f>
        <v>0</v>
      </c>
      <c r="X69" s="158">
        <f>COUNTIFS('2025-Q2'!$E$4:$E$422,'SPDR Chart'!X$3,'2025-Q2'!$F$4:$F$422,'SPDR Chart'!$B69,'2025-Q2'!$D$4:$D$422,"N")</f>
        <v>0</v>
      </c>
      <c r="Y69" s="158">
        <f>COUNTIFS('2025-Q2'!$E$4:$E$422,'SPDR Chart'!Y$3,'2025-Q2'!$F$4:$F$422,'SPDR Chart'!$B69,'2025-Q2'!$D$4:$D$422,"N")</f>
        <v>0</v>
      </c>
      <c r="Z69" s="158">
        <f>COUNTIFS('2025-Q2'!$E$4:$E$422,'SPDR Chart'!Z$3,'2025-Q2'!$F$4:$F$422,'SPDR Chart'!$B69,'2025-Q2'!$D$4:$D$422,"N")</f>
        <v>0</v>
      </c>
      <c r="AA69" s="158">
        <f>COUNTIFS('2025-Q2'!$E$4:$E$422,'SPDR Chart'!AA$3,'2025-Q2'!$F$4:$F$422,'SPDR Chart'!$B69,'2025-Q2'!$D$4:$D$422,"N")</f>
        <v>0</v>
      </c>
      <c r="AB69" s="158">
        <f>COUNTIFS('2025-Q2'!$E$4:$E$422,'SPDR Chart'!AB$3,'2025-Q2'!$F$4:$F$422,'SPDR Chart'!$B69,'2025-Q2'!$D$4:$D$422,"N")</f>
        <v>0</v>
      </c>
      <c r="AC69" s="158">
        <f>COUNTIFS('2025-Q2'!$E$4:$E$422,'SPDR Chart'!AC$3,'2025-Q2'!$F$4:$F$422,'SPDR Chart'!$B69,'2025-Q2'!$D$4:$D$422,"N")</f>
        <v>0</v>
      </c>
      <c r="AD69" s="158">
        <f>COUNTIFS('2025-Q2'!$E$4:$E$422,'SPDR Chart'!AD$3,'2025-Q2'!$F$4:$F$422,'SPDR Chart'!$B69,'2025-Q2'!$D$4:$D$422,"N")</f>
        <v>0</v>
      </c>
      <c r="AE69" s="158">
        <f>COUNTIFS('2025-Q2'!$E$4:$E$422,'SPDR Chart'!AE$3,'2025-Q2'!$F$4:$F$422,'SPDR Chart'!$B69,'2025-Q2'!$D$4:$D$422,"N")</f>
        <v>0</v>
      </c>
      <c r="AF69" s="158">
        <f>COUNTIFS('2025-Q2'!$E$4:$E$422,'SPDR Chart'!AF$3,'2025-Q2'!$F$4:$F$422,'SPDR Chart'!$B69,'2025-Q2'!$D$4:$D$422,"N")</f>
        <v>0</v>
      </c>
      <c r="AG69" s="158">
        <f>COUNTIFS('2025-Q2'!$E$4:$E$422,'SPDR Chart'!AG$3,'2025-Q2'!$F$4:$F$422,'SPDR Chart'!$B69,'2025-Q2'!$D$4:$D$422,"N")</f>
        <v>0</v>
      </c>
      <c r="AH69" s="158">
        <f>COUNTIFS('2025-Q2'!$E$4:$E$422,'SPDR Chart'!AH$3,'2025-Q2'!$F$4:$F$422,'SPDR Chart'!$B69,'2025-Q2'!$D$4:$D$422,"N")</f>
        <v>0</v>
      </c>
      <c r="AI69" s="158">
        <f>COUNTIFS('2025-Q2'!$E$4:$E$422,'SPDR Chart'!AI$3,'2025-Q2'!$F$4:$F$422,'SPDR Chart'!$B69,'2025-Q2'!$D$4:$D$422,"N")</f>
        <v>0</v>
      </c>
      <c r="AJ69" s="363">
        <f>COUNTIFS('2025-Q2'!$E$4:$E$422,'SPDR Chart'!AJ$3,'2025-Q2'!$F$4:$F$422,'SPDR Chart'!$B69,'2025-Q2'!$D$4:$D$422,"N")</f>
        <v>0</v>
      </c>
      <c r="AK69" s="457">
        <f t="shared" ref="AK69:AK86" si="7">SUM(V69:AJ69)</f>
        <v>0</v>
      </c>
      <c r="AL69" s="458">
        <f>SUM($AK$4:AK69)/SUM($AK$4:$AK$86)</f>
        <v>0.9850746268656716</v>
      </c>
    </row>
    <row r="70" spans="2:38" x14ac:dyDescent="0.25">
      <c r="B70" s="366">
        <v>45822</v>
      </c>
      <c r="C70" s="158">
        <f>COUNTIFS('2025-Q2'!$E$4:$E$422,'SPDR Chart'!C$3,'2025-Q2'!$F$4:$F$422,'SPDR Chart'!$B70,'2025-Q2'!$D$4:$D$422,"Y")</f>
        <v>0</v>
      </c>
      <c r="D70" s="158">
        <f>COUNTIFS('2025-Q2'!$E$4:$E$422,'SPDR Chart'!D$3,'2025-Q2'!$F$4:$F$422,'SPDR Chart'!$B70,'2025-Q2'!$D$4:$D$422,"Y")</f>
        <v>0</v>
      </c>
      <c r="E70" s="158">
        <f>COUNTIFS('2025-Q2'!$E$4:$E$422,'SPDR Chart'!E$3,'2025-Q2'!$F$4:$F$422,'SPDR Chart'!$B70,'2025-Q2'!$D$4:$D$422,"Y")</f>
        <v>0</v>
      </c>
      <c r="F70" s="158">
        <f>COUNTIFS('2025-Q2'!$E$4:$E$422,'SPDR Chart'!F$3,'2025-Q2'!$F$4:$F$422,'SPDR Chart'!$B70,'2025-Q2'!$D$4:$D$422,"Y")</f>
        <v>0</v>
      </c>
      <c r="G70" s="158">
        <f>COUNTIFS('2025-Q2'!$E$4:$E$422,'SPDR Chart'!G$3,'2025-Q2'!$F$4:$F$422,'SPDR Chart'!$B70,'2025-Q2'!$D$4:$D$422,"Y")</f>
        <v>0</v>
      </c>
      <c r="H70" s="158">
        <f>COUNTIFS('2025-Q2'!$E$4:$E$422,'SPDR Chart'!H$3,'2025-Q2'!$F$4:$F$422,'SPDR Chart'!$B70,'2025-Q2'!$D$4:$D$422,"Y")</f>
        <v>0</v>
      </c>
      <c r="I70" s="158">
        <f>COUNTIFS('2025-Q2'!$E$4:$E$422,'SPDR Chart'!I$3,'2025-Q2'!$F$4:$F$422,'SPDR Chart'!$B70,'2025-Q2'!$D$4:$D$422,"Y")</f>
        <v>0</v>
      </c>
      <c r="J70" s="158">
        <f>COUNTIFS('2025-Q2'!$E$4:$E$422,'SPDR Chart'!J$3,'2025-Q2'!$F$4:$F$422,'SPDR Chart'!$B70,'2025-Q2'!$D$4:$D$422,"Y")</f>
        <v>0</v>
      </c>
      <c r="K70" s="158">
        <f>COUNTIFS('2025-Q2'!$E$4:$E$422,'SPDR Chart'!K$3,'2025-Q2'!$F$4:$F$422,'SPDR Chart'!$B70,'2025-Q2'!$D$4:$D$422,"Y")</f>
        <v>0</v>
      </c>
      <c r="L70" s="158">
        <f>COUNTIFS('2025-Q2'!$E$4:$E$422,'SPDR Chart'!L$3,'2025-Q2'!$F$4:$F$422,'SPDR Chart'!$B70,'2025-Q2'!$D$4:$D$422,"Y")</f>
        <v>0</v>
      </c>
      <c r="M70" s="158">
        <f>COUNTIFS('2025-Q2'!$E$4:$E$422,'SPDR Chart'!M$3,'2025-Q2'!$F$4:$F$422,'SPDR Chart'!$B70,'2025-Q2'!$D$4:$D$422,"Y")</f>
        <v>0</v>
      </c>
      <c r="N70" s="158">
        <f>COUNTIFS('2025-Q2'!$E$4:$E$422,'SPDR Chart'!N$3,'2025-Q2'!$F$4:$F$422,'SPDR Chart'!$B70,'2025-Q2'!$D$4:$D$422,"Y")</f>
        <v>0</v>
      </c>
      <c r="O70" s="158">
        <f>COUNTIFS('2025-Q2'!$E$4:$E$422,'SPDR Chart'!O$3,'2025-Q2'!$F$4:$F$422,'SPDR Chart'!$B70,'2025-Q2'!$D$4:$D$422,"Y")</f>
        <v>0</v>
      </c>
      <c r="P70" s="158">
        <f>COUNTIFS('2025-Q2'!$E$4:$E$422,'SPDR Chart'!P$3,'2025-Q2'!$F$4:$F$422,'SPDR Chart'!$B70,'2025-Q2'!$D$4:$D$422,"Y")</f>
        <v>0</v>
      </c>
      <c r="Q70" s="363">
        <f>COUNTIFS('2025-Q2'!$E$4:$E$422,'SPDR Chart'!Q$3,'2025-Q2'!$F$4:$F$422,'SPDR Chart'!$B70,'2025-Q2'!$D$4:$D$422,"Y")</f>
        <v>0</v>
      </c>
      <c r="R70" s="457">
        <f t="shared" si="6"/>
        <v>0</v>
      </c>
      <c r="S70" s="458">
        <f>SUM($R$4:R70)/SUM($R$4:$R$86)</f>
        <v>0.97687861271676302</v>
      </c>
      <c r="U70" s="366">
        <v>45822</v>
      </c>
      <c r="V70" s="158">
        <f>COUNTIFS('2025-Q2'!$E$4:$E$422,'SPDR Chart'!V$3,'2025-Q2'!$F$4:$F$422,'SPDR Chart'!$B70,'2025-Q2'!$D$4:$D$422,"N")</f>
        <v>0</v>
      </c>
      <c r="W70" s="158">
        <f>COUNTIFS('2025-Q2'!$E$4:$E$422,'SPDR Chart'!W$3,'2025-Q2'!$F$4:$F$422,'SPDR Chart'!$B70,'2025-Q2'!$D$4:$D$422,"N")</f>
        <v>0</v>
      </c>
      <c r="X70" s="158">
        <f>COUNTIFS('2025-Q2'!$E$4:$E$422,'SPDR Chart'!X$3,'2025-Q2'!$F$4:$F$422,'SPDR Chart'!$B70,'2025-Q2'!$D$4:$D$422,"N")</f>
        <v>0</v>
      </c>
      <c r="Y70" s="158">
        <f>COUNTIFS('2025-Q2'!$E$4:$E$422,'SPDR Chart'!Y$3,'2025-Q2'!$F$4:$F$422,'SPDR Chart'!$B70,'2025-Q2'!$D$4:$D$422,"N")</f>
        <v>0</v>
      </c>
      <c r="Z70" s="158">
        <f>COUNTIFS('2025-Q2'!$E$4:$E$422,'SPDR Chart'!Z$3,'2025-Q2'!$F$4:$F$422,'SPDR Chart'!$B70,'2025-Q2'!$D$4:$D$422,"N")</f>
        <v>0</v>
      </c>
      <c r="AA70" s="158">
        <f>COUNTIFS('2025-Q2'!$E$4:$E$422,'SPDR Chart'!AA$3,'2025-Q2'!$F$4:$F$422,'SPDR Chart'!$B70,'2025-Q2'!$D$4:$D$422,"N")</f>
        <v>0</v>
      </c>
      <c r="AB70" s="158">
        <f>COUNTIFS('2025-Q2'!$E$4:$E$422,'SPDR Chart'!AB$3,'2025-Q2'!$F$4:$F$422,'SPDR Chart'!$B70,'2025-Q2'!$D$4:$D$422,"N")</f>
        <v>0</v>
      </c>
      <c r="AC70" s="158">
        <f>COUNTIFS('2025-Q2'!$E$4:$E$422,'SPDR Chart'!AC$3,'2025-Q2'!$F$4:$F$422,'SPDR Chart'!$B70,'2025-Q2'!$D$4:$D$422,"N")</f>
        <v>0</v>
      </c>
      <c r="AD70" s="158">
        <f>COUNTIFS('2025-Q2'!$E$4:$E$422,'SPDR Chart'!AD$3,'2025-Q2'!$F$4:$F$422,'SPDR Chart'!$B70,'2025-Q2'!$D$4:$D$422,"N")</f>
        <v>0</v>
      </c>
      <c r="AE70" s="158">
        <f>COUNTIFS('2025-Q2'!$E$4:$E$422,'SPDR Chart'!AE$3,'2025-Q2'!$F$4:$F$422,'SPDR Chart'!$B70,'2025-Q2'!$D$4:$D$422,"N")</f>
        <v>0</v>
      </c>
      <c r="AF70" s="158">
        <f>COUNTIFS('2025-Q2'!$E$4:$E$422,'SPDR Chart'!AF$3,'2025-Q2'!$F$4:$F$422,'SPDR Chart'!$B70,'2025-Q2'!$D$4:$D$422,"N")</f>
        <v>0</v>
      </c>
      <c r="AG70" s="158">
        <f>COUNTIFS('2025-Q2'!$E$4:$E$422,'SPDR Chart'!AG$3,'2025-Q2'!$F$4:$F$422,'SPDR Chart'!$B70,'2025-Q2'!$D$4:$D$422,"N")</f>
        <v>0</v>
      </c>
      <c r="AH70" s="158">
        <f>COUNTIFS('2025-Q2'!$E$4:$E$422,'SPDR Chart'!AH$3,'2025-Q2'!$F$4:$F$422,'SPDR Chart'!$B70,'2025-Q2'!$D$4:$D$422,"N")</f>
        <v>0</v>
      </c>
      <c r="AI70" s="158">
        <f>COUNTIFS('2025-Q2'!$E$4:$E$422,'SPDR Chart'!AI$3,'2025-Q2'!$F$4:$F$422,'SPDR Chart'!$B70,'2025-Q2'!$D$4:$D$422,"N")</f>
        <v>0</v>
      </c>
      <c r="AJ70" s="363">
        <f>COUNTIFS('2025-Q2'!$E$4:$E$422,'SPDR Chart'!AJ$3,'2025-Q2'!$F$4:$F$422,'SPDR Chart'!$B70,'2025-Q2'!$D$4:$D$422,"N")</f>
        <v>0</v>
      </c>
      <c r="AK70" s="457">
        <f t="shared" si="7"/>
        <v>0</v>
      </c>
      <c r="AL70" s="458">
        <f>SUM($AK$4:AK70)/SUM($AK$4:$AK$86)</f>
        <v>0.9850746268656716</v>
      </c>
    </row>
    <row r="71" spans="2:38" x14ac:dyDescent="0.25">
      <c r="B71" s="366">
        <v>45823</v>
      </c>
      <c r="C71" s="158">
        <f>COUNTIFS('2025-Q2'!$E$4:$E$422,'SPDR Chart'!C$3,'2025-Q2'!$F$4:$F$422,'SPDR Chart'!$B71,'2025-Q2'!$D$4:$D$422,"Y")</f>
        <v>0</v>
      </c>
      <c r="D71" s="158">
        <f>COUNTIFS('2025-Q2'!$E$4:$E$422,'SPDR Chart'!D$3,'2025-Q2'!$F$4:$F$422,'SPDR Chart'!$B71,'2025-Q2'!$D$4:$D$422,"Y")</f>
        <v>0</v>
      </c>
      <c r="E71" s="158">
        <f>COUNTIFS('2025-Q2'!$E$4:$E$422,'SPDR Chart'!E$3,'2025-Q2'!$F$4:$F$422,'SPDR Chart'!$B71,'2025-Q2'!$D$4:$D$422,"Y")</f>
        <v>0</v>
      </c>
      <c r="F71" s="158">
        <f>COUNTIFS('2025-Q2'!$E$4:$E$422,'SPDR Chart'!F$3,'2025-Q2'!$F$4:$F$422,'SPDR Chart'!$B71,'2025-Q2'!$D$4:$D$422,"Y")</f>
        <v>0</v>
      </c>
      <c r="G71" s="158">
        <f>COUNTIFS('2025-Q2'!$E$4:$E$422,'SPDR Chart'!G$3,'2025-Q2'!$F$4:$F$422,'SPDR Chart'!$B71,'2025-Q2'!$D$4:$D$422,"Y")</f>
        <v>0</v>
      </c>
      <c r="H71" s="158">
        <f>COUNTIFS('2025-Q2'!$E$4:$E$422,'SPDR Chart'!H$3,'2025-Q2'!$F$4:$F$422,'SPDR Chart'!$B71,'2025-Q2'!$D$4:$D$422,"Y")</f>
        <v>0</v>
      </c>
      <c r="I71" s="158">
        <f>COUNTIFS('2025-Q2'!$E$4:$E$422,'SPDR Chart'!I$3,'2025-Q2'!$F$4:$F$422,'SPDR Chart'!$B71,'2025-Q2'!$D$4:$D$422,"Y")</f>
        <v>0</v>
      </c>
      <c r="J71" s="158">
        <f>COUNTIFS('2025-Q2'!$E$4:$E$422,'SPDR Chart'!J$3,'2025-Q2'!$F$4:$F$422,'SPDR Chart'!$B71,'2025-Q2'!$D$4:$D$422,"Y")</f>
        <v>0</v>
      </c>
      <c r="K71" s="158">
        <f>COUNTIFS('2025-Q2'!$E$4:$E$422,'SPDR Chart'!K$3,'2025-Q2'!$F$4:$F$422,'SPDR Chart'!$B71,'2025-Q2'!$D$4:$D$422,"Y")</f>
        <v>0</v>
      </c>
      <c r="L71" s="158">
        <f>COUNTIFS('2025-Q2'!$E$4:$E$422,'SPDR Chart'!L$3,'2025-Q2'!$F$4:$F$422,'SPDR Chart'!$B71,'2025-Q2'!$D$4:$D$422,"Y")</f>
        <v>0</v>
      </c>
      <c r="M71" s="158">
        <f>COUNTIFS('2025-Q2'!$E$4:$E$422,'SPDR Chart'!M$3,'2025-Q2'!$F$4:$F$422,'SPDR Chart'!$B71,'2025-Q2'!$D$4:$D$422,"Y")</f>
        <v>0</v>
      </c>
      <c r="N71" s="158">
        <f>COUNTIFS('2025-Q2'!$E$4:$E$422,'SPDR Chart'!N$3,'2025-Q2'!$F$4:$F$422,'SPDR Chart'!$B71,'2025-Q2'!$D$4:$D$422,"Y")</f>
        <v>0</v>
      </c>
      <c r="O71" s="158">
        <f>COUNTIFS('2025-Q2'!$E$4:$E$422,'SPDR Chart'!O$3,'2025-Q2'!$F$4:$F$422,'SPDR Chart'!$B71,'2025-Q2'!$D$4:$D$422,"Y")</f>
        <v>0</v>
      </c>
      <c r="P71" s="158">
        <f>COUNTIFS('2025-Q2'!$E$4:$E$422,'SPDR Chart'!P$3,'2025-Q2'!$F$4:$F$422,'SPDR Chart'!$B71,'2025-Q2'!$D$4:$D$422,"Y")</f>
        <v>0</v>
      </c>
      <c r="Q71" s="363">
        <f>COUNTIFS('2025-Q2'!$E$4:$E$422,'SPDR Chart'!Q$3,'2025-Q2'!$F$4:$F$422,'SPDR Chart'!$B71,'2025-Q2'!$D$4:$D$422,"Y")</f>
        <v>0</v>
      </c>
      <c r="R71" s="457">
        <f t="shared" si="6"/>
        <v>0</v>
      </c>
      <c r="S71" s="458">
        <f>SUM($R$4:R71)/SUM($R$4:$R$86)</f>
        <v>0.97687861271676302</v>
      </c>
      <c r="U71" s="366">
        <v>45823</v>
      </c>
      <c r="V71" s="158">
        <f>COUNTIFS('2025-Q2'!$E$4:$E$422,'SPDR Chart'!V$3,'2025-Q2'!$F$4:$F$422,'SPDR Chart'!$B71,'2025-Q2'!$D$4:$D$422,"N")</f>
        <v>0</v>
      </c>
      <c r="W71" s="158">
        <f>COUNTIFS('2025-Q2'!$E$4:$E$422,'SPDR Chart'!W$3,'2025-Q2'!$F$4:$F$422,'SPDR Chart'!$B71,'2025-Q2'!$D$4:$D$422,"N")</f>
        <v>0</v>
      </c>
      <c r="X71" s="158">
        <f>COUNTIFS('2025-Q2'!$E$4:$E$422,'SPDR Chart'!X$3,'2025-Q2'!$F$4:$F$422,'SPDR Chart'!$B71,'2025-Q2'!$D$4:$D$422,"N")</f>
        <v>0</v>
      </c>
      <c r="Y71" s="158">
        <f>COUNTIFS('2025-Q2'!$E$4:$E$422,'SPDR Chart'!Y$3,'2025-Q2'!$F$4:$F$422,'SPDR Chart'!$B71,'2025-Q2'!$D$4:$D$422,"N")</f>
        <v>0</v>
      </c>
      <c r="Z71" s="158">
        <f>COUNTIFS('2025-Q2'!$E$4:$E$422,'SPDR Chart'!Z$3,'2025-Q2'!$F$4:$F$422,'SPDR Chart'!$B71,'2025-Q2'!$D$4:$D$422,"N")</f>
        <v>0</v>
      </c>
      <c r="AA71" s="158">
        <f>COUNTIFS('2025-Q2'!$E$4:$E$422,'SPDR Chart'!AA$3,'2025-Q2'!$F$4:$F$422,'SPDR Chart'!$B71,'2025-Q2'!$D$4:$D$422,"N")</f>
        <v>0</v>
      </c>
      <c r="AB71" s="158">
        <f>COUNTIFS('2025-Q2'!$E$4:$E$422,'SPDR Chart'!AB$3,'2025-Q2'!$F$4:$F$422,'SPDR Chart'!$B71,'2025-Q2'!$D$4:$D$422,"N")</f>
        <v>0</v>
      </c>
      <c r="AC71" s="158">
        <f>COUNTIFS('2025-Q2'!$E$4:$E$422,'SPDR Chart'!AC$3,'2025-Q2'!$F$4:$F$422,'SPDR Chart'!$B71,'2025-Q2'!$D$4:$D$422,"N")</f>
        <v>0</v>
      </c>
      <c r="AD71" s="158">
        <f>COUNTIFS('2025-Q2'!$E$4:$E$422,'SPDR Chart'!AD$3,'2025-Q2'!$F$4:$F$422,'SPDR Chart'!$B71,'2025-Q2'!$D$4:$D$422,"N")</f>
        <v>0</v>
      </c>
      <c r="AE71" s="158">
        <f>COUNTIFS('2025-Q2'!$E$4:$E$422,'SPDR Chart'!AE$3,'2025-Q2'!$F$4:$F$422,'SPDR Chart'!$B71,'2025-Q2'!$D$4:$D$422,"N")</f>
        <v>0</v>
      </c>
      <c r="AF71" s="158">
        <f>COUNTIFS('2025-Q2'!$E$4:$E$422,'SPDR Chart'!AF$3,'2025-Q2'!$F$4:$F$422,'SPDR Chart'!$B71,'2025-Q2'!$D$4:$D$422,"N")</f>
        <v>0</v>
      </c>
      <c r="AG71" s="158">
        <f>COUNTIFS('2025-Q2'!$E$4:$E$422,'SPDR Chart'!AG$3,'2025-Q2'!$F$4:$F$422,'SPDR Chart'!$B71,'2025-Q2'!$D$4:$D$422,"N")</f>
        <v>0</v>
      </c>
      <c r="AH71" s="158">
        <f>COUNTIFS('2025-Q2'!$E$4:$E$422,'SPDR Chart'!AH$3,'2025-Q2'!$F$4:$F$422,'SPDR Chart'!$B71,'2025-Q2'!$D$4:$D$422,"N")</f>
        <v>0</v>
      </c>
      <c r="AI71" s="158">
        <f>COUNTIFS('2025-Q2'!$E$4:$E$422,'SPDR Chart'!AI$3,'2025-Q2'!$F$4:$F$422,'SPDR Chart'!$B71,'2025-Q2'!$D$4:$D$422,"N")</f>
        <v>0</v>
      </c>
      <c r="AJ71" s="363">
        <f>COUNTIFS('2025-Q2'!$E$4:$E$422,'SPDR Chart'!AJ$3,'2025-Q2'!$F$4:$F$422,'SPDR Chart'!$B71,'2025-Q2'!$D$4:$D$422,"N")</f>
        <v>0</v>
      </c>
      <c r="AK71" s="457">
        <f t="shared" si="7"/>
        <v>0</v>
      </c>
      <c r="AL71" s="458">
        <f>SUM($AK$4:AK71)/SUM($AK$4:$AK$86)</f>
        <v>0.9850746268656716</v>
      </c>
    </row>
    <row r="72" spans="2:38" x14ac:dyDescent="0.25">
      <c r="B72" s="366">
        <v>45824</v>
      </c>
      <c r="C72" s="158">
        <f>COUNTIFS('2025-Q2'!$E$4:$E$422,'SPDR Chart'!C$3,'2025-Q2'!$F$4:$F$422,'SPDR Chart'!$B72,'2025-Q2'!$D$4:$D$422,"Y")</f>
        <v>0</v>
      </c>
      <c r="D72" s="158">
        <f>COUNTIFS('2025-Q2'!$E$4:$E$422,'SPDR Chart'!D$3,'2025-Q2'!$F$4:$F$422,'SPDR Chart'!$B72,'2025-Q2'!$D$4:$D$422,"Y")</f>
        <v>0</v>
      </c>
      <c r="E72" s="158">
        <f>COUNTIFS('2025-Q2'!$E$4:$E$422,'SPDR Chart'!E$3,'2025-Q2'!$F$4:$F$422,'SPDR Chart'!$B72,'2025-Q2'!$D$4:$D$422,"Y")</f>
        <v>1</v>
      </c>
      <c r="F72" s="158">
        <f>COUNTIFS('2025-Q2'!$E$4:$E$422,'SPDR Chart'!F$3,'2025-Q2'!$F$4:$F$422,'SPDR Chart'!$B72,'2025-Q2'!$D$4:$D$422,"Y")</f>
        <v>0</v>
      </c>
      <c r="G72" s="158">
        <f>COUNTIFS('2025-Q2'!$E$4:$E$422,'SPDR Chart'!G$3,'2025-Q2'!$F$4:$F$422,'SPDR Chart'!$B72,'2025-Q2'!$D$4:$D$422,"Y")</f>
        <v>0</v>
      </c>
      <c r="H72" s="158">
        <f>COUNTIFS('2025-Q2'!$E$4:$E$422,'SPDR Chart'!H$3,'2025-Q2'!$F$4:$F$422,'SPDR Chart'!$B72,'2025-Q2'!$D$4:$D$422,"Y")</f>
        <v>0</v>
      </c>
      <c r="I72" s="158">
        <f>COUNTIFS('2025-Q2'!$E$4:$E$422,'SPDR Chart'!I$3,'2025-Q2'!$F$4:$F$422,'SPDR Chart'!$B72,'2025-Q2'!$D$4:$D$422,"Y")</f>
        <v>0</v>
      </c>
      <c r="J72" s="158">
        <f>COUNTIFS('2025-Q2'!$E$4:$E$422,'SPDR Chart'!J$3,'2025-Q2'!$F$4:$F$422,'SPDR Chart'!$B72,'2025-Q2'!$D$4:$D$422,"Y")</f>
        <v>0</v>
      </c>
      <c r="K72" s="158">
        <f>COUNTIFS('2025-Q2'!$E$4:$E$422,'SPDR Chart'!K$3,'2025-Q2'!$F$4:$F$422,'SPDR Chart'!$B72,'2025-Q2'!$D$4:$D$422,"Y")</f>
        <v>0</v>
      </c>
      <c r="L72" s="158">
        <f>COUNTIFS('2025-Q2'!$E$4:$E$422,'SPDR Chart'!L$3,'2025-Q2'!$F$4:$F$422,'SPDR Chart'!$B72,'2025-Q2'!$D$4:$D$422,"Y")</f>
        <v>0</v>
      </c>
      <c r="M72" s="158">
        <f>COUNTIFS('2025-Q2'!$E$4:$E$422,'SPDR Chart'!M$3,'2025-Q2'!$F$4:$F$422,'SPDR Chart'!$B72,'2025-Q2'!$D$4:$D$422,"Y")</f>
        <v>0</v>
      </c>
      <c r="N72" s="158">
        <f>COUNTIFS('2025-Q2'!$E$4:$E$422,'SPDR Chart'!N$3,'2025-Q2'!$F$4:$F$422,'SPDR Chart'!$B72,'2025-Q2'!$D$4:$D$422,"Y")</f>
        <v>0</v>
      </c>
      <c r="O72" s="158">
        <f>COUNTIFS('2025-Q2'!$E$4:$E$422,'SPDR Chart'!O$3,'2025-Q2'!$F$4:$F$422,'SPDR Chart'!$B72,'2025-Q2'!$D$4:$D$422,"Y")</f>
        <v>0</v>
      </c>
      <c r="P72" s="158">
        <f>COUNTIFS('2025-Q2'!$E$4:$E$422,'SPDR Chart'!P$3,'2025-Q2'!$F$4:$F$422,'SPDR Chart'!$B72,'2025-Q2'!$D$4:$D$422,"Y")</f>
        <v>0</v>
      </c>
      <c r="Q72" s="363">
        <f>COUNTIFS('2025-Q2'!$E$4:$E$422,'SPDR Chart'!Q$3,'2025-Q2'!$F$4:$F$422,'SPDR Chart'!$B72,'2025-Q2'!$D$4:$D$422,"Y")</f>
        <v>0</v>
      </c>
      <c r="R72" s="457">
        <f t="shared" si="6"/>
        <v>1</v>
      </c>
      <c r="S72" s="458">
        <f>SUM($R$4:R72)/SUM($R$4:$R$86)</f>
        <v>0.97976878612716767</v>
      </c>
      <c r="U72" s="366">
        <v>45824</v>
      </c>
      <c r="V72" s="158">
        <f>COUNTIFS('2025-Q2'!$E$4:$E$422,'SPDR Chart'!V$3,'2025-Q2'!$F$4:$F$422,'SPDR Chart'!$B72,'2025-Q2'!$D$4:$D$422,"N")</f>
        <v>0</v>
      </c>
      <c r="W72" s="158">
        <f>COUNTIFS('2025-Q2'!$E$4:$E$422,'SPDR Chart'!W$3,'2025-Q2'!$F$4:$F$422,'SPDR Chart'!$B72,'2025-Q2'!$D$4:$D$422,"N")</f>
        <v>0</v>
      </c>
      <c r="X72" s="158">
        <f>COUNTIFS('2025-Q2'!$E$4:$E$422,'SPDR Chart'!X$3,'2025-Q2'!$F$4:$F$422,'SPDR Chart'!$B72,'2025-Q2'!$D$4:$D$422,"N")</f>
        <v>0</v>
      </c>
      <c r="Y72" s="158">
        <f>COUNTIFS('2025-Q2'!$E$4:$E$422,'SPDR Chart'!Y$3,'2025-Q2'!$F$4:$F$422,'SPDR Chart'!$B72,'2025-Q2'!$D$4:$D$422,"N")</f>
        <v>0</v>
      </c>
      <c r="Z72" s="158">
        <f>COUNTIFS('2025-Q2'!$E$4:$E$422,'SPDR Chart'!Z$3,'2025-Q2'!$F$4:$F$422,'SPDR Chart'!$B72,'2025-Q2'!$D$4:$D$422,"N")</f>
        <v>0</v>
      </c>
      <c r="AA72" s="158">
        <f>COUNTIFS('2025-Q2'!$E$4:$E$422,'SPDR Chart'!AA$3,'2025-Q2'!$F$4:$F$422,'SPDR Chart'!$B72,'2025-Q2'!$D$4:$D$422,"N")</f>
        <v>0</v>
      </c>
      <c r="AB72" s="158">
        <f>COUNTIFS('2025-Q2'!$E$4:$E$422,'SPDR Chart'!AB$3,'2025-Q2'!$F$4:$F$422,'SPDR Chart'!$B72,'2025-Q2'!$D$4:$D$422,"N")</f>
        <v>0</v>
      </c>
      <c r="AC72" s="158">
        <f>COUNTIFS('2025-Q2'!$E$4:$E$422,'SPDR Chart'!AC$3,'2025-Q2'!$F$4:$F$422,'SPDR Chart'!$B72,'2025-Q2'!$D$4:$D$422,"N")</f>
        <v>0</v>
      </c>
      <c r="AD72" s="158">
        <f>COUNTIFS('2025-Q2'!$E$4:$E$422,'SPDR Chart'!AD$3,'2025-Q2'!$F$4:$F$422,'SPDR Chart'!$B72,'2025-Q2'!$D$4:$D$422,"N")</f>
        <v>0</v>
      </c>
      <c r="AE72" s="158">
        <f>COUNTIFS('2025-Q2'!$E$4:$E$422,'SPDR Chart'!AE$3,'2025-Q2'!$F$4:$F$422,'SPDR Chart'!$B72,'2025-Q2'!$D$4:$D$422,"N")</f>
        <v>0</v>
      </c>
      <c r="AF72" s="158">
        <f>COUNTIFS('2025-Q2'!$E$4:$E$422,'SPDR Chart'!AF$3,'2025-Q2'!$F$4:$F$422,'SPDR Chart'!$B72,'2025-Q2'!$D$4:$D$422,"N")</f>
        <v>0</v>
      </c>
      <c r="AG72" s="158">
        <f>COUNTIFS('2025-Q2'!$E$4:$E$422,'SPDR Chart'!AG$3,'2025-Q2'!$F$4:$F$422,'SPDR Chart'!$B72,'2025-Q2'!$D$4:$D$422,"N")</f>
        <v>0</v>
      </c>
      <c r="AH72" s="158">
        <f>COUNTIFS('2025-Q2'!$E$4:$E$422,'SPDR Chart'!AH$3,'2025-Q2'!$F$4:$F$422,'SPDR Chart'!$B72,'2025-Q2'!$D$4:$D$422,"N")</f>
        <v>0</v>
      </c>
      <c r="AI72" s="158">
        <f>COUNTIFS('2025-Q2'!$E$4:$E$422,'SPDR Chart'!AI$3,'2025-Q2'!$F$4:$F$422,'SPDR Chart'!$B72,'2025-Q2'!$D$4:$D$422,"N")</f>
        <v>0</v>
      </c>
      <c r="AJ72" s="363">
        <f>COUNTIFS('2025-Q2'!$E$4:$E$422,'SPDR Chart'!AJ$3,'2025-Q2'!$F$4:$F$422,'SPDR Chart'!$B72,'2025-Q2'!$D$4:$D$422,"N")</f>
        <v>0</v>
      </c>
      <c r="AK72" s="457">
        <f t="shared" si="7"/>
        <v>0</v>
      </c>
      <c r="AL72" s="458">
        <f>SUM($AK$4:AK72)/SUM($AK$4:$AK$86)</f>
        <v>0.9850746268656716</v>
      </c>
    </row>
    <row r="73" spans="2:38" x14ac:dyDescent="0.25">
      <c r="B73" s="366">
        <v>45825</v>
      </c>
      <c r="C73" s="158">
        <f>COUNTIFS('2025-Q2'!$E$4:$E$422,'SPDR Chart'!C$3,'2025-Q2'!$F$4:$F$422,'SPDR Chart'!$B73,'2025-Q2'!$D$4:$D$422,"Y")</f>
        <v>0</v>
      </c>
      <c r="D73" s="158">
        <f>COUNTIFS('2025-Q2'!$E$4:$E$422,'SPDR Chart'!D$3,'2025-Q2'!$F$4:$F$422,'SPDR Chart'!$B73,'2025-Q2'!$D$4:$D$422,"Y")</f>
        <v>0</v>
      </c>
      <c r="E73" s="158">
        <f>COUNTIFS('2025-Q2'!$E$4:$E$422,'SPDR Chart'!E$3,'2025-Q2'!$F$4:$F$422,'SPDR Chart'!$B73,'2025-Q2'!$D$4:$D$422,"Y")</f>
        <v>0</v>
      </c>
      <c r="F73" s="158">
        <f>COUNTIFS('2025-Q2'!$E$4:$E$422,'SPDR Chart'!F$3,'2025-Q2'!$F$4:$F$422,'SPDR Chart'!$B73,'2025-Q2'!$D$4:$D$422,"Y")</f>
        <v>0</v>
      </c>
      <c r="G73" s="158">
        <f>COUNTIFS('2025-Q2'!$E$4:$E$422,'SPDR Chart'!G$3,'2025-Q2'!$F$4:$F$422,'SPDR Chart'!$B73,'2025-Q2'!$D$4:$D$422,"Y")</f>
        <v>0</v>
      </c>
      <c r="H73" s="158">
        <f>COUNTIFS('2025-Q2'!$E$4:$E$422,'SPDR Chart'!H$3,'2025-Q2'!$F$4:$F$422,'SPDR Chart'!$B73,'2025-Q2'!$D$4:$D$422,"Y")</f>
        <v>0</v>
      </c>
      <c r="I73" s="158">
        <f>COUNTIFS('2025-Q2'!$E$4:$E$422,'SPDR Chart'!I$3,'2025-Q2'!$F$4:$F$422,'SPDR Chart'!$B73,'2025-Q2'!$D$4:$D$422,"Y")</f>
        <v>0</v>
      </c>
      <c r="J73" s="158">
        <f>COUNTIFS('2025-Q2'!$E$4:$E$422,'SPDR Chart'!J$3,'2025-Q2'!$F$4:$F$422,'SPDR Chart'!$B73,'2025-Q2'!$D$4:$D$422,"Y")</f>
        <v>0</v>
      </c>
      <c r="K73" s="158">
        <f>COUNTIFS('2025-Q2'!$E$4:$E$422,'SPDR Chart'!K$3,'2025-Q2'!$F$4:$F$422,'SPDR Chart'!$B73,'2025-Q2'!$D$4:$D$422,"Y")</f>
        <v>0</v>
      </c>
      <c r="L73" s="158">
        <f>COUNTIFS('2025-Q2'!$E$4:$E$422,'SPDR Chart'!L$3,'2025-Q2'!$F$4:$F$422,'SPDR Chart'!$B73,'2025-Q2'!$D$4:$D$422,"Y")</f>
        <v>1</v>
      </c>
      <c r="M73" s="158">
        <f>COUNTIFS('2025-Q2'!$E$4:$E$422,'SPDR Chart'!M$3,'2025-Q2'!$F$4:$F$422,'SPDR Chart'!$B73,'2025-Q2'!$D$4:$D$422,"Y")</f>
        <v>0</v>
      </c>
      <c r="N73" s="158">
        <f>COUNTIFS('2025-Q2'!$E$4:$E$422,'SPDR Chart'!N$3,'2025-Q2'!$F$4:$F$422,'SPDR Chart'!$B73,'2025-Q2'!$D$4:$D$422,"Y")</f>
        <v>0</v>
      </c>
      <c r="O73" s="158">
        <f>COUNTIFS('2025-Q2'!$E$4:$E$422,'SPDR Chart'!O$3,'2025-Q2'!$F$4:$F$422,'SPDR Chart'!$B73,'2025-Q2'!$D$4:$D$422,"Y")</f>
        <v>0</v>
      </c>
      <c r="P73" s="158">
        <f>COUNTIFS('2025-Q2'!$E$4:$E$422,'SPDR Chart'!P$3,'2025-Q2'!$F$4:$F$422,'SPDR Chart'!$B73,'2025-Q2'!$D$4:$D$422,"Y")</f>
        <v>0</v>
      </c>
      <c r="Q73" s="363">
        <f>COUNTIFS('2025-Q2'!$E$4:$E$422,'SPDR Chart'!Q$3,'2025-Q2'!$F$4:$F$422,'SPDR Chart'!$B73,'2025-Q2'!$D$4:$D$422,"Y")</f>
        <v>0</v>
      </c>
      <c r="R73" s="457">
        <f t="shared" si="6"/>
        <v>1</v>
      </c>
      <c r="S73" s="458">
        <f>SUM($R$4:R73)/SUM($R$4:$R$86)</f>
        <v>0.98265895953757221</v>
      </c>
      <c r="U73" s="366">
        <v>45825</v>
      </c>
      <c r="V73" s="158">
        <f>COUNTIFS('2025-Q2'!$E$4:$E$422,'SPDR Chart'!V$3,'2025-Q2'!$F$4:$F$422,'SPDR Chart'!$B73,'2025-Q2'!$D$4:$D$422,"N")</f>
        <v>0</v>
      </c>
      <c r="W73" s="158">
        <f>COUNTIFS('2025-Q2'!$E$4:$E$422,'SPDR Chart'!W$3,'2025-Q2'!$F$4:$F$422,'SPDR Chart'!$B73,'2025-Q2'!$D$4:$D$422,"N")</f>
        <v>0</v>
      </c>
      <c r="X73" s="158">
        <f>COUNTIFS('2025-Q2'!$E$4:$E$422,'SPDR Chart'!X$3,'2025-Q2'!$F$4:$F$422,'SPDR Chart'!$B73,'2025-Q2'!$D$4:$D$422,"N")</f>
        <v>0</v>
      </c>
      <c r="Y73" s="158">
        <f>COUNTIFS('2025-Q2'!$E$4:$E$422,'SPDR Chart'!Y$3,'2025-Q2'!$F$4:$F$422,'SPDR Chart'!$B73,'2025-Q2'!$D$4:$D$422,"N")</f>
        <v>0</v>
      </c>
      <c r="Z73" s="158">
        <f>COUNTIFS('2025-Q2'!$E$4:$E$422,'SPDR Chart'!Z$3,'2025-Q2'!$F$4:$F$422,'SPDR Chart'!$B73,'2025-Q2'!$D$4:$D$422,"N")</f>
        <v>0</v>
      </c>
      <c r="AA73" s="158">
        <f>COUNTIFS('2025-Q2'!$E$4:$E$422,'SPDR Chart'!AA$3,'2025-Q2'!$F$4:$F$422,'SPDR Chart'!$B73,'2025-Q2'!$D$4:$D$422,"N")</f>
        <v>0</v>
      </c>
      <c r="AB73" s="158">
        <f>COUNTIFS('2025-Q2'!$E$4:$E$422,'SPDR Chart'!AB$3,'2025-Q2'!$F$4:$F$422,'SPDR Chart'!$B73,'2025-Q2'!$D$4:$D$422,"N")</f>
        <v>0</v>
      </c>
      <c r="AC73" s="158">
        <f>COUNTIFS('2025-Q2'!$E$4:$E$422,'SPDR Chart'!AC$3,'2025-Q2'!$F$4:$F$422,'SPDR Chart'!$B73,'2025-Q2'!$D$4:$D$422,"N")</f>
        <v>0</v>
      </c>
      <c r="AD73" s="158">
        <f>COUNTIFS('2025-Q2'!$E$4:$E$422,'SPDR Chart'!AD$3,'2025-Q2'!$F$4:$F$422,'SPDR Chart'!$B73,'2025-Q2'!$D$4:$D$422,"N")</f>
        <v>0</v>
      </c>
      <c r="AE73" s="158">
        <f>COUNTIFS('2025-Q2'!$E$4:$E$422,'SPDR Chart'!AE$3,'2025-Q2'!$F$4:$F$422,'SPDR Chart'!$B73,'2025-Q2'!$D$4:$D$422,"N")</f>
        <v>0</v>
      </c>
      <c r="AF73" s="158">
        <f>COUNTIFS('2025-Q2'!$E$4:$E$422,'SPDR Chart'!AF$3,'2025-Q2'!$F$4:$F$422,'SPDR Chart'!$B73,'2025-Q2'!$D$4:$D$422,"N")</f>
        <v>0</v>
      </c>
      <c r="AG73" s="158">
        <f>COUNTIFS('2025-Q2'!$E$4:$E$422,'SPDR Chart'!AG$3,'2025-Q2'!$F$4:$F$422,'SPDR Chart'!$B73,'2025-Q2'!$D$4:$D$422,"N")</f>
        <v>0</v>
      </c>
      <c r="AH73" s="158">
        <f>COUNTIFS('2025-Q2'!$E$4:$E$422,'SPDR Chart'!AH$3,'2025-Q2'!$F$4:$F$422,'SPDR Chart'!$B73,'2025-Q2'!$D$4:$D$422,"N")</f>
        <v>0</v>
      </c>
      <c r="AI73" s="158">
        <f>COUNTIFS('2025-Q2'!$E$4:$E$422,'SPDR Chart'!AI$3,'2025-Q2'!$F$4:$F$422,'SPDR Chart'!$B73,'2025-Q2'!$D$4:$D$422,"N")</f>
        <v>0</v>
      </c>
      <c r="AJ73" s="363">
        <f>COUNTIFS('2025-Q2'!$E$4:$E$422,'SPDR Chart'!AJ$3,'2025-Q2'!$F$4:$F$422,'SPDR Chart'!$B73,'2025-Q2'!$D$4:$D$422,"N")</f>
        <v>0</v>
      </c>
      <c r="AK73" s="457">
        <f t="shared" si="7"/>
        <v>0</v>
      </c>
      <c r="AL73" s="458">
        <f>SUM($AK$4:AK73)/SUM($AK$4:$AK$86)</f>
        <v>0.9850746268656716</v>
      </c>
    </row>
    <row r="74" spans="2:38" x14ac:dyDescent="0.25">
      <c r="B74" s="366">
        <v>45826</v>
      </c>
      <c r="C74" s="158">
        <f>COUNTIFS('2025-Q2'!$E$4:$E$422,'SPDR Chart'!C$3,'2025-Q2'!$F$4:$F$422,'SPDR Chart'!$B74,'2025-Q2'!$D$4:$D$422,"Y")</f>
        <v>0</v>
      </c>
      <c r="D74" s="158">
        <f>COUNTIFS('2025-Q2'!$E$4:$E$422,'SPDR Chart'!D$3,'2025-Q2'!$F$4:$F$422,'SPDR Chart'!$B74,'2025-Q2'!$D$4:$D$422,"Y")</f>
        <v>0</v>
      </c>
      <c r="E74" s="158">
        <f>COUNTIFS('2025-Q2'!$E$4:$E$422,'SPDR Chart'!E$3,'2025-Q2'!$F$4:$F$422,'SPDR Chart'!$B74,'2025-Q2'!$D$4:$D$422,"Y")</f>
        <v>0</v>
      </c>
      <c r="F74" s="158">
        <f>COUNTIFS('2025-Q2'!$E$4:$E$422,'SPDR Chart'!F$3,'2025-Q2'!$F$4:$F$422,'SPDR Chart'!$B74,'2025-Q2'!$D$4:$D$422,"Y")</f>
        <v>0</v>
      </c>
      <c r="G74" s="158">
        <f>COUNTIFS('2025-Q2'!$E$4:$E$422,'SPDR Chart'!G$3,'2025-Q2'!$F$4:$F$422,'SPDR Chart'!$B74,'2025-Q2'!$D$4:$D$422,"Y")</f>
        <v>0</v>
      </c>
      <c r="H74" s="158">
        <f>COUNTIFS('2025-Q2'!$E$4:$E$422,'SPDR Chart'!H$3,'2025-Q2'!$F$4:$F$422,'SPDR Chart'!$B74,'2025-Q2'!$D$4:$D$422,"Y")</f>
        <v>0</v>
      </c>
      <c r="I74" s="158">
        <f>COUNTIFS('2025-Q2'!$E$4:$E$422,'SPDR Chart'!I$3,'2025-Q2'!$F$4:$F$422,'SPDR Chart'!$B74,'2025-Q2'!$D$4:$D$422,"Y")</f>
        <v>0</v>
      </c>
      <c r="J74" s="158">
        <f>COUNTIFS('2025-Q2'!$E$4:$E$422,'SPDR Chart'!J$3,'2025-Q2'!$F$4:$F$422,'SPDR Chart'!$B74,'2025-Q2'!$D$4:$D$422,"Y")</f>
        <v>0</v>
      </c>
      <c r="K74" s="158">
        <f>COUNTIFS('2025-Q2'!$E$4:$E$422,'SPDR Chart'!K$3,'2025-Q2'!$F$4:$F$422,'SPDR Chart'!$B74,'2025-Q2'!$D$4:$D$422,"Y")</f>
        <v>0</v>
      </c>
      <c r="L74" s="158">
        <f>COUNTIFS('2025-Q2'!$E$4:$E$422,'SPDR Chart'!L$3,'2025-Q2'!$F$4:$F$422,'SPDR Chart'!$B74,'2025-Q2'!$D$4:$D$422,"Y")</f>
        <v>0</v>
      </c>
      <c r="M74" s="158">
        <f>COUNTIFS('2025-Q2'!$E$4:$E$422,'SPDR Chart'!M$3,'2025-Q2'!$F$4:$F$422,'SPDR Chart'!$B74,'2025-Q2'!$D$4:$D$422,"Y")</f>
        <v>0</v>
      </c>
      <c r="N74" s="158">
        <f>COUNTIFS('2025-Q2'!$E$4:$E$422,'SPDR Chart'!N$3,'2025-Q2'!$F$4:$F$422,'SPDR Chart'!$B74,'2025-Q2'!$D$4:$D$422,"Y")</f>
        <v>0</v>
      </c>
      <c r="O74" s="158">
        <f>COUNTIFS('2025-Q2'!$E$4:$E$422,'SPDR Chart'!O$3,'2025-Q2'!$F$4:$F$422,'SPDR Chart'!$B74,'2025-Q2'!$D$4:$D$422,"Y")</f>
        <v>0</v>
      </c>
      <c r="P74" s="158">
        <f>COUNTIFS('2025-Q2'!$E$4:$E$422,'SPDR Chart'!P$3,'2025-Q2'!$F$4:$F$422,'SPDR Chart'!$B74,'2025-Q2'!$D$4:$D$422,"Y")</f>
        <v>0</v>
      </c>
      <c r="Q74" s="363">
        <f>COUNTIFS('2025-Q2'!$E$4:$E$422,'SPDR Chart'!Q$3,'2025-Q2'!$F$4:$F$422,'SPDR Chart'!$B74,'2025-Q2'!$D$4:$D$422,"Y")</f>
        <v>0</v>
      </c>
      <c r="R74" s="457">
        <f t="shared" si="6"/>
        <v>0</v>
      </c>
      <c r="S74" s="458">
        <f>SUM($R$4:R74)/SUM($R$4:$R$86)</f>
        <v>0.98265895953757221</v>
      </c>
      <c r="U74" s="366">
        <v>45826</v>
      </c>
      <c r="V74" s="158">
        <f>COUNTIFS('2025-Q2'!$E$4:$E$422,'SPDR Chart'!V$3,'2025-Q2'!$F$4:$F$422,'SPDR Chart'!$B74,'2025-Q2'!$D$4:$D$422,"N")</f>
        <v>0</v>
      </c>
      <c r="W74" s="158">
        <f>COUNTIFS('2025-Q2'!$E$4:$E$422,'SPDR Chart'!W$3,'2025-Q2'!$F$4:$F$422,'SPDR Chart'!$B74,'2025-Q2'!$D$4:$D$422,"N")</f>
        <v>0</v>
      </c>
      <c r="X74" s="158">
        <f>COUNTIFS('2025-Q2'!$E$4:$E$422,'SPDR Chart'!X$3,'2025-Q2'!$F$4:$F$422,'SPDR Chart'!$B74,'2025-Q2'!$D$4:$D$422,"N")</f>
        <v>0</v>
      </c>
      <c r="Y74" s="158">
        <f>COUNTIFS('2025-Q2'!$E$4:$E$422,'SPDR Chart'!Y$3,'2025-Q2'!$F$4:$F$422,'SPDR Chart'!$B74,'2025-Q2'!$D$4:$D$422,"N")</f>
        <v>0</v>
      </c>
      <c r="Z74" s="158">
        <f>COUNTIFS('2025-Q2'!$E$4:$E$422,'SPDR Chart'!Z$3,'2025-Q2'!$F$4:$F$422,'SPDR Chart'!$B74,'2025-Q2'!$D$4:$D$422,"N")</f>
        <v>0</v>
      </c>
      <c r="AA74" s="158">
        <f>COUNTIFS('2025-Q2'!$E$4:$E$422,'SPDR Chart'!AA$3,'2025-Q2'!$F$4:$F$422,'SPDR Chart'!$B74,'2025-Q2'!$D$4:$D$422,"N")</f>
        <v>0</v>
      </c>
      <c r="AB74" s="158">
        <f>COUNTIFS('2025-Q2'!$E$4:$E$422,'SPDR Chart'!AB$3,'2025-Q2'!$F$4:$F$422,'SPDR Chart'!$B74,'2025-Q2'!$D$4:$D$422,"N")</f>
        <v>0</v>
      </c>
      <c r="AC74" s="158">
        <f>COUNTIFS('2025-Q2'!$E$4:$E$422,'SPDR Chart'!AC$3,'2025-Q2'!$F$4:$F$422,'SPDR Chart'!$B74,'2025-Q2'!$D$4:$D$422,"N")</f>
        <v>0</v>
      </c>
      <c r="AD74" s="158">
        <f>COUNTIFS('2025-Q2'!$E$4:$E$422,'SPDR Chart'!AD$3,'2025-Q2'!$F$4:$F$422,'SPDR Chart'!$B74,'2025-Q2'!$D$4:$D$422,"N")</f>
        <v>0</v>
      </c>
      <c r="AE74" s="158">
        <f>COUNTIFS('2025-Q2'!$E$4:$E$422,'SPDR Chart'!AE$3,'2025-Q2'!$F$4:$F$422,'SPDR Chart'!$B74,'2025-Q2'!$D$4:$D$422,"N")</f>
        <v>0</v>
      </c>
      <c r="AF74" s="158">
        <f>COUNTIFS('2025-Q2'!$E$4:$E$422,'SPDR Chart'!AF$3,'2025-Q2'!$F$4:$F$422,'SPDR Chart'!$B74,'2025-Q2'!$D$4:$D$422,"N")</f>
        <v>0</v>
      </c>
      <c r="AG74" s="158">
        <f>COUNTIFS('2025-Q2'!$E$4:$E$422,'SPDR Chart'!AG$3,'2025-Q2'!$F$4:$F$422,'SPDR Chart'!$B74,'2025-Q2'!$D$4:$D$422,"N")</f>
        <v>0</v>
      </c>
      <c r="AH74" s="158">
        <f>COUNTIFS('2025-Q2'!$E$4:$E$422,'SPDR Chart'!AH$3,'2025-Q2'!$F$4:$F$422,'SPDR Chart'!$B74,'2025-Q2'!$D$4:$D$422,"N")</f>
        <v>0</v>
      </c>
      <c r="AI74" s="158">
        <f>COUNTIFS('2025-Q2'!$E$4:$E$422,'SPDR Chart'!AI$3,'2025-Q2'!$F$4:$F$422,'SPDR Chart'!$B74,'2025-Q2'!$D$4:$D$422,"N")</f>
        <v>0</v>
      </c>
      <c r="AJ74" s="363">
        <f>COUNTIFS('2025-Q2'!$E$4:$E$422,'SPDR Chart'!AJ$3,'2025-Q2'!$F$4:$F$422,'SPDR Chart'!$B74,'2025-Q2'!$D$4:$D$422,"N")</f>
        <v>0</v>
      </c>
      <c r="AK74" s="457">
        <f t="shared" si="7"/>
        <v>0</v>
      </c>
      <c r="AL74" s="458">
        <f>SUM($AK$4:AK74)/SUM($AK$4:$AK$86)</f>
        <v>0.9850746268656716</v>
      </c>
    </row>
    <row r="75" spans="2:38" x14ac:dyDescent="0.25">
      <c r="B75" s="366">
        <v>45827</v>
      </c>
      <c r="C75" s="158">
        <f>COUNTIFS('2025-Q2'!$E$4:$E$422,'SPDR Chart'!C$3,'2025-Q2'!$F$4:$F$422,'SPDR Chart'!$B75,'2025-Q2'!$D$4:$D$422,"Y")</f>
        <v>0</v>
      </c>
      <c r="D75" s="158">
        <f>COUNTIFS('2025-Q2'!$E$4:$E$422,'SPDR Chart'!D$3,'2025-Q2'!$F$4:$F$422,'SPDR Chart'!$B75,'2025-Q2'!$D$4:$D$422,"Y")</f>
        <v>0</v>
      </c>
      <c r="E75" s="158">
        <f>COUNTIFS('2025-Q2'!$E$4:$E$422,'SPDR Chart'!E$3,'2025-Q2'!$F$4:$F$422,'SPDR Chart'!$B75,'2025-Q2'!$D$4:$D$422,"Y")</f>
        <v>0</v>
      </c>
      <c r="F75" s="158">
        <f>COUNTIFS('2025-Q2'!$E$4:$E$422,'SPDR Chart'!F$3,'2025-Q2'!$F$4:$F$422,'SPDR Chart'!$B75,'2025-Q2'!$D$4:$D$422,"Y")</f>
        <v>0</v>
      </c>
      <c r="G75" s="158">
        <f>COUNTIFS('2025-Q2'!$E$4:$E$422,'SPDR Chart'!G$3,'2025-Q2'!$F$4:$F$422,'SPDR Chart'!$B75,'2025-Q2'!$D$4:$D$422,"Y")</f>
        <v>0</v>
      </c>
      <c r="H75" s="158">
        <f>COUNTIFS('2025-Q2'!$E$4:$E$422,'SPDR Chart'!H$3,'2025-Q2'!$F$4:$F$422,'SPDR Chart'!$B75,'2025-Q2'!$D$4:$D$422,"Y")</f>
        <v>0</v>
      </c>
      <c r="I75" s="158">
        <f>COUNTIFS('2025-Q2'!$E$4:$E$422,'SPDR Chart'!I$3,'2025-Q2'!$F$4:$F$422,'SPDR Chart'!$B75,'2025-Q2'!$D$4:$D$422,"Y")</f>
        <v>0</v>
      </c>
      <c r="J75" s="158">
        <f>COUNTIFS('2025-Q2'!$E$4:$E$422,'SPDR Chart'!J$3,'2025-Q2'!$F$4:$F$422,'SPDR Chart'!$B75,'2025-Q2'!$D$4:$D$422,"Y")</f>
        <v>0</v>
      </c>
      <c r="K75" s="158">
        <f>COUNTIFS('2025-Q2'!$E$4:$E$422,'SPDR Chart'!K$3,'2025-Q2'!$F$4:$F$422,'SPDR Chart'!$B75,'2025-Q2'!$D$4:$D$422,"Y")</f>
        <v>0</v>
      </c>
      <c r="L75" s="158">
        <f>COUNTIFS('2025-Q2'!$E$4:$E$422,'SPDR Chart'!L$3,'2025-Q2'!$F$4:$F$422,'SPDR Chart'!$B75,'2025-Q2'!$D$4:$D$422,"Y")</f>
        <v>0</v>
      </c>
      <c r="M75" s="158">
        <f>COUNTIFS('2025-Q2'!$E$4:$E$422,'SPDR Chart'!M$3,'2025-Q2'!$F$4:$F$422,'SPDR Chart'!$B75,'2025-Q2'!$D$4:$D$422,"Y")</f>
        <v>0</v>
      </c>
      <c r="N75" s="158">
        <f>COUNTIFS('2025-Q2'!$E$4:$E$422,'SPDR Chart'!N$3,'2025-Q2'!$F$4:$F$422,'SPDR Chart'!$B75,'2025-Q2'!$D$4:$D$422,"Y")</f>
        <v>0</v>
      </c>
      <c r="O75" s="158">
        <f>COUNTIFS('2025-Q2'!$E$4:$E$422,'SPDR Chart'!O$3,'2025-Q2'!$F$4:$F$422,'SPDR Chart'!$B75,'2025-Q2'!$D$4:$D$422,"Y")</f>
        <v>0</v>
      </c>
      <c r="P75" s="158">
        <f>COUNTIFS('2025-Q2'!$E$4:$E$422,'SPDR Chart'!P$3,'2025-Q2'!$F$4:$F$422,'SPDR Chart'!$B75,'2025-Q2'!$D$4:$D$422,"Y")</f>
        <v>0</v>
      </c>
      <c r="Q75" s="363">
        <f>COUNTIFS('2025-Q2'!$E$4:$E$422,'SPDR Chart'!Q$3,'2025-Q2'!$F$4:$F$422,'SPDR Chart'!$B75,'2025-Q2'!$D$4:$D$422,"Y")</f>
        <v>0</v>
      </c>
      <c r="R75" s="457">
        <f t="shared" si="6"/>
        <v>0</v>
      </c>
      <c r="S75" s="458">
        <f>SUM($R$4:R75)/SUM($R$4:$R$86)</f>
        <v>0.98265895953757221</v>
      </c>
      <c r="U75" s="366">
        <v>45827</v>
      </c>
      <c r="V75" s="158">
        <f>COUNTIFS('2025-Q2'!$E$4:$E$422,'SPDR Chart'!V$3,'2025-Q2'!$F$4:$F$422,'SPDR Chart'!$B75,'2025-Q2'!$D$4:$D$422,"N")</f>
        <v>0</v>
      </c>
      <c r="W75" s="158">
        <f>COUNTIFS('2025-Q2'!$E$4:$E$422,'SPDR Chart'!W$3,'2025-Q2'!$F$4:$F$422,'SPDR Chart'!$B75,'2025-Q2'!$D$4:$D$422,"N")</f>
        <v>0</v>
      </c>
      <c r="X75" s="158">
        <f>COUNTIFS('2025-Q2'!$E$4:$E$422,'SPDR Chart'!X$3,'2025-Q2'!$F$4:$F$422,'SPDR Chart'!$B75,'2025-Q2'!$D$4:$D$422,"N")</f>
        <v>0</v>
      </c>
      <c r="Y75" s="158">
        <f>COUNTIFS('2025-Q2'!$E$4:$E$422,'SPDR Chart'!Y$3,'2025-Q2'!$F$4:$F$422,'SPDR Chart'!$B75,'2025-Q2'!$D$4:$D$422,"N")</f>
        <v>0</v>
      </c>
      <c r="Z75" s="158">
        <f>COUNTIFS('2025-Q2'!$E$4:$E$422,'SPDR Chart'!Z$3,'2025-Q2'!$F$4:$F$422,'SPDR Chart'!$B75,'2025-Q2'!$D$4:$D$422,"N")</f>
        <v>0</v>
      </c>
      <c r="AA75" s="158">
        <f>COUNTIFS('2025-Q2'!$E$4:$E$422,'SPDR Chart'!AA$3,'2025-Q2'!$F$4:$F$422,'SPDR Chart'!$B75,'2025-Q2'!$D$4:$D$422,"N")</f>
        <v>0</v>
      </c>
      <c r="AB75" s="158">
        <f>COUNTIFS('2025-Q2'!$E$4:$E$422,'SPDR Chart'!AB$3,'2025-Q2'!$F$4:$F$422,'SPDR Chart'!$B75,'2025-Q2'!$D$4:$D$422,"N")</f>
        <v>0</v>
      </c>
      <c r="AC75" s="158">
        <f>COUNTIFS('2025-Q2'!$E$4:$E$422,'SPDR Chart'!AC$3,'2025-Q2'!$F$4:$F$422,'SPDR Chart'!$B75,'2025-Q2'!$D$4:$D$422,"N")</f>
        <v>0</v>
      </c>
      <c r="AD75" s="158">
        <f>COUNTIFS('2025-Q2'!$E$4:$E$422,'SPDR Chart'!AD$3,'2025-Q2'!$F$4:$F$422,'SPDR Chart'!$B75,'2025-Q2'!$D$4:$D$422,"N")</f>
        <v>0</v>
      </c>
      <c r="AE75" s="158">
        <f>COUNTIFS('2025-Q2'!$E$4:$E$422,'SPDR Chart'!AE$3,'2025-Q2'!$F$4:$F$422,'SPDR Chart'!$B75,'2025-Q2'!$D$4:$D$422,"N")</f>
        <v>0</v>
      </c>
      <c r="AF75" s="158">
        <f>COUNTIFS('2025-Q2'!$E$4:$E$422,'SPDR Chart'!AF$3,'2025-Q2'!$F$4:$F$422,'SPDR Chart'!$B75,'2025-Q2'!$D$4:$D$422,"N")</f>
        <v>0</v>
      </c>
      <c r="AG75" s="158">
        <f>COUNTIFS('2025-Q2'!$E$4:$E$422,'SPDR Chart'!AG$3,'2025-Q2'!$F$4:$F$422,'SPDR Chart'!$B75,'2025-Q2'!$D$4:$D$422,"N")</f>
        <v>0</v>
      </c>
      <c r="AH75" s="158">
        <f>COUNTIFS('2025-Q2'!$E$4:$E$422,'SPDR Chart'!AH$3,'2025-Q2'!$F$4:$F$422,'SPDR Chart'!$B75,'2025-Q2'!$D$4:$D$422,"N")</f>
        <v>0</v>
      </c>
      <c r="AI75" s="158">
        <f>COUNTIFS('2025-Q2'!$E$4:$E$422,'SPDR Chart'!AI$3,'2025-Q2'!$F$4:$F$422,'SPDR Chart'!$B75,'2025-Q2'!$D$4:$D$422,"N")</f>
        <v>0</v>
      </c>
      <c r="AJ75" s="363">
        <f>COUNTIFS('2025-Q2'!$E$4:$E$422,'SPDR Chart'!AJ$3,'2025-Q2'!$F$4:$F$422,'SPDR Chart'!$B75,'2025-Q2'!$D$4:$D$422,"N")</f>
        <v>0</v>
      </c>
      <c r="AK75" s="457">
        <f t="shared" si="7"/>
        <v>0</v>
      </c>
      <c r="AL75" s="458">
        <f>SUM($AK$4:AK75)/SUM($AK$4:$AK$86)</f>
        <v>0.9850746268656716</v>
      </c>
    </row>
    <row r="76" spans="2:38" x14ac:dyDescent="0.25">
      <c r="B76" s="366">
        <v>45828</v>
      </c>
      <c r="C76" s="158">
        <f>COUNTIFS('2025-Q2'!$E$4:$E$422,'SPDR Chart'!C$3,'2025-Q2'!$F$4:$F$422,'SPDR Chart'!$B76,'2025-Q2'!$D$4:$D$422,"Y")</f>
        <v>0</v>
      </c>
      <c r="D76" s="158">
        <f>COUNTIFS('2025-Q2'!$E$4:$E$422,'SPDR Chart'!D$3,'2025-Q2'!$F$4:$F$422,'SPDR Chart'!$B76,'2025-Q2'!$D$4:$D$422,"Y")</f>
        <v>0</v>
      </c>
      <c r="E76" s="158">
        <f>COUNTIFS('2025-Q2'!$E$4:$E$422,'SPDR Chart'!E$3,'2025-Q2'!$F$4:$F$422,'SPDR Chart'!$B76,'2025-Q2'!$D$4:$D$422,"Y")</f>
        <v>0</v>
      </c>
      <c r="F76" s="158">
        <f>COUNTIFS('2025-Q2'!$E$4:$E$422,'SPDR Chart'!F$3,'2025-Q2'!$F$4:$F$422,'SPDR Chart'!$B76,'2025-Q2'!$D$4:$D$422,"Y")</f>
        <v>0</v>
      </c>
      <c r="G76" s="158">
        <f>COUNTIFS('2025-Q2'!$E$4:$E$422,'SPDR Chart'!G$3,'2025-Q2'!$F$4:$F$422,'SPDR Chart'!$B76,'2025-Q2'!$D$4:$D$422,"Y")</f>
        <v>0</v>
      </c>
      <c r="H76" s="158">
        <f>COUNTIFS('2025-Q2'!$E$4:$E$422,'SPDR Chart'!H$3,'2025-Q2'!$F$4:$F$422,'SPDR Chart'!$B76,'2025-Q2'!$D$4:$D$422,"Y")</f>
        <v>0</v>
      </c>
      <c r="I76" s="158">
        <f>COUNTIFS('2025-Q2'!$E$4:$E$422,'SPDR Chart'!I$3,'2025-Q2'!$F$4:$F$422,'SPDR Chart'!$B76,'2025-Q2'!$D$4:$D$422,"Y")</f>
        <v>0</v>
      </c>
      <c r="J76" s="158">
        <f>COUNTIFS('2025-Q2'!$E$4:$E$422,'SPDR Chart'!J$3,'2025-Q2'!$F$4:$F$422,'SPDR Chart'!$B76,'2025-Q2'!$D$4:$D$422,"Y")</f>
        <v>1</v>
      </c>
      <c r="K76" s="158">
        <f>COUNTIFS('2025-Q2'!$E$4:$E$422,'SPDR Chart'!K$3,'2025-Q2'!$F$4:$F$422,'SPDR Chart'!$B76,'2025-Q2'!$D$4:$D$422,"Y")</f>
        <v>0</v>
      </c>
      <c r="L76" s="158">
        <f>COUNTIFS('2025-Q2'!$E$4:$E$422,'SPDR Chart'!L$3,'2025-Q2'!$F$4:$F$422,'SPDR Chart'!$B76,'2025-Q2'!$D$4:$D$422,"Y")</f>
        <v>0</v>
      </c>
      <c r="M76" s="158">
        <f>COUNTIFS('2025-Q2'!$E$4:$E$422,'SPDR Chart'!M$3,'2025-Q2'!$F$4:$F$422,'SPDR Chart'!$B76,'2025-Q2'!$D$4:$D$422,"Y")</f>
        <v>0</v>
      </c>
      <c r="N76" s="158">
        <f>COUNTIFS('2025-Q2'!$E$4:$E$422,'SPDR Chart'!N$3,'2025-Q2'!$F$4:$F$422,'SPDR Chart'!$B76,'2025-Q2'!$D$4:$D$422,"Y")</f>
        <v>0</v>
      </c>
      <c r="O76" s="158">
        <f>COUNTIFS('2025-Q2'!$E$4:$E$422,'SPDR Chart'!O$3,'2025-Q2'!$F$4:$F$422,'SPDR Chart'!$B76,'2025-Q2'!$D$4:$D$422,"Y")</f>
        <v>0</v>
      </c>
      <c r="P76" s="158">
        <f>COUNTIFS('2025-Q2'!$E$4:$E$422,'SPDR Chart'!P$3,'2025-Q2'!$F$4:$F$422,'SPDR Chart'!$B76,'2025-Q2'!$D$4:$D$422,"Y")</f>
        <v>0</v>
      </c>
      <c r="Q76" s="363">
        <f>COUNTIFS('2025-Q2'!$E$4:$E$422,'SPDR Chart'!Q$3,'2025-Q2'!$F$4:$F$422,'SPDR Chart'!$B76,'2025-Q2'!$D$4:$D$422,"Y")</f>
        <v>0</v>
      </c>
      <c r="R76" s="457">
        <f t="shared" si="6"/>
        <v>1</v>
      </c>
      <c r="S76" s="458">
        <f>SUM($R$4:R76)/SUM($R$4:$R$86)</f>
        <v>0.98554913294797686</v>
      </c>
      <c r="U76" s="366">
        <v>45828</v>
      </c>
      <c r="V76" s="158">
        <f>COUNTIFS('2025-Q2'!$E$4:$E$422,'SPDR Chart'!V$3,'2025-Q2'!$F$4:$F$422,'SPDR Chart'!$B76,'2025-Q2'!$D$4:$D$422,"N")</f>
        <v>0</v>
      </c>
      <c r="W76" s="158">
        <f>COUNTIFS('2025-Q2'!$E$4:$E$422,'SPDR Chart'!W$3,'2025-Q2'!$F$4:$F$422,'SPDR Chart'!$B76,'2025-Q2'!$D$4:$D$422,"N")</f>
        <v>0</v>
      </c>
      <c r="X76" s="158">
        <f>COUNTIFS('2025-Q2'!$E$4:$E$422,'SPDR Chart'!X$3,'2025-Q2'!$F$4:$F$422,'SPDR Chart'!$B76,'2025-Q2'!$D$4:$D$422,"N")</f>
        <v>0</v>
      </c>
      <c r="Y76" s="158">
        <f>COUNTIFS('2025-Q2'!$E$4:$E$422,'SPDR Chart'!Y$3,'2025-Q2'!$F$4:$F$422,'SPDR Chart'!$B76,'2025-Q2'!$D$4:$D$422,"N")</f>
        <v>0</v>
      </c>
      <c r="Z76" s="158">
        <f>COUNTIFS('2025-Q2'!$E$4:$E$422,'SPDR Chart'!Z$3,'2025-Q2'!$F$4:$F$422,'SPDR Chart'!$B76,'2025-Q2'!$D$4:$D$422,"N")</f>
        <v>0</v>
      </c>
      <c r="AA76" s="158">
        <f>COUNTIFS('2025-Q2'!$E$4:$E$422,'SPDR Chart'!AA$3,'2025-Q2'!$F$4:$F$422,'SPDR Chart'!$B76,'2025-Q2'!$D$4:$D$422,"N")</f>
        <v>0</v>
      </c>
      <c r="AB76" s="158">
        <f>COUNTIFS('2025-Q2'!$E$4:$E$422,'SPDR Chart'!AB$3,'2025-Q2'!$F$4:$F$422,'SPDR Chart'!$B76,'2025-Q2'!$D$4:$D$422,"N")</f>
        <v>0</v>
      </c>
      <c r="AC76" s="158">
        <f>COUNTIFS('2025-Q2'!$E$4:$E$422,'SPDR Chart'!AC$3,'2025-Q2'!$F$4:$F$422,'SPDR Chart'!$B76,'2025-Q2'!$D$4:$D$422,"N")</f>
        <v>0</v>
      </c>
      <c r="AD76" s="158">
        <f>COUNTIFS('2025-Q2'!$E$4:$E$422,'SPDR Chart'!AD$3,'2025-Q2'!$F$4:$F$422,'SPDR Chart'!$B76,'2025-Q2'!$D$4:$D$422,"N")</f>
        <v>0</v>
      </c>
      <c r="AE76" s="158">
        <f>COUNTIFS('2025-Q2'!$E$4:$E$422,'SPDR Chart'!AE$3,'2025-Q2'!$F$4:$F$422,'SPDR Chart'!$B76,'2025-Q2'!$D$4:$D$422,"N")</f>
        <v>0</v>
      </c>
      <c r="AF76" s="158">
        <f>COUNTIFS('2025-Q2'!$E$4:$E$422,'SPDR Chart'!AF$3,'2025-Q2'!$F$4:$F$422,'SPDR Chart'!$B76,'2025-Q2'!$D$4:$D$422,"N")</f>
        <v>0</v>
      </c>
      <c r="AG76" s="158">
        <f>COUNTIFS('2025-Q2'!$E$4:$E$422,'SPDR Chart'!AG$3,'2025-Q2'!$F$4:$F$422,'SPDR Chart'!$B76,'2025-Q2'!$D$4:$D$422,"N")</f>
        <v>0</v>
      </c>
      <c r="AH76" s="158">
        <f>COUNTIFS('2025-Q2'!$E$4:$E$422,'SPDR Chart'!AH$3,'2025-Q2'!$F$4:$F$422,'SPDR Chart'!$B76,'2025-Q2'!$D$4:$D$422,"N")</f>
        <v>0</v>
      </c>
      <c r="AI76" s="158">
        <f>COUNTIFS('2025-Q2'!$E$4:$E$422,'SPDR Chart'!AI$3,'2025-Q2'!$F$4:$F$422,'SPDR Chart'!$B76,'2025-Q2'!$D$4:$D$422,"N")</f>
        <v>0</v>
      </c>
      <c r="AJ76" s="363">
        <f>COUNTIFS('2025-Q2'!$E$4:$E$422,'SPDR Chart'!AJ$3,'2025-Q2'!$F$4:$F$422,'SPDR Chart'!$B76,'2025-Q2'!$D$4:$D$422,"N")</f>
        <v>0</v>
      </c>
      <c r="AK76" s="457">
        <f t="shared" si="7"/>
        <v>0</v>
      </c>
      <c r="AL76" s="458">
        <f>SUM($AK$4:AK76)/SUM($AK$4:$AK$86)</f>
        <v>0.9850746268656716</v>
      </c>
    </row>
    <row r="77" spans="2:38" x14ac:dyDescent="0.25">
      <c r="B77" s="366">
        <v>45829</v>
      </c>
      <c r="C77" s="158">
        <f>COUNTIFS('2025-Q2'!$E$4:$E$422,'SPDR Chart'!C$3,'2025-Q2'!$F$4:$F$422,'SPDR Chart'!$B77,'2025-Q2'!$D$4:$D$422,"Y")</f>
        <v>0</v>
      </c>
      <c r="D77" s="158">
        <f>COUNTIFS('2025-Q2'!$E$4:$E$422,'SPDR Chart'!D$3,'2025-Q2'!$F$4:$F$422,'SPDR Chart'!$B77,'2025-Q2'!$D$4:$D$422,"Y")</f>
        <v>0</v>
      </c>
      <c r="E77" s="158">
        <f>COUNTIFS('2025-Q2'!$E$4:$E$422,'SPDR Chart'!E$3,'2025-Q2'!$F$4:$F$422,'SPDR Chart'!$B77,'2025-Q2'!$D$4:$D$422,"Y")</f>
        <v>0</v>
      </c>
      <c r="F77" s="158">
        <f>COUNTIFS('2025-Q2'!$E$4:$E$422,'SPDR Chart'!F$3,'2025-Q2'!$F$4:$F$422,'SPDR Chart'!$B77,'2025-Q2'!$D$4:$D$422,"Y")</f>
        <v>0</v>
      </c>
      <c r="G77" s="158">
        <f>COUNTIFS('2025-Q2'!$E$4:$E$422,'SPDR Chart'!G$3,'2025-Q2'!$F$4:$F$422,'SPDR Chart'!$B77,'2025-Q2'!$D$4:$D$422,"Y")</f>
        <v>0</v>
      </c>
      <c r="H77" s="158">
        <f>COUNTIFS('2025-Q2'!$E$4:$E$422,'SPDR Chart'!H$3,'2025-Q2'!$F$4:$F$422,'SPDR Chart'!$B77,'2025-Q2'!$D$4:$D$422,"Y")</f>
        <v>0</v>
      </c>
      <c r="I77" s="158">
        <f>COUNTIFS('2025-Q2'!$E$4:$E$422,'SPDR Chart'!I$3,'2025-Q2'!$F$4:$F$422,'SPDR Chart'!$B77,'2025-Q2'!$D$4:$D$422,"Y")</f>
        <v>0</v>
      </c>
      <c r="J77" s="158">
        <f>COUNTIFS('2025-Q2'!$E$4:$E$422,'SPDR Chart'!J$3,'2025-Q2'!$F$4:$F$422,'SPDR Chart'!$B77,'2025-Q2'!$D$4:$D$422,"Y")</f>
        <v>0</v>
      </c>
      <c r="K77" s="158">
        <f>COUNTIFS('2025-Q2'!$E$4:$E$422,'SPDR Chart'!K$3,'2025-Q2'!$F$4:$F$422,'SPDR Chart'!$B77,'2025-Q2'!$D$4:$D$422,"Y")</f>
        <v>0</v>
      </c>
      <c r="L77" s="158">
        <f>COUNTIFS('2025-Q2'!$E$4:$E$422,'SPDR Chart'!L$3,'2025-Q2'!$F$4:$F$422,'SPDR Chart'!$B77,'2025-Q2'!$D$4:$D$422,"Y")</f>
        <v>0</v>
      </c>
      <c r="M77" s="158">
        <f>COUNTIFS('2025-Q2'!$E$4:$E$422,'SPDR Chart'!M$3,'2025-Q2'!$F$4:$F$422,'SPDR Chart'!$B77,'2025-Q2'!$D$4:$D$422,"Y")</f>
        <v>0</v>
      </c>
      <c r="N77" s="158">
        <f>COUNTIFS('2025-Q2'!$E$4:$E$422,'SPDR Chart'!N$3,'2025-Q2'!$F$4:$F$422,'SPDR Chart'!$B77,'2025-Q2'!$D$4:$D$422,"Y")</f>
        <v>0</v>
      </c>
      <c r="O77" s="158">
        <f>COUNTIFS('2025-Q2'!$E$4:$E$422,'SPDR Chart'!O$3,'2025-Q2'!$F$4:$F$422,'SPDR Chart'!$B77,'2025-Q2'!$D$4:$D$422,"Y")</f>
        <v>0</v>
      </c>
      <c r="P77" s="158">
        <f>COUNTIFS('2025-Q2'!$E$4:$E$422,'SPDR Chart'!P$3,'2025-Q2'!$F$4:$F$422,'SPDR Chart'!$B77,'2025-Q2'!$D$4:$D$422,"Y")</f>
        <v>0</v>
      </c>
      <c r="Q77" s="363">
        <f>COUNTIFS('2025-Q2'!$E$4:$E$422,'SPDR Chart'!Q$3,'2025-Q2'!$F$4:$F$422,'SPDR Chart'!$B77,'2025-Q2'!$D$4:$D$422,"Y")</f>
        <v>0</v>
      </c>
      <c r="R77" s="457">
        <f t="shared" si="6"/>
        <v>0</v>
      </c>
      <c r="S77" s="458">
        <f>SUM($R$4:R77)/SUM($R$4:$R$86)</f>
        <v>0.98554913294797686</v>
      </c>
      <c r="U77" s="366">
        <v>45829</v>
      </c>
      <c r="V77" s="158">
        <f>COUNTIFS('2025-Q2'!$E$4:$E$422,'SPDR Chart'!V$3,'2025-Q2'!$F$4:$F$422,'SPDR Chart'!$B77,'2025-Q2'!$D$4:$D$422,"N")</f>
        <v>0</v>
      </c>
      <c r="W77" s="158">
        <f>COUNTIFS('2025-Q2'!$E$4:$E$422,'SPDR Chart'!W$3,'2025-Q2'!$F$4:$F$422,'SPDR Chart'!$B77,'2025-Q2'!$D$4:$D$422,"N")</f>
        <v>0</v>
      </c>
      <c r="X77" s="158">
        <f>COUNTIFS('2025-Q2'!$E$4:$E$422,'SPDR Chart'!X$3,'2025-Q2'!$F$4:$F$422,'SPDR Chart'!$B77,'2025-Q2'!$D$4:$D$422,"N")</f>
        <v>0</v>
      </c>
      <c r="Y77" s="158">
        <f>COUNTIFS('2025-Q2'!$E$4:$E$422,'SPDR Chart'!Y$3,'2025-Q2'!$F$4:$F$422,'SPDR Chart'!$B77,'2025-Q2'!$D$4:$D$422,"N")</f>
        <v>0</v>
      </c>
      <c r="Z77" s="158">
        <f>COUNTIFS('2025-Q2'!$E$4:$E$422,'SPDR Chart'!Z$3,'2025-Q2'!$F$4:$F$422,'SPDR Chart'!$B77,'2025-Q2'!$D$4:$D$422,"N")</f>
        <v>0</v>
      </c>
      <c r="AA77" s="158">
        <f>COUNTIFS('2025-Q2'!$E$4:$E$422,'SPDR Chart'!AA$3,'2025-Q2'!$F$4:$F$422,'SPDR Chart'!$B77,'2025-Q2'!$D$4:$D$422,"N")</f>
        <v>0</v>
      </c>
      <c r="AB77" s="158">
        <f>COUNTIFS('2025-Q2'!$E$4:$E$422,'SPDR Chart'!AB$3,'2025-Q2'!$F$4:$F$422,'SPDR Chart'!$B77,'2025-Q2'!$D$4:$D$422,"N")</f>
        <v>0</v>
      </c>
      <c r="AC77" s="158">
        <f>COUNTIFS('2025-Q2'!$E$4:$E$422,'SPDR Chart'!AC$3,'2025-Q2'!$F$4:$F$422,'SPDR Chart'!$B77,'2025-Q2'!$D$4:$D$422,"N")</f>
        <v>0</v>
      </c>
      <c r="AD77" s="158">
        <f>COUNTIFS('2025-Q2'!$E$4:$E$422,'SPDR Chart'!AD$3,'2025-Q2'!$F$4:$F$422,'SPDR Chart'!$B77,'2025-Q2'!$D$4:$D$422,"N")</f>
        <v>0</v>
      </c>
      <c r="AE77" s="158">
        <f>COUNTIFS('2025-Q2'!$E$4:$E$422,'SPDR Chart'!AE$3,'2025-Q2'!$F$4:$F$422,'SPDR Chart'!$B77,'2025-Q2'!$D$4:$D$422,"N")</f>
        <v>0</v>
      </c>
      <c r="AF77" s="158">
        <f>COUNTIFS('2025-Q2'!$E$4:$E$422,'SPDR Chart'!AF$3,'2025-Q2'!$F$4:$F$422,'SPDR Chart'!$B77,'2025-Q2'!$D$4:$D$422,"N")</f>
        <v>0</v>
      </c>
      <c r="AG77" s="158">
        <f>COUNTIFS('2025-Q2'!$E$4:$E$422,'SPDR Chart'!AG$3,'2025-Q2'!$F$4:$F$422,'SPDR Chart'!$B77,'2025-Q2'!$D$4:$D$422,"N")</f>
        <v>0</v>
      </c>
      <c r="AH77" s="158">
        <f>COUNTIFS('2025-Q2'!$E$4:$E$422,'SPDR Chart'!AH$3,'2025-Q2'!$F$4:$F$422,'SPDR Chart'!$B77,'2025-Q2'!$D$4:$D$422,"N")</f>
        <v>0</v>
      </c>
      <c r="AI77" s="158">
        <f>COUNTIFS('2025-Q2'!$E$4:$E$422,'SPDR Chart'!AI$3,'2025-Q2'!$F$4:$F$422,'SPDR Chart'!$B77,'2025-Q2'!$D$4:$D$422,"N")</f>
        <v>0</v>
      </c>
      <c r="AJ77" s="363">
        <f>COUNTIFS('2025-Q2'!$E$4:$E$422,'SPDR Chart'!AJ$3,'2025-Q2'!$F$4:$F$422,'SPDR Chart'!$B77,'2025-Q2'!$D$4:$D$422,"N")</f>
        <v>0</v>
      </c>
      <c r="AK77" s="457">
        <f t="shared" si="7"/>
        <v>0</v>
      </c>
      <c r="AL77" s="458">
        <f>SUM($AK$4:AK77)/SUM($AK$4:$AK$86)</f>
        <v>0.9850746268656716</v>
      </c>
    </row>
    <row r="78" spans="2:38" x14ac:dyDescent="0.25">
      <c r="B78" s="366">
        <v>45830</v>
      </c>
      <c r="C78" s="158">
        <f>COUNTIFS('2025-Q2'!$E$4:$E$422,'SPDR Chart'!C$3,'2025-Q2'!$F$4:$F$422,'SPDR Chart'!$B78,'2025-Q2'!$D$4:$D$422,"Y")</f>
        <v>0</v>
      </c>
      <c r="D78" s="158">
        <f>COUNTIFS('2025-Q2'!$E$4:$E$422,'SPDR Chart'!D$3,'2025-Q2'!$F$4:$F$422,'SPDR Chart'!$B78,'2025-Q2'!$D$4:$D$422,"Y")</f>
        <v>0</v>
      </c>
      <c r="E78" s="158">
        <f>COUNTIFS('2025-Q2'!$E$4:$E$422,'SPDR Chart'!E$3,'2025-Q2'!$F$4:$F$422,'SPDR Chart'!$B78,'2025-Q2'!$D$4:$D$422,"Y")</f>
        <v>0</v>
      </c>
      <c r="F78" s="158">
        <f>COUNTIFS('2025-Q2'!$E$4:$E$422,'SPDR Chart'!F$3,'2025-Q2'!$F$4:$F$422,'SPDR Chart'!$B78,'2025-Q2'!$D$4:$D$422,"Y")</f>
        <v>0</v>
      </c>
      <c r="G78" s="158">
        <f>COUNTIFS('2025-Q2'!$E$4:$E$422,'SPDR Chart'!G$3,'2025-Q2'!$F$4:$F$422,'SPDR Chart'!$B78,'2025-Q2'!$D$4:$D$422,"Y")</f>
        <v>0</v>
      </c>
      <c r="H78" s="158">
        <f>COUNTIFS('2025-Q2'!$E$4:$E$422,'SPDR Chart'!H$3,'2025-Q2'!$F$4:$F$422,'SPDR Chart'!$B78,'2025-Q2'!$D$4:$D$422,"Y")</f>
        <v>0</v>
      </c>
      <c r="I78" s="158">
        <f>COUNTIFS('2025-Q2'!$E$4:$E$422,'SPDR Chart'!I$3,'2025-Q2'!$F$4:$F$422,'SPDR Chart'!$B78,'2025-Q2'!$D$4:$D$422,"Y")</f>
        <v>0</v>
      </c>
      <c r="J78" s="158">
        <f>COUNTIFS('2025-Q2'!$E$4:$E$422,'SPDR Chart'!J$3,'2025-Q2'!$F$4:$F$422,'SPDR Chart'!$B78,'2025-Q2'!$D$4:$D$422,"Y")</f>
        <v>0</v>
      </c>
      <c r="K78" s="158">
        <f>COUNTIFS('2025-Q2'!$E$4:$E$422,'SPDR Chart'!K$3,'2025-Q2'!$F$4:$F$422,'SPDR Chart'!$B78,'2025-Q2'!$D$4:$D$422,"Y")</f>
        <v>0</v>
      </c>
      <c r="L78" s="158">
        <f>COUNTIFS('2025-Q2'!$E$4:$E$422,'SPDR Chart'!L$3,'2025-Q2'!$F$4:$F$422,'SPDR Chart'!$B78,'2025-Q2'!$D$4:$D$422,"Y")</f>
        <v>0</v>
      </c>
      <c r="M78" s="158">
        <f>COUNTIFS('2025-Q2'!$E$4:$E$422,'SPDR Chart'!M$3,'2025-Q2'!$F$4:$F$422,'SPDR Chart'!$B78,'2025-Q2'!$D$4:$D$422,"Y")</f>
        <v>0</v>
      </c>
      <c r="N78" s="158">
        <f>COUNTIFS('2025-Q2'!$E$4:$E$422,'SPDR Chart'!N$3,'2025-Q2'!$F$4:$F$422,'SPDR Chart'!$B78,'2025-Q2'!$D$4:$D$422,"Y")</f>
        <v>0</v>
      </c>
      <c r="O78" s="158">
        <f>COUNTIFS('2025-Q2'!$E$4:$E$422,'SPDR Chart'!O$3,'2025-Q2'!$F$4:$F$422,'SPDR Chart'!$B78,'2025-Q2'!$D$4:$D$422,"Y")</f>
        <v>0</v>
      </c>
      <c r="P78" s="158">
        <f>COUNTIFS('2025-Q2'!$E$4:$E$422,'SPDR Chart'!P$3,'2025-Q2'!$F$4:$F$422,'SPDR Chart'!$B78,'2025-Q2'!$D$4:$D$422,"Y")</f>
        <v>0</v>
      </c>
      <c r="Q78" s="363">
        <f>COUNTIFS('2025-Q2'!$E$4:$E$422,'SPDR Chart'!Q$3,'2025-Q2'!$F$4:$F$422,'SPDR Chart'!$B78,'2025-Q2'!$D$4:$D$422,"Y")</f>
        <v>0</v>
      </c>
      <c r="R78" s="457">
        <f t="shared" si="6"/>
        <v>0</v>
      </c>
      <c r="S78" s="458">
        <f>SUM($R$4:R78)/SUM($R$4:$R$86)</f>
        <v>0.98554913294797686</v>
      </c>
      <c r="U78" s="366">
        <v>45830</v>
      </c>
      <c r="V78" s="158">
        <f>COUNTIFS('2025-Q2'!$E$4:$E$422,'SPDR Chart'!V$3,'2025-Q2'!$F$4:$F$422,'SPDR Chart'!$B78,'2025-Q2'!$D$4:$D$422,"N")</f>
        <v>0</v>
      </c>
      <c r="W78" s="158">
        <f>COUNTIFS('2025-Q2'!$E$4:$E$422,'SPDR Chart'!W$3,'2025-Q2'!$F$4:$F$422,'SPDR Chart'!$B78,'2025-Q2'!$D$4:$D$422,"N")</f>
        <v>0</v>
      </c>
      <c r="X78" s="158">
        <f>COUNTIFS('2025-Q2'!$E$4:$E$422,'SPDR Chart'!X$3,'2025-Q2'!$F$4:$F$422,'SPDR Chart'!$B78,'2025-Q2'!$D$4:$D$422,"N")</f>
        <v>0</v>
      </c>
      <c r="Y78" s="158">
        <f>COUNTIFS('2025-Q2'!$E$4:$E$422,'SPDR Chart'!Y$3,'2025-Q2'!$F$4:$F$422,'SPDR Chart'!$B78,'2025-Q2'!$D$4:$D$422,"N")</f>
        <v>0</v>
      </c>
      <c r="Z78" s="158">
        <f>COUNTIFS('2025-Q2'!$E$4:$E$422,'SPDR Chart'!Z$3,'2025-Q2'!$F$4:$F$422,'SPDR Chart'!$B78,'2025-Q2'!$D$4:$D$422,"N")</f>
        <v>0</v>
      </c>
      <c r="AA78" s="158">
        <f>COUNTIFS('2025-Q2'!$E$4:$E$422,'SPDR Chart'!AA$3,'2025-Q2'!$F$4:$F$422,'SPDR Chart'!$B78,'2025-Q2'!$D$4:$D$422,"N")</f>
        <v>0</v>
      </c>
      <c r="AB78" s="158">
        <f>COUNTIFS('2025-Q2'!$E$4:$E$422,'SPDR Chart'!AB$3,'2025-Q2'!$F$4:$F$422,'SPDR Chart'!$B78,'2025-Q2'!$D$4:$D$422,"N")</f>
        <v>0</v>
      </c>
      <c r="AC78" s="158">
        <f>COUNTIFS('2025-Q2'!$E$4:$E$422,'SPDR Chart'!AC$3,'2025-Q2'!$F$4:$F$422,'SPDR Chart'!$B78,'2025-Q2'!$D$4:$D$422,"N")</f>
        <v>0</v>
      </c>
      <c r="AD78" s="158">
        <f>COUNTIFS('2025-Q2'!$E$4:$E$422,'SPDR Chart'!AD$3,'2025-Q2'!$F$4:$F$422,'SPDR Chart'!$B78,'2025-Q2'!$D$4:$D$422,"N")</f>
        <v>0</v>
      </c>
      <c r="AE78" s="158">
        <f>COUNTIFS('2025-Q2'!$E$4:$E$422,'SPDR Chart'!AE$3,'2025-Q2'!$F$4:$F$422,'SPDR Chart'!$B78,'2025-Q2'!$D$4:$D$422,"N")</f>
        <v>0</v>
      </c>
      <c r="AF78" s="158">
        <f>COUNTIFS('2025-Q2'!$E$4:$E$422,'SPDR Chart'!AF$3,'2025-Q2'!$F$4:$F$422,'SPDR Chart'!$B78,'2025-Q2'!$D$4:$D$422,"N")</f>
        <v>0</v>
      </c>
      <c r="AG78" s="158">
        <f>COUNTIFS('2025-Q2'!$E$4:$E$422,'SPDR Chart'!AG$3,'2025-Q2'!$F$4:$F$422,'SPDR Chart'!$B78,'2025-Q2'!$D$4:$D$422,"N")</f>
        <v>0</v>
      </c>
      <c r="AH78" s="158">
        <f>COUNTIFS('2025-Q2'!$E$4:$E$422,'SPDR Chart'!AH$3,'2025-Q2'!$F$4:$F$422,'SPDR Chart'!$B78,'2025-Q2'!$D$4:$D$422,"N")</f>
        <v>0</v>
      </c>
      <c r="AI78" s="158">
        <f>COUNTIFS('2025-Q2'!$E$4:$E$422,'SPDR Chart'!AI$3,'2025-Q2'!$F$4:$F$422,'SPDR Chart'!$B78,'2025-Q2'!$D$4:$D$422,"N")</f>
        <v>0</v>
      </c>
      <c r="AJ78" s="363">
        <f>COUNTIFS('2025-Q2'!$E$4:$E$422,'SPDR Chart'!AJ$3,'2025-Q2'!$F$4:$F$422,'SPDR Chart'!$B78,'2025-Q2'!$D$4:$D$422,"N")</f>
        <v>0</v>
      </c>
      <c r="AK78" s="457">
        <f t="shared" si="7"/>
        <v>0</v>
      </c>
      <c r="AL78" s="458">
        <f>SUM($AK$4:AK78)/SUM($AK$4:$AK$86)</f>
        <v>0.9850746268656716</v>
      </c>
    </row>
    <row r="79" spans="2:38" x14ac:dyDescent="0.25">
      <c r="B79" s="366">
        <v>45831</v>
      </c>
      <c r="C79" s="158">
        <f>COUNTIFS('2025-Q2'!$E$4:$E$422,'SPDR Chart'!C$3,'2025-Q2'!$F$4:$F$422,'SPDR Chart'!$B79,'2025-Q2'!$D$4:$D$422,"Y")</f>
        <v>0</v>
      </c>
      <c r="D79" s="158">
        <f>COUNTIFS('2025-Q2'!$E$4:$E$422,'SPDR Chart'!D$3,'2025-Q2'!$F$4:$F$422,'SPDR Chart'!$B79,'2025-Q2'!$D$4:$D$422,"Y")</f>
        <v>0</v>
      </c>
      <c r="E79" s="158">
        <f>COUNTIFS('2025-Q2'!$E$4:$E$422,'SPDR Chart'!E$3,'2025-Q2'!$F$4:$F$422,'SPDR Chart'!$B79,'2025-Q2'!$D$4:$D$422,"Y")</f>
        <v>0</v>
      </c>
      <c r="F79" s="158">
        <f>COUNTIFS('2025-Q2'!$E$4:$E$422,'SPDR Chart'!F$3,'2025-Q2'!$F$4:$F$422,'SPDR Chart'!$B79,'2025-Q2'!$D$4:$D$422,"Y")</f>
        <v>0</v>
      </c>
      <c r="G79" s="158">
        <f>COUNTIFS('2025-Q2'!$E$4:$E$422,'SPDR Chart'!G$3,'2025-Q2'!$F$4:$F$422,'SPDR Chart'!$B79,'2025-Q2'!$D$4:$D$422,"Y")</f>
        <v>0</v>
      </c>
      <c r="H79" s="158">
        <f>COUNTIFS('2025-Q2'!$E$4:$E$422,'SPDR Chart'!H$3,'2025-Q2'!$F$4:$F$422,'SPDR Chart'!$B79,'2025-Q2'!$D$4:$D$422,"Y")</f>
        <v>0</v>
      </c>
      <c r="I79" s="158">
        <f>COUNTIFS('2025-Q2'!$E$4:$E$422,'SPDR Chart'!I$3,'2025-Q2'!$F$4:$F$422,'SPDR Chart'!$B79,'2025-Q2'!$D$4:$D$422,"Y")</f>
        <v>0</v>
      </c>
      <c r="J79" s="158">
        <f>COUNTIFS('2025-Q2'!$E$4:$E$422,'SPDR Chart'!J$3,'2025-Q2'!$F$4:$F$422,'SPDR Chart'!$B79,'2025-Q2'!$D$4:$D$422,"Y")</f>
        <v>0</v>
      </c>
      <c r="K79" s="158">
        <f>COUNTIFS('2025-Q2'!$E$4:$E$422,'SPDR Chart'!K$3,'2025-Q2'!$F$4:$F$422,'SPDR Chart'!$B79,'2025-Q2'!$D$4:$D$422,"Y")</f>
        <v>0</v>
      </c>
      <c r="L79" s="158">
        <f>COUNTIFS('2025-Q2'!$E$4:$E$422,'SPDR Chart'!L$3,'2025-Q2'!$F$4:$F$422,'SPDR Chart'!$B79,'2025-Q2'!$D$4:$D$422,"Y")</f>
        <v>0</v>
      </c>
      <c r="M79" s="158">
        <f>COUNTIFS('2025-Q2'!$E$4:$E$422,'SPDR Chart'!M$3,'2025-Q2'!$F$4:$F$422,'SPDR Chart'!$B79,'2025-Q2'!$D$4:$D$422,"Y")</f>
        <v>0</v>
      </c>
      <c r="N79" s="158">
        <f>COUNTIFS('2025-Q2'!$E$4:$E$422,'SPDR Chart'!N$3,'2025-Q2'!$F$4:$F$422,'SPDR Chart'!$B79,'2025-Q2'!$D$4:$D$422,"Y")</f>
        <v>0</v>
      </c>
      <c r="O79" s="158">
        <f>COUNTIFS('2025-Q2'!$E$4:$E$422,'SPDR Chart'!O$3,'2025-Q2'!$F$4:$F$422,'SPDR Chart'!$B79,'2025-Q2'!$D$4:$D$422,"Y")</f>
        <v>0</v>
      </c>
      <c r="P79" s="158">
        <f>COUNTIFS('2025-Q2'!$E$4:$E$422,'SPDR Chart'!P$3,'2025-Q2'!$F$4:$F$422,'SPDR Chart'!$B79,'2025-Q2'!$D$4:$D$422,"Y")</f>
        <v>0</v>
      </c>
      <c r="Q79" s="363">
        <f>COUNTIFS('2025-Q2'!$E$4:$E$422,'SPDR Chart'!Q$3,'2025-Q2'!$F$4:$F$422,'SPDR Chart'!$B79,'2025-Q2'!$D$4:$D$422,"Y")</f>
        <v>0</v>
      </c>
      <c r="R79" s="457">
        <f t="shared" si="6"/>
        <v>0</v>
      </c>
      <c r="S79" s="458">
        <f>SUM($R$4:R79)/SUM($R$4:$R$86)</f>
        <v>0.98554913294797686</v>
      </c>
      <c r="U79" s="366">
        <v>45831</v>
      </c>
      <c r="V79" s="158">
        <f>COUNTIFS('2025-Q2'!$E$4:$E$422,'SPDR Chart'!V$3,'2025-Q2'!$F$4:$F$422,'SPDR Chart'!$B79,'2025-Q2'!$D$4:$D$422,"N")</f>
        <v>0</v>
      </c>
      <c r="W79" s="158">
        <f>COUNTIFS('2025-Q2'!$E$4:$E$422,'SPDR Chart'!W$3,'2025-Q2'!$F$4:$F$422,'SPDR Chart'!$B79,'2025-Q2'!$D$4:$D$422,"N")</f>
        <v>0</v>
      </c>
      <c r="X79" s="158">
        <f>COUNTIFS('2025-Q2'!$E$4:$E$422,'SPDR Chart'!X$3,'2025-Q2'!$F$4:$F$422,'SPDR Chart'!$B79,'2025-Q2'!$D$4:$D$422,"N")</f>
        <v>0</v>
      </c>
      <c r="Y79" s="158">
        <f>COUNTIFS('2025-Q2'!$E$4:$E$422,'SPDR Chart'!Y$3,'2025-Q2'!$F$4:$F$422,'SPDR Chart'!$B79,'2025-Q2'!$D$4:$D$422,"N")</f>
        <v>0</v>
      </c>
      <c r="Z79" s="158">
        <f>COUNTIFS('2025-Q2'!$E$4:$E$422,'SPDR Chart'!Z$3,'2025-Q2'!$F$4:$F$422,'SPDR Chart'!$B79,'2025-Q2'!$D$4:$D$422,"N")</f>
        <v>0</v>
      </c>
      <c r="AA79" s="158">
        <f>COUNTIFS('2025-Q2'!$E$4:$E$422,'SPDR Chart'!AA$3,'2025-Q2'!$F$4:$F$422,'SPDR Chart'!$B79,'2025-Q2'!$D$4:$D$422,"N")</f>
        <v>0</v>
      </c>
      <c r="AB79" s="158">
        <f>COUNTIFS('2025-Q2'!$E$4:$E$422,'SPDR Chart'!AB$3,'2025-Q2'!$F$4:$F$422,'SPDR Chart'!$B79,'2025-Q2'!$D$4:$D$422,"N")</f>
        <v>0</v>
      </c>
      <c r="AC79" s="158">
        <f>COUNTIFS('2025-Q2'!$E$4:$E$422,'SPDR Chart'!AC$3,'2025-Q2'!$F$4:$F$422,'SPDR Chart'!$B79,'2025-Q2'!$D$4:$D$422,"N")</f>
        <v>0</v>
      </c>
      <c r="AD79" s="158">
        <f>COUNTIFS('2025-Q2'!$E$4:$E$422,'SPDR Chart'!AD$3,'2025-Q2'!$F$4:$F$422,'SPDR Chart'!$B79,'2025-Q2'!$D$4:$D$422,"N")</f>
        <v>0</v>
      </c>
      <c r="AE79" s="158">
        <f>COUNTIFS('2025-Q2'!$E$4:$E$422,'SPDR Chart'!AE$3,'2025-Q2'!$F$4:$F$422,'SPDR Chart'!$B79,'2025-Q2'!$D$4:$D$422,"N")</f>
        <v>0</v>
      </c>
      <c r="AF79" s="158">
        <f>COUNTIFS('2025-Q2'!$E$4:$E$422,'SPDR Chart'!AF$3,'2025-Q2'!$F$4:$F$422,'SPDR Chart'!$B79,'2025-Q2'!$D$4:$D$422,"N")</f>
        <v>0</v>
      </c>
      <c r="AG79" s="158">
        <f>COUNTIFS('2025-Q2'!$E$4:$E$422,'SPDR Chart'!AG$3,'2025-Q2'!$F$4:$F$422,'SPDR Chart'!$B79,'2025-Q2'!$D$4:$D$422,"N")</f>
        <v>0</v>
      </c>
      <c r="AH79" s="158">
        <f>COUNTIFS('2025-Q2'!$E$4:$E$422,'SPDR Chart'!AH$3,'2025-Q2'!$F$4:$F$422,'SPDR Chart'!$B79,'2025-Q2'!$D$4:$D$422,"N")</f>
        <v>0</v>
      </c>
      <c r="AI79" s="158">
        <f>COUNTIFS('2025-Q2'!$E$4:$E$422,'SPDR Chart'!AI$3,'2025-Q2'!$F$4:$F$422,'SPDR Chart'!$B79,'2025-Q2'!$D$4:$D$422,"N")</f>
        <v>0</v>
      </c>
      <c r="AJ79" s="363">
        <f>COUNTIFS('2025-Q2'!$E$4:$E$422,'SPDR Chart'!AJ$3,'2025-Q2'!$F$4:$F$422,'SPDR Chart'!$B79,'2025-Q2'!$D$4:$D$422,"N")</f>
        <v>0</v>
      </c>
      <c r="AK79" s="457">
        <f t="shared" si="7"/>
        <v>0</v>
      </c>
      <c r="AL79" s="458">
        <f>SUM($AK$4:AK79)/SUM($AK$4:$AK$86)</f>
        <v>0.9850746268656716</v>
      </c>
    </row>
    <row r="80" spans="2:38" x14ac:dyDescent="0.25">
      <c r="B80" s="366">
        <v>45832</v>
      </c>
      <c r="C80" s="158">
        <f>COUNTIFS('2025-Q2'!$E$4:$E$422,'SPDR Chart'!C$3,'2025-Q2'!$F$4:$F$422,'SPDR Chart'!$B80,'2025-Q2'!$D$4:$D$422,"Y")</f>
        <v>0</v>
      </c>
      <c r="D80" s="158">
        <f>COUNTIFS('2025-Q2'!$E$4:$E$422,'SPDR Chart'!D$3,'2025-Q2'!$F$4:$F$422,'SPDR Chart'!$B80,'2025-Q2'!$D$4:$D$422,"Y")</f>
        <v>0</v>
      </c>
      <c r="E80" s="158">
        <f>COUNTIFS('2025-Q2'!$E$4:$E$422,'SPDR Chart'!E$3,'2025-Q2'!$F$4:$F$422,'SPDR Chart'!$B80,'2025-Q2'!$D$4:$D$422,"Y")</f>
        <v>0</v>
      </c>
      <c r="F80" s="158">
        <f>COUNTIFS('2025-Q2'!$E$4:$E$422,'SPDR Chart'!F$3,'2025-Q2'!$F$4:$F$422,'SPDR Chart'!$B80,'2025-Q2'!$D$4:$D$422,"Y")</f>
        <v>0</v>
      </c>
      <c r="G80" s="158">
        <f>COUNTIFS('2025-Q2'!$E$4:$E$422,'SPDR Chart'!G$3,'2025-Q2'!$F$4:$F$422,'SPDR Chart'!$B80,'2025-Q2'!$D$4:$D$422,"Y")</f>
        <v>0</v>
      </c>
      <c r="H80" s="158">
        <f>COUNTIFS('2025-Q2'!$E$4:$E$422,'SPDR Chart'!H$3,'2025-Q2'!$F$4:$F$422,'SPDR Chart'!$B80,'2025-Q2'!$D$4:$D$422,"Y")</f>
        <v>0</v>
      </c>
      <c r="I80" s="158">
        <f>COUNTIFS('2025-Q2'!$E$4:$E$422,'SPDR Chart'!I$3,'2025-Q2'!$F$4:$F$422,'SPDR Chart'!$B80,'2025-Q2'!$D$4:$D$422,"Y")</f>
        <v>0</v>
      </c>
      <c r="J80" s="158">
        <f>COUNTIFS('2025-Q2'!$E$4:$E$422,'SPDR Chart'!J$3,'2025-Q2'!$F$4:$F$422,'SPDR Chart'!$B80,'2025-Q2'!$D$4:$D$422,"Y")</f>
        <v>1</v>
      </c>
      <c r="K80" s="158">
        <f>COUNTIFS('2025-Q2'!$E$4:$E$422,'SPDR Chart'!K$3,'2025-Q2'!$F$4:$F$422,'SPDR Chart'!$B80,'2025-Q2'!$D$4:$D$422,"Y")</f>
        <v>0</v>
      </c>
      <c r="L80" s="158">
        <f>COUNTIFS('2025-Q2'!$E$4:$E$422,'SPDR Chart'!L$3,'2025-Q2'!$F$4:$F$422,'SPDR Chart'!$B80,'2025-Q2'!$D$4:$D$422,"Y")</f>
        <v>0</v>
      </c>
      <c r="M80" s="158">
        <f>COUNTIFS('2025-Q2'!$E$4:$E$422,'SPDR Chart'!M$3,'2025-Q2'!$F$4:$F$422,'SPDR Chart'!$B80,'2025-Q2'!$D$4:$D$422,"Y")</f>
        <v>0</v>
      </c>
      <c r="N80" s="158">
        <f>COUNTIFS('2025-Q2'!$E$4:$E$422,'SPDR Chart'!N$3,'2025-Q2'!$F$4:$F$422,'SPDR Chart'!$B80,'2025-Q2'!$D$4:$D$422,"Y")</f>
        <v>0</v>
      </c>
      <c r="O80" s="158">
        <f>COUNTIFS('2025-Q2'!$E$4:$E$422,'SPDR Chart'!O$3,'2025-Q2'!$F$4:$F$422,'SPDR Chart'!$B80,'2025-Q2'!$D$4:$D$422,"Y")</f>
        <v>0</v>
      </c>
      <c r="P80" s="158">
        <f>COUNTIFS('2025-Q2'!$E$4:$E$422,'SPDR Chart'!P$3,'2025-Q2'!$F$4:$F$422,'SPDR Chart'!$B80,'2025-Q2'!$D$4:$D$422,"Y")</f>
        <v>0</v>
      </c>
      <c r="Q80" s="363">
        <f>COUNTIFS('2025-Q2'!$E$4:$E$422,'SPDR Chart'!Q$3,'2025-Q2'!$F$4:$F$422,'SPDR Chart'!$B80,'2025-Q2'!$D$4:$D$422,"Y")</f>
        <v>0</v>
      </c>
      <c r="R80" s="457">
        <f t="shared" si="6"/>
        <v>1</v>
      </c>
      <c r="S80" s="458">
        <f>SUM($R$4:R80)/SUM($R$4:$R$86)</f>
        <v>0.98843930635838151</v>
      </c>
      <c r="U80" s="366">
        <v>45832</v>
      </c>
      <c r="V80" s="158">
        <f>COUNTIFS('2025-Q2'!$E$4:$E$422,'SPDR Chart'!V$3,'2025-Q2'!$F$4:$F$422,'SPDR Chart'!$B80,'2025-Q2'!$D$4:$D$422,"N")</f>
        <v>0</v>
      </c>
      <c r="W80" s="158">
        <f>COUNTIFS('2025-Q2'!$E$4:$E$422,'SPDR Chart'!W$3,'2025-Q2'!$F$4:$F$422,'SPDR Chart'!$B80,'2025-Q2'!$D$4:$D$422,"N")</f>
        <v>0</v>
      </c>
      <c r="X80" s="158">
        <f>COUNTIFS('2025-Q2'!$E$4:$E$422,'SPDR Chart'!X$3,'2025-Q2'!$F$4:$F$422,'SPDR Chart'!$B80,'2025-Q2'!$D$4:$D$422,"N")</f>
        <v>0</v>
      </c>
      <c r="Y80" s="158">
        <f>COUNTIFS('2025-Q2'!$E$4:$E$422,'SPDR Chart'!Y$3,'2025-Q2'!$F$4:$F$422,'SPDR Chart'!$B80,'2025-Q2'!$D$4:$D$422,"N")</f>
        <v>0</v>
      </c>
      <c r="Z80" s="158">
        <f>COUNTIFS('2025-Q2'!$E$4:$E$422,'SPDR Chart'!Z$3,'2025-Q2'!$F$4:$F$422,'SPDR Chart'!$B80,'2025-Q2'!$D$4:$D$422,"N")</f>
        <v>0</v>
      </c>
      <c r="AA80" s="158">
        <f>COUNTIFS('2025-Q2'!$E$4:$E$422,'SPDR Chart'!AA$3,'2025-Q2'!$F$4:$F$422,'SPDR Chart'!$B80,'2025-Q2'!$D$4:$D$422,"N")</f>
        <v>0</v>
      </c>
      <c r="AB80" s="158">
        <f>COUNTIFS('2025-Q2'!$E$4:$E$422,'SPDR Chart'!AB$3,'2025-Q2'!$F$4:$F$422,'SPDR Chart'!$B80,'2025-Q2'!$D$4:$D$422,"N")</f>
        <v>0</v>
      </c>
      <c r="AC80" s="158">
        <f>COUNTIFS('2025-Q2'!$E$4:$E$422,'SPDR Chart'!AC$3,'2025-Q2'!$F$4:$F$422,'SPDR Chart'!$B80,'2025-Q2'!$D$4:$D$422,"N")</f>
        <v>0</v>
      </c>
      <c r="AD80" s="158">
        <f>COUNTIFS('2025-Q2'!$E$4:$E$422,'SPDR Chart'!AD$3,'2025-Q2'!$F$4:$F$422,'SPDR Chart'!$B80,'2025-Q2'!$D$4:$D$422,"N")</f>
        <v>0</v>
      </c>
      <c r="AE80" s="158">
        <f>COUNTIFS('2025-Q2'!$E$4:$E$422,'SPDR Chart'!AE$3,'2025-Q2'!$F$4:$F$422,'SPDR Chart'!$B80,'2025-Q2'!$D$4:$D$422,"N")</f>
        <v>1</v>
      </c>
      <c r="AF80" s="158">
        <f>COUNTIFS('2025-Q2'!$E$4:$E$422,'SPDR Chart'!AF$3,'2025-Q2'!$F$4:$F$422,'SPDR Chart'!$B80,'2025-Q2'!$D$4:$D$422,"N")</f>
        <v>0</v>
      </c>
      <c r="AG80" s="158">
        <f>COUNTIFS('2025-Q2'!$E$4:$E$422,'SPDR Chart'!AG$3,'2025-Q2'!$F$4:$F$422,'SPDR Chart'!$B80,'2025-Q2'!$D$4:$D$422,"N")</f>
        <v>0</v>
      </c>
      <c r="AH80" s="158">
        <f>COUNTIFS('2025-Q2'!$E$4:$E$422,'SPDR Chart'!AH$3,'2025-Q2'!$F$4:$F$422,'SPDR Chart'!$B80,'2025-Q2'!$D$4:$D$422,"N")</f>
        <v>0</v>
      </c>
      <c r="AI80" s="158">
        <f>COUNTIFS('2025-Q2'!$E$4:$E$422,'SPDR Chart'!AI$3,'2025-Q2'!$F$4:$F$422,'SPDR Chart'!$B80,'2025-Q2'!$D$4:$D$422,"N")</f>
        <v>0</v>
      </c>
      <c r="AJ80" s="363">
        <f>COUNTIFS('2025-Q2'!$E$4:$E$422,'SPDR Chart'!AJ$3,'2025-Q2'!$F$4:$F$422,'SPDR Chart'!$B80,'2025-Q2'!$D$4:$D$422,"N")</f>
        <v>0</v>
      </c>
      <c r="AK80" s="457">
        <f t="shared" si="7"/>
        <v>1</v>
      </c>
      <c r="AL80" s="458">
        <f>SUM($AK$4:AK80)/SUM($AK$4:$AK$86)</f>
        <v>1</v>
      </c>
    </row>
    <row r="81" spans="2:38" x14ac:dyDescent="0.25">
      <c r="B81" s="366">
        <v>45833</v>
      </c>
      <c r="C81" s="158">
        <f>COUNTIFS('2025-Q2'!$E$4:$E$422,'SPDR Chart'!C$3,'2025-Q2'!$F$4:$F$422,'SPDR Chart'!$B81,'2025-Q2'!$D$4:$D$422,"Y")</f>
        <v>1</v>
      </c>
      <c r="D81" s="158">
        <f>COUNTIFS('2025-Q2'!$E$4:$E$422,'SPDR Chart'!D$3,'2025-Q2'!$F$4:$F$422,'SPDR Chart'!$B81,'2025-Q2'!$D$4:$D$422,"Y")</f>
        <v>0</v>
      </c>
      <c r="E81" s="158">
        <f>COUNTIFS('2025-Q2'!$E$4:$E$422,'SPDR Chart'!E$3,'2025-Q2'!$F$4:$F$422,'SPDR Chart'!$B81,'2025-Q2'!$D$4:$D$422,"Y")</f>
        <v>0</v>
      </c>
      <c r="F81" s="158">
        <f>COUNTIFS('2025-Q2'!$E$4:$E$422,'SPDR Chart'!F$3,'2025-Q2'!$F$4:$F$422,'SPDR Chart'!$B81,'2025-Q2'!$D$4:$D$422,"Y")</f>
        <v>0</v>
      </c>
      <c r="G81" s="158">
        <f>COUNTIFS('2025-Q2'!$E$4:$E$422,'SPDR Chart'!G$3,'2025-Q2'!$F$4:$F$422,'SPDR Chart'!$B81,'2025-Q2'!$D$4:$D$422,"Y")</f>
        <v>0</v>
      </c>
      <c r="H81" s="158">
        <f>COUNTIFS('2025-Q2'!$E$4:$E$422,'SPDR Chart'!H$3,'2025-Q2'!$F$4:$F$422,'SPDR Chart'!$B81,'2025-Q2'!$D$4:$D$422,"Y")</f>
        <v>0</v>
      </c>
      <c r="I81" s="158">
        <f>COUNTIFS('2025-Q2'!$E$4:$E$422,'SPDR Chart'!I$3,'2025-Q2'!$F$4:$F$422,'SPDR Chart'!$B81,'2025-Q2'!$D$4:$D$422,"Y")</f>
        <v>0</v>
      </c>
      <c r="J81" s="158">
        <f>COUNTIFS('2025-Q2'!$E$4:$E$422,'SPDR Chart'!J$3,'2025-Q2'!$F$4:$F$422,'SPDR Chart'!$B81,'2025-Q2'!$D$4:$D$422,"Y")</f>
        <v>0</v>
      </c>
      <c r="K81" s="158">
        <f>COUNTIFS('2025-Q2'!$E$4:$E$422,'SPDR Chart'!K$3,'2025-Q2'!$F$4:$F$422,'SPDR Chart'!$B81,'2025-Q2'!$D$4:$D$422,"Y")</f>
        <v>0</v>
      </c>
      <c r="L81" s="158">
        <f>COUNTIFS('2025-Q2'!$E$4:$E$422,'SPDR Chart'!L$3,'2025-Q2'!$F$4:$F$422,'SPDR Chart'!$B81,'2025-Q2'!$D$4:$D$422,"Y")</f>
        <v>0</v>
      </c>
      <c r="M81" s="158">
        <f>COUNTIFS('2025-Q2'!$E$4:$E$422,'SPDR Chart'!M$3,'2025-Q2'!$F$4:$F$422,'SPDR Chart'!$B81,'2025-Q2'!$D$4:$D$422,"Y")</f>
        <v>0</v>
      </c>
      <c r="N81" s="158">
        <f>COUNTIFS('2025-Q2'!$E$4:$E$422,'SPDR Chart'!N$3,'2025-Q2'!$F$4:$F$422,'SPDR Chart'!$B81,'2025-Q2'!$D$4:$D$422,"Y")</f>
        <v>0</v>
      </c>
      <c r="O81" s="158">
        <f>COUNTIFS('2025-Q2'!$E$4:$E$422,'SPDR Chart'!O$3,'2025-Q2'!$F$4:$F$422,'SPDR Chart'!$B81,'2025-Q2'!$D$4:$D$422,"Y")</f>
        <v>1</v>
      </c>
      <c r="P81" s="158">
        <f>COUNTIFS('2025-Q2'!$E$4:$E$422,'SPDR Chart'!P$3,'2025-Q2'!$F$4:$F$422,'SPDR Chart'!$B81,'2025-Q2'!$D$4:$D$422,"Y")</f>
        <v>0</v>
      </c>
      <c r="Q81" s="363">
        <f>COUNTIFS('2025-Q2'!$E$4:$E$422,'SPDR Chart'!Q$3,'2025-Q2'!$F$4:$F$422,'SPDR Chart'!$B81,'2025-Q2'!$D$4:$D$422,"Y")</f>
        <v>0</v>
      </c>
      <c r="R81" s="457">
        <f t="shared" si="6"/>
        <v>2</v>
      </c>
      <c r="S81" s="458">
        <f>SUM($R$4:R81)/SUM($R$4:$R$86)</f>
        <v>0.9942196531791907</v>
      </c>
      <c r="U81" s="366">
        <v>45833</v>
      </c>
      <c r="V81" s="158">
        <f>COUNTIFS('2025-Q2'!$E$4:$E$422,'SPDR Chart'!V$3,'2025-Q2'!$F$4:$F$422,'SPDR Chart'!$B81,'2025-Q2'!$D$4:$D$422,"N")</f>
        <v>0</v>
      </c>
      <c r="W81" s="158">
        <f>COUNTIFS('2025-Q2'!$E$4:$E$422,'SPDR Chart'!W$3,'2025-Q2'!$F$4:$F$422,'SPDR Chart'!$B81,'2025-Q2'!$D$4:$D$422,"N")</f>
        <v>0</v>
      </c>
      <c r="X81" s="158">
        <f>COUNTIFS('2025-Q2'!$E$4:$E$422,'SPDR Chart'!X$3,'2025-Q2'!$F$4:$F$422,'SPDR Chart'!$B81,'2025-Q2'!$D$4:$D$422,"N")</f>
        <v>0</v>
      </c>
      <c r="Y81" s="158">
        <f>COUNTIFS('2025-Q2'!$E$4:$E$422,'SPDR Chart'!Y$3,'2025-Q2'!$F$4:$F$422,'SPDR Chart'!$B81,'2025-Q2'!$D$4:$D$422,"N")</f>
        <v>0</v>
      </c>
      <c r="Z81" s="158">
        <f>COUNTIFS('2025-Q2'!$E$4:$E$422,'SPDR Chart'!Z$3,'2025-Q2'!$F$4:$F$422,'SPDR Chart'!$B81,'2025-Q2'!$D$4:$D$422,"N")</f>
        <v>0</v>
      </c>
      <c r="AA81" s="158">
        <f>COUNTIFS('2025-Q2'!$E$4:$E$422,'SPDR Chart'!AA$3,'2025-Q2'!$F$4:$F$422,'SPDR Chart'!$B81,'2025-Q2'!$D$4:$D$422,"N")</f>
        <v>0</v>
      </c>
      <c r="AB81" s="158">
        <f>COUNTIFS('2025-Q2'!$E$4:$E$422,'SPDR Chart'!AB$3,'2025-Q2'!$F$4:$F$422,'SPDR Chart'!$B81,'2025-Q2'!$D$4:$D$422,"N")</f>
        <v>0</v>
      </c>
      <c r="AC81" s="158">
        <f>COUNTIFS('2025-Q2'!$E$4:$E$422,'SPDR Chart'!AC$3,'2025-Q2'!$F$4:$F$422,'SPDR Chart'!$B81,'2025-Q2'!$D$4:$D$422,"N")</f>
        <v>0</v>
      </c>
      <c r="AD81" s="158">
        <f>COUNTIFS('2025-Q2'!$E$4:$E$422,'SPDR Chart'!AD$3,'2025-Q2'!$F$4:$F$422,'SPDR Chart'!$B81,'2025-Q2'!$D$4:$D$422,"N")</f>
        <v>0</v>
      </c>
      <c r="AE81" s="158">
        <f>COUNTIFS('2025-Q2'!$E$4:$E$422,'SPDR Chart'!AE$3,'2025-Q2'!$F$4:$F$422,'SPDR Chart'!$B81,'2025-Q2'!$D$4:$D$422,"N")</f>
        <v>0</v>
      </c>
      <c r="AF81" s="158">
        <f>COUNTIFS('2025-Q2'!$E$4:$E$422,'SPDR Chart'!AF$3,'2025-Q2'!$F$4:$F$422,'SPDR Chart'!$B81,'2025-Q2'!$D$4:$D$422,"N")</f>
        <v>0</v>
      </c>
      <c r="AG81" s="158">
        <f>COUNTIFS('2025-Q2'!$E$4:$E$422,'SPDR Chart'!AG$3,'2025-Q2'!$F$4:$F$422,'SPDR Chart'!$B81,'2025-Q2'!$D$4:$D$422,"N")</f>
        <v>0</v>
      </c>
      <c r="AH81" s="158">
        <f>COUNTIFS('2025-Q2'!$E$4:$E$422,'SPDR Chart'!AH$3,'2025-Q2'!$F$4:$F$422,'SPDR Chart'!$B81,'2025-Q2'!$D$4:$D$422,"N")</f>
        <v>0</v>
      </c>
      <c r="AI81" s="158">
        <f>COUNTIFS('2025-Q2'!$E$4:$E$422,'SPDR Chart'!AI$3,'2025-Q2'!$F$4:$F$422,'SPDR Chart'!$B81,'2025-Q2'!$D$4:$D$422,"N")</f>
        <v>0</v>
      </c>
      <c r="AJ81" s="363">
        <f>COUNTIFS('2025-Q2'!$E$4:$E$422,'SPDR Chart'!AJ$3,'2025-Q2'!$F$4:$F$422,'SPDR Chart'!$B81,'2025-Q2'!$D$4:$D$422,"N")</f>
        <v>0</v>
      </c>
      <c r="AK81" s="457">
        <f t="shared" si="7"/>
        <v>0</v>
      </c>
      <c r="AL81" s="458">
        <f>SUM($AK$4:AK81)/SUM($AK$4:$AK$86)</f>
        <v>1</v>
      </c>
    </row>
    <row r="82" spans="2:38" x14ac:dyDescent="0.25">
      <c r="B82" s="366">
        <v>45834</v>
      </c>
      <c r="C82" s="158">
        <f>COUNTIFS('2025-Q2'!$E$4:$E$422,'SPDR Chart'!C$3,'2025-Q2'!$F$4:$F$422,'SPDR Chart'!$B82,'2025-Q2'!$D$4:$D$422,"Y")</f>
        <v>1</v>
      </c>
      <c r="D82" s="158">
        <f>COUNTIFS('2025-Q2'!$E$4:$E$422,'SPDR Chart'!D$3,'2025-Q2'!$F$4:$F$422,'SPDR Chart'!$B82,'2025-Q2'!$D$4:$D$422,"Y")</f>
        <v>0</v>
      </c>
      <c r="E82" s="158">
        <f>COUNTIFS('2025-Q2'!$E$4:$E$422,'SPDR Chart'!E$3,'2025-Q2'!$F$4:$F$422,'SPDR Chart'!$B82,'2025-Q2'!$D$4:$D$422,"Y")</f>
        <v>0</v>
      </c>
      <c r="F82" s="158">
        <f>COUNTIFS('2025-Q2'!$E$4:$E$422,'SPDR Chart'!F$3,'2025-Q2'!$F$4:$F$422,'SPDR Chart'!$B82,'2025-Q2'!$D$4:$D$422,"Y")</f>
        <v>0</v>
      </c>
      <c r="G82" s="158">
        <f>COUNTIFS('2025-Q2'!$E$4:$E$422,'SPDR Chart'!G$3,'2025-Q2'!$F$4:$F$422,'SPDR Chart'!$B82,'2025-Q2'!$D$4:$D$422,"Y")</f>
        <v>0</v>
      </c>
      <c r="H82" s="158">
        <f>COUNTIFS('2025-Q2'!$E$4:$E$422,'SPDR Chart'!H$3,'2025-Q2'!$F$4:$F$422,'SPDR Chart'!$B82,'2025-Q2'!$D$4:$D$422,"Y")</f>
        <v>0</v>
      </c>
      <c r="I82" s="158">
        <f>COUNTIFS('2025-Q2'!$E$4:$E$422,'SPDR Chart'!I$3,'2025-Q2'!$F$4:$F$422,'SPDR Chart'!$B82,'2025-Q2'!$D$4:$D$422,"Y")</f>
        <v>0</v>
      </c>
      <c r="J82" s="158">
        <f>COUNTIFS('2025-Q2'!$E$4:$E$422,'SPDR Chart'!J$3,'2025-Q2'!$F$4:$F$422,'SPDR Chart'!$B82,'2025-Q2'!$D$4:$D$422,"Y")</f>
        <v>1</v>
      </c>
      <c r="K82" s="158">
        <f>COUNTIFS('2025-Q2'!$E$4:$E$422,'SPDR Chart'!K$3,'2025-Q2'!$F$4:$F$422,'SPDR Chart'!$B82,'2025-Q2'!$D$4:$D$422,"Y")</f>
        <v>0</v>
      </c>
      <c r="L82" s="158">
        <f>COUNTIFS('2025-Q2'!$E$4:$E$422,'SPDR Chart'!L$3,'2025-Q2'!$F$4:$F$422,'SPDR Chart'!$B82,'2025-Q2'!$D$4:$D$422,"Y")</f>
        <v>0</v>
      </c>
      <c r="M82" s="158">
        <f>COUNTIFS('2025-Q2'!$E$4:$E$422,'SPDR Chart'!M$3,'2025-Q2'!$F$4:$F$422,'SPDR Chart'!$B82,'2025-Q2'!$D$4:$D$422,"Y")</f>
        <v>0</v>
      </c>
      <c r="N82" s="158">
        <f>COUNTIFS('2025-Q2'!$E$4:$E$422,'SPDR Chart'!N$3,'2025-Q2'!$F$4:$F$422,'SPDR Chart'!$B82,'2025-Q2'!$D$4:$D$422,"Y")</f>
        <v>0</v>
      </c>
      <c r="O82" s="158">
        <f>COUNTIFS('2025-Q2'!$E$4:$E$422,'SPDR Chart'!O$3,'2025-Q2'!$F$4:$F$422,'SPDR Chart'!$B82,'2025-Q2'!$D$4:$D$422,"Y")</f>
        <v>0</v>
      </c>
      <c r="P82" s="158">
        <f>COUNTIFS('2025-Q2'!$E$4:$E$422,'SPDR Chart'!P$3,'2025-Q2'!$F$4:$F$422,'SPDR Chart'!$B82,'2025-Q2'!$D$4:$D$422,"Y")</f>
        <v>0</v>
      </c>
      <c r="Q82" s="363">
        <f>COUNTIFS('2025-Q2'!$E$4:$E$422,'SPDR Chart'!Q$3,'2025-Q2'!$F$4:$F$422,'SPDR Chart'!$B82,'2025-Q2'!$D$4:$D$422,"Y")</f>
        <v>0</v>
      </c>
      <c r="R82" s="457">
        <f t="shared" si="6"/>
        <v>2</v>
      </c>
      <c r="S82" s="458">
        <f>SUM($R$4:R82)/SUM($R$4:$R$86)</f>
        <v>1</v>
      </c>
      <c r="U82" s="366">
        <v>45834</v>
      </c>
      <c r="V82" s="158">
        <f>COUNTIFS('2025-Q2'!$E$4:$E$422,'SPDR Chart'!V$3,'2025-Q2'!$F$4:$F$422,'SPDR Chart'!$B82,'2025-Q2'!$D$4:$D$422,"N")</f>
        <v>0</v>
      </c>
      <c r="W82" s="158">
        <f>COUNTIFS('2025-Q2'!$E$4:$E$422,'SPDR Chart'!W$3,'2025-Q2'!$F$4:$F$422,'SPDR Chart'!$B82,'2025-Q2'!$D$4:$D$422,"N")</f>
        <v>0</v>
      </c>
      <c r="X82" s="158">
        <f>COUNTIFS('2025-Q2'!$E$4:$E$422,'SPDR Chart'!X$3,'2025-Q2'!$F$4:$F$422,'SPDR Chart'!$B82,'2025-Q2'!$D$4:$D$422,"N")</f>
        <v>0</v>
      </c>
      <c r="Y82" s="158">
        <f>COUNTIFS('2025-Q2'!$E$4:$E$422,'SPDR Chart'!Y$3,'2025-Q2'!$F$4:$F$422,'SPDR Chart'!$B82,'2025-Q2'!$D$4:$D$422,"N")</f>
        <v>0</v>
      </c>
      <c r="Z82" s="158">
        <f>COUNTIFS('2025-Q2'!$E$4:$E$422,'SPDR Chart'!Z$3,'2025-Q2'!$F$4:$F$422,'SPDR Chart'!$B82,'2025-Q2'!$D$4:$D$422,"N")</f>
        <v>0</v>
      </c>
      <c r="AA82" s="158">
        <f>COUNTIFS('2025-Q2'!$E$4:$E$422,'SPDR Chart'!AA$3,'2025-Q2'!$F$4:$F$422,'SPDR Chart'!$B82,'2025-Q2'!$D$4:$D$422,"N")</f>
        <v>0</v>
      </c>
      <c r="AB82" s="158">
        <f>COUNTIFS('2025-Q2'!$E$4:$E$422,'SPDR Chart'!AB$3,'2025-Q2'!$F$4:$F$422,'SPDR Chart'!$B82,'2025-Q2'!$D$4:$D$422,"N")</f>
        <v>0</v>
      </c>
      <c r="AC82" s="158">
        <f>COUNTIFS('2025-Q2'!$E$4:$E$422,'SPDR Chart'!AC$3,'2025-Q2'!$F$4:$F$422,'SPDR Chart'!$B82,'2025-Q2'!$D$4:$D$422,"N")</f>
        <v>0</v>
      </c>
      <c r="AD82" s="158">
        <f>COUNTIFS('2025-Q2'!$E$4:$E$422,'SPDR Chart'!AD$3,'2025-Q2'!$F$4:$F$422,'SPDR Chart'!$B82,'2025-Q2'!$D$4:$D$422,"N")</f>
        <v>0</v>
      </c>
      <c r="AE82" s="158">
        <f>COUNTIFS('2025-Q2'!$E$4:$E$422,'SPDR Chart'!AE$3,'2025-Q2'!$F$4:$F$422,'SPDR Chart'!$B82,'2025-Q2'!$D$4:$D$422,"N")</f>
        <v>0</v>
      </c>
      <c r="AF82" s="158">
        <f>COUNTIFS('2025-Q2'!$E$4:$E$422,'SPDR Chart'!AF$3,'2025-Q2'!$F$4:$F$422,'SPDR Chart'!$B82,'2025-Q2'!$D$4:$D$422,"N")</f>
        <v>0</v>
      </c>
      <c r="AG82" s="158">
        <f>COUNTIFS('2025-Q2'!$E$4:$E$422,'SPDR Chart'!AG$3,'2025-Q2'!$F$4:$F$422,'SPDR Chart'!$B82,'2025-Q2'!$D$4:$D$422,"N")</f>
        <v>0</v>
      </c>
      <c r="AH82" s="158">
        <f>COUNTIFS('2025-Q2'!$E$4:$E$422,'SPDR Chart'!AH$3,'2025-Q2'!$F$4:$F$422,'SPDR Chart'!$B82,'2025-Q2'!$D$4:$D$422,"N")</f>
        <v>0</v>
      </c>
      <c r="AI82" s="158">
        <f>COUNTIFS('2025-Q2'!$E$4:$E$422,'SPDR Chart'!AI$3,'2025-Q2'!$F$4:$F$422,'SPDR Chart'!$B82,'2025-Q2'!$D$4:$D$422,"N")</f>
        <v>0</v>
      </c>
      <c r="AJ82" s="363">
        <f>COUNTIFS('2025-Q2'!$E$4:$E$422,'SPDR Chart'!AJ$3,'2025-Q2'!$F$4:$F$422,'SPDR Chart'!$B82,'2025-Q2'!$D$4:$D$422,"N")</f>
        <v>0</v>
      </c>
      <c r="AK82" s="457">
        <f t="shared" si="7"/>
        <v>0</v>
      </c>
      <c r="AL82" s="458">
        <f>SUM($AK$4:AK82)/SUM($AK$4:$AK$86)</f>
        <v>1</v>
      </c>
    </row>
    <row r="83" spans="2:38" x14ac:dyDescent="0.25">
      <c r="B83" s="366">
        <v>45835</v>
      </c>
      <c r="C83" s="158">
        <f>COUNTIFS('2025-Q2'!$E$4:$E$422,'SPDR Chart'!C$3,'2025-Q2'!$F$4:$F$422,'SPDR Chart'!$B83,'2025-Q2'!$D$4:$D$422,"Y")</f>
        <v>0</v>
      </c>
      <c r="D83" s="158">
        <f>COUNTIFS('2025-Q2'!$E$4:$E$422,'SPDR Chart'!D$3,'2025-Q2'!$F$4:$F$422,'SPDR Chart'!$B83,'2025-Q2'!$D$4:$D$422,"Y")</f>
        <v>0</v>
      </c>
      <c r="E83" s="158">
        <f>COUNTIFS('2025-Q2'!$E$4:$E$422,'SPDR Chart'!E$3,'2025-Q2'!$F$4:$F$422,'SPDR Chart'!$B83,'2025-Q2'!$D$4:$D$422,"Y")</f>
        <v>0</v>
      </c>
      <c r="F83" s="158">
        <f>COUNTIFS('2025-Q2'!$E$4:$E$422,'SPDR Chart'!F$3,'2025-Q2'!$F$4:$F$422,'SPDR Chart'!$B83,'2025-Q2'!$D$4:$D$422,"Y")</f>
        <v>0</v>
      </c>
      <c r="G83" s="158">
        <f>COUNTIFS('2025-Q2'!$E$4:$E$422,'SPDR Chart'!G$3,'2025-Q2'!$F$4:$F$422,'SPDR Chart'!$B83,'2025-Q2'!$D$4:$D$422,"Y")</f>
        <v>0</v>
      </c>
      <c r="H83" s="158">
        <f>COUNTIFS('2025-Q2'!$E$4:$E$422,'SPDR Chart'!H$3,'2025-Q2'!$F$4:$F$422,'SPDR Chart'!$B83,'2025-Q2'!$D$4:$D$422,"Y")</f>
        <v>0</v>
      </c>
      <c r="I83" s="158">
        <f>COUNTIFS('2025-Q2'!$E$4:$E$422,'SPDR Chart'!I$3,'2025-Q2'!$F$4:$F$422,'SPDR Chart'!$B83,'2025-Q2'!$D$4:$D$422,"Y")</f>
        <v>0</v>
      </c>
      <c r="J83" s="158">
        <f>COUNTIFS('2025-Q2'!$E$4:$E$422,'SPDR Chart'!J$3,'2025-Q2'!$F$4:$F$422,'SPDR Chart'!$B83,'2025-Q2'!$D$4:$D$422,"Y")</f>
        <v>0</v>
      </c>
      <c r="K83" s="158">
        <f>COUNTIFS('2025-Q2'!$E$4:$E$422,'SPDR Chart'!K$3,'2025-Q2'!$F$4:$F$422,'SPDR Chart'!$B83,'2025-Q2'!$D$4:$D$422,"Y")</f>
        <v>0</v>
      </c>
      <c r="L83" s="158">
        <f>COUNTIFS('2025-Q2'!$E$4:$E$422,'SPDR Chart'!L$3,'2025-Q2'!$F$4:$F$422,'SPDR Chart'!$B83,'2025-Q2'!$D$4:$D$422,"Y")</f>
        <v>0</v>
      </c>
      <c r="M83" s="158">
        <f>COUNTIFS('2025-Q2'!$E$4:$E$422,'SPDR Chart'!M$3,'2025-Q2'!$F$4:$F$422,'SPDR Chart'!$B83,'2025-Q2'!$D$4:$D$422,"Y")</f>
        <v>0</v>
      </c>
      <c r="N83" s="158">
        <f>COUNTIFS('2025-Q2'!$E$4:$E$422,'SPDR Chart'!N$3,'2025-Q2'!$F$4:$F$422,'SPDR Chart'!$B83,'2025-Q2'!$D$4:$D$422,"Y")</f>
        <v>0</v>
      </c>
      <c r="O83" s="158">
        <f>COUNTIFS('2025-Q2'!$E$4:$E$422,'SPDR Chart'!O$3,'2025-Q2'!$F$4:$F$422,'SPDR Chart'!$B83,'2025-Q2'!$D$4:$D$422,"Y")</f>
        <v>0</v>
      </c>
      <c r="P83" s="158">
        <f>COUNTIFS('2025-Q2'!$E$4:$E$422,'SPDR Chart'!P$3,'2025-Q2'!$F$4:$F$422,'SPDR Chart'!$B83,'2025-Q2'!$D$4:$D$422,"Y")</f>
        <v>0</v>
      </c>
      <c r="Q83" s="363">
        <f>COUNTIFS('2025-Q2'!$E$4:$E$422,'SPDR Chart'!Q$3,'2025-Q2'!$F$4:$F$422,'SPDR Chart'!$B83,'2025-Q2'!$D$4:$D$422,"Y")</f>
        <v>0</v>
      </c>
      <c r="R83" s="457">
        <f t="shared" si="6"/>
        <v>0</v>
      </c>
      <c r="S83" s="458">
        <f>SUM($R$4:R83)/SUM($R$4:$R$86)</f>
        <v>1</v>
      </c>
      <c r="U83" s="366">
        <v>45835</v>
      </c>
      <c r="V83" s="158">
        <f>COUNTIFS('2025-Q2'!$E$4:$E$422,'SPDR Chart'!V$3,'2025-Q2'!$F$4:$F$422,'SPDR Chart'!$B83,'2025-Q2'!$D$4:$D$422,"N")</f>
        <v>0</v>
      </c>
      <c r="W83" s="158">
        <f>COUNTIFS('2025-Q2'!$E$4:$E$422,'SPDR Chart'!W$3,'2025-Q2'!$F$4:$F$422,'SPDR Chart'!$B83,'2025-Q2'!$D$4:$D$422,"N")</f>
        <v>0</v>
      </c>
      <c r="X83" s="158">
        <f>COUNTIFS('2025-Q2'!$E$4:$E$422,'SPDR Chart'!X$3,'2025-Q2'!$F$4:$F$422,'SPDR Chart'!$B83,'2025-Q2'!$D$4:$D$422,"N")</f>
        <v>0</v>
      </c>
      <c r="Y83" s="158">
        <f>COUNTIFS('2025-Q2'!$E$4:$E$422,'SPDR Chart'!Y$3,'2025-Q2'!$F$4:$F$422,'SPDR Chart'!$B83,'2025-Q2'!$D$4:$D$422,"N")</f>
        <v>0</v>
      </c>
      <c r="Z83" s="158">
        <f>COUNTIFS('2025-Q2'!$E$4:$E$422,'SPDR Chart'!Z$3,'2025-Q2'!$F$4:$F$422,'SPDR Chart'!$B83,'2025-Q2'!$D$4:$D$422,"N")</f>
        <v>0</v>
      </c>
      <c r="AA83" s="158">
        <f>COUNTIFS('2025-Q2'!$E$4:$E$422,'SPDR Chart'!AA$3,'2025-Q2'!$F$4:$F$422,'SPDR Chart'!$B83,'2025-Q2'!$D$4:$D$422,"N")</f>
        <v>0</v>
      </c>
      <c r="AB83" s="158">
        <f>COUNTIFS('2025-Q2'!$E$4:$E$422,'SPDR Chart'!AB$3,'2025-Q2'!$F$4:$F$422,'SPDR Chart'!$B83,'2025-Q2'!$D$4:$D$422,"N")</f>
        <v>0</v>
      </c>
      <c r="AC83" s="158">
        <f>COUNTIFS('2025-Q2'!$E$4:$E$422,'SPDR Chart'!AC$3,'2025-Q2'!$F$4:$F$422,'SPDR Chart'!$B83,'2025-Q2'!$D$4:$D$422,"N")</f>
        <v>0</v>
      </c>
      <c r="AD83" s="158">
        <f>COUNTIFS('2025-Q2'!$E$4:$E$422,'SPDR Chart'!AD$3,'2025-Q2'!$F$4:$F$422,'SPDR Chart'!$B83,'2025-Q2'!$D$4:$D$422,"N")</f>
        <v>0</v>
      </c>
      <c r="AE83" s="158">
        <f>COUNTIFS('2025-Q2'!$E$4:$E$422,'SPDR Chart'!AE$3,'2025-Q2'!$F$4:$F$422,'SPDR Chart'!$B83,'2025-Q2'!$D$4:$D$422,"N")</f>
        <v>0</v>
      </c>
      <c r="AF83" s="158">
        <f>COUNTIFS('2025-Q2'!$E$4:$E$422,'SPDR Chart'!AF$3,'2025-Q2'!$F$4:$F$422,'SPDR Chart'!$B83,'2025-Q2'!$D$4:$D$422,"N")</f>
        <v>0</v>
      </c>
      <c r="AG83" s="158">
        <f>COUNTIFS('2025-Q2'!$E$4:$E$422,'SPDR Chart'!AG$3,'2025-Q2'!$F$4:$F$422,'SPDR Chart'!$B83,'2025-Q2'!$D$4:$D$422,"N")</f>
        <v>0</v>
      </c>
      <c r="AH83" s="158">
        <f>COUNTIFS('2025-Q2'!$E$4:$E$422,'SPDR Chart'!AH$3,'2025-Q2'!$F$4:$F$422,'SPDR Chart'!$B83,'2025-Q2'!$D$4:$D$422,"N")</f>
        <v>0</v>
      </c>
      <c r="AI83" s="158">
        <f>COUNTIFS('2025-Q2'!$E$4:$E$422,'SPDR Chart'!AI$3,'2025-Q2'!$F$4:$F$422,'SPDR Chart'!$B83,'2025-Q2'!$D$4:$D$422,"N")</f>
        <v>0</v>
      </c>
      <c r="AJ83" s="363">
        <f>COUNTIFS('2025-Q2'!$E$4:$E$422,'SPDR Chart'!AJ$3,'2025-Q2'!$F$4:$F$422,'SPDR Chart'!$B83,'2025-Q2'!$D$4:$D$422,"N")</f>
        <v>0</v>
      </c>
      <c r="AK83" s="457">
        <f t="shared" si="7"/>
        <v>0</v>
      </c>
      <c r="AL83" s="458">
        <f>SUM($AK$4:AK83)/SUM($AK$4:$AK$86)</f>
        <v>1</v>
      </c>
    </row>
    <row r="84" spans="2:38" x14ac:dyDescent="0.25">
      <c r="B84" s="366">
        <v>45836</v>
      </c>
      <c r="C84" s="158">
        <f>COUNTIFS('2025-Q2'!$E$4:$E$422,'SPDR Chart'!C$3,'2025-Q2'!$F$4:$F$422,'SPDR Chart'!$B84,'2025-Q2'!$D$4:$D$422,"Y")</f>
        <v>0</v>
      </c>
      <c r="D84" s="158">
        <f>COUNTIFS('2025-Q2'!$E$4:$E$422,'SPDR Chart'!D$3,'2025-Q2'!$F$4:$F$422,'SPDR Chart'!$B84,'2025-Q2'!$D$4:$D$422,"Y")</f>
        <v>0</v>
      </c>
      <c r="E84" s="158">
        <f>COUNTIFS('2025-Q2'!$E$4:$E$422,'SPDR Chart'!E$3,'2025-Q2'!$F$4:$F$422,'SPDR Chart'!$B84,'2025-Q2'!$D$4:$D$422,"Y")</f>
        <v>0</v>
      </c>
      <c r="F84" s="158">
        <f>COUNTIFS('2025-Q2'!$E$4:$E$422,'SPDR Chart'!F$3,'2025-Q2'!$F$4:$F$422,'SPDR Chart'!$B84,'2025-Q2'!$D$4:$D$422,"Y")</f>
        <v>0</v>
      </c>
      <c r="G84" s="158">
        <f>COUNTIFS('2025-Q2'!$E$4:$E$422,'SPDR Chart'!G$3,'2025-Q2'!$F$4:$F$422,'SPDR Chart'!$B84,'2025-Q2'!$D$4:$D$422,"Y")</f>
        <v>0</v>
      </c>
      <c r="H84" s="158">
        <f>COUNTIFS('2025-Q2'!$E$4:$E$422,'SPDR Chart'!H$3,'2025-Q2'!$F$4:$F$422,'SPDR Chart'!$B84,'2025-Q2'!$D$4:$D$422,"Y")</f>
        <v>0</v>
      </c>
      <c r="I84" s="158">
        <f>COUNTIFS('2025-Q2'!$E$4:$E$422,'SPDR Chart'!I$3,'2025-Q2'!$F$4:$F$422,'SPDR Chart'!$B84,'2025-Q2'!$D$4:$D$422,"Y")</f>
        <v>0</v>
      </c>
      <c r="J84" s="158">
        <f>COUNTIFS('2025-Q2'!$E$4:$E$422,'SPDR Chart'!J$3,'2025-Q2'!$F$4:$F$422,'SPDR Chart'!$B84,'2025-Q2'!$D$4:$D$422,"Y")</f>
        <v>0</v>
      </c>
      <c r="K84" s="158">
        <f>COUNTIFS('2025-Q2'!$E$4:$E$422,'SPDR Chart'!K$3,'2025-Q2'!$F$4:$F$422,'SPDR Chart'!$B84,'2025-Q2'!$D$4:$D$422,"Y")</f>
        <v>0</v>
      </c>
      <c r="L84" s="158">
        <f>COUNTIFS('2025-Q2'!$E$4:$E$422,'SPDR Chart'!L$3,'2025-Q2'!$F$4:$F$422,'SPDR Chart'!$B84,'2025-Q2'!$D$4:$D$422,"Y")</f>
        <v>0</v>
      </c>
      <c r="M84" s="158">
        <f>COUNTIFS('2025-Q2'!$E$4:$E$422,'SPDR Chart'!M$3,'2025-Q2'!$F$4:$F$422,'SPDR Chart'!$B84,'2025-Q2'!$D$4:$D$422,"Y")</f>
        <v>0</v>
      </c>
      <c r="N84" s="158">
        <f>COUNTIFS('2025-Q2'!$E$4:$E$422,'SPDR Chart'!N$3,'2025-Q2'!$F$4:$F$422,'SPDR Chart'!$B84,'2025-Q2'!$D$4:$D$422,"Y")</f>
        <v>0</v>
      </c>
      <c r="O84" s="158">
        <f>COUNTIFS('2025-Q2'!$E$4:$E$422,'SPDR Chart'!O$3,'2025-Q2'!$F$4:$F$422,'SPDR Chart'!$B84,'2025-Q2'!$D$4:$D$422,"Y")</f>
        <v>0</v>
      </c>
      <c r="P84" s="158">
        <f>COUNTIFS('2025-Q2'!$E$4:$E$422,'SPDR Chart'!P$3,'2025-Q2'!$F$4:$F$422,'SPDR Chart'!$B84,'2025-Q2'!$D$4:$D$422,"Y")</f>
        <v>0</v>
      </c>
      <c r="Q84" s="363">
        <f>COUNTIFS('2025-Q2'!$E$4:$E$422,'SPDR Chart'!Q$3,'2025-Q2'!$F$4:$F$422,'SPDR Chart'!$B84,'2025-Q2'!$D$4:$D$422,"Y")</f>
        <v>0</v>
      </c>
      <c r="R84" s="457">
        <f t="shared" si="6"/>
        <v>0</v>
      </c>
      <c r="S84" s="458">
        <f>SUM($R$4:R84)/SUM($R$4:$R$86)</f>
        <v>1</v>
      </c>
      <c r="U84" s="366">
        <v>45836</v>
      </c>
      <c r="V84" s="158">
        <f>COUNTIFS('2025-Q2'!$E$4:$E$422,'SPDR Chart'!V$3,'2025-Q2'!$F$4:$F$422,'SPDR Chart'!$B84,'2025-Q2'!$D$4:$D$422,"N")</f>
        <v>0</v>
      </c>
      <c r="W84" s="158">
        <f>COUNTIFS('2025-Q2'!$E$4:$E$422,'SPDR Chart'!W$3,'2025-Q2'!$F$4:$F$422,'SPDR Chart'!$B84,'2025-Q2'!$D$4:$D$422,"N")</f>
        <v>0</v>
      </c>
      <c r="X84" s="158">
        <f>COUNTIFS('2025-Q2'!$E$4:$E$422,'SPDR Chart'!X$3,'2025-Q2'!$F$4:$F$422,'SPDR Chart'!$B84,'2025-Q2'!$D$4:$D$422,"N")</f>
        <v>0</v>
      </c>
      <c r="Y84" s="158">
        <f>COUNTIFS('2025-Q2'!$E$4:$E$422,'SPDR Chart'!Y$3,'2025-Q2'!$F$4:$F$422,'SPDR Chart'!$B84,'2025-Q2'!$D$4:$D$422,"N")</f>
        <v>0</v>
      </c>
      <c r="Z84" s="158">
        <f>COUNTIFS('2025-Q2'!$E$4:$E$422,'SPDR Chart'!Z$3,'2025-Q2'!$F$4:$F$422,'SPDR Chart'!$B84,'2025-Q2'!$D$4:$D$422,"N")</f>
        <v>0</v>
      </c>
      <c r="AA84" s="158">
        <f>COUNTIFS('2025-Q2'!$E$4:$E$422,'SPDR Chart'!AA$3,'2025-Q2'!$F$4:$F$422,'SPDR Chart'!$B84,'2025-Q2'!$D$4:$D$422,"N")</f>
        <v>0</v>
      </c>
      <c r="AB84" s="158">
        <f>COUNTIFS('2025-Q2'!$E$4:$E$422,'SPDR Chart'!AB$3,'2025-Q2'!$F$4:$F$422,'SPDR Chart'!$B84,'2025-Q2'!$D$4:$D$422,"N")</f>
        <v>0</v>
      </c>
      <c r="AC84" s="158">
        <f>COUNTIFS('2025-Q2'!$E$4:$E$422,'SPDR Chart'!AC$3,'2025-Q2'!$F$4:$F$422,'SPDR Chart'!$B84,'2025-Q2'!$D$4:$D$422,"N")</f>
        <v>0</v>
      </c>
      <c r="AD84" s="158">
        <f>COUNTIFS('2025-Q2'!$E$4:$E$422,'SPDR Chart'!AD$3,'2025-Q2'!$F$4:$F$422,'SPDR Chart'!$B84,'2025-Q2'!$D$4:$D$422,"N")</f>
        <v>0</v>
      </c>
      <c r="AE84" s="158">
        <f>COUNTIFS('2025-Q2'!$E$4:$E$422,'SPDR Chart'!AE$3,'2025-Q2'!$F$4:$F$422,'SPDR Chart'!$B84,'2025-Q2'!$D$4:$D$422,"N")</f>
        <v>0</v>
      </c>
      <c r="AF84" s="158">
        <f>COUNTIFS('2025-Q2'!$E$4:$E$422,'SPDR Chart'!AF$3,'2025-Q2'!$F$4:$F$422,'SPDR Chart'!$B84,'2025-Q2'!$D$4:$D$422,"N")</f>
        <v>0</v>
      </c>
      <c r="AG84" s="158">
        <f>COUNTIFS('2025-Q2'!$E$4:$E$422,'SPDR Chart'!AG$3,'2025-Q2'!$F$4:$F$422,'SPDR Chart'!$B84,'2025-Q2'!$D$4:$D$422,"N")</f>
        <v>0</v>
      </c>
      <c r="AH84" s="158">
        <f>COUNTIFS('2025-Q2'!$E$4:$E$422,'SPDR Chart'!AH$3,'2025-Q2'!$F$4:$F$422,'SPDR Chart'!$B84,'2025-Q2'!$D$4:$D$422,"N")</f>
        <v>0</v>
      </c>
      <c r="AI84" s="158">
        <f>COUNTIFS('2025-Q2'!$E$4:$E$422,'SPDR Chart'!AI$3,'2025-Q2'!$F$4:$F$422,'SPDR Chart'!$B84,'2025-Q2'!$D$4:$D$422,"N")</f>
        <v>0</v>
      </c>
      <c r="AJ84" s="363">
        <f>COUNTIFS('2025-Q2'!$E$4:$E$422,'SPDR Chart'!AJ$3,'2025-Q2'!$F$4:$F$422,'SPDR Chart'!$B84,'2025-Q2'!$D$4:$D$422,"N")</f>
        <v>0</v>
      </c>
      <c r="AK84" s="457">
        <f t="shared" si="7"/>
        <v>0</v>
      </c>
      <c r="AL84" s="458">
        <f>SUM($AK$4:AK84)/SUM($AK$4:$AK$86)</f>
        <v>1</v>
      </c>
    </row>
    <row r="85" spans="2:38" x14ac:dyDescent="0.25">
      <c r="B85" s="366">
        <v>45837</v>
      </c>
      <c r="C85" s="158">
        <f>COUNTIFS('2025-Q2'!$E$4:$E$422,'SPDR Chart'!C$3,'2025-Q2'!$F$4:$F$422,'SPDR Chart'!$B85,'2025-Q2'!$D$4:$D$422,"Y")</f>
        <v>0</v>
      </c>
      <c r="D85" s="158">
        <f>COUNTIFS('2025-Q2'!$E$4:$E$422,'SPDR Chart'!D$3,'2025-Q2'!$F$4:$F$422,'SPDR Chart'!$B85,'2025-Q2'!$D$4:$D$422,"Y")</f>
        <v>0</v>
      </c>
      <c r="E85" s="158">
        <f>COUNTIFS('2025-Q2'!$E$4:$E$422,'SPDR Chart'!E$3,'2025-Q2'!$F$4:$F$422,'SPDR Chart'!$B85,'2025-Q2'!$D$4:$D$422,"Y")</f>
        <v>0</v>
      </c>
      <c r="F85" s="158">
        <f>COUNTIFS('2025-Q2'!$E$4:$E$422,'SPDR Chart'!F$3,'2025-Q2'!$F$4:$F$422,'SPDR Chart'!$B85,'2025-Q2'!$D$4:$D$422,"Y")</f>
        <v>0</v>
      </c>
      <c r="G85" s="158">
        <f>COUNTIFS('2025-Q2'!$E$4:$E$422,'SPDR Chart'!G$3,'2025-Q2'!$F$4:$F$422,'SPDR Chart'!$B85,'2025-Q2'!$D$4:$D$422,"Y")</f>
        <v>0</v>
      </c>
      <c r="H85" s="158">
        <f>COUNTIFS('2025-Q2'!$E$4:$E$422,'SPDR Chart'!H$3,'2025-Q2'!$F$4:$F$422,'SPDR Chart'!$B85,'2025-Q2'!$D$4:$D$422,"Y")</f>
        <v>0</v>
      </c>
      <c r="I85" s="158">
        <f>COUNTIFS('2025-Q2'!$E$4:$E$422,'SPDR Chart'!I$3,'2025-Q2'!$F$4:$F$422,'SPDR Chart'!$B85,'2025-Q2'!$D$4:$D$422,"Y")</f>
        <v>0</v>
      </c>
      <c r="J85" s="158">
        <f>COUNTIFS('2025-Q2'!$E$4:$E$422,'SPDR Chart'!J$3,'2025-Q2'!$F$4:$F$422,'SPDR Chart'!$B85,'2025-Q2'!$D$4:$D$422,"Y")</f>
        <v>0</v>
      </c>
      <c r="K85" s="158">
        <f>COUNTIFS('2025-Q2'!$E$4:$E$422,'SPDR Chart'!K$3,'2025-Q2'!$F$4:$F$422,'SPDR Chart'!$B85,'2025-Q2'!$D$4:$D$422,"Y")</f>
        <v>0</v>
      </c>
      <c r="L85" s="158">
        <f>COUNTIFS('2025-Q2'!$E$4:$E$422,'SPDR Chart'!L$3,'2025-Q2'!$F$4:$F$422,'SPDR Chart'!$B85,'2025-Q2'!$D$4:$D$422,"Y")</f>
        <v>0</v>
      </c>
      <c r="M85" s="158">
        <f>COUNTIFS('2025-Q2'!$E$4:$E$422,'SPDR Chart'!M$3,'2025-Q2'!$F$4:$F$422,'SPDR Chart'!$B85,'2025-Q2'!$D$4:$D$422,"Y")</f>
        <v>0</v>
      </c>
      <c r="N85" s="158">
        <f>COUNTIFS('2025-Q2'!$E$4:$E$422,'SPDR Chart'!N$3,'2025-Q2'!$F$4:$F$422,'SPDR Chart'!$B85,'2025-Q2'!$D$4:$D$422,"Y")</f>
        <v>0</v>
      </c>
      <c r="O85" s="158">
        <f>COUNTIFS('2025-Q2'!$E$4:$E$422,'SPDR Chart'!O$3,'2025-Q2'!$F$4:$F$422,'SPDR Chart'!$B85,'2025-Q2'!$D$4:$D$422,"Y")</f>
        <v>0</v>
      </c>
      <c r="P85" s="158">
        <f>COUNTIFS('2025-Q2'!$E$4:$E$422,'SPDR Chart'!P$3,'2025-Q2'!$F$4:$F$422,'SPDR Chart'!$B85,'2025-Q2'!$D$4:$D$422,"Y")</f>
        <v>0</v>
      </c>
      <c r="Q85" s="363">
        <f>COUNTIFS('2025-Q2'!$E$4:$E$422,'SPDR Chart'!Q$3,'2025-Q2'!$F$4:$F$422,'SPDR Chart'!$B85,'2025-Q2'!$D$4:$D$422,"Y")</f>
        <v>0</v>
      </c>
      <c r="R85" s="457">
        <f t="shared" si="6"/>
        <v>0</v>
      </c>
      <c r="S85" s="458">
        <f>SUM($R$4:R85)/SUM($R$4:$R$86)</f>
        <v>1</v>
      </c>
      <c r="U85" s="366">
        <v>45837</v>
      </c>
      <c r="V85" s="158">
        <f>COUNTIFS('2025-Q2'!$E$4:$E$422,'SPDR Chart'!V$3,'2025-Q2'!$F$4:$F$422,'SPDR Chart'!$B85,'2025-Q2'!$D$4:$D$422,"N")</f>
        <v>0</v>
      </c>
      <c r="W85" s="158">
        <f>COUNTIFS('2025-Q2'!$E$4:$E$422,'SPDR Chart'!W$3,'2025-Q2'!$F$4:$F$422,'SPDR Chart'!$B85,'2025-Q2'!$D$4:$D$422,"N")</f>
        <v>0</v>
      </c>
      <c r="X85" s="158">
        <f>COUNTIFS('2025-Q2'!$E$4:$E$422,'SPDR Chart'!X$3,'2025-Q2'!$F$4:$F$422,'SPDR Chart'!$B85,'2025-Q2'!$D$4:$D$422,"N")</f>
        <v>0</v>
      </c>
      <c r="Y85" s="158">
        <f>COUNTIFS('2025-Q2'!$E$4:$E$422,'SPDR Chart'!Y$3,'2025-Q2'!$F$4:$F$422,'SPDR Chart'!$B85,'2025-Q2'!$D$4:$D$422,"N")</f>
        <v>0</v>
      </c>
      <c r="Z85" s="158">
        <f>COUNTIFS('2025-Q2'!$E$4:$E$422,'SPDR Chart'!Z$3,'2025-Q2'!$F$4:$F$422,'SPDR Chart'!$B85,'2025-Q2'!$D$4:$D$422,"N")</f>
        <v>0</v>
      </c>
      <c r="AA85" s="158">
        <f>COUNTIFS('2025-Q2'!$E$4:$E$422,'SPDR Chart'!AA$3,'2025-Q2'!$F$4:$F$422,'SPDR Chart'!$B85,'2025-Q2'!$D$4:$D$422,"N")</f>
        <v>0</v>
      </c>
      <c r="AB85" s="158">
        <f>COUNTIFS('2025-Q2'!$E$4:$E$422,'SPDR Chart'!AB$3,'2025-Q2'!$F$4:$F$422,'SPDR Chart'!$B85,'2025-Q2'!$D$4:$D$422,"N")</f>
        <v>0</v>
      </c>
      <c r="AC85" s="158">
        <f>COUNTIFS('2025-Q2'!$E$4:$E$422,'SPDR Chart'!AC$3,'2025-Q2'!$F$4:$F$422,'SPDR Chart'!$B85,'2025-Q2'!$D$4:$D$422,"N")</f>
        <v>0</v>
      </c>
      <c r="AD85" s="158">
        <f>COUNTIFS('2025-Q2'!$E$4:$E$422,'SPDR Chart'!AD$3,'2025-Q2'!$F$4:$F$422,'SPDR Chart'!$B85,'2025-Q2'!$D$4:$D$422,"N")</f>
        <v>0</v>
      </c>
      <c r="AE85" s="158">
        <f>COUNTIFS('2025-Q2'!$E$4:$E$422,'SPDR Chart'!AE$3,'2025-Q2'!$F$4:$F$422,'SPDR Chart'!$B85,'2025-Q2'!$D$4:$D$422,"N")</f>
        <v>0</v>
      </c>
      <c r="AF85" s="158">
        <f>COUNTIFS('2025-Q2'!$E$4:$E$422,'SPDR Chart'!AF$3,'2025-Q2'!$F$4:$F$422,'SPDR Chart'!$B85,'2025-Q2'!$D$4:$D$422,"N")</f>
        <v>0</v>
      </c>
      <c r="AG85" s="158">
        <f>COUNTIFS('2025-Q2'!$E$4:$E$422,'SPDR Chart'!AG$3,'2025-Q2'!$F$4:$F$422,'SPDR Chart'!$B85,'2025-Q2'!$D$4:$D$422,"N")</f>
        <v>0</v>
      </c>
      <c r="AH85" s="158">
        <f>COUNTIFS('2025-Q2'!$E$4:$E$422,'SPDR Chart'!AH$3,'2025-Q2'!$F$4:$F$422,'SPDR Chart'!$B85,'2025-Q2'!$D$4:$D$422,"N")</f>
        <v>0</v>
      </c>
      <c r="AI85" s="158">
        <f>COUNTIFS('2025-Q2'!$E$4:$E$422,'SPDR Chart'!AI$3,'2025-Q2'!$F$4:$F$422,'SPDR Chart'!$B85,'2025-Q2'!$D$4:$D$422,"N")</f>
        <v>0</v>
      </c>
      <c r="AJ85" s="363">
        <f>COUNTIFS('2025-Q2'!$E$4:$E$422,'SPDR Chart'!AJ$3,'2025-Q2'!$F$4:$F$422,'SPDR Chart'!$B85,'2025-Q2'!$D$4:$D$422,"N")</f>
        <v>0</v>
      </c>
      <c r="AK85" s="457">
        <f t="shared" si="7"/>
        <v>0</v>
      </c>
      <c r="AL85" s="458">
        <f>SUM($AK$4:AK85)/SUM($AK$4:$AK$86)</f>
        <v>1</v>
      </c>
    </row>
    <row r="86" spans="2:38" x14ac:dyDescent="0.25">
      <c r="B86" s="366">
        <v>45838</v>
      </c>
      <c r="C86" s="362">
        <f>COUNTIFS('2025-Q2'!$E$4:$E$422,'SPDR Chart'!C$3,'2025-Q2'!$F$4:$F$422,'SPDR Chart'!$B86,'2025-Q2'!$D$4:$D$422,"Y")</f>
        <v>0</v>
      </c>
      <c r="D86" s="346">
        <f>COUNTIFS('2025-Q2'!$E$4:$E$422,'SPDR Chart'!D$3,'2025-Q2'!$F$4:$F$422,'SPDR Chart'!$B86,'2025-Q2'!$D$4:$D$422,"Y")</f>
        <v>0</v>
      </c>
      <c r="E86" s="346">
        <f>COUNTIFS('2025-Q2'!$E$4:$E$422,'SPDR Chart'!E$3,'2025-Q2'!$F$4:$F$422,'SPDR Chart'!$B86,'2025-Q2'!$D$4:$D$422,"Y")</f>
        <v>0</v>
      </c>
      <c r="F86" s="346">
        <f>COUNTIFS('2025-Q2'!$E$4:$E$422,'SPDR Chart'!F$3,'2025-Q2'!$F$4:$F$422,'SPDR Chart'!$B86,'2025-Q2'!$D$4:$D$422,"Y")</f>
        <v>0</v>
      </c>
      <c r="G86" s="346">
        <f>COUNTIFS('2025-Q2'!$E$4:$E$422,'SPDR Chart'!G$3,'2025-Q2'!$F$4:$F$422,'SPDR Chart'!$B86,'2025-Q2'!$D$4:$D$422,"Y")</f>
        <v>0</v>
      </c>
      <c r="H86" s="346">
        <f>COUNTIFS('2025-Q2'!$E$4:$E$422,'SPDR Chart'!H$3,'2025-Q2'!$F$4:$F$422,'SPDR Chart'!$B86,'2025-Q2'!$D$4:$D$422,"Y")</f>
        <v>0</v>
      </c>
      <c r="I86" s="346">
        <f>COUNTIFS('2025-Q2'!$E$4:$E$422,'SPDR Chart'!I$3,'2025-Q2'!$F$4:$F$422,'SPDR Chart'!$B86,'2025-Q2'!$D$4:$D$422,"Y")</f>
        <v>0</v>
      </c>
      <c r="J86" s="346">
        <f>COUNTIFS('2025-Q2'!$E$4:$E$422,'SPDR Chart'!J$3,'2025-Q2'!$F$4:$F$422,'SPDR Chart'!$B86,'2025-Q2'!$D$4:$D$422,"Y")</f>
        <v>0</v>
      </c>
      <c r="K86" s="346">
        <f>COUNTIFS('2025-Q2'!$E$4:$E$422,'SPDR Chart'!K$3,'2025-Q2'!$F$4:$F$422,'SPDR Chart'!$B86,'2025-Q2'!$D$4:$D$422,"Y")</f>
        <v>0</v>
      </c>
      <c r="L86" s="346">
        <f>COUNTIFS('2025-Q2'!$E$4:$E$422,'SPDR Chart'!L$3,'2025-Q2'!$F$4:$F$422,'SPDR Chart'!$B86,'2025-Q2'!$D$4:$D$422,"Y")</f>
        <v>0</v>
      </c>
      <c r="M86" s="346">
        <f>COUNTIFS('2025-Q2'!$E$4:$E$422,'SPDR Chart'!M$3,'2025-Q2'!$F$4:$F$422,'SPDR Chart'!$B86,'2025-Q2'!$D$4:$D$422,"Y")</f>
        <v>0</v>
      </c>
      <c r="N86" s="346">
        <f>COUNTIFS('2025-Q2'!$E$4:$E$422,'SPDR Chart'!N$3,'2025-Q2'!$F$4:$F$422,'SPDR Chart'!$B86,'2025-Q2'!$D$4:$D$422,"Y")</f>
        <v>0</v>
      </c>
      <c r="O86" s="346">
        <f>COUNTIFS('2025-Q2'!$E$4:$E$422,'SPDR Chart'!O$3,'2025-Q2'!$F$4:$F$422,'SPDR Chart'!$B86,'2025-Q2'!$D$4:$D$422,"Y")</f>
        <v>0</v>
      </c>
      <c r="P86" s="346">
        <f>COUNTIFS('2025-Q2'!$E$4:$E$422,'SPDR Chart'!P$3,'2025-Q2'!$F$4:$F$422,'SPDR Chart'!$B86,'2025-Q2'!$D$4:$D$422,"Y")</f>
        <v>0</v>
      </c>
      <c r="Q86" s="364">
        <f>COUNTIFS('2025-Q2'!$E$4:$E$422,'SPDR Chart'!Q$3,'2025-Q2'!$F$4:$F$422,'SPDR Chart'!$B86,'2025-Q2'!$D$4:$D$422,"Y")</f>
        <v>0</v>
      </c>
      <c r="R86" s="362">
        <f t="shared" si="6"/>
        <v>0</v>
      </c>
      <c r="S86" s="459">
        <f>SUM($R$4:R86)/SUM($R$4:$R$86)</f>
        <v>1</v>
      </c>
      <c r="U86" s="366">
        <v>45838</v>
      </c>
      <c r="V86" s="362">
        <f>COUNTIFS('2025-Q2'!$E$4:$E$422,'SPDR Chart'!V$3,'2025-Q2'!$F$4:$F$422,'SPDR Chart'!$B86,'2025-Q2'!$D$4:$D$422,"N")</f>
        <v>0</v>
      </c>
      <c r="W86" s="346">
        <f>COUNTIFS('2025-Q2'!$E$4:$E$422,'SPDR Chart'!W$3,'2025-Q2'!$F$4:$F$422,'SPDR Chart'!$B86,'2025-Q2'!$D$4:$D$422,"N")</f>
        <v>0</v>
      </c>
      <c r="X86" s="346">
        <f>COUNTIFS('2025-Q2'!$E$4:$E$422,'SPDR Chart'!X$3,'2025-Q2'!$F$4:$F$422,'SPDR Chart'!$B86,'2025-Q2'!$D$4:$D$422,"N")</f>
        <v>0</v>
      </c>
      <c r="Y86" s="346">
        <f>COUNTIFS('2025-Q2'!$E$4:$E$422,'SPDR Chart'!Y$3,'2025-Q2'!$F$4:$F$422,'SPDR Chart'!$B86,'2025-Q2'!$D$4:$D$422,"N")</f>
        <v>0</v>
      </c>
      <c r="Z86" s="346">
        <f>COUNTIFS('2025-Q2'!$E$4:$E$422,'SPDR Chart'!Z$3,'2025-Q2'!$F$4:$F$422,'SPDR Chart'!$B86,'2025-Q2'!$D$4:$D$422,"N")</f>
        <v>0</v>
      </c>
      <c r="AA86" s="346">
        <f>COUNTIFS('2025-Q2'!$E$4:$E$422,'SPDR Chart'!AA$3,'2025-Q2'!$F$4:$F$422,'SPDR Chart'!$B86,'2025-Q2'!$D$4:$D$422,"N")</f>
        <v>0</v>
      </c>
      <c r="AB86" s="346">
        <f>COUNTIFS('2025-Q2'!$E$4:$E$422,'SPDR Chart'!AB$3,'2025-Q2'!$F$4:$F$422,'SPDR Chart'!$B86,'2025-Q2'!$D$4:$D$422,"N")</f>
        <v>0</v>
      </c>
      <c r="AC86" s="346">
        <f>COUNTIFS('2025-Q2'!$E$4:$E$422,'SPDR Chart'!AC$3,'2025-Q2'!$F$4:$F$422,'SPDR Chart'!$B86,'2025-Q2'!$D$4:$D$422,"N")</f>
        <v>0</v>
      </c>
      <c r="AD86" s="346">
        <f>COUNTIFS('2025-Q2'!$E$4:$E$422,'SPDR Chart'!AD$3,'2025-Q2'!$F$4:$F$422,'SPDR Chart'!$B86,'2025-Q2'!$D$4:$D$422,"N")</f>
        <v>0</v>
      </c>
      <c r="AE86" s="346">
        <f>COUNTIFS('2025-Q2'!$E$4:$E$422,'SPDR Chart'!AE$3,'2025-Q2'!$F$4:$F$422,'SPDR Chart'!$B86,'2025-Q2'!$D$4:$D$422,"N")</f>
        <v>0</v>
      </c>
      <c r="AF86" s="346">
        <f>COUNTIFS('2025-Q2'!$E$4:$E$422,'SPDR Chart'!AF$3,'2025-Q2'!$F$4:$F$422,'SPDR Chart'!$B86,'2025-Q2'!$D$4:$D$422,"N")</f>
        <v>0</v>
      </c>
      <c r="AG86" s="346">
        <f>COUNTIFS('2025-Q2'!$E$4:$E$422,'SPDR Chart'!AG$3,'2025-Q2'!$F$4:$F$422,'SPDR Chart'!$B86,'2025-Q2'!$D$4:$D$422,"N")</f>
        <v>0</v>
      </c>
      <c r="AH86" s="346">
        <f>COUNTIFS('2025-Q2'!$E$4:$E$422,'SPDR Chart'!AH$3,'2025-Q2'!$F$4:$F$422,'SPDR Chart'!$B86,'2025-Q2'!$D$4:$D$422,"N")</f>
        <v>0</v>
      </c>
      <c r="AI86" s="346">
        <f>COUNTIFS('2025-Q2'!$E$4:$E$422,'SPDR Chart'!AI$3,'2025-Q2'!$F$4:$F$422,'SPDR Chart'!$B86,'2025-Q2'!$D$4:$D$422,"N")</f>
        <v>0</v>
      </c>
      <c r="AJ86" s="364">
        <f>COUNTIFS('2025-Q2'!$E$4:$E$422,'SPDR Chart'!AJ$3,'2025-Q2'!$F$4:$F$422,'SPDR Chart'!$B86,'2025-Q2'!$D$4:$D$422,"N")</f>
        <v>0</v>
      </c>
      <c r="AK86" s="362">
        <f t="shared" si="7"/>
        <v>0</v>
      </c>
      <c r="AL86" s="459">
        <f>SUM($AK$4:AK86)/SUM($AK$4:$AK$86)</f>
        <v>1</v>
      </c>
    </row>
  </sheetData>
  <mergeCells count="4">
    <mergeCell ref="AL1:AL3"/>
    <mergeCell ref="R1:R3"/>
    <mergeCell ref="S1:S3"/>
    <mergeCell ref="AK1:AK3"/>
  </mergeCells>
  <conditionalFormatting sqref="C1:Q1">
    <cfRule type="dataBar" priority="4">
      <dataBar>
        <cfvo type="min"/>
        <cfvo type="max"/>
        <color rgb="FF008AEF"/>
      </dataBar>
      <extLst>
        <ext xmlns:x14="http://schemas.microsoft.com/office/spreadsheetml/2009/9/main" uri="{B025F937-C7B1-47D3-B67F-A62EFF666E3E}">
          <x14:id>{EE868640-9B45-4E24-B420-4C7119E3DA64}</x14:id>
        </ext>
      </extLst>
    </cfRule>
  </conditionalFormatting>
  <conditionalFormatting sqref="C2:Q2">
    <cfRule type="dataBar" priority="5">
      <dataBar>
        <cfvo type="min"/>
        <cfvo type="max"/>
        <color rgb="FF63C384"/>
      </dataBar>
      <extLst>
        <ext xmlns:x14="http://schemas.microsoft.com/office/spreadsheetml/2009/9/main" uri="{B025F937-C7B1-47D3-B67F-A62EFF666E3E}">
          <x14:id>{687ADC86-1863-4563-860D-15242F87EE55}</x14:id>
        </ext>
      </extLst>
    </cfRule>
  </conditionalFormatting>
  <conditionalFormatting sqref="C4:Q86">
    <cfRule type="cellIs" dxfId="45" priority="6" operator="equal">
      <formula>0</formula>
    </cfRule>
  </conditionalFormatting>
  <conditionalFormatting sqref="V1:AJ1">
    <cfRule type="dataBar" priority="1">
      <dataBar>
        <cfvo type="min"/>
        <cfvo type="max"/>
        <color rgb="FF008AEF"/>
      </dataBar>
      <extLst>
        <ext xmlns:x14="http://schemas.microsoft.com/office/spreadsheetml/2009/9/main" uri="{B025F937-C7B1-47D3-B67F-A62EFF666E3E}">
          <x14:id>{36FD69B0-5315-4958-89C8-9EE10FE38064}</x14:id>
        </ext>
      </extLst>
    </cfRule>
  </conditionalFormatting>
  <conditionalFormatting sqref="V2:AJ2">
    <cfRule type="dataBar" priority="2">
      <dataBar>
        <cfvo type="min"/>
        <cfvo type="max"/>
        <color rgb="FF63C384"/>
      </dataBar>
      <extLst>
        <ext xmlns:x14="http://schemas.microsoft.com/office/spreadsheetml/2009/9/main" uri="{B025F937-C7B1-47D3-B67F-A62EFF666E3E}">
          <x14:id>{2AF2E571-C1C0-43AB-B18E-B36ABAE8C297}</x14:id>
        </ext>
      </extLst>
    </cfRule>
  </conditionalFormatting>
  <conditionalFormatting sqref="V4:AJ86">
    <cfRule type="cellIs" dxfId="44" priority="3" operator="equal">
      <formula>0</formula>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EE868640-9B45-4E24-B420-4C7119E3DA64}">
            <x14:dataBar minLength="0" maxLength="100" gradient="0">
              <x14:cfvo type="autoMin"/>
              <x14:cfvo type="autoMax"/>
              <x14:negativeFillColor rgb="FFFF0000"/>
              <x14:axisColor rgb="FF000000"/>
            </x14:dataBar>
          </x14:cfRule>
          <xm:sqref>C1:Q1</xm:sqref>
        </x14:conditionalFormatting>
        <x14:conditionalFormatting xmlns:xm="http://schemas.microsoft.com/office/excel/2006/main">
          <x14:cfRule type="dataBar" id="{687ADC86-1863-4563-860D-15242F87EE55}">
            <x14:dataBar minLength="0" maxLength="100" gradient="0">
              <x14:cfvo type="autoMin"/>
              <x14:cfvo type="autoMax"/>
              <x14:negativeFillColor rgb="FFFF0000"/>
              <x14:axisColor rgb="FF000000"/>
            </x14:dataBar>
          </x14:cfRule>
          <xm:sqref>C2:Q2</xm:sqref>
        </x14:conditionalFormatting>
        <x14:conditionalFormatting xmlns:xm="http://schemas.microsoft.com/office/excel/2006/main">
          <x14:cfRule type="dataBar" id="{36FD69B0-5315-4958-89C8-9EE10FE38064}">
            <x14:dataBar minLength="0" maxLength="100" gradient="0">
              <x14:cfvo type="autoMin"/>
              <x14:cfvo type="autoMax"/>
              <x14:negativeFillColor rgb="FFFF0000"/>
              <x14:axisColor rgb="FF000000"/>
            </x14:dataBar>
          </x14:cfRule>
          <xm:sqref>V1:AJ1</xm:sqref>
        </x14:conditionalFormatting>
        <x14:conditionalFormatting xmlns:xm="http://schemas.microsoft.com/office/excel/2006/main">
          <x14:cfRule type="dataBar" id="{2AF2E571-C1C0-43AB-B18E-B36ABAE8C297}">
            <x14:dataBar minLength="0" maxLength="100" gradient="0">
              <x14:cfvo type="autoMin"/>
              <x14:cfvo type="autoMax"/>
              <x14:negativeFillColor rgb="FFFF0000"/>
              <x14:axisColor rgb="FF000000"/>
            </x14:dataBar>
          </x14:cfRule>
          <xm:sqref>V2:AJ2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740DB-7133-4A81-AC23-9F4AB730A8B0}">
  <sheetPr codeName="Sheet7">
    <tabColor theme="0" tint="-0.499984740745262"/>
  </sheetPr>
  <dimension ref="A1:J11"/>
  <sheetViews>
    <sheetView showGridLines="0" workbookViewId="0">
      <selection activeCell="G10" sqref="G10"/>
    </sheetView>
  </sheetViews>
  <sheetFormatPr defaultRowHeight="15" x14ac:dyDescent="0.25"/>
  <cols>
    <col min="4" max="4" width="8.7109375" customWidth="1"/>
  </cols>
  <sheetData>
    <row r="1" spans="1:10" x14ac:dyDescent="0.25">
      <c r="B1" s="25" t="s">
        <v>2752</v>
      </c>
      <c r="C1" s="25" t="s">
        <v>2522</v>
      </c>
      <c r="D1" s="244" t="s">
        <v>2761</v>
      </c>
      <c r="E1" s="244" t="s">
        <v>2762</v>
      </c>
      <c r="F1" s="245" t="s">
        <v>2754</v>
      </c>
      <c r="G1" s="245" t="s">
        <v>2756</v>
      </c>
      <c r="H1" s="246" t="s">
        <v>2755</v>
      </c>
      <c r="I1" s="246" t="s">
        <v>2757</v>
      </c>
    </row>
    <row r="2" spans="1:10" x14ac:dyDescent="0.25">
      <c r="B2" s="243">
        <f>COUNTIF('2025-Q2'!$D$4:$D$422,"Y")/C2</f>
        <v>0.82816229116945106</v>
      </c>
      <c r="C2" s="242">
        <f>COUNTA('2025-Q2'!$D$4:$D$422)</f>
        <v>419</v>
      </c>
      <c r="D2" s="242">
        <f>COUNTIF('2025-Q2'!$S$4:$S$422,"Up")</f>
        <v>51</v>
      </c>
      <c r="E2" s="243">
        <f>D2/$C$2</f>
        <v>0.12171837708830549</v>
      </c>
      <c r="F2" s="242">
        <f>COUNTIF('2025-Q2'!$S$4:$S$422,"Dwn")</f>
        <v>166</v>
      </c>
      <c r="G2" s="243">
        <f>F2/$C$2</f>
        <v>0.39618138424821003</v>
      </c>
      <c r="H2" s="242">
        <f>COUNTIF('2025-Q2'!$S$4:$S$422,"Sw")</f>
        <v>202</v>
      </c>
      <c r="I2" s="243">
        <f>H2/$C$2</f>
        <v>0.4821002386634845</v>
      </c>
    </row>
    <row r="3" spans="1:10" x14ac:dyDescent="0.25">
      <c r="D3" s="244" t="s">
        <v>2760</v>
      </c>
      <c r="F3" s="245" t="s">
        <v>2759</v>
      </c>
      <c r="H3" s="246" t="s">
        <v>2763</v>
      </c>
      <c r="J3" s="249" t="s">
        <v>2764</v>
      </c>
    </row>
    <row r="4" spans="1:10" x14ac:dyDescent="0.25">
      <c r="D4" s="247">
        <f>SUM('2025-Q2'!$CC$4:$CC$422)</f>
        <v>-8.3953556824505036</v>
      </c>
      <c r="F4" s="247">
        <f>SUM('2025-Q2'!$CE$4:$CE$422)</f>
        <v>10.963955006451521</v>
      </c>
      <c r="H4" s="247">
        <f>SUM('2025-Q2'!$CG$4:$CG$422)</f>
        <v>9.9627466694511693</v>
      </c>
      <c r="J4" s="248">
        <f>D4+F4+H4</f>
        <v>12.531345993452186</v>
      </c>
    </row>
    <row r="8" spans="1:10" x14ac:dyDescent="0.25">
      <c r="B8" s="51" t="s">
        <v>2784</v>
      </c>
      <c r="C8" s="51" t="s">
        <v>2737</v>
      </c>
    </row>
    <row r="9" spans="1:10" x14ac:dyDescent="0.25">
      <c r="A9" s="244" t="s">
        <v>2626</v>
      </c>
      <c r="B9" s="54">
        <f>D4</f>
        <v>-8.3953556824505036</v>
      </c>
      <c r="C9" s="54">
        <f>Expectancy!Q3</f>
        <v>-0.16461481730295105</v>
      </c>
    </row>
    <row r="10" spans="1:10" x14ac:dyDescent="0.25">
      <c r="A10" s="245" t="s">
        <v>2766</v>
      </c>
      <c r="B10" s="54">
        <f>F4</f>
        <v>10.963955006451521</v>
      </c>
      <c r="C10" s="54">
        <f>Expectancy!R3</f>
        <v>6.6047921725611566E-2</v>
      </c>
    </row>
    <row r="11" spans="1:10" x14ac:dyDescent="0.25">
      <c r="A11" s="246" t="s">
        <v>1472</v>
      </c>
      <c r="B11" s="54">
        <f>H4</f>
        <v>9.9627466694511693</v>
      </c>
      <c r="C11" s="54">
        <f>Expectancy!S3</f>
        <v>4.9320528066589944E-2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88564-2456-4540-A018-B1DD4D6F25B2}">
  <sheetPr codeName="Sheet8">
    <tabColor theme="9"/>
  </sheetPr>
  <dimension ref="A1:AK92"/>
  <sheetViews>
    <sheetView showGridLines="0" topLeftCell="A79" zoomScale="110" zoomScaleNormal="110" workbookViewId="0">
      <selection activeCell="AK101" sqref="AK101"/>
    </sheetView>
  </sheetViews>
  <sheetFormatPr defaultRowHeight="15" x14ac:dyDescent="0.25"/>
  <cols>
    <col min="1" max="1" width="4.7109375" customWidth="1"/>
    <col min="2" max="5" width="3" customWidth="1"/>
    <col min="6" max="6" width="2.140625" customWidth="1"/>
    <col min="7" max="7" width="3" customWidth="1"/>
    <col min="8" max="8" width="1.5703125" customWidth="1"/>
    <col min="9" max="10" width="3" customWidth="1"/>
    <col min="11" max="11" width="1.85546875" customWidth="1"/>
    <col min="12" max="12" width="3.5703125" customWidth="1"/>
    <col min="13" max="13" width="3.140625" customWidth="1"/>
    <col min="14" max="14" width="4.7109375" customWidth="1"/>
    <col min="15" max="33" width="3" customWidth="1"/>
  </cols>
  <sheetData>
    <row r="1" spans="1:33" x14ac:dyDescent="0.25">
      <c r="A1" s="668" t="s">
        <v>2750</v>
      </c>
      <c r="B1" s="669"/>
      <c r="C1" s="669"/>
      <c r="D1" s="669"/>
      <c r="E1" s="669"/>
      <c r="F1" s="669"/>
      <c r="G1" s="669"/>
      <c r="H1" s="669"/>
      <c r="I1" s="669"/>
      <c r="J1" s="669"/>
      <c r="K1" s="669"/>
      <c r="L1" s="669"/>
      <c r="M1" s="669"/>
      <c r="N1" s="669"/>
      <c r="O1" s="669"/>
      <c r="P1" s="669"/>
      <c r="Q1" s="669"/>
      <c r="R1" s="669"/>
      <c r="S1" s="669"/>
      <c r="T1" s="669"/>
      <c r="U1" s="669"/>
      <c r="V1" s="669"/>
      <c r="W1" s="669"/>
      <c r="X1" s="669"/>
      <c r="Y1" s="669"/>
      <c r="Z1" s="669"/>
      <c r="AA1" s="669"/>
      <c r="AB1" s="669"/>
      <c r="AC1" s="669"/>
      <c r="AD1" s="669"/>
      <c r="AE1" s="669"/>
      <c r="AF1" s="669"/>
      <c r="AG1" s="669"/>
    </row>
    <row r="2" spans="1:33" x14ac:dyDescent="0.25">
      <c r="A2" s="669"/>
      <c r="B2" s="669"/>
      <c r="C2" s="669"/>
      <c r="D2" s="669"/>
      <c r="E2" s="669"/>
      <c r="F2" s="669"/>
      <c r="G2" s="669"/>
      <c r="H2" s="669"/>
      <c r="I2" s="669"/>
      <c r="J2" s="669"/>
      <c r="K2" s="669"/>
      <c r="L2" s="669"/>
      <c r="M2" s="669"/>
      <c r="N2" s="669"/>
      <c r="O2" s="669"/>
      <c r="P2" s="669"/>
      <c r="Q2" s="669"/>
      <c r="R2" s="669"/>
      <c r="S2" s="669"/>
      <c r="T2" s="669"/>
      <c r="U2" s="669"/>
      <c r="V2" s="669"/>
      <c r="W2" s="669"/>
      <c r="X2" s="669"/>
      <c r="Y2" s="669"/>
      <c r="Z2" s="669"/>
      <c r="AA2" s="669"/>
      <c r="AB2" s="669"/>
      <c r="AC2" s="669"/>
      <c r="AD2" s="669"/>
      <c r="AE2" s="669"/>
      <c r="AF2" s="669"/>
      <c r="AG2" s="669"/>
    </row>
    <row r="3" spans="1:33" ht="20.100000000000001" customHeight="1" x14ac:dyDescent="0.25">
      <c r="A3" s="670" t="s">
        <v>2751</v>
      </c>
      <c r="B3" s="671"/>
      <c r="C3" s="671"/>
      <c r="D3" s="671"/>
      <c r="E3" s="671"/>
      <c r="F3" s="671"/>
      <c r="G3" s="671"/>
      <c r="H3" s="671"/>
      <c r="I3" s="671"/>
      <c r="J3" s="671"/>
      <c r="K3" s="671"/>
      <c r="L3" s="671"/>
      <c r="M3" s="671"/>
      <c r="N3" s="671"/>
      <c r="O3" s="671"/>
      <c r="P3" s="671"/>
      <c r="Q3" s="671"/>
      <c r="R3" s="671"/>
      <c r="S3" s="671"/>
      <c r="T3" s="671"/>
      <c r="U3" s="671"/>
      <c r="V3" s="671"/>
      <c r="W3" s="671"/>
      <c r="X3" s="671"/>
      <c r="Y3" s="671"/>
      <c r="Z3" s="671"/>
      <c r="AA3" s="671"/>
      <c r="AB3" s="671"/>
      <c r="AC3" s="671"/>
      <c r="AD3" s="671"/>
      <c r="AE3" s="671"/>
      <c r="AF3" s="671"/>
      <c r="AG3" s="672"/>
    </row>
    <row r="4" spans="1:33" ht="17.25" customHeight="1" x14ac:dyDescent="0.25">
      <c r="A4" s="680" t="str">
        <f>_xlfn.CONCAT(" For the ",A1," earnings season, ", TEXT('Stats Roll Up'!R4,"###")&amp; " earnings trades were taken, ",TEXT('Summary Data'!B2,"00%")," were stocks from the S&amp;P 500.")</f>
        <v xml:space="preserve"> For the 2025 -- Q1 earnings season, 413 earnings trades were taken, 83% were stocks from the S&amp;P 500.</v>
      </c>
      <c r="B4" s="681"/>
      <c r="C4" s="681"/>
      <c r="D4" s="681"/>
      <c r="E4" s="681"/>
      <c r="F4" s="681"/>
      <c r="G4" s="681"/>
      <c r="H4" s="681"/>
      <c r="I4" s="681"/>
      <c r="J4" s="681"/>
      <c r="K4" s="681"/>
      <c r="L4" s="681"/>
      <c r="M4" s="681"/>
      <c r="N4" s="681"/>
      <c r="O4" s="681"/>
      <c r="P4" s="681"/>
      <c r="Q4" s="681"/>
      <c r="R4" s="681"/>
      <c r="S4" s="681"/>
      <c r="T4" s="681"/>
      <c r="U4" s="681"/>
      <c r="V4" s="681"/>
      <c r="W4" s="681"/>
      <c r="X4" s="681"/>
      <c r="Y4" s="681"/>
      <c r="Z4" s="681"/>
      <c r="AA4" s="681"/>
      <c r="AB4" s="681"/>
      <c r="AC4" s="681"/>
      <c r="AD4" s="681"/>
      <c r="AE4" s="681"/>
      <c r="AF4" s="681"/>
      <c r="AG4" s="682"/>
    </row>
    <row r="5" spans="1:33" ht="17.25" customHeight="1" x14ac:dyDescent="0.25">
      <c r="A5" s="256" t="s">
        <v>2753</v>
      </c>
      <c r="B5" s="683" t="str">
        <f>CONCATENATE("Overall, the three pillars of the strategy producted: ")</f>
        <v xml:space="preserve">Overall, the three pillars of the strategy producted: </v>
      </c>
      <c r="C5" s="683"/>
      <c r="D5" s="683"/>
      <c r="E5" s="683"/>
      <c r="F5" s="683"/>
      <c r="G5" s="683"/>
      <c r="H5" s="683"/>
      <c r="I5" s="683"/>
      <c r="J5" s="683"/>
      <c r="K5" s="683"/>
      <c r="L5" s="683"/>
      <c r="M5" s="683"/>
      <c r="N5" s="683"/>
      <c r="O5" s="684" t="str">
        <f>TEXT('Summary Data'!J$4,"0")</f>
        <v>13</v>
      </c>
      <c r="P5" s="684"/>
      <c r="Q5" s="685" t="s">
        <v>2778</v>
      </c>
      <c r="R5" s="685"/>
      <c r="S5" s="685"/>
      <c r="T5" s="685"/>
      <c r="U5" s="685"/>
      <c r="V5" s="685"/>
      <c r="W5" s="685"/>
      <c r="X5" s="685"/>
      <c r="Y5" s="685"/>
      <c r="Z5" s="685"/>
      <c r="AA5" s="685"/>
      <c r="AB5" s="685"/>
      <c r="AC5" s="685"/>
      <c r="AD5" s="685"/>
      <c r="AE5" s="685"/>
      <c r="AF5" s="685"/>
      <c r="AG5" s="686"/>
    </row>
    <row r="6" spans="1:33" ht="18" customHeight="1" x14ac:dyDescent="0.25">
      <c r="A6" s="665" t="s">
        <v>2758</v>
      </c>
      <c r="B6" s="665"/>
      <c r="C6" s="665"/>
      <c r="D6" s="665"/>
      <c r="E6" s="665"/>
      <c r="F6" s="665"/>
      <c r="G6" s="665"/>
      <c r="H6" s="665"/>
      <c r="I6" s="665"/>
      <c r="J6" s="665"/>
      <c r="K6" s="665"/>
      <c r="L6" s="665"/>
      <c r="M6" s="665"/>
      <c r="N6" s="665"/>
      <c r="O6" s="665"/>
      <c r="P6" s="665"/>
      <c r="Q6" s="665"/>
      <c r="R6" s="665"/>
      <c r="S6" s="665"/>
      <c r="T6" s="665"/>
      <c r="U6" s="665"/>
      <c r="V6" s="665"/>
      <c r="W6" s="665"/>
      <c r="X6" s="665"/>
      <c r="Y6" s="665"/>
      <c r="Z6" s="665"/>
      <c r="AA6" s="665"/>
      <c r="AB6" s="665"/>
      <c r="AC6" s="665"/>
      <c r="AD6" s="665"/>
      <c r="AE6" s="665"/>
      <c r="AF6" s="665"/>
      <c r="AG6" s="665"/>
    </row>
    <row r="7" spans="1:33" x14ac:dyDescent="0.25">
      <c r="A7" s="256" t="s">
        <v>2753</v>
      </c>
      <c r="B7" s="673" t="str">
        <f>_xlfn.CONCAT('Summary Data'!$D$2," of the trades were stocks in an up trend."," This is ", TEXT('Summary Data'!$E$2,"##%")," of all trades.")</f>
        <v>51 of the trades were stocks in an up trend. This is 12% of all trades.</v>
      </c>
      <c r="C7" s="673"/>
      <c r="D7" s="673"/>
      <c r="E7" s="673"/>
      <c r="F7" s="673"/>
      <c r="G7" s="673"/>
      <c r="H7" s="673"/>
      <c r="I7" s="673"/>
      <c r="J7" s="673"/>
      <c r="K7" s="673"/>
      <c r="L7" s="673"/>
      <c r="M7" s="673"/>
      <c r="N7" s="673"/>
      <c r="O7" s="673"/>
      <c r="P7" s="673"/>
      <c r="Q7" s="673"/>
      <c r="R7" s="673"/>
      <c r="S7" s="673"/>
      <c r="T7" s="673"/>
      <c r="U7" s="673"/>
      <c r="V7" s="673"/>
      <c r="W7" s="673"/>
      <c r="X7" s="673"/>
      <c r="Y7" s="673"/>
      <c r="Z7" s="673"/>
      <c r="AA7" s="673"/>
      <c r="AB7" s="673"/>
      <c r="AC7" s="673"/>
      <c r="AD7" s="673"/>
      <c r="AE7" s="673"/>
      <c r="AF7" s="673"/>
      <c r="AG7" s="675"/>
    </row>
    <row r="8" spans="1:33" x14ac:dyDescent="0.25">
      <c r="A8" s="256" t="s">
        <v>2753</v>
      </c>
      <c r="B8" s="673" t="str">
        <f>_xlfn.CONCAT(TEXT('Stats Roll Up'!$G$4,"00.0%")," of the up trendng stocks opened higher after earnings. The average gap higher was ",TEXT('Stats Roll Up'!$D$4,"0.0%"),".")</f>
        <v>47.1% of the up trendng stocks opened higher after earnings. The average gap higher was 4.6%.</v>
      </c>
      <c r="C8" s="673"/>
      <c r="D8" s="673"/>
      <c r="E8" s="673"/>
      <c r="F8" s="673"/>
      <c r="G8" s="673"/>
      <c r="H8" s="673"/>
      <c r="I8" s="673"/>
      <c r="J8" s="673"/>
      <c r="K8" s="673"/>
      <c r="L8" s="673"/>
      <c r="M8" s="673"/>
      <c r="N8" s="673"/>
      <c r="O8" s="673"/>
      <c r="P8" s="673"/>
      <c r="Q8" s="673"/>
      <c r="R8" s="673"/>
      <c r="S8" s="673"/>
      <c r="T8" s="673"/>
      <c r="U8" s="673"/>
      <c r="V8" s="673"/>
      <c r="W8" s="673"/>
      <c r="X8" s="673"/>
      <c r="Y8" s="673"/>
      <c r="Z8" s="673"/>
      <c r="AA8" s="673"/>
      <c r="AB8" s="673"/>
      <c r="AC8" s="673"/>
      <c r="AD8" s="673"/>
      <c r="AE8" s="673"/>
      <c r="AF8" s="673"/>
      <c r="AG8" s="675"/>
    </row>
    <row r="9" spans="1:33" x14ac:dyDescent="0.25">
      <c r="A9" s="256" t="s">
        <v>2753</v>
      </c>
      <c r="B9" s="673" t="str">
        <f>_xlfn.CONCAT(TEXT('Stats Roll Up'!$AC$4,"00.0%")," of the up trendng stocks opened lower after earnings. The average gap down from an up trend was ",TEXT('Stats Roll Up'!$AE$4,"0.0%"),".")</f>
        <v>52.9% of the up trendng stocks opened lower after earnings. The average gap down from an up trend was 5.2%.</v>
      </c>
      <c r="C9" s="673"/>
      <c r="D9" s="673"/>
      <c r="E9" s="673"/>
      <c r="F9" s="673"/>
      <c r="G9" s="673"/>
      <c r="H9" s="673"/>
      <c r="I9" s="673"/>
      <c r="J9" s="673"/>
      <c r="K9" s="673"/>
      <c r="L9" s="673"/>
      <c r="M9" s="673"/>
      <c r="N9" s="673"/>
      <c r="O9" s="673"/>
      <c r="P9" s="673"/>
      <c r="Q9" s="673"/>
      <c r="R9" s="673"/>
      <c r="S9" s="673"/>
      <c r="T9" s="673"/>
      <c r="U9" s="673"/>
      <c r="V9" s="673"/>
      <c r="W9" s="673"/>
      <c r="X9" s="673"/>
      <c r="Y9" s="673"/>
      <c r="Z9" s="673"/>
      <c r="AA9" s="673"/>
      <c r="AB9" s="673"/>
      <c r="AC9" s="673"/>
      <c r="AD9" s="673"/>
      <c r="AE9" s="673"/>
      <c r="AF9" s="673"/>
      <c r="AG9" s="675"/>
    </row>
    <row r="10" spans="1:33" x14ac:dyDescent="0.25">
      <c r="A10" s="256" t="s">
        <v>2753</v>
      </c>
      <c r="B10" s="673" t="str">
        <f>CONCATENATE("For up trends, the strategy produced: ")</f>
        <v xml:space="preserve">For up trends, the strategy produced: </v>
      </c>
      <c r="C10" s="673"/>
      <c r="D10" s="673"/>
      <c r="E10" s="673"/>
      <c r="F10" s="673"/>
      <c r="G10" s="673"/>
      <c r="H10" s="673"/>
      <c r="I10" s="673"/>
      <c r="J10" s="673"/>
      <c r="K10" s="673"/>
      <c r="L10" s="673"/>
      <c r="M10" s="269">
        <f>'Summary Data'!$D$4</f>
        <v>-8.3953556824505036</v>
      </c>
      <c r="N10" s="268" t="s">
        <v>2778</v>
      </c>
      <c r="O10" s="258"/>
      <c r="P10" s="258"/>
      <c r="Q10" s="258"/>
      <c r="R10" s="258"/>
      <c r="S10" s="258"/>
      <c r="T10" s="258"/>
      <c r="U10" s="258"/>
      <c r="V10" s="258"/>
      <c r="W10" s="258"/>
      <c r="X10" s="258"/>
      <c r="Y10" s="258"/>
      <c r="Z10" s="258"/>
      <c r="AA10" s="258"/>
      <c r="AB10" s="258"/>
      <c r="AC10" s="258"/>
      <c r="AD10" s="258"/>
      <c r="AE10" s="258"/>
      <c r="AF10" s="258"/>
      <c r="AG10" s="259"/>
    </row>
    <row r="11" spans="1:33" x14ac:dyDescent="0.25">
      <c r="A11" s="256" t="s">
        <v>2753</v>
      </c>
      <c r="B11" s="258" t="s">
        <v>2780</v>
      </c>
      <c r="C11" s="258"/>
      <c r="D11" s="258"/>
      <c r="E11" s="258"/>
      <c r="F11" s="258"/>
      <c r="G11" s="258"/>
      <c r="H11" s="258"/>
      <c r="I11" s="258"/>
      <c r="J11" s="258"/>
      <c r="K11" s="674">
        <f>Expectancy!$Q$3</f>
        <v>-0.16461481730295105</v>
      </c>
      <c r="L11" s="674"/>
      <c r="M11" s="673" t="s">
        <v>2781</v>
      </c>
      <c r="N11" s="673"/>
      <c r="O11" s="673"/>
      <c r="P11" s="673"/>
      <c r="Q11" s="673"/>
      <c r="R11" s="673"/>
      <c r="S11" s="673"/>
      <c r="T11" s="673"/>
      <c r="U11" s="673"/>
      <c r="V11" s="673"/>
      <c r="W11" s="673"/>
      <c r="X11" s="673"/>
      <c r="Y11" s="673"/>
      <c r="Z11" s="673"/>
      <c r="AA11" s="673"/>
      <c r="AB11" s="673"/>
      <c r="AC11" s="673"/>
      <c r="AD11" s="673"/>
      <c r="AE11" s="673"/>
      <c r="AF11" s="673"/>
      <c r="AG11" s="675"/>
    </row>
    <row r="12" spans="1:33" ht="18" customHeight="1" x14ac:dyDescent="0.25">
      <c r="A12" s="260"/>
      <c r="AG12" s="261"/>
    </row>
    <row r="13" spans="1:33" x14ac:dyDescent="0.25">
      <c r="A13" s="666" t="s">
        <v>2765</v>
      </c>
      <c r="B13" s="666"/>
      <c r="C13" s="666"/>
      <c r="D13" s="666"/>
      <c r="E13" s="666"/>
      <c r="F13" s="666"/>
      <c r="G13" s="666"/>
      <c r="H13" s="666"/>
      <c r="I13" s="666"/>
      <c r="J13" s="666"/>
      <c r="K13" s="666"/>
      <c r="L13" s="666"/>
      <c r="M13" s="666"/>
      <c r="N13" s="666"/>
      <c r="O13" s="666"/>
      <c r="P13" s="666"/>
      <c r="Q13" s="666"/>
      <c r="R13" s="666"/>
      <c r="S13" s="666"/>
      <c r="T13" s="666"/>
      <c r="U13" s="666"/>
      <c r="V13" s="666"/>
      <c r="W13" s="666"/>
      <c r="X13" s="666"/>
      <c r="Y13" s="666"/>
      <c r="Z13" s="666"/>
      <c r="AA13" s="666"/>
      <c r="AB13" s="666"/>
      <c r="AC13" s="666"/>
      <c r="AD13" s="666"/>
      <c r="AE13" s="666"/>
      <c r="AF13" s="666"/>
      <c r="AG13" s="666"/>
    </row>
    <row r="14" spans="1:33" x14ac:dyDescent="0.25">
      <c r="A14" s="267" t="s">
        <v>2753</v>
      </c>
      <c r="B14" s="673" t="str">
        <f>_xlfn.CONCAT('Summary Data'!$F$2," of the trades were stocks in an down trend."," This is ", TEXT('Summary Data'!$G$2,"##%")," of all trades.")</f>
        <v>166 of the trades were stocks in an down trend. This is 40% of all trades.</v>
      </c>
      <c r="C14" s="673"/>
      <c r="D14" s="673"/>
      <c r="E14" s="673"/>
      <c r="F14" s="673"/>
      <c r="G14" s="673"/>
      <c r="H14" s="673"/>
      <c r="I14" s="673"/>
      <c r="J14" s="673"/>
      <c r="K14" s="673"/>
      <c r="L14" s="673"/>
      <c r="M14" s="673"/>
      <c r="N14" s="673"/>
      <c r="O14" s="673"/>
      <c r="P14" s="673"/>
      <c r="Q14" s="673"/>
      <c r="R14" s="673"/>
      <c r="S14" s="673"/>
      <c r="T14" s="673"/>
      <c r="U14" s="673"/>
      <c r="V14" s="673"/>
      <c r="W14" s="673"/>
      <c r="X14" s="673"/>
      <c r="Y14" s="673"/>
      <c r="Z14" s="673"/>
      <c r="AA14" s="673"/>
      <c r="AB14" s="673"/>
      <c r="AC14" s="673"/>
      <c r="AD14" s="673"/>
      <c r="AE14" s="673"/>
      <c r="AF14" s="673"/>
      <c r="AG14" s="675"/>
    </row>
    <row r="15" spans="1:33" x14ac:dyDescent="0.25">
      <c r="A15" s="267" t="s">
        <v>2753</v>
      </c>
      <c r="B15" s="673" t="str">
        <f>_xlfn.CONCAT(TEXT('Stats Roll Up'!$Y$4,"00.0%")," of the down trendng stocks opened lower after earnings. The average gap down was ",TEXT('Stats Roll Up'!$AA$4,"0.0%"),".")</f>
        <v>55.4% of the down trendng stocks opened lower after earnings. The average gap down was 4.1%.</v>
      </c>
      <c r="C15" s="673"/>
      <c r="D15" s="673"/>
      <c r="E15" s="673"/>
      <c r="F15" s="673"/>
      <c r="G15" s="673"/>
      <c r="H15" s="673"/>
      <c r="I15" s="673"/>
      <c r="J15" s="673"/>
      <c r="K15" s="673"/>
      <c r="L15" s="673"/>
      <c r="M15" s="673"/>
      <c r="N15" s="673"/>
      <c r="O15" s="673"/>
      <c r="P15" s="673"/>
      <c r="Q15" s="673"/>
      <c r="R15" s="673"/>
      <c r="S15" s="673"/>
      <c r="T15" s="673"/>
      <c r="U15" s="673"/>
      <c r="V15" s="673"/>
      <c r="W15" s="673"/>
      <c r="X15" s="673"/>
      <c r="Y15" s="673"/>
      <c r="Z15" s="673"/>
      <c r="AA15" s="673"/>
      <c r="AB15" s="673"/>
      <c r="AC15" s="673"/>
      <c r="AD15" s="673"/>
      <c r="AE15" s="673"/>
      <c r="AF15" s="673"/>
      <c r="AG15" s="675"/>
    </row>
    <row r="16" spans="1:33" x14ac:dyDescent="0.25">
      <c r="A16" s="267" t="s">
        <v>2753</v>
      </c>
      <c r="B16" s="673" t="str">
        <f>_xlfn.CONCAT(TEXT('Stats Roll Up'!$K$4,"00.0%")," of the down trendng stocks opened higher after earnings. The average gap up from a down trend was ",TEXT('Stats Roll Up'!$M$4,"0.0%"),".")</f>
        <v>44.6% of the down trendng stocks opened higher after earnings. The average gap up from a down trend was 4.3%.</v>
      </c>
      <c r="C16" s="673"/>
      <c r="D16" s="673"/>
      <c r="E16" s="673"/>
      <c r="F16" s="673"/>
      <c r="G16" s="673"/>
      <c r="H16" s="673"/>
      <c r="I16" s="673"/>
      <c r="J16" s="673"/>
      <c r="K16" s="673"/>
      <c r="L16" s="673"/>
      <c r="M16" s="673"/>
      <c r="N16" s="673"/>
      <c r="O16" s="673"/>
      <c r="P16" s="673"/>
      <c r="Q16" s="673"/>
      <c r="R16" s="673"/>
      <c r="S16" s="673"/>
      <c r="T16" s="673"/>
      <c r="U16" s="673"/>
      <c r="V16" s="673"/>
      <c r="W16" s="673"/>
      <c r="X16" s="673"/>
      <c r="Y16" s="673"/>
      <c r="Z16" s="673"/>
      <c r="AA16" s="673"/>
      <c r="AB16" s="673"/>
      <c r="AC16" s="673"/>
      <c r="AD16" s="673"/>
      <c r="AE16" s="673"/>
      <c r="AF16" s="673"/>
      <c r="AG16" s="675"/>
    </row>
    <row r="17" spans="1:37" x14ac:dyDescent="0.25">
      <c r="A17" s="267" t="s">
        <v>2753</v>
      </c>
      <c r="B17" s="673" t="str">
        <f>CONCATENATE("For down trends, the strategy produced: ")</f>
        <v xml:space="preserve">For down trends, the strategy produced: </v>
      </c>
      <c r="C17" s="673"/>
      <c r="D17" s="673"/>
      <c r="E17" s="673"/>
      <c r="F17" s="673"/>
      <c r="G17" s="673"/>
      <c r="H17" s="673"/>
      <c r="I17" s="673"/>
      <c r="J17" s="673"/>
      <c r="K17" s="673"/>
      <c r="L17" s="673"/>
      <c r="M17" s="673"/>
      <c r="N17" s="257">
        <f>'Summary Data'!$F$4</f>
        <v>10.963955006451521</v>
      </c>
      <c r="O17" s="673" t="str">
        <f>_xlfn.CONCAT("risk units.")</f>
        <v>risk units.</v>
      </c>
      <c r="P17" s="673"/>
      <c r="Q17" s="673"/>
      <c r="R17" s="673"/>
      <c r="S17" s="673"/>
      <c r="T17" s="673"/>
      <c r="U17" s="673"/>
      <c r="V17" s="673"/>
      <c r="W17" s="673"/>
      <c r="X17" s="673"/>
      <c r="Y17" s="673"/>
      <c r="Z17" s="673"/>
      <c r="AA17" s="673"/>
      <c r="AB17" s="673"/>
      <c r="AC17" s="673"/>
      <c r="AD17" s="673"/>
      <c r="AE17" s="673"/>
      <c r="AF17" s="673"/>
      <c r="AG17" s="675"/>
    </row>
    <row r="18" spans="1:37" ht="18.75" customHeight="1" x14ac:dyDescent="0.25">
      <c r="A18" s="267" t="s">
        <v>2753</v>
      </c>
      <c r="B18" s="270" t="s">
        <v>2782</v>
      </c>
      <c r="C18" s="270"/>
      <c r="D18" s="270"/>
      <c r="E18" s="270"/>
      <c r="F18" s="270"/>
      <c r="G18" s="270"/>
      <c r="H18" s="270"/>
      <c r="I18" s="270"/>
      <c r="J18" s="270"/>
      <c r="L18" s="674">
        <f>Expectancy!$R$3</f>
        <v>6.6047921725611566E-2</v>
      </c>
      <c r="M18" s="678"/>
      <c r="N18" s="271" t="s">
        <v>2781</v>
      </c>
      <c r="O18" s="271"/>
      <c r="P18" s="271"/>
      <c r="Q18" s="271"/>
      <c r="R18" s="271"/>
      <c r="S18" s="271"/>
      <c r="T18" s="271"/>
      <c r="U18" s="271"/>
      <c r="V18" s="271"/>
      <c r="W18" s="271"/>
      <c r="X18" s="271"/>
      <c r="Y18" s="271"/>
      <c r="Z18" s="271"/>
      <c r="AA18" s="271"/>
      <c r="AB18" s="271"/>
      <c r="AC18" s="271"/>
      <c r="AD18" s="271"/>
      <c r="AE18" s="271"/>
      <c r="AF18" s="271"/>
      <c r="AG18" s="272"/>
      <c r="AJ18" s="676"/>
      <c r="AK18" s="677"/>
    </row>
    <row r="19" spans="1:37" x14ac:dyDescent="0.25">
      <c r="A19" s="260"/>
      <c r="AG19" s="261"/>
    </row>
    <row r="20" spans="1:37" x14ac:dyDescent="0.25">
      <c r="A20" s="667" t="s">
        <v>2777</v>
      </c>
      <c r="B20" s="667"/>
      <c r="C20" s="667"/>
      <c r="D20" s="667"/>
      <c r="E20" s="667"/>
      <c r="F20" s="667"/>
      <c r="G20" s="667"/>
      <c r="H20" s="667"/>
      <c r="I20" s="667"/>
      <c r="J20" s="667"/>
      <c r="K20" s="667"/>
      <c r="L20" s="667"/>
      <c r="M20" s="667"/>
      <c r="N20" s="667"/>
      <c r="O20" s="667"/>
      <c r="P20" s="667"/>
      <c r="Q20" s="667"/>
      <c r="R20" s="667"/>
      <c r="S20" s="667"/>
      <c r="T20" s="667"/>
      <c r="U20" s="667"/>
      <c r="V20" s="667"/>
      <c r="W20" s="667"/>
      <c r="X20" s="667"/>
      <c r="Y20" s="667"/>
      <c r="Z20" s="667"/>
      <c r="AA20" s="667"/>
      <c r="AB20" s="667"/>
      <c r="AC20" s="667"/>
      <c r="AD20" s="667"/>
      <c r="AE20" s="667"/>
      <c r="AF20" s="667"/>
      <c r="AG20" s="667"/>
    </row>
    <row r="21" spans="1:37" x14ac:dyDescent="0.25">
      <c r="A21" s="266" t="s">
        <v>2753</v>
      </c>
      <c r="B21" s="673" t="str">
        <f>_xlfn.CONCAT('Summary Data'!$H$2," of the trades were stocks in a sideways trend."," This is ", TEXT('Summary Data'!$I$2,"00%")," of all trades.")</f>
        <v>202 of the trades were stocks in a sideways trend. This is 48% of all trades.</v>
      </c>
      <c r="C21" s="673"/>
      <c r="D21" s="673"/>
      <c r="E21" s="673"/>
      <c r="F21" s="673"/>
      <c r="G21" s="673"/>
      <c r="H21" s="673"/>
      <c r="I21" s="673"/>
      <c r="J21" s="673"/>
      <c r="K21" s="673"/>
      <c r="L21" s="673"/>
      <c r="M21" s="673"/>
      <c r="N21" s="673"/>
      <c r="O21" s="673"/>
      <c r="P21" s="673"/>
      <c r="Q21" s="673"/>
      <c r="R21" s="673"/>
      <c r="S21" s="673"/>
      <c r="T21" s="673"/>
      <c r="U21" s="673"/>
      <c r="V21" s="673"/>
      <c r="W21" s="673"/>
      <c r="X21" s="673"/>
      <c r="Y21" s="673"/>
      <c r="Z21" s="673"/>
      <c r="AA21" s="673"/>
      <c r="AB21" s="673"/>
      <c r="AC21" s="673"/>
      <c r="AD21" s="673"/>
      <c r="AE21" s="673"/>
      <c r="AF21" s="673"/>
      <c r="AG21" s="675"/>
    </row>
    <row r="22" spans="1:37" x14ac:dyDescent="0.25">
      <c r="A22" s="266" t="s">
        <v>2753</v>
      </c>
      <c r="B22" s="673" t="str">
        <f>_xlfn.CONCAT(TEXT('Stats Roll Up'!$O$4,"00.0%")," of the sideways stocks opened higher after earnings. The average gap up was ",TEXT('Stats Roll Up'!$Q$4,"0.0%"),".")</f>
        <v>50.5% of the sideways stocks opened higher after earnings. The average gap up was 5.1%.</v>
      </c>
      <c r="C22" s="673"/>
      <c r="D22" s="673"/>
      <c r="E22" s="673"/>
      <c r="F22" s="673"/>
      <c r="G22" s="673"/>
      <c r="H22" s="673"/>
      <c r="I22" s="673"/>
      <c r="J22" s="673"/>
      <c r="K22" s="673"/>
      <c r="L22" s="673"/>
      <c r="M22" s="673"/>
      <c r="N22" s="673"/>
      <c r="O22" s="673"/>
      <c r="P22" s="673"/>
      <c r="Q22" s="673"/>
      <c r="R22" s="673"/>
      <c r="S22" s="673"/>
      <c r="T22" s="673"/>
      <c r="U22" s="673"/>
      <c r="V22" s="673"/>
      <c r="W22" s="673"/>
      <c r="X22" s="673"/>
      <c r="Y22" s="673"/>
      <c r="Z22" s="673"/>
      <c r="AA22" s="673"/>
      <c r="AB22" s="673"/>
      <c r="AC22" s="673"/>
      <c r="AD22" s="673"/>
      <c r="AE22" s="673"/>
      <c r="AF22" s="673"/>
      <c r="AG22" s="675"/>
    </row>
    <row r="23" spans="1:37" x14ac:dyDescent="0.25">
      <c r="A23" s="266" t="s">
        <v>2753</v>
      </c>
      <c r="B23" s="673" t="str">
        <f>_xlfn.CONCAT(TEXT('Stats Roll Up'!$AG$4,"00.0%")," of the sideways stocks opened lower after earnings. The average gap down from a sideways trend was ",TEXT('Stats Roll Up'!$AI$4,"0.0%"),".")</f>
        <v>48.5% of the sideways stocks opened lower after earnings. The average gap down from a sideways trend was 4.7%.</v>
      </c>
      <c r="C23" s="673"/>
      <c r="D23" s="673"/>
      <c r="E23" s="673"/>
      <c r="F23" s="673"/>
      <c r="G23" s="673"/>
      <c r="H23" s="673"/>
      <c r="I23" s="673"/>
      <c r="J23" s="673"/>
      <c r="K23" s="673"/>
      <c r="L23" s="673"/>
      <c r="M23" s="673"/>
      <c r="N23" s="673"/>
      <c r="O23" s="673"/>
      <c r="P23" s="673"/>
      <c r="Q23" s="673"/>
      <c r="R23" s="673"/>
      <c r="S23" s="673"/>
      <c r="T23" s="673"/>
      <c r="U23" s="673"/>
      <c r="V23" s="673"/>
      <c r="W23" s="673"/>
      <c r="X23" s="673"/>
      <c r="Y23" s="673"/>
      <c r="Z23" s="673"/>
      <c r="AA23" s="673"/>
      <c r="AB23" s="673"/>
      <c r="AC23" s="673"/>
      <c r="AD23" s="673"/>
      <c r="AE23" s="673"/>
      <c r="AF23" s="673"/>
      <c r="AG23" s="675"/>
    </row>
    <row r="24" spans="1:37" x14ac:dyDescent="0.25">
      <c r="A24" s="266" t="s">
        <v>2753</v>
      </c>
      <c r="B24" s="679" t="str">
        <f>CONCATENATE("For sideways trends, the strategy produced: ")</f>
        <v xml:space="preserve">For sideways trends, the strategy produced: </v>
      </c>
      <c r="C24" s="679"/>
      <c r="D24" s="679"/>
      <c r="E24" s="679"/>
      <c r="F24" s="679"/>
      <c r="G24" s="679"/>
      <c r="H24" s="679"/>
      <c r="I24" s="679"/>
      <c r="J24" s="679"/>
      <c r="K24" s="679"/>
      <c r="L24" s="679"/>
      <c r="M24" s="679"/>
      <c r="N24" s="262">
        <f>'Summary Data'!$H$4</f>
        <v>9.9627466694511693</v>
      </c>
      <c r="O24" s="673" t="str">
        <f>_xlfn.CONCAT("risk units.")</f>
        <v>risk units.</v>
      </c>
      <c r="P24" s="673"/>
      <c r="Q24" s="673"/>
      <c r="R24" s="673"/>
      <c r="S24" s="673"/>
      <c r="T24" s="673"/>
      <c r="U24" s="673"/>
      <c r="V24" s="673"/>
      <c r="W24" s="673"/>
      <c r="X24" s="673"/>
      <c r="Y24" s="673"/>
      <c r="Z24" s="673"/>
      <c r="AA24" s="673"/>
      <c r="AB24" s="673"/>
      <c r="AC24" s="673"/>
      <c r="AD24" s="673"/>
      <c r="AE24" s="673"/>
      <c r="AF24" s="673"/>
      <c r="AG24" s="675"/>
    </row>
    <row r="25" spans="1:37" x14ac:dyDescent="0.25">
      <c r="A25" s="266" t="s">
        <v>2753</v>
      </c>
      <c r="B25" s="270" t="s">
        <v>2783</v>
      </c>
      <c r="C25" s="270"/>
      <c r="D25" s="270"/>
      <c r="E25" s="270"/>
      <c r="F25" s="270"/>
      <c r="G25" s="270"/>
      <c r="H25" s="270"/>
      <c r="I25" s="270"/>
      <c r="J25" s="270"/>
      <c r="M25" s="674">
        <f>Expectancy!$S$3</f>
        <v>4.9320528066589944E-2</v>
      </c>
      <c r="N25" s="674"/>
      <c r="O25" s="271" t="s">
        <v>2781</v>
      </c>
      <c r="P25" s="271"/>
      <c r="Q25" s="271"/>
      <c r="R25" s="271"/>
      <c r="AG25" s="261"/>
    </row>
    <row r="26" spans="1:37" x14ac:dyDescent="0.25">
      <c r="A26" s="260"/>
      <c r="AG26" s="261"/>
    </row>
    <row r="27" spans="1:37" x14ac:dyDescent="0.25">
      <c r="A27" s="260"/>
      <c r="AG27" s="261"/>
    </row>
    <row r="28" spans="1:37" x14ac:dyDescent="0.25">
      <c r="A28" s="260"/>
      <c r="AG28" s="261"/>
    </row>
    <row r="29" spans="1:37" x14ac:dyDescent="0.25">
      <c r="A29" s="260"/>
      <c r="AG29" s="261"/>
    </row>
    <row r="30" spans="1:37" x14ac:dyDescent="0.25">
      <c r="A30" s="260"/>
      <c r="AG30" s="261"/>
    </row>
    <row r="31" spans="1:37" x14ac:dyDescent="0.25">
      <c r="A31" s="260"/>
      <c r="AG31" s="261"/>
    </row>
    <row r="32" spans="1:37" x14ac:dyDescent="0.25">
      <c r="A32" s="260"/>
      <c r="AG32" s="261"/>
    </row>
    <row r="33" spans="1:33" x14ac:dyDescent="0.25">
      <c r="A33" s="260"/>
      <c r="AG33" s="261"/>
    </row>
    <row r="34" spans="1:33" x14ac:dyDescent="0.25">
      <c r="A34" s="260"/>
      <c r="AG34" s="261"/>
    </row>
    <row r="35" spans="1:33" x14ac:dyDescent="0.25">
      <c r="A35" s="260"/>
      <c r="AG35" s="261"/>
    </row>
    <row r="36" spans="1:33" x14ac:dyDescent="0.25">
      <c r="A36" s="260"/>
      <c r="AG36" s="261"/>
    </row>
    <row r="37" spans="1:33" x14ac:dyDescent="0.25">
      <c r="A37" s="260"/>
      <c r="AG37" s="261"/>
    </row>
    <row r="38" spans="1:33" x14ac:dyDescent="0.25">
      <c r="A38" s="260"/>
      <c r="AG38" s="261"/>
    </row>
    <row r="39" spans="1:33" x14ac:dyDescent="0.25">
      <c r="A39" s="260"/>
      <c r="AG39" s="261"/>
    </row>
    <row r="40" spans="1:33" x14ac:dyDescent="0.25">
      <c r="A40" s="260"/>
      <c r="AG40" s="261"/>
    </row>
    <row r="41" spans="1:33" x14ac:dyDescent="0.25">
      <c r="A41" s="260"/>
      <c r="AG41" s="261"/>
    </row>
    <row r="42" spans="1:33" x14ac:dyDescent="0.25">
      <c r="A42" s="260"/>
      <c r="AG42" s="261"/>
    </row>
    <row r="43" spans="1:33" x14ac:dyDescent="0.25">
      <c r="A43" s="263"/>
      <c r="B43" s="264"/>
      <c r="C43" s="264"/>
      <c r="D43" s="264"/>
      <c r="E43" s="264"/>
      <c r="F43" s="264"/>
      <c r="G43" s="264"/>
      <c r="H43" s="264"/>
      <c r="I43" s="264"/>
      <c r="J43" s="264"/>
      <c r="K43" s="264"/>
      <c r="L43" s="264"/>
      <c r="M43" s="264"/>
      <c r="N43" s="264"/>
      <c r="O43" s="264"/>
      <c r="P43" s="264"/>
      <c r="Q43" s="264"/>
      <c r="R43" s="264"/>
      <c r="S43" s="264"/>
      <c r="T43" s="264"/>
      <c r="U43" s="264"/>
      <c r="V43" s="264"/>
      <c r="W43" s="264"/>
      <c r="X43" s="264"/>
      <c r="Y43" s="264"/>
      <c r="Z43" s="264"/>
      <c r="AA43" s="264"/>
      <c r="AB43" s="264"/>
      <c r="AC43" s="264"/>
      <c r="AD43" s="264"/>
      <c r="AE43" s="264"/>
      <c r="AF43" s="264"/>
      <c r="AG43" s="265"/>
    </row>
    <row r="44" spans="1:33" x14ac:dyDescent="0.25">
      <c r="A44" s="668" t="s">
        <v>2750</v>
      </c>
      <c r="B44" s="669"/>
      <c r="C44" s="669"/>
      <c r="D44" s="669"/>
      <c r="E44" s="669"/>
      <c r="F44" s="669"/>
      <c r="G44" s="669"/>
      <c r="H44" s="669"/>
      <c r="I44" s="669"/>
      <c r="J44" s="669"/>
      <c r="K44" s="669"/>
      <c r="L44" s="669"/>
      <c r="M44" s="669"/>
      <c r="N44" s="669"/>
      <c r="O44" s="669"/>
      <c r="P44" s="669"/>
      <c r="Q44" s="669"/>
      <c r="R44" s="669"/>
      <c r="S44" s="669"/>
      <c r="T44" s="669"/>
      <c r="U44" s="669"/>
      <c r="V44" s="669"/>
      <c r="W44" s="669"/>
      <c r="X44" s="669"/>
      <c r="Y44" s="669"/>
      <c r="Z44" s="669"/>
      <c r="AA44" s="669"/>
      <c r="AB44" s="669"/>
      <c r="AC44" s="669"/>
      <c r="AD44" s="669"/>
      <c r="AE44" s="669"/>
      <c r="AF44" s="669"/>
      <c r="AG44" s="669"/>
    </row>
    <row r="45" spans="1:33" x14ac:dyDescent="0.25">
      <c r="A45" s="669"/>
      <c r="B45" s="669"/>
      <c r="C45" s="669"/>
      <c r="D45" s="669"/>
      <c r="E45" s="669"/>
      <c r="F45" s="669"/>
      <c r="G45" s="669"/>
      <c r="H45" s="669"/>
      <c r="I45" s="669"/>
      <c r="J45" s="669"/>
      <c r="K45" s="669"/>
      <c r="L45" s="669"/>
      <c r="M45" s="669"/>
      <c r="N45" s="669"/>
      <c r="O45" s="669"/>
      <c r="P45" s="669"/>
      <c r="Q45" s="669"/>
      <c r="R45" s="669"/>
      <c r="S45" s="669"/>
      <c r="T45" s="669"/>
      <c r="U45" s="669"/>
      <c r="V45" s="669"/>
      <c r="W45" s="669"/>
      <c r="X45" s="669"/>
      <c r="Y45" s="669"/>
      <c r="Z45" s="669"/>
      <c r="AA45" s="669"/>
      <c r="AB45" s="669"/>
      <c r="AC45" s="669"/>
      <c r="AD45" s="669"/>
      <c r="AE45" s="669"/>
      <c r="AF45" s="669"/>
      <c r="AG45" s="669"/>
    </row>
    <row r="46" spans="1:33" ht="23.25" customHeight="1" x14ac:dyDescent="0.25">
      <c r="A46" s="670" t="s">
        <v>2779</v>
      </c>
      <c r="B46" s="671"/>
      <c r="C46" s="671"/>
      <c r="D46" s="671"/>
      <c r="E46" s="671"/>
      <c r="F46" s="671"/>
      <c r="G46" s="671"/>
      <c r="H46" s="671"/>
      <c r="I46" s="671"/>
      <c r="J46" s="671"/>
      <c r="K46" s="671"/>
      <c r="L46" s="671"/>
      <c r="M46" s="671"/>
      <c r="N46" s="671"/>
      <c r="O46" s="671"/>
      <c r="P46" s="671"/>
      <c r="Q46" s="671"/>
      <c r="R46" s="671"/>
      <c r="S46" s="671"/>
      <c r="T46" s="671"/>
      <c r="U46" s="671"/>
      <c r="V46" s="671"/>
      <c r="W46" s="671"/>
      <c r="X46" s="671"/>
      <c r="Y46" s="671"/>
      <c r="Z46" s="671"/>
      <c r="AA46" s="671"/>
      <c r="AB46" s="671"/>
      <c r="AC46" s="671"/>
      <c r="AD46" s="671"/>
      <c r="AE46" s="671"/>
      <c r="AF46" s="671"/>
      <c r="AG46" s="672"/>
    </row>
    <row r="47" spans="1:33" ht="16.5" customHeight="1" x14ac:dyDescent="0.25">
      <c r="A47" s="665" t="s">
        <v>2785</v>
      </c>
      <c r="B47" s="665"/>
      <c r="C47" s="665"/>
      <c r="D47" s="665"/>
      <c r="E47" s="665"/>
      <c r="F47" s="665"/>
      <c r="G47" s="665"/>
      <c r="H47" s="665"/>
      <c r="I47" s="665"/>
      <c r="J47" s="665"/>
      <c r="K47" s="665"/>
      <c r="L47" s="665"/>
      <c r="M47" s="665"/>
      <c r="N47" s="665"/>
      <c r="O47" s="665"/>
      <c r="P47" s="665"/>
      <c r="Q47" s="665"/>
      <c r="R47" s="665"/>
      <c r="S47" s="665"/>
      <c r="T47" s="665"/>
      <c r="U47" s="665"/>
      <c r="V47" s="665"/>
      <c r="W47" s="665"/>
      <c r="X47" s="665"/>
      <c r="Y47" s="665"/>
      <c r="Z47" s="665"/>
      <c r="AA47" s="665"/>
      <c r="AB47" s="665"/>
      <c r="AC47" s="665"/>
      <c r="AD47" s="665"/>
      <c r="AE47" s="665"/>
      <c r="AF47" s="665"/>
      <c r="AG47" s="665"/>
    </row>
    <row r="54" spans="1:33" ht="9" customHeight="1" x14ac:dyDescent="0.25"/>
    <row r="61" spans="1:33" x14ac:dyDescent="0.25">
      <c r="A61" s="666" t="s">
        <v>2786</v>
      </c>
      <c r="B61" s="666"/>
      <c r="C61" s="666"/>
      <c r="D61" s="666"/>
      <c r="E61" s="666"/>
      <c r="F61" s="666"/>
      <c r="G61" s="666"/>
      <c r="H61" s="666"/>
      <c r="I61" s="666"/>
      <c r="J61" s="666"/>
      <c r="K61" s="666"/>
      <c r="L61" s="666"/>
      <c r="M61" s="666"/>
      <c r="N61" s="666"/>
      <c r="O61" s="666"/>
      <c r="P61" s="666"/>
      <c r="Q61" s="666"/>
      <c r="R61" s="666"/>
      <c r="S61" s="666"/>
      <c r="T61" s="666"/>
      <c r="U61" s="666"/>
      <c r="V61" s="666"/>
      <c r="W61" s="666"/>
      <c r="X61" s="666"/>
      <c r="Y61" s="666"/>
      <c r="Z61" s="666"/>
      <c r="AA61" s="666"/>
      <c r="AB61" s="666"/>
      <c r="AC61" s="666"/>
      <c r="AD61" s="666"/>
      <c r="AE61" s="666"/>
      <c r="AF61" s="666"/>
      <c r="AG61" s="666"/>
    </row>
    <row r="62" spans="1:33" ht="18" customHeight="1" x14ac:dyDescent="0.25"/>
    <row r="68" spans="1:33" ht="9" customHeight="1" x14ac:dyDescent="0.25"/>
    <row r="75" spans="1:33" x14ac:dyDescent="0.25">
      <c r="A75" s="667" t="s">
        <v>2777</v>
      </c>
      <c r="B75" s="667"/>
      <c r="C75" s="667"/>
      <c r="D75" s="667"/>
      <c r="E75" s="667"/>
      <c r="F75" s="667"/>
      <c r="G75" s="667"/>
      <c r="H75" s="667"/>
      <c r="I75" s="667"/>
      <c r="J75" s="667"/>
      <c r="K75" s="667"/>
      <c r="L75" s="667"/>
      <c r="M75" s="667"/>
      <c r="N75" s="667"/>
      <c r="O75" s="667"/>
      <c r="P75" s="667"/>
      <c r="Q75" s="667"/>
      <c r="R75" s="667"/>
      <c r="S75" s="667"/>
      <c r="T75" s="667"/>
      <c r="U75" s="667"/>
      <c r="V75" s="667"/>
      <c r="W75" s="667"/>
      <c r="X75" s="667"/>
      <c r="Y75" s="667"/>
      <c r="Z75" s="667"/>
      <c r="AA75" s="667"/>
      <c r="AB75" s="667"/>
      <c r="AC75" s="667"/>
      <c r="AD75" s="667"/>
      <c r="AE75" s="667"/>
      <c r="AF75" s="667"/>
      <c r="AG75" s="667"/>
    </row>
    <row r="89" spans="1:33" x14ac:dyDescent="0.25">
      <c r="A89" s="668" t="s">
        <v>5661</v>
      </c>
      <c r="B89" s="669"/>
      <c r="C89" s="669"/>
      <c r="D89" s="669"/>
      <c r="E89" s="669"/>
      <c r="F89" s="669"/>
      <c r="G89" s="669"/>
      <c r="H89" s="669"/>
      <c r="I89" s="669"/>
      <c r="J89" s="669"/>
      <c r="K89" s="669"/>
      <c r="L89" s="669"/>
      <c r="M89" s="669"/>
      <c r="N89" s="669"/>
      <c r="O89" s="669"/>
      <c r="P89" s="669"/>
      <c r="Q89" s="669"/>
      <c r="R89" s="669"/>
      <c r="S89" s="669"/>
      <c r="T89" s="669"/>
      <c r="U89" s="669"/>
      <c r="V89" s="669"/>
      <c r="W89" s="669"/>
      <c r="X89" s="669"/>
      <c r="Y89" s="669"/>
      <c r="Z89" s="669"/>
      <c r="AA89" s="669"/>
      <c r="AB89" s="669"/>
      <c r="AC89" s="669"/>
      <c r="AD89" s="669"/>
      <c r="AE89" s="669"/>
      <c r="AF89" s="669"/>
      <c r="AG89" s="669"/>
    </row>
    <row r="90" spans="1:33" x14ac:dyDescent="0.25">
      <c r="A90" s="669"/>
      <c r="B90" s="669"/>
      <c r="C90" s="669"/>
      <c r="D90" s="669"/>
      <c r="E90" s="669"/>
      <c r="F90" s="669"/>
      <c r="G90" s="669"/>
      <c r="H90" s="669"/>
      <c r="I90" s="669"/>
      <c r="J90" s="669"/>
      <c r="K90" s="669"/>
      <c r="L90" s="669"/>
      <c r="M90" s="669"/>
      <c r="N90" s="669"/>
      <c r="O90" s="669"/>
      <c r="P90" s="669"/>
      <c r="Q90" s="669"/>
      <c r="R90" s="669"/>
      <c r="S90" s="669"/>
      <c r="T90" s="669"/>
      <c r="U90" s="669"/>
      <c r="V90" s="669"/>
      <c r="W90" s="669"/>
      <c r="X90" s="669"/>
      <c r="Y90" s="669"/>
      <c r="Z90" s="669"/>
      <c r="AA90" s="669"/>
      <c r="AB90" s="669"/>
      <c r="AC90" s="669"/>
      <c r="AD90" s="669"/>
      <c r="AE90" s="669"/>
      <c r="AF90" s="669"/>
      <c r="AG90" s="669"/>
    </row>
    <row r="91" spans="1:33" x14ac:dyDescent="0.25">
      <c r="A91" s="670" t="s">
        <v>2787</v>
      </c>
      <c r="B91" s="671"/>
      <c r="C91" s="671"/>
      <c r="D91" s="671"/>
      <c r="E91" s="671"/>
      <c r="F91" s="671"/>
      <c r="G91" s="671"/>
      <c r="H91" s="671"/>
      <c r="I91" s="671"/>
      <c r="J91" s="671"/>
      <c r="K91" s="671"/>
      <c r="L91" s="671"/>
      <c r="M91" s="671"/>
      <c r="N91" s="671"/>
      <c r="O91" s="671"/>
      <c r="P91" s="671"/>
      <c r="Q91" s="671"/>
      <c r="R91" s="671"/>
      <c r="S91" s="671"/>
      <c r="T91" s="671"/>
      <c r="U91" s="671"/>
      <c r="V91" s="671"/>
      <c r="W91" s="671"/>
      <c r="X91" s="671"/>
      <c r="Y91" s="671"/>
      <c r="Z91" s="671"/>
      <c r="AA91" s="671"/>
      <c r="AB91" s="671"/>
      <c r="AC91" s="671"/>
      <c r="AD91" s="671"/>
      <c r="AE91" s="671"/>
      <c r="AF91" s="671"/>
      <c r="AG91" s="672"/>
    </row>
    <row r="92" spans="1:33" x14ac:dyDescent="0.25">
      <c r="A92" s="665" t="s">
        <v>2788</v>
      </c>
      <c r="B92" s="665"/>
      <c r="C92" s="665"/>
      <c r="D92" s="665"/>
      <c r="E92" s="665"/>
      <c r="F92" s="665"/>
      <c r="G92" s="665"/>
      <c r="H92" s="665"/>
      <c r="I92" s="665"/>
      <c r="J92" s="665"/>
      <c r="K92" s="665"/>
      <c r="L92" s="665"/>
      <c r="M92" s="665"/>
      <c r="N92" s="665"/>
      <c r="O92" s="665"/>
      <c r="P92" s="665"/>
      <c r="Q92" s="665"/>
      <c r="R92" s="665"/>
      <c r="S92" s="665"/>
      <c r="T92" s="665"/>
      <c r="U92" s="665"/>
      <c r="V92" s="665"/>
      <c r="W92" s="665"/>
      <c r="X92" s="665"/>
      <c r="Y92" s="665"/>
      <c r="Z92" s="665"/>
      <c r="AA92" s="665"/>
      <c r="AB92" s="665"/>
      <c r="AC92" s="665"/>
      <c r="AD92" s="665"/>
      <c r="AE92" s="665"/>
      <c r="AF92" s="665"/>
      <c r="AG92" s="665"/>
    </row>
  </sheetData>
  <mergeCells count="36">
    <mergeCell ref="B8:AG8"/>
    <mergeCell ref="B9:AG9"/>
    <mergeCell ref="A13:AG13"/>
    <mergeCell ref="B14:AG14"/>
    <mergeCell ref="B17:M17"/>
    <mergeCell ref="O17:AG17"/>
    <mergeCell ref="B15:AG15"/>
    <mergeCell ref="B16:AG16"/>
    <mergeCell ref="A1:AG2"/>
    <mergeCell ref="A3:AG3"/>
    <mergeCell ref="A4:AG4"/>
    <mergeCell ref="B7:AG7"/>
    <mergeCell ref="A6:AG6"/>
    <mergeCell ref="B5:N5"/>
    <mergeCell ref="O5:P5"/>
    <mergeCell ref="Q5:AG5"/>
    <mergeCell ref="AJ18:AK18"/>
    <mergeCell ref="L18:M18"/>
    <mergeCell ref="M25:N25"/>
    <mergeCell ref="A20:AG20"/>
    <mergeCell ref="B21:AG21"/>
    <mergeCell ref="B22:AG22"/>
    <mergeCell ref="B23:AG23"/>
    <mergeCell ref="B24:M24"/>
    <mergeCell ref="O24:AG24"/>
    <mergeCell ref="A44:AG45"/>
    <mergeCell ref="A46:AG46"/>
    <mergeCell ref="B10:L10"/>
    <mergeCell ref="K11:L11"/>
    <mergeCell ref="M11:AG11"/>
    <mergeCell ref="A92:AG92"/>
    <mergeCell ref="A47:AG47"/>
    <mergeCell ref="A61:AG61"/>
    <mergeCell ref="A75:AG75"/>
    <mergeCell ref="A89:AG90"/>
    <mergeCell ref="A91:AG91"/>
  </mergeCells>
  <printOptions horizontalCentered="1"/>
  <pageMargins left="0.25" right="0.25" top="0.75" bottom="0.75" header="0.3" footer="0.3"/>
  <pageSetup orientation="portrait" horizontalDpi="300" verticalDpi="30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2C00A-D7F8-4B9D-B5EB-FB5B93C4C8E9}">
  <sheetPr codeName="Sheet9">
    <tabColor rgb="FF92D050"/>
  </sheetPr>
  <dimension ref="A1:D4734"/>
  <sheetViews>
    <sheetView showGridLines="0" workbookViewId="0">
      <pane ySplit="1" topLeftCell="A3235" activePane="bottomLeft" state="frozen"/>
      <selection pane="bottomLeft" activeCell="B3248" sqref="B3248"/>
    </sheetView>
  </sheetViews>
  <sheetFormatPr defaultRowHeight="15" x14ac:dyDescent="0.25"/>
  <cols>
    <col min="1" max="1" width="15.5703125" style="381" bestFit="1" customWidth="1"/>
    <col min="2" max="2" width="16.85546875" style="13" customWidth="1"/>
    <col min="3" max="3" width="54.140625" bestFit="1" customWidth="1"/>
    <col min="4" max="4" width="12" bestFit="1" customWidth="1"/>
  </cols>
  <sheetData>
    <row r="1" spans="1:4" x14ac:dyDescent="0.25">
      <c r="A1" s="378" t="s">
        <v>0</v>
      </c>
      <c r="B1" s="2" t="s">
        <v>1</v>
      </c>
      <c r="C1" s="8" t="s">
        <v>2</v>
      </c>
      <c r="D1" s="8" t="s">
        <v>1602</v>
      </c>
    </row>
    <row r="2" spans="1:4" x14ac:dyDescent="0.25">
      <c r="A2" s="379">
        <v>45778.024305555555</v>
      </c>
      <c r="B2" s="382" t="s">
        <v>2583</v>
      </c>
      <c r="C2" s="377" t="s">
        <v>4721</v>
      </c>
      <c r="D2" s="6" t="str">
        <f>_xlfn.XLOOKUP(B2,Indices!$A$2:$A$2676,Indices!$B$2:$B$2676,"")</f>
        <v/>
      </c>
    </row>
    <row r="3" spans="1:4" x14ac:dyDescent="0.25">
      <c r="A3" s="379">
        <v>45778.166666666664</v>
      </c>
      <c r="B3" s="382" t="s">
        <v>2409</v>
      </c>
      <c r="C3" s="377" t="s">
        <v>4722</v>
      </c>
      <c r="D3" s="6" t="str">
        <f>_xlfn.XLOOKUP(B3,Indices!$A$2:$A$2676,Indices!$B$2:$B$2676,"")</f>
        <v>S&amp;P Mid</v>
      </c>
    </row>
    <row r="4" spans="1:4" x14ac:dyDescent="0.25">
      <c r="A4" s="379">
        <v>45778.166666666664</v>
      </c>
      <c r="B4" s="382" t="s">
        <v>273</v>
      </c>
      <c r="C4" s="377" t="s">
        <v>4722</v>
      </c>
      <c r="D4" s="6" t="str">
        <f>_xlfn.XLOOKUP(B4,Indices!$A$2:$A$2676,Indices!$B$2:$B$2676,"")</f>
        <v>IWM</v>
      </c>
    </row>
    <row r="5" spans="1:4" x14ac:dyDescent="0.25">
      <c r="A5" s="379">
        <v>45778.166666666664</v>
      </c>
      <c r="B5" s="382" t="s">
        <v>542</v>
      </c>
      <c r="C5" s="377" t="s">
        <v>4722</v>
      </c>
      <c r="D5" s="6" t="str">
        <f>_xlfn.XLOOKUP(B5,Indices!$A$2:$A$2676,Indices!$B$2:$B$2676,"")</f>
        <v>SP500</v>
      </c>
    </row>
    <row r="6" spans="1:4" x14ac:dyDescent="0.25">
      <c r="A6" s="379">
        <v>45778.166666666664</v>
      </c>
      <c r="B6" s="382" t="s">
        <v>2026</v>
      </c>
      <c r="C6" s="377" t="s">
        <v>4722</v>
      </c>
      <c r="D6" s="6" t="str">
        <f>_xlfn.XLOOKUP(B6,Indices!$A$2:$A$2676,Indices!$B$2:$B$2676,"")</f>
        <v>IWM</v>
      </c>
    </row>
    <row r="7" spans="1:4" x14ac:dyDescent="0.25">
      <c r="A7" s="379">
        <v>45778.166666666664</v>
      </c>
      <c r="B7" s="382" t="s">
        <v>164</v>
      </c>
      <c r="C7" s="377" t="s">
        <v>4722</v>
      </c>
      <c r="D7" s="6" t="str">
        <f>_xlfn.XLOOKUP(B7,Indices!$A$2:$A$2676,Indices!$B$2:$B$2676,"")</f>
        <v>SP500</v>
      </c>
    </row>
    <row r="8" spans="1:4" x14ac:dyDescent="0.25">
      <c r="A8" s="379">
        <v>45778.166666666664</v>
      </c>
      <c r="B8" s="382" t="s">
        <v>2943</v>
      </c>
      <c r="C8" s="377" t="s">
        <v>4722</v>
      </c>
      <c r="D8" s="6" t="str">
        <f>_xlfn.XLOOKUP(B8,Indices!$A$2:$A$2676,Indices!$B$2:$B$2676,"")</f>
        <v/>
      </c>
    </row>
    <row r="9" spans="1:4" x14ac:dyDescent="0.25">
      <c r="A9" s="379">
        <v>45778.166666666664</v>
      </c>
      <c r="B9" s="382" t="s">
        <v>533</v>
      </c>
      <c r="C9" s="377" t="s">
        <v>4722</v>
      </c>
      <c r="D9" s="6" t="str">
        <f>_xlfn.XLOOKUP(B9,Indices!$A$2:$A$2676,Indices!$B$2:$B$2676,"")</f>
        <v>IWM</v>
      </c>
    </row>
    <row r="10" spans="1:4" x14ac:dyDescent="0.25">
      <c r="A10" s="379">
        <v>45778.166666666664</v>
      </c>
      <c r="B10" s="382" t="s">
        <v>1499</v>
      </c>
      <c r="C10" s="377" t="s">
        <v>4722</v>
      </c>
      <c r="D10" s="6" t="str">
        <f>_xlfn.XLOOKUP(B10,Indices!$A$2:$A$2676,Indices!$B$2:$B$2676,"")</f>
        <v>SP500</v>
      </c>
    </row>
    <row r="11" spans="1:4" x14ac:dyDescent="0.25">
      <c r="A11" s="379">
        <v>45778.166666666664</v>
      </c>
      <c r="B11" s="382" t="s">
        <v>2136</v>
      </c>
      <c r="C11" s="377" t="s">
        <v>4722</v>
      </c>
      <c r="D11" s="6" t="str">
        <f>_xlfn.XLOOKUP(B11,Indices!$A$2:$A$2676,Indices!$B$2:$B$2676,"")</f>
        <v>IWM</v>
      </c>
    </row>
    <row r="12" spans="1:4" x14ac:dyDescent="0.25">
      <c r="A12" s="379">
        <v>45778.167361111111</v>
      </c>
      <c r="B12" s="382" t="s">
        <v>3112</v>
      </c>
      <c r="C12" s="377" t="s">
        <v>4723</v>
      </c>
      <c r="D12" s="6" t="str">
        <f>_xlfn.XLOOKUP(B12,Indices!$A$2:$A$2676,Indices!$B$2:$B$2676,"")</f>
        <v/>
      </c>
    </row>
    <row r="13" spans="1:4" x14ac:dyDescent="0.25">
      <c r="A13" s="379">
        <v>45778.1875</v>
      </c>
      <c r="B13" s="382" t="s">
        <v>1757</v>
      </c>
      <c r="C13" s="377" t="s">
        <v>4724</v>
      </c>
      <c r="D13" s="6" t="str">
        <f>_xlfn.XLOOKUP(B13,Indices!$A$2:$A$2676,Indices!$B$2:$B$2676,"")</f>
        <v>IWM</v>
      </c>
    </row>
    <row r="14" spans="1:4" x14ac:dyDescent="0.25">
      <c r="A14" s="379">
        <v>45778.1875</v>
      </c>
      <c r="B14" s="382" t="s">
        <v>1376</v>
      </c>
      <c r="C14" s="377" t="s">
        <v>4724</v>
      </c>
      <c r="D14" s="6" t="str">
        <f>_xlfn.XLOOKUP(B14,Indices!$A$2:$A$2676,Indices!$B$2:$B$2676,"")</f>
        <v>SP500</v>
      </c>
    </row>
    <row r="15" spans="1:4" x14ac:dyDescent="0.25">
      <c r="A15" s="379">
        <v>45778.1875</v>
      </c>
      <c r="B15" s="382" t="s">
        <v>3012</v>
      </c>
      <c r="C15" s="377" t="s">
        <v>4724</v>
      </c>
      <c r="D15" s="6" t="str">
        <f>_xlfn.XLOOKUP(B15,Indices!$A$2:$A$2676,Indices!$B$2:$B$2676,"")</f>
        <v/>
      </c>
    </row>
    <row r="16" spans="1:4" x14ac:dyDescent="0.25">
      <c r="A16" s="379">
        <v>45778.1875</v>
      </c>
      <c r="B16" s="382" t="s">
        <v>813</v>
      </c>
      <c r="C16" s="377" t="s">
        <v>4724</v>
      </c>
      <c r="D16" s="6" t="str">
        <f>_xlfn.XLOOKUP(B16,Indices!$A$2:$A$2676,Indices!$B$2:$B$2676,"")</f>
        <v>S&amp;P Mid</v>
      </c>
    </row>
    <row r="17" spans="1:4" x14ac:dyDescent="0.25">
      <c r="A17" s="379">
        <v>45778.1875</v>
      </c>
      <c r="B17" s="382" t="s">
        <v>2952</v>
      </c>
      <c r="C17" s="377" t="s">
        <v>4724</v>
      </c>
      <c r="D17" s="6" t="str">
        <f>_xlfn.XLOOKUP(B17,Indices!$A$2:$A$2676,Indices!$B$2:$B$2676,"")</f>
        <v/>
      </c>
    </row>
    <row r="18" spans="1:4" x14ac:dyDescent="0.25">
      <c r="A18" s="379">
        <v>45778.1875</v>
      </c>
      <c r="B18" s="382" t="s">
        <v>2359</v>
      </c>
      <c r="C18" s="377" t="s">
        <v>4724</v>
      </c>
      <c r="D18" s="6" t="str">
        <f>_xlfn.XLOOKUP(B18,Indices!$A$2:$A$2676,Indices!$B$2:$B$2676,"")</f>
        <v>S&amp;P Mid</v>
      </c>
    </row>
    <row r="19" spans="1:4" x14ac:dyDescent="0.25">
      <c r="A19" s="379">
        <v>45778.1875</v>
      </c>
      <c r="B19" s="382" t="s">
        <v>2012</v>
      </c>
      <c r="C19" s="377" t="s">
        <v>4724</v>
      </c>
      <c r="D19" s="6" t="str">
        <f>_xlfn.XLOOKUP(B19,Indices!$A$2:$A$2676,Indices!$B$2:$B$2676,"")</f>
        <v>IWM</v>
      </c>
    </row>
    <row r="20" spans="1:4" x14ac:dyDescent="0.25">
      <c r="A20" s="379">
        <v>45778.1875</v>
      </c>
      <c r="B20" s="382" t="s">
        <v>552</v>
      </c>
      <c r="C20" s="377" t="s">
        <v>4724</v>
      </c>
      <c r="D20" s="6" t="str">
        <f>_xlfn.XLOOKUP(B20,Indices!$A$2:$A$2676,Indices!$B$2:$B$2676,"")</f>
        <v>SP500</v>
      </c>
    </row>
    <row r="21" spans="1:4" x14ac:dyDescent="0.25">
      <c r="A21" s="379">
        <v>45778.1875</v>
      </c>
      <c r="B21" s="382" t="s">
        <v>1615</v>
      </c>
      <c r="C21" s="377" t="s">
        <v>4724</v>
      </c>
      <c r="D21" s="6" t="str">
        <f>_xlfn.XLOOKUP(B21,Indices!$A$2:$A$2676,Indices!$B$2:$B$2676,"")</f>
        <v>IWM</v>
      </c>
    </row>
    <row r="22" spans="1:4" x14ac:dyDescent="0.25">
      <c r="A22" s="379">
        <v>45778.1875</v>
      </c>
      <c r="B22" s="382" t="s">
        <v>2376</v>
      </c>
      <c r="C22" s="377" t="s">
        <v>4724</v>
      </c>
      <c r="D22" s="6" t="str">
        <f>_xlfn.XLOOKUP(B22,Indices!$A$2:$A$2676,Indices!$B$2:$B$2676,"")</f>
        <v>S&amp;P Mid</v>
      </c>
    </row>
    <row r="23" spans="1:4" x14ac:dyDescent="0.25">
      <c r="A23" s="379">
        <v>45778.1875</v>
      </c>
      <c r="B23" s="382" t="s">
        <v>1746</v>
      </c>
      <c r="C23" s="377" t="s">
        <v>4724</v>
      </c>
      <c r="D23" s="6" t="str">
        <f>_xlfn.XLOOKUP(B23,Indices!$A$2:$A$2676,Indices!$B$2:$B$2676,"")</f>
        <v>IWM</v>
      </c>
    </row>
    <row r="24" spans="1:4" x14ac:dyDescent="0.25">
      <c r="A24" s="379">
        <v>45778.1875</v>
      </c>
      <c r="B24" s="382" t="s">
        <v>2445</v>
      </c>
      <c r="C24" s="377" t="s">
        <v>4724</v>
      </c>
      <c r="D24" s="6" t="str">
        <f>_xlfn.XLOOKUP(B24,Indices!$A$2:$A$2676,Indices!$B$2:$B$2676,"")</f>
        <v>S&amp;P Mid</v>
      </c>
    </row>
    <row r="25" spans="1:4" x14ac:dyDescent="0.25">
      <c r="A25" s="379">
        <v>45778.1875</v>
      </c>
      <c r="B25" s="382" t="s">
        <v>71</v>
      </c>
      <c r="C25" s="377" t="s">
        <v>4724</v>
      </c>
      <c r="D25" s="6" t="str">
        <f>_xlfn.XLOOKUP(B25,Indices!$A$2:$A$2676,Indices!$B$2:$B$2676,"")</f>
        <v>IWM</v>
      </c>
    </row>
    <row r="26" spans="1:4" x14ac:dyDescent="0.25">
      <c r="A26" s="379">
        <v>45778.1875</v>
      </c>
      <c r="B26" s="382" t="s">
        <v>2344</v>
      </c>
      <c r="C26" s="377" t="s">
        <v>4724</v>
      </c>
      <c r="D26" s="6" t="str">
        <f>_xlfn.XLOOKUP(B26,Indices!$A$2:$A$2676,Indices!$B$2:$B$2676,"")</f>
        <v>S&amp;P Mid</v>
      </c>
    </row>
    <row r="27" spans="1:4" x14ac:dyDescent="0.25">
      <c r="A27" s="379">
        <v>45778.1875</v>
      </c>
      <c r="B27" s="382" t="s">
        <v>12</v>
      </c>
      <c r="C27" s="377" t="s">
        <v>4724</v>
      </c>
      <c r="D27" s="6" t="str">
        <f>_xlfn.XLOOKUP(B27,Indices!$A$2:$A$2676,Indices!$B$2:$B$2676,"")</f>
        <v>IWM</v>
      </c>
    </row>
    <row r="28" spans="1:4" x14ac:dyDescent="0.25">
      <c r="A28" s="379">
        <v>45778.1875</v>
      </c>
      <c r="B28" s="382" t="s">
        <v>1451</v>
      </c>
      <c r="C28" s="377" t="s">
        <v>4724</v>
      </c>
      <c r="D28" s="6" t="str">
        <f>_xlfn.XLOOKUP(B28,Indices!$A$2:$A$2676,Indices!$B$2:$B$2676,"")</f>
        <v>SP500</v>
      </c>
    </row>
    <row r="29" spans="1:4" x14ac:dyDescent="0.25">
      <c r="A29" s="379">
        <v>45778.1875</v>
      </c>
      <c r="B29" s="382" t="s">
        <v>1590</v>
      </c>
      <c r="C29" s="377" t="s">
        <v>4724</v>
      </c>
      <c r="D29" s="6" t="str">
        <f>_xlfn.XLOOKUP(B29,Indices!$A$2:$A$2676,Indices!$B$2:$B$2676,"")</f>
        <v>SP500</v>
      </c>
    </row>
    <row r="30" spans="1:4" x14ac:dyDescent="0.25">
      <c r="A30" s="379">
        <v>45778.1875</v>
      </c>
      <c r="B30" s="382" t="s">
        <v>3691</v>
      </c>
      <c r="C30" s="377" t="s">
        <v>4724</v>
      </c>
      <c r="D30" s="6" t="str">
        <f>_xlfn.XLOOKUP(B30,Indices!$A$2:$A$2676,Indices!$B$2:$B$2676,"")</f>
        <v/>
      </c>
    </row>
    <row r="31" spans="1:4" x14ac:dyDescent="0.25">
      <c r="A31" s="379">
        <v>45778.1875</v>
      </c>
      <c r="B31" s="382" t="s">
        <v>2457</v>
      </c>
      <c r="C31" s="377" t="s">
        <v>4724</v>
      </c>
      <c r="D31" s="6" t="str">
        <f>_xlfn.XLOOKUP(B31,Indices!$A$2:$A$2676,Indices!$B$2:$B$2676,"")</f>
        <v>S&amp;P Mid</v>
      </c>
    </row>
    <row r="32" spans="1:4" x14ac:dyDescent="0.25">
      <c r="A32" s="379">
        <v>45778.1875</v>
      </c>
      <c r="B32" s="382" t="s">
        <v>1992</v>
      </c>
      <c r="C32" s="377" t="s">
        <v>4724</v>
      </c>
      <c r="D32" s="6" t="str">
        <f>_xlfn.XLOOKUP(B32,Indices!$A$2:$A$2676,Indices!$B$2:$B$2676,"")</f>
        <v>IWM</v>
      </c>
    </row>
    <row r="33" spans="1:4" x14ac:dyDescent="0.25">
      <c r="A33" s="379">
        <v>45778.1875</v>
      </c>
      <c r="B33" s="382" t="s">
        <v>2939</v>
      </c>
      <c r="C33" s="377" t="s">
        <v>4724</v>
      </c>
      <c r="D33" s="6" t="str">
        <f>_xlfn.XLOOKUP(B33,Indices!$A$2:$A$2676,Indices!$B$2:$B$2676,"")</f>
        <v/>
      </c>
    </row>
    <row r="34" spans="1:4" x14ac:dyDescent="0.25">
      <c r="A34" s="379">
        <v>45778.1875</v>
      </c>
      <c r="B34" s="382" t="s">
        <v>3144</v>
      </c>
      <c r="C34" s="377" t="s">
        <v>4724</v>
      </c>
      <c r="D34" s="6" t="str">
        <f>_xlfn.XLOOKUP(B34,Indices!$A$2:$A$2676,Indices!$B$2:$B$2676,"")</f>
        <v/>
      </c>
    </row>
    <row r="35" spans="1:4" x14ac:dyDescent="0.25">
      <c r="A35" s="379">
        <v>45778.1875</v>
      </c>
      <c r="B35" s="382" t="s">
        <v>2421</v>
      </c>
      <c r="C35" s="377" t="s">
        <v>4724</v>
      </c>
      <c r="D35" s="6" t="str">
        <f>_xlfn.XLOOKUP(B35,Indices!$A$2:$A$2676,Indices!$B$2:$B$2676,"")</f>
        <v>S&amp;P Mid</v>
      </c>
    </row>
    <row r="36" spans="1:4" x14ac:dyDescent="0.25">
      <c r="A36" s="379">
        <v>45778.1875</v>
      </c>
      <c r="B36" s="382" t="s">
        <v>551</v>
      </c>
      <c r="C36" s="377" t="s">
        <v>4724</v>
      </c>
      <c r="D36" s="6" t="str">
        <f>_xlfn.XLOOKUP(B36,Indices!$A$2:$A$2676,Indices!$B$2:$B$2676,"")</f>
        <v>IWM</v>
      </c>
    </row>
    <row r="37" spans="1:4" x14ac:dyDescent="0.25">
      <c r="A37" s="379">
        <v>45778.1875</v>
      </c>
      <c r="B37" s="382" t="s">
        <v>277</v>
      </c>
      <c r="C37" s="377" t="s">
        <v>4724</v>
      </c>
      <c r="D37" s="6" t="str">
        <f>_xlfn.XLOOKUP(B37,Indices!$A$2:$A$2676,Indices!$B$2:$B$2676,"")</f>
        <v>SP500</v>
      </c>
    </row>
    <row r="38" spans="1:4" x14ac:dyDescent="0.25">
      <c r="A38" s="379">
        <v>45778.1875</v>
      </c>
      <c r="B38" s="382" t="s">
        <v>556</v>
      </c>
      <c r="C38" s="377" t="s">
        <v>4724</v>
      </c>
      <c r="D38" s="6" t="str">
        <f>_xlfn.XLOOKUP(B38,Indices!$A$2:$A$2676,Indices!$B$2:$B$2676,"")</f>
        <v>SP500</v>
      </c>
    </row>
    <row r="39" spans="1:4" x14ac:dyDescent="0.25">
      <c r="A39" s="379">
        <v>45778.1875</v>
      </c>
      <c r="B39" s="382" t="s">
        <v>1472</v>
      </c>
      <c r="C39" s="377" t="s">
        <v>4724</v>
      </c>
      <c r="D39" s="6" t="str">
        <f>_xlfn.XLOOKUP(B39,Indices!$A$2:$A$2676,Indices!$B$2:$B$2676,"")</f>
        <v>SP500</v>
      </c>
    </row>
    <row r="40" spans="1:4" x14ac:dyDescent="0.25">
      <c r="A40" s="379">
        <v>45778.197916666664</v>
      </c>
      <c r="B40" s="382" t="s">
        <v>285</v>
      </c>
      <c r="C40" s="377" t="s">
        <v>4725</v>
      </c>
      <c r="D40" s="6" t="str">
        <f>_xlfn.XLOOKUP(B40,Indices!$A$2:$A$2676,Indices!$B$2:$B$2676,"")</f>
        <v>SP500</v>
      </c>
    </row>
    <row r="41" spans="1:4" x14ac:dyDescent="0.25">
      <c r="A41" s="379">
        <v>45778.197916666664</v>
      </c>
      <c r="B41" s="382" t="s">
        <v>573</v>
      </c>
      <c r="C41" s="377" t="s">
        <v>4725</v>
      </c>
      <c r="D41" s="6" t="str">
        <f>_xlfn.XLOOKUP(B41,Indices!$A$2:$A$2676,Indices!$B$2:$B$2676,"")</f>
        <v>SP500</v>
      </c>
    </row>
    <row r="42" spans="1:4" x14ac:dyDescent="0.25">
      <c r="A42" s="379">
        <v>45778.197916666664</v>
      </c>
      <c r="B42" s="382" t="s">
        <v>1272</v>
      </c>
      <c r="C42" s="377" t="s">
        <v>4725</v>
      </c>
      <c r="D42" s="6" t="str">
        <f>_xlfn.XLOOKUP(B42,Indices!$A$2:$A$2676,Indices!$B$2:$B$2676,"")</f>
        <v>SP500</v>
      </c>
    </row>
    <row r="43" spans="1:4" x14ac:dyDescent="0.25">
      <c r="A43" s="379">
        <v>45778.197916666664</v>
      </c>
      <c r="B43" s="382" t="s">
        <v>1700</v>
      </c>
      <c r="C43" s="377" t="s">
        <v>4725</v>
      </c>
      <c r="D43" s="6" t="str">
        <f>_xlfn.XLOOKUP(B43,Indices!$A$2:$A$2676,Indices!$B$2:$B$2676,"")</f>
        <v>IWM</v>
      </c>
    </row>
    <row r="44" spans="1:4" x14ac:dyDescent="0.25">
      <c r="A44" s="379">
        <v>45778.197916666664</v>
      </c>
      <c r="B44" s="382" t="s">
        <v>1571</v>
      </c>
      <c r="C44" s="377" t="s">
        <v>4725</v>
      </c>
      <c r="D44" s="6" t="str">
        <f>_xlfn.XLOOKUP(B44,Indices!$A$2:$A$2676,Indices!$B$2:$B$2676,"")</f>
        <v>SP500</v>
      </c>
    </row>
    <row r="45" spans="1:4" x14ac:dyDescent="0.25">
      <c r="A45" s="379">
        <v>45778.197916666664</v>
      </c>
      <c r="B45" s="382" t="s">
        <v>16</v>
      </c>
      <c r="C45" s="377" t="s">
        <v>4725</v>
      </c>
      <c r="D45" s="6" t="str">
        <f>_xlfn.XLOOKUP(B45,Indices!$A$2:$A$2676,Indices!$B$2:$B$2676,"")</f>
        <v>SP500</v>
      </c>
    </row>
    <row r="46" spans="1:4" x14ac:dyDescent="0.25">
      <c r="A46" s="379">
        <v>45778.197916666664</v>
      </c>
      <c r="B46" s="382" t="s">
        <v>1798</v>
      </c>
      <c r="C46" s="377" t="s">
        <v>4725</v>
      </c>
      <c r="D46" s="6" t="str">
        <f>_xlfn.XLOOKUP(B46,Indices!$A$2:$A$2676,Indices!$B$2:$B$2676,"")</f>
        <v>IWM</v>
      </c>
    </row>
    <row r="47" spans="1:4" x14ac:dyDescent="0.25">
      <c r="A47" s="379">
        <v>45778.199305555558</v>
      </c>
      <c r="B47" s="382" t="s">
        <v>1828</v>
      </c>
      <c r="C47" s="377" t="s">
        <v>4726</v>
      </c>
      <c r="D47" s="6" t="str">
        <f>_xlfn.XLOOKUP(B47,Indices!$A$2:$A$2676,Indices!$B$2:$B$2676,"")</f>
        <v>IWM</v>
      </c>
    </row>
    <row r="48" spans="1:4" x14ac:dyDescent="0.25">
      <c r="A48" s="379">
        <v>45778.201388888891</v>
      </c>
      <c r="B48" s="382" t="s">
        <v>1543</v>
      </c>
      <c r="C48" s="377" t="s">
        <v>4727</v>
      </c>
      <c r="D48" s="6" t="str">
        <f>_xlfn.XLOOKUP(B48,Indices!$A$2:$A$2676,Indices!$B$2:$B$2676,"")</f>
        <v>SP500</v>
      </c>
    </row>
    <row r="49" spans="1:4" x14ac:dyDescent="0.25">
      <c r="A49" s="379">
        <v>45778.201388888891</v>
      </c>
      <c r="B49" s="382" t="s">
        <v>1433</v>
      </c>
      <c r="C49" s="377" t="s">
        <v>4727</v>
      </c>
      <c r="D49" s="6" t="str">
        <f>_xlfn.XLOOKUP(B49,Indices!$A$2:$A$2676,Indices!$B$2:$B$2676,"")</f>
        <v>SP500</v>
      </c>
    </row>
    <row r="50" spans="1:4" x14ac:dyDescent="0.25">
      <c r="A50" s="379">
        <v>45778.20416666667</v>
      </c>
      <c r="B50" s="382" t="s">
        <v>1756</v>
      </c>
      <c r="C50" s="377" t="s">
        <v>4728</v>
      </c>
      <c r="D50" s="6" t="str">
        <f>_xlfn.XLOOKUP(B50,Indices!$A$2:$A$2676,Indices!$B$2:$B$2676,"")</f>
        <v>IWM</v>
      </c>
    </row>
    <row r="51" spans="1:4" x14ac:dyDescent="0.25">
      <c r="A51" s="379">
        <v>45778.204861111109</v>
      </c>
      <c r="B51" s="382" t="s">
        <v>1403</v>
      </c>
      <c r="C51" s="377" t="s">
        <v>4729</v>
      </c>
      <c r="D51" s="6" t="str">
        <f>_xlfn.XLOOKUP(B51,Indices!$A$2:$A$2676,Indices!$B$2:$B$2676,"")</f>
        <v>SP500</v>
      </c>
    </row>
    <row r="52" spans="1:4" x14ac:dyDescent="0.25">
      <c r="A52" s="379">
        <v>45778.204861111109</v>
      </c>
      <c r="B52" s="382" t="s">
        <v>18</v>
      </c>
      <c r="C52" s="377" t="s">
        <v>4729</v>
      </c>
      <c r="D52" s="6" t="str">
        <f>_xlfn.XLOOKUP(B52,Indices!$A$2:$A$2676,Indices!$B$2:$B$2676,"")</f>
        <v>SP500</v>
      </c>
    </row>
    <row r="53" spans="1:4" x14ac:dyDescent="0.25">
      <c r="A53" s="379">
        <v>45778.204861111109</v>
      </c>
      <c r="B53" s="382" t="s">
        <v>2446</v>
      </c>
      <c r="C53" s="377" t="s">
        <v>4729</v>
      </c>
      <c r="D53" s="6" t="str">
        <f>_xlfn.XLOOKUP(B53,Indices!$A$2:$A$2676,Indices!$B$2:$B$2676,"")</f>
        <v>S&amp;P Mid</v>
      </c>
    </row>
    <row r="54" spans="1:4" x14ac:dyDescent="0.25">
      <c r="A54" s="379">
        <v>45778.204861111109</v>
      </c>
      <c r="B54" s="382" t="s">
        <v>634</v>
      </c>
      <c r="C54" s="377" t="s">
        <v>4729</v>
      </c>
      <c r="D54" s="6" t="str">
        <f>_xlfn.XLOOKUP(B54,Indices!$A$2:$A$2676,Indices!$B$2:$B$2676,"")</f>
        <v>IWM</v>
      </c>
    </row>
    <row r="55" spans="1:4" x14ac:dyDescent="0.25">
      <c r="A55" s="379">
        <v>45778.204861111109</v>
      </c>
      <c r="B55" s="382" t="s">
        <v>1414</v>
      </c>
      <c r="C55" s="377" t="s">
        <v>4729</v>
      </c>
      <c r="D55" s="6" t="str">
        <f>_xlfn.XLOOKUP(B55,Indices!$A$2:$A$2676,Indices!$B$2:$B$2676,"")</f>
        <v>SP500</v>
      </c>
    </row>
    <row r="56" spans="1:4" x14ac:dyDescent="0.25">
      <c r="A56" s="379">
        <v>45778.204861111109</v>
      </c>
      <c r="B56" s="382" t="s">
        <v>2964</v>
      </c>
      <c r="C56" s="377" t="s">
        <v>4729</v>
      </c>
      <c r="D56" s="6" t="str">
        <f>_xlfn.XLOOKUP(B56,Indices!$A$2:$A$2676,Indices!$B$2:$B$2676,"")</f>
        <v/>
      </c>
    </row>
    <row r="57" spans="1:4" x14ac:dyDescent="0.25">
      <c r="A57" s="379">
        <v>45778.208333333336</v>
      </c>
      <c r="B57" s="382" t="s">
        <v>2955</v>
      </c>
      <c r="C57" s="377" t="s">
        <v>4730</v>
      </c>
      <c r="D57" s="6" t="str">
        <f>_xlfn.XLOOKUP(B57,Indices!$A$2:$A$2676,Indices!$B$2:$B$2676,"")</f>
        <v/>
      </c>
    </row>
    <row r="58" spans="1:4" x14ac:dyDescent="0.25">
      <c r="A58" s="379">
        <v>45778.208333333336</v>
      </c>
      <c r="B58" s="382" t="s">
        <v>1691</v>
      </c>
      <c r="C58" s="377" t="s">
        <v>4730</v>
      </c>
      <c r="D58" s="6" t="str">
        <f>_xlfn.XLOOKUP(B58,Indices!$A$2:$A$2676,Indices!$B$2:$B$2676,"")</f>
        <v>IWM</v>
      </c>
    </row>
    <row r="59" spans="1:4" x14ac:dyDescent="0.25">
      <c r="A59" s="379">
        <v>45778.208333333336</v>
      </c>
      <c r="B59" s="382" t="s">
        <v>3697</v>
      </c>
      <c r="C59" s="377" t="s">
        <v>4730</v>
      </c>
      <c r="D59" s="6" t="str">
        <f>_xlfn.XLOOKUP(B59,Indices!$A$2:$A$2676,Indices!$B$2:$B$2676,"")</f>
        <v/>
      </c>
    </row>
    <row r="60" spans="1:4" x14ac:dyDescent="0.25">
      <c r="A60" s="379">
        <v>45778.208333333336</v>
      </c>
      <c r="B60" s="382" t="s">
        <v>2511</v>
      </c>
      <c r="C60" s="377" t="s">
        <v>4730</v>
      </c>
      <c r="D60" s="6" t="str">
        <f>_xlfn.XLOOKUP(B60,Indices!$A$2:$A$2676,Indices!$B$2:$B$2676,"")</f>
        <v/>
      </c>
    </row>
    <row r="61" spans="1:4" x14ac:dyDescent="0.25">
      <c r="A61" s="379">
        <v>45778.208333333336</v>
      </c>
      <c r="B61" s="382" t="s">
        <v>2243</v>
      </c>
      <c r="C61" s="377" t="s">
        <v>4730</v>
      </c>
      <c r="D61" s="6" t="str">
        <f>_xlfn.XLOOKUP(B61,Indices!$A$2:$A$2676,Indices!$B$2:$B$2676,"")</f>
        <v>IWM</v>
      </c>
    </row>
    <row r="62" spans="1:4" x14ac:dyDescent="0.25">
      <c r="A62" s="379">
        <v>45778.208333333336</v>
      </c>
      <c r="B62" s="382" t="s">
        <v>1885</v>
      </c>
      <c r="C62" s="377" t="s">
        <v>4730</v>
      </c>
      <c r="D62" s="6" t="str">
        <f>_xlfn.XLOOKUP(B62,Indices!$A$2:$A$2676,Indices!$B$2:$B$2676,"")</f>
        <v>IWM</v>
      </c>
    </row>
    <row r="63" spans="1:4" x14ac:dyDescent="0.25">
      <c r="A63" s="379">
        <v>45778.208333333336</v>
      </c>
      <c r="B63" s="382" t="s">
        <v>1645</v>
      </c>
      <c r="C63" s="377" t="s">
        <v>4730</v>
      </c>
      <c r="D63" s="6" t="str">
        <f>_xlfn.XLOOKUP(B63,Indices!$A$2:$A$2676,Indices!$B$2:$B$2676,"")</f>
        <v>IWM</v>
      </c>
    </row>
    <row r="64" spans="1:4" x14ac:dyDescent="0.25">
      <c r="A64" s="379">
        <v>45778.208333333336</v>
      </c>
      <c r="B64" s="382" t="s">
        <v>1544</v>
      </c>
      <c r="C64" s="377" t="s">
        <v>4732</v>
      </c>
      <c r="D64" s="6" t="str">
        <f>_xlfn.XLOOKUP(B64,Indices!$A$2:$A$2676,Indices!$B$2:$B$2676,"")</f>
        <v>SP500</v>
      </c>
    </row>
    <row r="65" spans="1:4" x14ac:dyDescent="0.25">
      <c r="A65" s="379">
        <v>45778.208333333336</v>
      </c>
      <c r="B65" s="382" t="s">
        <v>4731</v>
      </c>
      <c r="C65" s="377" t="s">
        <v>4730</v>
      </c>
      <c r="D65" s="6" t="str">
        <f>_xlfn.XLOOKUP(B65,Indices!$A$2:$A$2676,Indices!$B$2:$B$2676,"")</f>
        <v/>
      </c>
    </row>
    <row r="66" spans="1:4" x14ac:dyDescent="0.25">
      <c r="A66" s="379">
        <v>45778.208333333336</v>
      </c>
      <c r="B66" s="382" t="s">
        <v>198</v>
      </c>
      <c r="C66" s="377" t="s">
        <v>4730</v>
      </c>
      <c r="D66" s="6" t="str">
        <f>_xlfn.XLOOKUP(B66,Indices!$A$2:$A$2676,Indices!$B$2:$B$2676,"")</f>
        <v>SP500</v>
      </c>
    </row>
    <row r="67" spans="1:4" x14ac:dyDescent="0.25">
      <c r="A67" s="379">
        <v>45778.208333333336</v>
      </c>
      <c r="B67" s="382" t="s">
        <v>635</v>
      </c>
      <c r="C67" s="377" t="s">
        <v>4730</v>
      </c>
      <c r="D67" s="6" t="str">
        <f>_xlfn.XLOOKUP(B67,Indices!$A$2:$A$2676,Indices!$B$2:$B$2676,"")</f>
        <v>IWM</v>
      </c>
    </row>
    <row r="68" spans="1:4" x14ac:dyDescent="0.25">
      <c r="A68" s="379">
        <v>45778.208333333336</v>
      </c>
      <c r="B68" s="382" t="s">
        <v>2959</v>
      </c>
      <c r="C68" s="377" t="s">
        <v>4730</v>
      </c>
      <c r="D68" s="6" t="str">
        <f>_xlfn.XLOOKUP(B68,Indices!$A$2:$A$2676,Indices!$B$2:$B$2676,"")</f>
        <v/>
      </c>
    </row>
    <row r="69" spans="1:4" x14ac:dyDescent="0.25">
      <c r="A69" s="379">
        <v>45778.208333333336</v>
      </c>
      <c r="B69" s="382" t="s">
        <v>2435</v>
      </c>
      <c r="C69" s="377" t="s">
        <v>4730</v>
      </c>
      <c r="D69" s="6" t="str">
        <f>_xlfn.XLOOKUP(B69,Indices!$A$2:$A$2676,Indices!$B$2:$B$2676,"")</f>
        <v>S&amp;P Mid</v>
      </c>
    </row>
    <row r="70" spans="1:4" x14ac:dyDescent="0.25">
      <c r="A70" s="379">
        <v>45778.208333333336</v>
      </c>
      <c r="B70" s="382" t="s">
        <v>2931</v>
      </c>
      <c r="C70" s="377" t="s">
        <v>4730</v>
      </c>
      <c r="D70" s="6" t="str">
        <f>_xlfn.XLOOKUP(B70,Indices!$A$2:$A$2676,Indices!$B$2:$B$2676,"")</f>
        <v/>
      </c>
    </row>
    <row r="71" spans="1:4" x14ac:dyDescent="0.25">
      <c r="A71" s="379">
        <v>45778.208333333336</v>
      </c>
      <c r="B71" s="382" t="s">
        <v>298</v>
      </c>
      <c r="C71" s="377" t="s">
        <v>4730</v>
      </c>
      <c r="D71" s="6" t="str">
        <f>_xlfn.XLOOKUP(B71,Indices!$A$2:$A$2676,Indices!$B$2:$B$2676,"")</f>
        <v>SP500</v>
      </c>
    </row>
    <row r="72" spans="1:4" x14ac:dyDescent="0.25">
      <c r="A72" s="379">
        <v>45778.208333333336</v>
      </c>
      <c r="B72" s="382" t="s">
        <v>1658</v>
      </c>
      <c r="C72" s="377" t="s">
        <v>4730</v>
      </c>
      <c r="D72" s="6" t="str">
        <f>_xlfn.XLOOKUP(B72,Indices!$A$2:$A$2676,Indices!$B$2:$B$2676,"")</f>
        <v>IWM</v>
      </c>
    </row>
    <row r="73" spans="1:4" x14ac:dyDescent="0.25">
      <c r="A73" s="379">
        <v>45778.208333333336</v>
      </c>
      <c r="B73" s="382" t="s">
        <v>1936</v>
      </c>
      <c r="C73" s="377" t="s">
        <v>4730</v>
      </c>
      <c r="D73" s="6" t="str">
        <f>_xlfn.XLOOKUP(B73,Indices!$A$2:$A$2676,Indices!$B$2:$B$2676,"")</f>
        <v>IWM</v>
      </c>
    </row>
    <row r="74" spans="1:4" x14ac:dyDescent="0.25">
      <c r="A74" s="379">
        <v>45778.208333333336</v>
      </c>
      <c r="B74" s="382" t="s">
        <v>1050</v>
      </c>
      <c r="C74" s="377" t="s">
        <v>4730</v>
      </c>
      <c r="D74" s="6" t="str">
        <f>_xlfn.XLOOKUP(B74,Indices!$A$2:$A$2676,Indices!$B$2:$B$2676,"")</f>
        <v>IWM</v>
      </c>
    </row>
    <row r="75" spans="1:4" x14ac:dyDescent="0.25">
      <c r="A75" s="379">
        <v>45778.208333333336</v>
      </c>
      <c r="B75" s="382" t="s">
        <v>197</v>
      </c>
      <c r="C75" s="377" t="s">
        <v>4730</v>
      </c>
      <c r="D75" s="6" t="str">
        <f>_xlfn.XLOOKUP(B75,Indices!$A$2:$A$2676,Indices!$B$2:$B$2676,"")</f>
        <v>SP500</v>
      </c>
    </row>
    <row r="76" spans="1:4" x14ac:dyDescent="0.25">
      <c r="A76" s="379">
        <v>45778.208333333336</v>
      </c>
      <c r="B76" s="382" t="s">
        <v>2484</v>
      </c>
      <c r="C76" s="377" t="s">
        <v>4730</v>
      </c>
      <c r="D76" s="6" t="str">
        <f>_xlfn.XLOOKUP(B76,Indices!$A$2:$A$2676,Indices!$B$2:$B$2676,"")</f>
        <v>S&amp;P Mid</v>
      </c>
    </row>
    <row r="77" spans="1:4" x14ac:dyDescent="0.25">
      <c r="A77" s="379">
        <v>45778.208333333336</v>
      </c>
      <c r="B77" s="382" t="s">
        <v>3519</v>
      </c>
      <c r="C77" s="377" t="s">
        <v>4730</v>
      </c>
      <c r="D77" s="6" t="str">
        <f>_xlfn.XLOOKUP(B77,Indices!$A$2:$A$2676,Indices!$B$2:$B$2676,"")</f>
        <v/>
      </c>
    </row>
    <row r="78" spans="1:4" x14ac:dyDescent="0.25">
      <c r="A78" s="379">
        <v>45778.208333333336</v>
      </c>
      <c r="B78" s="382" t="s">
        <v>2151</v>
      </c>
      <c r="C78" s="377" t="s">
        <v>4730</v>
      </c>
      <c r="D78" s="6" t="str">
        <f>_xlfn.XLOOKUP(B78,Indices!$A$2:$A$2676,Indices!$B$2:$B$2676,"")</f>
        <v>IWM</v>
      </c>
    </row>
    <row r="79" spans="1:4" x14ac:dyDescent="0.25">
      <c r="A79" s="379">
        <v>45778.208333333336</v>
      </c>
      <c r="B79" s="382" t="s">
        <v>1015</v>
      </c>
      <c r="C79" s="377" t="s">
        <v>4730</v>
      </c>
      <c r="D79" s="6" t="str">
        <f>_xlfn.XLOOKUP(B79,Indices!$A$2:$A$2676,Indices!$B$2:$B$2676,"")</f>
        <v>IWM</v>
      </c>
    </row>
    <row r="80" spans="1:4" x14ac:dyDescent="0.25">
      <c r="A80" s="379">
        <v>45778.208333333336</v>
      </c>
      <c r="B80" s="382" t="s">
        <v>1692</v>
      </c>
      <c r="C80" s="377" t="s">
        <v>4730</v>
      </c>
      <c r="D80" s="6" t="str">
        <f>_xlfn.XLOOKUP(B80,Indices!$A$2:$A$2676,Indices!$B$2:$B$2676,"")</f>
        <v>IWM</v>
      </c>
    </row>
    <row r="81" spans="1:4" x14ac:dyDescent="0.25">
      <c r="A81" s="379">
        <v>45778.208333333336</v>
      </c>
      <c r="B81" s="382" t="s">
        <v>1292</v>
      </c>
      <c r="C81" s="377" t="s">
        <v>4730</v>
      </c>
      <c r="D81" s="6" t="str">
        <f>_xlfn.XLOOKUP(B81,Indices!$A$2:$A$2676,Indices!$B$2:$B$2676,"")</f>
        <v>SP500</v>
      </c>
    </row>
    <row r="82" spans="1:4" x14ac:dyDescent="0.25">
      <c r="A82" s="379">
        <v>45778.208333333336</v>
      </c>
      <c r="B82" s="382" t="s">
        <v>301</v>
      </c>
      <c r="C82" s="377" t="s">
        <v>4730</v>
      </c>
      <c r="D82" s="6" t="str">
        <f>_xlfn.XLOOKUP(B82,Indices!$A$2:$A$2676,Indices!$B$2:$B$2676,"")</f>
        <v>IWM</v>
      </c>
    </row>
    <row r="83" spans="1:4" x14ac:dyDescent="0.25">
      <c r="A83" s="379">
        <v>45778.209027777775</v>
      </c>
      <c r="B83" s="382" t="s">
        <v>2947</v>
      </c>
      <c r="C83" s="377" t="s">
        <v>4733</v>
      </c>
      <c r="D83" s="6" t="str">
        <f>_xlfn.XLOOKUP(B83,Indices!$A$2:$A$2676,Indices!$B$2:$B$2676,"")</f>
        <v/>
      </c>
    </row>
    <row r="84" spans="1:4" x14ac:dyDescent="0.25">
      <c r="A84" s="379">
        <v>45778.213194444441</v>
      </c>
      <c r="B84" s="382" t="s">
        <v>2596</v>
      </c>
      <c r="C84" s="377" t="s">
        <v>4734</v>
      </c>
      <c r="D84" s="6" t="str">
        <f>_xlfn.XLOOKUP(B84,Indices!$A$2:$A$2676,Indices!$B$2:$B$2676,"")</f>
        <v/>
      </c>
    </row>
    <row r="85" spans="1:4" x14ac:dyDescent="0.25">
      <c r="A85" s="379">
        <v>45778.216666666667</v>
      </c>
      <c r="B85" s="382" t="s">
        <v>1491</v>
      </c>
      <c r="C85" s="377" t="s">
        <v>4735</v>
      </c>
      <c r="D85" s="6" t="str">
        <f>_xlfn.XLOOKUP(B85,Indices!$A$2:$A$2676,Indices!$B$2:$B$2676,"")</f>
        <v>SP500</v>
      </c>
    </row>
    <row r="86" spans="1:4" x14ac:dyDescent="0.25">
      <c r="A86" s="379">
        <v>45778.21875</v>
      </c>
      <c r="B86" s="382" t="s">
        <v>1596</v>
      </c>
      <c r="C86" s="377" t="s">
        <v>4736</v>
      </c>
      <c r="D86" s="6" t="str">
        <f>_xlfn.XLOOKUP(B86,Indices!$A$2:$A$2676,Indices!$B$2:$B$2676,"")</f>
        <v>SP500</v>
      </c>
    </row>
    <row r="87" spans="1:4" x14ac:dyDescent="0.25">
      <c r="A87" s="379">
        <v>45778.21875</v>
      </c>
      <c r="B87" s="382" t="s">
        <v>850</v>
      </c>
      <c r="C87" s="377" t="s">
        <v>4736</v>
      </c>
      <c r="D87" s="6" t="str">
        <f>_xlfn.XLOOKUP(B87,Indices!$A$2:$A$2676,Indices!$B$2:$B$2676,"")</f>
        <v>SP500</v>
      </c>
    </row>
    <row r="88" spans="1:4" x14ac:dyDescent="0.25">
      <c r="A88" s="379">
        <v>45778.229166666664</v>
      </c>
      <c r="B88" s="382" t="s">
        <v>3478</v>
      </c>
      <c r="C88" s="377" t="s">
        <v>4737</v>
      </c>
      <c r="D88" s="6" t="str">
        <f>_xlfn.XLOOKUP(B88,Indices!$A$2:$A$2676,Indices!$B$2:$B$2676,"")</f>
        <v/>
      </c>
    </row>
    <row r="89" spans="1:4" x14ac:dyDescent="0.25">
      <c r="A89" s="379">
        <v>45778.229166666664</v>
      </c>
      <c r="B89" s="382" t="s">
        <v>1347</v>
      </c>
      <c r="C89" s="377" t="s">
        <v>4737</v>
      </c>
      <c r="D89" s="6" t="str">
        <f>_xlfn.XLOOKUP(B89,Indices!$A$2:$A$2676,Indices!$B$2:$B$2676,"")</f>
        <v>SP500</v>
      </c>
    </row>
    <row r="90" spans="1:4" x14ac:dyDescent="0.25">
      <c r="A90" s="379">
        <v>45778.229166666664</v>
      </c>
      <c r="B90" s="382" t="s">
        <v>2208</v>
      </c>
      <c r="C90" s="377" t="s">
        <v>4737</v>
      </c>
      <c r="D90" s="6" t="str">
        <f>_xlfn.XLOOKUP(B90,Indices!$A$2:$A$2676,Indices!$B$2:$B$2676,"")</f>
        <v>IWM</v>
      </c>
    </row>
    <row r="91" spans="1:4" x14ac:dyDescent="0.25">
      <c r="A91" s="379">
        <v>45778.229166666664</v>
      </c>
      <c r="B91" s="382" t="s">
        <v>204</v>
      </c>
      <c r="C91" s="377" t="s">
        <v>4737</v>
      </c>
      <c r="D91" s="6" t="str">
        <f>_xlfn.XLOOKUP(B91,Indices!$A$2:$A$2676,Indices!$B$2:$B$2676,"")</f>
        <v>S&amp;P Mid</v>
      </c>
    </row>
    <row r="92" spans="1:4" x14ac:dyDescent="0.25">
      <c r="A92" s="379">
        <v>45778.229166666664</v>
      </c>
      <c r="B92" s="382" t="s">
        <v>617</v>
      </c>
      <c r="C92" s="377" t="s">
        <v>4737</v>
      </c>
      <c r="D92" s="6" t="str">
        <f>_xlfn.XLOOKUP(B92,Indices!$A$2:$A$2676,Indices!$B$2:$B$2676,"")</f>
        <v>IWM</v>
      </c>
    </row>
    <row r="93" spans="1:4" x14ac:dyDescent="0.25">
      <c r="A93" s="379">
        <v>45778.229166666664</v>
      </c>
      <c r="B93" s="382" t="s">
        <v>1682</v>
      </c>
      <c r="C93" s="377" t="s">
        <v>4737</v>
      </c>
      <c r="D93" s="6" t="str">
        <f>_xlfn.XLOOKUP(B93,Indices!$A$2:$A$2676,Indices!$B$2:$B$2676,"")</f>
        <v>IWM</v>
      </c>
    </row>
    <row r="94" spans="1:4" x14ac:dyDescent="0.25">
      <c r="A94" s="379">
        <v>45778.229166666664</v>
      </c>
      <c r="B94" s="382" t="s">
        <v>1494</v>
      </c>
      <c r="C94" s="377" t="s">
        <v>4737</v>
      </c>
      <c r="D94" s="6" t="str">
        <f>_xlfn.XLOOKUP(B94,Indices!$A$2:$A$2676,Indices!$B$2:$B$2676,"")</f>
        <v>SP500</v>
      </c>
    </row>
    <row r="95" spans="1:4" x14ac:dyDescent="0.25">
      <c r="A95" s="379">
        <v>45778.229166666664</v>
      </c>
      <c r="B95" s="382" t="s">
        <v>1486</v>
      </c>
      <c r="C95" s="377" t="s">
        <v>4737</v>
      </c>
      <c r="D95" s="6" t="str">
        <f>_xlfn.XLOOKUP(B95,Indices!$A$2:$A$2676,Indices!$B$2:$B$2676,"")</f>
        <v>SP500</v>
      </c>
    </row>
    <row r="96" spans="1:4" x14ac:dyDescent="0.25">
      <c r="A96" s="379">
        <v>45778.229166666664</v>
      </c>
      <c r="B96" s="382" t="s">
        <v>1338</v>
      </c>
      <c r="C96" s="377" t="s">
        <v>4737</v>
      </c>
      <c r="D96" s="6" t="str">
        <f>_xlfn.XLOOKUP(B96,Indices!$A$2:$A$2676,Indices!$B$2:$B$2676,"")</f>
        <v>SP500</v>
      </c>
    </row>
    <row r="97" spans="1:4" x14ac:dyDescent="0.25">
      <c r="A97" s="379">
        <v>45778.229166666664</v>
      </c>
      <c r="B97" s="382" t="s">
        <v>2942</v>
      </c>
      <c r="C97" s="377" t="s">
        <v>4737</v>
      </c>
      <c r="D97" s="6" t="str">
        <f>_xlfn.XLOOKUP(B97,Indices!$A$2:$A$2676,Indices!$B$2:$B$2676,"")</f>
        <v/>
      </c>
    </row>
    <row r="98" spans="1:4" x14ac:dyDescent="0.25">
      <c r="A98" s="379">
        <v>45778.229166666664</v>
      </c>
      <c r="B98" s="382" t="s">
        <v>2110</v>
      </c>
      <c r="C98" s="377" t="s">
        <v>4737</v>
      </c>
      <c r="D98" s="6" t="str">
        <f>_xlfn.XLOOKUP(B98,Indices!$A$2:$A$2676,Indices!$B$2:$B$2676,"")</f>
        <v>IWM</v>
      </c>
    </row>
    <row r="99" spans="1:4" x14ac:dyDescent="0.25">
      <c r="A99" s="379">
        <v>45778.229166666664</v>
      </c>
      <c r="B99" s="382" t="s">
        <v>1809</v>
      </c>
      <c r="C99" s="377" t="s">
        <v>4737</v>
      </c>
      <c r="D99" s="6" t="str">
        <f>_xlfn.XLOOKUP(B99,Indices!$A$2:$A$2676,Indices!$B$2:$B$2676,"")</f>
        <v>IWM</v>
      </c>
    </row>
    <row r="100" spans="1:4" x14ac:dyDescent="0.25">
      <c r="A100" s="379">
        <v>45778.229166666664</v>
      </c>
      <c r="B100" s="382" t="s">
        <v>1348</v>
      </c>
      <c r="C100" s="377" t="s">
        <v>4737</v>
      </c>
      <c r="D100" s="6" t="str">
        <f>_xlfn.XLOOKUP(B100,Indices!$A$2:$A$2676,Indices!$B$2:$B$2676,"")</f>
        <v>SP500</v>
      </c>
    </row>
    <row r="101" spans="1:4" x14ac:dyDescent="0.25">
      <c r="A101" s="379">
        <v>45778.229166666664</v>
      </c>
      <c r="B101" s="382" t="s">
        <v>2465</v>
      </c>
      <c r="C101" s="377" t="s">
        <v>4737</v>
      </c>
      <c r="D101" s="6" t="str">
        <f>_xlfn.XLOOKUP(B101,Indices!$A$2:$A$2676,Indices!$B$2:$B$2676,"")</f>
        <v>S&amp;P Mid</v>
      </c>
    </row>
    <row r="102" spans="1:4" x14ac:dyDescent="0.25">
      <c r="A102" s="379">
        <v>45778.229166666664</v>
      </c>
      <c r="B102" s="382" t="s">
        <v>1802</v>
      </c>
      <c r="C102" s="377" t="s">
        <v>4737</v>
      </c>
      <c r="D102" s="6" t="str">
        <f>_xlfn.XLOOKUP(B102,Indices!$A$2:$A$2676,Indices!$B$2:$B$2676,"")</f>
        <v>IWM</v>
      </c>
    </row>
    <row r="103" spans="1:4" x14ac:dyDescent="0.25">
      <c r="A103" s="379">
        <v>45778.229166666664</v>
      </c>
      <c r="B103" s="382" t="s">
        <v>2508</v>
      </c>
      <c r="C103" s="377" t="s">
        <v>4737</v>
      </c>
      <c r="D103" s="6" t="str">
        <f>_xlfn.XLOOKUP(B103,Indices!$A$2:$A$2676,Indices!$B$2:$B$2676,"")</f>
        <v/>
      </c>
    </row>
    <row r="104" spans="1:4" x14ac:dyDescent="0.25">
      <c r="A104" s="379">
        <v>45778.229166666664</v>
      </c>
      <c r="B104" s="382" t="s">
        <v>55</v>
      </c>
      <c r="C104" s="377" t="s">
        <v>4737</v>
      </c>
      <c r="D104" s="6" t="str">
        <f>_xlfn.XLOOKUP(B104,Indices!$A$2:$A$2676,Indices!$B$2:$B$2676,"")</f>
        <v>IWM</v>
      </c>
    </row>
    <row r="105" spans="1:4" x14ac:dyDescent="0.25">
      <c r="A105" s="379">
        <v>45778.229166666664</v>
      </c>
      <c r="B105" s="382" t="s">
        <v>23</v>
      </c>
      <c r="C105" s="377" t="s">
        <v>4737</v>
      </c>
      <c r="D105" s="6" t="str">
        <f>_xlfn.XLOOKUP(B105,Indices!$A$2:$A$2676,Indices!$B$2:$B$2676,"")</f>
        <v>SP500</v>
      </c>
    </row>
    <row r="106" spans="1:4" x14ac:dyDescent="0.25">
      <c r="A106" s="379">
        <v>45778.234722222223</v>
      </c>
      <c r="B106" s="382" t="s">
        <v>193</v>
      </c>
      <c r="C106" s="377" t="s">
        <v>4738</v>
      </c>
      <c r="D106" s="6" t="str">
        <f>_xlfn.XLOOKUP(B106,Indices!$A$2:$A$2676,Indices!$B$2:$B$2676,"")</f>
        <v>S&amp;P Mid</v>
      </c>
    </row>
    <row r="107" spans="1:4" x14ac:dyDescent="0.25">
      <c r="A107" s="379">
        <v>45778.236111111109</v>
      </c>
      <c r="B107" s="382" t="s">
        <v>1289</v>
      </c>
      <c r="C107" s="377" t="s">
        <v>4739</v>
      </c>
      <c r="D107" s="6" t="str">
        <f>_xlfn.XLOOKUP(B107,Indices!$A$2:$A$2676,Indices!$B$2:$B$2676,"")</f>
        <v>SP500</v>
      </c>
    </row>
    <row r="108" spans="1:4" x14ac:dyDescent="0.25">
      <c r="A108" s="379">
        <v>45778.25</v>
      </c>
      <c r="B108" s="382" t="s">
        <v>1779</v>
      </c>
      <c r="C108" s="377" t="s">
        <v>4740</v>
      </c>
      <c r="D108" s="6" t="str">
        <f>_xlfn.XLOOKUP(B108,Indices!$A$2:$A$2676,Indices!$B$2:$B$2676,"")</f>
        <v>IWM</v>
      </c>
    </row>
    <row r="109" spans="1:4" x14ac:dyDescent="0.25">
      <c r="A109" s="379">
        <v>45778.25</v>
      </c>
      <c r="B109" s="382" t="s">
        <v>3737</v>
      </c>
      <c r="C109" s="377" t="s">
        <v>4740</v>
      </c>
      <c r="D109" s="6" t="str">
        <f>_xlfn.XLOOKUP(B109,Indices!$A$2:$A$2676,Indices!$B$2:$B$2676,"")</f>
        <v/>
      </c>
    </row>
    <row r="110" spans="1:4" x14ac:dyDescent="0.25">
      <c r="A110" s="379">
        <v>45778.25</v>
      </c>
      <c r="B110" s="382" t="s">
        <v>2951</v>
      </c>
      <c r="C110" s="377" t="s">
        <v>4740</v>
      </c>
      <c r="D110" s="6" t="str">
        <f>_xlfn.XLOOKUP(B110,Indices!$A$2:$A$2676,Indices!$B$2:$B$2676,"")</f>
        <v/>
      </c>
    </row>
    <row r="111" spans="1:4" x14ac:dyDescent="0.25">
      <c r="A111" s="379">
        <v>45778.25</v>
      </c>
      <c r="B111" s="382" t="s">
        <v>1394</v>
      </c>
      <c r="C111" s="377" t="s">
        <v>4740</v>
      </c>
      <c r="D111" s="6" t="str">
        <f>_xlfn.XLOOKUP(B111,Indices!$A$2:$A$2676,Indices!$B$2:$B$2676,"")</f>
        <v>SP500</v>
      </c>
    </row>
    <row r="112" spans="1:4" x14ac:dyDescent="0.25">
      <c r="A112" s="379">
        <v>45778.25</v>
      </c>
      <c r="B112" s="382" t="s">
        <v>628</v>
      </c>
      <c r="C112" s="377" t="s">
        <v>4740</v>
      </c>
      <c r="D112" s="6" t="str">
        <f>_xlfn.XLOOKUP(B112,Indices!$A$2:$A$2676,Indices!$B$2:$B$2676,"")</f>
        <v>IWM</v>
      </c>
    </row>
    <row r="113" spans="1:4" x14ac:dyDescent="0.25">
      <c r="A113" s="379">
        <v>45778.25</v>
      </c>
      <c r="B113" s="382" t="s">
        <v>2938</v>
      </c>
      <c r="C113" s="377" t="s">
        <v>4740</v>
      </c>
      <c r="D113" s="6" t="str">
        <f>_xlfn.XLOOKUP(B113,Indices!$A$2:$A$2676,Indices!$B$2:$B$2676,"")</f>
        <v/>
      </c>
    </row>
    <row r="114" spans="1:4" x14ac:dyDescent="0.25">
      <c r="A114" s="379">
        <v>45778.25</v>
      </c>
      <c r="B114" s="382" t="s">
        <v>2088</v>
      </c>
      <c r="C114" s="377" t="s">
        <v>4740</v>
      </c>
      <c r="D114" s="6" t="str">
        <f>_xlfn.XLOOKUP(B114,Indices!$A$2:$A$2676,Indices!$B$2:$B$2676,"")</f>
        <v>IWM</v>
      </c>
    </row>
    <row r="115" spans="1:4" x14ac:dyDescent="0.25">
      <c r="A115" s="379">
        <v>45778.25</v>
      </c>
      <c r="B115" s="382" t="s">
        <v>2130</v>
      </c>
      <c r="C115" s="377" t="s">
        <v>4740</v>
      </c>
      <c r="D115" s="6" t="str">
        <f>_xlfn.XLOOKUP(B115,Indices!$A$2:$A$2676,Indices!$B$2:$B$2676,"")</f>
        <v>IWM</v>
      </c>
    </row>
    <row r="116" spans="1:4" x14ac:dyDescent="0.25">
      <c r="A116" s="379">
        <v>45778.25</v>
      </c>
      <c r="B116" s="382" t="s">
        <v>1703</v>
      </c>
      <c r="C116" s="377" t="s">
        <v>4740</v>
      </c>
      <c r="D116" s="6" t="str">
        <f>_xlfn.XLOOKUP(B116,Indices!$A$2:$A$2676,Indices!$B$2:$B$2676,"")</f>
        <v>IWM</v>
      </c>
    </row>
    <row r="117" spans="1:4" x14ac:dyDescent="0.25">
      <c r="A117" s="379">
        <v>45778.25</v>
      </c>
      <c r="B117" s="382" t="s">
        <v>266</v>
      </c>
      <c r="C117" s="377" t="s">
        <v>4740</v>
      </c>
      <c r="D117" s="6" t="str">
        <f>_xlfn.XLOOKUP(B117,Indices!$A$2:$A$2676,Indices!$B$2:$B$2676,"")</f>
        <v>IWM</v>
      </c>
    </row>
    <row r="118" spans="1:4" x14ac:dyDescent="0.25">
      <c r="A118" s="379">
        <v>45778.25</v>
      </c>
      <c r="B118" s="382" t="s">
        <v>2461</v>
      </c>
      <c r="C118" s="377" t="s">
        <v>4740</v>
      </c>
      <c r="D118" s="6" t="str">
        <f>_xlfn.XLOOKUP(B118,Indices!$A$2:$A$2676,Indices!$B$2:$B$2676,"")</f>
        <v>S&amp;P Mid</v>
      </c>
    </row>
    <row r="119" spans="1:4" x14ac:dyDescent="0.25">
      <c r="A119" s="379">
        <v>45778.250694444447</v>
      </c>
      <c r="B119" s="382" t="s">
        <v>2554</v>
      </c>
      <c r="C119" s="377" t="s">
        <v>4741</v>
      </c>
      <c r="D119" s="6" t="str">
        <f>_xlfn.XLOOKUP(B119,Indices!$A$2:$A$2676,Indices!$B$2:$B$2676,"")</f>
        <v/>
      </c>
    </row>
    <row r="120" spans="1:4" x14ac:dyDescent="0.25">
      <c r="A120" s="379">
        <v>45778.250694444447</v>
      </c>
      <c r="B120" s="382" t="s">
        <v>3521</v>
      </c>
      <c r="C120" s="377" t="s">
        <v>4741</v>
      </c>
      <c r="D120" s="6" t="str">
        <f>_xlfn.XLOOKUP(B120,Indices!$A$2:$A$2676,Indices!$B$2:$B$2676,"")</f>
        <v/>
      </c>
    </row>
    <row r="121" spans="1:4" x14ac:dyDescent="0.25">
      <c r="A121" s="379">
        <v>45778.253472222219</v>
      </c>
      <c r="B121" s="382" t="s">
        <v>1960</v>
      </c>
      <c r="C121" s="377" t="s">
        <v>4742</v>
      </c>
      <c r="D121" s="6" t="str">
        <f>_xlfn.XLOOKUP(B121,Indices!$A$2:$A$2676,Indices!$B$2:$B$2676,"")</f>
        <v>IWM</v>
      </c>
    </row>
    <row r="122" spans="1:4" x14ac:dyDescent="0.25">
      <c r="A122" s="379">
        <v>45778.260416666664</v>
      </c>
      <c r="B122" s="382" t="s">
        <v>2960</v>
      </c>
      <c r="C122" s="377" t="s">
        <v>4743</v>
      </c>
      <c r="D122" s="6" t="str">
        <f>_xlfn.XLOOKUP(B122,Indices!$A$2:$A$2676,Indices!$B$2:$B$2676,"")</f>
        <v/>
      </c>
    </row>
    <row r="123" spans="1:4" x14ac:dyDescent="0.25">
      <c r="A123" s="379">
        <v>45778.260416666664</v>
      </c>
      <c r="B123" s="382" t="s">
        <v>3105</v>
      </c>
      <c r="C123" s="377" t="s">
        <v>4743</v>
      </c>
      <c r="D123" s="6" t="str">
        <f>_xlfn.XLOOKUP(B123,Indices!$A$2:$A$2676,Indices!$B$2:$B$2676,"")</f>
        <v/>
      </c>
    </row>
    <row r="124" spans="1:4" x14ac:dyDescent="0.25">
      <c r="A124" s="379">
        <v>45778.270833333336</v>
      </c>
      <c r="B124" s="382" t="s">
        <v>1811</v>
      </c>
      <c r="C124" s="377" t="s">
        <v>4744</v>
      </c>
      <c r="D124" s="6" t="str">
        <f>_xlfn.XLOOKUP(B124,Indices!$A$2:$A$2676,Indices!$B$2:$B$2676,"")</f>
        <v>IWM</v>
      </c>
    </row>
    <row r="125" spans="1:4" x14ac:dyDescent="0.25">
      <c r="A125" s="379">
        <v>45778.270833333336</v>
      </c>
      <c r="B125" s="382" t="s">
        <v>1688</v>
      </c>
      <c r="C125" s="377" t="s">
        <v>4744</v>
      </c>
      <c r="D125" s="6" t="str">
        <f>_xlfn.XLOOKUP(B125,Indices!$A$2:$A$2676,Indices!$B$2:$B$2676,"")</f>
        <v>IWM</v>
      </c>
    </row>
    <row r="126" spans="1:4" x14ac:dyDescent="0.25">
      <c r="A126" s="379">
        <v>45778.270833333336</v>
      </c>
      <c r="B126" s="382" t="s">
        <v>1666</v>
      </c>
      <c r="C126" s="377" t="s">
        <v>4744</v>
      </c>
      <c r="D126" s="6" t="str">
        <f>_xlfn.XLOOKUP(B126,Indices!$A$2:$A$2676,Indices!$B$2:$B$2676,"")</f>
        <v>IWM</v>
      </c>
    </row>
    <row r="127" spans="1:4" x14ac:dyDescent="0.25">
      <c r="A127" s="379">
        <v>45778.270833333336</v>
      </c>
      <c r="B127" s="382" t="s">
        <v>2428</v>
      </c>
      <c r="C127" s="377" t="s">
        <v>4744</v>
      </c>
      <c r="D127" s="6" t="str">
        <f>_xlfn.XLOOKUP(B127,Indices!$A$2:$A$2676,Indices!$B$2:$B$2676,"")</f>
        <v>S&amp;P Mid</v>
      </c>
    </row>
    <row r="128" spans="1:4" x14ac:dyDescent="0.25">
      <c r="A128" s="379">
        <v>45778.277777777781</v>
      </c>
      <c r="B128" s="382" t="s">
        <v>325</v>
      </c>
      <c r="C128" s="377" t="s">
        <v>4745</v>
      </c>
      <c r="D128" s="6" t="str">
        <f>_xlfn.XLOOKUP(B128,Indices!$A$2:$A$2676,Indices!$B$2:$B$2676,"")</f>
        <v>SP500</v>
      </c>
    </row>
    <row r="129" spans="1:4" x14ac:dyDescent="0.25">
      <c r="A129" s="379">
        <v>45778.291666666664</v>
      </c>
      <c r="B129" s="382" t="s">
        <v>2414</v>
      </c>
      <c r="C129" s="377" t="s">
        <v>4746</v>
      </c>
      <c r="D129" s="6" t="str">
        <f>_xlfn.XLOOKUP(B129,Indices!$A$2:$A$2676,Indices!$B$2:$B$2676,"")</f>
        <v>S&amp;P Mid</v>
      </c>
    </row>
    <row r="130" spans="1:4" x14ac:dyDescent="0.25">
      <c r="A130" s="379">
        <v>45778.291666666664</v>
      </c>
      <c r="B130" s="382" t="s">
        <v>1764</v>
      </c>
      <c r="C130" s="377" t="s">
        <v>4746</v>
      </c>
      <c r="D130" s="6" t="str">
        <f>_xlfn.XLOOKUP(B130,Indices!$A$2:$A$2676,Indices!$B$2:$B$2676,"")</f>
        <v>IWM</v>
      </c>
    </row>
    <row r="131" spans="1:4" x14ac:dyDescent="0.25">
      <c r="A131" s="379">
        <v>45778.291666666664</v>
      </c>
      <c r="B131" s="382" t="s">
        <v>2950</v>
      </c>
      <c r="C131" s="377" t="s">
        <v>4746</v>
      </c>
      <c r="D131" s="6" t="str">
        <f>_xlfn.XLOOKUP(B131,Indices!$A$2:$A$2676,Indices!$B$2:$B$2676,"")</f>
        <v/>
      </c>
    </row>
    <row r="132" spans="1:4" x14ac:dyDescent="0.25">
      <c r="A132" s="379">
        <v>45778.291666666664</v>
      </c>
      <c r="B132" s="382" t="s">
        <v>2929</v>
      </c>
      <c r="C132" s="377" t="s">
        <v>2936</v>
      </c>
      <c r="D132" s="6" t="str">
        <f>_xlfn.XLOOKUP(B132,Indices!$A$2:$A$2676,Indices!$B$2:$B$2676,"")</f>
        <v/>
      </c>
    </row>
    <row r="133" spans="1:4" x14ac:dyDescent="0.25">
      <c r="A133" s="379">
        <v>45778.291666666664</v>
      </c>
      <c r="B133" s="382" t="s">
        <v>2957</v>
      </c>
      <c r="C133" s="377" t="s">
        <v>2936</v>
      </c>
      <c r="D133" s="6" t="str">
        <f>_xlfn.XLOOKUP(B133,Indices!$A$2:$A$2676,Indices!$B$2:$B$2676,"")</f>
        <v/>
      </c>
    </row>
    <row r="134" spans="1:4" x14ac:dyDescent="0.25">
      <c r="A134" s="379">
        <v>45778.291666666664</v>
      </c>
      <c r="B134" s="382" t="s">
        <v>885</v>
      </c>
      <c r="C134" s="377" t="s">
        <v>2936</v>
      </c>
      <c r="D134" s="6" t="str">
        <f>_xlfn.XLOOKUP(B134,Indices!$A$2:$A$2676,Indices!$B$2:$B$2676,"")</f>
        <v>IWM</v>
      </c>
    </row>
    <row r="135" spans="1:4" x14ac:dyDescent="0.25">
      <c r="A135" s="379">
        <v>45778.583333333336</v>
      </c>
      <c r="B135" s="382" t="s">
        <v>1975</v>
      </c>
      <c r="C135" s="377" t="s">
        <v>4747</v>
      </c>
      <c r="D135" s="6" t="str">
        <f>_xlfn.XLOOKUP(B135,Indices!$A$2:$A$2676,Indices!$B$2:$B$2676,"")</f>
        <v>IWM</v>
      </c>
    </row>
    <row r="136" spans="1:4" x14ac:dyDescent="0.25">
      <c r="A136" s="379">
        <v>45778.583333333336</v>
      </c>
      <c r="B136" s="382" t="s">
        <v>2970</v>
      </c>
      <c r="C136" s="377" t="s">
        <v>4747</v>
      </c>
      <c r="D136" s="6" t="str">
        <f>_xlfn.XLOOKUP(B136,Indices!$A$2:$A$2676,Indices!$B$2:$B$2676,"")</f>
        <v/>
      </c>
    </row>
    <row r="137" spans="1:4" x14ac:dyDescent="0.25">
      <c r="A137" s="379">
        <v>45778.583333333336</v>
      </c>
      <c r="B137" s="382" t="s">
        <v>2258</v>
      </c>
      <c r="C137" s="377" t="s">
        <v>4747</v>
      </c>
      <c r="D137" s="6" t="str">
        <f>_xlfn.XLOOKUP(B137,Indices!$A$2:$A$2676,Indices!$B$2:$B$2676,"")</f>
        <v>IWM</v>
      </c>
    </row>
    <row r="138" spans="1:4" x14ac:dyDescent="0.25">
      <c r="A138" s="379">
        <v>45778.583333333336</v>
      </c>
      <c r="B138" s="382" t="s">
        <v>1858</v>
      </c>
      <c r="C138" s="377" t="s">
        <v>4747</v>
      </c>
      <c r="D138" s="6" t="str">
        <f>_xlfn.XLOOKUP(B138,Indices!$A$2:$A$2676,Indices!$B$2:$B$2676,"")</f>
        <v>IWM</v>
      </c>
    </row>
    <row r="139" spans="1:4" x14ac:dyDescent="0.25">
      <c r="A139" s="379">
        <v>45778.584027777775</v>
      </c>
      <c r="B139" s="382" t="s">
        <v>2989</v>
      </c>
      <c r="C139" s="377" t="s">
        <v>4749</v>
      </c>
      <c r="D139" s="6" t="str">
        <f>_xlfn.XLOOKUP(B139,Indices!$A$2:$A$2676,Indices!$B$2:$B$2676,"")</f>
        <v/>
      </c>
    </row>
    <row r="140" spans="1:4" x14ac:dyDescent="0.25">
      <c r="A140" s="379">
        <v>45778.584027777775</v>
      </c>
      <c r="B140" s="382" t="s">
        <v>2514</v>
      </c>
      <c r="C140" s="377" t="s">
        <v>4748</v>
      </c>
      <c r="D140" s="6" t="str">
        <f>_xlfn.XLOOKUP(B140,Indices!$A$2:$A$2676,Indices!$B$2:$B$2676,"")</f>
        <v/>
      </c>
    </row>
    <row r="141" spans="1:4" x14ac:dyDescent="0.25">
      <c r="A141" s="379">
        <v>45778.584027777775</v>
      </c>
      <c r="B141" s="382" t="s">
        <v>1267</v>
      </c>
      <c r="C141" s="377" t="s">
        <v>4748</v>
      </c>
      <c r="D141" s="6" t="str">
        <f>_xlfn.XLOOKUP(B141,Indices!$A$2:$A$2676,Indices!$B$2:$B$2676,"")</f>
        <v>SP500</v>
      </c>
    </row>
    <row r="142" spans="1:4" x14ac:dyDescent="0.25">
      <c r="A142" s="379">
        <v>45778.584027777775</v>
      </c>
      <c r="B142" s="382" t="s">
        <v>1982</v>
      </c>
      <c r="C142" s="377" t="s">
        <v>4748</v>
      </c>
      <c r="D142" s="6" t="str">
        <f>_xlfn.XLOOKUP(B142,Indices!$A$2:$A$2676,Indices!$B$2:$B$2676,"")</f>
        <v>IWM</v>
      </c>
    </row>
    <row r="143" spans="1:4" x14ac:dyDescent="0.25">
      <c r="A143" s="379">
        <v>45778.584027777775</v>
      </c>
      <c r="B143" s="382" t="s">
        <v>1980</v>
      </c>
      <c r="C143" s="377" t="s">
        <v>4748</v>
      </c>
      <c r="D143" s="6" t="str">
        <f>_xlfn.XLOOKUP(B143,Indices!$A$2:$A$2676,Indices!$B$2:$B$2676,"")</f>
        <v>IWM</v>
      </c>
    </row>
    <row r="144" spans="1:4" x14ac:dyDescent="0.25">
      <c r="A144" s="379">
        <v>45778.584027777775</v>
      </c>
      <c r="B144" s="382" t="s">
        <v>1312</v>
      </c>
      <c r="C144" s="377" t="s">
        <v>4748</v>
      </c>
      <c r="D144" s="6" t="str">
        <f>_xlfn.XLOOKUP(B144,Indices!$A$2:$A$2676,Indices!$B$2:$B$2676,"")</f>
        <v>SP500</v>
      </c>
    </row>
    <row r="145" spans="1:4" x14ac:dyDescent="0.25">
      <c r="A145" s="379">
        <v>45778.584027777775</v>
      </c>
      <c r="B145" s="382" t="s">
        <v>2314</v>
      </c>
      <c r="C145" s="377" t="s">
        <v>4748</v>
      </c>
      <c r="D145" s="6" t="str">
        <f>_xlfn.XLOOKUP(B145,Indices!$A$2:$A$2676,Indices!$B$2:$B$2676,"")</f>
        <v>IWM</v>
      </c>
    </row>
    <row r="146" spans="1:4" x14ac:dyDescent="0.25">
      <c r="A146" s="379">
        <v>45778.584027777775</v>
      </c>
      <c r="B146" s="382" t="s">
        <v>1823</v>
      </c>
      <c r="C146" s="377" t="s">
        <v>4748</v>
      </c>
      <c r="D146" s="6" t="str">
        <f>_xlfn.XLOOKUP(B146,Indices!$A$2:$A$2676,Indices!$B$2:$B$2676,"")</f>
        <v>IWM</v>
      </c>
    </row>
    <row r="147" spans="1:4" x14ac:dyDescent="0.25">
      <c r="A147" s="379">
        <v>45778.584027777775</v>
      </c>
      <c r="B147" s="382" t="s">
        <v>944</v>
      </c>
      <c r="C147" s="377" t="s">
        <v>4748</v>
      </c>
      <c r="D147" s="6" t="str">
        <f>_xlfn.XLOOKUP(B147,Indices!$A$2:$A$2676,Indices!$B$2:$B$2676,"")</f>
        <v>IWM</v>
      </c>
    </row>
    <row r="148" spans="1:4" x14ac:dyDescent="0.25">
      <c r="A148" s="379">
        <v>45778.584027777775</v>
      </c>
      <c r="B148" s="382" t="s">
        <v>650</v>
      </c>
      <c r="C148" s="377" t="s">
        <v>4748</v>
      </c>
      <c r="D148" s="6" t="str">
        <f>_xlfn.XLOOKUP(B148,Indices!$A$2:$A$2676,Indices!$B$2:$B$2676,"")</f>
        <v>IWM</v>
      </c>
    </row>
    <row r="149" spans="1:4" x14ac:dyDescent="0.25">
      <c r="A149" s="379">
        <v>45778.584027777775</v>
      </c>
      <c r="B149" s="382" t="s">
        <v>1481</v>
      </c>
      <c r="C149" s="377" t="s">
        <v>4748</v>
      </c>
      <c r="D149" s="6" t="str">
        <f>_xlfn.XLOOKUP(B149,Indices!$A$2:$A$2676,Indices!$B$2:$B$2676,"")</f>
        <v>SP500</v>
      </c>
    </row>
    <row r="150" spans="1:4" x14ac:dyDescent="0.25">
      <c r="A150" s="379">
        <v>45778.584027777775</v>
      </c>
      <c r="B150" s="382" t="s">
        <v>4026</v>
      </c>
      <c r="C150" s="377" t="s">
        <v>4748</v>
      </c>
      <c r="D150" s="6" t="str">
        <f>_xlfn.XLOOKUP(B150,Indices!$A$2:$A$2676,Indices!$B$2:$B$2676,"")</f>
        <v/>
      </c>
    </row>
    <row r="151" spans="1:4" x14ac:dyDescent="0.25">
      <c r="A151" s="379">
        <v>45778.584027777775</v>
      </c>
      <c r="B151" s="382" t="s">
        <v>219</v>
      </c>
      <c r="C151" s="377" t="s">
        <v>4748</v>
      </c>
      <c r="D151" s="6" t="str">
        <f>_xlfn.XLOOKUP(B151,Indices!$A$2:$A$2676,Indices!$B$2:$B$2676,"")</f>
        <v>IWM</v>
      </c>
    </row>
    <row r="152" spans="1:4" x14ac:dyDescent="0.25">
      <c r="A152" s="379">
        <v>45778.584027777775</v>
      </c>
      <c r="B152" s="382" t="s">
        <v>2105</v>
      </c>
      <c r="C152" s="377" t="s">
        <v>4748</v>
      </c>
      <c r="D152" s="6" t="str">
        <f>_xlfn.XLOOKUP(B152,Indices!$A$2:$A$2676,Indices!$B$2:$B$2676,"")</f>
        <v>IWM</v>
      </c>
    </row>
    <row r="153" spans="1:4" x14ac:dyDescent="0.25">
      <c r="A153" s="379">
        <v>45778.584027777775</v>
      </c>
      <c r="B153" s="382" t="s">
        <v>1956</v>
      </c>
      <c r="C153" s="377" t="s">
        <v>4748</v>
      </c>
      <c r="D153" s="6" t="str">
        <f>_xlfn.XLOOKUP(B153,Indices!$A$2:$A$2676,Indices!$B$2:$B$2676,"")</f>
        <v>IWM</v>
      </c>
    </row>
    <row r="154" spans="1:4" x14ac:dyDescent="0.25">
      <c r="A154" s="379">
        <v>45778.584027777775</v>
      </c>
      <c r="B154" s="382" t="s">
        <v>2999</v>
      </c>
      <c r="C154" s="377" t="s">
        <v>4748</v>
      </c>
      <c r="D154" s="6" t="str">
        <f>_xlfn.XLOOKUP(B154,Indices!$A$2:$A$2676,Indices!$B$2:$B$2676,"")</f>
        <v/>
      </c>
    </row>
    <row r="155" spans="1:4" x14ac:dyDescent="0.25">
      <c r="A155" s="379">
        <v>45778.584027777775</v>
      </c>
      <c r="B155" s="382" t="s">
        <v>824</v>
      </c>
      <c r="C155" s="377" t="s">
        <v>4748</v>
      </c>
      <c r="D155" s="6" t="str">
        <f>_xlfn.XLOOKUP(B155,Indices!$A$2:$A$2676,Indices!$B$2:$B$2676,"")</f>
        <v>IWM</v>
      </c>
    </row>
    <row r="156" spans="1:4" x14ac:dyDescent="0.25">
      <c r="A156" s="379">
        <v>45778.584027777775</v>
      </c>
      <c r="B156" s="382" t="s">
        <v>69</v>
      </c>
      <c r="C156" s="377" t="s">
        <v>4748</v>
      </c>
      <c r="D156" s="6" t="str">
        <f>_xlfn.XLOOKUP(B156,Indices!$A$2:$A$2676,Indices!$B$2:$B$2676,"")</f>
        <v>SP500</v>
      </c>
    </row>
    <row r="157" spans="1:4" x14ac:dyDescent="0.25">
      <c r="A157" s="379">
        <v>45778.584722222222</v>
      </c>
      <c r="B157" s="382" t="s">
        <v>337</v>
      </c>
      <c r="C157" s="377" t="s">
        <v>4750</v>
      </c>
      <c r="D157" s="6" t="str">
        <f>_xlfn.XLOOKUP(B157,Indices!$A$2:$A$2676,Indices!$B$2:$B$2676,"")</f>
        <v>S&amp;P Mid</v>
      </c>
    </row>
    <row r="158" spans="1:4" x14ac:dyDescent="0.25">
      <c r="A158" s="379">
        <v>45778.584722222222</v>
      </c>
      <c r="B158" s="382" t="s">
        <v>1467</v>
      </c>
      <c r="C158" s="377" t="s">
        <v>4750</v>
      </c>
      <c r="D158" s="6" t="str">
        <f>_xlfn.XLOOKUP(B158,Indices!$A$2:$A$2676,Indices!$B$2:$B$2676,"")</f>
        <v>SP500</v>
      </c>
    </row>
    <row r="159" spans="1:4" x14ac:dyDescent="0.25">
      <c r="A159" s="379">
        <v>45778.584722222222</v>
      </c>
      <c r="B159" s="382" t="s">
        <v>2106</v>
      </c>
      <c r="C159" s="377" t="s">
        <v>4750</v>
      </c>
      <c r="D159" s="6" t="str">
        <f>_xlfn.XLOOKUP(B159,Indices!$A$2:$A$2676,Indices!$B$2:$B$2676,"")</f>
        <v>IWM</v>
      </c>
    </row>
    <row r="160" spans="1:4" x14ac:dyDescent="0.25">
      <c r="A160" s="379">
        <v>45778.584722222222</v>
      </c>
      <c r="B160" s="382" t="s">
        <v>652</v>
      </c>
      <c r="C160" s="377" t="s">
        <v>4750</v>
      </c>
      <c r="D160" s="6" t="str">
        <f>_xlfn.XLOOKUP(B160,Indices!$A$2:$A$2676,Indices!$B$2:$B$2676,"")</f>
        <v>SP500</v>
      </c>
    </row>
    <row r="161" spans="1:4" x14ac:dyDescent="0.25">
      <c r="A161" s="379">
        <v>45778.585416666669</v>
      </c>
      <c r="B161" s="382" t="s">
        <v>742</v>
      </c>
      <c r="C161" s="377" t="s">
        <v>4751</v>
      </c>
      <c r="D161" s="6" t="str">
        <f>_xlfn.XLOOKUP(B161,Indices!$A$2:$A$2676,Indices!$B$2:$B$2676,"")</f>
        <v>IWM</v>
      </c>
    </row>
    <row r="162" spans="1:4" x14ac:dyDescent="0.25">
      <c r="A162" s="379">
        <v>45778.586111111108</v>
      </c>
      <c r="B162" s="382" t="s">
        <v>2972</v>
      </c>
      <c r="C162" s="377" t="s">
        <v>4752</v>
      </c>
      <c r="D162" s="6" t="str">
        <f>_xlfn.XLOOKUP(B162,Indices!$A$2:$A$2676,Indices!$B$2:$B$2676,"")</f>
        <v/>
      </c>
    </row>
    <row r="163" spans="1:4" x14ac:dyDescent="0.25">
      <c r="A163" s="379">
        <v>45778.586805555555</v>
      </c>
      <c r="B163" s="382" t="s">
        <v>1316</v>
      </c>
      <c r="C163" s="377" t="s">
        <v>4753</v>
      </c>
      <c r="D163" s="6" t="str">
        <f>_xlfn.XLOOKUP(B163,Indices!$A$2:$A$2676,Indices!$B$2:$B$2676,"")</f>
        <v>SP500</v>
      </c>
    </row>
    <row r="164" spans="1:4" x14ac:dyDescent="0.25">
      <c r="A164" s="379">
        <v>45778.586805555555</v>
      </c>
      <c r="B164" s="382" t="s">
        <v>2499</v>
      </c>
      <c r="C164" s="377" t="s">
        <v>4753</v>
      </c>
      <c r="D164" s="6" t="str">
        <f>_xlfn.XLOOKUP(B164,Indices!$A$2:$A$2676,Indices!$B$2:$B$2676,"")</f>
        <v>S&amp;P Mid</v>
      </c>
    </row>
    <row r="165" spans="1:4" x14ac:dyDescent="0.25">
      <c r="A165" s="379">
        <v>45778.586805555555</v>
      </c>
      <c r="B165" s="382" t="s">
        <v>2553</v>
      </c>
      <c r="C165" s="377" t="s">
        <v>4753</v>
      </c>
      <c r="D165" s="6" t="str">
        <f>_xlfn.XLOOKUP(B165,Indices!$A$2:$A$2676,Indices!$B$2:$B$2676,"")</f>
        <v/>
      </c>
    </row>
    <row r="166" spans="1:4" x14ac:dyDescent="0.25">
      <c r="A166" s="379">
        <v>45778.586805555555</v>
      </c>
      <c r="B166" s="382" t="s">
        <v>2991</v>
      </c>
      <c r="C166" s="377" t="s">
        <v>4753</v>
      </c>
      <c r="D166" s="6" t="str">
        <f>_xlfn.XLOOKUP(B166,Indices!$A$2:$A$2676,Indices!$B$2:$B$2676,"")</f>
        <v/>
      </c>
    </row>
    <row r="167" spans="1:4" x14ac:dyDescent="0.25">
      <c r="A167" s="379">
        <v>45778.586805555555</v>
      </c>
      <c r="B167" s="382" t="s">
        <v>2561</v>
      </c>
      <c r="C167" s="377" t="s">
        <v>4753</v>
      </c>
      <c r="D167" s="6" t="str">
        <f>_xlfn.XLOOKUP(B167,Indices!$A$2:$A$2676,Indices!$B$2:$B$2676,"")</f>
        <v/>
      </c>
    </row>
    <row r="168" spans="1:4" x14ac:dyDescent="0.25">
      <c r="A168" s="379">
        <v>45778.586805555555</v>
      </c>
      <c r="B168" s="382" t="s">
        <v>716</v>
      </c>
      <c r="C168" s="377" t="s">
        <v>4753</v>
      </c>
      <c r="D168" s="6" t="str">
        <f>_xlfn.XLOOKUP(B168,Indices!$A$2:$A$2676,Indices!$B$2:$B$2676,"")</f>
        <v>IWM</v>
      </c>
    </row>
    <row r="169" spans="1:4" x14ac:dyDescent="0.25">
      <c r="A169" s="379">
        <v>45778.586805555555</v>
      </c>
      <c r="B169" s="382" t="s">
        <v>2560</v>
      </c>
      <c r="C169" s="377" t="s">
        <v>4753</v>
      </c>
      <c r="D169" s="6" t="str">
        <f>_xlfn.XLOOKUP(B169,Indices!$A$2:$A$2676,Indices!$B$2:$B$2676,"")</f>
        <v/>
      </c>
    </row>
    <row r="170" spans="1:4" x14ac:dyDescent="0.25">
      <c r="A170" s="379">
        <v>45778.586805555555</v>
      </c>
      <c r="B170" s="382" t="s">
        <v>2438</v>
      </c>
      <c r="C170" s="377" t="s">
        <v>4753</v>
      </c>
      <c r="D170" s="6" t="str">
        <f>_xlfn.XLOOKUP(B170,Indices!$A$2:$A$2676,Indices!$B$2:$B$2676,"")</f>
        <v>S&amp;P Mid</v>
      </c>
    </row>
    <row r="171" spans="1:4" x14ac:dyDescent="0.25">
      <c r="A171" s="379">
        <v>45778.586805555555</v>
      </c>
      <c r="B171" s="382" t="s">
        <v>1629</v>
      </c>
      <c r="C171" s="377" t="s">
        <v>4753</v>
      </c>
      <c r="D171" s="6" t="str">
        <f>_xlfn.XLOOKUP(B171,Indices!$A$2:$A$2676,Indices!$B$2:$B$2676,"")</f>
        <v>IWM</v>
      </c>
    </row>
    <row r="172" spans="1:4" x14ac:dyDescent="0.25">
      <c r="A172" s="379">
        <v>45778.586805555555</v>
      </c>
      <c r="B172" s="382" t="s">
        <v>3185</v>
      </c>
      <c r="C172" s="377" t="s">
        <v>4753</v>
      </c>
      <c r="D172" s="6" t="str">
        <f>_xlfn.XLOOKUP(B172,Indices!$A$2:$A$2676,Indices!$B$2:$B$2676,"")</f>
        <v/>
      </c>
    </row>
    <row r="173" spans="1:4" x14ac:dyDescent="0.25">
      <c r="A173" s="379">
        <v>45778.586805555555</v>
      </c>
      <c r="B173" s="382" t="s">
        <v>2982</v>
      </c>
      <c r="C173" s="377" t="s">
        <v>4753</v>
      </c>
      <c r="D173" s="6" t="str">
        <f>_xlfn.XLOOKUP(B173,Indices!$A$2:$A$2676,Indices!$B$2:$B$2676,"")</f>
        <v/>
      </c>
    </row>
    <row r="174" spans="1:4" x14ac:dyDescent="0.25">
      <c r="A174" s="379">
        <v>45778.586805555555</v>
      </c>
      <c r="B174" s="382" t="s">
        <v>1847</v>
      </c>
      <c r="C174" s="377" t="s">
        <v>4753</v>
      </c>
      <c r="D174" s="6" t="str">
        <f>_xlfn.XLOOKUP(B174,Indices!$A$2:$A$2676,Indices!$B$2:$B$2676,"")</f>
        <v>IWM</v>
      </c>
    </row>
    <row r="175" spans="1:4" x14ac:dyDescent="0.25">
      <c r="A175" s="379">
        <v>45778.586805555555</v>
      </c>
      <c r="B175" s="382" t="s">
        <v>2439</v>
      </c>
      <c r="C175" s="377" t="s">
        <v>4753</v>
      </c>
      <c r="D175" s="6" t="str">
        <f>_xlfn.XLOOKUP(B175,Indices!$A$2:$A$2676,Indices!$B$2:$B$2676,"")</f>
        <v>S&amp;P Mid</v>
      </c>
    </row>
    <row r="176" spans="1:4" x14ac:dyDescent="0.25">
      <c r="A176" s="379">
        <v>45778.586805555555</v>
      </c>
      <c r="B176" s="382" t="s">
        <v>2474</v>
      </c>
      <c r="C176" s="377" t="s">
        <v>4753</v>
      </c>
      <c r="D176" s="6" t="str">
        <f>_xlfn.XLOOKUP(B176,Indices!$A$2:$A$2676,Indices!$B$2:$B$2676,"")</f>
        <v>S&amp;P Mid</v>
      </c>
    </row>
    <row r="177" spans="1:4" x14ac:dyDescent="0.25">
      <c r="A177" s="379">
        <v>45778.586805555555</v>
      </c>
      <c r="B177" s="382" t="s">
        <v>2255</v>
      </c>
      <c r="C177" s="377" t="s">
        <v>4753</v>
      </c>
      <c r="D177" s="6" t="str">
        <f>_xlfn.XLOOKUP(B177,Indices!$A$2:$A$2676,Indices!$B$2:$B$2676,"")</f>
        <v>IWM</v>
      </c>
    </row>
    <row r="178" spans="1:4" x14ac:dyDescent="0.25">
      <c r="A178" s="379">
        <v>45778.586805555555</v>
      </c>
      <c r="B178" s="382" t="s">
        <v>2835</v>
      </c>
      <c r="C178" s="377" t="s">
        <v>4753</v>
      </c>
      <c r="D178" s="6" t="str">
        <f>_xlfn.XLOOKUP(B178,Indices!$A$2:$A$2676,Indices!$B$2:$B$2676,"")</f>
        <v/>
      </c>
    </row>
    <row r="179" spans="1:4" x14ac:dyDescent="0.25">
      <c r="A179" s="379">
        <v>45778.586805555555</v>
      </c>
      <c r="B179" s="382" t="s">
        <v>3358</v>
      </c>
      <c r="C179" s="377" t="s">
        <v>4753</v>
      </c>
      <c r="D179" s="6" t="str">
        <f>_xlfn.XLOOKUP(B179,Indices!$A$2:$A$2676,Indices!$B$2:$B$2676,"")</f>
        <v/>
      </c>
    </row>
    <row r="180" spans="1:4" x14ac:dyDescent="0.25">
      <c r="A180" s="379">
        <v>45778.586805555555</v>
      </c>
      <c r="B180" s="382" t="s">
        <v>1607</v>
      </c>
      <c r="C180" s="377" t="s">
        <v>4753</v>
      </c>
      <c r="D180" s="6" t="str">
        <f>_xlfn.XLOOKUP(B180,Indices!$A$2:$A$2676,Indices!$B$2:$B$2676,"")</f>
        <v>NQ100</v>
      </c>
    </row>
    <row r="181" spans="1:4" x14ac:dyDescent="0.25">
      <c r="A181" s="379">
        <v>45778.586805555555</v>
      </c>
      <c r="B181" s="382" t="s">
        <v>1028</v>
      </c>
      <c r="C181" s="377" t="s">
        <v>4753</v>
      </c>
      <c r="D181" s="6" t="str">
        <f>_xlfn.XLOOKUP(B181,Indices!$A$2:$A$2676,Indices!$B$2:$B$2676,"")</f>
        <v>IWM</v>
      </c>
    </row>
    <row r="182" spans="1:4" x14ac:dyDescent="0.25">
      <c r="A182" s="379">
        <v>45778.586805555555</v>
      </c>
      <c r="B182" s="382" t="s">
        <v>2335</v>
      </c>
      <c r="C182" s="377" t="s">
        <v>4753</v>
      </c>
      <c r="D182" s="6" t="str">
        <f>_xlfn.XLOOKUP(B182,Indices!$A$2:$A$2676,Indices!$B$2:$B$2676,"")</f>
        <v>S&amp;P Mid</v>
      </c>
    </row>
    <row r="183" spans="1:4" x14ac:dyDescent="0.25">
      <c r="A183" s="379">
        <v>45778.586805555555</v>
      </c>
      <c r="B183" s="382" t="s">
        <v>2018</v>
      </c>
      <c r="C183" s="377" t="s">
        <v>4753</v>
      </c>
      <c r="D183" s="6" t="str">
        <f>_xlfn.XLOOKUP(B183,Indices!$A$2:$A$2676,Indices!$B$2:$B$2676,"")</f>
        <v>IWM</v>
      </c>
    </row>
    <row r="184" spans="1:4" x14ac:dyDescent="0.25">
      <c r="A184" s="379">
        <v>45778.586805555555</v>
      </c>
      <c r="B184" s="382" t="s">
        <v>2486</v>
      </c>
      <c r="C184" s="377" t="s">
        <v>4753</v>
      </c>
      <c r="D184" s="6" t="str">
        <f>_xlfn.XLOOKUP(B184,Indices!$A$2:$A$2676,Indices!$B$2:$B$2676,"")</f>
        <v>S&amp;P Mid</v>
      </c>
    </row>
    <row r="185" spans="1:4" x14ac:dyDescent="0.25">
      <c r="A185" s="379">
        <v>45778.586805555555</v>
      </c>
      <c r="B185" s="382" t="s">
        <v>2983</v>
      </c>
      <c r="C185" s="377" t="s">
        <v>4753</v>
      </c>
      <c r="D185" s="6" t="str">
        <f>_xlfn.XLOOKUP(B185,Indices!$A$2:$A$2676,Indices!$B$2:$B$2676,"")</f>
        <v/>
      </c>
    </row>
    <row r="186" spans="1:4" x14ac:dyDescent="0.25">
      <c r="A186" s="379">
        <v>45778.586805555555</v>
      </c>
      <c r="B186" s="382" t="s">
        <v>3341</v>
      </c>
      <c r="C186" s="377" t="s">
        <v>4753</v>
      </c>
      <c r="D186" s="6" t="str">
        <f>_xlfn.XLOOKUP(B186,Indices!$A$2:$A$2676,Indices!$B$2:$B$2676,"")</f>
        <v/>
      </c>
    </row>
    <row r="187" spans="1:4" x14ac:dyDescent="0.25">
      <c r="A187" s="379">
        <v>45778.586805555555</v>
      </c>
      <c r="B187" s="382" t="s">
        <v>2390</v>
      </c>
      <c r="C187" s="377" t="s">
        <v>4753</v>
      </c>
      <c r="D187" s="6" t="str">
        <f>_xlfn.XLOOKUP(B187,Indices!$A$2:$A$2676,Indices!$B$2:$B$2676,"")</f>
        <v>S&amp;P Mid</v>
      </c>
    </row>
    <row r="188" spans="1:4" x14ac:dyDescent="0.25">
      <c r="A188" s="379">
        <v>45778.586805555555</v>
      </c>
      <c r="B188" s="382" t="s">
        <v>1621</v>
      </c>
      <c r="C188" s="377" t="s">
        <v>4753</v>
      </c>
      <c r="D188" s="6" t="str">
        <f>_xlfn.XLOOKUP(B188,Indices!$A$2:$A$2676,Indices!$B$2:$B$2676,"")</f>
        <v>IWM</v>
      </c>
    </row>
    <row r="189" spans="1:4" x14ac:dyDescent="0.25">
      <c r="A189" s="379">
        <v>45778.586805555555</v>
      </c>
      <c r="B189" s="382" t="s">
        <v>2555</v>
      </c>
      <c r="C189" s="377" t="s">
        <v>4753</v>
      </c>
      <c r="D189" s="6" t="str">
        <f>_xlfn.XLOOKUP(B189,Indices!$A$2:$A$2676,Indices!$B$2:$B$2676,"")</f>
        <v/>
      </c>
    </row>
    <row r="190" spans="1:4" x14ac:dyDescent="0.25">
      <c r="A190" s="379">
        <v>45778.586805555555</v>
      </c>
      <c r="B190" s="382" t="s">
        <v>752</v>
      </c>
      <c r="C190" s="377" t="s">
        <v>4753</v>
      </c>
      <c r="D190" s="6" t="str">
        <f>_xlfn.XLOOKUP(B190,Indices!$A$2:$A$2676,Indices!$B$2:$B$2676,"")</f>
        <v>IWM</v>
      </c>
    </row>
    <row r="191" spans="1:4" x14ac:dyDescent="0.25">
      <c r="A191" s="379">
        <v>45778.586805555555</v>
      </c>
      <c r="B191" s="382" t="s">
        <v>872</v>
      </c>
      <c r="C191" s="377" t="s">
        <v>4753</v>
      </c>
      <c r="D191" s="6" t="str">
        <f>_xlfn.XLOOKUP(B191,Indices!$A$2:$A$2676,Indices!$B$2:$B$2676,"")</f>
        <v>IWM</v>
      </c>
    </row>
    <row r="192" spans="1:4" x14ac:dyDescent="0.25">
      <c r="A192" s="379">
        <v>45778.586805555555</v>
      </c>
      <c r="B192" s="382" t="s">
        <v>2291</v>
      </c>
      <c r="C192" s="377" t="s">
        <v>4753</v>
      </c>
      <c r="D192" s="6" t="str">
        <f>_xlfn.XLOOKUP(B192,Indices!$A$2:$A$2676,Indices!$B$2:$B$2676,"")</f>
        <v>IWM</v>
      </c>
    </row>
    <row r="193" spans="1:4" x14ac:dyDescent="0.25">
      <c r="A193" s="379">
        <v>45778.586805555555</v>
      </c>
      <c r="B193" s="382" t="s">
        <v>3000</v>
      </c>
      <c r="C193" s="377" t="s">
        <v>4753</v>
      </c>
      <c r="D193" s="6" t="str">
        <f>_xlfn.XLOOKUP(B193,Indices!$A$2:$A$2676,Indices!$B$2:$B$2676,"")</f>
        <v/>
      </c>
    </row>
    <row r="194" spans="1:4" x14ac:dyDescent="0.25">
      <c r="A194" s="379">
        <v>45778.586805555555</v>
      </c>
      <c r="B194" s="382" t="s">
        <v>1684</v>
      </c>
      <c r="C194" s="377" t="s">
        <v>4753</v>
      </c>
      <c r="D194" s="6" t="str">
        <f>_xlfn.XLOOKUP(B194,Indices!$A$2:$A$2676,Indices!$B$2:$B$2676,"")</f>
        <v>IWM</v>
      </c>
    </row>
    <row r="195" spans="1:4" x14ac:dyDescent="0.25">
      <c r="A195" s="379">
        <v>45778.586805555555</v>
      </c>
      <c r="B195" s="382" t="s">
        <v>1810</v>
      </c>
      <c r="C195" s="377" t="s">
        <v>4753</v>
      </c>
      <c r="D195" s="6" t="str">
        <f>_xlfn.XLOOKUP(B195,Indices!$A$2:$A$2676,Indices!$B$2:$B$2676,"")</f>
        <v>IWM</v>
      </c>
    </row>
    <row r="196" spans="1:4" x14ac:dyDescent="0.25">
      <c r="A196" s="379">
        <v>45778.586805555555</v>
      </c>
      <c r="B196" s="382" t="s">
        <v>2153</v>
      </c>
      <c r="C196" s="377" t="s">
        <v>4753</v>
      </c>
      <c r="D196" s="6" t="str">
        <f>_xlfn.XLOOKUP(B196,Indices!$A$2:$A$2676,Indices!$B$2:$B$2676,"")</f>
        <v>IWM</v>
      </c>
    </row>
    <row r="197" spans="1:4" x14ac:dyDescent="0.25">
      <c r="A197" s="379">
        <v>45778.586805555555</v>
      </c>
      <c r="B197" s="382" t="s">
        <v>1824</v>
      </c>
      <c r="C197" s="377" t="s">
        <v>4753</v>
      </c>
      <c r="D197" s="6" t="str">
        <f>_xlfn.XLOOKUP(B197,Indices!$A$2:$A$2676,Indices!$B$2:$B$2676,"")</f>
        <v>IWM</v>
      </c>
    </row>
    <row r="198" spans="1:4" x14ac:dyDescent="0.25">
      <c r="A198" s="379">
        <v>45778.586805555555</v>
      </c>
      <c r="B198" s="382" t="s">
        <v>1875</v>
      </c>
      <c r="C198" s="377" t="s">
        <v>4753</v>
      </c>
      <c r="D198" s="6" t="str">
        <f>_xlfn.XLOOKUP(B198,Indices!$A$2:$A$2676,Indices!$B$2:$B$2676,"")</f>
        <v>IWM</v>
      </c>
    </row>
    <row r="199" spans="1:4" x14ac:dyDescent="0.25">
      <c r="A199" s="379">
        <v>45778.586805555555</v>
      </c>
      <c r="B199" s="382" t="s">
        <v>711</v>
      </c>
      <c r="C199" s="377" t="s">
        <v>4753</v>
      </c>
      <c r="D199" s="6" t="str">
        <f>_xlfn.XLOOKUP(B199,Indices!$A$2:$A$2676,Indices!$B$2:$B$2676,"")</f>
        <v>IWM</v>
      </c>
    </row>
    <row r="200" spans="1:4" x14ac:dyDescent="0.25">
      <c r="A200" s="379">
        <v>45778.586805555555</v>
      </c>
      <c r="B200" s="382" t="s">
        <v>4754</v>
      </c>
      <c r="C200" s="377" t="s">
        <v>4753</v>
      </c>
      <c r="D200" s="6" t="str">
        <f>_xlfn.XLOOKUP(B200,Indices!$A$2:$A$2676,Indices!$B$2:$B$2676,"")</f>
        <v/>
      </c>
    </row>
    <row r="201" spans="1:4" x14ac:dyDescent="0.25">
      <c r="A201" s="379">
        <v>45778.586805555555</v>
      </c>
      <c r="B201" s="382" t="s">
        <v>3657</v>
      </c>
      <c r="C201" s="377" t="s">
        <v>4753</v>
      </c>
      <c r="D201" s="6" t="str">
        <f>_xlfn.XLOOKUP(B201,Indices!$A$2:$A$2676,Indices!$B$2:$B$2676,"")</f>
        <v/>
      </c>
    </row>
    <row r="202" spans="1:4" x14ac:dyDescent="0.25">
      <c r="A202" s="379">
        <v>45778.586805555555</v>
      </c>
      <c r="B202" s="382" t="s">
        <v>2382</v>
      </c>
      <c r="C202" s="377" t="s">
        <v>4753</v>
      </c>
      <c r="D202" s="6" t="str">
        <f>_xlfn.XLOOKUP(B202,Indices!$A$2:$A$2676,Indices!$B$2:$B$2676,"")</f>
        <v>S&amp;P Mid</v>
      </c>
    </row>
    <row r="203" spans="1:4" x14ac:dyDescent="0.25">
      <c r="A203" s="379">
        <v>45778.586805555555</v>
      </c>
      <c r="B203" s="382" t="s">
        <v>2996</v>
      </c>
      <c r="C203" s="377" t="s">
        <v>4753</v>
      </c>
      <c r="D203" s="6" t="str">
        <f>_xlfn.XLOOKUP(B203,Indices!$A$2:$A$2676,Indices!$B$2:$B$2676,"")</f>
        <v/>
      </c>
    </row>
    <row r="204" spans="1:4" x14ac:dyDescent="0.25">
      <c r="A204" s="379">
        <v>45778.586805555555</v>
      </c>
      <c r="B204" s="382" t="s">
        <v>1484</v>
      </c>
      <c r="C204" s="377" t="s">
        <v>4753</v>
      </c>
      <c r="D204" s="6" t="str">
        <f>_xlfn.XLOOKUP(B204,Indices!$A$2:$A$2676,Indices!$B$2:$B$2676,"")</f>
        <v>SP500</v>
      </c>
    </row>
    <row r="205" spans="1:4" x14ac:dyDescent="0.25">
      <c r="A205" s="379">
        <v>45778.586805555555</v>
      </c>
      <c r="B205" s="382" t="s">
        <v>2200</v>
      </c>
      <c r="C205" s="377" t="s">
        <v>4753</v>
      </c>
      <c r="D205" s="6" t="str">
        <f>_xlfn.XLOOKUP(B205,Indices!$A$2:$A$2676,Indices!$B$2:$B$2676,"")</f>
        <v>IWM</v>
      </c>
    </row>
    <row r="206" spans="1:4" x14ac:dyDescent="0.25">
      <c r="A206" s="379">
        <v>45778.586805555555</v>
      </c>
      <c r="B206" s="382" t="s">
        <v>698</v>
      </c>
      <c r="C206" s="377" t="s">
        <v>4753</v>
      </c>
      <c r="D206" s="6" t="str">
        <f>_xlfn.XLOOKUP(B206,Indices!$A$2:$A$2676,Indices!$B$2:$B$2676,"")</f>
        <v>IWM</v>
      </c>
    </row>
    <row r="207" spans="1:4" x14ac:dyDescent="0.25">
      <c r="A207" s="379">
        <v>45778.586805555555</v>
      </c>
      <c r="B207" s="382" t="s">
        <v>2011</v>
      </c>
      <c r="C207" s="377" t="s">
        <v>4753</v>
      </c>
      <c r="D207" s="6" t="str">
        <f>_xlfn.XLOOKUP(B207,Indices!$A$2:$A$2676,Indices!$B$2:$B$2676,"")</f>
        <v>IWM</v>
      </c>
    </row>
    <row r="208" spans="1:4" x14ac:dyDescent="0.25">
      <c r="A208" s="379">
        <v>45778.587500000001</v>
      </c>
      <c r="B208" s="382" t="s">
        <v>769</v>
      </c>
      <c r="C208" s="377" t="s">
        <v>4755</v>
      </c>
      <c r="D208" s="6" t="str">
        <f>_xlfn.XLOOKUP(B208,Indices!$A$2:$A$2676,Indices!$B$2:$B$2676,"")</f>
        <v>IWM</v>
      </c>
    </row>
    <row r="209" spans="1:4" x14ac:dyDescent="0.25">
      <c r="A209" s="379">
        <v>45778.587500000001</v>
      </c>
      <c r="B209" s="382" t="s">
        <v>3192</v>
      </c>
      <c r="C209" s="377" t="s">
        <v>4755</v>
      </c>
      <c r="D209" s="6" t="str">
        <f>_xlfn.XLOOKUP(B209,Indices!$A$2:$A$2676,Indices!$B$2:$B$2676,"")</f>
        <v/>
      </c>
    </row>
    <row r="210" spans="1:4" x14ac:dyDescent="0.25">
      <c r="A210" s="379">
        <v>45778.587500000001</v>
      </c>
      <c r="B210" s="382" t="s">
        <v>770</v>
      </c>
      <c r="C210" s="377" t="s">
        <v>4755</v>
      </c>
      <c r="D210" s="6" t="str">
        <f>_xlfn.XLOOKUP(B210,Indices!$A$2:$A$2676,Indices!$B$2:$B$2676,"")</f>
        <v>IWM</v>
      </c>
    </row>
    <row r="211" spans="1:4" x14ac:dyDescent="0.25">
      <c r="A211" s="379">
        <v>45778.588194444441</v>
      </c>
      <c r="B211" s="382" t="s">
        <v>873</v>
      </c>
      <c r="C211" s="377" t="s">
        <v>4756</v>
      </c>
      <c r="D211" s="6" t="str">
        <f>_xlfn.XLOOKUP(B211,Indices!$A$2:$A$2676,Indices!$B$2:$B$2676,"")</f>
        <v>SP500</v>
      </c>
    </row>
    <row r="212" spans="1:4" x14ac:dyDescent="0.25">
      <c r="A212" s="379">
        <v>45778.588194444441</v>
      </c>
      <c r="B212" s="382" t="s">
        <v>886</v>
      </c>
      <c r="C212" s="377" t="s">
        <v>4756</v>
      </c>
      <c r="D212" s="6" t="str">
        <f>_xlfn.XLOOKUP(B212,Indices!$A$2:$A$2676,Indices!$B$2:$B$2676,"")</f>
        <v>IWM</v>
      </c>
    </row>
    <row r="213" spans="1:4" x14ac:dyDescent="0.25">
      <c r="A213" s="379">
        <v>45778.589583333334</v>
      </c>
      <c r="B213" s="382" t="s">
        <v>2984</v>
      </c>
      <c r="C213" s="377" t="s">
        <v>4757</v>
      </c>
      <c r="D213" s="6" t="str">
        <f>_xlfn.XLOOKUP(B213,Indices!$A$2:$A$2676,Indices!$B$2:$B$2676,"")</f>
        <v/>
      </c>
    </row>
    <row r="214" spans="1:4" x14ac:dyDescent="0.25">
      <c r="A214" s="379">
        <v>45778.589583333334</v>
      </c>
      <c r="B214" s="382" t="s">
        <v>1883</v>
      </c>
      <c r="C214" s="377" t="s">
        <v>4757</v>
      </c>
      <c r="D214" s="6" t="str">
        <f>_xlfn.XLOOKUP(B214,Indices!$A$2:$A$2676,Indices!$B$2:$B$2676,"")</f>
        <v>IWM</v>
      </c>
    </row>
    <row r="215" spans="1:4" x14ac:dyDescent="0.25">
      <c r="A215" s="379">
        <v>45778.590277777781</v>
      </c>
      <c r="B215" s="382" t="s">
        <v>1970</v>
      </c>
      <c r="C215" s="377" t="s">
        <v>4758</v>
      </c>
      <c r="D215" s="6" t="str">
        <f>_xlfn.XLOOKUP(B215,Indices!$A$2:$A$2676,Indices!$B$2:$B$2676,"")</f>
        <v>IWM</v>
      </c>
    </row>
    <row r="216" spans="1:4" x14ac:dyDescent="0.25">
      <c r="A216" s="379">
        <v>45778.590277777781</v>
      </c>
      <c r="B216" s="382" t="s">
        <v>776</v>
      </c>
      <c r="C216" s="377" t="s">
        <v>4758</v>
      </c>
      <c r="D216" s="6" t="str">
        <f>_xlfn.XLOOKUP(B216,Indices!$A$2:$A$2676,Indices!$B$2:$B$2676,"")</f>
        <v>SP500</v>
      </c>
    </row>
    <row r="217" spans="1:4" x14ac:dyDescent="0.25">
      <c r="A217" s="379">
        <v>45778.590277777781</v>
      </c>
      <c r="B217" s="382" t="s">
        <v>2803</v>
      </c>
      <c r="C217" s="377" t="s">
        <v>4758</v>
      </c>
      <c r="D217" s="6" t="str">
        <f>_xlfn.XLOOKUP(B217,Indices!$A$2:$A$2676,Indices!$B$2:$B$2676,"")</f>
        <v/>
      </c>
    </row>
    <row r="218" spans="1:4" x14ac:dyDescent="0.25">
      <c r="A218" s="379">
        <v>45778.590277777781</v>
      </c>
      <c r="B218" s="382" t="s">
        <v>2129</v>
      </c>
      <c r="C218" s="377" t="s">
        <v>4758</v>
      </c>
      <c r="D218" s="6" t="str">
        <f>_xlfn.XLOOKUP(B218,Indices!$A$2:$A$2676,Indices!$B$2:$B$2676,"")</f>
        <v>IWM</v>
      </c>
    </row>
    <row r="219" spans="1:4" x14ac:dyDescent="0.25">
      <c r="A219" s="379">
        <v>45778.593055555553</v>
      </c>
      <c r="B219" s="382" t="s">
        <v>1677</v>
      </c>
      <c r="C219" s="377" t="s">
        <v>4760</v>
      </c>
      <c r="D219" s="6" t="str">
        <f>_xlfn.XLOOKUP(B219,Indices!$A$2:$A$2676,Indices!$B$2:$B$2676,"")</f>
        <v>IWM</v>
      </c>
    </row>
    <row r="220" spans="1:4" x14ac:dyDescent="0.25">
      <c r="A220" s="379">
        <v>45778.593055555553</v>
      </c>
      <c r="B220" s="382" t="s">
        <v>4759</v>
      </c>
      <c r="C220" s="377" t="s">
        <v>4760</v>
      </c>
      <c r="D220" s="6" t="str">
        <f>_xlfn.XLOOKUP(B220,Indices!$A$2:$A$2676,Indices!$B$2:$B$2676,"")</f>
        <v/>
      </c>
    </row>
    <row r="221" spans="1:4" x14ac:dyDescent="0.25">
      <c r="A221" s="379">
        <v>45778.59375</v>
      </c>
      <c r="B221" s="382" t="s">
        <v>2201</v>
      </c>
      <c r="C221" s="377" t="s">
        <v>4761</v>
      </c>
      <c r="D221" s="6" t="str">
        <f>_xlfn.XLOOKUP(B221,Indices!$A$2:$A$2676,Indices!$B$2:$B$2676,"")</f>
        <v>IWM</v>
      </c>
    </row>
    <row r="222" spans="1:4" x14ac:dyDescent="0.25">
      <c r="A222" s="379">
        <v>45778.59375</v>
      </c>
      <c r="B222" s="382" t="s">
        <v>1040</v>
      </c>
      <c r="C222" s="377" t="s">
        <v>4761</v>
      </c>
      <c r="D222" s="6" t="str">
        <f>_xlfn.XLOOKUP(B222,Indices!$A$2:$A$2676,Indices!$B$2:$B$2676,"")</f>
        <v>IWM</v>
      </c>
    </row>
    <row r="223" spans="1:4" x14ac:dyDescent="0.25">
      <c r="A223" s="379">
        <v>45778.59375</v>
      </c>
      <c r="B223" s="382" t="s">
        <v>2459</v>
      </c>
      <c r="C223" s="377" t="s">
        <v>4761</v>
      </c>
      <c r="D223" s="6" t="str">
        <f>_xlfn.XLOOKUP(B223,Indices!$A$2:$A$2676,Indices!$B$2:$B$2676,"")</f>
        <v>S&amp;P Mid</v>
      </c>
    </row>
    <row r="224" spans="1:4" x14ac:dyDescent="0.25">
      <c r="A224" s="379">
        <v>45778.59375</v>
      </c>
      <c r="B224" s="382" t="s">
        <v>127</v>
      </c>
      <c r="C224" s="377" t="s">
        <v>4761</v>
      </c>
      <c r="D224" s="6" t="str">
        <f>_xlfn.XLOOKUP(B224,Indices!$A$2:$A$2676,Indices!$B$2:$B$2676,"")</f>
        <v>IWM</v>
      </c>
    </row>
    <row r="225" spans="1:4" x14ac:dyDescent="0.25">
      <c r="A225" s="379">
        <v>45778.59375</v>
      </c>
      <c r="B225" s="382" t="s">
        <v>2454</v>
      </c>
      <c r="C225" s="377" t="s">
        <v>4762</v>
      </c>
      <c r="D225" s="6" t="str">
        <f>_xlfn.XLOOKUP(B225,Indices!$A$2:$A$2676,Indices!$B$2:$B$2676,"")</f>
        <v>S&amp;P Mid</v>
      </c>
    </row>
    <row r="226" spans="1:4" x14ac:dyDescent="0.25">
      <c r="A226" s="379">
        <v>45778.59375</v>
      </c>
      <c r="B226" s="382" t="s">
        <v>150</v>
      </c>
      <c r="C226" s="377" t="s">
        <v>4761</v>
      </c>
      <c r="D226" s="6" t="str">
        <f>_xlfn.XLOOKUP(B226,Indices!$A$2:$A$2676,Indices!$B$2:$B$2676,"")</f>
        <v>IWM</v>
      </c>
    </row>
    <row r="227" spans="1:4" x14ac:dyDescent="0.25">
      <c r="A227" s="379">
        <v>45778.59375</v>
      </c>
      <c r="B227" s="382" t="s">
        <v>2476</v>
      </c>
      <c r="C227" s="377" t="s">
        <v>4761</v>
      </c>
      <c r="D227" s="6" t="str">
        <f>_xlfn.XLOOKUP(B227,Indices!$A$2:$A$2676,Indices!$B$2:$B$2676,"")</f>
        <v>S&amp;P Mid</v>
      </c>
    </row>
    <row r="228" spans="1:4" x14ac:dyDescent="0.25">
      <c r="A228" s="379">
        <v>45778.59375</v>
      </c>
      <c r="B228" s="382" t="s">
        <v>129</v>
      </c>
      <c r="C228" s="377" t="s">
        <v>4761</v>
      </c>
      <c r="D228" s="6" t="str">
        <f>_xlfn.XLOOKUP(B228,Indices!$A$2:$A$2676,Indices!$B$2:$B$2676,"")</f>
        <v>IWM</v>
      </c>
    </row>
    <row r="229" spans="1:4" x14ac:dyDescent="0.25">
      <c r="A229" s="379">
        <v>45778.59375</v>
      </c>
      <c r="B229" s="382" t="s">
        <v>1675</v>
      </c>
      <c r="C229" s="377" t="s">
        <v>4761</v>
      </c>
      <c r="D229" s="6" t="str">
        <f>_xlfn.XLOOKUP(B229,Indices!$A$2:$A$2676,Indices!$B$2:$B$2676,"")</f>
        <v>IWM</v>
      </c>
    </row>
    <row r="230" spans="1:4" x14ac:dyDescent="0.25">
      <c r="A230" s="379">
        <v>45778.59375</v>
      </c>
      <c r="B230" s="382" t="s">
        <v>2313</v>
      </c>
      <c r="C230" s="377" t="s">
        <v>4761</v>
      </c>
      <c r="D230" s="6" t="str">
        <f>_xlfn.XLOOKUP(B230,Indices!$A$2:$A$2676,Indices!$B$2:$B$2676,"")</f>
        <v>IWM</v>
      </c>
    </row>
    <row r="231" spans="1:4" x14ac:dyDescent="0.25">
      <c r="A231" s="379">
        <v>45778.59375</v>
      </c>
      <c r="B231" s="382" t="s">
        <v>1577</v>
      </c>
      <c r="C231" s="377" t="s">
        <v>4761</v>
      </c>
      <c r="D231" s="6" t="str">
        <f>_xlfn.XLOOKUP(B231,Indices!$A$2:$A$2676,Indices!$B$2:$B$2676,"")</f>
        <v>SP500</v>
      </c>
    </row>
    <row r="232" spans="1:4" x14ac:dyDescent="0.25">
      <c r="A232" s="379">
        <v>45778.59375</v>
      </c>
      <c r="B232" s="382" t="s">
        <v>1592</v>
      </c>
      <c r="C232" s="377" t="s">
        <v>4761</v>
      </c>
      <c r="D232" s="6" t="str">
        <f>_xlfn.XLOOKUP(B232,Indices!$A$2:$A$2676,Indices!$B$2:$B$2676,"")</f>
        <v>SP500</v>
      </c>
    </row>
    <row r="233" spans="1:4" x14ac:dyDescent="0.25">
      <c r="A233" s="379">
        <v>45778.59375</v>
      </c>
      <c r="B233" s="382" t="s">
        <v>1379</v>
      </c>
      <c r="C233" s="377" t="s">
        <v>4761</v>
      </c>
      <c r="D233" s="6" t="str">
        <f>_xlfn.XLOOKUP(B233,Indices!$A$2:$A$2676,Indices!$B$2:$B$2676,"")</f>
        <v>SP500</v>
      </c>
    </row>
    <row r="234" spans="1:4" x14ac:dyDescent="0.25">
      <c r="A234" s="379">
        <v>45778.59375</v>
      </c>
      <c r="B234" s="382" t="s">
        <v>800</v>
      </c>
      <c r="C234" s="377" t="s">
        <v>4761</v>
      </c>
      <c r="D234" s="6" t="str">
        <f>_xlfn.XLOOKUP(B234,Indices!$A$2:$A$2676,Indices!$B$2:$B$2676,"")</f>
        <v>IWM</v>
      </c>
    </row>
    <row r="235" spans="1:4" x14ac:dyDescent="0.25">
      <c r="A235" s="379">
        <v>45778.59375</v>
      </c>
      <c r="B235" s="382" t="s">
        <v>452</v>
      </c>
      <c r="C235" s="377" t="s">
        <v>4761</v>
      </c>
      <c r="D235" s="6" t="str">
        <f>_xlfn.XLOOKUP(B235,Indices!$A$2:$A$2676,Indices!$B$2:$B$2676,"")</f>
        <v>IWM</v>
      </c>
    </row>
    <row r="236" spans="1:4" x14ac:dyDescent="0.25">
      <c r="A236" s="379">
        <v>45778.59375</v>
      </c>
      <c r="B236" s="382" t="s">
        <v>2391</v>
      </c>
      <c r="C236" s="377" t="s">
        <v>4761</v>
      </c>
      <c r="D236" s="6" t="str">
        <f>_xlfn.XLOOKUP(B236,Indices!$A$2:$A$2676,Indices!$B$2:$B$2676,"")</f>
        <v>S&amp;P Mid</v>
      </c>
    </row>
    <row r="237" spans="1:4" x14ac:dyDescent="0.25">
      <c r="A237" s="379">
        <v>45778.59375</v>
      </c>
      <c r="B237" s="382" t="s">
        <v>1842</v>
      </c>
      <c r="C237" s="377" t="s">
        <v>4761</v>
      </c>
      <c r="D237" s="6" t="str">
        <f>_xlfn.XLOOKUP(B237,Indices!$A$2:$A$2676,Indices!$B$2:$B$2676,"")</f>
        <v>IWM</v>
      </c>
    </row>
    <row r="238" spans="1:4" x14ac:dyDescent="0.25">
      <c r="A238" s="379">
        <v>45778.59375</v>
      </c>
      <c r="B238" s="382" t="s">
        <v>790</v>
      </c>
      <c r="C238" s="377" t="s">
        <v>4761</v>
      </c>
      <c r="D238" s="6" t="str">
        <f>_xlfn.XLOOKUP(B238,Indices!$A$2:$A$2676,Indices!$B$2:$B$2676,"")</f>
        <v>SP500</v>
      </c>
    </row>
    <row r="239" spans="1:4" x14ac:dyDescent="0.25">
      <c r="A239" s="379">
        <v>45778.59375</v>
      </c>
      <c r="B239" s="382" t="s">
        <v>2386</v>
      </c>
      <c r="C239" s="377" t="s">
        <v>4761</v>
      </c>
      <c r="D239" s="6" t="str">
        <f>_xlfn.XLOOKUP(B239,Indices!$A$2:$A$2676,Indices!$B$2:$B$2676,"")</f>
        <v>S&amp;P Mid</v>
      </c>
    </row>
    <row r="240" spans="1:4" x14ac:dyDescent="0.25">
      <c r="A240" s="379">
        <v>45778.59375</v>
      </c>
      <c r="B240" s="382" t="s">
        <v>2004</v>
      </c>
      <c r="C240" s="377" t="s">
        <v>4761</v>
      </c>
      <c r="D240" s="6" t="str">
        <f>_xlfn.XLOOKUP(B240,Indices!$A$2:$A$2676,Indices!$B$2:$B$2676,"")</f>
        <v>IWM</v>
      </c>
    </row>
    <row r="241" spans="1:4" x14ac:dyDescent="0.25">
      <c r="A241" s="379">
        <v>45778.59375</v>
      </c>
      <c r="B241" s="382" t="s">
        <v>2415</v>
      </c>
      <c r="C241" s="377" t="s">
        <v>4761</v>
      </c>
      <c r="D241" s="6" t="str">
        <f>_xlfn.XLOOKUP(B241,Indices!$A$2:$A$2676,Indices!$B$2:$B$2676,"")</f>
        <v>S&amp;P Mid</v>
      </c>
    </row>
    <row r="242" spans="1:4" x14ac:dyDescent="0.25">
      <c r="A242" s="379">
        <v>45778.59375</v>
      </c>
      <c r="B242" s="382" t="s">
        <v>135</v>
      </c>
      <c r="C242" s="377" t="s">
        <v>4761</v>
      </c>
      <c r="D242" s="6" t="str">
        <f>_xlfn.XLOOKUP(B242,Indices!$A$2:$A$2676,Indices!$B$2:$B$2676,"")</f>
        <v>SP500</v>
      </c>
    </row>
    <row r="243" spans="1:4" x14ac:dyDescent="0.25">
      <c r="A243" s="379">
        <v>45778.59375</v>
      </c>
      <c r="B243" s="382" t="s">
        <v>1978</v>
      </c>
      <c r="C243" s="377" t="s">
        <v>4761</v>
      </c>
      <c r="D243" s="6" t="str">
        <f>_xlfn.XLOOKUP(B243,Indices!$A$2:$A$2676,Indices!$B$2:$B$2676,"")</f>
        <v>IWM</v>
      </c>
    </row>
    <row r="244" spans="1:4" x14ac:dyDescent="0.25">
      <c r="A244" s="379">
        <v>45778.59375</v>
      </c>
      <c r="B244" s="382" t="s">
        <v>2250</v>
      </c>
      <c r="C244" s="377" t="s">
        <v>4761</v>
      </c>
      <c r="D244" s="6" t="str">
        <f>_xlfn.XLOOKUP(B244,Indices!$A$2:$A$2676,Indices!$B$2:$B$2676,"")</f>
        <v>IWM</v>
      </c>
    </row>
    <row r="245" spans="1:4" x14ac:dyDescent="0.25">
      <c r="A245" s="379">
        <v>45778.59375</v>
      </c>
      <c r="B245" s="382" t="s">
        <v>3628</v>
      </c>
      <c r="C245" s="377" t="s">
        <v>4761</v>
      </c>
      <c r="D245" s="6" t="str">
        <f>_xlfn.XLOOKUP(B245,Indices!$A$2:$A$2676,Indices!$B$2:$B$2676,"")</f>
        <v/>
      </c>
    </row>
    <row r="246" spans="1:4" x14ac:dyDescent="0.25">
      <c r="A246" s="379">
        <v>45778.59375</v>
      </c>
      <c r="B246" s="382" t="s">
        <v>2739</v>
      </c>
      <c r="C246" s="377" t="s">
        <v>4761</v>
      </c>
      <c r="D246" s="6" t="str">
        <f>_xlfn.XLOOKUP(B246,Indices!$A$2:$A$2676,Indices!$B$2:$B$2676,"")</f>
        <v/>
      </c>
    </row>
    <row r="247" spans="1:4" x14ac:dyDescent="0.25">
      <c r="A247" s="379">
        <v>45778.59375</v>
      </c>
      <c r="B247" s="382" t="s">
        <v>788</v>
      </c>
      <c r="C247" s="377" t="s">
        <v>4761</v>
      </c>
      <c r="D247" s="6" t="str">
        <f>_xlfn.XLOOKUP(B247,Indices!$A$2:$A$2676,Indices!$B$2:$B$2676,"")</f>
        <v>IWM</v>
      </c>
    </row>
    <row r="248" spans="1:4" x14ac:dyDescent="0.25">
      <c r="A248" s="379">
        <v>45778.59375</v>
      </c>
      <c r="B248" s="382" t="s">
        <v>460</v>
      </c>
      <c r="C248" s="377" t="s">
        <v>4761</v>
      </c>
      <c r="D248" s="6" t="str">
        <f>_xlfn.XLOOKUP(B248,Indices!$A$2:$A$2676,Indices!$B$2:$B$2676,"")</f>
        <v>IWM</v>
      </c>
    </row>
    <row r="249" spans="1:4" x14ac:dyDescent="0.25">
      <c r="A249" s="379">
        <v>45778.59375</v>
      </c>
      <c r="B249" s="382" t="s">
        <v>254</v>
      </c>
      <c r="C249" s="377" t="s">
        <v>4761</v>
      </c>
      <c r="D249" s="6" t="str">
        <f>_xlfn.XLOOKUP(B249,Indices!$A$2:$A$2676,Indices!$B$2:$B$2676,"")</f>
        <v>IWM</v>
      </c>
    </row>
    <row r="250" spans="1:4" x14ac:dyDescent="0.25">
      <c r="A250" s="379">
        <v>45778.59375</v>
      </c>
      <c r="B250" s="382" t="s">
        <v>1093</v>
      </c>
      <c r="C250" s="377" t="s">
        <v>4761</v>
      </c>
      <c r="D250" s="6" t="str">
        <f>_xlfn.XLOOKUP(B250,Indices!$A$2:$A$2676,Indices!$B$2:$B$2676,"")</f>
        <v>S&amp;P Mid</v>
      </c>
    </row>
    <row r="251" spans="1:4" x14ac:dyDescent="0.25">
      <c r="A251" s="379">
        <v>45778.59375</v>
      </c>
      <c r="B251" s="382" t="s">
        <v>2367</v>
      </c>
      <c r="C251" s="377" t="s">
        <v>4761</v>
      </c>
      <c r="D251" s="6" t="str">
        <f>_xlfn.XLOOKUP(B251,Indices!$A$2:$A$2676,Indices!$B$2:$B$2676,"")</f>
        <v>S&amp;P Mid</v>
      </c>
    </row>
    <row r="252" spans="1:4" x14ac:dyDescent="0.25">
      <c r="A252" s="379">
        <v>45778.59375</v>
      </c>
      <c r="B252" s="382" t="s">
        <v>1567</v>
      </c>
      <c r="C252" s="377" t="s">
        <v>4761</v>
      </c>
      <c r="D252" s="6" t="str">
        <f>_xlfn.XLOOKUP(B252,Indices!$A$2:$A$2676,Indices!$B$2:$B$2676,"")</f>
        <v>SP500</v>
      </c>
    </row>
    <row r="253" spans="1:4" x14ac:dyDescent="0.25">
      <c r="A253" s="379">
        <v>45778.594444444447</v>
      </c>
      <c r="B253" s="382" t="s">
        <v>141</v>
      </c>
      <c r="C253" s="377" t="s">
        <v>4763</v>
      </c>
      <c r="D253" s="6" t="str">
        <f>_xlfn.XLOOKUP(B253,Indices!$A$2:$A$2676,Indices!$B$2:$B$2676,"")</f>
        <v>SP500</v>
      </c>
    </row>
    <row r="254" spans="1:4" x14ac:dyDescent="0.25">
      <c r="A254" s="379">
        <v>45778.595138888886</v>
      </c>
      <c r="B254" s="382" t="s">
        <v>2418</v>
      </c>
      <c r="C254" s="377" t="s">
        <v>4764</v>
      </c>
      <c r="D254" s="6" t="str">
        <f>_xlfn.XLOOKUP(B254,Indices!$A$2:$A$2676,Indices!$B$2:$B$2676,"")</f>
        <v>S&amp;P Mid</v>
      </c>
    </row>
    <row r="255" spans="1:4" x14ac:dyDescent="0.25">
      <c r="A255" s="379">
        <v>45778.595138888886</v>
      </c>
      <c r="B255" s="382" t="s">
        <v>2381</v>
      </c>
      <c r="C255" s="377" t="s">
        <v>4764</v>
      </c>
      <c r="D255" s="6" t="str">
        <f>_xlfn.XLOOKUP(B255,Indices!$A$2:$A$2676,Indices!$B$2:$B$2676,"")</f>
        <v>S&amp;P Mid</v>
      </c>
    </row>
    <row r="256" spans="1:4" x14ac:dyDescent="0.25">
      <c r="A256" s="379">
        <v>45778.597222222219</v>
      </c>
      <c r="B256" s="382" t="s">
        <v>4765</v>
      </c>
      <c r="C256" s="377" t="s">
        <v>4766</v>
      </c>
      <c r="D256" s="6" t="str">
        <f>_xlfn.XLOOKUP(B256,Indices!$A$2:$A$2676,Indices!$B$2:$B$2676,"")</f>
        <v/>
      </c>
    </row>
    <row r="257" spans="1:4" x14ac:dyDescent="0.25">
      <c r="A257" s="379">
        <v>45778.597222222219</v>
      </c>
      <c r="B257" s="382" t="s">
        <v>4767</v>
      </c>
      <c r="C257" s="377" t="s">
        <v>4766</v>
      </c>
      <c r="D257" s="6" t="str">
        <f>_xlfn.XLOOKUP(B257,Indices!$A$2:$A$2676,Indices!$B$2:$B$2676,"")</f>
        <v/>
      </c>
    </row>
    <row r="258" spans="1:4" x14ac:dyDescent="0.25">
      <c r="A258" s="379">
        <v>45778.6</v>
      </c>
      <c r="B258" s="382" t="s">
        <v>2799</v>
      </c>
      <c r="C258" s="377" t="s">
        <v>4768</v>
      </c>
      <c r="D258" s="6" t="str">
        <f>_xlfn.XLOOKUP(B258,Indices!$A$2:$A$2676,Indices!$B$2:$B$2676,"")</f>
        <v/>
      </c>
    </row>
    <row r="259" spans="1:4" x14ac:dyDescent="0.25">
      <c r="A259" s="379">
        <v>45778.604166666664</v>
      </c>
      <c r="B259" s="382" t="s">
        <v>1735</v>
      </c>
      <c r="C259" s="377" t="s">
        <v>4769</v>
      </c>
      <c r="D259" s="6" t="str">
        <f>_xlfn.XLOOKUP(B259,Indices!$A$2:$A$2676,Indices!$B$2:$B$2676,"")</f>
        <v>IWM</v>
      </c>
    </row>
    <row r="260" spans="1:4" x14ac:dyDescent="0.25">
      <c r="A260" s="379">
        <v>45778.604166666664</v>
      </c>
      <c r="B260" s="382" t="s">
        <v>1713</v>
      </c>
      <c r="C260" s="377" t="s">
        <v>4769</v>
      </c>
      <c r="D260" s="6" t="str">
        <f>_xlfn.XLOOKUP(B260,Indices!$A$2:$A$2676,Indices!$B$2:$B$2676,"")</f>
        <v>IWM</v>
      </c>
    </row>
    <row r="261" spans="1:4" x14ac:dyDescent="0.25">
      <c r="A261" s="379">
        <v>45778.604166666664</v>
      </c>
      <c r="B261" s="382" t="s">
        <v>487</v>
      </c>
      <c r="C261" s="377" t="s">
        <v>4769</v>
      </c>
      <c r="D261" s="6" t="str">
        <f>_xlfn.XLOOKUP(B261,Indices!$A$2:$A$2676,Indices!$B$2:$B$2676,"")</f>
        <v>IWM</v>
      </c>
    </row>
    <row r="262" spans="1:4" x14ac:dyDescent="0.25">
      <c r="A262" s="379">
        <v>45778.604166666664</v>
      </c>
      <c r="B262" s="382" t="s">
        <v>488</v>
      </c>
      <c r="C262" s="377" t="s">
        <v>4769</v>
      </c>
      <c r="D262" s="6" t="str">
        <f>_xlfn.XLOOKUP(B262,Indices!$A$2:$A$2676,Indices!$B$2:$B$2676,"")</f>
        <v>SP500</v>
      </c>
    </row>
    <row r="263" spans="1:4" x14ac:dyDescent="0.25">
      <c r="A263" s="379">
        <v>45778.604166666664</v>
      </c>
      <c r="B263" s="382" t="s">
        <v>2973</v>
      </c>
      <c r="C263" s="377" t="s">
        <v>4769</v>
      </c>
      <c r="D263" s="6" t="str">
        <f>_xlfn.XLOOKUP(B263,Indices!$A$2:$A$2676,Indices!$B$2:$B$2676,"")</f>
        <v/>
      </c>
    </row>
    <row r="264" spans="1:4" x14ac:dyDescent="0.25">
      <c r="A264" s="379">
        <v>45778.604166666664</v>
      </c>
      <c r="B264" s="382" t="s">
        <v>1830</v>
      </c>
      <c r="C264" s="377" t="s">
        <v>4769</v>
      </c>
      <c r="D264" s="6" t="str">
        <f>_xlfn.XLOOKUP(B264,Indices!$A$2:$A$2676,Indices!$B$2:$B$2676,"")</f>
        <v>IWM</v>
      </c>
    </row>
    <row r="265" spans="1:4" x14ac:dyDescent="0.25">
      <c r="A265" s="379">
        <v>45778.604166666664</v>
      </c>
      <c r="B265" s="382" t="s">
        <v>1263</v>
      </c>
      <c r="C265" s="377" t="s">
        <v>4769</v>
      </c>
      <c r="D265" s="6" t="str">
        <f>_xlfn.XLOOKUP(B265,Indices!$A$2:$A$2676,Indices!$B$2:$B$2676,"")</f>
        <v>SP500</v>
      </c>
    </row>
    <row r="266" spans="1:4" x14ac:dyDescent="0.25">
      <c r="A266" s="379">
        <v>45778.604166666664</v>
      </c>
      <c r="B266" s="382" t="s">
        <v>1424</v>
      </c>
      <c r="C266" s="377" t="s">
        <v>4769</v>
      </c>
      <c r="D266" s="6" t="str">
        <f>_xlfn.XLOOKUP(B266,Indices!$A$2:$A$2676,Indices!$B$2:$B$2676,"")</f>
        <v>SP500</v>
      </c>
    </row>
    <row r="267" spans="1:4" x14ac:dyDescent="0.25">
      <c r="A267" s="379">
        <v>45778.604166666664</v>
      </c>
      <c r="B267" s="382" t="s">
        <v>2206</v>
      </c>
      <c r="C267" s="377" t="s">
        <v>4769</v>
      </c>
      <c r="D267" s="6" t="str">
        <f>_xlfn.XLOOKUP(B267,Indices!$A$2:$A$2676,Indices!$B$2:$B$2676,"")</f>
        <v>IWM</v>
      </c>
    </row>
    <row r="268" spans="1:4" x14ac:dyDescent="0.25">
      <c r="A268" s="379">
        <v>45778.604166666664</v>
      </c>
      <c r="B268" s="382" t="s">
        <v>2987</v>
      </c>
      <c r="C268" s="377" t="s">
        <v>4769</v>
      </c>
      <c r="D268" s="6" t="str">
        <f>_xlfn.XLOOKUP(B268,Indices!$A$2:$A$2676,Indices!$B$2:$B$2676,"")</f>
        <v/>
      </c>
    </row>
    <row r="269" spans="1:4" x14ac:dyDescent="0.25">
      <c r="A269" s="379">
        <v>45778.604166666664</v>
      </c>
      <c r="B269" s="382" t="s">
        <v>2298</v>
      </c>
      <c r="C269" s="377" t="s">
        <v>4769</v>
      </c>
      <c r="D269" s="6" t="str">
        <f>_xlfn.XLOOKUP(B269,Indices!$A$2:$A$2676,Indices!$B$2:$B$2676,"")</f>
        <v>IWM</v>
      </c>
    </row>
    <row r="270" spans="1:4" x14ac:dyDescent="0.25">
      <c r="A270" s="379">
        <v>45778.604166666664</v>
      </c>
      <c r="B270" s="382" t="s">
        <v>810</v>
      </c>
      <c r="C270" s="377" t="s">
        <v>4769</v>
      </c>
      <c r="D270" s="6" t="str">
        <f>_xlfn.XLOOKUP(B270,Indices!$A$2:$A$2676,Indices!$B$2:$B$2676,"")</f>
        <v>SP500</v>
      </c>
    </row>
    <row r="271" spans="1:4" x14ac:dyDescent="0.25">
      <c r="A271" s="379">
        <v>45778.60833333333</v>
      </c>
      <c r="B271" s="382" t="s">
        <v>3489</v>
      </c>
      <c r="C271" s="377" t="s">
        <v>4770</v>
      </c>
      <c r="D271" s="6" t="str">
        <f>_xlfn.XLOOKUP(B271,Indices!$A$2:$A$2676,Indices!$B$2:$B$2676,"")</f>
        <v/>
      </c>
    </row>
    <row r="272" spans="1:4" x14ac:dyDescent="0.25">
      <c r="A272" s="379">
        <v>45778.614583333336</v>
      </c>
      <c r="B272" s="382" t="s">
        <v>1981</v>
      </c>
      <c r="C272" s="377" t="s">
        <v>4771</v>
      </c>
      <c r="D272" s="6" t="str">
        <f>_xlfn.XLOOKUP(B272,Indices!$A$2:$A$2676,Indices!$B$2:$B$2676,"")</f>
        <v>IWM</v>
      </c>
    </row>
    <row r="273" spans="1:4" x14ac:dyDescent="0.25">
      <c r="A273" s="379">
        <v>45778.616666666669</v>
      </c>
      <c r="B273" s="382" t="s">
        <v>818</v>
      </c>
      <c r="C273" s="377" t="s">
        <v>4772</v>
      </c>
      <c r="D273" s="6" t="str">
        <f>_xlfn.XLOOKUP(B273,Indices!$A$2:$A$2676,Indices!$B$2:$B$2676,"")</f>
        <v>SP500</v>
      </c>
    </row>
    <row r="274" spans="1:4" x14ac:dyDescent="0.25">
      <c r="A274" s="379">
        <v>45778.625</v>
      </c>
      <c r="B274" s="382" t="s">
        <v>1642</v>
      </c>
      <c r="C274" s="377" t="s">
        <v>2966</v>
      </c>
      <c r="D274" s="6" t="str">
        <f>_xlfn.XLOOKUP(B274,Indices!$A$2:$A$2676,Indices!$B$2:$B$2676,"")</f>
        <v>IWM</v>
      </c>
    </row>
    <row r="275" spans="1:4" x14ac:dyDescent="0.25">
      <c r="A275" s="379">
        <v>45778.625</v>
      </c>
      <c r="B275" s="382" t="s">
        <v>4773</v>
      </c>
      <c r="C275" s="377" t="s">
        <v>4774</v>
      </c>
      <c r="D275" s="6" t="str">
        <f>_xlfn.XLOOKUP(B275,Indices!$A$2:$A$2676,Indices!$B$2:$B$2676,"")</f>
        <v/>
      </c>
    </row>
    <row r="276" spans="1:4" x14ac:dyDescent="0.25">
      <c r="A276" s="379">
        <v>45778.625</v>
      </c>
      <c r="B276" s="382" t="s">
        <v>513</v>
      </c>
      <c r="C276" s="377" t="s">
        <v>4774</v>
      </c>
      <c r="D276" s="6" t="str">
        <f>_xlfn.XLOOKUP(B276,Indices!$A$2:$A$2676,Indices!$B$2:$B$2676,"")</f>
        <v>IWM</v>
      </c>
    </row>
    <row r="277" spans="1:4" x14ac:dyDescent="0.25">
      <c r="A277" s="379">
        <v>45778.625</v>
      </c>
      <c r="B277" s="382" t="s">
        <v>1588</v>
      </c>
      <c r="C277" s="377" t="s">
        <v>4774</v>
      </c>
      <c r="D277" s="6" t="str">
        <f>_xlfn.XLOOKUP(B277,Indices!$A$2:$A$2676,Indices!$B$2:$B$2676,"")</f>
        <v>SP500</v>
      </c>
    </row>
    <row r="278" spans="1:4" x14ac:dyDescent="0.25">
      <c r="A278" s="379">
        <v>45778.625</v>
      </c>
      <c r="B278" s="382" t="s">
        <v>2863</v>
      </c>
      <c r="C278" s="377" t="s">
        <v>2966</v>
      </c>
      <c r="D278" s="6" t="str">
        <f>_xlfn.XLOOKUP(B278,Indices!$A$2:$A$2676,Indices!$B$2:$B$2676,"")</f>
        <v/>
      </c>
    </row>
    <row r="279" spans="1:4" x14ac:dyDescent="0.25">
      <c r="A279" s="379">
        <v>45778.625</v>
      </c>
      <c r="B279" s="382" t="s">
        <v>2083</v>
      </c>
      <c r="C279" s="377" t="s">
        <v>2966</v>
      </c>
      <c r="D279" s="6" t="str">
        <f>_xlfn.XLOOKUP(B279,Indices!$A$2:$A$2676,Indices!$B$2:$B$2676,"")</f>
        <v>IWM</v>
      </c>
    </row>
    <row r="280" spans="1:4" x14ac:dyDescent="0.25">
      <c r="A280" s="379">
        <v>45778.625</v>
      </c>
      <c r="B280" s="382" t="s">
        <v>3001</v>
      </c>
      <c r="C280" s="377" t="s">
        <v>4774</v>
      </c>
      <c r="D280" s="6" t="str">
        <f>_xlfn.XLOOKUP(B280,Indices!$A$2:$A$2676,Indices!$B$2:$B$2676,"")</f>
        <v/>
      </c>
    </row>
    <row r="281" spans="1:4" x14ac:dyDescent="0.25">
      <c r="A281" s="379">
        <v>45778.625</v>
      </c>
      <c r="B281" s="382" t="s">
        <v>2800</v>
      </c>
      <c r="C281" s="377" t="s">
        <v>2966</v>
      </c>
      <c r="D281" s="6" t="str">
        <f>_xlfn.XLOOKUP(B281,Indices!$A$2:$A$2676,Indices!$B$2:$B$2676,"")</f>
        <v/>
      </c>
    </row>
    <row r="282" spans="1:4" x14ac:dyDescent="0.25">
      <c r="A282" s="379">
        <v>45778.625694444447</v>
      </c>
      <c r="B282" s="382" t="s">
        <v>3004</v>
      </c>
      <c r="C282" s="377" t="s">
        <v>4775</v>
      </c>
      <c r="D282" s="6" t="str">
        <f>_xlfn.XLOOKUP(B282,Indices!$A$2:$A$2676,Indices!$B$2:$B$2676,"")</f>
        <v/>
      </c>
    </row>
    <row r="283" spans="1:4" x14ac:dyDescent="0.25">
      <c r="A283" s="379">
        <v>45778.627083333333</v>
      </c>
      <c r="B283" s="382" t="s">
        <v>2385</v>
      </c>
      <c r="C283" s="377" t="s">
        <v>4776</v>
      </c>
      <c r="D283" s="6" t="str">
        <f>_xlfn.XLOOKUP(B283,Indices!$A$2:$A$2676,Indices!$B$2:$B$2676,"")</f>
        <v>S&amp;P Mid</v>
      </c>
    </row>
    <row r="284" spans="1:4" x14ac:dyDescent="0.25">
      <c r="A284" s="379">
        <v>45778.654861111114</v>
      </c>
      <c r="B284" s="382" t="s">
        <v>2601</v>
      </c>
      <c r="C284" s="377" t="s">
        <v>4777</v>
      </c>
      <c r="D284" s="6" t="str">
        <f>_xlfn.XLOOKUP(B284,Indices!$A$2:$A$2676,Indices!$B$2:$B$2676,"")</f>
        <v/>
      </c>
    </row>
    <row r="285" spans="1:4" x14ac:dyDescent="0.25">
      <c r="A285" s="379">
        <v>45778.661111111112</v>
      </c>
      <c r="B285" s="382" t="s">
        <v>2998</v>
      </c>
      <c r="C285" s="377" t="s">
        <v>4778</v>
      </c>
      <c r="D285" s="6" t="str">
        <f>_xlfn.XLOOKUP(B285,Indices!$A$2:$A$2676,Indices!$B$2:$B$2676,"")</f>
        <v/>
      </c>
    </row>
    <row r="286" spans="1:4" x14ac:dyDescent="0.25">
      <c r="A286" s="379">
        <v>45778.684027777781</v>
      </c>
      <c r="B286" s="382" t="s">
        <v>2562</v>
      </c>
      <c r="C286" s="377" t="s">
        <v>4779</v>
      </c>
      <c r="D286" s="6" t="str">
        <f>_xlfn.XLOOKUP(B286,Indices!$A$2:$A$2676,Indices!$B$2:$B$2676,"")</f>
        <v/>
      </c>
    </row>
    <row r="287" spans="1:4" x14ac:dyDescent="0.25">
      <c r="A287" s="379">
        <v>45778.958333333336</v>
      </c>
      <c r="B287" s="382" t="s">
        <v>3015</v>
      </c>
      <c r="C287" s="377" t="s">
        <v>4780</v>
      </c>
      <c r="D287" s="6" t="str">
        <f>_xlfn.XLOOKUP(B287,Indices!$A$2:$A$2676,Indices!$B$2:$B$2676,"")</f>
        <v/>
      </c>
    </row>
    <row r="288" spans="1:4" x14ac:dyDescent="0.25">
      <c r="A288" s="379">
        <v>45778.958333333336</v>
      </c>
      <c r="B288" s="382" t="s">
        <v>3018</v>
      </c>
      <c r="C288" s="377" t="s">
        <v>4780</v>
      </c>
      <c r="D288" s="6" t="str">
        <f>_xlfn.XLOOKUP(B288,Indices!$A$2:$A$2676,Indices!$B$2:$B$2676,"")</f>
        <v/>
      </c>
    </row>
    <row r="289" spans="1:4" x14ac:dyDescent="0.25">
      <c r="A289" s="379">
        <v>45778.958333333336</v>
      </c>
      <c r="B289" s="382" t="s">
        <v>2945</v>
      </c>
      <c r="C289" s="377" t="s">
        <v>4781</v>
      </c>
      <c r="D289" s="6" t="str">
        <f>_xlfn.XLOOKUP(B289,Indices!$A$2:$A$2676,Indices!$B$2:$B$2676,"")</f>
        <v/>
      </c>
    </row>
    <row r="290" spans="1:4" x14ac:dyDescent="0.25">
      <c r="A290" s="379">
        <v>45778.958333333336</v>
      </c>
      <c r="B290" s="382" t="s">
        <v>4782</v>
      </c>
      <c r="C290" s="377" t="s">
        <v>4781</v>
      </c>
      <c r="D290" s="6" t="str">
        <f>_xlfn.XLOOKUP(B290,Indices!$A$2:$A$2676,Indices!$B$2:$B$2676,"")</f>
        <v/>
      </c>
    </row>
    <row r="291" spans="1:4" x14ac:dyDescent="0.25">
      <c r="A291" s="379">
        <v>45778.958333333336</v>
      </c>
      <c r="B291" s="382" t="s">
        <v>1487</v>
      </c>
      <c r="C291" s="377" t="s">
        <v>4780</v>
      </c>
      <c r="D291" s="6" t="str">
        <f>_xlfn.XLOOKUP(B291,Indices!$A$2:$A$2676,Indices!$B$2:$B$2676,"")</f>
        <v>SP500</v>
      </c>
    </row>
    <row r="292" spans="1:4" x14ac:dyDescent="0.25">
      <c r="A292" s="379">
        <v>45778.958333333336</v>
      </c>
      <c r="B292" s="382" t="s">
        <v>3017</v>
      </c>
      <c r="C292" s="377" t="s">
        <v>4780</v>
      </c>
      <c r="D292" s="6" t="str">
        <f>_xlfn.XLOOKUP(B292,Indices!$A$2:$A$2676,Indices!$B$2:$B$2676,"")</f>
        <v/>
      </c>
    </row>
    <row r="293" spans="1:4" x14ac:dyDescent="0.25">
      <c r="A293" s="379">
        <v>45778.958333333336</v>
      </c>
      <c r="B293" s="382" t="s">
        <v>3020</v>
      </c>
      <c r="C293" s="377" t="s">
        <v>4781</v>
      </c>
      <c r="D293" s="6" t="str">
        <f>_xlfn.XLOOKUP(B293,Indices!$A$2:$A$2676,Indices!$B$2:$B$2676,"")</f>
        <v/>
      </c>
    </row>
    <row r="294" spans="1:4" x14ac:dyDescent="0.25">
      <c r="A294" s="379">
        <v>45778.958333333336</v>
      </c>
      <c r="B294" s="382" t="s">
        <v>3021</v>
      </c>
      <c r="C294" s="377" t="s">
        <v>4780</v>
      </c>
      <c r="D294" s="6" t="str">
        <f>_xlfn.XLOOKUP(B294,Indices!$A$2:$A$2676,Indices!$B$2:$B$2676,"")</f>
        <v/>
      </c>
    </row>
    <row r="295" spans="1:4" x14ac:dyDescent="0.25">
      <c r="A295" s="379">
        <v>45779.001388888886</v>
      </c>
      <c r="B295" s="382" t="s">
        <v>3013</v>
      </c>
      <c r="C295" s="377" t="s">
        <v>4783</v>
      </c>
      <c r="D295" s="6" t="str">
        <f>_xlfn.XLOOKUP(B295,Indices!$A$2:$A$2676,Indices!$B$2:$B$2676,"")</f>
        <v/>
      </c>
    </row>
    <row r="296" spans="1:4" x14ac:dyDescent="0.25">
      <c r="A296" s="379">
        <v>45779.125</v>
      </c>
      <c r="B296" s="382" t="s">
        <v>3681</v>
      </c>
      <c r="C296" s="377" t="s">
        <v>4784</v>
      </c>
      <c r="D296" s="6" t="str">
        <f>_xlfn.XLOOKUP(B296,Indices!$A$2:$A$2676,Indices!$B$2:$B$2676,"")</f>
        <v/>
      </c>
    </row>
    <row r="297" spans="1:4" x14ac:dyDescent="0.25">
      <c r="A297" s="379">
        <v>45779.145833333336</v>
      </c>
      <c r="B297" s="382" t="s">
        <v>3</v>
      </c>
      <c r="C297" s="377" t="s">
        <v>4785</v>
      </c>
      <c r="D297" s="6" t="str">
        <f>_xlfn.XLOOKUP(B297,Indices!$A$2:$A$2676,Indices!$B$2:$B$2676,"")</f>
        <v>IWM</v>
      </c>
    </row>
    <row r="298" spans="1:4" x14ac:dyDescent="0.25">
      <c r="A298" s="379">
        <v>45779.159722222219</v>
      </c>
      <c r="B298" s="382" t="s">
        <v>830</v>
      </c>
      <c r="C298" s="377" t="s">
        <v>4786</v>
      </c>
      <c r="D298" s="6" t="str">
        <f>_xlfn.XLOOKUP(B298,Indices!$A$2:$A$2676,Indices!$B$2:$B$2676,"")</f>
        <v>IWM</v>
      </c>
    </row>
    <row r="299" spans="1:4" x14ac:dyDescent="0.25">
      <c r="A299" s="379">
        <v>45779.166666666664</v>
      </c>
      <c r="B299" s="382" t="s">
        <v>167</v>
      </c>
      <c r="C299" s="377" t="s">
        <v>4787</v>
      </c>
      <c r="D299" s="6" t="str">
        <f>_xlfn.XLOOKUP(B299,Indices!$A$2:$A$2676,Indices!$B$2:$B$2676,"")</f>
        <v>SP500</v>
      </c>
    </row>
    <row r="300" spans="1:4" x14ac:dyDescent="0.25">
      <c r="A300" s="379">
        <v>45779.166666666664</v>
      </c>
      <c r="B300" s="382" t="s">
        <v>831</v>
      </c>
      <c r="C300" s="377" t="s">
        <v>4787</v>
      </c>
      <c r="D300" s="6" t="str">
        <f>_xlfn.XLOOKUP(B300,Indices!$A$2:$A$2676,Indices!$B$2:$B$2676,"")</f>
        <v>IWM</v>
      </c>
    </row>
    <row r="301" spans="1:4" x14ac:dyDescent="0.25">
      <c r="A301" s="379">
        <v>45779.166666666664</v>
      </c>
      <c r="B301" s="382" t="s">
        <v>166</v>
      </c>
      <c r="C301" s="377" t="s">
        <v>4787</v>
      </c>
      <c r="D301" s="6" t="str">
        <f>_xlfn.XLOOKUP(B301,Indices!$A$2:$A$2676,Indices!$B$2:$B$2676,"")</f>
        <v>IWM</v>
      </c>
    </row>
    <row r="302" spans="1:4" x14ac:dyDescent="0.25">
      <c r="A302" s="379">
        <v>45779.166666666664</v>
      </c>
      <c r="B302" s="382" t="s">
        <v>3684</v>
      </c>
      <c r="C302" s="377" t="s">
        <v>4787</v>
      </c>
      <c r="D302" s="6" t="str">
        <f>_xlfn.XLOOKUP(B302,Indices!$A$2:$A$2676,Indices!$B$2:$B$2676,"")</f>
        <v/>
      </c>
    </row>
    <row r="303" spans="1:4" x14ac:dyDescent="0.25">
      <c r="A303" s="379">
        <v>45779.166666666664</v>
      </c>
      <c r="B303" s="382" t="s">
        <v>1345</v>
      </c>
      <c r="C303" s="377" t="s">
        <v>4787</v>
      </c>
      <c r="D303" s="6" t="str">
        <f>_xlfn.XLOOKUP(B303,Indices!$A$2:$A$2676,Indices!$B$2:$B$2676,"")</f>
        <v>SP500</v>
      </c>
    </row>
    <row r="304" spans="1:4" x14ac:dyDescent="0.25">
      <c r="A304" s="379">
        <v>45779.166666666664</v>
      </c>
      <c r="B304" s="382" t="s">
        <v>6</v>
      </c>
      <c r="C304" s="377" t="s">
        <v>4787</v>
      </c>
      <c r="D304" s="6" t="str">
        <f>_xlfn.XLOOKUP(B304,Indices!$A$2:$A$2676,Indices!$B$2:$B$2676,"")</f>
        <v>IWM</v>
      </c>
    </row>
    <row r="305" spans="1:4" x14ac:dyDescent="0.25">
      <c r="A305" s="379">
        <v>45779.166666666664</v>
      </c>
      <c r="B305" s="382" t="s">
        <v>4</v>
      </c>
      <c r="C305" s="377" t="s">
        <v>4787</v>
      </c>
      <c r="D305" s="6" t="str">
        <f>_xlfn.XLOOKUP(B305,Indices!$A$2:$A$2676,Indices!$B$2:$B$2676,"")</f>
        <v>IWM</v>
      </c>
    </row>
    <row r="306" spans="1:4" x14ac:dyDescent="0.25">
      <c r="A306" s="379">
        <v>45779.166666666664</v>
      </c>
      <c r="B306" s="382" t="s">
        <v>3010</v>
      </c>
      <c r="C306" s="377" t="s">
        <v>4787</v>
      </c>
      <c r="D306" s="6" t="str">
        <f>_xlfn.XLOOKUP(B306,Indices!$A$2:$A$2676,Indices!$B$2:$B$2676,"")</f>
        <v/>
      </c>
    </row>
    <row r="307" spans="1:4" x14ac:dyDescent="0.25">
      <c r="A307" s="379">
        <v>45779.166666666664</v>
      </c>
      <c r="B307" s="382" t="s">
        <v>2317</v>
      </c>
      <c r="C307" s="377" t="s">
        <v>4787</v>
      </c>
      <c r="D307" s="6" t="str">
        <f>_xlfn.XLOOKUP(B307,Indices!$A$2:$A$2676,Indices!$B$2:$B$2676,"")</f>
        <v>IWM</v>
      </c>
    </row>
    <row r="308" spans="1:4" x14ac:dyDescent="0.25">
      <c r="A308" s="379">
        <v>45779.177083333336</v>
      </c>
      <c r="B308" s="382" t="s">
        <v>3732</v>
      </c>
      <c r="C308" s="377" t="s">
        <v>4788</v>
      </c>
      <c r="D308" s="6" t="str">
        <f>_xlfn.XLOOKUP(B308,Indices!$A$2:$A$2676,Indices!$B$2:$B$2676,"")</f>
        <v/>
      </c>
    </row>
    <row r="309" spans="1:4" x14ac:dyDescent="0.25">
      <c r="A309" s="379">
        <v>45779.177083333336</v>
      </c>
      <c r="B309" s="382" t="s">
        <v>9</v>
      </c>
      <c r="C309" s="377" t="s">
        <v>4788</v>
      </c>
      <c r="D309" s="6" t="str">
        <f>_xlfn.XLOOKUP(B309,Indices!$A$2:$A$2676,Indices!$B$2:$B$2676,"")</f>
        <v>SP500</v>
      </c>
    </row>
    <row r="310" spans="1:4" x14ac:dyDescent="0.25">
      <c r="A310" s="379">
        <v>45779.1875</v>
      </c>
      <c r="B310" s="382" t="s">
        <v>11</v>
      </c>
      <c r="C310" s="377" t="s">
        <v>4789</v>
      </c>
      <c r="D310" s="6" t="str">
        <f>_xlfn.XLOOKUP(B310,Indices!$A$2:$A$2676,Indices!$B$2:$B$2676,"")</f>
        <v>IWM</v>
      </c>
    </row>
    <row r="311" spans="1:4" x14ac:dyDescent="0.25">
      <c r="A311" s="379">
        <v>45779.1875</v>
      </c>
      <c r="B311" s="382" t="s">
        <v>1318</v>
      </c>
      <c r="C311" s="377" t="s">
        <v>4789</v>
      </c>
      <c r="D311" s="6" t="str">
        <f>_xlfn.XLOOKUP(B311,Indices!$A$2:$A$2676,Indices!$B$2:$B$2676,"")</f>
        <v>SP500</v>
      </c>
    </row>
    <row r="312" spans="1:4" x14ac:dyDescent="0.25">
      <c r="A312" s="379">
        <v>45779.1875</v>
      </c>
      <c r="B312" s="382" t="s">
        <v>1726</v>
      </c>
      <c r="C312" s="377" t="s">
        <v>4789</v>
      </c>
      <c r="D312" s="6" t="str">
        <f>_xlfn.XLOOKUP(B312,Indices!$A$2:$A$2676,Indices!$B$2:$B$2676,"")</f>
        <v>IWM</v>
      </c>
    </row>
    <row r="313" spans="1:4" x14ac:dyDescent="0.25">
      <c r="A313" s="379">
        <v>45779.1875</v>
      </c>
      <c r="B313" s="382" t="s">
        <v>2575</v>
      </c>
      <c r="C313" s="377" t="s">
        <v>4789</v>
      </c>
      <c r="D313" s="6" t="str">
        <f>_xlfn.XLOOKUP(B313,Indices!$A$2:$A$2676,Indices!$B$2:$B$2676,"")</f>
        <v/>
      </c>
    </row>
    <row r="314" spans="1:4" x14ac:dyDescent="0.25">
      <c r="A314" s="379">
        <v>45779.1875</v>
      </c>
      <c r="B314" s="382" t="s">
        <v>177</v>
      </c>
      <c r="C314" s="377" t="s">
        <v>4789</v>
      </c>
      <c r="D314" s="6" t="str">
        <f>_xlfn.XLOOKUP(B314,Indices!$A$2:$A$2676,Indices!$B$2:$B$2676,"")</f>
        <v>S&amp;P Mid</v>
      </c>
    </row>
    <row r="315" spans="1:4" x14ac:dyDescent="0.25">
      <c r="A315" s="379">
        <v>45779.1875</v>
      </c>
      <c r="B315" s="382" t="s">
        <v>1740</v>
      </c>
      <c r="C315" s="377" t="s">
        <v>4789</v>
      </c>
      <c r="D315" s="6" t="str">
        <f>_xlfn.XLOOKUP(B315,Indices!$A$2:$A$2676,Indices!$B$2:$B$2676,"")</f>
        <v>IWM</v>
      </c>
    </row>
    <row r="316" spans="1:4" x14ac:dyDescent="0.25">
      <c r="A316" s="379">
        <v>45779.1875</v>
      </c>
      <c r="B316" s="382" t="s">
        <v>13</v>
      </c>
      <c r="C316" s="377" t="s">
        <v>4789</v>
      </c>
      <c r="D316" s="6" t="str">
        <f>_xlfn.XLOOKUP(B316,Indices!$A$2:$A$2676,Indices!$B$2:$B$2676,"")</f>
        <v>SP500</v>
      </c>
    </row>
    <row r="317" spans="1:4" x14ac:dyDescent="0.25">
      <c r="A317" s="379">
        <v>45779.1875</v>
      </c>
      <c r="B317" s="382" t="s">
        <v>2956</v>
      </c>
      <c r="C317" s="377" t="s">
        <v>4789</v>
      </c>
      <c r="D317" s="6" t="str">
        <f>_xlfn.XLOOKUP(B317,Indices!$A$2:$A$2676,Indices!$B$2:$B$2676,"")</f>
        <v/>
      </c>
    </row>
    <row r="318" spans="1:4" x14ac:dyDescent="0.25">
      <c r="A318" s="379">
        <v>45779.1875</v>
      </c>
      <c r="B318" s="382" t="s">
        <v>3022</v>
      </c>
      <c r="C318" s="377" t="s">
        <v>4789</v>
      </c>
      <c r="D318" s="6" t="str">
        <f>_xlfn.XLOOKUP(B318,Indices!$A$2:$A$2676,Indices!$B$2:$B$2676,"")</f>
        <v/>
      </c>
    </row>
    <row r="319" spans="1:4" x14ac:dyDescent="0.25">
      <c r="A319" s="379">
        <v>45779.1875</v>
      </c>
      <c r="B319" s="382" t="s">
        <v>478</v>
      </c>
      <c r="C319" s="377" t="s">
        <v>4789</v>
      </c>
      <c r="D319" s="6" t="str">
        <f>_xlfn.XLOOKUP(B319,Indices!$A$2:$A$2676,Indices!$B$2:$B$2676,"")</f>
        <v>IWM</v>
      </c>
    </row>
    <row r="320" spans="1:4" x14ac:dyDescent="0.25">
      <c r="A320" s="379">
        <v>45779.197916666664</v>
      </c>
      <c r="B320" s="382" t="s">
        <v>837</v>
      </c>
      <c r="C320" s="377" t="s">
        <v>4790</v>
      </c>
      <c r="D320" s="6" t="str">
        <f>_xlfn.XLOOKUP(B320,Indices!$A$2:$A$2676,Indices!$B$2:$B$2676,"")</f>
        <v>IWM</v>
      </c>
    </row>
    <row r="321" spans="1:4" x14ac:dyDescent="0.25">
      <c r="A321" s="379">
        <v>45779.197916666664</v>
      </c>
      <c r="B321" s="382" t="s">
        <v>3011</v>
      </c>
      <c r="C321" s="377" t="s">
        <v>4790</v>
      </c>
      <c r="D321" s="6" t="str">
        <f>_xlfn.XLOOKUP(B321,Indices!$A$2:$A$2676,Indices!$B$2:$B$2676,"")</f>
        <v/>
      </c>
    </row>
    <row r="322" spans="1:4" x14ac:dyDescent="0.25">
      <c r="A322" s="379">
        <v>45779.199305555558</v>
      </c>
      <c r="B322" s="382" t="s">
        <v>17</v>
      </c>
      <c r="C322" s="377" t="s">
        <v>4791</v>
      </c>
      <c r="D322" s="6" t="str">
        <f>_xlfn.XLOOKUP(B322,Indices!$A$2:$A$2676,Indices!$B$2:$B$2676,"")</f>
        <v>S&amp;P Mid</v>
      </c>
    </row>
    <row r="323" spans="1:4" x14ac:dyDescent="0.25">
      <c r="A323" s="379">
        <v>45779.204861111109</v>
      </c>
      <c r="B323" s="382" t="s">
        <v>3009</v>
      </c>
      <c r="C323" s="377" t="s">
        <v>4792</v>
      </c>
      <c r="D323" s="6" t="str">
        <f>_xlfn.XLOOKUP(B323,Indices!$A$2:$A$2676,Indices!$B$2:$B$2676,"")</f>
        <v/>
      </c>
    </row>
    <row r="324" spans="1:4" x14ac:dyDescent="0.25">
      <c r="A324" s="379">
        <v>45779.207638888889</v>
      </c>
      <c r="B324" s="382" t="s">
        <v>842</v>
      </c>
      <c r="C324" s="377" t="s">
        <v>4793</v>
      </c>
      <c r="D324" s="6" t="str">
        <f>_xlfn.XLOOKUP(B324,Indices!$A$2:$A$2676,Indices!$B$2:$B$2676,"")</f>
        <v>IWM</v>
      </c>
    </row>
    <row r="325" spans="1:4" x14ac:dyDescent="0.25">
      <c r="A325" s="379">
        <v>45779.208333333336</v>
      </c>
      <c r="B325" s="382" t="s">
        <v>3008</v>
      </c>
      <c r="C325" s="377" t="s">
        <v>4794</v>
      </c>
      <c r="D325" s="6" t="str">
        <f>_xlfn.XLOOKUP(B325,Indices!$A$2:$A$2676,Indices!$B$2:$B$2676,"")</f>
        <v/>
      </c>
    </row>
    <row r="326" spans="1:4" x14ac:dyDescent="0.25">
      <c r="A326" s="379">
        <v>45779.208333333336</v>
      </c>
      <c r="B326" s="382" t="s">
        <v>2997</v>
      </c>
      <c r="C326" s="377" t="s">
        <v>4794</v>
      </c>
      <c r="D326" s="6" t="str">
        <f>_xlfn.XLOOKUP(B326,Indices!$A$2:$A$2676,Indices!$B$2:$B$2676,"")</f>
        <v/>
      </c>
    </row>
    <row r="327" spans="1:4" x14ac:dyDescent="0.25">
      <c r="A327" s="379">
        <v>45779.208333333336</v>
      </c>
      <c r="B327" s="382" t="s">
        <v>2976</v>
      </c>
      <c r="C327" s="377" t="s">
        <v>4794</v>
      </c>
      <c r="D327" s="6" t="str">
        <f>_xlfn.XLOOKUP(B327,Indices!$A$2:$A$2676,Indices!$B$2:$B$2676,"")</f>
        <v/>
      </c>
    </row>
    <row r="328" spans="1:4" x14ac:dyDescent="0.25">
      <c r="A328" s="379">
        <v>45779.208333333336</v>
      </c>
      <c r="B328" s="382" t="s">
        <v>1893</v>
      </c>
      <c r="C328" s="377" t="s">
        <v>4794</v>
      </c>
      <c r="D328" s="6" t="str">
        <f>_xlfn.XLOOKUP(B328,Indices!$A$2:$A$2676,Indices!$B$2:$B$2676,"")</f>
        <v>IWM</v>
      </c>
    </row>
    <row r="329" spans="1:4" x14ac:dyDescent="0.25">
      <c r="A329" s="379">
        <v>45779.208333333336</v>
      </c>
      <c r="B329" s="382" t="s">
        <v>2805</v>
      </c>
      <c r="C329" s="377" t="s">
        <v>4794</v>
      </c>
      <c r="D329" s="6" t="str">
        <f>_xlfn.XLOOKUP(B329,Indices!$A$2:$A$2676,Indices!$B$2:$B$2676,"")</f>
        <v/>
      </c>
    </row>
    <row r="330" spans="1:4" x14ac:dyDescent="0.25">
      <c r="A330" s="379">
        <v>45779.208333333336</v>
      </c>
      <c r="B330" s="382" t="s">
        <v>847</v>
      </c>
      <c r="C330" s="377" t="s">
        <v>4794</v>
      </c>
      <c r="D330" s="6" t="str">
        <f>_xlfn.XLOOKUP(B330,Indices!$A$2:$A$2676,Indices!$B$2:$B$2676,"")</f>
        <v>IWM</v>
      </c>
    </row>
    <row r="331" spans="1:4" x14ac:dyDescent="0.25">
      <c r="A331" s="379">
        <v>45779.208333333336</v>
      </c>
      <c r="B331" s="382" t="s">
        <v>2937</v>
      </c>
      <c r="C331" s="377" t="s">
        <v>4794</v>
      </c>
      <c r="D331" s="6" t="str">
        <f>_xlfn.XLOOKUP(B331,Indices!$A$2:$A$2676,Indices!$B$2:$B$2676,"")</f>
        <v/>
      </c>
    </row>
    <row r="332" spans="1:4" x14ac:dyDescent="0.25">
      <c r="A332" s="379">
        <v>45779.208333333336</v>
      </c>
      <c r="B332" s="382" t="s">
        <v>2493</v>
      </c>
      <c r="C332" s="377" t="s">
        <v>4794</v>
      </c>
      <c r="D332" s="6" t="str">
        <f>_xlfn.XLOOKUP(B332,Indices!$A$2:$A$2676,Indices!$B$2:$B$2676,"")</f>
        <v>S&amp;P Mid</v>
      </c>
    </row>
    <row r="333" spans="1:4" x14ac:dyDescent="0.25">
      <c r="A333" s="379">
        <v>45779.210416666669</v>
      </c>
      <c r="B333" s="382" t="s">
        <v>1644</v>
      </c>
      <c r="C333" s="377" t="s">
        <v>4795</v>
      </c>
      <c r="D333" s="6" t="str">
        <f>_xlfn.XLOOKUP(B333,Indices!$A$2:$A$2676,Indices!$B$2:$B$2676,"")</f>
        <v>IWM</v>
      </c>
    </row>
    <row r="334" spans="1:4" x14ac:dyDescent="0.25">
      <c r="A334" s="379">
        <v>45779.211805555555</v>
      </c>
      <c r="B334" s="382" t="s">
        <v>2078</v>
      </c>
      <c r="C334" s="377" t="s">
        <v>4796</v>
      </c>
      <c r="D334" s="6" t="str">
        <f>_xlfn.XLOOKUP(B334,Indices!$A$2:$A$2676,Indices!$B$2:$B$2676,"")</f>
        <v>IWM</v>
      </c>
    </row>
    <row r="335" spans="1:4" x14ac:dyDescent="0.25">
      <c r="A335" s="379">
        <v>45779.229166666664</v>
      </c>
      <c r="B335" s="382" t="s">
        <v>3694</v>
      </c>
      <c r="C335" s="377" t="s">
        <v>4797</v>
      </c>
      <c r="D335" s="6" t="str">
        <f>_xlfn.XLOOKUP(B335,Indices!$A$2:$A$2676,Indices!$B$2:$B$2676,"")</f>
        <v/>
      </c>
    </row>
    <row r="336" spans="1:4" x14ac:dyDescent="0.25">
      <c r="A336" s="379">
        <v>45779.229166666664</v>
      </c>
      <c r="B336" s="382" t="s">
        <v>625</v>
      </c>
      <c r="C336" s="377" t="s">
        <v>4797</v>
      </c>
      <c r="D336" s="6" t="str">
        <f>_xlfn.XLOOKUP(B336,Indices!$A$2:$A$2676,Indices!$B$2:$B$2676,"")</f>
        <v>IWM</v>
      </c>
    </row>
    <row r="337" spans="1:4" x14ac:dyDescent="0.25">
      <c r="A337" s="379">
        <v>45779.229166666664</v>
      </c>
      <c r="B337" s="382" t="s">
        <v>27</v>
      </c>
      <c r="C337" s="377" t="s">
        <v>4797</v>
      </c>
      <c r="D337" s="6" t="str">
        <f>_xlfn.XLOOKUP(B337,Indices!$A$2:$A$2676,Indices!$B$2:$B$2676,"")</f>
        <v>IWM</v>
      </c>
    </row>
    <row r="338" spans="1:4" x14ac:dyDescent="0.25">
      <c r="A338" s="379">
        <v>45779.229166666664</v>
      </c>
      <c r="B338" s="382" t="s">
        <v>24</v>
      </c>
      <c r="C338" s="377" t="s">
        <v>4797</v>
      </c>
      <c r="D338" s="6" t="str">
        <f>_xlfn.XLOOKUP(B338,Indices!$A$2:$A$2676,Indices!$B$2:$B$2676,"")</f>
        <v>IWM</v>
      </c>
    </row>
    <row r="339" spans="1:4" x14ac:dyDescent="0.25">
      <c r="A339" s="379">
        <v>45779.229166666664</v>
      </c>
      <c r="B339" s="382" t="s">
        <v>22</v>
      </c>
      <c r="C339" s="377" t="s">
        <v>4797</v>
      </c>
      <c r="D339" s="6" t="str">
        <f>_xlfn.XLOOKUP(B339,Indices!$A$2:$A$2676,Indices!$B$2:$B$2676,"")</f>
        <v>SP500</v>
      </c>
    </row>
    <row r="340" spans="1:4" x14ac:dyDescent="0.25">
      <c r="A340" s="379">
        <v>45779.229166666664</v>
      </c>
      <c r="B340" s="382" t="s">
        <v>2953</v>
      </c>
      <c r="C340" s="377" t="s">
        <v>4797</v>
      </c>
      <c r="D340" s="6" t="str">
        <f>_xlfn.XLOOKUP(B340,Indices!$A$2:$A$2676,Indices!$B$2:$B$2676,"")</f>
        <v/>
      </c>
    </row>
    <row r="341" spans="1:4" x14ac:dyDescent="0.25">
      <c r="A341" s="379">
        <v>45779.239583333336</v>
      </c>
      <c r="B341" s="382" t="s">
        <v>1125</v>
      </c>
      <c r="C341" s="377" t="s">
        <v>4798</v>
      </c>
      <c r="D341" s="6" t="str">
        <f>_xlfn.XLOOKUP(B341,Indices!$A$2:$A$2676,Indices!$B$2:$B$2676,"")</f>
        <v>IWM</v>
      </c>
    </row>
    <row r="342" spans="1:4" x14ac:dyDescent="0.25">
      <c r="A342" s="379">
        <v>45779.246527777781</v>
      </c>
      <c r="B342" s="382" t="s">
        <v>3014</v>
      </c>
      <c r="C342" s="377" t="s">
        <v>4799</v>
      </c>
      <c r="D342" s="6" t="str">
        <f>_xlfn.XLOOKUP(B342,Indices!$A$2:$A$2676,Indices!$B$2:$B$2676,"")</f>
        <v/>
      </c>
    </row>
    <row r="343" spans="1:4" x14ac:dyDescent="0.25">
      <c r="A343" s="379">
        <v>45779.25</v>
      </c>
      <c r="B343" s="382" t="s">
        <v>2851</v>
      </c>
      <c r="C343" s="377" t="s">
        <v>4800</v>
      </c>
      <c r="D343" s="6" t="str">
        <f>_xlfn.XLOOKUP(B343,Indices!$A$2:$A$2676,Indices!$B$2:$B$2676,"")</f>
        <v/>
      </c>
    </row>
    <row r="344" spans="1:4" x14ac:dyDescent="0.25">
      <c r="A344" s="379">
        <v>45779.25</v>
      </c>
      <c r="B344" s="382" t="s">
        <v>856</v>
      </c>
      <c r="C344" s="377" t="s">
        <v>4800</v>
      </c>
      <c r="D344" s="6" t="str">
        <f>_xlfn.XLOOKUP(B344,Indices!$A$2:$A$2676,Indices!$B$2:$B$2676,"")</f>
        <v>IWM</v>
      </c>
    </row>
    <row r="345" spans="1:4" x14ac:dyDescent="0.25">
      <c r="A345" s="379">
        <v>45779.270833333336</v>
      </c>
      <c r="B345" s="382" t="s">
        <v>30</v>
      </c>
      <c r="C345" s="377" t="s">
        <v>4801</v>
      </c>
      <c r="D345" s="6" t="str">
        <f>_xlfn.XLOOKUP(B345,Indices!$A$2:$A$2676,Indices!$B$2:$B$2676,"")</f>
        <v>IWM</v>
      </c>
    </row>
    <row r="346" spans="1:4" x14ac:dyDescent="0.25">
      <c r="A346" s="379">
        <v>45779.270833333336</v>
      </c>
      <c r="B346" s="382" t="s">
        <v>62</v>
      </c>
      <c r="C346" s="377" t="s">
        <v>4801</v>
      </c>
      <c r="D346" s="6" t="str">
        <f>_xlfn.XLOOKUP(B346,Indices!$A$2:$A$2676,Indices!$B$2:$B$2676,"")</f>
        <v>SP500</v>
      </c>
    </row>
    <row r="347" spans="1:4" x14ac:dyDescent="0.25">
      <c r="A347" s="379">
        <v>45779.270833333336</v>
      </c>
      <c r="B347" s="382" t="s">
        <v>312</v>
      </c>
      <c r="C347" s="377" t="s">
        <v>4801</v>
      </c>
      <c r="D347" s="6" t="str">
        <f>_xlfn.XLOOKUP(B347,Indices!$A$2:$A$2676,Indices!$B$2:$B$2676,"")</f>
        <v>IWM</v>
      </c>
    </row>
    <row r="348" spans="1:4" x14ac:dyDescent="0.25">
      <c r="A348" s="379">
        <v>45779.625</v>
      </c>
      <c r="B348" s="382" t="s">
        <v>2867</v>
      </c>
      <c r="C348" s="377" t="s">
        <v>3025</v>
      </c>
      <c r="D348" s="6" t="str">
        <f>_xlfn.XLOOKUP(B348,Indices!$A$2:$A$2676,Indices!$B$2:$B$2676,"")</f>
        <v/>
      </c>
    </row>
    <row r="349" spans="1:4" x14ac:dyDescent="0.25">
      <c r="A349" s="379">
        <v>45780.25</v>
      </c>
      <c r="B349" s="382" t="s">
        <v>3029</v>
      </c>
      <c r="C349" s="377" t="s">
        <v>4802</v>
      </c>
      <c r="D349" s="6" t="str">
        <f>_xlfn.XLOOKUP(B349,Indices!$A$2:$A$2676,Indices!$B$2:$B$2676,"")</f>
        <v/>
      </c>
    </row>
    <row r="350" spans="1:4" x14ac:dyDescent="0.25">
      <c r="A350" s="379">
        <v>45780.25</v>
      </c>
      <c r="B350" s="382" t="s">
        <v>3028</v>
      </c>
      <c r="C350" s="377" t="s">
        <v>4802</v>
      </c>
      <c r="D350" s="6" t="str">
        <f>_xlfn.XLOOKUP(B350,Indices!$A$2:$A$2676,Indices!$B$2:$B$2676,"")</f>
        <v/>
      </c>
    </row>
    <row r="351" spans="1:4" x14ac:dyDescent="0.25">
      <c r="A351" s="379">
        <v>45781.958333333336</v>
      </c>
      <c r="B351" s="382" t="s">
        <v>3061</v>
      </c>
      <c r="C351" s="377" t="s">
        <v>4803</v>
      </c>
      <c r="D351" s="6" t="str">
        <f>_xlfn.XLOOKUP(B351,Indices!$A$2:$A$2676,Indices!$B$2:$B$2676,"")</f>
        <v/>
      </c>
    </row>
    <row r="352" spans="1:4" x14ac:dyDescent="0.25">
      <c r="A352" s="379">
        <v>45781.958333333336</v>
      </c>
      <c r="B352" s="382" t="s">
        <v>1072</v>
      </c>
      <c r="C352" s="377" t="s">
        <v>4804</v>
      </c>
      <c r="D352" s="6" t="str">
        <f>_xlfn.XLOOKUP(B352,Indices!$A$2:$A$2676,Indices!$B$2:$B$2676,"")</f>
        <v>IWM</v>
      </c>
    </row>
    <row r="353" spans="1:4" x14ac:dyDescent="0.25">
      <c r="A353" s="379">
        <v>45782.135416666664</v>
      </c>
      <c r="B353" s="382" t="s">
        <v>2563</v>
      </c>
      <c r="C353" s="377" t="s">
        <v>4805</v>
      </c>
      <c r="D353" s="6" t="str">
        <f>_xlfn.XLOOKUP(B353,Indices!$A$2:$A$2676,Indices!$B$2:$B$2676,"")</f>
        <v/>
      </c>
    </row>
    <row r="354" spans="1:4" x14ac:dyDescent="0.25">
      <c r="A354" s="379">
        <v>45782.166666666664</v>
      </c>
      <c r="B354" s="382" t="s">
        <v>3062</v>
      </c>
      <c r="C354" s="377" t="s">
        <v>4806</v>
      </c>
      <c r="D354" s="6" t="str">
        <f>_xlfn.XLOOKUP(B354,Indices!$A$2:$A$2676,Indices!$B$2:$B$2676,"")</f>
        <v/>
      </c>
    </row>
    <row r="355" spans="1:4" x14ac:dyDescent="0.25">
      <c r="A355" s="379">
        <v>45782.166666666664</v>
      </c>
      <c r="B355" s="382" t="s">
        <v>438</v>
      </c>
      <c r="C355" s="377" t="s">
        <v>4806</v>
      </c>
      <c r="D355" s="6" t="str">
        <f>_xlfn.XLOOKUP(B355,Indices!$A$2:$A$2676,Indices!$B$2:$B$2676,"")</f>
        <v>IWM</v>
      </c>
    </row>
    <row r="356" spans="1:4" x14ac:dyDescent="0.25">
      <c r="A356" s="379">
        <v>45782.166666666664</v>
      </c>
      <c r="B356" s="382" t="s">
        <v>38</v>
      </c>
      <c r="C356" s="377" t="s">
        <v>4806</v>
      </c>
      <c r="D356" s="6" t="str">
        <f>_xlfn.XLOOKUP(B356,Indices!$A$2:$A$2676,Indices!$B$2:$B$2676,"")</f>
        <v>SP500</v>
      </c>
    </row>
    <row r="357" spans="1:4" x14ac:dyDescent="0.25">
      <c r="A357" s="379">
        <v>45782.166666666664</v>
      </c>
      <c r="B357" s="382" t="s">
        <v>2564</v>
      </c>
      <c r="C357" s="377" t="s">
        <v>4806</v>
      </c>
      <c r="D357" s="6" t="str">
        <f>_xlfn.XLOOKUP(B357,Indices!$A$2:$A$2676,Indices!$B$2:$B$2676,"")</f>
        <v/>
      </c>
    </row>
    <row r="358" spans="1:4" x14ac:dyDescent="0.25">
      <c r="A358" s="379">
        <v>45782.166666666664</v>
      </c>
      <c r="B358" s="382" t="s">
        <v>3054</v>
      </c>
      <c r="C358" s="377" t="s">
        <v>4806</v>
      </c>
      <c r="D358" s="6" t="str">
        <f>_xlfn.XLOOKUP(B358,Indices!$A$2:$A$2676,Indices!$B$2:$B$2676,"")</f>
        <v/>
      </c>
    </row>
    <row r="359" spans="1:4" x14ac:dyDescent="0.25">
      <c r="A359" s="379">
        <v>45782.166666666664</v>
      </c>
      <c r="B359" s="382" t="s">
        <v>163</v>
      </c>
      <c r="C359" s="377" t="s">
        <v>4806</v>
      </c>
      <c r="D359" s="6" t="str">
        <f>_xlfn.XLOOKUP(B359,Indices!$A$2:$A$2676,Indices!$B$2:$B$2676,"")</f>
        <v>SP500</v>
      </c>
    </row>
    <row r="360" spans="1:4" x14ac:dyDescent="0.25">
      <c r="A360" s="379">
        <v>45782.1875</v>
      </c>
      <c r="B360" s="382" t="s">
        <v>3058</v>
      </c>
      <c r="C360" s="377" t="s">
        <v>4807</v>
      </c>
      <c r="D360" s="6" t="str">
        <f>_xlfn.XLOOKUP(B360,Indices!$A$2:$A$2676,Indices!$B$2:$B$2676,"")</f>
        <v/>
      </c>
    </row>
    <row r="361" spans="1:4" x14ac:dyDescent="0.25">
      <c r="A361" s="379">
        <v>45782.1875</v>
      </c>
      <c r="B361" s="382" t="s">
        <v>1509</v>
      </c>
      <c r="C361" s="377" t="s">
        <v>4807</v>
      </c>
      <c r="D361" s="6" t="str">
        <f>_xlfn.XLOOKUP(B361,Indices!$A$2:$A$2676,Indices!$B$2:$B$2676,"")</f>
        <v>SP500</v>
      </c>
    </row>
    <row r="362" spans="1:4" x14ac:dyDescent="0.25">
      <c r="A362" s="379">
        <v>45782.1875</v>
      </c>
      <c r="B362" s="382" t="s">
        <v>2495</v>
      </c>
      <c r="C362" s="377" t="s">
        <v>4807</v>
      </c>
      <c r="D362" s="6" t="str">
        <f>_xlfn.XLOOKUP(B362,Indices!$A$2:$A$2676,Indices!$B$2:$B$2676,"")</f>
        <v>S&amp;P Mid</v>
      </c>
    </row>
    <row r="363" spans="1:4" x14ac:dyDescent="0.25">
      <c r="A363" s="379">
        <v>45782.1875</v>
      </c>
      <c r="B363" s="382" t="s">
        <v>40</v>
      </c>
      <c r="C363" s="377" t="s">
        <v>4807</v>
      </c>
      <c r="D363" s="6" t="str">
        <f>_xlfn.XLOOKUP(B363,Indices!$A$2:$A$2676,Indices!$B$2:$B$2676,"")</f>
        <v>IWM</v>
      </c>
    </row>
    <row r="364" spans="1:4" x14ac:dyDescent="0.25">
      <c r="A364" s="379">
        <v>45782.197916666664</v>
      </c>
      <c r="B364" s="382" t="s">
        <v>3056</v>
      </c>
      <c r="C364" s="377" t="s">
        <v>4808</v>
      </c>
      <c r="D364" s="6" t="str">
        <f>_xlfn.XLOOKUP(B364,Indices!$A$2:$A$2676,Indices!$B$2:$B$2676,"")</f>
        <v/>
      </c>
    </row>
    <row r="365" spans="1:4" x14ac:dyDescent="0.25">
      <c r="A365" s="379">
        <v>45782.208333333336</v>
      </c>
      <c r="B365" s="382" t="s">
        <v>50</v>
      </c>
      <c r="C365" s="377" t="s">
        <v>4809</v>
      </c>
      <c r="D365" s="6" t="str">
        <f>_xlfn.XLOOKUP(B365,Indices!$A$2:$A$2676,Indices!$B$2:$B$2676,"")</f>
        <v>IWM</v>
      </c>
    </row>
    <row r="366" spans="1:4" x14ac:dyDescent="0.25">
      <c r="A366" s="379">
        <v>45782.208333333336</v>
      </c>
      <c r="B366" s="382" t="s">
        <v>44</v>
      </c>
      <c r="C366" s="377" t="s">
        <v>4809</v>
      </c>
      <c r="D366" s="6" t="str">
        <f>_xlfn.XLOOKUP(B366,Indices!$A$2:$A$2676,Indices!$B$2:$B$2676,"")</f>
        <v>IWM</v>
      </c>
    </row>
    <row r="367" spans="1:4" x14ac:dyDescent="0.25">
      <c r="A367" s="379">
        <v>45782.208333333336</v>
      </c>
      <c r="B367" s="382" t="s">
        <v>3110</v>
      </c>
      <c r="C367" s="377" t="s">
        <v>4809</v>
      </c>
      <c r="D367" s="6" t="str">
        <f>_xlfn.XLOOKUP(B367,Indices!$A$2:$A$2676,Indices!$B$2:$B$2676,"")</f>
        <v/>
      </c>
    </row>
    <row r="368" spans="1:4" x14ac:dyDescent="0.25">
      <c r="A368" s="379">
        <v>45782.208333333336</v>
      </c>
      <c r="B368" s="382" t="s">
        <v>910</v>
      </c>
      <c r="C368" s="377" t="s">
        <v>4809</v>
      </c>
      <c r="D368" s="6" t="str">
        <f>_xlfn.XLOOKUP(B368,Indices!$A$2:$A$2676,Indices!$B$2:$B$2676,"")</f>
        <v>IWM</v>
      </c>
    </row>
    <row r="369" spans="1:4" x14ac:dyDescent="0.25">
      <c r="A369" s="379">
        <v>45782.208333333336</v>
      </c>
      <c r="B369" s="382" t="s">
        <v>2234</v>
      </c>
      <c r="C369" s="377" t="s">
        <v>4809</v>
      </c>
      <c r="D369" s="6" t="str">
        <f>_xlfn.XLOOKUP(B369,Indices!$A$2:$A$2676,Indices!$B$2:$B$2676,"")</f>
        <v>IWM</v>
      </c>
    </row>
    <row r="370" spans="1:4" x14ac:dyDescent="0.25">
      <c r="A370" s="379">
        <v>45782.208333333336</v>
      </c>
      <c r="B370" s="382" t="s">
        <v>1051</v>
      </c>
      <c r="C370" s="377" t="s">
        <v>4809</v>
      </c>
      <c r="D370" s="6" t="str">
        <f>_xlfn.XLOOKUP(B370,Indices!$A$2:$A$2676,Indices!$B$2:$B$2676,"")</f>
        <v>IWM</v>
      </c>
    </row>
    <row r="371" spans="1:4" x14ac:dyDescent="0.25">
      <c r="A371" s="379">
        <v>45782.208333333336</v>
      </c>
      <c r="B371" s="382" t="s">
        <v>45</v>
      </c>
      <c r="C371" s="377" t="s">
        <v>4809</v>
      </c>
      <c r="D371" s="6" t="str">
        <f>_xlfn.XLOOKUP(B371,Indices!$A$2:$A$2676,Indices!$B$2:$B$2676,"")</f>
        <v>IWM</v>
      </c>
    </row>
    <row r="372" spans="1:4" x14ac:dyDescent="0.25">
      <c r="A372" s="379">
        <v>45782.229166666664</v>
      </c>
      <c r="B372" s="382" t="s">
        <v>928</v>
      </c>
      <c r="C372" s="377" t="s">
        <v>4810</v>
      </c>
      <c r="D372" s="6" t="str">
        <f>_xlfn.XLOOKUP(B372,Indices!$A$2:$A$2676,Indices!$B$2:$B$2676,"")</f>
        <v>SP500</v>
      </c>
    </row>
    <row r="373" spans="1:4" x14ac:dyDescent="0.25">
      <c r="A373" s="379">
        <v>45782.229166666664</v>
      </c>
      <c r="B373" s="382" t="s">
        <v>205</v>
      </c>
      <c r="C373" s="377" t="s">
        <v>4810</v>
      </c>
      <c r="D373" s="6" t="str">
        <f>_xlfn.XLOOKUP(B373,Indices!$A$2:$A$2676,Indices!$B$2:$B$2676,"")</f>
        <v>SP500</v>
      </c>
    </row>
    <row r="374" spans="1:4" x14ac:dyDescent="0.25">
      <c r="A374" s="379">
        <v>45782.25</v>
      </c>
      <c r="B374" s="382" t="s">
        <v>491</v>
      </c>
      <c r="C374" s="377" t="s">
        <v>4811</v>
      </c>
      <c r="D374" s="6" t="str">
        <f>_xlfn.XLOOKUP(B374,Indices!$A$2:$A$2676,Indices!$B$2:$B$2676,"")</f>
        <v>IWM</v>
      </c>
    </row>
    <row r="375" spans="1:4" x14ac:dyDescent="0.25">
      <c r="A375" s="379">
        <v>45782.25</v>
      </c>
      <c r="B375" s="382" t="s">
        <v>1473</v>
      </c>
      <c r="C375" s="377" t="s">
        <v>4811</v>
      </c>
      <c r="D375" s="6" t="str">
        <f>_xlfn.XLOOKUP(B375,Indices!$A$2:$A$2676,Indices!$B$2:$B$2676,"")</f>
        <v>SP500</v>
      </c>
    </row>
    <row r="376" spans="1:4" x14ac:dyDescent="0.25">
      <c r="A376" s="379">
        <v>45782.25</v>
      </c>
      <c r="B376" s="382" t="s">
        <v>870</v>
      </c>
      <c r="C376" s="377" t="s">
        <v>4811</v>
      </c>
      <c r="D376" s="6" t="str">
        <f>_xlfn.XLOOKUP(B376,Indices!$A$2:$A$2676,Indices!$B$2:$B$2676,"")</f>
        <v>IWM</v>
      </c>
    </row>
    <row r="377" spans="1:4" x14ac:dyDescent="0.25">
      <c r="A377" s="379">
        <v>45782.25</v>
      </c>
      <c r="B377" s="382" t="s">
        <v>3748</v>
      </c>
      <c r="C377" s="377" t="s">
        <v>4811</v>
      </c>
      <c r="D377" s="6" t="str">
        <f>_xlfn.XLOOKUP(B377,Indices!$A$2:$A$2676,Indices!$B$2:$B$2676,"")</f>
        <v/>
      </c>
    </row>
    <row r="378" spans="1:4" x14ac:dyDescent="0.25">
      <c r="A378" s="379">
        <v>45782.270833333336</v>
      </c>
      <c r="B378" s="382" t="s">
        <v>3846</v>
      </c>
      <c r="C378" s="377" t="s">
        <v>4812</v>
      </c>
      <c r="D378" s="6" t="str">
        <f>_xlfn.XLOOKUP(B378,Indices!$A$2:$A$2676,Indices!$B$2:$B$2676,"")</f>
        <v/>
      </c>
    </row>
    <row r="379" spans="1:4" x14ac:dyDescent="0.25">
      <c r="A379" s="379">
        <v>45782.290277777778</v>
      </c>
      <c r="B379" s="382" t="s">
        <v>31</v>
      </c>
      <c r="C379" s="377" t="s">
        <v>4813</v>
      </c>
      <c r="D379" s="6" t="str">
        <f>_xlfn.XLOOKUP(B379,Indices!$A$2:$A$2676,Indices!$B$2:$B$2676,"")</f>
        <v>IWM</v>
      </c>
    </row>
    <row r="380" spans="1:4" x14ac:dyDescent="0.25">
      <c r="A380" s="379">
        <v>45782.291666666664</v>
      </c>
      <c r="B380" s="382" t="s">
        <v>4504</v>
      </c>
      <c r="C380" s="377" t="s">
        <v>3052</v>
      </c>
      <c r="D380" s="6" t="str">
        <f>_xlfn.XLOOKUP(B380,Indices!$A$2:$A$2676,Indices!$B$2:$B$2676,"")</f>
        <v/>
      </c>
    </row>
    <row r="381" spans="1:4" x14ac:dyDescent="0.25">
      <c r="A381" s="379">
        <v>45782.477083333331</v>
      </c>
      <c r="B381" s="382" t="s">
        <v>647</v>
      </c>
      <c r="C381" s="377" t="s">
        <v>4814</v>
      </c>
      <c r="D381" s="6" t="str">
        <f>_xlfn.XLOOKUP(B381,Indices!$A$2:$A$2676,Indices!$B$2:$B$2676,"")</f>
        <v>IWM</v>
      </c>
    </row>
    <row r="382" spans="1:4" x14ac:dyDescent="0.25">
      <c r="A382" s="379">
        <v>45782.583333333336</v>
      </c>
      <c r="B382" s="382" t="s">
        <v>64</v>
      </c>
      <c r="C382" s="377" t="s">
        <v>4815</v>
      </c>
      <c r="D382" s="6" t="str">
        <f>_xlfn.XLOOKUP(B382,Indices!$A$2:$A$2676,Indices!$B$2:$B$2676,"")</f>
        <v>S&amp;P Mid</v>
      </c>
    </row>
    <row r="383" spans="1:4" x14ac:dyDescent="0.25">
      <c r="A383" s="379">
        <v>45782.584027777775</v>
      </c>
      <c r="B383" s="382" t="s">
        <v>68</v>
      </c>
      <c r="C383" s="377" t="s">
        <v>4816</v>
      </c>
      <c r="D383" s="6" t="str">
        <f>_xlfn.XLOOKUP(B383,Indices!$A$2:$A$2676,Indices!$B$2:$B$2676,"")</f>
        <v>S&amp;P Mid</v>
      </c>
    </row>
    <row r="384" spans="1:4" x14ac:dyDescent="0.25">
      <c r="A384" s="379">
        <v>45782.584027777775</v>
      </c>
      <c r="B384" s="382" t="s">
        <v>75</v>
      </c>
      <c r="C384" s="377" t="s">
        <v>4816</v>
      </c>
      <c r="D384" s="6" t="str">
        <f>_xlfn.XLOOKUP(B384,Indices!$A$2:$A$2676,Indices!$B$2:$B$2676,"")</f>
        <v>SP500</v>
      </c>
    </row>
    <row r="385" spans="1:4" x14ac:dyDescent="0.25">
      <c r="A385" s="379">
        <v>45782.584027777775</v>
      </c>
      <c r="B385" s="382" t="s">
        <v>1731</v>
      </c>
      <c r="C385" s="377" t="s">
        <v>4816</v>
      </c>
      <c r="D385" s="6" t="str">
        <f>_xlfn.XLOOKUP(B385,Indices!$A$2:$A$2676,Indices!$B$2:$B$2676,"")</f>
        <v>IWM</v>
      </c>
    </row>
    <row r="386" spans="1:4" x14ac:dyDescent="0.25">
      <c r="A386" s="379">
        <v>45782.584027777775</v>
      </c>
      <c r="B386" s="382" t="s">
        <v>66</v>
      </c>
      <c r="C386" s="377" t="s">
        <v>4816</v>
      </c>
      <c r="D386" s="6" t="str">
        <f>_xlfn.XLOOKUP(B386,Indices!$A$2:$A$2676,Indices!$B$2:$B$2676,"")</f>
        <v>SP500</v>
      </c>
    </row>
    <row r="387" spans="1:4" x14ac:dyDescent="0.25">
      <c r="A387" s="379">
        <v>45782.584027777775</v>
      </c>
      <c r="B387" s="382" t="s">
        <v>4486</v>
      </c>
      <c r="C387" s="377" t="s">
        <v>4816</v>
      </c>
      <c r="D387" s="6" t="str">
        <f>_xlfn.XLOOKUP(B387,Indices!$A$2:$A$2676,Indices!$B$2:$B$2676,"")</f>
        <v/>
      </c>
    </row>
    <row r="388" spans="1:4" x14ac:dyDescent="0.25">
      <c r="A388" s="379">
        <v>45782.584027777775</v>
      </c>
      <c r="B388" s="382" t="s">
        <v>223</v>
      </c>
      <c r="C388" s="377" t="s">
        <v>4816</v>
      </c>
      <c r="D388" s="6" t="str">
        <f>_xlfn.XLOOKUP(B388,Indices!$A$2:$A$2676,Indices!$B$2:$B$2676,"")</f>
        <v>IWM</v>
      </c>
    </row>
    <row r="389" spans="1:4" x14ac:dyDescent="0.25">
      <c r="A389" s="379">
        <v>45782.584027777775</v>
      </c>
      <c r="B389" s="382" t="s">
        <v>70</v>
      </c>
      <c r="C389" s="377" t="s">
        <v>4816</v>
      </c>
      <c r="D389" s="6" t="str">
        <f>_xlfn.XLOOKUP(B389,Indices!$A$2:$A$2676,Indices!$B$2:$B$2676,"")</f>
        <v>IWM</v>
      </c>
    </row>
    <row r="390" spans="1:4" x14ac:dyDescent="0.25">
      <c r="A390" s="379">
        <v>45782.584027777775</v>
      </c>
      <c r="B390" s="382" t="s">
        <v>2379</v>
      </c>
      <c r="C390" s="377" t="s">
        <v>4816</v>
      </c>
      <c r="D390" s="6" t="str">
        <f>_xlfn.XLOOKUP(B390,Indices!$A$2:$A$2676,Indices!$B$2:$B$2676,"")</f>
        <v>S&amp;P Mid</v>
      </c>
    </row>
    <row r="391" spans="1:4" x14ac:dyDescent="0.25">
      <c r="A391" s="379">
        <v>45782.584722222222</v>
      </c>
      <c r="B391" s="382" t="s">
        <v>3069</v>
      </c>
      <c r="C391" s="377" t="s">
        <v>4817</v>
      </c>
      <c r="D391" s="6" t="str">
        <f>_xlfn.XLOOKUP(B391,Indices!$A$2:$A$2676,Indices!$B$2:$B$2676,"")</f>
        <v/>
      </c>
    </row>
    <row r="392" spans="1:4" x14ac:dyDescent="0.25">
      <c r="A392" s="379">
        <v>45782.585416666669</v>
      </c>
      <c r="B392" s="382" t="s">
        <v>2152</v>
      </c>
      <c r="C392" s="377" t="s">
        <v>4818</v>
      </c>
      <c r="D392" s="6" t="str">
        <f>_xlfn.XLOOKUP(B392,Indices!$A$2:$A$2676,Indices!$B$2:$B$2676,"")</f>
        <v>IWM</v>
      </c>
    </row>
    <row r="393" spans="1:4" x14ac:dyDescent="0.25">
      <c r="A393" s="379">
        <v>45782.585416666669</v>
      </c>
      <c r="B393" s="382" t="s">
        <v>79</v>
      </c>
      <c r="C393" s="377" t="s">
        <v>4818</v>
      </c>
      <c r="D393" s="6" t="str">
        <f>_xlfn.XLOOKUP(B393,Indices!$A$2:$A$2676,Indices!$B$2:$B$2676,"")</f>
        <v>IWM</v>
      </c>
    </row>
    <row r="394" spans="1:4" x14ac:dyDescent="0.25">
      <c r="A394" s="379">
        <v>45782.585416666669</v>
      </c>
      <c r="B394" s="382" t="s">
        <v>354</v>
      </c>
      <c r="C394" s="377" t="s">
        <v>4818</v>
      </c>
      <c r="D394" s="6" t="str">
        <f>_xlfn.XLOOKUP(B394,Indices!$A$2:$A$2676,Indices!$B$2:$B$2676,"")</f>
        <v>IWM</v>
      </c>
    </row>
    <row r="395" spans="1:4" x14ac:dyDescent="0.25">
      <c r="A395" s="379">
        <v>45782.586805555555</v>
      </c>
      <c r="B395" s="382" t="s">
        <v>105</v>
      </c>
      <c r="C395" s="377" t="s">
        <v>4819</v>
      </c>
      <c r="D395" s="6" t="str">
        <f>_xlfn.XLOOKUP(B395,Indices!$A$2:$A$2676,Indices!$B$2:$B$2676,"")</f>
        <v>IWM</v>
      </c>
    </row>
    <row r="396" spans="1:4" x14ac:dyDescent="0.25">
      <c r="A396" s="379">
        <v>45782.586805555555</v>
      </c>
      <c r="B396" s="382" t="s">
        <v>3082</v>
      </c>
      <c r="C396" s="377" t="s">
        <v>4819</v>
      </c>
      <c r="D396" s="6" t="str">
        <f>_xlfn.XLOOKUP(B396,Indices!$A$2:$A$2676,Indices!$B$2:$B$2676,"")</f>
        <v/>
      </c>
    </row>
    <row r="397" spans="1:4" x14ac:dyDescent="0.25">
      <c r="A397" s="379">
        <v>45782.586805555555</v>
      </c>
      <c r="B397" s="382" t="s">
        <v>4820</v>
      </c>
      <c r="C397" s="377" t="s">
        <v>4819</v>
      </c>
      <c r="D397" s="6" t="str">
        <f>_xlfn.XLOOKUP(B397,Indices!$A$2:$A$2676,Indices!$B$2:$B$2676,"")</f>
        <v/>
      </c>
    </row>
    <row r="398" spans="1:4" x14ac:dyDescent="0.25">
      <c r="A398" s="379">
        <v>45782.586805555555</v>
      </c>
      <c r="B398" s="382" t="s">
        <v>374</v>
      </c>
      <c r="C398" s="377" t="s">
        <v>4819</v>
      </c>
      <c r="D398" s="6" t="str">
        <f>_xlfn.XLOOKUP(B398,Indices!$A$2:$A$2676,Indices!$B$2:$B$2676,"")</f>
        <v>IWM</v>
      </c>
    </row>
    <row r="399" spans="1:4" x14ac:dyDescent="0.25">
      <c r="A399" s="379">
        <v>45782.586805555555</v>
      </c>
      <c r="B399" s="382" t="s">
        <v>102</v>
      </c>
      <c r="C399" s="377" t="s">
        <v>4819</v>
      </c>
      <c r="D399" s="6" t="str">
        <f>_xlfn.XLOOKUP(B399,Indices!$A$2:$A$2676,Indices!$B$2:$B$2676,"")</f>
        <v>IWM</v>
      </c>
    </row>
    <row r="400" spans="1:4" x14ac:dyDescent="0.25">
      <c r="A400" s="379">
        <v>45782.586805555555</v>
      </c>
      <c r="B400" s="382" t="s">
        <v>243</v>
      </c>
      <c r="C400" s="377" t="s">
        <v>4819</v>
      </c>
      <c r="D400" s="6" t="str">
        <f>_xlfn.XLOOKUP(B400,Indices!$A$2:$A$2676,Indices!$B$2:$B$2676,"")</f>
        <v>IWM</v>
      </c>
    </row>
    <row r="401" spans="1:4" x14ac:dyDescent="0.25">
      <c r="A401" s="379">
        <v>45782.586805555555</v>
      </c>
      <c r="B401" s="382" t="s">
        <v>229</v>
      </c>
      <c r="C401" s="377" t="s">
        <v>4819</v>
      </c>
      <c r="D401" s="6" t="str">
        <f>_xlfn.XLOOKUP(B401,Indices!$A$2:$A$2676,Indices!$B$2:$B$2676,"")</f>
        <v>IWM</v>
      </c>
    </row>
    <row r="402" spans="1:4" x14ac:dyDescent="0.25">
      <c r="A402" s="379">
        <v>45782.586805555555</v>
      </c>
      <c r="B402" s="382" t="s">
        <v>3786</v>
      </c>
      <c r="C402" s="377" t="s">
        <v>4819</v>
      </c>
      <c r="D402" s="6" t="str">
        <f>_xlfn.XLOOKUP(B402,Indices!$A$2:$A$2676,Indices!$B$2:$B$2676,"")</f>
        <v/>
      </c>
    </row>
    <row r="403" spans="1:4" x14ac:dyDescent="0.25">
      <c r="A403" s="379">
        <v>45782.586805555555</v>
      </c>
      <c r="B403" s="382" t="s">
        <v>1698</v>
      </c>
      <c r="C403" s="377" t="s">
        <v>4819</v>
      </c>
      <c r="D403" s="6" t="str">
        <f>_xlfn.XLOOKUP(B403,Indices!$A$2:$A$2676,Indices!$B$2:$B$2676,"")</f>
        <v>IWM</v>
      </c>
    </row>
    <row r="404" spans="1:4" x14ac:dyDescent="0.25">
      <c r="A404" s="379">
        <v>45782.586805555555</v>
      </c>
      <c r="B404" s="382" t="s">
        <v>1062</v>
      </c>
      <c r="C404" s="377" t="s">
        <v>4819</v>
      </c>
      <c r="D404" s="6" t="str">
        <f>_xlfn.XLOOKUP(B404,Indices!$A$2:$A$2676,Indices!$B$2:$B$2676,"")</f>
        <v>IWM</v>
      </c>
    </row>
    <row r="405" spans="1:4" x14ac:dyDescent="0.25">
      <c r="A405" s="379">
        <v>45782.586805555555</v>
      </c>
      <c r="B405" s="382" t="s">
        <v>1075</v>
      </c>
      <c r="C405" s="377" t="s">
        <v>4819</v>
      </c>
      <c r="D405" s="6" t="str">
        <f>_xlfn.XLOOKUP(B405,Indices!$A$2:$A$2676,Indices!$B$2:$B$2676,"")</f>
        <v>S&amp;P Mid</v>
      </c>
    </row>
    <row r="406" spans="1:4" x14ac:dyDescent="0.25">
      <c r="A406" s="379">
        <v>45782.586805555555</v>
      </c>
      <c r="B406" s="382" t="s">
        <v>95</v>
      </c>
      <c r="C406" s="377" t="s">
        <v>4819</v>
      </c>
      <c r="D406" s="6" t="str">
        <f>_xlfn.XLOOKUP(B406,Indices!$A$2:$A$2676,Indices!$B$2:$B$2676,"")</f>
        <v>IWM</v>
      </c>
    </row>
    <row r="407" spans="1:4" x14ac:dyDescent="0.25">
      <c r="A407" s="379">
        <v>45782.586805555555</v>
      </c>
      <c r="B407" s="382" t="s">
        <v>3350</v>
      </c>
      <c r="C407" s="377" t="s">
        <v>4819</v>
      </c>
      <c r="D407" s="6" t="str">
        <f>_xlfn.XLOOKUP(B407,Indices!$A$2:$A$2676,Indices!$B$2:$B$2676,"")</f>
        <v/>
      </c>
    </row>
    <row r="408" spans="1:4" x14ac:dyDescent="0.25">
      <c r="A408" s="379">
        <v>45782.586805555555</v>
      </c>
      <c r="B408" s="382" t="s">
        <v>108</v>
      </c>
      <c r="C408" s="377" t="s">
        <v>4819</v>
      </c>
      <c r="D408" s="6" t="str">
        <f>_xlfn.XLOOKUP(B408,Indices!$A$2:$A$2676,Indices!$B$2:$B$2676,"")</f>
        <v>IWM</v>
      </c>
    </row>
    <row r="409" spans="1:4" x14ac:dyDescent="0.25">
      <c r="A409" s="379">
        <v>45782.586805555555</v>
      </c>
      <c r="B409" s="382" t="s">
        <v>2458</v>
      </c>
      <c r="C409" s="377" t="s">
        <v>4819</v>
      </c>
      <c r="D409" s="6" t="str">
        <f>_xlfn.XLOOKUP(B409,Indices!$A$2:$A$2676,Indices!$B$2:$B$2676,"")</f>
        <v>S&amp;P Mid</v>
      </c>
    </row>
    <row r="410" spans="1:4" x14ac:dyDescent="0.25">
      <c r="A410" s="379">
        <v>45782.586805555555</v>
      </c>
      <c r="B410" s="382" t="s">
        <v>110</v>
      </c>
      <c r="C410" s="377" t="s">
        <v>4819</v>
      </c>
      <c r="D410" s="6" t="str">
        <f>_xlfn.XLOOKUP(B410,Indices!$A$2:$A$2676,Indices!$B$2:$B$2676,"")</f>
        <v>IWM</v>
      </c>
    </row>
    <row r="411" spans="1:4" x14ac:dyDescent="0.25">
      <c r="A411" s="379">
        <v>45782.586805555555</v>
      </c>
      <c r="B411" s="382" t="s">
        <v>2492</v>
      </c>
      <c r="C411" s="377" t="s">
        <v>4819</v>
      </c>
      <c r="D411" s="6" t="str">
        <f>_xlfn.XLOOKUP(B411,Indices!$A$2:$A$2676,Indices!$B$2:$B$2676,"")</f>
        <v>S&amp;P Mid</v>
      </c>
    </row>
    <row r="412" spans="1:4" x14ac:dyDescent="0.25">
      <c r="A412" s="379">
        <v>45782.586805555555</v>
      </c>
      <c r="B412" s="382" t="s">
        <v>1696</v>
      </c>
      <c r="C412" s="377" t="s">
        <v>4819</v>
      </c>
      <c r="D412" s="6" t="str">
        <f>_xlfn.XLOOKUP(B412,Indices!$A$2:$A$2676,Indices!$B$2:$B$2676,"")</f>
        <v>IWM</v>
      </c>
    </row>
    <row r="413" spans="1:4" x14ac:dyDescent="0.25">
      <c r="A413" s="379">
        <v>45782.586805555555</v>
      </c>
      <c r="B413" s="382" t="s">
        <v>1670</v>
      </c>
      <c r="C413" s="377" t="s">
        <v>4819</v>
      </c>
      <c r="D413" s="6" t="str">
        <f>_xlfn.XLOOKUP(B413,Indices!$A$2:$A$2676,Indices!$B$2:$B$2676,"")</f>
        <v>IWM</v>
      </c>
    </row>
    <row r="414" spans="1:4" x14ac:dyDescent="0.25">
      <c r="A414" s="379">
        <v>45782.586805555555</v>
      </c>
      <c r="B414" s="382" t="s">
        <v>398</v>
      </c>
      <c r="C414" s="377" t="s">
        <v>4819</v>
      </c>
      <c r="D414" s="6" t="str">
        <f>_xlfn.XLOOKUP(B414,Indices!$A$2:$A$2676,Indices!$B$2:$B$2676,"")</f>
        <v>IWM</v>
      </c>
    </row>
    <row r="415" spans="1:4" x14ac:dyDescent="0.25">
      <c r="A415" s="379">
        <v>45782.586805555555</v>
      </c>
      <c r="B415" s="382" t="s">
        <v>2590</v>
      </c>
      <c r="C415" s="377" t="s">
        <v>4819</v>
      </c>
      <c r="D415" s="6" t="str">
        <f>_xlfn.XLOOKUP(B415,Indices!$A$2:$A$2676,Indices!$B$2:$B$2676,"")</f>
        <v/>
      </c>
    </row>
    <row r="416" spans="1:4" x14ac:dyDescent="0.25">
      <c r="A416" s="379">
        <v>45782.586805555555</v>
      </c>
      <c r="B416" s="382" t="s">
        <v>2324</v>
      </c>
      <c r="C416" s="377" t="s">
        <v>4819</v>
      </c>
      <c r="D416" s="6" t="str">
        <f>_xlfn.XLOOKUP(B416,Indices!$A$2:$A$2676,Indices!$B$2:$B$2676,"")</f>
        <v>IWM</v>
      </c>
    </row>
    <row r="417" spans="1:4" x14ac:dyDescent="0.25">
      <c r="A417" s="379">
        <v>45782.586805555555</v>
      </c>
      <c r="B417" s="382" t="s">
        <v>3076</v>
      </c>
      <c r="C417" s="377" t="s">
        <v>4819</v>
      </c>
      <c r="D417" s="6" t="str">
        <f>_xlfn.XLOOKUP(B417,Indices!$A$2:$A$2676,Indices!$B$2:$B$2676,"")</f>
        <v/>
      </c>
    </row>
    <row r="418" spans="1:4" x14ac:dyDescent="0.25">
      <c r="A418" s="379">
        <v>45782.586805555555</v>
      </c>
      <c r="B418" s="382" t="s">
        <v>1423</v>
      </c>
      <c r="C418" s="377" t="s">
        <v>4819</v>
      </c>
      <c r="D418" s="6" t="str">
        <f>_xlfn.XLOOKUP(B418,Indices!$A$2:$A$2676,Indices!$B$2:$B$2676,"")</f>
        <v>SP500</v>
      </c>
    </row>
    <row r="419" spans="1:4" x14ac:dyDescent="0.25">
      <c r="A419" s="379">
        <v>45782.586805555555</v>
      </c>
      <c r="B419" s="382" t="s">
        <v>104</v>
      </c>
      <c r="C419" s="377" t="s">
        <v>4819</v>
      </c>
      <c r="D419" s="6" t="str">
        <f>_xlfn.XLOOKUP(B419,Indices!$A$2:$A$2676,Indices!$B$2:$B$2676,"")</f>
        <v>IWM</v>
      </c>
    </row>
    <row r="420" spans="1:4" x14ac:dyDescent="0.25">
      <c r="A420" s="379">
        <v>45782.586805555555</v>
      </c>
      <c r="B420" s="382" t="s">
        <v>90</v>
      </c>
      <c r="C420" s="377" t="s">
        <v>4819</v>
      </c>
      <c r="D420" s="6" t="str">
        <f>_xlfn.XLOOKUP(B420,Indices!$A$2:$A$2676,Indices!$B$2:$B$2676,"")</f>
        <v>IWM</v>
      </c>
    </row>
    <row r="421" spans="1:4" x14ac:dyDescent="0.25">
      <c r="A421" s="379">
        <v>45782.586805555555</v>
      </c>
      <c r="B421" s="382" t="s">
        <v>89</v>
      </c>
      <c r="C421" s="377" t="s">
        <v>4819</v>
      </c>
      <c r="D421" s="6" t="str">
        <f>_xlfn.XLOOKUP(B421,Indices!$A$2:$A$2676,Indices!$B$2:$B$2676,"")</f>
        <v>SP500</v>
      </c>
    </row>
    <row r="422" spans="1:4" x14ac:dyDescent="0.25">
      <c r="A422" s="379">
        <v>45782.586805555555</v>
      </c>
      <c r="B422" s="382" t="s">
        <v>744</v>
      </c>
      <c r="C422" s="377" t="s">
        <v>4819</v>
      </c>
      <c r="D422" s="6" t="str">
        <f>_xlfn.XLOOKUP(B422,Indices!$A$2:$A$2676,Indices!$B$2:$B$2676,"")</f>
        <v>IWM</v>
      </c>
    </row>
    <row r="423" spans="1:4" x14ac:dyDescent="0.25">
      <c r="A423" s="379">
        <v>45782.586805555555</v>
      </c>
      <c r="B423" s="382" t="s">
        <v>961</v>
      </c>
      <c r="C423" s="377" t="s">
        <v>4819</v>
      </c>
      <c r="D423" s="6" t="str">
        <f>_xlfn.XLOOKUP(B423,Indices!$A$2:$A$2676,Indices!$B$2:$B$2676,"")</f>
        <v>IWM</v>
      </c>
    </row>
    <row r="424" spans="1:4" x14ac:dyDescent="0.25">
      <c r="A424" s="379">
        <v>45782.586805555555</v>
      </c>
      <c r="B424" s="382" t="s">
        <v>3068</v>
      </c>
      <c r="C424" s="377" t="s">
        <v>4819</v>
      </c>
      <c r="D424" s="6" t="str">
        <f>_xlfn.XLOOKUP(B424,Indices!$A$2:$A$2676,Indices!$B$2:$B$2676,"")</f>
        <v/>
      </c>
    </row>
    <row r="425" spans="1:4" x14ac:dyDescent="0.25">
      <c r="A425" s="379">
        <v>45782.586805555555</v>
      </c>
      <c r="B425" s="382" t="s">
        <v>2254</v>
      </c>
      <c r="C425" s="377" t="s">
        <v>4819</v>
      </c>
      <c r="D425" s="6" t="str">
        <f>_xlfn.XLOOKUP(B425,Indices!$A$2:$A$2676,Indices!$B$2:$B$2676,"")</f>
        <v>IWM</v>
      </c>
    </row>
    <row r="426" spans="1:4" x14ac:dyDescent="0.25">
      <c r="A426" s="379">
        <v>45782.586805555555</v>
      </c>
      <c r="B426" s="382" t="s">
        <v>2104</v>
      </c>
      <c r="C426" s="377" t="s">
        <v>4819</v>
      </c>
      <c r="D426" s="6" t="str">
        <f>_xlfn.XLOOKUP(B426,Indices!$A$2:$A$2676,Indices!$B$2:$B$2676,"")</f>
        <v>IWM</v>
      </c>
    </row>
    <row r="427" spans="1:4" x14ac:dyDescent="0.25">
      <c r="A427" s="379">
        <v>45782.586805555555</v>
      </c>
      <c r="B427" s="382" t="s">
        <v>713</v>
      </c>
      <c r="C427" s="377" t="s">
        <v>4819</v>
      </c>
      <c r="D427" s="6" t="str">
        <f>_xlfn.XLOOKUP(B427,Indices!$A$2:$A$2676,Indices!$B$2:$B$2676,"")</f>
        <v>IWM</v>
      </c>
    </row>
    <row r="428" spans="1:4" x14ac:dyDescent="0.25">
      <c r="A428" s="379">
        <v>45782.586805555555</v>
      </c>
      <c r="B428" s="382" t="s">
        <v>83</v>
      </c>
      <c r="C428" s="377" t="s">
        <v>4819</v>
      </c>
      <c r="D428" s="6" t="str">
        <f>_xlfn.XLOOKUP(B428,Indices!$A$2:$A$2676,Indices!$B$2:$B$2676,"")</f>
        <v>IWM</v>
      </c>
    </row>
    <row r="429" spans="1:4" x14ac:dyDescent="0.25">
      <c r="A429" s="379">
        <v>45782.586805555555</v>
      </c>
      <c r="B429" s="382" t="s">
        <v>779</v>
      </c>
      <c r="C429" s="377" t="s">
        <v>4819</v>
      </c>
      <c r="D429" s="6" t="str">
        <f>_xlfn.XLOOKUP(B429,Indices!$A$2:$A$2676,Indices!$B$2:$B$2676,"")</f>
        <v>IWM</v>
      </c>
    </row>
    <row r="430" spans="1:4" x14ac:dyDescent="0.25">
      <c r="A430" s="379">
        <v>45782.587500000001</v>
      </c>
      <c r="B430" s="382" t="s">
        <v>94</v>
      </c>
      <c r="C430" s="377" t="s">
        <v>4821</v>
      </c>
      <c r="D430" s="6" t="str">
        <f>_xlfn.XLOOKUP(B430,Indices!$A$2:$A$2676,Indices!$B$2:$B$2676,"")</f>
        <v>IWM</v>
      </c>
    </row>
    <row r="431" spans="1:4" x14ac:dyDescent="0.25">
      <c r="A431" s="379">
        <v>45782.587500000001</v>
      </c>
      <c r="B431" s="382" t="s">
        <v>116</v>
      </c>
      <c r="C431" s="377" t="s">
        <v>4821</v>
      </c>
      <c r="D431" s="6" t="str">
        <f>_xlfn.XLOOKUP(B431,Indices!$A$2:$A$2676,Indices!$B$2:$B$2676,"")</f>
        <v>IWM</v>
      </c>
    </row>
    <row r="432" spans="1:4" x14ac:dyDescent="0.25">
      <c r="A432" s="379">
        <v>45782.588194444441</v>
      </c>
      <c r="B432" s="382" t="s">
        <v>114</v>
      </c>
      <c r="C432" s="377" t="s">
        <v>4822</v>
      </c>
      <c r="D432" s="6" t="str">
        <f>_xlfn.XLOOKUP(B432,Indices!$A$2:$A$2676,Indices!$B$2:$B$2676,"")</f>
        <v>SP500</v>
      </c>
    </row>
    <row r="433" spans="1:4" x14ac:dyDescent="0.25">
      <c r="A433" s="379">
        <v>45782.588194444441</v>
      </c>
      <c r="B433" s="382" t="s">
        <v>2483</v>
      </c>
      <c r="C433" s="377" t="s">
        <v>4822</v>
      </c>
      <c r="D433" s="6" t="str">
        <f>_xlfn.XLOOKUP(B433,Indices!$A$2:$A$2676,Indices!$B$2:$B$2676,"")</f>
        <v>S&amp;P Mid</v>
      </c>
    </row>
    <row r="434" spans="1:4" x14ac:dyDescent="0.25">
      <c r="A434" s="379">
        <v>45782.588888888888</v>
      </c>
      <c r="B434" s="382" t="s">
        <v>119</v>
      </c>
      <c r="C434" s="377" t="s">
        <v>4823</v>
      </c>
      <c r="D434" s="6" t="str">
        <f>_xlfn.XLOOKUP(B434,Indices!$A$2:$A$2676,Indices!$B$2:$B$2676,"")</f>
        <v>S&amp;P Mid</v>
      </c>
    </row>
    <row r="435" spans="1:4" x14ac:dyDescent="0.25">
      <c r="A435" s="379">
        <v>45782.589583333334</v>
      </c>
      <c r="B435" s="382" t="s">
        <v>984</v>
      </c>
      <c r="C435" s="377" t="s">
        <v>4824</v>
      </c>
      <c r="D435" s="6" t="str">
        <f>_xlfn.XLOOKUP(B435,Indices!$A$2:$A$2676,Indices!$B$2:$B$2676,"")</f>
        <v>IWM</v>
      </c>
    </row>
    <row r="436" spans="1:4" x14ac:dyDescent="0.25">
      <c r="A436" s="379">
        <v>45782.590277777781</v>
      </c>
      <c r="B436" s="382" t="s">
        <v>123</v>
      </c>
      <c r="C436" s="377" t="s">
        <v>4825</v>
      </c>
      <c r="D436" s="6" t="str">
        <f>_xlfn.XLOOKUP(B436,Indices!$A$2:$A$2676,Indices!$B$2:$B$2676,"")</f>
        <v>IWM</v>
      </c>
    </row>
    <row r="437" spans="1:4" x14ac:dyDescent="0.25">
      <c r="A437" s="379">
        <v>45782.590277777781</v>
      </c>
      <c r="B437" s="382" t="s">
        <v>3090</v>
      </c>
      <c r="C437" s="377" t="s">
        <v>4825</v>
      </c>
      <c r="D437" s="6" t="str">
        <f>_xlfn.XLOOKUP(B437,Indices!$A$2:$A$2676,Indices!$B$2:$B$2676,"")</f>
        <v/>
      </c>
    </row>
    <row r="438" spans="1:4" x14ac:dyDescent="0.25">
      <c r="A438" s="379">
        <v>45782.590277777781</v>
      </c>
      <c r="B438" s="382" t="s">
        <v>3214</v>
      </c>
      <c r="C438" s="377" t="s">
        <v>4825</v>
      </c>
      <c r="D438" s="6" t="str">
        <f>_xlfn.XLOOKUP(B438,Indices!$A$2:$A$2676,Indices!$B$2:$B$2676,"")</f>
        <v/>
      </c>
    </row>
    <row r="439" spans="1:4" x14ac:dyDescent="0.25">
      <c r="A439" s="379">
        <v>45782.590277777781</v>
      </c>
      <c r="B439" s="382" t="s">
        <v>1513</v>
      </c>
      <c r="C439" s="377" t="s">
        <v>4825</v>
      </c>
      <c r="D439" s="6" t="str">
        <f>_xlfn.XLOOKUP(B439,Indices!$A$2:$A$2676,Indices!$B$2:$B$2676,"")</f>
        <v>SP500</v>
      </c>
    </row>
    <row r="440" spans="1:4" x14ac:dyDescent="0.25">
      <c r="A440" s="379">
        <v>45782.590277777781</v>
      </c>
      <c r="B440" s="382" t="s">
        <v>3091</v>
      </c>
      <c r="C440" s="377" t="s">
        <v>4825</v>
      </c>
      <c r="D440" s="6" t="str">
        <f>_xlfn.XLOOKUP(B440,Indices!$A$2:$A$2676,Indices!$B$2:$B$2676,"")</f>
        <v/>
      </c>
    </row>
    <row r="441" spans="1:4" x14ac:dyDescent="0.25">
      <c r="A441" s="379">
        <v>45782.592361111114</v>
      </c>
      <c r="B441" s="382" t="b">
        <v>1</v>
      </c>
      <c r="C441" s="377" t="s">
        <v>4826</v>
      </c>
      <c r="D441" s="6" t="str">
        <f>_xlfn.XLOOKUP(B441,Indices!$A$2:$A$2676,Indices!$B$2:$B$2676,"")</f>
        <v/>
      </c>
    </row>
    <row r="442" spans="1:4" x14ac:dyDescent="0.25">
      <c r="A442" s="379">
        <v>45782.59375</v>
      </c>
      <c r="B442" s="382" t="s">
        <v>3073</v>
      </c>
      <c r="C442" s="377" t="s">
        <v>4827</v>
      </c>
      <c r="D442" s="6" t="str">
        <f>_xlfn.XLOOKUP(B442,Indices!$A$2:$A$2676,Indices!$B$2:$B$2676,"")</f>
        <v/>
      </c>
    </row>
    <row r="443" spans="1:4" x14ac:dyDescent="0.25">
      <c r="A443" s="379">
        <v>45782.59375</v>
      </c>
      <c r="B443" s="382" t="s">
        <v>431</v>
      </c>
      <c r="C443" s="377" t="s">
        <v>4827</v>
      </c>
      <c r="D443" s="6" t="str">
        <f>_xlfn.XLOOKUP(B443,Indices!$A$2:$A$2676,Indices!$B$2:$B$2676,"")</f>
        <v>SP500</v>
      </c>
    </row>
    <row r="444" spans="1:4" x14ac:dyDescent="0.25">
      <c r="A444" s="379">
        <v>45782.59375</v>
      </c>
      <c r="B444" s="382" t="s">
        <v>1931</v>
      </c>
      <c r="C444" s="377" t="s">
        <v>4827</v>
      </c>
      <c r="D444" s="6" t="str">
        <f>_xlfn.XLOOKUP(B444,Indices!$A$2:$A$2676,Indices!$B$2:$B$2676,"")</f>
        <v>IWM</v>
      </c>
    </row>
    <row r="445" spans="1:4" x14ac:dyDescent="0.25">
      <c r="A445" s="379">
        <v>45782.59375</v>
      </c>
      <c r="B445" s="382" t="s">
        <v>1906</v>
      </c>
      <c r="C445" s="377" t="s">
        <v>4827</v>
      </c>
      <c r="D445" s="6" t="str">
        <f>_xlfn.XLOOKUP(B445,Indices!$A$2:$A$2676,Indices!$B$2:$B$2676,"")</f>
        <v>IWM</v>
      </c>
    </row>
    <row r="446" spans="1:4" x14ac:dyDescent="0.25">
      <c r="A446" s="379">
        <v>45782.59375</v>
      </c>
      <c r="B446" s="382" t="s">
        <v>2975</v>
      </c>
      <c r="C446" s="377" t="s">
        <v>4827</v>
      </c>
      <c r="D446" s="6" t="str">
        <f>_xlfn.XLOOKUP(B446,Indices!$A$2:$A$2676,Indices!$B$2:$B$2676,"")</f>
        <v/>
      </c>
    </row>
    <row r="447" spans="1:4" x14ac:dyDescent="0.25">
      <c r="A447" s="379">
        <v>45782.59375</v>
      </c>
      <c r="B447" s="382" t="s">
        <v>2128</v>
      </c>
      <c r="C447" s="377" t="s">
        <v>4827</v>
      </c>
      <c r="D447" s="6" t="str">
        <f>_xlfn.XLOOKUP(B447,Indices!$A$2:$A$2676,Indices!$B$2:$B$2676,"")</f>
        <v>IWM</v>
      </c>
    </row>
    <row r="448" spans="1:4" x14ac:dyDescent="0.25">
      <c r="A448" s="379">
        <v>45782.59375</v>
      </c>
      <c r="B448" s="382" t="s">
        <v>246</v>
      </c>
      <c r="C448" s="377" t="s">
        <v>4827</v>
      </c>
      <c r="D448" s="6" t="str">
        <f>_xlfn.XLOOKUP(B448,Indices!$A$2:$A$2676,Indices!$B$2:$B$2676,"")</f>
        <v>IWM</v>
      </c>
    </row>
    <row r="449" spans="1:4" x14ac:dyDescent="0.25">
      <c r="A449" s="379">
        <v>45782.59375</v>
      </c>
      <c r="B449" s="382" t="s">
        <v>393</v>
      </c>
      <c r="C449" s="377" t="s">
        <v>4827</v>
      </c>
      <c r="D449" s="6" t="str">
        <f>_xlfn.XLOOKUP(B449,Indices!$A$2:$A$2676,Indices!$B$2:$B$2676,"")</f>
        <v>IWM</v>
      </c>
    </row>
    <row r="450" spans="1:4" x14ac:dyDescent="0.25">
      <c r="A450" s="379">
        <v>45782.59375</v>
      </c>
      <c r="B450" s="382" t="s">
        <v>2586</v>
      </c>
      <c r="C450" s="377" t="s">
        <v>4827</v>
      </c>
      <c r="D450" s="6" t="str">
        <f>_xlfn.XLOOKUP(B450,Indices!$A$2:$A$2676,Indices!$B$2:$B$2676,"")</f>
        <v/>
      </c>
    </row>
    <row r="451" spans="1:4" x14ac:dyDescent="0.25">
      <c r="A451" s="379">
        <v>45782.59375</v>
      </c>
      <c r="B451" s="382" t="s">
        <v>1892</v>
      </c>
      <c r="C451" s="377" t="s">
        <v>4827</v>
      </c>
      <c r="D451" s="6" t="str">
        <f>_xlfn.XLOOKUP(B451,Indices!$A$2:$A$2676,Indices!$B$2:$B$2676,"")</f>
        <v>IWM</v>
      </c>
    </row>
    <row r="452" spans="1:4" x14ac:dyDescent="0.25">
      <c r="A452" s="379">
        <v>45782.59375</v>
      </c>
      <c r="B452" s="382" t="s">
        <v>1890</v>
      </c>
      <c r="C452" s="377" t="s">
        <v>4827</v>
      </c>
      <c r="D452" s="6" t="str">
        <f>_xlfn.XLOOKUP(B452,Indices!$A$2:$A$2676,Indices!$B$2:$B$2676,"")</f>
        <v>IWM</v>
      </c>
    </row>
    <row r="453" spans="1:4" x14ac:dyDescent="0.25">
      <c r="A453" s="379">
        <v>45782.59375</v>
      </c>
      <c r="B453" s="382" t="s">
        <v>3027</v>
      </c>
      <c r="C453" s="377" t="s">
        <v>4827</v>
      </c>
      <c r="D453" s="6" t="str">
        <f>_xlfn.XLOOKUP(B453,Indices!$A$2:$A$2676,Indices!$B$2:$B$2676,"")</f>
        <v/>
      </c>
    </row>
    <row r="454" spans="1:4" x14ac:dyDescent="0.25">
      <c r="A454" s="379">
        <v>45782.59375</v>
      </c>
      <c r="B454" s="382" t="s">
        <v>2587</v>
      </c>
      <c r="C454" s="377" t="s">
        <v>4827</v>
      </c>
      <c r="D454" s="6" t="str">
        <f>_xlfn.XLOOKUP(B454,Indices!$A$2:$A$2676,Indices!$B$2:$B$2676,"")</f>
        <v/>
      </c>
    </row>
    <row r="455" spans="1:4" x14ac:dyDescent="0.25">
      <c r="A455" s="379">
        <v>45782.59375</v>
      </c>
      <c r="B455" s="382" t="s">
        <v>138</v>
      </c>
      <c r="C455" s="377" t="s">
        <v>4827</v>
      </c>
      <c r="D455" s="6" t="str">
        <f>_xlfn.XLOOKUP(B455,Indices!$A$2:$A$2676,Indices!$B$2:$B$2676,"")</f>
        <v>IWM</v>
      </c>
    </row>
    <row r="456" spans="1:4" x14ac:dyDescent="0.25">
      <c r="A456" s="379">
        <v>45782.59375</v>
      </c>
      <c r="B456" s="382" t="s">
        <v>133</v>
      </c>
      <c r="C456" s="377" t="s">
        <v>4827</v>
      </c>
      <c r="D456" s="6" t="str">
        <f>_xlfn.XLOOKUP(B456,Indices!$A$2:$A$2676,Indices!$B$2:$B$2676,"")</f>
        <v>IWM</v>
      </c>
    </row>
    <row r="457" spans="1:4" x14ac:dyDescent="0.25">
      <c r="A457" s="379">
        <v>45782.59375</v>
      </c>
      <c r="B457" s="382" t="s">
        <v>3997</v>
      </c>
      <c r="C457" s="377" t="s">
        <v>4827</v>
      </c>
      <c r="D457" s="6" t="str">
        <f>_xlfn.XLOOKUP(B457,Indices!$A$2:$A$2676,Indices!$B$2:$B$2676,"")</f>
        <v/>
      </c>
    </row>
    <row r="458" spans="1:4" x14ac:dyDescent="0.25">
      <c r="A458" s="379">
        <v>45782.59375</v>
      </c>
      <c r="B458" s="382" t="s">
        <v>3080</v>
      </c>
      <c r="C458" s="377" t="s">
        <v>4827</v>
      </c>
      <c r="D458" s="6" t="str">
        <f>_xlfn.XLOOKUP(B458,Indices!$A$2:$A$2676,Indices!$B$2:$B$2676,"")</f>
        <v/>
      </c>
    </row>
    <row r="459" spans="1:4" x14ac:dyDescent="0.25">
      <c r="A459" s="379">
        <v>45782.59375</v>
      </c>
      <c r="B459" s="382" t="s">
        <v>3149</v>
      </c>
      <c r="C459" s="377" t="s">
        <v>4827</v>
      </c>
      <c r="D459" s="6" t="str">
        <f>_xlfn.XLOOKUP(B459,Indices!$A$2:$A$2676,Indices!$B$2:$B$2676,"")</f>
        <v/>
      </c>
    </row>
    <row r="460" spans="1:4" x14ac:dyDescent="0.25">
      <c r="A460" s="379">
        <v>45782.59375</v>
      </c>
      <c r="B460" s="382" t="s">
        <v>143</v>
      </c>
      <c r="C460" s="377" t="s">
        <v>4827</v>
      </c>
      <c r="D460" s="6" t="str">
        <f>_xlfn.XLOOKUP(B460,Indices!$A$2:$A$2676,Indices!$B$2:$B$2676,"")</f>
        <v>S&amp;P Mid</v>
      </c>
    </row>
    <row r="461" spans="1:4" x14ac:dyDescent="0.25">
      <c r="A461" s="379">
        <v>45782.59375</v>
      </c>
      <c r="B461" s="382" t="s">
        <v>3089</v>
      </c>
      <c r="C461" s="377" t="s">
        <v>4827</v>
      </c>
      <c r="D461" s="6" t="str">
        <f>_xlfn.XLOOKUP(B461,Indices!$A$2:$A$2676,Indices!$B$2:$B$2676,"")</f>
        <v/>
      </c>
    </row>
    <row r="462" spans="1:4" x14ac:dyDescent="0.25">
      <c r="A462" s="379">
        <v>45782.59375</v>
      </c>
      <c r="B462" s="382" t="s">
        <v>128</v>
      </c>
      <c r="C462" s="377" t="s">
        <v>4827</v>
      </c>
      <c r="D462" s="6" t="str">
        <f>_xlfn.XLOOKUP(B462,Indices!$A$2:$A$2676,Indices!$B$2:$B$2676,"")</f>
        <v>IWM</v>
      </c>
    </row>
    <row r="463" spans="1:4" x14ac:dyDescent="0.25">
      <c r="A463" s="379">
        <v>45782.59375</v>
      </c>
      <c r="B463" s="382" t="s">
        <v>118</v>
      </c>
      <c r="C463" s="377" t="s">
        <v>4827</v>
      </c>
      <c r="D463" s="6" t="str">
        <f>_xlfn.XLOOKUP(B463,Indices!$A$2:$A$2676,Indices!$B$2:$B$2676,"")</f>
        <v>IWM</v>
      </c>
    </row>
    <row r="464" spans="1:4" x14ac:dyDescent="0.25">
      <c r="A464" s="379">
        <v>45782.595833333333</v>
      </c>
      <c r="B464" s="382" t="s">
        <v>877</v>
      </c>
      <c r="C464" s="377" t="s">
        <v>4828</v>
      </c>
      <c r="D464" s="6" t="str">
        <f>_xlfn.XLOOKUP(B464,Indices!$A$2:$A$2676,Indices!$B$2:$B$2676,"")</f>
        <v>IWM</v>
      </c>
    </row>
    <row r="465" spans="1:4" x14ac:dyDescent="0.25">
      <c r="A465" s="379">
        <v>45782.597222222219</v>
      </c>
      <c r="B465" s="382" t="s">
        <v>3066</v>
      </c>
      <c r="C465" s="377" t="s">
        <v>4829</v>
      </c>
      <c r="D465" s="6" t="str">
        <f>_xlfn.XLOOKUP(B465,Indices!$A$2:$A$2676,Indices!$B$2:$B$2676,"")</f>
        <v/>
      </c>
    </row>
    <row r="466" spans="1:4" x14ac:dyDescent="0.25">
      <c r="A466" s="379">
        <v>45782.598611111112</v>
      </c>
      <c r="B466" s="382" t="s">
        <v>4407</v>
      </c>
      <c r="C466" s="377" t="s">
        <v>4830</v>
      </c>
      <c r="D466" s="6" t="str">
        <f>_xlfn.XLOOKUP(B466,Indices!$A$2:$A$2676,Indices!$B$2:$B$2676,"")</f>
        <v/>
      </c>
    </row>
    <row r="467" spans="1:4" x14ac:dyDescent="0.25">
      <c r="A467" s="379">
        <v>45782.600694444445</v>
      </c>
      <c r="B467" s="382" t="s">
        <v>3103</v>
      </c>
      <c r="C467" s="377" t="s">
        <v>4831</v>
      </c>
      <c r="D467" s="6" t="str">
        <f>_xlfn.XLOOKUP(B467,Indices!$A$2:$A$2676,Indices!$B$2:$B$2676,"")</f>
        <v/>
      </c>
    </row>
    <row r="468" spans="1:4" x14ac:dyDescent="0.25">
      <c r="A468" s="379">
        <v>45782.600694444445</v>
      </c>
      <c r="B468" s="382" t="s">
        <v>3071</v>
      </c>
      <c r="C468" s="377" t="s">
        <v>4832</v>
      </c>
      <c r="D468" s="6" t="str">
        <f>_xlfn.XLOOKUP(B468,Indices!$A$2:$A$2676,Indices!$B$2:$B$2676,"")</f>
        <v/>
      </c>
    </row>
    <row r="469" spans="1:4" x14ac:dyDescent="0.25">
      <c r="A469" s="379">
        <v>45782.602083333331</v>
      </c>
      <c r="B469" s="382" t="s">
        <v>145</v>
      </c>
      <c r="C469" s="377" t="s">
        <v>4833</v>
      </c>
      <c r="D469" s="6" t="str">
        <f>_xlfn.XLOOKUP(B469,Indices!$A$2:$A$2676,Indices!$B$2:$B$2676,"")</f>
        <v>IWM</v>
      </c>
    </row>
    <row r="470" spans="1:4" x14ac:dyDescent="0.25">
      <c r="A470" s="379">
        <v>45782.603472222225</v>
      </c>
      <c r="B470" s="382" t="s">
        <v>817</v>
      </c>
      <c r="C470" s="377" t="s">
        <v>4834</v>
      </c>
      <c r="D470" s="6" t="str">
        <f>_xlfn.XLOOKUP(B470,Indices!$A$2:$A$2676,Indices!$B$2:$B$2676,"")</f>
        <v>IWM</v>
      </c>
    </row>
    <row r="471" spans="1:4" x14ac:dyDescent="0.25">
      <c r="A471" s="379">
        <v>45782.603472222225</v>
      </c>
      <c r="B471" s="382" t="s">
        <v>2974</v>
      </c>
      <c r="C471" s="377" t="s">
        <v>4834</v>
      </c>
      <c r="D471" s="6" t="str">
        <f>_xlfn.XLOOKUP(B471,Indices!$A$2:$A$2676,Indices!$B$2:$B$2676,"")</f>
        <v/>
      </c>
    </row>
    <row r="472" spans="1:4" x14ac:dyDescent="0.25">
      <c r="A472" s="379">
        <v>45782.604166666664</v>
      </c>
      <c r="B472" s="382" t="s">
        <v>2065</v>
      </c>
      <c r="C472" s="377" t="s">
        <v>4835</v>
      </c>
      <c r="D472" s="6" t="str">
        <f>_xlfn.XLOOKUP(B472,Indices!$A$2:$A$2676,Indices!$B$2:$B$2676,"")</f>
        <v>IWM</v>
      </c>
    </row>
    <row r="473" spans="1:4" x14ac:dyDescent="0.25">
      <c r="A473" s="379">
        <v>45782.604166666664</v>
      </c>
      <c r="B473" s="382" t="s">
        <v>156</v>
      </c>
      <c r="C473" s="377" t="s">
        <v>4835</v>
      </c>
      <c r="D473" s="6" t="str">
        <f>_xlfn.XLOOKUP(B473,Indices!$A$2:$A$2676,Indices!$B$2:$B$2676,"")</f>
        <v>IWM</v>
      </c>
    </row>
    <row r="474" spans="1:4" x14ac:dyDescent="0.25">
      <c r="A474" s="379">
        <v>45782.604166666664</v>
      </c>
      <c r="B474" s="382" t="s">
        <v>149</v>
      </c>
      <c r="C474" s="377" t="s">
        <v>4835</v>
      </c>
      <c r="D474" s="6" t="str">
        <f>_xlfn.XLOOKUP(B474,Indices!$A$2:$A$2676,Indices!$B$2:$B$2676,"")</f>
        <v>IWM</v>
      </c>
    </row>
    <row r="475" spans="1:4" x14ac:dyDescent="0.25">
      <c r="A475" s="379">
        <v>45782.604166666664</v>
      </c>
      <c r="B475" s="382" t="s">
        <v>146</v>
      </c>
      <c r="C475" s="377" t="s">
        <v>4835</v>
      </c>
      <c r="D475" s="6" t="str">
        <f>_xlfn.XLOOKUP(B475,Indices!$A$2:$A$2676,Indices!$B$2:$B$2676,"")</f>
        <v>IWM</v>
      </c>
    </row>
    <row r="476" spans="1:4" x14ac:dyDescent="0.25">
      <c r="A476" s="379">
        <v>45782.604861111111</v>
      </c>
      <c r="B476" s="382" t="s">
        <v>1132</v>
      </c>
      <c r="C476" s="377" t="s">
        <v>4836</v>
      </c>
      <c r="D476" s="6" t="str">
        <f>_xlfn.XLOOKUP(B476,Indices!$A$2:$A$2676,Indices!$B$2:$B$2676,"")</f>
        <v>IWM</v>
      </c>
    </row>
    <row r="477" spans="1:4" x14ac:dyDescent="0.25">
      <c r="A477" s="379">
        <v>45782.606944444444</v>
      </c>
      <c r="B477" s="382" t="s">
        <v>137</v>
      </c>
      <c r="C477" s="377" t="s">
        <v>4837</v>
      </c>
      <c r="D477" s="6" t="str">
        <f>_xlfn.XLOOKUP(B477,Indices!$A$2:$A$2676,Indices!$B$2:$B$2676,"")</f>
        <v>S&amp;P Mid</v>
      </c>
    </row>
    <row r="478" spans="1:4" x14ac:dyDescent="0.25">
      <c r="A478" s="379">
        <v>45782.611111111109</v>
      </c>
      <c r="B478" s="382" t="s">
        <v>876</v>
      </c>
      <c r="C478" s="377" t="s">
        <v>4838</v>
      </c>
      <c r="D478" s="6" t="str">
        <f>_xlfn.XLOOKUP(B478,Indices!$A$2:$A$2676,Indices!$B$2:$B$2676,"")</f>
        <v>IWM</v>
      </c>
    </row>
    <row r="479" spans="1:4" x14ac:dyDescent="0.25">
      <c r="A479" s="379">
        <v>45782.615972222222</v>
      </c>
      <c r="B479" s="382" t="s">
        <v>1524</v>
      </c>
      <c r="C479" s="377" t="s">
        <v>4839</v>
      </c>
      <c r="D479" s="6" t="str">
        <f>_xlfn.XLOOKUP(B479,Indices!$A$2:$A$2676,Indices!$B$2:$B$2676,"")</f>
        <v>SP500</v>
      </c>
    </row>
    <row r="480" spans="1:4" x14ac:dyDescent="0.25">
      <c r="A480" s="379">
        <v>45782.621527777781</v>
      </c>
      <c r="B480" s="382" t="s">
        <v>124</v>
      </c>
      <c r="C480" s="377" t="s">
        <v>4840</v>
      </c>
      <c r="D480" s="6" t="str">
        <f>_xlfn.XLOOKUP(B480,Indices!$A$2:$A$2676,Indices!$B$2:$B$2676,"")</f>
        <v>SP500</v>
      </c>
    </row>
    <row r="481" spans="1:4" x14ac:dyDescent="0.25">
      <c r="A481" s="379">
        <v>45782.62222222222</v>
      </c>
      <c r="B481" s="382" t="s">
        <v>152</v>
      </c>
      <c r="C481" s="377" t="s">
        <v>4841</v>
      </c>
      <c r="D481" s="6" t="str">
        <f>_xlfn.XLOOKUP(B481,Indices!$A$2:$A$2676,Indices!$B$2:$B$2676,"")</f>
        <v>IWM</v>
      </c>
    </row>
    <row r="482" spans="1:4" x14ac:dyDescent="0.25">
      <c r="A482" s="379">
        <v>45782.625</v>
      </c>
      <c r="B482" s="382" t="s">
        <v>2883</v>
      </c>
      <c r="C482" s="377" t="s">
        <v>3065</v>
      </c>
      <c r="D482" s="6" t="str">
        <f>_xlfn.XLOOKUP(B482,Indices!$A$2:$A$2676,Indices!$B$2:$B$2676,"")</f>
        <v/>
      </c>
    </row>
    <row r="483" spans="1:4" x14ac:dyDescent="0.25">
      <c r="A483" s="379">
        <v>45782.625</v>
      </c>
      <c r="B483" s="382" t="s">
        <v>498</v>
      </c>
      <c r="C483" s="377" t="s">
        <v>4842</v>
      </c>
      <c r="D483" s="6" t="str">
        <f>_xlfn.XLOOKUP(B483,Indices!$A$2:$A$2676,Indices!$B$2:$B$2676,"")</f>
        <v>IWM</v>
      </c>
    </row>
    <row r="484" spans="1:4" x14ac:dyDescent="0.25">
      <c r="A484" s="379">
        <v>45782.625</v>
      </c>
      <c r="B484" s="382" t="s">
        <v>3294</v>
      </c>
      <c r="C484" s="377" t="s">
        <v>4842</v>
      </c>
      <c r="D484" s="6" t="str">
        <f>_xlfn.XLOOKUP(B484,Indices!$A$2:$A$2676,Indices!$B$2:$B$2676,"")</f>
        <v/>
      </c>
    </row>
    <row r="485" spans="1:4" x14ac:dyDescent="0.25">
      <c r="A485" s="379">
        <v>45782.625</v>
      </c>
      <c r="B485" s="382" t="s">
        <v>1008</v>
      </c>
      <c r="C485" s="377" t="s">
        <v>3065</v>
      </c>
      <c r="D485" s="6" t="str">
        <f>_xlfn.XLOOKUP(B485,Indices!$A$2:$A$2676,Indices!$B$2:$B$2676,"")</f>
        <v>IWM</v>
      </c>
    </row>
    <row r="486" spans="1:4" x14ac:dyDescent="0.25">
      <c r="A486" s="379">
        <v>45782.625</v>
      </c>
      <c r="B486" s="382" t="s">
        <v>1077</v>
      </c>
      <c r="C486" s="377" t="s">
        <v>4842</v>
      </c>
      <c r="D486" s="6" t="str">
        <f>_xlfn.XLOOKUP(B486,Indices!$A$2:$A$2676,Indices!$B$2:$B$2676,"")</f>
        <v>S&amp;P Mid</v>
      </c>
    </row>
    <row r="487" spans="1:4" x14ac:dyDescent="0.25">
      <c r="A487" s="379">
        <v>45782.626388888886</v>
      </c>
      <c r="B487" s="382" t="s">
        <v>81</v>
      </c>
      <c r="C487" s="377" t="s">
        <v>4843</v>
      </c>
      <c r="D487" s="6" t="str">
        <f>_xlfn.XLOOKUP(B487,Indices!$A$2:$A$2676,Indices!$B$2:$B$2676,"")</f>
        <v>IWM</v>
      </c>
    </row>
    <row r="488" spans="1:4" x14ac:dyDescent="0.25">
      <c r="A488" s="379">
        <v>45782.629166666666</v>
      </c>
      <c r="B488" s="382" t="s">
        <v>3156</v>
      </c>
      <c r="C488" s="377" t="s">
        <v>4844</v>
      </c>
      <c r="D488" s="6" t="str">
        <f>_xlfn.XLOOKUP(B488,Indices!$A$2:$A$2676,Indices!$B$2:$B$2676,"")</f>
        <v/>
      </c>
    </row>
    <row r="489" spans="1:4" x14ac:dyDescent="0.25">
      <c r="A489" s="379">
        <v>45782.645833333336</v>
      </c>
      <c r="B489" s="382" t="s">
        <v>3083</v>
      </c>
      <c r="C489" s="377" t="s">
        <v>4845</v>
      </c>
      <c r="D489" s="6" t="str">
        <f>_xlfn.XLOOKUP(B489,Indices!$A$2:$A$2676,Indices!$B$2:$B$2676,"")</f>
        <v/>
      </c>
    </row>
    <row r="490" spans="1:4" x14ac:dyDescent="0.25">
      <c r="A490" s="379">
        <v>45782.645833333336</v>
      </c>
      <c r="B490" s="382" t="s">
        <v>2010</v>
      </c>
      <c r="C490" s="377" t="s">
        <v>4845</v>
      </c>
      <c r="D490" s="6" t="str">
        <f>_xlfn.XLOOKUP(B490,Indices!$A$2:$A$2676,Indices!$B$2:$B$2676,"")</f>
        <v>IWM</v>
      </c>
    </row>
    <row r="491" spans="1:4" x14ac:dyDescent="0.25">
      <c r="A491" s="379">
        <v>45782.666666666664</v>
      </c>
      <c r="B491" s="382" t="s">
        <v>160</v>
      </c>
      <c r="C491" s="377" t="s">
        <v>4846</v>
      </c>
      <c r="D491" s="6" t="str">
        <f>_xlfn.XLOOKUP(B491,Indices!$A$2:$A$2676,Indices!$B$2:$B$2676,"")</f>
        <v>IWM</v>
      </c>
    </row>
    <row r="492" spans="1:4" x14ac:dyDescent="0.25">
      <c r="A492" s="379">
        <v>45782.670138888891</v>
      </c>
      <c r="B492" s="382" t="s">
        <v>2138</v>
      </c>
      <c r="C492" s="377" t="s">
        <v>4847</v>
      </c>
      <c r="D492" s="6" t="str">
        <f>_xlfn.XLOOKUP(B492,Indices!$A$2:$A$2676,Indices!$B$2:$B$2676,"")</f>
        <v>IWM</v>
      </c>
    </row>
    <row r="493" spans="1:4" x14ac:dyDescent="0.25">
      <c r="A493" s="379">
        <v>45782.708333333336</v>
      </c>
      <c r="B493" s="382" t="s">
        <v>3074</v>
      </c>
      <c r="C493" s="377" t="s">
        <v>4848</v>
      </c>
      <c r="D493" s="6" t="str">
        <f>_xlfn.XLOOKUP(B493,Indices!$A$2:$A$2676,Indices!$B$2:$B$2676,"")</f>
        <v/>
      </c>
    </row>
    <row r="494" spans="1:4" x14ac:dyDescent="0.25">
      <c r="A494" s="379">
        <v>45782.958333333336</v>
      </c>
      <c r="B494" s="382" t="s">
        <v>997</v>
      </c>
      <c r="C494" s="377" t="s">
        <v>4850</v>
      </c>
      <c r="D494" s="6" t="str">
        <f>_xlfn.XLOOKUP(B494,Indices!$A$2:$A$2676,Indices!$B$2:$B$2676,"")</f>
        <v>IWM</v>
      </c>
    </row>
    <row r="495" spans="1:4" x14ac:dyDescent="0.25">
      <c r="A495" s="379">
        <v>45782.958333333336</v>
      </c>
      <c r="B495" s="382" t="s">
        <v>3115</v>
      </c>
      <c r="C495" s="377" t="s">
        <v>4850</v>
      </c>
      <c r="D495" s="6" t="str">
        <f>_xlfn.XLOOKUP(B495,Indices!$A$2:$A$2676,Indices!$B$2:$B$2676,"")</f>
        <v/>
      </c>
    </row>
    <row r="496" spans="1:4" x14ac:dyDescent="0.25">
      <c r="A496" s="379">
        <v>45782.958333333336</v>
      </c>
      <c r="B496" s="382" t="s">
        <v>3121</v>
      </c>
      <c r="C496" s="377" t="s">
        <v>4849</v>
      </c>
      <c r="D496" s="6" t="str">
        <f>_xlfn.XLOOKUP(B496,Indices!$A$2:$A$2676,Indices!$B$2:$B$2676,"")</f>
        <v/>
      </c>
    </row>
    <row r="497" spans="1:4" x14ac:dyDescent="0.25">
      <c r="A497" s="379">
        <v>45782.958333333336</v>
      </c>
      <c r="B497" s="382" t="s">
        <v>3111</v>
      </c>
      <c r="C497" s="377" t="s">
        <v>4850</v>
      </c>
      <c r="D497" s="6" t="str">
        <f>_xlfn.XLOOKUP(B497,Indices!$A$2:$A$2676,Indices!$B$2:$B$2676,"")</f>
        <v/>
      </c>
    </row>
    <row r="498" spans="1:4" x14ac:dyDescent="0.25">
      <c r="A498" s="379">
        <v>45782.958333333336</v>
      </c>
      <c r="B498" s="382" t="s">
        <v>3132</v>
      </c>
      <c r="C498" s="377" t="s">
        <v>4849</v>
      </c>
      <c r="D498" s="6" t="str">
        <f>_xlfn.XLOOKUP(B498,Indices!$A$2:$A$2676,Indices!$B$2:$B$2676,"")</f>
        <v/>
      </c>
    </row>
    <row r="499" spans="1:4" x14ac:dyDescent="0.25">
      <c r="A499" s="379">
        <v>45782.958333333336</v>
      </c>
      <c r="B499" s="382" t="s">
        <v>3400</v>
      </c>
      <c r="C499" s="377" t="s">
        <v>4850</v>
      </c>
      <c r="D499" s="6" t="str">
        <f>_xlfn.XLOOKUP(B499,Indices!$A$2:$A$2676,Indices!$B$2:$B$2676,"")</f>
        <v/>
      </c>
    </row>
    <row r="500" spans="1:4" x14ac:dyDescent="0.25">
      <c r="A500" s="379">
        <v>45782.958333333336</v>
      </c>
      <c r="B500" s="382" t="s">
        <v>3134</v>
      </c>
      <c r="C500" s="377" t="s">
        <v>4850</v>
      </c>
      <c r="D500" s="6" t="str">
        <f>_xlfn.XLOOKUP(B500,Indices!$A$2:$A$2676,Indices!$B$2:$B$2676,"")</f>
        <v/>
      </c>
    </row>
    <row r="501" spans="1:4" x14ac:dyDescent="0.25">
      <c r="A501" s="379">
        <v>45782.958333333336</v>
      </c>
      <c r="B501" s="382" t="s">
        <v>3100</v>
      </c>
      <c r="C501" s="377" t="s">
        <v>4849</v>
      </c>
      <c r="D501" s="6" t="str">
        <f>_xlfn.XLOOKUP(B501,Indices!$A$2:$A$2676,Indices!$B$2:$B$2676,"")</f>
        <v/>
      </c>
    </row>
    <row r="502" spans="1:4" x14ac:dyDescent="0.25">
      <c r="A502" s="379">
        <v>45782.958333333336</v>
      </c>
      <c r="B502" s="382" t="s">
        <v>3131</v>
      </c>
      <c r="C502" s="377" t="s">
        <v>4850</v>
      </c>
      <c r="D502" s="6" t="str">
        <f>_xlfn.XLOOKUP(B502,Indices!$A$2:$A$2676,Indices!$B$2:$B$2676,"")</f>
        <v/>
      </c>
    </row>
    <row r="503" spans="1:4" x14ac:dyDescent="0.25">
      <c r="A503" s="379">
        <v>45782.958333333336</v>
      </c>
      <c r="B503" s="382" t="s">
        <v>520</v>
      </c>
      <c r="C503" s="377" t="s">
        <v>4849</v>
      </c>
      <c r="D503" s="6" t="str">
        <f>_xlfn.XLOOKUP(B503,Indices!$A$2:$A$2676,Indices!$B$2:$B$2676,"")</f>
        <v>SP500</v>
      </c>
    </row>
    <row r="504" spans="1:4" x14ac:dyDescent="0.25">
      <c r="A504" s="379">
        <v>45782.958333333336</v>
      </c>
      <c r="B504" s="382" t="s">
        <v>3355</v>
      </c>
      <c r="C504" s="377" t="s">
        <v>4851</v>
      </c>
      <c r="D504" s="6" t="str">
        <f>_xlfn.XLOOKUP(B504,Indices!$A$2:$A$2676,Indices!$B$2:$B$2676,"")</f>
        <v/>
      </c>
    </row>
    <row r="505" spans="1:4" x14ac:dyDescent="0.25">
      <c r="A505" s="379">
        <v>45782.958333333336</v>
      </c>
      <c r="B505" s="382" t="s">
        <v>3866</v>
      </c>
      <c r="C505" s="377" t="s">
        <v>4850</v>
      </c>
      <c r="D505" s="6" t="str">
        <f>_xlfn.XLOOKUP(B505,Indices!$A$2:$A$2676,Indices!$B$2:$B$2676,"")</f>
        <v/>
      </c>
    </row>
    <row r="506" spans="1:4" x14ac:dyDescent="0.25">
      <c r="A506" s="379">
        <v>45783</v>
      </c>
      <c r="B506" s="382" t="s">
        <v>3117</v>
      </c>
      <c r="C506" s="377" t="s">
        <v>4852</v>
      </c>
      <c r="D506" s="6" t="str">
        <f>_xlfn.XLOOKUP(B506,Indices!$A$2:$A$2676,Indices!$B$2:$B$2676,"")</f>
        <v/>
      </c>
    </row>
    <row r="507" spans="1:4" x14ac:dyDescent="0.25">
      <c r="A507" s="379">
        <v>45783</v>
      </c>
      <c r="B507" s="382" t="s">
        <v>34</v>
      </c>
      <c r="C507" s="377" t="s">
        <v>4852</v>
      </c>
      <c r="D507" s="6" t="str">
        <f>_xlfn.XLOOKUP(B507,Indices!$A$2:$A$2676,Indices!$B$2:$B$2676,"")</f>
        <v>IWM</v>
      </c>
    </row>
    <row r="508" spans="1:4" x14ac:dyDescent="0.25">
      <c r="A508" s="379">
        <v>45783.166666666664</v>
      </c>
      <c r="B508" s="382" t="s">
        <v>270</v>
      </c>
      <c r="C508" s="377" t="s">
        <v>4853</v>
      </c>
      <c r="D508" s="6" t="str">
        <f>_xlfn.XLOOKUP(B508,Indices!$A$2:$A$2676,Indices!$B$2:$B$2676,"")</f>
        <v>S&amp;P Mid</v>
      </c>
    </row>
    <row r="509" spans="1:4" x14ac:dyDescent="0.25">
      <c r="A509" s="379">
        <v>45783.166666666664</v>
      </c>
      <c r="B509" s="382" t="s">
        <v>168</v>
      </c>
      <c r="C509" s="377" t="s">
        <v>4853</v>
      </c>
      <c r="D509" s="6" t="str">
        <f>_xlfn.XLOOKUP(B509,Indices!$A$2:$A$2676,Indices!$B$2:$B$2676,"")</f>
        <v>SP500</v>
      </c>
    </row>
    <row r="510" spans="1:4" x14ac:dyDescent="0.25">
      <c r="A510" s="379">
        <v>45783.166666666664</v>
      </c>
      <c r="B510" s="382" t="s">
        <v>1109</v>
      </c>
      <c r="C510" s="377" t="s">
        <v>4853</v>
      </c>
      <c r="D510" s="6" t="str">
        <f>_xlfn.XLOOKUP(B510,Indices!$A$2:$A$2676,Indices!$B$2:$B$2676,"")</f>
        <v>IWM</v>
      </c>
    </row>
    <row r="511" spans="1:4" x14ac:dyDescent="0.25">
      <c r="A511" s="379">
        <v>45783.166666666664</v>
      </c>
      <c r="B511" s="382" t="s">
        <v>1511</v>
      </c>
      <c r="C511" s="377" t="s">
        <v>4853</v>
      </c>
      <c r="D511" s="6" t="str">
        <f>_xlfn.XLOOKUP(B511,Indices!$A$2:$A$2676,Indices!$B$2:$B$2676,"")</f>
        <v>SP500</v>
      </c>
    </row>
    <row r="512" spans="1:4" x14ac:dyDescent="0.25">
      <c r="A512" s="379">
        <v>45783.166666666664</v>
      </c>
      <c r="B512" s="382" t="s">
        <v>884</v>
      </c>
      <c r="C512" s="377" t="s">
        <v>4853</v>
      </c>
      <c r="D512" s="6" t="str">
        <f>_xlfn.XLOOKUP(B512,Indices!$A$2:$A$2676,Indices!$B$2:$B$2676,"")</f>
        <v>IWM</v>
      </c>
    </row>
    <row r="513" spans="1:4" x14ac:dyDescent="0.25">
      <c r="A513" s="379">
        <v>45783.166666666664</v>
      </c>
      <c r="B513" s="382" t="s">
        <v>538</v>
      </c>
      <c r="C513" s="377" t="s">
        <v>4853</v>
      </c>
      <c r="D513" s="6" t="str">
        <f>_xlfn.XLOOKUP(B513,Indices!$A$2:$A$2676,Indices!$B$2:$B$2676,"")</f>
        <v>IWM</v>
      </c>
    </row>
    <row r="514" spans="1:4" x14ac:dyDescent="0.25">
      <c r="A514" s="379">
        <v>45783.166666666664</v>
      </c>
      <c r="B514" s="382" t="s">
        <v>2433</v>
      </c>
      <c r="C514" s="377" t="s">
        <v>4853</v>
      </c>
      <c r="D514" s="6" t="str">
        <f>_xlfn.XLOOKUP(B514,Indices!$A$2:$A$2676,Indices!$B$2:$B$2676,"")</f>
        <v>S&amp;P Mid</v>
      </c>
    </row>
    <row r="515" spans="1:4" x14ac:dyDescent="0.25">
      <c r="A515" s="379">
        <v>45783.166666666664</v>
      </c>
      <c r="B515" s="382" t="s">
        <v>165</v>
      </c>
      <c r="C515" s="377" t="s">
        <v>4853</v>
      </c>
      <c r="D515" s="6" t="str">
        <f>_xlfn.XLOOKUP(B515,Indices!$A$2:$A$2676,Indices!$B$2:$B$2676,"")</f>
        <v>S&amp;P Mid</v>
      </c>
    </row>
    <row r="516" spans="1:4" x14ac:dyDescent="0.25">
      <c r="A516" s="379">
        <v>45783.166666666664</v>
      </c>
      <c r="B516" s="382" t="s">
        <v>49</v>
      </c>
      <c r="C516" s="377" t="s">
        <v>4853</v>
      </c>
      <c r="D516" s="6" t="str">
        <f>_xlfn.XLOOKUP(B516,Indices!$A$2:$A$2676,Indices!$B$2:$B$2676,"")</f>
        <v>IWM</v>
      </c>
    </row>
    <row r="517" spans="1:4" x14ac:dyDescent="0.25">
      <c r="A517" s="379">
        <v>45783.166666666664</v>
      </c>
      <c r="B517" s="382" t="s">
        <v>1539</v>
      </c>
      <c r="C517" s="377" t="s">
        <v>4853</v>
      </c>
      <c r="D517" s="6" t="str">
        <f>_xlfn.XLOOKUP(B517,Indices!$A$2:$A$2676,Indices!$B$2:$B$2676,"")</f>
        <v>SP500</v>
      </c>
    </row>
    <row r="518" spans="1:4" x14ac:dyDescent="0.25">
      <c r="A518" s="379">
        <v>45783.166666666664</v>
      </c>
      <c r="B518" s="382" t="s">
        <v>1849</v>
      </c>
      <c r="C518" s="377" t="s">
        <v>4853</v>
      </c>
      <c r="D518" s="6" t="str">
        <f>_xlfn.XLOOKUP(B518,Indices!$A$2:$A$2676,Indices!$B$2:$B$2676,"")</f>
        <v>IWM</v>
      </c>
    </row>
    <row r="519" spans="1:4" x14ac:dyDescent="0.25">
      <c r="A519" s="379">
        <v>45783.166666666664</v>
      </c>
      <c r="B519" s="382" t="s">
        <v>531</v>
      </c>
      <c r="C519" s="377" t="s">
        <v>4853</v>
      </c>
      <c r="D519" s="6" t="str">
        <f>_xlfn.XLOOKUP(B519,Indices!$A$2:$A$2676,Indices!$B$2:$B$2676,"")</f>
        <v>IWM</v>
      </c>
    </row>
    <row r="520" spans="1:4" x14ac:dyDescent="0.25">
      <c r="A520" s="379">
        <v>45783.166666666664</v>
      </c>
      <c r="B520" s="382" t="s">
        <v>7</v>
      </c>
      <c r="C520" s="377" t="s">
        <v>4853</v>
      </c>
      <c r="D520" s="6" t="str">
        <f>_xlfn.XLOOKUP(B520,Indices!$A$2:$A$2676,Indices!$B$2:$B$2676,"")</f>
        <v>SP500</v>
      </c>
    </row>
    <row r="521" spans="1:4" x14ac:dyDescent="0.25">
      <c r="A521" s="379">
        <v>45783.166666666664</v>
      </c>
      <c r="B521" s="382" t="s">
        <v>5</v>
      </c>
      <c r="C521" s="377" t="s">
        <v>4853</v>
      </c>
      <c r="D521" s="6" t="str">
        <f>_xlfn.XLOOKUP(B521,Indices!$A$2:$A$2676,Indices!$B$2:$B$2676,"")</f>
        <v>IWM</v>
      </c>
    </row>
    <row r="522" spans="1:4" x14ac:dyDescent="0.25">
      <c r="A522" s="379">
        <v>45783.170138888891</v>
      </c>
      <c r="B522" s="382" t="s">
        <v>169</v>
      </c>
      <c r="C522" s="377" t="s">
        <v>4854</v>
      </c>
      <c r="D522" s="6" t="str">
        <f>_xlfn.XLOOKUP(B522,Indices!$A$2:$A$2676,Indices!$B$2:$B$2676,"")</f>
        <v>S&amp;P Mid</v>
      </c>
    </row>
    <row r="523" spans="1:4" x14ac:dyDescent="0.25">
      <c r="A523" s="379">
        <v>45783.170138888891</v>
      </c>
      <c r="B523" s="382" t="s">
        <v>39</v>
      </c>
      <c r="C523" s="377" t="s">
        <v>4854</v>
      </c>
      <c r="D523" s="6" t="str">
        <f>_xlfn.XLOOKUP(B523,Indices!$A$2:$A$2676,Indices!$B$2:$B$2676,"")</f>
        <v>IWM</v>
      </c>
    </row>
    <row r="524" spans="1:4" x14ac:dyDescent="0.25">
      <c r="A524" s="379">
        <v>45783.170138888891</v>
      </c>
      <c r="B524" s="382" t="s">
        <v>3239</v>
      </c>
      <c r="C524" s="377" t="s">
        <v>4854</v>
      </c>
      <c r="D524" s="6" t="str">
        <f>_xlfn.XLOOKUP(B524,Indices!$A$2:$A$2676,Indices!$B$2:$B$2676,"")</f>
        <v/>
      </c>
    </row>
    <row r="525" spans="1:4" x14ac:dyDescent="0.25">
      <c r="A525" s="379">
        <v>45783.177083333336</v>
      </c>
      <c r="B525" s="382" t="s">
        <v>171</v>
      </c>
      <c r="C525" s="377" t="s">
        <v>4855</v>
      </c>
      <c r="D525" s="6" t="str">
        <f>_xlfn.XLOOKUP(B525,Indices!$A$2:$A$2676,Indices!$B$2:$B$2676,"")</f>
        <v>IWM</v>
      </c>
    </row>
    <row r="526" spans="1:4" x14ac:dyDescent="0.25">
      <c r="A526" s="379">
        <v>45783.177777777775</v>
      </c>
      <c r="B526" s="382" t="s">
        <v>1690</v>
      </c>
      <c r="C526" s="377" t="s">
        <v>4856</v>
      </c>
      <c r="D526" s="6" t="str">
        <f>_xlfn.XLOOKUP(B526,Indices!$A$2:$A$2676,Indices!$B$2:$B$2676,"")</f>
        <v>IWM</v>
      </c>
    </row>
    <row r="527" spans="1:4" x14ac:dyDescent="0.25">
      <c r="A527" s="379">
        <v>45783.1875</v>
      </c>
      <c r="B527" s="382" t="s">
        <v>178</v>
      </c>
      <c r="C527" s="377" t="s">
        <v>4857</v>
      </c>
      <c r="D527" s="6" t="str">
        <f>_xlfn.XLOOKUP(B527,Indices!$A$2:$A$2676,Indices!$B$2:$B$2676,"")</f>
        <v>IWM</v>
      </c>
    </row>
    <row r="528" spans="1:4" x14ac:dyDescent="0.25">
      <c r="A528" s="379">
        <v>45783.1875</v>
      </c>
      <c r="B528" s="382" t="s">
        <v>3146</v>
      </c>
      <c r="C528" s="377" t="s">
        <v>4857</v>
      </c>
      <c r="D528" s="6" t="str">
        <f>_xlfn.XLOOKUP(B528,Indices!$A$2:$A$2676,Indices!$B$2:$B$2676,"")</f>
        <v/>
      </c>
    </row>
    <row r="529" spans="1:4" x14ac:dyDescent="0.25">
      <c r="A529" s="379">
        <v>45783.1875</v>
      </c>
      <c r="B529" s="382" t="s">
        <v>561</v>
      </c>
      <c r="C529" s="377" t="s">
        <v>4857</v>
      </c>
      <c r="D529" s="6" t="str">
        <f>_xlfn.XLOOKUP(B529,Indices!$A$2:$A$2676,Indices!$B$2:$B$2676,"")</f>
        <v>IWM</v>
      </c>
    </row>
    <row r="530" spans="1:4" x14ac:dyDescent="0.25">
      <c r="A530" s="379">
        <v>45783.1875</v>
      </c>
      <c r="B530" s="382" t="s">
        <v>2468</v>
      </c>
      <c r="C530" s="377" t="s">
        <v>4857</v>
      </c>
      <c r="D530" s="6" t="str">
        <f>_xlfn.XLOOKUP(B530,Indices!$A$2:$A$2676,Indices!$B$2:$B$2676,"")</f>
        <v>S&amp;P Mid</v>
      </c>
    </row>
    <row r="531" spans="1:4" x14ac:dyDescent="0.25">
      <c r="A531" s="379">
        <v>45783.1875</v>
      </c>
      <c r="B531" s="382" t="s">
        <v>868</v>
      </c>
      <c r="C531" s="377" t="s">
        <v>4857</v>
      </c>
      <c r="D531" s="6" t="str">
        <f>_xlfn.XLOOKUP(B531,Indices!$A$2:$A$2676,Indices!$B$2:$B$2676,"")</f>
        <v>S&amp;P Mid</v>
      </c>
    </row>
    <row r="532" spans="1:4" x14ac:dyDescent="0.25">
      <c r="A532" s="379">
        <v>45783.1875</v>
      </c>
      <c r="B532" s="382" t="s">
        <v>550</v>
      </c>
      <c r="C532" s="377" t="s">
        <v>4857</v>
      </c>
      <c r="D532" s="6" t="str">
        <f>_xlfn.XLOOKUP(B532,Indices!$A$2:$A$2676,Indices!$B$2:$B$2676,"")</f>
        <v>IWM</v>
      </c>
    </row>
    <row r="533" spans="1:4" x14ac:dyDescent="0.25">
      <c r="A533" s="379">
        <v>45783.1875</v>
      </c>
      <c r="B533" s="382" t="s">
        <v>174</v>
      </c>
      <c r="C533" s="377" t="s">
        <v>4857</v>
      </c>
      <c r="D533" s="6" t="str">
        <f>_xlfn.XLOOKUP(B533,Indices!$A$2:$A$2676,Indices!$B$2:$B$2676,"")</f>
        <v>IWM</v>
      </c>
    </row>
    <row r="534" spans="1:4" x14ac:dyDescent="0.25">
      <c r="A534" s="379">
        <v>45783.1875</v>
      </c>
      <c r="B534" s="382" t="s">
        <v>1862</v>
      </c>
      <c r="C534" s="377" t="s">
        <v>4857</v>
      </c>
      <c r="D534" s="6" t="str">
        <f>_xlfn.XLOOKUP(B534,Indices!$A$2:$A$2676,Indices!$B$2:$B$2676,"")</f>
        <v>IWM</v>
      </c>
    </row>
    <row r="535" spans="1:4" x14ac:dyDescent="0.25">
      <c r="A535" s="379">
        <v>45783.190972222219</v>
      </c>
      <c r="B535" s="382" t="s">
        <v>162</v>
      </c>
      <c r="C535" s="377" t="s">
        <v>4858</v>
      </c>
      <c r="D535" s="6" t="str">
        <f>_xlfn.XLOOKUP(B535,Indices!$A$2:$A$2676,Indices!$B$2:$B$2676,"")</f>
        <v>SP500</v>
      </c>
    </row>
    <row r="536" spans="1:4" x14ac:dyDescent="0.25">
      <c r="A536" s="379">
        <v>45783.190972222219</v>
      </c>
      <c r="B536" s="382" t="s">
        <v>3124</v>
      </c>
      <c r="C536" s="377" t="s">
        <v>4858</v>
      </c>
      <c r="D536" s="6" t="str">
        <f>_xlfn.XLOOKUP(B536,Indices!$A$2:$A$2676,Indices!$B$2:$B$2676,"")</f>
        <v/>
      </c>
    </row>
    <row r="537" spans="1:4" x14ac:dyDescent="0.25">
      <c r="A537" s="379">
        <v>45783.197222222225</v>
      </c>
      <c r="B537" s="382" t="s">
        <v>43</v>
      </c>
      <c r="C537" s="377" t="s">
        <v>4859</v>
      </c>
      <c r="D537" s="6" t="str">
        <f>_xlfn.XLOOKUP(B537,Indices!$A$2:$A$2676,Indices!$B$2:$B$2676,"")</f>
        <v>SP500</v>
      </c>
    </row>
    <row r="538" spans="1:4" x14ac:dyDescent="0.25">
      <c r="A538" s="379">
        <v>45783.197916666664</v>
      </c>
      <c r="B538" s="382" t="s">
        <v>1081</v>
      </c>
      <c r="C538" s="377" t="s">
        <v>4860</v>
      </c>
      <c r="D538" s="6" t="str">
        <f>_xlfn.XLOOKUP(B538,Indices!$A$2:$A$2676,Indices!$B$2:$B$2676,"")</f>
        <v>SP500</v>
      </c>
    </row>
    <row r="539" spans="1:4" x14ac:dyDescent="0.25">
      <c r="A539" s="379">
        <v>45783.197916666664</v>
      </c>
      <c r="B539" s="382" t="s">
        <v>180</v>
      </c>
      <c r="C539" s="377" t="s">
        <v>4860</v>
      </c>
      <c r="D539" s="6" t="str">
        <f>_xlfn.XLOOKUP(B539,Indices!$A$2:$A$2676,Indices!$B$2:$B$2676,"")</f>
        <v>S&amp;P Mid</v>
      </c>
    </row>
    <row r="540" spans="1:4" x14ac:dyDescent="0.25">
      <c r="A540" s="379">
        <v>45783.197916666664</v>
      </c>
      <c r="B540" s="382" t="s">
        <v>3598</v>
      </c>
      <c r="C540" s="377" t="s">
        <v>4860</v>
      </c>
      <c r="D540" s="6" t="str">
        <f>_xlfn.XLOOKUP(B540,Indices!$A$2:$A$2676,Indices!$B$2:$B$2676,"")</f>
        <v/>
      </c>
    </row>
    <row r="541" spans="1:4" x14ac:dyDescent="0.25">
      <c r="A541" s="379">
        <v>45783.197916666664</v>
      </c>
      <c r="B541" s="382" t="s">
        <v>3145</v>
      </c>
      <c r="C541" s="377" t="s">
        <v>4860</v>
      </c>
      <c r="D541" s="6" t="str">
        <f>_xlfn.XLOOKUP(B541,Indices!$A$2:$A$2676,Indices!$B$2:$B$2676,"")</f>
        <v/>
      </c>
    </row>
    <row r="542" spans="1:4" x14ac:dyDescent="0.25">
      <c r="A542" s="379">
        <v>45783.197916666664</v>
      </c>
      <c r="B542" s="382" t="s">
        <v>3097</v>
      </c>
      <c r="C542" s="377" t="s">
        <v>4860</v>
      </c>
      <c r="D542" s="6" t="str">
        <f>_xlfn.XLOOKUP(B542,Indices!$A$2:$A$2676,Indices!$B$2:$B$2676,"")</f>
        <v/>
      </c>
    </row>
    <row r="543" spans="1:4" x14ac:dyDescent="0.25">
      <c r="A543" s="379">
        <v>45783.198611111111</v>
      </c>
      <c r="B543" s="382" t="s">
        <v>3113</v>
      </c>
      <c r="C543" s="377" t="s">
        <v>4861</v>
      </c>
      <c r="D543" s="6" t="str">
        <f>_xlfn.XLOOKUP(B543,Indices!$A$2:$A$2676,Indices!$B$2:$B$2676,"")</f>
        <v/>
      </c>
    </row>
    <row r="544" spans="1:4" x14ac:dyDescent="0.25">
      <c r="A544" s="379">
        <v>45783.201388888891</v>
      </c>
      <c r="B544" s="382" t="s">
        <v>1673</v>
      </c>
      <c r="C544" s="377" t="s">
        <v>4862</v>
      </c>
      <c r="D544" s="6" t="str">
        <f>_xlfn.XLOOKUP(B544,Indices!$A$2:$A$2676,Indices!$B$2:$B$2676,"")</f>
        <v>IWM</v>
      </c>
    </row>
    <row r="545" spans="1:4" x14ac:dyDescent="0.25">
      <c r="A545" s="379">
        <v>45783.201388888891</v>
      </c>
      <c r="B545" s="382" t="s">
        <v>1083</v>
      </c>
      <c r="C545" s="377" t="s">
        <v>4862</v>
      </c>
      <c r="D545" s="6" t="str">
        <f>_xlfn.XLOOKUP(B545,Indices!$A$2:$A$2676,Indices!$B$2:$B$2676,"")</f>
        <v>IWM</v>
      </c>
    </row>
    <row r="546" spans="1:4" x14ac:dyDescent="0.25">
      <c r="A546" s="379">
        <v>45783.204861111109</v>
      </c>
      <c r="B546" s="382" t="s">
        <v>896</v>
      </c>
      <c r="C546" s="377" t="s">
        <v>4863</v>
      </c>
      <c r="D546" s="6" t="str">
        <f>_xlfn.XLOOKUP(B546,Indices!$A$2:$A$2676,Indices!$B$2:$B$2676,"")</f>
        <v>IWM</v>
      </c>
    </row>
    <row r="547" spans="1:4" x14ac:dyDescent="0.25">
      <c r="A547" s="379">
        <v>45783.204861111109</v>
      </c>
      <c r="B547" s="382" t="s">
        <v>3263</v>
      </c>
      <c r="C547" s="377" t="s">
        <v>4863</v>
      </c>
      <c r="D547" s="6" t="str">
        <f>_xlfn.XLOOKUP(B547,Indices!$A$2:$A$2676,Indices!$B$2:$B$2676,"")</f>
        <v/>
      </c>
    </row>
    <row r="548" spans="1:4" x14ac:dyDescent="0.25">
      <c r="A548" s="379">
        <v>45783.204861111109</v>
      </c>
      <c r="B548" s="382" t="s">
        <v>3439</v>
      </c>
      <c r="C548" s="377" t="s">
        <v>4863</v>
      </c>
      <c r="D548" s="6" t="str">
        <f>_xlfn.XLOOKUP(B548,Indices!$A$2:$A$2676,Indices!$B$2:$B$2676,"")</f>
        <v/>
      </c>
    </row>
    <row r="549" spans="1:4" x14ac:dyDescent="0.25">
      <c r="A549" s="379">
        <v>45783.204861111109</v>
      </c>
      <c r="B549" s="382" t="s">
        <v>3133</v>
      </c>
      <c r="C549" s="377" t="s">
        <v>4863</v>
      </c>
      <c r="D549" s="6" t="str">
        <f>_xlfn.XLOOKUP(B549,Indices!$A$2:$A$2676,Indices!$B$2:$B$2676,"")</f>
        <v/>
      </c>
    </row>
    <row r="550" spans="1:4" x14ac:dyDescent="0.25">
      <c r="A550" s="379">
        <v>45783.204861111109</v>
      </c>
      <c r="B550" s="382" t="s">
        <v>1468</v>
      </c>
      <c r="C550" s="377" t="s">
        <v>4863</v>
      </c>
      <c r="D550" s="6" t="str">
        <f>_xlfn.XLOOKUP(B550,Indices!$A$2:$A$2676,Indices!$B$2:$B$2676,"")</f>
        <v>SP500</v>
      </c>
    </row>
    <row r="551" spans="1:4" x14ac:dyDescent="0.25">
      <c r="A551" s="379">
        <v>45783.206250000003</v>
      </c>
      <c r="B551" s="382" t="s">
        <v>290</v>
      </c>
      <c r="C551" s="377" t="s">
        <v>4864</v>
      </c>
      <c r="D551" s="6" t="str">
        <f>_xlfn.XLOOKUP(B551,Indices!$A$2:$A$2676,Indices!$B$2:$B$2676,"")</f>
        <v>SP500</v>
      </c>
    </row>
    <row r="552" spans="1:4" x14ac:dyDescent="0.25">
      <c r="A552" s="379">
        <v>45783.208333333336</v>
      </c>
      <c r="B552" s="382" t="s">
        <v>173</v>
      </c>
      <c r="C552" s="377" t="s">
        <v>4573</v>
      </c>
      <c r="D552" s="6" t="str">
        <f>_xlfn.XLOOKUP(B552,Indices!$A$2:$A$2676,Indices!$B$2:$B$2676,"")</f>
        <v>IWM</v>
      </c>
    </row>
    <row r="553" spans="1:4" x14ac:dyDescent="0.25">
      <c r="A553" s="379">
        <v>45783.208333333336</v>
      </c>
      <c r="B553" s="382" t="s">
        <v>724</v>
      </c>
      <c r="C553" s="377" t="s">
        <v>4573</v>
      </c>
      <c r="D553" s="6" t="str">
        <f>_xlfn.XLOOKUP(B553,Indices!$A$2:$A$2676,Indices!$B$2:$B$2676,"")</f>
        <v>IWM</v>
      </c>
    </row>
    <row r="554" spans="1:4" x14ac:dyDescent="0.25">
      <c r="A554" s="379">
        <v>45783.208333333336</v>
      </c>
      <c r="B554" s="382" t="s">
        <v>52</v>
      </c>
      <c r="C554" s="377" t="s">
        <v>4573</v>
      </c>
      <c r="D554" s="6" t="str">
        <f>_xlfn.XLOOKUP(B554,Indices!$A$2:$A$2676,Indices!$B$2:$B$2676,"")</f>
        <v>IWM</v>
      </c>
    </row>
    <row r="555" spans="1:4" x14ac:dyDescent="0.25">
      <c r="A555" s="379">
        <v>45783.208333333336</v>
      </c>
      <c r="B555" s="382" t="s">
        <v>51</v>
      </c>
      <c r="C555" s="377" t="s">
        <v>4573</v>
      </c>
      <c r="D555" s="6" t="str">
        <f>_xlfn.XLOOKUP(B555,Indices!$A$2:$A$2676,Indices!$B$2:$B$2676,"")</f>
        <v>SP500</v>
      </c>
    </row>
    <row r="556" spans="1:4" x14ac:dyDescent="0.25">
      <c r="A556" s="379">
        <v>45783.208333333336</v>
      </c>
      <c r="B556" s="382" t="s">
        <v>3842</v>
      </c>
      <c r="C556" s="377" t="s">
        <v>4573</v>
      </c>
      <c r="D556" s="6" t="str">
        <f>_xlfn.XLOOKUP(B556,Indices!$A$2:$A$2676,Indices!$B$2:$B$2676,"")</f>
        <v/>
      </c>
    </row>
    <row r="557" spans="1:4" x14ac:dyDescent="0.25">
      <c r="A557" s="379">
        <v>45783.208333333336</v>
      </c>
      <c r="B557" s="382" t="s">
        <v>3108</v>
      </c>
      <c r="C557" s="377" t="s">
        <v>4573</v>
      </c>
      <c r="D557" s="6" t="str">
        <f>_xlfn.XLOOKUP(B557,Indices!$A$2:$A$2676,Indices!$B$2:$B$2676,"")</f>
        <v/>
      </c>
    </row>
    <row r="558" spans="1:4" x14ac:dyDescent="0.25">
      <c r="A558" s="379">
        <v>45783.208333333336</v>
      </c>
      <c r="B558" s="382" t="s">
        <v>4866</v>
      </c>
      <c r="C558" s="377" t="s">
        <v>4573</v>
      </c>
      <c r="D558" s="6" t="str">
        <f>_xlfn.XLOOKUP(B558,Indices!$A$2:$A$2676,Indices!$B$2:$B$2676,"")</f>
        <v/>
      </c>
    </row>
    <row r="559" spans="1:4" x14ac:dyDescent="0.25">
      <c r="A559" s="379">
        <v>45783.208333333336</v>
      </c>
      <c r="B559" s="382" t="s">
        <v>336</v>
      </c>
      <c r="C559" s="377" t="s">
        <v>4573</v>
      </c>
      <c r="D559" s="6" t="str">
        <f>_xlfn.XLOOKUP(B559,Indices!$A$2:$A$2676,Indices!$B$2:$B$2676,"")</f>
        <v>IWM</v>
      </c>
    </row>
    <row r="560" spans="1:4" x14ac:dyDescent="0.25">
      <c r="A560" s="379">
        <v>45783.208333333336</v>
      </c>
      <c r="B560" s="382" t="s">
        <v>3443</v>
      </c>
      <c r="C560" s="377" t="s">
        <v>4573</v>
      </c>
      <c r="D560" s="6" t="str">
        <f>_xlfn.XLOOKUP(B560,Indices!$A$2:$A$2676,Indices!$B$2:$B$2676,"")</f>
        <v/>
      </c>
    </row>
    <row r="561" spans="1:4" x14ac:dyDescent="0.25">
      <c r="A561" s="379">
        <v>45783.208333333336</v>
      </c>
      <c r="B561" s="382" t="s">
        <v>4865</v>
      </c>
      <c r="C561" s="377" t="s">
        <v>4573</v>
      </c>
      <c r="D561" s="6" t="str">
        <f>_xlfn.XLOOKUP(B561,Indices!$A$2:$A$2676,Indices!$B$2:$B$2676,"")</f>
        <v/>
      </c>
    </row>
    <row r="562" spans="1:4" x14ac:dyDescent="0.25">
      <c r="A562" s="379">
        <v>45783.208333333336</v>
      </c>
      <c r="B562" s="382" t="s">
        <v>1965</v>
      </c>
      <c r="C562" s="377" t="s">
        <v>4573</v>
      </c>
      <c r="D562" s="6" t="str">
        <f>_xlfn.XLOOKUP(B562,Indices!$A$2:$A$2676,Indices!$B$2:$B$2676,"")</f>
        <v>IWM</v>
      </c>
    </row>
    <row r="563" spans="1:4" x14ac:dyDescent="0.25">
      <c r="A563" s="379">
        <v>45783.208333333336</v>
      </c>
      <c r="B563" s="382" t="s">
        <v>2073</v>
      </c>
      <c r="C563" s="377" t="s">
        <v>4573</v>
      </c>
      <c r="D563" s="6" t="str">
        <f>_xlfn.XLOOKUP(B563,Indices!$A$2:$A$2676,Indices!$B$2:$B$2676,"")</f>
        <v>IWM</v>
      </c>
    </row>
    <row r="564" spans="1:4" x14ac:dyDescent="0.25">
      <c r="A564" s="379">
        <v>45783.208333333336</v>
      </c>
      <c r="B564" s="382" t="s">
        <v>911</v>
      </c>
      <c r="C564" s="377" t="s">
        <v>4573</v>
      </c>
      <c r="D564" s="6" t="str">
        <f>_xlfn.XLOOKUP(B564,Indices!$A$2:$A$2676,Indices!$B$2:$B$2676,"")</f>
        <v>IWM</v>
      </c>
    </row>
    <row r="565" spans="1:4" x14ac:dyDescent="0.25">
      <c r="A565" s="379">
        <v>45783.208333333336</v>
      </c>
      <c r="B565" s="382" t="s">
        <v>1039</v>
      </c>
      <c r="C565" s="377" t="s">
        <v>4573</v>
      </c>
      <c r="D565" s="6" t="str">
        <f>_xlfn.XLOOKUP(B565,Indices!$A$2:$A$2676,Indices!$B$2:$B$2676,"")</f>
        <v>IWM</v>
      </c>
    </row>
    <row r="566" spans="1:4" x14ac:dyDescent="0.25">
      <c r="A566" s="379">
        <v>45783.208333333336</v>
      </c>
      <c r="B566" s="382" t="s">
        <v>1446</v>
      </c>
      <c r="C566" s="377" t="s">
        <v>4573</v>
      </c>
      <c r="D566" s="6" t="str">
        <f>_xlfn.XLOOKUP(B566,Indices!$A$2:$A$2676,Indices!$B$2:$B$2676,"")</f>
        <v>SP500</v>
      </c>
    </row>
    <row r="567" spans="1:4" x14ac:dyDescent="0.25">
      <c r="A567" s="379">
        <v>45783.208333333336</v>
      </c>
      <c r="B567" s="382" t="s">
        <v>60</v>
      </c>
      <c r="C567" s="377" t="s">
        <v>4573</v>
      </c>
      <c r="D567" s="6" t="str">
        <f>_xlfn.XLOOKUP(B567,Indices!$A$2:$A$2676,Indices!$B$2:$B$2676,"")</f>
        <v>IWM</v>
      </c>
    </row>
    <row r="568" spans="1:4" x14ac:dyDescent="0.25">
      <c r="A568" s="379">
        <v>45783.208333333336</v>
      </c>
      <c r="B568" s="382" t="s">
        <v>184</v>
      </c>
      <c r="C568" s="377" t="s">
        <v>4573</v>
      </c>
      <c r="D568" s="6" t="str">
        <f>_xlfn.XLOOKUP(B568,Indices!$A$2:$A$2676,Indices!$B$2:$B$2676,"")</f>
        <v>IWM</v>
      </c>
    </row>
    <row r="569" spans="1:4" x14ac:dyDescent="0.25">
      <c r="A569" s="379">
        <v>45783.208333333336</v>
      </c>
      <c r="B569" s="382" t="s">
        <v>202</v>
      </c>
      <c r="C569" s="377" t="s">
        <v>4573</v>
      </c>
      <c r="D569" s="6" t="str">
        <f>_xlfn.XLOOKUP(B569,Indices!$A$2:$A$2676,Indices!$B$2:$B$2676,"")</f>
        <v>IWM</v>
      </c>
    </row>
    <row r="570" spans="1:4" x14ac:dyDescent="0.25">
      <c r="A570" s="379">
        <v>45783.208333333336</v>
      </c>
      <c r="B570" s="382" t="s">
        <v>1457</v>
      </c>
      <c r="C570" s="377" t="s">
        <v>4573</v>
      </c>
      <c r="D570" s="6" t="str">
        <f>_xlfn.XLOOKUP(B570,Indices!$A$2:$A$2676,Indices!$B$2:$B$2676,"")</f>
        <v>SP500</v>
      </c>
    </row>
    <row r="571" spans="1:4" x14ac:dyDescent="0.25">
      <c r="A571" s="379">
        <v>45783.208333333336</v>
      </c>
      <c r="B571" s="382" t="s">
        <v>47</v>
      </c>
      <c r="C571" s="377" t="s">
        <v>4573</v>
      </c>
      <c r="D571" s="6" t="str">
        <f>_xlfn.XLOOKUP(B571,Indices!$A$2:$A$2676,Indices!$B$2:$B$2676,"")</f>
        <v>SP500</v>
      </c>
    </row>
    <row r="572" spans="1:4" x14ac:dyDescent="0.25">
      <c r="A572" s="379">
        <v>45783.208333333336</v>
      </c>
      <c r="B572" s="382" t="s">
        <v>913</v>
      </c>
      <c r="C572" s="377" t="s">
        <v>4573</v>
      </c>
      <c r="D572" s="6" t="str">
        <f>_xlfn.XLOOKUP(B572,Indices!$A$2:$A$2676,Indices!$B$2:$B$2676,"")</f>
        <v>IWM</v>
      </c>
    </row>
    <row r="573" spans="1:4" x14ac:dyDescent="0.25">
      <c r="A573" s="379">
        <v>45783.208333333336</v>
      </c>
      <c r="B573" s="382" t="s">
        <v>4044</v>
      </c>
      <c r="C573" s="377" t="s">
        <v>4573</v>
      </c>
      <c r="D573" s="6" t="str">
        <f>_xlfn.XLOOKUP(B573,Indices!$A$2:$A$2676,Indices!$B$2:$B$2676,"")</f>
        <v/>
      </c>
    </row>
    <row r="574" spans="1:4" x14ac:dyDescent="0.25">
      <c r="A574" s="379">
        <v>45783.208333333336</v>
      </c>
      <c r="B574" s="382" t="s">
        <v>606</v>
      </c>
      <c r="C574" s="377" t="s">
        <v>4573</v>
      </c>
      <c r="D574" s="6" t="str">
        <f>_xlfn.XLOOKUP(B574,Indices!$A$2:$A$2676,Indices!$B$2:$B$2676,"")</f>
        <v>NQ100</v>
      </c>
    </row>
    <row r="575" spans="1:4" x14ac:dyDescent="0.25">
      <c r="A575" s="379">
        <v>45783.208333333336</v>
      </c>
      <c r="B575" s="382" t="s">
        <v>48</v>
      </c>
      <c r="C575" s="377" t="s">
        <v>4573</v>
      </c>
      <c r="D575" s="6" t="str">
        <f>_xlfn.XLOOKUP(B575,Indices!$A$2:$A$2676,Indices!$B$2:$B$2676,"")</f>
        <v>SP500</v>
      </c>
    </row>
    <row r="576" spans="1:4" x14ac:dyDescent="0.25">
      <c r="A576" s="379">
        <v>45783.208333333336</v>
      </c>
      <c r="B576" s="382" t="s">
        <v>909</v>
      </c>
      <c r="C576" s="377" t="s">
        <v>4573</v>
      </c>
      <c r="D576" s="6" t="str">
        <f>_xlfn.XLOOKUP(B576,Indices!$A$2:$A$2676,Indices!$B$2:$B$2676,"")</f>
        <v>IWM</v>
      </c>
    </row>
    <row r="577" spans="1:4" x14ac:dyDescent="0.25">
      <c r="A577" s="379">
        <v>45783.208333333336</v>
      </c>
      <c r="B577" s="382" t="s">
        <v>190</v>
      </c>
      <c r="C577" s="377" t="s">
        <v>4573</v>
      </c>
      <c r="D577" s="6" t="str">
        <f>_xlfn.XLOOKUP(B577,Indices!$A$2:$A$2676,Indices!$B$2:$B$2676,"")</f>
        <v>NQ100</v>
      </c>
    </row>
    <row r="578" spans="1:4" x14ac:dyDescent="0.25">
      <c r="A578" s="379">
        <v>45783.208333333336</v>
      </c>
      <c r="B578" s="382" t="s">
        <v>3140</v>
      </c>
      <c r="C578" s="377" t="s">
        <v>4573</v>
      </c>
      <c r="D578" s="6" t="str">
        <f>_xlfn.XLOOKUP(B578,Indices!$A$2:$A$2676,Indices!$B$2:$B$2676,"")</f>
        <v/>
      </c>
    </row>
    <row r="579" spans="1:4" x14ac:dyDescent="0.25">
      <c r="A579" s="379">
        <v>45783.208333333336</v>
      </c>
      <c r="B579" s="382" t="s">
        <v>611</v>
      </c>
      <c r="C579" s="377" t="s">
        <v>4573</v>
      </c>
      <c r="D579" s="6" t="str">
        <f>_xlfn.XLOOKUP(B579,Indices!$A$2:$A$2676,Indices!$B$2:$B$2676,"")</f>
        <v>IWM</v>
      </c>
    </row>
    <row r="580" spans="1:4" x14ac:dyDescent="0.25">
      <c r="A580" s="379">
        <v>45783.208333333336</v>
      </c>
      <c r="B580" s="382" t="s">
        <v>581</v>
      </c>
      <c r="C580" s="377" t="s">
        <v>4573</v>
      </c>
      <c r="D580" s="6" t="str">
        <f>_xlfn.XLOOKUP(B580,Indices!$A$2:$A$2676,Indices!$B$2:$B$2676,"")</f>
        <v>IWM</v>
      </c>
    </row>
    <row r="581" spans="1:4" x14ac:dyDescent="0.25">
      <c r="A581" s="379">
        <v>45783.208333333336</v>
      </c>
      <c r="B581" s="382" t="s">
        <v>2063</v>
      </c>
      <c r="C581" s="377" t="s">
        <v>4573</v>
      </c>
      <c r="D581" s="6" t="str">
        <f>_xlfn.XLOOKUP(B581,Indices!$A$2:$A$2676,Indices!$B$2:$B$2676,"")</f>
        <v>IWM</v>
      </c>
    </row>
    <row r="582" spans="1:4" x14ac:dyDescent="0.25">
      <c r="A582" s="379">
        <v>45783.208333333336</v>
      </c>
      <c r="B582" s="382" t="s">
        <v>592</v>
      </c>
      <c r="C582" s="377" t="s">
        <v>4573</v>
      </c>
      <c r="D582" s="6" t="str">
        <f>_xlfn.XLOOKUP(B582,Indices!$A$2:$A$2676,Indices!$B$2:$B$2676,"")</f>
        <v>IWM</v>
      </c>
    </row>
    <row r="583" spans="1:4" x14ac:dyDescent="0.25">
      <c r="A583" s="379">
        <v>45783.208333333336</v>
      </c>
      <c r="B583" s="382" t="s">
        <v>1076</v>
      </c>
      <c r="C583" s="377" t="s">
        <v>4573</v>
      </c>
      <c r="D583" s="6" t="str">
        <f>_xlfn.XLOOKUP(B583,Indices!$A$2:$A$2676,Indices!$B$2:$B$2676,"")</f>
        <v>SP500</v>
      </c>
    </row>
    <row r="584" spans="1:4" x14ac:dyDescent="0.25">
      <c r="A584" s="379">
        <v>45783.208333333336</v>
      </c>
      <c r="B584" s="382" t="s">
        <v>3143</v>
      </c>
      <c r="C584" s="377" t="s">
        <v>4573</v>
      </c>
      <c r="D584" s="6" t="str">
        <f>_xlfn.XLOOKUP(B584,Indices!$A$2:$A$2676,Indices!$B$2:$B$2676,"")</f>
        <v/>
      </c>
    </row>
    <row r="585" spans="1:4" x14ac:dyDescent="0.25">
      <c r="A585" s="379">
        <v>45783.208333333336</v>
      </c>
      <c r="B585" s="382" t="s">
        <v>1606</v>
      </c>
      <c r="C585" s="377" t="s">
        <v>4573</v>
      </c>
      <c r="D585" s="6" t="str">
        <f>_xlfn.XLOOKUP(B585,Indices!$A$2:$A$2676,Indices!$B$2:$B$2676,"")</f>
        <v>NQ100</v>
      </c>
    </row>
    <row r="586" spans="1:4" x14ac:dyDescent="0.25">
      <c r="A586" s="379">
        <v>45783.208333333336</v>
      </c>
      <c r="B586" s="382" t="s">
        <v>186</v>
      </c>
      <c r="C586" s="377" t="s">
        <v>4573</v>
      </c>
      <c r="D586" s="6" t="str">
        <f>_xlfn.XLOOKUP(B586,Indices!$A$2:$A$2676,Indices!$B$2:$B$2676,"")</f>
        <v>IWM</v>
      </c>
    </row>
    <row r="587" spans="1:4" x14ac:dyDescent="0.25">
      <c r="A587" s="379">
        <v>45783.209027777775</v>
      </c>
      <c r="B587" s="382" t="s">
        <v>200</v>
      </c>
      <c r="C587" s="377" t="s">
        <v>4867</v>
      </c>
      <c r="D587" s="6" t="str">
        <f>_xlfn.XLOOKUP(B587,Indices!$A$2:$A$2676,Indices!$B$2:$B$2676,"")</f>
        <v>IWM</v>
      </c>
    </row>
    <row r="588" spans="1:4" x14ac:dyDescent="0.25">
      <c r="A588" s="379">
        <v>45783.211805555555</v>
      </c>
      <c r="B588" s="382" t="s">
        <v>2578</v>
      </c>
      <c r="C588" s="377" t="s">
        <v>4868</v>
      </c>
      <c r="D588" s="6" t="str">
        <f>_xlfn.XLOOKUP(B588,Indices!$A$2:$A$2676,Indices!$B$2:$B$2676,"")</f>
        <v/>
      </c>
    </row>
    <row r="589" spans="1:4" x14ac:dyDescent="0.25">
      <c r="A589" s="379">
        <v>45783.215277777781</v>
      </c>
      <c r="B589" s="382" t="s">
        <v>3847</v>
      </c>
      <c r="C589" s="377" t="s">
        <v>4869</v>
      </c>
      <c r="D589" s="6" t="str">
        <f>_xlfn.XLOOKUP(B589,Indices!$A$2:$A$2676,Indices!$B$2:$B$2676,"")</f>
        <v/>
      </c>
    </row>
    <row r="590" spans="1:4" x14ac:dyDescent="0.25">
      <c r="A590" s="379">
        <v>45783.21875</v>
      </c>
      <c r="B590" s="382" t="s">
        <v>613</v>
      </c>
      <c r="C590" s="377" t="s">
        <v>4870</v>
      </c>
      <c r="D590" s="6" t="str">
        <f>_xlfn.XLOOKUP(B590,Indices!$A$2:$A$2676,Indices!$B$2:$B$2676,"")</f>
        <v>SP500</v>
      </c>
    </row>
    <row r="591" spans="1:4" x14ac:dyDescent="0.25">
      <c r="A591" s="379">
        <v>45783.21875</v>
      </c>
      <c r="B591" s="382" t="s">
        <v>2015</v>
      </c>
      <c r="C591" s="377" t="s">
        <v>4870</v>
      </c>
      <c r="D591" s="6" t="str">
        <f>_xlfn.XLOOKUP(B591,Indices!$A$2:$A$2676,Indices!$B$2:$B$2676,"")</f>
        <v>IWM</v>
      </c>
    </row>
    <row r="592" spans="1:4" x14ac:dyDescent="0.25">
      <c r="A592" s="379">
        <v>45783.222916666666</v>
      </c>
      <c r="B592" s="382" t="s">
        <v>3130</v>
      </c>
      <c r="C592" s="377" t="s">
        <v>4871</v>
      </c>
      <c r="D592" s="6" t="str">
        <f>_xlfn.XLOOKUP(B592,Indices!$A$2:$A$2676,Indices!$B$2:$B$2676,"")</f>
        <v/>
      </c>
    </row>
    <row r="593" spans="1:4" x14ac:dyDescent="0.25">
      <c r="A593" s="379">
        <v>45783.229166666664</v>
      </c>
      <c r="B593" s="382" t="s">
        <v>843</v>
      </c>
      <c r="C593" s="377" t="s">
        <v>4872</v>
      </c>
      <c r="D593" s="6" t="str">
        <f>_xlfn.XLOOKUP(B593,Indices!$A$2:$A$2676,Indices!$B$2:$B$2676,"")</f>
        <v>IWM</v>
      </c>
    </row>
    <row r="594" spans="1:4" x14ac:dyDescent="0.25">
      <c r="A594" s="379">
        <v>45783.229166666664</v>
      </c>
      <c r="B594" s="382" t="s">
        <v>3126</v>
      </c>
      <c r="C594" s="377" t="s">
        <v>4872</v>
      </c>
      <c r="D594" s="6" t="str">
        <f>_xlfn.XLOOKUP(B594,Indices!$A$2:$A$2676,Indices!$B$2:$B$2676,"")</f>
        <v/>
      </c>
    </row>
    <row r="595" spans="1:4" x14ac:dyDescent="0.25">
      <c r="A595" s="379">
        <v>45783.229166666664</v>
      </c>
      <c r="B595" s="382" t="s">
        <v>208</v>
      </c>
      <c r="C595" s="377" t="s">
        <v>4872</v>
      </c>
      <c r="D595" s="6" t="str">
        <f>_xlfn.XLOOKUP(B595,Indices!$A$2:$A$2676,Indices!$B$2:$B$2676,"")</f>
        <v>IWM</v>
      </c>
    </row>
    <row r="596" spans="1:4" x14ac:dyDescent="0.25">
      <c r="A596" s="379">
        <v>45783.229166666664</v>
      </c>
      <c r="B596" s="382" t="s">
        <v>2125</v>
      </c>
      <c r="C596" s="377" t="s">
        <v>4872</v>
      </c>
      <c r="D596" s="6" t="str">
        <f>_xlfn.XLOOKUP(B596,Indices!$A$2:$A$2676,Indices!$B$2:$B$2676,"")</f>
        <v>IWM</v>
      </c>
    </row>
    <row r="597" spans="1:4" x14ac:dyDescent="0.25">
      <c r="A597" s="379">
        <v>45783.229166666664</v>
      </c>
      <c r="B597" s="382" t="s">
        <v>310</v>
      </c>
      <c r="C597" s="377" t="s">
        <v>4872</v>
      </c>
      <c r="D597" s="6" t="str">
        <f>_xlfn.XLOOKUP(B597,Indices!$A$2:$A$2676,Indices!$B$2:$B$2676,"")</f>
        <v>IWM</v>
      </c>
    </row>
    <row r="598" spans="1:4" x14ac:dyDescent="0.25">
      <c r="A598" s="379">
        <v>45783.229166666664</v>
      </c>
      <c r="B598" s="382" t="s">
        <v>203</v>
      </c>
      <c r="C598" s="377" t="s">
        <v>4872</v>
      </c>
      <c r="D598" s="6" t="str">
        <f>_xlfn.XLOOKUP(B598,Indices!$A$2:$A$2676,Indices!$B$2:$B$2676,"")</f>
        <v>IWM</v>
      </c>
    </row>
    <row r="599" spans="1:4" x14ac:dyDescent="0.25">
      <c r="A599" s="379">
        <v>45783.229166666664</v>
      </c>
      <c r="B599" s="382" t="s">
        <v>919</v>
      </c>
      <c r="C599" s="377" t="s">
        <v>4872</v>
      </c>
      <c r="D599" s="6" t="str">
        <f>_xlfn.XLOOKUP(B599,Indices!$A$2:$A$2676,Indices!$B$2:$B$2676,"")</f>
        <v>IWM</v>
      </c>
    </row>
    <row r="600" spans="1:4" x14ac:dyDescent="0.25">
      <c r="A600" s="379">
        <v>45783.229166666664</v>
      </c>
      <c r="B600" s="382" t="s">
        <v>2014</v>
      </c>
      <c r="C600" s="377" t="s">
        <v>4872</v>
      </c>
      <c r="D600" s="6" t="str">
        <f>_xlfn.XLOOKUP(B600,Indices!$A$2:$A$2676,Indices!$B$2:$B$2676,"")</f>
        <v>IWM</v>
      </c>
    </row>
    <row r="601" spans="1:4" x14ac:dyDescent="0.25">
      <c r="A601" s="379">
        <v>45783.229166666664</v>
      </c>
      <c r="B601" s="382" t="s">
        <v>2257</v>
      </c>
      <c r="C601" s="377" t="s">
        <v>4872</v>
      </c>
      <c r="D601" s="6" t="str">
        <f>_xlfn.XLOOKUP(B601,Indices!$A$2:$A$2676,Indices!$B$2:$B$2676,"")</f>
        <v>IWM</v>
      </c>
    </row>
    <row r="602" spans="1:4" x14ac:dyDescent="0.25">
      <c r="A602" s="379">
        <v>45783.229166666664</v>
      </c>
      <c r="B602" s="382" t="s">
        <v>3509</v>
      </c>
      <c r="C602" s="377" t="s">
        <v>4872</v>
      </c>
      <c r="D602" s="6" t="str">
        <f>_xlfn.XLOOKUP(B602,Indices!$A$2:$A$2676,Indices!$B$2:$B$2676,"")</f>
        <v/>
      </c>
    </row>
    <row r="603" spans="1:4" x14ac:dyDescent="0.25">
      <c r="A603" s="379">
        <v>45783.239583333336</v>
      </c>
      <c r="B603" s="382" t="s">
        <v>3137</v>
      </c>
      <c r="C603" s="377" t="s">
        <v>4873</v>
      </c>
      <c r="D603" s="6" t="str">
        <f>_xlfn.XLOOKUP(B603,Indices!$A$2:$A$2676,Indices!$B$2:$B$2676,"")</f>
        <v/>
      </c>
    </row>
    <row r="604" spans="1:4" x14ac:dyDescent="0.25">
      <c r="A604" s="379">
        <v>45783.239583333336</v>
      </c>
      <c r="B604" s="382" t="s">
        <v>209</v>
      </c>
      <c r="C604" s="377" t="s">
        <v>4873</v>
      </c>
      <c r="D604" s="6" t="str">
        <f>_xlfn.XLOOKUP(B604,Indices!$A$2:$A$2676,Indices!$B$2:$B$2676,"")</f>
        <v>IWM</v>
      </c>
    </row>
    <row r="605" spans="1:4" x14ac:dyDescent="0.25">
      <c r="A605" s="379">
        <v>45783.239583333336</v>
      </c>
      <c r="B605" s="382" t="s">
        <v>1741</v>
      </c>
      <c r="C605" s="377" t="s">
        <v>4873</v>
      </c>
      <c r="D605" s="6" t="str">
        <f>_xlfn.XLOOKUP(B605,Indices!$A$2:$A$2676,Indices!$B$2:$B$2676,"")</f>
        <v>IWM</v>
      </c>
    </row>
    <row r="606" spans="1:4" x14ac:dyDescent="0.25">
      <c r="A606" s="379">
        <v>45783.239583333336</v>
      </c>
      <c r="B606" s="382" t="s">
        <v>2143</v>
      </c>
      <c r="C606" s="377" t="s">
        <v>4873</v>
      </c>
      <c r="D606" s="6" t="str">
        <f>_xlfn.XLOOKUP(B606,Indices!$A$2:$A$2676,Indices!$B$2:$B$2676,"")</f>
        <v>IWM</v>
      </c>
    </row>
    <row r="607" spans="1:4" x14ac:dyDescent="0.25">
      <c r="A607" s="379">
        <v>45783.25</v>
      </c>
      <c r="B607" s="382" t="s">
        <v>3422</v>
      </c>
      <c r="C607" s="377" t="s">
        <v>4874</v>
      </c>
      <c r="D607" s="6" t="str">
        <f>_xlfn.XLOOKUP(B607,Indices!$A$2:$A$2676,Indices!$B$2:$B$2676,"")</f>
        <v/>
      </c>
    </row>
    <row r="608" spans="1:4" x14ac:dyDescent="0.25">
      <c r="A608" s="379">
        <v>45783.25</v>
      </c>
      <c r="B608" s="382" t="s">
        <v>2933</v>
      </c>
      <c r="C608" s="377" t="s">
        <v>4874</v>
      </c>
      <c r="D608" s="6" t="str">
        <f>_xlfn.XLOOKUP(B608,Indices!$A$2:$A$2676,Indices!$B$2:$B$2676,"")</f>
        <v/>
      </c>
    </row>
    <row r="609" spans="1:4" x14ac:dyDescent="0.25">
      <c r="A609" s="379">
        <v>45783.25</v>
      </c>
      <c r="B609" s="382" t="s">
        <v>61</v>
      </c>
      <c r="C609" s="377" t="s">
        <v>4874</v>
      </c>
      <c r="D609" s="6" t="str">
        <f>_xlfn.XLOOKUP(B609,Indices!$A$2:$A$2676,Indices!$B$2:$B$2676,"")</f>
        <v>IWM</v>
      </c>
    </row>
    <row r="610" spans="1:4" x14ac:dyDescent="0.25">
      <c r="A610" s="379">
        <v>45783.25</v>
      </c>
      <c r="B610" s="382" t="s">
        <v>3123</v>
      </c>
      <c r="C610" s="377" t="s">
        <v>4874</v>
      </c>
      <c r="D610" s="6" t="str">
        <f>_xlfn.XLOOKUP(B610,Indices!$A$2:$A$2676,Indices!$B$2:$B$2676,"")</f>
        <v/>
      </c>
    </row>
    <row r="611" spans="1:4" x14ac:dyDescent="0.25">
      <c r="A611" s="379">
        <v>45783.25</v>
      </c>
      <c r="B611" s="382" t="s">
        <v>1942</v>
      </c>
      <c r="C611" s="377" t="s">
        <v>4874</v>
      </c>
      <c r="D611" s="6" t="str">
        <f>_xlfn.XLOOKUP(B611,Indices!$A$2:$A$2676,Indices!$B$2:$B$2676,"")</f>
        <v>IWM</v>
      </c>
    </row>
    <row r="612" spans="1:4" x14ac:dyDescent="0.25">
      <c r="A612" s="379">
        <v>45783.25</v>
      </c>
      <c r="B612" s="382" t="s">
        <v>936</v>
      </c>
      <c r="C612" s="377" t="s">
        <v>4874</v>
      </c>
      <c r="D612" s="6" t="str">
        <f>_xlfn.XLOOKUP(B612,Indices!$A$2:$A$2676,Indices!$B$2:$B$2676,"")</f>
        <v>IWM</v>
      </c>
    </row>
    <row r="613" spans="1:4" x14ac:dyDescent="0.25">
      <c r="A613" s="379">
        <v>45783.25</v>
      </c>
      <c r="B613" s="382" t="s">
        <v>639</v>
      </c>
      <c r="C613" s="377" t="s">
        <v>4874</v>
      </c>
      <c r="D613" s="6" t="str">
        <f>_xlfn.XLOOKUP(B613,Indices!$A$2:$A$2676,Indices!$B$2:$B$2676,"")</f>
        <v>IWM</v>
      </c>
    </row>
    <row r="614" spans="1:4" x14ac:dyDescent="0.25">
      <c r="A614" s="379">
        <v>45783.25</v>
      </c>
      <c r="B614" s="382" t="s">
        <v>210</v>
      </c>
      <c r="C614" s="377" t="s">
        <v>4874</v>
      </c>
      <c r="D614" s="6" t="str">
        <f>_xlfn.XLOOKUP(B614,Indices!$A$2:$A$2676,Indices!$B$2:$B$2676,"")</f>
        <v>IWM</v>
      </c>
    </row>
    <row r="615" spans="1:4" x14ac:dyDescent="0.25">
      <c r="A615" s="379">
        <v>45783.25</v>
      </c>
      <c r="B615" s="382" t="s">
        <v>3119</v>
      </c>
      <c r="C615" s="377" t="s">
        <v>4874</v>
      </c>
      <c r="D615" s="6" t="str">
        <f>_xlfn.XLOOKUP(B615,Indices!$A$2:$A$2676,Indices!$B$2:$B$2676,"")</f>
        <v/>
      </c>
    </row>
    <row r="616" spans="1:4" x14ac:dyDescent="0.25">
      <c r="A616" s="379">
        <v>45783.25</v>
      </c>
      <c r="B616" s="382" t="s">
        <v>3109</v>
      </c>
      <c r="C616" s="377" t="s">
        <v>4874</v>
      </c>
      <c r="D616" s="6" t="str">
        <f>_xlfn.XLOOKUP(B616,Indices!$A$2:$A$2676,Indices!$B$2:$B$2676,"")</f>
        <v/>
      </c>
    </row>
    <row r="617" spans="1:4" x14ac:dyDescent="0.25">
      <c r="A617" s="379">
        <v>45783.25</v>
      </c>
      <c r="B617" s="382" t="s">
        <v>2501</v>
      </c>
      <c r="C617" s="377" t="s">
        <v>4874</v>
      </c>
      <c r="D617" s="6" t="str">
        <f>_xlfn.XLOOKUP(B617,Indices!$A$2:$A$2676,Indices!$B$2:$B$2676,"")</f>
        <v>S&amp;P Mid</v>
      </c>
    </row>
    <row r="618" spans="1:4" x14ac:dyDescent="0.25">
      <c r="A618" s="379">
        <v>45783.25</v>
      </c>
      <c r="B618" s="382" t="s">
        <v>636</v>
      </c>
      <c r="C618" s="377" t="s">
        <v>4874</v>
      </c>
      <c r="D618" s="6" t="str">
        <f>_xlfn.XLOOKUP(B618,Indices!$A$2:$A$2676,Indices!$B$2:$B$2676,"")</f>
        <v>IWM</v>
      </c>
    </row>
    <row r="619" spans="1:4" x14ac:dyDescent="0.25">
      <c r="A619" s="379">
        <v>45783.25</v>
      </c>
      <c r="B619" s="382" t="s">
        <v>211</v>
      </c>
      <c r="C619" s="377" t="s">
        <v>4874</v>
      </c>
      <c r="D619" s="6" t="str">
        <f>_xlfn.XLOOKUP(B619,Indices!$A$2:$A$2676,Indices!$B$2:$B$2676,"")</f>
        <v>IWM</v>
      </c>
    </row>
    <row r="620" spans="1:4" x14ac:dyDescent="0.25">
      <c r="A620" s="379">
        <v>45783.25</v>
      </c>
      <c r="B620" s="382" t="s">
        <v>632</v>
      </c>
      <c r="C620" s="377" t="s">
        <v>4874</v>
      </c>
      <c r="D620" s="6" t="str">
        <f>_xlfn.XLOOKUP(B620,Indices!$A$2:$A$2676,Indices!$B$2:$B$2676,"")</f>
        <v>IWM</v>
      </c>
    </row>
    <row r="621" spans="1:4" x14ac:dyDescent="0.25">
      <c r="A621" s="379">
        <v>45783.25</v>
      </c>
      <c r="B621" s="382" t="s">
        <v>2222</v>
      </c>
      <c r="C621" s="377" t="s">
        <v>4874</v>
      </c>
      <c r="D621" s="6" t="str">
        <f>_xlfn.XLOOKUP(B621,Indices!$A$2:$A$2676,Indices!$B$2:$B$2676,"")</f>
        <v>IWM</v>
      </c>
    </row>
    <row r="622" spans="1:4" x14ac:dyDescent="0.25">
      <c r="A622" s="379">
        <v>45783.260416666664</v>
      </c>
      <c r="B622" s="382" t="s">
        <v>2061</v>
      </c>
      <c r="C622" s="377" t="s">
        <v>4875</v>
      </c>
      <c r="D622" s="6" t="str">
        <f>_xlfn.XLOOKUP(B622,Indices!$A$2:$A$2676,Indices!$B$2:$B$2676,"")</f>
        <v>IWM</v>
      </c>
    </row>
    <row r="623" spans="1:4" x14ac:dyDescent="0.25">
      <c r="A623" s="379">
        <v>45783.270833333336</v>
      </c>
      <c r="B623" s="382" t="s">
        <v>324</v>
      </c>
      <c r="C623" s="377" t="s">
        <v>4876</v>
      </c>
      <c r="D623" s="6" t="str">
        <f>_xlfn.XLOOKUP(B623,Indices!$A$2:$A$2676,Indices!$B$2:$B$2676,"")</f>
        <v>IWM</v>
      </c>
    </row>
    <row r="624" spans="1:4" x14ac:dyDescent="0.25">
      <c r="A624" s="379">
        <v>45783.270833333336</v>
      </c>
      <c r="B624" s="382" t="s">
        <v>584</v>
      </c>
      <c r="C624" s="377" t="s">
        <v>4876</v>
      </c>
      <c r="D624" s="6" t="str">
        <f>_xlfn.XLOOKUP(B624,Indices!$A$2:$A$2676,Indices!$B$2:$B$2676,"")</f>
        <v>IWM</v>
      </c>
    </row>
    <row r="625" spans="1:4" x14ac:dyDescent="0.25">
      <c r="A625" s="379">
        <v>45783.270833333336</v>
      </c>
      <c r="B625" s="382" t="s">
        <v>3512</v>
      </c>
      <c r="C625" s="377" t="s">
        <v>4876</v>
      </c>
      <c r="D625" s="6" t="str">
        <f>_xlfn.XLOOKUP(B625,Indices!$A$2:$A$2676,Indices!$B$2:$B$2676,"")</f>
        <v/>
      </c>
    </row>
    <row r="626" spans="1:4" x14ac:dyDescent="0.25">
      <c r="A626" s="379">
        <v>45783.270833333336</v>
      </c>
      <c r="B626" s="382" t="s">
        <v>214</v>
      </c>
      <c r="C626" s="377" t="s">
        <v>4876</v>
      </c>
      <c r="D626" s="6" t="str">
        <f>_xlfn.XLOOKUP(B626,Indices!$A$2:$A$2676,Indices!$B$2:$B$2676,"")</f>
        <v>SP500</v>
      </c>
    </row>
    <row r="627" spans="1:4" x14ac:dyDescent="0.25">
      <c r="A627" s="379">
        <v>45783.291666666664</v>
      </c>
      <c r="B627" s="382" t="s">
        <v>627</v>
      </c>
      <c r="C627" s="377" t="s">
        <v>3093</v>
      </c>
      <c r="D627" s="6" t="str">
        <f>_xlfn.XLOOKUP(B627,Indices!$A$2:$A$2676,Indices!$B$2:$B$2676,"")</f>
        <v>IWM</v>
      </c>
    </row>
    <row r="628" spans="1:4" x14ac:dyDescent="0.25">
      <c r="A628" s="379">
        <v>45783.291666666664</v>
      </c>
      <c r="B628" s="382" t="s">
        <v>3240</v>
      </c>
      <c r="C628" s="377" t="s">
        <v>3104</v>
      </c>
      <c r="D628" s="6" t="str">
        <f>_xlfn.XLOOKUP(B628,Indices!$A$2:$A$2676,Indices!$B$2:$B$2676,"")</f>
        <v/>
      </c>
    </row>
    <row r="629" spans="1:4" x14ac:dyDescent="0.25">
      <c r="A629" s="379">
        <v>45783.291666666664</v>
      </c>
      <c r="B629" s="382" t="s">
        <v>215</v>
      </c>
      <c r="C629" s="377" t="s">
        <v>4877</v>
      </c>
      <c r="D629" s="6" t="str">
        <f>_xlfn.XLOOKUP(B629,Indices!$A$2:$A$2676,Indices!$B$2:$B$2676,"")</f>
        <v>IWM</v>
      </c>
    </row>
    <row r="630" spans="1:4" x14ac:dyDescent="0.25">
      <c r="A630" s="379">
        <v>45783.311805555553</v>
      </c>
      <c r="B630" s="382" t="s">
        <v>3106</v>
      </c>
      <c r="C630" s="377" t="s">
        <v>4878</v>
      </c>
      <c r="D630" s="6" t="str">
        <f>_xlfn.XLOOKUP(B630,Indices!$A$2:$A$2676,Indices!$B$2:$B$2676,"")</f>
        <v/>
      </c>
    </row>
    <row r="631" spans="1:4" x14ac:dyDescent="0.25">
      <c r="A631" s="379">
        <v>45783.3125</v>
      </c>
      <c r="B631" s="382" t="s">
        <v>646</v>
      </c>
      <c r="C631" s="377" t="s">
        <v>4879</v>
      </c>
      <c r="D631" s="6" t="str">
        <f>_xlfn.XLOOKUP(B631,Indices!$A$2:$A$2676,Indices!$B$2:$B$2676,"")</f>
        <v>IWM</v>
      </c>
    </row>
    <row r="632" spans="1:4" x14ac:dyDescent="0.25">
      <c r="A632" s="379">
        <v>45783.583333333336</v>
      </c>
      <c r="B632" s="382" t="s">
        <v>65</v>
      </c>
      <c r="C632" s="377" t="s">
        <v>4880</v>
      </c>
      <c r="D632" s="6" t="str">
        <f>_xlfn.XLOOKUP(B632,Indices!$A$2:$A$2676,Indices!$B$2:$B$2676,"")</f>
        <v>IWM</v>
      </c>
    </row>
    <row r="633" spans="1:4" x14ac:dyDescent="0.25">
      <c r="A633" s="379">
        <v>45783.583333333336</v>
      </c>
      <c r="B633" s="382" t="s">
        <v>3163</v>
      </c>
      <c r="C633" s="377" t="s">
        <v>4880</v>
      </c>
      <c r="D633" s="6" t="str">
        <f>_xlfn.XLOOKUP(B633,Indices!$A$2:$A$2676,Indices!$B$2:$B$2676,"")</f>
        <v/>
      </c>
    </row>
    <row r="634" spans="1:4" x14ac:dyDescent="0.25">
      <c r="A634" s="379">
        <v>45783.583333333336</v>
      </c>
      <c r="B634" s="382" t="s">
        <v>329</v>
      </c>
      <c r="C634" s="377" t="s">
        <v>4880</v>
      </c>
      <c r="D634" s="6" t="str">
        <f>_xlfn.XLOOKUP(B634,Indices!$A$2:$A$2676,Indices!$B$2:$B$2676,"")</f>
        <v>IWM</v>
      </c>
    </row>
    <row r="635" spans="1:4" x14ac:dyDescent="0.25">
      <c r="A635" s="379">
        <v>45783.583333333336</v>
      </c>
      <c r="B635" s="382" t="s">
        <v>328</v>
      </c>
      <c r="C635" s="377" t="s">
        <v>4880</v>
      </c>
      <c r="D635" s="6" t="str">
        <f>_xlfn.XLOOKUP(B635,Indices!$A$2:$A$2676,Indices!$B$2:$B$2676,"")</f>
        <v>IWM</v>
      </c>
    </row>
    <row r="636" spans="1:4" x14ac:dyDescent="0.25">
      <c r="A636" s="379">
        <v>45783.583333333336</v>
      </c>
      <c r="B636" s="382" t="s">
        <v>1968</v>
      </c>
      <c r="C636" s="377" t="s">
        <v>4880</v>
      </c>
      <c r="D636" s="6" t="str">
        <f>_xlfn.XLOOKUP(B636,Indices!$A$2:$A$2676,Indices!$B$2:$B$2676,"")</f>
        <v>IWM</v>
      </c>
    </row>
    <row r="637" spans="1:4" x14ac:dyDescent="0.25">
      <c r="A637" s="379">
        <v>45783.583333333336</v>
      </c>
      <c r="B637" s="382" t="s">
        <v>653</v>
      </c>
      <c r="C637" s="377" t="s">
        <v>4880</v>
      </c>
      <c r="D637" s="6" t="str">
        <f>_xlfn.XLOOKUP(B637,Indices!$A$2:$A$2676,Indices!$B$2:$B$2676,"")</f>
        <v>IWM</v>
      </c>
    </row>
    <row r="638" spans="1:4" x14ac:dyDescent="0.25">
      <c r="A638" s="379">
        <v>45783.583333333336</v>
      </c>
      <c r="B638" s="382" t="s">
        <v>63</v>
      </c>
      <c r="C638" s="377" t="s">
        <v>4880</v>
      </c>
      <c r="D638" s="6" t="str">
        <f>_xlfn.XLOOKUP(B638,Indices!$A$2:$A$2676,Indices!$B$2:$B$2676,"")</f>
        <v>S&amp;P Mid</v>
      </c>
    </row>
    <row r="639" spans="1:4" x14ac:dyDescent="0.25">
      <c r="A639" s="379">
        <v>45783.583333333336</v>
      </c>
      <c r="B639" s="382" t="s">
        <v>330</v>
      </c>
      <c r="C639" s="377" t="s">
        <v>4880</v>
      </c>
      <c r="D639" s="6" t="str">
        <f>_xlfn.XLOOKUP(B639,Indices!$A$2:$A$2676,Indices!$B$2:$B$2676,"")</f>
        <v>IWM</v>
      </c>
    </row>
    <row r="640" spans="1:4" x14ac:dyDescent="0.25">
      <c r="A640" s="379">
        <v>45783.584027777775</v>
      </c>
      <c r="B640" s="382" t="s">
        <v>3246</v>
      </c>
      <c r="C640" s="377" t="s">
        <v>4881</v>
      </c>
      <c r="D640" s="6" t="str">
        <f>_xlfn.XLOOKUP(B640,Indices!$A$2:$A$2676,Indices!$B$2:$B$2676,"")</f>
        <v/>
      </c>
    </row>
    <row r="641" spans="1:4" x14ac:dyDescent="0.25">
      <c r="A641" s="379">
        <v>45783.584027777775</v>
      </c>
      <c r="B641" s="382" t="s">
        <v>661</v>
      </c>
      <c r="C641" s="377" t="s">
        <v>4881</v>
      </c>
      <c r="D641" s="6" t="str">
        <f>_xlfn.XLOOKUP(B641,Indices!$A$2:$A$2676,Indices!$B$2:$B$2676,"")</f>
        <v>IWM</v>
      </c>
    </row>
    <row r="642" spans="1:4" x14ac:dyDescent="0.25">
      <c r="A642" s="379">
        <v>45783.584027777775</v>
      </c>
      <c r="B642" s="382" t="s">
        <v>3188</v>
      </c>
      <c r="C642" s="377" t="s">
        <v>4881</v>
      </c>
      <c r="D642" s="6" t="str">
        <f>_xlfn.XLOOKUP(B642,Indices!$A$2:$A$2676,Indices!$B$2:$B$2676,"")</f>
        <v/>
      </c>
    </row>
    <row r="643" spans="1:4" x14ac:dyDescent="0.25">
      <c r="A643" s="379">
        <v>45783.584027777775</v>
      </c>
      <c r="B643" s="382" t="s">
        <v>3201</v>
      </c>
      <c r="C643" s="377" t="s">
        <v>4881</v>
      </c>
      <c r="D643" s="6" t="str">
        <f>_xlfn.XLOOKUP(B643,Indices!$A$2:$A$2676,Indices!$B$2:$B$2676,"")</f>
        <v/>
      </c>
    </row>
    <row r="644" spans="1:4" x14ac:dyDescent="0.25">
      <c r="A644" s="379">
        <v>45783.584027777775</v>
      </c>
      <c r="B644" s="382" t="s">
        <v>3315</v>
      </c>
      <c r="C644" s="377" t="s">
        <v>4881</v>
      </c>
      <c r="D644" s="6" t="str">
        <f>_xlfn.XLOOKUP(B644,Indices!$A$2:$A$2676,Indices!$B$2:$B$2676,"")</f>
        <v/>
      </c>
    </row>
    <row r="645" spans="1:4" x14ac:dyDescent="0.25">
      <c r="A645" s="379">
        <v>45783.584027777775</v>
      </c>
      <c r="B645" s="382" t="s">
        <v>1656</v>
      </c>
      <c r="C645" s="377" t="s">
        <v>4881</v>
      </c>
      <c r="D645" s="6" t="str">
        <f>_xlfn.XLOOKUP(B645,Indices!$A$2:$A$2676,Indices!$B$2:$B$2676,"")</f>
        <v>IWM</v>
      </c>
    </row>
    <row r="646" spans="1:4" x14ac:dyDescent="0.25">
      <c r="A646" s="379">
        <v>45783.584027777775</v>
      </c>
      <c r="B646" s="382" t="s">
        <v>2094</v>
      </c>
      <c r="C646" s="377" t="s">
        <v>4881</v>
      </c>
      <c r="D646" s="6" t="str">
        <f>_xlfn.XLOOKUP(B646,Indices!$A$2:$A$2676,Indices!$B$2:$B$2676,"")</f>
        <v>IWM</v>
      </c>
    </row>
    <row r="647" spans="1:4" x14ac:dyDescent="0.25">
      <c r="A647" s="379">
        <v>45783.584027777775</v>
      </c>
      <c r="B647" s="382" t="s">
        <v>216</v>
      </c>
      <c r="C647" s="377" t="s">
        <v>4881</v>
      </c>
      <c r="D647" s="6" t="str">
        <f>_xlfn.XLOOKUP(B647,Indices!$A$2:$A$2676,Indices!$B$2:$B$2676,"")</f>
        <v>IWM</v>
      </c>
    </row>
    <row r="648" spans="1:4" x14ac:dyDescent="0.25">
      <c r="A648" s="379">
        <v>45783.584027777775</v>
      </c>
      <c r="B648" s="382" t="s">
        <v>668</v>
      </c>
      <c r="C648" s="377" t="s">
        <v>4881</v>
      </c>
      <c r="D648" s="6" t="str">
        <f>_xlfn.XLOOKUP(B648,Indices!$A$2:$A$2676,Indices!$B$2:$B$2676,"")</f>
        <v>IWM</v>
      </c>
    </row>
    <row r="649" spans="1:4" x14ac:dyDescent="0.25">
      <c r="A649" s="379">
        <v>45783.584027777775</v>
      </c>
      <c r="B649" s="382" t="s">
        <v>344</v>
      </c>
      <c r="C649" s="377" t="s">
        <v>4881</v>
      </c>
      <c r="D649" s="6" t="str">
        <f>_xlfn.XLOOKUP(B649,Indices!$A$2:$A$2676,Indices!$B$2:$B$2676,"")</f>
        <v>IWM</v>
      </c>
    </row>
    <row r="650" spans="1:4" x14ac:dyDescent="0.25">
      <c r="A650" s="379">
        <v>45783.584027777775</v>
      </c>
      <c r="B650" s="382" t="s">
        <v>409</v>
      </c>
      <c r="C650" s="377" t="s">
        <v>4881</v>
      </c>
      <c r="D650" s="6" t="str">
        <f>_xlfn.XLOOKUP(B650,Indices!$A$2:$A$2676,Indices!$B$2:$B$2676,"")</f>
        <v>IWM</v>
      </c>
    </row>
    <row r="651" spans="1:4" x14ac:dyDescent="0.25">
      <c r="A651" s="379">
        <v>45783.584027777775</v>
      </c>
      <c r="B651" s="382" t="s">
        <v>221</v>
      </c>
      <c r="C651" s="377" t="s">
        <v>4881</v>
      </c>
      <c r="D651" s="6" t="str">
        <f>_xlfn.XLOOKUP(B651,Indices!$A$2:$A$2676,Indices!$B$2:$B$2676,"")</f>
        <v>IWM</v>
      </c>
    </row>
    <row r="652" spans="1:4" x14ac:dyDescent="0.25">
      <c r="A652" s="379">
        <v>45783.584027777775</v>
      </c>
      <c r="B652" s="382" t="s">
        <v>3208</v>
      </c>
      <c r="C652" s="377" t="s">
        <v>4881</v>
      </c>
      <c r="D652" s="6" t="str">
        <f>_xlfn.XLOOKUP(B652,Indices!$A$2:$A$2676,Indices!$B$2:$B$2676,"")</f>
        <v/>
      </c>
    </row>
    <row r="653" spans="1:4" x14ac:dyDescent="0.25">
      <c r="A653" s="379">
        <v>45783.584027777775</v>
      </c>
      <c r="B653" s="382" t="s">
        <v>679</v>
      </c>
      <c r="C653" s="377" t="s">
        <v>4881</v>
      </c>
      <c r="D653" s="6" t="str">
        <f>_xlfn.XLOOKUP(B653,Indices!$A$2:$A$2676,Indices!$B$2:$B$2676,"")</f>
        <v>IWM</v>
      </c>
    </row>
    <row r="654" spans="1:4" x14ac:dyDescent="0.25">
      <c r="A654" s="379">
        <v>45783.584027777775</v>
      </c>
      <c r="B654" s="382" t="s">
        <v>220</v>
      </c>
      <c r="C654" s="377" t="s">
        <v>4881</v>
      </c>
      <c r="D654" s="6" t="str">
        <f>_xlfn.XLOOKUP(B654,Indices!$A$2:$A$2676,Indices!$B$2:$B$2676,"")</f>
        <v>IWM</v>
      </c>
    </row>
    <row r="655" spans="1:4" x14ac:dyDescent="0.25">
      <c r="A655" s="379">
        <v>45783.584027777775</v>
      </c>
      <c r="B655" s="382" t="s">
        <v>2967</v>
      </c>
      <c r="C655" s="377" t="s">
        <v>4881</v>
      </c>
      <c r="D655" s="6" t="str">
        <f>_xlfn.XLOOKUP(B655,Indices!$A$2:$A$2676,Indices!$B$2:$B$2676,"")</f>
        <v/>
      </c>
    </row>
    <row r="656" spans="1:4" x14ac:dyDescent="0.25">
      <c r="A656" s="379">
        <v>45783.584027777775</v>
      </c>
      <c r="B656" s="382" t="s">
        <v>2549</v>
      </c>
      <c r="C656" s="377" t="s">
        <v>4881</v>
      </c>
      <c r="D656" s="6" t="str">
        <f>_xlfn.XLOOKUP(B656,Indices!$A$2:$A$2676,Indices!$B$2:$B$2676,"")</f>
        <v/>
      </c>
    </row>
    <row r="657" spans="1:4" x14ac:dyDescent="0.25">
      <c r="A657" s="379">
        <v>45783.584027777775</v>
      </c>
      <c r="B657" s="382" t="s">
        <v>3880</v>
      </c>
      <c r="C657" s="377" t="s">
        <v>4881</v>
      </c>
      <c r="D657" s="6" t="str">
        <f>_xlfn.XLOOKUP(B657,Indices!$A$2:$A$2676,Indices!$B$2:$B$2676,"")</f>
        <v/>
      </c>
    </row>
    <row r="658" spans="1:4" x14ac:dyDescent="0.25">
      <c r="A658" s="379">
        <v>45783.584027777775</v>
      </c>
      <c r="B658" s="382" t="s">
        <v>340</v>
      </c>
      <c r="C658" s="377" t="s">
        <v>4881</v>
      </c>
      <c r="D658" s="6" t="str">
        <f>_xlfn.XLOOKUP(B658,Indices!$A$2:$A$2676,Indices!$B$2:$B$2676,"")</f>
        <v>IWM</v>
      </c>
    </row>
    <row r="659" spans="1:4" x14ac:dyDescent="0.25">
      <c r="A659" s="379">
        <v>45783.584027777775</v>
      </c>
      <c r="B659" s="382" t="s">
        <v>2193</v>
      </c>
      <c r="C659" s="377" t="s">
        <v>4881</v>
      </c>
      <c r="D659" s="6" t="str">
        <f>_xlfn.XLOOKUP(B659,Indices!$A$2:$A$2676,Indices!$B$2:$B$2676,"")</f>
        <v>IWM</v>
      </c>
    </row>
    <row r="660" spans="1:4" x14ac:dyDescent="0.25">
      <c r="A660" s="379">
        <v>45783.584027777775</v>
      </c>
      <c r="B660" s="382" t="s">
        <v>945</v>
      </c>
      <c r="C660" s="377" t="s">
        <v>4881</v>
      </c>
      <c r="D660" s="6" t="str">
        <f>_xlfn.XLOOKUP(B660,Indices!$A$2:$A$2676,Indices!$B$2:$B$2676,"")</f>
        <v>IWM</v>
      </c>
    </row>
    <row r="661" spans="1:4" x14ac:dyDescent="0.25">
      <c r="A661" s="379">
        <v>45783.584722222222</v>
      </c>
      <c r="B661" s="382" t="s">
        <v>3901</v>
      </c>
      <c r="C661" s="377" t="s">
        <v>4882</v>
      </c>
      <c r="D661" s="6" t="str">
        <f>_xlfn.XLOOKUP(B661,Indices!$A$2:$A$2676,Indices!$B$2:$B$2676,"")</f>
        <v/>
      </c>
    </row>
    <row r="662" spans="1:4" x14ac:dyDescent="0.25">
      <c r="A662" s="379">
        <v>45783.584722222222</v>
      </c>
      <c r="B662" s="382" t="s">
        <v>78</v>
      </c>
      <c r="C662" s="377" t="s">
        <v>4882</v>
      </c>
      <c r="D662" s="6" t="str">
        <f>_xlfn.XLOOKUP(B662,Indices!$A$2:$A$2676,Indices!$B$2:$B$2676,"")</f>
        <v>SP500</v>
      </c>
    </row>
    <row r="663" spans="1:4" x14ac:dyDescent="0.25">
      <c r="A663" s="379">
        <v>45783.584722222222</v>
      </c>
      <c r="B663" s="382" t="s">
        <v>2230</v>
      </c>
      <c r="C663" s="377" t="s">
        <v>4882</v>
      </c>
      <c r="D663" s="6" t="str">
        <f>_xlfn.XLOOKUP(B663,Indices!$A$2:$A$2676,Indices!$B$2:$B$2676,"")</f>
        <v>IWM</v>
      </c>
    </row>
    <row r="664" spans="1:4" x14ac:dyDescent="0.25">
      <c r="A664" s="379">
        <v>45783.584722222222</v>
      </c>
      <c r="B664" s="382" t="s">
        <v>2968</v>
      </c>
      <c r="C664" s="377" t="s">
        <v>4882</v>
      </c>
      <c r="D664" s="6" t="str">
        <f>_xlfn.XLOOKUP(B664,Indices!$A$2:$A$2676,Indices!$B$2:$B$2676,"")</f>
        <v/>
      </c>
    </row>
    <row r="665" spans="1:4" x14ac:dyDescent="0.25">
      <c r="A665" s="379">
        <v>45783.584722222222</v>
      </c>
      <c r="B665" s="382" t="s">
        <v>656</v>
      </c>
      <c r="C665" s="377" t="s">
        <v>4882</v>
      </c>
      <c r="D665" s="6" t="str">
        <f>_xlfn.XLOOKUP(B665,Indices!$A$2:$A$2676,Indices!$B$2:$B$2676,"")</f>
        <v>IWM</v>
      </c>
    </row>
    <row r="666" spans="1:4" x14ac:dyDescent="0.25">
      <c r="A666" s="379">
        <v>45783.585416666669</v>
      </c>
      <c r="B666" s="382" t="s">
        <v>225</v>
      </c>
      <c r="C666" s="377" t="s">
        <v>4883</v>
      </c>
      <c r="D666" s="6" t="str">
        <f>_xlfn.XLOOKUP(B666,Indices!$A$2:$A$2676,Indices!$B$2:$B$2676,"")</f>
        <v>IWM</v>
      </c>
    </row>
    <row r="667" spans="1:4" x14ac:dyDescent="0.25">
      <c r="A667" s="379">
        <v>45783.585416666669</v>
      </c>
      <c r="B667" s="382" t="s">
        <v>682</v>
      </c>
      <c r="C667" s="377" t="s">
        <v>4883</v>
      </c>
      <c r="D667" s="6" t="str">
        <f>_xlfn.XLOOKUP(B667,Indices!$A$2:$A$2676,Indices!$B$2:$B$2676,"")</f>
        <v>S&amp;P Mid</v>
      </c>
    </row>
    <row r="668" spans="1:4" x14ac:dyDescent="0.25">
      <c r="A668" s="379">
        <v>45783.586805555555</v>
      </c>
      <c r="B668" s="382" t="s">
        <v>696</v>
      </c>
      <c r="C668" s="377" t="s">
        <v>4884</v>
      </c>
      <c r="D668" s="6" t="str">
        <f>_xlfn.XLOOKUP(B668,Indices!$A$2:$A$2676,Indices!$B$2:$B$2676,"")</f>
        <v>IWM</v>
      </c>
    </row>
    <row r="669" spans="1:4" x14ac:dyDescent="0.25">
      <c r="A669" s="379">
        <v>45783.586805555555</v>
      </c>
      <c r="B669" s="382" t="s">
        <v>3327</v>
      </c>
      <c r="C669" s="377" t="s">
        <v>4884</v>
      </c>
      <c r="D669" s="6" t="str">
        <f>_xlfn.XLOOKUP(B669,Indices!$A$2:$A$2676,Indices!$B$2:$B$2676,"")</f>
        <v/>
      </c>
    </row>
    <row r="670" spans="1:4" x14ac:dyDescent="0.25">
      <c r="A670" s="379">
        <v>45783.586805555555</v>
      </c>
      <c r="B670" s="382" t="s">
        <v>139</v>
      </c>
      <c r="C670" s="377" t="s">
        <v>4884</v>
      </c>
      <c r="D670" s="6" t="str">
        <f>_xlfn.XLOOKUP(B670,Indices!$A$2:$A$2676,Indices!$B$2:$B$2676,"")</f>
        <v>IWM</v>
      </c>
    </row>
    <row r="671" spans="1:4" x14ac:dyDescent="0.25">
      <c r="A671" s="379">
        <v>45783.586805555555</v>
      </c>
      <c r="B671" s="382" t="s">
        <v>359</v>
      </c>
      <c r="C671" s="377" t="s">
        <v>4884</v>
      </c>
      <c r="D671" s="6" t="str">
        <f>_xlfn.XLOOKUP(B671,Indices!$A$2:$A$2676,Indices!$B$2:$B$2676,"")</f>
        <v>S&amp;P Mid</v>
      </c>
    </row>
    <row r="672" spans="1:4" x14ac:dyDescent="0.25">
      <c r="A672" s="379">
        <v>45783.586805555555</v>
      </c>
      <c r="B672" s="382" t="s">
        <v>3385</v>
      </c>
      <c r="C672" s="377" t="s">
        <v>4884</v>
      </c>
      <c r="D672" s="6" t="str">
        <f>_xlfn.XLOOKUP(B672,Indices!$A$2:$A$2676,Indices!$B$2:$B$2676,"")</f>
        <v/>
      </c>
    </row>
    <row r="673" spans="1:4" x14ac:dyDescent="0.25">
      <c r="A673" s="379">
        <v>45783.586805555555</v>
      </c>
      <c r="B673" s="382" t="s">
        <v>730</v>
      </c>
      <c r="C673" s="377" t="s">
        <v>4884</v>
      </c>
      <c r="D673" s="6" t="str">
        <f>_xlfn.XLOOKUP(B673,Indices!$A$2:$A$2676,Indices!$B$2:$B$2676,"")</f>
        <v>IWM</v>
      </c>
    </row>
    <row r="674" spans="1:4" x14ac:dyDescent="0.25">
      <c r="A674" s="379">
        <v>45783.586805555555</v>
      </c>
      <c r="B674" s="382" t="s">
        <v>3895</v>
      </c>
      <c r="C674" s="377" t="s">
        <v>4884</v>
      </c>
      <c r="D674" s="6" t="str">
        <f>_xlfn.XLOOKUP(B674,Indices!$A$2:$A$2676,Indices!$B$2:$B$2676,"")</f>
        <v/>
      </c>
    </row>
    <row r="675" spans="1:4" x14ac:dyDescent="0.25">
      <c r="A675" s="379">
        <v>45783.586805555555</v>
      </c>
      <c r="B675" s="382" t="s">
        <v>3164</v>
      </c>
      <c r="C675" s="377" t="s">
        <v>4884</v>
      </c>
      <c r="D675" s="6" t="str">
        <f>_xlfn.XLOOKUP(B675,Indices!$A$2:$A$2676,Indices!$B$2:$B$2676,"")</f>
        <v/>
      </c>
    </row>
    <row r="676" spans="1:4" x14ac:dyDescent="0.25">
      <c r="A676" s="379">
        <v>45783.586805555555</v>
      </c>
      <c r="B676" s="382" t="s">
        <v>3186</v>
      </c>
      <c r="C676" s="377" t="s">
        <v>4884</v>
      </c>
      <c r="D676" s="6" t="str">
        <f>_xlfn.XLOOKUP(B676,Indices!$A$2:$A$2676,Indices!$B$2:$B$2676,"")</f>
        <v/>
      </c>
    </row>
    <row r="677" spans="1:4" x14ac:dyDescent="0.25">
      <c r="A677" s="379">
        <v>45783.586805555555</v>
      </c>
      <c r="B677" s="382" t="s">
        <v>3791</v>
      </c>
      <c r="C677" s="377" t="s">
        <v>4884</v>
      </c>
      <c r="D677" s="6" t="str">
        <f>_xlfn.XLOOKUP(B677,Indices!$A$2:$A$2676,Indices!$B$2:$B$2676,"")</f>
        <v/>
      </c>
    </row>
    <row r="678" spans="1:4" x14ac:dyDescent="0.25">
      <c r="A678" s="379">
        <v>45783.586805555555</v>
      </c>
      <c r="B678" s="382" t="s">
        <v>1660</v>
      </c>
      <c r="C678" s="377" t="s">
        <v>4884</v>
      </c>
      <c r="D678" s="6" t="str">
        <f>_xlfn.XLOOKUP(B678,Indices!$A$2:$A$2676,Indices!$B$2:$B$2676,"")</f>
        <v>IWM</v>
      </c>
    </row>
    <row r="679" spans="1:4" x14ac:dyDescent="0.25">
      <c r="A679" s="379">
        <v>45783.586805555555</v>
      </c>
      <c r="B679" s="382" t="s">
        <v>3183</v>
      </c>
      <c r="C679" s="377" t="s">
        <v>4884</v>
      </c>
      <c r="D679" s="6" t="str">
        <f>_xlfn.XLOOKUP(B679,Indices!$A$2:$A$2676,Indices!$B$2:$B$2676,"")</f>
        <v/>
      </c>
    </row>
    <row r="680" spans="1:4" x14ac:dyDescent="0.25">
      <c r="A680" s="379">
        <v>45783.586805555555</v>
      </c>
      <c r="B680" s="382" t="s">
        <v>2148</v>
      </c>
      <c r="C680" s="377" t="s">
        <v>4884</v>
      </c>
      <c r="D680" s="6" t="str">
        <f>_xlfn.XLOOKUP(B680,Indices!$A$2:$A$2676,Indices!$B$2:$B$2676,"")</f>
        <v>IWM</v>
      </c>
    </row>
    <row r="681" spans="1:4" x14ac:dyDescent="0.25">
      <c r="A681" s="379">
        <v>45783.586805555555</v>
      </c>
      <c r="B681" s="382" t="s">
        <v>84</v>
      </c>
      <c r="C681" s="377" t="s">
        <v>4884</v>
      </c>
      <c r="D681" s="6" t="str">
        <f>_xlfn.XLOOKUP(B681,Indices!$A$2:$A$2676,Indices!$B$2:$B$2676,"")</f>
        <v>IWM</v>
      </c>
    </row>
    <row r="682" spans="1:4" x14ac:dyDescent="0.25">
      <c r="A682" s="379">
        <v>45783.586805555555</v>
      </c>
      <c r="B682" s="382" t="s">
        <v>1104</v>
      </c>
      <c r="C682" s="377" t="s">
        <v>4884</v>
      </c>
      <c r="D682" s="6" t="str">
        <f>_xlfn.XLOOKUP(B682,Indices!$A$2:$A$2676,Indices!$B$2:$B$2676,"")</f>
        <v>SP500</v>
      </c>
    </row>
    <row r="683" spans="1:4" x14ac:dyDescent="0.25">
      <c r="A683" s="379">
        <v>45783.586805555555</v>
      </c>
      <c r="B683" s="382" t="s">
        <v>1026</v>
      </c>
      <c r="C683" s="377" t="s">
        <v>4884</v>
      </c>
      <c r="D683" s="6" t="str">
        <f>_xlfn.XLOOKUP(B683,Indices!$A$2:$A$2676,Indices!$B$2:$B$2676,"")</f>
        <v>IWM</v>
      </c>
    </row>
    <row r="684" spans="1:4" x14ac:dyDescent="0.25">
      <c r="A684" s="379">
        <v>45783.586805555555</v>
      </c>
      <c r="B684" s="382" t="s">
        <v>3180</v>
      </c>
      <c r="C684" s="377" t="s">
        <v>4884</v>
      </c>
      <c r="D684" s="6" t="str">
        <f>_xlfn.XLOOKUP(B684,Indices!$A$2:$A$2676,Indices!$B$2:$B$2676,"")</f>
        <v/>
      </c>
    </row>
    <row r="685" spans="1:4" x14ac:dyDescent="0.25">
      <c r="A685" s="379">
        <v>45783.586805555555</v>
      </c>
      <c r="B685" s="382" t="s">
        <v>1989</v>
      </c>
      <c r="C685" s="377" t="s">
        <v>4884</v>
      </c>
      <c r="D685" s="6" t="str">
        <f>_xlfn.XLOOKUP(B685,Indices!$A$2:$A$2676,Indices!$B$2:$B$2676,"")</f>
        <v>IWM</v>
      </c>
    </row>
    <row r="686" spans="1:4" x14ac:dyDescent="0.25">
      <c r="A686" s="379">
        <v>45783.586805555555</v>
      </c>
      <c r="B686" s="382" t="s">
        <v>3171</v>
      </c>
      <c r="C686" s="377" t="s">
        <v>4884</v>
      </c>
      <c r="D686" s="6" t="str">
        <f>_xlfn.XLOOKUP(B686,Indices!$A$2:$A$2676,Indices!$B$2:$B$2676,"")</f>
        <v/>
      </c>
    </row>
    <row r="687" spans="1:4" x14ac:dyDescent="0.25">
      <c r="A687" s="379">
        <v>45783.586805555555</v>
      </c>
      <c r="B687" s="382" t="s">
        <v>651</v>
      </c>
      <c r="C687" s="377" t="s">
        <v>4884</v>
      </c>
      <c r="D687" s="6" t="str">
        <f>_xlfn.XLOOKUP(B687,Indices!$A$2:$A$2676,Indices!$B$2:$B$2676,"")</f>
        <v>IWM</v>
      </c>
    </row>
    <row r="688" spans="1:4" x14ac:dyDescent="0.25">
      <c r="A688" s="379">
        <v>45783.586805555555</v>
      </c>
      <c r="B688" s="382" t="s">
        <v>111</v>
      </c>
      <c r="C688" s="377" t="s">
        <v>4884</v>
      </c>
      <c r="D688" s="6" t="str">
        <f>_xlfn.XLOOKUP(B688,Indices!$A$2:$A$2676,Indices!$B$2:$B$2676,"")</f>
        <v>S&amp;P Mid</v>
      </c>
    </row>
    <row r="689" spans="1:4" x14ac:dyDescent="0.25">
      <c r="A689" s="379">
        <v>45783.586805555555</v>
      </c>
      <c r="B689" s="382" t="s">
        <v>3209</v>
      </c>
      <c r="C689" s="377" t="s">
        <v>4884</v>
      </c>
      <c r="D689" s="6" t="str">
        <f>_xlfn.XLOOKUP(B689,Indices!$A$2:$A$2676,Indices!$B$2:$B$2676,"")</f>
        <v/>
      </c>
    </row>
    <row r="690" spans="1:4" x14ac:dyDescent="0.25">
      <c r="A690" s="379">
        <v>45783.586805555555</v>
      </c>
      <c r="B690" s="382" t="s">
        <v>86</v>
      </c>
      <c r="C690" s="377" t="s">
        <v>4884</v>
      </c>
      <c r="D690" s="6" t="str">
        <f>_xlfn.XLOOKUP(B690,Indices!$A$2:$A$2676,Indices!$B$2:$B$2676,"")</f>
        <v>IWM</v>
      </c>
    </row>
    <row r="691" spans="1:4" x14ac:dyDescent="0.25">
      <c r="A691" s="379">
        <v>45783.586805555555</v>
      </c>
      <c r="B691" s="382" t="s">
        <v>753</v>
      </c>
      <c r="C691" s="377" t="s">
        <v>4884</v>
      </c>
      <c r="D691" s="6" t="str">
        <f>_xlfn.XLOOKUP(B691,Indices!$A$2:$A$2676,Indices!$B$2:$B$2676,"")</f>
        <v>IWM</v>
      </c>
    </row>
    <row r="692" spans="1:4" x14ac:dyDescent="0.25">
      <c r="A692" s="379">
        <v>45783.586805555555</v>
      </c>
      <c r="B692" s="382" t="s">
        <v>765</v>
      </c>
      <c r="C692" s="377" t="s">
        <v>4884</v>
      </c>
      <c r="D692" s="6" t="str">
        <f>_xlfn.XLOOKUP(B692,Indices!$A$2:$A$2676,Indices!$B$2:$B$2676,"")</f>
        <v>IWM</v>
      </c>
    </row>
    <row r="693" spans="1:4" x14ac:dyDescent="0.25">
      <c r="A693" s="379">
        <v>45783.586805555555</v>
      </c>
      <c r="B693" s="382" t="s">
        <v>230</v>
      </c>
      <c r="C693" s="377" t="s">
        <v>4884</v>
      </c>
      <c r="D693" s="6" t="str">
        <f>_xlfn.XLOOKUP(B693,Indices!$A$2:$A$2676,Indices!$B$2:$B$2676,"")</f>
        <v>IWM</v>
      </c>
    </row>
    <row r="694" spans="1:4" x14ac:dyDescent="0.25">
      <c r="A694" s="379">
        <v>45783.586805555555</v>
      </c>
      <c r="B694" s="382" t="s">
        <v>972</v>
      </c>
      <c r="C694" s="377" t="s">
        <v>4884</v>
      </c>
      <c r="D694" s="6" t="str">
        <f>_xlfn.XLOOKUP(B694,Indices!$A$2:$A$2676,Indices!$B$2:$B$2676,"")</f>
        <v>IWM</v>
      </c>
    </row>
    <row r="695" spans="1:4" x14ac:dyDescent="0.25">
      <c r="A695" s="379">
        <v>45783.586805555555</v>
      </c>
      <c r="B695" s="382" t="s">
        <v>3189</v>
      </c>
      <c r="C695" s="377" t="s">
        <v>4884</v>
      </c>
      <c r="D695" s="6" t="str">
        <f>_xlfn.XLOOKUP(B695,Indices!$A$2:$A$2676,Indices!$B$2:$B$2676,"")</f>
        <v/>
      </c>
    </row>
    <row r="696" spans="1:4" x14ac:dyDescent="0.25">
      <c r="A696" s="379">
        <v>45783.586805555555</v>
      </c>
      <c r="B696" s="382" t="s">
        <v>227</v>
      </c>
      <c r="C696" s="377" t="s">
        <v>4884</v>
      </c>
      <c r="D696" s="6" t="str">
        <f>_xlfn.XLOOKUP(B696,Indices!$A$2:$A$2676,Indices!$B$2:$B$2676,"")</f>
        <v>IWM</v>
      </c>
    </row>
    <row r="697" spans="1:4" x14ac:dyDescent="0.25">
      <c r="A697" s="379">
        <v>45783.586805555555</v>
      </c>
      <c r="B697" s="382" t="s">
        <v>735</v>
      </c>
      <c r="C697" s="377" t="s">
        <v>4884</v>
      </c>
      <c r="D697" s="6" t="str">
        <f>_xlfn.XLOOKUP(B697,Indices!$A$2:$A$2676,Indices!$B$2:$B$2676,"")</f>
        <v>IWM</v>
      </c>
    </row>
    <row r="698" spans="1:4" x14ac:dyDescent="0.25">
      <c r="A698" s="379">
        <v>45783.586805555555</v>
      </c>
      <c r="B698" s="382" t="s">
        <v>3213</v>
      </c>
      <c r="C698" s="377" t="s">
        <v>4884</v>
      </c>
      <c r="D698" s="6" t="str">
        <f>_xlfn.XLOOKUP(B698,Indices!$A$2:$A$2676,Indices!$B$2:$B$2676,"")</f>
        <v/>
      </c>
    </row>
    <row r="699" spans="1:4" x14ac:dyDescent="0.25">
      <c r="A699" s="379">
        <v>45783.586805555555</v>
      </c>
      <c r="B699" s="382" t="s">
        <v>3165</v>
      </c>
      <c r="C699" s="377" t="s">
        <v>4884</v>
      </c>
      <c r="D699" s="6" t="str">
        <f>_xlfn.XLOOKUP(B699,Indices!$A$2:$A$2676,Indices!$B$2:$B$2676,"")</f>
        <v/>
      </c>
    </row>
    <row r="700" spans="1:4" x14ac:dyDescent="0.25">
      <c r="A700" s="379">
        <v>45783.586805555555</v>
      </c>
      <c r="B700" s="382" t="s">
        <v>238</v>
      </c>
      <c r="C700" s="377" t="s">
        <v>4884</v>
      </c>
      <c r="D700" s="6" t="str">
        <f>_xlfn.XLOOKUP(B700,Indices!$A$2:$A$2676,Indices!$B$2:$B$2676,"")</f>
        <v>IWM</v>
      </c>
    </row>
    <row r="701" spans="1:4" x14ac:dyDescent="0.25">
      <c r="A701" s="379">
        <v>45783.586805555555</v>
      </c>
      <c r="B701" s="382" t="s">
        <v>3382</v>
      </c>
      <c r="C701" s="377" t="s">
        <v>4884</v>
      </c>
      <c r="D701" s="6" t="str">
        <f>_xlfn.XLOOKUP(B701,Indices!$A$2:$A$2676,Indices!$B$2:$B$2676,"")</f>
        <v/>
      </c>
    </row>
    <row r="702" spans="1:4" x14ac:dyDescent="0.25">
      <c r="A702" s="379">
        <v>45783.586805555555</v>
      </c>
      <c r="B702" s="382" t="s">
        <v>235</v>
      </c>
      <c r="C702" s="377" t="s">
        <v>4884</v>
      </c>
      <c r="D702" s="6" t="str">
        <f>_xlfn.XLOOKUP(B702,Indices!$A$2:$A$2676,Indices!$B$2:$B$2676,"")</f>
        <v>IWM</v>
      </c>
    </row>
    <row r="703" spans="1:4" x14ac:dyDescent="0.25">
      <c r="A703" s="379">
        <v>45783.586805555555</v>
      </c>
      <c r="B703" s="382" t="s">
        <v>412</v>
      </c>
      <c r="C703" s="377" t="s">
        <v>4884</v>
      </c>
      <c r="D703" s="6" t="str">
        <f>_xlfn.XLOOKUP(B703,Indices!$A$2:$A$2676,Indices!$B$2:$B$2676,"")</f>
        <v>S&amp;P Mid</v>
      </c>
    </row>
    <row r="704" spans="1:4" x14ac:dyDescent="0.25">
      <c r="A704" s="379">
        <v>45783.586805555555</v>
      </c>
      <c r="B704" s="382" t="s">
        <v>271</v>
      </c>
      <c r="C704" s="377" t="s">
        <v>4884</v>
      </c>
      <c r="D704" s="6" t="str">
        <f>_xlfn.XLOOKUP(B704,Indices!$A$2:$A$2676,Indices!$B$2:$B$2676,"")</f>
        <v>IWM</v>
      </c>
    </row>
    <row r="705" spans="1:4" x14ac:dyDescent="0.25">
      <c r="A705" s="379">
        <v>45783.586805555555</v>
      </c>
      <c r="B705" s="382" t="s">
        <v>3162</v>
      </c>
      <c r="C705" s="377" t="s">
        <v>4884</v>
      </c>
      <c r="D705" s="6" t="str">
        <f>_xlfn.XLOOKUP(B705,Indices!$A$2:$A$2676,Indices!$B$2:$B$2676,"")</f>
        <v/>
      </c>
    </row>
    <row r="706" spans="1:4" x14ac:dyDescent="0.25">
      <c r="A706" s="379">
        <v>45783.586805555555</v>
      </c>
      <c r="B706" s="382" t="s">
        <v>2977</v>
      </c>
      <c r="C706" s="377" t="s">
        <v>4884</v>
      </c>
      <c r="D706" s="6" t="str">
        <f>_xlfn.XLOOKUP(B706,Indices!$A$2:$A$2676,Indices!$B$2:$B$2676,"")</f>
        <v/>
      </c>
    </row>
    <row r="707" spans="1:4" x14ac:dyDescent="0.25">
      <c r="A707" s="379">
        <v>45783.586805555555</v>
      </c>
      <c r="B707" s="382" t="s">
        <v>3212</v>
      </c>
      <c r="C707" s="377" t="s">
        <v>4884</v>
      </c>
      <c r="D707" s="6" t="str">
        <f>_xlfn.XLOOKUP(B707,Indices!$A$2:$A$2676,Indices!$B$2:$B$2676,"")</f>
        <v/>
      </c>
    </row>
    <row r="708" spans="1:4" x14ac:dyDescent="0.25">
      <c r="A708" s="379">
        <v>45783.586805555555</v>
      </c>
      <c r="B708" s="382" t="s">
        <v>1853</v>
      </c>
      <c r="C708" s="377" t="s">
        <v>4884</v>
      </c>
      <c r="D708" s="6" t="str">
        <f>_xlfn.XLOOKUP(B708,Indices!$A$2:$A$2676,Indices!$B$2:$B$2676,"")</f>
        <v>IWM</v>
      </c>
    </row>
    <row r="709" spans="1:4" x14ac:dyDescent="0.25">
      <c r="A709" s="379">
        <v>45783.586805555555</v>
      </c>
      <c r="B709" s="382" t="s">
        <v>3199</v>
      </c>
      <c r="C709" s="377" t="s">
        <v>4884</v>
      </c>
      <c r="D709" s="6" t="str">
        <f>_xlfn.XLOOKUP(B709,Indices!$A$2:$A$2676,Indices!$B$2:$B$2676,"")</f>
        <v/>
      </c>
    </row>
    <row r="710" spans="1:4" x14ac:dyDescent="0.25">
      <c r="A710" s="379">
        <v>45783.586805555555</v>
      </c>
      <c r="B710" s="382" t="s">
        <v>1536</v>
      </c>
      <c r="C710" s="377" t="s">
        <v>4884</v>
      </c>
      <c r="D710" s="6" t="str">
        <f>_xlfn.XLOOKUP(B710,Indices!$A$2:$A$2676,Indices!$B$2:$B$2676,"")</f>
        <v>SP500</v>
      </c>
    </row>
    <row r="711" spans="1:4" x14ac:dyDescent="0.25">
      <c r="A711" s="379">
        <v>45783.586805555555</v>
      </c>
      <c r="B711" s="382" t="s">
        <v>743</v>
      </c>
      <c r="C711" s="377" t="s">
        <v>4884</v>
      </c>
      <c r="D711" s="6" t="str">
        <f>_xlfn.XLOOKUP(B711,Indices!$A$2:$A$2676,Indices!$B$2:$B$2676,"")</f>
        <v>SP500</v>
      </c>
    </row>
    <row r="712" spans="1:4" x14ac:dyDescent="0.25">
      <c r="A712" s="379">
        <v>45783.586805555555</v>
      </c>
      <c r="B712" s="382" t="s">
        <v>3542</v>
      </c>
      <c r="C712" s="377" t="s">
        <v>4884</v>
      </c>
      <c r="D712" s="6" t="str">
        <f>_xlfn.XLOOKUP(B712,Indices!$A$2:$A$2676,Indices!$B$2:$B$2676,"")</f>
        <v/>
      </c>
    </row>
    <row r="713" spans="1:4" x14ac:dyDescent="0.25">
      <c r="A713" s="379">
        <v>45783.586805555555</v>
      </c>
      <c r="B713" s="382" t="s">
        <v>3299</v>
      </c>
      <c r="C713" s="377" t="s">
        <v>4884</v>
      </c>
      <c r="D713" s="6" t="str">
        <f>_xlfn.XLOOKUP(B713,Indices!$A$2:$A$2676,Indices!$B$2:$B$2676,"")</f>
        <v/>
      </c>
    </row>
    <row r="714" spans="1:4" x14ac:dyDescent="0.25">
      <c r="A714" s="379">
        <v>45783.586805555555</v>
      </c>
      <c r="B714" s="382" t="s">
        <v>467</v>
      </c>
      <c r="C714" s="377" t="s">
        <v>4884</v>
      </c>
      <c r="D714" s="6" t="str">
        <f>_xlfn.XLOOKUP(B714,Indices!$A$2:$A$2676,Indices!$B$2:$B$2676,"")</f>
        <v>IWM</v>
      </c>
    </row>
    <row r="715" spans="1:4" x14ac:dyDescent="0.25">
      <c r="A715" s="379">
        <v>45783.586805555555</v>
      </c>
      <c r="B715" s="382" t="s">
        <v>3160</v>
      </c>
      <c r="C715" s="377" t="s">
        <v>4884</v>
      </c>
      <c r="D715" s="6" t="str">
        <f>_xlfn.XLOOKUP(B715,Indices!$A$2:$A$2676,Indices!$B$2:$B$2676,"")</f>
        <v/>
      </c>
    </row>
    <row r="716" spans="1:4" x14ac:dyDescent="0.25">
      <c r="A716" s="379">
        <v>45783.586805555555</v>
      </c>
      <c r="B716" s="382" t="s">
        <v>240</v>
      </c>
      <c r="C716" s="377" t="s">
        <v>4884</v>
      </c>
      <c r="D716" s="6" t="str">
        <f>_xlfn.XLOOKUP(B716,Indices!$A$2:$A$2676,Indices!$B$2:$B$2676,"")</f>
        <v>IWM</v>
      </c>
    </row>
    <row r="717" spans="1:4" x14ac:dyDescent="0.25">
      <c r="A717" s="379">
        <v>45783.586805555555</v>
      </c>
      <c r="B717" s="382" t="s">
        <v>4885</v>
      </c>
      <c r="C717" s="377" t="s">
        <v>4884</v>
      </c>
      <c r="D717" s="6" t="str">
        <f>_xlfn.XLOOKUP(B717,Indices!$A$2:$A$2676,Indices!$B$2:$B$2676,"")</f>
        <v/>
      </c>
    </row>
    <row r="718" spans="1:4" x14ac:dyDescent="0.25">
      <c r="A718" s="379">
        <v>45783.586805555555</v>
      </c>
      <c r="B718" s="382" t="s">
        <v>3157</v>
      </c>
      <c r="C718" s="377" t="s">
        <v>4884</v>
      </c>
      <c r="D718" s="6" t="str">
        <f>_xlfn.XLOOKUP(B718,Indices!$A$2:$A$2676,Indices!$B$2:$B$2676,"")</f>
        <v/>
      </c>
    </row>
    <row r="719" spans="1:4" x14ac:dyDescent="0.25">
      <c r="A719" s="379">
        <v>45783.586805555555</v>
      </c>
      <c r="B719" s="382" t="s">
        <v>693</v>
      </c>
      <c r="C719" s="377" t="s">
        <v>4884</v>
      </c>
      <c r="D719" s="6" t="str">
        <f>_xlfn.XLOOKUP(B719,Indices!$A$2:$A$2676,Indices!$B$2:$B$2676,"")</f>
        <v>IWM</v>
      </c>
    </row>
    <row r="720" spans="1:4" x14ac:dyDescent="0.25">
      <c r="A720" s="379">
        <v>45783.586805555555</v>
      </c>
      <c r="B720" s="382" t="s">
        <v>231</v>
      </c>
      <c r="C720" s="377" t="s">
        <v>4884</v>
      </c>
      <c r="D720" s="6" t="str">
        <f>_xlfn.XLOOKUP(B720,Indices!$A$2:$A$2676,Indices!$B$2:$B$2676,"")</f>
        <v>SP500</v>
      </c>
    </row>
    <row r="721" spans="1:4" x14ac:dyDescent="0.25">
      <c r="A721" s="379">
        <v>45783.586805555555</v>
      </c>
      <c r="B721" s="382" t="s">
        <v>2567</v>
      </c>
      <c r="C721" s="377" t="s">
        <v>4884</v>
      </c>
      <c r="D721" s="6" t="str">
        <f>_xlfn.XLOOKUP(B721,Indices!$A$2:$A$2676,Indices!$B$2:$B$2676,"")</f>
        <v/>
      </c>
    </row>
    <row r="722" spans="1:4" x14ac:dyDescent="0.25">
      <c r="A722" s="379">
        <v>45783.586805555555</v>
      </c>
      <c r="B722" s="382" t="s">
        <v>1419</v>
      </c>
      <c r="C722" s="377" t="s">
        <v>4884</v>
      </c>
      <c r="D722" s="6" t="str">
        <f>_xlfn.XLOOKUP(B722,Indices!$A$2:$A$2676,Indices!$B$2:$B$2676,"")</f>
        <v>SP500</v>
      </c>
    </row>
    <row r="723" spans="1:4" x14ac:dyDescent="0.25">
      <c r="A723" s="379">
        <v>45783.586805555555</v>
      </c>
      <c r="B723" s="382" t="s">
        <v>217</v>
      </c>
      <c r="C723" s="377" t="s">
        <v>4884</v>
      </c>
      <c r="D723" s="6" t="str">
        <f>_xlfn.XLOOKUP(B723,Indices!$A$2:$A$2676,Indices!$B$2:$B$2676,"")</f>
        <v>IWM</v>
      </c>
    </row>
    <row r="724" spans="1:4" x14ac:dyDescent="0.25">
      <c r="A724" s="379">
        <v>45783.586805555555</v>
      </c>
      <c r="B724" s="382" t="s">
        <v>3150</v>
      </c>
      <c r="C724" s="377" t="s">
        <v>4884</v>
      </c>
      <c r="D724" s="6" t="str">
        <f>_xlfn.XLOOKUP(B724,Indices!$A$2:$A$2676,Indices!$B$2:$B$2676,"")</f>
        <v/>
      </c>
    </row>
    <row r="725" spans="1:4" x14ac:dyDescent="0.25">
      <c r="A725" s="379">
        <v>45783.586805555555</v>
      </c>
      <c r="B725" s="382" t="s">
        <v>92</v>
      </c>
      <c r="C725" s="377" t="s">
        <v>4884</v>
      </c>
      <c r="D725" s="6" t="str">
        <f>_xlfn.XLOOKUP(B725,Indices!$A$2:$A$2676,Indices!$B$2:$B$2676,"")</f>
        <v>IWM</v>
      </c>
    </row>
    <row r="726" spans="1:4" x14ac:dyDescent="0.25">
      <c r="A726" s="379">
        <v>45783.586805555555</v>
      </c>
      <c r="B726" s="382" t="s">
        <v>233</v>
      </c>
      <c r="C726" s="377" t="s">
        <v>4884</v>
      </c>
      <c r="D726" s="6" t="str">
        <f>_xlfn.XLOOKUP(B726,Indices!$A$2:$A$2676,Indices!$B$2:$B$2676,"")</f>
        <v>IWM</v>
      </c>
    </row>
    <row r="727" spans="1:4" x14ac:dyDescent="0.25">
      <c r="A727" s="379">
        <v>45783.586805555555</v>
      </c>
      <c r="B727" s="382" t="s">
        <v>720</v>
      </c>
      <c r="C727" s="377" t="s">
        <v>4884</v>
      </c>
      <c r="D727" s="6" t="str">
        <f>_xlfn.XLOOKUP(B727,Indices!$A$2:$A$2676,Indices!$B$2:$B$2676,"")</f>
        <v>IWM</v>
      </c>
    </row>
    <row r="728" spans="1:4" x14ac:dyDescent="0.25">
      <c r="A728" s="379">
        <v>45783.586805555555</v>
      </c>
      <c r="B728" s="382" t="s">
        <v>689</v>
      </c>
      <c r="C728" s="377" t="s">
        <v>4884</v>
      </c>
      <c r="D728" s="6" t="str">
        <f>_xlfn.XLOOKUP(B728,Indices!$A$2:$A$2676,Indices!$B$2:$B$2676,"")</f>
        <v>IWM</v>
      </c>
    </row>
    <row r="729" spans="1:4" x14ac:dyDescent="0.25">
      <c r="A729" s="379">
        <v>45783.586805555555</v>
      </c>
      <c r="B729" s="382" t="s">
        <v>3915</v>
      </c>
      <c r="C729" s="377" t="s">
        <v>4884</v>
      </c>
      <c r="D729" s="6" t="str">
        <f>_xlfn.XLOOKUP(B729,Indices!$A$2:$A$2676,Indices!$B$2:$B$2676,"")</f>
        <v/>
      </c>
    </row>
    <row r="730" spans="1:4" x14ac:dyDescent="0.25">
      <c r="A730" s="379">
        <v>45783.586805555555</v>
      </c>
      <c r="B730" s="382" t="s">
        <v>702</v>
      </c>
      <c r="C730" s="377" t="s">
        <v>4884</v>
      </c>
      <c r="D730" s="6" t="str">
        <f>_xlfn.XLOOKUP(B730,Indices!$A$2:$A$2676,Indices!$B$2:$B$2676,"")</f>
        <v>IWM</v>
      </c>
    </row>
    <row r="731" spans="1:4" x14ac:dyDescent="0.25">
      <c r="A731" s="379">
        <v>45783.587500000001</v>
      </c>
      <c r="B731" s="382" t="s">
        <v>3187</v>
      </c>
      <c r="C731" s="377" t="s">
        <v>4886</v>
      </c>
      <c r="D731" s="6" t="str">
        <f>_xlfn.XLOOKUP(B731,Indices!$A$2:$A$2676,Indices!$B$2:$B$2676,"")</f>
        <v/>
      </c>
    </row>
    <row r="732" spans="1:4" x14ac:dyDescent="0.25">
      <c r="A732" s="379">
        <v>45783.588194444441</v>
      </c>
      <c r="B732" s="382" t="s">
        <v>778</v>
      </c>
      <c r="C732" s="377" t="s">
        <v>4887</v>
      </c>
      <c r="D732" s="6" t="str">
        <f>_xlfn.XLOOKUP(B732,Indices!$A$2:$A$2676,Indices!$B$2:$B$2676,"")</f>
        <v>IWM</v>
      </c>
    </row>
    <row r="733" spans="1:4" x14ac:dyDescent="0.25">
      <c r="A733" s="379">
        <v>45783.588888888888</v>
      </c>
      <c r="B733" s="382" t="s">
        <v>88</v>
      </c>
      <c r="C733" s="377" t="s">
        <v>4888</v>
      </c>
      <c r="D733" s="6" t="str">
        <f>_xlfn.XLOOKUP(B733,Indices!$A$2:$A$2676,Indices!$B$2:$B$2676,"")</f>
        <v>IWM</v>
      </c>
    </row>
    <row r="734" spans="1:4" x14ac:dyDescent="0.25">
      <c r="A734" s="379">
        <v>45783.588888888888</v>
      </c>
      <c r="B734" s="382" t="s">
        <v>418</v>
      </c>
      <c r="C734" s="377" t="s">
        <v>4888</v>
      </c>
      <c r="D734" s="6" t="str">
        <f>_xlfn.XLOOKUP(B734,Indices!$A$2:$A$2676,Indices!$B$2:$B$2676,"")</f>
        <v>IWM</v>
      </c>
    </row>
    <row r="735" spans="1:4" x14ac:dyDescent="0.25">
      <c r="A735" s="379">
        <v>45783.588888888888</v>
      </c>
      <c r="B735" s="382" t="s">
        <v>384</v>
      </c>
      <c r="C735" s="377" t="s">
        <v>4888</v>
      </c>
      <c r="D735" s="6" t="str">
        <f>_xlfn.XLOOKUP(B735,Indices!$A$2:$A$2676,Indices!$B$2:$B$2676,"")</f>
        <v>S&amp;P Mid</v>
      </c>
    </row>
    <row r="736" spans="1:4" x14ac:dyDescent="0.25">
      <c r="A736" s="379">
        <v>45783.589583333334</v>
      </c>
      <c r="B736" s="382" t="s">
        <v>3318</v>
      </c>
      <c r="C736" s="377" t="s">
        <v>4889</v>
      </c>
      <c r="D736" s="6" t="str">
        <f>_xlfn.XLOOKUP(B736,Indices!$A$2:$A$2676,Indices!$B$2:$B$2676,"")</f>
        <v/>
      </c>
    </row>
    <row r="737" spans="1:4" x14ac:dyDescent="0.25">
      <c r="A737" s="379">
        <v>45783.589583333334</v>
      </c>
      <c r="B737" s="382" t="s">
        <v>2827</v>
      </c>
      <c r="C737" s="377" t="s">
        <v>4889</v>
      </c>
      <c r="D737" s="6" t="str">
        <f>_xlfn.XLOOKUP(B737,Indices!$A$2:$A$2676,Indices!$B$2:$B$2676,"")</f>
        <v/>
      </c>
    </row>
    <row r="738" spans="1:4" x14ac:dyDescent="0.25">
      <c r="A738" s="379">
        <v>45783.590277777781</v>
      </c>
      <c r="B738" s="382" t="s">
        <v>153</v>
      </c>
      <c r="C738" s="377" t="s">
        <v>4890</v>
      </c>
      <c r="D738" s="6" t="str">
        <f>_xlfn.XLOOKUP(B738,Indices!$A$2:$A$2676,Indices!$B$2:$B$2676,"")</f>
        <v>IWM</v>
      </c>
    </row>
    <row r="739" spans="1:4" x14ac:dyDescent="0.25">
      <c r="A739" s="379">
        <v>45783.590277777781</v>
      </c>
      <c r="B739" s="382" t="s">
        <v>417</v>
      </c>
      <c r="C739" s="377" t="s">
        <v>4890</v>
      </c>
      <c r="D739" s="6" t="str">
        <f>_xlfn.XLOOKUP(B739,Indices!$A$2:$A$2676,Indices!$B$2:$B$2676,"")</f>
        <v>IWM</v>
      </c>
    </row>
    <row r="740" spans="1:4" x14ac:dyDescent="0.25">
      <c r="A740" s="379">
        <v>45783.590277777781</v>
      </c>
      <c r="B740" s="382" t="s">
        <v>413</v>
      </c>
      <c r="C740" s="377" t="s">
        <v>4890</v>
      </c>
      <c r="D740" s="6" t="str">
        <f>_xlfn.XLOOKUP(B740,Indices!$A$2:$A$2676,Indices!$B$2:$B$2676,"")</f>
        <v>IWM</v>
      </c>
    </row>
    <row r="741" spans="1:4" x14ac:dyDescent="0.25">
      <c r="A741" s="379">
        <v>45783.590277777781</v>
      </c>
      <c r="B741" s="382" t="s">
        <v>239</v>
      </c>
      <c r="C741" s="377" t="s">
        <v>4890</v>
      </c>
      <c r="D741" s="6" t="str">
        <f>_xlfn.XLOOKUP(B741,Indices!$A$2:$A$2676,Indices!$B$2:$B$2676,"")</f>
        <v>S&amp;P Mid</v>
      </c>
    </row>
    <row r="742" spans="1:4" x14ac:dyDescent="0.25">
      <c r="A742" s="379">
        <v>45783.590277777781</v>
      </c>
      <c r="B742" s="382" t="s">
        <v>3154</v>
      </c>
      <c r="C742" s="377" t="s">
        <v>4890</v>
      </c>
      <c r="D742" s="6" t="str">
        <f>_xlfn.XLOOKUP(B742,Indices!$A$2:$A$2676,Indices!$B$2:$B$2676,"")</f>
        <v/>
      </c>
    </row>
    <row r="743" spans="1:4" x14ac:dyDescent="0.25">
      <c r="A743" s="379">
        <v>45783.590277777781</v>
      </c>
      <c r="B743" s="382" t="s">
        <v>415</v>
      </c>
      <c r="C743" s="377" t="s">
        <v>4890</v>
      </c>
      <c r="D743" s="6" t="str">
        <f>_xlfn.XLOOKUP(B743,Indices!$A$2:$A$2676,Indices!$B$2:$B$2676,"")</f>
        <v>IWM</v>
      </c>
    </row>
    <row r="744" spans="1:4" x14ac:dyDescent="0.25">
      <c r="A744" s="379">
        <v>45783.590277777781</v>
      </c>
      <c r="B744" s="382" t="s">
        <v>2944</v>
      </c>
      <c r="C744" s="377" t="s">
        <v>4890</v>
      </c>
      <c r="D744" s="6" t="str">
        <f>_xlfn.XLOOKUP(B744,Indices!$A$2:$A$2676,Indices!$B$2:$B$2676,"")</f>
        <v/>
      </c>
    </row>
    <row r="745" spans="1:4" x14ac:dyDescent="0.25">
      <c r="A745" s="379">
        <v>45783.590277777781</v>
      </c>
      <c r="B745" s="382" t="s">
        <v>440</v>
      </c>
      <c r="C745" s="377" t="s">
        <v>4890</v>
      </c>
      <c r="D745" s="6" t="str">
        <f>_xlfn.XLOOKUP(B745,Indices!$A$2:$A$2676,Indices!$B$2:$B$2676,"")</f>
        <v>IWM</v>
      </c>
    </row>
    <row r="746" spans="1:4" x14ac:dyDescent="0.25">
      <c r="A746" s="379">
        <v>45783.590277777781</v>
      </c>
      <c r="B746" s="382" t="s">
        <v>3153</v>
      </c>
      <c r="C746" s="377" t="s">
        <v>4890</v>
      </c>
      <c r="D746" s="6" t="str">
        <f>_xlfn.XLOOKUP(B746,Indices!$A$2:$A$2676,Indices!$B$2:$B$2676,"")</f>
        <v/>
      </c>
    </row>
    <row r="747" spans="1:4" x14ac:dyDescent="0.25">
      <c r="A747" s="379">
        <v>45783.590277777781</v>
      </c>
      <c r="B747" s="382" t="s">
        <v>244</v>
      </c>
      <c r="C747" s="377" t="s">
        <v>4890</v>
      </c>
      <c r="D747" s="6" t="str">
        <f>_xlfn.XLOOKUP(B747,Indices!$A$2:$A$2676,Indices!$B$2:$B$2676,"")</f>
        <v>IWM</v>
      </c>
    </row>
    <row r="748" spans="1:4" x14ac:dyDescent="0.25">
      <c r="A748" s="379">
        <v>45783.590277777781</v>
      </c>
      <c r="B748" s="382" t="s">
        <v>242</v>
      </c>
      <c r="C748" s="377" t="s">
        <v>4890</v>
      </c>
      <c r="D748" s="6" t="str">
        <f>_xlfn.XLOOKUP(B748,Indices!$A$2:$A$2676,Indices!$B$2:$B$2676,"")</f>
        <v>SP500</v>
      </c>
    </row>
    <row r="749" spans="1:4" x14ac:dyDescent="0.25">
      <c r="A749" s="379">
        <v>45783.591666666667</v>
      </c>
      <c r="B749" s="382" t="s">
        <v>370</v>
      </c>
      <c r="C749" s="377" t="s">
        <v>4891</v>
      </c>
      <c r="D749" s="6" t="str">
        <f>_xlfn.XLOOKUP(B749,Indices!$A$2:$A$2676,Indices!$B$2:$B$2676,"")</f>
        <v>S&amp;P Mid</v>
      </c>
    </row>
    <row r="750" spans="1:4" x14ac:dyDescent="0.25">
      <c r="A750" s="379">
        <v>45783.593055555553</v>
      </c>
      <c r="B750" s="382" t="s">
        <v>3197</v>
      </c>
      <c r="C750" s="377" t="s">
        <v>4892</v>
      </c>
      <c r="D750" s="6" t="str">
        <f>_xlfn.XLOOKUP(B750,Indices!$A$2:$A$2676,Indices!$B$2:$B$2676,"")</f>
        <v/>
      </c>
    </row>
    <row r="751" spans="1:4" x14ac:dyDescent="0.25">
      <c r="A751" s="379">
        <v>45783.59375</v>
      </c>
      <c r="B751" s="382" t="s">
        <v>256</v>
      </c>
      <c r="C751" s="377" t="s">
        <v>4893</v>
      </c>
      <c r="D751" s="6" t="str">
        <f>_xlfn.XLOOKUP(B751,Indices!$A$2:$A$2676,Indices!$B$2:$B$2676,"")</f>
        <v>IWM</v>
      </c>
    </row>
    <row r="752" spans="1:4" x14ac:dyDescent="0.25">
      <c r="A752" s="379">
        <v>45783.59375</v>
      </c>
      <c r="B752" s="382" t="s">
        <v>3774</v>
      </c>
      <c r="C752" s="377" t="s">
        <v>4893</v>
      </c>
      <c r="D752" s="6" t="str">
        <f>_xlfn.XLOOKUP(B752,Indices!$A$2:$A$2676,Indices!$B$2:$B$2676,"")</f>
        <v/>
      </c>
    </row>
    <row r="753" spans="1:4" x14ac:dyDescent="0.25">
      <c r="A753" s="379">
        <v>45783.59375</v>
      </c>
      <c r="B753" s="382" t="s">
        <v>247</v>
      </c>
      <c r="C753" s="377" t="s">
        <v>4893</v>
      </c>
      <c r="D753" s="6" t="str">
        <f>_xlfn.XLOOKUP(B753,Indices!$A$2:$A$2676,Indices!$B$2:$B$2676,"")</f>
        <v>IWM</v>
      </c>
    </row>
    <row r="754" spans="1:4" x14ac:dyDescent="0.25">
      <c r="A754" s="379">
        <v>45783.59375</v>
      </c>
      <c r="B754" s="382" t="s">
        <v>449</v>
      </c>
      <c r="C754" s="377" t="s">
        <v>4893</v>
      </c>
      <c r="D754" s="6" t="str">
        <f>_xlfn.XLOOKUP(B754,Indices!$A$2:$A$2676,Indices!$B$2:$B$2676,"")</f>
        <v>IWM</v>
      </c>
    </row>
    <row r="755" spans="1:4" x14ac:dyDescent="0.25">
      <c r="A755" s="379">
        <v>45783.59375</v>
      </c>
      <c r="B755" s="382" t="s">
        <v>429</v>
      </c>
      <c r="C755" s="377" t="s">
        <v>4893</v>
      </c>
      <c r="D755" s="6" t="str">
        <f>_xlfn.XLOOKUP(B755,Indices!$A$2:$A$2676,Indices!$B$2:$B$2676,"")</f>
        <v>IWM</v>
      </c>
    </row>
    <row r="756" spans="1:4" x14ac:dyDescent="0.25">
      <c r="A756" s="379">
        <v>45783.59375</v>
      </c>
      <c r="B756" s="382" t="s">
        <v>879</v>
      </c>
      <c r="C756" s="377" t="s">
        <v>4893</v>
      </c>
      <c r="D756" s="6" t="str">
        <f>_xlfn.XLOOKUP(B756,Indices!$A$2:$A$2676,Indices!$B$2:$B$2676,"")</f>
        <v>SP500</v>
      </c>
    </row>
    <row r="757" spans="1:4" x14ac:dyDescent="0.25">
      <c r="A757" s="379">
        <v>45783.59375</v>
      </c>
      <c r="B757" s="382" t="s">
        <v>251</v>
      </c>
      <c r="C757" s="377" t="s">
        <v>4893</v>
      </c>
      <c r="D757" s="6" t="str">
        <f>_xlfn.XLOOKUP(B757,Indices!$A$2:$A$2676,Indices!$B$2:$B$2676,"")</f>
        <v>IWM</v>
      </c>
    </row>
    <row r="758" spans="1:4" x14ac:dyDescent="0.25">
      <c r="A758" s="379">
        <v>45783.59375</v>
      </c>
      <c r="B758" s="382" t="s">
        <v>297</v>
      </c>
      <c r="C758" s="377" t="s">
        <v>4893</v>
      </c>
      <c r="D758" s="6" t="str">
        <f>_xlfn.XLOOKUP(B758,Indices!$A$2:$A$2676,Indices!$B$2:$B$2676,"")</f>
        <v>IWM</v>
      </c>
    </row>
    <row r="759" spans="1:4" x14ac:dyDescent="0.25">
      <c r="A759" s="379">
        <v>45783.59375</v>
      </c>
      <c r="B759" s="382" t="s">
        <v>140</v>
      </c>
      <c r="C759" s="377" t="s">
        <v>4893</v>
      </c>
      <c r="D759" s="6" t="str">
        <f>_xlfn.XLOOKUP(B759,Indices!$A$2:$A$2676,Indices!$B$2:$B$2676,"")</f>
        <v>IWM</v>
      </c>
    </row>
    <row r="760" spans="1:4" x14ac:dyDescent="0.25">
      <c r="A760" s="379">
        <v>45783.59375</v>
      </c>
      <c r="B760" s="382" t="s">
        <v>1086</v>
      </c>
      <c r="C760" s="377" t="s">
        <v>4893</v>
      </c>
      <c r="D760" s="6" t="str">
        <f>_xlfn.XLOOKUP(B760,Indices!$A$2:$A$2676,Indices!$B$2:$B$2676,"")</f>
        <v>IWM</v>
      </c>
    </row>
    <row r="761" spans="1:4" x14ac:dyDescent="0.25">
      <c r="A761" s="379">
        <v>45783.59375</v>
      </c>
      <c r="B761" s="382" t="s">
        <v>3174</v>
      </c>
      <c r="C761" s="377" t="s">
        <v>4893</v>
      </c>
      <c r="D761" s="6" t="str">
        <f>_xlfn.XLOOKUP(B761,Indices!$A$2:$A$2676,Indices!$B$2:$B$2676,"")</f>
        <v/>
      </c>
    </row>
    <row r="762" spans="1:4" x14ac:dyDescent="0.25">
      <c r="A762" s="379">
        <v>45783.59375</v>
      </c>
      <c r="B762" s="382" t="s">
        <v>1672</v>
      </c>
      <c r="C762" s="377" t="s">
        <v>4893</v>
      </c>
      <c r="D762" s="6" t="str">
        <f>_xlfn.XLOOKUP(B762,Indices!$A$2:$A$2676,Indices!$B$2:$B$2676,"")</f>
        <v>IWM</v>
      </c>
    </row>
    <row r="763" spans="1:4" x14ac:dyDescent="0.25">
      <c r="A763" s="379">
        <v>45783.59375</v>
      </c>
      <c r="B763" s="382" t="s">
        <v>85</v>
      </c>
      <c r="C763" s="377" t="s">
        <v>4893</v>
      </c>
      <c r="D763" s="6" t="str">
        <f>_xlfn.XLOOKUP(B763,Indices!$A$2:$A$2676,Indices!$B$2:$B$2676,"")</f>
        <v>IWM</v>
      </c>
    </row>
    <row r="764" spans="1:4" x14ac:dyDescent="0.25">
      <c r="A764" s="379">
        <v>45783.59375</v>
      </c>
      <c r="B764" s="382" t="s">
        <v>785</v>
      </c>
      <c r="C764" s="377" t="s">
        <v>4893</v>
      </c>
      <c r="D764" s="6" t="str">
        <f>_xlfn.XLOOKUP(B764,Indices!$A$2:$A$2676,Indices!$B$2:$B$2676,"")</f>
        <v>IWM</v>
      </c>
    </row>
    <row r="765" spans="1:4" x14ac:dyDescent="0.25">
      <c r="A765" s="379">
        <v>45783.59375</v>
      </c>
      <c r="B765" s="382" t="s">
        <v>3205</v>
      </c>
      <c r="C765" s="377" t="s">
        <v>4893</v>
      </c>
      <c r="D765" s="6" t="str">
        <f>_xlfn.XLOOKUP(B765,Indices!$A$2:$A$2676,Indices!$B$2:$B$2676,"")</f>
        <v/>
      </c>
    </row>
    <row r="766" spans="1:4" x14ac:dyDescent="0.25">
      <c r="A766" s="379">
        <v>45783.59375</v>
      </c>
      <c r="B766" s="382" t="s">
        <v>793</v>
      </c>
      <c r="C766" s="377" t="s">
        <v>4893</v>
      </c>
      <c r="D766" s="6" t="str">
        <f>_xlfn.XLOOKUP(B766,Indices!$A$2:$A$2676,Indices!$B$2:$B$2676,"")</f>
        <v>IWM</v>
      </c>
    </row>
    <row r="767" spans="1:4" x14ac:dyDescent="0.25">
      <c r="A767" s="379">
        <v>45783.59375</v>
      </c>
      <c r="B767" s="382" t="s">
        <v>253</v>
      </c>
      <c r="C767" s="377" t="s">
        <v>4893</v>
      </c>
      <c r="D767" s="6" t="str">
        <f>_xlfn.XLOOKUP(B767,Indices!$A$2:$A$2676,Indices!$B$2:$B$2676,"")</f>
        <v>IWM</v>
      </c>
    </row>
    <row r="768" spans="1:4" x14ac:dyDescent="0.25">
      <c r="A768" s="379">
        <v>45783.59375</v>
      </c>
      <c r="B768" s="382" t="s">
        <v>457</v>
      </c>
      <c r="C768" s="377" t="s">
        <v>4893</v>
      </c>
      <c r="D768" s="6" t="str">
        <f>_xlfn.XLOOKUP(B768,Indices!$A$2:$A$2676,Indices!$B$2:$B$2676,"")</f>
        <v>IWM</v>
      </c>
    </row>
    <row r="769" spans="1:4" x14ac:dyDescent="0.25">
      <c r="A769" s="379">
        <v>45783.59375</v>
      </c>
      <c r="B769" s="382" t="s">
        <v>875</v>
      </c>
      <c r="C769" s="377" t="s">
        <v>4893</v>
      </c>
      <c r="D769" s="6" t="str">
        <f>_xlfn.XLOOKUP(B769,Indices!$A$2:$A$2676,Indices!$B$2:$B$2676,"")</f>
        <v>IWM</v>
      </c>
    </row>
    <row r="770" spans="1:4" x14ac:dyDescent="0.25">
      <c r="A770" s="379">
        <v>45783.59375</v>
      </c>
      <c r="B770" s="382" t="s">
        <v>248</v>
      </c>
      <c r="C770" s="377" t="s">
        <v>4893</v>
      </c>
      <c r="D770" s="6" t="str">
        <f>_xlfn.XLOOKUP(B770,Indices!$A$2:$A$2676,Indices!$B$2:$B$2676,"")</f>
        <v>SP500</v>
      </c>
    </row>
    <row r="771" spans="1:4" x14ac:dyDescent="0.25">
      <c r="A771" s="379">
        <v>45783.59375</v>
      </c>
      <c r="B771" s="382" t="s">
        <v>1287</v>
      </c>
      <c r="C771" s="377" t="s">
        <v>4893</v>
      </c>
      <c r="D771" s="6" t="str">
        <f>_xlfn.XLOOKUP(B771,Indices!$A$2:$A$2676,Indices!$B$2:$B$2676,"")</f>
        <v>SP500</v>
      </c>
    </row>
    <row r="772" spans="1:4" x14ac:dyDescent="0.25">
      <c r="A772" s="379">
        <v>45783.59375</v>
      </c>
      <c r="B772" s="382" t="s">
        <v>249</v>
      </c>
      <c r="C772" s="377" t="s">
        <v>4893</v>
      </c>
      <c r="D772" s="6" t="str">
        <f>_xlfn.XLOOKUP(B772,Indices!$A$2:$A$2676,Indices!$B$2:$B$2676,"")</f>
        <v>IWM</v>
      </c>
    </row>
    <row r="773" spans="1:4" x14ac:dyDescent="0.25">
      <c r="A773" s="379">
        <v>45783.59375</v>
      </c>
      <c r="B773" s="382" t="s">
        <v>131</v>
      </c>
      <c r="C773" s="377" t="s">
        <v>4893</v>
      </c>
      <c r="D773" s="6" t="str">
        <f>_xlfn.XLOOKUP(B773,Indices!$A$2:$A$2676,Indices!$B$2:$B$2676,"")</f>
        <v>IWM</v>
      </c>
    </row>
    <row r="774" spans="1:4" x14ac:dyDescent="0.25">
      <c r="A774" s="379">
        <v>45783.597222222219</v>
      </c>
      <c r="B774" s="382" t="s">
        <v>250</v>
      </c>
      <c r="C774" s="377" t="s">
        <v>4894</v>
      </c>
      <c r="D774" s="6" t="str">
        <f>_xlfn.XLOOKUP(B774,Indices!$A$2:$A$2676,Indices!$B$2:$B$2676,"")</f>
        <v>SP500</v>
      </c>
    </row>
    <row r="775" spans="1:4" x14ac:dyDescent="0.25">
      <c r="A775" s="379">
        <v>45783.597222222219</v>
      </c>
      <c r="B775" s="382" t="s">
        <v>2550</v>
      </c>
      <c r="C775" s="377" t="s">
        <v>4894</v>
      </c>
      <c r="D775" s="6" t="str">
        <f>_xlfn.XLOOKUP(B775,Indices!$A$2:$A$2676,Indices!$B$2:$B$2676,"")</f>
        <v/>
      </c>
    </row>
    <row r="776" spans="1:4" x14ac:dyDescent="0.25">
      <c r="A776" s="379">
        <v>45783.597222222219</v>
      </c>
      <c r="B776" s="382" t="s">
        <v>2513</v>
      </c>
      <c r="C776" s="377" t="s">
        <v>4894</v>
      </c>
      <c r="D776" s="6" t="str">
        <f>_xlfn.XLOOKUP(B776,Indices!$A$2:$A$2676,Indices!$B$2:$B$2676,"")</f>
        <v/>
      </c>
    </row>
    <row r="777" spans="1:4" x14ac:dyDescent="0.25">
      <c r="A777" s="379">
        <v>45783.599305555559</v>
      </c>
      <c r="B777" s="382" t="s">
        <v>136</v>
      </c>
      <c r="C777" s="377" t="s">
        <v>4895</v>
      </c>
      <c r="D777" s="6" t="str">
        <f>_xlfn.XLOOKUP(B777,Indices!$A$2:$A$2676,Indices!$B$2:$B$2676,"")</f>
        <v>S&amp;P Mid</v>
      </c>
    </row>
    <row r="778" spans="1:4" x14ac:dyDescent="0.25">
      <c r="A778" s="379">
        <v>45783.604166666664</v>
      </c>
      <c r="B778" s="382" t="s">
        <v>35</v>
      </c>
      <c r="C778" s="377" t="s">
        <v>4896</v>
      </c>
      <c r="D778" s="6" t="str">
        <f>_xlfn.XLOOKUP(B778,Indices!$A$2:$A$2676,Indices!$B$2:$B$2676,"")</f>
        <v>S&amp;P Mid</v>
      </c>
    </row>
    <row r="779" spans="1:4" x14ac:dyDescent="0.25">
      <c r="A779" s="379">
        <v>45783.604166666664</v>
      </c>
      <c r="B779" s="382" t="s">
        <v>469</v>
      </c>
      <c r="C779" s="377" t="s">
        <v>4896</v>
      </c>
      <c r="D779" s="6" t="str">
        <f>_xlfn.XLOOKUP(B779,Indices!$A$2:$A$2676,Indices!$B$2:$B$2676,"")</f>
        <v>IWM</v>
      </c>
    </row>
    <row r="780" spans="1:4" x14ac:dyDescent="0.25">
      <c r="A780" s="379">
        <v>45783.604166666664</v>
      </c>
      <c r="B780" s="382" t="s">
        <v>3078</v>
      </c>
      <c r="C780" s="377" t="s">
        <v>4896</v>
      </c>
      <c r="D780" s="6" t="str">
        <f>_xlfn.XLOOKUP(B780,Indices!$A$2:$A$2676,Indices!$B$2:$B$2676,"")</f>
        <v/>
      </c>
    </row>
    <row r="781" spans="1:4" x14ac:dyDescent="0.25">
      <c r="A781" s="379">
        <v>45783.604166666664</v>
      </c>
      <c r="B781" s="382" t="s">
        <v>509</v>
      </c>
      <c r="C781" s="377" t="s">
        <v>4896</v>
      </c>
      <c r="D781" s="6" t="str">
        <f>_xlfn.XLOOKUP(B781,Indices!$A$2:$A$2676,Indices!$B$2:$B$2676,"")</f>
        <v>IWM</v>
      </c>
    </row>
    <row r="782" spans="1:4" x14ac:dyDescent="0.25">
      <c r="A782" s="379">
        <v>45783.604166666664</v>
      </c>
      <c r="B782" s="382" t="s">
        <v>4897</v>
      </c>
      <c r="C782" s="377" t="s">
        <v>4896</v>
      </c>
      <c r="D782" s="6" t="str">
        <f>_xlfn.XLOOKUP(B782,Indices!$A$2:$A$2676,Indices!$B$2:$B$2676,"")</f>
        <v/>
      </c>
    </row>
    <row r="783" spans="1:4" x14ac:dyDescent="0.25">
      <c r="A783" s="379">
        <v>45783.604166666664</v>
      </c>
      <c r="B783" s="382" t="s">
        <v>475</v>
      </c>
      <c r="C783" s="377" t="s">
        <v>4896</v>
      </c>
      <c r="D783" s="6" t="str">
        <f>_xlfn.XLOOKUP(B783,Indices!$A$2:$A$2676,Indices!$B$2:$B$2676,"")</f>
        <v>S&amp;P Mid</v>
      </c>
    </row>
    <row r="784" spans="1:4" x14ac:dyDescent="0.25">
      <c r="A784" s="379">
        <v>45783.604166666664</v>
      </c>
      <c r="B784" s="382" t="s">
        <v>1601</v>
      </c>
      <c r="C784" s="377" t="s">
        <v>4896</v>
      </c>
      <c r="D784" s="6" t="str">
        <f>_xlfn.XLOOKUP(B784,Indices!$A$2:$A$2676,Indices!$B$2:$B$2676,"")</f>
        <v>SP500</v>
      </c>
    </row>
    <row r="785" spans="1:4" x14ac:dyDescent="0.25">
      <c r="A785" s="379">
        <v>45783.604166666664</v>
      </c>
      <c r="B785" s="382" t="s">
        <v>666</v>
      </c>
      <c r="C785" s="377" t="s">
        <v>4896</v>
      </c>
      <c r="D785" s="6" t="str">
        <f>_xlfn.XLOOKUP(B785,Indices!$A$2:$A$2676,Indices!$B$2:$B$2676,"")</f>
        <v>IWM</v>
      </c>
    </row>
    <row r="786" spans="1:4" x14ac:dyDescent="0.25">
      <c r="A786" s="379">
        <v>45783.604166666664</v>
      </c>
      <c r="B786" s="382" t="s">
        <v>476</v>
      </c>
      <c r="C786" s="377" t="s">
        <v>4896</v>
      </c>
      <c r="D786" s="6" t="str">
        <f>_xlfn.XLOOKUP(B786,Indices!$A$2:$A$2676,Indices!$B$2:$B$2676,"")</f>
        <v>S&amp;P Mid</v>
      </c>
    </row>
    <row r="787" spans="1:4" x14ac:dyDescent="0.25">
      <c r="A787" s="379">
        <v>45783.604861111111</v>
      </c>
      <c r="B787" s="382" t="s">
        <v>259</v>
      </c>
      <c r="C787" s="377" t="s">
        <v>4898</v>
      </c>
      <c r="D787" s="6" t="str">
        <f>_xlfn.XLOOKUP(B787,Indices!$A$2:$A$2676,Indices!$B$2:$B$2676,"")</f>
        <v>IWM</v>
      </c>
    </row>
    <row r="788" spans="1:4" x14ac:dyDescent="0.25">
      <c r="A788" s="379">
        <v>45783.607638888891</v>
      </c>
      <c r="B788" s="382" t="s">
        <v>252</v>
      </c>
      <c r="C788" s="377" t="s">
        <v>4899</v>
      </c>
      <c r="D788" s="6" t="str">
        <f>_xlfn.XLOOKUP(B788,Indices!$A$2:$A$2676,Indices!$B$2:$B$2676,"")</f>
        <v>IWM</v>
      </c>
    </row>
    <row r="789" spans="1:4" x14ac:dyDescent="0.25">
      <c r="A789" s="379">
        <v>45783.60833333333</v>
      </c>
      <c r="B789" s="382" t="s">
        <v>814</v>
      </c>
      <c r="C789" s="377" t="s">
        <v>4900</v>
      </c>
      <c r="D789" s="6" t="str">
        <f>_xlfn.XLOOKUP(B789,Indices!$A$2:$A$2676,Indices!$B$2:$B$2676,"")</f>
        <v>IWM</v>
      </c>
    </row>
    <row r="790" spans="1:4" x14ac:dyDescent="0.25">
      <c r="A790" s="379">
        <v>45783.611111111109</v>
      </c>
      <c r="B790" s="382" t="s">
        <v>2066</v>
      </c>
      <c r="C790" s="377" t="s">
        <v>4901</v>
      </c>
      <c r="D790" s="6" t="str">
        <f>_xlfn.XLOOKUP(B790,Indices!$A$2:$A$2676,Indices!$B$2:$B$2676,"")</f>
        <v>IWM</v>
      </c>
    </row>
    <row r="791" spans="1:4" x14ac:dyDescent="0.25">
      <c r="A791" s="379">
        <v>45783.613888888889</v>
      </c>
      <c r="B791" s="382" t="s">
        <v>4902</v>
      </c>
      <c r="C791" s="377" t="s">
        <v>4903</v>
      </c>
      <c r="D791" s="6" t="str">
        <f>_xlfn.XLOOKUP(B791,Indices!$A$2:$A$2676,Indices!$B$2:$B$2676,"")</f>
        <v/>
      </c>
    </row>
    <row r="792" spans="1:4" x14ac:dyDescent="0.25">
      <c r="A792" s="379">
        <v>45783.614583333336</v>
      </c>
      <c r="B792" s="382" t="s">
        <v>148</v>
      </c>
      <c r="C792" s="377" t="s">
        <v>4904</v>
      </c>
      <c r="D792" s="6" t="str">
        <f>_xlfn.XLOOKUP(B792,Indices!$A$2:$A$2676,Indices!$B$2:$B$2676,"")</f>
        <v>IWM</v>
      </c>
    </row>
    <row r="793" spans="1:4" x14ac:dyDescent="0.25">
      <c r="A793" s="379">
        <v>45783.614583333336</v>
      </c>
      <c r="B793" s="382" t="s">
        <v>819</v>
      </c>
      <c r="C793" s="377" t="s">
        <v>4904</v>
      </c>
      <c r="D793" s="6" t="str">
        <f>_xlfn.XLOOKUP(B793,Indices!$A$2:$A$2676,Indices!$B$2:$B$2676,"")</f>
        <v>IWM</v>
      </c>
    </row>
    <row r="794" spans="1:4" x14ac:dyDescent="0.25">
      <c r="A794" s="379">
        <v>45783.617361111108</v>
      </c>
      <c r="B794" s="382" t="s">
        <v>172</v>
      </c>
      <c r="C794" s="377" t="s">
        <v>4905</v>
      </c>
      <c r="D794" s="6" t="str">
        <f>_xlfn.XLOOKUP(B794,Indices!$A$2:$A$2676,Indices!$B$2:$B$2676,"")</f>
        <v>IWM</v>
      </c>
    </row>
    <row r="795" spans="1:4" x14ac:dyDescent="0.25">
      <c r="A795" s="379">
        <v>45783.625</v>
      </c>
      <c r="B795" s="382" t="s">
        <v>117</v>
      </c>
      <c r="C795" s="377" t="s">
        <v>3147</v>
      </c>
      <c r="D795" s="6" t="str">
        <f>_xlfn.XLOOKUP(B795,Indices!$A$2:$A$2676,Indices!$B$2:$B$2676,"")</f>
        <v>S&amp;P Mid</v>
      </c>
    </row>
    <row r="796" spans="1:4" x14ac:dyDescent="0.25">
      <c r="A796" s="379">
        <v>45783.625</v>
      </c>
      <c r="B796" s="382" t="s">
        <v>703</v>
      </c>
      <c r="C796" s="377" t="s">
        <v>4906</v>
      </c>
      <c r="D796" s="6" t="str">
        <f>_xlfn.XLOOKUP(B796,Indices!$A$2:$A$2676,Indices!$B$2:$B$2676,"")</f>
        <v>SP500</v>
      </c>
    </row>
    <row r="797" spans="1:4" x14ac:dyDescent="0.25">
      <c r="A797" s="379">
        <v>45783.625</v>
      </c>
      <c r="B797" s="382" t="s">
        <v>3568</v>
      </c>
      <c r="C797" s="377" t="s">
        <v>4906</v>
      </c>
      <c r="D797" s="6" t="str">
        <f>_xlfn.XLOOKUP(B797,Indices!$A$2:$A$2676,Indices!$B$2:$B$2676,"")</f>
        <v/>
      </c>
    </row>
    <row r="798" spans="1:4" x14ac:dyDescent="0.25">
      <c r="A798" s="379">
        <v>45783.625</v>
      </c>
      <c r="B798" s="382" t="s">
        <v>3788</v>
      </c>
      <c r="C798" s="377" t="s">
        <v>4906</v>
      </c>
      <c r="D798" s="6" t="str">
        <f>_xlfn.XLOOKUP(B798,Indices!$A$2:$A$2676,Indices!$B$2:$B$2676,"")</f>
        <v/>
      </c>
    </row>
    <row r="799" spans="1:4" x14ac:dyDescent="0.25">
      <c r="A799" s="379">
        <v>45783.625</v>
      </c>
      <c r="B799" s="382" t="s">
        <v>821</v>
      </c>
      <c r="C799" s="377" t="s">
        <v>4906</v>
      </c>
      <c r="D799" s="6" t="str">
        <f>_xlfn.XLOOKUP(B799,Indices!$A$2:$A$2676,Indices!$B$2:$B$2676,"")</f>
        <v>S&amp;P Mid</v>
      </c>
    </row>
    <row r="800" spans="1:4" x14ac:dyDescent="0.25">
      <c r="A800" s="379">
        <v>45783.625</v>
      </c>
      <c r="B800" s="382" t="s">
        <v>3168</v>
      </c>
      <c r="C800" s="377" t="s">
        <v>4906</v>
      </c>
      <c r="D800" s="6" t="str">
        <f>_xlfn.XLOOKUP(B800,Indices!$A$2:$A$2676,Indices!$B$2:$B$2676,"")</f>
        <v/>
      </c>
    </row>
    <row r="801" spans="1:4" x14ac:dyDescent="0.25">
      <c r="A801" s="379">
        <v>45783.625</v>
      </c>
      <c r="B801" s="382" t="s">
        <v>3181</v>
      </c>
      <c r="C801" s="377" t="s">
        <v>3147</v>
      </c>
      <c r="D801" s="6" t="str">
        <f>_xlfn.XLOOKUP(B801,Indices!$A$2:$A$2676,Indices!$B$2:$B$2676,"")</f>
        <v/>
      </c>
    </row>
    <row r="802" spans="1:4" x14ac:dyDescent="0.25">
      <c r="A802" s="379">
        <v>45783.625</v>
      </c>
      <c r="B802" s="382" t="s">
        <v>262</v>
      </c>
      <c r="C802" s="377" t="s">
        <v>4906</v>
      </c>
      <c r="D802" s="6" t="str">
        <f>_xlfn.XLOOKUP(B802,Indices!$A$2:$A$2676,Indices!$B$2:$B$2676,"")</f>
        <v>S&amp;P Mid</v>
      </c>
    </row>
    <row r="803" spans="1:4" x14ac:dyDescent="0.25">
      <c r="A803" s="379">
        <v>45783.628472222219</v>
      </c>
      <c r="B803" s="382" t="s">
        <v>3210</v>
      </c>
      <c r="C803" s="377" t="s">
        <v>4907</v>
      </c>
      <c r="D803" s="6" t="str">
        <f>_xlfn.XLOOKUP(B803,Indices!$A$2:$A$2676,Indices!$B$2:$B$2676,"")</f>
        <v/>
      </c>
    </row>
    <row r="804" spans="1:4" x14ac:dyDescent="0.25">
      <c r="A804" s="379">
        <v>45783.629166666666</v>
      </c>
      <c r="B804" s="382" t="s">
        <v>3893</v>
      </c>
      <c r="C804" s="377" t="s">
        <v>4908</v>
      </c>
      <c r="D804" s="6" t="str">
        <f>_xlfn.XLOOKUP(B804,Indices!$A$2:$A$2676,Indices!$B$2:$B$2676,"")</f>
        <v/>
      </c>
    </row>
    <row r="805" spans="1:4" x14ac:dyDescent="0.25">
      <c r="A805" s="379">
        <v>45783.634027777778</v>
      </c>
      <c r="B805" s="382" t="s">
        <v>511</v>
      </c>
      <c r="C805" s="377" t="s">
        <v>4909</v>
      </c>
      <c r="D805" s="6" t="str">
        <f>_xlfn.XLOOKUP(B805,Indices!$A$2:$A$2676,Indices!$B$2:$B$2676,"")</f>
        <v>IWM</v>
      </c>
    </row>
    <row r="806" spans="1:4" x14ac:dyDescent="0.25">
      <c r="A806" s="379">
        <v>45783.645833333336</v>
      </c>
      <c r="B806" s="382" t="s">
        <v>2517</v>
      </c>
      <c r="C806" s="377" t="s">
        <v>4910</v>
      </c>
      <c r="D806" s="6" t="str">
        <f>_xlfn.XLOOKUP(B806,Indices!$A$2:$A$2676,Indices!$B$2:$B$2676,"")</f>
        <v/>
      </c>
    </row>
    <row r="807" spans="1:4" x14ac:dyDescent="0.25">
      <c r="A807" s="379">
        <v>45783.645833333336</v>
      </c>
      <c r="B807" s="382" t="s">
        <v>4134</v>
      </c>
      <c r="C807" s="377" t="s">
        <v>4910</v>
      </c>
      <c r="D807" s="6" t="str">
        <f>_xlfn.XLOOKUP(B807,Indices!$A$2:$A$2676,Indices!$B$2:$B$2676,"")</f>
        <v/>
      </c>
    </row>
    <row r="808" spans="1:4" x14ac:dyDescent="0.25">
      <c r="A808" s="379">
        <v>45783.646527777775</v>
      </c>
      <c r="B808" s="382" t="s">
        <v>159</v>
      </c>
      <c r="C808" s="377" t="s">
        <v>4911</v>
      </c>
      <c r="D808" s="6" t="str">
        <f>_xlfn.XLOOKUP(B808,Indices!$A$2:$A$2676,Indices!$B$2:$B$2676,"")</f>
        <v>IWM</v>
      </c>
    </row>
    <row r="809" spans="1:4" x14ac:dyDescent="0.25">
      <c r="A809" s="379">
        <v>45783.65347222222</v>
      </c>
      <c r="B809" s="382" t="s">
        <v>3241</v>
      </c>
      <c r="C809" s="377" t="s">
        <v>4912</v>
      </c>
      <c r="D809" s="6" t="str">
        <f>_xlfn.XLOOKUP(B809,Indices!$A$2:$A$2676,Indices!$B$2:$B$2676,"")</f>
        <v/>
      </c>
    </row>
    <row r="810" spans="1:4" x14ac:dyDescent="0.25">
      <c r="A810" s="379">
        <v>45783.654166666667</v>
      </c>
      <c r="B810" s="382" t="s">
        <v>3182</v>
      </c>
      <c r="C810" s="377" t="s">
        <v>4913</v>
      </c>
      <c r="D810" s="6" t="str">
        <f>_xlfn.XLOOKUP(B810,Indices!$A$2:$A$2676,Indices!$B$2:$B$2676,"")</f>
        <v/>
      </c>
    </row>
    <row r="811" spans="1:4" x14ac:dyDescent="0.25">
      <c r="A811" s="379">
        <v>45783.677083333336</v>
      </c>
      <c r="B811" s="382" t="s">
        <v>4914</v>
      </c>
      <c r="C811" s="377" t="s">
        <v>4915</v>
      </c>
      <c r="D811" s="6" t="str">
        <f>_xlfn.XLOOKUP(B811,Indices!$A$2:$A$2676,Indices!$B$2:$B$2676,"")</f>
        <v/>
      </c>
    </row>
    <row r="812" spans="1:4" x14ac:dyDescent="0.25">
      <c r="A812" s="379">
        <v>45783.958333333336</v>
      </c>
      <c r="B812" s="382" t="s">
        <v>3252</v>
      </c>
      <c r="C812" s="377" t="s">
        <v>4917</v>
      </c>
      <c r="D812" s="6" t="str">
        <f>_xlfn.XLOOKUP(B812,Indices!$A$2:$A$2676,Indices!$B$2:$B$2676,"")</f>
        <v/>
      </c>
    </row>
    <row r="813" spans="1:4" x14ac:dyDescent="0.25">
      <c r="A813" s="379">
        <v>45783.958333333336</v>
      </c>
      <c r="B813" s="382" t="s">
        <v>516</v>
      </c>
      <c r="C813" s="377" t="s">
        <v>4916</v>
      </c>
      <c r="D813" s="6" t="str">
        <f>_xlfn.XLOOKUP(B813,Indices!$A$2:$A$2676,Indices!$B$2:$B$2676,"")</f>
        <v>IWM</v>
      </c>
    </row>
    <row r="814" spans="1:4" x14ac:dyDescent="0.25">
      <c r="A814" s="379">
        <v>45783.958333333336</v>
      </c>
      <c r="B814" s="382" t="s">
        <v>3269</v>
      </c>
      <c r="C814" s="377" t="s">
        <v>4916</v>
      </c>
      <c r="D814" s="6" t="str">
        <f>_xlfn.XLOOKUP(B814,Indices!$A$2:$A$2676,Indices!$B$2:$B$2676,"")</f>
        <v/>
      </c>
    </row>
    <row r="815" spans="1:4" x14ac:dyDescent="0.25">
      <c r="A815" s="379">
        <v>45783.958333333336</v>
      </c>
      <c r="B815" s="382" t="s">
        <v>644</v>
      </c>
      <c r="C815" s="377" t="s">
        <v>4916</v>
      </c>
      <c r="D815" s="6" t="str">
        <f>_xlfn.XLOOKUP(B815,Indices!$A$2:$A$2676,Indices!$B$2:$B$2676,"")</f>
        <v>IWM</v>
      </c>
    </row>
    <row r="816" spans="1:4" x14ac:dyDescent="0.25">
      <c r="A816" s="379">
        <v>45783.958333333336</v>
      </c>
      <c r="B816" s="382" t="s">
        <v>3372</v>
      </c>
      <c r="C816" s="377" t="s">
        <v>4916</v>
      </c>
      <c r="D816" s="6" t="str">
        <f>_xlfn.XLOOKUP(B816,Indices!$A$2:$A$2676,Indices!$B$2:$B$2676,"")</f>
        <v/>
      </c>
    </row>
    <row r="817" spans="1:4" x14ac:dyDescent="0.25">
      <c r="A817" s="379">
        <v>45783.958333333336</v>
      </c>
      <c r="B817" s="382" t="s">
        <v>3421</v>
      </c>
      <c r="C817" s="377" t="s">
        <v>4916</v>
      </c>
      <c r="D817" s="6" t="str">
        <f>_xlfn.XLOOKUP(B817,Indices!$A$2:$A$2676,Indices!$B$2:$B$2676,"")</f>
        <v/>
      </c>
    </row>
    <row r="818" spans="1:4" x14ac:dyDescent="0.25">
      <c r="A818" s="379">
        <v>45783.958333333336</v>
      </c>
      <c r="B818" s="382" t="s">
        <v>3244</v>
      </c>
      <c r="C818" s="377" t="s">
        <v>4917</v>
      </c>
      <c r="D818" s="6" t="str">
        <f>_xlfn.XLOOKUP(B818,Indices!$A$2:$A$2676,Indices!$B$2:$B$2676,"")</f>
        <v/>
      </c>
    </row>
    <row r="819" spans="1:4" x14ac:dyDescent="0.25">
      <c r="A819" s="379">
        <v>45783.958333333336</v>
      </c>
      <c r="B819" s="382" t="s">
        <v>3254</v>
      </c>
      <c r="C819" s="377" t="s">
        <v>4917</v>
      </c>
      <c r="D819" s="6" t="str">
        <f>_xlfn.XLOOKUP(B819,Indices!$A$2:$A$2676,Indices!$B$2:$B$2676,"")</f>
        <v/>
      </c>
    </row>
    <row r="820" spans="1:4" x14ac:dyDescent="0.25">
      <c r="A820" s="379">
        <v>45783.958333333336</v>
      </c>
      <c r="B820" s="382" t="s">
        <v>33</v>
      </c>
      <c r="C820" s="377" t="s">
        <v>4916</v>
      </c>
      <c r="D820" s="6" t="str">
        <f>_xlfn.XLOOKUP(B820,Indices!$A$2:$A$2676,Indices!$B$2:$B$2676,"")</f>
        <v>S&amp;P Mid</v>
      </c>
    </row>
    <row r="821" spans="1:4" x14ac:dyDescent="0.25">
      <c r="A821" s="379">
        <v>45783.958333333336</v>
      </c>
      <c r="B821" s="382" t="s">
        <v>3245</v>
      </c>
      <c r="C821" s="377" t="s">
        <v>4916</v>
      </c>
      <c r="D821" s="6" t="str">
        <f>_xlfn.XLOOKUP(B821,Indices!$A$2:$A$2676,Indices!$B$2:$B$2676,"")</f>
        <v/>
      </c>
    </row>
    <row r="822" spans="1:4" x14ac:dyDescent="0.25">
      <c r="A822" s="379">
        <v>45783.958333333336</v>
      </c>
      <c r="B822" s="382" t="s">
        <v>3250</v>
      </c>
      <c r="C822" s="377" t="s">
        <v>4916</v>
      </c>
      <c r="D822" s="6" t="str">
        <f>_xlfn.XLOOKUP(B822,Indices!$A$2:$A$2676,Indices!$B$2:$B$2676,"")</f>
        <v/>
      </c>
    </row>
    <row r="823" spans="1:4" x14ac:dyDescent="0.25">
      <c r="A823" s="379">
        <v>45783.958333333336</v>
      </c>
      <c r="B823" s="382" t="s">
        <v>3248</v>
      </c>
      <c r="C823" s="377" t="s">
        <v>4917</v>
      </c>
      <c r="D823" s="6" t="str">
        <f>_xlfn.XLOOKUP(B823,Indices!$A$2:$A$2676,Indices!$B$2:$B$2676,"")</f>
        <v/>
      </c>
    </row>
    <row r="824" spans="1:4" x14ac:dyDescent="0.25">
      <c r="A824" s="379">
        <v>45783.958333333336</v>
      </c>
      <c r="B824" s="382" t="s">
        <v>3226</v>
      </c>
      <c r="C824" s="377" t="s">
        <v>4917</v>
      </c>
      <c r="D824" s="6" t="str">
        <f>_xlfn.XLOOKUP(B824,Indices!$A$2:$A$2676,Indices!$B$2:$B$2676,"")</f>
        <v/>
      </c>
    </row>
    <row r="825" spans="1:4" x14ac:dyDescent="0.25">
      <c r="A825" s="379">
        <v>45783.958333333336</v>
      </c>
      <c r="B825" s="382" t="s">
        <v>3229</v>
      </c>
      <c r="C825" s="377" t="s">
        <v>4916</v>
      </c>
      <c r="D825" s="6" t="str">
        <f>_xlfn.XLOOKUP(B825,Indices!$A$2:$A$2676,Indices!$B$2:$B$2676,"")</f>
        <v/>
      </c>
    </row>
    <row r="826" spans="1:4" x14ac:dyDescent="0.25">
      <c r="A826" s="379">
        <v>45783.958333333336</v>
      </c>
      <c r="B826" s="382" t="s">
        <v>3142</v>
      </c>
      <c r="C826" s="377" t="s">
        <v>4916</v>
      </c>
      <c r="D826" s="6" t="str">
        <f>_xlfn.XLOOKUP(B826,Indices!$A$2:$A$2676,Indices!$B$2:$B$2676,"")</f>
        <v/>
      </c>
    </row>
    <row r="827" spans="1:4" x14ac:dyDescent="0.25">
      <c r="A827" s="379">
        <v>45783.958333333336</v>
      </c>
      <c r="B827" s="382" t="s">
        <v>3275</v>
      </c>
      <c r="C827" s="377" t="s">
        <v>4916</v>
      </c>
      <c r="D827" s="6" t="str">
        <f>_xlfn.XLOOKUP(B827,Indices!$A$2:$A$2676,Indices!$B$2:$B$2676,"")</f>
        <v/>
      </c>
    </row>
    <row r="828" spans="1:4" x14ac:dyDescent="0.25">
      <c r="A828" s="379">
        <v>45783.958333333336</v>
      </c>
      <c r="B828" s="382" t="s">
        <v>3401</v>
      </c>
      <c r="C828" s="377" t="s">
        <v>4917</v>
      </c>
      <c r="D828" s="6" t="str">
        <f>_xlfn.XLOOKUP(B828,Indices!$A$2:$A$2676,Indices!$B$2:$B$2676,"")</f>
        <v/>
      </c>
    </row>
    <row r="829" spans="1:4" x14ac:dyDescent="0.25">
      <c r="A829" s="379">
        <v>45783.958333333336</v>
      </c>
      <c r="B829" s="382" t="s">
        <v>3221</v>
      </c>
      <c r="C829" s="377" t="s">
        <v>4917</v>
      </c>
      <c r="D829" s="6" t="str">
        <f>_xlfn.XLOOKUP(B829,Indices!$A$2:$A$2676,Indices!$B$2:$B$2676,"")</f>
        <v/>
      </c>
    </row>
    <row r="830" spans="1:4" x14ac:dyDescent="0.25">
      <c r="A830" s="379">
        <v>45783.958333333336</v>
      </c>
      <c r="B830" s="382" t="s">
        <v>3237</v>
      </c>
      <c r="C830" s="377" t="s">
        <v>4916</v>
      </c>
      <c r="D830" s="6" t="str">
        <f>_xlfn.XLOOKUP(B830,Indices!$A$2:$A$2676,Indices!$B$2:$B$2676,"")</f>
        <v/>
      </c>
    </row>
    <row r="831" spans="1:4" x14ac:dyDescent="0.25">
      <c r="A831" s="379">
        <v>45783.958333333336</v>
      </c>
      <c r="B831" s="382" t="s">
        <v>3266</v>
      </c>
      <c r="C831" s="377" t="s">
        <v>4917</v>
      </c>
      <c r="D831" s="6" t="str">
        <f>_xlfn.XLOOKUP(B831,Indices!$A$2:$A$2676,Indices!$B$2:$B$2676,"")</f>
        <v/>
      </c>
    </row>
    <row r="832" spans="1:4" x14ac:dyDescent="0.25">
      <c r="A832" s="379">
        <v>45783.958333333336</v>
      </c>
      <c r="B832" s="382" t="s">
        <v>3260</v>
      </c>
      <c r="C832" s="377" t="s">
        <v>4916</v>
      </c>
      <c r="D832" s="6" t="str">
        <f>_xlfn.XLOOKUP(B832,Indices!$A$2:$A$2676,Indices!$B$2:$B$2676,"")</f>
        <v/>
      </c>
    </row>
    <row r="833" spans="1:4" x14ac:dyDescent="0.25">
      <c r="A833" s="379">
        <v>45783.958333333336</v>
      </c>
      <c r="B833" s="382" t="s">
        <v>3279</v>
      </c>
      <c r="C833" s="377" t="s">
        <v>4916</v>
      </c>
      <c r="D833" s="6" t="str">
        <f>_xlfn.XLOOKUP(B833,Indices!$A$2:$A$2676,Indices!$B$2:$B$2676,"")</f>
        <v/>
      </c>
    </row>
    <row r="834" spans="1:4" x14ac:dyDescent="0.25">
      <c r="A834" s="379">
        <v>45783.958333333336</v>
      </c>
      <c r="B834" s="382" t="s">
        <v>518</v>
      </c>
      <c r="C834" s="377" t="s">
        <v>4916</v>
      </c>
      <c r="D834" s="6" t="str">
        <f>_xlfn.XLOOKUP(B834,Indices!$A$2:$A$2676,Indices!$B$2:$B$2676,"")</f>
        <v>IWM</v>
      </c>
    </row>
    <row r="835" spans="1:4" x14ac:dyDescent="0.25">
      <c r="A835" s="379">
        <v>45783.958333333336</v>
      </c>
      <c r="B835" s="382" t="s">
        <v>1938</v>
      </c>
      <c r="C835" s="377" t="s">
        <v>4916</v>
      </c>
      <c r="D835" s="6" t="str">
        <f>_xlfn.XLOOKUP(B835,Indices!$A$2:$A$2676,Indices!$B$2:$B$2676,"")</f>
        <v>IWM</v>
      </c>
    </row>
    <row r="836" spans="1:4" x14ac:dyDescent="0.25">
      <c r="A836" s="379">
        <v>45783.958333333336</v>
      </c>
      <c r="B836" s="382" t="s">
        <v>3379</v>
      </c>
      <c r="C836" s="377" t="s">
        <v>4918</v>
      </c>
      <c r="D836" s="6" t="str">
        <f>_xlfn.XLOOKUP(B836,Indices!$A$2:$A$2676,Indices!$B$2:$B$2676,"")</f>
        <v/>
      </c>
    </row>
    <row r="837" spans="1:4" x14ac:dyDescent="0.25">
      <c r="A837" s="379">
        <v>45783.972222222219</v>
      </c>
      <c r="B837" s="382" t="s">
        <v>3217</v>
      </c>
      <c r="C837" s="377" t="s">
        <v>4919</v>
      </c>
      <c r="D837" s="6" t="str">
        <f>_xlfn.XLOOKUP(B837,Indices!$A$2:$A$2676,Indices!$B$2:$B$2676,"")</f>
        <v/>
      </c>
    </row>
    <row r="838" spans="1:4" x14ac:dyDescent="0.25">
      <c r="A838" s="379">
        <v>45783.979166666664</v>
      </c>
      <c r="B838" s="382" t="s">
        <v>3234</v>
      </c>
      <c r="C838" s="377" t="s">
        <v>4920</v>
      </c>
      <c r="D838" s="6" t="str">
        <f>_xlfn.XLOOKUP(B838,Indices!$A$2:$A$2676,Indices!$B$2:$B$2676,"")</f>
        <v/>
      </c>
    </row>
    <row r="839" spans="1:4" x14ac:dyDescent="0.25">
      <c r="A839" s="379">
        <v>45784.125</v>
      </c>
      <c r="B839" s="382" t="s">
        <v>3524</v>
      </c>
      <c r="C839" s="377" t="s">
        <v>4921</v>
      </c>
      <c r="D839" s="6" t="str">
        <f>_xlfn.XLOOKUP(B839,Indices!$A$2:$A$2676,Indices!$B$2:$B$2676,"")</f>
        <v/>
      </c>
    </row>
    <row r="840" spans="1:4" x14ac:dyDescent="0.25">
      <c r="A840" s="379">
        <v>45784.145833333336</v>
      </c>
      <c r="B840" s="382" t="s">
        <v>3414</v>
      </c>
      <c r="C840" s="377" t="s">
        <v>4922</v>
      </c>
      <c r="D840" s="6" t="str">
        <f>_xlfn.XLOOKUP(B840,Indices!$A$2:$A$2676,Indices!$B$2:$B$2676,"")</f>
        <v/>
      </c>
    </row>
    <row r="841" spans="1:4" x14ac:dyDescent="0.25">
      <c r="A841" s="379">
        <v>45784.166666666664</v>
      </c>
      <c r="B841" s="382" t="s">
        <v>528</v>
      </c>
      <c r="C841" s="377" t="s">
        <v>4923</v>
      </c>
      <c r="D841" s="6" t="str">
        <f>_xlfn.XLOOKUP(B841,Indices!$A$2:$A$2676,Indices!$B$2:$B$2676,"")</f>
        <v>IWM</v>
      </c>
    </row>
    <row r="842" spans="1:4" x14ac:dyDescent="0.25">
      <c r="A842" s="379">
        <v>45784.166666666664</v>
      </c>
      <c r="B842" s="382" t="s">
        <v>3457</v>
      </c>
      <c r="C842" s="377" t="s">
        <v>4923</v>
      </c>
      <c r="D842" s="6" t="str">
        <f>_xlfn.XLOOKUP(B842,Indices!$A$2:$A$2676,Indices!$B$2:$B$2676,"")</f>
        <v/>
      </c>
    </row>
    <row r="843" spans="1:4" x14ac:dyDescent="0.25">
      <c r="A843" s="379">
        <v>45784.166666666664</v>
      </c>
      <c r="B843" s="382" t="s">
        <v>543</v>
      </c>
      <c r="C843" s="377" t="s">
        <v>4923</v>
      </c>
      <c r="D843" s="6" t="str">
        <f>_xlfn.XLOOKUP(B843,Indices!$A$2:$A$2676,Indices!$B$2:$B$2676,"")</f>
        <v>IWM</v>
      </c>
    </row>
    <row r="844" spans="1:4" x14ac:dyDescent="0.25">
      <c r="A844" s="379">
        <v>45784.166666666664</v>
      </c>
      <c r="B844" s="382" t="s">
        <v>3253</v>
      </c>
      <c r="C844" s="377" t="s">
        <v>4923</v>
      </c>
      <c r="D844" s="6" t="str">
        <f>_xlfn.XLOOKUP(B844,Indices!$A$2:$A$2676,Indices!$B$2:$B$2676,"")</f>
        <v/>
      </c>
    </row>
    <row r="845" spans="1:4" x14ac:dyDescent="0.25">
      <c r="A845" s="379">
        <v>45784.166666666664</v>
      </c>
      <c r="B845" s="382" t="s">
        <v>275</v>
      </c>
      <c r="C845" s="377" t="s">
        <v>4923</v>
      </c>
      <c r="D845" s="6" t="str">
        <f>_xlfn.XLOOKUP(B845,Indices!$A$2:$A$2676,Indices!$B$2:$B$2676,"")</f>
        <v>S&amp;P Mid</v>
      </c>
    </row>
    <row r="846" spans="1:4" x14ac:dyDescent="0.25">
      <c r="A846" s="379">
        <v>45784.166666666664</v>
      </c>
      <c r="B846" s="382" t="s">
        <v>540</v>
      </c>
      <c r="C846" s="377" t="s">
        <v>4923</v>
      </c>
      <c r="D846" s="6" t="str">
        <f>_xlfn.XLOOKUP(B846,Indices!$A$2:$A$2676,Indices!$B$2:$B$2676,"")</f>
        <v>IWM</v>
      </c>
    </row>
    <row r="847" spans="1:4" x14ac:dyDescent="0.25">
      <c r="A847" s="379">
        <v>45784.166666666664</v>
      </c>
      <c r="B847" s="382" t="s">
        <v>272</v>
      </c>
      <c r="C847" s="377" t="s">
        <v>4923</v>
      </c>
      <c r="D847" s="6" t="str">
        <f>_xlfn.XLOOKUP(B847,Indices!$A$2:$A$2676,Indices!$B$2:$B$2676,"")</f>
        <v>IWM</v>
      </c>
    </row>
    <row r="848" spans="1:4" x14ac:dyDescent="0.25">
      <c r="A848" s="379">
        <v>45784.166666666664</v>
      </c>
      <c r="B848" s="382" t="s">
        <v>535</v>
      </c>
      <c r="C848" s="377" t="s">
        <v>4923</v>
      </c>
      <c r="D848" s="6" t="str">
        <f>_xlfn.XLOOKUP(B848,Indices!$A$2:$A$2676,Indices!$B$2:$B$2676,"")</f>
        <v>IWM</v>
      </c>
    </row>
    <row r="849" spans="1:4" x14ac:dyDescent="0.25">
      <c r="A849" s="379">
        <v>45784.166666666664</v>
      </c>
      <c r="B849" s="382" t="s">
        <v>2961</v>
      </c>
      <c r="C849" s="377" t="s">
        <v>4923</v>
      </c>
      <c r="D849" s="6" t="str">
        <f>_xlfn.XLOOKUP(B849,Indices!$A$2:$A$2676,Indices!$B$2:$B$2676,"")</f>
        <v/>
      </c>
    </row>
    <row r="850" spans="1:4" x14ac:dyDescent="0.25">
      <c r="A850" s="379">
        <v>45784.166666666664</v>
      </c>
      <c r="B850" s="382" t="s">
        <v>1572</v>
      </c>
      <c r="C850" s="377" t="s">
        <v>4923</v>
      </c>
      <c r="D850" s="6" t="str">
        <f>_xlfn.XLOOKUP(B850,Indices!$A$2:$A$2676,Indices!$B$2:$B$2676,"")</f>
        <v>SP500</v>
      </c>
    </row>
    <row r="851" spans="1:4" x14ac:dyDescent="0.25">
      <c r="A851" s="379">
        <v>45784.166666666664</v>
      </c>
      <c r="B851" s="382" t="s">
        <v>2420</v>
      </c>
      <c r="C851" s="377" t="s">
        <v>4923</v>
      </c>
      <c r="D851" s="6" t="str">
        <f>_xlfn.XLOOKUP(B851,Indices!$A$2:$A$2676,Indices!$B$2:$B$2676,"")</f>
        <v>S&amp;P Mid</v>
      </c>
    </row>
    <row r="852" spans="1:4" x14ac:dyDescent="0.25">
      <c r="A852" s="379">
        <v>45784.166666666664</v>
      </c>
      <c r="B852" s="382" t="s">
        <v>3223</v>
      </c>
      <c r="C852" s="377" t="s">
        <v>4923</v>
      </c>
      <c r="D852" s="6" t="str">
        <f>_xlfn.XLOOKUP(B852,Indices!$A$2:$A$2676,Indices!$B$2:$B$2676,"")</f>
        <v/>
      </c>
    </row>
    <row r="853" spans="1:4" x14ac:dyDescent="0.25">
      <c r="A853" s="379">
        <v>45784.166666666664</v>
      </c>
      <c r="B853" s="382" t="s">
        <v>3228</v>
      </c>
      <c r="C853" s="377" t="s">
        <v>4923</v>
      </c>
      <c r="D853" s="6" t="str">
        <f>_xlfn.XLOOKUP(B853,Indices!$A$2:$A$2676,Indices!$B$2:$B$2676,"")</f>
        <v/>
      </c>
    </row>
    <row r="854" spans="1:4" x14ac:dyDescent="0.25">
      <c r="A854" s="379">
        <v>45784.166666666664</v>
      </c>
      <c r="B854" s="382" t="s">
        <v>530</v>
      </c>
      <c r="C854" s="377" t="s">
        <v>4923</v>
      </c>
      <c r="D854" s="6" t="str">
        <f>_xlfn.XLOOKUP(B854,Indices!$A$2:$A$2676,Indices!$B$2:$B$2676,"")</f>
        <v>IWM</v>
      </c>
    </row>
    <row r="855" spans="1:4" x14ac:dyDescent="0.25">
      <c r="A855" s="379">
        <v>45784.166666666664</v>
      </c>
      <c r="B855" s="382" t="s">
        <v>2963</v>
      </c>
      <c r="C855" s="377" t="s">
        <v>4923</v>
      </c>
      <c r="D855" s="6" t="str">
        <f>_xlfn.XLOOKUP(B855,Indices!$A$2:$A$2676,Indices!$B$2:$B$2676,"")</f>
        <v/>
      </c>
    </row>
    <row r="856" spans="1:4" x14ac:dyDescent="0.25">
      <c r="A856" s="379">
        <v>45784.166666666664</v>
      </c>
      <c r="B856" s="382" t="s">
        <v>1781</v>
      </c>
      <c r="C856" s="377" t="s">
        <v>4923</v>
      </c>
      <c r="D856" s="6" t="str">
        <f>_xlfn.XLOOKUP(B856,Indices!$A$2:$A$2676,Indices!$B$2:$B$2676,"")</f>
        <v>IWM</v>
      </c>
    </row>
    <row r="857" spans="1:4" x14ac:dyDescent="0.25">
      <c r="A857" s="379">
        <v>45784.177083333336</v>
      </c>
      <c r="B857" s="382" t="s">
        <v>3233</v>
      </c>
      <c r="C857" s="377" t="s">
        <v>4924</v>
      </c>
      <c r="D857" s="6" t="str">
        <f>_xlfn.XLOOKUP(B857,Indices!$A$2:$A$2676,Indices!$B$2:$B$2676,"")</f>
        <v/>
      </c>
    </row>
    <row r="858" spans="1:4" x14ac:dyDescent="0.25">
      <c r="A858" s="379">
        <v>45784.185416666667</v>
      </c>
      <c r="B858" s="382" t="s">
        <v>3388</v>
      </c>
      <c r="C858" s="377" t="s">
        <v>4925</v>
      </c>
      <c r="D858" s="6" t="str">
        <f>_xlfn.XLOOKUP(B858,Indices!$A$2:$A$2676,Indices!$B$2:$B$2676,"")</f>
        <v/>
      </c>
    </row>
    <row r="859" spans="1:4" x14ac:dyDescent="0.25">
      <c r="A859" s="379">
        <v>45784.1875</v>
      </c>
      <c r="B859" s="382" t="s">
        <v>529</v>
      </c>
      <c r="C859" s="377" t="s">
        <v>4926</v>
      </c>
      <c r="D859" s="6" t="str">
        <f>_xlfn.XLOOKUP(B859,Indices!$A$2:$A$2676,Indices!$B$2:$B$2676,"")</f>
        <v>IWM</v>
      </c>
    </row>
    <row r="860" spans="1:4" x14ac:dyDescent="0.25">
      <c r="A860" s="379">
        <v>45784.1875</v>
      </c>
      <c r="B860" s="382" t="s">
        <v>562</v>
      </c>
      <c r="C860" s="377" t="s">
        <v>4926</v>
      </c>
      <c r="D860" s="6" t="str">
        <f>_xlfn.XLOOKUP(B860,Indices!$A$2:$A$2676,Indices!$B$2:$B$2676,"")</f>
        <v>IWM</v>
      </c>
    </row>
    <row r="861" spans="1:4" x14ac:dyDescent="0.25">
      <c r="A861" s="379">
        <v>45784.1875</v>
      </c>
      <c r="B861" s="382" t="s">
        <v>281</v>
      </c>
      <c r="C861" s="377" t="s">
        <v>4926</v>
      </c>
      <c r="D861" s="6" t="str">
        <f>_xlfn.XLOOKUP(B861,Indices!$A$2:$A$2676,Indices!$B$2:$B$2676,"")</f>
        <v>S&amp;P Mid</v>
      </c>
    </row>
    <row r="862" spans="1:4" x14ac:dyDescent="0.25">
      <c r="A862" s="379">
        <v>45784.1875</v>
      </c>
      <c r="B862" s="382" t="s">
        <v>981</v>
      </c>
      <c r="C862" s="377" t="s">
        <v>4926</v>
      </c>
      <c r="D862" s="6" t="str">
        <f>_xlfn.XLOOKUP(B862,Indices!$A$2:$A$2676,Indices!$B$2:$B$2676,"")</f>
        <v>S&amp;P Mid</v>
      </c>
    </row>
    <row r="863" spans="1:4" x14ac:dyDescent="0.25">
      <c r="A863" s="379">
        <v>45784.1875</v>
      </c>
      <c r="B863" s="382" t="s">
        <v>3222</v>
      </c>
      <c r="C863" s="377" t="s">
        <v>4926</v>
      </c>
      <c r="D863" s="6" t="str">
        <f>_xlfn.XLOOKUP(B863,Indices!$A$2:$A$2676,Indices!$B$2:$B$2676,"")</f>
        <v/>
      </c>
    </row>
    <row r="864" spans="1:4" x14ac:dyDescent="0.25">
      <c r="A864" s="379">
        <v>45784.1875</v>
      </c>
      <c r="B864" s="382" t="s">
        <v>278</v>
      </c>
      <c r="C864" s="377" t="s">
        <v>4926</v>
      </c>
      <c r="D864" s="6" t="str">
        <f>_xlfn.XLOOKUP(B864,Indices!$A$2:$A$2676,Indices!$B$2:$B$2676,"")</f>
        <v>IWM</v>
      </c>
    </row>
    <row r="865" spans="1:4" x14ac:dyDescent="0.25">
      <c r="A865" s="379">
        <v>45784.1875</v>
      </c>
      <c r="B865" s="382" t="s">
        <v>1540</v>
      </c>
      <c r="C865" s="377" t="s">
        <v>4926</v>
      </c>
      <c r="D865" s="6" t="str">
        <f>_xlfn.XLOOKUP(B865,Indices!$A$2:$A$2676,Indices!$B$2:$B$2676,"")</f>
        <v>SP500</v>
      </c>
    </row>
    <row r="866" spans="1:4" x14ac:dyDescent="0.25">
      <c r="A866" s="379">
        <v>45784.1875</v>
      </c>
      <c r="B866" s="382" t="s">
        <v>623</v>
      </c>
      <c r="C866" s="377" t="s">
        <v>4926</v>
      </c>
      <c r="D866" s="6" t="str">
        <f>_xlfn.XLOOKUP(B866,Indices!$A$2:$A$2676,Indices!$B$2:$B$2676,"")</f>
        <v>IWM</v>
      </c>
    </row>
    <row r="867" spans="1:4" x14ac:dyDescent="0.25">
      <c r="A867" s="379">
        <v>45784.1875</v>
      </c>
      <c r="B867" s="382" t="s">
        <v>280</v>
      </c>
      <c r="C867" s="377" t="s">
        <v>4926</v>
      </c>
      <c r="D867" s="6" t="str">
        <f>_xlfn.XLOOKUP(B867,Indices!$A$2:$A$2676,Indices!$B$2:$B$2676,"")</f>
        <v>SP500</v>
      </c>
    </row>
    <row r="868" spans="1:4" x14ac:dyDescent="0.25">
      <c r="A868" s="379">
        <v>45784.1875</v>
      </c>
      <c r="B868" s="382" t="s">
        <v>1581</v>
      </c>
      <c r="C868" s="377" t="s">
        <v>4926</v>
      </c>
      <c r="D868" s="6" t="str">
        <f>_xlfn.XLOOKUP(B868,Indices!$A$2:$A$2676,Indices!$B$2:$B$2676,"")</f>
        <v>SP500</v>
      </c>
    </row>
    <row r="869" spans="1:4" x14ac:dyDescent="0.25">
      <c r="A869" s="379">
        <v>45784.1875</v>
      </c>
      <c r="B869" s="382" t="s">
        <v>282</v>
      </c>
      <c r="C869" s="377" t="s">
        <v>4926</v>
      </c>
      <c r="D869" s="6" t="str">
        <f>_xlfn.XLOOKUP(B869,Indices!$A$2:$A$2676,Indices!$B$2:$B$2676,"")</f>
        <v>SP500</v>
      </c>
    </row>
    <row r="870" spans="1:4" x14ac:dyDescent="0.25">
      <c r="A870" s="379">
        <v>45784.188194444447</v>
      </c>
      <c r="B870" s="382" t="s">
        <v>2187</v>
      </c>
      <c r="C870" s="377" t="s">
        <v>4927</v>
      </c>
      <c r="D870" s="6" t="str">
        <f>_xlfn.XLOOKUP(B870,Indices!$A$2:$A$2676,Indices!$B$2:$B$2676,"")</f>
        <v>IWM</v>
      </c>
    </row>
    <row r="871" spans="1:4" x14ac:dyDescent="0.25">
      <c r="A871" s="379">
        <v>45784.192361111112</v>
      </c>
      <c r="B871" s="382" t="s">
        <v>1597</v>
      </c>
      <c r="C871" s="377" t="s">
        <v>4928</v>
      </c>
      <c r="D871" s="6" t="str">
        <f>_xlfn.XLOOKUP(B871,Indices!$A$2:$A$2676,Indices!$B$2:$B$2676,"")</f>
        <v>SP500</v>
      </c>
    </row>
    <row r="872" spans="1:4" x14ac:dyDescent="0.25">
      <c r="A872" s="379">
        <v>45784.197916666664</v>
      </c>
      <c r="B872" s="382" t="s">
        <v>284</v>
      </c>
      <c r="C872" s="377" t="s">
        <v>4929</v>
      </c>
      <c r="D872" s="6" t="str">
        <f>_xlfn.XLOOKUP(B872,Indices!$A$2:$A$2676,Indices!$B$2:$B$2676,"")</f>
        <v>IWM</v>
      </c>
    </row>
    <row r="873" spans="1:4" x14ac:dyDescent="0.25">
      <c r="A873" s="379">
        <v>45784.197916666664</v>
      </c>
      <c r="B873" s="382" t="s">
        <v>568</v>
      </c>
      <c r="C873" s="377" t="s">
        <v>4929</v>
      </c>
      <c r="D873" s="6" t="str">
        <f>_xlfn.XLOOKUP(B873,Indices!$A$2:$A$2676,Indices!$B$2:$B$2676,"")</f>
        <v>IWM</v>
      </c>
    </row>
    <row r="874" spans="1:4" x14ac:dyDescent="0.25">
      <c r="A874" s="379">
        <v>45784.201388888891</v>
      </c>
      <c r="B874" s="382" t="s">
        <v>286</v>
      </c>
      <c r="C874" s="377" t="s">
        <v>4930</v>
      </c>
      <c r="D874" s="6" t="str">
        <f>_xlfn.XLOOKUP(B874,Indices!$A$2:$A$2676,Indices!$B$2:$B$2676,"")</f>
        <v>IWM</v>
      </c>
    </row>
    <row r="875" spans="1:4" x14ac:dyDescent="0.25">
      <c r="A875" s="379">
        <v>45784.201388888891</v>
      </c>
      <c r="B875" s="382" t="s">
        <v>1048</v>
      </c>
      <c r="C875" s="377" t="s">
        <v>4930</v>
      </c>
      <c r="D875" s="6" t="str">
        <f>_xlfn.XLOOKUP(B875,Indices!$A$2:$A$2676,Indices!$B$2:$B$2676,"")</f>
        <v>SP500</v>
      </c>
    </row>
    <row r="876" spans="1:4" x14ac:dyDescent="0.25">
      <c r="A876" s="379">
        <v>45784.201388888891</v>
      </c>
      <c r="B876" s="382" t="s">
        <v>841</v>
      </c>
      <c r="C876" s="377" t="s">
        <v>4930</v>
      </c>
      <c r="D876" s="6" t="str">
        <f>_xlfn.XLOOKUP(B876,Indices!$A$2:$A$2676,Indices!$B$2:$B$2676,"")</f>
        <v>IWM</v>
      </c>
    </row>
    <row r="877" spans="1:4" x14ac:dyDescent="0.25">
      <c r="A877" s="379">
        <v>45784.201388888891</v>
      </c>
      <c r="B877" s="382" t="s">
        <v>3484</v>
      </c>
      <c r="C877" s="377" t="s">
        <v>4930</v>
      </c>
      <c r="D877" s="6" t="str">
        <f>_xlfn.XLOOKUP(B877,Indices!$A$2:$A$2676,Indices!$B$2:$B$2676,"")</f>
        <v/>
      </c>
    </row>
    <row r="878" spans="1:4" x14ac:dyDescent="0.25">
      <c r="A878" s="379">
        <v>45784.204861111109</v>
      </c>
      <c r="B878" s="382" t="s">
        <v>176</v>
      </c>
      <c r="C878" s="377" t="s">
        <v>4931</v>
      </c>
      <c r="D878" s="6" t="str">
        <f>_xlfn.XLOOKUP(B878,Indices!$A$2:$A$2676,Indices!$B$2:$B$2676,"")</f>
        <v>SP500</v>
      </c>
    </row>
    <row r="879" spans="1:4" x14ac:dyDescent="0.25">
      <c r="A879" s="379">
        <v>45784.204861111109</v>
      </c>
      <c r="B879" s="382" t="s">
        <v>289</v>
      </c>
      <c r="C879" s="377" t="s">
        <v>4931</v>
      </c>
      <c r="D879" s="6" t="str">
        <f>_xlfn.XLOOKUP(B879,Indices!$A$2:$A$2676,Indices!$B$2:$B$2676,"")</f>
        <v>SP500</v>
      </c>
    </row>
    <row r="880" spans="1:4" x14ac:dyDescent="0.25">
      <c r="A880" s="379">
        <v>45784.204861111109</v>
      </c>
      <c r="B880" s="382" t="s">
        <v>1317</v>
      </c>
      <c r="C880" s="377" t="s">
        <v>4931</v>
      </c>
      <c r="D880" s="6" t="str">
        <f>_xlfn.XLOOKUP(B880,Indices!$A$2:$A$2676,Indices!$B$2:$B$2676,"")</f>
        <v>SP500</v>
      </c>
    </row>
    <row r="881" spans="1:4" x14ac:dyDescent="0.25">
      <c r="A881" s="379">
        <v>45784.204861111109</v>
      </c>
      <c r="B881" s="382" t="s">
        <v>288</v>
      </c>
      <c r="C881" s="377" t="s">
        <v>4931</v>
      </c>
      <c r="D881" s="6" t="str">
        <f>_xlfn.XLOOKUP(B881,Indices!$A$2:$A$2676,Indices!$B$2:$B$2676,"")</f>
        <v>SP500</v>
      </c>
    </row>
    <row r="882" spans="1:4" x14ac:dyDescent="0.25">
      <c r="A882" s="379">
        <v>45784.207638888889</v>
      </c>
      <c r="B882" s="382" t="s">
        <v>580</v>
      </c>
      <c r="C882" s="377" t="s">
        <v>4932</v>
      </c>
      <c r="D882" s="6" t="str">
        <f>_xlfn.XLOOKUP(B882,Indices!$A$2:$A$2676,Indices!$B$2:$B$2676,"")</f>
        <v>IWM</v>
      </c>
    </row>
    <row r="883" spans="1:4" x14ac:dyDescent="0.25">
      <c r="A883" s="379">
        <v>45784.208333333336</v>
      </c>
      <c r="B883" s="382" t="s">
        <v>3136</v>
      </c>
      <c r="C883" s="377" t="s">
        <v>4933</v>
      </c>
      <c r="D883" s="6" t="str">
        <f>_xlfn.XLOOKUP(B883,Indices!$A$2:$A$2676,Indices!$B$2:$B$2676,"")</f>
        <v/>
      </c>
    </row>
    <row r="884" spans="1:4" x14ac:dyDescent="0.25">
      <c r="A884" s="379">
        <v>45784.208333333336</v>
      </c>
      <c r="B884" s="382" t="s">
        <v>605</v>
      </c>
      <c r="C884" s="377" t="s">
        <v>4933</v>
      </c>
      <c r="D884" s="6" t="str">
        <f>_xlfn.XLOOKUP(B884,Indices!$A$2:$A$2676,Indices!$B$2:$B$2676,"")</f>
        <v>SP500</v>
      </c>
    </row>
    <row r="885" spans="1:4" x14ac:dyDescent="0.25">
      <c r="A885" s="379">
        <v>45784.208333333336</v>
      </c>
      <c r="B885" s="382" t="s">
        <v>296</v>
      </c>
      <c r="C885" s="377" t="s">
        <v>4933</v>
      </c>
      <c r="D885" s="6" t="str">
        <f>_xlfn.XLOOKUP(B885,Indices!$A$2:$A$2676,Indices!$B$2:$B$2676,"")</f>
        <v>S&amp;P Mid</v>
      </c>
    </row>
    <row r="886" spans="1:4" x14ac:dyDescent="0.25">
      <c r="A886" s="379">
        <v>45784.208333333336</v>
      </c>
      <c r="B886" s="382" t="s">
        <v>3057</v>
      </c>
      <c r="C886" s="377" t="s">
        <v>4933</v>
      </c>
      <c r="D886" s="6" t="str">
        <f>_xlfn.XLOOKUP(B886,Indices!$A$2:$A$2676,Indices!$B$2:$B$2676,"")</f>
        <v/>
      </c>
    </row>
    <row r="887" spans="1:4" x14ac:dyDescent="0.25">
      <c r="A887" s="379">
        <v>45784.208333333336</v>
      </c>
      <c r="B887" s="382" t="s">
        <v>291</v>
      </c>
      <c r="C887" s="377" t="s">
        <v>4933</v>
      </c>
      <c r="D887" s="6" t="str">
        <f>_xlfn.XLOOKUP(B887,Indices!$A$2:$A$2676,Indices!$B$2:$B$2676,"")</f>
        <v>IWM</v>
      </c>
    </row>
    <row r="888" spans="1:4" x14ac:dyDescent="0.25">
      <c r="A888" s="379">
        <v>45784.208333333336</v>
      </c>
      <c r="B888" s="382" t="s">
        <v>3135</v>
      </c>
      <c r="C888" s="377" t="s">
        <v>4933</v>
      </c>
      <c r="D888" s="6" t="str">
        <f>_xlfn.XLOOKUP(B888,Indices!$A$2:$A$2676,Indices!$B$2:$B$2676,"")</f>
        <v/>
      </c>
    </row>
    <row r="889" spans="1:4" x14ac:dyDescent="0.25">
      <c r="A889" s="379">
        <v>45784.208333333336</v>
      </c>
      <c r="B889" s="382" t="s">
        <v>3128</v>
      </c>
      <c r="C889" s="377" t="s">
        <v>4933</v>
      </c>
      <c r="D889" s="6" t="str">
        <f>_xlfn.XLOOKUP(B889,Indices!$A$2:$A$2676,Indices!$B$2:$B$2676,"")</f>
        <v/>
      </c>
    </row>
    <row r="890" spans="1:4" x14ac:dyDescent="0.25">
      <c r="A890" s="379">
        <v>45784.208333333336</v>
      </c>
      <c r="B890" s="382" t="s">
        <v>3141</v>
      </c>
      <c r="C890" s="377" t="s">
        <v>4933</v>
      </c>
      <c r="D890" s="6" t="str">
        <f>_xlfn.XLOOKUP(B890,Indices!$A$2:$A$2676,Indices!$B$2:$B$2676,"")</f>
        <v/>
      </c>
    </row>
    <row r="891" spans="1:4" x14ac:dyDescent="0.25">
      <c r="A891" s="379">
        <v>45784.208333333336</v>
      </c>
      <c r="B891" s="382" t="s">
        <v>898</v>
      </c>
      <c r="C891" s="377" t="s">
        <v>4933</v>
      </c>
      <c r="D891" s="6" t="str">
        <f>_xlfn.XLOOKUP(B891,Indices!$A$2:$A$2676,Indices!$B$2:$B$2676,"")</f>
        <v>IWM</v>
      </c>
    </row>
    <row r="892" spans="1:4" x14ac:dyDescent="0.25">
      <c r="A892" s="379">
        <v>45784.208333333336</v>
      </c>
      <c r="B892" s="382" t="s">
        <v>598</v>
      </c>
      <c r="C892" s="377" t="s">
        <v>4933</v>
      </c>
      <c r="D892" s="6" t="str">
        <f>_xlfn.XLOOKUP(B892,Indices!$A$2:$A$2676,Indices!$B$2:$B$2676,"")</f>
        <v>SP500</v>
      </c>
    </row>
    <row r="893" spans="1:4" x14ac:dyDescent="0.25">
      <c r="A893" s="379">
        <v>45784.208333333336</v>
      </c>
      <c r="B893" s="382" t="s">
        <v>187</v>
      </c>
      <c r="C893" s="377" t="s">
        <v>4933</v>
      </c>
      <c r="D893" s="6" t="str">
        <f>_xlfn.XLOOKUP(B893,Indices!$A$2:$A$2676,Indices!$B$2:$B$2676,"")</f>
        <v>S&amp;P Mid</v>
      </c>
    </row>
    <row r="894" spans="1:4" x14ac:dyDescent="0.25">
      <c r="A894" s="379">
        <v>45784.208333333336</v>
      </c>
      <c r="B894" s="382" t="s">
        <v>3095</v>
      </c>
      <c r="C894" s="377" t="s">
        <v>4933</v>
      </c>
      <c r="D894" s="6" t="str">
        <f>_xlfn.XLOOKUP(B894,Indices!$A$2:$A$2676,Indices!$B$2:$B$2676,"")</f>
        <v/>
      </c>
    </row>
    <row r="895" spans="1:4" x14ac:dyDescent="0.25">
      <c r="A895" s="379">
        <v>45784.208333333336</v>
      </c>
      <c r="B895" s="382" t="s">
        <v>1575</v>
      </c>
      <c r="C895" s="377" t="s">
        <v>4933</v>
      </c>
      <c r="D895" s="6" t="str">
        <f>_xlfn.XLOOKUP(B895,Indices!$A$2:$A$2676,Indices!$B$2:$B$2676,"")</f>
        <v>SP500</v>
      </c>
    </row>
    <row r="896" spans="1:4" x14ac:dyDescent="0.25">
      <c r="A896" s="379">
        <v>45784.208333333336</v>
      </c>
      <c r="B896" s="382" t="s">
        <v>1500</v>
      </c>
      <c r="C896" s="377" t="s">
        <v>4933</v>
      </c>
      <c r="D896" s="6" t="str">
        <f>_xlfn.XLOOKUP(B896,Indices!$A$2:$A$2676,Indices!$B$2:$B$2676,"")</f>
        <v>SP500</v>
      </c>
    </row>
    <row r="897" spans="1:4" x14ac:dyDescent="0.25">
      <c r="A897" s="379">
        <v>45784.208333333336</v>
      </c>
      <c r="B897" s="382" t="s">
        <v>3060</v>
      </c>
      <c r="C897" s="377" t="s">
        <v>4933</v>
      </c>
      <c r="D897" s="6" t="str">
        <f>_xlfn.XLOOKUP(B897,Indices!$A$2:$A$2676,Indices!$B$2:$B$2676,"")</f>
        <v/>
      </c>
    </row>
    <row r="898" spans="1:4" x14ac:dyDescent="0.25">
      <c r="A898" s="379">
        <v>45784.208333333336</v>
      </c>
      <c r="B898" s="382" t="s">
        <v>582</v>
      </c>
      <c r="C898" s="377" t="s">
        <v>4933</v>
      </c>
      <c r="D898" s="6" t="str">
        <f>_xlfn.XLOOKUP(B898,Indices!$A$2:$A$2676,Indices!$B$2:$B$2676,"")</f>
        <v>IWM</v>
      </c>
    </row>
    <row r="899" spans="1:4" x14ac:dyDescent="0.25">
      <c r="A899" s="379">
        <v>45784.208333333336</v>
      </c>
      <c r="B899" s="382" t="s">
        <v>3728</v>
      </c>
      <c r="C899" s="377" t="s">
        <v>4933</v>
      </c>
      <c r="D899" s="6" t="str">
        <f>_xlfn.XLOOKUP(B899,Indices!$A$2:$A$2676,Indices!$B$2:$B$2676,"")</f>
        <v/>
      </c>
    </row>
    <row r="900" spans="1:4" x14ac:dyDescent="0.25">
      <c r="A900" s="379">
        <v>45784.208333333336</v>
      </c>
      <c r="B900" s="382" t="s">
        <v>2579</v>
      </c>
      <c r="C900" s="377" t="s">
        <v>4933</v>
      </c>
      <c r="D900" s="6" t="str">
        <f>_xlfn.XLOOKUP(B900,Indices!$A$2:$A$2676,Indices!$B$2:$B$2676,"")</f>
        <v/>
      </c>
    </row>
    <row r="901" spans="1:4" x14ac:dyDescent="0.25">
      <c r="A901" s="379">
        <v>45784.208333333336</v>
      </c>
      <c r="B901" s="382" t="s">
        <v>3249</v>
      </c>
      <c r="C901" s="377" t="s">
        <v>4933</v>
      </c>
      <c r="D901" s="6" t="str">
        <f>_xlfn.XLOOKUP(B901,Indices!$A$2:$A$2676,Indices!$B$2:$B$2676,"")</f>
        <v/>
      </c>
    </row>
    <row r="902" spans="1:4" x14ac:dyDescent="0.25">
      <c r="A902" s="379">
        <v>45784.208333333336</v>
      </c>
      <c r="B902" s="382" t="s">
        <v>610</v>
      </c>
      <c r="C902" s="377" t="s">
        <v>4933</v>
      </c>
      <c r="D902" s="6" t="str">
        <f>_xlfn.XLOOKUP(B902,Indices!$A$2:$A$2676,Indices!$B$2:$B$2676,"")</f>
        <v>IWM</v>
      </c>
    </row>
    <row r="903" spans="1:4" x14ac:dyDescent="0.25">
      <c r="A903" s="379">
        <v>45784.208333333336</v>
      </c>
      <c r="B903" s="382" t="s">
        <v>3107</v>
      </c>
      <c r="C903" s="377" t="s">
        <v>4933</v>
      </c>
      <c r="D903" s="6" t="str">
        <f>_xlfn.XLOOKUP(B903,Indices!$A$2:$A$2676,Indices!$B$2:$B$2676,"")</f>
        <v/>
      </c>
    </row>
    <row r="904" spans="1:4" x14ac:dyDescent="0.25">
      <c r="A904" s="379">
        <v>45784.208333333336</v>
      </c>
      <c r="B904" s="382" t="s">
        <v>848</v>
      </c>
      <c r="C904" s="377" t="s">
        <v>4933</v>
      </c>
      <c r="D904" s="6" t="str">
        <f>_xlfn.XLOOKUP(B904,Indices!$A$2:$A$2676,Indices!$B$2:$B$2676,"")</f>
        <v>IWM</v>
      </c>
    </row>
    <row r="905" spans="1:4" x14ac:dyDescent="0.25">
      <c r="A905" s="379">
        <v>45784.208333333336</v>
      </c>
      <c r="B905" s="382" t="s">
        <v>3980</v>
      </c>
      <c r="C905" s="377" t="s">
        <v>4933</v>
      </c>
      <c r="D905" s="6" t="str">
        <f>_xlfn.XLOOKUP(B905,Indices!$A$2:$A$2676,Indices!$B$2:$B$2676,"")</f>
        <v/>
      </c>
    </row>
    <row r="906" spans="1:4" x14ac:dyDescent="0.25">
      <c r="A906" s="379">
        <v>45784.208333333336</v>
      </c>
      <c r="B906" s="382" t="s">
        <v>302</v>
      </c>
      <c r="C906" s="377" t="s">
        <v>4933</v>
      </c>
      <c r="D906" s="6" t="str">
        <f>_xlfn.XLOOKUP(B906,Indices!$A$2:$A$2676,Indices!$B$2:$B$2676,"")</f>
        <v>IWM</v>
      </c>
    </row>
    <row r="907" spans="1:4" x14ac:dyDescent="0.25">
      <c r="A907" s="379">
        <v>45784.208333333336</v>
      </c>
      <c r="B907" s="382" t="s">
        <v>224</v>
      </c>
      <c r="C907" s="377" t="s">
        <v>4933</v>
      </c>
      <c r="D907" s="6" t="str">
        <f>_xlfn.XLOOKUP(B907,Indices!$A$2:$A$2676,Indices!$B$2:$B$2676,"")</f>
        <v>IWM</v>
      </c>
    </row>
    <row r="908" spans="1:4" x14ac:dyDescent="0.25">
      <c r="A908" s="379">
        <v>45784.208333333336</v>
      </c>
      <c r="B908" s="382" t="s">
        <v>3402</v>
      </c>
      <c r="C908" s="377" t="s">
        <v>4933</v>
      </c>
      <c r="D908" s="6" t="str">
        <f>_xlfn.XLOOKUP(B908,Indices!$A$2:$A$2676,Indices!$B$2:$B$2676,"")</f>
        <v/>
      </c>
    </row>
    <row r="909" spans="1:4" x14ac:dyDescent="0.25">
      <c r="A909" s="379">
        <v>45784.208333333336</v>
      </c>
      <c r="B909" s="382" t="s">
        <v>3242</v>
      </c>
      <c r="C909" s="377" t="s">
        <v>4933</v>
      </c>
      <c r="D909" s="6" t="str">
        <f>_xlfn.XLOOKUP(B909,Indices!$A$2:$A$2676,Indices!$B$2:$B$2676,"")</f>
        <v/>
      </c>
    </row>
    <row r="910" spans="1:4" x14ac:dyDescent="0.25">
      <c r="A910" s="379">
        <v>45784.208333333336</v>
      </c>
      <c r="B910" s="382" t="s">
        <v>3860</v>
      </c>
      <c r="C910" s="377" t="s">
        <v>4933</v>
      </c>
      <c r="D910" s="6" t="str">
        <f>_xlfn.XLOOKUP(B910,Indices!$A$2:$A$2676,Indices!$B$2:$B$2676,"")</f>
        <v/>
      </c>
    </row>
    <row r="911" spans="1:4" x14ac:dyDescent="0.25">
      <c r="A911" s="379">
        <v>45784.208333333336</v>
      </c>
      <c r="B911" s="382" t="s">
        <v>590</v>
      </c>
      <c r="C911" s="377" t="s">
        <v>4933</v>
      </c>
      <c r="D911" s="6" t="str">
        <f>_xlfn.XLOOKUP(B911,Indices!$A$2:$A$2676,Indices!$B$2:$B$2676,"")</f>
        <v>IWM</v>
      </c>
    </row>
    <row r="912" spans="1:4" x14ac:dyDescent="0.25">
      <c r="A912" s="379">
        <v>45784.208333333336</v>
      </c>
      <c r="B912" s="382" t="s">
        <v>2436</v>
      </c>
      <c r="C912" s="377" t="s">
        <v>4933</v>
      </c>
      <c r="D912" s="6" t="str">
        <f>_xlfn.XLOOKUP(B912,Indices!$A$2:$A$2676,Indices!$B$2:$B$2676,"")</f>
        <v>S&amp;P Mid</v>
      </c>
    </row>
    <row r="913" spans="1:4" x14ac:dyDescent="0.25">
      <c r="A913" s="379">
        <v>45784.208333333336</v>
      </c>
      <c r="B913" s="382" t="s">
        <v>525</v>
      </c>
      <c r="C913" s="377" t="s">
        <v>4933</v>
      </c>
      <c r="D913" s="6" t="str">
        <f>_xlfn.XLOOKUP(B913,Indices!$A$2:$A$2676,Indices!$B$2:$B$2676,"")</f>
        <v>IWM</v>
      </c>
    </row>
    <row r="914" spans="1:4" x14ac:dyDescent="0.25">
      <c r="A914" s="379">
        <v>45784.208333333336</v>
      </c>
      <c r="B914" s="382" t="s">
        <v>3155</v>
      </c>
      <c r="C914" s="377" t="s">
        <v>4933</v>
      </c>
      <c r="D914" s="6" t="str">
        <f>_xlfn.XLOOKUP(B914,Indices!$A$2:$A$2676,Indices!$B$2:$B$2676,"")</f>
        <v/>
      </c>
    </row>
    <row r="915" spans="1:4" x14ac:dyDescent="0.25">
      <c r="A915" s="379">
        <v>45784.208333333336</v>
      </c>
      <c r="B915" s="382" t="s">
        <v>3257</v>
      </c>
      <c r="C915" s="377" t="s">
        <v>4933</v>
      </c>
      <c r="D915" s="6" t="str">
        <f>_xlfn.XLOOKUP(B915,Indices!$A$2:$A$2676,Indices!$B$2:$B$2676,"")</f>
        <v/>
      </c>
    </row>
    <row r="916" spans="1:4" x14ac:dyDescent="0.25">
      <c r="A916" s="379">
        <v>45784.208333333336</v>
      </c>
      <c r="B916" s="382" t="s">
        <v>3271</v>
      </c>
      <c r="C916" s="377" t="s">
        <v>4933</v>
      </c>
      <c r="D916" s="6" t="str">
        <f>_xlfn.XLOOKUP(B916,Indices!$A$2:$A$2676,Indices!$B$2:$B$2676,"")</f>
        <v/>
      </c>
    </row>
    <row r="917" spans="1:4" x14ac:dyDescent="0.25">
      <c r="A917" s="379">
        <v>45784.208333333336</v>
      </c>
      <c r="B917" s="382" t="s">
        <v>2288</v>
      </c>
      <c r="C917" s="377" t="s">
        <v>4933</v>
      </c>
      <c r="D917" s="6" t="str">
        <f>_xlfn.XLOOKUP(B917,Indices!$A$2:$A$2676,Indices!$B$2:$B$2676,"")</f>
        <v>IWM</v>
      </c>
    </row>
    <row r="918" spans="1:4" x14ac:dyDescent="0.25">
      <c r="A918" s="379">
        <v>45784.208333333336</v>
      </c>
      <c r="B918" s="382" t="s">
        <v>3283</v>
      </c>
      <c r="C918" s="377" t="s">
        <v>4933</v>
      </c>
      <c r="D918" s="6" t="str">
        <f>_xlfn.XLOOKUP(B918,Indices!$A$2:$A$2676,Indices!$B$2:$B$2676,"")</f>
        <v/>
      </c>
    </row>
    <row r="919" spans="1:4" x14ac:dyDescent="0.25">
      <c r="A919" s="379">
        <v>45784.208333333336</v>
      </c>
      <c r="B919" s="382" t="s">
        <v>294</v>
      </c>
      <c r="C919" s="377" t="s">
        <v>4933</v>
      </c>
      <c r="D919" s="6" t="str">
        <f>_xlfn.XLOOKUP(B919,Indices!$A$2:$A$2676,Indices!$B$2:$B$2676,"")</f>
        <v>IWM</v>
      </c>
    </row>
    <row r="920" spans="1:4" x14ac:dyDescent="0.25">
      <c r="A920" s="379">
        <v>45784.209027777775</v>
      </c>
      <c r="B920" s="382" t="s">
        <v>300</v>
      </c>
      <c r="C920" s="377" t="s">
        <v>4934</v>
      </c>
      <c r="D920" s="6" t="str">
        <f>_xlfn.XLOOKUP(B920,Indices!$A$2:$A$2676,Indices!$B$2:$B$2676,"")</f>
        <v>SP500</v>
      </c>
    </row>
    <row r="921" spans="1:4" x14ac:dyDescent="0.25">
      <c r="A921" s="379">
        <v>45784.209722222222</v>
      </c>
      <c r="B921" s="382" t="s">
        <v>603</v>
      </c>
      <c r="C921" s="377" t="s">
        <v>4935</v>
      </c>
      <c r="D921" s="6" t="str">
        <f>_xlfn.XLOOKUP(B921,Indices!$A$2:$A$2676,Indices!$B$2:$B$2676,"")</f>
        <v>IWM</v>
      </c>
    </row>
    <row r="922" spans="1:4" x14ac:dyDescent="0.25">
      <c r="A922" s="379">
        <v>45784.210416666669</v>
      </c>
      <c r="B922" s="382" t="s">
        <v>3024</v>
      </c>
      <c r="C922" s="377" t="s">
        <v>4936</v>
      </c>
      <c r="D922" s="6" t="str">
        <f>_xlfn.XLOOKUP(B922,Indices!$A$2:$A$2676,Indices!$B$2:$B$2676,"")</f>
        <v/>
      </c>
    </row>
    <row r="923" spans="1:4" x14ac:dyDescent="0.25">
      <c r="A923" s="379">
        <v>45784.211805555555</v>
      </c>
      <c r="B923" s="382" t="s">
        <v>595</v>
      </c>
      <c r="C923" s="377" t="s">
        <v>4937</v>
      </c>
      <c r="D923" s="6" t="str">
        <f>_xlfn.XLOOKUP(B923,Indices!$A$2:$A$2676,Indices!$B$2:$B$2676,"")</f>
        <v>IWM</v>
      </c>
    </row>
    <row r="924" spans="1:4" x14ac:dyDescent="0.25">
      <c r="A924" s="379">
        <v>45784.211805555555</v>
      </c>
      <c r="B924" s="382" t="s">
        <v>305</v>
      </c>
      <c r="C924" s="377" t="s">
        <v>4937</v>
      </c>
      <c r="D924" s="6" t="str">
        <f>_xlfn.XLOOKUP(B924,Indices!$A$2:$A$2676,Indices!$B$2:$B$2676,"")</f>
        <v>IWM</v>
      </c>
    </row>
    <row r="925" spans="1:4" x14ac:dyDescent="0.25">
      <c r="A925" s="379">
        <v>45784.211805555555</v>
      </c>
      <c r="B925" s="382" t="s">
        <v>306</v>
      </c>
      <c r="C925" s="377" t="s">
        <v>4937</v>
      </c>
      <c r="D925" s="6" t="str">
        <f>_xlfn.XLOOKUP(B925,Indices!$A$2:$A$2676,Indices!$B$2:$B$2676,"")</f>
        <v>IWM</v>
      </c>
    </row>
    <row r="926" spans="1:4" x14ac:dyDescent="0.25">
      <c r="A926" s="379">
        <v>45784.216666666667</v>
      </c>
      <c r="B926" s="382" t="s">
        <v>916</v>
      </c>
      <c r="C926" s="377" t="s">
        <v>4938</v>
      </c>
      <c r="D926" s="6" t="str">
        <f>_xlfn.XLOOKUP(B926,Indices!$A$2:$A$2676,Indices!$B$2:$B$2676,"")</f>
        <v>IWM</v>
      </c>
    </row>
    <row r="927" spans="1:4" x14ac:dyDescent="0.25">
      <c r="A927" s="379">
        <v>45784.21875</v>
      </c>
      <c r="B927" s="382" t="s">
        <v>307</v>
      </c>
      <c r="C927" s="377" t="s">
        <v>4939</v>
      </c>
      <c r="D927" s="6" t="str">
        <f>_xlfn.XLOOKUP(B927,Indices!$A$2:$A$2676,Indices!$B$2:$B$2676,"")</f>
        <v>IWM</v>
      </c>
    </row>
    <row r="928" spans="1:4" x14ac:dyDescent="0.25">
      <c r="A928" s="379">
        <v>45784.21875</v>
      </c>
      <c r="B928" s="382" t="s">
        <v>1429</v>
      </c>
      <c r="C928" s="377" t="s">
        <v>4939</v>
      </c>
      <c r="D928" s="6" t="str">
        <f>_xlfn.XLOOKUP(B928,Indices!$A$2:$A$2676,Indices!$B$2:$B$2676,"")</f>
        <v>SP500</v>
      </c>
    </row>
    <row r="929" spans="1:4" x14ac:dyDescent="0.25">
      <c r="A929" s="379">
        <v>45784.220833333333</v>
      </c>
      <c r="B929" s="382" t="s">
        <v>3834</v>
      </c>
      <c r="C929" s="377" t="s">
        <v>4940</v>
      </c>
      <c r="D929" s="6" t="str">
        <f>_xlfn.XLOOKUP(B929,Indices!$A$2:$A$2676,Indices!$B$2:$B$2676,"")</f>
        <v/>
      </c>
    </row>
    <row r="930" spans="1:4" x14ac:dyDescent="0.25">
      <c r="A930" s="379">
        <v>45784.229166666664</v>
      </c>
      <c r="B930" s="382" t="s">
        <v>309</v>
      </c>
      <c r="C930" s="377" t="s">
        <v>4941</v>
      </c>
      <c r="D930" s="6" t="str">
        <f>_xlfn.XLOOKUP(B930,Indices!$A$2:$A$2676,Indices!$B$2:$B$2676,"")</f>
        <v>S&amp;P Mid</v>
      </c>
    </row>
    <row r="931" spans="1:4" x14ac:dyDescent="0.25">
      <c r="A931" s="379">
        <v>45784.229166666664</v>
      </c>
      <c r="B931" s="382" t="s">
        <v>3129</v>
      </c>
      <c r="C931" s="377" t="s">
        <v>4941</v>
      </c>
      <c r="D931" s="6" t="str">
        <f>_xlfn.XLOOKUP(B931,Indices!$A$2:$A$2676,Indices!$B$2:$B$2676,"")</f>
        <v/>
      </c>
    </row>
    <row r="932" spans="1:4" x14ac:dyDescent="0.25">
      <c r="A932" s="379">
        <v>45784.229166666664</v>
      </c>
      <c r="B932" s="382" t="s">
        <v>1799</v>
      </c>
      <c r="C932" s="377" t="s">
        <v>4941</v>
      </c>
      <c r="D932" s="6" t="str">
        <f>_xlfn.XLOOKUP(B932,Indices!$A$2:$A$2676,Indices!$B$2:$B$2676,"")</f>
        <v>IWM</v>
      </c>
    </row>
    <row r="933" spans="1:4" x14ac:dyDescent="0.25">
      <c r="A933" s="379">
        <v>45784.229166666664</v>
      </c>
      <c r="B933" s="382" t="s">
        <v>314</v>
      </c>
      <c r="C933" s="377" t="s">
        <v>4941</v>
      </c>
      <c r="D933" s="6" t="str">
        <f>_xlfn.XLOOKUP(B933,Indices!$A$2:$A$2676,Indices!$B$2:$B$2676,"")</f>
        <v>IWM</v>
      </c>
    </row>
    <row r="934" spans="1:4" x14ac:dyDescent="0.25">
      <c r="A934" s="379">
        <v>45784.229166666664</v>
      </c>
      <c r="B934" s="382" t="s">
        <v>206</v>
      </c>
      <c r="C934" s="377" t="s">
        <v>4941</v>
      </c>
      <c r="D934" s="6" t="str">
        <f>_xlfn.XLOOKUP(B934,Indices!$A$2:$A$2676,Indices!$B$2:$B$2676,"")</f>
        <v>IWM</v>
      </c>
    </row>
    <row r="935" spans="1:4" x14ac:dyDescent="0.25">
      <c r="A935" s="379">
        <v>45784.229166666664</v>
      </c>
      <c r="B935" s="382" t="s">
        <v>2572</v>
      </c>
      <c r="C935" s="377" t="s">
        <v>4941</v>
      </c>
      <c r="D935" s="6" t="str">
        <f>_xlfn.XLOOKUP(B935,Indices!$A$2:$A$2676,Indices!$B$2:$B$2676,"")</f>
        <v/>
      </c>
    </row>
    <row r="936" spans="1:4" x14ac:dyDescent="0.25">
      <c r="A936" s="379">
        <v>45784.229166666664</v>
      </c>
      <c r="B936" s="382" t="s">
        <v>3273</v>
      </c>
      <c r="C936" s="377" t="s">
        <v>4941</v>
      </c>
      <c r="D936" s="6" t="str">
        <f>_xlfn.XLOOKUP(B936,Indices!$A$2:$A$2676,Indices!$B$2:$B$2676,"")</f>
        <v/>
      </c>
    </row>
    <row r="937" spans="1:4" x14ac:dyDescent="0.25">
      <c r="A937" s="379">
        <v>45784.229166666664</v>
      </c>
      <c r="B937" s="382" t="s">
        <v>3272</v>
      </c>
      <c r="C937" s="377" t="s">
        <v>4941</v>
      </c>
      <c r="D937" s="6" t="str">
        <f>_xlfn.XLOOKUP(B937,Indices!$A$2:$A$2676,Indices!$B$2:$B$2676,"")</f>
        <v/>
      </c>
    </row>
    <row r="938" spans="1:4" x14ac:dyDescent="0.25">
      <c r="A938" s="379">
        <v>45784.231249999997</v>
      </c>
      <c r="B938" s="382" t="s">
        <v>3486</v>
      </c>
      <c r="C938" s="377" t="s">
        <v>4942</v>
      </c>
      <c r="D938" s="6" t="str">
        <f>_xlfn.XLOOKUP(B938,Indices!$A$2:$A$2676,Indices!$B$2:$B$2676,"")</f>
        <v/>
      </c>
    </row>
    <row r="939" spans="1:4" x14ac:dyDescent="0.25">
      <c r="A939" s="379">
        <v>45784.25</v>
      </c>
      <c r="B939" s="382" t="s">
        <v>857</v>
      </c>
      <c r="C939" s="377" t="s">
        <v>4943</v>
      </c>
      <c r="D939" s="6" t="str">
        <f>_xlfn.XLOOKUP(B939,Indices!$A$2:$A$2676,Indices!$B$2:$B$2676,"")</f>
        <v>IWM</v>
      </c>
    </row>
    <row r="940" spans="1:4" x14ac:dyDescent="0.25">
      <c r="A940" s="379">
        <v>45784.25</v>
      </c>
      <c r="B940" s="382" t="s">
        <v>2512</v>
      </c>
      <c r="C940" s="377" t="s">
        <v>4943</v>
      </c>
      <c r="D940" s="6" t="str">
        <f>_xlfn.XLOOKUP(B940,Indices!$A$2:$A$2676,Indices!$B$2:$B$2676,"")</f>
        <v/>
      </c>
    </row>
    <row r="941" spans="1:4" x14ac:dyDescent="0.25">
      <c r="A941" s="379">
        <v>45784.25</v>
      </c>
      <c r="B941" s="382" t="s">
        <v>323</v>
      </c>
      <c r="C941" s="377" t="s">
        <v>4943</v>
      </c>
      <c r="D941" s="6" t="str">
        <f>_xlfn.XLOOKUP(B941,Indices!$A$2:$A$2676,Indices!$B$2:$B$2676,"")</f>
        <v>IWM</v>
      </c>
    </row>
    <row r="942" spans="1:4" x14ac:dyDescent="0.25">
      <c r="A942" s="379">
        <v>45784.25</v>
      </c>
      <c r="B942" s="382" t="s">
        <v>2958</v>
      </c>
      <c r="C942" s="377" t="s">
        <v>4943</v>
      </c>
      <c r="D942" s="6" t="str">
        <f>_xlfn.XLOOKUP(B942,Indices!$A$2:$A$2676,Indices!$B$2:$B$2676,"")</f>
        <v/>
      </c>
    </row>
    <row r="943" spans="1:4" x14ac:dyDescent="0.25">
      <c r="A943" s="379">
        <v>45784.25</v>
      </c>
      <c r="B943" s="382" t="s">
        <v>3449</v>
      </c>
      <c r="C943" s="377" t="s">
        <v>4943</v>
      </c>
      <c r="D943" s="6" t="str">
        <f>_xlfn.XLOOKUP(B943,Indices!$A$2:$A$2676,Indices!$B$2:$B$2676,"")</f>
        <v/>
      </c>
    </row>
    <row r="944" spans="1:4" x14ac:dyDescent="0.25">
      <c r="A944" s="379">
        <v>45784.25</v>
      </c>
      <c r="B944" s="382" t="s">
        <v>934</v>
      </c>
      <c r="C944" s="377" t="s">
        <v>4943</v>
      </c>
      <c r="D944" s="6" t="str">
        <f>_xlfn.XLOOKUP(B944,Indices!$A$2:$A$2676,Indices!$B$2:$B$2676,"")</f>
        <v>IWM</v>
      </c>
    </row>
    <row r="945" spans="1:4" x14ac:dyDescent="0.25">
      <c r="A945" s="379">
        <v>45784.25</v>
      </c>
      <c r="B945" s="382" t="s">
        <v>854</v>
      </c>
      <c r="C945" s="377" t="s">
        <v>4943</v>
      </c>
      <c r="D945" s="6" t="str">
        <f>_xlfn.XLOOKUP(B945,Indices!$A$2:$A$2676,Indices!$B$2:$B$2676,"")</f>
        <v>IWM</v>
      </c>
    </row>
    <row r="946" spans="1:4" x14ac:dyDescent="0.25">
      <c r="A946" s="379">
        <v>45784.25</v>
      </c>
      <c r="B946" s="382" t="s">
        <v>317</v>
      </c>
      <c r="C946" s="377" t="s">
        <v>4943</v>
      </c>
      <c r="D946" s="6" t="str">
        <f>_xlfn.XLOOKUP(B946,Indices!$A$2:$A$2676,Indices!$B$2:$B$2676,"")</f>
        <v>IWM</v>
      </c>
    </row>
    <row r="947" spans="1:4" x14ac:dyDescent="0.25">
      <c r="A947" s="379">
        <v>45784.25</v>
      </c>
      <c r="B947" s="382" t="s">
        <v>861</v>
      </c>
      <c r="C947" s="377" t="s">
        <v>4943</v>
      </c>
      <c r="D947" s="6" t="str">
        <f>_xlfn.XLOOKUP(B947,Indices!$A$2:$A$2676,Indices!$B$2:$B$2676,"")</f>
        <v>IWM</v>
      </c>
    </row>
    <row r="948" spans="1:4" x14ac:dyDescent="0.25">
      <c r="A948" s="379">
        <v>45784.25</v>
      </c>
      <c r="B948" s="382" t="s">
        <v>234</v>
      </c>
      <c r="C948" s="377" t="s">
        <v>4943</v>
      </c>
      <c r="D948" s="6" t="str">
        <f>_xlfn.XLOOKUP(B948,Indices!$A$2:$A$2676,Indices!$B$2:$B$2676,"")</f>
        <v>IWM</v>
      </c>
    </row>
    <row r="949" spans="1:4" x14ac:dyDescent="0.25">
      <c r="A949" s="379">
        <v>45784.25</v>
      </c>
      <c r="B949" s="382" t="s">
        <v>3407</v>
      </c>
      <c r="C949" s="377" t="s">
        <v>4943</v>
      </c>
      <c r="D949" s="6" t="str">
        <f>_xlfn.XLOOKUP(B949,Indices!$A$2:$A$2676,Indices!$B$2:$B$2676,"")</f>
        <v/>
      </c>
    </row>
    <row r="950" spans="1:4" x14ac:dyDescent="0.25">
      <c r="A950" s="379">
        <v>45784.25</v>
      </c>
      <c r="B950" s="382" t="s">
        <v>3285</v>
      </c>
      <c r="C950" s="377" t="s">
        <v>4943</v>
      </c>
      <c r="D950" s="6" t="str">
        <f>_xlfn.XLOOKUP(B950,Indices!$A$2:$A$2676,Indices!$B$2:$B$2676,"")</f>
        <v/>
      </c>
    </row>
    <row r="951" spans="1:4" x14ac:dyDescent="0.25">
      <c r="A951" s="379">
        <v>45784.25</v>
      </c>
      <c r="B951" s="382" t="s">
        <v>3284</v>
      </c>
      <c r="C951" s="377" t="s">
        <v>4943</v>
      </c>
      <c r="D951" s="6" t="str">
        <f>_xlfn.XLOOKUP(B951,Indices!$A$2:$A$2676,Indices!$B$2:$B$2676,"")</f>
        <v/>
      </c>
    </row>
    <row r="952" spans="1:4" x14ac:dyDescent="0.25">
      <c r="A952" s="379">
        <v>45784.25</v>
      </c>
      <c r="B952" s="382" t="s">
        <v>3752</v>
      </c>
      <c r="C952" s="377" t="s">
        <v>4943</v>
      </c>
      <c r="D952" s="6" t="str">
        <f>_xlfn.XLOOKUP(B952,Indices!$A$2:$A$2676,Indices!$B$2:$B$2676,"")</f>
        <v/>
      </c>
    </row>
    <row r="953" spans="1:4" x14ac:dyDescent="0.25">
      <c r="A953" s="379">
        <v>45784.250694444447</v>
      </c>
      <c r="B953" s="382" t="s">
        <v>321</v>
      </c>
      <c r="C953" s="377" t="s">
        <v>4944</v>
      </c>
      <c r="D953" s="6" t="str">
        <f>_xlfn.XLOOKUP(B953,Indices!$A$2:$A$2676,Indices!$B$2:$B$2676,"")</f>
        <v>IWM</v>
      </c>
    </row>
    <row r="954" spans="1:4" x14ac:dyDescent="0.25">
      <c r="A954" s="379">
        <v>45784.25277777778</v>
      </c>
      <c r="B954" s="382" t="s">
        <v>1753</v>
      </c>
      <c r="C954" s="377" t="s">
        <v>4945</v>
      </c>
      <c r="D954" s="6" t="str">
        <f>_xlfn.XLOOKUP(B954,Indices!$A$2:$A$2676,Indices!$B$2:$B$2676,"")</f>
        <v>IWM</v>
      </c>
    </row>
    <row r="955" spans="1:4" x14ac:dyDescent="0.25">
      <c r="A955" s="379">
        <v>45784.253472222219</v>
      </c>
      <c r="B955" s="382" t="s">
        <v>3225</v>
      </c>
      <c r="C955" s="377" t="s">
        <v>4946</v>
      </c>
      <c r="D955" s="6" t="str">
        <f>_xlfn.XLOOKUP(B955,Indices!$A$2:$A$2676,Indices!$B$2:$B$2676,"")</f>
        <v/>
      </c>
    </row>
    <row r="956" spans="1:4" x14ac:dyDescent="0.25">
      <c r="A956" s="379">
        <v>45784.253472222219</v>
      </c>
      <c r="B956" s="382" t="s">
        <v>3278</v>
      </c>
      <c r="C956" s="377" t="s">
        <v>4946</v>
      </c>
      <c r="D956" s="6" t="str">
        <f>_xlfn.XLOOKUP(B956,Indices!$A$2:$A$2676,Indices!$B$2:$B$2676,"")</f>
        <v/>
      </c>
    </row>
    <row r="957" spans="1:4" x14ac:dyDescent="0.25">
      <c r="A957" s="379">
        <v>45784.260416666664</v>
      </c>
      <c r="B957" s="382" t="s">
        <v>3286</v>
      </c>
      <c r="C957" s="377" t="s">
        <v>4947</v>
      </c>
      <c r="D957" s="6" t="str">
        <f>_xlfn.XLOOKUP(B957,Indices!$A$2:$A$2676,Indices!$B$2:$B$2676,"")</f>
        <v/>
      </c>
    </row>
    <row r="958" spans="1:4" x14ac:dyDescent="0.25">
      <c r="A958" s="379">
        <v>45784.260416666664</v>
      </c>
      <c r="B958" s="382" t="s">
        <v>3464</v>
      </c>
      <c r="C958" s="377" t="s">
        <v>4947</v>
      </c>
      <c r="D958" s="6" t="str">
        <f>_xlfn.XLOOKUP(B958,Indices!$A$2:$A$2676,Indices!$B$2:$B$2676,"")</f>
        <v/>
      </c>
    </row>
    <row r="959" spans="1:4" x14ac:dyDescent="0.25">
      <c r="A959" s="379">
        <v>45784.260416666664</v>
      </c>
      <c r="B959" s="382" t="s">
        <v>3472</v>
      </c>
      <c r="C959" s="377" t="s">
        <v>4947</v>
      </c>
      <c r="D959" s="6" t="str">
        <f>_xlfn.XLOOKUP(B959,Indices!$A$2:$A$2676,Indices!$B$2:$B$2676,"")</f>
        <v/>
      </c>
    </row>
    <row r="960" spans="1:4" x14ac:dyDescent="0.25">
      <c r="A960" s="379">
        <v>45784.260416666664</v>
      </c>
      <c r="B960" s="382" t="s">
        <v>3231</v>
      </c>
      <c r="C960" s="377" t="s">
        <v>4947</v>
      </c>
      <c r="D960" s="6" t="str">
        <f>_xlfn.XLOOKUP(B960,Indices!$A$2:$A$2676,Indices!$B$2:$B$2676,"")</f>
        <v/>
      </c>
    </row>
    <row r="961" spans="1:4" x14ac:dyDescent="0.25">
      <c r="A961" s="379">
        <v>45784.260416666664</v>
      </c>
      <c r="B961" s="382" t="s">
        <v>3390</v>
      </c>
      <c r="C961" s="377" t="s">
        <v>4947</v>
      </c>
      <c r="D961" s="6" t="str">
        <f>_xlfn.XLOOKUP(B961,Indices!$A$2:$A$2676,Indices!$B$2:$B$2676,"")</f>
        <v/>
      </c>
    </row>
    <row r="962" spans="1:4" x14ac:dyDescent="0.25">
      <c r="A962" s="379">
        <v>45784.260416666664</v>
      </c>
      <c r="B962" s="382" t="s">
        <v>3232</v>
      </c>
      <c r="C962" s="377" t="s">
        <v>4947</v>
      </c>
      <c r="D962" s="6" t="str">
        <f>_xlfn.XLOOKUP(B962,Indices!$A$2:$A$2676,Indices!$B$2:$B$2676,"")</f>
        <v/>
      </c>
    </row>
    <row r="963" spans="1:4" x14ac:dyDescent="0.25">
      <c r="A963" s="379">
        <v>45784.260416666664</v>
      </c>
      <c r="B963" s="382" t="s">
        <v>3282</v>
      </c>
      <c r="C963" s="377" t="s">
        <v>4947</v>
      </c>
      <c r="D963" s="6" t="str">
        <f>_xlfn.XLOOKUP(B963,Indices!$A$2:$A$2676,Indices!$B$2:$B$2676,"")</f>
        <v/>
      </c>
    </row>
    <row r="964" spans="1:4" x14ac:dyDescent="0.25">
      <c r="A964" s="379">
        <v>45784.270833333336</v>
      </c>
      <c r="B964" s="382" t="s">
        <v>261</v>
      </c>
      <c r="C964" s="377" t="s">
        <v>4948</v>
      </c>
      <c r="D964" s="6" t="str">
        <f>_xlfn.XLOOKUP(B964,Indices!$A$2:$A$2676,Indices!$B$2:$B$2676,"")</f>
        <v>IWM</v>
      </c>
    </row>
    <row r="965" spans="1:4" x14ac:dyDescent="0.25">
      <c r="A965" s="379">
        <v>45784.291666666664</v>
      </c>
      <c r="B965" s="382" t="s">
        <v>3247</v>
      </c>
      <c r="C965" s="377" t="s">
        <v>3220</v>
      </c>
      <c r="D965" s="6" t="str">
        <f>_xlfn.XLOOKUP(B965,Indices!$A$2:$A$2676,Indices!$B$2:$B$2676,"")</f>
        <v/>
      </c>
    </row>
    <row r="966" spans="1:4" x14ac:dyDescent="0.25">
      <c r="A966" s="379">
        <v>45784.291666666664</v>
      </c>
      <c r="B966" s="382" t="s">
        <v>3783</v>
      </c>
      <c r="C966" s="377" t="s">
        <v>4949</v>
      </c>
      <c r="D966" s="6" t="str">
        <f>_xlfn.XLOOKUP(B966,Indices!$A$2:$A$2676,Indices!$B$2:$B$2676,"")</f>
        <v/>
      </c>
    </row>
    <row r="967" spans="1:4" x14ac:dyDescent="0.25">
      <c r="A967" s="379">
        <v>45784.291666666664</v>
      </c>
      <c r="B967" s="382" t="s">
        <v>2841</v>
      </c>
      <c r="C967" s="377" t="s">
        <v>3220</v>
      </c>
      <c r="D967" s="6" t="str">
        <f>_xlfn.XLOOKUP(B967,Indices!$A$2:$A$2676,Indices!$B$2:$B$2676,"")</f>
        <v/>
      </c>
    </row>
    <row r="968" spans="1:4" x14ac:dyDescent="0.25">
      <c r="A968" s="379">
        <v>45784.44027777778</v>
      </c>
      <c r="B968" s="382" t="s">
        <v>326</v>
      </c>
      <c r="C968" s="377" t="s">
        <v>4950</v>
      </c>
      <c r="D968" s="6" t="str">
        <f>_xlfn.XLOOKUP(B968,Indices!$A$2:$A$2676,Indices!$B$2:$B$2676,"")</f>
        <v>IWM</v>
      </c>
    </row>
    <row r="969" spans="1:4" x14ac:dyDescent="0.25">
      <c r="A969" s="379">
        <v>45784.583333333336</v>
      </c>
      <c r="B969" s="382" t="s">
        <v>3594</v>
      </c>
      <c r="C969" s="377" t="s">
        <v>4951</v>
      </c>
      <c r="D969" s="6" t="str">
        <f>_xlfn.XLOOKUP(B969,Indices!$A$2:$A$2676,Indices!$B$2:$B$2676,"")</f>
        <v/>
      </c>
    </row>
    <row r="970" spans="1:4" x14ac:dyDescent="0.25">
      <c r="A970" s="379">
        <v>45784.583333333336</v>
      </c>
      <c r="B970" s="382" t="s">
        <v>3362</v>
      </c>
      <c r="C970" s="377" t="s">
        <v>4951</v>
      </c>
      <c r="D970" s="6" t="str">
        <f>_xlfn.XLOOKUP(B970,Indices!$A$2:$A$2676,Indices!$B$2:$B$2676,"")</f>
        <v/>
      </c>
    </row>
    <row r="971" spans="1:4" x14ac:dyDescent="0.25">
      <c r="A971" s="379">
        <v>45784.583333333336</v>
      </c>
      <c r="B971" s="382" t="s">
        <v>331</v>
      </c>
      <c r="C971" s="377" t="s">
        <v>4951</v>
      </c>
      <c r="D971" s="6" t="str">
        <f>_xlfn.XLOOKUP(B971,Indices!$A$2:$A$2676,Indices!$B$2:$B$2676,"")</f>
        <v>IWM</v>
      </c>
    </row>
    <row r="972" spans="1:4" x14ac:dyDescent="0.25">
      <c r="A972" s="379">
        <v>45784.583333333336</v>
      </c>
      <c r="B972" s="382" t="s">
        <v>2503</v>
      </c>
      <c r="C972" s="377" t="s">
        <v>4951</v>
      </c>
      <c r="D972" s="6" t="str">
        <f>_xlfn.XLOOKUP(B972,Indices!$A$2:$A$2676,Indices!$B$2:$B$2676,"")</f>
        <v>S&amp;P Mid</v>
      </c>
    </row>
    <row r="973" spans="1:4" x14ac:dyDescent="0.25">
      <c r="A973" s="379">
        <v>45784.583333333336</v>
      </c>
      <c r="B973" s="382" t="s">
        <v>3602</v>
      </c>
      <c r="C973" s="377" t="s">
        <v>4951</v>
      </c>
      <c r="D973" s="6" t="str">
        <f>_xlfn.XLOOKUP(B973,Indices!$A$2:$A$2676,Indices!$B$2:$B$2676,"")</f>
        <v/>
      </c>
    </row>
    <row r="974" spans="1:4" x14ac:dyDescent="0.25">
      <c r="A974" s="379">
        <v>45784.583333333336</v>
      </c>
      <c r="B974" s="382" t="s">
        <v>649</v>
      </c>
      <c r="C974" s="377" t="s">
        <v>4951</v>
      </c>
      <c r="D974" s="6" t="str">
        <f>_xlfn.XLOOKUP(B974,Indices!$A$2:$A$2676,Indices!$B$2:$B$2676,"")</f>
        <v>IWM</v>
      </c>
    </row>
    <row r="975" spans="1:4" x14ac:dyDescent="0.25">
      <c r="A975" s="379">
        <v>45784.583333333336</v>
      </c>
      <c r="B975" s="382" t="s">
        <v>3070</v>
      </c>
      <c r="C975" s="377" t="s">
        <v>4951</v>
      </c>
      <c r="D975" s="6" t="str">
        <f>_xlfn.XLOOKUP(B975,Indices!$A$2:$A$2676,Indices!$B$2:$B$2676,"")</f>
        <v/>
      </c>
    </row>
    <row r="976" spans="1:4" x14ac:dyDescent="0.25">
      <c r="A976" s="379">
        <v>45784.583333333336</v>
      </c>
      <c r="B976" s="382" t="s">
        <v>3224</v>
      </c>
      <c r="C976" s="377" t="s">
        <v>4951</v>
      </c>
      <c r="D976" s="6" t="str">
        <f>_xlfn.XLOOKUP(B976,Indices!$A$2:$A$2676,Indices!$B$2:$B$2676,"")</f>
        <v/>
      </c>
    </row>
    <row r="977" spans="1:4" x14ac:dyDescent="0.25">
      <c r="A977" s="379">
        <v>45784.583333333336</v>
      </c>
      <c r="B977" s="382" t="s">
        <v>1020</v>
      </c>
      <c r="C977" s="377" t="s">
        <v>4951</v>
      </c>
      <c r="D977" s="6" t="str">
        <f>_xlfn.XLOOKUP(B977,Indices!$A$2:$A$2676,Indices!$B$2:$B$2676,"")</f>
        <v>S&amp;P Mid</v>
      </c>
    </row>
    <row r="978" spans="1:4" x14ac:dyDescent="0.25">
      <c r="A978" s="379">
        <v>45784.583333333336</v>
      </c>
      <c r="B978" s="382" t="s">
        <v>3293</v>
      </c>
      <c r="C978" s="377" t="s">
        <v>4951</v>
      </c>
      <c r="D978" s="6" t="str">
        <f>_xlfn.XLOOKUP(B978,Indices!$A$2:$A$2676,Indices!$B$2:$B$2676,"")</f>
        <v/>
      </c>
    </row>
    <row r="979" spans="1:4" x14ac:dyDescent="0.25">
      <c r="A979" s="379">
        <v>45784.583333333336</v>
      </c>
      <c r="B979" s="382" t="s">
        <v>382</v>
      </c>
      <c r="C979" s="377" t="s">
        <v>4951</v>
      </c>
      <c r="D979" s="6" t="str">
        <f>_xlfn.XLOOKUP(B979,Indices!$A$2:$A$2676,Indices!$B$2:$B$2676,"")</f>
        <v>IWM</v>
      </c>
    </row>
    <row r="980" spans="1:4" x14ac:dyDescent="0.25">
      <c r="A980" s="379">
        <v>45784.583333333336</v>
      </c>
      <c r="B980" s="382" t="s">
        <v>3384</v>
      </c>
      <c r="C980" s="377" t="s">
        <v>4951</v>
      </c>
      <c r="D980" s="6" t="str">
        <f>_xlfn.XLOOKUP(B980,Indices!$A$2:$A$2676,Indices!$B$2:$B$2676,"")</f>
        <v/>
      </c>
    </row>
    <row r="981" spans="1:4" x14ac:dyDescent="0.25">
      <c r="A981" s="379">
        <v>45784.583333333336</v>
      </c>
      <c r="B981" s="382" t="s">
        <v>499</v>
      </c>
      <c r="C981" s="377" t="s">
        <v>4951</v>
      </c>
      <c r="D981" s="6" t="str">
        <f>_xlfn.XLOOKUP(B981,Indices!$A$2:$A$2676,Indices!$B$2:$B$2676,"")</f>
        <v>IWM</v>
      </c>
    </row>
    <row r="982" spans="1:4" x14ac:dyDescent="0.25">
      <c r="A982" s="379">
        <v>45784.583333333336</v>
      </c>
      <c r="B982" s="382" t="s">
        <v>1128</v>
      </c>
      <c r="C982" s="377" t="s">
        <v>4951</v>
      </c>
      <c r="D982" s="6" t="str">
        <f>_xlfn.XLOOKUP(B982,Indices!$A$2:$A$2676,Indices!$B$2:$B$2676,"")</f>
        <v>IWM</v>
      </c>
    </row>
    <row r="983" spans="1:4" x14ac:dyDescent="0.25">
      <c r="A983" s="379">
        <v>45784.584027777775</v>
      </c>
      <c r="B983" s="382" t="s">
        <v>655</v>
      </c>
      <c r="C983" s="377" t="s">
        <v>4952</v>
      </c>
      <c r="D983" s="6" t="str">
        <f>_xlfn.XLOOKUP(B983,Indices!$A$2:$A$2676,Indices!$B$2:$B$2676,"")</f>
        <v>IWM</v>
      </c>
    </row>
    <row r="984" spans="1:4" x14ac:dyDescent="0.25">
      <c r="A984" s="379">
        <v>45784.584027777775</v>
      </c>
      <c r="B984" s="382" t="s">
        <v>657</v>
      </c>
      <c r="C984" s="377" t="s">
        <v>4952</v>
      </c>
      <c r="D984" s="6" t="str">
        <f>_xlfn.XLOOKUP(B984,Indices!$A$2:$A$2676,Indices!$B$2:$B$2676,"")</f>
        <v>SP500</v>
      </c>
    </row>
    <row r="985" spans="1:4" x14ac:dyDescent="0.25">
      <c r="A985" s="379">
        <v>45784.584027777775</v>
      </c>
      <c r="B985" s="382" t="s">
        <v>2988</v>
      </c>
      <c r="C985" s="377" t="s">
        <v>4952</v>
      </c>
      <c r="D985" s="6" t="str">
        <f>_xlfn.XLOOKUP(B985,Indices!$A$2:$A$2676,Indices!$B$2:$B$2676,"")</f>
        <v/>
      </c>
    </row>
    <row r="986" spans="1:4" x14ac:dyDescent="0.25">
      <c r="A986" s="379">
        <v>45784.584027777775</v>
      </c>
      <c r="B986" s="382" t="s">
        <v>347</v>
      </c>
      <c r="C986" s="377" t="s">
        <v>4952</v>
      </c>
      <c r="D986" s="6" t="str">
        <f>_xlfn.XLOOKUP(B986,Indices!$A$2:$A$2676,Indices!$B$2:$B$2676,"")</f>
        <v>IWM</v>
      </c>
    </row>
    <row r="987" spans="1:4" x14ac:dyDescent="0.25">
      <c r="A987" s="379">
        <v>45784.584027777775</v>
      </c>
      <c r="B987" s="382" t="s">
        <v>948</v>
      </c>
      <c r="C987" s="377" t="s">
        <v>4952</v>
      </c>
      <c r="D987" s="6" t="str">
        <f>_xlfn.XLOOKUP(B987,Indices!$A$2:$A$2676,Indices!$B$2:$B$2676,"")</f>
        <v>SP500</v>
      </c>
    </row>
    <row r="988" spans="1:4" x14ac:dyDescent="0.25">
      <c r="A988" s="379">
        <v>45784.584027777775</v>
      </c>
      <c r="B988" s="382" t="s">
        <v>3321</v>
      </c>
      <c r="C988" s="377" t="s">
        <v>4952</v>
      </c>
      <c r="D988" s="6" t="str">
        <f>_xlfn.XLOOKUP(B988,Indices!$A$2:$A$2676,Indices!$B$2:$B$2676,"")</f>
        <v/>
      </c>
    </row>
    <row r="989" spans="1:4" x14ac:dyDescent="0.25">
      <c r="A989" s="379">
        <v>45784.584027777775</v>
      </c>
      <c r="B989" s="382" t="s">
        <v>395</v>
      </c>
      <c r="C989" s="377" t="s">
        <v>4952</v>
      </c>
      <c r="D989" s="6" t="str">
        <f>_xlfn.XLOOKUP(B989,Indices!$A$2:$A$2676,Indices!$B$2:$B$2676,"")</f>
        <v>IWM</v>
      </c>
    </row>
    <row r="990" spans="1:4" x14ac:dyDescent="0.25">
      <c r="A990" s="379">
        <v>45784.584027777775</v>
      </c>
      <c r="B990" s="382" t="s">
        <v>341</v>
      </c>
      <c r="C990" s="377" t="s">
        <v>4952</v>
      </c>
      <c r="D990" s="6" t="str">
        <f>_xlfn.XLOOKUP(B990,Indices!$A$2:$A$2676,Indices!$B$2:$B$2676,"")</f>
        <v>NQ100</v>
      </c>
    </row>
    <row r="991" spans="1:4" x14ac:dyDescent="0.25">
      <c r="A991" s="379">
        <v>45784.584027777775</v>
      </c>
      <c r="B991" s="382" t="s">
        <v>348</v>
      </c>
      <c r="C991" s="377" t="s">
        <v>4952</v>
      </c>
      <c r="D991" s="6" t="str">
        <f>_xlfn.XLOOKUP(B991,Indices!$A$2:$A$2676,Indices!$B$2:$B$2676,"")</f>
        <v>IWM</v>
      </c>
    </row>
    <row r="992" spans="1:4" x14ac:dyDescent="0.25">
      <c r="A992" s="379">
        <v>45784.584027777775</v>
      </c>
      <c r="B992" s="382" t="s">
        <v>335</v>
      </c>
      <c r="C992" s="377" t="s">
        <v>4952</v>
      </c>
      <c r="D992" s="6" t="str">
        <f>_xlfn.XLOOKUP(B992,Indices!$A$2:$A$2676,Indices!$B$2:$B$2676,"")</f>
        <v>IWM</v>
      </c>
    </row>
    <row r="993" spans="1:4" x14ac:dyDescent="0.25">
      <c r="A993" s="379">
        <v>45784.584027777775</v>
      </c>
      <c r="B993" s="382" t="s">
        <v>3313</v>
      </c>
      <c r="C993" s="377" t="s">
        <v>4952</v>
      </c>
      <c r="D993" s="6" t="str">
        <f>_xlfn.XLOOKUP(B993,Indices!$A$2:$A$2676,Indices!$B$2:$B$2676,"")</f>
        <v/>
      </c>
    </row>
    <row r="994" spans="1:4" x14ac:dyDescent="0.25">
      <c r="A994" s="379">
        <v>45784.584027777775</v>
      </c>
      <c r="B994" s="382" t="s">
        <v>74</v>
      </c>
      <c r="C994" s="377" t="s">
        <v>4952</v>
      </c>
      <c r="D994" s="6" t="str">
        <f>_xlfn.XLOOKUP(B994,Indices!$A$2:$A$2676,Indices!$B$2:$B$2676,"")</f>
        <v>IWM</v>
      </c>
    </row>
    <row r="995" spans="1:4" x14ac:dyDescent="0.25">
      <c r="A995" s="379">
        <v>45784.584027777775</v>
      </c>
      <c r="B995" s="382" t="s">
        <v>3535</v>
      </c>
      <c r="C995" s="377" t="s">
        <v>4952</v>
      </c>
      <c r="D995" s="6" t="str">
        <f>_xlfn.XLOOKUP(B995,Indices!$A$2:$A$2676,Indices!$B$2:$B$2676,"")</f>
        <v/>
      </c>
    </row>
    <row r="996" spans="1:4" x14ac:dyDescent="0.25">
      <c r="A996" s="379">
        <v>45784.584027777775</v>
      </c>
      <c r="B996" s="382" t="s">
        <v>342</v>
      </c>
      <c r="C996" s="377" t="s">
        <v>4952</v>
      </c>
      <c r="D996" s="6" t="str">
        <f>_xlfn.XLOOKUP(B996,Indices!$A$2:$A$2676,Indices!$B$2:$B$2676,"")</f>
        <v>IWM</v>
      </c>
    </row>
    <row r="997" spans="1:4" x14ac:dyDescent="0.25">
      <c r="A997" s="379">
        <v>45784.584027777775</v>
      </c>
      <c r="B997" s="382" t="s">
        <v>352</v>
      </c>
      <c r="C997" s="377" t="s">
        <v>4952</v>
      </c>
      <c r="D997" s="6" t="str">
        <f>_xlfn.XLOOKUP(B997,Indices!$A$2:$A$2676,Indices!$B$2:$B$2676,"")</f>
        <v>NQ100</v>
      </c>
    </row>
    <row r="998" spans="1:4" x14ac:dyDescent="0.25">
      <c r="A998" s="379">
        <v>45784.584027777775</v>
      </c>
      <c r="B998" s="382" t="s">
        <v>73</v>
      </c>
      <c r="C998" s="377" t="s">
        <v>4952</v>
      </c>
      <c r="D998" s="6" t="str">
        <f>_xlfn.XLOOKUP(B998,Indices!$A$2:$A$2676,Indices!$B$2:$B$2676,"")</f>
        <v>IWM</v>
      </c>
    </row>
    <row r="999" spans="1:4" x14ac:dyDescent="0.25">
      <c r="A999" s="379">
        <v>45784.584027777775</v>
      </c>
      <c r="B999" s="382" t="s">
        <v>931</v>
      </c>
      <c r="C999" s="377" t="s">
        <v>4952</v>
      </c>
      <c r="D999" s="6" t="str">
        <f>_xlfn.XLOOKUP(B999,Indices!$A$2:$A$2676,Indices!$B$2:$B$2676,"")</f>
        <v>IWM</v>
      </c>
    </row>
    <row r="1000" spans="1:4" x14ac:dyDescent="0.25">
      <c r="A1000" s="379">
        <v>45784.584027777775</v>
      </c>
      <c r="B1000" s="382" t="s">
        <v>3235</v>
      </c>
      <c r="C1000" s="377" t="s">
        <v>4952</v>
      </c>
      <c r="D1000" s="6" t="str">
        <f>_xlfn.XLOOKUP(B1000,Indices!$A$2:$A$2676,Indices!$B$2:$B$2676,"")</f>
        <v/>
      </c>
    </row>
    <row r="1001" spans="1:4" x14ac:dyDescent="0.25">
      <c r="A1001" s="379">
        <v>45784.584027777775</v>
      </c>
      <c r="B1001" s="382" t="s">
        <v>3670</v>
      </c>
      <c r="C1001" s="377" t="s">
        <v>4952</v>
      </c>
      <c r="D1001" s="6" t="str">
        <f>_xlfn.XLOOKUP(B1001,Indices!$A$2:$A$2676,Indices!$B$2:$B$2676,"")</f>
        <v/>
      </c>
    </row>
    <row r="1002" spans="1:4" x14ac:dyDescent="0.25">
      <c r="A1002" s="379">
        <v>45784.584027777775</v>
      </c>
      <c r="B1002" s="382" t="s">
        <v>1129</v>
      </c>
      <c r="C1002" s="377" t="s">
        <v>4952</v>
      </c>
      <c r="D1002" s="6" t="str">
        <f>_xlfn.XLOOKUP(B1002,Indices!$A$2:$A$2676,Indices!$B$2:$B$2676,"")</f>
        <v>IWM</v>
      </c>
    </row>
    <row r="1003" spans="1:4" x14ac:dyDescent="0.25">
      <c r="A1003" s="379">
        <v>45784.584027777775</v>
      </c>
      <c r="B1003" s="382" t="s">
        <v>218</v>
      </c>
      <c r="C1003" s="377" t="s">
        <v>4952</v>
      </c>
      <c r="D1003" s="6" t="str">
        <f>_xlfn.XLOOKUP(B1003,Indices!$A$2:$A$2676,Indices!$B$2:$B$2676,"")</f>
        <v>IWM</v>
      </c>
    </row>
    <row r="1004" spans="1:4" x14ac:dyDescent="0.25">
      <c r="A1004" s="379">
        <v>45784.584027777775</v>
      </c>
      <c r="B1004" s="382" t="s">
        <v>1954</v>
      </c>
      <c r="C1004" s="377" t="s">
        <v>4952</v>
      </c>
      <c r="D1004" s="6" t="str">
        <f>_xlfn.XLOOKUP(B1004,Indices!$A$2:$A$2676,Indices!$B$2:$B$2676,"")</f>
        <v>IWM</v>
      </c>
    </row>
    <row r="1005" spans="1:4" x14ac:dyDescent="0.25">
      <c r="A1005" s="379">
        <v>45784.584722222222</v>
      </c>
      <c r="B1005" s="382" t="s">
        <v>1029</v>
      </c>
      <c r="C1005" s="377" t="s">
        <v>4953</v>
      </c>
      <c r="D1005" s="6" t="str">
        <f>_xlfn.XLOOKUP(B1005,Indices!$A$2:$A$2676,Indices!$B$2:$B$2676,"")</f>
        <v>IWM</v>
      </c>
    </row>
    <row r="1006" spans="1:4" x14ac:dyDescent="0.25">
      <c r="A1006" s="379">
        <v>45784.584722222222</v>
      </c>
      <c r="B1006" s="382" t="s">
        <v>829</v>
      </c>
      <c r="C1006" s="377" t="s">
        <v>4953</v>
      </c>
      <c r="D1006" s="6" t="str">
        <f>_xlfn.XLOOKUP(B1006,Indices!$A$2:$A$2676,Indices!$B$2:$B$2676,"")</f>
        <v>IWM</v>
      </c>
    </row>
    <row r="1007" spans="1:4" x14ac:dyDescent="0.25">
      <c r="A1007" s="379">
        <v>45784.584722222222</v>
      </c>
      <c r="B1007" s="382" t="s">
        <v>1134</v>
      </c>
      <c r="C1007" s="377" t="s">
        <v>4953</v>
      </c>
      <c r="D1007" s="6" t="str">
        <f>_xlfn.XLOOKUP(B1007,Indices!$A$2:$A$2676,Indices!$B$2:$B$2676,"")</f>
        <v>IWM</v>
      </c>
    </row>
    <row r="1008" spans="1:4" x14ac:dyDescent="0.25">
      <c r="A1008" s="379">
        <v>45784.584722222222</v>
      </c>
      <c r="B1008" s="382" t="s">
        <v>3621</v>
      </c>
      <c r="C1008" s="377" t="s">
        <v>4953</v>
      </c>
      <c r="D1008" s="6" t="str">
        <f>_xlfn.XLOOKUP(B1008,Indices!$A$2:$A$2676,Indices!$B$2:$B$2676,"")</f>
        <v/>
      </c>
    </row>
    <row r="1009" spans="1:4" x14ac:dyDescent="0.25">
      <c r="A1009" s="379">
        <v>45784.584722222222</v>
      </c>
      <c r="B1009" s="382" t="s">
        <v>349</v>
      </c>
      <c r="C1009" s="377" t="s">
        <v>4953</v>
      </c>
      <c r="D1009" s="6" t="str">
        <f>_xlfn.XLOOKUP(B1009,Indices!$A$2:$A$2676,Indices!$B$2:$B$2676,"")</f>
        <v>IWM</v>
      </c>
    </row>
    <row r="1010" spans="1:4" x14ac:dyDescent="0.25">
      <c r="A1010" s="379">
        <v>45784.584722222222</v>
      </c>
      <c r="B1010" s="382" t="s">
        <v>1138</v>
      </c>
      <c r="C1010" s="377" t="s">
        <v>4953</v>
      </c>
      <c r="D1010" s="6" t="str">
        <f>_xlfn.XLOOKUP(B1010,Indices!$A$2:$A$2676,Indices!$B$2:$B$2676,"")</f>
        <v>IWM</v>
      </c>
    </row>
    <row r="1011" spans="1:4" x14ac:dyDescent="0.25">
      <c r="A1011" s="379">
        <v>45784.584722222222</v>
      </c>
      <c r="B1011" s="382" t="s">
        <v>3378</v>
      </c>
      <c r="C1011" s="377" t="s">
        <v>4953</v>
      </c>
      <c r="D1011" s="6" t="str">
        <f>_xlfn.XLOOKUP(B1011,Indices!$A$2:$A$2676,Indices!$B$2:$B$2676,"")</f>
        <v/>
      </c>
    </row>
    <row r="1012" spans="1:4" x14ac:dyDescent="0.25">
      <c r="A1012" s="379">
        <v>45784.584722222222</v>
      </c>
      <c r="B1012" s="382" t="s">
        <v>3305</v>
      </c>
      <c r="C1012" s="377" t="s">
        <v>4953</v>
      </c>
      <c r="D1012" s="6" t="str">
        <f>_xlfn.XLOOKUP(B1012,Indices!$A$2:$A$2676,Indices!$B$2:$B$2676,"")</f>
        <v/>
      </c>
    </row>
    <row r="1013" spans="1:4" x14ac:dyDescent="0.25">
      <c r="A1013" s="379">
        <v>45784.584722222222</v>
      </c>
      <c r="B1013" s="382" t="s">
        <v>660</v>
      </c>
      <c r="C1013" s="377" t="s">
        <v>4953</v>
      </c>
      <c r="D1013" s="6" t="str">
        <f>_xlfn.XLOOKUP(B1013,Indices!$A$2:$A$2676,Indices!$B$2:$B$2676,"")</f>
        <v>IWM</v>
      </c>
    </row>
    <row r="1014" spans="1:4" x14ac:dyDescent="0.25">
      <c r="A1014" s="379">
        <v>45784.584722222222</v>
      </c>
      <c r="B1014" s="382" t="s">
        <v>3353</v>
      </c>
      <c r="C1014" s="377" t="s">
        <v>4953</v>
      </c>
      <c r="D1014" s="6" t="str">
        <f>_xlfn.XLOOKUP(B1014,Indices!$A$2:$A$2676,Indices!$B$2:$B$2676,"")</f>
        <v/>
      </c>
    </row>
    <row r="1015" spans="1:4" x14ac:dyDescent="0.25">
      <c r="A1015" s="379">
        <v>45784.584722222222</v>
      </c>
      <c r="B1015" s="382" t="s">
        <v>851</v>
      </c>
      <c r="C1015" s="377" t="s">
        <v>4953</v>
      </c>
      <c r="D1015" s="6" t="str">
        <f>_xlfn.XLOOKUP(B1015,Indices!$A$2:$A$2676,Indices!$B$2:$B$2676,"")</f>
        <v>S&amp;P Mid</v>
      </c>
    </row>
    <row r="1016" spans="1:4" x14ac:dyDescent="0.25">
      <c r="A1016" s="379">
        <v>45784.585416666669</v>
      </c>
      <c r="B1016" s="382" t="s">
        <v>353</v>
      </c>
      <c r="C1016" s="377" t="s">
        <v>4954</v>
      </c>
      <c r="D1016" s="6" t="str">
        <f>_xlfn.XLOOKUP(B1016,Indices!$A$2:$A$2676,Indices!$B$2:$B$2676,"")</f>
        <v>IWM</v>
      </c>
    </row>
    <row r="1017" spans="1:4" x14ac:dyDescent="0.25">
      <c r="A1017" s="379">
        <v>45784.586805555555</v>
      </c>
      <c r="B1017" s="382" t="s">
        <v>767</v>
      </c>
      <c r="C1017" s="377" t="s">
        <v>4955</v>
      </c>
      <c r="D1017" s="6" t="str">
        <f>_xlfn.XLOOKUP(B1017,Indices!$A$2:$A$2676,Indices!$B$2:$B$2676,"")</f>
        <v>IWM</v>
      </c>
    </row>
    <row r="1018" spans="1:4" x14ac:dyDescent="0.25">
      <c r="A1018" s="379">
        <v>45784.586805555555</v>
      </c>
      <c r="B1018" s="382" t="s">
        <v>4545</v>
      </c>
      <c r="C1018" s="377" t="s">
        <v>4955</v>
      </c>
      <c r="D1018" s="6" t="str">
        <f>_xlfn.XLOOKUP(B1018,Indices!$A$2:$A$2676,Indices!$B$2:$B$2676,"")</f>
        <v/>
      </c>
    </row>
    <row r="1019" spans="1:4" x14ac:dyDescent="0.25">
      <c r="A1019" s="379">
        <v>45784.586805555555</v>
      </c>
      <c r="B1019" s="382" t="s">
        <v>3635</v>
      </c>
      <c r="C1019" s="377" t="s">
        <v>4955</v>
      </c>
      <c r="D1019" s="6" t="str">
        <f>_xlfn.XLOOKUP(B1019,Indices!$A$2:$A$2676,Indices!$B$2:$B$2676,"")</f>
        <v/>
      </c>
    </row>
    <row r="1020" spans="1:4" x14ac:dyDescent="0.25">
      <c r="A1020" s="379">
        <v>45784.586805555555</v>
      </c>
      <c r="B1020" s="382" t="s">
        <v>700</v>
      </c>
      <c r="C1020" s="377" t="s">
        <v>4955</v>
      </c>
      <c r="D1020" s="6" t="str">
        <f>_xlfn.XLOOKUP(B1020,Indices!$A$2:$A$2676,Indices!$B$2:$B$2676,"")</f>
        <v>IWM</v>
      </c>
    </row>
    <row r="1021" spans="1:4" x14ac:dyDescent="0.25">
      <c r="A1021" s="379">
        <v>45784.586805555555</v>
      </c>
      <c r="B1021" s="382" t="s">
        <v>712</v>
      </c>
      <c r="C1021" s="377" t="s">
        <v>4955</v>
      </c>
      <c r="D1021" s="6" t="str">
        <f>_xlfn.XLOOKUP(B1021,Indices!$A$2:$A$2676,Indices!$B$2:$B$2676,"")</f>
        <v>SP500</v>
      </c>
    </row>
    <row r="1022" spans="1:4" x14ac:dyDescent="0.25">
      <c r="A1022" s="379">
        <v>45784.586805555555</v>
      </c>
      <c r="B1022" s="382" t="s">
        <v>975</v>
      </c>
      <c r="C1022" s="377" t="s">
        <v>4955</v>
      </c>
      <c r="D1022" s="6" t="str">
        <f>_xlfn.XLOOKUP(B1022,Indices!$A$2:$A$2676,Indices!$B$2:$B$2676,"")</f>
        <v>IWM</v>
      </c>
    </row>
    <row r="1023" spans="1:4" x14ac:dyDescent="0.25">
      <c r="A1023" s="379">
        <v>45784.586805555555</v>
      </c>
      <c r="B1023" s="382" t="s">
        <v>82</v>
      </c>
      <c r="C1023" s="377" t="s">
        <v>4955</v>
      </c>
      <c r="D1023" s="6" t="str">
        <f>_xlfn.XLOOKUP(B1023,Indices!$A$2:$A$2676,Indices!$B$2:$B$2676,"")</f>
        <v>IWM</v>
      </c>
    </row>
    <row r="1024" spans="1:4" x14ac:dyDescent="0.25">
      <c r="A1024" s="379">
        <v>45784.586805555555</v>
      </c>
      <c r="B1024" s="382" t="s">
        <v>951</v>
      </c>
      <c r="C1024" s="377" t="s">
        <v>4955</v>
      </c>
      <c r="D1024" s="6" t="str">
        <f>_xlfn.XLOOKUP(B1024,Indices!$A$2:$A$2676,Indices!$B$2:$B$2676,"")</f>
        <v>S&amp;P Mid</v>
      </c>
    </row>
    <row r="1025" spans="1:4" x14ac:dyDescent="0.25">
      <c r="A1025" s="379">
        <v>45784.586805555555</v>
      </c>
      <c r="B1025" s="382" t="s">
        <v>112</v>
      </c>
      <c r="C1025" s="377" t="s">
        <v>4955</v>
      </c>
      <c r="D1025" s="6" t="str">
        <f>_xlfn.XLOOKUP(B1025,Indices!$A$2:$A$2676,Indices!$B$2:$B$2676,"")</f>
        <v>IWM</v>
      </c>
    </row>
    <row r="1026" spans="1:4" x14ac:dyDescent="0.25">
      <c r="A1026" s="379">
        <v>45784.586805555555</v>
      </c>
      <c r="B1026" s="382" t="s">
        <v>368</v>
      </c>
      <c r="C1026" s="377" t="s">
        <v>4955</v>
      </c>
      <c r="D1026" s="6" t="str">
        <f>_xlfn.XLOOKUP(B1026,Indices!$A$2:$A$2676,Indices!$B$2:$B$2676,"")</f>
        <v>IWM</v>
      </c>
    </row>
    <row r="1027" spans="1:4" x14ac:dyDescent="0.25">
      <c r="A1027" s="379">
        <v>45784.586805555555</v>
      </c>
      <c r="B1027" s="382" t="s">
        <v>2242</v>
      </c>
      <c r="C1027" s="377" t="s">
        <v>4955</v>
      </c>
      <c r="D1027" s="6" t="str">
        <f>_xlfn.XLOOKUP(B1027,Indices!$A$2:$A$2676,Indices!$B$2:$B$2676,"")</f>
        <v>IWM</v>
      </c>
    </row>
    <row r="1028" spans="1:4" x14ac:dyDescent="0.25">
      <c r="A1028" s="379">
        <v>45784.586805555555</v>
      </c>
      <c r="B1028" s="382" t="s">
        <v>686</v>
      </c>
      <c r="C1028" s="377" t="s">
        <v>4955</v>
      </c>
      <c r="D1028" s="6" t="str">
        <f>_xlfn.XLOOKUP(B1028,Indices!$A$2:$A$2676,Indices!$B$2:$B$2676,"")</f>
        <v>IWM</v>
      </c>
    </row>
    <row r="1029" spans="1:4" x14ac:dyDescent="0.25">
      <c r="A1029" s="379">
        <v>45784.586805555555</v>
      </c>
      <c r="B1029" s="382" t="s">
        <v>397</v>
      </c>
      <c r="C1029" s="377" t="s">
        <v>4955</v>
      </c>
      <c r="D1029" s="6" t="str">
        <f>_xlfn.XLOOKUP(B1029,Indices!$A$2:$A$2676,Indices!$B$2:$B$2676,"")</f>
        <v>IWM</v>
      </c>
    </row>
    <row r="1030" spans="1:4" x14ac:dyDescent="0.25">
      <c r="A1030" s="379">
        <v>45784.586805555555</v>
      </c>
      <c r="B1030" s="382" t="s">
        <v>1106</v>
      </c>
      <c r="C1030" s="377" t="s">
        <v>4955</v>
      </c>
      <c r="D1030" s="6" t="str">
        <f>_xlfn.XLOOKUP(B1030,Indices!$A$2:$A$2676,Indices!$B$2:$B$2676,"")</f>
        <v>IWM</v>
      </c>
    </row>
    <row r="1031" spans="1:4" x14ac:dyDescent="0.25">
      <c r="A1031" s="379">
        <v>45784.586805555555</v>
      </c>
      <c r="B1031" s="382" t="s">
        <v>3347</v>
      </c>
      <c r="C1031" s="377" t="s">
        <v>4955</v>
      </c>
      <c r="D1031" s="6" t="str">
        <f>_xlfn.XLOOKUP(B1031,Indices!$A$2:$A$2676,Indices!$B$2:$B$2676,"")</f>
        <v/>
      </c>
    </row>
    <row r="1032" spans="1:4" x14ac:dyDescent="0.25">
      <c r="A1032" s="379">
        <v>45784.586805555555</v>
      </c>
      <c r="B1032" s="382" t="s">
        <v>2559</v>
      </c>
      <c r="C1032" s="377" t="s">
        <v>4955</v>
      </c>
      <c r="D1032" s="6" t="str">
        <f>_xlfn.XLOOKUP(B1032,Indices!$A$2:$A$2676,Indices!$B$2:$B$2676,"")</f>
        <v/>
      </c>
    </row>
    <row r="1033" spans="1:4" x14ac:dyDescent="0.25">
      <c r="A1033" s="379">
        <v>45784.586805555555</v>
      </c>
      <c r="B1033" s="382" t="s">
        <v>3342</v>
      </c>
      <c r="C1033" s="377" t="s">
        <v>4955</v>
      </c>
      <c r="D1033" s="6" t="str">
        <f>_xlfn.XLOOKUP(B1033,Indices!$A$2:$A$2676,Indices!$B$2:$B$2676,"")</f>
        <v/>
      </c>
    </row>
    <row r="1034" spans="1:4" x14ac:dyDescent="0.25">
      <c r="A1034" s="379">
        <v>45784.586805555555</v>
      </c>
      <c r="B1034" s="382" t="s">
        <v>303</v>
      </c>
      <c r="C1034" s="377" t="s">
        <v>4955</v>
      </c>
      <c r="D1034" s="6" t="str">
        <f>_xlfn.XLOOKUP(B1034,Indices!$A$2:$A$2676,Indices!$B$2:$B$2676,"")</f>
        <v>IWM</v>
      </c>
    </row>
    <row r="1035" spans="1:4" x14ac:dyDescent="0.25">
      <c r="A1035" s="379">
        <v>45784.586805555555</v>
      </c>
      <c r="B1035" s="382" t="s">
        <v>3348</v>
      </c>
      <c r="C1035" s="377" t="s">
        <v>4955</v>
      </c>
      <c r="D1035" s="6" t="str">
        <f>_xlfn.XLOOKUP(B1035,Indices!$A$2:$A$2676,Indices!$B$2:$B$2676,"")</f>
        <v/>
      </c>
    </row>
    <row r="1036" spans="1:4" x14ac:dyDescent="0.25">
      <c r="A1036" s="379">
        <v>45784.586805555555</v>
      </c>
      <c r="B1036" s="382" t="s">
        <v>3336</v>
      </c>
      <c r="C1036" s="377" t="s">
        <v>4955</v>
      </c>
      <c r="D1036" s="6" t="str">
        <f>_xlfn.XLOOKUP(B1036,Indices!$A$2:$A$2676,Indices!$B$2:$B$2676,"")</f>
        <v/>
      </c>
    </row>
    <row r="1037" spans="1:4" x14ac:dyDescent="0.25">
      <c r="A1037" s="379">
        <v>45784.586805555555</v>
      </c>
      <c r="B1037" s="382" t="s">
        <v>3190</v>
      </c>
      <c r="C1037" s="377" t="s">
        <v>4955</v>
      </c>
      <c r="D1037" s="6" t="str">
        <f>_xlfn.XLOOKUP(B1037,Indices!$A$2:$A$2676,Indices!$B$2:$B$2676,"")</f>
        <v/>
      </c>
    </row>
    <row r="1038" spans="1:4" x14ac:dyDescent="0.25">
      <c r="A1038" s="379">
        <v>45784.586805555555</v>
      </c>
      <c r="B1038" s="382" t="s">
        <v>403</v>
      </c>
      <c r="C1038" s="377" t="s">
        <v>4955</v>
      </c>
      <c r="D1038" s="6" t="str">
        <f>_xlfn.XLOOKUP(B1038,Indices!$A$2:$A$2676,Indices!$B$2:$B$2676,"")</f>
        <v>IWM</v>
      </c>
    </row>
    <row r="1039" spans="1:4" x14ac:dyDescent="0.25">
      <c r="A1039" s="379">
        <v>45784.586805555555</v>
      </c>
      <c r="B1039" s="382" t="s">
        <v>2155</v>
      </c>
      <c r="C1039" s="377" t="s">
        <v>4955</v>
      </c>
      <c r="D1039" s="6" t="str">
        <f>_xlfn.XLOOKUP(B1039,Indices!$A$2:$A$2676,Indices!$B$2:$B$2676,"")</f>
        <v>IWM</v>
      </c>
    </row>
    <row r="1040" spans="1:4" x14ac:dyDescent="0.25">
      <c r="A1040" s="379">
        <v>45784.586805555555</v>
      </c>
      <c r="B1040" s="382" t="s">
        <v>745</v>
      </c>
      <c r="C1040" s="377" t="s">
        <v>4955</v>
      </c>
      <c r="D1040" s="6" t="str">
        <f>_xlfn.XLOOKUP(B1040,Indices!$A$2:$A$2676,Indices!$B$2:$B$2676,"")</f>
        <v>IWM</v>
      </c>
    </row>
    <row r="1041" spans="1:4" x14ac:dyDescent="0.25">
      <c r="A1041" s="379">
        <v>45784.586805555555</v>
      </c>
      <c r="B1041" s="382" t="s">
        <v>404</v>
      </c>
      <c r="C1041" s="377" t="s">
        <v>4955</v>
      </c>
      <c r="D1041" s="6" t="str">
        <f>_xlfn.XLOOKUP(B1041,Indices!$A$2:$A$2676,Indices!$B$2:$B$2676,"")</f>
        <v>IWM</v>
      </c>
    </row>
    <row r="1042" spans="1:4" x14ac:dyDescent="0.25">
      <c r="A1042" s="379">
        <v>45784.586805555555</v>
      </c>
      <c r="B1042" s="382" t="s">
        <v>411</v>
      </c>
      <c r="C1042" s="377" t="s">
        <v>4955</v>
      </c>
      <c r="D1042" s="6" t="str">
        <f>_xlfn.XLOOKUP(B1042,Indices!$A$2:$A$2676,Indices!$B$2:$B$2676,"")</f>
        <v>IWM</v>
      </c>
    </row>
    <row r="1043" spans="1:4" x14ac:dyDescent="0.25">
      <c r="A1043" s="379">
        <v>45784.586805555555</v>
      </c>
      <c r="B1043" s="382" t="s">
        <v>691</v>
      </c>
      <c r="C1043" s="377" t="s">
        <v>4955</v>
      </c>
      <c r="D1043" s="6" t="str">
        <f>_xlfn.XLOOKUP(B1043,Indices!$A$2:$A$2676,Indices!$B$2:$B$2676,"")</f>
        <v>IWM</v>
      </c>
    </row>
    <row r="1044" spans="1:4" x14ac:dyDescent="0.25">
      <c r="A1044" s="379">
        <v>45784.586805555555</v>
      </c>
      <c r="B1044" s="382" t="s">
        <v>2481</v>
      </c>
      <c r="C1044" s="377" t="s">
        <v>4955</v>
      </c>
      <c r="D1044" s="6" t="str">
        <f>_xlfn.XLOOKUP(B1044,Indices!$A$2:$A$2676,Indices!$B$2:$B$2676,"")</f>
        <v>S&amp;P Mid</v>
      </c>
    </row>
    <row r="1045" spans="1:4" x14ac:dyDescent="0.25">
      <c r="A1045" s="379">
        <v>45784.586805555555</v>
      </c>
      <c r="B1045" s="382" t="s">
        <v>3334</v>
      </c>
      <c r="C1045" s="377" t="s">
        <v>4955</v>
      </c>
      <c r="D1045" s="6" t="str">
        <f>_xlfn.XLOOKUP(B1045,Indices!$A$2:$A$2676,Indices!$B$2:$B$2676,"")</f>
        <v/>
      </c>
    </row>
    <row r="1046" spans="1:4" x14ac:dyDescent="0.25">
      <c r="A1046" s="379">
        <v>45784.586805555555</v>
      </c>
      <c r="B1046" s="382" t="s">
        <v>3343</v>
      </c>
      <c r="C1046" s="377" t="s">
        <v>4955</v>
      </c>
      <c r="D1046" s="6" t="str">
        <f>_xlfn.XLOOKUP(B1046,Indices!$A$2:$A$2676,Indices!$B$2:$B$2676,"")</f>
        <v/>
      </c>
    </row>
    <row r="1047" spans="1:4" x14ac:dyDescent="0.25">
      <c r="A1047" s="379">
        <v>45784.586805555555</v>
      </c>
      <c r="B1047" s="382" t="s">
        <v>759</v>
      </c>
      <c r="C1047" s="377" t="s">
        <v>4955</v>
      </c>
      <c r="D1047" s="6" t="str">
        <f>_xlfn.XLOOKUP(B1047,Indices!$A$2:$A$2676,Indices!$B$2:$B$2676,"")</f>
        <v>IWM</v>
      </c>
    </row>
    <row r="1048" spans="1:4" x14ac:dyDescent="0.25">
      <c r="A1048" s="379">
        <v>45784.586805555555</v>
      </c>
      <c r="B1048" s="382" t="s">
        <v>394</v>
      </c>
      <c r="C1048" s="377" t="s">
        <v>4955</v>
      </c>
      <c r="D1048" s="6" t="str">
        <f>_xlfn.XLOOKUP(B1048,Indices!$A$2:$A$2676,Indices!$B$2:$B$2676,"")</f>
        <v>IWM</v>
      </c>
    </row>
    <row r="1049" spans="1:4" x14ac:dyDescent="0.25">
      <c r="A1049" s="379">
        <v>45784.586805555555</v>
      </c>
      <c r="B1049" s="382" t="s">
        <v>736</v>
      </c>
      <c r="C1049" s="377" t="s">
        <v>4955</v>
      </c>
      <c r="D1049" s="6" t="str">
        <f>_xlfn.XLOOKUP(B1049,Indices!$A$2:$A$2676,Indices!$B$2:$B$2676,"")</f>
        <v>IWM</v>
      </c>
    </row>
    <row r="1050" spans="1:4" x14ac:dyDescent="0.25">
      <c r="A1050" s="379">
        <v>45784.586805555555</v>
      </c>
      <c r="B1050" s="382" t="s">
        <v>401</v>
      </c>
      <c r="C1050" s="377" t="s">
        <v>4955</v>
      </c>
      <c r="D1050" s="6" t="str">
        <f>_xlfn.XLOOKUP(B1050,Indices!$A$2:$A$2676,Indices!$B$2:$B$2676,"")</f>
        <v>IWM</v>
      </c>
    </row>
    <row r="1051" spans="1:4" x14ac:dyDescent="0.25">
      <c r="A1051" s="379">
        <v>45784.586805555555</v>
      </c>
      <c r="B1051" s="382" t="s">
        <v>758</v>
      </c>
      <c r="C1051" s="377" t="s">
        <v>4955</v>
      </c>
      <c r="D1051" s="6" t="str">
        <f>_xlfn.XLOOKUP(B1051,Indices!$A$2:$A$2676,Indices!$B$2:$B$2676,"")</f>
        <v>IWM</v>
      </c>
    </row>
    <row r="1052" spans="1:4" x14ac:dyDescent="0.25">
      <c r="A1052" s="379">
        <v>45784.586805555555</v>
      </c>
      <c r="B1052" s="382" t="s">
        <v>399</v>
      </c>
      <c r="C1052" s="377" t="s">
        <v>4955</v>
      </c>
      <c r="D1052" s="6" t="str">
        <f>_xlfn.XLOOKUP(B1052,Indices!$A$2:$A$2676,Indices!$B$2:$B$2676,"")</f>
        <v>S&amp;P Mid</v>
      </c>
    </row>
    <row r="1053" spans="1:4" x14ac:dyDescent="0.25">
      <c r="A1053" s="379">
        <v>45784.586805555555</v>
      </c>
      <c r="B1053" s="382" t="s">
        <v>3330</v>
      </c>
      <c r="C1053" s="377" t="s">
        <v>4955</v>
      </c>
      <c r="D1053" s="6" t="str">
        <f>_xlfn.XLOOKUP(B1053,Indices!$A$2:$A$2676,Indices!$B$2:$B$2676,"")</f>
        <v/>
      </c>
    </row>
    <row r="1054" spans="1:4" x14ac:dyDescent="0.25">
      <c r="A1054" s="379">
        <v>45784.586805555555</v>
      </c>
      <c r="B1054" s="382" t="s">
        <v>385</v>
      </c>
      <c r="C1054" s="377" t="s">
        <v>4955</v>
      </c>
      <c r="D1054" s="6" t="str">
        <f>_xlfn.XLOOKUP(B1054,Indices!$A$2:$A$2676,Indices!$B$2:$B$2676,"")</f>
        <v>IWM</v>
      </c>
    </row>
    <row r="1055" spans="1:4" x14ac:dyDescent="0.25">
      <c r="A1055" s="379">
        <v>45784.586805555555</v>
      </c>
      <c r="B1055" s="382" t="s">
        <v>722</v>
      </c>
      <c r="C1055" s="377" t="s">
        <v>4955</v>
      </c>
      <c r="D1055" s="6" t="str">
        <f>_xlfn.XLOOKUP(B1055,Indices!$A$2:$A$2676,Indices!$B$2:$B$2676,"")</f>
        <v>S&amp;P Mid</v>
      </c>
    </row>
    <row r="1056" spans="1:4" x14ac:dyDescent="0.25">
      <c r="A1056" s="379">
        <v>45784.586805555555</v>
      </c>
      <c r="B1056" s="382" t="s">
        <v>2515</v>
      </c>
      <c r="C1056" s="377" t="s">
        <v>4955</v>
      </c>
      <c r="D1056" s="6" t="str">
        <f>_xlfn.XLOOKUP(B1056,Indices!$A$2:$A$2676,Indices!$B$2:$B$2676,"")</f>
        <v/>
      </c>
    </row>
    <row r="1057" spans="1:4" x14ac:dyDescent="0.25">
      <c r="A1057" s="379">
        <v>45784.586805555555</v>
      </c>
      <c r="B1057" s="382" t="s">
        <v>3546</v>
      </c>
      <c r="C1057" s="377" t="s">
        <v>4955</v>
      </c>
      <c r="D1057" s="6" t="str">
        <f>_xlfn.XLOOKUP(B1057,Indices!$A$2:$A$2676,Indices!$B$2:$B$2676,"")</f>
        <v/>
      </c>
    </row>
    <row r="1058" spans="1:4" x14ac:dyDescent="0.25">
      <c r="A1058" s="379">
        <v>45784.586805555555</v>
      </c>
      <c r="B1058" s="382" t="s">
        <v>704</v>
      </c>
      <c r="C1058" s="377" t="s">
        <v>4955</v>
      </c>
      <c r="D1058" s="6" t="str">
        <f>_xlfn.XLOOKUP(B1058,Indices!$A$2:$A$2676,Indices!$B$2:$B$2676,"")</f>
        <v>IWM</v>
      </c>
    </row>
    <row r="1059" spans="1:4" x14ac:dyDescent="0.25">
      <c r="A1059" s="379">
        <v>45784.586805555555</v>
      </c>
      <c r="B1059" s="382" t="s">
        <v>380</v>
      </c>
      <c r="C1059" s="377" t="s">
        <v>4955</v>
      </c>
      <c r="D1059" s="6" t="str">
        <f>_xlfn.XLOOKUP(B1059,Indices!$A$2:$A$2676,Indices!$B$2:$B$2676,"")</f>
        <v>IWM</v>
      </c>
    </row>
    <row r="1060" spans="1:4" x14ac:dyDescent="0.25">
      <c r="A1060" s="379">
        <v>45784.586805555555</v>
      </c>
      <c r="B1060" s="382" t="s">
        <v>1573</v>
      </c>
      <c r="C1060" s="377" t="s">
        <v>4955</v>
      </c>
      <c r="D1060" s="6" t="str">
        <f>_xlfn.XLOOKUP(B1060,Indices!$A$2:$A$2676,Indices!$B$2:$B$2676,"")</f>
        <v>SP500</v>
      </c>
    </row>
    <row r="1061" spans="1:4" x14ac:dyDescent="0.25">
      <c r="A1061" s="379">
        <v>45784.586805555555</v>
      </c>
      <c r="B1061" s="382" t="s">
        <v>361</v>
      </c>
      <c r="C1061" s="377" t="s">
        <v>4955</v>
      </c>
      <c r="D1061" s="6" t="str">
        <f>_xlfn.XLOOKUP(B1061,Indices!$A$2:$A$2676,Indices!$B$2:$B$2676,"")</f>
        <v>IWM</v>
      </c>
    </row>
    <row r="1062" spans="1:4" x14ac:dyDescent="0.25">
      <c r="A1062" s="379">
        <v>45784.586805555555</v>
      </c>
      <c r="B1062" s="382" t="s">
        <v>701</v>
      </c>
      <c r="C1062" s="377" t="s">
        <v>4955</v>
      </c>
      <c r="D1062" s="6" t="str">
        <f>_xlfn.XLOOKUP(B1062,Indices!$A$2:$A$2676,Indices!$B$2:$B$2676,"")</f>
        <v>IWM</v>
      </c>
    </row>
    <row r="1063" spans="1:4" x14ac:dyDescent="0.25">
      <c r="A1063" s="379">
        <v>45784.586805555555</v>
      </c>
      <c r="B1063" s="382" t="s">
        <v>1762</v>
      </c>
      <c r="C1063" s="377" t="s">
        <v>4955</v>
      </c>
      <c r="D1063" s="6" t="str">
        <f>_xlfn.XLOOKUP(B1063,Indices!$A$2:$A$2676,Indices!$B$2:$B$2676,"")</f>
        <v>IWM</v>
      </c>
    </row>
    <row r="1064" spans="1:4" x14ac:dyDescent="0.25">
      <c r="A1064" s="379">
        <v>45784.586805555555</v>
      </c>
      <c r="B1064" s="382" t="s">
        <v>748</v>
      </c>
      <c r="C1064" s="377" t="s">
        <v>4955</v>
      </c>
      <c r="D1064" s="6" t="str">
        <f>_xlfn.XLOOKUP(B1064,Indices!$A$2:$A$2676,Indices!$B$2:$B$2676,"")</f>
        <v>IWM</v>
      </c>
    </row>
    <row r="1065" spans="1:4" x14ac:dyDescent="0.25">
      <c r="A1065" s="379">
        <v>45784.586805555555</v>
      </c>
      <c r="B1065" s="382" t="s">
        <v>390</v>
      </c>
      <c r="C1065" s="377" t="s">
        <v>4955</v>
      </c>
      <c r="D1065" s="6" t="str">
        <f>_xlfn.XLOOKUP(B1065,Indices!$A$2:$A$2676,Indices!$B$2:$B$2676,"")</f>
        <v>IWM</v>
      </c>
    </row>
    <row r="1066" spans="1:4" x14ac:dyDescent="0.25">
      <c r="A1066" s="379">
        <v>45784.586805555555</v>
      </c>
      <c r="B1066" s="382" t="s">
        <v>3767</v>
      </c>
      <c r="C1066" s="377" t="s">
        <v>4955</v>
      </c>
      <c r="D1066" s="6" t="str">
        <f>_xlfn.XLOOKUP(B1066,Indices!$A$2:$A$2676,Indices!$B$2:$B$2676,"")</f>
        <v/>
      </c>
    </row>
    <row r="1067" spans="1:4" x14ac:dyDescent="0.25">
      <c r="A1067" s="379">
        <v>45784.586805555555</v>
      </c>
      <c r="B1067" s="382" t="s">
        <v>3561</v>
      </c>
      <c r="C1067" s="377" t="s">
        <v>4955</v>
      </c>
      <c r="D1067" s="6" t="str">
        <f>_xlfn.XLOOKUP(B1067,Indices!$A$2:$A$2676,Indices!$B$2:$B$2676,"")</f>
        <v/>
      </c>
    </row>
    <row r="1068" spans="1:4" x14ac:dyDescent="0.25">
      <c r="A1068" s="379">
        <v>45784.586805555555</v>
      </c>
      <c r="B1068" s="382" t="s">
        <v>2566</v>
      </c>
      <c r="C1068" s="377" t="s">
        <v>4955</v>
      </c>
      <c r="D1068" s="6" t="str">
        <f>_xlfn.XLOOKUP(B1068,Indices!$A$2:$A$2676,Indices!$B$2:$B$2676,"")</f>
        <v/>
      </c>
    </row>
    <row r="1069" spans="1:4" x14ac:dyDescent="0.25">
      <c r="A1069" s="379">
        <v>45784.586805555555</v>
      </c>
      <c r="B1069" s="382" t="s">
        <v>4004</v>
      </c>
      <c r="C1069" s="377" t="s">
        <v>4955</v>
      </c>
      <c r="D1069" s="6" t="str">
        <f>_xlfn.XLOOKUP(B1069,Indices!$A$2:$A$2676,Indices!$B$2:$B$2676,"")</f>
        <v/>
      </c>
    </row>
    <row r="1070" spans="1:4" x14ac:dyDescent="0.25">
      <c r="A1070" s="379">
        <v>45784.586805555555</v>
      </c>
      <c r="B1070" s="382" t="s">
        <v>2593</v>
      </c>
      <c r="C1070" s="377" t="s">
        <v>4955</v>
      </c>
      <c r="D1070" s="6" t="str">
        <f>_xlfn.XLOOKUP(B1070,Indices!$A$2:$A$2676,Indices!$B$2:$B$2676,"")</f>
        <v/>
      </c>
    </row>
    <row r="1071" spans="1:4" x14ac:dyDescent="0.25">
      <c r="A1071" s="379">
        <v>45784.586805555555</v>
      </c>
      <c r="B1071" s="382" t="s">
        <v>379</v>
      </c>
      <c r="C1071" s="377" t="s">
        <v>4955</v>
      </c>
      <c r="D1071" s="6" t="str">
        <f>_xlfn.XLOOKUP(B1071,Indices!$A$2:$A$2676,Indices!$B$2:$B$2676,"")</f>
        <v>IWM</v>
      </c>
    </row>
    <row r="1072" spans="1:4" x14ac:dyDescent="0.25">
      <c r="A1072" s="379">
        <v>45784.586805555555</v>
      </c>
      <c r="B1072" s="382" t="s">
        <v>371</v>
      </c>
      <c r="C1072" s="377" t="s">
        <v>4955</v>
      </c>
      <c r="D1072" s="6" t="str">
        <f>_xlfn.XLOOKUP(B1072,Indices!$A$2:$A$2676,Indices!$B$2:$B$2676,"")</f>
        <v>IWM</v>
      </c>
    </row>
    <row r="1073" spans="1:4" x14ac:dyDescent="0.25">
      <c r="A1073" s="379">
        <v>45784.586805555555</v>
      </c>
      <c r="B1073" s="382" t="s">
        <v>2118</v>
      </c>
      <c r="C1073" s="377" t="s">
        <v>4955</v>
      </c>
      <c r="D1073" s="6" t="str">
        <f>_xlfn.XLOOKUP(B1073,Indices!$A$2:$A$2676,Indices!$B$2:$B$2676,"")</f>
        <v>IWM</v>
      </c>
    </row>
    <row r="1074" spans="1:4" x14ac:dyDescent="0.25">
      <c r="A1074" s="379">
        <v>45784.586805555555</v>
      </c>
      <c r="B1074" s="382" t="s">
        <v>99</v>
      </c>
      <c r="C1074" s="377" t="s">
        <v>4955</v>
      </c>
      <c r="D1074" s="6" t="str">
        <f>_xlfn.XLOOKUP(B1074,Indices!$A$2:$A$2676,Indices!$B$2:$B$2676,"")</f>
        <v>IWM</v>
      </c>
    </row>
    <row r="1075" spans="1:4" x14ac:dyDescent="0.25">
      <c r="A1075" s="379">
        <v>45784.586805555555</v>
      </c>
      <c r="B1075" s="382" t="s">
        <v>3804</v>
      </c>
      <c r="C1075" s="377" t="s">
        <v>4955</v>
      </c>
      <c r="D1075" s="6" t="str">
        <f>_xlfn.XLOOKUP(B1075,Indices!$A$2:$A$2676,Indices!$B$2:$B$2676,"")</f>
        <v/>
      </c>
    </row>
    <row r="1076" spans="1:4" x14ac:dyDescent="0.25">
      <c r="A1076" s="379">
        <v>45784.586805555555</v>
      </c>
      <c r="B1076" s="382" t="s">
        <v>729</v>
      </c>
      <c r="C1076" s="377" t="s">
        <v>4955</v>
      </c>
      <c r="D1076" s="6" t="str">
        <f>_xlfn.XLOOKUP(B1076,Indices!$A$2:$A$2676,Indices!$B$2:$B$2676,"")</f>
        <v>S&amp;P Mid</v>
      </c>
    </row>
    <row r="1077" spans="1:4" x14ac:dyDescent="0.25">
      <c r="A1077" s="379">
        <v>45784.586805555555</v>
      </c>
      <c r="B1077" s="382" t="s">
        <v>496</v>
      </c>
      <c r="C1077" s="377" t="s">
        <v>4955</v>
      </c>
      <c r="D1077" s="6" t="str">
        <f>_xlfn.XLOOKUP(B1077,Indices!$A$2:$A$2676,Indices!$B$2:$B$2676,"")</f>
        <v>IWM</v>
      </c>
    </row>
    <row r="1078" spans="1:4" x14ac:dyDescent="0.25">
      <c r="A1078" s="379">
        <v>45784.586805555555</v>
      </c>
      <c r="B1078" s="382" t="s">
        <v>2060</v>
      </c>
      <c r="C1078" s="377" t="s">
        <v>4955</v>
      </c>
      <c r="D1078" s="6" t="str">
        <f>_xlfn.XLOOKUP(B1078,Indices!$A$2:$A$2676,Indices!$B$2:$B$2676,"")</f>
        <v>IWM</v>
      </c>
    </row>
    <row r="1079" spans="1:4" x14ac:dyDescent="0.25">
      <c r="A1079" s="379">
        <v>45784.586805555555</v>
      </c>
      <c r="B1079" s="382" t="s">
        <v>3802</v>
      </c>
      <c r="C1079" s="377" t="s">
        <v>4955</v>
      </c>
      <c r="D1079" s="6" t="str">
        <f>_xlfn.XLOOKUP(B1079,Indices!$A$2:$A$2676,Indices!$B$2:$B$2676,"")</f>
        <v/>
      </c>
    </row>
    <row r="1080" spans="1:4" x14ac:dyDescent="0.25">
      <c r="A1080" s="379">
        <v>45784.586805555555</v>
      </c>
      <c r="B1080" s="382" t="s">
        <v>4487</v>
      </c>
      <c r="C1080" s="377" t="s">
        <v>4955</v>
      </c>
      <c r="D1080" s="6" t="str">
        <f>_xlfn.XLOOKUP(B1080,Indices!$A$2:$A$2676,Indices!$B$2:$B$2676,"")</f>
        <v/>
      </c>
    </row>
    <row r="1081" spans="1:4" x14ac:dyDescent="0.25">
      <c r="A1081" s="379">
        <v>45784.586805555555</v>
      </c>
      <c r="B1081" s="382" t="s">
        <v>3238</v>
      </c>
      <c r="C1081" s="377" t="s">
        <v>4955</v>
      </c>
      <c r="D1081" s="6" t="str">
        <f>_xlfn.XLOOKUP(B1081,Indices!$A$2:$A$2676,Indices!$B$2:$B$2676,"")</f>
        <v/>
      </c>
    </row>
    <row r="1082" spans="1:4" x14ac:dyDescent="0.25">
      <c r="A1082" s="379">
        <v>45784.586805555555</v>
      </c>
      <c r="B1082" s="382" t="s">
        <v>391</v>
      </c>
      <c r="C1082" s="377" t="s">
        <v>4955</v>
      </c>
      <c r="D1082" s="6" t="str">
        <f>_xlfn.XLOOKUP(B1082,Indices!$A$2:$A$2676,Indices!$B$2:$B$2676,"")</f>
        <v>IWM</v>
      </c>
    </row>
    <row r="1083" spans="1:4" x14ac:dyDescent="0.25">
      <c r="A1083" s="379">
        <v>45784.586805555555</v>
      </c>
      <c r="B1083" s="382" t="s">
        <v>3530</v>
      </c>
      <c r="C1083" s="377" t="s">
        <v>4955</v>
      </c>
      <c r="D1083" s="6" t="str">
        <f>_xlfn.XLOOKUP(B1083,Indices!$A$2:$A$2676,Indices!$B$2:$B$2676,"")</f>
        <v/>
      </c>
    </row>
    <row r="1084" spans="1:4" x14ac:dyDescent="0.25">
      <c r="A1084" s="379">
        <v>45784.586805555555</v>
      </c>
      <c r="B1084" s="382" t="s">
        <v>3805</v>
      </c>
      <c r="C1084" s="377" t="s">
        <v>4955</v>
      </c>
      <c r="D1084" s="6" t="str">
        <f>_xlfn.XLOOKUP(B1084,Indices!$A$2:$A$2676,Indices!$B$2:$B$2676,"")</f>
        <v/>
      </c>
    </row>
    <row r="1085" spans="1:4" x14ac:dyDescent="0.25">
      <c r="A1085" s="379">
        <v>45784.586805555555</v>
      </c>
      <c r="B1085" s="382" t="s">
        <v>3159</v>
      </c>
      <c r="C1085" s="377" t="s">
        <v>4955</v>
      </c>
      <c r="D1085" s="6" t="str">
        <f>_xlfn.XLOOKUP(B1085,Indices!$A$2:$A$2676,Indices!$B$2:$B$2676,"")</f>
        <v/>
      </c>
    </row>
    <row r="1086" spans="1:4" x14ac:dyDescent="0.25">
      <c r="A1086" s="379">
        <v>45784.586805555555</v>
      </c>
      <c r="B1086" s="382" t="s">
        <v>406</v>
      </c>
      <c r="C1086" s="377" t="s">
        <v>4955</v>
      </c>
      <c r="D1086" s="6" t="str">
        <f>_xlfn.XLOOKUP(B1086,Indices!$A$2:$A$2676,Indices!$B$2:$B$2676,"")</f>
        <v>IWM</v>
      </c>
    </row>
    <row r="1087" spans="1:4" x14ac:dyDescent="0.25">
      <c r="A1087" s="379">
        <v>45784.586805555555</v>
      </c>
      <c r="B1087" s="382" t="s">
        <v>420</v>
      </c>
      <c r="C1087" s="377" t="s">
        <v>4955</v>
      </c>
      <c r="D1087" s="6" t="str">
        <f>_xlfn.XLOOKUP(B1087,Indices!$A$2:$A$2676,Indices!$B$2:$B$2676,"")</f>
        <v>IWM</v>
      </c>
    </row>
    <row r="1088" spans="1:4" x14ac:dyDescent="0.25">
      <c r="A1088" s="379">
        <v>45784.586805555555</v>
      </c>
      <c r="B1088" s="382" t="s">
        <v>803</v>
      </c>
      <c r="C1088" s="377" t="s">
        <v>4955</v>
      </c>
      <c r="D1088" s="6" t="str">
        <f>_xlfn.XLOOKUP(B1088,Indices!$A$2:$A$2676,Indices!$B$2:$B$2676,"")</f>
        <v>IWM</v>
      </c>
    </row>
    <row r="1089" spans="1:4" x14ac:dyDescent="0.25">
      <c r="A1089" s="379">
        <v>45784.586805555555</v>
      </c>
      <c r="B1089" s="382" t="s">
        <v>3072</v>
      </c>
      <c r="C1089" s="377" t="s">
        <v>4955</v>
      </c>
      <c r="D1089" s="6" t="str">
        <f>_xlfn.XLOOKUP(B1089,Indices!$A$2:$A$2676,Indices!$B$2:$B$2676,"")</f>
        <v/>
      </c>
    </row>
    <row r="1090" spans="1:4" x14ac:dyDescent="0.25">
      <c r="A1090" s="379">
        <v>45784.586805555555</v>
      </c>
      <c r="B1090" s="382" t="s">
        <v>2595</v>
      </c>
      <c r="C1090" s="377" t="s">
        <v>4955</v>
      </c>
      <c r="D1090" s="6" t="str">
        <f>_xlfn.XLOOKUP(B1090,Indices!$A$2:$A$2676,Indices!$B$2:$B$2676,"")</f>
        <v/>
      </c>
    </row>
    <row r="1091" spans="1:4" x14ac:dyDescent="0.25">
      <c r="A1091" s="379">
        <v>45784.586805555555</v>
      </c>
      <c r="B1091" s="382" t="s">
        <v>1025</v>
      </c>
      <c r="C1091" s="377" t="s">
        <v>4955</v>
      </c>
      <c r="D1091" s="6" t="str">
        <f>_xlfn.XLOOKUP(B1091,Indices!$A$2:$A$2676,Indices!$B$2:$B$2676,"")</f>
        <v>IWM</v>
      </c>
    </row>
    <row r="1092" spans="1:4" x14ac:dyDescent="0.25">
      <c r="A1092" s="379">
        <v>45784.586805555555</v>
      </c>
      <c r="B1092" s="382" t="s">
        <v>746</v>
      </c>
      <c r="C1092" s="377" t="s">
        <v>4955</v>
      </c>
      <c r="D1092" s="6" t="str">
        <f>_xlfn.XLOOKUP(B1092,Indices!$A$2:$A$2676,Indices!$B$2:$B$2676,"")</f>
        <v>IWM</v>
      </c>
    </row>
    <row r="1093" spans="1:4" x14ac:dyDescent="0.25">
      <c r="A1093" s="379">
        <v>45784.586805555555</v>
      </c>
      <c r="B1093" s="382" t="s">
        <v>755</v>
      </c>
      <c r="C1093" s="377" t="s">
        <v>4955</v>
      </c>
      <c r="D1093" s="6" t="str">
        <f>_xlfn.XLOOKUP(B1093,Indices!$A$2:$A$2676,Indices!$B$2:$B$2676,"")</f>
        <v>IWM</v>
      </c>
    </row>
    <row r="1094" spans="1:4" x14ac:dyDescent="0.25">
      <c r="A1094" s="379">
        <v>45784.586805555555</v>
      </c>
      <c r="B1094" s="382" t="s">
        <v>392</v>
      </c>
      <c r="C1094" s="377" t="s">
        <v>4955</v>
      </c>
      <c r="D1094" s="6" t="str">
        <f>_xlfn.XLOOKUP(B1094,Indices!$A$2:$A$2676,Indices!$B$2:$B$2676,"")</f>
        <v>IWM</v>
      </c>
    </row>
    <row r="1095" spans="1:4" x14ac:dyDescent="0.25">
      <c r="A1095" s="379">
        <v>45784.586805555555</v>
      </c>
      <c r="B1095" s="382" t="s">
        <v>963</v>
      </c>
      <c r="C1095" s="377" t="s">
        <v>4955</v>
      </c>
      <c r="D1095" s="6" t="str">
        <f>_xlfn.XLOOKUP(B1095,Indices!$A$2:$A$2676,Indices!$B$2:$B$2676,"")</f>
        <v>IWM</v>
      </c>
    </row>
    <row r="1096" spans="1:4" x14ac:dyDescent="0.25">
      <c r="A1096" s="379">
        <v>45784.586805555555</v>
      </c>
      <c r="B1096" s="382" t="s">
        <v>3876</v>
      </c>
      <c r="C1096" s="377" t="s">
        <v>4955</v>
      </c>
      <c r="D1096" s="6" t="str">
        <f>_xlfn.XLOOKUP(B1096,Indices!$A$2:$A$2676,Indices!$B$2:$B$2676,"")</f>
        <v/>
      </c>
    </row>
    <row r="1097" spans="1:4" x14ac:dyDescent="0.25">
      <c r="A1097" s="379">
        <v>45784.586805555555</v>
      </c>
      <c r="B1097" s="382" t="s">
        <v>3351</v>
      </c>
      <c r="C1097" s="377" t="s">
        <v>4955</v>
      </c>
      <c r="D1097" s="6" t="str">
        <f>_xlfn.XLOOKUP(B1097,Indices!$A$2:$A$2676,Indices!$B$2:$B$2676,"")</f>
        <v/>
      </c>
    </row>
    <row r="1098" spans="1:4" x14ac:dyDescent="0.25">
      <c r="A1098" s="379">
        <v>45784.586805555555</v>
      </c>
      <c r="B1098" s="382" t="s">
        <v>360</v>
      </c>
      <c r="C1098" s="377" t="s">
        <v>4955</v>
      </c>
      <c r="D1098" s="6" t="str">
        <f>_xlfn.XLOOKUP(B1098,Indices!$A$2:$A$2676,Indices!$B$2:$B$2676,"")</f>
        <v>IWM</v>
      </c>
    </row>
    <row r="1099" spans="1:4" x14ac:dyDescent="0.25">
      <c r="A1099" s="379">
        <v>45784.586805555555</v>
      </c>
      <c r="B1099" s="382" t="s">
        <v>1720</v>
      </c>
      <c r="C1099" s="377" t="s">
        <v>4955</v>
      </c>
      <c r="D1099" s="6" t="str">
        <f>_xlfn.XLOOKUP(B1099,Indices!$A$2:$A$2676,Indices!$B$2:$B$2676,"")</f>
        <v>IWM</v>
      </c>
    </row>
    <row r="1100" spans="1:4" x14ac:dyDescent="0.25">
      <c r="A1100" s="379">
        <v>45784.586805555555</v>
      </c>
      <c r="B1100" s="382" t="s">
        <v>106</v>
      </c>
      <c r="C1100" s="377" t="s">
        <v>4955</v>
      </c>
      <c r="D1100" s="6" t="str">
        <f>_xlfn.XLOOKUP(B1100,Indices!$A$2:$A$2676,Indices!$B$2:$B$2676,"")</f>
        <v>IWM</v>
      </c>
    </row>
    <row r="1101" spans="1:4" x14ac:dyDescent="0.25">
      <c r="A1101" s="379">
        <v>45784.586805555555</v>
      </c>
      <c r="B1101" s="382" t="s">
        <v>3386</v>
      </c>
      <c r="C1101" s="377" t="s">
        <v>4955</v>
      </c>
      <c r="D1101" s="6" t="str">
        <f>_xlfn.XLOOKUP(B1101,Indices!$A$2:$A$2676,Indices!$B$2:$B$2676,"")</f>
        <v/>
      </c>
    </row>
    <row r="1102" spans="1:4" x14ac:dyDescent="0.25">
      <c r="A1102" s="379">
        <v>45784.586805555555</v>
      </c>
      <c r="B1102" s="382" t="s">
        <v>3088</v>
      </c>
      <c r="C1102" s="377" t="s">
        <v>4955</v>
      </c>
      <c r="D1102" s="6" t="str">
        <f>_xlfn.XLOOKUP(B1102,Indices!$A$2:$A$2676,Indices!$B$2:$B$2676,"")</f>
        <v/>
      </c>
    </row>
    <row r="1103" spans="1:4" x14ac:dyDescent="0.25">
      <c r="A1103" s="379">
        <v>45784.586805555555</v>
      </c>
      <c r="B1103" s="382" t="s">
        <v>3709</v>
      </c>
      <c r="C1103" s="377" t="s">
        <v>4955</v>
      </c>
      <c r="D1103" s="6" t="str">
        <f>_xlfn.XLOOKUP(B1103,Indices!$A$2:$A$2676,Indices!$B$2:$B$2676,"")</f>
        <v/>
      </c>
    </row>
    <row r="1104" spans="1:4" x14ac:dyDescent="0.25">
      <c r="A1104" s="379">
        <v>45784.586805555555</v>
      </c>
      <c r="B1104" s="382" t="s">
        <v>3207</v>
      </c>
      <c r="C1104" s="377" t="s">
        <v>4955</v>
      </c>
      <c r="D1104" s="6" t="str">
        <f>_xlfn.XLOOKUP(B1104,Indices!$A$2:$A$2676,Indices!$B$2:$B$2676,"")</f>
        <v/>
      </c>
    </row>
    <row r="1105" spans="1:4" x14ac:dyDescent="0.25">
      <c r="A1105" s="379">
        <v>45784.586805555555</v>
      </c>
      <c r="B1105" s="382" t="s">
        <v>3380</v>
      </c>
      <c r="C1105" s="377" t="s">
        <v>4955</v>
      </c>
      <c r="D1105" s="6" t="str">
        <f>_xlfn.XLOOKUP(B1105,Indices!$A$2:$A$2676,Indices!$B$2:$B$2676,"")</f>
        <v/>
      </c>
    </row>
    <row r="1106" spans="1:4" x14ac:dyDescent="0.25">
      <c r="A1106" s="379">
        <v>45784.586805555555</v>
      </c>
      <c r="B1106" s="382" t="s">
        <v>373</v>
      </c>
      <c r="C1106" s="377" t="s">
        <v>4955</v>
      </c>
      <c r="D1106" s="6" t="str">
        <f>_xlfn.XLOOKUP(B1106,Indices!$A$2:$A$2676,Indices!$B$2:$B$2676,"")</f>
        <v>IWM</v>
      </c>
    </row>
    <row r="1107" spans="1:4" x14ac:dyDescent="0.25">
      <c r="A1107" s="379">
        <v>45784.586805555555</v>
      </c>
      <c r="B1107" s="382" t="s">
        <v>372</v>
      </c>
      <c r="C1107" s="377" t="s">
        <v>4955</v>
      </c>
      <c r="D1107" s="6" t="str">
        <f>_xlfn.XLOOKUP(B1107,Indices!$A$2:$A$2676,Indices!$B$2:$B$2676,"")</f>
        <v>IWM</v>
      </c>
    </row>
    <row r="1108" spans="1:4" x14ac:dyDescent="0.25">
      <c r="A1108" s="379">
        <v>45784.586805555555</v>
      </c>
      <c r="B1108" s="382" t="s">
        <v>93</v>
      </c>
      <c r="C1108" s="377" t="s">
        <v>4955</v>
      </c>
      <c r="D1108" s="6" t="str">
        <f>_xlfn.XLOOKUP(B1108,Indices!$A$2:$A$2676,Indices!$B$2:$B$2676,"")</f>
        <v>IWM</v>
      </c>
    </row>
    <row r="1109" spans="1:4" x14ac:dyDescent="0.25">
      <c r="A1109" s="379">
        <v>45784.586805555555</v>
      </c>
      <c r="B1109" s="382" t="s">
        <v>894</v>
      </c>
      <c r="C1109" s="377" t="s">
        <v>4955</v>
      </c>
      <c r="D1109" s="6" t="str">
        <f>_xlfn.XLOOKUP(B1109,Indices!$A$2:$A$2676,Indices!$B$2:$B$2676,"")</f>
        <v>IWM</v>
      </c>
    </row>
    <row r="1110" spans="1:4" x14ac:dyDescent="0.25">
      <c r="A1110" s="379">
        <v>45784.586805555555</v>
      </c>
      <c r="B1110" s="382" t="s">
        <v>414</v>
      </c>
      <c r="C1110" s="377" t="s">
        <v>4955</v>
      </c>
      <c r="D1110" s="6" t="str">
        <f>_xlfn.XLOOKUP(B1110,Indices!$A$2:$A$2676,Indices!$B$2:$B$2676,"")</f>
        <v>IWM</v>
      </c>
    </row>
    <row r="1111" spans="1:4" x14ac:dyDescent="0.25">
      <c r="A1111" s="379">
        <v>45784.586805555555</v>
      </c>
      <c r="B1111" s="382" t="s">
        <v>895</v>
      </c>
      <c r="C1111" s="377" t="s">
        <v>4955</v>
      </c>
      <c r="D1111" s="6" t="str">
        <f>_xlfn.XLOOKUP(B1111,Indices!$A$2:$A$2676,Indices!$B$2:$B$2676,"")</f>
        <v>IWM</v>
      </c>
    </row>
    <row r="1112" spans="1:4" x14ac:dyDescent="0.25">
      <c r="A1112" s="379">
        <v>45784.586805555555</v>
      </c>
      <c r="B1112" s="382" t="s">
        <v>3810</v>
      </c>
      <c r="C1112" s="377" t="s">
        <v>4955</v>
      </c>
      <c r="D1112" s="6" t="str">
        <f>_xlfn.XLOOKUP(B1112,Indices!$A$2:$A$2676,Indices!$B$2:$B$2676,"")</f>
        <v/>
      </c>
    </row>
    <row r="1113" spans="1:4" x14ac:dyDescent="0.25">
      <c r="A1113" s="379">
        <v>45784.586805555555</v>
      </c>
      <c r="B1113" s="382" t="s">
        <v>369</v>
      </c>
      <c r="C1113" s="377" t="s">
        <v>4955</v>
      </c>
      <c r="D1113" s="6" t="str">
        <f>_xlfn.XLOOKUP(B1113,Indices!$A$2:$A$2676,Indices!$B$2:$B$2676,"")</f>
        <v>S&amp;P Mid</v>
      </c>
    </row>
    <row r="1114" spans="1:4" x14ac:dyDescent="0.25">
      <c r="A1114" s="379">
        <v>45784.587500000001</v>
      </c>
      <c r="B1114" s="382" t="s">
        <v>424</v>
      </c>
      <c r="C1114" s="377" t="s">
        <v>4956</v>
      </c>
      <c r="D1114" s="6" t="str">
        <f>_xlfn.XLOOKUP(B1114,Indices!$A$2:$A$2676,Indices!$B$2:$B$2676,"")</f>
        <v>IWM</v>
      </c>
    </row>
    <row r="1115" spans="1:4" x14ac:dyDescent="0.25">
      <c r="A1115" s="379">
        <v>45784.587500000001</v>
      </c>
      <c r="B1115" s="382" t="s">
        <v>3381</v>
      </c>
      <c r="C1115" s="377" t="s">
        <v>4956</v>
      </c>
      <c r="D1115" s="6" t="str">
        <f>_xlfn.XLOOKUP(B1115,Indices!$A$2:$A$2676,Indices!$B$2:$B$2676,"")</f>
        <v/>
      </c>
    </row>
    <row r="1116" spans="1:4" x14ac:dyDescent="0.25">
      <c r="A1116" s="379">
        <v>45784.588194444441</v>
      </c>
      <c r="B1116" s="382" t="s">
        <v>2044</v>
      </c>
      <c r="C1116" s="377" t="s">
        <v>4957</v>
      </c>
      <c r="D1116" s="6" t="str">
        <f>_xlfn.XLOOKUP(B1116,Indices!$A$2:$A$2676,Indices!$B$2:$B$2676,"")</f>
        <v>IWM</v>
      </c>
    </row>
    <row r="1117" spans="1:4" x14ac:dyDescent="0.25">
      <c r="A1117" s="379">
        <v>45784.588194444441</v>
      </c>
      <c r="B1117" s="382" t="s">
        <v>991</v>
      </c>
      <c r="C1117" s="377" t="s">
        <v>4957</v>
      </c>
      <c r="D1117" s="6" t="str">
        <f>_xlfn.XLOOKUP(B1117,Indices!$A$2:$A$2676,Indices!$B$2:$B$2676,"")</f>
        <v>IWM</v>
      </c>
    </row>
    <row r="1118" spans="1:4" x14ac:dyDescent="0.25">
      <c r="A1118" s="379">
        <v>45784.589583333334</v>
      </c>
      <c r="B1118" s="382" t="s">
        <v>2789</v>
      </c>
      <c r="C1118" s="377" t="s">
        <v>4958</v>
      </c>
      <c r="D1118" s="6" t="str">
        <f>_xlfn.XLOOKUP(B1118,Indices!$A$2:$A$2676,Indices!$B$2:$B$2676,"")</f>
        <v/>
      </c>
    </row>
    <row r="1119" spans="1:4" x14ac:dyDescent="0.25">
      <c r="A1119" s="379">
        <v>45784.589583333334</v>
      </c>
      <c r="B1119" s="382" t="s">
        <v>426</v>
      </c>
      <c r="C1119" s="377" t="s">
        <v>4958</v>
      </c>
      <c r="D1119" s="6" t="str">
        <f>_xlfn.XLOOKUP(B1119,Indices!$A$2:$A$2676,Indices!$B$2:$B$2676,"")</f>
        <v>IWM</v>
      </c>
    </row>
    <row r="1120" spans="1:4" x14ac:dyDescent="0.25">
      <c r="A1120" s="379">
        <v>45784.590277777781</v>
      </c>
      <c r="B1120" s="382" t="s">
        <v>3196</v>
      </c>
      <c r="C1120" s="377" t="s">
        <v>4959</v>
      </c>
      <c r="D1120" s="6" t="str">
        <f>_xlfn.XLOOKUP(B1120,Indices!$A$2:$A$2676,Indices!$B$2:$B$2676,"")</f>
        <v/>
      </c>
    </row>
    <row r="1121" spans="1:4" x14ac:dyDescent="0.25">
      <c r="A1121" s="379">
        <v>45784.590277777781</v>
      </c>
      <c r="B1121" s="382" t="s">
        <v>377</v>
      </c>
      <c r="C1121" s="377" t="s">
        <v>4959</v>
      </c>
      <c r="D1121" s="6" t="str">
        <f>_xlfn.XLOOKUP(B1121,Indices!$A$2:$A$2676,Indices!$B$2:$B$2676,"")</f>
        <v>IWM</v>
      </c>
    </row>
    <row r="1122" spans="1:4" x14ac:dyDescent="0.25">
      <c r="A1122" s="379">
        <v>45784.590277777781</v>
      </c>
      <c r="B1122" s="382" t="s">
        <v>781</v>
      </c>
      <c r="C1122" s="377" t="s">
        <v>4959</v>
      </c>
      <c r="D1122" s="6" t="str">
        <f>_xlfn.XLOOKUP(B1122,Indices!$A$2:$A$2676,Indices!$B$2:$B$2676,"")</f>
        <v>IWM</v>
      </c>
    </row>
    <row r="1123" spans="1:4" x14ac:dyDescent="0.25">
      <c r="A1123" s="379">
        <v>45784.590277777781</v>
      </c>
      <c r="B1123" s="382" t="s">
        <v>121</v>
      </c>
      <c r="C1123" s="377" t="s">
        <v>4959</v>
      </c>
      <c r="D1123" s="6" t="str">
        <f>_xlfn.XLOOKUP(B1123,Indices!$A$2:$A$2676,Indices!$B$2:$B$2676,"")</f>
        <v>IWM</v>
      </c>
    </row>
    <row r="1124" spans="1:4" x14ac:dyDescent="0.25">
      <c r="A1124" s="379">
        <v>45784.590277777781</v>
      </c>
      <c r="B1124" s="382" t="s">
        <v>3202</v>
      </c>
      <c r="C1124" s="377" t="s">
        <v>4959</v>
      </c>
      <c r="D1124" s="6" t="str">
        <f>_xlfn.XLOOKUP(B1124,Indices!$A$2:$A$2676,Indices!$B$2:$B$2676,"")</f>
        <v/>
      </c>
    </row>
    <row r="1125" spans="1:4" x14ac:dyDescent="0.25">
      <c r="A1125" s="379">
        <v>45784.590277777781</v>
      </c>
      <c r="B1125" s="382" t="s">
        <v>1038</v>
      </c>
      <c r="C1125" s="377" t="s">
        <v>4959</v>
      </c>
      <c r="D1125" s="6" t="str">
        <f>_xlfn.XLOOKUP(B1125,Indices!$A$2:$A$2676,Indices!$B$2:$B$2676,"")</f>
        <v>IWM</v>
      </c>
    </row>
    <row r="1126" spans="1:4" x14ac:dyDescent="0.25">
      <c r="A1126" s="379">
        <v>45784.59097222222</v>
      </c>
      <c r="B1126" s="382" t="s">
        <v>1003</v>
      </c>
      <c r="C1126" s="377" t="s">
        <v>4960</v>
      </c>
      <c r="D1126" s="6" t="str">
        <f>_xlfn.XLOOKUP(B1126,Indices!$A$2:$A$2676,Indices!$B$2:$B$2676,"")</f>
        <v>IWM</v>
      </c>
    </row>
    <row r="1127" spans="1:4" x14ac:dyDescent="0.25">
      <c r="A1127" s="379">
        <v>45784.59097222222</v>
      </c>
      <c r="B1127" s="382" t="s">
        <v>466</v>
      </c>
      <c r="C1127" s="377" t="s">
        <v>4960</v>
      </c>
      <c r="D1127" s="6" t="str">
        <f>_xlfn.XLOOKUP(B1127,Indices!$A$2:$A$2676,Indices!$B$2:$B$2676,"")</f>
        <v>S&amp;P Mid</v>
      </c>
    </row>
    <row r="1128" spans="1:4" x14ac:dyDescent="0.25">
      <c r="A1128" s="379">
        <v>45784.59097222222</v>
      </c>
      <c r="B1128" s="382" t="s">
        <v>3322</v>
      </c>
      <c r="C1128" s="377" t="s">
        <v>4960</v>
      </c>
      <c r="D1128" s="6" t="str">
        <f>_xlfn.XLOOKUP(B1128,Indices!$A$2:$A$2676,Indices!$B$2:$B$2676,"")</f>
        <v/>
      </c>
    </row>
    <row r="1129" spans="1:4" x14ac:dyDescent="0.25">
      <c r="A1129" s="379">
        <v>45784.59097222222</v>
      </c>
      <c r="B1129" s="382" t="s">
        <v>2557</v>
      </c>
      <c r="C1129" s="377" t="s">
        <v>4960</v>
      </c>
      <c r="D1129" s="6" t="str">
        <f>_xlfn.XLOOKUP(B1129,Indices!$A$2:$A$2676,Indices!$B$2:$B$2676,"")</f>
        <v/>
      </c>
    </row>
    <row r="1130" spans="1:4" x14ac:dyDescent="0.25">
      <c r="A1130" s="379">
        <v>45784.591666666667</v>
      </c>
      <c r="B1130" s="382" t="s">
        <v>797</v>
      </c>
      <c r="C1130" s="377" t="s">
        <v>4961</v>
      </c>
      <c r="D1130" s="6" t="str">
        <f>_xlfn.XLOOKUP(B1130,Indices!$A$2:$A$2676,Indices!$B$2:$B$2676,"")</f>
        <v>S&amp;P Mid</v>
      </c>
    </row>
    <row r="1131" spans="1:4" x14ac:dyDescent="0.25">
      <c r="A1131" s="379">
        <v>45784.592361111114</v>
      </c>
      <c r="B1131" s="382" t="s">
        <v>3438</v>
      </c>
      <c r="C1131" s="377" t="s">
        <v>4962</v>
      </c>
      <c r="D1131" s="6" t="str">
        <f>_xlfn.XLOOKUP(B1131,Indices!$A$2:$A$2676,Indices!$B$2:$B$2676,"")</f>
        <v/>
      </c>
    </row>
    <row r="1132" spans="1:4" x14ac:dyDescent="0.25">
      <c r="A1132" s="379">
        <v>45784.592361111114</v>
      </c>
      <c r="B1132" s="382" t="s">
        <v>356</v>
      </c>
      <c r="C1132" s="377" t="s">
        <v>4962</v>
      </c>
      <c r="D1132" s="6" t="str">
        <f>_xlfn.XLOOKUP(B1132,Indices!$A$2:$A$2676,Indices!$B$2:$B$2676,"")</f>
        <v>IWM</v>
      </c>
    </row>
    <row r="1133" spans="1:4" x14ac:dyDescent="0.25">
      <c r="A1133" s="379">
        <v>45784.592361111114</v>
      </c>
      <c r="B1133" s="382" t="s">
        <v>643</v>
      </c>
      <c r="C1133" s="377" t="s">
        <v>4962</v>
      </c>
      <c r="D1133" s="6" t="str">
        <f>_xlfn.XLOOKUP(B1133,Indices!$A$2:$A$2676,Indices!$B$2:$B$2676,"")</f>
        <v>IWM</v>
      </c>
    </row>
    <row r="1134" spans="1:4" x14ac:dyDescent="0.25">
      <c r="A1134" s="379">
        <v>45784.593055555553</v>
      </c>
      <c r="B1134" s="382" t="s">
        <v>421</v>
      </c>
      <c r="C1134" s="377" t="s">
        <v>4963</v>
      </c>
      <c r="D1134" s="6" t="str">
        <f>_xlfn.XLOOKUP(B1134,Indices!$A$2:$A$2676,Indices!$B$2:$B$2676,"")</f>
        <v>IWM</v>
      </c>
    </row>
    <row r="1135" spans="1:4" x14ac:dyDescent="0.25">
      <c r="A1135" s="379">
        <v>45784.593055555553</v>
      </c>
      <c r="B1135" s="382" t="s">
        <v>2934</v>
      </c>
      <c r="C1135" s="377" t="s">
        <v>4963</v>
      </c>
      <c r="D1135" s="6" t="str">
        <f>_xlfn.XLOOKUP(B1135,Indices!$A$2:$A$2676,Indices!$B$2:$B$2676,"")</f>
        <v/>
      </c>
    </row>
    <row r="1136" spans="1:4" x14ac:dyDescent="0.25">
      <c r="A1136" s="379">
        <v>45784.59375</v>
      </c>
      <c r="B1136" s="382" t="s">
        <v>454</v>
      </c>
      <c r="C1136" s="377" t="s">
        <v>4964</v>
      </c>
      <c r="D1136" s="6" t="str">
        <f>_xlfn.XLOOKUP(B1136,Indices!$A$2:$A$2676,Indices!$B$2:$B$2676,"")</f>
        <v>IWM</v>
      </c>
    </row>
    <row r="1137" spans="1:4" x14ac:dyDescent="0.25">
      <c r="A1137" s="379">
        <v>45784.59375</v>
      </c>
      <c r="B1137" s="382" t="s">
        <v>453</v>
      </c>
      <c r="C1137" s="377" t="s">
        <v>4964</v>
      </c>
      <c r="D1137" s="6" t="str">
        <f>_xlfn.XLOOKUP(B1137,Indices!$A$2:$A$2676,Indices!$B$2:$B$2676,"")</f>
        <v>S&amp;P Mid</v>
      </c>
    </row>
    <row r="1138" spans="1:4" x14ac:dyDescent="0.25">
      <c r="A1138" s="379">
        <v>45784.59375</v>
      </c>
      <c r="B1138" s="382" t="s">
        <v>3332</v>
      </c>
      <c r="C1138" s="377" t="s">
        <v>4964</v>
      </c>
      <c r="D1138" s="6" t="str">
        <f>_xlfn.XLOOKUP(B1138,Indices!$A$2:$A$2676,Indices!$B$2:$B$2676,"")</f>
        <v/>
      </c>
    </row>
    <row r="1139" spans="1:4" x14ac:dyDescent="0.25">
      <c r="A1139" s="379">
        <v>45784.59375</v>
      </c>
      <c r="B1139" s="382" t="s">
        <v>405</v>
      </c>
      <c r="C1139" s="377" t="s">
        <v>4964</v>
      </c>
      <c r="D1139" s="6" t="str">
        <f>_xlfn.XLOOKUP(B1139,Indices!$A$2:$A$2676,Indices!$B$2:$B$2676,"")</f>
        <v>IWM</v>
      </c>
    </row>
    <row r="1140" spans="1:4" x14ac:dyDescent="0.25">
      <c r="A1140" s="379">
        <v>45784.59375</v>
      </c>
      <c r="B1140" s="382" t="s">
        <v>2489</v>
      </c>
      <c r="C1140" s="377" t="s">
        <v>4964</v>
      </c>
      <c r="D1140" s="6" t="str">
        <f>_xlfn.XLOOKUP(B1140,Indices!$A$2:$A$2676,Indices!$B$2:$B$2676,"")</f>
        <v>S&amp;P Mid</v>
      </c>
    </row>
    <row r="1141" spans="1:4" x14ac:dyDescent="0.25">
      <c r="A1141" s="379">
        <v>45784.59375</v>
      </c>
      <c r="B1141" s="382" t="s">
        <v>1065</v>
      </c>
      <c r="C1141" s="377" t="s">
        <v>4964</v>
      </c>
      <c r="D1141" s="6" t="str">
        <f>_xlfn.XLOOKUP(B1141,Indices!$A$2:$A$2676,Indices!$B$2:$B$2676,"")</f>
        <v>IWM</v>
      </c>
    </row>
    <row r="1142" spans="1:4" x14ac:dyDescent="0.25">
      <c r="A1142" s="379">
        <v>45784.59375</v>
      </c>
      <c r="B1142" s="382" t="s">
        <v>468</v>
      </c>
      <c r="C1142" s="377" t="s">
        <v>4964</v>
      </c>
      <c r="D1142" s="6" t="str">
        <f>_xlfn.XLOOKUP(B1142,Indices!$A$2:$A$2676,Indices!$B$2:$B$2676,"")</f>
        <v>IWM</v>
      </c>
    </row>
    <row r="1143" spans="1:4" x14ac:dyDescent="0.25">
      <c r="A1143" s="379">
        <v>45784.59375</v>
      </c>
      <c r="B1143" s="382" t="s">
        <v>432</v>
      </c>
      <c r="C1143" s="377" t="s">
        <v>4964</v>
      </c>
      <c r="D1143" s="6" t="str">
        <f>_xlfn.XLOOKUP(B1143,Indices!$A$2:$A$2676,Indices!$B$2:$B$2676,"")</f>
        <v>IWM</v>
      </c>
    </row>
    <row r="1144" spans="1:4" x14ac:dyDescent="0.25">
      <c r="A1144" s="379">
        <v>45784.59375</v>
      </c>
      <c r="B1144" s="382" t="s">
        <v>435</v>
      </c>
      <c r="C1144" s="377" t="s">
        <v>4964</v>
      </c>
      <c r="D1144" s="6" t="str">
        <f>_xlfn.XLOOKUP(B1144,Indices!$A$2:$A$2676,Indices!$B$2:$B$2676,"")</f>
        <v>S&amp;P Mid</v>
      </c>
    </row>
    <row r="1145" spans="1:4" x14ac:dyDescent="0.25">
      <c r="A1145" s="379">
        <v>45784.59375</v>
      </c>
      <c r="B1145" s="382" t="s">
        <v>434</v>
      </c>
      <c r="C1145" s="377" t="s">
        <v>4964</v>
      </c>
      <c r="D1145" s="6" t="str">
        <f>_xlfn.XLOOKUP(B1145,Indices!$A$2:$A$2676,Indices!$B$2:$B$2676,"")</f>
        <v>S&amp;P Mid</v>
      </c>
    </row>
    <row r="1146" spans="1:4" x14ac:dyDescent="0.25">
      <c r="A1146" s="379">
        <v>45784.59375</v>
      </c>
      <c r="B1146" s="382" t="s">
        <v>132</v>
      </c>
      <c r="C1146" s="377" t="s">
        <v>4964</v>
      </c>
      <c r="D1146" s="6" t="str">
        <f>_xlfn.XLOOKUP(B1146,Indices!$A$2:$A$2676,Indices!$B$2:$B$2676,"")</f>
        <v>IWM</v>
      </c>
    </row>
    <row r="1147" spans="1:4" x14ac:dyDescent="0.25">
      <c r="A1147" s="379">
        <v>45784.59375</v>
      </c>
      <c r="B1147" s="382" t="s">
        <v>2021</v>
      </c>
      <c r="C1147" s="377" t="s">
        <v>4964</v>
      </c>
      <c r="D1147" s="6" t="str">
        <f>_xlfn.XLOOKUP(B1147,Indices!$A$2:$A$2676,Indices!$B$2:$B$2676,"")</f>
        <v>IWM</v>
      </c>
    </row>
    <row r="1148" spans="1:4" x14ac:dyDescent="0.25">
      <c r="A1148" s="379">
        <v>45784.59375</v>
      </c>
      <c r="B1148" s="382" t="s">
        <v>2400</v>
      </c>
      <c r="C1148" s="377" t="s">
        <v>4964</v>
      </c>
      <c r="D1148" s="6" t="str">
        <f>_xlfn.XLOOKUP(B1148,Indices!$A$2:$A$2676,Indices!$B$2:$B$2676,"")</f>
        <v>S&amp;P Mid</v>
      </c>
    </row>
    <row r="1149" spans="1:4" x14ac:dyDescent="0.25">
      <c r="A1149" s="379">
        <v>45784.59375</v>
      </c>
      <c r="B1149" s="382" t="s">
        <v>444</v>
      </c>
      <c r="C1149" s="377" t="s">
        <v>4964</v>
      </c>
      <c r="D1149" s="6" t="str">
        <f>_xlfn.XLOOKUP(B1149,Indices!$A$2:$A$2676,Indices!$B$2:$B$2676,"")</f>
        <v>IWM</v>
      </c>
    </row>
    <row r="1150" spans="1:4" x14ac:dyDescent="0.25">
      <c r="A1150" s="379">
        <v>45784.59375</v>
      </c>
      <c r="B1150" s="382" t="s">
        <v>451</v>
      </c>
      <c r="C1150" s="377" t="s">
        <v>4964</v>
      </c>
      <c r="D1150" s="6" t="str">
        <f>_xlfn.XLOOKUP(B1150,Indices!$A$2:$A$2676,Indices!$B$2:$B$2676,"")</f>
        <v>IWM</v>
      </c>
    </row>
    <row r="1151" spans="1:4" x14ac:dyDescent="0.25">
      <c r="A1151" s="379">
        <v>45784.59375</v>
      </c>
      <c r="B1151" s="382" t="s">
        <v>994</v>
      </c>
      <c r="C1151" s="377" t="s">
        <v>4964</v>
      </c>
      <c r="D1151" s="6" t="str">
        <f>_xlfn.XLOOKUP(B1151,Indices!$A$2:$A$2676,Indices!$B$2:$B$2676,"")</f>
        <v>IWM</v>
      </c>
    </row>
    <row r="1152" spans="1:4" x14ac:dyDescent="0.25">
      <c r="A1152" s="379">
        <v>45784.59375</v>
      </c>
      <c r="B1152" s="382" t="s">
        <v>2594</v>
      </c>
      <c r="C1152" s="377" t="s">
        <v>4964</v>
      </c>
      <c r="D1152" s="6" t="str">
        <f>_xlfn.XLOOKUP(B1152,Indices!$A$2:$A$2676,Indices!$B$2:$B$2676,"")</f>
        <v/>
      </c>
    </row>
    <row r="1153" spans="1:4" x14ac:dyDescent="0.25">
      <c r="A1153" s="379">
        <v>45784.59375</v>
      </c>
      <c r="B1153" s="382" t="s">
        <v>1041</v>
      </c>
      <c r="C1153" s="377" t="s">
        <v>4964</v>
      </c>
      <c r="D1153" s="6" t="str">
        <f>_xlfn.XLOOKUP(B1153,Indices!$A$2:$A$2676,Indices!$B$2:$B$2676,"")</f>
        <v>IWM</v>
      </c>
    </row>
    <row r="1154" spans="1:4" x14ac:dyDescent="0.25">
      <c r="A1154" s="379">
        <v>45784.59375</v>
      </c>
      <c r="B1154" s="382" t="s">
        <v>463</v>
      </c>
      <c r="C1154" s="377" t="s">
        <v>4964</v>
      </c>
      <c r="D1154" s="6" t="str">
        <f>_xlfn.XLOOKUP(B1154,Indices!$A$2:$A$2676,Indices!$B$2:$B$2676,"")</f>
        <v>IWM</v>
      </c>
    </row>
    <row r="1155" spans="1:4" x14ac:dyDescent="0.25">
      <c r="A1155" s="379">
        <v>45784.59375</v>
      </c>
      <c r="B1155" s="382" t="s">
        <v>445</v>
      </c>
      <c r="C1155" s="377" t="s">
        <v>4964</v>
      </c>
      <c r="D1155" s="6" t="str">
        <f>_xlfn.XLOOKUP(B1155,Indices!$A$2:$A$2676,Indices!$B$2:$B$2676,"")</f>
        <v>IWM</v>
      </c>
    </row>
    <row r="1156" spans="1:4" x14ac:dyDescent="0.25">
      <c r="A1156" s="379">
        <v>45784.59375</v>
      </c>
      <c r="B1156" s="382" t="s">
        <v>470</v>
      </c>
      <c r="C1156" s="377" t="s">
        <v>4964</v>
      </c>
      <c r="D1156" s="6" t="str">
        <f>_xlfn.XLOOKUP(B1156,Indices!$A$2:$A$2676,Indices!$B$2:$B$2676,"")</f>
        <v>S&amp;P Mid</v>
      </c>
    </row>
    <row r="1157" spans="1:4" x14ac:dyDescent="0.25">
      <c r="A1157" s="379">
        <v>45784.59375</v>
      </c>
      <c r="B1157" s="382" t="s">
        <v>3306</v>
      </c>
      <c r="C1157" s="377" t="s">
        <v>4964</v>
      </c>
      <c r="D1157" s="6" t="str">
        <f>_xlfn.XLOOKUP(B1157,Indices!$A$2:$A$2676,Indices!$B$2:$B$2676,"")</f>
        <v/>
      </c>
    </row>
    <row r="1158" spans="1:4" x14ac:dyDescent="0.25">
      <c r="A1158" s="379">
        <v>45784.59375</v>
      </c>
      <c r="B1158" s="382" t="s">
        <v>795</v>
      </c>
      <c r="C1158" s="377" t="s">
        <v>4964</v>
      </c>
      <c r="D1158" s="6" t="str">
        <f>_xlfn.XLOOKUP(B1158,Indices!$A$2:$A$2676,Indices!$B$2:$B$2676,"")</f>
        <v>IWM</v>
      </c>
    </row>
    <row r="1159" spans="1:4" x14ac:dyDescent="0.25">
      <c r="A1159" s="379">
        <v>45784.59375</v>
      </c>
      <c r="B1159" s="382" t="s">
        <v>410</v>
      </c>
      <c r="C1159" s="377" t="s">
        <v>4964</v>
      </c>
      <c r="D1159" s="6" t="str">
        <f>_xlfn.XLOOKUP(B1159,Indices!$A$2:$A$2676,Indices!$B$2:$B$2676,"")</f>
        <v>IWM</v>
      </c>
    </row>
    <row r="1160" spans="1:4" x14ac:dyDescent="0.25">
      <c r="A1160" s="379">
        <v>45784.59375</v>
      </c>
      <c r="B1160" s="382" t="s">
        <v>3302</v>
      </c>
      <c r="C1160" s="377" t="s">
        <v>4964</v>
      </c>
      <c r="D1160" s="6" t="str">
        <f>_xlfn.XLOOKUP(B1160,Indices!$A$2:$A$2676,Indices!$B$2:$B$2676,"")</f>
        <v/>
      </c>
    </row>
    <row r="1161" spans="1:4" x14ac:dyDescent="0.25">
      <c r="A1161" s="379">
        <v>45784.59375</v>
      </c>
      <c r="B1161" s="382" t="s">
        <v>446</v>
      </c>
      <c r="C1161" s="377" t="s">
        <v>4964</v>
      </c>
      <c r="D1161" s="6" t="str">
        <f>_xlfn.XLOOKUP(B1161,Indices!$A$2:$A$2676,Indices!$B$2:$B$2676,"")</f>
        <v>IWM</v>
      </c>
    </row>
    <row r="1162" spans="1:4" x14ac:dyDescent="0.25">
      <c r="A1162" s="379">
        <v>45784.59375</v>
      </c>
      <c r="B1162" s="382" t="s">
        <v>1000</v>
      </c>
      <c r="C1162" s="377" t="s">
        <v>4964</v>
      </c>
      <c r="D1162" s="6" t="str">
        <f>_xlfn.XLOOKUP(B1162,Indices!$A$2:$A$2676,Indices!$B$2:$B$2676,"")</f>
        <v>IWM</v>
      </c>
    </row>
    <row r="1163" spans="1:4" x14ac:dyDescent="0.25">
      <c r="A1163" s="379">
        <v>45784.59375</v>
      </c>
      <c r="B1163" s="382" t="s">
        <v>442</v>
      </c>
      <c r="C1163" s="377" t="s">
        <v>4964</v>
      </c>
      <c r="D1163" s="6" t="str">
        <f>_xlfn.XLOOKUP(B1163,Indices!$A$2:$A$2676,Indices!$B$2:$B$2676,"")</f>
        <v>IWM</v>
      </c>
    </row>
    <row r="1164" spans="1:4" x14ac:dyDescent="0.25">
      <c r="A1164" s="379">
        <v>45784.59375</v>
      </c>
      <c r="B1164" s="382" t="s">
        <v>990</v>
      </c>
      <c r="C1164" s="377" t="s">
        <v>4964</v>
      </c>
      <c r="D1164" s="6" t="str">
        <f>_xlfn.XLOOKUP(B1164,Indices!$A$2:$A$2676,Indices!$B$2:$B$2676,"")</f>
        <v>SP500</v>
      </c>
    </row>
    <row r="1165" spans="1:4" x14ac:dyDescent="0.25">
      <c r="A1165" s="379">
        <v>45784.59375</v>
      </c>
      <c r="B1165" s="382" t="s">
        <v>512</v>
      </c>
      <c r="C1165" s="377" t="s">
        <v>4964</v>
      </c>
      <c r="D1165" s="6" t="str">
        <f>_xlfn.XLOOKUP(B1165,Indices!$A$2:$A$2676,Indices!$B$2:$B$2676,"")</f>
        <v>IWM</v>
      </c>
    </row>
    <row r="1166" spans="1:4" x14ac:dyDescent="0.25">
      <c r="A1166" s="379">
        <v>45784.59375</v>
      </c>
      <c r="B1166" s="382" t="s">
        <v>439</v>
      </c>
      <c r="C1166" s="377" t="s">
        <v>4964</v>
      </c>
      <c r="D1166" s="6" t="str">
        <f>_xlfn.XLOOKUP(B1166,Indices!$A$2:$A$2676,Indices!$B$2:$B$2676,"")</f>
        <v>IWM</v>
      </c>
    </row>
    <row r="1167" spans="1:4" x14ac:dyDescent="0.25">
      <c r="A1167" s="379">
        <v>45784.59375</v>
      </c>
      <c r="B1167" s="382" t="s">
        <v>2002</v>
      </c>
      <c r="C1167" s="377" t="s">
        <v>4964</v>
      </c>
      <c r="D1167" s="6" t="str">
        <f>_xlfn.XLOOKUP(B1167,Indices!$A$2:$A$2676,Indices!$B$2:$B$2676,"")</f>
        <v>IWM</v>
      </c>
    </row>
    <row r="1168" spans="1:4" x14ac:dyDescent="0.25">
      <c r="A1168" s="379">
        <v>45784.59375</v>
      </c>
      <c r="B1168" s="382" t="s">
        <v>3374</v>
      </c>
      <c r="C1168" s="377" t="s">
        <v>4964</v>
      </c>
      <c r="D1168" s="6" t="str">
        <f>_xlfn.XLOOKUP(B1168,Indices!$A$2:$A$2676,Indices!$B$2:$B$2676,"")</f>
        <v/>
      </c>
    </row>
    <row r="1169" spans="1:4" x14ac:dyDescent="0.25">
      <c r="A1169" s="379">
        <v>45784.59375</v>
      </c>
      <c r="B1169" s="382" t="s">
        <v>3377</v>
      </c>
      <c r="C1169" s="377" t="s">
        <v>4964</v>
      </c>
      <c r="D1169" s="6" t="str">
        <f>_xlfn.XLOOKUP(B1169,Indices!$A$2:$A$2676,Indices!$B$2:$B$2676,"")</f>
        <v/>
      </c>
    </row>
    <row r="1170" spans="1:4" x14ac:dyDescent="0.25">
      <c r="A1170" s="379">
        <v>45784.59375</v>
      </c>
      <c r="B1170" s="382" t="s">
        <v>443</v>
      </c>
      <c r="C1170" s="377" t="s">
        <v>4964</v>
      </c>
      <c r="D1170" s="6" t="str">
        <f>_xlfn.XLOOKUP(B1170,Indices!$A$2:$A$2676,Indices!$B$2:$B$2676,"")</f>
        <v>S&amp;P Mid</v>
      </c>
    </row>
    <row r="1171" spans="1:4" x14ac:dyDescent="0.25">
      <c r="A1171" s="379">
        <v>45784.59375</v>
      </c>
      <c r="B1171" s="382" t="s">
        <v>479</v>
      </c>
      <c r="C1171" s="377" t="s">
        <v>4964</v>
      </c>
      <c r="D1171" s="6" t="str">
        <f>_xlfn.XLOOKUP(B1171,Indices!$A$2:$A$2676,Indices!$B$2:$B$2676,"")</f>
        <v>IWM</v>
      </c>
    </row>
    <row r="1172" spans="1:4" x14ac:dyDescent="0.25">
      <c r="A1172" s="379">
        <v>45784.59375</v>
      </c>
      <c r="B1172" s="382" t="s">
        <v>783</v>
      </c>
      <c r="C1172" s="377" t="s">
        <v>4964</v>
      </c>
      <c r="D1172" s="6" t="str">
        <f>_xlfn.XLOOKUP(B1172,Indices!$A$2:$A$2676,Indices!$B$2:$B$2676,"")</f>
        <v>IWM</v>
      </c>
    </row>
    <row r="1173" spans="1:4" x14ac:dyDescent="0.25">
      <c r="A1173" s="379">
        <v>45784.595138888886</v>
      </c>
      <c r="B1173" s="382" t="s">
        <v>462</v>
      </c>
      <c r="C1173" s="377" t="s">
        <v>4965</v>
      </c>
      <c r="D1173" s="6" t="str">
        <f>_xlfn.XLOOKUP(B1173,Indices!$A$2:$A$2676,Indices!$B$2:$B$2676,"")</f>
        <v>S&amp;P Mid</v>
      </c>
    </row>
    <row r="1174" spans="1:4" x14ac:dyDescent="0.25">
      <c r="A1174" s="379">
        <v>45784.595138888886</v>
      </c>
      <c r="B1174" s="382" t="s">
        <v>447</v>
      </c>
      <c r="C1174" s="377" t="s">
        <v>4965</v>
      </c>
      <c r="D1174" s="6" t="str">
        <f>_xlfn.XLOOKUP(B1174,Indices!$A$2:$A$2676,Indices!$B$2:$B$2676,"")</f>
        <v>IWM</v>
      </c>
    </row>
    <row r="1175" spans="1:4" x14ac:dyDescent="0.25">
      <c r="A1175" s="379">
        <v>45784.595138888886</v>
      </c>
      <c r="B1175" s="382" t="s">
        <v>505</v>
      </c>
      <c r="C1175" s="377" t="s">
        <v>4965</v>
      </c>
      <c r="D1175" s="6" t="str">
        <f>_xlfn.XLOOKUP(B1175,Indices!$A$2:$A$2676,Indices!$B$2:$B$2676,"")</f>
        <v>SP500</v>
      </c>
    </row>
    <row r="1176" spans="1:4" x14ac:dyDescent="0.25">
      <c r="A1176" s="379">
        <v>45784.595138888886</v>
      </c>
      <c r="B1176" s="382" t="s">
        <v>3290</v>
      </c>
      <c r="C1176" s="377" t="s">
        <v>4965</v>
      </c>
      <c r="D1176" s="6" t="str">
        <f>_xlfn.XLOOKUP(B1176,Indices!$A$2:$A$2676,Indices!$B$2:$B$2676,"")</f>
        <v/>
      </c>
    </row>
    <row r="1177" spans="1:4" x14ac:dyDescent="0.25">
      <c r="A1177" s="379">
        <v>45784.595833333333</v>
      </c>
      <c r="B1177" s="382" t="s">
        <v>2189</v>
      </c>
      <c r="C1177" s="377" t="s">
        <v>4966</v>
      </c>
      <c r="D1177" s="6" t="str">
        <f>_xlfn.XLOOKUP(B1177,Indices!$A$2:$A$2676,Indices!$B$2:$B$2676,"")</f>
        <v>IWM</v>
      </c>
    </row>
    <row r="1178" spans="1:4" x14ac:dyDescent="0.25">
      <c r="A1178" s="379">
        <v>45784.59652777778</v>
      </c>
      <c r="B1178" s="382" t="s">
        <v>228</v>
      </c>
      <c r="C1178" s="377" t="s">
        <v>4967</v>
      </c>
      <c r="D1178" s="6" t="str">
        <f>_xlfn.XLOOKUP(B1178,Indices!$A$2:$A$2676,Indices!$B$2:$B$2676,"")</f>
        <v>IWM</v>
      </c>
    </row>
    <row r="1179" spans="1:4" x14ac:dyDescent="0.25">
      <c r="A1179" s="379">
        <v>45784.597222222219</v>
      </c>
      <c r="B1179" s="382" t="s">
        <v>448</v>
      </c>
      <c r="C1179" s="377" t="s">
        <v>4968</v>
      </c>
      <c r="D1179" s="6" t="str">
        <f>_xlfn.XLOOKUP(B1179,Indices!$A$2:$A$2676,Indices!$B$2:$B$2676,"")</f>
        <v>IWM</v>
      </c>
    </row>
    <row r="1180" spans="1:4" x14ac:dyDescent="0.25">
      <c r="A1180" s="379">
        <v>45784.597222222219</v>
      </c>
      <c r="B1180" s="382" t="s">
        <v>485</v>
      </c>
      <c r="C1180" s="377" t="s">
        <v>4968</v>
      </c>
      <c r="D1180" s="6" t="str">
        <f>_xlfn.XLOOKUP(B1180,Indices!$A$2:$A$2676,Indices!$B$2:$B$2676,"")</f>
        <v>IWM</v>
      </c>
    </row>
    <row r="1181" spans="1:4" x14ac:dyDescent="0.25">
      <c r="A1181" s="379">
        <v>45784.597222222219</v>
      </c>
      <c r="B1181" s="382" t="s">
        <v>1950</v>
      </c>
      <c r="C1181" s="377" t="s">
        <v>4968</v>
      </c>
      <c r="D1181" s="6" t="str">
        <f>_xlfn.XLOOKUP(B1181,Indices!$A$2:$A$2676,Indices!$B$2:$B$2676,"")</f>
        <v>IWM</v>
      </c>
    </row>
    <row r="1182" spans="1:4" x14ac:dyDescent="0.25">
      <c r="A1182" s="379">
        <v>45784.597222222219</v>
      </c>
      <c r="B1182" s="382" t="s">
        <v>464</v>
      </c>
      <c r="C1182" s="377" t="s">
        <v>4968</v>
      </c>
      <c r="D1182" s="6" t="str">
        <f>_xlfn.XLOOKUP(B1182,Indices!$A$2:$A$2676,Indices!$B$2:$B$2676,"")</f>
        <v>IWM</v>
      </c>
    </row>
    <row r="1183" spans="1:4" x14ac:dyDescent="0.25">
      <c r="A1183" s="379">
        <v>45784.6</v>
      </c>
      <c r="B1183" s="382" t="s">
        <v>232</v>
      </c>
      <c r="C1183" s="377" t="s">
        <v>4969</v>
      </c>
      <c r="D1183" s="6" t="str">
        <f>_xlfn.XLOOKUP(B1183,Indices!$A$2:$A$2676,Indices!$B$2:$B$2676,"")</f>
        <v>IWM</v>
      </c>
    </row>
    <row r="1184" spans="1:4" x14ac:dyDescent="0.25">
      <c r="A1184" s="379">
        <v>45784.6</v>
      </c>
      <c r="B1184" s="382" t="s">
        <v>3326</v>
      </c>
      <c r="C1184" s="377" t="s">
        <v>4969</v>
      </c>
      <c r="D1184" s="6" t="str">
        <f>_xlfn.XLOOKUP(B1184,Indices!$A$2:$A$2676,Indices!$B$2:$B$2676,"")</f>
        <v/>
      </c>
    </row>
    <row r="1185" spans="1:4" x14ac:dyDescent="0.25">
      <c r="A1185" s="379">
        <v>45784.602083333331</v>
      </c>
      <c r="B1185" s="382" t="s">
        <v>2979</v>
      </c>
      <c r="C1185" s="377" t="s">
        <v>4970</v>
      </c>
      <c r="D1185" s="6" t="str">
        <f>_xlfn.XLOOKUP(B1185,Indices!$A$2:$A$2676,Indices!$B$2:$B$2676,"")</f>
        <v/>
      </c>
    </row>
    <row r="1186" spans="1:4" x14ac:dyDescent="0.25">
      <c r="A1186" s="379">
        <v>45784.602777777778</v>
      </c>
      <c r="B1186" s="382" t="s">
        <v>471</v>
      </c>
      <c r="C1186" s="377" t="s">
        <v>4971</v>
      </c>
      <c r="D1186" s="6" t="str">
        <f>_xlfn.XLOOKUP(B1186,Indices!$A$2:$A$2676,Indices!$B$2:$B$2676,"")</f>
        <v>IWM</v>
      </c>
    </row>
    <row r="1187" spans="1:4" x14ac:dyDescent="0.25">
      <c r="A1187" s="379">
        <v>45784.604166666664</v>
      </c>
      <c r="B1187" s="382" t="s">
        <v>151</v>
      </c>
      <c r="C1187" s="377" t="s">
        <v>4972</v>
      </c>
      <c r="D1187" s="6" t="str">
        <f>_xlfn.XLOOKUP(B1187,Indices!$A$2:$A$2676,Indices!$B$2:$B$2676,"")</f>
        <v>S&amp;P Mid</v>
      </c>
    </row>
    <row r="1188" spans="1:4" x14ac:dyDescent="0.25">
      <c r="A1188" s="379">
        <v>45784.604166666664</v>
      </c>
      <c r="B1188" s="382" t="s">
        <v>980</v>
      </c>
      <c r="C1188" s="377" t="s">
        <v>4972</v>
      </c>
      <c r="D1188" s="6" t="str">
        <f>_xlfn.XLOOKUP(B1188,Indices!$A$2:$A$2676,Indices!$B$2:$B$2676,"")</f>
        <v>IWM</v>
      </c>
    </row>
    <row r="1189" spans="1:4" x14ac:dyDescent="0.25">
      <c r="A1189" s="379">
        <v>45784.604166666664</v>
      </c>
      <c r="B1189" s="382" t="s">
        <v>456</v>
      </c>
      <c r="C1189" s="377" t="s">
        <v>4972</v>
      </c>
      <c r="D1189" s="6" t="str">
        <f>_xlfn.XLOOKUP(B1189,Indices!$A$2:$A$2676,Indices!$B$2:$B$2676,"")</f>
        <v>IWM</v>
      </c>
    </row>
    <row r="1190" spans="1:4" x14ac:dyDescent="0.25">
      <c r="A1190" s="379">
        <v>45784.604166666664</v>
      </c>
      <c r="B1190" s="382" t="s">
        <v>544</v>
      </c>
      <c r="C1190" s="377" t="s">
        <v>4972</v>
      </c>
      <c r="D1190" s="6" t="str">
        <f>_xlfn.XLOOKUP(B1190,Indices!$A$2:$A$2676,Indices!$B$2:$B$2676,"")</f>
        <v>IWM</v>
      </c>
    </row>
    <row r="1191" spans="1:4" x14ac:dyDescent="0.25">
      <c r="A1191" s="379">
        <v>45784.604166666664</v>
      </c>
      <c r="B1191" s="382" t="s">
        <v>494</v>
      </c>
      <c r="C1191" s="377" t="s">
        <v>4972</v>
      </c>
      <c r="D1191" s="6" t="str">
        <f>_xlfn.XLOOKUP(B1191,Indices!$A$2:$A$2676,Indices!$B$2:$B$2676,"")</f>
        <v>IWM</v>
      </c>
    </row>
    <row r="1192" spans="1:4" x14ac:dyDescent="0.25">
      <c r="A1192" s="379">
        <v>45784.604166666664</v>
      </c>
      <c r="B1192" s="382" t="s">
        <v>2184</v>
      </c>
      <c r="C1192" s="377" t="s">
        <v>4972</v>
      </c>
      <c r="D1192" s="6" t="str">
        <f>_xlfn.XLOOKUP(B1192,Indices!$A$2:$A$2676,Indices!$B$2:$B$2676,"")</f>
        <v>IWM</v>
      </c>
    </row>
    <row r="1193" spans="1:4" x14ac:dyDescent="0.25">
      <c r="A1193" s="379">
        <v>45784.604166666664</v>
      </c>
      <c r="B1193" s="382" t="s">
        <v>3084</v>
      </c>
      <c r="C1193" s="377" t="s">
        <v>4972</v>
      </c>
      <c r="D1193" s="6" t="str">
        <f>_xlfn.XLOOKUP(B1193,Indices!$A$2:$A$2676,Indices!$B$2:$B$2676,"")</f>
        <v/>
      </c>
    </row>
    <row r="1194" spans="1:4" x14ac:dyDescent="0.25">
      <c r="A1194" s="379">
        <v>45784.604166666664</v>
      </c>
      <c r="B1194" s="382" t="s">
        <v>3303</v>
      </c>
      <c r="C1194" s="377" t="s">
        <v>4972</v>
      </c>
      <c r="D1194" s="6" t="str">
        <f>_xlfn.XLOOKUP(B1194,Indices!$A$2:$A$2676,Indices!$B$2:$B$2676,"")</f>
        <v/>
      </c>
    </row>
    <row r="1195" spans="1:4" x14ac:dyDescent="0.25">
      <c r="A1195" s="379">
        <v>45784.604166666664</v>
      </c>
      <c r="B1195" s="382" t="s">
        <v>815</v>
      </c>
      <c r="C1195" s="377" t="s">
        <v>4972</v>
      </c>
      <c r="D1195" s="6" t="str">
        <f>_xlfn.XLOOKUP(B1195,Indices!$A$2:$A$2676,Indices!$B$2:$B$2676,"")</f>
        <v>IWM</v>
      </c>
    </row>
    <row r="1196" spans="1:4" x14ac:dyDescent="0.25">
      <c r="A1196" s="379">
        <v>45784.604166666664</v>
      </c>
      <c r="B1196" s="382" t="s">
        <v>455</v>
      </c>
      <c r="C1196" s="377" t="s">
        <v>4972</v>
      </c>
      <c r="D1196" s="6" t="str">
        <f>_xlfn.XLOOKUP(B1196,Indices!$A$2:$A$2676,Indices!$B$2:$B$2676,"")</f>
        <v>SP500</v>
      </c>
    </row>
    <row r="1197" spans="1:4" x14ac:dyDescent="0.25">
      <c r="A1197" s="379">
        <v>45784.604166666664</v>
      </c>
      <c r="B1197" s="382" t="s">
        <v>811</v>
      </c>
      <c r="C1197" s="377" t="s">
        <v>4972</v>
      </c>
      <c r="D1197" s="6" t="str">
        <f>_xlfn.XLOOKUP(B1197,Indices!$A$2:$A$2676,Indices!$B$2:$B$2676,"")</f>
        <v>IWM</v>
      </c>
    </row>
    <row r="1198" spans="1:4" x14ac:dyDescent="0.25">
      <c r="A1198" s="379">
        <v>45784.604166666664</v>
      </c>
      <c r="B1198" s="382" t="s">
        <v>490</v>
      </c>
      <c r="C1198" s="377" t="s">
        <v>4972</v>
      </c>
      <c r="D1198" s="6" t="str">
        <f>_xlfn.XLOOKUP(B1198,Indices!$A$2:$A$2676,Indices!$B$2:$B$2676,"")</f>
        <v>IWM</v>
      </c>
    </row>
    <row r="1199" spans="1:4" x14ac:dyDescent="0.25">
      <c r="A1199" s="379">
        <v>45784.604166666664</v>
      </c>
      <c r="B1199" s="382" t="s">
        <v>2516</v>
      </c>
      <c r="C1199" s="377" t="s">
        <v>4972</v>
      </c>
      <c r="D1199" s="6" t="str">
        <f>_xlfn.XLOOKUP(B1199,Indices!$A$2:$A$2676,Indices!$B$2:$B$2676,"")</f>
        <v/>
      </c>
    </row>
    <row r="1200" spans="1:4" x14ac:dyDescent="0.25">
      <c r="A1200" s="379">
        <v>45784.604166666664</v>
      </c>
      <c r="B1200" s="382" t="s">
        <v>489</v>
      </c>
      <c r="C1200" s="377" t="s">
        <v>4972</v>
      </c>
      <c r="D1200" s="6" t="str">
        <f>_xlfn.XLOOKUP(B1200,Indices!$A$2:$A$2676,Indices!$B$2:$B$2676,"")</f>
        <v>S&amp;P Mid</v>
      </c>
    </row>
    <row r="1201" spans="1:4" x14ac:dyDescent="0.25">
      <c r="A1201" s="379">
        <v>45784.604166666664</v>
      </c>
      <c r="B1201" s="382" t="s">
        <v>508</v>
      </c>
      <c r="C1201" s="377" t="s">
        <v>4972</v>
      </c>
      <c r="D1201" s="6" t="str">
        <f>_xlfn.XLOOKUP(B1201,Indices!$A$2:$A$2676,Indices!$B$2:$B$2676,"")</f>
        <v>IWM</v>
      </c>
    </row>
    <row r="1202" spans="1:4" x14ac:dyDescent="0.25">
      <c r="A1202" s="379">
        <v>45784.604166666664</v>
      </c>
      <c r="B1202" s="382" t="s">
        <v>4257</v>
      </c>
      <c r="C1202" s="377" t="s">
        <v>4972</v>
      </c>
      <c r="D1202" s="6" t="str">
        <f>_xlfn.XLOOKUP(B1202,Indices!$A$2:$A$2676,Indices!$B$2:$B$2676,"")</f>
        <v/>
      </c>
    </row>
    <row r="1203" spans="1:4" x14ac:dyDescent="0.25">
      <c r="A1203" s="379">
        <v>45784.604166666664</v>
      </c>
      <c r="B1203" s="382" t="s">
        <v>1117</v>
      </c>
      <c r="C1203" s="377" t="s">
        <v>4972</v>
      </c>
      <c r="D1203" s="6" t="str">
        <f>_xlfn.XLOOKUP(B1203,Indices!$A$2:$A$2676,Indices!$B$2:$B$2676,"")</f>
        <v>S&amp;P Mid</v>
      </c>
    </row>
    <row r="1204" spans="1:4" x14ac:dyDescent="0.25">
      <c r="A1204" s="379">
        <v>45784.604166666664</v>
      </c>
      <c r="B1204" s="382" t="s">
        <v>484</v>
      </c>
      <c r="C1204" s="377" t="s">
        <v>4972</v>
      </c>
      <c r="D1204" s="6" t="str">
        <f>_xlfn.XLOOKUP(B1204,Indices!$A$2:$A$2676,Indices!$B$2:$B$2676,"")</f>
        <v>IWM</v>
      </c>
    </row>
    <row r="1205" spans="1:4" x14ac:dyDescent="0.25">
      <c r="A1205" s="379">
        <v>45784.604166666664</v>
      </c>
      <c r="B1205" s="382" t="s">
        <v>1554</v>
      </c>
      <c r="C1205" s="377" t="s">
        <v>4972</v>
      </c>
      <c r="D1205" s="6" t="str">
        <f>_xlfn.XLOOKUP(B1205,Indices!$A$2:$A$2676,Indices!$B$2:$B$2676,"")</f>
        <v>SP500</v>
      </c>
    </row>
    <row r="1206" spans="1:4" x14ac:dyDescent="0.25">
      <c r="A1206" s="379">
        <v>45784.604166666664</v>
      </c>
      <c r="B1206" s="382" t="s">
        <v>474</v>
      </c>
      <c r="C1206" s="377" t="s">
        <v>4972</v>
      </c>
      <c r="D1206" s="6" t="str">
        <f>_xlfn.XLOOKUP(B1206,Indices!$A$2:$A$2676,Indices!$B$2:$B$2676,"")</f>
        <v>IWM</v>
      </c>
    </row>
    <row r="1207" spans="1:4" x14ac:dyDescent="0.25">
      <c r="A1207" s="379">
        <v>45784.604166666664</v>
      </c>
      <c r="B1207" s="382" t="s">
        <v>2331</v>
      </c>
      <c r="C1207" s="377" t="s">
        <v>4972</v>
      </c>
      <c r="D1207" s="6" t="str">
        <f>_xlfn.XLOOKUP(B1207,Indices!$A$2:$A$2676,Indices!$B$2:$B$2676,"")</f>
        <v>S&amp;P Mid</v>
      </c>
    </row>
    <row r="1208" spans="1:4" x14ac:dyDescent="0.25">
      <c r="A1208" s="379">
        <v>45784.604861111111</v>
      </c>
      <c r="B1208" s="382" t="s">
        <v>2340</v>
      </c>
      <c r="C1208" s="377" t="s">
        <v>4973</v>
      </c>
      <c r="D1208" s="6" t="str">
        <f>_xlfn.XLOOKUP(B1208,Indices!$A$2:$A$2676,Indices!$B$2:$B$2676,"")</f>
        <v>S&amp;P Mid</v>
      </c>
    </row>
    <row r="1209" spans="1:4" x14ac:dyDescent="0.25">
      <c r="A1209" s="379">
        <v>45784.604861111111</v>
      </c>
      <c r="B1209" s="382" t="s">
        <v>465</v>
      </c>
      <c r="C1209" s="377" t="s">
        <v>4973</v>
      </c>
      <c r="D1209" s="6" t="str">
        <f>_xlfn.XLOOKUP(B1209,Indices!$A$2:$A$2676,Indices!$B$2:$B$2676,"")</f>
        <v>IWM</v>
      </c>
    </row>
    <row r="1210" spans="1:4" x14ac:dyDescent="0.25">
      <c r="A1210" s="379">
        <v>45784.605555555558</v>
      </c>
      <c r="B1210" s="382" t="s">
        <v>3793</v>
      </c>
      <c r="C1210" s="377" t="s">
        <v>4974</v>
      </c>
      <c r="D1210" s="6" t="str">
        <f>_xlfn.XLOOKUP(B1210,Indices!$A$2:$A$2676,Indices!$B$2:$B$2676,"")</f>
        <v/>
      </c>
    </row>
    <row r="1211" spans="1:4" x14ac:dyDescent="0.25">
      <c r="A1211" s="379">
        <v>45784.606249999997</v>
      </c>
      <c r="B1211" s="382" t="s">
        <v>2896</v>
      </c>
      <c r="C1211" s="377" t="s">
        <v>4975</v>
      </c>
      <c r="D1211" s="6" t="str">
        <f>_xlfn.XLOOKUP(B1211,Indices!$A$2:$A$2676,Indices!$B$2:$B$2676,"")</f>
        <v/>
      </c>
    </row>
    <row r="1212" spans="1:4" x14ac:dyDescent="0.25">
      <c r="A1212" s="379">
        <v>45784.606944444444</v>
      </c>
      <c r="B1212" s="382" t="s">
        <v>427</v>
      </c>
      <c r="C1212" s="377" t="s">
        <v>4976</v>
      </c>
      <c r="D1212" s="6" t="str">
        <f>_xlfn.XLOOKUP(B1212,Indices!$A$2:$A$2676,Indices!$B$2:$B$2676,"")</f>
        <v>IWM</v>
      </c>
    </row>
    <row r="1213" spans="1:4" x14ac:dyDescent="0.25">
      <c r="A1213" s="379">
        <v>45784.607638888891</v>
      </c>
      <c r="B1213" s="382" t="s">
        <v>1653</v>
      </c>
      <c r="C1213" s="377" t="s">
        <v>4977</v>
      </c>
      <c r="D1213" s="6" t="str">
        <f>_xlfn.XLOOKUP(B1213,Indices!$A$2:$A$2676,Indices!$B$2:$B$2676,"")</f>
        <v>IWM</v>
      </c>
    </row>
    <row r="1214" spans="1:4" x14ac:dyDescent="0.25">
      <c r="A1214" s="379">
        <v>45784.609027777777</v>
      </c>
      <c r="B1214" s="382" t="s">
        <v>1115</v>
      </c>
      <c r="C1214" s="377" t="s">
        <v>4978</v>
      </c>
      <c r="D1214" s="6" t="str">
        <f>_xlfn.XLOOKUP(B1214,Indices!$A$2:$A$2676,Indices!$B$2:$B$2676,"")</f>
        <v>IWM</v>
      </c>
    </row>
    <row r="1215" spans="1:4" x14ac:dyDescent="0.25">
      <c r="A1215" s="379">
        <v>45784.61041666667</v>
      </c>
      <c r="B1215" s="382" t="s">
        <v>157</v>
      </c>
      <c r="C1215" s="377" t="s">
        <v>4979</v>
      </c>
      <c r="D1215" s="6" t="str">
        <f>_xlfn.XLOOKUP(B1215,Indices!$A$2:$A$2676,Indices!$B$2:$B$2676,"")</f>
        <v>IWM</v>
      </c>
    </row>
    <row r="1216" spans="1:4" x14ac:dyDescent="0.25">
      <c r="A1216" s="379">
        <v>45784.611111111109</v>
      </c>
      <c r="B1216" s="382" t="s">
        <v>825</v>
      </c>
      <c r="C1216" s="377" t="s">
        <v>4980</v>
      </c>
      <c r="D1216" s="6" t="str">
        <f>_xlfn.XLOOKUP(B1216,Indices!$A$2:$A$2676,Indices!$B$2:$B$2676,"")</f>
        <v>IWM</v>
      </c>
    </row>
    <row r="1217" spans="1:4" x14ac:dyDescent="0.25">
      <c r="A1217" s="379">
        <v>45784.611111111109</v>
      </c>
      <c r="B1217" s="382" t="s">
        <v>495</v>
      </c>
      <c r="C1217" s="377" t="s">
        <v>4980</v>
      </c>
      <c r="D1217" s="6" t="str">
        <f>_xlfn.XLOOKUP(B1217,Indices!$A$2:$A$2676,Indices!$B$2:$B$2676,"")</f>
        <v>SP500</v>
      </c>
    </row>
    <row r="1218" spans="1:4" x14ac:dyDescent="0.25">
      <c r="A1218" s="379">
        <v>45784.611111111109</v>
      </c>
      <c r="B1218" s="382" t="s">
        <v>1092</v>
      </c>
      <c r="C1218" s="377" t="s">
        <v>4980</v>
      </c>
      <c r="D1218" s="6" t="str">
        <f>_xlfn.XLOOKUP(B1218,Indices!$A$2:$A$2676,Indices!$B$2:$B$2676,"")</f>
        <v>IWM</v>
      </c>
    </row>
    <row r="1219" spans="1:4" x14ac:dyDescent="0.25">
      <c r="A1219" s="379">
        <v>45784.613888888889</v>
      </c>
      <c r="B1219" s="382" t="s">
        <v>3297</v>
      </c>
      <c r="C1219" s="377" t="s">
        <v>4981</v>
      </c>
      <c r="D1219" s="6" t="str">
        <f>_xlfn.XLOOKUP(B1219,Indices!$A$2:$A$2676,Indices!$B$2:$B$2676,"")</f>
        <v/>
      </c>
    </row>
    <row r="1220" spans="1:4" x14ac:dyDescent="0.25">
      <c r="A1220" s="379">
        <v>45784.614583333336</v>
      </c>
      <c r="B1220" s="382" t="s">
        <v>3367</v>
      </c>
      <c r="C1220" s="377" t="s">
        <v>4982</v>
      </c>
      <c r="D1220" s="6" t="str">
        <f>_xlfn.XLOOKUP(B1220,Indices!$A$2:$A$2676,Indices!$B$2:$B$2676,"")</f>
        <v/>
      </c>
    </row>
    <row r="1221" spans="1:4" x14ac:dyDescent="0.25">
      <c r="A1221" s="379">
        <v>45784.614583333336</v>
      </c>
      <c r="B1221" s="382" t="s">
        <v>502</v>
      </c>
      <c r="C1221" s="377" t="s">
        <v>4982</v>
      </c>
      <c r="D1221" s="6" t="str">
        <f>_xlfn.XLOOKUP(B1221,Indices!$A$2:$A$2676,Indices!$B$2:$B$2676,"")</f>
        <v>IWM</v>
      </c>
    </row>
    <row r="1222" spans="1:4" x14ac:dyDescent="0.25">
      <c r="A1222" s="379">
        <v>45784.614583333336</v>
      </c>
      <c r="B1222" s="382" t="s">
        <v>3319</v>
      </c>
      <c r="C1222" s="377" t="s">
        <v>4982</v>
      </c>
      <c r="D1222" s="6" t="str">
        <f>_xlfn.XLOOKUP(B1222,Indices!$A$2:$A$2676,Indices!$B$2:$B$2676,"")</f>
        <v/>
      </c>
    </row>
    <row r="1223" spans="1:4" x14ac:dyDescent="0.25">
      <c r="A1223" s="379">
        <v>45784.614583333336</v>
      </c>
      <c r="B1223" s="382" t="s">
        <v>503</v>
      </c>
      <c r="C1223" s="377" t="s">
        <v>4982</v>
      </c>
      <c r="D1223" s="6" t="str">
        <f>_xlfn.XLOOKUP(B1223,Indices!$A$2:$A$2676,Indices!$B$2:$B$2676,"")</f>
        <v>IWM</v>
      </c>
    </row>
    <row r="1224" spans="1:4" x14ac:dyDescent="0.25">
      <c r="A1224" s="379">
        <v>45784.614583333336</v>
      </c>
      <c r="B1224" s="382" t="s">
        <v>500</v>
      </c>
      <c r="C1224" s="377" t="s">
        <v>4982</v>
      </c>
      <c r="D1224" s="6" t="str">
        <f>_xlfn.XLOOKUP(B1224,Indices!$A$2:$A$2676,Indices!$B$2:$B$2676,"")</f>
        <v>IWM</v>
      </c>
    </row>
    <row r="1225" spans="1:4" x14ac:dyDescent="0.25">
      <c r="A1225" s="379">
        <v>45784.625</v>
      </c>
      <c r="B1225" s="382" t="s">
        <v>3807</v>
      </c>
      <c r="C1225" s="377" t="s">
        <v>4983</v>
      </c>
      <c r="D1225" s="6" t="str">
        <f>_xlfn.XLOOKUP(B1225,Indices!$A$2:$A$2676,Indices!$B$2:$B$2676,"")</f>
        <v/>
      </c>
    </row>
    <row r="1226" spans="1:4" x14ac:dyDescent="0.25">
      <c r="A1226" s="379">
        <v>45784.625</v>
      </c>
      <c r="B1226" s="382" t="s">
        <v>3308</v>
      </c>
      <c r="C1226" s="377" t="s">
        <v>3288</v>
      </c>
      <c r="D1226" s="6" t="str">
        <f>_xlfn.XLOOKUP(B1226,Indices!$A$2:$A$2676,Indices!$B$2:$B$2676,"")</f>
        <v/>
      </c>
    </row>
    <row r="1227" spans="1:4" x14ac:dyDescent="0.25">
      <c r="A1227" s="379">
        <v>45784.625</v>
      </c>
      <c r="B1227" s="382" t="s">
        <v>4000</v>
      </c>
      <c r="C1227" s="377" t="s">
        <v>4983</v>
      </c>
      <c r="D1227" s="6" t="str">
        <f>_xlfn.XLOOKUP(B1227,Indices!$A$2:$A$2676,Indices!$B$2:$B$2676,"")</f>
        <v/>
      </c>
    </row>
    <row r="1228" spans="1:4" x14ac:dyDescent="0.25">
      <c r="A1228" s="379">
        <v>45784.625</v>
      </c>
      <c r="B1228" s="382" t="s">
        <v>3148</v>
      </c>
      <c r="C1228" s="377" t="s">
        <v>4983</v>
      </c>
      <c r="D1228" s="6" t="str">
        <f>_xlfn.XLOOKUP(B1228,Indices!$A$2:$A$2676,Indices!$B$2:$B$2676,"")</f>
        <v/>
      </c>
    </row>
    <row r="1229" spans="1:4" x14ac:dyDescent="0.25">
      <c r="A1229" s="379">
        <v>45784.625</v>
      </c>
      <c r="B1229" s="382" t="s">
        <v>515</v>
      </c>
      <c r="C1229" s="377" t="s">
        <v>4983</v>
      </c>
      <c r="D1229" s="6" t="str">
        <f>_xlfn.XLOOKUP(B1229,Indices!$A$2:$A$2676,Indices!$B$2:$B$2676,"")</f>
        <v>IWM</v>
      </c>
    </row>
    <row r="1230" spans="1:4" x14ac:dyDescent="0.25">
      <c r="A1230" s="379">
        <v>45784.625</v>
      </c>
      <c r="B1230" s="382" t="s">
        <v>4012</v>
      </c>
      <c r="C1230" s="377" t="s">
        <v>4983</v>
      </c>
      <c r="D1230" s="6" t="str">
        <f>_xlfn.XLOOKUP(B1230,Indices!$A$2:$A$2676,Indices!$B$2:$B$2676,"")</f>
        <v/>
      </c>
    </row>
    <row r="1231" spans="1:4" x14ac:dyDescent="0.25">
      <c r="A1231" s="379">
        <v>45784.625</v>
      </c>
      <c r="B1231" s="382" t="s">
        <v>2209</v>
      </c>
      <c r="C1231" s="377" t="s">
        <v>3288</v>
      </c>
      <c r="D1231" s="6" t="str">
        <f>_xlfn.XLOOKUP(B1231,Indices!$A$2:$A$2676,Indices!$B$2:$B$2676,"")</f>
        <v>IWM</v>
      </c>
    </row>
    <row r="1232" spans="1:4" x14ac:dyDescent="0.25">
      <c r="A1232" s="379">
        <v>45784.625</v>
      </c>
      <c r="B1232" s="382" t="s">
        <v>3357</v>
      </c>
      <c r="C1232" s="377" t="s">
        <v>3288</v>
      </c>
      <c r="D1232" s="6" t="str">
        <f>_xlfn.XLOOKUP(B1232,Indices!$A$2:$A$2676,Indices!$B$2:$B$2676,"")</f>
        <v/>
      </c>
    </row>
    <row r="1233" spans="1:4" x14ac:dyDescent="0.25">
      <c r="A1233" s="379">
        <v>45784.625</v>
      </c>
      <c r="B1233" s="382" t="s">
        <v>263</v>
      </c>
      <c r="C1233" s="377" t="s">
        <v>4983</v>
      </c>
      <c r="D1233" s="6" t="str">
        <f>_xlfn.XLOOKUP(B1233,Indices!$A$2:$A$2676,Indices!$B$2:$B$2676,"")</f>
        <v>IWM</v>
      </c>
    </row>
    <row r="1234" spans="1:4" x14ac:dyDescent="0.25">
      <c r="A1234" s="379">
        <v>45784.625</v>
      </c>
      <c r="B1234" s="382" t="s">
        <v>2928</v>
      </c>
      <c r="C1234" s="377" t="s">
        <v>3288</v>
      </c>
      <c r="D1234" s="6" t="str">
        <f>_xlfn.XLOOKUP(B1234,Indices!$A$2:$A$2676,Indices!$B$2:$B$2676,"")</f>
        <v/>
      </c>
    </row>
    <row r="1235" spans="1:4" x14ac:dyDescent="0.25">
      <c r="A1235" s="379">
        <v>45784.625694444447</v>
      </c>
      <c r="B1235" s="382" t="s">
        <v>3329</v>
      </c>
      <c r="C1235" s="377" t="s">
        <v>4984</v>
      </c>
      <c r="D1235" s="6" t="str">
        <f>_xlfn.XLOOKUP(B1235,Indices!$A$2:$A$2676,Indices!$B$2:$B$2676,"")</f>
        <v/>
      </c>
    </row>
    <row r="1236" spans="1:4" x14ac:dyDescent="0.25">
      <c r="A1236" s="379">
        <v>45784.626388888886</v>
      </c>
      <c r="B1236" s="382" t="s">
        <v>3809</v>
      </c>
      <c r="C1236" s="377" t="s">
        <v>4985</v>
      </c>
      <c r="D1236" s="6" t="str">
        <f>_xlfn.XLOOKUP(B1236,Indices!$A$2:$A$2676,Indices!$B$2:$B$2676,"")</f>
        <v/>
      </c>
    </row>
    <row r="1237" spans="1:4" x14ac:dyDescent="0.25">
      <c r="A1237" s="379">
        <v>45784.628472222219</v>
      </c>
      <c r="B1237" s="382" t="s">
        <v>3307</v>
      </c>
      <c r="C1237" s="377" t="s">
        <v>4986</v>
      </c>
      <c r="D1237" s="6" t="str">
        <f>_xlfn.XLOOKUP(B1237,Indices!$A$2:$A$2676,Indices!$B$2:$B$2676,"")</f>
        <v/>
      </c>
    </row>
    <row r="1238" spans="1:4" x14ac:dyDescent="0.25">
      <c r="A1238" s="379">
        <v>45784.628472222219</v>
      </c>
      <c r="B1238" s="382" t="s">
        <v>3312</v>
      </c>
      <c r="C1238" s="377" t="s">
        <v>4986</v>
      </c>
      <c r="D1238" s="6" t="str">
        <f>_xlfn.XLOOKUP(B1238,Indices!$A$2:$A$2676,Indices!$B$2:$B$2676,"")</f>
        <v/>
      </c>
    </row>
    <row r="1239" spans="1:4" x14ac:dyDescent="0.25">
      <c r="A1239" s="379">
        <v>45784.628472222219</v>
      </c>
      <c r="B1239" s="382" t="s">
        <v>87</v>
      </c>
      <c r="C1239" s="377" t="s">
        <v>4986</v>
      </c>
      <c r="D1239" s="6" t="str">
        <f>_xlfn.XLOOKUP(B1239,Indices!$A$2:$A$2676,Indices!$B$2:$B$2676,"")</f>
        <v>S&amp;P Mid</v>
      </c>
    </row>
    <row r="1240" spans="1:4" x14ac:dyDescent="0.25">
      <c r="A1240" s="379">
        <v>45784.629861111112</v>
      </c>
      <c r="B1240" s="382" t="s">
        <v>497</v>
      </c>
      <c r="C1240" s="377" t="s">
        <v>4987</v>
      </c>
      <c r="D1240" s="6" t="str">
        <f>_xlfn.XLOOKUP(B1240,Indices!$A$2:$A$2676,Indices!$B$2:$B$2676,"")</f>
        <v>IWM</v>
      </c>
    </row>
    <row r="1241" spans="1:4" x14ac:dyDescent="0.25">
      <c r="A1241" s="379">
        <v>45784.631249999999</v>
      </c>
      <c r="B1241" s="382" t="s">
        <v>507</v>
      </c>
      <c r="C1241" s="377" t="s">
        <v>4988</v>
      </c>
      <c r="D1241" s="6" t="str">
        <f>_xlfn.XLOOKUP(B1241,Indices!$A$2:$A$2676,Indices!$B$2:$B$2676,"")</f>
        <v>IWM</v>
      </c>
    </row>
    <row r="1242" spans="1:4" x14ac:dyDescent="0.25">
      <c r="A1242" s="379">
        <v>45784.632638888892</v>
      </c>
      <c r="B1242" s="382" t="s">
        <v>3349</v>
      </c>
      <c r="C1242" s="377" t="s">
        <v>4989</v>
      </c>
      <c r="D1242" s="6" t="str">
        <f>_xlfn.XLOOKUP(B1242,Indices!$A$2:$A$2676,Indices!$B$2:$B$2676,"")</f>
        <v/>
      </c>
    </row>
    <row r="1243" spans="1:4" x14ac:dyDescent="0.25">
      <c r="A1243" s="379">
        <v>45784.636111111111</v>
      </c>
      <c r="B1243" s="382" t="s">
        <v>2020</v>
      </c>
      <c r="C1243" s="377" t="s">
        <v>4990</v>
      </c>
      <c r="D1243" s="6" t="str">
        <f>_xlfn.XLOOKUP(B1243,Indices!$A$2:$A$2676,Indices!$B$2:$B$2676,"")</f>
        <v>IWM</v>
      </c>
    </row>
    <row r="1244" spans="1:4" x14ac:dyDescent="0.25">
      <c r="A1244" s="379">
        <v>45784.638194444444</v>
      </c>
      <c r="B1244" s="382" t="s">
        <v>3369</v>
      </c>
      <c r="C1244" s="377" t="s">
        <v>4991</v>
      </c>
      <c r="D1244" s="6" t="str">
        <f>_xlfn.XLOOKUP(B1244,Indices!$A$2:$A$2676,Indices!$B$2:$B$2676,"")</f>
        <v/>
      </c>
    </row>
    <row r="1245" spans="1:4" x14ac:dyDescent="0.25">
      <c r="A1245" s="379">
        <v>45784.638194444444</v>
      </c>
      <c r="B1245" s="382" t="s">
        <v>265</v>
      </c>
      <c r="C1245" s="377" t="s">
        <v>4991</v>
      </c>
      <c r="D1245" s="6" t="str">
        <f>_xlfn.XLOOKUP(B1245,Indices!$A$2:$A$2676,Indices!$B$2:$B$2676,"")</f>
        <v>IWM</v>
      </c>
    </row>
    <row r="1246" spans="1:4" x14ac:dyDescent="0.25">
      <c r="A1246" s="379">
        <v>45784.638888888891</v>
      </c>
      <c r="B1246" s="382" t="s">
        <v>3605</v>
      </c>
      <c r="C1246" s="377" t="s">
        <v>4992</v>
      </c>
      <c r="D1246" s="6" t="str">
        <f>_xlfn.XLOOKUP(B1246,Indices!$A$2:$A$2676,Indices!$B$2:$B$2676,"")</f>
        <v/>
      </c>
    </row>
    <row r="1247" spans="1:4" x14ac:dyDescent="0.25">
      <c r="A1247" s="379">
        <v>45784.64166666667</v>
      </c>
      <c r="B1247" s="382" t="s">
        <v>158</v>
      </c>
      <c r="C1247" s="377" t="s">
        <v>4993</v>
      </c>
      <c r="D1247" s="6" t="str">
        <f>_xlfn.XLOOKUP(B1247,Indices!$A$2:$A$2676,Indices!$B$2:$B$2676,"")</f>
        <v>IWM</v>
      </c>
    </row>
    <row r="1248" spans="1:4" x14ac:dyDescent="0.25">
      <c r="A1248" s="379">
        <v>45784.643055555556</v>
      </c>
      <c r="B1248" s="382" t="s">
        <v>807</v>
      </c>
      <c r="C1248" s="377" t="s">
        <v>4994</v>
      </c>
      <c r="D1248" s="6" t="str">
        <f>_xlfn.XLOOKUP(B1248,Indices!$A$2:$A$2676,Indices!$B$2:$B$2676,"")</f>
        <v>IWM</v>
      </c>
    </row>
    <row r="1249" spans="1:4" x14ac:dyDescent="0.25">
      <c r="A1249" s="379">
        <v>45784.643750000003</v>
      </c>
      <c r="B1249" s="382" t="s">
        <v>3335</v>
      </c>
      <c r="C1249" s="377" t="s">
        <v>4995</v>
      </c>
      <c r="D1249" s="6" t="str">
        <f>_xlfn.XLOOKUP(B1249,Indices!$A$2:$A$2676,Indices!$B$2:$B$2676,"")</f>
        <v/>
      </c>
    </row>
    <row r="1250" spans="1:4" x14ac:dyDescent="0.25">
      <c r="A1250" s="379">
        <v>45784.643750000003</v>
      </c>
      <c r="B1250" s="382" t="s">
        <v>3654</v>
      </c>
      <c r="C1250" s="377" t="s">
        <v>4995</v>
      </c>
      <c r="D1250" s="6" t="str">
        <f>_xlfn.XLOOKUP(B1250,Indices!$A$2:$A$2676,Indices!$B$2:$B$2676,"")</f>
        <v/>
      </c>
    </row>
    <row r="1251" spans="1:4" x14ac:dyDescent="0.25">
      <c r="A1251" s="379">
        <v>45784.645833333336</v>
      </c>
      <c r="B1251" s="382" t="s">
        <v>3547</v>
      </c>
      <c r="C1251" s="377" t="s">
        <v>4996</v>
      </c>
      <c r="D1251" s="6" t="str">
        <f>_xlfn.XLOOKUP(B1251,Indices!$A$2:$A$2676,Indices!$B$2:$B$2676,"")</f>
        <v/>
      </c>
    </row>
    <row r="1252" spans="1:4" x14ac:dyDescent="0.25">
      <c r="A1252" s="379">
        <v>45784.645833333336</v>
      </c>
      <c r="B1252" s="382" t="s">
        <v>3338</v>
      </c>
      <c r="C1252" s="377" t="s">
        <v>4996</v>
      </c>
      <c r="D1252" s="6" t="str">
        <f>_xlfn.XLOOKUP(B1252,Indices!$A$2:$A$2676,Indices!$B$2:$B$2676,"")</f>
        <v/>
      </c>
    </row>
    <row r="1253" spans="1:4" x14ac:dyDescent="0.25">
      <c r="A1253" s="379">
        <v>45784.656944444447</v>
      </c>
      <c r="B1253" s="382" t="s">
        <v>519</v>
      </c>
      <c r="C1253" s="377" t="s">
        <v>4997</v>
      </c>
      <c r="D1253" s="6" t="str">
        <f>_xlfn.XLOOKUP(B1253,Indices!$A$2:$A$2676,Indices!$B$2:$B$2676,"")</f>
        <v>S&amp;P Mid</v>
      </c>
    </row>
    <row r="1254" spans="1:4" x14ac:dyDescent="0.25">
      <c r="A1254" s="379">
        <v>45784.663194444445</v>
      </c>
      <c r="B1254" s="382" t="s">
        <v>2322</v>
      </c>
      <c r="C1254" s="377" t="s">
        <v>4998</v>
      </c>
      <c r="D1254" s="6" t="str">
        <f>_xlfn.XLOOKUP(B1254,Indices!$A$2:$A$2676,Indices!$B$2:$B$2676,"")</f>
        <v>IWM</v>
      </c>
    </row>
    <row r="1255" spans="1:4" x14ac:dyDescent="0.25">
      <c r="A1255" s="379">
        <v>45784.668749999997</v>
      </c>
      <c r="B1255" s="382" t="s">
        <v>3203</v>
      </c>
      <c r="C1255" s="377" t="s">
        <v>4999</v>
      </c>
      <c r="D1255" s="6" t="str">
        <f>_xlfn.XLOOKUP(B1255,Indices!$A$2:$A$2676,Indices!$B$2:$B$2676,"")</f>
        <v/>
      </c>
    </row>
    <row r="1256" spans="1:4" x14ac:dyDescent="0.25">
      <c r="A1256" s="379">
        <v>45784.678472222222</v>
      </c>
      <c r="B1256" s="382" t="s">
        <v>3365</v>
      </c>
      <c r="C1256" s="377" t="s">
        <v>5000</v>
      </c>
      <c r="D1256" s="6" t="str">
        <f>_xlfn.XLOOKUP(B1256,Indices!$A$2:$A$2676,Indices!$B$2:$B$2676,"")</f>
        <v/>
      </c>
    </row>
    <row r="1257" spans="1:4" x14ac:dyDescent="0.25">
      <c r="A1257" s="379">
        <v>45784.688888888886</v>
      </c>
      <c r="B1257" s="382" t="s">
        <v>430</v>
      </c>
      <c r="C1257" s="377" t="s">
        <v>5001</v>
      </c>
      <c r="D1257" s="6" t="str">
        <f>_xlfn.XLOOKUP(B1257,Indices!$A$2:$A$2676,Indices!$B$2:$B$2676,"")</f>
        <v>IWM</v>
      </c>
    </row>
    <row r="1258" spans="1:4" x14ac:dyDescent="0.25">
      <c r="A1258" s="379">
        <v>45784.751388888886</v>
      </c>
      <c r="B1258" s="382" t="s">
        <v>3316</v>
      </c>
      <c r="C1258" s="377" t="s">
        <v>5002</v>
      </c>
      <c r="D1258" s="6" t="str">
        <f>_xlfn.XLOOKUP(B1258,Indices!$A$2:$A$2676,Indices!$B$2:$B$2676,"")</f>
        <v/>
      </c>
    </row>
    <row r="1259" spans="1:4" x14ac:dyDescent="0.25">
      <c r="A1259" s="379">
        <v>45784.76458333333</v>
      </c>
      <c r="B1259" s="382" t="s">
        <v>3397</v>
      </c>
      <c r="C1259" s="377" t="s">
        <v>5003</v>
      </c>
      <c r="D1259" s="6" t="str">
        <f>_xlfn.XLOOKUP(B1259,Indices!$A$2:$A$2676,Indices!$B$2:$B$2676,"")</f>
        <v/>
      </c>
    </row>
    <row r="1260" spans="1:4" x14ac:dyDescent="0.25">
      <c r="A1260" s="379">
        <v>45784.813888888886</v>
      </c>
      <c r="B1260" s="382" t="s">
        <v>3346</v>
      </c>
      <c r="C1260" s="377" t="s">
        <v>5004</v>
      </c>
      <c r="D1260" s="6" t="str">
        <f>_xlfn.XLOOKUP(B1260,Indices!$A$2:$A$2676,Indices!$B$2:$B$2676,"")</f>
        <v/>
      </c>
    </row>
    <row r="1261" spans="1:4" x14ac:dyDescent="0.25">
      <c r="A1261" s="379">
        <v>45784.822916666664</v>
      </c>
      <c r="B1261" s="382" t="s">
        <v>3711</v>
      </c>
      <c r="C1261" s="377" t="s">
        <v>5005</v>
      </c>
      <c r="D1261" s="6" t="str">
        <f>_xlfn.XLOOKUP(B1261,Indices!$A$2:$A$2676,Indices!$B$2:$B$2676,"")</f>
        <v/>
      </c>
    </row>
    <row r="1262" spans="1:4" x14ac:dyDescent="0.25">
      <c r="A1262" s="379">
        <v>45784.875</v>
      </c>
      <c r="B1262" s="382" t="s">
        <v>523</v>
      </c>
      <c r="C1262" s="377" t="s">
        <v>5006</v>
      </c>
      <c r="D1262" s="6" t="str">
        <f>_xlfn.XLOOKUP(B1262,Indices!$A$2:$A$2676,Indices!$B$2:$B$2676,"")</f>
        <v>IWM</v>
      </c>
    </row>
    <row r="1263" spans="1:4" x14ac:dyDescent="0.25">
      <c r="A1263" s="379">
        <v>45784.958333333336</v>
      </c>
      <c r="B1263" s="382" t="s">
        <v>3476</v>
      </c>
      <c r="C1263" s="377" t="s">
        <v>5009</v>
      </c>
      <c r="D1263" s="6" t="str">
        <f>_xlfn.XLOOKUP(B1263,Indices!$A$2:$A$2676,Indices!$B$2:$B$2676,"")</f>
        <v/>
      </c>
    </row>
    <row r="1264" spans="1:4" x14ac:dyDescent="0.25">
      <c r="A1264" s="379">
        <v>45784.958333333336</v>
      </c>
      <c r="B1264" s="382" t="s">
        <v>3391</v>
      </c>
      <c r="C1264" s="377" t="s">
        <v>5009</v>
      </c>
      <c r="D1264" s="6" t="str">
        <f>_xlfn.XLOOKUP(B1264,Indices!$A$2:$A$2676,Indices!$B$2:$B$2676,"")</f>
        <v/>
      </c>
    </row>
    <row r="1265" spans="1:4" x14ac:dyDescent="0.25">
      <c r="A1265" s="379">
        <v>45784.958333333336</v>
      </c>
      <c r="B1265" s="382" t="s">
        <v>522</v>
      </c>
      <c r="C1265" s="377" t="s">
        <v>5008</v>
      </c>
      <c r="D1265" s="6" t="str">
        <f>_xlfn.XLOOKUP(B1265,Indices!$A$2:$A$2676,Indices!$B$2:$B$2676,"")</f>
        <v>IWM</v>
      </c>
    </row>
    <row r="1266" spans="1:4" x14ac:dyDescent="0.25">
      <c r="A1266" s="379">
        <v>45784.958333333336</v>
      </c>
      <c r="B1266" s="382" t="s">
        <v>3485</v>
      </c>
      <c r="C1266" s="377" t="s">
        <v>5008</v>
      </c>
      <c r="D1266" s="6" t="str">
        <f>_xlfn.XLOOKUP(B1266,Indices!$A$2:$A$2676,Indices!$B$2:$B$2676,"")</f>
        <v/>
      </c>
    </row>
    <row r="1267" spans="1:4" x14ac:dyDescent="0.25">
      <c r="A1267" s="379">
        <v>45784.958333333336</v>
      </c>
      <c r="B1267" s="382" t="s">
        <v>3079</v>
      </c>
      <c r="C1267" s="377" t="s">
        <v>5009</v>
      </c>
      <c r="D1267" s="6" t="str">
        <f>_xlfn.XLOOKUP(B1267,Indices!$A$2:$A$2676,Indices!$B$2:$B$2676,"")</f>
        <v/>
      </c>
    </row>
    <row r="1268" spans="1:4" x14ac:dyDescent="0.25">
      <c r="A1268" s="379">
        <v>45784.958333333336</v>
      </c>
      <c r="B1268" s="382" t="s">
        <v>3473</v>
      </c>
      <c r="C1268" s="377" t="s">
        <v>5008</v>
      </c>
      <c r="D1268" s="6" t="str">
        <f>_xlfn.XLOOKUP(B1268,Indices!$A$2:$A$2676,Indices!$B$2:$B$2676,"")</f>
        <v/>
      </c>
    </row>
    <row r="1269" spans="1:4" x14ac:dyDescent="0.25">
      <c r="A1269" s="379">
        <v>45784.958333333336</v>
      </c>
      <c r="B1269" s="382" t="s">
        <v>3396</v>
      </c>
      <c r="C1269" s="377" t="s">
        <v>5009</v>
      </c>
      <c r="D1269" s="6" t="str">
        <f>_xlfn.XLOOKUP(B1269,Indices!$A$2:$A$2676,Indices!$B$2:$B$2676,"")</f>
        <v/>
      </c>
    </row>
    <row r="1270" spans="1:4" x14ac:dyDescent="0.25">
      <c r="A1270" s="379">
        <v>45784.958333333336</v>
      </c>
      <c r="B1270" s="382" t="s">
        <v>3440</v>
      </c>
      <c r="C1270" s="377" t="s">
        <v>5008</v>
      </c>
      <c r="D1270" s="6" t="str">
        <f>_xlfn.XLOOKUP(B1270,Indices!$A$2:$A$2676,Indices!$B$2:$B$2676,"")</f>
        <v/>
      </c>
    </row>
    <row r="1271" spans="1:4" x14ac:dyDescent="0.25">
      <c r="A1271" s="379">
        <v>45784.958333333336</v>
      </c>
      <c r="B1271" s="382" t="s">
        <v>3251</v>
      </c>
      <c r="C1271" s="377" t="s">
        <v>5009</v>
      </c>
      <c r="D1271" s="6" t="str">
        <f>_xlfn.XLOOKUP(B1271,Indices!$A$2:$A$2676,Indices!$B$2:$B$2676,"")</f>
        <v/>
      </c>
    </row>
    <row r="1272" spans="1:4" x14ac:dyDescent="0.25">
      <c r="A1272" s="379">
        <v>45784.958333333336</v>
      </c>
      <c r="B1272" s="382" t="s">
        <v>3395</v>
      </c>
      <c r="C1272" s="377" t="s">
        <v>5008</v>
      </c>
      <c r="D1272" s="6" t="str">
        <f>_xlfn.XLOOKUP(B1272,Indices!$A$2:$A$2676,Indices!$B$2:$B$2676,"")</f>
        <v/>
      </c>
    </row>
    <row r="1273" spans="1:4" x14ac:dyDescent="0.25">
      <c r="A1273" s="379">
        <v>45784.958333333336</v>
      </c>
      <c r="B1273" s="382" t="s">
        <v>3462</v>
      </c>
      <c r="C1273" s="377" t="s">
        <v>5009</v>
      </c>
      <c r="D1273" s="6" t="str">
        <f>_xlfn.XLOOKUP(B1273,Indices!$A$2:$A$2676,Indices!$B$2:$B$2676,"")</f>
        <v/>
      </c>
    </row>
    <row r="1274" spans="1:4" x14ac:dyDescent="0.25">
      <c r="A1274" s="379">
        <v>45784.958333333336</v>
      </c>
      <c r="B1274" s="382" t="s">
        <v>3426</v>
      </c>
      <c r="C1274" s="377" t="s">
        <v>5009</v>
      </c>
      <c r="D1274" s="6" t="str">
        <f>_xlfn.XLOOKUP(B1274,Indices!$A$2:$A$2676,Indices!$B$2:$B$2676,"")</f>
        <v/>
      </c>
    </row>
    <row r="1275" spans="1:4" x14ac:dyDescent="0.25">
      <c r="A1275" s="379">
        <v>45784.958333333336</v>
      </c>
      <c r="B1275" s="382" t="s">
        <v>3432</v>
      </c>
      <c r="C1275" s="377" t="s">
        <v>5008</v>
      </c>
      <c r="D1275" s="6" t="str">
        <f>_xlfn.XLOOKUP(B1275,Indices!$A$2:$A$2676,Indices!$B$2:$B$2676,"")</f>
        <v/>
      </c>
    </row>
    <row r="1276" spans="1:4" x14ac:dyDescent="0.25">
      <c r="A1276" s="379">
        <v>45784.958333333336</v>
      </c>
      <c r="B1276" s="382" t="s">
        <v>3583</v>
      </c>
      <c r="C1276" s="377" t="s">
        <v>5007</v>
      </c>
      <c r="D1276" s="6" t="str">
        <f>_xlfn.XLOOKUP(B1276,Indices!$A$2:$A$2676,Indices!$B$2:$B$2676,"")</f>
        <v/>
      </c>
    </row>
    <row r="1277" spans="1:4" x14ac:dyDescent="0.25">
      <c r="A1277" s="379">
        <v>45784.958333333336</v>
      </c>
      <c r="B1277" s="382" t="s">
        <v>3442</v>
      </c>
      <c r="C1277" s="377" t="s">
        <v>5009</v>
      </c>
      <c r="D1277" s="6" t="str">
        <f>_xlfn.XLOOKUP(B1277,Indices!$A$2:$A$2676,Indices!$B$2:$B$2676,"")</f>
        <v/>
      </c>
    </row>
    <row r="1278" spans="1:4" x14ac:dyDescent="0.25">
      <c r="A1278" s="379">
        <v>45784.958333333336</v>
      </c>
      <c r="B1278" s="382" t="s">
        <v>3424</v>
      </c>
      <c r="C1278" s="377" t="s">
        <v>5009</v>
      </c>
      <c r="D1278" s="6" t="str">
        <f>_xlfn.XLOOKUP(B1278,Indices!$A$2:$A$2676,Indices!$B$2:$B$2676,"")</f>
        <v/>
      </c>
    </row>
    <row r="1279" spans="1:4" x14ac:dyDescent="0.25">
      <c r="A1279" s="379">
        <v>45784.958333333336</v>
      </c>
      <c r="B1279" s="382" t="s">
        <v>3055</v>
      </c>
      <c r="C1279" s="377" t="s">
        <v>5009</v>
      </c>
      <c r="D1279" s="6" t="str">
        <f>_xlfn.XLOOKUP(B1279,Indices!$A$2:$A$2676,Indices!$B$2:$B$2676,"")</f>
        <v/>
      </c>
    </row>
    <row r="1280" spans="1:4" x14ac:dyDescent="0.25">
      <c r="A1280" s="379">
        <v>45784.958333333336</v>
      </c>
      <c r="B1280" s="382" t="s">
        <v>521</v>
      </c>
      <c r="C1280" s="377" t="s">
        <v>5008</v>
      </c>
      <c r="D1280" s="6" t="str">
        <f>_xlfn.XLOOKUP(B1280,Indices!$A$2:$A$2676,Indices!$B$2:$B$2676,"")</f>
        <v>IWM</v>
      </c>
    </row>
    <row r="1281" spans="1:4" x14ac:dyDescent="0.25">
      <c r="A1281" s="379">
        <v>45784.958333333336</v>
      </c>
      <c r="B1281" s="382" t="s">
        <v>3416</v>
      </c>
      <c r="C1281" s="377" t="s">
        <v>5009</v>
      </c>
      <c r="D1281" s="6" t="str">
        <f>_xlfn.XLOOKUP(B1281,Indices!$A$2:$A$2676,Indices!$B$2:$B$2676,"")</f>
        <v/>
      </c>
    </row>
    <row r="1282" spans="1:4" x14ac:dyDescent="0.25">
      <c r="A1282" s="379">
        <v>45784.958333333336</v>
      </c>
      <c r="B1282" s="382" t="s">
        <v>3499</v>
      </c>
      <c r="C1282" s="377" t="s">
        <v>5009</v>
      </c>
      <c r="D1282" s="6" t="str">
        <f>_xlfn.XLOOKUP(B1282,Indices!$A$2:$A$2676,Indices!$B$2:$B$2676,"")</f>
        <v/>
      </c>
    </row>
    <row r="1283" spans="1:4" x14ac:dyDescent="0.25">
      <c r="A1283" s="379">
        <v>45784.958333333336</v>
      </c>
      <c r="B1283" s="382" t="s">
        <v>3558</v>
      </c>
      <c r="C1283" s="377" t="s">
        <v>5007</v>
      </c>
      <c r="D1283" s="6" t="str">
        <f>_xlfn.XLOOKUP(B1283,Indices!$A$2:$A$2676,Indices!$B$2:$B$2676,"")</f>
        <v/>
      </c>
    </row>
    <row r="1284" spans="1:4" x14ac:dyDescent="0.25">
      <c r="A1284" s="379">
        <v>45784.958333333336</v>
      </c>
      <c r="B1284" s="382" t="s">
        <v>5010</v>
      </c>
      <c r="C1284" s="377" t="s">
        <v>5009</v>
      </c>
      <c r="D1284" s="6" t="str">
        <f>_xlfn.XLOOKUP(B1284,Indices!$A$2:$A$2676,Indices!$B$2:$B$2676,"")</f>
        <v/>
      </c>
    </row>
    <row r="1285" spans="1:4" x14ac:dyDescent="0.25">
      <c r="A1285" s="379">
        <v>45784.958333333336</v>
      </c>
      <c r="B1285" s="382" t="s">
        <v>517</v>
      </c>
      <c r="C1285" s="377" t="s">
        <v>5008</v>
      </c>
      <c r="D1285" s="6" t="str">
        <f>_xlfn.XLOOKUP(B1285,Indices!$A$2:$A$2676,Indices!$B$2:$B$2676,"")</f>
        <v>SP500</v>
      </c>
    </row>
    <row r="1286" spans="1:4" x14ac:dyDescent="0.25">
      <c r="A1286" s="379">
        <v>45784.958333333336</v>
      </c>
      <c r="B1286" s="382" t="s">
        <v>3656</v>
      </c>
      <c r="C1286" s="377" t="s">
        <v>5007</v>
      </c>
      <c r="D1286" s="6" t="str">
        <f>_xlfn.XLOOKUP(B1286,Indices!$A$2:$A$2676,Indices!$B$2:$B$2676,"")</f>
        <v/>
      </c>
    </row>
    <row r="1287" spans="1:4" x14ac:dyDescent="0.25">
      <c r="A1287" s="379">
        <v>45784.958333333336</v>
      </c>
      <c r="B1287" s="382" t="s">
        <v>3516</v>
      </c>
      <c r="C1287" s="377" t="s">
        <v>5008</v>
      </c>
      <c r="D1287" s="6" t="str">
        <f>_xlfn.XLOOKUP(B1287,Indices!$A$2:$A$2676,Indices!$B$2:$B$2676,"")</f>
        <v/>
      </c>
    </row>
    <row r="1288" spans="1:4" x14ac:dyDescent="0.25">
      <c r="A1288" s="379">
        <v>45784.958333333336</v>
      </c>
      <c r="B1288" s="382" t="s">
        <v>3505</v>
      </c>
      <c r="C1288" s="377" t="s">
        <v>5009</v>
      </c>
      <c r="D1288" s="6" t="str">
        <f>_xlfn.XLOOKUP(B1288,Indices!$A$2:$A$2676,Indices!$B$2:$B$2676,"")</f>
        <v/>
      </c>
    </row>
    <row r="1289" spans="1:4" x14ac:dyDescent="0.25">
      <c r="A1289" s="379">
        <v>45784.958333333336</v>
      </c>
      <c r="B1289" s="382" t="s">
        <v>3511</v>
      </c>
      <c r="C1289" s="377" t="s">
        <v>5009</v>
      </c>
      <c r="D1289" s="6" t="str">
        <f>_xlfn.XLOOKUP(B1289,Indices!$A$2:$A$2676,Indices!$B$2:$B$2676,"")</f>
        <v/>
      </c>
    </row>
    <row r="1290" spans="1:4" x14ac:dyDescent="0.25">
      <c r="A1290" s="379">
        <v>45784.958333333336</v>
      </c>
      <c r="B1290" s="382" t="s">
        <v>3497</v>
      </c>
      <c r="C1290" s="377" t="s">
        <v>5008</v>
      </c>
      <c r="D1290" s="6" t="str">
        <f>_xlfn.XLOOKUP(B1290,Indices!$A$2:$A$2676,Indices!$B$2:$B$2676,"")</f>
        <v/>
      </c>
    </row>
    <row r="1291" spans="1:4" x14ac:dyDescent="0.25">
      <c r="A1291" s="379">
        <v>45784.958333333336</v>
      </c>
      <c r="B1291" s="382" t="s">
        <v>3502</v>
      </c>
      <c r="C1291" s="377" t="s">
        <v>5009</v>
      </c>
      <c r="D1291" s="6" t="str">
        <f>_xlfn.XLOOKUP(B1291,Indices!$A$2:$A$2676,Indices!$B$2:$B$2676,"")</f>
        <v/>
      </c>
    </row>
    <row r="1292" spans="1:4" x14ac:dyDescent="0.25">
      <c r="A1292" s="379">
        <v>45784.958333333336</v>
      </c>
      <c r="B1292" s="382" t="s">
        <v>1790</v>
      </c>
      <c r="C1292" s="377" t="s">
        <v>5008</v>
      </c>
      <c r="D1292" s="6" t="str">
        <f>_xlfn.XLOOKUP(B1292,Indices!$A$2:$A$2676,Indices!$B$2:$B$2676,"")</f>
        <v>IWM</v>
      </c>
    </row>
    <row r="1293" spans="1:4" x14ac:dyDescent="0.25">
      <c r="A1293" s="379">
        <v>45784.960416666669</v>
      </c>
      <c r="B1293" s="382" t="s">
        <v>3452</v>
      </c>
      <c r="C1293" s="377" t="s">
        <v>5011</v>
      </c>
      <c r="D1293" s="6" t="str">
        <f>_xlfn.XLOOKUP(B1293,Indices!$A$2:$A$2676,Indices!$B$2:$B$2676,"")</f>
        <v/>
      </c>
    </row>
    <row r="1294" spans="1:4" x14ac:dyDescent="0.25">
      <c r="A1294" s="379">
        <v>45785.022222222222</v>
      </c>
      <c r="B1294" s="382" t="s">
        <v>3408</v>
      </c>
      <c r="C1294" s="377" t="s">
        <v>5012</v>
      </c>
      <c r="D1294" s="6" t="str">
        <f>_xlfn.XLOOKUP(B1294,Indices!$A$2:$A$2676,Indices!$B$2:$B$2676,"")</f>
        <v/>
      </c>
    </row>
    <row r="1295" spans="1:4" x14ac:dyDescent="0.25">
      <c r="A1295" s="379">
        <v>45785.025000000001</v>
      </c>
      <c r="B1295" s="382" t="s">
        <v>3495</v>
      </c>
      <c r="C1295" s="377" t="s">
        <v>5013</v>
      </c>
      <c r="D1295" s="6" t="str">
        <f>_xlfn.XLOOKUP(B1295,Indices!$A$2:$A$2676,Indices!$B$2:$B$2676,"")</f>
        <v/>
      </c>
    </row>
    <row r="1296" spans="1:4" x14ac:dyDescent="0.25">
      <c r="A1296" s="379">
        <v>45785.068749999999</v>
      </c>
      <c r="B1296" s="382" t="s">
        <v>3016</v>
      </c>
      <c r="C1296" s="377" t="s">
        <v>5014</v>
      </c>
      <c r="D1296" s="6" t="str">
        <f>_xlfn.XLOOKUP(B1296,Indices!$A$2:$A$2676,Indices!$B$2:$B$2676,"")</f>
        <v/>
      </c>
    </row>
    <row r="1297" spans="1:4" x14ac:dyDescent="0.25">
      <c r="A1297" s="379">
        <v>45785.083333333336</v>
      </c>
      <c r="B1297" s="382" t="s">
        <v>269</v>
      </c>
      <c r="C1297" s="377" t="s">
        <v>5015</v>
      </c>
      <c r="D1297" s="6" t="str">
        <f>_xlfn.XLOOKUP(B1297,Indices!$A$2:$A$2676,Indices!$B$2:$B$2676,"")</f>
        <v>IWM</v>
      </c>
    </row>
    <row r="1298" spans="1:4" x14ac:dyDescent="0.25">
      <c r="A1298" s="379">
        <v>45785.086111111108</v>
      </c>
      <c r="B1298" s="382" t="s">
        <v>3945</v>
      </c>
      <c r="C1298" s="377" t="s">
        <v>5016</v>
      </c>
      <c r="D1298" s="6" t="str">
        <f>_xlfn.XLOOKUP(B1298,Indices!$A$2:$A$2676,Indices!$B$2:$B$2676,"")</f>
        <v/>
      </c>
    </row>
    <row r="1299" spans="1:4" x14ac:dyDescent="0.25">
      <c r="A1299" s="379">
        <v>45785.125</v>
      </c>
      <c r="B1299" s="382" t="s">
        <v>526</v>
      </c>
      <c r="C1299" s="377" t="s">
        <v>5017</v>
      </c>
      <c r="D1299" s="6" t="str">
        <f>_xlfn.XLOOKUP(B1299,Indices!$A$2:$A$2676,Indices!$B$2:$B$2676,"")</f>
        <v>IWM</v>
      </c>
    </row>
    <row r="1300" spans="1:4" x14ac:dyDescent="0.25">
      <c r="A1300" s="379">
        <v>45785.125</v>
      </c>
      <c r="B1300" s="382" t="s">
        <v>3267</v>
      </c>
      <c r="C1300" s="377" t="s">
        <v>5017</v>
      </c>
      <c r="D1300" s="6" t="str">
        <f>_xlfn.XLOOKUP(B1300,Indices!$A$2:$A$2676,Indices!$B$2:$B$2676,"")</f>
        <v/>
      </c>
    </row>
    <row r="1301" spans="1:4" x14ac:dyDescent="0.25">
      <c r="A1301" s="379">
        <v>45785.145833333336</v>
      </c>
      <c r="B1301" s="382" t="s">
        <v>3276</v>
      </c>
      <c r="C1301" s="377" t="s">
        <v>5018</v>
      </c>
      <c r="D1301" s="6" t="str">
        <f>_xlfn.XLOOKUP(B1301,Indices!$A$2:$A$2676,Indices!$B$2:$B$2676,"")</f>
        <v/>
      </c>
    </row>
    <row r="1302" spans="1:4" x14ac:dyDescent="0.25">
      <c r="A1302" s="379">
        <v>45785.165972222225</v>
      </c>
      <c r="B1302" s="382" t="s">
        <v>3490</v>
      </c>
      <c r="C1302" s="377" t="s">
        <v>5019</v>
      </c>
      <c r="D1302" s="6" t="str">
        <f>_xlfn.XLOOKUP(B1302,Indices!$A$2:$A$2676,Indices!$B$2:$B$2676,"")</f>
        <v/>
      </c>
    </row>
    <row r="1303" spans="1:4" x14ac:dyDescent="0.25">
      <c r="A1303" s="379">
        <v>45785.166666666664</v>
      </c>
      <c r="B1303" s="382" t="s">
        <v>5021</v>
      </c>
      <c r="C1303" s="377" t="s">
        <v>5020</v>
      </c>
      <c r="D1303" s="6" t="str">
        <f>_xlfn.XLOOKUP(B1303,Indices!$A$2:$A$2676,Indices!$B$2:$B$2676,"")</f>
        <v/>
      </c>
    </row>
    <row r="1304" spans="1:4" x14ac:dyDescent="0.25">
      <c r="A1304" s="379">
        <v>45785.166666666664</v>
      </c>
      <c r="B1304" s="382" t="s">
        <v>3477</v>
      </c>
      <c r="C1304" s="377" t="s">
        <v>5020</v>
      </c>
      <c r="D1304" s="6" t="str">
        <f>_xlfn.XLOOKUP(B1304,Indices!$A$2:$A$2676,Indices!$B$2:$B$2676,"")</f>
        <v/>
      </c>
    </row>
    <row r="1305" spans="1:4" x14ac:dyDescent="0.25">
      <c r="A1305" s="379">
        <v>45785.166666666664</v>
      </c>
      <c r="B1305" s="382" t="s">
        <v>532</v>
      </c>
      <c r="C1305" s="377" t="s">
        <v>5020</v>
      </c>
      <c r="D1305" s="6" t="str">
        <f>_xlfn.XLOOKUP(B1305,Indices!$A$2:$A$2676,Indices!$B$2:$B$2676,"")</f>
        <v>IWM</v>
      </c>
    </row>
    <row r="1306" spans="1:4" x14ac:dyDescent="0.25">
      <c r="A1306" s="379">
        <v>45785.166666666664</v>
      </c>
      <c r="B1306" s="382" t="s">
        <v>541</v>
      </c>
      <c r="C1306" s="377" t="s">
        <v>5020</v>
      </c>
      <c r="D1306" s="6" t="str">
        <f>_xlfn.XLOOKUP(B1306,Indices!$A$2:$A$2676,Indices!$B$2:$B$2676,"")</f>
        <v>IWM</v>
      </c>
    </row>
    <row r="1307" spans="1:4" x14ac:dyDescent="0.25">
      <c r="A1307" s="379">
        <v>45785.166666666664</v>
      </c>
      <c r="B1307" s="382" t="s">
        <v>834</v>
      </c>
      <c r="C1307" s="377" t="s">
        <v>5020</v>
      </c>
      <c r="D1307" s="6" t="str">
        <f>_xlfn.XLOOKUP(B1307,Indices!$A$2:$A$2676,Indices!$B$2:$B$2676,"")</f>
        <v>IWM</v>
      </c>
    </row>
    <row r="1308" spans="1:4" x14ac:dyDescent="0.25">
      <c r="A1308" s="379">
        <v>45785.166666666664</v>
      </c>
      <c r="B1308" s="382" t="s">
        <v>3423</v>
      </c>
      <c r="C1308" s="377" t="s">
        <v>5020</v>
      </c>
      <c r="D1308" s="6" t="str">
        <f>_xlfn.XLOOKUP(B1308,Indices!$A$2:$A$2676,Indices!$B$2:$B$2676,"")</f>
        <v/>
      </c>
    </row>
    <row r="1309" spans="1:4" x14ac:dyDescent="0.25">
      <c r="A1309" s="379">
        <v>45785.166666666664</v>
      </c>
      <c r="B1309" s="382" t="s">
        <v>527</v>
      </c>
      <c r="C1309" s="377" t="s">
        <v>5020</v>
      </c>
      <c r="D1309" s="6" t="str">
        <f>_xlfn.XLOOKUP(B1309,Indices!$A$2:$A$2676,Indices!$B$2:$B$2676,"")</f>
        <v>SP500</v>
      </c>
    </row>
    <row r="1310" spans="1:4" x14ac:dyDescent="0.25">
      <c r="A1310" s="379">
        <v>45785.166666666664</v>
      </c>
      <c r="B1310" s="382" t="s">
        <v>274</v>
      </c>
      <c r="C1310" s="377" t="s">
        <v>5020</v>
      </c>
      <c r="D1310" s="6" t="str">
        <f>_xlfn.XLOOKUP(B1310,Indices!$A$2:$A$2676,Indices!$B$2:$B$2676,"")</f>
        <v>S&amp;P Mid</v>
      </c>
    </row>
    <row r="1311" spans="1:4" x14ac:dyDescent="0.25">
      <c r="A1311" s="379">
        <v>45785.166666666664</v>
      </c>
      <c r="B1311" s="382" t="s">
        <v>539</v>
      </c>
      <c r="C1311" s="377" t="s">
        <v>5020</v>
      </c>
      <c r="D1311" s="6" t="str">
        <f>_xlfn.XLOOKUP(B1311,Indices!$A$2:$A$2676,Indices!$B$2:$B$2676,"")</f>
        <v>S&amp;P Mid</v>
      </c>
    </row>
    <row r="1312" spans="1:4" x14ac:dyDescent="0.25">
      <c r="A1312" s="379">
        <v>45785.166666666664</v>
      </c>
      <c r="B1312" s="382" t="s">
        <v>534</v>
      </c>
      <c r="C1312" s="377" t="s">
        <v>5020</v>
      </c>
      <c r="D1312" s="6" t="str">
        <f>_xlfn.XLOOKUP(B1312,Indices!$A$2:$A$2676,Indices!$B$2:$B$2676,"")</f>
        <v>IWM</v>
      </c>
    </row>
    <row r="1313" spans="1:4" x14ac:dyDescent="0.25">
      <c r="A1313" s="379">
        <v>45785.166666666664</v>
      </c>
      <c r="B1313" s="382" t="s">
        <v>832</v>
      </c>
      <c r="C1313" s="377" t="s">
        <v>5020</v>
      </c>
      <c r="D1313" s="6" t="str">
        <f>_xlfn.XLOOKUP(B1313,Indices!$A$2:$A$2676,Indices!$B$2:$B$2676,"")</f>
        <v>S&amp;P Mid</v>
      </c>
    </row>
    <row r="1314" spans="1:4" x14ac:dyDescent="0.25">
      <c r="A1314" s="379">
        <v>45785.166666666664</v>
      </c>
      <c r="B1314" s="382" t="s">
        <v>3520</v>
      </c>
      <c r="C1314" s="377" t="s">
        <v>5020</v>
      </c>
      <c r="D1314" s="6" t="str">
        <f>_xlfn.XLOOKUP(B1314,Indices!$A$2:$A$2676,Indices!$B$2:$B$2676,"")</f>
        <v/>
      </c>
    </row>
    <row r="1315" spans="1:4" x14ac:dyDescent="0.25">
      <c r="A1315" s="379">
        <v>45785.166666666664</v>
      </c>
      <c r="B1315" s="382" t="s">
        <v>2558</v>
      </c>
      <c r="C1315" s="377" t="s">
        <v>5020</v>
      </c>
      <c r="D1315" s="6" t="str">
        <f>_xlfn.XLOOKUP(B1315,Indices!$A$2:$A$2676,Indices!$B$2:$B$2676,"")</f>
        <v/>
      </c>
    </row>
    <row r="1316" spans="1:4" x14ac:dyDescent="0.25">
      <c r="A1316" s="379">
        <v>45785.166666666664</v>
      </c>
      <c r="B1316" s="382" t="s">
        <v>537</v>
      </c>
      <c r="C1316" s="377" t="s">
        <v>5020</v>
      </c>
      <c r="D1316" s="6" t="str">
        <f>_xlfn.XLOOKUP(B1316,Indices!$A$2:$A$2676,Indices!$B$2:$B$2676,"")</f>
        <v>S&amp;P Mid</v>
      </c>
    </row>
    <row r="1317" spans="1:4" x14ac:dyDescent="0.25">
      <c r="A1317" s="379">
        <v>45785.166666666664</v>
      </c>
      <c r="B1317" s="382" t="s">
        <v>4107</v>
      </c>
      <c r="C1317" s="377" t="s">
        <v>5020</v>
      </c>
      <c r="D1317" s="6" t="str">
        <f>_xlfn.XLOOKUP(B1317,Indices!$A$2:$A$2676,Indices!$B$2:$B$2676,"")</f>
        <v/>
      </c>
    </row>
    <row r="1318" spans="1:4" x14ac:dyDescent="0.25">
      <c r="A1318" s="379">
        <v>45785.166666666664</v>
      </c>
      <c r="B1318" s="382" t="s">
        <v>882</v>
      </c>
      <c r="C1318" s="377" t="s">
        <v>5020</v>
      </c>
      <c r="D1318" s="6" t="str">
        <f>_xlfn.XLOOKUP(B1318,Indices!$A$2:$A$2676,Indices!$B$2:$B$2676,"")</f>
        <v>IWM</v>
      </c>
    </row>
    <row r="1319" spans="1:4" x14ac:dyDescent="0.25">
      <c r="A1319" s="379">
        <v>45785.166666666664</v>
      </c>
      <c r="B1319" s="382" t="s">
        <v>3972</v>
      </c>
      <c r="C1319" s="377" t="s">
        <v>5020</v>
      </c>
      <c r="D1319" s="6" t="str">
        <f>_xlfn.XLOOKUP(B1319,Indices!$A$2:$A$2676,Indices!$B$2:$B$2676,"")</f>
        <v/>
      </c>
    </row>
    <row r="1320" spans="1:4" x14ac:dyDescent="0.25">
      <c r="A1320" s="379">
        <v>45785.166666666664</v>
      </c>
      <c r="B1320" s="382" t="s">
        <v>2962</v>
      </c>
      <c r="C1320" s="377" t="s">
        <v>5020</v>
      </c>
      <c r="D1320" s="6" t="str">
        <f>_xlfn.XLOOKUP(B1320,Indices!$A$2:$A$2676,Indices!$B$2:$B$2676,"")</f>
        <v/>
      </c>
    </row>
    <row r="1321" spans="1:4" x14ac:dyDescent="0.25">
      <c r="A1321" s="379">
        <v>45785.172222222223</v>
      </c>
      <c r="B1321" s="382" t="s">
        <v>867</v>
      </c>
      <c r="C1321" s="377" t="s">
        <v>5022</v>
      </c>
      <c r="D1321" s="6" t="str">
        <f>_xlfn.XLOOKUP(B1321,Indices!$A$2:$A$2676,Indices!$B$2:$B$2676,"")</f>
        <v>IWM</v>
      </c>
    </row>
    <row r="1322" spans="1:4" x14ac:dyDescent="0.25">
      <c r="A1322" s="379">
        <v>45785.177083333336</v>
      </c>
      <c r="B1322" s="382" t="s">
        <v>555</v>
      </c>
      <c r="C1322" s="377" t="s">
        <v>5023</v>
      </c>
      <c r="D1322" s="6" t="str">
        <f>_xlfn.XLOOKUP(B1322,Indices!$A$2:$A$2676,Indices!$B$2:$B$2676,"")</f>
        <v>IWM</v>
      </c>
    </row>
    <row r="1323" spans="1:4" x14ac:dyDescent="0.25">
      <c r="A1323" s="379">
        <v>45785.177083333336</v>
      </c>
      <c r="B1323" s="382" t="s">
        <v>889</v>
      </c>
      <c r="C1323" s="377" t="s">
        <v>5023</v>
      </c>
      <c r="D1323" s="6" t="str">
        <f>_xlfn.XLOOKUP(B1323,Indices!$A$2:$A$2676,Indices!$B$2:$B$2676,"")</f>
        <v>IWM</v>
      </c>
    </row>
    <row r="1324" spans="1:4" x14ac:dyDescent="0.25">
      <c r="A1324" s="379">
        <v>45785.1875</v>
      </c>
      <c r="B1324" s="382" t="s">
        <v>1105</v>
      </c>
      <c r="C1324" s="377" t="s">
        <v>5024</v>
      </c>
      <c r="D1324" s="6" t="str">
        <f>_xlfn.XLOOKUP(B1324,Indices!$A$2:$A$2676,Indices!$B$2:$B$2676,"")</f>
        <v>IWM</v>
      </c>
    </row>
    <row r="1325" spans="1:4" x14ac:dyDescent="0.25">
      <c r="A1325" s="379">
        <v>45785.1875</v>
      </c>
      <c r="B1325" s="382" t="s">
        <v>3965</v>
      </c>
      <c r="C1325" s="377" t="s">
        <v>5024</v>
      </c>
      <c r="D1325" s="6" t="str">
        <f>_xlfn.XLOOKUP(B1325,Indices!$A$2:$A$2676,Indices!$B$2:$B$2676,"")</f>
        <v/>
      </c>
    </row>
    <row r="1326" spans="1:4" x14ac:dyDescent="0.25">
      <c r="A1326" s="379">
        <v>45785.1875</v>
      </c>
      <c r="B1326" s="382" t="s">
        <v>763</v>
      </c>
      <c r="C1326" s="377" t="s">
        <v>5024</v>
      </c>
      <c r="D1326" s="6" t="str">
        <f>_xlfn.XLOOKUP(B1326,Indices!$A$2:$A$2676,Indices!$B$2:$B$2676,"")</f>
        <v>IWM</v>
      </c>
    </row>
    <row r="1327" spans="1:4" x14ac:dyDescent="0.25">
      <c r="A1327" s="379">
        <v>45785.1875</v>
      </c>
      <c r="B1327" s="382" t="s">
        <v>1694</v>
      </c>
      <c r="C1327" s="377" t="s">
        <v>5024</v>
      </c>
      <c r="D1327" s="6" t="str">
        <f>_xlfn.XLOOKUP(B1327,Indices!$A$2:$A$2676,Indices!$B$2:$B$2676,"")</f>
        <v>IWM</v>
      </c>
    </row>
    <row r="1328" spans="1:4" x14ac:dyDescent="0.25">
      <c r="A1328" s="379">
        <v>45785.1875</v>
      </c>
      <c r="B1328" s="382" t="s">
        <v>3411</v>
      </c>
      <c r="C1328" s="377" t="s">
        <v>5024</v>
      </c>
      <c r="D1328" s="6" t="str">
        <f>_xlfn.XLOOKUP(B1328,Indices!$A$2:$A$2676,Indices!$B$2:$B$2676,"")</f>
        <v/>
      </c>
    </row>
    <row r="1329" spans="1:4" x14ac:dyDescent="0.25">
      <c r="A1329" s="379">
        <v>45785.1875</v>
      </c>
      <c r="B1329" s="382" t="s">
        <v>472</v>
      </c>
      <c r="C1329" s="377" t="s">
        <v>5024</v>
      </c>
      <c r="D1329" s="6" t="str">
        <f>_xlfn.XLOOKUP(B1329,Indices!$A$2:$A$2676,Indices!$B$2:$B$2676,"")</f>
        <v>IWM</v>
      </c>
    </row>
    <row r="1330" spans="1:4" x14ac:dyDescent="0.25">
      <c r="A1330" s="379">
        <v>45785.1875</v>
      </c>
      <c r="B1330" s="382" t="s">
        <v>560</v>
      </c>
      <c r="C1330" s="377" t="s">
        <v>5024</v>
      </c>
      <c r="D1330" s="6" t="str">
        <f>_xlfn.XLOOKUP(B1330,Indices!$A$2:$A$2676,Indices!$B$2:$B$2676,"")</f>
        <v>SP500</v>
      </c>
    </row>
    <row r="1331" spans="1:4" x14ac:dyDescent="0.25">
      <c r="A1331" s="379">
        <v>45785.1875</v>
      </c>
      <c r="B1331" s="382" t="s">
        <v>41</v>
      </c>
      <c r="C1331" s="377" t="s">
        <v>5024</v>
      </c>
      <c r="D1331" s="6" t="str">
        <f>_xlfn.XLOOKUP(B1331,Indices!$A$2:$A$2676,Indices!$B$2:$B$2676,"")</f>
        <v>S&amp;P Mid</v>
      </c>
    </row>
    <row r="1332" spans="1:4" x14ac:dyDescent="0.25">
      <c r="A1332" s="379">
        <v>45785.1875</v>
      </c>
      <c r="B1332" s="382" t="s">
        <v>553</v>
      </c>
      <c r="C1332" s="377" t="s">
        <v>5024</v>
      </c>
      <c r="D1332" s="6" t="str">
        <f>_xlfn.XLOOKUP(B1332,Indices!$A$2:$A$2676,Indices!$B$2:$B$2676,"")</f>
        <v>S&amp;P Mid</v>
      </c>
    </row>
    <row r="1333" spans="1:4" x14ac:dyDescent="0.25">
      <c r="A1333" s="379">
        <v>45785.1875</v>
      </c>
      <c r="B1333" s="382" t="s">
        <v>559</v>
      </c>
      <c r="C1333" s="377" t="s">
        <v>5024</v>
      </c>
      <c r="D1333" s="6" t="str">
        <f>_xlfn.XLOOKUP(B1333,Indices!$A$2:$A$2676,Indices!$B$2:$B$2676,"")</f>
        <v>IWM</v>
      </c>
    </row>
    <row r="1334" spans="1:4" x14ac:dyDescent="0.25">
      <c r="A1334" s="379">
        <v>45785.1875</v>
      </c>
      <c r="B1334" s="382" t="s">
        <v>1012</v>
      </c>
      <c r="C1334" s="377" t="s">
        <v>5024</v>
      </c>
      <c r="D1334" s="6" t="str">
        <f>_xlfn.XLOOKUP(B1334,Indices!$A$2:$A$2676,Indices!$B$2:$B$2676,"")</f>
        <v>IWM</v>
      </c>
    </row>
    <row r="1335" spans="1:4" x14ac:dyDescent="0.25">
      <c r="A1335" s="379">
        <v>45785.1875</v>
      </c>
      <c r="B1335" s="382" t="s">
        <v>3429</v>
      </c>
      <c r="C1335" s="377" t="s">
        <v>5024</v>
      </c>
      <c r="D1335" s="6" t="str">
        <f>_xlfn.XLOOKUP(B1335,Indices!$A$2:$A$2676,Indices!$B$2:$B$2676,"")</f>
        <v/>
      </c>
    </row>
    <row r="1336" spans="1:4" x14ac:dyDescent="0.25">
      <c r="A1336" s="379">
        <v>45785.1875</v>
      </c>
      <c r="B1336" s="382" t="s">
        <v>563</v>
      </c>
      <c r="C1336" s="377" t="s">
        <v>5024</v>
      </c>
      <c r="D1336" s="6" t="str">
        <f>_xlfn.XLOOKUP(B1336,Indices!$A$2:$A$2676,Indices!$B$2:$B$2676,"")</f>
        <v>IWM</v>
      </c>
    </row>
    <row r="1337" spans="1:4" x14ac:dyDescent="0.25">
      <c r="A1337" s="379">
        <v>45785.1875</v>
      </c>
      <c r="B1337" s="382" t="s">
        <v>1723</v>
      </c>
      <c r="C1337" s="377" t="s">
        <v>5024</v>
      </c>
      <c r="D1337" s="6" t="str">
        <f>_xlfn.XLOOKUP(B1337,Indices!$A$2:$A$2676,Indices!$B$2:$B$2676,"")</f>
        <v>IWM</v>
      </c>
    </row>
    <row r="1338" spans="1:4" x14ac:dyDescent="0.25">
      <c r="A1338" s="379">
        <v>45785.1875</v>
      </c>
      <c r="B1338" s="382" t="s">
        <v>3481</v>
      </c>
      <c r="C1338" s="377" t="s">
        <v>5024</v>
      </c>
      <c r="D1338" s="6" t="str">
        <f>_xlfn.XLOOKUP(B1338,Indices!$A$2:$A$2676,Indices!$B$2:$B$2676,"")</f>
        <v/>
      </c>
    </row>
    <row r="1339" spans="1:4" x14ac:dyDescent="0.25">
      <c r="A1339" s="379">
        <v>45785.1875</v>
      </c>
      <c r="B1339" s="382" t="s">
        <v>2923</v>
      </c>
      <c r="C1339" s="377" t="s">
        <v>5024</v>
      </c>
      <c r="D1339" s="6" t="str">
        <f>_xlfn.XLOOKUP(B1339,Indices!$A$2:$A$2676,Indices!$B$2:$B$2676,"")</f>
        <v/>
      </c>
    </row>
    <row r="1340" spans="1:4" x14ac:dyDescent="0.25">
      <c r="A1340" s="379">
        <v>45785.1875</v>
      </c>
      <c r="B1340" s="382" t="s">
        <v>3102</v>
      </c>
      <c r="C1340" s="377" t="s">
        <v>5024</v>
      </c>
      <c r="D1340" s="6" t="str">
        <f>_xlfn.XLOOKUP(B1340,Indices!$A$2:$A$2676,Indices!$B$2:$B$2676,"")</f>
        <v/>
      </c>
    </row>
    <row r="1341" spans="1:4" x14ac:dyDescent="0.25">
      <c r="A1341" s="379">
        <v>45785.1875</v>
      </c>
      <c r="B1341" s="382" t="s">
        <v>3409</v>
      </c>
      <c r="C1341" s="377" t="s">
        <v>5024</v>
      </c>
      <c r="D1341" s="6" t="str">
        <f>_xlfn.XLOOKUP(B1341,Indices!$A$2:$A$2676,Indices!$B$2:$B$2676,"")</f>
        <v/>
      </c>
    </row>
    <row r="1342" spans="1:4" x14ac:dyDescent="0.25">
      <c r="A1342" s="379">
        <v>45785.1875</v>
      </c>
      <c r="B1342" s="382" t="s">
        <v>42</v>
      </c>
      <c r="C1342" s="377" t="s">
        <v>5024</v>
      </c>
      <c r="D1342" s="6" t="str">
        <f>_xlfn.XLOOKUP(B1342,Indices!$A$2:$A$2676,Indices!$B$2:$B$2676,"")</f>
        <v>IWM</v>
      </c>
    </row>
    <row r="1343" spans="1:4" x14ac:dyDescent="0.25">
      <c r="A1343" s="379">
        <v>45785.1875</v>
      </c>
      <c r="B1343" s="382" t="s">
        <v>3718</v>
      </c>
      <c r="C1343" s="377" t="s">
        <v>5024</v>
      </c>
      <c r="D1343" s="6" t="str">
        <f>_xlfn.XLOOKUP(B1343,Indices!$A$2:$A$2676,Indices!$B$2:$B$2676,"")</f>
        <v/>
      </c>
    </row>
    <row r="1344" spans="1:4" x14ac:dyDescent="0.25">
      <c r="A1344" s="379">
        <v>45785.1875</v>
      </c>
      <c r="B1344" s="382" t="s">
        <v>554</v>
      </c>
      <c r="C1344" s="377" t="s">
        <v>5024</v>
      </c>
      <c r="D1344" s="6" t="str">
        <f>_xlfn.XLOOKUP(B1344,Indices!$A$2:$A$2676,Indices!$B$2:$B$2676,"")</f>
        <v>IWM</v>
      </c>
    </row>
    <row r="1345" spans="1:4" x14ac:dyDescent="0.25">
      <c r="A1345" s="379">
        <v>45785.1875</v>
      </c>
      <c r="B1345" s="382" t="s">
        <v>1010</v>
      </c>
      <c r="C1345" s="377" t="s">
        <v>5024</v>
      </c>
      <c r="D1345" s="6" t="str">
        <f>_xlfn.XLOOKUP(B1345,Indices!$A$2:$A$2676,Indices!$B$2:$B$2676,"")</f>
        <v>IWM</v>
      </c>
    </row>
    <row r="1346" spans="1:4" x14ac:dyDescent="0.25">
      <c r="A1346" s="379">
        <v>45785.1875</v>
      </c>
      <c r="B1346" s="382" t="s">
        <v>3515</v>
      </c>
      <c r="C1346" s="377" t="s">
        <v>5024</v>
      </c>
      <c r="D1346" s="6" t="str">
        <f>_xlfn.XLOOKUP(B1346,Indices!$A$2:$A$2676,Indices!$B$2:$B$2676,"")</f>
        <v/>
      </c>
    </row>
    <row r="1347" spans="1:4" x14ac:dyDescent="0.25">
      <c r="A1347" s="379">
        <v>45785.188888888886</v>
      </c>
      <c r="B1347" s="382" t="s">
        <v>21</v>
      </c>
      <c r="C1347" s="377" t="s">
        <v>5025</v>
      </c>
      <c r="D1347" s="6" t="str">
        <f>_xlfn.XLOOKUP(B1347,Indices!$A$2:$A$2676,Indices!$B$2:$B$2676,"")</f>
        <v>IWM</v>
      </c>
    </row>
    <row r="1348" spans="1:4" x14ac:dyDescent="0.25">
      <c r="A1348" s="379">
        <v>45785.190972222219</v>
      </c>
      <c r="B1348" s="382" t="s">
        <v>3514</v>
      </c>
      <c r="C1348" s="377" t="s">
        <v>5026</v>
      </c>
      <c r="D1348" s="6" t="str">
        <f>_xlfn.XLOOKUP(B1348,Indices!$A$2:$A$2676,Indices!$B$2:$B$2676,"")</f>
        <v/>
      </c>
    </row>
    <row r="1349" spans="1:4" x14ac:dyDescent="0.25">
      <c r="A1349" s="379">
        <v>45785.191666666666</v>
      </c>
      <c r="B1349" s="382" t="s">
        <v>3127</v>
      </c>
      <c r="C1349" s="377" t="s">
        <v>5027</v>
      </c>
      <c r="D1349" s="6" t="str">
        <f>_xlfn.XLOOKUP(B1349,Indices!$A$2:$A$2676,Indices!$B$2:$B$2676,"")</f>
        <v/>
      </c>
    </row>
    <row r="1350" spans="1:4" x14ac:dyDescent="0.25">
      <c r="A1350" s="379">
        <v>45785.192361111112</v>
      </c>
      <c r="B1350" s="382" t="s">
        <v>3506</v>
      </c>
      <c r="C1350" s="377" t="s">
        <v>5028</v>
      </c>
      <c r="D1350" s="6" t="str">
        <f>_xlfn.XLOOKUP(B1350,Indices!$A$2:$A$2676,Indices!$B$2:$B$2676,"")</f>
        <v/>
      </c>
    </row>
    <row r="1351" spans="1:4" x14ac:dyDescent="0.25">
      <c r="A1351" s="379">
        <v>45785.193749999999</v>
      </c>
      <c r="B1351" s="382" t="s">
        <v>3470</v>
      </c>
      <c r="C1351" s="377" t="s">
        <v>5029</v>
      </c>
      <c r="D1351" s="6" t="str">
        <f>_xlfn.XLOOKUP(B1351,Indices!$A$2:$A$2676,Indices!$B$2:$B$2676,"")</f>
        <v/>
      </c>
    </row>
    <row r="1352" spans="1:4" x14ac:dyDescent="0.25">
      <c r="A1352" s="379">
        <v>45785.197916666664</v>
      </c>
      <c r="B1352" s="382" t="s">
        <v>565</v>
      </c>
      <c r="C1352" s="377" t="s">
        <v>5030</v>
      </c>
      <c r="D1352" s="6" t="str">
        <f>_xlfn.XLOOKUP(B1352,Indices!$A$2:$A$2676,Indices!$B$2:$B$2676,"")</f>
        <v>IWM</v>
      </c>
    </row>
    <row r="1353" spans="1:4" x14ac:dyDescent="0.25">
      <c r="A1353" s="379">
        <v>45785.197916666664</v>
      </c>
      <c r="B1353" s="382" t="s">
        <v>4060</v>
      </c>
      <c r="C1353" s="377" t="s">
        <v>5030</v>
      </c>
      <c r="D1353" s="6" t="str">
        <f>_xlfn.XLOOKUP(B1353,Indices!$A$2:$A$2676,Indices!$B$2:$B$2676,"")</f>
        <v/>
      </c>
    </row>
    <row r="1354" spans="1:4" x14ac:dyDescent="0.25">
      <c r="A1354" s="379">
        <v>45785.197916666664</v>
      </c>
      <c r="B1354" s="382" t="s">
        <v>3099</v>
      </c>
      <c r="C1354" s="377" t="s">
        <v>5030</v>
      </c>
      <c r="D1354" s="6" t="str">
        <f>_xlfn.XLOOKUP(B1354,Indices!$A$2:$A$2676,Indices!$B$2:$B$2676,"")</f>
        <v/>
      </c>
    </row>
    <row r="1355" spans="1:4" x14ac:dyDescent="0.25">
      <c r="A1355" s="379">
        <v>45785.197916666664</v>
      </c>
      <c r="B1355" s="382" t="s">
        <v>574</v>
      </c>
      <c r="C1355" s="377" t="s">
        <v>5030</v>
      </c>
      <c r="D1355" s="6" t="str">
        <f>_xlfn.XLOOKUP(B1355,Indices!$A$2:$A$2676,Indices!$B$2:$B$2676,"")</f>
        <v>S&amp;P Mid</v>
      </c>
    </row>
    <row r="1356" spans="1:4" x14ac:dyDescent="0.25">
      <c r="A1356" s="379">
        <v>45785.197916666664</v>
      </c>
      <c r="B1356" s="382" t="s">
        <v>3471</v>
      </c>
      <c r="C1356" s="377" t="s">
        <v>5030</v>
      </c>
      <c r="D1356" s="6" t="str">
        <f>_xlfn.XLOOKUP(B1356,Indices!$A$2:$A$2676,Indices!$B$2:$B$2676,"")</f>
        <v/>
      </c>
    </row>
    <row r="1357" spans="1:4" x14ac:dyDescent="0.25">
      <c r="A1357" s="379">
        <v>45785.197916666664</v>
      </c>
      <c r="B1357" s="382" t="s">
        <v>566</v>
      </c>
      <c r="C1357" s="377" t="s">
        <v>5030</v>
      </c>
      <c r="D1357" s="6" t="str">
        <f>_xlfn.XLOOKUP(B1357,Indices!$A$2:$A$2676,Indices!$B$2:$B$2676,"")</f>
        <v>SP500</v>
      </c>
    </row>
    <row r="1358" spans="1:4" x14ac:dyDescent="0.25">
      <c r="A1358" s="379">
        <v>45785.197916666664</v>
      </c>
      <c r="B1358" s="382" t="s">
        <v>571</v>
      </c>
      <c r="C1358" s="377" t="s">
        <v>5030</v>
      </c>
      <c r="D1358" s="6" t="str">
        <f>_xlfn.XLOOKUP(B1358,Indices!$A$2:$A$2676,Indices!$B$2:$B$2676,"")</f>
        <v>IWM</v>
      </c>
    </row>
    <row r="1359" spans="1:4" x14ac:dyDescent="0.25">
      <c r="A1359" s="379">
        <v>45785.197916666664</v>
      </c>
      <c r="B1359" s="382" t="s">
        <v>572</v>
      </c>
      <c r="C1359" s="377" t="s">
        <v>5030</v>
      </c>
      <c r="D1359" s="6" t="str">
        <f>_xlfn.XLOOKUP(B1359,Indices!$A$2:$A$2676,Indices!$B$2:$B$2676,"")</f>
        <v>IWM</v>
      </c>
    </row>
    <row r="1360" spans="1:4" x14ac:dyDescent="0.25">
      <c r="A1360" s="379">
        <v>45785.197916666664</v>
      </c>
      <c r="B1360" s="382" t="s">
        <v>283</v>
      </c>
      <c r="C1360" s="377" t="s">
        <v>5030</v>
      </c>
      <c r="D1360" s="6" t="str">
        <f>_xlfn.XLOOKUP(B1360,Indices!$A$2:$A$2676,Indices!$B$2:$B$2676,"")</f>
        <v>IWM</v>
      </c>
    </row>
    <row r="1361" spans="1:4" x14ac:dyDescent="0.25">
      <c r="A1361" s="379">
        <v>45785.197916666664</v>
      </c>
      <c r="B1361" s="382" t="s">
        <v>1926</v>
      </c>
      <c r="C1361" s="377" t="s">
        <v>5030</v>
      </c>
      <c r="D1361" s="6" t="str">
        <f>_xlfn.XLOOKUP(B1361,Indices!$A$2:$A$2676,Indices!$B$2:$B$2676,"")</f>
        <v>IWM</v>
      </c>
    </row>
    <row r="1362" spans="1:4" x14ac:dyDescent="0.25">
      <c r="A1362" s="379">
        <v>45785.197916666664</v>
      </c>
      <c r="B1362" s="382" t="s">
        <v>567</v>
      </c>
      <c r="C1362" s="377" t="s">
        <v>5030</v>
      </c>
      <c r="D1362" s="6" t="str">
        <f>_xlfn.XLOOKUP(B1362,Indices!$A$2:$A$2676,Indices!$B$2:$B$2676,"")</f>
        <v>IWM</v>
      </c>
    </row>
    <row r="1363" spans="1:4" x14ac:dyDescent="0.25">
      <c r="A1363" s="379">
        <v>45785.197916666664</v>
      </c>
      <c r="B1363" s="382" t="s">
        <v>3255</v>
      </c>
      <c r="C1363" s="377" t="s">
        <v>5030</v>
      </c>
      <c r="D1363" s="6" t="str">
        <f>_xlfn.XLOOKUP(B1363,Indices!$A$2:$A$2676,Indices!$B$2:$B$2676,"")</f>
        <v/>
      </c>
    </row>
    <row r="1364" spans="1:4" x14ac:dyDescent="0.25">
      <c r="A1364" s="379">
        <v>45785.201388888891</v>
      </c>
      <c r="B1364" s="382" t="s">
        <v>3256</v>
      </c>
      <c r="C1364" s="377" t="s">
        <v>5031</v>
      </c>
      <c r="D1364" s="6" t="str">
        <f>_xlfn.XLOOKUP(B1364,Indices!$A$2:$A$2676,Indices!$B$2:$B$2676,"")</f>
        <v/>
      </c>
    </row>
    <row r="1365" spans="1:4" x14ac:dyDescent="0.25">
      <c r="A1365" s="379">
        <v>45785.201388888891</v>
      </c>
      <c r="B1365" s="382" t="s">
        <v>46</v>
      </c>
      <c r="C1365" s="377" t="s">
        <v>5031</v>
      </c>
      <c r="D1365" s="6" t="str">
        <f>_xlfn.XLOOKUP(B1365,Indices!$A$2:$A$2676,Indices!$B$2:$B$2676,"")</f>
        <v>S&amp;P Mid</v>
      </c>
    </row>
    <row r="1366" spans="1:4" x14ac:dyDescent="0.25">
      <c r="A1366" s="379">
        <v>45785.201388888891</v>
      </c>
      <c r="B1366" s="382" t="s">
        <v>570</v>
      </c>
      <c r="C1366" s="377" t="s">
        <v>5031</v>
      </c>
      <c r="D1366" s="6" t="str">
        <f>_xlfn.XLOOKUP(B1366,Indices!$A$2:$A$2676,Indices!$B$2:$B$2676,"")</f>
        <v>SP500</v>
      </c>
    </row>
    <row r="1367" spans="1:4" x14ac:dyDescent="0.25">
      <c r="A1367" s="379">
        <v>45785.204861111109</v>
      </c>
      <c r="B1367" s="382" t="s">
        <v>3727</v>
      </c>
      <c r="C1367" s="377" t="s">
        <v>5032</v>
      </c>
      <c r="D1367" s="6" t="str">
        <f>_xlfn.XLOOKUP(B1367,Indices!$A$2:$A$2676,Indices!$B$2:$B$2676,"")</f>
        <v/>
      </c>
    </row>
    <row r="1368" spans="1:4" x14ac:dyDescent="0.25">
      <c r="A1368" s="379">
        <v>45785.204861111109</v>
      </c>
      <c r="B1368" s="382" t="s">
        <v>2111</v>
      </c>
      <c r="C1368" s="377" t="s">
        <v>5032</v>
      </c>
      <c r="D1368" s="6" t="str">
        <f>_xlfn.XLOOKUP(B1368,Indices!$A$2:$A$2676,Indices!$B$2:$B$2676,"")</f>
        <v>IWM</v>
      </c>
    </row>
    <row r="1369" spans="1:4" x14ac:dyDescent="0.25">
      <c r="A1369" s="379">
        <v>45785.204861111109</v>
      </c>
      <c r="B1369" s="382" t="s">
        <v>2009</v>
      </c>
      <c r="C1369" s="377" t="s">
        <v>5032</v>
      </c>
      <c r="D1369" s="6" t="str">
        <f>_xlfn.XLOOKUP(B1369,Indices!$A$2:$A$2676,Indices!$B$2:$B$2676,"")</f>
        <v>IWM</v>
      </c>
    </row>
    <row r="1370" spans="1:4" x14ac:dyDescent="0.25">
      <c r="A1370" s="379">
        <v>45785.204861111109</v>
      </c>
      <c r="B1370" s="382" t="s">
        <v>1254</v>
      </c>
      <c r="C1370" s="377" t="s">
        <v>5032</v>
      </c>
      <c r="D1370" s="6" t="str">
        <f>_xlfn.XLOOKUP(B1370,Indices!$A$2:$A$2676,Indices!$B$2:$B$2676,"")</f>
        <v>IWM</v>
      </c>
    </row>
    <row r="1371" spans="1:4" x14ac:dyDescent="0.25">
      <c r="A1371" s="379">
        <v>45785.204861111109</v>
      </c>
      <c r="B1371" s="382" t="s">
        <v>3101</v>
      </c>
      <c r="C1371" s="377" t="s">
        <v>5032</v>
      </c>
      <c r="D1371" s="6" t="str">
        <f>_xlfn.XLOOKUP(B1371,Indices!$A$2:$A$2676,Indices!$B$2:$B$2676,"")</f>
        <v/>
      </c>
    </row>
    <row r="1372" spans="1:4" x14ac:dyDescent="0.25">
      <c r="A1372" s="379">
        <v>45785.204861111109</v>
      </c>
      <c r="B1372" s="382" t="s">
        <v>5033</v>
      </c>
      <c r="C1372" s="377" t="s">
        <v>5032</v>
      </c>
      <c r="D1372" s="6" t="str">
        <f>_xlfn.XLOOKUP(B1372,Indices!$A$2:$A$2676,Indices!$B$2:$B$2676,"")</f>
        <v/>
      </c>
    </row>
    <row r="1373" spans="1:4" x14ac:dyDescent="0.25">
      <c r="A1373" s="379">
        <v>45785.207638888889</v>
      </c>
      <c r="B1373" s="382" t="s">
        <v>579</v>
      </c>
      <c r="C1373" s="377" t="s">
        <v>5034</v>
      </c>
      <c r="D1373" s="6" t="str">
        <f>_xlfn.XLOOKUP(B1373,Indices!$A$2:$A$2676,Indices!$B$2:$B$2676,"")</f>
        <v>SP500</v>
      </c>
    </row>
    <row r="1374" spans="1:4" x14ac:dyDescent="0.25">
      <c r="A1374" s="379">
        <v>45785.207638888889</v>
      </c>
      <c r="B1374" s="382" t="s">
        <v>3398</v>
      </c>
      <c r="C1374" s="377" t="s">
        <v>5034</v>
      </c>
      <c r="D1374" s="6" t="str">
        <f>_xlfn.XLOOKUP(B1374,Indices!$A$2:$A$2676,Indices!$B$2:$B$2676,"")</f>
        <v/>
      </c>
    </row>
    <row r="1375" spans="1:4" x14ac:dyDescent="0.25">
      <c r="A1375" s="379">
        <v>45785.207638888889</v>
      </c>
      <c r="B1375" s="382" t="s">
        <v>578</v>
      </c>
      <c r="C1375" s="377" t="s">
        <v>5034</v>
      </c>
      <c r="D1375" s="6" t="str">
        <f>_xlfn.XLOOKUP(B1375,Indices!$A$2:$A$2676,Indices!$B$2:$B$2676,"")</f>
        <v>IWM</v>
      </c>
    </row>
    <row r="1376" spans="1:4" x14ac:dyDescent="0.25">
      <c r="A1376" s="379">
        <v>45785.208333333336</v>
      </c>
      <c r="B1376" s="382" t="s">
        <v>2056</v>
      </c>
      <c r="C1376" s="377" t="s">
        <v>5035</v>
      </c>
      <c r="D1376" s="6" t="str">
        <f>_xlfn.XLOOKUP(B1376,Indices!$A$2:$A$2676,Indices!$B$2:$B$2676,"")</f>
        <v>IWM</v>
      </c>
    </row>
    <row r="1377" spans="1:4" x14ac:dyDescent="0.25">
      <c r="A1377" s="379">
        <v>45785.208333333336</v>
      </c>
      <c r="B1377" s="382" t="s">
        <v>4094</v>
      </c>
      <c r="C1377" s="377" t="s">
        <v>5035</v>
      </c>
      <c r="D1377" s="6" t="str">
        <f>_xlfn.XLOOKUP(B1377,Indices!$A$2:$A$2676,Indices!$B$2:$B$2676,"")</f>
        <v/>
      </c>
    </row>
    <row r="1378" spans="1:4" x14ac:dyDescent="0.25">
      <c r="A1378" s="379">
        <v>45785.208333333336</v>
      </c>
      <c r="B1378" s="382" t="s">
        <v>588</v>
      </c>
      <c r="C1378" s="377" t="s">
        <v>5035</v>
      </c>
      <c r="D1378" s="6" t="str">
        <f>_xlfn.XLOOKUP(B1378,Indices!$A$2:$A$2676,Indices!$B$2:$B$2676,"")</f>
        <v>IWM</v>
      </c>
    </row>
    <row r="1379" spans="1:4" x14ac:dyDescent="0.25">
      <c r="A1379" s="379">
        <v>45785.208333333336</v>
      </c>
      <c r="B1379" s="382" t="s">
        <v>3483</v>
      </c>
      <c r="C1379" s="377" t="s">
        <v>5035</v>
      </c>
      <c r="D1379" s="6" t="str">
        <f>_xlfn.XLOOKUP(B1379,Indices!$A$2:$A$2676,Indices!$B$2:$B$2676,"")</f>
        <v/>
      </c>
    </row>
    <row r="1380" spans="1:4" x14ac:dyDescent="0.25">
      <c r="A1380" s="379">
        <v>45785.208333333336</v>
      </c>
      <c r="B1380" s="382" t="s">
        <v>191</v>
      </c>
      <c r="C1380" s="377" t="s">
        <v>5035</v>
      </c>
      <c r="D1380" s="6" t="str">
        <f>_xlfn.XLOOKUP(B1380,Indices!$A$2:$A$2676,Indices!$B$2:$B$2676,"")</f>
        <v>IWM</v>
      </c>
    </row>
    <row r="1381" spans="1:4" x14ac:dyDescent="0.25">
      <c r="A1381" s="379">
        <v>45785.208333333336</v>
      </c>
      <c r="B1381" s="382" t="s">
        <v>3771</v>
      </c>
      <c r="C1381" s="377" t="s">
        <v>5035</v>
      </c>
      <c r="D1381" s="6" t="str">
        <f>_xlfn.XLOOKUP(B1381,Indices!$A$2:$A$2676,Indices!$B$2:$B$2676,"")</f>
        <v/>
      </c>
    </row>
    <row r="1382" spans="1:4" x14ac:dyDescent="0.25">
      <c r="A1382" s="379">
        <v>45785.208333333336</v>
      </c>
      <c r="B1382" s="382" t="s">
        <v>3517</v>
      </c>
      <c r="C1382" s="377" t="s">
        <v>5035</v>
      </c>
      <c r="D1382" s="6" t="str">
        <f>_xlfn.XLOOKUP(B1382,Indices!$A$2:$A$2676,Indices!$B$2:$B$2676,"")</f>
        <v/>
      </c>
    </row>
    <row r="1383" spans="1:4" x14ac:dyDescent="0.25">
      <c r="A1383" s="379">
        <v>45785.208333333336</v>
      </c>
      <c r="B1383" s="382" t="s">
        <v>3410</v>
      </c>
      <c r="C1383" s="377" t="s">
        <v>5035</v>
      </c>
      <c r="D1383" s="6" t="str">
        <f>_xlfn.XLOOKUP(B1383,Indices!$A$2:$A$2676,Indices!$B$2:$B$2676,"")</f>
        <v/>
      </c>
    </row>
    <row r="1384" spans="1:4" x14ac:dyDescent="0.25">
      <c r="A1384" s="379">
        <v>45785.208333333336</v>
      </c>
      <c r="B1384" s="382" t="s">
        <v>4093</v>
      </c>
      <c r="C1384" s="377" t="s">
        <v>5035</v>
      </c>
      <c r="D1384" s="6" t="str">
        <f>_xlfn.XLOOKUP(B1384,Indices!$A$2:$A$2676,Indices!$B$2:$B$2676,"")</f>
        <v/>
      </c>
    </row>
    <row r="1385" spans="1:4" x14ac:dyDescent="0.25">
      <c r="A1385" s="379">
        <v>45785.208333333336</v>
      </c>
      <c r="B1385" s="382" t="s">
        <v>985</v>
      </c>
      <c r="C1385" s="377" t="s">
        <v>5035</v>
      </c>
      <c r="D1385" s="6" t="str">
        <f>_xlfn.XLOOKUP(B1385,Indices!$A$2:$A$2676,Indices!$B$2:$B$2676,"")</f>
        <v>IWM</v>
      </c>
    </row>
    <row r="1386" spans="1:4" x14ac:dyDescent="0.25">
      <c r="A1386" s="379">
        <v>45785.208333333336</v>
      </c>
      <c r="B1386" s="382" t="s">
        <v>589</v>
      </c>
      <c r="C1386" s="377" t="s">
        <v>5035</v>
      </c>
      <c r="D1386" s="6" t="str">
        <f>_xlfn.XLOOKUP(B1386,Indices!$A$2:$A$2676,Indices!$B$2:$B$2676,"")</f>
        <v>SP500</v>
      </c>
    </row>
    <row r="1387" spans="1:4" x14ac:dyDescent="0.25">
      <c r="A1387" s="379">
        <v>45785.208333333336</v>
      </c>
      <c r="B1387" s="382" t="s">
        <v>575</v>
      </c>
      <c r="C1387" s="377" t="s">
        <v>5035</v>
      </c>
      <c r="D1387" s="6" t="str">
        <f>_xlfn.XLOOKUP(B1387,Indices!$A$2:$A$2676,Indices!$B$2:$B$2676,"")</f>
        <v>IWM</v>
      </c>
    </row>
    <row r="1388" spans="1:4" x14ac:dyDescent="0.25">
      <c r="A1388" s="379">
        <v>45785.208333333336</v>
      </c>
      <c r="B1388" s="382" t="s">
        <v>609</v>
      </c>
      <c r="C1388" s="377" t="s">
        <v>5035</v>
      </c>
      <c r="D1388" s="6" t="str">
        <f>_xlfn.XLOOKUP(B1388,Indices!$A$2:$A$2676,Indices!$B$2:$B$2676,"")</f>
        <v>IWM</v>
      </c>
    </row>
    <row r="1389" spans="1:4" x14ac:dyDescent="0.25">
      <c r="A1389" s="379">
        <v>45785.208333333336</v>
      </c>
      <c r="B1389" s="382" t="s">
        <v>3677</v>
      </c>
      <c r="C1389" s="377" t="s">
        <v>5035</v>
      </c>
      <c r="D1389" s="6" t="str">
        <f>_xlfn.XLOOKUP(B1389,Indices!$A$2:$A$2676,Indices!$B$2:$B$2676,"")</f>
        <v/>
      </c>
    </row>
    <row r="1390" spans="1:4" x14ac:dyDescent="0.25">
      <c r="A1390" s="379">
        <v>45785.208333333336</v>
      </c>
      <c r="B1390" s="382" t="s">
        <v>5037</v>
      </c>
      <c r="C1390" s="377" t="s">
        <v>5035</v>
      </c>
      <c r="D1390" s="6" t="str">
        <f>_xlfn.XLOOKUP(B1390,Indices!$A$2:$A$2676,Indices!$B$2:$B$2676,"")</f>
        <v/>
      </c>
    </row>
    <row r="1391" spans="1:4" x14ac:dyDescent="0.25">
      <c r="A1391" s="379">
        <v>45785.208333333336</v>
      </c>
      <c r="B1391" s="382" t="s">
        <v>3453</v>
      </c>
      <c r="C1391" s="377" t="s">
        <v>5035</v>
      </c>
      <c r="D1391" s="6" t="str">
        <f>_xlfn.XLOOKUP(B1391,Indices!$A$2:$A$2676,Indices!$B$2:$B$2676,"")</f>
        <v/>
      </c>
    </row>
    <row r="1392" spans="1:4" x14ac:dyDescent="0.25">
      <c r="A1392" s="379">
        <v>45785.208333333336</v>
      </c>
      <c r="B1392" s="382" t="s">
        <v>4321</v>
      </c>
      <c r="C1392" s="377" t="s">
        <v>5035</v>
      </c>
      <c r="D1392" s="6" t="str">
        <f>_xlfn.XLOOKUP(B1392,Indices!$A$2:$A$2676,Indices!$B$2:$B$2676,"")</f>
        <v/>
      </c>
    </row>
    <row r="1393" spans="1:4" x14ac:dyDescent="0.25">
      <c r="A1393" s="379">
        <v>45785.208333333336</v>
      </c>
      <c r="B1393" s="382" t="s">
        <v>3412</v>
      </c>
      <c r="C1393" s="377" t="s">
        <v>5035</v>
      </c>
      <c r="D1393" s="6" t="str">
        <f>_xlfn.XLOOKUP(B1393,Indices!$A$2:$A$2676,Indices!$B$2:$B$2676,"")</f>
        <v/>
      </c>
    </row>
    <row r="1394" spans="1:4" x14ac:dyDescent="0.25">
      <c r="A1394" s="379">
        <v>45785.208333333336</v>
      </c>
      <c r="B1394" s="382" t="s">
        <v>604</v>
      </c>
      <c r="C1394" s="377" t="s">
        <v>5035</v>
      </c>
      <c r="D1394" s="6" t="str">
        <f>_xlfn.XLOOKUP(B1394,Indices!$A$2:$A$2676,Indices!$B$2:$B$2676,"")</f>
        <v>IWM</v>
      </c>
    </row>
    <row r="1395" spans="1:4" x14ac:dyDescent="0.25">
      <c r="A1395" s="379">
        <v>45785.208333333336</v>
      </c>
      <c r="B1395" s="382" t="s">
        <v>3445</v>
      </c>
      <c r="C1395" s="377" t="s">
        <v>5035</v>
      </c>
      <c r="D1395" s="6" t="str">
        <f>_xlfn.XLOOKUP(B1395,Indices!$A$2:$A$2676,Indices!$B$2:$B$2676,"")</f>
        <v/>
      </c>
    </row>
    <row r="1396" spans="1:4" x14ac:dyDescent="0.25">
      <c r="A1396" s="379">
        <v>45785.208333333336</v>
      </c>
      <c r="B1396" s="382" t="s">
        <v>2949</v>
      </c>
      <c r="C1396" s="377" t="s">
        <v>5035</v>
      </c>
      <c r="D1396" s="6" t="str">
        <f>_xlfn.XLOOKUP(B1396,Indices!$A$2:$A$2676,Indices!$B$2:$B$2676,"")</f>
        <v/>
      </c>
    </row>
    <row r="1397" spans="1:4" x14ac:dyDescent="0.25">
      <c r="A1397" s="379">
        <v>45785.208333333336</v>
      </c>
      <c r="B1397" s="382" t="s">
        <v>844</v>
      </c>
      <c r="C1397" s="377" t="s">
        <v>5035</v>
      </c>
      <c r="D1397" s="6" t="str">
        <f>_xlfn.XLOOKUP(B1397,Indices!$A$2:$A$2676,Indices!$B$2:$B$2676,"")</f>
        <v>IWM</v>
      </c>
    </row>
    <row r="1398" spans="1:4" x14ac:dyDescent="0.25">
      <c r="A1398" s="379">
        <v>45785.208333333336</v>
      </c>
      <c r="B1398" s="382" t="s">
        <v>3420</v>
      </c>
      <c r="C1398" s="377" t="s">
        <v>5035</v>
      </c>
      <c r="D1398" s="6" t="str">
        <f>_xlfn.XLOOKUP(B1398,Indices!$A$2:$A$2676,Indices!$B$2:$B$2676,"")</f>
        <v/>
      </c>
    </row>
    <row r="1399" spans="1:4" x14ac:dyDescent="0.25">
      <c r="A1399" s="379">
        <v>45785.208333333336</v>
      </c>
      <c r="B1399" s="382" t="s">
        <v>585</v>
      </c>
      <c r="C1399" s="377" t="s">
        <v>5035</v>
      </c>
      <c r="D1399" s="6" t="str">
        <f>_xlfn.XLOOKUP(B1399,Indices!$A$2:$A$2676,Indices!$B$2:$B$2676,"")</f>
        <v>IWM</v>
      </c>
    </row>
    <row r="1400" spans="1:4" x14ac:dyDescent="0.25">
      <c r="A1400" s="379">
        <v>45785.208333333336</v>
      </c>
      <c r="B1400" s="382" t="s">
        <v>602</v>
      </c>
      <c r="C1400" s="377" t="s">
        <v>5035</v>
      </c>
      <c r="D1400" s="6" t="str">
        <f>_xlfn.XLOOKUP(B1400,Indices!$A$2:$A$2676,Indices!$B$2:$B$2676,"")</f>
        <v>IWM</v>
      </c>
    </row>
    <row r="1401" spans="1:4" x14ac:dyDescent="0.25">
      <c r="A1401" s="379">
        <v>45785.208333333336</v>
      </c>
      <c r="B1401" s="382" t="s">
        <v>3434</v>
      </c>
      <c r="C1401" s="377" t="s">
        <v>5035</v>
      </c>
      <c r="D1401" s="6" t="str">
        <f>_xlfn.XLOOKUP(B1401,Indices!$A$2:$A$2676,Indices!$B$2:$B$2676,"")</f>
        <v/>
      </c>
    </row>
    <row r="1402" spans="1:4" x14ac:dyDescent="0.25">
      <c r="A1402" s="379">
        <v>45785.208333333336</v>
      </c>
      <c r="B1402" s="382" t="s">
        <v>599</v>
      </c>
      <c r="C1402" s="377" t="s">
        <v>5035</v>
      </c>
      <c r="D1402" s="6" t="str">
        <f>_xlfn.XLOOKUP(B1402,Indices!$A$2:$A$2676,Indices!$B$2:$B$2676,"")</f>
        <v>IWM</v>
      </c>
    </row>
    <row r="1403" spans="1:4" x14ac:dyDescent="0.25">
      <c r="A1403" s="379">
        <v>45785.208333333336</v>
      </c>
      <c r="B1403" s="382" t="s">
        <v>3725</v>
      </c>
      <c r="C1403" s="377" t="s">
        <v>5035</v>
      </c>
      <c r="D1403" s="6" t="str">
        <f>_xlfn.XLOOKUP(B1403,Indices!$A$2:$A$2676,Indices!$B$2:$B$2676,"")</f>
        <v/>
      </c>
    </row>
    <row r="1404" spans="1:4" x14ac:dyDescent="0.25">
      <c r="A1404" s="379">
        <v>45785.208333333336</v>
      </c>
      <c r="B1404" s="382" t="s">
        <v>2341</v>
      </c>
      <c r="C1404" s="377" t="s">
        <v>5035</v>
      </c>
      <c r="D1404" s="6" t="str">
        <f>_xlfn.XLOOKUP(B1404,Indices!$A$2:$A$2676,Indices!$B$2:$B$2676,"")</f>
        <v>S&amp;P Mid</v>
      </c>
    </row>
    <row r="1405" spans="1:4" x14ac:dyDescent="0.25">
      <c r="A1405" s="379">
        <v>45785.208333333336</v>
      </c>
      <c r="B1405" s="382" t="s">
        <v>669</v>
      </c>
      <c r="C1405" s="377" t="s">
        <v>5035</v>
      </c>
      <c r="D1405" s="6" t="str">
        <f>_xlfn.XLOOKUP(B1405,Indices!$A$2:$A$2676,Indices!$B$2:$B$2676,"")</f>
        <v>IWM</v>
      </c>
    </row>
    <row r="1406" spans="1:4" x14ac:dyDescent="0.25">
      <c r="A1406" s="379">
        <v>45785.208333333336</v>
      </c>
      <c r="B1406" s="382" t="s">
        <v>3555</v>
      </c>
      <c r="C1406" s="377" t="s">
        <v>5035</v>
      </c>
      <c r="D1406" s="6" t="str">
        <f>_xlfn.XLOOKUP(B1406,Indices!$A$2:$A$2676,Indices!$B$2:$B$2676,"")</f>
        <v/>
      </c>
    </row>
    <row r="1407" spans="1:4" x14ac:dyDescent="0.25">
      <c r="A1407" s="379">
        <v>45785.208333333336</v>
      </c>
      <c r="B1407" s="382" t="s">
        <v>608</v>
      </c>
      <c r="C1407" s="377" t="s">
        <v>5035</v>
      </c>
      <c r="D1407" s="6" t="str">
        <f>_xlfn.XLOOKUP(B1407,Indices!$A$2:$A$2676,Indices!$B$2:$B$2676,"")</f>
        <v>IWM</v>
      </c>
    </row>
    <row r="1408" spans="1:4" x14ac:dyDescent="0.25">
      <c r="A1408" s="379">
        <v>45785.208333333336</v>
      </c>
      <c r="B1408" s="382" t="s">
        <v>597</v>
      </c>
      <c r="C1408" s="377" t="s">
        <v>5035</v>
      </c>
      <c r="D1408" s="6" t="str">
        <f>_xlfn.XLOOKUP(B1408,Indices!$A$2:$A$2676,Indices!$B$2:$B$2676,"")</f>
        <v>IWM</v>
      </c>
    </row>
    <row r="1409" spans="1:4" x14ac:dyDescent="0.25">
      <c r="A1409" s="379">
        <v>45785.208333333336</v>
      </c>
      <c r="B1409" s="382" t="s">
        <v>1614</v>
      </c>
      <c r="C1409" s="377" t="s">
        <v>5035</v>
      </c>
      <c r="D1409" s="6" t="str">
        <f>_xlfn.XLOOKUP(B1409,Indices!$A$2:$A$2676,Indices!$B$2:$B$2676,"")</f>
        <v>IWM</v>
      </c>
    </row>
    <row r="1410" spans="1:4" x14ac:dyDescent="0.25">
      <c r="A1410" s="379">
        <v>45785.208333333336</v>
      </c>
      <c r="B1410" s="382" t="s">
        <v>586</v>
      </c>
      <c r="C1410" s="377" t="s">
        <v>5035</v>
      </c>
      <c r="D1410" s="6" t="str">
        <f>_xlfn.XLOOKUP(B1410,Indices!$A$2:$A$2676,Indices!$B$2:$B$2676,"")</f>
        <v>S&amp;P Mid</v>
      </c>
    </row>
    <row r="1411" spans="1:4" x14ac:dyDescent="0.25">
      <c r="A1411" s="379">
        <v>45785.208333333336</v>
      </c>
      <c r="B1411" s="382" t="s">
        <v>3433</v>
      </c>
      <c r="C1411" s="377" t="s">
        <v>5035</v>
      </c>
      <c r="D1411" s="6" t="str">
        <f>_xlfn.XLOOKUP(B1411,Indices!$A$2:$A$2676,Indices!$B$2:$B$2676,"")</f>
        <v/>
      </c>
    </row>
    <row r="1412" spans="1:4" x14ac:dyDescent="0.25">
      <c r="A1412" s="379">
        <v>45785.208333333336</v>
      </c>
      <c r="B1412" s="382" t="s">
        <v>3392</v>
      </c>
      <c r="C1412" s="377" t="s">
        <v>5035</v>
      </c>
      <c r="D1412" s="6" t="str">
        <f>_xlfn.XLOOKUP(B1412,Indices!$A$2:$A$2676,Indices!$B$2:$B$2676,"")</f>
        <v/>
      </c>
    </row>
    <row r="1413" spans="1:4" x14ac:dyDescent="0.25">
      <c r="A1413" s="379">
        <v>45785.208333333336</v>
      </c>
      <c r="B1413" s="382" t="s">
        <v>3227</v>
      </c>
      <c r="C1413" s="377" t="s">
        <v>5035</v>
      </c>
      <c r="D1413" s="6" t="str">
        <f>_xlfn.XLOOKUP(B1413,Indices!$A$2:$A$2676,Indices!$B$2:$B$2676,"")</f>
        <v/>
      </c>
    </row>
    <row r="1414" spans="1:4" x14ac:dyDescent="0.25">
      <c r="A1414" s="379">
        <v>45785.208333333336</v>
      </c>
      <c r="B1414" s="382" t="s">
        <v>591</v>
      </c>
      <c r="C1414" s="377" t="s">
        <v>5035</v>
      </c>
      <c r="D1414" s="6" t="str">
        <f>_xlfn.XLOOKUP(B1414,Indices!$A$2:$A$2676,Indices!$B$2:$B$2676,"")</f>
        <v>IWM</v>
      </c>
    </row>
    <row r="1415" spans="1:4" x14ac:dyDescent="0.25">
      <c r="A1415" s="379">
        <v>45785.208333333336</v>
      </c>
      <c r="B1415" s="382" t="s">
        <v>3394</v>
      </c>
      <c r="C1415" s="377" t="s">
        <v>5035</v>
      </c>
      <c r="D1415" s="6" t="str">
        <f>_xlfn.XLOOKUP(B1415,Indices!$A$2:$A$2676,Indices!$B$2:$B$2676,"")</f>
        <v/>
      </c>
    </row>
    <row r="1416" spans="1:4" x14ac:dyDescent="0.25">
      <c r="A1416" s="379">
        <v>45785.208333333336</v>
      </c>
      <c r="B1416" s="382" t="s">
        <v>594</v>
      </c>
      <c r="C1416" s="377" t="s">
        <v>5035</v>
      </c>
      <c r="D1416" s="6" t="str">
        <f>_xlfn.XLOOKUP(B1416,Indices!$A$2:$A$2676,Indices!$B$2:$B$2676,"")</f>
        <v>IWM</v>
      </c>
    </row>
    <row r="1417" spans="1:4" x14ac:dyDescent="0.25">
      <c r="A1417" s="379">
        <v>45785.208333333336</v>
      </c>
      <c r="B1417" s="382" t="s">
        <v>3496</v>
      </c>
      <c r="C1417" s="377" t="s">
        <v>5035</v>
      </c>
      <c r="D1417" s="6" t="str">
        <f>_xlfn.XLOOKUP(B1417,Indices!$A$2:$A$2676,Indices!$B$2:$B$2676,"")</f>
        <v/>
      </c>
    </row>
    <row r="1418" spans="1:4" x14ac:dyDescent="0.25">
      <c r="A1418" s="379">
        <v>45785.208333333336</v>
      </c>
      <c r="B1418" s="382" t="s">
        <v>1323</v>
      </c>
      <c r="C1418" s="377" t="s">
        <v>5035</v>
      </c>
      <c r="D1418" s="6" t="str">
        <f>_xlfn.XLOOKUP(B1418,Indices!$A$2:$A$2676,Indices!$B$2:$B$2676,"")</f>
        <v>SP500</v>
      </c>
    </row>
    <row r="1419" spans="1:4" x14ac:dyDescent="0.25">
      <c r="A1419" s="379">
        <v>45785.208333333336</v>
      </c>
      <c r="B1419" s="382" t="s">
        <v>3277</v>
      </c>
      <c r="C1419" s="377" t="s">
        <v>5035</v>
      </c>
      <c r="D1419" s="6" t="str">
        <f>_xlfn.XLOOKUP(B1419,Indices!$A$2:$A$2676,Indices!$B$2:$B$2676,"")</f>
        <v/>
      </c>
    </row>
    <row r="1420" spans="1:4" x14ac:dyDescent="0.25">
      <c r="A1420" s="379">
        <v>45785.208333333336</v>
      </c>
      <c r="B1420" s="382" t="s">
        <v>5036</v>
      </c>
      <c r="C1420" s="377" t="s">
        <v>5035</v>
      </c>
      <c r="D1420" s="6" t="str">
        <f>_xlfn.XLOOKUP(B1420,Indices!$A$2:$A$2676,Indices!$B$2:$B$2676,"")</f>
        <v/>
      </c>
    </row>
    <row r="1421" spans="1:4" x14ac:dyDescent="0.25">
      <c r="A1421" s="379">
        <v>45785.208333333336</v>
      </c>
      <c r="B1421" s="382" t="s">
        <v>3501</v>
      </c>
      <c r="C1421" s="377" t="s">
        <v>5035</v>
      </c>
      <c r="D1421" s="6" t="str">
        <f>_xlfn.XLOOKUP(B1421,Indices!$A$2:$A$2676,Indices!$B$2:$B$2676,"")</f>
        <v/>
      </c>
    </row>
    <row r="1422" spans="1:4" x14ac:dyDescent="0.25">
      <c r="A1422" s="379">
        <v>45785.208333333336</v>
      </c>
      <c r="B1422" s="382" t="s">
        <v>1084</v>
      </c>
      <c r="C1422" s="377" t="s">
        <v>5035</v>
      </c>
      <c r="D1422" s="6" t="str">
        <f>_xlfn.XLOOKUP(B1422,Indices!$A$2:$A$2676,Indices!$B$2:$B$2676,"")</f>
        <v>S&amp;P Mid</v>
      </c>
    </row>
    <row r="1423" spans="1:4" x14ac:dyDescent="0.25">
      <c r="A1423" s="379">
        <v>45785.208333333336</v>
      </c>
      <c r="B1423" s="382" t="s">
        <v>2494</v>
      </c>
      <c r="C1423" s="377" t="s">
        <v>5035</v>
      </c>
      <c r="D1423" s="6" t="str">
        <f>_xlfn.XLOOKUP(B1423,Indices!$A$2:$A$2676,Indices!$B$2:$B$2676,"")</f>
        <v>S&amp;P Mid</v>
      </c>
    </row>
    <row r="1424" spans="1:4" x14ac:dyDescent="0.25">
      <c r="A1424" s="379">
        <v>45785.208333333336</v>
      </c>
      <c r="B1424" s="382" t="s">
        <v>536</v>
      </c>
      <c r="C1424" s="377" t="s">
        <v>5035</v>
      </c>
      <c r="D1424" s="6" t="str">
        <f>_xlfn.XLOOKUP(B1424,Indices!$A$2:$A$2676,Indices!$B$2:$B$2676,"")</f>
        <v>IWM</v>
      </c>
    </row>
    <row r="1425" spans="1:4" x14ac:dyDescent="0.25">
      <c r="A1425" s="379">
        <v>45785.211805555555</v>
      </c>
      <c r="B1425" s="382" t="s">
        <v>612</v>
      </c>
      <c r="C1425" s="377" t="s">
        <v>5038</v>
      </c>
      <c r="D1425" s="6" t="str">
        <f>_xlfn.XLOOKUP(B1425,Indices!$A$2:$A$2676,Indices!$B$2:$B$2676,"")</f>
        <v>IWM</v>
      </c>
    </row>
    <row r="1426" spans="1:4" x14ac:dyDescent="0.25">
      <c r="A1426" s="379">
        <v>45785.211805555555</v>
      </c>
      <c r="B1426" s="382" t="s">
        <v>593</v>
      </c>
      <c r="C1426" s="377" t="s">
        <v>5038</v>
      </c>
      <c r="D1426" s="6" t="str">
        <f>_xlfn.XLOOKUP(B1426,Indices!$A$2:$A$2676,Indices!$B$2:$B$2676,"")</f>
        <v>IWM</v>
      </c>
    </row>
    <row r="1427" spans="1:4" x14ac:dyDescent="0.25">
      <c r="A1427" s="379">
        <v>45785.21875</v>
      </c>
      <c r="B1427" s="382" t="s">
        <v>615</v>
      </c>
      <c r="C1427" s="377" t="s">
        <v>5039</v>
      </c>
      <c r="D1427" s="6" t="str">
        <f>_xlfn.XLOOKUP(B1427,Indices!$A$2:$A$2676,Indices!$B$2:$B$2676,"")</f>
        <v>IWM</v>
      </c>
    </row>
    <row r="1428" spans="1:4" x14ac:dyDescent="0.25">
      <c r="A1428" s="379">
        <v>45785.21875</v>
      </c>
      <c r="B1428" s="382" t="s">
        <v>3427</v>
      </c>
      <c r="C1428" s="377" t="s">
        <v>5039</v>
      </c>
      <c r="D1428" s="6" t="str">
        <f>_xlfn.XLOOKUP(B1428,Indices!$A$2:$A$2676,Indices!$B$2:$B$2676,"")</f>
        <v/>
      </c>
    </row>
    <row r="1429" spans="1:4" x14ac:dyDescent="0.25">
      <c r="A1429" s="379">
        <v>45785.222222222219</v>
      </c>
      <c r="B1429" s="382" t="s">
        <v>614</v>
      </c>
      <c r="C1429" s="377" t="s">
        <v>5040</v>
      </c>
      <c r="D1429" s="6" t="str">
        <f>_xlfn.XLOOKUP(B1429,Indices!$A$2:$A$2676,Indices!$B$2:$B$2676,"")</f>
        <v>IWM</v>
      </c>
    </row>
    <row r="1430" spans="1:4" x14ac:dyDescent="0.25">
      <c r="A1430" s="379">
        <v>45785.229166666664</v>
      </c>
      <c r="B1430" s="382" t="s">
        <v>3500</v>
      </c>
      <c r="C1430" s="377" t="s">
        <v>5041</v>
      </c>
      <c r="D1430" s="6" t="str">
        <f>_xlfn.XLOOKUP(B1430,Indices!$A$2:$A$2676,Indices!$B$2:$B$2676,"")</f>
        <v/>
      </c>
    </row>
    <row r="1431" spans="1:4" x14ac:dyDescent="0.25">
      <c r="A1431" s="379">
        <v>45785.229166666664</v>
      </c>
      <c r="B1431" s="382" t="s">
        <v>1113</v>
      </c>
      <c r="C1431" s="377" t="s">
        <v>5041</v>
      </c>
      <c r="D1431" s="6" t="str">
        <f>_xlfn.XLOOKUP(B1431,Indices!$A$2:$A$2676,Indices!$B$2:$B$2676,"")</f>
        <v>S&amp;P Mid</v>
      </c>
    </row>
    <row r="1432" spans="1:4" x14ac:dyDescent="0.25">
      <c r="A1432" s="379">
        <v>45785.229166666664</v>
      </c>
      <c r="B1432" s="382" t="s">
        <v>3425</v>
      </c>
      <c r="C1432" s="377" t="s">
        <v>5041</v>
      </c>
      <c r="D1432" s="6" t="str">
        <f>_xlfn.XLOOKUP(B1432,Indices!$A$2:$A$2676,Indices!$B$2:$B$2676,"")</f>
        <v/>
      </c>
    </row>
    <row r="1433" spans="1:4" x14ac:dyDescent="0.25">
      <c r="A1433" s="379">
        <v>45785.229166666664</v>
      </c>
      <c r="B1433" s="382" t="s">
        <v>805</v>
      </c>
      <c r="C1433" s="377" t="s">
        <v>5041</v>
      </c>
      <c r="D1433" s="6" t="str">
        <f>_xlfn.XLOOKUP(B1433,Indices!$A$2:$A$2676,Indices!$B$2:$B$2676,"")</f>
        <v>IWM</v>
      </c>
    </row>
    <row r="1434" spans="1:4" x14ac:dyDescent="0.25">
      <c r="A1434" s="379">
        <v>45785.229166666664</v>
      </c>
      <c r="B1434" s="382" t="s">
        <v>619</v>
      </c>
      <c r="C1434" s="377" t="s">
        <v>5041</v>
      </c>
      <c r="D1434" s="6" t="str">
        <f>_xlfn.XLOOKUP(B1434,Indices!$A$2:$A$2676,Indices!$B$2:$B$2676,"")</f>
        <v>IWM</v>
      </c>
    </row>
    <row r="1435" spans="1:4" x14ac:dyDescent="0.25">
      <c r="A1435" s="379">
        <v>45785.229166666664</v>
      </c>
      <c r="B1435" s="382" t="s">
        <v>922</v>
      </c>
      <c r="C1435" s="377" t="s">
        <v>5041</v>
      </c>
      <c r="D1435" s="6" t="str">
        <f>_xlfn.XLOOKUP(B1435,Indices!$A$2:$A$2676,Indices!$B$2:$B$2676,"")</f>
        <v>IWM</v>
      </c>
    </row>
    <row r="1436" spans="1:4" x14ac:dyDescent="0.25">
      <c r="A1436" s="379">
        <v>45785.229166666664</v>
      </c>
      <c r="B1436" s="382" t="s">
        <v>917</v>
      </c>
      <c r="C1436" s="377" t="s">
        <v>5041</v>
      </c>
      <c r="D1436" s="6" t="str">
        <f>_xlfn.XLOOKUP(B1436,Indices!$A$2:$A$2676,Indices!$B$2:$B$2676,"")</f>
        <v>IWM</v>
      </c>
    </row>
    <row r="1437" spans="1:4" x14ac:dyDescent="0.25">
      <c r="A1437" s="379">
        <v>45785.229166666664</v>
      </c>
      <c r="B1437" s="382" t="s">
        <v>618</v>
      </c>
      <c r="C1437" s="377" t="s">
        <v>5041</v>
      </c>
      <c r="D1437" s="6" t="str">
        <f>_xlfn.XLOOKUP(B1437,Indices!$A$2:$A$2676,Indices!$B$2:$B$2676,"")</f>
        <v>IWM</v>
      </c>
    </row>
    <row r="1438" spans="1:4" x14ac:dyDescent="0.25">
      <c r="A1438" s="379">
        <v>45785.229166666664</v>
      </c>
      <c r="B1438" s="382" t="s">
        <v>2941</v>
      </c>
      <c r="C1438" s="377" t="s">
        <v>5041</v>
      </c>
      <c r="D1438" s="6" t="str">
        <f>_xlfn.XLOOKUP(B1438,Indices!$A$2:$A$2676,Indices!$B$2:$B$2676,"")</f>
        <v/>
      </c>
    </row>
    <row r="1439" spans="1:4" x14ac:dyDescent="0.25">
      <c r="A1439" s="379">
        <v>45785.229166666664</v>
      </c>
      <c r="B1439" s="382" t="s">
        <v>1160</v>
      </c>
      <c r="C1439" s="377" t="s">
        <v>5041</v>
      </c>
      <c r="D1439" s="6" t="str">
        <f>_xlfn.XLOOKUP(B1439,Indices!$A$2:$A$2676,Indices!$B$2:$B$2676,"")</f>
        <v>IWM</v>
      </c>
    </row>
    <row r="1440" spans="1:4" x14ac:dyDescent="0.25">
      <c r="A1440" s="379">
        <v>45785.229166666664</v>
      </c>
      <c r="B1440" s="382" t="s">
        <v>423</v>
      </c>
      <c r="C1440" s="377" t="s">
        <v>5041</v>
      </c>
      <c r="D1440" s="6" t="str">
        <f>_xlfn.XLOOKUP(B1440,Indices!$A$2:$A$2676,Indices!$B$2:$B$2676,"")</f>
        <v>SP500</v>
      </c>
    </row>
    <row r="1441" spans="1:4" x14ac:dyDescent="0.25">
      <c r="A1441" s="379">
        <v>45785.229166666664</v>
      </c>
      <c r="B1441" s="382" t="s">
        <v>3851</v>
      </c>
      <c r="C1441" s="377" t="s">
        <v>5041</v>
      </c>
      <c r="D1441" s="6" t="str">
        <f>_xlfn.XLOOKUP(B1441,Indices!$A$2:$A$2676,Indices!$B$2:$B$2676,"")</f>
        <v/>
      </c>
    </row>
    <row r="1442" spans="1:4" x14ac:dyDescent="0.25">
      <c r="A1442" s="379">
        <v>45785.229166666664</v>
      </c>
      <c r="B1442" s="382" t="s">
        <v>1922</v>
      </c>
      <c r="C1442" s="377" t="s">
        <v>5041</v>
      </c>
      <c r="D1442" s="6" t="str">
        <f>_xlfn.XLOOKUP(B1442,Indices!$A$2:$A$2676,Indices!$B$2:$B$2676,"")</f>
        <v>IWM</v>
      </c>
    </row>
    <row r="1443" spans="1:4" x14ac:dyDescent="0.25">
      <c r="A1443" s="379">
        <v>45785.229166666664</v>
      </c>
      <c r="B1443" s="382" t="s">
        <v>926</v>
      </c>
      <c r="C1443" s="377" t="s">
        <v>5041</v>
      </c>
      <c r="D1443" s="6" t="str">
        <f>_xlfn.XLOOKUP(B1443,Indices!$A$2:$A$2676,Indices!$B$2:$B$2676,"")</f>
        <v>IWM</v>
      </c>
    </row>
    <row r="1444" spans="1:4" x14ac:dyDescent="0.25">
      <c r="A1444" s="379">
        <v>45785.229166666664</v>
      </c>
      <c r="B1444" s="382" t="s">
        <v>925</v>
      </c>
      <c r="C1444" s="377" t="s">
        <v>5041</v>
      </c>
      <c r="D1444" s="6" t="str">
        <f>_xlfn.XLOOKUP(B1444,Indices!$A$2:$A$2676,Indices!$B$2:$B$2676,"")</f>
        <v>IWM</v>
      </c>
    </row>
    <row r="1445" spans="1:4" x14ac:dyDescent="0.25">
      <c r="A1445" s="379">
        <v>45785.229166666664</v>
      </c>
      <c r="B1445" s="382" t="s">
        <v>3417</v>
      </c>
      <c r="C1445" s="377" t="s">
        <v>5041</v>
      </c>
      <c r="D1445" s="6" t="str">
        <f>_xlfn.XLOOKUP(B1445,Indices!$A$2:$A$2676,Indices!$B$2:$B$2676,"")</f>
        <v/>
      </c>
    </row>
    <row r="1446" spans="1:4" x14ac:dyDescent="0.25">
      <c r="A1446" s="379">
        <v>45785.229166666664</v>
      </c>
      <c r="B1446" s="382" t="s">
        <v>616</v>
      </c>
      <c r="C1446" s="377" t="s">
        <v>5041</v>
      </c>
      <c r="D1446" s="6" t="str">
        <f>_xlfn.XLOOKUP(B1446,Indices!$A$2:$A$2676,Indices!$B$2:$B$2676,"")</f>
        <v>IWM</v>
      </c>
    </row>
    <row r="1447" spans="1:4" x14ac:dyDescent="0.25">
      <c r="A1447" s="379">
        <v>45785.229166666664</v>
      </c>
      <c r="B1447" s="382" t="s">
        <v>629</v>
      </c>
      <c r="C1447" s="377" t="s">
        <v>5041</v>
      </c>
      <c r="D1447" s="6" t="str">
        <f>_xlfn.XLOOKUP(B1447,Indices!$A$2:$A$2676,Indices!$B$2:$B$2676,"")</f>
        <v>IWM</v>
      </c>
    </row>
    <row r="1448" spans="1:4" x14ac:dyDescent="0.25">
      <c r="A1448" s="379">
        <v>45785.229166666664</v>
      </c>
      <c r="B1448" s="382" t="s">
        <v>621</v>
      </c>
      <c r="C1448" s="377" t="s">
        <v>5041</v>
      </c>
      <c r="D1448" s="6" t="str">
        <f>_xlfn.XLOOKUP(B1448,Indices!$A$2:$A$2676,Indices!$B$2:$B$2676,"")</f>
        <v>S&amp;P Mid</v>
      </c>
    </row>
    <row r="1449" spans="1:4" x14ac:dyDescent="0.25">
      <c r="A1449" s="379">
        <v>45785.229166666664</v>
      </c>
      <c r="B1449" s="382" t="s">
        <v>3053</v>
      </c>
      <c r="C1449" s="377" t="s">
        <v>5041</v>
      </c>
      <c r="D1449" s="6" t="str">
        <f>_xlfn.XLOOKUP(B1449,Indices!$A$2:$A$2676,Indices!$B$2:$B$2676,"")</f>
        <v/>
      </c>
    </row>
    <row r="1450" spans="1:4" x14ac:dyDescent="0.25">
      <c r="A1450" s="379">
        <v>45785.229166666664</v>
      </c>
      <c r="B1450" s="382" t="s">
        <v>3513</v>
      </c>
      <c r="C1450" s="377" t="s">
        <v>5041</v>
      </c>
      <c r="D1450" s="6" t="str">
        <f>_xlfn.XLOOKUP(B1450,Indices!$A$2:$A$2676,Indices!$B$2:$B$2676,"")</f>
        <v/>
      </c>
    </row>
    <row r="1451" spans="1:4" x14ac:dyDescent="0.25">
      <c r="A1451" s="379">
        <v>45785.229166666664</v>
      </c>
      <c r="B1451" s="382" t="s">
        <v>620</v>
      </c>
      <c r="C1451" s="377" t="s">
        <v>5041</v>
      </c>
      <c r="D1451" s="6" t="str">
        <f>_xlfn.XLOOKUP(B1451,Indices!$A$2:$A$2676,Indices!$B$2:$B$2676,"")</f>
        <v>IWM</v>
      </c>
    </row>
    <row r="1452" spans="1:4" x14ac:dyDescent="0.25">
      <c r="A1452" s="379">
        <v>45785.229166666664</v>
      </c>
      <c r="B1452" s="382" t="s">
        <v>3510</v>
      </c>
      <c r="C1452" s="377" t="s">
        <v>5041</v>
      </c>
      <c r="D1452" s="6" t="str">
        <f>_xlfn.XLOOKUP(B1452,Indices!$A$2:$A$2676,Indices!$B$2:$B$2676,"")</f>
        <v/>
      </c>
    </row>
    <row r="1453" spans="1:4" x14ac:dyDescent="0.25">
      <c r="A1453" s="379">
        <v>45785.229861111111</v>
      </c>
      <c r="B1453" s="382" t="s">
        <v>890</v>
      </c>
      <c r="C1453" s="377" t="s">
        <v>5042</v>
      </c>
      <c r="D1453" s="6" t="str">
        <f>_xlfn.XLOOKUP(B1453,Indices!$A$2:$A$2676,Indices!$B$2:$B$2676,"")</f>
        <v>IWM</v>
      </c>
    </row>
    <row r="1454" spans="1:4" x14ac:dyDescent="0.25">
      <c r="A1454" s="379">
        <v>45785.230555555558</v>
      </c>
      <c r="B1454" s="382" t="s">
        <v>1016</v>
      </c>
      <c r="C1454" s="377" t="s">
        <v>5043</v>
      </c>
      <c r="D1454" s="6" t="str">
        <f>_xlfn.XLOOKUP(B1454,Indices!$A$2:$A$2676,Indices!$B$2:$B$2676,"")</f>
        <v>IWM</v>
      </c>
    </row>
    <row r="1455" spans="1:4" x14ac:dyDescent="0.25">
      <c r="A1455" s="379">
        <v>45785.231944444444</v>
      </c>
      <c r="B1455" s="382" t="s">
        <v>3740</v>
      </c>
      <c r="C1455" s="377" t="s">
        <v>5044</v>
      </c>
      <c r="D1455" s="6" t="str">
        <f>_xlfn.XLOOKUP(B1455,Indices!$A$2:$A$2676,Indices!$B$2:$B$2676,"")</f>
        <v/>
      </c>
    </row>
    <row r="1456" spans="1:4" x14ac:dyDescent="0.25">
      <c r="A1456" s="379">
        <v>45785.238888888889</v>
      </c>
      <c r="B1456" s="382" t="s">
        <v>5045</v>
      </c>
      <c r="C1456" s="377" t="s">
        <v>5046</v>
      </c>
      <c r="D1456" s="6" t="str">
        <f>_xlfn.XLOOKUP(B1456,Indices!$A$2:$A$2676,Indices!$B$2:$B$2676,"")</f>
        <v/>
      </c>
    </row>
    <row r="1457" spans="1:4" x14ac:dyDescent="0.25">
      <c r="A1457" s="379">
        <v>45785.246527777781</v>
      </c>
      <c r="B1457" s="382" t="s">
        <v>631</v>
      </c>
      <c r="C1457" s="377" t="s">
        <v>5047</v>
      </c>
      <c r="D1457" s="6" t="str">
        <f>_xlfn.XLOOKUP(B1457,Indices!$A$2:$A$2676,Indices!$B$2:$B$2676,"")</f>
        <v>IWM</v>
      </c>
    </row>
    <row r="1458" spans="1:4" x14ac:dyDescent="0.25">
      <c r="A1458" s="379">
        <v>45785.25</v>
      </c>
      <c r="B1458" s="382" t="s">
        <v>3492</v>
      </c>
      <c r="C1458" s="377" t="s">
        <v>5048</v>
      </c>
      <c r="D1458" s="6" t="str">
        <f>_xlfn.XLOOKUP(B1458,Indices!$A$2:$A$2676,Indices!$B$2:$B$2676,"")</f>
        <v/>
      </c>
    </row>
    <row r="1459" spans="1:4" x14ac:dyDescent="0.25">
      <c r="A1459" s="379">
        <v>45785.25</v>
      </c>
      <c r="B1459" s="382" t="s">
        <v>315</v>
      </c>
      <c r="C1459" s="377" t="s">
        <v>5048</v>
      </c>
      <c r="D1459" s="6" t="str">
        <f>_xlfn.XLOOKUP(B1459,Indices!$A$2:$A$2676,Indices!$B$2:$B$2676,"")</f>
        <v>SP500</v>
      </c>
    </row>
    <row r="1460" spans="1:4" x14ac:dyDescent="0.25">
      <c r="A1460" s="379">
        <v>45785.25</v>
      </c>
      <c r="B1460" s="382" t="s">
        <v>3966</v>
      </c>
      <c r="C1460" s="377" t="s">
        <v>5048</v>
      </c>
      <c r="D1460" s="6" t="str">
        <f>_xlfn.XLOOKUP(B1460,Indices!$A$2:$A$2676,Indices!$B$2:$B$2676,"")</f>
        <v/>
      </c>
    </row>
    <row r="1461" spans="1:4" x14ac:dyDescent="0.25">
      <c r="A1461" s="379">
        <v>45785.25</v>
      </c>
      <c r="B1461" s="382" t="s">
        <v>630</v>
      </c>
      <c r="C1461" s="377" t="s">
        <v>5048</v>
      </c>
      <c r="D1461" s="6" t="str">
        <f>_xlfn.XLOOKUP(B1461,Indices!$A$2:$A$2676,Indices!$B$2:$B$2676,"")</f>
        <v>IWM</v>
      </c>
    </row>
    <row r="1462" spans="1:4" x14ac:dyDescent="0.25">
      <c r="A1462" s="379">
        <v>45785.25</v>
      </c>
      <c r="B1462" s="382" t="s">
        <v>4057</v>
      </c>
      <c r="C1462" s="377" t="s">
        <v>5048</v>
      </c>
      <c r="D1462" s="6" t="str">
        <f>_xlfn.XLOOKUP(B1462,Indices!$A$2:$A$2676,Indices!$B$2:$B$2676,"")</f>
        <v/>
      </c>
    </row>
    <row r="1463" spans="1:4" x14ac:dyDescent="0.25">
      <c r="A1463" s="379">
        <v>45785.25</v>
      </c>
      <c r="B1463" s="382" t="s">
        <v>633</v>
      </c>
      <c r="C1463" s="377" t="s">
        <v>5048</v>
      </c>
      <c r="D1463" s="6" t="str">
        <f>_xlfn.XLOOKUP(B1463,Indices!$A$2:$A$2676,Indices!$B$2:$B$2676,"")</f>
        <v>IWM</v>
      </c>
    </row>
    <row r="1464" spans="1:4" x14ac:dyDescent="0.25">
      <c r="A1464" s="379">
        <v>45785.25</v>
      </c>
      <c r="B1464" s="382" t="s">
        <v>3428</v>
      </c>
      <c r="C1464" s="377" t="s">
        <v>5048</v>
      </c>
      <c r="D1464" s="6" t="str">
        <f>_xlfn.XLOOKUP(B1464,Indices!$A$2:$A$2676,Indices!$B$2:$B$2676,"")</f>
        <v/>
      </c>
    </row>
    <row r="1465" spans="1:4" x14ac:dyDescent="0.25">
      <c r="A1465" s="379">
        <v>45785.25</v>
      </c>
      <c r="B1465" s="382" t="s">
        <v>3019</v>
      </c>
      <c r="C1465" s="377" t="s">
        <v>5048</v>
      </c>
      <c r="D1465" s="6" t="str">
        <f>_xlfn.XLOOKUP(B1465,Indices!$A$2:$A$2676,Indices!$B$2:$B$2676,"")</f>
        <v/>
      </c>
    </row>
    <row r="1466" spans="1:4" x14ac:dyDescent="0.25">
      <c r="A1466" s="379">
        <v>45785.25</v>
      </c>
      <c r="B1466" s="382" t="s">
        <v>2948</v>
      </c>
      <c r="C1466" s="377" t="s">
        <v>5048</v>
      </c>
      <c r="D1466" s="6" t="str">
        <f>_xlfn.XLOOKUP(B1466,Indices!$A$2:$A$2676,Indices!$B$2:$B$2676,"")</f>
        <v/>
      </c>
    </row>
    <row r="1467" spans="1:4" x14ac:dyDescent="0.25">
      <c r="A1467" s="379">
        <v>45785.25</v>
      </c>
      <c r="B1467" s="382" t="s">
        <v>3118</v>
      </c>
      <c r="C1467" s="377" t="s">
        <v>5048</v>
      </c>
      <c r="D1467" s="6" t="str">
        <f>_xlfn.XLOOKUP(B1467,Indices!$A$2:$A$2676,Indices!$B$2:$B$2676,"")</f>
        <v/>
      </c>
    </row>
    <row r="1468" spans="1:4" x14ac:dyDescent="0.25">
      <c r="A1468" s="379">
        <v>45785.25</v>
      </c>
      <c r="B1468" s="382" t="s">
        <v>5051</v>
      </c>
      <c r="C1468" s="377" t="s">
        <v>5048</v>
      </c>
      <c r="D1468" s="6" t="str">
        <f>_xlfn.XLOOKUP(B1468,Indices!$A$2:$A$2676,Indices!$B$2:$B$2676,"")</f>
        <v/>
      </c>
    </row>
    <row r="1469" spans="1:4" x14ac:dyDescent="0.25">
      <c r="A1469" s="379">
        <v>45785.25</v>
      </c>
      <c r="B1469" s="382" t="s">
        <v>3125</v>
      </c>
      <c r="C1469" s="377" t="s">
        <v>5048</v>
      </c>
      <c r="D1469" s="6" t="str">
        <f>_xlfn.XLOOKUP(B1469,Indices!$A$2:$A$2676,Indices!$B$2:$B$2676,"")</f>
        <v/>
      </c>
    </row>
    <row r="1470" spans="1:4" x14ac:dyDescent="0.25">
      <c r="A1470" s="379">
        <v>45785.25</v>
      </c>
      <c r="B1470" s="382" t="s">
        <v>1017</v>
      </c>
      <c r="C1470" s="377" t="s">
        <v>5048</v>
      </c>
      <c r="D1470" s="6" t="str">
        <f>_xlfn.XLOOKUP(B1470,Indices!$A$2:$A$2676,Indices!$B$2:$B$2676,"")</f>
        <v>IWM</v>
      </c>
    </row>
    <row r="1471" spans="1:4" x14ac:dyDescent="0.25">
      <c r="A1471" s="379">
        <v>45785.25</v>
      </c>
      <c r="B1471" s="382" t="s">
        <v>3884</v>
      </c>
      <c r="C1471" s="377" t="s">
        <v>5048</v>
      </c>
      <c r="D1471" s="6" t="str">
        <f>_xlfn.XLOOKUP(B1471,Indices!$A$2:$A$2676,Indices!$B$2:$B$2676,"")</f>
        <v/>
      </c>
    </row>
    <row r="1472" spans="1:4" x14ac:dyDescent="0.25">
      <c r="A1472" s="379">
        <v>45785.25</v>
      </c>
      <c r="B1472" s="382" t="s">
        <v>2581</v>
      </c>
      <c r="C1472" s="377" t="s">
        <v>5048</v>
      </c>
      <c r="D1472" s="6" t="str">
        <f>_xlfn.XLOOKUP(B1472,Indices!$A$2:$A$2676,Indices!$B$2:$B$2676,"")</f>
        <v/>
      </c>
    </row>
    <row r="1473" spans="1:4" x14ac:dyDescent="0.25">
      <c r="A1473" s="379">
        <v>45785.25</v>
      </c>
      <c r="B1473" s="382" t="s">
        <v>3720</v>
      </c>
      <c r="C1473" s="377" t="s">
        <v>5048</v>
      </c>
      <c r="D1473" s="6" t="str">
        <f>_xlfn.XLOOKUP(B1473,Indices!$A$2:$A$2676,Indices!$B$2:$B$2676,"")</f>
        <v/>
      </c>
    </row>
    <row r="1474" spans="1:4" x14ac:dyDescent="0.25">
      <c r="A1474" s="379">
        <v>45785.25</v>
      </c>
      <c r="B1474" s="382" t="s">
        <v>5050</v>
      </c>
      <c r="C1474" s="377" t="s">
        <v>5048</v>
      </c>
      <c r="D1474" s="6" t="str">
        <f>_xlfn.XLOOKUP(B1474,Indices!$A$2:$A$2676,Indices!$B$2:$B$2676,"")</f>
        <v/>
      </c>
    </row>
    <row r="1475" spans="1:4" x14ac:dyDescent="0.25">
      <c r="A1475" s="379">
        <v>45785.25</v>
      </c>
      <c r="B1475" s="382" t="s">
        <v>3522</v>
      </c>
      <c r="C1475" s="377" t="s">
        <v>5048</v>
      </c>
      <c r="D1475" s="6" t="str">
        <f>_xlfn.XLOOKUP(B1475,Indices!$A$2:$A$2676,Indices!$B$2:$B$2676,"")</f>
        <v/>
      </c>
    </row>
    <row r="1476" spans="1:4" x14ac:dyDescent="0.25">
      <c r="A1476" s="379">
        <v>45785.25</v>
      </c>
      <c r="B1476" s="382" t="s">
        <v>864</v>
      </c>
      <c r="C1476" s="377" t="s">
        <v>5048</v>
      </c>
      <c r="D1476" s="6" t="str">
        <f>_xlfn.XLOOKUP(B1476,Indices!$A$2:$A$2676,Indices!$B$2:$B$2676,"")</f>
        <v>IWM</v>
      </c>
    </row>
    <row r="1477" spans="1:4" x14ac:dyDescent="0.25">
      <c r="A1477" s="379">
        <v>45785.25</v>
      </c>
      <c r="B1477" s="382" t="s">
        <v>3508</v>
      </c>
      <c r="C1477" s="377" t="s">
        <v>5048</v>
      </c>
      <c r="D1477" s="6" t="str">
        <f>_xlfn.XLOOKUP(B1477,Indices!$A$2:$A$2676,Indices!$B$2:$B$2676,"")</f>
        <v/>
      </c>
    </row>
    <row r="1478" spans="1:4" x14ac:dyDescent="0.25">
      <c r="A1478" s="379">
        <v>45785.25</v>
      </c>
      <c r="B1478" s="382" t="s">
        <v>2582</v>
      </c>
      <c r="C1478" s="377" t="s">
        <v>5048</v>
      </c>
      <c r="D1478" s="6" t="str">
        <f>_xlfn.XLOOKUP(B1478,Indices!$A$2:$A$2676,Indices!$B$2:$B$2676,"")</f>
        <v/>
      </c>
    </row>
    <row r="1479" spans="1:4" x14ac:dyDescent="0.25">
      <c r="A1479" s="379">
        <v>45785.25</v>
      </c>
      <c r="B1479" s="382" t="s">
        <v>5049</v>
      </c>
      <c r="C1479" s="377" t="s">
        <v>5048</v>
      </c>
      <c r="D1479" s="6" t="str">
        <f>_xlfn.XLOOKUP(B1479,Indices!$A$2:$A$2676,Indices!$B$2:$B$2676,"")</f>
        <v/>
      </c>
    </row>
    <row r="1480" spans="1:4" x14ac:dyDescent="0.25">
      <c r="A1480" s="379">
        <v>45785.25</v>
      </c>
      <c r="B1480" s="382" t="s">
        <v>940</v>
      </c>
      <c r="C1480" s="377" t="s">
        <v>5048</v>
      </c>
      <c r="D1480" s="6" t="str">
        <f>_xlfn.XLOOKUP(B1480,Indices!$A$2:$A$2676,Indices!$B$2:$B$2676,"")</f>
        <v>IWM</v>
      </c>
    </row>
    <row r="1481" spans="1:4" x14ac:dyDescent="0.25">
      <c r="A1481" s="379">
        <v>45785.25</v>
      </c>
      <c r="B1481" s="382" t="s">
        <v>937</v>
      </c>
      <c r="C1481" s="377" t="s">
        <v>5048</v>
      </c>
      <c r="D1481" s="6" t="str">
        <f>_xlfn.XLOOKUP(B1481,Indices!$A$2:$A$2676,Indices!$B$2:$B$2676,"")</f>
        <v>IWM</v>
      </c>
    </row>
    <row r="1482" spans="1:4" x14ac:dyDescent="0.25">
      <c r="A1482" s="379">
        <v>45785.25</v>
      </c>
      <c r="B1482" s="382" t="s">
        <v>3482</v>
      </c>
      <c r="C1482" s="377" t="s">
        <v>5048</v>
      </c>
      <c r="D1482" s="6" t="str">
        <f>_xlfn.XLOOKUP(B1482,Indices!$A$2:$A$2676,Indices!$B$2:$B$2676,"")</f>
        <v/>
      </c>
    </row>
    <row r="1483" spans="1:4" x14ac:dyDescent="0.25">
      <c r="A1483" s="379">
        <v>45785.251388888886</v>
      </c>
      <c r="B1483" s="382" t="s">
        <v>3536</v>
      </c>
      <c r="C1483" s="377" t="s">
        <v>5052</v>
      </c>
      <c r="D1483" s="6" t="str">
        <f>_xlfn.XLOOKUP(B1483,Indices!$A$2:$A$2676,Indices!$B$2:$B$2676,"")</f>
        <v/>
      </c>
    </row>
    <row r="1484" spans="1:4" x14ac:dyDescent="0.25">
      <c r="A1484" s="379">
        <v>45785.253472222219</v>
      </c>
      <c r="B1484" s="382" t="s">
        <v>680</v>
      </c>
      <c r="C1484" s="377" t="s">
        <v>5053</v>
      </c>
      <c r="D1484" s="6" t="str">
        <f>_xlfn.XLOOKUP(B1484,Indices!$A$2:$A$2676,Indices!$B$2:$B$2676,"")</f>
        <v>IWM</v>
      </c>
    </row>
    <row r="1485" spans="1:4" x14ac:dyDescent="0.25">
      <c r="A1485" s="379">
        <v>45785.253472222219</v>
      </c>
      <c r="B1485" s="382" t="s">
        <v>2580</v>
      </c>
      <c r="C1485" s="377" t="s">
        <v>5053</v>
      </c>
      <c r="D1485" s="6" t="str">
        <f>_xlfn.XLOOKUP(B1485,Indices!$A$2:$A$2676,Indices!$B$2:$B$2676,"")</f>
        <v/>
      </c>
    </row>
    <row r="1486" spans="1:4" x14ac:dyDescent="0.25">
      <c r="A1486" s="379">
        <v>45785.270138888889</v>
      </c>
      <c r="B1486" s="382" t="s">
        <v>213</v>
      </c>
      <c r="C1486" s="377" t="s">
        <v>5054</v>
      </c>
      <c r="D1486" s="6" t="str">
        <f>_xlfn.XLOOKUP(B1486,Indices!$A$2:$A$2676,Indices!$B$2:$B$2676,"")</f>
        <v>IWM</v>
      </c>
    </row>
    <row r="1487" spans="1:4" x14ac:dyDescent="0.25">
      <c r="A1487" s="379">
        <v>45785.270833333336</v>
      </c>
      <c r="B1487" s="382" t="s">
        <v>3612</v>
      </c>
      <c r="C1487" s="377" t="s">
        <v>5055</v>
      </c>
      <c r="D1487" s="6" t="str">
        <f>_xlfn.XLOOKUP(B1487,Indices!$A$2:$A$2676,Indices!$B$2:$B$2676,"")</f>
        <v/>
      </c>
    </row>
    <row r="1488" spans="1:4" x14ac:dyDescent="0.25">
      <c r="A1488" s="379">
        <v>45785.270833333336</v>
      </c>
      <c r="B1488" s="382" t="s">
        <v>642</v>
      </c>
      <c r="C1488" s="377" t="s">
        <v>5055</v>
      </c>
      <c r="D1488" s="6" t="str">
        <f>_xlfn.XLOOKUP(B1488,Indices!$A$2:$A$2676,Indices!$B$2:$B$2676,"")</f>
        <v>IWM</v>
      </c>
    </row>
    <row r="1489" spans="1:4" x14ac:dyDescent="0.25">
      <c r="A1489" s="379">
        <v>45785.270833333336</v>
      </c>
      <c r="B1489" s="382" t="s">
        <v>3441</v>
      </c>
      <c r="C1489" s="377" t="s">
        <v>5055</v>
      </c>
      <c r="D1489" s="6" t="str">
        <f>_xlfn.XLOOKUP(B1489,Indices!$A$2:$A$2676,Indices!$B$2:$B$2676,"")</f>
        <v/>
      </c>
    </row>
    <row r="1490" spans="1:4" x14ac:dyDescent="0.25">
      <c r="A1490" s="379">
        <v>45785.270833333336</v>
      </c>
      <c r="B1490" s="382" t="s">
        <v>4080</v>
      </c>
      <c r="C1490" s="377" t="s">
        <v>5055</v>
      </c>
      <c r="D1490" s="6" t="str">
        <f>_xlfn.XLOOKUP(B1490,Indices!$A$2:$A$2676,Indices!$B$2:$B$2676,"")</f>
        <v/>
      </c>
    </row>
    <row r="1491" spans="1:4" x14ac:dyDescent="0.25">
      <c r="A1491" s="379">
        <v>45785.270833333336</v>
      </c>
      <c r="B1491" s="382" t="s">
        <v>2965</v>
      </c>
      <c r="C1491" s="377" t="s">
        <v>5055</v>
      </c>
      <c r="D1491" s="6" t="str">
        <f>_xlfn.XLOOKUP(B1491,Indices!$A$2:$A$2676,Indices!$B$2:$B$2676,"")</f>
        <v/>
      </c>
    </row>
    <row r="1492" spans="1:4" x14ac:dyDescent="0.25">
      <c r="A1492" s="379">
        <v>45785.291666666664</v>
      </c>
      <c r="B1492" s="382" t="s">
        <v>3507</v>
      </c>
      <c r="C1492" s="377" t="s">
        <v>3387</v>
      </c>
      <c r="D1492" s="6" t="str">
        <f>_xlfn.XLOOKUP(B1492,Indices!$A$2:$A$2676,Indices!$B$2:$B$2676,"")</f>
        <v/>
      </c>
    </row>
    <row r="1493" spans="1:4" x14ac:dyDescent="0.25">
      <c r="A1493" s="379">
        <v>45785.291666666664</v>
      </c>
      <c r="B1493" s="382" t="s">
        <v>3436</v>
      </c>
      <c r="C1493" s="377" t="s">
        <v>3387</v>
      </c>
      <c r="D1493" s="6" t="str">
        <f>_xlfn.XLOOKUP(B1493,Indices!$A$2:$A$2676,Indices!$B$2:$B$2676,"")</f>
        <v/>
      </c>
    </row>
    <row r="1494" spans="1:4" x14ac:dyDescent="0.25">
      <c r="A1494" s="379">
        <v>45785.291666666664</v>
      </c>
      <c r="B1494" s="382" t="s">
        <v>3415</v>
      </c>
      <c r="C1494" s="377" t="s">
        <v>3387</v>
      </c>
      <c r="D1494" s="6" t="str">
        <f>_xlfn.XLOOKUP(B1494,Indices!$A$2:$A$2676,Indices!$B$2:$B$2676,"")</f>
        <v/>
      </c>
    </row>
    <row r="1495" spans="1:4" x14ac:dyDescent="0.25">
      <c r="A1495" s="379">
        <v>45785.291666666664</v>
      </c>
      <c r="B1495" s="382" t="s">
        <v>3458</v>
      </c>
      <c r="C1495" s="377" t="s">
        <v>3387</v>
      </c>
      <c r="D1495" s="6" t="str">
        <f>_xlfn.XLOOKUP(B1495,Indices!$A$2:$A$2676,Indices!$B$2:$B$2676,"")</f>
        <v/>
      </c>
    </row>
    <row r="1496" spans="1:4" x14ac:dyDescent="0.25">
      <c r="A1496" s="379">
        <v>45785.291666666664</v>
      </c>
      <c r="B1496" s="382" t="s">
        <v>3735</v>
      </c>
      <c r="C1496" s="377" t="s">
        <v>5056</v>
      </c>
      <c r="D1496" s="6" t="str">
        <f>_xlfn.XLOOKUP(B1496,Indices!$A$2:$A$2676,Indices!$B$2:$B$2676,"")</f>
        <v/>
      </c>
    </row>
    <row r="1497" spans="1:4" x14ac:dyDescent="0.25">
      <c r="A1497" s="379">
        <v>45785.291666666664</v>
      </c>
      <c r="B1497" s="382" t="s">
        <v>3491</v>
      </c>
      <c r="C1497" s="377" t="s">
        <v>5056</v>
      </c>
      <c r="D1497" s="6" t="str">
        <f>_xlfn.XLOOKUP(B1497,Indices!$A$2:$A$2676,Indices!$B$2:$B$2676,"")</f>
        <v/>
      </c>
    </row>
    <row r="1498" spans="1:4" x14ac:dyDescent="0.25">
      <c r="A1498" s="379">
        <v>45785.291666666664</v>
      </c>
      <c r="B1498" s="382" t="s">
        <v>4546</v>
      </c>
      <c r="C1498" s="377" t="s">
        <v>3387</v>
      </c>
      <c r="D1498" s="6" t="str">
        <f>_xlfn.XLOOKUP(B1498,Indices!$A$2:$A$2676,Indices!$B$2:$B$2676,"")</f>
        <v/>
      </c>
    </row>
    <row r="1499" spans="1:4" x14ac:dyDescent="0.25">
      <c r="A1499" s="379">
        <v>45785.291666666664</v>
      </c>
      <c r="B1499" s="382" t="s">
        <v>3474</v>
      </c>
      <c r="C1499" s="377" t="s">
        <v>3387</v>
      </c>
      <c r="D1499" s="6" t="str">
        <f>_xlfn.XLOOKUP(B1499,Indices!$A$2:$A$2676,Indices!$B$2:$B$2676,"")</f>
        <v/>
      </c>
    </row>
    <row r="1500" spans="1:4" x14ac:dyDescent="0.25">
      <c r="A1500" s="379">
        <v>45785.291666666664</v>
      </c>
      <c r="B1500" s="382" t="s">
        <v>3518</v>
      </c>
      <c r="C1500" s="377" t="s">
        <v>3387</v>
      </c>
      <c r="D1500" s="6" t="str">
        <f>_xlfn.XLOOKUP(B1500,Indices!$A$2:$A$2676,Indices!$B$2:$B$2676,"")</f>
        <v/>
      </c>
    </row>
    <row r="1501" spans="1:4" x14ac:dyDescent="0.25">
      <c r="A1501" s="379">
        <v>45785.291666666664</v>
      </c>
      <c r="B1501" s="382" t="s">
        <v>3488</v>
      </c>
      <c r="C1501" s="377" t="s">
        <v>3387</v>
      </c>
      <c r="D1501" s="6" t="str">
        <f>_xlfn.XLOOKUP(B1501,Indices!$A$2:$A$2676,Indices!$B$2:$B$2676,"")</f>
        <v/>
      </c>
    </row>
    <row r="1502" spans="1:4" x14ac:dyDescent="0.25">
      <c r="A1502" s="379">
        <v>45785.443749999999</v>
      </c>
      <c r="B1502" s="382" t="s">
        <v>2969</v>
      </c>
      <c r="C1502" s="377" t="s">
        <v>5057</v>
      </c>
      <c r="D1502" s="6" t="str">
        <f>_xlfn.XLOOKUP(B1502,Indices!$A$2:$A$2676,Indices!$B$2:$B$2676,"")</f>
        <v/>
      </c>
    </row>
    <row r="1503" spans="1:4" x14ac:dyDescent="0.25">
      <c r="A1503" s="379">
        <v>45785.5</v>
      </c>
      <c r="B1503" s="382" t="s">
        <v>3640</v>
      </c>
      <c r="C1503" s="377" t="s">
        <v>5058</v>
      </c>
      <c r="D1503" s="6" t="str">
        <f>_xlfn.XLOOKUP(B1503,Indices!$A$2:$A$2676,Indices!$B$2:$B$2676,"")</f>
        <v/>
      </c>
    </row>
    <row r="1504" spans="1:4" x14ac:dyDescent="0.25">
      <c r="A1504" s="379">
        <v>45785.550694444442</v>
      </c>
      <c r="B1504" s="382" t="s">
        <v>3726</v>
      </c>
      <c r="C1504" s="377" t="s">
        <v>5059</v>
      </c>
      <c r="D1504" s="6" t="str">
        <f>_xlfn.XLOOKUP(B1504,Indices!$A$2:$A$2676,Indices!$B$2:$B$2676,"")</f>
        <v/>
      </c>
    </row>
    <row r="1505" spans="1:4" x14ac:dyDescent="0.25">
      <c r="A1505" s="379">
        <v>45785.567361111112</v>
      </c>
      <c r="B1505" s="382" t="s">
        <v>5060</v>
      </c>
      <c r="C1505" s="377" t="s">
        <v>5061</v>
      </c>
      <c r="D1505" s="6" t="str">
        <f>_xlfn.XLOOKUP(B1505,Indices!$A$2:$A$2676,Indices!$B$2:$B$2676,"")</f>
        <v/>
      </c>
    </row>
    <row r="1506" spans="1:4" x14ac:dyDescent="0.25">
      <c r="A1506" s="379">
        <v>45785.583333333336</v>
      </c>
      <c r="B1506" s="382" t="s">
        <v>721</v>
      </c>
      <c r="C1506" s="377" t="s">
        <v>5062</v>
      </c>
      <c r="D1506" s="6" t="str">
        <f>_xlfn.XLOOKUP(B1506,Indices!$A$2:$A$2676,Indices!$B$2:$B$2676,"")</f>
        <v>IWM</v>
      </c>
    </row>
    <row r="1507" spans="1:4" x14ac:dyDescent="0.25">
      <c r="A1507" s="379">
        <v>45785.583333333336</v>
      </c>
      <c r="B1507" s="382" t="s">
        <v>3765</v>
      </c>
      <c r="C1507" s="377" t="s">
        <v>5062</v>
      </c>
      <c r="D1507" s="6" t="str">
        <f>_xlfn.XLOOKUP(B1507,Indices!$A$2:$A$2676,Indices!$B$2:$B$2676,"")</f>
        <v/>
      </c>
    </row>
    <row r="1508" spans="1:4" x14ac:dyDescent="0.25">
      <c r="A1508" s="379">
        <v>45785.583333333336</v>
      </c>
      <c r="B1508" s="382" t="s">
        <v>334</v>
      </c>
      <c r="C1508" s="377" t="s">
        <v>5062</v>
      </c>
      <c r="D1508" s="6" t="str">
        <f>_xlfn.XLOOKUP(B1508,Indices!$A$2:$A$2676,Indices!$B$2:$B$2676,"")</f>
        <v>IWM</v>
      </c>
    </row>
    <row r="1509" spans="1:4" x14ac:dyDescent="0.25">
      <c r="A1509" s="379">
        <v>45785.583333333336</v>
      </c>
      <c r="B1509" s="382" t="s">
        <v>859</v>
      </c>
      <c r="C1509" s="377" t="s">
        <v>5062</v>
      </c>
      <c r="D1509" s="6" t="str">
        <f>_xlfn.XLOOKUP(B1509,Indices!$A$2:$A$2676,Indices!$B$2:$B$2676,"")</f>
        <v>SP500</v>
      </c>
    </row>
    <row r="1510" spans="1:4" x14ac:dyDescent="0.25">
      <c r="A1510" s="379">
        <v>45785.583333333336</v>
      </c>
      <c r="B1510" s="382" t="s">
        <v>3556</v>
      </c>
      <c r="C1510" s="377" t="s">
        <v>5062</v>
      </c>
      <c r="D1510" s="6" t="str">
        <f>_xlfn.XLOOKUP(B1510,Indices!$A$2:$A$2676,Indices!$B$2:$B$2676,"")</f>
        <v/>
      </c>
    </row>
    <row r="1511" spans="1:4" x14ac:dyDescent="0.25">
      <c r="A1511" s="379">
        <v>45785.583333333336</v>
      </c>
      <c r="B1511" s="382" t="s">
        <v>3177</v>
      </c>
      <c r="C1511" s="377" t="s">
        <v>5062</v>
      </c>
      <c r="D1511" s="6" t="str">
        <f>_xlfn.XLOOKUP(B1511,Indices!$A$2:$A$2676,Indices!$B$2:$B$2676,"")</f>
        <v/>
      </c>
    </row>
    <row r="1512" spans="1:4" x14ac:dyDescent="0.25">
      <c r="A1512" s="379">
        <v>45785.583333333336</v>
      </c>
      <c r="B1512" s="382" t="s">
        <v>654</v>
      </c>
      <c r="C1512" s="377" t="s">
        <v>5062</v>
      </c>
      <c r="D1512" s="6" t="str">
        <f>_xlfn.XLOOKUP(B1512,Indices!$A$2:$A$2676,Indices!$B$2:$B$2676,"")</f>
        <v>IWM</v>
      </c>
    </row>
    <row r="1513" spans="1:4" x14ac:dyDescent="0.25">
      <c r="A1513" s="379">
        <v>45785.583333333336</v>
      </c>
      <c r="B1513" s="382" t="s">
        <v>2574</v>
      </c>
      <c r="C1513" s="377" t="s">
        <v>5062</v>
      </c>
      <c r="D1513" s="6" t="str">
        <f>_xlfn.XLOOKUP(B1513,Indices!$A$2:$A$2676,Indices!$B$2:$B$2676,"")</f>
        <v/>
      </c>
    </row>
    <row r="1514" spans="1:4" x14ac:dyDescent="0.25">
      <c r="A1514" s="379">
        <v>45785.584027777775</v>
      </c>
      <c r="B1514" s="382" t="s">
        <v>339</v>
      </c>
      <c r="C1514" s="377" t="s">
        <v>5063</v>
      </c>
      <c r="D1514" s="6" t="str">
        <f>_xlfn.XLOOKUP(B1514,Indices!$A$2:$A$2676,Indices!$B$2:$B$2676,"")</f>
        <v>IWM</v>
      </c>
    </row>
    <row r="1515" spans="1:4" x14ac:dyDescent="0.25">
      <c r="A1515" s="379">
        <v>45785.584027777775</v>
      </c>
      <c r="B1515" s="382" t="s">
        <v>3590</v>
      </c>
      <c r="C1515" s="377" t="s">
        <v>5063</v>
      </c>
      <c r="D1515" s="6" t="str">
        <f>_xlfn.XLOOKUP(B1515,Indices!$A$2:$A$2676,Indices!$B$2:$B$2676,"")</f>
        <v/>
      </c>
    </row>
    <row r="1516" spans="1:4" x14ac:dyDescent="0.25">
      <c r="A1516" s="379">
        <v>45785.584027777775</v>
      </c>
      <c r="B1516" s="382" t="s">
        <v>3631</v>
      </c>
      <c r="C1516" s="377" t="s">
        <v>5063</v>
      </c>
      <c r="D1516" s="6" t="str">
        <f>_xlfn.XLOOKUP(B1516,Indices!$A$2:$A$2676,Indices!$B$2:$B$2676,"")</f>
        <v/>
      </c>
    </row>
    <row r="1517" spans="1:4" x14ac:dyDescent="0.25">
      <c r="A1517" s="379">
        <v>45785.584027777775</v>
      </c>
      <c r="B1517" s="382" t="s">
        <v>658</v>
      </c>
      <c r="C1517" s="377" t="s">
        <v>5063</v>
      </c>
      <c r="D1517" s="6" t="str">
        <f>_xlfn.XLOOKUP(B1517,Indices!$A$2:$A$2676,Indices!$B$2:$B$2676,"")</f>
        <v>SP500</v>
      </c>
    </row>
    <row r="1518" spans="1:4" x14ac:dyDescent="0.25">
      <c r="A1518" s="379">
        <v>45785.584027777775</v>
      </c>
      <c r="B1518" s="382" t="s">
        <v>678</v>
      </c>
      <c r="C1518" s="377" t="s">
        <v>5063</v>
      </c>
      <c r="D1518" s="6" t="str">
        <f>_xlfn.XLOOKUP(B1518,Indices!$A$2:$A$2676,Indices!$B$2:$B$2676,"")</f>
        <v>IWM</v>
      </c>
    </row>
    <row r="1519" spans="1:4" x14ac:dyDescent="0.25">
      <c r="A1519" s="379">
        <v>45785.584027777775</v>
      </c>
      <c r="B1519" s="382" t="s">
        <v>3567</v>
      </c>
      <c r="C1519" s="377" t="s">
        <v>5063</v>
      </c>
      <c r="D1519" s="6" t="str">
        <f>_xlfn.XLOOKUP(B1519,Indices!$A$2:$A$2676,Indices!$B$2:$B$2676,"")</f>
        <v/>
      </c>
    </row>
    <row r="1520" spans="1:4" x14ac:dyDescent="0.25">
      <c r="A1520" s="379">
        <v>45785.584027777775</v>
      </c>
      <c r="B1520" s="382" t="s">
        <v>671</v>
      </c>
      <c r="C1520" s="377" t="s">
        <v>5063</v>
      </c>
      <c r="D1520" s="6" t="str">
        <f>_xlfn.XLOOKUP(B1520,Indices!$A$2:$A$2676,Indices!$B$2:$B$2676,"")</f>
        <v>NQ100</v>
      </c>
    </row>
    <row r="1521" spans="1:4" x14ac:dyDescent="0.25">
      <c r="A1521" s="379">
        <v>45785.584027777775</v>
      </c>
      <c r="B1521" s="382" t="s">
        <v>3642</v>
      </c>
      <c r="C1521" s="377" t="s">
        <v>5063</v>
      </c>
      <c r="D1521" s="6" t="str">
        <f>_xlfn.XLOOKUP(B1521,Indices!$A$2:$A$2676,Indices!$B$2:$B$2676,"")</f>
        <v/>
      </c>
    </row>
    <row r="1522" spans="1:4" x14ac:dyDescent="0.25">
      <c r="A1522" s="379">
        <v>45785.584027777775</v>
      </c>
      <c r="B1522" s="382" t="s">
        <v>667</v>
      </c>
      <c r="C1522" s="377" t="s">
        <v>5063</v>
      </c>
      <c r="D1522" s="6" t="str">
        <f>_xlfn.XLOOKUP(B1522,Indices!$A$2:$A$2676,Indices!$B$2:$B$2676,"")</f>
        <v>SP500</v>
      </c>
    </row>
    <row r="1523" spans="1:4" x14ac:dyDescent="0.25">
      <c r="A1523" s="379">
        <v>45785.584027777775</v>
      </c>
      <c r="B1523" s="382" t="s">
        <v>3576</v>
      </c>
      <c r="C1523" s="377" t="s">
        <v>5063</v>
      </c>
      <c r="D1523" s="6" t="str">
        <f>_xlfn.XLOOKUP(B1523,Indices!$A$2:$A$2676,Indices!$B$2:$B$2676,"")</f>
        <v/>
      </c>
    </row>
    <row r="1524" spans="1:4" x14ac:dyDescent="0.25">
      <c r="A1524" s="379">
        <v>45785.584027777775</v>
      </c>
      <c r="B1524" s="382" t="s">
        <v>1045</v>
      </c>
      <c r="C1524" s="377" t="s">
        <v>5063</v>
      </c>
      <c r="D1524" s="6" t="str">
        <f>_xlfn.XLOOKUP(B1524,Indices!$A$2:$A$2676,Indices!$B$2:$B$2676,"")</f>
        <v>IWM</v>
      </c>
    </row>
    <row r="1525" spans="1:4" x14ac:dyDescent="0.25">
      <c r="A1525" s="379">
        <v>45785.584027777775</v>
      </c>
      <c r="B1525" s="382" t="s">
        <v>3704</v>
      </c>
      <c r="C1525" s="377" t="s">
        <v>5063</v>
      </c>
      <c r="D1525" s="6" t="str">
        <f>_xlfn.XLOOKUP(B1525,Indices!$A$2:$A$2676,Indices!$B$2:$B$2676,"")</f>
        <v/>
      </c>
    </row>
    <row r="1526" spans="1:4" x14ac:dyDescent="0.25">
      <c r="A1526" s="379">
        <v>45785.584027777775</v>
      </c>
      <c r="B1526" s="382" t="s">
        <v>673</v>
      </c>
      <c r="C1526" s="377" t="s">
        <v>5063</v>
      </c>
      <c r="D1526" s="6" t="str">
        <f>_xlfn.XLOOKUP(B1526,Indices!$A$2:$A$2676,Indices!$B$2:$B$2676,"")</f>
        <v>IWM</v>
      </c>
    </row>
    <row r="1527" spans="1:4" x14ac:dyDescent="0.25">
      <c r="A1527" s="379">
        <v>45785.584027777775</v>
      </c>
      <c r="B1527" s="382" t="s">
        <v>3161</v>
      </c>
      <c r="C1527" s="377" t="s">
        <v>5063</v>
      </c>
      <c r="D1527" s="6" t="str">
        <f>_xlfn.XLOOKUP(B1527,Indices!$A$2:$A$2676,Indices!$B$2:$B$2676,"")</f>
        <v/>
      </c>
    </row>
    <row r="1528" spans="1:4" x14ac:dyDescent="0.25">
      <c r="A1528" s="379">
        <v>45785.584027777775</v>
      </c>
      <c r="B1528" s="382" t="s">
        <v>663</v>
      </c>
      <c r="C1528" s="377" t="s">
        <v>5063</v>
      </c>
      <c r="D1528" s="6" t="str">
        <f>_xlfn.XLOOKUP(B1528,Indices!$A$2:$A$2676,Indices!$B$2:$B$2676,"")</f>
        <v>IWM</v>
      </c>
    </row>
    <row r="1529" spans="1:4" x14ac:dyDescent="0.25">
      <c r="A1529" s="379">
        <v>45785.584027777775</v>
      </c>
      <c r="B1529" s="382" t="s">
        <v>343</v>
      </c>
      <c r="C1529" s="377" t="s">
        <v>5063</v>
      </c>
      <c r="D1529" s="6" t="str">
        <f>_xlfn.XLOOKUP(B1529,Indices!$A$2:$A$2676,Indices!$B$2:$B$2676,"")</f>
        <v>IWM</v>
      </c>
    </row>
    <row r="1530" spans="1:4" x14ac:dyDescent="0.25">
      <c r="A1530" s="379">
        <v>45785.584027777775</v>
      </c>
      <c r="B1530" s="382" t="s">
        <v>3360</v>
      </c>
      <c r="C1530" s="377" t="s">
        <v>5063</v>
      </c>
      <c r="D1530" s="6" t="str">
        <f>_xlfn.XLOOKUP(B1530,Indices!$A$2:$A$2676,Indices!$B$2:$B$2676,"")</f>
        <v/>
      </c>
    </row>
    <row r="1531" spans="1:4" x14ac:dyDescent="0.25">
      <c r="A1531" s="379">
        <v>45785.584027777775</v>
      </c>
      <c r="B1531" s="382" t="s">
        <v>3184</v>
      </c>
      <c r="C1531" s="377" t="s">
        <v>5063</v>
      </c>
      <c r="D1531" s="6" t="str">
        <f>_xlfn.XLOOKUP(B1531,Indices!$A$2:$A$2676,Indices!$B$2:$B$2676,"")</f>
        <v/>
      </c>
    </row>
    <row r="1532" spans="1:4" x14ac:dyDescent="0.25">
      <c r="A1532" s="379">
        <v>45785.584027777775</v>
      </c>
      <c r="B1532" s="382" t="s">
        <v>5064</v>
      </c>
      <c r="C1532" s="377" t="s">
        <v>5063</v>
      </c>
      <c r="D1532" s="6" t="str">
        <f>_xlfn.XLOOKUP(B1532,Indices!$A$2:$A$2676,Indices!$B$2:$B$2676,"")</f>
        <v/>
      </c>
    </row>
    <row r="1533" spans="1:4" x14ac:dyDescent="0.25">
      <c r="A1533" s="379">
        <v>45785.584027777775</v>
      </c>
      <c r="B1533" s="382" t="s">
        <v>659</v>
      </c>
      <c r="C1533" s="377" t="s">
        <v>5063</v>
      </c>
      <c r="D1533" s="6" t="str">
        <f>_xlfn.XLOOKUP(B1533,Indices!$A$2:$A$2676,Indices!$B$2:$B$2676,"")</f>
        <v>SP500</v>
      </c>
    </row>
    <row r="1534" spans="1:4" x14ac:dyDescent="0.25">
      <c r="A1534" s="379">
        <v>45785.584722222222</v>
      </c>
      <c r="B1534" s="382" t="s">
        <v>76</v>
      </c>
      <c r="C1534" s="377" t="s">
        <v>5065</v>
      </c>
      <c r="D1534" s="6" t="str">
        <f>_xlfn.XLOOKUP(B1534,Indices!$A$2:$A$2676,Indices!$B$2:$B$2676,"")</f>
        <v>S&amp;P Mid</v>
      </c>
    </row>
    <row r="1535" spans="1:4" x14ac:dyDescent="0.25">
      <c r="A1535" s="379">
        <v>45785.584722222222</v>
      </c>
      <c r="B1535" s="382" t="s">
        <v>3917</v>
      </c>
      <c r="C1535" s="377" t="s">
        <v>5065</v>
      </c>
      <c r="D1535" s="6" t="str">
        <f>_xlfn.XLOOKUP(B1535,Indices!$A$2:$A$2676,Indices!$B$2:$B$2676,"")</f>
        <v/>
      </c>
    </row>
    <row r="1536" spans="1:4" x14ac:dyDescent="0.25">
      <c r="A1536" s="379">
        <v>45785.585416666669</v>
      </c>
      <c r="B1536" s="382" t="s">
        <v>2373</v>
      </c>
      <c r="C1536" s="377" t="s">
        <v>5066</v>
      </c>
      <c r="D1536" s="6" t="str">
        <f>_xlfn.XLOOKUP(B1536,Indices!$A$2:$A$2676,Indices!$B$2:$B$2676,"")</f>
        <v>S&amp;P Mid</v>
      </c>
    </row>
    <row r="1537" spans="1:4" x14ac:dyDescent="0.25">
      <c r="A1537" s="379">
        <v>45785.585416666669</v>
      </c>
      <c r="B1537" s="382" t="s">
        <v>962</v>
      </c>
      <c r="C1537" s="377" t="s">
        <v>5066</v>
      </c>
      <c r="D1537" s="6" t="str">
        <f>_xlfn.XLOOKUP(B1537,Indices!$A$2:$A$2676,Indices!$B$2:$B$2676,"")</f>
        <v>IWM</v>
      </c>
    </row>
    <row r="1538" spans="1:4" x14ac:dyDescent="0.25">
      <c r="A1538" s="379">
        <v>45785.585416666669</v>
      </c>
      <c r="B1538" s="382" t="s">
        <v>3289</v>
      </c>
      <c r="C1538" s="377" t="s">
        <v>5066</v>
      </c>
      <c r="D1538" s="6" t="str">
        <f>_xlfn.XLOOKUP(B1538,Indices!$A$2:$A$2676,Indices!$B$2:$B$2676,"")</f>
        <v/>
      </c>
    </row>
    <row r="1539" spans="1:4" x14ac:dyDescent="0.25">
      <c r="A1539" s="379">
        <v>45785.585416666669</v>
      </c>
      <c r="B1539" s="382" t="s">
        <v>681</v>
      </c>
      <c r="C1539" s="377" t="s">
        <v>5066</v>
      </c>
      <c r="D1539" s="6" t="str">
        <f>_xlfn.XLOOKUP(B1539,Indices!$A$2:$A$2676,Indices!$B$2:$B$2676,"")</f>
        <v>IWM</v>
      </c>
    </row>
    <row r="1540" spans="1:4" x14ac:dyDescent="0.25">
      <c r="A1540" s="379">
        <v>45785.585416666669</v>
      </c>
      <c r="B1540" s="382" t="s">
        <v>2320</v>
      </c>
      <c r="C1540" s="377" t="s">
        <v>5066</v>
      </c>
      <c r="D1540" s="6" t="str">
        <f>_xlfn.XLOOKUP(B1540,Indices!$A$2:$A$2676,Indices!$B$2:$B$2676,"")</f>
        <v>IWM</v>
      </c>
    </row>
    <row r="1541" spans="1:4" x14ac:dyDescent="0.25">
      <c r="A1541" s="379">
        <v>45785.585416666669</v>
      </c>
      <c r="B1541" s="382" t="s">
        <v>782</v>
      </c>
      <c r="C1541" s="377" t="s">
        <v>5066</v>
      </c>
      <c r="D1541" s="6" t="str">
        <f>_xlfn.XLOOKUP(B1541,Indices!$A$2:$A$2676,Indices!$B$2:$B$2676,"")</f>
        <v>IWM</v>
      </c>
    </row>
    <row r="1542" spans="1:4" x14ac:dyDescent="0.25">
      <c r="A1542" s="379">
        <v>45785.586111111108</v>
      </c>
      <c r="B1542" s="382" t="s">
        <v>351</v>
      </c>
      <c r="C1542" s="377" t="s">
        <v>5067</v>
      </c>
      <c r="D1542" s="6" t="str">
        <f>_xlfn.XLOOKUP(B1542,Indices!$A$2:$A$2676,Indices!$B$2:$B$2676,"")</f>
        <v>IWM</v>
      </c>
    </row>
    <row r="1543" spans="1:4" x14ac:dyDescent="0.25">
      <c r="A1543" s="379">
        <v>45785.586111111108</v>
      </c>
      <c r="B1543" s="382" t="s">
        <v>683</v>
      </c>
      <c r="C1543" s="377" t="s">
        <v>5067</v>
      </c>
      <c r="D1543" s="6" t="str">
        <f>_xlfn.XLOOKUP(B1543,Indices!$A$2:$A$2676,Indices!$B$2:$B$2676,"")</f>
        <v>S&amp;P Mid</v>
      </c>
    </row>
    <row r="1544" spans="1:4" x14ac:dyDescent="0.25">
      <c r="A1544" s="379">
        <v>45785.586805555555</v>
      </c>
      <c r="B1544" s="382" t="s">
        <v>816</v>
      </c>
      <c r="C1544" s="377" t="s">
        <v>5068</v>
      </c>
      <c r="D1544" s="6" t="str">
        <f>_xlfn.XLOOKUP(B1544,Indices!$A$2:$A$2676,Indices!$B$2:$B$2676,"")</f>
        <v>IWM</v>
      </c>
    </row>
    <row r="1545" spans="1:4" x14ac:dyDescent="0.25">
      <c r="A1545" s="379">
        <v>45785.586805555555</v>
      </c>
      <c r="B1545" s="382" t="s">
        <v>3359</v>
      </c>
      <c r="C1545" s="377" t="s">
        <v>5068</v>
      </c>
      <c r="D1545" s="6" t="str">
        <f>_xlfn.XLOOKUP(B1545,Indices!$A$2:$A$2676,Indices!$B$2:$B$2676,"")</f>
        <v/>
      </c>
    </row>
    <row r="1546" spans="1:4" x14ac:dyDescent="0.25">
      <c r="A1546" s="379">
        <v>45785.586805555555</v>
      </c>
      <c r="B1546" s="382" t="s">
        <v>3671</v>
      </c>
      <c r="C1546" s="377" t="s">
        <v>5068</v>
      </c>
      <c r="D1546" s="6" t="str">
        <f>_xlfn.XLOOKUP(B1546,Indices!$A$2:$A$2676,Indices!$B$2:$B$2676,"")</f>
        <v/>
      </c>
    </row>
    <row r="1547" spans="1:4" x14ac:dyDescent="0.25">
      <c r="A1547" s="379">
        <v>45785.586805555555</v>
      </c>
      <c r="B1547" s="382" t="s">
        <v>695</v>
      </c>
      <c r="C1547" s="377" t="s">
        <v>5068</v>
      </c>
      <c r="D1547" s="6" t="str">
        <f>_xlfn.XLOOKUP(B1547,Indices!$A$2:$A$2676,Indices!$B$2:$B$2676,"")</f>
        <v>IWM</v>
      </c>
    </row>
    <row r="1548" spans="1:4" x14ac:dyDescent="0.25">
      <c r="A1548" s="379">
        <v>45785.586805555555</v>
      </c>
      <c r="B1548" s="382" t="s">
        <v>3469</v>
      </c>
      <c r="C1548" s="377" t="s">
        <v>5069</v>
      </c>
      <c r="D1548" s="6" t="str">
        <f>_xlfn.XLOOKUP(B1548,Indices!$A$2:$A$2676,Indices!$B$2:$B$2676,"")</f>
        <v/>
      </c>
    </row>
    <row r="1549" spans="1:4" x14ac:dyDescent="0.25">
      <c r="A1549" s="379">
        <v>45785.586805555555</v>
      </c>
      <c r="B1549" s="382" t="s">
        <v>732</v>
      </c>
      <c r="C1549" s="377" t="s">
        <v>5068</v>
      </c>
      <c r="D1549" s="6" t="str">
        <f>_xlfn.XLOOKUP(B1549,Indices!$A$2:$A$2676,Indices!$B$2:$B$2676,"")</f>
        <v>IWM</v>
      </c>
    </row>
    <row r="1550" spans="1:4" x14ac:dyDescent="0.25">
      <c r="A1550" s="379">
        <v>45785.586805555555</v>
      </c>
      <c r="B1550" s="382" t="s">
        <v>3630</v>
      </c>
      <c r="C1550" s="377" t="s">
        <v>5068</v>
      </c>
      <c r="D1550" s="6" t="str">
        <f>_xlfn.XLOOKUP(B1550,Indices!$A$2:$A$2676,Indices!$B$2:$B$2676,"")</f>
        <v/>
      </c>
    </row>
    <row r="1551" spans="1:4" x14ac:dyDescent="0.25">
      <c r="A1551" s="379">
        <v>45785.586805555555</v>
      </c>
      <c r="B1551" s="382" t="s">
        <v>697</v>
      </c>
      <c r="C1551" s="377" t="s">
        <v>5068</v>
      </c>
      <c r="D1551" s="6" t="str">
        <f>_xlfn.XLOOKUP(B1551,Indices!$A$2:$A$2676,Indices!$B$2:$B$2676,"")</f>
        <v>IWM</v>
      </c>
    </row>
    <row r="1552" spans="1:4" x14ac:dyDescent="0.25">
      <c r="A1552" s="379">
        <v>45785.586805555555</v>
      </c>
      <c r="B1552" s="382" t="s">
        <v>2994</v>
      </c>
      <c r="C1552" s="377" t="s">
        <v>5068</v>
      </c>
      <c r="D1552" s="6" t="str">
        <f>_xlfn.XLOOKUP(B1552,Indices!$A$2:$A$2676,Indices!$B$2:$B$2676,"")</f>
        <v/>
      </c>
    </row>
    <row r="1553" spans="1:4" x14ac:dyDescent="0.25">
      <c r="A1553" s="379">
        <v>45785.586805555555</v>
      </c>
      <c r="B1553" s="382" t="s">
        <v>3790</v>
      </c>
      <c r="C1553" s="377" t="s">
        <v>5068</v>
      </c>
      <c r="D1553" s="6" t="str">
        <f>_xlfn.XLOOKUP(B1553,Indices!$A$2:$A$2676,Indices!$B$2:$B$2676,"")</f>
        <v/>
      </c>
    </row>
    <row r="1554" spans="1:4" x14ac:dyDescent="0.25">
      <c r="A1554" s="379">
        <v>45785.586805555555</v>
      </c>
      <c r="B1554" s="382" t="s">
        <v>2990</v>
      </c>
      <c r="C1554" s="377" t="s">
        <v>5068</v>
      </c>
      <c r="D1554" s="6" t="str">
        <f>_xlfn.XLOOKUP(B1554,Indices!$A$2:$A$2676,Indices!$B$2:$B$2676,"")</f>
        <v/>
      </c>
    </row>
    <row r="1555" spans="1:4" x14ac:dyDescent="0.25">
      <c r="A1555" s="379">
        <v>45785.586805555555</v>
      </c>
      <c r="B1555" s="382" t="s">
        <v>313</v>
      </c>
      <c r="C1555" s="377" t="s">
        <v>5068</v>
      </c>
      <c r="D1555" s="6" t="str">
        <f>_xlfn.XLOOKUP(B1555,Indices!$A$2:$A$2676,Indices!$B$2:$B$2676,"")</f>
        <v>IWM</v>
      </c>
    </row>
    <row r="1556" spans="1:4" x14ac:dyDescent="0.25">
      <c r="A1556" s="379">
        <v>45785.586805555555</v>
      </c>
      <c r="B1556" s="382" t="s">
        <v>362</v>
      </c>
      <c r="C1556" s="377" t="s">
        <v>5068</v>
      </c>
      <c r="D1556" s="6" t="str">
        <f>_xlfn.XLOOKUP(B1556,Indices!$A$2:$A$2676,Indices!$B$2:$B$2676,"")</f>
        <v>IWM</v>
      </c>
    </row>
    <row r="1557" spans="1:4" x14ac:dyDescent="0.25">
      <c r="A1557" s="379">
        <v>45785.586805555555</v>
      </c>
      <c r="B1557" s="382" t="s">
        <v>4176</v>
      </c>
      <c r="C1557" s="377" t="s">
        <v>5068</v>
      </c>
      <c r="D1557" s="6" t="str">
        <f>_xlfn.XLOOKUP(B1557,Indices!$A$2:$A$2676,Indices!$B$2:$B$2676,"")</f>
        <v/>
      </c>
    </row>
    <row r="1558" spans="1:4" x14ac:dyDescent="0.25">
      <c r="A1558" s="379">
        <v>45785.586805555555</v>
      </c>
      <c r="B1558" s="382" t="s">
        <v>2992</v>
      </c>
      <c r="C1558" s="377" t="s">
        <v>5068</v>
      </c>
      <c r="D1558" s="6" t="str">
        <f>_xlfn.XLOOKUP(B1558,Indices!$A$2:$A$2676,Indices!$B$2:$B$2676,"")</f>
        <v/>
      </c>
    </row>
    <row r="1559" spans="1:4" x14ac:dyDescent="0.25">
      <c r="A1559" s="379">
        <v>45785.586805555555</v>
      </c>
      <c r="B1559" s="382" t="s">
        <v>715</v>
      </c>
      <c r="C1559" s="377" t="s">
        <v>5068</v>
      </c>
      <c r="D1559" s="6" t="str">
        <f>_xlfn.XLOOKUP(B1559,Indices!$A$2:$A$2676,Indices!$B$2:$B$2676,"")</f>
        <v>IWM</v>
      </c>
    </row>
    <row r="1560" spans="1:4" x14ac:dyDescent="0.25">
      <c r="A1560" s="379">
        <v>45785.586805555555</v>
      </c>
      <c r="B1560" s="382" t="s">
        <v>2519</v>
      </c>
      <c r="C1560" s="377" t="s">
        <v>5068</v>
      </c>
      <c r="D1560" s="6" t="str">
        <f>_xlfn.XLOOKUP(B1560,Indices!$A$2:$A$2676,Indices!$B$2:$B$2676,"")</f>
        <v/>
      </c>
    </row>
    <row r="1561" spans="1:4" x14ac:dyDescent="0.25">
      <c r="A1561" s="379">
        <v>45785.586805555555</v>
      </c>
      <c r="B1561" s="382" t="s">
        <v>2741</v>
      </c>
      <c r="C1561" s="377" t="s">
        <v>5068</v>
      </c>
      <c r="D1561" s="6" t="str">
        <f>_xlfn.XLOOKUP(B1561,Indices!$A$2:$A$2676,Indices!$B$2:$B$2676,"")</f>
        <v/>
      </c>
    </row>
    <row r="1562" spans="1:4" x14ac:dyDescent="0.25">
      <c r="A1562" s="379">
        <v>45785.586805555555</v>
      </c>
      <c r="B1562" s="382" t="s">
        <v>3814</v>
      </c>
      <c r="C1562" s="377" t="s">
        <v>5068</v>
      </c>
      <c r="D1562" s="6" t="str">
        <f>_xlfn.XLOOKUP(B1562,Indices!$A$2:$A$2676,Indices!$B$2:$B$2676,"")</f>
        <v/>
      </c>
    </row>
    <row r="1563" spans="1:4" x14ac:dyDescent="0.25">
      <c r="A1563" s="379">
        <v>45785.586805555555</v>
      </c>
      <c r="B1563" s="382" t="s">
        <v>3364</v>
      </c>
      <c r="C1563" s="377" t="s">
        <v>5068</v>
      </c>
      <c r="D1563" s="6" t="str">
        <f>_xlfn.XLOOKUP(B1563,Indices!$A$2:$A$2676,Indices!$B$2:$B$2676,"")</f>
        <v/>
      </c>
    </row>
    <row r="1564" spans="1:4" x14ac:dyDescent="0.25">
      <c r="A1564" s="379">
        <v>45785.586805555555</v>
      </c>
      <c r="B1564" s="382" t="s">
        <v>3194</v>
      </c>
      <c r="C1564" s="377" t="s">
        <v>5068</v>
      </c>
      <c r="D1564" s="6" t="str">
        <f>_xlfn.XLOOKUP(B1564,Indices!$A$2:$A$2676,Indices!$B$2:$B$2676,"")</f>
        <v/>
      </c>
    </row>
    <row r="1565" spans="1:4" x14ac:dyDescent="0.25">
      <c r="A1565" s="379">
        <v>45785.586805555555</v>
      </c>
      <c r="B1565" s="382" t="s">
        <v>3624</v>
      </c>
      <c r="C1565" s="377" t="s">
        <v>5068</v>
      </c>
      <c r="D1565" s="6" t="str">
        <f>_xlfn.XLOOKUP(B1565,Indices!$A$2:$A$2676,Indices!$B$2:$B$2676,"")</f>
        <v/>
      </c>
    </row>
    <row r="1566" spans="1:4" x14ac:dyDescent="0.25">
      <c r="A1566" s="379">
        <v>45785.586805555555</v>
      </c>
      <c r="B1566" s="382" t="s">
        <v>2597</v>
      </c>
      <c r="C1566" s="377" t="s">
        <v>5068</v>
      </c>
      <c r="D1566" s="6" t="str">
        <f>_xlfn.XLOOKUP(B1566,Indices!$A$2:$A$2676,Indices!$B$2:$B$2676,"")</f>
        <v/>
      </c>
    </row>
    <row r="1567" spans="1:4" x14ac:dyDescent="0.25">
      <c r="A1567" s="379">
        <v>45785.586805555555</v>
      </c>
      <c r="B1567" s="382" t="s">
        <v>2971</v>
      </c>
      <c r="C1567" s="377" t="s">
        <v>5068</v>
      </c>
      <c r="D1567" s="6" t="str">
        <f>_xlfn.XLOOKUP(B1567,Indices!$A$2:$A$2676,Indices!$B$2:$B$2676,"")</f>
        <v/>
      </c>
    </row>
    <row r="1568" spans="1:4" x14ac:dyDescent="0.25">
      <c r="A1568" s="379">
        <v>45785.586805555555</v>
      </c>
      <c r="B1568" s="382" t="s">
        <v>3601</v>
      </c>
      <c r="C1568" s="377" t="s">
        <v>5068</v>
      </c>
      <c r="D1568" s="6" t="str">
        <f>_xlfn.XLOOKUP(B1568,Indices!$A$2:$A$2676,Indices!$B$2:$B$2676,"")</f>
        <v/>
      </c>
    </row>
    <row r="1569" spans="1:4" x14ac:dyDescent="0.25">
      <c r="A1569" s="379">
        <v>45785.586805555555</v>
      </c>
      <c r="B1569" s="382" t="s">
        <v>675</v>
      </c>
      <c r="C1569" s="377" t="s">
        <v>5068</v>
      </c>
      <c r="D1569" s="6" t="str">
        <f>_xlfn.XLOOKUP(B1569,Indices!$A$2:$A$2676,Indices!$B$2:$B$2676,"")</f>
        <v>IWM</v>
      </c>
    </row>
    <row r="1570" spans="1:4" x14ac:dyDescent="0.25">
      <c r="A1570" s="379">
        <v>45785.586805555555</v>
      </c>
      <c r="B1570" s="382" t="s">
        <v>684</v>
      </c>
      <c r="C1570" s="377" t="s">
        <v>5068</v>
      </c>
      <c r="D1570" s="6" t="str">
        <f>_xlfn.XLOOKUP(B1570,Indices!$A$2:$A$2676,Indices!$B$2:$B$2676,"")</f>
        <v>IWM</v>
      </c>
    </row>
    <row r="1571" spans="1:4" x14ac:dyDescent="0.25">
      <c r="A1571" s="379">
        <v>45785.586805555555</v>
      </c>
      <c r="B1571" s="382" t="s">
        <v>3789</v>
      </c>
      <c r="C1571" s="377" t="s">
        <v>5068</v>
      </c>
      <c r="D1571" s="6" t="str">
        <f>_xlfn.XLOOKUP(B1571,Indices!$A$2:$A$2676,Indices!$B$2:$B$2676,"")</f>
        <v/>
      </c>
    </row>
    <row r="1572" spans="1:4" x14ac:dyDescent="0.25">
      <c r="A1572" s="379">
        <v>45785.586805555555</v>
      </c>
      <c r="B1572" s="382" t="s">
        <v>958</v>
      </c>
      <c r="C1572" s="377" t="s">
        <v>5068</v>
      </c>
      <c r="D1572" s="6" t="str">
        <f>_xlfn.XLOOKUP(B1572,Indices!$A$2:$A$2676,Indices!$B$2:$B$2676,"")</f>
        <v>IWM</v>
      </c>
    </row>
    <row r="1573" spans="1:4" x14ac:dyDescent="0.25">
      <c r="A1573" s="379">
        <v>45785.586805555555</v>
      </c>
      <c r="B1573" s="382" t="s">
        <v>2334</v>
      </c>
      <c r="C1573" s="377" t="s">
        <v>5068</v>
      </c>
      <c r="D1573" s="6" t="str">
        <f>_xlfn.XLOOKUP(B1573,Indices!$A$2:$A$2676,Indices!$B$2:$B$2676,"")</f>
        <v>S&amp;P Mid</v>
      </c>
    </row>
    <row r="1574" spans="1:4" x14ac:dyDescent="0.25">
      <c r="A1574" s="379">
        <v>45785.586805555555</v>
      </c>
      <c r="B1574" s="382" t="s">
        <v>3339</v>
      </c>
      <c r="C1574" s="377" t="s">
        <v>5068</v>
      </c>
      <c r="D1574" s="6" t="str">
        <f>_xlfn.XLOOKUP(B1574,Indices!$A$2:$A$2676,Indices!$B$2:$B$2676,"")</f>
        <v/>
      </c>
    </row>
    <row r="1575" spans="1:4" x14ac:dyDescent="0.25">
      <c r="A1575" s="379">
        <v>45785.586805555555</v>
      </c>
      <c r="B1575" s="382" t="s">
        <v>2247</v>
      </c>
      <c r="C1575" s="377" t="s">
        <v>5068</v>
      </c>
      <c r="D1575" s="6" t="str">
        <f>_xlfn.XLOOKUP(B1575,Indices!$A$2:$A$2676,Indices!$B$2:$B$2676,"")</f>
        <v>IWM</v>
      </c>
    </row>
    <row r="1576" spans="1:4" x14ac:dyDescent="0.25">
      <c r="A1576" s="379">
        <v>45785.586805555555</v>
      </c>
      <c r="B1576" s="382" t="s">
        <v>692</v>
      </c>
      <c r="C1576" s="377" t="s">
        <v>5068</v>
      </c>
      <c r="D1576" s="6" t="str">
        <f>_xlfn.XLOOKUP(B1576,Indices!$A$2:$A$2676,Indices!$B$2:$B$2676,"")</f>
        <v>IWM</v>
      </c>
    </row>
    <row r="1577" spans="1:4" x14ac:dyDescent="0.25">
      <c r="A1577" s="379">
        <v>45785.586805555555</v>
      </c>
      <c r="B1577" s="382" t="s">
        <v>3573</v>
      </c>
      <c r="C1577" s="377" t="s">
        <v>5068</v>
      </c>
      <c r="D1577" s="6" t="str">
        <f>_xlfn.XLOOKUP(B1577,Indices!$A$2:$A$2676,Indices!$B$2:$B$2676,"")</f>
        <v/>
      </c>
    </row>
    <row r="1578" spans="1:4" x14ac:dyDescent="0.25">
      <c r="A1578" s="379">
        <v>45785.586805555555</v>
      </c>
      <c r="B1578" s="382" t="s">
        <v>3344</v>
      </c>
      <c r="C1578" s="377" t="s">
        <v>5068</v>
      </c>
      <c r="D1578" s="6" t="str">
        <f>_xlfn.XLOOKUP(B1578,Indices!$A$2:$A$2676,Indices!$B$2:$B$2676,"")</f>
        <v/>
      </c>
    </row>
    <row r="1579" spans="1:4" x14ac:dyDescent="0.25">
      <c r="A1579" s="379">
        <v>45785.586805555555</v>
      </c>
      <c r="B1579" s="382" t="s">
        <v>1587</v>
      </c>
      <c r="C1579" s="377" t="s">
        <v>5068</v>
      </c>
      <c r="D1579" s="6" t="str">
        <f>_xlfn.XLOOKUP(B1579,Indices!$A$2:$A$2676,Indices!$B$2:$B$2676,"")</f>
        <v>SP500</v>
      </c>
    </row>
    <row r="1580" spans="1:4" x14ac:dyDescent="0.25">
      <c r="A1580" s="379">
        <v>45785.586805555555</v>
      </c>
      <c r="B1580" s="382" t="s">
        <v>3608</v>
      </c>
      <c r="C1580" s="377" t="s">
        <v>5068</v>
      </c>
      <c r="D1580" s="6" t="str">
        <f>_xlfn.XLOOKUP(B1580,Indices!$A$2:$A$2676,Indices!$B$2:$B$2676,"")</f>
        <v/>
      </c>
    </row>
    <row r="1581" spans="1:4" x14ac:dyDescent="0.25">
      <c r="A1581" s="379">
        <v>45785.586805555555</v>
      </c>
      <c r="B1581" s="382" t="s">
        <v>3340</v>
      </c>
      <c r="C1581" s="377" t="s">
        <v>5068</v>
      </c>
      <c r="D1581" s="6" t="str">
        <f>_xlfn.XLOOKUP(B1581,Indices!$A$2:$A$2676,Indices!$B$2:$B$2676,"")</f>
        <v/>
      </c>
    </row>
    <row r="1582" spans="1:4" x14ac:dyDescent="0.25">
      <c r="A1582" s="379">
        <v>45785.586805555555</v>
      </c>
      <c r="B1582" s="382" t="s">
        <v>694</v>
      </c>
      <c r="C1582" s="377" t="s">
        <v>5068</v>
      </c>
      <c r="D1582" s="6" t="str">
        <f>_xlfn.XLOOKUP(B1582,Indices!$A$2:$A$2676,Indices!$B$2:$B$2676,"")</f>
        <v>SP500</v>
      </c>
    </row>
    <row r="1583" spans="1:4" x14ac:dyDescent="0.25">
      <c r="A1583" s="379">
        <v>45785.586805555555</v>
      </c>
      <c r="B1583" s="382" t="s">
        <v>1034</v>
      </c>
      <c r="C1583" s="377" t="s">
        <v>5068</v>
      </c>
      <c r="D1583" s="6" t="str">
        <f>_xlfn.XLOOKUP(B1583,Indices!$A$2:$A$2676,Indices!$B$2:$B$2676,"")</f>
        <v>IWM</v>
      </c>
    </row>
    <row r="1584" spans="1:4" x14ac:dyDescent="0.25">
      <c r="A1584" s="379">
        <v>45785.586805555555</v>
      </c>
      <c r="B1584" s="382" t="s">
        <v>3178</v>
      </c>
      <c r="C1584" s="377" t="s">
        <v>5068</v>
      </c>
      <c r="D1584" s="6" t="str">
        <f>_xlfn.XLOOKUP(B1584,Indices!$A$2:$A$2676,Indices!$B$2:$B$2676,"")</f>
        <v/>
      </c>
    </row>
    <row r="1585" spans="1:4" x14ac:dyDescent="0.25">
      <c r="A1585" s="379">
        <v>45785.586805555555</v>
      </c>
      <c r="B1585" s="382" t="s">
        <v>3592</v>
      </c>
      <c r="C1585" s="377" t="s">
        <v>5068</v>
      </c>
      <c r="D1585" s="6" t="str">
        <f>_xlfn.XLOOKUP(B1585,Indices!$A$2:$A$2676,Indices!$B$2:$B$2676,"")</f>
        <v/>
      </c>
    </row>
    <row r="1586" spans="1:4" x14ac:dyDescent="0.25">
      <c r="A1586" s="379">
        <v>45785.586805555555</v>
      </c>
      <c r="B1586" s="382" t="s">
        <v>982</v>
      </c>
      <c r="C1586" s="377" t="s">
        <v>5068</v>
      </c>
      <c r="D1586" s="6" t="str">
        <f>_xlfn.XLOOKUP(B1586,Indices!$A$2:$A$2676,Indices!$B$2:$B$2676,"")</f>
        <v>IWM</v>
      </c>
    </row>
    <row r="1587" spans="1:4" x14ac:dyDescent="0.25">
      <c r="A1587" s="379">
        <v>45785.586805555555</v>
      </c>
      <c r="B1587" s="382" t="s">
        <v>1259</v>
      </c>
      <c r="C1587" s="377" t="s">
        <v>5068</v>
      </c>
      <c r="D1587" s="6" t="str">
        <f>_xlfn.XLOOKUP(B1587,Indices!$A$2:$A$2676,Indices!$B$2:$B$2676,"")</f>
        <v>IWM</v>
      </c>
    </row>
    <row r="1588" spans="1:4" x14ac:dyDescent="0.25">
      <c r="A1588" s="379">
        <v>45785.586805555555</v>
      </c>
      <c r="B1588" s="382" t="s">
        <v>3292</v>
      </c>
      <c r="C1588" s="377" t="s">
        <v>5068</v>
      </c>
      <c r="D1588" s="6" t="str">
        <f>_xlfn.XLOOKUP(B1588,Indices!$A$2:$A$2676,Indices!$B$2:$B$2676,"")</f>
        <v/>
      </c>
    </row>
    <row r="1589" spans="1:4" x14ac:dyDescent="0.25">
      <c r="A1589" s="379">
        <v>45785.586805555555</v>
      </c>
      <c r="B1589" s="382" t="s">
        <v>4020</v>
      </c>
      <c r="C1589" s="377" t="s">
        <v>5068</v>
      </c>
      <c r="D1589" s="6" t="str">
        <f>_xlfn.XLOOKUP(B1589,Indices!$A$2:$A$2676,Indices!$B$2:$B$2676,"")</f>
        <v/>
      </c>
    </row>
    <row r="1590" spans="1:4" x14ac:dyDescent="0.25">
      <c r="A1590" s="379">
        <v>45785.586805555555</v>
      </c>
      <c r="B1590" s="382" t="s">
        <v>2985</v>
      </c>
      <c r="C1590" s="377" t="s">
        <v>5068</v>
      </c>
      <c r="D1590" s="6" t="str">
        <f>_xlfn.XLOOKUP(B1590,Indices!$A$2:$A$2676,Indices!$B$2:$B$2676,"")</f>
        <v/>
      </c>
    </row>
    <row r="1591" spans="1:4" x14ac:dyDescent="0.25">
      <c r="A1591" s="379">
        <v>45785.586805555555</v>
      </c>
      <c r="B1591" s="382" t="s">
        <v>3596</v>
      </c>
      <c r="C1591" s="377" t="s">
        <v>5068</v>
      </c>
      <c r="D1591" s="6" t="str">
        <f>_xlfn.XLOOKUP(B1591,Indices!$A$2:$A$2676,Indices!$B$2:$B$2676,"")</f>
        <v/>
      </c>
    </row>
    <row r="1592" spans="1:4" x14ac:dyDescent="0.25">
      <c r="A1592" s="379">
        <v>45785.586805555555</v>
      </c>
      <c r="B1592" s="382" t="s">
        <v>2551</v>
      </c>
      <c r="C1592" s="377" t="s">
        <v>5068</v>
      </c>
      <c r="D1592" s="6" t="str">
        <f>_xlfn.XLOOKUP(B1592,Indices!$A$2:$A$2676,Indices!$B$2:$B$2676,"")</f>
        <v/>
      </c>
    </row>
    <row r="1593" spans="1:4" x14ac:dyDescent="0.25">
      <c r="A1593" s="379">
        <v>45785.586805555555</v>
      </c>
      <c r="B1593" s="382" t="s">
        <v>777</v>
      </c>
      <c r="C1593" s="377" t="s">
        <v>5068</v>
      </c>
      <c r="D1593" s="6" t="str">
        <f>_xlfn.XLOOKUP(B1593,Indices!$A$2:$A$2676,Indices!$B$2:$B$2676,"")</f>
        <v>IWM</v>
      </c>
    </row>
    <row r="1594" spans="1:4" x14ac:dyDescent="0.25">
      <c r="A1594" s="379">
        <v>45785.586805555555</v>
      </c>
      <c r="B1594" s="382" t="s">
        <v>971</v>
      </c>
      <c r="C1594" s="377" t="s">
        <v>5068</v>
      </c>
      <c r="D1594" s="6" t="str">
        <f>_xlfn.XLOOKUP(B1594,Indices!$A$2:$A$2676,Indices!$B$2:$B$2676,"")</f>
        <v>IWM</v>
      </c>
    </row>
    <row r="1595" spans="1:4" x14ac:dyDescent="0.25">
      <c r="A1595" s="379">
        <v>45785.586805555555</v>
      </c>
      <c r="B1595" s="382" t="s">
        <v>3531</v>
      </c>
      <c r="C1595" s="377" t="s">
        <v>5068</v>
      </c>
      <c r="D1595" s="6" t="str">
        <f>_xlfn.XLOOKUP(B1595,Indices!$A$2:$A$2676,Indices!$B$2:$B$2676,"")</f>
        <v/>
      </c>
    </row>
    <row r="1596" spans="1:4" x14ac:dyDescent="0.25">
      <c r="A1596" s="379">
        <v>45785.586805555555</v>
      </c>
      <c r="B1596" s="382" t="s">
        <v>966</v>
      </c>
      <c r="C1596" s="377" t="s">
        <v>5068</v>
      </c>
      <c r="D1596" s="6" t="str">
        <f>_xlfn.XLOOKUP(B1596,Indices!$A$2:$A$2676,Indices!$B$2:$B$2676,"")</f>
        <v>IWM</v>
      </c>
    </row>
    <row r="1597" spans="1:4" x14ac:dyDescent="0.25">
      <c r="A1597" s="379">
        <v>45785.586805555555</v>
      </c>
      <c r="B1597" s="382" t="s">
        <v>974</v>
      </c>
      <c r="C1597" s="377" t="s">
        <v>5068</v>
      </c>
      <c r="D1597" s="6" t="str">
        <f>_xlfn.XLOOKUP(B1597,Indices!$A$2:$A$2676,Indices!$B$2:$B$2676,"")</f>
        <v>IWM</v>
      </c>
    </row>
    <row r="1598" spans="1:4" x14ac:dyDescent="0.25">
      <c r="A1598" s="379">
        <v>45785.586805555555</v>
      </c>
      <c r="B1598" s="382" t="s">
        <v>685</v>
      </c>
      <c r="C1598" s="377" t="s">
        <v>5068</v>
      </c>
      <c r="D1598" s="6" t="str">
        <f>_xlfn.XLOOKUP(B1598,Indices!$A$2:$A$2676,Indices!$B$2:$B$2676,"")</f>
        <v>IWM</v>
      </c>
    </row>
    <row r="1599" spans="1:4" x14ac:dyDescent="0.25">
      <c r="A1599" s="379">
        <v>45785.586805555555</v>
      </c>
      <c r="B1599" s="382" t="s">
        <v>3593</v>
      </c>
      <c r="C1599" s="377" t="s">
        <v>5068</v>
      </c>
      <c r="D1599" s="6" t="str">
        <f>_xlfn.XLOOKUP(B1599,Indices!$A$2:$A$2676,Indices!$B$2:$B$2676,"")</f>
        <v/>
      </c>
    </row>
    <row r="1600" spans="1:4" x14ac:dyDescent="0.25">
      <c r="A1600" s="379">
        <v>45785.586805555555</v>
      </c>
      <c r="B1600" s="382" t="s">
        <v>3902</v>
      </c>
      <c r="C1600" s="377" t="s">
        <v>5068</v>
      </c>
      <c r="D1600" s="6" t="str">
        <f>_xlfn.XLOOKUP(B1600,Indices!$A$2:$A$2676,Indices!$B$2:$B$2676,"")</f>
        <v/>
      </c>
    </row>
    <row r="1601" spans="1:4" x14ac:dyDescent="0.25">
      <c r="A1601" s="379">
        <v>45785.586805555555</v>
      </c>
      <c r="B1601" s="382" t="s">
        <v>957</v>
      </c>
      <c r="C1601" s="377" t="s">
        <v>5068</v>
      </c>
      <c r="D1601" s="6" t="str">
        <f>_xlfn.XLOOKUP(B1601,Indices!$A$2:$A$2676,Indices!$B$2:$B$2676,"")</f>
        <v>IWM</v>
      </c>
    </row>
    <row r="1602" spans="1:4" x14ac:dyDescent="0.25">
      <c r="A1602" s="379">
        <v>45785.586805555555</v>
      </c>
      <c r="B1602" s="382" t="s">
        <v>400</v>
      </c>
      <c r="C1602" s="377" t="s">
        <v>5068</v>
      </c>
      <c r="D1602" s="6" t="str">
        <f>_xlfn.XLOOKUP(B1602,Indices!$A$2:$A$2676,Indices!$B$2:$B$2676,"")</f>
        <v>IWM</v>
      </c>
    </row>
    <row r="1603" spans="1:4" x14ac:dyDescent="0.25">
      <c r="A1603" s="379">
        <v>45785.586805555555</v>
      </c>
      <c r="B1603" s="382" t="s">
        <v>2426</v>
      </c>
      <c r="C1603" s="377" t="s">
        <v>5068</v>
      </c>
      <c r="D1603" s="6" t="str">
        <f>_xlfn.XLOOKUP(B1603,Indices!$A$2:$A$2676,Indices!$B$2:$B$2676,"")</f>
        <v>S&amp;P Mid</v>
      </c>
    </row>
    <row r="1604" spans="1:4" x14ac:dyDescent="0.25">
      <c r="A1604" s="379">
        <v>45785.586805555555</v>
      </c>
      <c r="B1604" s="382" t="s">
        <v>388</v>
      </c>
      <c r="C1604" s="377" t="s">
        <v>5068</v>
      </c>
      <c r="D1604" s="6" t="str">
        <f>_xlfn.XLOOKUP(B1604,Indices!$A$2:$A$2676,Indices!$B$2:$B$2676,"")</f>
        <v>IWM</v>
      </c>
    </row>
    <row r="1605" spans="1:4" x14ac:dyDescent="0.25">
      <c r="A1605" s="379">
        <v>45785.586805555555</v>
      </c>
      <c r="B1605" s="382" t="s">
        <v>731</v>
      </c>
      <c r="C1605" s="377" t="s">
        <v>5068</v>
      </c>
      <c r="D1605" s="6" t="str">
        <f>_xlfn.XLOOKUP(B1605,Indices!$A$2:$A$2676,Indices!$B$2:$B$2676,"")</f>
        <v>IWM</v>
      </c>
    </row>
    <row r="1606" spans="1:4" x14ac:dyDescent="0.25">
      <c r="A1606" s="379">
        <v>45785.586805555555</v>
      </c>
      <c r="B1606" s="382" t="s">
        <v>3373</v>
      </c>
      <c r="C1606" s="377" t="s">
        <v>5068</v>
      </c>
      <c r="D1606" s="6" t="str">
        <f>_xlfn.XLOOKUP(B1606,Indices!$A$2:$A$2676,Indices!$B$2:$B$2676,"")</f>
        <v/>
      </c>
    </row>
    <row r="1607" spans="1:4" x14ac:dyDescent="0.25">
      <c r="A1607" s="379">
        <v>45785.586805555555</v>
      </c>
      <c r="B1607" s="382" t="s">
        <v>3176</v>
      </c>
      <c r="C1607" s="377" t="s">
        <v>5068</v>
      </c>
      <c r="D1607" s="6" t="str">
        <f>_xlfn.XLOOKUP(B1607,Indices!$A$2:$A$2676,Indices!$B$2:$B$2676,"")</f>
        <v/>
      </c>
    </row>
    <row r="1608" spans="1:4" x14ac:dyDescent="0.25">
      <c r="A1608" s="379">
        <v>45785.586805555555</v>
      </c>
      <c r="B1608" s="382" t="s">
        <v>3560</v>
      </c>
      <c r="C1608" s="377" t="s">
        <v>5068</v>
      </c>
      <c r="D1608" s="6" t="str">
        <f>_xlfn.XLOOKUP(B1608,Indices!$A$2:$A$2676,Indices!$B$2:$B$2676,"")</f>
        <v/>
      </c>
    </row>
    <row r="1609" spans="1:4" x14ac:dyDescent="0.25">
      <c r="A1609" s="379">
        <v>45785.586805555555</v>
      </c>
      <c r="B1609" s="382" t="s">
        <v>3890</v>
      </c>
      <c r="C1609" s="377" t="s">
        <v>5068</v>
      </c>
      <c r="D1609" s="6" t="str">
        <f>_xlfn.XLOOKUP(B1609,Indices!$A$2:$A$2676,Indices!$B$2:$B$2676,"")</f>
        <v/>
      </c>
    </row>
    <row r="1610" spans="1:4" x14ac:dyDescent="0.25">
      <c r="A1610" s="379">
        <v>45785.586805555555</v>
      </c>
      <c r="B1610" s="382" t="s">
        <v>3832</v>
      </c>
      <c r="C1610" s="377" t="s">
        <v>5068</v>
      </c>
      <c r="D1610" s="6" t="str">
        <f>_xlfn.XLOOKUP(B1610,Indices!$A$2:$A$2676,Indices!$B$2:$B$2676,"")</f>
        <v/>
      </c>
    </row>
    <row r="1611" spans="1:4" x14ac:dyDescent="0.25">
      <c r="A1611" s="379">
        <v>45785.586805555555</v>
      </c>
      <c r="B1611" s="382" t="s">
        <v>761</v>
      </c>
      <c r="C1611" s="377" t="s">
        <v>5068</v>
      </c>
      <c r="D1611" s="6" t="str">
        <f>_xlfn.XLOOKUP(B1611,Indices!$A$2:$A$2676,Indices!$B$2:$B$2676,"")</f>
        <v>IWM</v>
      </c>
    </row>
    <row r="1612" spans="1:4" x14ac:dyDescent="0.25">
      <c r="A1612" s="379">
        <v>45785.586805555555</v>
      </c>
      <c r="B1612" s="382" t="s">
        <v>1944</v>
      </c>
      <c r="C1612" s="377" t="s">
        <v>5068</v>
      </c>
      <c r="D1612" s="6" t="str">
        <f>_xlfn.XLOOKUP(B1612,Indices!$A$2:$A$2676,Indices!$B$2:$B$2676,"")</f>
        <v>IWM</v>
      </c>
    </row>
    <row r="1613" spans="1:4" x14ac:dyDescent="0.25">
      <c r="A1613" s="379">
        <v>45785.586805555555</v>
      </c>
      <c r="B1613" s="382" t="s">
        <v>3584</v>
      </c>
      <c r="C1613" s="377" t="s">
        <v>5068</v>
      </c>
      <c r="D1613" s="6" t="str">
        <f>_xlfn.XLOOKUP(B1613,Indices!$A$2:$A$2676,Indices!$B$2:$B$2676,"")</f>
        <v/>
      </c>
    </row>
    <row r="1614" spans="1:4" x14ac:dyDescent="0.25">
      <c r="A1614" s="379">
        <v>45785.586805555555</v>
      </c>
      <c r="B1614" s="382" t="s">
        <v>959</v>
      </c>
      <c r="C1614" s="377" t="s">
        <v>5068</v>
      </c>
      <c r="D1614" s="6" t="str">
        <f>_xlfn.XLOOKUP(B1614,Indices!$A$2:$A$2676,Indices!$B$2:$B$2676,"")</f>
        <v>IWM</v>
      </c>
    </row>
    <row r="1615" spans="1:4" x14ac:dyDescent="0.25">
      <c r="A1615" s="379">
        <v>45785.586805555555</v>
      </c>
      <c r="B1615" s="382" t="s">
        <v>1794</v>
      </c>
      <c r="C1615" s="377" t="s">
        <v>5068</v>
      </c>
      <c r="D1615" s="6" t="str">
        <f>_xlfn.XLOOKUP(B1615,Indices!$A$2:$A$2676,Indices!$B$2:$B$2676,"")</f>
        <v>IWM</v>
      </c>
    </row>
    <row r="1616" spans="1:4" x14ac:dyDescent="0.25">
      <c r="A1616" s="379">
        <v>45785.586805555555</v>
      </c>
      <c r="B1616" s="382" t="s">
        <v>3317</v>
      </c>
      <c r="C1616" s="377" t="s">
        <v>5068</v>
      </c>
      <c r="D1616" s="6" t="str">
        <f>_xlfn.XLOOKUP(B1616,Indices!$A$2:$A$2676,Indices!$B$2:$B$2676,"")</f>
        <v/>
      </c>
    </row>
    <row r="1617" spans="1:4" x14ac:dyDescent="0.25">
      <c r="A1617" s="379">
        <v>45785.586805555555</v>
      </c>
      <c r="B1617" s="382" t="s">
        <v>862</v>
      </c>
      <c r="C1617" s="377" t="s">
        <v>5068</v>
      </c>
      <c r="D1617" s="6" t="str">
        <f>_xlfn.XLOOKUP(B1617,Indices!$A$2:$A$2676,Indices!$B$2:$B$2676,"")</f>
        <v>IWM</v>
      </c>
    </row>
    <row r="1618" spans="1:4" x14ac:dyDescent="0.25">
      <c r="A1618" s="379">
        <v>45785.586805555555</v>
      </c>
      <c r="B1618" s="382" t="s">
        <v>740</v>
      </c>
      <c r="C1618" s="377" t="s">
        <v>5068</v>
      </c>
      <c r="D1618" s="6" t="str">
        <f>_xlfn.XLOOKUP(B1618,Indices!$A$2:$A$2676,Indices!$B$2:$B$2676,"")</f>
        <v>IWM</v>
      </c>
    </row>
    <row r="1619" spans="1:4" x14ac:dyDescent="0.25">
      <c r="A1619" s="379">
        <v>45785.586805555555</v>
      </c>
      <c r="B1619" s="382" t="s">
        <v>3370</v>
      </c>
      <c r="C1619" s="377" t="s">
        <v>5068</v>
      </c>
      <c r="D1619" s="6" t="str">
        <f>_xlfn.XLOOKUP(B1619,Indices!$A$2:$A$2676,Indices!$B$2:$B$2676,"")</f>
        <v/>
      </c>
    </row>
    <row r="1620" spans="1:4" x14ac:dyDescent="0.25">
      <c r="A1620" s="379">
        <v>45785.586805555555</v>
      </c>
      <c r="B1620" s="382" t="s">
        <v>241</v>
      </c>
      <c r="C1620" s="377" t="s">
        <v>5068</v>
      </c>
      <c r="D1620" s="6" t="str">
        <f>_xlfn.XLOOKUP(B1620,Indices!$A$2:$A$2676,Indices!$B$2:$B$2676,"")</f>
        <v>IWM</v>
      </c>
    </row>
    <row r="1621" spans="1:4" x14ac:dyDescent="0.25">
      <c r="A1621" s="379">
        <v>45785.586805555555</v>
      </c>
      <c r="B1621" s="382" t="s">
        <v>3566</v>
      </c>
      <c r="C1621" s="377" t="s">
        <v>5068</v>
      </c>
      <c r="D1621" s="6" t="str">
        <f>_xlfn.XLOOKUP(B1621,Indices!$A$2:$A$2676,Indices!$B$2:$B$2676,"")</f>
        <v/>
      </c>
    </row>
    <row r="1622" spans="1:4" x14ac:dyDescent="0.25">
      <c r="A1622" s="379">
        <v>45785.586805555555</v>
      </c>
      <c r="B1622" s="382" t="s">
        <v>737</v>
      </c>
      <c r="C1622" s="377" t="s">
        <v>5068</v>
      </c>
      <c r="D1622" s="6" t="str">
        <f>_xlfn.XLOOKUP(B1622,Indices!$A$2:$A$2676,Indices!$B$2:$B$2676,"")</f>
        <v>IWM</v>
      </c>
    </row>
    <row r="1623" spans="1:4" x14ac:dyDescent="0.25">
      <c r="A1623" s="379">
        <v>45785.586805555555</v>
      </c>
      <c r="B1623" s="382" t="s">
        <v>756</v>
      </c>
      <c r="C1623" s="377" t="s">
        <v>5068</v>
      </c>
      <c r="D1623" s="6" t="str">
        <f>_xlfn.XLOOKUP(B1623,Indices!$A$2:$A$2676,Indices!$B$2:$B$2676,"")</f>
        <v>IWM</v>
      </c>
    </row>
    <row r="1624" spans="1:4" x14ac:dyDescent="0.25">
      <c r="A1624" s="379">
        <v>45785.586805555555</v>
      </c>
      <c r="B1624" s="382" t="s">
        <v>3646</v>
      </c>
      <c r="C1624" s="377" t="s">
        <v>5068</v>
      </c>
      <c r="D1624" s="6" t="str">
        <f>_xlfn.XLOOKUP(B1624,Indices!$A$2:$A$2676,Indices!$B$2:$B$2676,"")</f>
        <v/>
      </c>
    </row>
    <row r="1625" spans="1:4" x14ac:dyDescent="0.25">
      <c r="A1625" s="379">
        <v>45785.586805555555</v>
      </c>
      <c r="B1625" s="382" t="s">
        <v>734</v>
      </c>
      <c r="C1625" s="377" t="s">
        <v>5068</v>
      </c>
      <c r="D1625" s="6" t="str">
        <f>_xlfn.XLOOKUP(B1625,Indices!$A$2:$A$2676,Indices!$B$2:$B$2676,"")</f>
        <v>IWM</v>
      </c>
    </row>
    <row r="1626" spans="1:4" x14ac:dyDescent="0.25">
      <c r="A1626" s="379">
        <v>45785.586805555555</v>
      </c>
      <c r="B1626" s="382" t="s">
        <v>107</v>
      </c>
      <c r="C1626" s="377" t="s">
        <v>5068</v>
      </c>
      <c r="D1626" s="6" t="str">
        <f>_xlfn.XLOOKUP(B1626,Indices!$A$2:$A$2676,Indices!$B$2:$B$2676,"")</f>
        <v>IWM</v>
      </c>
    </row>
    <row r="1627" spans="1:4" x14ac:dyDescent="0.25">
      <c r="A1627" s="379">
        <v>45785.586805555555</v>
      </c>
      <c r="B1627" s="382" t="s">
        <v>3629</v>
      </c>
      <c r="C1627" s="377" t="s">
        <v>5068</v>
      </c>
      <c r="D1627" s="6" t="str">
        <f>_xlfn.XLOOKUP(B1627,Indices!$A$2:$A$2676,Indices!$B$2:$B$2676,"")</f>
        <v/>
      </c>
    </row>
    <row r="1628" spans="1:4" x14ac:dyDescent="0.25">
      <c r="A1628" s="379">
        <v>45785.586805555555</v>
      </c>
      <c r="B1628" s="382" t="s">
        <v>3295</v>
      </c>
      <c r="C1628" s="377" t="s">
        <v>5068</v>
      </c>
      <c r="D1628" s="6" t="str">
        <f>_xlfn.XLOOKUP(B1628,Indices!$A$2:$A$2676,Indices!$B$2:$B$2676,"")</f>
        <v/>
      </c>
    </row>
    <row r="1629" spans="1:4" x14ac:dyDescent="0.25">
      <c r="A1629" s="379">
        <v>45785.586805555555</v>
      </c>
      <c r="B1629" s="382" t="s">
        <v>3200</v>
      </c>
      <c r="C1629" s="377" t="s">
        <v>5068</v>
      </c>
      <c r="D1629" s="6" t="str">
        <f>_xlfn.XLOOKUP(B1629,Indices!$A$2:$A$2676,Indices!$B$2:$B$2676,"")</f>
        <v/>
      </c>
    </row>
    <row r="1630" spans="1:4" x14ac:dyDescent="0.25">
      <c r="A1630" s="379">
        <v>45785.586805555555</v>
      </c>
      <c r="B1630" s="382" t="s">
        <v>973</v>
      </c>
      <c r="C1630" s="377" t="s">
        <v>5068</v>
      </c>
      <c r="D1630" s="6" t="str">
        <f>_xlfn.XLOOKUP(B1630,Indices!$A$2:$A$2676,Indices!$B$2:$B$2676,"")</f>
        <v>IWM</v>
      </c>
    </row>
    <row r="1631" spans="1:4" x14ac:dyDescent="0.25">
      <c r="A1631" s="379">
        <v>45785.586805555555</v>
      </c>
      <c r="B1631" s="382" t="s">
        <v>766</v>
      </c>
      <c r="C1631" s="377" t="s">
        <v>5068</v>
      </c>
      <c r="D1631" s="6" t="str">
        <f>_xlfn.XLOOKUP(B1631,Indices!$A$2:$A$2676,Indices!$B$2:$B$2676,"")</f>
        <v>IWM</v>
      </c>
    </row>
    <row r="1632" spans="1:4" x14ac:dyDescent="0.25">
      <c r="A1632" s="379">
        <v>45785.586805555555</v>
      </c>
      <c r="B1632" s="382" t="s">
        <v>739</v>
      </c>
      <c r="C1632" s="377" t="s">
        <v>5068</v>
      </c>
      <c r="D1632" s="6" t="str">
        <f>_xlfn.XLOOKUP(B1632,Indices!$A$2:$A$2676,Indices!$B$2:$B$2676,"")</f>
        <v>IWM</v>
      </c>
    </row>
    <row r="1633" spans="1:4" x14ac:dyDescent="0.25">
      <c r="A1633" s="379">
        <v>45785.586805555555</v>
      </c>
      <c r="B1633" s="382" t="s">
        <v>764</v>
      </c>
      <c r="C1633" s="377" t="s">
        <v>5068</v>
      </c>
      <c r="D1633" s="6" t="str">
        <f>_xlfn.XLOOKUP(B1633,Indices!$A$2:$A$2676,Indices!$B$2:$B$2676,"")</f>
        <v>IWM</v>
      </c>
    </row>
    <row r="1634" spans="1:4" x14ac:dyDescent="0.25">
      <c r="A1634" s="379">
        <v>45785.586805555555</v>
      </c>
      <c r="B1634" s="382" t="s">
        <v>3539</v>
      </c>
      <c r="C1634" s="377" t="s">
        <v>5068</v>
      </c>
      <c r="D1634" s="6" t="str">
        <f>_xlfn.XLOOKUP(B1634,Indices!$A$2:$A$2676,Indices!$B$2:$B$2676,"")</f>
        <v/>
      </c>
    </row>
    <row r="1635" spans="1:4" x14ac:dyDescent="0.25">
      <c r="A1635" s="379">
        <v>45785.586805555555</v>
      </c>
      <c r="B1635" s="382" t="s">
        <v>3354</v>
      </c>
      <c r="C1635" s="377" t="s">
        <v>5068</v>
      </c>
      <c r="D1635" s="6" t="str">
        <f>_xlfn.XLOOKUP(B1635,Indices!$A$2:$A$2676,Indices!$B$2:$B$2676,"")</f>
        <v/>
      </c>
    </row>
    <row r="1636" spans="1:4" x14ac:dyDescent="0.25">
      <c r="A1636" s="379">
        <v>45785.586805555555</v>
      </c>
      <c r="B1636" s="382" t="s">
        <v>3617</v>
      </c>
      <c r="C1636" s="377" t="s">
        <v>5068</v>
      </c>
      <c r="D1636" s="6" t="str">
        <f>_xlfn.XLOOKUP(B1636,Indices!$A$2:$A$2676,Indices!$B$2:$B$2676,"")</f>
        <v/>
      </c>
    </row>
    <row r="1637" spans="1:4" x14ac:dyDescent="0.25">
      <c r="A1637" s="379">
        <v>45785.586805555555</v>
      </c>
      <c r="B1637" s="382" t="s">
        <v>762</v>
      </c>
      <c r="C1637" s="377" t="s">
        <v>5068</v>
      </c>
      <c r="D1637" s="6" t="str">
        <f>_xlfn.XLOOKUP(B1637,Indices!$A$2:$A$2676,Indices!$B$2:$B$2676,"")</f>
        <v>IWM</v>
      </c>
    </row>
    <row r="1638" spans="1:4" x14ac:dyDescent="0.25">
      <c r="A1638" s="379">
        <v>45785.586805555555</v>
      </c>
      <c r="B1638" s="382" t="s">
        <v>2058</v>
      </c>
      <c r="C1638" s="377" t="s">
        <v>5068</v>
      </c>
      <c r="D1638" s="6" t="str">
        <f>_xlfn.XLOOKUP(B1638,Indices!$A$2:$A$2676,Indices!$B$2:$B$2676,"")</f>
        <v>IWM</v>
      </c>
    </row>
    <row r="1639" spans="1:4" x14ac:dyDescent="0.25">
      <c r="A1639" s="379">
        <v>45785.586805555555</v>
      </c>
      <c r="B1639" s="382" t="s">
        <v>3658</v>
      </c>
      <c r="C1639" s="377" t="s">
        <v>5068</v>
      </c>
      <c r="D1639" s="6" t="str">
        <f>_xlfn.XLOOKUP(B1639,Indices!$A$2:$A$2676,Indices!$B$2:$B$2676,"")</f>
        <v/>
      </c>
    </row>
    <row r="1640" spans="1:4" x14ac:dyDescent="0.25">
      <c r="A1640" s="379">
        <v>45785.586805555555</v>
      </c>
      <c r="B1640" s="382" t="s">
        <v>3588</v>
      </c>
      <c r="C1640" s="377" t="s">
        <v>5068</v>
      </c>
      <c r="D1640" s="6" t="str">
        <f>_xlfn.XLOOKUP(B1640,Indices!$A$2:$A$2676,Indices!$B$2:$B$2676,"")</f>
        <v/>
      </c>
    </row>
    <row r="1641" spans="1:4" x14ac:dyDescent="0.25">
      <c r="A1641" s="379">
        <v>45785.586805555555</v>
      </c>
      <c r="B1641" s="382" t="s">
        <v>237</v>
      </c>
      <c r="C1641" s="377" t="s">
        <v>5068</v>
      </c>
      <c r="D1641" s="6" t="str">
        <f>_xlfn.XLOOKUP(B1641,Indices!$A$2:$A$2676,Indices!$B$2:$B$2676,"")</f>
        <v>IWM</v>
      </c>
    </row>
    <row r="1642" spans="1:4" x14ac:dyDescent="0.25">
      <c r="A1642" s="379">
        <v>45785.586805555555</v>
      </c>
      <c r="B1642" s="382" t="s">
        <v>3665</v>
      </c>
      <c r="C1642" s="377" t="s">
        <v>5068</v>
      </c>
      <c r="D1642" s="6" t="str">
        <f>_xlfn.XLOOKUP(B1642,Indices!$A$2:$A$2676,Indices!$B$2:$B$2676,"")</f>
        <v/>
      </c>
    </row>
    <row r="1643" spans="1:4" x14ac:dyDescent="0.25">
      <c r="A1643" s="379">
        <v>45785.586805555555</v>
      </c>
      <c r="B1643" s="382" t="s">
        <v>4159</v>
      </c>
      <c r="C1643" s="377" t="s">
        <v>5068</v>
      </c>
      <c r="D1643" s="6" t="str">
        <f>_xlfn.XLOOKUP(B1643,Indices!$A$2:$A$2676,Indices!$B$2:$B$2676,"")</f>
        <v/>
      </c>
    </row>
    <row r="1644" spans="1:4" x14ac:dyDescent="0.25">
      <c r="A1644" s="379">
        <v>45785.586805555555</v>
      </c>
      <c r="B1644" s="382" t="s">
        <v>728</v>
      </c>
      <c r="C1644" s="377" t="s">
        <v>5068</v>
      </c>
      <c r="D1644" s="6" t="str">
        <f>_xlfn.XLOOKUP(B1644,Indices!$A$2:$A$2676,Indices!$B$2:$B$2676,"")</f>
        <v>IWM</v>
      </c>
    </row>
    <row r="1645" spans="1:4" x14ac:dyDescent="0.25">
      <c r="A1645" s="379">
        <v>45785.586805555555</v>
      </c>
      <c r="B1645" s="382" t="s">
        <v>3563</v>
      </c>
      <c r="C1645" s="377" t="s">
        <v>5068</v>
      </c>
      <c r="D1645" s="6" t="str">
        <f>_xlfn.XLOOKUP(B1645,Indices!$A$2:$A$2676,Indices!$B$2:$B$2676,"")</f>
        <v/>
      </c>
    </row>
    <row r="1646" spans="1:4" x14ac:dyDescent="0.25">
      <c r="A1646" s="379">
        <v>45785.586805555555</v>
      </c>
      <c r="B1646" s="382" t="s">
        <v>690</v>
      </c>
      <c r="C1646" s="377" t="s">
        <v>5068</v>
      </c>
      <c r="D1646" s="6" t="str">
        <f>_xlfn.XLOOKUP(B1646,Indices!$A$2:$A$2676,Indices!$B$2:$B$2676,"")</f>
        <v>IWM</v>
      </c>
    </row>
    <row r="1647" spans="1:4" x14ac:dyDescent="0.25">
      <c r="A1647" s="379">
        <v>45785.586805555555</v>
      </c>
      <c r="B1647" s="382" t="s">
        <v>750</v>
      </c>
      <c r="C1647" s="377" t="s">
        <v>5068</v>
      </c>
      <c r="D1647" s="6" t="str">
        <f>_xlfn.XLOOKUP(B1647,Indices!$A$2:$A$2676,Indices!$B$2:$B$2676,"")</f>
        <v>IWM</v>
      </c>
    </row>
    <row r="1648" spans="1:4" x14ac:dyDescent="0.25">
      <c r="A1648" s="379">
        <v>45785.586805555555</v>
      </c>
      <c r="B1648" s="382" t="s">
        <v>757</v>
      </c>
      <c r="C1648" s="377" t="s">
        <v>5068</v>
      </c>
      <c r="D1648" s="6" t="str">
        <f>_xlfn.XLOOKUP(B1648,Indices!$A$2:$A$2676,Indices!$B$2:$B$2676,"")</f>
        <v>IWM</v>
      </c>
    </row>
    <row r="1649" spans="1:4" x14ac:dyDescent="0.25">
      <c r="A1649" s="460">
        <v>45785.586805555555</v>
      </c>
      <c r="B1649" t="s">
        <v>383</v>
      </c>
      <c r="C1649" t="s">
        <v>5068</v>
      </c>
      <c r="D1649" s="6" t="str">
        <f>_xlfn.XLOOKUP(B1649,Indices!$A$2:$A$2676,Indices!$B$2:$B$2676,"")</f>
        <v>IWM</v>
      </c>
    </row>
    <row r="1650" spans="1:4" x14ac:dyDescent="0.25">
      <c r="A1650" s="379">
        <v>45785.586805555555</v>
      </c>
      <c r="B1650" s="382" t="s">
        <v>3666</v>
      </c>
      <c r="C1650" s="377" t="s">
        <v>5068</v>
      </c>
      <c r="D1650" s="6" t="str">
        <f>_xlfn.XLOOKUP(B1650,Indices!$A$2:$A$2676,Indices!$B$2:$B$2676,"")</f>
        <v/>
      </c>
    </row>
    <row r="1651" spans="1:4" x14ac:dyDescent="0.25">
      <c r="A1651" s="379">
        <v>45785.586805555555</v>
      </c>
      <c r="B1651" s="382" t="s">
        <v>708</v>
      </c>
      <c r="C1651" s="377" t="s">
        <v>5068</v>
      </c>
      <c r="D1651" s="6" t="str">
        <f>_xlfn.XLOOKUP(B1651,Indices!$A$2:$A$2676,Indices!$B$2:$B$2676,"")</f>
        <v>IWM</v>
      </c>
    </row>
    <row r="1652" spans="1:4" x14ac:dyDescent="0.25">
      <c r="A1652" s="379">
        <v>45785.586805555555</v>
      </c>
      <c r="B1652" s="382" t="s">
        <v>1087</v>
      </c>
      <c r="C1652" s="377" t="s">
        <v>5068</v>
      </c>
      <c r="D1652" s="6" t="str">
        <f>_xlfn.XLOOKUP(B1652,Indices!$A$2:$A$2676,Indices!$B$2:$B$2676,"")</f>
        <v>IWM</v>
      </c>
    </row>
    <row r="1653" spans="1:4" x14ac:dyDescent="0.25">
      <c r="A1653" s="379">
        <v>45785.586805555555</v>
      </c>
      <c r="B1653" s="382" t="s">
        <v>3652</v>
      </c>
      <c r="C1653" s="377" t="s">
        <v>5068</v>
      </c>
      <c r="D1653" s="6" t="str">
        <f>_xlfn.XLOOKUP(B1653,Indices!$A$2:$A$2676,Indices!$B$2:$B$2676,"")</f>
        <v/>
      </c>
    </row>
    <row r="1654" spans="1:4" x14ac:dyDescent="0.25">
      <c r="A1654" s="379">
        <v>45785.586805555555</v>
      </c>
      <c r="B1654" s="382" t="s">
        <v>747</v>
      </c>
      <c r="C1654" s="377" t="s">
        <v>5068</v>
      </c>
      <c r="D1654" s="6" t="str">
        <f>_xlfn.XLOOKUP(B1654,Indices!$A$2:$A$2676,Indices!$B$2:$B$2676,"")</f>
        <v>IWM</v>
      </c>
    </row>
    <row r="1655" spans="1:4" x14ac:dyDescent="0.25">
      <c r="A1655" s="379">
        <v>45785.586805555555</v>
      </c>
      <c r="B1655" s="382" t="s">
        <v>357</v>
      </c>
      <c r="C1655" s="377" t="s">
        <v>5068</v>
      </c>
      <c r="D1655" s="6" t="str">
        <f>_xlfn.XLOOKUP(B1655,Indices!$A$2:$A$2676,Indices!$B$2:$B$2676,"")</f>
        <v>S&amp;P Mid</v>
      </c>
    </row>
    <row r="1656" spans="1:4" x14ac:dyDescent="0.25">
      <c r="A1656" s="379">
        <v>45785.586805555555</v>
      </c>
      <c r="B1656" s="382" t="s">
        <v>367</v>
      </c>
      <c r="C1656" s="377" t="s">
        <v>5068</v>
      </c>
      <c r="D1656" s="6" t="str">
        <f>_xlfn.XLOOKUP(B1656,Indices!$A$2:$A$2676,Indices!$B$2:$B$2676,"")</f>
        <v>IWM</v>
      </c>
    </row>
    <row r="1657" spans="1:4" x14ac:dyDescent="0.25">
      <c r="A1657" s="379">
        <v>45785.586805555555</v>
      </c>
      <c r="B1657" s="382" t="s">
        <v>3644</v>
      </c>
      <c r="C1657" s="377" t="s">
        <v>5068</v>
      </c>
      <c r="D1657" s="6" t="str">
        <f>_xlfn.XLOOKUP(B1657,Indices!$A$2:$A$2676,Indices!$B$2:$B$2676,"")</f>
        <v/>
      </c>
    </row>
    <row r="1658" spans="1:4" x14ac:dyDescent="0.25">
      <c r="A1658" s="379">
        <v>45785.586805555555</v>
      </c>
      <c r="B1658" s="382" t="s">
        <v>2226</v>
      </c>
      <c r="C1658" s="377" t="s">
        <v>5068</v>
      </c>
      <c r="D1658" s="6" t="str">
        <f>_xlfn.XLOOKUP(B1658,Indices!$A$2:$A$2676,Indices!$B$2:$B$2676,"")</f>
        <v>IWM</v>
      </c>
    </row>
    <row r="1659" spans="1:4" x14ac:dyDescent="0.25">
      <c r="A1659" s="379">
        <v>45785.586805555555</v>
      </c>
      <c r="B1659" s="382" t="s">
        <v>738</v>
      </c>
      <c r="C1659" s="377" t="s">
        <v>5068</v>
      </c>
      <c r="D1659" s="6" t="str">
        <f>_xlfn.XLOOKUP(B1659,Indices!$A$2:$A$2676,Indices!$B$2:$B$2676,"")</f>
        <v>IWM</v>
      </c>
    </row>
    <row r="1660" spans="1:4" x14ac:dyDescent="0.25">
      <c r="A1660" s="379">
        <v>45785.586805555555</v>
      </c>
      <c r="B1660" s="382" t="s">
        <v>688</v>
      </c>
      <c r="C1660" s="377" t="s">
        <v>5068</v>
      </c>
      <c r="D1660" s="6" t="str">
        <f>_xlfn.XLOOKUP(B1660,Indices!$A$2:$A$2676,Indices!$B$2:$B$2676,"")</f>
        <v>IWM</v>
      </c>
    </row>
    <row r="1661" spans="1:4" x14ac:dyDescent="0.25">
      <c r="A1661" s="379">
        <v>45785.586805555555</v>
      </c>
      <c r="B1661" s="382" t="s">
        <v>2156</v>
      </c>
      <c r="C1661" s="377" t="s">
        <v>5068</v>
      </c>
      <c r="D1661" s="6" t="str">
        <f>_xlfn.XLOOKUP(B1661,Indices!$A$2:$A$2676,Indices!$B$2:$B$2676,"")</f>
        <v>IWM</v>
      </c>
    </row>
    <row r="1662" spans="1:4" x14ac:dyDescent="0.25">
      <c r="A1662" s="379">
        <v>45785.586805555555</v>
      </c>
      <c r="B1662" s="382" t="s">
        <v>3376</v>
      </c>
      <c r="C1662" s="377" t="s">
        <v>5068</v>
      </c>
      <c r="D1662" s="6" t="str">
        <f>_xlfn.XLOOKUP(B1662,Indices!$A$2:$A$2676,Indices!$B$2:$B$2676,"")</f>
        <v/>
      </c>
    </row>
    <row r="1663" spans="1:4" x14ac:dyDescent="0.25">
      <c r="A1663" s="379">
        <v>45785.586805555555</v>
      </c>
      <c r="B1663" s="382" t="s">
        <v>3653</v>
      </c>
      <c r="C1663" s="377" t="s">
        <v>5068</v>
      </c>
      <c r="D1663" s="6" t="str">
        <f>_xlfn.XLOOKUP(B1663,Indices!$A$2:$A$2676,Indices!$B$2:$B$2676,"")</f>
        <v/>
      </c>
    </row>
    <row r="1664" spans="1:4" x14ac:dyDescent="0.25">
      <c r="A1664" s="379">
        <v>45785.586805555555</v>
      </c>
      <c r="B1664" s="382" t="s">
        <v>2568</v>
      </c>
      <c r="C1664" s="377" t="s">
        <v>5068</v>
      </c>
      <c r="D1664" s="6" t="str">
        <f>_xlfn.XLOOKUP(B1664,Indices!$A$2:$A$2676,Indices!$B$2:$B$2676,"")</f>
        <v/>
      </c>
    </row>
    <row r="1665" spans="1:4" x14ac:dyDescent="0.25">
      <c r="A1665" s="379">
        <v>45785.586805555555</v>
      </c>
      <c r="B1665" s="382" t="s">
        <v>1761</v>
      </c>
      <c r="C1665" s="377" t="s">
        <v>5068</v>
      </c>
      <c r="D1665" s="6" t="str">
        <f>_xlfn.XLOOKUP(B1665,Indices!$A$2:$A$2676,Indices!$B$2:$B$2676,"")</f>
        <v>IWM</v>
      </c>
    </row>
    <row r="1666" spans="1:4" x14ac:dyDescent="0.25">
      <c r="A1666" s="379">
        <v>45785.586805555555</v>
      </c>
      <c r="B1666" s="382" t="s">
        <v>717</v>
      </c>
      <c r="C1666" s="377" t="s">
        <v>5068</v>
      </c>
      <c r="D1666" s="6" t="str">
        <f>_xlfn.XLOOKUP(B1666,Indices!$A$2:$A$2676,Indices!$B$2:$B$2676,"")</f>
        <v>IWM</v>
      </c>
    </row>
    <row r="1667" spans="1:4" x14ac:dyDescent="0.25">
      <c r="A1667" s="379">
        <v>45785.586805555555</v>
      </c>
      <c r="B1667" s="382" t="s">
        <v>375</v>
      </c>
      <c r="C1667" s="377" t="s">
        <v>5068</v>
      </c>
      <c r="D1667" s="6" t="str">
        <f>_xlfn.XLOOKUP(B1667,Indices!$A$2:$A$2676,Indices!$B$2:$B$2676,"")</f>
        <v>IWM</v>
      </c>
    </row>
    <row r="1668" spans="1:4" x14ac:dyDescent="0.25">
      <c r="A1668" s="379">
        <v>45785.586805555555</v>
      </c>
      <c r="B1668" s="382" t="s">
        <v>1133</v>
      </c>
      <c r="C1668" s="377" t="s">
        <v>5068</v>
      </c>
      <c r="D1668" s="6" t="str">
        <f>_xlfn.XLOOKUP(B1668,Indices!$A$2:$A$2676,Indices!$B$2:$B$2676,"")</f>
        <v>IWM</v>
      </c>
    </row>
    <row r="1669" spans="1:4" x14ac:dyDescent="0.25">
      <c r="A1669" s="379">
        <v>45785.586805555555</v>
      </c>
      <c r="B1669" s="382" t="s">
        <v>719</v>
      </c>
      <c r="C1669" s="377" t="s">
        <v>5068</v>
      </c>
      <c r="D1669" s="6" t="str">
        <f>_xlfn.XLOOKUP(B1669,Indices!$A$2:$A$2676,Indices!$B$2:$B$2676,"")</f>
        <v>IWM</v>
      </c>
    </row>
    <row r="1670" spans="1:4" x14ac:dyDescent="0.25">
      <c r="A1670" s="379">
        <v>45785.587500000001</v>
      </c>
      <c r="B1670" s="382" t="s">
        <v>1818</v>
      </c>
      <c r="C1670" s="377" t="s">
        <v>5070</v>
      </c>
      <c r="D1670" s="6" t="str">
        <f>_xlfn.XLOOKUP(B1670,Indices!$A$2:$A$2676,Indices!$B$2:$B$2676,"")</f>
        <v>IWM</v>
      </c>
    </row>
    <row r="1671" spans="1:4" x14ac:dyDescent="0.25">
      <c r="A1671" s="379">
        <v>45785.587500000001</v>
      </c>
      <c r="B1671" s="382" t="s">
        <v>979</v>
      </c>
      <c r="C1671" s="377" t="s">
        <v>5070</v>
      </c>
      <c r="D1671" s="6" t="str">
        <f>_xlfn.XLOOKUP(B1671,Indices!$A$2:$A$2676,Indices!$B$2:$B$2676,"")</f>
        <v>IWM</v>
      </c>
    </row>
    <row r="1672" spans="1:4" x14ac:dyDescent="0.25">
      <c r="A1672" s="379">
        <v>45785.587500000001</v>
      </c>
      <c r="B1672" s="382" t="s">
        <v>914</v>
      </c>
      <c r="C1672" s="377" t="s">
        <v>5070</v>
      </c>
      <c r="D1672" s="6" t="str">
        <f>_xlfn.XLOOKUP(B1672,Indices!$A$2:$A$2676,Indices!$B$2:$B$2676,"")</f>
        <v>IWM</v>
      </c>
    </row>
    <row r="1673" spans="1:4" x14ac:dyDescent="0.25">
      <c r="A1673" s="379">
        <v>45785.587500000001</v>
      </c>
      <c r="B1673" s="382" t="s">
        <v>2518</v>
      </c>
      <c r="C1673" s="377" t="s">
        <v>5070</v>
      </c>
      <c r="D1673" s="6" t="str">
        <f>_xlfn.XLOOKUP(B1673,Indices!$A$2:$A$2676,Indices!$B$2:$B$2676,"")</f>
        <v/>
      </c>
    </row>
    <row r="1674" spans="1:4" x14ac:dyDescent="0.25">
      <c r="A1674" s="379">
        <v>45785.587500000001</v>
      </c>
      <c r="B1674" s="382" t="s">
        <v>768</v>
      </c>
      <c r="C1674" s="377" t="s">
        <v>5070</v>
      </c>
      <c r="D1674" s="6" t="str">
        <f>_xlfn.XLOOKUP(B1674,Indices!$A$2:$A$2676,Indices!$B$2:$B$2676,"")</f>
        <v>IWM</v>
      </c>
    </row>
    <row r="1675" spans="1:4" x14ac:dyDescent="0.25">
      <c r="A1675" s="379">
        <v>45785.588194444441</v>
      </c>
      <c r="B1675" s="382" t="s">
        <v>3166</v>
      </c>
      <c r="C1675" s="377" t="s">
        <v>5071</v>
      </c>
      <c r="D1675" s="6" t="str">
        <f>_xlfn.XLOOKUP(B1675,Indices!$A$2:$A$2676,Indices!$B$2:$B$2676,"")</f>
        <v/>
      </c>
    </row>
    <row r="1676" spans="1:4" x14ac:dyDescent="0.25">
      <c r="A1676" s="379">
        <v>45785.588194444441</v>
      </c>
      <c r="B1676" s="382" t="s">
        <v>710</v>
      </c>
      <c r="C1676" s="377" t="s">
        <v>5071</v>
      </c>
      <c r="D1676" s="6" t="str">
        <f>_xlfn.XLOOKUP(B1676,Indices!$A$2:$A$2676,Indices!$B$2:$B$2676,"")</f>
        <v>IWM</v>
      </c>
    </row>
    <row r="1677" spans="1:4" x14ac:dyDescent="0.25">
      <c r="A1677" s="379">
        <v>45785.588194444441</v>
      </c>
      <c r="B1677" s="382" t="s">
        <v>987</v>
      </c>
      <c r="C1677" s="377" t="s">
        <v>5071</v>
      </c>
      <c r="D1677" s="6" t="str">
        <f>_xlfn.XLOOKUP(B1677,Indices!$A$2:$A$2676,Indices!$B$2:$B$2676,"")</f>
        <v>IWM</v>
      </c>
    </row>
    <row r="1678" spans="1:4" x14ac:dyDescent="0.25">
      <c r="A1678" s="379">
        <v>45785.588888888888</v>
      </c>
      <c r="B1678" s="382" t="s">
        <v>3632</v>
      </c>
      <c r="C1678" s="377" t="s">
        <v>5072</v>
      </c>
      <c r="D1678" s="6" t="str">
        <f>_xlfn.XLOOKUP(B1678,Indices!$A$2:$A$2676,Indices!$B$2:$B$2676,"")</f>
        <v/>
      </c>
    </row>
    <row r="1679" spans="1:4" x14ac:dyDescent="0.25">
      <c r="A1679" s="379">
        <v>45785.588888888888</v>
      </c>
      <c r="B1679" s="382" t="s">
        <v>780</v>
      </c>
      <c r="C1679" s="377" t="s">
        <v>5072</v>
      </c>
      <c r="D1679" s="6" t="str">
        <f>_xlfn.XLOOKUP(B1679,Indices!$A$2:$A$2676,Indices!$B$2:$B$2676,"")</f>
        <v>IWM</v>
      </c>
    </row>
    <row r="1680" spans="1:4" x14ac:dyDescent="0.25">
      <c r="A1680" s="379">
        <v>45785.588888888888</v>
      </c>
      <c r="B1680" s="382" t="s">
        <v>3582</v>
      </c>
      <c r="C1680" s="377" t="s">
        <v>5072</v>
      </c>
      <c r="D1680" s="6" t="str">
        <f>_xlfn.XLOOKUP(B1680,Indices!$A$2:$A$2676,Indices!$B$2:$B$2676,"")</f>
        <v/>
      </c>
    </row>
    <row r="1681" spans="1:4" x14ac:dyDescent="0.25">
      <c r="A1681" s="379">
        <v>45785.589583333334</v>
      </c>
      <c r="B1681" s="382" t="s">
        <v>3818</v>
      </c>
      <c r="C1681" s="377" t="s">
        <v>5073</v>
      </c>
      <c r="D1681" s="6" t="str">
        <f>_xlfn.XLOOKUP(B1681,Indices!$A$2:$A$2676,Indices!$B$2:$B$2676,"")</f>
        <v/>
      </c>
    </row>
    <row r="1682" spans="1:4" x14ac:dyDescent="0.25">
      <c r="A1682" s="379">
        <v>45785.589583333334</v>
      </c>
      <c r="B1682" s="382" t="s">
        <v>965</v>
      </c>
      <c r="C1682" s="377" t="s">
        <v>5073</v>
      </c>
      <c r="D1682" s="6" t="str">
        <f>_xlfn.XLOOKUP(B1682,Indices!$A$2:$A$2676,Indices!$B$2:$B$2676,"")</f>
        <v>IWM</v>
      </c>
    </row>
    <row r="1683" spans="1:4" x14ac:dyDescent="0.25">
      <c r="A1683" s="379">
        <v>45785.590277777781</v>
      </c>
      <c r="B1683" s="382" t="s">
        <v>3007</v>
      </c>
      <c r="C1683" s="377" t="s">
        <v>5074</v>
      </c>
      <c r="D1683" s="6" t="str">
        <f>_xlfn.XLOOKUP(B1683,Indices!$A$2:$A$2676,Indices!$B$2:$B$2676,"")</f>
        <v/>
      </c>
    </row>
    <row r="1684" spans="1:4" x14ac:dyDescent="0.25">
      <c r="A1684" s="379">
        <v>45785.590277777781</v>
      </c>
      <c r="B1684" s="382" t="s">
        <v>3580</v>
      </c>
      <c r="C1684" s="377" t="s">
        <v>5074</v>
      </c>
      <c r="D1684" s="6" t="str">
        <f>_xlfn.XLOOKUP(B1684,Indices!$A$2:$A$2676,Indices!$B$2:$B$2676,"")</f>
        <v/>
      </c>
    </row>
    <row r="1685" spans="1:4" x14ac:dyDescent="0.25">
      <c r="A1685" s="379">
        <v>45785.590277777781</v>
      </c>
      <c r="B1685" s="382" t="s">
        <v>687</v>
      </c>
      <c r="C1685" s="377" t="s">
        <v>5074</v>
      </c>
      <c r="D1685" s="6" t="str">
        <f>_xlfn.XLOOKUP(B1685,Indices!$A$2:$A$2676,Indices!$B$2:$B$2676,"")</f>
        <v>IWM</v>
      </c>
    </row>
    <row r="1686" spans="1:4" x14ac:dyDescent="0.25">
      <c r="A1686" s="379">
        <v>45785.590277777781</v>
      </c>
      <c r="B1686" s="382" t="s">
        <v>416</v>
      </c>
      <c r="C1686" s="377" t="s">
        <v>5074</v>
      </c>
      <c r="D1686" s="6" t="str">
        <f>_xlfn.XLOOKUP(B1686,Indices!$A$2:$A$2676,Indices!$B$2:$B$2676,"")</f>
        <v>SP500</v>
      </c>
    </row>
    <row r="1687" spans="1:4" x14ac:dyDescent="0.25">
      <c r="A1687" s="379">
        <v>45785.590277777781</v>
      </c>
      <c r="B1687" s="382" t="s">
        <v>3331</v>
      </c>
      <c r="C1687" s="377" t="s">
        <v>5074</v>
      </c>
      <c r="D1687" s="6" t="str">
        <f>_xlfn.XLOOKUP(B1687,Indices!$A$2:$A$2676,Indices!$B$2:$B$2676,"")</f>
        <v/>
      </c>
    </row>
    <row r="1688" spans="1:4" x14ac:dyDescent="0.25">
      <c r="A1688" s="379">
        <v>45785.590277777781</v>
      </c>
      <c r="B1688" s="382" t="s">
        <v>760</v>
      </c>
      <c r="C1688" s="377" t="s">
        <v>5074</v>
      </c>
      <c r="D1688" s="6" t="str">
        <f>_xlfn.XLOOKUP(B1688,Indices!$A$2:$A$2676,Indices!$B$2:$B$2676,"")</f>
        <v>IWM</v>
      </c>
    </row>
    <row r="1689" spans="1:4" x14ac:dyDescent="0.25">
      <c r="A1689" s="379">
        <v>45785.590277777781</v>
      </c>
      <c r="B1689" s="382" t="s">
        <v>1121</v>
      </c>
      <c r="C1689" s="377" t="s">
        <v>5074</v>
      </c>
      <c r="D1689" s="6" t="str">
        <f>_xlfn.XLOOKUP(B1689,Indices!$A$2:$A$2676,Indices!$B$2:$B$2676,"")</f>
        <v>IWM</v>
      </c>
    </row>
    <row r="1690" spans="1:4" x14ac:dyDescent="0.25">
      <c r="A1690" s="379">
        <v>45785.590277777781</v>
      </c>
      <c r="B1690" s="382" t="s">
        <v>733</v>
      </c>
      <c r="C1690" s="377" t="s">
        <v>5074</v>
      </c>
      <c r="D1690" s="6" t="str">
        <f>_xlfn.XLOOKUP(B1690,Indices!$A$2:$A$2676,Indices!$B$2:$B$2676,"")</f>
        <v>IWM</v>
      </c>
    </row>
    <row r="1691" spans="1:4" x14ac:dyDescent="0.25">
      <c r="A1691" s="379">
        <v>45785.590277777781</v>
      </c>
      <c r="B1691" s="382" t="s">
        <v>775</v>
      </c>
      <c r="C1691" s="377" t="s">
        <v>5074</v>
      </c>
      <c r="D1691" s="6" t="str">
        <f>_xlfn.XLOOKUP(B1691,Indices!$A$2:$A$2676,Indices!$B$2:$B$2676,"")</f>
        <v>SP500</v>
      </c>
    </row>
    <row r="1692" spans="1:4" x14ac:dyDescent="0.25">
      <c r="A1692" s="379">
        <v>45785.590277777781</v>
      </c>
      <c r="B1692" s="382" t="s">
        <v>3158</v>
      </c>
      <c r="C1692" s="377" t="s">
        <v>5074</v>
      </c>
      <c r="D1692" s="6" t="str">
        <f>_xlfn.XLOOKUP(B1692,Indices!$A$2:$A$2676,Indices!$B$2:$B$2676,"")</f>
        <v/>
      </c>
    </row>
    <row r="1693" spans="1:4" x14ac:dyDescent="0.25">
      <c r="A1693" s="379">
        <v>45785.590277777781</v>
      </c>
      <c r="B1693" s="382" t="s">
        <v>820</v>
      </c>
      <c r="C1693" s="377" t="s">
        <v>5074</v>
      </c>
      <c r="D1693" s="6" t="str">
        <f>_xlfn.XLOOKUP(B1693,Indices!$A$2:$A$2676,Indices!$B$2:$B$2676,"")</f>
        <v>IWM</v>
      </c>
    </row>
    <row r="1694" spans="1:4" x14ac:dyDescent="0.25">
      <c r="A1694" s="379">
        <v>45785.590277777781</v>
      </c>
      <c r="B1694" s="382" t="s">
        <v>773</v>
      </c>
      <c r="C1694" s="377" t="s">
        <v>5074</v>
      </c>
      <c r="D1694" s="6" t="str">
        <f>_xlfn.XLOOKUP(B1694,Indices!$A$2:$A$2676,Indices!$B$2:$B$2676,"")</f>
        <v>IWM</v>
      </c>
    </row>
    <row r="1695" spans="1:4" x14ac:dyDescent="0.25">
      <c r="A1695" s="379">
        <v>45785.590277777781</v>
      </c>
      <c r="B1695" s="382" t="s">
        <v>772</v>
      </c>
      <c r="C1695" s="377" t="s">
        <v>5074</v>
      </c>
      <c r="D1695" s="6" t="str">
        <f>_xlfn.XLOOKUP(B1695,Indices!$A$2:$A$2676,Indices!$B$2:$B$2676,"")</f>
        <v>IWM</v>
      </c>
    </row>
    <row r="1696" spans="1:4" x14ac:dyDescent="0.25">
      <c r="A1696" s="379">
        <v>45785.59097222222</v>
      </c>
      <c r="B1696" s="382" t="s">
        <v>983</v>
      </c>
      <c r="C1696" s="377" t="s">
        <v>5075</v>
      </c>
      <c r="D1696" s="6" t="str">
        <f>_xlfn.XLOOKUP(B1696,Indices!$A$2:$A$2676,Indices!$B$2:$B$2676,"")</f>
        <v>IWM</v>
      </c>
    </row>
    <row r="1697" spans="1:4" x14ac:dyDescent="0.25">
      <c r="A1697" s="379">
        <v>45785.592361111114</v>
      </c>
      <c r="B1697" s="382" t="s">
        <v>3633</v>
      </c>
      <c r="C1697" s="377" t="s">
        <v>5076</v>
      </c>
      <c r="D1697" s="6" t="str">
        <f>_xlfn.XLOOKUP(B1697,Indices!$A$2:$A$2676,Indices!$B$2:$B$2676,"")</f>
        <v/>
      </c>
    </row>
    <row r="1698" spans="1:4" x14ac:dyDescent="0.25">
      <c r="A1698" s="379">
        <v>45785.592361111114</v>
      </c>
      <c r="B1698" s="382" t="s">
        <v>113</v>
      </c>
      <c r="C1698" s="377" t="s">
        <v>5076</v>
      </c>
      <c r="D1698" s="6" t="str">
        <f>_xlfn.XLOOKUP(B1698,Indices!$A$2:$A$2676,Indices!$B$2:$B$2676,"")</f>
        <v>NQ100</v>
      </c>
    </row>
    <row r="1699" spans="1:4" x14ac:dyDescent="0.25">
      <c r="A1699" s="379">
        <v>45785.593055555553</v>
      </c>
      <c r="B1699" s="382" t="s">
        <v>822</v>
      </c>
      <c r="C1699" s="377" t="s">
        <v>5077</v>
      </c>
      <c r="D1699" s="6" t="str">
        <f>_xlfn.XLOOKUP(B1699,Indices!$A$2:$A$2676,Indices!$B$2:$B$2676,"")</f>
        <v>IWM</v>
      </c>
    </row>
    <row r="1700" spans="1:4" x14ac:dyDescent="0.25">
      <c r="A1700" s="379">
        <v>45785.593055555553</v>
      </c>
      <c r="B1700" s="382" t="s">
        <v>949</v>
      </c>
      <c r="C1700" s="377" t="s">
        <v>5077</v>
      </c>
      <c r="D1700" s="6" t="str">
        <f>_xlfn.XLOOKUP(B1700,Indices!$A$2:$A$2676,Indices!$B$2:$B$2676,"")</f>
        <v>IWM</v>
      </c>
    </row>
    <row r="1701" spans="1:4" x14ac:dyDescent="0.25">
      <c r="A1701" s="379">
        <v>45785.59375</v>
      </c>
      <c r="B1701" s="382" t="s">
        <v>3660</v>
      </c>
      <c r="C1701" s="377" t="s">
        <v>5078</v>
      </c>
      <c r="D1701" s="6" t="str">
        <f>_xlfn.XLOOKUP(B1701,Indices!$A$2:$A$2676,Indices!$B$2:$B$2676,"")</f>
        <v/>
      </c>
    </row>
    <row r="1702" spans="1:4" x14ac:dyDescent="0.25">
      <c r="A1702" s="379">
        <v>45785.59375</v>
      </c>
      <c r="B1702" s="382" t="s">
        <v>804</v>
      </c>
      <c r="C1702" s="377" t="s">
        <v>5078</v>
      </c>
      <c r="D1702" s="6" t="str">
        <f>_xlfn.XLOOKUP(B1702,Indices!$A$2:$A$2676,Indices!$B$2:$B$2676,"")</f>
        <v>IWM</v>
      </c>
    </row>
    <row r="1703" spans="1:4" x14ac:dyDescent="0.25">
      <c r="A1703" s="379">
        <v>45785.59375</v>
      </c>
      <c r="B1703" s="382" t="s">
        <v>995</v>
      </c>
      <c r="C1703" s="377" t="s">
        <v>5078</v>
      </c>
      <c r="D1703" s="6" t="str">
        <f>_xlfn.XLOOKUP(B1703,Indices!$A$2:$A$2676,Indices!$B$2:$B$2676,"")</f>
        <v>IWM</v>
      </c>
    </row>
    <row r="1704" spans="1:4" x14ac:dyDescent="0.25">
      <c r="A1704" s="379">
        <v>45785.59375</v>
      </c>
      <c r="B1704" s="382" t="s">
        <v>245</v>
      </c>
      <c r="C1704" s="377" t="s">
        <v>5078</v>
      </c>
      <c r="D1704" s="6" t="str">
        <f>_xlfn.XLOOKUP(B1704,Indices!$A$2:$A$2676,Indices!$B$2:$B$2676,"")</f>
        <v>SP500</v>
      </c>
    </row>
    <row r="1705" spans="1:4" x14ac:dyDescent="0.25">
      <c r="A1705" s="379">
        <v>45785.59375</v>
      </c>
      <c r="B1705" s="382" t="s">
        <v>3607</v>
      </c>
      <c r="C1705" s="377" t="s">
        <v>5078</v>
      </c>
      <c r="D1705" s="6" t="str">
        <f>_xlfn.XLOOKUP(B1705,Indices!$A$2:$A$2676,Indices!$B$2:$B$2676,"")</f>
        <v/>
      </c>
    </row>
    <row r="1706" spans="1:4" x14ac:dyDescent="0.25">
      <c r="A1706" s="379">
        <v>45785.59375</v>
      </c>
      <c r="B1706" s="382" t="s">
        <v>3784</v>
      </c>
      <c r="C1706" s="377" t="s">
        <v>5078</v>
      </c>
      <c r="D1706" s="6" t="str">
        <f>_xlfn.XLOOKUP(B1706,Indices!$A$2:$A$2676,Indices!$B$2:$B$2676,"")</f>
        <v/>
      </c>
    </row>
    <row r="1707" spans="1:4" x14ac:dyDescent="0.25">
      <c r="A1707" s="379">
        <v>45785.59375</v>
      </c>
      <c r="B1707" s="382" t="s">
        <v>3610</v>
      </c>
      <c r="C1707" s="377" t="s">
        <v>5078</v>
      </c>
      <c r="D1707" s="6" t="str">
        <f>_xlfn.XLOOKUP(B1707,Indices!$A$2:$A$2676,Indices!$B$2:$B$2676,"")</f>
        <v/>
      </c>
    </row>
    <row r="1708" spans="1:4" x14ac:dyDescent="0.25">
      <c r="A1708" s="379">
        <v>45785.59375</v>
      </c>
      <c r="B1708" s="382" t="s">
        <v>784</v>
      </c>
      <c r="C1708" s="377" t="s">
        <v>5078</v>
      </c>
      <c r="D1708" s="6" t="str">
        <f>_xlfn.XLOOKUP(B1708,Indices!$A$2:$A$2676,Indices!$B$2:$B$2676,"")</f>
        <v>IWM</v>
      </c>
    </row>
    <row r="1709" spans="1:4" x14ac:dyDescent="0.25">
      <c r="A1709" s="379">
        <v>45785.59375</v>
      </c>
      <c r="B1709" s="382" t="s">
        <v>1745</v>
      </c>
      <c r="C1709" s="377" t="s">
        <v>5078</v>
      </c>
      <c r="D1709" s="6" t="str">
        <f>_xlfn.XLOOKUP(B1709,Indices!$A$2:$A$2676,Indices!$B$2:$B$2676,"")</f>
        <v>IWM</v>
      </c>
    </row>
    <row r="1710" spans="1:4" x14ac:dyDescent="0.25">
      <c r="A1710" s="379">
        <v>45785.59375</v>
      </c>
      <c r="B1710" s="382" t="s">
        <v>3706</v>
      </c>
      <c r="C1710" s="377" t="s">
        <v>5078</v>
      </c>
      <c r="D1710" s="6" t="str">
        <f>_xlfn.XLOOKUP(B1710,Indices!$A$2:$A$2676,Indices!$B$2:$B$2676,"")</f>
        <v/>
      </c>
    </row>
    <row r="1711" spans="1:4" x14ac:dyDescent="0.25">
      <c r="A1711" s="379">
        <v>45785.59375</v>
      </c>
      <c r="B1711" s="382" t="s">
        <v>796</v>
      </c>
      <c r="C1711" s="377" t="s">
        <v>5078</v>
      </c>
      <c r="D1711" s="6" t="str">
        <f>_xlfn.XLOOKUP(B1711,Indices!$A$2:$A$2676,Indices!$B$2:$B$2676,"")</f>
        <v>IWM</v>
      </c>
    </row>
    <row r="1712" spans="1:4" x14ac:dyDescent="0.25">
      <c r="A1712" s="379">
        <v>45785.59375</v>
      </c>
      <c r="B1712" s="382" t="s">
        <v>988</v>
      </c>
      <c r="C1712" s="377" t="s">
        <v>5078</v>
      </c>
      <c r="D1712" s="6" t="str">
        <f>_xlfn.XLOOKUP(B1712,Indices!$A$2:$A$2676,Indices!$B$2:$B$2676,"")</f>
        <v>IWM</v>
      </c>
    </row>
    <row r="1713" spans="1:4" x14ac:dyDescent="0.25">
      <c r="A1713" s="379">
        <v>45785.59375</v>
      </c>
      <c r="B1713" s="382" t="s">
        <v>3564</v>
      </c>
      <c r="C1713" s="377" t="s">
        <v>5078</v>
      </c>
      <c r="D1713" s="6" t="str">
        <f>_xlfn.XLOOKUP(B1713,Indices!$A$2:$A$2676,Indices!$B$2:$B$2676,"")</f>
        <v/>
      </c>
    </row>
    <row r="1714" spans="1:4" x14ac:dyDescent="0.25">
      <c r="A1714" s="379">
        <v>45785.59375</v>
      </c>
      <c r="B1714" s="382" t="s">
        <v>3823</v>
      </c>
      <c r="C1714" s="377" t="s">
        <v>5078</v>
      </c>
      <c r="D1714" s="6" t="str">
        <f>_xlfn.XLOOKUP(B1714,Indices!$A$2:$A$2676,Indices!$B$2:$B$2676,"")</f>
        <v/>
      </c>
    </row>
    <row r="1715" spans="1:4" x14ac:dyDescent="0.25">
      <c r="A1715" s="379">
        <v>45785.59375</v>
      </c>
      <c r="B1715" s="382" t="s">
        <v>3758</v>
      </c>
      <c r="C1715" s="377" t="s">
        <v>5078</v>
      </c>
      <c r="D1715" s="6" t="str">
        <f>_xlfn.XLOOKUP(B1715,Indices!$A$2:$A$2676,Indices!$B$2:$B$2676,"")</f>
        <v/>
      </c>
    </row>
    <row r="1716" spans="1:4" x14ac:dyDescent="0.25">
      <c r="A1716" s="379">
        <v>45785.59375</v>
      </c>
      <c r="B1716" s="382" t="s">
        <v>806</v>
      </c>
      <c r="C1716" s="377" t="s">
        <v>5078</v>
      </c>
      <c r="D1716" s="6" t="str">
        <f>_xlfn.XLOOKUP(B1716,Indices!$A$2:$A$2676,Indices!$B$2:$B$2676,"")</f>
        <v>IWM</v>
      </c>
    </row>
    <row r="1717" spans="1:4" x14ac:dyDescent="0.25">
      <c r="A1717" s="379">
        <v>45785.59375</v>
      </c>
      <c r="B1717" s="382" t="s">
        <v>3540</v>
      </c>
      <c r="C1717" s="377" t="s">
        <v>5078</v>
      </c>
      <c r="D1717" s="6" t="str">
        <f>_xlfn.XLOOKUP(B1717,Indices!$A$2:$A$2676,Indices!$B$2:$B$2676,"")</f>
        <v/>
      </c>
    </row>
    <row r="1718" spans="1:4" x14ac:dyDescent="0.25">
      <c r="A1718" s="379">
        <v>45785.59375</v>
      </c>
      <c r="B1718" s="382" t="s">
        <v>967</v>
      </c>
      <c r="C1718" s="377" t="s">
        <v>5078</v>
      </c>
      <c r="D1718" s="6" t="str">
        <f>_xlfn.XLOOKUP(B1718,Indices!$A$2:$A$2676,Indices!$B$2:$B$2676,"")</f>
        <v>IWM</v>
      </c>
    </row>
    <row r="1719" spans="1:4" x14ac:dyDescent="0.25">
      <c r="A1719" s="379">
        <v>45785.59375</v>
      </c>
      <c r="B1719" s="382" t="s">
        <v>801</v>
      </c>
      <c r="C1719" s="377" t="s">
        <v>5078</v>
      </c>
      <c r="D1719" s="6" t="str">
        <f>_xlfn.XLOOKUP(B1719,Indices!$A$2:$A$2676,Indices!$B$2:$B$2676,"")</f>
        <v>IWM</v>
      </c>
    </row>
    <row r="1720" spans="1:4" x14ac:dyDescent="0.25">
      <c r="A1720" s="379">
        <v>45785.59375</v>
      </c>
      <c r="B1720" s="382" t="s">
        <v>4019</v>
      </c>
      <c r="C1720" s="377" t="s">
        <v>5078</v>
      </c>
      <c r="D1720" s="6" t="str">
        <f>_xlfn.XLOOKUP(B1720,Indices!$A$2:$A$2676,Indices!$B$2:$B$2676,"")</f>
        <v/>
      </c>
    </row>
    <row r="1721" spans="1:4" x14ac:dyDescent="0.25">
      <c r="A1721" s="379">
        <v>45785.59375</v>
      </c>
      <c r="B1721" s="382" t="s">
        <v>2981</v>
      </c>
      <c r="C1721" s="377" t="s">
        <v>5078</v>
      </c>
      <c r="D1721" s="6" t="str">
        <f>_xlfn.XLOOKUP(B1721,Indices!$A$2:$A$2676,Indices!$B$2:$B$2676,"")</f>
        <v/>
      </c>
    </row>
    <row r="1722" spans="1:4" x14ac:dyDescent="0.25">
      <c r="A1722" s="379">
        <v>45785.59375</v>
      </c>
      <c r="B1722" s="382" t="s">
        <v>2980</v>
      </c>
      <c r="C1722" s="377" t="s">
        <v>5078</v>
      </c>
      <c r="D1722" s="6" t="str">
        <f>_xlfn.XLOOKUP(B1722,Indices!$A$2:$A$2676,Indices!$B$2:$B$2676,"")</f>
        <v/>
      </c>
    </row>
    <row r="1723" spans="1:4" x14ac:dyDescent="0.25">
      <c r="A1723" s="379">
        <v>45785.59375</v>
      </c>
      <c r="B1723" s="382" t="s">
        <v>749</v>
      </c>
      <c r="C1723" s="377" t="s">
        <v>5078</v>
      </c>
      <c r="D1723" s="6" t="str">
        <f>_xlfn.XLOOKUP(B1723,Indices!$A$2:$A$2676,Indices!$B$2:$B$2676,"")</f>
        <v>IWM</v>
      </c>
    </row>
    <row r="1724" spans="1:4" x14ac:dyDescent="0.25">
      <c r="A1724" s="379">
        <v>45785.59375</v>
      </c>
      <c r="B1724" s="382" t="s">
        <v>255</v>
      </c>
      <c r="C1724" s="377" t="s">
        <v>5078</v>
      </c>
      <c r="D1724" s="6" t="str">
        <f>_xlfn.XLOOKUP(B1724,Indices!$A$2:$A$2676,Indices!$B$2:$B$2676,"")</f>
        <v>S&amp;P Mid</v>
      </c>
    </row>
    <row r="1725" spans="1:4" x14ac:dyDescent="0.25">
      <c r="A1725" s="379">
        <v>45785.59375</v>
      </c>
      <c r="B1725" s="382" t="s">
        <v>2043</v>
      </c>
      <c r="C1725" s="377" t="s">
        <v>5078</v>
      </c>
      <c r="D1725" s="6" t="str">
        <f>_xlfn.XLOOKUP(B1725,Indices!$A$2:$A$2676,Indices!$B$2:$B$2676,"")</f>
        <v>IWM</v>
      </c>
    </row>
    <row r="1726" spans="1:4" x14ac:dyDescent="0.25">
      <c r="A1726" s="379">
        <v>45785.59375</v>
      </c>
      <c r="B1726" s="382" t="s">
        <v>791</v>
      </c>
      <c r="C1726" s="377" t="s">
        <v>5078</v>
      </c>
      <c r="D1726" s="6" t="str">
        <f>_xlfn.XLOOKUP(B1726,Indices!$A$2:$A$2676,Indices!$B$2:$B$2676,"")</f>
        <v>SP500</v>
      </c>
    </row>
    <row r="1727" spans="1:4" x14ac:dyDescent="0.25">
      <c r="A1727" s="379">
        <v>45785.59375</v>
      </c>
      <c r="B1727" s="382" t="s">
        <v>4120</v>
      </c>
      <c r="C1727" s="377" t="s">
        <v>5078</v>
      </c>
      <c r="D1727" s="6" t="str">
        <f>_xlfn.XLOOKUP(B1727,Indices!$A$2:$A$2676,Indices!$B$2:$B$2676,"")</f>
        <v/>
      </c>
    </row>
    <row r="1728" spans="1:4" x14ac:dyDescent="0.25">
      <c r="A1728" s="379">
        <v>45785.59375</v>
      </c>
      <c r="B1728" s="382" t="s">
        <v>789</v>
      </c>
      <c r="C1728" s="377" t="s">
        <v>5078</v>
      </c>
      <c r="D1728" s="6" t="str">
        <f>_xlfn.XLOOKUP(B1728,Indices!$A$2:$A$2676,Indices!$B$2:$B$2676,"")</f>
        <v>IWM</v>
      </c>
    </row>
    <row r="1729" spans="1:4" x14ac:dyDescent="0.25">
      <c r="A1729" s="379">
        <v>45785.59375</v>
      </c>
      <c r="B1729" s="382" t="s">
        <v>792</v>
      </c>
      <c r="C1729" s="377" t="s">
        <v>5078</v>
      </c>
      <c r="D1729" s="6" t="str">
        <f>_xlfn.XLOOKUP(B1729,Indices!$A$2:$A$2676,Indices!$B$2:$B$2676,"")</f>
        <v>S&amp;P Mid</v>
      </c>
    </row>
    <row r="1730" spans="1:4" x14ac:dyDescent="0.25">
      <c r="A1730" s="379">
        <v>45785.59375</v>
      </c>
      <c r="B1730" s="382" t="s">
        <v>1860</v>
      </c>
      <c r="C1730" s="377" t="s">
        <v>5078</v>
      </c>
      <c r="D1730" s="6" t="str">
        <f>_xlfn.XLOOKUP(B1730,Indices!$A$2:$A$2676,Indices!$B$2:$B$2676,"")</f>
        <v>IWM</v>
      </c>
    </row>
    <row r="1731" spans="1:4" x14ac:dyDescent="0.25">
      <c r="A1731" s="379">
        <v>45785.59375</v>
      </c>
      <c r="B1731" s="382" t="s">
        <v>3215</v>
      </c>
      <c r="C1731" s="377" t="s">
        <v>5078</v>
      </c>
      <c r="D1731" s="6" t="str">
        <f>_xlfn.XLOOKUP(B1731,Indices!$A$2:$A$2676,Indices!$B$2:$B$2676,"")</f>
        <v/>
      </c>
    </row>
    <row r="1732" spans="1:4" x14ac:dyDescent="0.25">
      <c r="A1732" s="379">
        <v>45785.59375</v>
      </c>
      <c r="B1732" s="382" t="s">
        <v>798</v>
      </c>
      <c r="C1732" s="377" t="s">
        <v>5078</v>
      </c>
      <c r="D1732" s="6" t="str">
        <f>_xlfn.XLOOKUP(B1732,Indices!$A$2:$A$2676,Indices!$B$2:$B$2676,"")</f>
        <v>SP500</v>
      </c>
    </row>
    <row r="1733" spans="1:4" x14ac:dyDescent="0.25">
      <c r="A1733" s="379">
        <v>45785.59375</v>
      </c>
      <c r="B1733" s="382" t="s">
        <v>989</v>
      </c>
      <c r="C1733" s="377" t="s">
        <v>5078</v>
      </c>
      <c r="D1733" s="6" t="str">
        <f>_xlfn.XLOOKUP(B1733,Indices!$A$2:$A$2676,Indices!$B$2:$B$2676,"")</f>
        <v>IWM</v>
      </c>
    </row>
    <row r="1734" spans="1:4" x14ac:dyDescent="0.25">
      <c r="A1734" s="379">
        <v>45785.59375</v>
      </c>
      <c r="B1734" s="382" t="s">
        <v>799</v>
      </c>
      <c r="C1734" s="377" t="s">
        <v>5078</v>
      </c>
      <c r="D1734" s="6" t="str">
        <f>_xlfn.XLOOKUP(B1734,Indices!$A$2:$A$2676,Indices!$B$2:$B$2676,"")</f>
        <v>IWM</v>
      </c>
    </row>
    <row r="1735" spans="1:4" x14ac:dyDescent="0.25">
      <c r="A1735" s="379">
        <v>45785.59375</v>
      </c>
      <c r="B1735" s="382" t="s">
        <v>3766</v>
      </c>
      <c r="C1735" s="377" t="s">
        <v>5078</v>
      </c>
      <c r="D1735" s="6" t="str">
        <f>_xlfn.XLOOKUP(B1735,Indices!$A$2:$A$2676,Indices!$B$2:$B$2676,"")</f>
        <v/>
      </c>
    </row>
    <row r="1736" spans="1:4" x14ac:dyDescent="0.25">
      <c r="A1736" s="379">
        <v>45785.59375</v>
      </c>
      <c r="B1736" s="382" t="s">
        <v>645</v>
      </c>
      <c r="C1736" s="377" t="s">
        <v>5078</v>
      </c>
      <c r="D1736" s="6" t="str">
        <f>_xlfn.XLOOKUP(B1736,Indices!$A$2:$A$2676,Indices!$B$2:$B$2676,"")</f>
        <v>IWM</v>
      </c>
    </row>
    <row r="1737" spans="1:4" x14ac:dyDescent="0.25">
      <c r="A1737" s="379">
        <v>45785.59375</v>
      </c>
      <c r="B1737" s="382" t="s">
        <v>3287</v>
      </c>
      <c r="C1737" s="377" t="s">
        <v>5078</v>
      </c>
      <c r="D1737" s="6" t="str">
        <f>_xlfn.XLOOKUP(B1737,Indices!$A$2:$A$2676,Indices!$B$2:$B$2676,"")</f>
        <v/>
      </c>
    </row>
    <row r="1738" spans="1:4" x14ac:dyDescent="0.25">
      <c r="A1738" s="379">
        <v>45785.59375</v>
      </c>
      <c r="B1738" s="382" t="s">
        <v>3622</v>
      </c>
      <c r="C1738" s="377" t="s">
        <v>5078</v>
      </c>
      <c r="D1738" s="6" t="str">
        <f>_xlfn.XLOOKUP(B1738,Indices!$A$2:$A$2676,Indices!$B$2:$B$2676,"")</f>
        <v/>
      </c>
    </row>
    <row r="1739" spans="1:4" x14ac:dyDescent="0.25">
      <c r="A1739" s="379">
        <v>45785.59375</v>
      </c>
      <c r="B1739" s="382" t="s">
        <v>3638</v>
      </c>
      <c r="C1739" s="377" t="s">
        <v>5078</v>
      </c>
      <c r="D1739" s="6" t="str">
        <f>_xlfn.XLOOKUP(B1739,Indices!$A$2:$A$2676,Indices!$B$2:$B$2676,"")</f>
        <v/>
      </c>
    </row>
    <row r="1740" spans="1:4" x14ac:dyDescent="0.25">
      <c r="A1740" s="379">
        <v>45785.59375</v>
      </c>
      <c r="B1740" s="382" t="s">
        <v>3006</v>
      </c>
      <c r="C1740" s="377" t="s">
        <v>5078</v>
      </c>
      <c r="D1740" s="6" t="str">
        <f>_xlfn.XLOOKUP(B1740,Indices!$A$2:$A$2676,Indices!$B$2:$B$2676,"")</f>
        <v/>
      </c>
    </row>
    <row r="1741" spans="1:4" x14ac:dyDescent="0.25">
      <c r="A1741" s="379">
        <v>45785.59375</v>
      </c>
      <c r="B1741" s="382" t="s">
        <v>3643</v>
      </c>
      <c r="C1741" s="377" t="s">
        <v>5078</v>
      </c>
      <c r="D1741" s="6" t="str">
        <f>_xlfn.XLOOKUP(B1741,Indices!$A$2:$A$2676,Indices!$B$2:$B$2676,"")</f>
        <v/>
      </c>
    </row>
    <row r="1742" spans="1:4" x14ac:dyDescent="0.25">
      <c r="A1742" s="379">
        <v>45785.59375</v>
      </c>
      <c r="B1742" s="382" t="s">
        <v>3494</v>
      </c>
      <c r="C1742" s="377" t="s">
        <v>5078</v>
      </c>
      <c r="D1742" s="6" t="str">
        <f>_xlfn.XLOOKUP(B1742,Indices!$A$2:$A$2676,Indices!$B$2:$B$2676,"")</f>
        <v/>
      </c>
    </row>
    <row r="1743" spans="1:4" x14ac:dyDescent="0.25">
      <c r="A1743" s="379">
        <v>45785.59375</v>
      </c>
      <c r="B1743" s="382" t="s">
        <v>3002</v>
      </c>
      <c r="C1743" s="377" t="s">
        <v>5078</v>
      </c>
      <c r="D1743" s="6" t="str">
        <f>_xlfn.XLOOKUP(B1743,Indices!$A$2:$A$2676,Indices!$B$2:$B$2676,"")</f>
        <v/>
      </c>
    </row>
    <row r="1744" spans="1:4" x14ac:dyDescent="0.25">
      <c r="A1744" s="379">
        <v>45785.59375</v>
      </c>
      <c r="B1744" s="382" t="s">
        <v>2576</v>
      </c>
      <c r="C1744" s="377" t="s">
        <v>5078</v>
      </c>
      <c r="D1744" s="6" t="str">
        <f>_xlfn.XLOOKUP(B1744,Indices!$A$2:$A$2676,Indices!$B$2:$B$2676,"")</f>
        <v/>
      </c>
    </row>
    <row r="1745" spans="1:4" x14ac:dyDescent="0.25">
      <c r="A1745" s="379">
        <v>45785.595138888886</v>
      </c>
      <c r="B1745" s="382" t="s">
        <v>1649</v>
      </c>
      <c r="C1745" s="377" t="s">
        <v>5079</v>
      </c>
      <c r="D1745" s="6" t="str">
        <f>_xlfn.XLOOKUP(B1745,Indices!$A$2:$A$2676,Indices!$B$2:$B$2676,"")</f>
        <v>IWM</v>
      </c>
    </row>
    <row r="1746" spans="1:4" x14ac:dyDescent="0.25">
      <c r="A1746" s="379">
        <v>45785.597916666666</v>
      </c>
      <c r="B1746" s="382" t="s">
        <v>3562</v>
      </c>
      <c r="C1746" s="377" t="s">
        <v>5080</v>
      </c>
      <c r="D1746" s="6" t="str">
        <f>_xlfn.XLOOKUP(B1746,Indices!$A$2:$A$2676,Indices!$B$2:$B$2676,"")</f>
        <v/>
      </c>
    </row>
    <row r="1747" spans="1:4" x14ac:dyDescent="0.25">
      <c r="A1747" s="379">
        <v>45785.598611111112</v>
      </c>
      <c r="B1747" s="382" t="s">
        <v>2177</v>
      </c>
      <c r="C1747" s="377" t="s">
        <v>5081</v>
      </c>
      <c r="D1747" s="6" t="str">
        <f>_xlfn.XLOOKUP(B1747,Indices!$A$2:$A$2676,Indices!$B$2:$B$2676,"")</f>
        <v>IWM</v>
      </c>
    </row>
    <row r="1748" spans="1:4" x14ac:dyDescent="0.25">
      <c r="A1748" s="379">
        <v>45785.599999999999</v>
      </c>
      <c r="B1748" s="382" t="s">
        <v>2794</v>
      </c>
      <c r="C1748" s="377" t="s">
        <v>5082</v>
      </c>
      <c r="D1748" s="6" t="str">
        <f>_xlfn.XLOOKUP(B1748,Indices!$A$2:$A$2676,Indices!$B$2:$B$2676,"")</f>
        <v/>
      </c>
    </row>
    <row r="1749" spans="1:4" x14ac:dyDescent="0.25">
      <c r="A1749" s="379">
        <v>45785.604166666664</v>
      </c>
      <c r="B1749" s="382" t="s">
        <v>2598</v>
      </c>
      <c r="C1749" s="377" t="s">
        <v>5083</v>
      </c>
      <c r="D1749" s="6" t="str">
        <f>_xlfn.XLOOKUP(B1749,Indices!$A$2:$A$2676,Indices!$B$2:$B$2676,"")</f>
        <v/>
      </c>
    </row>
    <row r="1750" spans="1:4" x14ac:dyDescent="0.25">
      <c r="A1750" s="379">
        <v>45785.604166666664</v>
      </c>
      <c r="B1750" s="382" t="s">
        <v>808</v>
      </c>
      <c r="C1750" s="377" t="s">
        <v>5083</v>
      </c>
      <c r="D1750" s="6" t="str">
        <f>_xlfn.XLOOKUP(B1750,Indices!$A$2:$A$2676,Indices!$B$2:$B$2676,"")</f>
        <v>IWM</v>
      </c>
    </row>
    <row r="1751" spans="1:4" x14ac:dyDescent="0.25">
      <c r="A1751" s="379">
        <v>45785.604166666664</v>
      </c>
      <c r="B1751" s="382" t="s">
        <v>999</v>
      </c>
      <c r="C1751" s="377" t="s">
        <v>5083</v>
      </c>
      <c r="D1751" s="6" t="str">
        <f>_xlfn.XLOOKUP(B1751,Indices!$A$2:$A$2676,Indices!$B$2:$B$2676,"")</f>
        <v>IWM</v>
      </c>
    </row>
    <row r="1752" spans="1:4" x14ac:dyDescent="0.25">
      <c r="A1752" s="379">
        <v>45785.604166666664</v>
      </c>
      <c r="B1752" s="382" t="s">
        <v>3589</v>
      </c>
      <c r="C1752" s="377" t="s">
        <v>5083</v>
      </c>
      <c r="D1752" s="6" t="str">
        <f>_xlfn.XLOOKUP(B1752,Indices!$A$2:$A$2676,Indices!$B$2:$B$2676,"")</f>
        <v/>
      </c>
    </row>
    <row r="1753" spans="1:4" x14ac:dyDescent="0.25">
      <c r="A1753" s="379">
        <v>45785.604861111111</v>
      </c>
      <c r="B1753" s="382" t="s">
        <v>2880</v>
      </c>
      <c r="C1753" s="377" t="s">
        <v>5084</v>
      </c>
      <c r="D1753" s="6" t="str">
        <f>_xlfn.XLOOKUP(B1753,Indices!$A$2:$A$2676,Indices!$B$2:$B$2676,"")</f>
        <v/>
      </c>
    </row>
    <row r="1754" spans="1:4" x14ac:dyDescent="0.25">
      <c r="A1754" s="379">
        <v>45785.604861111111</v>
      </c>
      <c r="B1754" s="382" t="s">
        <v>1043</v>
      </c>
      <c r="C1754" s="377" t="s">
        <v>5084</v>
      </c>
      <c r="D1754" s="6" t="str">
        <f>_xlfn.XLOOKUP(B1754,Indices!$A$2:$A$2676,Indices!$B$2:$B$2676,"")</f>
        <v>IWM</v>
      </c>
    </row>
    <row r="1755" spans="1:4" x14ac:dyDescent="0.25">
      <c r="A1755" s="379">
        <v>45785.605555555558</v>
      </c>
      <c r="B1755" s="382" t="s">
        <v>3995</v>
      </c>
      <c r="C1755" s="377" t="s">
        <v>5085</v>
      </c>
      <c r="D1755" s="6" t="str">
        <f>_xlfn.XLOOKUP(B1755,Indices!$A$2:$A$2676,Indices!$B$2:$B$2676,"")</f>
        <v/>
      </c>
    </row>
    <row r="1756" spans="1:4" x14ac:dyDescent="0.25">
      <c r="A1756" s="379">
        <v>45785.611111111109</v>
      </c>
      <c r="B1756" s="382" t="s">
        <v>5086</v>
      </c>
      <c r="C1756" s="377" t="s">
        <v>5087</v>
      </c>
      <c r="D1756" s="6" t="str">
        <f>_xlfn.XLOOKUP(B1756,Indices!$A$2:$A$2676,Indices!$B$2:$B$2676,"")</f>
        <v/>
      </c>
    </row>
    <row r="1757" spans="1:4" x14ac:dyDescent="0.25">
      <c r="A1757" s="379">
        <v>45785.614583333336</v>
      </c>
      <c r="B1757" s="382" t="s">
        <v>260</v>
      </c>
      <c r="C1757" s="377" t="s">
        <v>5088</v>
      </c>
      <c r="D1757" s="6" t="str">
        <f>_xlfn.XLOOKUP(B1757,Indices!$A$2:$A$2676,Indices!$B$2:$B$2676,"")</f>
        <v>IWM</v>
      </c>
    </row>
    <row r="1758" spans="1:4" x14ac:dyDescent="0.25">
      <c r="A1758" s="379">
        <v>45785.614583333336</v>
      </c>
      <c r="B1758" s="382" t="s">
        <v>741</v>
      </c>
      <c r="C1758" s="377" t="s">
        <v>5088</v>
      </c>
      <c r="D1758" s="6" t="str">
        <f>_xlfn.XLOOKUP(B1758,Indices!$A$2:$A$2676,Indices!$B$2:$B$2676,"")</f>
        <v>IWM</v>
      </c>
    </row>
    <row r="1759" spans="1:4" x14ac:dyDescent="0.25">
      <c r="A1759" s="379">
        <v>45785.614583333336</v>
      </c>
      <c r="B1759" s="382" t="s">
        <v>3333</v>
      </c>
      <c r="C1759" s="377" t="s">
        <v>5088</v>
      </c>
      <c r="D1759" s="6" t="str">
        <f>_xlfn.XLOOKUP(B1759,Indices!$A$2:$A$2676,Indices!$B$2:$B$2676,"")</f>
        <v/>
      </c>
    </row>
    <row r="1760" spans="1:4" x14ac:dyDescent="0.25">
      <c r="A1760" s="379">
        <v>45785.618750000001</v>
      </c>
      <c r="B1760" s="382" t="s">
        <v>3600</v>
      </c>
      <c r="C1760" s="377" t="s">
        <v>5089</v>
      </c>
      <c r="D1760" s="6" t="str">
        <f>_xlfn.XLOOKUP(B1760,Indices!$A$2:$A$2676,Indices!$B$2:$B$2676,"")</f>
        <v/>
      </c>
    </row>
    <row r="1761" spans="1:4" x14ac:dyDescent="0.25">
      <c r="A1761" s="379">
        <v>45785.618750000001</v>
      </c>
      <c r="B1761" s="382" t="s">
        <v>3169</v>
      </c>
      <c r="C1761" s="377" t="s">
        <v>5089</v>
      </c>
      <c r="D1761" s="6" t="str">
        <f>_xlfn.XLOOKUP(B1761,Indices!$A$2:$A$2676,Indices!$B$2:$B$2676,"")</f>
        <v/>
      </c>
    </row>
    <row r="1762" spans="1:4" x14ac:dyDescent="0.25">
      <c r="A1762" s="379">
        <v>45785.619444444441</v>
      </c>
      <c r="B1762" s="382" t="s">
        <v>2993</v>
      </c>
      <c r="C1762" s="377" t="s">
        <v>5090</v>
      </c>
      <c r="D1762" s="6" t="str">
        <f>_xlfn.XLOOKUP(B1762,Indices!$A$2:$A$2676,Indices!$B$2:$B$2676,"")</f>
        <v/>
      </c>
    </row>
    <row r="1763" spans="1:4" x14ac:dyDescent="0.25">
      <c r="A1763" s="379">
        <v>45785.620138888888</v>
      </c>
      <c r="B1763" s="382" t="s">
        <v>3812</v>
      </c>
      <c r="C1763" s="377" t="s">
        <v>5091</v>
      </c>
      <c r="D1763" s="6" t="str">
        <f>_xlfn.XLOOKUP(B1763,Indices!$A$2:$A$2676,Indices!$B$2:$B$2676,"")</f>
        <v/>
      </c>
    </row>
    <row r="1764" spans="1:4" x14ac:dyDescent="0.25">
      <c r="A1764" s="379">
        <v>45785.620138888888</v>
      </c>
      <c r="B1764" s="382" t="s">
        <v>2978</v>
      </c>
      <c r="C1764" s="377" t="s">
        <v>5091</v>
      </c>
      <c r="D1764" s="6" t="str">
        <f>_xlfn.XLOOKUP(B1764,Indices!$A$2:$A$2676,Indices!$B$2:$B$2676,"")</f>
        <v/>
      </c>
    </row>
    <row r="1765" spans="1:4" x14ac:dyDescent="0.25">
      <c r="A1765" s="379">
        <v>45785.621527777781</v>
      </c>
      <c r="B1765" s="382" t="s">
        <v>3575</v>
      </c>
      <c r="C1765" s="377" t="s">
        <v>5092</v>
      </c>
      <c r="D1765" s="6" t="str">
        <f>_xlfn.XLOOKUP(B1765,Indices!$A$2:$A$2676,Indices!$B$2:$B$2676,"")</f>
        <v/>
      </c>
    </row>
    <row r="1766" spans="1:4" x14ac:dyDescent="0.25">
      <c r="A1766" s="379">
        <v>45785.625</v>
      </c>
      <c r="B1766" s="382" t="s">
        <v>3639</v>
      </c>
      <c r="C1766" s="377" t="s">
        <v>3528</v>
      </c>
      <c r="D1766" s="6" t="str">
        <f>_xlfn.XLOOKUP(B1766,Indices!$A$2:$A$2676,Indices!$B$2:$B$2676,"")</f>
        <v/>
      </c>
    </row>
    <row r="1767" spans="1:4" x14ac:dyDescent="0.25">
      <c r="A1767" s="379">
        <v>45785.625</v>
      </c>
      <c r="B1767" s="382" t="s">
        <v>998</v>
      </c>
      <c r="C1767" s="377" t="s">
        <v>3528</v>
      </c>
      <c r="D1767" s="6" t="str">
        <f>_xlfn.XLOOKUP(B1767,Indices!$A$2:$A$2676,Indices!$B$2:$B$2676,"")</f>
        <v>IWM</v>
      </c>
    </row>
    <row r="1768" spans="1:4" x14ac:dyDescent="0.25">
      <c r="A1768" s="379">
        <v>45785.625</v>
      </c>
      <c r="B1768" s="382" t="s">
        <v>226</v>
      </c>
      <c r="C1768" s="377" t="s">
        <v>3528</v>
      </c>
      <c r="D1768" s="6" t="str">
        <f>_xlfn.XLOOKUP(B1768,Indices!$A$2:$A$2676,Indices!$B$2:$B$2676,"")</f>
        <v>IWM</v>
      </c>
    </row>
    <row r="1769" spans="1:4" x14ac:dyDescent="0.25">
      <c r="A1769" s="379">
        <v>45785.625</v>
      </c>
      <c r="B1769" s="382" t="s">
        <v>2865</v>
      </c>
      <c r="C1769" s="377" t="s">
        <v>3528</v>
      </c>
      <c r="D1769" s="6" t="str">
        <f>_xlfn.XLOOKUP(B1769,Indices!$A$2:$A$2676,Indices!$B$2:$B$2676,"")</f>
        <v/>
      </c>
    </row>
    <row r="1770" spans="1:4" x14ac:dyDescent="0.25">
      <c r="A1770" s="379">
        <v>45785.625</v>
      </c>
      <c r="B1770" s="382" t="s">
        <v>1069</v>
      </c>
      <c r="C1770" s="377" t="s">
        <v>5093</v>
      </c>
      <c r="D1770" s="6" t="str">
        <f>_xlfn.XLOOKUP(B1770,Indices!$A$2:$A$2676,Indices!$B$2:$B$2676,"")</f>
        <v>S&amp;P Mid</v>
      </c>
    </row>
    <row r="1771" spans="1:4" x14ac:dyDescent="0.25">
      <c r="A1771" s="379">
        <v>45785.625</v>
      </c>
      <c r="B1771" s="382" t="s">
        <v>3667</v>
      </c>
      <c r="C1771" s="377" t="s">
        <v>5093</v>
      </c>
      <c r="D1771" s="6" t="str">
        <f>_xlfn.XLOOKUP(B1771,Indices!$A$2:$A$2676,Indices!$B$2:$B$2676,"")</f>
        <v/>
      </c>
    </row>
    <row r="1772" spans="1:4" x14ac:dyDescent="0.25">
      <c r="A1772" s="379">
        <v>45785.625</v>
      </c>
      <c r="B1772" s="382" t="s">
        <v>3532</v>
      </c>
      <c r="C1772" s="377" t="s">
        <v>3528</v>
      </c>
      <c r="D1772" s="6" t="str">
        <f>_xlfn.XLOOKUP(B1772,Indices!$A$2:$A$2676,Indices!$B$2:$B$2676,"")</f>
        <v/>
      </c>
    </row>
    <row r="1773" spans="1:4" x14ac:dyDescent="0.25">
      <c r="A1773" s="379">
        <v>45785.625</v>
      </c>
      <c r="B1773" s="382" t="s">
        <v>787</v>
      </c>
      <c r="C1773" s="377" t="s">
        <v>5093</v>
      </c>
      <c r="D1773" s="6" t="str">
        <f>_xlfn.XLOOKUP(B1773,Indices!$A$2:$A$2676,Indices!$B$2:$B$2676,"")</f>
        <v>IWM</v>
      </c>
    </row>
    <row r="1774" spans="1:4" x14ac:dyDescent="0.25">
      <c r="A1774" s="379">
        <v>45785.625</v>
      </c>
      <c r="B1774" s="382" t="s">
        <v>2878</v>
      </c>
      <c r="C1774" s="377" t="s">
        <v>3528</v>
      </c>
      <c r="D1774" s="6" t="str">
        <f>_xlfn.XLOOKUP(B1774,Indices!$A$2:$A$2676,Indices!$B$2:$B$2676,"")</f>
        <v/>
      </c>
    </row>
    <row r="1775" spans="1:4" x14ac:dyDescent="0.25">
      <c r="A1775" s="379">
        <v>45785.625</v>
      </c>
      <c r="B1775" s="382" t="s">
        <v>3661</v>
      </c>
      <c r="C1775" s="377" t="s">
        <v>5093</v>
      </c>
      <c r="D1775" s="6" t="str">
        <f>_xlfn.XLOOKUP(B1775,Indices!$A$2:$A$2676,Indices!$B$2:$B$2676,"")</f>
        <v/>
      </c>
    </row>
    <row r="1776" spans="1:4" x14ac:dyDescent="0.25">
      <c r="A1776" s="379">
        <v>45785.625694444447</v>
      </c>
      <c r="B1776" s="382" t="s">
        <v>3616</v>
      </c>
      <c r="C1776" s="377" t="s">
        <v>5094</v>
      </c>
      <c r="D1776" s="6" t="str">
        <f>_xlfn.XLOOKUP(B1776,Indices!$A$2:$A$2676,Indices!$B$2:$B$2676,"")</f>
        <v/>
      </c>
    </row>
    <row r="1777" spans="1:4" x14ac:dyDescent="0.25">
      <c r="A1777" s="379">
        <v>45785.625694444447</v>
      </c>
      <c r="B1777" s="382" t="s">
        <v>3559</v>
      </c>
      <c r="C1777" s="377" t="s">
        <v>5094</v>
      </c>
      <c r="D1777" s="6" t="str">
        <f>_xlfn.XLOOKUP(B1777,Indices!$A$2:$A$2676,Indices!$B$2:$B$2676,"")</f>
        <v/>
      </c>
    </row>
    <row r="1778" spans="1:4" x14ac:dyDescent="0.25">
      <c r="A1778" s="379">
        <v>45785.62777777778</v>
      </c>
      <c r="B1778" s="382" t="s">
        <v>878</v>
      </c>
      <c r="C1778" s="377" t="s">
        <v>5096</v>
      </c>
      <c r="D1778" s="6" t="str">
        <f>_xlfn.XLOOKUP(B1778,Indices!$A$2:$A$2676,Indices!$B$2:$B$2676,"")</f>
        <v>IWM</v>
      </c>
    </row>
    <row r="1779" spans="1:4" x14ac:dyDescent="0.25">
      <c r="A1779" s="379">
        <v>45785.62777777778</v>
      </c>
      <c r="B1779" s="382" t="s">
        <v>5095</v>
      </c>
      <c r="C1779" s="377" t="s">
        <v>5096</v>
      </c>
      <c r="D1779" s="6" t="str">
        <f>_xlfn.XLOOKUP(B1779,Indices!$A$2:$A$2676,Indices!$B$2:$B$2676,"")</f>
        <v/>
      </c>
    </row>
    <row r="1780" spans="1:4" x14ac:dyDescent="0.25">
      <c r="A1780" s="379">
        <v>45785.628472222219</v>
      </c>
      <c r="B1780" s="382" t="s">
        <v>510</v>
      </c>
      <c r="C1780" s="377" t="s">
        <v>5097</v>
      </c>
      <c r="D1780" s="6" t="str">
        <f>_xlfn.XLOOKUP(B1780,Indices!$A$2:$A$2676,Indices!$B$2:$B$2676,"")</f>
        <v>IWM</v>
      </c>
    </row>
    <row r="1781" spans="1:4" x14ac:dyDescent="0.25">
      <c r="A1781" s="379">
        <v>45785.629861111112</v>
      </c>
      <c r="B1781" s="382" t="s">
        <v>3541</v>
      </c>
      <c r="C1781" s="377" t="s">
        <v>5098</v>
      </c>
      <c r="D1781" s="6" t="str">
        <f>_xlfn.XLOOKUP(B1781,Indices!$A$2:$A$2676,Indices!$B$2:$B$2676,"")</f>
        <v/>
      </c>
    </row>
    <row r="1782" spans="1:4" x14ac:dyDescent="0.25">
      <c r="A1782" s="379">
        <v>45785.632638888892</v>
      </c>
      <c r="B1782" s="382" t="s">
        <v>5099</v>
      </c>
      <c r="C1782" s="377" t="s">
        <v>5100</v>
      </c>
      <c r="D1782" s="6" t="str">
        <f>_xlfn.XLOOKUP(B1782,Indices!$A$2:$A$2676,Indices!$B$2:$B$2676,"")</f>
        <v/>
      </c>
    </row>
    <row r="1783" spans="1:4" x14ac:dyDescent="0.25">
      <c r="A1783" s="379">
        <v>45785.635416666664</v>
      </c>
      <c r="B1783" s="382" t="s">
        <v>3551</v>
      </c>
      <c r="C1783" s="377" t="s">
        <v>5101</v>
      </c>
      <c r="D1783" s="6" t="str">
        <f>_xlfn.XLOOKUP(B1783,Indices!$A$2:$A$2676,Indices!$B$2:$B$2676,"")</f>
        <v/>
      </c>
    </row>
    <row r="1784" spans="1:4" x14ac:dyDescent="0.25">
      <c r="A1784" s="379">
        <v>45785.644444444442</v>
      </c>
      <c r="B1784" s="382" t="s">
        <v>2902</v>
      </c>
      <c r="C1784" s="377" t="s">
        <v>5102</v>
      </c>
      <c r="D1784" s="6" t="str">
        <f>_xlfn.XLOOKUP(B1784,Indices!$A$2:$A$2676,Indices!$B$2:$B$2676,"")</f>
        <v/>
      </c>
    </row>
    <row r="1785" spans="1:4" x14ac:dyDescent="0.25">
      <c r="A1785" s="379">
        <v>45785.645833333336</v>
      </c>
      <c r="B1785" s="382" t="s">
        <v>2592</v>
      </c>
      <c r="C1785" s="377" t="s">
        <v>5103</v>
      </c>
      <c r="D1785" s="6" t="str">
        <f>_xlfn.XLOOKUP(B1785,Indices!$A$2:$A$2676,Indices!$B$2:$B$2676,"")</f>
        <v/>
      </c>
    </row>
    <row r="1786" spans="1:4" x14ac:dyDescent="0.25">
      <c r="A1786" s="379">
        <v>45785.652083333334</v>
      </c>
      <c r="B1786" s="382" t="s">
        <v>3569</v>
      </c>
      <c r="C1786" s="377" t="s">
        <v>5104</v>
      </c>
      <c r="D1786" s="6" t="str">
        <f>_xlfn.XLOOKUP(B1786,Indices!$A$2:$A$2676,Indices!$B$2:$B$2676,"")</f>
        <v/>
      </c>
    </row>
    <row r="1787" spans="1:4" x14ac:dyDescent="0.25">
      <c r="A1787" s="379">
        <v>45785.652777777781</v>
      </c>
      <c r="B1787" s="382" t="s">
        <v>3603</v>
      </c>
      <c r="C1787" s="377" t="s">
        <v>5105</v>
      </c>
      <c r="D1787" s="6" t="str">
        <f>_xlfn.XLOOKUP(B1787,Indices!$A$2:$A$2676,Indices!$B$2:$B$2676,"")</f>
        <v/>
      </c>
    </row>
    <row r="1788" spans="1:4" x14ac:dyDescent="0.25">
      <c r="A1788" s="379">
        <v>45785.65625</v>
      </c>
      <c r="B1788" s="382" t="s">
        <v>3816</v>
      </c>
      <c r="C1788" s="377" t="s">
        <v>5106</v>
      </c>
      <c r="D1788" s="6" t="str">
        <f>_xlfn.XLOOKUP(B1788,Indices!$A$2:$A$2676,Indices!$B$2:$B$2676,"")</f>
        <v/>
      </c>
    </row>
    <row r="1789" spans="1:4" x14ac:dyDescent="0.25">
      <c r="A1789" s="379">
        <v>45785.661805555559</v>
      </c>
      <c r="B1789" s="382" t="s">
        <v>1078</v>
      </c>
      <c r="C1789" s="377" t="s">
        <v>5107</v>
      </c>
      <c r="D1789" s="6" t="str">
        <f>_xlfn.XLOOKUP(B1789,Indices!$A$2:$A$2676,Indices!$B$2:$B$2676,"")</f>
        <v>IWM</v>
      </c>
    </row>
    <row r="1790" spans="1:4" x14ac:dyDescent="0.25">
      <c r="A1790" s="379">
        <v>45785.663194444445</v>
      </c>
      <c r="B1790" s="382" t="s">
        <v>827</v>
      </c>
      <c r="C1790" s="377" t="s">
        <v>5108</v>
      </c>
      <c r="D1790" s="6" t="str">
        <f>_xlfn.XLOOKUP(B1790,Indices!$A$2:$A$2676,Indices!$B$2:$B$2676,"")</f>
        <v>IWM</v>
      </c>
    </row>
    <row r="1791" spans="1:4" x14ac:dyDescent="0.25">
      <c r="A1791" s="379">
        <v>45785.666666666664</v>
      </c>
      <c r="B1791" s="382" t="s">
        <v>826</v>
      </c>
      <c r="C1791" s="377" t="s">
        <v>5109</v>
      </c>
      <c r="D1791" s="6" t="str">
        <f>_xlfn.XLOOKUP(B1791,Indices!$A$2:$A$2676,Indices!$B$2:$B$2676,"")</f>
        <v>IWM</v>
      </c>
    </row>
    <row r="1792" spans="1:4" x14ac:dyDescent="0.25">
      <c r="A1792" s="379">
        <v>45785.666666666664</v>
      </c>
      <c r="B1792" s="382" t="s">
        <v>1552</v>
      </c>
      <c r="C1792" s="377" t="s">
        <v>5109</v>
      </c>
      <c r="D1792" s="6" t="str">
        <f>_xlfn.XLOOKUP(B1792,Indices!$A$2:$A$2676,Indices!$B$2:$B$2676,"")</f>
        <v>SP500</v>
      </c>
    </row>
    <row r="1793" spans="1:4" x14ac:dyDescent="0.25">
      <c r="A1793" s="379">
        <v>45785.717361111114</v>
      </c>
      <c r="B1793" s="382" t="s">
        <v>5110</v>
      </c>
      <c r="C1793" s="377" t="s">
        <v>5111</v>
      </c>
      <c r="D1793" s="6" t="str">
        <f>_xlfn.XLOOKUP(B1793,Indices!$A$2:$A$2676,Indices!$B$2:$B$2676,"")</f>
        <v/>
      </c>
    </row>
    <row r="1794" spans="1:4" x14ac:dyDescent="0.25">
      <c r="A1794" s="379">
        <v>45785.958333333336</v>
      </c>
      <c r="B1794" s="382" t="s">
        <v>3680</v>
      </c>
      <c r="C1794" s="377" t="s">
        <v>5113</v>
      </c>
      <c r="D1794" s="6" t="str">
        <f>_xlfn.XLOOKUP(B1794,Indices!$A$2:$A$2676,Indices!$B$2:$B$2676,"")</f>
        <v/>
      </c>
    </row>
    <row r="1795" spans="1:4" x14ac:dyDescent="0.25">
      <c r="A1795" s="379">
        <v>45785.958333333336</v>
      </c>
      <c r="B1795" s="382" t="s">
        <v>3673</v>
      </c>
      <c r="C1795" s="377" t="s">
        <v>5113</v>
      </c>
      <c r="D1795" s="6" t="str">
        <f>_xlfn.XLOOKUP(B1795,Indices!$A$2:$A$2676,Indices!$B$2:$B$2676,"")</f>
        <v/>
      </c>
    </row>
    <row r="1796" spans="1:4" x14ac:dyDescent="0.25">
      <c r="A1796" s="379">
        <v>45785.958333333336</v>
      </c>
      <c r="B1796" s="382" t="s">
        <v>3259</v>
      </c>
      <c r="C1796" s="377" t="s">
        <v>5113</v>
      </c>
      <c r="D1796" s="6" t="str">
        <f>_xlfn.XLOOKUP(B1796,Indices!$A$2:$A$2676,Indices!$B$2:$B$2676,"")</f>
        <v/>
      </c>
    </row>
    <row r="1797" spans="1:4" x14ac:dyDescent="0.25">
      <c r="A1797" s="379">
        <v>45785.958333333336</v>
      </c>
      <c r="B1797" s="382" t="s">
        <v>3692</v>
      </c>
      <c r="C1797" s="377" t="s">
        <v>5112</v>
      </c>
      <c r="D1797" s="6" t="str">
        <f>_xlfn.XLOOKUP(B1797,Indices!$A$2:$A$2676,Indices!$B$2:$B$2676,"")</f>
        <v/>
      </c>
    </row>
    <row r="1798" spans="1:4" x14ac:dyDescent="0.25">
      <c r="A1798" s="379">
        <v>45785.958333333336</v>
      </c>
      <c r="B1798" s="382" t="s">
        <v>3679</v>
      </c>
      <c r="C1798" s="377" t="s">
        <v>5112</v>
      </c>
      <c r="D1798" s="6" t="str">
        <f>_xlfn.XLOOKUP(B1798,Indices!$A$2:$A$2676,Indices!$B$2:$B$2676,"")</f>
        <v/>
      </c>
    </row>
    <row r="1799" spans="1:4" x14ac:dyDescent="0.25">
      <c r="A1799" s="379">
        <v>45785.958333333336</v>
      </c>
      <c r="B1799" s="382" t="s">
        <v>3676</v>
      </c>
      <c r="C1799" s="377" t="s">
        <v>5113</v>
      </c>
      <c r="D1799" s="6" t="str">
        <f>_xlfn.XLOOKUP(B1799,Indices!$A$2:$A$2676,Indices!$B$2:$B$2676,"")</f>
        <v/>
      </c>
    </row>
    <row r="1800" spans="1:4" x14ac:dyDescent="0.25">
      <c r="A1800" s="379">
        <v>45785.958333333336</v>
      </c>
      <c r="B1800" s="382" t="s">
        <v>3682</v>
      </c>
      <c r="C1800" s="377" t="s">
        <v>5112</v>
      </c>
      <c r="D1800" s="6" t="str">
        <f>_xlfn.XLOOKUP(B1800,Indices!$A$2:$A$2676,Indices!$B$2:$B$2676,"")</f>
        <v/>
      </c>
    </row>
    <row r="1801" spans="1:4" x14ac:dyDescent="0.25">
      <c r="A1801" s="379">
        <v>45785.958333333336</v>
      </c>
      <c r="B1801" s="382" t="s">
        <v>2602</v>
      </c>
      <c r="C1801" s="377" t="s">
        <v>5114</v>
      </c>
      <c r="D1801" s="6" t="str">
        <f>_xlfn.XLOOKUP(B1801,Indices!$A$2:$A$2676,Indices!$B$2:$B$2676,"")</f>
        <v/>
      </c>
    </row>
    <row r="1802" spans="1:4" x14ac:dyDescent="0.25">
      <c r="A1802" s="379">
        <v>45785.958333333336</v>
      </c>
      <c r="B1802" s="382" t="s">
        <v>3696</v>
      </c>
      <c r="C1802" s="377" t="s">
        <v>5113</v>
      </c>
      <c r="D1802" s="6" t="str">
        <f>_xlfn.XLOOKUP(B1802,Indices!$A$2:$A$2676,Indices!$B$2:$B$2676,"")</f>
        <v/>
      </c>
    </row>
    <row r="1803" spans="1:4" x14ac:dyDescent="0.25">
      <c r="A1803" s="379">
        <v>45785.958333333336</v>
      </c>
      <c r="B1803" s="382" t="s">
        <v>3698</v>
      </c>
      <c r="C1803" s="377" t="s">
        <v>5113</v>
      </c>
      <c r="D1803" s="6" t="str">
        <f>_xlfn.XLOOKUP(B1803,Indices!$A$2:$A$2676,Indices!$B$2:$B$2676,"")</f>
        <v/>
      </c>
    </row>
    <row r="1804" spans="1:4" x14ac:dyDescent="0.25">
      <c r="A1804" s="379">
        <v>45785.958333333336</v>
      </c>
      <c r="B1804" s="382" t="s">
        <v>3689</v>
      </c>
      <c r="C1804" s="377" t="s">
        <v>5113</v>
      </c>
      <c r="D1804" s="6" t="str">
        <f>_xlfn.XLOOKUP(B1804,Indices!$A$2:$A$2676,Indices!$B$2:$B$2676,"")</f>
        <v/>
      </c>
    </row>
    <row r="1805" spans="1:4" x14ac:dyDescent="0.25">
      <c r="A1805" s="379">
        <v>45785.958333333336</v>
      </c>
      <c r="B1805" s="382" t="s">
        <v>3695</v>
      </c>
      <c r="C1805" s="377" t="s">
        <v>5113</v>
      </c>
      <c r="D1805" s="6" t="str">
        <f>_xlfn.XLOOKUP(B1805,Indices!$A$2:$A$2676,Indices!$B$2:$B$2676,"")</f>
        <v/>
      </c>
    </row>
    <row r="1806" spans="1:4" x14ac:dyDescent="0.25">
      <c r="A1806" s="379">
        <v>45786.166666666664</v>
      </c>
      <c r="B1806" s="382" t="s">
        <v>3686</v>
      </c>
      <c r="C1806" s="377" t="s">
        <v>5115</v>
      </c>
      <c r="D1806" s="6" t="str">
        <f>_xlfn.XLOOKUP(B1806,Indices!$A$2:$A$2676,Indices!$B$2:$B$2676,"")</f>
        <v/>
      </c>
    </row>
    <row r="1807" spans="1:4" x14ac:dyDescent="0.25">
      <c r="A1807" s="379">
        <v>45786.166666666664</v>
      </c>
      <c r="B1807" s="382" t="s">
        <v>3552</v>
      </c>
      <c r="C1807" s="377" t="s">
        <v>5115</v>
      </c>
      <c r="D1807" s="6" t="str">
        <f>_xlfn.XLOOKUP(B1807,Indices!$A$2:$A$2676,Indices!$B$2:$B$2676,"")</f>
        <v/>
      </c>
    </row>
    <row r="1808" spans="1:4" x14ac:dyDescent="0.25">
      <c r="A1808" s="379">
        <v>45786.166666666664</v>
      </c>
      <c r="B1808" s="382" t="s">
        <v>3976</v>
      </c>
      <c r="C1808" s="377" t="s">
        <v>5115</v>
      </c>
      <c r="D1808" s="6" t="str">
        <f>_xlfn.XLOOKUP(B1808,Indices!$A$2:$A$2676,Indices!$B$2:$B$2676,"")</f>
        <v/>
      </c>
    </row>
    <row r="1809" spans="1:4" x14ac:dyDescent="0.25">
      <c r="A1809" s="379">
        <v>45786.177083333336</v>
      </c>
      <c r="B1809" s="382" t="s">
        <v>3480</v>
      </c>
      <c r="C1809" s="377" t="s">
        <v>5116</v>
      </c>
      <c r="D1809" s="6" t="str">
        <f>_xlfn.XLOOKUP(B1809,Indices!$A$2:$A$2676,Indices!$B$2:$B$2676,"")</f>
        <v/>
      </c>
    </row>
    <row r="1810" spans="1:4" x14ac:dyDescent="0.25">
      <c r="A1810" s="379">
        <v>45786.1875</v>
      </c>
      <c r="B1810" s="382" t="s">
        <v>3693</v>
      </c>
      <c r="C1810" s="377" t="s">
        <v>5117</v>
      </c>
      <c r="D1810" s="6" t="str">
        <f>_xlfn.XLOOKUP(B1810,Indices!$A$2:$A$2676,Indices!$B$2:$B$2676,"")</f>
        <v/>
      </c>
    </row>
    <row r="1811" spans="1:4" x14ac:dyDescent="0.25">
      <c r="A1811" s="379">
        <v>45786.1875</v>
      </c>
      <c r="B1811" s="382" t="s">
        <v>10</v>
      </c>
      <c r="C1811" s="377" t="s">
        <v>5117</v>
      </c>
      <c r="D1811" s="6" t="str">
        <f>_xlfn.XLOOKUP(B1811,Indices!$A$2:$A$2676,Indices!$B$2:$B$2676,"")</f>
        <v>IWM</v>
      </c>
    </row>
    <row r="1812" spans="1:4" x14ac:dyDescent="0.25">
      <c r="A1812" s="379">
        <v>45786.1875</v>
      </c>
      <c r="B1812" s="382" t="s">
        <v>15</v>
      </c>
      <c r="C1812" s="377" t="s">
        <v>5117</v>
      </c>
      <c r="D1812" s="6" t="str">
        <f>_xlfn.XLOOKUP(B1812,Indices!$A$2:$A$2676,Indices!$B$2:$B$2676,"")</f>
        <v>IWM</v>
      </c>
    </row>
    <row r="1813" spans="1:4" x14ac:dyDescent="0.25">
      <c r="A1813" s="379">
        <v>45786.1875</v>
      </c>
      <c r="B1813" s="382" t="s">
        <v>1145</v>
      </c>
      <c r="C1813" s="377" t="s">
        <v>5117</v>
      </c>
      <c r="D1813" s="6" t="str">
        <f>_xlfn.XLOOKUP(B1813,Indices!$A$2:$A$2676,Indices!$B$2:$B$2676,"")</f>
        <v>IWM</v>
      </c>
    </row>
    <row r="1814" spans="1:4" x14ac:dyDescent="0.25">
      <c r="A1814" s="379">
        <v>45786.1875</v>
      </c>
      <c r="B1814" s="382" t="s">
        <v>558</v>
      </c>
      <c r="C1814" s="377" t="s">
        <v>5117</v>
      </c>
      <c r="D1814" s="6" t="str">
        <f>_xlfn.XLOOKUP(B1814,Indices!$A$2:$A$2676,Indices!$B$2:$B$2676,"")</f>
        <v>IWM</v>
      </c>
    </row>
    <row r="1815" spans="1:4" x14ac:dyDescent="0.25">
      <c r="A1815" s="379">
        <v>45786.1875</v>
      </c>
      <c r="B1815" s="382" t="s">
        <v>929</v>
      </c>
      <c r="C1815" s="377" t="s">
        <v>5117</v>
      </c>
      <c r="D1815" s="6" t="str">
        <f>_xlfn.XLOOKUP(B1815,Indices!$A$2:$A$2676,Indices!$B$2:$B$2676,"")</f>
        <v>IWM</v>
      </c>
    </row>
    <row r="1816" spans="1:4" x14ac:dyDescent="0.25">
      <c r="A1816" s="379">
        <v>45786.197916666664</v>
      </c>
      <c r="B1816" s="382" t="s">
        <v>3448</v>
      </c>
      <c r="C1816" s="377" t="s">
        <v>5118</v>
      </c>
      <c r="D1816" s="6" t="str">
        <f>_xlfn.XLOOKUP(B1816,Indices!$A$2:$A$2676,Indices!$B$2:$B$2676,"")</f>
        <v/>
      </c>
    </row>
    <row r="1817" spans="1:4" x14ac:dyDescent="0.25">
      <c r="A1817" s="379">
        <v>45786.197916666664</v>
      </c>
      <c r="B1817" s="382" t="s">
        <v>3479</v>
      </c>
      <c r="C1817" s="377" t="s">
        <v>5118</v>
      </c>
      <c r="D1817" s="6" t="str">
        <f>_xlfn.XLOOKUP(B1817,Indices!$A$2:$A$2676,Indices!$B$2:$B$2676,"")</f>
        <v/>
      </c>
    </row>
    <row r="1818" spans="1:4" x14ac:dyDescent="0.25">
      <c r="A1818" s="379">
        <v>45786.197916666664</v>
      </c>
      <c r="B1818" s="382" t="s">
        <v>5119</v>
      </c>
      <c r="C1818" s="377" t="s">
        <v>5118</v>
      </c>
      <c r="D1818" s="6" t="str">
        <f>_xlfn.XLOOKUP(B1818,Indices!$A$2:$A$2676,Indices!$B$2:$B$2676,"")</f>
        <v/>
      </c>
    </row>
    <row r="1819" spans="1:4" x14ac:dyDescent="0.25">
      <c r="A1819" s="379">
        <v>45786.201388888891</v>
      </c>
      <c r="B1819" s="382" t="s">
        <v>3468</v>
      </c>
      <c r="C1819" s="377" t="s">
        <v>5120</v>
      </c>
      <c r="D1819" s="6" t="str">
        <f>_xlfn.XLOOKUP(B1819,Indices!$A$2:$A$2676,Indices!$B$2:$B$2676,"")</f>
        <v/>
      </c>
    </row>
    <row r="1820" spans="1:4" x14ac:dyDescent="0.25">
      <c r="A1820" s="379">
        <v>45786.201388888891</v>
      </c>
      <c r="B1820" s="382" t="s">
        <v>840</v>
      </c>
      <c r="C1820" s="377" t="s">
        <v>5120</v>
      </c>
      <c r="D1820" s="6" t="str">
        <f>_xlfn.XLOOKUP(B1820,Indices!$A$2:$A$2676,Indices!$B$2:$B$2676,"")</f>
        <v>IWM</v>
      </c>
    </row>
    <row r="1821" spans="1:4" x14ac:dyDescent="0.25">
      <c r="A1821" s="379">
        <v>45786.208333333336</v>
      </c>
      <c r="B1821" s="382" t="s">
        <v>960</v>
      </c>
      <c r="C1821" s="377" t="s">
        <v>5121</v>
      </c>
      <c r="D1821" s="6" t="str">
        <f>_xlfn.XLOOKUP(B1821,Indices!$A$2:$A$2676,Indices!$B$2:$B$2676,"")</f>
        <v>IWM</v>
      </c>
    </row>
    <row r="1822" spans="1:4" x14ac:dyDescent="0.25">
      <c r="A1822" s="379">
        <v>45786.208333333336</v>
      </c>
      <c r="B1822" s="382" t="s">
        <v>299</v>
      </c>
      <c r="C1822" s="377" t="s">
        <v>5121</v>
      </c>
      <c r="D1822" s="6" t="str">
        <f>_xlfn.XLOOKUP(B1822,Indices!$A$2:$A$2676,Indices!$B$2:$B$2676,"")</f>
        <v>S&amp;P Mid</v>
      </c>
    </row>
    <row r="1823" spans="1:4" x14ac:dyDescent="0.25">
      <c r="A1823" s="379">
        <v>45786.208333333336</v>
      </c>
      <c r="B1823" s="382" t="s">
        <v>2836</v>
      </c>
      <c r="C1823" s="377" t="s">
        <v>5121</v>
      </c>
      <c r="D1823" s="6" t="str">
        <f>_xlfn.XLOOKUP(B1823,Indices!$A$2:$A$2676,Indices!$B$2:$B$2676,"")</f>
        <v/>
      </c>
    </row>
    <row r="1824" spans="1:4" x14ac:dyDescent="0.25">
      <c r="A1824" s="379">
        <v>45786.208333333336</v>
      </c>
      <c r="B1824" s="382" t="s">
        <v>3741</v>
      </c>
      <c r="C1824" s="377" t="s">
        <v>5121</v>
      </c>
      <c r="D1824" s="6" t="str">
        <f>_xlfn.XLOOKUP(B1824,Indices!$A$2:$A$2676,Indices!$B$2:$B$2676,"")</f>
        <v/>
      </c>
    </row>
    <row r="1825" spans="1:4" x14ac:dyDescent="0.25">
      <c r="A1825" s="379">
        <v>45786.208333333336</v>
      </c>
      <c r="B1825" s="382" t="s">
        <v>3745</v>
      </c>
      <c r="C1825" s="377" t="s">
        <v>5121</v>
      </c>
      <c r="D1825" s="6" t="str">
        <f>_xlfn.XLOOKUP(B1825,Indices!$A$2:$A$2676,Indices!$B$2:$B$2676,"")</f>
        <v/>
      </c>
    </row>
    <row r="1826" spans="1:4" x14ac:dyDescent="0.25">
      <c r="A1826" s="379">
        <v>45786.208333333336</v>
      </c>
      <c r="B1826" s="382" t="s">
        <v>3270</v>
      </c>
      <c r="C1826" s="377" t="s">
        <v>5121</v>
      </c>
      <c r="D1826" s="6" t="str">
        <f>_xlfn.XLOOKUP(B1826,Indices!$A$2:$A$2676,Indices!$B$2:$B$2676,"")</f>
        <v/>
      </c>
    </row>
    <row r="1827" spans="1:4" x14ac:dyDescent="0.25">
      <c r="A1827" s="379">
        <v>45786.208333333336</v>
      </c>
      <c r="B1827" s="382" t="s">
        <v>1864</v>
      </c>
      <c r="C1827" s="377" t="s">
        <v>5121</v>
      </c>
      <c r="D1827" s="6" t="str">
        <f>_xlfn.XLOOKUP(B1827,Indices!$A$2:$A$2676,Indices!$B$2:$B$2676,"")</f>
        <v>IWM</v>
      </c>
    </row>
    <row r="1828" spans="1:4" x14ac:dyDescent="0.25">
      <c r="A1828" s="379">
        <v>45786.208333333336</v>
      </c>
      <c r="B1828" s="382" t="s">
        <v>3736</v>
      </c>
      <c r="C1828" s="377" t="s">
        <v>5121</v>
      </c>
      <c r="D1828" s="6" t="str">
        <f>_xlfn.XLOOKUP(B1828,Indices!$A$2:$A$2676,Indices!$B$2:$B$2676,"")</f>
        <v/>
      </c>
    </row>
    <row r="1829" spans="1:4" x14ac:dyDescent="0.25">
      <c r="A1829" s="379">
        <v>45786.208333333336</v>
      </c>
      <c r="B1829" s="382" t="s">
        <v>109</v>
      </c>
      <c r="C1829" s="377" t="s">
        <v>5121</v>
      </c>
      <c r="D1829" s="6" t="str">
        <f>_xlfn.XLOOKUP(B1829,Indices!$A$2:$A$2676,Indices!$B$2:$B$2676,"")</f>
        <v>IWM</v>
      </c>
    </row>
    <row r="1830" spans="1:4" x14ac:dyDescent="0.25">
      <c r="A1830" s="379">
        <v>45786.208333333336</v>
      </c>
      <c r="B1830" s="382" t="s">
        <v>833</v>
      </c>
      <c r="C1830" s="377" t="s">
        <v>5121</v>
      </c>
      <c r="D1830" s="6" t="str">
        <f>_xlfn.XLOOKUP(B1830,Indices!$A$2:$A$2676,Indices!$B$2:$B$2676,"")</f>
        <v>IWM</v>
      </c>
    </row>
    <row r="1831" spans="1:4" x14ac:dyDescent="0.25">
      <c r="A1831" s="379">
        <v>45786.208333333336</v>
      </c>
      <c r="B1831" s="382" t="s">
        <v>3023</v>
      </c>
      <c r="C1831" s="377" t="s">
        <v>5121</v>
      </c>
      <c r="D1831" s="6" t="str">
        <f>_xlfn.XLOOKUP(B1831,Indices!$A$2:$A$2676,Indices!$B$2:$B$2676,"")</f>
        <v/>
      </c>
    </row>
    <row r="1832" spans="1:4" x14ac:dyDescent="0.25">
      <c r="A1832" s="379">
        <v>45786.208333333336</v>
      </c>
      <c r="B1832" s="382" t="s">
        <v>1108</v>
      </c>
      <c r="C1832" s="377" t="s">
        <v>5121</v>
      </c>
      <c r="D1832" s="6" t="str">
        <f>_xlfn.XLOOKUP(B1832,Indices!$A$2:$A$2676,Indices!$B$2:$B$2676,"")</f>
        <v>IWM</v>
      </c>
    </row>
    <row r="1833" spans="1:4" x14ac:dyDescent="0.25">
      <c r="A1833" s="379">
        <v>45786.208333333336</v>
      </c>
      <c r="B1833" s="382" t="s">
        <v>3699</v>
      </c>
      <c r="C1833" s="377" t="s">
        <v>5121</v>
      </c>
      <c r="D1833" s="6" t="str">
        <f>_xlfn.XLOOKUP(B1833,Indices!$A$2:$A$2676,Indices!$B$2:$B$2676,"")</f>
        <v/>
      </c>
    </row>
    <row r="1834" spans="1:4" x14ac:dyDescent="0.25">
      <c r="A1834" s="379">
        <v>45786.208333333336</v>
      </c>
      <c r="B1834" s="382" t="s">
        <v>907</v>
      </c>
      <c r="C1834" s="377" t="s">
        <v>5121</v>
      </c>
      <c r="D1834" s="6" t="str">
        <f>_xlfn.XLOOKUP(B1834,Indices!$A$2:$A$2676,Indices!$B$2:$B$2676,"")</f>
        <v>IWM</v>
      </c>
    </row>
    <row r="1835" spans="1:4" x14ac:dyDescent="0.25">
      <c r="A1835" s="379">
        <v>45786.208333333336</v>
      </c>
      <c r="B1835" s="382" t="s">
        <v>201</v>
      </c>
      <c r="C1835" s="377" t="s">
        <v>5121</v>
      </c>
      <c r="D1835" s="6" t="str">
        <f>_xlfn.XLOOKUP(B1835,Indices!$A$2:$A$2676,Indices!$B$2:$B$2676,"")</f>
        <v>IWM</v>
      </c>
    </row>
    <row r="1836" spans="1:4" x14ac:dyDescent="0.25">
      <c r="A1836" s="379">
        <v>45786.208333333336</v>
      </c>
      <c r="B1836" s="382" t="s">
        <v>860</v>
      </c>
      <c r="C1836" s="377" t="s">
        <v>5121</v>
      </c>
      <c r="D1836" s="6" t="str">
        <f>_xlfn.XLOOKUP(B1836,Indices!$A$2:$A$2676,Indices!$B$2:$B$2676,"")</f>
        <v>IWM</v>
      </c>
    </row>
    <row r="1837" spans="1:4" x14ac:dyDescent="0.25">
      <c r="A1837" s="379">
        <v>45786.211805555555</v>
      </c>
      <c r="B1837" s="382" t="s">
        <v>2294</v>
      </c>
      <c r="C1837" s="377" t="s">
        <v>5122</v>
      </c>
      <c r="D1837" s="6" t="str">
        <f>_xlfn.XLOOKUP(B1837,Indices!$A$2:$A$2676,Indices!$B$2:$B$2676,"")</f>
        <v>IWM</v>
      </c>
    </row>
    <row r="1838" spans="1:4" x14ac:dyDescent="0.25">
      <c r="A1838" s="379">
        <v>45786.211805555555</v>
      </c>
      <c r="B1838" s="382" t="s">
        <v>3094</v>
      </c>
      <c r="C1838" s="377" t="s">
        <v>5122</v>
      </c>
      <c r="D1838" s="6" t="str">
        <f>_xlfn.XLOOKUP(B1838,Indices!$A$2:$A$2676,Indices!$B$2:$B$2676,"")</f>
        <v/>
      </c>
    </row>
    <row r="1839" spans="1:4" x14ac:dyDescent="0.25">
      <c r="A1839" s="379">
        <v>45786.211805555555</v>
      </c>
      <c r="B1839" s="382" t="s">
        <v>3690</v>
      </c>
      <c r="C1839" s="377" t="s">
        <v>5122</v>
      </c>
      <c r="D1839" s="6" t="str">
        <f>_xlfn.XLOOKUP(B1839,Indices!$A$2:$A$2676,Indices!$B$2:$B$2676,"")</f>
        <v/>
      </c>
    </row>
    <row r="1840" spans="1:4" x14ac:dyDescent="0.25">
      <c r="A1840" s="379">
        <v>45786.229166666664</v>
      </c>
      <c r="B1840" s="382" t="s">
        <v>26</v>
      </c>
      <c r="C1840" s="377" t="s">
        <v>5123</v>
      </c>
      <c r="D1840" s="6" t="str">
        <f>_xlfn.XLOOKUP(B1840,Indices!$A$2:$A$2676,Indices!$B$2:$B$2676,"")</f>
        <v>IWM</v>
      </c>
    </row>
    <row r="1841" spans="1:4" x14ac:dyDescent="0.25">
      <c r="A1841" s="379">
        <v>45786.229166666664</v>
      </c>
      <c r="B1841" s="382" t="s">
        <v>3672</v>
      </c>
      <c r="C1841" s="377" t="s">
        <v>5123</v>
      </c>
      <c r="D1841" s="6" t="str">
        <f>_xlfn.XLOOKUP(B1841,Indices!$A$2:$A$2676,Indices!$B$2:$B$2676,"")</f>
        <v/>
      </c>
    </row>
    <row r="1842" spans="1:4" x14ac:dyDescent="0.25">
      <c r="A1842" s="379">
        <v>45786.229166666664</v>
      </c>
      <c r="B1842" s="382" t="s">
        <v>852</v>
      </c>
      <c r="C1842" s="377" t="s">
        <v>5123</v>
      </c>
      <c r="D1842" s="6" t="str">
        <f>_xlfn.XLOOKUP(B1842,Indices!$A$2:$A$2676,Indices!$B$2:$B$2676,"")</f>
        <v>IWM</v>
      </c>
    </row>
    <row r="1843" spans="1:4" x14ac:dyDescent="0.25">
      <c r="A1843" s="379">
        <v>45786.229166666664</v>
      </c>
      <c r="B1843" s="382" t="s">
        <v>3674</v>
      </c>
      <c r="C1843" s="377" t="s">
        <v>5123</v>
      </c>
      <c r="D1843" s="6" t="str">
        <f>_xlfn.XLOOKUP(B1843,Indices!$A$2:$A$2676,Indices!$B$2:$B$2676,"")</f>
        <v/>
      </c>
    </row>
    <row r="1844" spans="1:4" x14ac:dyDescent="0.25">
      <c r="A1844" s="379">
        <v>45786.229166666664</v>
      </c>
      <c r="B1844" s="382" t="s">
        <v>3707</v>
      </c>
      <c r="C1844" s="377" t="s">
        <v>5123</v>
      </c>
      <c r="D1844" s="6" t="str">
        <f>_xlfn.XLOOKUP(B1844,Indices!$A$2:$A$2676,Indices!$B$2:$B$2676,"")</f>
        <v/>
      </c>
    </row>
    <row r="1845" spans="1:4" x14ac:dyDescent="0.25">
      <c r="A1845" s="379">
        <v>45786.229166666664</v>
      </c>
      <c r="B1845" s="382" t="s">
        <v>5124</v>
      </c>
      <c r="C1845" s="377" t="s">
        <v>5125</v>
      </c>
      <c r="D1845" s="6" t="str">
        <f>_xlfn.XLOOKUP(B1845,Indices!$A$2:$A$2676,Indices!$B$2:$B$2676,"")</f>
        <v/>
      </c>
    </row>
    <row r="1846" spans="1:4" x14ac:dyDescent="0.25">
      <c r="A1846" s="379">
        <v>45786.243055555555</v>
      </c>
      <c r="B1846" s="382" t="s">
        <v>3463</v>
      </c>
      <c r="C1846" s="377" t="s">
        <v>5126</v>
      </c>
      <c r="D1846" s="6" t="str">
        <f>_xlfn.XLOOKUP(B1846,Indices!$A$2:$A$2676,Indices!$B$2:$B$2676,"")</f>
        <v/>
      </c>
    </row>
    <row r="1847" spans="1:4" x14ac:dyDescent="0.25">
      <c r="A1847" s="379">
        <v>45786.246527777781</v>
      </c>
      <c r="B1847" s="382" t="s">
        <v>855</v>
      </c>
      <c r="C1847" s="377" t="s">
        <v>5127</v>
      </c>
      <c r="D1847" s="6" t="str">
        <f>_xlfn.XLOOKUP(B1847,Indices!$A$2:$A$2676,Indices!$B$2:$B$2676,"")</f>
        <v>IWM</v>
      </c>
    </row>
    <row r="1848" spans="1:4" x14ac:dyDescent="0.25">
      <c r="A1848" s="379">
        <v>45786.25</v>
      </c>
      <c r="B1848" s="382" t="s">
        <v>1033</v>
      </c>
      <c r="C1848" s="377" t="s">
        <v>5128</v>
      </c>
      <c r="D1848" s="6" t="str">
        <f>_xlfn.XLOOKUP(B1848,Indices!$A$2:$A$2676,Indices!$B$2:$B$2676,"")</f>
        <v>IWM</v>
      </c>
    </row>
    <row r="1849" spans="1:4" x14ac:dyDescent="0.25">
      <c r="A1849" s="379">
        <v>45786.25</v>
      </c>
      <c r="B1849" s="382" t="s">
        <v>3961</v>
      </c>
      <c r="C1849" s="377" t="s">
        <v>5128</v>
      </c>
      <c r="D1849" s="6" t="str">
        <f>_xlfn.XLOOKUP(B1849,Indices!$A$2:$A$2676,Indices!$B$2:$B$2676,"")</f>
        <v/>
      </c>
    </row>
    <row r="1850" spans="1:4" x14ac:dyDescent="0.25">
      <c r="A1850" s="379">
        <v>45786.25</v>
      </c>
      <c r="B1850" s="382" t="s">
        <v>3465</v>
      </c>
      <c r="C1850" s="377" t="s">
        <v>5128</v>
      </c>
      <c r="D1850" s="6" t="str">
        <f>_xlfn.XLOOKUP(B1850,Indices!$A$2:$A$2676,Indices!$B$2:$B$2676,"")</f>
        <v/>
      </c>
    </row>
    <row r="1851" spans="1:4" x14ac:dyDescent="0.25">
      <c r="A1851" s="379">
        <v>45786.250694444447</v>
      </c>
      <c r="B1851" s="382" t="s">
        <v>839</v>
      </c>
      <c r="C1851" s="377" t="s">
        <v>5129</v>
      </c>
      <c r="D1851" s="6" t="str">
        <f>_xlfn.XLOOKUP(B1851,Indices!$A$2:$A$2676,Indices!$B$2:$B$2676,"")</f>
        <v>IWM</v>
      </c>
    </row>
    <row r="1852" spans="1:4" x14ac:dyDescent="0.25">
      <c r="A1852" s="379">
        <v>45786.260416666664</v>
      </c>
      <c r="B1852" s="382" t="s">
        <v>3529</v>
      </c>
      <c r="C1852" s="377" t="s">
        <v>5130</v>
      </c>
      <c r="D1852" s="6" t="str">
        <f>_xlfn.XLOOKUP(B1852,Indices!$A$2:$A$2676,Indices!$B$2:$B$2676,"")</f>
        <v/>
      </c>
    </row>
    <row r="1853" spans="1:4" x14ac:dyDescent="0.25">
      <c r="A1853" s="379">
        <v>45786.270833333336</v>
      </c>
      <c r="B1853" s="382" t="s">
        <v>5131</v>
      </c>
      <c r="C1853" s="377" t="s">
        <v>5132</v>
      </c>
      <c r="D1853" s="6" t="str">
        <f>_xlfn.XLOOKUP(B1853,Indices!$A$2:$A$2676,Indices!$B$2:$B$2676,"")</f>
        <v/>
      </c>
    </row>
    <row r="1854" spans="1:4" x14ac:dyDescent="0.25">
      <c r="A1854" s="379">
        <v>45786.277777777781</v>
      </c>
      <c r="B1854" s="382" t="s">
        <v>3557</v>
      </c>
      <c r="C1854" s="377" t="s">
        <v>5133</v>
      </c>
      <c r="D1854" s="6" t="str">
        <f>_xlfn.XLOOKUP(B1854,Indices!$A$2:$A$2676,Indices!$B$2:$B$2676,"")</f>
        <v/>
      </c>
    </row>
    <row r="1855" spans="1:4" x14ac:dyDescent="0.25">
      <c r="A1855" s="379">
        <v>45786.293749999997</v>
      </c>
      <c r="B1855" s="382" t="s">
        <v>939</v>
      </c>
      <c r="C1855" s="377" t="s">
        <v>5134</v>
      </c>
      <c r="D1855" s="6" t="str">
        <f>_xlfn.XLOOKUP(B1855,Indices!$A$2:$A$2676,Indices!$B$2:$B$2676,"")</f>
        <v>IWM</v>
      </c>
    </row>
    <row r="1856" spans="1:4" x14ac:dyDescent="0.25">
      <c r="A1856" s="379">
        <v>45786.361805555556</v>
      </c>
      <c r="B1856" s="382" t="s">
        <v>3760</v>
      </c>
      <c r="C1856" s="377" t="s">
        <v>5135</v>
      </c>
      <c r="D1856" s="6" t="str">
        <f>_xlfn.XLOOKUP(B1856,Indices!$A$2:$A$2676,Indices!$B$2:$B$2676,"")</f>
        <v/>
      </c>
    </row>
    <row r="1857" spans="1:4" x14ac:dyDescent="0.25">
      <c r="A1857" s="379">
        <v>45786.5</v>
      </c>
      <c r="B1857" s="382" t="s">
        <v>3526</v>
      </c>
      <c r="C1857" s="377" t="s">
        <v>5136</v>
      </c>
      <c r="D1857" s="6" t="str">
        <f>_xlfn.XLOOKUP(B1857,Indices!$A$2:$A$2676,Indices!$B$2:$B$2676,"")</f>
        <v/>
      </c>
    </row>
    <row r="1858" spans="1:4" x14ac:dyDescent="0.25">
      <c r="A1858" s="379">
        <v>45786.53125</v>
      </c>
      <c r="B1858" s="382" t="s">
        <v>3683</v>
      </c>
      <c r="C1858" s="377" t="s">
        <v>5137</v>
      </c>
      <c r="D1858" s="6" t="str">
        <f>_xlfn.XLOOKUP(B1858,Indices!$A$2:$A$2676,Indices!$B$2:$B$2676,"")</f>
        <v/>
      </c>
    </row>
    <row r="1859" spans="1:4" x14ac:dyDescent="0.25">
      <c r="A1859" s="379">
        <v>45786.583333333336</v>
      </c>
      <c r="B1859" s="382" t="s">
        <v>3775</v>
      </c>
      <c r="C1859" s="377" t="s">
        <v>5138</v>
      </c>
      <c r="D1859" s="6" t="str">
        <f>_xlfn.XLOOKUP(B1859,Indices!$A$2:$A$2676,Indices!$B$2:$B$2676,"")</f>
        <v/>
      </c>
    </row>
    <row r="1860" spans="1:4" x14ac:dyDescent="0.25">
      <c r="A1860" s="379">
        <v>45786.584027777775</v>
      </c>
      <c r="B1860" s="382" t="s">
        <v>3782</v>
      </c>
      <c r="C1860" s="377" t="s">
        <v>5139</v>
      </c>
      <c r="D1860" s="6" t="str">
        <f>_xlfn.XLOOKUP(B1860,Indices!$A$2:$A$2676,Indices!$B$2:$B$2676,"")</f>
        <v/>
      </c>
    </row>
    <row r="1861" spans="1:4" x14ac:dyDescent="0.25">
      <c r="A1861" s="379">
        <v>45786.584722222222</v>
      </c>
      <c r="B1861" s="382" t="s">
        <v>2217</v>
      </c>
      <c r="C1861" s="377" t="s">
        <v>5140</v>
      </c>
      <c r="D1861" s="6" t="str">
        <f>_xlfn.XLOOKUP(B1861,Indices!$A$2:$A$2676,Indices!$B$2:$B$2676,"")</f>
        <v>IWM</v>
      </c>
    </row>
    <row r="1862" spans="1:4" x14ac:dyDescent="0.25">
      <c r="A1862" s="379">
        <v>45786.585416666669</v>
      </c>
      <c r="B1862" s="382" t="s">
        <v>1070</v>
      </c>
      <c r="C1862" s="377" t="s">
        <v>5141</v>
      </c>
      <c r="D1862" s="6" t="str">
        <f>_xlfn.XLOOKUP(B1862,Indices!$A$2:$A$2676,Indices!$B$2:$B$2676,"")</f>
        <v>IWM</v>
      </c>
    </row>
    <row r="1863" spans="1:4" x14ac:dyDescent="0.25">
      <c r="A1863" s="379">
        <v>45786.586805555555</v>
      </c>
      <c r="B1863" s="382" t="s">
        <v>5143</v>
      </c>
      <c r="C1863" s="377" t="s">
        <v>5142</v>
      </c>
      <c r="D1863" s="6" t="str">
        <f>_xlfn.XLOOKUP(B1863,Indices!$A$2:$A$2676,Indices!$B$2:$B$2676,"")</f>
        <v/>
      </c>
    </row>
    <row r="1864" spans="1:4" x14ac:dyDescent="0.25">
      <c r="A1864" s="379">
        <v>45786.586805555555</v>
      </c>
      <c r="B1864" s="382" t="s">
        <v>863</v>
      </c>
      <c r="C1864" s="377" t="s">
        <v>5142</v>
      </c>
      <c r="D1864" s="6" t="str">
        <f>_xlfn.XLOOKUP(B1864,Indices!$A$2:$A$2676,Indices!$B$2:$B$2676,"")</f>
        <v>IWM</v>
      </c>
    </row>
    <row r="1865" spans="1:4" x14ac:dyDescent="0.25">
      <c r="A1865" s="379">
        <v>45786.586805555555</v>
      </c>
      <c r="B1865" s="382" t="s">
        <v>2909</v>
      </c>
      <c r="C1865" s="377" t="s">
        <v>5142</v>
      </c>
      <c r="D1865" s="6" t="str">
        <f>_xlfn.XLOOKUP(B1865,Indices!$A$2:$A$2676,Indices!$B$2:$B$2676,"")</f>
        <v/>
      </c>
    </row>
    <row r="1866" spans="1:4" x14ac:dyDescent="0.25">
      <c r="A1866" s="379">
        <v>45786.589583333334</v>
      </c>
      <c r="B1866" s="382" t="s">
        <v>3702</v>
      </c>
      <c r="C1866" s="377" t="s">
        <v>5144</v>
      </c>
      <c r="D1866" s="6" t="str">
        <f>_xlfn.XLOOKUP(B1866,Indices!$A$2:$A$2676,Indices!$B$2:$B$2676,"")</f>
        <v/>
      </c>
    </row>
    <row r="1867" spans="1:4" x14ac:dyDescent="0.25">
      <c r="A1867" s="379">
        <v>45786.590277777781</v>
      </c>
      <c r="B1867" s="382" t="s">
        <v>5145</v>
      </c>
      <c r="C1867" s="377" t="s">
        <v>5146</v>
      </c>
      <c r="D1867" s="6" t="str">
        <f>_xlfn.XLOOKUP(B1867,Indices!$A$2:$A$2676,Indices!$B$2:$B$2676,"")</f>
        <v/>
      </c>
    </row>
    <row r="1868" spans="1:4" x14ac:dyDescent="0.25">
      <c r="A1868" s="379">
        <v>45786.59375</v>
      </c>
      <c r="B1868" s="382" t="s">
        <v>3139</v>
      </c>
      <c r="C1868" s="377" t="s">
        <v>5147</v>
      </c>
      <c r="D1868" s="6" t="str">
        <f>_xlfn.XLOOKUP(B1868,Indices!$A$2:$A$2676,Indices!$B$2:$B$2676,"")</f>
        <v/>
      </c>
    </row>
    <row r="1869" spans="1:4" x14ac:dyDescent="0.25">
      <c r="A1869" s="379">
        <v>45786.59375</v>
      </c>
      <c r="B1869" s="382" t="s">
        <v>3700</v>
      </c>
      <c r="C1869" s="377" t="s">
        <v>5147</v>
      </c>
      <c r="D1869" s="6" t="str">
        <f>_xlfn.XLOOKUP(B1869,Indices!$A$2:$A$2676,Indices!$B$2:$B$2676,"")</f>
        <v/>
      </c>
    </row>
    <row r="1870" spans="1:4" x14ac:dyDescent="0.25">
      <c r="A1870" s="379">
        <v>45786.59375</v>
      </c>
      <c r="B1870" s="382" t="s">
        <v>3026</v>
      </c>
      <c r="C1870" s="377" t="s">
        <v>5147</v>
      </c>
      <c r="D1870" s="6" t="str">
        <f>_xlfn.XLOOKUP(B1870,Indices!$A$2:$A$2676,Indices!$B$2:$B$2676,"")</f>
        <v/>
      </c>
    </row>
    <row r="1871" spans="1:4" x14ac:dyDescent="0.25">
      <c r="A1871" s="379">
        <v>45786.595138888886</v>
      </c>
      <c r="B1871" s="382" t="s">
        <v>888</v>
      </c>
      <c r="C1871" s="377" t="s">
        <v>5148</v>
      </c>
      <c r="D1871" s="6" t="str">
        <f>_xlfn.XLOOKUP(B1871,Indices!$A$2:$A$2676,Indices!$B$2:$B$2676,"")</f>
        <v>IWM</v>
      </c>
    </row>
    <row r="1872" spans="1:4" x14ac:dyDescent="0.25">
      <c r="A1872" s="379">
        <v>45786.604166666664</v>
      </c>
      <c r="B1872" s="382" t="s">
        <v>1044</v>
      </c>
      <c r="C1872" s="377" t="s">
        <v>5149</v>
      </c>
      <c r="D1872" s="6" t="str">
        <f>_xlfn.XLOOKUP(B1872,Indices!$A$2:$A$2676,Indices!$B$2:$B$2676,"")</f>
        <v>IWM</v>
      </c>
    </row>
    <row r="1873" spans="1:4" x14ac:dyDescent="0.25">
      <c r="A1873" s="379">
        <v>45786.625</v>
      </c>
      <c r="B1873" s="382" t="s">
        <v>32</v>
      </c>
      <c r="C1873" s="377" t="s">
        <v>3701</v>
      </c>
      <c r="D1873" s="6" t="str">
        <f>_xlfn.XLOOKUP(B1873,Indices!$A$2:$A$2676,Indices!$B$2:$B$2676,"")</f>
        <v>IWM</v>
      </c>
    </row>
    <row r="1874" spans="1:4" x14ac:dyDescent="0.25">
      <c r="A1874" s="379">
        <v>45786.625</v>
      </c>
      <c r="B1874" s="382" t="s">
        <v>3708</v>
      </c>
      <c r="C1874" s="377" t="s">
        <v>3701</v>
      </c>
      <c r="D1874" s="6" t="str">
        <f>_xlfn.XLOOKUP(B1874,Indices!$A$2:$A$2676,Indices!$B$2:$B$2676,"")</f>
        <v/>
      </c>
    </row>
    <row r="1875" spans="1:4" x14ac:dyDescent="0.25">
      <c r="A1875" s="379">
        <v>45786.63958333333</v>
      </c>
      <c r="B1875" s="382" t="s">
        <v>2886</v>
      </c>
      <c r="C1875" s="377" t="s">
        <v>5150</v>
      </c>
      <c r="D1875" s="6" t="str">
        <f>_xlfn.XLOOKUP(B1875,Indices!$A$2:$A$2676,Indices!$B$2:$B$2676,"")</f>
        <v/>
      </c>
    </row>
    <row r="1876" spans="1:4" x14ac:dyDescent="0.25">
      <c r="A1876" s="379">
        <v>45786.652083333334</v>
      </c>
      <c r="B1876" s="382" t="s">
        <v>4158</v>
      </c>
      <c r="C1876" s="377" t="s">
        <v>5151</v>
      </c>
      <c r="D1876" s="6" t="str">
        <f>_xlfn.XLOOKUP(B1876,Indices!$A$2:$A$2676,Indices!$B$2:$B$2676,"")</f>
        <v/>
      </c>
    </row>
    <row r="1877" spans="1:4" x14ac:dyDescent="0.25">
      <c r="A1877" s="379">
        <v>45788.583333333336</v>
      </c>
      <c r="B1877" s="382" t="s">
        <v>866</v>
      </c>
      <c r="C1877" s="377" t="s">
        <v>5152</v>
      </c>
      <c r="D1877" s="6" t="str">
        <f>_xlfn.XLOOKUP(B1877,Indices!$A$2:$A$2676,Indices!$B$2:$B$2676,"")</f>
        <v>IWM</v>
      </c>
    </row>
    <row r="1878" spans="1:4" x14ac:dyDescent="0.25">
      <c r="A1878" s="379">
        <v>45788.958333333336</v>
      </c>
      <c r="B1878" s="382" t="s">
        <v>3733</v>
      </c>
      <c r="C1878" s="377" t="s">
        <v>5153</v>
      </c>
      <c r="D1878" s="6" t="str">
        <f>_xlfn.XLOOKUP(B1878,Indices!$A$2:$A$2676,Indices!$B$2:$B$2676,"")</f>
        <v/>
      </c>
    </row>
    <row r="1879" spans="1:4" x14ac:dyDescent="0.25">
      <c r="A1879" s="379">
        <v>45788.958333333336</v>
      </c>
      <c r="B1879" s="382" t="s">
        <v>3219</v>
      </c>
      <c r="C1879" s="377" t="s">
        <v>5153</v>
      </c>
      <c r="D1879" s="6" t="str">
        <f>_xlfn.XLOOKUP(B1879,Indices!$A$2:$A$2676,Indices!$B$2:$B$2676,"")</f>
        <v/>
      </c>
    </row>
    <row r="1880" spans="1:4" x14ac:dyDescent="0.25">
      <c r="A1880" s="379">
        <v>45788.958333333336</v>
      </c>
      <c r="B1880" s="382" t="s">
        <v>3710</v>
      </c>
      <c r="C1880" s="377" t="s">
        <v>5154</v>
      </c>
      <c r="D1880" s="6" t="str">
        <f>_xlfn.XLOOKUP(B1880,Indices!$A$2:$A$2676,Indices!$B$2:$B$2676,"")</f>
        <v/>
      </c>
    </row>
    <row r="1881" spans="1:4" x14ac:dyDescent="0.25">
      <c r="A1881" s="379">
        <v>45788.958333333336</v>
      </c>
      <c r="B1881" s="382" t="s">
        <v>3713</v>
      </c>
      <c r="C1881" s="377" t="s">
        <v>5153</v>
      </c>
      <c r="D1881" s="6" t="str">
        <f>_xlfn.XLOOKUP(B1881,Indices!$A$2:$A$2676,Indices!$B$2:$B$2676,"")</f>
        <v/>
      </c>
    </row>
    <row r="1882" spans="1:4" x14ac:dyDescent="0.25">
      <c r="A1882" s="379">
        <v>45788.958333333336</v>
      </c>
      <c r="B1882" s="382" t="s">
        <v>3769</v>
      </c>
      <c r="C1882" s="377" t="s">
        <v>5154</v>
      </c>
      <c r="D1882" s="6" t="str">
        <f>_xlfn.XLOOKUP(B1882,Indices!$A$2:$A$2676,Indices!$B$2:$B$2676,"")</f>
        <v/>
      </c>
    </row>
    <row r="1883" spans="1:4" x14ac:dyDescent="0.25">
      <c r="A1883" s="379">
        <v>45788.958333333336</v>
      </c>
      <c r="B1883" s="382" t="s">
        <v>3750</v>
      </c>
      <c r="C1883" s="377" t="s">
        <v>5153</v>
      </c>
      <c r="D1883" s="6" t="str">
        <f>_xlfn.XLOOKUP(B1883,Indices!$A$2:$A$2676,Indices!$B$2:$B$2676,"")</f>
        <v/>
      </c>
    </row>
    <row r="1884" spans="1:4" x14ac:dyDescent="0.25">
      <c r="A1884" s="379">
        <v>45788.958333333336</v>
      </c>
      <c r="B1884" s="382" t="s">
        <v>3475</v>
      </c>
      <c r="C1884" s="377" t="s">
        <v>5153</v>
      </c>
      <c r="D1884" s="6" t="str">
        <f>_xlfn.XLOOKUP(B1884,Indices!$A$2:$A$2676,Indices!$B$2:$B$2676,"")</f>
        <v/>
      </c>
    </row>
    <row r="1885" spans="1:4" x14ac:dyDescent="0.25">
      <c r="A1885" s="379">
        <v>45789</v>
      </c>
      <c r="B1885" s="382" t="s">
        <v>3721</v>
      </c>
      <c r="C1885" s="377" t="s">
        <v>5155</v>
      </c>
      <c r="D1885" s="6" t="str">
        <f>_xlfn.XLOOKUP(B1885,Indices!$A$2:$A$2676,Indices!$B$2:$B$2676,"")</f>
        <v/>
      </c>
    </row>
    <row r="1886" spans="1:4" x14ac:dyDescent="0.25">
      <c r="A1886" s="379">
        <v>45789.166666666664</v>
      </c>
      <c r="B1886" s="382" t="s">
        <v>3722</v>
      </c>
      <c r="C1886" s="377" t="s">
        <v>5156</v>
      </c>
      <c r="D1886" s="6" t="str">
        <f>_xlfn.XLOOKUP(B1886,Indices!$A$2:$A$2676,Indices!$B$2:$B$2676,"")</f>
        <v/>
      </c>
    </row>
    <row r="1887" spans="1:4" x14ac:dyDescent="0.25">
      <c r="A1887" s="379">
        <v>45789.166666666664</v>
      </c>
      <c r="B1887" s="382" t="s">
        <v>1009</v>
      </c>
      <c r="C1887" s="377" t="s">
        <v>5156</v>
      </c>
      <c r="D1887" s="6" t="str">
        <f>_xlfn.XLOOKUP(B1887,Indices!$A$2:$A$2676,Indices!$B$2:$B$2676,"")</f>
        <v>IWM</v>
      </c>
    </row>
    <row r="1888" spans="1:4" x14ac:dyDescent="0.25">
      <c r="A1888" s="379">
        <v>45789.166666666664</v>
      </c>
      <c r="B1888" s="382" t="s">
        <v>3848</v>
      </c>
      <c r="C1888" s="377" t="s">
        <v>5156</v>
      </c>
      <c r="D1888" s="6" t="str">
        <f>_xlfn.XLOOKUP(B1888,Indices!$A$2:$A$2676,Indices!$B$2:$B$2676,"")</f>
        <v/>
      </c>
    </row>
    <row r="1889" spans="1:4" x14ac:dyDescent="0.25">
      <c r="A1889" s="379">
        <v>45789.166666666664</v>
      </c>
      <c r="B1889" s="382" t="s">
        <v>3687</v>
      </c>
      <c r="C1889" s="377" t="s">
        <v>5156</v>
      </c>
      <c r="D1889" s="6" t="str">
        <f>_xlfn.XLOOKUP(B1889,Indices!$A$2:$A$2676,Indices!$B$2:$B$2676,"")</f>
        <v/>
      </c>
    </row>
    <row r="1890" spans="1:4" x14ac:dyDescent="0.25">
      <c r="A1890" s="379">
        <v>45789.166666666664</v>
      </c>
      <c r="B1890" s="382" t="s">
        <v>545</v>
      </c>
      <c r="C1890" s="377" t="s">
        <v>5156</v>
      </c>
      <c r="D1890" s="6" t="str">
        <f>_xlfn.XLOOKUP(B1890,Indices!$A$2:$A$2676,Indices!$B$2:$B$2676,"")</f>
        <v>IWM</v>
      </c>
    </row>
    <row r="1891" spans="1:4" x14ac:dyDescent="0.25">
      <c r="A1891" s="379">
        <v>45789.166666666664</v>
      </c>
      <c r="B1891" s="382" t="s">
        <v>1006</v>
      </c>
      <c r="C1891" s="377" t="s">
        <v>5156</v>
      </c>
      <c r="D1891" s="6" t="str">
        <f>_xlfn.XLOOKUP(B1891,Indices!$A$2:$A$2676,Indices!$B$2:$B$2676,"")</f>
        <v>IWM</v>
      </c>
    </row>
    <row r="1892" spans="1:4" x14ac:dyDescent="0.25">
      <c r="A1892" s="379">
        <v>45789.166666666664</v>
      </c>
      <c r="B1892" s="382" t="s">
        <v>3983</v>
      </c>
      <c r="C1892" s="377" t="s">
        <v>5156</v>
      </c>
      <c r="D1892" s="6" t="str">
        <f>_xlfn.XLOOKUP(B1892,Indices!$A$2:$A$2676,Indices!$B$2:$B$2676,"")</f>
        <v/>
      </c>
    </row>
    <row r="1893" spans="1:4" x14ac:dyDescent="0.25">
      <c r="A1893" s="379">
        <v>45789.166666666664</v>
      </c>
      <c r="B1893" s="382" t="s">
        <v>3975</v>
      </c>
      <c r="C1893" s="377" t="s">
        <v>5156</v>
      </c>
      <c r="D1893" s="6" t="str">
        <f>_xlfn.XLOOKUP(B1893,Indices!$A$2:$A$2676,Indices!$B$2:$B$2676,"")</f>
        <v/>
      </c>
    </row>
    <row r="1894" spans="1:4" x14ac:dyDescent="0.25">
      <c r="A1894" s="379">
        <v>45789.170138888891</v>
      </c>
      <c r="B1894" s="382" t="s">
        <v>897</v>
      </c>
      <c r="C1894" s="377" t="s">
        <v>5157</v>
      </c>
      <c r="D1894" s="6" t="str">
        <f>_xlfn.XLOOKUP(B1894,Indices!$A$2:$A$2676,Indices!$B$2:$B$2676,"")</f>
        <v>IWM</v>
      </c>
    </row>
    <row r="1895" spans="1:4" x14ac:dyDescent="0.25">
      <c r="A1895" s="379">
        <v>45789.177083333336</v>
      </c>
      <c r="B1895" s="382" t="s">
        <v>3618</v>
      </c>
      <c r="C1895" s="377" t="s">
        <v>5158</v>
      </c>
      <c r="D1895" s="6" t="str">
        <f>_xlfn.XLOOKUP(B1895,Indices!$A$2:$A$2676,Indices!$B$2:$B$2676,"")</f>
        <v/>
      </c>
    </row>
    <row r="1896" spans="1:4" x14ac:dyDescent="0.25">
      <c r="A1896" s="379">
        <v>45789.181250000001</v>
      </c>
      <c r="B1896" s="382" t="s">
        <v>504</v>
      </c>
      <c r="C1896" s="377" t="s">
        <v>5159</v>
      </c>
      <c r="D1896" s="6" t="str">
        <f>_xlfn.XLOOKUP(B1896,Indices!$A$2:$A$2676,Indices!$B$2:$B$2676,"")</f>
        <v>IWM</v>
      </c>
    </row>
    <row r="1897" spans="1:4" x14ac:dyDescent="0.25">
      <c r="A1897" s="379">
        <v>45789.1875</v>
      </c>
      <c r="B1897" s="382" t="s">
        <v>915</v>
      </c>
      <c r="C1897" s="377" t="s">
        <v>5160</v>
      </c>
      <c r="D1897" s="6" t="str">
        <f>_xlfn.XLOOKUP(B1897,Indices!$A$2:$A$2676,Indices!$B$2:$B$2676,"")</f>
        <v>IWM</v>
      </c>
    </row>
    <row r="1898" spans="1:4" x14ac:dyDescent="0.25">
      <c r="A1898" s="379">
        <v>45789.1875</v>
      </c>
      <c r="B1898" s="382" t="s">
        <v>4312</v>
      </c>
      <c r="C1898" s="377" t="s">
        <v>5160</v>
      </c>
      <c r="D1898" s="6" t="str">
        <f>_xlfn.XLOOKUP(B1898,Indices!$A$2:$A$2676,Indices!$B$2:$B$2676,"")</f>
        <v/>
      </c>
    </row>
    <row r="1899" spans="1:4" x14ac:dyDescent="0.25">
      <c r="A1899" s="379">
        <v>45789.1875</v>
      </c>
      <c r="B1899" s="382" t="s">
        <v>549</v>
      </c>
      <c r="C1899" s="377" t="s">
        <v>5160</v>
      </c>
      <c r="D1899" s="6" t="str">
        <f>_xlfn.XLOOKUP(B1899,Indices!$A$2:$A$2676,Indices!$B$2:$B$2676,"")</f>
        <v>IWM</v>
      </c>
    </row>
    <row r="1900" spans="1:4" x14ac:dyDescent="0.25">
      <c r="A1900" s="379">
        <v>45789.194444444445</v>
      </c>
      <c r="B1900" s="382" t="s">
        <v>3747</v>
      </c>
      <c r="C1900" s="377" t="s">
        <v>5161</v>
      </c>
      <c r="D1900" s="6" t="str">
        <f>_xlfn.XLOOKUP(B1900,Indices!$A$2:$A$2676,Indices!$B$2:$B$2676,"")</f>
        <v/>
      </c>
    </row>
    <row r="1901" spans="1:4" x14ac:dyDescent="0.25">
      <c r="A1901" s="379">
        <v>45789.197916666664</v>
      </c>
      <c r="B1901" s="382" t="s">
        <v>1049</v>
      </c>
      <c r="C1901" s="377" t="s">
        <v>5162</v>
      </c>
      <c r="D1901" s="6" t="str">
        <f>_xlfn.XLOOKUP(B1901,Indices!$A$2:$A$2676,Indices!$B$2:$B$2676,"")</f>
        <v>IWM</v>
      </c>
    </row>
    <row r="1902" spans="1:4" x14ac:dyDescent="0.25">
      <c r="A1902" s="379">
        <v>45789.208333333336</v>
      </c>
      <c r="B1902" s="382" t="s">
        <v>3460</v>
      </c>
      <c r="C1902" s="377" t="s">
        <v>5163</v>
      </c>
      <c r="D1902" s="6" t="str">
        <f>_xlfn.XLOOKUP(B1902,Indices!$A$2:$A$2676,Indices!$B$2:$B$2676,"")</f>
        <v/>
      </c>
    </row>
    <row r="1903" spans="1:4" x14ac:dyDescent="0.25">
      <c r="A1903" s="379">
        <v>45789.208333333336</v>
      </c>
      <c r="B1903" s="382" t="s">
        <v>3487</v>
      </c>
      <c r="C1903" s="377" t="s">
        <v>5163</v>
      </c>
      <c r="D1903" s="6" t="str">
        <f>_xlfn.XLOOKUP(B1903,Indices!$A$2:$A$2676,Indices!$B$2:$B$2676,"")</f>
        <v/>
      </c>
    </row>
    <row r="1904" spans="1:4" x14ac:dyDescent="0.25">
      <c r="A1904" s="379">
        <v>45789.208333333336</v>
      </c>
      <c r="B1904" s="382" t="s">
        <v>3455</v>
      </c>
      <c r="C1904" s="377" t="s">
        <v>5163</v>
      </c>
      <c r="D1904" s="6" t="str">
        <f>_xlfn.XLOOKUP(B1904,Indices!$A$2:$A$2676,Indices!$B$2:$B$2676,"")</f>
        <v/>
      </c>
    </row>
    <row r="1905" spans="1:4" x14ac:dyDescent="0.25">
      <c r="A1905" s="379">
        <v>45789.208333333336</v>
      </c>
      <c r="B1905" s="382" t="s">
        <v>2954</v>
      </c>
      <c r="C1905" s="377" t="s">
        <v>5163</v>
      </c>
      <c r="D1905" s="6" t="str">
        <f>_xlfn.XLOOKUP(B1905,Indices!$A$2:$A$2676,Indices!$B$2:$B$2676,"")</f>
        <v/>
      </c>
    </row>
    <row r="1906" spans="1:4" x14ac:dyDescent="0.25">
      <c r="A1906" s="379">
        <v>45789.208333333336</v>
      </c>
      <c r="B1906" s="382" t="s">
        <v>3431</v>
      </c>
      <c r="C1906" s="377" t="s">
        <v>5163</v>
      </c>
      <c r="D1906" s="6" t="str">
        <f>_xlfn.XLOOKUP(B1906,Indices!$A$2:$A$2676,Indices!$B$2:$B$2676,"")</f>
        <v/>
      </c>
    </row>
    <row r="1907" spans="1:4" x14ac:dyDescent="0.25">
      <c r="A1907" s="379">
        <v>45789.208333333336</v>
      </c>
      <c r="B1907" s="382" t="s">
        <v>268</v>
      </c>
      <c r="C1907" s="377" t="s">
        <v>5163</v>
      </c>
      <c r="D1907" s="6" t="str">
        <f>_xlfn.XLOOKUP(B1907,Indices!$A$2:$A$2676,Indices!$B$2:$B$2676,"")</f>
        <v>IWM</v>
      </c>
    </row>
    <row r="1908" spans="1:4" x14ac:dyDescent="0.25">
      <c r="A1908" s="379">
        <v>45789.208333333336</v>
      </c>
      <c r="B1908" s="382" t="s">
        <v>601</v>
      </c>
      <c r="C1908" s="377" t="s">
        <v>5163</v>
      </c>
      <c r="D1908" s="6" t="str">
        <f>_xlfn.XLOOKUP(B1908,Indices!$A$2:$A$2676,Indices!$B$2:$B$2676,"")</f>
        <v>IWM</v>
      </c>
    </row>
    <row r="1909" spans="1:4" x14ac:dyDescent="0.25">
      <c r="A1909" s="379">
        <v>45789.208333333336</v>
      </c>
      <c r="B1909" s="382" t="s">
        <v>3943</v>
      </c>
      <c r="C1909" s="377" t="s">
        <v>5163</v>
      </c>
      <c r="D1909" s="6" t="str">
        <f>_xlfn.XLOOKUP(B1909,Indices!$A$2:$A$2676,Indices!$B$2:$B$2676,"")</f>
        <v/>
      </c>
    </row>
    <row r="1910" spans="1:4" x14ac:dyDescent="0.25">
      <c r="A1910" s="379">
        <v>45789.208333333336</v>
      </c>
      <c r="B1910" s="382" t="s">
        <v>304</v>
      </c>
      <c r="C1910" s="377" t="s">
        <v>5163</v>
      </c>
      <c r="D1910" s="6" t="str">
        <f>_xlfn.XLOOKUP(B1910,Indices!$A$2:$A$2676,Indices!$B$2:$B$2676,"")</f>
        <v>IWM</v>
      </c>
    </row>
    <row r="1911" spans="1:4" x14ac:dyDescent="0.25">
      <c r="A1911" s="379">
        <v>45789.208333333336</v>
      </c>
      <c r="B1911" s="382" t="s">
        <v>2895</v>
      </c>
      <c r="C1911" s="377" t="s">
        <v>5163</v>
      </c>
      <c r="D1911" s="6" t="str">
        <f>_xlfn.XLOOKUP(B1911,Indices!$A$2:$A$2676,Indices!$B$2:$B$2676,"")</f>
        <v/>
      </c>
    </row>
    <row r="1912" spans="1:4" x14ac:dyDescent="0.25">
      <c r="A1912" s="379">
        <v>45789.208333333336</v>
      </c>
      <c r="B1912" s="382" t="s">
        <v>3739</v>
      </c>
      <c r="C1912" s="377" t="s">
        <v>5163</v>
      </c>
      <c r="D1912" s="6" t="str">
        <f>_xlfn.XLOOKUP(B1912,Indices!$A$2:$A$2676,Indices!$B$2:$B$2676,"")</f>
        <v/>
      </c>
    </row>
    <row r="1913" spans="1:4" x14ac:dyDescent="0.25">
      <c r="A1913" s="379">
        <v>45789.208333333336</v>
      </c>
      <c r="B1913" s="382" t="s">
        <v>144</v>
      </c>
      <c r="C1913" s="377" t="s">
        <v>5163</v>
      </c>
      <c r="D1913" s="6" t="str">
        <f>_xlfn.XLOOKUP(B1913,Indices!$A$2:$A$2676,Indices!$B$2:$B$2676,"")</f>
        <v>S&amp;P Mid</v>
      </c>
    </row>
    <row r="1914" spans="1:4" x14ac:dyDescent="0.25">
      <c r="A1914" s="379">
        <v>45789.208333333336</v>
      </c>
      <c r="B1914" s="382" t="s">
        <v>3963</v>
      </c>
      <c r="C1914" s="377" t="s">
        <v>5163</v>
      </c>
      <c r="D1914" s="6" t="str">
        <f>_xlfn.XLOOKUP(B1914,Indices!$A$2:$A$2676,Indices!$B$2:$B$2676,"")</f>
        <v/>
      </c>
    </row>
    <row r="1915" spans="1:4" x14ac:dyDescent="0.25">
      <c r="A1915" s="379">
        <v>45789.208333333336</v>
      </c>
      <c r="B1915" s="382" t="s">
        <v>3835</v>
      </c>
      <c r="C1915" s="377" t="s">
        <v>5163</v>
      </c>
      <c r="D1915" s="6" t="str">
        <f>_xlfn.XLOOKUP(B1915,Indices!$A$2:$A$2676,Indices!$B$2:$B$2676,"")</f>
        <v/>
      </c>
    </row>
    <row r="1916" spans="1:4" x14ac:dyDescent="0.25">
      <c r="A1916" s="379">
        <v>45789.208333333336</v>
      </c>
      <c r="B1916" s="382" t="s">
        <v>3098</v>
      </c>
      <c r="C1916" s="377" t="s">
        <v>5163</v>
      </c>
      <c r="D1916" s="6" t="str">
        <f>_xlfn.XLOOKUP(B1916,Indices!$A$2:$A$2676,Indices!$B$2:$B$2676,"")</f>
        <v/>
      </c>
    </row>
    <row r="1917" spans="1:4" x14ac:dyDescent="0.25">
      <c r="A1917" s="379">
        <v>45789.208333333336</v>
      </c>
      <c r="B1917" s="382" t="s">
        <v>912</v>
      </c>
      <c r="C1917" s="377" t="s">
        <v>5163</v>
      </c>
      <c r="D1917" s="6" t="str">
        <f>_xlfn.XLOOKUP(B1917,Indices!$A$2:$A$2676,Indices!$B$2:$B$2676,"")</f>
        <v>IWM</v>
      </c>
    </row>
    <row r="1918" spans="1:4" x14ac:dyDescent="0.25">
      <c r="A1918" s="379">
        <v>45789.208333333336</v>
      </c>
      <c r="B1918" s="382" t="s">
        <v>2570</v>
      </c>
      <c r="C1918" s="377" t="s">
        <v>5163</v>
      </c>
      <c r="D1918" s="6" t="str">
        <f>_xlfn.XLOOKUP(B1918,Indices!$A$2:$A$2676,Indices!$B$2:$B$2676,"")</f>
        <v/>
      </c>
    </row>
    <row r="1919" spans="1:4" x14ac:dyDescent="0.25">
      <c r="A1919" s="379">
        <v>45789.208333333336</v>
      </c>
      <c r="B1919" s="382" t="s">
        <v>845</v>
      </c>
      <c r="C1919" s="377" t="s">
        <v>5163</v>
      </c>
      <c r="D1919" s="6" t="str">
        <f>_xlfn.XLOOKUP(B1919,Indices!$A$2:$A$2676,Indices!$B$2:$B$2676,"")</f>
        <v>IWM</v>
      </c>
    </row>
    <row r="1920" spans="1:4" x14ac:dyDescent="0.25">
      <c r="A1920" s="379">
        <v>45789.208333333336</v>
      </c>
      <c r="B1920" s="382" t="s">
        <v>4021</v>
      </c>
      <c r="C1920" s="377" t="s">
        <v>5163</v>
      </c>
      <c r="D1920" s="6" t="str">
        <f>_xlfn.XLOOKUP(B1920,Indices!$A$2:$A$2676,Indices!$B$2:$B$2676,"")</f>
        <v/>
      </c>
    </row>
    <row r="1921" spans="1:4" x14ac:dyDescent="0.25">
      <c r="A1921" s="379">
        <v>45789.222916666666</v>
      </c>
      <c r="B1921" s="382" t="s">
        <v>849</v>
      </c>
      <c r="C1921" s="377" t="s">
        <v>5164</v>
      </c>
      <c r="D1921" s="6" t="str">
        <f>_xlfn.XLOOKUP(B1921,Indices!$A$2:$A$2676,Indices!$B$2:$B$2676,"")</f>
        <v>SP500</v>
      </c>
    </row>
    <row r="1922" spans="1:4" x14ac:dyDescent="0.25">
      <c r="A1922" s="379">
        <v>45789.229166666664</v>
      </c>
      <c r="B1922" s="382" t="s">
        <v>2571</v>
      </c>
      <c r="C1922" s="377" t="s">
        <v>5166</v>
      </c>
      <c r="D1922" s="6" t="str">
        <f>_xlfn.XLOOKUP(B1922,Indices!$A$2:$A$2676,Indices!$B$2:$B$2676,"")</f>
        <v/>
      </c>
    </row>
    <row r="1923" spans="1:4" x14ac:dyDescent="0.25">
      <c r="A1923" s="379">
        <v>45789.229166666664</v>
      </c>
      <c r="B1923" s="382" t="s">
        <v>927</v>
      </c>
      <c r="C1923" s="377" t="s">
        <v>5165</v>
      </c>
      <c r="D1923" s="6" t="str">
        <f>_xlfn.XLOOKUP(B1923,Indices!$A$2:$A$2676,Indices!$B$2:$B$2676,"")</f>
        <v>IWM</v>
      </c>
    </row>
    <row r="1924" spans="1:4" x14ac:dyDescent="0.25">
      <c r="A1924" s="379">
        <v>45789.229166666664</v>
      </c>
      <c r="B1924" s="382" t="s">
        <v>4505</v>
      </c>
      <c r="C1924" s="377" t="s">
        <v>5165</v>
      </c>
      <c r="D1924" s="6" t="str">
        <f>_xlfn.XLOOKUP(B1924,Indices!$A$2:$A$2676,Indices!$B$2:$B$2676,"")</f>
        <v/>
      </c>
    </row>
    <row r="1925" spans="1:4" x14ac:dyDescent="0.25">
      <c r="A1925" s="379">
        <v>45789.229166666664</v>
      </c>
      <c r="B1925" s="382" t="s">
        <v>56</v>
      </c>
      <c r="C1925" s="377" t="s">
        <v>5165</v>
      </c>
      <c r="D1925" s="6" t="str">
        <f>_xlfn.XLOOKUP(B1925,Indices!$A$2:$A$2676,Indices!$B$2:$B$2676,"")</f>
        <v>IWM</v>
      </c>
    </row>
    <row r="1926" spans="1:4" x14ac:dyDescent="0.25">
      <c r="A1926" s="379">
        <v>45789.229166666664</v>
      </c>
      <c r="B1926" s="382" t="s">
        <v>3868</v>
      </c>
      <c r="C1926" s="377" t="s">
        <v>5165</v>
      </c>
      <c r="D1926" s="6" t="str">
        <f>_xlfn.XLOOKUP(B1926,Indices!$A$2:$A$2676,Indices!$B$2:$B$2676,"")</f>
        <v/>
      </c>
    </row>
    <row r="1927" spans="1:4" x14ac:dyDescent="0.25">
      <c r="A1927" s="379">
        <v>45789.229166666664</v>
      </c>
      <c r="B1927" s="382" t="s">
        <v>3715</v>
      </c>
      <c r="C1927" s="377" t="s">
        <v>5165</v>
      </c>
      <c r="D1927" s="6" t="str">
        <f>_xlfn.XLOOKUP(B1927,Indices!$A$2:$A$2676,Indices!$B$2:$B$2676,"")</f>
        <v/>
      </c>
    </row>
    <row r="1928" spans="1:4" x14ac:dyDescent="0.25">
      <c r="A1928" s="379">
        <v>45789.231249999997</v>
      </c>
      <c r="B1928" s="382" t="s">
        <v>3393</v>
      </c>
      <c r="C1928" s="377" t="s">
        <v>5167</v>
      </c>
      <c r="D1928" s="6" t="str">
        <f>_xlfn.XLOOKUP(B1928,Indices!$A$2:$A$2676,Indices!$B$2:$B$2676,"")</f>
        <v/>
      </c>
    </row>
    <row r="1929" spans="1:4" x14ac:dyDescent="0.25">
      <c r="A1929" s="379">
        <v>45789.25</v>
      </c>
      <c r="B1929" s="382" t="s">
        <v>869</v>
      </c>
      <c r="C1929" s="377" t="s">
        <v>5168</v>
      </c>
      <c r="D1929" s="6" t="str">
        <f>_xlfn.XLOOKUP(B1929,Indices!$A$2:$A$2676,Indices!$B$2:$B$2676,"")</f>
        <v>IWM</v>
      </c>
    </row>
    <row r="1930" spans="1:4" x14ac:dyDescent="0.25">
      <c r="A1930" s="379">
        <v>45789.25</v>
      </c>
      <c r="B1930" s="382" t="s">
        <v>316</v>
      </c>
      <c r="C1930" s="377" t="s">
        <v>5168</v>
      </c>
      <c r="D1930" s="6" t="str">
        <f>_xlfn.XLOOKUP(B1930,Indices!$A$2:$A$2676,Indices!$B$2:$B$2676,"")</f>
        <v>IWM</v>
      </c>
    </row>
    <row r="1931" spans="1:4" x14ac:dyDescent="0.25">
      <c r="A1931" s="379">
        <v>45789.25</v>
      </c>
      <c r="B1931" s="382" t="s">
        <v>318</v>
      </c>
      <c r="C1931" s="377" t="s">
        <v>5168</v>
      </c>
      <c r="D1931" s="6" t="str">
        <f>_xlfn.XLOOKUP(B1931,Indices!$A$2:$A$2676,Indices!$B$2:$B$2676,"")</f>
        <v>IWM</v>
      </c>
    </row>
    <row r="1932" spans="1:4" x14ac:dyDescent="0.25">
      <c r="A1932" s="379">
        <v>45789.25</v>
      </c>
      <c r="B1932" s="382" t="s">
        <v>3075</v>
      </c>
      <c r="C1932" s="377" t="s">
        <v>5168</v>
      </c>
      <c r="D1932" s="6" t="str">
        <f>_xlfn.XLOOKUP(B1932,Indices!$A$2:$A$2676,Indices!$B$2:$B$2676,"")</f>
        <v/>
      </c>
    </row>
    <row r="1933" spans="1:4" x14ac:dyDescent="0.25">
      <c r="A1933" s="379">
        <v>45789.25</v>
      </c>
      <c r="B1933" s="382" t="s">
        <v>3437</v>
      </c>
      <c r="C1933" s="377" t="s">
        <v>5168</v>
      </c>
      <c r="D1933" s="6" t="str">
        <f>_xlfn.XLOOKUP(B1933,Indices!$A$2:$A$2676,Indices!$B$2:$B$2676,"")</f>
        <v/>
      </c>
    </row>
    <row r="1934" spans="1:4" x14ac:dyDescent="0.25">
      <c r="A1934" s="379">
        <v>45789.25</v>
      </c>
      <c r="B1934" s="382" t="s">
        <v>1055</v>
      </c>
      <c r="C1934" s="377" t="s">
        <v>5168</v>
      </c>
      <c r="D1934" s="6" t="str">
        <f>_xlfn.XLOOKUP(B1934,Indices!$A$2:$A$2676,Indices!$B$2:$B$2676,"")</f>
        <v>IWM</v>
      </c>
    </row>
    <row r="1935" spans="1:4" x14ac:dyDescent="0.25">
      <c r="A1935" s="379">
        <v>45789.25</v>
      </c>
      <c r="B1935" s="382" t="s">
        <v>322</v>
      </c>
      <c r="C1935" s="377" t="s">
        <v>5168</v>
      </c>
      <c r="D1935" s="6" t="str">
        <f>_xlfn.XLOOKUP(B1935,Indices!$A$2:$A$2676,Indices!$B$2:$B$2676,"")</f>
        <v>IWM</v>
      </c>
    </row>
    <row r="1936" spans="1:4" x14ac:dyDescent="0.25">
      <c r="A1936" s="379">
        <v>45789.25</v>
      </c>
      <c r="B1936" s="382" t="s">
        <v>319</v>
      </c>
      <c r="C1936" s="377" t="s">
        <v>5168</v>
      </c>
      <c r="D1936" s="6" t="str">
        <f>_xlfn.XLOOKUP(B1936,Indices!$A$2:$A$2676,Indices!$B$2:$B$2676,"")</f>
        <v>IWM</v>
      </c>
    </row>
    <row r="1937" spans="1:4" x14ac:dyDescent="0.25">
      <c r="A1937" s="379">
        <v>45789.25</v>
      </c>
      <c r="B1937" s="382" t="s">
        <v>58</v>
      </c>
      <c r="C1937" s="377" t="s">
        <v>5168</v>
      </c>
      <c r="D1937" s="6" t="str">
        <f>_xlfn.XLOOKUP(B1937,Indices!$A$2:$A$2676,Indices!$B$2:$B$2676,"")</f>
        <v>SP500</v>
      </c>
    </row>
    <row r="1938" spans="1:4" x14ac:dyDescent="0.25">
      <c r="A1938" s="379">
        <v>45789.25</v>
      </c>
      <c r="B1938" s="382" t="s">
        <v>320</v>
      </c>
      <c r="C1938" s="377" t="s">
        <v>5168</v>
      </c>
      <c r="D1938" s="6" t="str">
        <f>_xlfn.XLOOKUP(B1938,Indices!$A$2:$A$2676,Indices!$B$2:$B$2676,"")</f>
        <v>IWM</v>
      </c>
    </row>
    <row r="1939" spans="1:4" x14ac:dyDescent="0.25">
      <c r="A1939" s="379">
        <v>45789.25</v>
      </c>
      <c r="B1939" s="382" t="s">
        <v>1056</v>
      </c>
      <c r="C1939" s="377" t="s">
        <v>5168</v>
      </c>
      <c r="D1939" s="6" t="str">
        <f>_xlfn.XLOOKUP(B1939,Indices!$A$2:$A$2676,Indices!$B$2:$B$2676,"")</f>
        <v>IWM</v>
      </c>
    </row>
    <row r="1940" spans="1:4" x14ac:dyDescent="0.25">
      <c r="A1940" s="379">
        <v>45789.25277777778</v>
      </c>
      <c r="B1940" s="382" t="s">
        <v>59</v>
      </c>
      <c r="C1940" s="377" t="s">
        <v>5169</v>
      </c>
      <c r="D1940" s="6" t="str">
        <f>_xlfn.XLOOKUP(B1940,Indices!$A$2:$A$2676,Indices!$B$2:$B$2676,"")</f>
        <v>SP500</v>
      </c>
    </row>
    <row r="1941" spans="1:4" x14ac:dyDescent="0.25">
      <c r="A1941" s="379">
        <v>45789.260416666664</v>
      </c>
      <c r="B1941" s="382" t="s">
        <v>3451</v>
      </c>
      <c r="C1941" s="377" t="s">
        <v>5170</v>
      </c>
      <c r="D1941" s="6" t="str">
        <f>_xlfn.XLOOKUP(B1941,Indices!$A$2:$A$2676,Indices!$B$2:$B$2676,"")</f>
        <v/>
      </c>
    </row>
    <row r="1942" spans="1:4" x14ac:dyDescent="0.25">
      <c r="A1942" s="379">
        <v>45789.291666666664</v>
      </c>
      <c r="B1942" s="382" t="s">
        <v>3743</v>
      </c>
      <c r="C1942" s="377" t="s">
        <v>3712</v>
      </c>
      <c r="D1942" s="6" t="str">
        <f>_xlfn.XLOOKUP(B1942,Indices!$A$2:$A$2676,Indices!$B$2:$B$2676,"")</f>
        <v/>
      </c>
    </row>
    <row r="1943" spans="1:4" x14ac:dyDescent="0.25">
      <c r="A1943" s="379">
        <v>45789.291666666664</v>
      </c>
      <c r="B1943" s="382" t="s">
        <v>2795</v>
      </c>
      <c r="C1943" s="377" t="s">
        <v>3712</v>
      </c>
      <c r="D1943" s="6" t="str">
        <f>_xlfn.XLOOKUP(B1943,Indices!$A$2:$A$2676,Indices!$B$2:$B$2676,"")</f>
        <v/>
      </c>
    </row>
    <row r="1944" spans="1:4" x14ac:dyDescent="0.25">
      <c r="A1944" s="379">
        <v>45789.291666666664</v>
      </c>
      <c r="B1944" s="382" t="s">
        <v>3738</v>
      </c>
      <c r="C1944" s="377" t="s">
        <v>3712</v>
      </c>
      <c r="D1944" s="6" t="str">
        <f>_xlfn.XLOOKUP(B1944,Indices!$A$2:$A$2676,Indices!$B$2:$B$2676,"")</f>
        <v/>
      </c>
    </row>
    <row r="1945" spans="1:4" x14ac:dyDescent="0.25">
      <c r="A1945" s="379">
        <v>45789.291666666664</v>
      </c>
      <c r="B1945" s="382" t="s">
        <v>3831</v>
      </c>
      <c r="C1945" s="377" t="s">
        <v>5171</v>
      </c>
      <c r="D1945" s="6" t="str">
        <f>_xlfn.XLOOKUP(B1945,Indices!$A$2:$A$2676,Indices!$B$2:$B$2676,"")</f>
        <v/>
      </c>
    </row>
    <row r="1946" spans="1:4" x14ac:dyDescent="0.25">
      <c r="A1946" s="379">
        <v>45789.295138888891</v>
      </c>
      <c r="B1946" s="382" t="s">
        <v>3459</v>
      </c>
      <c r="C1946" s="377" t="s">
        <v>5172</v>
      </c>
      <c r="D1946" s="6" t="str">
        <f>_xlfn.XLOOKUP(B1946,Indices!$A$2:$A$2676,Indices!$B$2:$B$2676,"")</f>
        <v/>
      </c>
    </row>
    <row r="1947" spans="1:4" x14ac:dyDescent="0.25">
      <c r="A1947" s="379">
        <v>45789.416666666664</v>
      </c>
      <c r="B1947" s="382" t="s">
        <v>3705</v>
      </c>
      <c r="C1947" s="377" t="s">
        <v>5173</v>
      </c>
      <c r="D1947" s="6" t="str">
        <f>_xlfn.XLOOKUP(B1947,Indices!$A$2:$A$2676,Indices!$B$2:$B$2676,"")</f>
        <v/>
      </c>
    </row>
    <row r="1948" spans="1:4" x14ac:dyDescent="0.25">
      <c r="A1948" s="379">
        <v>45789.44027777778</v>
      </c>
      <c r="B1948" s="382" t="s">
        <v>3236</v>
      </c>
      <c r="C1948" s="377" t="s">
        <v>5174</v>
      </c>
      <c r="D1948" s="6" t="str">
        <f>_xlfn.XLOOKUP(B1948,Indices!$A$2:$A$2676,Indices!$B$2:$B$2676,"")</f>
        <v/>
      </c>
    </row>
    <row r="1949" spans="1:4" x14ac:dyDescent="0.25">
      <c r="A1949" s="379">
        <v>45789.583333333336</v>
      </c>
      <c r="B1949" s="382" t="s">
        <v>3614</v>
      </c>
      <c r="C1949" s="377" t="s">
        <v>5175</v>
      </c>
      <c r="D1949" s="6" t="str">
        <f>_xlfn.XLOOKUP(B1949,Indices!$A$2:$A$2676,Indices!$B$2:$B$2676,"")</f>
        <v/>
      </c>
    </row>
    <row r="1950" spans="1:4" x14ac:dyDescent="0.25">
      <c r="A1950" s="379">
        <v>45789.583333333336</v>
      </c>
      <c r="B1950" s="382" t="s">
        <v>637</v>
      </c>
      <c r="C1950" s="377" t="s">
        <v>5175</v>
      </c>
      <c r="D1950" s="6" t="str">
        <f>_xlfn.XLOOKUP(B1950,Indices!$A$2:$A$2676,Indices!$B$2:$B$2676,"")</f>
        <v>IWM</v>
      </c>
    </row>
    <row r="1951" spans="1:4" x14ac:dyDescent="0.25">
      <c r="A1951" s="379">
        <v>45789.583333333336</v>
      </c>
      <c r="B1951" s="382" t="s">
        <v>3216</v>
      </c>
      <c r="C1951" s="377" t="s">
        <v>5175</v>
      </c>
      <c r="D1951" s="6" t="str">
        <f>_xlfn.XLOOKUP(B1951,Indices!$A$2:$A$2676,Indices!$B$2:$B$2676,"")</f>
        <v/>
      </c>
    </row>
    <row r="1952" spans="1:4" x14ac:dyDescent="0.25">
      <c r="A1952" s="379">
        <v>45789.583333333336</v>
      </c>
      <c r="B1952" s="382" t="s">
        <v>5176</v>
      </c>
      <c r="C1952" s="377" t="s">
        <v>5175</v>
      </c>
      <c r="D1952" s="6" t="str">
        <f>_xlfn.XLOOKUP(B1952,Indices!$A$2:$A$2676,Indices!$B$2:$B$2676,"")</f>
        <v/>
      </c>
    </row>
    <row r="1953" spans="1:4" x14ac:dyDescent="0.25">
      <c r="A1953" s="379">
        <v>45789.583333333336</v>
      </c>
      <c r="B1953" s="382" t="s">
        <v>2919</v>
      </c>
      <c r="C1953" s="377" t="s">
        <v>5175</v>
      </c>
      <c r="D1953" s="6" t="str">
        <f>_xlfn.XLOOKUP(B1953,Indices!$A$2:$A$2676,Indices!$B$2:$B$2676,"")</f>
        <v/>
      </c>
    </row>
    <row r="1954" spans="1:4" x14ac:dyDescent="0.25">
      <c r="A1954" s="379">
        <v>45789.583333333336</v>
      </c>
      <c r="B1954" s="382" t="s">
        <v>2995</v>
      </c>
      <c r="C1954" s="377" t="s">
        <v>5175</v>
      </c>
      <c r="D1954" s="6" t="str">
        <f>_xlfn.XLOOKUP(B1954,Indices!$A$2:$A$2676,Indices!$B$2:$B$2676,"")</f>
        <v/>
      </c>
    </row>
    <row r="1955" spans="1:4" x14ac:dyDescent="0.25">
      <c r="A1955" s="379">
        <v>45789.583333333336</v>
      </c>
      <c r="B1955" s="382" t="s">
        <v>3801</v>
      </c>
      <c r="C1955" s="377" t="s">
        <v>5175</v>
      </c>
      <c r="D1955" s="6" t="str">
        <f>_xlfn.XLOOKUP(B1955,Indices!$A$2:$A$2676,Indices!$B$2:$B$2676,"")</f>
        <v/>
      </c>
    </row>
    <row r="1956" spans="1:4" x14ac:dyDescent="0.25">
      <c r="A1956" s="379">
        <v>45789.584027777775</v>
      </c>
      <c r="B1956" s="382" t="s">
        <v>3597</v>
      </c>
      <c r="C1956" s="377" t="s">
        <v>5177</v>
      </c>
      <c r="D1956" s="6" t="str">
        <f>_xlfn.XLOOKUP(B1956,Indices!$A$2:$A$2676,Indices!$B$2:$B$2676,"")</f>
        <v/>
      </c>
    </row>
    <row r="1957" spans="1:4" x14ac:dyDescent="0.25">
      <c r="A1957" s="379">
        <v>45789.584027777775</v>
      </c>
      <c r="B1957" s="382" t="s">
        <v>1002</v>
      </c>
      <c r="C1957" s="377" t="s">
        <v>5177</v>
      </c>
      <c r="D1957" s="6" t="str">
        <f>_xlfn.XLOOKUP(B1957,Indices!$A$2:$A$2676,Indices!$B$2:$B$2676,"")</f>
        <v>IWM</v>
      </c>
    </row>
    <row r="1958" spans="1:4" x14ac:dyDescent="0.25">
      <c r="A1958" s="379">
        <v>45789.584027777775</v>
      </c>
      <c r="B1958" s="382" t="s">
        <v>3195</v>
      </c>
      <c r="C1958" s="377" t="s">
        <v>5177</v>
      </c>
      <c r="D1958" s="6" t="str">
        <f>_xlfn.XLOOKUP(B1958,Indices!$A$2:$A$2676,Indices!$B$2:$B$2676,"")</f>
        <v/>
      </c>
    </row>
    <row r="1959" spans="1:4" x14ac:dyDescent="0.25">
      <c r="A1959" s="379">
        <v>45789.584027777775</v>
      </c>
      <c r="B1959" s="382" t="s">
        <v>672</v>
      </c>
      <c r="C1959" s="377" t="s">
        <v>5177</v>
      </c>
      <c r="D1959" s="6" t="str">
        <f>_xlfn.XLOOKUP(B1959,Indices!$A$2:$A$2676,Indices!$B$2:$B$2676,"")</f>
        <v>IWM</v>
      </c>
    </row>
    <row r="1960" spans="1:4" x14ac:dyDescent="0.25">
      <c r="A1960" s="379">
        <v>45789.584027777775</v>
      </c>
      <c r="B1960" s="382" t="s">
        <v>4169</v>
      </c>
      <c r="C1960" s="377" t="s">
        <v>5177</v>
      </c>
      <c r="D1960" s="6" t="str">
        <f>_xlfn.XLOOKUP(B1960,Indices!$A$2:$A$2676,Indices!$B$2:$B$2676,"")</f>
        <v/>
      </c>
    </row>
    <row r="1961" spans="1:4" x14ac:dyDescent="0.25">
      <c r="A1961" s="379">
        <v>45789.584027777775</v>
      </c>
      <c r="B1961" s="382" t="s">
        <v>154</v>
      </c>
      <c r="C1961" s="377" t="s">
        <v>5177</v>
      </c>
      <c r="D1961" s="6" t="str">
        <f>_xlfn.XLOOKUP(B1961,Indices!$A$2:$A$2676,Indices!$B$2:$B$2676,"")</f>
        <v>IWM</v>
      </c>
    </row>
    <row r="1962" spans="1:4" x14ac:dyDescent="0.25">
      <c r="A1962" s="379">
        <v>45789.584027777775</v>
      </c>
      <c r="B1962" s="382" t="s">
        <v>1136</v>
      </c>
      <c r="C1962" s="377" t="s">
        <v>5177</v>
      </c>
      <c r="D1962" s="6" t="str">
        <f>_xlfn.XLOOKUP(B1962,Indices!$A$2:$A$2676,Indices!$B$2:$B$2676,"")</f>
        <v>IWM</v>
      </c>
    </row>
    <row r="1963" spans="1:4" x14ac:dyDescent="0.25">
      <c r="A1963" s="379">
        <v>45789.584027777775</v>
      </c>
      <c r="B1963" s="382" t="s">
        <v>947</v>
      </c>
      <c r="C1963" s="377" t="s">
        <v>5177</v>
      </c>
      <c r="D1963" s="6" t="str">
        <f>_xlfn.XLOOKUP(B1963,Indices!$A$2:$A$2676,Indices!$B$2:$B$2676,"")</f>
        <v>IWM</v>
      </c>
    </row>
    <row r="1964" spans="1:4" x14ac:dyDescent="0.25">
      <c r="A1964" s="379">
        <v>45789.584027777775</v>
      </c>
      <c r="B1964" s="382" t="s">
        <v>905</v>
      </c>
      <c r="C1964" s="377" t="s">
        <v>5177</v>
      </c>
      <c r="D1964" s="6" t="str">
        <f>_xlfn.XLOOKUP(B1964,Indices!$A$2:$A$2676,Indices!$B$2:$B$2676,"")</f>
        <v>IWM</v>
      </c>
    </row>
    <row r="1965" spans="1:4" x14ac:dyDescent="0.25">
      <c r="A1965" s="379">
        <v>45789.584027777775</v>
      </c>
      <c r="B1965" s="382" t="s">
        <v>674</v>
      </c>
      <c r="C1965" s="377" t="s">
        <v>5177</v>
      </c>
      <c r="D1965" s="6" t="str">
        <f>_xlfn.XLOOKUP(B1965,Indices!$A$2:$A$2676,Indices!$B$2:$B$2676,"")</f>
        <v>IWM</v>
      </c>
    </row>
    <row r="1966" spans="1:4" x14ac:dyDescent="0.25">
      <c r="A1966" s="379">
        <v>45789.584027777775</v>
      </c>
      <c r="B1966" s="382" t="s">
        <v>3553</v>
      </c>
      <c r="C1966" s="377" t="s">
        <v>5177</v>
      </c>
      <c r="D1966" s="6" t="str">
        <f>_xlfn.XLOOKUP(B1966,Indices!$A$2:$A$2676,Indices!$B$2:$B$2676,"")</f>
        <v/>
      </c>
    </row>
    <row r="1967" spans="1:4" x14ac:dyDescent="0.25">
      <c r="A1967" s="379">
        <v>45789.584027777775</v>
      </c>
      <c r="B1967" s="382" t="s">
        <v>346</v>
      </c>
      <c r="C1967" s="377" t="s">
        <v>5177</v>
      </c>
      <c r="D1967" s="6" t="str">
        <f>_xlfn.XLOOKUP(B1967,Indices!$A$2:$A$2676,Indices!$B$2:$B$2676,"")</f>
        <v>IWM</v>
      </c>
    </row>
    <row r="1968" spans="1:4" x14ac:dyDescent="0.25">
      <c r="A1968" s="379">
        <v>45789.584027777775</v>
      </c>
      <c r="B1968" s="382" t="s">
        <v>77</v>
      </c>
      <c r="C1968" s="377" t="s">
        <v>5177</v>
      </c>
      <c r="D1968" s="6" t="str">
        <f>_xlfn.XLOOKUP(B1968,Indices!$A$2:$A$2676,Indices!$B$2:$B$2676,"")</f>
        <v>IWM</v>
      </c>
    </row>
    <row r="1969" spans="1:4" x14ac:dyDescent="0.25">
      <c r="A1969" s="379">
        <v>45789.584027777775</v>
      </c>
      <c r="B1969" s="382" t="s">
        <v>901</v>
      </c>
      <c r="C1969" s="377" t="s">
        <v>5177</v>
      </c>
      <c r="D1969" s="6" t="str">
        <f>_xlfn.XLOOKUP(B1969,Indices!$A$2:$A$2676,Indices!$B$2:$B$2676,"")</f>
        <v>IWM</v>
      </c>
    </row>
    <row r="1970" spans="1:4" x14ac:dyDescent="0.25">
      <c r="A1970" s="379">
        <v>45789.584027777775</v>
      </c>
      <c r="B1970" s="382" t="s">
        <v>3641</v>
      </c>
      <c r="C1970" s="377" t="s">
        <v>5177</v>
      </c>
      <c r="D1970" s="6" t="str">
        <f>_xlfn.XLOOKUP(B1970,Indices!$A$2:$A$2676,Indices!$B$2:$B$2676,"")</f>
        <v/>
      </c>
    </row>
    <row r="1971" spans="1:4" x14ac:dyDescent="0.25">
      <c r="A1971" s="379">
        <v>45789.584027777775</v>
      </c>
      <c r="B1971" s="382" t="s">
        <v>3787</v>
      </c>
      <c r="C1971" s="377" t="s">
        <v>5177</v>
      </c>
      <c r="D1971" s="6" t="str">
        <f>_xlfn.XLOOKUP(B1971,Indices!$A$2:$A$2676,Indices!$B$2:$B$2676,"")</f>
        <v/>
      </c>
    </row>
    <row r="1972" spans="1:4" x14ac:dyDescent="0.25">
      <c r="A1972" s="379">
        <v>45789.584027777775</v>
      </c>
      <c r="B1972" s="382" t="s">
        <v>3751</v>
      </c>
      <c r="C1972" s="377" t="s">
        <v>5177</v>
      </c>
      <c r="D1972" s="6" t="str">
        <f>_xlfn.XLOOKUP(B1972,Indices!$A$2:$A$2676,Indices!$B$2:$B$2676,"")</f>
        <v/>
      </c>
    </row>
    <row r="1973" spans="1:4" x14ac:dyDescent="0.25">
      <c r="A1973" s="379">
        <v>45789.584027777775</v>
      </c>
      <c r="B1973" s="382" t="s">
        <v>3662</v>
      </c>
      <c r="C1973" s="377" t="s">
        <v>5177</v>
      </c>
      <c r="D1973" s="6" t="str">
        <f>_xlfn.XLOOKUP(B1973,Indices!$A$2:$A$2676,Indices!$B$2:$B$2676,"")</f>
        <v/>
      </c>
    </row>
    <row r="1974" spans="1:4" x14ac:dyDescent="0.25">
      <c r="A1974" s="379">
        <v>45789.584027777775</v>
      </c>
      <c r="B1974" s="382" t="s">
        <v>1152</v>
      </c>
      <c r="C1974" s="377" t="s">
        <v>5177</v>
      </c>
      <c r="D1974" s="6" t="str">
        <f>_xlfn.XLOOKUP(B1974,Indices!$A$2:$A$2676,Indices!$B$2:$B$2676,"")</f>
        <v>IWM</v>
      </c>
    </row>
    <row r="1975" spans="1:4" x14ac:dyDescent="0.25">
      <c r="A1975" s="379">
        <v>45789.584027777775</v>
      </c>
      <c r="B1975" s="382" t="s">
        <v>846</v>
      </c>
      <c r="C1975" s="377" t="s">
        <v>5177</v>
      </c>
      <c r="D1975" s="6" t="str">
        <f>_xlfn.XLOOKUP(B1975,Indices!$A$2:$A$2676,Indices!$B$2:$B$2676,"")</f>
        <v>IWM</v>
      </c>
    </row>
    <row r="1976" spans="1:4" x14ac:dyDescent="0.25">
      <c r="A1976" s="379">
        <v>45789.584722222222</v>
      </c>
      <c r="B1976" s="382" t="s">
        <v>5178</v>
      </c>
      <c r="C1976" s="377" t="s">
        <v>5179</v>
      </c>
      <c r="D1976" s="6" t="str">
        <f>_xlfn.XLOOKUP(B1976,Indices!$A$2:$A$2676,Indices!$B$2:$B$2676,"")</f>
        <v/>
      </c>
    </row>
    <row r="1977" spans="1:4" x14ac:dyDescent="0.25">
      <c r="A1977" s="379">
        <v>45789.584722222222</v>
      </c>
      <c r="B1977" s="382" t="s">
        <v>3419</v>
      </c>
      <c r="C1977" s="377" t="s">
        <v>5179</v>
      </c>
      <c r="D1977" s="6" t="str">
        <f>_xlfn.XLOOKUP(B1977,Indices!$A$2:$A$2676,Indices!$B$2:$B$2676,"")</f>
        <v/>
      </c>
    </row>
    <row r="1978" spans="1:4" x14ac:dyDescent="0.25">
      <c r="A1978" s="379">
        <v>45789.584722222222</v>
      </c>
      <c r="B1978" s="382" t="s">
        <v>3092</v>
      </c>
      <c r="C1978" s="377" t="s">
        <v>5179</v>
      </c>
      <c r="D1978" s="6" t="str">
        <f>_xlfn.XLOOKUP(B1978,Indices!$A$2:$A$2676,Indices!$B$2:$B$2676,"")</f>
        <v/>
      </c>
    </row>
    <row r="1979" spans="1:4" x14ac:dyDescent="0.25">
      <c r="A1979" s="379">
        <v>45789.585416666669</v>
      </c>
      <c r="B1979" s="382" t="s">
        <v>3571</v>
      </c>
      <c r="C1979" s="377" t="s">
        <v>5180</v>
      </c>
      <c r="D1979" s="6" t="str">
        <f>_xlfn.XLOOKUP(B1979,Indices!$A$2:$A$2676,Indices!$B$2:$B$2676,"")</f>
        <v/>
      </c>
    </row>
    <row r="1980" spans="1:4" x14ac:dyDescent="0.25">
      <c r="A1980" s="379">
        <v>45789.586111111108</v>
      </c>
      <c r="B1980" s="382" t="s">
        <v>3570</v>
      </c>
      <c r="C1980" s="377" t="s">
        <v>5181</v>
      </c>
      <c r="D1980" s="6" t="str">
        <f>_xlfn.XLOOKUP(B1980,Indices!$A$2:$A$2676,Indices!$B$2:$B$2676,"")</f>
        <v/>
      </c>
    </row>
    <row r="1981" spans="1:4" x14ac:dyDescent="0.25">
      <c r="A1981" s="379">
        <v>45789.586805555555</v>
      </c>
      <c r="B1981" s="382" t="s">
        <v>308</v>
      </c>
      <c r="C1981" s="377" t="s">
        <v>5182</v>
      </c>
      <c r="D1981" s="6" t="str">
        <f>_xlfn.XLOOKUP(B1981,Indices!$A$2:$A$2676,Indices!$B$2:$B$2676,"")</f>
        <v>IWM</v>
      </c>
    </row>
    <row r="1982" spans="1:4" x14ac:dyDescent="0.25">
      <c r="A1982" s="379">
        <v>45789.586805555555</v>
      </c>
      <c r="B1982" s="382" t="s">
        <v>978</v>
      </c>
      <c r="C1982" s="377" t="s">
        <v>5182</v>
      </c>
      <c r="D1982" s="6" t="str">
        <f>_xlfn.XLOOKUP(B1982,Indices!$A$2:$A$2676,Indices!$B$2:$B$2676,"")</f>
        <v>IWM</v>
      </c>
    </row>
    <row r="1983" spans="1:4" x14ac:dyDescent="0.25">
      <c r="A1983" s="379">
        <v>45789.586805555555</v>
      </c>
      <c r="B1983" s="382" t="s">
        <v>954</v>
      </c>
      <c r="C1983" s="377" t="s">
        <v>5182</v>
      </c>
      <c r="D1983" s="6" t="str">
        <f>_xlfn.XLOOKUP(B1983,Indices!$A$2:$A$2676,Indices!$B$2:$B$2676,"")</f>
        <v>IWM</v>
      </c>
    </row>
    <row r="1984" spans="1:4" x14ac:dyDescent="0.25">
      <c r="A1984" s="379">
        <v>45789.586805555555</v>
      </c>
      <c r="B1984" s="382" t="s">
        <v>4171</v>
      </c>
      <c r="C1984" s="377" t="s">
        <v>5182</v>
      </c>
      <c r="D1984" s="6" t="str">
        <f>_xlfn.XLOOKUP(B1984,Indices!$A$2:$A$2676,Indices!$B$2:$B$2676,"")</f>
        <v/>
      </c>
    </row>
    <row r="1985" spans="1:4" x14ac:dyDescent="0.25">
      <c r="A1985" s="379">
        <v>45789.586805555555</v>
      </c>
      <c r="B1985" s="382" t="s">
        <v>1035</v>
      </c>
      <c r="C1985" s="377" t="s">
        <v>5182</v>
      </c>
      <c r="D1985" s="6" t="str">
        <f>_xlfn.XLOOKUP(B1985,Indices!$A$2:$A$2676,Indices!$B$2:$B$2676,"")</f>
        <v>IWM</v>
      </c>
    </row>
    <row r="1986" spans="1:4" x14ac:dyDescent="0.25">
      <c r="A1986" s="379">
        <v>45789.586805555555</v>
      </c>
      <c r="B1986" s="382" t="s">
        <v>3371</v>
      </c>
      <c r="C1986" s="377" t="s">
        <v>5182</v>
      </c>
      <c r="D1986" s="6" t="str">
        <f>_xlfn.XLOOKUP(B1986,Indices!$A$2:$A$2676,Indices!$B$2:$B$2676,"")</f>
        <v/>
      </c>
    </row>
    <row r="1987" spans="1:4" x14ac:dyDescent="0.25">
      <c r="A1987" s="379">
        <v>45789.586805555555</v>
      </c>
      <c r="B1987" s="382" t="s">
        <v>3669</v>
      </c>
      <c r="C1987" s="377" t="s">
        <v>5182</v>
      </c>
      <c r="D1987" s="6" t="str">
        <f>_xlfn.XLOOKUP(B1987,Indices!$A$2:$A$2676,Indices!$B$2:$B$2676,"")</f>
        <v/>
      </c>
    </row>
    <row r="1988" spans="1:4" x14ac:dyDescent="0.25">
      <c r="A1988" s="379">
        <v>45789.586805555555</v>
      </c>
      <c r="B1988" s="382" t="s">
        <v>705</v>
      </c>
      <c r="C1988" s="377" t="s">
        <v>5182</v>
      </c>
      <c r="D1988" s="6" t="str">
        <f>_xlfn.XLOOKUP(B1988,Indices!$A$2:$A$2676,Indices!$B$2:$B$2676,"")</f>
        <v>IWM</v>
      </c>
    </row>
    <row r="1989" spans="1:4" x14ac:dyDescent="0.25">
      <c r="A1989" s="379">
        <v>45789.586805555555</v>
      </c>
      <c r="B1989" s="382" t="s">
        <v>3763</v>
      </c>
      <c r="C1989" s="377" t="s">
        <v>5182</v>
      </c>
      <c r="D1989" s="6" t="str">
        <f>_xlfn.XLOOKUP(B1989,Indices!$A$2:$A$2676,Indices!$B$2:$B$2676,"")</f>
        <v/>
      </c>
    </row>
    <row r="1990" spans="1:4" x14ac:dyDescent="0.25">
      <c r="A1990" s="379">
        <v>45789.586805555555</v>
      </c>
      <c r="B1990" s="382" t="s">
        <v>648</v>
      </c>
      <c r="C1990" s="377" t="s">
        <v>5182</v>
      </c>
      <c r="D1990" s="6" t="str">
        <f>_xlfn.XLOOKUP(B1990,Indices!$A$2:$A$2676,Indices!$B$2:$B$2676,"")</f>
        <v>IWM</v>
      </c>
    </row>
    <row r="1991" spans="1:4" x14ac:dyDescent="0.25">
      <c r="A1991" s="379">
        <v>45789.586805555555</v>
      </c>
      <c r="B1991" s="382" t="s">
        <v>5183</v>
      </c>
      <c r="C1991" s="377" t="s">
        <v>5182</v>
      </c>
      <c r="D1991" s="6" t="str">
        <f>_xlfn.XLOOKUP(B1991,Indices!$A$2:$A$2676,Indices!$B$2:$B$2676,"")</f>
        <v/>
      </c>
    </row>
    <row r="1992" spans="1:4" x14ac:dyDescent="0.25">
      <c r="A1992" s="379">
        <v>45789.586805555555</v>
      </c>
      <c r="B1992" s="382" t="s">
        <v>5184</v>
      </c>
      <c r="C1992" s="377" t="s">
        <v>5182</v>
      </c>
      <c r="D1992" s="6" t="str">
        <f>_xlfn.XLOOKUP(B1992,Indices!$A$2:$A$2676,Indices!$B$2:$B$2676,"")</f>
        <v/>
      </c>
    </row>
    <row r="1993" spans="1:4" x14ac:dyDescent="0.25">
      <c r="A1993" s="379">
        <v>45789.586805555555</v>
      </c>
      <c r="B1993" s="382" t="s">
        <v>3175</v>
      </c>
      <c r="C1993" s="377" t="s">
        <v>5182</v>
      </c>
      <c r="D1993" s="6" t="str">
        <f>_xlfn.XLOOKUP(B1993,Indices!$A$2:$A$2676,Indices!$B$2:$B$2676,"")</f>
        <v/>
      </c>
    </row>
    <row r="1994" spans="1:4" x14ac:dyDescent="0.25">
      <c r="A1994" s="379">
        <v>45789.586805555555</v>
      </c>
      <c r="B1994" s="382" t="s">
        <v>327</v>
      </c>
      <c r="C1994" s="377" t="s">
        <v>5182</v>
      </c>
      <c r="D1994" s="6" t="str">
        <f>_xlfn.XLOOKUP(B1994,Indices!$A$2:$A$2676,Indices!$B$2:$B$2676,"")</f>
        <v>IWM</v>
      </c>
    </row>
    <row r="1995" spans="1:4" x14ac:dyDescent="0.25">
      <c r="A1995" s="379">
        <v>45789.586805555555</v>
      </c>
      <c r="B1995" s="382" t="s">
        <v>3077</v>
      </c>
      <c r="C1995" s="377" t="s">
        <v>5182</v>
      </c>
      <c r="D1995" s="6" t="str">
        <f>_xlfn.XLOOKUP(B1995,Indices!$A$2:$A$2676,Indices!$B$2:$B$2676,"")</f>
        <v/>
      </c>
    </row>
    <row r="1996" spans="1:4" x14ac:dyDescent="0.25">
      <c r="A1996" s="379">
        <v>45789.586805555555</v>
      </c>
      <c r="B1996" s="382" t="s">
        <v>396</v>
      </c>
      <c r="C1996" s="377" t="s">
        <v>5182</v>
      </c>
      <c r="D1996" s="6" t="str">
        <f>_xlfn.XLOOKUP(B1996,Indices!$A$2:$A$2676,Indices!$B$2:$B$2676,"")</f>
        <v>IWM</v>
      </c>
    </row>
    <row r="1997" spans="1:4" x14ac:dyDescent="0.25">
      <c r="A1997" s="379">
        <v>45789.586805555555</v>
      </c>
      <c r="B1997" s="382" t="s">
        <v>3759</v>
      </c>
      <c r="C1997" s="377" t="s">
        <v>5182</v>
      </c>
      <c r="D1997" s="6" t="str">
        <f>_xlfn.XLOOKUP(B1997,Indices!$A$2:$A$2676,Indices!$B$2:$B$2676,"")</f>
        <v/>
      </c>
    </row>
    <row r="1998" spans="1:4" x14ac:dyDescent="0.25">
      <c r="A1998" s="379">
        <v>45789.586805555555</v>
      </c>
      <c r="B1998" s="382" t="s">
        <v>3897</v>
      </c>
      <c r="C1998" s="377" t="s">
        <v>5182</v>
      </c>
      <c r="D1998" s="6" t="str">
        <f>_xlfn.XLOOKUP(B1998,Indices!$A$2:$A$2676,Indices!$B$2:$B$2676,"")</f>
        <v/>
      </c>
    </row>
    <row r="1999" spans="1:4" x14ac:dyDescent="0.25">
      <c r="A1999" s="379">
        <v>45789.586805555555</v>
      </c>
      <c r="B1999" s="382" t="s">
        <v>977</v>
      </c>
      <c r="C1999" s="377" t="s">
        <v>5182</v>
      </c>
      <c r="D1999" s="6" t="str">
        <f>_xlfn.XLOOKUP(B1999,Indices!$A$2:$A$2676,Indices!$B$2:$B$2676,"")</f>
        <v>IWM</v>
      </c>
    </row>
    <row r="2000" spans="1:4" x14ac:dyDescent="0.25">
      <c r="A2000" s="379">
        <v>45789.586805555555</v>
      </c>
      <c r="B2000" s="382" t="s">
        <v>976</v>
      </c>
      <c r="C2000" s="377" t="s">
        <v>5182</v>
      </c>
      <c r="D2000" s="6" t="str">
        <f>_xlfn.XLOOKUP(B2000,Indices!$A$2:$A$2676,Indices!$B$2:$B$2676,"")</f>
        <v>IWM</v>
      </c>
    </row>
    <row r="2001" spans="1:4" x14ac:dyDescent="0.25">
      <c r="A2001" s="379">
        <v>45789.586805555555</v>
      </c>
      <c r="B2001" s="382" t="s">
        <v>3586</v>
      </c>
      <c r="C2001" s="377" t="s">
        <v>5182</v>
      </c>
      <c r="D2001" s="6" t="str">
        <f>_xlfn.XLOOKUP(B2001,Indices!$A$2:$A$2676,Indices!$B$2:$B$2676,"")</f>
        <v/>
      </c>
    </row>
    <row r="2002" spans="1:4" x14ac:dyDescent="0.25">
      <c r="A2002" s="379">
        <v>45789.586805555555</v>
      </c>
      <c r="B2002" s="382" t="s">
        <v>3703</v>
      </c>
      <c r="C2002" s="377" t="s">
        <v>5182</v>
      </c>
      <c r="D2002" s="6" t="str">
        <f>_xlfn.XLOOKUP(B2002,Indices!$A$2:$A$2676,Indices!$B$2:$B$2676,"")</f>
        <v/>
      </c>
    </row>
    <row r="2003" spans="1:4" x14ac:dyDescent="0.25">
      <c r="A2003" s="379">
        <v>45789.586805555555</v>
      </c>
      <c r="B2003" s="382" t="s">
        <v>1565</v>
      </c>
      <c r="C2003" s="377" t="s">
        <v>5182</v>
      </c>
      <c r="D2003" s="6" t="str">
        <f>_xlfn.XLOOKUP(B2003,Indices!$A$2:$A$2676,Indices!$B$2:$B$2676,"")</f>
        <v>SP500</v>
      </c>
    </row>
    <row r="2004" spans="1:4" x14ac:dyDescent="0.25">
      <c r="A2004" s="379">
        <v>45789.586805555555</v>
      </c>
      <c r="B2004" s="382" t="s">
        <v>407</v>
      </c>
      <c r="C2004" s="377" t="s">
        <v>5182</v>
      </c>
      <c r="D2004" s="6" t="str">
        <f>_xlfn.XLOOKUP(B2004,Indices!$A$2:$A$2676,Indices!$B$2:$B$2676,"")</f>
        <v>IWM</v>
      </c>
    </row>
    <row r="2005" spans="1:4" x14ac:dyDescent="0.25">
      <c r="A2005" s="379">
        <v>45789.586805555555</v>
      </c>
      <c r="B2005" s="382" t="s">
        <v>871</v>
      </c>
      <c r="C2005" s="377" t="s">
        <v>5182</v>
      </c>
      <c r="D2005" s="6" t="str">
        <f>_xlfn.XLOOKUP(B2005,Indices!$A$2:$A$2676,Indices!$B$2:$B$2676,"")</f>
        <v>IWM</v>
      </c>
    </row>
    <row r="2006" spans="1:4" x14ac:dyDescent="0.25">
      <c r="A2006" s="379">
        <v>45789.586805555555</v>
      </c>
      <c r="B2006" s="382" t="s">
        <v>2589</v>
      </c>
      <c r="C2006" s="377" t="s">
        <v>5182</v>
      </c>
      <c r="D2006" s="6" t="str">
        <f>_xlfn.XLOOKUP(B2006,Indices!$A$2:$A$2676,Indices!$B$2:$B$2676,"")</f>
        <v/>
      </c>
    </row>
    <row r="2007" spans="1:4" x14ac:dyDescent="0.25">
      <c r="A2007" s="379">
        <v>45789.586805555555</v>
      </c>
      <c r="B2007" s="382" t="s">
        <v>4135</v>
      </c>
      <c r="C2007" s="377" t="s">
        <v>5182</v>
      </c>
      <c r="D2007" s="6" t="str">
        <f>_xlfn.XLOOKUP(B2007,Indices!$A$2:$A$2676,Indices!$B$2:$B$2676,"")</f>
        <v/>
      </c>
    </row>
    <row r="2008" spans="1:4" x14ac:dyDescent="0.25">
      <c r="A2008" s="379">
        <v>45789.586805555555</v>
      </c>
      <c r="B2008" s="382" t="s">
        <v>2940</v>
      </c>
      <c r="C2008" s="377" t="s">
        <v>5182</v>
      </c>
      <c r="D2008" s="6" t="str">
        <f>_xlfn.XLOOKUP(B2008,Indices!$A$2:$A$2676,Indices!$B$2:$B$2676,"")</f>
        <v/>
      </c>
    </row>
    <row r="2009" spans="1:4" x14ac:dyDescent="0.25">
      <c r="A2009" s="379">
        <v>45789.586805555555</v>
      </c>
      <c r="B2009" s="382" t="s">
        <v>3323</v>
      </c>
      <c r="C2009" s="377" t="s">
        <v>5182</v>
      </c>
      <c r="D2009" s="6" t="str">
        <f>_xlfn.XLOOKUP(B2009,Indices!$A$2:$A$2676,Indices!$B$2:$B$2676,"")</f>
        <v/>
      </c>
    </row>
    <row r="2010" spans="1:4" x14ac:dyDescent="0.25">
      <c r="A2010" s="379">
        <v>45789.586805555555</v>
      </c>
      <c r="B2010" s="382" t="s">
        <v>28</v>
      </c>
      <c r="C2010" s="377" t="s">
        <v>5182</v>
      </c>
      <c r="D2010" s="6" t="str">
        <f>_xlfn.XLOOKUP(B2010,Indices!$A$2:$A$2676,Indices!$B$2:$B$2676,"")</f>
        <v>SP500</v>
      </c>
    </row>
    <row r="2011" spans="1:4" x14ac:dyDescent="0.25">
      <c r="A2011" s="379">
        <v>45789.586805555555</v>
      </c>
      <c r="B2011" s="382" t="s">
        <v>4179</v>
      </c>
      <c r="C2011" s="377" t="s">
        <v>5182</v>
      </c>
      <c r="D2011" s="6" t="str">
        <f>_xlfn.XLOOKUP(B2011,Indices!$A$2:$A$2676,Indices!$B$2:$B$2676,"")</f>
        <v/>
      </c>
    </row>
    <row r="2012" spans="1:4" x14ac:dyDescent="0.25">
      <c r="A2012" s="379">
        <v>45789.586805555555</v>
      </c>
      <c r="B2012" s="382" t="s">
        <v>3637</v>
      </c>
      <c r="C2012" s="377" t="s">
        <v>5182</v>
      </c>
      <c r="D2012" s="6" t="str">
        <f>_xlfn.XLOOKUP(B2012,Indices!$A$2:$A$2676,Indices!$B$2:$B$2676,"")</f>
        <v/>
      </c>
    </row>
    <row r="2013" spans="1:4" x14ac:dyDescent="0.25">
      <c r="A2013" s="379">
        <v>45789.586805555555</v>
      </c>
      <c r="B2013" s="382" t="s">
        <v>624</v>
      </c>
      <c r="C2013" s="377" t="s">
        <v>5182</v>
      </c>
      <c r="D2013" s="6" t="str">
        <f>_xlfn.XLOOKUP(B2013,Indices!$A$2:$A$2676,Indices!$B$2:$B$2676,"")</f>
        <v>IWM</v>
      </c>
    </row>
    <row r="2014" spans="1:4" x14ac:dyDescent="0.25">
      <c r="A2014" s="379">
        <v>45789.586805555555</v>
      </c>
      <c r="B2014" s="382" t="s">
        <v>3399</v>
      </c>
      <c r="C2014" s="377" t="s">
        <v>5182</v>
      </c>
      <c r="D2014" s="6" t="str">
        <f>_xlfn.XLOOKUP(B2014,Indices!$A$2:$A$2676,Indices!$B$2:$B$2676,"")</f>
        <v/>
      </c>
    </row>
    <row r="2015" spans="1:4" x14ac:dyDescent="0.25">
      <c r="A2015" s="379">
        <v>45789.586805555555</v>
      </c>
      <c r="B2015" s="382" t="s">
        <v>3781</v>
      </c>
      <c r="C2015" s="377" t="s">
        <v>5182</v>
      </c>
      <c r="D2015" s="6" t="str">
        <f>_xlfn.XLOOKUP(B2015,Indices!$A$2:$A$2676,Indices!$B$2:$B$2676,"")</f>
        <v/>
      </c>
    </row>
    <row r="2016" spans="1:4" x14ac:dyDescent="0.25">
      <c r="A2016" s="379">
        <v>45789.586805555555</v>
      </c>
      <c r="B2016" s="382" t="s">
        <v>3544</v>
      </c>
      <c r="C2016" s="377" t="s">
        <v>5182</v>
      </c>
      <c r="D2016" s="6" t="str">
        <f>_xlfn.XLOOKUP(B2016,Indices!$A$2:$A$2676,Indices!$B$2:$B$2676,"")</f>
        <v/>
      </c>
    </row>
    <row r="2017" spans="1:4" x14ac:dyDescent="0.25">
      <c r="A2017" s="379">
        <v>45789.586805555555</v>
      </c>
      <c r="B2017" s="382" t="s">
        <v>3785</v>
      </c>
      <c r="C2017" s="377" t="s">
        <v>5182</v>
      </c>
      <c r="D2017" s="6" t="str">
        <f>_xlfn.XLOOKUP(B2017,Indices!$A$2:$A$2676,Indices!$B$2:$B$2676,"")</f>
        <v/>
      </c>
    </row>
    <row r="2018" spans="1:4" x14ac:dyDescent="0.25">
      <c r="A2018" s="379">
        <v>45789.586805555555</v>
      </c>
      <c r="B2018" s="382" t="s">
        <v>3604</v>
      </c>
      <c r="C2018" s="377" t="s">
        <v>5182</v>
      </c>
      <c r="D2018" s="6" t="str">
        <f>_xlfn.XLOOKUP(B2018,Indices!$A$2:$A$2676,Indices!$B$2:$B$2676,"")</f>
        <v/>
      </c>
    </row>
    <row r="2019" spans="1:4" x14ac:dyDescent="0.25">
      <c r="A2019" s="379">
        <v>45789.586805555555</v>
      </c>
      <c r="B2019" s="382" t="s">
        <v>4091</v>
      </c>
      <c r="C2019" s="377" t="s">
        <v>5182</v>
      </c>
      <c r="D2019" s="6" t="str">
        <f>_xlfn.XLOOKUP(B2019,Indices!$A$2:$A$2676,Indices!$B$2:$B$2676,"")</f>
        <v/>
      </c>
    </row>
    <row r="2020" spans="1:4" x14ac:dyDescent="0.25">
      <c r="A2020" s="379">
        <v>45789.586805555555</v>
      </c>
      <c r="B2020" s="382" t="s">
        <v>2207</v>
      </c>
      <c r="C2020" s="377" t="s">
        <v>5182</v>
      </c>
      <c r="D2020" s="6" t="str">
        <f>_xlfn.XLOOKUP(B2020,Indices!$A$2:$A$2676,Indices!$B$2:$B$2676,"")</f>
        <v>IWM</v>
      </c>
    </row>
    <row r="2021" spans="1:4" x14ac:dyDescent="0.25">
      <c r="A2021" s="379">
        <v>45789.586805555555</v>
      </c>
      <c r="B2021" s="382" t="s">
        <v>387</v>
      </c>
      <c r="C2021" s="377" t="s">
        <v>5182</v>
      </c>
      <c r="D2021" s="6" t="str">
        <f>_xlfn.XLOOKUP(B2021,Indices!$A$2:$A$2676,Indices!$B$2:$B$2676,"")</f>
        <v>IWM</v>
      </c>
    </row>
    <row r="2022" spans="1:4" x14ac:dyDescent="0.25">
      <c r="A2022" s="379">
        <v>45789.586805555555</v>
      </c>
      <c r="B2022" s="382" t="s">
        <v>3337</v>
      </c>
      <c r="C2022" s="377" t="s">
        <v>5182</v>
      </c>
      <c r="D2022" s="6" t="str">
        <f>_xlfn.XLOOKUP(B2022,Indices!$A$2:$A$2676,Indices!$B$2:$B$2676,"")</f>
        <v/>
      </c>
    </row>
    <row r="2023" spans="1:4" x14ac:dyDescent="0.25">
      <c r="A2023" s="379">
        <v>45789.586805555555</v>
      </c>
      <c r="B2023" s="382" t="s">
        <v>3817</v>
      </c>
      <c r="C2023" s="377" t="s">
        <v>5182</v>
      </c>
      <c r="D2023" s="6" t="str">
        <f>_xlfn.XLOOKUP(B2023,Indices!$A$2:$A$2676,Indices!$B$2:$B$2676,"")</f>
        <v/>
      </c>
    </row>
    <row r="2024" spans="1:4" x14ac:dyDescent="0.25">
      <c r="A2024" s="379">
        <v>45789.586805555555</v>
      </c>
      <c r="B2024" s="382" t="s">
        <v>956</v>
      </c>
      <c r="C2024" s="377" t="s">
        <v>5182</v>
      </c>
      <c r="D2024" s="6" t="str">
        <f>_xlfn.XLOOKUP(B2024,Indices!$A$2:$A$2676,Indices!$B$2:$B$2676,"")</f>
        <v>S&amp;P Mid</v>
      </c>
    </row>
    <row r="2025" spans="1:4" x14ac:dyDescent="0.25">
      <c r="A2025" s="379">
        <v>45789.586805555555</v>
      </c>
      <c r="B2025" s="382" t="s">
        <v>950</v>
      </c>
      <c r="C2025" s="377" t="s">
        <v>5182</v>
      </c>
      <c r="D2025" s="6" t="str">
        <f>_xlfn.XLOOKUP(B2025,Indices!$A$2:$A$2676,Indices!$B$2:$B$2676,"")</f>
        <v>IWM</v>
      </c>
    </row>
    <row r="2026" spans="1:4" x14ac:dyDescent="0.25">
      <c r="A2026" s="379">
        <v>45789.586805555555</v>
      </c>
      <c r="B2026" s="382" t="s">
        <v>946</v>
      </c>
      <c r="C2026" s="377" t="s">
        <v>5182</v>
      </c>
      <c r="D2026" s="6" t="str">
        <f>_xlfn.XLOOKUP(B2026,Indices!$A$2:$A$2676,Indices!$B$2:$B$2676,"")</f>
        <v>IWM</v>
      </c>
    </row>
    <row r="2027" spans="1:4" x14ac:dyDescent="0.25">
      <c r="A2027" s="379">
        <v>45789.586805555555</v>
      </c>
      <c r="B2027" s="382" t="s">
        <v>3778</v>
      </c>
      <c r="C2027" s="377" t="s">
        <v>5182</v>
      </c>
      <c r="D2027" s="6" t="str">
        <f>_xlfn.XLOOKUP(B2027,Indices!$A$2:$A$2676,Indices!$B$2:$B$2676,"")</f>
        <v/>
      </c>
    </row>
    <row r="2028" spans="1:4" x14ac:dyDescent="0.25">
      <c r="A2028" s="379">
        <v>45789.586805555555</v>
      </c>
      <c r="B2028" s="382" t="s">
        <v>714</v>
      </c>
      <c r="C2028" s="377" t="s">
        <v>5182</v>
      </c>
      <c r="D2028" s="6" t="str">
        <f>_xlfn.XLOOKUP(B2028,Indices!$A$2:$A$2676,Indices!$B$2:$B$2676,"")</f>
        <v>IWM</v>
      </c>
    </row>
    <row r="2029" spans="1:4" x14ac:dyDescent="0.25">
      <c r="A2029" s="379">
        <v>45789.586805555555</v>
      </c>
      <c r="B2029" s="382" t="s">
        <v>3650</v>
      </c>
      <c r="C2029" s="377" t="s">
        <v>5182</v>
      </c>
      <c r="D2029" s="6" t="str">
        <f>_xlfn.XLOOKUP(B2029,Indices!$A$2:$A$2676,Indices!$B$2:$B$2676,"")</f>
        <v/>
      </c>
    </row>
    <row r="2030" spans="1:4" x14ac:dyDescent="0.25">
      <c r="A2030" s="379">
        <v>45789.586805555555</v>
      </c>
      <c r="B2030" s="382" t="s">
        <v>969</v>
      </c>
      <c r="C2030" s="377" t="s">
        <v>5182</v>
      </c>
      <c r="D2030" s="6" t="str">
        <f>_xlfn.XLOOKUP(B2030,Indices!$A$2:$A$2676,Indices!$B$2:$B$2676,"")</f>
        <v>IWM</v>
      </c>
    </row>
    <row r="2031" spans="1:4" x14ac:dyDescent="0.25">
      <c r="A2031" s="379">
        <v>45789.586805555555</v>
      </c>
      <c r="B2031" s="382" t="s">
        <v>5185</v>
      </c>
      <c r="C2031" s="377" t="s">
        <v>5182</v>
      </c>
      <c r="D2031" s="6" t="str">
        <f>_xlfn.XLOOKUP(B2031,Indices!$A$2:$A$2676,Indices!$B$2:$B$2676,"")</f>
        <v/>
      </c>
    </row>
    <row r="2032" spans="1:4" x14ac:dyDescent="0.25">
      <c r="A2032" s="379">
        <v>45789.586805555555</v>
      </c>
      <c r="B2032" s="382" t="s">
        <v>3204</v>
      </c>
      <c r="C2032" s="377" t="s">
        <v>5182</v>
      </c>
      <c r="D2032" s="6" t="str">
        <f>_xlfn.XLOOKUP(B2032,Indices!$A$2:$A$2676,Indices!$B$2:$B$2676,"")</f>
        <v/>
      </c>
    </row>
    <row r="2033" spans="1:4" x14ac:dyDescent="0.25">
      <c r="A2033" s="379">
        <v>45789.587500000001</v>
      </c>
      <c r="B2033" s="382" t="s">
        <v>3198</v>
      </c>
      <c r="C2033" s="377" t="s">
        <v>5186</v>
      </c>
      <c r="D2033" s="6" t="str">
        <f>_xlfn.XLOOKUP(B2033,Indices!$A$2:$A$2676,Indices!$B$2:$B$2676,"")</f>
        <v/>
      </c>
    </row>
    <row r="2034" spans="1:4" x14ac:dyDescent="0.25">
      <c r="A2034" s="379">
        <v>45789.587500000001</v>
      </c>
      <c r="B2034" s="382" t="s">
        <v>3773</v>
      </c>
      <c r="C2034" s="377" t="s">
        <v>5186</v>
      </c>
      <c r="D2034" s="6" t="str">
        <f>_xlfn.XLOOKUP(B2034,Indices!$A$2:$A$2676,Indices!$B$2:$B$2676,"")</f>
        <v/>
      </c>
    </row>
    <row r="2035" spans="1:4" x14ac:dyDescent="0.25">
      <c r="A2035" s="379">
        <v>45789.587500000001</v>
      </c>
      <c r="B2035" s="382" t="s">
        <v>664</v>
      </c>
      <c r="C2035" s="377" t="s">
        <v>5186</v>
      </c>
      <c r="D2035" s="6" t="str">
        <f>_xlfn.XLOOKUP(B2035,Indices!$A$2:$A$2676,Indices!$B$2:$B$2676,"")</f>
        <v>IWM</v>
      </c>
    </row>
    <row r="2036" spans="1:4" x14ac:dyDescent="0.25">
      <c r="A2036" s="379">
        <v>45789.588194444441</v>
      </c>
      <c r="B2036" s="382" t="s">
        <v>699</v>
      </c>
      <c r="C2036" s="377" t="s">
        <v>5187</v>
      </c>
      <c r="D2036" s="6" t="str">
        <f>_xlfn.XLOOKUP(B2036,Indices!$A$2:$A$2676,Indices!$B$2:$B$2676,"")</f>
        <v>IWM</v>
      </c>
    </row>
    <row r="2037" spans="1:4" x14ac:dyDescent="0.25">
      <c r="A2037" s="379">
        <v>45789.588194444441</v>
      </c>
      <c r="B2037" s="382" t="s">
        <v>2488</v>
      </c>
      <c r="C2037" s="377" t="s">
        <v>5187</v>
      </c>
      <c r="D2037" s="6" t="str">
        <f>_xlfn.XLOOKUP(B2037,Indices!$A$2:$A$2676,Indices!$B$2:$B$2676,"")</f>
        <v>S&amp;P Mid</v>
      </c>
    </row>
    <row r="2038" spans="1:4" x14ac:dyDescent="0.25">
      <c r="A2038" s="379">
        <v>45789.588194444441</v>
      </c>
      <c r="B2038" s="382" t="s">
        <v>771</v>
      </c>
      <c r="C2038" s="377" t="s">
        <v>5187</v>
      </c>
      <c r="D2038" s="6" t="str">
        <f>_xlfn.XLOOKUP(B2038,Indices!$A$2:$A$2676,Indices!$B$2:$B$2676,"")</f>
        <v>IWM</v>
      </c>
    </row>
    <row r="2039" spans="1:4" x14ac:dyDescent="0.25">
      <c r="A2039" s="379">
        <v>45789.590277777781</v>
      </c>
      <c r="B2039" s="382" t="s">
        <v>1066</v>
      </c>
      <c r="C2039" s="377" t="s">
        <v>5188</v>
      </c>
      <c r="D2039" s="6" t="str">
        <f>_xlfn.XLOOKUP(B2039,Indices!$A$2:$A$2676,Indices!$B$2:$B$2676,"")</f>
        <v>IWM</v>
      </c>
    </row>
    <row r="2040" spans="1:4" x14ac:dyDescent="0.25">
      <c r="A2040" s="379">
        <v>45789.590277777781</v>
      </c>
      <c r="B2040" s="382" t="s">
        <v>3606</v>
      </c>
      <c r="C2040" s="377" t="s">
        <v>5188</v>
      </c>
      <c r="D2040" s="6" t="str">
        <f>_xlfn.XLOOKUP(B2040,Indices!$A$2:$A$2676,Indices!$B$2:$B$2676,"")</f>
        <v/>
      </c>
    </row>
    <row r="2041" spans="1:4" x14ac:dyDescent="0.25">
      <c r="A2041" s="379">
        <v>45789.590277777781</v>
      </c>
      <c r="B2041" s="382" t="s">
        <v>3543</v>
      </c>
      <c r="C2041" s="377" t="s">
        <v>5188</v>
      </c>
      <c r="D2041" s="6" t="str">
        <f>_xlfn.XLOOKUP(B2041,Indices!$A$2:$A$2676,Indices!$B$2:$B$2676,"")</f>
        <v/>
      </c>
    </row>
    <row r="2042" spans="1:4" x14ac:dyDescent="0.25">
      <c r="A2042" s="379">
        <v>45789.590277777781</v>
      </c>
      <c r="B2042" s="382" t="s">
        <v>4144</v>
      </c>
      <c r="C2042" s="377" t="s">
        <v>5188</v>
      </c>
      <c r="D2042" s="6" t="str">
        <f>_xlfn.XLOOKUP(B2042,Indices!$A$2:$A$2676,Indices!$B$2:$B$2676,"")</f>
        <v/>
      </c>
    </row>
    <row r="2043" spans="1:4" x14ac:dyDescent="0.25">
      <c r="A2043" s="379">
        <v>45789.590277777781</v>
      </c>
      <c r="B2043" s="382" t="s">
        <v>3798</v>
      </c>
      <c r="C2043" s="377" t="s">
        <v>5188</v>
      </c>
      <c r="D2043" s="6" t="str">
        <f>_xlfn.XLOOKUP(B2043,Indices!$A$2:$A$2676,Indices!$B$2:$B$2676,"")</f>
        <v/>
      </c>
    </row>
    <row r="2044" spans="1:4" x14ac:dyDescent="0.25">
      <c r="A2044" s="379">
        <v>45789.590277777781</v>
      </c>
      <c r="B2044" s="382" t="s">
        <v>355</v>
      </c>
      <c r="C2044" s="377" t="s">
        <v>5188</v>
      </c>
      <c r="D2044" s="6" t="str">
        <f>_xlfn.XLOOKUP(B2044,Indices!$A$2:$A$2676,Indices!$B$2:$B$2676,"")</f>
        <v>IWM</v>
      </c>
    </row>
    <row r="2045" spans="1:4" x14ac:dyDescent="0.25">
      <c r="A2045" s="379">
        <v>45789.59097222222</v>
      </c>
      <c r="B2045" s="382" t="s">
        <v>751</v>
      </c>
      <c r="C2045" s="377" t="s">
        <v>5189</v>
      </c>
      <c r="D2045" s="6" t="str">
        <f>_xlfn.XLOOKUP(B2045,Indices!$A$2:$A$2676,Indices!$B$2:$B$2676,"")</f>
        <v>IWM</v>
      </c>
    </row>
    <row r="2046" spans="1:4" x14ac:dyDescent="0.25">
      <c r="A2046" s="379">
        <v>45789.591666666667</v>
      </c>
      <c r="B2046" s="382" t="s">
        <v>1004</v>
      </c>
      <c r="C2046" s="377" t="s">
        <v>5190</v>
      </c>
      <c r="D2046" s="6" t="str">
        <f>_xlfn.XLOOKUP(B2046,Indices!$A$2:$A$2676,Indices!$B$2:$B$2676,"")</f>
        <v>IWM</v>
      </c>
    </row>
    <row r="2047" spans="1:4" x14ac:dyDescent="0.25">
      <c r="A2047" s="379">
        <v>45789.593055555553</v>
      </c>
      <c r="B2047" s="382" t="s">
        <v>3811</v>
      </c>
      <c r="C2047" s="377" t="s">
        <v>5191</v>
      </c>
      <c r="D2047" s="6" t="str">
        <f>_xlfn.XLOOKUP(B2047,Indices!$A$2:$A$2676,Indices!$B$2:$B$2676,"")</f>
        <v/>
      </c>
    </row>
    <row r="2048" spans="1:4" x14ac:dyDescent="0.25">
      <c r="A2048" s="379">
        <v>45789.59375</v>
      </c>
      <c r="B2048" s="382" t="s">
        <v>992</v>
      </c>
      <c r="C2048" s="377" t="s">
        <v>5192</v>
      </c>
      <c r="D2048" s="6" t="str">
        <f>_xlfn.XLOOKUP(B2048,Indices!$A$2:$A$2676,Indices!$B$2:$B$2676,"")</f>
        <v>IWM</v>
      </c>
    </row>
    <row r="2049" spans="1:4" x14ac:dyDescent="0.25">
      <c r="A2049" s="379">
        <v>45789.59375</v>
      </c>
      <c r="B2049" s="382" t="s">
        <v>794</v>
      </c>
      <c r="C2049" s="377" t="s">
        <v>5192</v>
      </c>
      <c r="D2049" s="6" t="str">
        <f>_xlfn.XLOOKUP(B2049,Indices!$A$2:$A$2676,Indices!$B$2:$B$2676,"")</f>
        <v>IWM</v>
      </c>
    </row>
    <row r="2050" spans="1:4" x14ac:dyDescent="0.25">
      <c r="A2050" s="379">
        <v>45789.59375</v>
      </c>
      <c r="B2050" s="382" t="s">
        <v>3152</v>
      </c>
      <c r="C2050" s="377" t="s">
        <v>5192</v>
      </c>
      <c r="D2050" s="6" t="str">
        <f>_xlfn.XLOOKUP(B2050,Indices!$A$2:$A$2676,Indices!$B$2:$B$2676,"")</f>
        <v/>
      </c>
    </row>
    <row r="2051" spans="1:4" x14ac:dyDescent="0.25">
      <c r="A2051" s="379">
        <v>45789.59375</v>
      </c>
      <c r="B2051" s="382" t="s">
        <v>918</v>
      </c>
      <c r="C2051" s="377" t="s">
        <v>5192</v>
      </c>
      <c r="D2051" s="6" t="str">
        <f>_xlfn.XLOOKUP(B2051,Indices!$A$2:$A$2676,Indices!$B$2:$B$2676,"")</f>
        <v>IWM</v>
      </c>
    </row>
    <row r="2052" spans="1:4" x14ac:dyDescent="0.25">
      <c r="A2052" s="379">
        <v>45789.59375</v>
      </c>
      <c r="B2052" s="382" t="s">
        <v>3538</v>
      </c>
      <c r="C2052" s="377" t="s">
        <v>5192</v>
      </c>
      <c r="D2052" s="6" t="str">
        <f>_xlfn.XLOOKUP(B2052,Indices!$A$2:$A$2676,Indices!$B$2:$B$2676,"")</f>
        <v/>
      </c>
    </row>
    <row r="2053" spans="1:4" x14ac:dyDescent="0.25">
      <c r="A2053" s="379">
        <v>45789.595138888886</v>
      </c>
      <c r="B2053" s="382" t="s">
        <v>874</v>
      </c>
      <c r="C2053" s="377" t="s">
        <v>5193</v>
      </c>
      <c r="D2053" s="6" t="str">
        <f>_xlfn.XLOOKUP(B2053,Indices!$A$2:$A$2676,Indices!$B$2:$B$2676,"")</f>
        <v>IWM</v>
      </c>
    </row>
    <row r="2054" spans="1:4" x14ac:dyDescent="0.25">
      <c r="A2054" s="379">
        <v>45789.597222222219</v>
      </c>
      <c r="B2054" s="382" t="s">
        <v>3808</v>
      </c>
      <c r="C2054" s="377" t="s">
        <v>5194</v>
      </c>
      <c r="D2054" s="6" t="str">
        <f>_xlfn.XLOOKUP(B2054,Indices!$A$2:$A$2676,Indices!$B$2:$B$2676,"")</f>
        <v/>
      </c>
    </row>
    <row r="2055" spans="1:4" x14ac:dyDescent="0.25">
      <c r="A2055" s="379">
        <v>45789.604166666664</v>
      </c>
      <c r="B2055" s="382" t="s">
        <v>812</v>
      </c>
      <c r="C2055" s="377" t="s">
        <v>5195</v>
      </c>
      <c r="D2055" s="6" t="str">
        <f>_xlfn.XLOOKUP(B2055,Indices!$A$2:$A$2676,Indices!$B$2:$B$2676,"")</f>
        <v>IWM</v>
      </c>
    </row>
    <row r="2056" spans="1:4" x14ac:dyDescent="0.25">
      <c r="A2056" s="379">
        <v>45789.604166666664</v>
      </c>
      <c r="B2056" s="382" t="s">
        <v>953</v>
      </c>
      <c r="C2056" s="377" t="s">
        <v>5195</v>
      </c>
      <c r="D2056" s="6" t="str">
        <f>_xlfn.XLOOKUP(B2056,Indices!$A$2:$A$2676,Indices!$B$2:$B$2676,"")</f>
        <v>IWM</v>
      </c>
    </row>
    <row r="2057" spans="1:4" x14ac:dyDescent="0.25">
      <c r="A2057" s="379">
        <v>45789.604166666664</v>
      </c>
      <c r="B2057" s="382" t="s">
        <v>3193</v>
      </c>
      <c r="C2057" s="377" t="s">
        <v>5195</v>
      </c>
      <c r="D2057" s="6" t="str">
        <f>_xlfn.XLOOKUP(B2057,Indices!$A$2:$A$2676,Indices!$B$2:$B$2676,"")</f>
        <v/>
      </c>
    </row>
    <row r="2058" spans="1:4" x14ac:dyDescent="0.25">
      <c r="A2058" s="379">
        <v>45789.604166666664</v>
      </c>
      <c r="B2058" s="382" t="s">
        <v>3173</v>
      </c>
      <c r="C2058" s="377" t="s">
        <v>5195</v>
      </c>
      <c r="D2058" s="6" t="str">
        <f>_xlfn.XLOOKUP(B2058,Indices!$A$2:$A$2676,Indices!$B$2:$B$2676,"")</f>
        <v/>
      </c>
    </row>
    <row r="2059" spans="1:4" x14ac:dyDescent="0.25">
      <c r="A2059" s="379">
        <v>45789.604166666664</v>
      </c>
      <c r="B2059" s="382" t="s">
        <v>493</v>
      </c>
      <c r="C2059" s="377" t="s">
        <v>5195</v>
      </c>
      <c r="D2059" s="6" t="str">
        <f>_xlfn.XLOOKUP(B2059,Indices!$A$2:$A$2676,Indices!$B$2:$B$2676,"")</f>
        <v>IWM</v>
      </c>
    </row>
    <row r="2060" spans="1:4" x14ac:dyDescent="0.25">
      <c r="A2060" s="379">
        <v>45789.604166666664</v>
      </c>
      <c r="B2060" s="382" t="s">
        <v>3649</v>
      </c>
      <c r="C2060" s="377" t="s">
        <v>5195</v>
      </c>
      <c r="D2060" s="6" t="str">
        <f>_xlfn.XLOOKUP(B2060,Indices!$A$2:$A$2676,Indices!$B$2:$B$2676,"")</f>
        <v/>
      </c>
    </row>
    <row r="2061" spans="1:4" x14ac:dyDescent="0.25">
      <c r="A2061" s="379">
        <v>45789.604166666664</v>
      </c>
      <c r="B2061" s="382" t="s">
        <v>1067</v>
      </c>
      <c r="C2061" s="377" t="s">
        <v>5195</v>
      </c>
      <c r="D2061" s="6" t="str">
        <f>_xlfn.XLOOKUP(B2061,Indices!$A$2:$A$2676,Indices!$B$2:$B$2676,"")</f>
        <v>IWM</v>
      </c>
    </row>
    <row r="2062" spans="1:4" x14ac:dyDescent="0.25">
      <c r="A2062" s="379">
        <v>45789.604166666664</v>
      </c>
      <c r="B2062" s="382" t="s">
        <v>3919</v>
      </c>
      <c r="C2062" s="377" t="s">
        <v>5195</v>
      </c>
      <c r="D2062" s="6" t="str">
        <f>_xlfn.XLOOKUP(B2062,Indices!$A$2:$A$2676,Indices!$B$2:$B$2676,"")</f>
        <v/>
      </c>
    </row>
    <row r="2063" spans="1:4" x14ac:dyDescent="0.25">
      <c r="A2063" s="379">
        <v>45789.604166666664</v>
      </c>
      <c r="B2063" s="382" t="s">
        <v>2806</v>
      </c>
      <c r="C2063" s="377" t="s">
        <v>5195</v>
      </c>
      <c r="D2063" s="6" t="str">
        <f>_xlfn.XLOOKUP(B2063,Indices!$A$2:$A$2676,Indices!$B$2:$B$2676,"")</f>
        <v/>
      </c>
    </row>
    <row r="2064" spans="1:4" x14ac:dyDescent="0.25">
      <c r="A2064" s="379">
        <v>45789.604166666664</v>
      </c>
      <c r="B2064" s="382" t="s">
        <v>54</v>
      </c>
      <c r="C2064" s="377" t="s">
        <v>5195</v>
      </c>
      <c r="D2064" s="6" t="str">
        <f>_xlfn.XLOOKUP(B2064,Indices!$A$2:$A$2676,Indices!$B$2:$B$2676,"")</f>
        <v>IWM</v>
      </c>
    </row>
    <row r="2065" spans="1:4" x14ac:dyDescent="0.25">
      <c r="A2065" s="379">
        <v>45789.604166666664</v>
      </c>
      <c r="B2065" s="382" t="s">
        <v>4196</v>
      </c>
      <c r="C2065" s="377" t="s">
        <v>5195</v>
      </c>
      <c r="D2065" s="6" t="str">
        <f>_xlfn.XLOOKUP(B2065,Indices!$A$2:$A$2676,Indices!$B$2:$B$2676,"")</f>
        <v/>
      </c>
    </row>
    <row r="2066" spans="1:4" x14ac:dyDescent="0.25">
      <c r="A2066" s="379">
        <v>45789.607638888891</v>
      </c>
      <c r="B2066" s="382" t="s">
        <v>5197</v>
      </c>
      <c r="C2066" s="377" t="s">
        <v>5196</v>
      </c>
      <c r="D2066" s="6" t="str">
        <f>_xlfn.XLOOKUP(B2066,Indices!$A$2:$A$2676,Indices!$B$2:$B$2676,"")</f>
        <v/>
      </c>
    </row>
    <row r="2067" spans="1:4" x14ac:dyDescent="0.25">
      <c r="A2067" s="379">
        <v>45789.607638888891</v>
      </c>
      <c r="B2067" s="382" t="s">
        <v>3565</v>
      </c>
      <c r="C2067" s="377" t="s">
        <v>5196</v>
      </c>
      <c r="D2067" s="6" t="str">
        <f>_xlfn.XLOOKUP(B2067,Indices!$A$2:$A$2676,Indices!$B$2:$B$2676,"")</f>
        <v/>
      </c>
    </row>
    <row r="2068" spans="1:4" x14ac:dyDescent="0.25">
      <c r="A2068" s="379">
        <v>45789.60833333333</v>
      </c>
      <c r="B2068" s="382" t="s">
        <v>952</v>
      </c>
      <c r="C2068" s="377" t="s">
        <v>5198</v>
      </c>
      <c r="D2068" s="6" t="str">
        <f>_xlfn.XLOOKUP(B2068,Indices!$A$2:$A$2676,Indices!$B$2:$B$2676,"")</f>
        <v>IWM</v>
      </c>
    </row>
    <row r="2069" spans="1:4" x14ac:dyDescent="0.25">
      <c r="A2069" s="379">
        <v>45789.60833333333</v>
      </c>
      <c r="B2069" s="382" t="s">
        <v>1005</v>
      </c>
      <c r="C2069" s="377" t="s">
        <v>5198</v>
      </c>
      <c r="D2069" s="6" t="str">
        <f>_xlfn.XLOOKUP(B2069,Indices!$A$2:$A$2676,Indices!$B$2:$B$2676,"")</f>
        <v>IWM</v>
      </c>
    </row>
    <row r="2070" spans="1:4" x14ac:dyDescent="0.25">
      <c r="A2070" s="379">
        <v>45789.613888888889</v>
      </c>
      <c r="B2070" s="382" t="s">
        <v>3281</v>
      </c>
      <c r="C2070" s="377" t="s">
        <v>5199</v>
      </c>
      <c r="D2070" s="6" t="str">
        <f>_xlfn.XLOOKUP(B2070,Indices!$A$2:$A$2676,Indices!$B$2:$B$2676,"")</f>
        <v/>
      </c>
    </row>
    <row r="2071" spans="1:4" x14ac:dyDescent="0.25">
      <c r="A2071" s="379">
        <v>45789.614583333336</v>
      </c>
      <c r="B2071" s="382" t="s">
        <v>3887</v>
      </c>
      <c r="C2071" s="377" t="s">
        <v>5200</v>
      </c>
      <c r="D2071" s="6" t="str">
        <f>_xlfn.XLOOKUP(B2071,Indices!$A$2:$A$2676,Indices!$B$2:$B$2676,"")</f>
        <v/>
      </c>
    </row>
    <row r="2072" spans="1:4" x14ac:dyDescent="0.25">
      <c r="A2072" s="379">
        <v>45789.614583333336</v>
      </c>
      <c r="B2072" s="382" t="s">
        <v>3636</v>
      </c>
      <c r="C2072" s="377" t="s">
        <v>5200</v>
      </c>
      <c r="D2072" s="6" t="str">
        <f>_xlfn.XLOOKUP(B2072,Indices!$A$2:$A$2676,Indices!$B$2:$B$2676,"")</f>
        <v/>
      </c>
    </row>
    <row r="2073" spans="1:4" x14ac:dyDescent="0.25">
      <c r="A2073" s="379">
        <v>45789.618055555555</v>
      </c>
      <c r="B2073" s="382" t="s">
        <v>5201</v>
      </c>
      <c r="C2073" s="377" t="s">
        <v>5202</v>
      </c>
      <c r="D2073" s="6" t="str">
        <f>_xlfn.XLOOKUP(B2073,Indices!$A$2:$A$2676,Indices!$B$2:$B$2676,"")</f>
        <v/>
      </c>
    </row>
    <row r="2074" spans="1:4" x14ac:dyDescent="0.25">
      <c r="A2074" s="379">
        <v>45789.62222222222</v>
      </c>
      <c r="B2074" s="382" t="s">
        <v>3595</v>
      </c>
      <c r="C2074" s="377" t="s">
        <v>5203</v>
      </c>
      <c r="D2074" s="6" t="str">
        <f>_xlfn.XLOOKUP(B2074,Indices!$A$2:$A$2676,Indices!$B$2:$B$2676,"")</f>
        <v/>
      </c>
    </row>
    <row r="2075" spans="1:4" x14ac:dyDescent="0.25">
      <c r="A2075" s="379">
        <v>45789.622916666667</v>
      </c>
      <c r="B2075" s="382" t="s">
        <v>366</v>
      </c>
      <c r="C2075" s="377" t="s">
        <v>5204</v>
      </c>
      <c r="D2075" s="6" t="str">
        <f>_xlfn.XLOOKUP(B2075,Indices!$A$2:$A$2676,Indices!$B$2:$B$2676,"")</f>
        <v>IWM</v>
      </c>
    </row>
    <row r="2076" spans="1:4" x14ac:dyDescent="0.25">
      <c r="A2076" s="379">
        <v>45789.625</v>
      </c>
      <c r="B2076" s="382" t="s">
        <v>2914</v>
      </c>
      <c r="C2076" s="377" t="s">
        <v>3754</v>
      </c>
      <c r="D2076" s="6" t="str">
        <f>_xlfn.XLOOKUP(B2076,Indices!$A$2:$A$2676,Indices!$B$2:$B$2676,"")</f>
        <v/>
      </c>
    </row>
    <row r="2077" spans="1:4" x14ac:dyDescent="0.25">
      <c r="A2077" s="379">
        <v>45789.625</v>
      </c>
      <c r="B2077" s="382" t="s">
        <v>1137</v>
      </c>
      <c r="C2077" s="377" t="s">
        <v>5205</v>
      </c>
      <c r="D2077" s="6" t="str">
        <f>_xlfn.XLOOKUP(B2077,Indices!$A$2:$A$2676,Indices!$B$2:$B$2676,"")</f>
        <v>IWM</v>
      </c>
    </row>
    <row r="2078" spans="1:4" x14ac:dyDescent="0.25">
      <c r="A2078" s="379">
        <v>45789.625</v>
      </c>
      <c r="B2078" s="382" t="s">
        <v>2887</v>
      </c>
      <c r="C2078" s="377" t="s">
        <v>3754</v>
      </c>
      <c r="D2078" s="6" t="str">
        <f>_xlfn.XLOOKUP(B2078,Indices!$A$2:$A$2676,Indices!$B$2:$B$2676,"")</f>
        <v/>
      </c>
    </row>
    <row r="2079" spans="1:4" x14ac:dyDescent="0.25">
      <c r="A2079" s="379">
        <v>45789.625</v>
      </c>
      <c r="B2079" s="382" t="s">
        <v>968</v>
      </c>
      <c r="C2079" s="377" t="s">
        <v>3754</v>
      </c>
      <c r="D2079" s="6" t="str">
        <f>_xlfn.XLOOKUP(B2079,Indices!$A$2:$A$2676,Indices!$B$2:$B$2676,"")</f>
        <v>IWM</v>
      </c>
    </row>
    <row r="2080" spans="1:4" x14ac:dyDescent="0.25">
      <c r="A2080" s="379">
        <v>45789.625</v>
      </c>
      <c r="B2080" s="382" t="s">
        <v>3599</v>
      </c>
      <c r="C2080" s="377" t="s">
        <v>3754</v>
      </c>
      <c r="D2080" s="6" t="str">
        <f>_xlfn.XLOOKUP(B2080,Indices!$A$2:$A$2676,Indices!$B$2:$B$2676,"")</f>
        <v/>
      </c>
    </row>
    <row r="2081" spans="1:4" x14ac:dyDescent="0.25">
      <c r="A2081" s="379">
        <v>45789.625</v>
      </c>
      <c r="B2081" s="382" t="s">
        <v>3776</v>
      </c>
      <c r="C2081" s="377" t="s">
        <v>5205</v>
      </c>
      <c r="D2081" s="6" t="str">
        <f>_xlfn.XLOOKUP(B2081,Indices!$A$2:$A$2676,Indices!$B$2:$B$2676,"")</f>
        <v/>
      </c>
    </row>
    <row r="2082" spans="1:4" x14ac:dyDescent="0.25">
      <c r="A2082" s="379">
        <v>45789.625</v>
      </c>
      <c r="B2082" s="382" t="s">
        <v>2900</v>
      </c>
      <c r="C2082" s="377" t="s">
        <v>3754</v>
      </c>
      <c r="D2082" s="6" t="str">
        <f>_xlfn.XLOOKUP(B2082,Indices!$A$2:$A$2676,Indices!$B$2:$B$2676,"")</f>
        <v/>
      </c>
    </row>
    <row r="2083" spans="1:4" x14ac:dyDescent="0.25">
      <c r="A2083" s="379">
        <v>45789.625</v>
      </c>
      <c r="B2083" s="382" t="s">
        <v>853</v>
      </c>
      <c r="C2083" s="377" t="s">
        <v>3754</v>
      </c>
      <c r="D2083" s="6" t="str">
        <f>_xlfn.XLOOKUP(B2083,Indices!$A$2:$A$2676,Indices!$B$2:$B$2676,"")</f>
        <v>IWM</v>
      </c>
    </row>
    <row r="2084" spans="1:4" x14ac:dyDescent="0.25">
      <c r="A2084" s="379">
        <v>45789.625</v>
      </c>
      <c r="B2084" s="382" t="s">
        <v>3797</v>
      </c>
      <c r="C2084" s="377" t="s">
        <v>3754</v>
      </c>
      <c r="D2084" s="6" t="str">
        <f>_xlfn.XLOOKUP(B2084,Indices!$A$2:$A$2676,Indices!$B$2:$B$2676,"")</f>
        <v/>
      </c>
    </row>
    <row r="2085" spans="1:4" x14ac:dyDescent="0.25">
      <c r="A2085" s="379">
        <v>45789.625</v>
      </c>
      <c r="B2085" s="382" t="s">
        <v>754</v>
      </c>
      <c r="C2085" s="377" t="s">
        <v>3754</v>
      </c>
      <c r="D2085" s="6" t="str">
        <f>_xlfn.XLOOKUP(B2085,Indices!$A$2:$A$2676,Indices!$B$2:$B$2676,"")</f>
        <v>IWM</v>
      </c>
    </row>
    <row r="2086" spans="1:4" x14ac:dyDescent="0.25">
      <c r="A2086" s="379">
        <v>45789.625</v>
      </c>
      <c r="B2086" s="382" t="s">
        <v>3619</v>
      </c>
      <c r="C2086" s="377" t="s">
        <v>5205</v>
      </c>
      <c r="D2086" s="6" t="str">
        <f>_xlfn.XLOOKUP(B2086,Indices!$A$2:$A$2676,Indices!$B$2:$B$2676,"")</f>
        <v/>
      </c>
    </row>
    <row r="2087" spans="1:4" x14ac:dyDescent="0.25">
      <c r="A2087" s="379">
        <v>45789.625</v>
      </c>
      <c r="B2087" s="382" t="s">
        <v>3761</v>
      </c>
      <c r="C2087" s="377" t="s">
        <v>3754</v>
      </c>
      <c r="D2087" s="6" t="str">
        <f>_xlfn.XLOOKUP(B2087,Indices!$A$2:$A$2676,Indices!$B$2:$B$2676,"")</f>
        <v/>
      </c>
    </row>
    <row r="2088" spans="1:4" x14ac:dyDescent="0.25">
      <c r="A2088" s="379">
        <v>45789.631249999999</v>
      </c>
      <c r="B2088" s="382" t="s">
        <v>1001</v>
      </c>
      <c r="C2088" s="377" t="s">
        <v>5206</v>
      </c>
      <c r="D2088" s="6" t="str">
        <f>_xlfn.XLOOKUP(B2088,Indices!$A$2:$A$2676,Indices!$B$2:$B$2676,"")</f>
        <v>IWM</v>
      </c>
    </row>
    <row r="2089" spans="1:4" x14ac:dyDescent="0.25">
      <c r="A2089" s="379">
        <v>45789.631944444445</v>
      </c>
      <c r="B2089" s="382" t="s">
        <v>3280</v>
      </c>
      <c r="C2089" s="377" t="s">
        <v>5207</v>
      </c>
      <c r="D2089" s="6" t="str">
        <f>_xlfn.XLOOKUP(B2089,Indices!$A$2:$A$2676,Indices!$B$2:$B$2676,"")</f>
        <v/>
      </c>
    </row>
    <row r="2090" spans="1:4" x14ac:dyDescent="0.25">
      <c r="A2090" s="379">
        <v>45789.635416666664</v>
      </c>
      <c r="B2090" s="382" t="s">
        <v>4166</v>
      </c>
      <c r="C2090" s="377" t="s">
        <v>5208</v>
      </c>
      <c r="D2090" s="6" t="str">
        <f>_xlfn.XLOOKUP(B2090,Indices!$A$2:$A$2676,Indices!$B$2:$B$2676,"")</f>
        <v/>
      </c>
    </row>
    <row r="2091" spans="1:4" x14ac:dyDescent="0.25">
      <c r="A2091" s="379">
        <v>45789.645833333336</v>
      </c>
      <c r="B2091" s="382" t="s">
        <v>1068</v>
      </c>
      <c r="C2091" s="377" t="s">
        <v>5209</v>
      </c>
      <c r="D2091" s="6" t="str">
        <f>_xlfn.XLOOKUP(B2091,Indices!$A$2:$A$2676,Indices!$B$2:$B$2676,"")</f>
        <v>IWM</v>
      </c>
    </row>
    <row r="2092" spans="1:4" x14ac:dyDescent="0.25">
      <c r="A2092" s="379">
        <v>45789.648611111108</v>
      </c>
      <c r="B2092" s="382" t="s">
        <v>933</v>
      </c>
      <c r="C2092" s="377" t="s">
        <v>5210</v>
      </c>
      <c r="D2092" s="6" t="str">
        <f>_xlfn.XLOOKUP(B2092,Indices!$A$2:$A$2676,Indices!$B$2:$B$2676,"")</f>
        <v>IWM</v>
      </c>
    </row>
    <row r="2093" spans="1:4" x14ac:dyDescent="0.25">
      <c r="A2093" s="379">
        <v>45789.659722222219</v>
      </c>
      <c r="B2093" s="382" t="s">
        <v>3005</v>
      </c>
      <c r="C2093" s="377" t="s">
        <v>5211</v>
      </c>
      <c r="D2093" s="6" t="str">
        <f>_xlfn.XLOOKUP(B2093,Indices!$A$2:$A$2676,Indices!$B$2:$B$2676,"")</f>
        <v/>
      </c>
    </row>
    <row r="2094" spans="1:4" x14ac:dyDescent="0.25">
      <c r="A2094" s="379">
        <v>45789.673611111109</v>
      </c>
      <c r="B2094" s="382" t="s">
        <v>3799</v>
      </c>
      <c r="C2094" s="377" t="s">
        <v>5212</v>
      </c>
      <c r="D2094" s="6" t="str">
        <f>_xlfn.XLOOKUP(B2094,Indices!$A$2:$A$2676,Indices!$B$2:$B$2676,"")</f>
        <v/>
      </c>
    </row>
    <row r="2095" spans="1:4" x14ac:dyDescent="0.25">
      <c r="A2095" s="379">
        <v>45789.695833333331</v>
      </c>
      <c r="B2095" s="382" t="s">
        <v>3755</v>
      </c>
      <c r="C2095" s="377" t="s">
        <v>5213</v>
      </c>
      <c r="D2095" s="6" t="str">
        <f>_xlfn.XLOOKUP(B2095,Indices!$A$2:$A$2676,Indices!$B$2:$B$2676,"")</f>
        <v/>
      </c>
    </row>
    <row r="2096" spans="1:4" x14ac:dyDescent="0.25">
      <c r="A2096" s="379">
        <v>45789.70416666667</v>
      </c>
      <c r="B2096" s="382" t="s">
        <v>5214</v>
      </c>
      <c r="C2096" s="377" t="s">
        <v>5215</v>
      </c>
      <c r="D2096" s="6" t="str">
        <f>_xlfn.XLOOKUP(B2096,Indices!$A$2:$A$2676,Indices!$B$2:$B$2676,"")</f>
        <v/>
      </c>
    </row>
    <row r="2097" spans="1:4" x14ac:dyDescent="0.25">
      <c r="A2097" s="379">
        <v>45789.705555555556</v>
      </c>
      <c r="B2097" s="382" t="s">
        <v>3356</v>
      </c>
      <c r="C2097" s="377" t="s">
        <v>5216</v>
      </c>
      <c r="D2097" s="6" t="str">
        <f>_xlfn.XLOOKUP(B2097,Indices!$A$2:$A$2676,Indices!$B$2:$B$2676,"")</f>
        <v/>
      </c>
    </row>
    <row r="2098" spans="1:4" x14ac:dyDescent="0.25">
      <c r="A2098" s="379">
        <v>45789.716666666667</v>
      </c>
      <c r="B2098" s="382" t="s">
        <v>5217</v>
      </c>
      <c r="C2098" s="377" t="s">
        <v>5218</v>
      </c>
      <c r="D2098" s="6" t="str">
        <f>_xlfn.XLOOKUP(B2098,Indices!$A$2:$A$2676,Indices!$B$2:$B$2676,"")</f>
        <v/>
      </c>
    </row>
    <row r="2099" spans="1:4" x14ac:dyDescent="0.25">
      <c r="A2099" s="379">
        <v>45789.783333333333</v>
      </c>
      <c r="B2099" s="382" t="s">
        <v>37</v>
      </c>
      <c r="C2099" s="377" t="s">
        <v>5219</v>
      </c>
      <c r="D2099" s="6" t="str">
        <f>_xlfn.XLOOKUP(B2099,Indices!$A$2:$A$2676,Indices!$B$2:$B$2676,"")</f>
        <v>IWM</v>
      </c>
    </row>
    <row r="2100" spans="1:4" x14ac:dyDescent="0.25">
      <c r="A2100" s="379">
        <v>45789.958333333336</v>
      </c>
      <c r="B2100" s="382" t="s">
        <v>5222</v>
      </c>
      <c r="C2100" s="377" t="s">
        <v>5220</v>
      </c>
      <c r="D2100" s="6" t="str">
        <f>_xlfn.XLOOKUP(B2100,Indices!$A$2:$A$2676,Indices!$B$2:$B$2676,"")</f>
        <v/>
      </c>
    </row>
    <row r="2101" spans="1:4" x14ac:dyDescent="0.25">
      <c r="A2101" s="379">
        <v>45789.958333333336</v>
      </c>
      <c r="B2101" s="382" t="s">
        <v>3467</v>
      </c>
      <c r="C2101" s="377" t="s">
        <v>5221</v>
      </c>
      <c r="D2101" s="6" t="str">
        <f>_xlfn.XLOOKUP(B2101,Indices!$A$2:$A$2676,Indices!$B$2:$B$2676,"")</f>
        <v/>
      </c>
    </row>
    <row r="2102" spans="1:4" x14ac:dyDescent="0.25">
      <c r="A2102" s="379">
        <v>45789.958333333336</v>
      </c>
      <c r="B2102" s="382" t="s">
        <v>3946</v>
      </c>
      <c r="C2102" s="377" t="s">
        <v>5221</v>
      </c>
      <c r="D2102" s="6" t="str">
        <f>_xlfn.XLOOKUP(B2102,Indices!$A$2:$A$2676,Indices!$B$2:$B$2676,"")</f>
        <v/>
      </c>
    </row>
    <row r="2103" spans="1:4" x14ac:dyDescent="0.25">
      <c r="A2103" s="379">
        <v>45789.958333333336</v>
      </c>
      <c r="B2103" s="382" t="s">
        <v>3845</v>
      </c>
      <c r="C2103" s="377" t="s">
        <v>5220</v>
      </c>
      <c r="D2103" s="6" t="str">
        <f>_xlfn.XLOOKUP(B2103,Indices!$A$2:$A$2676,Indices!$B$2:$B$2676,"")</f>
        <v/>
      </c>
    </row>
    <row r="2104" spans="1:4" x14ac:dyDescent="0.25">
      <c r="A2104" s="379">
        <v>45789.958333333336</v>
      </c>
      <c r="B2104" s="382" t="s">
        <v>3930</v>
      </c>
      <c r="C2104" s="377" t="s">
        <v>5221</v>
      </c>
      <c r="D2104" s="6" t="str">
        <f>_xlfn.XLOOKUP(B2104,Indices!$A$2:$A$2676,Indices!$B$2:$B$2676,"")</f>
        <v/>
      </c>
    </row>
    <row r="2105" spans="1:4" x14ac:dyDescent="0.25">
      <c r="A2105" s="379">
        <v>45789.958333333336</v>
      </c>
      <c r="B2105" s="382" t="s">
        <v>3828</v>
      </c>
      <c r="C2105" s="377" t="s">
        <v>5220</v>
      </c>
      <c r="D2105" s="6" t="str">
        <f>_xlfn.XLOOKUP(B2105,Indices!$A$2:$A$2676,Indices!$B$2:$B$2676,"")</f>
        <v/>
      </c>
    </row>
    <row r="2106" spans="1:4" x14ac:dyDescent="0.25">
      <c r="A2106" s="379">
        <v>45789.958333333336</v>
      </c>
      <c r="B2106" s="382" t="s">
        <v>3826</v>
      </c>
      <c r="C2106" s="377" t="s">
        <v>5221</v>
      </c>
      <c r="D2106" s="6" t="str">
        <f>_xlfn.XLOOKUP(B2106,Indices!$A$2:$A$2676,Indices!$B$2:$B$2676,"")</f>
        <v/>
      </c>
    </row>
    <row r="2107" spans="1:4" x14ac:dyDescent="0.25">
      <c r="A2107" s="379">
        <v>45789.958333333336</v>
      </c>
      <c r="B2107" s="382" t="s">
        <v>3858</v>
      </c>
      <c r="C2107" s="377" t="s">
        <v>5221</v>
      </c>
      <c r="D2107" s="6" t="str">
        <f>_xlfn.XLOOKUP(B2107,Indices!$A$2:$A$2676,Indices!$B$2:$B$2676,"")</f>
        <v/>
      </c>
    </row>
    <row r="2108" spans="1:4" x14ac:dyDescent="0.25">
      <c r="A2108" s="379">
        <v>45789.958333333336</v>
      </c>
      <c r="B2108" s="382" t="s">
        <v>3849</v>
      </c>
      <c r="C2108" s="377" t="s">
        <v>5221</v>
      </c>
      <c r="D2108" s="6" t="str">
        <f>_xlfn.XLOOKUP(B2108,Indices!$A$2:$A$2676,Indices!$B$2:$B$2676,"")</f>
        <v/>
      </c>
    </row>
    <row r="2109" spans="1:4" x14ac:dyDescent="0.25">
      <c r="A2109" s="379">
        <v>45790.041666666664</v>
      </c>
      <c r="B2109" s="382" t="s">
        <v>3450</v>
      </c>
      <c r="C2109" s="377" t="s">
        <v>5223</v>
      </c>
      <c r="D2109" s="6" t="str">
        <f>_xlfn.XLOOKUP(B2109,Indices!$A$2:$A$2676,Indices!$B$2:$B$2676,"")</f>
        <v/>
      </c>
    </row>
    <row r="2110" spans="1:4" x14ac:dyDescent="0.25">
      <c r="A2110" s="379">
        <v>45790.125</v>
      </c>
      <c r="B2110" s="382" t="s">
        <v>4054</v>
      </c>
      <c r="C2110" s="377" t="s">
        <v>5224</v>
      </c>
      <c r="D2110" s="6" t="str">
        <f>_xlfn.XLOOKUP(B2110,Indices!$A$2:$A$2676,Indices!$B$2:$B$2676,"")</f>
        <v/>
      </c>
    </row>
    <row r="2111" spans="1:4" x14ac:dyDescent="0.25">
      <c r="A2111" s="379">
        <v>45790.125</v>
      </c>
      <c r="B2111" s="382" t="s">
        <v>3838</v>
      </c>
      <c r="C2111" s="377" t="s">
        <v>5224</v>
      </c>
      <c r="D2111" s="6" t="str">
        <f>_xlfn.XLOOKUP(B2111,Indices!$A$2:$A$2676,Indices!$B$2:$B$2676,"")</f>
        <v/>
      </c>
    </row>
    <row r="2112" spans="1:4" x14ac:dyDescent="0.25">
      <c r="A2112" s="379">
        <v>45790.125</v>
      </c>
      <c r="B2112" s="382" t="s">
        <v>3753</v>
      </c>
      <c r="C2112" s="377" t="s">
        <v>5224</v>
      </c>
      <c r="D2112" s="6" t="str">
        <f>_xlfn.XLOOKUP(B2112,Indices!$A$2:$A$2676,Indices!$B$2:$B$2676,"")</f>
        <v/>
      </c>
    </row>
    <row r="2113" spans="1:4" x14ac:dyDescent="0.25">
      <c r="A2113" s="379">
        <v>45790.166666666664</v>
      </c>
      <c r="B2113" s="382" t="s">
        <v>4062</v>
      </c>
      <c r="C2113" s="377" t="s">
        <v>5225</v>
      </c>
      <c r="D2113" s="6" t="str">
        <f>_xlfn.XLOOKUP(B2113,Indices!$A$2:$A$2676,Indices!$B$2:$B$2676,"")</f>
        <v/>
      </c>
    </row>
    <row r="2114" spans="1:4" x14ac:dyDescent="0.25">
      <c r="A2114" s="379">
        <v>45790.166666666664</v>
      </c>
      <c r="B2114" s="382" t="s">
        <v>4087</v>
      </c>
      <c r="C2114" s="377" t="s">
        <v>5225</v>
      </c>
      <c r="D2114" s="6" t="str">
        <f>_xlfn.XLOOKUP(B2114,Indices!$A$2:$A$2676,Indices!$B$2:$B$2676,"")</f>
        <v/>
      </c>
    </row>
    <row r="2115" spans="1:4" x14ac:dyDescent="0.25">
      <c r="A2115" s="379">
        <v>45790.166666666664</v>
      </c>
      <c r="B2115" s="382" t="s">
        <v>3418</v>
      </c>
      <c r="C2115" s="377" t="s">
        <v>5225</v>
      </c>
      <c r="D2115" s="6" t="str">
        <f>_xlfn.XLOOKUP(B2115,Indices!$A$2:$A$2676,Indices!$B$2:$B$2676,"")</f>
        <v/>
      </c>
    </row>
    <row r="2116" spans="1:4" x14ac:dyDescent="0.25">
      <c r="A2116" s="379">
        <v>45790.166666666664</v>
      </c>
      <c r="B2116" s="382" t="s">
        <v>3724</v>
      </c>
      <c r="C2116" s="377" t="s">
        <v>5225</v>
      </c>
      <c r="D2116" s="6" t="str">
        <f>_xlfn.XLOOKUP(B2116,Indices!$A$2:$A$2676,Indices!$B$2:$B$2676,"")</f>
        <v/>
      </c>
    </row>
    <row r="2117" spans="1:4" x14ac:dyDescent="0.25">
      <c r="A2117" s="379">
        <v>45790.166666666664</v>
      </c>
      <c r="B2117" s="382" t="s">
        <v>3258</v>
      </c>
      <c r="C2117" s="377" t="s">
        <v>5225</v>
      </c>
      <c r="D2117" s="6" t="str">
        <f>_xlfn.XLOOKUP(B2117,Indices!$A$2:$A$2676,Indices!$B$2:$B$2676,"")</f>
        <v/>
      </c>
    </row>
    <row r="2118" spans="1:4" x14ac:dyDescent="0.25">
      <c r="A2118" s="379">
        <v>45790.168749999997</v>
      </c>
      <c r="B2118" s="382" t="s">
        <v>3869</v>
      </c>
      <c r="C2118" s="377" t="s">
        <v>5226</v>
      </c>
      <c r="D2118" s="6" t="str">
        <f>_xlfn.XLOOKUP(B2118,Indices!$A$2:$A$2676,Indices!$B$2:$B$2676,"")</f>
        <v/>
      </c>
    </row>
    <row r="2119" spans="1:4" x14ac:dyDescent="0.25">
      <c r="A2119" s="379">
        <v>45790.174305555556</v>
      </c>
      <c r="B2119" s="382" t="s">
        <v>3744</v>
      </c>
      <c r="C2119" s="377" t="s">
        <v>5227</v>
      </c>
      <c r="D2119" s="6" t="str">
        <f>_xlfn.XLOOKUP(B2119,Indices!$A$2:$A$2676,Indices!$B$2:$B$2676,"")</f>
        <v/>
      </c>
    </row>
    <row r="2120" spans="1:4" x14ac:dyDescent="0.25">
      <c r="A2120" s="379">
        <v>45790.1875</v>
      </c>
      <c r="B2120" s="382" t="s">
        <v>4420</v>
      </c>
      <c r="C2120" s="377" t="s">
        <v>5228</v>
      </c>
      <c r="D2120" s="6" t="str">
        <f>_xlfn.XLOOKUP(B2120,Indices!$A$2:$A$2676,Indices!$B$2:$B$2676,"")</f>
        <v/>
      </c>
    </row>
    <row r="2121" spans="1:4" x14ac:dyDescent="0.25">
      <c r="A2121" s="379">
        <v>45790.1875</v>
      </c>
      <c r="B2121" s="382" t="s">
        <v>3830</v>
      </c>
      <c r="C2121" s="377" t="s">
        <v>5228</v>
      </c>
      <c r="D2121" s="6" t="str">
        <f>_xlfn.XLOOKUP(B2121,Indices!$A$2:$A$2676,Indices!$B$2:$B$2676,"")</f>
        <v/>
      </c>
    </row>
    <row r="2122" spans="1:4" x14ac:dyDescent="0.25">
      <c r="A2122" s="379">
        <v>45790.1875</v>
      </c>
      <c r="B2122" s="382" t="s">
        <v>3870</v>
      </c>
      <c r="C2122" s="377" t="s">
        <v>5228</v>
      </c>
      <c r="D2122" s="6" t="str">
        <f>_xlfn.XLOOKUP(B2122,Indices!$A$2:$A$2676,Indices!$B$2:$B$2676,"")</f>
        <v/>
      </c>
    </row>
    <row r="2123" spans="1:4" x14ac:dyDescent="0.25">
      <c r="A2123" s="379">
        <v>45790.190972222219</v>
      </c>
      <c r="B2123" s="382" t="s">
        <v>836</v>
      </c>
      <c r="C2123" s="377" t="s">
        <v>5229</v>
      </c>
      <c r="D2123" s="6" t="str">
        <f>_xlfn.XLOOKUP(B2123,Indices!$A$2:$A$2676,Indices!$B$2:$B$2676,"")</f>
        <v>IWM</v>
      </c>
    </row>
    <row r="2124" spans="1:4" x14ac:dyDescent="0.25">
      <c r="A2124" s="379">
        <v>45790.194444444445</v>
      </c>
      <c r="B2124" s="382" t="s">
        <v>891</v>
      </c>
      <c r="C2124" s="377" t="s">
        <v>5230</v>
      </c>
      <c r="D2124" s="6" t="str">
        <f>_xlfn.XLOOKUP(B2124,Indices!$A$2:$A$2676,Indices!$B$2:$B$2676,"")</f>
        <v>IWM</v>
      </c>
    </row>
    <row r="2125" spans="1:4" x14ac:dyDescent="0.25">
      <c r="A2125" s="379">
        <v>45790.201388888891</v>
      </c>
      <c r="B2125" s="382" t="s">
        <v>3461</v>
      </c>
      <c r="C2125" s="377" t="s">
        <v>5231</v>
      </c>
      <c r="D2125" s="6" t="str">
        <f>_xlfn.XLOOKUP(B2125,Indices!$A$2:$A$2676,Indices!$B$2:$B$2676,"")</f>
        <v/>
      </c>
    </row>
    <row r="2126" spans="1:4" x14ac:dyDescent="0.25">
      <c r="A2126" s="379">
        <v>45790.204861111109</v>
      </c>
      <c r="B2126" s="382" t="s">
        <v>1013</v>
      </c>
      <c r="C2126" s="377" t="s">
        <v>5232</v>
      </c>
      <c r="D2126" s="6" t="str">
        <f>_xlfn.XLOOKUP(B2126,Indices!$A$2:$A$2676,Indices!$B$2:$B$2676,"")</f>
        <v>IWM</v>
      </c>
    </row>
    <row r="2127" spans="1:4" x14ac:dyDescent="0.25">
      <c r="A2127" s="379">
        <v>45790.204861111109</v>
      </c>
      <c r="B2127" s="382" t="s">
        <v>576</v>
      </c>
      <c r="C2127" s="377" t="s">
        <v>5232</v>
      </c>
      <c r="D2127" s="6" t="str">
        <f>_xlfn.XLOOKUP(B2127,Indices!$A$2:$A$2676,Indices!$B$2:$B$2676,"")</f>
        <v>S&amp;P Mid</v>
      </c>
    </row>
    <row r="2128" spans="1:4" x14ac:dyDescent="0.25">
      <c r="A2128" s="379">
        <v>45790.204861111109</v>
      </c>
      <c r="B2128" s="382" t="s">
        <v>577</v>
      </c>
      <c r="C2128" s="377" t="s">
        <v>5232</v>
      </c>
      <c r="D2128" s="6" t="str">
        <f>_xlfn.XLOOKUP(B2128,Indices!$A$2:$A$2676,Indices!$B$2:$B$2676,"")</f>
        <v>S&amp;P Mid</v>
      </c>
    </row>
    <row r="2129" spans="1:4" x14ac:dyDescent="0.25">
      <c r="A2129" s="379">
        <v>45790.208333333336</v>
      </c>
      <c r="B2129" s="382" t="s">
        <v>3929</v>
      </c>
      <c r="C2129" s="377" t="s">
        <v>5233</v>
      </c>
      <c r="D2129" s="6" t="str">
        <f>_xlfn.XLOOKUP(B2129,Indices!$A$2:$A$2676,Indices!$B$2:$B$2676,"")</f>
        <v/>
      </c>
    </row>
    <row r="2130" spans="1:4" x14ac:dyDescent="0.25">
      <c r="A2130" s="379">
        <v>45790.208333333336</v>
      </c>
      <c r="B2130" s="382" t="s">
        <v>3969</v>
      </c>
      <c r="C2130" s="377" t="s">
        <v>5233</v>
      </c>
      <c r="D2130" s="6" t="str">
        <f>_xlfn.XLOOKUP(B2130,Indices!$A$2:$A$2676,Indices!$B$2:$B$2676,"")</f>
        <v/>
      </c>
    </row>
    <row r="2131" spans="1:4" x14ac:dyDescent="0.25">
      <c r="A2131" s="379">
        <v>45790.208333333336</v>
      </c>
      <c r="B2131" s="382" t="s">
        <v>3435</v>
      </c>
      <c r="C2131" s="377" t="s">
        <v>5233</v>
      </c>
      <c r="D2131" s="6" t="str">
        <f>_xlfn.XLOOKUP(B2131,Indices!$A$2:$A$2676,Indices!$B$2:$B$2676,"")</f>
        <v/>
      </c>
    </row>
    <row r="2132" spans="1:4" x14ac:dyDescent="0.25">
      <c r="A2132" s="379">
        <v>45790.208333333336</v>
      </c>
      <c r="B2132" s="382" t="s">
        <v>3444</v>
      </c>
      <c r="C2132" s="377" t="s">
        <v>5233</v>
      </c>
      <c r="D2132" s="6" t="str">
        <f>_xlfn.XLOOKUP(B2132,Indices!$A$2:$A$2676,Indices!$B$2:$B$2676,"")</f>
        <v/>
      </c>
    </row>
    <row r="2133" spans="1:4" x14ac:dyDescent="0.25">
      <c r="A2133" s="379">
        <v>45790.208333333336</v>
      </c>
      <c r="B2133" s="382" t="s">
        <v>3716</v>
      </c>
      <c r="C2133" s="377" t="s">
        <v>5233</v>
      </c>
      <c r="D2133" s="6" t="str">
        <f>_xlfn.XLOOKUP(B2133,Indices!$A$2:$A$2676,Indices!$B$2:$B$2676,"")</f>
        <v/>
      </c>
    </row>
    <row r="2134" spans="1:4" x14ac:dyDescent="0.25">
      <c r="A2134" s="379">
        <v>45790.208333333336</v>
      </c>
      <c r="B2134" s="382" t="s">
        <v>3824</v>
      </c>
      <c r="C2134" s="377" t="s">
        <v>5233</v>
      </c>
      <c r="D2134" s="6" t="str">
        <f>_xlfn.XLOOKUP(B2134,Indices!$A$2:$A$2676,Indices!$B$2:$B$2676,"")</f>
        <v/>
      </c>
    </row>
    <row r="2135" spans="1:4" x14ac:dyDescent="0.25">
      <c r="A2135" s="379">
        <v>45790.208333333336</v>
      </c>
      <c r="B2135" s="382" t="s">
        <v>3836</v>
      </c>
      <c r="C2135" s="377" t="s">
        <v>5233</v>
      </c>
      <c r="D2135" s="6" t="str">
        <f>_xlfn.XLOOKUP(B2135,Indices!$A$2:$A$2676,Indices!$B$2:$B$2676,"")</f>
        <v/>
      </c>
    </row>
    <row r="2136" spans="1:4" x14ac:dyDescent="0.25">
      <c r="A2136" s="379">
        <v>45790.208333333336</v>
      </c>
      <c r="B2136" s="382" t="s">
        <v>5235</v>
      </c>
      <c r="C2136" s="377" t="s">
        <v>5233</v>
      </c>
      <c r="D2136" s="6" t="str">
        <f>_xlfn.XLOOKUP(B2136,Indices!$A$2:$A$2676,Indices!$B$2:$B$2676,"")</f>
        <v/>
      </c>
    </row>
    <row r="2137" spans="1:4" x14ac:dyDescent="0.25">
      <c r="A2137" s="379">
        <v>45790.208333333336</v>
      </c>
      <c r="B2137" s="382" t="s">
        <v>3406</v>
      </c>
      <c r="C2137" s="377" t="s">
        <v>5233</v>
      </c>
      <c r="D2137" s="6" t="str">
        <f>_xlfn.XLOOKUP(B2137,Indices!$A$2:$A$2676,Indices!$B$2:$B$2676,"")</f>
        <v/>
      </c>
    </row>
    <row r="2138" spans="1:4" x14ac:dyDescent="0.25">
      <c r="A2138" s="379">
        <v>45790.208333333336</v>
      </c>
      <c r="B2138" s="382" t="s">
        <v>3120</v>
      </c>
      <c r="C2138" s="377" t="s">
        <v>5233</v>
      </c>
      <c r="D2138" s="6" t="str">
        <f>_xlfn.XLOOKUP(B2138,Indices!$A$2:$A$2676,Indices!$B$2:$B$2676,"")</f>
        <v/>
      </c>
    </row>
    <row r="2139" spans="1:4" x14ac:dyDescent="0.25">
      <c r="A2139" s="379">
        <v>45790.208333333336</v>
      </c>
      <c r="B2139" s="382" t="s">
        <v>4241</v>
      </c>
      <c r="C2139" s="377" t="s">
        <v>5233</v>
      </c>
      <c r="D2139" s="6" t="str">
        <f>_xlfn.XLOOKUP(B2139,Indices!$A$2:$A$2676,Indices!$B$2:$B$2676,"")</f>
        <v/>
      </c>
    </row>
    <row r="2140" spans="1:4" x14ac:dyDescent="0.25">
      <c r="A2140" s="379">
        <v>45790.208333333336</v>
      </c>
      <c r="B2140" s="382" t="s">
        <v>3827</v>
      </c>
      <c r="C2140" s="377" t="s">
        <v>5233</v>
      </c>
      <c r="D2140" s="6" t="str">
        <f>_xlfn.XLOOKUP(B2140,Indices!$A$2:$A$2676,Indices!$B$2:$B$2676,"")</f>
        <v/>
      </c>
    </row>
    <row r="2141" spans="1:4" x14ac:dyDescent="0.25">
      <c r="A2141" s="379">
        <v>45790.208333333336</v>
      </c>
      <c r="B2141" s="382" t="s">
        <v>5234</v>
      </c>
      <c r="C2141" s="377" t="s">
        <v>5233</v>
      </c>
      <c r="D2141" s="6" t="str">
        <f>_xlfn.XLOOKUP(B2141,Indices!$A$2:$A$2676,Indices!$B$2:$B$2676,"")</f>
        <v/>
      </c>
    </row>
    <row r="2142" spans="1:4" x14ac:dyDescent="0.25">
      <c r="A2142" s="379">
        <v>45790.208333333336</v>
      </c>
      <c r="B2142" s="382" t="s">
        <v>3841</v>
      </c>
      <c r="C2142" s="377" t="s">
        <v>5233</v>
      </c>
      <c r="D2142" s="6" t="str">
        <f>_xlfn.XLOOKUP(B2142,Indices!$A$2:$A$2676,Indices!$B$2:$B$2676,"")</f>
        <v/>
      </c>
    </row>
    <row r="2143" spans="1:4" x14ac:dyDescent="0.25">
      <c r="A2143" s="379">
        <v>45790.208333333336</v>
      </c>
      <c r="B2143" s="382" t="s">
        <v>3829</v>
      </c>
      <c r="C2143" s="377" t="s">
        <v>5233</v>
      </c>
      <c r="D2143" s="6" t="str">
        <f>_xlfn.XLOOKUP(B2143,Indices!$A$2:$A$2676,Indices!$B$2:$B$2676,"")</f>
        <v/>
      </c>
    </row>
    <row r="2144" spans="1:4" x14ac:dyDescent="0.25">
      <c r="A2144" s="379">
        <v>45790.208333333336</v>
      </c>
      <c r="B2144" s="382" t="s">
        <v>3833</v>
      </c>
      <c r="C2144" s="377" t="s">
        <v>5233</v>
      </c>
      <c r="D2144" s="6" t="str">
        <f>_xlfn.XLOOKUP(B2144,Indices!$A$2:$A$2676,Indices!$B$2:$B$2676,"")</f>
        <v/>
      </c>
    </row>
    <row r="2145" spans="1:4" x14ac:dyDescent="0.25">
      <c r="A2145" s="379">
        <v>45790.208333333336</v>
      </c>
      <c r="B2145" s="382" t="s">
        <v>189</v>
      </c>
      <c r="C2145" s="377" t="s">
        <v>5233</v>
      </c>
      <c r="D2145" s="6" t="str">
        <f>_xlfn.XLOOKUP(B2145,Indices!$A$2:$A$2676,Indices!$B$2:$B$2676,"")</f>
        <v>IWM</v>
      </c>
    </row>
    <row r="2146" spans="1:4" x14ac:dyDescent="0.25">
      <c r="A2146" s="379">
        <v>45790.208333333336</v>
      </c>
      <c r="B2146" s="382" t="s">
        <v>3503</v>
      </c>
      <c r="C2146" s="377" t="s">
        <v>5233</v>
      </c>
      <c r="D2146" s="6" t="str">
        <f>_xlfn.XLOOKUP(B2146,Indices!$A$2:$A$2676,Indices!$B$2:$B$2676,"")</f>
        <v/>
      </c>
    </row>
    <row r="2147" spans="1:4" x14ac:dyDescent="0.25">
      <c r="A2147" s="379">
        <v>45790.208333333336</v>
      </c>
      <c r="B2147" s="382" t="s">
        <v>899</v>
      </c>
      <c r="C2147" s="377" t="s">
        <v>5233</v>
      </c>
      <c r="D2147" s="6" t="str">
        <f>_xlfn.XLOOKUP(B2147,Indices!$A$2:$A$2676,Indices!$B$2:$B$2676,"")</f>
        <v>IWM</v>
      </c>
    </row>
    <row r="2148" spans="1:4" x14ac:dyDescent="0.25">
      <c r="A2148" s="379">
        <v>45790.209027777775</v>
      </c>
      <c r="B2148" s="382" t="s">
        <v>4103</v>
      </c>
      <c r="C2148" s="377" t="s">
        <v>5236</v>
      </c>
      <c r="D2148" s="6" t="str">
        <f>_xlfn.XLOOKUP(B2148,Indices!$A$2:$A$2676,Indices!$B$2:$B$2676,"")</f>
        <v/>
      </c>
    </row>
    <row r="2149" spans="1:4" x14ac:dyDescent="0.25">
      <c r="A2149" s="379">
        <v>45790.211805555555</v>
      </c>
      <c r="B2149" s="382" t="s">
        <v>97</v>
      </c>
      <c r="C2149" s="377" t="s">
        <v>5237</v>
      </c>
      <c r="D2149" s="6" t="str">
        <f>_xlfn.XLOOKUP(B2149,Indices!$A$2:$A$2676,Indices!$B$2:$B$2676,"")</f>
        <v>IWM</v>
      </c>
    </row>
    <row r="2150" spans="1:4" x14ac:dyDescent="0.25">
      <c r="A2150" s="379">
        <v>45790.211805555555</v>
      </c>
      <c r="B2150" s="382" t="s">
        <v>3218</v>
      </c>
      <c r="C2150" s="377" t="s">
        <v>5237</v>
      </c>
      <c r="D2150" s="6" t="str">
        <f>_xlfn.XLOOKUP(B2150,Indices!$A$2:$A$2676,Indices!$B$2:$B$2676,"")</f>
        <v/>
      </c>
    </row>
    <row r="2151" spans="1:4" x14ac:dyDescent="0.25">
      <c r="A2151" s="379">
        <v>45790.211805555555</v>
      </c>
      <c r="B2151" s="382" t="s">
        <v>3951</v>
      </c>
      <c r="C2151" s="377" t="s">
        <v>5237</v>
      </c>
      <c r="D2151" s="6" t="str">
        <f>_xlfn.XLOOKUP(B2151,Indices!$A$2:$A$2676,Indices!$B$2:$B$2676,"")</f>
        <v/>
      </c>
    </row>
    <row r="2152" spans="1:4" x14ac:dyDescent="0.25">
      <c r="A2152" s="379">
        <v>45790.229166666664</v>
      </c>
      <c r="B2152" s="382" t="s">
        <v>5239</v>
      </c>
      <c r="C2152" s="377" t="s">
        <v>5238</v>
      </c>
      <c r="D2152" s="6" t="str">
        <f>_xlfn.XLOOKUP(B2152,Indices!$A$2:$A$2676,Indices!$B$2:$B$2676,"")</f>
        <v/>
      </c>
    </row>
    <row r="2153" spans="1:4" x14ac:dyDescent="0.25">
      <c r="A2153" s="379">
        <v>45790.229166666664</v>
      </c>
      <c r="B2153" s="382" t="s">
        <v>3859</v>
      </c>
      <c r="C2153" s="377" t="s">
        <v>5238</v>
      </c>
      <c r="D2153" s="6" t="str">
        <f>_xlfn.XLOOKUP(B2153,Indices!$A$2:$A$2676,Indices!$B$2:$B$2676,"")</f>
        <v/>
      </c>
    </row>
    <row r="2154" spans="1:4" x14ac:dyDescent="0.25">
      <c r="A2154" s="379">
        <v>45790.229166666664</v>
      </c>
      <c r="B2154" s="382" t="s">
        <v>858</v>
      </c>
      <c r="C2154" s="377" t="s">
        <v>5238</v>
      </c>
      <c r="D2154" s="6" t="str">
        <f>_xlfn.XLOOKUP(B2154,Indices!$A$2:$A$2676,Indices!$B$2:$B$2676,"")</f>
        <v>IWM</v>
      </c>
    </row>
    <row r="2155" spans="1:4" x14ac:dyDescent="0.25">
      <c r="A2155" s="379">
        <v>45790.229166666664</v>
      </c>
      <c r="B2155" s="382" t="s">
        <v>1127</v>
      </c>
      <c r="C2155" s="377" t="s">
        <v>5238</v>
      </c>
      <c r="D2155" s="6" t="str">
        <f>_xlfn.XLOOKUP(B2155,Indices!$A$2:$A$2676,Indices!$B$2:$B$2676,"")</f>
        <v>IWM</v>
      </c>
    </row>
    <row r="2156" spans="1:4" x14ac:dyDescent="0.25">
      <c r="A2156" s="379">
        <v>45790.229166666664</v>
      </c>
      <c r="B2156" s="382" t="s">
        <v>3454</v>
      </c>
      <c r="C2156" s="377" t="s">
        <v>5238</v>
      </c>
      <c r="D2156" s="6" t="str">
        <f>_xlfn.XLOOKUP(B2156,Indices!$A$2:$A$2676,Indices!$B$2:$B$2676,"")</f>
        <v/>
      </c>
    </row>
    <row r="2157" spans="1:4" x14ac:dyDescent="0.25">
      <c r="A2157" s="379">
        <v>45790.229166666664</v>
      </c>
      <c r="B2157" s="382" t="s">
        <v>2569</v>
      </c>
      <c r="C2157" s="377" t="s">
        <v>5238</v>
      </c>
      <c r="D2157" s="6" t="str">
        <f>_xlfn.XLOOKUP(B2157,Indices!$A$2:$A$2676,Indices!$B$2:$B$2676,"")</f>
        <v/>
      </c>
    </row>
    <row r="2158" spans="1:4" x14ac:dyDescent="0.25">
      <c r="A2158" s="379">
        <v>45790.229166666664</v>
      </c>
      <c r="B2158" s="382" t="s">
        <v>3261</v>
      </c>
      <c r="C2158" s="377" t="s">
        <v>5238</v>
      </c>
      <c r="D2158" s="6" t="str">
        <f>_xlfn.XLOOKUP(B2158,Indices!$A$2:$A$2676,Indices!$B$2:$B$2676,"")</f>
        <v/>
      </c>
    </row>
    <row r="2159" spans="1:4" x14ac:dyDescent="0.25">
      <c r="A2159" s="379">
        <v>45790.229166666664</v>
      </c>
      <c r="B2159" s="382" t="s">
        <v>5240</v>
      </c>
      <c r="C2159" s="377" t="s">
        <v>5238</v>
      </c>
      <c r="D2159" s="6" t="str">
        <f>_xlfn.XLOOKUP(B2159,Indices!$A$2:$A$2676,Indices!$B$2:$B$2676,"")</f>
        <v/>
      </c>
    </row>
    <row r="2160" spans="1:4" x14ac:dyDescent="0.25">
      <c r="A2160" s="379">
        <v>45790.229166666664</v>
      </c>
      <c r="B2160" s="382" t="s">
        <v>1054</v>
      </c>
      <c r="C2160" s="377" t="s">
        <v>5238</v>
      </c>
      <c r="D2160" s="6" t="str">
        <f>_xlfn.XLOOKUP(B2160,Indices!$A$2:$A$2676,Indices!$B$2:$B$2676,"")</f>
        <v>IWM</v>
      </c>
    </row>
    <row r="2161" spans="1:4" x14ac:dyDescent="0.25">
      <c r="A2161" s="379">
        <v>45790.229166666664</v>
      </c>
      <c r="B2161" s="382" t="s">
        <v>626</v>
      </c>
      <c r="C2161" s="377" t="s">
        <v>5238</v>
      </c>
      <c r="D2161" s="6" t="str">
        <f>_xlfn.XLOOKUP(B2161,Indices!$A$2:$A$2676,Indices!$B$2:$B$2676,"")</f>
        <v>IWM</v>
      </c>
    </row>
    <row r="2162" spans="1:4" x14ac:dyDescent="0.25">
      <c r="A2162" s="379">
        <v>45790.229166666664</v>
      </c>
      <c r="B2162" s="382" t="s">
        <v>3988</v>
      </c>
      <c r="C2162" s="377" t="s">
        <v>5238</v>
      </c>
      <c r="D2162" s="6" t="str">
        <f>_xlfn.XLOOKUP(B2162,Indices!$A$2:$A$2676,Indices!$B$2:$B$2676,"")</f>
        <v/>
      </c>
    </row>
    <row r="2163" spans="1:4" x14ac:dyDescent="0.25">
      <c r="A2163" s="379">
        <v>45790.243055555555</v>
      </c>
      <c r="B2163" s="382" t="s">
        <v>2336</v>
      </c>
      <c r="C2163" s="377" t="s">
        <v>5241</v>
      </c>
      <c r="D2163" s="6" t="str">
        <f>_xlfn.XLOOKUP(B2163,Indices!$A$2:$A$2676,Indices!$B$2:$B$2676,"")</f>
        <v>S&amp;P Mid</v>
      </c>
    </row>
    <row r="2164" spans="1:4" x14ac:dyDescent="0.25">
      <c r="A2164" s="379">
        <v>45790.25</v>
      </c>
      <c r="B2164" s="382" t="s">
        <v>5245</v>
      </c>
      <c r="C2164" s="377" t="s">
        <v>5242</v>
      </c>
      <c r="D2164" s="6" t="str">
        <f>_xlfn.XLOOKUP(B2164,Indices!$A$2:$A$2676,Indices!$B$2:$B$2676,"")</f>
        <v/>
      </c>
    </row>
    <row r="2165" spans="1:4" x14ac:dyDescent="0.25">
      <c r="A2165" s="379">
        <v>45790.25</v>
      </c>
      <c r="B2165" s="382" t="s">
        <v>5243</v>
      </c>
      <c r="C2165" s="377" t="s">
        <v>5242</v>
      </c>
      <c r="D2165" s="6" t="str">
        <f>_xlfn.XLOOKUP(B2165,Indices!$A$2:$A$2676,Indices!$B$2:$B$2676,"")</f>
        <v/>
      </c>
    </row>
    <row r="2166" spans="1:4" x14ac:dyDescent="0.25">
      <c r="A2166" s="379">
        <v>45790.25</v>
      </c>
      <c r="B2166" s="382" t="s">
        <v>5244</v>
      </c>
      <c r="C2166" s="377" t="s">
        <v>5242</v>
      </c>
      <c r="D2166" s="6" t="str">
        <f>_xlfn.XLOOKUP(B2166,Indices!$A$2:$A$2676,Indices!$B$2:$B$2676,"")</f>
        <v/>
      </c>
    </row>
    <row r="2167" spans="1:4" x14ac:dyDescent="0.25">
      <c r="A2167" s="379">
        <v>45790.25</v>
      </c>
      <c r="B2167" s="382" t="s">
        <v>1018</v>
      </c>
      <c r="C2167" s="377" t="s">
        <v>5242</v>
      </c>
      <c r="D2167" s="6" t="str">
        <f>_xlfn.XLOOKUP(B2167,Indices!$A$2:$A$2676,Indices!$B$2:$B$2676,"")</f>
        <v>IWM</v>
      </c>
    </row>
    <row r="2168" spans="1:4" x14ac:dyDescent="0.25">
      <c r="A2168" s="379">
        <v>45790.25</v>
      </c>
      <c r="B2168" s="382" t="s">
        <v>932</v>
      </c>
      <c r="C2168" s="377" t="s">
        <v>5242</v>
      </c>
      <c r="D2168" s="6" t="str">
        <f>_xlfn.XLOOKUP(B2168,Indices!$A$2:$A$2676,Indices!$B$2:$B$2676,"")</f>
        <v>IWM</v>
      </c>
    </row>
    <row r="2169" spans="1:4" x14ac:dyDescent="0.25">
      <c r="A2169" s="379">
        <v>45790.25</v>
      </c>
      <c r="B2169" s="382" t="s">
        <v>3796</v>
      </c>
      <c r="C2169" s="377" t="s">
        <v>5242</v>
      </c>
      <c r="D2169" s="6" t="str">
        <f>_xlfn.XLOOKUP(B2169,Indices!$A$2:$A$2676,Indices!$B$2:$B$2676,"")</f>
        <v/>
      </c>
    </row>
    <row r="2170" spans="1:4" x14ac:dyDescent="0.25">
      <c r="A2170" s="379">
        <v>45790.253472222219</v>
      </c>
      <c r="B2170" s="382" t="s">
        <v>5246</v>
      </c>
      <c r="C2170" s="377" t="s">
        <v>5247</v>
      </c>
      <c r="D2170" s="6" t="str">
        <f>_xlfn.XLOOKUP(B2170,Indices!$A$2:$A$2676,Indices!$B$2:$B$2676,"")</f>
        <v/>
      </c>
    </row>
    <row r="2171" spans="1:4" x14ac:dyDescent="0.25">
      <c r="A2171" s="379">
        <v>45790.270833333336</v>
      </c>
      <c r="B2171" s="382" t="s">
        <v>3685</v>
      </c>
      <c r="C2171" s="377" t="s">
        <v>5248</v>
      </c>
      <c r="D2171" s="6" t="str">
        <f>_xlfn.XLOOKUP(B2171,Indices!$A$2:$A$2676,Indices!$B$2:$B$2676,"")</f>
        <v/>
      </c>
    </row>
    <row r="2172" spans="1:4" x14ac:dyDescent="0.25">
      <c r="A2172" s="379">
        <v>45790.270833333336</v>
      </c>
      <c r="B2172" s="382" t="s">
        <v>3839</v>
      </c>
      <c r="C2172" s="377" t="s">
        <v>5248</v>
      </c>
      <c r="D2172" s="6" t="str">
        <f>_xlfn.XLOOKUP(B2172,Indices!$A$2:$A$2676,Indices!$B$2:$B$2676,"")</f>
        <v/>
      </c>
    </row>
    <row r="2173" spans="1:4" x14ac:dyDescent="0.25">
      <c r="A2173" s="379">
        <v>45790.270833333336</v>
      </c>
      <c r="B2173" s="382" t="s">
        <v>3865</v>
      </c>
      <c r="C2173" s="377" t="s">
        <v>5248</v>
      </c>
      <c r="D2173" s="6" t="str">
        <f>_xlfn.XLOOKUP(B2173,Indices!$A$2:$A$2676,Indices!$B$2:$B$2676,"")</f>
        <v/>
      </c>
    </row>
    <row r="2174" spans="1:4" x14ac:dyDescent="0.25">
      <c r="A2174" s="379">
        <v>45790.291666666664</v>
      </c>
      <c r="B2174" s="382" t="s">
        <v>3856</v>
      </c>
      <c r="C2174" s="377" t="s">
        <v>3820</v>
      </c>
      <c r="D2174" s="6" t="str">
        <f>_xlfn.XLOOKUP(B2174,Indices!$A$2:$A$2676,Indices!$B$2:$B$2676,"")</f>
        <v/>
      </c>
    </row>
    <row r="2175" spans="1:4" x14ac:dyDescent="0.25">
      <c r="A2175" s="379">
        <v>45790.291666666664</v>
      </c>
      <c r="B2175" s="382" t="s">
        <v>3678</v>
      </c>
      <c r="C2175" s="377" t="s">
        <v>3820</v>
      </c>
      <c r="D2175" s="6" t="str">
        <f>_xlfn.XLOOKUP(B2175,Indices!$A$2:$A$2676,Indices!$B$2:$B$2676,"")</f>
        <v/>
      </c>
    </row>
    <row r="2176" spans="1:4" x14ac:dyDescent="0.25">
      <c r="A2176" s="379">
        <v>45790.291666666664</v>
      </c>
      <c r="B2176" s="382" t="s">
        <v>3821</v>
      </c>
      <c r="C2176" s="377" t="s">
        <v>3820</v>
      </c>
      <c r="D2176" s="6" t="str">
        <f>_xlfn.XLOOKUP(B2176,Indices!$A$2:$A$2676,Indices!$B$2:$B$2676,"")</f>
        <v/>
      </c>
    </row>
    <row r="2177" spans="1:4" x14ac:dyDescent="0.25">
      <c r="A2177" s="379">
        <v>45790.458333333336</v>
      </c>
      <c r="B2177" s="382" t="s">
        <v>2888</v>
      </c>
      <c r="C2177" s="377" t="s">
        <v>3872</v>
      </c>
      <c r="D2177" s="6" t="str">
        <f>_xlfn.XLOOKUP(B2177,Indices!$A$2:$A$2676,Indices!$B$2:$B$2676,"")</f>
        <v/>
      </c>
    </row>
    <row r="2178" spans="1:4" x14ac:dyDescent="0.25">
      <c r="A2178" s="379">
        <v>45790.458333333336</v>
      </c>
      <c r="B2178" s="382" t="s">
        <v>2899</v>
      </c>
      <c r="C2178" s="377" t="s">
        <v>3872</v>
      </c>
      <c r="D2178" s="6" t="str">
        <f>_xlfn.XLOOKUP(B2178,Indices!$A$2:$A$2676,Indices!$B$2:$B$2676,"")</f>
        <v/>
      </c>
    </row>
    <row r="2179" spans="1:4" x14ac:dyDescent="0.25">
      <c r="A2179" s="379">
        <v>45790.458333333336</v>
      </c>
      <c r="B2179" s="382" t="s">
        <v>2873</v>
      </c>
      <c r="C2179" s="377" t="s">
        <v>3872</v>
      </c>
      <c r="D2179" s="6" t="str">
        <f>_xlfn.XLOOKUP(B2179,Indices!$A$2:$A$2676,Indices!$B$2:$B$2676,"")</f>
        <v/>
      </c>
    </row>
    <row r="2180" spans="1:4" x14ac:dyDescent="0.25">
      <c r="A2180" s="379">
        <v>45790.479861111111</v>
      </c>
      <c r="B2180" s="382" t="s">
        <v>3871</v>
      </c>
      <c r="C2180" s="377" t="s">
        <v>5249</v>
      </c>
      <c r="D2180" s="6" t="str">
        <f>_xlfn.XLOOKUP(B2180,Indices!$A$2:$A$2676,Indices!$B$2:$B$2676,"")</f>
        <v/>
      </c>
    </row>
    <row r="2181" spans="1:4" x14ac:dyDescent="0.25">
      <c r="A2181" s="379">
        <v>45790.583333333336</v>
      </c>
      <c r="B2181" s="382" t="s">
        <v>3003</v>
      </c>
      <c r="C2181" s="377" t="s">
        <v>5250</v>
      </c>
      <c r="D2181" s="6" t="str">
        <f>_xlfn.XLOOKUP(B2181,Indices!$A$2:$A$2676,Indices!$B$2:$B$2676,"")</f>
        <v/>
      </c>
    </row>
    <row r="2182" spans="1:4" x14ac:dyDescent="0.25">
      <c r="A2182" s="379">
        <v>45790.583333333336</v>
      </c>
      <c r="B2182" s="382" t="s">
        <v>2401</v>
      </c>
      <c r="C2182" s="377" t="s">
        <v>5250</v>
      </c>
      <c r="D2182" s="6" t="str">
        <f>_xlfn.XLOOKUP(B2182,Indices!$A$2:$A$2676,Indices!$B$2:$B$2676,"")</f>
        <v>S&amp;P Mid</v>
      </c>
    </row>
    <row r="2183" spans="1:4" x14ac:dyDescent="0.25">
      <c r="A2183" s="379">
        <v>45790.583333333336</v>
      </c>
      <c r="B2183" s="382" t="s">
        <v>4122</v>
      </c>
      <c r="C2183" s="377" t="s">
        <v>5250</v>
      </c>
      <c r="D2183" s="6" t="str">
        <f>_xlfn.XLOOKUP(B2183,Indices!$A$2:$A$2676,Indices!$B$2:$B$2676,"")</f>
        <v/>
      </c>
    </row>
    <row r="2184" spans="1:4" x14ac:dyDescent="0.25">
      <c r="A2184" s="379">
        <v>45790.583333333336</v>
      </c>
      <c r="B2184" s="382" t="s">
        <v>3803</v>
      </c>
      <c r="C2184" s="377" t="s">
        <v>5250</v>
      </c>
      <c r="D2184" s="6" t="str">
        <f>_xlfn.XLOOKUP(B2184,Indices!$A$2:$A$2676,Indices!$B$2:$B$2676,"")</f>
        <v/>
      </c>
    </row>
    <row r="2185" spans="1:4" x14ac:dyDescent="0.25">
      <c r="A2185" s="379">
        <v>45790.584027777775</v>
      </c>
      <c r="B2185" s="382" t="s">
        <v>3625</v>
      </c>
      <c r="C2185" s="377" t="s">
        <v>5251</v>
      </c>
      <c r="D2185" s="6" t="str">
        <f>_xlfn.XLOOKUP(B2185,Indices!$A$2:$A$2676,Indices!$B$2:$B$2676,"")</f>
        <v/>
      </c>
    </row>
    <row r="2186" spans="1:4" x14ac:dyDescent="0.25">
      <c r="A2186" s="379">
        <v>45790.584027777775</v>
      </c>
      <c r="B2186" s="382" t="s">
        <v>942</v>
      </c>
      <c r="C2186" s="377" t="s">
        <v>5251</v>
      </c>
      <c r="D2186" s="6" t="str">
        <f>_xlfn.XLOOKUP(B2186,Indices!$A$2:$A$2676,Indices!$B$2:$B$2676,"")</f>
        <v>IWM</v>
      </c>
    </row>
    <row r="2187" spans="1:4" x14ac:dyDescent="0.25">
      <c r="A2187" s="379">
        <v>45790.584027777775</v>
      </c>
      <c r="B2187" s="382" t="s">
        <v>4025</v>
      </c>
      <c r="C2187" s="377" t="s">
        <v>5251</v>
      </c>
      <c r="D2187" s="6" t="str">
        <f>_xlfn.XLOOKUP(B2187,Indices!$A$2:$A$2676,Indices!$B$2:$B$2676,"")</f>
        <v/>
      </c>
    </row>
    <row r="2188" spans="1:4" x14ac:dyDescent="0.25">
      <c r="A2188" s="379">
        <v>45790.584027777775</v>
      </c>
      <c r="B2188" s="382" t="s">
        <v>3904</v>
      </c>
      <c r="C2188" s="377" t="s">
        <v>5251</v>
      </c>
      <c r="D2188" s="6" t="str">
        <f>_xlfn.XLOOKUP(B2188,Indices!$A$2:$A$2676,Indices!$B$2:$B$2676,"")</f>
        <v/>
      </c>
    </row>
    <row r="2189" spans="1:4" x14ac:dyDescent="0.25">
      <c r="A2189" s="379">
        <v>45790.584027777775</v>
      </c>
      <c r="B2189" s="382" t="s">
        <v>222</v>
      </c>
      <c r="C2189" s="377" t="s">
        <v>5251</v>
      </c>
      <c r="D2189" s="6" t="str">
        <f>_xlfn.XLOOKUP(B2189,Indices!$A$2:$A$2676,Indices!$B$2:$B$2676,"")</f>
        <v>IWM</v>
      </c>
    </row>
    <row r="2190" spans="1:4" x14ac:dyDescent="0.25">
      <c r="A2190" s="379">
        <v>45790.584027777775</v>
      </c>
      <c r="B2190" s="382" t="s">
        <v>4190</v>
      </c>
      <c r="C2190" s="377" t="s">
        <v>5251</v>
      </c>
      <c r="D2190" s="6" t="str">
        <f>_xlfn.XLOOKUP(B2190,Indices!$A$2:$A$2676,Indices!$B$2:$B$2676,"")</f>
        <v/>
      </c>
    </row>
    <row r="2191" spans="1:4" x14ac:dyDescent="0.25">
      <c r="A2191" s="379">
        <v>45790.584027777775</v>
      </c>
      <c r="B2191" s="382" t="s">
        <v>4155</v>
      </c>
      <c r="C2191" s="377" t="s">
        <v>5251</v>
      </c>
      <c r="D2191" s="6" t="str">
        <f>_xlfn.XLOOKUP(B2191,Indices!$A$2:$A$2676,Indices!$B$2:$B$2676,"")</f>
        <v/>
      </c>
    </row>
    <row r="2192" spans="1:4" x14ac:dyDescent="0.25">
      <c r="A2192" s="379">
        <v>45790.584027777775</v>
      </c>
      <c r="B2192" s="382" t="s">
        <v>67</v>
      </c>
      <c r="C2192" s="377" t="s">
        <v>5251</v>
      </c>
      <c r="D2192" s="6" t="str">
        <f>_xlfn.XLOOKUP(B2192,Indices!$A$2:$A$2676,Indices!$B$2:$B$2676,"")</f>
        <v>IWM</v>
      </c>
    </row>
    <row r="2193" spans="1:4" x14ac:dyDescent="0.25">
      <c r="A2193" s="379">
        <v>45790.584027777775</v>
      </c>
      <c r="B2193" s="382" t="s">
        <v>3151</v>
      </c>
      <c r="C2193" s="377" t="s">
        <v>5251</v>
      </c>
      <c r="D2193" s="6" t="str">
        <f>_xlfn.XLOOKUP(B2193,Indices!$A$2:$A$2676,Indices!$B$2:$B$2676,"")</f>
        <v/>
      </c>
    </row>
    <row r="2194" spans="1:4" x14ac:dyDescent="0.25">
      <c r="A2194" s="379">
        <v>45790.584027777775</v>
      </c>
      <c r="B2194" s="382" t="s">
        <v>2986</v>
      </c>
      <c r="C2194" s="377" t="s">
        <v>5251</v>
      </c>
      <c r="D2194" s="6" t="str">
        <f>_xlfn.XLOOKUP(B2194,Indices!$A$2:$A$2676,Indices!$B$2:$B$2676,"")</f>
        <v/>
      </c>
    </row>
    <row r="2195" spans="1:4" x14ac:dyDescent="0.25">
      <c r="A2195" s="379">
        <v>45790.584027777775</v>
      </c>
      <c r="B2195" s="382" t="s">
        <v>3430</v>
      </c>
      <c r="C2195" s="377" t="s">
        <v>5251</v>
      </c>
      <c r="D2195" s="6" t="str">
        <f>_xlfn.XLOOKUP(B2195,Indices!$A$2:$A$2676,Indices!$B$2:$B$2676,"")</f>
        <v/>
      </c>
    </row>
    <row r="2196" spans="1:4" x14ac:dyDescent="0.25">
      <c r="A2196" s="379">
        <v>45790.584027777775</v>
      </c>
      <c r="B2196" s="382" t="s">
        <v>3572</v>
      </c>
      <c r="C2196" s="377" t="s">
        <v>5251</v>
      </c>
      <c r="D2196" s="6" t="str">
        <f>_xlfn.XLOOKUP(B2196,Indices!$A$2:$A$2676,Indices!$B$2:$B$2676,"")</f>
        <v/>
      </c>
    </row>
    <row r="2197" spans="1:4" x14ac:dyDescent="0.25">
      <c r="A2197" s="379">
        <v>45790.584027777775</v>
      </c>
      <c r="B2197" s="382" t="s">
        <v>943</v>
      </c>
      <c r="C2197" s="377" t="s">
        <v>5251</v>
      </c>
      <c r="D2197" s="6" t="str">
        <f>_xlfn.XLOOKUP(B2197,Indices!$A$2:$A$2676,Indices!$B$2:$B$2676,"")</f>
        <v>IWM</v>
      </c>
    </row>
    <row r="2198" spans="1:4" x14ac:dyDescent="0.25">
      <c r="A2198" s="379">
        <v>45790.584027777775</v>
      </c>
      <c r="B2198" s="382" t="s">
        <v>5252</v>
      </c>
      <c r="C2198" s="377" t="s">
        <v>5251</v>
      </c>
      <c r="D2198" s="6" t="str">
        <f>_xlfn.XLOOKUP(B2198,Indices!$A$2:$A$2676,Indices!$B$2:$B$2676,"")</f>
        <v/>
      </c>
    </row>
    <row r="2199" spans="1:4" x14ac:dyDescent="0.25">
      <c r="A2199" s="379">
        <v>45790.584027777775</v>
      </c>
      <c r="B2199" s="382" t="s">
        <v>3086</v>
      </c>
      <c r="C2199" s="377" t="s">
        <v>5251</v>
      </c>
      <c r="D2199" s="6" t="str">
        <f>_xlfn.XLOOKUP(B2199,Indices!$A$2:$A$2676,Indices!$B$2:$B$2676,"")</f>
        <v/>
      </c>
    </row>
    <row r="2200" spans="1:4" x14ac:dyDescent="0.25">
      <c r="A2200" s="379">
        <v>45790.584027777775</v>
      </c>
      <c r="B2200" s="382" t="s">
        <v>3504</v>
      </c>
      <c r="C2200" s="377" t="s">
        <v>5251</v>
      </c>
      <c r="D2200" s="6" t="str">
        <f>_xlfn.XLOOKUP(B2200,Indices!$A$2:$A$2676,Indices!$B$2:$B$2676,"")</f>
        <v/>
      </c>
    </row>
    <row r="2201" spans="1:4" x14ac:dyDescent="0.25">
      <c r="A2201" s="379">
        <v>45790.584027777775</v>
      </c>
      <c r="B2201" s="382" t="s">
        <v>3819</v>
      </c>
      <c r="C2201" s="377" t="s">
        <v>5251</v>
      </c>
      <c r="D2201" s="6" t="str">
        <f>_xlfn.XLOOKUP(B2201,Indices!$A$2:$A$2676,Indices!$B$2:$B$2676,"")</f>
        <v/>
      </c>
    </row>
    <row r="2202" spans="1:4" x14ac:dyDescent="0.25">
      <c r="A2202" s="379">
        <v>45790.584722222222</v>
      </c>
      <c r="B2202" s="382" t="s">
        <v>5253</v>
      </c>
      <c r="C2202" s="377" t="s">
        <v>5254</v>
      </c>
      <c r="D2202" s="6" t="str">
        <f>_xlfn.XLOOKUP(B2202,Indices!$A$2:$A$2676,Indices!$B$2:$B$2676,"")</f>
        <v/>
      </c>
    </row>
    <row r="2203" spans="1:4" x14ac:dyDescent="0.25">
      <c r="A2203" s="379">
        <v>45790.585416666669</v>
      </c>
      <c r="B2203" s="382" t="s">
        <v>5255</v>
      </c>
      <c r="C2203" s="377" t="s">
        <v>5256</v>
      </c>
      <c r="D2203" s="6" t="str">
        <f>_xlfn.XLOOKUP(B2203,Indices!$A$2:$A$2676,Indices!$B$2:$B$2676,"")</f>
        <v/>
      </c>
    </row>
    <row r="2204" spans="1:4" x14ac:dyDescent="0.25">
      <c r="A2204" s="379">
        <v>45790.586111111108</v>
      </c>
      <c r="B2204" s="382" t="s">
        <v>2916</v>
      </c>
      <c r="C2204" s="377" t="s">
        <v>5257</v>
      </c>
      <c r="D2204" s="6" t="str">
        <f>_xlfn.XLOOKUP(B2204,Indices!$A$2:$A$2676,Indices!$B$2:$B$2676,"")</f>
        <v/>
      </c>
    </row>
    <row r="2205" spans="1:4" x14ac:dyDescent="0.25">
      <c r="A2205" s="379">
        <v>45790.586805555555</v>
      </c>
      <c r="B2205" s="382" t="s">
        <v>3659</v>
      </c>
      <c r="C2205" s="377" t="s">
        <v>5258</v>
      </c>
      <c r="D2205" s="6" t="str">
        <f>_xlfn.XLOOKUP(B2205,Indices!$A$2:$A$2676,Indices!$B$2:$B$2676,"")</f>
        <v/>
      </c>
    </row>
    <row r="2206" spans="1:4" x14ac:dyDescent="0.25">
      <c r="A2206" s="379">
        <v>45790.586805555555</v>
      </c>
      <c r="B2206" s="382" t="s">
        <v>3363</v>
      </c>
      <c r="C2206" s="377" t="s">
        <v>5258</v>
      </c>
      <c r="D2206" s="6" t="str">
        <f>_xlfn.XLOOKUP(B2206,Indices!$A$2:$A$2676,Indices!$B$2:$B$2676,"")</f>
        <v/>
      </c>
    </row>
    <row r="2207" spans="1:4" x14ac:dyDescent="0.25">
      <c r="A2207" s="379">
        <v>45790.586805555555</v>
      </c>
      <c r="B2207" s="382" t="s">
        <v>3577</v>
      </c>
      <c r="C2207" s="377" t="s">
        <v>5258</v>
      </c>
      <c r="D2207" s="6" t="str">
        <f>_xlfn.XLOOKUP(B2207,Indices!$A$2:$A$2676,Indices!$B$2:$B$2676,"")</f>
        <v/>
      </c>
    </row>
    <row r="2208" spans="1:4" x14ac:dyDescent="0.25">
      <c r="A2208" s="379">
        <v>45790.586805555555</v>
      </c>
      <c r="B2208" s="382" t="s">
        <v>955</v>
      </c>
      <c r="C2208" s="377" t="s">
        <v>5258</v>
      </c>
      <c r="D2208" s="6" t="str">
        <f>_xlfn.XLOOKUP(B2208,Indices!$A$2:$A$2676,Indices!$B$2:$B$2676,"")</f>
        <v>IWM</v>
      </c>
    </row>
    <row r="2209" spans="1:4" x14ac:dyDescent="0.25">
      <c r="A2209" s="379">
        <v>45790.586805555555</v>
      </c>
      <c r="B2209" s="382" t="s">
        <v>3587</v>
      </c>
      <c r="C2209" s="377" t="s">
        <v>5258</v>
      </c>
      <c r="D2209" s="6" t="str">
        <f>_xlfn.XLOOKUP(B2209,Indices!$A$2:$A$2676,Indices!$B$2:$B$2676,"")</f>
        <v/>
      </c>
    </row>
    <row r="2210" spans="1:4" x14ac:dyDescent="0.25">
      <c r="A2210" s="379">
        <v>45790.586805555555</v>
      </c>
      <c r="B2210" s="382" t="s">
        <v>3792</v>
      </c>
      <c r="C2210" s="377" t="s">
        <v>5258</v>
      </c>
      <c r="D2210" s="6" t="str">
        <f>_xlfn.XLOOKUP(B2210,Indices!$A$2:$A$2676,Indices!$B$2:$B$2676,"")</f>
        <v/>
      </c>
    </row>
    <row r="2211" spans="1:4" x14ac:dyDescent="0.25">
      <c r="A2211" s="379">
        <v>45790.586805555555</v>
      </c>
      <c r="B2211" s="382" t="s">
        <v>920</v>
      </c>
      <c r="C2211" s="377" t="s">
        <v>5258</v>
      </c>
      <c r="D2211" s="6" t="str">
        <f>_xlfn.XLOOKUP(B2211,Indices!$A$2:$A$2676,Indices!$B$2:$B$2676,"")</f>
        <v>IWM</v>
      </c>
    </row>
    <row r="2212" spans="1:4" x14ac:dyDescent="0.25">
      <c r="A2212" s="379">
        <v>45790.586805555555</v>
      </c>
      <c r="B2212" s="382" t="s">
        <v>3885</v>
      </c>
      <c r="C2212" s="377" t="s">
        <v>5258</v>
      </c>
      <c r="D2212" s="6" t="str">
        <f>_xlfn.XLOOKUP(B2212,Indices!$A$2:$A$2676,Indices!$B$2:$B$2676,"")</f>
        <v/>
      </c>
    </row>
    <row r="2213" spans="1:4" x14ac:dyDescent="0.25">
      <c r="A2213" s="379">
        <v>45790.586805555555</v>
      </c>
      <c r="B2213" s="382" t="s">
        <v>707</v>
      </c>
      <c r="C2213" s="377" t="s">
        <v>5258</v>
      </c>
      <c r="D2213" s="6" t="str">
        <f>_xlfn.XLOOKUP(B2213,Indices!$A$2:$A$2676,Indices!$B$2:$B$2676,"")</f>
        <v>IWM</v>
      </c>
    </row>
    <row r="2214" spans="1:4" x14ac:dyDescent="0.25">
      <c r="A2214" s="379">
        <v>45790.586805555555</v>
      </c>
      <c r="B2214" s="382" t="s">
        <v>3892</v>
      </c>
      <c r="C2214" s="377" t="s">
        <v>5258</v>
      </c>
      <c r="D2214" s="6" t="str">
        <f>_xlfn.XLOOKUP(B2214,Indices!$A$2:$A$2676,Indices!$B$2:$B$2676,"")</f>
        <v/>
      </c>
    </row>
    <row r="2215" spans="1:4" x14ac:dyDescent="0.25">
      <c r="A2215" s="379">
        <v>45790.586805555555</v>
      </c>
      <c r="B2215" s="382" t="s">
        <v>3310</v>
      </c>
      <c r="C2215" s="377" t="s">
        <v>5258</v>
      </c>
      <c r="D2215" s="6" t="str">
        <f>_xlfn.XLOOKUP(B2215,Indices!$A$2:$A$2676,Indices!$B$2:$B$2676,"")</f>
        <v/>
      </c>
    </row>
    <row r="2216" spans="1:4" x14ac:dyDescent="0.25">
      <c r="A2216" s="379">
        <v>45790.586805555555</v>
      </c>
      <c r="B2216" s="382" t="s">
        <v>5260</v>
      </c>
      <c r="C2216" s="377" t="s">
        <v>5258</v>
      </c>
      <c r="D2216" s="6" t="str">
        <f>_xlfn.XLOOKUP(B2216,Indices!$A$2:$A$2676,Indices!$B$2:$B$2676,"")</f>
        <v/>
      </c>
    </row>
    <row r="2217" spans="1:4" x14ac:dyDescent="0.25">
      <c r="A2217" s="379">
        <v>45790.586805555555</v>
      </c>
      <c r="B2217" s="382" t="s">
        <v>3896</v>
      </c>
      <c r="C2217" s="377" t="s">
        <v>5258</v>
      </c>
      <c r="D2217" s="6" t="str">
        <f>_xlfn.XLOOKUP(B2217,Indices!$A$2:$A$2676,Indices!$B$2:$B$2676,"")</f>
        <v/>
      </c>
    </row>
    <row r="2218" spans="1:4" x14ac:dyDescent="0.25">
      <c r="A2218" s="379">
        <v>45790.586805555555</v>
      </c>
      <c r="B2218" s="382" t="s">
        <v>3878</v>
      </c>
      <c r="C2218" s="377" t="s">
        <v>5258</v>
      </c>
      <c r="D2218" s="6" t="str">
        <f>_xlfn.XLOOKUP(B2218,Indices!$A$2:$A$2676,Indices!$B$2:$B$2676,"")</f>
        <v/>
      </c>
    </row>
    <row r="2219" spans="1:4" x14ac:dyDescent="0.25">
      <c r="A2219" s="379">
        <v>45790.586805555555</v>
      </c>
      <c r="B2219" s="382" t="s">
        <v>3996</v>
      </c>
      <c r="C2219" s="377" t="s">
        <v>5258</v>
      </c>
      <c r="D2219" s="6" t="str">
        <f>_xlfn.XLOOKUP(B2219,Indices!$A$2:$A$2676,Indices!$B$2:$B$2676,"")</f>
        <v/>
      </c>
    </row>
    <row r="2220" spans="1:4" x14ac:dyDescent="0.25">
      <c r="A2220" s="379">
        <v>45790.586805555555</v>
      </c>
      <c r="B2220" s="382" t="s">
        <v>5259</v>
      </c>
      <c r="C2220" s="377" t="s">
        <v>5258</v>
      </c>
      <c r="D2220" s="6" t="str">
        <f>_xlfn.XLOOKUP(B2220,Indices!$A$2:$A$2676,Indices!$B$2:$B$2676,"")</f>
        <v/>
      </c>
    </row>
    <row r="2221" spans="1:4" x14ac:dyDescent="0.25">
      <c r="A2221" s="379">
        <v>45790.586805555555</v>
      </c>
      <c r="B2221" s="382" t="s">
        <v>5262</v>
      </c>
      <c r="C2221" s="377" t="s">
        <v>5258</v>
      </c>
      <c r="D2221" s="6" t="str">
        <f>_xlfn.XLOOKUP(B2221,Indices!$A$2:$A$2676,Indices!$B$2:$B$2676,"")</f>
        <v/>
      </c>
    </row>
    <row r="2222" spans="1:4" x14ac:dyDescent="0.25">
      <c r="A2222" s="379">
        <v>45790.586805555555</v>
      </c>
      <c r="B2222" s="382" t="s">
        <v>941</v>
      </c>
      <c r="C2222" s="377" t="s">
        <v>5258</v>
      </c>
      <c r="D2222" s="6" t="str">
        <f>_xlfn.XLOOKUP(B2222,Indices!$A$2:$A$2676,Indices!$B$2:$B$2676,"")</f>
        <v>IWM</v>
      </c>
    </row>
    <row r="2223" spans="1:4" x14ac:dyDescent="0.25">
      <c r="A2223" s="379">
        <v>45790.586805555555</v>
      </c>
      <c r="B2223" s="382" t="s">
        <v>3780</v>
      </c>
      <c r="C2223" s="377" t="s">
        <v>5258</v>
      </c>
      <c r="D2223" s="6" t="str">
        <f>_xlfn.XLOOKUP(B2223,Indices!$A$2:$A$2676,Indices!$B$2:$B$2676,"")</f>
        <v/>
      </c>
    </row>
    <row r="2224" spans="1:4" x14ac:dyDescent="0.25">
      <c r="A2224" s="379">
        <v>45790.586805555555</v>
      </c>
      <c r="B2224" s="382" t="s">
        <v>677</v>
      </c>
      <c r="C2224" s="377" t="s">
        <v>5258</v>
      </c>
      <c r="D2224" s="6" t="str">
        <f>_xlfn.XLOOKUP(B2224,Indices!$A$2:$A$2676,Indices!$B$2:$B$2676,"")</f>
        <v>IWM</v>
      </c>
    </row>
    <row r="2225" spans="1:4" x14ac:dyDescent="0.25">
      <c r="A2225" s="379">
        <v>45790.586805555555</v>
      </c>
      <c r="B2225" s="382" t="s">
        <v>3888</v>
      </c>
      <c r="C2225" s="377" t="s">
        <v>5258</v>
      </c>
      <c r="D2225" s="6" t="str">
        <f>_xlfn.XLOOKUP(B2225,Indices!$A$2:$A$2676,Indices!$B$2:$B$2676,"")</f>
        <v/>
      </c>
    </row>
    <row r="2226" spans="1:4" x14ac:dyDescent="0.25">
      <c r="A2226" s="379">
        <v>45790.586805555555</v>
      </c>
      <c r="B2226" s="382" t="s">
        <v>3170</v>
      </c>
      <c r="C2226" s="377" t="s">
        <v>5258</v>
      </c>
      <c r="D2226" s="6" t="str">
        <f>_xlfn.XLOOKUP(B2226,Indices!$A$2:$A$2676,Indices!$B$2:$B$2676,"")</f>
        <v/>
      </c>
    </row>
    <row r="2227" spans="1:4" x14ac:dyDescent="0.25">
      <c r="A2227" s="379">
        <v>45790.586805555555</v>
      </c>
      <c r="B2227" s="382" t="s">
        <v>3167</v>
      </c>
      <c r="C2227" s="377" t="s">
        <v>5258</v>
      </c>
      <c r="D2227" s="6" t="str">
        <f>_xlfn.XLOOKUP(B2227,Indices!$A$2:$A$2676,Indices!$B$2:$B$2676,"")</f>
        <v/>
      </c>
    </row>
    <row r="2228" spans="1:4" x14ac:dyDescent="0.25">
      <c r="A2228" s="379">
        <v>45790.586805555555</v>
      </c>
      <c r="B2228" s="382" t="s">
        <v>4003</v>
      </c>
      <c r="C2228" s="377" t="s">
        <v>5258</v>
      </c>
      <c r="D2228" s="6" t="str">
        <f>_xlfn.XLOOKUP(B2228,Indices!$A$2:$A$2676,Indices!$B$2:$B$2676,"")</f>
        <v/>
      </c>
    </row>
    <row r="2229" spans="1:4" x14ac:dyDescent="0.25">
      <c r="A2229" s="379">
        <v>45790.586805555555</v>
      </c>
      <c r="B2229" s="382" t="s">
        <v>3768</v>
      </c>
      <c r="C2229" s="377" t="s">
        <v>5258</v>
      </c>
      <c r="D2229" s="6" t="str">
        <f>_xlfn.XLOOKUP(B2229,Indices!$A$2:$A$2676,Indices!$B$2:$B$2676,"")</f>
        <v/>
      </c>
    </row>
    <row r="2230" spans="1:4" x14ac:dyDescent="0.25">
      <c r="A2230" s="379">
        <v>45790.586805555555</v>
      </c>
      <c r="B2230" s="382" t="s">
        <v>1063</v>
      </c>
      <c r="C2230" s="377" t="s">
        <v>5258</v>
      </c>
      <c r="D2230" s="6" t="str">
        <f>_xlfn.XLOOKUP(B2230,Indices!$A$2:$A$2676,Indices!$B$2:$B$2676,"")</f>
        <v>IWM</v>
      </c>
    </row>
    <row r="2231" spans="1:4" x14ac:dyDescent="0.25">
      <c r="A2231" s="379">
        <v>45790.586805555555</v>
      </c>
      <c r="B2231" s="382" t="s">
        <v>3883</v>
      </c>
      <c r="C2231" s="377" t="s">
        <v>5258</v>
      </c>
      <c r="D2231" s="6" t="str">
        <f>_xlfn.XLOOKUP(B2231,Indices!$A$2:$A$2676,Indices!$B$2:$B$2676,"")</f>
        <v/>
      </c>
    </row>
    <row r="2232" spans="1:4" x14ac:dyDescent="0.25">
      <c r="A2232" s="379">
        <v>45790.586805555555</v>
      </c>
      <c r="B2232" s="382" t="s">
        <v>938</v>
      </c>
      <c r="C2232" s="377" t="s">
        <v>5258</v>
      </c>
      <c r="D2232" s="6" t="str">
        <f>_xlfn.XLOOKUP(B2232,Indices!$A$2:$A$2676,Indices!$B$2:$B$2676,"")</f>
        <v>IWM</v>
      </c>
    </row>
    <row r="2233" spans="1:4" x14ac:dyDescent="0.25">
      <c r="A2233" s="379">
        <v>45790.586805555555</v>
      </c>
      <c r="B2233" s="382" t="s">
        <v>4010</v>
      </c>
      <c r="C2233" s="377" t="s">
        <v>5258</v>
      </c>
      <c r="D2233" s="6" t="str">
        <f>_xlfn.XLOOKUP(B2233,Indices!$A$2:$A$2676,Indices!$B$2:$B$2676,"")</f>
        <v/>
      </c>
    </row>
    <row r="2234" spans="1:4" x14ac:dyDescent="0.25">
      <c r="A2234" s="379">
        <v>45790.586805555555</v>
      </c>
      <c r="B2234" s="382" t="s">
        <v>3806</v>
      </c>
      <c r="C2234" s="377" t="s">
        <v>5258</v>
      </c>
      <c r="D2234" s="6" t="str">
        <f>_xlfn.XLOOKUP(B2234,Indices!$A$2:$A$2676,Indices!$B$2:$B$2676,"")</f>
        <v/>
      </c>
    </row>
    <row r="2235" spans="1:4" x14ac:dyDescent="0.25">
      <c r="A2235" s="379">
        <v>45790.586805555555</v>
      </c>
      <c r="B2235" s="382" t="s">
        <v>4008</v>
      </c>
      <c r="C2235" s="377" t="s">
        <v>5258</v>
      </c>
      <c r="D2235" s="6" t="str">
        <f>_xlfn.XLOOKUP(B2235,Indices!$A$2:$A$2676,Indices!$B$2:$B$2676,"")</f>
        <v/>
      </c>
    </row>
    <row r="2236" spans="1:4" x14ac:dyDescent="0.25">
      <c r="A2236" s="379">
        <v>45790.586805555555</v>
      </c>
      <c r="B2236" s="382" t="s">
        <v>3067</v>
      </c>
      <c r="C2236" s="377" t="s">
        <v>5258</v>
      </c>
      <c r="D2236" s="6" t="str">
        <f>_xlfn.XLOOKUP(B2236,Indices!$A$2:$A$2676,Indices!$B$2:$B$2676,"")</f>
        <v/>
      </c>
    </row>
    <row r="2237" spans="1:4" x14ac:dyDescent="0.25">
      <c r="A2237" s="379">
        <v>45790.586805555555</v>
      </c>
      <c r="B2237" s="382" t="s">
        <v>236</v>
      </c>
      <c r="C2237" s="377" t="s">
        <v>5258</v>
      </c>
      <c r="D2237" s="6" t="str">
        <f>_xlfn.XLOOKUP(B2237,Indices!$A$2:$A$2676,Indices!$B$2:$B$2676,"")</f>
        <v>IWM</v>
      </c>
    </row>
    <row r="2238" spans="1:4" x14ac:dyDescent="0.25">
      <c r="A2238" s="379">
        <v>45790.586805555555</v>
      </c>
      <c r="B2238" s="382" t="s">
        <v>3770</v>
      </c>
      <c r="C2238" s="377" t="s">
        <v>5258</v>
      </c>
      <c r="D2238" s="6" t="str">
        <f>_xlfn.XLOOKUP(B2238,Indices!$A$2:$A$2676,Indices!$B$2:$B$2676,"")</f>
        <v/>
      </c>
    </row>
    <row r="2239" spans="1:4" x14ac:dyDescent="0.25">
      <c r="A2239" s="379">
        <v>45790.586805555555</v>
      </c>
      <c r="B2239" s="382" t="s">
        <v>1022</v>
      </c>
      <c r="C2239" s="377" t="s">
        <v>5258</v>
      </c>
      <c r="D2239" s="6" t="str">
        <f>_xlfn.XLOOKUP(B2239,Indices!$A$2:$A$2676,Indices!$B$2:$B$2676,"")</f>
        <v>IWM</v>
      </c>
    </row>
    <row r="2240" spans="1:4" x14ac:dyDescent="0.25">
      <c r="A2240" s="379">
        <v>45790.586805555555</v>
      </c>
      <c r="B2240" s="382" t="s">
        <v>3762</v>
      </c>
      <c r="C2240" s="377" t="s">
        <v>5258</v>
      </c>
      <c r="D2240" s="6" t="str">
        <f>_xlfn.XLOOKUP(B2240,Indices!$A$2:$A$2676,Indices!$B$2:$B$2676,"")</f>
        <v/>
      </c>
    </row>
    <row r="2241" spans="1:4" x14ac:dyDescent="0.25">
      <c r="A2241" s="379">
        <v>45790.586805555555</v>
      </c>
      <c r="B2241" s="382" t="s">
        <v>3634</v>
      </c>
      <c r="C2241" s="377" t="s">
        <v>5258</v>
      </c>
      <c r="D2241" s="6" t="str">
        <f>_xlfn.XLOOKUP(B2241,Indices!$A$2:$A$2676,Indices!$B$2:$B$2676,"")</f>
        <v/>
      </c>
    </row>
    <row r="2242" spans="1:4" x14ac:dyDescent="0.25">
      <c r="A2242" s="379">
        <v>45790.586805555555</v>
      </c>
      <c r="B2242" s="382" t="s">
        <v>3545</v>
      </c>
      <c r="C2242" s="377" t="s">
        <v>5258</v>
      </c>
      <c r="D2242" s="6" t="str">
        <f>_xlfn.XLOOKUP(B2242,Indices!$A$2:$A$2676,Indices!$B$2:$B$2676,"")</f>
        <v/>
      </c>
    </row>
    <row r="2243" spans="1:4" x14ac:dyDescent="0.25">
      <c r="A2243" s="379">
        <v>45790.586805555555</v>
      </c>
      <c r="B2243" s="382" t="s">
        <v>5261</v>
      </c>
      <c r="C2243" s="377" t="s">
        <v>5258</v>
      </c>
      <c r="D2243" s="6" t="str">
        <f>_xlfn.XLOOKUP(B2243,Indices!$A$2:$A$2676,Indices!$B$2:$B$2676,"")</f>
        <v/>
      </c>
    </row>
    <row r="2244" spans="1:4" x14ac:dyDescent="0.25">
      <c r="A2244" s="379">
        <v>45790.586805555555</v>
      </c>
      <c r="B2244" s="382" t="s">
        <v>3668</v>
      </c>
      <c r="C2244" s="377" t="s">
        <v>5258</v>
      </c>
      <c r="D2244" s="6" t="str">
        <f>_xlfn.XLOOKUP(B2244,Indices!$A$2:$A$2676,Indices!$B$2:$B$2676,"")</f>
        <v/>
      </c>
    </row>
    <row r="2245" spans="1:4" x14ac:dyDescent="0.25">
      <c r="A2245" s="379">
        <v>45790.586805555555</v>
      </c>
      <c r="B2245" s="382" t="s">
        <v>3881</v>
      </c>
      <c r="C2245" s="377" t="s">
        <v>5258</v>
      </c>
      <c r="D2245" s="6" t="str">
        <f>_xlfn.XLOOKUP(B2245,Indices!$A$2:$A$2676,Indices!$B$2:$B$2676,"")</f>
        <v/>
      </c>
    </row>
    <row r="2246" spans="1:4" x14ac:dyDescent="0.25">
      <c r="A2246" s="379">
        <v>45790.586805555555</v>
      </c>
      <c r="B2246" s="382" t="s">
        <v>3352</v>
      </c>
      <c r="C2246" s="377" t="s">
        <v>5258</v>
      </c>
      <c r="D2246" s="6" t="str">
        <f>_xlfn.XLOOKUP(B2246,Indices!$A$2:$A$2676,Indices!$B$2:$B$2676,"")</f>
        <v/>
      </c>
    </row>
    <row r="2247" spans="1:4" x14ac:dyDescent="0.25">
      <c r="A2247" s="379">
        <v>45790.586805555555</v>
      </c>
      <c r="B2247" s="382" t="s">
        <v>3534</v>
      </c>
      <c r="C2247" s="377" t="s">
        <v>5258</v>
      </c>
      <c r="D2247" s="6" t="str">
        <f>_xlfn.XLOOKUP(B2247,Indices!$A$2:$A$2676,Indices!$B$2:$B$2676,"")</f>
        <v/>
      </c>
    </row>
    <row r="2248" spans="1:4" x14ac:dyDescent="0.25">
      <c r="A2248" s="379">
        <v>45790.586805555555</v>
      </c>
      <c r="B2248" s="382" t="s">
        <v>5263</v>
      </c>
      <c r="C2248" s="377" t="s">
        <v>5258</v>
      </c>
      <c r="D2248" s="6" t="str">
        <f>_xlfn.XLOOKUP(B2248,Indices!$A$2:$A$2676,Indices!$B$2:$B$2676,"")</f>
        <v/>
      </c>
    </row>
    <row r="2249" spans="1:4" x14ac:dyDescent="0.25">
      <c r="A2249" s="379">
        <v>45790.586805555555</v>
      </c>
      <c r="B2249" s="382" t="s">
        <v>4030</v>
      </c>
      <c r="C2249" s="377" t="s">
        <v>5258</v>
      </c>
      <c r="D2249" s="6" t="str">
        <f>_xlfn.XLOOKUP(B2249,Indices!$A$2:$A$2676,Indices!$B$2:$B$2676,"")</f>
        <v/>
      </c>
    </row>
    <row r="2250" spans="1:4" x14ac:dyDescent="0.25">
      <c r="A2250" s="379">
        <v>45790.586805555555</v>
      </c>
      <c r="B2250" s="382" t="s">
        <v>3375</v>
      </c>
      <c r="C2250" s="377" t="s">
        <v>5258</v>
      </c>
      <c r="D2250" s="6" t="str">
        <f>_xlfn.XLOOKUP(B2250,Indices!$A$2:$A$2676,Indices!$B$2:$B$2676,"")</f>
        <v/>
      </c>
    </row>
    <row r="2251" spans="1:4" x14ac:dyDescent="0.25">
      <c r="A2251" s="379">
        <v>45790.586805555555</v>
      </c>
      <c r="B2251" s="382" t="s">
        <v>3648</v>
      </c>
      <c r="C2251" s="377" t="s">
        <v>5258</v>
      </c>
      <c r="D2251" s="6" t="str">
        <f>_xlfn.XLOOKUP(B2251,Indices!$A$2:$A$2676,Indices!$B$2:$B$2676,"")</f>
        <v/>
      </c>
    </row>
    <row r="2252" spans="1:4" x14ac:dyDescent="0.25">
      <c r="A2252" s="379">
        <v>45790.586805555555</v>
      </c>
      <c r="B2252" s="382" t="s">
        <v>3138</v>
      </c>
      <c r="C2252" s="377" t="s">
        <v>5258</v>
      </c>
      <c r="D2252" s="6" t="str">
        <f>_xlfn.XLOOKUP(B2252,Indices!$A$2:$A$2676,Indices!$B$2:$B$2676,"")</f>
        <v/>
      </c>
    </row>
    <row r="2253" spans="1:4" x14ac:dyDescent="0.25">
      <c r="A2253" s="379">
        <v>45790.586805555555</v>
      </c>
      <c r="B2253" s="382" t="s">
        <v>3912</v>
      </c>
      <c r="C2253" s="377" t="s">
        <v>5258</v>
      </c>
      <c r="D2253" s="6" t="str">
        <f>_xlfn.XLOOKUP(B2253,Indices!$A$2:$A$2676,Indices!$B$2:$B$2676,"")</f>
        <v/>
      </c>
    </row>
    <row r="2254" spans="1:4" x14ac:dyDescent="0.25">
      <c r="A2254" s="379">
        <v>45790.586805555555</v>
      </c>
      <c r="B2254" s="382" t="s">
        <v>3813</v>
      </c>
      <c r="C2254" s="377" t="s">
        <v>5258</v>
      </c>
      <c r="D2254" s="6" t="str">
        <f>_xlfn.XLOOKUP(B2254,Indices!$A$2:$A$2676,Indices!$B$2:$B$2676,"")</f>
        <v/>
      </c>
    </row>
    <row r="2255" spans="1:4" x14ac:dyDescent="0.25">
      <c r="A2255" s="379">
        <v>45790.586805555555</v>
      </c>
      <c r="B2255" s="382" t="s">
        <v>3366</v>
      </c>
      <c r="C2255" s="377" t="s">
        <v>5258</v>
      </c>
      <c r="D2255" s="6" t="str">
        <f>_xlfn.XLOOKUP(B2255,Indices!$A$2:$A$2676,Indices!$B$2:$B$2676,"")</f>
        <v/>
      </c>
    </row>
    <row r="2256" spans="1:4" x14ac:dyDescent="0.25">
      <c r="A2256" s="379">
        <v>45790.587500000001</v>
      </c>
      <c r="B2256" s="382" t="s">
        <v>3549</v>
      </c>
      <c r="C2256" s="377" t="s">
        <v>5264</v>
      </c>
      <c r="D2256" s="6" t="str">
        <f>_xlfn.XLOOKUP(B2256,Indices!$A$2:$A$2676,Indices!$B$2:$B$2676,"")</f>
        <v/>
      </c>
    </row>
    <row r="2257" spans="1:4" x14ac:dyDescent="0.25">
      <c r="A2257" s="379">
        <v>45790.587500000001</v>
      </c>
      <c r="B2257" s="382" t="s">
        <v>4160</v>
      </c>
      <c r="C2257" s="377" t="s">
        <v>5264</v>
      </c>
      <c r="D2257" s="6" t="str">
        <f>_xlfn.XLOOKUP(B2257,Indices!$A$2:$A$2676,Indices!$B$2:$B$2676,"")</f>
        <v/>
      </c>
    </row>
    <row r="2258" spans="1:4" x14ac:dyDescent="0.25">
      <c r="A2258" s="379">
        <v>45790.588888888888</v>
      </c>
      <c r="B2258" s="382" t="s">
        <v>5265</v>
      </c>
      <c r="C2258" s="377" t="s">
        <v>5266</v>
      </c>
      <c r="D2258" s="6" t="str">
        <f>_xlfn.XLOOKUP(B2258,Indices!$A$2:$A$2676,Indices!$B$2:$B$2676,"")</f>
        <v/>
      </c>
    </row>
    <row r="2259" spans="1:4" x14ac:dyDescent="0.25">
      <c r="A2259" s="379">
        <v>45790.590277777781</v>
      </c>
      <c r="B2259" s="382" t="s">
        <v>2901</v>
      </c>
      <c r="C2259" s="377" t="s">
        <v>5267</v>
      </c>
      <c r="D2259" s="6" t="str">
        <f>_xlfn.XLOOKUP(B2259,Indices!$A$2:$A$2676,Indices!$B$2:$B$2676,"")</f>
        <v/>
      </c>
    </row>
    <row r="2260" spans="1:4" x14ac:dyDescent="0.25">
      <c r="A2260" s="379">
        <v>45790.590277777781</v>
      </c>
      <c r="B2260" s="382" t="s">
        <v>2872</v>
      </c>
      <c r="C2260" s="377" t="s">
        <v>5267</v>
      </c>
      <c r="D2260" s="6" t="str">
        <f>_xlfn.XLOOKUP(B2260,Indices!$A$2:$A$2676,Indices!$B$2:$B$2676,"")</f>
        <v/>
      </c>
    </row>
    <row r="2261" spans="1:4" x14ac:dyDescent="0.25">
      <c r="A2261" s="379">
        <v>45790.590277777781</v>
      </c>
      <c r="B2261" s="382" t="s">
        <v>1037</v>
      </c>
      <c r="C2261" s="377" t="s">
        <v>5267</v>
      </c>
      <c r="D2261" s="6" t="str">
        <f>_xlfn.XLOOKUP(B2261,Indices!$A$2:$A$2676,Indices!$B$2:$B$2676,"")</f>
        <v>IWM</v>
      </c>
    </row>
    <row r="2262" spans="1:4" x14ac:dyDescent="0.25">
      <c r="A2262" s="379">
        <v>45790.590277777781</v>
      </c>
      <c r="B2262" s="382" t="s">
        <v>3211</v>
      </c>
      <c r="C2262" s="377" t="s">
        <v>5267</v>
      </c>
      <c r="D2262" s="6" t="str">
        <f>_xlfn.XLOOKUP(B2262,Indices!$A$2:$A$2676,Indices!$B$2:$B$2676,"")</f>
        <v/>
      </c>
    </row>
    <row r="2263" spans="1:4" x14ac:dyDescent="0.25">
      <c r="A2263" s="379">
        <v>45790.59375</v>
      </c>
      <c r="B2263" s="382" t="s">
        <v>3800</v>
      </c>
      <c r="C2263" s="377" t="s">
        <v>5268</v>
      </c>
      <c r="D2263" s="6" t="str">
        <f>_xlfn.XLOOKUP(B2263,Indices!$A$2:$A$2676,Indices!$B$2:$B$2676,"")</f>
        <v/>
      </c>
    </row>
    <row r="2264" spans="1:4" x14ac:dyDescent="0.25">
      <c r="A2264" s="379">
        <v>45790.59375</v>
      </c>
      <c r="B2264" s="382" t="s">
        <v>4369</v>
      </c>
      <c r="C2264" s="377" t="s">
        <v>5268</v>
      </c>
      <c r="D2264" s="6" t="str">
        <f>_xlfn.XLOOKUP(B2264,Indices!$A$2:$A$2676,Indices!$B$2:$B$2676,"")</f>
        <v/>
      </c>
    </row>
    <row r="2265" spans="1:4" x14ac:dyDescent="0.25">
      <c r="A2265" s="379">
        <v>45790.59375</v>
      </c>
      <c r="B2265" s="382" t="s">
        <v>4357</v>
      </c>
      <c r="C2265" s="377" t="s">
        <v>5268</v>
      </c>
      <c r="D2265" s="6" t="str">
        <f>_xlfn.XLOOKUP(B2265,Indices!$A$2:$A$2676,Indices!$B$2:$B$2676,"")</f>
        <v/>
      </c>
    </row>
    <row r="2266" spans="1:4" x14ac:dyDescent="0.25">
      <c r="A2266" s="379">
        <v>45790.59375</v>
      </c>
      <c r="B2266" s="382" t="s">
        <v>5270</v>
      </c>
      <c r="C2266" s="377" t="s">
        <v>5268</v>
      </c>
      <c r="D2266" s="6" t="str">
        <f>_xlfn.XLOOKUP(B2266,Indices!$A$2:$A$2676,Indices!$B$2:$B$2676,"")</f>
        <v/>
      </c>
    </row>
    <row r="2267" spans="1:4" x14ac:dyDescent="0.25">
      <c r="A2267" s="379">
        <v>45790.59375</v>
      </c>
      <c r="B2267" s="382" t="s">
        <v>3913</v>
      </c>
      <c r="C2267" s="377" t="s">
        <v>5268</v>
      </c>
      <c r="D2267" s="6" t="str">
        <f>_xlfn.XLOOKUP(B2267,Indices!$A$2:$A$2676,Indices!$B$2:$B$2676,"")</f>
        <v/>
      </c>
    </row>
    <row r="2268" spans="1:4" x14ac:dyDescent="0.25">
      <c r="A2268" s="379">
        <v>45790.59375</v>
      </c>
      <c r="B2268" s="382" t="s">
        <v>3894</v>
      </c>
      <c r="C2268" s="377" t="s">
        <v>5268</v>
      </c>
      <c r="D2268" s="6" t="str">
        <f>_xlfn.XLOOKUP(B2268,Indices!$A$2:$A$2676,Indices!$B$2:$B$2676,"")</f>
        <v/>
      </c>
    </row>
    <row r="2269" spans="1:4" x14ac:dyDescent="0.25">
      <c r="A2269" s="379">
        <v>45790.59375</v>
      </c>
      <c r="B2269" s="382" t="s">
        <v>3298</v>
      </c>
      <c r="C2269" s="377" t="s">
        <v>5268</v>
      </c>
      <c r="D2269" s="6" t="str">
        <f>_xlfn.XLOOKUP(B2269,Indices!$A$2:$A$2676,Indices!$B$2:$B$2676,"")</f>
        <v/>
      </c>
    </row>
    <row r="2270" spans="1:4" x14ac:dyDescent="0.25">
      <c r="A2270" s="379">
        <v>45790.59375</v>
      </c>
      <c r="B2270" s="382" t="s">
        <v>3905</v>
      </c>
      <c r="C2270" s="377" t="s">
        <v>5268</v>
      </c>
      <c r="D2270" s="6" t="str">
        <f>_xlfn.XLOOKUP(B2270,Indices!$A$2:$A$2676,Indices!$B$2:$B$2676,"")</f>
        <v/>
      </c>
    </row>
    <row r="2271" spans="1:4" x14ac:dyDescent="0.25">
      <c r="A2271" s="379">
        <v>45790.59375</v>
      </c>
      <c r="B2271" s="382" t="s">
        <v>5269</v>
      </c>
      <c r="C2271" s="377" t="s">
        <v>5268</v>
      </c>
      <c r="D2271" s="6" t="str">
        <f>_xlfn.XLOOKUP(B2271,Indices!$A$2:$A$2676,Indices!$B$2:$B$2676,"")</f>
        <v/>
      </c>
    </row>
    <row r="2272" spans="1:4" x14ac:dyDescent="0.25">
      <c r="A2272" s="379">
        <v>45790.59375</v>
      </c>
      <c r="B2272" s="382" t="s">
        <v>3651</v>
      </c>
      <c r="C2272" s="377" t="s">
        <v>5268</v>
      </c>
      <c r="D2272" s="6" t="str">
        <f>_xlfn.XLOOKUP(B2272,Indices!$A$2:$A$2676,Indices!$B$2:$B$2676,"")</f>
        <v/>
      </c>
    </row>
    <row r="2273" spans="1:4" x14ac:dyDescent="0.25">
      <c r="A2273" s="379">
        <v>45790.597916666666</v>
      </c>
      <c r="B2273" s="382" t="s">
        <v>5271</v>
      </c>
      <c r="C2273" s="377" t="s">
        <v>5272</v>
      </c>
      <c r="D2273" s="6" t="str">
        <f>_xlfn.XLOOKUP(B2273,Indices!$A$2:$A$2676,Indices!$B$2:$B$2676,"")</f>
        <v/>
      </c>
    </row>
    <row r="2274" spans="1:4" x14ac:dyDescent="0.25">
      <c r="A2274" s="379">
        <v>45790.599305555559</v>
      </c>
      <c r="B2274" s="382" t="s">
        <v>5273</v>
      </c>
      <c r="C2274" s="377" t="s">
        <v>5274</v>
      </c>
      <c r="D2274" s="6" t="str">
        <f>_xlfn.XLOOKUP(B2274,Indices!$A$2:$A$2676,Indices!$B$2:$B$2676,"")</f>
        <v/>
      </c>
    </row>
    <row r="2275" spans="1:4" x14ac:dyDescent="0.25">
      <c r="A2275" s="379">
        <v>45790.602777777778</v>
      </c>
      <c r="B2275" s="382" t="s">
        <v>4123</v>
      </c>
      <c r="C2275" s="377" t="s">
        <v>5275</v>
      </c>
      <c r="D2275" s="6" t="str">
        <f>_xlfn.XLOOKUP(B2275,Indices!$A$2:$A$2676,Indices!$B$2:$B$2676,"")</f>
        <v/>
      </c>
    </row>
    <row r="2276" spans="1:4" x14ac:dyDescent="0.25">
      <c r="A2276" s="379">
        <v>45790.604166666664</v>
      </c>
      <c r="B2276" s="382" t="s">
        <v>3777</v>
      </c>
      <c r="C2276" s="377" t="s">
        <v>5276</v>
      </c>
      <c r="D2276" s="6" t="str">
        <f>_xlfn.XLOOKUP(B2276,Indices!$A$2:$A$2676,Indices!$B$2:$B$2676,"")</f>
        <v/>
      </c>
    </row>
    <row r="2277" spans="1:4" x14ac:dyDescent="0.25">
      <c r="A2277" s="379">
        <v>45790.604166666664</v>
      </c>
      <c r="B2277" s="382" t="s">
        <v>4180</v>
      </c>
      <c r="C2277" s="377" t="s">
        <v>5276</v>
      </c>
      <c r="D2277" s="6" t="str">
        <f>_xlfn.XLOOKUP(B2277,Indices!$A$2:$A$2676,Indices!$B$2:$B$2676,"")</f>
        <v/>
      </c>
    </row>
    <row r="2278" spans="1:4" x14ac:dyDescent="0.25">
      <c r="A2278" s="379">
        <v>45790.604166666664</v>
      </c>
      <c r="B2278" s="382" t="s">
        <v>3585</v>
      </c>
      <c r="C2278" s="377" t="s">
        <v>5276</v>
      </c>
      <c r="D2278" s="6" t="str">
        <f>_xlfn.XLOOKUP(B2278,Indices!$A$2:$A$2676,Indices!$B$2:$B$2676,"")</f>
        <v/>
      </c>
    </row>
    <row r="2279" spans="1:4" x14ac:dyDescent="0.25">
      <c r="A2279" s="379">
        <v>45790.604166666664</v>
      </c>
      <c r="B2279" s="382" t="s">
        <v>3300</v>
      </c>
      <c r="C2279" s="377" t="s">
        <v>5276</v>
      </c>
      <c r="D2279" s="6" t="str">
        <f>_xlfn.XLOOKUP(B2279,Indices!$A$2:$A$2676,Indices!$B$2:$B$2676,"")</f>
        <v/>
      </c>
    </row>
    <row r="2280" spans="1:4" x14ac:dyDescent="0.25">
      <c r="A2280" s="379">
        <v>45790.604166666664</v>
      </c>
      <c r="B2280" s="382" t="s">
        <v>3889</v>
      </c>
      <c r="C2280" s="377" t="s">
        <v>5276</v>
      </c>
      <c r="D2280" s="6" t="str">
        <f>_xlfn.XLOOKUP(B2280,Indices!$A$2:$A$2676,Indices!$B$2:$B$2676,"")</f>
        <v/>
      </c>
    </row>
    <row r="2281" spans="1:4" x14ac:dyDescent="0.25">
      <c r="A2281" s="379">
        <v>45790.604166666664</v>
      </c>
      <c r="B2281" s="382" t="s">
        <v>3291</v>
      </c>
      <c r="C2281" s="377" t="s">
        <v>5276</v>
      </c>
      <c r="D2281" s="6" t="str">
        <f>_xlfn.XLOOKUP(B2281,Indices!$A$2:$A$2676,Indices!$B$2:$B$2676,"")</f>
        <v/>
      </c>
    </row>
    <row r="2282" spans="1:4" x14ac:dyDescent="0.25">
      <c r="A2282" s="379">
        <v>45790.604166666664</v>
      </c>
      <c r="B2282" s="382" t="s">
        <v>5277</v>
      </c>
      <c r="C2282" s="377" t="s">
        <v>5276</v>
      </c>
      <c r="D2282" s="6" t="str">
        <f>_xlfn.XLOOKUP(B2282,Indices!$A$2:$A$2676,Indices!$B$2:$B$2676,"")</f>
        <v/>
      </c>
    </row>
    <row r="2283" spans="1:4" x14ac:dyDescent="0.25">
      <c r="A2283" s="379">
        <v>45790.606249999997</v>
      </c>
      <c r="B2283" s="382" t="s">
        <v>3815</v>
      </c>
      <c r="C2283" s="377" t="s">
        <v>5278</v>
      </c>
      <c r="D2283" s="6" t="str">
        <f>_xlfn.XLOOKUP(B2283,Indices!$A$2:$A$2676,Indices!$B$2:$B$2676,"")</f>
        <v/>
      </c>
    </row>
    <row r="2284" spans="1:4" x14ac:dyDescent="0.25">
      <c r="A2284" s="379">
        <v>45790.606944444444</v>
      </c>
      <c r="B2284" s="382" t="s">
        <v>5279</v>
      </c>
      <c r="C2284" s="377" t="s">
        <v>5280</v>
      </c>
      <c r="D2284" s="6" t="str">
        <f>_xlfn.XLOOKUP(B2284,Indices!$A$2:$A$2676,Indices!$B$2:$B$2676,"")</f>
        <v/>
      </c>
    </row>
    <row r="2285" spans="1:4" x14ac:dyDescent="0.25">
      <c r="A2285" s="379">
        <v>45790.60833333333</v>
      </c>
      <c r="B2285" s="382" t="s">
        <v>1036</v>
      </c>
      <c r="C2285" s="377" t="s">
        <v>5281</v>
      </c>
      <c r="D2285" s="6" t="str">
        <f>_xlfn.XLOOKUP(B2285,Indices!$A$2:$A$2676,Indices!$B$2:$B$2676,"")</f>
        <v>IWM</v>
      </c>
    </row>
    <row r="2286" spans="1:4" x14ac:dyDescent="0.25">
      <c r="A2286" s="379">
        <v>45790.61041666667</v>
      </c>
      <c r="B2286" s="382" t="s">
        <v>3081</v>
      </c>
      <c r="C2286" s="377" t="s">
        <v>5282</v>
      </c>
      <c r="D2286" s="6" t="str">
        <f>_xlfn.XLOOKUP(B2286,Indices!$A$2:$A$2676,Indices!$B$2:$B$2676,"")</f>
        <v/>
      </c>
    </row>
    <row r="2287" spans="1:4" x14ac:dyDescent="0.25">
      <c r="A2287" s="379">
        <v>45790.613194444442</v>
      </c>
      <c r="B2287" s="382" t="s">
        <v>3548</v>
      </c>
      <c r="C2287" s="377" t="s">
        <v>5283</v>
      </c>
      <c r="D2287" s="6" t="str">
        <f>_xlfn.XLOOKUP(B2287,Indices!$A$2:$A$2676,Indices!$B$2:$B$2676,"")</f>
        <v/>
      </c>
    </row>
    <row r="2288" spans="1:4" x14ac:dyDescent="0.25">
      <c r="A2288" s="379">
        <v>45790.614583333336</v>
      </c>
      <c r="B2288" s="382" t="s">
        <v>5284</v>
      </c>
      <c r="C2288" s="377" t="s">
        <v>5285</v>
      </c>
      <c r="D2288" s="6" t="str">
        <f>_xlfn.XLOOKUP(B2288,Indices!$A$2:$A$2676,Indices!$B$2:$B$2676,"")</f>
        <v/>
      </c>
    </row>
    <row r="2289" spans="1:4" x14ac:dyDescent="0.25">
      <c r="A2289" s="379">
        <v>45790.615972222222</v>
      </c>
      <c r="B2289" s="382" t="s">
        <v>3993</v>
      </c>
      <c r="C2289" s="377" t="s">
        <v>5286</v>
      </c>
      <c r="D2289" s="6" t="str">
        <f>_xlfn.XLOOKUP(B2289,Indices!$A$2:$A$2676,Indices!$B$2:$B$2676,"")</f>
        <v/>
      </c>
    </row>
    <row r="2290" spans="1:4" x14ac:dyDescent="0.25">
      <c r="A2290" s="379">
        <v>45790.62222222222</v>
      </c>
      <c r="B2290" s="382" t="s">
        <v>4172</v>
      </c>
      <c r="C2290" s="377" t="s">
        <v>5287</v>
      </c>
      <c r="D2290" s="6" t="str">
        <f>_xlfn.XLOOKUP(B2290,Indices!$A$2:$A$2676,Indices!$B$2:$B$2676,"")</f>
        <v/>
      </c>
    </row>
    <row r="2291" spans="1:4" x14ac:dyDescent="0.25">
      <c r="A2291" s="379">
        <v>45790.623611111114</v>
      </c>
      <c r="B2291" s="382" t="s">
        <v>3729</v>
      </c>
      <c r="C2291" s="377" t="s">
        <v>5288</v>
      </c>
      <c r="D2291" s="6" t="str">
        <f>_xlfn.XLOOKUP(B2291,Indices!$A$2:$A$2676,Indices!$B$2:$B$2676,"")</f>
        <v/>
      </c>
    </row>
    <row r="2292" spans="1:4" x14ac:dyDescent="0.25">
      <c r="A2292" s="379">
        <v>45790.625</v>
      </c>
      <c r="B2292" s="382" t="s">
        <v>3927</v>
      </c>
      <c r="C2292" s="377" t="s">
        <v>5289</v>
      </c>
      <c r="D2292" s="6" t="str">
        <f>_xlfn.XLOOKUP(B2292,Indices!$A$2:$A$2676,Indices!$B$2:$B$2676,"")</f>
        <v/>
      </c>
    </row>
    <row r="2293" spans="1:4" x14ac:dyDescent="0.25">
      <c r="A2293" s="379">
        <v>45790.625</v>
      </c>
      <c r="B2293" s="382" t="s">
        <v>583</v>
      </c>
      <c r="C2293" s="377" t="s">
        <v>5289</v>
      </c>
      <c r="D2293" s="6" t="str">
        <f>_xlfn.XLOOKUP(B2293,Indices!$A$2:$A$2676,Indices!$B$2:$B$2676,"")</f>
        <v>IWM</v>
      </c>
    </row>
    <row r="2294" spans="1:4" x14ac:dyDescent="0.25">
      <c r="A2294" s="379">
        <v>45790.625</v>
      </c>
      <c r="B2294" s="382" t="s">
        <v>2600</v>
      </c>
      <c r="C2294" s="377" t="s">
        <v>3873</v>
      </c>
      <c r="D2294" s="6" t="str">
        <f>_xlfn.XLOOKUP(B2294,Indices!$A$2:$A$2676,Indices!$B$2:$B$2676,"")</f>
        <v/>
      </c>
    </row>
    <row r="2295" spans="1:4" x14ac:dyDescent="0.25">
      <c r="A2295" s="379">
        <v>45790.625</v>
      </c>
      <c r="B2295" s="382" t="s">
        <v>3756</v>
      </c>
      <c r="C2295" s="377" t="s">
        <v>5289</v>
      </c>
      <c r="D2295" s="6" t="str">
        <f>_xlfn.XLOOKUP(B2295,Indices!$A$2:$A$2676,Indices!$B$2:$B$2676,"")</f>
        <v/>
      </c>
    </row>
    <row r="2296" spans="1:4" x14ac:dyDescent="0.25">
      <c r="A2296" s="379">
        <v>45790.626388888886</v>
      </c>
      <c r="B2296" s="382" t="s">
        <v>1007</v>
      </c>
      <c r="C2296" s="377" t="s">
        <v>5290</v>
      </c>
      <c r="D2296" s="6" t="str">
        <f>_xlfn.XLOOKUP(B2296,Indices!$A$2:$A$2676,Indices!$B$2:$B$2676,"")</f>
        <v>IWM</v>
      </c>
    </row>
    <row r="2297" spans="1:4" x14ac:dyDescent="0.25">
      <c r="A2297" s="379">
        <v>45790.633333333331</v>
      </c>
      <c r="B2297" s="382" t="s">
        <v>3898</v>
      </c>
      <c r="C2297" s="377" t="s">
        <v>5291</v>
      </c>
      <c r="D2297" s="6" t="str">
        <f>_xlfn.XLOOKUP(B2297,Indices!$A$2:$A$2676,Indices!$B$2:$B$2676,"")</f>
        <v/>
      </c>
    </row>
    <row r="2298" spans="1:4" x14ac:dyDescent="0.25">
      <c r="A2298" s="379">
        <v>45790.638888888891</v>
      </c>
      <c r="B2298" s="382" t="s">
        <v>3085</v>
      </c>
      <c r="C2298" s="377" t="s">
        <v>5292</v>
      </c>
      <c r="D2298" s="6" t="str">
        <f>_xlfn.XLOOKUP(B2298,Indices!$A$2:$A$2676,Indices!$B$2:$B$2676,"")</f>
        <v/>
      </c>
    </row>
    <row r="2299" spans="1:4" x14ac:dyDescent="0.25">
      <c r="A2299" s="379">
        <v>45790.654861111114</v>
      </c>
      <c r="B2299" s="382" t="s">
        <v>5293</v>
      </c>
      <c r="C2299" s="377" t="s">
        <v>5294</v>
      </c>
      <c r="D2299" s="6" t="str">
        <f>_xlfn.XLOOKUP(B2299,Indices!$A$2:$A$2676,Indices!$B$2:$B$2676,"")</f>
        <v/>
      </c>
    </row>
    <row r="2300" spans="1:4" x14ac:dyDescent="0.25">
      <c r="A2300" s="379">
        <v>45790.655555555553</v>
      </c>
      <c r="B2300" s="382" t="s">
        <v>4197</v>
      </c>
      <c r="C2300" s="377" t="s">
        <v>5295</v>
      </c>
      <c r="D2300" s="6" t="str">
        <f>_xlfn.XLOOKUP(B2300,Indices!$A$2:$A$2676,Indices!$B$2:$B$2676,"")</f>
        <v/>
      </c>
    </row>
    <row r="2301" spans="1:4" x14ac:dyDescent="0.25">
      <c r="A2301" s="379">
        <v>45790.664583333331</v>
      </c>
      <c r="B2301" s="382" t="s">
        <v>4291</v>
      </c>
      <c r="C2301" s="377" t="s">
        <v>5296</v>
      </c>
      <c r="D2301" s="6" t="str">
        <f>_xlfn.XLOOKUP(B2301,Indices!$A$2:$A$2676,Indices!$B$2:$B$2676,"")</f>
        <v/>
      </c>
    </row>
    <row r="2302" spans="1:4" x14ac:dyDescent="0.25">
      <c r="A2302" s="379">
        <v>45790.686111111114</v>
      </c>
      <c r="B2302" s="382" t="s">
        <v>3794</v>
      </c>
      <c r="C2302" s="377" t="s">
        <v>5297</v>
      </c>
      <c r="D2302" s="6" t="str">
        <f>_xlfn.XLOOKUP(B2302,Indices!$A$2:$A$2676,Indices!$B$2:$B$2676,"")</f>
        <v/>
      </c>
    </row>
    <row r="2303" spans="1:4" x14ac:dyDescent="0.25">
      <c r="A2303" s="379">
        <v>45790.714583333334</v>
      </c>
      <c r="B2303" s="382" t="s">
        <v>3749</v>
      </c>
      <c r="C2303" s="377" t="s">
        <v>5298</v>
      </c>
      <c r="D2303" s="6" t="str">
        <f>_xlfn.XLOOKUP(B2303,Indices!$A$2:$A$2676,Indices!$B$2:$B$2676,"")</f>
        <v/>
      </c>
    </row>
    <row r="2304" spans="1:4" x14ac:dyDescent="0.25">
      <c r="A2304" s="379">
        <v>45790.770833333336</v>
      </c>
      <c r="B2304" s="382" t="s">
        <v>2915</v>
      </c>
      <c r="C2304" s="377" t="s">
        <v>5299</v>
      </c>
      <c r="D2304" s="6" t="str">
        <f>_xlfn.XLOOKUP(B2304,Indices!$A$2:$A$2676,Indices!$B$2:$B$2676,"")</f>
        <v/>
      </c>
    </row>
    <row r="2305" spans="1:4" x14ac:dyDescent="0.25">
      <c r="A2305" s="379">
        <v>45790.775694444441</v>
      </c>
      <c r="B2305" s="382" t="s">
        <v>3918</v>
      </c>
      <c r="C2305" s="377" t="s">
        <v>5300</v>
      </c>
      <c r="D2305" s="6" t="str">
        <f>_xlfn.XLOOKUP(B2305,Indices!$A$2:$A$2676,Indices!$B$2:$B$2676,"")</f>
        <v/>
      </c>
    </row>
    <row r="2306" spans="1:4" x14ac:dyDescent="0.25">
      <c r="A2306" s="379">
        <v>45790.791666666664</v>
      </c>
      <c r="B2306" s="382" t="s">
        <v>3714</v>
      </c>
      <c r="C2306" s="377" t="s">
        <v>5301</v>
      </c>
      <c r="D2306" s="6" t="str">
        <f>_xlfn.XLOOKUP(B2306,Indices!$A$2:$A$2676,Indices!$B$2:$B$2676,"")</f>
        <v/>
      </c>
    </row>
    <row r="2307" spans="1:4" x14ac:dyDescent="0.25">
      <c r="A2307" s="379">
        <v>45790.958333333336</v>
      </c>
      <c r="B2307" s="382" t="s">
        <v>3984</v>
      </c>
      <c r="C2307" s="377" t="s">
        <v>5302</v>
      </c>
      <c r="D2307" s="6" t="str">
        <f>_xlfn.XLOOKUP(B2307,Indices!$A$2:$A$2676,Indices!$B$2:$B$2676,"")</f>
        <v/>
      </c>
    </row>
    <row r="2308" spans="1:4" x14ac:dyDescent="0.25">
      <c r="A2308" s="379">
        <v>45790.958333333336</v>
      </c>
      <c r="B2308" s="382" t="s">
        <v>3981</v>
      </c>
      <c r="C2308" s="377" t="s">
        <v>5303</v>
      </c>
      <c r="D2308" s="6" t="str">
        <f>_xlfn.XLOOKUP(B2308,Indices!$A$2:$A$2676,Indices!$B$2:$B$2676,"")</f>
        <v/>
      </c>
    </row>
    <row r="2309" spans="1:4" x14ac:dyDescent="0.25">
      <c r="A2309" s="379">
        <v>45790.958333333336</v>
      </c>
      <c r="B2309" s="382" t="s">
        <v>3974</v>
      </c>
      <c r="C2309" s="377" t="s">
        <v>5302</v>
      </c>
      <c r="D2309" s="6" t="str">
        <f>_xlfn.XLOOKUP(B2309,Indices!$A$2:$A$2676,Indices!$B$2:$B$2676,"")</f>
        <v/>
      </c>
    </row>
    <row r="2310" spans="1:4" x14ac:dyDescent="0.25">
      <c r="A2310" s="379">
        <v>45790.958333333336</v>
      </c>
      <c r="B2310" s="382" t="s">
        <v>3956</v>
      </c>
      <c r="C2310" s="377" t="s">
        <v>5303</v>
      </c>
      <c r="D2310" s="6" t="str">
        <f>_xlfn.XLOOKUP(B2310,Indices!$A$2:$A$2676,Indices!$B$2:$B$2676,"")</f>
        <v/>
      </c>
    </row>
    <row r="2311" spans="1:4" x14ac:dyDescent="0.25">
      <c r="A2311" s="379">
        <v>45790.958333333336</v>
      </c>
      <c r="B2311" s="382" t="s">
        <v>3948</v>
      </c>
      <c r="C2311" s="377" t="s">
        <v>5303</v>
      </c>
      <c r="D2311" s="6" t="str">
        <f>_xlfn.XLOOKUP(B2311,Indices!$A$2:$A$2676,Indices!$B$2:$B$2676,"")</f>
        <v/>
      </c>
    </row>
    <row r="2312" spans="1:4" x14ac:dyDescent="0.25">
      <c r="A2312" s="379">
        <v>45790.958333333336</v>
      </c>
      <c r="B2312" s="382" t="s">
        <v>3936</v>
      </c>
      <c r="C2312" s="377" t="s">
        <v>5302</v>
      </c>
      <c r="D2312" s="6" t="str">
        <f>_xlfn.XLOOKUP(B2312,Indices!$A$2:$A$2676,Indices!$B$2:$B$2676,"")</f>
        <v/>
      </c>
    </row>
    <row r="2313" spans="1:4" x14ac:dyDescent="0.25">
      <c r="A2313" s="379">
        <v>45790.958333333336</v>
      </c>
      <c r="B2313" s="382" t="s">
        <v>3825</v>
      </c>
      <c r="C2313" s="377" t="s">
        <v>5303</v>
      </c>
      <c r="D2313" s="6" t="str">
        <f>_xlfn.XLOOKUP(B2313,Indices!$A$2:$A$2676,Indices!$B$2:$B$2676,"")</f>
        <v/>
      </c>
    </row>
    <row r="2314" spans="1:4" x14ac:dyDescent="0.25">
      <c r="A2314" s="379">
        <v>45790.958333333336</v>
      </c>
      <c r="B2314" s="382" t="s">
        <v>3935</v>
      </c>
      <c r="C2314" s="377" t="s">
        <v>5303</v>
      </c>
      <c r="D2314" s="6" t="str">
        <f>_xlfn.XLOOKUP(B2314,Indices!$A$2:$A$2676,Indices!$B$2:$B$2676,"")</f>
        <v/>
      </c>
    </row>
    <row r="2315" spans="1:4" x14ac:dyDescent="0.25">
      <c r="A2315" s="379">
        <v>45790.958333333336</v>
      </c>
      <c r="B2315" s="382" t="s">
        <v>3970</v>
      </c>
      <c r="C2315" s="377" t="s">
        <v>5302</v>
      </c>
      <c r="D2315" s="6" t="str">
        <f>_xlfn.XLOOKUP(B2315,Indices!$A$2:$A$2676,Indices!$B$2:$B$2676,"")</f>
        <v/>
      </c>
    </row>
    <row r="2316" spans="1:4" x14ac:dyDescent="0.25">
      <c r="A2316" s="379">
        <v>45790.958333333336</v>
      </c>
      <c r="B2316" s="382" t="s">
        <v>3932</v>
      </c>
      <c r="C2316" s="377" t="s">
        <v>5303</v>
      </c>
      <c r="D2316" s="6" t="str">
        <f>_xlfn.XLOOKUP(B2316,Indices!$A$2:$A$2676,Indices!$B$2:$B$2676,"")</f>
        <v/>
      </c>
    </row>
    <row r="2317" spans="1:4" x14ac:dyDescent="0.25">
      <c r="A2317" s="379">
        <v>45790.958333333336</v>
      </c>
      <c r="B2317" s="382" t="s">
        <v>3952</v>
      </c>
      <c r="C2317" s="377" t="s">
        <v>5302</v>
      </c>
      <c r="D2317" s="6" t="str">
        <f>_xlfn.XLOOKUP(B2317,Indices!$A$2:$A$2676,Indices!$B$2:$B$2676,"")</f>
        <v/>
      </c>
    </row>
    <row r="2318" spans="1:4" x14ac:dyDescent="0.25">
      <c r="A2318" s="379">
        <v>45790.958333333336</v>
      </c>
      <c r="B2318" s="382" t="s">
        <v>3924</v>
      </c>
      <c r="C2318" s="377" t="s">
        <v>5302</v>
      </c>
      <c r="D2318" s="6" t="str">
        <f>_xlfn.XLOOKUP(B2318,Indices!$A$2:$A$2676,Indices!$B$2:$B$2676,"")</f>
        <v/>
      </c>
    </row>
    <row r="2319" spans="1:4" x14ac:dyDescent="0.25">
      <c r="A2319" s="379">
        <v>45790.958333333336</v>
      </c>
      <c r="B2319" s="382" t="s">
        <v>4235</v>
      </c>
      <c r="C2319" s="377" t="s">
        <v>5302</v>
      </c>
      <c r="D2319" s="6" t="str">
        <f>_xlfn.XLOOKUP(B2319,Indices!$A$2:$A$2676,Indices!$B$2:$B$2676,"")</f>
        <v/>
      </c>
    </row>
    <row r="2320" spans="1:4" x14ac:dyDescent="0.25">
      <c r="A2320" s="379">
        <v>45790.958333333336</v>
      </c>
      <c r="B2320" s="382" t="s">
        <v>3934</v>
      </c>
      <c r="C2320" s="377" t="s">
        <v>5302</v>
      </c>
      <c r="D2320" s="6" t="str">
        <f>_xlfn.XLOOKUP(B2320,Indices!$A$2:$A$2676,Indices!$B$2:$B$2676,"")</f>
        <v/>
      </c>
    </row>
    <row r="2321" spans="1:4" x14ac:dyDescent="0.25">
      <c r="A2321" s="379">
        <v>45790.958333333336</v>
      </c>
      <c r="B2321" s="382" t="s">
        <v>3850</v>
      </c>
      <c r="C2321" s="377" t="s">
        <v>5303</v>
      </c>
      <c r="D2321" s="6" t="str">
        <f>_xlfn.XLOOKUP(B2321,Indices!$A$2:$A$2676,Indices!$B$2:$B$2676,"")</f>
        <v/>
      </c>
    </row>
    <row r="2322" spans="1:4" x14ac:dyDescent="0.25">
      <c r="A2322" s="379">
        <v>45790.968055555553</v>
      </c>
      <c r="B2322" s="382" t="s">
        <v>3944</v>
      </c>
      <c r="C2322" s="377" t="s">
        <v>5304</v>
      </c>
      <c r="D2322" s="6" t="str">
        <f>_xlfn.XLOOKUP(B2322,Indices!$A$2:$A$2676,Indices!$B$2:$B$2676,"")</f>
        <v/>
      </c>
    </row>
    <row r="2323" spans="1:4" x14ac:dyDescent="0.25">
      <c r="A2323" s="379">
        <v>45791.166666666664</v>
      </c>
      <c r="B2323" s="382" t="s">
        <v>4572</v>
      </c>
      <c r="C2323" s="377" t="s">
        <v>5305</v>
      </c>
      <c r="D2323" s="6" t="str">
        <f>_xlfn.XLOOKUP(B2323,Indices!$A$2:$A$2676,Indices!$B$2:$B$2676,"")</f>
        <v/>
      </c>
    </row>
    <row r="2324" spans="1:4" x14ac:dyDescent="0.25">
      <c r="A2324" s="379">
        <v>45791.166666666664</v>
      </c>
      <c r="B2324" s="382" t="s">
        <v>1047</v>
      </c>
      <c r="C2324" s="377" t="s">
        <v>5305</v>
      </c>
      <c r="D2324" s="6" t="str">
        <f>_xlfn.XLOOKUP(B2324,Indices!$A$2:$A$2676,Indices!$B$2:$B$2676,"")</f>
        <v>IWM</v>
      </c>
    </row>
    <row r="2325" spans="1:4" x14ac:dyDescent="0.25">
      <c r="A2325" s="379">
        <v>45791.166666666664</v>
      </c>
      <c r="B2325" s="382" t="s">
        <v>3955</v>
      </c>
      <c r="C2325" s="377" t="s">
        <v>5305</v>
      </c>
      <c r="D2325" s="6" t="str">
        <f>_xlfn.XLOOKUP(B2325,Indices!$A$2:$A$2676,Indices!$B$2:$B$2676,"")</f>
        <v/>
      </c>
    </row>
    <row r="2326" spans="1:4" x14ac:dyDescent="0.25">
      <c r="A2326" s="379">
        <v>45791.169444444444</v>
      </c>
      <c r="B2326" s="382" t="s">
        <v>279</v>
      </c>
      <c r="C2326" s="377" t="s">
        <v>5306</v>
      </c>
      <c r="D2326" s="6" t="str">
        <f>_xlfn.XLOOKUP(B2326,Indices!$A$2:$A$2676,Indices!$B$2:$B$2676,"")</f>
        <v>IWM</v>
      </c>
    </row>
    <row r="2327" spans="1:4" x14ac:dyDescent="0.25">
      <c r="A2327" s="379">
        <v>45791.1875</v>
      </c>
      <c r="B2327" s="382" t="s">
        <v>548</v>
      </c>
      <c r="C2327" s="377" t="s">
        <v>5307</v>
      </c>
      <c r="D2327" s="6" t="str">
        <f>_xlfn.XLOOKUP(B2327,Indices!$A$2:$A$2676,Indices!$B$2:$B$2676,"")</f>
        <v>S&amp;P Mid</v>
      </c>
    </row>
    <row r="2328" spans="1:4" x14ac:dyDescent="0.25">
      <c r="A2328" s="379">
        <v>45791.1875</v>
      </c>
      <c r="B2328" s="382" t="s">
        <v>5308</v>
      </c>
      <c r="C2328" s="377" t="s">
        <v>5307</v>
      </c>
      <c r="D2328" s="6" t="str">
        <f>_xlfn.XLOOKUP(B2328,Indices!$A$2:$A$2676,Indices!$B$2:$B$2676,"")</f>
        <v/>
      </c>
    </row>
    <row r="2329" spans="1:4" x14ac:dyDescent="0.25">
      <c r="A2329" s="379">
        <v>45791.208333333336</v>
      </c>
      <c r="B2329" s="382" t="s">
        <v>3971</v>
      </c>
      <c r="C2329" s="377" t="s">
        <v>5309</v>
      </c>
      <c r="D2329" s="6" t="str">
        <f>_xlfn.XLOOKUP(B2329,Indices!$A$2:$A$2676,Indices!$B$2:$B$2676,"")</f>
        <v/>
      </c>
    </row>
    <row r="2330" spans="1:4" x14ac:dyDescent="0.25">
      <c r="A2330" s="379">
        <v>45791.208333333336</v>
      </c>
      <c r="B2330" s="382" t="s">
        <v>3230</v>
      </c>
      <c r="C2330" s="377" t="s">
        <v>5309</v>
      </c>
      <c r="D2330" s="6" t="str">
        <f>_xlfn.XLOOKUP(B2330,Indices!$A$2:$A$2676,Indices!$B$2:$B$2676,"")</f>
        <v/>
      </c>
    </row>
    <row r="2331" spans="1:4" x14ac:dyDescent="0.25">
      <c r="A2331" s="379">
        <v>45791.208333333336</v>
      </c>
      <c r="B2331" s="382" t="s">
        <v>4276</v>
      </c>
      <c r="C2331" s="377" t="s">
        <v>5309</v>
      </c>
      <c r="D2331" s="6" t="str">
        <f>_xlfn.XLOOKUP(B2331,Indices!$A$2:$A$2676,Indices!$B$2:$B$2676,"")</f>
        <v/>
      </c>
    </row>
    <row r="2332" spans="1:4" x14ac:dyDescent="0.25">
      <c r="A2332" s="379">
        <v>45791.208333333336</v>
      </c>
      <c r="B2332" s="382" t="s">
        <v>3243</v>
      </c>
      <c r="C2332" s="377" t="s">
        <v>5309</v>
      </c>
      <c r="D2332" s="6" t="str">
        <f>_xlfn.XLOOKUP(B2332,Indices!$A$2:$A$2676,Indices!$B$2:$B$2676,"")</f>
        <v/>
      </c>
    </row>
    <row r="2333" spans="1:4" x14ac:dyDescent="0.25">
      <c r="A2333" s="379">
        <v>45791.208333333336</v>
      </c>
      <c r="B2333" s="382" t="s">
        <v>3730</v>
      </c>
      <c r="C2333" s="377" t="s">
        <v>5309</v>
      </c>
      <c r="D2333" s="6" t="str">
        <f>_xlfn.XLOOKUP(B2333,Indices!$A$2:$A$2676,Indices!$B$2:$B$2676,"")</f>
        <v/>
      </c>
    </row>
    <row r="2334" spans="1:4" x14ac:dyDescent="0.25">
      <c r="A2334" s="379">
        <v>45791.208333333336</v>
      </c>
      <c r="B2334" s="382" t="s">
        <v>4195</v>
      </c>
      <c r="C2334" s="377" t="s">
        <v>5309</v>
      </c>
      <c r="D2334" s="6" t="str">
        <f>_xlfn.XLOOKUP(B2334,Indices!$A$2:$A$2676,Indices!$B$2:$B$2676,"")</f>
        <v/>
      </c>
    </row>
    <row r="2335" spans="1:4" x14ac:dyDescent="0.25">
      <c r="A2335" s="379">
        <v>45791.208333333336</v>
      </c>
      <c r="B2335" s="382" t="s">
        <v>196</v>
      </c>
      <c r="C2335" s="377" t="s">
        <v>5309</v>
      </c>
      <c r="D2335" s="6" t="str">
        <f>_xlfn.XLOOKUP(B2335,Indices!$A$2:$A$2676,Indices!$B$2:$B$2676,"")</f>
        <v>IWM</v>
      </c>
    </row>
    <row r="2336" spans="1:4" x14ac:dyDescent="0.25">
      <c r="A2336" s="379">
        <v>45791.208333333336</v>
      </c>
      <c r="B2336" s="382" t="s">
        <v>904</v>
      </c>
      <c r="C2336" s="377" t="s">
        <v>5309</v>
      </c>
      <c r="D2336" s="6" t="str">
        <f>_xlfn.XLOOKUP(B2336,Indices!$A$2:$A$2676,Indices!$B$2:$B$2676,"")</f>
        <v>IWM</v>
      </c>
    </row>
    <row r="2337" spans="1:4" x14ac:dyDescent="0.25">
      <c r="A2337" s="379">
        <v>45791.208333333336</v>
      </c>
      <c r="B2337" s="382" t="s">
        <v>3675</v>
      </c>
      <c r="C2337" s="377" t="s">
        <v>5309</v>
      </c>
      <c r="D2337" s="6" t="str">
        <f>_xlfn.XLOOKUP(B2337,Indices!$A$2:$A$2676,Indices!$B$2:$B$2676,"")</f>
        <v/>
      </c>
    </row>
    <row r="2338" spans="1:4" x14ac:dyDescent="0.25">
      <c r="A2338" s="379">
        <v>45791.208333333336</v>
      </c>
      <c r="B2338" s="382" t="s">
        <v>3746</v>
      </c>
      <c r="C2338" s="377" t="s">
        <v>5309</v>
      </c>
      <c r="D2338" s="6" t="str">
        <f>_xlfn.XLOOKUP(B2338,Indices!$A$2:$A$2676,Indices!$B$2:$B$2676,"")</f>
        <v/>
      </c>
    </row>
    <row r="2339" spans="1:4" x14ac:dyDescent="0.25">
      <c r="A2339" s="379">
        <v>45791.208333333336</v>
      </c>
      <c r="B2339" s="382" t="s">
        <v>4340</v>
      </c>
      <c r="C2339" s="377" t="s">
        <v>5309</v>
      </c>
      <c r="D2339" s="6" t="str">
        <f>_xlfn.XLOOKUP(B2339,Indices!$A$2:$A$2676,Indices!$B$2:$B$2676,"")</f>
        <v/>
      </c>
    </row>
    <row r="2340" spans="1:4" x14ac:dyDescent="0.25">
      <c r="A2340" s="379">
        <v>45791.208333333336</v>
      </c>
      <c r="B2340" s="382" t="s">
        <v>1011</v>
      </c>
      <c r="C2340" s="377" t="s">
        <v>5309</v>
      </c>
      <c r="D2340" s="6" t="str">
        <f>_xlfn.XLOOKUP(B2340,Indices!$A$2:$A$2676,Indices!$B$2:$B$2676,"")</f>
        <v>IWM</v>
      </c>
    </row>
    <row r="2341" spans="1:4" x14ac:dyDescent="0.25">
      <c r="A2341" s="379">
        <v>45791.208333333336</v>
      </c>
      <c r="B2341" s="382" t="s">
        <v>100</v>
      </c>
      <c r="C2341" s="377" t="s">
        <v>5309</v>
      </c>
      <c r="D2341" s="6" t="str">
        <f>_xlfn.XLOOKUP(B2341,Indices!$A$2:$A$2676,Indices!$B$2:$B$2676,"")</f>
        <v>IWM</v>
      </c>
    </row>
    <row r="2342" spans="1:4" x14ac:dyDescent="0.25">
      <c r="A2342" s="379">
        <v>45791.208333333336</v>
      </c>
      <c r="B2342" s="382" t="s">
        <v>3623</v>
      </c>
      <c r="C2342" s="377" t="s">
        <v>5309</v>
      </c>
      <c r="D2342" s="6" t="str">
        <f>_xlfn.XLOOKUP(B2342,Indices!$A$2:$A$2676,Indices!$B$2:$B$2676,"")</f>
        <v/>
      </c>
    </row>
    <row r="2343" spans="1:4" x14ac:dyDescent="0.25">
      <c r="A2343" s="379">
        <v>45791.208333333336</v>
      </c>
      <c r="B2343" s="382" t="s">
        <v>4102</v>
      </c>
      <c r="C2343" s="377" t="s">
        <v>5309</v>
      </c>
      <c r="D2343" s="6" t="str">
        <f>_xlfn.XLOOKUP(B2343,Indices!$A$2:$A$2676,Indices!$B$2:$B$2676,"")</f>
        <v/>
      </c>
    </row>
    <row r="2344" spans="1:4" x14ac:dyDescent="0.25">
      <c r="A2344" s="379">
        <v>45791.208333333336</v>
      </c>
      <c r="B2344" s="382" t="s">
        <v>3867</v>
      </c>
      <c r="C2344" s="377" t="s">
        <v>5309</v>
      </c>
      <c r="D2344" s="6" t="str">
        <f>_xlfn.XLOOKUP(B2344,Indices!$A$2:$A$2676,Indices!$B$2:$B$2676,"")</f>
        <v/>
      </c>
    </row>
    <row r="2345" spans="1:4" x14ac:dyDescent="0.25">
      <c r="A2345" s="379">
        <v>45791.208333333336</v>
      </c>
      <c r="B2345" s="382" t="s">
        <v>3264</v>
      </c>
      <c r="C2345" s="377" t="s">
        <v>5309</v>
      </c>
      <c r="D2345" s="6" t="str">
        <f>_xlfn.XLOOKUP(B2345,Indices!$A$2:$A$2676,Indices!$B$2:$B$2676,"")</f>
        <v/>
      </c>
    </row>
    <row r="2346" spans="1:4" x14ac:dyDescent="0.25">
      <c r="A2346" s="379">
        <v>45791.208333333336</v>
      </c>
      <c r="B2346" s="382" t="s">
        <v>3498</v>
      </c>
      <c r="C2346" s="377" t="s">
        <v>5309</v>
      </c>
      <c r="D2346" s="6" t="str">
        <f>_xlfn.XLOOKUP(B2346,Indices!$A$2:$A$2676,Indices!$B$2:$B$2676,"")</f>
        <v/>
      </c>
    </row>
    <row r="2347" spans="1:4" x14ac:dyDescent="0.25">
      <c r="A2347" s="379">
        <v>45791.211111111108</v>
      </c>
      <c r="B2347" s="382" t="s">
        <v>3731</v>
      </c>
      <c r="C2347" s="377" t="s">
        <v>5310</v>
      </c>
      <c r="D2347" s="6" t="str">
        <f>_xlfn.XLOOKUP(B2347,Indices!$A$2:$A$2676,Indices!$B$2:$B$2676,"")</f>
        <v/>
      </c>
    </row>
    <row r="2348" spans="1:4" x14ac:dyDescent="0.25">
      <c r="A2348" s="379">
        <v>45791.21875</v>
      </c>
      <c r="B2348" s="382" t="s">
        <v>3954</v>
      </c>
      <c r="C2348" s="377" t="s">
        <v>5311</v>
      </c>
      <c r="D2348" s="6" t="str">
        <f>_xlfn.XLOOKUP(B2348,Indices!$A$2:$A$2676,Indices!$B$2:$B$2676,"")</f>
        <v/>
      </c>
    </row>
    <row r="2349" spans="1:4" x14ac:dyDescent="0.25">
      <c r="A2349" s="379">
        <v>45791.21875</v>
      </c>
      <c r="B2349" s="382" t="s">
        <v>3265</v>
      </c>
      <c r="C2349" s="377" t="s">
        <v>5311</v>
      </c>
      <c r="D2349" s="6" t="str">
        <f>_xlfn.XLOOKUP(B2349,Indices!$A$2:$A$2676,Indices!$B$2:$B$2676,"")</f>
        <v/>
      </c>
    </row>
    <row r="2350" spans="1:4" x14ac:dyDescent="0.25">
      <c r="A2350" s="379">
        <v>45791.21875</v>
      </c>
      <c r="B2350" s="382" t="s">
        <v>3403</v>
      </c>
      <c r="C2350" s="377" t="s">
        <v>5311</v>
      </c>
      <c r="D2350" s="6" t="str">
        <f>_xlfn.XLOOKUP(B2350,Indices!$A$2:$A$2676,Indices!$B$2:$B$2676,"")</f>
        <v/>
      </c>
    </row>
    <row r="2351" spans="1:4" x14ac:dyDescent="0.25">
      <c r="A2351" s="379">
        <v>45791.220138888886</v>
      </c>
      <c r="B2351" s="382" t="s">
        <v>4275</v>
      </c>
      <c r="C2351" s="377" t="s">
        <v>5312</v>
      </c>
      <c r="D2351" s="6" t="str">
        <f>_xlfn.XLOOKUP(B2351,Indices!$A$2:$A$2676,Indices!$B$2:$B$2676,"")</f>
        <v/>
      </c>
    </row>
    <row r="2352" spans="1:4" x14ac:dyDescent="0.25">
      <c r="A2352" s="379">
        <v>45791.229166666664</v>
      </c>
      <c r="B2352" s="382" t="s">
        <v>3116</v>
      </c>
      <c r="C2352" s="377" t="s">
        <v>5313</v>
      </c>
      <c r="D2352" s="6" t="str">
        <f>_xlfn.XLOOKUP(B2352,Indices!$A$2:$A$2676,Indices!$B$2:$B$2676,"")</f>
        <v/>
      </c>
    </row>
    <row r="2353" spans="1:4" x14ac:dyDescent="0.25">
      <c r="A2353" s="379">
        <v>45791.229166666664</v>
      </c>
      <c r="B2353" s="382" t="s">
        <v>3579</v>
      </c>
      <c r="C2353" s="377" t="s">
        <v>5313</v>
      </c>
      <c r="D2353" s="6" t="str">
        <f>_xlfn.XLOOKUP(B2353,Indices!$A$2:$A$2676,Indices!$B$2:$B$2676,"")</f>
        <v/>
      </c>
    </row>
    <row r="2354" spans="1:4" x14ac:dyDescent="0.25">
      <c r="A2354" s="379">
        <v>45791.229166666664</v>
      </c>
      <c r="B2354" s="382" t="s">
        <v>311</v>
      </c>
      <c r="C2354" s="377" t="s">
        <v>5313</v>
      </c>
      <c r="D2354" s="6" t="str">
        <f>_xlfn.XLOOKUP(B2354,Indices!$A$2:$A$2676,Indices!$B$2:$B$2676,"")</f>
        <v>IWM</v>
      </c>
    </row>
    <row r="2355" spans="1:4" x14ac:dyDescent="0.25">
      <c r="A2355" s="379">
        <v>45791.229166666664</v>
      </c>
      <c r="B2355" s="382" t="s">
        <v>5314</v>
      </c>
      <c r="C2355" s="377" t="s">
        <v>5313</v>
      </c>
      <c r="D2355" s="6" t="str">
        <f>_xlfn.XLOOKUP(B2355,Indices!$A$2:$A$2676,Indices!$B$2:$B$2676,"")</f>
        <v/>
      </c>
    </row>
    <row r="2356" spans="1:4" x14ac:dyDescent="0.25">
      <c r="A2356" s="379">
        <v>45791.229166666664</v>
      </c>
      <c r="B2356" s="382" t="s">
        <v>4570</v>
      </c>
      <c r="C2356" s="377" t="s">
        <v>5313</v>
      </c>
      <c r="D2356" s="6" t="str">
        <f>_xlfn.XLOOKUP(B2356,Indices!$A$2:$A$2676,Indices!$B$2:$B$2676,"")</f>
        <v/>
      </c>
    </row>
    <row r="2357" spans="1:4" x14ac:dyDescent="0.25">
      <c r="A2357" s="379">
        <v>45791.231249999997</v>
      </c>
      <c r="B2357" s="382" t="s">
        <v>4077</v>
      </c>
      <c r="C2357" s="377" t="s">
        <v>5315</v>
      </c>
      <c r="D2357" s="6" t="str">
        <f>_xlfn.XLOOKUP(B2357,Indices!$A$2:$A$2676,Indices!$B$2:$B$2676,"")</f>
        <v/>
      </c>
    </row>
    <row r="2358" spans="1:4" x14ac:dyDescent="0.25">
      <c r="A2358" s="379">
        <v>45791.25</v>
      </c>
      <c r="B2358" s="382" t="s">
        <v>3862</v>
      </c>
      <c r="C2358" s="377" t="s">
        <v>5316</v>
      </c>
      <c r="D2358" s="6" t="str">
        <f>_xlfn.XLOOKUP(B2358,Indices!$A$2:$A$2676,Indices!$B$2:$B$2676,"")</f>
        <v/>
      </c>
    </row>
    <row r="2359" spans="1:4" x14ac:dyDescent="0.25">
      <c r="A2359" s="379">
        <v>45791.25</v>
      </c>
      <c r="B2359" s="382" t="s">
        <v>4568</v>
      </c>
      <c r="C2359" s="377" t="s">
        <v>5316</v>
      </c>
      <c r="D2359" s="6" t="str">
        <f>_xlfn.XLOOKUP(B2359,Indices!$A$2:$A$2676,Indices!$B$2:$B$2676,"")</f>
        <v/>
      </c>
    </row>
    <row r="2360" spans="1:4" x14ac:dyDescent="0.25">
      <c r="A2360" s="379">
        <v>45791.25</v>
      </c>
      <c r="B2360" s="382" t="s">
        <v>3855</v>
      </c>
      <c r="C2360" s="377" t="s">
        <v>5316</v>
      </c>
      <c r="D2360" s="6" t="str">
        <f>_xlfn.XLOOKUP(B2360,Indices!$A$2:$A$2676,Indices!$B$2:$B$2676,"")</f>
        <v/>
      </c>
    </row>
    <row r="2361" spans="1:4" x14ac:dyDescent="0.25">
      <c r="A2361" s="379">
        <v>45791.25</v>
      </c>
      <c r="B2361" s="382" t="s">
        <v>3939</v>
      </c>
      <c r="C2361" s="377" t="s">
        <v>5316</v>
      </c>
      <c r="D2361" s="6" t="str">
        <f>_xlfn.XLOOKUP(B2361,Indices!$A$2:$A$2676,Indices!$B$2:$B$2676,"")</f>
        <v/>
      </c>
    </row>
    <row r="2362" spans="1:4" x14ac:dyDescent="0.25">
      <c r="A2362" s="379">
        <v>45791.25</v>
      </c>
      <c r="B2362" s="382" t="s">
        <v>3059</v>
      </c>
      <c r="C2362" s="377" t="s">
        <v>5316</v>
      </c>
      <c r="D2362" s="6" t="str">
        <f>_xlfn.XLOOKUP(B2362,Indices!$A$2:$A$2676,Indices!$B$2:$B$2676,"")</f>
        <v/>
      </c>
    </row>
    <row r="2363" spans="1:4" x14ac:dyDescent="0.25">
      <c r="A2363" s="379">
        <v>45791.25</v>
      </c>
      <c r="B2363" s="382" t="s">
        <v>3973</v>
      </c>
      <c r="C2363" s="377" t="s">
        <v>5316</v>
      </c>
      <c r="D2363" s="6" t="str">
        <f>_xlfn.XLOOKUP(B2363,Indices!$A$2:$A$2676,Indices!$B$2:$B$2676,"")</f>
        <v/>
      </c>
    </row>
    <row r="2364" spans="1:4" x14ac:dyDescent="0.25">
      <c r="A2364" s="379">
        <v>45791.260416666664</v>
      </c>
      <c r="B2364" s="382" t="s">
        <v>4571</v>
      </c>
      <c r="C2364" s="377" t="s">
        <v>5317</v>
      </c>
      <c r="D2364" s="6" t="str">
        <f>_xlfn.XLOOKUP(B2364,Indices!$A$2:$A$2676,Indices!$B$2:$B$2676,"")</f>
        <v/>
      </c>
    </row>
    <row r="2365" spans="1:4" x14ac:dyDescent="0.25">
      <c r="A2365" s="379">
        <v>45791.270833333336</v>
      </c>
      <c r="B2365" s="382" t="s">
        <v>3268</v>
      </c>
      <c r="C2365" s="377" t="s">
        <v>5319</v>
      </c>
      <c r="D2365" s="6" t="str">
        <f>_xlfn.XLOOKUP(B2365,Indices!$A$2:$A$2676,Indices!$B$2:$B$2676,"")</f>
        <v/>
      </c>
    </row>
    <row r="2366" spans="1:4" x14ac:dyDescent="0.25">
      <c r="A2366" s="379">
        <v>45791.270833333336</v>
      </c>
      <c r="B2366" s="382" t="s">
        <v>4112</v>
      </c>
      <c r="C2366" s="377" t="s">
        <v>5319</v>
      </c>
      <c r="D2366" s="6" t="str">
        <f>_xlfn.XLOOKUP(B2366,Indices!$A$2:$A$2676,Indices!$B$2:$B$2676,"")</f>
        <v/>
      </c>
    </row>
    <row r="2367" spans="1:4" x14ac:dyDescent="0.25">
      <c r="A2367" s="379">
        <v>45791.270833333336</v>
      </c>
      <c r="B2367" s="382" t="s">
        <v>5318</v>
      </c>
      <c r="C2367" s="377" t="s">
        <v>5319</v>
      </c>
      <c r="D2367" s="6" t="str">
        <f>_xlfn.XLOOKUP(B2367,Indices!$A$2:$A$2676,Indices!$B$2:$B$2676,"")</f>
        <v/>
      </c>
    </row>
    <row r="2368" spans="1:4" x14ac:dyDescent="0.25">
      <c r="A2368" s="379">
        <v>45791.270833333336</v>
      </c>
      <c r="B2368" s="382" t="s">
        <v>4086</v>
      </c>
      <c r="C2368" s="377" t="s">
        <v>5319</v>
      </c>
      <c r="D2368" s="6" t="str">
        <f>_xlfn.XLOOKUP(B2368,Indices!$A$2:$A$2676,Indices!$B$2:$B$2676,"")</f>
        <v/>
      </c>
    </row>
    <row r="2369" spans="1:4" x14ac:dyDescent="0.25">
      <c r="A2369" s="379">
        <v>45791.277777777781</v>
      </c>
      <c r="B2369" s="382" t="s">
        <v>3908</v>
      </c>
      <c r="C2369" s="377" t="s">
        <v>5320</v>
      </c>
      <c r="D2369" s="6" t="str">
        <f>_xlfn.XLOOKUP(B2369,Indices!$A$2:$A$2676,Indices!$B$2:$B$2676,"")</f>
        <v/>
      </c>
    </row>
    <row r="2370" spans="1:4" x14ac:dyDescent="0.25">
      <c r="A2370" s="379">
        <v>45791.291666666664</v>
      </c>
      <c r="B2370" s="382" t="s">
        <v>3938</v>
      </c>
      <c r="C2370" s="377" t="s">
        <v>3922</v>
      </c>
      <c r="D2370" s="6" t="str">
        <f>_xlfn.XLOOKUP(B2370,Indices!$A$2:$A$2676,Indices!$B$2:$B$2676,"")</f>
        <v/>
      </c>
    </row>
    <row r="2371" spans="1:4" x14ac:dyDescent="0.25">
      <c r="A2371" s="379">
        <v>45791.291666666664</v>
      </c>
      <c r="B2371" s="382" t="s">
        <v>2843</v>
      </c>
      <c r="C2371" s="377" t="s">
        <v>3922</v>
      </c>
      <c r="D2371" s="6" t="str">
        <f>_xlfn.XLOOKUP(B2371,Indices!$A$2:$A$2676,Indices!$B$2:$B$2676,"")</f>
        <v/>
      </c>
    </row>
    <row r="2372" spans="1:4" x14ac:dyDescent="0.25">
      <c r="A2372" s="379">
        <v>45791.291666666664</v>
      </c>
      <c r="B2372" s="382" t="s">
        <v>3931</v>
      </c>
      <c r="C2372" s="377" t="s">
        <v>3922</v>
      </c>
      <c r="D2372" s="6" t="str">
        <f>_xlfn.XLOOKUP(B2372,Indices!$A$2:$A$2676,Indices!$B$2:$B$2676,"")</f>
        <v/>
      </c>
    </row>
    <row r="2373" spans="1:4" x14ac:dyDescent="0.25">
      <c r="A2373" s="379">
        <v>45791.291666666664</v>
      </c>
      <c r="B2373" s="382" t="s">
        <v>2895</v>
      </c>
      <c r="C2373" s="377" t="s">
        <v>3922</v>
      </c>
      <c r="D2373" s="6" t="str">
        <f>_xlfn.XLOOKUP(B2373,Indices!$A$2:$A$2676,Indices!$B$2:$B$2676,"")</f>
        <v/>
      </c>
    </row>
    <row r="2374" spans="1:4" x14ac:dyDescent="0.25">
      <c r="A2374" s="379">
        <v>45791.291666666664</v>
      </c>
      <c r="B2374" s="382" t="s">
        <v>3941</v>
      </c>
      <c r="C2374" s="377" t="s">
        <v>3922</v>
      </c>
      <c r="D2374" s="6" t="str">
        <f>_xlfn.XLOOKUP(B2374,Indices!$A$2:$A$2676,Indices!$B$2:$B$2676,"")</f>
        <v/>
      </c>
    </row>
    <row r="2375" spans="1:4" x14ac:dyDescent="0.25">
      <c r="A2375" s="379">
        <v>45791.291666666664</v>
      </c>
      <c r="B2375" s="382" t="s">
        <v>3964</v>
      </c>
      <c r="C2375" s="377" t="s">
        <v>3922</v>
      </c>
      <c r="D2375" s="6" t="str">
        <f>_xlfn.XLOOKUP(B2375,Indices!$A$2:$A$2676,Indices!$B$2:$B$2676,"")</f>
        <v/>
      </c>
    </row>
    <row r="2376" spans="1:4" x14ac:dyDescent="0.25">
      <c r="A2376" s="379">
        <v>45791.291666666664</v>
      </c>
      <c r="B2376" s="382" t="s">
        <v>3953</v>
      </c>
      <c r="C2376" s="377" t="s">
        <v>3922</v>
      </c>
      <c r="D2376" s="6" t="str">
        <f>_xlfn.XLOOKUP(B2376,Indices!$A$2:$A$2676,Indices!$B$2:$B$2676,"")</f>
        <v/>
      </c>
    </row>
    <row r="2377" spans="1:4" x14ac:dyDescent="0.25">
      <c r="A2377" s="379">
        <v>45791.291666666664</v>
      </c>
      <c r="B2377" s="382" t="s">
        <v>3958</v>
      </c>
      <c r="C2377" s="377" t="s">
        <v>3922</v>
      </c>
      <c r="D2377" s="6" t="str">
        <f>_xlfn.XLOOKUP(B2377,Indices!$A$2:$A$2676,Indices!$B$2:$B$2676,"")</f>
        <v/>
      </c>
    </row>
    <row r="2378" spans="1:4" x14ac:dyDescent="0.25">
      <c r="A2378" s="379">
        <v>45791.291666666664</v>
      </c>
      <c r="B2378" s="382" t="s">
        <v>3947</v>
      </c>
      <c r="C2378" s="377" t="s">
        <v>3925</v>
      </c>
      <c r="D2378" s="6" t="str">
        <f>_xlfn.XLOOKUP(B2378,Indices!$A$2:$A$2676,Indices!$B$2:$B$2676,"")</f>
        <v/>
      </c>
    </row>
    <row r="2379" spans="1:4" x14ac:dyDescent="0.25">
      <c r="A2379" s="379">
        <v>45791.298611111109</v>
      </c>
      <c r="B2379" s="382" t="s">
        <v>3926</v>
      </c>
      <c r="C2379" s="377" t="s">
        <v>5321</v>
      </c>
      <c r="D2379" s="6" t="str">
        <f>_xlfn.XLOOKUP(B2379,Indices!$A$2:$A$2676,Indices!$B$2:$B$2676,"")</f>
        <v/>
      </c>
    </row>
    <row r="2380" spans="1:4" x14ac:dyDescent="0.25">
      <c r="A2380" s="379">
        <v>45791.401388888888</v>
      </c>
      <c r="B2380" s="382" t="s">
        <v>3525</v>
      </c>
      <c r="C2380" s="377" t="s">
        <v>5322</v>
      </c>
      <c r="D2380" s="6" t="str">
        <f>_xlfn.XLOOKUP(B2380,Indices!$A$2:$A$2676,Indices!$B$2:$B$2676,"")</f>
        <v/>
      </c>
    </row>
    <row r="2381" spans="1:4" x14ac:dyDescent="0.25">
      <c r="A2381" s="379">
        <v>45791.458333333336</v>
      </c>
      <c r="B2381" s="382" t="s">
        <v>3990</v>
      </c>
      <c r="C2381" s="377" t="s">
        <v>3991</v>
      </c>
      <c r="D2381" s="6" t="str">
        <f>_xlfn.XLOOKUP(B2381,Indices!$A$2:$A$2676,Indices!$B$2:$B$2676,"")</f>
        <v/>
      </c>
    </row>
    <row r="2382" spans="1:4" x14ac:dyDescent="0.25">
      <c r="A2382" s="379">
        <v>45791.506944444445</v>
      </c>
      <c r="B2382" s="382" t="s">
        <v>2850</v>
      </c>
      <c r="C2382" s="377" t="s">
        <v>5323</v>
      </c>
      <c r="D2382" s="6" t="str">
        <f>_xlfn.XLOOKUP(B2382,Indices!$A$2:$A$2676,Indices!$B$2:$B$2676,"")</f>
        <v/>
      </c>
    </row>
    <row r="2383" spans="1:4" x14ac:dyDescent="0.25">
      <c r="A2383" s="379">
        <v>45791.583333333336</v>
      </c>
      <c r="B2383" s="382" t="s">
        <v>4033</v>
      </c>
      <c r="C2383" s="377" t="s">
        <v>5324</v>
      </c>
      <c r="D2383" s="6" t="str">
        <f>_xlfn.XLOOKUP(B2383,Indices!$A$2:$A$2676,Indices!$B$2:$B$2676,"")</f>
        <v/>
      </c>
    </row>
    <row r="2384" spans="1:4" x14ac:dyDescent="0.25">
      <c r="A2384" s="379">
        <v>45791.583333333336</v>
      </c>
      <c r="B2384" s="382" t="s">
        <v>4023</v>
      </c>
      <c r="C2384" s="377" t="s">
        <v>5324</v>
      </c>
      <c r="D2384" s="6" t="str">
        <f>_xlfn.XLOOKUP(B2384,Indices!$A$2:$A$2676,Indices!$B$2:$B$2676,"")</f>
        <v/>
      </c>
    </row>
    <row r="2385" spans="1:4" x14ac:dyDescent="0.25">
      <c r="A2385" s="379">
        <v>45791.583333333336</v>
      </c>
      <c r="B2385" s="382" t="s">
        <v>3613</v>
      </c>
      <c r="C2385" s="377" t="s">
        <v>5324</v>
      </c>
      <c r="D2385" s="6" t="str">
        <f>_xlfn.XLOOKUP(B2385,Indices!$A$2:$A$2676,Indices!$B$2:$B$2676,"")</f>
        <v/>
      </c>
    </row>
    <row r="2386" spans="1:4" x14ac:dyDescent="0.25">
      <c r="A2386" s="379">
        <v>45791.583333333336</v>
      </c>
      <c r="B2386" s="382" t="s">
        <v>5325</v>
      </c>
      <c r="C2386" s="377" t="s">
        <v>5324</v>
      </c>
      <c r="D2386" s="6" t="str">
        <f>_xlfn.XLOOKUP(B2386,Indices!$A$2:$A$2676,Indices!$B$2:$B$2676,"")</f>
        <v/>
      </c>
    </row>
    <row r="2387" spans="1:4" x14ac:dyDescent="0.25">
      <c r="A2387" s="379">
        <v>45791.583333333336</v>
      </c>
      <c r="B2387" s="382" t="s">
        <v>1024</v>
      </c>
      <c r="C2387" s="377" t="s">
        <v>5324</v>
      </c>
      <c r="D2387" s="6" t="str">
        <f>_xlfn.XLOOKUP(B2387,Indices!$A$2:$A$2676,Indices!$B$2:$B$2676,"")</f>
        <v>IWM</v>
      </c>
    </row>
    <row r="2388" spans="1:4" x14ac:dyDescent="0.25">
      <c r="A2388" s="379">
        <v>45791.584027777775</v>
      </c>
      <c r="B2388" s="382" t="s">
        <v>4011</v>
      </c>
      <c r="C2388" s="377" t="s">
        <v>5326</v>
      </c>
      <c r="D2388" s="6" t="str">
        <f>_xlfn.XLOOKUP(B2388,Indices!$A$2:$A$2676,Indices!$B$2:$B$2676,"")</f>
        <v/>
      </c>
    </row>
    <row r="2389" spans="1:4" x14ac:dyDescent="0.25">
      <c r="A2389" s="379">
        <v>45791.584027777775</v>
      </c>
      <c r="B2389" s="382" t="s">
        <v>4156</v>
      </c>
      <c r="C2389" s="377" t="s">
        <v>5326</v>
      </c>
      <c r="D2389" s="6" t="str">
        <f>_xlfn.XLOOKUP(B2389,Indices!$A$2:$A$2676,Indices!$B$2:$B$2676,"")</f>
        <v/>
      </c>
    </row>
    <row r="2390" spans="1:4" x14ac:dyDescent="0.25">
      <c r="A2390" s="379">
        <v>45791.584027777775</v>
      </c>
      <c r="B2390" s="382" t="s">
        <v>4167</v>
      </c>
      <c r="C2390" s="377" t="s">
        <v>5326</v>
      </c>
      <c r="D2390" s="6" t="str">
        <f>_xlfn.XLOOKUP(B2390,Indices!$A$2:$A$2676,Indices!$B$2:$B$2676,"")</f>
        <v/>
      </c>
    </row>
    <row r="2391" spans="1:4" x14ac:dyDescent="0.25">
      <c r="A2391" s="379">
        <v>45791.584027777775</v>
      </c>
      <c r="B2391" s="382" t="s">
        <v>3611</v>
      </c>
      <c r="C2391" s="377" t="s">
        <v>5326</v>
      </c>
      <c r="D2391" s="6" t="str">
        <f>_xlfn.XLOOKUP(B2391,Indices!$A$2:$A$2676,Indices!$B$2:$B$2676,"")</f>
        <v/>
      </c>
    </row>
    <row r="2392" spans="1:4" x14ac:dyDescent="0.25">
      <c r="A2392" s="379">
        <v>45791.584027777775</v>
      </c>
      <c r="B2392" s="382" t="s">
        <v>4149</v>
      </c>
      <c r="C2392" s="377" t="s">
        <v>5326</v>
      </c>
      <c r="D2392" s="6" t="str">
        <f>_xlfn.XLOOKUP(B2392,Indices!$A$2:$A$2676,Indices!$B$2:$B$2676,"")</f>
        <v/>
      </c>
    </row>
    <row r="2393" spans="1:4" x14ac:dyDescent="0.25">
      <c r="A2393" s="379">
        <v>45791.584027777775</v>
      </c>
      <c r="B2393" s="382" t="s">
        <v>3328</v>
      </c>
      <c r="C2393" s="377" t="s">
        <v>5326</v>
      </c>
      <c r="D2393" s="6" t="str">
        <f>_xlfn.XLOOKUP(B2393,Indices!$A$2:$A$2676,Indices!$B$2:$B$2676,"")</f>
        <v/>
      </c>
    </row>
    <row r="2394" spans="1:4" x14ac:dyDescent="0.25">
      <c r="A2394" s="379">
        <v>45791.584027777775</v>
      </c>
      <c r="B2394" s="382" t="s">
        <v>3527</v>
      </c>
      <c r="C2394" s="377" t="s">
        <v>5326</v>
      </c>
      <c r="D2394" s="6" t="str">
        <f>_xlfn.XLOOKUP(B2394,Indices!$A$2:$A$2676,Indices!$B$2:$B$2676,"")</f>
        <v/>
      </c>
    </row>
    <row r="2395" spans="1:4" x14ac:dyDescent="0.25">
      <c r="A2395" s="379">
        <v>45791.584027777775</v>
      </c>
      <c r="B2395" s="382" t="s">
        <v>4034</v>
      </c>
      <c r="C2395" s="377" t="s">
        <v>5326</v>
      </c>
      <c r="D2395" s="6" t="str">
        <f>_xlfn.XLOOKUP(B2395,Indices!$A$2:$A$2676,Indices!$B$2:$B$2676,"")</f>
        <v/>
      </c>
    </row>
    <row r="2396" spans="1:4" x14ac:dyDescent="0.25">
      <c r="A2396" s="379">
        <v>45791.584027777775</v>
      </c>
      <c r="B2396" s="382" t="s">
        <v>1060</v>
      </c>
      <c r="C2396" s="377" t="s">
        <v>5326</v>
      </c>
      <c r="D2396" s="6" t="str">
        <f>_xlfn.XLOOKUP(B2396,Indices!$A$2:$A$2676,Indices!$B$2:$B$2676,"")</f>
        <v>IWM</v>
      </c>
    </row>
    <row r="2397" spans="1:4" x14ac:dyDescent="0.25">
      <c r="A2397" s="379">
        <v>45791.584027777775</v>
      </c>
      <c r="B2397" s="382" t="s">
        <v>3466</v>
      </c>
      <c r="C2397" s="377" t="s">
        <v>5326</v>
      </c>
      <c r="D2397" s="6" t="str">
        <f>_xlfn.XLOOKUP(B2397,Indices!$A$2:$A$2676,Indices!$B$2:$B$2676,"")</f>
        <v/>
      </c>
    </row>
    <row r="2398" spans="1:4" x14ac:dyDescent="0.25">
      <c r="A2398" s="379">
        <v>45791.584027777775</v>
      </c>
      <c r="B2398" s="382" t="s">
        <v>4242</v>
      </c>
      <c r="C2398" s="377" t="s">
        <v>5326</v>
      </c>
      <c r="D2398" s="6" t="str">
        <f>_xlfn.XLOOKUP(B2398,Indices!$A$2:$A$2676,Indices!$B$2:$B$2676,"")</f>
        <v/>
      </c>
    </row>
    <row r="2399" spans="1:4" x14ac:dyDescent="0.25">
      <c r="A2399" s="379">
        <v>45791.584027777775</v>
      </c>
      <c r="B2399" s="382" t="s">
        <v>3916</v>
      </c>
      <c r="C2399" s="377" t="s">
        <v>5326</v>
      </c>
      <c r="D2399" s="6" t="str">
        <f>_xlfn.XLOOKUP(B2399,Indices!$A$2:$A$2676,Indices!$B$2:$B$2676,"")</f>
        <v/>
      </c>
    </row>
    <row r="2400" spans="1:4" x14ac:dyDescent="0.25">
      <c r="A2400" s="379">
        <v>45791.584027777775</v>
      </c>
      <c r="B2400" s="382" t="s">
        <v>3537</v>
      </c>
      <c r="C2400" s="377" t="s">
        <v>5326</v>
      </c>
      <c r="D2400" s="6" t="str">
        <f>_xlfn.XLOOKUP(B2400,Indices!$A$2:$A$2676,Indices!$B$2:$B$2676,"")</f>
        <v/>
      </c>
    </row>
    <row r="2401" spans="1:4" x14ac:dyDescent="0.25">
      <c r="A2401" s="379">
        <v>45791.584027777775</v>
      </c>
      <c r="B2401" s="382" t="s">
        <v>3655</v>
      </c>
      <c r="C2401" s="377" t="s">
        <v>5326</v>
      </c>
      <c r="D2401" s="6" t="str">
        <f>_xlfn.XLOOKUP(B2401,Indices!$A$2:$A$2676,Indices!$B$2:$B$2676,"")</f>
        <v/>
      </c>
    </row>
    <row r="2402" spans="1:4" x14ac:dyDescent="0.25">
      <c r="A2402" s="379">
        <v>45791.584722222222</v>
      </c>
      <c r="B2402" s="382" t="s">
        <v>1101</v>
      </c>
      <c r="C2402" s="377" t="s">
        <v>5327</v>
      </c>
      <c r="D2402" s="6" t="str">
        <f>_xlfn.XLOOKUP(B2402,Indices!$A$2:$A$2676,Indices!$B$2:$B$2676,"")</f>
        <v>IWM</v>
      </c>
    </row>
    <row r="2403" spans="1:4" x14ac:dyDescent="0.25">
      <c r="A2403" s="379">
        <v>45791.584722222222</v>
      </c>
      <c r="B2403" s="382" t="s">
        <v>3645</v>
      </c>
      <c r="C2403" s="377" t="s">
        <v>5327</v>
      </c>
      <c r="D2403" s="6" t="str">
        <f>_xlfn.XLOOKUP(B2403,Indices!$A$2:$A$2676,Indices!$B$2:$B$2676,"")</f>
        <v/>
      </c>
    </row>
    <row r="2404" spans="1:4" x14ac:dyDescent="0.25">
      <c r="A2404" s="379">
        <v>45791.585416666669</v>
      </c>
      <c r="B2404" s="382" t="s">
        <v>1019</v>
      </c>
      <c r="C2404" s="377" t="s">
        <v>5328</v>
      </c>
      <c r="D2404" s="6" t="str">
        <f>_xlfn.XLOOKUP(B2404,Indices!$A$2:$A$2676,Indices!$B$2:$B$2676,"")</f>
        <v>IWM</v>
      </c>
    </row>
    <row r="2405" spans="1:4" x14ac:dyDescent="0.25">
      <c r="A2405" s="379">
        <v>45791.586805555555</v>
      </c>
      <c r="B2405" s="382" t="s">
        <v>3906</v>
      </c>
      <c r="C2405" s="377" t="s">
        <v>5329</v>
      </c>
      <c r="D2405" s="6" t="str">
        <f>_xlfn.XLOOKUP(B2405,Indices!$A$2:$A$2676,Indices!$B$2:$B$2676,"")</f>
        <v/>
      </c>
    </row>
    <row r="2406" spans="1:4" x14ac:dyDescent="0.25">
      <c r="A2406" s="379">
        <v>45791.586805555555</v>
      </c>
      <c r="B2406" s="382" t="s">
        <v>4017</v>
      </c>
      <c r="C2406" s="377" t="s">
        <v>5329</v>
      </c>
      <c r="D2406" s="6" t="str">
        <f>_xlfn.XLOOKUP(B2406,Indices!$A$2:$A$2676,Indices!$B$2:$B$2676,"")</f>
        <v/>
      </c>
    </row>
    <row r="2407" spans="1:4" x14ac:dyDescent="0.25">
      <c r="A2407" s="379">
        <v>45791.586805555555</v>
      </c>
      <c r="B2407" s="382" t="s">
        <v>1088</v>
      </c>
      <c r="C2407" s="377" t="s">
        <v>5329</v>
      </c>
      <c r="D2407" s="6" t="str">
        <f>_xlfn.XLOOKUP(B2407,Indices!$A$2:$A$2676,Indices!$B$2:$B$2676,"")</f>
        <v>IWM</v>
      </c>
    </row>
    <row r="2408" spans="1:4" x14ac:dyDescent="0.25">
      <c r="A2408" s="379">
        <v>45791.586805555555</v>
      </c>
      <c r="B2408" s="382" t="s">
        <v>3591</v>
      </c>
      <c r="C2408" s="377" t="s">
        <v>5329</v>
      </c>
      <c r="D2408" s="6" t="str">
        <f>_xlfn.XLOOKUP(B2408,Indices!$A$2:$A$2676,Indices!$B$2:$B$2676,"")</f>
        <v/>
      </c>
    </row>
    <row r="2409" spans="1:4" x14ac:dyDescent="0.25">
      <c r="A2409" s="379">
        <v>45791.586805555555</v>
      </c>
      <c r="B2409" s="382" t="s">
        <v>3968</v>
      </c>
      <c r="C2409" s="377" t="s">
        <v>5329</v>
      </c>
      <c r="D2409" s="6" t="str">
        <f>_xlfn.XLOOKUP(B2409,Indices!$A$2:$A$2676,Indices!$B$2:$B$2676,"")</f>
        <v/>
      </c>
    </row>
    <row r="2410" spans="1:4" x14ac:dyDescent="0.25">
      <c r="A2410" s="379">
        <v>45791.586805555555</v>
      </c>
      <c r="B2410" s="382" t="s">
        <v>3325</v>
      </c>
      <c r="C2410" s="377" t="s">
        <v>5329</v>
      </c>
      <c r="D2410" s="6" t="str">
        <f>_xlfn.XLOOKUP(B2410,Indices!$A$2:$A$2676,Indices!$B$2:$B$2676,"")</f>
        <v/>
      </c>
    </row>
    <row r="2411" spans="1:4" x14ac:dyDescent="0.25">
      <c r="A2411" s="379">
        <v>45791.586805555555</v>
      </c>
      <c r="B2411" s="382" t="s">
        <v>3903</v>
      </c>
      <c r="C2411" s="377" t="s">
        <v>5329</v>
      </c>
      <c r="D2411" s="6" t="str">
        <f>_xlfn.XLOOKUP(B2411,Indices!$A$2:$A$2676,Indices!$B$2:$B$2676,"")</f>
        <v/>
      </c>
    </row>
    <row r="2412" spans="1:4" x14ac:dyDescent="0.25">
      <c r="A2412" s="379">
        <v>45791.586805555555</v>
      </c>
      <c r="B2412" s="382" t="s">
        <v>1669</v>
      </c>
      <c r="C2412" s="377" t="s">
        <v>5329</v>
      </c>
      <c r="D2412" s="6" t="str">
        <f>_xlfn.XLOOKUP(B2412,Indices!$A$2:$A$2676,Indices!$B$2:$B$2676,"")</f>
        <v>IWM</v>
      </c>
    </row>
    <row r="2413" spans="1:4" x14ac:dyDescent="0.25">
      <c r="A2413" s="379">
        <v>45791.586805555555</v>
      </c>
      <c r="B2413" s="382" t="s">
        <v>4161</v>
      </c>
      <c r="C2413" s="377" t="s">
        <v>5329</v>
      </c>
      <c r="D2413" s="6" t="str">
        <f>_xlfn.XLOOKUP(B2413,Indices!$A$2:$A$2676,Indices!$B$2:$B$2676,"")</f>
        <v/>
      </c>
    </row>
    <row r="2414" spans="1:4" x14ac:dyDescent="0.25">
      <c r="A2414" s="379">
        <v>45791.586805555555</v>
      </c>
      <c r="B2414" s="382" t="s">
        <v>1815</v>
      </c>
      <c r="C2414" s="377" t="s">
        <v>5329</v>
      </c>
      <c r="D2414" s="6" t="str">
        <f>_xlfn.XLOOKUP(B2414,Indices!$A$2:$A$2676,Indices!$B$2:$B$2676,"")</f>
        <v>IWM</v>
      </c>
    </row>
    <row r="2415" spans="1:4" x14ac:dyDescent="0.25">
      <c r="A2415" s="379">
        <v>45791.586805555555</v>
      </c>
      <c r="B2415" s="382" t="s">
        <v>3191</v>
      </c>
      <c r="C2415" s="377" t="s">
        <v>5329</v>
      </c>
      <c r="D2415" s="6" t="str">
        <f>_xlfn.XLOOKUP(B2415,Indices!$A$2:$A$2676,Indices!$B$2:$B$2676,"")</f>
        <v/>
      </c>
    </row>
    <row r="2416" spans="1:4" x14ac:dyDescent="0.25">
      <c r="A2416" s="379">
        <v>45791.586805555555</v>
      </c>
      <c r="B2416" s="382" t="s">
        <v>3533</v>
      </c>
      <c r="C2416" s="377" t="s">
        <v>5329</v>
      </c>
      <c r="D2416" s="6" t="str">
        <f>_xlfn.XLOOKUP(B2416,Indices!$A$2:$A$2676,Indices!$B$2:$B$2676,"")</f>
        <v/>
      </c>
    </row>
    <row r="2417" spans="1:4" x14ac:dyDescent="0.25">
      <c r="A2417" s="379">
        <v>45791.586805555555</v>
      </c>
      <c r="B2417" s="382" t="s">
        <v>1030</v>
      </c>
      <c r="C2417" s="377" t="s">
        <v>5329</v>
      </c>
      <c r="D2417" s="6" t="str">
        <f>_xlfn.XLOOKUP(B2417,Indices!$A$2:$A$2676,Indices!$B$2:$B$2676,"")</f>
        <v>IWM</v>
      </c>
    </row>
    <row r="2418" spans="1:4" x14ac:dyDescent="0.25">
      <c r="A2418" s="379">
        <v>45791.586805555555</v>
      </c>
      <c r="B2418" s="382" t="s">
        <v>4153</v>
      </c>
      <c r="C2418" s="377" t="s">
        <v>5329</v>
      </c>
      <c r="D2418" s="6" t="str">
        <f>_xlfn.XLOOKUP(B2418,Indices!$A$2:$A$2676,Indices!$B$2:$B$2676,"")</f>
        <v/>
      </c>
    </row>
    <row r="2419" spans="1:4" x14ac:dyDescent="0.25">
      <c r="A2419" s="379">
        <v>45791.586805555555</v>
      </c>
      <c r="B2419" s="382" t="s">
        <v>3891</v>
      </c>
      <c r="C2419" s="377" t="s">
        <v>5329</v>
      </c>
      <c r="D2419" s="6" t="str">
        <f>_xlfn.XLOOKUP(B2419,Indices!$A$2:$A$2676,Indices!$B$2:$B$2676,"")</f>
        <v/>
      </c>
    </row>
    <row r="2420" spans="1:4" x14ac:dyDescent="0.25">
      <c r="A2420" s="379">
        <v>45791.586805555555</v>
      </c>
      <c r="B2420" s="382" t="s">
        <v>4142</v>
      </c>
      <c r="C2420" s="377" t="s">
        <v>5329</v>
      </c>
      <c r="D2420" s="6" t="str">
        <f>_xlfn.XLOOKUP(B2420,Indices!$A$2:$A$2676,Indices!$B$2:$B$2676,"")</f>
        <v/>
      </c>
    </row>
    <row r="2421" spans="1:4" x14ac:dyDescent="0.25">
      <c r="A2421" s="379">
        <v>45791.586805555555</v>
      </c>
      <c r="B2421" s="382" t="s">
        <v>2262</v>
      </c>
      <c r="C2421" s="377" t="s">
        <v>5329</v>
      </c>
      <c r="D2421" s="6" t="str">
        <f>_xlfn.XLOOKUP(B2421,Indices!$A$2:$A$2676,Indices!$B$2:$B$2676,"")</f>
        <v>IWM</v>
      </c>
    </row>
    <row r="2422" spans="1:4" x14ac:dyDescent="0.25">
      <c r="A2422" s="379">
        <v>45791.586805555555</v>
      </c>
      <c r="B2422" s="382" t="s">
        <v>3324</v>
      </c>
      <c r="C2422" s="377" t="s">
        <v>5329</v>
      </c>
      <c r="D2422" s="6" t="str">
        <f>_xlfn.XLOOKUP(B2422,Indices!$A$2:$A$2676,Indices!$B$2:$B$2676,"")</f>
        <v/>
      </c>
    </row>
    <row r="2423" spans="1:4" x14ac:dyDescent="0.25">
      <c r="A2423" s="379">
        <v>45791.586805555555</v>
      </c>
      <c r="B2423" s="382" t="s">
        <v>4013</v>
      </c>
      <c r="C2423" s="377" t="s">
        <v>5329</v>
      </c>
      <c r="D2423" s="6" t="str">
        <f>_xlfn.XLOOKUP(B2423,Indices!$A$2:$A$2676,Indices!$B$2:$B$2676,"")</f>
        <v/>
      </c>
    </row>
    <row r="2424" spans="1:4" x14ac:dyDescent="0.25">
      <c r="A2424" s="379">
        <v>45791.586805555555</v>
      </c>
      <c r="B2424" s="382" t="s">
        <v>1032</v>
      </c>
      <c r="C2424" s="377" t="s">
        <v>5329</v>
      </c>
      <c r="D2424" s="6" t="str">
        <f>_xlfn.XLOOKUP(B2424,Indices!$A$2:$A$2676,Indices!$B$2:$B$2676,"")</f>
        <v>SP500</v>
      </c>
    </row>
    <row r="2425" spans="1:4" x14ac:dyDescent="0.25">
      <c r="A2425" s="379">
        <v>45791.586805555555</v>
      </c>
      <c r="B2425" s="382" t="s">
        <v>3998</v>
      </c>
      <c r="C2425" s="377" t="s">
        <v>5329</v>
      </c>
      <c r="D2425" s="6" t="str">
        <f>_xlfn.XLOOKUP(B2425,Indices!$A$2:$A$2676,Indices!$B$2:$B$2676,"")</f>
        <v/>
      </c>
    </row>
    <row r="2426" spans="1:4" x14ac:dyDescent="0.25">
      <c r="A2426" s="379">
        <v>45791.586805555555</v>
      </c>
      <c r="B2426" s="382" t="s">
        <v>2907</v>
      </c>
      <c r="C2426" s="377" t="s">
        <v>5329</v>
      </c>
      <c r="D2426" s="6" t="str">
        <f>_xlfn.XLOOKUP(B2426,Indices!$A$2:$A$2676,Indices!$B$2:$B$2676,"")</f>
        <v/>
      </c>
    </row>
    <row r="2427" spans="1:4" x14ac:dyDescent="0.25">
      <c r="A2427" s="379">
        <v>45791.586805555555</v>
      </c>
      <c r="B2427" s="382" t="s">
        <v>4137</v>
      </c>
      <c r="C2427" s="377" t="s">
        <v>5329</v>
      </c>
      <c r="D2427" s="6" t="str">
        <f>_xlfn.XLOOKUP(B2427,Indices!$A$2:$A$2676,Indices!$B$2:$B$2676,"")</f>
        <v/>
      </c>
    </row>
    <row r="2428" spans="1:4" x14ac:dyDescent="0.25">
      <c r="A2428" s="379">
        <v>45791.586805555555</v>
      </c>
      <c r="B2428" s="382" t="s">
        <v>3320</v>
      </c>
      <c r="C2428" s="377" t="s">
        <v>5329</v>
      </c>
      <c r="D2428" s="6" t="str">
        <f>_xlfn.XLOOKUP(B2428,Indices!$A$2:$A$2676,Indices!$B$2:$B$2676,"")</f>
        <v/>
      </c>
    </row>
    <row r="2429" spans="1:4" x14ac:dyDescent="0.25">
      <c r="A2429" s="379">
        <v>45791.586805555555</v>
      </c>
      <c r="B2429" s="382" t="s">
        <v>4182</v>
      </c>
      <c r="C2429" s="377" t="s">
        <v>5329</v>
      </c>
      <c r="D2429" s="6" t="str">
        <f>_xlfn.XLOOKUP(B2429,Indices!$A$2:$A$2676,Indices!$B$2:$B$2676,"")</f>
        <v/>
      </c>
    </row>
    <row r="2430" spans="1:4" x14ac:dyDescent="0.25">
      <c r="A2430" s="379">
        <v>45791.586805555555</v>
      </c>
      <c r="B2430" s="382" t="s">
        <v>4549</v>
      </c>
      <c r="C2430" s="377" t="s">
        <v>5329</v>
      </c>
      <c r="D2430" s="6" t="str">
        <f>_xlfn.XLOOKUP(B2430,Indices!$A$2:$A$2676,Indices!$B$2:$B$2676,"")</f>
        <v/>
      </c>
    </row>
    <row r="2431" spans="1:4" x14ac:dyDescent="0.25">
      <c r="A2431" s="379">
        <v>45791.586805555555</v>
      </c>
      <c r="B2431" s="382" t="s">
        <v>3404</v>
      </c>
      <c r="C2431" s="377" t="s">
        <v>5329</v>
      </c>
      <c r="D2431" s="6" t="str">
        <f>_xlfn.XLOOKUP(B2431,Indices!$A$2:$A$2676,Indices!$B$2:$B$2676,"")</f>
        <v/>
      </c>
    </row>
    <row r="2432" spans="1:4" x14ac:dyDescent="0.25">
      <c r="A2432" s="379">
        <v>45791.586805555555</v>
      </c>
      <c r="B2432" s="382" t="s">
        <v>2866</v>
      </c>
      <c r="C2432" s="377" t="s">
        <v>5330</v>
      </c>
      <c r="D2432" s="6" t="str">
        <f>_xlfn.XLOOKUP(B2432,Indices!$A$2:$A$2676,Indices!$B$2:$B$2676,"")</f>
        <v/>
      </c>
    </row>
    <row r="2433" spans="1:4" x14ac:dyDescent="0.25">
      <c r="A2433" s="379">
        <v>45791.586805555555</v>
      </c>
      <c r="B2433" s="382" t="s">
        <v>4189</v>
      </c>
      <c r="C2433" s="377" t="s">
        <v>5329</v>
      </c>
      <c r="D2433" s="6" t="str">
        <f>_xlfn.XLOOKUP(B2433,Indices!$A$2:$A$2676,Indices!$B$2:$B$2676,"")</f>
        <v/>
      </c>
    </row>
    <row r="2434" spans="1:4" x14ac:dyDescent="0.25">
      <c r="A2434" s="379">
        <v>45791.586805555555</v>
      </c>
      <c r="B2434" s="382" t="s">
        <v>4027</v>
      </c>
      <c r="C2434" s="377" t="s">
        <v>5329</v>
      </c>
      <c r="D2434" s="6" t="str">
        <f>_xlfn.XLOOKUP(B2434,Indices!$A$2:$A$2676,Indices!$B$2:$B$2676,"")</f>
        <v/>
      </c>
    </row>
    <row r="2435" spans="1:4" x14ac:dyDescent="0.25">
      <c r="A2435" s="379">
        <v>45791.586805555555</v>
      </c>
      <c r="B2435" s="382" t="s">
        <v>3877</v>
      </c>
      <c r="C2435" s="377" t="s">
        <v>5329</v>
      </c>
      <c r="D2435" s="6" t="str">
        <f>_xlfn.XLOOKUP(B2435,Indices!$A$2:$A$2676,Indices!$B$2:$B$2676,"")</f>
        <v/>
      </c>
    </row>
    <row r="2436" spans="1:4" x14ac:dyDescent="0.25">
      <c r="A2436" s="379">
        <v>45791.586805555555</v>
      </c>
      <c r="B2436" s="382" t="s">
        <v>3757</v>
      </c>
      <c r="C2436" s="377" t="s">
        <v>5329</v>
      </c>
      <c r="D2436" s="6" t="str">
        <f>_xlfn.XLOOKUP(B2436,Indices!$A$2:$A$2676,Indices!$B$2:$B$2676,"")</f>
        <v/>
      </c>
    </row>
    <row r="2437" spans="1:4" x14ac:dyDescent="0.25">
      <c r="A2437" s="379">
        <v>45791.586805555555</v>
      </c>
      <c r="B2437" s="382" t="s">
        <v>3383</v>
      </c>
      <c r="C2437" s="377" t="s">
        <v>5329</v>
      </c>
      <c r="D2437" s="6" t="str">
        <f>_xlfn.XLOOKUP(B2437,Indices!$A$2:$A$2676,Indices!$B$2:$B$2676,"")</f>
        <v/>
      </c>
    </row>
    <row r="2438" spans="1:4" x14ac:dyDescent="0.25">
      <c r="A2438" s="379">
        <v>45791.586805555555</v>
      </c>
      <c r="B2438" s="382" t="s">
        <v>3875</v>
      </c>
      <c r="C2438" s="377" t="s">
        <v>5329</v>
      </c>
      <c r="D2438" s="6" t="str">
        <f>_xlfn.XLOOKUP(B2438,Indices!$A$2:$A$2676,Indices!$B$2:$B$2676,"")</f>
        <v/>
      </c>
    </row>
    <row r="2439" spans="1:4" x14ac:dyDescent="0.25">
      <c r="A2439" s="379">
        <v>45791.586805555555</v>
      </c>
      <c r="B2439" s="382" t="s">
        <v>4548</v>
      </c>
      <c r="C2439" s="377" t="s">
        <v>5329</v>
      </c>
      <c r="D2439" s="6" t="str">
        <f>_xlfn.XLOOKUP(B2439,Indices!$A$2:$A$2676,Indices!$B$2:$B$2676,"")</f>
        <v/>
      </c>
    </row>
    <row r="2440" spans="1:4" x14ac:dyDescent="0.25">
      <c r="A2440" s="379">
        <v>45791.586805555555</v>
      </c>
      <c r="B2440" s="382" t="s">
        <v>4200</v>
      </c>
      <c r="C2440" s="377" t="s">
        <v>5329</v>
      </c>
      <c r="D2440" s="6" t="str">
        <f>_xlfn.XLOOKUP(B2440,Indices!$A$2:$A$2676,Indices!$B$2:$B$2676,"")</f>
        <v/>
      </c>
    </row>
    <row r="2441" spans="1:4" x14ac:dyDescent="0.25">
      <c r="A2441" s="379">
        <v>45791.586805555555</v>
      </c>
      <c r="B2441" s="382" t="s">
        <v>3087</v>
      </c>
      <c r="C2441" s="377" t="s">
        <v>5329</v>
      </c>
      <c r="D2441" s="6" t="str">
        <f>_xlfn.XLOOKUP(B2441,Indices!$A$2:$A$2676,Indices!$B$2:$B$2676,"")</f>
        <v/>
      </c>
    </row>
    <row r="2442" spans="1:4" x14ac:dyDescent="0.25">
      <c r="A2442" s="379">
        <v>45791.586805555555</v>
      </c>
      <c r="B2442" s="382" t="s">
        <v>4297</v>
      </c>
      <c r="C2442" s="377" t="s">
        <v>5329</v>
      </c>
      <c r="D2442" s="6" t="str">
        <f>_xlfn.XLOOKUP(B2442,Indices!$A$2:$A$2676,Indices!$B$2:$B$2676,"")</f>
        <v/>
      </c>
    </row>
    <row r="2443" spans="1:4" x14ac:dyDescent="0.25">
      <c r="A2443" s="379">
        <v>45791.586805555555</v>
      </c>
      <c r="B2443" s="382" t="s">
        <v>4547</v>
      </c>
      <c r="C2443" s="377" t="s">
        <v>5329</v>
      </c>
      <c r="D2443" s="6" t="str">
        <f>_xlfn.XLOOKUP(B2443,Indices!$A$2:$A$2676,Indices!$B$2:$B$2676,"")</f>
        <v/>
      </c>
    </row>
    <row r="2444" spans="1:4" x14ac:dyDescent="0.25">
      <c r="A2444" s="379">
        <v>45791.586805555555</v>
      </c>
      <c r="B2444" s="382" t="s">
        <v>4194</v>
      </c>
      <c r="C2444" s="377" t="s">
        <v>5329</v>
      </c>
      <c r="D2444" s="6" t="str">
        <f>_xlfn.XLOOKUP(B2444,Indices!$A$2:$A$2676,Indices!$B$2:$B$2676,"")</f>
        <v/>
      </c>
    </row>
    <row r="2445" spans="1:4" x14ac:dyDescent="0.25">
      <c r="A2445" s="379">
        <v>45791.587500000001</v>
      </c>
      <c r="B2445" s="382" t="s">
        <v>3852</v>
      </c>
      <c r="C2445" s="377" t="s">
        <v>5331</v>
      </c>
      <c r="D2445" s="6" t="str">
        <f>_xlfn.XLOOKUP(B2445,Indices!$A$2:$A$2676,Indices!$B$2:$B$2676,"")</f>
        <v/>
      </c>
    </row>
    <row r="2446" spans="1:4" x14ac:dyDescent="0.25">
      <c r="A2446" s="379">
        <v>45791.587500000001</v>
      </c>
      <c r="B2446" s="382" t="s">
        <v>3311</v>
      </c>
      <c r="C2446" s="377" t="s">
        <v>5331</v>
      </c>
      <c r="D2446" s="6" t="str">
        <f>_xlfn.XLOOKUP(B2446,Indices!$A$2:$A$2676,Indices!$B$2:$B$2676,"")</f>
        <v/>
      </c>
    </row>
    <row r="2447" spans="1:4" x14ac:dyDescent="0.25">
      <c r="A2447" s="379">
        <v>45791.588194444441</v>
      </c>
      <c r="B2447" s="382" t="s">
        <v>4002</v>
      </c>
      <c r="C2447" s="377" t="s">
        <v>5332</v>
      </c>
      <c r="D2447" s="6" t="str">
        <f>_xlfn.XLOOKUP(B2447,Indices!$A$2:$A$2676,Indices!$B$2:$B$2676,"")</f>
        <v/>
      </c>
    </row>
    <row r="2448" spans="1:4" x14ac:dyDescent="0.25">
      <c r="A2448" s="379">
        <v>45791.588194444441</v>
      </c>
      <c r="B2448" s="382" t="s">
        <v>3581</v>
      </c>
      <c r="C2448" s="377" t="s">
        <v>5332</v>
      </c>
      <c r="D2448" s="6" t="str">
        <f>_xlfn.XLOOKUP(B2448,Indices!$A$2:$A$2676,Indices!$B$2:$B$2676,"")</f>
        <v/>
      </c>
    </row>
    <row r="2449" spans="1:4" x14ac:dyDescent="0.25">
      <c r="A2449" s="379">
        <v>45791.588888888888</v>
      </c>
      <c r="B2449" s="382" t="s">
        <v>4007</v>
      </c>
      <c r="C2449" s="377" t="s">
        <v>5333</v>
      </c>
      <c r="D2449" s="6" t="str">
        <f>_xlfn.XLOOKUP(B2449,Indices!$A$2:$A$2676,Indices!$B$2:$B$2676,"")</f>
        <v/>
      </c>
    </row>
    <row r="2450" spans="1:4" x14ac:dyDescent="0.25">
      <c r="A2450" s="379">
        <v>45791.589583333334</v>
      </c>
      <c r="B2450" s="382" t="s">
        <v>3779</v>
      </c>
      <c r="C2450" s="377" t="s">
        <v>5334</v>
      </c>
      <c r="D2450" s="6" t="str">
        <f>_xlfn.XLOOKUP(B2450,Indices!$A$2:$A$2676,Indices!$B$2:$B$2676,"")</f>
        <v/>
      </c>
    </row>
    <row r="2451" spans="1:4" x14ac:dyDescent="0.25">
      <c r="A2451" s="379">
        <v>45791.589583333334</v>
      </c>
      <c r="B2451" s="382" t="s">
        <v>4506</v>
      </c>
      <c r="C2451" s="377" t="s">
        <v>5334</v>
      </c>
      <c r="D2451" s="6" t="str">
        <f>_xlfn.XLOOKUP(B2451,Indices!$A$2:$A$2676,Indices!$B$2:$B$2676,"")</f>
        <v/>
      </c>
    </row>
    <row r="2452" spans="1:4" x14ac:dyDescent="0.25">
      <c r="A2452" s="379">
        <v>45791.590277777781</v>
      </c>
      <c r="B2452" s="382" t="s">
        <v>4181</v>
      </c>
      <c r="C2452" s="377" t="s">
        <v>5335</v>
      </c>
      <c r="D2452" s="6" t="str">
        <f>_xlfn.XLOOKUP(B2452,Indices!$A$2:$A$2676,Indices!$B$2:$B$2676,"")</f>
        <v/>
      </c>
    </row>
    <row r="2453" spans="1:4" x14ac:dyDescent="0.25">
      <c r="A2453" s="379">
        <v>45791.590277777781</v>
      </c>
      <c r="B2453" s="382" t="s">
        <v>3843</v>
      </c>
      <c r="C2453" s="377" t="s">
        <v>5335</v>
      </c>
      <c r="D2453" s="6" t="str">
        <f>_xlfn.XLOOKUP(B2453,Indices!$A$2:$A$2676,Indices!$B$2:$B$2676,"")</f>
        <v/>
      </c>
    </row>
    <row r="2454" spans="1:4" x14ac:dyDescent="0.25">
      <c r="A2454" s="379">
        <v>45791.590277777781</v>
      </c>
      <c r="B2454" s="382" t="s">
        <v>1716</v>
      </c>
      <c r="C2454" s="377" t="s">
        <v>5335</v>
      </c>
      <c r="D2454" s="6" t="str">
        <f>_xlfn.XLOOKUP(B2454,Indices!$A$2:$A$2676,Indices!$B$2:$B$2676,"")</f>
        <v>IWM</v>
      </c>
    </row>
    <row r="2455" spans="1:4" x14ac:dyDescent="0.25">
      <c r="A2455" s="379">
        <v>45791.590277777781</v>
      </c>
      <c r="B2455" s="382" t="s">
        <v>4031</v>
      </c>
      <c r="C2455" s="377" t="s">
        <v>5335</v>
      </c>
      <c r="D2455" s="6" t="str">
        <f>_xlfn.XLOOKUP(B2455,Indices!$A$2:$A$2676,Indices!$B$2:$B$2676,"")</f>
        <v/>
      </c>
    </row>
    <row r="2456" spans="1:4" x14ac:dyDescent="0.25">
      <c r="A2456" s="379">
        <v>45791.590277777781</v>
      </c>
      <c r="B2456" s="382" t="s">
        <v>3554</v>
      </c>
      <c r="C2456" s="377" t="s">
        <v>5335</v>
      </c>
      <c r="D2456" s="6" t="str">
        <f>_xlfn.XLOOKUP(B2456,Indices!$A$2:$A$2676,Indices!$B$2:$B$2676,"")</f>
        <v/>
      </c>
    </row>
    <row r="2457" spans="1:4" x14ac:dyDescent="0.25">
      <c r="A2457" s="379">
        <v>45791.590277777781</v>
      </c>
      <c r="B2457" s="382" t="s">
        <v>3301</v>
      </c>
      <c r="C2457" s="377" t="s">
        <v>5335</v>
      </c>
      <c r="D2457" s="6" t="str">
        <f>_xlfn.XLOOKUP(B2457,Indices!$A$2:$A$2676,Indices!$B$2:$B$2676,"")</f>
        <v/>
      </c>
    </row>
    <row r="2458" spans="1:4" x14ac:dyDescent="0.25">
      <c r="A2458" s="379">
        <v>45791.59097222222</v>
      </c>
      <c r="B2458" s="382" t="s">
        <v>3854</v>
      </c>
      <c r="C2458" s="377" t="s">
        <v>5336</v>
      </c>
      <c r="D2458" s="6" t="str">
        <f>_xlfn.XLOOKUP(B2458,Indices!$A$2:$A$2676,Indices!$B$2:$B$2676,"")</f>
        <v/>
      </c>
    </row>
    <row r="2459" spans="1:4" x14ac:dyDescent="0.25">
      <c r="A2459" s="379">
        <v>45791.591666666667</v>
      </c>
      <c r="B2459" s="382" t="s">
        <v>996</v>
      </c>
      <c r="C2459" s="377" t="s">
        <v>5337</v>
      </c>
      <c r="D2459" s="6" t="str">
        <f>_xlfn.XLOOKUP(B2459,Indices!$A$2:$A$2676,Indices!$B$2:$B$2676,"")</f>
        <v>IWM</v>
      </c>
    </row>
    <row r="2460" spans="1:4" x14ac:dyDescent="0.25">
      <c r="A2460" s="379">
        <v>45791.593055555553</v>
      </c>
      <c r="B2460" s="382" t="s">
        <v>3928</v>
      </c>
      <c r="C2460" s="377" t="s">
        <v>5338</v>
      </c>
      <c r="D2460" s="6" t="str">
        <f>_xlfn.XLOOKUP(B2460,Indices!$A$2:$A$2676,Indices!$B$2:$B$2676,"")</f>
        <v/>
      </c>
    </row>
    <row r="2461" spans="1:4" x14ac:dyDescent="0.25">
      <c r="A2461" s="379">
        <v>45791.593055555553</v>
      </c>
      <c r="B2461" s="382" t="s">
        <v>4188</v>
      </c>
      <c r="C2461" s="377" t="s">
        <v>5338</v>
      </c>
      <c r="D2461" s="6" t="str">
        <f>_xlfn.XLOOKUP(B2461,Indices!$A$2:$A$2676,Indices!$B$2:$B$2676,"")</f>
        <v/>
      </c>
    </row>
    <row r="2462" spans="1:4" x14ac:dyDescent="0.25">
      <c r="A2462" s="379">
        <v>45791.59375</v>
      </c>
      <c r="B2462" s="382" t="s">
        <v>1052</v>
      </c>
      <c r="C2462" s="377" t="s">
        <v>5339</v>
      </c>
      <c r="D2462" s="6" t="str">
        <f>_xlfn.XLOOKUP(B2462,Indices!$A$2:$A$2676,Indices!$B$2:$B$2676,"")</f>
        <v>IWM</v>
      </c>
    </row>
    <row r="2463" spans="1:4" x14ac:dyDescent="0.25">
      <c r="A2463" s="379">
        <v>45791.59375</v>
      </c>
      <c r="B2463" s="382" t="s">
        <v>4147</v>
      </c>
      <c r="C2463" s="377" t="s">
        <v>5339</v>
      </c>
      <c r="D2463" s="6" t="str">
        <f>_xlfn.XLOOKUP(B2463,Indices!$A$2:$A$2676,Indices!$B$2:$B$2676,"")</f>
        <v/>
      </c>
    </row>
    <row r="2464" spans="1:4" x14ac:dyDescent="0.25">
      <c r="A2464" s="379">
        <v>45791.59375</v>
      </c>
      <c r="B2464" s="382" t="s">
        <v>4133</v>
      </c>
      <c r="C2464" s="377" t="s">
        <v>5339</v>
      </c>
      <c r="D2464" s="6" t="str">
        <f>_xlfn.XLOOKUP(B2464,Indices!$A$2:$A$2676,Indices!$B$2:$B$2676,"")</f>
        <v/>
      </c>
    </row>
    <row r="2465" spans="1:4" x14ac:dyDescent="0.25">
      <c r="A2465" s="379">
        <v>45791.59375</v>
      </c>
      <c r="B2465" s="382" t="s">
        <v>993</v>
      </c>
      <c r="C2465" s="377" t="s">
        <v>5339</v>
      </c>
      <c r="D2465" s="6" t="str">
        <f>_xlfn.XLOOKUP(B2465,Indices!$A$2:$A$2676,Indices!$B$2:$B$2676,"")</f>
        <v>IWM</v>
      </c>
    </row>
    <row r="2466" spans="1:4" x14ac:dyDescent="0.25">
      <c r="A2466" s="379">
        <v>45791.597222222219</v>
      </c>
      <c r="B2466" s="382" t="s">
        <v>2845</v>
      </c>
      <c r="C2466" s="377" t="s">
        <v>5340</v>
      </c>
      <c r="D2466" s="6" t="str">
        <f>_xlfn.XLOOKUP(B2466,Indices!$A$2:$A$2676,Indices!$B$2:$B$2676,"")</f>
        <v/>
      </c>
    </row>
    <row r="2467" spans="1:4" x14ac:dyDescent="0.25">
      <c r="A2467" s="379">
        <v>45791.6</v>
      </c>
      <c r="B2467" s="382" t="s">
        <v>4163</v>
      </c>
      <c r="C2467" s="377" t="s">
        <v>5341</v>
      </c>
      <c r="D2467" s="6" t="str">
        <f>_xlfn.XLOOKUP(B2467,Indices!$A$2:$A$2676,Indices!$B$2:$B$2676,"")</f>
        <v/>
      </c>
    </row>
    <row r="2468" spans="1:4" x14ac:dyDescent="0.25">
      <c r="A2468" s="379">
        <v>45791.603472222225</v>
      </c>
      <c r="B2468" s="382" t="s">
        <v>2858</v>
      </c>
      <c r="C2468" s="377" t="s">
        <v>5342</v>
      </c>
      <c r="D2468" s="6" t="str">
        <f>_xlfn.XLOOKUP(B2468,Indices!$A$2:$A$2676,Indices!$B$2:$B$2676,"")</f>
        <v/>
      </c>
    </row>
    <row r="2469" spans="1:4" x14ac:dyDescent="0.25">
      <c r="A2469" s="379">
        <v>45791.604166666664</v>
      </c>
      <c r="B2469" s="382" t="s">
        <v>3900</v>
      </c>
      <c r="C2469" s="377" t="s">
        <v>5343</v>
      </c>
      <c r="D2469" s="6" t="str">
        <f>_xlfn.XLOOKUP(B2469,Indices!$A$2:$A$2676,Indices!$B$2:$B$2676,"")</f>
        <v/>
      </c>
    </row>
    <row r="2470" spans="1:4" x14ac:dyDescent="0.25">
      <c r="A2470" s="379">
        <v>45791.604166666664</v>
      </c>
      <c r="B2470" s="382" t="s">
        <v>4398</v>
      </c>
      <c r="C2470" s="377" t="s">
        <v>5343</v>
      </c>
      <c r="D2470" s="6" t="str">
        <f>_xlfn.XLOOKUP(B2470,Indices!$A$2:$A$2676,Indices!$B$2:$B$2676,"")</f>
        <v/>
      </c>
    </row>
    <row r="2471" spans="1:4" x14ac:dyDescent="0.25">
      <c r="A2471" s="379">
        <v>45791.604166666664</v>
      </c>
      <c r="B2471" s="382" t="s">
        <v>4139</v>
      </c>
      <c r="C2471" s="377" t="s">
        <v>5343</v>
      </c>
      <c r="D2471" s="6" t="str">
        <f>_xlfn.XLOOKUP(B2471,Indices!$A$2:$A$2676,Indices!$B$2:$B$2676,"")</f>
        <v/>
      </c>
    </row>
    <row r="2472" spans="1:4" x14ac:dyDescent="0.25">
      <c r="A2472" s="379">
        <v>45791.604166666664</v>
      </c>
      <c r="B2472" s="382" t="s">
        <v>4128</v>
      </c>
      <c r="C2472" s="377" t="s">
        <v>5343</v>
      </c>
      <c r="D2472" s="6" t="str">
        <f>_xlfn.XLOOKUP(B2472,Indices!$A$2:$A$2676,Indices!$B$2:$B$2676,"")</f>
        <v/>
      </c>
    </row>
    <row r="2473" spans="1:4" x14ac:dyDescent="0.25">
      <c r="A2473" s="379">
        <v>45791.604166666664</v>
      </c>
      <c r="B2473" s="382" t="s">
        <v>3910</v>
      </c>
      <c r="C2473" s="377" t="s">
        <v>5343</v>
      </c>
      <c r="D2473" s="6" t="str">
        <f>_xlfn.XLOOKUP(B2473,Indices!$A$2:$A$2676,Indices!$B$2:$B$2676,"")</f>
        <v/>
      </c>
    </row>
    <row r="2474" spans="1:4" x14ac:dyDescent="0.25">
      <c r="A2474" s="379">
        <v>45791.604166666664</v>
      </c>
      <c r="B2474" s="382" t="s">
        <v>3986</v>
      </c>
      <c r="C2474" s="377" t="s">
        <v>5343</v>
      </c>
      <c r="D2474" s="6" t="str">
        <f>_xlfn.XLOOKUP(B2474,Indices!$A$2:$A$2676,Indices!$B$2:$B$2676,"")</f>
        <v/>
      </c>
    </row>
    <row r="2475" spans="1:4" x14ac:dyDescent="0.25">
      <c r="A2475" s="379">
        <v>45791.604166666664</v>
      </c>
      <c r="B2475" s="382" t="s">
        <v>482</v>
      </c>
      <c r="C2475" s="377" t="s">
        <v>5343</v>
      </c>
      <c r="D2475" s="6" t="str">
        <f>_xlfn.XLOOKUP(B2475,Indices!$A$2:$A$2676,Indices!$B$2:$B$2676,"")</f>
        <v>SP500</v>
      </c>
    </row>
    <row r="2476" spans="1:4" x14ac:dyDescent="0.25">
      <c r="A2476" s="379">
        <v>45791.606249999997</v>
      </c>
      <c r="B2476" s="382" t="s">
        <v>4184</v>
      </c>
      <c r="C2476" s="377" t="s">
        <v>5344</v>
      </c>
      <c r="D2476" s="6" t="str">
        <f>_xlfn.XLOOKUP(B2476,Indices!$A$2:$A$2676,Indices!$B$2:$B$2676,"")</f>
        <v/>
      </c>
    </row>
    <row r="2477" spans="1:4" x14ac:dyDescent="0.25">
      <c r="A2477" s="379">
        <v>45791.611805555556</v>
      </c>
      <c r="B2477" s="382" t="s">
        <v>4024</v>
      </c>
      <c r="C2477" s="377" t="s">
        <v>5345</v>
      </c>
      <c r="D2477" s="6" t="str">
        <f>_xlfn.XLOOKUP(B2477,Indices!$A$2:$A$2676,Indices!$B$2:$B$2676,"")</f>
        <v/>
      </c>
    </row>
    <row r="2478" spans="1:4" x14ac:dyDescent="0.25">
      <c r="A2478" s="379">
        <v>45791.613194444442</v>
      </c>
      <c r="B2478" s="382" t="s">
        <v>4083</v>
      </c>
      <c r="C2478" s="377" t="s">
        <v>5346</v>
      </c>
      <c r="D2478" s="6" t="str">
        <f>_xlfn.XLOOKUP(B2478,Indices!$A$2:$A$2676,Indices!$B$2:$B$2676,"")</f>
        <v/>
      </c>
    </row>
    <row r="2479" spans="1:4" x14ac:dyDescent="0.25">
      <c r="A2479" s="379">
        <v>45791.614583333336</v>
      </c>
      <c r="B2479" s="382" t="s">
        <v>3309</v>
      </c>
      <c r="C2479" s="377" t="s">
        <v>5347</v>
      </c>
      <c r="D2479" s="6" t="str">
        <f>_xlfn.XLOOKUP(B2479,Indices!$A$2:$A$2676,Indices!$B$2:$B$2676,"")</f>
        <v/>
      </c>
    </row>
    <row r="2480" spans="1:4" x14ac:dyDescent="0.25">
      <c r="A2480" s="379">
        <v>45791.614583333336</v>
      </c>
      <c r="B2480" s="382" t="s">
        <v>3920</v>
      </c>
      <c r="C2480" s="377" t="s">
        <v>5347</v>
      </c>
      <c r="D2480" s="6" t="str">
        <f>_xlfn.XLOOKUP(B2480,Indices!$A$2:$A$2676,Indices!$B$2:$B$2676,"")</f>
        <v/>
      </c>
    </row>
    <row r="2481" spans="1:4" x14ac:dyDescent="0.25">
      <c r="A2481" s="379">
        <v>45791.618750000001</v>
      </c>
      <c r="B2481" s="382" t="s">
        <v>1071</v>
      </c>
      <c r="C2481" s="377" t="s">
        <v>5348</v>
      </c>
      <c r="D2481" s="6" t="str">
        <f>_xlfn.XLOOKUP(B2481,Indices!$A$2:$A$2676,Indices!$B$2:$B$2676,"")</f>
        <v>IWM</v>
      </c>
    </row>
    <row r="2482" spans="1:4" x14ac:dyDescent="0.25">
      <c r="A2482" s="379">
        <v>45791.625</v>
      </c>
      <c r="B2482" s="382" t="s">
        <v>4028</v>
      </c>
      <c r="C2482" s="377" t="s">
        <v>3994</v>
      </c>
      <c r="D2482" s="6" t="str">
        <f>_xlfn.XLOOKUP(B2482,Indices!$A$2:$A$2676,Indices!$B$2:$B$2676,"")</f>
        <v/>
      </c>
    </row>
    <row r="2483" spans="1:4" x14ac:dyDescent="0.25">
      <c r="A2483" s="379">
        <v>45791.625</v>
      </c>
      <c r="B2483" s="382" t="s">
        <v>4032</v>
      </c>
      <c r="C2483" s="377" t="s">
        <v>3994</v>
      </c>
      <c r="D2483" s="6" t="str">
        <f>_xlfn.XLOOKUP(B2483,Indices!$A$2:$A$2676,Indices!$B$2:$B$2676,"")</f>
        <v/>
      </c>
    </row>
    <row r="2484" spans="1:4" x14ac:dyDescent="0.25">
      <c r="A2484" s="379">
        <v>45791.625</v>
      </c>
      <c r="B2484" s="382" t="s">
        <v>3914</v>
      </c>
      <c r="C2484" s="377" t="s">
        <v>5349</v>
      </c>
      <c r="D2484" s="6" t="str">
        <f>_xlfn.XLOOKUP(B2484,Indices!$A$2:$A$2676,Indices!$B$2:$B$2676,"")</f>
        <v/>
      </c>
    </row>
    <row r="2485" spans="1:4" x14ac:dyDescent="0.25">
      <c r="A2485" s="379">
        <v>45791.626388888886</v>
      </c>
      <c r="B2485" s="382" t="s">
        <v>3262</v>
      </c>
      <c r="C2485" s="377" t="s">
        <v>5350</v>
      </c>
      <c r="D2485" s="6" t="str">
        <f>_xlfn.XLOOKUP(B2485,Indices!$A$2:$A$2676,Indices!$B$2:$B$2676,"")</f>
        <v/>
      </c>
    </row>
    <row r="2486" spans="1:4" x14ac:dyDescent="0.25">
      <c r="A2486" s="379">
        <v>45791.634027777778</v>
      </c>
      <c r="B2486" s="382" t="s">
        <v>676</v>
      </c>
      <c r="C2486" s="377" t="s">
        <v>5351</v>
      </c>
      <c r="D2486" s="6" t="str">
        <f>_xlfn.XLOOKUP(B2486,Indices!$A$2:$A$2676,Indices!$B$2:$B$2676,"")</f>
        <v>IWM</v>
      </c>
    </row>
    <row r="2487" spans="1:4" x14ac:dyDescent="0.25">
      <c r="A2487" s="379">
        <v>45791.634722222225</v>
      </c>
      <c r="B2487" s="382" t="s">
        <v>3413</v>
      </c>
      <c r="C2487" s="377" t="s">
        <v>5352</v>
      </c>
      <c r="D2487" s="6" t="str">
        <f>_xlfn.XLOOKUP(B2487,Indices!$A$2:$A$2676,Indices!$B$2:$B$2676,"")</f>
        <v/>
      </c>
    </row>
    <row r="2488" spans="1:4" x14ac:dyDescent="0.25">
      <c r="A2488" s="379">
        <v>45791.638194444444</v>
      </c>
      <c r="B2488" s="382" t="s">
        <v>3772</v>
      </c>
      <c r="C2488" s="377" t="s">
        <v>5353</v>
      </c>
      <c r="D2488" s="6" t="str">
        <f>_xlfn.XLOOKUP(B2488,Indices!$A$2:$A$2676,Indices!$B$2:$B$2676,"")</f>
        <v/>
      </c>
    </row>
    <row r="2489" spans="1:4" x14ac:dyDescent="0.25">
      <c r="A2489" s="379">
        <v>45791.64166666667</v>
      </c>
      <c r="B2489" s="382" t="s">
        <v>4154</v>
      </c>
      <c r="C2489" s="377" t="s">
        <v>5354</v>
      </c>
      <c r="D2489" s="6" t="str">
        <f>_xlfn.XLOOKUP(B2489,Indices!$A$2:$A$2676,Indices!$B$2:$B$2676,"")</f>
        <v/>
      </c>
    </row>
    <row r="2490" spans="1:4" x14ac:dyDescent="0.25">
      <c r="A2490" s="379">
        <v>45791.642361111109</v>
      </c>
      <c r="B2490" s="382" t="s">
        <v>3345</v>
      </c>
      <c r="C2490" s="377" t="s">
        <v>5355</v>
      </c>
      <c r="D2490" s="6" t="str">
        <f>_xlfn.XLOOKUP(B2490,Indices!$A$2:$A$2676,Indices!$B$2:$B$2676,"")</f>
        <v/>
      </c>
    </row>
    <row r="2491" spans="1:4" x14ac:dyDescent="0.25">
      <c r="A2491" s="379">
        <v>45791.642361111109</v>
      </c>
      <c r="B2491" s="382" t="s">
        <v>3314</v>
      </c>
      <c r="C2491" s="377" t="s">
        <v>5355</v>
      </c>
      <c r="D2491" s="6" t="str">
        <f>_xlfn.XLOOKUP(B2491,Indices!$A$2:$A$2676,Indices!$B$2:$B$2676,"")</f>
        <v/>
      </c>
    </row>
    <row r="2492" spans="1:4" x14ac:dyDescent="0.25">
      <c r="A2492" s="379">
        <v>45791.645833333336</v>
      </c>
      <c r="B2492" s="382" t="s">
        <v>3368</v>
      </c>
      <c r="C2492" s="377" t="s">
        <v>5356</v>
      </c>
      <c r="D2492" s="6" t="str">
        <f>_xlfn.XLOOKUP(B2492,Indices!$A$2:$A$2676,Indices!$B$2:$B$2676,"")</f>
        <v/>
      </c>
    </row>
    <row r="2493" spans="1:4" x14ac:dyDescent="0.25">
      <c r="A2493" s="379">
        <v>45791.645833333336</v>
      </c>
      <c r="B2493" s="382" t="s">
        <v>3999</v>
      </c>
      <c r="C2493" s="377" t="s">
        <v>5356</v>
      </c>
      <c r="D2493" s="6" t="str">
        <f>_xlfn.XLOOKUP(B2493,Indices!$A$2:$A$2676,Indices!$B$2:$B$2676,"")</f>
        <v/>
      </c>
    </row>
    <row r="2494" spans="1:4" x14ac:dyDescent="0.25">
      <c r="A2494" s="379">
        <v>45791.648611111108</v>
      </c>
      <c r="B2494" s="382" t="s">
        <v>4162</v>
      </c>
      <c r="C2494" s="377" t="s">
        <v>5357</v>
      </c>
      <c r="D2494" s="6" t="str">
        <f>_xlfn.XLOOKUP(B2494,Indices!$A$2:$A$2676,Indices!$B$2:$B$2676,"")</f>
        <v/>
      </c>
    </row>
    <row r="2495" spans="1:4" x14ac:dyDescent="0.25">
      <c r="A2495" s="379">
        <v>45791.693055555559</v>
      </c>
      <c r="B2495" s="382" t="s">
        <v>4366</v>
      </c>
      <c r="C2495" s="377" t="s">
        <v>5358</v>
      </c>
      <c r="D2495" s="6" t="str">
        <f>_xlfn.XLOOKUP(B2495,Indices!$A$2:$A$2676,Indices!$B$2:$B$2676,"")</f>
        <v/>
      </c>
    </row>
    <row r="2496" spans="1:4" x14ac:dyDescent="0.25">
      <c r="A2496" s="379">
        <v>45791.790277777778</v>
      </c>
      <c r="B2496" s="382" t="s">
        <v>4157</v>
      </c>
      <c r="C2496" s="377" t="s">
        <v>5359</v>
      </c>
      <c r="D2496" s="6" t="str">
        <f>_xlfn.XLOOKUP(B2496,Indices!$A$2:$A$2676,Indices!$B$2:$B$2676,"")</f>
        <v/>
      </c>
    </row>
    <row r="2497" spans="1:4" x14ac:dyDescent="0.25">
      <c r="A2497" s="379">
        <v>45791.919444444444</v>
      </c>
      <c r="B2497" s="382" t="s">
        <v>4039</v>
      </c>
      <c r="C2497" s="377" t="s">
        <v>5360</v>
      </c>
      <c r="D2497" s="6" t="str">
        <f>_xlfn.XLOOKUP(B2497,Indices!$A$2:$A$2676,Indices!$B$2:$B$2676,"")</f>
        <v/>
      </c>
    </row>
    <row r="2498" spans="1:4" x14ac:dyDescent="0.25">
      <c r="A2498" s="379">
        <v>45791.9375</v>
      </c>
      <c r="B2498" s="382" t="s">
        <v>4416</v>
      </c>
      <c r="C2498" s="377" t="s">
        <v>5361</v>
      </c>
      <c r="D2498" s="6" t="str">
        <f>_xlfn.XLOOKUP(B2498,Indices!$A$2:$A$2676,Indices!$B$2:$B$2676,"")</f>
        <v/>
      </c>
    </row>
    <row r="2499" spans="1:4" x14ac:dyDescent="0.25">
      <c r="A2499" s="379">
        <v>45791.958333333336</v>
      </c>
      <c r="B2499" s="382" t="s">
        <v>4069</v>
      </c>
      <c r="C2499" s="377" t="s">
        <v>5363</v>
      </c>
      <c r="D2499" s="6" t="str">
        <f>_xlfn.XLOOKUP(B2499,Indices!$A$2:$A$2676,Indices!$B$2:$B$2676,"")</f>
        <v/>
      </c>
    </row>
    <row r="2500" spans="1:4" x14ac:dyDescent="0.25">
      <c r="A2500" s="379">
        <v>45791.958333333336</v>
      </c>
      <c r="B2500" s="382" t="s">
        <v>4085</v>
      </c>
      <c r="C2500" s="377" t="s">
        <v>5363</v>
      </c>
      <c r="D2500" s="6" t="str">
        <f>_xlfn.XLOOKUP(B2500,Indices!$A$2:$A$2676,Indices!$B$2:$B$2676,"")</f>
        <v/>
      </c>
    </row>
    <row r="2501" spans="1:4" x14ac:dyDescent="0.25">
      <c r="A2501" s="379">
        <v>45791.958333333336</v>
      </c>
      <c r="B2501" s="382" t="s">
        <v>4106</v>
      </c>
      <c r="C2501" s="377" t="s">
        <v>5363</v>
      </c>
      <c r="D2501" s="6" t="str">
        <f>_xlfn.XLOOKUP(B2501,Indices!$A$2:$A$2676,Indices!$B$2:$B$2676,"")</f>
        <v/>
      </c>
    </row>
    <row r="2502" spans="1:4" x14ac:dyDescent="0.25">
      <c r="A2502" s="379">
        <v>45791.958333333336</v>
      </c>
      <c r="B2502" s="382" t="s">
        <v>4073</v>
      </c>
      <c r="C2502" s="377" t="s">
        <v>5363</v>
      </c>
      <c r="D2502" s="6" t="str">
        <f>_xlfn.XLOOKUP(B2502,Indices!$A$2:$A$2676,Indices!$B$2:$B$2676,"")</f>
        <v/>
      </c>
    </row>
    <row r="2503" spans="1:4" x14ac:dyDescent="0.25">
      <c r="A2503" s="379">
        <v>45791.958333333336</v>
      </c>
      <c r="B2503" s="382" t="s">
        <v>4079</v>
      </c>
      <c r="C2503" s="377" t="s">
        <v>5363</v>
      </c>
      <c r="D2503" s="6" t="str">
        <f>_xlfn.XLOOKUP(B2503,Indices!$A$2:$A$2676,Indices!$B$2:$B$2676,"")</f>
        <v/>
      </c>
    </row>
    <row r="2504" spans="1:4" x14ac:dyDescent="0.25">
      <c r="A2504" s="379">
        <v>45791.958333333336</v>
      </c>
      <c r="B2504" s="382" t="s">
        <v>4065</v>
      </c>
      <c r="C2504" s="377" t="s">
        <v>5362</v>
      </c>
      <c r="D2504" s="6" t="str">
        <f>_xlfn.XLOOKUP(B2504,Indices!$A$2:$A$2676,Indices!$B$2:$B$2676,"")</f>
        <v/>
      </c>
    </row>
    <row r="2505" spans="1:4" x14ac:dyDescent="0.25">
      <c r="A2505" s="379">
        <v>45791.958333333336</v>
      </c>
      <c r="B2505" s="382" t="s">
        <v>4109</v>
      </c>
      <c r="C2505" s="377" t="s">
        <v>5363</v>
      </c>
      <c r="D2505" s="6" t="str">
        <f>_xlfn.XLOOKUP(B2505,Indices!$A$2:$A$2676,Indices!$B$2:$B$2676,"")</f>
        <v/>
      </c>
    </row>
    <row r="2506" spans="1:4" x14ac:dyDescent="0.25">
      <c r="A2506" s="379">
        <v>45791.958333333336</v>
      </c>
      <c r="B2506" s="382" t="s">
        <v>3982</v>
      </c>
      <c r="C2506" s="377" t="s">
        <v>5363</v>
      </c>
      <c r="D2506" s="6" t="str">
        <f>_xlfn.XLOOKUP(B2506,Indices!$A$2:$A$2676,Indices!$B$2:$B$2676,"")</f>
        <v/>
      </c>
    </row>
    <row r="2507" spans="1:4" x14ac:dyDescent="0.25">
      <c r="A2507" s="379">
        <v>45791.958333333336</v>
      </c>
      <c r="B2507" s="382" t="s">
        <v>4097</v>
      </c>
      <c r="C2507" s="377" t="s">
        <v>5363</v>
      </c>
      <c r="D2507" s="6" t="str">
        <f>_xlfn.XLOOKUP(B2507,Indices!$A$2:$A$2676,Indices!$B$2:$B$2676,"")</f>
        <v/>
      </c>
    </row>
    <row r="2508" spans="1:4" x14ac:dyDescent="0.25">
      <c r="A2508" s="379">
        <v>45791.958333333336</v>
      </c>
      <c r="B2508" s="382" t="s">
        <v>4186</v>
      </c>
      <c r="C2508" s="377" t="s">
        <v>5364</v>
      </c>
      <c r="D2508" s="6" t="str">
        <f>_xlfn.XLOOKUP(B2508,Indices!$A$2:$A$2676,Indices!$B$2:$B$2676,"")</f>
        <v/>
      </c>
    </row>
    <row r="2509" spans="1:4" x14ac:dyDescent="0.25">
      <c r="A2509" s="379">
        <v>45791.958333333336</v>
      </c>
      <c r="B2509" s="382" t="s">
        <v>3688</v>
      </c>
      <c r="C2509" s="377" t="s">
        <v>5362</v>
      </c>
      <c r="D2509" s="6" t="str">
        <f>_xlfn.XLOOKUP(B2509,Indices!$A$2:$A$2676,Indices!$B$2:$B$2676,"")</f>
        <v/>
      </c>
    </row>
    <row r="2510" spans="1:4" x14ac:dyDescent="0.25">
      <c r="A2510" s="379">
        <v>45791.958333333336</v>
      </c>
      <c r="B2510" s="382" t="s">
        <v>4048</v>
      </c>
      <c r="C2510" s="377" t="s">
        <v>5363</v>
      </c>
      <c r="D2510" s="6" t="str">
        <f>_xlfn.XLOOKUP(B2510,Indices!$A$2:$A$2676,Indices!$B$2:$B$2676,"")</f>
        <v/>
      </c>
    </row>
    <row r="2511" spans="1:4" x14ac:dyDescent="0.25">
      <c r="A2511" s="379">
        <v>45791.958333333336</v>
      </c>
      <c r="B2511" s="382" t="s">
        <v>4084</v>
      </c>
      <c r="C2511" s="377" t="s">
        <v>5363</v>
      </c>
      <c r="D2511" s="6" t="str">
        <f>_xlfn.XLOOKUP(B2511,Indices!$A$2:$A$2676,Indices!$B$2:$B$2676,"")</f>
        <v/>
      </c>
    </row>
    <row r="2512" spans="1:4" x14ac:dyDescent="0.25">
      <c r="A2512" s="379">
        <v>45791.976388888892</v>
      </c>
      <c r="B2512" s="382" t="s">
        <v>4041</v>
      </c>
      <c r="C2512" s="377" t="s">
        <v>5365</v>
      </c>
      <c r="D2512" s="6" t="str">
        <f>_xlfn.XLOOKUP(B2512,Indices!$A$2:$A$2676,Indices!$B$2:$B$2676,"")</f>
        <v/>
      </c>
    </row>
    <row r="2513" spans="1:4" x14ac:dyDescent="0.25">
      <c r="A2513" s="379">
        <v>45791.979166666664</v>
      </c>
      <c r="B2513" s="382" t="s">
        <v>4078</v>
      </c>
      <c r="C2513" s="377" t="s">
        <v>5366</v>
      </c>
      <c r="D2513" s="6" t="str">
        <f>_xlfn.XLOOKUP(B2513,Indices!$A$2:$A$2676,Indices!$B$2:$B$2676,"")</f>
        <v/>
      </c>
    </row>
    <row r="2514" spans="1:4" x14ac:dyDescent="0.25">
      <c r="A2514" s="379">
        <v>45792</v>
      </c>
      <c r="B2514" s="382" t="s">
        <v>4237</v>
      </c>
      <c r="C2514" s="377" t="s">
        <v>5367</v>
      </c>
      <c r="D2514" s="6" t="str">
        <f>_xlfn.XLOOKUP(B2514,Indices!$A$2:$A$2676,Indices!$B$2:$B$2676,"")</f>
        <v/>
      </c>
    </row>
    <row r="2515" spans="1:4" x14ac:dyDescent="0.25">
      <c r="A2515" s="379">
        <v>45792.104166666664</v>
      </c>
      <c r="B2515" s="382" t="s">
        <v>4277</v>
      </c>
      <c r="C2515" s="377" t="s">
        <v>5368</v>
      </c>
      <c r="D2515" s="6" t="str">
        <f>_xlfn.XLOOKUP(B2515,Indices!$A$2:$A$2676,Indices!$B$2:$B$2676,"")</f>
        <v/>
      </c>
    </row>
    <row r="2516" spans="1:4" x14ac:dyDescent="0.25">
      <c r="A2516" s="379">
        <v>45792.104166666664</v>
      </c>
      <c r="B2516" s="382" t="s">
        <v>4273</v>
      </c>
      <c r="C2516" s="377" t="s">
        <v>5368</v>
      </c>
      <c r="D2516" s="6" t="str">
        <f>_xlfn.XLOOKUP(B2516,Indices!$A$2:$A$2676,Indices!$B$2:$B$2676,"")</f>
        <v/>
      </c>
    </row>
    <row r="2517" spans="1:4" x14ac:dyDescent="0.25">
      <c r="A2517" s="379">
        <v>45792.145833333336</v>
      </c>
      <c r="B2517" s="382" t="s">
        <v>4098</v>
      </c>
      <c r="C2517" s="377" t="s">
        <v>5369</v>
      </c>
      <c r="D2517" s="6" t="str">
        <f>_xlfn.XLOOKUP(B2517,Indices!$A$2:$A$2676,Indices!$B$2:$B$2676,"")</f>
        <v/>
      </c>
    </row>
    <row r="2518" spans="1:4" x14ac:dyDescent="0.25">
      <c r="A2518" s="379">
        <v>45792.145833333336</v>
      </c>
      <c r="B2518" s="382" t="s">
        <v>4338</v>
      </c>
      <c r="C2518" s="377" t="s">
        <v>5369</v>
      </c>
      <c r="D2518" s="6" t="str">
        <f>_xlfn.XLOOKUP(B2518,Indices!$A$2:$A$2676,Indices!$B$2:$B$2676,"")</f>
        <v/>
      </c>
    </row>
    <row r="2519" spans="1:4" x14ac:dyDescent="0.25">
      <c r="A2519" s="379">
        <v>45792.149305555555</v>
      </c>
      <c r="B2519" s="382" t="s">
        <v>3844</v>
      </c>
      <c r="C2519" s="377" t="s">
        <v>5370</v>
      </c>
      <c r="D2519" s="6" t="str">
        <f>_xlfn.XLOOKUP(B2519,Indices!$A$2:$A$2676,Indices!$B$2:$B$2676,"")</f>
        <v/>
      </c>
    </row>
    <row r="2520" spans="1:4" x14ac:dyDescent="0.25">
      <c r="A2520" s="379">
        <v>45792.166666666664</v>
      </c>
      <c r="B2520" s="382" t="s">
        <v>4047</v>
      </c>
      <c r="C2520" s="377" t="s">
        <v>5371</v>
      </c>
      <c r="D2520" s="6" t="str">
        <f>_xlfn.XLOOKUP(B2520,Indices!$A$2:$A$2676,Indices!$B$2:$B$2676,"")</f>
        <v/>
      </c>
    </row>
    <row r="2521" spans="1:4" x14ac:dyDescent="0.25">
      <c r="A2521" s="379">
        <v>45792.166666666664</v>
      </c>
      <c r="B2521" s="382" t="s">
        <v>3447</v>
      </c>
      <c r="C2521" s="377" t="s">
        <v>5371</v>
      </c>
      <c r="D2521" s="6" t="str">
        <f>_xlfn.XLOOKUP(B2521,Indices!$A$2:$A$2676,Indices!$B$2:$B$2676,"")</f>
        <v/>
      </c>
    </row>
    <row r="2522" spans="1:4" x14ac:dyDescent="0.25">
      <c r="A2522" s="379">
        <v>45792.166666666664</v>
      </c>
      <c r="B2522" s="382" t="s">
        <v>3456</v>
      </c>
      <c r="C2522" s="377" t="s">
        <v>5371</v>
      </c>
      <c r="D2522" s="6" t="str">
        <f>_xlfn.XLOOKUP(B2522,Indices!$A$2:$A$2676,Indices!$B$2:$B$2676,"")</f>
        <v/>
      </c>
    </row>
    <row r="2523" spans="1:4" x14ac:dyDescent="0.25">
      <c r="A2523" s="379">
        <v>45792.166666666664</v>
      </c>
      <c r="B2523" s="382" t="s">
        <v>4287</v>
      </c>
      <c r="C2523" s="377" t="s">
        <v>5371</v>
      </c>
      <c r="D2523" s="6" t="str">
        <f>_xlfn.XLOOKUP(B2523,Indices!$A$2:$A$2676,Indices!$B$2:$B$2676,"")</f>
        <v/>
      </c>
    </row>
    <row r="2524" spans="1:4" x14ac:dyDescent="0.25">
      <c r="A2524" s="379">
        <v>45792.167361111111</v>
      </c>
      <c r="B2524" s="382" t="s">
        <v>970</v>
      </c>
      <c r="C2524" s="377" t="s">
        <v>5372</v>
      </c>
      <c r="D2524" s="6" t="str">
        <f>_xlfn.XLOOKUP(B2524,Indices!$A$2:$A$2676,Indices!$B$2:$B$2676,"")</f>
        <v>IWM</v>
      </c>
    </row>
    <row r="2525" spans="1:4" x14ac:dyDescent="0.25">
      <c r="A2525" s="379">
        <v>45792.1875</v>
      </c>
      <c r="B2525" s="382" t="s">
        <v>838</v>
      </c>
      <c r="C2525" s="377" t="s">
        <v>5373</v>
      </c>
      <c r="D2525" s="6" t="str">
        <f>_xlfn.XLOOKUP(B2525,Indices!$A$2:$A$2676,Indices!$B$2:$B$2676,"")</f>
        <v>S&amp;P Mid</v>
      </c>
    </row>
    <row r="2526" spans="1:4" x14ac:dyDescent="0.25">
      <c r="A2526" s="379">
        <v>45792.1875</v>
      </c>
      <c r="B2526" s="382" t="s">
        <v>4064</v>
      </c>
      <c r="C2526" s="377" t="s">
        <v>5373</v>
      </c>
      <c r="D2526" s="6" t="str">
        <f>_xlfn.XLOOKUP(B2526,Indices!$A$2:$A$2676,Indices!$B$2:$B$2676,"")</f>
        <v/>
      </c>
    </row>
    <row r="2527" spans="1:4" x14ac:dyDescent="0.25">
      <c r="A2527" s="379">
        <v>45792.1875</v>
      </c>
      <c r="B2527" s="382" t="s">
        <v>3717</v>
      </c>
      <c r="C2527" s="377" t="s">
        <v>5373</v>
      </c>
      <c r="D2527" s="6" t="str">
        <f>_xlfn.XLOOKUP(B2527,Indices!$A$2:$A$2676,Indices!$B$2:$B$2676,"")</f>
        <v/>
      </c>
    </row>
    <row r="2528" spans="1:4" x14ac:dyDescent="0.25">
      <c r="A2528" s="379">
        <v>45792.1875</v>
      </c>
      <c r="B2528" s="382" t="s">
        <v>1112</v>
      </c>
      <c r="C2528" s="377" t="s">
        <v>5373</v>
      </c>
      <c r="D2528" s="6" t="str">
        <f>_xlfn.XLOOKUP(B2528,Indices!$A$2:$A$2676,Indices!$B$2:$B$2676,"")</f>
        <v>SP500</v>
      </c>
    </row>
    <row r="2529" spans="1:4" x14ac:dyDescent="0.25">
      <c r="A2529" s="379">
        <v>45792.201388888891</v>
      </c>
      <c r="B2529" s="382" t="s">
        <v>4070</v>
      </c>
      <c r="C2529" s="377" t="s">
        <v>5374</v>
      </c>
      <c r="D2529" s="6" t="str">
        <f>_xlfn.XLOOKUP(B2529,Indices!$A$2:$A$2676,Indices!$B$2:$B$2676,"")</f>
        <v/>
      </c>
    </row>
    <row r="2530" spans="1:4" x14ac:dyDescent="0.25">
      <c r="A2530" s="379">
        <v>45792.208333333336</v>
      </c>
      <c r="B2530" s="382" t="s">
        <v>2935</v>
      </c>
      <c r="C2530" s="377" t="s">
        <v>5375</v>
      </c>
      <c r="D2530" s="6" t="str">
        <f>_xlfn.XLOOKUP(B2530,Indices!$A$2:$A$2676,Indices!$B$2:$B$2676,"")</f>
        <v/>
      </c>
    </row>
    <row r="2531" spans="1:4" x14ac:dyDescent="0.25">
      <c r="A2531" s="379">
        <v>45792.208333333336</v>
      </c>
      <c r="B2531" s="382" t="s">
        <v>4058</v>
      </c>
      <c r="C2531" s="377" t="s">
        <v>5375</v>
      </c>
      <c r="D2531" s="6" t="str">
        <f>_xlfn.XLOOKUP(B2531,Indices!$A$2:$A$2676,Indices!$B$2:$B$2676,"")</f>
        <v/>
      </c>
    </row>
    <row r="2532" spans="1:4" x14ac:dyDescent="0.25">
      <c r="A2532" s="379">
        <v>45792.208333333336</v>
      </c>
      <c r="B2532" s="382" t="s">
        <v>2848</v>
      </c>
      <c r="C2532" s="377" t="s">
        <v>5375</v>
      </c>
      <c r="D2532" s="6" t="str">
        <f>_xlfn.XLOOKUP(B2532,Indices!$A$2:$A$2676,Indices!$B$2:$B$2676,"")</f>
        <v/>
      </c>
    </row>
    <row r="2533" spans="1:4" x14ac:dyDescent="0.25">
      <c r="A2533" s="379">
        <v>45792.208333333336</v>
      </c>
      <c r="B2533" s="382" t="s">
        <v>3122</v>
      </c>
      <c r="C2533" s="377" t="s">
        <v>5375</v>
      </c>
      <c r="D2533" s="6" t="str">
        <f>_xlfn.XLOOKUP(B2533,Indices!$A$2:$A$2676,Indices!$B$2:$B$2676,"")</f>
        <v/>
      </c>
    </row>
    <row r="2534" spans="1:4" x14ac:dyDescent="0.25">
      <c r="A2534" s="379">
        <v>45792.208333333336</v>
      </c>
      <c r="B2534" s="382" t="s">
        <v>4614</v>
      </c>
      <c r="C2534" s="377" t="s">
        <v>5375</v>
      </c>
      <c r="D2534" s="6" t="str">
        <f>_xlfn.XLOOKUP(B2534,Indices!$A$2:$A$2676,Indices!$B$2:$B$2676,"")</f>
        <v/>
      </c>
    </row>
    <row r="2535" spans="1:4" x14ac:dyDescent="0.25">
      <c r="A2535" s="379">
        <v>45792.208333333336</v>
      </c>
      <c r="B2535" s="382" t="s">
        <v>3734</v>
      </c>
      <c r="C2535" s="377" t="s">
        <v>5375</v>
      </c>
      <c r="D2535" s="6" t="str">
        <f>_xlfn.XLOOKUP(B2535,Indices!$A$2:$A$2676,Indices!$B$2:$B$2676,"")</f>
        <v/>
      </c>
    </row>
    <row r="2536" spans="1:4" x14ac:dyDescent="0.25">
      <c r="A2536" s="379">
        <v>45792.208333333336</v>
      </c>
      <c r="B2536" s="382" t="s">
        <v>4110</v>
      </c>
      <c r="C2536" s="377" t="s">
        <v>5375</v>
      </c>
      <c r="D2536" s="6" t="str">
        <f>_xlfn.XLOOKUP(B2536,Indices!$A$2:$A$2676,Indices!$B$2:$B$2676,"")</f>
        <v/>
      </c>
    </row>
    <row r="2537" spans="1:4" x14ac:dyDescent="0.25">
      <c r="A2537" s="379">
        <v>45792.208333333336</v>
      </c>
      <c r="B2537" s="382" t="s">
        <v>4061</v>
      </c>
      <c r="C2537" s="377" t="s">
        <v>5375</v>
      </c>
      <c r="D2537" s="6" t="str">
        <f>_xlfn.XLOOKUP(B2537,Indices!$A$2:$A$2676,Indices!$B$2:$B$2676,"")</f>
        <v/>
      </c>
    </row>
    <row r="2538" spans="1:4" x14ac:dyDescent="0.25">
      <c r="A2538" s="379">
        <v>45792.208333333336</v>
      </c>
      <c r="B2538" s="382" t="s">
        <v>4081</v>
      </c>
      <c r="C2538" s="377" t="s">
        <v>5375</v>
      </c>
      <c r="D2538" s="6" t="str">
        <f>_xlfn.XLOOKUP(B2538,Indices!$A$2:$A$2676,Indices!$B$2:$B$2676,"")</f>
        <v/>
      </c>
    </row>
    <row r="2539" spans="1:4" x14ac:dyDescent="0.25">
      <c r="A2539" s="379">
        <v>45792.208333333336</v>
      </c>
      <c r="B2539" s="382" t="s">
        <v>923</v>
      </c>
      <c r="C2539" s="377" t="s">
        <v>5375</v>
      </c>
      <c r="D2539" s="6" t="str">
        <f>_xlfn.XLOOKUP(B2539,Indices!$A$2:$A$2676,Indices!$B$2:$B$2676,"")</f>
        <v>IWM</v>
      </c>
    </row>
    <row r="2540" spans="1:4" x14ac:dyDescent="0.25">
      <c r="A2540" s="379">
        <v>45792.208333333336</v>
      </c>
      <c r="B2540" s="382" t="s">
        <v>1053</v>
      </c>
      <c r="C2540" s="377" t="s">
        <v>5375</v>
      </c>
      <c r="D2540" s="6" t="str">
        <f>_xlfn.XLOOKUP(B2540,Indices!$A$2:$A$2676,Indices!$B$2:$B$2676,"")</f>
        <v>IWM</v>
      </c>
    </row>
    <row r="2541" spans="1:4" x14ac:dyDescent="0.25">
      <c r="A2541" s="379">
        <v>45792.208333333336</v>
      </c>
      <c r="B2541" s="382" t="s">
        <v>1014</v>
      </c>
      <c r="C2541" s="377" t="s">
        <v>5375</v>
      </c>
      <c r="D2541" s="6" t="str">
        <f>_xlfn.XLOOKUP(B2541,Indices!$A$2:$A$2676,Indices!$B$2:$B$2676,"")</f>
        <v>IWM</v>
      </c>
    </row>
    <row r="2542" spans="1:4" x14ac:dyDescent="0.25">
      <c r="A2542" s="379">
        <v>45792.208333333336</v>
      </c>
      <c r="B2542" s="382" t="s">
        <v>4050</v>
      </c>
      <c r="C2542" s="377" t="s">
        <v>5375</v>
      </c>
      <c r="D2542" s="6" t="str">
        <f>_xlfn.XLOOKUP(B2542,Indices!$A$2:$A$2676,Indices!$B$2:$B$2676,"")</f>
        <v/>
      </c>
    </row>
    <row r="2543" spans="1:4" x14ac:dyDescent="0.25">
      <c r="A2543" s="379">
        <v>45792.208333333336</v>
      </c>
      <c r="B2543" s="382" t="s">
        <v>2837</v>
      </c>
      <c r="C2543" s="377" t="s">
        <v>5375</v>
      </c>
      <c r="D2543" s="6" t="str">
        <f>_xlfn.XLOOKUP(B2543,Indices!$A$2:$A$2676,Indices!$B$2:$B$2676,"")</f>
        <v/>
      </c>
    </row>
    <row r="2544" spans="1:4" x14ac:dyDescent="0.25">
      <c r="A2544" s="379">
        <v>45792.208333333336</v>
      </c>
      <c r="B2544" s="382" t="s">
        <v>4113</v>
      </c>
      <c r="C2544" s="377" t="s">
        <v>5375</v>
      </c>
      <c r="D2544" s="6" t="str">
        <f>_xlfn.XLOOKUP(B2544,Indices!$A$2:$A$2676,Indices!$B$2:$B$2676,"")</f>
        <v/>
      </c>
    </row>
    <row r="2545" spans="1:4" x14ac:dyDescent="0.25">
      <c r="A2545" s="379">
        <v>45792.208333333336</v>
      </c>
      <c r="B2545" s="382" t="s">
        <v>4045</v>
      </c>
      <c r="C2545" s="377" t="s">
        <v>5375</v>
      </c>
      <c r="D2545" s="6" t="str">
        <f>_xlfn.XLOOKUP(B2545,Indices!$A$2:$A$2676,Indices!$B$2:$B$2676,"")</f>
        <v/>
      </c>
    </row>
    <row r="2546" spans="1:4" x14ac:dyDescent="0.25">
      <c r="A2546" s="379">
        <v>45792.208333333336</v>
      </c>
      <c r="B2546" s="382" t="s">
        <v>3864</v>
      </c>
      <c r="C2546" s="377" t="s">
        <v>5376</v>
      </c>
      <c r="D2546" s="6" t="str">
        <f>_xlfn.XLOOKUP(B2546,Indices!$A$2:$A$2676,Indices!$B$2:$B$2676,"")</f>
        <v/>
      </c>
    </row>
    <row r="2547" spans="1:4" x14ac:dyDescent="0.25">
      <c r="A2547" s="379">
        <v>45792.208333333336</v>
      </c>
      <c r="B2547" s="382" t="s">
        <v>4108</v>
      </c>
      <c r="C2547" s="377" t="s">
        <v>5375</v>
      </c>
      <c r="D2547" s="6" t="str">
        <f>_xlfn.XLOOKUP(B2547,Indices!$A$2:$A$2676,Indices!$B$2:$B$2676,"")</f>
        <v/>
      </c>
    </row>
    <row r="2548" spans="1:4" x14ac:dyDescent="0.25">
      <c r="A2548" s="379">
        <v>45792.209027777775</v>
      </c>
      <c r="B2548" s="382" t="s">
        <v>4063</v>
      </c>
      <c r="C2548" s="377" t="s">
        <v>5377</v>
      </c>
      <c r="D2548" s="6" t="str">
        <f>_xlfn.XLOOKUP(B2548,Indices!$A$2:$A$2676,Indices!$B$2:$B$2676,"")</f>
        <v/>
      </c>
    </row>
    <row r="2549" spans="1:4" x14ac:dyDescent="0.25">
      <c r="A2549" s="379">
        <v>45792.209027777775</v>
      </c>
      <c r="B2549" s="382" t="s">
        <v>3493</v>
      </c>
      <c r="C2549" s="377" t="s">
        <v>5377</v>
      </c>
      <c r="D2549" s="6" t="str">
        <f>_xlfn.XLOOKUP(B2549,Indices!$A$2:$A$2676,Indices!$B$2:$B$2676,"")</f>
        <v/>
      </c>
    </row>
    <row r="2550" spans="1:4" x14ac:dyDescent="0.25">
      <c r="A2550" s="379">
        <v>45792.209027777775</v>
      </c>
      <c r="B2550" s="382" t="s">
        <v>3822</v>
      </c>
      <c r="C2550" s="377" t="s">
        <v>5377</v>
      </c>
      <c r="D2550" s="6" t="str">
        <f>_xlfn.XLOOKUP(B2550,Indices!$A$2:$A$2676,Indices!$B$2:$B$2676,"")</f>
        <v/>
      </c>
    </row>
    <row r="2551" spans="1:4" x14ac:dyDescent="0.25">
      <c r="A2551" s="379">
        <v>45792.209722222222</v>
      </c>
      <c r="B2551" s="382" t="s">
        <v>1085</v>
      </c>
      <c r="C2551" s="377" t="s">
        <v>5378</v>
      </c>
      <c r="D2551" s="6" t="str">
        <f>_xlfn.XLOOKUP(B2551,Indices!$A$2:$A$2676,Indices!$B$2:$B$2676,"")</f>
        <v>SP500</v>
      </c>
    </row>
    <row r="2552" spans="1:4" x14ac:dyDescent="0.25">
      <c r="A2552" s="379">
        <v>45792.211805555555</v>
      </c>
      <c r="B2552" s="382" t="s">
        <v>3446</v>
      </c>
      <c r="C2552" s="377" t="s">
        <v>5379</v>
      </c>
      <c r="D2552" s="6" t="str">
        <f>_xlfn.XLOOKUP(B2552,Indices!$A$2:$A$2676,Indices!$B$2:$B$2676,"")</f>
        <v/>
      </c>
    </row>
    <row r="2553" spans="1:4" x14ac:dyDescent="0.25">
      <c r="A2553" s="379">
        <v>45792.215277777781</v>
      </c>
      <c r="B2553" s="382" t="s">
        <v>4059</v>
      </c>
      <c r="C2553" s="377" t="s">
        <v>5380</v>
      </c>
      <c r="D2553" s="6" t="str">
        <f>_xlfn.XLOOKUP(B2553,Indices!$A$2:$A$2676,Indices!$B$2:$B$2676,"")</f>
        <v/>
      </c>
    </row>
    <row r="2554" spans="1:4" x14ac:dyDescent="0.25">
      <c r="A2554" s="379">
        <v>45792.229166666664</v>
      </c>
      <c r="B2554" s="382" t="s">
        <v>4053</v>
      </c>
      <c r="C2554" s="377" t="s">
        <v>5381</v>
      </c>
      <c r="D2554" s="6" t="str">
        <f>_xlfn.XLOOKUP(B2554,Indices!$A$2:$A$2676,Indices!$B$2:$B$2676,"")</f>
        <v/>
      </c>
    </row>
    <row r="2555" spans="1:4" x14ac:dyDescent="0.25">
      <c r="A2555" s="379">
        <v>45792.229166666664</v>
      </c>
      <c r="B2555" s="382" t="s">
        <v>3949</v>
      </c>
      <c r="C2555" s="377" t="s">
        <v>5381</v>
      </c>
      <c r="D2555" s="6" t="str">
        <f>_xlfn.XLOOKUP(B2555,Indices!$A$2:$A$2676,Indices!$B$2:$B$2676,"")</f>
        <v/>
      </c>
    </row>
    <row r="2556" spans="1:4" x14ac:dyDescent="0.25">
      <c r="A2556" s="379">
        <v>45792.229166666664</v>
      </c>
      <c r="B2556" s="382" t="s">
        <v>3942</v>
      </c>
      <c r="C2556" s="377" t="s">
        <v>5381</v>
      </c>
      <c r="D2556" s="6" t="str">
        <f>_xlfn.XLOOKUP(B2556,Indices!$A$2:$A$2676,Indices!$B$2:$B$2676,"")</f>
        <v/>
      </c>
    </row>
    <row r="2557" spans="1:4" x14ac:dyDescent="0.25">
      <c r="A2557" s="379">
        <v>45792.229166666664</v>
      </c>
      <c r="B2557" s="382" t="s">
        <v>3987</v>
      </c>
      <c r="C2557" s="377" t="s">
        <v>5381</v>
      </c>
      <c r="D2557" s="6" t="str">
        <f>_xlfn.XLOOKUP(B2557,Indices!$A$2:$A$2676,Indices!$B$2:$B$2676,"")</f>
        <v/>
      </c>
    </row>
    <row r="2558" spans="1:4" x14ac:dyDescent="0.25">
      <c r="A2558" s="379">
        <v>45792.229166666664</v>
      </c>
      <c r="B2558" s="382" t="s">
        <v>3967</v>
      </c>
      <c r="C2558" s="377" t="s">
        <v>5381</v>
      </c>
      <c r="D2558" s="6" t="str">
        <f>_xlfn.XLOOKUP(B2558,Indices!$A$2:$A$2676,Indices!$B$2:$B$2676,"")</f>
        <v/>
      </c>
    </row>
    <row r="2559" spans="1:4" x14ac:dyDescent="0.25">
      <c r="A2559" s="379">
        <v>45792.229166666664</v>
      </c>
      <c r="B2559" s="382" t="s">
        <v>3861</v>
      </c>
      <c r="C2559" s="377" t="s">
        <v>5381</v>
      </c>
      <c r="D2559" s="6" t="str">
        <f>_xlfn.XLOOKUP(B2559,Indices!$A$2:$A$2676,Indices!$B$2:$B$2676,"")</f>
        <v/>
      </c>
    </row>
    <row r="2560" spans="1:4" x14ac:dyDescent="0.25">
      <c r="A2560" s="379">
        <v>45792.229166666664</v>
      </c>
      <c r="B2560" s="382" t="s">
        <v>4100</v>
      </c>
      <c r="C2560" s="377" t="s">
        <v>5381</v>
      </c>
      <c r="D2560" s="6" t="str">
        <f>_xlfn.XLOOKUP(B2560,Indices!$A$2:$A$2676,Indices!$B$2:$B$2676,"")</f>
        <v/>
      </c>
    </row>
    <row r="2561" spans="1:4" x14ac:dyDescent="0.25">
      <c r="A2561" s="379">
        <v>45792.229861111111</v>
      </c>
      <c r="B2561" s="382" t="s">
        <v>4067</v>
      </c>
      <c r="C2561" s="377" t="s">
        <v>5382</v>
      </c>
      <c r="D2561" s="6" t="str">
        <f>_xlfn.XLOOKUP(B2561,Indices!$A$2:$A$2676,Indices!$B$2:$B$2676,"")</f>
        <v/>
      </c>
    </row>
    <row r="2562" spans="1:4" x14ac:dyDescent="0.25">
      <c r="A2562" s="379">
        <v>45792.242361111108</v>
      </c>
      <c r="B2562" s="382" t="s">
        <v>3923</v>
      </c>
      <c r="C2562" s="377" t="s">
        <v>5383</v>
      </c>
      <c r="D2562" s="6" t="str">
        <f>_xlfn.XLOOKUP(B2562,Indices!$A$2:$A$2676,Indices!$B$2:$B$2676,"")</f>
        <v/>
      </c>
    </row>
    <row r="2563" spans="1:4" x14ac:dyDescent="0.25">
      <c r="A2563" s="379">
        <v>45792.25</v>
      </c>
      <c r="B2563" s="382" t="s">
        <v>4141</v>
      </c>
      <c r="C2563" s="377" t="s">
        <v>5384</v>
      </c>
      <c r="D2563" s="6" t="str">
        <f>_xlfn.XLOOKUP(B2563,Indices!$A$2:$A$2676,Indices!$B$2:$B$2676,"")</f>
        <v/>
      </c>
    </row>
    <row r="2564" spans="1:4" x14ac:dyDescent="0.25">
      <c r="A2564" s="379">
        <v>45792.25</v>
      </c>
      <c r="B2564" s="382" t="s">
        <v>3940</v>
      </c>
      <c r="C2564" s="377" t="s">
        <v>5384</v>
      </c>
      <c r="D2564" s="6" t="str">
        <f>_xlfn.XLOOKUP(B2564,Indices!$A$2:$A$2676,Indices!$B$2:$B$2676,"")</f>
        <v/>
      </c>
    </row>
    <row r="2565" spans="1:4" x14ac:dyDescent="0.25">
      <c r="A2565" s="379">
        <v>45792.25</v>
      </c>
      <c r="B2565" s="382" t="s">
        <v>4092</v>
      </c>
      <c r="C2565" s="377" t="s">
        <v>5384</v>
      </c>
      <c r="D2565" s="6" t="str">
        <f>_xlfn.XLOOKUP(B2565,Indices!$A$2:$A$2676,Indices!$B$2:$B$2676,"")</f>
        <v/>
      </c>
    </row>
    <row r="2566" spans="1:4" x14ac:dyDescent="0.25">
      <c r="A2566" s="379">
        <v>45792.25</v>
      </c>
      <c r="B2566" s="382" t="s">
        <v>1021</v>
      </c>
      <c r="C2566" s="377" t="s">
        <v>5384</v>
      </c>
      <c r="D2566" s="6" t="str">
        <f>_xlfn.XLOOKUP(B2566,Indices!$A$2:$A$2676,Indices!$B$2:$B$2676,"")</f>
        <v>IWM</v>
      </c>
    </row>
    <row r="2567" spans="1:4" x14ac:dyDescent="0.25">
      <c r="A2567" s="379">
        <v>45792.25</v>
      </c>
      <c r="B2567" s="382" t="s">
        <v>3719</v>
      </c>
      <c r="C2567" s="377" t="s">
        <v>5384</v>
      </c>
      <c r="D2567" s="6" t="str">
        <f>_xlfn.XLOOKUP(B2567,Indices!$A$2:$A$2676,Indices!$B$2:$B$2676,"")</f>
        <v/>
      </c>
    </row>
    <row r="2568" spans="1:4" x14ac:dyDescent="0.25">
      <c r="A2568" s="379">
        <v>45792.25</v>
      </c>
      <c r="B2568" s="382" t="s">
        <v>3921</v>
      </c>
      <c r="C2568" s="377" t="s">
        <v>5384</v>
      </c>
      <c r="D2568" s="6" t="str">
        <f>_xlfn.XLOOKUP(B2568,Indices!$A$2:$A$2676,Indices!$B$2:$B$2676,"")</f>
        <v/>
      </c>
    </row>
    <row r="2569" spans="1:4" x14ac:dyDescent="0.25">
      <c r="A2569" s="379">
        <v>45792.250694444447</v>
      </c>
      <c r="B2569" s="382" t="s">
        <v>3723</v>
      </c>
      <c r="C2569" s="377" t="s">
        <v>5385</v>
      </c>
      <c r="D2569" s="6" t="str">
        <f>_xlfn.XLOOKUP(B2569,Indices!$A$2:$A$2676,Indices!$B$2:$B$2676,"")</f>
        <v/>
      </c>
    </row>
    <row r="2570" spans="1:4" x14ac:dyDescent="0.25">
      <c r="A2570" s="379">
        <v>45792.269444444442</v>
      </c>
      <c r="B2570" s="382" t="s">
        <v>4101</v>
      </c>
      <c r="C2570" s="377" t="s">
        <v>5386</v>
      </c>
      <c r="D2570" s="6" t="str">
        <f>_xlfn.XLOOKUP(B2570,Indices!$A$2:$A$2676,Indices!$B$2:$B$2676,"")</f>
        <v/>
      </c>
    </row>
    <row r="2571" spans="1:4" x14ac:dyDescent="0.25">
      <c r="A2571" s="379">
        <v>45792.270833333336</v>
      </c>
      <c r="B2571" s="382" t="s">
        <v>3626</v>
      </c>
      <c r="C2571" s="377" t="s">
        <v>5387</v>
      </c>
      <c r="D2571" s="6" t="str">
        <f>_xlfn.XLOOKUP(B2571,Indices!$A$2:$A$2676,Indices!$B$2:$B$2676,"")</f>
        <v/>
      </c>
    </row>
    <row r="2572" spans="1:4" x14ac:dyDescent="0.25">
      <c r="A2572" s="379">
        <v>45792.270833333336</v>
      </c>
      <c r="B2572" s="382" t="s">
        <v>3959</v>
      </c>
      <c r="C2572" s="377" t="s">
        <v>5388</v>
      </c>
      <c r="D2572" s="6" t="str">
        <f>_xlfn.XLOOKUP(B2572,Indices!$A$2:$A$2676,Indices!$B$2:$B$2676,"")</f>
        <v/>
      </c>
    </row>
    <row r="2573" spans="1:4" x14ac:dyDescent="0.25">
      <c r="A2573" s="379">
        <v>45792.270833333336</v>
      </c>
      <c r="B2573" s="382" t="s">
        <v>4105</v>
      </c>
      <c r="C2573" s="377" t="s">
        <v>5388</v>
      </c>
      <c r="D2573" s="6" t="str">
        <f>_xlfn.XLOOKUP(B2573,Indices!$A$2:$A$2676,Indices!$B$2:$B$2676,"")</f>
        <v/>
      </c>
    </row>
    <row r="2574" spans="1:4" x14ac:dyDescent="0.25">
      <c r="A2574" s="379">
        <v>45792.270833333336</v>
      </c>
      <c r="B2574" s="382" t="s">
        <v>3742</v>
      </c>
      <c r="C2574" s="377" t="s">
        <v>5388</v>
      </c>
      <c r="D2574" s="6" t="str">
        <f>_xlfn.XLOOKUP(B2574,Indices!$A$2:$A$2676,Indices!$B$2:$B$2676,"")</f>
        <v/>
      </c>
    </row>
    <row r="2575" spans="1:4" x14ac:dyDescent="0.25">
      <c r="A2575" s="379">
        <v>45792.274305555555</v>
      </c>
      <c r="B2575" s="382" t="s">
        <v>3578</v>
      </c>
      <c r="C2575" s="377" t="s">
        <v>5389</v>
      </c>
      <c r="D2575" s="6" t="str">
        <f>_xlfn.XLOOKUP(B2575,Indices!$A$2:$A$2676,Indices!$B$2:$B$2676,"")</f>
        <v/>
      </c>
    </row>
    <row r="2576" spans="1:4" x14ac:dyDescent="0.25">
      <c r="A2576" s="379">
        <v>45792.28125</v>
      </c>
      <c r="B2576" s="382" t="s">
        <v>3647</v>
      </c>
      <c r="C2576" s="377" t="s">
        <v>5390</v>
      </c>
      <c r="D2576" s="6" t="str">
        <f>_xlfn.XLOOKUP(B2576,Indices!$A$2:$A$2676,Indices!$B$2:$B$2676,"")</f>
        <v/>
      </c>
    </row>
    <row r="2577" spans="1:4" x14ac:dyDescent="0.25">
      <c r="A2577" s="379">
        <v>45792.291666666664</v>
      </c>
      <c r="B2577" s="382" t="s">
        <v>4096</v>
      </c>
      <c r="C2577" s="377" t="s">
        <v>4040</v>
      </c>
      <c r="D2577" s="6" t="str">
        <f>_xlfn.XLOOKUP(B2577,Indices!$A$2:$A$2676,Indices!$B$2:$B$2676,"")</f>
        <v/>
      </c>
    </row>
    <row r="2578" spans="1:4" x14ac:dyDescent="0.25">
      <c r="A2578" s="379">
        <v>45792.291666666664</v>
      </c>
      <c r="B2578" s="382" t="s">
        <v>641</v>
      </c>
      <c r="C2578" s="377" t="s">
        <v>4040</v>
      </c>
      <c r="D2578" s="6" t="str">
        <f>_xlfn.XLOOKUP(B2578,Indices!$A$2:$A$2676,Indices!$B$2:$B$2676,"")</f>
        <v>IWM</v>
      </c>
    </row>
    <row r="2579" spans="1:4" x14ac:dyDescent="0.25">
      <c r="A2579" s="379">
        <v>45792.291666666664</v>
      </c>
      <c r="B2579" s="382" t="s">
        <v>4088</v>
      </c>
      <c r="C2579" s="377" t="s">
        <v>4040</v>
      </c>
      <c r="D2579" s="6" t="str">
        <f>_xlfn.XLOOKUP(B2579,Indices!$A$2:$A$2676,Indices!$B$2:$B$2676,"")</f>
        <v/>
      </c>
    </row>
    <row r="2580" spans="1:4" x14ac:dyDescent="0.25">
      <c r="A2580" s="379">
        <v>45792.291666666664</v>
      </c>
      <c r="B2580" s="382" t="s">
        <v>4082</v>
      </c>
      <c r="C2580" s="377" t="s">
        <v>4040</v>
      </c>
      <c r="D2580" s="6" t="str">
        <f>_xlfn.XLOOKUP(B2580,Indices!$A$2:$A$2676,Indices!$B$2:$B$2676,"")</f>
        <v/>
      </c>
    </row>
    <row r="2581" spans="1:4" x14ac:dyDescent="0.25">
      <c r="A2581" s="379">
        <v>45792.291666666664</v>
      </c>
      <c r="B2581" s="382" t="s">
        <v>4071</v>
      </c>
      <c r="C2581" s="377" t="s">
        <v>5391</v>
      </c>
      <c r="D2581" s="6" t="str">
        <f>_xlfn.XLOOKUP(B2581,Indices!$A$2:$A$2676,Indices!$B$2:$B$2676,"")</f>
        <v/>
      </c>
    </row>
    <row r="2582" spans="1:4" x14ac:dyDescent="0.25">
      <c r="A2582" s="379">
        <v>45792.291666666664</v>
      </c>
      <c r="B2582" s="382" t="s">
        <v>4066</v>
      </c>
      <c r="C2582" s="377" t="s">
        <v>4038</v>
      </c>
      <c r="D2582" s="6" t="str">
        <f>_xlfn.XLOOKUP(B2582,Indices!$A$2:$A$2676,Indices!$B$2:$B$2676,"")</f>
        <v/>
      </c>
    </row>
    <row r="2583" spans="1:4" x14ac:dyDescent="0.25">
      <c r="A2583" s="379">
        <v>45792.291666666664</v>
      </c>
      <c r="B2583" s="382" t="s">
        <v>4052</v>
      </c>
      <c r="C2583" s="377" t="s">
        <v>4040</v>
      </c>
      <c r="D2583" s="6" t="str">
        <f>_xlfn.XLOOKUP(B2583,Indices!$A$2:$A$2676,Indices!$B$2:$B$2676,"")</f>
        <v/>
      </c>
    </row>
    <row r="2584" spans="1:4" x14ac:dyDescent="0.25">
      <c r="A2584" s="379">
        <v>45792.291666666664</v>
      </c>
      <c r="B2584" s="382" t="s">
        <v>2906</v>
      </c>
      <c r="C2584" s="377" t="s">
        <v>4040</v>
      </c>
      <c r="D2584" s="6" t="str">
        <f>_xlfn.XLOOKUP(B2584,Indices!$A$2:$A$2676,Indices!$B$2:$B$2676,"")</f>
        <v/>
      </c>
    </row>
    <row r="2585" spans="1:4" x14ac:dyDescent="0.25">
      <c r="A2585" s="379">
        <v>45792.291666666664</v>
      </c>
      <c r="B2585" s="382" t="s">
        <v>4049</v>
      </c>
      <c r="C2585" s="377" t="s">
        <v>4040</v>
      </c>
      <c r="D2585" s="6" t="str">
        <f>_xlfn.XLOOKUP(B2585,Indices!$A$2:$A$2676,Indices!$B$2:$B$2676,"")</f>
        <v/>
      </c>
    </row>
    <row r="2586" spans="1:4" x14ac:dyDescent="0.25">
      <c r="A2586" s="379">
        <v>45792.291666666664</v>
      </c>
      <c r="B2586" s="382" t="s">
        <v>4051</v>
      </c>
      <c r="C2586" s="377" t="s">
        <v>4040</v>
      </c>
      <c r="D2586" s="6" t="str">
        <f>_xlfn.XLOOKUP(B2586,Indices!$A$2:$A$2676,Indices!$B$2:$B$2676,"")</f>
        <v/>
      </c>
    </row>
    <row r="2587" spans="1:4" x14ac:dyDescent="0.25">
      <c r="A2587" s="379">
        <v>45792.291666666664</v>
      </c>
      <c r="B2587" s="382" t="s">
        <v>3992</v>
      </c>
      <c r="C2587" s="377" t="s">
        <v>5391</v>
      </c>
      <c r="D2587" s="6" t="str">
        <f>_xlfn.XLOOKUP(B2587,Indices!$A$2:$A$2676,Indices!$B$2:$B$2676,"")</f>
        <v/>
      </c>
    </row>
    <row r="2588" spans="1:4" x14ac:dyDescent="0.25">
      <c r="A2588" s="379">
        <v>45792.291666666664</v>
      </c>
      <c r="B2588" s="382" t="s">
        <v>4046</v>
      </c>
      <c r="C2588" s="377" t="s">
        <v>4040</v>
      </c>
      <c r="D2588" s="6" t="str">
        <f>_xlfn.XLOOKUP(B2588,Indices!$A$2:$A$2676,Indices!$B$2:$B$2676,"")</f>
        <v/>
      </c>
    </row>
    <row r="2589" spans="1:4" x14ac:dyDescent="0.25">
      <c r="A2589" s="379">
        <v>45792.291666666664</v>
      </c>
      <c r="B2589" s="382" t="s">
        <v>3985</v>
      </c>
      <c r="C2589" s="377" t="s">
        <v>5391</v>
      </c>
      <c r="D2589" s="6" t="str">
        <f>_xlfn.XLOOKUP(B2589,Indices!$A$2:$A$2676,Indices!$B$2:$B$2676,"")</f>
        <v/>
      </c>
    </row>
    <row r="2590" spans="1:4" x14ac:dyDescent="0.25">
      <c r="A2590" s="379">
        <v>45792.302083333336</v>
      </c>
      <c r="B2590" s="382" t="s">
        <v>4042</v>
      </c>
      <c r="C2590" s="377" t="s">
        <v>5392</v>
      </c>
      <c r="D2590" s="6" t="str">
        <f>_xlfn.XLOOKUP(B2590,Indices!$A$2:$A$2676,Indices!$B$2:$B$2676,"")</f>
        <v/>
      </c>
    </row>
    <row r="2591" spans="1:4" x14ac:dyDescent="0.25">
      <c r="A2591" s="379">
        <v>45792.305555555555</v>
      </c>
      <c r="B2591" s="382" t="s">
        <v>3950</v>
      </c>
      <c r="C2591" s="377" t="s">
        <v>5393</v>
      </c>
      <c r="D2591" s="6" t="str">
        <f>_xlfn.XLOOKUP(B2591,Indices!$A$2:$A$2676,Indices!$B$2:$B$2676,"")</f>
        <v/>
      </c>
    </row>
    <row r="2592" spans="1:4" x14ac:dyDescent="0.25">
      <c r="A2592" s="379">
        <v>45792.338194444441</v>
      </c>
      <c r="B2592" s="382" t="s">
        <v>4037</v>
      </c>
      <c r="C2592" s="377" t="s">
        <v>5394</v>
      </c>
      <c r="D2592" s="6" t="str">
        <f>_xlfn.XLOOKUP(B2592,Indices!$A$2:$A$2676,Indices!$B$2:$B$2676,"")</f>
        <v/>
      </c>
    </row>
    <row r="2593" spans="1:4" x14ac:dyDescent="0.25">
      <c r="A2593" s="379">
        <v>45792.379861111112</v>
      </c>
      <c r="B2593" s="382" t="s">
        <v>2846</v>
      </c>
      <c r="C2593" s="377" t="s">
        <v>5395</v>
      </c>
      <c r="D2593" s="6" t="str">
        <f>_xlfn.XLOOKUP(B2593,Indices!$A$2:$A$2676,Indices!$B$2:$B$2676,"")</f>
        <v/>
      </c>
    </row>
    <row r="2594" spans="1:4" x14ac:dyDescent="0.25">
      <c r="A2594" s="379">
        <v>45792.458333333336</v>
      </c>
      <c r="B2594" s="382" t="s">
        <v>4114</v>
      </c>
      <c r="C2594" s="377" t="s">
        <v>4115</v>
      </c>
      <c r="D2594" s="6" t="str">
        <f>_xlfn.XLOOKUP(B2594,Indices!$A$2:$A$2676,Indices!$B$2:$B$2676,"")</f>
        <v/>
      </c>
    </row>
    <row r="2595" spans="1:4" x14ac:dyDescent="0.25">
      <c r="A2595" s="379">
        <v>45792.461111111108</v>
      </c>
      <c r="B2595" s="382" t="s">
        <v>3064</v>
      </c>
      <c r="C2595" s="377" t="s">
        <v>5396</v>
      </c>
      <c r="D2595" s="6" t="str">
        <f>_xlfn.XLOOKUP(B2595,Indices!$A$2:$A$2676,Indices!$B$2:$B$2676,"")</f>
        <v/>
      </c>
    </row>
    <row r="2596" spans="1:4" x14ac:dyDescent="0.25">
      <c r="A2596" s="379">
        <v>45792.520833333336</v>
      </c>
      <c r="B2596" s="382" t="s">
        <v>3933</v>
      </c>
      <c r="C2596" s="377" t="s">
        <v>5397</v>
      </c>
      <c r="D2596" s="6" t="str">
        <f>_xlfn.XLOOKUP(B2596,Indices!$A$2:$A$2676,Indices!$B$2:$B$2676,"")</f>
        <v/>
      </c>
    </row>
    <row r="2597" spans="1:4" x14ac:dyDescent="0.25">
      <c r="A2597" s="379">
        <v>45792.574305555558</v>
      </c>
      <c r="B2597" s="382" t="s">
        <v>4036</v>
      </c>
      <c r="C2597" s="377" t="s">
        <v>5398</v>
      </c>
      <c r="D2597" s="6" t="str">
        <f>_xlfn.XLOOKUP(B2597,Indices!$A$2:$A$2676,Indices!$B$2:$B$2676,"")</f>
        <v/>
      </c>
    </row>
    <row r="2598" spans="1:4" x14ac:dyDescent="0.25">
      <c r="A2598" s="379">
        <v>45792.583333333336</v>
      </c>
      <c r="B2598" s="382" t="s">
        <v>4035</v>
      </c>
      <c r="C2598" s="377" t="s">
        <v>5399</v>
      </c>
      <c r="D2598" s="6" t="str">
        <f>_xlfn.XLOOKUP(B2598,Indices!$A$2:$A$2676,Indices!$B$2:$B$2676,"")</f>
        <v/>
      </c>
    </row>
    <row r="2599" spans="1:4" x14ac:dyDescent="0.25">
      <c r="A2599" s="379">
        <v>45792.583333333336</v>
      </c>
      <c r="B2599" s="382" t="s">
        <v>3874</v>
      </c>
      <c r="C2599" s="377" t="s">
        <v>5399</v>
      </c>
      <c r="D2599" s="6" t="str">
        <f>_xlfn.XLOOKUP(B2599,Indices!$A$2:$A$2676,Indices!$B$2:$B$2676,"")</f>
        <v/>
      </c>
    </row>
    <row r="2600" spans="1:4" x14ac:dyDescent="0.25">
      <c r="A2600" s="379">
        <v>45792.583333333336</v>
      </c>
      <c r="B2600" s="382" t="s">
        <v>4111</v>
      </c>
      <c r="C2600" s="377" t="s">
        <v>5399</v>
      </c>
      <c r="D2600" s="6" t="str">
        <f>_xlfn.XLOOKUP(B2600,Indices!$A$2:$A$2676,Indices!$B$2:$B$2676,"")</f>
        <v/>
      </c>
    </row>
    <row r="2601" spans="1:4" x14ac:dyDescent="0.25">
      <c r="A2601" s="379">
        <v>45792.584027777775</v>
      </c>
      <c r="B2601" s="382" t="s">
        <v>4129</v>
      </c>
      <c r="C2601" s="377" t="s">
        <v>5400</v>
      </c>
      <c r="D2601" s="6" t="str">
        <f>_xlfn.XLOOKUP(B2601,Indices!$A$2:$A$2676,Indices!$B$2:$B$2676,"")</f>
        <v/>
      </c>
    </row>
    <row r="2602" spans="1:4" x14ac:dyDescent="0.25">
      <c r="A2602" s="379">
        <v>45792.584027777775</v>
      </c>
      <c r="B2602" s="382" t="s">
        <v>3615</v>
      </c>
      <c r="C2602" s="377" t="s">
        <v>5400</v>
      </c>
      <c r="D2602" s="6" t="str">
        <f>_xlfn.XLOOKUP(B2602,Indices!$A$2:$A$2676,Indices!$B$2:$B$2676,"")</f>
        <v/>
      </c>
    </row>
    <row r="2603" spans="1:4" x14ac:dyDescent="0.25">
      <c r="A2603" s="379">
        <v>45792.584027777775</v>
      </c>
      <c r="B2603" s="382" t="s">
        <v>670</v>
      </c>
      <c r="C2603" s="377" t="s">
        <v>5400</v>
      </c>
      <c r="D2603" s="6" t="str">
        <f>_xlfn.XLOOKUP(B2603,Indices!$A$2:$A$2676,Indices!$B$2:$B$2676,"")</f>
        <v>S&amp;P Mid</v>
      </c>
    </row>
    <row r="2604" spans="1:4" x14ac:dyDescent="0.25">
      <c r="A2604" s="379">
        <v>45792.584027777775</v>
      </c>
      <c r="B2604" s="382" t="s">
        <v>3840</v>
      </c>
      <c r="C2604" s="377" t="s">
        <v>5400</v>
      </c>
      <c r="D2604" s="6" t="str">
        <f>_xlfn.XLOOKUP(B2604,Indices!$A$2:$A$2676,Indices!$B$2:$B$2676,"")</f>
        <v/>
      </c>
    </row>
    <row r="2605" spans="1:4" x14ac:dyDescent="0.25">
      <c r="A2605" s="379">
        <v>45792.584027777775</v>
      </c>
      <c r="B2605" s="382" t="s">
        <v>3206</v>
      </c>
      <c r="C2605" s="377" t="s">
        <v>5400</v>
      </c>
      <c r="D2605" s="6" t="str">
        <f>_xlfn.XLOOKUP(B2605,Indices!$A$2:$A$2676,Indices!$B$2:$B$2676,"")</f>
        <v/>
      </c>
    </row>
    <row r="2606" spans="1:4" x14ac:dyDescent="0.25">
      <c r="A2606" s="379">
        <v>45792.584027777775</v>
      </c>
      <c r="B2606" s="382" t="s">
        <v>1059</v>
      </c>
      <c r="C2606" s="377" t="s">
        <v>5400</v>
      </c>
      <c r="D2606" s="6" t="str">
        <f>_xlfn.XLOOKUP(B2606,Indices!$A$2:$A$2676,Indices!$B$2:$B$2676,"")</f>
        <v>SP500</v>
      </c>
    </row>
    <row r="2607" spans="1:4" x14ac:dyDescent="0.25">
      <c r="A2607" s="379">
        <v>45792.584027777775</v>
      </c>
      <c r="B2607" s="382" t="s">
        <v>4006</v>
      </c>
      <c r="C2607" s="377" t="s">
        <v>5400</v>
      </c>
      <c r="D2607" s="6" t="str">
        <f>_xlfn.XLOOKUP(B2607,Indices!$A$2:$A$2676,Indices!$B$2:$B$2676,"")</f>
        <v/>
      </c>
    </row>
    <row r="2608" spans="1:4" x14ac:dyDescent="0.25">
      <c r="A2608" s="379">
        <v>45792.584027777775</v>
      </c>
      <c r="B2608" s="382" t="s">
        <v>3886</v>
      </c>
      <c r="C2608" s="377" t="s">
        <v>5400</v>
      </c>
      <c r="D2608" s="6" t="str">
        <f>_xlfn.XLOOKUP(B2608,Indices!$A$2:$A$2676,Indices!$B$2:$B$2676,"")</f>
        <v/>
      </c>
    </row>
    <row r="2609" spans="1:4" x14ac:dyDescent="0.25">
      <c r="A2609" s="379">
        <v>45792.584027777775</v>
      </c>
      <c r="B2609" s="382" t="s">
        <v>4119</v>
      </c>
      <c r="C2609" s="377" t="s">
        <v>5400</v>
      </c>
      <c r="D2609" s="6" t="str">
        <f>_xlfn.XLOOKUP(B2609,Indices!$A$2:$A$2676,Indices!$B$2:$B$2676,"")</f>
        <v/>
      </c>
    </row>
    <row r="2610" spans="1:4" x14ac:dyDescent="0.25">
      <c r="A2610" s="379">
        <v>45792.584027777775</v>
      </c>
      <c r="B2610" s="382" t="s">
        <v>1073</v>
      </c>
      <c r="C2610" s="377" t="s">
        <v>5400</v>
      </c>
      <c r="D2610" s="6" t="str">
        <f>_xlfn.XLOOKUP(B2610,Indices!$A$2:$A$2676,Indices!$B$2:$B$2676,"")</f>
        <v>IWM</v>
      </c>
    </row>
    <row r="2611" spans="1:4" x14ac:dyDescent="0.25">
      <c r="A2611" s="379">
        <v>45792.584027777775</v>
      </c>
      <c r="B2611" s="382" t="s">
        <v>4099</v>
      </c>
      <c r="C2611" s="377" t="s">
        <v>5400</v>
      </c>
      <c r="D2611" s="6" t="str">
        <f>_xlfn.XLOOKUP(B2611,Indices!$A$2:$A$2676,Indices!$B$2:$B$2676,"")</f>
        <v/>
      </c>
    </row>
    <row r="2612" spans="1:4" x14ac:dyDescent="0.25">
      <c r="A2612" s="379">
        <v>45792.585416666669</v>
      </c>
      <c r="B2612" s="382" t="s">
        <v>3989</v>
      </c>
      <c r="C2612" s="377" t="s">
        <v>5401</v>
      </c>
      <c r="D2612" s="6" t="str">
        <f>_xlfn.XLOOKUP(B2612,Indices!$A$2:$A$2676,Indices!$B$2:$B$2676,"")</f>
        <v/>
      </c>
    </row>
    <row r="2613" spans="1:4" x14ac:dyDescent="0.25">
      <c r="A2613" s="379">
        <v>45792.586805555555</v>
      </c>
      <c r="B2613" s="382" t="s">
        <v>3962</v>
      </c>
      <c r="C2613" s="377" t="s">
        <v>5402</v>
      </c>
      <c r="D2613" s="6" t="str">
        <f>_xlfn.XLOOKUP(B2613,Indices!$A$2:$A$2676,Indices!$B$2:$B$2676,"")</f>
        <v/>
      </c>
    </row>
    <row r="2614" spans="1:4" x14ac:dyDescent="0.25">
      <c r="A2614" s="379">
        <v>45792.586805555555</v>
      </c>
      <c r="B2614" s="382" t="s">
        <v>378</v>
      </c>
      <c r="C2614" s="377" t="s">
        <v>5402</v>
      </c>
      <c r="D2614" s="6" t="str">
        <f>_xlfn.XLOOKUP(B2614,Indices!$A$2:$A$2676,Indices!$B$2:$B$2676,"")</f>
        <v>SP500</v>
      </c>
    </row>
    <row r="2615" spans="1:4" x14ac:dyDescent="0.25">
      <c r="A2615" s="379">
        <v>45792.586805555555</v>
      </c>
      <c r="B2615" s="382" t="s">
        <v>4193</v>
      </c>
      <c r="C2615" s="377" t="s">
        <v>5402</v>
      </c>
      <c r="D2615" s="6" t="str">
        <f>_xlfn.XLOOKUP(B2615,Indices!$A$2:$A$2676,Indices!$B$2:$B$2676,"")</f>
        <v/>
      </c>
    </row>
    <row r="2616" spans="1:4" x14ac:dyDescent="0.25">
      <c r="A2616" s="379">
        <v>45792.586805555555</v>
      </c>
      <c r="B2616" s="382" t="s">
        <v>4175</v>
      </c>
      <c r="C2616" s="377" t="s">
        <v>5402</v>
      </c>
      <c r="D2616" s="6" t="str">
        <f>_xlfn.XLOOKUP(B2616,Indices!$A$2:$A$2676,Indices!$B$2:$B$2676,"")</f>
        <v/>
      </c>
    </row>
    <row r="2617" spans="1:4" x14ac:dyDescent="0.25">
      <c r="A2617" s="379">
        <v>45792.586805555555</v>
      </c>
      <c r="B2617" s="382" t="s">
        <v>4192</v>
      </c>
      <c r="C2617" s="377" t="s">
        <v>5402</v>
      </c>
      <c r="D2617" s="6" t="str">
        <f>_xlfn.XLOOKUP(B2617,Indices!$A$2:$A$2676,Indices!$B$2:$B$2676,"")</f>
        <v/>
      </c>
    </row>
    <row r="2618" spans="1:4" x14ac:dyDescent="0.25">
      <c r="A2618" s="379">
        <v>45792.586805555555</v>
      </c>
      <c r="B2618" s="382" t="s">
        <v>4170</v>
      </c>
      <c r="C2618" s="377" t="s">
        <v>5402</v>
      </c>
      <c r="D2618" s="6" t="str">
        <f>_xlfn.XLOOKUP(B2618,Indices!$A$2:$A$2676,Indices!$B$2:$B$2676,"")</f>
        <v/>
      </c>
    </row>
    <row r="2619" spans="1:4" x14ac:dyDescent="0.25">
      <c r="A2619" s="379">
        <v>45792.586805555555</v>
      </c>
      <c r="B2619" s="382" t="s">
        <v>2840</v>
      </c>
      <c r="C2619" s="377" t="s">
        <v>5402</v>
      </c>
      <c r="D2619" s="6" t="str">
        <f>_xlfn.XLOOKUP(B2619,Indices!$A$2:$A$2676,Indices!$B$2:$B$2676,"")</f>
        <v/>
      </c>
    </row>
    <row r="2620" spans="1:4" x14ac:dyDescent="0.25">
      <c r="A2620" s="379">
        <v>45792.586805555555</v>
      </c>
      <c r="B2620" s="382" t="s">
        <v>3179</v>
      </c>
      <c r="C2620" s="377" t="s">
        <v>5402</v>
      </c>
      <c r="D2620" s="6" t="str">
        <f>_xlfn.XLOOKUP(B2620,Indices!$A$2:$A$2676,Indices!$B$2:$B$2676,"")</f>
        <v/>
      </c>
    </row>
    <row r="2621" spans="1:4" x14ac:dyDescent="0.25">
      <c r="A2621" s="379">
        <v>45792.586805555555</v>
      </c>
      <c r="B2621" s="382" t="s">
        <v>4333</v>
      </c>
      <c r="C2621" s="377" t="s">
        <v>5402</v>
      </c>
      <c r="D2621" s="6" t="str">
        <f>_xlfn.XLOOKUP(B2621,Indices!$A$2:$A$2676,Indices!$B$2:$B$2676,"")</f>
        <v/>
      </c>
    </row>
    <row r="2622" spans="1:4" x14ac:dyDescent="0.25">
      <c r="A2622" s="379">
        <v>45792.586805555555</v>
      </c>
      <c r="B2622" s="382" t="s">
        <v>4131</v>
      </c>
      <c r="C2622" s="377" t="s">
        <v>5402</v>
      </c>
      <c r="D2622" s="6" t="str">
        <f>_xlfn.XLOOKUP(B2622,Indices!$A$2:$A$2676,Indices!$B$2:$B$2676,"")</f>
        <v/>
      </c>
    </row>
    <row r="2623" spans="1:4" x14ac:dyDescent="0.25">
      <c r="A2623" s="379">
        <v>45792.586805555555</v>
      </c>
      <c r="B2623" s="382" t="s">
        <v>4043</v>
      </c>
      <c r="C2623" s="377" t="s">
        <v>5402</v>
      </c>
      <c r="D2623" s="6" t="str">
        <f>_xlfn.XLOOKUP(B2623,Indices!$A$2:$A$2676,Indices!$B$2:$B$2676,"")</f>
        <v/>
      </c>
    </row>
    <row r="2624" spans="1:4" x14ac:dyDescent="0.25">
      <c r="A2624" s="379">
        <v>45792.586805555555</v>
      </c>
      <c r="B2624" s="382" t="s">
        <v>2279</v>
      </c>
      <c r="C2624" s="377" t="s">
        <v>5402</v>
      </c>
      <c r="D2624" s="6" t="str">
        <f>_xlfn.XLOOKUP(B2624,Indices!$A$2:$A$2676,Indices!$B$2:$B$2676,"")</f>
        <v>IWM</v>
      </c>
    </row>
    <row r="2625" spans="1:4" x14ac:dyDescent="0.25">
      <c r="A2625" s="379">
        <v>45792.586805555555</v>
      </c>
      <c r="B2625" s="382" t="s">
        <v>3574</v>
      </c>
      <c r="C2625" s="377" t="s">
        <v>5402</v>
      </c>
      <c r="D2625" s="6" t="str">
        <f>_xlfn.XLOOKUP(B2625,Indices!$A$2:$A$2676,Indices!$B$2:$B$2676,"")</f>
        <v/>
      </c>
    </row>
    <row r="2626" spans="1:4" x14ac:dyDescent="0.25">
      <c r="A2626" s="379">
        <v>45792.586805555555</v>
      </c>
      <c r="B2626" s="382" t="s">
        <v>3172</v>
      </c>
      <c r="C2626" s="377" t="s">
        <v>5402</v>
      </c>
      <c r="D2626" s="6" t="str">
        <f>_xlfn.XLOOKUP(B2626,Indices!$A$2:$A$2676,Indices!$B$2:$B$2676,"")</f>
        <v/>
      </c>
    </row>
    <row r="2627" spans="1:4" x14ac:dyDescent="0.25">
      <c r="A2627" s="379">
        <v>45792.586805555555</v>
      </c>
      <c r="B2627" s="382" t="s">
        <v>3909</v>
      </c>
      <c r="C2627" s="377" t="s">
        <v>5402</v>
      </c>
      <c r="D2627" s="6" t="str">
        <f>_xlfn.XLOOKUP(B2627,Indices!$A$2:$A$2676,Indices!$B$2:$B$2676,"")</f>
        <v/>
      </c>
    </row>
    <row r="2628" spans="1:4" x14ac:dyDescent="0.25">
      <c r="A2628" s="379">
        <v>45792.586805555555</v>
      </c>
      <c r="B2628" s="382" t="s">
        <v>1064</v>
      </c>
      <c r="C2628" s="377" t="s">
        <v>5402</v>
      </c>
      <c r="D2628" s="6" t="str">
        <f>_xlfn.XLOOKUP(B2628,Indices!$A$2:$A$2676,Indices!$B$2:$B$2676,"")</f>
        <v>IWM</v>
      </c>
    </row>
    <row r="2629" spans="1:4" x14ac:dyDescent="0.25">
      <c r="A2629" s="379">
        <v>45792.586805555555</v>
      </c>
      <c r="B2629" s="382" t="s">
        <v>3664</v>
      </c>
      <c r="C2629" s="377" t="s">
        <v>5402</v>
      </c>
      <c r="D2629" s="6" t="str">
        <f>_xlfn.XLOOKUP(B2629,Indices!$A$2:$A$2676,Indices!$B$2:$B$2676,"")</f>
        <v/>
      </c>
    </row>
    <row r="2630" spans="1:4" x14ac:dyDescent="0.25">
      <c r="A2630" s="379">
        <v>45792.586805555555</v>
      </c>
      <c r="B2630" s="382" t="s">
        <v>4121</v>
      </c>
      <c r="C2630" s="377" t="s">
        <v>5402</v>
      </c>
      <c r="D2630" s="6" t="str">
        <f>_xlfn.XLOOKUP(B2630,Indices!$A$2:$A$2676,Indices!$B$2:$B$2676,"")</f>
        <v/>
      </c>
    </row>
    <row r="2631" spans="1:4" x14ac:dyDescent="0.25">
      <c r="A2631" s="379">
        <v>45792.586805555555</v>
      </c>
      <c r="B2631" s="382" t="s">
        <v>3882</v>
      </c>
      <c r="C2631" s="377" t="s">
        <v>5402</v>
      </c>
      <c r="D2631" s="6" t="str">
        <f>_xlfn.XLOOKUP(B2631,Indices!$A$2:$A$2676,Indices!$B$2:$B$2676,"")</f>
        <v/>
      </c>
    </row>
    <row r="2632" spans="1:4" x14ac:dyDescent="0.25">
      <c r="A2632" s="379">
        <v>45792.586805555555</v>
      </c>
      <c r="B2632" s="382" t="s">
        <v>2918</v>
      </c>
      <c r="C2632" s="377" t="s">
        <v>5402</v>
      </c>
      <c r="D2632" s="6" t="str">
        <f>_xlfn.XLOOKUP(B2632,Indices!$A$2:$A$2676,Indices!$B$2:$B$2676,"")</f>
        <v/>
      </c>
    </row>
    <row r="2633" spans="1:4" x14ac:dyDescent="0.25">
      <c r="A2633" s="379">
        <v>45792.586805555555</v>
      </c>
      <c r="B2633" s="382" t="s">
        <v>2801</v>
      </c>
      <c r="C2633" s="377" t="s">
        <v>5402</v>
      </c>
      <c r="D2633" s="6" t="str">
        <f>_xlfn.XLOOKUP(B2633,Indices!$A$2:$A$2676,Indices!$B$2:$B$2676,"")</f>
        <v/>
      </c>
    </row>
    <row r="2634" spans="1:4" x14ac:dyDescent="0.25">
      <c r="A2634" s="379">
        <v>45792.586805555555</v>
      </c>
      <c r="B2634" s="382" t="s">
        <v>3663</v>
      </c>
      <c r="C2634" s="377" t="s">
        <v>5402</v>
      </c>
      <c r="D2634" s="6" t="str">
        <f>_xlfn.XLOOKUP(B2634,Indices!$A$2:$A$2676,Indices!$B$2:$B$2676,"")</f>
        <v/>
      </c>
    </row>
    <row r="2635" spans="1:4" x14ac:dyDescent="0.25">
      <c r="A2635" s="379">
        <v>45792.586805555555</v>
      </c>
      <c r="B2635" s="382" t="s">
        <v>2910</v>
      </c>
      <c r="C2635" s="377" t="s">
        <v>5402</v>
      </c>
      <c r="D2635" s="6" t="str">
        <f>_xlfn.XLOOKUP(B2635,Indices!$A$2:$A$2676,Indices!$B$2:$B$2676,"")</f>
        <v/>
      </c>
    </row>
    <row r="2636" spans="1:4" x14ac:dyDescent="0.25">
      <c r="A2636" s="379">
        <v>45792.586805555555</v>
      </c>
      <c r="B2636" s="382" t="s">
        <v>3609</v>
      </c>
      <c r="C2636" s="377" t="s">
        <v>5402</v>
      </c>
      <c r="D2636" s="6" t="str">
        <f>_xlfn.XLOOKUP(B2636,Indices!$A$2:$A$2676,Indices!$B$2:$B$2676,"")</f>
        <v/>
      </c>
    </row>
    <row r="2637" spans="1:4" x14ac:dyDescent="0.25">
      <c r="A2637" s="379">
        <v>45792.586805555555</v>
      </c>
      <c r="B2637" s="382" t="s">
        <v>1023</v>
      </c>
      <c r="C2637" s="377" t="s">
        <v>5402</v>
      </c>
      <c r="D2637" s="6" t="str">
        <f>_xlfn.XLOOKUP(B2637,Indices!$A$2:$A$2676,Indices!$B$2:$B$2676,"")</f>
        <v>IWM</v>
      </c>
    </row>
    <row r="2638" spans="1:4" x14ac:dyDescent="0.25">
      <c r="A2638" s="379">
        <v>45792.586805555555</v>
      </c>
      <c r="B2638" s="382" t="s">
        <v>3907</v>
      </c>
      <c r="C2638" s="377" t="s">
        <v>5402</v>
      </c>
      <c r="D2638" s="6" t="str">
        <f>_xlfn.XLOOKUP(B2638,Indices!$A$2:$A$2676,Indices!$B$2:$B$2676,"")</f>
        <v/>
      </c>
    </row>
    <row r="2639" spans="1:4" x14ac:dyDescent="0.25">
      <c r="A2639" s="379">
        <v>45792.586805555555</v>
      </c>
      <c r="B2639" s="382" t="s">
        <v>2892</v>
      </c>
      <c r="C2639" s="377" t="s">
        <v>5402</v>
      </c>
      <c r="D2639" s="6" t="str">
        <f>_xlfn.XLOOKUP(B2639,Indices!$A$2:$A$2676,Indices!$B$2:$B$2676,"")</f>
        <v/>
      </c>
    </row>
    <row r="2640" spans="1:4" x14ac:dyDescent="0.25">
      <c r="A2640" s="379">
        <v>45792.587500000001</v>
      </c>
      <c r="B2640" s="382" t="s">
        <v>4005</v>
      </c>
      <c r="C2640" s="377" t="s">
        <v>5403</v>
      </c>
      <c r="D2640" s="6" t="str">
        <f>_xlfn.XLOOKUP(B2640,Indices!$A$2:$A$2676,Indices!$B$2:$B$2676,"")</f>
        <v/>
      </c>
    </row>
    <row r="2641" spans="1:4" x14ac:dyDescent="0.25">
      <c r="A2641" s="379">
        <v>45792.587500000001</v>
      </c>
      <c r="B2641" s="382" t="s">
        <v>2878</v>
      </c>
      <c r="C2641" s="377" t="s">
        <v>5403</v>
      </c>
      <c r="D2641" s="6" t="str">
        <f>_xlfn.XLOOKUP(B2641,Indices!$A$2:$A$2676,Indices!$B$2:$B$2676,"")</f>
        <v/>
      </c>
    </row>
    <row r="2642" spans="1:4" x14ac:dyDescent="0.25">
      <c r="A2642" s="379">
        <v>45792.587500000001</v>
      </c>
      <c r="B2642" s="382" t="s">
        <v>2893</v>
      </c>
      <c r="C2642" s="377" t="s">
        <v>5403</v>
      </c>
      <c r="D2642" s="6" t="str">
        <f>_xlfn.XLOOKUP(B2642,Indices!$A$2:$A$2676,Indices!$B$2:$B$2676,"")</f>
        <v/>
      </c>
    </row>
    <row r="2643" spans="1:4" x14ac:dyDescent="0.25">
      <c r="A2643" s="379">
        <v>45792.588888888888</v>
      </c>
      <c r="B2643" s="382" t="s">
        <v>4095</v>
      </c>
      <c r="C2643" s="377" t="s">
        <v>5404</v>
      </c>
      <c r="D2643" s="6" t="str">
        <f>_xlfn.XLOOKUP(B2643,Indices!$A$2:$A$2676,Indices!$B$2:$B$2676,"")</f>
        <v/>
      </c>
    </row>
    <row r="2644" spans="1:4" x14ac:dyDescent="0.25">
      <c r="A2644" s="379">
        <v>45792.590277777781</v>
      </c>
      <c r="B2644" s="382" t="s">
        <v>4001</v>
      </c>
      <c r="C2644" s="377" t="s">
        <v>5405</v>
      </c>
      <c r="D2644" s="6" t="str">
        <f>_xlfn.XLOOKUP(B2644,Indices!$A$2:$A$2676,Indices!$B$2:$B$2676,"")</f>
        <v/>
      </c>
    </row>
    <row r="2645" spans="1:4" x14ac:dyDescent="0.25">
      <c r="A2645" s="379">
        <v>45792.590277777781</v>
      </c>
      <c r="B2645" s="382" t="s">
        <v>4367</v>
      </c>
      <c r="C2645" s="377" t="s">
        <v>5405</v>
      </c>
      <c r="D2645" s="6" t="str">
        <f>_xlfn.XLOOKUP(B2645,Indices!$A$2:$A$2676,Indices!$B$2:$B$2676,"")</f>
        <v/>
      </c>
    </row>
    <row r="2646" spans="1:4" x14ac:dyDescent="0.25">
      <c r="A2646" s="379">
        <v>45792.59375</v>
      </c>
      <c r="B2646" s="382" t="s">
        <v>3063</v>
      </c>
      <c r="C2646" s="377" t="s">
        <v>5406</v>
      </c>
      <c r="D2646" s="6" t="str">
        <f>_xlfn.XLOOKUP(B2646,Indices!$A$2:$A$2676,Indices!$B$2:$B$2676,"")</f>
        <v/>
      </c>
    </row>
    <row r="2647" spans="1:4" x14ac:dyDescent="0.25">
      <c r="A2647" s="379">
        <v>45792.59375</v>
      </c>
      <c r="B2647" s="382" t="s">
        <v>4090</v>
      </c>
      <c r="C2647" s="377" t="s">
        <v>5406</v>
      </c>
      <c r="D2647" s="6" t="str">
        <f>_xlfn.XLOOKUP(B2647,Indices!$A$2:$A$2676,Indices!$B$2:$B$2676,"")</f>
        <v/>
      </c>
    </row>
    <row r="2648" spans="1:4" x14ac:dyDescent="0.25">
      <c r="A2648" s="379">
        <v>45792.59375</v>
      </c>
      <c r="B2648" s="382" t="s">
        <v>5407</v>
      </c>
      <c r="C2648" s="377" t="s">
        <v>5406</v>
      </c>
      <c r="D2648" s="6" t="str">
        <f>_xlfn.XLOOKUP(B2648,Indices!$A$2:$A$2676,Indices!$B$2:$B$2676,"")</f>
        <v/>
      </c>
    </row>
    <row r="2649" spans="1:4" x14ac:dyDescent="0.25">
      <c r="A2649" s="379">
        <v>45792.59375</v>
      </c>
      <c r="B2649" s="382" t="s">
        <v>2898</v>
      </c>
      <c r="C2649" s="377" t="s">
        <v>5406</v>
      </c>
      <c r="D2649" s="6" t="str">
        <f>_xlfn.XLOOKUP(B2649,Indices!$A$2:$A$2676,Indices!$B$2:$B$2676,"")</f>
        <v/>
      </c>
    </row>
    <row r="2650" spans="1:4" x14ac:dyDescent="0.25">
      <c r="A2650" s="379">
        <v>45792.59375</v>
      </c>
      <c r="B2650" s="382" t="s">
        <v>4168</v>
      </c>
      <c r="C2650" s="377" t="s">
        <v>5406</v>
      </c>
      <c r="D2650" s="6" t="str">
        <f>_xlfn.XLOOKUP(B2650,Indices!$A$2:$A$2676,Indices!$B$2:$B$2676,"")</f>
        <v/>
      </c>
    </row>
    <row r="2651" spans="1:4" x14ac:dyDescent="0.25">
      <c r="A2651" s="379">
        <v>45792.59375</v>
      </c>
      <c r="B2651" s="382" t="s">
        <v>4294</v>
      </c>
      <c r="C2651" s="377" t="s">
        <v>5406</v>
      </c>
      <c r="D2651" s="6" t="str">
        <f>_xlfn.XLOOKUP(B2651,Indices!$A$2:$A$2676,Indices!$B$2:$B$2676,"")</f>
        <v/>
      </c>
    </row>
    <row r="2652" spans="1:4" x14ac:dyDescent="0.25">
      <c r="A2652" s="379">
        <v>45792.59375</v>
      </c>
      <c r="B2652" s="382" t="s">
        <v>2912</v>
      </c>
      <c r="C2652" s="377" t="s">
        <v>5406</v>
      </c>
      <c r="D2652" s="6" t="str">
        <f>_xlfn.XLOOKUP(B2652,Indices!$A$2:$A$2676,Indices!$B$2:$B$2676,"")</f>
        <v/>
      </c>
    </row>
    <row r="2653" spans="1:4" x14ac:dyDescent="0.25">
      <c r="A2653" s="379">
        <v>45792.59375</v>
      </c>
      <c r="B2653" s="382" t="s">
        <v>4178</v>
      </c>
      <c r="C2653" s="377" t="s">
        <v>5406</v>
      </c>
      <c r="D2653" s="6" t="str">
        <f>_xlfn.XLOOKUP(B2653,Indices!$A$2:$A$2676,Indices!$B$2:$B$2676,"")</f>
        <v/>
      </c>
    </row>
    <row r="2654" spans="1:4" x14ac:dyDescent="0.25">
      <c r="A2654" s="379">
        <v>45792.59375</v>
      </c>
      <c r="B2654" s="382" t="s">
        <v>4185</v>
      </c>
      <c r="C2654" s="377" t="s">
        <v>5406</v>
      </c>
      <c r="D2654" s="6" t="str">
        <f>_xlfn.XLOOKUP(B2654,Indices!$A$2:$A$2676,Indices!$B$2:$B$2676,"")</f>
        <v/>
      </c>
    </row>
    <row r="2655" spans="1:4" x14ac:dyDescent="0.25">
      <c r="A2655" s="379">
        <v>45792.59375</v>
      </c>
      <c r="B2655" s="382" t="s">
        <v>2926</v>
      </c>
      <c r="C2655" s="377" t="s">
        <v>5406</v>
      </c>
      <c r="D2655" s="6" t="str">
        <f>_xlfn.XLOOKUP(B2655,Indices!$A$2:$A$2676,Indices!$B$2:$B$2676,"")</f>
        <v/>
      </c>
    </row>
    <row r="2656" spans="1:4" x14ac:dyDescent="0.25">
      <c r="A2656" s="379">
        <v>45792.594444444447</v>
      </c>
      <c r="B2656" s="382" t="s">
        <v>4130</v>
      </c>
      <c r="C2656" s="377" t="s">
        <v>5408</v>
      </c>
      <c r="D2656" s="6" t="str">
        <f>_xlfn.XLOOKUP(B2656,Indices!$A$2:$A$2676,Indices!$B$2:$B$2676,"")</f>
        <v/>
      </c>
    </row>
    <row r="2657" spans="1:4" x14ac:dyDescent="0.25">
      <c r="A2657" s="379">
        <v>45792.594444444447</v>
      </c>
      <c r="B2657" s="382" t="s">
        <v>2882</v>
      </c>
      <c r="C2657" s="377" t="s">
        <v>5408</v>
      </c>
      <c r="D2657" s="6" t="str">
        <f>_xlfn.XLOOKUP(B2657,Indices!$A$2:$A$2676,Indices!$B$2:$B$2676,"")</f>
        <v/>
      </c>
    </row>
    <row r="2658" spans="1:4" x14ac:dyDescent="0.25">
      <c r="A2658" s="379">
        <v>45792.595833333333</v>
      </c>
      <c r="B2658" s="382" t="s">
        <v>3304</v>
      </c>
      <c r="C2658" s="377" t="s">
        <v>5409</v>
      </c>
      <c r="D2658" s="6" t="str">
        <f>_xlfn.XLOOKUP(B2658,Indices!$A$2:$A$2676,Indices!$B$2:$B$2676,"")</f>
        <v/>
      </c>
    </row>
    <row r="2659" spans="1:4" x14ac:dyDescent="0.25">
      <c r="A2659" s="379">
        <v>45792.595833333333</v>
      </c>
      <c r="B2659" s="382" t="s">
        <v>4014</v>
      </c>
      <c r="C2659" s="377" t="s">
        <v>5409</v>
      </c>
      <c r="D2659" s="6" t="str">
        <f>_xlfn.XLOOKUP(B2659,Indices!$A$2:$A$2676,Indices!$B$2:$B$2676,"")</f>
        <v/>
      </c>
    </row>
    <row r="2660" spans="1:4" x14ac:dyDescent="0.25">
      <c r="A2660" s="379">
        <v>45792.597222222219</v>
      </c>
      <c r="B2660" s="382" t="s">
        <v>3899</v>
      </c>
      <c r="C2660" s="377" t="s">
        <v>5410</v>
      </c>
      <c r="D2660" s="6" t="str">
        <f>_xlfn.XLOOKUP(B2660,Indices!$A$2:$A$2676,Indices!$B$2:$B$2676,"")</f>
        <v/>
      </c>
    </row>
    <row r="2661" spans="1:4" x14ac:dyDescent="0.25">
      <c r="A2661" s="379">
        <v>45792.597222222219</v>
      </c>
      <c r="B2661" s="382" t="s">
        <v>3296</v>
      </c>
      <c r="C2661" s="377" t="s">
        <v>5410</v>
      </c>
      <c r="D2661" s="6" t="str">
        <f>_xlfn.XLOOKUP(B2661,Indices!$A$2:$A$2676,Indices!$B$2:$B$2676,"")</f>
        <v/>
      </c>
    </row>
    <row r="2662" spans="1:4" x14ac:dyDescent="0.25">
      <c r="A2662" s="379">
        <v>45792.597222222219</v>
      </c>
      <c r="B2662" s="382" t="s">
        <v>3550</v>
      </c>
      <c r="C2662" s="377" t="s">
        <v>5410</v>
      </c>
      <c r="D2662" s="6" t="str">
        <f>_xlfn.XLOOKUP(B2662,Indices!$A$2:$A$2676,Indices!$B$2:$B$2676,"")</f>
        <v/>
      </c>
    </row>
    <row r="2663" spans="1:4" x14ac:dyDescent="0.25">
      <c r="A2663" s="379">
        <v>45792.599305555559</v>
      </c>
      <c r="B2663" s="382" t="s">
        <v>3764</v>
      </c>
      <c r="C2663" s="377" t="s">
        <v>5411</v>
      </c>
      <c r="D2663" s="6" t="str">
        <f>_xlfn.XLOOKUP(B2663,Indices!$A$2:$A$2676,Indices!$B$2:$B$2676,"")</f>
        <v/>
      </c>
    </row>
    <row r="2664" spans="1:4" x14ac:dyDescent="0.25">
      <c r="A2664" s="379">
        <v>45792.602083333331</v>
      </c>
      <c r="B2664" s="382" t="s">
        <v>4116</v>
      </c>
      <c r="C2664" s="377" t="s">
        <v>5412</v>
      </c>
      <c r="D2664" s="6" t="str">
        <f>_xlfn.XLOOKUP(B2664,Indices!$A$2:$A$2676,Indices!$B$2:$B$2676,"")</f>
        <v/>
      </c>
    </row>
    <row r="2665" spans="1:4" x14ac:dyDescent="0.25">
      <c r="A2665" s="379">
        <v>45792.604166666664</v>
      </c>
      <c r="B2665" s="382" t="s">
        <v>2838</v>
      </c>
      <c r="C2665" s="377" t="s">
        <v>5414</v>
      </c>
      <c r="D2665" s="6" t="str">
        <f>_xlfn.XLOOKUP(B2665,Indices!$A$2:$A$2676,Indices!$B$2:$B$2676,"")</f>
        <v/>
      </c>
    </row>
    <row r="2666" spans="1:4" x14ac:dyDescent="0.25">
      <c r="A2666" s="379">
        <v>45792.604166666664</v>
      </c>
      <c r="B2666" s="382" t="s">
        <v>4018</v>
      </c>
      <c r="C2666" s="377" t="s">
        <v>5414</v>
      </c>
      <c r="D2666" s="6" t="str">
        <f>_xlfn.XLOOKUP(B2666,Indices!$A$2:$A$2676,Indices!$B$2:$B$2676,"")</f>
        <v/>
      </c>
    </row>
    <row r="2667" spans="1:4" x14ac:dyDescent="0.25">
      <c r="A2667" s="379">
        <v>45792.604166666664</v>
      </c>
      <c r="B2667" s="382" t="s">
        <v>5413</v>
      </c>
      <c r="C2667" s="377" t="s">
        <v>5414</v>
      </c>
      <c r="D2667" s="6" t="str">
        <f>_xlfn.XLOOKUP(B2667,Indices!$A$2:$A$2676,Indices!$B$2:$B$2676,"")</f>
        <v/>
      </c>
    </row>
    <row r="2668" spans="1:4" x14ac:dyDescent="0.25">
      <c r="A2668" s="379">
        <v>45792.604166666664</v>
      </c>
      <c r="B2668" s="382" t="s">
        <v>4173</v>
      </c>
      <c r="C2668" s="377" t="s">
        <v>5414</v>
      </c>
      <c r="D2668" s="6" t="str">
        <f>_xlfn.XLOOKUP(B2668,Indices!$A$2:$A$2676,Indices!$B$2:$B$2676,"")</f>
        <v/>
      </c>
    </row>
    <row r="2669" spans="1:4" x14ac:dyDescent="0.25">
      <c r="A2669" s="379">
        <v>45792.604166666664</v>
      </c>
      <c r="B2669" s="382" t="s">
        <v>4138</v>
      </c>
      <c r="C2669" s="377" t="s">
        <v>5414</v>
      </c>
      <c r="D2669" s="6" t="str">
        <f>_xlfn.XLOOKUP(B2669,Indices!$A$2:$A$2676,Indices!$B$2:$B$2676,"")</f>
        <v/>
      </c>
    </row>
    <row r="2670" spans="1:4" x14ac:dyDescent="0.25">
      <c r="A2670" s="379">
        <v>45792.604861111111</v>
      </c>
      <c r="B2670" s="382" t="s">
        <v>4022</v>
      </c>
      <c r="C2670" s="377" t="s">
        <v>5415</v>
      </c>
      <c r="D2670" s="6" t="str">
        <f>_xlfn.XLOOKUP(B2670,Indices!$A$2:$A$2676,Indices!$B$2:$B$2676,"")</f>
        <v/>
      </c>
    </row>
    <row r="2671" spans="1:4" x14ac:dyDescent="0.25">
      <c r="A2671" s="379">
        <v>45792.604861111111</v>
      </c>
      <c r="B2671" s="382" t="s">
        <v>2884</v>
      </c>
      <c r="C2671" s="377" t="s">
        <v>5415</v>
      </c>
      <c r="D2671" s="6" t="str">
        <f>_xlfn.XLOOKUP(B2671,Indices!$A$2:$A$2676,Indices!$B$2:$B$2676,"")</f>
        <v/>
      </c>
    </row>
    <row r="2672" spans="1:4" x14ac:dyDescent="0.25">
      <c r="A2672" s="379">
        <v>45792.604861111111</v>
      </c>
      <c r="B2672" s="382" t="s">
        <v>3911</v>
      </c>
      <c r="C2672" s="377" t="s">
        <v>5415</v>
      </c>
      <c r="D2672" s="6" t="str">
        <f>_xlfn.XLOOKUP(B2672,Indices!$A$2:$A$2676,Indices!$B$2:$B$2676,"")</f>
        <v/>
      </c>
    </row>
    <row r="2673" spans="1:4" x14ac:dyDescent="0.25">
      <c r="A2673" s="379">
        <v>45792.606249999997</v>
      </c>
      <c r="B2673" s="382" t="s">
        <v>2911</v>
      </c>
      <c r="C2673" s="377" t="s">
        <v>5416</v>
      </c>
      <c r="D2673" s="6" t="str">
        <f>_xlfn.XLOOKUP(B2673,Indices!$A$2:$A$2676,Indices!$B$2:$B$2676,"")</f>
        <v/>
      </c>
    </row>
    <row r="2674" spans="1:4" x14ac:dyDescent="0.25">
      <c r="A2674" s="379">
        <v>45792.606944444444</v>
      </c>
      <c r="B2674" s="382" t="s">
        <v>4151</v>
      </c>
      <c r="C2674" s="377" t="s">
        <v>5417</v>
      </c>
      <c r="D2674" s="6" t="str">
        <f>_xlfn.XLOOKUP(B2674,Indices!$A$2:$A$2676,Indices!$B$2:$B$2676,"")</f>
        <v/>
      </c>
    </row>
    <row r="2675" spans="1:4" x14ac:dyDescent="0.25">
      <c r="A2675" s="379">
        <v>45792.611111111109</v>
      </c>
      <c r="B2675" s="382" t="s">
        <v>3620</v>
      </c>
      <c r="C2675" s="377" t="s">
        <v>5418</v>
      </c>
      <c r="D2675" s="6" t="str">
        <f>_xlfn.XLOOKUP(B2675,Indices!$A$2:$A$2676,Indices!$B$2:$B$2676,"")</f>
        <v/>
      </c>
    </row>
    <row r="2676" spans="1:4" x14ac:dyDescent="0.25">
      <c r="A2676" s="379">
        <v>45792.612500000003</v>
      </c>
      <c r="B2676" s="382" t="s">
        <v>2925</v>
      </c>
      <c r="C2676" s="377" t="s">
        <v>5419</v>
      </c>
      <c r="D2676" s="6" t="str">
        <f>_xlfn.XLOOKUP(B2676,Indices!$A$2:$A$2676,Indices!$B$2:$B$2676,"")</f>
        <v/>
      </c>
    </row>
    <row r="2677" spans="1:4" x14ac:dyDescent="0.25">
      <c r="A2677" s="379">
        <v>45792.614583333336</v>
      </c>
      <c r="B2677" s="382" t="s">
        <v>4140</v>
      </c>
      <c r="C2677" s="377" t="s">
        <v>5420</v>
      </c>
      <c r="D2677" s="6" t="str">
        <f>_xlfn.XLOOKUP(B2677,Indices!$A$2:$A$2676,Indices!$B$2:$B$2676,"")</f>
        <v/>
      </c>
    </row>
    <row r="2678" spans="1:4" x14ac:dyDescent="0.25">
      <c r="A2678" s="379">
        <v>45792.615972222222</v>
      </c>
      <c r="B2678" s="382" t="s">
        <v>4148</v>
      </c>
      <c r="C2678" s="377" t="s">
        <v>5421</v>
      </c>
      <c r="D2678" s="6" t="str">
        <f>_xlfn.XLOOKUP(B2678,Indices!$A$2:$A$2676,Indices!$B$2:$B$2676,"")</f>
        <v/>
      </c>
    </row>
    <row r="2679" spans="1:4" x14ac:dyDescent="0.25">
      <c r="A2679" s="379">
        <v>45792.622916666667</v>
      </c>
      <c r="B2679" s="382" t="s">
        <v>4201</v>
      </c>
      <c r="C2679" s="377" t="s">
        <v>5422</v>
      </c>
      <c r="D2679" s="6" t="str">
        <f>_xlfn.XLOOKUP(B2679,Indices!$A$2:$A$2676,Indices!$B$2:$B$2676,"")</f>
        <v/>
      </c>
    </row>
    <row r="2680" spans="1:4" x14ac:dyDescent="0.25">
      <c r="A2680" s="379">
        <v>45792.625</v>
      </c>
      <c r="B2680" s="382" t="s">
        <v>1058</v>
      </c>
      <c r="C2680" s="377" t="s">
        <v>4118</v>
      </c>
      <c r="D2680" s="6" t="str">
        <f>_xlfn.XLOOKUP(B2680,Indices!$A$2:$A$2676,Indices!$B$2:$B$2676,"")</f>
        <v>IWM</v>
      </c>
    </row>
    <row r="2681" spans="1:4" x14ac:dyDescent="0.25">
      <c r="A2681" s="379">
        <v>45792.625</v>
      </c>
      <c r="B2681" s="382" t="s">
        <v>4132</v>
      </c>
      <c r="C2681" s="377" t="s">
        <v>4118</v>
      </c>
      <c r="D2681" s="6" t="str">
        <f>_xlfn.XLOOKUP(B2681,Indices!$A$2:$A$2676,Indices!$B$2:$B$2676,"")</f>
        <v/>
      </c>
    </row>
    <row r="2682" spans="1:4" x14ac:dyDescent="0.25">
      <c r="A2682" s="379">
        <v>45792.625</v>
      </c>
      <c r="B2682" s="382" t="s">
        <v>4150</v>
      </c>
      <c r="C2682" s="377" t="s">
        <v>4118</v>
      </c>
      <c r="D2682" s="6" t="str">
        <f>_xlfn.XLOOKUP(B2682,Indices!$A$2:$A$2676,Indices!$B$2:$B$2676,"")</f>
        <v/>
      </c>
    </row>
    <row r="2683" spans="1:4" x14ac:dyDescent="0.25">
      <c r="A2683" s="379">
        <v>45792.625</v>
      </c>
      <c r="B2683" s="382" t="s">
        <v>2903</v>
      </c>
      <c r="C2683" s="377" t="s">
        <v>4118</v>
      </c>
      <c r="D2683" s="6" t="str">
        <f>_xlfn.XLOOKUP(B2683,Indices!$A$2:$A$2676,Indices!$B$2:$B$2676,"")</f>
        <v/>
      </c>
    </row>
    <row r="2684" spans="1:4" x14ac:dyDescent="0.25">
      <c r="A2684" s="379">
        <v>45792.625</v>
      </c>
      <c r="B2684" s="382" t="s">
        <v>4174</v>
      </c>
      <c r="C2684" s="377" t="s">
        <v>4118</v>
      </c>
      <c r="D2684" s="6" t="str">
        <f>_xlfn.XLOOKUP(B2684,Indices!$A$2:$A$2676,Indices!$B$2:$B$2676,"")</f>
        <v/>
      </c>
    </row>
    <row r="2685" spans="1:4" x14ac:dyDescent="0.25">
      <c r="A2685" s="379">
        <v>45792.625</v>
      </c>
      <c r="B2685" s="382" t="s">
        <v>2871</v>
      </c>
      <c r="C2685" s="377" t="s">
        <v>4118</v>
      </c>
      <c r="D2685" s="6" t="str">
        <f>_xlfn.XLOOKUP(B2685,Indices!$A$2:$A$2676,Indices!$B$2:$B$2676,"")</f>
        <v/>
      </c>
    </row>
    <row r="2686" spans="1:4" x14ac:dyDescent="0.25">
      <c r="A2686" s="379">
        <v>45792.625</v>
      </c>
      <c r="B2686" s="382" t="s">
        <v>2882</v>
      </c>
      <c r="C2686" s="377" t="s">
        <v>4118</v>
      </c>
      <c r="D2686" s="6" t="str">
        <f>_xlfn.XLOOKUP(B2686,Indices!$A$2:$A$2676,Indices!$B$2:$B$2676,"")</f>
        <v/>
      </c>
    </row>
    <row r="2687" spans="1:4" x14ac:dyDescent="0.25">
      <c r="A2687" s="379">
        <v>45792.625</v>
      </c>
      <c r="B2687" s="382" t="s">
        <v>4187</v>
      </c>
      <c r="C2687" s="377" t="s">
        <v>4118</v>
      </c>
      <c r="D2687" s="6" t="str">
        <f>_xlfn.XLOOKUP(B2687,Indices!$A$2:$A$2676,Indices!$B$2:$B$2676,"")</f>
        <v/>
      </c>
    </row>
    <row r="2688" spans="1:4" x14ac:dyDescent="0.25">
      <c r="A2688" s="379">
        <v>45792.625</v>
      </c>
      <c r="B2688" s="382" t="s">
        <v>2891</v>
      </c>
      <c r="C2688" s="377" t="s">
        <v>4118</v>
      </c>
      <c r="D2688" s="6" t="str">
        <f>_xlfn.XLOOKUP(B2688,Indices!$A$2:$A$2676,Indices!$B$2:$B$2676,"")</f>
        <v/>
      </c>
    </row>
    <row r="2689" spans="1:4" x14ac:dyDescent="0.25">
      <c r="A2689" s="379">
        <v>45792.625</v>
      </c>
      <c r="B2689" s="382" t="s">
        <v>4152</v>
      </c>
      <c r="C2689" s="377" t="s">
        <v>4118</v>
      </c>
      <c r="D2689" s="6" t="str">
        <f>_xlfn.XLOOKUP(B2689,Indices!$A$2:$A$2676,Indices!$B$2:$B$2676,"")</f>
        <v/>
      </c>
    </row>
    <row r="2690" spans="1:4" x14ac:dyDescent="0.25">
      <c r="A2690" s="379">
        <v>45792.625</v>
      </c>
      <c r="B2690" s="382" t="s">
        <v>4127</v>
      </c>
      <c r="C2690" s="377" t="s">
        <v>4118</v>
      </c>
      <c r="D2690" s="6" t="str">
        <f>_xlfn.XLOOKUP(B2690,Indices!$A$2:$A$2676,Indices!$B$2:$B$2676,"")</f>
        <v/>
      </c>
    </row>
    <row r="2691" spans="1:4" x14ac:dyDescent="0.25">
      <c r="A2691" s="379">
        <v>45792.625</v>
      </c>
      <c r="B2691" s="382" t="s">
        <v>2874</v>
      </c>
      <c r="C2691" s="377" t="s">
        <v>4118</v>
      </c>
      <c r="D2691" s="6" t="str">
        <f>_xlfn.XLOOKUP(B2691,Indices!$A$2:$A$2676,Indices!$B$2:$B$2676,"")</f>
        <v/>
      </c>
    </row>
    <row r="2692" spans="1:4" x14ac:dyDescent="0.25">
      <c r="A2692" s="379">
        <v>45792.625</v>
      </c>
      <c r="B2692" s="382" t="s">
        <v>4124</v>
      </c>
      <c r="C2692" s="377" t="s">
        <v>4118</v>
      </c>
      <c r="D2692" s="6" t="str">
        <f>_xlfn.XLOOKUP(B2692,Indices!$A$2:$A$2676,Indices!$B$2:$B$2676,"")</f>
        <v/>
      </c>
    </row>
    <row r="2693" spans="1:4" x14ac:dyDescent="0.25">
      <c r="A2693" s="379">
        <v>45792.625</v>
      </c>
      <c r="B2693" s="382" t="s">
        <v>2904</v>
      </c>
      <c r="C2693" s="377" t="s">
        <v>4118</v>
      </c>
      <c r="D2693" s="6" t="str">
        <f>_xlfn.XLOOKUP(B2693,Indices!$A$2:$A$2676,Indices!$B$2:$B$2676,"")</f>
        <v/>
      </c>
    </row>
    <row r="2694" spans="1:4" x14ac:dyDescent="0.25">
      <c r="A2694" s="379">
        <v>45792.625</v>
      </c>
      <c r="B2694" s="382" t="s">
        <v>4164</v>
      </c>
      <c r="C2694" s="377" t="s">
        <v>4118</v>
      </c>
      <c r="D2694" s="6" t="str">
        <f>_xlfn.XLOOKUP(B2694,Indices!$A$2:$A$2676,Indices!$B$2:$B$2676,"")</f>
        <v/>
      </c>
    </row>
    <row r="2695" spans="1:4" x14ac:dyDescent="0.25">
      <c r="A2695" s="379">
        <v>45792.625</v>
      </c>
      <c r="B2695" s="382" t="s">
        <v>4117</v>
      </c>
      <c r="C2695" s="377" t="s">
        <v>4118</v>
      </c>
      <c r="D2695" s="6" t="str">
        <f>_xlfn.XLOOKUP(B2695,Indices!$A$2:$A$2676,Indices!$B$2:$B$2676,"")</f>
        <v/>
      </c>
    </row>
    <row r="2696" spans="1:4" x14ac:dyDescent="0.25">
      <c r="A2696" s="379">
        <v>45792.625</v>
      </c>
      <c r="B2696" s="382" t="s">
        <v>4126</v>
      </c>
      <c r="C2696" s="377" t="s">
        <v>4118</v>
      </c>
      <c r="D2696" s="6" t="str">
        <f>_xlfn.XLOOKUP(B2696,Indices!$A$2:$A$2676,Indices!$B$2:$B$2676,"")</f>
        <v/>
      </c>
    </row>
    <row r="2697" spans="1:4" x14ac:dyDescent="0.25">
      <c r="A2697" s="379">
        <v>45792.625</v>
      </c>
      <c r="B2697" s="382" t="s">
        <v>4125</v>
      </c>
      <c r="C2697" s="377" t="s">
        <v>4118</v>
      </c>
      <c r="D2697" s="6" t="str">
        <f>_xlfn.XLOOKUP(B2697,Indices!$A$2:$A$2676,Indices!$B$2:$B$2676,"")</f>
        <v/>
      </c>
    </row>
    <row r="2698" spans="1:4" x14ac:dyDescent="0.25">
      <c r="A2698" s="379">
        <v>45792.625</v>
      </c>
      <c r="B2698" s="382" t="s">
        <v>4199</v>
      </c>
      <c r="C2698" s="377" t="s">
        <v>4118</v>
      </c>
      <c r="D2698" s="6" t="str">
        <f>_xlfn.XLOOKUP(B2698,Indices!$A$2:$A$2676,Indices!$B$2:$B$2676,"")</f>
        <v/>
      </c>
    </row>
    <row r="2699" spans="1:4" x14ac:dyDescent="0.25">
      <c r="A2699" s="379">
        <v>45792.625</v>
      </c>
      <c r="B2699" s="382" t="s">
        <v>2876</v>
      </c>
      <c r="C2699" s="377" t="s">
        <v>4118</v>
      </c>
      <c r="D2699" s="6" t="str">
        <f>_xlfn.XLOOKUP(B2699,Indices!$A$2:$A$2676,Indices!$B$2:$B$2676,"")</f>
        <v/>
      </c>
    </row>
    <row r="2700" spans="1:4" x14ac:dyDescent="0.25">
      <c r="A2700" s="379">
        <v>45792.625</v>
      </c>
      <c r="B2700" s="382" t="s">
        <v>4202</v>
      </c>
      <c r="C2700" s="377" t="s">
        <v>5423</v>
      </c>
      <c r="D2700" s="6" t="str">
        <f>_xlfn.XLOOKUP(B2700,Indices!$A$2:$A$2676,Indices!$B$2:$B$2676,"")</f>
        <v/>
      </c>
    </row>
    <row r="2701" spans="1:4" x14ac:dyDescent="0.25">
      <c r="A2701" s="379">
        <v>45792.625</v>
      </c>
      <c r="B2701" s="382" t="s">
        <v>4183</v>
      </c>
      <c r="C2701" s="377" t="s">
        <v>4118</v>
      </c>
      <c r="D2701" s="6" t="str">
        <f>_xlfn.XLOOKUP(B2701,Indices!$A$2:$A$2676,Indices!$B$2:$B$2676,"")</f>
        <v/>
      </c>
    </row>
    <row r="2702" spans="1:4" x14ac:dyDescent="0.25">
      <c r="A2702" s="379">
        <v>45792.625</v>
      </c>
      <c r="B2702" s="382" t="s">
        <v>2946</v>
      </c>
      <c r="C2702" s="377" t="s">
        <v>4118</v>
      </c>
      <c r="D2702" s="6" t="str">
        <f>_xlfn.XLOOKUP(B2702,Indices!$A$2:$A$2676,Indices!$B$2:$B$2676,"")</f>
        <v/>
      </c>
    </row>
    <row r="2703" spans="1:4" x14ac:dyDescent="0.25">
      <c r="A2703" s="379">
        <v>45792.625</v>
      </c>
      <c r="B2703" s="382" t="s">
        <v>4177</v>
      </c>
      <c r="C2703" s="377" t="s">
        <v>4118</v>
      </c>
      <c r="D2703" s="6" t="str">
        <f>_xlfn.XLOOKUP(B2703,Indices!$A$2:$A$2676,Indices!$B$2:$B$2676,"")</f>
        <v/>
      </c>
    </row>
    <row r="2704" spans="1:4" x14ac:dyDescent="0.25">
      <c r="A2704" s="379">
        <v>45792.625</v>
      </c>
      <c r="B2704" s="382" t="s">
        <v>2844</v>
      </c>
      <c r="C2704" s="377" t="s">
        <v>4118</v>
      </c>
      <c r="D2704" s="6" t="str">
        <f>_xlfn.XLOOKUP(B2704,Indices!$A$2:$A$2676,Indices!$B$2:$B$2676,"")</f>
        <v/>
      </c>
    </row>
    <row r="2705" spans="1:4" x14ac:dyDescent="0.25">
      <c r="A2705" s="379">
        <v>45792.625</v>
      </c>
      <c r="B2705" s="382" t="s">
        <v>2913</v>
      </c>
      <c r="C2705" s="377" t="s">
        <v>4118</v>
      </c>
      <c r="D2705" s="6" t="str">
        <f>_xlfn.XLOOKUP(B2705,Indices!$A$2:$A$2676,Indices!$B$2:$B$2676,"")</f>
        <v/>
      </c>
    </row>
    <row r="2706" spans="1:4" x14ac:dyDescent="0.25">
      <c r="A2706" s="379">
        <v>45792.629861111112</v>
      </c>
      <c r="B2706" s="382" t="s">
        <v>4104</v>
      </c>
      <c r="C2706" s="377" t="s">
        <v>5424</v>
      </c>
      <c r="D2706" s="6" t="str">
        <f>_xlfn.XLOOKUP(B2706,Indices!$A$2:$A$2676,Indices!$B$2:$B$2676,"")</f>
        <v/>
      </c>
    </row>
    <row r="2707" spans="1:4" x14ac:dyDescent="0.25">
      <c r="A2707" s="379">
        <v>45792.631249999999</v>
      </c>
      <c r="B2707" s="382" t="s">
        <v>3960</v>
      </c>
      <c r="C2707" s="377" t="s">
        <v>5425</v>
      </c>
      <c r="D2707" s="6" t="str">
        <f>_xlfn.XLOOKUP(B2707,Indices!$A$2:$A$2676,Indices!$B$2:$B$2676,"")</f>
        <v/>
      </c>
    </row>
    <row r="2708" spans="1:4" x14ac:dyDescent="0.25">
      <c r="A2708" s="379">
        <v>45792.635416666664</v>
      </c>
      <c r="B2708" s="382" t="s">
        <v>5427</v>
      </c>
      <c r="C2708" s="377" t="s">
        <v>5426</v>
      </c>
      <c r="D2708" s="6" t="str">
        <f>_xlfn.XLOOKUP(B2708,Indices!$A$2:$A$2676,Indices!$B$2:$B$2676,"")</f>
        <v/>
      </c>
    </row>
    <row r="2709" spans="1:4" x14ac:dyDescent="0.25">
      <c r="A2709" s="379">
        <v>45792.635416666664</v>
      </c>
      <c r="B2709" s="382" t="s">
        <v>2927</v>
      </c>
      <c r="C2709" s="377" t="s">
        <v>5426</v>
      </c>
      <c r="D2709" s="6" t="str">
        <f>_xlfn.XLOOKUP(B2709,Indices!$A$2:$A$2676,Indices!$B$2:$B$2676,"")</f>
        <v/>
      </c>
    </row>
    <row r="2710" spans="1:4" x14ac:dyDescent="0.25">
      <c r="A2710" s="379">
        <v>45792.640277777777</v>
      </c>
      <c r="B2710" s="382" t="s">
        <v>4484</v>
      </c>
      <c r="C2710" s="377" t="s">
        <v>5428</v>
      </c>
      <c r="D2710" s="6" t="str">
        <f>_xlfn.XLOOKUP(B2710,Indices!$A$2:$A$2676,Indices!$B$2:$B$2676,"")</f>
        <v/>
      </c>
    </row>
    <row r="2711" spans="1:4" x14ac:dyDescent="0.25">
      <c r="A2711" s="379">
        <v>45792.640277777777</v>
      </c>
      <c r="B2711" s="382" t="s">
        <v>865</v>
      </c>
      <c r="C2711" s="377" t="s">
        <v>5428</v>
      </c>
      <c r="D2711" s="6" t="str">
        <f>_xlfn.XLOOKUP(B2711,Indices!$A$2:$A$2676,Indices!$B$2:$B$2676,"")</f>
        <v>IWM</v>
      </c>
    </row>
    <row r="2712" spans="1:4" x14ac:dyDescent="0.25">
      <c r="A2712" s="379">
        <v>45792.642361111109</v>
      </c>
      <c r="B2712" s="382" t="s">
        <v>4145</v>
      </c>
      <c r="C2712" s="377" t="s">
        <v>5429</v>
      </c>
      <c r="D2712" s="6" t="str">
        <f>_xlfn.XLOOKUP(B2712,Indices!$A$2:$A$2676,Indices!$B$2:$B$2676,"")</f>
        <v/>
      </c>
    </row>
    <row r="2713" spans="1:4" x14ac:dyDescent="0.25">
      <c r="A2713" s="379">
        <v>45792.643750000003</v>
      </c>
      <c r="B2713" s="382" t="s">
        <v>4146</v>
      </c>
      <c r="C2713" s="377" t="s">
        <v>5430</v>
      </c>
      <c r="D2713" s="6" t="str">
        <f>_xlfn.XLOOKUP(B2713,Indices!$A$2:$A$2676,Indices!$B$2:$B$2676,"")</f>
        <v/>
      </c>
    </row>
    <row r="2714" spans="1:4" x14ac:dyDescent="0.25">
      <c r="A2714" s="379">
        <v>45792.649305555555</v>
      </c>
      <c r="B2714" s="382" t="s">
        <v>2894</v>
      </c>
      <c r="C2714" s="377" t="s">
        <v>5431</v>
      </c>
      <c r="D2714" s="6" t="str">
        <f>_xlfn.XLOOKUP(B2714,Indices!$A$2:$A$2676,Indices!$B$2:$B$2676,"")</f>
        <v/>
      </c>
    </row>
    <row r="2715" spans="1:4" x14ac:dyDescent="0.25">
      <c r="A2715" s="379">
        <v>45792.832638888889</v>
      </c>
      <c r="B2715" s="382" t="s">
        <v>2606</v>
      </c>
      <c r="C2715" s="377" t="s">
        <v>5432</v>
      </c>
      <c r="D2715" s="6" t="str">
        <f>_xlfn.XLOOKUP(B2715,Indices!$A$2:$A$2676,Indices!$B$2:$B$2676,"")</f>
        <v/>
      </c>
    </row>
    <row r="2716" spans="1:4" x14ac:dyDescent="0.25">
      <c r="A2716" s="379">
        <v>45792.958333333336</v>
      </c>
      <c r="B2716" s="382" t="s">
        <v>4206</v>
      </c>
      <c r="C2716" s="377" t="s">
        <v>5433</v>
      </c>
      <c r="D2716" s="6" t="str">
        <f>_xlfn.XLOOKUP(B2716,Indices!$A$2:$A$2676,Indices!$B$2:$B$2676,"")</f>
        <v/>
      </c>
    </row>
    <row r="2717" spans="1:4" x14ac:dyDescent="0.25">
      <c r="A2717" s="379">
        <v>45793.125</v>
      </c>
      <c r="B2717" s="382" t="s">
        <v>4252</v>
      </c>
      <c r="C2717" s="377" t="s">
        <v>5434</v>
      </c>
      <c r="D2717" s="6" t="str">
        <f>_xlfn.XLOOKUP(B2717,Indices!$A$2:$A$2676,Indices!$B$2:$B$2676,"")</f>
        <v/>
      </c>
    </row>
    <row r="2718" spans="1:4" x14ac:dyDescent="0.25">
      <c r="A2718" s="379">
        <v>45793.145833333336</v>
      </c>
      <c r="B2718" s="382" t="s">
        <v>4208</v>
      </c>
      <c r="C2718" s="377" t="s">
        <v>5435</v>
      </c>
      <c r="D2718" s="6" t="str">
        <f>_xlfn.XLOOKUP(B2718,Indices!$A$2:$A$2676,Indices!$B$2:$B$2676,"")</f>
        <v/>
      </c>
    </row>
    <row r="2719" spans="1:4" x14ac:dyDescent="0.25">
      <c r="A2719" s="379">
        <v>45793.145833333336</v>
      </c>
      <c r="B2719" s="382" t="s">
        <v>3863</v>
      </c>
      <c r="C2719" s="377" t="s">
        <v>5435</v>
      </c>
      <c r="D2719" s="6" t="str">
        <f>_xlfn.XLOOKUP(B2719,Indices!$A$2:$A$2676,Indices!$B$2:$B$2676,"")</f>
        <v/>
      </c>
    </row>
    <row r="2720" spans="1:4" x14ac:dyDescent="0.25">
      <c r="A2720" s="379">
        <v>45793.191666666666</v>
      </c>
      <c r="B2720" s="382" t="s">
        <v>4327</v>
      </c>
      <c r="C2720" s="377" t="s">
        <v>5436</v>
      </c>
      <c r="D2720" s="6" t="str">
        <f>_xlfn.XLOOKUP(B2720,Indices!$A$2:$A$2676,Indices!$B$2:$B$2676,"")</f>
        <v/>
      </c>
    </row>
    <row r="2721" spans="1:4" x14ac:dyDescent="0.25">
      <c r="A2721" s="379">
        <v>45793.197222222225</v>
      </c>
      <c r="B2721" s="382" t="s">
        <v>2883</v>
      </c>
      <c r="C2721" s="377" t="s">
        <v>5437</v>
      </c>
      <c r="D2721" s="6" t="str">
        <f>_xlfn.XLOOKUP(B2721,Indices!$A$2:$A$2676,Indices!$B$2:$B$2676,"")</f>
        <v/>
      </c>
    </row>
    <row r="2722" spans="1:4" x14ac:dyDescent="0.25">
      <c r="A2722" s="379">
        <v>45793.208333333336</v>
      </c>
      <c r="B2722" s="382" t="s">
        <v>3937</v>
      </c>
      <c r="C2722" s="377" t="s">
        <v>5438</v>
      </c>
      <c r="D2722" s="6" t="str">
        <f>_xlfn.XLOOKUP(B2722,Indices!$A$2:$A$2676,Indices!$B$2:$B$2676,"")</f>
        <v/>
      </c>
    </row>
    <row r="2723" spans="1:4" x14ac:dyDescent="0.25">
      <c r="A2723" s="379">
        <v>45793.208333333336</v>
      </c>
      <c r="B2723" s="382" t="s">
        <v>4271</v>
      </c>
      <c r="C2723" s="377" t="s">
        <v>5438</v>
      </c>
      <c r="D2723" s="6" t="str">
        <f>_xlfn.XLOOKUP(B2723,Indices!$A$2:$A$2676,Indices!$B$2:$B$2676,"")</f>
        <v/>
      </c>
    </row>
    <row r="2724" spans="1:4" x14ac:dyDescent="0.25">
      <c r="A2724" s="379">
        <v>45793.208333333336</v>
      </c>
      <c r="B2724" s="382" t="s">
        <v>2510</v>
      </c>
      <c r="C2724" s="377" t="s">
        <v>5438</v>
      </c>
      <c r="D2724" s="6" t="str">
        <f>_xlfn.XLOOKUP(B2724,Indices!$A$2:$A$2676,Indices!$B$2:$B$2676,"")</f>
        <v/>
      </c>
    </row>
    <row r="2725" spans="1:4" x14ac:dyDescent="0.25">
      <c r="A2725" s="379">
        <v>45793.208333333336</v>
      </c>
      <c r="B2725" s="382" t="s">
        <v>828</v>
      </c>
      <c r="C2725" s="377" t="s">
        <v>5438</v>
      </c>
      <c r="D2725" s="6" t="str">
        <f>_xlfn.XLOOKUP(B2725,Indices!$A$2:$A$2676,Indices!$B$2:$B$2676,"")</f>
        <v>S&amp;P Mid</v>
      </c>
    </row>
    <row r="2726" spans="1:4" x14ac:dyDescent="0.25">
      <c r="A2726" s="379">
        <v>45793.25</v>
      </c>
      <c r="B2726" s="382" t="s">
        <v>4336</v>
      </c>
      <c r="C2726" s="377" t="s">
        <v>5439</v>
      </c>
      <c r="D2726" s="6" t="str">
        <f>_xlfn.XLOOKUP(B2726,Indices!$A$2:$A$2676,Indices!$B$2:$B$2676,"")</f>
        <v/>
      </c>
    </row>
    <row r="2727" spans="1:4" x14ac:dyDescent="0.25">
      <c r="A2727" s="379">
        <v>45793.25</v>
      </c>
      <c r="B2727" s="382" t="s">
        <v>29</v>
      </c>
      <c r="C2727" s="377" t="s">
        <v>5439</v>
      </c>
      <c r="D2727" s="6" t="str">
        <f>_xlfn.XLOOKUP(B2727,Indices!$A$2:$A$2676,Indices!$B$2:$B$2676,"")</f>
        <v>S&amp;P Mid</v>
      </c>
    </row>
    <row r="2728" spans="1:4" x14ac:dyDescent="0.25">
      <c r="A2728" s="379">
        <v>45793.291666666664</v>
      </c>
      <c r="B2728" s="382" t="s">
        <v>4205</v>
      </c>
      <c r="C2728" s="377" t="s">
        <v>4204</v>
      </c>
      <c r="D2728" s="6" t="str">
        <f>_xlfn.XLOOKUP(B2728,Indices!$A$2:$A$2676,Indices!$B$2:$B$2676,"")</f>
        <v/>
      </c>
    </row>
    <row r="2729" spans="1:4" x14ac:dyDescent="0.25">
      <c r="A2729" s="379">
        <v>45793.625</v>
      </c>
      <c r="B2729" s="382" t="s">
        <v>2807</v>
      </c>
      <c r="C2729" s="377" t="s">
        <v>4551</v>
      </c>
      <c r="D2729" s="6" t="str">
        <f>_xlfn.XLOOKUP(B2729,Indices!$A$2:$A$2676,Indices!$B$2:$B$2676,"")</f>
        <v/>
      </c>
    </row>
    <row r="2730" spans="1:4" x14ac:dyDescent="0.25">
      <c r="A2730" s="379">
        <v>45793.625</v>
      </c>
      <c r="B2730" s="382" t="s">
        <v>2796</v>
      </c>
      <c r="C2730" s="377" t="s">
        <v>4551</v>
      </c>
      <c r="D2730" s="6" t="str">
        <f>_xlfn.XLOOKUP(B2730,Indices!$A$2:$A$2676,Indices!$B$2:$B$2676,"")</f>
        <v/>
      </c>
    </row>
    <row r="2731" spans="1:4" x14ac:dyDescent="0.25">
      <c r="A2731" s="379">
        <v>45795.958333333336</v>
      </c>
      <c r="B2731" s="382" t="s">
        <v>4216</v>
      </c>
      <c r="C2731" s="377" t="s">
        <v>5440</v>
      </c>
      <c r="D2731" s="6" t="str">
        <f>_xlfn.XLOOKUP(B2731,Indices!$A$2:$A$2676,Indices!$B$2:$B$2676,"")</f>
        <v/>
      </c>
    </row>
    <row r="2732" spans="1:4" x14ac:dyDescent="0.25">
      <c r="A2732" s="379">
        <v>45795.958333333336</v>
      </c>
      <c r="B2732" s="382" t="s">
        <v>4214</v>
      </c>
      <c r="C2732" s="377" t="s">
        <v>5440</v>
      </c>
      <c r="D2732" s="6" t="str">
        <f>_xlfn.XLOOKUP(B2732,Indices!$A$2:$A$2676,Indices!$B$2:$B$2676,"")</f>
        <v/>
      </c>
    </row>
    <row r="2733" spans="1:4" x14ac:dyDescent="0.25">
      <c r="A2733" s="379">
        <v>45795.965277777781</v>
      </c>
      <c r="B2733" s="382" t="s">
        <v>3274</v>
      </c>
      <c r="C2733" s="377" t="s">
        <v>5441</v>
      </c>
      <c r="D2733" s="6" t="str">
        <f>_xlfn.XLOOKUP(B2733,Indices!$A$2:$A$2676,Indices!$B$2:$B$2676,"")</f>
        <v/>
      </c>
    </row>
    <row r="2734" spans="1:4" x14ac:dyDescent="0.25">
      <c r="A2734" s="379">
        <v>45796.083333333336</v>
      </c>
      <c r="B2734" s="382" t="s">
        <v>4209</v>
      </c>
      <c r="C2734" s="377" t="s">
        <v>5442</v>
      </c>
      <c r="D2734" s="6" t="str">
        <f>_xlfn.XLOOKUP(B2734,Indices!$A$2:$A$2676,Indices!$B$2:$B$2676,"")</f>
        <v/>
      </c>
    </row>
    <row r="2735" spans="1:4" x14ac:dyDescent="0.25">
      <c r="A2735" s="379">
        <v>45796.166666666664</v>
      </c>
      <c r="B2735" s="382" t="s">
        <v>3523</v>
      </c>
      <c r="C2735" s="377" t="s">
        <v>5443</v>
      </c>
      <c r="D2735" s="6" t="str">
        <f>_xlfn.XLOOKUP(B2735,Indices!$A$2:$A$2676,Indices!$B$2:$B$2676,"")</f>
        <v/>
      </c>
    </row>
    <row r="2736" spans="1:4" x14ac:dyDescent="0.25">
      <c r="A2736" s="379">
        <v>45796.197916666664</v>
      </c>
      <c r="B2736" s="382" t="s">
        <v>893</v>
      </c>
      <c r="C2736" s="377" t="s">
        <v>5444</v>
      </c>
      <c r="D2736" s="6" t="str">
        <f>_xlfn.XLOOKUP(B2736,Indices!$A$2:$A$2676,Indices!$B$2:$B$2676,"")</f>
        <v>IWM</v>
      </c>
    </row>
    <row r="2737" spans="1:4" x14ac:dyDescent="0.25">
      <c r="A2737" s="379">
        <v>45796.208333333336</v>
      </c>
      <c r="B2737" s="382" t="s">
        <v>2921</v>
      </c>
      <c r="C2737" s="377" t="s">
        <v>5445</v>
      </c>
      <c r="D2737" s="6" t="str">
        <f>_xlfn.XLOOKUP(B2737,Indices!$A$2:$A$2676,Indices!$B$2:$B$2676,"")</f>
        <v/>
      </c>
    </row>
    <row r="2738" spans="1:4" x14ac:dyDescent="0.25">
      <c r="A2738" s="379">
        <v>45796.208333333336</v>
      </c>
      <c r="B2738" s="382" t="s">
        <v>4215</v>
      </c>
      <c r="C2738" s="377" t="s">
        <v>5445</v>
      </c>
      <c r="D2738" s="6" t="str">
        <f>_xlfn.XLOOKUP(B2738,Indices!$A$2:$A$2676,Indices!$B$2:$B$2676,"")</f>
        <v/>
      </c>
    </row>
    <row r="2739" spans="1:4" x14ac:dyDescent="0.25">
      <c r="A2739" s="379">
        <v>45796.208333333336</v>
      </c>
      <c r="B2739" s="382" t="s">
        <v>4302</v>
      </c>
      <c r="C2739" s="377" t="s">
        <v>5445</v>
      </c>
      <c r="D2739" s="6" t="str">
        <f>_xlfn.XLOOKUP(B2739,Indices!$A$2:$A$2676,Indices!$B$2:$B$2676,"")</f>
        <v/>
      </c>
    </row>
    <row r="2740" spans="1:4" x14ac:dyDescent="0.25">
      <c r="A2740" s="379">
        <v>45796.222916666666</v>
      </c>
      <c r="B2740" s="382" t="s">
        <v>3096</v>
      </c>
      <c r="C2740" s="377" t="s">
        <v>5446</v>
      </c>
      <c r="D2740" s="6" t="str">
        <f>_xlfn.XLOOKUP(B2740,Indices!$A$2:$A$2676,Indices!$B$2:$B$2676,"")</f>
        <v/>
      </c>
    </row>
    <row r="2741" spans="1:4" x14ac:dyDescent="0.25">
      <c r="A2741" s="379">
        <v>45796.25</v>
      </c>
      <c r="B2741" s="382" t="s">
        <v>4076</v>
      </c>
      <c r="C2741" s="377" t="s">
        <v>5447</v>
      </c>
      <c r="D2741" s="6" t="str">
        <f>_xlfn.XLOOKUP(B2741,Indices!$A$2:$A$2676,Indices!$B$2:$B$2676,"")</f>
        <v/>
      </c>
    </row>
    <row r="2742" spans="1:4" x14ac:dyDescent="0.25">
      <c r="A2742" s="379">
        <v>45796.291666666664</v>
      </c>
      <c r="B2742" s="382" t="s">
        <v>4210</v>
      </c>
      <c r="C2742" s="377" t="s">
        <v>4211</v>
      </c>
      <c r="D2742" s="6" t="str">
        <f>_xlfn.XLOOKUP(B2742,Indices!$A$2:$A$2676,Indices!$B$2:$B$2676,"")</f>
        <v/>
      </c>
    </row>
    <row r="2743" spans="1:4" x14ac:dyDescent="0.25">
      <c r="A2743" s="379">
        <v>45796.584027777775</v>
      </c>
      <c r="B2743" s="382" t="s">
        <v>4245</v>
      </c>
      <c r="C2743" s="377" t="s">
        <v>5448</v>
      </c>
      <c r="D2743" s="6" t="str">
        <f>_xlfn.XLOOKUP(B2743,Indices!$A$2:$A$2676,Indices!$B$2:$B$2676,"")</f>
        <v/>
      </c>
    </row>
    <row r="2744" spans="1:4" x14ac:dyDescent="0.25">
      <c r="A2744" s="379">
        <v>45796.584027777775</v>
      </c>
      <c r="B2744" s="382" t="s">
        <v>2022</v>
      </c>
      <c r="C2744" s="377" t="s">
        <v>5448</v>
      </c>
      <c r="D2744" s="6" t="str">
        <f>_xlfn.XLOOKUP(B2744,Indices!$A$2:$A$2676,Indices!$B$2:$B$2676,"")</f>
        <v>IWM</v>
      </c>
    </row>
    <row r="2745" spans="1:4" x14ac:dyDescent="0.25">
      <c r="A2745" s="379">
        <v>45796.586805555555</v>
      </c>
      <c r="B2745" s="382" t="s">
        <v>1027</v>
      </c>
      <c r="C2745" s="377" t="s">
        <v>5449</v>
      </c>
      <c r="D2745" s="6" t="str">
        <f>_xlfn.XLOOKUP(B2745,Indices!$A$2:$A$2676,Indices!$B$2:$B$2676,"")</f>
        <v>IWM</v>
      </c>
    </row>
    <row r="2746" spans="1:4" x14ac:dyDescent="0.25">
      <c r="A2746" s="379">
        <v>45796.586805555555</v>
      </c>
      <c r="B2746" s="382" t="s">
        <v>1785</v>
      </c>
      <c r="C2746" s="377" t="s">
        <v>5449</v>
      </c>
      <c r="D2746" s="6" t="str">
        <f>_xlfn.XLOOKUP(B2746,Indices!$A$2:$A$2676,Indices!$B$2:$B$2676,"")</f>
        <v>IWM</v>
      </c>
    </row>
    <row r="2747" spans="1:4" x14ac:dyDescent="0.25">
      <c r="A2747" s="379">
        <v>45796.588888888888</v>
      </c>
      <c r="B2747" s="382" t="s">
        <v>91</v>
      </c>
      <c r="C2747" s="377" t="s">
        <v>5450</v>
      </c>
      <c r="D2747" s="6" t="str">
        <f>_xlfn.XLOOKUP(B2747,Indices!$A$2:$A$2676,Indices!$B$2:$B$2676,"")</f>
        <v>IWM</v>
      </c>
    </row>
    <row r="2748" spans="1:4" x14ac:dyDescent="0.25">
      <c r="A2748" s="379">
        <v>45796.625</v>
      </c>
      <c r="B2748" s="382" t="s">
        <v>3361</v>
      </c>
      <c r="C2748" s="377" t="s">
        <v>4217</v>
      </c>
      <c r="D2748" s="6" t="str">
        <f>_xlfn.XLOOKUP(B2748,Indices!$A$2:$A$2676,Indices!$B$2:$B$2676,"")</f>
        <v/>
      </c>
    </row>
    <row r="2749" spans="1:4" x14ac:dyDescent="0.25">
      <c r="A2749" s="379">
        <v>45796.625</v>
      </c>
      <c r="B2749" s="382" t="s">
        <v>4219</v>
      </c>
      <c r="C2749" s="377" t="s">
        <v>5451</v>
      </c>
      <c r="D2749" s="6" t="str">
        <f>_xlfn.XLOOKUP(B2749,Indices!$A$2:$A$2676,Indices!$B$2:$B$2676,"")</f>
        <v/>
      </c>
    </row>
    <row r="2750" spans="1:4" x14ac:dyDescent="0.25">
      <c r="A2750" s="379">
        <v>45796.645833333336</v>
      </c>
      <c r="B2750" s="382" t="s">
        <v>2885</v>
      </c>
      <c r="C2750" s="377" t="s">
        <v>5452</v>
      </c>
      <c r="D2750" s="6" t="str">
        <f>_xlfn.XLOOKUP(B2750,Indices!$A$2:$A$2676,Indices!$B$2:$B$2676,"")</f>
        <v/>
      </c>
    </row>
    <row r="2751" spans="1:4" x14ac:dyDescent="0.25">
      <c r="A2751" s="379">
        <v>45796.666666666664</v>
      </c>
      <c r="B2751" s="382" t="s">
        <v>4220</v>
      </c>
      <c r="C2751" s="377" t="s">
        <v>5453</v>
      </c>
      <c r="D2751" s="6" t="str">
        <f>_xlfn.XLOOKUP(B2751,Indices!$A$2:$A$2676,Indices!$B$2:$B$2676,"")</f>
        <v/>
      </c>
    </row>
    <row r="2752" spans="1:4" x14ac:dyDescent="0.25">
      <c r="A2752" s="379">
        <v>45796.666666666664</v>
      </c>
      <c r="B2752" s="382" t="s">
        <v>4207</v>
      </c>
      <c r="C2752" s="377" t="s">
        <v>5453</v>
      </c>
      <c r="D2752" s="6" t="str">
        <f>_xlfn.XLOOKUP(B2752,Indices!$A$2:$A$2676,Indices!$B$2:$B$2676,"")</f>
        <v/>
      </c>
    </row>
    <row r="2753" spans="1:4" x14ac:dyDescent="0.25">
      <c r="A2753" s="379">
        <v>45796.677777777775</v>
      </c>
      <c r="B2753" s="382" t="s">
        <v>4263</v>
      </c>
      <c r="C2753" s="377" t="s">
        <v>5454</v>
      </c>
      <c r="D2753" s="6" t="str">
        <f>_xlfn.XLOOKUP(B2753,Indices!$A$2:$A$2676,Indices!$B$2:$B$2676,"")</f>
        <v/>
      </c>
    </row>
    <row r="2754" spans="1:4" x14ac:dyDescent="0.25">
      <c r="A2754" s="379">
        <v>45796.777777777781</v>
      </c>
      <c r="B2754" s="382" t="s">
        <v>4218</v>
      </c>
      <c r="C2754" s="377" t="s">
        <v>5455</v>
      </c>
      <c r="D2754" s="6" t="str">
        <f>_xlfn.XLOOKUP(B2754,Indices!$A$2:$A$2676,Indices!$B$2:$B$2676,"")</f>
        <v/>
      </c>
    </row>
    <row r="2755" spans="1:4" x14ac:dyDescent="0.25">
      <c r="A2755" s="379">
        <v>45796.958333333336</v>
      </c>
      <c r="B2755" s="382" t="s">
        <v>2565</v>
      </c>
      <c r="C2755" s="377" t="s">
        <v>5457</v>
      </c>
      <c r="D2755" s="6" t="str">
        <f>_xlfn.XLOOKUP(B2755,Indices!$A$2:$A$2676,Indices!$B$2:$B$2676,"")</f>
        <v/>
      </c>
    </row>
    <row r="2756" spans="1:4" x14ac:dyDescent="0.25">
      <c r="A2756" s="379">
        <v>45796.958333333336</v>
      </c>
      <c r="B2756" s="382" t="s">
        <v>4240</v>
      </c>
      <c r="C2756" s="377" t="s">
        <v>5456</v>
      </c>
      <c r="D2756" s="6" t="str">
        <f>_xlfn.XLOOKUP(B2756,Indices!$A$2:$A$2676,Indices!$B$2:$B$2676,"")</f>
        <v/>
      </c>
    </row>
    <row r="2757" spans="1:4" x14ac:dyDescent="0.25">
      <c r="A2757" s="379">
        <v>45797.048611111109</v>
      </c>
      <c r="B2757" s="382" t="s">
        <v>4231</v>
      </c>
      <c r="C2757" s="377" t="s">
        <v>5458</v>
      </c>
      <c r="D2757" s="6" t="str">
        <f>_xlfn.XLOOKUP(B2757,Indices!$A$2:$A$2676,Indices!$B$2:$B$2676,"")</f>
        <v/>
      </c>
    </row>
    <row r="2758" spans="1:4" x14ac:dyDescent="0.25">
      <c r="A2758" s="379">
        <v>45797.083333333336</v>
      </c>
      <c r="B2758" s="382" t="s">
        <v>4391</v>
      </c>
      <c r="C2758" s="377" t="s">
        <v>5459</v>
      </c>
      <c r="D2758" s="6" t="str">
        <f>_xlfn.XLOOKUP(B2758,Indices!$A$2:$A$2676,Indices!$B$2:$B$2676,"")</f>
        <v/>
      </c>
    </row>
    <row r="2759" spans="1:4" x14ac:dyDescent="0.25">
      <c r="A2759" s="379">
        <v>45797.113888888889</v>
      </c>
      <c r="B2759" s="382" t="s">
        <v>4301</v>
      </c>
      <c r="C2759" s="377" t="s">
        <v>5460</v>
      </c>
      <c r="D2759" s="6" t="str">
        <f>_xlfn.XLOOKUP(B2759,Indices!$A$2:$A$2676,Indices!$B$2:$B$2676,"")</f>
        <v/>
      </c>
    </row>
    <row r="2760" spans="1:4" x14ac:dyDescent="0.25">
      <c r="A2760" s="379">
        <v>45797.135416666664</v>
      </c>
      <c r="B2760" s="382" t="s">
        <v>4394</v>
      </c>
      <c r="C2760" s="377" t="s">
        <v>5461</v>
      </c>
      <c r="D2760" s="6" t="str">
        <f>_xlfn.XLOOKUP(B2760,Indices!$A$2:$A$2676,Indices!$B$2:$B$2676,"")</f>
        <v/>
      </c>
    </row>
    <row r="2761" spans="1:4" x14ac:dyDescent="0.25">
      <c r="A2761" s="379">
        <v>45797.135416666664</v>
      </c>
      <c r="B2761" s="382" t="s">
        <v>4251</v>
      </c>
      <c r="C2761" s="377" t="s">
        <v>5461</v>
      </c>
      <c r="D2761" s="6" t="str">
        <f>_xlfn.XLOOKUP(B2761,Indices!$A$2:$A$2676,Indices!$B$2:$B$2676,"")</f>
        <v/>
      </c>
    </row>
    <row r="2762" spans="1:4" x14ac:dyDescent="0.25">
      <c r="A2762" s="379">
        <v>45797.145833333336</v>
      </c>
      <c r="B2762" s="382" t="s">
        <v>4203</v>
      </c>
      <c r="C2762" s="377" t="s">
        <v>5462</v>
      </c>
      <c r="D2762" s="6" t="str">
        <f>_xlfn.XLOOKUP(B2762,Indices!$A$2:$A$2676,Indices!$B$2:$B$2676,"")</f>
        <v/>
      </c>
    </row>
    <row r="2763" spans="1:4" x14ac:dyDescent="0.25">
      <c r="A2763" s="379">
        <v>45797.166666666664</v>
      </c>
      <c r="B2763" s="382" t="s">
        <v>4234</v>
      </c>
      <c r="C2763" s="377" t="s">
        <v>5463</v>
      </c>
      <c r="D2763" s="6" t="str">
        <f>_xlfn.XLOOKUP(B2763,Indices!$A$2:$A$2676,Indices!$B$2:$B$2676,"")</f>
        <v/>
      </c>
    </row>
    <row r="2764" spans="1:4" x14ac:dyDescent="0.25">
      <c r="A2764" s="379">
        <v>45797.166666666664</v>
      </c>
      <c r="B2764" s="382" t="s">
        <v>4344</v>
      </c>
      <c r="C2764" s="377" t="s">
        <v>5463</v>
      </c>
      <c r="D2764" s="6" t="str">
        <f>_xlfn.XLOOKUP(B2764,Indices!$A$2:$A$2676,Indices!$B$2:$B$2676,"")</f>
        <v/>
      </c>
    </row>
    <row r="2765" spans="1:4" x14ac:dyDescent="0.25">
      <c r="A2765" s="379">
        <v>45797.166666666664</v>
      </c>
      <c r="B2765" s="382" t="s">
        <v>881</v>
      </c>
      <c r="C2765" s="377" t="s">
        <v>5463</v>
      </c>
      <c r="D2765" s="6" t="str">
        <f>_xlfn.XLOOKUP(B2765,Indices!$A$2:$A$2676,Indices!$B$2:$B$2676,"")</f>
        <v>SP500</v>
      </c>
    </row>
    <row r="2766" spans="1:4" x14ac:dyDescent="0.25">
      <c r="A2766" s="379">
        <v>45797.166666666664</v>
      </c>
      <c r="B2766" s="382" t="s">
        <v>4236</v>
      </c>
      <c r="C2766" s="377" t="s">
        <v>5463</v>
      </c>
      <c r="D2766" s="6" t="str">
        <f>_xlfn.XLOOKUP(B2766,Indices!$A$2:$A$2676,Indices!$B$2:$B$2676,"")</f>
        <v/>
      </c>
    </row>
    <row r="2767" spans="1:4" x14ac:dyDescent="0.25">
      <c r="A2767" s="379">
        <v>45797.177083333336</v>
      </c>
      <c r="B2767" s="382" t="s">
        <v>4068</v>
      </c>
      <c r="C2767" s="377" t="s">
        <v>5464</v>
      </c>
      <c r="D2767" s="6" t="str">
        <f>_xlfn.XLOOKUP(B2767,Indices!$A$2:$A$2676,Indices!$B$2:$B$2676,"")</f>
        <v/>
      </c>
    </row>
    <row r="2768" spans="1:4" x14ac:dyDescent="0.25">
      <c r="A2768" s="379">
        <v>45797.1875</v>
      </c>
      <c r="B2768" s="382" t="s">
        <v>2353</v>
      </c>
      <c r="C2768" s="377" t="s">
        <v>5465</v>
      </c>
      <c r="D2768" s="6" t="str">
        <f>_xlfn.XLOOKUP(B2768,Indices!$A$2:$A$2676,Indices!$B$2:$B$2676,"")</f>
        <v>S&amp;P Mid</v>
      </c>
    </row>
    <row r="2769" spans="1:4" x14ac:dyDescent="0.25">
      <c r="A2769" s="379">
        <v>45797.208333333336</v>
      </c>
      <c r="B2769" s="382" t="s">
        <v>4345</v>
      </c>
      <c r="C2769" s="377" t="s">
        <v>5466</v>
      </c>
      <c r="D2769" s="6" t="str">
        <f>_xlfn.XLOOKUP(B2769,Indices!$A$2:$A$2676,Indices!$B$2:$B$2676,"")</f>
        <v/>
      </c>
    </row>
    <row r="2770" spans="1:4" x14ac:dyDescent="0.25">
      <c r="A2770" s="379">
        <v>45797.208333333336</v>
      </c>
      <c r="B2770" s="382" t="s">
        <v>4228</v>
      </c>
      <c r="C2770" s="377" t="s">
        <v>5466</v>
      </c>
      <c r="D2770" s="6" t="str">
        <f>_xlfn.XLOOKUP(B2770,Indices!$A$2:$A$2676,Indices!$B$2:$B$2676,"")</f>
        <v/>
      </c>
    </row>
    <row r="2771" spans="1:4" x14ac:dyDescent="0.25">
      <c r="A2771" s="379">
        <v>45797.208333333336</v>
      </c>
      <c r="B2771" s="382" t="s">
        <v>4212</v>
      </c>
      <c r="C2771" s="377" t="s">
        <v>5466</v>
      </c>
      <c r="D2771" s="6" t="str">
        <f>_xlfn.XLOOKUP(B2771,Indices!$A$2:$A$2676,Indices!$B$2:$B$2676,"")</f>
        <v/>
      </c>
    </row>
    <row r="2772" spans="1:4" x14ac:dyDescent="0.25">
      <c r="A2772" s="379">
        <v>45797.208333333336</v>
      </c>
      <c r="B2772" s="382" t="s">
        <v>4255</v>
      </c>
      <c r="C2772" s="377" t="s">
        <v>5466</v>
      </c>
      <c r="D2772" s="6" t="str">
        <f>_xlfn.XLOOKUP(B2772,Indices!$A$2:$A$2676,Indices!$B$2:$B$2676,"")</f>
        <v/>
      </c>
    </row>
    <row r="2773" spans="1:4" x14ac:dyDescent="0.25">
      <c r="A2773" s="379">
        <v>45797.21875</v>
      </c>
      <c r="B2773" s="382" t="s">
        <v>2798</v>
      </c>
      <c r="C2773" s="377" t="s">
        <v>5467</v>
      </c>
      <c r="D2773" s="6" t="str">
        <f>_xlfn.XLOOKUP(B2773,Indices!$A$2:$A$2676,Indices!$B$2:$B$2676,"")</f>
        <v/>
      </c>
    </row>
    <row r="2774" spans="1:4" x14ac:dyDescent="0.25">
      <c r="A2774" s="379">
        <v>45797.227777777778</v>
      </c>
      <c r="B2774" s="382" t="s">
        <v>4248</v>
      </c>
      <c r="C2774" s="377" t="s">
        <v>5468</v>
      </c>
      <c r="D2774" s="6" t="str">
        <f>_xlfn.XLOOKUP(B2774,Indices!$A$2:$A$2676,Indices!$B$2:$B$2676,"")</f>
        <v/>
      </c>
    </row>
    <row r="2775" spans="1:4" x14ac:dyDescent="0.25">
      <c r="A2775" s="379">
        <v>45797.25</v>
      </c>
      <c r="B2775" s="382" t="s">
        <v>3405</v>
      </c>
      <c r="C2775" s="377" t="s">
        <v>5469</v>
      </c>
      <c r="D2775" s="6" t="str">
        <f>_xlfn.XLOOKUP(B2775,Indices!$A$2:$A$2676,Indices!$B$2:$B$2676,"")</f>
        <v/>
      </c>
    </row>
    <row r="2776" spans="1:4" x14ac:dyDescent="0.25">
      <c r="A2776" s="379">
        <v>45797.25277777778</v>
      </c>
      <c r="B2776" s="382" t="s">
        <v>3837</v>
      </c>
      <c r="C2776" s="377" t="s">
        <v>5470</v>
      </c>
      <c r="D2776" s="6" t="str">
        <f>_xlfn.XLOOKUP(B2776,Indices!$A$2:$A$2676,Indices!$B$2:$B$2676,"")</f>
        <v/>
      </c>
    </row>
    <row r="2777" spans="1:4" x14ac:dyDescent="0.25">
      <c r="A2777" s="379">
        <v>45797.291666666664</v>
      </c>
      <c r="B2777" s="382" t="s">
        <v>4238</v>
      </c>
      <c r="C2777" s="377" t="s">
        <v>4223</v>
      </c>
      <c r="D2777" s="6" t="str">
        <f>_xlfn.XLOOKUP(B2777,Indices!$A$2:$A$2676,Indices!$B$2:$B$2676,"")</f>
        <v/>
      </c>
    </row>
    <row r="2778" spans="1:4" x14ac:dyDescent="0.25">
      <c r="A2778" s="379">
        <v>45797.291666666664</v>
      </c>
      <c r="B2778" s="382" t="s">
        <v>4232</v>
      </c>
      <c r="C2778" s="377" t="s">
        <v>4233</v>
      </c>
      <c r="D2778" s="6" t="str">
        <f>_xlfn.XLOOKUP(B2778,Indices!$A$2:$A$2676,Indices!$B$2:$B$2676,"")</f>
        <v/>
      </c>
    </row>
    <row r="2779" spans="1:4" x14ac:dyDescent="0.25">
      <c r="A2779" s="379">
        <v>45797.291666666664</v>
      </c>
      <c r="B2779" s="382" t="s">
        <v>3957</v>
      </c>
      <c r="C2779" s="377" t="s">
        <v>5471</v>
      </c>
      <c r="D2779" s="6" t="str">
        <f>_xlfn.XLOOKUP(B2779,Indices!$A$2:$A$2676,Indices!$B$2:$B$2676,"")</f>
        <v/>
      </c>
    </row>
    <row r="2780" spans="1:4" x14ac:dyDescent="0.25">
      <c r="A2780" s="379">
        <v>45797.302083333336</v>
      </c>
      <c r="B2780" s="382" t="s">
        <v>1215</v>
      </c>
      <c r="C2780" s="377" t="s">
        <v>5472</v>
      </c>
      <c r="D2780" s="6" t="str">
        <f>_xlfn.XLOOKUP(B2780,Indices!$A$2:$A$2676,Indices!$B$2:$B$2676,"")</f>
        <v>IWM</v>
      </c>
    </row>
    <row r="2781" spans="1:4" x14ac:dyDescent="0.25">
      <c r="A2781" s="379">
        <v>45797.574999999997</v>
      </c>
      <c r="B2781" s="382" t="s">
        <v>2077</v>
      </c>
      <c r="C2781" s="377" t="s">
        <v>5473</v>
      </c>
      <c r="D2781" s="6" t="str">
        <f>_xlfn.XLOOKUP(B2781,Indices!$A$2:$A$2676,Indices!$B$2:$B$2676,"")</f>
        <v>IWM</v>
      </c>
    </row>
    <row r="2782" spans="1:4" x14ac:dyDescent="0.25">
      <c r="A2782" s="379">
        <v>45797.584027777775</v>
      </c>
      <c r="B2782" s="382" t="s">
        <v>4485</v>
      </c>
      <c r="C2782" s="377" t="s">
        <v>5474</v>
      </c>
      <c r="D2782" s="6" t="str">
        <f>_xlfn.XLOOKUP(B2782,Indices!$A$2:$A$2676,Indices!$B$2:$B$2676,"")</f>
        <v/>
      </c>
    </row>
    <row r="2783" spans="1:4" x14ac:dyDescent="0.25">
      <c r="A2783" s="379">
        <v>45797.586805555555</v>
      </c>
      <c r="B2783" s="382" t="s">
        <v>2881</v>
      </c>
      <c r="C2783" s="377" t="s">
        <v>5475</v>
      </c>
      <c r="D2783" s="6" t="str">
        <f>_xlfn.XLOOKUP(B2783,Indices!$A$2:$A$2676,Indices!$B$2:$B$2676,"")</f>
        <v/>
      </c>
    </row>
    <row r="2784" spans="1:4" x14ac:dyDescent="0.25">
      <c r="A2784" s="379">
        <v>45797.586805555555</v>
      </c>
      <c r="B2784" s="382" t="s">
        <v>1102</v>
      </c>
      <c r="C2784" s="377" t="s">
        <v>5475</v>
      </c>
      <c r="D2784" s="6" t="str">
        <f>_xlfn.XLOOKUP(B2784,Indices!$A$2:$A$2676,Indices!$B$2:$B$2676,"")</f>
        <v>SP500</v>
      </c>
    </row>
    <row r="2785" spans="1:4" x14ac:dyDescent="0.25">
      <c r="A2785" s="379">
        <v>45797.586805555555</v>
      </c>
      <c r="B2785" s="382" t="s">
        <v>1090</v>
      </c>
      <c r="C2785" s="377" t="s">
        <v>5475</v>
      </c>
      <c r="D2785" s="6" t="str">
        <f>_xlfn.XLOOKUP(B2785,Indices!$A$2:$A$2676,Indices!$B$2:$B$2676,"")</f>
        <v>IWM</v>
      </c>
    </row>
    <row r="2786" spans="1:4" x14ac:dyDescent="0.25">
      <c r="A2786" s="379">
        <v>45797.586805555555</v>
      </c>
      <c r="B2786" s="382" t="s">
        <v>419</v>
      </c>
      <c r="C2786" s="377" t="s">
        <v>5475</v>
      </c>
      <c r="D2786" s="6" t="str">
        <f>_xlfn.XLOOKUP(B2786,Indices!$A$2:$A$2676,Indices!$B$2:$B$2676,"")</f>
        <v>IWM</v>
      </c>
    </row>
    <row r="2787" spans="1:4" x14ac:dyDescent="0.25">
      <c r="A2787" s="379">
        <v>45797.586805555555</v>
      </c>
      <c r="B2787" s="382" t="s">
        <v>1091</v>
      </c>
      <c r="C2787" s="377" t="s">
        <v>5475</v>
      </c>
      <c r="D2787" s="6" t="str">
        <f>_xlfn.XLOOKUP(B2787,Indices!$A$2:$A$2676,Indices!$B$2:$B$2676,"")</f>
        <v>SP500</v>
      </c>
    </row>
    <row r="2788" spans="1:4" x14ac:dyDescent="0.25">
      <c r="A2788" s="379">
        <v>45797.59097222222</v>
      </c>
      <c r="B2788" s="382" t="s">
        <v>3879</v>
      </c>
      <c r="C2788" s="377" t="s">
        <v>5476</v>
      </c>
      <c r="D2788" s="6" t="str">
        <f>_xlfn.XLOOKUP(B2788,Indices!$A$2:$A$2676,Indices!$B$2:$B$2676,"")</f>
        <v/>
      </c>
    </row>
    <row r="2789" spans="1:4" x14ac:dyDescent="0.25">
      <c r="A2789" s="379">
        <v>45797.59375</v>
      </c>
      <c r="B2789" s="382" t="s">
        <v>2847</v>
      </c>
      <c r="C2789" s="377" t="s">
        <v>5477</v>
      </c>
      <c r="D2789" s="6" t="str">
        <f>_xlfn.XLOOKUP(B2789,Indices!$A$2:$A$2676,Indices!$B$2:$B$2676,"")</f>
        <v/>
      </c>
    </row>
    <row r="2790" spans="1:4" x14ac:dyDescent="0.25">
      <c r="A2790" s="379">
        <v>45797.59375</v>
      </c>
      <c r="B2790" s="382" t="s">
        <v>4262</v>
      </c>
      <c r="C2790" s="377" t="s">
        <v>5477</v>
      </c>
      <c r="D2790" s="6" t="str">
        <f>_xlfn.XLOOKUP(B2790,Indices!$A$2:$A$2676,Indices!$B$2:$B$2676,"")</f>
        <v/>
      </c>
    </row>
    <row r="2791" spans="1:4" x14ac:dyDescent="0.25">
      <c r="A2791" s="379">
        <v>45797.59375</v>
      </c>
      <c r="B2791" s="382" t="s">
        <v>1624</v>
      </c>
      <c r="C2791" s="377" t="s">
        <v>5477</v>
      </c>
      <c r="D2791" s="6" t="str">
        <f>_xlfn.XLOOKUP(B2791,Indices!$A$2:$A$2676,Indices!$B$2:$B$2676,"")</f>
        <v>IWM</v>
      </c>
    </row>
    <row r="2792" spans="1:4" x14ac:dyDescent="0.25">
      <c r="A2792" s="379">
        <v>45797.59375</v>
      </c>
      <c r="B2792" s="382" t="s">
        <v>4259</v>
      </c>
      <c r="C2792" s="377" t="s">
        <v>5477</v>
      </c>
      <c r="D2792" s="6" t="str">
        <f>_xlfn.XLOOKUP(B2792,Indices!$A$2:$A$2676,Indices!$B$2:$B$2676,"")</f>
        <v/>
      </c>
    </row>
    <row r="2793" spans="1:4" x14ac:dyDescent="0.25">
      <c r="A2793" s="379">
        <v>45797.59375</v>
      </c>
      <c r="B2793" s="382" t="s">
        <v>2852</v>
      </c>
      <c r="C2793" s="377" t="s">
        <v>5477</v>
      </c>
      <c r="D2793" s="6" t="str">
        <f>_xlfn.XLOOKUP(B2793,Indices!$A$2:$A$2676,Indices!$B$2:$B$2676,"")</f>
        <v/>
      </c>
    </row>
    <row r="2794" spans="1:4" x14ac:dyDescent="0.25">
      <c r="A2794" s="379">
        <v>45797.594444444447</v>
      </c>
      <c r="B2794" s="382" t="s">
        <v>2219</v>
      </c>
      <c r="C2794" s="377" t="s">
        <v>5478</v>
      </c>
      <c r="D2794" s="6" t="str">
        <f>_xlfn.XLOOKUP(B2794,Indices!$A$2:$A$2676,Indices!$B$2:$B$2676,"")</f>
        <v>IWM</v>
      </c>
    </row>
    <row r="2795" spans="1:4" x14ac:dyDescent="0.25">
      <c r="A2795" s="379">
        <v>45797.597222222219</v>
      </c>
      <c r="B2795" s="382" t="s">
        <v>4244</v>
      </c>
      <c r="C2795" s="377" t="s">
        <v>5479</v>
      </c>
      <c r="D2795" s="6" t="str">
        <f>_xlfn.XLOOKUP(B2795,Indices!$A$2:$A$2676,Indices!$B$2:$B$2676,"")</f>
        <v/>
      </c>
    </row>
    <row r="2796" spans="1:4" x14ac:dyDescent="0.25">
      <c r="A2796" s="379">
        <v>45797.597222222219</v>
      </c>
      <c r="B2796" s="382" t="s">
        <v>3857</v>
      </c>
      <c r="C2796" s="377" t="s">
        <v>5479</v>
      </c>
      <c r="D2796" s="6" t="str">
        <f>_xlfn.XLOOKUP(B2796,Indices!$A$2:$A$2676,Indices!$B$2:$B$2676,"")</f>
        <v/>
      </c>
    </row>
    <row r="2797" spans="1:4" x14ac:dyDescent="0.25">
      <c r="A2797" s="379">
        <v>45797.597222222219</v>
      </c>
      <c r="B2797" s="382" t="s">
        <v>2924</v>
      </c>
      <c r="C2797" s="377" t="s">
        <v>5479</v>
      </c>
      <c r="D2797" s="6" t="str">
        <f>_xlfn.XLOOKUP(B2797,Indices!$A$2:$A$2676,Indices!$B$2:$B$2676,"")</f>
        <v/>
      </c>
    </row>
    <row r="2798" spans="1:4" x14ac:dyDescent="0.25">
      <c r="A2798" s="379">
        <v>45797.604166666664</v>
      </c>
      <c r="B2798" s="382" t="s">
        <v>1240</v>
      </c>
      <c r="C2798" s="377" t="s">
        <v>5480</v>
      </c>
      <c r="D2798" s="6" t="str">
        <f>_xlfn.XLOOKUP(B2798,Indices!$A$2:$A$2676,Indices!$B$2:$B$2676,"")</f>
        <v>S&amp;P Mid</v>
      </c>
    </row>
    <row r="2799" spans="1:4" x14ac:dyDescent="0.25">
      <c r="A2799" s="379">
        <v>45797.604166666664</v>
      </c>
      <c r="B2799" s="382" t="s">
        <v>2853</v>
      </c>
      <c r="C2799" s="377" t="s">
        <v>5480</v>
      </c>
      <c r="D2799" s="6" t="str">
        <f>_xlfn.XLOOKUP(B2799,Indices!$A$2:$A$2676,Indices!$B$2:$B$2676,"")</f>
        <v/>
      </c>
    </row>
    <row r="2800" spans="1:4" x14ac:dyDescent="0.25">
      <c r="A2800" s="379">
        <v>45797.620138888888</v>
      </c>
      <c r="B2800" s="382" t="s">
        <v>5481</v>
      </c>
      <c r="C2800" s="377" t="s">
        <v>5482</v>
      </c>
      <c r="D2800" s="6" t="str">
        <f>_xlfn.XLOOKUP(B2800,Indices!$A$2:$A$2676,Indices!$B$2:$B$2676,"")</f>
        <v/>
      </c>
    </row>
    <row r="2801" spans="1:4" x14ac:dyDescent="0.25">
      <c r="A2801" s="379">
        <v>45797.62222222222</v>
      </c>
      <c r="B2801" s="382" t="s">
        <v>2849</v>
      </c>
      <c r="C2801" s="377" t="s">
        <v>5483</v>
      </c>
      <c r="D2801" s="6" t="str">
        <f>_xlfn.XLOOKUP(B2801,Indices!$A$2:$A$2676,Indices!$B$2:$B$2676,"")</f>
        <v/>
      </c>
    </row>
    <row r="2802" spans="1:4" x14ac:dyDescent="0.25">
      <c r="A2802" s="379">
        <v>45797.649305555555</v>
      </c>
      <c r="B2802" s="382" t="s">
        <v>4221</v>
      </c>
      <c r="C2802" s="377" t="s">
        <v>5484</v>
      </c>
      <c r="D2802" s="6" t="str">
        <f>_xlfn.XLOOKUP(B2802,Indices!$A$2:$A$2676,Indices!$B$2:$B$2676,"")</f>
        <v/>
      </c>
    </row>
    <row r="2803" spans="1:4" x14ac:dyDescent="0.25">
      <c r="A2803" s="379">
        <v>45797.660416666666</v>
      </c>
      <c r="B2803" s="382" t="s">
        <v>2839</v>
      </c>
      <c r="C2803" s="377" t="s">
        <v>5512</v>
      </c>
      <c r="D2803" s="6" t="str">
        <f>_xlfn.XLOOKUP(B2803,Indices!$A$2:$A$2676,Indices!$B$2:$B$2676,"")</f>
        <v/>
      </c>
    </row>
    <row r="2804" spans="1:4" x14ac:dyDescent="0.25">
      <c r="A2804" s="379">
        <v>45797.666666666664</v>
      </c>
      <c r="B2804" s="382" t="s">
        <v>4229</v>
      </c>
      <c r="C2804" s="377" t="s">
        <v>5485</v>
      </c>
      <c r="D2804" s="6" t="str">
        <f>_xlfn.XLOOKUP(B2804,Indices!$A$2:$A$2676,Indices!$B$2:$B$2676,"")</f>
        <v/>
      </c>
    </row>
    <row r="2805" spans="1:4" x14ac:dyDescent="0.25">
      <c r="A2805" s="379">
        <v>45797.666666666664</v>
      </c>
      <c r="B2805" s="382" t="s">
        <v>4016</v>
      </c>
      <c r="C2805" s="377" t="s">
        <v>5485</v>
      </c>
      <c r="D2805" s="6" t="str">
        <f>_xlfn.XLOOKUP(B2805,Indices!$A$2:$A$2676,Indices!$B$2:$B$2676,"")</f>
        <v/>
      </c>
    </row>
    <row r="2806" spans="1:4" x14ac:dyDescent="0.25">
      <c r="A2806" s="379">
        <v>45797.666666666664</v>
      </c>
      <c r="B2806" s="382" t="s">
        <v>4015</v>
      </c>
      <c r="C2806" s="377" t="s">
        <v>5485</v>
      </c>
      <c r="D2806" s="6" t="str">
        <f>_xlfn.XLOOKUP(B2806,Indices!$A$2:$A$2676,Indices!$B$2:$B$2676,"")</f>
        <v/>
      </c>
    </row>
    <row r="2807" spans="1:4" x14ac:dyDescent="0.25">
      <c r="A2807" s="379">
        <v>45797.724305555559</v>
      </c>
      <c r="B2807" s="382" t="s">
        <v>4488</v>
      </c>
      <c r="C2807" s="377" t="s">
        <v>5513</v>
      </c>
      <c r="D2807" s="6" t="str">
        <f>_xlfn.XLOOKUP(B2807,Indices!$A$2:$A$2676,Indices!$B$2:$B$2676,"")</f>
        <v/>
      </c>
    </row>
    <row r="2808" spans="1:4" x14ac:dyDescent="0.25">
      <c r="A2808" s="379">
        <v>45797.958333333336</v>
      </c>
      <c r="B2808" s="382" t="s">
        <v>4303</v>
      </c>
      <c r="C2808" s="377" t="s">
        <v>5514</v>
      </c>
      <c r="D2808" s="6" t="str">
        <f>_xlfn.XLOOKUP(B2808,Indices!$A$2:$A$2676,Indices!$B$2:$B$2676,"")</f>
        <v/>
      </c>
    </row>
    <row r="2809" spans="1:4" x14ac:dyDescent="0.25">
      <c r="A2809" s="379">
        <v>45797.958333333336</v>
      </c>
      <c r="B2809" s="382" t="s">
        <v>4213</v>
      </c>
      <c r="C2809" s="377" t="s">
        <v>5486</v>
      </c>
      <c r="D2809" s="6" t="str">
        <f>_xlfn.XLOOKUP(B2809,Indices!$A$2:$A$2676,Indices!$B$2:$B$2676,"")</f>
        <v/>
      </c>
    </row>
    <row r="2810" spans="1:4" x14ac:dyDescent="0.25">
      <c r="A2810" s="379">
        <v>45797.958333333336</v>
      </c>
      <c r="B2810" s="382" t="s">
        <v>4247</v>
      </c>
      <c r="C2810" s="377" t="s">
        <v>5486</v>
      </c>
      <c r="D2810" s="6" t="str">
        <f>_xlfn.XLOOKUP(B2810,Indices!$A$2:$A$2676,Indices!$B$2:$B$2676,"")</f>
        <v/>
      </c>
    </row>
    <row r="2811" spans="1:4" x14ac:dyDescent="0.25">
      <c r="A2811" s="379">
        <v>45797.964583333334</v>
      </c>
      <c r="B2811" s="382" t="s">
        <v>3979</v>
      </c>
      <c r="C2811" s="377" t="s">
        <v>5487</v>
      </c>
      <c r="D2811" s="6" t="str">
        <f>_xlfn.XLOOKUP(B2811,Indices!$A$2:$A$2676,Indices!$B$2:$B$2676,"")</f>
        <v/>
      </c>
    </row>
    <row r="2812" spans="1:4" x14ac:dyDescent="0.25">
      <c r="A2812" s="379">
        <v>45797.976388888892</v>
      </c>
      <c r="B2812" s="382" t="s">
        <v>880</v>
      </c>
      <c r="C2812" s="377" t="s">
        <v>5488</v>
      </c>
      <c r="D2812" s="6" t="str">
        <f>_xlfn.XLOOKUP(B2812,Indices!$A$2:$A$2676,Indices!$B$2:$B$2676,"")</f>
        <v>IWM</v>
      </c>
    </row>
    <row r="2813" spans="1:4" x14ac:dyDescent="0.25">
      <c r="A2813" s="379">
        <v>45798</v>
      </c>
      <c r="B2813" s="382" t="s">
        <v>1161</v>
      </c>
      <c r="C2813" s="377" t="s">
        <v>5489</v>
      </c>
      <c r="D2813" s="6" t="str">
        <f>_xlfn.XLOOKUP(B2813,Indices!$A$2:$A$2676,Indices!$B$2:$B$2676,"")</f>
        <v>IWM</v>
      </c>
    </row>
    <row r="2814" spans="1:4" x14ac:dyDescent="0.25">
      <c r="A2814" s="379">
        <v>45798.125</v>
      </c>
      <c r="B2814" s="382" t="s">
        <v>4055</v>
      </c>
      <c r="C2814" s="377" t="s">
        <v>5490</v>
      </c>
      <c r="D2814" s="6" t="str">
        <f>_xlfn.XLOOKUP(B2814,Indices!$A$2:$A$2676,Indices!$B$2:$B$2676,"")</f>
        <v/>
      </c>
    </row>
    <row r="2815" spans="1:4" x14ac:dyDescent="0.25">
      <c r="A2815" s="379">
        <v>45798.125</v>
      </c>
      <c r="B2815" s="382" t="s">
        <v>4074</v>
      </c>
      <c r="C2815" s="377" t="s">
        <v>5490</v>
      </c>
      <c r="D2815" s="6" t="str">
        <f>_xlfn.XLOOKUP(B2815,Indices!$A$2:$A$2676,Indices!$B$2:$B$2676,"")</f>
        <v/>
      </c>
    </row>
    <row r="2816" spans="1:4" x14ac:dyDescent="0.25">
      <c r="A2816" s="379">
        <v>45798.125</v>
      </c>
      <c r="B2816" s="382" t="s">
        <v>4280</v>
      </c>
      <c r="C2816" s="377" t="s">
        <v>5490</v>
      </c>
      <c r="D2816" s="6" t="str">
        <f>_xlfn.XLOOKUP(B2816,Indices!$A$2:$A$2676,Indices!$B$2:$B$2676,"")</f>
        <v/>
      </c>
    </row>
    <row r="2817" spans="1:4" x14ac:dyDescent="0.25">
      <c r="A2817" s="379">
        <v>45798.145833333336</v>
      </c>
      <c r="B2817" s="382" t="s">
        <v>4222</v>
      </c>
      <c r="C2817" s="377" t="s">
        <v>5491</v>
      </c>
      <c r="D2817" s="6" t="str">
        <f>_xlfn.XLOOKUP(B2817,Indices!$A$2:$A$2676,Indices!$B$2:$B$2676,"")</f>
        <v/>
      </c>
    </row>
    <row r="2818" spans="1:4" x14ac:dyDescent="0.25">
      <c r="A2818" s="379">
        <v>45798.166666666664</v>
      </c>
      <c r="B2818" s="382" t="s">
        <v>1079</v>
      </c>
      <c r="C2818" s="377" t="s">
        <v>5492</v>
      </c>
      <c r="D2818" s="6" t="str">
        <f>_xlfn.XLOOKUP(B2818,Indices!$A$2:$A$2676,Indices!$B$2:$B$2676,"")</f>
        <v>SP500</v>
      </c>
    </row>
    <row r="2819" spans="1:4" x14ac:dyDescent="0.25">
      <c r="A2819" s="379">
        <v>45798.166666666664</v>
      </c>
      <c r="B2819" s="382" t="s">
        <v>4318</v>
      </c>
      <c r="C2819" s="377" t="s">
        <v>5492</v>
      </c>
      <c r="D2819" s="6" t="str">
        <f>_xlfn.XLOOKUP(B2819,Indices!$A$2:$A$2676,Indices!$B$2:$B$2676,"")</f>
        <v/>
      </c>
    </row>
    <row r="2820" spans="1:4" x14ac:dyDescent="0.25">
      <c r="A2820" s="379">
        <v>45798.166666666664</v>
      </c>
      <c r="B2820" s="382" t="s">
        <v>4387</v>
      </c>
      <c r="C2820" s="377" t="s">
        <v>5492</v>
      </c>
      <c r="D2820" s="6" t="str">
        <f>_xlfn.XLOOKUP(B2820,Indices!$A$2:$A$2676,Indices!$B$2:$B$2676,"")</f>
        <v/>
      </c>
    </row>
    <row r="2821" spans="1:4" x14ac:dyDescent="0.25">
      <c r="A2821" s="379">
        <v>45798.166666666664</v>
      </c>
      <c r="B2821" s="382" t="s">
        <v>4250</v>
      </c>
      <c r="C2821" s="377" t="s">
        <v>5492</v>
      </c>
      <c r="D2821" s="6" t="str">
        <f>_xlfn.XLOOKUP(B2821,Indices!$A$2:$A$2676,Indices!$B$2:$B$2676,"")</f>
        <v/>
      </c>
    </row>
    <row r="2822" spans="1:4" x14ac:dyDescent="0.25">
      <c r="A2822" s="379">
        <v>45798.170138888891</v>
      </c>
      <c r="B2822" s="382" t="s">
        <v>3978</v>
      </c>
      <c r="C2822" s="377" t="s">
        <v>5493</v>
      </c>
      <c r="D2822" s="6" t="str">
        <f>_xlfn.XLOOKUP(B2822,Indices!$A$2:$A$2676,Indices!$B$2:$B$2676,"")</f>
        <v/>
      </c>
    </row>
    <row r="2823" spans="1:4" x14ac:dyDescent="0.25">
      <c r="A2823" s="379">
        <v>45798.1875</v>
      </c>
      <c r="B2823" s="382" t="s">
        <v>4225</v>
      </c>
      <c r="C2823" s="377" t="s">
        <v>5494</v>
      </c>
      <c r="D2823" s="6" t="str">
        <f>_xlfn.XLOOKUP(B2823,Indices!$A$2:$A$2676,Indices!$B$2:$B$2676,"")</f>
        <v/>
      </c>
    </row>
    <row r="2824" spans="1:4" x14ac:dyDescent="0.25">
      <c r="A2824" s="379">
        <v>45798.1875</v>
      </c>
      <c r="B2824" s="382" t="s">
        <v>1097</v>
      </c>
      <c r="C2824" s="377" t="s">
        <v>5494</v>
      </c>
      <c r="D2824" s="6" t="str">
        <f>_xlfn.XLOOKUP(B2824,Indices!$A$2:$A$2676,Indices!$B$2:$B$2676,"")</f>
        <v>SP500</v>
      </c>
    </row>
    <row r="2825" spans="1:4" x14ac:dyDescent="0.25">
      <c r="A2825" s="379">
        <v>45798.197916666664</v>
      </c>
      <c r="B2825" s="382" t="s">
        <v>1082</v>
      </c>
      <c r="C2825" s="377" t="s">
        <v>5495</v>
      </c>
      <c r="D2825" s="6" t="str">
        <f>_xlfn.XLOOKUP(B2825,Indices!$A$2:$A$2676,Indices!$B$2:$B$2676,"")</f>
        <v>SP500</v>
      </c>
    </row>
    <row r="2826" spans="1:4" x14ac:dyDescent="0.25">
      <c r="A2826" s="379">
        <v>45798.197916666664</v>
      </c>
      <c r="B2826" s="382" t="s">
        <v>4075</v>
      </c>
      <c r="C2826" s="377" t="s">
        <v>5495</v>
      </c>
      <c r="D2826" s="6" t="str">
        <f>_xlfn.XLOOKUP(B2826,Indices!$A$2:$A$2676,Indices!$B$2:$B$2676,"")</f>
        <v/>
      </c>
    </row>
    <row r="2827" spans="1:4" x14ac:dyDescent="0.25">
      <c r="A2827" s="379">
        <v>45798.208333333336</v>
      </c>
      <c r="B2827" s="382" t="s">
        <v>4378</v>
      </c>
      <c r="C2827" s="377" t="s">
        <v>5496</v>
      </c>
      <c r="D2827" s="6" t="str">
        <f>_xlfn.XLOOKUP(B2827,Indices!$A$2:$A$2676,Indices!$B$2:$B$2676,"")</f>
        <v/>
      </c>
    </row>
    <row r="2828" spans="1:4" x14ac:dyDescent="0.25">
      <c r="A2828" s="379">
        <v>45798.208333333336</v>
      </c>
      <c r="B2828" s="382" t="s">
        <v>4279</v>
      </c>
      <c r="C2828" s="377" t="s">
        <v>5496</v>
      </c>
      <c r="D2828" s="6" t="str">
        <f>_xlfn.XLOOKUP(B2828,Indices!$A$2:$A$2676,Indices!$B$2:$B$2676,"")</f>
        <v/>
      </c>
    </row>
    <row r="2829" spans="1:4" x14ac:dyDescent="0.25">
      <c r="A2829" s="379">
        <v>45798.208333333336</v>
      </c>
      <c r="B2829" s="382" t="s">
        <v>1096</v>
      </c>
      <c r="C2829" s="377" t="s">
        <v>5496</v>
      </c>
      <c r="D2829" s="6" t="str">
        <f>_xlfn.XLOOKUP(B2829,Indices!$A$2:$A$2676,Indices!$B$2:$B$2676,"")</f>
        <v>IWM</v>
      </c>
    </row>
    <row r="2830" spans="1:4" x14ac:dyDescent="0.25">
      <c r="A2830" s="379">
        <v>45798.209027777775</v>
      </c>
      <c r="B2830" s="382" t="s">
        <v>3795</v>
      </c>
      <c r="C2830" s="377" t="s">
        <v>5497</v>
      </c>
      <c r="D2830" s="6" t="str">
        <f>_xlfn.XLOOKUP(B2830,Indices!$A$2:$A$2676,Indices!$B$2:$B$2676,"")</f>
        <v/>
      </c>
    </row>
    <row r="2831" spans="1:4" x14ac:dyDescent="0.25">
      <c r="A2831" s="379">
        <v>45798.211111111108</v>
      </c>
      <c r="B2831" s="382" t="s">
        <v>4072</v>
      </c>
      <c r="C2831" s="377" t="s">
        <v>5498</v>
      </c>
      <c r="D2831" s="6" t="str">
        <f>_xlfn.XLOOKUP(B2831,Indices!$A$2:$A$2676,Indices!$B$2:$B$2676,"")</f>
        <v/>
      </c>
    </row>
    <row r="2832" spans="1:4" x14ac:dyDescent="0.25">
      <c r="A2832" s="379">
        <v>45798.229166666664</v>
      </c>
      <c r="B2832" s="382" t="s">
        <v>1100</v>
      </c>
      <c r="C2832" s="377" t="s">
        <v>5499</v>
      </c>
      <c r="D2832" s="6" t="str">
        <f>_xlfn.XLOOKUP(B2832,Indices!$A$2:$A$2676,Indices!$B$2:$B$2676,"")</f>
        <v>SP500</v>
      </c>
    </row>
    <row r="2833" spans="1:4" x14ac:dyDescent="0.25">
      <c r="A2833" s="379">
        <v>45798.25</v>
      </c>
      <c r="B2833" s="382" t="s">
        <v>4243</v>
      </c>
      <c r="C2833" s="377" t="s">
        <v>5500</v>
      </c>
      <c r="D2833" s="6" t="str">
        <f>_xlfn.XLOOKUP(B2833,Indices!$A$2:$A$2676,Indices!$B$2:$B$2676,"")</f>
        <v/>
      </c>
    </row>
    <row r="2834" spans="1:4" x14ac:dyDescent="0.25">
      <c r="A2834" s="379">
        <v>45798.586111111108</v>
      </c>
      <c r="B2834" s="382" t="s">
        <v>492</v>
      </c>
      <c r="C2834" s="377" t="s">
        <v>5515</v>
      </c>
      <c r="D2834" s="6" t="str">
        <f>_xlfn.XLOOKUP(B2834,Indices!$A$2:$A$2676,Indices!$B$2:$B$2676,"")</f>
        <v>IWM</v>
      </c>
    </row>
    <row r="2835" spans="1:4" x14ac:dyDescent="0.25">
      <c r="A2835" s="379">
        <v>45798.586805555555</v>
      </c>
      <c r="B2835" s="382" t="s">
        <v>1233</v>
      </c>
      <c r="C2835" s="377" t="s">
        <v>5516</v>
      </c>
      <c r="D2835" s="6" t="str">
        <f>_xlfn.XLOOKUP(B2835,Indices!$A$2:$A$2676,Indices!$B$2:$B$2676,"")</f>
        <v>IWM</v>
      </c>
    </row>
    <row r="2836" spans="1:4" x14ac:dyDescent="0.25">
      <c r="A2836" s="379">
        <v>45798.586805555555</v>
      </c>
      <c r="B2836" s="382" t="s">
        <v>4260</v>
      </c>
      <c r="C2836" s="377" t="s">
        <v>5516</v>
      </c>
      <c r="D2836" s="6" t="str">
        <f>_xlfn.XLOOKUP(B2836,Indices!$A$2:$A$2676,Indices!$B$2:$B$2676,"")</f>
        <v/>
      </c>
    </row>
    <row r="2837" spans="1:4" x14ac:dyDescent="0.25">
      <c r="A2837" s="379">
        <v>45798.586805555555</v>
      </c>
      <c r="B2837" s="382" t="s">
        <v>2591</v>
      </c>
      <c r="C2837" s="377" t="s">
        <v>5516</v>
      </c>
      <c r="D2837" s="6" t="str">
        <f>_xlfn.XLOOKUP(B2837,Indices!$A$2:$A$2676,Indices!$B$2:$B$2676,"")</f>
        <v/>
      </c>
    </row>
    <row r="2838" spans="1:4" x14ac:dyDescent="0.25">
      <c r="A2838" s="379">
        <v>45798.586805555555</v>
      </c>
      <c r="B2838" s="382" t="s">
        <v>1158</v>
      </c>
      <c r="C2838" s="377" t="s">
        <v>5516</v>
      </c>
      <c r="D2838" s="6" t="str">
        <f>_xlfn.XLOOKUP(B2838,Indices!$A$2:$A$2676,Indices!$B$2:$B$2676,"")</f>
        <v>IWM</v>
      </c>
    </row>
    <row r="2839" spans="1:4" x14ac:dyDescent="0.25">
      <c r="A2839" s="379">
        <v>45798.586805555555</v>
      </c>
      <c r="B2839" s="382" t="s">
        <v>376</v>
      </c>
      <c r="C2839" s="377" t="s">
        <v>5516</v>
      </c>
      <c r="D2839" s="6" t="str">
        <f>_xlfn.XLOOKUP(B2839,Indices!$A$2:$A$2676,Indices!$B$2:$B$2676,"")</f>
        <v>IWM</v>
      </c>
    </row>
    <row r="2840" spans="1:4" x14ac:dyDescent="0.25">
      <c r="A2840" s="379">
        <v>45798.59375</v>
      </c>
      <c r="B2840" s="382" t="s">
        <v>1984</v>
      </c>
      <c r="C2840" s="377" t="s">
        <v>5517</v>
      </c>
      <c r="D2840" s="6" t="str">
        <f>_xlfn.XLOOKUP(B2840,Indices!$A$2:$A$2676,Indices!$B$2:$B$2676,"")</f>
        <v>IWM</v>
      </c>
    </row>
    <row r="2841" spans="1:4" x14ac:dyDescent="0.25">
      <c r="A2841" s="379">
        <v>45798.59375</v>
      </c>
      <c r="B2841" s="382" t="s">
        <v>459</v>
      </c>
      <c r="C2841" s="377" t="s">
        <v>5517</v>
      </c>
      <c r="D2841" s="6" t="str">
        <f>_xlfn.XLOOKUP(B2841,Indices!$A$2:$A$2676,Indices!$B$2:$B$2676,"")</f>
        <v>IWM</v>
      </c>
    </row>
    <row r="2842" spans="1:4" x14ac:dyDescent="0.25">
      <c r="A2842" s="379">
        <v>45798.60833333333</v>
      </c>
      <c r="B2842" s="382" t="s">
        <v>4261</v>
      </c>
      <c r="C2842" s="377" t="s">
        <v>5518</v>
      </c>
      <c r="D2842" s="6" t="str">
        <f>_xlfn.XLOOKUP(B2842,Indices!$A$2:$A$2676,Indices!$B$2:$B$2676,"")</f>
        <v/>
      </c>
    </row>
    <row r="2843" spans="1:4" x14ac:dyDescent="0.25">
      <c r="A2843" s="379">
        <v>45798.625</v>
      </c>
      <c r="B2843" s="382" t="s">
        <v>2922</v>
      </c>
      <c r="C2843" s="377" t="s">
        <v>4256</v>
      </c>
      <c r="D2843" s="6" t="str">
        <f>_xlfn.XLOOKUP(B2843,Indices!$A$2:$A$2676,Indices!$B$2:$B$2676,"")</f>
        <v/>
      </c>
    </row>
    <row r="2844" spans="1:4" x14ac:dyDescent="0.25">
      <c r="A2844" s="379">
        <v>45798.708333333336</v>
      </c>
      <c r="B2844" s="382" t="s">
        <v>4290</v>
      </c>
      <c r="C2844" s="377" t="s">
        <v>5519</v>
      </c>
      <c r="D2844" s="6" t="str">
        <f>_xlfn.XLOOKUP(B2844,Indices!$A$2:$A$2676,Indices!$B$2:$B$2676,"")</f>
        <v/>
      </c>
    </row>
    <row r="2845" spans="1:4" x14ac:dyDescent="0.25">
      <c r="A2845" s="379">
        <v>45798.958333333336</v>
      </c>
      <c r="B2845" s="382" t="s">
        <v>524</v>
      </c>
      <c r="C2845" s="377" t="s">
        <v>5520</v>
      </c>
      <c r="D2845" s="6" t="str">
        <f>_xlfn.XLOOKUP(B2845,Indices!$A$2:$A$2676,Indices!$B$2:$B$2676,"")</f>
        <v>IWM</v>
      </c>
    </row>
    <row r="2846" spans="1:4" x14ac:dyDescent="0.25">
      <c r="A2846" s="379">
        <v>45799.083333333336</v>
      </c>
      <c r="B2846" s="382" t="s">
        <v>4300</v>
      </c>
      <c r="C2846" s="377" t="s">
        <v>5521</v>
      </c>
      <c r="D2846" s="6" t="str">
        <f>_xlfn.XLOOKUP(B2846,Indices!$A$2:$A$2676,Indices!$B$2:$B$2676,"")</f>
        <v/>
      </c>
    </row>
    <row r="2847" spans="1:4" x14ac:dyDescent="0.25">
      <c r="A2847" s="379">
        <v>45799.166666666664</v>
      </c>
      <c r="B2847" s="382" t="s">
        <v>2025</v>
      </c>
      <c r="C2847" s="377" t="s">
        <v>5522</v>
      </c>
      <c r="D2847" s="6" t="str">
        <f>_xlfn.XLOOKUP(B2847,Indices!$A$2:$A$2676,Indices!$B$2:$B$2676,"")</f>
        <v>IWM</v>
      </c>
    </row>
    <row r="2848" spans="1:4" x14ac:dyDescent="0.25">
      <c r="A2848" s="379">
        <v>45799.166666666664</v>
      </c>
      <c r="B2848" s="382" t="s">
        <v>4274</v>
      </c>
      <c r="C2848" s="377" t="s">
        <v>5522</v>
      </c>
      <c r="D2848" s="6" t="str">
        <f>_xlfn.XLOOKUP(B2848,Indices!$A$2:$A$2676,Indices!$B$2:$B$2676,"")</f>
        <v/>
      </c>
    </row>
    <row r="2849" spans="1:4" x14ac:dyDescent="0.25">
      <c r="A2849" s="379">
        <v>45799.166666666664</v>
      </c>
      <c r="B2849" s="382" t="s">
        <v>4269</v>
      </c>
      <c r="C2849" s="377" t="s">
        <v>5522</v>
      </c>
      <c r="D2849" s="6" t="str">
        <f>_xlfn.XLOOKUP(B2849,Indices!$A$2:$A$2676,Indices!$B$2:$B$2676,"")</f>
        <v/>
      </c>
    </row>
    <row r="2850" spans="1:4" x14ac:dyDescent="0.25">
      <c r="A2850" s="379">
        <v>45799.177083333336</v>
      </c>
      <c r="B2850" s="382" t="s">
        <v>170</v>
      </c>
      <c r="C2850" s="377" t="s">
        <v>5523</v>
      </c>
      <c r="D2850" s="6" t="str">
        <f>_xlfn.XLOOKUP(B2850,Indices!$A$2:$A$2676,Indices!$B$2:$B$2676,"")</f>
        <v>IWM</v>
      </c>
    </row>
    <row r="2851" spans="1:4" x14ac:dyDescent="0.25">
      <c r="A2851" s="379">
        <v>45799.1875</v>
      </c>
      <c r="B2851" s="382" t="s">
        <v>4323</v>
      </c>
      <c r="C2851" s="377" t="s">
        <v>5524</v>
      </c>
      <c r="D2851" s="6" t="str">
        <f>_xlfn.XLOOKUP(B2851,Indices!$A$2:$A$2676,Indices!$B$2:$B$2676,"")</f>
        <v/>
      </c>
    </row>
    <row r="2852" spans="1:4" x14ac:dyDescent="0.25">
      <c r="A2852" s="379">
        <v>45799.197916666664</v>
      </c>
      <c r="B2852" s="382" t="s">
        <v>600</v>
      </c>
      <c r="C2852" s="377" t="s">
        <v>5525</v>
      </c>
      <c r="D2852" s="6" t="str">
        <f>_xlfn.XLOOKUP(B2852,Indices!$A$2:$A$2676,Indices!$B$2:$B$2676,"")</f>
        <v>IWM</v>
      </c>
    </row>
    <row r="2853" spans="1:4" x14ac:dyDescent="0.25">
      <c r="A2853" s="379">
        <v>45799.197916666664</v>
      </c>
      <c r="B2853" s="382" t="s">
        <v>1628</v>
      </c>
      <c r="C2853" s="377" t="s">
        <v>5525</v>
      </c>
      <c r="D2853" s="6" t="str">
        <f>_xlfn.XLOOKUP(B2853,Indices!$A$2:$A$2676,Indices!$B$2:$B$2676,"")</f>
        <v>IWM</v>
      </c>
    </row>
    <row r="2854" spans="1:4" x14ac:dyDescent="0.25">
      <c r="A2854" s="379">
        <v>45799.197916666664</v>
      </c>
      <c r="B2854" s="382" t="s">
        <v>1111</v>
      </c>
      <c r="C2854" s="377" t="s">
        <v>5525</v>
      </c>
      <c r="D2854" s="6" t="str">
        <f>_xlfn.XLOOKUP(B2854,Indices!$A$2:$A$2676,Indices!$B$2:$B$2676,"")</f>
        <v>S&amp;P Mid</v>
      </c>
    </row>
    <row r="2855" spans="1:4" x14ac:dyDescent="0.25">
      <c r="A2855" s="379">
        <v>45799.197916666664</v>
      </c>
      <c r="B2855" s="382" t="s">
        <v>1148</v>
      </c>
      <c r="C2855" s="377" t="s">
        <v>5525</v>
      </c>
      <c r="D2855" s="6" t="str">
        <f>_xlfn.XLOOKUP(B2855,Indices!$A$2:$A$2676,Indices!$B$2:$B$2676,"")</f>
        <v>IWM</v>
      </c>
    </row>
    <row r="2856" spans="1:4" x14ac:dyDescent="0.25">
      <c r="A2856" s="379">
        <v>45799.197916666664</v>
      </c>
      <c r="B2856" s="382" t="s">
        <v>4224</v>
      </c>
      <c r="C2856" s="377" t="s">
        <v>5525</v>
      </c>
      <c r="D2856" s="6" t="str">
        <f>_xlfn.XLOOKUP(B2856,Indices!$A$2:$A$2676,Indices!$B$2:$B$2676,"")</f>
        <v/>
      </c>
    </row>
    <row r="2857" spans="1:4" x14ac:dyDescent="0.25">
      <c r="A2857" s="379">
        <v>45799.208333333336</v>
      </c>
      <c r="B2857" s="382" t="s">
        <v>930</v>
      </c>
      <c r="C2857" s="377" t="s">
        <v>5526</v>
      </c>
      <c r="D2857" s="6" t="str">
        <f>_xlfn.XLOOKUP(B2857,Indices!$A$2:$A$2676,Indices!$B$2:$B$2676,"")</f>
        <v>IWM</v>
      </c>
    </row>
    <row r="2858" spans="1:4" x14ac:dyDescent="0.25">
      <c r="A2858" s="379">
        <v>45799.208333333336</v>
      </c>
      <c r="B2858" s="382" t="s">
        <v>4284</v>
      </c>
      <c r="C2858" s="377" t="s">
        <v>5526</v>
      </c>
      <c r="D2858" s="6" t="str">
        <f>_xlfn.XLOOKUP(B2858,Indices!$A$2:$A$2676,Indices!$B$2:$B$2676,"")</f>
        <v/>
      </c>
    </row>
    <row r="2859" spans="1:4" x14ac:dyDescent="0.25">
      <c r="A2859" s="379">
        <v>45799.209027777775</v>
      </c>
      <c r="B2859" s="382" t="s">
        <v>1141</v>
      </c>
      <c r="C2859" s="377" t="s">
        <v>5527</v>
      </c>
      <c r="D2859" s="6" t="str">
        <f>_xlfn.XLOOKUP(B2859,Indices!$A$2:$A$2676,Indices!$B$2:$B$2676,"")</f>
        <v>SP500</v>
      </c>
    </row>
    <row r="2860" spans="1:4" x14ac:dyDescent="0.25">
      <c r="A2860" s="379">
        <v>45799.25</v>
      </c>
      <c r="B2860" s="382" t="s">
        <v>1110</v>
      </c>
      <c r="C2860" s="377" t="s">
        <v>5528</v>
      </c>
      <c r="D2860" s="6" t="str">
        <f>_xlfn.XLOOKUP(B2860,Indices!$A$2:$A$2676,Indices!$B$2:$B$2676,"")</f>
        <v>IWM</v>
      </c>
    </row>
    <row r="2861" spans="1:4" x14ac:dyDescent="0.25">
      <c r="A2861" s="379">
        <v>45799.250694444447</v>
      </c>
      <c r="B2861" s="382" t="s">
        <v>640</v>
      </c>
      <c r="C2861" s="377" t="s">
        <v>5529</v>
      </c>
      <c r="D2861" s="6" t="str">
        <f>_xlfn.XLOOKUP(B2861,Indices!$A$2:$A$2676,Indices!$B$2:$B$2676,"")</f>
        <v>SP500</v>
      </c>
    </row>
    <row r="2862" spans="1:4" x14ac:dyDescent="0.25">
      <c r="A2862" s="379">
        <v>45799.291666666664</v>
      </c>
      <c r="B2862" s="382" t="s">
        <v>1099</v>
      </c>
      <c r="C2862" s="377" t="s">
        <v>5530</v>
      </c>
      <c r="D2862" s="6" t="str">
        <f>_xlfn.XLOOKUP(B2862,Indices!$A$2:$A$2676,Indices!$B$2:$B$2676,"")</f>
        <v>S&amp;P Mid</v>
      </c>
    </row>
    <row r="2863" spans="1:4" x14ac:dyDescent="0.25">
      <c r="A2863" s="379">
        <v>45799.291666666664</v>
      </c>
      <c r="B2863" s="382" t="s">
        <v>4272</v>
      </c>
      <c r="C2863" s="377" t="s">
        <v>4267</v>
      </c>
      <c r="D2863" s="6" t="str">
        <f>_xlfn.XLOOKUP(B2863,Indices!$A$2:$A$2676,Indices!$B$2:$B$2676,"")</f>
        <v/>
      </c>
    </row>
    <row r="2864" spans="1:4" x14ac:dyDescent="0.25">
      <c r="A2864" s="379">
        <v>45799.291666666664</v>
      </c>
      <c r="B2864" s="382" t="s">
        <v>4282</v>
      </c>
      <c r="C2864" s="377" t="s">
        <v>5530</v>
      </c>
      <c r="D2864" s="6" t="str">
        <f>_xlfn.XLOOKUP(B2864,Indices!$A$2:$A$2676,Indices!$B$2:$B$2676,"")</f>
        <v/>
      </c>
    </row>
    <row r="2865" spans="1:4" x14ac:dyDescent="0.25">
      <c r="A2865" s="379">
        <v>45799.291666666664</v>
      </c>
      <c r="B2865" s="382" t="s">
        <v>4266</v>
      </c>
      <c r="C2865" s="377" t="s">
        <v>4267</v>
      </c>
      <c r="D2865" s="6" t="str">
        <f>_xlfn.XLOOKUP(B2865,Indices!$A$2:$A$2676,Indices!$B$2:$B$2676,"")</f>
        <v/>
      </c>
    </row>
    <row r="2866" spans="1:4" x14ac:dyDescent="0.25">
      <c r="A2866" s="379">
        <v>45799.291666666664</v>
      </c>
      <c r="B2866" s="382" t="s">
        <v>4239</v>
      </c>
      <c r="C2866" s="377" t="s">
        <v>4265</v>
      </c>
      <c r="D2866" s="6" t="str">
        <f>_xlfn.XLOOKUP(B2866,Indices!$A$2:$A$2676,Indices!$B$2:$B$2676,"")</f>
        <v/>
      </c>
    </row>
    <row r="2867" spans="1:4" x14ac:dyDescent="0.25">
      <c r="A2867" s="379">
        <v>45799.291666666664</v>
      </c>
      <c r="B2867" s="382" t="s">
        <v>1061</v>
      </c>
      <c r="C2867" s="377" t="s">
        <v>4265</v>
      </c>
      <c r="D2867" s="6" t="str">
        <f>_xlfn.XLOOKUP(B2867,Indices!$A$2:$A$2676,Indices!$B$2:$B$2676,"")</f>
        <v>IWM</v>
      </c>
    </row>
    <row r="2868" spans="1:4" x14ac:dyDescent="0.25">
      <c r="A2868" s="379">
        <v>45799.324305555558</v>
      </c>
      <c r="B2868" s="382" t="s">
        <v>4268</v>
      </c>
      <c r="C2868" s="377" t="s">
        <v>5531</v>
      </c>
      <c r="D2868" s="6" t="str">
        <f>_xlfn.XLOOKUP(B2868,Indices!$A$2:$A$2676,Indices!$B$2:$B$2676,"")</f>
        <v/>
      </c>
    </row>
    <row r="2869" spans="1:4" x14ac:dyDescent="0.25">
      <c r="A2869" s="379">
        <v>45799.583333333336</v>
      </c>
      <c r="B2869" s="382" t="s">
        <v>1118</v>
      </c>
      <c r="C2869" s="377" t="s">
        <v>5532</v>
      </c>
      <c r="D2869" s="6" t="str">
        <f>_xlfn.XLOOKUP(B2869,Indices!$A$2:$A$2676,Indices!$B$2:$B$2676,"")</f>
        <v>SP500</v>
      </c>
    </row>
    <row r="2870" spans="1:4" x14ac:dyDescent="0.25">
      <c r="A2870" s="379">
        <v>45799.584027777775</v>
      </c>
      <c r="B2870" s="382" t="s">
        <v>1153</v>
      </c>
      <c r="C2870" s="377" t="s">
        <v>5533</v>
      </c>
      <c r="D2870" s="6" t="str">
        <f>_xlfn.XLOOKUP(B2870,Indices!$A$2:$A$2676,Indices!$B$2:$B$2676,"")</f>
        <v>NQ100</v>
      </c>
    </row>
    <row r="2871" spans="1:4" x14ac:dyDescent="0.25">
      <c r="A2871" s="379">
        <v>45799.584027777775</v>
      </c>
      <c r="B2871" s="382" t="s">
        <v>4165</v>
      </c>
      <c r="C2871" s="377" t="s">
        <v>5533</v>
      </c>
      <c r="D2871" s="6" t="str">
        <f>_xlfn.XLOOKUP(B2871,Indices!$A$2:$A$2676,Indices!$B$2:$B$2676,"")</f>
        <v/>
      </c>
    </row>
    <row r="2872" spans="1:4" x14ac:dyDescent="0.25">
      <c r="A2872" s="379">
        <v>45799.584027777775</v>
      </c>
      <c r="B2872" s="382" t="s">
        <v>1122</v>
      </c>
      <c r="C2872" s="377" t="s">
        <v>5533</v>
      </c>
      <c r="D2872" s="6" t="str">
        <f>_xlfn.XLOOKUP(B2872,Indices!$A$2:$A$2676,Indices!$B$2:$B$2676,"")</f>
        <v>SP500</v>
      </c>
    </row>
    <row r="2873" spans="1:4" x14ac:dyDescent="0.25">
      <c r="A2873" s="379">
        <v>45799.584027777775</v>
      </c>
      <c r="B2873" s="382" t="s">
        <v>1151</v>
      </c>
      <c r="C2873" s="377" t="s">
        <v>5533</v>
      </c>
      <c r="D2873" s="6" t="str">
        <f>_xlfn.XLOOKUP(B2873,Indices!$A$2:$A$2676,Indices!$B$2:$B$2676,"")</f>
        <v>SP500</v>
      </c>
    </row>
    <row r="2874" spans="1:4" x14ac:dyDescent="0.25">
      <c r="A2874" s="379">
        <v>45799.586805555555</v>
      </c>
      <c r="B2874" s="382" t="s">
        <v>725</v>
      </c>
      <c r="C2874" s="377" t="s">
        <v>5534</v>
      </c>
      <c r="D2874" s="6" t="str">
        <f>_xlfn.XLOOKUP(B2874,Indices!$A$2:$A$2676,Indices!$B$2:$B$2676,"")</f>
        <v>IWM</v>
      </c>
    </row>
    <row r="2875" spans="1:4" x14ac:dyDescent="0.25">
      <c r="A2875" s="379">
        <v>45799.586805555555</v>
      </c>
      <c r="B2875" s="382" t="s">
        <v>1483</v>
      </c>
      <c r="C2875" s="377" t="s">
        <v>5534</v>
      </c>
      <c r="D2875" s="6" t="str">
        <f>_xlfn.XLOOKUP(B2875,Indices!$A$2:$A$2676,Indices!$B$2:$B$2676,"")</f>
        <v>SP500</v>
      </c>
    </row>
    <row r="2876" spans="1:4" x14ac:dyDescent="0.25">
      <c r="A2876" s="379">
        <v>45799.586805555555</v>
      </c>
      <c r="B2876" s="382" t="s">
        <v>1717</v>
      </c>
      <c r="C2876" s="377" t="s">
        <v>5534</v>
      </c>
      <c r="D2876" s="6" t="str">
        <f>_xlfn.XLOOKUP(B2876,Indices!$A$2:$A$2676,Indices!$B$2:$B$2676,"")</f>
        <v>IWM</v>
      </c>
    </row>
    <row r="2877" spans="1:4" x14ac:dyDescent="0.25">
      <c r="A2877" s="379">
        <v>45799.586805555555</v>
      </c>
      <c r="B2877" s="382" t="s">
        <v>4605</v>
      </c>
      <c r="C2877" s="377" t="s">
        <v>5534</v>
      </c>
      <c r="D2877" s="6" t="str">
        <f>_xlfn.XLOOKUP(B2877,Indices!$A$2:$A$2676,Indices!$B$2:$B$2676,"")</f>
        <v/>
      </c>
    </row>
    <row r="2878" spans="1:4" x14ac:dyDescent="0.25">
      <c r="A2878" s="379">
        <v>45799.586805555555</v>
      </c>
      <c r="B2878" s="382" t="s">
        <v>964</v>
      </c>
      <c r="C2878" s="377" t="s">
        <v>5534</v>
      </c>
      <c r="D2878" s="6" t="str">
        <f>_xlfn.XLOOKUP(B2878,Indices!$A$2:$A$2676,Indices!$B$2:$B$2676,"")</f>
        <v>IWM</v>
      </c>
    </row>
    <row r="2879" spans="1:4" x14ac:dyDescent="0.25">
      <c r="A2879" s="379">
        <v>45799.590277777781</v>
      </c>
      <c r="B2879" s="382" t="s">
        <v>2842</v>
      </c>
      <c r="C2879" s="377" t="s">
        <v>5535</v>
      </c>
      <c r="D2879" s="6" t="str">
        <f>_xlfn.XLOOKUP(B2879,Indices!$A$2:$A$2676,Indices!$B$2:$B$2676,"")</f>
        <v/>
      </c>
    </row>
    <row r="2880" spans="1:4" x14ac:dyDescent="0.25">
      <c r="A2880" s="379">
        <v>45799.59375</v>
      </c>
      <c r="B2880" s="382" t="s">
        <v>4606</v>
      </c>
      <c r="C2880" s="377" t="s">
        <v>5536</v>
      </c>
      <c r="D2880" s="6" t="str">
        <f>_xlfn.XLOOKUP(B2880,Indices!$A$2:$A$2676,Indices!$B$2:$B$2676,"")</f>
        <v/>
      </c>
    </row>
    <row r="2881" spans="1:4" x14ac:dyDescent="0.25">
      <c r="A2881" s="379">
        <v>45799.59375</v>
      </c>
      <c r="B2881" s="382" t="s">
        <v>1123</v>
      </c>
      <c r="C2881" s="377" t="s">
        <v>5536</v>
      </c>
      <c r="D2881" s="6" t="str">
        <f>_xlfn.XLOOKUP(B2881,Indices!$A$2:$A$2676,Indices!$B$2:$B$2676,"")</f>
        <v>SP500</v>
      </c>
    </row>
    <row r="2882" spans="1:4" x14ac:dyDescent="0.25">
      <c r="A2882" s="379">
        <v>45799.604861111111</v>
      </c>
      <c r="B2882" s="382" t="s">
        <v>4249</v>
      </c>
      <c r="C2882" s="377" t="s">
        <v>5537</v>
      </c>
      <c r="D2882" s="6" t="str">
        <f>_xlfn.XLOOKUP(B2882,Indices!$A$2:$A$2676,Indices!$B$2:$B$2676,"")</f>
        <v/>
      </c>
    </row>
    <row r="2883" spans="1:4" x14ac:dyDescent="0.25">
      <c r="A2883" s="379">
        <v>45799.625</v>
      </c>
      <c r="B2883" s="382" t="s">
        <v>4569</v>
      </c>
      <c r="C2883" s="377" t="s">
        <v>4289</v>
      </c>
      <c r="D2883" s="6" t="str">
        <f>_xlfn.XLOOKUP(B2883,Indices!$A$2:$A$2676,Indices!$B$2:$B$2676,"")</f>
        <v/>
      </c>
    </row>
    <row r="2884" spans="1:4" x14ac:dyDescent="0.25">
      <c r="A2884" s="379">
        <v>45799.625</v>
      </c>
      <c r="B2884" s="382" t="s">
        <v>4292</v>
      </c>
      <c r="C2884" s="377" t="s">
        <v>4289</v>
      </c>
      <c r="D2884" s="6" t="str">
        <f>_xlfn.XLOOKUP(B2884,Indices!$A$2:$A$2676,Indices!$B$2:$B$2676,"")</f>
        <v/>
      </c>
    </row>
    <row r="2885" spans="1:4" x14ac:dyDescent="0.25">
      <c r="A2885" s="379">
        <v>45799.625</v>
      </c>
      <c r="B2885" s="382" t="s">
        <v>4293</v>
      </c>
      <c r="C2885" s="377" t="s">
        <v>4289</v>
      </c>
      <c r="D2885" s="6" t="str">
        <f>_xlfn.XLOOKUP(B2885,Indices!$A$2:$A$2676,Indices!$B$2:$B$2676,"")</f>
        <v/>
      </c>
    </row>
    <row r="2886" spans="1:4" x14ac:dyDescent="0.25">
      <c r="A2886" s="379">
        <v>45799.625</v>
      </c>
      <c r="B2886" s="382" t="s">
        <v>4296</v>
      </c>
      <c r="C2886" s="377" t="s">
        <v>4289</v>
      </c>
      <c r="D2886" s="6" t="str">
        <f>_xlfn.XLOOKUP(B2886,Indices!$A$2:$A$2676,Indices!$B$2:$B$2676,"")</f>
        <v/>
      </c>
    </row>
    <row r="2887" spans="1:4" x14ac:dyDescent="0.25">
      <c r="A2887" s="379">
        <v>45799.979166666664</v>
      </c>
      <c r="B2887" s="382" t="s">
        <v>4364</v>
      </c>
      <c r="C2887" s="377" t="s">
        <v>5538</v>
      </c>
      <c r="D2887" s="6" t="str">
        <f>_xlfn.XLOOKUP(B2887,Indices!$A$2:$A$2676,Indices!$B$2:$B$2676,"")</f>
        <v/>
      </c>
    </row>
    <row r="2888" spans="1:4" x14ac:dyDescent="0.25">
      <c r="A2888" s="379">
        <v>45800.106249999997</v>
      </c>
      <c r="B2888" s="382" t="s">
        <v>4368</v>
      </c>
      <c r="C2888" s="377" t="s">
        <v>5539</v>
      </c>
      <c r="D2888" s="6" t="str">
        <f>_xlfn.XLOOKUP(B2888,Indices!$A$2:$A$2676,Indices!$B$2:$B$2676,"")</f>
        <v/>
      </c>
    </row>
    <row r="2889" spans="1:4" x14ac:dyDescent="0.25">
      <c r="A2889" s="379">
        <v>45800.199305555558</v>
      </c>
      <c r="B2889" s="382" t="s">
        <v>4360</v>
      </c>
      <c r="C2889" s="377" t="s">
        <v>5540</v>
      </c>
      <c r="D2889" s="6" t="str">
        <f>_xlfn.XLOOKUP(B2889,Indices!$A$2:$A$2676,Indices!$B$2:$B$2676,"")</f>
        <v/>
      </c>
    </row>
    <row r="2890" spans="1:4" x14ac:dyDescent="0.25">
      <c r="A2890" s="379">
        <v>45800.201388888891</v>
      </c>
      <c r="B2890" s="382" t="s">
        <v>1126</v>
      </c>
      <c r="C2890" s="377" t="s">
        <v>5541</v>
      </c>
      <c r="D2890" s="6" t="str">
        <f>_xlfn.XLOOKUP(B2890,Indices!$A$2:$A$2676,Indices!$B$2:$B$2676,"")</f>
        <v>IWM</v>
      </c>
    </row>
    <row r="2891" spans="1:4" x14ac:dyDescent="0.25">
      <c r="A2891" s="379">
        <v>45800.21875</v>
      </c>
      <c r="B2891" s="382" t="s">
        <v>2868</v>
      </c>
      <c r="C2891" s="377" t="s">
        <v>5542</v>
      </c>
      <c r="D2891" s="6" t="str">
        <f>_xlfn.XLOOKUP(B2891,Indices!$A$2:$A$2676,Indices!$B$2:$B$2676,"")</f>
        <v/>
      </c>
    </row>
    <row r="2892" spans="1:4" x14ac:dyDescent="0.25">
      <c r="A2892" s="379">
        <v>45800.302083333336</v>
      </c>
      <c r="B2892" s="382" t="s">
        <v>4056</v>
      </c>
      <c r="C2892" s="377" t="s">
        <v>5543</v>
      </c>
      <c r="D2892" s="6" t="str">
        <f>_xlfn.XLOOKUP(B2892,Indices!$A$2:$A$2676,Indices!$B$2:$B$2676,"")</f>
        <v/>
      </c>
    </row>
    <row r="2893" spans="1:4" x14ac:dyDescent="0.25">
      <c r="A2893" s="379">
        <v>45800.625</v>
      </c>
      <c r="B2893" s="382" t="s">
        <v>3853</v>
      </c>
      <c r="C2893" s="377" t="s">
        <v>5503</v>
      </c>
      <c r="D2893" s="6" t="str">
        <f>_xlfn.XLOOKUP(B2893,Indices!$A$2:$A$2676,Indices!$B$2:$B$2676,"")</f>
        <v/>
      </c>
    </row>
    <row r="2894" spans="1:4" x14ac:dyDescent="0.25">
      <c r="A2894" s="379">
        <v>45800.625</v>
      </c>
      <c r="B2894" s="382" t="s">
        <v>4143</v>
      </c>
      <c r="C2894" s="377" t="s">
        <v>5503</v>
      </c>
      <c r="D2894" s="6" t="str">
        <f>_xlfn.XLOOKUP(B2894,Indices!$A$2:$A$2676,Indices!$B$2:$B$2676,"")</f>
        <v/>
      </c>
    </row>
    <row r="2895" spans="1:4" x14ac:dyDescent="0.25">
      <c r="A2895" s="379">
        <v>45800.625</v>
      </c>
      <c r="B2895" s="382" t="s">
        <v>2893</v>
      </c>
      <c r="C2895" s="377" t="s">
        <v>5503</v>
      </c>
      <c r="D2895" s="6" t="str">
        <f>_xlfn.XLOOKUP(B2895,Indices!$A$2:$A$2676,Indices!$B$2:$B$2676,"")</f>
        <v/>
      </c>
    </row>
    <row r="2896" spans="1:4" x14ac:dyDescent="0.25">
      <c r="A2896" s="379">
        <v>45800.625</v>
      </c>
      <c r="B2896" s="382" t="s">
        <v>4029</v>
      </c>
      <c r="C2896" s="377" t="s">
        <v>5503</v>
      </c>
      <c r="D2896" s="6" t="str">
        <f>_xlfn.XLOOKUP(B2896,Indices!$A$2:$A$2676,Indices!$B$2:$B$2676,"")</f>
        <v/>
      </c>
    </row>
    <row r="2897" spans="1:4" x14ac:dyDescent="0.25">
      <c r="A2897" s="379">
        <v>45800.625</v>
      </c>
      <c r="B2897" s="382" t="s">
        <v>2902</v>
      </c>
      <c r="C2897" s="377" t="s">
        <v>5503</v>
      </c>
      <c r="D2897" s="6" t="str">
        <f>_xlfn.XLOOKUP(B2897,Indices!$A$2:$A$2676,Indices!$B$2:$B$2676,"")</f>
        <v/>
      </c>
    </row>
    <row r="2898" spans="1:4" x14ac:dyDescent="0.25">
      <c r="A2898" s="379">
        <v>45800.625</v>
      </c>
      <c r="B2898" s="382" t="s">
        <v>2862</v>
      </c>
      <c r="C2898" s="377" t="s">
        <v>5503</v>
      </c>
      <c r="D2898" s="6" t="str">
        <f>_xlfn.XLOOKUP(B2898,Indices!$A$2:$A$2676,Indices!$B$2:$B$2676,"")</f>
        <v/>
      </c>
    </row>
    <row r="2899" spans="1:4" x14ac:dyDescent="0.25">
      <c r="A2899" s="379">
        <v>45800.625</v>
      </c>
      <c r="B2899" s="382" t="s">
        <v>4191</v>
      </c>
      <c r="C2899" s="377" t="s">
        <v>5503</v>
      </c>
      <c r="D2899" s="6" t="str">
        <f>_xlfn.XLOOKUP(B2899,Indices!$A$2:$A$2676,Indices!$B$2:$B$2676,"")</f>
        <v/>
      </c>
    </row>
    <row r="2900" spans="1:4" x14ac:dyDescent="0.25">
      <c r="A2900" s="379">
        <v>45803.291666666664</v>
      </c>
      <c r="B2900" s="382" t="s">
        <v>5505</v>
      </c>
      <c r="C2900" s="377" t="s">
        <v>4489</v>
      </c>
      <c r="D2900" s="6" t="str">
        <f>_xlfn.XLOOKUP(B2900,Indices!$A$2:$A$2676,Indices!$B$2:$B$2676,"")</f>
        <v/>
      </c>
    </row>
    <row r="2901" spans="1:4" x14ac:dyDescent="0.25">
      <c r="A2901" s="379">
        <v>45803.291666666664</v>
      </c>
      <c r="B2901" s="382" t="s">
        <v>4324</v>
      </c>
      <c r="C2901" s="377" t="s">
        <v>4489</v>
      </c>
      <c r="D2901" s="6" t="str">
        <f>_xlfn.XLOOKUP(B2901,Indices!$A$2:$A$2676,Indices!$B$2:$B$2676,"")</f>
        <v/>
      </c>
    </row>
    <row r="2902" spans="1:4" x14ac:dyDescent="0.25">
      <c r="A2902" s="379">
        <v>45803.291666666664</v>
      </c>
      <c r="B2902" s="382" t="s">
        <v>4305</v>
      </c>
      <c r="C2902" s="377" t="s">
        <v>5504</v>
      </c>
      <c r="D2902" s="6" t="str">
        <f>_xlfn.XLOOKUP(B2902,Indices!$A$2:$A$2676,Indices!$B$2:$B$2676,"")</f>
        <v/>
      </c>
    </row>
    <row r="2903" spans="1:4" x14ac:dyDescent="0.25">
      <c r="A2903" s="379">
        <v>45803.291666666664</v>
      </c>
      <c r="B2903" s="382" t="s">
        <v>2869</v>
      </c>
      <c r="C2903" s="377" t="s">
        <v>5504</v>
      </c>
      <c r="D2903" s="6" t="str">
        <f>_xlfn.XLOOKUP(B2903,Indices!$A$2:$A$2676,Indices!$B$2:$B$2676,"")</f>
        <v/>
      </c>
    </row>
    <row r="2904" spans="1:4" x14ac:dyDescent="0.25">
      <c r="A2904" s="379">
        <v>45803.291666666664</v>
      </c>
      <c r="B2904" s="382" t="s">
        <v>3389</v>
      </c>
      <c r="C2904" s="377" t="s">
        <v>4489</v>
      </c>
      <c r="D2904" s="6" t="str">
        <f>_xlfn.XLOOKUP(B2904,Indices!$A$2:$A$2676,Indices!$B$2:$B$2676,"")</f>
        <v/>
      </c>
    </row>
    <row r="2905" spans="1:4" x14ac:dyDescent="0.25">
      <c r="A2905" s="379">
        <v>45803.625</v>
      </c>
      <c r="B2905" s="382" t="s">
        <v>4358</v>
      </c>
      <c r="C2905" s="377" t="s">
        <v>4607</v>
      </c>
      <c r="D2905" s="6" t="str">
        <f>_xlfn.XLOOKUP(B2905,Indices!$A$2:$A$2676,Indices!$B$2:$B$2676,"")</f>
        <v/>
      </c>
    </row>
    <row r="2906" spans="1:4" x14ac:dyDescent="0.25">
      <c r="A2906" s="379">
        <v>45803.625</v>
      </c>
      <c r="B2906" s="382" t="s">
        <v>4009</v>
      </c>
      <c r="C2906" s="377" t="s">
        <v>4607</v>
      </c>
      <c r="D2906" s="6" t="str">
        <f>_xlfn.XLOOKUP(B2906,Indices!$A$2:$A$2676,Indices!$B$2:$B$2676,"")</f>
        <v/>
      </c>
    </row>
    <row r="2907" spans="1:4" x14ac:dyDescent="0.25">
      <c r="A2907" s="379">
        <v>45803.625</v>
      </c>
      <c r="B2907" s="382" t="s">
        <v>4288</v>
      </c>
      <c r="C2907" s="377" t="s">
        <v>4607</v>
      </c>
      <c r="D2907" s="6" t="str">
        <f>_xlfn.XLOOKUP(B2907,Indices!$A$2:$A$2676,Indices!$B$2:$B$2676,"")</f>
        <v/>
      </c>
    </row>
    <row r="2908" spans="1:4" x14ac:dyDescent="0.25">
      <c r="A2908" s="379">
        <v>45803.625</v>
      </c>
      <c r="B2908" s="382" t="s">
        <v>4309</v>
      </c>
      <c r="C2908" s="377" t="s">
        <v>4607</v>
      </c>
      <c r="D2908" s="6" t="str">
        <f>_xlfn.XLOOKUP(B2908,Indices!$A$2:$A$2676,Indices!$B$2:$B$2676,"")</f>
        <v/>
      </c>
    </row>
    <row r="2909" spans="1:4" x14ac:dyDescent="0.25">
      <c r="A2909" s="379">
        <v>45803.625</v>
      </c>
      <c r="B2909" s="382" t="s">
        <v>2220</v>
      </c>
      <c r="C2909" s="377" t="s">
        <v>4607</v>
      </c>
      <c r="D2909" s="6" t="str">
        <f>_xlfn.XLOOKUP(B2909,Indices!$A$2:$A$2676,Indices!$B$2:$B$2676,"")</f>
        <v>IWM</v>
      </c>
    </row>
    <row r="2910" spans="1:4" x14ac:dyDescent="0.25">
      <c r="A2910" s="379">
        <v>45803.625</v>
      </c>
      <c r="B2910" s="382" t="s">
        <v>2857</v>
      </c>
      <c r="C2910" s="377" t="s">
        <v>4607</v>
      </c>
      <c r="D2910" s="6" t="str">
        <f>_xlfn.XLOOKUP(B2910,Indices!$A$2:$A$2676,Indices!$B$2:$B$2676,"")</f>
        <v/>
      </c>
    </row>
    <row r="2911" spans="1:4" x14ac:dyDescent="0.25">
      <c r="A2911" s="379">
        <v>45804.291666666664</v>
      </c>
      <c r="B2911" s="382" t="s">
        <v>4278</v>
      </c>
      <c r="C2911" s="377" t="s">
        <v>4304</v>
      </c>
      <c r="D2911" s="6" t="str">
        <f>_xlfn.XLOOKUP(B2911,Indices!$A$2:$A$2676,Indices!$B$2:$B$2676,"")</f>
        <v/>
      </c>
    </row>
    <row r="2912" spans="1:4" x14ac:dyDescent="0.25">
      <c r="A2912" s="379">
        <v>45804.291666666664</v>
      </c>
      <c r="B2912" s="382" t="s">
        <v>4227</v>
      </c>
      <c r="C2912" s="377" t="s">
        <v>4299</v>
      </c>
      <c r="D2912" s="6" t="str">
        <f>_xlfn.XLOOKUP(B2912,Indices!$A$2:$A$2676,Indices!$B$2:$B$2676,"")</f>
        <v/>
      </c>
    </row>
    <row r="2913" spans="1:4" x14ac:dyDescent="0.25">
      <c r="A2913" s="379">
        <v>45804.291666666664</v>
      </c>
      <c r="B2913" s="382" t="s">
        <v>4322</v>
      </c>
      <c r="C2913" s="377" t="s">
        <v>4299</v>
      </c>
      <c r="D2913" s="6" t="str">
        <f>_xlfn.XLOOKUP(B2913,Indices!$A$2:$A$2676,Indices!$B$2:$B$2676,"")</f>
        <v/>
      </c>
    </row>
    <row r="2914" spans="1:4" x14ac:dyDescent="0.25">
      <c r="A2914" s="379">
        <v>45804.291666666664</v>
      </c>
      <c r="B2914" s="382" t="s">
        <v>3114</v>
      </c>
      <c r="C2914" s="377" t="s">
        <v>4304</v>
      </c>
      <c r="D2914" s="6" t="str">
        <f>_xlfn.XLOOKUP(B2914,Indices!$A$2:$A$2676,Indices!$B$2:$B$2676,"")</f>
        <v/>
      </c>
    </row>
    <row r="2915" spans="1:4" x14ac:dyDescent="0.25">
      <c r="A2915" s="379">
        <v>45804.291666666664</v>
      </c>
      <c r="B2915" s="382" t="s">
        <v>4089</v>
      </c>
      <c r="C2915" s="377" t="s">
        <v>4299</v>
      </c>
      <c r="D2915" s="6" t="str">
        <f>_xlfn.XLOOKUP(B2915,Indices!$A$2:$A$2676,Indices!$B$2:$B$2676,"")</f>
        <v/>
      </c>
    </row>
    <row r="2916" spans="1:4" x14ac:dyDescent="0.25">
      <c r="A2916" s="379">
        <v>45804.291666666664</v>
      </c>
      <c r="B2916" s="382" t="s">
        <v>4254</v>
      </c>
      <c r="C2916" s="377" t="s">
        <v>4299</v>
      </c>
      <c r="D2916" s="6" t="str">
        <f>_xlfn.XLOOKUP(B2916,Indices!$A$2:$A$2676,Indices!$B$2:$B$2676,"")</f>
        <v/>
      </c>
    </row>
    <row r="2917" spans="1:4" x14ac:dyDescent="0.25">
      <c r="A2917" s="379">
        <v>45804.291666666664</v>
      </c>
      <c r="B2917" s="382" t="s">
        <v>4622</v>
      </c>
      <c r="C2917" s="377" t="s">
        <v>4299</v>
      </c>
      <c r="D2917" s="6" t="str">
        <f>_xlfn.XLOOKUP(B2917,Indices!$A$2:$A$2676,Indices!$B$2:$B$2676,"")</f>
        <v/>
      </c>
    </row>
    <row r="2918" spans="1:4" x14ac:dyDescent="0.25">
      <c r="A2918" s="379">
        <v>45804.291666666664</v>
      </c>
      <c r="B2918" s="382" t="s">
        <v>4604</v>
      </c>
      <c r="C2918" s="377" t="s">
        <v>4299</v>
      </c>
      <c r="D2918" s="6" t="str">
        <f>_xlfn.XLOOKUP(B2918,Indices!$A$2:$A$2676,Indices!$B$2:$B$2676,"")</f>
        <v/>
      </c>
    </row>
    <row r="2919" spans="1:4" x14ac:dyDescent="0.25">
      <c r="A2919" s="379">
        <v>45804.291666666664</v>
      </c>
      <c r="B2919" s="382" t="s">
        <v>1667</v>
      </c>
      <c r="C2919" s="377" t="s">
        <v>4299</v>
      </c>
      <c r="D2919" s="6" t="str">
        <f>_xlfn.XLOOKUP(B2919,Indices!$A$2:$A$2676,Indices!$B$2:$B$2676,"")</f>
        <v>IWM</v>
      </c>
    </row>
    <row r="2920" spans="1:4" x14ac:dyDescent="0.25">
      <c r="A2920" s="379">
        <v>45804.291666666664</v>
      </c>
      <c r="B2920" s="382" t="s">
        <v>4414</v>
      </c>
      <c r="C2920" s="377" t="s">
        <v>4299</v>
      </c>
      <c r="D2920" s="6" t="str">
        <f>_xlfn.XLOOKUP(B2920,Indices!$A$2:$A$2676,Indices!$B$2:$B$2676,"")</f>
        <v/>
      </c>
    </row>
    <row r="2921" spans="1:4" x14ac:dyDescent="0.25">
      <c r="A2921" s="379">
        <v>45804.291666666664</v>
      </c>
      <c r="B2921" s="382" t="s">
        <v>4298</v>
      </c>
      <c r="C2921" s="377" t="s">
        <v>4299</v>
      </c>
      <c r="D2921" s="6" t="str">
        <f>_xlfn.XLOOKUP(B2921,Indices!$A$2:$A$2676,Indices!$B$2:$B$2676,"")</f>
        <v/>
      </c>
    </row>
    <row r="2922" spans="1:4" x14ac:dyDescent="0.25">
      <c r="A2922" s="379">
        <v>45804.291666666664</v>
      </c>
      <c r="B2922" s="382" t="s">
        <v>1243</v>
      </c>
      <c r="C2922" s="377" t="s">
        <v>4299</v>
      </c>
      <c r="D2922" s="6" t="str">
        <f>_xlfn.XLOOKUP(B2922,Indices!$A$2:$A$2676,Indices!$B$2:$B$2676,"")</f>
        <v>SP500</v>
      </c>
    </row>
    <row r="2923" spans="1:4" x14ac:dyDescent="0.25">
      <c r="A2923" s="379">
        <v>45804.291666666664</v>
      </c>
      <c r="B2923" s="382" t="s">
        <v>887</v>
      </c>
      <c r="C2923" s="377" t="s">
        <v>4299</v>
      </c>
      <c r="D2923" s="6" t="str">
        <f>_xlfn.XLOOKUP(B2923,Indices!$A$2:$A$2676,Indices!$B$2:$B$2676,"")</f>
        <v>IWM</v>
      </c>
    </row>
    <row r="2924" spans="1:4" x14ac:dyDescent="0.25">
      <c r="A2924" s="379">
        <v>45804.291666666664</v>
      </c>
      <c r="B2924" s="382" t="s">
        <v>3977</v>
      </c>
      <c r="C2924" s="377" t="s">
        <v>4299</v>
      </c>
      <c r="D2924" s="6" t="str">
        <f>_xlfn.XLOOKUP(B2924,Indices!$A$2:$A$2676,Indices!$B$2:$B$2676,"")</f>
        <v/>
      </c>
    </row>
    <row r="2925" spans="1:4" x14ac:dyDescent="0.25">
      <c r="A2925" s="379">
        <v>45804.291666666664</v>
      </c>
      <c r="B2925" s="382" t="s">
        <v>1107</v>
      </c>
      <c r="C2925" s="377" t="s">
        <v>4299</v>
      </c>
      <c r="D2925" s="6" t="str">
        <f>_xlfn.XLOOKUP(B2925,Indices!$A$2:$A$2676,Indices!$B$2:$B$2676,"")</f>
        <v>NQ100</v>
      </c>
    </row>
    <row r="2926" spans="1:4" x14ac:dyDescent="0.25">
      <c r="A2926" s="379">
        <v>45804.625</v>
      </c>
      <c r="B2926" s="382" t="s">
        <v>4359</v>
      </c>
      <c r="C2926" s="377" t="s">
        <v>4307</v>
      </c>
      <c r="D2926" s="6" t="str">
        <f>_xlfn.XLOOKUP(B2926,Indices!$A$2:$A$2676,Indices!$B$2:$B$2676,"")</f>
        <v/>
      </c>
    </row>
    <row r="2927" spans="1:4" x14ac:dyDescent="0.25">
      <c r="A2927" s="379">
        <v>45804.625</v>
      </c>
      <c r="B2927" s="382" t="s">
        <v>4550</v>
      </c>
      <c r="C2927" s="377" t="s">
        <v>4307</v>
      </c>
      <c r="D2927" s="6" t="str">
        <f>_xlfn.XLOOKUP(B2927,Indices!$A$2:$A$2676,Indices!$B$2:$B$2676,"")</f>
        <v/>
      </c>
    </row>
    <row r="2928" spans="1:4" x14ac:dyDescent="0.25">
      <c r="A2928" s="379">
        <v>45804.625</v>
      </c>
      <c r="B2928" s="382" t="s">
        <v>1130</v>
      </c>
      <c r="C2928" s="377" t="s">
        <v>4307</v>
      </c>
      <c r="D2928" s="6" t="str">
        <f>_xlfn.XLOOKUP(B2928,Indices!$A$2:$A$2676,Indices!$B$2:$B$2676,"")</f>
        <v>IWM</v>
      </c>
    </row>
    <row r="2929" spans="1:4" x14ac:dyDescent="0.25">
      <c r="A2929" s="379">
        <v>45804.625</v>
      </c>
      <c r="B2929" s="382" t="s">
        <v>2855</v>
      </c>
      <c r="C2929" s="377" t="s">
        <v>4307</v>
      </c>
      <c r="D2929" s="6" t="str">
        <f>_xlfn.XLOOKUP(B2929,Indices!$A$2:$A$2676,Indices!$B$2:$B$2676,"")</f>
        <v/>
      </c>
    </row>
    <row r="2930" spans="1:4" x14ac:dyDescent="0.25">
      <c r="A2930" s="379">
        <v>45804.625</v>
      </c>
      <c r="B2930" s="382" t="s">
        <v>4258</v>
      </c>
      <c r="C2930" s="377" t="s">
        <v>4307</v>
      </c>
      <c r="D2930" s="6" t="str">
        <f>_xlfn.XLOOKUP(B2930,Indices!$A$2:$A$2676,Indices!$B$2:$B$2676,"")</f>
        <v/>
      </c>
    </row>
    <row r="2931" spans="1:4" x14ac:dyDescent="0.25">
      <c r="A2931" s="379">
        <v>45804.625</v>
      </c>
      <c r="B2931" s="382" t="s">
        <v>4353</v>
      </c>
      <c r="C2931" s="377" t="s">
        <v>4307</v>
      </c>
      <c r="D2931" s="6" t="str">
        <f>_xlfn.XLOOKUP(B2931,Indices!$A$2:$A$2676,Indices!$B$2:$B$2676,"")</f>
        <v/>
      </c>
    </row>
    <row r="2932" spans="1:4" x14ac:dyDescent="0.25">
      <c r="A2932" s="379">
        <v>45804.625</v>
      </c>
      <c r="B2932" s="382" t="s">
        <v>2856</v>
      </c>
      <c r="C2932" s="377" t="s">
        <v>4307</v>
      </c>
      <c r="D2932" s="6" t="str">
        <f>_xlfn.XLOOKUP(B2932,Indices!$A$2:$A$2676,Indices!$B$2:$B$2676,"")</f>
        <v/>
      </c>
    </row>
    <row r="2933" spans="1:4" x14ac:dyDescent="0.25">
      <c r="A2933" s="379">
        <v>45804.625</v>
      </c>
      <c r="B2933" s="382" t="s">
        <v>2879</v>
      </c>
      <c r="C2933" s="377" t="s">
        <v>4307</v>
      </c>
      <c r="D2933" s="6" t="str">
        <f>_xlfn.XLOOKUP(B2933,Indices!$A$2:$A$2676,Indices!$B$2:$B$2676,"")</f>
        <v/>
      </c>
    </row>
    <row r="2934" spans="1:4" x14ac:dyDescent="0.25">
      <c r="A2934" s="379">
        <v>45804.625</v>
      </c>
      <c r="B2934" s="382" t="s">
        <v>2577</v>
      </c>
      <c r="C2934" s="377" t="s">
        <v>4307</v>
      </c>
      <c r="D2934" s="6" t="str">
        <f>_xlfn.XLOOKUP(B2934,Indices!$A$2:$A$2676,Indices!$B$2:$B$2676,"")</f>
        <v/>
      </c>
    </row>
    <row r="2935" spans="1:4" x14ac:dyDescent="0.25">
      <c r="A2935" s="379">
        <v>45804.625</v>
      </c>
      <c r="B2935" s="382" t="s">
        <v>2159</v>
      </c>
      <c r="C2935" s="377" t="s">
        <v>4307</v>
      </c>
      <c r="D2935" s="6" t="str">
        <f>_xlfn.XLOOKUP(B2935,Indices!$A$2:$A$2676,Indices!$B$2:$B$2676,"")</f>
        <v>IWM</v>
      </c>
    </row>
    <row r="2936" spans="1:4" x14ac:dyDescent="0.25">
      <c r="A2936" s="379">
        <v>45804.625</v>
      </c>
      <c r="B2936" s="382" t="s">
        <v>1900</v>
      </c>
      <c r="C2936" s="377" t="s">
        <v>4307</v>
      </c>
      <c r="D2936" s="6" t="str">
        <f>_xlfn.XLOOKUP(B2936,Indices!$A$2:$A$2676,Indices!$B$2:$B$2676,"")</f>
        <v>IWM</v>
      </c>
    </row>
    <row r="2937" spans="1:4" x14ac:dyDescent="0.25">
      <c r="A2937" s="379">
        <v>45804.625</v>
      </c>
      <c r="B2937" s="382" t="s">
        <v>883</v>
      </c>
      <c r="C2937" s="377" t="s">
        <v>4307</v>
      </c>
      <c r="D2937" s="6" t="str">
        <f>_xlfn.XLOOKUP(B2937,Indices!$A$2:$A$2676,Indices!$B$2:$B$2676,"")</f>
        <v>IWM</v>
      </c>
    </row>
    <row r="2938" spans="1:4" x14ac:dyDescent="0.25">
      <c r="A2938" s="379">
        <v>45804.625</v>
      </c>
      <c r="B2938" s="382" t="s">
        <v>2920</v>
      </c>
      <c r="C2938" s="377" t="s">
        <v>4307</v>
      </c>
      <c r="D2938" s="6" t="str">
        <f>_xlfn.XLOOKUP(B2938,Indices!$A$2:$A$2676,Indices!$B$2:$B$2676,"")</f>
        <v/>
      </c>
    </row>
    <row r="2939" spans="1:4" x14ac:dyDescent="0.25">
      <c r="A2939" s="379">
        <v>45804.625</v>
      </c>
      <c r="B2939" s="382" t="s">
        <v>4286</v>
      </c>
      <c r="C2939" s="377" t="s">
        <v>4307</v>
      </c>
      <c r="D2939" s="6" t="str">
        <f>_xlfn.XLOOKUP(B2939,Indices!$A$2:$A$2676,Indices!$B$2:$B$2676,"")</f>
        <v/>
      </c>
    </row>
    <row r="2940" spans="1:4" x14ac:dyDescent="0.25">
      <c r="A2940" s="379">
        <v>45804.625</v>
      </c>
      <c r="B2940" s="382" t="s">
        <v>2908</v>
      </c>
      <c r="C2940" s="377" t="s">
        <v>4307</v>
      </c>
      <c r="D2940" s="6" t="str">
        <f>_xlfn.XLOOKUP(B2940,Indices!$A$2:$A$2676,Indices!$B$2:$B$2676,"")</f>
        <v/>
      </c>
    </row>
    <row r="2941" spans="1:4" x14ac:dyDescent="0.25">
      <c r="A2941" s="379">
        <v>45804.625</v>
      </c>
      <c r="B2941" s="382" t="s">
        <v>5501</v>
      </c>
      <c r="C2941" s="377" t="s">
        <v>4307</v>
      </c>
      <c r="D2941" s="6" t="str">
        <f>_xlfn.XLOOKUP(B2941,Indices!$A$2:$A$2676,Indices!$B$2:$B$2676,"")</f>
        <v/>
      </c>
    </row>
    <row r="2942" spans="1:4" x14ac:dyDescent="0.25">
      <c r="A2942" s="379">
        <v>45804.625</v>
      </c>
      <c r="B2942" s="382" t="s">
        <v>2861</v>
      </c>
      <c r="C2942" s="377" t="s">
        <v>4307</v>
      </c>
      <c r="D2942" s="6" t="str">
        <f>_xlfn.XLOOKUP(B2942,Indices!$A$2:$A$2676,Indices!$B$2:$B$2676,"")</f>
        <v/>
      </c>
    </row>
    <row r="2943" spans="1:4" x14ac:dyDescent="0.25">
      <c r="A2943" s="379">
        <v>45804.625</v>
      </c>
      <c r="B2943" s="382" t="s">
        <v>4308</v>
      </c>
      <c r="C2943" s="377" t="s">
        <v>4307</v>
      </c>
      <c r="D2943" s="6" t="str">
        <f>_xlfn.XLOOKUP(B2943,Indices!$A$2:$A$2676,Indices!$B$2:$B$2676,"")</f>
        <v/>
      </c>
    </row>
    <row r="2944" spans="1:4" x14ac:dyDescent="0.25">
      <c r="A2944" s="379">
        <v>45804.625</v>
      </c>
      <c r="B2944" s="382" t="s">
        <v>2792</v>
      </c>
      <c r="C2944" s="377" t="s">
        <v>4307</v>
      </c>
      <c r="D2944" s="6" t="str">
        <f>_xlfn.XLOOKUP(B2944,Indices!$A$2:$A$2676,Indices!$B$2:$B$2676,"")</f>
        <v/>
      </c>
    </row>
    <row r="2945" spans="1:4" x14ac:dyDescent="0.25">
      <c r="A2945" s="379">
        <v>45804.625</v>
      </c>
      <c r="B2945" s="382" t="s">
        <v>986</v>
      </c>
      <c r="C2945" s="377" t="s">
        <v>4307</v>
      </c>
      <c r="D2945" s="6" t="str">
        <f>_xlfn.XLOOKUP(B2945,Indices!$A$2:$A$2676,Indices!$B$2:$B$2676,"")</f>
        <v>IWM</v>
      </c>
    </row>
    <row r="2946" spans="1:4" x14ac:dyDescent="0.25">
      <c r="A2946" s="379">
        <v>45804.625</v>
      </c>
      <c r="B2946" s="382" t="s">
        <v>4198</v>
      </c>
      <c r="C2946" s="377" t="s">
        <v>4307</v>
      </c>
      <c r="D2946" s="6" t="str">
        <f>_xlfn.XLOOKUP(B2946,Indices!$A$2:$A$2676,Indices!$B$2:$B$2676,"")</f>
        <v/>
      </c>
    </row>
    <row r="2947" spans="1:4" x14ac:dyDescent="0.25">
      <c r="A2947" s="379">
        <v>45804.625</v>
      </c>
      <c r="B2947" s="382" t="s">
        <v>2864</v>
      </c>
      <c r="C2947" s="377" t="s">
        <v>4307</v>
      </c>
      <c r="D2947" s="6" t="str">
        <f>_xlfn.XLOOKUP(B2947,Indices!$A$2:$A$2676,Indices!$B$2:$B$2676,"")</f>
        <v/>
      </c>
    </row>
    <row r="2948" spans="1:4" x14ac:dyDescent="0.25">
      <c r="A2948" s="379">
        <v>45804.625</v>
      </c>
      <c r="B2948" s="382" t="s">
        <v>1176</v>
      </c>
      <c r="C2948" s="377" t="s">
        <v>4307</v>
      </c>
      <c r="D2948" s="6" t="str">
        <f>_xlfn.XLOOKUP(B2948,Indices!$A$2:$A$2676,Indices!$B$2:$B$2676,"")</f>
        <v>IWM</v>
      </c>
    </row>
    <row r="2949" spans="1:4" x14ac:dyDescent="0.25">
      <c r="A2949" s="379">
        <v>45804.625</v>
      </c>
      <c r="B2949" s="382" t="s">
        <v>4310</v>
      </c>
      <c r="C2949" s="377" t="s">
        <v>4307</v>
      </c>
      <c r="D2949" s="6" t="str">
        <f>_xlfn.XLOOKUP(B2949,Indices!$A$2:$A$2676,Indices!$B$2:$B$2676,"")</f>
        <v/>
      </c>
    </row>
    <row r="2950" spans="1:4" x14ac:dyDescent="0.25">
      <c r="A2950" s="379">
        <v>45805.291666666664</v>
      </c>
      <c r="B2950" s="382" t="s">
        <v>2008</v>
      </c>
      <c r="C2950" s="377" t="s">
        <v>4311</v>
      </c>
      <c r="D2950" s="6" t="str">
        <f>_xlfn.XLOOKUP(B2950,Indices!$A$2:$A$2676,Indices!$B$2:$B$2676,"")</f>
        <v>IWM</v>
      </c>
    </row>
    <row r="2951" spans="1:4" x14ac:dyDescent="0.25">
      <c r="A2951" s="379">
        <v>45805.291666666664</v>
      </c>
      <c r="B2951" s="382" t="s">
        <v>547</v>
      </c>
      <c r="C2951" s="377" t="s">
        <v>4311</v>
      </c>
      <c r="D2951" s="6" t="str">
        <f>_xlfn.XLOOKUP(B2951,Indices!$A$2:$A$2676,Indices!$B$2:$B$2676,"")</f>
        <v>IWM</v>
      </c>
    </row>
    <row r="2952" spans="1:4" x14ac:dyDescent="0.25">
      <c r="A2952" s="379">
        <v>45805.291666666664</v>
      </c>
      <c r="B2952" s="382" t="s">
        <v>726</v>
      </c>
      <c r="C2952" s="377" t="s">
        <v>4311</v>
      </c>
      <c r="D2952" s="6" t="str">
        <f>_xlfn.XLOOKUP(B2952,Indices!$A$2:$A$2676,Indices!$B$2:$B$2676,"")</f>
        <v>S&amp;P Mid</v>
      </c>
    </row>
    <row r="2953" spans="1:4" x14ac:dyDescent="0.25">
      <c r="A2953" s="379">
        <v>45805.291666666664</v>
      </c>
      <c r="B2953" s="382" t="s">
        <v>4316</v>
      </c>
      <c r="C2953" s="377" t="s">
        <v>4311</v>
      </c>
      <c r="D2953" s="6" t="str">
        <f>_xlfn.XLOOKUP(B2953,Indices!$A$2:$A$2676,Indices!$B$2:$B$2676,"")</f>
        <v/>
      </c>
    </row>
    <row r="2954" spans="1:4" x14ac:dyDescent="0.25">
      <c r="A2954" s="379">
        <v>45805.291666666664</v>
      </c>
      <c r="B2954" s="382" t="s">
        <v>4315</v>
      </c>
      <c r="C2954" s="377" t="s">
        <v>4311</v>
      </c>
      <c r="D2954" s="6" t="str">
        <f>_xlfn.XLOOKUP(B2954,Indices!$A$2:$A$2676,Indices!$B$2:$B$2676,"")</f>
        <v/>
      </c>
    </row>
    <row r="2955" spans="1:4" x14ac:dyDescent="0.25">
      <c r="A2955" s="379">
        <v>45805.291666666664</v>
      </c>
      <c r="B2955" s="382" t="s">
        <v>4314</v>
      </c>
      <c r="C2955" s="377" t="s">
        <v>4311</v>
      </c>
      <c r="D2955" s="6" t="str">
        <f>_xlfn.XLOOKUP(B2955,Indices!$A$2:$A$2676,Indices!$B$2:$B$2676,"")</f>
        <v/>
      </c>
    </row>
    <row r="2956" spans="1:4" x14ac:dyDescent="0.25">
      <c r="A2956" s="379">
        <v>45805.291666666664</v>
      </c>
      <c r="B2956" s="382" t="s">
        <v>1139</v>
      </c>
      <c r="C2956" s="377" t="s">
        <v>4311</v>
      </c>
      <c r="D2956" s="6" t="str">
        <f>_xlfn.XLOOKUP(B2956,Indices!$A$2:$A$2676,Indices!$B$2:$B$2676,"")</f>
        <v>IWM</v>
      </c>
    </row>
    <row r="2957" spans="1:4" x14ac:dyDescent="0.25">
      <c r="A2957" s="379">
        <v>45805.291666666664</v>
      </c>
      <c r="B2957" s="382" t="s">
        <v>1172</v>
      </c>
      <c r="C2957" s="377" t="s">
        <v>4311</v>
      </c>
      <c r="D2957" s="6" t="str">
        <f>_xlfn.XLOOKUP(B2957,Indices!$A$2:$A$2676,Indices!$B$2:$B$2676,"")</f>
        <v>IWM</v>
      </c>
    </row>
    <row r="2958" spans="1:4" x14ac:dyDescent="0.25">
      <c r="A2958" s="379">
        <v>45805.291666666664</v>
      </c>
      <c r="B2958" s="382" t="s">
        <v>638</v>
      </c>
      <c r="C2958" s="377" t="s">
        <v>4311</v>
      </c>
      <c r="D2958" s="6" t="str">
        <f>_xlfn.XLOOKUP(B2958,Indices!$A$2:$A$2676,Indices!$B$2:$B$2676,"")</f>
        <v>IWM</v>
      </c>
    </row>
    <row r="2959" spans="1:4" x14ac:dyDescent="0.25">
      <c r="A2959" s="379">
        <v>45805.291666666664</v>
      </c>
      <c r="B2959" s="382" t="s">
        <v>4319</v>
      </c>
      <c r="C2959" s="377" t="s">
        <v>4311</v>
      </c>
      <c r="D2959" s="6" t="str">
        <f>_xlfn.XLOOKUP(B2959,Indices!$A$2:$A$2676,Indices!$B$2:$B$2676,"")</f>
        <v/>
      </c>
    </row>
    <row r="2960" spans="1:4" x14ac:dyDescent="0.25">
      <c r="A2960" s="379">
        <v>45805.291666666664</v>
      </c>
      <c r="B2960" s="382" t="s">
        <v>1146</v>
      </c>
      <c r="C2960" s="377" t="s">
        <v>4311</v>
      </c>
      <c r="D2960" s="6" t="str">
        <f>_xlfn.XLOOKUP(B2960,Indices!$A$2:$A$2676,Indices!$B$2:$B$2676,"")</f>
        <v>S&amp;P Mid</v>
      </c>
    </row>
    <row r="2961" spans="1:4" x14ac:dyDescent="0.25">
      <c r="A2961" s="379">
        <v>45805.291666666664</v>
      </c>
      <c r="B2961" s="382" t="s">
        <v>1140</v>
      </c>
      <c r="C2961" s="377" t="s">
        <v>4311</v>
      </c>
      <c r="D2961" s="6" t="str">
        <f>_xlfn.XLOOKUP(B2961,Indices!$A$2:$A$2676,Indices!$B$2:$B$2676,"")</f>
        <v>S&amp;P Mid</v>
      </c>
    </row>
    <row r="2962" spans="1:4" x14ac:dyDescent="0.25">
      <c r="A2962" s="379">
        <v>45805.291666666664</v>
      </c>
      <c r="B2962" s="382" t="s">
        <v>1249</v>
      </c>
      <c r="C2962" s="377" t="s">
        <v>4311</v>
      </c>
      <c r="D2962" s="6" t="str">
        <f>_xlfn.XLOOKUP(B2962,Indices!$A$2:$A$2676,Indices!$B$2:$B$2676,"")</f>
        <v>IWM</v>
      </c>
    </row>
    <row r="2963" spans="1:4" x14ac:dyDescent="0.25">
      <c r="A2963" s="379">
        <v>45805.291666666664</v>
      </c>
      <c r="B2963" s="382" t="s">
        <v>1236</v>
      </c>
      <c r="C2963" s="377" t="s">
        <v>4311</v>
      </c>
      <c r="D2963" s="6" t="str">
        <f>_xlfn.XLOOKUP(B2963,Indices!$A$2:$A$2676,Indices!$B$2:$B$2676,"")</f>
        <v>IWM</v>
      </c>
    </row>
    <row r="2964" spans="1:4" x14ac:dyDescent="0.25">
      <c r="A2964" s="379">
        <v>45805.291666666664</v>
      </c>
      <c r="B2964" s="382" t="s">
        <v>4281</v>
      </c>
      <c r="C2964" s="377" t="s">
        <v>4311</v>
      </c>
      <c r="D2964" s="6" t="str">
        <f>_xlfn.XLOOKUP(B2964,Indices!$A$2:$A$2676,Indices!$B$2:$B$2676,"")</f>
        <v/>
      </c>
    </row>
    <row r="2965" spans="1:4" x14ac:dyDescent="0.25">
      <c r="A2965" s="379">
        <v>45805.291666666664</v>
      </c>
      <c r="B2965" s="382" t="s">
        <v>4226</v>
      </c>
      <c r="C2965" s="377" t="s">
        <v>4311</v>
      </c>
      <c r="D2965" s="6" t="str">
        <f>_xlfn.XLOOKUP(B2965,Indices!$A$2:$A$2676,Indices!$B$2:$B$2676,"")</f>
        <v/>
      </c>
    </row>
    <row r="2966" spans="1:4" x14ac:dyDescent="0.25">
      <c r="A2966" s="379">
        <v>45805.291666666664</v>
      </c>
      <c r="B2966" s="382" t="s">
        <v>4246</v>
      </c>
      <c r="C2966" s="377" t="s">
        <v>4311</v>
      </c>
      <c r="D2966" s="6" t="str">
        <f>_xlfn.XLOOKUP(B2966,Indices!$A$2:$A$2676,Indices!$B$2:$B$2676,"")</f>
        <v/>
      </c>
    </row>
    <row r="2967" spans="1:4" x14ac:dyDescent="0.25">
      <c r="A2967" s="379">
        <v>45805.291666666664</v>
      </c>
      <c r="B2967" s="382" t="s">
        <v>2052</v>
      </c>
      <c r="C2967" s="377" t="s">
        <v>4311</v>
      </c>
      <c r="D2967" s="6" t="str">
        <f>_xlfn.XLOOKUP(B2967,Indices!$A$2:$A$2676,Indices!$B$2:$B$2676,"")</f>
        <v>IWM</v>
      </c>
    </row>
    <row r="2968" spans="1:4" x14ac:dyDescent="0.25">
      <c r="A2968" s="379">
        <v>45805.291666666664</v>
      </c>
      <c r="B2968" s="382" t="s">
        <v>4328</v>
      </c>
      <c r="C2968" s="377" t="s">
        <v>4311</v>
      </c>
      <c r="D2968" s="6" t="str">
        <f>_xlfn.XLOOKUP(B2968,Indices!$A$2:$A$2676,Indices!$B$2:$B$2676,"")</f>
        <v/>
      </c>
    </row>
    <row r="2969" spans="1:4" x14ac:dyDescent="0.25">
      <c r="A2969" s="379">
        <v>45805.291666666664</v>
      </c>
      <c r="B2969" s="382" t="s">
        <v>4253</v>
      </c>
      <c r="C2969" s="377" t="s">
        <v>4311</v>
      </c>
      <c r="D2969" s="6" t="str">
        <f>_xlfn.XLOOKUP(B2969,Indices!$A$2:$A$2676,Indices!$B$2:$B$2676,"")</f>
        <v/>
      </c>
    </row>
    <row r="2970" spans="1:4" x14ac:dyDescent="0.25">
      <c r="A2970" s="379">
        <v>45805.291666666664</v>
      </c>
      <c r="B2970" s="382" t="s">
        <v>4313</v>
      </c>
      <c r="C2970" s="377" t="s">
        <v>4311</v>
      </c>
      <c r="D2970" s="6" t="str">
        <f>_xlfn.XLOOKUP(B2970,Indices!$A$2:$A$2676,Indices!$B$2:$B$2676,"")</f>
        <v/>
      </c>
    </row>
    <row r="2971" spans="1:4" x14ac:dyDescent="0.25">
      <c r="A2971" s="379">
        <v>45805.291666666664</v>
      </c>
      <c r="B2971" s="382" t="s">
        <v>4320</v>
      </c>
      <c r="C2971" s="377" t="s">
        <v>4311</v>
      </c>
      <c r="D2971" s="6" t="str">
        <f>_xlfn.XLOOKUP(B2971,Indices!$A$2:$A$2676,Indices!$B$2:$B$2676,"")</f>
        <v/>
      </c>
    </row>
    <row r="2972" spans="1:4" x14ac:dyDescent="0.25">
      <c r="A2972" s="379">
        <v>45805.291666666664</v>
      </c>
      <c r="B2972" s="382" t="s">
        <v>4325</v>
      </c>
      <c r="C2972" s="377" t="s">
        <v>4311</v>
      </c>
      <c r="D2972" s="6" t="str">
        <f>_xlfn.XLOOKUP(B2972,Indices!$A$2:$A$2676,Indices!$B$2:$B$2676,"")</f>
        <v/>
      </c>
    </row>
    <row r="2973" spans="1:4" x14ac:dyDescent="0.25">
      <c r="A2973" s="379">
        <v>45805.291666666664</v>
      </c>
      <c r="B2973" s="382" t="s">
        <v>4285</v>
      </c>
      <c r="C2973" s="377" t="s">
        <v>4311</v>
      </c>
      <c r="D2973" s="6" t="str">
        <f>_xlfn.XLOOKUP(B2973,Indices!$A$2:$A$2676,Indices!$B$2:$B$2676,"")</f>
        <v/>
      </c>
    </row>
    <row r="2974" spans="1:4" x14ac:dyDescent="0.25">
      <c r="A2974" s="379">
        <v>45805.625</v>
      </c>
      <c r="B2974" s="382" t="s">
        <v>2854</v>
      </c>
      <c r="C2974" s="377" t="s">
        <v>4329</v>
      </c>
      <c r="D2974" s="6" t="str">
        <f>_xlfn.XLOOKUP(B2974,Indices!$A$2:$A$2676,Indices!$B$2:$B$2676,"")</f>
        <v/>
      </c>
    </row>
    <row r="2975" spans="1:4" x14ac:dyDescent="0.25">
      <c r="A2975" s="379">
        <v>45805.625</v>
      </c>
      <c r="B2975" s="382" t="s">
        <v>402</v>
      </c>
      <c r="C2975" s="377" t="s">
        <v>4329</v>
      </c>
      <c r="D2975" s="6" t="str">
        <f>_xlfn.XLOOKUP(B2975,Indices!$A$2:$A$2676,Indices!$B$2:$B$2676,"")</f>
        <v>S&amp;P Mid</v>
      </c>
    </row>
    <row r="2976" spans="1:4" x14ac:dyDescent="0.25">
      <c r="A2976" s="379">
        <v>45805.625</v>
      </c>
      <c r="B2976" s="382" t="s">
        <v>2585</v>
      </c>
      <c r="C2976" s="377" t="s">
        <v>4329</v>
      </c>
      <c r="D2976" s="6" t="str">
        <f>_xlfn.XLOOKUP(B2976,Indices!$A$2:$A$2676,Indices!$B$2:$B$2676,"")</f>
        <v/>
      </c>
    </row>
    <row r="2977" spans="1:4" x14ac:dyDescent="0.25">
      <c r="A2977" s="379">
        <v>45805.625</v>
      </c>
      <c r="B2977" s="382" t="s">
        <v>4332</v>
      </c>
      <c r="C2977" s="377" t="s">
        <v>4329</v>
      </c>
      <c r="D2977" s="6" t="str">
        <f>_xlfn.XLOOKUP(B2977,Indices!$A$2:$A$2676,Indices!$B$2:$B$2676,"")</f>
        <v/>
      </c>
    </row>
    <row r="2978" spans="1:4" x14ac:dyDescent="0.25">
      <c r="A2978" s="379">
        <v>45805.625</v>
      </c>
      <c r="B2978" s="382" t="s">
        <v>2851</v>
      </c>
      <c r="C2978" s="377" t="s">
        <v>4329</v>
      </c>
      <c r="D2978" s="6" t="str">
        <f>_xlfn.XLOOKUP(B2978,Indices!$A$2:$A$2676,Indices!$B$2:$B$2676,"")</f>
        <v/>
      </c>
    </row>
    <row r="2979" spans="1:4" x14ac:dyDescent="0.25">
      <c r="A2979" s="379">
        <v>45805.625</v>
      </c>
      <c r="B2979" s="382" t="s">
        <v>1250</v>
      </c>
      <c r="C2979" s="377" t="s">
        <v>4329</v>
      </c>
      <c r="D2979" s="6" t="str">
        <f>_xlfn.XLOOKUP(B2979,Indices!$A$2:$A$2676,Indices!$B$2:$B$2676,"")</f>
        <v>SP500</v>
      </c>
    </row>
    <row r="2980" spans="1:4" x14ac:dyDescent="0.25">
      <c r="A2980" s="379">
        <v>45805.625</v>
      </c>
      <c r="B2980" s="382" t="s">
        <v>2859</v>
      </c>
      <c r="C2980" s="377" t="s">
        <v>4329</v>
      </c>
      <c r="D2980" s="6" t="str">
        <f>_xlfn.XLOOKUP(B2980,Indices!$A$2:$A$2676,Indices!$B$2:$B$2676,"")</f>
        <v/>
      </c>
    </row>
    <row r="2981" spans="1:4" x14ac:dyDescent="0.25">
      <c r="A2981" s="379">
        <v>45805.625</v>
      </c>
      <c r="B2981" s="382" t="s">
        <v>4331</v>
      </c>
      <c r="C2981" s="377" t="s">
        <v>4329</v>
      </c>
      <c r="D2981" s="6" t="str">
        <f>_xlfn.XLOOKUP(B2981,Indices!$A$2:$A$2676,Indices!$B$2:$B$2676,"")</f>
        <v/>
      </c>
    </row>
    <row r="2982" spans="1:4" x14ac:dyDescent="0.25">
      <c r="A2982" s="379">
        <v>45805.625</v>
      </c>
      <c r="B2982" s="382" t="s">
        <v>4356</v>
      </c>
      <c r="C2982" s="377" t="s">
        <v>4329</v>
      </c>
      <c r="D2982" s="6" t="str">
        <f>_xlfn.XLOOKUP(B2982,Indices!$A$2:$A$2676,Indices!$B$2:$B$2676,"")</f>
        <v/>
      </c>
    </row>
    <row r="2983" spans="1:4" x14ac:dyDescent="0.25">
      <c r="A2983" s="379">
        <v>45805.625</v>
      </c>
      <c r="B2983" s="382" t="s">
        <v>1204</v>
      </c>
      <c r="C2983" s="377" t="s">
        <v>4329</v>
      </c>
      <c r="D2983" s="6" t="str">
        <f>_xlfn.XLOOKUP(B2983,Indices!$A$2:$A$2676,Indices!$B$2:$B$2676,"")</f>
        <v>SP500</v>
      </c>
    </row>
    <row r="2984" spans="1:4" x14ac:dyDescent="0.25">
      <c r="A2984" s="379">
        <v>45805.625</v>
      </c>
      <c r="B2984" s="382" t="s">
        <v>2875</v>
      </c>
      <c r="C2984" s="377" t="s">
        <v>4329</v>
      </c>
      <c r="D2984" s="6" t="str">
        <f>_xlfn.XLOOKUP(B2984,Indices!$A$2:$A$2676,Indices!$B$2:$B$2676,"")</f>
        <v/>
      </c>
    </row>
    <row r="2985" spans="1:4" x14ac:dyDescent="0.25">
      <c r="A2985" s="379">
        <v>45805.625</v>
      </c>
      <c r="B2985" s="382" t="s">
        <v>1150</v>
      </c>
      <c r="C2985" s="377" t="s">
        <v>4329</v>
      </c>
      <c r="D2985" s="6" t="str">
        <f>_xlfn.XLOOKUP(B2985,Indices!$A$2:$A$2676,Indices!$B$2:$B$2676,"")</f>
        <v>SP500</v>
      </c>
    </row>
    <row r="2986" spans="1:4" x14ac:dyDescent="0.25">
      <c r="A2986" s="379">
        <v>45805.625</v>
      </c>
      <c r="B2986" s="382" t="s">
        <v>1197</v>
      </c>
      <c r="C2986" s="377" t="s">
        <v>4329</v>
      </c>
      <c r="D2986" s="6" t="str">
        <f>_xlfn.XLOOKUP(B2986,Indices!$A$2:$A$2676,Indices!$B$2:$B$2676,"")</f>
        <v>IWM</v>
      </c>
    </row>
    <row r="2987" spans="1:4" x14ac:dyDescent="0.25">
      <c r="A2987" s="379">
        <v>45805.625</v>
      </c>
      <c r="B2987" s="382" t="s">
        <v>4381</v>
      </c>
      <c r="C2987" s="377" t="s">
        <v>4329</v>
      </c>
      <c r="D2987" s="6" t="str">
        <f>_xlfn.XLOOKUP(B2987,Indices!$A$2:$A$2676,Indices!$B$2:$B$2676,"")</f>
        <v/>
      </c>
    </row>
    <row r="2988" spans="1:4" x14ac:dyDescent="0.25">
      <c r="A2988" s="379">
        <v>45805.625</v>
      </c>
      <c r="B2988" s="382" t="s">
        <v>1175</v>
      </c>
      <c r="C2988" s="377" t="s">
        <v>4329</v>
      </c>
      <c r="D2988" s="6" t="str">
        <f>_xlfn.XLOOKUP(B2988,Indices!$A$2:$A$2676,Indices!$B$2:$B$2676,"")</f>
        <v>S&amp;P Mid</v>
      </c>
    </row>
    <row r="2989" spans="1:4" x14ac:dyDescent="0.25">
      <c r="A2989" s="379">
        <v>45805.625</v>
      </c>
      <c r="B2989" s="382" t="s">
        <v>4334</v>
      </c>
      <c r="C2989" s="377" t="s">
        <v>4329</v>
      </c>
      <c r="D2989" s="6" t="str">
        <f>_xlfn.XLOOKUP(B2989,Indices!$A$2:$A$2676,Indices!$B$2:$B$2676,"")</f>
        <v/>
      </c>
    </row>
    <row r="2990" spans="1:4" x14ac:dyDescent="0.25">
      <c r="A2990" s="379">
        <v>45805.625</v>
      </c>
      <c r="B2990" s="382" t="s">
        <v>1177</v>
      </c>
      <c r="C2990" s="377" t="s">
        <v>4329</v>
      </c>
      <c r="D2990" s="6" t="str">
        <f>_xlfn.XLOOKUP(B2990,Indices!$A$2:$A$2676,Indices!$B$2:$B$2676,"")</f>
        <v>SP500</v>
      </c>
    </row>
    <row r="2991" spans="1:4" x14ac:dyDescent="0.25">
      <c r="A2991" s="379">
        <v>45805.625</v>
      </c>
      <c r="B2991" s="382" t="s">
        <v>1131</v>
      </c>
      <c r="C2991" s="377" t="s">
        <v>4329</v>
      </c>
      <c r="D2991" s="6" t="str">
        <f>_xlfn.XLOOKUP(B2991,Indices!$A$2:$A$2676,Indices!$B$2:$B$2676,"")</f>
        <v>SP500</v>
      </c>
    </row>
    <row r="2992" spans="1:4" x14ac:dyDescent="0.25">
      <c r="A2992" s="379">
        <v>45805.625</v>
      </c>
      <c r="B2992" s="382" t="s">
        <v>4335</v>
      </c>
      <c r="C2992" s="377" t="s">
        <v>4329</v>
      </c>
      <c r="D2992" s="6" t="str">
        <f>_xlfn.XLOOKUP(B2992,Indices!$A$2:$A$2676,Indices!$B$2:$B$2676,"")</f>
        <v/>
      </c>
    </row>
    <row r="2993" spans="1:4" x14ac:dyDescent="0.25">
      <c r="A2993" s="379">
        <v>45805.625</v>
      </c>
      <c r="B2993" s="382" t="s">
        <v>1103</v>
      </c>
      <c r="C2993" s="377" t="s">
        <v>4329</v>
      </c>
      <c r="D2993" s="6" t="str">
        <f>_xlfn.XLOOKUP(B2993,Indices!$A$2:$A$2676,Indices!$B$2:$B$2676,"")</f>
        <v>SP500</v>
      </c>
    </row>
    <row r="2994" spans="1:4" x14ac:dyDescent="0.25">
      <c r="A2994" s="379">
        <v>45805.625</v>
      </c>
      <c r="B2994" s="382" t="s">
        <v>2599</v>
      </c>
      <c r="C2994" s="377" t="s">
        <v>4329</v>
      </c>
      <c r="D2994" s="6" t="str">
        <f>_xlfn.XLOOKUP(B2994,Indices!$A$2:$A$2676,Indices!$B$2:$B$2676,"")</f>
        <v/>
      </c>
    </row>
    <row r="2995" spans="1:4" x14ac:dyDescent="0.25">
      <c r="A2995" s="379">
        <v>45805.625</v>
      </c>
      <c r="B2995" s="382" t="s">
        <v>1237</v>
      </c>
      <c r="C2995" s="377" t="s">
        <v>4329</v>
      </c>
      <c r="D2995" s="6" t="str">
        <f>_xlfn.XLOOKUP(B2995,Indices!$A$2:$A$2676,Indices!$B$2:$B$2676,"")</f>
        <v>IWM</v>
      </c>
    </row>
    <row r="2996" spans="1:4" x14ac:dyDescent="0.25">
      <c r="A2996" s="379">
        <v>45805.625</v>
      </c>
      <c r="B2996" s="382" t="s">
        <v>2605</v>
      </c>
      <c r="C2996" s="377" t="s">
        <v>4329</v>
      </c>
      <c r="D2996" s="6" t="str">
        <f>_xlfn.XLOOKUP(B2996,Indices!$A$2:$A$2676,Indices!$B$2:$B$2676,"")</f>
        <v/>
      </c>
    </row>
    <row r="2997" spans="1:4" x14ac:dyDescent="0.25">
      <c r="A2997" s="379">
        <v>45805.625</v>
      </c>
      <c r="B2997" s="382" t="s">
        <v>4330</v>
      </c>
      <c r="C2997" s="377" t="s">
        <v>4329</v>
      </c>
      <c r="D2997" s="6" t="str">
        <f>_xlfn.XLOOKUP(B2997,Indices!$A$2:$A$2676,Indices!$B$2:$B$2676,"")</f>
        <v/>
      </c>
    </row>
    <row r="2998" spans="1:4" x14ac:dyDescent="0.25">
      <c r="A2998" s="379">
        <v>45805.625</v>
      </c>
      <c r="B2998" s="382" t="s">
        <v>2573</v>
      </c>
      <c r="C2998" s="377" t="s">
        <v>4329</v>
      </c>
      <c r="D2998" s="6" t="str">
        <f>_xlfn.XLOOKUP(B2998,Indices!$A$2:$A$2676,Indices!$B$2:$B$2676,"")</f>
        <v/>
      </c>
    </row>
    <row r="2999" spans="1:4" x14ac:dyDescent="0.25">
      <c r="A2999" s="379">
        <v>45805.625</v>
      </c>
      <c r="B2999" s="382" t="s">
        <v>4264</v>
      </c>
      <c r="C2999" s="377" t="s">
        <v>4329</v>
      </c>
      <c r="D2999" s="6" t="str">
        <f>_xlfn.XLOOKUP(B2999,Indices!$A$2:$A$2676,Indices!$B$2:$B$2676,"")</f>
        <v/>
      </c>
    </row>
    <row r="3000" spans="1:4" x14ac:dyDescent="0.25">
      <c r="A3000" s="379">
        <v>45806.291666666664</v>
      </c>
      <c r="B3000" s="382" t="s">
        <v>1142</v>
      </c>
      <c r="C3000" s="377" t="s">
        <v>4339</v>
      </c>
      <c r="D3000" s="6" t="str">
        <f>_xlfn.XLOOKUP(B3000,Indices!$A$2:$A$2676,Indices!$B$2:$B$2676,"")</f>
        <v>IWM</v>
      </c>
    </row>
    <row r="3001" spans="1:4" x14ac:dyDescent="0.25">
      <c r="A3001" s="379">
        <v>45806.291666666664</v>
      </c>
      <c r="B3001" s="382" t="s">
        <v>2935</v>
      </c>
      <c r="C3001" s="377" t="s">
        <v>4339</v>
      </c>
      <c r="D3001" s="6" t="str">
        <f>_xlfn.XLOOKUP(B3001,Indices!$A$2:$A$2676,Indices!$B$2:$B$2676,"")</f>
        <v/>
      </c>
    </row>
    <row r="3002" spans="1:4" x14ac:dyDescent="0.25">
      <c r="A3002" s="379">
        <v>45806.291666666664</v>
      </c>
      <c r="B3002" s="382" t="s">
        <v>1191</v>
      </c>
      <c r="C3002" s="377" t="s">
        <v>4339</v>
      </c>
      <c r="D3002" s="6" t="str">
        <f>_xlfn.XLOOKUP(B3002,Indices!$A$2:$A$2676,Indices!$B$2:$B$2676,"")</f>
        <v>IWM</v>
      </c>
    </row>
    <row r="3003" spans="1:4" x14ac:dyDescent="0.25">
      <c r="A3003" s="379">
        <v>45806.291666666664</v>
      </c>
      <c r="B3003" s="382" t="s">
        <v>1163</v>
      </c>
      <c r="C3003" s="377" t="s">
        <v>4339</v>
      </c>
      <c r="D3003" s="6" t="str">
        <f>_xlfn.XLOOKUP(B3003,Indices!$A$2:$A$2676,Indices!$B$2:$B$2676,"")</f>
        <v>IWM</v>
      </c>
    </row>
    <row r="3004" spans="1:4" x14ac:dyDescent="0.25">
      <c r="A3004" s="379">
        <v>45806.291666666664</v>
      </c>
      <c r="B3004" s="382" t="s">
        <v>4349</v>
      </c>
      <c r="C3004" s="377" t="s">
        <v>4339</v>
      </c>
      <c r="D3004" s="6" t="str">
        <f>_xlfn.XLOOKUP(B3004,Indices!$A$2:$A$2676,Indices!$B$2:$B$2676,"")</f>
        <v/>
      </c>
    </row>
    <row r="3005" spans="1:4" x14ac:dyDescent="0.25">
      <c r="A3005" s="379">
        <v>45806.291666666664</v>
      </c>
      <c r="B3005" s="382" t="s">
        <v>1143</v>
      </c>
      <c r="C3005" s="377" t="s">
        <v>4339</v>
      </c>
      <c r="D3005" s="6" t="str">
        <f>_xlfn.XLOOKUP(B3005,Indices!$A$2:$A$2676,Indices!$B$2:$B$2676,"")</f>
        <v>SP500</v>
      </c>
    </row>
    <row r="3006" spans="1:4" x14ac:dyDescent="0.25">
      <c r="A3006" s="379">
        <v>45806.291666666664</v>
      </c>
      <c r="B3006" s="382" t="s">
        <v>4350</v>
      </c>
      <c r="C3006" s="377" t="s">
        <v>4339</v>
      </c>
      <c r="D3006" s="6" t="str">
        <f>_xlfn.XLOOKUP(B3006,Indices!$A$2:$A$2676,Indices!$B$2:$B$2676,"")</f>
        <v/>
      </c>
    </row>
    <row r="3007" spans="1:4" x14ac:dyDescent="0.25">
      <c r="A3007" s="379">
        <v>45806.291666666664</v>
      </c>
      <c r="B3007" s="382" t="s">
        <v>2890</v>
      </c>
      <c r="C3007" s="377" t="s">
        <v>4339</v>
      </c>
      <c r="D3007" s="6" t="str">
        <f>_xlfn.XLOOKUP(B3007,Indices!$A$2:$A$2676,Indices!$B$2:$B$2676,"")</f>
        <v/>
      </c>
    </row>
    <row r="3008" spans="1:4" x14ac:dyDescent="0.25">
      <c r="A3008" s="379">
        <v>45806.291666666664</v>
      </c>
      <c r="B3008" s="382" t="s">
        <v>4351</v>
      </c>
      <c r="C3008" s="377" t="s">
        <v>4339</v>
      </c>
      <c r="D3008" s="6" t="str">
        <f>_xlfn.XLOOKUP(B3008,Indices!$A$2:$A$2676,Indices!$B$2:$B$2676,"")</f>
        <v/>
      </c>
    </row>
    <row r="3009" spans="1:4" x14ac:dyDescent="0.25">
      <c r="A3009" s="379">
        <v>45806.291666666664</v>
      </c>
      <c r="B3009" s="382" t="s">
        <v>1218</v>
      </c>
      <c r="C3009" s="377" t="s">
        <v>4339</v>
      </c>
      <c r="D3009" s="6" t="str">
        <f>_xlfn.XLOOKUP(B3009,Indices!$A$2:$A$2676,Indices!$B$2:$B$2676,"")</f>
        <v>IWM</v>
      </c>
    </row>
    <row r="3010" spans="1:4" x14ac:dyDescent="0.25">
      <c r="A3010" s="379">
        <v>45806.291666666664</v>
      </c>
      <c r="B3010" s="382" t="s">
        <v>1213</v>
      </c>
      <c r="C3010" s="377" t="s">
        <v>4339</v>
      </c>
      <c r="D3010" s="6" t="str">
        <f>_xlfn.XLOOKUP(B3010,Indices!$A$2:$A$2676,Indices!$B$2:$B$2676,"")</f>
        <v>IWM</v>
      </c>
    </row>
    <row r="3011" spans="1:4" x14ac:dyDescent="0.25">
      <c r="A3011" s="379">
        <v>45806.291666666664</v>
      </c>
      <c r="B3011" s="382" t="s">
        <v>4230</v>
      </c>
      <c r="C3011" s="377" t="s">
        <v>4339</v>
      </c>
      <c r="D3011" s="6" t="str">
        <f>_xlfn.XLOOKUP(B3011,Indices!$A$2:$A$2676,Indices!$B$2:$B$2676,"")</f>
        <v/>
      </c>
    </row>
    <row r="3012" spans="1:4" x14ac:dyDescent="0.25">
      <c r="A3012" s="379">
        <v>45806.291666666664</v>
      </c>
      <c r="B3012" s="382" t="s">
        <v>4348</v>
      </c>
      <c r="C3012" s="377" t="s">
        <v>4339</v>
      </c>
      <c r="D3012" s="6" t="str">
        <f>_xlfn.XLOOKUP(B3012,Indices!$A$2:$A$2676,Indices!$B$2:$B$2676,"")</f>
        <v/>
      </c>
    </row>
    <row r="3013" spans="1:4" x14ac:dyDescent="0.25">
      <c r="A3013" s="379">
        <v>45806.291666666664</v>
      </c>
      <c r="B3013" s="382" t="s">
        <v>4283</v>
      </c>
      <c r="C3013" s="377" t="s">
        <v>4339</v>
      </c>
      <c r="D3013" s="6" t="str">
        <f>_xlfn.XLOOKUP(B3013,Indices!$A$2:$A$2676,Indices!$B$2:$B$2676,"")</f>
        <v/>
      </c>
    </row>
    <row r="3014" spans="1:4" x14ac:dyDescent="0.25">
      <c r="A3014" s="379">
        <v>45806.291666666664</v>
      </c>
      <c r="B3014" s="382" t="s">
        <v>4343</v>
      </c>
      <c r="C3014" s="377" t="s">
        <v>4339</v>
      </c>
      <c r="D3014" s="6" t="str">
        <f>_xlfn.XLOOKUP(B3014,Indices!$A$2:$A$2676,Indices!$B$2:$B$2676,"")</f>
        <v/>
      </c>
    </row>
    <row r="3015" spans="1:4" x14ac:dyDescent="0.25">
      <c r="A3015" s="379">
        <v>45806.291666666664</v>
      </c>
      <c r="B3015" s="382" t="s">
        <v>1214</v>
      </c>
      <c r="C3015" s="377" t="s">
        <v>4339</v>
      </c>
      <c r="D3015" s="6" t="str">
        <f>_xlfn.XLOOKUP(B3015,Indices!$A$2:$A$2676,Indices!$B$2:$B$2676,"")</f>
        <v>IWM</v>
      </c>
    </row>
    <row r="3016" spans="1:4" x14ac:dyDescent="0.25">
      <c r="A3016" s="379">
        <v>45806.291666666664</v>
      </c>
      <c r="B3016" s="382" t="s">
        <v>4666</v>
      </c>
      <c r="C3016" s="377" t="s">
        <v>4339</v>
      </c>
      <c r="D3016" s="6" t="str">
        <f>_xlfn.XLOOKUP(B3016,Indices!$A$2:$A$2676,Indices!$B$2:$B$2676,"")</f>
        <v/>
      </c>
    </row>
    <row r="3017" spans="1:4" x14ac:dyDescent="0.25">
      <c r="A3017" s="379">
        <v>45806.291666666664</v>
      </c>
      <c r="B3017" s="382" t="s">
        <v>906</v>
      </c>
      <c r="C3017" s="377" t="s">
        <v>4339</v>
      </c>
      <c r="D3017" s="6" t="str">
        <f>_xlfn.XLOOKUP(B3017,Indices!$A$2:$A$2676,Indices!$B$2:$B$2676,"")</f>
        <v>S&amp;P Mid</v>
      </c>
    </row>
    <row r="3018" spans="1:4" x14ac:dyDescent="0.25">
      <c r="A3018" s="379">
        <v>45806.291666666664</v>
      </c>
      <c r="B3018" s="382" t="s">
        <v>4306</v>
      </c>
      <c r="C3018" s="377" t="s">
        <v>4339</v>
      </c>
      <c r="D3018" s="6" t="str">
        <f>_xlfn.XLOOKUP(B3018,Indices!$A$2:$A$2676,Indices!$B$2:$B$2676,"")</f>
        <v/>
      </c>
    </row>
    <row r="3019" spans="1:4" x14ac:dyDescent="0.25">
      <c r="A3019" s="379">
        <v>45806.291666666664</v>
      </c>
      <c r="B3019" s="382" t="s">
        <v>2866</v>
      </c>
      <c r="C3019" s="377" t="s">
        <v>4339</v>
      </c>
      <c r="D3019" s="6" t="str">
        <f>_xlfn.XLOOKUP(B3019,Indices!$A$2:$A$2676,Indices!$B$2:$B$2676,"")</f>
        <v/>
      </c>
    </row>
    <row r="3020" spans="1:4" x14ac:dyDescent="0.25">
      <c r="A3020" s="379">
        <v>45806.291666666664</v>
      </c>
      <c r="B3020" s="382" t="s">
        <v>1210</v>
      </c>
      <c r="C3020" s="377" t="s">
        <v>4339</v>
      </c>
      <c r="D3020" s="6" t="str">
        <f>_xlfn.XLOOKUP(B3020,Indices!$A$2:$A$2676,Indices!$B$2:$B$2676,"")</f>
        <v>IWM</v>
      </c>
    </row>
    <row r="3021" spans="1:4" x14ac:dyDescent="0.25">
      <c r="A3021" s="379">
        <v>45806.291666666664</v>
      </c>
      <c r="B3021" s="382" t="s">
        <v>4270</v>
      </c>
      <c r="C3021" s="377" t="s">
        <v>4339</v>
      </c>
      <c r="D3021" s="6" t="str">
        <f>_xlfn.XLOOKUP(B3021,Indices!$A$2:$A$2676,Indices!$B$2:$B$2676,"")</f>
        <v/>
      </c>
    </row>
    <row r="3022" spans="1:4" x14ac:dyDescent="0.25">
      <c r="A3022" s="379">
        <v>45806.291666666664</v>
      </c>
      <c r="B3022" s="382" t="s">
        <v>1144</v>
      </c>
      <c r="C3022" s="377" t="s">
        <v>4339</v>
      </c>
      <c r="D3022" s="6" t="str">
        <f>_xlfn.XLOOKUP(B3022,Indices!$A$2:$A$2676,Indices!$B$2:$B$2676,"")</f>
        <v>S&amp;P Mid</v>
      </c>
    </row>
    <row r="3023" spans="1:4" x14ac:dyDescent="0.25">
      <c r="A3023" s="379">
        <v>45806.291666666664</v>
      </c>
      <c r="B3023" s="382" t="s">
        <v>596</v>
      </c>
      <c r="C3023" s="377" t="s">
        <v>4339</v>
      </c>
      <c r="D3023" s="6" t="str">
        <f>_xlfn.XLOOKUP(B3023,Indices!$A$2:$A$2676,Indices!$B$2:$B$2676,"")</f>
        <v>IWM</v>
      </c>
    </row>
    <row r="3024" spans="1:4" x14ac:dyDescent="0.25">
      <c r="A3024" s="379">
        <v>45806.291666666664</v>
      </c>
      <c r="B3024" s="382" t="s">
        <v>293</v>
      </c>
      <c r="C3024" s="377" t="s">
        <v>4339</v>
      </c>
      <c r="D3024" s="6" t="str">
        <f>_xlfn.XLOOKUP(B3024,Indices!$A$2:$A$2676,Indices!$B$2:$B$2676,"")</f>
        <v>IWM</v>
      </c>
    </row>
    <row r="3025" spans="1:4" x14ac:dyDescent="0.25">
      <c r="A3025" s="379">
        <v>45806.291666666664</v>
      </c>
      <c r="B3025" s="382" t="s">
        <v>4370</v>
      </c>
      <c r="C3025" s="377" t="s">
        <v>4339</v>
      </c>
      <c r="D3025" s="6" t="str">
        <f>_xlfn.XLOOKUP(B3025,Indices!$A$2:$A$2676,Indices!$B$2:$B$2676,"")</f>
        <v/>
      </c>
    </row>
    <row r="3026" spans="1:4" x14ac:dyDescent="0.25">
      <c r="A3026" s="379">
        <v>45806.291666666664</v>
      </c>
      <c r="B3026" s="382" t="s">
        <v>4346</v>
      </c>
      <c r="C3026" s="377" t="s">
        <v>4347</v>
      </c>
      <c r="D3026" s="6" t="str">
        <f>_xlfn.XLOOKUP(B3026,Indices!$A$2:$A$2676,Indices!$B$2:$B$2676,"")</f>
        <v/>
      </c>
    </row>
    <row r="3027" spans="1:4" x14ac:dyDescent="0.25">
      <c r="A3027" s="379">
        <v>45806.291666666664</v>
      </c>
      <c r="B3027" s="382" t="s">
        <v>4326</v>
      </c>
      <c r="C3027" s="377" t="s">
        <v>4339</v>
      </c>
      <c r="D3027" s="6" t="str">
        <f>_xlfn.XLOOKUP(B3027,Indices!$A$2:$A$2676,Indices!$B$2:$B$2676,"")</f>
        <v/>
      </c>
    </row>
    <row r="3028" spans="1:4" x14ac:dyDescent="0.25">
      <c r="A3028" s="379">
        <v>45806.291666666664</v>
      </c>
      <c r="B3028" s="382" t="s">
        <v>1188</v>
      </c>
      <c r="C3028" s="377" t="s">
        <v>4339</v>
      </c>
      <c r="D3028" s="6" t="str">
        <f>_xlfn.XLOOKUP(B3028,Indices!$A$2:$A$2676,Indices!$B$2:$B$2676,"")</f>
        <v>SP500</v>
      </c>
    </row>
    <row r="3029" spans="1:4" x14ac:dyDescent="0.25">
      <c r="A3029" s="379">
        <v>45806.291666666664</v>
      </c>
      <c r="B3029" s="382" t="s">
        <v>4352</v>
      </c>
      <c r="C3029" s="377" t="s">
        <v>4339</v>
      </c>
      <c r="D3029" s="6" t="str">
        <f>_xlfn.XLOOKUP(B3029,Indices!$A$2:$A$2676,Indices!$B$2:$B$2676,"")</f>
        <v/>
      </c>
    </row>
    <row r="3030" spans="1:4" x14ac:dyDescent="0.25">
      <c r="A3030" s="379">
        <v>45806.625</v>
      </c>
      <c r="B3030" s="382" t="s">
        <v>4136</v>
      </c>
      <c r="C3030" s="377" t="s">
        <v>4354</v>
      </c>
      <c r="D3030" s="6" t="str">
        <f>_xlfn.XLOOKUP(B3030,Indices!$A$2:$A$2676,Indices!$B$2:$B$2676,"")</f>
        <v/>
      </c>
    </row>
    <row r="3031" spans="1:4" x14ac:dyDescent="0.25">
      <c r="A3031" s="379">
        <v>45806.625</v>
      </c>
      <c r="B3031" s="382" t="s">
        <v>2584</v>
      </c>
      <c r="C3031" s="377" t="s">
        <v>4354</v>
      </c>
      <c r="D3031" s="6" t="str">
        <f>_xlfn.XLOOKUP(B3031,Indices!$A$2:$A$2676,Indices!$B$2:$B$2676,"")</f>
        <v/>
      </c>
    </row>
    <row r="3032" spans="1:4" x14ac:dyDescent="0.25">
      <c r="A3032" s="379">
        <v>45806.625</v>
      </c>
      <c r="B3032" s="382" t="s">
        <v>2603</v>
      </c>
      <c r="C3032" s="377" t="s">
        <v>4354</v>
      </c>
      <c r="D3032" s="6" t="str">
        <f>_xlfn.XLOOKUP(B3032,Indices!$A$2:$A$2676,Indices!$B$2:$B$2676,"")</f>
        <v/>
      </c>
    </row>
    <row r="3033" spans="1:4" x14ac:dyDescent="0.25">
      <c r="A3033" s="379">
        <v>45806.625</v>
      </c>
      <c r="B3033" s="382" t="s">
        <v>1166</v>
      </c>
      <c r="C3033" s="377" t="s">
        <v>4354</v>
      </c>
      <c r="D3033" s="6" t="str">
        <f>_xlfn.XLOOKUP(B3033,Indices!$A$2:$A$2676,Indices!$B$2:$B$2676,"")</f>
        <v>NQ100</v>
      </c>
    </row>
    <row r="3034" spans="1:4" x14ac:dyDescent="0.25">
      <c r="A3034" s="379">
        <v>45806.625</v>
      </c>
      <c r="B3034" s="382" t="s">
        <v>1224</v>
      </c>
      <c r="C3034" s="377" t="s">
        <v>4354</v>
      </c>
      <c r="D3034" s="6" t="str">
        <f>_xlfn.XLOOKUP(B3034,Indices!$A$2:$A$2676,Indices!$B$2:$B$2676,"")</f>
        <v>SP500</v>
      </c>
    </row>
    <row r="3035" spans="1:4" x14ac:dyDescent="0.25">
      <c r="A3035" s="379">
        <v>45806.625</v>
      </c>
      <c r="B3035" s="382" t="s">
        <v>1180</v>
      </c>
      <c r="C3035" s="377" t="s">
        <v>4354</v>
      </c>
      <c r="D3035" s="6" t="str">
        <f>_xlfn.XLOOKUP(B3035,Indices!$A$2:$A$2676,Indices!$B$2:$B$2676,"")</f>
        <v>NQ100</v>
      </c>
    </row>
    <row r="3036" spans="1:4" x14ac:dyDescent="0.25">
      <c r="A3036" s="379">
        <v>45806.625</v>
      </c>
      <c r="B3036" s="382" t="s">
        <v>1156</v>
      </c>
      <c r="C3036" s="377" t="s">
        <v>4354</v>
      </c>
      <c r="D3036" s="6" t="str">
        <f>_xlfn.XLOOKUP(B3036,Indices!$A$2:$A$2676,Indices!$B$2:$B$2676,"")</f>
        <v>IWM</v>
      </c>
    </row>
    <row r="3037" spans="1:4" x14ac:dyDescent="0.25">
      <c r="A3037" s="379">
        <v>45806.625</v>
      </c>
      <c r="B3037" s="382" t="s">
        <v>5502</v>
      </c>
      <c r="C3037" s="377" t="s">
        <v>4354</v>
      </c>
      <c r="D3037" s="6" t="str">
        <f>_xlfn.XLOOKUP(B3037,Indices!$A$2:$A$2676,Indices!$B$2:$B$2676,"")</f>
        <v/>
      </c>
    </row>
    <row r="3038" spans="1:4" x14ac:dyDescent="0.25">
      <c r="A3038" s="379">
        <v>45806.625</v>
      </c>
      <c r="B3038" s="382" t="s">
        <v>2604</v>
      </c>
      <c r="C3038" s="377" t="s">
        <v>4354</v>
      </c>
      <c r="D3038" s="6" t="str">
        <f>_xlfn.XLOOKUP(B3038,Indices!$A$2:$A$2676,Indices!$B$2:$B$2676,"")</f>
        <v/>
      </c>
    </row>
    <row r="3039" spans="1:4" x14ac:dyDescent="0.25">
      <c r="A3039" s="379">
        <v>45806.625</v>
      </c>
      <c r="B3039" s="382" t="s">
        <v>4355</v>
      </c>
      <c r="C3039" s="377" t="s">
        <v>4354</v>
      </c>
      <c r="D3039" s="6" t="str">
        <f>_xlfn.XLOOKUP(B3039,Indices!$A$2:$A$2676,Indices!$B$2:$B$2676,"")</f>
        <v/>
      </c>
    </row>
    <row r="3040" spans="1:4" x14ac:dyDescent="0.25">
      <c r="A3040" s="379">
        <v>45806.625</v>
      </c>
      <c r="B3040" s="382" t="s">
        <v>1120</v>
      </c>
      <c r="C3040" s="377" t="s">
        <v>4354</v>
      </c>
      <c r="D3040" s="6" t="str">
        <f>_xlfn.XLOOKUP(B3040,Indices!$A$2:$A$2676,Indices!$B$2:$B$2676,"")</f>
        <v>SP500</v>
      </c>
    </row>
    <row r="3041" spans="1:4" x14ac:dyDescent="0.25">
      <c r="A3041" s="379">
        <v>45806.625</v>
      </c>
      <c r="B3041" s="382" t="s">
        <v>1260</v>
      </c>
      <c r="C3041" s="377" t="s">
        <v>4354</v>
      </c>
      <c r="D3041" s="6" t="str">
        <f>_xlfn.XLOOKUP(B3041,Indices!$A$2:$A$2676,Indices!$B$2:$B$2676,"")</f>
        <v>SP500</v>
      </c>
    </row>
    <row r="3042" spans="1:4" x14ac:dyDescent="0.25">
      <c r="A3042" s="379">
        <v>45806.625</v>
      </c>
      <c r="B3042" s="382" t="s">
        <v>4399</v>
      </c>
      <c r="C3042" s="377" t="s">
        <v>4354</v>
      </c>
      <c r="D3042" s="6" t="str">
        <f>_xlfn.XLOOKUP(B3042,Indices!$A$2:$A$2676,Indices!$B$2:$B$2676,"")</f>
        <v/>
      </c>
    </row>
    <row r="3043" spans="1:4" x14ac:dyDescent="0.25">
      <c r="A3043" s="379">
        <v>45806.625</v>
      </c>
      <c r="B3043" s="382" t="s">
        <v>4365</v>
      </c>
      <c r="C3043" s="377" t="s">
        <v>4354</v>
      </c>
      <c r="D3043" s="6" t="str">
        <f>_xlfn.XLOOKUP(B3043,Indices!$A$2:$A$2676,Indices!$B$2:$B$2676,"")</f>
        <v/>
      </c>
    </row>
    <row r="3044" spans="1:4" x14ac:dyDescent="0.25">
      <c r="A3044" s="379">
        <v>45806.625</v>
      </c>
      <c r="B3044" s="382" t="s">
        <v>1116</v>
      </c>
      <c r="C3044" s="377" t="s">
        <v>4354</v>
      </c>
      <c r="D3044" s="6" t="str">
        <f>_xlfn.XLOOKUP(B3044,Indices!$A$2:$A$2676,Indices!$B$2:$B$2676,"")</f>
        <v>S&amp;P Mid</v>
      </c>
    </row>
    <row r="3045" spans="1:4" x14ac:dyDescent="0.25">
      <c r="A3045" s="379">
        <v>45806.625</v>
      </c>
      <c r="B3045" s="382" t="s">
        <v>1194</v>
      </c>
      <c r="C3045" s="377" t="s">
        <v>4354</v>
      </c>
      <c r="D3045" s="6" t="str">
        <f>_xlfn.XLOOKUP(B3045,Indices!$A$2:$A$2676,Indices!$B$2:$B$2676,"")</f>
        <v>IWM</v>
      </c>
    </row>
    <row r="3046" spans="1:4" x14ac:dyDescent="0.25">
      <c r="A3046" s="379">
        <v>45806.625</v>
      </c>
      <c r="B3046" s="382" t="s">
        <v>1155</v>
      </c>
      <c r="C3046" s="377" t="s">
        <v>4354</v>
      </c>
      <c r="D3046" s="6" t="str">
        <f>_xlfn.XLOOKUP(B3046,Indices!$A$2:$A$2676,Indices!$B$2:$B$2676,"")</f>
        <v>IWM</v>
      </c>
    </row>
    <row r="3047" spans="1:4" x14ac:dyDescent="0.25">
      <c r="A3047" s="379">
        <v>45806.625</v>
      </c>
      <c r="B3047" s="382" t="s">
        <v>1228</v>
      </c>
      <c r="C3047" s="377" t="s">
        <v>4354</v>
      </c>
      <c r="D3047" s="6" t="str">
        <f>_xlfn.XLOOKUP(B3047,Indices!$A$2:$A$2676,Indices!$B$2:$B$2676,"")</f>
        <v>SP500</v>
      </c>
    </row>
    <row r="3048" spans="1:4" x14ac:dyDescent="0.25">
      <c r="A3048" s="379">
        <v>45806.625</v>
      </c>
      <c r="B3048" s="382" t="s">
        <v>2860</v>
      </c>
      <c r="C3048" s="377" t="s">
        <v>4354</v>
      </c>
      <c r="D3048" s="6" t="str">
        <f>_xlfn.XLOOKUP(B3048,Indices!$A$2:$A$2676,Indices!$B$2:$B$2676,"")</f>
        <v/>
      </c>
    </row>
    <row r="3049" spans="1:4" x14ac:dyDescent="0.25">
      <c r="A3049" s="379">
        <v>45806.625</v>
      </c>
      <c r="B3049" s="382" t="s">
        <v>1154</v>
      </c>
      <c r="C3049" s="377" t="s">
        <v>4354</v>
      </c>
      <c r="D3049" s="6" t="str">
        <f>_xlfn.XLOOKUP(B3049,Indices!$A$2:$A$2676,Indices!$B$2:$B$2676,"")</f>
        <v>SP500</v>
      </c>
    </row>
    <row r="3050" spans="1:4" x14ac:dyDescent="0.25">
      <c r="A3050" s="379">
        <v>45806.625</v>
      </c>
      <c r="B3050" s="382" t="s">
        <v>4295</v>
      </c>
      <c r="C3050" s="377" t="s">
        <v>4354</v>
      </c>
      <c r="D3050" s="6" t="str">
        <f>_xlfn.XLOOKUP(B3050,Indices!$A$2:$A$2676,Indices!$B$2:$B$2676,"")</f>
        <v/>
      </c>
    </row>
    <row r="3051" spans="1:4" x14ac:dyDescent="0.25">
      <c r="A3051" s="379">
        <v>45807.291666666664</v>
      </c>
      <c r="B3051" s="382" t="s">
        <v>4342</v>
      </c>
      <c r="C3051" s="377" t="s">
        <v>4361</v>
      </c>
      <c r="D3051" s="6" t="str">
        <f>_xlfn.XLOOKUP(B3051,Indices!$A$2:$A$2676,Indices!$B$2:$B$2676,"")</f>
        <v/>
      </c>
    </row>
    <row r="3052" spans="1:4" x14ac:dyDescent="0.25">
      <c r="A3052" s="379">
        <v>45807.291666666664</v>
      </c>
      <c r="B3052" s="382" t="s">
        <v>4341</v>
      </c>
      <c r="C3052" s="377" t="s">
        <v>4361</v>
      </c>
      <c r="D3052" s="6" t="str">
        <f>_xlfn.XLOOKUP(B3052,Indices!$A$2:$A$2676,Indices!$B$2:$B$2676,"")</f>
        <v/>
      </c>
    </row>
    <row r="3053" spans="1:4" x14ac:dyDescent="0.25">
      <c r="A3053" s="379">
        <v>45807.291666666664</v>
      </c>
      <c r="B3053" s="382" t="s">
        <v>4389</v>
      </c>
      <c r="C3053" s="377" t="s">
        <v>4361</v>
      </c>
      <c r="D3053" s="6" t="str">
        <f>_xlfn.XLOOKUP(B3053,Indices!$A$2:$A$2676,Indices!$B$2:$B$2676,"")</f>
        <v/>
      </c>
    </row>
    <row r="3054" spans="1:4" x14ac:dyDescent="0.25">
      <c r="A3054" s="379">
        <v>45807.291666666664</v>
      </c>
      <c r="B3054" s="382" t="s">
        <v>4363</v>
      </c>
      <c r="C3054" s="377" t="s">
        <v>4361</v>
      </c>
      <c r="D3054" s="6" t="str">
        <f>_xlfn.XLOOKUP(B3054,Indices!$A$2:$A$2676,Indices!$B$2:$B$2676,"")</f>
        <v/>
      </c>
    </row>
    <row r="3055" spans="1:4" x14ac:dyDescent="0.25">
      <c r="A3055" s="379">
        <v>45807.291666666664</v>
      </c>
      <c r="B3055" s="382" t="s">
        <v>1114</v>
      </c>
      <c r="C3055" s="377" t="s">
        <v>4361</v>
      </c>
      <c r="D3055" s="6" t="str">
        <f>_xlfn.XLOOKUP(B3055,Indices!$A$2:$A$2676,Indices!$B$2:$B$2676,"")</f>
        <v>IWM</v>
      </c>
    </row>
    <row r="3056" spans="1:4" x14ac:dyDescent="0.25">
      <c r="A3056" s="379">
        <v>45807.291666666664</v>
      </c>
      <c r="B3056" s="382" t="s">
        <v>2802</v>
      </c>
      <c r="C3056" s="377" t="s">
        <v>4361</v>
      </c>
      <c r="D3056" s="6" t="str">
        <f>_xlfn.XLOOKUP(B3056,Indices!$A$2:$A$2676,Indices!$B$2:$B$2676,"")</f>
        <v/>
      </c>
    </row>
    <row r="3057" spans="1:4" x14ac:dyDescent="0.25">
      <c r="A3057" s="379">
        <v>45807.291666666664</v>
      </c>
      <c r="B3057" s="382" t="s">
        <v>4362</v>
      </c>
      <c r="C3057" s="377" t="s">
        <v>4361</v>
      </c>
      <c r="D3057" s="6" t="str">
        <f>_xlfn.XLOOKUP(B3057,Indices!$A$2:$A$2676,Indices!$B$2:$B$2676,"")</f>
        <v/>
      </c>
    </row>
    <row r="3058" spans="1:4" x14ac:dyDescent="0.25">
      <c r="A3058" s="379">
        <v>45807.458333333336</v>
      </c>
      <c r="B3058" s="382" t="s">
        <v>2877</v>
      </c>
      <c r="C3058" s="377" t="s">
        <v>4507</v>
      </c>
      <c r="D3058" s="6" t="str">
        <f>_xlfn.XLOOKUP(B3058,Indices!$A$2:$A$2676,Indices!$B$2:$B$2676,"")</f>
        <v/>
      </c>
    </row>
    <row r="3059" spans="1:4" x14ac:dyDescent="0.25">
      <c r="A3059" s="379">
        <v>45810.206944444442</v>
      </c>
      <c r="B3059" s="382" t="s">
        <v>1165</v>
      </c>
      <c r="C3059" s="377" t="s">
        <v>5557</v>
      </c>
      <c r="D3059" s="6" t="str">
        <f>_xlfn.XLOOKUP(B3059,Indices!$A$2:$A$2676,Indices!$B$2:$B$2676,"")</f>
        <v>S&amp;P Mid</v>
      </c>
    </row>
    <row r="3060" spans="1:4" x14ac:dyDescent="0.25">
      <c r="A3060" s="379">
        <v>45810.21875</v>
      </c>
      <c r="B3060" s="382" t="s">
        <v>1190</v>
      </c>
      <c r="C3060" s="377" t="s">
        <v>5558</v>
      </c>
      <c r="D3060" s="6" t="str">
        <f>_xlfn.XLOOKUP(B3060,Indices!$A$2:$A$2676,Indices!$B$2:$B$2676,"")</f>
        <v>SP500</v>
      </c>
    </row>
    <row r="3061" spans="1:4" x14ac:dyDescent="0.25">
      <c r="A3061" s="379">
        <v>45810.586805555555</v>
      </c>
      <c r="B3061" s="382" t="s">
        <v>1167</v>
      </c>
      <c r="C3061" s="377" t="s">
        <v>5559</v>
      </c>
      <c r="D3061" s="6" t="str">
        <f>_xlfn.XLOOKUP(B3061,Indices!$A$2:$A$2676,Indices!$B$2:$B$2676,"")</f>
        <v>IWM</v>
      </c>
    </row>
    <row r="3062" spans="1:4" x14ac:dyDescent="0.25">
      <c r="A3062" s="379">
        <v>45811.166666666664</v>
      </c>
      <c r="B3062" s="382" t="s">
        <v>1173</v>
      </c>
      <c r="C3062" s="377" t="s">
        <v>5560</v>
      </c>
      <c r="D3062" s="6" t="str">
        <f>_xlfn.XLOOKUP(B3062,Indices!$A$2:$A$2676,Indices!$B$2:$B$2676,"")</f>
        <v>S&amp;P Mid</v>
      </c>
    </row>
    <row r="3063" spans="1:4" x14ac:dyDescent="0.25">
      <c r="A3063" s="379">
        <v>45811.170138888891</v>
      </c>
      <c r="B3063" s="382" t="s">
        <v>4253</v>
      </c>
      <c r="C3063" s="377" t="s">
        <v>5561</v>
      </c>
      <c r="D3063" s="6" t="str">
        <f>_xlfn.XLOOKUP(B3063,Indices!$A$2:$A$2676,Indices!$B$2:$B$2676,"")</f>
        <v/>
      </c>
    </row>
    <row r="3064" spans="1:4" x14ac:dyDescent="0.25">
      <c r="A3064" s="379">
        <v>45811.197916666664</v>
      </c>
      <c r="B3064" s="382" t="s">
        <v>4371</v>
      </c>
      <c r="C3064" s="377" t="s">
        <v>5562</v>
      </c>
      <c r="D3064" s="6" t="str">
        <f>_xlfn.XLOOKUP(B3064,Indices!$A$2:$A$2676,Indices!$B$2:$B$2676,"")</f>
        <v/>
      </c>
    </row>
    <row r="3065" spans="1:4" x14ac:dyDescent="0.25">
      <c r="A3065" s="379">
        <v>45811.197916666664</v>
      </c>
      <c r="B3065" s="382" t="s">
        <v>4372</v>
      </c>
      <c r="C3065" s="377" t="s">
        <v>5562</v>
      </c>
      <c r="D3065" s="6" t="str">
        <f>_xlfn.XLOOKUP(B3065,Indices!$A$2:$A$2676,Indices!$B$2:$B$2676,"")</f>
        <v/>
      </c>
    </row>
    <row r="3066" spans="1:4" x14ac:dyDescent="0.25">
      <c r="A3066" s="379">
        <v>45811.201388888891</v>
      </c>
      <c r="B3066" s="382" t="s">
        <v>1217</v>
      </c>
      <c r="C3066" s="377" t="s">
        <v>5563</v>
      </c>
      <c r="D3066" s="6" t="str">
        <f>_xlfn.XLOOKUP(B3066,Indices!$A$2:$A$2676,Indices!$B$2:$B$2676,"")</f>
        <v>IWM</v>
      </c>
    </row>
    <row r="3067" spans="1:4" x14ac:dyDescent="0.25">
      <c r="A3067" s="379">
        <v>45811.201388888891</v>
      </c>
      <c r="B3067" s="382" t="s">
        <v>1206</v>
      </c>
      <c r="C3067" s="377" t="s">
        <v>5563</v>
      </c>
      <c r="D3067" s="6" t="str">
        <f>_xlfn.XLOOKUP(B3067,Indices!$A$2:$A$2676,Indices!$B$2:$B$2676,"")</f>
        <v>SP500</v>
      </c>
    </row>
    <row r="3068" spans="1:4" x14ac:dyDescent="0.25">
      <c r="A3068" s="379">
        <v>45811.223611111112</v>
      </c>
      <c r="B3068" s="382" t="s">
        <v>4392</v>
      </c>
      <c r="C3068" s="377" t="s">
        <v>5564</v>
      </c>
      <c r="D3068" s="6" t="str">
        <f>_xlfn.XLOOKUP(B3068,Indices!$A$2:$A$2676,Indices!$B$2:$B$2676,"")</f>
        <v/>
      </c>
    </row>
    <row r="3069" spans="1:4" x14ac:dyDescent="0.25">
      <c r="A3069" s="379">
        <v>45811.229166666664</v>
      </c>
      <c r="B3069" s="382" t="s">
        <v>1182</v>
      </c>
      <c r="C3069" s="377" t="s">
        <v>5565</v>
      </c>
      <c r="D3069" s="6" t="str">
        <f>_xlfn.XLOOKUP(B3069,Indices!$A$2:$A$2676,Indices!$B$2:$B$2676,"")</f>
        <v>S&amp;P Mid</v>
      </c>
    </row>
    <row r="3070" spans="1:4" x14ac:dyDescent="0.25">
      <c r="A3070" s="379">
        <v>45811.25</v>
      </c>
      <c r="B3070" s="382" t="s">
        <v>1169</v>
      </c>
      <c r="C3070" s="377" t="s">
        <v>5566</v>
      </c>
      <c r="D3070" s="6" t="str">
        <f>_xlfn.XLOOKUP(B3070,Indices!$A$2:$A$2676,Indices!$B$2:$B$2676,"")</f>
        <v>IWM</v>
      </c>
    </row>
    <row r="3071" spans="1:4" x14ac:dyDescent="0.25">
      <c r="A3071" s="379">
        <v>45811.584027777775</v>
      </c>
      <c r="B3071" s="382" t="s">
        <v>1235</v>
      </c>
      <c r="C3071" s="377" t="s">
        <v>5567</v>
      </c>
      <c r="D3071" s="6" t="str">
        <f>_xlfn.XLOOKUP(B3071,Indices!$A$2:$A$2676,Indices!$B$2:$B$2676,"")</f>
        <v>IWM</v>
      </c>
    </row>
    <row r="3072" spans="1:4" x14ac:dyDescent="0.25">
      <c r="A3072" s="379">
        <v>45811.586805555555</v>
      </c>
      <c r="B3072" s="382" t="s">
        <v>1179</v>
      </c>
      <c r="C3072" s="377" t="s">
        <v>5568</v>
      </c>
      <c r="D3072" s="6" t="str">
        <f>_xlfn.XLOOKUP(B3072,Indices!$A$2:$A$2676,Indices!$B$2:$B$2676,"")</f>
        <v>IWM</v>
      </c>
    </row>
    <row r="3073" spans="1:4" x14ac:dyDescent="0.25">
      <c r="A3073" s="379">
        <v>45811.586805555555</v>
      </c>
      <c r="B3073" s="382" t="s">
        <v>1229</v>
      </c>
      <c r="C3073" s="377" t="s">
        <v>5568</v>
      </c>
      <c r="D3073" s="6" t="str">
        <f>_xlfn.XLOOKUP(B3073,Indices!$A$2:$A$2676,Indices!$B$2:$B$2676,"")</f>
        <v>SP500</v>
      </c>
    </row>
    <row r="3074" spans="1:4" x14ac:dyDescent="0.25">
      <c r="A3074" s="379">
        <v>45811.586805555555</v>
      </c>
      <c r="B3074" s="382" t="s">
        <v>2733</v>
      </c>
      <c r="C3074" s="377" t="s">
        <v>5568</v>
      </c>
      <c r="D3074" s="6" t="str">
        <f>_xlfn.XLOOKUP(B3074,Indices!$A$2:$A$2676,Indices!$B$2:$B$2676,"")</f>
        <v/>
      </c>
    </row>
    <row r="3075" spans="1:4" x14ac:dyDescent="0.25">
      <c r="A3075" s="379">
        <v>45811.586805555555</v>
      </c>
      <c r="B3075" s="382" t="s">
        <v>1178</v>
      </c>
      <c r="C3075" s="377" t="s">
        <v>5568</v>
      </c>
      <c r="D3075" s="6" t="str">
        <f>_xlfn.XLOOKUP(B3075,Indices!$A$2:$A$2676,Indices!$B$2:$B$2676,"")</f>
        <v>IWM</v>
      </c>
    </row>
    <row r="3076" spans="1:4" x14ac:dyDescent="0.25">
      <c r="A3076" s="379">
        <v>45811.586805555555</v>
      </c>
      <c r="B3076" s="382" t="s">
        <v>1227</v>
      </c>
      <c r="C3076" s="377" t="s">
        <v>5568</v>
      </c>
      <c r="D3076" s="6" t="str">
        <f>_xlfn.XLOOKUP(B3076,Indices!$A$2:$A$2676,Indices!$B$2:$B$2676,"")</f>
        <v>IWM</v>
      </c>
    </row>
    <row r="3077" spans="1:4" x14ac:dyDescent="0.25">
      <c r="A3077" s="379">
        <v>45811.586805555555</v>
      </c>
      <c r="B3077" s="382" t="s">
        <v>1247</v>
      </c>
      <c r="C3077" s="377" t="s">
        <v>5568</v>
      </c>
      <c r="D3077" s="6" t="str">
        <f>_xlfn.XLOOKUP(B3077,Indices!$A$2:$A$2676,Indices!$B$2:$B$2676,"")</f>
        <v>IWM</v>
      </c>
    </row>
    <row r="3078" spans="1:4" x14ac:dyDescent="0.25">
      <c r="A3078" s="379">
        <v>45811.586805555555</v>
      </c>
      <c r="B3078" s="382" t="s">
        <v>1157</v>
      </c>
      <c r="C3078" s="377" t="s">
        <v>5568</v>
      </c>
      <c r="D3078" s="6" t="str">
        <f>_xlfn.XLOOKUP(B3078,Indices!$A$2:$A$2676,Indices!$B$2:$B$2676,"")</f>
        <v>SP500</v>
      </c>
    </row>
    <row r="3079" spans="1:4" x14ac:dyDescent="0.25">
      <c r="A3079" s="379">
        <v>45811.59375</v>
      </c>
      <c r="B3079" s="382" t="s">
        <v>4397</v>
      </c>
      <c r="C3079" s="377" t="s">
        <v>5569</v>
      </c>
      <c r="D3079" s="6" t="str">
        <f>_xlfn.XLOOKUP(B3079,Indices!$A$2:$A$2676,Indices!$B$2:$B$2676,"")</f>
        <v/>
      </c>
    </row>
    <row r="3080" spans="1:4" x14ac:dyDescent="0.25">
      <c r="A3080" s="379">
        <v>45811.958333333336</v>
      </c>
      <c r="B3080" s="382" t="s">
        <v>4376</v>
      </c>
      <c r="C3080" s="377" t="s">
        <v>5570</v>
      </c>
      <c r="D3080" s="6" t="str">
        <f>_xlfn.XLOOKUP(B3080,Indices!$A$2:$A$2676,Indices!$B$2:$B$2676,"")</f>
        <v/>
      </c>
    </row>
    <row r="3081" spans="1:4" x14ac:dyDescent="0.25">
      <c r="A3081" s="379">
        <v>45812.166666666664</v>
      </c>
      <c r="B3081" s="382" t="s">
        <v>4388</v>
      </c>
      <c r="C3081" s="377" t="s">
        <v>5571</v>
      </c>
      <c r="D3081" s="6" t="str">
        <f>_xlfn.XLOOKUP(B3081,Indices!$A$2:$A$2676,Indices!$B$2:$B$2676,"")</f>
        <v/>
      </c>
    </row>
    <row r="3082" spans="1:4" x14ac:dyDescent="0.25">
      <c r="A3082" s="379">
        <v>45812.1875</v>
      </c>
      <c r="B3082" s="382" t="s">
        <v>1183</v>
      </c>
      <c r="C3082" s="377" t="s">
        <v>5572</v>
      </c>
      <c r="D3082" s="6" t="str">
        <f>_xlfn.XLOOKUP(B3082,Indices!$A$2:$A$2676,Indices!$B$2:$B$2676,"")</f>
        <v>SP500</v>
      </c>
    </row>
    <row r="3083" spans="1:4" x14ac:dyDescent="0.25">
      <c r="A3083" s="379">
        <v>45812.1875</v>
      </c>
      <c r="B3083" s="382" t="s">
        <v>1187</v>
      </c>
      <c r="C3083" s="377" t="s">
        <v>5572</v>
      </c>
      <c r="D3083" s="6" t="str">
        <f>_xlfn.XLOOKUP(B3083,Indices!$A$2:$A$2676,Indices!$B$2:$B$2676,"")</f>
        <v>S&amp;P Mid</v>
      </c>
    </row>
    <row r="3084" spans="1:4" x14ac:dyDescent="0.25">
      <c r="A3084" s="379">
        <v>45812.201388888891</v>
      </c>
      <c r="B3084" s="382" t="s">
        <v>1164</v>
      </c>
      <c r="C3084" s="377" t="s">
        <v>5573</v>
      </c>
      <c r="D3084" s="6" t="str">
        <f>_xlfn.XLOOKUP(B3084,Indices!$A$2:$A$2676,Indices!$B$2:$B$2676,"")</f>
        <v>IWM</v>
      </c>
    </row>
    <row r="3085" spans="1:4" x14ac:dyDescent="0.25">
      <c r="A3085" s="379">
        <v>45812.208333333336</v>
      </c>
      <c r="B3085" s="382" t="s">
        <v>4377</v>
      </c>
      <c r="C3085" s="377" t="s">
        <v>5574</v>
      </c>
      <c r="D3085" s="6" t="str">
        <f>_xlfn.XLOOKUP(B3085,Indices!$A$2:$A$2676,Indices!$B$2:$B$2676,"")</f>
        <v/>
      </c>
    </row>
    <row r="3086" spans="1:4" x14ac:dyDescent="0.25">
      <c r="A3086" s="379">
        <v>45812.208333333336</v>
      </c>
      <c r="B3086" s="382" t="s">
        <v>1248</v>
      </c>
      <c r="C3086" s="377" t="s">
        <v>5574</v>
      </c>
      <c r="D3086" s="6" t="str">
        <f>_xlfn.XLOOKUP(B3086,Indices!$A$2:$A$2676,Indices!$B$2:$B$2676,"")</f>
        <v>IWM</v>
      </c>
    </row>
    <row r="3087" spans="1:4" x14ac:dyDescent="0.25">
      <c r="A3087" s="379">
        <v>45812.229166666664</v>
      </c>
      <c r="B3087" s="382" t="s">
        <v>1202</v>
      </c>
      <c r="C3087" s="377" t="s">
        <v>5575</v>
      </c>
      <c r="D3087" s="6" t="str">
        <f>_xlfn.XLOOKUP(B3087,Indices!$A$2:$A$2676,Indices!$B$2:$B$2676,"")</f>
        <v>IWM</v>
      </c>
    </row>
    <row r="3088" spans="1:4" x14ac:dyDescent="0.25">
      <c r="A3088" s="379">
        <v>45812.584027777775</v>
      </c>
      <c r="B3088" s="382" t="s">
        <v>1203</v>
      </c>
      <c r="C3088" s="377" t="s">
        <v>5576</v>
      </c>
      <c r="D3088" s="6" t="str">
        <f>_xlfn.XLOOKUP(B3088,Indices!$A$2:$A$2676,Indices!$B$2:$B$2676,"")</f>
        <v>S&amp;P Mid</v>
      </c>
    </row>
    <row r="3089" spans="1:4" x14ac:dyDescent="0.25">
      <c r="A3089" s="379">
        <v>45812.585416666669</v>
      </c>
      <c r="B3089" s="382" t="s">
        <v>4380</v>
      </c>
      <c r="C3089" s="377" t="s">
        <v>5577</v>
      </c>
      <c r="D3089" s="6" t="str">
        <f>_xlfn.XLOOKUP(B3089,Indices!$A$2:$A$2676,Indices!$B$2:$B$2676,"")</f>
        <v/>
      </c>
    </row>
    <row r="3090" spans="1:4" x14ac:dyDescent="0.25">
      <c r="A3090" s="379">
        <v>45812.585416666669</v>
      </c>
      <c r="B3090" s="382" t="s">
        <v>1196</v>
      </c>
      <c r="C3090" s="377" t="s">
        <v>5577</v>
      </c>
      <c r="D3090" s="6" t="str">
        <f>_xlfn.XLOOKUP(B3090,Indices!$A$2:$A$2676,Indices!$B$2:$B$2676,"")</f>
        <v>IWM</v>
      </c>
    </row>
    <row r="3091" spans="1:4" x14ac:dyDescent="0.25">
      <c r="A3091" s="379">
        <v>45812.586805555555</v>
      </c>
      <c r="B3091" s="382" t="s">
        <v>1201</v>
      </c>
      <c r="C3091" s="377" t="s">
        <v>5578</v>
      </c>
      <c r="D3091" s="6" t="str">
        <f>_xlfn.XLOOKUP(B3091,Indices!$A$2:$A$2676,Indices!$B$2:$B$2676,"")</f>
        <v>IWM</v>
      </c>
    </row>
    <row r="3092" spans="1:4" x14ac:dyDescent="0.25">
      <c r="A3092" s="379">
        <v>45812.586805555555</v>
      </c>
      <c r="B3092" s="382" t="s">
        <v>1223</v>
      </c>
      <c r="C3092" s="377" t="s">
        <v>5578</v>
      </c>
      <c r="D3092" s="6" t="str">
        <f>_xlfn.XLOOKUP(B3092,Indices!$A$2:$A$2676,Indices!$B$2:$B$2676,"")</f>
        <v>IWM</v>
      </c>
    </row>
    <row r="3093" spans="1:4" x14ac:dyDescent="0.25">
      <c r="A3093" s="379">
        <v>45812.586805555555</v>
      </c>
      <c r="B3093" s="382" t="s">
        <v>1192</v>
      </c>
      <c r="C3093" s="377" t="s">
        <v>5578</v>
      </c>
      <c r="D3093" s="6" t="str">
        <f>_xlfn.XLOOKUP(B3093,Indices!$A$2:$A$2676,Indices!$B$2:$B$2676,"")</f>
        <v>IWM</v>
      </c>
    </row>
    <row r="3094" spans="1:4" x14ac:dyDescent="0.25">
      <c r="A3094" s="379">
        <v>45812.586805555555</v>
      </c>
      <c r="B3094" s="382" t="s">
        <v>709</v>
      </c>
      <c r="C3094" s="377" t="s">
        <v>5578</v>
      </c>
      <c r="D3094" s="6" t="str">
        <f>_xlfn.XLOOKUP(B3094,Indices!$A$2:$A$2676,Indices!$B$2:$B$2676,"")</f>
        <v>IWM</v>
      </c>
    </row>
    <row r="3095" spans="1:4" x14ac:dyDescent="0.25">
      <c r="A3095" s="379">
        <v>45812.586805555555</v>
      </c>
      <c r="B3095" s="382" t="s">
        <v>1234</v>
      </c>
      <c r="C3095" s="377" t="s">
        <v>5578</v>
      </c>
      <c r="D3095" s="6" t="str">
        <f>_xlfn.XLOOKUP(B3095,Indices!$A$2:$A$2676,Indices!$B$2:$B$2676,"")</f>
        <v>NQ100</v>
      </c>
    </row>
    <row r="3096" spans="1:4" x14ac:dyDescent="0.25">
      <c r="A3096" s="379">
        <v>45812.586805555555</v>
      </c>
      <c r="B3096" s="382" t="s">
        <v>4402</v>
      </c>
      <c r="C3096" s="377" t="s">
        <v>5578</v>
      </c>
      <c r="D3096" s="6" t="str">
        <f>_xlfn.XLOOKUP(B3096,Indices!$A$2:$A$2676,Indices!$B$2:$B$2676,"")</f>
        <v/>
      </c>
    </row>
    <row r="3097" spans="1:4" x14ac:dyDescent="0.25">
      <c r="A3097" s="379">
        <v>45812.586805555555</v>
      </c>
      <c r="B3097" s="382" t="s">
        <v>1199</v>
      </c>
      <c r="C3097" s="377" t="s">
        <v>5578</v>
      </c>
      <c r="D3097" s="6" t="str">
        <f>_xlfn.XLOOKUP(B3097,Indices!$A$2:$A$2676,Indices!$B$2:$B$2676,"")</f>
        <v>IWM</v>
      </c>
    </row>
    <row r="3098" spans="1:4" x14ac:dyDescent="0.25">
      <c r="A3098" s="379">
        <v>45812.59375</v>
      </c>
      <c r="B3098" s="382" t="s">
        <v>1193</v>
      </c>
      <c r="C3098" s="377" t="s">
        <v>5579</v>
      </c>
      <c r="D3098" s="6" t="str">
        <f>_xlfn.XLOOKUP(B3098,Indices!$A$2:$A$2676,Indices!$B$2:$B$2676,"")</f>
        <v>S&amp;P Mid</v>
      </c>
    </row>
    <row r="3099" spans="1:4" x14ac:dyDescent="0.25">
      <c r="A3099" s="379">
        <v>45812.59375</v>
      </c>
      <c r="B3099" s="382" t="s">
        <v>2856</v>
      </c>
      <c r="C3099" s="377" t="s">
        <v>5579</v>
      </c>
      <c r="D3099" s="6" t="str">
        <f>_xlfn.XLOOKUP(B3099,Indices!$A$2:$A$2676,Indices!$B$2:$B$2676,"")</f>
        <v/>
      </c>
    </row>
    <row r="3100" spans="1:4" x14ac:dyDescent="0.25">
      <c r="A3100" s="379">
        <v>45812.625</v>
      </c>
      <c r="B3100" s="382" t="s">
        <v>4337</v>
      </c>
      <c r="C3100" s="377" t="s">
        <v>5580</v>
      </c>
      <c r="D3100" s="6" t="str">
        <f>_xlfn.XLOOKUP(B3100,Indices!$A$2:$A$2676,Indices!$B$2:$B$2676,"")</f>
        <v/>
      </c>
    </row>
    <row r="3101" spans="1:4" x14ac:dyDescent="0.25">
      <c r="A3101" s="379">
        <v>45812.668749999997</v>
      </c>
      <c r="B3101" s="382" t="s">
        <v>3853</v>
      </c>
      <c r="C3101" s="377" t="s">
        <v>5581</v>
      </c>
      <c r="D3101" s="6" t="str">
        <f>_xlfn.XLOOKUP(B3101,Indices!$A$2:$A$2676,Indices!$B$2:$B$2676,"")</f>
        <v/>
      </c>
    </row>
    <row r="3102" spans="1:4" x14ac:dyDescent="0.25">
      <c r="A3102" s="379">
        <v>45812.958333333336</v>
      </c>
      <c r="B3102" s="382" t="s">
        <v>4346</v>
      </c>
      <c r="C3102" s="377" t="s">
        <v>5582</v>
      </c>
      <c r="D3102" s="6" t="str">
        <f>_xlfn.XLOOKUP(B3102,Indices!$A$2:$A$2676,Indices!$B$2:$B$2676,"")</f>
        <v/>
      </c>
    </row>
    <row r="3103" spans="1:4" x14ac:dyDescent="0.25">
      <c r="A3103" s="379">
        <v>45813.043749999997</v>
      </c>
      <c r="B3103" s="382" t="s">
        <v>4317</v>
      </c>
      <c r="C3103" s="377" t="s">
        <v>5583</v>
      </c>
      <c r="D3103" s="6" t="str">
        <f>_xlfn.XLOOKUP(B3103,Indices!$A$2:$A$2676,Indices!$B$2:$B$2676,"")</f>
        <v/>
      </c>
    </row>
    <row r="3104" spans="1:4" x14ac:dyDescent="0.25">
      <c r="A3104" s="379">
        <v>45813.15625</v>
      </c>
      <c r="B3104" s="382" t="s">
        <v>4393</v>
      </c>
      <c r="C3104" s="377" t="s">
        <v>5584</v>
      </c>
      <c r="D3104" s="6" t="str">
        <f>_xlfn.XLOOKUP(B3104,Indices!$A$2:$A$2676,Indices!$B$2:$B$2676,"")</f>
        <v/>
      </c>
    </row>
    <row r="3105" spans="1:4" x14ac:dyDescent="0.25">
      <c r="A3105" s="379">
        <v>45813.166666666664</v>
      </c>
      <c r="B3105" s="382" t="s">
        <v>4375</v>
      </c>
      <c r="C3105" s="377" t="s">
        <v>5585</v>
      </c>
      <c r="D3105" s="6" t="str">
        <f>_xlfn.XLOOKUP(B3105,Indices!$A$2:$A$2676,Indices!$B$2:$B$2676,"")</f>
        <v/>
      </c>
    </row>
    <row r="3106" spans="1:4" x14ac:dyDescent="0.25">
      <c r="A3106" s="379">
        <v>45813.166666666664</v>
      </c>
      <c r="B3106" s="382" t="s">
        <v>5586</v>
      </c>
      <c r="C3106" s="377" t="s">
        <v>5585</v>
      </c>
      <c r="D3106" s="6" t="str">
        <f>_xlfn.XLOOKUP(B3106,Indices!$A$2:$A$2676,Indices!$B$2:$B$2676,"")</f>
        <v/>
      </c>
    </row>
    <row r="3107" spans="1:4" x14ac:dyDescent="0.25">
      <c r="A3107" s="379">
        <v>45813.166666666664</v>
      </c>
      <c r="B3107" s="382" t="s">
        <v>4227</v>
      </c>
      <c r="C3107" s="377" t="s">
        <v>5585</v>
      </c>
      <c r="D3107" s="6" t="str">
        <f>_xlfn.XLOOKUP(B3107,Indices!$A$2:$A$2676,Indices!$B$2:$B$2676,"")</f>
        <v/>
      </c>
    </row>
    <row r="3108" spans="1:4" x14ac:dyDescent="0.25">
      <c r="A3108" s="379">
        <v>45813.197916666664</v>
      </c>
      <c r="B3108" s="382" t="s">
        <v>1244</v>
      </c>
      <c r="C3108" s="377" t="s">
        <v>5587</v>
      </c>
      <c r="D3108" s="6" t="str">
        <f>_xlfn.XLOOKUP(B3108,Indices!$A$2:$A$2676,Indices!$B$2:$B$2676,"")</f>
        <v>IWM</v>
      </c>
    </row>
    <row r="3109" spans="1:4" x14ac:dyDescent="0.25">
      <c r="A3109" s="379">
        <v>45813.208333333336</v>
      </c>
      <c r="B3109" s="382" t="s">
        <v>1255</v>
      </c>
      <c r="C3109" s="377" t="s">
        <v>5588</v>
      </c>
      <c r="D3109" s="6" t="str">
        <f>_xlfn.XLOOKUP(B3109,Indices!$A$2:$A$2676,Indices!$B$2:$B$2676,"")</f>
        <v>S&amp;P Mid</v>
      </c>
    </row>
    <row r="3110" spans="1:4" x14ac:dyDescent="0.25">
      <c r="A3110" s="379">
        <v>45813.229166666664</v>
      </c>
      <c r="B3110" s="382" t="s">
        <v>2917</v>
      </c>
      <c r="C3110" s="377" t="s">
        <v>5589</v>
      </c>
      <c r="D3110" s="6" t="str">
        <f>_xlfn.XLOOKUP(B3110,Indices!$A$2:$A$2676,Indices!$B$2:$B$2676,"")</f>
        <v/>
      </c>
    </row>
    <row r="3111" spans="1:4" x14ac:dyDescent="0.25">
      <c r="A3111" s="379">
        <v>45813.25</v>
      </c>
      <c r="B3111" s="382" t="s">
        <v>1057</v>
      </c>
      <c r="C3111" s="377" t="s">
        <v>5590</v>
      </c>
      <c r="D3111" s="6" t="str">
        <f>_xlfn.XLOOKUP(B3111,Indices!$A$2:$A$2676,Indices!$B$2:$B$2676,"")</f>
        <v>IWM</v>
      </c>
    </row>
    <row r="3112" spans="1:4" x14ac:dyDescent="0.25">
      <c r="A3112" s="379">
        <v>45813.25</v>
      </c>
      <c r="B3112" s="382" t="s">
        <v>4405</v>
      </c>
      <c r="C3112" s="377" t="s">
        <v>5590</v>
      </c>
      <c r="D3112" s="6" t="str">
        <f>_xlfn.XLOOKUP(B3112,Indices!$A$2:$A$2676,Indices!$B$2:$B$2676,"")</f>
        <v/>
      </c>
    </row>
    <row r="3113" spans="1:4" x14ac:dyDescent="0.25">
      <c r="A3113" s="379">
        <v>45813.25</v>
      </c>
      <c r="B3113" s="382" t="s">
        <v>4254</v>
      </c>
      <c r="C3113" s="377" t="s">
        <v>5590</v>
      </c>
      <c r="D3113" s="6" t="str">
        <f>_xlfn.XLOOKUP(B3113,Indices!$A$2:$A$2676,Indices!$B$2:$B$2676,"")</f>
        <v/>
      </c>
    </row>
    <row r="3114" spans="1:4" x14ac:dyDescent="0.25">
      <c r="A3114" s="379">
        <v>45813.252083333333</v>
      </c>
      <c r="B3114" s="382" t="s">
        <v>4374</v>
      </c>
      <c r="C3114" s="377" t="s">
        <v>5591</v>
      </c>
      <c r="D3114" s="6" t="str">
        <f>_xlfn.XLOOKUP(B3114,Indices!$A$2:$A$2676,Indices!$B$2:$B$2676,"")</f>
        <v/>
      </c>
    </row>
    <row r="3115" spans="1:4" x14ac:dyDescent="0.25">
      <c r="A3115" s="379">
        <v>45813.252083333333</v>
      </c>
      <c r="B3115" s="382" t="s">
        <v>4373</v>
      </c>
      <c r="C3115" s="377" t="s">
        <v>5591</v>
      </c>
      <c r="D3115" s="6" t="str">
        <f>_xlfn.XLOOKUP(B3115,Indices!$A$2:$A$2676,Indices!$B$2:$B$2676,"")</f>
        <v/>
      </c>
    </row>
    <row r="3116" spans="1:4" x14ac:dyDescent="0.25">
      <c r="A3116" s="379">
        <v>45813.270833333336</v>
      </c>
      <c r="B3116" s="382" t="s">
        <v>2424</v>
      </c>
      <c r="C3116" s="377" t="s">
        <v>5592</v>
      </c>
      <c r="D3116" s="6" t="str">
        <f>_xlfn.XLOOKUP(B3116,Indices!$A$2:$A$2676,Indices!$B$2:$B$2676,"")</f>
        <v>S&amp;P Mid</v>
      </c>
    </row>
    <row r="3117" spans="1:4" x14ac:dyDescent="0.25">
      <c r="A3117" s="379">
        <v>45813.291666666664</v>
      </c>
      <c r="B3117" s="382" t="s">
        <v>1149</v>
      </c>
      <c r="C3117" s="377" t="s">
        <v>4385</v>
      </c>
      <c r="D3117" s="6" t="str">
        <f>_xlfn.XLOOKUP(B3117,Indices!$A$2:$A$2676,Indices!$B$2:$B$2676,"")</f>
        <v>S&amp;P Mid</v>
      </c>
    </row>
    <row r="3118" spans="1:4" x14ac:dyDescent="0.25">
      <c r="A3118" s="379">
        <v>45813.583333333336</v>
      </c>
      <c r="B3118" s="382" t="s">
        <v>1258</v>
      </c>
      <c r="C3118" s="377" t="s">
        <v>5593</v>
      </c>
      <c r="D3118" s="6" t="str">
        <f>_xlfn.XLOOKUP(B3118,Indices!$A$2:$A$2676,Indices!$B$2:$B$2676,"")</f>
        <v>SP500</v>
      </c>
    </row>
    <row r="3119" spans="1:4" x14ac:dyDescent="0.25">
      <c r="A3119" s="379">
        <v>45813.584027777775</v>
      </c>
      <c r="B3119" s="382" t="s">
        <v>2607</v>
      </c>
      <c r="C3119" s="377" t="s">
        <v>5594</v>
      </c>
      <c r="D3119" s="6" t="str">
        <f>_xlfn.XLOOKUP(B3119,Indices!$A$2:$A$2676,Indices!$B$2:$B$2676,"")</f>
        <v/>
      </c>
    </row>
    <row r="3120" spans="1:4" x14ac:dyDescent="0.25">
      <c r="A3120" s="379">
        <v>45813.586805555555</v>
      </c>
      <c r="B3120" s="382" t="s">
        <v>1231</v>
      </c>
      <c r="C3120" s="377" t="s">
        <v>5595</v>
      </c>
      <c r="D3120" s="6" t="str">
        <f>_xlfn.XLOOKUP(B3120,Indices!$A$2:$A$2676,Indices!$B$2:$B$2676,"")</f>
        <v>SP500</v>
      </c>
    </row>
    <row r="3121" spans="1:4" x14ac:dyDescent="0.25">
      <c r="A3121" s="379">
        <v>45813.586805555555</v>
      </c>
      <c r="B3121" s="382" t="s">
        <v>4410</v>
      </c>
      <c r="C3121" s="377" t="s">
        <v>5595</v>
      </c>
      <c r="D3121" s="6" t="str">
        <f>_xlfn.XLOOKUP(B3121,Indices!$A$2:$A$2676,Indices!$B$2:$B$2676,"")</f>
        <v/>
      </c>
    </row>
    <row r="3122" spans="1:4" x14ac:dyDescent="0.25">
      <c r="A3122" s="379">
        <v>45813.586805555555</v>
      </c>
      <c r="B3122" s="382" t="s">
        <v>4400</v>
      </c>
      <c r="C3122" s="377" t="s">
        <v>5595</v>
      </c>
      <c r="D3122" s="6" t="str">
        <f>_xlfn.XLOOKUP(B3122,Indices!$A$2:$A$2676,Indices!$B$2:$B$2676,"")</f>
        <v/>
      </c>
    </row>
    <row r="3123" spans="1:4" x14ac:dyDescent="0.25">
      <c r="A3123" s="379">
        <v>45813.586805555555</v>
      </c>
      <c r="B3123" s="382" t="s">
        <v>1220</v>
      </c>
      <c r="C3123" s="377" t="s">
        <v>5595</v>
      </c>
      <c r="D3123" s="6" t="str">
        <f>_xlfn.XLOOKUP(B3123,Indices!$A$2:$A$2676,Indices!$B$2:$B$2676,"")</f>
        <v>IWM</v>
      </c>
    </row>
    <row r="3124" spans="1:4" x14ac:dyDescent="0.25">
      <c r="A3124" s="379">
        <v>45813.586805555555</v>
      </c>
      <c r="B3124" s="382" t="s">
        <v>2139</v>
      </c>
      <c r="C3124" s="377" t="s">
        <v>5595</v>
      </c>
      <c r="D3124" s="6" t="str">
        <f>_xlfn.XLOOKUP(B3124,Indices!$A$2:$A$2676,Indices!$B$2:$B$2676,"")</f>
        <v>IWM</v>
      </c>
    </row>
    <row r="3125" spans="1:4" x14ac:dyDescent="0.25">
      <c r="A3125" s="379">
        <v>45813.586805555555</v>
      </c>
      <c r="B3125" s="382" t="s">
        <v>1219</v>
      </c>
      <c r="C3125" s="377" t="s">
        <v>5595</v>
      </c>
      <c r="D3125" s="6" t="str">
        <f>_xlfn.XLOOKUP(B3125,Indices!$A$2:$A$2676,Indices!$B$2:$B$2676,"")</f>
        <v>IWM</v>
      </c>
    </row>
    <row r="3126" spans="1:4" x14ac:dyDescent="0.25">
      <c r="A3126" s="379">
        <v>45813.586805555555</v>
      </c>
      <c r="B3126" s="382" t="s">
        <v>1241</v>
      </c>
      <c r="C3126" s="377" t="s">
        <v>5595</v>
      </c>
      <c r="D3126" s="6" t="str">
        <f>_xlfn.XLOOKUP(B3126,Indices!$A$2:$A$2676,Indices!$B$2:$B$2676,"")</f>
        <v>IWM</v>
      </c>
    </row>
    <row r="3127" spans="1:4" x14ac:dyDescent="0.25">
      <c r="A3127" s="379">
        <v>45813.586805555555</v>
      </c>
      <c r="B3127" s="382" t="s">
        <v>4383</v>
      </c>
      <c r="C3127" s="377" t="s">
        <v>5595</v>
      </c>
      <c r="D3127" s="6" t="str">
        <f>_xlfn.XLOOKUP(B3127,Indices!$A$2:$A$2676,Indices!$B$2:$B$2676,"")</f>
        <v/>
      </c>
    </row>
    <row r="3128" spans="1:4" x14ac:dyDescent="0.25">
      <c r="A3128" s="379">
        <v>45813.586805555555</v>
      </c>
      <c r="B3128" s="382" t="s">
        <v>3627</v>
      </c>
      <c r="C3128" s="377" t="s">
        <v>5595</v>
      </c>
      <c r="D3128" s="6" t="str">
        <f>_xlfn.XLOOKUP(B3128,Indices!$A$2:$A$2676,Indices!$B$2:$B$2676,"")</f>
        <v/>
      </c>
    </row>
    <row r="3129" spans="1:4" x14ac:dyDescent="0.25">
      <c r="A3129" s="379">
        <v>45813.586805555555</v>
      </c>
      <c r="B3129" s="382" t="s">
        <v>1230</v>
      </c>
      <c r="C3129" s="377" t="s">
        <v>5595</v>
      </c>
      <c r="D3129" s="6" t="str">
        <f>_xlfn.XLOOKUP(B3129,Indices!$A$2:$A$2676,Indices!$B$2:$B$2676,"")</f>
        <v>S&amp;P Mid</v>
      </c>
    </row>
    <row r="3130" spans="1:4" x14ac:dyDescent="0.25">
      <c r="A3130" s="379">
        <v>45813.586805555555</v>
      </c>
      <c r="B3130" s="382" t="s">
        <v>1238</v>
      </c>
      <c r="C3130" s="377" t="s">
        <v>5595</v>
      </c>
      <c r="D3130" s="6" t="str">
        <f>_xlfn.XLOOKUP(B3130,Indices!$A$2:$A$2676,Indices!$B$2:$B$2676,"")</f>
        <v>S&amp;P Mid</v>
      </c>
    </row>
    <row r="3131" spans="1:4" x14ac:dyDescent="0.25">
      <c r="A3131" s="379">
        <v>45813.586805555555</v>
      </c>
      <c r="B3131" s="382" t="s">
        <v>1239</v>
      </c>
      <c r="C3131" s="377" t="s">
        <v>5595</v>
      </c>
      <c r="D3131" s="6" t="str">
        <f>_xlfn.XLOOKUP(B3131,Indices!$A$2:$A$2676,Indices!$B$2:$B$2676,"")</f>
        <v>IWM</v>
      </c>
    </row>
    <row r="3132" spans="1:4" x14ac:dyDescent="0.25">
      <c r="A3132" s="379">
        <v>45813.590277777781</v>
      </c>
      <c r="B3132" s="382" t="s">
        <v>4395</v>
      </c>
      <c r="C3132" s="377" t="s">
        <v>5596</v>
      </c>
      <c r="D3132" s="6" t="str">
        <f>_xlfn.XLOOKUP(B3132,Indices!$A$2:$A$2676,Indices!$B$2:$B$2676,"")</f>
        <v/>
      </c>
    </row>
    <row r="3133" spans="1:4" x14ac:dyDescent="0.25">
      <c r="A3133" s="379">
        <v>45813.59375</v>
      </c>
      <c r="B3133" s="382" t="s">
        <v>1261</v>
      </c>
      <c r="C3133" s="377" t="s">
        <v>5597</v>
      </c>
      <c r="D3133" s="6" t="str">
        <f>_xlfn.XLOOKUP(B3133,Indices!$A$2:$A$2676,Indices!$B$2:$B$2676,"")</f>
        <v>IWM</v>
      </c>
    </row>
    <row r="3134" spans="1:4" x14ac:dyDescent="0.25">
      <c r="A3134" s="379">
        <v>45813.59375</v>
      </c>
      <c r="B3134" s="382" t="s">
        <v>2604</v>
      </c>
      <c r="C3134" s="377" t="s">
        <v>5597</v>
      </c>
      <c r="D3134" s="6" t="str">
        <f>_xlfn.XLOOKUP(B3134,Indices!$A$2:$A$2676,Indices!$B$2:$B$2676,"")</f>
        <v/>
      </c>
    </row>
    <row r="3135" spans="1:4" x14ac:dyDescent="0.25">
      <c r="A3135" s="379">
        <v>45813.611111111109</v>
      </c>
      <c r="B3135" s="382" t="s">
        <v>1198</v>
      </c>
      <c r="C3135" s="377" t="s">
        <v>5598</v>
      </c>
      <c r="D3135" s="6" t="str">
        <f>_xlfn.XLOOKUP(B3135,Indices!$A$2:$A$2676,Indices!$B$2:$B$2676,"")</f>
        <v>IWM</v>
      </c>
    </row>
    <row r="3136" spans="1:4" x14ac:dyDescent="0.25">
      <c r="A3136" s="379">
        <v>45813.625</v>
      </c>
      <c r="B3136" s="382" t="s">
        <v>1119</v>
      </c>
      <c r="C3136" s="377" t="s">
        <v>4396</v>
      </c>
      <c r="D3136" s="6" t="str">
        <f>_xlfn.XLOOKUP(B3136,Indices!$A$2:$A$2676,Indices!$B$2:$B$2676,"")</f>
        <v>IWM</v>
      </c>
    </row>
    <row r="3137" spans="1:4" x14ac:dyDescent="0.25">
      <c r="A3137" s="379">
        <v>45814.168055555558</v>
      </c>
      <c r="B3137" s="382" t="s">
        <v>2900</v>
      </c>
      <c r="C3137" s="377" t="s">
        <v>5599</v>
      </c>
      <c r="D3137" s="6" t="str">
        <f>_xlfn.XLOOKUP(B3137,Indices!$A$2:$A$2676,Indices!$B$2:$B$2676,"")</f>
        <v/>
      </c>
    </row>
    <row r="3138" spans="1:4" x14ac:dyDescent="0.25">
      <c r="A3138" s="379">
        <v>45814.206944444442</v>
      </c>
      <c r="B3138" s="382" t="s">
        <v>1257</v>
      </c>
      <c r="C3138" s="377" t="s">
        <v>5600</v>
      </c>
      <c r="D3138" s="6" t="str">
        <f>_xlfn.XLOOKUP(B3138,Indices!$A$2:$A$2676,Indices!$B$2:$B$2676,"")</f>
        <v>IWM</v>
      </c>
    </row>
    <row r="3139" spans="1:4" x14ac:dyDescent="0.25">
      <c r="A3139" s="379">
        <v>45814.208333333336</v>
      </c>
      <c r="B3139" s="382" t="s">
        <v>1171</v>
      </c>
      <c r="C3139" s="377" t="s">
        <v>5601</v>
      </c>
      <c r="D3139" s="6" t="str">
        <f>_xlfn.XLOOKUP(B3139,Indices!$A$2:$A$2676,Indices!$B$2:$B$2676,"")</f>
        <v>IWM</v>
      </c>
    </row>
    <row r="3140" spans="1:4" x14ac:dyDescent="0.25">
      <c r="A3140" s="379">
        <v>45814.208333333336</v>
      </c>
      <c r="B3140" s="382" t="s">
        <v>4650</v>
      </c>
      <c r="C3140" s="377" t="s">
        <v>5601</v>
      </c>
      <c r="D3140" s="6" t="str">
        <f>_xlfn.XLOOKUP(B3140,Indices!$A$2:$A$2676,Indices!$B$2:$B$2676,"")</f>
        <v/>
      </c>
    </row>
    <row r="3141" spans="1:4" x14ac:dyDescent="0.25">
      <c r="A3141" s="379">
        <v>45814.229166666664</v>
      </c>
      <c r="B3141" s="382" t="s">
        <v>4406</v>
      </c>
      <c r="C3141" s="377" t="s">
        <v>5602</v>
      </c>
      <c r="D3141" s="6" t="str">
        <f>_xlfn.XLOOKUP(B3141,Indices!$A$2:$A$2676,Indices!$B$2:$B$2676,"")</f>
        <v/>
      </c>
    </row>
    <row r="3142" spans="1:4" x14ac:dyDescent="0.25">
      <c r="A3142" s="379">
        <v>45814.270833333336</v>
      </c>
      <c r="B3142" s="382" t="s">
        <v>2897</v>
      </c>
      <c r="C3142" s="377" t="s">
        <v>5603</v>
      </c>
      <c r="D3142" s="6" t="str">
        <f>_xlfn.XLOOKUP(B3142,Indices!$A$2:$A$2676,Indices!$B$2:$B$2676,"")</f>
        <v/>
      </c>
    </row>
    <row r="3143" spans="1:4" x14ac:dyDescent="0.25">
      <c r="A3143" s="379">
        <v>45814.274305555555</v>
      </c>
      <c r="B3143" s="382" t="s">
        <v>4403</v>
      </c>
      <c r="C3143" s="377" t="s">
        <v>5604</v>
      </c>
      <c r="D3143" s="6" t="str">
        <f>_xlfn.XLOOKUP(B3143,Indices!$A$2:$A$2676,Indices!$B$2:$B$2676,"")</f>
        <v/>
      </c>
    </row>
    <row r="3144" spans="1:4" x14ac:dyDescent="0.25">
      <c r="A3144" s="379">
        <v>45814.558333333334</v>
      </c>
      <c r="B3144" s="382" t="s">
        <v>2879</v>
      </c>
      <c r="C3144" s="377" t="s">
        <v>5605</v>
      </c>
      <c r="D3144" s="6" t="str">
        <f>_xlfn.XLOOKUP(B3144,Indices!$A$2:$A$2676,Indices!$B$2:$B$2676,"")</f>
        <v/>
      </c>
    </row>
    <row r="3145" spans="1:4" x14ac:dyDescent="0.25">
      <c r="A3145" s="379">
        <v>45814.604166666664</v>
      </c>
      <c r="B3145" s="382" t="s">
        <v>2905</v>
      </c>
      <c r="C3145" s="377" t="s">
        <v>5606</v>
      </c>
      <c r="D3145" s="6" t="str">
        <f>_xlfn.XLOOKUP(B3145,Indices!$A$2:$A$2676,Indices!$B$2:$B$2676,"")</f>
        <v/>
      </c>
    </row>
    <row r="3146" spans="1:4" x14ac:dyDescent="0.25">
      <c r="A3146" s="379">
        <v>45817.1875</v>
      </c>
      <c r="B3146" s="382" t="s">
        <v>835</v>
      </c>
      <c r="C3146" s="377" t="s">
        <v>5607</v>
      </c>
      <c r="D3146" s="6" t="str">
        <f>_xlfn.XLOOKUP(B3146,Indices!$A$2:$A$2676,Indices!$B$2:$B$2676,"")</f>
        <v>IWM</v>
      </c>
    </row>
    <row r="3147" spans="1:4" x14ac:dyDescent="0.25">
      <c r="A3147" s="379">
        <v>45817.195833333331</v>
      </c>
      <c r="B3147" s="382" t="s">
        <v>2797</v>
      </c>
      <c r="C3147" s="377" t="s">
        <v>5608</v>
      </c>
      <c r="D3147" s="6" t="str">
        <f>_xlfn.XLOOKUP(B3147,Indices!$A$2:$A$2676,Indices!$B$2:$B$2676,"")</f>
        <v/>
      </c>
    </row>
    <row r="3148" spans="1:4" x14ac:dyDescent="0.25">
      <c r="A3148" s="379">
        <v>45817.25</v>
      </c>
      <c r="B3148" s="382" t="s">
        <v>4415</v>
      </c>
      <c r="C3148" s="377" t="s">
        <v>5609</v>
      </c>
      <c r="D3148" s="6" t="str">
        <f>_xlfn.XLOOKUP(B3148,Indices!$A$2:$A$2676,Indices!$B$2:$B$2676,"")</f>
        <v/>
      </c>
    </row>
    <row r="3149" spans="1:4" x14ac:dyDescent="0.25">
      <c r="A3149" s="379">
        <v>45817.583333333336</v>
      </c>
      <c r="B3149" s="382" t="s">
        <v>4409</v>
      </c>
      <c r="C3149" s="377" t="s">
        <v>5610</v>
      </c>
      <c r="D3149" s="6" t="str">
        <f>_xlfn.XLOOKUP(B3149,Indices!$A$2:$A$2676,Indices!$B$2:$B$2676,"")</f>
        <v/>
      </c>
    </row>
    <row r="3150" spans="1:4" x14ac:dyDescent="0.25">
      <c r="A3150" s="379">
        <v>45817.584027777775</v>
      </c>
      <c r="B3150" s="382" t="s">
        <v>2734</v>
      </c>
      <c r="C3150" s="377" t="s">
        <v>5611</v>
      </c>
      <c r="D3150" s="6" t="str">
        <f>_xlfn.XLOOKUP(B3150,Indices!$A$2:$A$2676,Indices!$B$2:$B$2676,"")</f>
        <v/>
      </c>
    </row>
    <row r="3151" spans="1:4" x14ac:dyDescent="0.25">
      <c r="A3151" s="379">
        <v>45817.586805555555</v>
      </c>
      <c r="B3151" s="382" t="s">
        <v>2791</v>
      </c>
      <c r="C3151" s="377" t="s">
        <v>5612</v>
      </c>
      <c r="D3151" s="6" t="str">
        <f>_xlfn.XLOOKUP(B3151,Indices!$A$2:$A$2676,Indices!$B$2:$B$2676,"")</f>
        <v/>
      </c>
    </row>
    <row r="3152" spans="1:4" x14ac:dyDescent="0.25">
      <c r="A3152" s="379">
        <v>45817.586805555555</v>
      </c>
      <c r="B3152" s="382" t="s">
        <v>2197</v>
      </c>
      <c r="C3152" s="377" t="s">
        <v>5612</v>
      </c>
      <c r="D3152" s="6" t="str">
        <f>_xlfn.XLOOKUP(B3152,Indices!$A$2:$A$2676,Indices!$B$2:$B$2676,"")</f>
        <v>IWM</v>
      </c>
    </row>
    <row r="3153" spans="1:4" x14ac:dyDescent="0.25">
      <c r="A3153" s="379">
        <v>45817.588194444441</v>
      </c>
      <c r="B3153" s="382" t="s">
        <v>2194</v>
      </c>
      <c r="C3153" s="377" t="s">
        <v>5613</v>
      </c>
      <c r="D3153" s="6" t="str">
        <f>_xlfn.XLOOKUP(B3153,Indices!$A$2:$A$2676,Indices!$B$2:$B$2676,"")</f>
        <v>IWM</v>
      </c>
    </row>
    <row r="3154" spans="1:4" x14ac:dyDescent="0.25">
      <c r="A3154" s="379">
        <v>45817.604166666664</v>
      </c>
      <c r="B3154" s="382" t="s">
        <v>1195</v>
      </c>
      <c r="C3154" s="377" t="s">
        <v>5614</v>
      </c>
      <c r="D3154" s="6" t="str">
        <f>_xlfn.XLOOKUP(B3154,Indices!$A$2:$A$2676,Indices!$B$2:$B$2676,"")</f>
        <v>S&amp;P Mid</v>
      </c>
    </row>
    <row r="3155" spans="1:4" x14ac:dyDescent="0.25">
      <c r="A3155" s="379">
        <v>45817.60833333333</v>
      </c>
      <c r="B3155" s="382" t="s">
        <v>5615</v>
      </c>
      <c r="C3155" s="377" t="s">
        <v>5616</v>
      </c>
      <c r="D3155" s="6" t="str">
        <f>_xlfn.XLOOKUP(B3155,Indices!$A$2:$A$2676,Indices!$B$2:$B$2676,"")</f>
        <v/>
      </c>
    </row>
    <row r="3156" spans="1:4" x14ac:dyDescent="0.25">
      <c r="A3156" s="379">
        <v>45817.625</v>
      </c>
      <c r="B3156" s="382" t="s">
        <v>5501</v>
      </c>
      <c r="C3156" s="377" t="s">
        <v>4408</v>
      </c>
      <c r="D3156" s="6" t="str">
        <f>_xlfn.XLOOKUP(B3156,Indices!$A$2:$A$2676,Indices!$B$2:$B$2676,"")</f>
        <v/>
      </c>
    </row>
    <row r="3157" spans="1:4" x14ac:dyDescent="0.25">
      <c r="A3157" s="379">
        <v>45818.1875</v>
      </c>
      <c r="B3157" s="382" t="s">
        <v>4490</v>
      </c>
      <c r="C3157" s="377" t="s">
        <v>5617</v>
      </c>
      <c r="D3157" s="6" t="str">
        <f>_xlfn.XLOOKUP(B3157,Indices!$A$2:$A$2676,Indices!$B$2:$B$2676,"")</f>
        <v/>
      </c>
    </row>
    <row r="3158" spans="1:4" x14ac:dyDescent="0.25">
      <c r="A3158" s="379">
        <v>45818.197916666664</v>
      </c>
      <c r="B3158" s="382" t="s">
        <v>1170</v>
      </c>
      <c r="C3158" s="377" t="s">
        <v>5618</v>
      </c>
      <c r="D3158" s="6" t="str">
        <f>_xlfn.XLOOKUP(B3158,Indices!$A$2:$A$2676,Indices!$B$2:$B$2676,"")</f>
        <v>IWM</v>
      </c>
    </row>
    <row r="3159" spans="1:4" x14ac:dyDescent="0.25">
      <c r="A3159" s="379">
        <v>45818.208333333336</v>
      </c>
      <c r="B3159" s="382" t="s">
        <v>1245</v>
      </c>
      <c r="C3159" s="377" t="s">
        <v>5619</v>
      </c>
      <c r="D3159" s="6" t="str">
        <f>_xlfn.XLOOKUP(B3159,Indices!$A$2:$A$2676,Indices!$B$2:$B$2676,"")</f>
        <v>IWM</v>
      </c>
    </row>
    <row r="3160" spans="1:4" x14ac:dyDescent="0.25">
      <c r="A3160" s="379">
        <v>45818.208333333336</v>
      </c>
      <c r="B3160" s="382" t="s">
        <v>5620</v>
      </c>
      <c r="C3160" s="377" t="s">
        <v>5619</v>
      </c>
      <c r="D3160" s="6" t="str">
        <f>_xlfn.XLOOKUP(B3160,Indices!$A$2:$A$2676,Indices!$B$2:$B$2676,"")</f>
        <v/>
      </c>
    </row>
    <row r="3161" spans="1:4" x14ac:dyDescent="0.25">
      <c r="A3161" s="379">
        <v>45818.208333333336</v>
      </c>
      <c r="B3161" s="382" t="s">
        <v>1147</v>
      </c>
      <c r="C3161" s="377" t="s">
        <v>5619</v>
      </c>
      <c r="D3161" s="6" t="str">
        <f>_xlfn.XLOOKUP(B3161,Indices!$A$2:$A$2676,Indices!$B$2:$B$2676,"")</f>
        <v>SP500</v>
      </c>
    </row>
    <row r="3162" spans="1:4" x14ac:dyDescent="0.25">
      <c r="A3162" s="379">
        <v>45818.211805555555</v>
      </c>
      <c r="B3162" s="382" t="s">
        <v>4390</v>
      </c>
      <c r="C3162" s="377" t="s">
        <v>5621</v>
      </c>
      <c r="D3162" s="6" t="str">
        <f>_xlfn.XLOOKUP(B3162,Indices!$A$2:$A$2676,Indices!$B$2:$B$2676,"")</f>
        <v/>
      </c>
    </row>
    <row r="3163" spans="1:4" x14ac:dyDescent="0.25">
      <c r="A3163" s="379">
        <v>45818.229861111111</v>
      </c>
      <c r="B3163" s="382" t="s">
        <v>1168</v>
      </c>
      <c r="C3163" s="377" t="s">
        <v>5622</v>
      </c>
      <c r="D3163" s="6" t="str">
        <f>_xlfn.XLOOKUP(B3163,Indices!$A$2:$A$2676,Indices!$B$2:$B$2676,"")</f>
        <v>S&amp;P Mid</v>
      </c>
    </row>
    <row r="3164" spans="1:4" x14ac:dyDescent="0.25">
      <c r="A3164" s="379">
        <v>45818.25</v>
      </c>
      <c r="B3164" s="382" t="s">
        <v>1216</v>
      </c>
      <c r="C3164" s="377" t="s">
        <v>5623</v>
      </c>
      <c r="D3164" s="6" t="str">
        <f>_xlfn.XLOOKUP(B3164,Indices!$A$2:$A$2676,Indices!$B$2:$B$2676,"")</f>
        <v>IWM</v>
      </c>
    </row>
    <row r="3165" spans="1:4" x14ac:dyDescent="0.25">
      <c r="A3165" s="379">
        <v>45818.584722222222</v>
      </c>
      <c r="B3165" s="382" t="s">
        <v>1200</v>
      </c>
      <c r="C3165" s="377" t="s">
        <v>5624</v>
      </c>
      <c r="D3165" s="6" t="str">
        <f>_xlfn.XLOOKUP(B3165,Indices!$A$2:$A$2676,Indices!$B$2:$B$2676,"")</f>
        <v>S&amp;P Mid</v>
      </c>
    </row>
    <row r="3166" spans="1:4" x14ac:dyDescent="0.25">
      <c r="A3166" s="379">
        <v>45818.586805555555</v>
      </c>
      <c r="B3166" s="382" t="s">
        <v>1174</v>
      </c>
      <c r="C3166" s="377" t="s">
        <v>5625</v>
      </c>
      <c r="D3166" s="6" t="str">
        <f>_xlfn.XLOOKUP(B3166,Indices!$A$2:$A$2676,Indices!$B$2:$B$2676,"")</f>
        <v>IWM</v>
      </c>
    </row>
    <row r="3167" spans="1:4" x14ac:dyDescent="0.25">
      <c r="A3167" s="379">
        <v>45818.586805555555</v>
      </c>
      <c r="B3167" s="382" t="s">
        <v>2588</v>
      </c>
      <c r="C3167" s="377" t="s">
        <v>5625</v>
      </c>
      <c r="D3167" s="6" t="str">
        <f>_xlfn.XLOOKUP(B3167,Indices!$A$2:$A$2676,Indices!$B$2:$B$2676,"")</f>
        <v/>
      </c>
    </row>
    <row r="3168" spans="1:4" x14ac:dyDescent="0.25">
      <c r="A3168" s="379">
        <v>45818.586805555555</v>
      </c>
      <c r="B3168" s="382" t="s">
        <v>1246</v>
      </c>
      <c r="C3168" s="377" t="s">
        <v>5625</v>
      </c>
      <c r="D3168" s="6" t="str">
        <f>_xlfn.XLOOKUP(B3168,Indices!$A$2:$A$2676,Indices!$B$2:$B$2676,"")</f>
        <v>IWM</v>
      </c>
    </row>
    <row r="3169" spans="1:4" x14ac:dyDescent="0.25">
      <c r="A3169" s="379">
        <v>45818.59375</v>
      </c>
      <c r="B3169" s="382" t="s">
        <v>2804</v>
      </c>
      <c r="C3169" s="377" t="s">
        <v>5626</v>
      </c>
      <c r="D3169" s="6" t="str">
        <f>_xlfn.XLOOKUP(B3169,Indices!$A$2:$A$2676,Indices!$B$2:$B$2676,"")</f>
        <v/>
      </c>
    </row>
    <row r="3170" spans="1:4" x14ac:dyDescent="0.25">
      <c r="A3170" s="379">
        <v>45818.59375</v>
      </c>
      <c r="B3170" s="382" t="s">
        <v>2893</v>
      </c>
      <c r="C3170" s="377" t="s">
        <v>5626</v>
      </c>
      <c r="D3170" s="6" t="str">
        <f>_xlfn.XLOOKUP(B3170,Indices!$A$2:$A$2676,Indices!$B$2:$B$2676,"")</f>
        <v/>
      </c>
    </row>
    <row r="3171" spans="1:4" x14ac:dyDescent="0.25">
      <c r="A3171" s="379">
        <v>45819.197916666664</v>
      </c>
      <c r="B3171" s="382" t="s">
        <v>4404</v>
      </c>
      <c r="C3171" s="377" t="s">
        <v>5627</v>
      </c>
      <c r="D3171" s="6" t="str">
        <f>_xlfn.XLOOKUP(B3171,Indices!$A$2:$A$2676,Indices!$B$2:$B$2676,"")</f>
        <v/>
      </c>
    </row>
    <row r="3172" spans="1:4" x14ac:dyDescent="0.25">
      <c r="A3172" s="379">
        <v>45819.208333333336</v>
      </c>
      <c r="B3172" s="382" t="s">
        <v>4422</v>
      </c>
      <c r="C3172" s="377" t="s">
        <v>5628</v>
      </c>
      <c r="D3172" s="6" t="str">
        <f>_xlfn.XLOOKUP(B3172,Indices!$A$2:$A$2676,Indices!$B$2:$B$2676,"")</f>
        <v/>
      </c>
    </row>
    <row r="3173" spans="1:4" x14ac:dyDescent="0.25">
      <c r="A3173" s="379">
        <v>45819.208333333336</v>
      </c>
      <c r="B3173" s="382" t="s">
        <v>4618</v>
      </c>
      <c r="C3173" s="377" t="s">
        <v>5628</v>
      </c>
      <c r="D3173" s="6" t="str">
        <f>_xlfn.XLOOKUP(B3173,Indices!$A$2:$A$2676,Indices!$B$2:$B$2676,"")</f>
        <v/>
      </c>
    </row>
    <row r="3174" spans="1:4" x14ac:dyDescent="0.25">
      <c r="A3174" s="379">
        <v>45819.208333333336</v>
      </c>
      <c r="B3174" s="382" t="s">
        <v>1222</v>
      </c>
      <c r="C3174" s="377" t="s">
        <v>5628</v>
      </c>
      <c r="D3174" s="6" t="str">
        <f>_xlfn.XLOOKUP(B3174,Indices!$A$2:$A$2676,Indices!$B$2:$B$2676,"")</f>
        <v>IWM</v>
      </c>
    </row>
    <row r="3175" spans="1:4" x14ac:dyDescent="0.25">
      <c r="A3175" s="379">
        <v>45819.208333333336</v>
      </c>
      <c r="B3175" s="382" t="s">
        <v>5506</v>
      </c>
      <c r="C3175" s="377" t="s">
        <v>5628</v>
      </c>
      <c r="D3175" s="6" t="str">
        <f>_xlfn.XLOOKUP(B3175,Indices!$A$2:$A$2676,Indices!$B$2:$B$2676,"")</f>
        <v/>
      </c>
    </row>
    <row r="3176" spans="1:4" x14ac:dyDescent="0.25">
      <c r="A3176" s="379">
        <v>45819.211805555555</v>
      </c>
      <c r="B3176" s="382" t="s">
        <v>1184</v>
      </c>
      <c r="C3176" s="377" t="s">
        <v>5629</v>
      </c>
      <c r="D3176" s="6" t="str">
        <f>_xlfn.XLOOKUP(B3176,Indices!$A$2:$A$2676,Indices!$B$2:$B$2676,"")</f>
        <v>S&amp;P Mid</v>
      </c>
    </row>
    <row r="3177" spans="1:4" x14ac:dyDescent="0.25">
      <c r="A3177" s="379">
        <v>45819.250694444447</v>
      </c>
      <c r="B3177" s="382" t="s">
        <v>4413</v>
      </c>
      <c r="C3177" s="377" t="s">
        <v>5630</v>
      </c>
      <c r="D3177" s="6" t="str">
        <f>_xlfn.XLOOKUP(B3177,Indices!$A$2:$A$2676,Indices!$B$2:$B$2676,"")</f>
        <v/>
      </c>
    </row>
    <row r="3178" spans="1:4" x14ac:dyDescent="0.25">
      <c r="A3178" s="379">
        <v>45819.586805555555</v>
      </c>
      <c r="B3178" s="382" t="s">
        <v>1252</v>
      </c>
      <c r="C3178" s="377" t="s">
        <v>5631</v>
      </c>
      <c r="D3178" s="6" t="str">
        <f>_xlfn.XLOOKUP(B3178,Indices!$A$2:$A$2676,Indices!$B$2:$B$2676,"")</f>
        <v>IWM</v>
      </c>
    </row>
    <row r="3179" spans="1:4" x14ac:dyDescent="0.25">
      <c r="A3179" s="379">
        <v>45819.586805555555</v>
      </c>
      <c r="B3179" s="382" t="s">
        <v>1242</v>
      </c>
      <c r="C3179" s="377" t="s">
        <v>5631</v>
      </c>
      <c r="D3179" s="6" t="str">
        <f>_xlfn.XLOOKUP(B3179,Indices!$A$2:$A$2676,Indices!$B$2:$B$2676,"")</f>
        <v>SP500</v>
      </c>
    </row>
    <row r="3180" spans="1:4" x14ac:dyDescent="0.25">
      <c r="A3180" s="379">
        <v>45819.625</v>
      </c>
      <c r="B3180" s="382" t="s">
        <v>2875</v>
      </c>
      <c r="C3180" s="377" t="s">
        <v>4418</v>
      </c>
      <c r="D3180" s="6" t="str">
        <f>_xlfn.XLOOKUP(B3180,Indices!$A$2:$A$2676,Indices!$B$2:$B$2676,"")</f>
        <v/>
      </c>
    </row>
    <row r="3181" spans="1:4" x14ac:dyDescent="0.25">
      <c r="A3181" s="379">
        <v>45819.625</v>
      </c>
      <c r="B3181" s="382" t="s">
        <v>2855</v>
      </c>
      <c r="C3181" s="377" t="s">
        <v>4418</v>
      </c>
      <c r="D3181" s="6" t="str">
        <f>_xlfn.XLOOKUP(B3181,Indices!$A$2:$A$2676,Indices!$B$2:$B$2676,"")</f>
        <v/>
      </c>
    </row>
    <row r="3182" spans="1:4" x14ac:dyDescent="0.25">
      <c r="A3182" s="379">
        <v>45820.118055555555</v>
      </c>
      <c r="B3182" s="382" t="s">
        <v>5632</v>
      </c>
      <c r="C3182" s="377" t="s">
        <v>5633</v>
      </c>
      <c r="D3182" s="6" t="str">
        <f>_xlfn.XLOOKUP(B3182,Indices!$A$2:$A$2676,Indices!$B$2:$B$2676,"")</f>
        <v/>
      </c>
    </row>
    <row r="3183" spans="1:4" x14ac:dyDescent="0.25">
      <c r="A3183" s="379">
        <v>45820.145833333336</v>
      </c>
      <c r="B3183" s="382" t="s">
        <v>4631</v>
      </c>
      <c r="C3183" s="377" t="s">
        <v>5634</v>
      </c>
      <c r="D3183" s="6" t="str">
        <f>_xlfn.XLOOKUP(B3183,Indices!$A$2:$A$2676,Indices!$B$2:$B$2676,"")</f>
        <v/>
      </c>
    </row>
    <row r="3184" spans="1:4" x14ac:dyDescent="0.25">
      <c r="A3184" s="379">
        <v>45820.166666666664</v>
      </c>
      <c r="B3184" s="382" t="s">
        <v>1209</v>
      </c>
      <c r="C3184" s="377" t="s">
        <v>5635</v>
      </c>
      <c r="D3184" s="6" t="str">
        <f>_xlfn.XLOOKUP(B3184,Indices!$A$2:$A$2676,Indices!$B$2:$B$2676,"")</f>
        <v>IWM</v>
      </c>
    </row>
    <row r="3185" spans="1:4" x14ac:dyDescent="0.25">
      <c r="A3185" s="379">
        <v>45820.166666666664</v>
      </c>
      <c r="B3185" s="382" t="s">
        <v>4379</v>
      </c>
      <c r="C3185" s="377" t="s">
        <v>5635</v>
      </c>
      <c r="D3185" s="6" t="str">
        <f>_xlfn.XLOOKUP(B3185,Indices!$A$2:$A$2676,Indices!$B$2:$B$2676,"")</f>
        <v/>
      </c>
    </row>
    <row r="3186" spans="1:4" x14ac:dyDescent="0.25">
      <c r="A3186" s="379">
        <v>45820.208333333336</v>
      </c>
      <c r="B3186" s="382" t="s">
        <v>1256</v>
      </c>
      <c r="C3186" s="377" t="s">
        <v>5636</v>
      </c>
      <c r="D3186" s="6" t="str">
        <f>_xlfn.XLOOKUP(B3186,Indices!$A$2:$A$2676,Indices!$B$2:$B$2676,"")</f>
        <v>IWM</v>
      </c>
    </row>
    <row r="3187" spans="1:4" x14ac:dyDescent="0.25">
      <c r="A3187" s="379">
        <v>45820.229166666664</v>
      </c>
      <c r="B3187" s="382" t="s">
        <v>1218</v>
      </c>
      <c r="C3187" s="377" t="s">
        <v>5637</v>
      </c>
      <c r="D3187" s="6" t="str">
        <f>_xlfn.XLOOKUP(B3187,Indices!$A$2:$A$2676,Indices!$B$2:$B$2676,"")</f>
        <v>IWM</v>
      </c>
    </row>
    <row r="3188" spans="1:4" x14ac:dyDescent="0.25">
      <c r="A3188" s="379">
        <v>45820.291666666664</v>
      </c>
      <c r="B3188" s="382" t="s">
        <v>2870</v>
      </c>
      <c r="C3188" s="377" t="s">
        <v>4419</v>
      </c>
      <c r="D3188" s="6" t="str">
        <f>_xlfn.XLOOKUP(B3188,Indices!$A$2:$A$2676,Indices!$B$2:$B$2676,"")</f>
        <v/>
      </c>
    </row>
    <row r="3189" spans="1:4" x14ac:dyDescent="0.25">
      <c r="A3189" s="379">
        <v>45820.586805555555</v>
      </c>
      <c r="B3189" s="382" t="s">
        <v>2930</v>
      </c>
      <c r="C3189" s="377" t="s">
        <v>5638</v>
      </c>
      <c r="D3189" s="6" t="str">
        <f>_xlfn.XLOOKUP(B3189,Indices!$A$2:$A$2676,Indices!$B$2:$B$2676,"")</f>
        <v/>
      </c>
    </row>
    <row r="3190" spans="1:4" x14ac:dyDescent="0.25">
      <c r="A3190" s="379">
        <v>45820.586805555555</v>
      </c>
      <c r="B3190" s="382" t="s">
        <v>1251</v>
      </c>
      <c r="C3190" s="377" t="s">
        <v>5638</v>
      </c>
      <c r="D3190" s="6" t="str">
        <f>_xlfn.XLOOKUP(B3190,Indices!$A$2:$A$2676,Indices!$B$2:$B$2676,"")</f>
        <v>SP500</v>
      </c>
    </row>
    <row r="3191" spans="1:4" x14ac:dyDescent="0.25">
      <c r="A3191" s="379">
        <v>45820.590277777781</v>
      </c>
      <c r="B3191" s="382" t="s">
        <v>4411</v>
      </c>
      <c r="C3191" s="377" t="s">
        <v>5639</v>
      </c>
      <c r="D3191" s="6" t="str">
        <f>_xlfn.XLOOKUP(B3191,Indices!$A$2:$A$2676,Indices!$B$2:$B$2676,"")</f>
        <v/>
      </c>
    </row>
    <row r="3192" spans="1:4" x14ac:dyDescent="0.25">
      <c r="A3192" s="379">
        <v>45820.59652777778</v>
      </c>
      <c r="B3192" s="382" t="s">
        <v>1262</v>
      </c>
      <c r="C3192" s="377" t="s">
        <v>5640</v>
      </c>
      <c r="D3192" s="6" t="str">
        <f>_xlfn.XLOOKUP(B3192,Indices!$A$2:$A$2676,Indices!$B$2:$B$2676,"")</f>
        <v>S&amp;P Mid</v>
      </c>
    </row>
    <row r="3193" spans="1:4" x14ac:dyDescent="0.25">
      <c r="A3193" s="379">
        <v>45820.602777777778</v>
      </c>
      <c r="B3193" s="382" t="s">
        <v>458</v>
      </c>
      <c r="C3193" s="377" t="s">
        <v>5641</v>
      </c>
      <c r="D3193" s="6" t="str">
        <f>_xlfn.XLOOKUP(B3193,Indices!$A$2:$A$2676,Indices!$B$2:$B$2676,"")</f>
        <v>IWM</v>
      </c>
    </row>
    <row r="3194" spans="1:4" x14ac:dyDescent="0.25">
      <c r="A3194" s="379">
        <v>45820.625</v>
      </c>
      <c r="B3194" s="382" t="s">
        <v>4423</v>
      </c>
      <c r="C3194" s="377" t="s">
        <v>4421</v>
      </c>
      <c r="D3194" s="6" t="str">
        <f>_xlfn.XLOOKUP(B3194,Indices!$A$2:$A$2676,Indices!$B$2:$B$2676,"")</f>
        <v/>
      </c>
    </row>
    <row r="3195" spans="1:4" x14ac:dyDescent="0.25">
      <c r="A3195" s="379">
        <v>45821.208333333336</v>
      </c>
      <c r="B3195" s="382" t="s">
        <v>5544</v>
      </c>
      <c r="C3195" s="377" t="s">
        <v>5642</v>
      </c>
      <c r="D3195" s="6" t="str">
        <f>_xlfn.XLOOKUP(B3195,Indices!$A$2:$A$2676,Indices!$B$2:$B$2676,"")</f>
        <v/>
      </c>
    </row>
    <row r="3196" spans="1:4" x14ac:dyDescent="0.25">
      <c r="A3196" s="379">
        <v>45821.274305555555</v>
      </c>
      <c r="B3196" s="382" t="s">
        <v>4612</v>
      </c>
      <c r="C3196" s="377" t="s">
        <v>5643</v>
      </c>
      <c r="D3196" s="6" t="str">
        <f>_xlfn.XLOOKUP(B3196,Indices!$A$2:$A$2676,Indices!$B$2:$B$2676,"")</f>
        <v/>
      </c>
    </row>
    <row r="3197" spans="1:4" x14ac:dyDescent="0.25">
      <c r="A3197" s="379">
        <v>45821.301388888889</v>
      </c>
      <c r="B3197" s="382" t="s">
        <v>2799</v>
      </c>
      <c r="C3197" s="377" t="s">
        <v>5644</v>
      </c>
      <c r="D3197" s="6" t="str">
        <f>_xlfn.XLOOKUP(B3197,Indices!$A$2:$A$2676,Indices!$B$2:$B$2676,"")</f>
        <v/>
      </c>
    </row>
    <row r="3198" spans="1:4" x14ac:dyDescent="0.25">
      <c r="A3198" s="379">
        <v>45821.458333333336</v>
      </c>
      <c r="B3198" s="382" t="s">
        <v>5645</v>
      </c>
      <c r="C3198" s="377" t="s">
        <v>5646</v>
      </c>
      <c r="D3198" s="6" t="str">
        <f>_xlfn.XLOOKUP(B3198,Indices!$A$2:$A$2676,Indices!$B$2:$B$2676,"")</f>
        <v/>
      </c>
    </row>
    <row r="3199" spans="1:4" x14ac:dyDescent="0.25">
      <c r="A3199" s="379">
        <v>45821.625</v>
      </c>
      <c r="B3199" s="382" t="s">
        <v>2859</v>
      </c>
      <c r="C3199" s="377" t="s">
        <v>5647</v>
      </c>
      <c r="D3199" s="6" t="str">
        <f>_xlfn.XLOOKUP(B3199,Indices!$A$2:$A$2676,Indices!$B$2:$B$2676,"")</f>
        <v/>
      </c>
    </row>
    <row r="3200" spans="1:4" x14ac:dyDescent="0.25">
      <c r="A3200" s="379">
        <v>45821.625</v>
      </c>
      <c r="B3200" s="382" t="s">
        <v>2857</v>
      </c>
      <c r="C3200" s="377" t="s">
        <v>5647</v>
      </c>
      <c r="D3200" s="6" t="str">
        <f>_xlfn.XLOOKUP(B3200,Indices!$A$2:$A$2676,Indices!$B$2:$B$2676,"")</f>
        <v/>
      </c>
    </row>
    <row r="3201" spans="1:4" x14ac:dyDescent="0.25">
      <c r="A3201" s="379">
        <v>45821.625</v>
      </c>
      <c r="B3201" s="382" t="s">
        <v>2860</v>
      </c>
      <c r="C3201" s="377" t="s">
        <v>5647</v>
      </c>
      <c r="D3201" s="6" t="str">
        <f>_xlfn.XLOOKUP(B3201,Indices!$A$2:$A$2676,Indices!$B$2:$B$2676,"")</f>
        <v/>
      </c>
    </row>
    <row r="3202" spans="1:4" x14ac:dyDescent="0.25">
      <c r="A3202" s="379">
        <v>45821.625</v>
      </c>
      <c r="B3202" s="382" t="s">
        <v>986</v>
      </c>
      <c r="C3202" s="377" t="s">
        <v>5647</v>
      </c>
      <c r="D3202" s="6" t="str">
        <f>_xlfn.XLOOKUP(B3202,Indices!$A$2:$A$2676,Indices!$B$2:$B$2676,"")</f>
        <v>IWM</v>
      </c>
    </row>
    <row r="3203" spans="1:4" x14ac:dyDescent="0.25">
      <c r="A3203" s="379">
        <v>45821.625</v>
      </c>
      <c r="B3203" s="382" t="s">
        <v>2851</v>
      </c>
      <c r="C3203" s="377" t="s">
        <v>5647</v>
      </c>
      <c r="D3203" s="6" t="str">
        <f>_xlfn.XLOOKUP(B3203,Indices!$A$2:$A$2676,Indices!$B$2:$B$2676,"")</f>
        <v/>
      </c>
    </row>
    <row r="3204" spans="1:4" x14ac:dyDescent="0.25">
      <c r="A3204" s="379">
        <v>45821.625</v>
      </c>
      <c r="B3204" s="382" t="s">
        <v>4288</v>
      </c>
      <c r="C3204" s="377" t="s">
        <v>5647</v>
      </c>
      <c r="D3204" s="6" t="str">
        <f>_xlfn.XLOOKUP(B3204,Indices!$A$2:$A$2676,Indices!$B$2:$B$2676,"")</f>
        <v/>
      </c>
    </row>
    <row r="3205" spans="1:4" x14ac:dyDescent="0.25">
      <c r="A3205" s="379">
        <v>45821.625</v>
      </c>
      <c r="B3205" s="382" t="s">
        <v>2854</v>
      </c>
      <c r="C3205" s="377" t="s">
        <v>5647</v>
      </c>
      <c r="D3205" s="6" t="str">
        <f>_xlfn.XLOOKUP(B3205,Indices!$A$2:$A$2676,Indices!$B$2:$B$2676,"")</f>
        <v/>
      </c>
    </row>
    <row r="3206" spans="1:4" x14ac:dyDescent="0.25">
      <c r="A3206" s="379">
        <v>45821.625</v>
      </c>
      <c r="B3206" s="382" t="s">
        <v>2920</v>
      </c>
      <c r="C3206" s="377" t="s">
        <v>5647</v>
      </c>
      <c r="D3206" s="6" t="str">
        <f>_xlfn.XLOOKUP(B3206,Indices!$A$2:$A$2676,Indices!$B$2:$B$2676,"")</f>
        <v/>
      </c>
    </row>
    <row r="3207" spans="1:4" x14ac:dyDescent="0.25">
      <c r="A3207" s="379">
        <v>45824.291666666664</v>
      </c>
      <c r="B3207" s="382" t="s">
        <v>4417</v>
      </c>
      <c r="C3207" s="377" t="s">
        <v>4611</v>
      </c>
      <c r="D3207" s="6" t="str">
        <f>_xlfn.XLOOKUP(B3207,Indices!$A$2:$A$2676,Indices!$B$2:$B$2676,"")</f>
        <v/>
      </c>
    </row>
    <row r="3208" spans="1:4" x14ac:dyDescent="0.25">
      <c r="A3208" s="379">
        <v>45824.291666666664</v>
      </c>
      <c r="B3208" s="382" t="s">
        <v>902</v>
      </c>
      <c r="C3208" s="377" t="s">
        <v>4611</v>
      </c>
      <c r="D3208" s="6" t="str">
        <f>_xlfn.XLOOKUP(B3208,Indices!$A$2:$A$2676,Indices!$B$2:$B$2676,"")</f>
        <v>IWM</v>
      </c>
    </row>
    <row r="3209" spans="1:4" x14ac:dyDescent="0.25">
      <c r="A3209" s="379">
        <v>45824.291666666664</v>
      </c>
      <c r="B3209" s="382" t="s">
        <v>4401</v>
      </c>
      <c r="C3209" s="377" t="s">
        <v>4611</v>
      </c>
      <c r="D3209" s="6" t="str">
        <f>_xlfn.XLOOKUP(B3209,Indices!$A$2:$A$2676,Indices!$B$2:$B$2676,"")</f>
        <v/>
      </c>
    </row>
    <row r="3210" spans="1:4" x14ac:dyDescent="0.25">
      <c r="A3210" s="379">
        <v>45824.458333333336</v>
      </c>
      <c r="B3210" s="382" t="s">
        <v>2877</v>
      </c>
      <c r="C3210" s="377" t="s">
        <v>5648</v>
      </c>
      <c r="D3210" s="6" t="str">
        <f>_xlfn.XLOOKUP(B3210,Indices!$A$2:$A$2676,Indices!$B$2:$B$2676,"")</f>
        <v/>
      </c>
    </row>
    <row r="3211" spans="1:4" x14ac:dyDescent="0.25">
      <c r="A3211" s="379">
        <v>45824.625</v>
      </c>
      <c r="B3211" s="382" t="s">
        <v>4382</v>
      </c>
      <c r="C3211" s="377" t="s">
        <v>4613</v>
      </c>
      <c r="D3211" s="6" t="str">
        <f>_xlfn.XLOOKUP(B3211,Indices!$A$2:$A$2676,Indices!$B$2:$B$2676,"")</f>
        <v/>
      </c>
    </row>
    <row r="3212" spans="1:4" x14ac:dyDescent="0.25">
      <c r="A3212" s="379">
        <v>45824.625</v>
      </c>
      <c r="B3212" s="382" t="s">
        <v>2861</v>
      </c>
      <c r="C3212" s="377" t="s">
        <v>4613</v>
      </c>
      <c r="D3212" s="6" t="str">
        <f>_xlfn.XLOOKUP(B3212,Indices!$A$2:$A$2676,Indices!$B$2:$B$2676,"")</f>
        <v/>
      </c>
    </row>
    <row r="3213" spans="1:4" x14ac:dyDescent="0.25">
      <c r="A3213" s="379">
        <v>45824.625</v>
      </c>
      <c r="B3213" s="382" t="s">
        <v>2803</v>
      </c>
      <c r="C3213" s="377" t="s">
        <v>4613</v>
      </c>
      <c r="D3213" s="6" t="str">
        <f>_xlfn.XLOOKUP(B3213,Indices!$A$2:$A$2676,Indices!$B$2:$B$2676,"")</f>
        <v/>
      </c>
    </row>
    <row r="3214" spans="1:4" x14ac:dyDescent="0.25">
      <c r="A3214" s="379">
        <v>45824.625</v>
      </c>
      <c r="B3214" s="382" t="s">
        <v>2863</v>
      </c>
      <c r="C3214" s="377" t="s">
        <v>4613</v>
      </c>
      <c r="D3214" s="6" t="str">
        <f>_xlfn.XLOOKUP(B3214,Indices!$A$2:$A$2676,Indices!$B$2:$B$2676,"")</f>
        <v/>
      </c>
    </row>
    <row r="3215" spans="1:4" x14ac:dyDescent="0.25">
      <c r="A3215" s="379">
        <v>45824.625</v>
      </c>
      <c r="B3215" s="382" t="s">
        <v>1409</v>
      </c>
      <c r="C3215" s="377" t="s">
        <v>4613</v>
      </c>
      <c r="D3215" s="6" t="str">
        <f>_xlfn.XLOOKUP(B3215,Indices!$A$2:$A$2676,Indices!$B$2:$B$2676,"")</f>
        <v>SP500</v>
      </c>
    </row>
    <row r="3216" spans="1:4" x14ac:dyDescent="0.25">
      <c r="A3216" s="379">
        <v>45824.625</v>
      </c>
      <c r="B3216" s="382" t="s">
        <v>4191</v>
      </c>
      <c r="C3216" s="377" t="s">
        <v>4613</v>
      </c>
      <c r="D3216" s="6" t="str">
        <f>_xlfn.XLOOKUP(B3216,Indices!$A$2:$A$2676,Indices!$B$2:$B$2676,"")</f>
        <v/>
      </c>
    </row>
    <row r="3217" spans="1:4" x14ac:dyDescent="0.25">
      <c r="A3217" s="379">
        <v>45824.625</v>
      </c>
      <c r="B3217" s="382" t="s">
        <v>4331</v>
      </c>
      <c r="C3217" s="377" t="s">
        <v>4613</v>
      </c>
      <c r="D3217" s="6" t="str">
        <f>_xlfn.XLOOKUP(B3217,Indices!$A$2:$A$2676,Indices!$B$2:$B$2676,"")</f>
        <v/>
      </c>
    </row>
    <row r="3218" spans="1:4" x14ac:dyDescent="0.25">
      <c r="A3218" s="379">
        <v>45824.625</v>
      </c>
      <c r="B3218" s="382" t="s">
        <v>1900</v>
      </c>
      <c r="C3218" s="377" t="s">
        <v>4613</v>
      </c>
      <c r="D3218" s="6" t="str">
        <f>_xlfn.XLOOKUP(B3218,Indices!$A$2:$A$2676,Indices!$B$2:$B$2676,"")</f>
        <v>IWM</v>
      </c>
    </row>
    <row r="3219" spans="1:4" x14ac:dyDescent="0.25">
      <c r="A3219" s="379">
        <v>45824.625</v>
      </c>
      <c r="B3219" s="382" t="s">
        <v>4615</v>
      </c>
      <c r="C3219" s="377" t="s">
        <v>4613</v>
      </c>
      <c r="D3219" s="6" t="str">
        <f>_xlfn.XLOOKUP(B3219,Indices!$A$2:$A$2676,Indices!$B$2:$B$2676,"")</f>
        <v/>
      </c>
    </row>
    <row r="3220" spans="1:4" x14ac:dyDescent="0.25">
      <c r="A3220" s="379">
        <v>45824.625</v>
      </c>
      <c r="B3220" s="382" t="s">
        <v>4363</v>
      </c>
      <c r="C3220" s="377" t="s">
        <v>4613</v>
      </c>
      <c r="D3220" s="6" t="str">
        <f>_xlfn.XLOOKUP(B3220,Indices!$A$2:$A$2676,Indices!$B$2:$B$2676,"")</f>
        <v/>
      </c>
    </row>
    <row r="3221" spans="1:4" x14ac:dyDescent="0.25">
      <c r="A3221" s="379">
        <v>45824.625</v>
      </c>
      <c r="B3221" s="382" t="s">
        <v>4639</v>
      </c>
      <c r="C3221" s="377" t="s">
        <v>4613</v>
      </c>
      <c r="D3221" s="6" t="str">
        <f>_xlfn.XLOOKUP(B3221,Indices!$A$2:$A$2676,Indices!$B$2:$B$2676,"")</f>
        <v/>
      </c>
    </row>
    <row r="3222" spans="1:4" x14ac:dyDescent="0.25">
      <c r="A3222" s="379">
        <v>45824.625</v>
      </c>
      <c r="B3222" s="382" t="s">
        <v>4335</v>
      </c>
      <c r="C3222" s="377" t="s">
        <v>4613</v>
      </c>
      <c r="D3222" s="6" t="str">
        <f>_xlfn.XLOOKUP(B3222,Indices!$A$2:$A$2676,Indices!$B$2:$B$2676,"")</f>
        <v/>
      </c>
    </row>
    <row r="3223" spans="1:4" x14ac:dyDescent="0.25">
      <c r="A3223" s="379">
        <v>45824.625</v>
      </c>
      <c r="B3223" s="382" t="s">
        <v>2864</v>
      </c>
      <c r="C3223" s="377" t="s">
        <v>4613</v>
      </c>
      <c r="D3223" s="6" t="str">
        <f>_xlfn.XLOOKUP(B3223,Indices!$A$2:$A$2676,Indices!$B$2:$B$2676,"")</f>
        <v/>
      </c>
    </row>
    <row r="3224" spans="1:4" x14ac:dyDescent="0.25">
      <c r="A3224" s="379">
        <v>45825.291666666664</v>
      </c>
      <c r="B3224" s="382" t="s">
        <v>4315</v>
      </c>
      <c r="C3224" s="377" t="s">
        <v>4617</v>
      </c>
      <c r="D3224" s="6" t="str">
        <f>_xlfn.XLOOKUP(B3224,Indices!$A$2:$A$2676,Indices!$B$2:$B$2676,"")</f>
        <v/>
      </c>
    </row>
    <row r="3225" spans="1:4" x14ac:dyDescent="0.25">
      <c r="A3225" s="379">
        <v>45825.291666666664</v>
      </c>
      <c r="B3225" s="382" t="s">
        <v>2889</v>
      </c>
      <c r="C3225" s="377" t="s">
        <v>4617</v>
      </c>
      <c r="D3225" s="6" t="str">
        <f>_xlfn.XLOOKUP(B3225,Indices!$A$2:$A$2676,Indices!$B$2:$B$2676,"")</f>
        <v/>
      </c>
    </row>
    <row r="3226" spans="1:4" x14ac:dyDescent="0.25">
      <c r="A3226" s="379">
        <v>45825.291666666664</v>
      </c>
      <c r="B3226" s="382" t="s">
        <v>1189</v>
      </c>
      <c r="C3226" s="377" t="s">
        <v>4617</v>
      </c>
      <c r="D3226" s="6" t="str">
        <f>_xlfn.XLOOKUP(B3226,Indices!$A$2:$A$2676,Indices!$B$2:$B$2676,"")</f>
        <v>IWM</v>
      </c>
    </row>
    <row r="3227" spans="1:4" x14ac:dyDescent="0.25">
      <c r="A3227" s="379">
        <v>45825.291666666664</v>
      </c>
      <c r="B3227" s="382" t="s">
        <v>4616</v>
      </c>
      <c r="C3227" s="377" t="s">
        <v>4617</v>
      </c>
      <c r="D3227" s="6" t="str">
        <f>_xlfn.XLOOKUP(B3227,Indices!$A$2:$A$2676,Indices!$B$2:$B$2676,"")</f>
        <v/>
      </c>
    </row>
    <row r="3228" spans="1:4" x14ac:dyDescent="0.25">
      <c r="A3228" s="379">
        <v>45825.291666666664</v>
      </c>
      <c r="B3228" s="382" t="s">
        <v>2931</v>
      </c>
      <c r="C3228" s="377" t="s">
        <v>4617</v>
      </c>
      <c r="D3228" s="6" t="str">
        <f>_xlfn.XLOOKUP(B3228,Indices!$A$2:$A$2676,Indices!$B$2:$B$2676,"")</f>
        <v/>
      </c>
    </row>
    <row r="3229" spans="1:4" x14ac:dyDescent="0.25">
      <c r="A3229" s="379">
        <v>45825.291666666664</v>
      </c>
      <c r="B3229" s="382" t="s">
        <v>5649</v>
      </c>
      <c r="C3229" s="377" t="s">
        <v>4617</v>
      </c>
      <c r="D3229" s="6" t="str">
        <f>_xlfn.XLOOKUP(B3229,Indices!$A$2:$A$2676,Indices!$B$2:$B$2676,"")</f>
        <v/>
      </c>
    </row>
    <row r="3230" spans="1:4" x14ac:dyDescent="0.25">
      <c r="A3230" s="379">
        <v>45825.291666666664</v>
      </c>
      <c r="B3230" s="382" t="s">
        <v>2866</v>
      </c>
      <c r="C3230" s="377" t="s">
        <v>4617</v>
      </c>
      <c r="D3230" s="6" t="str">
        <f>_xlfn.XLOOKUP(B3230,Indices!$A$2:$A$2676,Indices!$B$2:$B$2676,"")</f>
        <v/>
      </c>
    </row>
    <row r="3231" spans="1:4" x14ac:dyDescent="0.25">
      <c r="A3231" s="379">
        <v>45825.291666666664</v>
      </c>
      <c r="B3231" s="382" t="s">
        <v>2805</v>
      </c>
      <c r="C3231" s="377" t="s">
        <v>4617</v>
      </c>
      <c r="D3231" s="6" t="str">
        <f>_xlfn.XLOOKUP(B3231,Indices!$A$2:$A$2676,Indices!$B$2:$B$2676,"")</f>
        <v/>
      </c>
    </row>
    <row r="3232" spans="1:4" x14ac:dyDescent="0.25">
      <c r="A3232" s="379">
        <v>45825.291666666664</v>
      </c>
      <c r="B3232" s="382" t="s">
        <v>4629</v>
      </c>
      <c r="C3232" s="377" t="s">
        <v>4617</v>
      </c>
      <c r="D3232" s="6" t="str">
        <f>_xlfn.XLOOKUP(B3232,Indices!$A$2:$A$2676,Indices!$B$2:$B$2676,"")</f>
        <v/>
      </c>
    </row>
    <row r="3233" spans="1:4" x14ac:dyDescent="0.25">
      <c r="A3233" s="379">
        <v>45825.291666666664</v>
      </c>
      <c r="B3233" s="382" t="s">
        <v>2932</v>
      </c>
      <c r="C3233" s="377" t="s">
        <v>4617</v>
      </c>
      <c r="D3233" s="6" t="str">
        <f>_xlfn.XLOOKUP(B3233,Indices!$A$2:$A$2676,Indices!$B$2:$B$2676,"")</f>
        <v/>
      </c>
    </row>
    <row r="3234" spans="1:4" x14ac:dyDescent="0.25">
      <c r="A3234" s="379">
        <v>45825.291666666664</v>
      </c>
      <c r="B3234" s="382" t="s">
        <v>4270</v>
      </c>
      <c r="C3234" s="377" t="s">
        <v>4617</v>
      </c>
      <c r="D3234" s="6" t="str">
        <f>_xlfn.XLOOKUP(B3234,Indices!$A$2:$A$2676,Indices!$B$2:$B$2676,"")</f>
        <v/>
      </c>
    </row>
    <row r="3235" spans="1:4" x14ac:dyDescent="0.25">
      <c r="A3235" s="379">
        <v>45825.291666666664</v>
      </c>
      <c r="B3235" s="382" t="s">
        <v>4348</v>
      </c>
      <c r="C3235" s="377" t="s">
        <v>4617</v>
      </c>
      <c r="D3235" s="6" t="str">
        <f>_xlfn.XLOOKUP(B3235,Indices!$A$2:$A$2676,Indices!$B$2:$B$2676,"")</f>
        <v/>
      </c>
    </row>
    <row r="3236" spans="1:4" x14ac:dyDescent="0.25">
      <c r="A3236" s="379">
        <v>45825.291666666664</v>
      </c>
      <c r="B3236" s="382" t="s">
        <v>1559</v>
      </c>
      <c r="C3236" s="377" t="s">
        <v>4617</v>
      </c>
      <c r="D3236" s="6" t="str">
        <f>_xlfn.XLOOKUP(B3236,Indices!$A$2:$A$2676,Indices!$B$2:$B$2676,"")</f>
        <v>SP500</v>
      </c>
    </row>
    <row r="3237" spans="1:4" x14ac:dyDescent="0.25">
      <c r="A3237" s="379">
        <v>45825.291666666664</v>
      </c>
      <c r="B3237" s="382" t="s">
        <v>4089</v>
      </c>
      <c r="C3237" s="377" t="s">
        <v>4617</v>
      </c>
      <c r="D3237" s="6" t="str">
        <f>_xlfn.XLOOKUP(B3237,Indices!$A$2:$A$2676,Indices!$B$2:$B$2676,"")</f>
        <v/>
      </c>
    </row>
    <row r="3238" spans="1:4" x14ac:dyDescent="0.25">
      <c r="A3238" s="379">
        <v>45825.625</v>
      </c>
      <c r="B3238" s="382" t="s">
        <v>4412</v>
      </c>
      <c r="C3238" s="377" t="s">
        <v>4619</v>
      </c>
      <c r="D3238" s="6" t="str">
        <f>_xlfn.XLOOKUP(B3238,Indices!$A$2:$A$2676,Indices!$B$2:$B$2676,"")</f>
        <v/>
      </c>
    </row>
    <row r="3239" spans="1:4" x14ac:dyDescent="0.25">
      <c r="A3239" s="379">
        <v>45825.625</v>
      </c>
      <c r="B3239" s="382" t="s">
        <v>4136</v>
      </c>
      <c r="C3239" s="377" t="s">
        <v>4619</v>
      </c>
      <c r="D3239" s="6" t="str">
        <f>_xlfn.XLOOKUP(B3239,Indices!$A$2:$A$2676,Indices!$B$2:$B$2676,"")</f>
        <v/>
      </c>
    </row>
    <row r="3240" spans="1:4" x14ac:dyDescent="0.25">
      <c r="A3240" s="379">
        <v>45825.625</v>
      </c>
      <c r="B3240" s="382" t="s">
        <v>1094</v>
      </c>
      <c r="C3240" s="377" t="s">
        <v>4619</v>
      </c>
      <c r="D3240" s="6" t="str">
        <f>_xlfn.XLOOKUP(B3240,Indices!$A$2:$A$2676,Indices!$B$2:$B$2676,"")</f>
        <v>IWM</v>
      </c>
    </row>
    <row r="3241" spans="1:4" x14ac:dyDescent="0.25">
      <c r="A3241" s="379">
        <v>45825.625</v>
      </c>
      <c r="B3241" s="382" t="s">
        <v>4635</v>
      </c>
      <c r="C3241" s="377" t="s">
        <v>4619</v>
      </c>
      <c r="D3241" s="6" t="str">
        <f>_xlfn.XLOOKUP(B3241,Indices!$A$2:$A$2676,Indices!$B$2:$B$2676,"")</f>
        <v/>
      </c>
    </row>
    <row r="3242" spans="1:4" x14ac:dyDescent="0.25">
      <c r="A3242" s="379">
        <v>45825.625</v>
      </c>
      <c r="B3242" s="382" t="s">
        <v>4009</v>
      </c>
      <c r="C3242" s="377" t="s">
        <v>4619</v>
      </c>
      <c r="D3242" s="6" t="str">
        <f>_xlfn.XLOOKUP(B3242,Indices!$A$2:$A$2676,Indices!$B$2:$B$2676,"")</f>
        <v/>
      </c>
    </row>
    <row r="3243" spans="1:4" x14ac:dyDescent="0.25">
      <c r="A3243" s="379">
        <v>45826.291666666664</v>
      </c>
      <c r="B3243" s="382" t="s">
        <v>4386</v>
      </c>
      <c r="C3243" s="377" t="s">
        <v>4620</v>
      </c>
      <c r="D3243" s="6" t="str">
        <f>_xlfn.XLOOKUP(B3243,Indices!$A$2:$A$2676,Indices!$B$2:$B$2676,"")</f>
        <v/>
      </c>
    </row>
    <row r="3244" spans="1:4" x14ac:dyDescent="0.25">
      <c r="A3244" s="379">
        <v>45826.291666666664</v>
      </c>
      <c r="B3244" s="382" t="s">
        <v>1185</v>
      </c>
      <c r="C3244" s="377" t="s">
        <v>4620</v>
      </c>
      <c r="D3244" s="6" t="str">
        <f>_xlfn.XLOOKUP(B3244,Indices!$A$2:$A$2676,Indices!$B$2:$B$2676,"")</f>
        <v>IWM</v>
      </c>
    </row>
    <row r="3245" spans="1:4" x14ac:dyDescent="0.25">
      <c r="A3245" s="379">
        <v>45826.291666666664</v>
      </c>
      <c r="B3245" s="382" t="s">
        <v>1207</v>
      </c>
      <c r="C3245" s="377" t="s">
        <v>4620</v>
      </c>
      <c r="D3245" s="6" t="str">
        <f>_xlfn.XLOOKUP(B3245,Indices!$A$2:$A$2676,Indices!$B$2:$B$2676,"")</f>
        <v>IWM</v>
      </c>
    </row>
    <row r="3246" spans="1:4" x14ac:dyDescent="0.25">
      <c r="A3246" s="379">
        <v>45826.291666666664</v>
      </c>
      <c r="B3246" s="382" t="s">
        <v>4626</v>
      </c>
      <c r="C3246" s="377" t="s">
        <v>4620</v>
      </c>
      <c r="D3246" s="6" t="str">
        <f>_xlfn.XLOOKUP(B3246,Indices!$A$2:$A$2676,Indices!$B$2:$B$2676,"")</f>
        <v/>
      </c>
    </row>
    <row r="3247" spans="1:4" x14ac:dyDescent="0.25">
      <c r="A3247" s="379">
        <v>45826.625</v>
      </c>
      <c r="B3247" s="382" t="s">
        <v>2902</v>
      </c>
      <c r="C3247" s="377" t="s">
        <v>4621</v>
      </c>
      <c r="D3247" s="6" t="str">
        <f>_xlfn.XLOOKUP(B3247,Indices!$A$2:$A$2676,Indices!$B$2:$B$2676,"")</f>
        <v/>
      </c>
    </row>
    <row r="3248" spans="1:4" x14ac:dyDescent="0.25">
      <c r="A3248" s="379">
        <v>45826.625</v>
      </c>
      <c r="B3248" s="382" t="s">
        <v>5481</v>
      </c>
      <c r="C3248" s="377" t="s">
        <v>4621</v>
      </c>
      <c r="D3248" s="6" t="str">
        <f>_xlfn.XLOOKUP(B3248,Indices!$A$2:$A$2676,Indices!$B$2:$B$2676,"")</f>
        <v/>
      </c>
    </row>
    <row r="3249" spans="1:4" x14ac:dyDescent="0.25">
      <c r="A3249" s="379">
        <v>45826.625</v>
      </c>
      <c r="B3249" s="382" t="s">
        <v>1221</v>
      </c>
      <c r="C3249" s="377" t="s">
        <v>4621</v>
      </c>
      <c r="D3249" s="6" t="str">
        <f>_xlfn.XLOOKUP(B3249,Indices!$A$2:$A$2676,Indices!$B$2:$B$2676,"")</f>
        <v>IWM</v>
      </c>
    </row>
    <row r="3250" spans="1:4" x14ac:dyDescent="0.25">
      <c r="A3250" s="379">
        <v>45826.625</v>
      </c>
      <c r="B3250" s="382" t="s">
        <v>1159</v>
      </c>
      <c r="C3250" s="377" t="s">
        <v>4621</v>
      </c>
      <c r="D3250" s="6" t="str">
        <f>_xlfn.XLOOKUP(B3250,Indices!$A$2:$A$2676,Indices!$B$2:$B$2676,"")</f>
        <v>IWM</v>
      </c>
    </row>
    <row r="3251" spans="1:4" x14ac:dyDescent="0.25">
      <c r="A3251" s="379">
        <v>45826.625</v>
      </c>
      <c r="B3251" s="382" t="s">
        <v>5650</v>
      </c>
      <c r="C3251" s="377" t="s">
        <v>4621</v>
      </c>
      <c r="D3251" s="6" t="str">
        <f>_xlfn.XLOOKUP(B3251,Indices!$A$2:$A$2676,Indices!$B$2:$B$2676,"")</f>
        <v/>
      </c>
    </row>
    <row r="3252" spans="1:4" x14ac:dyDescent="0.25">
      <c r="A3252" s="379">
        <v>45827.291666666664</v>
      </c>
      <c r="B3252" s="382" t="s">
        <v>4624</v>
      </c>
      <c r="C3252" s="377" t="s">
        <v>4625</v>
      </c>
      <c r="D3252" s="6" t="str">
        <f>_xlfn.XLOOKUP(B3252,Indices!$A$2:$A$2676,Indices!$B$2:$B$2676,"")</f>
        <v/>
      </c>
    </row>
    <row r="3253" spans="1:4" x14ac:dyDescent="0.25">
      <c r="A3253" s="379">
        <v>45827.291666666664</v>
      </c>
      <c r="B3253" s="382" t="s">
        <v>2935</v>
      </c>
      <c r="C3253" s="377" t="s">
        <v>4623</v>
      </c>
      <c r="D3253" s="6" t="str">
        <f>_xlfn.XLOOKUP(B3253,Indices!$A$2:$A$2676,Indices!$B$2:$B$2676,"")</f>
        <v/>
      </c>
    </row>
    <row r="3254" spans="1:4" x14ac:dyDescent="0.25">
      <c r="A3254" s="379">
        <v>45827.291666666664</v>
      </c>
      <c r="B3254" s="382" t="s">
        <v>4283</v>
      </c>
      <c r="C3254" s="377" t="s">
        <v>4623</v>
      </c>
      <c r="D3254" s="6" t="str">
        <f>_xlfn.XLOOKUP(B3254,Indices!$A$2:$A$2676,Indices!$B$2:$B$2676,"")</f>
        <v/>
      </c>
    </row>
    <row r="3255" spans="1:4" x14ac:dyDescent="0.25">
      <c r="A3255" s="379">
        <v>45827.291666666664</v>
      </c>
      <c r="B3255" s="382" t="s">
        <v>2890</v>
      </c>
      <c r="C3255" s="377" t="s">
        <v>4623</v>
      </c>
      <c r="D3255" s="6" t="str">
        <f>_xlfn.XLOOKUP(B3255,Indices!$A$2:$A$2676,Indices!$B$2:$B$2676,"")</f>
        <v/>
      </c>
    </row>
    <row r="3256" spans="1:4" x14ac:dyDescent="0.25">
      <c r="A3256" s="379">
        <v>45827.625</v>
      </c>
      <c r="B3256" s="382" t="s">
        <v>4143</v>
      </c>
      <c r="C3256" s="377" t="s">
        <v>4628</v>
      </c>
      <c r="D3256" s="6" t="str">
        <f>_xlfn.XLOOKUP(B3256,Indices!$A$2:$A$2676,Indices!$B$2:$B$2676,"")</f>
        <v/>
      </c>
    </row>
    <row r="3257" spans="1:4" x14ac:dyDescent="0.25">
      <c r="A3257" s="379">
        <v>45827.625</v>
      </c>
      <c r="B3257" s="382" t="s">
        <v>2159</v>
      </c>
      <c r="C3257" s="377" t="s">
        <v>4628</v>
      </c>
      <c r="D3257" s="6" t="str">
        <f>_xlfn.XLOOKUP(B3257,Indices!$A$2:$A$2676,Indices!$B$2:$B$2676,"")</f>
        <v>IWM</v>
      </c>
    </row>
    <row r="3258" spans="1:4" x14ac:dyDescent="0.25">
      <c r="A3258" s="379">
        <v>45827.625</v>
      </c>
      <c r="B3258" s="382" t="s">
        <v>4627</v>
      </c>
      <c r="C3258" s="377" t="s">
        <v>4628</v>
      </c>
      <c r="D3258" s="6" t="str">
        <f>_xlfn.XLOOKUP(B3258,Indices!$A$2:$A$2676,Indices!$B$2:$B$2676,"")</f>
        <v/>
      </c>
    </row>
    <row r="3259" spans="1:4" x14ac:dyDescent="0.25">
      <c r="A3259" s="379">
        <v>45828.291666666664</v>
      </c>
      <c r="B3259" s="382" t="s">
        <v>2802</v>
      </c>
      <c r="C3259" s="377" t="s">
        <v>4630</v>
      </c>
      <c r="D3259" s="6" t="str">
        <f>_xlfn.XLOOKUP(B3259,Indices!$A$2:$A$2676,Indices!$B$2:$B$2676,"")</f>
        <v/>
      </c>
    </row>
    <row r="3260" spans="1:4" x14ac:dyDescent="0.25">
      <c r="A3260" s="379">
        <v>45828.291666666664</v>
      </c>
      <c r="B3260" s="382" t="s">
        <v>4632</v>
      </c>
      <c r="C3260" s="377" t="s">
        <v>4630</v>
      </c>
      <c r="D3260" s="6" t="str">
        <f>_xlfn.XLOOKUP(B3260,Indices!$A$2:$A$2676,Indices!$B$2:$B$2676,"")</f>
        <v/>
      </c>
    </row>
    <row r="3261" spans="1:4" x14ac:dyDescent="0.25">
      <c r="A3261" s="379">
        <v>45828.291666666664</v>
      </c>
      <c r="B3261" s="382" t="s">
        <v>1528</v>
      </c>
      <c r="C3261" s="377" t="s">
        <v>4630</v>
      </c>
      <c r="D3261" s="6" t="str">
        <f>_xlfn.XLOOKUP(B3261,Indices!$A$2:$A$2676,Indices!$B$2:$B$2676,"")</f>
        <v>SP500</v>
      </c>
    </row>
    <row r="3262" spans="1:4" x14ac:dyDescent="0.25">
      <c r="A3262" s="379">
        <v>45828.291666666664</v>
      </c>
      <c r="B3262" s="382" t="s">
        <v>2869</v>
      </c>
      <c r="C3262" s="377" t="s">
        <v>4630</v>
      </c>
      <c r="D3262" s="6" t="str">
        <f>_xlfn.XLOOKUP(B3262,Indices!$A$2:$A$2676,Indices!$B$2:$B$2676,"")</f>
        <v/>
      </c>
    </row>
    <row r="3263" spans="1:4" x14ac:dyDescent="0.25">
      <c r="A3263" s="379">
        <v>45828.291666666664</v>
      </c>
      <c r="B3263" s="382" t="s">
        <v>1286</v>
      </c>
      <c r="C3263" s="377" t="s">
        <v>4630</v>
      </c>
      <c r="D3263" s="6" t="str">
        <f>_xlfn.XLOOKUP(B3263,Indices!$A$2:$A$2676,Indices!$B$2:$B$2676,"")</f>
        <v>SP500</v>
      </c>
    </row>
    <row r="3264" spans="1:4" x14ac:dyDescent="0.25">
      <c r="A3264" s="379">
        <v>45828.291666666664</v>
      </c>
      <c r="B3264" s="382" t="s">
        <v>1212</v>
      </c>
      <c r="C3264" s="377" t="s">
        <v>4630</v>
      </c>
      <c r="D3264" s="6" t="str">
        <f>_xlfn.XLOOKUP(B3264,Indices!$A$2:$A$2676,Indices!$B$2:$B$2676,"")</f>
        <v>SP500</v>
      </c>
    </row>
    <row r="3265" spans="1:4" x14ac:dyDescent="0.25">
      <c r="A3265" s="379">
        <v>45828.291666666664</v>
      </c>
      <c r="B3265" s="382" t="s">
        <v>3114</v>
      </c>
      <c r="C3265" s="377" t="s">
        <v>5651</v>
      </c>
      <c r="D3265" s="6" t="str">
        <f>_xlfn.XLOOKUP(B3265,Indices!$A$2:$A$2676,Indices!$B$2:$B$2676,"")</f>
        <v/>
      </c>
    </row>
    <row r="3266" spans="1:4" x14ac:dyDescent="0.25">
      <c r="A3266" s="379">
        <v>45828.291666666664</v>
      </c>
      <c r="B3266" s="382" t="s">
        <v>1576</v>
      </c>
      <c r="C3266" s="377" t="s">
        <v>4630</v>
      </c>
      <c r="D3266" s="6" t="str">
        <f>_xlfn.XLOOKUP(B3266,Indices!$A$2:$A$2676,Indices!$B$2:$B$2676,"")</f>
        <v>SP500</v>
      </c>
    </row>
    <row r="3267" spans="1:4" x14ac:dyDescent="0.25">
      <c r="A3267" s="379">
        <v>45828.625</v>
      </c>
      <c r="B3267" s="382" t="s">
        <v>4634</v>
      </c>
      <c r="C3267" s="377" t="s">
        <v>4633</v>
      </c>
      <c r="D3267" s="6" t="str">
        <f>_xlfn.XLOOKUP(B3267,Indices!$A$2:$A$2676,Indices!$B$2:$B$2676,"")</f>
        <v/>
      </c>
    </row>
    <row r="3268" spans="1:4" x14ac:dyDescent="0.25">
      <c r="A3268" s="379">
        <v>45831.291666666664</v>
      </c>
      <c r="B3268" s="382" t="s">
        <v>1627</v>
      </c>
      <c r="C3268" s="377" t="s">
        <v>5652</v>
      </c>
      <c r="D3268" s="6" t="str">
        <f>_xlfn.XLOOKUP(B3268,Indices!$A$2:$A$2676,Indices!$B$2:$B$2676,"")</f>
        <v>IWM</v>
      </c>
    </row>
    <row r="3269" spans="1:4" x14ac:dyDescent="0.25">
      <c r="A3269" s="379">
        <v>45831.291666666664</v>
      </c>
      <c r="B3269" s="382" t="s">
        <v>4651</v>
      </c>
      <c r="C3269" s="377" t="s">
        <v>5652</v>
      </c>
      <c r="D3269" s="6" t="str">
        <f>_xlfn.XLOOKUP(B3269,Indices!$A$2:$A$2676,Indices!$B$2:$B$2676,"")</f>
        <v/>
      </c>
    </row>
    <row r="3270" spans="1:4" x14ac:dyDescent="0.25">
      <c r="A3270" s="379">
        <v>45831.291666666664</v>
      </c>
      <c r="B3270" s="382" t="s">
        <v>2908</v>
      </c>
      <c r="C3270" s="377" t="s">
        <v>5652</v>
      </c>
      <c r="D3270" s="6" t="str">
        <f>_xlfn.XLOOKUP(B3270,Indices!$A$2:$A$2676,Indices!$B$2:$B$2676,"")</f>
        <v/>
      </c>
    </row>
    <row r="3271" spans="1:4" x14ac:dyDescent="0.25">
      <c r="A3271" s="379">
        <v>45831.291666666664</v>
      </c>
      <c r="B3271" s="382" t="s">
        <v>1537</v>
      </c>
      <c r="C3271" s="377" t="s">
        <v>5652</v>
      </c>
      <c r="D3271" s="6" t="str">
        <f>_xlfn.XLOOKUP(B3271,Indices!$A$2:$A$2676,Indices!$B$2:$B$2676,"")</f>
        <v>SP500</v>
      </c>
    </row>
    <row r="3272" spans="1:4" x14ac:dyDescent="0.25">
      <c r="A3272" s="379">
        <v>45831.291666666664</v>
      </c>
      <c r="B3272" s="382" t="s">
        <v>4640</v>
      </c>
      <c r="C3272" s="377" t="s">
        <v>5652</v>
      </c>
      <c r="D3272" s="6" t="str">
        <f>_xlfn.XLOOKUP(B3272,Indices!$A$2:$A$2676,Indices!$B$2:$B$2676,"")</f>
        <v/>
      </c>
    </row>
    <row r="3273" spans="1:4" x14ac:dyDescent="0.25">
      <c r="A3273" s="379">
        <v>45831.625</v>
      </c>
      <c r="B3273" s="382" t="s">
        <v>2220</v>
      </c>
      <c r="C3273" s="377" t="s">
        <v>5653</v>
      </c>
      <c r="D3273" s="6" t="str">
        <f>_xlfn.XLOOKUP(B3273,Indices!$A$2:$A$2676,Indices!$B$2:$B$2676,"")</f>
        <v>IWM</v>
      </c>
    </row>
    <row r="3274" spans="1:4" x14ac:dyDescent="0.25">
      <c r="A3274" s="379">
        <v>45831.625</v>
      </c>
      <c r="B3274" s="382" t="s">
        <v>1668</v>
      </c>
      <c r="C3274" s="377" t="s">
        <v>5653</v>
      </c>
      <c r="D3274" s="6" t="str">
        <f>_xlfn.XLOOKUP(B3274,Indices!$A$2:$A$2676,Indices!$B$2:$B$2676,"")</f>
        <v>IWM</v>
      </c>
    </row>
    <row r="3275" spans="1:4" x14ac:dyDescent="0.25">
      <c r="A3275" s="379">
        <v>45831.625</v>
      </c>
      <c r="B3275" s="382" t="s">
        <v>5654</v>
      </c>
      <c r="C3275" s="377" t="s">
        <v>5653</v>
      </c>
      <c r="D3275" s="6" t="str">
        <f>_xlfn.XLOOKUP(B3275,Indices!$A$2:$A$2676,Indices!$B$2:$B$2676,"")</f>
        <v/>
      </c>
    </row>
    <row r="3276" spans="1:4" x14ac:dyDescent="0.25">
      <c r="A3276" s="379">
        <v>45832.291666666664</v>
      </c>
      <c r="B3276" s="382" t="s">
        <v>2035</v>
      </c>
      <c r="C3276" s="377" t="s">
        <v>4636</v>
      </c>
      <c r="D3276" s="6" t="str">
        <f>_xlfn.XLOOKUP(B3276,Indices!$A$2:$A$2676,Indices!$B$2:$B$2676,"")</f>
        <v>IWM</v>
      </c>
    </row>
    <row r="3277" spans="1:4" x14ac:dyDescent="0.25">
      <c r="A3277" s="379">
        <v>45832.291666666664</v>
      </c>
      <c r="B3277" s="382" t="s">
        <v>2793</v>
      </c>
      <c r="C3277" s="377" t="s">
        <v>4636</v>
      </c>
      <c r="D3277" s="6" t="str">
        <f>_xlfn.XLOOKUP(B3277,Indices!$A$2:$A$2676,Indices!$B$2:$B$2676,"")</f>
        <v/>
      </c>
    </row>
    <row r="3278" spans="1:4" x14ac:dyDescent="0.25">
      <c r="A3278" s="379">
        <v>45832.291666666664</v>
      </c>
      <c r="B3278" s="382" t="s">
        <v>4642</v>
      </c>
      <c r="C3278" s="377" t="s">
        <v>4636</v>
      </c>
      <c r="D3278" s="6" t="str">
        <f>_xlfn.XLOOKUP(B3278,Indices!$A$2:$A$2676,Indices!$B$2:$B$2676,"")</f>
        <v/>
      </c>
    </row>
    <row r="3279" spans="1:4" x14ac:dyDescent="0.25">
      <c r="A3279" s="379">
        <v>45832.291666666664</v>
      </c>
      <c r="B3279" s="382" t="s">
        <v>2790</v>
      </c>
      <c r="C3279" s="377" t="s">
        <v>4636</v>
      </c>
      <c r="D3279" s="6" t="str">
        <f>_xlfn.XLOOKUP(B3279,Indices!$A$2:$A$2676,Indices!$B$2:$B$2676,"")</f>
        <v/>
      </c>
    </row>
    <row r="3280" spans="1:4" x14ac:dyDescent="0.25">
      <c r="A3280" s="379">
        <v>45832.291666666664</v>
      </c>
      <c r="B3280" s="382" t="s">
        <v>2161</v>
      </c>
      <c r="C3280" s="377" t="s">
        <v>4636</v>
      </c>
      <c r="D3280" s="6" t="str">
        <f>_xlfn.XLOOKUP(B3280,Indices!$A$2:$A$2676,Indices!$B$2:$B$2676,"")</f>
        <v>IWM</v>
      </c>
    </row>
    <row r="3281" spans="1:4" x14ac:dyDescent="0.25">
      <c r="A3281" s="379">
        <v>45832.291666666664</v>
      </c>
      <c r="B3281" s="382" t="s">
        <v>1456</v>
      </c>
      <c r="C3281" s="377" t="s">
        <v>4636</v>
      </c>
      <c r="D3281" s="6" t="str">
        <f>_xlfn.XLOOKUP(B3281,Indices!$A$2:$A$2676,Indices!$B$2:$B$2676,"")</f>
        <v>SP500</v>
      </c>
    </row>
    <row r="3282" spans="1:4" x14ac:dyDescent="0.25">
      <c r="A3282" s="379">
        <v>45832.291666666664</v>
      </c>
      <c r="B3282" s="382" t="s">
        <v>2416</v>
      </c>
      <c r="C3282" s="377" t="s">
        <v>4636</v>
      </c>
      <c r="D3282" s="6" t="str">
        <f>_xlfn.XLOOKUP(B3282,Indices!$A$2:$A$2676,Indices!$B$2:$B$2676,"")</f>
        <v>S&amp;P Mid</v>
      </c>
    </row>
    <row r="3283" spans="1:4" x14ac:dyDescent="0.25">
      <c r="A3283" s="379">
        <v>45832.625</v>
      </c>
      <c r="B3283" s="382" t="s">
        <v>1031</v>
      </c>
      <c r="C3283" s="377" t="s">
        <v>4638</v>
      </c>
      <c r="D3283" s="6" t="str">
        <f>_xlfn.XLOOKUP(B3283,Indices!$A$2:$A$2676,Indices!$B$2:$B$2676,"")</f>
        <v>IWM</v>
      </c>
    </row>
    <row r="3284" spans="1:4" x14ac:dyDescent="0.25">
      <c r="A3284" s="379">
        <v>45832.625</v>
      </c>
      <c r="B3284" s="382" t="s">
        <v>1966</v>
      </c>
      <c r="C3284" s="377" t="s">
        <v>4638</v>
      </c>
      <c r="D3284" s="6" t="str">
        <f>_xlfn.XLOOKUP(B3284,Indices!$A$2:$A$2676,Indices!$B$2:$B$2676,"")</f>
        <v>IWM</v>
      </c>
    </row>
    <row r="3285" spans="1:4" x14ac:dyDescent="0.25">
      <c r="A3285" s="379">
        <v>45832.625</v>
      </c>
      <c r="B3285" s="382" t="s">
        <v>1370</v>
      </c>
      <c r="C3285" s="377" t="s">
        <v>4638</v>
      </c>
      <c r="D3285" s="6" t="str">
        <f>_xlfn.XLOOKUP(B3285,Indices!$A$2:$A$2676,Indices!$B$2:$B$2676,"")</f>
        <v>SP500</v>
      </c>
    </row>
    <row r="3286" spans="1:4" x14ac:dyDescent="0.25">
      <c r="A3286" s="379">
        <v>45832.625</v>
      </c>
      <c r="B3286" s="382" t="s">
        <v>4637</v>
      </c>
      <c r="C3286" s="377" t="s">
        <v>4638</v>
      </c>
      <c r="D3286" s="6" t="str">
        <f>_xlfn.XLOOKUP(B3286,Indices!$A$2:$A$2676,Indices!$B$2:$B$2676,"")</f>
        <v/>
      </c>
    </row>
    <row r="3287" spans="1:4" x14ac:dyDescent="0.25">
      <c r="A3287" s="379">
        <v>45832.625</v>
      </c>
      <c r="B3287" s="382" t="s">
        <v>1205</v>
      </c>
      <c r="C3287" s="377" t="s">
        <v>4638</v>
      </c>
      <c r="D3287" s="6" t="str">
        <f>_xlfn.XLOOKUP(B3287,Indices!$A$2:$A$2676,Indices!$B$2:$B$2676,"")</f>
        <v>IWM</v>
      </c>
    </row>
    <row r="3288" spans="1:4" x14ac:dyDescent="0.25">
      <c r="A3288" s="379">
        <v>45833.291666666664</v>
      </c>
      <c r="B3288" s="382" t="s">
        <v>1894</v>
      </c>
      <c r="C3288" s="377" t="s">
        <v>4641</v>
      </c>
      <c r="D3288" s="6" t="str">
        <f>_xlfn.XLOOKUP(B3288,Indices!$A$2:$A$2676,Indices!$B$2:$B$2676,"")</f>
        <v>IWM</v>
      </c>
    </row>
    <row r="3289" spans="1:4" x14ac:dyDescent="0.25">
      <c r="A3289" s="379">
        <v>45833.291666666664</v>
      </c>
      <c r="B3289" s="382" t="s">
        <v>1186</v>
      </c>
      <c r="C3289" s="377" t="s">
        <v>4641</v>
      </c>
      <c r="D3289" s="6" t="str">
        <f>_xlfn.XLOOKUP(B3289,Indices!$A$2:$A$2676,Indices!$B$2:$B$2676,"")</f>
        <v>IWM</v>
      </c>
    </row>
    <row r="3290" spans="1:4" x14ac:dyDescent="0.25">
      <c r="A3290" s="379">
        <v>45833.291666666664</v>
      </c>
      <c r="B3290" s="382" t="s">
        <v>1445</v>
      </c>
      <c r="C3290" s="377" t="s">
        <v>4641</v>
      </c>
      <c r="D3290" s="6" t="str">
        <f>_xlfn.XLOOKUP(B3290,Indices!$A$2:$A$2676,Indices!$B$2:$B$2676,"")</f>
        <v>SP500</v>
      </c>
    </row>
    <row r="3291" spans="1:4" x14ac:dyDescent="0.25">
      <c r="A3291" s="379">
        <v>45833.625</v>
      </c>
      <c r="B3291" s="382" t="s">
        <v>1335</v>
      </c>
      <c r="C3291" s="377" t="s">
        <v>4644</v>
      </c>
      <c r="D3291" s="6" t="str">
        <f>_xlfn.XLOOKUP(B3291,Indices!$A$2:$A$2676,Indices!$B$2:$B$2676,"")</f>
        <v>SP500</v>
      </c>
    </row>
    <row r="3292" spans="1:4" x14ac:dyDescent="0.25">
      <c r="A3292" s="379">
        <v>45833.625</v>
      </c>
      <c r="B3292" s="382" t="s">
        <v>4645</v>
      </c>
      <c r="C3292" s="377" t="s">
        <v>4644</v>
      </c>
      <c r="D3292" s="6" t="str">
        <f>_xlfn.XLOOKUP(B3292,Indices!$A$2:$A$2676,Indices!$B$2:$B$2676,"")</f>
        <v/>
      </c>
    </row>
    <row r="3293" spans="1:4" x14ac:dyDescent="0.25">
      <c r="A3293" s="379">
        <v>45833.625</v>
      </c>
      <c r="B3293" s="382" t="s">
        <v>2378</v>
      </c>
      <c r="C3293" s="377" t="s">
        <v>4644</v>
      </c>
      <c r="D3293" s="6" t="str">
        <f>_xlfn.XLOOKUP(B3293,Indices!$A$2:$A$2676,Indices!$B$2:$B$2676,"")</f>
        <v>S&amp;P Mid</v>
      </c>
    </row>
    <row r="3294" spans="1:4" x14ac:dyDescent="0.25">
      <c r="A3294" s="379">
        <v>45833.625</v>
      </c>
      <c r="B3294" s="382" t="s">
        <v>4646</v>
      </c>
      <c r="C3294" s="377" t="s">
        <v>4644</v>
      </c>
      <c r="D3294" s="6" t="str">
        <f>_xlfn.XLOOKUP(B3294,Indices!$A$2:$A$2676,Indices!$B$2:$B$2676,"")</f>
        <v/>
      </c>
    </row>
    <row r="3295" spans="1:4" x14ac:dyDescent="0.25">
      <c r="A3295" s="379">
        <v>45833.625</v>
      </c>
      <c r="B3295" s="382" t="s">
        <v>1932</v>
      </c>
      <c r="C3295" s="377" t="s">
        <v>4644</v>
      </c>
      <c r="D3295" s="6" t="str">
        <f>_xlfn.XLOOKUP(B3295,Indices!$A$2:$A$2676,Indices!$B$2:$B$2676,"")</f>
        <v>IWM</v>
      </c>
    </row>
    <row r="3296" spans="1:4" x14ac:dyDescent="0.25">
      <c r="A3296" s="379">
        <v>45833.625</v>
      </c>
      <c r="B3296" s="382" t="s">
        <v>5502</v>
      </c>
      <c r="C3296" s="377" t="s">
        <v>4644</v>
      </c>
      <c r="D3296" s="6" t="str">
        <f>_xlfn.XLOOKUP(B3296,Indices!$A$2:$A$2676,Indices!$B$2:$B$2676,"")</f>
        <v/>
      </c>
    </row>
    <row r="3297" spans="1:4" x14ac:dyDescent="0.25">
      <c r="A3297" s="379">
        <v>45833.625</v>
      </c>
      <c r="B3297" s="382" t="s">
        <v>1895</v>
      </c>
      <c r="C3297" s="377" t="s">
        <v>4644</v>
      </c>
      <c r="D3297" s="6" t="str">
        <f>_xlfn.XLOOKUP(B3297,Indices!$A$2:$A$2676,Indices!$B$2:$B$2676,"")</f>
        <v>IWM</v>
      </c>
    </row>
    <row r="3298" spans="1:4" x14ac:dyDescent="0.25">
      <c r="A3298" s="379">
        <v>45833.625</v>
      </c>
      <c r="B3298" s="382" t="s">
        <v>1961</v>
      </c>
      <c r="C3298" s="377" t="s">
        <v>4644</v>
      </c>
      <c r="D3298" s="6" t="str">
        <f>_xlfn.XLOOKUP(B3298,Indices!$A$2:$A$2676,Indices!$B$2:$B$2676,"")</f>
        <v>IWM</v>
      </c>
    </row>
    <row r="3299" spans="1:4" x14ac:dyDescent="0.25">
      <c r="A3299" s="379">
        <v>45833.625</v>
      </c>
      <c r="B3299" s="382" t="s">
        <v>4643</v>
      </c>
      <c r="C3299" s="377" t="s">
        <v>4644</v>
      </c>
      <c r="D3299" s="6" t="str">
        <f>_xlfn.XLOOKUP(B3299,Indices!$A$2:$A$2676,Indices!$B$2:$B$2676,"")</f>
        <v/>
      </c>
    </row>
    <row r="3300" spans="1:4" x14ac:dyDescent="0.25">
      <c r="A3300" s="379">
        <v>45833.625</v>
      </c>
      <c r="B3300" s="382" t="s">
        <v>1712</v>
      </c>
      <c r="C3300" s="377" t="s">
        <v>4644</v>
      </c>
      <c r="D3300" s="6" t="str">
        <f>_xlfn.XLOOKUP(B3300,Indices!$A$2:$A$2676,Indices!$B$2:$B$2676,"")</f>
        <v>IWM</v>
      </c>
    </row>
    <row r="3301" spans="1:4" x14ac:dyDescent="0.25">
      <c r="A3301" s="379">
        <v>45834.291666666664</v>
      </c>
      <c r="B3301" s="382" t="s">
        <v>1516</v>
      </c>
      <c r="C3301" s="377" t="s">
        <v>4647</v>
      </c>
      <c r="D3301" s="6" t="str">
        <f>_xlfn.XLOOKUP(B3301,Indices!$A$2:$A$2676,Indices!$B$2:$B$2676,"")</f>
        <v>SP500</v>
      </c>
    </row>
    <row r="3302" spans="1:4" x14ac:dyDescent="0.25">
      <c r="A3302" s="379">
        <v>45834.291666666664</v>
      </c>
      <c r="B3302" s="382" t="s">
        <v>4648</v>
      </c>
      <c r="C3302" s="377" t="s">
        <v>4649</v>
      </c>
      <c r="D3302" s="6" t="str">
        <f>_xlfn.XLOOKUP(B3302,Indices!$A$2:$A$2676,Indices!$B$2:$B$2676,"")</f>
        <v/>
      </c>
    </row>
    <row r="3303" spans="1:4" x14ac:dyDescent="0.25">
      <c r="A3303" s="379">
        <v>45834.291666666664</v>
      </c>
      <c r="B3303" s="382" t="s">
        <v>4330</v>
      </c>
      <c r="C3303" s="377" t="s">
        <v>4647</v>
      </c>
      <c r="D3303" s="6" t="str">
        <f>_xlfn.XLOOKUP(B3303,Indices!$A$2:$A$2676,Indices!$B$2:$B$2676,"")</f>
        <v/>
      </c>
    </row>
    <row r="3304" spans="1:4" x14ac:dyDescent="0.25">
      <c r="A3304" s="379">
        <v>45834.291666666664</v>
      </c>
      <c r="B3304" s="382" t="s">
        <v>2333</v>
      </c>
      <c r="C3304" s="377" t="s">
        <v>4647</v>
      </c>
      <c r="D3304" s="6" t="str">
        <f>_xlfn.XLOOKUP(B3304,Indices!$A$2:$A$2676,Indices!$B$2:$B$2676,"")</f>
        <v>S&amp;P Mid</v>
      </c>
    </row>
    <row r="3305" spans="1:4" x14ac:dyDescent="0.25">
      <c r="A3305" s="379">
        <v>45834.291666666664</v>
      </c>
      <c r="B3305" s="382" t="s">
        <v>4384</v>
      </c>
      <c r="C3305" s="377" t="s">
        <v>4647</v>
      </c>
      <c r="D3305" s="6" t="str">
        <f>_xlfn.XLOOKUP(B3305,Indices!$A$2:$A$2676,Indices!$B$2:$B$2676,"")</f>
        <v/>
      </c>
    </row>
    <row r="3306" spans="1:4" x14ac:dyDescent="0.25">
      <c r="A3306" s="379">
        <v>45834.291666666664</v>
      </c>
      <c r="B3306" s="382" t="s">
        <v>1598</v>
      </c>
      <c r="C3306" s="377" t="s">
        <v>4647</v>
      </c>
      <c r="D3306" s="6" t="str">
        <f>_xlfn.XLOOKUP(B3306,Indices!$A$2:$A$2676,Indices!$B$2:$B$2676,"")</f>
        <v>SP500</v>
      </c>
    </row>
    <row r="3307" spans="1:4" x14ac:dyDescent="0.25">
      <c r="A3307" s="379">
        <v>45834.291666666664</v>
      </c>
      <c r="B3307" s="382" t="s">
        <v>1736</v>
      </c>
      <c r="C3307" s="377" t="s">
        <v>4647</v>
      </c>
      <c r="D3307" s="6" t="str">
        <f>_xlfn.XLOOKUP(B3307,Indices!$A$2:$A$2676,Indices!$B$2:$B$2676,"")</f>
        <v>IWM</v>
      </c>
    </row>
    <row r="3308" spans="1:4" x14ac:dyDescent="0.25">
      <c r="A3308" s="379">
        <v>45834.291666666664</v>
      </c>
      <c r="B3308" s="382" t="s">
        <v>1945</v>
      </c>
      <c r="C3308" s="377" t="s">
        <v>4647</v>
      </c>
      <c r="D3308" s="6" t="str">
        <f>_xlfn.XLOOKUP(B3308,Indices!$A$2:$A$2676,Indices!$B$2:$B$2676,"")</f>
        <v>IWM</v>
      </c>
    </row>
    <row r="3309" spans="1:4" x14ac:dyDescent="0.25">
      <c r="A3309" s="379">
        <v>45834.291666666664</v>
      </c>
      <c r="B3309" s="382" t="s">
        <v>1402</v>
      </c>
      <c r="C3309" s="377" t="s">
        <v>4647</v>
      </c>
      <c r="D3309" s="6" t="str">
        <f>_xlfn.XLOOKUP(B3309,Indices!$A$2:$A$2676,Indices!$B$2:$B$2676,"")</f>
        <v>SP500</v>
      </c>
    </row>
    <row r="3310" spans="1:4" x14ac:dyDescent="0.25">
      <c r="A3310" s="379">
        <v>45834.625</v>
      </c>
      <c r="B3310" s="382" t="s">
        <v>1225</v>
      </c>
      <c r="C3310" s="377" t="s">
        <v>4653</v>
      </c>
      <c r="D3310" s="6" t="str">
        <f>_xlfn.XLOOKUP(B3310,Indices!$A$2:$A$2676,Indices!$B$2:$B$2676,"")</f>
        <v>IWM</v>
      </c>
    </row>
    <row r="3311" spans="1:4" x14ac:dyDescent="0.25">
      <c r="A3311" s="379">
        <v>45834.625</v>
      </c>
      <c r="B3311" s="382" t="s">
        <v>4652</v>
      </c>
      <c r="C3311" s="377" t="s">
        <v>4653</v>
      </c>
      <c r="D3311" s="6" t="str">
        <f>_xlfn.XLOOKUP(B3311,Indices!$A$2:$A$2676,Indices!$B$2:$B$2676,"")</f>
        <v/>
      </c>
    </row>
    <row r="3312" spans="1:4" x14ac:dyDescent="0.25">
      <c r="A3312" s="379">
        <v>45834.625</v>
      </c>
      <c r="B3312" s="382" t="s">
        <v>2502</v>
      </c>
      <c r="C3312" s="377" t="s">
        <v>4653</v>
      </c>
      <c r="D3312" s="6" t="str">
        <f>_xlfn.XLOOKUP(B3312,Indices!$A$2:$A$2676,Indices!$B$2:$B$2676,"")</f>
        <v>S&amp;P Mid</v>
      </c>
    </row>
    <row r="3313" spans="1:4" x14ac:dyDescent="0.25">
      <c r="A3313" s="379">
        <v>45834.625</v>
      </c>
      <c r="B3313" s="382" t="s">
        <v>1804</v>
      </c>
      <c r="C3313" s="377" t="s">
        <v>4653</v>
      </c>
      <c r="D3313" s="6" t="str">
        <f>_xlfn.XLOOKUP(B3313,Indices!$A$2:$A$2676,Indices!$B$2:$B$2676,"")</f>
        <v>IWM</v>
      </c>
    </row>
    <row r="3314" spans="1:4" x14ac:dyDescent="0.25">
      <c r="A3314" s="379">
        <v>45834.625</v>
      </c>
      <c r="B3314" s="382" t="s">
        <v>4656</v>
      </c>
      <c r="C3314" s="377" t="s">
        <v>4653</v>
      </c>
      <c r="D3314" s="6" t="str">
        <f>_xlfn.XLOOKUP(B3314,Indices!$A$2:$A$2676,Indices!$B$2:$B$2676,"")</f>
        <v/>
      </c>
    </row>
    <row r="3315" spans="1:4" x14ac:dyDescent="0.25">
      <c r="A3315" s="379">
        <v>45834.625</v>
      </c>
      <c r="B3315" s="382" t="s">
        <v>4657</v>
      </c>
      <c r="C3315" s="377" t="s">
        <v>4653</v>
      </c>
      <c r="D3315" s="6" t="str">
        <f>_xlfn.XLOOKUP(B3315,Indices!$A$2:$A$2676,Indices!$B$2:$B$2676,"")</f>
        <v/>
      </c>
    </row>
    <row r="3316" spans="1:4" x14ac:dyDescent="0.25">
      <c r="A3316" s="379">
        <v>45834.625</v>
      </c>
      <c r="B3316" s="382" t="s">
        <v>4654</v>
      </c>
      <c r="C3316" s="377" t="s">
        <v>4653</v>
      </c>
      <c r="D3316" s="6" t="str">
        <f>_xlfn.XLOOKUP(B3316,Indices!$A$2:$A$2676,Indices!$B$2:$B$2676,"")</f>
        <v/>
      </c>
    </row>
    <row r="3317" spans="1:4" x14ac:dyDescent="0.25">
      <c r="A3317" s="379">
        <v>45834.625</v>
      </c>
      <c r="B3317" s="382" t="s">
        <v>4655</v>
      </c>
      <c r="C3317" s="377" t="s">
        <v>4653</v>
      </c>
      <c r="D3317" s="6" t="str">
        <f>_xlfn.XLOOKUP(B3317,Indices!$A$2:$A$2676,Indices!$B$2:$B$2676,"")</f>
        <v/>
      </c>
    </row>
    <row r="3318" spans="1:4" x14ac:dyDescent="0.25">
      <c r="A3318" s="379">
        <v>45834.625</v>
      </c>
      <c r="B3318" s="382" t="s">
        <v>1334</v>
      </c>
      <c r="C3318" s="377" t="s">
        <v>4653</v>
      </c>
      <c r="D3318" s="6" t="str">
        <f>_xlfn.XLOOKUP(B3318,Indices!$A$2:$A$2676,Indices!$B$2:$B$2676,"")</f>
        <v>SP500</v>
      </c>
    </row>
    <row r="3319" spans="1:4" x14ac:dyDescent="0.25">
      <c r="A3319" s="379">
        <v>45835.291666666664</v>
      </c>
      <c r="B3319" s="382" t="s">
        <v>1877</v>
      </c>
      <c r="C3319" s="377" t="s">
        <v>4658</v>
      </c>
      <c r="D3319" s="6" t="str">
        <f>_xlfn.XLOOKUP(B3319,Indices!$A$2:$A$2676,Indices!$B$2:$B$2676,"")</f>
        <v>IWM</v>
      </c>
    </row>
    <row r="3320" spans="1:4" x14ac:dyDescent="0.25">
      <c r="A3320" s="379">
        <v>45835.291666666664</v>
      </c>
      <c r="B3320" s="382" t="s">
        <v>4659</v>
      </c>
      <c r="C3320" s="377" t="s">
        <v>4658</v>
      </c>
      <c r="D3320" s="6" t="str">
        <f>_xlfn.XLOOKUP(B3320,Indices!$A$2:$A$2676,Indices!$B$2:$B$2676,"")</f>
        <v/>
      </c>
    </row>
    <row r="3321" spans="1:4" x14ac:dyDescent="0.25">
      <c r="A3321" s="379">
        <v>45835.458333333336</v>
      </c>
      <c r="B3321" s="382" t="s">
        <v>4660</v>
      </c>
      <c r="C3321" s="377" t="s">
        <v>4661</v>
      </c>
      <c r="D3321" s="6" t="str">
        <f>_xlfn.XLOOKUP(B3321,Indices!$A$2:$A$2676,Indices!$B$2:$B$2676,"")</f>
        <v/>
      </c>
    </row>
    <row r="3322" spans="1:4" x14ac:dyDescent="0.25">
      <c r="A3322" s="379">
        <v>45835.625</v>
      </c>
      <c r="B3322" s="382" t="s">
        <v>4662</v>
      </c>
      <c r="C3322" s="377" t="s">
        <v>4663</v>
      </c>
      <c r="D3322" s="6" t="str">
        <f>_xlfn.XLOOKUP(B3322,Indices!$A$2:$A$2676,Indices!$B$2:$B$2676,"")</f>
        <v/>
      </c>
    </row>
    <row r="3323" spans="1:4" x14ac:dyDescent="0.25">
      <c r="A3323" s="379">
        <v>45838.291666666664</v>
      </c>
      <c r="B3323" s="382" t="s">
        <v>4664</v>
      </c>
      <c r="C3323" s="377" t="s">
        <v>4665</v>
      </c>
      <c r="D3323" s="6" t="str">
        <f>_xlfn.XLOOKUP(B3323,Indices!$A$2:$A$2676,Indices!$B$2:$B$2676,"")</f>
        <v/>
      </c>
    </row>
    <row r="3324" spans="1:4" x14ac:dyDescent="0.25">
      <c r="A3324" s="379">
        <v>45838.625</v>
      </c>
      <c r="B3324" s="382" t="s">
        <v>4667</v>
      </c>
      <c r="C3324" s="377" t="s">
        <v>4668</v>
      </c>
      <c r="D3324" s="6" t="str">
        <f>_xlfn.XLOOKUP(B3324,Indices!$A$2:$A$2676,Indices!$B$2:$B$2676,"")</f>
        <v/>
      </c>
    </row>
    <row r="3325" spans="1:4" x14ac:dyDescent="0.25">
      <c r="A3325" s="379">
        <v>45838.625</v>
      </c>
      <c r="B3325" s="382" t="s">
        <v>4669</v>
      </c>
      <c r="C3325" s="377" t="s">
        <v>4668</v>
      </c>
      <c r="D3325" s="6" t="str">
        <f>_xlfn.XLOOKUP(B3325,Indices!$A$2:$A$2676,Indices!$B$2:$B$2676,"")</f>
        <v/>
      </c>
    </row>
    <row r="3326" spans="1:4" x14ac:dyDescent="0.25">
      <c r="A3326" s="379">
        <v>45838.625</v>
      </c>
      <c r="B3326" s="382" t="s">
        <v>4670</v>
      </c>
      <c r="C3326" s="377" t="s">
        <v>4668</v>
      </c>
      <c r="D3326" s="6" t="str">
        <f>_xlfn.XLOOKUP(B3326,Indices!$A$2:$A$2676,Indices!$B$2:$B$2676,"")</f>
        <v/>
      </c>
    </row>
    <row r="3327" spans="1:4" x14ac:dyDescent="0.25">
      <c r="A3327" s="379"/>
      <c r="B3327" s="382"/>
      <c r="C3327" s="377"/>
      <c r="D3327" s="6" t="str">
        <f>_xlfn.XLOOKUP(B3327,Indices!$A$2:$A$2676,Indices!$B$2:$B$2676,"")</f>
        <v/>
      </c>
    </row>
    <row r="3328" spans="1:4" x14ac:dyDescent="0.25">
      <c r="A3328" s="379"/>
      <c r="B3328" s="382"/>
      <c r="C3328" s="377"/>
      <c r="D3328" s="6" t="str">
        <f>_xlfn.XLOOKUP(B3328,Indices!$A$2:$A$2676,Indices!$B$2:$B$2676,"")</f>
        <v/>
      </c>
    </row>
    <row r="3329" spans="1:4" x14ac:dyDescent="0.25">
      <c r="A3329" s="379"/>
      <c r="B3329" s="382"/>
      <c r="C3329" s="377"/>
      <c r="D3329" s="6" t="str">
        <f>_xlfn.XLOOKUP(B3329,Indices!$A$2:$A$2676,Indices!$B$2:$B$2676,"")</f>
        <v/>
      </c>
    </row>
    <row r="3330" spans="1:4" x14ac:dyDescent="0.25">
      <c r="A3330" s="379"/>
      <c r="B3330" s="382"/>
      <c r="C3330" s="377"/>
      <c r="D3330" s="6" t="str">
        <f>_xlfn.XLOOKUP(B3330,Indices!$A$2:$A$2676,Indices!$B$2:$B$2676,"")</f>
        <v/>
      </c>
    </row>
    <row r="3331" spans="1:4" x14ac:dyDescent="0.25">
      <c r="A3331" s="379"/>
      <c r="B3331" s="382"/>
      <c r="C3331" s="377"/>
      <c r="D3331" s="6" t="str">
        <f>_xlfn.XLOOKUP(B3331,Indices!$A$2:$A$2676,Indices!$B$2:$B$2676,"")</f>
        <v/>
      </c>
    </row>
    <row r="3332" spans="1:4" x14ac:dyDescent="0.25">
      <c r="A3332" s="379"/>
      <c r="B3332" s="382"/>
      <c r="C3332" s="377"/>
      <c r="D3332" s="6" t="str">
        <f>_xlfn.XLOOKUP(B3332,Indices!$A$2:$A$2676,Indices!$B$2:$B$2676,"")</f>
        <v/>
      </c>
    </row>
    <row r="3333" spans="1:4" x14ac:dyDescent="0.25">
      <c r="A3333" s="379"/>
      <c r="B3333" s="382"/>
      <c r="C3333" s="377"/>
      <c r="D3333" s="6" t="str">
        <f>_xlfn.XLOOKUP(B3333,Indices!$A$2:$A$2676,Indices!$B$2:$B$2676,"")</f>
        <v/>
      </c>
    </row>
    <row r="3334" spans="1:4" x14ac:dyDescent="0.25">
      <c r="A3334" s="379"/>
      <c r="B3334" s="382"/>
      <c r="C3334" s="377"/>
      <c r="D3334" s="6" t="str">
        <f>_xlfn.XLOOKUP(B3334,Indices!$A$2:$A$2676,Indices!$B$2:$B$2676,"")</f>
        <v/>
      </c>
    </row>
    <row r="3335" spans="1:4" x14ac:dyDescent="0.25">
      <c r="A3335" s="379"/>
      <c r="B3335" s="382"/>
      <c r="C3335" s="377"/>
      <c r="D3335" s="6" t="str">
        <f>_xlfn.XLOOKUP(B3335,Indices!$A$2:$A$2676,Indices!$B$2:$B$2676,"")</f>
        <v/>
      </c>
    </row>
    <row r="3336" spans="1:4" x14ac:dyDescent="0.25">
      <c r="A3336" s="379"/>
      <c r="B3336" s="382"/>
      <c r="C3336" s="377"/>
      <c r="D3336" s="6" t="str">
        <f>_xlfn.XLOOKUP(B3336,Indices!$A$2:$A$2676,Indices!$B$2:$B$2676,"")</f>
        <v/>
      </c>
    </row>
    <row r="3337" spans="1:4" x14ac:dyDescent="0.25">
      <c r="A3337" s="379"/>
      <c r="B3337" s="382"/>
      <c r="C3337" s="377"/>
      <c r="D3337" s="6" t="str">
        <f>_xlfn.XLOOKUP(B3337,Indices!$A$2:$A$2676,Indices!$B$2:$B$2676,"")</f>
        <v/>
      </c>
    </row>
    <row r="3338" spans="1:4" x14ac:dyDescent="0.25">
      <c r="A3338" s="379"/>
      <c r="B3338" s="382"/>
      <c r="C3338" s="377"/>
      <c r="D3338" s="6" t="str">
        <f>_xlfn.XLOOKUP(B3338,Indices!$A$2:$A$2676,Indices!$B$2:$B$2676,"")</f>
        <v/>
      </c>
    </row>
    <row r="3339" spans="1:4" x14ac:dyDescent="0.25">
      <c r="A3339" s="379"/>
      <c r="B3339" s="382"/>
      <c r="C3339" s="377"/>
      <c r="D3339" s="6" t="str">
        <f>_xlfn.XLOOKUP(B3339,Indices!$A$2:$A$2676,Indices!$B$2:$B$2676,"")</f>
        <v/>
      </c>
    </row>
    <row r="3340" spans="1:4" x14ac:dyDescent="0.25">
      <c r="A3340" s="379"/>
      <c r="B3340" s="382"/>
      <c r="C3340" s="377"/>
      <c r="D3340" s="6" t="str">
        <f>_xlfn.XLOOKUP(B3340,Indices!$A$2:$A$2676,Indices!$B$2:$B$2676,"")</f>
        <v/>
      </c>
    </row>
    <row r="3341" spans="1:4" x14ac:dyDescent="0.25">
      <c r="A3341" s="379"/>
      <c r="B3341" s="382"/>
      <c r="C3341" s="377"/>
      <c r="D3341" s="6" t="str">
        <f>_xlfn.XLOOKUP(B3341,Indices!$A$2:$A$2676,Indices!$B$2:$B$2676,"")</f>
        <v/>
      </c>
    </row>
    <row r="3342" spans="1:4" x14ac:dyDescent="0.25">
      <c r="A3342" s="379"/>
      <c r="B3342" s="382"/>
      <c r="C3342" s="377"/>
      <c r="D3342" s="6" t="str">
        <f>_xlfn.XLOOKUP(B3342,Indices!$A$2:$A$2676,Indices!$B$2:$B$2676,"")</f>
        <v/>
      </c>
    </row>
    <row r="3343" spans="1:4" x14ac:dyDescent="0.25">
      <c r="A3343" s="379"/>
      <c r="B3343" s="382"/>
      <c r="C3343" s="377"/>
      <c r="D3343" s="6" t="str">
        <f>_xlfn.XLOOKUP(B3343,Indices!$A$2:$A$2676,Indices!$B$2:$B$2676,"")</f>
        <v/>
      </c>
    </row>
    <row r="3344" spans="1:4" x14ac:dyDescent="0.25">
      <c r="A3344" s="379"/>
      <c r="B3344" s="382"/>
      <c r="C3344" s="377"/>
      <c r="D3344" s="6" t="str">
        <f>_xlfn.XLOOKUP(B3344,Indices!$A$2:$A$2676,Indices!$B$2:$B$2676,"")</f>
        <v/>
      </c>
    </row>
    <row r="3345" spans="1:4" x14ac:dyDescent="0.25">
      <c r="A3345" s="379"/>
      <c r="B3345" s="382"/>
      <c r="C3345" s="377"/>
      <c r="D3345" s="6" t="str">
        <f>_xlfn.XLOOKUP(B3345,Indices!$A$2:$A$2676,Indices!$B$2:$B$2676,"")</f>
        <v/>
      </c>
    </row>
    <row r="3346" spans="1:4" x14ac:dyDescent="0.25">
      <c r="A3346" s="379"/>
      <c r="B3346" s="382"/>
      <c r="C3346" s="377"/>
      <c r="D3346" s="6" t="str">
        <f>_xlfn.XLOOKUP(B3346,Indices!$A$2:$A$2676,Indices!$B$2:$B$2676,"")</f>
        <v/>
      </c>
    </row>
    <row r="3347" spans="1:4" x14ac:dyDescent="0.25">
      <c r="A3347" s="379"/>
      <c r="B3347" s="382"/>
      <c r="C3347" s="377"/>
      <c r="D3347" s="6" t="str">
        <f>_xlfn.XLOOKUP(B3347,Indices!$A$2:$A$2676,Indices!$B$2:$B$2676,"")</f>
        <v/>
      </c>
    </row>
    <row r="3348" spans="1:4" x14ac:dyDescent="0.25">
      <c r="A3348" s="379"/>
      <c r="B3348" s="382"/>
      <c r="C3348" s="377"/>
      <c r="D3348" s="6" t="str">
        <f>_xlfn.XLOOKUP(B3348,Indices!$A$2:$A$2676,Indices!$B$2:$B$2676,"")</f>
        <v/>
      </c>
    </row>
    <row r="3349" spans="1:4" x14ac:dyDescent="0.25">
      <c r="A3349" s="379"/>
      <c r="B3349" s="382"/>
      <c r="C3349" s="377"/>
      <c r="D3349" s="6" t="str">
        <f>_xlfn.XLOOKUP(B3349,Indices!$A$2:$A$2676,Indices!$B$2:$B$2676,"")</f>
        <v/>
      </c>
    </row>
    <row r="3350" spans="1:4" x14ac:dyDescent="0.25">
      <c r="A3350" s="379"/>
      <c r="B3350" s="382"/>
      <c r="C3350" s="377"/>
      <c r="D3350" s="6" t="str">
        <f>_xlfn.XLOOKUP(B3350,Indices!$A$2:$A$2676,Indices!$B$2:$B$2676,"")</f>
        <v/>
      </c>
    </row>
    <row r="3351" spans="1:4" x14ac:dyDescent="0.25">
      <c r="A3351" s="379"/>
      <c r="B3351" s="382"/>
      <c r="C3351" s="377"/>
      <c r="D3351" s="6" t="str">
        <f>_xlfn.XLOOKUP(B3351,Indices!$A$2:$A$2676,Indices!$B$2:$B$2676,"")</f>
        <v/>
      </c>
    </row>
    <row r="3352" spans="1:4" x14ac:dyDescent="0.25">
      <c r="A3352" s="379"/>
      <c r="B3352" s="382"/>
      <c r="C3352" s="377"/>
      <c r="D3352" s="6" t="str">
        <f>_xlfn.XLOOKUP(B3352,Indices!$A$2:$A$2676,Indices!$B$2:$B$2676,"")</f>
        <v/>
      </c>
    </row>
    <row r="3353" spans="1:4" x14ac:dyDescent="0.25">
      <c r="A3353" s="379"/>
      <c r="B3353" s="382"/>
      <c r="C3353" s="377"/>
      <c r="D3353" s="6" t="str">
        <f>_xlfn.XLOOKUP(B3353,Indices!$A$2:$A$2676,Indices!$B$2:$B$2676,"")</f>
        <v/>
      </c>
    </row>
    <row r="3354" spans="1:4" x14ac:dyDescent="0.25">
      <c r="A3354" s="379"/>
      <c r="B3354" s="382"/>
      <c r="C3354" s="377"/>
      <c r="D3354" s="6" t="str">
        <f>_xlfn.XLOOKUP(B3354,Indices!$A$2:$A$2676,Indices!$B$2:$B$2676,"")</f>
        <v/>
      </c>
    </row>
    <row r="3355" spans="1:4" x14ac:dyDescent="0.25">
      <c r="A3355" s="379"/>
      <c r="B3355" s="382"/>
      <c r="C3355" s="377"/>
      <c r="D3355" s="6" t="str">
        <f>_xlfn.XLOOKUP(B3355,Indices!$A$2:$A$2676,Indices!$B$2:$B$2676,"")</f>
        <v/>
      </c>
    </row>
    <row r="3356" spans="1:4" x14ac:dyDescent="0.25">
      <c r="A3356" s="379"/>
      <c r="B3356" s="382"/>
      <c r="C3356" s="377"/>
      <c r="D3356" s="6" t="str">
        <f>_xlfn.XLOOKUP(B3356,Indices!$A$2:$A$2676,Indices!$B$2:$B$2676,"")</f>
        <v/>
      </c>
    </row>
    <row r="3357" spans="1:4" x14ac:dyDescent="0.25">
      <c r="A3357" s="379"/>
      <c r="B3357" s="382"/>
      <c r="C3357" s="377"/>
      <c r="D3357" s="6" t="str">
        <f>_xlfn.XLOOKUP(B3357,Indices!$A$2:$A$2676,Indices!$B$2:$B$2676,"")</f>
        <v/>
      </c>
    </row>
    <row r="3358" spans="1:4" x14ac:dyDescent="0.25">
      <c r="A3358" s="379"/>
      <c r="B3358" s="382"/>
      <c r="C3358" s="377"/>
      <c r="D3358" s="6" t="str">
        <f>_xlfn.XLOOKUP(B3358,Indices!$A$2:$A$2676,Indices!$B$2:$B$2676,"")</f>
        <v/>
      </c>
    </row>
    <row r="3359" spans="1:4" x14ac:dyDescent="0.25">
      <c r="A3359" s="379"/>
      <c r="B3359" s="382"/>
      <c r="C3359" s="377"/>
      <c r="D3359" s="6" t="str">
        <f>_xlfn.XLOOKUP(B3359,Indices!$A$2:$A$2676,Indices!$B$2:$B$2676,"")</f>
        <v/>
      </c>
    </row>
    <row r="3360" spans="1:4" x14ac:dyDescent="0.25">
      <c r="A3360" s="379"/>
      <c r="B3360" s="382"/>
      <c r="C3360" s="377"/>
      <c r="D3360" s="6" t="str">
        <f>_xlfn.XLOOKUP(B3360,Indices!$A$2:$A$2676,Indices!$B$2:$B$2676,"")</f>
        <v/>
      </c>
    </row>
    <row r="3361" spans="1:4" x14ac:dyDescent="0.25">
      <c r="A3361" s="379"/>
      <c r="B3361" s="382"/>
      <c r="C3361" s="377"/>
      <c r="D3361" s="6" t="str">
        <f>_xlfn.XLOOKUP(B3361,Indices!$A$2:$A$2676,Indices!$B$2:$B$2676,"")</f>
        <v/>
      </c>
    </row>
    <row r="3362" spans="1:4" x14ac:dyDescent="0.25">
      <c r="A3362" s="379"/>
      <c r="B3362" s="382"/>
      <c r="C3362" s="377"/>
      <c r="D3362" s="6" t="str">
        <f>_xlfn.XLOOKUP(B3362,Indices!$A$2:$A$2676,Indices!$B$2:$B$2676,"")</f>
        <v/>
      </c>
    </row>
    <row r="3363" spans="1:4" x14ac:dyDescent="0.25">
      <c r="A3363" s="379"/>
      <c r="B3363" s="382"/>
      <c r="C3363" s="377"/>
      <c r="D3363" s="6" t="str">
        <f>_xlfn.XLOOKUP(B3363,Indices!$A$2:$A$2676,Indices!$B$2:$B$2676,"")</f>
        <v/>
      </c>
    </row>
    <row r="3364" spans="1:4" x14ac:dyDescent="0.25">
      <c r="A3364" s="379"/>
      <c r="B3364" s="382"/>
      <c r="C3364" s="377"/>
      <c r="D3364" s="6" t="str">
        <f>_xlfn.XLOOKUP(B3364,Indices!$A$2:$A$2676,Indices!$B$2:$B$2676,"")</f>
        <v/>
      </c>
    </row>
    <row r="3365" spans="1:4" x14ac:dyDescent="0.25">
      <c r="A3365" s="379"/>
      <c r="B3365" s="382"/>
      <c r="C3365" s="377"/>
      <c r="D3365" s="6" t="str">
        <f>_xlfn.XLOOKUP(B3365,Indices!$A$2:$A$2676,Indices!$B$2:$B$2676,"")</f>
        <v/>
      </c>
    </row>
    <row r="3366" spans="1:4" x14ac:dyDescent="0.25">
      <c r="A3366" s="379"/>
      <c r="B3366" s="382"/>
      <c r="C3366" s="377"/>
      <c r="D3366" s="6" t="str">
        <f>_xlfn.XLOOKUP(B3366,Indices!$A$2:$A$2676,Indices!$B$2:$B$2676,"")</f>
        <v/>
      </c>
    </row>
    <row r="3367" spans="1:4" x14ac:dyDescent="0.25">
      <c r="A3367" s="379"/>
      <c r="B3367" s="382"/>
      <c r="C3367" s="377"/>
      <c r="D3367" s="6" t="str">
        <f>_xlfn.XLOOKUP(B3367,Indices!$A$2:$A$2676,Indices!$B$2:$B$2676,"")</f>
        <v/>
      </c>
    </row>
    <row r="3368" spans="1:4" x14ac:dyDescent="0.25">
      <c r="A3368" s="379"/>
      <c r="B3368" s="382"/>
      <c r="C3368" s="377"/>
      <c r="D3368" s="6" t="str">
        <f>_xlfn.XLOOKUP(B3368,Indices!$A$2:$A$2676,Indices!$B$2:$B$2676,"")</f>
        <v/>
      </c>
    </row>
    <row r="3369" spans="1:4" x14ac:dyDescent="0.25">
      <c r="A3369" s="379"/>
      <c r="B3369" s="382"/>
      <c r="C3369" s="377"/>
      <c r="D3369" s="6" t="str">
        <f>_xlfn.XLOOKUP(B3369,Indices!$A$2:$A$2676,Indices!$B$2:$B$2676,"")</f>
        <v/>
      </c>
    </row>
    <row r="3370" spans="1:4" x14ac:dyDescent="0.25">
      <c r="A3370" s="379"/>
      <c r="B3370" s="382"/>
      <c r="C3370" s="377"/>
      <c r="D3370" s="6" t="str">
        <f>_xlfn.XLOOKUP(B3370,Indices!$A$2:$A$2676,Indices!$B$2:$B$2676,"")</f>
        <v/>
      </c>
    </row>
    <row r="3371" spans="1:4" x14ac:dyDescent="0.25">
      <c r="A3371" s="379"/>
      <c r="B3371" s="382"/>
      <c r="C3371" s="377"/>
      <c r="D3371" s="6" t="str">
        <f>_xlfn.XLOOKUP(B3371,Indices!$A$2:$A$2676,Indices!$B$2:$B$2676,"")</f>
        <v/>
      </c>
    </row>
    <row r="3372" spans="1:4" x14ac:dyDescent="0.25">
      <c r="A3372" s="379"/>
      <c r="B3372" s="382"/>
      <c r="C3372" s="377"/>
      <c r="D3372" s="6" t="str">
        <f>_xlfn.XLOOKUP(B3372,Indices!$A$2:$A$2676,Indices!$B$2:$B$2676,"")</f>
        <v/>
      </c>
    </row>
    <row r="3373" spans="1:4" x14ac:dyDescent="0.25">
      <c r="A3373" s="379"/>
      <c r="B3373" s="382"/>
      <c r="C3373" s="377"/>
      <c r="D3373" s="6" t="str">
        <f>_xlfn.XLOOKUP(B3373,Indices!$A$2:$A$2676,Indices!$B$2:$B$2676,"")</f>
        <v/>
      </c>
    </row>
    <row r="3374" spans="1:4" x14ac:dyDescent="0.25">
      <c r="A3374" s="379"/>
      <c r="B3374" s="382"/>
      <c r="C3374" s="377"/>
      <c r="D3374" s="6" t="str">
        <f>_xlfn.XLOOKUP(B3374,Indices!$A$2:$A$2676,Indices!$B$2:$B$2676,"")</f>
        <v/>
      </c>
    </row>
    <row r="3375" spans="1:4" x14ac:dyDescent="0.25">
      <c r="A3375" s="379"/>
      <c r="B3375" s="382"/>
      <c r="C3375" s="377"/>
      <c r="D3375" s="6" t="str">
        <f>_xlfn.XLOOKUP(B3375,Indices!$A$2:$A$2676,Indices!$B$2:$B$2676,"")</f>
        <v/>
      </c>
    </row>
    <row r="3376" spans="1:4" x14ac:dyDescent="0.25">
      <c r="A3376" s="379"/>
      <c r="B3376" s="382"/>
      <c r="C3376" s="377"/>
      <c r="D3376" s="6" t="str">
        <f>_xlfn.XLOOKUP(B3376,Indices!$A$2:$A$2676,Indices!$B$2:$B$2676,"")</f>
        <v/>
      </c>
    </row>
    <row r="3377" spans="1:4" x14ac:dyDescent="0.25">
      <c r="A3377" s="379"/>
      <c r="B3377" s="382"/>
      <c r="C3377" s="377"/>
      <c r="D3377" s="6" t="str">
        <f>_xlfn.XLOOKUP(B3377,Indices!$A$2:$A$2676,Indices!$B$2:$B$2676,"")</f>
        <v/>
      </c>
    </row>
    <row r="3378" spans="1:4" x14ac:dyDescent="0.25">
      <c r="A3378" s="379"/>
      <c r="B3378" s="382"/>
      <c r="C3378" s="377"/>
      <c r="D3378" s="6" t="str">
        <f>_xlfn.XLOOKUP(B3378,Indices!$A$2:$A$2676,Indices!$B$2:$B$2676,"")</f>
        <v/>
      </c>
    </row>
    <row r="3379" spans="1:4" x14ac:dyDescent="0.25">
      <c r="A3379" s="379"/>
      <c r="B3379" s="382"/>
      <c r="C3379" s="377"/>
      <c r="D3379" s="6" t="str">
        <f>_xlfn.XLOOKUP(B3379,Indices!$A$2:$A$2676,Indices!$B$2:$B$2676,"")</f>
        <v/>
      </c>
    </row>
    <row r="3380" spans="1:4" x14ac:dyDescent="0.25">
      <c r="A3380" s="379"/>
      <c r="B3380" s="382"/>
      <c r="C3380" s="377"/>
      <c r="D3380" s="6" t="str">
        <f>_xlfn.XLOOKUP(B3380,Indices!$A$2:$A$2676,Indices!$B$2:$B$2676,"")</f>
        <v/>
      </c>
    </row>
    <row r="3381" spans="1:4" x14ac:dyDescent="0.25">
      <c r="A3381" s="379"/>
      <c r="B3381" s="382"/>
      <c r="C3381" s="377"/>
      <c r="D3381" s="6" t="str">
        <f>_xlfn.XLOOKUP(B3381,Indices!$A$2:$A$2676,Indices!$B$2:$B$2676,"")</f>
        <v/>
      </c>
    </row>
    <row r="3382" spans="1:4" x14ac:dyDescent="0.25">
      <c r="A3382" s="379"/>
      <c r="B3382" s="382"/>
      <c r="C3382" s="377"/>
      <c r="D3382" s="6" t="str">
        <f>_xlfn.XLOOKUP(B3382,Indices!$A$2:$A$2676,Indices!$B$2:$B$2676,"")</f>
        <v/>
      </c>
    </row>
    <row r="3383" spans="1:4" x14ac:dyDescent="0.25">
      <c r="A3383" s="379"/>
      <c r="B3383" s="382"/>
      <c r="C3383" s="377"/>
      <c r="D3383" s="6" t="str">
        <f>_xlfn.XLOOKUP(B3383,Indices!$A$2:$A$2676,Indices!$B$2:$B$2676,"")</f>
        <v/>
      </c>
    </row>
    <row r="3384" spans="1:4" x14ac:dyDescent="0.25">
      <c r="A3384" s="379"/>
      <c r="B3384" s="382"/>
      <c r="C3384" s="377"/>
      <c r="D3384" s="6" t="str">
        <f>_xlfn.XLOOKUP(B3384,Indices!$A$2:$A$2676,Indices!$B$2:$B$2676,"")</f>
        <v/>
      </c>
    </row>
    <row r="3385" spans="1:4" x14ac:dyDescent="0.25">
      <c r="A3385" s="379"/>
      <c r="B3385" s="382"/>
      <c r="C3385" s="377"/>
      <c r="D3385" s="6" t="str">
        <f>_xlfn.XLOOKUP(B3385,Indices!$A$2:$A$2676,Indices!$B$2:$B$2676,"")</f>
        <v/>
      </c>
    </row>
    <row r="3386" spans="1:4" x14ac:dyDescent="0.25">
      <c r="A3386" s="379"/>
      <c r="B3386" s="382"/>
      <c r="C3386" s="377"/>
      <c r="D3386" s="6" t="str">
        <f>_xlfn.XLOOKUP(B3386,Indices!$A$2:$A$2676,Indices!$B$2:$B$2676,"")</f>
        <v/>
      </c>
    </row>
    <row r="3387" spans="1:4" x14ac:dyDescent="0.25">
      <c r="A3387" s="379"/>
      <c r="B3387" s="382"/>
      <c r="C3387" s="377"/>
      <c r="D3387" s="6" t="str">
        <f>_xlfn.XLOOKUP(B3387,Indices!$A$2:$A$2676,Indices!$B$2:$B$2676,"")</f>
        <v/>
      </c>
    </row>
    <row r="3388" spans="1:4" x14ac:dyDescent="0.25">
      <c r="A3388" s="379"/>
      <c r="B3388" s="382"/>
      <c r="C3388" s="377"/>
      <c r="D3388" s="6" t="str">
        <f>_xlfn.XLOOKUP(B3388,Indices!$A$2:$A$2676,Indices!$B$2:$B$2676,"")</f>
        <v/>
      </c>
    </row>
    <row r="3389" spans="1:4" x14ac:dyDescent="0.25">
      <c r="A3389" s="379"/>
      <c r="B3389" s="382"/>
      <c r="C3389" s="377"/>
      <c r="D3389" s="6" t="str">
        <f>_xlfn.XLOOKUP(B3389,Indices!$A$2:$A$2676,Indices!$B$2:$B$2676,"")</f>
        <v/>
      </c>
    </row>
    <row r="3390" spans="1:4" x14ac:dyDescent="0.25">
      <c r="A3390" s="379"/>
      <c r="B3390" s="382"/>
      <c r="C3390" s="377"/>
      <c r="D3390" s="6" t="str">
        <f>_xlfn.XLOOKUP(B3390,Indices!$A$2:$A$2676,Indices!$B$2:$B$2676,"")</f>
        <v/>
      </c>
    </row>
    <row r="3391" spans="1:4" x14ac:dyDescent="0.25">
      <c r="A3391" s="379"/>
      <c r="B3391" s="382"/>
      <c r="C3391" s="377"/>
      <c r="D3391" s="6" t="str">
        <f>_xlfn.XLOOKUP(B3391,Indices!$A$2:$A$2676,Indices!$B$2:$B$2676,"")</f>
        <v/>
      </c>
    </row>
    <row r="3392" spans="1:4" x14ac:dyDescent="0.25">
      <c r="A3392" s="379"/>
      <c r="B3392" s="382"/>
      <c r="C3392" s="377"/>
      <c r="D3392" s="6" t="str">
        <f>_xlfn.XLOOKUP(B3392,Indices!$A$2:$A$2676,Indices!$B$2:$B$2676,"")</f>
        <v/>
      </c>
    </row>
    <row r="3393" spans="1:4" x14ac:dyDescent="0.25">
      <c r="A3393" s="379"/>
      <c r="B3393" s="382"/>
      <c r="C3393" s="377"/>
      <c r="D3393" s="6" t="str">
        <f>_xlfn.XLOOKUP(B3393,Indices!$A$2:$A$2676,Indices!$B$2:$B$2676,"")</f>
        <v/>
      </c>
    </row>
    <row r="3394" spans="1:4" x14ac:dyDescent="0.25">
      <c r="A3394" s="379"/>
      <c r="B3394" s="382"/>
      <c r="C3394" s="377"/>
      <c r="D3394" s="6" t="str">
        <f>_xlfn.XLOOKUP(B3394,Indices!$A$2:$A$2676,Indices!$B$2:$B$2676,"")</f>
        <v/>
      </c>
    </row>
    <row r="3395" spans="1:4" x14ac:dyDescent="0.25">
      <c r="A3395" s="379"/>
      <c r="B3395" s="382"/>
      <c r="C3395" s="377"/>
      <c r="D3395" s="6" t="str">
        <f>_xlfn.XLOOKUP(B3395,Indices!$A$2:$A$2676,Indices!$B$2:$B$2676,"")</f>
        <v/>
      </c>
    </row>
    <row r="3396" spans="1:4" x14ac:dyDescent="0.25">
      <c r="A3396" s="379"/>
      <c r="B3396" s="382"/>
      <c r="C3396" s="377"/>
      <c r="D3396" s="6" t="str">
        <f>_xlfn.XLOOKUP(B3396,Indices!$A$2:$A$2676,Indices!$B$2:$B$2676,"")</f>
        <v/>
      </c>
    </row>
    <row r="3397" spans="1:4" x14ac:dyDescent="0.25">
      <c r="A3397" s="379"/>
      <c r="B3397" s="382"/>
      <c r="C3397" s="377"/>
      <c r="D3397" s="6" t="str">
        <f>_xlfn.XLOOKUP(B3397,Indices!$A$2:$A$2676,Indices!$B$2:$B$2676,"")</f>
        <v/>
      </c>
    </row>
    <row r="3398" spans="1:4" x14ac:dyDescent="0.25">
      <c r="A3398" s="379"/>
      <c r="B3398" s="382"/>
      <c r="C3398" s="377"/>
      <c r="D3398" s="6" t="str">
        <f>_xlfn.XLOOKUP(B3398,Indices!$A$2:$A$2676,Indices!$B$2:$B$2676,"")</f>
        <v/>
      </c>
    </row>
    <row r="3399" spans="1:4" x14ac:dyDescent="0.25">
      <c r="A3399" s="379"/>
      <c r="B3399" s="382"/>
      <c r="C3399" s="377"/>
      <c r="D3399" s="6" t="str">
        <f>_xlfn.XLOOKUP(B3399,Indices!$A$2:$A$2676,Indices!$B$2:$B$2676,"")</f>
        <v/>
      </c>
    </row>
    <row r="3400" spans="1:4" x14ac:dyDescent="0.25">
      <c r="A3400" s="379"/>
      <c r="B3400" s="382"/>
      <c r="C3400" s="377"/>
      <c r="D3400" s="6" t="str">
        <f>_xlfn.XLOOKUP(B3400,Indices!$A$2:$A$2676,Indices!$B$2:$B$2676,"")</f>
        <v/>
      </c>
    </row>
    <row r="3401" spans="1:4" x14ac:dyDescent="0.25">
      <c r="A3401" s="379"/>
      <c r="B3401" s="382"/>
      <c r="C3401" s="377"/>
      <c r="D3401" s="6" t="str">
        <f>_xlfn.XLOOKUP(B3401,Indices!$A$2:$A$2676,Indices!$B$2:$B$2676,"")</f>
        <v/>
      </c>
    </row>
    <row r="3402" spans="1:4" x14ac:dyDescent="0.25">
      <c r="A3402" s="379"/>
      <c r="B3402" s="382"/>
      <c r="C3402" s="377"/>
      <c r="D3402" s="6" t="str">
        <f>_xlfn.XLOOKUP(B3402,Indices!$A$2:$A$2676,Indices!$B$2:$B$2676,"")</f>
        <v/>
      </c>
    </row>
    <row r="3403" spans="1:4" x14ac:dyDescent="0.25">
      <c r="A3403" s="379"/>
      <c r="B3403" s="382"/>
      <c r="C3403" s="377"/>
      <c r="D3403" s="6" t="str">
        <f>_xlfn.XLOOKUP(B3403,Indices!$A$2:$A$2676,Indices!$B$2:$B$2676,"")</f>
        <v/>
      </c>
    </row>
    <row r="3404" spans="1:4" x14ac:dyDescent="0.25">
      <c r="A3404" s="379"/>
      <c r="B3404" s="382"/>
      <c r="C3404" s="377"/>
      <c r="D3404" s="6" t="str">
        <f>_xlfn.XLOOKUP(B3404,Indices!$A$2:$A$2676,Indices!$B$2:$B$2676,"")</f>
        <v/>
      </c>
    </row>
    <row r="3405" spans="1:4" x14ac:dyDescent="0.25">
      <c r="A3405" s="379"/>
      <c r="B3405" s="382"/>
      <c r="C3405" s="377"/>
      <c r="D3405" s="6" t="str">
        <f>_xlfn.XLOOKUP(B3405,Indices!$A$2:$A$2676,Indices!$B$2:$B$2676,"")</f>
        <v/>
      </c>
    </row>
    <row r="3406" spans="1:4" x14ac:dyDescent="0.25">
      <c r="A3406" s="379"/>
      <c r="B3406" s="382"/>
      <c r="C3406" s="377"/>
      <c r="D3406" s="6" t="str">
        <f>_xlfn.XLOOKUP(B3406,Indices!$A$2:$A$2676,Indices!$B$2:$B$2676,"")</f>
        <v/>
      </c>
    </row>
    <row r="3407" spans="1:4" x14ac:dyDescent="0.25">
      <c r="A3407" s="379"/>
      <c r="B3407" s="382"/>
      <c r="C3407" s="377"/>
      <c r="D3407" s="6" t="str">
        <f>_xlfn.XLOOKUP(B3407,Indices!$A$2:$A$2676,Indices!$B$2:$B$2676,"")</f>
        <v/>
      </c>
    </row>
    <row r="3408" spans="1:4" x14ac:dyDescent="0.25">
      <c r="A3408" s="379"/>
      <c r="B3408" s="382"/>
      <c r="C3408" s="377"/>
      <c r="D3408" s="6" t="str">
        <f>_xlfn.XLOOKUP(B3408,Indices!$A$2:$A$2676,Indices!$B$2:$B$2676,"")</f>
        <v/>
      </c>
    </row>
    <row r="3409" spans="1:4" x14ac:dyDescent="0.25">
      <c r="A3409" s="379"/>
      <c r="B3409" s="382"/>
      <c r="C3409" s="377"/>
      <c r="D3409" s="6" t="str">
        <f>_xlfn.XLOOKUP(B3409,Indices!$A$2:$A$2676,Indices!$B$2:$B$2676,"")</f>
        <v/>
      </c>
    </row>
    <row r="3410" spans="1:4" x14ac:dyDescent="0.25">
      <c r="A3410" s="379"/>
      <c r="B3410" s="382"/>
      <c r="C3410" s="377"/>
      <c r="D3410" s="6" t="str">
        <f>_xlfn.XLOOKUP(B3410,Indices!$A$2:$A$2676,Indices!$B$2:$B$2676,"")</f>
        <v/>
      </c>
    </row>
    <row r="3411" spans="1:4" x14ac:dyDescent="0.25">
      <c r="A3411" s="379"/>
      <c r="B3411" s="382"/>
      <c r="C3411" s="377"/>
      <c r="D3411" s="6" t="str">
        <f>_xlfn.XLOOKUP(B3411,Indices!$A$2:$A$2676,Indices!$B$2:$B$2676,"")</f>
        <v/>
      </c>
    </row>
    <row r="3412" spans="1:4" x14ac:dyDescent="0.25">
      <c r="A3412" s="379"/>
      <c r="B3412" s="382"/>
      <c r="C3412" s="377"/>
      <c r="D3412" s="6" t="str">
        <f>_xlfn.XLOOKUP(B3412,Indices!$A$2:$A$2676,Indices!$B$2:$B$2676,"")</f>
        <v/>
      </c>
    </row>
    <row r="3413" spans="1:4" x14ac:dyDescent="0.25">
      <c r="A3413" s="379"/>
      <c r="B3413" s="382"/>
      <c r="C3413" s="377"/>
      <c r="D3413" s="6" t="str">
        <f>_xlfn.XLOOKUP(B3413,Indices!$A$2:$A$2676,Indices!$B$2:$B$2676,"")</f>
        <v/>
      </c>
    </row>
    <row r="3414" spans="1:4" x14ac:dyDescent="0.25">
      <c r="A3414" s="379"/>
      <c r="B3414" s="382"/>
      <c r="C3414" s="377"/>
      <c r="D3414" s="6" t="str">
        <f>_xlfn.XLOOKUP(B3414,Indices!$A$2:$A$2676,Indices!$B$2:$B$2676,"")</f>
        <v/>
      </c>
    </row>
    <row r="3415" spans="1:4" x14ac:dyDescent="0.25">
      <c r="A3415" s="379"/>
      <c r="B3415" s="382"/>
      <c r="C3415" s="377"/>
      <c r="D3415" s="6" t="str">
        <f>_xlfn.XLOOKUP(B3415,Indices!$A$2:$A$2676,Indices!$B$2:$B$2676,"")</f>
        <v/>
      </c>
    </row>
    <row r="3416" spans="1:4" x14ac:dyDescent="0.25">
      <c r="A3416" s="379"/>
      <c r="B3416" s="382"/>
      <c r="C3416" s="377"/>
      <c r="D3416" s="6" t="str">
        <f>_xlfn.XLOOKUP(B3416,Indices!$A$2:$A$2676,Indices!$B$2:$B$2676,"")</f>
        <v/>
      </c>
    </row>
    <row r="3417" spans="1:4" x14ac:dyDescent="0.25">
      <c r="A3417" s="379"/>
      <c r="B3417" s="382"/>
      <c r="C3417" s="377"/>
      <c r="D3417" s="6" t="str">
        <f>_xlfn.XLOOKUP(B3417,Indices!$A$2:$A$2676,Indices!$B$2:$B$2676,"")</f>
        <v/>
      </c>
    </row>
    <row r="3418" spans="1:4" x14ac:dyDescent="0.25">
      <c r="A3418" s="379"/>
      <c r="B3418" s="382"/>
      <c r="C3418" s="377"/>
      <c r="D3418" s="6" t="str">
        <f>_xlfn.XLOOKUP(B3418,Indices!$A$2:$A$2676,Indices!$B$2:$B$2676,"")</f>
        <v/>
      </c>
    </row>
    <row r="3419" spans="1:4" x14ac:dyDescent="0.25">
      <c r="A3419" s="379"/>
      <c r="B3419" s="382"/>
      <c r="C3419" s="377"/>
      <c r="D3419" s="6" t="str">
        <f>_xlfn.XLOOKUP(B3419,Indices!$A$2:$A$2676,Indices!$B$2:$B$2676,"")</f>
        <v/>
      </c>
    </row>
    <row r="3420" spans="1:4" x14ac:dyDescent="0.25">
      <c r="A3420" s="379"/>
      <c r="B3420" s="382"/>
      <c r="C3420" s="377"/>
      <c r="D3420" s="6" t="str">
        <f>_xlfn.XLOOKUP(B3420,Indices!$A$2:$A$2676,Indices!$B$2:$B$2676,"")</f>
        <v/>
      </c>
    </row>
    <row r="3421" spans="1:4" x14ac:dyDescent="0.25">
      <c r="A3421" s="379"/>
      <c r="B3421" s="382"/>
      <c r="C3421" s="377"/>
      <c r="D3421" s="6" t="str">
        <f>_xlfn.XLOOKUP(B3421,Indices!$A$2:$A$2676,Indices!$B$2:$B$2676,"")</f>
        <v/>
      </c>
    </row>
    <row r="3422" spans="1:4" x14ac:dyDescent="0.25">
      <c r="A3422" s="379"/>
      <c r="B3422" s="382"/>
      <c r="C3422" s="377"/>
      <c r="D3422" s="6" t="str">
        <f>_xlfn.XLOOKUP(B3422,Indices!$A$2:$A$2676,Indices!$B$2:$B$2676,"")</f>
        <v/>
      </c>
    </row>
    <row r="3423" spans="1:4" x14ac:dyDescent="0.25">
      <c r="A3423" s="379"/>
      <c r="B3423" s="382"/>
      <c r="C3423" s="377"/>
      <c r="D3423" s="6" t="str">
        <f>_xlfn.XLOOKUP(B3423,Indices!$A$2:$A$2676,Indices!$B$2:$B$2676,"")</f>
        <v/>
      </c>
    </row>
    <row r="3424" spans="1:4" x14ac:dyDescent="0.25">
      <c r="A3424" s="379"/>
      <c r="B3424" s="382"/>
      <c r="C3424" s="377"/>
      <c r="D3424" s="6" t="str">
        <f>_xlfn.XLOOKUP(B3424,Indices!$A$2:$A$2676,Indices!$B$2:$B$2676,"")</f>
        <v/>
      </c>
    </row>
    <row r="3425" spans="1:4" x14ac:dyDescent="0.25">
      <c r="A3425" s="379"/>
      <c r="B3425" s="382"/>
      <c r="C3425" s="377"/>
      <c r="D3425" s="6" t="str">
        <f>_xlfn.XLOOKUP(B3425,Indices!$A$2:$A$2676,Indices!$B$2:$B$2676,"")</f>
        <v/>
      </c>
    </row>
    <row r="3426" spans="1:4" x14ac:dyDescent="0.25">
      <c r="A3426" s="379"/>
      <c r="B3426" s="382"/>
      <c r="C3426" s="377"/>
      <c r="D3426" s="6" t="str">
        <f>_xlfn.XLOOKUP(B3426,Indices!$A$2:$A$2676,Indices!$B$2:$B$2676,"")</f>
        <v/>
      </c>
    </row>
    <row r="3427" spans="1:4" x14ac:dyDescent="0.25">
      <c r="A3427" s="379"/>
      <c r="B3427" s="382"/>
      <c r="C3427" s="377"/>
      <c r="D3427" s="6" t="str">
        <f>_xlfn.XLOOKUP(B3427,Indices!$A$2:$A$2676,Indices!$B$2:$B$2676,"")</f>
        <v/>
      </c>
    </row>
    <row r="3428" spans="1:4" x14ac:dyDescent="0.25">
      <c r="A3428" s="379"/>
      <c r="B3428" s="382"/>
      <c r="C3428" s="377"/>
      <c r="D3428" s="6" t="str">
        <f>_xlfn.XLOOKUP(B3428,Indices!$A$2:$A$2676,Indices!$B$2:$B$2676,"")</f>
        <v/>
      </c>
    </row>
    <row r="3429" spans="1:4" x14ac:dyDescent="0.25">
      <c r="A3429" s="379"/>
      <c r="B3429" s="382"/>
      <c r="C3429" s="377"/>
      <c r="D3429" s="6" t="str">
        <f>_xlfn.XLOOKUP(B3429,Indices!$A$2:$A$2676,Indices!$B$2:$B$2676,"")</f>
        <v/>
      </c>
    </row>
    <row r="3430" spans="1:4" x14ac:dyDescent="0.25">
      <c r="A3430" s="379"/>
      <c r="B3430" s="382"/>
      <c r="C3430" s="377"/>
      <c r="D3430" s="6" t="str">
        <f>_xlfn.XLOOKUP(B3430,Indices!$A$2:$A$2676,Indices!$B$2:$B$2676,"")</f>
        <v/>
      </c>
    </row>
    <row r="3431" spans="1:4" x14ac:dyDescent="0.25">
      <c r="A3431" s="379"/>
      <c r="B3431" s="382"/>
      <c r="C3431" s="377"/>
      <c r="D3431" s="6" t="str">
        <f>_xlfn.XLOOKUP(B3431,Indices!$A$2:$A$2676,Indices!$B$2:$B$2676,"")</f>
        <v/>
      </c>
    </row>
    <row r="3432" spans="1:4" x14ac:dyDescent="0.25">
      <c r="A3432" s="379"/>
      <c r="B3432" s="382"/>
      <c r="C3432" s="377"/>
      <c r="D3432" s="6" t="str">
        <f>_xlfn.XLOOKUP(B3432,Indices!$A$2:$A$2676,Indices!$B$2:$B$2676,"")</f>
        <v/>
      </c>
    </row>
    <row r="3433" spans="1:4" x14ac:dyDescent="0.25">
      <c r="A3433" s="379"/>
      <c r="B3433" s="382"/>
      <c r="C3433" s="377"/>
      <c r="D3433" s="6" t="str">
        <f>_xlfn.XLOOKUP(B3433,Indices!$A$2:$A$2676,Indices!$B$2:$B$2676,"")</f>
        <v/>
      </c>
    </row>
    <row r="3434" spans="1:4" x14ac:dyDescent="0.25">
      <c r="A3434" s="379"/>
      <c r="B3434" s="382"/>
      <c r="C3434" s="377"/>
      <c r="D3434" s="6" t="str">
        <f>_xlfn.XLOOKUP(B3434,Indices!$A$2:$A$2676,Indices!$B$2:$B$2676,"")</f>
        <v/>
      </c>
    </row>
    <row r="3435" spans="1:4" x14ac:dyDescent="0.25">
      <c r="A3435" s="379"/>
      <c r="B3435" s="382"/>
      <c r="C3435" s="377"/>
      <c r="D3435" s="6" t="str">
        <f>_xlfn.XLOOKUP(B3435,Indices!$A$2:$A$2676,Indices!$B$2:$B$2676,"")</f>
        <v/>
      </c>
    </row>
    <row r="3436" spans="1:4" x14ac:dyDescent="0.25">
      <c r="A3436" s="379"/>
      <c r="B3436" s="382"/>
      <c r="C3436" s="377"/>
      <c r="D3436" s="6" t="str">
        <f>_xlfn.XLOOKUP(B3436,Indices!$A$2:$A$2676,Indices!$B$2:$B$2676,"")</f>
        <v/>
      </c>
    </row>
    <row r="3437" spans="1:4" x14ac:dyDescent="0.25">
      <c r="A3437" s="379"/>
      <c r="B3437" s="382"/>
      <c r="C3437" s="377"/>
      <c r="D3437" s="6" t="str">
        <f>_xlfn.XLOOKUP(B3437,Indices!$A$2:$A$2676,Indices!$B$2:$B$2676,"")</f>
        <v/>
      </c>
    </row>
    <row r="3438" spans="1:4" x14ac:dyDescent="0.25">
      <c r="A3438" s="379"/>
      <c r="B3438" s="382"/>
      <c r="C3438" s="377"/>
      <c r="D3438" s="6" t="str">
        <f>_xlfn.XLOOKUP(B3438,Indices!$A$2:$A$2676,Indices!$B$2:$B$2676,"")</f>
        <v/>
      </c>
    </row>
    <row r="3439" spans="1:4" x14ac:dyDescent="0.25">
      <c r="A3439" s="379"/>
      <c r="B3439" s="382"/>
      <c r="C3439" s="377"/>
      <c r="D3439" s="6" t="str">
        <f>_xlfn.XLOOKUP(B3439,Indices!$A$2:$A$2676,Indices!$B$2:$B$2676,"")</f>
        <v/>
      </c>
    </row>
    <row r="3440" spans="1:4" x14ac:dyDescent="0.25">
      <c r="A3440" s="424"/>
      <c r="B3440" s="425"/>
      <c r="C3440" s="426"/>
      <c r="D3440" s="6" t="str">
        <f>_xlfn.XLOOKUP(B3440,Indices!$A$2:$A$2676,Indices!$B$2:$B$2676,"")</f>
        <v/>
      </c>
    </row>
    <row r="3441" spans="1:4" x14ac:dyDescent="0.25">
      <c r="A3441" s="379"/>
      <c r="B3441" s="382"/>
      <c r="C3441" s="377"/>
      <c r="D3441" s="6" t="str">
        <f>_xlfn.XLOOKUP(B3441,Indices!$A$2:$A$2676,Indices!$B$2:$B$2676,"")</f>
        <v/>
      </c>
    </row>
    <row r="3442" spans="1:4" x14ac:dyDescent="0.25">
      <c r="A3442" s="379"/>
      <c r="B3442" s="382"/>
      <c r="C3442" s="377"/>
      <c r="D3442" s="6" t="str">
        <f>_xlfn.XLOOKUP(B3442,Indices!$A$2:$A$2676,Indices!$B$2:$B$2676,"")</f>
        <v/>
      </c>
    </row>
    <row r="3443" spans="1:4" x14ac:dyDescent="0.25">
      <c r="A3443" s="379"/>
      <c r="B3443" s="382"/>
      <c r="C3443" s="377"/>
      <c r="D3443" s="6" t="str">
        <f>_xlfn.XLOOKUP(B3443,Indices!$A$2:$A$2676,Indices!$B$2:$B$2676,"")</f>
        <v/>
      </c>
    </row>
    <row r="3444" spans="1:4" x14ac:dyDescent="0.25">
      <c r="A3444" s="379"/>
      <c r="B3444" s="382"/>
      <c r="C3444" s="377"/>
      <c r="D3444" s="6" t="str">
        <f>_xlfn.XLOOKUP(B3444,Indices!$A$2:$A$2676,Indices!$B$2:$B$2676,"")</f>
        <v/>
      </c>
    </row>
    <row r="3445" spans="1:4" x14ac:dyDescent="0.25">
      <c r="A3445" s="379"/>
      <c r="B3445" s="382"/>
      <c r="C3445" s="377"/>
      <c r="D3445" s="6" t="str">
        <f>_xlfn.XLOOKUP(B3445,Indices!$A$2:$A$2676,Indices!$B$2:$B$2676,"")</f>
        <v/>
      </c>
    </row>
    <row r="3446" spans="1:4" x14ac:dyDescent="0.25">
      <c r="A3446" s="379"/>
      <c r="B3446" s="382"/>
      <c r="C3446" s="377"/>
      <c r="D3446" s="6" t="str">
        <f>_xlfn.XLOOKUP(B3446,Indices!$A$2:$A$2676,Indices!$B$2:$B$2676,"")</f>
        <v/>
      </c>
    </row>
    <row r="3447" spans="1:4" x14ac:dyDescent="0.25">
      <c r="A3447" s="379"/>
      <c r="B3447" s="382"/>
      <c r="C3447" s="377"/>
      <c r="D3447" s="6" t="str">
        <f>_xlfn.XLOOKUP(B3447,Indices!$A$2:$A$2676,Indices!$B$2:$B$2676,"")</f>
        <v/>
      </c>
    </row>
    <row r="3448" spans="1:4" x14ac:dyDescent="0.25">
      <c r="A3448" s="379"/>
      <c r="B3448" s="382"/>
      <c r="C3448" s="377"/>
      <c r="D3448" s="6" t="str">
        <f>_xlfn.XLOOKUP(B3448,Indices!$A$2:$A$2676,Indices!$B$2:$B$2676,"")</f>
        <v/>
      </c>
    </row>
    <row r="3449" spans="1:4" x14ac:dyDescent="0.25">
      <c r="A3449" s="379"/>
      <c r="B3449" s="382"/>
      <c r="C3449" s="377"/>
      <c r="D3449" s="6" t="str">
        <f>_xlfn.XLOOKUP(B3449,Indices!$A$2:$A$2676,Indices!$B$2:$B$2676,"")</f>
        <v/>
      </c>
    </row>
    <row r="3450" spans="1:4" x14ac:dyDescent="0.25">
      <c r="A3450" s="379"/>
      <c r="B3450" s="382"/>
      <c r="C3450" s="377"/>
      <c r="D3450" s="6" t="str">
        <f>_xlfn.XLOOKUP(B3450,Indices!$A$2:$A$2676,Indices!$B$2:$B$2676,"")</f>
        <v/>
      </c>
    </row>
    <row r="3451" spans="1:4" x14ac:dyDescent="0.25">
      <c r="A3451" s="379"/>
      <c r="B3451" s="382"/>
      <c r="C3451" s="377"/>
      <c r="D3451" s="6" t="str">
        <f>_xlfn.XLOOKUP(B3451,Indices!$A$2:$A$2676,Indices!$B$2:$B$2676,"")</f>
        <v/>
      </c>
    </row>
    <row r="3452" spans="1:4" x14ac:dyDescent="0.25">
      <c r="A3452" s="379"/>
      <c r="B3452" s="382"/>
      <c r="C3452" s="377"/>
      <c r="D3452" s="6" t="str">
        <f>_xlfn.XLOOKUP(B3452,Indices!$A$2:$A$2676,Indices!$B$2:$B$2676,"")</f>
        <v/>
      </c>
    </row>
    <row r="3453" spans="1:4" x14ac:dyDescent="0.25">
      <c r="A3453" s="379"/>
      <c r="B3453" s="382"/>
      <c r="C3453" s="377"/>
      <c r="D3453" s="6" t="str">
        <f>_xlfn.XLOOKUP(B3453,Indices!$A$2:$A$2676,Indices!$B$2:$B$2676,"")</f>
        <v/>
      </c>
    </row>
    <row r="3454" spans="1:4" x14ac:dyDescent="0.25">
      <c r="A3454" s="379"/>
      <c r="B3454" s="382"/>
      <c r="C3454" s="377"/>
      <c r="D3454" s="6" t="str">
        <f>_xlfn.XLOOKUP(B3454,Indices!$A$2:$A$2676,Indices!$B$2:$B$2676,"")</f>
        <v/>
      </c>
    </row>
    <row r="3455" spans="1:4" x14ac:dyDescent="0.25">
      <c r="A3455" s="379"/>
      <c r="B3455" s="382"/>
      <c r="C3455" s="377"/>
      <c r="D3455" s="6" t="str">
        <f>_xlfn.XLOOKUP(B3455,Indices!$A$2:$A$2676,Indices!$B$2:$B$2676,"")</f>
        <v/>
      </c>
    </row>
    <row r="3456" spans="1:4" x14ac:dyDescent="0.25">
      <c r="A3456" s="379"/>
      <c r="B3456" s="382"/>
      <c r="C3456" s="377"/>
      <c r="D3456" s="6" t="str">
        <f>_xlfn.XLOOKUP(B3456,Indices!$A$2:$A$2676,Indices!$B$2:$B$2676,"")</f>
        <v/>
      </c>
    </row>
    <row r="3457" spans="1:4" x14ac:dyDescent="0.25">
      <c r="A3457" s="379"/>
      <c r="B3457" s="382"/>
      <c r="C3457" s="377"/>
      <c r="D3457" s="6" t="str">
        <f>_xlfn.XLOOKUP(B3457,Indices!$A$2:$A$2676,Indices!$B$2:$B$2676,"")</f>
        <v/>
      </c>
    </row>
    <row r="3458" spans="1:4" x14ac:dyDescent="0.25">
      <c r="A3458" s="379"/>
      <c r="B3458" s="382"/>
      <c r="C3458" s="377"/>
      <c r="D3458" s="6" t="str">
        <f>_xlfn.XLOOKUP(B3458,Indices!$A$2:$A$2676,Indices!$B$2:$B$2676,"")</f>
        <v/>
      </c>
    </row>
    <row r="3459" spans="1:4" x14ac:dyDescent="0.25">
      <c r="A3459" s="379"/>
      <c r="B3459" s="382"/>
      <c r="C3459" s="377"/>
      <c r="D3459" s="6" t="str">
        <f>_xlfn.XLOOKUP(B3459,Indices!$A$2:$A$2676,Indices!$B$2:$B$2676,"")</f>
        <v/>
      </c>
    </row>
    <row r="3460" spans="1:4" x14ac:dyDescent="0.25">
      <c r="A3460" s="379"/>
      <c r="B3460" s="382"/>
      <c r="C3460" s="377"/>
      <c r="D3460" s="6" t="str">
        <f>_xlfn.XLOOKUP(B3460,Indices!$A$2:$A$2676,Indices!$B$2:$B$2676,"")</f>
        <v/>
      </c>
    </row>
    <row r="3461" spans="1:4" x14ac:dyDescent="0.25">
      <c r="A3461" s="379"/>
      <c r="B3461" s="382"/>
      <c r="C3461" s="377"/>
      <c r="D3461" s="6" t="str">
        <f>_xlfn.XLOOKUP(B3461,Indices!$A$2:$A$2676,Indices!$B$2:$B$2676,"")</f>
        <v/>
      </c>
    </row>
    <row r="3462" spans="1:4" x14ac:dyDescent="0.25">
      <c r="A3462" s="379"/>
      <c r="B3462" s="382"/>
      <c r="C3462" s="377"/>
      <c r="D3462" s="6" t="str">
        <f>_xlfn.XLOOKUP(B3462,Indices!$A$2:$A$2676,Indices!$B$2:$B$2676,"")</f>
        <v/>
      </c>
    </row>
    <row r="3463" spans="1:4" x14ac:dyDescent="0.25">
      <c r="A3463" s="379"/>
      <c r="B3463" s="382"/>
      <c r="C3463" s="377"/>
      <c r="D3463" s="6" t="str">
        <f>_xlfn.XLOOKUP(B3463,Indices!$A$2:$A$2676,Indices!$B$2:$B$2676,"")</f>
        <v/>
      </c>
    </row>
    <row r="3464" spans="1:4" x14ac:dyDescent="0.25">
      <c r="A3464" s="379"/>
      <c r="B3464" s="382"/>
      <c r="C3464" s="377"/>
      <c r="D3464" s="6" t="str">
        <f>_xlfn.XLOOKUP(B3464,Indices!$A$2:$A$2676,Indices!$B$2:$B$2676,"")</f>
        <v/>
      </c>
    </row>
    <row r="3465" spans="1:4" x14ac:dyDescent="0.25">
      <c r="A3465" s="379"/>
      <c r="B3465" s="382"/>
      <c r="C3465" s="377"/>
      <c r="D3465" s="6" t="str">
        <f>_xlfn.XLOOKUP(B3465,Indices!$A$2:$A$2676,Indices!$B$2:$B$2676,"")</f>
        <v/>
      </c>
    </row>
    <row r="3466" spans="1:4" x14ac:dyDescent="0.25">
      <c r="A3466" s="379"/>
      <c r="B3466" s="382"/>
      <c r="C3466" s="377"/>
      <c r="D3466" s="6" t="str">
        <f>_xlfn.XLOOKUP(B3466,Indices!$A$2:$A$2676,Indices!$B$2:$B$2676,"")</f>
        <v/>
      </c>
    </row>
    <row r="3467" spans="1:4" x14ac:dyDescent="0.25">
      <c r="A3467" s="379"/>
      <c r="B3467" s="382"/>
      <c r="C3467" s="377"/>
      <c r="D3467" s="6" t="str">
        <f>_xlfn.XLOOKUP(B3467,Indices!$A$2:$A$2676,Indices!$B$2:$B$2676,"")</f>
        <v/>
      </c>
    </row>
    <row r="3468" spans="1:4" x14ac:dyDescent="0.25">
      <c r="A3468" s="379"/>
      <c r="B3468" s="382"/>
      <c r="C3468" s="377"/>
      <c r="D3468" s="6" t="str">
        <f>_xlfn.XLOOKUP(B3468,Indices!$A$2:$A$2676,Indices!$B$2:$B$2676,"")</f>
        <v/>
      </c>
    </row>
    <row r="3469" spans="1:4" x14ac:dyDescent="0.25">
      <c r="A3469" s="379"/>
      <c r="B3469" s="382"/>
      <c r="C3469" s="377"/>
      <c r="D3469" s="6" t="str">
        <f>_xlfn.XLOOKUP(B3469,Indices!$A$2:$A$2676,Indices!$B$2:$B$2676,"")</f>
        <v/>
      </c>
    </row>
    <row r="3470" spans="1:4" x14ac:dyDescent="0.25">
      <c r="A3470" s="379"/>
      <c r="B3470" s="382"/>
      <c r="C3470" s="377"/>
      <c r="D3470" s="6" t="str">
        <f>_xlfn.XLOOKUP(B3470,Indices!$A$2:$A$2676,Indices!$B$2:$B$2676,"")</f>
        <v/>
      </c>
    </row>
    <row r="3471" spans="1:4" x14ac:dyDescent="0.25">
      <c r="A3471" s="379"/>
      <c r="B3471" s="382"/>
      <c r="C3471" s="377"/>
      <c r="D3471" s="6" t="str">
        <f>_xlfn.XLOOKUP(B3471,Indices!$A$2:$A$2676,Indices!$B$2:$B$2676,"")</f>
        <v/>
      </c>
    </row>
    <row r="3472" spans="1:4" x14ac:dyDescent="0.25">
      <c r="A3472" s="379"/>
      <c r="B3472" s="382"/>
      <c r="C3472" s="377"/>
      <c r="D3472" s="6" t="str">
        <f>_xlfn.XLOOKUP(B3472,Indices!$A$2:$A$2676,Indices!$B$2:$B$2676,"")</f>
        <v/>
      </c>
    </row>
    <row r="3473" spans="1:4" x14ac:dyDescent="0.25">
      <c r="A3473" s="379"/>
      <c r="B3473" s="382"/>
      <c r="C3473" s="377"/>
      <c r="D3473" s="6" t="str">
        <f>_xlfn.XLOOKUP(B3473,Indices!$A$2:$A$2676,Indices!$B$2:$B$2676,"")</f>
        <v/>
      </c>
    </row>
    <row r="3474" spans="1:4" x14ac:dyDescent="0.25">
      <c r="A3474" s="379"/>
      <c r="B3474" s="382"/>
      <c r="C3474" s="377"/>
      <c r="D3474" s="6" t="str">
        <f>_xlfn.XLOOKUP(B3474,Indices!$A$2:$A$2676,Indices!$B$2:$B$2676,"")</f>
        <v/>
      </c>
    </row>
    <row r="3475" spans="1:4" x14ac:dyDescent="0.25">
      <c r="A3475" s="379"/>
      <c r="B3475" s="382"/>
      <c r="C3475" s="377"/>
      <c r="D3475" s="6" t="str">
        <f>_xlfn.XLOOKUP(B3475,Indices!$A$2:$A$2676,Indices!$B$2:$B$2676,"")</f>
        <v/>
      </c>
    </row>
    <row r="3476" spans="1:4" x14ac:dyDescent="0.25">
      <c r="A3476" s="379"/>
      <c r="B3476" s="382"/>
      <c r="C3476" s="377"/>
      <c r="D3476" s="6" t="str">
        <f>_xlfn.XLOOKUP(B3476,Indices!$A$2:$A$2676,Indices!$B$2:$B$2676,"")</f>
        <v/>
      </c>
    </row>
    <row r="3477" spans="1:4" x14ac:dyDescent="0.25">
      <c r="A3477" s="379"/>
      <c r="B3477" s="382"/>
      <c r="C3477" s="377"/>
      <c r="D3477" s="6" t="str">
        <f>_xlfn.XLOOKUP(B3477,Indices!$A$2:$A$2676,Indices!$B$2:$B$2676,"")</f>
        <v/>
      </c>
    </row>
    <row r="3478" spans="1:4" x14ac:dyDescent="0.25">
      <c r="A3478" s="379"/>
      <c r="B3478" s="382"/>
      <c r="C3478" s="377"/>
      <c r="D3478" s="6" t="str">
        <f>_xlfn.XLOOKUP(B3478,Indices!$A$2:$A$2676,Indices!$B$2:$B$2676,"")</f>
        <v/>
      </c>
    </row>
    <row r="3479" spans="1:4" x14ac:dyDescent="0.25">
      <c r="A3479" s="379"/>
      <c r="B3479" s="382"/>
      <c r="C3479" s="377"/>
      <c r="D3479" s="6" t="str">
        <f>_xlfn.XLOOKUP(B3479,Indices!$A$2:$A$2676,Indices!$B$2:$B$2676,"")</f>
        <v/>
      </c>
    </row>
    <row r="3480" spans="1:4" x14ac:dyDescent="0.25">
      <c r="A3480" s="379"/>
      <c r="B3480" s="382"/>
      <c r="C3480" s="377"/>
      <c r="D3480" s="6" t="str">
        <f>_xlfn.XLOOKUP(B3480,Indices!$A$2:$A$2676,Indices!$B$2:$B$2676,"")</f>
        <v/>
      </c>
    </row>
    <row r="3481" spans="1:4" x14ac:dyDescent="0.25">
      <c r="A3481" s="379"/>
      <c r="B3481" s="382"/>
      <c r="C3481" s="377"/>
      <c r="D3481" s="6" t="str">
        <f>_xlfn.XLOOKUP(B3481,Indices!$A$2:$A$2676,Indices!$B$2:$B$2676,"")</f>
        <v/>
      </c>
    </row>
    <row r="3482" spans="1:4" x14ac:dyDescent="0.25">
      <c r="A3482" s="379"/>
      <c r="B3482" s="382"/>
      <c r="C3482" s="377"/>
      <c r="D3482" s="6" t="str">
        <f>_xlfn.XLOOKUP(B3482,Indices!$A$2:$A$2676,Indices!$B$2:$B$2676,"")</f>
        <v/>
      </c>
    </row>
    <row r="3483" spans="1:4" x14ac:dyDescent="0.25">
      <c r="A3483" s="379"/>
      <c r="B3483" s="382"/>
      <c r="C3483" s="377"/>
      <c r="D3483" s="6" t="str">
        <f>_xlfn.XLOOKUP(B3483,Indices!$A$2:$A$2676,Indices!$B$2:$B$2676,"")</f>
        <v/>
      </c>
    </row>
    <row r="3484" spans="1:4" x14ac:dyDescent="0.25">
      <c r="A3484" s="379"/>
      <c r="B3484" s="382"/>
      <c r="C3484" s="377"/>
      <c r="D3484" s="6" t="str">
        <f>_xlfn.XLOOKUP(B3484,Indices!$A$2:$A$2676,Indices!$B$2:$B$2676,"")</f>
        <v/>
      </c>
    </row>
    <row r="3485" spans="1:4" x14ac:dyDescent="0.25">
      <c r="A3485" s="379"/>
      <c r="B3485" s="382"/>
      <c r="C3485" s="377"/>
      <c r="D3485" s="6" t="str">
        <f>_xlfn.XLOOKUP(B3485,Indices!$A$2:$A$2676,Indices!$B$2:$B$2676,"")</f>
        <v/>
      </c>
    </row>
    <row r="3486" spans="1:4" x14ac:dyDescent="0.25">
      <c r="A3486" s="379"/>
      <c r="B3486" s="382"/>
      <c r="C3486" s="377"/>
      <c r="D3486" s="6" t="str">
        <f>_xlfn.XLOOKUP(B3486,Indices!$A$2:$A$2676,Indices!$B$2:$B$2676,"")</f>
        <v/>
      </c>
    </row>
    <row r="3487" spans="1:4" x14ac:dyDescent="0.25">
      <c r="A3487" s="379"/>
      <c r="B3487" s="382"/>
      <c r="C3487" s="377"/>
      <c r="D3487" s="6" t="str">
        <f>_xlfn.XLOOKUP(B3487,Indices!$A$2:$A$2676,Indices!$B$2:$B$2676,"")</f>
        <v/>
      </c>
    </row>
    <row r="3488" spans="1:4" x14ac:dyDescent="0.25">
      <c r="A3488" s="379"/>
      <c r="B3488" s="382"/>
      <c r="C3488" s="377"/>
      <c r="D3488" s="6" t="str">
        <f>_xlfn.XLOOKUP(B3488,Indices!$A$2:$A$2676,Indices!$B$2:$B$2676,"")</f>
        <v/>
      </c>
    </row>
    <row r="3489" spans="1:4" x14ac:dyDescent="0.25">
      <c r="A3489" s="379"/>
      <c r="B3489" s="382"/>
      <c r="C3489" s="377"/>
      <c r="D3489" s="6" t="str">
        <f>_xlfn.XLOOKUP(B3489,Indices!$A$2:$A$2676,Indices!$B$2:$B$2676,"")</f>
        <v/>
      </c>
    </row>
    <row r="3490" spans="1:4" x14ac:dyDescent="0.25">
      <c r="A3490" s="379"/>
      <c r="B3490" s="382"/>
      <c r="C3490" s="377"/>
      <c r="D3490" s="6" t="str">
        <f>_xlfn.XLOOKUP(B3490,Indices!$A$2:$A$2676,Indices!$B$2:$B$2676,"")</f>
        <v/>
      </c>
    </row>
    <row r="3491" spans="1:4" x14ac:dyDescent="0.25">
      <c r="A3491" s="379"/>
      <c r="B3491" s="382"/>
      <c r="C3491" s="377"/>
      <c r="D3491" s="6" t="str">
        <f>_xlfn.XLOOKUP(B3491,Indices!$A$2:$A$2676,Indices!$B$2:$B$2676,"")</f>
        <v/>
      </c>
    </row>
    <row r="3492" spans="1:4" x14ac:dyDescent="0.25">
      <c r="A3492" s="379"/>
      <c r="B3492" s="382"/>
      <c r="C3492" s="377"/>
      <c r="D3492" s="6" t="str">
        <f>_xlfn.XLOOKUP(B3492,Indices!$A$2:$A$2676,Indices!$B$2:$B$2676,"")</f>
        <v/>
      </c>
    </row>
    <row r="3493" spans="1:4" x14ac:dyDescent="0.25">
      <c r="A3493" s="379"/>
      <c r="B3493" s="382"/>
      <c r="C3493" s="377"/>
      <c r="D3493" s="6" t="str">
        <f>_xlfn.XLOOKUP(B3493,Indices!$A$2:$A$2676,Indices!$B$2:$B$2676,"")</f>
        <v/>
      </c>
    </row>
    <row r="3494" spans="1:4" x14ac:dyDescent="0.25">
      <c r="A3494" s="379"/>
      <c r="B3494" s="382"/>
      <c r="C3494" s="377"/>
      <c r="D3494" s="6" t="str">
        <f>_xlfn.XLOOKUP(B3494,Indices!$A$2:$A$2676,Indices!$B$2:$B$2676,"")</f>
        <v/>
      </c>
    </row>
    <row r="3495" spans="1:4" x14ac:dyDescent="0.25">
      <c r="A3495" s="379"/>
      <c r="B3495" s="382"/>
      <c r="C3495" s="377"/>
      <c r="D3495" s="6" t="str">
        <f>_xlfn.XLOOKUP(B3495,Indices!$A$2:$A$2676,Indices!$B$2:$B$2676,"")</f>
        <v/>
      </c>
    </row>
    <row r="3496" spans="1:4" x14ac:dyDescent="0.25">
      <c r="A3496" s="379"/>
      <c r="B3496" s="382"/>
      <c r="C3496" s="377"/>
      <c r="D3496" s="6" t="str">
        <f>_xlfn.XLOOKUP(B3496,Indices!$A$2:$A$2676,Indices!$B$2:$B$2676,"")</f>
        <v/>
      </c>
    </row>
    <row r="3497" spans="1:4" x14ac:dyDescent="0.25">
      <c r="A3497" s="379"/>
      <c r="B3497" s="382"/>
      <c r="C3497" s="377"/>
      <c r="D3497" s="6" t="str">
        <f>_xlfn.XLOOKUP(B3497,Indices!$A$2:$A$2676,Indices!$B$2:$B$2676,"")</f>
        <v/>
      </c>
    </row>
    <row r="3498" spans="1:4" x14ac:dyDescent="0.25">
      <c r="A3498" s="379"/>
      <c r="B3498" s="382"/>
      <c r="C3498" s="377"/>
      <c r="D3498" s="6" t="str">
        <f>_xlfn.XLOOKUP(B3498,Indices!$A$2:$A$2676,Indices!$B$2:$B$2676,"")</f>
        <v/>
      </c>
    </row>
    <row r="3499" spans="1:4" x14ac:dyDescent="0.25">
      <c r="A3499" s="379"/>
      <c r="B3499" s="382"/>
      <c r="C3499" s="377"/>
      <c r="D3499" s="6" t="str">
        <f>_xlfn.XLOOKUP(B3499,Indices!$A$2:$A$2676,Indices!$B$2:$B$2676,"")</f>
        <v/>
      </c>
    </row>
    <row r="3500" spans="1:4" x14ac:dyDescent="0.25">
      <c r="A3500" s="379"/>
      <c r="B3500" s="382"/>
      <c r="C3500" s="377"/>
      <c r="D3500" s="6" t="str">
        <f>_xlfn.XLOOKUP(B3500,Indices!$A$2:$A$2676,Indices!$B$2:$B$2676,"")</f>
        <v/>
      </c>
    </row>
    <row r="3501" spans="1:4" x14ac:dyDescent="0.25">
      <c r="A3501" s="379"/>
      <c r="B3501" s="382"/>
      <c r="C3501" s="377"/>
      <c r="D3501" s="6" t="str">
        <f>_xlfn.XLOOKUP(B3501,Indices!$A$2:$A$2676,Indices!$B$2:$B$2676,"")</f>
        <v/>
      </c>
    </row>
    <row r="3502" spans="1:4" x14ac:dyDescent="0.25">
      <c r="A3502" s="379"/>
      <c r="B3502" s="382"/>
      <c r="C3502" s="377"/>
      <c r="D3502" s="6" t="str">
        <f>_xlfn.XLOOKUP(B3502,Indices!$A$2:$A$2676,Indices!$B$2:$B$2676,"")</f>
        <v/>
      </c>
    </row>
    <row r="3503" spans="1:4" x14ac:dyDescent="0.25">
      <c r="A3503" s="379"/>
      <c r="B3503" s="382"/>
      <c r="C3503" s="377"/>
      <c r="D3503" s="6" t="str">
        <f>_xlfn.XLOOKUP(B3503,Indices!$A$2:$A$2676,Indices!$B$2:$B$2676,"")</f>
        <v/>
      </c>
    </row>
    <row r="3504" spans="1:4" x14ac:dyDescent="0.25">
      <c r="A3504" s="379"/>
      <c r="B3504" s="382"/>
      <c r="C3504" s="377"/>
      <c r="D3504" s="6" t="str">
        <f>_xlfn.XLOOKUP(B3504,Indices!$A$2:$A$2676,Indices!$B$2:$B$2676,"")</f>
        <v/>
      </c>
    </row>
    <row r="3505" spans="1:4" x14ac:dyDescent="0.25">
      <c r="A3505" s="379"/>
      <c r="B3505" s="382"/>
      <c r="C3505" s="377"/>
      <c r="D3505" s="6" t="str">
        <f>_xlfn.XLOOKUP(B3505,Indices!$A$2:$A$2676,Indices!$B$2:$B$2676,"")</f>
        <v/>
      </c>
    </row>
    <row r="3506" spans="1:4" x14ac:dyDescent="0.25">
      <c r="A3506" s="379"/>
      <c r="B3506" s="382"/>
      <c r="C3506" s="377"/>
      <c r="D3506" s="6" t="str">
        <f>_xlfn.XLOOKUP(B3506,Indices!$A$2:$A$2676,Indices!$B$2:$B$2676,"")</f>
        <v/>
      </c>
    </row>
    <row r="3507" spans="1:4" x14ac:dyDescent="0.25">
      <c r="A3507" s="379"/>
      <c r="B3507" s="382"/>
      <c r="C3507" s="377"/>
      <c r="D3507" s="6" t="str">
        <f>_xlfn.XLOOKUP(B3507,Indices!$A$2:$A$2676,Indices!$B$2:$B$2676,"")</f>
        <v/>
      </c>
    </row>
    <row r="3508" spans="1:4" x14ac:dyDescent="0.25">
      <c r="A3508" s="379"/>
      <c r="B3508" s="382"/>
      <c r="C3508" s="377"/>
      <c r="D3508" s="6" t="str">
        <f>_xlfn.XLOOKUP(B3508,Indices!$A$2:$A$2676,Indices!$B$2:$B$2676,"")</f>
        <v/>
      </c>
    </row>
    <row r="3509" spans="1:4" x14ac:dyDescent="0.25">
      <c r="A3509" s="379"/>
      <c r="B3509" s="382"/>
      <c r="C3509" s="377"/>
      <c r="D3509" s="6" t="str">
        <f>_xlfn.XLOOKUP(B3509,Indices!$A$2:$A$2676,Indices!$B$2:$B$2676,"")</f>
        <v/>
      </c>
    </row>
    <row r="3510" spans="1:4" x14ac:dyDescent="0.25">
      <c r="A3510" s="379"/>
      <c r="B3510" s="382"/>
      <c r="C3510" s="377"/>
      <c r="D3510" s="6" t="str">
        <f>_xlfn.XLOOKUP(B3510,Indices!$A$2:$A$2676,Indices!$B$2:$B$2676,"")</f>
        <v/>
      </c>
    </row>
    <row r="3511" spans="1:4" x14ac:dyDescent="0.25">
      <c r="A3511" s="379"/>
      <c r="B3511" s="382"/>
      <c r="C3511" s="377"/>
      <c r="D3511" s="6" t="str">
        <f>_xlfn.XLOOKUP(B3511,Indices!$A$2:$A$2676,Indices!$B$2:$B$2676,"")</f>
        <v/>
      </c>
    </row>
    <row r="3512" spans="1:4" x14ac:dyDescent="0.25">
      <c r="A3512" s="379"/>
      <c r="B3512" s="382"/>
      <c r="C3512" s="377"/>
      <c r="D3512" s="6" t="str">
        <f>_xlfn.XLOOKUP(B3512,Indices!$A$2:$A$2676,Indices!$B$2:$B$2676,"")</f>
        <v/>
      </c>
    </row>
    <row r="3513" spans="1:4" x14ac:dyDescent="0.25">
      <c r="A3513" s="379"/>
      <c r="B3513" s="382"/>
      <c r="C3513" s="377"/>
      <c r="D3513" s="6" t="str">
        <f>_xlfn.XLOOKUP(B3513,Indices!$A$2:$A$2676,Indices!$B$2:$B$2676,"")</f>
        <v/>
      </c>
    </row>
    <row r="3514" spans="1:4" x14ac:dyDescent="0.25">
      <c r="A3514" s="379"/>
      <c r="B3514" s="382"/>
      <c r="C3514" s="377"/>
      <c r="D3514" s="6" t="str">
        <f>_xlfn.XLOOKUP(B3514,Indices!$A$2:$A$2676,Indices!$B$2:$B$2676,"")</f>
        <v/>
      </c>
    </row>
    <row r="3515" spans="1:4" x14ac:dyDescent="0.25">
      <c r="A3515" s="379"/>
      <c r="B3515" s="382"/>
      <c r="C3515" s="377"/>
      <c r="D3515" s="6" t="str">
        <f>_xlfn.XLOOKUP(B3515,Indices!$A$2:$A$2676,Indices!$B$2:$B$2676,"")</f>
        <v/>
      </c>
    </row>
    <row r="3516" spans="1:4" x14ac:dyDescent="0.25">
      <c r="A3516" s="379"/>
      <c r="B3516" s="382"/>
      <c r="C3516" s="377"/>
      <c r="D3516" s="6" t="str">
        <f>_xlfn.XLOOKUP(B3516,Indices!$A$2:$A$2676,Indices!$B$2:$B$2676,"")</f>
        <v/>
      </c>
    </row>
    <row r="3517" spans="1:4" x14ac:dyDescent="0.25">
      <c r="A3517" s="379"/>
      <c r="B3517" s="382"/>
      <c r="C3517" s="377"/>
      <c r="D3517" s="6" t="str">
        <f>_xlfn.XLOOKUP(B3517,Indices!$A$2:$A$2676,Indices!$B$2:$B$2676,"")</f>
        <v/>
      </c>
    </row>
    <row r="3518" spans="1:4" x14ac:dyDescent="0.25">
      <c r="A3518" s="379"/>
      <c r="B3518" s="382"/>
      <c r="C3518" s="377"/>
      <c r="D3518" s="6" t="str">
        <f>_xlfn.XLOOKUP(B3518,Indices!$A$2:$A$2676,Indices!$B$2:$B$2676,"")</f>
        <v/>
      </c>
    </row>
    <row r="3519" spans="1:4" x14ac:dyDescent="0.25">
      <c r="A3519" s="379"/>
      <c r="B3519" s="382"/>
      <c r="C3519" s="377"/>
      <c r="D3519" s="6" t="str">
        <f>_xlfn.XLOOKUP(B3519,Indices!$A$2:$A$2676,Indices!$B$2:$B$2676,"")</f>
        <v/>
      </c>
    </row>
    <row r="3520" spans="1:4" x14ac:dyDescent="0.25">
      <c r="A3520" s="379"/>
      <c r="B3520" s="382"/>
      <c r="C3520" s="377"/>
      <c r="D3520" s="6" t="str">
        <f>_xlfn.XLOOKUP(B3520,Indices!$A$2:$A$2676,Indices!$B$2:$B$2676,"")</f>
        <v/>
      </c>
    </row>
    <row r="3521" spans="1:4" x14ac:dyDescent="0.25">
      <c r="A3521" s="379"/>
      <c r="B3521" s="382"/>
      <c r="C3521" s="377"/>
      <c r="D3521" s="6" t="str">
        <f>_xlfn.XLOOKUP(B3521,Indices!$A$2:$A$2676,Indices!$B$2:$B$2676,"")</f>
        <v/>
      </c>
    </row>
    <row r="3522" spans="1:4" x14ac:dyDescent="0.25">
      <c r="A3522" s="379"/>
      <c r="B3522" s="382"/>
      <c r="C3522" s="377"/>
      <c r="D3522" s="6" t="str">
        <f>_xlfn.XLOOKUP(B3522,Indices!$A$2:$A$2676,Indices!$B$2:$B$2676,"")</f>
        <v/>
      </c>
    </row>
    <row r="3523" spans="1:4" x14ac:dyDescent="0.25">
      <c r="A3523" s="379"/>
      <c r="B3523" s="382"/>
      <c r="C3523" s="377"/>
      <c r="D3523" s="6" t="str">
        <f>_xlfn.XLOOKUP(B3523,Indices!$A$2:$A$2676,Indices!$B$2:$B$2676,"")</f>
        <v/>
      </c>
    </row>
    <row r="3524" spans="1:4" x14ac:dyDescent="0.25">
      <c r="A3524" s="379"/>
      <c r="B3524" s="382"/>
      <c r="C3524" s="377"/>
      <c r="D3524" s="6" t="str">
        <f>_xlfn.XLOOKUP(B3524,Indices!$A$2:$A$2676,Indices!$B$2:$B$2676,"")</f>
        <v/>
      </c>
    </row>
    <row r="3525" spans="1:4" x14ac:dyDescent="0.25">
      <c r="A3525" s="379"/>
      <c r="B3525" s="382"/>
      <c r="C3525" s="377"/>
      <c r="D3525" s="6" t="str">
        <f>_xlfn.XLOOKUP(B3525,Indices!$A$2:$A$2676,Indices!$B$2:$B$2676,"")</f>
        <v/>
      </c>
    </row>
    <row r="3526" spans="1:4" x14ac:dyDescent="0.25">
      <c r="A3526" s="379"/>
      <c r="B3526" s="382"/>
      <c r="C3526" s="377"/>
      <c r="D3526" s="6" t="str">
        <f>_xlfn.XLOOKUP(B3526,Indices!$A$2:$A$2676,Indices!$B$2:$B$2676,"")</f>
        <v/>
      </c>
    </row>
    <row r="3527" spans="1:4" x14ac:dyDescent="0.25">
      <c r="A3527" s="379"/>
      <c r="B3527" s="382"/>
      <c r="C3527" s="377"/>
      <c r="D3527" s="6" t="str">
        <f>_xlfn.XLOOKUP(B3527,Indices!$A$2:$A$2676,Indices!$B$2:$B$2676,"")</f>
        <v/>
      </c>
    </row>
    <row r="3528" spans="1:4" x14ac:dyDescent="0.25">
      <c r="A3528" s="379"/>
      <c r="B3528" s="382"/>
      <c r="C3528" s="377"/>
      <c r="D3528" s="6" t="str">
        <f>_xlfn.XLOOKUP(B3528,Indices!$A$2:$A$2676,Indices!$B$2:$B$2676,"")</f>
        <v/>
      </c>
    </row>
    <row r="3529" spans="1:4" x14ac:dyDescent="0.25">
      <c r="A3529" s="379"/>
      <c r="B3529" s="382"/>
      <c r="C3529" s="377"/>
      <c r="D3529" s="6" t="str">
        <f>_xlfn.XLOOKUP(B3529,Indices!$A$2:$A$2676,Indices!$B$2:$B$2676,"")</f>
        <v/>
      </c>
    </row>
    <row r="3530" spans="1:4" x14ac:dyDescent="0.25">
      <c r="A3530" s="379"/>
      <c r="B3530" s="382"/>
      <c r="C3530" s="377"/>
      <c r="D3530" s="6" t="str">
        <f>_xlfn.XLOOKUP(B3530,Indices!$A$2:$A$2676,Indices!$B$2:$B$2676,"")</f>
        <v/>
      </c>
    </row>
    <row r="3531" spans="1:4" x14ac:dyDescent="0.25">
      <c r="A3531" s="379"/>
      <c r="B3531" s="382"/>
      <c r="C3531" s="377"/>
      <c r="D3531" s="6" t="str">
        <f>_xlfn.XLOOKUP(B3531,Indices!$A$2:$A$2676,Indices!$B$2:$B$2676,"")</f>
        <v/>
      </c>
    </row>
    <row r="3532" spans="1:4" x14ac:dyDescent="0.25">
      <c r="A3532" s="379"/>
      <c r="B3532" s="382"/>
      <c r="C3532" s="377"/>
      <c r="D3532" s="6" t="str">
        <f>_xlfn.XLOOKUP(B3532,Indices!$A$2:$A$2676,Indices!$B$2:$B$2676,"")</f>
        <v/>
      </c>
    </row>
    <row r="3533" spans="1:4" x14ac:dyDescent="0.25">
      <c r="A3533" s="379"/>
      <c r="B3533" s="382"/>
      <c r="C3533" s="377"/>
      <c r="D3533" s="6" t="str">
        <f>_xlfn.XLOOKUP(B3533,Indices!$A$2:$A$2676,Indices!$B$2:$B$2676,"")</f>
        <v/>
      </c>
    </row>
    <row r="3534" spans="1:4" x14ac:dyDescent="0.25">
      <c r="A3534" s="379"/>
      <c r="B3534" s="382"/>
      <c r="C3534" s="377"/>
      <c r="D3534" s="6" t="str">
        <f>_xlfn.XLOOKUP(B3534,Indices!$A$2:$A$2676,Indices!$B$2:$B$2676,"")</f>
        <v/>
      </c>
    </row>
    <row r="3535" spans="1:4" x14ac:dyDescent="0.25">
      <c r="A3535" s="379"/>
      <c r="B3535" s="382"/>
      <c r="C3535" s="377"/>
      <c r="D3535" s="6" t="str">
        <f>_xlfn.XLOOKUP(B3535,Indices!$A$2:$A$2676,Indices!$B$2:$B$2676,"")</f>
        <v/>
      </c>
    </row>
    <row r="3536" spans="1:4" x14ac:dyDescent="0.25">
      <c r="A3536" s="379"/>
      <c r="B3536" s="382"/>
      <c r="C3536" s="377"/>
      <c r="D3536" s="6" t="str">
        <f>_xlfn.XLOOKUP(B3536,Indices!$A$2:$A$2676,Indices!$B$2:$B$2676,"")</f>
        <v/>
      </c>
    </row>
    <row r="3537" spans="1:4" x14ac:dyDescent="0.25">
      <c r="A3537" s="379"/>
      <c r="B3537" s="382"/>
      <c r="C3537" s="377"/>
      <c r="D3537" s="6" t="str">
        <f>_xlfn.XLOOKUP(B3537,Indices!$A$2:$A$2676,Indices!$B$2:$B$2676,"")</f>
        <v/>
      </c>
    </row>
    <row r="3538" spans="1:4" x14ac:dyDescent="0.25">
      <c r="A3538" s="379"/>
      <c r="B3538" s="382"/>
      <c r="C3538" s="377"/>
      <c r="D3538" s="6" t="str">
        <f>_xlfn.XLOOKUP(B3538,Indices!$A$2:$A$2676,Indices!$B$2:$B$2676,"")</f>
        <v/>
      </c>
    </row>
    <row r="3539" spans="1:4" x14ac:dyDescent="0.25">
      <c r="A3539" s="379"/>
      <c r="B3539" s="382"/>
      <c r="C3539" s="377"/>
      <c r="D3539" s="6" t="str">
        <f>_xlfn.XLOOKUP(B3539,Indices!$A$2:$A$2676,Indices!$B$2:$B$2676,"")</f>
        <v/>
      </c>
    </row>
    <row r="3540" spans="1:4" x14ac:dyDescent="0.25">
      <c r="A3540" s="379"/>
      <c r="B3540" s="382"/>
      <c r="C3540" s="377"/>
      <c r="D3540" s="6" t="str">
        <f>_xlfn.XLOOKUP(B3540,Indices!$A$2:$A$2676,Indices!$B$2:$B$2676,"")</f>
        <v/>
      </c>
    </row>
    <row r="3541" spans="1:4" x14ac:dyDescent="0.25">
      <c r="A3541" s="379"/>
      <c r="B3541" s="382"/>
      <c r="C3541" s="377"/>
      <c r="D3541" s="6" t="str">
        <f>_xlfn.XLOOKUP(B3541,Indices!$A$2:$A$2676,Indices!$B$2:$B$2676,"")</f>
        <v/>
      </c>
    </row>
    <row r="3542" spans="1:4" x14ac:dyDescent="0.25">
      <c r="A3542" s="379"/>
      <c r="B3542" s="382"/>
      <c r="C3542" s="377"/>
      <c r="D3542" s="6" t="str">
        <f>_xlfn.XLOOKUP(B3542,Indices!$A$2:$A$2676,Indices!$B$2:$B$2676,"")</f>
        <v/>
      </c>
    </row>
    <row r="3543" spans="1:4" x14ac:dyDescent="0.25">
      <c r="A3543" s="379"/>
      <c r="B3543" s="382"/>
      <c r="C3543" s="377"/>
      <c r="D3543" s="6" t="str">
        <f>_xlfn.XLOOKUP(B3543,Indices!$A$2:$A$2676,Indices!$B$2:$B$2676,"")</f>
        <v/>
      </c>
    </row>
    <row r="3544" spans="1:4" x14ac:dyDescent="0.25">
      <c r="A3544" s="379"/>
      <c r="B3544" s="382"/>
      <c r="C3544" s="377"/>
      <c r="D3544" s="6" t="str">
        <f>_xlfn.XLOOKUP(B3544,Indices!$A$2:$A$2676,Indices!$B$2:$B$2676,"")</f>
        <v/>
      </c>
    </row>
    <row r="3545" spans="1:4" x14ac:dyDescent="0.25">
      <c r="A3545" s="379"/>
      <c r="B3545" s="382"/>
      <c r="C3545" s="377"/>
      <c r="D3545" s="6" t="str">
        <f>_xlfn.XLOOKUP(B3545,Indices!$A$2:$A$2676,Indices!$B$2:$B$2676,"")</f>
        <v/>
      </c>
    </row>
    <row r="3546" spans="1:4" x14ac:dyDescent="0.25">
      <c r="A3546" s="379"/>
      <c r="B3546" s="382"/>
      <c r="C3546" s="377"/>
      <c r="D3546" s="6" t="str">
        <f>_xlfn.XLOOKUP(B3546,Indices!$A$2:$A$2676,Indices!$B$2:$B$2676,"")</f>
        <v/>
      </c>
    </row>
    <row r="3547" spans="1:4" x14ac:dyDescent="0.25">
      <c r="A3547" s="379"/>
      <c r="B3547" s="382"/>
      <c r="C3547" s="377"/>
      <c r="D3547" s="6" t="str">
        <f>_xlfn.XLOOKUP(B3547,Indices!$A$2:$A$2676,Indices!$B$2:$B$2676,"")</f>
        <v/>
      </c>
    </row>
    <row r="3548" spans="1:4" x14ac:dyDescent="0.25">
      <c r="A3548" s="379"/>
      <c r="B3548" s="382"/>
      <c r="C3548" s="377"/>
      <c r="D3548" s="6" t="str">
        <f>_xlfn.XLOOKUP(B3548,Indices!$A$2:$A$2676,Indices!$B$2:$B$2676,"")</f>
        <v/>
      </c>
    </row>
    <row r="3549" spans="1:4" x14ac:dyDescent="0.25">
      <c r="A3549" s="379"/>
      <c r="B3549" s="382"/>
      <c r="C3549" s="377"/>
      <c r="D3549" s="6" t="str">
        <f>_xlfn.XLOOKUP(B3549,Indices!$A$2:$A$2676,Indices!$B$2:$B$2676,"")</f>
        <v/>
      </c>
    </row>
    <row r="3550" spans="1:4" x14ac:dyDescent="0.25">
      <c r="A3550" s="379"/>
      <c r="B3550" s="382"/>
      <c r="C3550" s="377"/>
      <c r="D3550" s="6" t="str">
        <f>_xlfn.XLOOKUP(B3550,Indices!$A$2:$A$2676,Indices!$B$2:$B$2676,"")</f>
        <v/>
      </c>
    </row>
    <row r="3551" spans="1:4" x14ac:dyDescent="0.25">
      <c r="A3551" s="379"/>
      <c r="B3551" s="382"/>
      <c r="C3551" s="377"/>
      <c r="D3551" s="6" t="str">
        <f>_xlfn.XLOOKUP(B3551,Indices!$A$2:$A$2676,Indices!$B$2:$B$2676,"")</f>
        <v/>
      </c>
    </row>
    <row r="3552" spans="1:4" x14ac:dyDescent="0.25">
      <c r="A3552" s="379"/>
      <c r="B3552" s="382"/>
      <c r="C3552" s="377"/>
      <c r="D3552" s="6" t="str">
        <f>_xlfn.XLOOKUP(B3552,Indices!$A$2:$A$2676,Indices!$B$2:$B$2676,"")</f>
        <v/>
      </c>
    </row>
    <row r="3553" spans="1:4" x14ac:dyDescent="0.25">
      <c r="A3553" s="379"/>
      <c r="B3553" s="382"/>
      <c r="C3553" s="377"/>
      <c r="D3553" s="6" t="str">
        <f>_xlfn.XLOOKUP(B3553,Indices!$A$2:$A$2676,Indices!$B$2:$B$2676,"")</f>
        <v/>
      </c>
    </row>
    <row r="3554" spans="1:4" x14ac:dyDescent="0.25">
      <c r="A3554" s="379"/>
      <c r="B3554" s="382"/>
      <c r="C3554" s="377"/>
      <c r="D3554" s="6" t="str">
        <f>_xlfn.XLOOKUP(B3554,Indices!$A$2:$A$2676,Indices!$B$2:$B$2676,"")</f>
        <v/>
      </c>
    </row>
    <row r="3555" spans="1:4" x14ac:dyDescent="0.25">
      <c r="A3555" s="379"/>
      <c r="B3555" s="382"/>
      <c r="C3555" s="377"/>
      <c r="D3555" s="6" t="str">
        <f>_xlfn.XLOOKUP(B3555,Indices!$A$2:$A$2676,Indices!$B$2:$B$2676,"")</f>
        <v/>
      </c>
    </row>
    <row r="3556" spans="1:4" x14ac:dyDescent="0.25">
      <c r="A3556" s="379"/>
      <c r="B3556" s="382"/>
      <c r="C3556" s="377"/>
      <c r="D3556" s="6" t="str">
        <f>_xlfn.XLOOKUP(B3556,Indices!$A$2:$A$2676,Indices!$B$2:$B$2676,"")</f>
        <v/>
      </c>
    </row>
    <row r="3557" spans="1:4" x14ac:dyDescent="0.25">
      <c r="A3557" s="379"/>
      <c r="B3557" s="382"/>
      <c r="C3557" s="377"/>
      <c r="D3557" s="6" t="str">
        <f>_xlfn.XLOOKUP(B3557,Indices!$A$2:$A$2676,Indices!$B$2:$B$2676,"")</f>
        <v/>
      </c>
    </row>
    <row r="3558" spans="1:4" x14ac:dyDescent="0.25">
      <c r="A3558" s="379"/>
      <c r="B3558" s="382"/>
      <c r="C3558" s="377"/>
      <c r="D3558" s="6" t="str">
        <f>_xlfn.XLOOKUP(B3558,Indices!$A$2:$A$2676,Indices!$B$2:$B$2676,"")</f>
        <v/>
      </c>
    </row>
    <row r="3559" spans="1:4" x14ac:dyDescent="0.25">
      <c r="A3559" s="379"/>
      <c r="B3559" s="382"/>
      <c r="C3559" s="377"/>
      <c r="D3559" s="6" t="str">
        <f>_xlfn.XLOOKUP(B3559,Indices!$A$2:$A$2676,Indices!$B$2:$B$2676,"")</f>
        <v/>
      </c>
    </row>
    <row r="3560" spans="1:4" x14ac:dyDescent="0.25">
      <c r="A3560" s="379"/>
      <c r="B3560" s="382"/>
      <c r="C3560" s="377"/>
      <c r="D3560" s="6" t="str">
        <f>_xlfn.XLOOKUP(B3560,Indices!$A$2:$A$2676,Indices!$B$2:$B$2676,"")</f>
        <v/>
      </c>
    </row>
    <row r="3561" spans="1:4" x14ac:dyDescent="0.25">
      <c r="A3561" s="379"/>
      <c r="B3561" s="382"/>
      <c r="C3561" s="377"/>
      <c r="D3561" s="6" t="str">
        <f>_xlfn.XLOOKUP(B3561,Indices!$A$2:$A$2676,Indices!$B$2:$B$2676,"")</f>
        <v/>
      </c>
    </row>
    <row r="3562" spans="1:4" x14ac:dyDescent="0.25">
      <c r="A3562" s="379"/>
      <c r="B3562" s="382"/>
      <c r="C3562" s="377"/>
      <c r="D3562" s="6" t="str">
        <f>_xlfn.XLOOKUP(B3562,Indices!$A$2:$A$2676,Indices!$B$2:$B$2676,"")</f>
        <v/>
      </c>
    </row>
    <row r="3563" spans="1:4" x14ac:dyDescent="0.25">
      <c r="A3563" s="379"/>
      <c r="B3563" s="382"/>
      <c r="C3563" s="377"/>
      <c r="D3563" s="6" t="str">
        <f>_xlfn.XLOOKUP(B3563,Indices!$A$2:$A$2676,Indices!$B$2:$B$2676,"")</f>
        <v/>
      </c>
    </row>
    <row r="3564" spans="1:4" x14ac:dyDescent="0.25">
      <c r="A3564" s="379"/>
      <c r="B3564" s="382"/>
      <c r="C3564" s="377"/>
      <c r="D3564" s="6" t="str">
        <f>_xlfn.XLOOKUP(B3564,Indices!$A$2:$A$2676,Indices!$B$2:$B$2676,"")</f>
        <v/>
      </c>
    </row>
    <row r="3565" spans="1:4" x14ac:dyDescent="0.25">
      <c r="A3565" s="379"/>
      <c r="B3565" s="382"/>
      <c r="C3565" s="377"/>
      <c r="D3565" s="6" t="str">
        <f>_xlfn.XLOOKUP(B3565,Indices!$A$2:$A$2676,Indices!$B$2:$B$2676,"")</f>
        <v/>
      </c>
    </row>
    <row r="3566" spans="1:4" x14ac:dyDescent="0.25">
      <c r="A3566" s="379"/>
      <c r="B3566" s="382"/>
      <c r="C3566" s="377"/>
      <c r="D3566" s="6" t="str">
        <f>_xlfn.XLOOKUP(B3566,Indices!$A$2:$A$2676,Indices!$B$2:$B$2676,"")</f>
        <v/>
      </c>
    </row>
    <row r="3567" spans="1:4" x14ac:dyDescent="0.25">
      <c r="A3567" s="379"/>
      <c r="B3567" s="382"/>
      <c r="C3567" s="377"/>
      <c r="D3567" s="6" t="str">
        <f>_xlfn.XLOOKUP(B3567,Indices!$A$2:$A$2676,Indices!$B$2:$B$2676,"")</f>
        <v/>
      </c>
    </row>
    <row r="3568" spans="1:4" x14ac:dyDescent="0.25">
      <c r="A3568" s="379"/>
      <c r="B3568" s="382"/>
      <c r="C3568" s="377"/>
      <c r="D3568" s="6" t="str">
        <f>_xlfn.XLOOKUP(B3568,Indices!$A$2:$A$2676,Indices!$B$2:$B$2676,"")</f>
        <v/>
      </c>
    </row>
    <row r="3569" spans="1:4" x14ac:dyDescent="0.25">
      <c r="A3569" s="379"/>
      <c r="B3569" s="382"/>
      <c r="C3569" s="377"/>
      <c r="D3569" s="6" t="str">
        <f>_xlfn.XLOOKUP(B3569,Indices!$A$2:$A$2676,Indices!$B$2:$B$2676,"")</f>
        <v/>
      </c>
    </row>
    <row r="3570" spans="1:4" x14ac:dyDescent="0.25">
      <c r="A3570" s="379"/>
      <c r="B3570" s="382"/>
      <c r="C3570" s="377"/>
      <c r="D3570" s="6" t="str">
        <f>_xlfn.XLOOKUP(B3570,Indices!$A$2:$A$2676,Indices!$B$2:$B$2676,"")</f>
        <v/>
      </c>
    </row>
    <row r="3571" spans="1:4" x14ac:dyDescent="0.25">
      <c r="A3571" s="379"/>
      <c r="B3571" s="382"/>
      <c r="C3571" s="377"/>
      <c r="D3571" s="6" t="str">
        <f>_xlfn.XLOOKUP(B3571,Indices!$A$2:$A$2676,Indices!$B$2:$B$2676,"")</f>
        <v/>
      </c>
    </row>
    <row r="3572" spans="1:4" x14ac:dyDescent="0.25">
      <c r="A3572" s="379"/>
      <c r="B3572" s="382"/>
      <c r="C3572" s="377"/>
      <c r="D3572" s="6" t="str">
        <f>_xlfn.XLOOKUP(B3572,Indices!$A$2:$A$2676,Indices!$B$2:$B$2676,"")</f>
        <v/>
      </c>
    </row>
    <row r="3573" spans="1:4" x14ac:dyDescent="0.25">
      <c r="A3573" s="379"/>
      <c r="B3573" s="382"/>
      <c r="C3573" s="377"/>
      <c r="D3573" s="6" t="str">
        <f>_xlfn.XLOOKUP(B3573,Indices!$A$2:$A$2676,Indices!$B$2:$B$2676,"")</f>
        <v/>
      </c>
    </row>
    <row r="3574" spans="1:4" x14ac:dyDescent="0.25">
      <c r="A3574" s="379"/>
      <c r="B3574" s="382"/>
      <c r="C3574" s="377"/>
      <c r="D3574" s="6" t="str">
        <f>_xlfn.XLOOKUP(B3574,Indices!$A$2:$A$2676,Indices!$B$2:$B$2676,"")</f>
        <v/>
      </c>
    </row>
    <row r="3575" spans="1:4" x14ac:dyDescent="0.25">
      <c r="A3575" s="379"/>
      <c r="B3575" s="382"/>
      <c r="C3575" s="377"/>
      <c r="D3575" s="6" t="str">
        <f>_xlfn.XLOOKUP(B3575,Indices!$A$2:$A$2676,Indices!$B$2:$B$2676,"")</f>
        <v/>
      </c>
    </row>
    <row r="3576" spans="1:4" x14ac:dyDescent="0.25">
      <c r="A3576" s="379"/>
      <c r="B3576" s="382"/>
      <c r="C3576" s="377"/>
      <c r="D3576" s="6" t="str">
        <f>_xlfn.XLOOKUP(B3576,Indices!$A$2:$A$2676,Indices!$B$2:$B$2676,"")</f>
        <v/>
      </c>
    </row>
    <row r="3577" spans="1:4" x14ac:dyDescent="0.25">
      <c r="A3577" s="379"/>
      <c r="B3577" s="382"/>
      <c r="C3577" s="377"/>
      <c r="D3577" s="6" t="str">
        <f>_xlfn.XLOOKUP(B3577,Indices!$A$2:$A$2676,Indices!$B$2:$B$2676,"")</f>
        <v/>
      </c>
    </row>
    <row r="3578" spans="1:4" x14ac:dyDescent="0.25">
      <c r="A3578" s="379"/>
      <c r="B3578" s="382"/>
      <c r="C3578" s="377"/>
      <c r="D3578" s="6" t="str">
        <f>_xlfn.XLOOKUP(B3578,Indices!$A$2:$A$2676,Indices!$B$2:$B$2676,"")</f>
        <v/>
      </c>
    </row>
    <row r="3579" spans="1:4" x14ac:dyDescent="0.25">
      <c r="A3579" s="379"/>
      <c r="B3579" s="382"/>
      <c r="C3579" s="377"/>
      <c r="D3579" s="6" t="str">
        <f>_xlfn.XLOOKUP(B3579,Indices!$A$2:$A$2676,Indices!$B$2:$B$2676,"")</f>
        <v/>
      </c>
    </row>
    <row r="3580" spans="1:4" x14ac:dyDescent="0.25">
      <c r="A3580" s="379"/>
      <c r="B3580" s="382"/>
      <c r="C3580" s="377"/>
      <c r="D3580" s="6" t="str">
        <f>_xlfn.XLOOKUP(B3580,Indices!$A$2:$A$2676,Indices!$B$2:$B$2676,"")</f>
        <v/>
      </c>
    </row>
    <row r="3581" spans="1:4" x14ac:dyDescent="0.25">
      <c r="A3581" s="379"/>
      <c r="B3581" s="382"/>
      <c r="C3581" s="377"/>
      <c r="D3581" s="6" t="str">
        <f>_xlfn.XLOOKUP(B3581,Indices!$A$2:$A$2676,Indices!$B$2:$B$2676,"")</f>
        <v/>
      </c>
    </row>
    <row r="3582" spans="1:4" x14ac:dyDescent="0.25">
      <c r="A3582" s="379"/>
      <c r="B3582" s="382"/>
      <c r="C3582" s="377"/>
      <c r="D3582" s="6" t="str">
        <f>_xlfn.XLOOKUP(B3582,Indices!$A$2:$A$2676,Indices!$B$2:$B$2676,"")</f>
        <v/>
      </c>
    </row>
    <row r="3583" spans="1:4" x14ac:dyDescent="0.25">
      <c r="A3583" s="379"/>
      <c r="B3583" s="382"/>
      <c r="C3583" s="377"/>
      <c r="D3583" s="6" t="str">
        <f>_xlfn.XLOOKUP(B3583,Indices!$A$2:$A$2676,Indices!$B$2:$B$2676,"")</f>
        <v/>
      </c>
    </row>
    <row r="3584" spans="1:4" x14ac:dyDescent="0.25">
      <c r="A3584" s="379"/>
      <c r="B3584" s="382"/>
      <c r="C3584" s="377"/>
      <c r="D3584" s="6" t="str">
        <f>_xlfn.XLOOKUP(B3584,Indices!$A$2:$A$2676,Indices!$B$2:$B$2676,"")</f>
        <v/>
      </c>
    </row>
    <row r="3585" spans="1:4" x14ac:dyDescent="0.25">
      <c r="A3585" s="379"/>
      <c r="B3585" s="382"/>
      <c r="C3585" s="377"/>
      <c r="D3585" s="6" t="str">
        <f>_xlfn.XLOOKUP(B3585,Indices!$A$2:$A$2676,Indices!$B$2:$B$2676,"")</f>
        <v/>
      </c>
    </row>
    <row r="3586" spans="1:4" x14ac:dyDescent="0.25">
      <c r="A3586" s="379"/>
      <c r="B3586" s="382"/>
      <c r="C3586" s="377"/>
      <c r="D3586" s="6" t="str">
        <f>_xlfn.XLOOKUP(B3586,Indices!$A$2:$A$2676,Indices!$B$2:$B$2676,"")</f>
        <v/>
      </c>
    </row>
    <row r="3587" spans="1:4" x14ac:dyDescent="0.25">
      <c r="A3587" s="379"/>
      <c r="B3587" s="382"/>
      <c r="C3587" s="377"/>
      <c r="D3587" s="6" t="str">
        <f>_xlfn.XLOOKUP(B3587,Indices!$A$2:$A$2676,Indices!$B$2:$B$2676,"")</f>
        <v/>
      </c>
    </row>
    <row r="3588" spans="1:4" x14ac:dyDescent="0.25">
      <c r="A3588" s="379"/>
      <c r="B3588" s="382"/>
      <c r="C3588" s="377"/>
      <c r="D3588" s="6" t="str">
        <f>_xlfn.XLOOKUP(B3588,Indices!$A$2:$A$2676,Indices!$B$2:$B$2676,"")</f>
        <v/>
      </c>
    </row>
    <row r="3589" spans="1:4" x14ac:dyDescent="0.25">
      <c r="A3589" s="379"/>
      <c r="B3589" s="382"/>
      <c r="C3589" s="377"/>
      <c r="D3589" s="6" t="str">
        <f>_xlfn.XLOOKUP(B3589,Indices!$A$2:$A$2676,Indices!$B$2:$B$2676,"")</f>
        <v/>
      </c>
    </row>
    <row r="3590" spans="1:4" x14ac:dyDescent="0.25">
      <c r="A3590" s="379"/>
      <c r="B3590" s="382"/>
      <c r="C3590" s="377"/>
      <c r="D3590" s="6" t="str">
        <f>_xlfn.XLOOKUP(B3590,Indices!$A$2:$A$2676,Indices!$B$2:$B$2676,"")</f>
        <v/>
      </c>
    </row>
    <row r="3591" spans="1:4" x14ac:dyDescent="0.25">
      <c r="A3591" s="379"/>
      <c r="B3591" s="382"/>
      <c r="C3591" s="377"/>
      <c r="D3591" s="6" t="str">
        <f>_xlfn.XLOOKUP(B3591,Indices!$A$2:$A$2676,Indices!$B$2:$B$2676,"")</f>
        <v/>
      </c>
    </row>
    <row r="3592" spans="1:4" x14ac:dyDescent="0.25">
      <c r="A3592" s="379"/>
      <c r="B3592" s="382"/>
      <c r="C3592" s="377"/>
      <c r="D3592" s="6" t="str">
        <f>_xlfn.XLOOKUP(B3592,Indices!$A$2:$A$2676,Indices!$B$2:$B$2676,"")</f>
        <v/>
      </c>
    </row>
    <row r="3593" spans="1:4" x14ac:dyDescent="0.25">
      <c r="A3593" s="379"/>
      <c r="B3593" s="382"/>
      <c r="C3593" s="377"/>
      <c r="D3593" s="6" t="str">
        <f>_xlfn.XLOOKUP(B3593,Indices!$A$2:$A$2676,Indices!$B$2:$B$2676,"")</f>
        <v/>
      </c>
    </row>
    <row r="3594" spans="1:4" x14ac:dyDescent="0.25">
      <c r="A3594" s="379"/>
      <c r="B3594" s="382"/>
      <c r="C3594" s="377"/>
      <c r="D3594" s="6" t="str">
        <f>_xlfn.XLOOKUP(B3594,Indices!$A$2:$A$2676,Indices!$B$2:$B$2676,"")</f>
        <v/>
      </c>
    </row>
    <row r="3595" spans="1:4" x14ac:dyDescent="0.25">
      <c r="A3595" s="379"/>
      <c r="B3595" s="382"/>
      <c r="C3595" s="377"/>
      <c r="D3595" s="6" t="str">
        <f>_xlfn.XLOOKUP(B3595,Indices!$A$2:$A$2676,Indices!$B$2:$B$2676,"")</f>
        <v/>
      </c>
    </row>
    <row r="3596" spans="1:4" x14ac:dyDescent="0.25">
      <c r="A3596" s="379"/>
      <c r="B3596" s="382"/>
      <c r="C3596" s="377"/>
      <c r="D3596" s="6" t="str">
        <f>_xlfn.XLOOKUP(B3596,Indices!$A$2:$A$2676,Indices!$B$2:$B$2676,"")</f>
        <v/>
      </c>
    </row>
    <row r="3597" spans="1:4" x14ac:dyDescent="0.25">
      <c r="A3597" s="379"/>
      <c r="B3597" s="382"/>
      <c r="C3597" s="377"/>
      <c r="D3597" s="6" t="str">
        <f>_xlfn.XLOOKUP(B3597,Indices!$A$2:$A$2676,Indices!$B$2:$B$2676,"")</f>
        <v/>
      </c>
    </row>
    <row r="3598" spans="1:4" x14ac:dyDescent="0.25">
      <c r="A3598" s="379"/>
      <c r="B3598" s="382"/>
      <c r="C3598" s="377"/>
      <c r="D3598" s="6" t="str">
        <f>_xlfn.XLOOKUP(B3598,Indices!$A$2:$A$2676,Indices!$B$2:$B$2676,"")</f>
        <v/>
      </c>
    </row>
    <row r="3599" spans="1:4" x14ac:dyDescent="0.25">
      <c r="A3599" s="379"/>
      <c r="B3599" s="382"/>
      <c r="C3599" s="377"/>
      <c r="D3599" s="6" t="str">
        <f>_xlfn.XLOOKUP(B3599,Indices!$A$2:$A$2676,Indices!$B$2:$B$2676,"")</f>
        <v/>
      </c>
    </row>
    <row r="3600" spans="1:4" x14ac:dyDescent="0.25">
      <c r="A3600" s="379"/>
      <c r="B3600" s="382"/>
      <c r="C3600" s="377"/>
      <c r="D3600" s="6" t="str">
        <f>_xlfn.XLOOKUP(B3600,Indices!$A$2:$A$2676,Indices!$B$2:$B$2676,"")</f>
        <v/>
      </c>
    </row>
    <row r="3601" spans="1:4" x14ac:dyDescent="0.25">
      <c r="A3601" s="379"/>
      <c r="B3601" s="382"/>
      <c r="C3601" s="377"/>
      <c r="D3601" s="6" t="str">
        <f>_xlfn.XLOOKUP(B3601,Indices!$A$2:$A$2676,Indices!$B$2:$B$2676,"")</f>
        <v/>
      </c>
    </row>
    <row r="3602" spans="1:4" x14ac:dyDescent="0.25">
      <c r="A3602" s="379"/>
      <c r="B3602" s="382"/>
      <c r="C3602" s="377"/>
      <c r="D3602" s="6" t="str">
        <f>_xlfn.XLOOKUP(B3602,Indices!$A$2:$A$2676,Indices!$B$2:$B$2676,"")</f>
        <v/>
      </c>
    </row>
    <row r="3603" spans="1:4" x14ac:dyDescent="0.25">
      <c r="A3603" s="379"/>
      <c r="B3603" s="382"/>
      <c r="C3603" s="377"/>
      <c r="D3603" s="6" t="str">
        <f>_xlfn.XLOOKUP(B3603,Indices!$A$2:$A$2676,Indices!$B$2:$B$2676,"")</f>
        <v/>
      </c>
    </row>
    <row r="3604" spans="1:4" x14ac:dyDescent="0.25">
      <c r="A3604" s="379"/>
      <c r="B3604" s="382"/>
      <c r="C3604" s="377"/>
      <c r="D3604" s="6" t="str">
        <f>_xlfn.XLOOKUP(B3604,Indices!$A$2:$A$2676,Indices!$B$2:$B$2676,"")</f>
        <v/>
      </c>
    </row>
    <row r="3605" spans="1:4" x14ac:dyDescent="0.25">
      <c r="A3605" s="379"/>
      <c r="B3605" s="382"/>
      <c r="C3605" s="377"/>
      <c r="D3605" s="6" t="str">
        <f>_xlfn.XLOOKUP(B3605,Indices!$A$2:$A$2676,Indices!$B$2:$B$2676,"")</f>
        <v/>
      </c>
    </row>
    <row r="3606" spans="1:4" x14ac:dyDescent="0.25">
      <c r="A3606" s="379"/>
      <c r="B3606" s="382"/>
      <c r="C3606" s="377"/>
      <c r="D3606" s="6" t="str">
        <f>_xlfn.XLOOKUP(B3606,Indices!$A$2:$A$2676,Indices!$B$2:$B$2676,"")</f>
        <v/>
      </c>
    </row>
    <row r="3607" spans="1:4" x14ac:dyDescent="0.25">
      <c r="A3607" s="379"/>
      <c r="B3607" s="382"/>
      <c r="C3607" s="377"/>
      <c r="D3607" s="6" t="str">
        <f>_xlfn.XLOOKUP(B3607,Indices!$A$2:$A$2676,Indices!$B$2:$B$2676,"")</f>
        <v/>
      </c>
    </row>
    <row r="3608" spans="1:4" x14ac:dyDescent="0.25">
      <c r="A3608" s="379"/>
      <c r="B3608" s="382"/>
      <c r="C3608" s="377"/>
      <c r="D3608" s="6" t="str">
        <f>_xlfn.XLOOKUP(B3608,Indices!$A$2:$A$2676,Indices!$B$2:$B$2676,"")</f>
        <v/>
      </c>
    </row>
    <row r="3609" spans="1:4" x14ac:dyDescent="0.25">
      <c r="A3609" s="379"/>
      <c r="B3609" s="382"/>
      <c r="C3609" s="377"/>
      <c r="D3609" s="6" t="str">
        <f>_xlfn.XLOOKUP(B3609,Indices!$A$2:$A$2676,Indices!$B$2:$B$2676,"")</f>
        <v/>
      </c>
    </row>
    <row r="3610" spans="1:4" x14ac:dyDescent="0.25">
      <c r="A3610" s="379"/>
      <c r="B3610" s="382"/>
      <c r="C3610" s="377"/>
      <c r="D3610" s="6" t="str">
        <f>_xlfn.XLOOKUP(B3610,Indices!$A$2:$A$2676,Indices!$B$2:$B$2676,"")</f>
        <v/>
      </c>
    </row>
    <row r="3611" spans="1:4" x14ac:dyDescent="0.25">
      <c r="A3611" s="379"/>
      <c r="B3611" s="382"/>
      <c r="C3611" s="377"/>
      <c r="D3611" s="6" t="str">
        <f>_xlfn.XLOOKUP(B3611,Indices!$A$2:$A$2676,Indices!$B$2:$B$2676,"")</f>
        <v/>
      </c>
    </row>
    <row r="3612" spans="1:4" x14ac:dyDescent="0.25">
      <c r="A3612" s="379"/>
      <c r="B3612" s="382"/>
      <c r="C3612" s="377"/>
      <c r="D3612" s="6" t="str">
        <f>_xlfn.XLOOKUP(B3612,Indices!$A$2:$A$2676,Indices!$B$2:$B$2676,"")</f>
        <v/>
      </c>
    </row>
    <row r="3613" spans="1:4" x14ac:dyDescent="0.25">
      <c r="A3613" s="379"/>
      <c r="B3613" s="382"/>
      <c r="C3613" s="377"/>
      <c r="D3613" s="6" t="str">
        <f>_xlfn.XLOOKUP(B3613,Indices!$A$2:$A$2676,Indices!$B$2:$B$2676,"")</f>
        <v/>
      </c>
    </row>
    <row r="3614" spans="1:4" x14ac:dyDescent="0.25">
      <c r="A3614" s="379"/>
      <c r="B3614" s="382"/>
      <c r="C3614" s="377"/>
      <c r="D3614" s="6" t="str">
        <f>_xlfn.XLOOKUP(B3614,Indices!$A$2:$A$2676,Indices!$B$2:$B$2676,"")</f>
        <v/>
      </c>
    </row>
    <row r="3615" spans="1:4" x14ac:dyDescent="0.25">
      <c r="A3615" s="379"/>
      <c r="B3615" s="382"/>
      <c r="C3615" s="377"/>
      <c r="D3615" s="6" t="str">
        <f>_xlfn.XLOOKUP(B3615,Indices!$A$2:$A$2676,Indices!$B$2:$B$2676,"")</f>
        <v/>
      </c>
    </row>
    <row r="3616" spans="1:4" x14ac:dyDescent="0.25">
      <c r="A3616" s="379"/>
      <c r="B3616" s="382"/>
      <c r="C3616" s="377"/>
      <c r="D3616" s="6" t="str">
        <f>_xlfn.XLOOKUP(B3616,Indices!$A$2:$A$2676,Indices!$B$2:$B$2676,"")</f>
        <v/>
      </c>
    </row>
    <row r="3617" spans="1:4" x14ac:dyDescent="0.25">
      <c r="A3617" s="379"/>
      <c r="B3617" s="382"/>
      <c r="C3617" s="377"/>
      <c r="D3617" s="6" t="str">
        <f>_xlfn.XLOOKUP(B3617,Indices!$A$2:$A$2676,Indices!$B$2:$B$2676,"")</f>
        <v/>
      </c>
    </row>
    <row r="3618" spans="1:4" x14ac:dyDescent="0.25">
      <c r="A3618" s="379"/>
      <c r="B3618" s="382"/>
      <c r="C3618" s="377"/>
      <c r="D3618" s="6" t="str">
        <f>_xlfn.XLOOKUP(B3618,Indices!$A$2:$A$2676,Indices!$B$2:$B$2676,"")</f>
        <v/>
      </c>
    </row>
    <row r="3619" spans="1:4" x14ac:dyDescent="0.25">
      <c r="A3619" s="379"/>
      <c r="B3619" s="382"/>
      <c r="C3619" s="377"/>
      <c r="D3619" s="6" t="str">
        <f>_xlfn.XLOOKUP(B3619,Indices!$A$2:$A$2676,Indices!$B$2:$B$2676,"")</f>
        <v/>
      </c>
    </row>
    <row r="3620" spans="1:4" x14ac:dyDescent="0.25">
      <c r="A3620" s="379"/>
      <c r="B3620" s="382"/>
      <c r="C3620" s="377"/>
      <c r="D3620" s="6" t="str">
        <f>_xlfn.XLOOKUP(B3620,Indices!$A$2:$A$2676,Indices!$B$2:$B$2676,"")</f>
        <v/>
      </c>
    </row>
    <row r="3621" spans="1:4" x14ac:dyDescent="0.25">
      <c r="A3621" s="379"/>
      <c r="B3621" s="382"/>
      <c r="C3621" s="377"/>
      <c r="D3621" s="6" t="str">
        <f>_xlfn.XLOOKUP(B3621,Indices!$A$2:$A$2676,Indices!$B$2:$B$2676,"")</f>
        <v/>
      </c>
    </row>
    <row r="3622" spans="1:4" x14ac:dyDescent="0.25">
      <c r="A3622" s="379"/>
      <c r="B3622" s="382"/>
      <c r="C3622" s="377"/>
      <c r="D3622" s="6" t="str">
        <f>_xlfn.XLOOKUP(B3622,Indices!$A$2:$A$2676,Indices!$B$2:$B$2676,"")</f>
        <v/>
      </c>
    </row>
    <row r="3623" spans="1:4" x14ac:dyDescent="0.25">
      <c r="A3623" s="379"/>
      <c r="B3623" s="382"/>
      <c r="C3623" s="377"/>
      <c r="D3623" s="6" t="str">
        <f>_xlfn.XLOOKUP(B3623,Indices!$A$2:$A$2676,Indices!$B$2:$B$2676,"")</f>
        <v/>
      </c>
    </row>
    <row r="3624" spans="1:4" x14ac:dyDescent="0.25">
      <c r="A3624" s="379"/>
      <c r="B3624" s="382"/>
      <c r="C3624" s="377"/>
      <c r="D3624" s="6" t="str">
        <f>_xlfn.XLOOKUP(B3624,Indices!$A$2:$A$2676,Indices!$B$2:$B$2676,"")</f>
        <v/>
      </c>
    </row>
    <row r="3625" spans="1:4" x14ac:dyDescent="0.25">
      <c r="A3625" s="379"/>
      <c r="B3625" s="382"/>
      <c r="C3625" s="377"/>
      <c r="D3625" s="6" t="str">
        <f>_xlfn.XLOOKUP(B3625,Indices!$A$2:$A$2676,Indices!$B$2:$B$2676,"")</f>
        <v/>
      </c>
    </row>
    <row r="3626" spans="1:4" x14ac:dyDescent="0.25">
      <c r="A3626" s="379"/>
      <c r="B3626" s="382"/>
      <c r="C3626" s="377"/>
      <c r="D3626" s="6" t="str">
        <f>_xlfn.XLOOKUP(B3626,Indices!$A$2:$A$2676,Indices!$B$2:$B$2676,"")</f>
        <v/>
      </c>
    </row>
    <row r="3627" spans="1:4" x14ac:dyDescent="0.25">
      <c r="A3627" s="379"/>
      <c r="B3627" s="382"/>
      <c r="C3627" s="377"/>
      <c r="D3627" s="6" t="str">
        <f>_xlfn.XLOOKUP(B3627,Indices!$A$2:$A$2676,Indices!$B$2:$B$2676,"")</f>
        <v/>
      </c>
    </row>
    <row r="3628" spans="1:4" x14ac:dyDescent="0.25">
      <c r="A3628" s="379"/>
      <c r="B3628" s="382"/>
      <c r="C3628" s="377"/>
      <c r="D3628" s="6" t="str">
        <f>_xlfn.XLOOKUP(B3628,Indices!$A$2:$A$2676,Indices!$B$2:$B$2676,"")</f>
        <v/>
      </c>
    </row>
    <row r="3629" spans="1:4" x14ac:dyDescent="0.25">
      <c r="A3629" s="379"/>
      <c r="B3629" s="382"/>
      <c r="C3629" s="377"/>
      <c r="D3629" s="6" t="str">
        <f>_xlfn.XLOOKUP(B3629,Indices!$A$2:$A$2676,Indices!$B$2:$B$2676,"")</f>
        <v/>
      </c>
    </row>
    <row r="3630" spans="1:4" x14ac:dyDescent="0.25">
      <c r="A3630" s="379"/>
      <c r="B3630" s="382"/>
      <c r="C3630" s="377"/>
      <c r="D3630" s="6" t="str">
        <f>_xlfn.XLOOKUP(B3630,Indices!$A$2:$A$2676,Indices!$B$2:$B$2676,"")</f>
        <v/>
      </c>
    </row>
    <row r="3631" spans="1:4" x14ac:dyDescent="0.25">
      <c r="A3631" s="379"/>
      <c r="B3631" s="382"/>
      <c r="C3631" s="377"/>
      <c r="D3631" s="6" t="str">
        <f>_xlfn.XLOOKUP(B3631,Indices!$A$2:$A$2676,Indices!$B$2:$B$2676,"")</f>
        <v/>
      </c>
    </row>
    <row r="3632" spans="1:4" x14ac:dyDescent="0.25">
      <c r="A3632" s="379"/>
      <c r="B3632" s="382"/>
      <c r="C3632" s="377"/>
      <c r="D3632" s="6" t="str">
        <f>_xlfn.XLOOKUP(B3632,Indices!$A$2:$A$2676,Indices!$B$2:$B$2676,"")</f>
        <v/>
      </c>
    </row>
    <row r="3633" spans="1:4" x14ac:dyDescent="0.25">
      <c r="A3633" s="379"/>
      <c r="B3633" s="382"/>
      <c r="C3633" s="377"/>
      <c r="D3633" s="6" t="str">
        <f>_xlfn.XLOOKUP(B3633,Indices!$A$2:$A$2676,Indices!$B$2:$B$2676,"")</f>
        <v/>
      </c>
    </row>
    <row r="3634" spans="1:4" x14ac:dyDescent="0.25">
      <c r="A3634" s="379"/>
      <c r="B3634" s="382"/>
      <c r="C3634" s="377"/>
      <c r="D3634" s="6" t="str">
        <f>_xlfn.XLOOKUP(B3634,Indices!$A$2:$A$2676,Indices!$B$2:$B$2676,"")</f>
        <v/>
      </c>
    </row>
    <row r="3635" spans="1:4" x14ac:dyDescent="0.25">
      <c r="A3635" s="379"/>
      <c r="B3635" s="382"/>
      <c r="C3635" s="377"/>
      <c r="D3635" s="6" t="str">
        <f>_xlfn.XLOOKUP(B3635,Indices!$A$2:$A$2676,Indices!$B$2:$B$2676,"")</f>
        <v/>
      </c>
    </row>
    <row r="3636" spans="1:4" x14ac:dyDescent="0.25">
      <c r="A3636" s="379"/>
      <c r="B3636" s="382"/>
      <c r="C3636" s="377"/>
      <c r="D3636" s="6" t="str">
        <f>_xlfn.XLOOKUP(B3636,Indices!$A$2:$A$2676,Indices!$B$2:$B$2676,"")</f>
        <v/>
      </c>
    </row>
    <row r="3637" spans="1:4" x14ac:dyDescent="0.25">
      <c r="A3637" s="379"/>
      <c r="B3637" s="382"/>
      <c r="C3637" s="377"/>
      <c r="D3637" s="6" t="str">
        <f>_xlfn.XLOOKUP(B3637,Indices!$A$2:$A$2676,Indices!$B$2:$B$2676,"")</f>
        <v/>
      </c>
    </row>
    <row r="3638" spans="1:4" x14ac:dyDescent="0.25">
      <c r="A3638" s="379"/>
      <c r="B3638" s="382"/>
      <c r="C3638" s="377"/>
      <c r="D3638" s="6" t="str">
        <f>_xlfn.XLOOKUP(B3638,Indices!$A$2:$A$2676,Indices!$B$2:$B$2676,"")</f>
        <v/>
      </c>
    </row>
    <row r="3639" spans="1:4" x14ac:dyDescent="0.25">
      <c r="A3639" s="379"/>
      <c r="B3639" s="382"/>
      <c r="C3639" s="377"/>
      <c r="D3639" s="6" t="str">
        <f>_xlfn.XLOOKUP(B3639,Indices!$A$2:$A$2676,Indices!$B$2:$B$2676,"")</f>
        <v/>
      </c>
    </row>
    <row r="3640" spans="1:4" x14ac:dyDescent="0.25">
      <c r="A3640" s="379"/>
      <c r="B3640" s="382"/>
      <c r="C3640" s="377"/>
      <c r="D3640" s="6" t="str">
        <f>_xlfn.XLOOKUP(B3640,Indices!$A$2:$A$2676,Indices!$B$2:$B$2676,"")</f>
        <v/>
      </c>
    </row>
    <row r="3641" spans="1:4" x14ac:dyDescent="0.25">
      <c r="A3641" s="379"/>
      <c r="B3641" s="382"/>
      <c r="C3641" s="377"/>
      <c r="D3641" s="6" t="str">
        <f>_xlfn.XLOOKUP(B3641,Indices!$A$2:$A$2676,Indices!$B$2:$B$2676,"")</f>
        <v/>
      </c>
    </row>
    <row r="3642" spans="1:4" x14ac:dyDescent="0.25">
      <c r="A3642" s="379"/>
      <c r="B3642" s="382"/>
      <c r="C3642" s="377"/>
      <c r="D3642" s="6" t="str">
        <f>_xlfn.XLOOKUP(B3642,Indices!$A$2:$A$2676,Indices!$B$2:$B$2676,"")</f>
        <v/>
      </c>
    </row>
    <row r="3643" spans="1:4" x14ac:dyDescent="0.25">
      <c r="A3643" s="379"/>
      <c r="B3643" s="382"/>
      <c r="C3643" s="377"/>
      <c r="D3643" s="6" t="str">
        <f>_xlfn.XLOOKUP(B3643,Indices!$A$2:$A$2676,Indices!$B$2:$B$2676,"")</f>
        <v/>
      </c>
    </row>
    <row r="3644" spans="1:4" x14ac:dyDescent="0.25">
      <c r="A3644" s="379"/>
      <c r="B3644" s="382"/>
      <c r="C3644" s="377"/>
      <c r="D3644" s="6" t="str">
        <f>_xlfn.XLOOKUP(B3644,Indices!$A$2:$A$2676,Indices!$B$2:$B$2676,"")</f>
        <v/>
      </c>
    </row>
    <row r="3645" spans="1:4" x14ac:dyDescent="0.25">
      <c r="A3645" s="379"/>
      <c r="B3645" s="382"/>
      <c r="C3645" s="377"/>
      <c r="D3645" s="6" t="str">
        <f>_xlfn.XLOOKUP(B3645,Indices!$A$2:$A$2676,Indices!$B$2:$B$2676,"")</f>
        <v/>
      </c>
    </row>
    <row r="3646" spans="1:4" x14ac:dyDescent="0.25">
      <c r="A3646" s="379"/>
      <c r="B3646" s="382"/>
      <c r="C3646" s="377"/>
      <c r="D3646" s="6" t="str">
        <f>_xlfn.XLOOKUP(B3646,Indices!$A$2:$A$2676,Indices!$B$2:$B$2676,"")</f>
        <v/>
      </c>
    </row>
    <row r="3647" spans="1:4" x14ac:dyDescent="0.25">
      <c r="A3647" s="379"/>
      <c r="B3647" s="382"/>
      <c r="C3647" s="377"/>
      <c r="D3647" s="6" t="str">
        <f>_xlfn.XLOOKUP(B3647,Indices!$A$2:$A$2676,Indices!$B$2:$B$2676,"")</f>
        <v/>
      </c>
    </row>
    <row r="3648" spans="1:4" x14ac:dyDescent="0.25">
      <c r="A3648" s="379"/>
      <c r="B3648" s="382"/>
      <c r="C3648" s="377"/>
      <c r="D3648" s="6" t="str">
        <f>_xlfn.XLOOKUP(B3648,Indices!$A$2:$A$2676,Indices!$B$2:$B$2676,"")</f>
        <v/>
      </c>
    </row>
    <row r="3649" spans="1:4" x14ac:dyDescent="0.25">
      <c r="A3649" s="379"/>
      <c r="B3649" s="382"/>
      <c r="C3649" s="377"/>
      <c r="D3649" s="6" t="str">
        <f>_xlfn.XLOOKUP(B3649,Indices!$A$2:$A$2676,Indices!$B$2:$B$2676,"")</f>
        <v/>
      </c>
    </row>
    <row r="3650" spans="1:4" x14ac:dyDescent="0.25">
      <c r="A3650" s="379"/>
      <c r="B3650" s="382"/>
      <c r="C3650" s="377"/>
      <c r="D3650" s="6" t="str">
        <f>_xlfn.XLOOKUP(B3650,Indices!$A$2:$A$2676,Indices!$B$2:$B$2676,"")</f>
        <v/>
      </c>
    </row>
    <row r="3651" spans="1:4" x14ac:dyDescent="0.25">
      <c r="A3651" s="379"/>
      <c r="B3651" s="382"/>
      <c r="C3651" s="377"/>
      <c r="D3651" s="6" t="str">
        <f>_xlfn.XLOOKUP(B3651,Indices!$A$2:$A$2676,Indices!$B$2:$B$2676,"")</f>
        <v/>
      </c>
    </row>
    <row r="3652" spans="1:4" x14ac:dyDescent="0.25">
      <c r="A3652" s="379"/>
      <c r="B3652" s="382"/>
      <c r="C3652" s="377"/>
      <c r="D3652" s="6" t="str">
        <f>_xlfn.XLOOKUP(B3652,Indices!$A$2:$A$2676,Indices!$B$2:$B$2676,"")</f>
        <v/>
      </c>
    </row>
    <row r="3653" spans="1:4" x14ac:dyDescent="0.25">
      <c r="A3653" s="379"/>
      <c r="B3653" s="382"/>
      <c r="C3653" s="377"/>
      <c r="D3653" s="6" t="str">
        <f>_xlfn.XLOOKUP(B3653,Indices!$A$2:$A$2676,Indices!$B$2:$B$2676,"")</f>
        <v/>
      </c>
    </row>
    <row r="3654" spans="1:4" x14ac:dyDescent="0.25">
      <c r="A3654" s="379"/>
      <c r="B3654" s="382"/>
      <c r="C3654" s="377"/>
      <c r="D3654" s="6" t="str">
        <f>_xlfn.XLOOKUP(B3654,Indices!$A$2:$A$2676,Indices!$B$2:$B$2676,"")</f>
        <v/>
      </c>
    </row>
    <row r="3655" spans="1:4" x14ac:dyDescent="0.25">
      <c r="A3655" s="379"/>
      <c r="B3655" s="382"/>
      <c r="C3655" s="377"/>
      <c r="D3655" s="6" t="str">
        <f>_xlfn.XLOOKUP(B3655,Indices!$A$2:$A$2676,Indices!$B$2:$B$2676,"")</f>
        <v/>
      </c>
    </row>
    <row r="3656" spans="1:4" x14ac:dyDescent="0.25">
      <c r="A3656" s="379"/>
      <c r="B3656" s="382"/>
      <c r="C3656" s="377"/>
      <c r="D3656" s="6" t="str">
        <f>_xlfn.XLOOKUP(B3656,Indices!$A$2:$A$2676,Indices!$B$2:$B$2676,"")</f>
        <v/>
      </c>
    </row>
    <row r="3657" spans="1:4" x14ac:dyDescent="0.25">
      <c r="A3657" s="379"/>
      <c r="B3657" s="382"/>
      <c r="C3657" s="377"/>
      <c r="D3657" s="6" t="str">
        <f>_xlfn.XLOOKUP(B3657,Indices!$A$2:$A$2676,Indices!$B$2:$B$2676,"")</f>
        <v/>
      </c>
    </row>
    <row r="3658" spans="1:4" x14ac:dyDescent="0.25">
      <c r="A3658" s="379"/>
      <c r="B3658" s="382"/>
      <c r="C3658" s="377"/>
      <c r="D3658" s="6" t="str">
        <f>_xlfn.XLOOKUP(B3658,Indices!$A$2:$A$2676,Indices!$B$2:$B$2676,"")</f>
        <v/>
      </c>
    </row>
    <row r="3659" spans="1:4" x14ac:dyDescent="0.25">
      <c r="A3659" s="379"/>
      <c r="B3659" s="382"/>
      <c r="C3659" s="377"/>
      <c r="D3659" s="6" t="str">
        <f>_xlfn.XLOOKUP(B3659,Indices!$A$2:$A$2676,Indices!$B$2:$B$2676,"")</f>
        <v/>
      </c>
    </row>
    <row r="3660" spans="1:4" x14ac:dyDescent="0.25">
      <c r="A3660" s="379"/>
      <c r="B3660" s="382"/>
      <c r="C3660" s="377"/>
      <c r="D3660" s="6" t="str">
        <f>_xlfn.XLOOKUP(B3660,Indices!$A$2:$A$2676,Indices!$B$2:$B$2676,"")</f>
        <v/>
      </c>
    </row>
    <row r="3661" spans="1:4" x14ac:dyDescent="0.25">
      <c r="A3661" s="379"/>
      <c r="B3661" s="382"/>
      <c r="C3661" s="377"/>
      <c r="D3661" s="6" t="str">
        <f>_xlfn.XLOOKUP(B3661,Indices!$A$2:$A$2676,Indices!$B$2:$B$2676,"")</f>
        <v/>
      </c>
    </row>
    <row r="3662" spans="1:4" x14ac:dyDescent="0.25">
      <c r="A3662" s="379"/>
      <c r="B3662" s="382"/>
      <c r="C3662" s="377"/>
      <c r="D3662" s="6" t="str">
        <f>_xlfn.XLOOKUP(B3662,Indices!$A$2:$A$2676,Indices!$B$2:$B$2676,"")</f>
        <v/>
      </c>
    </row>
    <row r="3663" spans="1:4" x14ac:dyDescent="0.25">
      <c r="A3663" s="379"/>
      <c r="B3663" s="382"/>
      <c r="C3663" s="377"/>
      <c r="D3663" s="6" t="str">
        <f>_xlfn.XLOOKUP(B3663,Indices!$A$2:$A$2676,Indices!$B$2:$B$2676,"")</f>
        <v/>
      </c>
    </row>
    <row r="3664" spans="1:4" x14ac:dyDescent="0.25">
      <c r="A3664" s="379"/>
      <c r="B3664" s="382"/>
      <c r="C3664" s="377"/>
      <c r="D3664" s="6" t="str">
        <f>_xlfn.XLOOKUP(B3664,Indices!$A$2:$A$2676,Indices!$B$2:$B$2676,"")</f>
        <v/>
      </c>
    </row>
    <row r="3665" spans="1:4" x14ac:dyDescent="0.25">
      <c r="A3665" s="379"/>
      <c r="B3665" s="382"/>
      <c r="C3665" s="377"/>
      <c r="D3665" s="6" t="str">
        <f>_xlfn.XLOOKUP(B3665,Indices!$A$2:$A$2676,Indices!$B$2:$B$2676,"")</f>
        <v/>
      </c>
    </row>
    <row r="3666" spans="1:4" x14ac:dyDescent="0.25">
      <c r="A3666" s="379"/>
      <c r="B3666" s="382"/>
      <c r="C3666" s="377"/>
      <c r="D3666" s="6" t="str">
        <f>_xlfn.XLOOKUP(B3666,Indices!$A$2:$A$2676,Indices!$B$2:$B$2676,"")</f>
        <v/>
      </c>
    </row>
    <row r="3667" spans="1:4" x14ac:dyDescent="0.25">
      <c r="A3667" s="379"/>
      <c r="B3667" s="382"/>
      <c r="C3667" s="377"/>
      <c r="D3667" s="6" t="str">
        <f>_xlfn.XLOOKUP(B3667,Indices!$A$2:$A$2676,Indices!$B$2:$B$2676,"")</f>
        <v/>
      </c>
    </row>
    <row r="3668" spans="1:4" x14ac:dyDescent="0.25">
      <c r="A3668" s="379"/>
      <c r="B3668" s="382"/>
      <c r="C3668" s="377"/>
      <c r="D3668" s="6" t="str">
        <f>_xlfn.XLOOKUP(B3668,Indices!$A$2:$A$2676,Indices!$B$2:$B$2676,"")</f>
        <v/>
      </c>
    </row>
    <row r="3669" spans="1:4" x14ac:dyDescent="0.25">
      <c r="A3669" s="379"/>
      <c r="B3669" s="382"/>
      <c r="C3669" s="377"/>
      <c r="D3669" s="6" t="str">
        <f>_xlfn.XLOOKUP(B3669,Indices!$A$2:$A$2676,Indices!$B$2:$B$2676,"")</f>
        <v/>
      </c>
    </row>
    <row r="3670" spans="1:4" x14ac:dyDescent="0.25">
      <c r="A3670" s="379"/>
      <c r="B3670" s="382"/>
      <c r="C3670" s="377"/>
      <c r="D3670" s="6" t="str">
        <f>_xlfn.XLOOKUP(B3670,Indices!$A$2:$A$2676,Indices!$B$2:$B$2676,"")</f>
        <v/>
      </c>
    </row>
    <row r="3671" spans="1:4" x14ac:dyDescent="0.25">
      <c r="A3671" s="379"/>
      <c r="B3671" s="382"/>
      <c r="C3671" s="377"/>
      <c r="D3671" s="6" t="str">
        <f>_xlfn.XLOOKUP(B3671,Indices!$A$2:$A$2676,Indices!$B$2:$B$2676,"")</f>
        <v/>
      </c>
    </row>
    <row r="3672" spans="1:4" x14ac:dyDescent="0.25">
      <c r="A3672" s="379"/>
      <c r="B3672" s="382"/>
      <c r="C3672" s="377"/>
      <c r="D3672" s="6" t="str">
        <f>_xlfn.XLOOKUP(B3672,Indices!$A$2:$A$2676,Indices!$B$2:$B$2676,"")</f>
        <v/>
      </c>
    </row>
    <row r="3673" spans="1:4" x14ac:dyDescent="0.25">
      <c r="A3673" s="379"/>
      <c r="B3673" s="382"/>
      <c r="C3673" s="377"/>
      <c r="D3673" s="6" t="str">
        <f>_xlfn.XLOOKUP(B3673,Indices!$A$2:$A$2676,Indices!$B$2:$B$2676,"")</f>
        <v/>
      </c>
    </row>
    <row r="3674" spans="1:4" x14ac:dyDescent="0.25">
      <c r="A3674" s="379"/>
      <c r="B3674" s="382"/>
      <c r="C3674" s="377"/>
      <c r="D3674" s="6" t="str">
        <f>_xlfn.XLOOKUP(B3674,Indices!$A$2:$A$2676,Indices!$B$2:$B$2676,"")</f>
        <v/>
      </c>
    </row>
    <row r="3675" spans="1:4" x14ac:dyDescent="0.25">
      <c r="A3675" s="379"/>
      <c r="B3675" s="382"/>
      <c r="C3675" s="377"/>
      <c r="D3675" s="6" t="str">
        <f>_xlfn.XLOOKUP(B3675,Indices!$A$2:$A$2676,Indices!$B$2:$B$2676,"")</f>
        <v/>
      </c>
    </row>
    <row r="3676" spans="1:4" x14ac:dyDescent="0.25">
      <c r="A3676" s="379"/>
      <c r="B3676" s="382"/>
      <c r="C3676" s="377"/>
      <c r="D3676" s="6" t="str">
        <f>_xlfn.XLOOKUP(B3676,Indices!$A$2:$A$2676,Indices!$B$2:$B$2676,"")</f>
        <v/>
      </c>
    </row>
    <row r="3677" spans="1:4" x14ac:dyDescent="0.25">
      <c r="A3677" s="379"/>
      <c r="B3677" s="382"/>
      <c r="C3677" s="377"/>
      <c r="D3677" s="6" t="str">
        <f>_xlfn.XLOOKUP(B3677,Indices!$A$2:$A$2676,Indices!$B$2:$B$2676,"")</f>
        <v/>
      </c>
    </row>
    <row r="3678" spans="1:4" x14ac:dyDescent="0.25">
      <c r="A3678" s="379"/>
      <c r="B3678" s="382"/>
      <c r="C3678" s="377"/>
      <c r="D3678" s="6" t="str">
        <f>_xlfn.XLOOKUP(B3678,Indices!$A$2:$A$2676,Indices!$B$2:$B$2676,"")</f>
        <v/>
      </c>
    </row>
    <row r="3679" spans="1:4" x14ac:dyDescent="0.25">
      <c r="A3679" s="379"/>
      <c r="B3679" s="382"/>
      <c r="C3679" s="377"/>
      <c r="D3679" s="6" t="str">
        <f>_xlfn.XLOOKUP(B3679,Indices!$A$2:$A$2676,Indices!$B$2:$B$2676,"")</f>
        <v/>
      </c>
    </row>
    <row r="3680" spans="1:4" x14ac:dyDescent="0.25">
      <c r="A3680" s="379"/>
      <c r="B3680" s="382"/>
      <c r="C3680" s="377"/>
      <c r="D3680" s="6" t="str">
        <f>_xlfn.XLOOKUP(B3680,Indices!$A$2:$A$2676,Indices!$B$2:$B$2676,"")</f>
        <v/>
      </c>
    </row>
    <row r="3681" spans="1:4" x14ac:dyDescent="0.25">
      <c r="A3681" s="379"/>
      <c r="B3681" s="382"/>
      <c r="C3681" s="377"/>
      <c r="D3681" s="6" t="str">
        <f>_xlfn.XLOOKUP(B3681,Indices!$A$2:$A$2676,Indices!$B$2:$B$2676,"")</f>
        <v/>
      </c>
    </row>
    <row r="3682" spans="1:4" x14ac:dyDescent="0.25">
      <c r="A3682" s="379"/>
      <c r="B3682" s="382"/>
      <c r="C3682" s="377"/>
      <c r="D3682" s="6" t="str">
        <f>_xlfn.XLOOKUP(B3682,Indices!$A$2:$A$2676,Indices!$B$2:$B$2676,"")</f>
        <v/>
      </c>
    </row>
    <row r="3683" spans="1:4" x14ac:dyDescent="0.25">
      <c r="A3683" s="379"/>
      <c r="B3683" s="382"/>
      <c r="C3683" s="377"/>
      <c r="D3683" s="6" t="str">
        <f>_xlfn.XLOOKUP(B3683,Indices!$A$2:$A$2676,Indices!$B$2:$B$2676,"")</f>
        <v/>
      </c>
    </row>
    <row r="3684" spans="1:4" x14ac:dyDescent="0.25">
      <c r="A3684" s="379"/>
      <c r="B3684" s="382"/>
      <c r="C3684" s="377"/>
      <c r="D3684" s="6" t="str">
        <f>_xlfn.XLOOKUP(B3684,Indices!$A$2:$A$2676,Indices!$B$2:$B$2676,"")</f>
        <v/>
      </c>
    </row>
    <row r="3685" spans="1:4" x14ac:dyDescent="0.25">
      <c r="A3685" s="379"/>
      <c r="B3685" s="382"/>
      <c r="C3685" s="377"/>
      <c r="D3685" s="6" t="str">
        <f>_xlfn.XLOOKUP(B3685,Indices!$A$2:$A$2676,Indices!$B$2:$B$2676,"")</f>
        <v/>
      </c>
    </row>
    <row r="3686" spans="1:4" x14ac:dyDescent="0.25">
      <c r="A3686" s="379"/>
      <c r="B3686" s="382"/>
      <c r="C3686" s="377"/>
      <c r="D3686" s="6" t="str">
        <f>_xlfn.XLOOKUP(B3686,Indices!$A$2:$A$2676,Indices!$B$2:$B$2676,"")</f>
        <v/>
      </c>
    </row>
    <row r="3687" spans="1:4" x14ac:dyDescent="0.25">
      <c r="A3687" s="379"/>
      <c r="B3687" s="382"/>
      <c r="C3687" s="377"/>
      <c r="D3687" s="6" t="str">
        <f>_xlfn.XLOOKUP(B3687,Indices!$A$2:$A$2676,Indices!$B$2:$B$2676,"")</f>
        <v/>
      </c>
    </row>
    <row r="3688" spans="1:4" x14ac:dyDescent="0.25">
      <c r="A3688" s="379"/>
      <c r="B3688" s="382"/>
      <c r="C3688" s="377"/>
      <c r="D3688" s="6" t="str">
        <f>_xlfn.XLOOKUP(B3688,Indices!$A$2:$A$2676,Indices!$B$2:$B$2676,"")</f>
        <v/>
      </c>
    </row>
    <row r="3689" spans="1:4" x14ac:dyDescent="0.25">
      <c r="A3689" s="379"/>
      <c r="B3689" s="382"/>
      <c r="C3689" s="377"/>
      <c r="D3689" s="6" t="str">
        <f>_xlfn.XLOOKUP(B3689,Indices!$A$2:$A$2676,Indices!$B$2:$B$2676,"")</f>
        <v/>
      </c>
    </row>
    <row r="3690" spans="1:4" x14ac:dyDescent="0.25">
      <c r="A3690" s="379"/>
      <c r="B3690" s="382"/>
      <c r="C3690" s="377"/>
      <c r="D3690" s="6" t="str">
        <f>_xlfn.XLOOKUP(B3690,Indices!$A$2:$A$2676,Indices!$B$2:$B$2676,"")</f>
        <v/>
      </c>
    </row>
    <row r="3691" spans="1:4" x14ac:dyDescent="0.25">
      <c r="A3691" s="379"/>
      <c r="B3691" s="382"/>
      <c r="C3691" s="377"/>
      <c r="D3691" s="6" t="str">
        <f>_xlfn.XLOOKUP(B3691,Indices!$A$2:$A$2676,Indices!$B$2:$B$2676,"")</f>
        <v/>
      </c>
    </row>
    <row r="3692" spans="1:4" x14ac:dyDescent="0.25">
      <c r="A3692" s="379"/>
      <c r="B3692" s="382"/>
      <c r="C3692" s="377"/>
      <c r="D3692" s="6" t="str">
        <f>_xlfn.XLOOKUP(B3692,Indices!$A$2:$A$2676,Indices!$B$2:$B$2676,"")</f>
        <v/>
      </c>
    </row>
    <row r="3693" spans="1:4" x14ac:dyDescent="0.25">
      <c r="A3693" s="379"/>
      <c r="B3693" s="382"/>
      <c r="C3693" s="377"/>
      <c r="D3693" s="6" t="str">
        <f>_xlfn.XLOOKUP(B3693,Indices!$A$2:$A$2676,Indices!$B$2:$B$2676,"")</f>
        <v/>
      </c>
    </row>
    <row r="3694" spans="1:4" x14ac:dyDescent="0.25">
      <c r="A3694" s="379"/>
      <c r="B3694" s="382"/>
      <c r="C3694" s="377"/>
      <c r="D3694" s="6" t="str">
        <f>_xlfn.XLOOKUP(B3694,Indices!$A$2:$A$2676,Indices!$B$2:$B$2676,"")</f>
        <v/>
      </c>
    </row>
    <row r="3695" spans="1:4" x14ac:dyDescent="0.25">
      <c r="A3695" s="379"/>
      <c r="B3695" s="382"/>
      <c r="C3695" s="377"/>
      <c r="D3695" s="6" t="str">
        <f>_xlfn.XLOOKUP(B3695,Indices!$A$2:$A$2676,Indices!$B$2:$B$2676,"")</f>
        <v/>
      </c>
    </row>
    <row r="3696" spans="1:4" x14ac:dyDescent="0.25">
      <c r="A3696" s="379"/>
      <c r="B3696" s="382"/>
      <c r="C3696" s="377"/>
      <c r="D3696" s="6" t="str">
        <f>_xlfn.XLOOKUP(B3696,Indices!$A$2:$A$2676,Indices!$B$2:$B$2676,"")</f>
        <v/>
      </c>
    </row>
    <row r="3697" spans="1:4" x14ac:dyDescent="0.25">
      <c r="A3697" s="379"/>
      <c r="B3697" s="382"/>
      <c r="C3697" s="377"/>
      <c r="D3697" s="6" t="str">
        <f>_xlfn.XLOOKUP(B3697,Indices!$A$2:$A$2676,Indices!$B$2:$B$2676,"")</f>
        <v/>
      </c>
    </row>
    <row r="3698" spans="1:4" x14ac:dyDescent="0.25">
      <c r="A3698" s="379"/>
      <c r="B3698" s="382"/>
      <c r="C3698" s="377"/>
      <c r="D3698" s="6" t="str">
        <f>_xlfn.XLOOKUP(B3698,Indices!$A$2:$A$2676,Indices!$B$2:$B$2676,"")</f>
        <v/>
      </c>
    </row>
    <row r="3699" spans="1:4" x14ac:dyDescent="0.25">
      <c r="A3699" s="379"/>
      <c r="B3699" s="382"/>
      <c r="C3699" s="377"/>
      <c r="D3699" s="6" t="str">
        <f>_xlfn.XLOOKUP(B3699,Indices!$A$2:$A$2676,Indices!$B$2:$B$2676,"")</f>
        <v/>
      </c>
    </row>
    <row r="3700" spans="1:4" x14ac:dyDescent="0.25">
      <c r="A3700" s="379"/>
      <c r="B3700" s="382"/>
      <c r="C3700" s="377"/>
      <c r="D3700" s="6" t="str">
        <f>_xlfn.XLOOKUP(B3700,Indices!$A$2:$A$2676,Indices!$B$2:$B$2676,"")</f>
        <v/>
      </c>
    </row>
    <row r="3701" spans="1:4" x14ac:dyDescent="0.25">
      <c r="A3701" s="379"/>
      <c r="B3701" s="382"/>
      <c r="C3701" s="377"/>
      <c r="D3701" s="6" t="str">
        <f>_xlfn.XLOOKUP(B3701,Indices!$A$2:$A$2676,Indices!$B$2:$B$2676,"")</f>
        <v/>
      </c>
    </row>
    <row r="3702" spans="1:4" x14ac:dyDescent="0.25">
      <c r="A3702" s="379"/>
      <c r="B3702" s="382"/>
      <c r="C3702" s="377"/>
      <c r="D3702" s="6" t="str">
        <f>_xlfn.XLOOKUP(B3702,Indices!$A$2:$A$2676,Indices!$B$2:$B$2676,"")</f>
        <v/>
      </c>
    </row>
    <row r="3703" spans="1:4" x14ac:dyDescent="0.25">
      <c r="A3703" s="379"/>
      <c r="B3703" s="382"/>
      <c r="C3703" s="377"/>
      <c r="D3703" s="6" t="str">
        <f>_xlfn.XLOOKUP(B3703,Indices!$A$2:$A$2676,Indices!$B$2:$B$2676,"")</f>
        <v/>
      </c>
    </row>
    <row r="3704" spans="1:4" x14ac:dyDescent="0.25">
      <c r="A3704" s="379"/>
      <c r="B3704" s="382"/>
      <c r="C3704" s="377"/>
      <c r="D3704" s="6" t="str">
        <f>_xlfn.XLOOKUP(B3704,Indices!$A$2:$A$2676,Indices!$B$2:$B$2676,"")</f>
        <v/>
      </c>
    </row>
    <row r="3705" spans="1:4" x14ac:dyDescent="0.25">
      <c r="A3705" s="379"/>
      <c r="B3705" s="382"/>
      <c r="C3705" s="377"/>
      <c r="D3705" s="6" t="str">
        <f>_xlfn.XLOOKUP(B3705,Indices!$A$2:$A$2676,Indices!$B$2:$B$2676,"")</f>
        <v/>
      </c>
    </row>
    <row r="3706" spans="1:4" x14ac:dyDescent="0.25">
      <c r="A3706" s="379"/>
      <c r="B3706" s="382"/>
      <c r="C3706" s="377"/>
      <c r="D3706" s="6" t="str">
        <f>_xlfn.XLOOKUP(B3706,Indices!$A$2:$A$2676,Indices!$B$2:$B$2676,"")</f>
        <v/>
      </c>
    </row>
    <row r="3707" spans="1:4" x14ac:dyDescent="0.25">
      <c r="A3707" s="379"/>
      <c r="B3707" s="382"/>
      <c r="C3707" s="377"/>
      <c r="D3707" s="6" t="str">
        <f>_xlfn.XLOOKUP(B3707,Indices!$A$2:$A$2676,Indices!$B$2:$B$2676,"")</f>
        <v/>
      </c>
    </row>
    <row r="3708" spans="1:4" x14ac:dyDescent="0.25">
      <c r="A3708" s="379"/>
      <c r="B3708" s="382"/>
      <c r="C3708" s="377"/>
      <c r="D3708" s="6" t="str">
        <f>_xlfn.XLOOKUP(B3708,Indices!$A$2:$A$2676,Indices!$B$2:$B$2676,"")</f>
        <v/>
      </c>
    </row>
    <row r="3709" spans="1:4" x14ac:dyDescent="0.25">
      <c r="A3709" s="379"/>
      <c r="B3709" s="382"/>
      <c r="C3709" s="377"/>
      <c r="D3709" s="6" t="str">
        <f>_xlfn.XLOOKUP(B3709,Indices!$A$2:$A$2676,Indices!$B$2:$B$2676,"")</f>
        <v/>
      </c>
    </row>
    <row r="3710" spans="1:4" x14ac:dyDescent="0.25">
      <c r="A3710" s="379"/>
      <c r="B3710" s="382"/>
      <c r="C3710" s="377"/>
      <c r="D3710" s="6" t="str">
        <f>_xlfn.XLOOKUP(B3710,Indices!$A$2:$A$2676,Indices!$B$2:$B$2676,"")</f>
        <v/>
      </c>
    </row>
    <row r="3711" spans="1:4" x14ac:dyDescent="0.25">
      <c r="A3711" s="379"/>
      <c r="B3711" s="382"/>
      <c r="C3711" s="377"/>
      <c r="D3711" s="6" t="str">
        <f>_xlfn.XLOOKUP(B3711,Indices!$A$2:$A$2676,Indices!$B$2:$B$2676,"")</f>
        <v/>
      </c>
    </row>
    <row r="3712" spans="1:4" x14ac:dyDescent="0.25">
      <c r="A3712" s="379"/>
      <c r="B3712" s="382"/>
      <c r="C3712" s="377"/>
      <c r="D3712" s="6" t="str">
        <f>_xlfn.XLOOKUP(B3712,Indices!$A$2:$A$2676,Indices!$B$2:$B$2676,"")</f>
        <v/>
      </c>
    </row>
    <row r="3713" spans="1:4" x14ac:dyDescent="0.25">
      <c r="A3713" s="379"/>
      <c r="B3713" s="382"/>
      <c r="C3713" s="377"/>
      <c r="D3713" s="6" t="str">
        <f>_xlfn.XLOOKUP(B3713,Indices!$A$2:$A$2676,Indices!$B$2:$B$2676,"")</f>
        <v/>
      </c>
    </row>
    <row r="3714" spans="1:4" x14ac:dyDescent="0.25">
      <c r="A3714" s="379"/>
      <c r="B3714" s="382"/>
      <c r="C3714" s="377"/>
      <c r="D3714" s="6" t="str">
        <f>_xlfn.XLOOKUP(B3714,Indices!$A$2:$A$2676,Indices!$B$2:$B$2676,"")</f>
        <v/>
      </c>
    </row>
    <row r="3715" spans="1:4" x14ac:dyDescent="0.25">
      <c r="A3715" s="379"/>
      <c r="B3715" s="382"/>
      <c r="C3715" s="377"/>
      <c r="D3715" s="6" t="str">
        <f>_xlfn.XLOOKUP(B3715,Indices!$A$2:$A$2676,Indices!$B$2:$B$2676,"")</f>
        <v/>
      </c>
    </row>
    <row r="3716" spans="1:4" x14ac:dyDescent="0.25">
      <c r="A3716" s="379"/>
      <c r="B3716" s="382"/>
      <c r="C3716" s="377"/>
      <c r="D3716" s="6" t="str">
        <f>_xlfn.XLOOKUP(B3716,Indices!$A$2:$A$2676,Indices!$B$2:$B$2676,"")</f>
        <v/>
      </c>
    </row>
    <row r="3717" spans="1:4" x14ac:dyDescent="0.25">
      <c r="A3717" s="379"/>
      <c r="B3717" s="382"/>
      <c r="C3717" s="377"/>
      <c r="D3717" s="6" t="str">
        <f>_xlfn.XLOOKUP(B3717,Indices!$A$2:$A$2676,Indices!$B$2:$B$2676,"")</f>
        <v/>
      </c>
    </row>
    <row r="3718" spans="1:4" x14ac:dyDescent="0.25">
      <c r="A3718" s="379"/>
      <c r="B3718" s="382"/>
      <c r="C3718" s="377"/>
      <c r="D3718" s="6" t="str">
        <f>_xlfn.XLOOKUP(B3718,Indices!$A$2:$A$2676,Indices!$B$2:$B$2676,"")</f>
        <v/>
      </c>
    </row>
    <row r="3719" spans="1:4" x14ac:dyDescent="0.25">
      <c r="A3719" s="379"/>
      <c r="B3719" s="382"/>
      <c r="C3719" s="377"/>
      <c r="D3719" s="6" t="str">
        <f>_xlfn.XLOOKUP(B3719,Indices!$A$2:$A$2676,Indices!$B$2:$B$2676,"")</f>
        <v/>
      </c>
    </row>
    <row r="3720" spans="1:4" x14ac:dyDescent="0.25">
      <c r="A3720" s="379"/>
      <c r="B3720" s="382"/>
      <c r="C3720" s="377"/>
      <c r="D3720" s="6" t="str">
        <f>_xlfn.XLOOKUP(B3720,Indices!$A$2:$A$2676,Indices!$B$2:$B$2676,"")</f>
        <v/>
      </c>
    </row>
    <row r="3721" spans="1:4" x14ac:dyDescent="0.25">
      <c r="A3721" s="379"/>
      <c r="B3721" s="382"/>
      <c r="C3721" s="377"/>
      <c r="D3721" s="6" t="str">
        <f>_xlfn.XLOOKUP(B3721,Indices!$A$2:$A$2676,Indices!$B$2:$B$2676,"")</f>
        <v/>
      </c>
    </row>
    <row r="3722" spans="1:4" x14ac:dyDescent="0.25">
      <c r="A3722" s="379"/>
      <c r="B3722" s="382"/>
      <c r="C3722" s="377"/>
      <c r="D3722" s="6" t="str">
        <f>_xlfn.XLOOKUP(B3722,Indices!$A$2:$A$2676,Indices!$B$2:$B$2676,"")</f>
        <v/>
      </c>
    </row>
    <row r="3723" spans="1:4" x14ac:dyDescent="0.25">
      <c r="A3723" s="379"/>
      <c r="B3723" s="382"/>
      <c r="C3723" s="377"/>
      <c r="D3723" s="6" t="str">
        <f>_xlfn.XLOOKUP(B3723,Indices!$A$2:$A$2676,Indices!$B$2:$B$2676,"")</f>
        <v/>
      </c>
    </row>
    <row r="3724" spans="1:4" x14ac:dyDescent="0.25">
      <c r="A3724" s="379"/>
      <c r="B3724" s="382"/>
      <c r="C3724" s="377"/>
      <c r="D3724" s="6" t="str">
        <f>_xlfn.XLOOKUP(B3724,Indices!$A$2:$A$2676,Indices!$B$2:$B$2676,"")</f>
        <v/>
      </c>
    </row>
    <row r="3725" spans="1:4" x14ac:dyDescent="0.25">
      <c r="A3725" s="379"/>
      <c r="B3725" s="382"/>
      <c r="C3725" s="377"/>
      <c r="D3725" s="6" t="str">
        <f>_xlfn.XLOOKUP(B3725,Indices!$A$2:$A$2676,Indices!$B$2:$B$2676,"")</f>
        <v/>
      </c>
    </row>
    <row r="3726" spans="1:4" x14ac:dyDescent="0.25">
      <c r="A3726" s="379"/>
      <c r="B3726" s="382"/>
      <c r="C3726" s="377"/>
      <c r="D3726" s="6" t="str">
        <f>_xlfn.XLOOKUP(B3726,Indices!$A$2:$A$2676,Indices!$B$2:$B$2676,"")</f>
        <v/>
      </c>
    </row>
    <row r="3727" spans="1:4" x14ac:dyDescent="0.25">
      <c r="A3727" s="379"/>
      <c r="B3727" s="382"/>
      <c r="C3727" s="377"/>
      <c r="D3727" s="6" t="str">
        <f>_xlfn.XLOOKUP(B3727,Indices!$A$2:$A$2676,Indices!$B$2:$B$2676,"")</f>
        <v/>
      </c>
    </row>
    <row r="3728" spans="1:4" x14ac:dyDescent="0.25">
      <c r="A3728" s="379"/>
      <c r="B3728" s="382"/>
      <c r="C3728" s="377"/>
      <c r="D3728" s="6" t="str">
        <f>_xlfn.XLOOKUP(B3728,Indices!$A$2:$A$2676,Indices!$B$2:$B$2676,"")</f>
        <v/>
      </c>
    </row>
    <row r="3729" spans="1:4" x14ac:dyDescent="0.25">
      <c r="A3729" s="379"/>
      <c r="B3729" s="382"/>
      <c r="C3729" s="377"/>
      <c r="D3729" s="6" t="str">
        <f>_xlfn.XLOOKUP(B3729,Indices!$A$2:$A$2676,Indices!$B$2:$B$2676,"")</f>
        <v/>
      </c>
    </row>
    <row r="3730" spans="1:4" x14ac:dyDescent="0.25">
      <c r="A3730" s="379"/>
      <c r="B3730" s="382"/>
      <c r="C3730" s="377"/>
      <c r="D3730" s="6" t="str">
        <f>_xlfn.XLOOKUP(B3730,Indices!$A$2:$A$2676,Indices!$B$2:$B$2676,"")</f>
        <v/>
      </c>
    </row>
    <row r="3731" spans="1:4" x14ac:dyDescent="0.25">
      <c r="A3731" s="379"/>
      <c r="B3731" s="382"/>
      <c r="C3731" s="377"/>
      <c r="D3731" s="6" t="str">
        <f>_xlfn.XLOOKUP(B3731,Indices!$A$2:$A$2676,Indices!$B$2:$B$2676,"")</f>
        <v/>
      </c>
    </row>
    <row r="3732" spans="1:4" x14ac:dyDescent="0.25">
      <c r="A3732" s="379"/>
      <c r="B3732" s="382"/>
      <c r="C3732" s="377"/>
      <c r="D3732" s="6" t="str">
        <f>_xlfn.XLOOKUP(B3732,Indices!$A$2:$A$2676,Indices!$B$2:$B$2676,"")</f>
        <v/>
      </c>
    </row>
    <row r="3733" spans="1:4" x14ac:dyDescent="0.25">
      <c r="A3733" s="379"/>
      <c r="B3733" s="382"/>
      <c r="C3733" s="377"/>
      <c r="D3733" s="6" t="str">
        <f>_xlfn.XLOOKUP(B3733,Indices!$A$2:$A$2676,Indices!$B$2:$B$2676,"")</f>
        <v/>
      </c>
    </row>
    <row r="3734" spans="1:4" x14ac:dyDescent="0.25">
      <c r="A3734" s="379"/>
      <c r="B3734" s="382"/>
      <c r="C3734" s="377"/>
      <c r="D3734" s="6" t="str">
        <f>_xlfn.XLOOKUP(B3734,Indices!$A$2:$A$2676,Indices!$B$2:$B$2676,"")</f>
        <v/>
      </c>
    </row>
    <row r="3735" spans="1:4" x14ac:dyDescent="0.25">
      <c r="A3735" s="379"/>
      <c r="B3735" s="382"/>
      <c r="C3735" s="377"/>
      <c r="D3735" s="6" t="str">
        <f>_xlfn.XLOOKUP(B3735,Indices!$A$2:$A$2676,Indices!$B$2:$B$2676,"")</f>
        <v/>
      </c>
    </row>
    <row r="3736" spans="1:4" x14ac:dyDescent="0.25">
      <c r="A3736" s="379"/>
      <c r="B3736" s="382"/>
      <c r="C3736" s="377"/>
      <c r="D3736" s="6" t="str">
        <f>_xlfn.XLOOKUP(B3736,Indices!$A$2:$A$2676,Indices!$B$2:$B$2676,"")</f>
        <v/>
      </c>
    </row>
    <row r="3737" spans="1:4" x14ac:dyDescent="0.25">
      <c r="A3737" s="379"/>
      <c r="B3737" s="382"/>
      <c r="C3737" s="377"/>
      <c r="D3737" s="6" t="str">
        <f>_xlfn.XLOOKUP(B3737,Indices!$A$2:$A$2676,Indices!$B$2:$B$2676,"")</f>
        <v/>
      </c>
    </row>
    <row r="3738" spans="1:4" x14ac:dyDescent="0.25">
      <c r="A3738" s="379"/>
      <c r="B3738" s="382"/>
      <c r="C3738" s="377"/>
      <c r="D3738" s="6" t="str">
        <f>_xlfn.XLOOKUP(B3738,Indices!$A$2:$A$2676,Indices!$B$2:$B$2676,"")</f>
        <v/>
      </c>
    </row>
    <row r="3739" spans="1:4" x14ac:dyDescent="0.25">
      <c r="A3739" s="379"/>
      <c r="B3739" s="382"/>
      <c r="C3739" s="377"/>
      <c r="D3739" s="6" t="str">
        <f>_xlfn.XLOOKUP(B3739,Indices!$A$2:$A$2676,Indices!$B$2:$B$2676,"")</f>
        <v/>
      </c>
    </row>
    <row r="3740" spans="1:4" x14ac:dyDescent="0.25">
      <c r="A3740" s="379"/>
      <c r="B3740" s="382"/>
      <c r="C3740" s="377"/>
      <c r="D3740" s="6" t="str">
        <f>_xlfn.XLOOKUP(B3740,Indices!$A$2:$A$2676,Indices!$B$2:$B$2676,"")</f>
        <v/>
      </c>
    </row>
    <row r="3741" spans="1:4" x14ac:dyDescent="0.25">
      <c r="A3741" s="379"/>
      <c r="B3741" s="382"/>
      <c r="C3741" s="377"/>
      <c r="D3741" s="6" t="str">
        <f>_xlfn.XLOOKUP(B3741,Indices!$A$2:$A$2676,Indices!$B$2:$B$2676,"")</f>
        <v/>
      </c>
    </row>
    <row r="3742" spans="1:4" x14ac:dyDescent="0.25">
      <c r="A3742" s="379"/>
      <c r="B3742" s="382"/>
      <c r="C3742" s="377"/>
      <c r="D3742" s="6" t="str">
        <f>_xlfn.XLOOKUP(B3742,Indices!$A$2:$A$2676,Indices!$B$2:$B$2676,"")</f>
        <v/>
      </c>
    </row>
    <row r="3743" spans="1:4" x14ac:dyDescent="0.25">
      <c r="A3743" s="379"/>
      <c r="B3743" s="382"/>
      <c r="C3743" s="377"/>
      <c r="D3743" s="6" t="str">
        <f>_xlfn.XLOOKUP(B3743,Indices!$A$2:$A$2676,Indices!$B$2:$B$2676,"")</f>
        <v/>
      </c>
    </row>
    <row r="3744" spans="1:4" x14ac:dyDescent="0.25">
      <c r="A3744" s="379"/>
      <c r="B3744" s="382"/>
      <c r="C3744" s="377"/>
      <c r="D3744" s="6" t="str">
        <f>_xlfn.XLOOKUP(B3744,Indices!$A$2:$A$2676,Indices!$B$2:$B$2676,"")</f>
        <v/>
      </c>
    </row>
    <row r="3745" spans="1:4" x14ac:dyDescent="0.25">
      <c r="A3745" s="379"/>
      <c r="B3745" s="382"/>
      <c r="C3745" s="377"/>
      <c r="D3745" s="6" t="str">
        <f>_xlfn.XLOOKUP(B3745,Indices!$A$2:$A$2676,Indices!$B$2:$B$2676,"")</f>
        <v/>
      </c>
    </row>
    <row r="3746" spans="1:4" x14ac:dyDescent="0.25">
      <c r="A3746" s="379"/>
      <c r="B3746" s="382"/>
      <c r="C3746" s="377"/>
      <c r="D3746" s="6" t="str">
        <f>_xlfn.XLOOKUP(B3746,Indices!$A$2:$A$2676,Indices!$B$2:$B$2676,"")</f>
        <v/>
      </c>
    </row>
    <row r="3747" spans="1:4" x14ac:dyDescent="0.25">
      <c r="A3747" s="379"/>
      <c r="B3747" s="382"/>
      <c r="C3747" s="377"/>
      <c r="D3747" s="6" t="str">
        <f>_xlfn.XLOOKUP(B3747,Indices!$A$2:$A$2676,Indices!$B$2:$B$2676,"")</f>
        <v/>
      </c>
    </row>
    <row r="3748" spans="1:4" x14ac:dyDescent="0.25">
      <c r="A3748" s="379"/>
      <c r="B3748" s="382"/>
      <c r="C3748" s="377"/>
      <c r="D3748" s="6" t="str">
        <f>_xlfn.XLOOKUP(B3748,Indices!$A$2:$A$2676,Indices!$B$2:$B$2676,"")</f>
        <v/>
      </c>
    </row>
    <row r="3749" spans="1:4" x14ac:dyDescent="0.25">
      <c r="A3749" s="379"/>
      <c r="B3749" s="382"/>
      <c r="C3749" s="377"/>
      <c r="D3749" s="6" t="str">
        <f>_xlfn.XLOOKUP(B3749,Indices!$A$2:$A$2676,Indices!$B$2:$B$2676,"")</f>
        <v/>
      </c>
    </row>
    <row r="3750" spans="1:4" x14ac:dyDescent="0.25">
      <c r="A3750" s="379"/>
      <c r="B3750" s="382"/>
      <c r="C3750" s="377"/>
      <c r="D3750" s="6" t="str">
        <f>_xlfn.XLOOKUP(B3750,Indices!$A$2:$A$2676,Indices!$B$2:$B$2676,"")</f>
        <v/>
      </c>
    </row>
    <row r="3751" spans="1:4" x14ac:dyDescent="0.25">
      <c r="A3751" s="379"/>
      <c r="B3751" s="382"/>
      <c r="C3751" s="377"/>
      <c r="D3751" s="6" t="str">
        <f>_xlfn.XLOOKUP(B3751,Indices!$A$2:$A$2676,Indices!$B$2:$B$2676,"")</f>
        <v/>
      </c>
    </row>
    <row r="3752" spans="1:4" x14ac:dyDescent="0.25">
      <c r="A3752" s="379"/>
      <c r="B3752" s="382"/>
      <c r="C3752" s="377"/>
      <c r="D3752" s="6" t="str">
        <f>_xlfn.XLOOKUP(B3752,Indices!$A$2:$A$2676,Indices!$B$2:$B$2676,"")</f>
        <v/>
      </c>
    </row>
    <row r="3753" spans="1:4" x14ac:dyDescent="0.25">
      <c r="A3753" s="379"/>
      <c r="B3753" s="382"/>
      <c r="C3753" s="377"/>
      <c r="D3753" s="6" t="str">
        <f>_xlfn.XLOOKUP(B3753,Indices!$A$2:$A$2676,Indices!$B$2:$B$2676,"")</f>
        <v/>
      </c>
    </row>
    <row r="3754" spans="1:4" x14ac:dyDescent="0.25">
      <c r="A3754" s="379"/>
      <c r="B3754" s="382"/>
      <c r="C3754" s="377"/>
      <c r="D3754" s="6" t="str">
        <f>_xlfn.XLOOKUP(B3754,Indices!$A$2:$A$2676,Indices!$B$2:$B$2676,"")</f>
        <v/>
      </c>
    </row>
    <row r="3755" spans="1:4" x14ac:dyDescent="0.25">
      <c r="A3755" s="379"/>
      <c r="B3755" s="382"/>
      <c r="C3755" s="377"/>
      <c r="D3755" s="6" t="str">
        <f>_xlfn.XLOOKUP(B3755,Indices!$A$2:$A$2676,Indices!$B$2:$B$2676,"")</f>
        <v/>
      </c>
    </row>
    <row r="3756" spans="1:4" x14ac:dyDescent="0.25">
      <c r="A3756" s="379"/>
      <c r="B3756" s="382"/>
      <c r="C3756" s="377"/>
      <c r="D3756" s="6" t="str">
        <f>_xlfn.XLOOKUP(B3756,Indices!$A$2:$A$2676,Indices!$B$2:$B$2676,"")</f>
        <v/>
      </c>
    </row>
    <row r="3757" spans="1:4" x14ac:dyDescent="0.25">
      <c r="A3757" s="379"/>
      <c r="B3757" s="382"/>
      <c r="C3757" s="377"/>
      <c r="D3757" s="6" t="str">
        <f>_xlfn.XLOOKUP(B3757,Indices!$A$2:$A$2676,Indices!$B$2:$B$2676,"")</f>
        <v/>
      </c>
    </row>
    <row r="3758" spans="1:4" x14ac:dyDescent="0.25">
      <c r="A3758" s="379"/>
      <c r="B3758" s="382"/>
      <c r="C3758" s="377"/>
      <c r="D3758" s="6" t="str">
        <f>_xlfn.XLOOKUP(B3758,Indices!$A$2:$A$2676,Indices!$B$2:$B$2676,"")</f>
        <v/>
      </c>
    </row>
    <row r="3759" spans="1:4" x14ac:dyDescent="0.25">
      <c r="A3759" s="379"/>
      <c r="B3759" s="382"/>
      <c r="C3759" s="377"/>
      <c r="D3759" s="6" t="str">
        <f>_xlfn.XLOOKUP(B3759,Indices!$A$2:$A$2676,Indices!$B$2:$B$2676,"")</f>
        <v/>
      </c>
    </row>
    <row r="3760" spans="1:4" x14ac:dyDescent="0.25">
      <c r="A3760" s="379"/>
      <c r="B3760" s="382"/>
      <c r="C3760" s="377"/>
      <c r="D3760" s="6" t="str">
        <f>_xlfn.XLOOKUP(B3760,Indices!$A$2:$A$2676,Indices!$B$2:$B$2676,"")</f>
        <v/>
      </c>
    </row>
    <row r="3761" spans="1:4" x14ac:dyDescent="0.25">
      <c r="A3761" s="379"/>
      <c r="B3761" s="382"/>
      <c r="C3761" s="377"/>
      <c r="D3761" s="6" t="str">
        <f>_xlfn.XLOOKUP(B3761,Indices!$A$2:$A$2676,Indices!$B$2:$B$2676,"")</f>
        <v/>
      </c>
    </row>
    <row r="3762" spans="1:4" x14ac:dyDescent="0.25">
      <c r="A3762" s="379"/>
      <c r="B3762" s="382"/>
      <c r="C3762" s="377"/>
      <c r="D3762" s="6" t="str">
        <f>_xlfn.XLOOKUP(B3762,Indices!$A$2:$A$2676,Indices!$B$2:$B$2676,"")</f>
        <v/>
      </c>
    </row>
    <row r="3763" spans="1:4" x14ac:dyDescent="0.25">
      <c r="A3763" s="379"/>
      <c r="B3763" s="382"/>
      <c r="C3763" s="377"/>
      <c r="D3763" s="6" t="str">
        <f>_xlfn.XLOOKUP(B3763,Indices!$A$2:$A$2676,Indices!$B$2:$B$2676,"")</f>
        <v/>
      </c>
    </row>
    <row r="3764" spans="1:4" x14ac:dyDescent="0.25">
      <c r="A3764" s="379"/>
      <c r="B3764" s="382"/>
      <c r="C3764" s="377"/>
      <c r="D3764" s="6" t="str">
        <f>_xlfn.XLOOKUP(B3764,Indices!$A$2:$A$2676,Indices!$B$2:$B$2676,"")</f>
        <v/>
      </c>
    </row>
    <row r="3765" spans="1:4" x14ac:dyDescent="0.25">
      <c r="A3765" s="379"/>
      <c r="B3765" s="382"/>
      <c r="C3765" s="377"/>
      <c r="D3765" s="6" t="str">
        <f>_xlfn.XLOOKUP(B3765,Indices!$A$2:$A$2676,Indices!$B$2:$B$2676,"")</f>
        <v/>
      </c>
    </row>
    <row r="3766" spans="1:4" x14ac:dyDescent="0.25">
      <c r="A3766" s="379"/>
      <c r="B3766" s="382"/>
      <c r="C3766" s="377"/>
      <c r="D3766" s="6" t="str">
        <f>_xlfn.XLOOKUP(B3766,Indices!$A$2:$A$2676,Indices!$B$2:$B$2676,"")</f>
        <v/>
      </c>
    </row>
    <row r="3767" spans="1:4" x14ac:dyDescent="0.25">
      <c r="A3767" s="379"/>
      <c r="B3767" s="382"/>
      <c r="C3767" s="377"/>
      <c r="D3767" s="6" t="str">
        <f>_xlfn.XLOOKUP(B3767,Indices!$A$2:$A$2676,Indices!$B$2:$B$2676,"")</f>
        <v/>
      </c>
    </row>
    <row r="3768" spans="1:4" x14ac:dyDescent="0.25">
      <c r="A3768" s="379"/>
      <c r="B3768" s="382"/>
      <c r="C3768" s="377"/>
      <c r="D3768" s="6" t="str">
        <f>_xlfn.XLOOKUP(B3768,Indices!$A$2:$A$2676,Indices!$B$2:$B$2676,"")</f>
        <v/>
      </c>
    </row>
    <row r="3769" spans="1:4" x14ac:dyDescent="0.25">
      <c r="A3769" s="379"/>
      <c r="B3769" s="382"/>
      <c r="C3769" s="377"/>
      <c r="D3769" s="6" t="str">
        <f>_xlfn.XLOOKUP(B3769,Indices!$A$2:$A$2676,Indices!$B$2:$B$2676,"")</f>
        <v/>
      </c>
    </row>
    <row r="3770" spans="1:4" x14ac:dyDescent="0.25">
      <c r="A3770" s="379"/>
      <c r="B3770" s="382"/>
      <c r="C3770" s="377"/>
      <c r="D3770" s="6" t="str">
        <f>_xlfn.XLOOKUP(B3770,Indices!$A$2:$A$2676,Indices!$B$2:$B$2676,"")</f>
        <v/>
      </c>
    </row>
    <row r="3771" spans="1:4" x14ac:dyDescent="0.25">
      <c r="A3771" s="379"/>
      <c r="B3771" s="382"/>
      <c r="C3771" s="377"/>
      <c r="D3771" s="6" t="str">
        <f>_xlfn.XLOOKUP(B3771,Indices!$A$2:$A$2676,Indices!$B$2:$B$2676,"")</f>
        <v/>
      </c>
    </row>
    <row r="3772" spans="1:4" x14ac:dyDescent="0.25">
      <c r="A3772" s="379"/>
      <c r="B3772" s="382"/>
      <c r="C3772" s="377"/>
      <c r="D3772" s="6" t="str">
        <f>_xlfn.XLOOKUP(B3772,Indices!$A$2:$A$2676,Indices!$B$2:$B$2676,"")</f>
        <v/>
      </c>
    </row>
    <row r="3773" spans="1:4" x14ac:dyDescent="0.25">
      <c r="A3773" s="379"/>
      <c r="B3773" s="382"/>
      <c r="C3773" s="377"/>
      <c r="D3773" s="6" t="str">
        <f>_xlfn.XLOOKUP(B3773,Indices!$A$2:$A$2676,Indices!$B$2:$B$2676,"")</f>
        <v/>
      </c>
    </row>
    <row r="3774" spans="1:4" x14ac:dyDescent="0.25">
      <c r="A3774" s="379"/>
      <c r="B3774" s="382"/>
      <c r="C3774" s="377"/>
      <c r="D3774" s="6" t="str">
        <f>_xlfn.XLOOKUP(B3774,Indices!$A$2:$A$2676,Indices!$B$2:$B$2676,"")</f>
        <v/>
      </c>
    </row>
    <row r="3775" spans="1:4" x14ac:dyDescent="0.25">
      <c r="A3775" s="379"/>
      <c r="B3775" s="382"/>
      <c r="C3775" s="377"/>
      <c r="D3775" s="6" t="str">
        <f>_xlfn.XLOOKUP(B3775,Indices!$A$2:$A$2676,Indices!$B$2:$B$2676,"")</f>
        <v/>
      </c>
    </row>
    <row r="3776" spans="1:4" x14ac:dyDescent="0.25">
      <c r="A3776" s="379"/>
      <c r="B3776" s="382"/>
      <c r="C3776" s="377"/>
      <c r="D3776" s="6" t="str">
        <f>_xlfn.XLOOKUP(B3776,Indices!$A$2:$A$2676,Indices!$B$2:$B$2676,"")</f>
        <v/>
      </c>
    </row>
    <row r="3777" spans="1:4" x14ac:dyDescent="0.25">
      <c r="A3777" s="379"/>
      <c r="B3777" s="382"/>
      <c r="C3777" s="377"/>
      <c r="D3777" s="6" t="str">
        <f>_xlfn.XLOOKUP(B3777,Indices!$A$2:$A$2676,Indices!$B$2:$B$2676,"")</f>
        <v/>
      </c>
    </row>
    <row r="3778" spans="1:4" x14ac:dyDescent="0.25">
      <c r="A3778" s="379"/>
      <c r="B3778" s="382"/>
      <c r="C3778" s="377"/>
      <c r="D3778" s="6" t="str">
        <f>_xlfn.XLOOKUP(B3778,Indices!$A$2:$A$2676,Indices!$B$2:$B$2676,"")</f>
        <v/>
      </c>
    </row>
    <row r="3779" spans="1:4" x14ac:dyDescent="0.25">
      <c r="A3779" s="379"/>
      <c r="B3779" s="382"/>
      <c r="C3779" s="377"/>
      <c r="D3779" s="6" t="str">
        <f>_xlfn.XLOOKUP(B3779,Indices!$A$2:$A$2676,Indices!$B$2:$B$2676,"")</f>
        <v/>
      </c>
    </row>
    <row r="3780" spans="1:4" x14ac:dyDescent="0.25">
      <c r="A3780" s="379"/>
      <c r="B3780" s="382"/>
      <c r="C3780" s="377"/>
      <c r="D3780" s="6" t="str">
        <f>_xlfn.XLOOKUP(B3780,Indices!$A$2:$A$2676,Indices!$B$2:$B$2676,"")</f>
        <v/>
      </c>
    </row>
    <row r="3781" spans="1:4" x14ac:dyDescent="0.25">
      <c r="A3781" s="379"/>
      <c r="B3781" s="382"/>
      <c r="C3781" s="377"/>
      <c r="D3781" s="6" t="str">
        <f>_xlfn.XLOOKUP(B3781,Indices!$A$2:$A$2676,Indices!$B$2:$B$2676,"")</f>
        <v/>
      </c>
    </row>
    <row r="3782" spans="1:4" x14ac:dyDescent="0.25">
      <c r="A3782" s="379"/>
      <c r="B3782" s="382"/>
      <c r="C3782" s="377"/>
      <c r="D3782" s="6" t="str">
        <f>_xlfn.XLOOKUP(B3782,Indices!$A$2:$A$2676,Indices!$B$2:$B$2676,"")</f>
        <v/>
      </c>
    </row>
    <row r="3783" spans="1:4" x14ac:dyDescent="0.25">
      <c r="A3783" s="379"/>
      <c r="B3783" s="382"/>
      <c r="C3783" s="377"/>
      <c r="D3783" s="6" t="str">
        <f>_xlfn.XLOOKUP(B3783,Indices!$A$2:$A$2676,Indices!$B$2:$B$2676,"")</f>
        <v/>
      </c>
    </row>
    <row r="3784" spans="1:4" x14ac:dyDescent="0.25">
      <c r="A3784" s="379"/>
      <c r="B3784" s="382"/>
      <c r="C3784" s="377"/>
      <c r="D3784" s="6" t="str">
        <f>_xlfn.XLOOKUP(B3784,Indices!$A$2:$A$2676,Indices!$B$2:$B$2676,"")</f>
        <v/>
      </c>
    </row>
    <row r="3785" spans="1:4" x14ac:dyDescent="0.25">
      <c r="A3785" s="379"/>
      <c r="B3785" s="382"/>
      <c r="C3785" s="377"/>
      <c r="D3785" s="6" t="str">
        <f>_xlfn.XLOOKUP(B3785,Indices!$A$2:$A$2676,Indices!$B$2:$B$2676,"")</f>
        <v/>
      </c>
    </row>
    <row r="3786" spans="1:4" x14ac:dyDescent="0.25">
      <c r="A3786" s="379"/>
      <c r="B3786" s="382"/>
      <c r="C3786" s="377"/>
      <c r="D3786" s="6" t="str">
        <f>_xlfn.XLOOKUP(B3786,Indices!$A$2:$A$2676,Indices!$B$2:$B$2676,"")</f>
        <v/>
      </c>
    </row>
    <row r="3787" spans="1:4" x14ac:dyDescent="0.25">
      <c r="A3787" s="379"/>
      <c r="B3787" s="382"/>
      <c r="C3787" s="377"/>
      <c r="D3787" s="6" t="str">
        <f>_xlfn.XLOOKUP(B3787,Indices!$A$2:$A$2676,Indices!$B$2:$B$2676,"")</f>
        <v/>
      </c>
    </row>
    <row r="3788" spans="1:4" x14ac:dyDescent="0.25">
      <c r="A3788" s="379"/>
      <c r="B3788" s="382"/>
      <c r="C3788" s="377"/>
      <c r="D3788" s="6" t="str">
        <f>_xlfn.XLOOKUP(B3788,Indices!$A$2:$A$2676,Indices!$B$2:$B$2676,"")</f>
        <v/>
      </c>
    </row>
    <row r="3789" spans="1:4" x14ac:dyDescent="0.25">
      <c r="A3789" s="379"/>
      <c r="B3789" s="382"/>
      <c r="C3789" s="377"/>
      <c r="D3789" s="6" t="str">
        <f>_xlfn.XLOOKUP(B3789,Indices!$A$2:$A$2676,Indices!$B$2:$B$2676,"")</f>
        <v/>
      </c>
    </row>
    <row r="3790" spans="1:4" x14ac:dyDescent="0.25">
      <c r="A3790" s="379"/>
      <c r="B3790" s="382"/>
      <c r="C3790" s="377"/>
      <c r="D3790" s="6" t="str">
        <f>_xlfn.XLOOKUP(B3790,Indices!$A$2:$A$2676,Indices!$B$2:$B$2676,"")</f>
        <v/>
      </c>
    </row>
    <row r="3791" spans="1:4" x14ac:dyDescent="0.25">
      <c r="A3791" s="379"/>
      <c r="B3791" s="382"/>
      <c r="C3791" s="377"/>
      <c r="D3791" s="6" t="str">
        <f>_xlfn.XLOOKUP(B3791,Indices!$A$2:$A$2676,Indices!$B$2:$B$2676,"")</f>
        <v/>
      </c>
    </row>
    <row r="3792" spans="1:4" x14ac:dyDescent="0.25">
      <c r="A3792" s="379"/>
      <c r="B3792" s="382"/>
      <c r="C3792" s="377"/>
      <c r="D3792" s="6" t="str">
        <f>_xlfn.XLOOKUP(B3792,Indices!$A$2:$A$2676,Indices!$B$2:$B$2676,"")</f>
        <v/>
      </c>
    </row>
    <row r="3793" spans="1:4" x14ac:dyDescent="0.25">
      <c r="A3793" s="379"/>
      <c r="B3793" s="382"/>
      <c r="C3793" s="377"/>
      <c r="D3793" s="6" t="str">
        <f>_xlfn.XLOOKUP(B3793,Indices!$A$2:$A$2676,Indices!$B$2:$B$2676,"")</f>
        <v/>
      </c>
    </row>
    <row r="3794" spans="1:4" x14ac:dyDescent="0.25">
      <c r="A3794" s="379"/>
      <c r="B3794" s="382"/>
      <c r="C3794" s="377"/>
      <c r="D3794" s="6" t="str">
        <f>_xlfn.XLOOKUP(B3794,Indices!$A$2:$A$2676,Indices!$B$2:$B$2676,"")</f>
        <v/>
      </c>
    </row>
    <row r="3795" spans="1:4" x14ac:dyDescent="0.25">
      <c r="A3795" s="379"/>
      <c r="B3795" s="382"/>
      <c r="C3795" s="377"/>
      <c r="D3795" s="6" t="str">
        <f>_xlfn.XLOOKUP(B3795,Indices!$A$2:$A$2676,Indices!$B$2:$B$2676,"")</f>
        <v/>
      </c>
    </row>
    <row r="3796" spans="1:4" x14ac:dyDescent="0.25">
      <c r="A3796" s="379"/>
      <c r="B3796" s="382"/>
      <c r="C3796" s="377"/>
      <c r="D3796" s="6" t="str">
        <f>_xlfn.XLOOKUP(B3796,Indices!$A$2:$A$2676,Indices!$B$2:$B$2676,"")</f>
        <v/>
      </c>
    </row>
    <row r="3797" spans="1:4" x14ac:dyDescent="0.25">
      <c r="A3797" s="379"/>
      <c r="B3797" s="382"/>
      <c r="C3797" s="377"/>
      <c r="D3797" s="6" t="str">
        <f>_xlfn.XLOOKUP(B3797,Indices!$A$2:$A$2676,Indices!$B$2:$B$2676,"")</f>
        <v/>
      </c>
    </row>
    <row r="3798" spans="1:4" x14ac:dyDescent="0.25">
      <c r="A3798" s="379"/>
      <c r="B3798" s="382"/>
      <c r="C3798" s="377"/>
      <c r="D3798" s="6" t="str">
        <f>_xlfn.XLOOKUP(B3798,Indices!$A$2:$A$2676,Indices!$B$2:$B$2676,"")</f>
        <v/>
      </c>
    </row>
    <row r="3799" spans="1:4" x14ac:dyDescent="0.25">
      <c r="A3799" s="379"/>
      <c r="B3799" s="382"/>
      <c r="C3799" s="377"/>
      <c r="D3799" s="6" t="str">
        <f>_xlfn.XLOOKUP(B3799,Indices!$A$2:$A$2676,Indices!$B$2:$B$2676,"")</f>
        <v/>
      </c>
    </row>
    <row r="3800" spans="1:4" x14ac:dyDescent="0.25">
      <c r="A3800" s="379"/>
      <c r="B3800" s="382"/>
      <c r="C3800" s="377"/>
      <c r="D3800" s="6" t="str">
        <f>_xlfn.XLOOKUP(B3800,Indices!$A$2:$A$2676,Indices!$B$2:$B$2676,"")</f>
        <v/>
      </c>
    </row>
    <row r="3801" spans="1:4" x14ac:dyDescent="0.25">
      <c r="A3801" s="379"/>
      <c r="B3801" s="382"/>
      <c r="C3801" s="377"/>
      <c r="D3801" s="6" t="str">
        <f>_xlfn.XLOOKUP(B3801,Indices!$A$2:$A$2676,Indices!$B$2:$B$2676,"")</f>
        <v/>
      </c>
    </row>
    <row r="3802" spans="1:4" x14ac:dyDescent="0.25">
      <c r="A3802" s="379"/>
      <c r="B3802" s="382"/>
      <c r="C3802" s="377"/>
      <c r="D3802" s="6" t="str">
        <f>_xlfn.XLOOKUP(B3802,Indices!$A$2:$A$2676,Indices!$B$2:$B$2676,"")</f>
        <v/>
      </c>
    </row>
    <row r="3803" spans="1:4" x14ac:dyDescent="0.25">
      <c r="A3803" s="379"/>
      <c r="B3803" s="382"/>
      <c r="C3803" s="377"/>
      <c r="D3803" s="6" t="str">
        <f>_xlfn.XLOOKUP(B3803,Indices!$A$2:$A$2676,Indices!$B$2:$B$2676,"")</f>
        <v/>
      </c>
    </row>
    <row r="3804" spans="1:4" x14ac:dyDescent="0.25">
      <c r="A3804" s="379"/>
      <c r="B3804" s="382"/>
      <c r="C3804" s="377"/>
      <c r="D3804" s="6" t="str">
        <f>_xlfn.XLOOKUP(B3804,Indices!$A$2:$A$2676,Indices!$B$2:$B$2676,"")</f>
        <v/>
      </c>
    </row>
    <row r="3805" spans="1:4" x14ac:dyDescent="0.25">
      <c r="A3805" s="379"/>
      <c r="B3805" s="382"/>
      <c r="C3805" s="377"/>
      <c r="D3805" s="6" t="str">
        <f>_xlfn.XLOOKUP(B3805,Indices!$A$2:$A$2676,Indices!$B$2:$B$2676,"")</f>
        <v/>
      </c>
    </row>
    <row r="3806" spans="1:4" x14ac:dyDescent="0.25">
      <c r="A3806" s="379"/>
      <c r="B3806" s="382"/>
      <c r="C3806" s="377"/>
      <c r="D3806" s="6" t="str">
        <f>_xlfn.XLOOKUP(B3806,Indices!$A$2:$A$2676,Indices!$B$2:$B$2676,"")</f>
        <v/>
      </c>
    </row>
    <row r="3807" spans="1:4" x14ac:dyDescent="0.25">
      <c r="A3807" s="379"/>
      <c r="B3807" s="382"/>
      <c r="C3807" s="377"/>
      <c r="D3807" s="6" t="str">
        <f>_xlfn.XLOOKUP(B3807,Indices!$A$2:$A$2676,Indices!$B$2:$B$2676,"")</f>
        <v/>
      </c>
    </row>
    <row r="3808" spans="1:4" x14ac:dyDescent="0.25">
      <c r="A3808" s="379"/>
      <c r="B3808" s="382"/>
      <c r="C3808" s="377"/>
      <c r="D3808" s="6" t="str">
        <f>_xlfn.XLOOKUP(B3808,Indices!$A$2:$A$2676,Indices!$B$2:$B$2676,"")</f>
        <v/>
      </c>
    </row>
    <row r="3809" spans="1:4" x14ac:dyDescent="0.25">
      <c r="A3809" s="379"/>
      <c r="B3809" s="382"/>
      <c r="C3809" s="377"/>
      <c r="D3809" s="6" t="str">
        <f>_xlfn.XLOOKUP(B3809,Indices!$A$2:$A$2676,Indices!$B$2:$B$2676,"")</f>
        <v/>
      </c>
    </row>
    <row r="3810" spans="1:4" x14ac:dyDescent="0.25">
      <c r="A3810" s="379"/>
      <c r="B3810" s="382"/>
      <c r="C3810" s="377"/>
      <c r="D3810" s="6" t="str">
        <f>_xlfn.XLOOKUP(B3810,Indices!$A$2:$A$2676,Indices!$B$2:$B$2676,"")</f>
        <v/>
      </c>
    </row>
    <row r="3811" spans="1:4" x14ac:dyDescent="0.25">
      <c r="A3811" s="379"/>
      <c r="B3811" s="382"/>
      <c r="C3811" s="377"/>
      <c r="D3811" s="6" t="str">
        <f>_xlfn.XLOOKUP(B3811,Indices!$A$2:$A$2676,Indices!$B$2:$B$2676,"")</f>
        <v/>
      </c>
    </row>
    <row r="3812" spans="1:4" x14ac:dyDescent="0.25">
      <c r="A3812" s="379"/>
      <c r="B3812" s="382"/>
      <c r="C3812" s="377"/>
      <c r="D3812" s="6" t="str">
        <f>_xlfn.XLOOKUP(B3812,Indices!$A$2:$A$2676,Indices!$B$2:$B$2676,"")</f>
        <v/>
      </c>
    </row>
    <row r="3813" spans="1:4" x14ac:dyDescent="0.25">
      <c r="A3813" s="379"/>
      <c r="B3813" s="382"/>
      <c r="C3813" s="377"/>
      <c r="D3813" s="6" t="str">
        <f>_xlfn.XLOOKUP(B3813,Indices!$A$2:$A$2676,Indices!$B$2:$B$2676,"")</f>
        <v/>
      </c>
    </row>
    <row r="3814" spans="1:4" x14ac:dyDescent="0.25">
      <c r="A3814" s="379"/>
      <c r="B3814" s="382"/>
      <c r="C3814" s="377"/>
      <c r="D3814" s="6" t="str">
        <f>_xlfn.XLOOKUP(B3814,Indices!$A$2:$A$2676,Indices!$B$2:$B$2676,"")</f>
        <v/>
      </c>
    </row>
    <row r="3815" spans="1:4" x14ac:dyDescent="0.25">
      <c r="A3815" s="379"/>
      <c r="B3815" s="382"/>
      <c r="C3815" s="377"/>
      <c r="D3815" s="6" t="str">
        <f>_xlfn.XLOOKUP(B3815,Indices!$A$2:$A$2676,Indices!$B$2:$B$2676,"")</f>
        <v/>
      </c>
    </row>
    <row r="3816" spans="1:4" x14ac:dyDescent="0.25">
      <c r="A3816" s="379"/>
      <c r="B3816" s="382"/>
      <c r="C3816" s="377"/>
      <c r="D3816" s="6" t="str">
        <f>_xlfn.XLOOKUP(B3816,Indices!$A$2:$A$2676,Indices!$B$2:$B$2676,"")</f>
        <v/>
      </c>
    </row>
    <row r="3817" spans="1:4" x14ac:dyDescent="0.25">
      <c r="A3817" s="379"/>
      <c r="B3817" s="382"/>
      <c r="C3817" s="377"/>
      <c r="D3817" s="6" t="str">
        <f>_xlfn.XLOOKUP(B3817,Indices!$A$2:$A$2676,Indices!$B$2:$B$2676,"")</f>
        <v/>
      </c>
    </row>
    <row r="3818" spans="1:4" x14ac:dyDescent="0.25">
      <c r="A3818" s="379"/>
      <c r="B3818" s="382"/>
      <c r="C3818" s="377"/>
      <c r="D3818" s="6" t="str">
        <f>_xlfn.XLOOKUP(B3818,Indices!$A$2:$A$2676,Indices!$B$2:$B$2676,"")</f>
        <v/>
      </c>
    </row>
    <row r="3819" spans="1:4" x14ac:dyDescent="0.25">
      <c r="A3819" s="379"/>
      <c r="B3819" s="382"/>
      <c r="C3819" s="377"/>
      <c r="D3819" s="6" t="str">
        <f>_xlfn.XLOOKUP(B3819,Indices!$A$2:$A$2676,Indices!$B$2:$B$2676,"")</f>
        <v/>
      </c>
    </row>
    <row r="3820" spans="1:4" x14ac:dyDescent="0.25">
      <c r="A3820" s="379"/>
      <c r="B3820" s="382"/>
      <c r="C3820" s="377"/>
      <c r="D3820" s="6" t="str">
        <f>_xlfn.XLOOKUP(B3820,Indices!$A$2:$A$2676,Indices!$B$2:$B$2676,"")</f>
        <v/>
      </c>
    </row>
    <row r="3821" spans="1:4" x14ac:dyDescent="0.25">
      <c r="A3821" s="379"/>
      <c r="B3821" s="382"/>
      <c r="C3821" s="377"/>
      <c r="D3821" s="6" t="str">
        <f>_xlfn.XLOOKUP(B3821,Indices!$A$2:$A$2676,Indices!$B$2:$B$2676,"")</f>
        <v/>
      </c>
    </row>
    <row r="3822" spans="1:4" x14ac:dyDescent="0.25">
      <c r="A3822" s="379"/>
      <c r="B3822" s="382"/>
      <c r="C3822" s="377"/>
      <c r="D3822" s="6" t="str">
        <f>_xlfn.XLOOKUP(B3822,Indices!$A$2:$A$2676,Indices!$B$2:$B$2676,"")</f>
        <v/>
      </c>
    </row>
    <row r="3823" spans="1:4" x14ac:dyDescent="0.25">
      <c r="A3823" s="379"/>
      <c r="B3823" s="382"/>
      <c r="C3823" s="377"/>
      <c r="D3823" s="6" t="str">
        <f>_xlfn.XLOOKUP(B3823,Indices!$A$2:$A$2676,Indices!$B$2:$B$2676,"")</f>
        <v/>
      </c>
    </row>
    <row r="3824" spans="1:4" x14ac:dyDescent="0.25">
      <c r="A3824" s="379"/>
      <c r="B3824" s="382"/>
      <c r="C3824" s="377"/>
      <c r="D3824" s="6" t="str">
        <f>_xlfn.XLOOKUP(B3824,Indices!$A$2:$A$2676,Indices!$B$2:$B$2676,"")</f>
        <v/>
      </c>
    </row>
    <row r="3825" spans="1:4" x14ac:dyDescent="0.25">
      <c r="A3825" s="379"/>
      <c r="B3825" s="382"/>
      <c r="C3825" s="377"/>
      <c r="D3825" s="6" t="str">
        <f>_xlfn.XLOOKUP(B3825,Indices!$A$2:$A$2676,Indices!$B$2:$B$2676,"")</f>
        <v/>
      </c>
    </row>
    <row r="3826" spans="1:4" x14ac:dyDescent="0.25">
      <c r="A3826" s="379"/>
      <c r="B3826" s="382"/>
      <c r="C3826" s="377"/>
      <c r="D3826" s="6" t="str">
        <f>_xlfn.XLOOKUP(B3826,Indices!$A$2:$A$2676,Indices!$B$2:$B$2676,"")</f>
        <v/>
      </c>
    </row>
    <row r="3827" spans="1:4" x14ac:dyDescent="0.25">
      <c r="A3827" s="379"/>
      <c r="B3827" s="382"/>
      <c r="C3827" s="377"/>
      <c r="D3827" s="6" t="str">
        <f>_xlfn.XLOOKUP(B3827,Indices!$A$2:$A$2676,Indices!$B$2:$B$2676,"")</f>
        <v/>
      </c>
    </row>
    <row r="3828" spans="1:4" x14ac:dyDescent="0.25">
      <c r="A3828" s="379"/>
      <c r="B3828" s="382"/>
      <c r="C3828" s="377"/>
      <c r="D3828" s="6" t="str">
        <f>_xlfn.XLOOKUP(B3828,Indices!$A$2:$A$2676,Indices!$B$2:$B$2676,"")</f>
        <v/>
      </c>
    </row>
    <row r="3829" spans="1:4" x14ac:dyDescent="0.25">
      <c r="A3829" s="379"/>
      <c r="B3829" s="382"/>
      <c r="C3829" s="377"/>
      <c r="D3829" s="6" t="str">
        <f>_xlfn.XLOOKUP(B3829,Indices!$A$2:$A$2676,Indices!$B$2:$B$2676,"")</f>
        <v/>
      </c>
    </row>
    <row r="3830" spans="1:4" x14ac:dyDescent="0.25">
      <c r="A3830" s="379"/>
      <c r="B3830" s="382"/>
      <c r="C3830" s="377"/>
      <c r="D3830" s="6" t="str">
        <f>_xlfn.XLOOKUP(B3830,Indices!$A$2:$A$2676,Indices!$B$2:$B$2676,"")</f>
        <v/>
      </c>
    </row>
    <row r="3831" spans="1:4" x14ac:dyDescent="0.25">
      <c r="A3831" s="379"/>
      <c r="B3831" s="382"/>
      <c r="C3831" s="377"/>
      <c r="D3831" s="6" t="str">
        <f>_xlfn.XLOOKUP(B3831,Indices!$A$2:$A$2676,Indices!$B$2:$B$2676,"")</f>
        <v/>
      </c>
    </row>
    <row r="3832" spans="1:4" x14ac:dyDescent="0.25">
      <c r="A3832" s="379"/>
      <c r="B3832" s="382"/>
      <c r="C3832" s="377"/>
      <c r="D3832" s="6" t="str">
        <f>_xlfn.XLOOKUP(B3832,Indices!$A$2:$A$2676,Indices!$B$2:$B$2676,"")</f>
        <v/>
      </c>
    </row>
    <row r="3833" spans="1:4" x14ac:dyDescent="0.25">
      <c r="A3833" s="379"/>
      <c r="B3833" s="382"/>
      <c r="C3833" s="377"/>
      <c r="D3833" s="6" t="str">
        <f>_xlfn.XLOOKUP(B3833,Indices!$A$2:$A$2676,Indices!$B$2:$B$2676,"")</f>
        <v/>
      </c>
    </row>
    <row r="3834" spans="1:4" x14ac:dyDescent="0.25">
      <c r="A3834" s="379"/>
      <c r="B3834" s="382"/>
      <c r="C3834" s="377"/>
      <c r="D3834" s="6" t="str">
        <f>_xlfn.XLOOKUP(B3834,Indices!$A$2:$A$2676,Indices!$B$2:$B$2676,"")</f>
        <v/>
      </c>
    </row>
    <row r="3835" spans="1:4" x14ac:dyDescent="0.25">
      <c r="A3835" s="379"/>
      <c r="B3835" s="382"/>
      <c r="C3835" s="377"/>
      <c r="D3835" s="6" t="str">
        <f>_xlfn.XLOOKUP(B3835,Indices!$A$2:$A$2676,Indices!$B$2:$B$2676,"")</f>
        <v/>
      </c>
    </row>
    <row r="3836" spans="1:4" x14ac:dyDescent="0.25">
      <c r="A3836" s="379"/>
      <c r="B3836" s="382"/>
      <c r="C3836" s="377"/>
      <c r="D3836" s="6" t="str">
        <f>_xlfn.XLOOKUP(B3836,Indices!$A$2:$A$2676,Indices!$B$2:$B$2676,"")</f>
        <v/>
      </c>
    </row>
    <row r="3837" spans="1:4" x14ac:dyDescent="0.25">
      <c r="A3837" s="379"/>
      <c r="B3837" s="382"/>
      <c r="C3837" s="377"/>
      <c r="D3837" s="6" t="str">
        <f>_xlfn.XLOOKUP(B3837,Indices!$A$2:$A$2676,Indices!$B$2:$B$2676,"")</f>
        <v/>
      </c>
    </row>
    <row r="3838" spans="1:4" x14ac:dyDescent="0.25">
      <c r="A3838" s="379"/>
      <c r="B3838" s="382"/>
      <c r="C3838" s="377"/>
      <c r="D3838" s="6" t="str">
        <f>_xlfn.XLOOKUP(B3838,Indices!$A$2:$A$2676,Indices!$B$2:$B$2676,"")</f>
        <v/>
      </c>
    </row>
    <row r="3839" spans="1:4" x14ac:dyDescent="0.25">
      <c r="A3839" s="379"/>
      <c r="B3839" s="382"/>
      <c r="C3839" s="377"/>
      <c r="D3839" s="6" t="str">
        <f>_xlfn.XLOOKUP(B3839,Indices!$A$2:$A$2676,Indices!$B$2:$B$2676,"")</f>
        <v/>
      </c>
    </row>
    <row r="3840" spans="1:4" x14ac:dyDescent="0.25">
      <c r="A3840" s="379"/>
      <c r="B3840" s="382"/>
      <c r="C3840" s="377"/>
      <c r="D3840" s="6" t="str">
        <f>_xlfn.XLOOKUP(B3840,Indices!$A$2:$A$2676,Indices!$B$2:$B$2676,"")</f>
        <v/>
      </c>
    </row>
    <row r="3841" spans="1:4" x14ac:dyDescent="0.25">
      <c r="A3841" s="379"/>
      <c r="B3841" s="382"/>
      <c r="C3841" s="377"/>
      <c r="D3841" s="6" t="str">
        <f>_xlfn.XLOOKUP(B3841,Indices!$A$2:$A$2676,Indices!$B$2:$B$2676,"")</f>
        <v/>
      </c>
    </row>
    <row r="3842" spans="1:4" x14ac:dyDescent="0.25">
      <c r="A3842" s="379"/>
      <c r="B3842" s="382"/>
      <c r="C3842" s="377"/>
      <c r="D3842" s="6" t="str">
        <f>_xlfn.XLOOKUP(B3842,Indices!$A$2:$A$2676,Indices!$B$2:$B$2676,"")</f>
        <v/>
      </c>
    </row>
    <row r="3843" spans="1:4" x14ac:dyDescent="0.25">
      <c r="A3843" s="379"/>
      <c r="B3843" s="382"/>
      <c r="C3843" s="377"/>
      <c r="D3843" s="6" t="str">
        <f>_xlfn.XLOOKUP(B3843,Indices!$A$2:$A$2676,Indices!$B$2:$B$2676,"")</f>
        <v/>
      </c>
    </row>
    <row r="3844" spans="1:4" x14ac:dyDescent="0.25">
      <c r="A3844" s="379"/>
      <c r="B3844" s="382"/>
      <c r="C3844" s="377"/>
      <c r="D3844" s="6" t="str">
        <f>_xlfn.XLOOKUP(B3844,Indices!$A$2:$A$2676,Indices!$B$2:$B$2676,"")</f>
        <v/>
      </c>
    </row>
    <row r="3845" spans="1:4" x14ac:dyDescent="0.25">
      <c r="A3845" s="379"/>
      <c r="B3845" s="382"/>
      <c r="C3845" s="377"/>
      <c r="D3845" s="6" t="str">
        <f>_xlfn.XLOOKUP(B3845,Indices!$A$2:$A$2676,Indices!$B$2:$B$2676,"")</f>
        <v/>
      </c>
    </row>
    <row r="3846" spans="1:4" x14ac:dyDescent="0.25">
      <c r="A3846" s="379"/>
      <c r="B3846" s="382"/>
      <c r="C3846" s="377"/>
      <c r="D3846" s="6" t="str">
        <f>_xlfn.XLOOKUP(B3846,Indices!$A$2:$A$2676,Indices!$B$2:$B$2676,"")</f>
        <v/>
      </c>
    </row>
    <row r="3847" spans="1:4" x14ac:dyDescent="0.25">
      <c r="A3847" s="379"/>
      <c r="B3847" s="382"/>
      <c r="C3847" s="377"/>
      <c r="D3847" s="6" t="str">
        <f>_xlfn.XLOOKUP(B3847,Indices!$A$2:$A$2676,Indices!$B$2:$B$2676,"")</f>
        <v/>
      </c>
    </row>
    <row r="3848" spans="1:4" x14ac:dyDescent="0.25">
      <c r="A3848" s="379"/>
      <c r="B3848" s="382"/>
      <c r="C3848" s="377"/>
      <c r="D3848" s="6" t="str">
        <f>_xlfn.XLOOKUP(B3848,Indices!$A$2:$A$2676,Indices!$B$2:$B$2676,"")</f>
        <v/>
      </c>
    </row>
    <row r="3849" spans="1:4" x14ac:dyDescent="0.25">
      <c r="A3849" s="379"/>
      <c r="B3849" s="382"/>
      <c r="C3849" s="377"/>
      <c r="D3849" s="6" t="str">
        <f>_xlfn.XLOOKUP(B3849,Indices!$A$2:$A$2676,Indices!$B$2:$B$2676,"")</f>
        <v/>
      </c>
    </row>
    <row r="3850" spans="1:4" x14ac:dyDescent="0.25">
      <c r="A3850" s="379"/>
      <c r="B3850" s="382"/>
      <c r="C3850" s="377"/>
      <c r="D3850" s="6" t="str">
        <f>_xlfn.XLOOKUP(B3850,Indices!$A$2:$A$2676,Indices!$B$2:$B$2676,"")</f>
        <v/>
      </c>
    </row>
    <row r="3851" spans="1:4" x14ac:dyDescent="0.25">
      <c r="A3851" s="379"/>
      <c r="B3851" s="382"/>
      <c r="C3851" s="377"/>
      <c r="D3851" s="6" t="str">
        <f>_xlfn.XLOOKUP(B3851,Indices!$A$2:$A$2676,Indices!$B$2:$B$2676,"")</f>
        <v/>
      </c>
    </row>
    <row r="3852" spans="1:4" x14ac:dyDescent="0.25">
      <c r="A3852" s="379"/>
      <c r="B3852" s="382"/>
      <c r="C3852" s="377"/>
      <c r="D3852" s="6" t="str">
        <f>_xlfn.XLOOKUP(B3852,Indices!$A$2:$A$2676,Indices!$B$2:$B$2676,"")</f>
        <v/>
      </c>
    </row>
    <row r="3853" spans="1:4" x14ac:dyDescent="0.25">
      <c r="A3853" s="379"/>
      <c r="B3853" s="382"/>
      <c r="C3853" s="377"/>
      <c r="D3853" s="6" t="str">
        <f>_xlfn.XLOOKUP(B3853,Indices!$A$2:$A$2676,Indices!$B$2:$B$2676,"")</f>
        <v/>
      </c>
    </row>
    <row r="3854" spans="1:4" x14ac:dyDescent="0.25">
      <c r="A3854" s="379"/>
      <c r="B3854" s="382"/>
      <c r="C3854" s="377"/>
      <c r="D3854" s="6" t="str">
        <f>_xlfn.XLOOKUP(B3854,Indices!$A$2:$A$2676,Indices!$B$2:$B$2676,"")</f>
        <v/>
      </c>
    </row>
    <row r="3855" spans="1:4" x14ac:dyDescent="0.25">
      <c r="A3855" s="379"/>
      <c r="B3855" s="382"/>
      <c r="C3855" s="377"/>
      <c r="D3855" s="6" t="str">
        <f>_xlfn.XLOOKUP(B3855,Indices!$A$2:$A$2676,Indices!$B$2:$B$2676,"")</f>
        <v/>
      </c>
    </row>
    <row r="3856" spans="1:4" x14ac:dyDescent="0.25">
      <c r="A3856" s="379"/>
      <c r="B3856" s="382"/>
      <c r="C3856" s="377"/>
      <c r="D3856" s="6" t="str">
        <f>_xlfn.XLOOKUP(B3856,Indices!$A$2:$A$2676,Indices!$B$2:$B$2676,"")</f>
        <v/>
      </c>
    </row>
    <row r="3857" spans="1:4" x14ac:dyDescent="0.25">
      <c r="A3857" s="379"/>
      <c r="B3857" s="382"/>
      <c r="C3857" s="377"/>
      <c r="D3857" s="6" t="str">
        <f>_xlfn.XLOOKUP(B3857,Indices!$A$2:$A$2676,Indices!$B$2:$B$2676,"")</f>
        <v/>
      </c>
    </row>
    <row r="3858" spans="1:4" x14ac:dyDescent="0.25">
      <c r="A3858" s="379"/>
      <c r="B3858" s="382"/>
      <c r="C3858" s="377"/>
      <c r="D3858" s="6" t="str">
        <f>_xlfn.XLOOKUP(B3858,Indices!$A$2:$A$2676,Indices!$B$2:$B$2676,"")</f>
        <v/>
      </c>
    </row>
    <row r="3859" spans="1:4" x14ac:dyDescent="0.25">
      <c r="A3859" s="379"/>
      <c r="B3859" s="382"/>
      <c r="C3859" s="377"/>
      <c r="D3859" s="6" t="str">
        <f>_xlfn.XLOOKUP(B3859,Indices!$A$2:$A$2676,Indices!$B$2:$B$2676,"")</f>
        <v/>
      </c>
    </row>
    <row r="3860" spans="1:4" x14ac:dyDescent="0.25">
      <c r="A3860" s="379"/>
      <c r="B3860" s="382"/>
      <c r="C3860" s="377"/>
      <c r="D3860" s="6" t="str">
        <f>_xlfn.XLOOKUP(B3860,Indices!$A$2:$A$2676,Indices!$B$2:$B$2676,"")</f>
        <v/>
      </c>
    </row>
    <row r="3861" spans="1:4" x14ac:dyDescent="0.25">
      <c r="A3861" s="379"/>
      <c r="B3861" s="382"/>
      <c r="C3861" s="377"/>
      <c r="D3861" s="6" t="str">
        <f>_xlfn.XLOOKUP(B3861,Indices!$A$2:$A$2676,Indices!$B$2:$B$2676,"")</f>
        <v/>
      </c>
    </row>
    <row r="3862" spans="1:4" x14ac:dyDescent="0.25">
      <c r="A3862" s="379"/>
      <c r="B3862" s="382"/>
      <c r="C3862" s="377"/>
      <c r="D3862" s="6" t="str">
        <f>_xlfn.XLOOKUP(B3862,Indices!$A$2:$A$2676,Indices!$B$2:$B$2676,"")</f>
        <v/>
      </c>
    </row>
    <row r="3863" spans="1:4" x14ac:dyDescent="0.25">
      <c r="A3863" s="379"/>
      <c r="B3863" s="382"/>
      <c r="C3863" s="377"/>
      <c r="D3863" s="6" t="str">
        <f>_xlfn.XLOOKUP(B3863,Indices!$A$2:$A$2676,Indices!$B$2:$B$2676,"")</f>
        <v/>
      </c>
    </row>
    <row r="3864" spans="1:4" x14ac:dyDescent="0.25">
      <c r="A3864" s="379"/>
      <c r="B3864" s="382"/>
      <c r="C3864" s="377"/>
      <c r="D3864" s="6" t="str">
        <f>_xlfn.XLOOKUP(B3864,Indices!$A$2:$A$2676,Indices!$B$2:$B$2676,"")</f>
        <v/>
      </c>
    </row>
    <row r="3865" spans="1:4" x14ac:dyDescent="0.25">
      <c r="A3865" s="379"/>
      <c r="B3865" s="382"/>
      <c r="C3865" s="377"/>
      <c r="D3865" s="6" t="str">
        <f>_xlfn.XLOOKUP(B3865,Indices!$A$2:$A$2676,Indices!$B$2:$B$2676,"")</f>
        <v/>
      </c>
    </row>
    <row r="3866" spans="1:4" x14ac:dyDescent="0.25">
      <c r="A3866" s="379"/>
      <c r="B3866" s="382"/>
      <c r="C3866" s="377"/>
      <c r="D3866" s="6" t="str">
        <f>_xlfn.XLOOKUP(B3866,Indices!$A$2:$A$2676,Indices!$B$2:$B$2676,"")</f>
        <v/>
      </c>
    </row>
    <row r="3867" spans="1:4" x14ac:dyDescent="0.25">
      <c r="A3867" s="379"/>
      <c r="B3867" s="382"/>
      <c r="C3867" s="377"/>
      <c r="D3867" s="6" t="str">
        <f>_xlfn.XLOOKUP(B3867,Indices!$A$2:$A$2676,Indices!$B$2:$B$2676,"")</f>
        <v/>
      </c>
    </row>
    <row r="3868" spans="1:4" x14ac:dyDescent="0.25">
      <c r="A3868" s="379"/>
      <c r="B3868" s="382"/>
      <c r="C3868" s="377"/>
      <c r="D3868" s="6" t="str">
        <f>_xlfn.XLOOKUP(B3868,Indices!$A$2:$A$2676,Indices!$B$2:$B$2676,"")</f>
        <v/>
      </c>
    </row>
    <row r="3869" spans="1:4" x14ac:dyDescent="0.25">
      <c r="A3869" s="379"/>
      <c r="B3869" s="382"/>
      <c r="C3869" s="377"/>
      <c r="D3869" s="6" t="str">
        <f>_xlfn.XLOOKUP(B3869,Indices!$A$2:$A$2676,Indices!$B$2:$B$2676,"")</f>
        <v/>
      </c>
    </row>
    <row r="3870" spans="1:4" x14ac:dyDescent="0.25">
      <c r="A3870" s="379"/>
      <c r="B3870" s="382"/>
      <c r="C3870" s="377"/>
      <c r="D3870" s="6" t="str">
        <f>_xlfn.XLOOKUP(B3870,Indices!$A$2:$A$2676,Indices!$B$2:$B$2676,"")</f>
        <v/>
      </c>
    </row>
    <row r="3871" spans="1:4" x14ac:dyDescent="0.25">
      <c r="A3871" s="379"/>
      <c r="B3871" s="382"/>
      <c r="C3871" s="377"/>
      <c r="D3871" s="6" t="str">
        <f>_xlfn.XLOOKUP(B3871,Indices!$A$2:$A$2676,Indices!$B$2:$B$2676,"")</f>
        <v/>
      </c>
    </row>
    <row r="3872" spans="1:4" x14ac:dyDescent="0.25">
      <c r="A3872" s="379"/>
      <c r="B3872" s="382"/>
      <c r="C3872" s="377"/>
      <c r="D3872" s="6" t="str">
        <f>_xlfn.XLOOKUP(B3872,Indices!$A$2:$A$2676,Indices!$B$2:$B$2676,"")</f>
        <v/>
      </c>
    </row>
    <row r="3873" spans="1:4" x14ac:dyDescent="0.25">
      <c r="A3873" s="379"/>
      <c r="B3873" s="382"/>
      <c r="C3873" s="377"/>
      <c r="D3873" s="6" t="str">
        <f>_xlfn.XLOOKUP(B3873,Indices!$A$2:$A$2676,Indices!$B$2:$B$2676,"")</f>
        <v/>
      </c>
    </row>
    <row r="3874" spans="1:4" x14ac:dyDescent="0.25">
      <c r="A3874" s="379"/>
      <c r="B3874" s="382"/>
      <c r="C3874" s="377"/>
      <c r="D3874" s="6" t="str">
        <f>_xlfn.XLOOKUP(B3874,Indices!$A$2:$A$2676,Indices!$B$2:$B$2676,"")</f>
        <v/>
      </c>
    </row>
    <row r="3875" spans="1:4" x14ac:dyDescent="0.25">
      <c r="A3875" s="379"/>
      <c r="B3875" s="382"/>
      <c r="C3875" s="377"/>
      <c r="D3875" s="6" t="str">
        <f>_xlfn.XLOOKUP(B3875,Indices!$A$2:$A$2676,Indices!$B$2:$B$2676,"")</f>
        <v/>
      </c>
    </row>
    <row r="3876" spans="1:4" x14ac:dyDescent="0.25">
      <c r="A3876" s="379"/>
      <c r="B3876" s="382"/>
      <c r="C3876" s="377"/>
      <c r="D3876" s="6" t="str">
        <f>_xlfn.XLOOKUP(B3876,Indices!$A$2:$A$2676,Indices!$B$2:$B$2676,"")</f>
        <v/>
      </c>
    </row>
    <row r="3877" spans="1:4" x14ac:dyDescent="0.25">
      <c r="A3877" s="379"/>
      <c r="B3877" s="382"/>
      <c r="C3877" s="377"/>
      <c r="D3877" s="6" t="str">
        <f>_xlfn.XLOOKUP(B3877,Indices!$A$2:$A$2676,Indices!$B$2:$B$2676,"")</f>
        <v/>
      </c>
    </row>
    <row r="3878" spans="1:4" x14ac:dyDescent="0.25">
      <c r="A3878" s="379"/>
      <c r="B3878" s="382"/>
      <c r="C3878" s="377"/>
      <c r="D3878" s="6" t="str">
        <f>_xlfn.XLOOKUP(B3878,Indices!$A$2:$A$2676,Indices!$B$2:$B$2676,"")</f>
        <v/>
      </c>
    </row>
    <row r="3879" spans="1:4" x14ac:dyDescent="0.25">
      <c r="A3879" s="379"/>
      <c r="B3879" s="382"/>
      <c r="C3879" s="377"/>
      <c r="D3879" s="6" t="str">
        <f>_xlfn.XLOOKUP(B3879,Indices!$A$2:$A$2676,Indices!$B$2:$B$2676,"")</f>
        <v/>
      </c>
    </row>
    <row r="3880" spans="1:4" x14ac:dyDescent="0.25">
      <c r="A3880" s="379"/>
      <c r="B3880" s="382"/>
      <c r="C3880" s="377"/>
      <c r="D3880" s="6" t="str">
        <f>_xlfn.XLOOKUP(B3880,Indices!$A$2:$A$2676,Indices!$B$2:$B$2676,"")</f>
        <v/>
      </c>
    </row>
    <row r="3881" spans="1:4" x14ac:dyDescent="0.25">
      <c r="A3881" s="379"/>
      <c r="B3881" s="382"/>
      <c r="C3881" s="377"/>
      <c r="D3881" s="6" t="str">
        <f>_xlfn.XLOOKUP(B3881,Indices!$A$2:$A$2676,Indices!$B$2:$B$2676,"")</f>
        <v/>
      </c>
    </row>
    <row r="3882" spans="1:4" x14ac:dyDescent="0.25">
      <c r="A3882" s="379"/>
      <c r="B3882" s="382"/>
      <c r="C3882" s="377"/>
      <c r="D3882" s="6" t="str">
        <f>_xlfn.XLOOKUP(B3882,Indices!$A$2:$A$2676,Indices!$B$2:$B$2676,"")</f>
        <v/>
      </c>
    </row>
    <row r="3883" spans="1:4" x14ac:dyDescent="0.25">
      <c r="A3883" s="379"/>
      <c r="B3883" s="382"/>
      <c r="C3883" s="377"/>
      <c r="D3883" s="6" t="str">
        <f>_xlfn.XLOOKUP(B3883,Indices!$A$2:$A$2676,Indices!$B$2:$B$2676,"")</f>
        <v/>
      </c>
    </row>
    <row r="3884" spans="1:4" x14ac:dyDescent="0.25">
      <c r="A3884" s="379"/>
      <c r="B3884" s="382"/>
      <c r="C3884" s="377"/>
      <c r="D3884" s="6" t="str">
        <f>_xlfn.XLOOKUP(B3884,Indices!$A$2:$A$2676,Indices!$B$2:$B$2676,"")</f>
        <v/>
      </c>
    </row>
    <row r="3885" spans="1:4" x14ac:dyDescent="0.25">
      <c r="A3885" s="379"/>
      <c r="B3885" s="382"/>
      <c r="C3885" s="377"/>
      <c r="D3885" s="6" t="str">
        <f>_xlfn.XLOOKUP(B3885,Indices!$A$2:$A$2676,Indices!$B$2:$B$2676,"")</f>
        <v/>
      </c>
    </row>
    <row r="3886" spans="1:4" x14ac:dyDescent="0.25">
      <c r="A3886" s="379"/>
      <c r="B3886" s="382"/>
      <c r="C3886" s="377"/>
      <c r="D3886" s="6" t="str">
        <f>_xlfn.XLOOKUP(B3886,Indices!$A$2:$A$2676,Indices!$B$2:$B$2676,"")</f>
        <v/>
      </c>
    </row>
    <row r="3887" spans="1:4" x14ac:dyDescent="0.25">
      <c r="A3887" s="379"/>
      <c r="B3887" s="382"/>
      <c r="C3887" s="377"/>
      <c r="D3887" s="6" t="str">
        <f>_xlfn.XLOOKUP(B3887,Indices!$A$2:$A$2676,Indices!$B$2:$B$2676,"")</f>
        <v/>
      </c>
    </row>
    <row r="3888" spans="1:4" x14ac:dyDescent="0.25">
      <c r="A3888" s="379"/>
      <c r="B3888" s="382"/>
      <c r="C3888" s="377"/>
      <c r="D3888" s="6" t="str">
        <f>_xlfn.XLOOKUP(B3888,Indices!$A$2:$A$2676,Indices!$B$2:$B$2676,"")</f>
        <v/>
      </c>
    </row>
    <row r="3889" spans="1:4" x14ac:dyDescent="0.25">
      <c r="A3889" s="379"/>
      <c r="B3889" s="382"/>
      <c r="C3889" s="377"/>
      <c r="D3889" s="6" t="str">
        <f>_xlfn.XLOOKUP(B3889,Indices!$A$2:$A$2676,Indices!$B$2:$B$2676,"")</f>
        <v/>
      </c>
    </row>
    <row r="3890" spans="1:4" x14ac:dyDescent="0.25">
      <c r="A3890" s="379"/>
      <c r="B3890" s="382"/>
      <c r="C3890" s="377"/>
      <c r="D3890" s="6" t="str">
        <f>_xlfn.XLOOKUP(B3890,Indices!$A$2:$A$2676,Indices!$B$2:$B$2676,"")</f>
        <v/>
      </c>
    </row>
    <row r="3891" spans="1:4" x14ac:dyDescent="0.25">
      <c r="A3891" s="379"/>
      <c r="B3891" s="382"/>
      <c r="C3891" s="377"/>
      <c r="D3891" s="6" t="str">
        <f>_xlfn.XLOOKUP(B3891,Indices!$A$2:$A$2676,Indices!$B$2:$B$2676,"")</f>
        <v/>
      </c>
    </row>
    <row r="3892" spans="1:4" x14ac:dyDescent="0.25">
      <c r="A3892" s="379"/>
      <c r="B3892" s="382"/>
      <c r="C3892" s="377"/>
      <c r="D3892" s="6" t="str">
        <f>_xlfn.XLOOKUP(B3892,Indices!$A$2:$A$2676,Indices!$B$2:$B$2676,"")</f>
        <v/>
      </c>
    </row>
    <row r="3893" spans="1:4" x14ac:dyDescent="0.25">
      <c r="A3893" s="379"/>
      <c r="B3893" s="382"/>
      <c r="C3893" s="377"/>
      <c r="D3893" s="6" t="str">
        <f>_xlfn.XLOOKUP(B3893,Indices!$A$2:$A$2676,Indices!$B$2:$B$2676,"")</f>
        <v/>
      </c>
    </row>
    <row r="3894" spans="1:4" x14ac:dyDescent="0.25">
      <c r="A3894" s="379"/>
      <c r="B3894" s="382"/>
      <c r="C3894" s="377"/>
      <c r="D3894" s="6" t="str">
        <f>_xlfn.XLOOKUP(B3894,Indices!$A$2:$A$2676,Indices!$B$2:$B$2676,"")</f>
        <v/>
      </c>
    </row>
    <row r="3895" spans="1:4" x14ac:dyDescent="0.25">
      <c r="A3895" s="379"/>
      <c r="B3895" s="382"/>
      <c r="C3895" s="377"/>
      <c r="D3895" s="6" t="str">
        <f>_xlfn.XLOOKUP(B3895,Indices!$A$2:$A$2676,Indices!$B$2:$B$2676,"")</f>
        <v/>
      </c>
    </row>
    <row r="3896" spans="1:4" x14ac:dyDescent="0.25">
      <c r="A3896" s="379"/>
      <c r="B3896" s="382"/>
      <c r="C3896" s="377"/>
      <c r="D3896" s="6" t="str">
        <f>_xlfn.XLOOKUP(B3896,Indices!$A$2:$A$2676,Indices!$B$2:$B$2676,"")</f>
        <v/>
      </c>
    </row>
    <row r="3897" spans="1:4" x14ac:dyDescent="0.25">
      <c r="A3897" s="379"/>
      <c r="B3897" s="382"/>
      <c r="C3897" s="377"/>
      <c r="D3897" s="6" t="str">
        <f>_xlfn.XLOOKUP(B3897,Indices!$A$2:$A$2676,Indices!$B$2:$B$2676,"")</f>
        <v/>
      </c>
    </row>
    <row r="3898" spans="1:4" x14ac:dyDescent="0.25">
      <c r="A3898" s="379"/>
      <c r="B3898" s="382"/>
      <c r="C3898" s="377"/>
      <c r="D3898" s="6" t="str">
        <f>_xlfn.XLOOKUP(B3898,Indices!$A$2:$A$2676,Indices!$B$2:$B$2676,"")</f>
        <v/>
      </c>
    </row>
    <row r="3899" spans="1:4" x14ac:dyDescent="0.25">
      <c r="A3899" s="379"/>
      <c r="B3899" s="382"/>
      <c r="C3899" s="377"/>
      <c r="D3899" s="6" t="str">
        <f>_xlfn.XLOOKUP(B3899,Indices!$A$2:$A$2676,Indices!$B$2:$B$2676,"")</f>
        <v/>
      </c>
    </row>
    <row r="3900" spans="1:4" x14ac:dyDescent="0.25">
      <c r="A3900" s="379"/>
      <c r="B3900" s="382"/>
      <c r="C3900" s="377"/>
      <c r="D3900" s="6" t="str">
        <f>_xlfn.XLOOKUP(B3900,Indices!$A$2:$A$2676,Indices!$B$2:$B$2676,"")</f>
        <v/>
      </c>
    </row>
    <row r="3901" spans="1:4" x14ac:dyDescent="0.25">
      <c r="A3901" s="379"/>
      <c r="B3901" s="382"/>
      <c r="C3901" s="377"/>
      <c r="D3901" s="6" t="str">
        <f>_xlfn.XLOOKUP(B3901,Indices!$A$2:$A$2676,Indices!$B$2:$B$2676,"")</f>
        <v/>
      </c>
    </row>
    <row r="3902" spans="1:4" x14ac:dyDescent="0.25">
      <c r="A3902" s="379"/>
      <c r="B3902" s="382"/>
      <c r="C3902" s="377"/>
      <c r="D3902" s="6" t="str">
        <f>_xlfn.XLOOKUP(B3902,Indices!$A$2:$A$2676,Indices!$B$2:$B$2676,"")</f>
        <v/>
      </c>
    </row>
    <row r="3903" spans="1:4" x14ac:dyDescent="0.25">
      <c r="A3903" s="379"/>
      <c r="B3903" s="382"/>
      <c r="C3903" s="377"/>
      <c r="D3903" s="6" t="str">
        <f>_xlfn.XLOOKUP(B3903,Indices!$A$2:$A$2676,Indices!$B$2:$B$2676,"")</f>
        <v/>
      </c>
    </row>
    <row r="3904" spans="1:4" x14ac:dyDescent="0.25">
      <c r="A3904" s="379"/>
      <c r="B3904" s="382"/>
      <c r="C3904" s="377"/>
      <c r="D3904" s="6" t="str">
        <f>_xlfn.XLOOKUP(B3904,Indices!$A$2:$A$2676,Indices!$B$2:$B$2676,"")</f>
        <v/>
      </c>
    </row>
    <row r="3905" spans="1:4" x14ac:dyDescent="0.25">
      <c r="A3905" s="379"/>
      <c r="B3905" s="382"/>
      <c r="C3905" s="377"/>
      <c r="D3905" s="6" t="str">
        <f>_xlfn.XLOOKUP(B3905,Indices!$A$2:$A$2676,Indices!$B$2:$B$2676,"")</f>
        <v/>
      </c>
    </row>
    <row r="3906" spans="1:4" x14ac:dyDescent="0.25">
      <c r="A3906" s="379"/>
      <c r="B3906" s="382"/>
      <c r="C3906" s="377"/>
      <c r="D3906" s="6" t="str">
        <f>_xlfn.XLOOKUP(B3906,Indices!$A$2:$A$2676,Indices!$B$2:$B$2676,"")</f>
        <v/>
      </c>
    </row>
    <row r="3907" spans="1:4" x14ac:dyDescent="0.25">
      <c r="A3907" s="379"/>
      <c r="B3907" s="382"/>
      <c r="C3907" s="377"/>
      <c r="D3907" s="6" t="str">
        <f>_xlfn.XLOOKUP(B3907,Indices!$A$2:$A$2676,Indices!$B$2:$B$2676,"")</f>
        <v/>
      </c>
    </row>
    <row r="3908" spans="1:4" x14ac:dyDescent="0.25">
      <c r="A3908" s="379"/>
      <c r="B3908" s="382"/>
      <c r="C3908" s="377"/>
      <c r="D3908" s="6" t="str">
        <f>_xlfn.XLOOKUP(B3908,Indices!$A$2:$A$2676,Indices!$B$2:$B$2676,"")</f>
        <v/>
      </c>
    </row>
    <row r="3909" spans="1:4" x14ac:dyDescent="0.25">
      <c r="A3909" s="379"/>
      <c r="B3909" s="382"/>
      <c r="C3909" s="377"/>
      <c r="D3909" s="6" t="str">
        <f>_xlfn.XLOOKUP(B3909,Indices!$A$2:$A$2676,Indices!$B$2:$B$2676,"")</f>
        <v/>
      </c>
    </row>
    <row r="3910" spans="1:4" x14ac:dyDescent="0.25">
      <c r="A3910" s="379"/>
      <c r="B3910" s="382"/>
      <c r="C3910" s="377"/>
      <c r="D3910" s="6" t="str">
        <f>_xlfn.XLOOKUP(B3910,Indices!$A$2:$A$2676,Indices!$B$2:$B$2676,"")</f>
        <v/>
      </c>
    </row>
    <row r="3911" spans="1:4" x14ac:dyDescent="0.25">
      <c r="A3911" s="379"/>
      <c r="B3911" s="382"/>
      <c r="C3911" s="377"/>
      <c r="D3911" s="6" t="str">
        <f>_xlfn.XLOOKUP(B3911,Indices!$A$2:$A$2676,Indices!$B$2:$B$2676,"")</f>
        <v/>
      </c>
    </row>
    <row r="3912" spans="1:4" x14ac:dyDescent="0.25">
      <c r="A3912" s="379"/>
      <c r="B3912" s="382"/>
      <c r="C3912" s="377"/>
      <c r="D3912" s="6" t="str">
        <f>_xlfn.XLOOKUP(B3912,Indices!$A$2:$A$2676,Indices!$B$2:$B$2676,"")</f>
        <v/>
      </c>
    </row>
    <row r="3913" spans="1:4" x14ac:dyDescent="0.25">
      <c r="A3913" s="379"/>
      <c r="B3913" s="382"/>
      <c r="C3913" s="377"/>
      <c r="D3913" s="6" t="str">
        <f>_xlfn.XLOOKUP(B3913,Indices!$A$2:$A$2676,Indices!$B$2:$B$2676,"")</f>
        <v/>
      </c>
    </row>
    <row r="3914" spans="1:4" x14ac:dyDescent="0.25">
      <c r="A3914" s="379"/>
      <c r="B3914" s="382"/>
      <c r="C3914" s="377"/>
      <c r="D3914" s="6" t="str">
        <f>_xlfn.XLOOKUP(B3914,Indices!$A$2:$A$2676,Indices!$B$2:$B$2676,"")</f>
        <v/>
      </c>
    </row>
    <row r="3915" spans="1:4" x14ac:dyDescent="0.25">
      <c r="A3915" s="379"/>
      <c r="B3915" s="382"/>
      <c r="C3915" s="377"/>
      <c r="D3915" s="6" t="str">
        <f>_xlfn.XLOOKUP(B3915,Indices!$A$2:$A$2676,Indices!$B$2:$B$2676,"")</f>
        <v/>
      </c>
    </row>
    <row r="3916" spans="1:4" x14ac:dyDescent="0.25">
      <c r="A3916" s="379"/>
      <c r="B3916" s="382"/>
      <c r="C3916" s="377"/>
      <c r="D3916" s="6" t="str">
        <f>_xlfn.XLOOKUP(B3916,Indices!$A$2:$A$2676,Indices!$B$2:$B$2676,"")</f>
        <v/>
      </c>
    </row>
    <row r="3917" spans="1:4" x14ac:dyDescent="0.25">
      <c r="A3917" s="379"/>
      <c r="B3917" s="382"/>
      <c r="C3917" s="377"/>
      <c r="D3917" s="6" t="str">
        <f>_xlfn.XLOOKUP(B3917,Indices!$A$2:$A$2676,Indices!$B$2:$B$2676,"")</f>
        <v/>
      </c>
    </row>
    <row r="3918" spans="1:4" x14ac:dyDescent="0.25">
      <c r="A3918" s="379"/>
      <c r="B3918" s="382"/>
      <c r="C3918" s="377"/>
      <c r="D3918" s="6" t="str">
        <f>_xlfn.XLOOKUP(B3918,Indices!$A$2:$A$2676,Indices!$B$2:$B$2676,"")</f>
        <v/>
      </c>
    </row>
    <row r="3919" spans="1:4" x14ac:dyDescent="0.25">
      <c r="A3919" s="379"/>
      <c r="B3919" s="382"/>
      <c r="C3919" s="377"/>
      <c r="D3919" s="6" t="str">
        <f>_xlfn.XLOOKUP(B3919,Indices!$A$2:$A$2676,Indices!$B$2:$B$2676,"")</f>
        <v/>
      </c>
    </row>
    <row r="3920" spans="1:4" x14ac:dyDescent="0.25">
      <c r="A3920" s="379"/>
      <c r="B3920" s="382"/>
      <c r="C3920" s="377"/>
      <c r="D3920" s="6" t="str">
        <f>_xlfn.XLOOKUP(B3920,Indices!$A$2:$A$2676,Indices!$B$2:$B$2676,"")</f>
        <v/>
      </c>
    </row>
    <row r="3921" spans="1:4" x14ac:dyDescent="0.25">
      <c r="A3921" s="379"/>
      <c r="B3921" s="382"/>
      <c r="C3921" s="377"/>
      <c r="D3921" s="6" t="str">
        <f>_xlfn.XLOOKUP(B3921,Indices!$A$2:$A$2676,Indices!$B$2:$B$2676,"")</f>
        <v/>
      </c>
    </row>
    <row r="3922" spans="1:4" x14ac:dyDescent="0.25">
      <c r="A3922" s="379"/>
      <c r="B3922" s="382"/>
      <c r="C3922" s="377"/>
      <c r="D3922" s="6" t="str">
        <f>_xlfn.XLOOKUP(B3922,Indices!$A$2:$A$2676,Indices!$B$2:$B$2676,"")</f>
        <v/>
      </c>
    </row>
    <row r="3923" spans="1:4" x14ac:dyDescent="0.25">
      <c r="A3923" s="379"/>
      <c r="B3923" s="382"/>
      <c r="C3923" s="377"/>
      <c r="D3923" s="6" t="str">
        <f>_xlfn.XLOOKUP(B3923,Indices!$A$2:$A$2676,Indices!$B$2:$B$2676,"")</f>
        <v/>
      </c>
    </row>
    <row r="3924" spans="1:4" x14ac:dyDescent="0.25">
      <c r="A3924" s="379"/>
      <c r="B3924" s="382"/>
      <c r="C3924" s="377"/>
      <c r="D3924" s="6" t="str">
        <f>_xlfn.XLOOKUP(B3924,Indices!$A$2:$A$2676,Indices!$B$2:$B$2676,"")</f>
        <v/>
      </c>
    </row>
    <row r="3925" spans="1:4" x14ac:dyDescent="0.25">
      <c r="A3925" s="379"/>
      <c r="B3925" s="382"/>
      <c r="C3925" s="377"/>
      <c r="D3925" s="6" t="str">
        <f>_xlfn.XLOOKUP(B3925,Indices!$A$2:$A$2676,Indices!$B$2:$B$2676,"")</f>
        <v/>
      </c>
    </row>
    <row r="3926" spans="1:4" x14ac:dyDescent="0.25">
      <c r="A3926" s="379"/>
      <c r="B3926" s="382"/>
      <c r="C3926" s="377"/>
      <c r="D3926" s="6" t="str">
        <f>_xlfn.XLOOKUP(B3926,Indices!$A$2:$A$2676,Indices!$B$2:$B$2676,"")</f>
        <v/>
      </c>
    </row>
    <row r="3927" spans="1:4" x14ac:dyDescent="0.25">
      <c r="A3927" s="379"/>
      <c r="B3927" s="382"/>
      <c r="C3927" s="377"/>
      <c r="D3927" s="6" t="str">
        <f>_xlfn.XLOOKUP(B3927,Indices!$A$2:$A$2676,Indices!$B$2:$B$2676,"")</f>
        <v/>
      </c>
    </row>
    <row r="3928" spans="1:4" x14ac:dyDescent="0.25">
      <c r="A3928" s="379"/>
      <c r="B3928" s="382"/>
      <c r="C3928" s="377"/>
      <c r="D3928" s="6" t="str">
        <f>_xlfn.XLOOKUP(B3928,Indices!$A$2:$A$2676,Indices!$B$2:$B$2676,"")</f>
        <v/>
      </c>
    </row>
    <row r="3929" spans="1:4" x14ac:dyDescent="0.25">
      <c r="A3929" s="379"/>
      <c r="B3929" s="382"/>
      <c r="C3929" s="377"/>
      <c r="D3929" s="6" t="str">
        <f>_xlfn.XLOOKUP(B3929,Indices!$A$2:$A$2676,Indices!$B$2:$B$2676,"")</f>
        <v/>
      </c>
    </row>
    <row r="3930" spans="1:4" x14ac:dyDescent="0.25">
      <c r="A3930" s="379"/>
      <c r="B3930" s="382"/>
      <c r="C3930" s="377"/>
      <c r="D3930" s="6" t="str">
        <f>_xlfn.XLOOKUP(B3930,Indices!$A$2:$A$2676,Indices!$B$2:$B$2676,"")</f>
        <v/>
      </c>
    </row>
    <row r="3931" spans="1:4" x14ac:dyDescent="0.25">
      <c r="A3931" s="379"/>
      <c r="B3931" s="382"/>
      <c r="C3931" s="377"/>
      <c r="D3931" s="6" t="str">
        <f>_xlfn.XLOOKUP(B3931,Indices!$A$2:$A$2676,Indices!$B$2:$B$2676,"")</f>
        <v/>
      </c>
    </row>
    <row r="3932" spans="1:4" x14ac:dyDescent="0.25">
      <c r="A3932" s="379"/>
      <c r="B3932" s="382"/>
      <c r="C3932" s="377"/>
      <c r="D3932" s="6" t="str">
        <f>_xlfn.XLOOKUP(B3932,Indices!$A$2:$A$2676,Indices!$B$2:$B$2676,"")</f>
        <v/>
      </c>
    </row>
    <row r="3933" spans="1:4" x14ac:dyDescent="0.25">
      <c r="A3933" s="379"/>
      <c r="B3933" s="382"/>
      <c r="C3933" s="377"/>
      <c r="D3933" s="6" t="str">
        <f>_xlfn.XLOOKUP(B3933,Indices!$A$2:$A$2676,Indices!$B$2:$B$2676,"")</f>
        <v/>
      </c>
    </row>
    <row r="3934" spans="1:4" x14ac:dyDescent="0.25">
      <c r="A3934" s="379"/>
      <c r="B3934" s="382"/>
      <c r="C3934" s="377"/>
      <c r="D3934" s="6" t="str">
        <f>_xlfn.XLOOKUP(B3934,Indices!$A$2:$A$2676,Indices!$B$2:$B$2676,"")</f>
        <v/>
      </c>
    </row>
    <row r="3935" spans="1:4" x14ac:dyDescent="0.25">
      <c r="A3935" s="379"/>
      <c r="B3935" s="382"/>
      <c r="C3935" s="377"/>
      <c r="D3935" s="6" t="str">
        <f>_xlfn.XLOOKUP(B3935,Indices!$A$2:$A$2676,Indices!$B$2:$B$2676,"")</f>
        <v/>
      </c>
    </row>
    <row r="3936" spans="1:4" x14ac:dyDescent="0.25">
      <c r="A3936" s="379"/>
      <c r="B3936" s="382"/>
      <c r="C3936" s="377"/>
      <c r="D3936" s="6" t="str">
        <f>_xlfn.XLOOKUP(B3936,Indices!$A$2:$A$2676,Indices!$B$2:$B$2676,"")</f>
        <v/>
      </c>
    </row>
    <row r="3937" spans="1:4" x14ac:dyDescent="0.25">
      <c r="A3937" s="379"/>
      <c r="B3937" s="382"/>
      <c r="C3937" s="377"/>
      <c r="D3937" s="6" t="str">
        <f>_xlfn.XLOOKUP(B3937,Indices!$A$2:$A$2676,Indices!$B$2:$B$2676,"")</f>
        <v/>
      </c>
    </row>
    <row r="3938" spans="1:4" x14ac:dyDescent="0.25">
      <c r="A3938" s="379"/>
      <c r="B3938" s="382"/>
      <c r="C3938" s="377"/>
      <c r="D3938" s="6" t="str">
        <f>_xlfn.XLOOKUP(B3938,Indices!$A$2:$A$2676,Indices!$B$2:$B$2676,"")</f>
        <v/>
      </c>
    </row>
    <row r="3939" spans="1:4" x14ac:dyDescent="0.25">
      <c r="A3939" s="379"/>
      <c r="B3939" s="382"/>
      <c r="C3939" s="377"/>
      <c r="D3939" s="6" t="str">
        <f>_xlfn.XLOOKUP(B3939,Indices!$A$2:$A$2676,Indices!$B$2:$B$2676,"")</f>
        <v/>
      </c>
    </row>
    <row r="3940" spans="1:4" x14ac:dyDescent="0.25">
      <c r="A3940" s="379"/>
      <c r="B3940" s="382"/>
      <c r="C3940" s="377"/>
      <c r="D3940" s="6" t="str">
        <f>_xlfn.XLOOKUP(B3940,Indices!$A$2:$A$2676,Indices!$B$2:$B$2676,"")</f>
        <v/>
      </c>
    </row>
    <row r="3941" spans="1:4" x14ac:dyDescent="0.25">
      <c r="A3941" s="379"/>
      <c r="B3941" s="382"/>
      <c r="C3941" s="377"/>
      <c r="D3941" s="6" t="str">
        <f>_xlfn.XLOOKUP(B3941,Indices!$A$2:$A$2676,Indices!$B$2:$B$2676,"")</f>
        <v/>
      </c>
    </row>
    <row r="3942" spans="1:4" x14ac:dyDescent="0.25">
      <c r="A3942" s="379"/>
      <c r="B3942" s="382"/>
      <c r="C3942" s="377"/>
      <c r="D3942" s="6" t="str">
        <f>_xlfn.XLOOKUP(B3942,Indices!$A$2:$A$2676,Indices!$B$2:$B$2676,"")</f>
        <v/>
      </c>
    </row>
    <row r="3943" spans="1:4" x14ac:dyDescent="0.25">
      <c r="A3943" s="379"/>
      <c r="B3943" s="382"/>
      <c r="C3943" s="377"/>
      <c r="D3943" s="6" t="str">
        <f>_xlfn.XLOOKUP(B3943,Indices!$A$2:$A$2676,Indices!$B$2:$B$2676,"")</f>
        <v/>
      </c>
    </row>
    <row r="3944" spans="1:4" x14ac:dyDescent="0.25">
      <c r="A3944" s="379"/>
      <c r="B3944" s="382"/>
      <c r="C3944" s="377"/>
      <c r="D3944" s="6" t="str">
        <f>_xlfn.XLOOKUP(B3944,Indices!$A$2:$A$2676,Indices!$B$2:$B$2676,"")</f>
        <v/>
      </c>
    </row>
    <row r="3945" spans="1:4" x14ac:dyDescent="0.25">
      <c r="A3945" s="379"/>
      <c r="B3945" s="382"/>
      <c r="C3945" s="377"/>
      <c r="D3945" s="6" t="str">
        <f>_xlfn.XLOOKUP(B3945,Indices!$A$2:$A$2676,Indices!$B$2:$B$2676,"")</f>
        <v/>
      </c>
    </row>
    <row r="3946" spans="1:4" x14ac:dyDescent="0.25">
      <c r="A3946" s="379"/>
      <c r="B3946" s="382"/>
      <c r="C3946" s="377"/>
      <c r="D3946" s="6" t="str">
        <f>_xlfn.XLOOKUP(B3946,Indices!$A$2:$A$2676,Indices!$B$2:$B$2676,"")</f>
        <v/>
      </c>
    </row>
    <row r="3947" spans="1:4" x14ac:dyDescent="0.25">
      <c r="A3947" s="379"/>
      <c r="B3947" s="382"/>
      <c r="C3947" s="377"/>
      <c r="D3947" s="6" t="str">
        <f>_xlfn.XLOOKUP(B3947,Indices!$A$2:$A$2676,Indices!$B$2:$B$2676,"")</f>
        <v/>
      </c>
    </row>
    <row r="3948" spans="1:4" x14ac:dyDescent="0.25">
      <c r="A3948" s="379"/>
      <c r="B3948" s="382"/>
      <c r="C3948" s="377"/>
      <c r="D3948" s="6" t="str">
        <f>_xlfn.XLOOKUP(B3948,Indices!$A$2:$A$2676,Indices!$B$2:$B$2676,"")</f>
        <v/>
      </c>
    </row>
    <row r="3949" spans="1:4" x14ac:dyDescent="0.25">
      <c r="A3949" s="379"/>
      <c r="B3949" s="382"/>
      <c r="C3949" s="377"/>
      <c r="D3949" s="6" t="str">
        <f>_xlfn.XLOOKUP(B3949,Indices!$A$2:$A$2676,Indices!$B$2:$B$2676,"")</f>
        <v/>
      </c>
    </row>
    <row r="3950" spans="1:4" x14ac:dyDescent="0.25">
      <c r="A3950" s="379"/>
      <c r="B3950" s="382"/>
      <c r="C3950" s="377"/>
      <c r="D3950" s="6" t="str">
        <f>_xlfn.XLOOKUP(B3950,Indices!$A$2:$A$2676,Indices!$B$2:$B$2676,"")</f>
        <v/>
      </c>
    </row>
    <row r="3951" spans="1:4" x14ac:dyDescent="0.25">
      <c r="A3951" s="379"/>
      <c r="B3951" s="382"/>
      <c r="C3951" s="377"/>
      <c r="D3951" s="6" t="str">
        <f>_xlfn.XLOOKUP(B3951,Indices!$A$2:$A$2676,Indices!$B$2:$B$2676,"")</f>
        <v/>
      </c>
    </row>
    <row r="3952" spans="1:4" x14ac:dyDescent="0.25">
      <c r="A3952" s="379"/>
      <c r="B3952" s="382"/>
      <c r="C3952" s="377"/>
      <c r="D3952" s="6" t="str">
        <f>_xlfn.XLOOKUP(B3952,Indices!$A$2:$A$2676,Indices!$B$2:$B$2676,"")</f>
        <v/>
      </c>
    </row>
    <row r="3953" spans="1:4" x14ac:dyDescent="0.25">
      <c r="A3953" s="379"/>
      <c r="B3953" s="382"/>
      <c r="C3953" s="377"/>
      <c r="D3953" s="6" t="str">
        <f>_xlfn.XLOOKUP(B3953,Indices!$A$2:$A$2676,Indices!$B$2:$B$2676,"")</f>
        <v/>
      </c>
    </row>
    <row r="3954" spans="1:4" x14ac:dyDescent="0.25">
      <c r="A3954" s="379"/>
      <c r="B3954" s="382"/>
      <c r="C3954" s="377"/>
      <c r="D3954" s="6" t="str">
        <f>_xlfn.XLOOKUP(B3954,Indices!$A$2:$A$2676,Indices!$B$2:$B$2676,"")</f>
        <v/>
      </c>
    </row>
    <row r="3955" spans="1:4" x14ac:dyDescent="0.25">
      <c r="A3955" s="379"/>
      <c r="B3955" s="382"/>
      <c r="C3955" s="377"/>
      <c r="D3955" s="6" t="str">
        <f>_xlfn.XLOOKUP(B3955,Indices!$A$2:$A$2676,Indices!$B$2:$B$2676,"")</f>
        <v/>
      </c>
    </row>
    <row r="3956" spans="1:4" x14ac:dyDescent="0.25">
      <c r="A3956" s="379"/>
      <c r="B3956" s="382"/>
      <c r="C3956" s="377"/>
      <c r="D3956" s="6" t="str">
        <f>_xlfn.XLOOKUP(B3956,Indices!$A$2:$A$2676,Indices!$B$2:$B$2676,"")</f>
        <v/>
      </c>
    </row>
    <row r="3957" spans="1:4" x14ac:dyDescent="0.25">
      <c r="A3957" s="379"/>
      <c r="B3957" s="382"/>
      <c r="C3957" s="377"/>
      <c r="D3957" s="6" t="str">
        <f>_xlfn.XLOOKUP(B3957,Indices!$A$2:$A$2676,Indices!$B$2:$B$2676,"")</f>
        <v/>
      </c>
    </row>
    <row r="3958" spans="1:4" x14ac:dyDescent="0.25">
      <c r="A3958" s="379"/>
      <c r="B3958" s="382"/>
      <c r="C3958" s="377"/>
      <c r="D3958" s="6" t="str">
        <f>_xlfn.XLOOKUP(B3958,Indices!$A$2:$A$2676,Indices!$B$2:$B$2676,"")</f>
        <v/>
      </c>
    </row>
    <row r="3959" spans="1:4" x14ac:dyDescent="0.25">
      <c r="A3959" s="379"/>
      <c r="B3959" s="382"/>
      <c r="C3959" s="377"/>
      <c r="D3959" s="6" t="str">
        <f>_xlfn.XLOOKUP(B3959,Indices!$A$2:$A$2676,Indices!$B$2:$B$2676,"")</f>
        <v/>
      </c>
    </row>
    <row r="3960" spans="1:4" x14ac:dyDescent="0.25">
      <c r="A3960" s="379"/>
      <c r="B3960" s="382"/>
      <c r="C3960" s="377"/>
      <c r="D3960" s="6" t="str">
        <f>_xlfn.XLOOKUP(B3960,Indices!$A$2:$A$2676,Indices!$B$2:$B$2676,"")</f>
        <v/>
      </c>
    </row>
    <row r="3961" spans="1:4" x14ac:dyDescent="0.25">
      <c r="A3961" s="379"/>
      <c r="B3961" s="382"/>
      <c r="C3961" s="377"/>
      <c r="D3961" s="6" t="str">
        <f>_xlfn.XLOOKUP(B3961,Indices!$A$2:$A$2676,Indices!$B$2:$B$2676,"")</f>
        <v/>
      </c>
    </row>
    <row r="3962" spans="1:4" x14ac:dyDescent="0.25">
      <c r="A3962" s="379"/>
      <c r="B3962" s="382"/>
      <c r="C3962" s="377"/>
      <c r="D3962" s="6" t="str">
        <f>_xlfn.XLOOKUP(B3962,Indices!$A$2:$A$2676,Indices!$B$2:$B$2676,"")</f>
        <v/>
      </c>
    </row>
    <row r="3963" spans="1:4" x14ac:dyDescent="0.25">
      <c r="A3963" s="379"/>
      <c r="B3963" s="382"/>
      <c r="C3963" s="377"/>
      <c r="D3963" s="6" t="str">
        <f>_xlfn.XLOOKUP(B3963,Indices!$A$2:$A$2676,Indices!$B$2:$B$2676,"")</f>
        <v/>
      </c>
    </row>
    <row r="3964" spans="1:4" x14ac:dyDescent="0.25">
      <c r="A3964" s="379"/>
      <c r="B3964" s="382"/>
      <c r="C3964" s="377"/>
      <c r="D3964" s="6" t="str">
        <f>_xlfn.XLOOKUP(B3964,Indices!$A$2:$A$2676,Indices!$B$2:$B$2676,"")</f>
        <v/>
      </c>
    </row>
    <row r="3965" spans="1:4" x14ac:dyDescent="0.25">
      <c r="A3965" s="379"/>
      <c r="B3965" s="382"/>
      <c r="C3965" s="377"/>
      <c r="D3965" s="6" t="str">
        <f>_xlfn.XLOOKUP(B3965,Indices!$A$2:$A$2676,Indices!$B$2:$B$2676,"")</f>
        <v/>
      </c>
    </row>
    <row r="3966" spans="1:4" x14ac:dyDescent="0.25">
      <c r="A3966" s="379"/>
      <c r="B3966" s="382"/>
      <c r="C3966" s="377"/>
      <c r="D3966" s="6" t="str">
        <f>_xlfn.XLOOKUP(B3966,Indices!$A$2:$A$2676,Indices!$B$2:$B$2676,"")</f>
        <v/>
      </c>
    </row>
    <row r="3967" spans="1:4" x14ac:dyDescent="0.25">
      <c r="A3967" s="379"/>
      <c r="B3967" s="382"/>
      <c r="C3967" s="377"/>
      <c r="D3967" s="6" t="str">
        <f>_xlfn.XLOOKUP(B3967,Indices!$A$2:$A$2676,Indices!$B$2:$B$2676,"")</f>
        <v/>
      </c>
    </row>
    <row r="3968" spans="1:4" x14ac:dyDescent="0.25">
      <c r="A3968" s="379"/>
      <c r="B3968" s="382"/>
      <c r="C3968" s="377"/>
      <c r="D3968" s="6" t="str">
        <f>_xlfn.XLOOKUP(B3968,Indices!$A$2:$A$2676,Indices!$B$2:$B$2676,"")</f>
        <v/>
      </c>
    </row>
    <row r="3969" spans="1:4" x14ac:dyDescent="0.25">
      <c r="A3969" s="379"/>
      <c r="B3969" s="382"/>
      <c r="C3969" s="377"/>
      <c r="D3969" s="6" t="str">
        <f>_xlfn.XLOOKUP(B3969,Indices!$A$2:$A$2676,Indices!$B$2:$B$2676,"")</f>
        <v/>
      </c>
    </row>
    <row r="3970" spans="1:4" x14ac:dyDescent="0.25">
      <c r="A3970" s="379"/>
      <c r="B3970" s="382"/>
      <c r="C3970" s="377"/>
      <c r="D3970" s="6" t="str">
        <f>_xlfn.XLOOKUP(B3970,Indices!$A$2:$A$2676,Indices!$B$2:$B$2676,"")</f>
        <v/>
      </c>
    </row>
    <row r="3971" spans="1:4" x14ac:dyDescent="0.25">
      <c r="A3971" s="379"/>
      <c r="B3971" s="382"/>
      <c r="C3971" s="377"/>
      <c r="D3971" s="6" t="str">
        <f>_xlfn.XLOOKUP(B3971,Indices!$A$2:$A$2676,Indices!$B$2:$B$2676,"")</f>
        <v/>
      </c>
    </row>
    <row r="3972" spans="1:4" x14ac:dyDescent="0.25">
      <c r="A3972" s="379"/>
      <c r="B3972" s="382"/>
      <c r="C3972" s="377"/>
      <c r="D3972" s="6" t="str">
        <f>_xlfn.XLOOKUP(B3972,Indices!$A$2:$A$2676,Indices!$B$2:$B$2676,"")</f>
        <v/>
      </c>
    </row>
    <row r="3973" spans="1:4" x14ac:dyDescent="0.25">
      <c r="A3973" s="379"/>
      <c r="B3973" s="382"/>
      <c r="C3973" s="377"/>
      <c r="D3973" s="6" t="str">
        <f>_xlfn.XLOOKUP(B3973,Indices!$A$2:$A$2676,Indices!$B$2:$B$2676,"")</f>
        <v/>
      </c>
    </row>
    <row r="3974" spans="1:4" x14ac:dyDescent="0.25">
      <c r="A3974" s="379"/>
      <c r="B3974" s="382"/>
      <c r="C3974" s="377"/>
      <c r="D3974" s="6" t="str">
        <f>_xlfn.XLOOKUP(B3974,Indices!$A$2:$A$2676,Indices!$B$2:$B$2676,"")</f>
        <v/>
      </c>
    </row>
    <row r="3975" spans="1:4" x14ac:dyDescent="0.25">
      <c r="A3975" s="379"/>
      <c r="B3975" s="382"/>
      <c r="C3975" s="377"/>
      <c r="D3975" s="6" t="str">
        <f>_xlfn.XLOOKUP(B3975,Indices!$A$2:$A$2676,Indices!$B$2:$B$2676,"")</f>
        <v/>
      </c>
    </row>
    <row r="3976" spans="1:4" x14ac:dyDescent="0.25">
      <c r="A3976" s="379"/>
      <c r="B3976" s="382"/>
      <c r="C3976" s="377"/>
      <c r="D3976" s="6" t="str">
        <f>_xlfn.XLOOKUP(B3976,Indices!$A$2:$A$2676,Indices!$B$2:$B$2676,"")</f>
        <v/>
      </c>
    </row>
    <row r="3977" spans="1:4" x14ac:dyDescent="0.25">
      <c r="A3977" s="379"/>
      <c r="B3977" s="382"/>
      <c r="C3977" s="377"/>
      <c r="D3977" s="6" t="str">
        <f>_xlfn.XLOOKUP(B3977,Indices!$A$2:$A$2676,Indices!$B$2:$B$2676,"")</f>
        <v/>
      </c>
    </row>
    <row r="3978" spans="1:4" x14ac:dyDescent="0.25">
      <c r="A3978" s="379"/>
      <c r="B3978" s="382"/>
      <c r="C3978" s="377"/>
      <c r="D3978" s="6" t="str">
        <f>_xlfn.XLOOKUP(B3978,Indices!$A$2:$A$2676,Indices!$B$2:$B$2676,"")</f>
        <v/>
      </c>
    </row>
    <row r="3979" spans="1:4" x14ac:dyDescent="0.25">
      <c r="A3979" s="379"/>
      <c r="B3979" s="382"/>
      <c r="C3979" s="377"/>
      <c r="D3979" s="6" t="str">
        <f>_xlfn.XLOOKUP(B3979,Indices!$A$2:$A$2676,Indices!$B$2:$B$2676,"")</f>
        <v/>
      </c>
    </row>
    <row r="3980" spans="1:4" x14ac:dyDescent="0.25">
      <c r="A3980" s="379"/>
      <c r="B3980" s="382"/>
      <c r="C3980" s="377"/>
      <c r="D3980" s="6" t="str">
        <f>_xlfn.XLOOKUP(B3980,Indices!$A$2:$A$2676,Indices!$B$2:$B$2676,"")</f>
        <v/>
      </c>
    </row>
    <row r="3981" spans="1:4" x14ac:dyDescent="0.25">
      <c r="A3981" s="379"/>
      <c r="B3981" s="382"/>
      <c r="C3981" s="377"/>
      <c r="D3981" s="6" t="str">
        <f>_xlfn.XLOOKUP(B3981,Indices!$A$2:$A$2676,Indices!$B$2:$B$2676,"")</f>
        <v/>
      </c>
    </row>
    <row r="3982" spans="1:4" x14ac:dyDescent="0.25">
      <c r="A3982" s="379"/>
      <c r="B3982" s="382"/>
      <c r="C3982" s="377"/>
      <c r="D3982" s="6" t="str">
        <f>_xlfn.XLOOKUP(B3982,Indices!$A$2:$A$2676,Indices!$B$2:$B$2676,"")</f>
        <v/>
      </c>
    </row>
    <row r="3983" spans="1:4" x14ac:dyDescent="0.25">
      <c r="A3983" s="379"/>
      <c r="B3983" s="382"/>
      <c r="C3983" s="377"/>
      <c r="D3983" s="6" t="str">
        <f>_xlfn.XLOOKUP(B3983,Indices!$A$2:$A$2676,Indices!$B$2:$B$2676,"")</f>
        <v/>
      </c>
    </row>
    <row r="3984" spans="1:4" x14ac:dyDescent="0.25">
      <c r="A3984" s="379"/>
      <c r="B3984" s="382"/>
      <c r="C3984" s="377"/>
      <c r="D3984" s="6" t="str">
        <f>_xlfn.XLOOKUP(B3984,Indices!$A$2:$A$2676,Indices!$B$2:$B$2676,"")</f>
        <v/>
      </c>
    </row>
    <row r="3985" spans="1:4" x14ac:dyDescent="0.25">
      <c r="A3985" s="379"/>
      <c r="B3985" s="382"/>
      <c r="C3985" s="377"/>
      <c r="D3985" s="6" t="str">
        <f>_xlfn.XLOOKUP(B3985,Indices!$A$2:$A$2676,Indices!$B$2:$B$2676,"")</f>
        <v/>
      </c>
    </row>
    <row r="3986" spans="1:4" x14ac:dyDescent="0.25">
      <c r="A3986" s="379"/>
      <c r="B3986" s="382"/>
      <c r="C3986" s="377"/>
      <c r="D3986" s="6" t="str">
        <f>_xlfn.XLOOKUP(B3986,Indices!$A$2:$A$2676,Indices!$B$2:$B$2676,"")</f>
        <v/>
      </c>
    </row>
    <row r="3987" spans="1:4" x14ac:dyDescent="0.25">
      <c r="A3987" s="379"/>
      <c r="B3987" s="382"/>
      <c r="C3987" s="377"/>
      <c r="D3987" s="6" t="str">
        <f>_xlfn.XLOOKUP(B3987,Indices!$A$2:$A$2676,Indices!$B$2:$B$2676,"")</f>
        <v/>
      </c>
    </row>
    <row r="3988" spans="1:4" x14ac:dyDescent="0.25">
      <c r="A3988" s="379"/>
      <c r="B3988" s="382"/>
      <c r="C3988" s="377"/>
      <c r="D3988" s="6" t="str">
        <f>_xlfn.XLOOKUP(B3988,Indices!$A$2:$A$2676,Indices!$B$2:$B$2676,"")</f>
        <v/>
      </c>
    </row>
    <row r="3989" spans="1:4" x14ac:dyDescent="0.25">
      <c r="A3989" s="379"/>
      <c r="B3989" s="382"/>
      <c r="C3989" s="377"/>
      <c r="D3989" s="6" t="str">
        <f>_xlfn.XLOOKUP(B3989,Indices!$A$2:$A$2676,Indices!$B$2:$B$2676,"")</f>
        <v/>
      </c>
    </row>
    <row r="3990" spans="1:4" x14ac:dyDescent="0.25">
      <c r="A3990" s="379"/>
      <c r="B3990" s="382"/>
      <c r="C3990" s="377"/>
      <c r="D3990" s="6" t="str">
        <f>_xlfn.XLOOKUP(B3990,Indices!$A$2:$A$2676,Indices!$B$2:$B$2676,"")</f>
        <v/>
      </c>
    </row>
    <row r="3991" spans="1:4" x14ac:dyDescent="0.25">
      <c r="A3991" s="379"/>
      <c r="B3991" s="382"/>
      <c r="C3991" s="377"/>
      <c r="D3991" s="6" t="str">
        <f>_xlfn.XLOOKUP(B3991,Indices!$A$2:$A$2676,Indices!$B$2:$B$2676,"")</f>
        <v/>
      </c>
    </row>
    <row r="3992" spans="1:4" x14ac:dyDescent="0.25">
      <c r="A3992" s="379"/>
      <c r="B3992" s="382"/>
      <c r="C3992" s="377"/>
      <c r="D3992" s="6" t="str">
        <f>_xlfn.XLOOKUP(B3992,Indices!$A$2:$A$2676,Indices!$B$2:$B$2676,"")</f>
        <v/>
      </c>
    </row>
    <row r="3993" spans="1:4" x14ac:dyDescent="0.25">
      <c r="A3993" s="379"/>
      <c r="B3993" s="382"/>
      <c r="C3993" s="377"/>
      <c r="D3993" s="6" t="str">
        <f>_xlfn.XLOOKUP(B3993,Indices!$A$2:$A$2676,Indices!$B$2:$B$2676,"")</f>
        <v/>
      </c>
    </row>
    <row r="3994" spans="1:4" x14ac:dyDescent="0.25">
      <c r="A3994" s="379"/>
      <c r="B3994" s="382"/>
      <c r="C3994" s="377"/>
      <c r="D3994" s="6" t="str">
        <f>_xlfn.XLOOKUP(B3994,Indices!$A$2:$A$2676,Indices!$B$2:$B$2676,"")</f>
        <v/>
      </c>
    </row>
    <row r="3995" spans="1:4" x14ac:dyDescent="0.25">
      <c r="A3995" s="379"/>
      <c r="B3995" s="382"/>
      <c r="C3995" s="377"/>
      <c r="D3995" s="6" t="str">
        <f>_xlfn.XLOOKUP(B3995,Indices!$A$2:$A$2676,Indices!$B$2:$B$2676,"")</f>
        <v/>
      </c>
    </row>
    <row r="3996" spans="1:4" x14ac:dyDescent="0.25">
      <c r="A3996" s="379"/>
      <c r="B3996" s="382"/>
      <c r="C3996" s="377"/>
      <c r="D3996" s="6" t="str">
        <f>_xlfn.XLOOKUP(B3996,Indices!$A$2:$A$2676,Indices!$B$2:$B$2676,"")</f>
        <v/>
      </c>
    </row>
    <row r="3997" spans="1:4" x14ac:dyDescent="0.25">
      <c r="A3997" s="379"/>
      <c r="B3997" s="382"/>
      <c r="C3997" s="377"/>
      <c r="D3997" s="6" t="str">
        <f>_xlfn.XLOOKUP(B3997,Indices!$A$2:$A$2676,Indices!$B$2:$B$2676,"")</f>
        <v/>
      </c>
    </row>
    <row r="3998" spans="1:4" x14ac:dyDescent="0.25">
      <c r="A3998" s="379"/>
      <c r="B3998" s="382"/>
      <c r="C3998" s="377"/>
      <c r="D3998" s="6" t="str">
        <f>_xlfn.XLOOKUP(B3998,Indices!$A$2:$A$2676,Indices!$B$2:$B$2676,"")</f>
        <v/>
      </c>
    </row>
    <row r="3999" spans="1:4" x14ac:dyDescent="0.25">
      <c r="A3999" s="379"/>
      <c r="B3999" s="382"/>
      <c r="C3999" s="377"/>
      <c r="D3999" s="6" t="str">
        <f>_xlfn.XLOOKUP(B3999,Indices!$A$2:$A$2676,Indices!$B$2:$B$2676,"")</f>
        <v/>
      </c>
    </row>
    <row r="4000" spans="1:4" x14ac:dyDescent="0.25">
      <c r="A4000" s="379"/>
      <c r="B4000" s="382"/>
      <c r="C4000" s="377"/>
      <c r="D4000" s="6" t="str">
        <f>_xlfn.XLOOKUP(B4000,Indices!$A$2:$A$2676,Indices!$B$2:$B$2676,"")</f>
        <v/>
      </c>
    </row>
    <row r="4001" spans="1:4" x14ac:dyDescent="0.25">
      <c r="A4001" s="379"/>
      <c r="B4001" s="382"/>
      <c r="C4001" s="377"/>
      <c r="D4001" s="6" t="str">
        <f>_xlfn.XLOOKUP(B4001,Indices!$A$2:$A$2676,Indices!$B$2:$B$2676,"")</f>
        <v/>
      </c>
    </row>
    <row r="4002" spans="1:4" x14ac:dyDescent="0.25">
      <c r="A4002" s="379"/>
      <c r="B4002" s="382"/>
      <c r="C4002" s="377"/>
      <c r="D4002" s="6" t="str">
        <f>_xlfn.XLOOKUP(B4002,Indices!$A$2:$A$2676,Indices!$B$2:$B$2676,"")</f>
        <v/>
      </c>
    </row>
    <row r="4003" spans="1:4" x14ac:dyDescent="0.25">
      <c r="A4003" s="379"/>
      <c r="B4003" s="382"/>
      <c r="C4003" s="377"/>
      <c r="D4003" s="6" t="str">
        <f>_xlfn.XLOOKUP(B4003,Indices!$A$2:$A$2676,Indices!$B$2:$B$2676,"")</f>
        <v/>
      </c>
    </row>
    <row r="4004" spans="1:4" x14ac:dyDescent="0.25">
      <c r="A4004" s="379"/>
      <c r="B4004" s="382"/>
      <c r="C4004" s="377"/>
      <c r="D4004" s="6" t="str">
        <f>_xlfn.XLOOKUP(B4004,Indices!$A$2:$A$2676,Indices!$B$2:$B$2676,"")</f>
        <v/>
      </c>
    </row>
    <row r="4005" spans="1:4" x14ac:dyDescent="0.25">
      <c r="A4005" s="379"/>
      <c r="B4005" s="382"/>
      <c r="C4005" s="377"/>
      <c r="D4005" s="6" t="str">
        <f>_xlfn.XLOOKUP(B4005,Indices!$A$2:$A$2676,Indices!$B$2:$B$2676,"")</f>
        <v/>
      </c>
    </row>
    <row r="4006" spans="1:4" x14ac:dyDescent="0.25">
      <c r="A4006" s="379"/>
      <c r="B4006" s="382"/>
      <c r="C4006" s="377"/>
      <c r="D4006" s="6" t="str">
        <f>_xlfn.XLOOKUP(B4006,Indices!$A$2:$A$2676,Indices!$B$2:$B$2676,"")</f>
        <v/>
      </c>
    </row>
    <row r="4007" spans="1:4" x14ac:dyDescent="0.25">
      <c r="A4007" s="379"/>
      <c r="B4007" s="382"/>
      <c r="C4007" s="377"/>
      <c r="D4007" s="6" t="str">
        <f>_xlfn.XLOOKUP(B4007,Indices!$A$2:$A$2676,Indices!$B$2:$B$2676,"")</f>
        <v/>
      </c>
    </row>
    <row r="4008" spans="1:4" x14ac:dyDescent="0.25">
      <c r="A4008" s="379"/>
      <c r="B4008" s="382"/>
      <c r="C4008" s="377"/>
      <c r="D4008" s="6" t="str">
        <f>_xlfn.XLOOKUP(B4008,Indices!$A$2:$A$2676,Indices!$B$2:$B$2676,"")</f>
        <v/>
      </c>
    </row>
    <row r="4009" spans="1:4" x14ac:dyDescent="0.25">
      <c r="A4009" s="379"/>
      <c r="B4009" s="382"/>
      <c r="C4009" s="377"/>
      <c r="D4009" s="6" t="str">
        <f>_xlfn.XLOOKUP(B4009,Indices!$A$2:$A$2676,Indices!$B$2:$B$2676,"")</f>
        <v/>
      </c>
    </row>
    <row r="4010" spans="1:4" x14ac:dyDescent="0.25">
      <c r="A4010" s="379"/>
      <c r="B4010" s="382"/>
      <c r="C4010" s="377"/>
      <c r="D4010" s="6" t="str">
        <f>_xlfn.XLOOKUP(B4010,Indices!$A$2:$A$2676,Indices!$B$2:$B$2676,"")</f>
        <v/>
      </c>
    </row>
    <row r="4011" spans="1:4" x14ac:dyDescent="0.25">
      <c r="A4011" s="379"/>
      <c r="B4011" s="382"/>
      <c r="C4011" s="377"/>
      <c r="D4011" s="6" t="str">
        <f>_xlfn.XLOOKUP(B4011,Indices!$A$2:$A$2676,Indices!$B$2:$B$2676,"")</f>
        <v/>
      </c>
    </row>
    <row r="4012" spans="1:4" x14ac:dyDescent="0.25">
      <c r="A4012" s="379"/>
      <c r="B4012" s="382"/>
      <c r="C4012" s="377"/>
      <c r="D4012" s="6" t="str">
        <f>_xlfn.XLOOKUP(B4012,Indices!$A$2:$A$2676,Indices!$B$2:$B$2676,"")</f>
        <v/>
      </c>
    </row>
    <row r="4013" spans="1:4" x14ac:dyDescent="0.25">
      <c r="A4013" s="379"/>
      <c r="B4013" s="382"/>
      <c r="C4013" s="377"/>
      <c r="D4013" s="6" t="str">
        <f>_xlfn.XLOOKUP(B4013,Indices!$A$2:$A$2676,Indices!$B$2:$B$2676,"")</f>
        <v/>
      </c>
    </row>
    <row r="4014" spans="1:4" x14ac:dyDescent="0.25">
      <c r="A4014" s="379"/>
      <c r="B4014" s="382"/>
      <c r="C4014" s="377"/>
      <c r="D4014" s="6" t="str">
        <f>_xlfn.XLOOKUP(B4014,Indices!$A$2:$A$2676,Indices!$B$2:$B$2676,"")</f>
        <v/>
      </c>
    </row>
    <row r="4015" spans="1:4" x14ac:dyDescent="0.25">
      <c r="A4015" s="379"/>
      <c r="B4015" s="382"/>
      <c r="C4015" s="377"/>
      <c r="D4015" s="6" t="str">
        <f>_xlfn.XLOOKUP(B4015,Indices!$A$2:$A$2676,Indices!$B$2:$B$2676,"")</f>
        <v/>
      </c>
    </row>
    <row r="4016" spans="1:4" x14ac:dyDescent="0.25">
      <c r="A4016" s="379"/>
      <c r="B4016" s="382"/>
      <c r="C4016" s="377"/>
      <c r="D4016" s="6" t="str">
        <f>_xlfn.XLOOKUP(B4016,Indices!$A$2:$A$2676,Indices!$B$2:$B$2676,"")</f>
        <v/>
      </c>
    </row>
    <row r="4017" spans="1:4" x14ac:dyDescent="0.25">
      <c r="A4017" s="379"/>
      <c r="B4017" s="382"/>
      <c r="C4017" s="377"/>
      <c r="D4017" s="6" t="str">
        <f>_xlfn.XLOOKUP(B4017,Indices!$A$2:$A$2676,Indices!$B$2:$B$2676,"")</f>
        <v/>
      </c>
    </row>
    <row r="4018" spans="1:4" x14ac:dyDescent="0.25">
      <c r="A4018" s="379"/>
      <c r="B4018" s="382"/>
      <c r="C4018" s="377"/>
      <c r="D4018" s="6" t="str">
        <f>_xlfn.XLOOKUP(B4018,Indices!$A$2:$A$2676,Indices!$B$2:$B$2676,"")</f>
        <v/>
      </c>
    </row>
    <row r="4019" spans="1:4" x14ac:dyDescent="0.25">
      <c r="A4019" s="379"/>
      <c r="B4019" s="382"/>
      <c r="C4019" s="377"/>
      <c r="D4019" s="6" t="str">
        <f>_xlfn.XLOOKUP(B4019,Indices!$A$2:$A$2676,Indices!$B$2:$B$2676,"")</f>
        <v/>
      </c>
    </row>
    <row r="4020" spans="1:4" x14ac:dyDescent="0.25">
      <c r="A4020" s="379"/>
      <c r="B4020" s="382"/>
      <c r="C4020" s="377"/>
      <c r="D4020" s="6" t="str">
        <f>_xlfn.XLOOKUP(B4020,Indices!$A$2:$A$2676,Indices!$B$2:$B$2676,"")</f>
        <v/>
      </c>
    </row>
    <row r="4021" spans="1:4" x14ac:dyDescent="0.25">
      <c r="A4021" s="379"/>
      <c r="B4021" s="382"/>
      <c r="C4021" s="377"/>
      <c r="D4021" s="6" t="str">
        <f>_xlfn.XLOOKUP(B4021,Indices!$A$2:$A$2676,Indices!$B$2:$B$2676,"")</f>
        <v/>
      </c>
    </row>
    <row r="4022" spans="1:4" x14ac:dyDescent="0.25">
      <c r="A4022" s="379"/>
      <c r="B4022" s="382"/>
      <c r="C4022" s="377"/>
      <c r="D4022" s="6" t="str">
        <f>_xlfn.XLOOKUP(B4022,Indices!$A$2:$A$2676,Indices!$B$2:$B$2676,"")</f>
        <v/>
      </c>
    </row>
    <row r="4023" spans="1:4" x14ac:dyDescent="0.25">
      <c r="A4023" s="379"/>
      <c r="B4023" s="382"/>
      <c r="C4023" s="377"/>
      <c r="D4023" s="6" t="str">
        <f>_xlfn.XLOOKUP(B4023,Indices!$A$2:$A$2676,Indices!$B$2:$B$2676,"")</f>
        <v/>
      </c>
    </row>
    <row r="4024" spans="1:4" x14ac:dyDescent="0.25">
      <c r="A4024" s="379"/>
      <c r="B4024" s="382"/>
      <c r="C4024" s="377"/>
      <c r="D4024" s="6" t="str">
        <f>_xlfn.XLOOKUP(B4024,Indices!$A$2:$A$2676,Indices!$B$2:$B$2676,"")</f>
        <v/>
      </c>
    </row>
    <row r="4025" spans="1:4" x14ac:dyDescent="0.25">
      <c r="A4025" s="379"/>
      <c r="B4025" s="382"/>
      <c r="C4025" s="377"/>
      <c r="D4025" s="6" t="str">
        <f>_xlfn.XLOOKUP(B4025,Indices!$A$2:$A$2676,Indices!$B$2:$B$2676,"")</f>
        <v/>
      </c>
    </row>
    <row r="4026" spans="1:4" x14ac:dyDescent="0.25">
      <c r="A4026" s="379"/>
      <c r="B4026" s="382"/>
      <c r="C4026" s="377"/>
      <c r="D4026" s="6" t="str">
        <f>_xlfn.XLOOKUP(B4026,Indices!$A$2:$A$2676,Indices!$B$2:$B$2676,"")</f>
        <v/>
      </c>
    </row>
    <row r="4027" spans="1:4" x14ac:dyDescent="0.25">
      <c r="A4027" s="379"/>
      <c r="B4027" s="382"/>
      <c r="C4027" s="377"/>
      <c r="D4027" s="6" t="str">
        <f>_xlfn.XLOOKUP(B4027,Indices!$A$2:$A$2676,Indices!$B$2:$B$2676,"")</f>
        <v/>
      </c>
    </row>
    <row r="4028" spans="1:4" x14ac:dyDescent="0.25">
      <c r="A4028" s="379"/>
      <c r="B4028" s="382"/>
      <c r="C4028" s="377"/>
      <c r="D4028" s="6" t="str">
        <f>_xlfn.XLOOKUP(B4028,Indices!$A$2:$A$2676,Indices!$B$2:$B$2676,"")</f>
        <v/>
      </c>
    </row>
    <row r="4029" spans="1:4" x14ac:dyDescent="0.25">
      <c r="A4029" s="379"/>
      <c r="B4029" s="382"/>
      <c r="C4029" s="377"/>
      <c r="D4029" s="6" t="str">
        <f>_xlfn.XLOOKUP(B4029,Indices!$A$2:$A$2676,Indices!$B$2:$B$2676,"")</f>
        <v/>
      </c>
    </row>
    <row r="4030" spans="1:4" x14ac:dyDescent="0.25">
      <c r="A4030" s="379"/>
      <c r="B4030" s="382"/>
      <c r="C4030" s="377"/>
      <c r="D4030" s="6" t="str">
        <f>_xlfn.XLOOKUP(B4030,Indices!$A$2:$A$2676,Indices!$B$2:$B$2676,"")</f>
        <v/>
      </c>
    </row>
    <row r="4031" spans="1:4" x14ac:dyDescent="0.25">
      <c r="A4031" s="379"/>
      <c r="B4031" s="382"/>
      <c r="C4031" s="377"/>
      <c r="D4031" s="6" t="str">
        <f>_xlfn.XLOOKUP(B4031,Indices!$A$2:$A$2676,Indices!$B$2:$B$2676,"")</f>
        <v/>
      </c>
    </row>
    <row r="4032" spans="1:4" x14ac:dyDescent="0.25">
      <c r="A4032" s="379"/>
      <c r="B4032" s="382"/>
      <c r="C4032" s="377"/>
      <c r="D4032" s="6" t="str">
        <f>_xlfn.XLOOKUP(B4032,Indices!$A$2:$A$2676,Indices!$B$2:$B$2676,"")</f>
        <v/>
      </c>
    </row>
    <row r="4033" spans="1:4" x14ac:dyDescent="0.25">
      <c r="A4033" s="379"/>
      <c r="B4033" s="382"/>
      <c r="C4033" s="377"/>
      <c r="D4033" s="6" t="str">
        <f>_xlfn.XLOOKUP(B4033,Indices!$A$2:$A$2676,Indices!$B$2:$B$2676,"")</f>
        <v/>
      </c>
    </row>
    <row r="4034" spans="1:4" x14ac:dyDescent="0.25">
      <c r="A4034" s="379"/>
      <c r="B4034" s="382"/>
      <c r="C4034" s="377"/>
      <c r="D4034" s="6" t="str">
        <f>_xlfn.XLOOKUP(B4034,Indices!$A$2:$A$2676,Indices!$B$2:$B$2676,"")</f>
        <v/>
      </c>
    </row>
    <row r="4035" spans="1:4" x14ac:dyDescent="0.25">
      <c r="A4035" s="379"/>
      <c r="B4035" s="382"/>
      <c r="C4035" s="377"/>
      <c r="D4035" s="6" t="str">
        <f>_xlfn.XLOOKUP(B4035,Indices!$A$2:$A$2676,Indices!$B$2:$B$2676,"")</f>
        <v/>
      </c>
    </row>
    <row r="4036" spans="1:4" x14ac:dyDescent="0.25">
      <c r="A4036" s="379"/>
      <c r="B4036" s="382"/>
      <c r="C4036" s="377"/>
      <c r="D4036" s="6" t="str">
        <f>_xlfn.XLOOKUP(B4036,Indices!$A$2:$A$2676,Indices!$B$2:$B$2676,"")</f>
        <v/>
      </c>
    </row>
    <row r="4037" spans="1:4" x14ac:dyDescent="0.25">
      <c r="A4037" s="379"/>
      <c r="B4037" s="382"/>
      <c r="C4037" s="377"/>
      <c r="D4037" s="6" t="str">
        <f>_xlfn.XLOOKUP(B4037,Indices!$A$2:$A$2676,Indices!$B$2:$B$2676,"")</f>
        <v/>
      </c>
    </row>
    <row r="4038" spans="1:4" x14ac:dyDescent="0.25">
      <c r="A4038" s="379"/>
      <c r="B4038" s="382"/>
      <c r="C4038" s="377"/>
      <c r="D4038" s="6" t="str">
        <f>_xlfn.XLOOKUP(B4038,Indices!$A$2:$A$2676,Indices!$B$2:$B$2676,"")</f>
        <v/>
      </c>
    </row>
    <row r="4039" spans="1:4" x14ac:dyDescent="0.25">
      <c r="A4039" s="379"/>
      <c r="B4039" s="382"/>
      <c r="C4039" s="377"/>
      <c r="D4039" s="6" t="str">
        <f>_xlfn.XLOOKUP(B4039,Indices!$A$2:$A$2676,Indices!$B$2:$B$2676,"")</f>
        <v/>
      </c>
    </row>
    <row r="4040" spans="1:4" x14ac:dyDescent="0.25">
      <c r="A4040" s="379"/>
      <c r="B4040" s="382"/>
      <c r="C4040" s="377"/>
      <c r="D4040" s="6" t="str">
        <f>_xlfn.XLOOKUP(B4040,Indices!$A$2:$A$2676,Indices!$B$2:$B$2676,"")</f>
        <v/>
      </c>
    </row>
    <row r="4041" spans="1:4" x14ac:dyDescent="0.25">
      <c r="A4041" s="379"/>
      <c r="B4041" s="382"/>
      <c r="C4041" s="377"/>
      <c r="D4041" s="6" t="str">
        <f>_xlfn.XLOOKUP(B4041,Indices!$A$2:$A$2676,Indices!$B$2:$B$2676,"")</f>
        <v/>
      </c>
    </row>
    <row r="4042" spans="1:4" x14ac:dyDescent="0.25">
      <c r="A4042" s="379"/>
      <c r="B4042" s="382"/>
      <c r="C4042" s="377"/>
      <c r="D4042" s="6" t="str">
        <f>_xlfn.XLOOKUP(B4042,Indices!$A$2:$A$2676,Indices!$B$2:$B$2676,"")</f>
        <v/>
      </c>
    </row>
    <row r="4043" spans="1:4" x14ac:dyDescent="0.25">
      <c r="A4043" s="379"/>
      <c r="B4043" s="382"/>
      <c r="C4043" s="377"/>
      <c r="D4043" s="6" t="str">
        <f>_xlfn.XLOOKUP(B4043,Indices!$A$2:$A$2676,Indices!$B$2:$B$2676,"")</f>
        <v/>
      </c>
    </row>
    <row r="4044" spans="1:4" x14ac:dyDescent="0.25">
      <c r="A4044" s="379"/>
      <c r="B4044" s="382"/>
      <c r="C4044" s="377"/>
      <c r="D4044" s="6" t="str">
        <f>_xlfn.XLOOKUP(B4044,Indices!$A$2:$A$2676,Indices!$B$2:$B$2676,"")</f>
        <v/>
      </c>
    </row>
    <row r="4045" spans="1:4" x14ac:dyDescent="0.25">
      <c r="A4045" s="379"/>
      <c r="B4045" s="382"/>
      <c r="C4045" s="377"/>
      <c r="D4045" s="6" t="str">
        <f>_xlfn.XLOOKUP(B4045,Indices!$A$2:$A$2676,Indices!$B$2:$B$2676,"")</f>
        <v/>
      </c>
    </row>
    <row r="4046" spans="1:4" x14ac:dyDescent="0.25">
      <c r="A4046" s="379"/>
      <c r="B4046" s="382"/>
      <c r="C4046" s="377"/>
      <c r="D4046" s="6" t="str">
        <f>_xlfn.XLOOKUP(B4046,Indices!$A$2:$A$2676,Indices!$B$2:$B$2676,"")</f>
        <v/>
      </c>
    </row>
    <row r="4047" spans="1:4" x14ac:dyDescent="0.25">
      <c r="A4047" s="379"/>
      <c r="B4047" s="382"/>
      <c r="C4047" s="377"/>
      <c r="D4047" s="6" t="str">
        <f>_xlfn.XLOOKUP(B4047,Indices!$A$2:$A$2676,Indices!$B$2:$B$2676,"")</f>
        <v/>
      </c>
    </row>
    <row r="4048" spans="1:4" x14ac:dyDescent="0.25">
      <c r="A4048" s="379"/>
      <c r="B4048" s="382"/>
      <c r="C4048" s="377"/>
      <c r="D4048" s="6" t="str">
        <f>_xlfn.XLOOKUP(B4048,Indices!$A$2:$A$2676,Indices!$B$2:$B$2676,"")</f>
        <v/>
      </c>
    </row>
    <row r="4049" spans="1:4" x14ac:dyDescent="0.25">
      <c r="A4049" s="379"/>
      <c r="B4049" s="382"/>
      <c r="C4049" s="377"/>
      <c r="D4049" s="6" t="str">
        <f>_xlfn.XLOOKUP(B4049,Indices!$A$2:$A$2676,Indices!$B$2:$B$2676,"")</f>
        <v/>
      </c>
    </row>
    <row r="4050" spans="1:4" x14ac:dyDescent="0.25">
      <c r="A4050" s="379"/>
      <c r="B4050" s="382"/>
      <c r="C4050" s="377"/>
      <c r="D4050" s="6" t="str">
        <f>_xlfn.XLOOKUP(B4050,Indices!$A$2:$A$2676,Indices!$B$2:$B$2676,"")</f>
        <v/>
      </c>
    </row>
    <row r="4051" spans="1:4" x14ac:dyDescent="0.25">
      <c r="A4051" s="379"/>
      <c r="B4051" s="382"/>
      <c r="C4051" s="377"/>
      <c r="D4051" s="6" t="str">
        <f>_xlfn.XLOOKUP(B4051,Indices!$A$2:$A$2676,Indices!$B$2:$B$2676,"")</f>
        <v/>
      </c>
    </row>
    <row r="4052" spans="1:4" x14ac:dyDescent="0.25">
      <c r="A4052" s="379"/>
      <c r="B4052" s="382"/>
      <c r="C4052" s="377"/>
      <c r="D4052" s="6" t="str">
        <f>_xlfn.XLOOKUP(B4052,Indices!$A$2:$A$2676,Indices!$B$2:$B$2676,"")</f>
        <v/>
      </c>
    </row>
    <row r="4053" spans="1:4" x14ac:dyDescent="0.25">
      <c r="A4053" s="379"/>
      <c r="B4053" s="382"/>
      <c r="C4053" s="377"/>
      <c r="D4053" s="6" t="str">
        <f>_xlfn.XLOOKUP(B4053,Indices!$A$2:$A$2676,Indices!$B$2:$B$2676,"")</f>
        <v/>
      </c>
    </row>
    <row r="4054" spans="1:4" x14ac:dyDescent="0.25">
      <c r="A4054" s="379"/>
      <c r="B4054" s="382"/>
      <c r="C4054" s="377"/>
      <c r="D4054" s="6" t="str">
        <f>_xlfn.XLOOKUP(B4054,Indices!$A$2:$A$2676,Indices!$B$2:$B$2676,"")</f>
        <v/>
      </c>
    </row>
    <row r="4055" spans="1:4" x14ac:dyDescent="0.25">
      <c r="A4055" s="379"/>
      <c r="B4055" s="382"/>
      <c r="C4055" s="377"/>
      <c r="D4055" s="6" t="str">
        <f>_xlfn.XLOOKUP(B4055,Indices!$A$2:$A$2676,Indices!$B$2:$B$2676,"")</f>
        <v/>
      </c>
    </row>
    <row r="4056" spans="1:4" x14ac:dyDescent="0.25">
      <c r="A4056" s="379"/>
      <c r="B4056" s="382"/>
      <c r="C4056" s="377"/>
      <c r="D4056" s="6" t="str">
        <f>_xlfn.XLOOKUP(B4056,Indices!$A$2:$A$2676,Indices!$B$2:$B$2676,"")</f>
        <v/>
      </c>
    </row>
    <row r="4057" spans="1:4" x14ac:dyDescent="0.25">
      <c r="A4057" s="379"/>
      <c r="B4057" s="382"/>
      <c r="C4057" s="377"/>
      <c r="D4057" s="6" t="str">
        <f>_xlfn.XLOOKUP(B4057,Indices!$A$2:$A$2676,Indices!$B$2:$B$2676,"")</f>
        <v/>
      </c>
    </row>
    <row r="4058" spans="1:4" x14ac:dyDescent="0.25">
      <c r="A4058" s="379"/>
      <c r="B4058" s="382"/>
      <c r="C4058" s="377"/>
      <c r="D4058" s="6" t="str">
        <f>_xlfn.XLOOKUP(B4058,Indices!$A$2:$A$2676,Indices!$B$2:$B$2676,"")</f>
        <v/>
      </c>
    </row>
    <row r="4059" spans="1:4" x14ac:dyDescent="0.25">
      <c r="A4059" s="379"/>
      <c r="B4059" s="382"/>
      <c r="C4059" s="377"/>
      <c r="D4059" s="6" t="str">
        <f>_xlfn.XLOOKUP(B4059,Indices!$A$2:$A$2676,Indices!$B$2:$B$2676,"")</f>
        <v/>
      </c>
    </row>
    <row r="4060" spans="1:4" x14ac:dyDescent="0.25">
      <c r="A4060" s="379"/>
      <c r="B4060" s="382"/>
      <c r="C4060" s="377"/>
      <c r="D4060" s="6" t="str">
        <f>_xlfn.XLOOKUP(B4060,Indices!$A$2:$A$2676,Indices!$B$2:$B$2676,"")</f>
        <v/>
      </c>
    </row>
    <row r="4061" spans="1:4" x14ac:dyDescent="0.25">
      <c r="A4061" s="379"/>
      <c r="B4061" s="382"/>
      <c r="C4061" s="377"/>
      <c r="D4061" s="6" t="str">
        <f>_xlfn.XLOOKUP(B4061,Indices!$A$2:$A$2676,Indices!$B$2:$B$2676,"")</f>
        <v/>
      </c>
    </row>
    <row r="4062" spans="1:4" x14ac:dyDescent="0.25">
      <c r="A4062" s="379"/>
      <c r="B4062" s="382"/>
      <c r="C4062" s="377"/>
      <c r="D4062" s="6" t="str">
        <f>_xlfn.XLOOKUP(B4062,Indices!$A$2:$A$2676,Indices!$B$2:$B$2676,"")</f>
        <v/>
      </c>
    </row>
    <row r="4063" spans="1:4" x14ac:dyDescent="0.25">
      <c r="A4063" s="379"/>
      <c r="B4063" s="382"/>
      <c r="C4063" s="377"/>
      <c r="D4063" s="6" t="str">
        <f>_xlfn.XLOOKUP(B4063,Indices!$A$2:$A$2676,Indices!$B$2:$B$2676,"")</f>
        <v/>
      </c>
    </row>
    <row r="4064" spans="1:4" x14ac:dyDescent="0.25">
      <c r="A4064" s="379"/>
      <c r="B4064" s="382"/>
      <c r="C4064" s="377"/>
      <c r="D4064" s="6" t="str">
        <f>_xlfn.XLOOKUP(B4064,Indices!$A$2:$A$2676,Indices!$B$2:$B$2676,"")</f>
        <v/>
      </c>
    </row>
    <row r="4065" spans="1:4" x14ac:dyDescent="0.25">
      <c r="A4065" s="379"/>
      <c r="B4065" s="382"/>
      <c r="C4065" s="377"/>
      <c r="D4065" s="6" t="str">
        <f>_xlfn.XLOOKUP(B4065,Indices!$A$2:$A$2676,Indices!$B$2:$B$2676,"")</f>
        <v/>
      </c>
    </row>
    <row r="4066" spans="1:4" x14ac:dyDescent="0.25">
      <c r="A4066" s="379"/>
      <c r="B4066" s="382"/>
      <c r="C4066" s="377"/>
      <c r="D4066" s="6" t="str">
        <f>_xlfn.XLOOKUP(B4066,Indices!$A$2:$A$2676,Indices!$B$2:$B$2676,"")</f>
        <v/>
      </c>
    </row>
    <row r="4067" spans="1:4" x14ac:dyDescent="0.25">
      <c r="A4067" s="379"/>
      <c r="B4067" s="382"/>
      <c r="C4067" s="377"/>
      <c r="D4067" s="6" t="str">
        <f>_xlfn.XLOOKUP(B4067,Indices!$A$2:$A$2676,Indices!$B$2:$B$2676,"")</f>
        <v/>
      </c>
    </row>
    <row r="4068" spans="1:4" x14ac:dyDescent="0.25">
      <c r="A4068" s="379"/>
      <c r="B4068" s="382"/>
      <c r="C4068" s="377"/>
      <c r="D4068" s="6" t="str">
        <f>_xlfn.XLOOKUP(B4068,Indices!$A$2:$A$2676,Indices!$B$2:$B$2676,"")</f>
        <v/>
      </c>
    </row>
    <row r="4069" spans="1:4" x14ac:dyDescent="0.25">
      <c r="A4069" s="379"/>
      <c r="B4069" s="382"/>
      <c r="C4069" s="377"/>
      <c r="D4069" s="6" t="str">
        <f>_xlfn.XLOOKUP(B4069,Indices!$A$2:$A$2676,Indices!$B$2:$B$2676,"")</f>
        <v/>
      </c>
    </row>
    <row r="4070" spans="1:4" x14ac:dyDescent="0.25">
      <c r="A4070" s="379"/>
      <c r="B4070" s="382"/>
      <c r="C4070" s="377"/>
      <c r="D4070" s="6" t="str">
        <f>_xlfn.XLOOKUP(B4070,Indices!$A$2:$A$2676,Indices!$B$2:$B$2676,"")</f>
        <v/>
      </c>
    </row>
    <row r="4071" spans="1:4" x14ac:dyDescent="0.25">
      <c r="A4071" s="379"/>
      <c r="B4071" s="382"/>
      <c r="C4071" s="377"/>
      <c r="D4071" s="6" t="str">
        <f>_xlfn.XLOOKUP(B4071,Indices!$A$2:$A$2676,Indices!$B$2:$B$2676,"")</f>
        <v/>
      </c>
    </row>
    <row r="4072" spans="1:4" x14ac:dyDescent="0.25">
      <c r="A4072" s="379"/>
      <c r="B4072" s="382"/>
      <c r="C4072" s="377"/>
      <c r="D4072" s="6" t="str">
        <f>_xlfn.XLOOKUP(B4072,Indices!$A$2:$A$2676,Indices!$B$2:$B$2676,"")</f>
        <v/>
      </c>
    </row>
    <row r="4073" spans="1:4" x14ac:dyDescent="0.25">
      <c r="A4073" s="379"/>
      <c r="B4073" s="382"/>
      <c r="C4073" s="377"/>
      <c r="D4073" s="6" t="str">
        <f>_xlfn.XLOOKUP(B4073,Indices!$A$2:$A$2676,Indices!$B$2:$B$2676,"")</f>
        <v/>
      </c>
    </row>
    <row r="4074" spans="1:4" x14ac:dyDescent="0.25">
      <c r="A4074" s="379"/>
      <c r="B4074" s="382"/>
      <c r="C4074" s="377"/>
      <c r="D4074" s="6" t="str">
        <f>_xlfn.XLOOKUP(B4074,Indices!$A$2:$A$2676,Indices!$B$2:$B$2676,"")</f>
        <v/>
      </c>
    </row>
    <row r="4075" spans="1:4" x14ac:dyDescent="0.25">
      <c r="A4075" s="379"/>
      <c r="B4075" s="382"/>
      <c r="C4075" s="377"/>
      <c r="D4075" s="6" t="str">
        <f>_xlfn.XLOOKUP(B4075,Indices!$A$2:$A$2676,Indices!$B$2:$B$2676,"")</f>
        <v/>
      </c>
    </row>
    <row r="4076" spans="1:4" x14ac:dyDescent="0.25">
      <c r="A4076" s="379"/>
      <c r="B4076" s="382"/>
      <c r="C4076" s="377"/>
      <c r="D4076" s="6" t="str">
        <f>_xlfn.XLOOKUP(B4076,Indices!$A$2:$A$2676,Indices!$B$2:$B$2676,"")</f>
        <v/>
      </c>
    </row>
    <row r="4077" spans="1:4" x14ac:dyDescent="0.25">
      <c r="A4077" s="379"/>
      <c r="B4077" s="382"/>
      <c r="C4077" s="377"/>
      <c r="D4077" s="6" t="str">
        <f>_xlfn.XLOOKUP(B4077,Indices!$A$2:$A$2676,Indices!$B$2:$B$2676,"")</f>
        <v/>
      </c>
    </row>
    <row r="4078" spans="1:4" x14ac:dyDescent="0.25">
      <c r="A4078" s="379"/>
      <c r="B4078" s="382"/>
      <c r="C4078" s="377"/>
      <c r="D4078" s="6" t="str">
        <f>_xlfn.XLOOKUP(B4078,Indices!$A$2:$A$2676,Indices!$B$2:$B$2676,"")</f>
        <v/>
      </c>
    </row>
    <row r="4079" spans="1:4" x14ac:dyDescent="0.25">
      <c r="A4079" s="379"/>
      <c r="B4079" s="382"/>
      <c r="C4079" s="377"/>
      <c r="D4079" s="6" t="str">
        <f>_xlfn.XLOOKUP(B4079,Indices!$A$2:$A$2676,Indices!$B$2:$B$2676,"")</f>
        <v/>
      </c>
    </row>
    <row r="4080" spans="1:4" x14ac:dyDescent="0.25">
      <c r="A4080" s="379"/>
      <c r="B4080" s="382"/>
      <c r="C4080" s="377"/>
      <c r="D4080" s="6" t="str">
        <f>_xlfn.XLOOKUP(B4080,Indices!$A$2:$A$2676,Indices!$B$2:$B$2676,"")</f>
        <v/>
      </c>
    </row>
    <row r="4081" spans="1:4" x14ac:dyDescent="0.25">
      <c r="A4081" s="379"/>
      <c r="B4081" s="382"/>
      <c r="C4081" s="377"/>
      <c r="D4081" s="6" t="str">
        <f>_xlfn.XLOOKUP(B4081,Indices!$A$2:$A$2676,Indices!$B$2:$B$2676,"")</f>
        <v/>
      </c>
    </row>
    <row r="4082" spans="1:4" x14ac:dyDescent="0.25">
      <c r="A4082" s="379"/>
      <c r="B4082" s="382"/>
      <c r="C4082" s="377"/>
      <c r="D4082" s="6" t="str">
        <f>_xlfn.XLOOKUP(B4082,Indices!$A$2:$A$2676,Indices!$B$2:$B$2676,"")</f>
        <v/>
      </c>
    </row>
    <row r="4083" spans="1:4" x14ac:dyDescent="0.25">
      <c r="A4083" s="379"/>
      <c r="B4083" s="382"/>
      <c r="C4083" s="377"/>
      <c r="D4083" s="6" t="str">
        <f>_xlfn.XLOOKUP(B4083,Indices!$A$2:$A$2676,Indices!$B$2:$B$2676,"")</f>
        <v/>
      </c>
    </row>
    <row r="4084" spans="1:4" x14ac:dyDescent="0.25">
      <c r="A4084" s="379"/>
      <c r="B4084" s="382"/>
      <c r="C4084" s="377"/>
      <c r="D4084" s="6" t="str">
        <f>_xlfn.XLOOKUP(B4084,Indices!$A$2:$A$2676,Indices!$B$2:$B$2676,"")</f>
        <v/>
      </c>
    </row>
    <row r="4085" spans="1:4" x14ac:dyDescent="0.25">
      <c r="A4085" s="379"/>
      <c r="B4085" s="382"/>
      <c r="C4085" s="377"/>
      <c r="D4085" s="6" t="str">
        <f>_xlfn.XLOOKUP(B4085,Indices!$A$2:$A$2676,Indices!$B$2:$B$2676,"")</f>
        <v/>
      </c>
    </row>
    <row r="4086" spans="1:4" x14ac:dyDescent="0.25">
      <c r="A4086" s="379"/>
      <c r="B4086" s="382"/>
      <c r="C4086" s="377"/>
      <c r="D4086" s="6" t="str">
        <f>_xlfn.XLOOKUP(B4086,Indices!$A$2:$A$2676,Indices!$B$2:$B$2676,"")</f>
        <v/>
      </c>
    </row>
    <row r="4087" spans="1:4" x14ac:dyDescent="0.25">
      <c r="A4087" s="379"/>
      <c r="B4087" s="382"/>
      <c r="C4087" s="377"/>
      <c r="D4087" s="6" t="str">
        <f>_xlfn.XLOOKUP(B4087,Indices!$A$2:$A$2676,Indices!$B$2:$B$2676,"")</f>
        <v/>
      </c>
    </row>
    <row r="4088" spans="1:4" x14ac:dyDescent="0.25">
      <c r="A4088" s="379"/>
      <c r="B4088" s="382"/>
      <c r="C4088" s="377"/>
      <c r="D4088" s="6" t="str">
        <f>_xlfn.XLOOKUP(B4088,Indices!$A$2:$A$2676,Indices!$B$2:$B$2676,"")</f>
        <v/>
      </c>
    </row>
    <row r="4089" spans="1:4" x14ac:dyDescent="0.25">
      <c r="A4089" s="379"/>
      <c r="B4089" s="382"/>
      <c r="C4089" s="377"/>
      <c r="D4089" s="6" t="str">
        <f>_xlfn.XLOOKUP(B4089,Indices!$A$2:$A$2676,Indices!$B$2:$B$2676,"")</f>
        <v/>
      </c>
    </row>
    <row r="4090" spans="1:4" x14ac:dyDescent="0.25">
      <c r="A4090" s="379"/>
      <c r="B4090" s="382"/>
      <c r="C4090" s="377"/>
      <c r="D4090" s="6" t="str">
        <f>_xlfn.XLOOKUP(B4090,Indices!$A$2:$A$2676,Indices!$B$2:$B$2676,"")</f>
        <v/>
      </c>
    </row>
    <row r="4091" spans="1:4" x14ac:dyDescent="0.25">
      <c r="A4091" s="379"/>
      <c r="B4091" s="382"/>
      <c r="C4091" s="377"/>
      <c r="D4091" s="6" t="str">
        <f>_xlfn.XLOOKUP(B4091,Indices!$A$2:$A$2676,Indices!$B$2:$B$2676,"")</f>
        <v/>
      </c>
    </row>
    <row r="4092" spans="1:4" x14ac:dyDescent="0.25">
      <c r="A4092" s="379"/>
      <c r="B4092" s="382"/>
      <c r="C4092" s="377"/>
      <c r="D4092" s="6" t="str">
        <f>_xlfn.XLOOKUP(B4092,Indices!$A$2:$A$2676,Indices!$B$2:$B$2676,"")</f>
        <v/>
      </c>
    </row>
    <row r="4093" spans="1:4" x14ac:dyDescent="0.25">
      <c r="A4093" s="379"/>
      <c r="B4093" s="382"/>
      <c r="C4093" s="377"/>
      <c r="D4093" s="6" t="str">
        <f>_xlfn.XLOOKUP(B4093,Indices!$A$2:$A$2676,Indices!$B$2:$B$2676,"")</f>
        <v/>
      </c>
    </row>
    <row r="4094" spans="1:4" x14ac:dyDescent="0.25">
      <c r="A4094" s="379"/>
      <c r="B4094" s="382"/>
      <c r="C4094" s="377"/>
      <c r="D4094" s="6" t="str">
        <f>_xlfn.XLOOKUP(B4094,Indices!$A$2:$A$2676,Indices!$B$2:$B$2676,"")</f>
        <v/>
      </c>
    </row>
    <row r="4095" spans="1:4" x14ac:dyDescent="0.25">
      <c r="A4095" s="379"/>
      <c r="B4095" s="382"/>
      <c r="C4095" s="377"/>
      <c r="D4095" s="6" t="str">
        <f>_xlfn.XLOOKUP(B4095,Indices!$A$2:$A$2676,Indices!$B$2:$B$2676,"")</f>
        <v/>
      </c>
    </row>
    <row r="4096" spans="1:4" x14ac:dyDescent="0.25">
      <c r="A4096" s="379"/>
      <c r="B4096" s="382"/>
      <c r="C4096" s="377"/>
      <c r="D4096" s="6" t="str">
        <f>_xlfn.XLOOKUP(B4096,Indices!$A$2:$A$2676,Indices!$B$2:$B$2676,"")</f>
        <v/>
      </c>
    </row>
    <row r="4097" spans="1:4" x14ac:dyDescent="0.25">
      <c r="A4097" s="379"/>
      <c r="B4097" s="382"/>
      <c r="C4097" s="377"/>
      <c r="D4097" s="6" t="str">
        <f>_xlfn.XLOOKUP(B4097,Indices!$A$2:$A$2676,Indices!$B$2:$B$2676,"")</f>
        <v/>
      </c>
    </row>
    <row r="4098" spans="1:4" x14ac:dyDescent="0.25">
      <c r="A4098" s="379"/>
      <c r="B4098" s="382"/>
      <c r="C4098" s="377"/>
      <c r="D4098" s="6" t="str">
        <f>_xlfn.XLOOKUP(B4098,Indices!$A$2:$A$2676,Indices!$B$2:$B$2676,"")</f>
        <v/>
      </c>
    </row>
    <row r="4099" spans="1:4" x14ac:dyDescent="0.25">
      <c r="A4099" s="379"/>
      <c r="B4099" s="382"/>
      <c r="C4099" s="377"/>
      <c r="D4099" s="6" t="str">
        <f>_xlfn.XLOOKUP(B4099,Indices!$A$2:$A$2676,Indices!$B$2:$B$2676,"")</f>
        <v/>
      </c>
    </row>
    <row r="4100" spans="1:4" x14ac:dyDescent="0.25">
      <c r="A4100" s="379"/>
      <c r="B4100" s="382"/>
      <c r="C4100" s="377"/>
      <c r="D4100" s="6" t="str">
        <f>_xlfn.XLOOKUP(B4100,Indices!$A$2:$A$2676,Indices!$B$2:$B$2676,"")</f>
        <v/>
      </c>
    </row>
    <row r="4101" spans="1:4" x14ac:dyDescent="0.25">
      <c r="A4101" s="379"/>
      <c r="B4101" s="382"/>
      <c r="C4101" s="377"/>
      <c r="D4101" s="6" t="str">
        <f>_xlfn.XLOOKUP(B4101,Indices!$A$2:$A$2676,Indices!$B$2:$B$2676,"")</f>
        <v/>
      </c>
    </row>
    <row r="4102" spans="1:4" x14ac:dyDescent="0.25">
      <c r="A4102" s="379"/>
      <c r="B4102" s="382"/>
      <c r="C4102" s="377"/>
      <c r="D4102" s="6" t="str">
        <f>_xlfn.XLOOKUP(B4102,Indices!$A$2:$A$2676,Indices!$B$2:$B$2676,"")</f>
        <v/>
      </c>
    </row>
    <row r="4103" spans="1:4" x14ac:dyDescent="0.25">
      <c r="A4103" s="379"/>
      <c r="B4103" s="382"/>
      <c r="C4103" s="377"/>
      <c r="D4103" s="6" t="str">
        <f>_xlfn.XLOOKUP(B4103,Indices!$A$2:$A$2676,Indices!$B$2:$B$2676,"")</f>
        <v/>
      </c>
    </row>
    <row r="4104" spans="1:4" x14ac:dyDescent="0.25">
      <c r="A4104" s="379"/>
      <c r="B4104" s="382"/>
      <c r="C4104" s="377"/>
      <c r="D4104" s="6" t="str">
        <f>_xlfn.XLOOKUP(B4104,Indices!$A$2:$A$2676,Indices!$B$2:$B$2676,"")</f>
        <v/>
      </c>
    </row>
    <row r="4105" spans="1:4" x14ac:dyDescent="0.25">
      <c r="A4105" s="379"/>
      <c r="B4105" s="382"/>
      <c r="C4105" s="377"/>
      <c r="D4105" s="6" t="str">
        <f>_xlfn.XLOOKUP(B4105,Indices!$A$2:$A$2676,Indices!$B$2:$B$2676,"")</f>
        <v/>
      </c>
    </row>
    <row r="4106" spans="1:4" x14ac:dyDescent="0.25">
      <c r="A4106" s="379"/>
      <c r="B4106" s="382"/>
      <c r="C4106" s="377"/>
      <c r="D4106" s="6" t="str">
        <f>_xlfn.XLOOKUP(B4106,Indices!$A$2:$A$2676,Indices!$B$2:$B$2676,"")</f>
        <v/>
      </c>
    </row>
    <row r="4107" spans="1:4" x14ac:dyDescent="0.25">
      <c r="A4107" s="379"/>
      <c r="B4107" s="382"/>
      <c r="C4107" s="377"/>
      <c r="D4107" s="6" t="str">
        <f>_xlfn.XLOOKUP(B4107,Indices!$A$2:$A$2676,Indices!$B$2:$B$2676,"")</f>
        <v/>
      </c>
    </row>
    <row r="4108" spans="1:4" x14ac:dyDescent="0.25">
      <c r="A4108" s="379"/>
      <c r="B4108" s="382"/>
      <c r="C4108" s="377"/>
      <c r="D4108" s="6" t="str">
        <f>_xlfn.XLOOKUP(B4108,Indices!$A$2:$A$2676,Indices!$B$2:$B$2676,"")</f>
        <v/>
      </c>
    </row>
    <row r="4109" spans="1:4" x14ac:dyDescent="0.25">
      <c r="A4109" s="379"/>
      <c r="B4109" s="382"/>
      <c r="C4109" s="377"/>
      <c r="D4109" s="6" t="str">
        <f>_xlfn.XLOOKUP(B4109,Indices!$A$2:$A$2676,Indices!$B$2:$B$2676,"")</f>
        <v/>
      </c>
    </row>
    <row r="4110" spans="1:4" x14ac:dyDescent="0.25">
      <c r="A4110" s="379"/>
      <c r="B4110" s="382"/>
      <c r="C4110" s="377"/>
      <c r="D4110" s="6" t="str">
        <f>_xlfn.XLOOKUP(B4110,Indices!$A$2:$A$2676,Indices!$B$2:$B$2676,"")</f>
        <v/>
      </c>
    </row>
    <row r="4111" spans="1:4" x14ac:dyDescent="0.25">
      <c r="A4111" s="379"/>
      <c r="B4111" s="382"/>
      <c r="C4111" s="377"/>
      <c r="D4111" s="6" t="str">
        <f>_xlfn.XLOOKUP(B4111,Indices!$A$2:$A$2676,Indices!$B$2:$B$2676,"")</f>
        <v/>
      </c>
    </row>
    <row r="4112" spans="1:4" x14ac:dyDescent="0.25">
      <c r="A4112" s="379"/>
      <c r="B4112" s="382"/>
      <c r="C4112" s="377"/>
      <c r="D4112" s="6" t="str">
        <f>_xlfn.XLOOKUP(B4112,Indices!$A$2:$A$2676,Indices!$B$2:$B$2676,"")</f>
        <v/>
      </c>
    </row>
    <row r="4113" spans="1:4" x14ac:dyDescent="0.25">
      <c r="A4113" s="379"/>
      <c r="B4113" s="382"/>
      <c r="C4113" s="377"/>
      <c r="D4113" s="6" t="str">
        <f>_xlfn.XLOOKUP(B4113,Indices!$A$2:$A$2676,Indices!$B$2:$B$2676,"")</f>
        <v/>
      </c>
    </row>
    <row r="4114" spans="1:4" x14ac:dyDescent="0.25">
      <c r="A4114" s="379"/>
      <c r="B4114" s="382"/>
      <c r="C4114" s="377"/>
      <c r="D4114" s="6" t="str">
        <f>_xlfn.XLOOKUP(B4114,Indices!$A$2:$A$2676,Indices!$B$2:$B$2676,"")</f>
        <v/>
      </c>
    </row>
    <row r="4115" spans="1:4" x14ac:dyDescent="0.25">
      <c r="A4115" s="379"/>
      <c r="B4115" s="382"/>
      <c r="C4115" s="377"/>
      <c r="D4115" s="6" t="str">
        <f>_xlfn.XLOOKUP(B4115,Indices!$A$2:$A$2676,Indices!$B$2:$B$2676,"")</f>
        <v/>
      </c>
    </row>
    <row r="4116" spans="1:4" x14ac:dyDescent="0.25">
      <c r="A4116" s="379"/>
      <c r="B4116" s="382"/>
      <c r="C4116" s="377"/>
      <c r="D4116" s="6" t="str">
        <f>_xlfn.XLOOKUP(B4116,Indices!$A$2:$A$2676,Indices!$B$2:$B$2676,"")</f>
        <v/>
      </c>
    </row>
    <row r="4117" spans="1:4" x14ac:dyDescent="0.25">
      <c r="A4117" s="379"/>
      <c r="B4117" s="382"/>
      <c r="C4117" s="377"/>
      <c r="D4117" s="6" t="str">
        <f>_xlfn.XLOOKUP(B4117,Indices!$A$2:$A$2676,Indices!$B$2:$B$2676,"")</f>
        <v/>
      </c>
    </row>
    <row r="4118" spans="1:4" x14ac:dyDescent="0.25">
      <c r="A4118" s="379"/>
      <c r="B4118" s="382"/>
      <c r="C4118" s="377"/>
      <c r="D4118" s="6" t="str">
        <f>_xlfn.XLOOKUP(B4118,Indices!$A$2:$A$2676,Indices!$B$2:$B$2676,"")</f>
        <v/>
      </c>
    </row>
    <row r="4119" spans="1:4" x14ac:dyDescent="0.25">
      <c r="A4119" s="379"/>
      <c r="B4119" s="382"/>
      <c r="C4119" s="377"/>
      <c r="D4119" s="6" t="str">
        <f>_xlfn.XLOOKUP(B4119,Indices!$A$2:$A$2676,Indices!$B$2:$B$2676,"")</f>
        <v/>
      </c>
    </row>
    <row r="4120" spans="1:4" x14ac:dyDescent="0.25">
      <c r="A4120" s="379"/>
      <c r="B4120" s="382"/>
      <c r="C4120" s="377"/>
      <c r="D4120" s="6" t="str">
        <f>_xlfn.XLOOKUP(B4120,Indices!$A$2:$A$2676,Indices!$B$2:$B$2676,"")</f>
        <v/>
      </c>
    </row>
    <row r="4121" spans="1:4" x14ac:dyDescent="0.25">
      <c r="A4121" s="379"/>
      <c r="B4121" s="382"/>
      <c r="C4121" s="377"/>
      <c r="D4121" s="6" t="str">
        <f>_xlfn.XLOOKUP(B4121,Indices!$A$2:$A$2676,Indices!$B$2:$B$2676,"")</f>
        <v/>
      </c>
    </row>
    <row r="4122" spans="1:4" x14ac:dyDescent="0.25">
      <c r="A4122" s="379"/>
      <c r="B4122" s="382"/>
      <c r="C4122" s="377"/>
      <c r="D4122" s="6" t="str">
        <f>_xlfn.XLOOKUP(B4122,Indices!$A$2:$A$2676,Indices!$B$2:$B$2676,"")</f>
        <v/>
      </c>
    </row>
    <row r="4123" spans="1:4" x14ac:dyDescent="0.25">
      <c r="A4123" s="379"/>
      <c r="B4123" s="382"/>
      <c r="C4123" s="377"/>
      <c r="D4123" s="6" t="str">
        <f>_xlfn.XLOOKUP(B4123,Indices!$A$2:$A$2676,Indices!$B$2:$B$2676,"")</f>
        <v/>
      </c>
    </row>
    <row r="4124" spans="1:4" x14ac:dyDescent="0.25">
      <c r="A4124" s="379"/>
      <c r="B4124" s="382"/>
      <c r="C4124" s="377"/>
      <c r="D4124" s="6" t="str">
        <f>_xlfn.XLOOKUP(B4124,Indices!$A$2:$A$2676,Indices!$B$2:$B$2676,"")</f>
        <v/>
      </c>
    </row>
    <row r="4125" spans="1:4" x14ac:dyDescent="0.25">
      <c r="A4125" s="379"/>
      <c r="B4125" s="382"/>
      <c r="C4125" s="377"/>
      <c r="D4125" s="6" t="str">
        <f>_xlfn.XLOOKUP(B4125,Indices!$A$2:$A$2676,Indices!$B$2:$B$2676,"")</f>
        <v/>
      </c>
    </row>
    <row r="4126" spans="1:4" x14ac:dyDescent="0.25">
      <c r="A4126" s="379"/>
      <c r="B4126" s="382"/>
      <c r="C4126" s="377"/>
      <c r="D4126" s="6" t="str">
        <f>_xlfn.XLOOKUP(B4126,Indices!$A$2:$A$2676,Indices!$B$2:$B$2676,"")</f>
        <v/>
      </c>
    </row>
    <row r="4127" spans="1:4" x14ac:dyDescent="0.25">
      <c r="A4127" s="379"/>
      <c r="B4127" s="382"/>
      <c r="C4127" s="377"/>
      <c r="D4127" s="6" t="str">
        <f>_xlfn.XLOOKUP(B4127,Indices!$A$2:$A$2676,Indices!$B$2:$B$2676,"")</f>
        <v/>
      </c>
    </row>
    <row r="4128" spans="1:4" x14ac:dyDescent="0.25">
      <c r="A4128" s="379"/>
      <c r="B4128" s="382"/>
      <c r="C4128" s="377"/>
      <c r="D4128" s="6" t="str">
        <f>_xlfn.XLOOKUP(B4128,Indices!$A$2:$A$2676,Indices!$B$2:$B$2676,"")</f>
        <v/>
      </c>
    </row>
    <row r="4129" spans="1:4" x14ac:dyDescent="0.25">
      <c r="A4129" s="379"/>
      <c r="B4129" s="382"/>
      <c r="C4129" s="377"/>
      <c r="D4129" s="6" t="str">
        <f>_xlfn.XLOOKUP(B4129,Indices!$A$2:$A$2676,Indices!$B$2:$B$2676,"")</f>
        <v/>
      </c>
    </row>
    <row r="4130" spans="1:4" x14ac:dyDescent="0.25">
      <c r="A4130" s="379"/>
      <c r="B4130" s="382"/>
      <c r="C4130" s="377"/>
      <c r="D4130" s="6" t="str">
        <f>_xlfn.XLOOKUP(B4130,Indices!$A$2:$A$2676,Indices!$B$2:$B$2676,"")</f>
        <v/>
      </c>
    </row>
    <row r="4131" spans="1:4" x14ac:dyDescent="0.25">
      <c r="A4131" s="379"/>
      <c r="B4131" s="382"/>
      <c r="C4131" s="377"/>
      <c r="D4131" s="6" t="str">
        <f>_xlfn.XLOOKUP(B4131,Indices!$A$2:$A$2676,Indices!$B$2:$B$2676,"")</f>
        <v/>
      </c>
    </row>
    <row r="4132" spans="1:4" x14ac:dyDescent="0.25">
      <c r="A4132" s="379"/>
      <c r="B4132" s="382"/>
      <c r="C4132" s="377"/>
      <c r="D4132" s="6" t="str">
        <f>_xlfn.XLOOKUP(B4132,Indices!$A$2:$A$2676,Indices!$B$2:$B$2676,"")</f>
        <v/>
      </c>
    </row>
    <row r="4133" spans="1:4" x14ac:dyDescent="0.25">
      <c r="A4133" s="379"/>
      <c r="B4133" s="382"/>
      <c r="C4133" s="377"/>
      <c r="D4133" s="6" t="str">
        <f>_xlfn.XLOOKUP(B4133,Indices!$A$2:$A$2676,Indices!$B$2:$B$2676,"")</f>
        <v/>
      </c>
    </row>
    <row r="4134" spans="1:4" x14ac:dyDescent="0.25">
      <c r="A4134" s="379"/>
      <c r="B4134" s="382"/>
      <c r="C4134" s="377"/>
      <c r="D4134" s="6" t="str">
        <f>_xlfn.XLOOKUP(B4134,Indices!$A$2:$A$2676,Indices!$B$2:$B$2676,"")</f>
        <v/>
      </c>
    </row>
    <row r="4135" spans="1:4" x14ac:dyDescent="0.25">
      <c r="A4135" s="379"/>
      <c r="B4135" s="382"/>
      <c r="C4135" s="377"/>
      <c r="D4135" s="6" t="str">
        <f>_xlfn.XLOOKUP(B4135,Indices!$A$2:$A$2676,Indices!$B$2:$B$2676,"")</f>
        <v/>
      </c>
    </row>
    <row r="4136" spans="1:4" x14ac:dyDescent="0.25">
      <c r="A4136" s="379"/>
      <c r="B4136" s="382"/>
      <c r="C4136" s="377"/>
      <c r="D4136" s="6" t="str">
        <f>_xlfn.XLOOKUP(B4136,Indices!$A$2:$A$2676,Indices!$B$2:$B$2676,"")</f>
        <v/>
      </c>
    </row>
    <row r="4137" spans="1:4" x14ac:dyDescent="0.25">
      <c r="A4137" s="379"/>
      <c r="B4137" s="382"/>
      <c r="C4137" s="377"/>
      <c r="D4137" s="6" t="str">
        <f>_xlfn.XLOOKUP(B4137,Indices!$A$2:$A$2676,Indices!$B$2:$B$2676,"")</f>
        <v/>
      </c>
    </row>
    <row r="4138" spans="1:4" x14ac:dyDescent="0.25">
      <c r="A4138" s="379"/>
      <c r="B4138" s="382"/>
      <c r="C4138" s="377"/>
      <c r="D4138" s="6" t="str">
        <f>_xlfn.XLOOKUP(B4138,Indices!$A$2:$A$2676,Indices!$B$2:$B$2676,"")</f>
        <v/>
      </c>
    </row>
    <row r="4139" spans="1:4" x14ac:dyDescent="0.25">
      <c r="A4139" s="379"/>
      <c r="B4139" s="382"/>
      <c r="C4139" s="377"/>
      <c r="D4139" s="6" t="str">
        <f>_xlfn.XLOOKUP(B4139,Indices!$A$2:$A$2676,Indices!$B$2:$B$2676,"")</f>
        <v/>
      </c>
    </row>
    <row r="4140" spans="1:4" x14ac:dyDescent="0.25">
      <c r="A4140" s="379"/>
      <c r="B4140" s="382"/>
      <c r="C4140" s="377"/>
      <c r="D4140" s="6" t="str">
        <f>_xlfn.XLOOKUP(B4140,Indices!$A$2:$A$2676,Indices!$B$2:$B$2676,"")</f>
        <v/>
      </c>
    </row>
    <row r="4141" spans="1:4" x14ac:dyDescent="0.25">
      <c r="A4141" s="379"/>
      <c r="B4141" s="382"/>
      <c r="C4141" s="377"/>
      <c r="D4141" s="6" t="str">
        <f>_xlfn.XLOOKUP(B4141,Indices!$A$2:$A$2676,Indices!$B$2:$B$2676,"")</f>
        <v/>
      </c>
    </row>
    <row r="4142" spans="1:4" x14ac:dyDescent="0.25">
      <c r="A4142" s="379"/>
      <c r="B4142" s="382"/>
      <c r="C4142" s="377"/>
      <c r="D4142" s="6" t="str">
        <f>_xlfn.XLOOKUP(B4142,Indices!$A$2:$A$2676,Indices!$B$2:$B$2676,"")</f>
        <v/>
      </c>
    </row>
    <row r="4143" spans="1:4" x14ac:dyDescent="0.25">
      <c r="A4143" s="379"/>
      <c r="B4143" s="382"/>
      <c r="C4143" s="377"/>
      <c r="D4143" s="6" t="str">
        <f>_xlfn.XLOOKUP(B4143,Indices!$A$2:$A$2676,Indices!$B$2:$B$2676,"")</f>
        <v/>
      </c>
    </row>
    <row r="4144" spans="1:4" x14ac:dyDescent="0.25">
      <c r="A4144" s="379"/>
      <c r="B4144" s="382"/>
      <c r="C4144" s="377"/>
      <c r="D4144" s="6" t="str">
        <f>_xlfn.XLOOKUP(B4144,Indices!$A$2:$A$2676,Indices!$B$2:$B$2676,"")</f>
        <v/>
      </c>
    </row>
    <row r="4145" spans="1:4" x14ac:dyDescent="0.25">
      <c r="A4145" s="379"/>
      <c r="B4145" s="382"/>
      <c r="C4145" s="377"/>
      <c r="D4145" s="6" t="str">
        <f>_xlfn.XLOOKUP(B4145,Indices!$A$2:$A$2676,Indices!$B$2:$B$2676,"")</f>
        <v/>
      </c>
    </row>
    <row r="4146" spans="1:4" x14ac:dyDescent="0.25">
      <c r="A4146" s="379"/>
      <c r="B4146" s="382"/>
      <c r="C4146" s="377"/>
      <c r="D4146" s="6" t="str">
        <f>_xlfn.XLOOKUP(B4146,Indices!$A$2:$A$2676,Indices!$B$2:$B$2676,"")</f>
        <v/>
      </c>
    </row>
    <row r="4147" spans="1:4" x14ac:dyDescent="0.25">
      <c r="A4147" s="379"/>
      <c r="B4147" s="382"/>
      <c r="C4147" s="377"/>
      <c r="D4147" s="6" t="str">
        <f>_xlfn.XLOOKUP(B4147,Indices!$A$2:$A$2676,Indices!$B$2:$B$2676,"")</f>
        <v/>
      </c>
    </row>
    <row r="4148" spans="1:4" x14ac:dyDescent="0.25">
      <c r="A4148" s="379"/>
      <c r="B4148" s="382"/>
      <c r="C4148" s="377"/>
      <c r="D4148" s="6" t="str">
        <f>_xlfn.XLOOKUP(B4148,Indices!$A$2:$A$2676,Indices!$B$2:$B$2676,"")</f>
        <v/>
      </c>
    </row>
    <row r="4149" spans="1:4" x14ac:dyDescent="0.25">
      <c r="A4149" s="379"/>
      <c r="B4149" s="382"/>
      <c r="C4149" s="377"/>
      <c r="D4149" s="6" t="str">
        <f>_xlfn.XLOOKUP(B4149,Indices!$A$2:$A$2676,Indices!$B$2:$B$2676,"")</f>
        <v/>
      </c>
    </row>
    <row r="4150" spans="1:4" x14ac:dyDescent="0.25">
      <c r="A4150" s="379"/>
      <c r="B4150" s="382"/>
      <c r="C4150" s="377"/>
      <c r="D4150" s="6" t="str">
        <f>_xlfn.XLOOKUP(B4150,Indices!$A$2:$A$2676,Indices!$B$2:$B$2676,"")</f>
        <v/>
      </c>
    </row>
    <row r="4151" spans="1:4" x14ac:dyDescent="0.25">
      <c r="A4151" s="379"/>
      <c r="B4151" s="382"/>
      <c r="C4151" s="377"/>
      <c r="D4151" s="6" t="str">
        <f>_xlfn.XLOOKUP(B4151,Indices!$A$2:$A$2676,Indices!$B$2:$B$2676,"")</f>
        <v/>
      </c>
    </row>
    <row r="4152" spans="1:4" x14ac:dyDescent="0.25">
      <c r="A4152" s="379"/>
      <c r="B4152" s="382"/>
      <c r="C4152" s="377"/>
      <c r="D4152" s="6" t="str">
        <f>_xlfn.XLOOKUP(B4152,Indices!$A$2:$A$2676,Indices!$B$2:$B$2676,"")</f>
        <v/>
      </c>
    </row>
    <row r="4153" spans="1:4" x14ac:dyDescent="0.25">
      <c r="A4153" s="379"/>
      <c r="B4153" s="382"/>
      <c r="C4153" s="377"/>
      <c r="D4153" s="6" t="str">
        <f>_xlfn.XLOOKUP(B4153,Indices!$A$2:$A$2676,Indices!$B$2:$B$2676,"")</f>
        <v/>
      </c>
    </row>
    <row r="4154" spans="1:4" x14ac:dyDescent="0.25">
      <c r="A4154" s="379"/>
      <c r="B4154" s="382"/>
      <c r="C4154" s="377"/>
      <c r="D4154" s="6" t="str">
        <f>_xlfn.XLOOKUP(B4154,Indices!$A$2:$A$2676,Indices!$B$2:$B$2676,"")</f>
        <v/>
      </c>
    </row>
    <row r="4155" spans="1:4" x14ac:dyDescent="0.25">
      <c r="A4155" s="379"/>
      <c r="B4155" s="382"/>
      <c r="C4155" s="377"/>
      <c r="D4155" s="6" t="str">
        <f>_xlfn.XLOOKUP(B4155,Indices!$A$2:$A$2676,Indices!$B$2:$B$2676,"")</f>
        <v/>
      </c>
    </row>
    <row r="4156" spans="1:4" x14ac:dyDescent="0.25">
      <c r="A4156" s="379"/>
      <c r="B4156" s="382"/>
      <c r="C4156" s="377"/>
      <c r="D4156" s="6" t="str">
        <f>_xlfn.XLOOKUP(B4156,Indices!$A$2:$A$2676,Indices!$B$2:$B$2676,"")</f>
        <v/>
      </c>
    </row>
    <row r="4157" spans="1:4" x14ac:dyDescent="0.25">
      <c r="A4157" s="379"/>
      <c r="B4157" s="382"/>
      <c r="C4157" s="377"/>
      <c r="D4157" s="6" t="str">
        <f>_xlfn.XLOOKUP(B4157,Indices!$A$2:$A$2676,Indices!$B$2:$B$2676,"")</f>
        <v/>
      </c>
    </row>
    <row r="4158" spans="1:4" x14ac:dyDescent="0.25">
      <c r="A4158" s="379"/>
      <c r="B4158" s="382"/>
      <c r="C4158" s="377"/>
      <c r="D4158" s="6" t="str">
        <f>_xlfn.XLOOKUP(B4158,Indices!$A$2:$A$2676,Indices!$B$2:$B$2676,"")</f>
        <v/>
      </c>
    </row>
    <row r="4159" spans="1:4" x14ac:dyDescent="0.25">
      <c r="A4159" s="379"/>
      <c r="B4159" s="382"/>
      <c r="C4159" s="377"/>
      <c r="D4159" s="6" t="str">
        <f>_xlfn.XLOOKUP(B4159,Indices!$A$2:$A$2676,Indices!$B$2:$B$2676,"")</f>
        <v/>
      </c>
    </row>
    <row r="4160" spans="1:4" x14ac:dyDescent="0.25">
      <c r="A4160" s="379"/>
      <c r="B4160" s="382"/>
      <c r="C4160" s="377"/>
      <c r="D4160" s="6" t="str">
        <f>_xlfn.XLOOKUP(B4160,Indices!$A$2:$A$2676,Indices!$B$2:$B$2676,"")</f>
        <v/>
      </c>
    </row>
    <row r="4161" spans="1:4" x14ac:dyDescent="0.25">
      <c r="A4161" s="379"/>
      <c r="B4161" s="382"/>
      <c r="C4161" s="377"/>
      <c r="D4161" s="6" t="str">
        <f>_xlfn.XLOOKUP(B4161,Indices!$A$2:$A$2676,Indices!$B$2:$B$2676,"")</f>
        <v/>
      </c>
    </row>
    <row r="4162" spans="1:4" x14ac:dyDescent="0.25">
      <c r="A4162" s="379"/>
      <c r="B4162" s="382"/>
      <c r="C4162" s="377"/>
      <c r="D4162" s="6" t="str">
        <f>_xlfn.XLOOKUP(B4162,Indices!$A$2:$A$2676,Indices!$B$2:$B$2676,"")</f>
        <v/>
      </c>
    </row>
    <row r="4163" spans="1:4" x14ac:dyDescent="0.25">
      <c r="A4163" s="379"/>
      <c r="B4163" s="382"/>
      <c r="C4163" s="377"/>
      <c r="D4163" s="6" t="str">
        <f>_xlfn.XLOOKUP(B4163,Indices!$A$2:$A$2676,Indices!$B$2:$B$2676,"")</f>
        <v/>
      </c>
    </row>
    <row r="4164" spans="1:4" x14ac:dyDescent="0.25">
      <c r="A4164" s="379"/>
      <c r="B4164" s="382"/>
      <c r="C4164" s="377"/>
      <c r="D4164" s="6" t="str">
        <f>_xlfn.XLOOKUP(B4164,Indices!$A$2:$A$2676,Indices!$B$2:$B$2676,"")</f>
        <v/>
      </c>
    </row>
    <row r="4165" spans="1:4" x14ac:dyDescent="0.25">
      <c r="A4165" s="379"/>
      <c r="B4165" s="382"/>
      <c r="C4165" s="377"/>
      <c r="D4165" s="6" t="str">
        <f>_xlfn.XLOOKUP(B4165,Indices!$A$2:$A$2676,Indices!$B$2:$B$2676,"")</f>
        <v/>
      </c>
    </row>
    <row r="4166" spans="1:4" x14ac:dyDescent="0.25">
      <c r="A4166" s="379"/>
      <c r="B4166" s="382"/>
      <c r="C4166" s="377"/>
      <c r="D4166" s="6" t="str">
        <f>_xlfn.XLOOKUP(B4166,Indices!$A$2:$A$2676,Indices!$B$2:$B$2676,"")</f>
        <v/>
      </c>
    </row>
    <row r="4167" spans="1:4" x14ac:dyDescent="0.25">
      <c r="A4167" s="379"/>
      <c r="B4167" s="382"/>
      <c r="C4167" s="377"/>
      <c r="D4167" s="6" t="str">
        <f>_xlfn.XLOOKUP(B4167,Indices!$A$2:$A$2676,Indices!$B$2:$B$2676,"")</f>
        <v/>
      </c>
    </row>
    <row r="4168" spans="1:4" x14ac:dyDescent="0.25">
      <c r="A4168" s="379"/>
      <c r="B4168" s="382"/>
      <c r="C4168" s="377"/>
      <c r="D4168" s="6" t="str">
        <f>_xlfn.XLOOKUP(B4168,Indices!$A$2:$A$2676,Indices!$B$2:$B$2676,"")</f>
        <v/>
      </c>
    </row>
    <row r="4169" spans="1:4" x14ac:dyDescent="0.25">
      <c r="A4169" s="379"/>
      <c r="B4169" s="382"/>
      <c r="C4169" s="377"/>
      <c r="D4169" s="6" t="str">
        <f>_xlfn.XLOOKUP(B4169,Indices!$A$2:$A$2676,Indices!$B$2:$B$2676,"")</f>
        <v/>
      </c>
    </row>
    <row r="4170" spans="1:4" x14ac:dyDescent="0.25">
      <c r="A4170" s="379"/>
      <c r="B4170" s="382"/>
      <c r="C4170" s="377"/>
      <c r="D4170" s="6" t="str">
        <f>_xlfn.XLOOKUP(B4170,Indices!$A$2:$A$2676,Indices!$B$2:$B$2676,"")</f>
        <v/>
      </c>
    </row>
    <row r="4171" spans="1:4" x14ac:dyDescent="0.25">
      <c r="A4171" s="379"/>
      <c r="B4171" s="382"/>
      <c r="C4171" s="377"/>
      <c r="D4171" s="6" t="str">
        <f>_xlfn.XLOOKUP(B4171,Indices!$A$2:$A$2676,Indices!$B$2:$B$2676,"")</f>
        <v/>
      </c>
    </row>
    <row r="4172" spans="1:4" x14ac:dyDescent="0.25">
      <c r="A4172" s="379"/>
      <c r="B4172" s="382"/>
      <c r="C4172" s="377"/>
      <c r="D4172" s="6" t="str">
        <f>_xlfn.XLOOKUP(B4172,Indices!$A$2:$A$2676,Indices!$B$2:$B$2676,"")</f>
        <v/>
      </c>
    </row>
    <row r="4173" spans="1:4" x14ac:dyDescent="0.25">
      <c r="A4173" s="379"/>
      <c r="B4173" s="382"/>
      <c r="C4173" s="377"/>
      <c r="D4173" s="6" t="str">
        <f>_xlfn.XLOOKUP(B4173,Indices!$A$2:$A$2676,Indices!$B$2:$B$2676,"")</f>
        <v/>
      </c>
    </row>
    <row r="4174" spans="1:4" x14ac:dyDescent="0.25">
      <c r="A4174" s="379"/>
      <c r="B4174" s="382"/>
      <c r="C4174" s="377"/>
      <c r="D4174" s="6" t="str">
        <f>_xlfn.XLOOKUP(B4174,Indices!$A$2:$A$2676,Indices!$B$2:$B$2676,"")</f>
        <v/>
      </c>
    </row>
    <row r="4175" spans="1:4" x14ac:dyDescent="0.25">
      <c r="A4175" s="379"/>
      <c r="B4175" s="382"/>
      <c r="C4175" s="377"/>
      <c r="D4175" s="6" t="str">
        <f>_xlfn.XLOOKUP(B4175,Indices!$A$2:$A$2676,Indices!$B$2:$B$2676,"")</f>
        <v/>
      </c>
    </row>
    <row r="4176" spans="1:4" x14ac:dyDescent="0.25">
      <c r="A4176" s="379"/>
      <c r="B4176" s="382"/>
      <c r="C4176" s="377"/>
      <c r="D4176" s="6" t="str">
        <f>_xlfn.XLOOKUP(B4176,Indices!$A$2:$A$2676,Indices!$B$2:$B$2676,"")</f>
        <v/>
      </c>
    </row>
    <row r="4177" spans="1:4" x14ac:dyDescent="0.25">
      <c r="A4177" s="379"/>
      <c r="B4177" s="382"/>
      <c r="C4177" s="377"/>
      <c r="D4177" s="6" t="str">
        <f>_xlfn.XLOOKUP(B4177,Indices!$A$2:$A$2676,Indices!$B$2:$B$2676,"")</f>
        <v/>
      </c>
    </row>
    <row r="4178" spans="1:4" x14ac:dyDescent="0.25">
      <c r="A4178" s="379"/>
      <c r="B4178" s="382"/>
      <c r="C4178" s="377"/>
      <c r="D4178" s="6" t="str">
        <f>_xlfn.XLOOKUP(B4178,Indices!$A$2:$A$2676,Indices!$B$2:$B$2676,"")</f>
        <v/>
      </c>
    </row>
    <row r="4179" spans="1:4" x14ac:dyDescent="0.25">
      <c r="A4179" s="379"/>
      <c r="B4179" s="382"/>
      <c r="C4179" s="377"/>
      <c r="D4179" s="6" t="str">
        <f>_xlfn.XLOOKUP(B4179,Indices!$A$2:$A$2676,Indices!$B$2:$B$2676,"")</f>
        <v/>
      </c>
    </row>
    <row r="4180" spans="1:4" x14ac:dyDescent="0.25">
      <c r="A4180" s="379"/>
      <c r="B4180" s="382"/>
      <c r="C4180" s="377"/>
      <c r="D4180" s="6" t="str">
        <f>_xlfn.XLOOKUP(B4180,Indices!$A$2:$A$2676,Indices!$B$2:$B$2676,"")</f>
        <v/>
      </c>
    </row>
    <row r="4181" spans="1:4" x14ac:dyDescent="0.25">
      <c r="A4181" s="379"/>
      <c r="B4181" s="382"/>
      <c r="C4181" s="377"/>
      <c r="D4181" s="6" t="str">
        <f>_xlfn.XLOOKUP(B4181,Indices!$A$2:$A$2676,Indices!$B$2:$B$2676,"")</f>
        <v/>
      </c>
    </row>
    <row r="4182" spans="1:4" x14ac:dyDescent="0.25">
      <c r="A4182" s="379"/>
      <c r="B4182" s="382"/>
      <c r="C4182" s="377"/>
      <c r="D4182" s="6" t="str">
        <f>_xlfn.XLOOKUP(B4182,Indices!$A$2:$A$2676,Indices!$B$2:$B$2676,"")</f>
        <v/>
      </c>
    </row>
    <row r="4183" spans="1:4" x14ac:dyDescent="0.25">
      <c r="A4183" s="379"/>
      <c r="B4183" s="382"/>
      <c r="C4183" s="377"/>
      <c r="D4183" s="6" t="str">
        <f>_xlfn.XLOOKUP(B4183,Indices!$A$2:$A$2676,Indices!$B$2:$B$2676,"")</f>
        <v/>
      </c>
    </row>
    <row r="4184" spans="1:4" x14ac:dyDescent="0.25">
      <c r="A4184" s="379"/>
      <c r="B4184" s="382"/>
      <c r="C4184" s="377"/>
      <c r="D4184" s="6" t="str">
        <f>_xlfn.XLOOKUP(B4184,Indices!$A$2:$A$2676,Indices!$B$2:$B$2676,"")</f>
        <v/>
      </c>
    </row>
    <row r="4185" spans="1:4" x14ac:dyDescent="0.25">
      <c r="A4185" s="379"/>
      <c r="B4185" s="382"/>
      <c r="C4185" s="377"/>
      <c r="D4185" s="6" t="str">
        <f>_xlfn.XLOOKUP(B4185,Indices!$A$2:$A$2676,Indices!$B$2:$B$2676,"")</f>
        <v/>
      </c>
    </row>
    <row r="4186" spans="1:4" x14ac:dyDescent="0.25">
      <c r="A4186" s="379"/>
      <c r="B4186" s="382"/>
      <c r="C4186" s="377"/>
      <c r="D4186" s="6" t="str">
        <f>_xlfn.XLOOKUP(B4186,Indices!$A$2:$A$2676,Indices!$B$2:$B$2676,"")</f>
        <v/>
      </c>
    </row>
    <row r="4187" spans="1:4" x14ac:dyDescent="0.25">
      <c r="A4187" s="379"/>
      <c r="B4187" s="382"/>
      <c r="C4187" s="377"/>
      <c r="D4187" s="6" t="str">
        <f>_xlfn.XLOOKUP(B4187,Indices!$A$2:$A$2676,Indices!$B$2:$B$2676,"")</f>
        <v/>
      </c>
    </row>
    <row r="4188" spans="1:4" x14ac:dyDescent="0.25">
      <c r="A4188" s="379"/>
      <c r="B4188" s="382"/>
      <c r="C4188" s="377"/>
      <c r="D4188" s="6" t="str">
        <f>_xlfn.XLOOKUP(B4188,Indices!$A$2:$A$2676,Indices!$B$2:$B$2676,"")</f>
        <v/>
      </c>
    </row>
    <row r="4189" spans="1:4" x14ac:dyDescent="0.25">
      <c r="A4189" s="379"/>
      <c r="B4189" s="382"/>
      <c r="C4189" s="377"/>
      <c r="D4189" s="6" t="str">
        <f>_xlfn.XLOOKUP(B4189,Indices!$A$2:$A$2676,Indices!$B$2:$B$2676,"")</f>
        <v/>
      </c>
    </row>
    <row r="4190" spans="1:4" x14ac:dyDescent="0.25">
      <c r="A4190" s="379"/>
      <c r="B4190" s="382"/>
      <c r="C4190" s="377"/>
      <c r="D4190" s="6" t="str">
        <f>_xlfn.XLOOKUP(B4190,Indices!$A$2:$A$2676,Indices!$B$2:$B$2676,"")</f>
        <v/>
      </c>
    </row>
    <row r="4191" spans="1:4" x14ac:dyDescent="0.25">
      <c r="A4191" s="379"/>
      <c r="B4191" s="382"/>
      <c r="C4191" s="377"/>
      <c r="D4191" s="6" t="str">
        <f>_xlfn.XLOOKUP(B4191,Indices!$A$2:$A$2676,Indices!$B$2:$B$2676,"")</f>
        <v/>
      </c>
    </row>
    <row r="4192" spans="1:4" x14ac:dyDescent="0.25">
      <c r="A4192" s="379"/>
      <c r="B4192" s="382"/>
      <c r="C4192" s="377"/>
      <c r="D4192" s="6" t="str">
        <f>_xlfn.XLOOKUP(B4192,Indices!$A$2:$A$2676,Indices!$B$2:$B$2676,"")</f>
        <v/>
      </c>
    </row>
    <row r="4193" spans="1:4" x14ac:dyDescent="0.25">
      <c r="A4193" s="379"/>
      <c r="B4193" s="382"/>
      <c r="C4193" s="377"/>
      <c r="D4193" s="6" t="str">
        <f>_xlfn.XLOOKUP(B4193,Indices!$A$2:$A$2676,Indices!$B$2:$B$2676,"")</f>
        <v/>
      </c>
    </row>
    <row r="4194" spans="1:4" x14ac:dyDescent="0.25">
      <c r="A4194" s="379"/>
      <c r="B4194" s="382"/>
      <c r="C4194" s="377"/>
      <c r="D4194" s="6" t="str">
        <f>_xlfn.XLOOKUP(B4194,Indices!$A$2:$A$2676,Indices!$B$2:$B$2676,"")</f>
        <v/>
      </c>
    </row>
    <row r="4195" spans="1:4" x14ac:dyDescent="0.25">
      <c r="A4195" s="379"/>
      <c r="B4195" s="382"/>
      <c r="C4195" s="377"/>
      <c r="D4195" s="6" t="str">
        <f>_xlfn.XLOOKUP(B4195,Indices!$A$2:$A$2676,Indices!$B$2:$B$2676,"")</f>
        <v/>
      </c>
    </row>
    <row r="4196" spans="1:4" x14ac:dyDescent="0.25">
      <c r="A4196" s="379"/>
      <c r="B4196" s="382"/>
      <c r="C4196" s="377"/>
      <c r="D4196" s="6" t="str">
        <f>_xlfn.XLOOKUP(B4196,Indices!$A$2:$A$2676,Indices!$B$2:$B$2676,"")</f>
        <v/>
      </c>
    </row>
    <row r="4197" spans="1:4" x14ac:dyDescent="0.25">
      <c r="A4197" s="379"/>
      <c r="B4197" s="382"/>
      <c r="C4197" s="377"/>
      <c r="D4197" s="6" t="str">
        <f>_xlfn.XLOOKUP(B4197,Indices!$A$2:$A$2676,Indices!$B$2:$B$2676,"")</f>
        <v/>
      </c>
    </row>
    <row r="4198" spans="1:4" x14ac:dyDescent="0.25">
      <c r="A4198" s="379"/>
      <c r="B4198" s="382"/>
      <c r="C4198" s="377"/>
      <c r="D4198" s="6" t="str">
        <f>_xlfn.XLOOKUP(B4198,Indices!$A$2:$A$2676,Indices!$B$2:$B$2676,"")</f>
        <v/>
      </c>
    </row>
    <row r="4199" spans="1:4" x14ac:dyDescent="0.25">
      <c r="A4199" s="379"/>
      <c r="B4199" s="382"/>
      <c r="C4199" s="377"/>
      <c r="D4199" s="6" t="str">
        <f>_xlfn.XLOOKUP(B4199,Indices!$A$2:$A$2676,Indices!$B$2:$B$2676,"")</f>
        <v/>
      </c>
    </row>
    <row r="4200" spans="1:4" x14ac:dyDescent="0.25">
      <c r="A4200" s="379"/>
      <c r="B4200" s="382"/>
      <c r="C4200" s="377"/>
      <c r="D4200" s="6" t="str">
        <f>_xlfn.XLOOKUP(B4200,Indices!$A$2:$A$2676,Indices!$B$2:$B$2676,"")</f>
        <v/>
      </c>
    </row>
    <row r="4201" spans="1:4" x14ac:dyDescent="0.25">
      <c r="A4201" s="379"/>
      <c r="B4201" s="382"/>
      <c r="C4201" s="377"/>
      <c r="D4201" s="6" t="str">
        <f>_xlfn.XLOOKUP(B4201,Indices!$A$2:$A$2676,Indices!$B$2:$B$2676,"")</f>
        <v/>
      </c>
    </row>
    <row r="4202" spans="1:4" x14ac:dyDescent="0.25">
      <c r="A4202" s="379"/>
      <c r="B4202" s="382"/>
      <c r="C4202" s="377"/>
      <c r="D4202" s="6" t="str">
        <f>_xlfn.XLOOKUP(B4202,Indices!$A$2:$A$2676,Indices!$B$2:$B$2676,"")</f>
        <v/>
      </c>
    </row>
    <row r="4203" spans="1:4" x14ac:dyDescent="0.25">
      <c r="A4203" s="379"/>
      <c r="B4203" s="382"/>
      <c r="C4203" s="377"/>
      <c r="D4203" s="6" t="str">
        <f>_xlfn.XLOOKUP(B4203,Indices!$A$2:$A$2676,Indices!$B$2:$B$2676,"")</f>
        <v/>
      </c>
    </row>
    <row r="4204" spans="1:4" x14ac:dyDescent="0.25">
      <c r="A4204" s="379"/>
      <c r="B4204" s="382"/>
      <c r="C4204" s="377"/>
      <c r="D4204" s="6" t="str">
        <f>_xlfn.XLOOKUP(B4204,Indices!$A$2:$A$2676,Indices!$B$2:$B$2676,"")</f>
        <v/>
      </c>
    </row>
    <row r="4205" spans="1:4" x14ac:dyDescent="0.25">
      <c r="A4205" s="379"/>
      <c r="B4205" s="382"/>
      <c r="C4205" s="377"/>
      <c r="D4205" s="6" t="str">
        <f>_xlfn.XLOOKUP(B4205,Indices!$A$2:$A$2676,Indices!$B$2:$B$2676,"")</f>
        <v/>
      </c>
    </row>
    <row r="4206" spans="1:4" x14ac:dyDescent="0.25">
      <c r="A4206" s="379"/>
      <c r="B4206" s="382"/>
      <c r="C4206" s="377"/>
      <c r="D4206" s="6" t="str">
        <f>_xlfn.XLOOKUP(B4206,Indices!$A$2:$A$2676,Indices!$B$2:$B$2676,"")</f>
        <v/>
      </c>
    </row>
    <row r="4207" spans="1:4" x14ac:dyDescent="0.25">
      <c r="A4207" s="379"/>
      <c r="B4207" s="382"/>
      <c r="C4207" s="377"/>
      <c r="D4207" s="6" t="str">
        <f>_xlfn.XLOOKUP(B4207,Indices!$A$2:$A$2676,Indices!$B$2:$B$2676,"")</f>
        <v/>
      </c>
    </row>
    <row r="4208" spans="1:4" x14ac:dyDescent="0.25">
      <c r="A4208" s="379"/>
      <c r="B4208" s="382"/>
      <c r="C4208" s="377"/>
      <c r="D4208" s="6" t="str">
        <f>_xlfn.XLOOKUP(B4208,Indices!$A$2:$A$2676,Indices!$B$2:$B$2676,"")</f>
        <v/>
      </c>
    </row>
    <row r="4209" spans="1:4" x14ac:dyDescent="0.25">
      <c r="A4209" s="379"/>
      <c r="B4209" s="382"/>
      <c r="C4209" s="377"/>
      <c r="D4209" s="6" t="str">
        <f>_xlfn.XLOOKUP(B4209,Indices!$A$2:$A$2676,Indices!$B$2:$B$2676,"")</f>
        <v/>
      </c>
    </row>
    <row r="4210" spans="1:4" x14ac:dyDescent="0.25">
      <c r="A4210" s="379"/>
      <c r="B4210" s="382"/>
      <c r="C4210" s="377"/>
      <c r="D4210" s="6" t="str">
        <f>_xlfn.XLOOKUP(B4210,Indices!$A$2:$A$2676,Indices!$B$2:$B$2676,"")</f>
        <v/>
      </c>
    </row>
    <row r="4211" spans="1:4" x14ac:dyDescent="0.25">
      <c r="A4211" s="379"/>
      <c r="B4211" s="382"/>
      <c r="C4211" s="377"/>
      <c r="D4211" s="6" t="str">
        <f>_xlfn.XLOOKUP(B4211,Indices!$A$2:$A$2676,Indices!$B$2:$B$2676,"")</f>
        <v/>
      </c>
    </row>
    <row r="4212" spans="1:4" x14ac:dyDescent="0.25">
      <c r="A4212" s="379"/>
      <c r="B4212" s="382"/>
      <c r="C4212" s="377"/>
      <c r="D4212" s="6" t="str">
        <f>_xlfn.XLOOKUP(B4212,Indices!$A$2:$A$2676,Indices!$B$2:$B$2676,"")</f>
        <v/>
      </c>
    </row>
    <row r="4213" spans="1:4" x14ac:dyDescent="0.25">
      <c r="A4213" s="379"/>
      <c r="B4213" s="382"/>
      <c r="C4213" s="377"/>
      <c r="D4213" s="6" t="str">
        <f>_xlfn.XLOOKUP(B4213,Indices!$A$2:$A$2676,Indices!$B$2:$B$2676,"")</f>
        <v/>
      </c>
    </row>
    <row r="4214" spans="1:4" x14ac:dyDescent="0.25">
      <c r="A4214" s="379"/>
      <c r="B4214" s="382"/>
      <c r="C4214" s="377"/>
      <c r="D4214" s="6" t="str">
        <f>_xlfn.XLOOKUP(B4214,Indices!$A$2:$A$2676,Indices!$B$2:$B$2676,"")</f>
        <v/>
      </c>
    </row>
    <row r="4215" spans="1:4" x14ac:dyDescent="0.25">
      <c r="A4215" s="379"/>
      <c r="B4215" s="382"/>
      <c r="C4215" s="377"/>
      <c r="D4215" s="6" t="str">
        <f>_xlfn.XLOOKUP(B4215,Indices!$A$2:$A$2676,Indices!$B$2:$B$2676,"")</f>
        <v/>
      </c>
    </row>
    <row r="4216" spans="1:4" x14ac:dyDescent="0.25">
      <c r="A4216" s="379"/>
      <c r="B4216" s="382"/>
      <c r="C4216" s="377"/>
      <c r="D4216" s="6" t="str">
        <f>_xlfn.XLOOKUP(B4216,Indices!$A$2:$A$2676,Indices!$B$2:$B$2676,"")</f>
        <v/>
      </c>
    </row>
    <row r="4217" spans="1:4" x14ac:dyDescent="0.25">
      <c r="A4217" s="379"/>
      <c r="B4217" s="382"/>
      <c r="C4217" s="377"/>
      <c r="D4217" s="6" t="str">
        <f>_xlfn.XLOOKUP(B4217,Indices!$A$2:$A$2676,Indices!$B$2:$B$2676,"")</f>
        <v/>
      </c>
    </row>
    <row r="4218" spans="1:4" x14ac:dyDescent="0.25">
      <c r="A4218" s="379"/>
      <c r="B4218" s="382"/>
      <c r="C4218" s="377"/>
      <c r="D4218" s="6" t="str">
        <f>_xlfn.XLOOKUP(B4218,Indices!$A$2:$A$2676,Indices!$B$2:$B$2676,"")</f>
        <v/>
      </c>
    </row>
    <row r="4219" spans="1:4" x14ac:dyDescent="0.25">
      <c r="A4219" s="379"/>
      <c r="B4219" s="382"/>
      <c r="C4219" s="377"/>
      <c r="D4219" s="6" t="str">
        <f>_xlfn.XLOOKUP(B4219,Indices!$A$2:$A$2676,Indices!$B$2:$B$2676,"")</f>
        <v/>
      </c>
    </row>
    <row r="4220" spans="1:4" x14ac:dyDescent="0.25">
      <c r="A4220" s="379"/>
      <c r="B4220" s="382"/>
      <c r="C4220" s="377"/>
      <c r="D4220" s="6" t="str">
        <f>_xlfn.XLOOKUP(B4220,Indices!$A$2:$A$2676,Indices!$B$2:$B$2676,"")</f>
        <v/>
      </c>
    </row>
    <row r="4221" spans="1:4" x14ac:dyDescent="0.25">
      <c r="A4221" s="379"/>
      <c r="B4221" s="382"/>
      <c r="C4221" s="377"/>
      <c r="D4221" s="6" t="str">
        <f>_xlfn.XLOOKUP(B4221,Indices!$A$2:$A$2676,Indices!$B$2:$B$2676,"")</f>
        <v/>
      </c>
    </row>
    <row r="4222" spans="1:4" x14ac:dyDescent="0.25">
      <c r="A4222" s="379"/>
      <c r="B4222" s="382"/>
      <c r="C4222" s="377"/>
      <c r="D4222" s="6" t="str">
        <f>_xlfn.XLOOKUP(B4222,Indices!$A$2:$A$2676,Indices!$B$2:$B$2676,"")</f>
        <v/>
      </c>
    </row>
    <row r="4223" spans="1:4" x14ac:dyDescent="0.25">
      <c r="A4223" s="379"/>
      <c r="B4223" s="382"/>
      <c r="C4223" s="377"/>
      <c r="D4223" s="6" t="str">
        <f>_xlfn.XLOOKUP(B4223,Indices!$A$2:$A$2676,Indices!$B$2:$B$2676,"")</f>
        <v/>
      </c>
    </row>
    <row r="4224" spans="1:4" x14ac:dyDescent="0.25">
      <c r="A4224" s="379"/>
      <c r="B4224" s="382"/>
      <c r="C4224" s="377"/>
      <c r="D4224" s="6" t="str">
        <f>_xlfn.XLOOKUP(B4224,Indices!$A$2:$A$2676,Indices!$B$2:$B$2676,"")</f>
        <v/>
      </c>
    </row>
    <row r="4225" spans="1:4" x14ac:dyDescent="0.25">
      <c r="A4225" s="379"/>
      <c r="B4225" s="382"/>
      <c r="C4225" s="377"/>
      <c r="D4225" s="6" t="str">
        <f>_xlfn.XLOOKUP(B4225,Indices!$A$2:$A$2676,Indices!$B$2:$B$2676,"")</f>
        <v/>
      </c>
    </row>
    <row r="4226" spans="1:4" x14ac:dyDescent="0.25">
      <c r="A4226" s="379"/>
      <c r="B4226" s="382"/>
      <c r="C4226" s="377"/>
      <c r="D4226" s="6" t="str">
        <f>_xlfn.XLOOKUP(B4226,Indices!$A$2:$A$2676,Indices!$B$2:$B$2676,"")</f>
        <v/>
      </c>
    </row>
    <row r="4227" spans="1:4" x14ac:dyDescent="0.25">
      <c r="A4227" s="379"/>
      <c r="B4227" s="382"/>
      <c r="C4227" s="377"/>
      <c r="D4227" s="6" t="str">
        <f>_xlfn.XLOOKUP(B4227,Indices!$A$2:$A$2676,Indices!$B$2:$B$2676,"")</f>
        <v/>
      </c>
    </row>
    <row r="4228" spans="1:4" x14ac:dyDescent="0.25">
      <c r="A4228" s="379"/>
      <c r="B4228" s="382"/>
      <c r="C4228" s="377"/>
      <c r="D4228" s="6" t="str">
        <f>_xlfn.XLOOKUP(B4228,Indices!$A$2:$A$2676,Indices!$B$2:$B$2676,"")</f>
        <v/>
      </c>
    </row>
    <row r="4229" spans="1:4" x14ac:dyDescent="0.25">
      <c r="A4229" s="379"/>
      <c r="B4229" s="382"/>
      <c r="C4229" s="377"/>
      <c r="D4229" s="6" t="str">
        <f>_xlfn.XLOOKUP(B4229,Indices!$A$2:$A$2676,Indices!$B$2:$B$2676,"")</f>
        <v/>
      </c>
    </row>
    <row r="4230" spans="1:4" x14ac:dyDescent="0.25">
      <c r="A4230" s="379"/>
      <c r="B4230" s="382"/>
      <c r="C4230" s="377"/>
      <c r="D4230" s="6" t="str">
        <f>_xlfn.XLOOKUP(B4230,Indices!$A$2:$A$2676,Indices!$B$2:$B$2676,"")</f>
        <v/>
      </c>
    </row>
    <row r="4231" spans="1:4" x14ac:dyDescent="0.25">
      <c r="A4231" s="379"/>
      <c r="B4231" s="382"/>
      <c r="C4231" s="377"/>
      <c r="D4231" s="6" t="str">
        <f>_xlfn.XLOOKUP(B4231,Indices!$A$2:$A$2676,Indices!$B$2:$B$2676,"")</f>
        <v/>
      </c>
    </row>
    <row r="4232" spans="1:4" x14ac:dyDescent="0.25">
      <c r="A4232" s="379"/>
      <c r="B4232" s="382"/>
      <c r="C4232" s="377"/>
      <c r="D4232" s="6" t="str">
        <f>_xlfn.XLOOKUP(B4232,Indices!$A$2:$A$2676,Indices!$B$2:$B$2676,"")</f>
        <v/>
      </c>
    </row>
    <row r="4233" spans="1:4" x14ac:dyDescent="0.25">
      <c r="A4233" s="379"/>
      <c r="B4233" s="382"/>
      <c r="C4233" s="377"/>
      <c r="D4233" s="6" t="str">
        <f>_xlfn.XLOOKUP(B4233,Indices!$A$2:$A$2676,Indices!$B$2:$B$2676,"")</f>
        <v/>
      </c>
    </row>
    <row r="4234" spans="1:4" x14ac:dyDescent="0.25">
      <c r="A4234" s="379"/>
      <c r="B4234" s="382"/>
      <c r="C4234" s="377"/>
      <c r="D4234" s="6" t="str">
        <f>_xlfn.XLOOKUP(B4234,Indices!$A$2:$A$2676,Indices!$B$2:$B$2676,"")</f>
        <v/>
      </c>
    </row>
    <row r="4235" spans="1:4" x14ac:dyDescent="0.25">
      <c r="A4235" s="379"/>
      <c r="B4235" s="382"/>
      <c r="C4235" s="377"/>
      <c r="D4235" s="6" t="str">
        <f>_xlfn.XLOOKUP(B4235,Indices!$A$2:$A$2676,Indices!$B$2:$B$2676,"")</f>
        <v/>
      </c>
    </row>
    <row r="4236" spans="1:4" x14ac:dyDescent="0.25">
      <c r="A4236" s="379"/>
      <c r="B4236" s="382"/>
      <c r="C4236" s="377"/>
      <c r="D4236" s="6" t="str">
        <f>_xlfn.XLOOKUP(B4236,Indices!$A$2:$A$2676,Indices!$B$2:$B$2676,"")</f>
        <v/>
      </c>
    </row>
    <row r="4237" spans="1:4" x14ac:dyDescent="0.25">
      <c r="A4237" s="379"/>
      <c r="B4237" s="382"/>
      <c r="C4237" s="377"/>
      <c r="D4237" s="6" t="str">
        <f>_xlfn.XLOOKUP(B4237,Indices!$A$2:$A$2676,Indices!$B$2:$B$2676,"")</f>
        <v/>
      </c>
    </row>
    <row r="4238" spans="1:4" x14ac:dyDescent="0.25">
      <c r="A4238" s="379"/>
      <c r="B4238" s="382"/>
      <c r="C4238" s="377"/>
      <c r="D4238" s="6" t="str">
        <f>_xlfn.XLOOKUP(B4238,Indices!$A$2:$A$2676,Indices!$B$2:$B$2676,"")</f>
        <v/>
      </c>
    </row>
    <row r="4239" spans="1:4" x14ac:dyDescent="0.25">
      <c r="A4239" s="379"/>
      <c r="B4239" s="382"/>
      <c r="C4239" s="377"/>
      <c r="D4239" s="6" t="str">
        <f>_xlfn.XLOOKUP(B4239,Indices!$A$2:$A$2676,Indices!$B$2:$B$2676,"")</f>
        <v/>
      </c>
    </row>
    <row r="4240" spans="1:4" x14ac:dyDescent="0.25">
      <c r="A4240" s="379"/>
      <c r="B4240" s="382"/>
      <c r="C4240" s="377"/>
      <c r="D4240" s="6" t="str">
        <f>_xlfn.XLOOKUP(B4240,Indices!$A$2:$A$2676,Indices!$B$2:$B$2676,"")</f>
        <v/>
      </c>
    </row>
    <row r="4241" spans="1:4" x14ac:dyDescent="0.25">
      <c r="A4241" s="379"/>
      <c r="B4241" s="382"/>
      <c r="C4241" s="377"/>
      <c r="D4241" s="6" t="str">
        <f>_xlfn.XLOOKUP(B4241,Indices!$A$2:$A$2676,Indices!$B$2:$B$2676,"")</f>
        <v/>
      </c>
    </row>
    <row r="4242" spans="1:4" x14ac:dyDescent="0.25">
      <c r="A4242" s="379"/>
      <c r="B4242" s="382"/>
      <c r="C4242" s="377"/>
      <c r="D4242" s="6" t="str">
        <f>_xlfn.XLOOKUP(B4242,Indices!$A$2:$A$2676,Indices!$B$2:$B$2676,"")</f>
        <v/>
      </c>
    </row>
    <row r="4243" spans="1:4" x14ac:dyDescent="0.25">
      <c r="A4243" s="379"/>
      <c r="B4243" s="382"/>
      <c r="C4243" s="377"/>
      <c r="D4243" s="6" t="str">
        <f>_xlfn.XLOOKUP(B4243,Indices!$A$2:$A$2676,Indices!$B$2:$B$2676,"")</f>
        <v/>
      </c>
    </row>
    <row r="4244" spans="1:4" x14ac:dyDescent="0.25">
      <c r="A4244" s="379"/>
      <c r="B4244" s="382"/>
      <c r="C4244" s="377"/>
      <c r="D4244" s="6" t="str">
        <f>_xlfn.XLOOKUP(B4244,Indices!$A$2:$A$2676,Indices!$B$2:$B$2676,"")</f>
        <v/>
      </c>
    </row>
    <row r="4245" spans="1:4" x14ac:dyDescent="0.25">
      <c r="A4245" s="379"/>
      <c r="B4245" s="382"/>
      <c r="C4245" s="377"/>
      <c r="D4245" s="6" t="str">
        <f>_xlfn.XLOOKUP(B4245,Indices!$A$2:$A$2676,Indices!$B$2:$B$2676,"")</f>
        <v/>
      </c>
    </row>
    <row r="4246" spans="1:4" x14ac:dyDescent="0.25">
      <c r="A4246" s="379"/>
      <c r="B4246" s="382"/>
      <c r="C4246" s="377"/>
      <c r="D4246" s="6" t="str">
        <f>_xlfn.XLOOKUP(B4246,Indices!$A$2:$A$2676,Indices!$B$2:$B$2676,"")</f>
        <v/>
      </c>
    </row>
    <row r="4247" spans="1:4" x14ac:dyDescent="0.25">
      <c r="A4247" s="379"/>
      <c r="B4247" s="382"/>
      <c r="C4247" s="377"/>
      <c r="D4247" s="6" t="str">
        <f>_xlfn.XLOOKUP(B4247,Indices!$A$2:$A$2676,Indices!$B$2:$B$2676,"")</f>
        <v/>
      </c>
    </row>
    <row r="4248" spans="1:4" x14ac:dyDescent="0.25">
      <c r="A4248" s="379"/>
      <c r="B4248" s="382"/>
      <c r="C4248" s="377"/>
      <c r="D4248" s="6" t="str">
        <f>_xlfn.XLOOKUP(B4248,Indices!$A$2:$A$2676,Indices!$B$2:$B$2676,"")</f>
        <v/>
      </c>
    </row>
    <row r="4249" spans="1:4" x14ac:dyDescent="0.25">
      <c r="A4249" s="379"/>
      <c r="B4249" s="382"/>
      <c r="C4249" s="377"/>
      <c r="D4249" s="6" t="str">
        <f>_xlfn.XLOOKUP(B4249,Indices!$A$2:$A$2676,Indices!$B$2:$B$2676,"")</f>
        <v/>
      </c>
    </row>
    <row r="4250" spans="1:4" x14ac:dyDescent="0.25">
      <c r="A4250" s="379"/>
      <c r="B4250" s="382"/>
      <c r="C4250" s="377"/>
      <c r="D4250" s="6" t="str">
        <f>_xlfn.XLOOKUP(B4250,Indices!$A$2:$A$2676,Indices!$B$2:$B$2676,"")</f>
        <v/>
      </c>
    </row>
    <row r="4251" spans="1:4" x14ac:dyDescent="0.25">
      <c r="A4251" s="379"/>
      <c r="B4251" s="382"/>
      <c r="C4251" s="377"/>
      <c r="D4251" s="6" t="str">
        <f>_xlfn.XLOOKUP(B4251,Indices!$A$2:$A$2676,Indices!$B$2:$B$2676,"")</f>
        <v/>
      </c>
    </row>
    <row r="4252" spans="1:4" x14ac:dyDescent="0.25">
      <c r="A4252" s="379"/>
      <c r="B4252" s="382"/>
      <c r="C4252" s="377"/>
      <c r="D4252" s="6" t="str">
        <f>_xlfn.XLOOKUP(B4252,Indices!$A$2:$A$2676,Indices!$B$2:$B$2676,"")</f>
        <v/>
      </c>
    </row>
    <row r="4253" spans="1:4" x14ac:dyDescent="0.25">
      <c r="A4253" s="379"/>
      <c r="B4253" s="382"/>
      <c r="C4253" s="377"/>
      <c r="D4253" s="6" t="str">
        <f>_xlfn.XLOOKUP(B4253,Indices!$A$2:$A$2676,Indices!$B$2:$B$2676,"")</f>
        <v/>
      </c>
    </row>
    <row r="4254" spans="1:4" x14ac:dyDescent="0.25">
      <c r="A4254" s="379"/>
      <c r="B4254" s="382"/>
      <c r="C4254" s="377"/>
      <c r="D4254" s="6" t="str">
        <f>_xlfn.XLOOKUP(B4254,Indices!$A$2:$A$2676,Indices!$B$2:$B$2676,"")</f>
        <v/>
      </c>
    </row>
    <row r="4255" spans="1:4" x14ac:dyDescent="0.25">
      <c r="A4255" s="379"/>
      <c r="B4255" s="382"/>
      <c r="C4255" s="377"/>
      <c r="D4255" s="6" t="str">
        <f>_xlfn.XLOOKUP(B4255,Indices!$A$2:$A$2676,Indices!$B$2:$B$2676,"")</f>
        <v/>
      </c>
    </row>
    <row r="4256" spans="1:4" x14ac:dyDescent="0.25">
      <c r="A4256" s="379"/>
      <c r="B4256" s="382"/>
      <c r="C4256" s="377"/>
      <c r="D4256" s="6" t="str">
        <f>_xlfn.XLOOKUP(B4256,Indices!$A$2:$A$2676,Indices!$B$2:$B$2676,"")</f>
        <v/>
      </c>
    </row>
    <row r="4257" spans="1:4" x14ac:dyDescent="0.25">
      <c r="A4257" s="379"/>
      <c r="B4257" s="382"/>
      <c r="C4257" s="377"/>
      <c r="D4257" s="6" t="str">
        <f>_xlfn.XLOOKUP(B4257,Indices!$A$2:$A$2676,Indices!$B$2:$B$2676,"")</f>
        <v/>
      </c>
    </row>
    <row r="4258" spans="1:4" x14ac:dyDescent="0.25">
      <c r="A4258" s="379"/>
      <c r="B4258" s="382"/>
      <c r="C4258" s="377"/>
      <c r="D4258" s="6" t="str">
        <f>_xlfn.XLOOKUP(B4258,Indices!$A$2:$A$2676,Indices!$B$2:$B$2676,"")</f>
        <v/>
      </c>
    </row>
    <row r="4259" spans="1:4" x14ac:dyDescent="0.25">
      <c r="A4259" s="379"/>
      <c r="B4259" s="382"/>
      <c r="C4259" s="377"/>
      <c r="D4259" s="6" t="str">
        <f>_xlfn.XLOOKUP(B4259,Indices!$A$2:$A$2676,Indices!$B$2:$B$2676,"")</f>
        <v/>
      </c>
    </row>
    <row r="4260" spans="1:4" x14ac:dyDescent="0.25">
      <c r="A4260" s="379"/>
      <c r="B4260" s="382"/>
      <c r="C4260" s="377"/>
      <c r="D4260" s="6" t="str">
        <f>_xlfn.XLOOKUP(B4260,Indices!$A$2:$A$2676,Indices!$B$2:$B$2676,"")</f>
        <v/>
      </c>
    </row>
    <row r="4261" spans="1:4" x14ac:dyDescent="0.25">
      <c r="A4261" s="379"/>
      <c r="B4261" s="382"/>
      <c r="C4261" s="377"/>
      <c r="D4261" s="6" t="str">
        <f>_xlfn.XLOOKUP(B4261,Indices!$A$2:$A$2676,Indices!$B$2:$B$2676,"")</f>
        <v/>
      </c>
    </row>
    <row r="4262" spans="1:4" x14ac:dyDescent="0.25">
      <c r="A4262" s="379"/>
      <c r="B4262" s="382"/>
      <c r="C4262" s="377"/>
      <c r="D4262" s="6" t="str">
        <f>_xlfn.XLOOKUP(B4262,Indices!$A$2:$A$2676,Indices!$B$2:$B$2676,"")</f>
        <v/>
      </c>
    </row>
    <row r="4263" spans="1:4" x14ac:dyDescent="0.25">
      <c r="A4263" s="379"/>
      <c r="B4263" s="382"/>
      <c r="C4263" s="377"/>
      <c r="D4263" s="6" t="str">
        <f>_xlfn.XLOOKUP(B4263,Indices!$A$2:$A$2676,Indices!$B$2:$B$2676,"")</f>
        <v/>
      </c>
    </row>
    <row r="4264" spans="1:4" x14ac:dyDescent="0.25">
      <c r="A4264" s="379"/>
      <c r="B4264" s="382"/>
      <c r="C4264" s="377"/>
      <c r="D4264" s="6" t="str">
        <f>_xlfn.XLOOKUP(B4264,Indices!$A$2:$A$2676,Indices!$B$2:$B$2676,"")</f>
        <v/>
      </c>
    </row>
    <row r="4265" spans="1:4" x14ac:dyDescent="0.25">
      <c r="A4265" s="379"/>
      <c r="B4265" s="382"/>
      <c r="C4265" s="377"/>
      <c r="D4265" s="6" t="str">
        <f>_xlfn.XLOOKUP(B4265,Indices!$A$2:$A$2676,Indices!$B$2:$B$2676,"")</f>
        <v/>
      </c>
    </row>
    <row r="4266" spans="1:4" x14ac:dyDescent="0.25">
      <c r="A4266" s="379"/>
      <c r="B4266" s="382"/>
      <c r="C4266" s="377"/>
      <c r="D4266" s="6" t="str">
        <f>_xlfn.XLOOKUP(B4266,Indices!$A$2:$A$2676,Indices!$B$2:$B$2676,"")</f>
        <v/>
      </c>
    </row>
    <row r="4267" spans="1:4" x14ac:dyDescent="0.25">
      <c r="A4267" s="379"/>
      <c r="B4267" s="382"/>
      <c r="C4267" s="377"/>
      <c r="D4267" s="6" t="str">
        <f>_xlfn.XLOOKUP(B4267,Indices!$A$2:$A$2676,Indices!$B$2:$B$2676,"")</f>
        <v/>
      </c>
    </row>
    <row r="4268" spans="1:4" x14ac:dyDescent="0.25">
      <c r="A4268" s="379"/>
      <c r="B4268" s="382"/>
      <c r="C4268" s="377"/>
      <c r="D4268" s="6" t="str">
        <f>_xlfn.XLOOKUP(B4268,Indices!$A$2:$A$2676,Indices!$B$2:$B$2676,"")</f>
        <v/>
      </c>
    </row>
    <row r="4269" spans="1:4" x14ac:dyDescent="0.25">
      <c r="A4269" s="379"/>
      <c r="B4269" s="382"/>
      <c r="C4269" s="377"/>
      <c r="D4269" s="6" t="str">
        <f>_xlfn.XLOOKUP(B4269,Indices!$A$2:$A$2676,Indices!$B$2:$B$2676,"")</f>
        <v/>
      </c>
    </row>
    <row r="4270" spans="1:4" x14ac:dyDescent="0.25">
      <c r="A4270" s="379"/>
      <c r="B4270" s="382"/>
      <c r="C4270" s="377"/>
      <c r="D4270" s="6" t="str">
        <f>_xlfn.XLOOKUP(B4270,Indices!$A$2:$A$2676,Indices!$B$2:$B$2676,"")</f>
        <v/>
      </c>
    </row>
    <row r="4271" spans="1:4" x14ac:dyDescent="0.25">
      <c r="A4271" s="379"/>
      <c r="B4271" s="382"/>
      <c r="C4271" s="377"/>
      <c r="D4271" s="6" t="str">
        <f>_xlfn.XLOOKUP(B4271,Indices!$A$2:$A$2676,Indices!$B$2:$B$2676,"")</f>
        <v/>
      </c>
    </row>
    <row r="4272" spans="1:4" x14ac:dyDescent="0.25">
      <c r="A4272" s="379"/>
      <c r="B4272" s="382"/>
      <c r="C4272" s="377"/>
      <c r="D4272" s="6" t="str">
        <f>_xlfn.XLOOKUP(B4272,Indices!$A$2:$A$2676,Indices!$B$2:$B$2676,"")</f>
        <v/>
      </c>
    </row>
    <row r="4273" spans="1:4" x14ac:dyDescent="0.25">
      <c r="A4273" s="379"/>
      <c r="B4273" s="382"/>
      <c r="C4273" s="377"/>
      <c r="D4273" s="6" t="str">
        <f>_xlfn.XLOOKUP(B4273,Indices!$A$2:$A$2676,Indices!$B$2:$B$2676,"")</f>
        <v/>
      </c>
    </row>
    <row r="4274" spans="1:4" x14ac:dyDescent="0.25">
      <c r="A4274" s="379"/>
      <c r="B4274" s="382"/>
      <c r="C4274" s="377"/>
      <c r="D4274" s="6" t="str">
        <f>_xlfn.XLOOKUP(B4274,Indices!$A$2:$A$2676,Indices!$B$2:$B$2676,"")</f>
        <v/>
      </c>
    </row>
    <row r="4275" spans="1:4" x14ac:dyDescent="0.25">
      <c r="A4275" s="379"/>
      <c r="B4275" s="382"/>
      <c r="C4275" s="377"/>
      <c r="D4275" s="6" t="str">
        <f>_xlfn.XLOOKUP(B4275,Indices!$A$2:$A$2676,Indices!$B$2:$B$2676,"")</f>
        <v/>
      </c>
    </row>
    <row r="4276" spans="1:4" x14ac:dyDescent="0.25">
      <c r="A4276" s="379"/>
      <c r="B4276" s="382"/>
      <c r="C4276" s="377"/>
      <c r="D4276" s="6" t="str">
        <f>_xlfn.XLOOKUP(B4276,Indices!$A$2:$A$2676,Indices!$B$2:$B$2676,"")</f>
        <v/>
      </c>
    </row>
    <row r="4277" spans="1:4" x14ac:dyDescent="0.25">
      <c r="A4277" s="379"/>
      <c r="B4277" s="382"/>
      <c r="C4277" s="377"/>
      <c r="D4277" s="6" t="str">
        <f>_xlfn.XLOOKUP(B4277,Indices!$A$2:$A$2676,Indices!$B$2:$B$2676,"")</f>
        <v/>
      </c>
    </row>
    <row r="4278" spans="1:4" x14ac:dyDescent="0.25">
      <c r="A4278" s="379"/>
      <c r="B4278" s="382"/>
      <c r="C4278" s="377"/>
      <c r="D4278" s="6" t="str">
        <f>_xlfn.XLOOKUP(B4278,Indices!$A$2:$A$2676,Indices!$B$2:$B$2676,"")</f>
        <v/>
      </c>
    </row>
    <row r="4279" spans="1:4" x14ac:dyDescent="0.25">
      <c r="A4279" s="379"/>
      <c r="B4279" s="382"/>
      <c r="C4279" s="377"/>
      <c r="D4279" s="6" t="str">
        <f>_xlfn.XLOOKUP(B4279,Indices!$A$2:$A$2676,Indices!$B$2:$B$2676,"")</f>
        <v/>
      </c>
    </row>
    <row r="4280" spans="1:4" x14ac:dyDescent="0.25">
      <c r="A4280" s="379"/>
      <c r="B4280" s="382"/>
      <c r="C4280" s="377"/>
      <c r="D4280" s="6" t="str">
        <f>_xlfn.XLOOKUP(B4280,Indices!$A$2:$A$2676,Indices!$B$2:$B$2676,"")</f>
        <v/>
      </c>
    </row>
    <row r="4281" spans="1:4" x14ac:dyDescent="0.25">
      <c r="A4281" s="379"/>
      <c r="B4281" s="382"/>
      <c r="C4281" s="377"/>
      <c r="D4281" s="6" t="str">
        <f>_xlfn.XLOOKUP(B4281,Indices!$A$2:$A$2676,Indices!$B$2:$B$2676,"")</f>
        <v/>
      </c>
    </row>
    <row r="4282" spans="1:4" x14ac:dyDescent="0.25">
      <c r="A4282" s="379"/>
      <c r="B4282" s="382"/>
      <c r="C4282" s="377"/>
      <c r="D4282" s="6" t="str">
        <f>_xlfn.XLOOKUP(B4282,Indices!$A$2:$A$2676,Indices!$B$2:$B$2676,"")</f>
        <v/>
      </c>
    </row>
    <row r="4283" spans="1:4" x14ac:dyDescent="0.25">
      <c r="A4283" s="379"/>
      <c r="B4283" s="382"/>
      <c r="C4283" s="377"/>
      <c r="D4283" s="6" t="str">
        <f>_xlfn.XLOOKUP(B4283,Indices!$A$2:$A$2676,Indices!$B$2:$B$2676,"")</f>
        <v/>
      </c>
    </row>
    <row r="4284" spans="1:4" x14ac:dyDescent="0.25">
      <c r="A4284" s="379"/>
      <c r="B4284" s="382"/>
      <c r="C4284" s="377"/>
      <c r="D4284" s="6" t="str">
        <f>_xlfn.XLOOKUP(B4284,Indices!$A$2:$A$2676,Indices!$B$2:$B$2676,"")</f>
        <v/>
      </c>
    </row>
    <row r="4285" spans="1:4" x14ac:dyDescent="0.25">
      <c r="A4285" s="379"/>
      <c r="B4285" s="382"/>
      <c r="C4285" s="377"/>
      <c r="D4285" s="6" t="str">
        <f>_xlfn.XLOOKUP(B4285,Indices!$A$2:$A$2676,Indices!$B$2:$B$2676,"")</f>
        <v/>
      </c>
    </row>
    <row r="4286" spans="1:4" x14ac:dyDescent="0.25">
      <c r="A4286" s="379"/>
      <c r="B4286" s="382"/>
      <c r="C4286" s="377"/>
      <c r="D4286" s="6" t="str">
        <f>_xlfn.XLOOKUP(B4286,Indices!$A$2:$A$2676,Indices!$B$2:$B$2676,"")</f>
        <v/>
      </c>
    </row>
    <row r="4287" spans="1:4" x14ac:dyDescent="0.25">
      <c r="A4287" s="379"/>
      <c r="B4287" s="382"/>
      <c r="C4287" s="377"/>
      <c r="D4287" s="6" t="str">
        <f>_xlfn.XLOOKUP(B4287,Indices!$A$2:$A$2676,Indices!$B$2:$B$2676,"")</f>
        <v/>
      </c>
    </row>
    <row r="4288" spans="1:4" x14ac:dyDescent="0.25">
      <c r="A4288" s="379"/>
      <c r="B4288" s="382"/>
      <c r="C4288" s="377"/>
      <c r="D4288" s="6" t="str">
        <f>_xlfn.XLOOKUP(B4288,Indices!$A$2:$A$2676,Indices!$B$2:$B$2676,"")</f>
        <v/>
      </c>
    </row>
    <row r="4289" spans="1:4" x14ac:dyDescent="0.25">
      <c r="A4289" s="379"/>
      <c r="B4289" s="382"/>
      <c r="C4289" s="377"/>
      <c r="D4289" s="6" t="str">
        <f>_xlfn.XLOOKUP(B4289,Indices!$A$2:$A$2676,Indices!$B$2:$B$2676,"")</f>
        <v/>
      </c>
    </row>
    <row r="4290" spans="1:4" x14ac:dyDescent="0.25">
      <c r="A4290" s="379"/>
      <c r="B4290" s="382"/>
      <c r="C4290" s="377"/>
      <c r="D4290" s="6" t="str">
        <f>_xlfn.XLOOKUP(B4290,Indices!$A$2:$A$2676,Indices!$B$2:$B$2676,"")</f>
        <v/>
      </c>
    </row>
    <row r="4291" spans="1:4" x14ac:dyDescent="0.25">
      <c r="A4291" s="379"/>
      <c r="B4291" s="382"/>
      <c r="C4291" s="377"/>
      <c r="D4291" s="6" t="str">
        <f>_xlfn.XLOOKUP(B4291,Indices!$A$2:$A$2676,Indices!$B$2:$B$2676,"")</f>
        <v/>
      </c>
    </row>
    <row r="4292" spans="1:4" x14ac:dyDescent="0.25">
      <c r="A4292" s="379"/>
      <c r="B4292" s="382"/>
      <c r="C4292" s="377"/>
      <c r="D4292" s="6" t="str">
        <f>_xlfn.XLOOKUP(B4292,Indices!$A$2:$A$2676,Indices!$B$2:$B$2676,"")</f>
        <v/>
      </c>
    </row>
    <row r="4293" spans="1:4" x14ac:dyDescent="0.25">
      <c r="A4293" s="379"/>
      <c r="B4293" s="382"/>
      <c r="C4293" s="377"/>
      <c r="D4293" s="6" t="str">
        <f>_xlfn.XLOOKUP(B4293,Indices!$A$2:$A$2676,Indices!$B$2:$B$2676,"")</f>
        <v/>
      </c>
    </row>
    <row r="4294" spans="1:4" x14ac:dyDescent="0.25">
      <c r="A4294" s="379"/>
      <c r="B4294" s="382"/>
      <c r="C4294" s="377"/>
      <c r="D4294" s="6" t="str">
        <f>_xlfn.XLOOKUP(B4294,Indices!$A$2:$A$2676,Indices!$B$2:$B$2676,"")</f>
        <v/>
      </c>
    </row>
    <row r="4295" spans="1:4" x14ac:dyDescent="0.25">
      <c r="A4295" s="379"/>
      <c r="B4295" s="382"/>
      <c r="C4295" s="377"/>
      <c r="D4295" s="6" t="str">
        <f>_xlfn.XLOOKUP(B4295,Indices!$A$2:$A$2676,Indices!$B$2:$B$2676,"")</f>
        <v/>
      </c>
    </row>
    <row r="4296" spans="1:4" x14ac:dyDescent="0.25">
      <c r="A4296" s="379"/>
      <c r="B4296" s="382"/>
      <c r="C4296" s="377"/>
      <c r="D4296" s="6" t="str">
        <f>_xlfn.XLOOKUP(B4296,Indices!$A$2:$A$2676,Indices!$B$2:$B$2676,"")</f>
        <v/>
      </c>
    </row>
    <row r="4297" spans="1:4" x14ac:dyDescent="0.25">
      <c r="A4297" s="379"/>
      <c r="B4297" s="382"/>
      <c r="C4297" s="377"/>
      <c r="D4297" s="6" t="str">
        <f>_xlfn.XLOOKUP(B4297,Indices!$A$2:$A$2676,Indices!$B$2:$B$2676,"")</f>
        <v/>
      </c>
    </row>
    <row r="4298" spans="1:4" x14ac:dyDescent="0.25">
      <c r="A4298" s="379"/>
      <c r="B4298" s="382"/>
      <c r="C4298" s="377"/>
      <c r="D4298" s="6" t="str">
        <f>_xlfn.XLOOKUP(B4298,Indices!$A$2:$A$2676,Indices!$B$2:$B$2676,"")</f>
        <v/>
      </c>
    </row>
    <row r="4299" spans="1:4" x14ac:dyDescent="0.25">
      <c r="A4299" s="379"/>
      <c r="B4299" s="382"/>
      <c r="C4299" s="377"/>
      <c r="D4299" s="6" t="str">
        <f>_xlfn.XLOOKUP(B4299,Indices!$A$2:$A$2676,Indices!$B$2:$B$2676,"")</f>
        <v/>
      </c>
    </row>
    <row r="4300" spans="1:4" x14ac:dyDescent="0.25">
      <c r="A4300" s="379"/>
      <c r="B4300" s="382"/>
      <c r="C4300" s="377"/>
      <c r="D4300" s="6" t="str">
        <f>_xlfn.XLOOKUP(B4300,Indices!$A$2:$A$2676,Indices!$B$2:$B$2676,"")</f>
        <v/>
      </c>
    </row>
    <row r="4301" spans="1:4" x14ac:dyDescent="0.25">
      <c r="A4301" s="379"/>
      <c r="B4301" s="382"/>
      <c r="C4301" s="377"/>
      <c r="D4301" s="6" t="str">
        <f>_xlfn.XLOOKUP(B4301,Indices!$A$2:$A$2676,Indices!$B$2:$B$2676,"")</f>
        <v/>
      </c>
    </row>
    <row r="4302" spans="1:4" x14ac:dyDescent="0.25">
      <c r="A4302" s="379"/>
      <c r="B4302" s="382"/>
      <c r="C4302" s="377"/>
      <c r="D4302" s="6" t="str">
        <f>_xlfn.XLOOKUP(B4302,Indices!$A$2:$A$2676,Indices!$B$2:$B$2676,"")</f>
        <v/>
      </c>
    </row>
    <row r="4303" spans="1:4" x14ac:dyDescent="0.25">
      <c r="A4303" s="379"/>
      <c r="B4303" s="382"/>
      <c r="C4303" s="377"/>
      <c r="D4303" s="6" t="str">
        <f>_xlfn.XLOOKUP(B4303,Indices!$A$2:$A$2676,Indices!$B$2:$B$2676,"")</f>
        <v/>
      </c>
    </row>
    <row r="4304" spans="1:4" x14ac:dyDescent="0.25">
      <c r="A4304" s="379"/>
      <c r="B4304" s="382"/>
      <c r="C4304" s="377"/>
      <c r="D4304" s="6" t="str">
        <f>_xlfn.XLOOKUP(B4304,Indices!$A$2:$A$2676,Indices!$B$2:$B$2676,"")</f>
        <v/>
      </c>
    </row>
    <row r="4305" spans="1:4" x14ac:dyDescent="0.25">
      <c r="A4305" s="379"/>
      <c r="B4305" s="382"/>
      <c r="C4305" s="377"/>
      <c r="D4305" s="6" t="str">
        <f>_xlfn.XLOOKUP(B4305,Indices!$A$2:$A$2676,Indices!$B$2:$B$2676,"")</f>
        <v/>
      </c>
    </row>
    <row r="4306" spans="1:4" x14ac:dyDescent="0.25">
      <c r="A4306" s="379"/>
      <c r="B4306" s="382"/>
      <c r="C4306" s="377"/>
      <c r="D4306" s="6" t="str">
        <f>_xlfn.XLOOKUP(B4306,Indices!$A$2:$A$2676,Indices!$B$2:$B$2676,"")</f>
        <v/>
      </c>
    </row>
    <row r="4307" spans="1:4" x14ac:dyDescent="0.25">
      <c r="A4307" s="379"/>
      <c r="B4307" s="382"/>
      <c r="C4307" s="377"/>
      <c r="D4307" s="6" t="str">
        <f>_xlfn.XLOOKUP(B4307,Indices!$A$2:$A$2676,Indices!$B$2:$B$2676,"")</f>
        <v/>
      </c>
    </row>
    <row r="4308" spans="1:4" x14ac:dyDescent="0.25">
      <c r="A4308" s="379"/>
      <c r="B4308" s="382"/>
      <c r="C4308" s="377"/>
      <c r="D4308" s="6" t="str">
        <f>_xlfn.XLOOKUP(B4308,Indices!$A$2:$A$2676,Indices!$B$2:$B$2676,"")</f>
        <v/>
      </c>
    </row>
    <row r="4309" spans="1:4" x14ac:dyDescent="0.25">
      <c r="A4309" s="379"/>
      <c r="B4309" s="382"/>
      <c r="C4309" s="377"/>
      <c r="D4309" s="6" t="str">
        <f>_xlfn.XLOOKUP(B4309,Indices!$A$2:$A$2676,Indices!$B$2:$B$2676,"")</f>
        <v/>
      </c>
    </row>
    <row r="4310" spans="1:4" x14ac:dyDescent="0.25">
      <c r="A4310" s="379"/>
      <c r="B4310" s="382"/>
      <c r="C4310" s="377"/>
      <c r="D4310" s="6" t="str">
        <f>_xlfn.XLOOKUP(B4310,Indices!$A$2:$A$2676,Indices!$B$2:$B$2676,"")</f>
        <v/>
      </c>
    </row>
    <row r="4311" spans="1:4" x14ac:dyDescent="0.25">
      <c r="A4311" s="379"/>
      <c r="B4311" s="382"/>
      <c r="C4311" s="377"/>
      <c r="D4311" s="6" t="str">
        <f>_xlfn.XLOOKUP(B4311,Indices!$A$2:$A$2676,Indices!$B$2:$B$2676,"")</f>
        <v/>
      </c>
    </row>
    <row r="4312" spans="1:4" x14ac:dyDescent="0.25">
      <c r="A4312" s="379"/>
      <c r="B4312" s="382"/>
      <c r="C4312" s="377"/>
      <c r="D4312" s="6" t="str">
        <f>_xlfn.XLOOKUP(B4312,Indices!$A$2:$A$2676,Indices!$B$2:$B$2676,"")</f>
        <v/>
      </c>
    </row>
    <row r="4313" spans="1:4" x14ac:dyDescent="0.25">
      <c r="A4313" s="379"/>
      <c r="B4313" s="382"/>
      <c r="C4313" s="377"/>
      <c r="D4313" s="6" t="str">
        <f>_xlfn.XLOOKUP(B4313,Indices!$A$2:$A$2676,Indices!$B$2:$B$2676,"")</f>
        <v/>
      </c>
    </row>
    <row r="4314" spans="1:4" x14ac:dyDescent="0.25">
      <c r="A4314" s="379"/>
      <c r="B4314" s="382"/>
      <c r="C4314" s="377"/>
      <c r="D4314" s="6" t="str">
        <f>_xlfn.XLOOKUP(B4314,Indices!$A$2:$A$2676,Indices!$B$2:$B$2676,"")</f>
        <v/>
      </c>
    </row>
    <row r="4315" spans="1:4" x14ac:dyDescent="0.25">
      <c r="A4315" s="379"/>
      <c r="B4315" s="382"/>
      <c r="C4315" s="377"/>
      <c r="D4315" s="6" t="str">
        <f>_xlfn.XLOOKUP(B4315,Indices!$A$2:$A$2676,Indices!$B$2:$B$2676,"")</f>
        <v/>
      </c>
    </row>
    <row r="4316" spans="1:4" x14ac:dyDescent="0.25">
      <c r="A4316" s="379"/>
      <c r="B4316" s="382"/>
      <c r="C4316" s="377"/>
      <c r="D4316" s="6" t="str">
        <f>_xlfn.XLOOKUP(B4316,Indices!$A$2:$A$2676,Indices!$B$2:$B$2676,"")</f>
        <v/>
      </c>
    </row>
    <row r="4317" spans="1:4" x14ac:dyDescent="0.25">
      <c r="A4317" s="379"/>
      <c r="B4317" s="382"/>
      <c r="C4317" s="377"/>
      <c r="D4317" s="6" t="str">
        <f>_xlfn.XLOOKUP(B4317,Indices!$A$2:$A$2676,Indices!$B$2:$B$2676,"")</f>
        <v/>
      </c>
    </row>
    <row r="4318" spans="1:4" x14ac:dyDescent="0.25">
      <c r="A4318" s="379"/>
      <c r="B4318" s="382"/>
      <c r="C4318" s="377"/>
      <c r="D4318" s="6" t="str">
        <f>_xlfn.XLOOKUP(B4318,Indices!$A$2:$A$2676,Indices!$B$2:$B$2676,"")</f>
        <v/>
      </c>
    </row>
    <row r="4319" spans="1:4" x14ac:dyDescent="0.25">
      <c r="A4319" s="379"/>
      <c r="B4319" s="382"/>
      <c r="C4319" s="377"/>
      <c r="D4319" s="6" t="str">
        <f>_xlfn.XLOOKUP(B4319,Indices!$A$2:$A$2676,Indices!$B$2:$B$2676,"")</f>
        <v/>
      </c>
    </row>
    <row r="4320" spans="1:4" x14ac:dyDescent="0.25">
      <c r="A4320" s="379"/>
      <c r="B4320" s="382"/>
      <c r="C4320" s="377"/>
      <c r="D4320" s="6" t="str">
        <f>_xlfn.XLOOKUP(B4320,Indices!$A$2:$A$2676,Indices!$B$2:$B$2676,"")</f>
        <v/>
      </c>
    </row>
    <row r="4321" spans="1:4" x14ac:dyDescent="0.25">
      <c r="A4321" s="379"/>
      <c r="B4321" s="382"/>
      <c r="C4321" s="377"/>
      <c r="D4321" s="6" t="str">
        <f>_xlfn.XLOOKUP(B4321,Indices!$A$2:$A$2676,Indices!$B$2:$B$2676,"")</f>
        <v/>
      </c>
    </row>
    <row r="4322" spans="1:4" x14ac:dyDescent="0.25">
      <c r="A4322" s="379"/>
      <c r="B4322" s="382"/>
      <c r="C4322" s="377"/>
      <c r="D4322" s="6" t="str">
        <f>_xlfn.XLOOKUP(B4322,Indices!$A$2:$A$2676,Indices!$B$2:$B$2676,"")</f>
        <v/>
      </c>
    </row>
    <row r="4323" spans="1:4" x14ac:dyDescent="0.25">
      <c r="A4323" s="379"/>
      <c r="B4323" s="382"/>
      <c r="C4323" s="377"/>
      <c r="D4323" s="6" t="str">
        <f>_xlfn.XLOOKUP(B4323,Indices!$A$2:$A$2676,Indices!$B$2:$B$2676,"")</f>
        <v/>
      </c>
    </row>
    <row r="4324" spans="1:4" x14ac:dyDescent="0.25">
      <c r="A4324" s="379"/>
      <c r="B4324" s="382"/>
      <c r="C4324" s="377"/>
      <c r="D4324" s="6" t="str">
        <f>_xlfn.XLOOKUP(B4324,Indices!$A$2:$A$2676,Indices!$B$2:$B$2676,"")</f>
        <v/>
      </c>
    </row>
    <row r="4325" spans="1:4" x14ac:dyDescent="0.25">
      <c r="A4325" s="379"/>
      <c r="B4325" s="382"/>
      <c r="C4325" s="377"/>
      <c r="D4325" s="6" t="str">
        <f>_xlfn.XLOOKUP(B4325,Indices!$A$2:$A$2676,Indices!$B$2:$B$2676,"")</f>
        <v/>
      </c>
    </row>
    <row r="4326" spans="1:4" x14ac:dyDescent="0.25">
      <c r="A4326" s="379"/>
      <c r="B4326" s="382"/>
      <c r="C4326" s="377"/>
      <c r="D4326" s="6" t="str">
        <f>_xlfn.XLOOKUP(B4326,Indices!$A$2:$A$2676,Indices!$B$2:$B$2676,"")</f>
        <v/>
      </c>
    </row>
    <row r="4327" spans="1:4" x14ac:dyDescent="0.25">
      <c r="A4327" s="379"/>
      <c r="B4327" s="382"/>
      <c r="C4327" s="377"/>
      <c r="D4327" s="6" t="str">
        <f>_xlfn.XLOOKUP(B4327,Indices!$A$2:$A$2676,Indices!$B$2:$B$2676,"")</f>
        <v/>
      </c>
    </row>
    <row r="4328" spans="1:4" x14ac:dyDescent="0.25">
      <c r="A4328" s="379"/>
      <c r="B4328" s="382"/>
      <c r="C4328" s="377"/>
      <c r="D4328" s="6" t="str">
        <f>_xlfn.XLOOKUP(B4328,Indices!$A$2:$A$2676,Indices!$B$2:$B$2676,"")</f>
        <v/>
      </c>
    </row>
    <row r="4329" spans="1:4" x14ac:dyDescent="0.25">
      <c r="A4329" s="379"/>
      <c r="B4329" s="382"/>
      <c r="C4329" s="377"/>
      <c r="D4329" s="6" t="str">
        <f>_xlfn.XLOOKUP(B4329,Indices!$A$2:$A$2676,Indices!$B$2:$B$2676,"")</f>
        <v/>
      </c>
    </row>
    <row r="4330" spans="1:4" x14ac:dyDescent="0.25">
      <c r="A4330" s="379"/>
      <c r="B4330" s="382"/>
      <c r="C4330" s="377"/>
      <c r="D4330" s="6" t="str">
        <f>_xlfn.XLOOKUP(B4330,Indices!$A$2:$A$2676,Indices!$B$2:$B$2676,"")</f>
        <v/>
      </c>
    </row>
    <row r="4331" spans="1:4" x14ac:dyDescent="0.25">
      <c r="A4331" s="379"/>
      <c r="B4331" s="382"/>
      <c r="C4331" s="377"/>
      <c r="D4331" s="6" t="str">
        <f>_xlfn.XLOOKUP(B4331,Indices!$A$2:$A$2676,Indices!$B$2:$B$2676,"")</f>
        <v/>
      </c>
    </row>
    <row r="4332" spans="1:4" x14ac:dyDescent="0.25">
      <c r="A4332" s="379"/>
      <c r="B4332" s="382"/>
      <c r="C4332" s="377"/>
      <c r="D4332" s="6" t="str">
        <f>_xlfn.XLOOKUP(B4332,Indices!$A$2:$A$2676,Indices!$B$2:$B$2676,"")</f>
        <v/>
      </c>
    </row>
    <row r="4333" spans="1:4" x14ac:dyDescent="0.25">
      <c r="A4333" s="379"/>
      <c r="B4333" s="382"/>
      <c r="C4333" s="377"/>
      <c r="D4333" s="6" t="str">
        <f>_xlfn.XLOOKUP(B4333,Indices!$A$2:$A$2676,Indices!$B$2:$B$2676,"")</f>
        <v/>
      </c>
    </row>
    <row r="4334" spans="1:4" x14ac:dyDescent="0.25">
      <c r="A4334" s="379"/>
      <c r="B4334" s="382"/>
      <c r="C4334" s="377"/>
      <c r="D4334" s="6" t="str">
        <f>_xlfn.XLOOKUP(B4334,Indices!$A$2:$A$2676,Indices!$B$2:$B$2676,"")</f>
        <v/>
      </c>
    </row>
    <row r="4335" spans="1:4" x14ac:dyDescent="0.25">
      <c r="A4335" s="379"/>
      <c r="B4335" s="382"/>
      <c r="C4335" s="377"/>
      <c r="D4335" s="6" t="str">
        <f>_xlfn.XLOOKUP(B4335,Indices!$A$2:$A$2676,Indices!$B$2:$B$2676,"")</f>
        <v/>
      </c>
    </row>
    <row r="4336" spans="1:4" x14ac:dyDescent="0.25">
      <c r="A4336" s="379"/>
      <c r="B4336" s="382"/>
      <c r="C4336" s="377"/>
      <c r="D4336" s="6" t="str">
        <f>_xlfn.XLOOKUP(B4336,Indices!$A$2:$A$2676,Indices!$B$2:$B$2676,"")</f>
        <v/>
      </c>
    </row>
    <row r="4337" spans="1:4" x14ac:dyDescent="0.25">
      <c r="A4337" s="379"/>
      <c r="B4337" s="382"/>
      <c r="C4337" s="377"/>
      <c r="D4337" s="6" t="str">
        <f>_xlfn.XLOOKUP(B4337,Indices!$A$2:$A$2676,Indices!$B$2:$B$2676,"")</f>
        <v/>
      </c>
    </row>
    <row r="4338" spans="1:4" x14ac:dyDescent="0.25">
      <c r="A4338" s="379"/>
      <c r="B4338" s="382"/>
      <c r="C4338" s="377"/>
      <c r="D4338" s="6" t="str">
        <f>_xlfn.XLOOKUP(B4338,Indices!$A$2:$A$2676,Indices!$B$2:$B$2676,"")</f>
        <v/>
      </c>
    </row>
    <row r="4339" spans="1:4" x14ac:dyDescent="0.25">
      <c r="A4339" s="379"/>
      <c r="B4339" s="382"/>
      <c r="C4339" s="377"/>
      <c r="D4339" s="6" t="str">
        <f>_xlfn.XLOOKUP(B4339,Indices!$A$2:$A$2676,Indices!$B$2:$B$2676,"")</f>
        <v/>
      </c>
    </row>
    <row r="4340" spans="1:4" x14ac:dyDescent="0.25">
      <c r="A4340" s="379"/>
      <c r="B4340" s="382"/>
      <c r="C4340" s="377"/>
      <c r="D4340" s="6" t="str">
        <f>_xlfn.XLOOKUP(B4340,Indices!$A$2:$A$2676,Indices!$B$2:$B$2676,"")</f>
        <v/>
      </c>
    </row>
    <row r="4341" spans="1:4" x14ac:dyDescent="0.25">
      <c r="A4341" s="379"/>
      <c r="B4341" s="382"/>
      <c r="C4341" s="377"/>
      <c r="D4341" s="6" t="str">
        <f>_xlfn.XLOOKUP(B4341,Indices!$A$2:$A$2676,Indices!$B$2:$B$2676,"")</f>
        <v/>
      </c>
    </row>
    <row r="4342" spans="1:4" x14ac:dyDescent="0.25">
      <c r="A4342" s="379"/>
      <c r="B4342" s="382"/>
      <c r="C4342" s="377"/>
      <c r="D4342" s="6" t="str">
        <f>_xlfn.XLOOKUP(B4342,Indices!$A$2:$A$2676,Indices!$B$2:$B$2676,"")</f>
        <v/>
      </c>
    </row>
    <row r="4343" spans="1:4" x14ac:dyDescent="0.25">
      <c r="A4343" s="379"/>
      <c r="B4343" s="382"/>
      <c r="C4343" s="377"/>
      <c r="D4343" s="6" t="str">
        <f>_xlfn.XLOOKUP(B4343,Indices!$A$2:$A$2676,Indices!$B$2:$B$2676,"")</f>
        <v/>
      </c>
    </row>
    <row r="4344" spans="1:4" x14ac:dyDescent="0.25">
      <c r="A4344" s="379"/>
      <c r="B4344" s="382"/>
      <c r="C4344" s="377"/>
      <c r="D4344" s="6" t="str">
        <f>_xlfn.XLOOKUP(B4344,Indices!$A$2:$A$2676,Indices!$B$2:$B$2676,"")</f>
        <v/>
      </c>
    </row>
    <row r="4345" spans="1:4" x14ac:dyDescent="0.25">
      <c r="A4345" s="379"/>
      <c r="B4345" s="382"/>
      <c r="C4345" s="377"/>
      <c r="D4345" s="6" t="str">
        <f>_xlfn.XLOOKUP(B4345,Indices!$A$2:$A$2676,Indices!$B$2:$B$2676,"")</f>
        <v/>
      </c>
    </row>
    <row r="4346" spans="1:4" x14ac:dyDescent="0.25">
      <c r="A4346" s="379"/>
      <c r="B4346" s="382"/>
      <c r="C4346" s="377"/>
      <c r="D4346" s="6" t="str">
        <f>_xlfn.XLOOKUP(B4346,Indices!$A$2:$A$2676,Indices!$B$2:$B$2676,"")</f>
        <v/>
      </c>
    </row>
    <row r="4347" spans="1:4" x14ac:dyDescent="0.25">
      <c r="A4347" s="379"/>
      <c r="B4347" s="382"/>
      <c r="C4347" s="377"/>
      <c r="D4347" s="6" t="str">
        <f>_xlfn.XLOOKUP(B4347,Indices!$A$2:$A$2676,Indices!$B$2:$B$2676,"")</f>
        <v/>
      </c>
    </row>
    <row r="4348" spans="1:4" x14ac:dyDescent="0.25">
      <c r="A4348" s="379"/>
      <c r="B4348" s="382"/>
      <c r="C4348" s="377"/>
      <c r="D4348" s="6" t="str">
        <f>_xlfn.XLOOKUP(B4348,Indices!$A$2:$A$2676,Indices!$B$2:$B$2676,"")</f>
        <v/>
      </c>
    </row>
    <row r="4349" spans="1:4" x14ac:dyDescent="0.25">
      <c r="A4349" s="379"/>
      <c r="B4349" s="382"/>
      <c r="C4349" s="377"/>
      <c r="D4349" s="6" t="str">
        <f>_xlfn.XLOOKUP(B4349,Indices!$A$2:$A$2676,Indices!$B$2:$B$2676,"")</f>
        <v/>
      </c>
    </row>
    <row r="4350" spans="1:4" x14ac:dyDescent="0.25">
      <c r="A4350" s="379"/>
      <c r="B4350" s="382"/>
      <c r="C4350" s="377"/>
      <c r="D4350" s="6" t="str">
        <f>_xlfn.XLOOKUP(B4350,Indices!$A$2:$A$2676,Indices!$B$2:$B$2676,"")</f>
        <v/>
      </c>
    </row>
    <row r="4351" spans="1:4" x14ac:dyDescent="0.25">
      <c r="A4351" s="379"/>
      <c r="B4351" s="382"/>
      <c r="C4351" s="377"/>
      <c r="D4351" s="6" t="str">
        <f>_xlfn.XLOOKUP(B4351,Indices!$A$2:$A$2676,Indices!$B$2:$B$2676,"")</f>
        <v/>
      </c>
    </row>
    <row r="4352" spans="1:4" x14ac:dyDescent="0.25">
      <c r="A4352" s="379"/>
      <c r="B4352" s="382"/>
      <c r="C4352" s="377"/>
      <c r="D4352" s="6" t="str">
        <f>_xlfn.XLOOKUP(B4352,Indices!$A$2:$A$2676,Indices!$B$2:$B$2676,"")</f>
        <v/>
      </c>
    </row>
    <row r="4353" spans="1:4" x14ac:dyDescent="0.25">
      <c r="A4353" s="379"/>
      <c r="B4353" s="382"/>
      <c r="C4353" s="377"/>
      <c r="D4353" s="6" t="str">
        <f>_xlfn.XLOOKUP(B4353,Indices!$A$2:$A$2676,Indices!$B$2:$B$2676,"")</f>
        <v/>
      </c>
    </row>
    <row r="4354" spans="1:4" x14ac:dyDescent="0.25">
      <c r="A4354" s="379"/>
      <c r="B4354" s="382"/>
      <c r="C4354" s="377"/>
      <c r="D4354" s="6" t="str">
        <f>_xlfn.XLOOKUP(B4354,Indices!$A$2:$A$2676,Indices!$B$2:$B$2676,"")</f>
        <v/>
      </c>
    </row>
    <row r="4355" spans="1:4" x14ac:dyDescent="0.25">
      <c r="A4355" s="379"/>
      <c r="B4355" s="382"/>
      <c r="C4355" s="377"/>
      <c r="D4355" s="6" t="str">
        <f>_xlfn.XLOOKUP(B4355,Indices!$A$2:$A$2676,Indices!$B$2:$B$2676,"")</f>
        <v/>
      </c>
    </row>
    <row r="4356" spans="1:4" x14ac:dyDescent="0.25">
      <c r="A4356" s="379"/>
      <c r="B4356" s="382"/>
      <c r="C4356" s="377"/>
      <c r="D4356" s="6" t="str">
        <f>_xlfn.XLOOKUP(B4356,Indices!$A$2:$A$2676,Indices!$B$2:$B$2676,"")</f>
        <v/>
      </c>
    </row>
    <row r="4357" spans="1:4" x14ac:dyDescent="0.25">
      <c r="A4357" s="379"/>
      <c r="B4357" s="382"/>
      <c r="C4357" s="377"/>
      <c r="D4357" s="6" t="str">
        <f>_xlfn.XLOOKUP(B4357,Indices!$A$2:$A$2676,Indices!$B$2:$B$2676,"")</f>
        <v/>
      </c>
    </row>
    <row r="4358" spans="1:4" x14ac:dyDescent="0.25">
      <c r="A4358" s="379"/>
      <c r="B4358" s="382"/>
      <c r="C4358" s="377"/>
      <c r="D4358" s="6" t="str">
        <f>_xlfn.XLOOKUP(B4358,Indices!$A$2:$A$2676,Indices!$B$2:$B$2676,"")</f>
        <v/>
      </c>
    </row>
    <row r="4359" spans="1:4" x14ac:dyDescent="0.25">
      <c r="A4359" s="379"/>
      <c r="B4359" s="382"/>
      <c r="C4359" s="377"/>
      <c r="D4359" s="6" t="str">
        <f>_xlfn.XLOOKUP(B4359,Indices!$A$2:$A$2676,Indices!$B$2:$B$2676,"")</f>
        <v/>
      </c>
    </row>
    <row r="4360" spans="1:4" x14ac:dyDescent="0.25">
      <c r="A4360" s="379"/>
      <c r="B4360" s="382"/>
      <c r="C4360" s="377"/>
      <c r="D4360" s="6" t="str">
        <f>_xlfn.XLOOKUP(B4360,Indices!$A$2:$A$2676,Indices!$B$2:$B$2676,"")</f>
        <v/>
      </c>
    </row>
    <row r="4361" spans="1:4" x14ac:dyDescent="0.25">
      <c r="A4361" s="379"/>
      <c r="B4361" s="382"/>
      <c r="C4361" s="377"/>
      <c r="D4361" s="6" t="str">
        <f>_xlfn.XLOOKUP(B4361,Indices!$A$2:$A$2676,Indices!$B$2:$B$2676,"")</f>
        <v/>
      </c>
    </row>
    <row r="4362" spans="1:4" x14ac:dyDescent="0.25">
      <c r="A4362" s="379"/>
      <c r="B4362" s="382"/>
      <c r="C4362" s="377"/>
      <c r="D4362" s="6" t="str">
        <f>_xlfn.XLOOKUP(B4362,Indices!$A$2:$A$2676,Indices!$B$2:$B$2676,"")</f>
        <v/>
      </c>
    </row>
    <row r="4363" spans="1:4" x14ac:dyDescent="0.25">
      <c r="A4363" s="379"/>
      <c r="B4363" s="382"/>
      <c r="C4363" s="377"/>
      <c r="D4363" s="6" t="str">
        <f>_xlfn.XLOOKUP(B4363,Indices!$A$2:$A$2676,Indices!$B$2:$B$2676,"")</f>
        <v/>
      </c>
    </row>
    <row r="4364" spans="1:4" x14ac:dyDescent="0.25">
      <c r="A4364" s="379"/>
      <c r="B4364" s="382"/>
      <c r="C4364" s="377"/>
      <c r="D4364" s="6" t="str">
        <f>_xlfn.XLOOKUP(B4364,Indices!$A$2:$A$2676,Indices!$B$2:$B$2676,"")</f>
        <v/>
      </c>
    </row>
    <row r="4365" spans="1:4" x14ac:dyDescent="0.25">
      <c r="A4365" s="379"/>
      <c r="B4365" s="382"/>
      <c r="C4365" s="377"/>
      <c r="D4365" s="6" t="str">
        <f>_xlfn.XLOOKUP(B4365,Indices!$A$2:$A$2676,Indices!$B$2:$B$2676,"")</f>
        <v/>
      </c>
    </row>
    <row r="4366" spans="1:4" x14ac:dyDescent="0.25">
      <c r="A4366" s="379"/>
      <c r="B4366" s="382"/>
      <c r="C4366" s="377"/>
      <c r="D4366" s="6" t="str">
        <f>_xlfn.XLOOKUP(B4366,Indices!$A$2:$A$2676,Indices!$B$2:$B$2676,"")</f>
        <v/>
      </c>
    </row>
    <row r="4367" spans="1:4" x14ac:dyDescent="0.25">
      <c r="A4367" s="379"/>
      <c r="B4367" s="382"/>
      <c r="C4367" s="377"/>
      <c r="D4367" s="6" t="str">
        <f>_xlfn.XLOOKUP(B4367,Indices!$A$2:$A$2676,Indices!$B$2:$B$2676,"")</f>
        <v/>
      </c>
    </row>
    <row r="4368" spans="1:4" x14ac:dyDescent="0.25">
      <c r="A4368" s="379"/>
      <c r="B4368" s="382"/>
      <c r="C4368" s="377"/>
      <c r="D4368" s="6" t="str">
        <f>_xlfn.XLOOKUP(B4368,Indices!$A$2:$A$2676,Indices!$B$2:$B$2676,"")</f>
        <v/>
      </c>
    </row>
    <row r="4369" spans="1:4" x14ac:dyDescent="0.25">
      <c r="A4369" s="379"/>
      <c r="B4369" s="382"/>
      <c r="C4369" s="377"/>
      <c r="D4369" s="6" t="str">
        <f>_xlfn.XLOOKUP(B4369,Indices!$A$2:$A$2676,Indices!$B$2:$B$2676,"")</f>
        <v/>
      </c>
    </row>
    <row r="4370" spans="1:4" x14ac:dyDescent="0.25">
      <c r="A4370" s="379"/>
      <c r="B4370" s="382"/>
      <c r="C4370" s="377"/>
      <c r="D4370" s="6" t="str">
        <f>_xlfn.XLOOKUP(B4370,Indices!$A$2:$A$2676,Indices!$B$2:$B$2676,"")</f>
        <v/>
      </c>
    </row>
    <row r="4371" spans="1:4" x14ac:dyDescent="0.25">
      <c r="A4371" s="379"/>
      <c r="B4371" s="382"/>
      <c r="C4371" s="377"/>
      <c r="D4371" s="6" t="str">
        <f>_xlfn.XLOOKUP(B4371,Indices!$A$2:$A$2676,Indices!$B$2:$B$2676,"")</f>
        <v/>
      </c>
    </row>
    <row r="4372" spans="1:4" x14ac:dyDescent="0.25">
      <c r="A4372" s="379"/>
      <c r="B4372" s="382"/>
      <c r="C4372" s="377"/>
      <c r="D4372" s="6" t="str">
        <f>_xlfn.XLOOKUP(B4372,Indices!$A$2:$A$2676,Indices!$B$2:$B$2676,"")</f>
        <v/>
      </c>
    </row>
    <row r="4373" spans="1:4" x14ac:dyDescent="0.25">
      <c r="A4373" s="379"/>
      <c r="B4373" s="382"/>
      <c r="C4373" s="377"/>
      <c r="D4373" s="6" t="str">
        <f>_xlfn.XLOOKUP(B4373,Indices!$A$2:$A$2676,Indices!$B$2:$B$2676,"")</f>
        <v/>
      </c>
    </row>
    <row r="4374" spans="1:4" x14ac:dyDescent="0.25">
      <c r="A4374" s="379"/>
      <c r="B4374" s="382"/>
      <c r="C4374" s="377"/>
      <c r="D4374" s="6" t="str">
        <f>_xlfn.XLOOKUP(B4374,Indices!$A$2:$A$2676,Indices!$B$2:$B$2676,"")</f>
        <v/>
      </c>
    </row>
    <row r="4375" spans="1:4" x14ac:dyDescent="0.25">
      <c r="A4375" s="379"/>
      <c r="B4375" s="382"/>
      <c r="C4375" s="377"/>
      <c r="D4375" s="6" t="str">
        <f>_xlfn.XLOOKUP(B4375,Indices!$A$2:$A$2676,Indices!$B$2:$B$2676,"")</f>
        <v/>
      </c>
    </row>
    <row r="4376" spans="1:4" x14ac:dyDescent="0.25">
      <c r="A4376" s="379"/>
      <c r="B4376" s="382"/>
      <c r="C4376" s="377"/>
      <c r="D4376" s="6" t="str">
        <f>_xlfn.XLOOKUP(B4376,Indices!$A$2:$A$2676,Indices!$B$2:$B$2676,"")</f>
        <v/>
      </c>
    </row>
    <row r="4377" spans="1:4" x14ac:dyDescent="0.25">
      <c r="A4377" s="379"/>
      <c r="B4377" s="382"/>
      <c r="C4377" s="377"/>
      <c r="D4377" s="6" t="str">
        <f>_xlfn.XLOOKUP(B4377,Indices!$A$2:$A$2676,Indices!$B$2:$B$2676,"")</f>
        <v/>
      </c>
    </row>
    <row r="4378" spans="1:4" x14ac:dyDescent="0.25">
      <c r="A4378" s="379"/>
      <c r="B4378" s="382"/>
      <c r="C4378" s="377"/>
      <c r="D4378" s="6" t="str">
        <f>_xlfn.XLOOKUP(B4378,Indices!$A$2:$A$2676,Indices!$B$2:$B$2676,"")</f>
        <v/>
      </c>
    </row>
    <row r="4379" spans="1:4" x14ac:dyDescent="0.25">
      <c r="A4379" s="379"/>
      <c r="B4379" s="382"/>
      <c r="C4379" s="377"/>
      <c r="D4379" s="6" t="str">
        <f>_xlfn.XLOOKUP(B4379,Indices!$A$2:$A$2676,Indices!$B$2:$B$2676,"")</f>
        <v/>
      </c>
    </row>
    <row r="4380" spans="1:4" x14ac:dyDescent="0.25">
      <c r="A4380" s="379"/>
      <c r="B4380" s="382"/>
      <c r="C4380" s="377"/>
      <c r="D4380" s="6" t="str">
        <f>_xlfn.XLOOKUP(B4380,Indices!$A$2:$A$2676,Indices!$B$2:$B$2676,"")</f>
        <v/>
      </c>
    </row>
    <row r="4381" spans="1:4" x14ac:dyDescent="0.25">
      <c r="A4381" s="379"/>
      <c r="B4381" s="382"/>
      <c r="C4381" s="377"/>
      <c r="D4381" s="6" t="str">
        <f>_xlfn.XLOOKUP(B4381,Indices!$A$2:$A$2676,Indices!$B$2:$B$2676,"")</f>
        <v/>
      </c>
    </row>
    <row r="4382" spans="1:4" x14ac:dyDescent="0.25">
      <c r="A4382" s="379"/>
      <c r="B4382" s="382"/>
      <c r="C4382" s="377"/>
      <c r="D4382" s="6" t="str">
        <f>_xlfn.XLOOKUP(B4382,Indices!$A$2:$A$2676,Indices!$B$2:$B$2676,"")</f>
        <v/>
      </c>
    </row>
    <row r="4383" spans="1:4" x14ac:dyDescent="0.25">
      <c r="A4383" s="379"/>
      <c r="B4383" s="382"/>
      <c r="C4383" s="377"/>
      <c r="D4383" s="6" t="str">
        <f>_xlfn.XLOOKUP(B4383,Indices!$A$2:$A$2676,Indices!$B$2:$B$2676,"")</f>
        <v/>
      </c>
    </row>
    <row r="4384" spans="1:4" x14ac:dyDescent="0.25">
      <c r="A4384" s="379"/>
      <c r="B4384" s="382"/>
      <c r="C4384" s="377"/>
      <c r="D4384" s="6" t="str">
        <f>_xlfn.XLOOKUP(B4384,Indices!$A$2:$A$2676,Indices!$B$2:$B$2676,"")</f>
        <v/>
      </c>
    </row>
    <row r="4385" spans="1:4" x14ac:dyDescent="0.25">
      <c r="A4385" s="379"/>
      <c r="B4385" s="382"/>
      <c r="C4385" s="377"/>
      <c r="D4385" s="6" t="str">
        <f>_xlfn.XLOOKUP(B4385,Indices!$A$2:$A$2676,Indices!$B$2:$B$2676,"")</f>
        <v/>
      </c>
    </row>
    <row r="4386" spans="1:4" x14ac:dyDescent="0.25">
      <c r="A4386" s="379"/>
      <c r="B4386" s="382"/>
      <c r="C4386" s="377"/>
      <c r="D4386" s="6" t="str">
        <f>_xlfn.XLOOKUP(B4386,Indices!$A$2:$A$2676,Indices!$B$2:$B$2676,"")</f>
        <v/>
      </c>
    </row>
    <row r="4387" spans="1:4" x14ac:dyDescent="0.25">
      <c r="A4387" s="379"/>
      <c r="B4387" s="382"/>
      <c r="C4387" s="377"/>
      <c r="D4387" s="6" t="str">
        <f>_xlfn.XLOOKUP(B4387,Indices!$A$2:$A$2676,Indices!$B$2:$B$2676,"")</f>
        <v/>
      </c>
    </row>
    <row r="4388" spans="1:4" x14ac:dyDescent="0.25">
      <c r="A4388" s="379"/>
      <c r="B4388" s="382"/>
      <c r="C4388" s="377"/>
      <c r="D4388" s="6" t="str">
        <f>_xlfn.XLOOKUP(B4388,Indices!$A$2:$A$2676,Indices!$B$2:$B$2676,"")</f>
        <v/>
      </c>
    </row>
    <row r="4389" spans="1:4" x14ac:dyDescent="0.25">
      <c r="A4389" s="379"/>
      <c r="B4389" s="382"/>
      <c r="C4389" s="377"/>
      <c r="D4389" s="6" t="str">
        <f>_xlfn.XLOOKUP(B4389,Indices!$A$2:$A$2676,Indices!$B$2:$B$2676,"")</f>
        <v/>
      </c>
    </row>
    <row r="4390" spans="1:4" x14ac:dyDescent="0.25">
      <c r="A4390" s="379"/>
      <c r="B4390" s="382"/>
      <c r="C4390" s="377"/>
      <c r="D4390" s="6" t="str">
        <f>_xlfn.XLOOKUP(B4390,Indices!$A$2:$A$2676,Indices!$B$2:$B$2676,"")</f>
        <v/>
      </c>
    </row>
    <row r="4391" spans="1:4" x14ac:dyDescent="0.25">
      <c r="A4391" s="379"/>
      <c r="B4391" s="382"/>
      <c r="C4391" s="377"/>
      <c r="D4391" s="6" t="str">
        <f>_xlfn.XLOOKUP(B4391,Indices!$A$2:$A$2676,Indices!$B$2:$B$2676,"")</f>
        <v/>
      </c>
    </row>
    <row r="4392" spans="1:4" x14ac:dyDescent="0.25">
      <c r="A4392" s="379"/>
      <c r="B4392" s="382"/>
      <c r="C4392" s="377"/>
      <c r="D4392" s="6" t="str">
        <f>_xlfn.XLOOKUP(B4392,Indices!$A$2:$A$2676,Indices!$B$2:$B$2676,"")</f>
        <v/>
      </c>
    </row>
    <row r="4393" spans="1:4" x14ac:dyDescent="0.25">
      <c r="A4393" s="379"/>
      <c r="B4393" s="382"/>
      <c r="C4393" s="377"/>
      <c r="D4393" s="6" t="str">
        <f>_xlfn.XLOOKUP(B4393,Indices!$A$2:$A$2676,Indices!$B$2:$B$2676,"")</f>
        <v/>
      </c>
    </row>
    <row r="4394" spans="1:4" x14ac:dyDescent="0.25">
      <c r="A4394" s="379"/>
      <c r="B4394" s="382"/>
      <c r="C4394" s="377"/>
      <c r="D4394" s="6" t="str">
        <f>_xlfn.XLOOKUP(B4394,Indices!$A$2:$A$2676,Indices!$B$2:$B$2676,"")</f>
        <v/>
      </c>
    </row>
    <row r="4395" spans="1:4" x14ac:dyDescent="0.25">
      <c r="A4395" s="379"/>
      <c r="B4395" s="382"/>
      <c r="C4395" s="377"/>
      <c r="D4395" s="6" t="str">
        <f>_xlfn.XLOOKUP(B4395,Indices!$A$2:$A$2676,Indices!$B$2:$B$2676,"")</f>
        <v/>
      </c>
    </row>
    <row r="4396" spans="1:4" x14ac:dyDescent="0.25">
      <c r="A4396" s="379"/>
      <c r="B4396" s="382"/>
      <c r="C4396" s="377"/>
      <c r="D4396" s="6" t="str">
        <f>_xlfn.XLOOKUP(B4396,Indices!$A$2:$A$2676,Indices!$B$2:$B$2676,"")</f>
        <v/>
      </c>
    </row>
    <row r="4397" spans="1:4" x14ac:dyDescent="0.25">
      <c r="A4397" s="379"/>
      <c r="B4397" s="382"/>
      <c r="C4397" s="377"/>
      <c r="D4397" s="6" t="str">
        <f>_xlfn.XLOOKUP(B4397,Indices!$A$2:$A$2676,Indices!$B$2:$B$2676,"")</f>
        <v/>
      </c>
    </row>
    <row r="4398" spans="1:4" x14ac:dyDescent="0.25">
      <c r="A4398" s="379"/>
      <c r="B4398" s="382"/>
      <c r="C4398" s="377"/>
      <c r="D4398" s="6" t="str">
        <f>_xlfn.XLOOKUP(B4398,Indices!$A$2:$A$2676,Indices!$B$2:$B$2676,"")</f>
        <v/>
      </c>
    </row>
    <row r="4399" spans="1:4" x14ac:dyDescent="0.25">
      <c r="A4399" s="379"/>
      <c r="B4399" s="382"/>
      <c r="C4399" s="377"/>
      <c r="D4399" s="6" t="str">
        <f>_xlfn.XLOOKUP(B4399,Indices!$A$2:$A$2676,Indices!$B$2:$B$2676,"")</f>
        <v/>
      </c>
    </row>
    <row r="4400" spans="1:4" x14ac:dyDescent="0.25">
      <c r="A4400" s="379"/>
      <c r="B4400" s="382"/>
      <c r="C4400" s="377"/>
      <c r="D4400" s="6" t="str">
        <f>_xlfn.XLOOKUP(B4400,Indices!$A$2:$A$2676,Indices!$B$2:$B$2676,"")</f>
        <v/>
      </c>
    </row>
    <row r="4401" spans="1:4" x14ac:dyDescent="0.25">
      <c r="A4401" s="379"/>
      <c r="B4401" s="382"/>
      <c r="C4401" s="377"/>
      <c r="D4401" s="6" t="str">
        <f>_xlfn.XLOOKUP(B4401,Indices!$A$2:$A$2676,Indices!$B$2:$B$2676,"")</f>
        <v/>
      </c>
    </row>
    <row r="4402" spans="1:4" x14ac:dyDescent="0.25">
      <c r="A4402" s="379"/>
      <c r="B4402" s="382"/>
      <c r="C4402" s="377"/>
      <c r="D4402" s="6" t="str">
        <f>_xlfn.XLOOKUP(B4402,Indices!$A$2:$A$2676,Indices!$B$2:$B$2676,"")</f>
        <v/>
      </c>
    </row>
    <row r="4403" spans="1:4" x14ac:dyDescent="0.25">
      <c r="A4403" s="379"/>
      <c r="B4403" s="382"/>
      <c r="C4403" s="377"/>
      <c r="D4403" s="6" t="str">
        <f>_xlfn.XLOOKUP(B4403,Indices!$A$2:$A$2676,Indices!$B$2:$B$2676,"")</f>
        <v/>
      </c>
    </row>
    <row r="4404" spans="1:4" x14ac:dyDescent="0.25">
      <c r="A4404" s="379"/>
      <c r="B4404" s="382"/>
      <c r="C4404" s="377"/>
      <c r="D4404" s="6" t="str">
        <f>_xlfn.XLOOKUP(B4404,Indices!$A$2:$A$2676,Indices!$B$2:$B$2676,"")</f>
        <v/>
      </c>
    </row>
    <row r="4405" spans="1:4" x14ac:dyDescent="0.25">
      <c r="A4405" s="379"/>
      <c r="B4405" s="382"/>
      <c r="C4405" s="377"/>
      <c r="D4405" s="6" t="str">
        <f>_xlfn.XLOOKUP(B4405,Indices!$A$2:$A$2676,Indices!$B$2:$B$2676,"")</f>
        <v/>
      </c>
    </row>
    <row r="4406" spans="1:4" x14ac:dyDescent="0.25">
      <c r="A4406" s="379"/>
      <c r="B4406" s="382"/>
      <c r="C4406" s="377"/>
      <c r="D4406" s="6" t="str">
        <f>_xlfn.XLOOKUP(B4406,Indices!$A$2:$A$2676,Indices!$B$2:$B$2676,"")</f>
        <v/>
      </c>
    </row>
    <row r="4407" spans="1:4" x14ac:dyDescent="0.25">
      <c r="A4407" s="379"/>
      <c r="B4407" s="382"/>
      <c r="C4407" s="377"/>
      <c r="D4407" s="6" t="str">
        <f>_xlfn.XLOOKUP(B4407,Indices!$A$2:$A$2676,Indices!$B$2:$B$2676,"")</f>
        <v/>
      </c>
    </row>
    <row r="4408" spans="1:4" x14ac:dyDescent="0.25">
      <c r="A4408" s="379"/>
      <c r="B4408" s="382"/>
      <c r="C4408" s="377"/>
      <c r="D4408" s="6" t="str">
        <f>_xlfn.XLOOKUP(B4408,Indices!$A$2:$A$2676,Indices!$B$2:$B$2676,"")</f>
        <v/>
      </c>
    </row>
    <row r="4409" spans="1:4" x14ac:dyDescent="0.25">
      <c r="A4409" s="379"/>
      <c r="B4409" s="382"/>
      <c r="C4409" s="377"/>
      <c r="D4409" s="6" t="str">
        <f>_xlfn.XLOOKUP(B4409,Indices!$A$2:$A$2676,Indices!$B$2:$B$2676,"")</f>
        <v/>
      </c>
    </row>
    <row r="4410" spans="1:4" x14ac:dyDescent="0.25">
      <c r="A4410" s="379"/>
      <c r="B4410" s="382"/>
      <c r="C4410" s="377"/>
      <c r="D4410" s="6" t="str">
        <f>_xlfn.XLOOKUP(B4410,Indices!$A$2:$A$2676,Indices!$B$2:$B$2676,"")</f>
        <v/>
      </c>
    </row>
    <row r="4411" spans="1:4" x14ac:dyDescent="0.25">
      <c r="A4411" s="379"/>
      <c r="B4411" s="382"/>
      <c r="C4411" s="377"/>
      <c r="D4411" s="6" t="str">
        <f>_xlfn.XLOOKUP(B4411,Indices!$A$2:$A$2676,Indices!$B$2:$B$2676,"")</f>
        <v/>
      </c>
    </row>
    <row r="4412" spans="1:4" x14ac:dyDescent="0.25">
      <c r="A4412" s="379"/>
      <c r="B4412" s="382"/>
      <c r="C4412" s="377"/>
      <c r="D4412" s="6" t="str">
        <f>_xlfn.XLOOKUP(B4412,Indices!$A$2:$A$2676,Indices!$B$2:$B$2676,"")</f>
        <v/>
      </c>
    </row>
    <row r="4413" spans="1:4" x14ac:dyDescent="0.25">
      <c r="A4413" s="379"/>
      <c r="B4413" s="382"/>
      <c r="C4413" s="377"/>
      <c r="D4413" s="6" t="str">
        <f>_xlfn.XLOOKUP(B4413,Indices!$A$2:$A$2676,Indices!$B$2:$B$2676,"")</f>
        <v/>
      </c>
    </row>
    <row r="4414" spans="1:4" x14ac:dyDescent="0.25">
      <c r="A4414" s="379"/>
      <c r="B4414" s="382"/>
      <c r="C4414" s="377"/>
      <c r="D4414" s="6" t="str">
        <f>_xlfn.XLOOKUP(B4414,Indices!$A$2:$A$2676,Indices!$B$2:$B$2676,"")</f>
        <v/>
      </c>
    </row>
    <row r="4415" spans="1:4" x14ac:dyDescent="0.25">
      <c r="A4415" s="379"/>
      <c r="B4415" s="382"/>
      <c r="C4415" s="377"/>
      <c r="D4415" s="6" t="str">
        <f>_xlfn.XLOOKUP(B4415,Indices!$A$2:$A$2676,Indices!$B$2:$B$2676,"")</f>
        <v/>
      </c>
    </row>
    <row r="4416" spans="1:4" x14ac:dyDescent="0.25">
      <c r="A4416" s="379"/>
      <c r="B4416" s="382"/>
      <c r="C4416" s="377"/>
      <c r="D4416" s="6" t="str">
        <f>_xlfn.XLOOKUP(B4416,Indices!$A$2:$A$2676,Indices!$B$2:$B$2676,"")</f>
        <v/>
      </c>
    </row>
    <row r="4417" spans="1:4" x14ac:dyDescent="0.25">
      <c r="A4417" s="379"/>
      <c r="B4417" s="382"/>
      <c r="C4417" s="377"/>
      <c r="D4417" s="6" t="str">
        <f>_xlfn.XLOOKUP(B4417,Indices!$A$2:$A$2676,Indices!$B$2:$B$2676,"")</f>
        <v/>
      </c>
    </row>
    <row r="4418" spans="1:4" x14ac:dyDescent="0.25">
      <c r="A4418" s="379"/>
      <c r="B4418" s="382"/>
      <c r="C4418" s="377"/>
      <c r="D4418" s="6" t="str">
        <f>_xlfn.XLOOKUP(B4418,Indices!$A$2:$A$2676,Indices!$B$2:$B$2676,"")</f>
        <v/>
      </c>
    </row>
    <row r="4419" spans="1:4" x14ac:dyDescent="0.25">
      <c r="A4419" s="379"/>
      <c r="B4419" s="382"/>
      <c r="C4419" s="377"/>
      <c r="D4419" s="6" t="str">
        <f>_xlfn.XLOOKUP(B4419,Indices!$A$2:$A$2676,Indices!$B$2:$B$2676,"")</f>
        <v/>
      </c>
    </row>
    <row r="4420" spans="1:4" x14ac:dyDescent="0.25">
      <c r="A4420" s="379"/>
      <c r="B4420" s="382"/>
      <c r="C4420" s="377"/>
      <c r="D4420" s="6" t="str">
        <f>_xlfn.XLOOKUP(B4420,Indices!$A$2:$A$2676,Indices!$B$2:$B$2676,"")</f>
        <v/>
      </c>
    </row>
    <row r="4421" spans="1:4" x14ac:dyDescent="0.25">
      <c r="A4421" s="379"/>
      <c r="B4421" s="382"/>
      <c r="C4421" s="377"/>
      <c r="D4421" s="6" t="str">
        <f>_xlfn.XLOOKUP(B4421,Indices!$A$2:$A$2676,Indices!$B$2:$B$2676,"")</f>
        <v/>
      </c>
    </row>
    <row r="4422" spans="1:4" x14ac:dyDescent="0.25">
      <c r="A4422" s="379"/>
      <c r="B4422" s="382"/>
      <c r="C4422" s="377"/>
      <c r="D4422" s="6" t="str">
        <f>_xlfn.XLOOKUP(B4422,Indices!$A$2:$A$2676,Indices!$B$2:$B$2676,"")</f>
        <v/>
      </c>
    </row>
    <row r="4423" spans="1:4" x14ac:dyDescent="0.25">
      <c r="A4423" s="379"/>
      <c r="B4423" s="382"/>
      <c r="C4423" s="377"/>
      <c r="D4423" s="6" t="str">
        <f>_xlfn.XLOOKUP(B4423,Indices!$A$2:$A$2676,Indices!$B$2:$B$2676,"")</f>
        <v/>
      </c>
    </row>
    <row r="4424" spans="1:4" x14ac:dyDescent="0.25">
      <c r="A4424" s="379"/>
      <c r="B4424" s="382"/>
      <c r="C4424" s="377"/>
      <c r="D4424" s="6" t="str">
        <f>_xlfn.XLOOKUP(B4424,Indices!$A$2:$A$2676,Indices!$B$2:$B$2676,"")</f>
        <v/>
      </c>
    </row>
    <row r="4425" spans="1:4" x14ac:dyDescent="0.25">
      <c r="A4425" s="379"/>
      <c r="B4425" s="382"/>
      <c r="C4425" s="377"/>
      <c r="D4425" s="6" t="str">
        <f>_xlfn.XLOOKUP(B4425,Indices!$A$2:$A$2676,Indices!$B$2:$B$2676,"")</f>
        <v/>
      </c>
    </row>
    <row r="4426" spans="1:4" x14ac:dyDescent="0.25">
      <c r="A4426" s="379"/>
      <c r="B4426" s="382"/>
      <c r="C4426" s="377"/>
      <c r="D4426" s="6" t="str">
        <f>_xlfn.XLOOKUP(B4426,Indices!$A$2:$A$2676,Indices!$B$2:$B$2676,"")</f>
        <v/>
      </c>
    </row>
    <row r="4427" spans="1:4" x14ac:dyDescent="0.25">
      <c r="A4427" s="379"/>
      <c r="B4427" s="382"/>
      <c r="C4427" s="377"/>
      <c r="D4427" s="6" t="str">
        <f>_xlfn.XLOOKUP(B4427,Indices!$A$2:$A$2676,Indices!$B$2:$B$2676,"")</f>
        <v/>
      </c>
    </row>
    <row r="4428" spans="1:4" x14ac:dyDescent="0.25">
      <c r="A4428" s="379"/>
      <c r="B4428" s="382"/>
      <c r="C4428" s="377"/>
      <c r="D4428" s="6" t="str">
        <f>_xlfn.XLOOKUP(B4428,Indices!$A$2:$A$2676,Indices!$B$2:$B$2676,"")</f>
        <v/>
      </c>
    </row>
    <row r="4429" spans="1:4" x14ac:dyDescent="0.25">
      <c r="A4429" s="379"/>
      <c r="B4429" s="382"/>
      <c r="C4429" s="377"/>
      <c r="D4429" s="6" t="str">
        <f>_xlfn.XLOOKUP(B4429,Indices!$A$2:$A$2676,Indices!$B$2:$B$2676,"")</f>
        <v/>
      </c>
    </row>
    <row r="4430" spans="1:4" x14ac:dyDescent="0.25">
      <c r="A4430" s="379"/>
      <c r="B4430" s="382"/>
      <c r="C4430" s="377"/>
      <c r="D4430" s="6" t="str">
        <f>_xlfn.XLOOKUP(B4430,Indices!$A$2:$A$2676,Indices!$B$2:$B$2676,"")</f>
        <v/>
      </c>
    </row>
    <row r="4431" spans="1:4" x14ac:dyDescent="0.25">
      <c r="A4431" s="379"/>
      <c r="B4431" s="382"/>
      <c r="C4431" s="377"/>
      <c r="D4431" s="6" t="str">
        <f>_xlfn.XLOOKUP(B4431,Indices!$A$2:$A$2676,Indices!$B$2:$B$2676,"")</f>
        <v/>
      </c>
    </row>
    <row r="4432" spans="1:4" x14ac:dyDescent="0.25">
      <c r="A4432" s="379"/>
      <c r="B4432" s="382"/>
      <c r="C4432" s="377"/>
      <c r="D4432" s="6" t="str">
        <f>_xlfn.XLOOKUP(B4432,Indices!$A$2:$A$2676,Indices!$B$2:$B$2676,"")</f>
        <v/>
      </c>
    </row>
    <row r="4433" spans="1:4" x14ac:dyDescent="0.25">
      <c r="A4433" s="379"/>
      <c r="B4433" s="382"/>
      <c r="C4433" s="377"/>
      <c r="D4433" s="6" t="str">
        <f>_xlfn.XLOOKUP(B4433,Indices!$A$2:$A$2676,Indices!$B$2:$B$2676,"")</f>
        <v/>
      </c>
    </row>
    <row r="4434" spans="1:4" x14ac:dyDescent="0.25">
      <c r="A4434" s="379"/>
      <c r="B4434" s="382"/>
      <c r="C4434" s="377"/>
      <c r="D4434" s="6" t="str">
        <f>_xlfn.XLOOKUP(B4434,Indices!$A$2:$A$2676,Indices!$B$2:$B$2676,"")</f>
        <v/>
      </c>
    </row>
    <row r="4435" spans="1:4" x14ac:dyDescent="0.25">
      <c r="A4435" s="379"/>
      <c r="B4435" s="382"/>
      <c r="C4435" s="377"/>
      <c r="D4435" s="6" t="str">
        <f>_xlfn.XLOOKUP(B4435,Indices!$A$2:$A$2676,Indices!$B$2:$B$2676,"")</f>
        <v/>
      </c>
    </row>
    <row r="4436" spans="1:4" x14ac:dyDescent="0.25">
      <c r="A4436" s="379"/>
      <c r="B4436" s="382"/>
      <c r="C4436" s="377"/>
      <c r="D4436" s="6" t="str">
        <f>_xlfn.XLOOKUP(B4436,Indices!$A$2:$A$2676,Indices!$B$2:$B$2676,"")</f>
        <v/>
      </c>
    </row>
    <row r="4437" spans="1:4" x14ac:dyDescent="0.25">
      <c r="A4437" s="379"/>
      <c r="B4437" s="382"/>
      <c r="C4437" s="377"/>
      <c r="D4437" s="6" t="str">
        <f>_xlfn.XLOOKUP(B4437,Indices!$A$2:$A$2676,Indices!$B$2:$B$2676,"")</f>
        <v/>
      </c>
    </row>
    <row r="4438" spans="1:4" x14ac:dyDescent="0.25">
      <c r="A4438" s="379"/>
      <c r="B4438" s="382"/>
      <c r="C4438" s="377"/>
      <c r="D4438" s="6" t="str">
        <f>_xlfn.XLOOKUP(B4438,Indices!$A$2:$A$2676,Indices!$B$2:$B$2676,"")</f>
        <v/>
      </c>
    </row>
    <row r="4439" spans="1:4" x14ac:dyDescent="0.25">
      <c r="A4439" s="379"/>
      <c r="B4439" s="382"/>
      <c r="C4439" s="377"/>
      <c r="D4439" s="6" t="str">
        <f>_xlfn.XLOOKUP(B4439,Indices!$A$2:$A$2676,Indices!$B$2:$B$2676,"")</f>
        <v/>
      </c>
    </row>
    <row r="4440" spans="1:4" x14ac:dyDescent="0.25">
      <c r="A4440" s="379"/>
      <c r="B4440" s="382"/>
      <c r="C4440" s="377"/>
      <c r="D4440" s="6" t="str">
        <f>_xlfn.XLOOKUP(B4440,Indices!$A$2:$A$2676,Indices!$B$2:$B$2676,"")</f>
        <v/>
      </c>
    </row>
    <row r="4441" spans="1:4" x14ac:dyDescent="0.25">
      <c r="A4441" s="379"/>
      <c r="B4441" s="382"/>
      <c r="C4441" s="377"/>
      <c r="D4441" s="6" t="str">
        <f>_xlfn.XLOOKUP(B4441,Indices!$A$2:$A$2676,Indices!$B$2:$B$2676,"")</f>
        <v/>
      </c>
    </row>
    <row r="4442" spans="1:4" x14ac:dyDescent="0.25">
      <c r="A4442" s="379"/>
      <c r="B4442" s="382"/>
      <c r="C4442" s="377"/>
      <c r="D4442" s="6" t="str">
        <f>_xlfn.XLOOKUP(B4442,Indices!$A$2:$A$2676,Indices!$B$2:$B$2676,"")</f>
        <v/>
      </c>
    </row>
    <row r="4443" spans="1:4" x14ac:dyDescent="0.25">
      <c r="A4443" s="379"/>
      <c r="B4443" s="382"/>
      <c r="C4443" s="377"/>
      <c r="D4443" s="6" t="str">
        <f>_xlfn.XLOOKUP(B4443,Indices!$A$2:$A$2676,Indices!$B$2:$B$2676,"")</f>
        <v/>
      </c>
    </row>
    <row r="4444" spans="1:4" x14ac:dyDescent="0.25">
      <c r="A4444" s="379"/>
      <c r="B4444" s="382"/>
      <c r="C4444" s="377"/>
      <c r="D4444" s="6" t="str">
        <f>_xlfn.XLOOKUP(B4444,Indices!$A$2:$A$2676,Indices!$B$2:$B$2676,"")</f>
        <v/>
      </c>
    </row>
    <row r="4445" spans="1:4" x14ac:dyDescent="0.25">
      <c r="A4445" s="379"/>
      <c r="B4445" s="382"/>
      <c r="C4445" s="377"/>
      <c r="D4445" s="6" t="str">
        <f>_xlfn.XLOOKUP(B4445,Indices!$A$2:$A$2676,Indices!$B$2:$B$2676,"")</f>
        <v/>
      </c>
    </row>
    <row r="4446" spans="1:4" x14ac:dyDescent="0.25">
      <c r="A4446" s="379"/>
      <c r="B4446" s="382"/>
      <c r="C4446" s="377"/>
      <c r="D4446" s="6" t="str">
        <f>_xlfn.XLOOKUP(B4446,Indices!$A$2:$A$2676,Indices!$B$2:$B$2676,"")</f>
        <v/>
      </c>
    </row>
    <row r="4447" spans="1:4" x14ac:dyDescent="0.25">
      <c r="A4447" s="379"/>
      <c r="B4447" s="382"/>
      <c r="C4447" s="377"/>
      <c r="D4447" s="6" t="str">
        <f>_xlfn.XLOOKUP(B4447,Indices!$A$2:$A$2676,Indices!$B$2:$B$2676,"")</f>
        <v/>
      </c>
    </row>
    <row r="4448" spans="1:4" x14ac:dyDescent="0.25">
      <c r="A4448" s="379"/>
      <c r="B4448" s="382"/>
      <c r="C4448" s="377"/>
      <c r="D4448" s="6" t="str">
        <f>_xlfn.XLOOKUP(B4448,Indices!$A$2:$A$2676,Indices!$B$2:$B$2676,"")</f>
        <v/>
      </c>
    </row>
    <row r="4449" spans="1:4" x14ac:dyDescent="0.25">
      <c r="A4449" s="379"/>
      <c r="B4449" s="382"/>
      <c r="C4449" s="377"/>
      <c r="D4449" s="6" t="str">
        <f>_xlfn.XLOOKUP(B4449,Indices!$A$2:$A$2676,Indices!$B$2:$B$2676,"")</f>
        <v/>
      </c>
    </row>
    <row r="4450" spans="1:4" x14ac:dyDescent="0.25">
      <c r="A4450" s="379"/>
      <c r="B4450" s="382"/>
      <c r="C4450" s="377"/>
      <c r="D4450" s="6" t="str">
        <f>_xlfn.XLOOKUP(B4450,Indices!$A$2:$A$2676,Indices!$B$2:$B$2676,"")</f>
        <v/>
      </c>
    </row>
    <row r="4451" spans="1:4" x14ac:dyDescent="0.25">
      <c r="A4451" s="379"/>
      <c r="B4451" s="382"/>
      <c r="C4451" s="377"/>
      <c r="D4451" s="6" t="str">
        <f>_xlfn.XLOOKUP(B4451,Indices!$A$2:$A$2676,Indices!$B$2:$B$2676,"")</f>
        <v/>
      </c>
    </row>
    <row r="4452" spans="1:4" x14ac:dyDescent="0.25">
      <c r="A4452" s="379"/>
      <c r="B4452" s="382"/>
      <c r="C4452" s="377"/>
      <c r="D4452" s="6" t="str">
        <f>_xlfn.XLOOKUP(B4452,Indices!$A$2:$A$2676,Indices!$B$2:$B$2676,"")</f>
        <v/>
      </c>
    </row>
    <row r="4453" spans="1:4" x14ac:dyDescent="0.25">
      <c r="A4453" s="379"/>
      <c r="B4453" s="382"/>
      <c r="C4453" s="377"/>
      <c r="D4453" s="6" t="str">
        <f>_xlfn.XLOOKUP(B4453,Indices!$A$2:$A$2676,Indices!$B$2:$B$2676,"")</f>
        <v/>
      </c>
    </row>
    <row r="4454" spans="1:4" x14ac:dyDescent="0.25">
      <c r="A4454" s="379"/>
      <c r="B4454" s="382"/>
      <c r="C4454" s="377"/>
      <c r="D4454" s="6" t="str">
        <f>_xlfn.XLOOKUP(B4454,Indices!$A$2:$A$2676,Indices!$B$2:$B$2676,"")</f>
        <v/>
      </c>
    </row>
    <row r="4455" spans="1:4" x14ac:dyDescent="0.25">
      <c r="A4455" s="379"/>
      <c r="B4455" s="382"/>
      <c r="C4455" s="377"/>
      <c r="D4455" s="6" t="str">
        <f>_xlfn.XLOOKUP(B4455,Indices!$A$2:$A$2676,Indices!$B$2:$B$2676,"")</f>
        <v/>
      </c>
    </row>
    <row r="4456" spans="1:4" x14ac:dyDescent="0.25">
      <c r="A4456" s="379"/>
      <c r="B4456" s="382"/>
      <c r="C4456" s="377"/>
      <c r="D4456" s="6" t="str">
        <f>_xlfn.XLOOKUP(B4456,Indices!$A$2:$A$2676,Indices!$B$2:$B$2676,"")</f>
        <v/>
      </c>
    </row>
    <row r="4457" spans="1:4" x14ac:dyDescent="0.25">
      <c r="A4457" s="379"/>
      <c r="B4457" s="382"/>
      <c r="C4457" s="377"/>
      <c r="D4457" s="6" t="str">
        <f>_xlfn.XLOOKUP(B4457,Indices!$A$2:$A$2676,Indices!$B$2:$B$2676,"")</f>
        <v/>
      </c>
    </row>
    <row r="4458" spans="1:4" x14ac:dyDescent="0.25">
      <c r="A4458" s="379"/>
      <c r="B4458" s="382"/>
      <c r="C4458" s="377"/>
      <c r="D4458" s="6" t="str">
        <f>_xlfn.XLOOKUP(B4458,Indices!$A$2:$A$2676,Indices!$B$2:$B$2676,"")</f>
        <v/>
      </c>
    </row>
    <row r="4459" spans="1:4" x14ac:dyDescent="0.25">
      <c r="A4459" s="379"/>
      <c r="B4459" s="382"/>
      <c r="C4459" s="377"/>
      <c r="D4459" s="6" t="str">
        <f>_xlfn.XLOOKUP(B4459,Indices!$A$2:$A$2676,Indices!$B$2:$B$2676,"")</f>
        <v/>
      </c>
    </row>
    <row r="4460" spans="1:4" x14ac:dyDescent="0.25">
      <c r="A4460" s="379"/>
      <c r="B4460" s="382"/>
      <c r="C4460" s="377"/>
      <c r="D4460" s="6" t="str">
        <f>_xlfn.XLOOKUP(B4460,Indices!$A$2:$A$2676,Indices!$B$2:$B$2676,"")</f>
        <v/>
      </c>
    </row>
    <row r="4461" spans="1:4" x14ac:dyDescent="0.25">
      <c r="A4461" s="379"/>
      <c r="B4461" s="382"/>
      <c r="C4461" s="377"/>
      <c r="D4461" s="6" t="str">
        <f>_xlfn.XLOOKUP(B4461,Indices!$A$2:$A$2676,Indices!$B$2:$B$2676,"")</f>
        <v/>
      </c>
    </row>
    <row r="4462" spans="1:4" x14ac:dyDescent="0.25">
      <c r="A4462" s="379"/>
      <c r="B4462" s="382"/>
      <c r="C4462" s="377"/>
      <c r="D4462" s="6" t="str">
        <f>_xlfn.XLOOKUP(B4462,Indices!$A$2:$A$2676,Indices!$B$2:$B$2676,"")</f>
        <v/>
      </c>
    </row>
    <row r="4463" spans="1:4" x14ac:dyDescent="0.25">
      <c r="A4463" s="379"/>
      <c r="B4463" s="382"/>
      <c r="C4463" s="377"/>
      <c r="D4463" s="6" t="str">
        <f>_xlfn.XLOOKUP(B4463,Indices!$A$2:$A$2676,Indices!$B$2:$B$2676,"")</f>
        <v/>
      </c>
    </row>
    <row r="4464" spans="1:4" x14ac:dyDescent="0.25">
      <c r="A4464" s="379"/>
      <c r="B4464" s="382"/>
      <c r="C4464" s="377"/>
      <c r="D4464" s="6" t="str">
        <f>_xlfn.XLOOKUP(B4464,Indices!$A$2:$A$2676,Indices!$B$2:$B$2676,"")</f>
        <v/>
      </c>
    </row>
    <row r="4465" spans="1:4" x14ac:dyDescent="0.25">
      <c r="A4465" s="379"/>
      <c r="B4465" s="382"/>
      <c r="C4465" s="377"/>
      <c r="D4465" s="6" t="str">
        <f>_xlfn.XLOOKUP(B4465,Indices!$A$2:$A$2676,Indices!$B$2:$B$2676,"")</f>
        <v/>
      </c>
    </row>
    <row r="4466" spans="1:4" x14ac:dyDescent="0.25">
      <c r="A4466" s="379"/>
      <c r="B4466" s="382"/>
      <c r="C4466" s="377"/>
      <c r="D4466" s="6" t="str">
        <f>_xlfn.XLOOKUP(B4466,Indices!$A$2:$A$2676,Indices!$B$2:$B$2676,"")</f>
        <v/>
      </c>
    </row>
    <row r="4467" spans="1:4" x14ac:dyDescent="0.25">
      <c r="A4467" s="379"/>
      <c r="B4467" s="382"/>
      <c r="C4467" s="377"/>
      <c r="D4467" s="6" t="str">
        <f>_xlfn.XLOOKUP(B4467,Indices!$A$2:$A$2676,Indices!$B$2:$B$2676,"")</f>
        <v/>
      </c>
    </row>
    <row r="4468" spans="1:4" x14ac:dyDescent="0.25">
      <c r="A4468" s="379"/>
      <c r="B4468" s="382"/>
      <c r="C4468" s="377"/>
      <c r="D4468" s="6" t="str">
        <f>_xlfn.XLOOKUP(B4468,Indices!$A$2:$A$2676,Indices!$B$2:$B$2676,"")</f>
        <v/>
      </c>
    </row>
    <row r="4469" spans="1:4" x14ac:dyDescent="0.25">
      <c r="A4469" s="379"/>
      <c r="B4469" s="382"/>
      <c r="C4469" s="377"/>
      <c r="D4469" s="6" t="str">
        <f>_xlfn.XLOOKUP(B4469,Indices!$A$2:$A$2676,Indices!$B$2:$B$2676,"")</f>
        <v/>
      </c>
    </row>
    <row r="4470" spans="1:4" x14ac:dyDescent="0.25">
      <c r="A4470" s="379"/>
      <c r="B4470" s="382"/>
      <c r="C4470" s="377"/>
      <c r="D4470" s="6" t="str">
        <f>_xlfn.XLOOKUP(B4470,Indices!$A$2:$A$2676,Indices!$B$2:$B$2676,"")</f>
        <v/>
      </c>
    </row>
    <row r="4471" spans="1:4" x14ac:dyDescent="0.25">
      <c r="A4471" s="379"/>
      <c r="B4471" s="382"/>
      <c r="C4471" s="377"/>
      <c r="D4471" s="6" t="str">
        <f>_xlfn.XLOOKUP(B4471,Indices!$A$2:$A$2676,Indices!$B$2:$B$2676,"")</f>
        <v/>
      </c>
    </row>
    <row r="4472" spans="1:4" x14ac:dyDescent="0.25">
      <c r="A4472" s="379"/>
      <c r="B4472" s="382"/>
      <c r="C4472" s="377"/>
      <c r="D4472" s="6" t="str">
        <f>_xlfn.XLOOKUP(B4472,Indices!$A$2:$A$2676,Indices!$B$2:$B$2676,"")</f>
        <v/>
      </c>
    </row>
    <row r="4473" spans="1:4" x14ac:dyDescent="0.25">
      <c r="A4473" s="379"/>
      <c r="B4473" s="382"/>
      <c r="C4473" s="377"/>
      <c r="D4473" s="6" t="str">
        <f>_xlfn.XLOOKUP(B4473,Indices!$A$2:$A$2676,Indices!$B$2:$B$2676,"")</f>
        <v/>
      </c>
    </row>
    <row r="4474" spans="1:4" x14ac:dyDescent="0.25">
      <c r="A4474" s="379"/>
      <c r="B4474" s="382"/>
      <c r="C4474" s="377"/>
      <c r="D4474" s="6" t="str">
        <f>_xlfn.XLOOKUP(B4474,Indices!$A$2:$A$2676,Indices!$B$2:$B$2676,"")</f>
        <v/>
      </c>
    </row>
    <row r="4475" spans="1:4" x14ac:dyDescent="0.25">
      <c r="A4475" s="379"/>
      <c r="B4475" s="382"/>
      <c r="C4475" s="377"/>
      <c r="D4475" s="6" t="str">
        <f>_xlfn.XLOOKUP(B4475,Indices!$A$2:$A$2676,Indices!$B$2:$B$2676,"")</f>
        <v/>
      </c>
    </row>
    <row r="4476" spans="1:4" x14ac:dyDescent="0.25">
      <c r="A4476" s="379"/>
      <c r="B4476" s="382"/>
      <c r="C4476" s="377"/>
      <c r="D4476" s="6" t="str">
        <f>_xlfn.XLOOKUP(B4476,Indices!$A$2:$A$2676,Indices!$B$2:$B$2676,"")</f>
        <v/>
      </c>
    </row>
    <row r="4477" spans="1:4" x14ac:dyDescent="0.25">
      <c r="A4477" s="379"/>
      <c r="B4477" s="382"/>
      <c r="C4477" s="377"/>
      <c r="D4477" s="6" t="str">
        <f>_xlfn.XLOOKUP(B4477,Indices!$A$2:$A$2676,Indices!$B$2:$B$2676,"")</f>
        <v/>
      </c>
    </row>
    <row r="4478" spans="1:4" x14ac:dyDescent="0.25">
      <c r="A4478" s="379"/>
      <c r="B4478" s="382"/>
      <c r="C4478" s="377"/>
      <c r="D4478" s="6" t="str">
        <f>_xlfn.XLOOKUP(B4478,Indices!$A$2:$A$2676,Indices!$B$2:$B$2676,"")</f>
        <v/>
      </c>
    </row>
    <row r="4479" spans="1:4" x14ac:dyDescent="0.25">
      <c r="A4479" s="379"/>
      <c r="B4479" s="382"/>
      <c r="C4479" s="377"/>
      <c r="D4479" s="6" t="str">
        <f>_xlfn.XLOOKUP(B4479,Indices!$A$2:$A$2676,Indices!$B$2:$B$2676,"")</f>
        <v/>
      </c>
    </row>
    <row r="4480" spans="1:4" x14ac:dyDescent="0.25">
      <c r="A4480" s="379"/>
      <c r="B4480" s="382"/>
      <c r="C4480" s="377"/>
      <c r="D4480" s="6" t="str">
        <f>_xlfn.XLOOKUP(B4480,Indices!$A$2:$A$2676,Indices!$B$2:$B$2676,"")</f>
        <v/>
      </c>
    </row>
    <row r="4481" spans="1:4" x14ac:dyDescent="0.25">
      <c r="A4481" s="379"/>
      <c r="B4481" s="382"/>
      <c r="C4481" s="377"/>
      <c r="D4481" s="6" t="str">
        <f>_xlfn.XLOOKUP(B4481,Indices!$A$2:$A$2676,Indices!$B$2:$B$2676,"")</f>
        <v/>
      </c>
    </row>
    <row r="4482" spans="1:4" x14ac:dyDescent="0.25">
      <c r="A4482" s="379"/>
      <c r="B4482" s="382"/>
      <c r="C4482" s="377"/>
      <c r="D4482" s="6" t="str">
        <f>_xlfn.XLOOKUP(B4482,Indices!$A$2:$A$2676,Indices!$B$2:$B$2676,"")</f>
        <v/>
      </c>
    </row>
    <row r="4483" spans="1:4" x14ac:dyDescent="0.25">
      <c r="A4483" s="379"/>
      <c r="B4483" s="382"/>
      <c r="C4483" s="377"/>
      <c r="D4483" s="6" t="str">
        <f>_xlfn.XLOOKUP(B4483,Indices!$A$2:$A$2676,Indices!$B$2:$B$2676,"")</f>
        <v/>
      </c>
    </row>
    <row r="4484" spans="1:4" x14ac:dyDescent="0.25">
      <c r="A4484" s="379"/>
      <c r="B4484" s="382"/>
      <c r="C4484" s="377"/>
      <c r="D4484" s="6" t="str">
        <f>_xlfn.XLOOKUP(B4484,Indices!$A$2:$A$2676,Indices!$B$2:$B$2676,"")</f>
        <v/>
      </c>
    </row>
    <row r="4485" spans="1:4" x14ac:dyDescent="0.25">
      <c r="A4485" s="379"/>
      <c r="B4485" s="382"/>
      <c r="C4485" s="377"/>
      <c r="D4485" s="6" t="str">
        <f>_xlfn.XLOOKUP(B4485,Indices!$A$2:$A$2676,Indices!$B$2:$B$2676,"")</f>
        <v/>
      </c>
    </row>
    <row r="4486" spans="1:4" x14ac:dyDescent="0.25">
      <c r="A4486" s="379"/>
      <c r="B4486" s="382"/>
      <c r="C4486" s="377"/>
      <c r="D4486" s="6" t="str">
        <f>_xlfn.XLOOKUP(B4486,Indices!$A$2:$A$2676,Indices!$B$2:$B$2676,"")</f>
        <v/>
      </c>
    </row>
    <row r="4487" spans="1:4" x14ac:dyDescent="0.25">
      <c r="A4487" s="379"/>
      <c r="B4487" s="382"/>
      <c r="C4487" s="377"/>
      <c r="D4487" s="6" t="str">
        <f>_xlfn.XLOOKUP(B4487,Indices!$A$2:$A$2676,Indices!$B$2:$B$2676,"")</f>
        <v/>
      </c>
    </row>
    <row r="4488" spans="1:4" x14ac:dyDescent="0.25">
      <c r="A4488" s="379"/>
      <c r="B4488" s="382"/>
      <c r="C4488" s="377"/>
      <c r="D4488" s="6" t="str">
        <f>_xlfn.XLOOKUP(B4488,Indices!$A$2:$A$2676,Indices!$B$2:$B$2676,"")</f>
        <v/>
      </c>
    </row>
    <row r="4489" spans="1:4" x14ac:dyDescent="0.25">
      <c r="A4489" s="379"/>
      <c r="B4489" s="382"/>
      <c r="C4489" s="377"/>
      <c r="D4489" s="6" t="str">
        <f>_xlfn.XLOOKUP(B4489,Indices!$A$2:$A$2676,Indices!$B$2:$B$2676,"")</f>
        <v/>
      </c>
    </row>
    <row r="4490" spans="1:4" x14ac:dyDescent="0.25">
      <c r="A4490" s="379"/>
      <c r="B4490" s="382"/>
      <c r="C4490" s="377"/>
      <c r="D4490" s="6" t="str">
        <f>_xlfn.XLOOKUP(B4490,Indices!$A$2:$A$2676,Indices!$B$2:$B$2676,"")</f>
        <v/>
      </c>
    </row>
    <row r="4491" spans="1:4" x14ac:dyDescent="0.25">
      <c r="A4491" s="379"/>
      <c r="B4491" s="382"/>
      <c r="C4491" s="377"/>
      <c r="D4491" s="6" t="str">
        <f>_xlfn.XLOOKUP(B4491,Indices!$A$2:$A$2676,Indices!$B$2:$B$2676,"")</f>
        <v/>
      </c>
    </row>
    <row r="4492" spans="1:4" x14ac:dyDescent="0.25">
      <c r="A4492" s="379"/>
      <c r="B4492" s="382"/>
      <c r="C4492" s="377"/>
      <c r="D4492" s="6" t="str">
        <f>_xlfn.XLOOKUP(B4492,Indices!$A$2:$A$2676,Indices!$B$2:$B$2676,"")</f>
        <v/>
      </c>
    </row>
    <row r="4493" spans="1:4" x14ac:dyDescent="0.25">
      <c r="A4493" s="379"/>
      <c r="B4493" s="382"/>
      <c r="C4493" s="377"/>
      <c r="D4493" s="6" t="str">
        <f>_xlfn.XLOOKUP(B4493,Indices!$A$2:$A$2676,Indices!$B$2:$B$2676,"")</f>
        <v/>
      </c>
    </row>
    <row r="4494" spans="1:4" x14ac:dyDescent="0.25">
      <c r="A4494" s="379"/>
      <c r="B4494" s="382"/>
      <c r="C4494" s="377"/>
      <c r="D4494" s="6" t="str">
        <f>_xlfn.XLOOKUP(B4494,Indices!$A$2:$A$2676,Indices!$B$2:$B$2676,"")</f>
        <v/>
      </c>
    </row>
    <row r="4495" spans="1:4" x14ac:dyDescent="0.25">
      <c r="A4495" s="379"/>
      <c r="B4495" s="382"/>
      <c r="C4495" s="377"/>
      <c r="D4495" s="6" t="str">
        <f>_xlfn.XLOOKUP(B4495,Indices!$A$2:$A$2676,Indices!$B$2:$B$2676,"")</f>
        <v/>
      </c>
    </row>
    <row r="4496" spans="1:4" x14ac:dyDescent="0.25">
      <c r="A4496" s="379"/>
      <c r="B4496" s="382"/>
      <c r="C4496" s="377"/>
      <c r="D4496" s="6" t="str">
        <f>_xlfn.XLOOKUP(B4496,Indices!$A$2:$A$2676,Indices!$B$2:$B$2676,"")</f>
        <v/>
      </c>
    </row>
    <row r="4497" spans="1:4" x14ac:dyDescent="0.25">
      <c r="A4497" s="379"/>
      <c r="B4497" s="382"/>
      <c r="C4497" s="377"/>
      <c r="D4497" s="6" t="str">
        <f>_xlfn.XLOOKUP(B4497,Indices!$A$2:$A$2676,Indices!$B$2:$B$2676,"")</f>
        <v/>
      </c>
    </row>
    <row r="4498" spans="1:4" x14ac:dyDescent="0.25">
      <c r="A4498" s="379"/>
      <c r="B4498" s="382"/>
      <c r="C4498" s="377"/>
      <c r="D4498" s="6" t="str">
        <f>_xlfn.XLOOKUP(B4498,Indices!$A$2:$A$2676,Indices!$B$2:$B$2676,"")</f>
        <v/>
      </c>
    </row>
    <row r="4499" spans="1:4" x14ac:dyDescent="0.25">
      <c r="A4499" s="379"/>
      <c r="B4499" s="382"/>
      <c r="C4499" s="377"/>
      <c r="D4499" s="6" t="str">
        <f>_xlfn.XLOOKUP(B4499,Indices!$A$2:$A$2676,Indices!$B$2:$B$2676,"")</f>
        <v/>
      </c>
    </row>
    <row r="4500" spans="1:4" x14ac:dyDescent="0.25">
      <c r="A4500" s="379"/>
      <c r="B4500" s="382"/>
      <c r="C4500" s="377"/>
      <c r="D4500" s="6" t="str">
        <f>_xlfn.XLOOKUP(B4500,Indices!$A$2:$A$2676,Indices!$B$2:$B$2676,"")</f>
        <v/>
      </c>
    </row>
    <row r="4501" spans="1:4" x14ac:dyDescent="0.25">
      <c r="A4501" s="379"/>
      <c r="B4501" s="382"/>
      <c r="C4501" s="377"/>
      <c r="D4501" s="6" t="str">
        <f>_xlfn.XLOOKUP(B4501,Indices!$A$2:$A$2676,Indices!$B$2:$B$2676,"")</f>
        <v/>
      </c>
    </row>
    <row r="4502" spans="1:4" x14ac:dyDescent="0.25">
      <c r="A4502" s="379"/>
      <c r="B4502" s="382"/>
      <c r="C4502" s="377"/>
      <c r="D4502" s="6" t="str">
        <f>_xlfn.XLOOKUP(B4502,Indices!$A$2:$A$2676,Indices!$B$2:$B$2676,"")</f>
        <v/>
      </c>
    </row>
    <row r="4503" spans="1:4" x14ac:dyDescent="0.25">
      <c r="A4503" s="379"/>
      <c r="B4503" s="382"/>
      <c r="C4503" s="377"/>
      <c r="D4503" s="6" t="str">
        <f>_xlfn.XLOOKUP(B4503,Indices!$A$2:$A$2676,Indices!$B$2:$B$2676,"")</f>
        <v/>
      </c>
    </row>
    <row r="4504" spans="1:4" x14ac:dyDescent="0.25">
      <c r="A4504" s="379"/>
      <c r="B4504" s="382"/>
      <c r="C4504" s="377"/>
      <c r="D4504" s="6" t="str">
        <f>_xlfn.XLOOKUP(B4504,Indices!$A$2:$A$2676,Indices!$B$2:$B$2676,"")</f>
        <v/>
      </c>
    </row>
    <row r="4505" spans="1:4" x14ac:dyDescent="0.25">
      <c r="A4505" s="379"/>
      <c r="B4505" s="382"/>
      <c r="C4505" s="377"/>
      <c r="D4505" s="6" t="str">
        <f>_xlfn.XLOOKUP(B4505,Indices!$A$2:$A$2676,Indices!$B$2:$B$2676,"")</f>
        <v/>
      </c>
    </row>
    <row r="4506" spans="1:4" x14ac:dyDescent="0.25">
      <c r="A4506" s="379"/>
      <c r="B4506" s="382"/>
      <c r="C4506" s="377"/>
      <c r="D4506" s="6" t="str">
        <f>_xlfn.XLOOKUP(B4506,Indices!$A$2:$A$2676,Indices!$B$2:$B$2676,"")</f>
        <v/>
      </c>
    </row>
    <row r="4507" spans="1:4" x14ac:dyDescent="0.25">
      <c r="A4507" s="379"/>
      <c r="B4507" s="382"/>
      <c r="C4507" s="377"/>
      <c r="D4507" s="6" t="str">
        <f>_xlfn.XLOOKUP(B4507,Indices!$A$2:$A$2676,Indices!$B$2:$B$2676,"")</f>
        <v/>
      </c>
    </row>
    <row r="4508" spans="1:4" x14ac:dyDescent="0.25">
      <c r="A4508" s="379"/>
      <c r="B4508" s="382"/>
      <c r="C4508" s="377"/>
      <c r="D4508" s="6" t="str">
        <f>_xlfn.XLOOKUP(B4508,Indices!$A$2:$A$2676,Indices!$B$2:$B$2676,"")</f>
        <v/>
      </c>
    </row>
    <row r="4509" spans="1:4" x14ac:dyDescent="0.25">
      <c r="A4509" s="379"/>
      <c r="B4509" s="382"/>
      <c r="C4509" s="377"/>
      <c r="D4509" s="6" t="str">
        <f>_xlfn.XLOOKUP(B4509,Indices!$A$2:$A$2676,Indices!$B$2:$B$2676,"")</f>
        <v/>
      </c>
    </row>
    <row r="4510" spans="1:4" x14ac:dyDescent="0.25">
      <c r="A4510" s="379"/>
      <c r="B4510" s="382"/>
      <c r="C4510" s="377"/>
      <c r="D4510" s="6" t="str">
        <f>_xlfn.XLOOKUP(B4510,Indices!$A$2:$A$2676,Indices!$B$2:$B$2676,"")</f>
        <v/>
      </c>
    </row>
    <row r="4511" spans="1:4" x14ac:dyDescent="0.25">
      <c r="A4511" s="379"/>
      <c r="B4511" s="382"/>
      <c r="C4511" s="377"/>
      <c r="D4511" s="6" t="str">
        <f>_xlfn.XLOOKUP(B4511,Indices!$A$2:$A$2676,Indices!$B$2:$B$2676,"")</f>
        <v/>
      </c>
    </row>
    <row r="4512" spans="1:4" x14ac:dyDescent="0.25">
      <c r="A4512" s="379"/>
      <c r="B4512" s="382"/>
      <c r="C4512" s="377"/>
      <c r="D4512" s="6" t="str">
        <f>_xlfn.XLOOKUP(B4512,Indices!$A$2:$A$2676,Indices!$B$2:$B$2676,"")</f>
        <v/>
      </c>
    </row>
    <row r="4513" spans="1:4" x14ac:dyDescent="0.25">
      <c r="A4513" s="379"/>
      <c r="B4513" s="382"/>
      <c r="C4513" s="377"/>
      <c r="D4513" s="6" t="str">
        <f>_xlfn.XLOOKUP(B4513,Indices!$A$2:$A$2676,Indices!$B$2:$B$2676,"")</f>
        <v/>
      </c>
    </row>
    <row r="4514" spans="1:4" x14ac:dyDescent="0.25">
      <c r="A4514" s="379"/>
      <c r="B4514" s="382"/>
      <c r="C4514" s="377"/>
      <c r="D4514" s="6" t="str">
        <f>_xlfn.XLOOKUP(B4514,Indices!$A$2:$A$2676,Indices!$B$2:$B$2676,"")</f>
        <v/>
      </c>
    </row>
    <row r="4515" spans="1:4" x14ac:dyDescent="0.25">
      <c r="A4515" s="379"/>
      <c r="B4515" s="382"/>
      <c r="C4515" s="377"/>
      <c r="D4515" s="6" t="str">
        <f>_xlfn.XLOOKUP(B4515,Indices!$A$2:$A$2676,Indices!$B$2:$B$2676,"")</f>
        <v/>
      </c>
    </row>
    <row r="4516" spans="1:4" x14ac:dyDescent="0.25">
      <c r="A4516" s="379"/>
      <c r="B4516" s="382"/>
      <c r="C4516" s="377"/>
      <c r="D4516" s="6" t="str">
        <f>_xlfn.XLOOKUP(B4516,Indices!$A$2:$A$2676,Indices!$B$2:$B$2676,"")</f>
        <v/>
      </c>
    </row>
    <row r="4517" spans="1:4" x14ac:dyDescent="0.25">
      <c r="A4517" s="379"/>
      <c r="B4517" s="382"/>
      <c r="C4517" s="377"/>
      <c r="D4517" s="6" t="str">
        <f>_xlfn.XLOOKUP(B4517,Indices!$A$2:$A$2676,Indices!$B$2:$B$2676,"")</f>
        <v/>
      </c>
    </row>
    <row r="4518" spans="1:4" x14ac:dyDescent="0.25">
      <c r="A4518" s="379"/>
      <c r="B4518" s="382"/>
      <c r="C4518" s="377"/>
      <c r="D4518" s="6" t="str">
        <f>_xlfn.XLOOKUP(B4518,Indices!$A$2:$A$2676,Indices!$B$2:$B$2676,"")</f>
        <v/>
      </c>
    </row>
    <row r="4519" spans="1:4" x14ac:dyDescent="0.25">
      <c r="A4519" s="379"/>
      <c r="B4519" s="382"/>
      <c r="C4519" s="377"/>
      <c r="D4519" s="6" t="str">
        <f>_xlfn.XLOOKUP(B4519,Indices!$A$2:$A$2676,Indices!$B$2:$B$2676,"")</f>
        <v/>
      </c>
    </row>
    <row r="4520" spans="1:4" x14ac:dyDescent="0.25">
      <c r="A4520" s="379"/>
      <c r="B4520" s="382"/>
      <c r="C4520" s="377"/>
      <c r="D4520" s="6" t="str">
        <f>_xlfn.XLOOKUP(B4520,Indices!$A$2:$A$2676,Indices!$B$2:$B$2676,"")</f>
        <v/>
      </c>
    </row>
    <row r="4521" spans="1:4" x14ac:dyDescent="0.25">
      <c r="A4521" s="379"/>
      <c r="B4521" s="382"/>
      <c r="C4521" s="377"/>
      <c r="D4521" s="6" t="str">
        <f>_xlfn.XLOOKUP(B4521,Indices!$A$2:$A$2676,Indices!$B$2:$B$2676,"")</f>
        <v/>
      </c>
    </row>
    <row r="4522" spans="1:4" x14ac:dyDescent="0.25">
      <c r="A4522" s="379"/>
      <c r="B4522" s="382"/>
      <c r="C4522" s="377"/>
      <c r="D4522" s="6" t="str">
        <f>_xlfn.XLOOKUP(B4522,Indices!$A$2:$A$2676,Indices!$B$2:$B$2676,"")</f>
        <v/>
      </c>
    </row>
    <row r="4523" spans="1:4" x14ac:dyDescent="0.25">
      <c r="A4523" s="380"/>
      <c r="B4523" s="7"/>
      <c r="D4523" s="6" t="str">
        <f>_xlfn.XLOOKUP(B4523,Indices!$A$2:$A$2676,Indices!$B$2:$B$2676,"")</f>
        <v/>
      </c>
    </row>
    <row r="4524" spans="1:4" x14ac:dyDescent="0.25">
      <c r="A4524" s="380"/>
      <c r="B4524" s="7"/>
      <c r="D4524" s="6" t="str">
        <f>_xlfn.XLOOKUP(B4524,Indices!$A$2:$A$2676,Indices!$B$2:$B$2676,"")</f>
        <v/>
      </c>
    </row>
    <row r="4525" spans="1:4" x14ac:dyDescent="0.25">
      <c r="A4525" s="380"/>
      <c r="B4525" s="7"/>
      <c r="D4525" s="6" t="str">
        <f>_xlfn.XLOOKUP(B4525,Indices!$A$2:$A$2676,Indices!$B$2:$B$2676,"")</f>
        <v/>
      </c>
    </row>
    <row r="4526" spans="1:4" x14ac:dyDescent="0.25">
      <c r="A4526" s="380"/>
      <c r="B4526" s="7"/>
      <c r="D4526" s="6" t="str">
        <f>_xlfn.XLOOKUP(B4526,Indices!$A$2:$A$2676,Indices!$B$2:$B$2676,"")</f>
        <v/>
      </c>
    </row>
    <row r="4527" spans="1:4" x14ac:dyDescent="0.25">
      <c r="A4527" s="380"/>
      <c r="B4527" s="7"/>
      <c r="D4527" s="6" t="str">
        <f>_xlfn.XLOOKUP(B4527,Indices!$A$2:$A$2676,Indices!$B$2:$B$2676,"")</f>
        <v/>
      </c>
    </row>
    <row r="4528" spans="1:4" x14ac:dyDescent="0.25">
      <c r="A4528" s="380"/>
      <c r="B4528" s="7"/>
      <c r="D4528" s="6" t="str">
        <f>_xlfn.XLOOKUP(B4528,Indices!$A$2:$A$2676,Indices!$B$2:$B$2676,"")</f>
        <v/>
      </c>
    </row>
    <row r="4529" spans="1:4" x14ac:dyDescent="0.25">
      <c r="A4529" s="380"/>
      <c r="B4529" s="7"/>
      <c r="D4529" s="6" t="str">
        <f>_xlfn.XLOOKUP(B4529,Indices!$A$2:$A$2676,Indices!$B$2:$B$2676,"")</f>
        <v/>
      </c>
    </row>
    <row r="4530" spans="1:4" x14ac:dyDescent="0.25">
      <c r="A4530" s="380"/>
      <c r="B4530" s="7"/>
      <c r="D4530" s="6" t="str">
        <f>_xlfn.XLOOKUP(B4530,Indices!$A$2:$A$2676,Indices!$B$2:$B$2676,"")</f>
        <v/>
      </c>
    </row>
    <row r="4531" spans="1:4" x14ac:dyDescent="0.25">
      <c r="A4531" s="380"/>
      <c r="B4531" s="7"/>
      <c r="D4531" s="6" t="str">
        <f>_xlfn.XLOOKUP(B4531,Indices!$A$2:$A$2676,Indices!$B$2:$B$2676,"")</f>
        <v/>
      </c>
    </row>
    <row r="4532" spans="1:4" x14ac:dyDescent="0.25">
      <c r="A4532" s="380"/>
      <c r="B4532" s="7"/>
      <c r="D4532" s="6" t="str">
        <f>_xlfn.XLOOKUP(B4532,Indices!$A$2:$A$2676,Indices!$B$2:$B$2676,"")</f>
        <v/>
      </c>
    </row>
    <row r="4533" spans="1:4" x14ac:dyDescent="0.25">
      <c r="A4533" s="380"/>
      <c r="B4533" s="7"/>
      <c r="D4533" s="6" t="str">
        <f>_xlfn.XLOOKUP(B4533,Indices!$A$2:$A$2676,Indices!$B$2:$B$2676,"")</f>
        <v/>
      </c>
    </row>
    <row r="4534" spans="1:4" x14ac:dyDescent="0.25">
      <c r="A4534" s="380"/>
      <c r="B4534" s="7"/>
      <c r="D4534" s="6" t="str">
        <f>_xlfn.XLOOKUP(B4534,Indices!$A$2:$A$2676,Indices!$B$2:$B$2676,"")</f>
        <v/>
      </c>
    </row>
    <row r="4535" spans="1:4" x14ac:dyDescent="0.25">
      <c r="A4535" s="380"/>
      <c r="B4535" s="7"/>
      <c r="D4535" s="6" t="str">
        <f>_xlfn.XLOOKUP(B4535,Indices!$A$2:$A$2676,Indices!$B$2:$B$2676,"")</f>
        <v/>
      </c>
    </row>
    <row r="4536" spans="1:4" x14ac:dyDescent="0.25">
      <c r="A4536" s="380"/>
      <c r="B4536" s="7"/>
      <c r="D4536" s="6" t="str">
        <f>_xlfn.XLOOKUP(B4536,Indices!$A$2:$A$2676,Indices!$B$2:$B$2676,"")</f>
        <v/>
      </c>
    </row>
    <row r="4537" spans="1:4" x14ac:dyDescent="0.25">
      <c r="A4537" s="380"/>
      <c r="B4537" s="7"/>
      <c r="D4537" s="6" t="str">
        <f>_xlfn.XLOOKUP(B4537,Indices!$A$2:$A$2676,Indices!$B$2:$B$2676,"")</f>
        <v/>
      </c>
    </row>
    <row r="4538" spans="1:4" x14ac:dyDescent="0.25">
      <c r="A4538" s="380"/>
      <c r="B4538" s="7"/>
      <c r="D4538" s="6" t="str">
        <f>_xlfn.XLOOKUP(B4538,Indices!$A$2:$A$2676,Indices!$B$2:$B$2676,"")</f>
        <v/>
      </c>
    </row>
    <row r="4539" spans="1:4" x14ac:dyDescent="0.25">
      <c r="A4539" s="380"/>
      <c r="B4539" s="7"/>
      <c r="D4539" s="6" t="str">
        <f>_xlfn.XLOOKUP(B4539,Indices!$A$2:$A$2676,Indices!$B$2:$B$2676,"")</f>
        <v/>
      </c>
    </row>
    <row r="4540" spans="1:4" x14ac:dyDescent="0.25">
      <c r="A4540" s="380"/>
      <c r="B4540" s="7"/>
      <c r="D4540" s="6" t="str">
        <f>_xlfn.XLOOKUP(B4540,Indices!$A$2:$A$2676,Indices!$B$2:$B$2676,"")</f>
        <v/>
      </c>
    </row>
    <row r="4541" spans="1:4" x14ac:dyDescent="0.25">
      <c r="A4541" s="380"/>
      <c r="B4541" s="7"/>
      <c r="D4541" s="6" t="str">
        <f>_xlfn.XLOOKUP(B4541,Indices!$A$2:$A$2676,Indices!$B$2:$B$2676,"")</f>
        <v/>
      </c>
    </row>
    <row r="4542" spans="1:4" x14ac:dyDescent="0.25">
      <c r="A4542" s="380"/>
      <c r="B4542" s="7"/>
      <c r="D4542" s="6" t="str">
        <f>_xlfn.XLOOKUP(B4542,Indices!$A$2:$A$2676,Indices!$B$2:$B$2676,"")</f>
        <v/>
      </c>
    </row>
    <row r="4543" spans="1:4" x14ac:dyDescent="0.25">
      <c r="A4543" s="380"/>
      <c r="B4543" s="7"/>
      <c r="D4543" s="6" t="str">
        <f>_xlfn.XLOOKUP(B4543,Indices!$A$2:$A$2676,Indices!$B$2:$B$2676,"")</f>
        <v/>
      </c>
    </row>
    <row r="4544" spans="1:4" x14ac:dyDescent="0.25">
      <c r="A4544" s="380"/>
      <c r="B4544" s="7"/>
      <c r="D4544" s="6" t="str">
        <f>_xlfn.XLOOKUP(B4544,Indices!$A$2:$A$2676,Indices!$B$2:$B$2676,"")</f>
        <v/>
      </c>
    </row>
    <row r="4545" spans="1:4" x14ac:dyDescent="0.25">
      <c r="A4545" s="380"/>
      <c r="B4545" s="7"/>
      <c r="D4545" s="6" t="str">
        <f>_xlfn.XLOOKUP(B4545,Indices!$A$2:$A$2676,Indices!$B$2:$B$2676,"")</f>
        <v/>
      </c>
    </row>
    <row r="4546" spans="1:4" x14ac:dyDescent="0.25">
      <c r="A4546" s="380"/>
      <c r="B4546" s="7"/>
      <c r="D4546" s="6" t="str">
        <f>_xlfn.XLOOKUP(B4546,Indices!$A$2:$A$2676,Indices!$B$2:$B$2676,"")</f>
        <v/>
      </c>
    </row>
    <row r="4547" spans="1:4" x14ac:dyDescent="0.25">
      <c r="A4547" s="380"/>
      <c r="B4547" s="7"/>
      <c r="D4547" s="6" t="str">
        <f>_xlfn.XLOOKUP(B4547,Indices!$A$2:$A$2676,Indices!$B$2:$B$2676,"")</f>
        <v/>
      </c>
    </row>
    <row r="4548" spans="1:4" x14ac:dyDescent="0.25">
      <c r="A4548" s="380"/>
      <c r="B4548" s="7"/>
      <c r="D4548" s="6" t="str">
        <f>_xlfn.XLOOKUP(B4548,Indices!$A$2:$A$2676,Indices!$B$2:$B$2676,"")</f>
        <v/>
      </c>
    </row>
    <row r="4549" spans="1:4" x14ac:dyDescent="0.25">
      <c r="A4549" s="380"/>
      <c r="B4549" s="7"/>
      <c r="D4549" s="6" t="str">
        <f>_xlfn.XLOOKUP(B4549,Indices!$A$2:$A$2676,Indices!$B$2:$B$2676,"")</f>
        <v/>
      </c>
    </row>
    <row r="4550" spans="1:4" x14ac:dyDescent="0.25">
      <c r="A4550" s="380"/>
      <c r="B4550" s="7"/>
      <c r="D4550" s="6" t="str">
        <f>_xlfn.XLOOKUP(B4550,Indices!$A$2:$A$2676,Indices!$B$2:$B$2676,"")</f>
        <v/>
      </c>
    </row>
    <row r="4551" spans="1:4" x14ac:dyDescent="0.25">
      <c r="A4551" s="380"/>
      <c r="B4551" s="7"/>
      <c r="D4551" s="6" t="str">
        <f>_xlfn.XLOOKUP(B4551,Indices!$A$2:$A$2676,Indices!$B$2:$B$2676,"")</f>
        <v/>
      </c>
    </row>
    <row r="4552" spans="1:4" x14ac:dyDescent="0.25">
      <c r="A4552" s="380"/>
      <c r="B4552" s="7"/>
      <c r="D4552" s="6" t="str">
        <f>_xlfn.XLOOKUP(B4552,Indices!$A$2:$A$2676,Indices!$B$2:$B$2676,"")</f>
        <v/>
      </c>
    </row>
    <row r="4553" spans="1:4" x14ac:dyDescent="0.25">
      <c r="A4553" s="380"/>
      <c r="B4553" s="7"/>
      <c r="D4553" s="6" t="str">
        <f>_xlfn.XLOOKUP(B4553,Indices!$A$2:$A$2676,Indices!$B$2:$B$2676,"")</f>
        <v/>
      </c>
    </row>
    <row r="4554" spans="1:4" x14ac:dyDescent="0.25">
      <c r="A4554" s="380"/>
      <c r="B4554" s="7"/>
      <c r="D4554" s="6" t="str">
        <f>_xlfn.XLOOKUP(B4554,Indices!$A$2:$A$2676,Indices!$B$2:$B$2676,"")</f>
        <v/>
      </c>
    </row>
    <row r="4555" spans="1:4" x14ac:dyDescent="0.25">
      <c r="A4555" s="380"/>
      <c r="B4555" s="7"/>
      <c r="D4555" s="6" t="str">
        <f>_xlfn.XLOOKUP(B4555,Indices!$A$2:$A$2676,Indices!$B$2:$B$2676,"")</f>
        <v/>
      </c>
    </row>
    <row r="4556" spans="1:4" x14ac:dyDescent="0.25">
      <c r="A4556" s="380"/>
      <c r="B4556" s="7"/>
      <c r="D4556" s="6" t="str">
        <f>_xlfn.XLOOKUP(B4556,Indices!$A$2:$A$2676,Indices!$B$2:$B$2676,"")</f>
        <v/>
      </c>
    </row>
    <row r="4557" spans="1:4" x14ac:dyDescent="0.25">
      <c r="A4557" s="380"/>
      <c r="B4557" s="7"/>
      <c r="D4557" s="6" t="str">
        <f>_xlfn.XLOOKUP(B4557,Indices!$A$2:$A$2676,Indices!$B$2:$B$2676,"")</f>
        <v/>
      </c>
    </row>
    <row r="4558" spans="1:4" x14ac:dyDescent="0.25">
      <c r="A4558" s="380"/>
      <c r="B4558" s="7"/>
      <c r="D4558" s="6" t="str">
        <f>_xlfn.XLOOKUP(B4558,Indices!$A$2:$A$2676,Indices!$B$2:$B$2676,"")</f>
        <v/>
      </c>
    </row>
    <row r="4559" spans="1:4" x14ac:dyDescent="0.25">
      <c r="A4559" s="380"/>
      <c r="B4559" s="7"/>
      <c r="D4559" s="6" t="str">
        <f>_xlfn.XLOOKUP(B4559,Indices!$A$2:$A$2676,Indices!$B$2:$B$2676,"")</f>
        <v/>
      </c>
    </row>
    <row r="4560" spans="1:4" x14ac:dyDescent="0.25">
      <c r="A4560" s="380"/>
      <c r="B4560" s="7"/>
      <c r="D4560" s="6" t="str">
        <f>_xlfn.XLOOKUP(B4560,Indices!$A$2:$A$2676,Indices!$B$2:$B$2676,"")</f>
        <v/>
      </c>
    </row>
    <row r="4561" spans="1:4" x14ac:dyDescent="0.25">
      <c r="A4561" s="380"/>
      <c r="B4561" s="7"/>
      <c r="D4561" s="6" t="str">
        <f>_xlfn.XLOOKUP(B4561,Indices!$A$2:$A$2676,Indices!$B$2:$B$2676,"")</f>
        <v/>
      </c>
    </row>
    <row r="4562" spans="1:4" x14ac:dyDescent="0.25">
      <c r="A4562" s="380"/>
      <c r="B4562" s="7"/>
      <c r="D4562" s="6" t="str">
        <f>_xlfn.XLOOKUP(B4562,Indices!$A$2:$A$2676,Indices!$B$2:$B$2676,"")</f>
        <v/>
      </c>
    </row>
    <row r="4563" spans="1:4" x14ac:dyDescent="0.25">
      <c r="A4563" s="380"/>
      <c r="B4563" s="7"/>
      <c r="D4563" s="6" t="str">
        <f>_xlfn.XLOOKUP(B4563,Indices!$A$2:$A$2676,Indices!$B$2:$B$2676,"")</f>
        <v/>
      </c>
    </row>
    <row r="4564" spans="1:4" x14ac:dyDescent="0.25">
      <c r="A4564" s="380"/>
      <c r="B4564" s="7"/>
      <c r="D4564" s="6" t="str">
        <f>_xlfn.XLOOKUP(B4564,Indices!$A$2:$A$2676,Indices!$B$2:$B$2676,"")</f>
        <v/>
      </c>
    </row>
    <row r="4565" spans="1:4" x14ac:dyDescent="0.25">
      <c r="A4565" s="380"/>
      <c r="B4565" s="7"/>
      <c r="D4565" s="6" t="str">
        <f>_xlfn.XLOOKUP(B4565,Indices!$A$2:$A$2676,Indices!$B$2:$B$2676,"")</f>
        <v/>
      </c>
    </row>
    <row r="4566" spans="1:4" x14ac:dyDescent="0.25">
      <c r="A4566" s="380"/>
      <c r="B4566" s="7"/>
      <c r="D4566" s="6" t="str">
        <f>_xlfn.XLOOKUP(B4566,Indices!$A$2:$A$2676,Indices!$B$2:$B$2676,"")</f>
        <v/>
      </c>
    </row>
    <row r="4567" spans="1:4" x14ac:dyDescent="0.25">
      <c r="A4567" s="380"/>
      <c r="B4567" s="7"/>
      <c r="D4567" s="6" t="str">
        <f>_xlfn.XLOOKUP(B4567,Indices!$A$2:$A$2676,Indices!$B$2:$B$2676,"")</f>
        <v/>
      </c>
    </row>
    <row r="4568" spans="1:4" x14ac:dyDescent="0.25">
      <c r="A4568" s="380"/>
      <c r="B4568" s="7"/>
      <c r="D4568" s="6" t="str">
        <f>_xlfn.XLOOKUP(B4568,Indices!$A$2:$A$2676,Indices!$B$2:$B$2676,"")</f>
        <v/>
      </c>
    </row>
    <row r="4569" spans="1:4" x14ac:dyDescent="0.25">
      <c r="A4569" s="380"/>
      <c r="B4569" s="7"/>
      <c r="D4569" s="6" t="str">
        <f>_xlfn.XLOOKUP(B4569,Indices!$A$2:$A$2676,Indices!$B$2:$B$2676,"")</f>
        <v/>
      </c>
    </row>
    <row r="4570" spans="1:4" x14ac:dyDescent="0.25">
      <c r="A4570" s="380"/>
      <c r="B4570" s="7"/>
      <c r="D4570" s="6" t="str">
        <f>_xlfn.XLOOKUP(B4570,Indices!$A$2:$A$2676,Indices!$B$2:$B$2676,"")</f>
        <v/>
      </c>
    </row>
    <row r="4571" spans="1:4" x14ac:dyDescent="0.25">
      <c r="A4571" s="380"/>
      <c r="B4571" s="7"/>
      <c r="D4571" s="6" t="str">
        <f>_xlfn.XLOOKUP(B4571,Indices!$A$2:$A$2676,Indices!$B$2:$B$2676,"")</f>
        <v/>
      </c>
    </row>
    <row r="4572" spans="1:4" x14ac:dyDescent="0.25">
      <c r="A4572" s="380"/>
      <c r="B4572" s="7"/>
      <c r="D4572" s="6" t="str">
        <f>_xlfn.XLOOKUP(B4572,Indices!$A$2:$A$2676,Indices!$B$2:$B$2676,"")</f>
        <v/>
      </c>
    </row>
    <row r="4573" spans="1:4" x14ac:dyDescent="0.25">
      <c r="A4573" s="380"/>
      <c r="B4573" s="7"/>
      <c r="D4573" s="6" t="str">
        <f>_xlfn.XLOOKUP(B4573,Indices!$A$2:$A$2676,Indices!$B$2:$B$2676,"")</f>
        <v/>
      </c>
    </row>
    <row r="4574" spans="1:4" x14ac:dyDescent="0.25">
      <c r="A4574" s="380"/>
      <c r="B4574" s="7"/>
      <c r="D4574" s="6" t="str">
        <f>_xlfn.XLOOKUP(B4574,Indices!$A$2:$A$2676,Indices!$B$2:$B$2676,"")</f>
        <v/>
      </c>
    </row>
    <row r="4575" spans="1:4" x14ac:dyDescent="0.25">
      <c r="A4575" s="380"/>
      <c r="B4575" s="7"/>
      <c r="D4575" s="6" t="str">
        <f>_xlfn.XLOOKUP(B4575,Indices!$A$2:$A$2676,Indices!$B$2:$B$2676,"")</f>
        <v/>
      </c>
    </row>
    <row r="4576" spans="1:4" x14ac:dyDescent="0.25">
      <c r="A4576" s="380"/>
      <c r="B4576" s="7"/>
      <c r="D4576" s="6" t="str">
        <f>_xlfn.XLOOKUP(B4576,Indices!$A$2:$A$2676,Indices!$B$2:$B$2676,"")</f>
        <v/>
      </c>
    </row>
    <row r="4577" spans="1:4" x14ac:dyDescent="0.25">
      <c r="A4577" s="380"/>
      <c r="B4577" s="7"/>
      <c r="D4577" s="6" t="str">
        <f>_xlfn.XLOOKUP(B4577,Indices!$A$2:$A$2676,Indices!$B$2:$B$2676,"")</f>
        <v/>
      </c>
    </row>
    <row r="4578" spans="1:4" x14ac:dyDescent="0.25">
      <c r="A4578" s="380"/>
      <c r="B4578" s="7"/>
      <c r="D4578" s="6" t="str">
        <f>_xlfn.XLOOKUP(B4578,Indices!$A$2:$A$2676,Indices!$B$2:$B$2676,"")</f>
        <v/>
      </c>
    </row>
    <row r="4579" spans="1:4" x14ac:dyDescent="0.25">
      <c r="A4579" s="380"/>
      <c r="B4579" s="7"/>
      <c r="D4579" s="6" t="str">
        <f>_xlfn.XLOOKUP(B4579,Indices!$A$2:$A$2676,Indices!$B$2:$B$2676,"")</f>
        <v/>
      </c>
    </row>
    <row r="4580" spans="1:4" x14ac:dyDescent="0.25">
      <c r="A4580" s="380"/>
      <c r="B4580" s="7"/>
      <c r="D4580" s="6" t="str">
        <f>_xlfn.XLOOKUP(B4580,Indices!$A$2:$A$2676,Indices!$B$2:$B$2676,"")</f>
        <v/>
      </c>
    </row>
    <row r="4581" spans="1:4" x14ac:dyDescent="0.25">
      <c r="A4581" s="380"/>
      <c r="B4581" s="7"/>
      <c r="D4581" s="6" t="str">
        <f>_xlfn.XLOOKUP(B4581,Indices!$A$2:$A$2676,Indices!$B$2:$B$2676,"")</f>
        <v/>
      </c>
    </row>
    <row r="4582" spans="1:4" x14ac:dyDescent="0.25">
      <c r="A4582" s="380"/>
      <c r="B4582" s="7"/>
      <c r="D4582" s="6" t="str">
        <f>_xlfn.XLOOKUP(B4582,Indices!$A$2:$A$2676,Indices!$B$2:$B$2676,"")</f>
        <v/>
      </c>
    </row>
    <row r="4583" spans="1:4" x14ac:dyDescent="0.25">
      <c r="A4583" s="380"/>
      <c r="B4583" s="7"/>
      <c r="D4583" s="6" t="str">
        <f>_xlfn.XLOOKUP(B4583,Indices!$A$2:$A$2676,Indices!$B$2:$B$2676,"")</f>
        <v/>
      </c>
    </row>
    <row r="4584" spans="1:4" x14ac:dyDescent="0.25">
      <c r="A4584" s="380"/>
      <c r="B4584" s="7"/>
      <c r="D4584" s="6" t="str">
        <f>_xlfn.XLOOKUP(B4584,Indices!$A$2:$A$2676,Indices!$B$2:$B$2676,"")</f>
        <v/>
      </c>
    </row>
    <row r="4585" spans="1:4" x14ac:dyDescent="0.25">
      <c r="A4585" s="380"/>
      <c r="B4585" s="7"/>
      <c r="D4585" s="6" t="str">
        <f>_xlfn.XLOOKUP(B4585,Indices!$A$2:$A$2676,Indices!$B$2:$B$2676,"")</f>
        <v/>
      </c>
    </row>
    <row r="4586" spans="1:4" x14ac:dyDescent="0.25">
      <c r="A4586" s="380"/>
      <c r="B4586" s="7"/>
      <c r="D4586" s="6" t="str">
        <f>_xlfn.XLOOKUP(B4586,Indices!$A$2:$A$2676,Indices!$B$2:$B$2676,"")</f>
        <v/>
      </c>
    </row>
    <row r="4587" spans="1:4" x14ac:dyDescent="0.25">
      <c r="A4587" s="380"/>
      <c r="B4587" s="7"/>
      <c r="D4587" s="6" t="str">
        <f>_xlfn.XLOOKUP(B4587,Indices!$A$2:$A$2676,Indices!$B$2:$B$2676,"")</f>
        <v/>
      </c>
    </row>
    <row r="4588" spans="1:4" x14ac:dyDescent="0.25">
      <c r="A4588" s="380"/>
      <c r="B4588" s="7"/>
      <c r="D4588" s="6" t="str">
        <f>_xlfn.XLOOKUP(B4588,Indices!$A$2:$A$2676,Indices!$B$2:$B$2676,"")</f>
        <v/>
      </c>
    </row>
    <row r="4589" spans="1:4" x14ac:dyDescent="0.25">
      <c r="A4589" s="380"/>
      <c r="B4589" s="7"/>
      <c r="D4589" s="6" t="str">
        <f>_xlfn.XLOOKUP(B4589,Indices!$A$2:$A$2676,Indices!$B$2:$B$2676,"")</f>
        <v/>
      </c>
    </row>
    <row r="4590" spans="1:4" x14ac:dyDescent="0.25">
      <c r="A4590" s="380"/>
      <c r="B4590" s="7"/>
      <c r="D4590" s="6" t="str">
        <f>_xlfn.XLOOKUP(B4590,Indices!$A$2:$A$2676,Indices!$B$2:$B$2676,"")</f>
        <v/>
      </c>
    </row>
    <row r="4591" spans="1:4" x14ac:dyDescent="0.25">
      <c r="A4591" s="380"/>
      <c r="B4591" s="7"/>
      <c r="D4591" s="6" t="str">
        <f>_xlfn.XLOOKUP(B4591,Indices!$A$2:$A$2676,Indices!$B$2:$B$2676,"")</f>
        <v/>
      </c>
    </row>
    <row r="4592" spans="1:4" x14ac:dyDescent="0.25">
      <c r="A4592" s="380"/>
      <c r="B4592" s="7"/>
      <c r="D4592" s="6" t="str">
        <f>_xlfn.XLOOKUP(B4592,Indices!$A$2:$A$2676,Indices!$B$2:$B$2676,"")</f>
        <v/>
      </c>
    </row>
    <row r="4593" spans="1:4" x14ac:dyDescent="0.25">
      <c r="A4593" s="380"/>
      <c r="B4593" s="7"/>
      <c r="D4593" s="6" t="str">
        <f>_xlfn.XLOOKUP(B4593,Indices!$A$2:$A$2676,Indices!$B$2:$B$2676,"")</f>
        <v/>
      </c>
    </row>
    <row r="4594" spans="1:4" x14ac:dyDescent="0.25">
      <c r="A4594" s="380"/>
      <c r="B4594" s="7"/>
      <c r="D4594" s="6" t="str">
        <f>_xlfn.XLOOKUP(B4594,Indices!$A$2:$A$2676,Indices!$B$2:$B$2676,"")</f>
        <v/>
      </c>
    </row>
    <row r="4595" spans="1:4" x14ac:dyDescent="0.25">
      <c r="A4595" s="380"/>
      <c r="B4595" s="7"/>
      <c r="D4595" s="6" t="str">
        <f>_xlfn.XLOOKUP(B4595,Indices!$A$2:$A$2676,Indices!$B$2:$B$2676,"")</f>
        <v/>
      </c>
    </row>
    <row r="4596" spans="1:4" x14ac:dyDescent="0.25">
      <c r="A4596" s="380"/>
      <c r="B4596" s="7"/>
      <c r="D4596" s="6" t="str">
        <f>_xlfn.XLOOKUP(B4596,Indices!$A$2:$A$2676,Indices!$B$2:$B$2676,"")</f>
        <v/>
      </c>
    </row>
    <row r="4597" spans="1:4" x14ac:dyDescent="0.25">
      <c r="A4597" s="380"/>
      <c r="B4597" s="7"/>
      <c r="D4597" s="6" t="str">
        <f>_xlfn.XLOOKUP(B4597,Indices!$A$2:$A$2676,Indices!$B$2:$B$2676,"")</f>
        <v/>
      </c>
    </row>
    <row r="4598" spans="1:4" x14ac:dyDescent="0.25">
      <c r="A4598" s="380"/>
      <c r="B4598" s="7"/>
      <c r="D4598" s="6" t="str">
        <f>_xlfn.XLOOKUP(B4598,Indices!$A$2:$A$2676,Indices!$B$2:$B$2676,"")</f>
        <v/>
      </c>
    </row>
    <row r="4599" spans="1:4" x14ac:dyDescent="0.25">
      <c r="A4599" s="380"/>
      <c r="B4599" s="7"/>
      <c r="D4599" s="6" t="str">
        <f>_xlfn.XLOOKUP(B4599,Indices!$A$2:$A$2676,Indices!$B$2:$B$2676,"")</f>
        <v/>
      </c>
    </row>
    <row r="4600" spans="1:4" x14ac:dyDescent="0.25">
      <c r="A4600" s="380"/>
      <c r="B4600" s="7"/>
      <c r="D4600" s="6" t="str">
        <f>_xlfn.XLOOKUP(B4600,Indices!$A$2:$A$2676,Indices!$B$2:$B$2676,"")</f>
        <v/>
      </c>
    </row>
    <row r="4601" spans="1:4" x14ac:dyDescent="0.25">
      <c r="A4601" s="380"/>
      <c r="B4601" s="7"/>
      <c r="D4601" s="6" t="str">
        <f>_xlfn.XLOOKUP(B4601,Indices!$A$2:$A$2676,Indices!$B$2:$B$2676,"")</f>
        <v/>
      </c>
    </row>
    <row r="4602" spans="1:4" x14ac:dyDescent="0.25">
      <c r="A4602" s="380"/>
      <c r="B4602" s="7"/>
      <c r="D4602" s="6" t="str">
        <f>_xlfn.XLOOKUP(B4602,Indices!$A$2:$A$2676,Indices!$B$2:$B$2676,"")</f>
        <v/>
      </c>
    </row>
    <row r="4603" spans="1:4" x14ac:dyDescent="0.25">
      <c r="A4603" s="380"/>
      <c r="B4603" s="7"/>
      <c r="D4603" s="6" t="str">
        <f>_xlfn.XLOOKUP(B4603,Indices!$A$2:$A$2676,Indices!$B$2:$B$2676,"")</f>
        <v/>
      </c>
    </row>
    <row r="4604" spans="1:4" x14ac:dyDescent="0.25">
      <c r="A4604" s="380"/>
      <c r="B4604" s="7"/>
      <c r="D4604" s="6" t="str">
        <f>_xlfn.XLOOKUP(B4604,Indices!$A$2:$A$2676,Indices!$B$2:$B$2676,"")</f>
        <v/>
      </c>
    </row>
    <row r="4605" spans="1:4" x14ac:dyDescent="0.25">
      <c r="A4605" s="380"/>
      <c r="B4605" s="7"/>
      <c r="D4605" s="6" t="str">
        <f>_xlfn.XLOOKUP(B4605,Indices!$A$2:$A$2676,Indices!$B$2:$B$2676,"")</f>
        <v/>
      </c>
    </row>
    <row r="4606" spans="1:4" x14ac:dyDescent="0.25">
      <c r="A4606" s="380"/>
      <c r="B4606" s="7"/>
      <c r="D4606" s="6" t="str">
        <f>_xlfn.XLOOKUP(B4606,Indices!$A$2:$A$2676,Indices!$B$2:$B$2676,"")</f>
        <v/>
      </c>
    </row>
    <row r="4607" spans="1:4" x14ac:dyDescent="0.25">
      <c r="A4607" s="380"/>
      <c r="B4607" s="7"/>
      <c r="D4607" s="6" t="str">
        <f>_xlfn.XLOOKUP(B4607,Indices!$A$2:$A$2676,Indices!$B$2:$B$2676,"")</f>
        <v/>
      </c>
    </row>
    <row r="4608" spans="1:4" x14ac:dyDescent="0.25">
      <c r="A4608" s="380"/>
      <c r="B4608" s="7"/>
      <c r="D4608" s="6" t="str">
        <f>_xlfn.XLOOKUP(B4608,Indices!$A$2:$A$2676,Indices!$B$2:$B$2676,"")</f>
        <v/>
      </c>
    </row>
    <row r="4609" spans="1:4" x14ac:dyDescent="0.25">
      <c r="A4609" s="380"/>
      <c r="B4609" s="7"/>
      <c r="D4609" s="6" t="str">
        <f>_xlfn.XLOOKUP(B4609,Indices!$A$2:$A$2676,Indices!$B$2:$B$2676,"")</f>
        <v/>
      </c>
    </row>
    <row r="4610" spans="1:4" x14ac:dyDescent="0.25">
      <c r="A4610" s="380"/>
      <c r="B4610" s="7"/>
      <c r="D4610" s="6" t="str">
        <f>_xlfn.XLOOKUP(B4610,Indices!$A$2:$A$2676,Indices!$B$2:$B$2676,"")</f>
        <v/>
      </c>
    </row>
    <row r="4611" spans="1:4" x14ac:dyDescent="0.25">
      <c r="A4611" s="380"/>
      <c r="B4611" s="7"/>
      <c r="D4611" s="6" t="str">
        <f>_xlfn.XLOOKUP(B4611,Indices!$A$2:$A$2676,Indices!$B$2:$B$2676,"")</f>
        <v/>
      </c>
    </row>
    <row r="4612" spans="1:4" x14ac:dyDescent="0.25">
      <c r="A4612" s="380"/>
      <c r="B4612" s="7"/>
      <c r="D4612" s="6" t="str">
        <f>_xlfn.XLOOKUP(B4612,Indices!$A$2:$A$2676,Indices!$B$2:$B$2676,"")</f>
        <v/>
      </c>
    </row>
    <row r="4613" spans="1:4" x14ac:dyDescent="0.25">
      <c r="A4613" s="380"/>
      <c r="B4613" s="7"/>
      <c r="D4613" s="6" t="str">
        <f>_xlfn.XLOOKUP(B4613,Indices!$A$2:$A$2676,Indices!$B$2:$B$2676,"")</f>
        <v/>
      </c>
    </row>
    <row r="4614" spans="1:4" x14ac:dyDescent="0.25">
      <c r="A4614" s="380"/>
      <c r="B4614" s="7"/>
      <c r="D4614" s="6" t="str">
        <f>_xlfn.XLOOKUP(B4614,Indices!$A$2:$A$2676,Indices!$B$2:$B$2676,"")</f>
        <v/>
      </c>
    </row>
    <row r="4615" spans="1:4" x14ac:dyDescent="0.25">
      <c r="A4615" s="380"/>
      <c r="B4615" s="7"/>
      <c r="D4615" s="6" t="str">
        <f>_xlfn.XLOOKUP(B4615,Indices!$A$2:$A$2676,Indices!$B$2:$B$2676,"")</f>
        <v/>
      </c>
    </row>
    <row r="4616" spans="1:4" x14ac:dyDescent="0.25">
      <c r="A4616" s="380"/>
      <c r="B4616" s="7"/>
      <c r="D4616" s="6" t="str">
        <f>_xlfn.XLOOKUP(B4616,Indices!$A$2:$A$2676,Indices!$B$2:$B$2676,"")</f>
        <v/>
      </c>
    </row>
    <row r="4617" spans="1:4" x14ac:dyDescent="0.25">
      <c r="A4617" s="380"/>
      <c r="B4617" s="7"/>
      <c r="D4617" s="6" t="str">
        <f>_xlfn.XLOOKUP(B4617,Indices!$A$2:$A$2676,Indices!$B$2:$B$2676,"")</f>
        <v/>
      </c>
    </row>
    <row r="4618" spans="1:4" x14ac:dyDescent="0.25">
      <c r="A4618" s="380"/>
      <c r="B4618" s="7"/>
      <c r="D4618" s="6" t="str">
        <f>_xlfn.XLOOKUP(B4618,Indices!$A$2:$A$2676,Indices!$B$2:$B$2676,"")</f>
        <v/>
      </c>
    </row>
    <row r="4619" spans="1:4" x14ac:dyDescent="0.25">
      <c r="A4619" s="380"/>
      <c r="B4619" s="7"/>
      <c r="D4619" s="6" t="str">
        <f>_xlfn.XLOOKUP(B4619,Indices!$A$2:$A$2676,Indices!$B$2:$B$2676,"")</f>
        <v/>
      </c>
    </row>
    <row r="4620" spans="1:4" x14ac:dyDescent="0.25">
      <c r="A4620" s="380"/>
      <c r="B4620" s="7"/>
      <c r="D4620" s="6" t="str">
        <f>_xlfn.XLOOKUP(B4620,Indices!$A$2:$A$2676,Indices!$B$2:$B$2676,"")</f>
        <v/>
      </c>
    </row>
    <row r="4621" spans="1:4" x14ac:dyDescent="0.25">
      <c r="A4621" s="380"/>
      <c r="B4621" s="7"/>
      <c r="D4621" s="6" t="str">
        <f>_xlfn.XLOOKUP(B4621,Indices!$A$2:$A$2676,Indices!$B$2:$B$2676,"")</f>
        <v/>
      </c>
    </row>
    <row r="4622" spans="1:4" x14ac:dyDescent="0.25">
      <c r="A4622" s="380"/>
      <c r="B4622" s="7"/>
      <c r="D4622" s="6" t="str">
        <f>_xlfn.XLOOKUP(B4622,Indices!$A$2:$A$2676,Indices!$B$2:$B$2676,"")</f>
        <v/>
      </c>
    </row>
    <row r="4623" spans="1:4" x14ac:dyDescent="0.25">
      <c r="A4623" s="380"/>
      <c r="B4623" s="7"/>
      <c r="D4623" s="6" t="str">
        <f>_xlfn.XLOOKUP(B4623,Indices!$A$2:$A$2676,Indices!$B$2:$B$2676,"")</f>
        <v/>
      </c>
    </row>
    <row r="4624" spans="1:4" x14ac:dyDescent="0.25">
      <c r="A4624" s="380"/>
      <c r="B4624" s="7"/>
      <c r="D4624" s="6" t="str">
        <f>_xlfn.XLOOKUP(B4624,Indices!$A$2:$A$2676,Indices!$B$2:$B$2676,"")</f>
        <v/>
      </c>
    </row>
    <row r="4625" spans="1:4" x14ac:dyDescent="0.25">
      <c r="A4625" s="380"/>
      <c r="B4625" s="7"/>
      <c r="D4625" s="6" t="str">
        <f>_xlfn.XLOOKUP(B4625,Indices!$A$2:$A$2676,Indices!$B$2:$B$2676,"")</f>
        <v/>
      </c>
    </row>
    <row r="4626" spans="1:4" x14ac:dyDescent="0.25">
      <c r="A4626" s="380"/>
      <c r="B4626" s="7"/>
      <c r="D4626" s="6" t="str">
        <f>_xlfn.XLOOKUP(B4626,Indices!$A$2:$A$2676,Indices!$B$2:$B$2676,"")</f>
        <v/>
      </c>
    </row>
    <row r="4627" spans="1:4" x14ac:dyDescent="0.25">
      <c r="A4627" s="380"/>
      <c r="B4627" s="7"/>
      <c r="D4627" s="6" t="str">
        <f>_xlfn.XLOOKUP(B4627,Indices!$A$2:$A$2676,Indices!$B$2:$B$2676,"")</f>
        <v/>
      </c>
    </row>
    <row r="4628" spans="1:4" x14ac:dyDescent="0.25">
      <c r="A4628" s="380"/>
      <c r="B4628" s="7"/>
      <c r="D4628" s="6" t="str">
        <f>_xlfn.XLOOKUP(B4628,Indices!$A$2:$A$2676,Indices!$B$2:$B$2676,"")</f>
        <v/>
      </c>
    </row>
    <row r="4629" spans="1:4" x14ac:dyDescent="0.25">
      <c r="A4629" s="380"/>
      <c r="B4629" s="7"/>
      <c r="D4629" s="6" t="str">
        <f>_xlfn.XLOOKUP(B4629,Indices!$A$2:$A$2676,Indices!$B$2:$B$2676,"")</f>
        <v/>
      </c>
    </row>
    <row r="4630" spans="1:4" x14ac:dyDescent="0.25">
      <c r="A4630" s="380"/>
      <c r="B4630" s="7"/>
      <c r="D4630" s="6" t="str">
        <f>_xlfn.XLOOKUP(B4630,Indices!$A$2:$A$2676,Indices!$B$2:$B$2676,"")</f>
        <v/>
      </c>
    </row>
    <row r="4631" spans="1:4" x14ac:dyDescent="0.25">
      <c r="A4631" s="380"/>
      <c r="B4631" s="7"/>
      <c r="D4631" s="6" t="str">
        <f>_xlfn.XLOOKUP(B4631,Indices!$A$2:$A$2676,Indices!$B$2:$B$2676,"")</f>
        <v/>
      </c>
    </row>
    <row r="4632" spans="1:4" x14ac:dyDescent="0.25">
      <c r="A4632" s="380"/>
      <c r="B4632" s="7"/>
      <c r="D4632" s="6" t="str">
        <f>_xlfn.XLOOKUP(B4632,Indices!$A$2:$A$2676,Indices!$B$2:$B$2676,"")</f>
        <v/>
      </c>
    </row>
    <row r="4633" spans="1:4" x14ac:dyDescent="0.25">
      <c r="A4633" s="380"/>
      <c r="B4633" s="7"/>
      <c r="D4633" s="6" t="str">
        <f>_xlfn.XLOOKUP(B4633,Indices!$A$2:$A$2676,Indices!$B$2:$B$2676,"")</f>
        <v/>
      </c>
    </row>
    <row r="4634" spans="1:4" x14ac:dyDescent="0.25">
      <c r="A4634" s="380"/>
      <c r="B4634" s="7"/>
      <c r="D4634" s="6" t="str">
        <f>_xlfn.XLOOKUP(B4634,Indices!$A$2:$A$2676,Indices!$B$2:$B$2676,"")</f>
        <v/>
      </c>
    </row>
    <row r="4635" spans="1:4" x14ac:dyDescent="0.25">
      <c r="A4635" s="380"/>
      <c r="B4635" s="7"/>
      <c r="D4635" s="6" t="str">
        <f>_xlfn.XLOOKUP(B4635,Indices!$A$2:$A$2676,Indices!$B$2:$B$2676,"")</f>
        <v/>
      </c>
    </row>
    <row r="4636" spans="1:4" x14ac:dyDescent="0.25">
      <c r="A4636" s="380"/>
      <c r="B4636" s="7"/>
      <c r="D4636" s="6" t="str">
        <f>_xlfn.XLOOKUP(B4636,Indices!$A$2:$A$2676,Indices!$B$2:$B$2676,"")</f>
        <v/>
      </c>
    </row>
    <row r="4637" spans="1:4" x14ac:dyDescent="0.25">
      <c r="A4637" s="380"/>
      <c r="B4637" s="7"/>
      <c r="D4637" s="6" t="str">
        <f>_xlfn.XLOOKUP(B4637,Indices!$A$2:$A$2676,Indices!$B$2:$B$2676,"")</f>
        <v/>
      </c>
    </row>
    <row r="4638" spans="1:4" x14ac:dyDescent="0.25">
      <c r="A4638" s="380"/>
      <c r="B4638" s="7"/>
      <c r="D4638" s="6" t="str">
        <f>_xlfn.XLOOKUP(B4638,Indices!$A$2:$A$2676,Indices!$B$2:$B$2676,"")</f>
        <v/>
      </c>
    </row>
    <row r="4639" spans="1:4" x14ac:dyDescent="0.25">
      <c r="A4639" s="380"/>
      <c r="B4639" s="7"/>
      <c r="D4639" s="6" t="str">
        <f>_xlfn.XLOOKUP(B4639,Indices!$A$2:$A$2676,Indices!$B$2:$B$2676,"")</f>
        <v/>
      </c>
    </row>
    <row r="4640" spans="1:4" x14ac:dyDescent="0.25">
      <c r="A4640" s="380"/>
      <c r="B4640" s="7"/>
      <c r="D4640" s="6" t="str">
        <f>_xlfn.XLOOKUP(B4640,Indices!$A$2:$A$2676,Indices!$B$2:$B$2676,"")</f>
        <v/>
      </c>
    </row>
    <row r="4641" spans="1:4" x14ac:dyDescent="0.25">
      <c r="A4641" s="380"/>
      <c r="B4641" s="7"/>
      <c r="D4641" s="6" t="str">
        <f>_xlfn.XLOOKUP(B4641,Indices!$A$2:$A$2676,Indices!$B$2:$B$2676,"")</f>
        <v/>
      </c>
    </row>
    <row r="4642" spans="1:4" x14ac:dyDescent="0.25">
      <c r="A4642" s="380"/>
      <c r="B4642" s="7"/>
      <c r="D4642" s="6" t="str">
        <f>_xlfn.XLOOKUP(B4642,Indices!$A$2:$A$2676,Indices!$B$2:$B$2676,"")</f>
        <v/>
      </c>
    </row>
    <row r="4643" spans="1:4" x14ac:dyDescent="0.25">
      <c r="A4643" s="380"/>
      <c r="B4643" s="7"/>
      <c r="D4643" s="6" t="str">
        <f>_xlfn.XLOOKUP(B4643,Indices!$A$2:$A$2676,Indices!$B$2:$B$2676,"")</f>
        <v/>
      </c>
    </row>
    <row r="4644" spans="1:4" x14ac:dyDescent="0.25">
      <c r="A4644" s="380"/>
      <c r="B4644" s="7"/>
      <c r="D4644" s="6" t="str">
        <f>_xlfn.XLOOKUP(B4644,Indices!$A$2:$A$2676,Indices!$B$2:$B$2676,"")</f>
        <v/>
      </c>
    </row>
    <row r="4645" spans="1:4" x14ac:dyDescent="0.25">
      <c r="A4645" s="380"/>
      <c r="B4645" s="7"/>
      <c r="D4645" s="6" t="str">
        <f>_xlfn.XLOOKUP(B4645,Indices!$A$2:$A$2676,Indices!$B$2:$B$2676,"")</f>
        <v/>
      </c>
    </row>
    <row r="4646" spans="1:4" x14ac:dyDescent="0.25">
      <c r="A4646" s="380"/>
      <c r="B4646" s="7"/>
      <c r="D4646" s="6" t="str">
        <f>_xlfn.XLOOKUP(B4646,Indices!$A$2:$A$2676,Indices!$B$2:$B$2676,"")</f>
        <v/>
      </c>
    </row>
    <row r="4647" spans="1:4" x14ac:dyDescent="0.25">
      <c r="A4647" s="380"/>
      <c r="B4647" s="7"/>
      <c r="D4647" s="6" t="str">
        <f>_xlfn.XLOOKUP(B4647,Indices!$A$2:$A$2676,Indices!$B$2:$B$2676,"")</f>
        <v/>
      </c>
    </row>
    <row r="4648" spans="1:4" x14ac:dyDescent="0.25">
      <c r="A4648" s="380"/>
      <c r="B4648" s="7"/>
      <c r="D4648" s="6" t="str">
        <f>_xlfn.XLOOKUP(B4648,Indices!$A$2:$A$2676,Indices!$B$2:$B$2676,"")</f>
        <v/>
      </c>
    </row>
    <row r="4649" spans="1:4" x14ac:dyDescent="0.25">
      <c r="A4649" s="380"/>
      <c r="B4649" s="7"/>
      <c r="D4649" s="6" t="str">
        <f>_xlfn.XLOOKUP(B4649,Indices!$A$2:$A$2676,Indices!$B$2:$B$2676,"")</f>
        <v/>
      </c>
    </row>
    <row r="4650" spans="1:4" x14ac:dyDescent="0.25">
      <c r="A4650" s="380"/>
      <c r="B4650" s="7"/>
      <c r="D4650" s="6" t="str">
        <f>_xlfn.XLOOKUP(B4650,Indices!$A$2:$A$2676,Indices!$B$2:$B$2676,"")</f>
        <v/>
      </c>
    </row>
    <row r="4651" spans="1:4" x14ac:dyDescent="0.25">
      <c r="A4651" s="380"/>
      <c r="B4651" s="7"/>
      <c r="D4651" s="6" t="str">
        <f>_xlfn.XLOOKUP(B4651,Indices!$A$2:$A$2676,Indices!$B$2:$B$2676,"")</f>
        <v/>
      </c>
    </row>
    <row r="4652" spans="1:4" x14ac:dyDescent="0.25">
      <c r="A4652" s="380"/>
      <c r="B4652" s="7"/>
      <c r="D4652" s="6" t="str">
        <f>_xlfn.XLOOKUP(B4652,Indices!$A$2:$A$2676,Indices!$B$2:$B$2676,"")</f>
        <v/>
      </c>
    </row>
    <row r="4653" spans="1:4" x14ac:dyDescent="0.25">
      <c r="A4653" s="380"/>
      <c r="B4653" s="7"/>
      <c r="D4653" s="6" t="str">
        <f>_xlfn.XLOOKUP(B4653,Indices!$A$2:$A$2676,Indices!$B$2:$B$2676,"")</f>
        <v/>
      </c>
    </row>
    <row r="4654" spans="1:4" x14ac:dyDescent="0.25">
      <c r="A4654" s="380"/>
      <c r="B4654" s="7"/>
      <c r="D4654" s="6" t="str">
        <f>_xlfn.XLOOKUP(B4654,Indices!$A$2:$A$2676,Indices!$B$2:$B$2676,"")</f>
        <v/>
      </c>
    </row>
    <row r="4655" spans="1:4" x14ac:dyDescent="0.25">
      <c r="A4655" s="380"/>
      <c r="B4655" s="7"/>
      <c r="D4655" s="6" t="str">
        <f>_xlfn.XLOOKUP(B4655,Indices!$A$2:$A$2676,Indices!$B$2:$B$2676,"")</f>
        <v/>
      </c>
    </row>
    <row r="4656" spans="1:4" x14ac:dyDescent="0.25">
      <c r="A4656" s="380"/>
      <c r="B4656" s="7"/>
      <c r="D4656" s="6" t="str">
        <f>_xlfn.XLOOKUP(B4656,Indices!$A$2:$A$2676,Indices!$B$2:$B$2676,"")</f>
        <v/>
      </c>
    </row>
    <row r="4657" spans="1:4" x14ac:dyDescent="0.25">
      <c r="A4657" s="380"/>
      <c r="B4657" s="7"/>
      <c r="D4657" s="6" t="str">
        <f>_xlfn.XLOOKUP(B4657,Indices!$A$2:$A$2676,Indices!$B$2:$B$2676,"")</f>
        <v/>
      </c>
    </row>
    <row r="4658" spans="1:4" x14ac:dyDescent="0.25">
      <c r="A4658" s="380"/>
      <c r="B4658" s="7"/>
      <c r="D4658" s="6" t="str">
        <f>_xlfn.XLOOKUP(B4658,Indices!$A$2:$A$2676,Indices!$B$2:$B$2676,"")</f>
        <v/>
      </c>
    </row>
    <row r="4659" spans="1:4" x14ac:dyDescent="0.25">
      <c r="A4659" s="380"/>
      <c r="B4659" s="7"/>
      <c r="D4659" s="6" t="str">
        <f>_xlfn.XLOOKUP(B4659,Indices!$A$2:$A$2676,Indices!$B$2:$B$2676,"")</f>
        <v/>
      </c>
    </row>
    <row r="4660" spans="1:4" x14ac:dyDescent="0.25">
      <c r="A4660" s="380"/>
      <c r="B4660" s="7"/>
      <c r="D4660" s="6" t="str">
        <f>_xlfn.XLOOKUP(B4660,Indices!$A$2:$A$2676,Indices!$B$2:$B$2676,"")</f>
        <v/>
      </c>
    </row>
    <row r="4661" spans="1:4" x14ac:dyDescent="0.25">
      <c r="A4661" s="380"/>
      <c r="B4661" s="7"/>
      <c r="D4661" s="6" t="str">
        <f>_xlfn.XLOOKUP(B4661,Indices!$A$2:$A$2676,Indices!$B$2:$B$2676,"")</f>
        <v/>
      </c>
    </row>
    <row r="4662" spans="1:4" x14ac:dyDescent="0.25">
      <c r="A4662" s="380"/>
      <c r="B4662" s="7"/>
      <c r="D4662" s="6" t="str">
        <f>_xlfn.XLOOKUP(B4662,Indices!$A$2:$A$2676,Indices!$B$2:$B$2676,"")</f>
        <v/>
      </c>
    </row>
    <row r="4663" spans="1:4" x14ac:dyDescent="0.25">
      <c r="A4663" s="380"/>
      <c r="B4663" s="7"/>
      <c r="D4663" s="6" t="str">
        <f>_xlfn.XLOOKUP(B4663,Indices!$A$2:$A$2676,Indices!$B$2:$B$2676,"")</f>
        <v/>
      </c>
    </row>
    <row r="4664" spans="1:4" x14ac:dyDescent="0.25">
      <c r="A4664" s="380"/>
      <c r="B4664" s="7"/>
      <c r="D4664" s="6" t="str">
        <f>_xlfn.XLOOKUP(B4664,Indices!$A$2:$A$2676,Indices!$B$2:$B$2676,"")</f>
        <v/>
      </c>
    </row>
    <row r="4665" spans="1:4" x14ac:dyDescent="0.25">
      <c r="A4665" s="380"/>
      <c r="B4665" s="7"/>
      <c r="D4665" s="6" t="str">
        <f>_xlfn.XLOOKUP(B4665,Indices!$A$2:$A$2676,Indices!$B$2:$B$2676,"")</f>
        <v/>
      </c>
    </row>
    <row r="4666" spans="1:4" x14ac:dyDescent="0.25">
      <c r="A4666" s="380"/>
      <c r="B4666" s="7"/>
      <c r="D4666" s="6" t="str">
        <f>_xlfn.XLOOKUP(B4666,Indices!$A$2:$A$2676,Indices!$B$2:$B$2676,"")</f>
        <v/>
      </c>
    </row>
    <row r="4667" spans="1:4" x14ac:dyDescent="0.25">
      <c r="A4667" s="380"/>
      <c r="B4667" s="7"/>
      <c r="D4667" s="6" t="str">
        <f>_xlfn.XLOOKUP(B4667,Indices!$A$2:$A$2676,Indices!$B$2:$B$2676,"")</f>
        <v/>
      </c>
    </row>
    <row r="4668" spans="1:4" x14ac:dyDescent="0.25">
      <c r="A4668" s="380"/>
      <c r="B4668" s="7"/>
      <c r="D4668" s="6" t="str">
        <f>_xlfn.XLOOKUP(B4668,Indices!$A$2:$A$2676,Indices!$B$2:$B$2676,"")</f>
        <v/>
      </c>
    </row>
    <row r="4669" spans="1:4" x14ac:dyDescent="0.25">
      <c r="A4669" s="380"/>
      <c r="B4669" s="7"/>
      <c r="D4669" s="6" t="str">
        <f>_xlfn.XLOOKUP(B4669,Indices!$A$2:$A$2676,Indices!$B$2:$B$2676,"")</f>
        <v/>
      </c>
    </row>
    <row r="4670" spans="1:4" x14ac:dyDescent="0.25">
      <c r="A4670" s="380"/>
      <c r="B4670" s="7"/>
      <c r="D4670" s="6" t="str">
        <f>_xlfn.XLOOKUP(B4670,Indices!$A$2:$A$2676,Indices!$B$2:$B$2676,"")</f>
        <v/>
      </c>
    </row>
    <row r="4671" spans="1:4" x14ac:dyDescent="0.25">
      <c r="A4671" s="380"/>
      <c r="B4671" s="7"/>
      <c r="D4671" s="6" t="str">
        <f>_xlfn.XLOOKUP(B4671,Indices!$A$2:$A$2676,Indices!$B$2:$B$2676,"")</f>
        <v/>
      </c>
    </row>
    <row r="4672" spans="1:4" x14ac:dyDescent="0.25">
      <c r="A4672" s="380"/>
      <c r="B4672" s="7"/>
      <c r="D4672" s="6" t="str">
        <f>_xlfn.XLOOKUP(B4672,Indices!$A$2:$A$2676,Indices!$B$2:$B$2676,"")</f>
        <v/>
      </c>
    </row>
    <row r="4673" spans="1:4" x14ac:dyDescent="0.25">
      <c r="A4673" s="380"/>
      <c r="B4673" s="7"/>
      <c r="D4673" s="6" t="str">
        <f>_xlfn.XLOOKUP(B4673,Indices!$A$2:$A$2676,Indices!$B$2:$B$2676,"")</f>
        <v/>
      </c>
    </row>
    <row r="4674" spans="1:4" x14ac:dyDescent="0.25">
      <c r="A4674" s="380"/>
      <c r="B4674" s="7"/>
      <c r="D4674" s="6" t="str">
        <f>_xlfn.XLOOKUP(B4674,Indices!$A$2:$A$2676,Indices!$B$2:$B$2676,"")</f>
        <v/>
      </c>
    </row>
    <row r="4675" spans="1:4" x14ac:dyDescent="0.25">
      <c r="A4675" s="380"/>
      <c r="B4675" s="7"/>
      <c r="D4675" s="6" t="str">
        <f>_xlfn.XLOOKUP(B4675,Indices!$A$2:$A$2676,Indices!$B$2:$B$2676,"")</f>
        <v/>
      </c>
    </row>
    <row r="4676" spans="1:4" x14ac:dyDescent="0.25">
      <c r="A4676" s="380"/>
      <c r="B4676" s="7"/>
      <c r="D4676" s="6" t="str">
        <f>_xlfn.XLOOKUP(B4676,Indices!$A$2:$A$2676,Indices!$B$2:$B$2676,"")</f>
        <v/>
      </c>
    </row>
    <row r="4677" spans="1:4" x14ac:dyDescent="0.25">
      <c r="A4677" s="380"/>
      <c r="B4677" s="7"/>
      <c r="D4677" s="6" t="str">
        <f>_xlfn.XLOOKUP(B4677,Indices!$A$2:$A$2676,Indices!$B$2:$B$2676,"")</f>
        <v/>
      </c>
    </row>
    <row r="4678" spans="1:4" x14ac:dyDescent="0.25">
      <c r="A4678" s="380"/>
      <c r="B4678" s="7"/>
      <c r="D4678" s="6" t="str">
        <f>_xlfn.XLOOKUP(B4678,Indices!$A$2:$A$2676,Indices!$B$2:$B$2676,"")</f>
        <v/>
      </c>
    </row>
    <row r="4679" spans="1:4" x14ac:dyDescent="0.25">
      <c r="A4679" s="380"/>
      <c r="B4679" s="7"/>
      <c r="D4679" s="6" t="str">
        <f>_xlfn.XLOOKUP(B4679,Indices!$A$2:$A$2676,Indices!$B$2:$B$2676,"")</f>
        <v/>
      </c>
    </row>
    <row r="4680" spans="1:4" x14ac:dyDescent="0.25">
      <c r="A4680" s="380"/>
      <c r="B4680" s="7"/>
      <c r="D4680" s="6" t="str">
        <f>_xlfn.XLOOKUP(B4680,Indices!$A$2:$A$2676,Indices!$B$2:$B$2676,"")</f>
        <v/>
      </c>
    </row>
    <row r="4681" spans="1:4" x14ac:dyDescent="0.25">
      <c r="A4681" s="380"/>
      <c r="B4681" s="7"/>
      <c r="D4681" s="6" t="str">
        <f>_xlfn.XLOOKUP(B4681,Indices!$A$2:$A$2676,Indices!$B$2:$B$2676,"")</f>
        <v/>
      </c>
    </row>
    <row r="4682" spans="1:4" x14ac:dyDescent="0.25">
      <c r="A4682" s="380"/>
      <c r="B4682" s="7"/>
      <c r="D4682" s="6" t="str">
        <f>_xlfn.XLOOKUP(B4682,Indices!$A$2:$A$2676,Indices!$B$2:$B$2676,"")</f>
        <v/>
      </c>
    </row>
    <row r="4683" spans="1:4" x14ac:dyDescent="0.25">
      <c r="A4683" s="380"/>
      <c r="B4683" s="7"/>
      <c r="D4683" s="6" t="str">
        <f>_xlfn.XLOOKUP(B4683,Indices!$A$2:$A$2676,Indices!$B$2:$B$2676,"")</f>
        <v/>
      </c>
    </row>
    <row r="4684" spans="1:4" x14ac:dyDescent="0.25">
      <c r="A4684" s="380"/>
      <c r="B4684" s="7"/>
      <c r="D4684" s="6" t="str">
        <f>_xlfn.XLOOKUP(B4684,Indices!$A$2:$A$2676,Indices!$B$2:$B$2676,"")</f>
        <v/>
      </c>
    </row>
    <row r="4685" spans="1:4" x14ac:dyDescent="0.25">
      <c r="A4685" s="380"/>
      <c r="B4685" s="7"/>
      <c r="D4685" s="6" t="str">
        <f>_xlfn.XLOOKUP(B4685,Indices!$A$2:$A$2676,Indices!$B$2:$B$2676,"")</f>
        <v/>
      </c>
    </row>
    <row r="4686" spans="1:4" x14ac:dyDescent="0.25">
      <c r="A4686" s="380"/>
      <c r="B4686" s="7"/>
      <c r="D4686" s="6" t="str">
        <f>_xlfn.XLOOKUP(B4686,Indices!$A$2:$A$2676,Indices!$B$2:$B$2676,"")</f>
        <v/>
      </c>
    </row>
    <row r="4687" spans="1:4" x14ac:dyDescent="0.25">
      <c r="A4687" s="380"/>
      <c r="B4687" s="7"/>
      <c r="D4687" s="6" t="str">
        <f>_xlfn.XLOOKUP(B4687,Indices!$A$2:$A$2676,Indices!$B$2:$B$2676,"")</f>
        <v/>
      </c>
    </row>
    <row r="4688" spans="1:4" x14ac:dyDescent="0.25">
      <c r="A4688" s="380"/>
      <c r="B4688" s="7"/>
      <c r="D4688" s="6" t="str">
        <f>_xlfn.XLOOKUP(B4688,Indices!$A$2:$A$2676,Indices!$B$2:$B$2676,"")</f>
        <v/>
      </c>
    </row>
    <row r="4689" spans="1:4" x14ac:dyDescent="0.25">
      <c r="A4689" s="380"/>
      <c r="B4689" s="7"/>
      <c r="D4689" s="6" t="str">
        <f>_xlfn.XLOOKUP(B4689,Indices!$A$2:$A$2676,Indices!$B$2:$B$2676,"")</f>
        <v/>
      </c>
    </row>
    <row r="4690" spans="1:4" x14ac:dyDescent="0.25">
      <c r="A4690" s="380"/>
      <c r="B4690" s="7"/>
      <c r="D4690" s="6" t="str">
        <f>_xlfn.XLOOKUP(B4690,Indices!$A$2:$A$2676,Indices!$B$2:$B$2676,"")</f>
        <v/>
      </c>
    </row>
    <row r="4691" spans="1:4" x14ac:dyDescent="0.25">
      <c r="A4691" s="380"/>
      <c r="B4691" s="7"/>
      <c r="D4691" s="6" t="str">
        <f>_xlfn.XLOOKUP(B4691,Indices!$A$2:$A$2676,Indices!$B$2:$B$2676,"")</f>
        <v/>
      </c>
    </row>
    <row r="4692" spans="1:4" x14ac:dyDescent="0.25">
      <c r="A4692" s="380"/>
      <c r="B4692" s="7"/>
      <c r="D4692" s="6" t="str">
        <f>_xlfn.XLOOKUP(B4692,Indices!$A$2:$A$2676,Indices!$B$2:$B$2676,"")</f>
        <v/>
      </c>
    </row>
    <row r="4693" spans="1:4" x14ac:dyDescent="0.25">
      <c r="A4693" s="380"/>
      <c r="B4693" s="7"/>
      <c r="D4693" s="6" t="str">
        <f>_xlfn.XLOOKUP(B4693,Indices!$A$2:$A$2676,Indices!$B$2:$B$2676,"")</f>
        <v/>
      </c>
    </row>
    <row r="4694" spans="1:4" x14ac:dyDescent="0.25">
      <c r="A4694" s="380"/>
      <c r="B4694" s="7"/>
      <c r="D4694" s="6" t="str">
        <f>_xlfn.XLOOKUP(B4694,Indices!$A$2:$A$2676,Indices!$B$2:$B$2676,"")</f>
        <v/>
      </c>
    </row>
    <row r="4695" spans="1:4" x14ac:dyDescent="0.25">
      <c r="A4695" s="380"/>
      <c r="B4695" s="7"/>
      <c r="D4695" s="6" t="str">
        <f>_xlfn.XLOOKUP(B4695,Indices!$A$2:$A$2676,Indices!$B$2:$B$2676,"")</f>
        <v/>
      </c>
    </row>
    <row r="4696" spans="1:4" x14ac:dyDescent="0.25">
      <c r="A4696" s="380"/>
      <c r="B4696" s="7"/>
      <c r="D4696" s="6" t="str">
        <f>_xlfn.XLOOKUP(B4696,Indices!$A$2:$A$2676,Indices!$B$2:$B$2676,"")</f>
        <v/>
      </c>
    </row>
    <row r="4697" spans="1:4" x14ac:dyDescent="0.25">
      <c r="A4697" s="380"/>
      <c r="B4697" s="7"/>
      <c r="D4697" s="6" t="str">
        <f>_xlfn.XLOOKUP(B4697,Indices!$A$2:$A$2676,Indices!$B$2:$B$2676,"")</f>
        <v/>
      </c>
    </row>
    <row r="4698" spans="1:4" x14ac:dyDescent="0.25">
      <c r="A4698" s="380"/>
      <c r="B4698" s="7"/>
      <c r="D4698" s="6" t="str">
        <f>_xlfn.XLOOKUP(B4698,Indices!$A$2:$A$2676,Indices!$B$2:$B$2676,"")</f>
        <v/>
      </c>
    </row>
    <row r="4699" spans="1:4" x14ac:dyDescent="0.25">
      <c r="A4699" s="380"/>
      <c r="B4699" s="7"/>
      <c r="D4699" s="6" t="str">
        <f>_xlfn.XLOOKUP(B4699,Indices!$A$2:$A$2676,Indices!$B$2:$B$2676,"")</f>
        <v/>
      </c>
    </row>
    <row r="4700" spans="1:4" x14ac:dyDescent="0.25">
      <c r="A4700" s="380"/>
      <c r="B4700" s="7"/>
      <c r="D4700" s="6" t="str">
        <f>_xlfn.XLOOKUP(B4700,Indices!$A$2:$A$2676,Indices!$B$2:$B$2676,"")</f>
        <v/>
      </c>
    </row>
    <row r="4701" spans="1:4" x14ac:dyDescent="0.25">
      <c r="A4701" s="380"/>
      <c r="B4701" s="7"/>
      <c r="D4701" s="6" t="str">
        <f>_xlfn.XLOOKUP(B4701,Indices!$A$2:$A$2676,Indices!$B$2:$B$2676,"")</f>
        <v/>
      </c>
    </row>
    <row r="4702" spans="1:4" x14ac:dyDescent="0.25">
      <c r="A4702" s="380"/>
      <c r="B4702" s="7"/>
      <c r="D4702" s="6" t="str">
        <f>_xlfn.XLOOKUP(B4702,Indices!$A$2:$A$2676,Indices!$B$2:$B$2676,"")</f>
        <v/>
      </c>
    </row>
    <row r="4703" spans="1:4" x14ac:dyDescent="0.25">
      <c r="A4703" s="380"/>
      <c r="B4703" s="7"/>
      <c r="D4703" s="6" t="str">
        <f>_xlfn.XLOOKUP(B4703,Indices!$A$2:$A$2676,Indices!$B$2:$B$2676,"")</f>
        <v/>
      </c>
    </row>
    <row r="4704" spans="1:4" x14ac:dyDescent="0.25">
      <c r="A4704" s="380"/>
      <c r="B4704" s="7"/>
      <c r="D4704" s="6" t="str">
        <f>_xlfn.XLOOKUP(B4704,Indices!$A$2:$A$2676,Indices!$B$2:$B$2676,"")</f>
        <v/>
      </c>
    </row>
    <row r="4705" spans="1:4" x14ac:dyDescent="0.25">
      <c r="A4705" s="380"/>
      <c r="B4705" s="7"/>
      <c r="D4705" s="6" t="str">
        <f>_xlfn.XLOOKUP(B4705,Indices!$A$2:$A$2676,Indices!$B$2:$B$2676,"")</f>
        <v/>
      </c>
    </row>
    <row r="4706" spans="1:4" x14ac:dyDescent="0.25">
      <c r="A4706" s="380"/>
      <c r="B4706" s="7"/>
      <c r="D4706" s="6" t="str">
        <f>_xlfn.XLOOKUP(B4706,Indices!$A$2:$A$2676,Indices!$B$2:$B$2676,"")</f>
        <v/>
      </c>
    </row>
    <row r="4707" spans="1:4" x14ac:dyDescent="0.25">
      <c r="A4707" s="380"/>
      <c r="B4707" s="7"/>
      <c r="D4707" s="6" t="str">
        <f>_xlfn.XLOOKUP(B4707,Indices!$A$2:$A$2676,Indices!$B$2:$B$2676,"")</f>
        <v/>
      </c>
    </row>
    <row r="4708" spans="1:4" x14ac:dyDescent="0.25">
      <c r="A4708" s="380"/>
      <c r="B4708" s="7"/>
      <c r="D4708" s="6" t="str">
        <f>_xlfn.XLOOKUP(B4708,Indices!$A$2:$A$2676,Indices!$B$2:$B$2676,"")</f>
        <v/>
      </c>
    </row>
    <row r="4709" spans="1:4" x14ac:dyDescent="0.25">
      <c r="A4709" s="380"/>
      <c r="B4709" s="7"/>
      <c r="D4709" s="6" t="str">
        <f>_xlfn.XLOOKUP(B4709,Indices!$A$2:$A$2676,Indices!$B$2:$B$2676,"")</f>
        <v/>
      </c>
    </row>
    <row r="4710" spans="1:4" x14ac:dyDescent="0.25">
      <c r="A4710" s="380"/>
      <c r="B4710" s="7"/>
      <c r="D4710" s="6" t="str">
        <f>_xlfn.XLOOKUP(B4710,Indices!$A$2:$A$2676,Indices!$B$2:$B$2676,"")</f>
        <v/>
      </c>
    </row>
    <row r="4711" spans="1:4" x14ac:dyDescent="0.25">
      <c r="A4711" s="380"/>
      <c r="B4711" s="7"/>
      <c r="D4711" s="6" t="str">
        <f>_xlfn.XLOOKUP(B4711,Indices!$A$2:$A$2676,Indices!$B$2:$B$2676,"")</f>
        <v/>
      </c>
    </row>
    <row r="4712" spans="1:4" x14ac:dyDescent="0.25">
      <c r="A4712" s="380"/>
      <c r="B4712" s="7"/>
      <c r="D4712" s="6" t="str">
        <f>_xlfn.XLOOKUP(B4712,Indices!$A$2:$A$2676,Indices!$B$2:$B$2676,"")</f>
        <v/>
      </c>
    </row>
    <row r="4713" spans="1:4" x14ac:dyDescent="0.25">
      <c r="A4713" s="380"/>
      <c r="B4713" s="7"/>
      <c r="D4713" s="6" t="str">
        <f>_xlfn.XLOOKUP(B4713,Indices!$A$2:$A$2676,Indices!$B$2:$B$2676,"")</f>
        <v/>
      </c>
    </row>
    <row r="4714" spans="1:4" x14ac:dyDescent="0.25">
      <c r="A4714" s="380"/>
      <c r="B4714" s="7"/>
      <c r="D4714" s="6" t="str">
        <f>_xlfn.XLOOKUP(B4714,Indices!$A$2:$A$2676,Indices!$B$2:$B$2676,"")</f>
        <v/>
      </c>
    </row>
    <row r="4715" spans="1:4" x14ac:dyDescent="0.25">
      <c r="A4715" s="380"/>
      <c r="B4715" s="7"/>
      <c r="D4715" s="6" t="str">
        <f>_xlfn.XLOOKUP(B4715,Indices!$A$2:$A$2676,Indices!$B$2:$B$2676,"")</f>
        <v/>
      </c>
    </row>
    <row r="4716" spans="1:4" x14ac:dyDescent="0.25">
      <c r="A4716" s="380"/>
      <c r="B4716" s="7"/>
      <c r="D4716" s="6" t="str">
        <f>_xlfn.XLOOKUP(B4716,Indices!$A$2:$A$2676,Indices!$B$2:$B$2676,"")</f>
        <v/>
      </c>
    </row>
    <row r="4717" spans="1:4" x14ac:dyDescent="0.25">
      <c r="A4717" s="380"/>
      <c r="B4717" s="7"/>
      <c r="D4717" s="6" t="str">
        <f>_xlfn.XLOOKUP(B4717,Indices!$A$2:$A$2676,Indices!$B$2:$B$2676,"")</f>
        <v/>
      </c>
    </row>
    <row r="4718" spans="1:4" x14ac:dyDescent="0.25">
      <c r="A4718" s="380"/>
      <c r="B4718" s="7"/>
      <c r="D4718" s="6" t="str">
        <f>_xlfn.XLOOKUP(B4718,Indices!$A$2:$A$2676,Indices!$B$2:$B$2676,"")</f>
        <v/>
      </c>
    </row>
    <row r="4719" spans="1:4" x14ac:dyDescent="0.25">
      <c r="A4719" s="380"/>
      <c r="B4719" s="7"/>
      <c r="D4719" s="6" t="str">
        <f>_xlfn.XLOOKUP(B4719,Indices!$A$2:$A$2676,Indices!$B$2:$B$2676,"")</f>
        <v/>
      </c>
    </row>
    <row r="4720" spans="1:4" x14ac:dyDescent="0.25">
      <c r="A4720" s="380"/>
      <c r="B4720" s="7"/>
      <c r="D4720" s="6" t="str">
        <f>_xlfn.XLOOKUP(B4720,Indices!$A$2:$A$2676,Indices!$B$2:$B$2676,"")</f>
        <v/>
      </c>
    </row>
    <row r="4721" spans="1:4" x14ac:dyDescent="0.25">
      <c r="A4721" s="380"/>
      <c r="B4721" s="7"/>
      <c r="D4721" s="6" t="str">
        <f>_xlfn.XLOOKUP(B4721,Indices!$A$2:$A$2676,Indices!$B$2:$B$2676,"")</f>
        <v/>
      </c>
    </row>
    <row r="4722" spans="1:4" x14ac:dyDescent="0.25">
      <c r="A4722" s="380"/>
      <c r="B4722" s="7"/>
      <c r="D4722" s="6" t="str">
        <f>_xlfn.XLOOKUP(B4722,Indices!$A$2:$A$2676,Indices!$B$2:$B$2676,"")</f>
        <v/>
      </c>
    </row>
    <row r="4723" spans="1:4" x14ac:dyDescent="0.25">
      <c r="A4723" s="380"/>
      <c r="B4723" s="7"/>
      <c r="D4723" s="6" t="str">
        <f>_xlfn.XLOOKUP(B4723,Indices!$A$2:$A$2676,Indices!$B$2:$B$2676,"")</f>
        <v/>
      </c>
    </row>
    <row r="4724" spans="1:4" x14ac:dyDescent="0.25">
      <c r="A4724" s="380"/>
      <c r="B4724" s="7"/>
      <c r="D4724" s="6" t="str">
        <f>_xlfn.XLOOKUP(B4724,Indices!$A$2:$A$2676,Indices!$B$2:$B$2676,"")</f>
        <v/>
      </c>
    </row>
    <row r="4725" spans="1:4" x14ac:dyDescent="0.25">
      <c r="A4725" s="380"/>
      <c r="B4725" s="7"/>
      <c r="D4725" s="6" t="str">
        <f>_xlfn.XLOOKUP(B4725,Indices!$A$2:$A$2676,Indices!$B$2:$B$2676,"")</f>
        <v/>
      </c>
    </row>
    <row r="4726" spans="1:4" x14ac:dyDescent="0.25">
      <c r="A4726" s="380"/>
      <c r="B4726" s="7"/>
      <c r="D4726" s="6" t="str">
        <f>_xlfn.XLOOKUP(B4726,Indices!$A$2:$A$2676,Indices!$B$2:$B$2676,"")</f>
        <v/>
      </c>
    </row>
    <row r="4727" spans="1:4" x14ac:dyDescent="0.25">
      <c r="A4727" s="380"/>
      <c r="B4727" s="7"/>
      <c r="D4727" s="6" t="str">
        <f>_xlfn.XLOOKUP(B4727,Indices!$A$2:$A$2676,Indices!$B$2:$B$2676,"")</f>
        <v/>
      </c>
    </row>
    <row r="4728" spans="1:4" x14ac:dyDescent="0.25">
      <c r="A4728" s="380"/>
      <c r="B4728" s="7"/>
      <c r="D4728" s="6" t="str">
        <f>_xlfn.XLOOKUP(B4728,Indices!$A$2:$A$2676,Indices!$B$2:$B$2676,"")</f>
        <v/>
      </c>
    </row>
    <row r="4729" spans="1:4" x14ac:dyDescent="0.25">
      <c r="A4729" s="380"/>
      <c r="B4729" s="7"/>
      <c r="D4729" s="6" t="str">
        <f>_xlfn.XLOOKUP(B4729,Indices!$A$2:$A$2676,Indices!$B$2:$B$2676,"")</f>
        <v/>
      </c>
    </row>
    <row r="4730" spans="1:4" x14ac:dyDescent="0.25">
      <c r="A4730" s="380"/>
      <c r="B4730" s="7"/>
      <c r="D4730" s="6" t="str">
        <f>_xlfn.XLOOKUP(B4730,Indices!$A$2:$A$2676,Indices!$B$2:$B$2676,"")</f>
        <v/>
      </c>
    </row>
    <row r="4731" spans="1:4" x14ac:dyDescent="0.25">
      <c r="A4731" s="380"/>
      <c r="B4731" s="7"/>
      <c r="D4731" s="6" t="str">
        <f>_xlfn.XLOOKUP(B4731,Indices!$A$2:$A$2676,Indices!$B$2:$B$2676,"")</f>
        <v/>
      </c>
    </row>
    <row r="4732" spans="1:4" x14ac:dyDescent="0.25">
      <c r="A4732" s="380"/>
      <c r="B4732" s="7"/>
      <c r="D4732" s="6" t="str">
        <f>_xlfn.XLOOKUP(B4732,Indices!$A$2:$A$2676,Indices!$B$2:$B$2676,"")</f>
        <v/>
      </c>
    </row>
    <row r="4733" spans="1:4" x14ac:dyDescent="0.25">
      <c r="A4733" s="380"/>
      <c r="B4733" s="7"/>
      <c r="D4733" s="6" t="str">
        <f>_xlfn.XLOOKUP(B4733,Indices!$A$2:$A$2676,Indices!$B$2:$B$2676,"")</f>
        <v/>
      </c>
    </row>
    <row r="4734" spans="1:4" x14ac:dyDescent="0.25">
      <c r="A4734" s="380"/>
      <c r="B4734" s="7"/>
      <c r="D4734" s="6" t="str">
        <f>_xlfn.XLOOKUP(B4734,Indices!$A$2:$A$2676,Indices!$B$2:$B$2676,"")</f>
        <v/>
      </c>
    </row>
  </sheetData>
  <autoFilter ref="A1:D4734" xr:uid="{99B2C00A-D7F8-4B9D-B5EB-FB5B93C4C8E9}">
    <sortState xmlns:xlrd2="http://schemas.microsoft.com/office/spreadsheetml/2017/richdata2" ref="A2:D4734">
      <sortCondition ref="A1:A4734"/>
    </sortState>
  </autoFilter>
  <conditionalFormatting sqref="D2:D4734">
    <cfRule type="containsText" dxfId="43" priority="1" operator="containsText" text="500">
      <formula>NOT(ISERROR(SEARCH("500",D2)))</formula>
    </cfRule>
  </conditionalFormatting>
  <pageMargins left="0.7" right="0.7" top="0.75" bottom="0.75" header="0.3" footer="0.3"/>
  <pageSetup orientation="portrait" horizontalDpi="300" verticalDpi="300"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6F57E-F17E-4C8C-887B-42C8EE61E231}">
  <sheetPr codeName="Sheet10">
    <tabColor rgb="FF00FF00"/>
  </sheetPr>
  <dimension ref="A1:HV430"/>
  <sheetViews>
    <sheetView showGridLines="0" tabSelected="1" zoomScaleNormal="100" workbookViewId="0">
      <pane ySplit="3" topLeftCell="A405" activePane="bottomLeft" state="frozen"/>
      <selection activeCell="E14" sqref="E14"/>
      <selection pane="bottomLeft" activeCell="AI427" sqref="AI427"/>
    </sheetView>
  </sheetViews>
  <sheetFormatPr defaultRowHeight="15" x14ac:dyDescent="0.25"/>
  <cols>
    <col min="1" max="1" width="8.7109375" customWidth="1"/>
    <col min="2" max="2" width="27.28515625" hidden="1" customWidth="1"/>
    <col min="3" max="3" width="5.42578125" style="7" hidden="1" customWidth="1"/>
    <col min="4" max="4" width="5.42578125" customWidth="1"/>
    <col min="5" max="5" width="6.140625" customWidth="1"/>
    <col min="6" max="6" width="9.85546875" style="7" customWidth="1"/>
    <col min="7" max="7" width="5.7109375" style="1" customWidth="1"/>
    <col min="8" max="8" width="3.7109375" style="1" customWidth="1"/>
    <col min="9" max="12" width="7.5703125" style="1" customWidth="1"/>
    <col min="13" max="13" width="7.5703125" customWidth="1"/>
    <col min="14" max="15" width="7.28515625" customWidth="1"/>
    <col min="16" max="17" width="7.28515625" style="139" customWidth="1"/>
    <col min="18" max="18" width="7.28515625" customWidth="1"/>
    <col min="19" max="20" width="6.42578125" customWidth="1"/>
    <col min="21" max="21" width="7.5703125" customWidth="1"/>
    <col min="22" max="23" width="6.28515625" customWidth="1"/>
    <col min="24" max="24" width="7" customWidth="1"/>
    <col min="25" max="25" width="10.28515625" bestFit="1" customWidth="1"/>
    <col min="26" max="26" width="9" customWidth="1"/>
    <col min="27" max="27" width="9.140625" customWidth="1"/>
    <col min="28" max="28" width="7.140625" customWidth="1"/>
    <col min="29" max="29" width="7.5703125" customWidth="1"/>
    <col min="30" max="31" width="6.140625" customWidth="1"/>
    <col min="32" max="32" width="6.140625" style="139" customWidth="1"/>
    <col min="33" max="33" width="6" customWidth="1"/>
    <col min="34" max="34" width="7.7109375" style="1" customWidth="1"/>
    <col min="35" max="36" width="7.7109375" customWidth="1"/>
    <col min="37" max="37" width="7.7109375" style="7" customWidth="1"/>
    <col min="38" max="38" width="8.5703125" customWidth="1"/>
    <col min="39" max="39" width="4.42578125" style="7" customWidth="1"/>
    <col min="40" max="40" width="94.140625" style="7" customWidth="1"/>
    <col min="41" max="41" width="7.85546875" customWidth="1"/>
    <col min="42" max="42" width="9" customWidth="1"/>
    <col min="43" max="52" width="7.85546875" customWidth="1"/>
    <col min="53" max="53" width="6.42578125" customWidth="1"/>
    <col min="54" max="54" width="6.5703125" customWidth="1"/>
    <col min="55" max="61" width="8.7109375" customWidth="1"/>
    <col min="62" max="62" width="7.7109375" customWidth="1"/>
    <col min="63" max="64" width="5.42578125" style="139" customWidth="1"/>
    <col min="65" max="65" width="6.140625" style="139" customWidth="1"/>
    <col min="66" max="74" width="6.5703125" customWidth="1"/>
    <col min="75" max="198" width="10.5703125" customWidth="1"/>
    <col min="201" max="216" width="7.140625" style="139" customWidth="1"/>
    <col min="217" max="217" width="8.28515625" style="139" customWidth="1"/>
    <col min="218" max="230" width="7.140625" style="139" customWidth="1"/>
  </cols>
  <sheetData>
    <row r="1" spans="1:230" ht="33.75" customHeight="1" x14ac:dyDescent="0.25">
      <c r="A1" s="553" t="s">
        <v>2667</v>
      </c>
      <c r="B1" s="552" t="str" cm="1">
        <f t="array" ref="B1">IFERROR(_xlfn.XLOOKUP(A4,Earnings!$B$2:$B$9984,LEFT(Earnings!$C$2:$C$9984,37)),"Can't Find Date***")</f>
        <v>Can't Find Date***</v>
      </c>
      <c r="C1" s="368"/>
      <c r="D1" s="368"/>
      <c r="E1" s="551" t="e">
        <f>_xlfn.XLOOKUP(A1,[1]SP500!$A$2:$A$655,[1]SP500!$B$2:$B$655)</f>
        <v>#N/A</v>
      </c>
      <c r="F1" s="369" t="str">
        <f>IFERROR(TRIM(MID(B1,FIND("/",B1,1)-2,8)),"")</f>
        <v/>
      </c>
      <c r="G1" s="135"/>
      <c r="H1" s="135"/>
      <c r="I1" s="643" t="s">
        <v>4700</v>
      </c>
      <c r="J1" s="644"/>
      <c r="K1" s="644"/>
      <c r="L1" s="644"/>
      <c r="M1" s="645"/>
      <c r="N1" s="656" t="s">
        <v>4699</v>
      </c>
      <c r="O1" s="657"/>
      <c r="P1" s="657"/>
      <c r="Q1" s="657"/>
      <c r="R1" s="658"/>
      <c r="S1" s="659" t="s">
        <v>4701</v>
      </c>
      <c r="T1" s="636"/>
      <c r="U1" s="634" t="s">
        <v>4702</v>
      </c>
      <c r="V1" s="635"/>
      <c r="W1" s="636"/>
      <c r="X1" s="134"/>
      <c r="Y1" s="637" t="s">
        <v>4696</v>
      </c>
      <c r="Z1" s="638"/>
      <c r="AA1" s="541" t="s">
        <v>4710</v>
      </c>
      <c r="AB1" s="639" t="s">
        <v>4704</v>
      </c>
      <c r="AC1" s="640"/>
      <c r="AD1" s="640"/>
      <c r="AE1" s="640"/>
      <c r="AF1" s="640"/>
      <c r="AG1" s="641"/>
      <c r="AH1" s="642" t="s">
        <v>4706</v>
      </c>
      <c r="AI1" s="642"/>
      <c r="AJ1" s="642"/>
      <c r="AK1" s="642"/>
      <c r="AL1" s="642"/>
      <c r="AM1" s="212"/>
      <c r="AN1" s="212"/>
      <c r="AO1" s="660" t="s">
        <v>4682</v>
      </c>
      <c r="AP1" s="660"/>
      <c r="AQ1" s="660"/>
      <c r="AR1" s="660"/>
      <c r="AS1" s="660"/>
      <c r="AT1" s="660"/>
      <c r="AU1" s="660"/>
      <c r="AV1" s="660"/>
      <c r="AW1" s="660"/>
      <c r="AX1" s="660"/>
      <c r="AY1" s="660"/>
      <c r="AZ1" s="660"/>
      <c r="BA1" s="660"/>
      <c r="BC1" s="627" t="s">
        <v>4676</v>
      </c>
      <c r="BD1" s="627"/>
      <c r="BE1" s="627"/>
      <c r="BF1" s="627"/>
      <c r="BG1" s="627"/>
      <c r="BH1" s="627"/>
      <c r="BI1" s="627"/>
      <c r="BK1" s="654" t="s">
        <v>4707</v>
      </c>
      <c r="BL1" s="655"/>
      <c r="BM1" s="655"/>
      <c r="BO1" s="649" t="s">
        <v>4708</v>
      </c>
      <c r="BP1" s="650"/>
      <c r="BQ1" s="650"/>
      <c r="BR1" s="651"/>
      <c r="BS1" s="652"/>
      <c r="BT1" s="653"/>
      <c r="BU1" s="653"/>
      <c r="BV1" s="653"/>
      <c r="BW1" s="646" t="s">
        <v>2671</v>
      </c>
      <c r="BX1" s="648"/>
      <c r="BY1" s="648"/>
      <c r="BZ1" s="648"/>
      <c r="CA1" s="648"/>
      <c r="CB1" s="648"/>
      <c r="CC1" s="646" t="s">
        <v>2671</v>
      </c>
      <c r="CD1" s="648"/>
      <c r="CE1" s="648"/>
      <c r="CF1" s="648"/>
      <c r="CG1" s="648"/>
      <c r="CH1" s="648"/>
      <c r="CI1" s="646" t="s">
        <v>2677</v>
      </c>
      <c r="CJ1" s="646"/>
      <c r="CK1" s="646"/>
      <c r="CL1" s="646"/>
      <c r="CM1" s="646"/>
      <c r="CN1" s="646"/>
      <c r="CO1" s="647"/>
      <c r="CP1" s="646" t="s">
        <v>2677</v>
      </c>
      <c r="CQ1" s="646"/>
      <c r="CR1" s="646"/>
      <c r="CS1" s="646"/>
      <c r="CT1" s="646"/>
      <c r="CU1" s="646"/>
      <c r="CV1" s="647"/>
      <c r="CW1" s="646" t="s">
        <v>2677</v>
      </c>
      <c r="CX1" s="646"/>
      <c r="CY1" s="646"/>
      <c r="CZ1" s="646"/>
      <c r="DA1" s="646"/>
      <c r="DB1" s="646"/>
      <c r="DC1" s="647"/>
      <c r="DD1" s="646" t="s">
        <v>2677</v>
      </c>
      <c r="DE1" s="646"/>
      <c r="DF1" s="646"/>
      <c r="DG1" s="646"/>
      <c r="DH1" s="646"/>
      <c r="DI1" s="646"/>
      <c r="DJ1" s="647"/>
      <c r="DK1" s="646" t="s">
        <v>2677</v>
      </c>
      <c r="DL1" s="646"/>
      <c r="DM1" s="646"/>
      <c r="DN1" s="646"/>
      <c r="DO1" s="646"/>
      <c r="DP1" s="646"/>
      <c r="DQ1" s="647"/>
      <c r="DR1" s="646" t="s">
        <v>2677</v>
      </c>
      <c r="DS1" s="646"/>
      <c r="DT1" s="646"/>
      <c r="DU1" s="646"/>
      <c r="DV1" s="646"/>
      <c r="DW1" s="646"/>
      <c r="DX1" s="647"/>
      <c r="DY1" s="646" t="s">
        <v>2677</v>
      </c>
      <c r="DZ1" s="646"/>
      <c r="EA1" s="646"/>
      <c r="EB1" s="646"/>
      <c r="EC1" s="646"/>
      <c r="ED1" s="646"/>
      <c r="EE1" s="647"/>
      <c r="EF1" s="646" t="s">
        <v>2677</v>
      </c>
      <c r="EG1" s="646"/>
      <c r="EH1" s="646"/>
      <c r="EI1" s="646"/>
      <c r="EJ1" s="646"/>
      <c r="EK1" s="646"/>
      <c r="EL1" s="647"/>
      <c r="EM1" s="646" t="s">
        <v>2677</v>
      </c>
      <c r="EN1" s="646"/>
      <c r="EO1" s="646"/>
      <c r="EP1" s="646"/>
      <c r="EQ1" s="646"/>
      <c r="ER1" s="646"/>
      <c r="ES1" s="647"/>
      <c r="ET1" s="646" t="s">
        <v>2677</v>
      </c>
      <c r="EU1" s="646"/>
      <c r="EV1" s="646"/>
      <c r="EW1" s="646"/>
      <c r="EX1" s="646"/>
      <c r="EY1" s="646"/>
      <c r="EZ1" s="647"/>
      <c r="FA1" s="646" t="s">
        <v>2677</v>
      </c>
      <c r="FB1" s="646"/>
      <c r="FC1" s="646"/>
      <c r="FD1" s="646"/>
      <c r="FE1" s="646"/>
      <c r="FF1" s="646"/>
      <c r="FG1" s="647"/>
      <c r="FH1" s="646" t="s">
        <v>2677</v>
      </c>
      <c r="FI1" s="646"/>
      <c r="FJ1" s="646"/>
      <c r="FK1" s="646"/>
      <c r="FL1" s="646"/>
      <c r="FM1" s="646"/>
      <c r="FN1" s="647"/>
      <c r="FO1" s="646" t="s">
        <v>2677</v>
      </c>
      <c r="FP1" s="646"/>
      <c r="FQ1" s="646"/>
      <c r="FR1" s="646"/>
      <c r="FS1" s="646"/>
      <c r="FT1" s="646"/>
      <c r="FU1" s="647"/>
      <c r="FV1" s="646" t="s">
        <v>2677</v>
      </c>
      <c r="FW1" s="646"/>
      <c r="FX1" s="646"/>
      <c r="FY1" s="646"/>
      <c r="FZ1" s="646"/>
      <c r="GA1" s="646"/>
      <c r="GB1" s="647"/>
      <c r="GC1" s="646" t="s">
        <v>2677</v>
      </c>
      <c r="GD1" s="646"/>
      <c r="GE1" s="646"/>
      <c r="GF1" s="646"/>
      <c r="GG1" s="646"/>
      <c r="GH1" s="646"/>
      <c r="GI1" s="647"/>
      <c r="GJ1" s="646" t="s">
        <v>2677</v>
      </c>
      <c r="GK1" s="646"/>
      <c r="GL1" s="646"/>
      <c r="GM1" s="646"/>
      <c r="GN1" s="646"/>
      <c r="GO1" s="646"/>
      <c r="GP1" s="647"/>
      <c r="GS1" s="524"/>
      <c r="GT1" s="524"/>
      <c r="GU1" s="524"/>
      <c r="GV1" s="524"/>
      <c r="GW1" s="524"/>
      <c r="GX1" s="524"/>
      <c r="GY1" s="524"/>
      <c r="GZ1" s="524"/>
      <c r="HA1" s="524"/>
      <c r="HB1" s="524"/>
      <c r="HC1" s="524"/>
      <c r="HD1" s="524"/>
      <c r="HE1" s="524"/>
      <c r="HF1" s="524"/>
      <c r="HG1" s="524"/>
      <c r="HH1" s="524"/>
      <c r="HI1" s="524"/>
      <c r="HJ1" s="524"/>
      <c r="HK1" s="524"/>
      <c r="HL1" s="524"/>
      <c r="HM1" s="524"/>
      <c r="HN1" s="524"/>
      <c r="HO1" s="524"/>
      <c r="HP1" s="524"/>
      <c r="HQ1" s="524"/>
      <c r="HR1" s="524"/>
      <c r="HS1" s="524"/>
      <c r="HT1" s="524"/>
      <c r="HU1" s="524"/>
      <c r="HV1" s="524"/>
    </row>
    <row r="2" spans="1:230" ht="15" customHeight="1" x14ac:dyDescent="0.25">
      <c r="A2" s="136" t="s">
        <v>2672</v>
      </c>
      <c r="B2" s="231" t="s">
        <v>2704</v>
      </c>
      <c r="C2" s="231" t="s">
        <v>2704</v>
      </c>
      <c r="D2" s="167"/>
      <c r="E2" s="530" t="s">
        <v>2753</v>
      </c>
      <c r="F2" s="530" t="s">
        <v>2753</v>
      </c>
      <c r="G2" s="530" t="s">
        <v>2753</v>
      </c>
      <c r="H2" s="530" t="s">
        <v>2753</v>
      </c>
      <c r="I2" s="533" t="s">
        <v>4697</v>
      </c>
      <c r="J2" s="533" t="s">
        <v>4697</v>
      </c>
      <c r="K2" s="530" t="s">
        <v>2753</v>
      </c>
      <c r="L2" s="530" t="s">
        <v>2753</v>
      </c>
      <c r="M2" s="530" t="s">
        <v>2753</v>
      </c>
      <c r="N2" s="532" t="s">
        <v>2753</v>
      </c>
      <c r="O2" s="532" t="s">
        <v>2753</v>
      </c>
      <c r="P2" s="532" t="s">
        <v>2753</v>
      </c>
      <c r="Q2" s="532" t="s">
        <v>2753</v>
      </c>
      <c r="R2" s="532" t="s">
        <v>2753</v>
      </c>
      <c r="S2" s="530" t="s">
        <v>2753</v>
      </c>
      <c r="T2" s="533" t="s">
        <v>4697</v>
      </c>
      <c r="U2" s="530" t="s">
        <v>2753</v>
      </c>
      <c r="V2" s="533" t="s">
        <v>4697</v>
      </c>
      <c r="W2" s="533" t="s">
        <v>4697</v>
      </c>
      <c r="X2" s="530" t="s">
        <v>2753</v>
      </c>
      <c r="Y2" s="530" t="s">
        <v>2753</v>
      </c>
      <c r="Z2" s="533" t="s">
        <v>4697</v>
      </c>
      <c r="AA2" s="530" t="s">
        <v>2753</v>
      </c>
      <c r="AB2" s="531" t="s">
        <v>2753</v>
      </c>
      <c r="AC2" s="533" t="s">
        <v>4697</v>
      </c>
      <c r="AD2" s="531" t="s">
        <v>2753</v>
      </c>
      <c r="AE2" s="531" t="s">
        <v>2753</v>
      </c>
      <c r="AF2" s="531" t="s">
        <v>2753</v>
      </c>
      <c r="AG2" s="531" t="s">
        <v>2753</v>
      </c>
      <c r="AH2" s="533" t="s">
        <v>4697</v>
      </c>
      <c r="AI2" s="532" t="s">
        <v>2753</v>
      </c>
      <c r="AJ2" s="532" t="s">
        <v>2753</v>
      </c>
      <c r="AK2" s="532" t="s">
        <v>2753</v>
      </c>
      <c r="AL2" s="532" t="s">
        <v>2753</v>
      </c>
      <c r="AM2" s="213"/>
      <c r="AN2" s="213"/>
      <c r="AO2" s="628" t="s">
        <v>4693</v>
      </c>
      <c r="AP2" s="629"/>
      <c r="AQ2" s="629"/>
      <c r="AR2" s="629"/>
      <c r="AS2" s="629"/>
      <c r="AT2" s="630"/>
      <c r="AU2" s="631" t="s">
        <v>4694</v>
      </c>
      <c r="AV2" s="632"/>
      <c r="AW2" s="632"/>
      <c r="AX2" s="632"/>
      <c r="AY2" s="632"/>
      <c r="AZ2" s="632"/>
      <c r="BA2" s="633"/>
      <c r="BC2" s="527">
        <f>SUM(BC4:BC422)</f>
        <v>24</v>
      </c>
      <c r="BD2" s="528">
        <f>SUM(BD4:BD422)</f>
        <v>74</v>
      </c>
      <c r="BE2" s="527">
        <f>SUM(BE4:BE422)</f>
        <v>102</v>
      </c>
      <c r="BF2" s="529">
        <f>(BC2+BE2+BG2)/(BC2+BE2+BG2+BD2+BH2+BI2)</f>
        <v>0.5227817745803357</v>
      </c>
      <c r="BG2" s="527">
        <f>SUM(BG4:BG422)</f>
        <v>92</v>
      </c>
      <c r="BH2" s="528">
        <f>SUM(BH4:BH422)</f>
        <v>27</v>
      </c>
      <c r="BI2" s="528">
        <f>SUM(BI4:BI422)</f>
        <v>98</v>
      </c>
      <c r="BK2" s="137"/>
      <c r="BL2" s="137"/>
      <c r="BM2" s="137"/>
      <c r="BO2" s="126" t="s">
        <v>2669</v>
      </c>
      <c r="BP2" s="126" t="s">
        <v>2669</v>
      </c>
      <c r="BQ2" s="126" t="s">
        <v>2669</v>
      </c>
      <c r="BR2" s="126" t="s">
        <v>2669</v>
      </c>
      <c r="BS2" s="126" t="s">
        <v>2669</v>
      </c>
      <c r="BT2" s="126" t="s">
        <v>2669</v>
      </c>
      <c r="BU2" s="126" t="s">
        <v>2669</v>
      </c>
      <c r="BV2" s="126" t="s">
        <v>2669</v>
      </c>
      <c r="BW2" s="126" t="s">
        <v>2669</v>
      </c>
      <c r="BX2" s="126" t="s">
        <v>2669</v>
      </c>
      <c r="BY2" s="126" t="s">
        <v>2669</v>
      </c>
      <c r="BZ2" s="126" t="s">
        <v>2669</v>
      </c>
      <c r="CA2" s="126" t="s">
        <v>2669</v>
      </c>
      <c r="CB2" s="126" t="s">
        <v>2669</v>
      </c>
      <c r="CC2" s="126" t="s">
        <v>2669</v>
      </c>
      <c r="CD2" s="126" t="s">
        <v>2669</v>
      </c>
      <c r="CE2" s="126" t="s">
        <v>2669</v>
      </c>
      <c r="CF2" s="126" t="s">
        <v>2669</v>
      </c>
      <c r="CG2" s="126" t="s">
        <v>2669</v>
      </c>
      <c r="CH2" s="126" t="s">
        <v>2669</v>
      </c>
      <c r="CI2" s="138" t="s">
        <v>2614</v>
      </c>
      <c r="CJ2" s="126" t="s">
        <v>2669</v>
      </c>
      <c r="CK2" s="126" t="s">
        <v>2669</v>
      </c>
      <c r="CL2" s="126" t="s">
        <v>2669</v>
      </c>
      <c r="CM2" s="126" t="s">
        <v>2669</v>
      </c>
      <c r="CN2" s="126" t="s">
        <v>2669</v>
      </c>
      <c r="CO2" s="126" t="s">
        <v>2669</v>
      </c>
      <c r="CP2" s="138" t="s">
        <v>2690</v>
      </c>
      <c r="CQ2" s="126" t="s">
        <v>2669</v>
      </c>
      <c r="CR2" s="126" t="s">
        <v>2669</v>
      </c>
      <c r="CS2" s="126" t="s">
        <v>2669</v>
      </c>
      <c r="CT2" s="126" t="s">
        <v>2669</v>
      </c>
      <c r="CU2" s="126" t="s">
        <v>2669</v>
      </c>
      <c r="CV2" s="126" t="s">
        <v>2669</v>
      </c>
      <c r="CW2" s="138" t="s">
        <v>2619</v>
      </c>
      <c r="CX2" s="126" t="s">
        <v>2669</v>
      </c>
      <c r="CY2" s="126" t="s">
        <v>2669</v>
      </c>
      <c r="CZ2" s="126" t="s">
        <v>2669</v>
      </c>
      <c r="DA2" s="126" t="s">
        <v>2669</v>
      </c>
      <c r="DB2" s="126" t="s">
        <v>2669</v>
      </c>
      <c r="DC2" s="126" t="s">
        <v>2669</v>
      </c>
      <c r="DD2" s="138" t="s">
        <v>2615</v>
      </c>
      <c r="DE2" s="126" t="s">
        <v>2669</v>
      </c>
      <c r="DF2" s="126" t="s">
        <v>2669</v>
      </c>
      <c r="DG2" s="126" t="s">
        <v>2669</v>
      </c>
      <c r="DH2" s="126" t="s">
        <v>2669</v>
      </c>
      <c r="DI2" s="126" t="s">
        <v>2669</v>
      </c>
      <c r="DJ2" s="126" t="s">
        <v>2669</v>
      </c>
      <c r="DK2" s="138" t="s">
        <v>2610</v>
      </c>
      <c r="DL2" s="126" t="s">
        <v>2669</v>
      </c>
      <c r="DM2" s="126" t="s">
        <v>2669</v>
      </c>
      <c r="DN2" s="126" t="s">
        <v>2669</v>
      </c>
      <c r="DO2" s="126" t="s">
        <v>2669</v>
      </c>
      <c r="DP2" s="126" t="s">
        <v>2669</v>
      </c>
      <c r="DQ2" s="126" t="s">
        <v>2669</v>
      </c>
      <c r="DR2" s="138" t="s">
        <v>2612</v>
      </c>
      <c r="DS2" s="126" t="s">
        <v>2669</v>
      </c>
      <c r="DT2" s="126" t="s">
        <v>2669</v>
      </c>
      <c r="DU2" s="126" t="s">
        <v>2669</v>
      </c>
      <c r="DV2" s="126" t="s">
        <v>2669</v>
      </c>
      <c r="DW2" s="126" t="s">
        <v>2669</v>
      </c>
      <c r="DX2" s="126" t="s">
        <v>2669</v>
      </c>
      <c r="DY2" s="138" t="s">
        <v>2613</v>
      </c>
      <c r="DZ2" s="126" t="s">
        <v>2669</v>
      </c>
      <c r="EA2" s="126" t="s">
        <v>2669</v>
      </c>
      <c r="EB2" s="126" t="s">
        <v>2669</v>
      </c>
      <c r="EC2" s="126" t="s">
        <v>2669</v>
      </c>
      <c r="ED2" s="126" t="s">
        <v>2669</v>
      </c>
      <c r="EE2" s="126" t="s">
        <v>2669</v>
      </c>
      <c r="EF2" s="138" t="s">
        <v>2618</v>
      </c>
      <c r="EG2" s="126" t="s">
        <v>2669</v>
      </c>
      <c r="EH2" s="126" t="s">
        <v>2669</v>
      </c>
      <c r="EI2" s="126" t="s">
        <v>2669</v>
      </c>
      <c r="EJ2" s="126" t="s">
        <v>2669</v>
      </c>
      <c r="EK2" s="126" t="s">
        <v>2669</v>
      </c>
      <c r="EL2" s="126" t="s">
        <v>2669</v>
      </c>
      <c r="EM2" s="138" t="s">
        <v>2609</v>
      </c>
      <c r="EN2" s="126" t="s">
        <v>2669</v>
      </c>
      <c r="EO2" s="126" t="s">
        <v>2669</v>
      </c>
      <c r="EP2" s="126" t="s">
        <v>2669</v>
      </c>
      <c r="EQ2" s="126" t="s">
        <v>2669</v>
      </c>
      <c r="ER2" s="126" t="s">
        <v>2669</v>
      </c>
      <c r="ES2" s="126" t="s">
        <v>2669</v>
      </c>
      <c r="ET2" s="138" t="s">
        <v>2659</v>
      </c>
      <c r="EU2" s="126" t="s">
        <v>2669</v>
      </c>
      <c r="EV2" s="126" t="s">
        <v>2669</v>
      </c>
      <c r="EW2" s="126" t="s">
        <v>2669</v>
      </c>
      <c r="EX2" s="126" t="s">
        <v>2669</v>
      </c>
      <c r="EY2" s="126" t="s">
        <v>2669</v>
      </c>
      <c r="EZ2" s="126" t="s">
        <v>2669</v>
      </c>
      <c r="FA2" s="138" t="s">
        <v>2611</v>
      </c>
      <c r="FB2" s="126" t="s">
        <v>2669</v>
      </c>
      <c r="FC2" s="126" t="s">
        <v>2669</v>
      </c>
      <c r="FD2" s="126" t="s">
        <v>2669</v>
      </c>
      <c r="FE2" s="126" t="s">
        <v>2669</v>
      </c>
      <c r="FF2" s="126" t="s">
        <v>2669</v>
      </c>
      <c r="FG2" s="126" t="s">
        <v>2669</v>
      </c>
      <c r="FH2" s="138" t="s">
        <v>2617</v>
      </c>
      <c r="FI2" s="126" t="s">
        <v>2669</v>
      </c>
      <c r="FJ2" s="126" t="s">
        <v>2669</v>
      </c>
      <c r="FK2" s="126" t="s">
        <v>2669</v>
      </c>
      <c r="FL2" s="126" t="s">
        <v>2669</v>
      </c>
      <c r="FM2" s="126" t="s">
        <v>2669</v>
      </c>
      <c r="FN2" s="126" t="s">
        <v>2669</v>
      </c>
      <c r="FO2" s="138" t="s">
        <v>2616</v>
      </c>
      <c r="FP2" s="126" t="s">
        <v>2669</v>
      </c>
      <c r="FQ2" s="126" t="s">
        <v>2669</v>
      </c>
      <c r="FR2" s="126" t="s">
        <v>2669</v>
      </c>
      <c r="FS2" s="126" t="s">
        <v>2669</v>
      </c>
      <c r="FT2" s="126" t="s">
        <v>2669</v>
      </c>
      <c r="FU2" s="126" t="s">
        <v>2669</v>
      </c>
      <c r="FV2" s="138" t="s">
        <v>2661</v>
      </c>
      <c r="FW2" s="126" t="s">
        <v>2669</v>
      </c>
      <c r="FX2" s="126" t="s">
        <v>2669</v>
      </c>
      <c r="FY2" s="126" t="s">
        <v>2669</v>
      </c>
      <c r="FZ2" s="126" t="s">
        <v>2669</v>
      </c>
      <c r="GA2" s="126" t="s">
        <v>2669</v>
      </c>
      <c r="GB2" s="126" t="s">
        <v>2669</v>
      </c>
      <c r="GC2" s="138" t="s">
        <v>2660</v>
      </c>
      <c r="GD2" s="126" t="s">
        <v>2669</v>
      </c>
      <c r="GE2" s="126" t="s">
        <v>2669</v>
      </c>
      <c r="GF2" s="126" t="s">
        <v>2669</v>
      </c>
      <c r="GG2" s="126" t="s">
        <v>2669</v>
      </c>
      <c r="GH2" s="126" t="s">
        <v>2669</v>
      </c>
      <c r="GI2" s="126" t="s">
        <v>2669</v>
      </c>
      <c r="GJ2" s="138" t="s">
        <v>2663</v>
      </c>
      <c r="GK2" s="126" t="s">
        <v>2669</v>
      </c>
      <c r="GL2" s="126" t="s">
        <v>2669</v>
      </c>
      <c r="GM2" s="126" t="s">
        <v>2669</v>
      </c>
      <c r="GN2" s="126" t="s">
        <v>2669</v>
      </c>
      <c r="GO2" s="126" t="s">
        <v>2669</v>
      </c>
      <c r="GP2" s="126" t="s">
        <v>2669</v>
      </c>
      <c r="GS2" s="254" t="s">
        <v>2735</v>
      </c>
      <c r="GT2" s="254" t="s">
        <v>2735</v>
      </c>
      <c r="GU2" s="254" t="s">
        <v>2735</v>
      </c>
      <c r="GV2" s="254" t="s">
        <v>2735</v>
      </c>
      <c r="GW2" s="254" t="s">
        <v>2735</v>
      </c>
      <c r="GX2" s="254" t="s">
        <v>2735</v>
      </c>
      <c r="GY2" s="254" t="s">
        <v>2735</v>
      </c>
      <c r="GZ2" s="254" t="s">
        <v>2735</v>
      </c>
      <c r="HA2" s="250" t="s">
        <v>2769</v>
      </c>
      <c r="HB2" s="250" t="s">
        <v>2769</v>
      </c>
      <c r="HC2" s="250" t="s">
        <v>2769</v>
      </c>
      <c r="HD2" s="250" t="s">
        <v>2769</v>
      </c>
      <c r="HE2" s="250" t="s">
        <v>2769</v>
      </c>
      <c r="HF2" s="250" t="s">
        <v>2769</v>
      </c>
      <c r="HG2" s="250" t="s">
        <v>2769</v>
      </c>
      <c r="HH2" s="250" t="s">
        <v>2769</v>
      </c>
      <c r="HI2" s="661" t="s">
        <v>2729</v>
      </c>
      <c r="HJ2" s="662"/>
      <c r="HK2" s="661" t="s">
        <v>2728</v>
      </c>
      <c r="HL2" s="662"/>
      <c r="HM2" s="661" t="s">
        <v>2727</v>
      </c>
      <c r="HN2" s="662"/>
      <c r="HO2" s="661" t="s">
        <v>2726</v>
      </c>
      <c r="HP2" s="662"/>
      <c r="HQ2" s="661" t="s">
        <v>2730</v>
      </c>
      <c r="HR2" s="662"/>
      <c r="HS2" s="661" t="s">
        <v>2731</v>
      </c>
      <c r="HT2" s="662"/>
      <c r="HU2" s="137" t="s">
        <v>2704</v>
      </c>
      <c r="HV2" s="137" t="s">
        <v>2704</v>
      </c>
    </row>
    <row r="3" spans="1:230" ht="36.75" customHeight="1" x14ac:dyDescent="0.25">
      <c r="A3" s="159" t="s">
        <v>1603</v>
      </c>
      <c r="B3" s="159" t="s">
        <v>2505</v>
      </c>
      <c r="C3" s="159" t="s">
        <v>2742</v>
      </c>
      <c r="D3" s="159" t="s">
        <v>2738</v>
      </c>
      <c r="E3" s="159" t="s">
        <v>2608</v>
      </c>
      <c r="F3" s="159" t="s">
        <v>2506</v>
      </c>
      <c r="G3" s="159" t="s">
        <v>2623</v>
      </c>
      <c r="H3" s="159" t="s">
        <v>2699</v>
      </c>
      <c r="I3" s="160" t="s">
        <v>2716</v>
      </c>
      <c r="J3" s="160" t="s">
        <v>2507</v>
      </c>
      <c r="K3" s="160" t="s">
        <v>2717</v>
      </c>
      <c r="L3" s="160" t="s">
        <v>2668</v>
      </c>
      <c r="M3" s="160" t="s">
        <v>2670</v>
      </c>
      <c r="N3" s="534" t="s">
        <v>2678</v>
      </c>
      <c r="O3" s="534" t="s">
        <v>2683</v>
      </c>
      <c r="P3" s="534" t="s">
        <v>2700</v>
      </c>
      <c r="Q3" s="534" t="s">
        <v>2680</v>
      </c>
      <c r="R3" s="535" t="s">
        <v>4558</v>
      </c>
      <c r="S3" s="159" t="s">
        <v>4459</v>
      </c>
      <c r="T3" s="159" t="s">
        <v>4492</v>
      </c>
      <c r="U3" s="159" t="s">
        <v>4695</v>
      </c>
      <c r="V3" s="160" t="s">
        <v>2673</v>
      </c>
      <c r="W3" s="159" t="s">
        <v>2624</v>
      </c>
      <c r="X3" s="536" t="s">
        <v>4703</v>
      </c>
      <c r="Y3" s="161" t="s">
        <v>2625</v>
      </c>
      <c r="Z3" s="162" t="s">
        <v>2674</v>
      </c>
      <c r="AA3" s="540" t="s">
        <v>4709</v>
      </c>
      <c r="AB3" s="163" t="s">
        <v>4711</v>
      </c>
      <c r="AC3" s="163" t="s">
        <v>4463</v>
      </c>
      <c r="AD3" s="163" t="s">
        <v>4712</v>
      </c>
      <c r="AE3" s="163" t="s">
        <v>4713</v>
      </c>
      <c r="AF3" s="163" t="s">
        <v>5662</v>
      </c>
      <c r="AG3" s="163" t="s">
        <v>2675</v>
      </c>
      <c r="AH3" s="165" t="s">
        <v>4705</v>
      </c>
      <c r="AI3" s="165" t="s">
        <v>2679</v>
      </c>
      <c r="AJ3" s="165" t="s">
        <v>2680</v>
      </c>
      <c r="AK3" s="165" t="s">
        <v>2682</v>
      </c>
      <c r="AL3" s="166" t="s">
        <v>2681</v>
      </c>
      <c r="AM3" s="214"/>
      <c r="AN3" s="214"/>
      <c r="AO3" s="164" t="s">
        <v>4691</v>
      </c>
      <c r="AP3" s="164" t="s">
        <v>4683</v>
      </c>
      <c r="AQ3" s="164" t="s">
        <v>4692</v>
      </c>
      <c r="AR3" s="164" t="s">
        <v>2713</v>
      </c>
      <c r="AS3" s="164" t="s">
        <v>2714</v>
      </c>
      <c r="AT3" s="164" t="s">
        <v>2715</v>
      </c>
      <c r="AU3" s="251" t="s">
        <v>4684</v>
      </c>
      <c r="AV3" s="251" t="s">
        <v>4685</v>
      </c>
      <c r="AW3" s="251" t="s">
        <v>4690</v>
      </c>
      <c r="AX3" s="251" t="s">
        <v>4686</v>
      </c>
      <c r="AY3" s="251" t="s">
        <v>4687</v>
      </c>
      <c r="AZ3" s="251" t="s">
        <v>4688</v>
      </c>
      <c r="BA3" s="251" t="s">
        <v>4689</v>
      </c>
      <c r="BC3" s="526" t="s">
        <v>2520</v>
      </c>
      <c r="BD3" s="526" t="s">
        <v>2523</v>
      </c>
      <c r="BE3" s="526" t="s">
        <v>4679</v>
      </c>
      <c r="BF3" s="526" t="s">
        <v>4677</v>
      </c>
      <c r="BG3" s="526" t="s">
        <v>4678</v>
      </c>
      <c r="BH3" s="526" t="s">
        <v>2529</v>
      </c>
      <c r="BI3" s="526" t="s">
        <v>4680</v>
      </c>
      <c r="BK3" s="525" t="s">
        <v>2706</v>
      </c>
      <c r="BL3" s="525" t="s">
        <v>2705</v>
      </c>
      <c r="BM3" s="525" t="s">
        <v>4698</v>
      </c>
      <c r="BO3" s="539" t="s">
        <v>4589</v>
      </c>
      <c r="BP3" s="539" t="s">
        <v>4590</v>
      </c>
      <c r="BQ3" s="539" t="s">
        <v>4591</v>
      </c>
      <c r="BR3" s="539" t="s">
        <v>4588</v>
      </c>
      <c r="BS3" s="407" t="s">
        <v>4508</v>
      </c>
      <c r="BT3" s="407" t="s">
        <v>4509</v>
      </c>
      <c r="BU3" s="407" t="s">
        <v>4510</v>
      </c>
      <c r="BV3" s="407" t="s">
        <v>4511</v>
      </c>
      <c r="BW3" s="121" t="s">
        <v>2684</v>
      </c>
      <c r="BX3" s="121" t="s">
        <v>2685</v>
      </c>
      <c r="BY3" s="129" t="s">
        <v>2686</v>
      </c>
      <c r="BZ3" s="129" t="s">
        <v>2687</v>
      </c>
      <c r="CA3" s="122" t="s">
        <v>2688</v>
      </c>
      <c r="CB3" s="122" t="s">
        <v>2689</v>
      </c>
      <c r="CC3" s="188" t="s">
        <v>2710</v>
      </c>
      <c r="CD3" s="188" t="s">
        <v>2685</v>
      </c>
      <c r="CE3" s="189" t="s">
        <v>2711</v>
      </c>
      <c r="CF3" s="189" t="s">
        <v>2687</v>
      </c>
      <c r="CG3" s="190" t="s">
        <v>2712</v>
      </c>
      <c r="CH3" s="190" t="s">
        <v>2689</v>
      </c>
      <c r="CI3" s="121" t="s">
        <v>2684</v>
      </c>
      <c r="CJ3" s="121" t="s">
        <v>2685</v>
      </c>
      <c r="CK3" s="129" t="s">
        <v>2686</v>
      </c>
      <c r="CL3" s="129" t="s">
        <v>2687</v>
      </c>
      <c r="CM3" s="122" t="s">
        <v>2688</v>
      </c>
      <c r="CN3" s="122" t="s">
        <v>2689</v>
      </c>
      <c r="CO3" s="122" t="s">
        <v>2676</v>
      </c>
      <c r="CP3" s="121" t="s">
        <v>2684</v>
      </c>
      <c r="CQ3" s="121" t="s">
        <v>2685</v>
      </c>
      <c r="CR3" s="129" t="s">
        <v>2686</v>
      </c>
      <c r="CS3" s="129" t="s">
        <v>2687</v>
      </c>
      <c r="CT3" s="122" t="s">
        <v>2688</v>
      </c>
      <c r="CU3" s="122" t="s">
        <v>2689</v>
      </c>
      <c r="CV3" s="122" t="s">
        <v>2676</v>
      </c>
      <c r="CW3" s="121" t="s">
        <v>2684</v>
      </c>
      <c r="CX3" s="121" t="s">
        <v>2685</v>
      </c>
      <c r="CY3" s="129" t="s">
        <v>2686</v>
      </c>
      <c r="CZ3" s="129" t="s">
        <v>2687</v>
      </c>
      <c r="DA3" s="122" t="s">
        <v>2688</v>
      </c>
      <c r="DB3" s="122" t="s">
        <v>2689</v>
      </c>
      <c r="DC3" s="122" t="s">
        <v>2676</v>
      </c>
      <c r="DD3" s="121" t="s">
        <v>2684</v>
      </c>
      <c r="DE3" s="121" t="s">
        <v>2685</v>
      </c>
      <c r="DF3" s="129" t="s">
        <v>2686</v>
      </c>
      <c r="DG3" s="129" t="s">
        <v>2687</v>
      </c>
      <c r="DH3" s="122" t="s">
        <v>2688</v>
      </c>
      <c r="DI3" s="122" t="s">
        <v>2689</v>
      </c>
      <c r="DJ3" s="122" t="s">
        <v>2676</v>
      </c>
      <c r="DK3" s="121" t="s">
        <v>2684</v>
      </c>
      <c r="DL3" s="121" t="s">
        <v>2685</v>
      </c>
      <c r="DM3" s="129" t="s">
        <v>2686</v>
      </c>
      <c r="DN3" s="129" t="s">
        <v>2687</v>
      </c>
      <c r="DO3" s="122" t="s">
        <v>2688</v>
      </c>
      <c r="DP3" s="122" t="s">
        <v>2689</v>
      </c>
      <c r="DQ3" s="122" t="s">
        <v>2676</v>
      </c>
      <c r="DR3" s="121" t="s">
        <v>2684</v>
      </c>
      <c r="DS3" s="121" t="s">
        <v>2685</v>
      </c>
      <c r="DT3" s="129" t="s">
        <v>2686</v>
      </c>
      <c r="DU3" s="129" t="s">
        <v>2687</v>
      </c>
      <c r="DV3" s="122" t="s">
        <v>2688</v>
      </c>
      <c r="DW3" s="122" t="s">
        <v>2689</v>
      </c>
      <c r="DX3" s="122" t="s">
        <v>2676</v>
      </c>
      <c r="DY3" s="121" t="s">
        <v>2684</v>
      </c>
      <c r="DZ3" s="121" t="s">
        <v>2685</v>
      </c>
      <c r="EA3" s="129" t="s">
        <v>2686</v>
      </c>
      <c r="EB3" s="129" t="s">
        <v>2687</v>
      </c>
      <c r="EC3" s="122" t="s">
        <v>2688</v>
      </c>
      <c r="ED3" s="122" t="s">
        <v>2689</v>
      </c>
      <c r="EE3" s="122" t="s">
        <v>2676</v>
      </c>
      <c r="EF3" s="121" t="s">
        <v>2684</v>
      </c>
      <c r="EG3" s="121" t="s">
        <v>2685</v>
      </c>
      <c r="EH3" s="129" t="s">
        <v>2686</v>
      </c>
      <c r="EI3" s="129" t="s">
        <v>2687</v>
      </c>
      <c r="EJ3" s="122" t="s">
        <v>2688</v>
      </c>
      <c r="EK3" s="122" t="s">
        <v>2689</v>
      </c>
      <c r="EL3" s="122" t="s">
        <v>2676</v>
      </c>
      <c r="EM3" s="121" t="s">
        <v>2684</v>
      </c>
      <c r="EN3" s="121" t="s">
        <v>2685</v>
      </c>
      <c r="EO3" s="129" t="s">
        <v>2686</v>
      </c>
      <c r="EP3" s="129" t="s">
        <v>2687</v>
      </c>
      <c r="EQ3" s="122" t="s">
        <v>2688</v>
      </c>
      <c r="ER3" s="122" t="s">
        <v>2689</v>
      </c>
      <c r="ES3" s="122" t="s">
        <v>2676</v>
      </c>
      <c r="ET3" s="121" t="s">
        <v>2684</v>
      </c>
      <c r="EU3" s="121" t="s">
        <v>2685</v>
      </c>
      <c r="EV3" s="129" t="s">
        <v>2686</v>
      </c>
      <c r="EW3" s="129" t="s">
        <v>2687</v>
      </c>
      <c r="EX3" s="122" t="s">
        <v>2688</v>
      </c>
      <c r="EY3" s="122" t="s">
        <v>2689</v>
      </c>
      <c r="EZ3" s="122" t="s">
        <v>2676</v>
      </c>
      <c r="FA3" s="121" t="s">
        <v>2684</v>
      </c>
      <c r="FB3" s="121" t="s">
        <v>2685</v>
      </c>
      <c r="FC3" s="129" t="s">
        <v>2686</v>
      </c>
      <c r="FD3" s="129" t="s">
        <v>2687</v>
      </c>
      <c r="FE3" s="122" t="s">
        <v>2688</v>
      </c>
      <c r="FF3" s="122" t="s">
        <v>2689</v>
      </c>
      <c r="FG3" s="122" t="s">
        <v>2676</v>
      </c>
      <c r="FH3" s="121" t="s">
        <v>2684</v>
      </c>
      <c r="FI3" s="121" t="s">
        <v>2685</v>
      </c>
      <c r="FJ3" s="129" t="s">
        <v>2686</v>
      </c>
      <c r="FK3" s="129" t="s">
        <v>2687</v>
      </c>
      <c r="FL3" s="122" t="s">
        <v>2688</v>
      </c>
      <c r="FM3" s="122" t="s">
        <v>2689</v>
      </c>
      <c r="FN3" s="122" t="s">
        <v>2676</v>
      </c>
      <c r="FO3" s="121" t="s">
        <v>2684</v>
      </c>
      <c r="FP3" s="121" t="s">
        <v>2685</v>
      </c>
      <c r="FQ3" s="129" t="s">
        <v>2686</v>
      </c>
      <c r="FR3" s="129" t="s">
        <v>2687</v>
      </c>
      <c r="FS3" s="122" t="s">
        <v>2688</v>
      </c>
      <c r="FT3" s="122" t="s">
        <v>2689</v>
      </c>
      <c r="FU3" s="122" t="s">
        <v>2676</v>
      </c>
      <c r="FV3" s="121" t="s">
        <v>2684</v>
      </c>
      <c r="FW3" s="121" t="s">
        <v>2685</v>
      </c>
      <c r="FX3" s="129" t="s">
        <v>2686</v>
      </c>
      <c r="FY3" s="129" t="s">
        <v>2687</v>
      </c>
      <c r="FZ3" s="122" t="s">
        <v>2688</v>
      </c>
      <c r="GA3" s="122" t="s">
        <v>2689</v>
      </c>
      <c r="GB3" s="122" t="s">
        <v>2676</v>
      </c>
      <c r="GC3" s="121" t="s">
        <v>2684</v>
      </c>
      <c r="GD3" s="121" t="s">
        <v>2685</v>
      </c>
      <c r="GE3" s="129" t="s">
        <v>2686</v>
      </c>
      <c r="GF3" s="129" t="s">
        <v>2687</v>
      </c>
      <c r="GG3" s="122" t="s">
        <v>2688</v>
      </c>
      <c r="GH3" s="122" t="s">
        <v>2689</v>
      </c>
      <c r="GI3" s="122" t="s">
        <v>2676</v>
      </c>
      <c r="GJ3" s="121" t="s">
        <v>2684</v>
      </c>
      <c r="GK3" s="121" t="s">
        <v>2685</v>
      </c>
      <c r="GL3" s="129" t="s">
        <v>2686</v>
      </c>
      <c r="GM3" s="129" t="s">
        <v>2687</v>
      </c>
      <c r="GN3" s="122" t="s">
        <v>2688</v>
      </c>
      <c r="GO3" s="122" t="s">
        <v>2689</v>
      </c>
      <c r="GP3" s="122" t="s">
        <v>2676</v>
      </c>
      <c r="GS3" s="255" t="s">
        <v>2767</v>
      </c>
      <c r="GT3" s="255" t="s">
        <v>2768</v>
      </c>
      <c r="GU3" s="255" t="s">
        <v>2772</v>
      </c>
      <c r="GV3" s="255" t="s">
        <v>2773</v>
      </c>
      <c r="GW3" s="255" t="s">
        <v>2774</v>
      </c>
      <c r="GX3" s="255" t="s">
        <v>2775</v>
      </c>
      <c r="GY3" s="255" t="s">
        <v>2771</v>
      </c>
      <c r="GZ3" s="255" t="s">
        <v>2776</v>
      </c>
      <c r="HA3" s="251" t="s">
        <v>2767</v>
      </c>
      <c r="HB3" s="251" t="s">
        <v>2768</v>
      </c>
      <c r="HC3" s="251" t="s">
        <v>2772</v>
      </c>
      <c r="HD3" s="251" t="s">
        <v>2773</v>
      </c>
      <c r="HE3" s="251" t="s">
        <v>2774</v>
      </c>
      <c r="HF3" s="251" t="s">
        <v>2775</v>
      </c>
      <c r="HG3" s="251" t="s">
        <v>2771</v>
      </c>
      <c r="HH3" s="251" t="s">
        <v>2776</v>
      </c>
      <c r="HI3" s="164" t="s">
        <v>2724</v>
      </c>
      <c r="HJ3" s="164" t="s">
        <v>2725</v>
      </c>
      <c r="HK3" s="164" t="s">
        <v>2724</v>
      </c>
      <c r="HL3" s="164" t="s">
        <v>2725</v>
      </c>
      <c r="HM3" s="164" t="s">
        <v>2708</v>
      </c>
      <c r="HN3" s="164" t="s">
        <v>2709</v>
      </c>
      <c r="HO3" s="164" t="s">
        <v>2724</v>
      </c>
      <c r="HP3" s="164" t="s">
        <v>2725</v>
      </c>
      <c r="HQ3" s="164" t="s">
        <v>2708</v>
      </c>
      <c r="HR3" s="164" t="s">
        <v>2709</v>
      </c>
      <c r="HS3" s="164" t="s">
        <v>2724</v>
      </c>
      <c r="HT3" s="164" t="s">
        <v>2725</v>
      </c>
      <c r="HU3" s="164" t="s">
        <v>2708</v>
      </c>
      <c r="HV3" s="164" t="s">
        <v>2709</v>
      </c>
    </row>
    <row r="4" spans="1:230" ht="15.75" thickBot="1" x14ac:dyDescent="0.3">
      <c r="A4" s="339" t="s">
        <v>1427</v>
      </c>
      <c r="B4" s="293" t="s">
        <v>4475</v>
      </c>
      <c r="C4" s="294">
        <f t="shared" ref="C4:C67" si="0">IF(S4="Dwn",2,IF(S4="Up",1,IF(S4="SW",3,"x")))</f>
        <v>2</v>
      </c>
      <c r="D4" s="295" t="str">
        <f>_xlfn.XLOOKUP(A4,[1]SP500!$A$2:$A$502,[1]SP500!$D$2:$D$502,"N")</f>
        <v>Y</v>
      </c>
      <c r="E4" s="292" t="str">
        <f>IFERROR(_xlfn.XLOOKUP(A4,[1]SP500!$A$2:$A$655,[1]SP500!$B$2:$B$655),"")</f>
        <v>XLI</v>
      </c>
      <c r="F4" s="296">
        <v>45756</v>
      </c>
      <c r="G4" s="292" t="str">
        <f t="shared" ref="G4:G67" si="1">IF(ISNUMBER(FIND("After",B4,1)),"AMC",IF(ISNUMBER(FIND("Before",B4,1)),"BMO","err"))</f>
        <v>BMO</v>
      </c>
      <c r="H4" s="292" t="str">
        <f t="shared" ref="H4:H67" si="2">IF(AH4="Skip","sk",IF(OR(S4="",V4=""),"",IF(AND(S4="Dwn",V4="Short"),"s",IF(AND(S4="Up",V4="Long"),"s",IF(AND(S4="SW",V4="Long"),"s","o")))))</f>
        <v>s</v>
      </c>
      <c r="I4" s="313">
        <v>35.880000000000003</v>
      </c>
      <c r="J4" s="313">
        <v>36.909999999999997</v>
      </c>
      <c r="K4" s="298">
        <f t="shared" ref="K4:K67" si="3">IF(J4="","",(J4-I4)/I4)</f>
        <v>2.8706800445930714E-2</v>
      </c>
      <c r="L4" s="299">
        <f t="shared" ref="L4:L67" si="4">IF(OR($Y4="",J4=""),"",IF($V4="Long",(($J4*$Y4)-$X4),($X4-($J4*$Y4))))</f>
        <v>-30.899999999999864</v>
      </c>
      <c r="M4" s="300">
        <f t="shared" ref="M4:M67" si="5">IF(L4="","",IF(AK4="",#N/A,IF(AH4="Open",AK4-L4,#N/A)))</f>
        <v>-6.2999999999999545</v>
      </c>
      <c r="N4" s="301">
        <f t="shared" ref="N4:N67" si="6">IF(OR($Y4="",L4=""),"",IF($BF4="Long",(($J4*$Y4)-$X4),($X4-($J4*$Y4))))</f>
        <v>-30.899999999999864</v>
      </c>
      <c r="O4" s="302">
        <f>IF(N4="",#N/A,SUM($N$4:N4))</f>
        <v>-30.899999999999864</v>
      </c>
      <c r="P4" s="305">
        <f>IF(OR($Y4="",$L4=""),"",IF($BF4="Long",(($J4*$Y4)-$X4)/($X4*0.06),($X4-($J4*$Y4))/($X4*0.06)))</f>
        <v>-0.47844667409884589</v>
      </c>
      <c r="Q4" s="304">
        <f>IF($N4="",#N/A,SUM($P$4:P4))</f>
        <v>-0.47844667409884589</v>
      </c>
      <c r="R4" s="307">
        <f t="shared" ref="R4:R67" si="7">IF(AND(AH4="MOC",AC4=""),#N/A,IFERROR(Q4-AJ4,Q4-0))</f>
        <v>9.7547380156075114E-2</v>
      </c>
      <c r="S4" s="292" t="str">
        <f t="shared" ref="S4:S67" si="8">IF(T4="Down","Dwn",IF(T4="Up","Up",IF(AND(T4="",K4=""),"",IF(AND(K4&lt;0,T4="Yes"),"Dwn",IF(AND(K4&gt;0,T4="Yes"),"Up",IF(AND(K4&lt;0,T4="No"),"Up",IF(AND(K4&gt;0,T4="No"),"Dwn",IF(T4="NA","SW","err"))))))))</f>
        <v>Dwn</v>
      </c>
      <c r="T4" s="292" t="s">
        <v>4461</v>
      </c>
      <c r="U4" s="308">
        <f t="shared" ref="U4:U67" si="9">I4</f>
        <v>35.880000000000003</v>
      </c>
      <c r="V4" s="308" t="s">
        <v>4458</v>
      </c>
      <c r="W4" s="310">
        <v>30</v>
      </c>
      <c r="X4" s="309">
        <f t="shared" ref="X4:X67" si="10">IF(W4="","",U4*W4)</f>
        <v>1076.4000000000001</v>
      </c>
      <c r="Y4" s="310">
        <f t="shared" ref="Y4:Y67" si="11">IF(W4="","",W4)</f>
        <v>30</v>
      </c>
      <c r="Z4" s="313">
        <v>37.119999999999997</v>
      </c>
      <c r="AA4" s="341">
        <f t="shared" ref="AA4:AA67" si="12">IF($Z4="","",IF($V4="Long",(($Z4*$Y4)-$X4),($X4-($Z4*$Y4))))</f>
        <v>-37.199999999999818</v>
      </c>
      <c r="AB4" s="341">
        <f t="shared" ref="AB4:AB67" si="13">IF($AC4="","",IF($V4="Long",(($AC4*$Y4)-$X4),($X4-($AC4*$Y4))))</f>
        <v>-254.69999999999982</v>
      </c>
      <c r="AC4" s="297">
        <v>44.37</v>
      </c>
      <c r="AD4" s="301">
        <f t="shared" ref="AD4:AD67" si="14">IF(AC4="","",IF(OR($Y4="",CV4=""),"",IF($BF4="Long",(($AC4*$Y4)-$X4),($X4-($AC4*$Y4)))))</f>
        <v>-254.69999999999982</v>
      </c>
      <c r="AE4" s="542">
        <f t="shared" ref="AE4:AE67" si="15">IF(OR($Y4="",$AD4=""),"",IF($BF4="Long",(($AC4*$Y4)-$X4)/($X4*0.06),($X4-($AC4*$Y4))/($X4*0.06)))</f>
        <v>-3.9437012263099192</v>
      </c>
      <c r="AF4" s="300">
        <f>IF($AC4="",#N/A,SUM(AD$4:AD4))</f>
        <v>-254.69999999999982</v>
      </c>
      <c r="AG4" s="341">
        <f t="shared" ref="AG4:AG67" si="16">IF(OR(AD4="",AC4=""),"",AD4-N4)</f>
        <v>-223.79999999999995</v>
      </c>
      <c r="AH4" s="308" t="s">
        <v>2507</v>
      </c>
      <c r="AI4" s="305">
        <f t="shared" ref="AI4:AI67" si="17">IF(AND(AH4="MOC",AC4=""),"",IF(Z4="","",IF(AH4="Skip",0,IF(AK4=0,0,AK4/(X4*0.06)))))</f>
        <v>-0.57599405425492101</v>
      </c>
      <c r="AJ4" s="303">
        <f>IF(AI4="",#N/A,SUM($AI$4:AI4))</f>
        <v>-0.57599405425492101</v>
      </c>
      <c r="AK4" s="300">
        <f t="shared" ref="AK4:AK67" si="18">IF(AH4="","",IF(AH4="Skip","",IF(OR(AH4="open",AH4="Other"),AA4,IF(AH4="MOC",AB4,"Err"))))</f>
        <v>-37.199999999999818</v>
      </c>
      <c r="AL4" s="312">
        <f>IF(AI4="",#N/A,IF(AH4="Skip",SUM($AK$4:AK4),SUM($AK$4:AK4)))</f>
        <v>-37.199999999999818</v>
      </c>
      <c r="AM4" s="65">
        <f>IF(OR($Y4="",$L4=""),"",IF($BF4="Long",(($AC4*$Y4)-$X4)/($X4*0.06),($X4-($AC4*$Y4))/($X4*0.06)))</f>
        <v>-3.9437012263099192</v>
      </c>
      <c r="AN4" s="209"/>
      <c r="AO4" s="305" t="str">
        <f t="shared" ref="AO4:AO67" si="19">IF(AND($S4="SW",$BF4="Long"),$HU4,"")</f>
        <v/>
      </c>
      <c r="AP4" s="305">
        <f>IF($AC4="",#N/A,SUM(AO$4:AO4))</f>
        <v>0</v>
      </c>
      <c r="AQ4" s="305" t="str">
        <f t="shared" ref="AQ4:AQ67" si="20">IF(AND($S4="UP",$BF4="Long"),$HU4,"")</f>
        <v/>
      </c>
      <c r="AR4" s="305">
        <f>IF($AC4="",#N/A,SUM(AQ$4:AQ4))</f>
        <v>0</v>
      </c>
      <c r="AS4" s="305">
        <f t="shared" ref="AS4:AS67" si="21">IF(AND($S4="Dwn",$BF4="Short"),$HU4,"")</f>
        <v>-3.9437012263099192</v>
      </c>
      <c r="AT4" s="305">
        <f>IF($AC4="",#N/A,SUM(AS$4:AS4))</f>
        <v>-3.9437012263099192</v>
      </c>
      <c r="AU4" s="300" t="str">
        <f>IF(AND(S4="SW",BF4="Long"),$AD4,"")</f>
        <v/>
      </c>
      <c r="AV4" s="300">
        <f>IF($AC4="",#N/A,SUM(AU$4:AU4))</f>
        <v>0</v>
      </c>
      <c r="AW4" s="300" t="str">
        <f>IF(AND(S4="UP",BF4="Long"),$AD4,"")</f>
        <v/>
      </c>
      <c r="AX4" s="300">
        <f>IF($AC4="",#N/A,SUM(AW$4:AW4))</f>
        <v>0</v>
      </c>
      <c r="AY4" s="308">
        <f>IF(AND(S4="Dwn",BF4="Short"),$AD4,"")</f>
        <v>-254.69999999999982</v>
      </c>
      <c r="AZ4" s="300">
        <f>IF($AC4="",#N/A,SUM(AY$4:AY4))</f>
        <v>-254.69999999999982</v>
      </c>
      <c r="BA4" s="300">
        <f>IF(AD4="",#N/A,SUM($AD$4:AD4))</f>
        <v>-254.69999999999982</v>
      </c>
      <c r="BC4" s="292" t="str">
        <f t="shared" ref="BC4:BC67" si="22">IF(K4="","",IF(AND(K4&gt;0,T4="Yes"),1,""))</f>
        <v/>
      </c>
      <c r="BD4" s="292">
        <f t="shared" ref="BD4:BD67" si="23">IF(K4="","",IF(AND($K4&gt;0,$T4="No"),1,""))</f>
        <v>1</v>
      </c>
      <c r="BE4" s="292" t="str">
        <f t="shared" ref="BE4:BE67" si="24">IF(K4="","",IF(AND($K4&gt;0,$T4="NA"),1,""))</f>
        <v/>
      </c>
      <c r="BF4" s="292" t="str">
        <f t="shared" ref="BF4:BF67" si="25">IF(S4="Dwn","Short","Long")</f>
        <v>Short</v>
      </c>
      <c r="BG4" s="292" t="str">
        <f t="shared" ref="BG4:BG67" si="26">IF(K4="","",IF(AND($K4&lt;0,$T4="Yes"),1,""))</f>
        <v/>
      </c>
      <c r="BH4" s="292" t="str">
        <f t="shared" ref="BH4:BH67" si="27">IF(K4="","",IF(AND($K4&lt;0,$T4="No"),1,""))</f>
        <v/>
      </c>
      <c r="BI4" s="292" t="str">
        <f t="shared" ref="BI4:BI67" si="28">IF(K4="","",IF(AND($K4&lt;0,$T4="NA"),1,""))</f>
        <v/>
      </c>
      <c r="BK4" s="184"/>
      <c r="BL4" s="184"/>
      <c r="BM4" s="184"/>
      <c r="BO4" s="489" t="e">
        <f>IF($J4="",#N/A,IF($S4="SW",(COUNTIFS($K$4:$K4,"&gt;0",$S$4:$S4,"SW")/COUNTIF($S$4:$S4,"SW")),#N/A))</f>
        <v>#N/A</v>
      </c>
      <c r="BP4" s="489">
        <f>IF($J4="",#N/A,IF($S4="DWN",(COUNTIFS($K$4:$K4,"&lt;0",$S$4:$S4,"DWN")/COUNTIF($S$4:$S4,"DWN")),#N/A))</f>
        <v>0</v>
      </c>
      <c r="BQ4" s="489" t="e">
        <f>IF($J4="",#N/A,IF($S4="UP",(COUNTIFS($K$4:$K4,"&gt;0",$S$4:$S4,"UP")/COUNTIF($S$4:$S4,"UP")),#N/A))</f>
        <v>#N/A</v>
      </c>
      <c r="BR4" s="489">
        <f>IF(J4="",#N/A,COUNTIF($K$4:K4,"&gt;0")/COUNT($J$4:J4))</f>
        <v>1</v>
      </c>
      <c r="BS4" s="65" t="str">
        <f t="shared" ref="BS4:BS67" si="29">IF($AH4="Skip","",IF($J4="","",IF(AND($V4="Long",$L4&gt;0),$P4,"")))</f>
        <v/>
      </c>
      <c r="BT4" s="65" t="str">
        <f t="shared" ref="BT4:BT67" si="30">IF($AH4="Skip","",IF($J4="","",IF(AND($V4="Long",$L4&lt;0),$P4,"")))</f>
        <v/>
      </c>
      <c r="BU4" s="65" t="str">
        <f t="shared" ref="BU4:BU67" si="31">IF($AH4="Skip","",IF($J4="","",IF(AND($V4="Short",$L4&gt;0),$P4,"")))</f>
        <v/>
      </c>
      <c r="BV4" s="65">
        <f t="shared" ref="BV4:BV67" si="32">IF($AH4="Skip","",IF($J4="","",IF(AND($V4="Short",$L4&lt;0),$P4,"")))</f>
        <v>-0.47844667409884589</v>
      </c>
      <c r="BW4" s="151" t="str">
        <f t="shared" ref="BW4:BW67" si="33">IF(AND($S4="Up",$BF4="Long"),$N4,"")</f>
        <v/>
      </c>
      <c r="BX4" s="151">
        <f>IF($J4="",#N/A,SUM($BW$4:BW4))</f>
        <v>0</v>
      </c>
      <c r="BY4" s="152">
        <f t="shared" ref="BY4:BY67" si="34">IF(AND($S4="Dwn",$BF4="Short"),$N4,"")</f>
        <v>-30.899999999999864</v>
      </c>
      <c r="BZ4" s="152">
        <f>IF($J4="",#N/A,SUM($BY$4:BY4))</f>
        <v>-30.899999999999864</v>
      </c>
      <c r="CA4" s="153" t="str">
        <f t="shared" ref="CA4:CA67" si="35">IF(AND($S4="SW",$BF4="Long"),$N4,"")</f>
        <v/>
      </c>
      <c r="CB4" s="154">
        <f>IF($J4="",#N/A,SUM($CA$4:CA4))</f>
        <v>0</v>
      </c>
      <c r="CC4" s="191" t="str">
        <f t="shared" ref="CC4:CC67" si="36">IF(AND($S4="Up",$BF4="Long"),$P4,"")</f>
        <v/>
      </c>
      <c r="CD4" s="191">
        <f>IF($J4="",#N/A,SUM($CC$4:CC4))</f>
        <v>0</v>
      </c>
      <c r="CE4" s="192">
        <f t="shared" ref="CE4:CE67" si="37">IF(AND($S4="Dwn",$BF4="Short"),$P4,"")</f>
        <v>-0.47844667409884589</v>
      </c>
      <c r="CF4" s="192">
        <f>IF($J4="",#N/A,SUM($CE$4:CE4))</f>
        <v>-0.47844667409884589</v>
      </c>
      <c r="CG4" s="193" t="str">
        <f t="shared" ref="CG4:CG67" si="38">IF(AND($S4="SW",$BF4="Long"),$P4,"")</f>
        <v/>
      </c>
      <c r="CH4" s="193">
        <f>IF($J4="",#N/A,SUM($CG$4:CG4))</f>
        <v>0</v>
      </c>
      <c r="CI4" s="200" t="str">
        <f t="shared" ref="CI4:CI67" si="39">IF(AND($S4="Up",$BF4="Long",$E4=CI$2),$P4,"")</f>
        <v/>
      </c>
      <c r="CJ4" s="200">
        <f>IF($J4="",#N/A,SUM(CI$4:CI4))</f>
        <v>0</v>
      </c>
      <c r="CK4" s="201" t="str">
        <f t="shared" ref="CK4:CK67" si="40">IF(AND($S4="Dwn",$BF4="Short",$E4=CI$2),$P4,"")</f>
        <v/>
      </c>
      <c r="CL4" s="201">
        <f>IF($J4="",#N/A,SUM(CK$4:CK4))</f>
        <v>0</v>
      </c>
      <c r="CM4" s="202" t="str">
        <f t="shared" ref="CM4:CM67" si="41">IF(AND($S4="SW",$BF4="Long",$E4=CI$2),$P4,"")</f>
        <v/>
      </c>
      <c r="CN4" s="202">
        <f>IF($J4="",#N/A,SUM(CM$4:CM4))</f>
        <v>0</v>
      </c>
      <c r="CO4" s="202">
        <f>IF($J4="",#N/A,SUM(CM$4:CM4,CK$4:CK4,CI$4:CI4))</f>
        <v>0</v>
      </c>
      <c r="CP4" s="200" t="str">
        <f t="shared" ref="CP4:CP67" si="42">IF(AND($S4="Up",$BF4="Long",$E4=CP$2),$P4,"")</f>
        <v/>
      </c>
      <c r="CQ4" s="200">
        <f>IF($J4="",#N/A,SUM(CP$4:CP4))</f>
        <v>0</v>
      </c>
      <c r="CR4" s="201" t="str">
        <f t="shared" ref="CR4:CR67" si="43">IF(AND($S4="Dwn",$BF4="Short",$E4=CP$2),$P4,"")</f>
        <v/>
      </c>
      <c r="CS4" s="201">
        <f>IF($J4="",#N/A,SUM(CR$4:CR4))</f>
        <v>0</v>
      </c>
      <c r="CT4" s="202" t="str">
        <f t="shared" ref="CT4:CT67" si="44">IF(AND($S4="SW",$BF4="Long",$E4=CP$2),$P4,"")</f>
        <v/>
      </c>
      <c r="CU4" s="202">
        <f>IF($J4="",#N/A,SUM(CT$4:CT4))</f>
        <v>0</v>
      </c>
      <c r="CV4" s="202">
        <f>IF($J4="",#N/A,SUM(CT$4:CT4,CR$4:CR4,CP$4:CP4))</f>
        <v>0</v>
      </c>
      <c r="CW4" s="200" t="str">
        <f t="shared" ref="CW4:CW67" si="45">IF(AND($S4="Up",$BF4="Long",$E4=CW$2),$P4,"")</f>
        <v/>
      </c>
      <c r="CX4" s="200">
        <f>IF($J4="",#N/A,SUM(CW$4:CW4))</f>
        <v>0</v>
      </c>
      <c r="CY4" s="201" t="str">
        <f t="shared" ref="CY4:CY67" si="46">IF(AND($S4="Dwn",$BF4="Short",$E4=CW$2),$P4,"")</f>
        <v/>
      </c>
      <c r="CZ4" s="201">
        <f>IF($J4="",#N/A,SUM(CY$4:CY4))</f>
        <v>0</v>
      </c>
      <c r="DA4" s="202" t="str">
        <f t="shared" ref="DA4:DA67" si="47">IF(AND($S4="SW",$BF4="Long",$E4=CW$2),$P4,"")</f>
        <v/>
      </c>
      <c r="DB4" s="202">
        <f>IF($J4="",#N/A,SUM(DA$4:DA4))</f>
        <v>0</v>
      </c>
      <c r="DC4" s="202">
        <f>IF($J4="",#N/A,SUM(DA$4:DA4,CY$4:CY4,CW$4:CW4))</f>
        <v>0</v>
      </c>
      <c r="DD4" s="200" t="str">
        <f t="shared" ref="DD4:DD67" si="48">IF(AND($S4="Up",$BF4="Long",$E4=DD$2),$P4,"")</f>
        <v/>
      </c>
      <c r="DE4" s="200">
        <f>IF($J4="",#N/A,SUM(DD$4:DD4))</f>
        <v>0</v>
      </c>
      <c r="DF4" s="201" t="str">
        <f t="shared" ref="DF4:DF67" si="49">IF(AND($S4="Dwn",$BF4="Short",$E4=DD$2),$P4,"")</f>
        <v/>
      </c>
      <c r="DG4" s="201">
        <f>IF($J4="",#N/A,SUM(DF$4:DF4))</f>
        <v>0</v>
      </c>
      <c r="DH4" s="202" t="str">
        <f t="shared" ref="DH4:DH67" si="50">IF(AND($S4="SW",$BF4="Long",$E4=DD$2),$P4,"")</f>
        <v/>
      </c>
      <c r="DI4" s="202">
        <f>IF($J4="",#N/A,SUM(DH$4:DH4))</f>
        <v>0</v>
      </c>
      <c r="DJ4" s="202">
        <f>IF($J4="",#N/A,SUM(DH$4:DH4,DF$4:DF4,DD$4:DD4))</f>
        <v>0</v>
      </c>
      <c r="DK4" s="200" t="str">
        <f t="shared" ref="DK4:DK67" si="51">IF(AND($S4="Up",$BF4="Long",$E4=DK$2),$P4,"")</f>
        <v/>
      </c>
      <c r="DL4" s="200">
        <f>IF($J4="",#N/A,SUM(DK$4:DK4))</f>
        <v>0</v>
      </c>
      <c r="DM4" s="201" t="str">
        <f t="shared" ref="DM4:DM67" si="52">IF(AND($S4="Dwn",$BF4="Short",$E4=DK$2),$P4,"")</f>
        <v/>
      </c>
      <c r="DN4" s="201">
        <f>IF($J4="",#N/A,SUM(DM$4:DM4))</f>
        <v>0</v>
      </c>
      <c r="DO4" s="202" t="str">
        <f t="shared" ref="DO4:DO67" si="53">IF(AND($S4="SW",$BF4="Long",$E4=DK$2),$P4,"")</f>
        <v/>
      </c>
      <c r="DP4" s="202">
        <f>IF($J4="",#N/A,SUM(DO$4:DO4))</f>
        <v>0</v>
      </c>
      <c r="DQ4" s="202">
        <f>IF($J4="",#N/A,SUM(DO$4:DO4,DM$4:DM4,DK$4:DK4))</f>
        <v>0</v>
      </c>
      <c r="DR4" s="200" t="str">
        <f t="shared" ref="DR4:DR67" si="54">IF(AND($S4="Up",$BF4="Long",$E4=DR$2),$P4,"")</f>
        <v/>
      </c>
      <c r="DS4" s="200">
        <f>IF($J4="",#N/A,SUM(DR$4:DR4))</f>
        <v>0</v>
      </c>
      <c r="DT4" s="201" t="str">
        <f t="shared" ref="DT4:DT67" si="55">IF(AND($S4="Dwn",$BF4="Short",$E4=DR$2),$P4,"")</f>
        <v/>
      </c>
      <c r="DU4" s="201">
        <f>IF($J4="",#N/A,SUM(DT$4:DT4))</f>
        <v>0</v>
      </c>
      <c r="DV4" s="202" t="str">
        <f t="shared" ref="DV4:DV67" si="56">IF(AND($S4="SW",$BF4="Long",$E4=DR$2),$P4,"")</f>
        <v/>
      </c>
      <c r="DW4" s="202">
        <f>IF($J4="",#N/A,SUM(DV$4:DV4))</f>
        <v>0</v>
      </c>
      <c r="DX4" s="202">
        <f>IF($J4="",#N/A,SUM(DV$4:DV4,DT$4:DT4,DR$4:DR4))</f>
        <v>0</v>
      </c>
      <c r="DY4" s="200" t="str">
        <f t="shared" ref="DY4:DY67" si="57">IF(AND($S4="Up",$BF4="Long",$E4=DY$2),$P4,"")</f>
        <v/>
      </c>
      <c r="DZ4" s="200">
        <f>IF($J4="",#N/A,SUM(DY$4:DY4))</f>
        <v>0</v>
      </c>
      <c r="EA4" s="201">
        <f t="shared" ref="EA4:EA67" si="58">IF(AND($S4="Dwn",$BF4="Short",$E4=DY$2),$P4,"")</f>
        <v>-0.47844667409884589</v>
      </c>
      <c r="EB4" s="201">
        <f>IF($J4="",#N/A,SUM(EA$4:EA4))</f>
        <v>-0.47844667409884589</v>
      </c>
      <c r="EC4" s="202" t="str">
        <f t="shared" ref="EC4:EC67" si="59">IF(AND($S4="SW",$BF4="Long",$E4=DY$2),$P4,"")</f>
        <v/>
      </c>
      <c r="ED4" s="202">
        <f>IF($J4="",#N/A,SUM(EC$4:EC4))</f>
        <v>0</v>
      </c>
      <c r="EE4" s="202">
        <f>IF($J4="",#N/A,SUM(EC$4:EC4,EA$4:EA4,DY$4:DY4))</f>
        <v>-0.47844667409884589</v>
      </c>
      <c r="EF4" s="200" t="str">
        <f t="shared" ref="EF4:EF67" si="60">IF(AND($S4="Up",$BF4="Long",$E4=EF$2),$P4,"")</f>
        <v/>
      </c>
      <c r="EG4" s="200">
        <f>IF($J4="",#N/A,SUM(EF$4:EF4))</f>
        <v>0</v>
      </c>
      <c r="EH4" s="201" t="str">
        <f t="shared" ref="EH4:EH67" si="61">IF(AND($S4="Dwn",$BF4="Short",$E4=EF$2),$P4,"")</f>
        <v/>
      </c>
      <c r="EI4" s="201">
        <f>IF($J4="",#N/A,SUM(EH$4:EH4))</f>
        <v>0</v>
      </c>
      <c r="EJ4" s="202" t="str">
        <f t="shared" ref="EJ4:EJ67" si="62">IF(AND($S4="SW",$BF4="Long",$E4=EF$2),$P4,"")</f>
        <v/>
      </c>
      <c r="EK4" s="202">
        <f>IF($J4="",#N/A,SUM(EJ$4:EJ4))</f>
        <v>0</v>
      </c>
      <c r="EL4" s="202">
        <f>IF($J4="",#N/A,SUM(EJ$4:EJ4,EH$4:EH4,EF$4:EF4))</f>
        <v>0</v>
      </c>
      <c r="EM4" s="200" t="str">
        <f t="shared" ref="EM4:EM67" si="63">IF(AND($S4="Up",$BF4="Long",$E4=EM$2),$P4,"")</f>
        <v/>
      </c>
      <c r="EN4" s="200">
        <f>IF($J4="",#N/A,SUM(EM$4:EM4))</f>
        <v>0</v>
      </c>
      <c r="EO4" s="201" t="str">
        <f t="shared" ref="EO4:EO67" si="64">IF(AND($S4="Dwn",$BF4="Short",$E4=EM$2),$P4,"")</f>
        <v/>
      </c>
      <c r="EP4" s="201">
        <f>IF($J4="",#N/A,SUM(EO$4:EO4))</f>
        <v>0</v>
      </c>
      <c r="EQ4" s="202" t="str">
        <f t="shared" ref="EQ4:EQ67" si="65">IF(AND($S4="SW",$BF4="Long",$E4=EM$2),$P4,"")</f>
        <v/>
      </c>
      <c r="ER4" s="202">
        <f>IF($J4="",#N/A,SUM(EQ$4:EQ4))</f>
        <v>0</v>
      </c>
      <c r="ES4" s="202">
        <f>IF($J4="",#N/A,SUM(EQ$4:EQ4,EO$4:EO4,EM$4:EM4))</f>
        <v>0</v>
      </c>
      <c r="ET4" s="200" t="str">
        <f t="shared" ref="ET4:ET67" si="66">IF(AND($S4="Up",$BF4="Long",$E4=ET$2),$P4,"")</f>
        <v/>
      </c>
      <c r="EU4" s="200">
        <f>IF($J4="",#N/A,SUM(ET$4:ET4))</f>
        <v>0</v>
      </c>
      <c r="EV4" s="201" t="str">
        <f t="shared" ref="EV4:EV67" si="67">IF(AND($S4="Dwn",$BF4="Short",$E4=ET$2),$P4,"")</f>
        <v/>
      </c>
      <c r="EW4" s="201">
        <f>IF($J4="",#N/A,SUM(EV$4:EV4))</f>
        <v>0</v>
      </c>
      <c r="EX4" s="202" t="str">
        <f t="shared" ref="EX4:EX67" si="68">IF(AND($S4="SW",$BF4="Long",$E4=ET$2),$P4,"")</f>
        <v/>
      </c>
      <c r="EY4" s="202">
        <f>IF($J4="",#N/A,SUM(EX$4:EX4))</f>
        <v>0</v>
      </c>
      <c r="EZ4" s="202">
        <f>IF($J4="",#N/A,SUM(EX$4:EX4,EV$4:EV4,ET$4:ET4))</f>
        <v>0</v>
      </c>
      <c r="FA4" s="200" t="str">
        <f t="shared" ref="FA4:FA67" si="69">IF(AND($S4="Up",$BF4="Long",$E4=FA$2),$P4,"")</f>
        <v/>
      </c>
      <c r="FB4" s="200">
        <f>IF($J4="",#N/A,SUM(FA$4:FA4))</f>
        <v>0</v>
      </c>
      <c r="FC4" s="201" t="str">
        <f t="shared" ref="FC4:FC67" si="70">IF(AND($S4="Dwn",$BF4="Short",$E4=FA$2),$P4,"")</f>
        <v/>
      </c>
      <c r="FD4" s="201">
        <f>IF($J4="",#N/A,SUM(FC$4:FC4))</f>
        <v>0</v>
      </c>
      <c r="FE4" s="202" t="str">
        <f t="shared" ref="FE4:FE67" si="71">IF(AND($S4="SW",$BF4="Long",$E4=FA$2),$P4,"")</f>
        <v/>
      </c>
      <c r="FF4" s="202">
        <f>IF($J4="",#N/A,SUM(FE$4:FE4))</f>
        <v>0</v>
      </c>
      <c r="FG4" s="202">
        <f>IF($J4="",#N/A,SUM(FE$4:FE4,FC$4:FC4,FA$4:FA4))</f>
        <v>0</v>
      </c>
      <c r="FH4" s="200" t="str">
        <f t="shared" ref="FH4:FH67" si="72">IF(AND($S4="Up",$BF4="Long",$E4=FH$2),$P4,"")</f>
        <v/>
      </c>
      <c r="FI4" s="200">
        <f>IF($J4="",#N/A,SUM(FH$4:FH4))</f>
        <v>0</v>
      </c>
      <c r="FJ4" s="201" t="str">
        <f t="shared" ref="FJ4:FJ67" si="73">IF(AND($S4="Dwn",$BF4="Short",$E4=FH$2),$P4,"")</f>
        <v/>
      </c>
      <c r="FK4" s="201">
        <f>IF($J4="",#N/A,SUM(FJ$4:FJ4))</f>
        <v>0</v>
      </c>
      <c r="FL4" s="202" t="str">
        <f t="shared" ref="FL4:FL67" si="74">IF(AND($S4="SW",$BF4="Long",$E4=FH$2),$P4,"")</f>
        <v/>
      </c>
      <c r="FM4" s="202">
        <f>IF($J4="",#N/A,SUM(FL$4:FL4))</f>
        <v>0</v>
      </c>
      <c r="FN4" s="202">
        <f>IF($J4="",#N/A,SUM(FL$4:FL4,FJ$4:FJ4,FH$4:FH4))</f>
        <v>0</v>
      </c>
      <c r="FO4" s="200" t="str">
        <f t="shared" ref="FO4:FO67" si="75">IF(AND($S4="Up",$BF4="Long",$E4=FO$2),$P4,"")</f>
        <v/>
      </c>
      <c r="FP4" s="200">
        <f>IF($J4="",#N/A,SUM(FO$4:FO4))</f>
        <v>0</v>
      </c>
      <c r="FQ4" s="201" t="str">
        <f t="shared" ref="FQ4:FQ67" si="76">IF(AND($S4="Dwn",$BF4="Short",$E4=FO$2),$P4,"")</f>
        <v/>
      </c>
      <c r="FR4" s="201">
        <f>IF($J4="",#N/A,SUM(FQ$4:FQ4))</f>
        <v>0</v>
      </c>
      <c r="FS4" s="202" t="str">
        <f t="shared" ref="FS4:FS67" si="77">IF(AND($S4="SW",$BF4="Long",$E4=FO$2),$P4,"")</f>
        <v/>
      </c>
      <c r="FT4" s="202">
        <f>IF($J4="",#N/A,SUM(FS$4:FS4))</f>
        <v>0</v>
      </c>
      <c r="FU4" s="202">
        <f>IF($J4="",#N/A,SUM(FS$4:FS4,FQ$4:FQ4,FO$4:FO4))</f>
        <v>0</v>
      </c>
      <c r="FV4" s="200" t="str">
        <f t="shared" ref="FV4:FV67" si="78">IF(AND($S4="Up",$BF4="Long",$E4=FV$2),$P4,"")</f>
        <v/>
      </c>
      <c r="FW4" s="200">
        <f>IF($J4="",#N/A,SUM(FV$4:FV4))</f>
        <v>0</v>
      </c>
      <c r="FX4" s="201" t="str">
        <f t="shared" ref="FX4:FX67" si="79">IF(AND($S4="Dwn",$BF4="Short",$E4=FV$2),$P4,"")</f>
        <v/>
      </c>
      <c r="FY4" s="201">
        <f>IF($J4="",#N/A,SUM(FX$4:FX4))</f>
        <v>0</v>
      </c>
      <c r="FZ4" s="202" t="str">
        <f t="shared" ref="FZ4:FZ67" si="80">IF(AND($S4="SW",$BF4="Long",$E4=FV$2),$P4,"")</f>
        <v/>
      </c>
      <c r="GA4" s="202">
        <f>IF($J4="",#N/A,SUM(FZ$4:FZ4))</f>
        <v>0</v>
      </c>
      <c r="GB4" s="202">
        <f>IF($J4="",#N/A,SUM(FZ$4:FZ4,FX$4:FX4,FV$4:FV4))</f>
        <v>0</v>
      </c>
      <c r="GC4" s="200" t="str">
        <f t="shared" ref="GC4:GC67" si="81">IF(AND($S4="Up",$BF4="Long",$E4=GC$2),$P4,"")</f>
        <v/>
      </c>
      <c r="GD4" s="200">
        <f>IF($J4="",#N/A,SUM(GC$4:GC4))</f>
        <v>0</v>
      </c>
      <c r="GE4" s="201" t="str">
        <f t="shared" ref="GE4:GE67" si="82">IF(AND($S4="Dwn",$BF4="Short",$E4=GC$2),$P4,"")</f>
        <v/>
      </c>
      <c r="GF4" s="201">
        <f>IF($J4="",#N/A,SUM(GE$4:GE4))</f>
        <v>0</v>
      </c>
      <c r="GG4" s="202" t="str">
        <f t="shared" ref="GG4:GG67" si="83">IF(AND($S4="SW",$BF4="Long",$E4=GC$2),$P4,"")</f>
        <v/>
      </c>
      <c r="GH4" s="202">
        <f>IF($J4="",#N/A,SUM(GG$4:GG4))</f>
        <v>0</v>
      </c>
      <c r="GI4" s="202">
        <f>IF($J4="",#N/A,SUM(GG$4:GG4,GE$4:GE4,GC$4:GC4))</f>
        <v>0</v>
      </c>
      <c r="GJ4" s="200" t="str">
        <f t="shared" ref="GJ4:GJ67" si="84">IF(AND($S4="Up",$BF4="Long",$E4=GJ$2),$P4,"")</f>
        <v/>
      </c>
      <c r="GK4" s="200">
        <f>IF($J4="",#N/A,SUM(GJ$4:GJ4))</f>
        <v>0</v>
      </c>
      <c r="GL4" s="201" t="str">
        <f t="shared" ref="GL4:GL67" si="85">IF(AND($S4="Dwn",$BF4="Short",$E4=GJ$2),$P4,"")</f>
        <v/>
      </c>
      <c r="GM4" s="201">
        <f>IF($J4="",#N/A,SUM(GL$4:GL4))</f>
        <v>0</v>
      </c>
      <c r="GN4" s="202" t="str">
        <f t="shared" ref="GN4:GN67" si="86">IF(AND($S4="SW",$BF4="Long",$E4=GJ$2),$P4,"")</f>
        <v/>
      </c>
      <c r="GO4" s="202">
        <f>IF($J4="",#N/A,SUM(GN$4:GN4))</f>
        <v>0</v>
      </c>
      <c r="GP4" s="202">
        <f>IF($J4="",#N/A,SUM(GN$4:GN4,GL$4:GL4,GJ$4:GJ4))</f>
        <v>0</v>
      </c>
      <c r="GS4" s="303">
        <f>IF(J4="","",IF(D4="Y",P4,""))</f>
        <v>-0.47844667409884589</v>
      </c>
      <c r="GT4" s="303">
        <f>IF(GS4="",NA(),SUM($GS$4:GS4))</f>
        <v>-0.47844667409884589</v>
      </c>
      <c r="GU4" s="303" t="str">
        <f t="shared" ref="GU4:GU67" si="87">IF(AND($S4="Up",$BF4="Long",$D4="Y"),$GS4,"")</f>
        <v/>
      </c>
      <c r="GV4" s="303" t="e">
        <f>IF(GU4="",NA(),SUM($GU$4:GU4))</f>
        <v>#N/A</v>
      </c>
      <c r="GW4" s="303" t="str">
        <f t="shared" ref="GW4:GW67" si="88">IF(AND($S4="SW",$BF4="Long",$D4="Y"),$GS4,"")</f>
        <v/>
      </c>
      <c r="GX4" s="303" t="e">
        <f>IF(GW4="",NA(),SUM($GW$4:GW4))</f>
        <v>#N/A</v>
      </c>
      <c r="GY4" s="303">
        <f t="shared" ref="GY4:GY67" si="89">IF(AND($S4="Dwn",$BF4="Short",$D4="Y"),$GS4,"")</f>
        <v>-0.47844667409884589</v>
      </c>
      <c r="GZ4" s="303">
        <f>IF(GY4="",NA(),SUM($GY$4:GY4))</f>
        <v>-0.47844667409884589</v>
      </c>
      <c r="HA4" s="303" t="str">
        <f t="shared" ref="HA4:HA67" si="90">IF($J4="","",IF($D4="N",$P4,""))</f>
        <v/>
      </c>
      <c r="HB4" s="303" t="e">
        <f>IF(HA4="",NA(),SUM($HA$4:HA4))</f>
        <v>#N/A</v>
      </c>
      <c r="HC4" s="303" t="str">
        <f t="shared" ref="HC4:HC67" si="91">IF(AND($S4="Up",$BF4="Long",$D4="N"),$HA4,"")</f>
        <v/>
      </c>
      <c r="HD4" s="303" t="e">
        <f>IF(HC4="",NA(),SUM($HC$4:HC4))</f>
        <v>#N/A</v>
      </c>
      <c r="HE4" s="303" t="str">
        <f t="shared" ref="HE4:HE67" si="92">IF(AND($S4="SW",$BF4="Long",$D4="N"),$HA4,"")</f>
        <v/>
      </c>
      <c r="HF4" s="303" t="e">
        <f>IF(HE4="",NA(),SUM($HE$4:HE4))</f>
        <v>#N/A</v>
      </c>
      <c r="HG4" s="303" t="str">
        <f t="shared" ref="HG4:HG67" si="93">IF(AND($S4="Dwn",$BF4="Short",$D4="N"),$HA4,"")</f>
        <v/>
      </c>
      <c r="HH4" s="303" t="e">
        <f>IF(HG4="",NA(),SUM($HG$4:HG4))</f>
        <v>#N/A</v>
      </c>
      <c r="HI4" s="304" t="str">
        <f>IF($AC4="","",IF(AND($S4="Dwn",$K4&lt;0),$HU4-P4,""))</f>
        <v/>
      </c>
      <c r="HJ4" s="314">
        <f>IF($J4="",#N/A,SUM(HI$4:$HI4))</f>
        <v>0</v>
      </c>
      <c r="HK4" s="303">
        <f t="shared" ref="HK4:HK67" si="94">IF($AC4="","",IF(AND($S4="Dwn",$K4&gt;0),$HU4-$P4,""))</f>
        <v>-3.4652545522110731</v>
      </c>
      <c r="HL4" s="303">
        <f>IF($J4="",#N/A,SUM($HK$4:HK4))</f>
        <v>-3.4652545522110731</v>
      </c>
      <c r="HM4" s="303" t="str">
        <f t="shared" ref="HM4:HM67" si="95">IF($AC4="","",IF(AND($S4="Up",$K4&gt;0),$HU4-$P4,""))</f>
        <v/>
      </c>
      <c r="HN4" s="303">
        <f>IF($J4="",#N/A,SUM($HM$4:HM4))</f>
        <v>0</v>
      </c>
      <c r="HO4" s="303" t="str">
        <f t="shared" ref="HO4:HO67" si="96">IF($AC4="","",IF(AND($S4="Up",$K4&lt;0),$HU4-$P4,""))</f>
        <v/>
      </c>
      <c r="HP4" s="303">
        <f>IF($J4="",#N/A,SUM($HO$4:HO4))</f>
        <v>0</v>
      </c>
      <c r="HQ4" s="303" t="str">
        <f t="shared" ref="HQ4:HQ67" si="97">IF($AC4="","",IF(AND($S4="SW",$K4&gt;0),$HU4-$P4,""))</f>
        <v/>
      </c>
      <c r="HR4" s="303">
        <f>IF($J4="",#N/A,SUM($HQ$4:HQ4))</f>
        <v>0</v>
      </c>
      <c r="HS4" s="303" t="str">
        <f t="shared" ref="HS4:HS67" si="98">IF($AC4="","",IF(AND($S4="SW",$K4&lt;0),$HU4-$P4,""))</f>
        <v/>
      </c>
      <c r="HT4" s="303">
        <f>IF($J4="",#N/A,SUM($HS$4:HS4))</f>
        <v>0</v>
      </c>
      <c r="HU4" s="305">
        <f t="shared" ref="HU4:HU67" si="99">IF(OR($Y4="",$AC4=""),"",IF($BF4="Long",(($AC4*$Y4)-$X4)/($X4*0.06),($X4-($AC4*$Y4))/($X4*0.06)))</f>
        <v>-3.9437012263099192</v>
      </c>
      <c r="HV4" s="305">
        <f>IF($J4="",#N/A,SUM(HU$4:$HU4))</f>
        <v>-3.9437012263099192</v>
      </c>
    </row>
    <row r="5" spans="1:230" ht="15.75" thickBot="1" x14ac:dyDescent="0.3">
      <c r="A5" s="316" t="s">
        <v>1421</v>
      </c>
      <c r="B5" s="317" t="s">
        <v>4476</v>
      </c>
      <c r="C5" s="318">
        <f t="shared" si="0"/>
        <v>2</v>
      </c>
      <c r="D5" s="319" t="str">
        <f>_xlfn.XLOOKUP(A5,[1]SP500!$A$2:$A$502,[1]SP500!$D$2:$D$502,"N")</f>
        <v>Y</v>
      </c>
      <c r="E5" s="316" t="str">
        <f>IFERROR(_xlfn.XLOOKUP(A5,[1]SP500!$A$2:$A$655,[1]SP500!$B$2:$B$655),"")</f>
        <v>XLP</v>
      </c>
      <c r="F5" s="320">
        <v>45756</v>
      </c>
      <c r="G5" s="316" t="str">
        <f t="shared" si="1"/>
        <v>AMC</v>
      </c>
      <c r="H5" s="316" t="str">
        <f t="shared" si="2"/>
        <v>s</v>
      </c>
      <c r="I5" s="321">
        <v>183.4</v>
      </c>
      <c r="J5" s="321">
        <v>175.93</v>
      </c>
      <c r="K5" s="322">
        <f t="shared" si="3"/>
        <v>-4.0730643402399118E-2</v>
      </c>
      <c r="L5" s="323">
        <f t="shared" si="4"/>
        <v>44.820000000000164</v>
      </c>
      <c r="M5" s="324">
        <f t="shared" si="5"/>
        <v>2.5799999999999272</v>
      </c>
      <c r="N5" s="325">
        <f t="shared" si="6"/>
        <v>44.820000000000164</v>
      </c>
      <c r="O5" s="326">
        <f>IF($N5="",#N/A,SUM($N$4:N5))</f>
        <v>13.9200000000003</v>
      </c>
      <c r="P5" s="331">
        <f t="shared" ref="P5:P68" si="100">IF(OR($Y5="",L5=""),"",IF($BF5="Long",(($J5*$Y5)-$X5)/(X5*0.06),($X5-($J5*$Y5))/(X5*0.06)))</f>
        <v>0.6788440567066546</v>
      </c>
      <c r="Q5" s="332">
        <f>IF($N5="",#N/A,SUM($P$4:P5))</f>
        <v>0.20039738260780871</v>
      </c>
      <c r="R5" s="333">
        <f t="shared" si="7"/>
        <v>5.8470680774033279E-2</v>
      </c>
      <c r="S5" s="292" t="str">
        <f t="shared" si="8"/>
        <v>Dwn</v>
      </c>
      <c r="T5" s="316" t="s">
        <v>4462</v>
      </c>
      <c r="U5" s="334">
        <f t="shared" si="9"/>
        <v>183.4</v>
      </c>
      <c r="V5" s="334" t="s">
        <v>4458</v>
      </c>
      <c r="W5" s="336">
        <v>6</v>
      </c>
      <c r="X5" s="335">
        <f t="shared" si="10"/>
        <v>1100.4000000000001</v>
      </c>
      <c r="Y5" s="336">
        <f t="shared" si="11"/>
        <v>6</v>
      </c>
      <c r="Z5" s="321">
        <v>175.5</v>
      </c>
      <c r="AA5" s="466">
        <f t="shared" si="12"/>
        <v>47.400000000000091</v>
      </c>
      <c r="AB5" s="466">
        <f t="shared" si="13"/>
        <v>-8.0999999999999091</v>
      </c>
      <c r="AC5" s="337">
        <v>184.75</v>
      </c>
      <c r="AD5" s="325">
        <f t="shared" si="14"/>
        <v>-8.0999999999999091</v>
      </c>
      <c r="AE5" s="543">
        <f t="shared" si="15"/>
        <v>-0.1226826608505984</v>
      </c>
      <c r="AF5" s="324">
        <f>IF($AC5="",#N/A,SUM(AD$4:AD5))</f>
        <v>-262.79999999999973</v>
      </c>
      <c r="AG5" s="466">
        <f t="shared" si="16"/>
        <v>-52.920000000000073</v>
      </c>
      <c r="AH5" s="334" t="s">
        <v>2507</v>
      </c>
      <c r="AI5" s="331">
        <f t="shared" si="17"/>
        <v>0.71792075608869643</v>
      </c>
      <c r="AJ5" s="327">
        <f>IF(AI5="",#N/A,SUM($AI$4:AI5))</f>
        <v>0.14192670183377543</v>
      </c>
      <c r="AK5" s="324">
        <f t="shared" si="18"/>
        <v>47.400000000000091</v>
      </c>
      <c r="AL5" s="338">
        <f>IF(AI5="",#N/A,IF(AH5="Skip",SUM($AK$4:AK5),SUM($AK$4:AK5)))</f>
        <v>10.200000000000273</v>
      </c>
      <c r="AM5" s="65">
        <f t="shared" ref="AM5:AM68" si="101">IF(OR($Y5="",$L5=""),"",IF($BF5="Long",(($AC5*$Y5)-$X5)/($X5*0.06),($X5-($AC5*$Y5))/($X5*0.06)))</f>
        <v>-0.1226826608505984</v>
      </c>
      <c r="AN5" s="209"/>
      <c r="AO5" s="331" t="str">
        <f t="shared" si="19"/>
        <v/>
      </c>
      <c r="AP5" s="331">
        <f>IF($AC5="",#N/A,SUM(AO$4:AO5))</f>
        <v>0</v>
      </c>
      <c r="AQ5" s="331" t="str">
        <f t="shared" si="20"/>
        <v/>
      </c>
      <c r="AR5" s="331">
        <f>IF($AC5="",#N/A,SUM(AQ$4:AQ5))</f>
        <v>0</v>
      </c>
      <c r="AS5" s="331">
        <f t="shared" si="21"/>
        <v>-0.1226826608505984</v>
      </c>
      <c r="AT5" s="331">
        <f>IF($AC5="",#N/A,SUM(AS$4:AS5))</f>
        <v>-4.0663838871605176</v>
      </c>
      <c r="AU5" s="324" t="str">
        <f>IF(AND($S5="SW",$BF5="Long"),$AD5,"")</f>
        <v/>
      </c>
      <c r="AV5" s="324">
        <f>IF($AC5="",#N/A,SUM(AU$4:AU5))</f>
        <v>0</v>
      </c>
      <c r="AW5" s="324" t="str">
        <f>IF(AND($S5="UP",$BF5="Long"),$AD5,"")</f>
        <v/>
      </c>
      <c r="AX5" s="324">
        <f>IF($AC5="",#N/A,SUM(AW$4:AW5))</f>
        <v>0</v>
      </c>
      <c r="AY5" s="324">
        <f>IF(AND($S5="Dwn",$BF5="Short"),$AD5,"")</f>
        <v>-8.0999999999999091</v>
      </c>
      <c r="AZ5" s="324">
        <f>IF($AC5="",#N/A,SUM(AY$4:AY5))</f>
        <v>-262.79999999999973</v>
      </c>
      <c r="BA5" s="323">
        <f>IF($AD5="",#N/A,SUM($AD$4:$AD5))</f>
        <v>-262.79999999999973</v>
      </c>
      <c r="BC5" s="316" t="str">
        <f t="shared" si="22"/>
        <v/>
      </c>
      <c r="BD5" s="316" t="str">
        <f t="shared" si="23"/>
        <v/>
      </c>
      <c r="BE5" s="316" t="str">
        <f t="shared" si="24"/>
        <v/>
      </c>
      <c r="BF5" s="316" t="str">
        <f t="shared" si="25"/>
        <v>Short</v>
      </c>
      <c r="BG5" s="316">
        <f t="shared" si="26"/>
        <v>1</v>
      </c>
      <c r="BH5" s="316" t="str">
        <f t="shared" si="27"/>
        <v/>
      </c>
      <c r="BI5" s="316" t="str">
        <f t="shared" si="28"/>
        <v/>
      </c>
      <c r="BK5" s="184"/>
      <c r="BL5" s="184"/>
      <c r="BM5" s="184"/>
      <c r="BO5" s="489" t="e">
        <f>IF(J5="",#N/A,IF(S5="SW",(COUNTIFS(K$4:$K5,"&gt;0",S$4:$S5,"SW")/COUNTIF(S$4:$S5,"SW")),#N/A))</f>
        <v>#N/A</v>
      </c>
      <c r="BP5" s="489">
        <f>IF($J5="",#N/A,IF($S5="DWN",(COUNTIFS($K$4:$K5,"&lt;0",$S$4:$S5,"DWN")/COUNTIF($S$4:$S5,"DWN")),#N/A))</f>
        <v>0.5</v>
      </c>
      <c r="BQ5" s="489" t="e">
        <f>IF($J5="",#N/A,IF($S5="UP",(COUNTIFS($K$4:$K5,"&gt;0",$S$4:$S5,"UP")/COUNTIF($S$4:$S5,"UP")),#N/A))</f>
        <v>#N/A</v>
      </c>
      <c r="BR5" s="489">
        <f>IF(J5="",#N/A,COUNTIF($K$4:K5,"&gt;0")/COUNT($J$4:J5))</f>
        <v>0.5</v>
      </c>
      <c r="BS5" s="65" t="str">
        <f t="shared" si="29"/>
        <v/>
      </c>
      <c r="BT5" s="65" t="str">
        <f t="shared" si="30"/>
        <v/>
      </c>
      <c r="BU5" s="65">
        <f t="shared" si="31"/>
        <v>0.6788440567066546</v>
      </c>
      <c r="BV5" s="65" t="str">
        <f t="shared" si="32"/>
        <v/>
      </c>
      <c r="BW5" s="151" t="str">
        <f t="shared" si="33"/>
        <v/>
      </c>
      <c r="BX5" s="151">
        <f>IF($J5="",#N/A,SUM(BW$4:BW5))</f>
        <v>0</v>
      </c>
      <c r="BY5" s="152">
        <f t="shared" si="34"/>
        <v>44.820000000000164</v>
      </c>
      <c r="BZ5" s="152">
        <f>IF($J5="",#N/A,SUM(BY$4:BY5))</f>
        <v>13.9200000000003</v>
      </c>
      <c r="CA5" s="153" t="str">
        <f t="shared" si="35"/>
        <v/>
      </c>
      <c r="CB5" s="154">
        <f>IF($J5="",#N/A,SUM(CA$4:CA5))</f>
        <v>0</v>
      </c>
      <c r="CC5" s="191" t="str">
        <f t="shared" si="36"/>
        <v/>
      </c>
      <c r="CD5" s="191">
        <f>IF($J5="",#N/A,SUM(CC$4:CC5))</f>
        <v>0</v>
      </c>
      <c r="CE5" s="192">
        <f t="shared" si="37"/>
        <v>0.6788440567066546</v>
      </c>
      <c r="CF5" s="192">
        <f>IF($J5="",#N/A,SUM(CE$4:CE5))</f>
        <v>0.20039738260780871</v>
      </c>
      <c r="CG5" s="193" t="str">
        <f t="shared" si="38"/>
        <v/>
      </c>
      <c r="CH5" s="193">
        <f>IF($J5="",#N/A,SUM(CG$4:CG5))</f>
        <v>0</v>
      </c>
      <c r="CI5" s="200" t="str">
        <f t="shared" si="39"/>
        <v/>
      </c>
      <c r="CJ5" s="200">
        <f>IF($J5="",#N/A,SUM(CI$4:CI5))</f>
        <v>0</v>
      </c>
      <c r="CK5" s="201" t="str">
        <f t="shared" si="40"/>
        <v/>
      </c>
      <c r="CL5" s="201">
        <f>IF($J5="",#N/A,SUM(CK$4:CK5))</f>
        <v>0</v>
      </c>
      <c r="CM5" s="202" t="str">
        <f t="shared" si="41"/>
        <v/>
      </c>
      <c r="CN5" s="202">
        <f>IF($J5="",#N/A,SUM(CM$4:CM5))</f>
        <v>0</v>
      </c>
      <c r="CO5" s="202">
        <f>IF($J5="",#N/A,SUM(CM$4:CM5,CK$4:CK5,CI$4:CI5))</f>
        <v>0</v>
      </c>
      <c r="CP5" s="200" t="str">
        <f t="shared" si="42"/>
        <v/>
      </c>
      <c r="CQ5" s="200">
        <f>IF($J5="",#N/A,SUM(CP$4:CP5))</f>
        <v>0</v>
      </c>
      <c r="CR5" s="201" t="str">
        <f t="shared" si="43"/>
        <v/>
      </c>
      <c r="CS5" s="201">
        <f>IF($J5="",#N/A,SUM(CR$4:CR5))</f>
        <v>0</v>
      </c>
      <c r="CT5" s="202" t="str">
        <f t="shared" si="44"/>
        <v/>
      </c>
      <c r="CU5" s="202">
        <f>IF($J5="",#N/A,SUM(CT$4:CT5))</f>
        <v>0</v>
      </c>
      <c r="CV5" s="202">
        <f>IF($J5="",#N/A,SUM(CT$4:CT5,CR$4:CR5,CP$4:CP5))</f>
        <v>0</v>
      </c>
      <c r="CW5" s="200" t="str">
        <f t="shared" si="45"/>
        <v/>
      </c>
      <c r="CX5" s="200">
        <f>IF($J5="",#N/A,SUM(CW$4:CW5))</f>
        <v>0</v>
      </c>
      <c r="CY5" s="201" t="str">
        <f t="shared" si="46"/>
        <v/>
      </c>
      <c r="CZ5" s="201">
        <f>IF($J5="",#N/A,SUM(CY$4:CY5))</f>
        <v>0</v>
      </c>
      <c r="DA5" s="202" t="str">
        <f t="shared" si="47"/>
        <v/>
      </c>
      <c r="DB5" s="202">
        <f>IF($J5="",#N/A,SUM(DA$4:DA5))</f>
        <v>0</v>
      </c>
      <c r="DC5" s="202">
        <f>IF($J5="",#N/A,SUM(DA$4:DA5,CY$4:CY5,CW$4:CW5))</f>
        <v>0</v>
      </c>
      <c r="DD5" s="200" t="str">
        <f t="shared" si="48"/>
        <v/>
      </c>
      <c r="DE5" s="200">
        <f>IF($J5="",#N/A,SUM(DD$4:DD5))</f>
        <v>0</v>
      </c>
      <c r="DF5" s="201">
        <f t="shared" si="49"/>
        <v>0.6788440567066546</v>
      </c>
      <c r="DG5" s="201">
        <f>IF($J5="",#N/A,SUM(DF$4:DF5))</f>
        <v>0.6788440567066546</v>
      </c>
      <c r="DH5" s="202" t="str">
        <f t="shared" si="50"/>
        <v/>
      </c>
      <c r="DI5" s="202">
        <f>IF($J5="",#N/A,SUM(DH$4:DH5))</f>
        <v>0</v>
      </c>
      <c r="DJ5" s="202">
        <f>IF($J5="",#N/A,SUM(DH$4:DH5,DF$4:DF5,DD$4:DD5))</f>
        <v>0.6788440567066546</v>
      </c>
      <c r="DK5" s="200" t="str">
        <f t="shared" si="51"/>
        <v/>
      </c>
      <c r="DL5" s="200">
        <f>IF($J5="",#N/A,SUM(DK$4:DK5))</f>
        <v>0</v>
      </c>
      <c r="DM5" s="201" t="str">
        <f t="shared" si="52"/>
        <v/>
      </c>
      <c r="DN5" s="201">
        <f>IF($J5="",#N/A,SUM(DM$4:DM5))</f>
        <v>0</v>
      </c>
      <c r="DO5" s="202" t="str">
        <f t="shared" si="53"/>
        <v/>
      </c>
      <c r="DP5" s="202">
        <f>IF($J5="",#N/A,SUM(DO$4:DO5))</f>
        <v>0</v>
      </c>
      <c r="DQ5" s="202">
        <f>IF($J5="",#N/A,SUM(DO$4:DO5,DM$4:DM5,DK$4:DK5))</f>
        <v>0</v>
      </c>
      <c r="DR5" s="200" t="str">
        <f t="shared" si="54"/>
        <v/>
      </c>
      <c r="DS5" s="200">
        <f>IF($J5="",#N/A,SUM(DR$4:DR5))</f>
        <v>0</v>
      </c>
      <c r="DT5" s="201" t="str">
        <f t="shared" si="55"/>
        <v/>
      </c>
      <c r="DU5" s="201">
        <f>IF($J5="",#N/A,SUM(DT$4:DT5))</f>
        <v>0</v>
      </c>
      <c r="DV5" s="202" t="str">
        <f t="shared" si="56"/>
        <v/>
      </c>
      <c r="DW5" s="202">
        <f>IF($J5="",#N/A,SUM(DV$4:DV5))</f>
        <v>0</v>
      </c>
      <c r="DX5" s="202">
        <f>IF($J5="",#N/A,SUM(DV$4:DV5,DT$4:DT5,DR$4:DR5))</f>
        <v>0</v>
      </c>
      <c r="DY5" s="200" t="str">
        <f t="shared" si="57"/>
        <v/>
      </c>
      <c r="DZ5" s="200">
        <f>IF($J5="",#N/A,SUM(DY$4:DY5))</f>
        <v>0</v>
      </c>
      <c r="EA5" s="201" t="str">
        <f t="shared" si="58"/>
        <v/>
      </c>
      <c r="EB5" s="201">
        <f>IF($J5="",#N/A,SUM(EA$4:EA5))</f>
        <v>-0.47844667409884589</v>
      </c>
      <c r="EC5" s="202" t="str">
        <f t="shared" si="59"/>
        <v/>
      </c>
      <c r="ED5" s="202">
        <f>IF($J5="",#N/A,SUM(EC$4:EC5))</f>
        <v>0</v>
      </c>
      <c r="EE5" s="202">
        <f>IF($J5="",#N/A,SUM(EC$4:EC5,EA$4:EA5,DY$4:DY5))</f>
        <v>-0.47844667409884589</v>
      </c>
      <c r="EF5" s="200" t="str">
        <f t="shared" si="60"/>
        <v/>
      </c>
      <c r="EG5" s="200">
        <f>IF($J5="",#N/A,SUM(EF$4:EF5))</f>
        <v>0</v>
      </c>
      <c r="EH5" s="201" t="str">
        <f t="shared" si="61"/>
        <v/>
      </c>
      <c r="EI5" s="201">
        <f>IF($J5="",#N/A,SUM(EH$4:EH5))</f>
        <v>0</v>
      </c>
      <c r="EJ5" s="202" t="str">
        <f t="shared" si="62"/>
        <v/>
      </c>
      <c r="EK5" s="202">
        <f>IF($J5="",#N/A,SUM(EJ$4:EJ5))</f>
        <v>0</v>
      </c>
      <c r="EL5" s="202">
        <f>IF($J5="",#N/A,SUM(EJ$4:EJ5,EH$4:EH5,EF$4:EF5))</f>
        <v>0</v>
      </c>
      <c r="EM5" s="200" t="str">
        <f t="shared" si="63"/>
        <v/>
      </c>
      <c r="EN5" s="200">
        <f>IF($J5="",#N/A,SUM(EM$4:EM5))</f>
        <v>0</v>
      </c>
      <c r="EO5" s="201" t="str">
        <f t="shared" si="64"/>
        <v/>
      </c>
      <c r="EP5" s="201">
        <f>IF($J5="",#N/A,SUM(EO$4:EO5))</f>
        <v>0</v>
      </c>
      <c r="EQ5" s="202" t="str">
        <f t="shared" si="65"/>
        <v/>
      </c>
      <c r="ER5" s="202">
        <f>IF($J5="",#N/A,SUM(EQ$4:EQ5))</f>
        <v>0</v>
      </c>
      <c r="ES5" s="202">
        <f>IF($J5="",#N/A,SUM(EQ$4:EQ5,EO$4:EO5,EM$4:EM5))</f>
        <v>0</v>
      </c>
      <c r="ET5" s="200" t="str">
        <f t="shared" si="66"/>
        <v/>
      </c>
      <c r="EU5" s="200">
        <f>IF($J5="",#N/A,SUM(ET$4:ET5))</f>
        <v>0</v>
      </c>
      <c r="EV5" s="201" t="str">
        <f t="shared" si="67"/>
        <v/>
      </c>
      <c r="EW5" s="201">
        <f>IF($J5="",#N/A,SUM(EV$4:EV5))</f>
        <v>0</v>
      </c>
      <c r="EX5" s="202" t="str">
        <f t="shared" si="68"/>
        <v/>
      </c>
      <c r="EY5" s="202">
        <f>IF($J5="",#N/A,SUM(EX$4:EX5))</f>
        <v>0</v>
      </c>
      <c r="EZ5" s="202">
        <f>IF($J5="",#N/A,SUM(EX$4:EX5,EV$4:EV5,ET$4:ET5))</f>
        <v>0</v>
      </c>
      <c r="FA5" s="200" t="str">
        <f t="shared" si="69"/>
        <v/>
      </c>
      <c r="FB5" s="200">
        <f>IF($J5="",#N/A,SUM(FA$4:FA5))</f>
        <v>0</v>
      </c>
      <c r="FC5" s="201" t="str">
        <f t="shared" si="70"/>
        <v/>
      </c>
      <c r="FD5" s="201">
        <f>IF($J5="",#N/A,SUM(FC$4:FC5))</f>
        <v>0</v>
      </c>
      <c r="FE5" s="202" t="str">
        <f t="shared" si="71"/>
        <v/>
      </c>
      <c r="FF5" s="202">
        <f>IF($J5="",#N/A,SUM(FE$4:FE5))</f>
        <v>0</v>
      </c>
      <c r="FG5" s="202">
        <f>IF($J5="",#N/A,SUM(FE$4:FE5,FC$4:FC5,FA$4:FA5))</f>
        <v>0</v>
      </c>
      <c r="FH5" s="200" t="str">
        <f t="shared" si="72"/>
        <v/>
      </c>
      <c r="FI5" s="200">
        <f>IF($J5="",#N/A,SUM(FH$4:FH5))</f>
        <v>0</v>
      </c>
      <c r="FJ5" s="201" t="str">
        <f t="shared" si="73"/>
        <v/>
      </c>
      <c r="FK5" s="201">
        <f>IF($J5="",#N/A,SUM(FJ$4:FJ5))</f>
        <v>0</v>
      </c>
      <c r="FL5" s="202" t="str">
        <f t="shared" si="74"/>
        <v/>
      </c>
      <c r="FM5" s="202">
        <f>IF($J5="",#N/A,SUM(FL$4:FL5))</f>
        <v>0</v>
      </c>
      <c r="FN5" s="202">
        <f>IF($J5="",#N/A,SUM(FL$4:FL5,FJ$4:FJ5,FH$4:FH5))</f>
        <v>0</v>
      </c>
      <c r="FO5" s="200" t="str">
        <f t="shared" si="75"/>
        <v/>
      </c>
      <c r="FP5" s="200">
        <f>IF($J5="",#N/A,SUM(FO$4:FO5))</f>
        <v>0</v>
      </c>
      <c r="FQ5" s="201" t="str">
        <f t="shared" si="76"/>
        <v/>
      </c>
      <c r="FR5" s="201">
        <f>IF($J5="",#N/A,SUM(FQ$4:FQ5))</f>
        <v>0</v>
      </c>
      <c r="FS5" s="202" t="str">
        <f t="shared" si="77"/>
        <v/>
      </c>
      <c r="FT5" s="202">
        <f>IF($J5="",#N/A,SUM(FS$4:FS5))</f>
        <v>0</v>
      </c>
      <c r="FU5" s="202">
        <f>IF($J5="",#N/A,SUM(FS$4:FS5,FQ$4:FQ5,FO$4:FO5))</f>
        <v>0</v>
      </c>
      <c r="FV5" s="200" t="str">
        <f t="shared" si="78"/>
        <v/>
      </c>
      <c r="FW5" s="200">
        <f>IF($J5="",#N/A,SUM(FV$4:FV5))</f>
        <v>0</v>
      </c>
      <c r="FX5" s="201" t="str">
        <f t="shared" si="79"/>
        <v/>
      </c>
      <c r="FY5" s="201">
        <f>IF($J5="",#N/A,SUM(FX$4:FX5))</f>
        <v>0</v>
      </c>
      <c r="FZ5" s="202" t="str">
        <f t="shared" si="80"/>
        <v/>
      </c>
      <c r="GA5" s="202">
        <f>IF($J5="",#N/A,SUM(FZ$4:FZ5))</f>
        <v>0</v>
      </c>
      <c r="GB5" s="202">
        <f>IF($J5="",#N/A,SUM(FZ$4:FZ5,FX$4:FX5,FV$4:FV5))</f>
        <v>0</v>
      </c>
      <c r="GC5" s="200" t="str">
        <f t="shared" si="81"/>
        <v/>
      </c>
      <c r="GD5" s="200">
        <f>IF($J5="",#N/A,SUM(GC$4:GC5))</f>
        <v>0</v>
      </c>
      <c r="GE5" s="201" t="str">
        <f t="shared" si="82"/>
        <v/>
      </c>
      <c r="GF5" s="201">
        <f>IF($J5="",#N/A,SUM(GE$4:GE5))</f>
        <v>0</v>
      </c>
      <c r="GG5" s="202" t="str">
        <f t="shared" si="83"/>
        <v/>
      </c>
      <c r="GH5" s="202">
        <f>IF($J5="",#N/A,SUM(GG$4:GG5))</f>
        <v>0</v>
      </c>
      <c r="GI5" s="202">
        <f>IF($J5="",#N/A,SUM(GG$4:GG5,GE$4:GE5,GC$4:GC5))</f>
        <v>0</v>
      </c>
      <c r="GJ5" s="200" t="str">
        <f t="shared" si="84"/>
        <v/>
      </c>
      <c r="GK5" s="200">
        <f>IF($J5="",#N/A,SUM(GJ$4:GJ5))</f>
        <v>0</v>
      </c>
      <c r="GL5" s="201" t="str">
        <f t="shared" si="85"/>
        <v/>
      </c>
      <c r="GM5" s="201">
        <f>IF($J5="",#N/A,SUM(GL$4:GL5))</f>
        <v>0</v>
      </c>
      <c r="GN5" s="202" t="str">
        <f t="shared" si="86"/>
        <v/>
      </c>
      <c r="GO5" s="202">
        <f>IF($J5="",#N/A,SUM(GN$4:GN5))</f>
        <v>0</v>
      </c>
      <c r="GP5" s="202">
        <f>IF($J5="",#N/A,SUM(GN$4:GN5,GL$4:GL5,GJ$4:GJ5))</f>
        <v>0</v>
      </c>
      <c r="GS5" s="327">
        <f>IF($J5="","",IF($D5="Y",$P5,""))</f>
        <v>0.6788440567066546</v>
      </c>
      <c r="GT5" s="327">
        <f>IF(GS5="",NA(),SUM($GS$4:GS5))</f>
        <v>0.20039738260780871</v>
      </c>
      <c r="GU5" s="327" t="str">
        <f t="shared" si="87"/>
        <v/>
      </c>
      <c r="GV5" s="327" t="e">
        <f>IF(GU5="",NA(),SUM($GU$4:GU5))</f>
        <v>#N/A</v>
      </c>
      <c r="GW5" s="327" t="str">
        <f t="shared" si="88"/>
        <v/>
      </c>
      <c r="GX5" s="327" t="e">
        <f>IF(GW5="",NA(),SUM($GW$4:GW5))</f>
        <v>#N/A</v>
      </c>
      <c r="GY5" s="327">
        <f t="shared" si="89"/>
        <v>0.6788440567066546</v>
      </c>
      <c r="GZ5" s="327">
        <f>IF(GY5="",NA(),SUM($GY$4:GY5))</f>
        <v>0.20039738260780871</v>
      </c>
      <c r="HA5" s="327" t="str">
        <f t="shared" si="90"/>
        <v/>
      </c>
      <c r="HB5" s="327" t="e">
        <f>IF(HA5="",NA(),SUM($HA$4:HA5))</f>
        <v>#N/A</v>
      </c>
      <c r="HC5" s="327" t="str">
        <f t="shared" si="91"/>
        <v/>
      </c>
      <c r="HD5" s="327" t="e">
        <f>IF(HC5="",NA(),SUM($HC$4:HC5))</f>
        <v>#N/A</v>
      </c>
      <c r="HE5" s="327" t="str">
        <f t="shared" si="92"/>
        <v/>
      </c>
      <c r="HF5" s="327" t="e">
        <f>IF(HE5="",NA(),SUM($HE$4:HE5))</f>
        <v>#N/A</v>
      </c>
      <c r="HG5" s="327" t="str">
        <f t="shared" si="93"/>
        <v/>
      </c>
      <c r="HH5" s="327" t="e">
        <f>IF(HG5="",NA(),SUM($HG$4:HG5))</f>
        <v>#N/A</v>
      </c>
      <c r="HI5" s="328">
        <f>IF($AC5="","",IF(AND($S5="Dwn",$K5&lt;0),$HU5-$P5,""))</f>
        <v>-0.80152671755725302</v>
      </c>
      <c r="HJ5" s="329">
        <f>IF($J5="",#N/A,SUM(HI$4:$HI5))</f>
        <v>-0.80152671755725302</v>
      </c>
      <c r="HK5" s="327" t="str">
        <f t="shared" si="94"/>
        <v/>
      </c>
      <c r="HL5" s="330">
        <f>IF($J5="",#N/A,SUM($HK$4:HK5))</f>
        <v>-3.4652545522110731</v>
      </c>
      <c r="HM5" s="328" t="str">
        <f t="shared" si="95"/>
        <v/>
      </c>
      <c r="HN5" s="329">
        <f>IF($J5="",#N/A,SUM($HM$4:HM5))</f>
        <v>0</v>
      </c>
      <c r="HO5" s="327" t="str">
        <f t="shared" si="96"/>
        <v/>
      </c>
      <c r="HP5" s="330">
        <f>IF($J5="",#N/A,SUM($HO$4:HO5))</f>
        <v>0</v>
      </c>
      <c r="HQ5" s="327" t="str">
        <f t="shared" si="97"/>
        <v/>
      </c>
      <c r="HR5" s="327">
        <f>IF($J5="",#N/A,SUM($HQ$4:HQ5))</f>
        <v>0</v>
      </c>
      <c r="HS5" s="327" t="str">
        <f t="shared" si="98"/>
        <v/>
      </c>
      <c r="HT5" s="330">
        <f>IF($J5="",#N/A,SUM($HS$4:HS5))</f>
        <v>0</v>
      </c>
      <c r="HU5" s="329">
        <f t="shared" si="99"/>
        <v>-0.1226826608505984</v>
      </c>
      <c r="HV5" s="329">
        <f>IF($J5="",#N/A,SUM(HU$4:$HU5))</f>
        <v>-4.0663838871605176</v>
      </c>
    </row>
    <row r="6" spans="1:230" x14ac:dyDescent="0.25">
      <c r="A6" s="315" t="s">
        <v>1271</v>
      </c>
      <c r="B6" s="289" t="s">
        <v>4477</v>
      </c>
      <c r="C6" s="230">
        <f t="shared" si="0"/>
        <v>3</v>
      </c>
      <c r="D6" s="220" t="str">
        <f>_xlfn.XLOOKUP(A6,[1]SP500!$A$2:$A$502,[1]SP500!$D$2:$D$502,"N")</f>
        <v>Y</v>
      </c>
      <c r="E6" s="59" t="str">
        <f>IFERROR(_xlfn.XLOOKUP(A6,[1]SP500!$A$2:$A$655,[1]SP500!$B$2:$B$655),"")</f>
        <v>XLF</v>
      </c>
      <c r="F6" s="290">
        <v>45758</v>
      </c>
      <c r="G6" s="59" t="str">
        <f t="shared" si="1"/>
        <v>BMO</v>
      </c>
      <c r="H6" s="59" t="str">
        <f t="shared" si="2"/>
        <v>s</v>
      </c>
      <c r="I6" s="342">
        <v>227.11</v>
      </c>
      <c r="J6" s="278">
        <v>226.31</v>
      </c>
      <c r="K6" s="60">
        <f t="shared" si="3"/>
        <v>-3.5225221258421528E-3</v>
      </c>
      <c r="L6" s="68">
        <f t="shared" si="4"/>
        <v>-4.0000000000002274</v>
      </c>
      <c r="M6" s="62">
        <f t="shared" si="5"/>
        <v>0</v>
      </c>
      <c r="N6" s="148">
        <f t="shared" si="6"/>
        <v>-4.0000000000002274</v>
      </c>
      <c r="O6" s="287">
        <f>IF(N6="",#N/A,SUM($N$4:N6))</f>
        <v>9.9200000000000728</v>
      </c>
      <c r="P6" s="64">
        <f t="shared" si="100"/>
        <v>-5.8708702097371709E-2</v>
      </c>
      <c r="Q6" s="183">
        <f>IF($N6="",#N/A,SUM($P$4:P6))</f>
        <v>0.14168868051043698</v>
      </c>
      <c r="R6" s="279">
        <f t="shared" si="7"/>
        <v>5.8470680774033265E-2</v>
      </c>
      <c r="S6" s="59" t="str">
        <f t="shared" si="8"/>
        <v>SW</v>
      </c>
      <c r="T6" s="59" t="s">
        <v>2828</v>
      </c>
      <c r="U6" s="61">
        <f t="shared" si="9"/>
        <v>227.11</v>
      </c>
      <c r="V6" s="61" t="s">
        <v>4460</v>
      </c>
      <c r="W6" s="142">
        <v>5</v>
      </c>
      <c r="X6" s="146">
        <f t="shared" si="10"/>
        <v>1135.5500000000002</v>
      </c>
      <c r="Y6" s="142">
        <f t="shared" si="11"/>
        <v>5</v>
      </c>
      <c r="Z6" s="278">
        <v>226.31</v>
      </c>
      <c r="AA6" s="63">
        <f t="shared" si="12"/>
        <v>-4.0000000000002274</v>
      </c>
      <c r="AB6" s="63">
        <f t="shared" si="13"/>
        <v>45.449999999999818</v>
      </c>
      <c r="AC6" s="125">
        <v>236.2</v>
      </c>
      <c r="AD6" s="148">
        <f t="shared" si="14"/>
        <v>45.449999999999818</v>
      </c>
      <c r="AE6" s="544">
        <f t="shared" si="15"/>
        <v>0.66707762758134548</v>
      </c>
      <c r="AF6" s="62">
        <f>IF($AC6="",#N/A,SUM(AD$4:AD6))</f>
        <v>-217.34999999999991</v>
      </c>
      <c r="AG6" s="63">
        <f t="shared" si="16"/>
        <v>49.450000000000045</v>
      </c>
      <c r="AH6" s="61" t="s">
        <v>2507</v>
      </c>
      <c r="AI6" s="64">
        <f t="shared" si="17"/>
        <v>-5.8708702097371709E-2</v>
      </c>
      <c r="AJ6" s="177">
        <f>IF(AI6="",#N/A,SUM($AI$4:AI6))</f>
        <v>8.3217999736403717E-2</v>
      </c>
      <c r="AK6" s="62">
        <f t="shared" si="18"/>
        <v>-4.0000000000002274</v>
      </c>
      <c r="AL6" s="288">
        <f>IF(AI6="",#N/A,IF(AH6="Skip",SUM($AK$4:AK6),SUM($AK$4:AK6)))</f>
        <v>6.2000000000000455</v>
      </c>
      <c r="AM6" s="65">
        <f t="shared" si="101"/>
        <v>0.66707762758134548</v>
      </c>
      <c r="AN6" s="209"/>
      <c r="AO6" s="64">
        <f t="shared" si="19"/>
        <v>0.66707762758134548</v>
      </c>
      <c r="AP6" s="64">
        <f>IF($AC6="",#N/A,SUM(AO$4:AO6))</f>
        <v>0.66707762758134548</v>
      </c>
      <c r="AQ6" s="64" t="str">
        <f t="shared" si="20"/>
        <v/>
      </c>
      <c r="AR6" s="64">
        <f>IF($AC6="",#N/A,SUM(AQ$4:AQ6))</f>
        <v>0</v>
      </c>
      <c r="AS6" s="64" t="str">
        <f t="shared" si="21"/>
        <v/>
      </c>
      <c r="AT6" s="64">
        <f>IF($AC6="",#N/A,SUM(AS$4:AS6))</f>
        <v>-4.0663838871605176</v>
      </c>
      <c r="AU6" s="62">
        <f t="shared" ref="AU6:AU69" si="102">IF(AND(S6="SW",BF6="Long"),$AD6,"")</f>
        <v>45.449999999999818</v>
      </c>
      <c r="AV6" s="62">
        <f>IF($AC6="",#N/A,SUM(AU$4:AU6))</f>
        <v>45.449999999999818</v>
      </c>
      <c r="AW6" s="62" t="str">
        <f t="shared" ref="AW6:AW69" si="103">IF(AND(S6="UP",BF6="Long"),$AD6,"")</f>
        <v/>
      </c>
      <c r="AX6" s="62">
        <f>IF($AC6="",#N/A,SUM(AW$4:AW6))</f>
        <v>0</v>
      </c>
      <c r="AY6" s="61" t="str">
        <f t="shared" ref="AY6:AY69" si="104">IF(AND(S6="Dwn",BF6="Short"),$AD6,"")</f>
        <v/>
      </c>
      <c r="AZ6" s="62">
        <f>IF($AC6="",#N/A,SUM(AY$4:AY6))</f>
        <v>-262.79999999999973</v>
      </c>
      <c r="BA6" s="62">
        <f>IF(AD6="",#N/A,SUM($AD$4:AD6))</f>
        <v>-217.34999999999991</v>
      </c>
      <c r="BC6" s="59" t="str">
        <f t="shared" si="22"/>
        <v/>
      </c>
      <c r="BD6" s="59" t="str">
        <f t="shared" si="23"/>
        <v/>
      </c>
      <c r="BE6" s="59" t="str">
        <f t="shared" si="24"/>
        <v/>
      </c>
      <c r="BF6" s="59" t="str">
        <f t="shared" si="25"/>
        <v>Long</v>
      </c>
      <c r="BG6" s="59" t="str">
        <f t="shared" si="26"/>
        <v/>
      </c>
      <c r="BH6" s="59" t="str">
        <f t="shared" si="27"/>
        <v/>
      </c>
      <c r="BI6" s="59">
        <f t="shared" si="28"/>
        <v>1</v>
      </c>
      <c r="BK6" s="184"/>
      <c r="BL6" s="184"/>
      <c r="BM6" s="184"/>
      <c r="BO6" s="489">
        <f>IF(J6="",#N/A,IF(S6="SW",(COUNTIFS(K$4:$K6,"&gt;0",S$4:$S6,"SW")/COUNTIF(S$4:$S6,"SW")),#N/A))</f>
        <v>0</v>
      </c>
      <c r="BP6" s="489" t="e">
        <f>IF($J6="",#N/A,IF($S6="DWN",(COUNTIFS($K$4:$K6,"&lt;0",$S$4:$S6,"DWN")/COUNTIF($S$4:$S6,"DWN")),#N/A))</f>
        <v>#N/A</v>
      </c>
      <c r="BQ6" s="489" t="e">
        <f>IF($J6="",#N/A,IF($S6="UP",(COUNTIFS($K$4:$K6,"&gt;0",$S$4:$S6,"UP")/COUNTIF($S$4:$S6,"UP")),#N/A))</f>
        <v>#N/A</v>
      </c>
      <c r="BR6" s="489">
        <f>IF(J6="",#N/A,COUNTIF($K$4:K6,"&gt;0")/COUNT($J$4:J6))</f>
        <v>0.33333333333333331</v>
      </c>
      <c r="BS6" s="65" t="str">
        <f t="shared" si="29"/>
        <v/>
      </c>
      <c r="BT6" s="65">
        <f t="shared" si="30"/>
        <v>-5.8708702097371709E-2</v>
      </c>
      <c r="BU6" s="65" t="str">
        <f t="shared" si="31"/>
        <v/>
      </c>
      <c r="BV6" s="65" t="str">
        <f t="shared" si="32"/>
        <v/>
      </c>
      <c r="BW6" s="151" t="str">
        <f t="shared" si="33"/>
        <v/>
      </c>
      <c r="BX6" s="151">
        <f>IF($J6="",#N/A,SUM($BW$4:BW6))</f>
        <v>0</v>
      </c>
      <c r="BY6" s="152" t="str">
        <f t="shared" si="34"/>
        <v/>
      </c>
      <c r="BZ6" s="152">
        <f>IF($J6="",#N/A,SUM($BY$4:BY6))</f>
        <v>13.9200000000003</v>
      </c>
      <c r="CA6" s="153">
        <f t="shared" si="35"/>
        <v>-4.0000000000002274</v>
      </c>
      <c r="CB6" s="154">
        <f>IF($J6="",#N/A,SUM($CA$4:CA6))</f>
        <v>-4.0000000000002274</v>
      </c>
      <c r="CC6" s="191" t="str">
        <f t="shared" si="36"/>
        <v/>
      </c>
      <c r="CD6" s="191">
        <f>IF($J6="",#N/A,SUM($CC$4:CC6))</f>
        <v>0</v>
      </c>
      <c r="CE6" s="192" t="str">
        <f t="shared" si="37"/>
        <v/>
      </c>
      <c r="CF6" s="192">
        <f>IF($J6="",#N/A,SUM($CE$4:CE6))</f>
        <v>0.20039738260780871</v>
      </c>
      <c r="CG6" s="193">
        <f t="shared" si="38"/>
        <v>-5.8708702097371709E-2</v>
      </c>
      <c r="CH6" s="193">
        <f>IF($J6="",#N/A,SUM($CG$4:CG6))</f>
        <v>-5.8708702097371709E-2</v>
      </c>
      <c r="CI6" s="200" t="str">
        <f t="shared" si="39"/>
        <v/>
      </c>
      <c r="CJ6" s="200">
        <f>IF($J6="",#N/A,SUM(CI$4:CI6))</f>
        <v>0</v>
      </c>
      <c r="CK6" s="201" t="str">
        <f t="shared" si="40"/>
        <v/>
      </c>
      <c r="CL6" s="201">
        <f>IF($J6="",#N/A,SUM(CK$4:CK6))</f>
        <v>0</v>
      </c>
      <c r="CM6" s="202" t="str">
        <f t="shared" si="41"/>
        <v/>
      </c>
      <c r="CN6" s="202">
        <f>IF($J6="",#N/A,SUM(CM$4:CM6))</f>
        <v>0</v>
      </c>
      <c r="CO6" s="202">
        <f>IF($J6="",#N/A,SUM(CM$4:CM6,CK$4:CK6,CI$4:CI6))</f>
        <v>0</v>
      </c>
      <c r="CP6" s="200" t="str">
        <f t="shared" si="42"/>
        <v/>
      </c>
      <c r="CQ6" s="200">
        <f>IF($J6="",#N/A,SUM(CP$4:CP6))</f>
        <v>0</v>
      </c>
      <c r="CR6" s="201" t="str">
        <f t="shared" si="43"/>
        <v/>
      </c>
      <c r="CS6" s="201">
        <f>IF($J6="",#N/A,SUM(CR$4:CR6))</f>
        <v>0</v>
      </c>
      <c r="CT6" s="202" t="str">
        <f t="shared" si="44"/>
        <v/>
      </c>
      <c r="CU6" s="202">
        <f>IF($J6="",#N/A,SUM(CT$4:CT6))</f>
        <v>0</v>
      </c>
      <c r="CV6" s="202">
        <f>IF($J6="",#N/A,SUM(CT$4:CT6,CR$4:CR6,CP$4:CP6))</f>
        <v>0</v>
      </c>
      <c r="CW6" s="200" t="str">
        <f t="shared" si="45"/>
        <v/>
      </c>
      <c r="CX6" s="200">
        <f>IF($J6="",#N/A,SUM(CW$4:CW6))</f>
        <v>0</v>
      </c>
      <c r="CY6" s="201" t="str">
        <f t="shared" si="46"/>
        <v/>
      </c>
      <c r="CZ6" s="201">
        <f>IF($J6="",#N/A,SUM(CY$4:CY6))</f>
        <v>0</v>
      </c>
      <c r="DA6" s="202" t="str">
        <f t="shared" si="47"/>
        <v/>
      </c>
      <c r="DB6" s="202">
        <f>IF($J6="",#N/A,SUM(DA$4:DA6))</f>
        <v>0</v>
      </c>
      <c r="DC6" s="202">
        <f>IF($J6="",#N/A,SUM(DA$4:DA6,CY$4:CY6,CW$4:CW6))</f>
        <v>0</v>
      </c>
      <c r="DD6" s="200" t="str">
        <f t="shared" si="48"/>
        <v/>
      </c>
      <c r="DE6" s="200">
        <f>IF($J6="",#N/A,SUM(DD$4:DD6))</f>
        <v>0</v>
      </c>
      <c r="DF6" s="201" t="str">
        <f t="shared" si="49"/>
        <v/>
      </c>
      <c r="DG6" s="201">
        <f>IF($J6="",#N/A,SUM(DF$4:DF6))</f>
        <v>0.6788440567066546</v>
      </c>
      <c r="DH6" s="202" t="str">
        <f t="shared" si="50"/>
        <v/>
      </c>
      <c r="DI6" s="202">
        <f>IF($J6="",#N/A,SUM(DH$4:DH6))</f>
        <v>0</v>
      </c>
      <c r="DJ6" s="202">
        <f>IF($J6="",#N/A,SUM(DH$4:DH6,DF$4:DF6,DD$4:DD6))</f>
        <v>0.6788440567066546</v>
      </c>
      <c r="DK6" s="200" t="str">
        <f t="shared" si="51"/>
        <v/>
      </c>
      <c r="DL6" s="200">
        <f>IF($J6="",#N/A,SUM(DK$4:DK6))</f>
        <v>0</v>
      </c>
      <c r="DM6" s="201" t="str">
        <f t="shared" si="52"/>
        <v/>
      </c>
      <c r="DN6" s="201">
        <f>IF($J6="",#N/A,SUM(DM$4:DM6))</f>
        <v>0</v>
      </c>
      <c r="DO6" s="202" t="str">
        <f t="shared" si="53"/>
        <v/>
      </c>
      <c r="DP6" s="202">
        <f>IF($J6="",#N/A,SUM(DO$4:DO6))</f>
        <v>0</v>
      </c>
      <c r="DQ6" s="202">
        <f>IF($J6="",#N/A,SUM(DO$4:DO6,DM$4:DM6,DK$4:DK6))</f>
        <v>0</v>
      </c>
      <c r="DR6" s="200" t="str">
        <f t="shared" si="54"/>
        <v/>
      </c>
      <c r="DS6" s="200">
        <f>IF($J6="",#N/A,SUM(DR$4:DR6))</f>
        <v>0</v>
      </c>
      <c r="DT6" s="201" t="str">
        <f t="shared" si="55"/>
        <v/>
      </c>
      <c r="DU6" s="201">
        <f>IF($J6="",#N/A,SUM(DT$4:DT6))</f>
        <v>0</v>
      </c>
      <c r="DV6" s="202">
        <f t="shared" si="56"/>
        <v>-5.8708702097371709E-2</v>
      </c>
      <c r="DW6" s="202">
        <f>IF($J6="",#N/A,SUM(DV$4:DV6))</f>
        <v>-5.8708702097371709E-2</v>
      </c>
      <c r="DX6" s="202">
        <f>IF($J6="",#N/A,SUM(DV$4:DV6,DT$4:DT6,DR$4:DR6))</f>
        <v>-5.8708702097371709E-2</v>
      </c>
      <c r="DY6" s="200" t="str">
        <f t="shared" si="57"/>
        <v/>
      </c>
      <c r="DZ6" s="200">
        <f>IF($J6="",#N/A,SUM(DY$4:DY6))</f>
        <v>0</v>
      </c>
      <c r="EA6" s="201" t="str">
        <f t="shared" si="58"/>
        <v/>
      </c>
      <c r="EB6" s="201">
        <f>IF($J6="",#N/A,SUM(EA$4:EA6))</f>
        <v>-0.47844667409884589</v>
      </c>
      <c r="EC6" s="202" t="str">
        <f t="shared" si="59"/>
        <v/>
      </c>
      <c r="ED6" s="202">
        <f>IF($J6="",#N/A,SUM(EC$4:EC6))</f>
        <v>0</v>
      </c>
      <c r="EE6" s="202">
        <f>IF($J6="",#N/A,SUM(EC$4:EC6,EA$4:EA6,DY$4:DY6))</f>
        <v>-0.47844667409884589</v>
      </c>
      <c r="EF6" s="200" t="str">
        <f t="shared" si="60"/>
        <v/>
      </c>
      <c r="EG6" s="200">
        <f>IF($J6="",#N/A,SUM(EF$4:EF6))</f>
        <v>0</v>
      </c>
      <c r="EH6" s="201" t="str">
        <f t="shared" si="61"/>
        <v/>
      </c>
      <c r="EI6" s="201">
        <f>IF($J6="",#N/A,SUM(EH$4:EH6))</f>
        <v>0</v>
      </c>
      <c r="EJ6" s="202" t="str">
        <f t="shared" si="62"/>
        <v/>
      </c>
      <c r="EK6" s="202">
        <f>IF($J6="",#N/A,SUM(EJ$4:EJ6))</f>
        <v>0</v>
      </c>
      <c r="EL6" s="202">
        <f>IF($J6="",#N/A,SUM(EJ$4:EJ6,EH$4:EH6,EF$4:EF6))</f>
        <v>0</v>
      </c>
      <c r="EM6" s="200" t="str">
        <f t="shared" si="63"/>
        <v/>
      </c>
      <c r="EN6" s="200">
        <f>IF($J6="",#N/A,SUM(EM$4:EM6))</f>
        <v>0</v>
      </c>
      <c r="EO6" s="201" t="str">
        <f t="shared" si="64"/>
        <v/>
      </c>
      <c r="EP6" s="201">
        <f>IF($J6="",#N/A,SUM(EO$4:EO6))</f>
        <v>0</v>
      </c>
      <c r="EQ6" s="202" t="str">
        <f t="shared" si="65"/>
        <v/>
      </c>
      <c r="ER6" s="202">
        <f>IF($J6="",#N/A,SUM(EQ$4:EQ6))</f>
        <v>0</v>
      </c>
      <c r="ES6" s="202">
        <f>IF($J6="",#N/A,SUM(EQ$4:EQ6,EO$4:EO6,EM$4:EM6))</f>
        <v>0</v>
      </c>
      <c r="ET6" s="200" t="str">
        <f t="shared" si="66"/>
        <v/>
      </c>
      <c r="EU6" s="200">
        <f>IF($J6="",#N/A,SUM(ET$4:ET6))</f>
        <v>0</v>
      </c>
      <c r="EV6" s="201" t="str">
        <f t="shared" si="67"/>
        <v/>
      </c>
      <c r="EW6" s="201">
        <f>IF($J6="",#N/A,SUM(EV$4:EV6))</f>
        <v>0</v>
      </c>
      <c r="EX6" s="202" t="str">
        <f t="shared" si="68"/>
        <v/>
      </c>
      <c r="EY6" s="202">
        <f>IF($J6="",#N/A,SUM(EX$4:EX6))</f>
        <v>0</v>
      </c>
      <c r="EZ6" s="202">
        <f>IF($J6="",#N/A,SUM(EX$4:EX6,EV$4:EV6,ET$4:ET6))</f>
        <v>0</v>
      </c>
      <c r="FA6" s="200" t="str">
        <f t="shared" si="69"/>
        <v/>
      </c>
      <c r="FB6" s="200">
        <f>IF($J6="",#N/A,SUM(FA$4:FA6))</f>
        <v>0</v>
      </c>
      <c r="FC6" s="201" t="str">
        <f t="shared" si="70"/>
        <v/>
      </c>
      <c r="FD6" s="201">
        <f>IF($J6="",#N/A,SUM(FC$4:FC6))</f>
        <v>0</v>
      </c>
      <c r="FE6" s="202" t="str">
        <f t="shared" si="71"/>
        <v/>
      </c>
      <c r="FF6" s="202">
        <f>IF($J6="",#N/A,SUM(FE$4:FE6))</f>
        <v>0</v>
      </c>
      <c r="FG6" s="202">
        <f>IF($J6="",#N/A,SUM(FE$4:FE6,FC$4:FC6,FA$4:FA6))</f>
        <v>0</v>
      </c>
      <c r="FH6" s="200" t="str">
        <f t="shared" si="72"/>
        <v/>
      </c>
      <c r="FI6" s="200">
        <f>IF($J6="",#N/A,SUM(FH$4:FH6))</f>
        <v>0</v>
      </c>
      <c r="FJ6" s="201" t="str">
        <f t="shared" si="73"/>
        <v/>
      </c>
      <c r="FK6" s="201">
        <f>IF($J6="",#N/A,SUM(FJ$4:FJ6))</f>
        <v>0</v>
      </c>
      <c r="FL6" s="202" t="str">
        <f t="shared" si="74"/>
        <v/>
      </c>
      <c r="FM6" s="202">
        <f>IF($J6="",#N/A,SUM(FL$4:FL6))</f>
        <v>0</v>
      </c>
      <c r="FN6" s="202">
        <f>IF($J6="",#N/A,SUM(FL$4:FL6,FJ$4:FJ6,FH$4:FH6))</f>
        <v>0</v>
      </c>
      <c r="FO6" s="200" t="str">
        <f t="shared" si="75"/>
        <v/>
      </c>
      <c r="FP6" s="200">
        <f>IF($J6="",#N/A,SUM(FO$4:FO6))</f>
        <v>0</v>
      </c>
      <c r="FQ6" s="201" t="str">
        <f t="shared" si="76"/>
        <v/>
      </c>
      <c r="FR6" s="201">
        <f>IF($J6="",#N/A,SUM(FQ$4:FQ6))</f>
        <v>0</v>
      </c>
      <c r="FS6" s="202" t="str">
        <f t="shared" si="77"/>
        <v/>
      </c>
      <c r="FT6" s="202">
        <f>IF($J6="",#N/A,SUM(FS$4:FS6))</f>
        <v>0</v>
      </c>
      <c r="FU6" s="202">
        <f>IF($J6="",#N/A,SUM(FS$4:FS6,FQ$4:FQ6,FO$4:FO6))</f>
        <v>0</v>
      </c>
      <c r="FV6" s="200" t="str">
        <f t="shared" si="78"/>
        <v/>
      </c>
      <c r="FW6" s="200">
        <f>IF($J6="",#N/A,SUM(FV$4:FV6))</f>
        <v>0</v>
      </c>
      <c r="FX6" s="201" t="str">
        <f t="shared" si="79"/>
        <v/>
      </c>
      <c r="FY6" s="201">
        <f>IF($J6="",#N/A,SUM(FX$4:FX6))</f>
        <v>0</v>
      </c>
      <c r="FZ6" s="202" t="str">
        <f t="shared" si="80"/>
        <v/>
      </c>
      <c r="GA6" s="202">
        <f>IF($J6="",#N/A,SUM(FZ$4:FZ6))</f>
        <v>0</v>
      </c>
      <c r="GB6" s="202">
        <f>IF($J6="",#N/A,SUM(FZ$4:FZ6,FX$4:FX6,FV$4:FV6))</f>
        <v>0</v>
      </c>
      <c r="GC6" s="200" t="str">
        <f t="shared" si="81"/>
        <v/>
      </c>
      <c r="GD6" s="200">
        <f>IF($J6="",#N/A,SUM(GC$4:GC6))</f>
        <v>0</v>
      </c>
      <c r="GE6" s="201" t="str">
        <f t="shared" si="82"/>
        <v/>
      </c>
      <c r="GF6" s="201">
        <f>IF($J6="",#N/A,SUM(GE$4:GE6))</f>
        <v>0</v>
      </c>
      <c r="GG6" s="202" t="str">
        <f t="shared" si="83"/>
        <v/>
      </c>
      <c r="GH6" s="202">
        <f>IF($J6="",#N/A,SUM(GG$4:GG6))</f>
        <v>0</v>
      </c>
      <c r="GI6" s="202">
        <f>IF($J6="",#N/A,SUM(GG$4:GG6,GE$4:GE6,GC$4:GC6))</f>
        <v>0</v>
      </c>
      <c r="GJ6" s="200" t="str">
        <f t="shared" si="84"/>
        <v/>
      </c>
      <c r="GK6" s="200">
        <f>IF($J6="",#N/A,SUM(GJ$4:GJ6))</f>
        <v>0</v>
      </c>
      <c r="GL6" s="201" t="str">
        <f t="shared" si="85"/>
        <v/>
      </c>
      <c r="GM6" s="201">
        <f>IF($J6="",#N/A,SUM(GL$4:GL6))</f>
        <v>0</v>
      </c>
      <c r="GN6" s="202" t="str">
        <f t="shared" si="86"/>
        <v/>
      </c>
      <c r="GO6" s="202">
        <f>IF($J6="",#N/A,SUM(GN$4:GN6))</f>
        <v>0</v>
      </c>
      <c r="GP6" s="202">
        <f>IF($J6="",#N/A,SUM(GN$4:GN6,GL$4:GL6,GJ$4:GJ6))</f>
        <v>0</v>
      </c>
      <c r="GS6" s="177">
        <f t="shared" ref="GS6:GS69" si="105">IF(J6="","",IF(D6="Y",P6,""))</f>
        <v>-5.8708702097371709E-2</v>
      </c>
      <c r="GT6" s="177">
        <f>IF(GS6="",NA(),SUM($GS$4:GS6))</f>
        <v>0.14168868051043698</v>
      </c>
      <c r="GU6" s="177" t="str">
        <f t="shared" si="87"/>
        <v/>
      </c>
      <c r="GV6" s="177" t="e">
        <f>IF(GU6="",NA(),SUM($GU$4:GU6))</f>
        <v>#N/A</v>
      </c>
      <c r="GW6" s="177">
        <f t="shared" si="88"/>
        <v>-5.8708702097371709E-2</v>
      </c>
      <c r="GX6" s="177">
        <f>IF(GW6="",NA(),SUM($GW$4:GW6))</f>
        <v>-5.8708702097371709E-2</v>
      </c>
      <c r="GY6" s="177" t="str">
        <f t="shared" si="89"/>
        <v/>
      </c>
      <c r="GZ6" s="177" t="e">
        <f>IF(GY6="",NA(),SUM($GY$4:GY6))</f>
        <v>#N/A</v>
      </c>
      <c r="HA6" s="177" t="str">
        <f t="shared" si="90"/>
        <v/>
      </c>
      <c r="HB6" s="177" t="e">
        <f>IF(HA6="",NA(),SUM($HA$4:HA6))</f>
        <v>#N/A</v>
      </c>
      <c r="HC6" s="177" t="str">
        <f t="shared" si="91"/>
        <v/>
      </c>
      <c r="HD6" s="177" t="e">
        <f>IF(HC6="",NA(),SUM($HC$4:HC6))</f>
        <v>#N/A</v>
      </c>
      <c r="HE6" s="177" t="str">
        <f t="shared" si="92"/>
        <v/>
      </c>
      <c r="HF6" s="177" t="e">
        <f>IF(HE6="",NA(),SUM($HE$4:HE6))</f>
        <v>#N/A</v>
      </c>
      <c r="HG6" s="177" t="str">
        <f t="shared" si="93"/>
        <v/>
      </c>
      <c r="HH6" s="177" t="e">
        <f>IF(HG6="",NA(),SUM($HG$4:HG6))</f>
        <v>#N/A</v>
      </c>
      <c r="HI6" s="183" t="str">
        <f t="shared" ref="HI6:HI69" si="106">IF($AC6="","",IF(AND($S6="Dwn",$K6&lt;0),$HU6-P6,""))</f>
        <v/>
      </c>
      <c r="HJ6" s="291">
        <f>IF($J6="",#N/A,SUM(HI$4:$HI6))</f>
        <v>-0.80152671755725302</v>
      </c>
      <c r="HK6" s="177" t="str">
        <f t="shared" si="94"/>
        <v/>
      </c>
      <c r="HL6" s="177">
        <f>IF($J6="",#N/A,SUM($HK$4:HK6))</f>
        <v>-3.4652545522110731</v>
      </c>
      <c r="HM6" s="177" t="str">
        <f t="shared" si="95"/>
        <v/>
      </c>
      <c r="HN6" s="177">
        <f>IF($J6="",#N/A,SUM($HM$4:HM6))</f>
        <v>0</v>
      </c>
      <c r="HO6" s="177" t="str">
        <f t="shared" si="96"/>
        <v/>
      </c>
      <c r="HP6" s="177">
        <f>IF($J6="",#N/A,SUM($HO$4:HO6))</f>
        <v>0</v>
      </c>
      <c r="HQ6" s="177" t="str">
        <f t="shared" si="97"/>
        <v/>
      </c>
      <c r="HR6" s="177">
        <f>IF($J6="",#N/A,SUM($HQ$4:HQ6))</f>
        <v>0</v>
      </c>
      <c r="HS6" s="177">
        <f t="shared" si="98"/>
        <v>0.72578632967871715</v>
      </c>
      <c r="HT6" s="177">
        <f>IF($J6="",#N/A,SUM($HS$4:HS6))</f>
        <v>0.72578632967871715</v>
      </c>
      <c r="HU6" s="64">
        <f t="shared" si="99"/>
        <v>0.66707762758134548</v>
      </c>
      <c r="HV6" s="64">
        <f>IF($J6="",#N/A,SUM(HU$4:$HU6))</f>
        <v>-3.3993062595791721</v>
      </c>
    </row>
    <row r="7" spans="1:230" x14ac:dyDescent="0.25">
      <c r="A7" s="51" t="s">
        <v>1284</v>
      </c>
      <c r="B7" s="52" t="s">
        <v>4477</v>
      </c>
      <c r="C7" s="229">
        <f t="shared" si="0"/>
        <v>3</v>
      </c>
      <c r="D7" s="219" t="str">
        <f>_xlfn.XLOOKUP(A7,[1]SP500!$A$2:$A$502,[1]SP500!$D$2:$D$502,"N")</f>
        <v>Y</v>
      </c>
      <c r="E7" s="51" t="str">
        <f>IFERROR(_xlfn.XLOOKUP(A7,[1]SP500!$A$2:$A$655,[1]SP500!$B$2:$B$655),"")</f>
        <v>XLF</v>
      </c>
      <c r="F7" s="53">
        <v>45758</v>
      </c>
      <c r="G7" s="51" t="str">
        <f t="shared" si="1"/>
        <v>BMO</v>
      </c>
      <c r="H7" s="51" t="str">
        <f t="shared" si="2"/>
        <v>s</v>
      </c>
      <c r="I7" s="343">
        <v>63.11</v>
      </c>
      <c r="J7" s="123">
        <v>61.54</v>
      </c>
      <c r="K7" s="55">
        <f t="shared" si="3"/>
        <v>-2.487719854222786E-2</v>
      </c>
      <c r="L7" s="67">
        <f t="shared" si="4"/>
        <v>-26.689999999999827</v>
      </c>
      <c r="M7" s="57">
        <f t="shared" si="5"/>
        <v>15.979999999999791</v>
      </c>
      <c r="N7" s="155">
        <f t="shared" si="6"/>
        <v>-26.689999999999827</v>
      </c>
      <c r="O7" s="156">
        <f>IF(N7="",#N/A,SUM($N$4:N7))</f>
        <v>-16.769999999999754</v>
      </c>
      <c r="P7" s="65">
        <f t="shared" si="100"/>
        <v>-0.41461997570379494</v>
      </c>
      <c r="Q7" s="172">
        <f>IF($N7="",#N/A,SUM($P$4:P7))</f>
        <v>-0.27293129519335796</v>
      </c>
      <c r="R7" s="279">
        <f t="shared" si="7"/>
        <v>-0.18977312633524357</v>
      </c>
      <c r="S7" s="51" t="str">
        <f t="shared" si="8"/>
        <v>SW</v>
      </c>
      <c r="T7" s="51" t="s">
        <v>2828</v>
      </c>
      <c r="U7" s="56">
        <f t="shared" si="9"/>
        <v>63.11</v>
      </c>
      <c r="V7" s="56" t="s">
        <v>4460</v>
      </c>
      <c r="W7" s="142">
        <v>17</v>
      </c>
      <c r="X7" s="145">
        <f t="shared" si="10"/>
        <v>1072.8699999999999</v>
      </c>
      <c r="Y7" s="140">
        <f t="shared" si="11"/>
        <v>17</v>
      </c>
      <c r="Z7" s="123">
        <v>62.48</v>
      </c>
      <c r="AA7" s="102">
        <f t="shared" si="12"/>
        <v>-10.710000000000036</v>
      </c>
      <c r="AB7" s="102">
        <f t="shared" si="13"/>
        <v>-10.199999999999818</v>
      </c>
      <c r="AC7" s="124">
        <v>62.51</v>
      </c>
      <c r="AD7" s="155">
        <f t="shared" si="14"/>
        <v>-10.199999999999818</v>
      </c>
      <c r="AE7" s="545">
        <f t="shared" si="15"/>
        <v>-0.15845349389953767</v>
      </c>
      <c r="AF7" s="57">
        <f>IF($AC7="",#N/A,SUM(AD$4:AD7))</f>
        <v>-227.54999999999973</v>
      </c>
      <c r="AG7" s="102">
        <f t="shared" si="16"/>
        <v>16.490000000000009</v>
      </c>
      <c r="AH7" s="56" t="s">
        <v>2507</v>
      </c>
      <c r="AI7" s="65">
        <f t="shared" si="17"/>
        <v>-0.16637616859451809</v>
      </c>
      <c r="AJ7" s="54">
        <f>IF(AI7="",#N/A,SUM($AI$4:AI7))</f>
        <v>-8.3158168858114376E-2</v>
      </c>
      <c r="AK7" s="57">
        <f t="shared" si="18"/>
        <v>-10.710000000000036</v>
      </c>
      <c r="AL7" s="58">
        <f>IF(AI7="",#N/A,IF(AH7="Skip",SUM($AK$4:AK7),SUM($AK$4:AK7)))</f>
        <v>-4.5099999999999909</v>
      </c>
      <c r="AM7" s="65">
        <f t="shared" si="101"/>
        <v>-0.15845349389953767</v>
      </c>
      <c r="AN7" s="209"/>
      <c r="AO7" s="65">
        <f t="shared" si="19"/>
        <v>-0.15845349389953767</v>
      </c>
      <c r="AP7" s="65">
        <f>IF($AC7="",#N/A,SUM(AO$4:AO7))</f>
        <v>0.50862413368180781</v>
      </c>
      <c r="AQ7" s="65" t="str">
        <f t="shared" si="20"/>
        <v/>
      </c>
      <c r="AR7" s="65">
        <f>IF($AC7="",#N/A,SUM(AQ$4:AQ7))</f>
        <v>0</v>
      </c>
      <c r="AS7" s="65" t="str">
        <f t="shared" si="21"/>
        <v/>
      </c>
      <c r="AT7" s="65">
        <f>IF($AC7="",#N/A,SUM(AS$4:AS7))</f>
        <v>-4.0663838871605176</v>
      </c>
      <c r="AU7" s="57">
        <f t="shared" si="102"/>
        <v>-10.199999999999818</v>
      </c>
      <c r="AV7" s="57">
        <f>IF($AC7="",#N/A,SUM(AU$4:AU7))</f>
        <v>35.25</v>
      </c>
      <c r="AW7" s="57" t="str">
        <f t="shared" si="103"/>
        <v/>
      </c>
      <c r="AX7" s="57">
        <f>IF($AC7="",#N/A,SUM(AW$4:AW7))</f>
        <v>0</v>
      </c>
      <c r="AY7" s="56" t="str">
        <f t="shared" si="104"/>
        <v/>
      </c>
      <c r="AZ7" s="57">
        <f>IF($AC7="",#N/A,SUM(AY$4:AY7))</f>
        <v>-262.79999999999973</v>
      </c>
      <c r="BA7" s="57">
        <f>IF(AD7="",#N/A,SUM($AD$4:AD7))</f>
        <v>-227.54999999999973</v>
      </c>
      <c r="BC7" s="51" t="str">
        <f t="shared" si="22"/>
        <v/>
      </c>
      <c r="BD7" s="51" t="str">
        <f t="shared" si="23"/>
        <v/>
      </c>
      <c r="BE7" s="51" t="str">
        <f t="shared" si="24"/>
        <v/>
      </c>
      <c r="BF7" s="51" t="str">
        <f t="shared" si="25"/>
        <v>Long</v>
      </c>
      <c r="BG7" s="51" t="str">
        <f t="shared" si="26"/>
        <v/>
      </c>
      <c r="BH7" s="51" t="str">
        <f t="shared" si="27"/>
        <v/>
      </c>
      <c r="BI7" s="51">
        <f t="shared" si="28"/>
        <v>1</v>
      </c>
      <c r="BK7" s="184"/>
      <c r="BL7" s="184"/>
      <c r="BM7" s="184"/>
      <c r="BO7" s="489">
        <f>IF(J7="",#N/A,IF(S7="SW",(COUNTIFS(K$4:$K7,"&gt;0",S$4:$S7,"SW")/COUNTIF(S$4:$S7,"SW")),#N/A))</f>
        <v>0</v>
      </c>
      <c r="BP7" s="489" t="e">
        <f>IF($J7="",#N/A,IF($S7="DWN",(COUNTIFS($K$4:$K7,"&lt;0",$S$4:$S7,"DWN")/COUNTIF($S$4:$S7,"DWN")),#N/A))</f>
        <v>#N/A</v>
      </c>
      <c r="BQ7" s="489" t="e">
        <f>IF($J7="",#N/A,IF($S7="UP",(COUNTIFS($K$4:$K7,"&gt;0",$S$4:$S7,"UP")/COUNTIF($S$4:$S7,"UP")),#N/A))</f>
        <v>#N/A</v>
      </c>
      <c r="BR7" s="489">
        <f>IF(J7="",#N/A,COUNTIF($K$4:K7,"&gt;0")/COUNT($J$4:J7))</f>
        <v>0.25</v>
      </c>
      <c r="BS7" s="65" t="str">
        <f t="shared" si="29"/>
        <v/>
      </c>
      <c r="BT7" s="65">
        <f t="shared" si="30"/>
        <v>-0.41461997570379494</v>
      </c>
      <c r="BU7" s="65" t="str">
        <f t="shared" si="31"/>
        <v/>
      </c>
      <c r="BV7" s="65" t="str">
        <f t="shared" si="32"/>
        <v/>
      </c>
      <c r="BW7" s="151" t="str">
        <f t="shared" si="33"/>
        <v/>
      </c>
      <c r="BX7" s="151">
        <f>IF($J7="",#N/A,SUM($BW$4:BW7))</f>
        <v>0</v>
      </c>
      <c r="BY7" s="152" t="str">
        <f t="shared" si="34"/>
        <v/>
      </c>
      <c r="BZ7" s="152">
        <f>IF($J7="",#N/A,SUM($BY$4:BY7))</f>
        <v>13.9200000000003</v>
      </c>
      <c r="CA7" s="153">
        <f t="shared" si="35"/>
        <v>-26.689999999999827</v>
      </c>
      <c r="CB7" s="154">
        <f>IF($J7="",#N/A,SUM($CA$4:CA7))</f>
        <v>-30.690000000000055</v>
      </c>
      <c r="CC7" s="191" t="str">
        <f t="shared" si="36"/>
        <v/>
      </c>
      <c r="CD7" s="191">
        <f>IF($J7="",#N/A,SUM($CC$4:CC7))</f>
        <v>0</v>
      </c>
      <c r="CE7" s="192" t="str">
        <f t="shared" si="37"/>
        <v/>
      </c>
      <c r="CF7" s="192">
        <f>IF($J7="",#N/A,SUM($CE$4:CE7))</f>
        <v>0.20039738260780871</v>
      </c>
      <c r="CG7" s="193">
        <f t="shared" si="38"/>
        <v>-0.41461997570379494</v>
      </c>
      <c r="CH7" s="193">
        <f>IF($J7="",#N/A,SUM($CG$4:CG7))</f>
        <v>-0.47332867780116666</v>
      </c>
      <c r="CI7" s="200" t="str">
        <f t="shared" si="39"/>
        <v/>
      </c>
      <c r="CJ7" s="200">
        <f>IF($J7="",#N/A,SUM(CI$4:CI7))</f>
        <v>0</v>
      </c>
      <c r="CK7" s="201" t="str">
        <f t="shared" si="40"/>
        <v/>
      </c>
      <c r="CL7" s="201">
        <f>IF($J7="",#N/A,SUM(CK$4:CK7))</f>
        <v>0</v>
      </c>
      <c r="CM7" s="202" t="str">
        <f t="shared" si="41"/>
        <v/>
      </c>
      <c r="CN7" s="202">
        <f>IF($J7="",#N/A,SUM(CM$4:CM7))</f>
        <v>0</v>
      </c>
      <c r="CO7" s="202">
        <f>IF($J7="",#N/A,SUM(CM$4:CM7,CK$4:CK7,CI$4:CI7))</f>
        <v>0</v>
      </c>
      <c r="CP7" s="200" t="str">
        <f t="shared" si="42"/>
        <v/>
      </c>
      <c r="CQ7" s="200">
        <f>IF($J7="",#N/A,SUM(CP$4:CP7))</f>
        <v>0</v>
      </c>
      <c r="CR7" s="201" t="str">
        <f t="shared" si="43"/>
        <v/>
      </c>
      <c r="CS7" s="201">
        <f>IF($J7="",#N/A,SUM(CR$4:CR7))</f>
        <v>0</v>
      </c>
      <c r="CT7" s="202" t="str">
        <f t="shared" si="44"/>
        <v/>
      </c>
      <c r="CU7" s="202">
        <f>IF($J7="",#N/A,SUM(CT$4:CT7))</f>
        <v>0</v>
      </c>
      <c r="CV7" s="202">
        <f>IF($J7="",#N/A,SUM(CT$4:CT7,CR$4:CR7,CP$4:CP7))</f>
        <v>0</v>
      </c>
      <c r="CW7" s="200" t="str">
        <f t="shared" si="45"/>
        <v/>
      </c>
      <c r="CX7" s="200">
        <f>IF($J7="",#N/A,SUM(CW$4:CW7))</f>
        <v>0</v>
      </c>
      <c r="CY7" s="201" t="str">
        <f t="shared" si="46"/>
        <v/>
      </c>
      <c r="CZ7" s="201">
        <f>IF($J7="",#N/A,SUM(CY$4:CY7))</f>
        <v>0</v>
      </c>
      <c r="DA7" s="202" t="str">
        <f t="shared" si="47"/>
        <v/>
      </c>
      <c r="DB7" s="202">
        <f>IF($J7="",#N/A,SUM(DA$4:DA7))</f>
        <v>0</v>
      </c>
      <c r="DC7" s="202">
        <f>IF($J7="",#N/A,SUM(DA$4:DA7,CY$4:CY7,CW$4:CW7))</f>
        <v>0</v>
      </c>
      <c r="DD7" s="200" t="str">
        <f t="shared" si="48"/>
        <v/>
      </c>
      <c r="DE7" s="200">
        <f>IF($J7="",#N/A,SUM(DD$4:DD7))</f>
        <v>0</v>
      </c>
      <c r="DF7" s="201" t="str">
        <f t="shared" si="49"/>
        <v/>
      </c>
      <c r="DG7" s="201">
        <f>IF($J7="",#N/A,SUM(DF$4:DF7))</f>
        <v>0.6788440567066546</v>
      </c>
      <c r="DH7" s="202" t="str">
        <f t="shared" si="50"/>
        <v/>
      </c>
      <c r="DI7" s="202">
        <f>IF($J7="",#N/A,SUM(DH$4:DH7))</f>
        <v>0</v>
      </c>
      <c r="DJ7" s="202">
        <f>IF($J7="",#N/A,SUM(DH$4:DH7,DF$4:DF7,DD$4:DD7))</f>
        <v>0.6788440567066546</v>
      </c>
      <c r="DK7" s="200" t="str">
        <f t="shared" si="51"/>
        <v/>
      </c>
      <c r="DL7" s="200">
        <f>IF($J7="",#N/A,SUM(DK$4:DK7))</f>
        <v>0</v>
      </c>
      <c r="DM7" s="201" t="str">
        <f t="shared" si="52"/>
        <v/>
      </c>
      <c r="DN7" s="201">
        <f>IF($J7="",#N/A,SUM(DM$4:DM7))</f>
        <v>0</v>
      </c>
      <c r="DO7" s="202" t="str">
        <f t="shared" si="53"/>
        <v/>
      </c>
      <c r="DP7" s="202">
        <f>IF($J7="",#N/A,SUM(DO$4:DO7))</f>
        <v>0</v>
      </c>
      <c r="DQ7" s="202">
        <f>IF($J7="",#N/A,SUM(DO$4:DO7,DM$4:DM7,DK$4:DK7))</f>
        <v>0</v>
      </c>
      <c r="DR7" s="200" t="str">
        <f t="shared" si="54"/>
        <v/>
      </c>
      <c r="DS7" s="200">
        <f>IF($J7="",#N/A,SUM(DR$4:DR7))</f>
        <v>0</v>
      </c>
      <c r="DT7" s="201" t="str">
        <f t="shared" si="55"/>
        <v/>
      </c>
      <c r="DU7" s="201">
        <f>IF($J7="",#N/A,SUM(DT$4:DT7))</f>
        <v>0</v>
      </c>
      <c r="DV7" s="202">
        <f t="shared" si="56"/>
        <v>-0.41461997570379494</v>
      </c>
      <c r="DW7" s="202">
        <f>IF($J7="",#N/A,SUM(DV$4:DV7))</f>
        <v>-0.47332867780116666</v>
      </c>
      <c r="DX7" s="202">
        <f>IF($J7="",#N/A,SUM(DV$4:DV7,DT$4:DT7,DR$4:DR7))</f>
        <v>-0.47332867780116666</v>
      </c>
      <c r="DY7" s="200" t="str">
        <f t="shared" si="57"/>
        <v/>
      </c>
      <c r="DZ7" s="200">
        <f>IF($J7="",#N/A,SUM(DY$4:DY7))</f>
        <v>0</v>
      </c>
      <c r="EA7" s="201" t="str">
        <f t="shared" si="58"/>
        <v/>
      </c>
      <c r="EB7" s="201">
        <f>IF($J7="",#N/A,SUM(EA$4:EA7))</f>
        <v>-0.47844667409884589</v>
      </c>
      <c r="EC7" s="202" t="str">
        <f t="shared" si="59"/>
        <v/>
      </c>
      <c r="ED7" s="202">
        <f>IF($J7="",#N/A,SUM(EC$4:EC7))</f>
        <v>0</v>
      </c>
      <c r="EE7" s="202">
        <f>IF($J7="",#N/A,SUM(EC$4:EC7,EA$4:EA7,DY$4:DY7))</f>
        <v>-0.47844667409884589</v>
      </c>
      <c r="EF7" s="200" t="str">
        <f t="shared" si="60"/>
        <v/>
      </c>
      <c r="EG7" s="200">
        <f>IF($J7="",#N/A,SUM(EF$4:EF7))</f>
        <v>0</v>
      </c>
      <c r="EH7" s="201" t="str">
        <f t="shared" si="61"/>
        <v/>
      </c>
      <c r="EI7" s="201">
        <f>IF($J7="",#N/A,SUM(EH$4:EH7))</f>
        <v>0</v>
      </c>
      <c r="EJ7" s="202" t="str">
        <f t="shared" si="62"/>
        <v/>
      </c>
      <c r="EK7" s="202">
        <f>IF($J7="",#N/A,SUM(EJ$4:EJ7))</f>
        <v>0</v>
      </c>
      <c r="EL7" s="202">
        <f>IF($J7="",#N/A,SUM(EJ$4:EJ7,EH$4:EH7,EF$4:EF7))</f>
        <v>0</v>
      </c>
      <c r="EM7" s="200" t="str">
        <f t="shared" si="63"/>
        <v/>
      </c>
      <c r="EN7" s="200">
        <f>IF($J7="",#N/A,SUM(EM$4:EM7))</f>
        <v>0</v>
      </c>
      <c r="EO7" s="201" t="str">
        <f t="shared" si="64"/>
        <v/>
      </c>
      <c r="EP7" s="201">
        <f>IF($J7="",#N/A,SUM(EO$4:EO7))</f>
        <v>0</v>
      </c>
      <c r="EQ7" s="202" t="str">
        <f t="shared" si="65"/>
        <v/>
      </c>
      <c r="ER7" s="202">
        <f>IF($J7="",#N/A,SUM(EQ$4:EQ7))</f>
        <v>0</v>
      </c>
      <c r="ES7" s="202">
        <f>IF($J7="",#N/A,SUM(EQ$4:EQ7,EO$4:EO7,EM$4:EM7))</f>
        <v>0</v>
      </c>
      <c r="ET7" s="200" t="str">
        <f t="shared" si="66"/>
        <v/>
      </c>
      <c r="EU7" s="200">
        <f>IF($J7="",#N/A,SUM(ET$4:ET7))</f>
        <v>0</v>
      </c>
      <c r="EV7" s="201" t="str">
        <f t="shared" si="67"/>
        <v/>
      </c>
      <c r="EW7" s="201">
        <f>IF($J7="",#N/A,SUM(EV$4:EV7))</f>
        <v>0</v>
      </c>
      <c r="EX7" s="202" t="str">
        <f t="shared" si="68"/>
        <v/>
      </c>
      <c r="EY7" s="202">
        <f>IF($J7="",#N/A,SUM(EX$4:EX7))</f>
        <v>0</v>
      </c>
      <c r="EZ7" s="202">
        <f>IF($J7="",#N/A,SUM(EX$4:EX7,EV$4:EV7,ET$4:ET7))</f>
        <v>0</v>
      </c>
      <c r="FA7" s="200" t="str">
        <f t="shared" si="69"/>
        <v/>
      </c>
      <c r="FB7" s="200">
        <f>IF($J7="",#N/A,SUM(FA$4:FA7))</f>
        <v>0</v>
      </c>
      <c r="FC7" s="201" t="str">
        <f t="shared" si="70"/>
        <v/>
      </c>
      <c r="FD7" s="201">
        <f>IF($J7="",#N/A,SUM(FC$4:FC7))</f>
        <v>0</v>
      </c>
      <c r="FE7" s="202" t="str">
        <f t="shared" si="71"/>
        <v/>
      </c>
      <c r="FF7" s="202">
        <f>IF($J7="",#N/A,SUM(FE$4:FE7))</f>
        <v>0</v>
      </c>
      <c r="FG7" s="202">
        <f>IF($J7="",#N/A,SUM(FE$4:FE7,FC$4:FC7,FA$4:FA7))</f>
        <v>0</v>
      </c>
      <c r="FH7" s="200" t="str">
        <f t="shared" si="72"/>
        <v/>
      </c>
      <c r="FI7" s="200">
        <f>IF($J7="",#N/A,SUM(FH$4:FH7))</f>
        <v>0</v>
      </c>
      <c r="FJ7" s="201" t="str">
        <f t="shared" si="73"/>
        <v/>
      </c>
      <c r="FK7" s="201">
        <f>IF($J7="",#N/A,SUM(FJ$4:FJ7))</f>
        <v>0</v>
      </c>
      <c r="FL7" s="202" t="str">
        <f t="shared" si="74"/>
        <v/>
      </c>
      <c r="FM7" s="202">
        <f>IF($J7="",#N/A,SUM(FL$4:FL7))</f>
        <v>0</v>
      </c>
      <c r="FN7" s="202">
        <f>IF($J7="",#N/A,SUM(FL$4:FL7,FJ$4:FJ7,FH$4:FH7))</f>
        <v>0</v>
      </c>
      <c r="FO7" s="200" t="str">
        <f t="shared" si="75"/>
        <v/>
      </c>
      <c r="FP7" s="200">
        <f>IF($J7="",#N/A,SUM(FO$4:FO7))</f>
        <v>0</v>
      </c>
      <c r="FQ7" s="201" t="str">
        <f t="shared" si="76"/>
        <v/>
      </c>
      <c r="FR7" s="201">
        <f>IF($J7="",#N/A,SUM(FQ$4:FQ7))</f>
        <v>0</v>
      </c>
      <c r="FS7" s="202" t="str">
        <f t="shared" si="77"/>
        <v/>
      </c>
      <c r="FT7" s="202">
        <f>IF($J7="",#N/A,SUM(FS$4:FS7))</f>
        <v>0</v>
      </c>
      <c r="FU7" s="202">
        <f>IF($J7="",#N/A,SUM(FS$4:FS7,FQ$4:FQ7,FO$4:FO7))</f>
        <v>0</v>
      </c>
      <c r="FV7" s="200" t="str">
        <f t="shared" si="78"/>
        <v/>
      </c>
      <c r="FW7" s="200">
        <f>IF($J7="",#N/A,SUM(FV$4:FV7))</f>
        <v>0</v>
      </c>
      <c r="FX7" s="201" t="str">
        <f t="shared" si="79"/>
        <v/>
      </c>
      <c r="FY7" s="201">
        <f>IF($J7="",#N/A,SUM(FX$4:FX7))</f>
        <v>0</v>
      </c>
      <c r="FZ7" s="202" t="str">
        <f t="shared" si="80"/>
        <v/>
      </c>
      <c r="GA7" s="202">
        <f>IF($J7="",#N/A,SUM(FZ$4:FZ7))</f>
        <v>0</v>
      </c>
      <c r="GB7" s="202">
        <f>IF($J7="",#N/A,SUM(FZ$4:FZ7,FX$4:FX7,FV$4:FV7))</f>
        <v>0</v>
      </c>
      <c r="GC7" s="200" t="str">
        <f t="shared" si="81"/>
        <v/>
      </c>
      <c r="GD7" s="200">
        <f>IF($J7="",#N/A,SUM(GC$4:GC7))</f>
        <v>0</v>
      </c>
      <c r="GE7" s="201" t="str">
        <f t="shared" si="82"/>
        <v/>
      </c>
      <c r="GF7" s="201">
        <f>IF($J7="",#N/A,SUM(GE$4:GE7))</f>
        <v>0</v>
      </c>
      <c r="GG7" s="202" t="str">
        <f t="shared" si="83"/>
        <v/>
      </c>
      <c r="GH7" s="202">
        <f>IF($J7="",#N/A,SUM(GG$4:GG7))</f>
        <v>0</v>
      </c>
      <c r="GI7" s="202">
        <f>IF($J7="",#N/A,SUM(GG$4:GG7,GE$4:GE7,GC$4:GC7))</f>
        <v>0</v>
      </c>
      <c r="GJ7" s="200" t="str">
        <f t="shared" si="84"/>
        <v/>
      </c>
      <c r="GK7" s="200">
        <f>IF($J7="",#N/A,SUM(GJ$4:GJ7))</f>
        <v>0</v>
      </c>
      <c r="GL7" s="201" t="str">
        <f t="shared" si="85"/>
        <v/>
      </c>
      <c r="GM7" s="201">
        <f>IF($J7="",#N/A,SUM(GL$4:GL7))</f>
        <v>0</v>
      </c>
      <c r="GN7" s="202" t="str">
        <f t="shared" si="86"/>
        <v/>
      </c>
      <c r="GO7" s="202">
        <f>IF($J7="",#N/A,SUM(GN$4:GN7))</f>
        <v>0</v>
      </c>
      <c r="GP7" s="202">
        <f>IF($J7="",#N/A,SUM(GN$4:GN7,GL$4:GL7,GJ$4:GJ7))</f>
        <v>0</v>
      </c>
      <c r="GS7" s="54">
        <f t="shared" si="105"/>
        <v>-0.41461997570379494</v>
      </c>
      <c r="GT7" s="54">
        <f>IF(GS7="",NA(),SUM($GS$4:GS7))</f>
        <v>-0.27293129519335796</v>
      </c>
      <c r="GU7" s="54" t="str">
        <f t="shared" si="87"/>
        <v/>
      </c>
      <c r="GV7" s="54" t="e">
        <f>IF(GU7="",NA(),SUM($GU$4:GU7))</f>
        <v>#N/A</v>
      </c>
      <c r="GW7" s="54">
        <f t="shared" si="88"/>
        <v>-0.41461997570379494</v>
      </c>
      <c r="GX7" s="54">
        <f>IF(GW7="",NA(),SUM($GW$4:GW7))</f>
        <v>-0.47332867780116666</v>
      </c>
      <c r="GY7" s="54" t="str">
        <f t="shared" si="89"/>
        <v/>
      </c>
      <c r="GZ7" s="54" t="e">
        <f>IF(GY7="",NA(),SUM($GY$4:GY7))</f>
        <v>#N/A</v>
      </c>
      <c r="HA7" s="54" t="str">
        <f t="shared" si="90"/>
        <v/>
      </c>
      <c r="HB7" s="54" t="e">
        <f>IF(HA7="",NA(),SUM($HA$4:HA7))</f>
        <v>#N/A</v>
      </c>
      <c r="HC7" s="54" t="str">
        <f t="shared" si="91"/>
        <v/>
      </c>
      <c r="HD7" s="54" t="e">
        <f>IF(HC7="",NA(),SUM($HC$4:HC7))</f>
        <v>#N/A</v>
      </c>
      <c r="HE7" s="54" t="str">
        <f t="shared" si="92"/>
        <v/>
      </c>
      <c r="HF7" s="54" t="e">
        <f>IF(HE7="",NA(),SUM($HE$4:HE7))</f>
        <v>#N/A</v>
      </c>
      <c r="HG7" s="54" t="str">
        <f t="shared" si="93"/>
        <v/>
      </c>
      <c r="HH7" s="54" t="e">
        <f>IF(HG7="",NA(),SUM($HG$4:HG7))</f>
        <v>#N/A</v>
      </c>
      <c r="HI7" s="172" t="str">
        <f t="shared" si="106"/>
        <v/>
      </c>
      <c r="HJ7" s="181">
        <f>IF($J7="",#N/A,SUM(HI$4:$HI7))</f>
        <v>-0.80152671755725302</v>
      </c>
      <c r="HK7" s="54" t="str">
        <f t="shared" si="94"/>
        <v/>
      </c>
      <c r="HL7" s="54">
        <f>IF($J7="",#N/A,SUM($HK$4:HK7))</f>
        <v>-3.4652545522110731</v>
      </c>
      <c r="HM7" s="54" t="str">
        <f t="shared" si="95"/>
        <v/>
      </c>
      <c r="HN7" s="54">
        <f>IF($J7="",#N/A,SUM($HM$4:HM7))</f>
        <v>0</v>
      </c>
      <c r="HO7" s="54" t="str">
        <f t="shared" si="96"/>
        <v/>
      </c>
      <c r="HP7" s="54">
        <f>IF($J7="",#N/A,SUM($HO$4:HO7))</f>
        <v>0</v>
      </c>
      <c r="HQ7" s="54" t="str">
        <f t="shared" si="97"/>
        <v/>
      </c>
      <c r="HR7" s="54">
        <f>IF($J7="",#N/A,SUM($HQ$4:HQ7))</f>
        <v>0</v>
      </c>
      <c r="HS7" s="54">
        <f t="shared" si="98"/>
        <v>0.25616648180425727</v>
      </c>
      <c r="HT7" s="54">
        <f>IF($J7="",#N/A,SUM($HS$4:HS7))</f>
        <v>0.98195281148297442</v>
      </c>
      <c r="HU7" s="65">
        <f t="shared" si="99"/>
        <v>-0.15845349389953767</v>
      </c>
      <c r="HV7" s="65">
        <f>IF($J7="",#N/A,SUM(HU$4:$HU7))</f>
        <v>-3.5577597534787095</v>
      </c>
    </row>
    <row r="8" spans="1:230" x14ac:dyDescent="0.25">
      <c r="A8" s="51" t="s">
        <v>1308</v>
      </c>
      <c r="B8" s="52" t="s">
        <v>4477</v>
      </c>
      <c r="C8" s="229">
        <f t="shared" si="0"/>
        <v>3</v>
      </c>
      <c r="D8" s="219" t="str">
        <f>_xlfn.XLOOKUP(A8,[1]SP500!$A$2:$A$502,[1]SP500!$D$2:$D$502,"N")</f>
        <v>Y</v>
      </c>
      <c r="E8" s="51" t="str">
        <f>IFERROR(_xlfn.XLOOKUP(A8,[1]SP500!$A$2:$A$655,[1]SP500!$B$2:$B$655),"")</f>
        <v>XLF</v>
      </c>
      <c r="F8" s="53">
        <v>45758</v>
      </c>
      <c r="G8" s="51" t="str">
        <f t="shared" si="1"/>
        <v>BMO</v>
      </c>
      <c r="H8" s="51" t="str">
        <f t="shared" si="2"/>
        <v>s</v>
      </c>
      <c r="I8" s="343">
        <v>858.78</v>
      </c>
      <c r="J8" s="123">
        <v>848.17</v>
      </c>
      <c r="K8" s="55">
        <f t="shared" si="3"/>
        <v>-1.2354735787978311E-2</v>
      </c>
      <c r="L8" s="67">
        <f t="shared" si="4"/>
        <v>-10.610000000000014</v>
      </c>
      <c r="M8" s="57">
        <f t="shared" si="5"/>
        <v>0</v>
      </c>
      <c r="N8" s="155">
        <f t="shared" si="6"/>
        <v>-10.610000000000014</v>
      </c>
      <c r="O8" s="156">
        <f>IF(N8="",#N/A,SUM($N$4:N8))</f>
        <v>-27.379999999999768</v>
      </c>
      <c r="P8" s="65">
        <f t="shared" si="100"/>
        <v>-0.20591226313297187</v>
      </c>
      <c r="Q8" s="172">
        <f>IF($N8="",#N/A,SUM($P$4:P8))</f>
        <v>-0.47884355832632985</v>
      </c>
      <c r="R8" s="279">
        <f t="shared" si="7"/>
        <v>-0.18977312633524362</v>
      </c>
      <c r="S8" s="51" t="str">
        <f t="shared" si="8"/>
        <v>SW</v>
      </c>
      <c r="T8" s="51" t="s">
        <v>2828</v>
      </c>
      <c r="U8" s="56">
        <f t="shared" si="9"/>
        <v>858.78</v>
      </c>
      <c r="V8" s="56" t="s">
        <v>4460</v>
      </c>
      <c r="W8" s="142">
        <v>1</v>
      </c>
      <c r="X8" s="145">
        <f t="shared" si="10"/>
        <v>858.78</v>
      </c>
      <c r="Y8" s="140">
        <f t="shared" si="11"/>
        <v>1</v>
      </c>
      <c r="Z8" s="123">
        <v>848.17</v>
      </c>
      <c r="AA8" s="102">
        <f t="shared" si="12"/>
        <v>-10.610000000000014</v>
      </c>
      <c r="AB8" s="102">
        <f t="shared" si="13"/>
        <v>20</v>
      </c>
      <c r="AC8" s="124">
        <v>878.78</v>
      </c>
      <c r="AD8" s="155">
        <f t="shared" si="14"/>
        <v>20</v>
      </c>
      <c r="AE8" s="545">
        <f t="shared" si="15"/>
        <v>0.38814752711210482</v>
      </c>
      <c r="AF8" s="57">
        <f>IF($AC8="",#N/A,SUM(AD$4:AD8))</f>
        <v>-207.54999999999973</v>
      </c>
      <c r="AG8" s="102">
        <f t="shared" si="16"/>
        <v>30.610000000000014</v>
      </c>
      <c r="AH8" s="56" t="s">
        <v>2507</v>
      </c>
      <c r="AI8" s="65">
        <f t="shared" si="17"/>
        <v>-0.20591226313297187</v>
      </c>
      <c r="AJ8" s="54">
        <f>IF(AI8="",#N/A,SUM($AI$4:AI8))</f>
        <v>-0.28907043199108623</v>
      </c>
      <c r="AK8" s="57">
        <f t="shared" si="18"/>
        <v>-10.610000000000014</v>
      </c>
      <c r="AL8" s="58">
        <f>IF(AI8="",#N/A,IF(AH8="Skip",SUM($AK$4:AK8),SUM($AK$4:AK8)))</f>
        <v>-15.120000000000005</v>
      </c>
      <c r="AM8" s="65">
        <f t="shared" si="101"/>
        <v>0.38814752711210482</v>
      </c>
      <c r="AN8" s="209"/>
      <c r="AO8" s="65">
        <f t="shared" si="19"/>
        <v>0.38814752711210482</v>
      </c>
      <c r="AP8" s="65">
        <f>IF($AC8="",#N/A,SUM(AO$4:AO8))</f>
        <v>0.89677166079391268</v>
      </c>
      <c r="AQ8" s="65" t="str">
        <f t="shared" si="20"/>
        <v/>
      </c>
      <c r="AR8" s="65">
        <f>IF($AC8="",#N/A,SUM(AQ$4:AQ8))</f>
        <v>0</v>
      </c>
      <c r="AS8" s="65" t="str">
        <f t="shared" si="21"/>
        <v/>
      </c>
      <c r="AT8" s="65">
        <f>IF($AC8="",#N/A,SUM(AS$4:AS8))</f>
        <v>-4.0663838871605176</v>
      </c>
      <c r="AU8" s="57">
        <f t="shared" si="102"/>
        <v>20</v>
      </c>
      <c r="AV8" s="57">
        <f>IF($AC8="",#N/A,SUM(AU$4:AU8))</f>
        <v>55.25</v>
      </c>
      <c r="AW8" s="57" t="str">
        <f t="shared" si="103"/>
        <v/>
      </c>
      <c r="AX8" s="57">
        <f>IF($AC8="",#N/A,SUM(AW$4:AW8))</f>
        <v>0</v>
      </c>
      <c r="AY8" s="56" t="str">
        <f t="shared" si="104"/>
        <v/>
      </c>
      <c r="AZ8" s="57">
        <f>IF($AC8="",#N/A,SUM(AY$4:AY8))</f>
        <v>-262.79999999999973</v>
      </c>
      <c r="BA8" s="57">
        <f>IF(AD8="",#N/A,SUM($AD$4:AD8))</f>
        <v>-207.54999999999973</v>
      </c>
      <c r="BC8" s="51" t="str">
        <f t="shared" si="22"/>
        <v/>
      </c>
      <c r="BD8" s="51" t="str">
        <f t="shared" si="23"/>
        <v/>
      </c>
      <c r="BE8" s="51" t="str">
        <f t="shared" si="24"/>
        <v/>
      </c>
      <c r="BF8" s="51" t="str">
        <f t="shared" si="25"/>
        <v>Long</v>
      </c>
      <c r="BG8" s="51" t="str">
        <f t="shared" si="26"/>
        <v/>
      </c>
      <c r="BH8" s="51" t="str">
        <f t="shared" si="27"/>
        <v/>
      </c>
      <c r="BI8" s="51">
        <f t="shared" si="28"/>
        <v>1</v>
      </c>
      <c r="BK8" s="184"/>
      <c r="BL8" s="184"/>
      <c r="BM8" s="184"/>
      <c r="BO8" s="489">
        <f>IF(J8="",#N/A,IF(S8="SW",(COUNTIFS(K$4:$K8,"&gt;0",S$4:$S8,"SW")/COUNTIF(S$4:$S8,"SW")),#N/A))</f>
        <v>0</v>
      </c>
      <c r="BP8" s="489" t="e">
        <f>IF($J8="",#N/A,IF($S8="DWN",(COUNTIFS($K$4:$K8,"&lt;0",$S$4:$S8,"DWN")/COUNTIF($S$4:$S8,"DWN")),#N/A))</f>
        <v>#N/A</v>
      </c>
      <c r="BQ8" s="489" t="e">
        <f>IF($J8="",#N/A,IF($S8="UP",(COUNTIFS($K$4:$K8,"&gt;0",$S$4:$S8,"UP")/COUNTIF($S$4:$S8,"UP")),#N/A))</f>
        <v>#N/A</v>
      </c>
      <c r="BR8" s="489">
        <f>IF(J8="",#N/A,COUNTIF($K$4:K8,"&gt;0")/COUNT($J$4:J8))</f>
        <v>0.2</v>
      </c>
      <c r="BS8" s="65" t="str">
        <f t="shared" si="29"/>
        <v/>
      </c>
      <c r="BT8" s="65">
        <f t="shared" si="30"/>
        <v>-0.20591226313297187</v>
      </c>
      <c r="BU8" s="65" t="str">
        <f t="shared" si="31"/>
        <v/>
      </c>
      <c r="BV8" s="65" t="str">
        <f t="shared" si="32"/>
        <v/>
      </c>
      <c r="BW8" s="151" t="str">
        <f t="shared" si="33"/>
        <v/>
      </c>
      <c r="BX8" s="151">
        <f>IF($J8="",#N/A,SUM($BW$4:BW8))</f>
        <v>0</v>
      </c>
      <c r="BY8" s="152" t="str">
        <f t="shared" si="34"/>
        <v/>
      </c>
      <c r="BZ8" s="152">
        <f>IF($J8="",#N/A,SUM($BY$4:BY8))</f>
        <v>13.9200000000003</v>
      </c>
      <c r="CA8" s="153">
        <f t="shared" si="35"/>
        <v>-10.610000000000014</v>
      </c>
      <c r="CB8" s="154">
        <f>IF($J8="",#N/A,SUM($CA$4:CA8))</f>
        <v>-41.300000000000068</v>
      </c>
      <c r="CC8" s="191" t="str">
        <f t="shared" si="36"/>
        <v/>
      </c>
      <c r="CD8" s="191">
        <f>IF($J8="",#N/A,SUM($CC$4:CC8))</f>
        <v>0</v>
      </c>
      <c r="CE8" s="192" t="str">
        <f t="shared" si="37"/>
        <v/>
      </c>
      <c r="CF8" s="192">
        <f>IF($J8="",#N/A,SUM($CE$4:CE8))</f>
        <v>0.20039738260780871</v>
      </c>
      <c r="CG8" s="193">
        <f t="shared" si="38"/>
        <v>-0.20591226313297187</v>
      </c>
      <c r="CH8" s="193">
        <f>IF($J8="",#N/A,SUM($CG$4:CG8))</f>
        <v>-0.67924094093413856</v>
      </c>
      <c r="CI8" s="200" t="str">
        <f t="shared" si="39"/>
        <v/>
      </c>
      <c r="CJ8" s="200">
        <f>IF($J8="",#N/A,SUM(CI$4:CI8))</f>
        <v>0</v>
      </c>
      <c r="CK8" s="201" t="str">
        <f t="shared" si="40"/>
        <v/>
      </c>
      <c r="CL8" s="201">
        <f>IF($J8="",#N/A,SUM(CK$4:CK8))</f>
        <v>0</v>
      </c>
      <c r="CM8" s="202" t="str">
        <f t="shared" si="41"/>
        <v/>
      </c>
      <c r="CN8" s="202">
        <f>IF($J8="",#N/A,SUM(CM$4:CM8))</f>
        <v>0</v>
      </c>
      <c r="CO8" s="202">
        <f>IF($J8="",#N/A,SUM(CM$4:CM8,CK$4:CK8,CI$4:CI8))</f>
        <v>0</v>
      </c>
      <c r="CP8" s="200" t="str">
        <f t="shared" si="42"/>
        <v/>
      </c>
      <c r="CQ8" s="200">
        <f>IF($J8="",#N/A,SUM(CP$4:CP8))</f>
        <v>0</v>
      </c>
      <c r="CR8" s="201" t="str">
        <f t="shared" si="43"/>
        <v/>
      </c>
      <c r="CS8" s="201">
        <f>IF($J8="",#N/A,SUM(CR$4:CR8))</f>
        <v>0</v>
      </c>
      <c r="CT8" s="202" t="str">
        <f t="shared" si="44"/>
        <v/>
      </c>
      <c r="CU8" s="202">
        <f>IF($J8="",#N/A,SUM(CT$4:CT8))</f>
        <v>0</v>
      </c>
      <c r="CV8" s="202">
        <f>IF($J8="",#N/A,SUM(CT$4:CT8,CR$4:CR8,CP$4:CP8))</f>
        <v>0</v>
      </c>
      <c r="CW8" s="200" t="str">
        <f t="shared" si="45"/>
        <v/>
      </c>
      <c r="CX8" s="200">
        <f>IF($J8="",#N/A,SUM(CW$4:CW8))</f>
        <v>0</v>
      </c>
      <c r="CY8" s="201" t="str">
        <f t="shared" si="46"/>
        <v/>
      </c>
      <c r="CZ8" s="201">
        <f>IF($J8="",#N/A,SUM(CY$4:CY8))</f>
        <v>0</v>
      </c>
      <c r="DA8" s="202" t="str">
        <f t="shared" si="47"/>
        <v/>
      </c>
      <c r="DB8" s="202">
        <f>IF($J8="",#N/A,SUM(DA$4:DA8))</f>
        <v>0</v>
      </c>
      <c r="DC8" s="202">
        <f>IF($J8="",#N/A,SUM(DA$4:DA8,CY$4:CY8,CW$4:CW8))</f>
        <v>0</v>
      </c>
      <c r="DD8" s="200" t="str">
        <f t="shared" si="48"/>
        <v/>
      </c>
      <c r="DE8" s="200">
        <f>IF($J8="",#N/A,SUM(DD$4:DD8))</f>
        <v>0</v>
      </c>
      <c r="DF8" s="201" t="str">
        <f t="shared" si="49"/>
        <v/>
      </c>
      <c r="DG8" s="201">
        <f>IF($J8="",#N/A,SUM(DF$4:DF8))</f>
        <v>0.6788440567066546</v>
      </c>
      <c r="DH8" s="202" t="str">
        <f t="shared" si="50"/>
        <v/>
      </c>
      <c r="DI8" s="202">
        <f>IF($J8="",#N/A,SUM(DH$4:DH8))</f>
        <v>0</v>
      </c>
      <c r="DJ8" s="202">
        <f>IF($J8="",#N/A,SUM(DH$4:DH8,DF$4:DF8,DD$4:DD8))</f>
        <v>0.6788440567066546</v>
      </c>
      <c r="DK8" s="200" t="str">
        <f t="shared" si="51"/>
        <v/>
      </c>
      <c r="DL8" s="200">
        <f>IF($J8="",#N/A,SUM(DK$4:DK8))</f>
        <v>0</v>
      </c>
      <c r="DM8" s="201" t="str">
        <f t="shared" si="52"/>
        <v/>
      </c>
      <c r="DN8" s="201">
        <f>IF($J8="",#N/A,SUM(DM$4:DM8))</f>
        <v>0</v>
      </c>
      <c r="DO8" s="202" t="str">
        <f t="shared" si="53"/>
        <v/>
      </c>
      <c r="DP8" s="202">
        <f>IF($J8="",#N/A,SUM(DO$4:DO8))</f>
        <v>0</v>
      </c>
      <c r="DQ8" s="202">
        <f>IF($J8="",#N/A,SUM(DO$4:DO8,DM$4:DM8,DK$4:DK8))</f>
        <v>0</v>
      </c>
      <c r="DR8" s="200" t="str">
        <f t="shared" si="54"/>
        <v/>
      </c>
      <c r="DS8" s="200">
        <f>IF($J8="",#N/A,SUM(DR$4:DR8))</f>
        <v>0</v>
      </c>
      <c r="DT8" s="201" t="str">
        <f t="shared" si="55"/>
        <v/>
      </c>
      <c r="DU8" s="201">
        <f>IF($J8="",#N/A,SUM(DT$4:DT8))</f>
        <v>0</v>
      </c>
      <c r="DV8" s="202">
        <f t="shared" si="56"/>
        <v>-0.20591226313297187</v>
      </c>
      <c r="DW8" s="202">
        <f>IF($J8="",#N/A,SUM(DV$4:DV8))</f>
        <v>-0.67924094093413856</v>
      </c>
      <c r="DX8" s="202">
        <f>IF($J8="",#N/A,SUM(DV$4:DV8,DT$4:DT8,DR$4:DR8))</f>
        <v>-0.67924094093413856</v>
      </c>
      <c r="DY8" s="200" t="str">
        <f t="shared" si="57"/>
        <v/>
      </c>
      <c r="DZ8" s="200">
        <f>IF($J8="",#N/A,SUM(DY$4:DY8))</f>
        <v>0</v>
      </c>
      <c r="EA8" s="201" t="str">
        <f t="shared" si="58"/>
        <v/>
      </c>
      <c r="EB8" s="201">
        <f>IF($J8="",#N/A,SUM(EA$4:EA8))</f>
        <v>-0.47844667409884589</v>
      </c>
      <c r="EC8" s="202" t="str">
        <f t="shared" si="59"/>
        <v/>
      </c>
      <c r="ED8" s="202">
        <f>IF($J8="",#N/A,SUM(EC$4:EC8))</f>
        <v>0</v>
      </c>
      <c r="EE8" s="202">
        <f>IF($J8="",#N/A,SUM(EC$4:EC8,EA$4:EA8,DY$4:DY8))</f>
        <v>-0.47844667409884589</v>
      </c>
      <c r="EF8" s="200" t="str">
        <f t="shared" si="60"/>
        <v/>
      </c>
      <c r="EG8" s="200">
        <f>IF($J8="",#N/A,SUM(EF$4:EF8))</f>
        <v>0</v>
      </c>
      <c r="EH8" s="201" t="str">
        <f t="shared" si="61"/>
        <v/>
      </c>
      <c r="EI8" s="201">
        <f>IF($J8="",#N/A,SUM(EH$4:EH8))</f>
        <v>0</v>
      </c>
      <c r="EJ8" s="202" t="str">
        <f t="shared" si="62"/>
        <v/>
      </c>
      <c r="EK8" s="202">
        <f>IF($J8="",#N/A,SUM(EJ$4:EJ8))</f>
        <v>0</v>
      </c>
      <c r="EL8" s="202">
        <f>IF($J8="",#N/A,SUM(EJ$4:EJ8,EH$4:EH8,EF$4:EF8))</f>
        <v>0</v>
      </c>
      <c r="EM8" s="200" t="str">
        <f t="shared" si="63"/>
        <v/>
      </c>
      <c r="EN8" s="200">
        <f>IF($J8="",#N/A,SUM(EM$4:EM8))</f>
        <v>0</v>
      </c>
      <c r="EO8" s="201" t="str">
        <f t="shared" si="64"/>
        <v/>
      </c>
      <c r="EP8" s="201">
        <f>IF($J8="",#N/A,SUM(EO$4:EO8))</f>
        <v>0</v>
      </c>
      <c r="EQ8" s="202" t="str">
        <f t="shared" si="65"/>
        <v/>
      </c>
      <c r="ER8" s="202">
        <f>IF($J8="",#N/A,SUM(EQ$4:EQ8))</f>
        <v>0</v>
      </c>
      <c r="ES8" s="202">
        <f>IF($J8="",#N/A,SUM(EQ$4:EQ8,EO$4:EO8,EM$4:EM8))</f>
        <v>0</v>
      </c>
      <c r="ET8" s="200" t="str">
        <f t="shared" si="66"/>
        <v/>
      </c>
      <c r="EU8" s="200">
        <f>IF($J8="",#N/A,SUM(ET$4:ET8))</f>
        <v>0</v>
      </c>
      <c r="EV8" s="201" t="str">
        <f t="shared" si="67"/>
        <v/>
      </c>
      <c r="EW8" s="201">
        <f>IF($J8="",#N/A,SUM(EV$4:EV8))</f>
        <v>0</v>
      </c>
      <c r="EX8" s="202" t="str">
        <f t="shared" si="68"/>
        <v/>
      </c>
      <c r="EY8" s="202">
        <f>IF($J8="",#N/A,SUM(EX$4:EX8))</f>
        <v>0</v>
      </c>
      <c r="EZ8" s="202">
        <f>IF($J8="",#N/A,SUM(EX$4:EX8,EV$4:EV8,ET$4:ET8))</f>
        <v>0</v>
      </c>
      <c r="FA8" s="200" t="str">
        <f t="shared" si="69"/>
        <v/>
      </c>
      <c r="FB8" s="200">
        <f>IF($J8="",#N/A,SUM(FA$4:FA8))</f>
        <v>0</v>
      </c>
      <c r="FC8" s="201" t="str">
        <f t="shared" si="70"/>
        <v/>
      </c>
      <c r="FD8" s="201">
        <f>IF($J8="",#N/A,SUM(FC$4:FC8))</f>
        <v>0</v>
      </c>
      <c r="FE8" s="202" t="str">
        <f t="shared" si="71"/>
        <v/>
      </c>
      <c r="FF8" s="202">
        <f>IF($J8="",#N/A,SUM(FE$4:FE8))</f>
        <v>0</v>
      </c>
      <c r="FG8" s="202">
        <f>IF($J8="",#N/A,SUM(FE$4:FE8,FC$4:FC8,FA$4:FA8))</f>
        <v>0</v>
      </c>
      <c r="FH8" s="200" t="str">
        <f t="shared" si="72"/>
        <v/>
      </c>
      <c r="FI8" s="200">
        <f>IF($J8="",#N/A,SUM(FH$4:FH8))</f>
        <v>0</v>
      </c>
      <c r="FJ8" s="201" t="str">
        <f t="shared" si="73"/>
        <v/>
      </c>
      <c r="FK8" s="201">
        <f>IF($J8="",#N/A,SUM(FJ$4:FJ8))</f>
        <v>0</v>
      </c>
      <c r="FL8" s="202" t="str">
        <f t="shared" si="74"/>
        <v/>
      </c>
      <c r="FM8" s="202">
        <f>IF($J8="",#N/A,SUM(FL$4:FL8))</f>
        <v>0</v>
      </c>
      <c r="FN8" s="202">
        <f>IF($J8="",#N/A,SUM(FL$4:FL8,FJ$4:FJ8,FH$4:FH8))</f>
        <v>0</v>
      </c>
      <c r="FO8" s="200" t="str">
        <f t="shared" si="75"/>
        <v/>
      </c>
      <c r="FP8" s="200">
        <f>IF($J8="",#N/A,SUM(FO$4:FO8))</f>
        <v>0</v>
      </c>
      <c r="FQ8" s="201" t="str">
        <f t="shared" si="76"/>
        <v/>
      </c>
      <c r="FR8" s="201">
        <f>IF($J8="",#N/A,SUM(FQ$4:FQ8))</f>
        <v>0</v>
      </c>
      <c r="FS8" s="202" t="str">
        <f t="shared" si="77"/>
        <v/>
      </c>
      <c r="FT8" s="202">
        <f>IF($J8="",#N/A,SUM(FS$4:FS8))</f>
        <v>0</v>
      </c>
      <c r="FU8" s="202">
        <f>IF($J8="",#N/A,SUM(FS$4:FS8,FQ$4:FQ8,FO$4:FO8))</f>
        <v>0</v>
      </c>
      <c r="FV8" s="200" t="str">
        <f t="shared" si="78"/>
        <v/>
      </c>
      <c r="FW8" s="200">
        <f>IF($J8="",#N/A,SUM(FV$4:FV8))</f>
        <v>0</v>
      </c>
      <c r="FX8" s="201" t="str">
        <f t="shared" si="79"/>
        <v/>
      </c>
      <c r="FY8" s="201">
        <f>IF($J8="",#N/A,SUM(FX$4:FX8))</f>
        <v>0</v>
      </c>
      <c r="FZ8" s="202" t="str">
        <f t="shared" si="80"/>
        <v/>
      </c>
      <c r="GA8" s="202">
        <f>IF($J8="",#N/A,SUM(FZ$4:FZ8))</f>
        <v>0</v>
      </c>
      <c r="GB8" s="202">
        <f>IF($J8="",#N/A,SUM(FZ$4:FZ8,FX$4:FX8,FV$4:FV8))</f>
        <v>0</v>
      </c>
      <c r="GC8" s="200" t="str">
        <f t="shared" si="81"/>
        <v/>
      </c>
      <c r="GD8" s="200">
        <f>IF($J8="",#N/A,SUM(GC$4:GC8))</f>
        <v>0</v>
      </c>
      <c r="GE8" s="201" t="str">
        <f t="shared" si="82"/>
        <v/>
      </c>
      <c r="GF8" s="201">
        <f>IF($J8="",#N/A,SUM(GE$4:GE8))</f>
        <v>0</v>
      </c>
      <c r="GG8" s="202" t="str">
        <f t="shared" si="83"/>
        <v/>
      </c>
      <c r="GH8" s="202">
        <f>IF($J8="",#N/A,SUM(GG$4:GG8))</f>
        <v>0</v>
      </c>
      <c r="GI8" s="202">
        <f>IF($J8="",#N/A,SUM(GG$4:GG8,GE$4:GE8,GC$4:GC8))</f>
        <v>0</v>
      </c>
      <c r="GJ8" s="200" t="str">
        <f t="shared" si="84"/>
        <v/>
      </c>
      <c r="GK8" s="200">
        <f>IF($J8="",#N/A,SUM(GJ$4:GJ8))</f>
        <v>0</v>
      </c>
      <c r="GL8" s="201" t="str">
        <f t="shared" si="85"/>
        <v/>
      </c>
      <c r="GM8" s="201">
        <f>IF($J8="",#N/A,SUM(GL$4:GL8))</f>
        <v>0</v>
      </c>
      <c r="GN8" s="202" t="str">
        <f t="shared" si="86"/>
        <v/>
      </c>
      <c r="GO8" s="202">
        <f>IF($J8="",#N/A,SUM(GN$4:GN8))</f>
        <v>0</v>
      </c>
      <c r="GP8" s="202">
        <f>IF($J8="",#N/A,SUM(GN$4:GN8,GL$4:GL8,GJ$4:GJ8))</f>
        <v>0</v>
      </c>
      <c r="GS8" s="54">
        <f t="shared" si="105"/>
        <v>-0.20591226313297187</v>
      </c>
      <c r="GT8" s="54">
        <f>IF(GS8="",NA(),SUM($GS$4:GS8))</f>
        <v>-0.47884355832632985</v>
      </c>
      <c r="GU8" s="54" t="str">
        <f t="shared" si="87"/>
        <v/>
      </c>
      <c r="GV8" s="54" t="e">
        <f>IF(GU8="",NA(),SUM($GU$4:GU8))</f>
        <v>#N/A</v>
      </c>
      <c r="GW8" s="54">
        <f t="shared" si="88"/>
        <v>-0.20591226313297187</v>
      </c>
      <c r="GX8" s="54">
        <f>IF(GW8="",NA(),SUM($GW$4:GW8))</f>
        <v>-0.67924094093413856</v>
      </c>
      <c r="GY8" s="54" t="str">
        <f t="shared" si="89"/>
        <v/>
      </c>
      <c r="GZ8" s="54" t="e">
        <f>IF(GY8="",NA(),SUM($GY$4:GY8))</f>
        <v>#N/A</v>
      </c>
      <c r="HA8" s="54" t="str">
        <f t="shared" si="90"/>
        <v/>
      </c>
      <c r="HB8" s="54" t="e">
        <f>IF(HA8="",NA(),SUM($HA$4:HA8))</f>
        <v>#N/A</v>
      </c>
      <c r="HC8" s="54" t="str">
        <f t="shared" si="91"/>
        <v/>
      </c>
      <c r="HD8" s="54" t="e">
        <f>IF(HC8="",NA(),SUM($HC$4:HC8))</f>
        <v>#N/A</v>
      </c>
      <c r="HE8" s="54" t="str">
        <f t="shared" si="92"/>
        <v/>
      </c>
      <c r="HF8" s="54" t="e">
        <f>IF(HE8="",NA(),SUM($HE$4:HE8))</f>
        <v>#N/A</v>
      </c>
      <c r="HG8" s="54" t="str">
        <f t="shared" si="93"/>
        <v/>
      </c>
      <c r="HH8" s="54" t="e">
        <f>IF(HG8="",NA(),SUM($HG$4:HG8))</f>
        <v>#N/A</v>
      </c>
      <c r="HI8" s="172" t="str">
        <f t="shared" si="106"/>
        <v/>
      </c>
      <c r="HJ8" s="181">
        <f>IF($J8="",#N/A,SUM(HI$4:$HI8))</f>
        <v>-0.80152671755725302</v>
      </c>
      <c r="HK8" s="54" t="str">
        <f t="shared" si="94"/>
        <v/>
      </c>
      <c r="HL8" s="54">
        <f>IF($J8="",#N/A,SUM($HK$4:HK8))</f>
        <v>-3.4652545522110731</v>
      </c>
      <c r="HM8" s="54" t="str">
        <f t="shared" si="95"/>
        <v/>
      </c>
      <c r="HN8" s="54">
        <f>IF($J8="",#N/A,SUM($HM$4:HM8))</f>
        <v>0</v>
      </c>
      <c r="HO8" s="54" t="str">
        <f t="shared" si="96"/>
        <v/>
      </c>
      <c r="HP8" s="54">
        <f>IF($J8="",#N/A,SUM($HO$4:HO8))</f>
        <v>0</v>
      </c>
      <c r="HQ8" s="54" t="str">
        <f t="shared" si="97"/>
        <v/>
      </c>
      <c r="HR8" s="54">
        <f>IF($J8="",#N/A,SUM($HQ$4:HQ8))</f>
        <v>0</v>
      </c>
      <c r="HS8" s="54">
        <f t="shared" si="98"/>
        <v>0.59405979024507671</v>
      </c>
      <c r="HT8" s="54">
        <f>IF($J8="",#N/A,SUM($HS$4:HS8))</f>
        <v>1.5760126017280511</v>
      </c>
      <c r="HU8" s="65">
        <f t="shared" si="99"/>
        <v>0.38814752711210482</v>
      </c>
      <c r="HV8" s="65">
        <f>IF($J8="",#N/A,SUM(HU$4:$HU8))</f>
        <v>-3.1696122263666049</v>
      </c>
    </row>
    <row r="9" spans="1:230" x14ac:dyDescent="0.25">
      <c r="A9" s="51" t="s">
        <v>1396</v>
      </c>
      <c r="B9" s="52" t="s">
        <v>4477</v>
      </c>
      <c r="C9" s="229">
        <f t="shared" si="0"/>
        <v>3</v>
      </c>
      <c r="D9" s="219" t="str">
        <f>_xlfn.XLOOKUP(A9,[1]SP500!$A$2:$A$502,[1]SP500!$D$2:$D$502,"N")</f>
        <v>Y</v>
      </c>
      <c r="E9" s="51" t="str">
        <f>IFERROR(_xlfn.XLOOKUP(A9,[1]SP500!$A$2:$A$655,[1]SP500!$B$2:$B$655),"")</f>
        <v>XLF</v>
      </c>
      <c r="F9" s="53">
        <v>45758</v>
      </c>
      <c r="G9" s="51" t="str">
        <f t="shared" si="1"/>
        <v>BMO</v>
      </c>
      <c r="H9" s="51" t="str">
        <f t="shared" si="2"/>
        <v>s</v>
      </c>
      <c r="I9" s="344">
        <v>76.61</v>
      </c>
      <c r="J9" s="124">
        <v>73.61</v>
      </c>
      <c r="K9" s="55">
        <f t="shared" si="3"/>
        <v>-3.915937867119175E-2</v>
      </c>
      <c r="L9" s="67">
        <f t="shared" si="4"/>
        <v>-42</v>
      </c>
      <c r="M9" s="57">
        <f t="shared" si="5"/>
        <v>0</v>
      </c>
      <c r="N9" s="155">
        <f t="shared" si="6"/>
        <v>-42</v>
      </c>
      <c r="O9" s="156">
        <f>IF(N9="",#N/A,SUM($N$4:N9))</f>
        <v>-69.379999999999768</v>
      </c>
      <c r="P9" s="65">
        <f t="shared" si="100"/>
        <v>-0.65265631118652934</v>
      </c>
      <c r="Q9" s="172">
        <f>IF($N9="",#N/A,SUM($P$4:P9))</f>
        <v>-1.1314998695128593</v>
      </c>
      <c r="R9" s="279">
        <f t="shared" si="7"/>
        <v>-0.18977312633524379</v>
      </c>
      <c r="S9" s="51" t="str">
        <f t="shared" si="8"/>
        <v>SW</v>
      </c>
      <c r="T9" s="51" t="s">
        <v>2828</v>
      </c>
      <c r="U9" s="56">
        <f t="shared" si="9"/>
        <v>76.61</v>
      </c>
      <c r="V9" s="56" t="s">
        <v>4460</v>
      </c>
      <c r="W9" s="142">
        <v>14</v>
      </c>
      <c r="X9" s="145">
        <f t="shared" si="10"/>
        <v>1072.54</v>
      </c>
      <c r="Y9" s="140">
        <f t="shared" si="11"/>
        <v>14</v>
      </c>
      <c r="Z9" s="123">
        <v>73.61</v>
      </c>
      <c r="AA9" s="102">
        <f t="shared" si="12"/>
        <v>-42</v>
      </c>
      <c r="AB9" s="102">
        <f t="shared" si="13"/>
        <v>14.840000000000146</v>
      </c>
      <c r="AC9" s="124">
        <v>77.67</v>
      </c>
      <c r="AD9" s="155">
        <f t="shared" si="14"/>
        <v>14.840000000000146</v>
      </c>
      <c r="AE9" s="545">
        <f t="shared" si="15"/>
        <v>0.23060522995257593</v>
      </c>
      <c r="AF9" s="57">
        <f>IF($AC9="",#N/A,SUM(AD$4:AD9))</f>
        <v>-192.70999999999958</v>
      </c>
      <c r="AG9" s="102">
        <f t="shared" si="16"/>
        <v>56.840000000000146</v>
      </c>
      <c r="AH9" s="56" t="s">
        <v>2507</v>
      </c>
      <c r="AI9" s="65">
        <f t="shared" si="17"/>
        <v>-0.65265631118652934</v>
      </c>
      <c r="AJ9" s="54">
        <f>IF(AI9="",#N/A,SUM($AI$4:AI9))</f>
        <v>-0.94172674317761551</v>
      </c>
      <c r="AK9" s="57">
        <f t="shared" si="18"/>
        <v>-42</v>
      </c>
      <c r="AL9" s="58">
        <f>IF(AI9="",#N/A,IF(AH9="Skip",SUM($AK$4:AK9),SUM($AK$4:AK9)))</f>
        <v>-57.120000000000005</v>
      </c>
      <c r="AM9" s="65">
        <f t="shared" si="101"/>
        <v>0.23060522995257593</v>
      </c>
      <c r="AN9" s="209"/>
      <c r="AO9" s="65">
        <f t="shared" si="19"/>
        <v>0.23060522995257593</v>
      </c>
      <c r="AP9" s="65">
        <f>IF($AC9="",#N/A,SUM(AO$4:AO9))</f>
        <v>1.1273768907464885</v>
      </c>
      <c r="AQ9" s="65" t="str">
        <f t="shared" si="20"/>
        <v/>
      </c>
      <c r="AR9" s="65">
        <f>IF($AC9="",#N/A,SUM(AQ$4:AQ9))</f>
        <v>0</v>
      </c>
      <c r="AS9" s="65" t="str">
        <f t="shared" si="21"/>
        <v/>
      </c>
      <c r="AT9" s="65">
        <f>IF($AC9="",#N/A,SUM(AS$4:AS9))</f>
        <v>-4.0663838871605176</v>
      </c>
      <c r="AU9" s="57">
        <f t="shared" si="102"/>
        <v>14.840000000000146</v>
      </c>
      <c r="AV9" s="57">
        <f>IF($AC9="",#N/A,SUM(AU$4:AU9))</f>
        <v>70.090000000000146</v>
      </c>
      <c r="AW9" s="57" t="str">
        <f t="shared" si="103"/>
        <v/>
      </c>
      <c r="AX9" s="57">
        <f>IF($AC9="",#N/A,SUM(AW$4:AW9))</f>
        <v>0</v>
      </c>
      <c r="AY9" s="56" t="str">
        <f t="shared" si="104"/>
        <v/>
      </c>
      <c r="AZ9" s="57">
        <f>IF($AC9="",#N/A,SUM(AY$4:AY9))</f>
        <v>-262.79999999999973</v>
      </c>
      <c r="BA9" s="57">
        <f>IF(AD9="",#N/A,SUM($AD$4:AD9))</f>
        <v>-192.70999999999958</v>
      </c>
      <c r="BC9" s="51" t="str">
        <f t="shared" si="22"/>
        <v/>
      </c>
      <c r="BD9" s="51" t="str">
        <f t="shared" si="23"/>
        <v/>
      </c>
      <c r="BE9" s="51" t="str">
        <f t="shared" si="24"/>
        <v/>
      </c>
      <c r="BF9" s="51" t="str">
        <f t="shared" si="25"/>
        <v>Long</v>
      </c>
      <c r="BG9" s="51" t="str">
        <f t="shared" si="26"/>
        <v/>
      </c>
      <c r="BH9" s="51" t="str">
        <f t="shared" si="27"/>
        <v/>
      </c>
      <c r="BI9" s="51">
        <f t="shared" si="28"/>
        <v>1</v>
      </c>
      <c r="BK9" s="184"/>
      <c r="BL9" s="184"/>
      <c r="BM9" s="184"/>
      <c r="BO9" s="489">
        <f>IF(J9="",#N/A,IF(S9="SW",(COUNTIFS(K$4:$K9,"&gt;0",S$4:$S9,"SW")/COUNTIF(S$4:$S9,"SW")),#N/A))</f>
        <v>0</v>
      </c>
      <c r="BP9" s="489" t="e">
        <f>IF($J9="",#N/A,IF($S9="DWN",(COUNTIFS($K$4:$K9,"&lt;0",$S$4:$S9,"DWN")/COUNTIF($S$4:$S9,"DWN")),#N/A))</f>
        <v>#N/A</v>
      </c>
      <c r="BQ9" s="489" t="e">
        <f>IF($J9="",#N/A,IF($S9="UP",(COUNTIFS($K$4:$K9,"&gt;0",$S$4:$S9,"UP")/COUNTIF($S$4:$S9,"UP")),#N/A))</f>
        <v>#N/A</v>
      </c>
      <c r="BR9" s="489">
        <f>IF(J9="",#N/A,COUNTIF($K$4:K9,"&gt;0")/COUNT($J$4:J9))</f>
        <v>0.16666666666666666</v>
      </c>
      <c r="BS9" s="65" t="str">
        <f t="shared" si="29"/>
        <v/>
      </c>
      <c r="BT9" s="65">
        <f t="shared" si="30"/>
        <v>-0.65265631118652934</v>
      </c>
      <c r="BU9" s="65" t="str">
        <f t="shared" si="31"/>
        <v/>
      </c>
      <c r="BV9" s="65" t="str">
        <f t="shared" si="32"/>
        <v/>
      </c>
      <c r="BW9" s="151" t="str">
        <f t="shared" si="33"/>
        <v/>
      </c>
      <c r="BX9" s="151">
        <f>IF($J9="",#N/A,SUM($BW$4:BW9))</f>
        <v>0</v>
      </c>
      <c r="BY9" s="152" t="str">
        <f t="shared" si="34"/>
        <v/>
      </c>
      <c r="BZ9" s="152">
        <f>IF($J9="",#N/A,SUM($BY$4:BY9))</f>
        <v>13.9200000000003</v>
      </c>
      <c r="CA9" s="153">
        <f t="shared" si="35"/>
        <v>-42</v>
      </c>
      <c r="CB9" s="154">
        <f>IF($J9="",#N/A,SUM($CA$4:CA9))</f>
        <v>-83.300000000000068</v>
      </c>
      <c r="CC9" s="191" t="str">
        <f t="shared" si="36"/>
        <v/>
      </c>
      <c r="CD9" s="191">
        <f>IF($J9="",#N/A,SUM($CC$4:CC9))</f>
        <v>0</v>
      </c>
      <c r="CE9" s="192" t="str">
        <f t="shared" si="37"/>
        <v/>
      </c>
      <c r="CF9" s="192">
        <f>IF($J9="",#N/A,SUM($CE$4:CE9))</f>
        <v>0.20039738260780871</v>
      </c>
      <c r="CG9" s="193">
        <f t="shared" si="38"/>
        <v>-0.65265631118652934</v>
      </c>
      <c r="CH9" s="193">
        <f>IF($J9="",#N/A,SUM($CG$4:CG9))</f>
        <v>-1.331897252120668</v>
      </c>
      <c r="CI9" s="200" t="str">
        <f t="shared" si="39"/>
        <v/>
      </c>
      <c r="CJ9" s="200">
        <f>IF($J9="",#N/A,SUM(CI$4:CI9))</f>
        <v>0</v>
      </c>
      <c r="CK9" s="201" t="str">
        <f t="shared" si="40"/>
        <v/>
      </c>
      <c r="CL9" s="201">
        <f>IF($J9="",#N/A,SUM(CK$4:CK9))</f>
        <v>0</v>
      </c>
      <c r="CM9" s="202" t="str">
        <f t="shared" si="41"/>
        <v/>
      </c>
      <c r="CN9" s="202">
        <f>IF($J9="",#N/A,SUM(CM$4:CM9))</f>
        <v>0</v>
      </c>
      <c r="CO9" s="202">
        <f>IF($J9="",#N/A,SUM(CM$4:CM9,CK$4:CK9,CI$4:CI9))</f>
        <v>0</v>
      </c>
      <c r="CP9" s="200" t="str">
        <f t="shared" si="42"/>
        <v/>
      </c>
      <c r="CQ9" s="200">
        <f>IF($J9="",#N/A,SUM(CP$4:CP9))</f>
        <v>0</v>
      </c>
      <c r="CR9" s="201" t="str">
        <f t="shared" si="43"/>
        <v/>
      </c>
      <c r="CS9" s="201">
        <f>IF($J9="",#N/A,SUM(CR$4:CR9))</f>
        <v>0</v>
      </c>
      <c r="CT9" s="202" t="str">
        <f t="shared" si="44"/>
        <v/>
      </c>
      <c r="CU9" s="202">
        <f>IF($J9="",#N/A,SUM(CT$4:CT9))</f>
        <v>0</v>
      </c>
      <c r="CV9" s="202">
        <f>IF($J9="",#N/A,SUM(CT$4:CT9,CR$4:CR9,CP$4:CP9))</f>
        <v>0</v>
      </c>
      <c r="CW9" s="200" t="str">
        <f t="shared" si="45"/>
        <v/>
      </c>
      <c r="CX9" s="200">
        <f>IF($J9="",#N/A,SUM(CW$4:CW9))</f>
        <v>0</v>
      </c>
      <c r="CY9" s="201" t="str">
        <f t="shared" si="46"/>
        <v/>
      </c>
      <c r="CZ9" s="201">
        <f>IF($J9="",#N/A,SUM(CY$4:CY9))</f>
        <v>0</v>
      </c>
      <c r="DA9" s="202" t="str">
        <f t="shared" si="47"/>
        <v/>
      </c>
      <c r="DB9" s="202">
        <f>IF($J9="",#N/A,SUM(DA$4:DA9))</f>
        <v>0</v>
      </c>
      <c r="DC9" s="202">
        <f>IF($J9="",#N/A,SUM(DA$4:DA9,CY$4:CY9,CW$4:CW9))</f>
        <v>0</v>
      </c>
      <c r="DD9" s="200" t="str">
        <f t="shared" si="48"/>
        <v/>
      </c>
      <c r="DE9" s="200">
        <f>IF($J9="",#N/A,SUM(DD$4:DD9))</f>
        <v>0</v>
      </c>
      <c r="DF9" s="201" t="str">
        <f t="shared" si="49"/>
        <v/>
      </c>
      <c r="DG9" s="201">
        <f>IF($J9="",#N/A,SUM(DF$4:DF9))</f>
        <v>0.6788440567066546</v>
      </c>
      <c r="DH9" s="202" t="str">
        <f t="shared" si="50"/>
        <v/>
      </c>
      <c r="DI9" s="202">
        <f>IF($J9="",#N/A,SUM(DH$4:DH9))</f>
        <v>0</v>
      </c>
      <c r="DJ9" s="202">
        <f>IF($J9="",#N/A,SUM(DH$4:DH9,DF$4:DF9,DD$4:DD9))</f>
        <v>0.6788440567066546</v>
      </c>
      <c r="DK9" s="200" t="str">
        <f t="shared" si="51"/>
        <v/>
      </c>
      <c r="DL9" s="200">
        <f>IF($J9="",#N/A,SUM(DK$4:DK9))</f>
        <v>0</v>
      </c>
      <c r="DM9" s="201" t="str">
        <f t="shared" si="52"/>
        <v/>
      </c>
      <c r="DN9" s="201">
        <f>IF($J9="",#N/A,SUM(DM$4:DM9))</f>
        <v>0</v>
      </c>
      <c r="DO9" s="202" t="str">
        <f t="shared" si="53"/>
        <v/>
      </c>
      <c r="DP9" s="202">
        <f>IF($J9="",#N/A,SUM(DO$4:DO9))</f>
        <v>0</v>
      </c>
      <c r="DQ9" s="202">
        <f>IF($J9="",#N/A,SUM(DO$4:DO9,DM$4:DM9,DK$4:DK9))</f>
        <v>0</v>
      </c>
      <c r="DR9" s="200" t="str">
        <f t="shared" si="54"/>
        <v/>
      </c>
      <c r="DS9" s="200">
        <f>IF($J9="",#N/A,SUM(DR$4:DR9))</f>
        <v>0</v>
      </c>
      <c r="DT9" s="201" t="str">
        <f t="shared" si="55"/>
        <v/>
      </c>
      <c r="DU9" s="201">
        <f>IF($J9="",#N/A,SUM(DT$4:DT9))</f>
        <v>0</v>
      </c>
      <c r="DV9" s="202">
        <f t="shared" si="56"/>
        <v>-0.65265631118652934</v>
      </c>
      <c r="DW9" s="202">
        <f>IF($J9="",#N/A,SUM(DV$4:DV9))</f>
        <v>-1.331897252120668</v>
      </c>
      <c r="DX9" s="202">
        <f>IF($J9="",#N/A,SUM(DV$4:DV9,DT$4:DT9,DR$4:DR9))</f>
        <v>-1.331897252120668</v>
      </c>
      <c r="DY9" s="200" t="str">
        <f t="shared" si="57"/>
        <v/>
      </c>
      <c r="DZ9" s="200">
        <f>IF($J9="",#N/A,SUM(DY$4:DY9))</f>
        <v>0</v>
      </c>
      <c r="EA9" s="201" t="str">
        <f t="shared" si="58"/>
        <v/>
      </c>
      <c r="EB9" s="201">
        <f>IF($J9="",#N/A,SUM(EA$4:EA9))</f>
        <v>-0.47844667409884589</v>
      </c>
      <c r="EC9" s="202" t="str">
        <f t="shared" si="59"/>
        <v/>
      </c>
      <c r="ED9" s="202">
        <f>IF($J9="",#N/A,SUM(EC$4:EC9))</f>
        <v>0</v>
      </c>
      <c r="EE9" s="202">
        <f>IF($J9="",#N/A,SUM(EC$4:EC9,EA$4:EA9,DY$4:DY9))</f>
        <v>-0.47844667409884589</v>
      </c>
      <c r="EF9" s="200" t="str">
        <f t="shared" si="60"/>
        <v/>
      </c>
      <c r="EG9" s="200">
        <f>IF($J9="",#N/A,SUM(EF$4:EF9))</f>
        <v>0</v>
      </c>
      <c r="EH9" s="201" t="str">
        <f t="shared" si="61"/>
        <v/>
      </c>
      <c r="EI9" s="201">
        <f>IF($J9="",#N/A,SUM(EH$4:EH9))</f>
        <v>0</v>
      </c>
      <c r="EJ9" s="202" t="str">
        <f t="shared" si="62"/>
        <v/>
      </c>
      <c r="EK9" s="202">
        <f>IF($J9="",#N/A,SUM(EJ$4:EJ9))</f>
        <v>0</v>
      </c>
      <c r="EL9" s="202">
        <f>IF($J9="",#N/A,SUM(EJ$4:EJ9,EH$4:EH9,EF$4:EF9))</f>
        <v>0</v>
      </c>
      <c r="EM9" s="200" t="str">
        <f t="shared" si="63"/>
        <v/>
      </c>
      <c r="EN9" s="200">
        <f>IF($J9="",#N/A,SUM(EM$4:EM9))</f>
        <v>0</v>
      </c>
      <c r="EO9" s="201" t="str">
        <f t="shared" si="64"/>
        <v/>
      </c>
      <c r="EP9" s="201">
        <f>IF($J9="",#N/A,SUM(EO$4:EO9))</f>
        <v>0</v>
      </c>
      <c r="EQ9" s="202" t="str">
        <f t="shared" si="65"/>
        <v/>
      </c>
      <c r="ER9" s="202">
        <f>IF($J9="",#N/A,SUM(EQ$4:EQ9))</f>
        <v>0</v>
      </c>
      <c r="ES9" s="202">
        <f>IF($J9="",#N/A,SUM(EQ$4:EQ9,EO$4:EO9,EM$4:EM9))</f>
        <v>0</v>
      </c>
      <c r="ET9" s="200" t="str">
        <f t="shared" si="66"/>
        <v/>
      </c>
      <c r="EU9" s="200">
        <f>IF($J9="",#N/A,SUM(ET$4:ET9))</f>
        <v>0</v>
      </c>
      <c r="EV9" s="201" t="str">
        <f t="shared" si="67"/>
        <v/>
      </c>
      <c r="EW9" s="201">
        <f>IF($J9="",#N/A,SUM(EV$4:EV9))</f>
        <v>0</v>
      </c>
      <c r="EX9" s="202" t="str">
        <f t="shared" si="68"/>
        <v/>
      </c>
      <c r="EY9" s="202">
        <f>IF($J9="",#N/A,SUM(EX$4:EX9))</f>
        <v>0</v>
      </c>
      <c r="EZ9" s="202">
        <f>IF($J9="",#N/A,SUM(EX$4:EX9,EV$4:EV9,ET$4:ET9))</f>
        <v>0</v>
      </c>
      <c r="FA9" s="200" t="str">
        <f t="shared" si="69"/>
        <v/>
      </c>
      <c r="FB9" s="200">
        <f>IF($J9="",#N/A,SUM(FA$4:FA9))</f>
        <v>0</v>
      </c>
      <c r="FC9" s="201" t="str">
        <f t="shared" si="70"/>
        <v/>
      </c>
      <c r="FD9" s="201">
        <f>IF($J9="",#N/A,SUM(FC$4:FC9))</f>
        <v>0</v>
      </c>
      <c r="FE9" s="202" t="str">
        <f t="shared" si="71"/>
        <v/>
      </c>
      <c r="FF9" s="202">
        <f>IF($J9="",#N/A,SUM(FE$4:FE9))</f>
        <v>0</v>
      </c>
      <c r="FG9" s="202">
        <f>IF($J9="",#N/A,SUM(FE$4:FE9,FC$4:FC9,FA$4:FA9))</f>
        <v>0</v>
      </c>
      <c r="FH9" s="200" t="str">
        <f t="shared" si="72"/>
        <v/>
      </c>
      <c r="FI9" s="200">
        <f>IF($J9="",#N/A,SUM(FH$4:FH9))</f>
        <v>0</v>
      </c>
      <c r="FJ9" s="201" t="str">
        <f t="shared" si="73"/>
        <v/>
      </c>
      <c r="FK9" s="201">
        <f>IF($J9="",#N/A,SUM(FJ$4:FJ9))</f>
        <v>0</v>
      </c>
      <c r="FL9" s="202" t="str">
        <f t="shared" si="74"/>
        <v/>
      </c>
      <c r="FM9" s="202">
        <f>IF($J9="",#N/A,SUM(FL$4:FL9))</f>
        <v>0</v>
      </c>
      <c r="FN9" s="202">
        <f>IF($J9="",#N/A,SUM(FL$4:FL9,FJ$4:FJ9,FH$4:FH9))</f>
        <v>0</v>
      </c>
      <c r="FO9" s="200" t="str">
        <f t="shared" si="75"/>
        <v/>
      </c>
      <c r="FP9" s="200">
        <f>IF($J9="",#N/A,SUM(FO$4:FO9))</f>
        <v>0</v>
      </c>
      <c r="FQ9" s="201" t="str">
        <f t="shared" si="76"/>
        <v/>
      </c>
      <c r="FR9" s="201">
        <f>IF($J9="",#N/A,SUM(FQ$4:FQ9))</f>
        <v>0</v>
      </c>
      <c r="FS9" s="202" t="str">
        <f t="shared" si="77"/>
        <v/>
      </c>
      <c r="FT9" s="202">
        <f>IF($J9="",#N/A,SUM(FS$4:FS9))</f>
        <v>0</v>
      </c>
      <c r="FU9" s="202">
        <f>IF($J9="",#N/A,SUM(FS$4:FS9,FQ$4:FQ9,FO$4:FO9))</f>
        <v>0</v>
      </c>
      <c r="FV9" s="200" t="str">
        <f t="shared" si="78"/>
        <v/>
      </c>
      <c r="FW9" s="200">
        <f>IF($J9="",#N/A,SUM(FV$4:FV9))</f>
        <v>0</v>
      </c>
      <c r="FX9" s="201" t="str">
        <f t="shared" si="79"/>
        <v/>
      </c>
      <c r="FY9" s="201">
        <f>IF($J9="",#N/A,SUM(FX$4:FX9))</f>
        <v>0</v>
      </c>
      <c r="FZ9" s="202" t="str">
        <f t="shared" si="80"/>
        <v/>
      </c>
      <c r="GA9" s="202">
        <f>IF($J9="",#N/A,SUM(FZ$4:FZ9))</f>
        <v>0</v>
      </c>
      <c r="GB9" s="202">
        <f>IF($J9="",#N/A,SUM(FZ$4:FZ9,FX$4:FX9,FV$4:FV9))</f>
        <v>0</v>
      </c>
      <c r="GC9" s="200" t="str">
        <f t="shared" si="81"/>
        <v/>
      </c>
      <c r="GD9" s="200">
        <f>IF($J9="",#N/A,SUM(GC$4:GC9))</f>
        <v>0</v>
      </c>
      <c r="GE9" s="201" t="str">
        <f t="shared" si="82"/>
        <v/>
      </c>
      <c r="GF9" s="201">
        <f>IF($J9="",#N/A,SUM(GE$4:GE9))</f>
        <v>0</v>
      </c>
      <c r="GG9" s="202" t="str">
        <f t="shared" si="83"/>
        <v/>
      </c>
      <c r="GH9" s="202">
        <f>IF($J9="",#N/A,SUM(GG$4:GG9))</f>
        <v>0</v>
      </c>
      <c r="GI9" s="202">
        <f>IF($J9="",#N/A,SUM(GG$4:GG9,GE$4:GE9,GC$4:GC9))</f>
        <v>0</v>
      </c>
      <c r="GJ9" s="200" t="str">
        <f t="shared" si="84"/>
        <v/>
      </c>
      <c r="GK9" s="200">
        <f>IF($J9="",#N/A,SUM(GJ$4:GJ9))</f>
        <v>0</v>
      </c>
      <c r="GL9" s="201" t="str">
        <f t="shared" si="85"/>
        <v/>
      </c>
      <c r="GM9" s="201">
        <f>IF($J9="",#N/A,SUM(GL$4:GL9))</f>
        <v>0</v>
      </c>
      <c r="GN9" s="202" t="str">
        <f t="shared" si="86"/>
        <v/>
      </c>
      <c r="GO9" s="202">
        <f>IF($J9="",#N/A,SUM(GN$4:GN9))</f>
        <v>0</v>
      </c>
      <c r="GP9" s="202">
        <f>IF($J9="",#N/A,SUM(GN$4:GN9,GL$4:GL9,GJ$4:GJ9))</f>
        <v>0</v>
      </c>
      <c r="GS9" s="54">
        <f t="shared" si="105"/>
        <v>-0.65265631118652934</v>
      </c>
      <c r="GT9" s="54">
        <f>IF(GS9="",NA(),SUM($GS$4:GS9))</f>
        <v>-1.1314998695128593</v>
      </c>
      <c r="GU9" s="54" t="str">
        <f t="shared" si="87"/>
        <v/>
      </c>
      <c r="GV9" s="54" t="e">
        <f>IF(GU9="",NA(),SUM($GU$4:GU9))</f>
        <v>#N/A</v>
      </c>
      <c r="GW9" s="54">
        <f t="shared" si="88"/>
        <v>-0.65265631118652934</v>
      </c>
      <c r="GX9" s="54">
        <f>IF(GW9="",NA(),SUM($GW$4:GW9))</f>
        <v>-1.331897252120668</v>
      </c>
      <c r="GY9" s="54" t="str">
        <f t="shared" si="89"/>
        <v/>
      </c>
      <c r="GZ9" s="54" t="e">
        <f>IF(GY9="",NA(),SUM($GY$4:GY9))</f>
        <v>#N/A</v>
      </c>
      <c r="HA9" s="54" t="str">
        <f t="shared" si="90"/>
        <v/>
      </c>
      <c r="HB9" s="54" t="e">
        <f>IF(HA9="",NA(),SUM($HA$4:HA9))</f>
        <v>#N/A</v>
      </c>
      <c r="HC9" s="54" t="str">
        <f t="shared" si="91"/>
        <v/>
      </c>
      <c r="HD9" s="54" t="e">
        <f>IF(HC9="",NA(),SUM($HC$4:HC9))</f>
        <v>#N/A</v>
      </c>
      <c r="HE9" s="54" t="str">
        <f t="shared" si="92"/>
        <v/>
      </c>
      <c r="HF9" s="54" t="e">
        <f>IF(HE9="",NA(),SUM($HE$4:HE9))</f>
        <v>#N/A</v>
      </c>
      <c r="HG9" s="54" t="str">
        <f t="shared" si="93"/>
        <v/>
      </c>
      <c r="HH9" s="54" t="e">
        <f>IF(HG9="",NA(),SUM($HG$4:HG9))</f>
        <v>#N/A</v>
      </c>
      <c r="HI9" s="172" t="str">
        <f t="shared" si="106"/>
        <v/>
      </c>
      <c r="HJ9" s="181">
        <f>IF($J9="",#N/A,SUM(HI$4:$HI9))</f>
        <v>-0.80152671755725302</v>
      </c>
      <c r="HK9" s="54" t="str">
        <f t="shared" si="94"/>
        <v/>
      </c>
      <c r="HL9" s="54">
        <f>IF($J9="",#N/A,SUM($HK$4:HK9))</f>
        <v>-3.4652545522110731</v>
      </c>
      <c r="HM9" s="54" t="str">
        <f t="shared" si="95"/>
        <v/>
      </c>
      <c r="HN9" s="54">
        <f>IF($J9="",#N/A,SUM($HM$4:HM9))</f>
        <v>0</v>
      </c>
      <c r="HO9" s="54" t="str">
        <f t="shared" si="96"/>
        <v/>
      </c>
      <c r="HP9" s="54">
        <f>IF($J9="",#N/A,SUM($HO$4:HO9))</f>
        <v>0</v>
      </c>
      <c r="HQ9" s="54" t="str">
        <f t="shared" si="97"/>
        <v/>
      </c>
      <c r="HR9" s="54">
        <f>IF($J9="",#N/A,SUM($HQ$4:HQ9))</f>
        <v>0</v>
      </c>
      <c r="HS9" s="54">
        <f t="shared" si="98"/>
        <v>0.88326154113910527</v>
      </c>
      <c r="HT9" s="54">
        <f>IF($J9="",#N/A,SUM($HS$4:HS9))</f>
        <v>2.4592741428671565</v>
      </c>
      <c r="HU9" s="65">
        <f t="shared" si="99"/>
        <v>0.23060522995257593</v>
      </c>
      <c r="HV9" s="65">
        <f>IF($J9="",#N/A,SUM(HU$4:$HU9))</f>
        <v>-2.9390069964140291</v>
      </c>
    </row>
    <row r="10" spans="1:230" x14ac:dyDescent="0.25">
      <c r="A10" s="51" t="s">
        <v>1290</v>
      </c>
      <c r="B10" s="52" t="s">
        <v>4477</v>
      </c>
      <c r="C10" s="229">
        <f t="shared" si="0"/>
        <v>3</v>
      </c>
      <c r="D10" s="219" t="str">
        <f>_xlfn.XLOOKUP(A10,[1]SP500!$A$2:$A$502,[1]SP500!$D$2:$D$502,"N")</f>
        <v>Y</v>
      </c>
      <c r="E10" s="51" t="str">
        <f>IFERROR(_xlfn.XLOOKUP(A10,[1]SP500!$A$2:$A$655,[1]SP500!$B$2:$B$655),"")</f>
        <v>XLF</v>
      </c>
      <c r="F10" s="53">
        <v>45758</v>
      </c>
      <c r="G10" s="51" t="str">
        <f t="shared" si="1"/>
        <v>BMO</v>
      </c>
      <c r="H10" s="51" t="str">
        <f t="shared" si="2"/>
        <v>s</v>
      </c>
      <c r="I10" s="344">
        <v>106.58</v>
      </c>
      <c r="J10" s="124">
        <v>102.89</v>
      </c>
      <c r="K10" s="55">
        <f t="shared" si="3"/>
        <v>-3.4621880277725628E-2</v>
      </c>
      <c r="L10" s="67">
        <f t="shared" si="4"/>
        <v>-36.899999999999864</v>
      </c>
      <c r="M10" s="57">
        <f t="shared" si="5"/>
        <v>11.899999999999864</v>
      </c>
      <c r="N10" s="155">
        <f t="shared" si="6"/>
        <v>-36.899999999999864</v>
      </c>
      <c r="O10" s="156">
        <f>IF(N10="",#N/A,SUM($N$4:N10))</f>
        <v>-106.27999999999963</v>
      </c>
      <c r="P10" s="65">
        <f t="shared" si="100"/>
        <v>-0.57703133796209216</v>
      </c>
      <c r="Q10" s="172">
        <f>IF($N10="",#N/A,SUM($P$4:P10))</f>
        <v>-1.7085312074749515</v>
      </c>
      <c r="R10" s="279">
        <f t="shared" si="7"/>
        <v>-0.37586182340160801</v>
      </c>
      <c r="S10" s="51" t="str">
        <f t="shared" si="8"/>
        <v>SW</v>
      </c>
      <c r="T10" s="51" t="s">
        <v>2828</v>
      </c>
      <c r="U10" s="56">
        <f t="shared" si="9"/>
        <v>106.58</v>
      </c>
      <c r="V10" s="56" t="s">
        <v>4460</v>
      </c>
      <c r="W10" s="142">
        <v>10</v>
      </c>
      <c r="X10" s="145">
        <f t="shared" si="10"/>
        <v>1065.8</v>
      </c>
      <c r="Y10" s="140">
        <f t="shared" si="11"/>
        <v>10</v>
      </c>
      <c r="Z10" s="123">
        <v>104.08</v>
      </c>
      <c r="AA10" s="102">
        <f t="shared" si="12"/>
        <v>-25</v>
      </c>
      <c r="AB10" s="102">
        <f t="shared" si="13"/>
        <v>15.400000000000091</v>
      </c>
      <c r="AC10" s="124">
        <v>108.12</v>
      </c>
      <c r="AD10" s="155">
        <f t="shared" si="14"/>
        <v>15.400000000000091</v>
      </c>
      <c r="AE10" s="545">
        <f t="shared" si="15"/>
        <v>0.24082066679176975</v>
      </c>
      <c r="AF10" s="57">
        <f>IF($AC10="",#N/A,SUM(AD$4:AD10))</f>
        <v>-177.30999999999949</v>
      </c>
      <c r="AG10" s="102">
        <f t="shared" si="16"/>
        <v>52.299999999999955</v>
      </c>
      <c r="AH10" s="56" t="s">
        <v>2507</v>
      </c>
      <c r="AI10" s="65">
        <f t="shared" si="17"/>
        <v>-0.39094264089572783</v>
      </c>
      <c r="AJ10" s="54">
        <f>IF(AI10="",#N/A,SUM($AI$4:AI10))</f>
        <v>-1.3326693840733435</v>
      </c>
      <c r="AK10" s="57">
        <f t="shared" si="18"/>
        <v>-25</v>
      </c>
      <c r="AL10" s="58">
        <f>IF(AI10="",#N/A,IF(AH10="Skip",SUM($AK$4:AK10),SUM($AK$4:AK10)))</f>
        <v>-82.12</v>
      </c>
      <c r="AM10" s="65">
        <f t="shared" si="101"/>
        <v>0.24082066679176975</v>
      </c>
      <c r="AN10" s="209"/>
      <c r="AO10" s="65">
        <f t="shared" si="19"/>
        <v>0.24082066679176975</v>
      </c>
      <c r="AP10" s="65">
        <f>IF($AC10="",#N/A,SUM(AO$4:AO10))</f>
        <v>1.3681975575382583</v>
      </c>
      <c r="AQ10" s="65" t="str">
        <f t="shared" si="20"/>
        <v/>
      </c>
      <c r="AR10" s="65">
        <f>IF($AC10="",#N/A,SUM(AQ$4:AQ10))</f>
        <v>0</v>
      </c>
      <c r="AS10" s="65" t="str">
        <f t="shared" si="21"/>
        <v/>
      </c>
      <c r="AT10" s="65">
        <f>IF($AC10="",#N/A,SUM(AS$4:AS10))</f>
        <v>-4.0663838871605176</v>
      </c>
      <c r="AU10" s="57">
        <f t="shared" si="102"/>
        <v>15.400000000000091</v>
      </c>
      <c r="AV10" s="57">
        <f>IF($AC10="",#N/A,SUM(AU$4:AU10))</f>
        <v>85.490000000000236</v>
      </c>
      <c r="AW10" s="57" t="str">
        <f t="shared" si="103"/>
        <v/>
      </c>
      <c r="AX10" s="57">
        <f>IF($AC10="",#N/A,SUM(AW$4:AW10))</f>
        <v>0</v>
      </c>
      <c r="AY10" s="56" t="str">
        <f t="shared" si="104"/>
        <v/>
      </c>
      <c r="AZ10" s="57">
        <f>IF($AC10="",#N/A,SUM(AY$4:AY10))</f>
        <v>-262.79999999999973</v>
      </c>
      <c r="BA10" s="57">
        <f>IF(AD10="",#N/A,SUM($AD$4:AD10))</f>
        <v>-177.30999999999949</v>
      </c>
      <c r="BC10" s="51" t="str">
        <f t="shared" si="22"/>
        <v/>
      </c>
      <c r="BD10" s="51" t="str">
        <f t="shared" si="23"/>
        <v/>
      </c>
      <c r="BE10" s="51" t="str">
        <f t="shared" si="24"/>
        <v/>
      </c>
      <c r="BF10" s="51" t="str">
        <f t="shared" si="25"/>
        <v>Long</v>
      </c>
      <c r="BG10" s="51" t="str">
        <f t="shared" si="26"/>
        <v/>
      </c>
      <c r="BH10" s="51" t="str">
        <f t="shared" si="27"/>
        <v/>
      </c>
      <c r="BI10" s="51">
        <f t="shared" si="28"/>
        <v>1</v>
      </c>
      <c r="BK10" s="73"/>
      <c r="BL10" s="73"/>
      <c r="BM10" s="73"/>
      <c r="BO10" s="489">
        <f>IF(J10="",#N/A,IF(S10="SW",(COUNTIFS(K$4:$K10,"&gt;0",S$4:$S10,"SW")/COUNTIF(S$4:$S10,"SW")),#N/A))</f>
        <v>0</v>
      </c>
      <c r="BP10" s="489" t="e">
        <f>IF($J10="",#N/A,IF($S10="DWN",(COUNTIFS($K$4:$K10,"&lt;0",$S$4:$S10,"DWN")/COUNTIF($S$4:$S10,"DWN")),#N/A))</f>
        <v>#N/A</v>
      </c>
      <c r="BQ10" s="489" t="e">
        <f>IF($J10="",#N/A,IF($S10="UP",(COUNTIFS($K$4:$K10,"&gt;0",$S$4:$S10,"UP")/COUNTIF($S$4:$S10,"UP")),#N/A))</f>
        <v>#N/A</v>
      </c>
      <c r="BR10" s="489">
        <f>IF(J10="",#N/A,COUNTIF($K$4:K10,"&gt;0")/COUNT($J$4:J10))</f>
        <v>0.14285714285714285</v>
      </c>
      <c r="BS10" s="65" t="str">
        <f t="shared" si="29"/>
        <v/>
      </c>
      <c r="BT10" s="65">
        <f t="shared" si="30"/>
        <v>-0.57703133796209216</v>
      </c>
      <c r="BU10" s="65" t="str">
        <f t="shared" si="31"/>
        <v/>
      </c>
      <c r="BV10" s="65" t="str">
        <f t="shared" si="32"/>
        <v/>
      </c>
      <c r="BW10" s="151" t="str">
        <f t="shared" si="33"/>
        <v/>
      </c>
      <c r="BX10" s="151">
        <f>IF($J10="",#N/A,SUM($BW$4:BW10))</f>
        <v>0</v>
      </c>
      <c r="BY10" s="152" t="str">
        <f t="shared" si="34"/>
        <v/>
      </c>
      <c r="BZ10" s="152">
        <f>IF($J10="",#N/A,SUM($BY$4:BY10))</f>
        <v>13.9200000000003</v>
      </c>
      <c r="CA10" s="153">
        <f t="shared" si="35"/>
        <v>-36.899999999999864</v>
      </c>
      <c r="CB10" s="154">
        <f>IF($J10="",#N/A,SUM($CA$4:CA10))</f>
        <v>-120.19999999999993</v>
      </c>
      <c r="CC10" s="191" t="str">
        <f t="shared" si="36"/>
        <v/>
      </c>
      <c r="CD10" s="191">
        <f>IF($J10="",#N/A,SUM($CC$4:CC10))</f>
        <v>0</v>
      </c>
      <c r="CE10" s="192" t="str">
        <f t="shared" si="37"/>
        <v/>
      </c>
      <c r="CF10" s="192">
        <f>IF($J10="",#N/A,SUM($CE$4:CE10))</f>
        <v>0.20039738260780871</v>
      </c>
      <c r="CG10" s="193">
        <f t="shared" si="38"/>
        <v>-0.57703133796209216</v>
      </c>
      <c r="CH10" s="193">
        <f>IF($J10="",#N/A,SUM($CG$4:CG10))</f>
        <v>-1.9089285900827602</v>
      </c>
      <c r="CI10" s="200" t="str">
        <f t="shared" si="39"/>
        <v/>
      </c>
      <c r="CJ10" s="200">
        <f>IF($J10="",#N/A,SUM(CI$4:CI10))</f>
        <v>0</v>
      </c>
      <c r="CK10" s="201" t="str">
        <f t="shared" si="40"/>
        <v/>
      </c>
      <c r="CL10" s="201">
        <f>IF($J10="",#N/A,SUM(CK$4:CK10))</f>
        <v>0</v>
      </c>
      <c r="CM10" s="202" t="str">
        <f t="shared" si="41"/>
        <v/>
      </c>
      <c r="CN10" s="202">
        <f>IF($J10="",#N/A,SUM(CM$4:CM10))</f>
        <v>0</v>
      </c>
      <c r="CO10" s="202">
        <f>IF($J10="",#N/A,SUM(CM$4:CM10,CK$4:CK10,CI$4:CI10))</f>
        <v>0</v>
      </c>
      <c r="CP10" s="200" t="str">
        <f t="shared" si="42"/>
        <v/>
      </c>
      <c r="CQ10" s="200">
        <f>IF($J10="",#N/A,SUM(CP$4:CP10))</f>
        <v>0</v>
      </c>
      <c r="CR10" s="201" t="str">
        <f t="shared" si="43"/>
        <v/>
      </c>
      <c r="CS10" s="201">
        <f>IF($J10="",#N/A,SUM(CR$4:CR10))</f>
        <v>0</v>
      </c>
      <c r="CT10" s="202" t="str">
        <f t="shared" si="44"/>
        <v/>
      </c>
      <c r="CU10" s="202">
        <f>IF($J10="",#N/A,SUM(CT$4:CT10))</f>
        <v>0</v>
      </c>
      <c r="CV10" s="202">
        <f>IF($J10="",#N/A,SUM(CT$4:CT10,CR$4:CR10,CP$4:CP10))</f>
        <v>0</v>
      </c>
      <c r="CW10" s="200" t="str">
        <f t="shared" si="45"/>
        <v/>
      </c>
      <c r="CX10" s="200">
        <f>IF($J10="",#N/A,SUM(CW$4:CW10))</f>
        <v>0</v>
      </c>
      <c r="CY10" s="201" t="str">
        <f t="shared" si="46"/>
        <v/>
      </c>
      <c r="CZ10" s="201">
        <f>IF($J10="",#N/A,SUM(CY$4:CY10))</f>
        <v>0</v>
      </c>
      <c r="DA10" s="202" t="str">
        <f t="shared" si="47"/>
        <v/>
      </c>
      <c r="DB10" s="202">
        <f>IF($J10="",#N/A,SUM(DA$4:DA10))</f>
        <v>0</v>
      </c>
      <c r="DC10" s="202">
        <f>IF($J10="",#N/A,SUM(DA$4:DA10,CY$4:CY10,CW$4:CW10))</f>
        <v>0</v>
      </c>
      <c r="DD10" s="200" t="str">
        <f t="shared" si="48"/>
        <v/>
      </c>
      <c r="DE10" s="200">
        <f>IF($J10="",#N/A,SUM(DD$4:DD10))</f>
        <v>0</v>
      </c>
      <c r="DF10" s="201" t="str">
        <f t="shared" si="49"/>
        <v/>
      </c>
      <c r="DG10" s="201">
        <f>IF($J10="",#N/A,SUM(DF$4:DF10))</f>
        <v>0.6788440567066546</v>
      </c>
      <c r="DH10" s="202" t="str">
        <f t="shared" si="50"/>
        <v/>
      </c>
      <c r="DI10" s="202">
        <f>IF($J10="",#N/A,SUM(DH$4:DH10))</f>
        <v>0</v>
      </c>
      <c r="DJ10" s="202">
        <f>IF($J10="",#N/A,SUM(DH$4:DH10,DF$4:DF10,DD$4:DD10))</f>
        <v>0.6788440567066546</v>
      </c>
      <c r="DK10" s="200" t="str">
        <f t="shared" si="51"/>
        <v/>
      </c>
      <c r="DL10" s="200">
        <f>IF($J10="",#N/A,SUM(DK$4:DK10))</f>
        <v>0</v>
      </c>
      <c r="DM10" s="201" t="str">
        <f t="shared" si="52"/>
        <v/>
      </c>
      <c r="DN10" s="201">
        <f>IF($J10="",#N/A,SUM(DM$4:DM10))</f>
        <v>0</v>
      </c>
      <c r="DO10" s="202" t="str">
        <f t="shared" si="53"/>
        <v/>
      </c>
      <c r="DP10" s="202">
        <f>IF($J10="",#N/A,SUM(DO$4:DO10))</f>
        <v>0</v>
      </c>
      <c r="DQ10" s="202">
        <f>IF($J10="",#N/A,SUM(DO$4:DO10,DM$4:DM10,DK$4:DK10))</f>
        <v>0</v>
      </c>
      <c r="DR10" s="200" t="str">
        <f t="shared" si="54"/>
        <v/>
      </c>
      <c r="DS10" s="200">
        <f>IF($J10="",#N/A,SUM(DR$4:DR10))</f>
        <v>0</v>
      </c>
      <c r="DT10" s="201" t="str">
        <f t="shared" si="55"/>
        <v/>
      </c>
      <c r="DU10" s="201">
        <f>IF($J10="",#N/A,SUM(DT$4:DT10))</f>
        <v>0</v>
      </c>
      <c r="DV10" s="202">
        <f t="shared" si="56"/>
        <v>-0.57703133796209216</v>
      </c>
      <c r="DW10" s="202">
        <f>IF($J10="",#N/A,SUM(DV$4:DV10))</f>
        <v>-1.9089285900827602</v>
      </c>
      <c r="DX10" s="202">
        <f>IF($J10="",#N/A,SUM(DV$4:DV10,DT$4:DT10,DR$4:DR10))</f>
        <v>-1.9089285900827602</v>
      </c>
      <c r="DY10" s="200" t="str">
        <f t="shared" si="57"/>
        <v/>
      </c>
      <c r="DZ10" s="200">
        <f>IF($J10="",#N/A,SUM(DY$4:DY10))</f>
        <v>0</v>
      </c>
      <c r="EA10" s="201" t="str">
        <f t="shared" si="58"/>
        <v/>
      </c>
      <c r="EB10" s="201">
        <f>IF($J10="",#N/A,SUM(EA$4:EA10))</f>
        <v>-0.47844667409884589</v>
      </c>
      <c r="EC10" s="202" t="str">
        <f t="shared" si="59"/>
        <v/>
      </c>
      <c r="ED10" s="202">
        <f>IF($J10="",#N/A,SUM(EC$4:EC10))</f>
        <v>0</v>
      </c>
      <c r="EE10" s="202">
        <f>IF($J10="",#N/A,SUM(EC$4:EC10,EA$4:EA10,DY$4:DY10))</f>
        <v>-0.47844667409884589</v>
      </c>
      <c r="EF10" s="200" t="str">
        <f t="shared" si="60"/>
        <v/>
      </c>
      <c r="EG10" s="200">
        <f>IF($J10="",#N/A,SUM(EF$4:EF10))</f>
        <v>0</v>
      </c>
      <c r="EH10" s="201" t="str">
        <f t="shared" si="61"/>
        <v/>
      </c>
      <c r="EI10" s="201">
        <f>IF($J10="",#N/A,SUM(EH$4:EH10))</f>
        <v>0</v>
      </c>
      <c r="EJ10" s="202" t="str">
        <f t="shared" si="62"/>
        <v/>
      </c>
      <c r="EK10" s="202">
        <f>IF($J10="",#N/A,SUM(EJ$4:EJ10))</f>
        <v>0</v>
      </c>
      <c r="EL10" s="202">
        <f>IF($J10="",#N/A,SUM(EJ$4:EJ10,EH$4:EH10,EF$4:EF10))</f>
        <v>0</v>
      </c>
      <c r="EM10" s="200" t="str">
        <f t="shared" si="63"/>
        <v/>
      </c>
      <c r="EN10" s="200">
        <f>IF($J10="",#N/A,SUM(EM$4:EM10))</f>
        <v>0</v>
      </c>
      <c r="EO10" s="201" t="str">
        <f t="shared" si="64"/>
        <v/>
      </c>
      <c r="EP10" s="201">
        <f>IF($J10="",#N/A,SUM(EO$4:EO10))</f>
        <v>0</v>
      </c>
      <c r="EQ10" s="202" t="str">
        <f t="shared" si="65"/>
        <v/>
      </c>
      <c r="ER10" s="202">
        <f>IF($J10="",#N/A,SUM(EQ$4:EQ10))</f>
        <v>0</v>
      </c>
      <c r="ES10" s="202">
        <f>IF($J10="",#N/A,SUM(EQ$4:EQ10,EO$4:EO10,EM$4:EM10))</f>
        <v>0</v>
      </c>
      <c r="ET10" s="200" t="str">
        <f t="shared" si="66"/>
        <v/>
      </c>
      <c r="EU10" s="200">
        <f>IF($J10="",#N/A,SUM(ET$4:ET10))</f>
        <v>0</v>
      </c>
      <c r="EV10" s="201" t="str">
        <f t="shared" si="67"/>
        <v/>
      </c>
      <c r="EW10" s="201">
        <f>IF($J10="",#N/A,SUM(EV$4:EV10))</f>
        <v>0</v>
      </c>
      <c r="EX10" s="202" t="str">
        <f t="shared" si="68"/>
        <v/>
      </c>
      <c r="EY10" s="202">
        <f>IF($J10="",#N/A,SUM(EX$4:EX10))</f>
        <v>0</v>
      </c>
      <c r="EZ10" s="202">
        <f>IF($J10="",#N/A,SUM(EX$4:EX10,EV$4:EV10,ET$4:ET10))</f>
        <v>0</v>
      </c>
      <c r="FA10" s="200" t="str">
        <f t="shared" si="69"/>
        <v/>
      </c>
      <c r="FB10" s="200">
        <f>IF($J10="",#N/A,SUM(FA$4:FA10))</f>
        <v>0</v>
      </c>
      <c r="FC10" s="201" t="str">
        <f t="shared" si="70"/>
        <v/>
      </c>
      <c r="FD10" s="201">
        <f>IF($J10="",#N/A,SUM(FC$4:FC10))</f>
        <v>0</v>
      </c>
      <c r="FE10" s="202" t="str">
        <f t="shared" si="71"/>
        <v/>
      </c>
      <c r="FF10" s="202">
        <f>IF($J10="",#N/A,SUM(FE$4:FE10))</f>
        <v>0</v>
      </c>
      <c r="FG10" s="202">
        <f>IF($J10="",#N/A,SUM(FE$4:FE10,FC$4:FC10,FA$4:FA10))</f>
        <v>0</v>
      </c>
      <c r="FH10" s="200" t="str">
        <f t="shared" si="72"/>
        <v/>
      </c>
      <c r="FI10" s="200">
        <f>IF($J10="",#N/A,SUM(FH$4:FH10))</f>
        <v>0</v>
      </c>
      <c r="FJ10" s="201" t="str">
        <f t="shared" si="73"/>
        <v/>
      </c>
      <c r="FK10" s="201">
        <f>IF($J10="",#N/A,SUM(FJ$4:FJ10))</f>
        <v>0</v>
      </c>
      <c r="FL10" s="202" t="str">
        <f t="shared" si="74"/>
        <v/>
      </c>
      <c r="FM10" s="202">
        <f>IF($J10="",#N/A,SUM(FL$4:FL10))</f>
        <v>0</v>
      </c>
      <c r="FN10" s="202">
        <f>IF($J10="",#N/A,SUM(FL$4:FL10,FJ$4:FJ10,FH$4:FH10))</f>
        <v>0</v>
      </c>
      <c r="FO10" s="200" t="str">
        <f t="shared" si="75"/>
        <v/>
      </c>
      <c r="FP10" s="200">
        <f>IF($J10="",#N/A,SUM(FO$4:FO10))</f>
        <v>0</v>
      </c>
      <c r="FQ10" s="201" t="str">
        <f t="shared" si="76"/>
        <v/>
      </c>
      <c r="FR10" s="201">
        <f>IF($J10="",#N/A,SUM(FQ$4:FQ10))</f>
        <v>0</v>
      </c>
      <c r="FS10" s="202" t="str">
        <f t="shared" si="77"/>
        <v/>
      </c>
      <c r="FT10" s="202">
        <f>IF($J10="",#N/A,SUM(FS$4:FS10))</f>
        <v>0</v>
      </c>
      <c r="FU10" s="202">
        <f>IF($J10="",#N/A,SUM(FS$4:FS10,FQ$4:FQ10,FO$4:FO10))</f>
        <v>0</v>
      </c>
      <c r="FV10" s="200" t="str">
        <f t="shared" si="78"/>
        <v/>
      </c>
      <c r="FW10" s="200">
        <f>IF($J10="",#N/A,SUM(FV$4:FV10))</f>
        <v>0</v>
      </c>
      <c r="FX10" s="201" t="str">
        <f t="shared" si="79"/>
        <v/>
      </c>
      <c r="FY10" s="201">
        <f>IF($J10="",#N/A,SUM(FX$4:FX10))</f>
        <v>0</v>
      </c>
      <c r="FZ10" s="202" t="str">
        <f t="shared" si="80"/>
        <v/>
      </c>
      <c r="GA10" s="202">
        <f>IF($J10="",#N/A,SUM(FZ$4:FZ10))</f>
        <v>0</v>
      </c>
      <c r="GB10" s="202">
        <f>IF($J10="",#N/A,SUM(FZ$4:FZ10,FX$4:FX10,FV$4:FV10))</f>
        <v>0</v>
      </c>
      <c r="GC10" s="200" t="str">
        <f t="shared" si="81"/>
        <v/>
      </c>
      <c r="GD10" s="200">
        <f>IF($J10="",#N/A,SUM(GC$4:GC10))</f>
        <v>0</v>
      </c>
      <c r="GE10" s="201" t="str">
        <f t="shared" si="82"/>
        <v/>
      </c>
      <c r="GF10" s="201">
        <f>IF($J10="",#N/A,SUM(GE$4:GE10))</f>
        <v>0</v>
      </c>
      <c r="GG10" s="202" t="str">
        <f t="shared" si="83"/>
        <v/>
      </c>
      <c r="GH10" s="202">
        <f>IF($J10="",#N/A,SUM(GG$4:GG10))</f>
        <v>0</v>
      </c>
      <c r="GI10" s="202">
        <f>IF($J10="",#N/A,SUM(GG$4:GG10,GE$4:GE10,GC$4:GC10))</f>
        <v>0</v>
      </c>
      <c r="GJ10" s="200" t="str">
        <f t="shared" si="84"/>
        <v/>
      </c>
      <c r="GK10" s="200">
        <f>IF($J10="",#N/A,SUM(GJ$4:GJ10))</f>
        <v>0</v>
      </c>
      <c r="GL10" s="201" t="str">
        <f t="shared" si="85"/>
        <v/>
      </c>
      <c r="GM10" s="201">
        <f>IF($J10="",#N/A,SUM(GL$4:GL10))</f>
        <v>0</v>
      </c>
      <c r="GN10" s="202" t="str">
        <f t="shared" si="86"/>
        <v/>
      </c>
      <c r="GO10" s="202">
        <f>IF($J10="",#N/A,SUM(GN$4:GN10))</f>
        <v>0</v>
      </c>
      <c r="GP10" s="202">
        <f>IF($J10="",#N/A,SUM(GN$4:GN10,GL$4:GL10,GJ$4:GJ10))</f>
        <v>0</v>
      </c>
      <c r="GS10" s="54">
        <f t="shared" si="105"/>
        <v>-0.57703133796209216</v>
      </c>
      <c r="GT10" s="54">
        <f>IF(GS10="",NA(),SUM($GS$4:GS10))</f>
        <v>-1.7085312074749515</v>
      </c>
      <c r="GU10" s="54" t="str">
        <f t="shared" si="87"/>
        <v/>
      </c>
      <c r="GV10" s="54" t="e">
        <f>IF(GU10="",NA(),SUM($GU$4:GU10))</f>
        <v>#N/A</v>
      </c>
      <c r="GW10" s="54">
        <f t="shared" si="88"/>
        <v>-0.57703133796209216</v>
      </c>
      <c r="GX10" s="54">
        <f>IF(GW10="",NA(),SUM($GW$4:GW10))</f>
        <v>-1.9089285900827602</v>
      </c>
      <c r="GY10" s="54" t="str">
        <f t="shared" si="89"/>
        <v/>
      </c>
      <c r="GZ10" s="54" t="e">
        <f>IF(GY10="",NA(),SUM($GY$4:GY10))</f>
        <v>#N/A</v>
      </c>
      <c r="HA10" s="54" t="str">
        <f t="shared" si="90"/>
        <v/>
      </c>
      <c r="HB10" s="54" t="e">
        <f>IF(HA10="",NA(),SUM($HA$4:HA10))</f>
        <v>#N/A</v>
      </c>
      <c r="HC10" s="54" t="str">
        <f t="shared" si="91"/>
        <v/>
      </c>
      <c r="HD10" s="54" t="e">
        <f>IF(HC10="",NA(),SUM($HC$4:HC10))</f>
        <v>#N/A</v>
      </c>
      <c r="HE10" s="54" t="str">
        <f t="shared" si="92"/>
        <v/>
      </c>
      <c r="HF10" s="54" t="e">
        <f>IF(HE10="",NA(),SUM($HE$4:HE10))</f>
        <v>#N/A</v>
      </c>
      <c r="HG10" s="54" t="str">
        <f t="shared" si="93"/>
        <v/>
      </c>
      <c r="HH10" s="54" t="e">
        <f>IF(HG10="",NA(),SUM($HG$4:HG10))</f>
        <v>#N/A</v>
      </c>
      <c r="HI10" s="172" t="str">
        <f t="shared" si="106"/>
        <v/>
      </c>
      <c r="HJ10" s="181">
        <f>IF($J10="",#N/A,SUM(HI$4:$HI10))</f>
        <v>-0.80152671755725302</v>
      </c>
      <c r="HK10" s="54" t="str">
        <f t="shared" si="94"/>
        <v/>
      </c>
      <c r="HL10" s="54">
        <f>IF($J10="",#N/A,SUM($HK$4:HK10))</f>
        <v>-3.4652545522110731</v>
      </c>
      <c r="HM10" s="54" t="str">
        <f t="shared" si="95"/>
        <v/>
      </c>
      <c r="HN10" s="54">
        <f>IF($J10="",#N/A,SUM($HM$4:HM10))</f>
        <v>0</v>
      </c>
      <c r="HO10" s="54" t="str">
        <f t="shared" si="96"/>
        <v/>
      </c>
      <c r="HP10" s="54">
        <f>IF($J10="",#N/A,SUM($HO$4:HO10))</f>
        <v>0</v>
      </c>
      <c r="HQ10" s="54" t="str">
        <f t="shared" si="97"/>
        <v/>
      </c>
      <c r="HR10" s="54">
        <f>IF($J10="",#N/A,SUM($HQ$4:HQ10))</f>
        <v>0</v>
      </c>
      <c r="HS10" s="54">
        <f t="shared" si="98"/>
        <v>0.81785200475386188</v>
      </c>
      <c r="HT10" s="54">
        <f>IF($J10="",#N/A,SUM($HS$4:HS10))</f>
        <v>3.2771261476210185</v>
      </c>
      <c r="HU10" s="65">
        <f t="shared" si="99"/>
        <v>0.24082066679176975</v>
      </c>
      <c r="HV10" s="65">
        <f>IF($J10="",#N/A,SUM(HU$4:$HU10))</f>
        <v>-2.6981863296222595</v>
      </c>
    </row>
    <row r="11" spans="1:230" ht="15.75" thickBot="1" x14ac:dyDescent="0.3">
      <c r="A11" s="292" t="s">
        <v>1405</v>
      </c>
      <c r="B11" s="293" t="s">
        <v>4477</v>
      </c>
      <c r="C11" s="294">
        <f t="shared" si="0"/>
        <v>3</v>
      </c>
      <c r="D11" s="295" t="str">
        <f>_xlfn.XLOOKUP(A11,[1]SP500!$A$2:$A$502,[1]SP500!$D$2:$D$502,"N")</f>
        <v>Y</v>
      </c>
      <c r="E11" s="292" t="str">
        <f>IFERROR(_xlfn.XLOOKUP(A11,[1]SP500!$A$2:$A$655,[1]SP500!$B$2:$B$655),"")</f>
        <v>XLI</v>
      </c>
      <c r="F11" s="296">
        <v>45758</v>
      </c>
      <c r="G11" s="292" t="str">
        <f t="shared" si="1"/>
        <v>BMO</v>
      </c>
      <c r="H11" s="292" t="str">
        <f t="shared" si="2"/>
        <v>s</v>
      </c>
      <c r="I11" s="345">
        <v>75.790000000000006</v>
      </c>
      <c r="J11" s="297">
        <v>75.209999999999994</v>
      </c>
      <c r="K11" s="298">
        <f t="shared" si="3"/>
        <v>-7.6527246338568737E-3</v>
      </c>
      <c r="L11" s="299">
        <f t="shared" si="4"/>
        <v>-8.7000000000002728</v>
      </c>
      <c r="M11" s="300">
        <f t="shared" si="5"/>
        <v>2.1000000000001364</v>
      </c>
      <c r="N11" s="301">
        <f t="shared" si="6"/>
        <v>-8.7000000000002728</v>
      </c>
      <c r="O11" s="302">
        <f>IF(N11="",#N/A,SUM($N$4:N11))</f>
        <v>-114.9799999999999</v>
      </c>
      <c r="P11" s="305">
        <f t="shared" si="100"/>
        <v>-0.12754541056428245</v>
      </c>
      <c r="Q11" s="304">
        <f>IF($N11="",#N/A,SUM($P$4:P11))</f>
        <v>-1.8360766180392338</v>
      </c>
      <c r="R11" s="307">
        <f t="shared" si="7"/>
        <v>-0.40664864664126332</v>
      </c>
      <c r="S11" s="292" t="str">
        <f t="shared" si="8"/>
        <v>SW</v>
      </c>
      <c r="T11" s="292" t="s">
        <v>2828</v>
      </c>
      <c r="U11" s="308">
        <f t="shared" si="9"/>
        <v>75.790000000000006</v>
      </c>
      <c r="V11" s="308" t="s">
        <v>4460</v>
      </c>
      <c r="W11" s="310">
        <v>15</v>
      </c>
      <c r="X11" s="309">
        <f t="shared" si="10"/>
        <v>1136.8500000000001</v>
      </c>
      <c r="Y11" s="310">
        <f t="shared" si="11"/>
        <v>15</v>
      </c>
      <c r="Z11" s="313">
        <v>75.349999999999994</v>
      </c>
      <c r="AA11" s="341">
        <f t="shared" si="12"/>
        <v>-6.6000000000001364</v>
      </c>
      <c r="AB11" s="341">
        <f t="shared" si="13"/>
        <v>72.749999999999773</v>
      </c>
      <c r="AC11" s="297">
        <v>80.64</v>
      </c>
      <c r="AD11" s="301">
        <f t="shared" si="14"/>
        <v>72.749999999999773</v>
      </c>
      <c r="AE11" s="546">
        <f t="shared" si="15"/>
        <v>1.0665435193737045</v>
      </c>
      <c r="AF11" s="300">
        <f>IF($AC11="",#N/A,SUM(AD$4:AD11))</f>
        <v>-104.55999999999972</v>
      </c>
      <c r="AG11" s="341">
        <f t="shared" si="16"/>
        <v>81.450000000000045</v>
      </c>
      <c r="AH11" s="308" t="s">
        <v>2507</v>
      </c>
      <c r="AI11" s="305">
        <f t="shared" si="17"/>
        <v>-9.6758587324627041E-2</v>
      </c>
      <c r="AJ11" s="303">
        <f>IF(AI11="",#N/A,SUM($AI$4:AI11))</f>
        <v>-1.4294279713979705</v>
      </c>
      <c r="AK11" s="300">
        <f t="shared" si="18"/>
        <v>-6.6000000000001364</v>
      </c>
      <c r="AL11" s="312">
        <f>IF(AI11="",#N/A,IF(AH11="Skip",SUM($AK$4:AK11),SUM($AK$4:AK11)))</f>
        <v>-88.720000000000141</v>
      </c>
      <c r="AM11" s="65">
        <f t="shared" si="101"/>
        <v>1.0665435193737045</v>
      </c>
      <c r="AN11" s="209"/>
      <c r="AO11" s="305">
        <f t="shared" si="19"/>
        <v>1.0665435193737045</v>
      </c>
      <c r="AP11" s="305">
        <f>IF($AC11="",#N/A,SUM(AO$4:AO11))</f>
        <v>2.4347410769119628</v>
      </c>
      <c r="AQ11" s="305" t="str">
        <f t="shared" si="20"/>
        <v/>
      </c>
      <c r="AR11" s="305">
        <f>IF($AC11="",#N/A,SUM(AQ$4:AQ11))</f>
        <v>0</v>
      </c>
      <c r="AS11" s="305" t="str">
        <f t="shared" si="21"/>
        <v/>
      </c>
      <c r="AT11" s="305">
        <f>IF($AC11="",#N/A,SUM(AS$4:AS11))</f>
        <v>-4.0663838871605176</v>
      </c>
      <c r="AU11" s="300">
        <f t="shared" si="102"/>
        <v>72.749999999999773</v>
      </c>
      <c r="AV11" s="300">
        <f>IF($AC11="",#N/A,SUM(AU$4:AU11))</f>
        <v>158.24</v>
      </c>
      <c r="AW11" s="300" t="str">
        <f t="shared" si="103"/>
        <v/>
      </c>
      <c r="AX11" s="300">
        <f>IF($AC11="",#N/A,SUM(AW$4:AW11))</f>
        <v>0</v>
      </c>
      <c r="AY11" s="308" t="str">
        <f t="shared" si="104"/>
        <v/>
      </c>
      <c r="AZ11" s="300">
        <f>IF($AC11="",#N/A,SUM(AY$4:AY11))</f>
        <v>-262.79999999999973</v>
      </c>
      <c r="BA11" s="300">
        <f>IF(AD11="",#N/A,SUM($AD$4:AD11))</f>
        <v>-104.55999999999972</v>
      </c>
      <c r="BC11" s="292" t="str">
        <f t="shared" si="22"/>
        <v/>
      </c>
      <c r="BD11" s="292" t="str">
        <f t="shared" si="23"/>
        <v/>
      </c>
      <c r="BE11" s="292" t="str">
        <f t="shared" si="24"/>
        <v/>
      </c>
      <c r="BF11" s="292" t="str">
        <f t="shared" si="25"/>
        <v>Long</v>
      </c>
      <c r="BG11" s="292" t="str">
        <f t="shared" si="26"/>
        <v/>
      </c>
      <c r="BH11" s="292" t="str">
        <f t="shared" si="27"/>
        <v/>
      </c>
      <c r="BI11" s="292">
        <f t="shared" si="28"/>
        <v>1</v>
      </c>
      <c r="BK11" s="73"/>
      <c r="BL11" s="73"/>
      <c r="BM11" s="73"/>
      <c r="BO11" s="489">
        <f>IF(J11="",#N/A,IF(S11="SW",(COUNTIFS(K$4:$K11,"&gt;0",S$4:$S11,"SW")/COUNTIF(S$4:$S11,"SW")),#N/A))</f>
        <v>0</v>
      </c>
      <c r="BP11" s="489" t="e">
        <f>IF($J11="",#N/A,IF($S11="DWN",(COUNTIFS($K$4:$K11,"&lt;0",$S$4:$S11,"DWN")/COUNTIF($S$4:$S11,"DWN")),#N/A))</f>
        <v>#N/A</v>
      </c>
      <c r="BQ11" s="489" t="e">
        <f>IF($J11="",#N/A,IF($S11="UP",(COUNTIFS($K$4:$K11,"&gt;0",$S$4:$S11,"UP")/COUNTIF($S$4:$S11,"UP")),#N/A))</f>
        <v>#N/A</v>
      </c>
      <c r="BR11" s="489">
        <f>IF(J11="",#N/A,COUNTIF($K$4:K11,"&gt;0")/COUNT($J$4:J11))</f>
        <v>0.125</v>
      </c>
      <c r="BS11" s="65" t="str">
        <f t="shared" si="29"/>
        <v/>
      </c>
      <c r="BT11" s="65">
        <f t="shared" si="30"/>
        <v>-0.12754541056428245</v>
      </c>
      <c r="BU11" s="65" t="str">
        <f t="shared" si="31"/>
        <v/>
      </c>
      <c r="BV11" s="65" t="str">
        <f t="shared" si="32"/>
        <v/>
      </c>
      <c r="BW11" s="151" t="str">
        <f t="shared" si="33"/>
        <v/>
      </c>
      <c r="BX11" s="151">
        <f>IF($J11="",#N/A,SUM($BW$4:BW11))</f>
        <v>0</v>
      </c>
      <c r="BY11" s="152" t="str">
        <f t="shared" si="34"/>
        <v/>
      </c>
      <c r="BZ11" s="152">
        <f>IF($J11="",#N/A,SUM($BY$4:BY11))</f>
        <v>13.9200000000003</v>
      </c>
      <c r="CA11" s="153">
        <f t="shared" si="35"/>
        <v>-8.7000000000002728</v>
      </c>
      <c r="CB11" s="154">
        <f>IF($J11="",#N/A,SUM($CA$4:CA11))</f>
        <v>-128.9000000000002</v>
      </c>
      <c r="CC11" s="191" t="str">
        <f t="shared" si="36"/>
        <v/>
      </c>
      <c r="CD11" s="191">
        <f>IF($J11="",#N/A,SUM($CC$4:CC11))</f>
        <v>0</v>
      </c>
      <c r="CE11" s="192" t="str">
        <f t="shared" si="37"/>
        <v/>
      </c>
      <c r="CF11" s="192">
        <f>IF($J11="",#N/A,SUM($CE$4:CE11))</f>
        <v>0.20039738260780871</v>
      </c>
      <c r="CG11" s="193">
        <f t="shared" si="38"/>
        <v>-0.12754541056428245</v>
      </c>
      <c r="CH11" s="193">
        <f>IF($J11="",#N/A,SUM($CG$4:CG11))</f>
        <v>-2.0364740006470425</v>
      </c>
      <c r="CI11" s="200" t="str">
        <f t="shared" si="39"/>
        <v/>
      </c>
      <c r="CJ11" s="200">
        <f>IF($J11="",#N/A,SUM(CI$4:CI11))</f>
        <v>0</v>
      </c>
      <c r="CK11" s="201" t="str">
        <f t="shared" si="40"/>
        <v/>
      </c>
      <c r="CL11" s="201">
        <f>IF($J11="",#N/A,SUM(CK$4:CK11))</f>
        <v>0</v>
      </c>
      <c r="CM11" s="202" t="str">
        <f t="shared" si="41"/>
        <v/>
      </c>
      <c r="CN11" s="202">
        <f>IF($J11="",#N/A,SUM(CM$4:CM11))</f>
        <v>0</v>
      </c>
      <c r="CO11" s="202">
        <f>IF($J11="",#N/A,SUM(CM$4:CM11,CK$4:CK11,CI$4:CI11))</f>
        <v>0</v>
      </c>
      <c r="CP11" s="200" t="str">
        <f t="shared" si="42"/>
        <v/>
      </c>
      <c r="CQ11" s="200">
        <f>IF($J11="",#N/A,SUM(CP$4:CP11))</f>
        <v>0</v>
      </c>
      <c r="CR11" s="201" t="str">
        <f t="shared" si="43"/>
        <v/>
      </c>
      <c r="CS11" s="201">
        <f>IF($J11="",#N/A,SUM(CR$4:CR11))</f>
        <v>0</v>
      </c>
      <c r="CT11" s="202" t="str">
        <f t="shared" si="44"/>
        <v/>
      </c>
      <c r="CU11" s="202">
        <f>IF($J11="",#N/A,SUM(CT$4:CT11))</f>
        <v>0</v>
      </c>
      <c r="CV11" s="202">
        <f>IF($J11="",#N/A,SUM(CT$4:CT11,CR$4:CR11,CP$4:CP11))</f>
        <v>0</v>
      </c>
      <c r="CW11" s="200" t="str">
        <f t="shared" si="45"/>
        <v/>
      </c>
      <c r="CX11" s="200">
        <f>IF($J11="",#N/A,SUM(CW$4:CW11))</f>
        <v>0</v>
      </c>
      <c r="CY11" s="201" t="str">
        <f t="shared" si="46"/>
        <v/>
      </c>
      <c r="CZ11" s="201">
        <f>IF($J11="",#N/A,SUM(CY$4:CY11))</f>
        <v>0</v>
      </c>
      <c r="DA11" s="202" t="str">
        <f t="shared" si="47"/>
        <v/>
      </c>
      <c r="DB11" s="202">
        <f>IF($J11="",#N/A,SUM(DA$4:DA11))</f>
        <v>0</v>
      </c>
      <c r="DC11" s="202">
        <f>IF($J11="",#N/A,SUM(DA$4:DA11,CY$4:CY11,CW$4:CW11))</f>
        <v>0</v>
      </c>
      <c r="DD11" s="200" t="str">
        <f t="shared" si="48"/>
        <v/>
      </c>
      <c r="DE11" s="200">
        <f>IF($J11="",#N/A,SUM(DD$4:DD11))</f>
        <v>0</v>
      </c>
      <c r="DF11" s="201" t="str">
        <f t="shared" si="49"/>
        <v/>
      </c>
      <c r="DG11" s="201">
        <f>IF($J11="",#N/A,SUM(DF$4:DF11))</f>
        <v>0.6788440567066546</v>
      </c>
      <c r="DH11" s="202" t="str">
        <f t="shared" si="50"/>
        <v/>
      </c>
      <c r="DI11" s="202">
        <f>IF($J11="",#N/A,SUM(DH$4:DH11))</f>
        <v>0</v>
      </c>
      <c r="DJ11" s="202">
        <f>IF($J11="",#N/A,SUM(DH$4:DH11,DF$4:DF11,DD$4:DD11))</f>
        <v>0.6788440567066546</v>
      </c>
      <c r="DK11" s="200" t="str">
        <f t="shared" si="51"/>
        <v/>
      </c>
      <c r="DL11" s="200">
        <f>IF($J11="",#N/A,SUM(DK$4:DK11))</f>
        <v>0</v>
      </c>
      <c r="DM11" s="201" t="str">
        <f t="shared" si="52"/>
        <v/>
      </c>
      <c r="DN11" s="201">
        <f>IF($J11="",#N/A,SUM(DM$4:DM11))</f>
        <v>0</v>
      </c>
      <c r="DO11" s="202" t="str">
        <f t="shared" si="53"/>
        <v/>
      </c>
      <c r="DP11" s="202">
        <f>IF($J11="",#N/A,SUM(DO$4:DO11))</f>
        <v>0</v>
      </c>
      <c r="DQ11" s="202">
        <f>IF($J11="",#N/A,SUM(DO$4:DO11,DM$4:DM11,DK$4:DK11))</f>
        <v>0</v>
      </c>
      <c r="DR11" s="200" t="str">
        <f t="shared" si="54"/>
        <v/>
      </c>
      <c r="DS11" s="200">
        <f>IF($J11="",#N/A,SUM(DR$4:DR11))</f>
        <v>0</v>
      </c>
      <c r="DT11" s="201" t="str">
        <f t="shared" si="55"/>
        <v/>
      </c>
      <c r="DU11" s="201">
        <f>IF($J11="",#N/A,SUM(DT$4:DT11))</f>
        <v>0</v>
      </c>
      <c r="DV11" s="202" t="str">
        <f t="shared" si="56"/>
        <v/>
      </c>
      <c r="DW11" s="202">
        <f>IF($J11="",#N/A,SUM(DV$4:DV11))</f>
        <v>-1.9089285900827602</v>
      </c>
      <c r="DX11" s="202">
        <f>IF($J11="",#N/A,SUM(DV$4:DV11,DT$4:DT11,DR$4:DR11))</f>
        <v>-1.9089285900827602</v>
      </c>
      <c r="DY11" s="200" t="str">
        <f t="shared" si="57"/>
        <v/>
      </c>
      <c r="DZ11" s="200">
        <f>IF($J11="",#N/A,SUM(DY$4:DY11))</f>
        <v>0</v>
      </c>
      <c r="EA11" s="201" t="str">
        <f t="shared" si="58"/>
        <v/>
      </c>
      <c r="EB11" s="201">
        <f>IF($J11="",#N/A,SUM(EA$4:EA11))</f>
        <v>-0.47844667409884589</v>
      </c>
      <c r="EC11" s="202">
        <f t="shared" si="59"/>
        <v>-0.12754541056428245</v>
      </c>
      <c r="ED11" s="202">
        <f>IF($J11="",#N/A,SUM(EC$4:EC11))</f>
        <v>-0.12754541056428245</v>
      </c>
      <c r="EE11" s="202">
        <f>IF($J11="",#N/A,SUM(EC$4:EC11,EA$4:EA11,DY$4:DY11))</f>
        <v>-0.60599208466312837</v>
      </c>
      <c r="EF11" s="200" t="str">
        <f t="shared" si="60"/>
        <v/>
      </c>
      <c r="EG11" s="200">
        <f>IF($J11="",#N/A,SUM(EF$4:EF11))</f>
        <v>0</v>
      </c>
      <c r="EH11" s="201" t="str">
        <f t="shared" si="61"/>
        <v/>
      </c>
      <c r="EI11" s="201">
        <f>IF($J11="",#N/A,SUM(EH$4:EH11))</f>
        <v>0</v>
      </c>
      <c r="EJ11" s="202" t="str">
        <f t="shared" si="62"/>
        <v/>
      </c>
      <c r="EK11" s="202">
        <f>IF($J11="",#N/A,SUM(EJ$4:EJ11))</f>
        <v>0</v>
      </c>
      <c r="EL11" s="202">
        <f>IF($J11="",#N/A,SUM(EJ$4:EJ11,EH$4:EH11,EF$4:EF11))</f>
        <v>0</v>
      </c>
      <c r="EM11" s="200" t="str">
        <f t="shared" si="63"/>
        <v/>
      </c>
      <c r="EN11" s="200">
        <f>IF($J11="",#N/A,SUM(EM$4:EM11))</f>
        <v>0</v>
      </c>
      <c r="EO11" s="201" t="str">
        <f t="shared" si="64"/>
        <v/>
      </c>
      <c r="EP11" s="201">
        <f>IF($J11="",#N/A,SUM(EO$4:EO11))</f>
        <v>0</v>
      </c>
      <c r="EQ11" s="202" t="str">
        <f t="shared" si="65"/>
        <v/>
      </c>
      <c r="ER11" s="202">
        <f>IF($J11="",#N/A,SUM(EQ$4:EQ11))</f>
        <v>0</v>
      </c>
      <c r="ES11" s="202">
        <f>IF($J11="",#N/A,SUM(EQ$4:EQ11,EO$4:EO11,EM$4:EM11))</f>
        <v>0</v>
      </c>
      <c r="ET11" s="200" t="str">
        <f t="shared" si="66"/>
        <v/>
      </c>
      <c r="EU11" s="200">
        <f>IF($J11="",#N/A,SUM(ET$4:ET11))</f>
        <v>0</v>
      </c>
      <c r="EV11" s="201" t="str">
        <f t="shared" si="67"/>
        <v/>
      </c>
      <c r="EW11" s="201">
        <f>IF($J11="",#N/A,SUM(EV$4:EV11))</f>
        <v>0</v>
      </c>
      <c r="EX11" s="202" t="str">
        <f t="shared" si="68"/>
        <v/>
      </c>
      <c r="EY11" s="202">
        <f>IF($J11="",#N/A,SUM(EX$4:EX11))</f>
        <v>0</v>
      </c>
      <c r="EZ11" s="202">
        <f>IF($J11="",#N/A,SUM(EX$4:EX11,EV$4:EV11,ET$4:ET11))</f>
        <v>0</v>
      </c>
      <c r="FA11" s="200" t="str">
        <f t="shared" si="69"/>
        <v/>
      </c>
      <c r="FB11" s="200">
        <f>IF($J11="",#N/A,SUM(FA$4:FA11))</f>
        <v>0</v>
      </c>
      <c r="FC11" s="201" t="str">
        <f t="shared" si="70"/>
        <v/>
      </c>
      <c r="FD11" s="201">
        <f>IF($J11="",#N/A,SUM(FC$4:FC11))</f>
        <v>0</v>
      </c>
      <c r="FE11" s="202" t="str">
        <f t="shared" si="71"/>
        <v/>
      </c>
      <c r="FF11" s="202">
        <f>IF($J11="",#N/A,SUM(FE$4:FE11))</f>
        <v>0</v>
      </c>
      <c r="FG11" s="202">
        <f>IF($J11="",#N/A,SUM(FE$4:FE11,FC$4:FC11,FA$4:FA11))</f>
        <v>0</v>
      </c>
      <c r="FH11" s="200" t="str">
        <f t="shared" si="72"/>
        <v/>
      </c>
      <c r="FI11" s="200">
        <f>IF($J11="",#N/A,SUM(FH$4:FH11))</f>
        <v>0</v>
      </c>
      <c r="FJ11" s="201" t="str">
        <f t="shared" si="73"/>
        <v/>
      </c>
      <c r="FK11" s="201">
        <f>IF($J11="",#N/A,SUM(FJ$4:FJ11))</f>
        <v>0</v>
      </c>
      <c r="FL11" s="202" t="str">
        <f t="shared" si="74"/>
        <v/>
      </c>
      <c r="FM11" s="202">
        <f>IF($J11="",#N/A,SUM(FL$4:FL11))</f>
        <v>0</v>
      </c>
      <c r="FN11" s="202">
        <f>IF($J11="",#N/A,SUM(FL$4:FL11,FJ$4:FJ11,FH$4:FH11))</f>
        <v>0</v>
      </c>
      <c r="FO11" s="200" t="str">
        <f t="shared" si="75"/>
        <v/>
      </c>
      <c r="FP11" s="200">
        <f>IF($J11="",#N/A,SUM(FO$4:FO11))</f>
        <v>0</v>
      </c>
      <c r="FQ11" s="201" t="str">
        <f t="shared" si="76"/>
        <v/>
      </c>
      <c r="FR11" s="201">
        <f>IF($J11="",#N/A,SUM(FQ$4:FQ11))</f>
        <v>0</v>
      </c>
      <c r="FS11" s="202" t="str">
        <f t="shared" si="77"/>
        <v/>
      </c>
      <c r="FT11" s="202">
        <f>IF($J11="",#N/A,SUM(FS$4:FS11))</f>
        <v>0</v>
      </c>
      <c r="FU11" s="202">
        <f>IF($J11="",#N/A,SUM(FS$4:FS11,FQ$4:FQ11,FO$4:FO11))</f>
        <v>0</v>
      </c>
      <c r="FV11" s="200" t="str">
        <f t="shared" si="78"/>
        <v/>
      </c>
      <c r="FW11" s="200">
        <f>IF($J11="",#N/A,SUM(FV$4:FV11))</f>
        <v>0</v>
      </c>
      <c r="FX11" s="201" t="str">
        <f t="shared" si="79"/>
        <v/>
      </c>
      <c r="FY11" s="201">
        <f>IF($J11="",#N/A,SUM(FX$4:FX11))</f>
        <v>0</v>
      </c>
      <c r="FZ11" s="202" t="str">
        <f t="shared" si="80"/>
        <v/>
      </c>
      <c r="GA11" s="202">
        <f>IF($J11="",#N/A,SUM(FZ$4:FZ11))</f>
        <v>0</v>
      </c>
      <c r="GB11" s="202">
        <f>IF($J11="",#N/A,SUM(FZ$4:FZ11,FX$4:FX11,FV$4:FV11))</f>
        <v>0</v>
      </c>
      <c r="GC11" s="200" t="str">
        <f t="shared" si="81"/>
        <v/>
      </c>
      <c r="GD11" s="200">
        <f>IF($J11="",#N/A,SUM(GC$4:GC11))</f>
        <v>0</v>
      </c>
      <c r="GE11" s="201" t="str">
        <f t="shared" si="82"/>
        <v/>
      </c>
      <c r="GF11" s="201">
        <f>IF($J11="",#N/A,SUM(GE$4:GE11))</f>
        <v>0</v>
      </c>
      <c r="GG11" s="202" t="str">
        <f t="shared" si="83"/>
        <v/>
      </c>
      <c r="GH11" s="202">
        <f>IF($J11="",#N/A,SUM(GG$4:GG11))</f>
        <v>0</v>
      </c>
      <c r="GI11" s="202">
        <f>IF($J11="",#N/A,SUM(GG$4:GG11,GE$4:GE11,GC$4:GC11))</f>
        <v>0</v>
      </c>
      <c r="GJ11" s="200" t="str">
        <f t="shared" si="84"/>
        <v/>
      </c>
      <c r="GK11" s="200">
        <f>IF($J11="",#N/A,SUM(GJ$4:GJ11))</f>
        <v>0</v>
      </c>
      <c r="GL11" s="201" t="str">
        <f t="shared" si="85"/>
        <v/>
      </c>
      <c r="GM11" s="201">
        <f>IF($J11="",#N/A,SUM(GL$4:GL11))</f>
        <v>0</v>
      </c>
      <c r="GN11" s="202" t="str">
        <f t="shared" si="86"/>
        <v/>
      </c>
      <c r="GO11" s="202">
        <f>IF($J11="",#N/A,SUM(GN$4:GN11))</f>
        <v>0</v>
      </c>
      <c r="GP11" s="202">
        <f>IF($J11="",#N/A,SUM(GN$4:GN11,GL$4:GL11,GJ$4:GJ11))</f>
        <v>0</v>
      </c>
      <c r="GS11" s="303">
        <f t="shared" si="105"/>
        <v>-0.12754541056428245</v>
      </c>
      <c r="GT11" s="303">
        <f>IF(GS11="",NA(),SUM($GS$4:GS11))</f>
        <v>-1.8360766180392338</v>
      </c>
      <c r="GU11" s="303" t="str">
        <f t="shared" si="87"/>
        <v/>
      </c>
      <c r="GV11" s="303" t="e">
        <f>IF(GU11="",NA(),SUM($GU$4:GU11))</f>
        <v>#N/A</v>
      </c>
      <c r="GW11" s="303">
        <f t="shared" si="88"/>
        <v>-0.12754541056428245</v>
      </c>
      <c r="GX11" s="303">
        <f>IF(GW11="",NA(),SUM($GW$4:GW11))</f>
        <v>-2.0364740006470425</v>
      </c>
      <c r="GY11" s="303" t="str">
        <f t="shared" si="89"/>
        <v/>
      </c>
      <c r="GZ11" s="303" t="e">
        <f>IF(GY11="",NA(),SUM($GY$4:GY11))</f>
        <v>#N/A</v>
      </c>
      <c r="HA11" s="303" t="str">
        <f t="shared" si="90"/>
        <v/>
      </c>
      <c r="HB11" s="303" t="e">
        <f>IF(HA11="",NA(),SUM($HA$4:HA11))</f>
        <v>#N/A</v>
      </c>
      <c r="HC11" s="303" t="str">
        <f t="shared" si="91"/>
        <v/>
      </c>
      <c r="HD11" s="303" t="e">
        <f>IF(HC11="",NA(),SUM($HC$4:HC11))</f>
        <v>#N/A</v>
      </c>
      <c r="HE11" s="303" t="str">
        <f t="shared" si="92"/>
        <v/>
      </c>
      <c r="HF11" s="303" t="e">
        <f>IF(HE11="",NA(),SUM($HE$4:HE11))</f>
        <v>#N/A</v>
      </c>
      <c r="HG11" s="303" t="str">
        <f t="shared" si="93"/>
        <v/>
      </c>
      <c r="HH11" s="303" t="e">
        <f>IF(HG11="",NA(),SUM($HG$4:HG11))</f>
        <v>#N/A</v>
      </c>
      <c r="HI11" s="304" t="str">
        <f t="shared" si="106"/>
        <v/>
      </c>
      <c r="HJ11" s="304">
        <f>IF($J11="",#N/A,SUM(HI$4:$HI11))</f>
        <v>-0.80152671755725302</v>
      </c>
      <c r="HK11" s="303" t="str">
        <f t="shared" si="94"/>
        <v/>
      </c>
      <c r="HL11" s="303">
        <f>IF($J11="",#N/A,SUM($HK$4:HK11))</f>
        <v>-3.4652545522110731</v>
      </c>
      <c r="HM11" s="303" t="str">
        <f t="shared" si="95"/>
        <v/>
      </c>
      <c r="HN11" s="303">
        <f>IF($J11="",#N/A,SUM($HM$4:HM11))</f>
        <v>0</v>
      </c>
      <c r="HO11" s="303" t="str">
        <f t="shared" si="96"/>
        <v/>
      </c>
      <c r="HP11" s="303">
        <f>IF($J11="",#N/A,SUM($HO$4:HO11))</f>
        <v>0</v>
      </c>
      <c r="HQ11" s="303" t="str">
        <f t="shared" si="97"/>
        <v/>
      </c>
      <c r="HR11" s="303">
        <f>IF($J11="",#N/A,SUM($HQ$4:HQ11))</f>
        <v>0</v>
      </c>
      <c r="HS11" s="303">
        <f t="shared" si="98"/>
        <v>1.1940889299379869</v>
      </c>
      <c r="HT11" s="303">
        <f>IF($J11="",#N/A,SUM($HS$4:HS11))</f>
        <v>4.4712150775590054</v>
      </c>
      <c r="HU11" s="305">
        <f t="shared" si="99"/>
        <v>1.0665435193737045</v>
      </c>
      <c r="HV11" s="305">
        <f>IF($J11="",#N/A,SUM(HU$4:$HU11))</f>
        <v>-1.631642810248555</v>
      </c>
    </row>
    <row r="12" spans="1:230" x14ac:dyDescent="0.25">
      <c r="A12" s="59" t="s">
        <v>1300</v>
      </c>
      <c r="B12" s="289" t="s">
        <v>4478</v>
      </c>
      <c r="C12" s="230">
        <f t="shared" si="0"/>
        <v>3</v>
      </c>
      <c r="D12" s="220" t="str">
        <f>_xlfn.XLOOKUP(A12,[1]SP500!$A$2:$A$502,[1]SP500!$D$2:$D$502,"N")</f>
        <v>Y</v>
      </c>
      <c r="E12" s="59" t="str">
        <f>IFERROR(_xlfn.XLOOKUP(A12,[1]SP500!$A$2:$A$655,[1]SP500!$B$2:$B$655),"")</f>
        <v>XLF</v>
      </c>
      <c r="F12" s="290">
        <v>45761</v>
      </c>
      <c r="G12" s="59" t="str">
        <f t="shared" si="1"/>
        <v>BMO</v>
      </c>
      <c r="H12" s="59" t="str">
        <f t="shared" si="2"/>
        <v>s</v>
      </c>
      <c r="I12" s="342">
        <v>494.44</v>
      </c>
      <c r="J12" s="278">
        <v>510</v>
      </c>
      <c r="K12" s="60">
        <f t="shared" si="3"/>
        <v>3.14699457972656E-2</v>
      </c>
      <c r="L12" s="68">
        <f t="shared" si="4"/>
        <v>31.120000000000005</v>
      </c>
      <c r="M12" s="62">
        <f t="shared" si="5"/>
        <v>0</v>
      </c>
      <c r="N12" s="148">
        <f t="shared" si="6"/>
        <v>31.120000000000005</v>
      </c>
      <c r="O12" s="287">
        <f>IF(N12="",#N/A,SUM($N$4:N12))</f>
        <v>-83.8599999999999</v>
      </c>
      <c r="P12" s="64">
        <f t="shared" si="100"/>
        <v>0.52449909662109329</v>
      </c>
      <c r="Q12" s="183">
        <f>IF($N12="",#N/A,SUM($P$4:P12))</f>
        <v>-1.3115775214181404</v>
      </c>
      <c r="R12" s="279">
        <f t="shared" si="7"/>
        <v>-0.40664864664126321</v>
      </c>
      <c r="S12" s="59" t="str">
        <f t="shared" si="8"/>
        <v>SW</v>
      </c>
      <c r="T12" s="59" t="s">
        <v>2828</v>
      </c>
      <c r="U12" s="61">
        <f t="shared" si="9"/>
        <v>494.44</v>
      </c>
      <c r="V12" s="61" t="s">
        <v>4460</v>
      </c>
      <c r="W12" s="142">
        <v>2</v>
      </c>
      <c r="X12" s="146">
        <f t="shared" si="10"/>
        <v>988.88</v>
      </c>
      <c r="Y12" s="142">
        <f t="shared" si="11"/>
        <v>2</v>
      </c>
      <c r="Z12" s="278">
        <v>510</v>
      </c>
      <c r="AA12" s="63">
        <f t="shared" si="12"/>
        <v>31.120000000000005</v>
      </c>
      <c r="AB12" s="63">
        <f t="shared" si="13"/>
        <v>19.080000000000041</v>
      </c>
      <c r="AC12" s="125">
        <v>503.98</v>
      </c>
      <c r="AD12" s="148">
        <f t="shared" si="14"/>
        <v>19.080000000000041</v>
      </c>
      <c r="AE12" s="544">
        <f t="shared" si="15"/>
        <v>0.32157592427797171</v>
      </c>
      <c r="AF12" s="62">
        <f>IF($AC12="",#N/A,SUM(AD$4:AD12))</f>
        <v>-85.479999999999677</v>
      </c>
      <c r="AG12" s="63">
        <f t="shared" si="16"/>
        <v>-12.039999999999964</v>
      </c>
      <c r="AH12" s="61" t="s">
        <v>2507</v>
      </c>
      <c r="AI12" s="64">
        <f t="shared" si="17"/>
        <v>0.52449909662109329</v>
      </c>
      <c r="AJ12" s="177">
        <f>IF(AI12="",#N/A,SUM($AI$4:AI12))</f>
        <v>-0.90492887477687722</v>
      </c>
      <c r="AK12" s="62">
        <f t="shared" si="18"/>
        <v>31.120000000000005</v>
      </c>
      <c r="AL12" s="288">
        <f>IF(AI12="",#N/A,IF(AH12="Skip",SUM($AK$4:AK12),SUM($AK$4:AK12)))</f>
        <v>-57.600000000000136</v>
      </c>
      <c r="AM12" s="65">
        <f t="shared" si="101"/>
        <v>0.32157592427797171</v>
      </c>
      <c r="AN12" s="209"/>
      <c r="AO12" s="64">
        <f t="shared" si="19"/>
        <v>0.32157592427797171</v>
      </c>
      <c r="AP12" s="64">
        <f>IF($AC12="",#N/A,SUM(AO$4:AO12))</f>
        <v>2.7563170011899345</v>
      </c>
      <c r="AQ12" s="64" t="str">
        <f t="shared" si="20"/>
        <v/>
      </c>
      <c r="AR12" s="64">
        <f>IF($AC12="",#N/A,SUM(AQ$4:AQ12))</f>
        <v>0</v>
      </c>
      <c r="AS12" s="64" t="str">
        <f t="shared" si="21"/>
        <v/>
      </c>
      <c r="AT12" s="64">
        <f>IF($AC12="",#N/A,SUM(AS$4:AS12))</f>
        <v>-4.0663838871605176</v>
      </c>
      <c r="AU12" s="62">
        <f t="shared" si="102"/>
        <v>19.080000000000041</v>
      </c>
      <c r="AV12" s="62">
        <f>IF($AC12="",#N/A,SUM(AU$4:AU12))</f>
        <v>177.32000000000005</v>
      </c>
      <c r="AW12" s="62" t="str">
        <f t="shared" si="103"/>
        <v/>
      </c>
      <c r="AX12" s="62">
        <f>IF($AC12="",#N/A,SUM(AW$4:AW12))</f>
        <v>0</v>
      </c>
      <c r="AY12" s="61" t="str">
        <f t="shared" si="104"/>
        <v/>
      </c>
      <c r="AZ12" s="62">
        <f>IF($AC12="",#N/A,SUM(AY$4:AY12))</f>
        <v>-262.79999999999973</v>
      </c>
      <c r="BA12" s="62">
        <f>IF(AD12="",#N/A,SUM($AD$4:AD12))</f>
        <v>-85.479999999999677</v>
      </c>
      <c r="BC12" s="59" t="str">
        <f t="shared" si="22"/>
        <v/>
      </c>
      <c r="BD12" s="59" t="str">
        <f t="shared" si="23"/>
        <v/>
      </c>
      <c r="BE12" s="59">
        <f t="shared" si="24"/>
        <v>1</v>
      </c>
      <c r="BF12" s="59" t="str">
        <f t="shared" si="25"/>
        <v>Long</v>
      </c>
      <c r="BG12" s="59" t="str">
        <f t="shared" si="26"/>
        <v/>
      </c>
      <c r="BH12" s="59" t="str">
        <f t="shared" si="27"/>
        <v/>
      </c>
      <c r="BI12" s="59" t="str">
        <f t="shared" si="28"/>
        <v/>
      </c>
      <c r="BK12" s="184"/>
      <c r="BL12" s="184"/>
      <c r="BM12" s="184"/>
      <c r="BO12" s="489">
        <f>IF(J12="",#N/A,IF(S12="SW",(COUNTIFS(K$4:$K12,"&gt;0",S$4:$S12,"SW")/COUNTIF(S$4:$S12,"SW")),#N/A))</f>
        <v>0.14285714285714285</v>
      </c>
      <c r="BP12" s="489" t="e">
        <f>IF($J12="",#N/A,IF($S12="DWN",(COUNTIFS($K$4:$K12,"&lt;0",$S$4:$S12,"DWN")/COUNTIF($S$4:$S12,"DWN")),#N/A))</f>
        <v>#N/A</v>
      </c>
      <c r="BQ12" s="489" t="e">
        <f>IF($J12="",#N/A,IF($S12="UP",(COUNTIFS($K$4:$K12,"&gt;0",$S$4:$S12,"UP")/COUNTIF($S$4:$S12,"UP")),#N/A))</f>
        <v>#N/A</v>
      </c>
      <c r="BR12" s="489">
        <f>IF(J12="",#N/A,COUNTIF($K$4:K12,"&gt;0")/COUNT($J$4:J12))</f>
        <v>0.22222222222222221</v>
      </c>
      <c r="BS12" s="65">
        <f t="shared" si="29"/>
        <v>0.52449909662109329</v>
      </c>
      <c r="BT12" s="65" t="str">
        <f t="shared" si="30"/>
        <v/>
      </c>
      <c r="BU12" s="65" t="str">
        <f t="shared" si="31"/>
        <v/>
      </c>
      <c r="BV12" s="65" t="str">
        <f t="shared" si="32"/>
        <v/>
      </c>
      <c r="BW12" s="151" t="str">
        <f t="shared" si="33"/>
        <v/>
      </c>
      <c r="BX12" s="151">
        <f>IF($J12="",#N/A,SUM($BW$4:BW12))</f>
        <v>0</v>
      </c>
      <c r="BY12" s="152" t="str">
        <f t="shared" si="34"/>
        <v/>
      </c>
      <c r="BZ12" s="152">
        <f>IF($J12="",#N/A,SUM($BY$4:BY12))</f>
        <v>13.9200000000003</v>
      </c>
      <c r="CA12" s="153">
        <f t="shared" si="35"/>
        <v>31.120000000000005</v>
      </c>
      <c r="CB12" s="154">
        <f>IF($J12="",#N/A,SUM($CA$4:CA12))</f>
        <v>-97.7800000000002</v>
      </c>
      <c r="CC12" s="191" t="str">
        <f t="shared" si="36"/>
        <v/>
      </c>
      <c r="CD12" s="191">
        <f>IF($J12="",#N/A,SUM($CC$4:CC12))</f>
        <v>0</v>
      </c>
      <c r="CE12" s="192" t="str">
        <f t="shared" si="37"/>
        <v/>
      </c>
      <c r="CF12" s="192">
        <f>IF($J12="",#N/A,SUM($CE$4:CE12))</f>
        <v>0.20039738260780871</v>
      </c>
      <c r="CG12" s="193">
        <f t="shared" si="38"/>
        <v>0.52449909662109329</v>
      </c>
      <c r="CH12" s="193">
        <f>IF($J12="",#N/A,SUM($CG$4:CG12))</f>
        <v>-1.5119749040259491</v>
      </c>
      <c r="CI12" s="200" t="str">
        <f t="shared" si="39"/>
        <v/>
      </c>
      <c r="CJ12" s="200">
        <f>IF($J12="",#N/A,SUM(CI$4:CI12))</f>
        <v>0</v>
      </c>
      <c r="CK12" s="201" t="str">
        <f t="shared" si="40"/>
        <v/>
      </c>
      <c r="CL12" s="201">
        <f>IF($J12="",#N/A,SUM(CK$4:CK12))</f>
        <v>0</v>
      </c>
      <c r="CM12" s="202" t="str">
        <f t="shared" si="41"/>
        <v/>
      </c>
      <c r="CN12" s="202">
        <f>IF($J12="",#N/A,SUM(CM$4:CM12))</f>
        <v>0</v>
      </c>
      <c r="CO12" s="202">
        <f>IF($J12="",#N/A,SUM(CM$4:CM12,CK$4:CK12,CI$4:CI12))</f>
        <v>0</v>
      </c>
      <c r="CP12" s="200" t="str">
        <f t="shared" si="42"/>
        <v/>
      </c>
      <c r="CQ12" s="200">
        <f>IF($J12="",#N/A,SUM(CP$4:CP12))</f>
        <v>0</v>
      </c>
      <c r="CR12" s="201" t="str">
        <f t="shared" si="43"/>
        <v/>
      </c>
      <c r="CS12" s="201">
        <f>IF($J12="",#N/A,SUM(CR$4:CR12))</f>
        <v>0</v>
      </c>
      <c r="CT12" s="202" t="str">
        <f t="shared" si="44"/>
        <v/>
      </c>
      <c r="CU12" s="202">
        <f>IF($J12="",#N/A,SUM(CT$4:CT12))</f>
        <v>0</v>
      </c>
      <c r="CV12" s="202">
        <f>IF($J12="",#N/A,SUM(CT$4:CT12,CR$4:CR12,CP$4:CP12))</f>
        <v>0</v>
      </c>
      <c r="CW12" s="200" t="str">
        <f t="shared" si="45"/>
        <v/>
      </c>
      <c r="CX12" s="200">
        <f>IF($J12="",#N/A,SUM(CW$4:CW12))</f>
        <v>0</v>
      </c>
      <c r="CY12" s="201" t="str">
        <f t="shared" si="46"/>
        <v/>
      </c>
      <c r="CZ12" s="201">
        <f>IF($J12="",#N/A,SUM(CY$4:CY12))</f>
        <v>0</v>
      </c>
      <c r="DA12" s="202" t="str">
        <f t="shared" si="47"/>
        <v/>
      </c>
      <c r="DB12" s="202">
        <f>IF($J12="",#N/A,SUM(DA$4:DA12))</f>
        <v>0</v>
      </c>
      <c r="DC12" s="202">
        <f>IF($J12="",#N/A,SUM(DA$4:DA12,CY$4:CY12,CW$4:CW12))</f>
        <v>0</v>
      </c>
      <c r="DD12" s="200" t="str">
        <f t="shared" si="48"/>
        <v/>
      </c>
      <c r="DE12" s="200">
        <f>IF($J12="",#N/A,SUM(DD$4:DD12))</f>
        <v>0</v>
      </c>
      <c r="DF12" s="201" t="str">
        <f t="shared" si="49"/>
        <v/>
      </c>
      <c r="DG12" s="201">
        <f>IF($J12="",#N/A,SUM(DF$4:DF12))</f>
        <v>0.6788440567066546</v>
      </c>
      <c r="DH12" s="202" t="str">
        <f t="shared" si="50"/>
        <v/>
      </c>
      <c r="DI12" s="202">
        <f>IF($J12="",#N/A,SUM(DH$4:DH12))</f>
        <v>0</v>
      </c>
      <c r="DJ12" s="202">
        <f>IF($J12="",#N/A,SUM(DH$4:DH12,DF$4:DF12,DD$4:DD12))</f>
        <v>0.6788440567066546</v>
      </c>
      <c r="DK12" s="200" t="str">
        <f t="shared" si="51"/>
        <v/>
      </c>
      <c r="DL12" s="200">
        <f>IF($J12="",#N/A,SUM(DK$4:DK12))</f>
        <v>0</v>
      </c>
      <c r="DM12" s="201" t="str">
        <f t="shared" si="52"/>
        <v/>
      </c>
      <c r="DN12" s="201">
        <f>IF($J12="",#N/A,SUM(DM$4:DM12))</f>
        <v>0</v>
      </c>
      <c r="DO12" s="202" t="str">
        <f t="shared" si="53"/>
        <v/>
      </c>
      <c r="DP12" s="202">
        <f>IF($J12="",#N/A,SUM(DO$4:DO12))</f>
        <v>0</v>
      </c>
      <c r="DQ12" s="202">
        <f>IF($J12="",#N/A,SUM(DO$4:DO12,DM$4:DM12,DK$4:DK12))</f>
        <v>0</v>
      </c>
      <c r="DR12" s="200" t="str">
        <f t="shared" si="54"/>
        <v/>
      </c>
      <c r="DS12" s="200">
        <f>IF($J12="",#N/A,SUM(DR$4:DR12))</f>
        <v>0</v>
      </c>
      <c r="DT12" s="201" t="str">
        <f t="shared" si="55"/>
        <v/>
      </c>
      <c r="DU12" s="201">
        <f>IF($J12="",#N/A,SUM(DT$4:DT12))</f>
        <v>0</v>
      </c>
      <c r="DV12" s="202">
        <f t="shared" si="56"/>
        <v>0.52449909662109329</v>
      </c>
      <c r="DW12" s="202">
        <f>IF($J12="",#N/A,SUM(DV$4:DV12))</f>
        <v>-1.384429493461667</v>
      </c>
      <c r="DX12" s="202">
        <f>IF($J12="",#N/A,SUM(DV$4:DV12,DT$4:DT12,DR$4:DR12))</f>
        <v>-1.384429493461667</v>
      </c>
      <c r="DY12" s="200" t="str">
        <f t="shared" si="57"/>
        <v/>
      </c>
      <c r="DZ12" s="200">
        <f>IF($J12="",#N/A,SUM(DY$4:DY12))</f>
        <v>0</v>
      </c>
      <c r="EA12" s="201" t="str">
        <f t="shared" si="58"/>
        <v/>
      </c>
      <c r="EB12" s="201">
        <f>IF($J12="",#N/A,SUM(EA$4:EA12))</f>
        <v>-0.47844667409884589</v>
      </c>
      <c r="EC12" s="202" t="str">
        <f t="shared" si="59"/>
        <v/>
      </c>
      <c r="ED12" s="202">
        <f>IF($J12="",#N/A,SUM(EC$4:EC12))</f>
        <v>-0.12754541056428245</v>
      </c>
      <c r="EE12" s="202">
        <f>IF($J12="",#N/A,SUM(EC$4:EC12,EA$4:EA12,DY$4:DY12))</f>
        <v>-0.60599208466312837</v>
      </c>
      <c r="EF12" s="200" t="str">
        <f t="shared" si="60"/>
        <v/>
      </c>
      <c r="EG12" s="200">
        <f>IF($J12="",#N/A,SUM(EF$4:EF12))</f>
        <v>0</v>
      </c>
      <c r="EH12" s="201" t="str">
        <f t="shared" si="61"/>
        <v/>
      </c>
      <c r="EI12" s="201">
        <f>IF($J12="",#N/A,SUM(EH$4:EH12))</f>
        <v>0</v>
      </c>
      <c r="EJ12" s="202" t="str">
        <f t="shared" si="62"/>
        <v/>
      </c>
      <c r="EK12" s="202">
        <f>IF($J12="",#N/A,SUM(EJ$4:EJ12))</f>
        <v>0</v>
      </c>
      <c r="EL12" s="202">
        <f>IF($J12="",#N/A,SUM(EJ$4:EJ12,EH$4:EH12,EF$4:EF12))</f>
        <v>0</v>
      </c>
      <c r="EM12" s="200" t="str">
        <f t="shared" si="63"/>
        <v/>
      </c>
      <c r="EN12" s="200">
        <f>IF($J12="",#N/A,SUM(EM$4:EM12))</f>
        <v>0</v>
      </c>
      <c r="EO12" s="201" t="str">
        <f t="shared" si="64"/>
        <v/>
      </c>
      <c r="EP12" s="201">
        <f>IF($J12="",#N/A,SUM(EO$4:EO12))</f>
        <v>0</v>
      </c>
      <c r="EQ12" s="202" t="str">
        <f t="shared" si="65"/>
        <v/>
      </c>
      <c r="ER12" s="202">
        <f>IF($J12="",#N/A,SUM(EQ$4:EQ12))</f>
        <v>0</v>
      </c>
      <c r="ES12" s="202">
        <f>IF($J12="",#N/A,SUM(EQ$4:EQ12,EO$4:EO12,EM$4:EM12))</f>
        <v>0</v>
      </c>
      <c r="ET12" s="200" t="str">
        <f t="shared" si="66"/>
        <v/>
      </c>
      <c r="EU12" s="200">
        <f>IF($J12="",#N/A,SUM(ET$4:ET12))</f>
        <v>0</v>
      </c>
      <c r="EV12" s="201" t="str">
        <f t="shared" si="67"/>
        <v/>
      </c>
      <c r="EW12" s="201">
        <f>IF($J12="",#N/A,SUM(EV$4:EV12))</f>
        <v>0</v>
      </c>
      <c r="EX12" s="202" t="str">
        <f t="shared" si="68"/>
        <v/>
      </c>
      <c r="EY12" s="202">
        <f>IF($J12="",#N/A,SUM(EX$4:EX12))</f>
        <v>0</v>
      </c>
      <c r="EZ12" s="202">
        <f>IF($J12="",#N/A,SUM(EX$4:EX12,EV$4:EV12,ET$4:ET12))</f>
        <v>0</v>
      </c>
      <c r="FA12" s="200" t="str">
        <f t="shared" si="69"/>
        <v/>
      </c>
      <c r="FB12" s="200">
        <f>IF($J12="",#N/A,SUM(FA$4:FA12))</f>
        <v>0</v>
      </c>
      <c r="FC12" s="201" t="str">
        <f t="shared" si="70"/>
        <v/>
      </c>
      <c r="FD12" s="201">
        <f>IF($J12="",#N/A,SUM(FC$4:FC12))</f>
        <v>0</v>
      </c>
      <c r="FE12" s="202" t="str">
        <f t="shared" si="71"/>
        <v/>
      </c>
      <c r="FF12" s="202">
        <f>IF($J12="",#N/A,SUM(FE$4:FE12))</f>
        <v>0</v>
      </c>
      <c r="FG12" s="202">
        <f>IF($J12="",#N/A,SUM(FE$4:FE12,FC$4:FC12,FA$4:FA12))</f>
        <v>0</v>
      </c>
      <c r="FH12" s="200" t="str">
        <f t="shared" si="72"/>
        <v/>
      </c>
      <c r="FI12" s="200">
        <f>IF($J12="",#N/A,SUM(FH$4:FH12))</f>
        <v>0</v>
      </c>
      <c r="FJ12" s="201" t="str">
        <f t="shared" si="73"/>
        <v/>
      </c>
      <c r="FK12" s="201">
        <f>IF($J12="",#N/A,SUM(FJ$4:FJ12))</f>
        <v>0</v>
      </c>
      <c r="FL12" s="202" t="str">
        <f t="shared" si="74"/>
        <v/>
      </c>
      <c r="FM12" s="202">
        <f>IF($J12="",#N/A,SUM(FL$4:FL12))</f>
        <v>0</v>
      </c>
      <c r="FN12" s="202">
        <f>IF($J12="",#N/A,SUM(FL$4:FL12,FJ$4:FJ12,FH$4:FH12))</f>
        <v>0</v>
      </c>
      <c r="FO12" s="200" t="str">
        <f t="shared" si="75"/>
        <v/>
      </c>
      <c r="FP12" s="200">
        <f>IF($J12="",#N/A,SUM(FO$4:FO12))</f>
        <v>0</v>
      </c>
      <c r="FQ12" s="201" t="str">
        <f t="shared" si="76"/>
        <v/>
      </c>
      <c r="FR12" s="201">
        <f>IF($J12="",#N/A,SUM(FQ$4:FQ12))</f>
        <v>0</v>
      </c>
      <c r="FS12" s="202" t="str">
        <f t="shared" si="77"/>
        <v/>
      </c>
      <c r="FT12" s="202">
        <f>IF($J12="",#N/A,SUM(FS$4:FS12))</f>
        <v>0</v>
      </c>
      <c r="FU12" s="202">
        <f>IF($J12="",#N/A,SUM(FS$4:FS12,FQ$4:FQ12,FO$4:FO12))</f>
        <v>0</v>
      </c>
      <c r="FV12" s="200" t="str">
        <f t="shared" si="78"/>
        <v/>
      </c>
      <c r="FW12" s="200">
        <f>IF($J12="",#N/A,SUM(FV$4:FV12))</f>
        <v>0</v>
      </c>
      <c r="FX12" s="201" t="str">
        <f t="shared" si="79"/>
        <v/>
      </c>
      <c r="FY12" s="201">
        <f>IF($J12="",#N/A,SUM(FX$4:FX12))</f>
        <v>0</v>
      </c>
      <c r="FZ12" s="202" t="str">
        <f t="shared" si="80"/>
        <v/>
      </c>
      <c r="GA12" s="202">
        <f>IF($J12="",#N/A,SUM(FZ$4:FZ12))</f>
        <v>0</v>
      </c>
      <c r="GB12" s="202">
        <f>IF($J12="",#N/A,SUM(FZ$4:FZ12,FX$4:FX12,FV$4:FV12))</f>
        <v>0</v>
      </c>
      <c r="GC12" s="200" t="str">
        <f t="shared" si="81"/>
        <v/>
      </c>
      <c r="GD12" s="200">
        <f>IF($J12="",#N/A,SUM(GC$4:GC12))</f>
        <v>0</v>
      </c>
      <c r="GE12" s="201" t="str">
        <f t="shared" si="82"/>
        <v/>
      </c>
      <c r="GF12" s="201">
        <f>IF($J12="",#N/A,SUM(GE$4:GE12))</f>
        <v>0</v>
      </c>
      <c r="GG12" s="202" t="str">
        <f t="shared" si="83"/>
        <v/>
      </c>
      <c r="GH12" s="202">
        <f>IF($J12="",#N/A,SUM(GG$4:GG12))</f>
        <v>0</v>
      </c>
      <c r="GI12" s="202">
        <f>IF($J12="",#N/A,SUM(GG$4:GG12,GE$4:GE12,GC$4:GC12))</f>
        <v>0</v>
      </c>
      <c r="GJ12" s="200" t="str">
        <f t="shared" si="84"/>
        <v/>
      </c>
      <c r="GK12" s="200">
        <f>IF($J12="",#N/A,SUM(GJ$4:GJ12))</f>
        <v>0</v>
      </c>
      <c r="GL12" s="201" t="str">
        <f t="shared" si="85"/>
        <v/>
      </c>
      <c r="GM12" s="201">
        <f>IF($J12="",#N/A,SUM(GL$4:GL12))</f>
        <v>0</v>
      </c>
      <c r="GN12" s="202" t="str">
        <f t="shared" si="86"/>
        <v/>
      </c>
      <c r="GO12" s="202">
        <f>IF($J12="",#N/A,SUM(GN$4:GN12))</f>
        <v>0</v>
      </c>
      <c r="GP12" s="202">
        <f>IF($J12="",#N/A,SUM(GN$4:GN12,GL$4:GL12,GJ$4:GJ12))</f>
        <v>0</v>
      </c>
      <c r="GS12" s="177">
        <f t="shared" si="105"/>
        <v>0.52449909662109329</v>
      </c>
      <c r="GT12" s="177">
        <f>IF(GS12="",NA(),SUM($GS$4:GS12))</f>
        <v>-1.3115775214181404</v>
      </c>
      <c r="GU12" s="177" t="str">
        <f t="shared" si="87"/>
        <v/>
      </c>
      <c r="GV12" s="177" t="e">
        <f>IF(GU12="",NA(),SUM($GU$4:GU12))</f>
        <v>#N/A</v>
      </c>
      <c r="GW12" s="177">
        <f t="shared" si="88"/>
        <v>0.52449909662109329</v>
      </c>
      <c r="GX12" s="177">
        <f>IF(GW12="",NA(),SUM($GW$4:GW12))</f>
        <v>-1.5119749040259491</v>
      </c>
      <c r="GY12" s="177" t="str">
        <f t="shared" si="89"/>
        <v/>
      </c>
      <c r="GZ12" s="177" t="e">
        <f>IF(GY12="",NA(),SUM($GY$4:GY12))</f>
        <v>#N/A</v>
      </c>
      <c r="HA12" s="177" t="str">
        <f t="shared" si="90"/>
        <v/>
      </c>
      <c r="HB12" s="177" t="e">
        <f>IF(HA12="",NA(),SUM($HA$4:HA12))</f>
        <v>#N/A</v>
      </c>
      <c r="HC12" s="177" t="str">
        <f t="shared" si="91"/>
        <v/>
      </c>
      <c r="HD12" s="177" t="e">
        <f>IF(HC12="",NA(),SUM($HC$4:HC12))</f>
        <v>#N/A</v>
      </c>
      <c r="HE12" s="177" t="str">
        <f t="shared" si="92"/>
        <v/>
      </c>
      <c r="HF12" s="177" t="e">
        <f>IF(HE12="",NA(),SUM($HE$4:HE12))</f>
        <v>#N/A</v>
      </c>
      <c r="HG12" s="177" t="str">
        <f t="shared" si="93"/>
        <v/>
      </c>
      <c r="HH12" s="177" t="e">
        <f>IF(HG12="",NA(),SUM($HG$4:HG12))</f>
        <v>#N/A</v>
      </c>
      <c r="HI12" s="183" t="str">
        <f t="shared" si="106"/>
        <v/>
      </c>
      <c r="HJ12" s="291">
        <f>IF($J12="",#N/A,SUM(HI$4:$HI12))</f>
        <v>-0.80152671755725302</v>
      </c>
      <c r="HK12" s="177" t="str">
        <f t="shared" si="94"/>
        <v/>
      </c>
      <c r="HL12" s="177">
        <f>IF($J12="",#N/A,SUM($HK$4:HK12))</f>
        <v>-3.4652545522110731</v>
      </c>
      <c r="HM12" s="177" t="str">
        <f t="shared" si="95"/>
        <v/>
      </c>
      <c r="HN12" s="177">
        <f>IF($J12="",#N/A,SUM($HM$4:HM12))</f>
        <v>0</v>
      </c>
      <c r="HO12" s="177" t="str">
        <f t="shared" si="96"/>
        <v/>
      </c>
      <c r="HP12" s="177">
        <f>IF($J12="",#N/A,SUM($HO$4:HO12))</f>
        <v>0</v>
      </c>
      <c r="HQ12" s="177">
        <f t="shared" si="97"/>
        <v>-0.20292317234312157</v>
      </c>
      <c r="HR12" s="177">
        <f>IF($J12="",#N/A,SUM($HQ$4:HQ12))</f>
        <v>-0.20292317234312157</v>
      </c>
      <c r="HS12" s="177" t="str">
        <f t="shared" si="98"/>
        <v/>
      </c>
      <c r="HT12" s="177">
        <f>IF($J12="",#N/A,SUM($HS$4:HS12))</f>
        <v>4.4712150775590054</v>
      </c>
      <c r="HU12" s="64">
        <f t="shared" si="99"/>
        <v>0.32157592427797171</v>
      </c>
      <c r="HV12" s="64">
        <f>IF($J12="",#N/A,SUM(HU$4:$HU12))</f>
        <v>-1.3100668859705833</v>
      </c>
    </row>
    <row r="13" spans="1:230" ht="15.75" thickBot="1" x14ac:dyDescent="0.3">
      <c r="A13" s="292" t="s">
        <v>1444</v>
      </c>
      <c r="B13" s="293" t="s">
        <v>4478</v>
      </c>
      <c r="C13" s="294">
        <f t="shared" si="0"/>
        <v>2</v>
      </c>
      <c r="D13" s="295" t="str">
        <f>_xlfn.XLOOKUP(A13,[1]SP500!$A$2:$A$502,[1]SP500!$D$2:$D$502,"N")</f>
        <v>Y</v>
      </c>
      <c r="E13" s="292" t="str">
        <f>IFERROR(_xlfn.XLOOKUP(A13,[1]SP500!$A$2:$A$655,[1]SP500!$B$2:$B$655),"")</f>
        <v>XLF</v>
      </c>
      <c r="F13" s="296">
        <v>45761</v>
      </c>
      <c r="G13" s="292" t="str">
        <f t="shared" si="1"/>
        <v>BMO</v>
      </c>
      <c r="H13" s="292" t="str">
        <f t="shared" si="2"/>
        <v>sk</v>
      </c>
      <c r="I13" s="345">
        <v>157.94999999999999</v>
      </c>
      <c r="J13" s="313">
        <v>157</v>
      </c>
      <c r="K13" s="298">
        <f t="shared" si="3"/>
        <v>-6.0145615701170541E-3</v>
      </c>
      <c r="L13" s="299">
        <f t="shared" si="4"/>
        <v>6.7162804685026458</v>
      </c>
      <c r="M13" s="300" t="e">
        <f t="shared" si="5"/>
        <v>#N/A</v>
      </c>
      <c r="N13" s="301">
        <f t="shared" si="6"/>
        <v>6.7162804685026458</v>
      </c>
      <c r="O13" s="302">
        <f>IF(N13="",#N/A,SUM($N$4:N13))</f>
        <v>-77.143719531497254</v>
      </c>
      <c r="P13" s="305">
        <f t="shared" si="100"/>
        <v>0.10024269283528475</v>
      </c>
      <c r="Q13" s="304">
        <f>IF($N13="",#N/A,SUM($P$4:P13))</f>
        <v>-1.2113348285828556</v>
      </c>
      <c r="R13" s="307">
        <f t="shared" si="7"/>
        <v>-0.30640595380597835</v>
      </c>
      <c r="S13" s="292" t="str">
        <f t="shared" si="8"/>
        <v>Dwn</v>
      </c>
      <c r="T13" s="292" t="s">
        <v>4462</v>
      </c>
      <c r="U13" s="308">
        <f t="shared" si="9"/>
        <v>157.94999999999999</v>
      </c>
      <c r="V13" s="308" t="s">
        <v>4458</v>
      </c>
      <c r="W13" s="306">
        <f>IF(I13="","",1116.67/I13)</f>
        <v>7.06976891421336</v>
      </c>
      <c r="X13" s="309">
        <f t="shared" si="10"/>
        <v>1116.67</v>
      </c>
      <c r="Y13" s="306">
        <f t="shared" si="11"/>
        <v>7.06976891421336</v>
      </c>
      <c r="Z13" s="537">
        <f>J13</f>
        <v>157</v>
      </c>
      <c r="AA13" s="341">
        <f t="shared" si="12"/>
        <v>6.7162804685026458</v>
      </c>
      <c r="AB13" s="341">
        <f t="shared" si="13"/>
        <v>-3.8883729028175367</v>
      </c>
      <c r="AC13" s="313">
        <v>158.5</v>
      </c>
      <c r="AD13" s="301">
        <f t="shared" si="14"/>
        <v>-3.8883729028175367</v>
      </c>
      <c r="AE13" s="546">
        <f t="shared" si="15"/>
        <v>-5.8035243220431229E-2</v>
      </c>
      <c r="AF13" s="300">
        <f>IF($AC13="",#N/A,SUM(AD$4:AD13))</f>
        <v>-89.368372902817214</v>
      </c>
      <c r="AG13" s="341">
        <f t="shared" si="16"/>
        <v>-10.604653371320182</v>
      </c>
      <c r="AH13" s="308" t="s">
        <v>4464</v>
      </c>
      <c r="AI13" s="305">
        <f t="shared" si="17"/>
        <v>0</v>
      </c>
      <c r="AJ13" s="303">
        <f>IF(AI13="",#N/A,SUM($AI$4:AI13))</f>
        <v>-0.90492887477687722</v>
      </c>
      <c r="AK13" s="300" t="str">
        <f t="shared" si="18"/>
        <v/>
      </c>
      <c r="AL13" s="312">
        <f>IF(AI13="",#N/A,IF(AH13="Skip",SUM($AK$4:AK13),SUM($AK$4:AK13)))</f>
        <v>-57.600000000000136</v>
      </c>
      <c r="AM13" s="65">
        <f t="shared" si="101"/>
        <v>-5.8035243220431229E-2</v>
      </c>
      <c r="AN13" s="209"/>
      <c r="AO13" s="305" t="str">
        <f t="shared" si="19"/>
        <v/>
      </c>
      <c r="AP13" s="305">
        <f>IF($AC13="",#N/A,SUM(AO$4:AO13))</f>
        <v>2.7563170011899345</v>
      </c>
      <c r="AQ13" s="305" t="str">
        <f t="shared" si="20"/>
        <v/>
      </c>
      <c r="AR13" s="305">
        <f>IF($AC13="",#N/A,SUM(AQ$4:AQ13))</f>
        <v>0</v>
      </c>
      <c r="AS13" s="305">
        <f t="shared" si="21"/>
        <v>-5.8035243220431229E-2</v>
      </c>
      <c r="AT13" s="305">
        <f>IF($AC13="",#N/A,SUM(AS$4:AS13))</f>
        <v>-4.1244191303809492</v>
      </c>
      <c r="AU13" s="300" t="str">
        <f t="shared" si="102"/>
        <v/>
      </c>
      <c r="AV13" s="300">
        <f>IF($AC13="",#N/A,SUM(AU$4:AU13))</f>
        <v>177.32000000000005</v>
      </c>
      <c r="AW13" s="300" t="str">
        <f t="shared" si="103"/>
        <v/>
      </c>
      <c r="AX13" s="300">
        <f>IF($AC13="",#N/A,SUM(AW$4:AW13))</f>
        <v>0</v>
      </c>
      <c r="AY13" s="308">
        <f t="shared" si="104"/>
        <v>-3.8883729028175367</v>
      </c>
      <c r="AZ13" s="300">
        <f>IF($AC13="",#N/A,SUM(AY$4:AY13))</f>
        <v>-266.68837290281726</v>
      </c>
      <c r="BA13" s="300">
        <f>IF(AD13="",#N/A,SUM($AD$4:AD13))</f>
        <v>-89.368372902817214</v>
      </c>
      <c r="BC13" s="292" t="str">
        <f t="shared" si="22"/>
        <v/>
      </c>
      <c r="BD13" s="292" t="str">
        <f t="shared" si="23"/>
        <v/>
      </c>
      <c r="BE13" s="292" t="str">
        <f t="shared" si="24"/>
        <v/>
      </c>
      <c r="BF13" s="292" t="str">
        <f t="shared" si="25"/>
        <v>Short</v>
      </c>
      <c r="BG13" s="292">
        <f t="shared" si="26"/>
        <v>1</v>
      </c>
      <c r="BH13" s="292" t="str">
        <f t="shared" si="27"/>
        <v/>
      </c>
      <c r="BI13" s="292" t="str">
        <f t="shared" si="28"/>
        <v/>
      </c>
      <c r="BK13" s="73"/>
      <c r="BL13" s="73"/>
      <c r="BM13" s="73"/>
      <c r="BO13" s="489" t="e">
        <f>IF(J13="",#N/A,IF(S13="SW",(COUNTIFS(K$4:$K13,"&gt;0",S$4:$S13,"SW")/COUNTIF(S$4:$S13,"SW")),#N/A))</f>
        <v>#N/A</v>
      </c>
      <c r="BP13" s="489">
        <f>IF($J13="",#N/A,IF($S13="DWN",(COUNTIFS($K$4:$K13,"&lt;0",$S$4:$S13,"DWN")/COUNTIF($S$4:$S13,"DWN")),#N/A))</f>
        <v>0.66666666666666663</v>
      </c>
      <c r="BQ13" s="489" t="e">
        <f>IF($J13="",#N/A,IF($S13="UP",(COUNTIFS($K$4:$K13,"&gt;0",$S$4:$S13,"UP")/COUNTIF($S$4:$S13,"UP")),#N/A))</f>
        <v>#N/A</v>
      </c>
      <c r="BR13" s="489">
        <f>IF(J13="",#N/A,COUNTIF($K$4:K13,"&gt;0")/COUNT($J$4:J13))</f>
        <v>0.2</v>
      </c>
      <c r="BS13" s="73" t="str">
        <f t="shared" si="29"/>
        <v/>
      </c>
      <c r="BT13" s="73" t="str">
        <f t="shared" si="30"/>
        <v/>
      </c>
      <c r="BU13" s="73" t="str">
        <f t="shared" si="31"/>
        <v/>
      </c>
      <c r="BV13" s="73" t="str">
        <f t="shared" si="32"/>
        <v/>
      </c>
      <c r="BW13" s="151" t="str">
        <f t="shared" si="33"/>
        <v/>
      </c>
      <c r="BX13" s="151">
        <f>IF($J13="",#N/A,SUM($BW$4:BW13))</f>
        <v>0</v>
      </c>
      <c r="BY13" s="152">
        <f t="shared" si="34"/>
        <v>6.7162804685026458</v>
      </c>
      <c r="BZ13" s="152">
        <f>IF($J13="",#N/A,SUM($BY$4:BY13))</f>
        <v>20.636280468502946</v>
      </c>
      <c r="CA13" s="153" t="str">
        <f t="shared" si="35"/>
        <v/>
      </c>
      <c r="CB13" s="154">
        <f>IF($J13="",#N/A,SUM($CA$4:CA13))</f>
        <v>-97.7800000000002</v>
      </c>
      <c r="CC13" s="191" t="str">
        <f t="shared" si="36"/>
        <v/>
      </c>
      <c r="CD13" s="191">
        <f>IF($J13="",#N/A,SUM($CC$4:CC13))</f>
        <v>0</v>
      </c>
      <c r="CE13" s="192">
        <f t="shared" si="37"/>
        <v>0.10024269283528475</v>
      </c>
      <c r="CF13" s="192">
        <f>IF($J13="",#N/A,SUM($CE$4:CE13))</f>
        <v>0.30064007544309346</v>
      </c>
      <c r="CG13" s="193" t="str">
        <f t="shared" si="38"/>
        <v/>
      </c>
      <c r="CH13" s="193">
        <f>IF($J13="",#N/A,SUM($CG$4:CG13))</f>
        <v>-1.5119749040259491</v>
      </c>
      <c r="CI13" s="200" t="str">
        <f t="shared" si="39"/>
        <v/>
      </c>
      <c r="CJ13" s="200">
        <f>IF($J13="",#N/A,SUM(CI$4:CI13))</f>
        <v>0</v>
      </c>
      <c r="CK13" s="201" t="str">
        <f t="shared" si="40"/>
        <v/>
      </c>
      <c r="CL13" s="201">
        <f>IF($J13="",#N/A,SUM(CK$4:CK13))</f>
        <v>0</v>
      </c>
      <c r="CM13" s="202" t="str">
        <f t="shared" si="41"/>
        <v/>
      </c>
      <c r="CN13" s="202">
        <f>IF($J13="",#N/A,SUM(CM$4:CM13))</f>
        <v>0</v>
      </c>
      <c r="CO13" s="202">
        <f>IF($J13="",#N/A,SUM(CM$4:CM13,CK$4:CK13,CI$4:CI13))</f>
        <v>0</v>
      </c>
      <c r="CP13" s="200" t="str">
        <f t="shared" si="42"/>
        <v/>
      </c>
      <c r="CQ13" s="200">
        <f>IF($J13="",#N/A,SUM(CP$4:CP13))</f>
        <v>0</v>
      </c>
      <c r="CR13" s="201" t="str">
        <f t="shared" si="43"/>
        <v/>
      </c>
      <c r="CS13" s="201">
        <f>IF($J13="",#N/A,SUM(CR$4:CR13))</f>
        <v>0</v>
      </c>
      <c r="CT13" s="202" t="str">
        <f t="shared" si="44"/>
        <v/>
      </c>
      <c r="CU13" s="202">
        <f>IF($J13="",#N/A,SUM(CT$4:CT13))</f>
        <v>0</v>
      </c>
      <c r="CV13" s="202">
        <f>IF($J13="",#N/A,SUM(CT$4:CT13,CR$4:CR13,CP$4:CP13))</f>
        <v>0</v>
      </c>
      <c r="CW13" s="200" t="str">
        <f t="shared" si="45"/>
        <v/>
      </c>
      <c r="CX13" s="200">
        <f>IF($J13="",#N/A,SUM(CW$4:CW13))</f>
        <v>0</v>
      </c>
      <c r="CY13" s="201" t="str">
        <f t="shared" si="46"/>
        <v/>
      </c>
      <c r="CZ13" s="201">
        <f>IF($J13="",#N/A,SUM(CY$4:CY13))</f>
        <v>0</v>
      </c>
      <c r="DA13" s="202" t="str">
        <f t="shared" si="47"/>
        <v/>
      </c>
      <c r="DB13" s="202">
        <f>IF($J13="",#N/A,SUM(DA$4:DA13))</f>
        <v>0</v>
      </c>
      <c r="DC13" s="202">
        <f>IF($J13="",#N/A,SUM(DA$4:DA13,CY$4:CY13,CW$4:CW13))</f>
        <v>0</v>
      </c>
      <c r="DD13" s="200" t="str">
        <f t="shared" si="48"/>
        <v/>
      </c>
      <c r="DE13" s="200">
        <f>IF($J13="",#N/A,SUM(DD$4:DD13))</f>
        <v>0</v>
      </c>
      <c r="DF13" s="201" t="str">
        <f t="shared" si="49"/>
        <v/>
      </c>
      <c r="DG13" s="201">
        <f>IF($J13="",#N/A,SUM(DF$4:DF13))</f>
        <v>0.6788440567066546</v>
      </c>
      <c r="DH13" s="202" t="str">
        <f t="shared" si="50"/>
        <v/>
      </c>
      <c r="DI13" s="202">
        <f>IF($J13="",#N/A,SUM(DH$4:DH13))</f>
        <v>0</v>
      </c>
      <c r="DJ13" s="202">
        <f>IF($J13="",#N/A,SUM(DH$4:DH13,DF$4:DF13,DD$4:DD13))</f>
        <v>0.6788440567066546</v>
      </c>
      <c r="DK13" s="200" t="str">
        <f t="shared" si="51"/>
        <v/>
      </c>
      <c r="DL13" s="200">
        <f>IF($J13="",#N/A,SUM(DK$4:DK13))</f>
        <v>0</v>
      </c>
      <c r="DM13" s="201" t="str">
        <f t="shared" si="52"/>
        <v/>
      </c>
      <c r="DN13" s="201">
        <f>IF($J13="",#N/A,SUM(DM$4:DM13))</f>
        <v>0</v>
      </c>
      <c r="DO13" s="202" t="str">
        <f t="shared" si="53"/>
        <v/>
      </c>
      <c r="DP13" s="202">
        <f>IF($J13="",#N/A,SUM(DO$4:DO13))</f>
        <v>0</v>
      </c>
      <c r="DQ13" s="202">
        <f>IF($J13="",#N/A,SUM(DO$4:DO13,DM$4:DM13,DK$4:DK13))</f>
        <v>0</v>
      </c>
      <c r="DR13" s="200" t="str">
        <f t="shared" si="54"/>
        <v/>
      </c>
      <c r="DS13" s="200">
        <f>IF($J13="",#N/A,SUM(DR$4:DR13))</f>
        <v>0</v>
      </c>
      <c r="DT13" s="201">
        <f t="shared" si="55"/>
        <v>0.10024269283528475</v>
      </c>
      <c r="DU13" s="201">
        <f>IF($J13="",#N/A,SUM(DT$4:DT13))</f>
        <v>0.10024269283528475</v>
      </c>
      <c r="DV13" s="202" t="str">
        <f t="shared" si="56"/>
        <v/>
      </c>
      <c r="DW13" s="202">
        <f>IF($J13="",#N/A,SUM(DV$4:DV13))</f>
        <v>-1.384429493461667</v>
      </c>
      <c r="DX13" s="202">
        <f>IF($J13="",#N/A,SUM(DV$4:DV13,DT$4:DT13,DR$4:DR13))</f>
        <v>-1.2841868006263821</v>
      </c>
      <c r="DY13" s="200" t="str">
        <f t="shared" si="57"/>
        <v/>
      </c>
      <c r="DZ13" s="200">
        <f>IF($J13="",#N/A,SUM(DY$4:DY13))</f>
        <v>0</v>
      </c>
      <c r="EA13" s="201" t="str">
        <f t="shared" si="58"/>
        <v/>
      </c>
      <c r="EB13" s="201">
        <f>IF($J13="",#N/A,SUM(EA$4:EA13))</f>
        <v>-0.47844667409884589</v>
      </c>
      <c r="EC13" s="202" t="str">
        <f t="shared" si="59"/>
        <v/>
      </c>
      <c r="ED13" s="202">
        <f>IF($J13="",#N/A,SUM(EC$4:EC13))</f>
        <v>-0.12754541056428245</v>
      </c>
      <c r="EE13" s="202">
        <f>IF($J13="",#N/A,SUM(EC$4:EC13,EA$4:EA13,DY$4:DY13))</f>
        <v>-0.60599208466312837</v>
      </c>
      <c r="EF13" s="200" t="str">
        <f t="shared" si="60"/>
        <v/>
      </c>
      <c r="EG13" s="200">
        <f>IF($J13="",#N/A,SUM(EF$4:EF13))</f>
        <v>0</v>
      </c>
      <c r="EH13" s="201" t="str">
        <f t="shared" si="61"/>
        <v/>
      </c>
      <c r="EI13" s="201">
        <f>IF($J13="",#N/A,SUM(EH$4:EH13))</f>
        <v>0</v>
      </c>
      <c r="EJ13" s="202" t="str">
        <f t="shared" si="62"/>
        <v/>
      </c>
      <c r="EK13" s="202">
        <f>IF($J13="",#N/A,SUM(EJ$4:EJ13))</f>
        <v>0</v>
      </c>
      <c r="EL13" s="202">
        <f>IF($J13="",#N/A,SUM(EJ$4:EJ13,EH$4:EH13,EF$4:EF13))</f>
        <v>0</v>
      </c>
      <c r="EM13" s="200" t="str">
        <f t="shared" si="63"/>
        <v/>
      </c>
      <c r="EN13" s="200">
        <f>IF($J13="",#N/A,SUM(EM$4:EM13))</f>
        <v>0</v>
      </c>
      <c r="EO13" s="201" t="str">
        <f t="shared" si="64"/>
        <v/>
      </c>
      <c r="EP13" s="201">
        <f>IF($J13="",#N/A,SUM(EO$4:EO13))</f>
        <v>0</v>
      </c>
      <c r="EQ13" s="202" t="str">
        <f t="shared" si="65"/>
        <v/>
      </c>
      <c r="ER13" s="202">
        <f>IF($J13="",#N/A,SUM(EQ$4:EQ13))</f>
        <v>0</v>
      </c>
      <c r="ES13" s="202">
        <f>IF($J13="",#N/A,SUM(EQ$4:EQ13,EO$4:EO13,EM$4:EM13))</f>
        <v>0</v>
      </c>
      <c r="ET13" s="200" t="str">
        <f t="shared" si="66"/>
        <v/>
      </c>
      <c r="EU13" s="200">
        <f>IF($J13="",#N/A,SUM(ET$4:ET13))</f>
        <v>0</v>
      </c>
      <c r="EV13" s="201" t="str">
        <f t="shared" si="67"/>
        <v/>
      </c>
      <c r="EW13" s="201">
        <f>IF($J13="",#N/A,SUM(EV$4:EV13))</f>
        <v>0</v>
      </c>
      <c r="EX13" s="202" t="str">
        <f t="shared" si="68"/>
        <v/>
      </c>
      <c r="EY13" s="202">
        <f>IF($J13="",#N/A,SUM(EX$4:EX13))</f>
        <v>0</v>
      </c>
      <c r="EZ13" s="202">
        <f>IF($J13="",#N/A,SUM(EX$4:EX13,EV$4:EV13,ET$4:ET13))</f>
        <v>0</v>
      </c>
      <c r="FA13" s="200" t="str">
        <f t="shared" si="69"/>
        <v/>
      </c>
      <c r="FB13" s="200">
        <f>IF($J13="",#N/A,SUM(FA$4:FA13))</f>
        <v>0</v>
      </c>
      <c r="FC13" s="201" t="str">
        <f t="shared" si="70"/>
        <v/>
      </c>
      <c r="FD13" s="201">
        <f>IF($J13="",#N/A,SUM(FC$4:FC13))</f>
        <v>0</v>
      </c>
      <c r="FE13" s="202" t="str">
        <f t="shared" si="71"/>
        <v/>
      </c>
      <c r="FF13" s="202">
        <f>IF($J13="",#N/A,SUM(FE$4:FE13))</f>
        <v>0</v>
      </c>
      <c r="FG13" s="202">
        <f>IF($J13="",#N/A,SUM(FE$4:FE13,FC$4:FC13,FA$4:FA13))</f>
        <v>0</v>
      </c>
      <c r="FH13" s="200" t="str">
        <f t="shared" si="72"/>
        <v/>
      </c>
      <c r="FI13" s="200">
        <f>IF($J13="",#N/A,SUM(FH$4:FH13))</f>
        <v>0</v>
      </c>
      <c r="FJ13" s="201" t="str">
        <f t="shared" si="73"/>
        <v/>
      </c>
      <c r="FK13" s="201">
        <f>IF($J13="",#N/A,SUM(FJ$4:FJ13))</f>
        <v>0</v>
      </c>
      <c r="FL13" s="202" t="str">
        <f t="shared" si="74"/>
        <v/>
      </c>
      <c r="FM13" s="202">
        <f>IF($J13="",#N/A,SUM(FL$4:FL13))</f>
        <v>0</v>
      </c>
      <c r="FN13" s="202">
        <f>IF($J13="",#N/A,SUM(FL$4:FL13,FJ$4:FJ13,FH$4:FH13))</f>
        <v>0</v>
      </c>
      <c r="FO13" s="200" t="str">
        <f t="shared" si="75"/>
        <v/>
      </c>
      <c r="FP13" s="200">
        <f>IF($J13="",#N/A,SUM(FO$4:FO13))</f>
        <v>0</v>
      </c>
      <c r="FQ13" s="201" t="str">
        <f t="shared" si="76"/>
        <v/>
      </c>
      <c r="FR13" s="201">
        <f>IF($J13="",#N/A,SUM(FQ$4:FQ13))</f>
        <v>0</v>
      </c>
      <c r="FS13" s="202" t="str">
        <f t="shared" si="77"/>
        <v/>
      </c>
      <c r="FT13" s="202">
        <f>IF($J13="",#N/A,SUM(FS$4:FS13))</f>
        <v>0</v>
      </c>
      <c r="FU13" s="202">
        <f>IF($J13="",#N/A,SUM(FS$4:FS13,FQ$4:FQ13,FO$4:FO13))</f>
        <v>0</v>
      </c>
      <c r="FV13" s="200" t="str">
        <f t="shared" si="78"/>
        <v/>
      </c>
      <c r="FW13" s="200">
        <f>IF($J13="",#N/A,SUM(FV$4:FV13))</f>
        <v>0</v>
      </c>
      <c r="FX13" s="201" t="str">
        <f t="shared" si="79"/>
        <v/>
      </c>
      <c r="FY13" s="201">
        <f>IF($J13="",#N/A,SUM(FX$4:FX13))</f>
        <v>0</v>
      </c>
      <c r="FZ13" s="202" t="str">
        <f t="shared" si="80"/>
        <v/>
      </c>
      <c r="GA13" s="202">
        <f>IF($J13="",#N/A,SUM(FZ$4:FZ13))</f>
        <v>0</v>
      </c>
      <c r="GB13" s="202">
        <f>IF($J13="",#N/A,SUM(FZ$4:FZ13,FX$4:FX13,FV$4:FV13))</f>
        <v>0</v>
      </c>
      <c r="GC13" s="200" t="str">
        <f t="shared" si="81"/>
        <v/>
      </c>
      <c r="GD13" s="200">
        <f>IF($J13="",#N/A,SUM(GC$4:GC13))</f>
        <v>0</v>
      </c>
      <c r="GE13" s="201" t="str">
        <f t="shared" si="82"/>
        <v/>
      </c>
      <c r="GF13" s="201">
        <f>IF($J13="",#N/A,SUM(GE$4:GE13))</f>
        <v>0</v>
      </c>
      <c r="GG13" s="202" t="str">
        <f t="shared" si="83"/>
        <v/>
      </c>
      <c r="GH13" s="202">
        <f>IF($J13="",#N/A,SUM(GG$4:GG13))</f>
        <v>0</v>
      </c>
      <c r="GI13" s="202">
        <f>IF($J13="",#N/A,SUM(GG$4:GG13,GE$4:GE13,GC$4:GC13))</f>
        <v>0</v>
      </c>
      <c r="GJ13" s="200" t="str">
        <f t="shared" si="84"/>
        <v/>
      </c>
      <c r="GK13" s="200">
        <f>IF($J13="",#N/A,SUM(GJ$4:GJ13))</f>
        <v>0</v>
      </c>
      <c r="GL13" s="201" t="str">
        <f t="shared" si="85"/>
        <v/>
      </c>
      <c r="GM13" s="201">
        <f>IF($J13="",#N/A,SUM(GL$4:GL13))</f>
        <v>0</v>
      </c>
      <c r="GN13" s="202" t="str">
        <f t="shared" si="86"/>
        <v/>
      </c>
      <c r="GO13" s="202">
        <f>IF($J13="",#N/A,SUM(GN$4:GN13))</f>
        <v>0</v>
      </c>
      <c r="GP13" s="202">
        <f>IF($J13="",#N/A,SUM(GN$4:GN13,GL$4:GL13,GJ$4:GJ13))</f>
        <v>0</v>
      </c>
      <c r="GS13" s="303">
        <f t="shared" si="105"/>
        <v>0.10024269283528475</v>
      </c>
      <c r="GT13" s="303">
        <f>IF(GS13="",NA(),SUM($GS$4:GS13))</f>
        <v>-1.2113348285828556</v>
      </c>
      <c r="GU13" s="303" t="str">
        <f t="shared" si="87"/>
        <v/>
      </c>
      <c r="GV13" s="303" t="e">
        <f>IF(GU13="",NA(),SUM($GU$4:GU13))</f>
        <v>#N/A</v>
      </c>
      <c r="GW13" s="303" t="str">
        <f t="shared" si="88"/>
        <v/>
      </c>
      <c r="GX13" s="303" t="e">
        <f>IF(GW13="",NA(),SUM($GW$4:GW13))</f>
        <v>#N/A</v>
      </c>
      <c r="GY13" s="303">
        <f t="shared" si="89"/>
        <v>0.10024269283528475</v>
      </c>
      <c r="GZ13" s="303">
        <f>IF(GY13="",NA(),SUM($GY$4:GY13))</f>
        <v>0.30064007544309346</v>
      </c>
      <c r="HA13" s="303" t="str">
        <f t="shared" si="90"/>
        <v/>
      </c>
      <c r="HB13" s="303" t="e">
        <f>IF(HA13="",NA(),SUM($HA$4:HA13))</f>
        <v>#N/A</v>
      </c>
      <c r="HC13" s="303" t="str">
        <f t="shared" si="91"/>
        <v/>
      </c>
      <c r="HD13" s="303" t="e">
        <f>IF(HC13="",NA(),SUM($HC$4:HC13))</f>
        <v>#N/A</v>
      </c>
      <c r="HE13" s="303" t="str">
        <f t="shared" si="92"/>
        <v/>
      </c>
      <c r="HF13" s="303" t="e">
        <f>IF(HE13="",NA(),SUM($HE$4:HE13))</f>
        <v>#N/A</v>
      </c>
      <c r="HG13" s="303" t="str">
        <f t="shared" si="93"/>
        <v/>
      </c>
      <c r="HH13" s="303" t="e">
        <f>IF(HG13="",NA(),SUM($HG$4:HG13))</f>
        <v>#N/A</v>
      </c>
      <c r="HI13" s="304">
        <f t="shared" si="106"/>
        <v>-0.158277936055716</v>
      </c>
      <c r="HJ13" s="314">
        <f>IF($J13="",#N/A,SUM(HI$4:$HI13))</f>
        <v>-0.95980465361296896</v>
      </c>
      <c r="HK13" s="303" t="str">
        <f t="shared" si="94"/>
        <v/>
      </c>
      <c r="HL13" s="303">
        <f>IF($J13="",#N/A,SUM($HK$4:HK13))</f>
        <v>-3.4652545522110731</v>
      </c>
      <c r="HM13" s="303" t="str">
        <f t="shared" si="95"/>
        <v/>
      </c>
      <c r="HN13" s="303">
        <f>IF($J13="",#N/A,SUM($HM$4:HM13))</f>
        <v>0</v>
      </c>
      <c r="HO13" s="303" t="str">
        <f t="shared" si="96"/>
        <v/>
      </c>
      <c r="HP13" s="303">
        <f>IF($J13="",#N/A,SUM($HO$4:HO13))</f>
        <v>0</v>
      </c>
      <c r="HQ13" s="303" t="str">
        <f t="shared" si="97"/>
        <v/>
      </c>
      <c r="HR13" s="303">
        <f>IF($J13="",#N/A,SUM($HQ$4:HQ13))</f>
        <v>-0.20292317234312157</v>
      </c>
      <c r="HS13" s="303" t="str">
        <f t="shared" si="98"/>
        <v/>
      </c>
      <c r="HT13" s="303">
        <f>IF($J13="",#N/A,SUM($HS$4:HS13))</f>
        <v>4.4712150775590054</v>
      </c>
      <c r="HU13" s="305">
        <f t="shared" si="99"/>
        <v>-5.8035243220431229E-2</v>
      </c>
      <c r="HV13" s="305">
        <f>IF($J13="",#N/A,SUM(HU$4:$HU13))</f>
        <v>-1.3681021291910145</v>
      </c>
    </row>
    <row r="14" spans="1:230" x14ac:dyDescent="0.25">
      <c r="A14" s="59" t="s">
        <v>1324</v>
      </c>
      <c r="B14" s="289" t="s">
        <v>4479</v>
      </c>
      <c r="C14" s="230">
        <f t="shared" si="0"/>
        <v>3</v>
      </c>
      <c r="D14" s="220" t="str">
        <f>_xlfn.XLOOKUP(A14,[1]SP500!$A$2:$A$502,[1]SP500!$D$2:$D$502,"N")</f>
        <v>Y</v>
      </c>
      <c r="E14" s="59" t="str">
        <f>IFERROR(_xlfn.XLOOKUP(A14,[1]SP500!$A$2:$A$655,[1]SP500!$B$2:$B$655),"")</f>
        <v>XLF</v>
      </c>
      <c r="F14" s="290">
        <v>45762</v>
      </c>
      <c r="G14" s="59" t="str">
        <f t="shared" si="1"/>
        <v>BMO</v>
      </c>
      <c r="H14" s="59" t="str">
        <f t="shared" si="2"/>
        <v>s</v>
      </c>
      <c r="I14" s="342">
        <v>63.22</v>
      </c>
      <c r="J14" s="278">
        <v>64.19</v>
      </c>
      <c r="K14" s="60">
        <f t="shared" si="3"/>
        <v>1.5343245808288499E-2</v>
      </c>
      <c r="L14" s="68">
        <f t="shared" si="4"/>
        <v>17.460000000000036</v>
      </c>
      <c r="M14" s="62">
        <f t="shared" si="5"/>
        <v>0.72000000000002728</v>
      </c>
      <c r="N14" s="148">
        <f t="shared" si="6"/>
        <v>17.460000000000036</v>
      </c>
      <c r="O14" s="287">
        <f>IF(N14="",#N/A,SUM($N$4:N14))</f>
        <v>-59.683719531497218</v>
      </c>
      <c r="P14" s="64">
        <f t="shared" si="100"/>
        <v>0.25572076347147576</v>
      </c>
      <c r="Q14" s="183">
        <f>IF($N14="",#N/A,SUM($P$4:P14))</f>
        <v>-0.95561406511137981</v>
      </c>
      <c r="R14" s="279">
        <f t="shared" si="7"/>
        <v>-0.31695113992851387</v>
      </c>
      <c r="S14" s="59" t="str">
        <f t="shared" si="8"/>
        <v>SW</v>
      </c>
      <c r="T14" s="59" t="s">
        <v>2828</v>
      </c>
      <c r="U14" s="61">
        <f t="shared" si="9"/>
        <v>63.22</v>
      </c>
      <c r="V14" s="61" t="s">
        <v>4460</v>
      </c>
      <c r="W14" s="142">
        <v>18</v>
      </c>
      <c r="X14" s="146">
        <f t="shared" si="10"/>
        <v>1137.96</v>
      </c>
      <c r="Y14" s="142">
        <f t="shared" si="11"/>
        <v>18</v>
      </c>
      <c r="Z14" s="278">
        <v>64.23</v>
      </c>
      <c r="AA14" s="63">
        <f t="shared" si="12"/>
        <v>18.180000000000064</v>
      </c>
      <c r="AB14" s="63">
        <f t="shared" si="13"/>
        <v>19.980000000000018</v>
      </c>
      <c r="AC14" s="125">
        <v>64.33</v>
      </c>
      <c r="AD14" s="148">
        <f t="shared" si="14"/>
        <v>19.980000000000018</v>
      </c>
      <c r="AE14" s="544">
        <f t="shared" si="15"/>
        <v>0.2926289149003482</v>
      </c>
      <c r="AF14" s="62">
        <f>IF($AC14="",#N/A,SUM(AD$4:AD14))</f>
        <v>-69.388372902817196</v>
      </c>
      <c r="AG14" s="63">
        <f t="shared" si="16"/>
        <v>2.5199999999999818</v>
      </c>
      <c r="AH14" s="61" t="s">
        <v>2507</v>
      </c>
      <c r="AI14" s="64">
        <f t="shared" si="17"/>
        <v>0.26626594959401123</v>
      </c>
      <c r="AJ14" s="177">
        <f>IF(AI14="",#N/A,SUM($AI$4:AI14))</f>
        <v>-0.63866292518286594</v>
      </c>
      <c r="AK14" s="62">
        <f t="shared" si="18"/>
        <v>18.180000000000064</v>
      </c>
      <c r="AL14" s="288">
        <f>IF(AI14="",#N/A,IF(AH14="Skip",SUM($AK$4:AK14),SUM($AK$4:AK14)))</f>
        <v>-39.420000000000073</v>
      </c>
      <c r="AM14" s="65">
        <f t="shared" si="101"/>
        <v>0.2926289149003482</v>
      </c>
      <c r="AN14" s="209"/>
      <c r="AO14" s="64">
        <f t="shared" si="19"/>
        <v>0.2926289149003482</v>
      </c>
      <c r="AP14" s="64">
        <f>IF($AC14="",#N/A,SUM(AO$4:AO14))</f>
        <v>3.0489459160902825</v>
      </c>
      <c r="AQ14" s="64" t="str">
        <f t="shared" si="20"/>
        <v/>
      </c>
      <c r="AR14" s="64">
        <f>IF($AC14="",#N/A,SUM(AQ$4:AQ14))</f>
        <v>0</v>
      </c>
      <c r="AS14" s="64" t="str">
        <f t="shared" si="21"/>
        <v/>
      </c>
      <c r="AT14" s="64">
        <f>IF($AC14="",#N/A,SUM(AS$4:AS14))</f>
        <v>-4.1244191303809492</v>
      </c>
      <c r="AU14" s="62">
        <f t="shared" si="102"/>
        <v>19.980000000000018</v>
      </c>
      <c r="AV14" s="62">
        <f>IF($AC14="",#N/A,SUM(AU$4:AU14))</f>
        <v>197.30000000000007</v>
      </c>
      <c r="AW14" s="62" t="str">
        <f t="shared" si="103"/>
        <v/>
      </c>
      <c r="AX14" s="62">
        <f>IF($AC14="",#N/A,SUM(AW$4:AW14))</f>
        <v>0</v>
      </c>
      <c r="AY14" s="61" t="str">
        <f t="shared" si="104"/>
        <v/>
      </c>
      <c r="AZ14" s="62">
        <f>IF($AC14="",#N/A,SUM(AY$4:AY14))</f>
        <v>-266.68837290281726</v>
      </c>
      <c r="BA14" s="62">
        <f>IF(AD14="",#N/A,SUM($AD$4:AD14))</f>
        <v>-69.388372902817196</v>
      </c>
      <c r="BC14" s="59" t="str">
        <f t="shared" si="22"/>
        <v/>
      </c>
      <c r="BD14" s="59" t="str">
        <f t="shared" si="23"/>
        <v/>
      </c>
      <c r="BE14" s="59">
        <f t="shared" si="24"/>
        <v>1</v>
      </c>
      <c r="BF14" s="59" t="str">
        <f t="shared" si="25"/>
        <v>Long</v>
      </c>
      <c r="BG14" s="59" t="str">
        <f t="shared" si="26"/>
        <v/>
      </c>
      <c r="BH14" s="59" t="str">
        <f t="shared" si="27"/>
        <v/>
      </c>
      <c r="BI14" s="59" t="str">
        <f t="shared" si="28"/>
        <v/>
      </c>
      <c r="BK14" s="184"/>
      <c r="BL14" s="184"/>
      <c r="BM14" s="184"/>
      <c r="BO14" s="489">
        <f>IF(J14="",#N/A,IF(S14="SW",(COUNTIFS(K$4:$K14,"&gt;0",S$4:$S14,"SW")/COUNTIF(S$4:$S14,"SW")),#N/A))</f>
        <v>0.25</v>
      </c>
      <c r="BP14" s="489" t="e">
        <f>IF($J14="",#N/A,IF($S14="DWN",(COUNTIFS($K$4:$K14,"&lt;0",$S$4:$S14,"DWN")/COUNTIF($S$4:$S14,"DWN")),#N/A))</f>
        <v>#N/A</v>
      </c>
      <c r="BQ14" s="489" t="e">
        <f>IF($J14="",#N/A,IF($S14="UP",(COUNTIFS($K$4:$K14,"&gt;0",$S$4:$S14,"UP")/COUNTIF($S$4:$S14,"UP")),#N/A))</f>
        <v>#N/A</v>
      </c>
      <c r="BR14" s="489">
        <f>IF(J14="",#N/A,COUNTIF($K$4:K14,"&gt;0")/COUNT($J$4:J14))</f>
        <v>0.27272727272727271</v>
      </c>
      <c r="BS14" s="65">
        <f t="shared" si="29"/>
        <v>0.25572076347147576</v>
      </c>
      <c r="BT14" s="65" t="str">
        <f t="shared" si="30"/>
        <v/>
      </c>
      <c r="BU14" s="65" t="str">
        <f t="shared" si="31"/>
        <v/>
      </c>
      <c r="BV14" s="65" t="str">
        <f t="shared" si="32"/>
        <v/>
      </c>
      <c r="BW14" s="151" t="str">
        <f t="shared" si="33"/>
        <v/>
      </c>
      <c r="BX14" s="151">
        <f>IF($J14="",#N/A,SUM($BW$4:BW14))</f>
        <v>0</v>
      </c>
      <c r="BY14" s="152" t="str">
        <f t="shared" si="34"/>
        <v/>
      </c>
      <c r="BZ14" s="152">
        <f>IF($J14="",#N/A,SUM($BY$4:BY14))</f>
        <v>20.636280468502946</v>
      </c>
      <c r="CA14" s="153">
        <f t="shared" si="35"/>
        <v>17.460000000000036</v>
      </c>
      <c r="CB14" s="154">
        <f>IF($J14="",#N/A,SUM($CA$4:CA14))</f>
        <v>-80.320000000000164</v>
      </c>
      <c r="CC14" s="191" t="str">
        <f t="shared" si="36"/>
        <v/>
      </c>
      <c r="CD14" s="191">
        <f>IF($J14="",#N/A,SUM($CC$4:CC14))</f>
        <v>0</v>
      </c>
      <c r="CE14" s="192" t="str">
        <f t="shared" si="37"/>
        <v/>
      </c>
      <c r="CF14" s="192">
        <f>IF($J14="",#N/A,SUM($CE$4:CE14))</f>
        <v>0.30064007544309346</v>
      </c>
      <c r="CG14" s="193">
        <f t="shared" si="38"/>
        <v>0.25572076347147576</v>
      </c>
      <c r="CH14" s="193">
        <f>IF($J14="",#N/A,SUM($CG$4:CG14))</f>
        <v>-1.2562541405544734</v>
      </c>
      <c r="CI14" s="200" t="str">
        <f t="shared" si="39"/>
        <v/>
      </c>
      <c r="CJ14" s="200">
        <f>IF($J14="",#N/A,SUM(CI$4:CI14))</f>
        <v>0</v>
      </c>
      <c r="CK14" s="201" t="str">
        <f t="shared" si="40"/>
        <v/>
      </c>
      <c r="CL14" s="201">
        <f>IF($J14="",#N/A,SUM(CK$4:CK14))</f>
        <v>0</v>
      </c>
      <c r="CM14" s="202" t="str">
        <f t="shared" si="41"/>
        <v/>
      </c>
      <c r="CN14" s="202">
        <f>IF($J14="",#N/A,SUM(CM$4:CM14))</f>
        <v>0</v>
      </c>
      <c r="CO14" s="202">
        <f>IF($J14="",#N/A,SUM(CM$4:CM14,CK$4:CK14,CI$4:CI14))</f>
        <v>0</v>
      </c>
      <c r="CP14" s="200" t="str">
        <f t="shared" si="42"/>
        <v/>
      </c>
      <c r="CQ14" s="200">
        <f>IF($J14="",#N/A,SUM(CP$4:CP14))</f>
        <v>0</v>
      </c>
      <c r="CR14" s="201" t="str">
        <f t="shared" si="43"/>
        <v/>
      </c>
      <c r="CS14" s="201">
        <f>IF($J14="",#N/A,SUM(CR$4:CR14))</f>
        <v>0</v>
      </c>
      <c r="CT14" s="202" t="str">
        <f t="shared" si="44"/>
        <v/>
      </c>
      <c r="CU14" s="202">
        <f>IF($J14="",#N/A,SUM(CT$4:CT14))</f>
        <v>0</v>
      </c>
      <c r="CV14" s="202">
        <f>IF($J14="",#N/A,SUM(CT$4:CT14,CR$4:CR14,CP$4:CP14))</f>
        <v>0</v>
      </c>
      <c r="CW14" s="200" t="str">
        <f t="shared" si="45"/>
        <v/>
      </c>
      <c r="CX14" s="200">
        <f>IF($J14="",#N/A,SUM(CW$4:CW14))</f>
        <v>0</v>
      </c>
      <c r="CY14" s="201" t="str">
        <f t="shared" si="46"/>
        <v/>
      </c>
      <c r="CZ14" s="201">
        <f>IF($J14="",#N/A,SUM(CY$4:CY14))</f>
        <v>0</v>
      </c>
      <c r="DA14" s="202" t="str">
        <f t="shared" si="47"/>
        <v/>
      </c>
      <c r="DB14" s="202">
        <f>IF($J14="",#N/A,SUM(DA$4:DA14))</f>
        <v>0</v>
      </c>
      <c r="DC14" s="202">
        <f>IF($J14="",#N/A,SUM(DA$4:DA14,CY$4:CY14,CW$4:CW14))</f>
        <v>0</v>
      </c>
      <c r="DD14" s="200" t="str">
        <f t="shared" si="48"/>
        <v/>
      </c>
      <c r="DE14" s="200">
        <f>IF($J14="",#N/A,SUM(DD$4:DD14))</f>
        <v>0</v>
      </c>
      <c r="DF14" s="201" t="str">
        <f t="shared" si="49"/>
        <v/>
      </c>
      <c r="DG14" s="201">
        <f>IF($J14="",#N/A,SUM(DF$4:DF14))</f>
        <v>0.6788440567066546</v>
      </c>
      <c r="DH14" s="202" t="str">
        <f t="shared" si="50"/>
        <v/>
      </c>
      <c r="DI14" s="202">
        <f>IF($J14="",#N/A,SUM(DH$4:DH14))</f>
        <v>0</v>
      </c>
      <c r="DJ14" s="202">
        <f>IF($J14="",#N/A,SUM(DH$4:DH14,DF$4:DF14,DD$4:DD14))</f>
        <v>0.6788440567066546</v>
      </c>
      <c r="DK14" s="200" t="str">
        <f t="shared" si="51"/>
        <v/>
      </c>
      <c r="DL14" s="200">
        <f>IF($J14="",#N/A,SUM(DK$4:DK14))</f>
        <v>0</v>
      </c>
      <c r="DM14" s="201" t="str">
        <f t="shared" si="52"/>
        <v/>
      </c>
      <c r="DN14" s="201">
        <f>IF($J14="",#N/A,SUM(DM$4:DM14))</f>
        <v>0</v>
      </c>
      <c r="DO14" s="202" t="str">
        <f t="shared" si="53"/>
        <v/>
      </c>
      <c r="DP14" s="202">
        <f>IF($J14="",#N/A,SUM(DO$4:DO14))</f>
        <v>0</v>
      </c>
      <c r="DQ14" s="202">
        <f>IF($J14="",#N/A,SUM(DO$4:DO14,DM$4:DM14,DK$4:DK14))</f>
        <v>0</v>
      </c>
      <c r="DR14" s="200" t="str">
        <f t="shared" si="54"/>
        <v/>
      </c>
      <c r="DS14" s="200">
        <f>IF($J14="",#N/A,SUM(DR$4:DR14))</f>
        <v>0</v>
      </c>
      <c r="DT14" s="201" t="str">
        <f t="shared" si="55"/>
        <v/>
      </c>
      <c r="DU14" s="201">
        <f>IF($J14="",#N/A,SUM(DT$4:DT14))</f>
        <v>0.10024269283528475</v>
      </c>
      <c r="DV14" s="202">
        <f t="shared" si="56"/>
        <v>0.25572076347147576</v>
      </c>
      <c r="DW14" s="202">
        <f>IF($J14="",#N/A,SUM(DV$4:DV14))</f>
        <v>-1.1287087299901912</v>
      </c>
      <c r="DX14" s="202">
        <f>IF($J14="",#N/A,SUM(DV$4:DV14,DT$4:DT14,DR$4:DR14))</f>
        <v>-1.0284660371549066</v>
      </c>
      <c r="DY14" s="200" t="str">
        <f t="shared" si="57"/>
        <v/>
      </c>
      <c r="DZ14" s="200">
        <f>IF($J14="",#N/A,SUM(DY$4:DY14))</f>
        <v>0</v>
      </c>
      <c r="EA14" s="201" t="str">
        <f t="shared" si="58"/>
        <v/>
      </c>
      <c r="EB14" s="201">
        <f>IF($J14="",#N/A,SUM(EA$4:EA14))</f>
        <v>-0.47844667409884589</v>
      </c>
      <c r="EC14" s="202" t="str">
        <f t="shared" si="59"/>
        <v/>
      </c>
      <c r="ED14" s="202">
        <f>IF($J14="",#N/A,SUM(EC$4:EC14))</f>
        <v>-0.12754541056428245</v>
      </c>
      <c r="EE14" s="202">
        <f>IF($J14="",#N/A,SUM(EC$4:EC14,EA$4:EA14,DY$4:DY14))</f>
        <v>-0.60599208466312837</v>
      </c>
      <c r="EF14" s="200" t="str">
        <f t="shared" si="60"/>
        <v/>
      </c>
      <c r="EG14" s="200">
        <f>IF($J14="",#N/A,SUM(EF$4:EF14))</f>
        <v>0</v>
      </c>
      <c r="EH14" s="201" t="str">
        <f t="shared" si="61"/>
        <v/>
      </c>
      <c r="EI14" s="201">
        <f>IF($J14="",#N/A,SUM(EH$4:EH14))</f>
        <v>0</v>
      </c>
      <c r="EJ14" s="202" t="str">
        <f t="shared" si="62"/>
        <v/>
      </c>
      <c r="EK14" s="202">
        <f>IF($J14="",#N/A,SUM(EJ$4:EJ14))</f>
        <v>0</v>
      </c>
      <c r="EL14" s="202">
        <f>IF($J14="",#N/A,SUM(EJ$4:EJ14,EH$4:EH14,EF$4:EF14))</f>
        <v>0</v>
      </c>
      <c r="EM14" s="200" t="str">
        <f t="shared" si="63"/>
        <v/>
      </c>
      <c r="EN14" s="200">
        <f>IF($J14="",#N/A,SUM(EM$4:EM14))</f>
        <v>0</v>
      </c>
      <c r="EO14" s="201" t="str">
        <f t="shared" si="64"/>
        <v/>
      </c>
      <c r="EP14" s="201">
        <f>IF($J14="",#N/A,SUM(EO$4:EO14))</f>
        <v>0</v>
      </c>
      <c r="EQ14" s="202" t="str">
        <f t="shared" si="65"/>
        <v/>
      </c>
      <c r="ER14" s="202">
        <f>IF($J14="",#N/A,SUM(EQ$4:EQ14))</f>
        <v>0</v>
      </c>
      <c r="ES14" s="202">
        <f>IF($J14="",#N/A,SUM(EQ$4:EQ14,EO$4:EO14,EM$4:EM14))</f>
        <v>0</v>
      </c>
      <c r="ET14" s="200" t="str">
        <f t="shared" si="66"/>
        <v/>
      </c>
      <c r="EU14" s="200">
        <f>IF($J14="",#N/A,SUM(ET$4:ET14))</f>
        <v>0</v>
      </c>
      <c r="EV14" s="201" t="str">
        <f t="shared" si="67"/>
        <v/>
      </c>
      <c r="EW14" s="201">
        <f>IF($J14="",#N/A,SUM(EV$4:EV14))</f>
        <v>0</v>
      </c>
      <c r="EX14" s="202" t="str">
        <f t="shared" si="68"/>
        <v/>
      </c>
      <c r="EY14" s="202">
        <f>IF($J14="",#N/A,SUM(EX$4:EX14))</f>
        <v>0</v>
      </c>
      <c r="EZ14" s="202">
        <f>IF($J14="",#N/A,SUM(EX$4:EX14,EV$4:EV14,ET$4:ET14))</f>
        <v>0</v>
      </c>
      <c r="FA14" s="200" t="str">
        <f t="shared" si="69"/>
        <v/>
      </c>
      <c r="FB14" s="200">
        <f>IF($J14="",#N/A,SUM(FA$4:FA14))</f>
        <v>0</v>
      </c>
      <c r="FC14" s="201" t="str">
        <f t="shared" si="70"/>
        <v/>
      </c>
      <c r="FD14" s="201">
        <f>IF($J14="",#N/A,SUM(FC$4:FC14))</f>
        <v>0</v>
      </c>
      <c r="FE14" s="202" t="str">
        <f t="shared" si="71"/>
        <v/>
      </c>
      <c r="FF14" s="202">
        <f>IF($J14="",#N/A,SUM(FE$4:FE14))</f>
        <v>0</v>
      </c>
      <c r="FG14" s="202">
        <f>IF($J14="",#N/A,SUM(FE$4:FE14,FC$4:FC14,FA$4:FA14))</f>
        <v>0</v>
      </c>
      <c r="FH14" s="200" t="str">
        <f t="shared" si="72"/>
        <v/>
      </c>
      <c r="FI14" s="200">
        <f>IF($J14="",#N/A,SUM(FH$4:FH14))</f>
        <v>0</v>
      </c>
      <c r="FJ14" s="201" t="str">
        <f t="shared" si="73"/>
        <v/>
      </c>
      <c r="FK14" s="201">
        <f>IF($J14="",#N/A,SUM(FJ$4:FJ14))</f>
        <v>0</v>
      </c>
      <c r="FL14" s="202" t="str">
        <f t="shared" si="74"/>
        <v/>
      </c>
      <c r="FM14" s="202">
        <f>IF($J14="",#N/A,SUM(FL$4:FL14))</f>
        <v>0</v>
      </c>
      <c r="FN14" s="202">
        <f>IF($J14="",#N/A,SUM(FL$4:FL14,FJ$4:FJ14,FH$4:FH14))</f>
        <v>0</v>
      </c>
      <c r="FO14" s="200" t="str">
        <f t="shared" si="75"/>
        <v/>
      </c>
      <c r="FP14" s="200">
        <f>IF($J14="",#N/A,SUM(FO$4:FO14))</f>
        <v>0</v>
      </c>
      <c r="FQ14" s="201" t="str">
        <f t="shared" si="76"/>
        <v/>
      </c>
      <c r="FR14" s="201">
        <f>IF($J14="",#N/A,SUM(FQ$4:FQ14))</f>
        <v>0</v>
      </c>
      <c r="FS14" s="202" t="str">
        <f t="shared" si="77"/>
        <v/>
      </c>
      <c r="FT14" s="202">
        <f>IF($J14="",#N/A,SUM(FS$4:FS14))</f>
        <v>0</v>
      </c>
      <c r="FU14" s="202">
        <f>IF($J14="",#N/A,SUM(FS$4:FS14,FQ$4:FQ14,FO$4:FO14))</f>
        <v>0</v>
      </c>
      <c r="FV14" s="200" t="str">
        <f t="shared" si="78"/>
        <v/>
      </c>
      <c r="FW14" s="200">
        <f>IF($J14="",#N/A,SUM(FV$4:FV14))</f>
        <v>0</v>
      </c>
      <c r="FX14" s="201" t="str">
        <f t="shared" si="79"/>
        <v/>
      </c>
      <c r="FY14" s="201">
        <f>IF($J14="",#N/A,SUM(FX$4:FX14))</f>
        <v>0</v>
      </c>
      <c r="FZ14" s="202" t="str">
        <f t="shared" si="80"/>
        <v/>
      </c>
      <c r="GA14" s="202">
        <f>IF($J14="",#N/A,SUM(FZ$4:FZ14))</f>
        <v>0</v>
      </c>
      <c r="GB14" s="202">
        <f>IF($J14="",#N/A,SUM(FZ$4:FZ14,FX$4:FX14,FV$4:FV14))</f>
        <v>0</v>
      </c>
      <c r="GC14" s="200" t="str">
        <f t="shared" si="81"/>
        <v/>
      </c>
      <c r="GD14" s="200">
        <f>IF($J14="",#N/A,SUM(GC$4:GC14))</f>
        <v>0</v>
      </c>
      <c r="GE14" s="201" t="str">
        <f t="shared" si="82"/>
        <v/>
      </c>
      <c r="GF14" s="201">
        <f>IF($J14="",#N/A,SUM(GE$4:GE14))</f>
        <v>0</v>
      </c>
      <c r="GG14" s="202" t="str">
        <f t="shared" si="83"/>
        <v/>
      </c>
      <c r="GH14" s="202">
        <f>IF($J14="",#N/A,SUM(GG$4:GG14))</f>
        <v>0</v>
      </c>
      <c r="GI14" s="202">
        <f>IF($J14="",#N/A,SUM(GG$4:GG14,GE$4:GE14,GC$4:GC14))</f>
        <v>0</v>
      </c>
      <c r="GJ14" s="200" t="str">
        <f t="shared" si="84"/>
        <v/>
      </c>
      <c r="GK14" s="200">
        <f>IF($J14="",#N/A,SUM(GJ$4:GJ14))</f>
        <v>0</v>
      </c>
      <c r="GL14" s="201" t="str">
        <f t="shared" si="85"/>
        <v/>
      </c>
      <c r="GM14" s="201">
        <f>IF($J14="",#N/A,SUM(GL$4:GL14))</f>
        <v>0</v>
      </c>
      <c r="GN14" s="202" t="str">
        <f t="shared" si="86"/>
        <v/>
      </c>
      <c r="GO14" s="202">
        <f>IF($J14="",#N/A,SUM(GN$4:GN14))</f>
        <v>0</v>
      </c>
      <c r="GP14" s="202">
        <f>IF($J14="",#N/A,SUM(GN$4:GN14,GL$4:GL14,GJ$4:GJ14))</f>
        <v>0</v>
      </c>
      <c r="GS14" s="177">
        <f t="shared" si="105"/>
        <v>0.25572076347147576</v>
      </c>
      <c r="GT14" s="177">
        <f>IF(GS14="",NA(),SUM($GS$4:GS14))</f>
        <v>-0.95561406511137981</v>
      </c>
      <c r="GU14" s="177" t="str">
        <f t="shared" si="87"/>
        <v/>
      </c>
      <c r="GV14" s="177" t="e">
        <f>IF(GU14="",NA(),SUM($GU$4:GU14))</f>
        <v>#N/A</v>
      </c>
      <c r="GW14" s="177">
        <f t="shared" si="88"/>
        <v>0.25572076347147576</v>
      </c>
      <c r="GX14" s="177">
        <f>IF(GW14="",NA(),SUM($GW$4:GW14))</f>
        <v>-1.2562541405544734</v>
      </c>
      <c r="GY14" s="177" t="str">
        <f t="shared" si="89"/>
        <v/>
      </c>
      <c r="GZ14" s="177" t="e">
        <f>IF(GY14="",NA(),SUM($GY$4:GY14))</f>
        <v>#N/A</v>
      </c>
      <c r="HA14" s="177" t="str">
        <f t="shared" si="90"/>
        <v/>
      </c>
      <c r="HB14" s="177" t="e">
        <f>IF(HA14="",NA(),SUM($HA$4:HA14))</f>
        <v>#N/A</v>
      </c>
      <c r="HC14" s="177" t="str">
        <f t="shared" si="91"/>
        <v/>
      </c>
      <c r="HD14" s="177" t="e">
        <f>IF(HC14="",NA(),SUM($HC$4:HC14))</f>
        <v>#N/A</v>
      </c>
      <c r="HE14" s="177" t="str">
        <f t="shared" si="92"/>
        <v/>
      </c>
      <c r="HF14" s="177" t="e">
        <f>IF(HE14="",NA(),SUM($HE$4:HE14))</f>
        <v>#N/A</v>
      </c>
      <c r="HG14" s="177" t="str">
        <f t="shared" si="93"/>
        <v/>
      </c>
      <c r="HH14" s="177" t="e">
        <f>IF(HG14="",NA(),SUM($HG$4:HG14))</f>
        <v>#N/A</v>
      </c>
      <c r="HI14" s="183" t="str">
        <f t="shared" si="106"/>
        <v/>
      </c>
      <c r="HJ14" s="291">
        <f>IF($J14="",#N/A,SUM(HI$4:$HI14))</f>
        <v>-0.95980465361296896</v>
      </c>
      <c r="HK14" s="177" t="str">
        <f t="shared" si="94"/>
        <v/>
      </c>
      <c r="HL14" s="177">
        <f>IF($J14="",#N/A,SUM($HK$4:HK14))</f>
        <v>-3.4652545522110731</v>
      </c>
      <c r="HM14" s="177" t="str">
        <f t="shared" si="95"/>
        <v/>
      </c>
      <c r="HN14" s="177">
        <f>IF($J14="",#N/A,SUM($HM$4:HM14))</f>
        <v>0</v>
      </c>
      <c r="HO14" s="177" t="str">
        <f t="shared" si="96"/>
        <v/>
      </c>
      <c r="HP14" s="177">
        <f>IF($J14="",#N/A,SUM($HO$4:HO14))</f>
        <v>0</v>
      </c>
      <c r="HQ14" s="177">
        <f t="shared" si="97"/>
        <v>3.6908151428872438E-2</v>
      </c>
      <c r="HR14" s="177">
        <f>IF($J14="",#N/A,SUM($HQ$4:HQ14))</f>
        <v>-0.16601502091424913</v>
      </c>
      <c r="HS14" s="177" t="str">
        <f t="shared" si="98"/>
        <v/>
      </c>
      <c r="HT14" s="177">
        <f>IF($J14="",#N/A,SUM($HS$4:HS14))</f>
        <v>4.4712150775590054</v>
      </c>
      <c r="HU14" s="64">
        <f t="shared" si="99"/>
        <v>0.2926289149003482</v>
      </c>
      <c r="HV14" s="64">
        <f>IF($J14="",#N/A,SUM(HU$4:$HU14))</f>
        <v>-1.0754732142906662</v>
      </c>
    </row>
    <row r="15" spans="1:230" x14ac:dyDescent="0.25">
      <c r="A15" s="51" t="s">
        <v>1279</v>
      </c>
      <c r="B15" s="52" t="s">
        <v>4479</v>
      </c>
      <c r="C15" s="229">
        <f t="shared" si="0"/>
        <v>3</v>
      </c>
      <c r="D15" s="219" t="str">
        <f>_xlfn.XLOOKUP(A15,[1]SP500!$A$2:$A$502,[1]SP500!$D$2:$D$502,"N")</f>
        <v>Y</v>
      </c>
      <c r="E15" s="51" t="str">
        <f>IFERROR(_xlfn.XLOOKUP(A15,[1]SP500!$A$2:$A$655,[1]SP500!$B$2:$B$655),"")</f>
        <v>XLF</v>
      </c>
      <c r="F15" s="53">
        <v>45762</v>
      </c>
      <c r="G15" s="51" t="str">
        <f t="shared" si="1"/>
        <v>BMO</v>
      </c>
      <c r="H15" s="51" t="str">
        <f t="shared" si="2"/>
        <v>s</v>
      </c>
      <c r="I15" s="343">
        <v>36.67</v>
      </c>
      <c r="J15" s="123">
        <v>37.799999999999997</v>
      </c>
      <c r="K15" s="55">
        <f t="shared" si="3"/>
        <v>3.0815380419961697E-2</v>
      </c>
      <c r="L15" s="67">
        <f t="shared" si="4"/>
        <v>33.899999999999864</v>
      </c>
      <c r="M15" s="57" t="e">
        <f t="shared" si="5"/>
        <v>#N/A</v>
      </c>
      <c r="N15" s="155">
        <f t="shared" si="6"/>
        <v>33.899999999999864</v>
      </c>
      <c r="O15" s="156">
        <f>IF(N15="",#N/A,SUM($N$4:N15))</f>
        <v>-25.783719531497354</v>
      </c>
      <c r="P15" s="65">
        <f t="shared" si="100"/>
        <v>0.51358967366602826</v>
      </c>
      <c r="Q15" s="172">
        <f>IF($N15="",#N/A,SUM($P$4:P15))</f>
        <v>-0.44202439144535155</v>
      </c>
      <c r="R15" s="279">
        <f t="shared" si="7"/>
        <v>-0.6123788283204783</v>
      </c>
      <c r="S15" s="51" t="str">
        <f t="shared" si="8"/>
        <v>SW</v>
      </c>
      <c r="T15" s="51" t="s">
        <v>2828</v>
      </c>
      <c r="U15" s="56">
        <f t="shared" si="9"/>
        <v>36.67</v>
      </c>
      <c r="V15" s="56" t="s">
        <v>4460</v>
      </c>
      <c r="W15" s="142">
        <v>30</v>
      </c>
      <c r="X15" s="145">
        <f t="shared" si="10"/>
        <v>1100.1000000000001</v>
      </c>
      <c r="Y15" s="140">
        <f t="shared" si="11"/>
        <v>30</v>
      </c>
      <c r="Z15" s="123">
        <v>38.450000000000003</v>
      </c>
      <c r="AA15" s="102">
        <f t="shared" si="12"/>
        <v>53.399999999999864</v>
      </c>
      <c r="AB15" s="102">
        <f t="shared" si="13"/>
        <v>39.599999999999909</v>
      </c>
      <c r="AC15" s="124">
        <v>37.99</v>
      </c>
      <c r="AD15" s="155">
        <f t="shared" si="14"/>
        <v>39.599999999999909</v>
      </c>
      <c r="AE15" s="545">
        <f t="shared" si="15"/>
        <v>0.59994545950368006</v>
      </c>
      <c r="AF15" s="57">
        <f>IF($AC15="",#N/A,SUM(AD$4:AD15))</f>
        <v>-29.788372902817287</v>
      </c>
      <c r="AG15" s="102">
        <f t="shared" si="16"/>
        <v>5.7000000000000455</v>
      </c>
      <c r="AH15" s="56" t="s">
        <v>4471</v>
      </c>
      <c r="AI15" s="65">
        <f t="shared" si="17"/>
        <v>0.80901736205799268</v>
      </c>
      <c r="AJ15" s="54">
        <f>IF(AI15="",#N/A,SUM($AI$4:AI15))</f>
        <v>0.17035443687512675</v>
      </c>
      <c r="AK15" s="57">
        <f t="shared" si="18"/>
        <v>53.399999999999864</v>
      </c>
      <c r="AL15" s="58">
        <f>IF(AI15="",#N/A,IF(AH15="Skip",SUM($AK$4:AK15),SUM($AK$4:AK15)))</f>
        <v>13.979999999999791</v>
      </c>
      <c r="AM15" s="65">
        <f t="shared" si="101"/>
        <v>0.59994545950368006</v>
      </c>
      <c r="AN15" s="209"/>
      <c r="AO15" s="65">
        <f t="shared" si="19"/>
        <v>0.59994545950368006</v>
      </c>
      <c r="AP15" s="65">
        <f>IF($AC15="",#N/A,SUM(AO$4:AO15))</f>
        <v>3.6488913755939625</v>
      </c>
      <c r="AQ15" s="65" t="str">
        <f t="shared" si="20"/>
        <v/>
      </c>
      <c r="AR15" s="65">
        <f>IF($AC15="",#N/A,SUM(AQ$4:AQ15))</f>
        <v>0</v>
      </c>
      <c r="AS15" s="65" t="str">
        <f t="shared" si="21"/>
        <v/>
      </c>
      <c r="AT15" s="65">
        <f>IF($AC15="",#N/A,SUM(AS$4:AS15))</f>
        <v>-4.1244191303809492</v>
      </c>
      <c r="AU15" s="57">
        <f t="shared" si="102"/>
        <v>39.599999999999909</v>
      </c>
      <c r="AV15" s="57">
        <f>IF($AC15="",#N/A,SUM(AU$4:AU15))</f>
        <v>236.89999999999998</v>
      </c>
      <c r="AW15" s="57" t="str">
        <f t="shared" si="103"/>
        <v/>
      </c>
      <c r="AX15" s="57">
        <f>IF($AC15="",#N/A,SUM(AW$4:AW15))</f>
        <v>0</v>
      </c>
      <c r="AY15" s="56" t="str">
        <f t="shared" si="104"/>
        <v/>
      </c>
      <c r="AZ15" s="57">
        <f>IF($AC15="",#N/A,SUM(AY$4:AY15))</f>
        <v>-266.68837290281726</v>
      </c>
      <c r="BA15" s="57">
        <f>IF(AD15="",#N/A,SUM($AD$4:AD15))</f>
        <v>-29.788372902817287</v>
      </c>
      <c r="BC15" s="51" t="str">
        <f t="shared" si="22"/>
        <v/>
      </c>
      <c r="BD15" s="51" t="str">
        <f t="shared" si="23"/>
        <v/>
      </c>
      <c r="BE15" s="51">
        <f t="shared" si="24"/>
        <v>1</v>
      </c>
      <c r="BF15" s="51" t="str">
        <f t="shared" si="25"/>
        <v>Long</v>
      </c>
      <c r="BG15" s="51" t="str">
        <f t="shared" si="26"/>
        <v/>
      </c>
      <c r="BH15" s="51" t="str">
        <f t="shared" si="27"/>
        <v/>
      </c>
      <c r="BI15" s="51" t="str">
        <f t="shared" si="28"/>
        <v/>
      </c>
      <c r="BK15" s="184"/>
      <c r="BL15" s="184"/>
      <c r="BM15" s="184"/>
      <c r="BO15" s="489">
        <f>IF(J15="",#N/A,IF(S15="SW",(COUNTIFS(K$4:$K15,"&gt;0",S$4:$S15,"SW")/COUNTIF(S$4:$S15,"SW")),#N/A))</f>
        <v>0.33333333333333331</v>
      </c>
      <c r="BP15" s="489" t="e">
        <f>IF($J15="",#N/A,IF($S15="DWN",(COUNTIFS($K$4:$K15,"&lt;0",$S$4:$S15,"DWN")/COUNTIF($S$4:$S15,"DWN")),#N/A))</f>
        <v>#N/A</v>
      </c>
      <c r="BQ15" s="489" t="e">
        <f>IF($J15="",#N/A,IF($S15="UP",(COUNTIFS($K$4:$K15,"&gt;0",$S$4:$S15,"UP")/COUNTIF($S$4:$S15,"UP")),#N/A))</f>
        <v>#N/A</v>
      </c>
      <c r="BR15" s="489">
        <f>IF(J15="",#N/A,COUNTIF($K$4:K15,"&gt;0")/COUNT($J$4:J15))</f>
        <v>0.33333333333333331</v>
      </c>
      <c r="BS15" s="65">
        <f t="shared" si="29"/>
        <v>0.51358967366602826</v>
      </c>
      <c r="BT15" s="65" t="str">
        <f t="shared" si="30"/>
        <v/>
      </c>
      <c r="BU15" s="65" t="str">
        <f t="shared" si="31"/>
        <v/>
      </c>
      <c r="BV15" s="65" t="str">
        <f t="shared" si="32"/>
        <v/>
      </c>
      <c r="BW15" s="151" t="str">
        <f t="shared" si="33"/>
        <v/>
      </c>
      <c r="BX15" s="151">
        <f>IF($J15="",#N/A,SUM($BW$4:BW15))</f>
        <v>0</v>
      </c>
      <c r="BY15" s="152" t="str">
        <f t="shared" si="34"/>
        <v/>
      </c>
      <c r="BZ15" s="152">
        <f>IF($J15="",#N/A,SUM($BY$4:BY15))</f>
        <v>20.636280468502946</v>
      </c>
      <c r="CA15" s="153">
        <f t="shared" si="35"/>
        <v>33.899999999999864</v>
      </c>
      <c r="CB15" s="154">
        <f>IF($J15="",#N/A,SUM($CA$4:CA15))</f>
        <v>-46.4200000000003</v>
      </c>
      <c r="CC15" s="191" t="str">
        <f t="shared" si="36"/>
        <v/>
      </c>
      <c r="CD15" s="191">
        <f>IF($J15="",#N/A,SUM($CC$4:CC15))</f>
        <v>0</v>
      </c>
      <c r="CE15" s="192" t="str">
        <f t="shared" si="37"/>
        <v/>
      </c>
      <c r="CF15" s="192">
        <f>IF($J15="",#N/A,SUM($CE$4:CE15))</f>
        <v>0.30064007544309346</v>
      </c>
      <c r="CG15" s="193">
        <f t="shared" si="38"/>
        <v>0.51358967366602826</v>
      </c>
      <c r="CH15" s="193">
        <f>IF($J15="",#N/A,SUM($CG$4:CG15))</f>
        <v>-0.74266446688844512</v>
      </c>
      <c r="CI15" s="200" t="str">
        <f t="shared" si="39"/>
        <v/>
      </c>
      <c r="CJ15" s="200">
        <f>IF($J15="",#N/A,SUM(CI$4:CI15))</f>
        <v>0</v>
      </c>
      <c r="CK15" s="201" t="str">
        <f t="shared" si="40"/>
        <v/>
      </c>
      <c r="CL15" s="201">
        <f>IF($J15="",#N/A,SUM(CK$4:CK15))</f>
        <v>0</v>
      </c>
      <c r="CM15" s="202" t="str">
        <f t="shared" si="41"/>
        <v/>
      </c>
      <c r="CN15" s="202">
        <f>IF($J15="",#N/A,SUM(CM$4:CM15))</f>
        <v>0</v>
      </c>
      <c r="CO15" s="202">
        <f>IF($J15="",#N/A,SUM(CM$4:CM15,CK$4:CK15,CI$4:CI15))</f>
        <v>0</v>
      </c>
      <c r="CP15" s="200" t="str">
        <f t="shared" si="42"/>
        <v/>
      </c>
      <c r="CQ15" s="200">
        <f>IF($J15="",#N/A,SUM(CP$4:CP15))</f>
        <v>0</v>
      </c>
      <c r="CR15" s="201" t="str">
        <f t="shared" si="43"/>
        <v/>
      </c>
      <c r="CS15" s="201">
        <f>IF($J15="",#N/A,SUM(CR$4:CR15))</f>
        <v>0</v>
      </c>
      <c r="CT15" s="202" t="str">
        <f t="shared" si="44"/>
        <v/>
      </c>
      <c r="CU15" s="202">
        <f>IF($J15="",#N/A,SUM(CT$4:CT15))</f>
        <v>0</v>
      </c>
      <c r="CV15" s="202">
        <f>IF($J15="",#N/A,SUM(CT$4:CT15,CR$4:CR15,CP$4:CP15))</f>
        <v>0</v>
      </c>
      <c r="CW15" s="200" t="str">
        <f t="shared" si="45"/>
        <v/>
      </c>
      <c r="CX15" s="200">
        <f>IF($J15="",#N/A,SUM(CW$4:CW15))</f>
        <v>0</v>
      </c>
      <c r="CY15" s="201" t="str">
        <f t="shared" si="46"/>
        <v/>
      </c>
      <c r="CZ15" s="201">
        <f>IF($J15="",#N/A,SUM(CY$4:CY15))</f>
        <v>0</v>
      </c>
      <c r="DA15" s="202" t="str">
        <f t="shared" si="47"/>
        <v/>
      </c>
      <c r="DB15" s="202">
        <f>IF($J15="",#N/A,SUM(DA$4:DA15))</f>
        <v>0</v>
      </c>
      <c r="DC15" s="202">
        <f>IF($J15="",#N/A,SUM(DA$4:DA15,CY$4:CY15,CW$4:CW15))</f>
        <v>0</v>
      </c>
      <c r="DD15" s="200" t="str">
        <f t="shared" si="48"/>
        <v/>
      </c>
      <c r="DE15" s="200">
        <f>IF($J15="",#N/A,SUM(DD$4:DD15))</f>
        <v>0</v>
      </c>
      <c r="DF15" s="201" t="str">
        <f t="shared" si="49"/>
        <v/>
      </c>
      <c r="DG15" s="201">
        <f>IF($J15="",#N/A,SUM(DF$4:DF15))</f>
        <v>0.6788440567066546</v>
      </c>
      <c r="DH15" s="202" t="str">
        <f t="shared" si="50"/>
        <v/>
      </c>
      <c r="DI15" s="202">
        <f>IF($J15="",#N/A,SUM(DH$4:DH15))</f>
        <v>0</v>
      </c>
      <c r="DJ15" s="202">
        <f>IF($J15="",#N/A,SUM(DH$4:DH15,DF$4:DF15,DD$4:DD15))</f>
        <v>0.6788440567066546</v>
      </c>
      <c r="DK15" s="200" t="str">
        <f t="shared" si="51"/>
        <v/>
      </c>
      <c r="DL15" s="200">
        <f>IF($J15="",#N/A,SUM(DK$4:DK15))</f>
        <v>0</v>
      </c>
      <c r="DM15" s="201" t="str">
        <f t="shared" si="52"/>
        <v/>
      </c>
      <c r="DN15" s="201">
        <f>IF($J15="",#N/A,SUM(DM$4:DM15))</f>
        <v>0</v>
      </c>
      <c r="DO15" s="202" t="str">
        <f t="shared" si="53"/>
        <v/>
      </c>
      <c r="DP15" s="202">
        <f>IF($J15="",#N/A,SUM(DO$4:DO15))</f>
        <v>0</v>
      </c>
      <c r="DQ15" s="202">
        <f>IF($J15="",#N/A,SUM(DO$4:DO15,DM$4:DM15,DK$4:DK15))</f>
        <v>0</v>
      </c>
      <c r="DR15" s="200" t="str">
        <f t="shared" si="54"/>
        <v/>
      </c>
      <c r="DS15" s="200">
        <f>IF($J15="",#N/A,SUM(DR$4:DR15))</f>
        <v>0</v>
      </c>
      <c r="DT15" s="201" t="str">
        <f t="shared" si="55"/>
        <v/>
      </c>
      <c r="DU15" s="201">
        <f>IF($J15="",#N/A,SUM(DT$4:DT15))</f>
        <v>0.10024269283528475</v>
      </c>
      <c r="DV15" s="202">
        <f t="shared" si="56"/>
        <v>0.51358967366602826</v>
      </c>
      <c r="DW15" s="202">
        <f>IF($J15="",#N/A,SUM(DV$4:DV15))</f>
        <v>-0.61511905632416297</v>
      </c>
      <c r="DX15" s="202">
        <f>IF($J15="",#N/A,SUM(DV$4:DV15,DT$4:DT15,DR$4:DR15))</f>
        <v>-0.51487636348887822</v>
      </c>
      <c r="DY15" s="200" t="str">
        <f t="shared" si="57"/>
        <v/>
      </c>
      <c r="DZ15" s="200">
        <f>IF($J15="",#N/A,SUM(DY$4:DY15))</f>
        <v>0</v>
      </c>
      <c r="EA15" s="201" t="str">
        <f t="shared" si="58"/>
        <v/>
      </c>
      <c r="EB15" s="201">
        <f>IF($J15="",#N/A,SUM(EA$4:EA15))</f>
        <v>-0.47844667409884589</v>
      </c>
      <c r="EC15" s="202" t="str">
        <f t="shared" si="59"/>
        <v/>
      </c>
      <c r="ED15" s="202">
        <f>IF($J15="",#N/A,SUM(EC$4:EC15))</f>
        <v>-0.12754541056428245</v>
      </c>
      <c r="EE15" s="202">
        <f>IF($J15="",#N/A,SUM(EC$4:EC15,EA$4:EA15,DY$4:DY15))</f>
        <v>-0.60599208466312837</v>
      </c>
      <c r="EF15" s="200" t="str">
        <f t="shared" si="60"/>
        <v/>
      </c>
      <c r="EG15" s="200">
        <f>IF($J15="",#N/A,SUM(EF$4:EF15))</f>
        <v>0</v>
      </c>
      <c r="EH15" s="201" t="str">
        <f t="shared" si="61"/>
        <v/>
      </c>
      <c r="EI15" s="201">
        <f>IF($J15="",#N/A,SUM(EH$4:EH15))</f>
        <v>0</v>
      </c>
      <c r="EJ15" s="202" t="str">
        <f t="shared" si="62"/>
        <v/>
      </c>
      <c r="EK15" s="202">
        <f>IF($J15="",#N/A,SUM(EJ$4:EJ15))</f>
        <v>0</v>
      </c>
      <c r="EL15" s="202">
        <f>IF($J15="",#N/A,SUM(EJ$4:EJ15,EH$4:EH15,EF$4:EF15))</f>
        <v>0</v>
      </c>
      <c r="EM15" s="200" t="str">
        <f t="shared" si="63"/>
        <v/>
      </c>
      <c r="EN15" s="200">
        <f>IF($J15="",#N/A,SUM(EM$4:EM15))</f>
        <v>0</v>
      </c>
      <c r="EO15" s="201" t="str">
        <f t="shared" si="64"/>
        <v/>
      </c>
      <c r="EP15" s="201">
        <f>IF($J15="",#N/A,SUM(EO$4:EO15))</f>
        <v>0</v>
      </c>
      <c r="EQ15" s="202" t="str">
        <f t="shared" si="65"/>
        <v/>
      </c>
      <c r="ER15" s="202">
        <f>IF($J15="",#N/A,SUM(EQ$4:EQ15))</f>
        <v>0</v>
      </c>
      <c r="ES15" s="202">
        <f>IF($J15="",#N/A,SUM(EQ$4:EQ15,EO$4:EO15,EM$4:EM15))</f>
        <v>0</v>
      </c>
      <c r="ET15" s="200" t="str">
        <f t="shared" si="66"/>
        <v/>
      </c>
      <c r="EU15" s="200">
        <f>IF($J15="",#N/A,SUM(ET$4:ET15))</f>
        <v>0</v>
      </c>
      <c r="EV15" s="201" t="str">
        <f t="shared" si="67"/>
        <v/>
      </c>
      <c r="EW15" s="201">
        <f>IF($J15="",#N/A,SUM(EV$4:EV15))</f>
        <v>0</v>
      </c>
      <c r="EX15" s="202" t="str">
        <f t="shared" si="68"/>
        <v/>
      </c>
      <c r="EY15" s="202">
        <f>IF($J15="",#N/A,SUM(EX$4:EX15))</f>
        <v>0</v>
      </c>
      <c r="EZ15" s="202">
        <f>IF($J15="",#N/A,SUM(EX$4:EX15,EV$4:EV15,ET$4:ET15))</f>
        <v>0</v>
      </c>
      <c r="FA15" s="200" t="str">
        <f t="shared" si="69"/>
        <v/>
      </c>
      <c r="FB15" s="200">
        <f>IF($J15="",#N/A,SUM(FA$4:FA15))</f>
        <v>0</v>
      </c>
      <c r="FC15" s="201" t="str">
        <f t="shared" si="70"/>
        <v/>
      </c>
      <c r="FD15" s="201">
        <f>IF($J15="",#N/A,SUM(FC$4:FC15))</f>
        <v>0</v>
      </c>
      <c r="FE15" s="202" t="str">
        <f t="shared" si="71"/>
        <v/>
      </c>
      <c r="FF15" s="202">
        <f>IF($J15="",#N/A,SUM(FE$4:FE15))</f>
        <v>0</v>
      </c>
      <c r="FG15" s="202">
        <f>IF($J15="",#N/A,SUM(FE$4:FE15,FC$4:FC15,FA$4:FA15))</f>
        <v>0</v>
      </c>
      <c r="FH15" s="200" t="str">
        <f t="shared" si="72"/>
        <v/>
      </c>
      <c r="FI15" s="200">
        <f>IF($J15="",#N/A,SUM(FH$4:FH15))</f>
        <v>0</v>
      </c>
      <c r="FJ15" s="201" t="str">
        <f t="shared" si="73"/>
        <v/>
      </c>
      <c r="FK15" s="201">
        <f>IF($J15="",#N/A,SUM(FJ$4:FJ15))</f>
        <v>0</v>
      </c>
      <c r="FL15" s="202" t="str">
        <f t="shared" si="74"/>
        <v/>
      </c>
      <c r="FM15" s="202">
        <f>IF($J15="",#N/A,SUM(FL$4:FL15))</f>
        <v>0</v>
      </c>
      <c r="FN15" s="202">
        <f>IF($J15="",#N/A,SUM(FL$4:FL15,FJ$4:FJ15,FH$4:FH15))</f>
        <v>0</v>
      </c>
      <c r="FO15" s="200" t="str">
        <f t="shared" si="75"/>
        <v/>
      </c>
      <c r="FP15" s="200">
        <f>IF($J15="",#N/A,SUM(FO$4:FO15))</f>
        <v>0</v>
      </c>
      <c r="FQ15" s="201" t="str">
        <f t="shared" si="76"/>
        <v/>
      </c>
      <c r="FR15" s="201">
        <f>IF($J15="",#N/A,SUM(FQ$4:FQ15))</f>
        <v>0</v>
      </c>
      <c r="FS15" s="202" t="str">
        <f t="shared" si="77"/>
        <v/>
      </c>
      <c r="FT15" s="202">
        <f>IF($J15="",#N/A,SUM(FS$4:FS15))</f>
        <v>0</v>
      </c>
      <c r="FU15" s="202">
        <f>IF($J15="",#N/A,SUM(FS$4:FS15,FQ$4:FQ15,FO$4:FO15))</f>
        <v>0</v>
      </c>
      <c r="FV15" s="200" t="str">
        <f t="shared" si="78"/>
        <v/>
      </c>
      <c r="FW15" s="200">
        <f>IF($J15="",#N/A,SUM(FV$4:FV15))</f>
        <v>0</v>
      </c>
      <c r="FX15" s="201" t="str">
        <f t="shared" si="79"/>
        <v/>
      </c>
      <c r="FY15" s="201">
        <f>IF($J15="",#N/A,SUM(FX$4:FX15))</f>
        <v>0</v>
      </c>
      <c r="FZ15" s="202" t="str">
        <f t="shared" si="80"/>
        <v/>
      </c>
      <c r="GA15" s="202">
        <f>IF($J15="",#N/A,SUM(FZ$4:FZ15))</f>
        <v>0</v>
      </c>
      <c r="GB15" s="202">
        <f>IF($J15="",#N/A,SUM(FZ$4:FZ15,FX$4:FX15,FV$4:FV15))</f>
        <v>0</v>
      </c>
      <c r="GC15" s="200" t="str">
        <f t="shared" si="81"/>
        <v/>
      </c>
      <c r="GD15" s="200">
        <f>IF($J15="",#N/A,SUM(GC$4:GC15))</f>
        <v>0</v>
      </c>
      <c r="GE15" s="201" t="str">
        <f t="shared" si="82"/>
        <v/>
      </c>
      <c r="GF15" s="201">
        <f>IF($J15="",#N/A,SUM(GE$4:GE15))</f>
        <v>0</v>
      </c>
      <c r="GG15" s="202" t="str">
        <f t="shared" si="83"/>
        <v/>
      </c>
      <c r="GH15" s="202">
        <f>IF($J15="",#N/A,SUM(GG$4:GG15))</f>
        <v>0</v>
      </c>
      <c r="GI15" s="202">
        <f>IF($J15="",#N/A,SUM(GG$4:GG15,GE$4:GE15,GC$4:GC15))</f>
        <v>0</v>
      </c>
      <c r="GJ15" s="200" t="str">
        <f t="shared" si="84"/>
        <v/>
      </c>
      <c r="GK15" s="200">
        <f>IF($J15="",#N/A,SUM(GJ$4:GJ15))</f>
        <v>0</v>
      </c>
      <c r="GL15" s="201" t="str">
        <f t="shared" si="85"/>
        <v/>
      </c>
      <c r="GM15" s="201">
        <f>IF($J15="",#N/A,SUM(GL$4:GL15))</f>
        <v>0</v>
      </c>
      <c r="GN15" s="202" t="str">
        <f t="shared" si="86"/>
        <v/>
      </c>
      <c r="GO15" s="202">
        <f>IF($J15="",#N/A,SUM(GN$4:GN15))</f>
        <v>0</v>
      </c>
      <c r="GP15" s="202">
        <f>IF($J15="",#N/A,SUM(GN$4:GN15,GL$4:GL15,GJ$4:GJ15))</f>
        <v>0</v>
      </c>
      <c r="GS15" s="54">
        <f t="shared" si="105"/>
        <v>0.51358967366602826</v>
      </c>
      <c r="GT15" s="54">
        <f>IF(GS15="",NA(),SUM($GS$4:GS15))</f>
        <v>-0.44202439144535155</v>
      </c>
      <c r="GU15" s="54" t="str">
        <f t="shared" si="87"/>
        <v/>
      </c>
      <c r="GV15" s="54" t="e">
        <f>IF(GU15="",NA(),SUM($GU$4:GU15))</f>
        <v>#N/A</v>
      </c>
      <c r="GW15" s="54">
        <f t="shared" si="88"/>
        <v>0.51358967366602826</v>
      </c>
      <c r="GX15" s="54">
        <f>IF(GW15="",NA(),SUM($GW$4:GW15))</f>
        <v>-0.74266446688844512</v>
      </c>
      <c r="GY15" s="54" t="str">
        <f t="shared" si="89"/>
        <v/>
      </c>
      <c r="GZ15" s="54" t="e">
        <f>IF(GY15="",NA(),SUM($GY$4:GY15))</f>
        <v>#N/A</v>
      </c>
      <c r="HA15" s="54" t="str">
        <f t="shared" si="90"/>
        <v/>
      </c>
      <c r="HB15" s="54" t="e">
        <f>IF(HA15="",NA(),SUM($HA$4:HA15))</f>
        <v>#N/A</v>
      </c>
      <c r="HC15" s="54" t="str">
        <f t="shared" si="91"/>
        <v/>
      </c>
      <c r="HD15" s="54" t="e">
        <f>IF(HC15="",NA(),SUM($HC$4:HC15))</f>
        <v>#N/A</v>
      </c>
      <c r="HE15" s="54" t="str">
        <f t="shared" si="92"/>
        <v/>
      </c>
      <c r="HF15" s="54" t="e">
        <f>IF(HE15="",NA(),SUM($HE$4:HE15))</f>
        <v>#N/A</v>
      </c>
      <c r="HG15" s="54" t="str">
        <f t="shared" si="93"/>
        <v/>
      </c>
      <c r="HH15" s="54" t="e">
        <f>IF(HG15="",NA(),SUM($HG$4:HG15))</f>
        <v>#N/A</v>
      </c>
      <c r="HI15" s="172" t="str">
        <f t="shared" si="106"/>
        <v/>
      </c>
      <c r="HJ15" s="181">
        <f>IF($J15="",#N/A,SUM(HI$4:$HI15))</f>
        <v>-0.95980465361296896</v>
      </c>
      <c r="HK15" s="54" t="str">
        <f t="shared" si="94"/>
        <v/>
      </c>
      <c r="HL15" s="54">
        <f>IF($J15="",#N/A,SUM($HK$4:HK15))</f>
        <v>-3.4652545522110731</v>
      </c>
      <c r="HM15" s="54" t="str">
        <f t="shared" si="95"/>
        <v/>
      </c>
      <c r="HN15" s="54">
        <f>IF($J15="",#N/A,SUM($HM$4:HM15))</f>
        <v>0</v>
      </c>
      <c r="HO15" s="54" t="str">
        <f t="shared" si="96"/>
        <v/>
      </c>
      <c r="HP15" s="54">
        <f>IF($J15="",#N/A,SUM($HO$4:HO15))</f>
        <v>0</v>
      </c>
      <c r="HQ15" s="54">
        <f t="shared" si="97"/>
        <v>8.6355785837651799E-2</v>
      </c>
      <c r="HR15" s="54">
        <f>IF($J15="",#N/A,SUM($HQ$4:HQ15))</f>
        <v>-7.9659235076597334E-2</v>
      </c>
      <c r="HS15" s="54" t="str">
        <f t="shared" si="98"/>
        <v/>
      </c>
      <c r="HT15" s="54">
        <f>IF($J15="",#N/A,SUM($HS$4:HS15))</f>
        <v>4.4712150775590054</v>
      </c>
      <c r="HU15" s="65">
        <f t="shared" si="99"/>
        <v>0.59994545950368006</v>
      </c>
      <c r="HV15" s="65">
        <f>IF($J15="",#N/A,SUM(HU$4:$HU15))</f>
        <v>-0.47552775478698617</v>
      </c>
    </row>
    <row r="16" spans="1:230" x14ac:dyDescent="0.25">
      <c r="A16" s="51" t="s">
        <v>1362</v>
      </c>
      <c r="B16" s="52" t="s">
        <v>4479</v>
      </c>
      <c r="C16" s="229">
        <f t="shared" si="0"/>
        <v>2</v>
      </c>
      <c r="D16" s="219" t="str">
        <f>_xlfn.XLOOKUP(A16,[1]SP500!$A$2:$A$502,[1]SP500!$D$2:$D$502,"N")</f>
        <v>Y</v>
      </c>
      <c r="E16" s="51" t="str">
        <f>IFERROR(_xlfn.XLOOKUP(A16,[1]SP500!$A$2:$A$655,[1]SP500!$B$2:$B$655),"")</f>
        <v>XLF</v>
      </c>
      <c r="F16" s="53">
        <v>45762</v>
      </c>
      <c r="G16" s="51" t="str">
        <f t="shared" si="1"/>
        <v>BMO</v>
      </c>
      <c r="H16" s="51" t="str">
        <f t="shared" si="2"/>
        <v>s</v>
      </c>
      <c r="I16" s="344">
        <v>155.32</v>
      </c>
      <c r="J16" s="123">
        <v>152.51</v>
      </c>
      <c r="K16" s="55">
        <f t="shared" si="3"/>
        <v>-1.8091681689415415E-2</v>
      </c>
      <c r="L16" s="67">
        <f t="shared" si="4"/>
        <v>19.670000000000073</v>
      </c>
      <c r="M16" s="57">
        <f t="shared" si="5"/>
        <v>0</v>
      </c>
      <c r="N16" s="155">
        <f t="shared" si="6"/>
        <v>19.670000000000073</v>
      </c>
      <c r="O16" s="156">
        <f>IF(N16="",#N/A,SUM($N$4:N16))</f>
        <v>-6.1137195314972814</v>
      </c>
      <c r="P16" s="65">
        <f t="shared" si="100"/>
        <v>0.30152802815692448</v>
      </c>
      <c r="Q16" s="172">
        <f>IF($N16="",#N/A,SUM($P$4:P16))</f>
        <v>-0.14049636328842707</v>
      </c>
      <c r="R16" s="279">
        <f t="shared" si="7"/>
        <v>-0.6123788283204783</v>
      </c>
      <c r="S16" s="51" t="str">
        <f t="shared" si="8"/>
        <v>Dwn</v>
      </c>
      <c r="T16" s="51" t="s">
        <v>4462</v>
      </c>
      <c r="U16" s="56">
        <f t="shared" si="9"/>
        <v>155.32</v>
      </c>
      <c r="V16" s="56" t="s">
        <v>4458</v>
      </c>
      <c r="W16" s="142">
        <v>7</v>
      </c>
      <c r="X16" s="145">
        <f t="shared" si="10"/>
        <v>1087.24</v>
      </c>
      <c r="Y16" s="140">
        <f t="shared" si="11"/>
        <v>7</v>
      </c>
      <c r="Z16" s="123">
        <v>152.51</v>
      </c>
      <c r="AA16" s="102">
        <f t="shared" si="12"/>
        <v>19.670000000000073</v>
      </c>
      <c r="AB16" s="102">
        <f t="shared" si="13"/>
        <v>-0.49000000000000909</v>
      </c>
      <c r="AC16" s="124">
        <v>155.38999999999999</v>
      </c>
      <c r="AD16" s="155">
        <f t="shared" si="14"/>
        <v>-0.49000000000000909</v>
      </c>
      <c r="AE16" s="545">
        <f t="shared" si="15"/>
        <v>-7.5113743668985865E-3</v>
      </c>
      <c r="AF16" s="57">
        <f>IF($AC16="",#N/A,SUM(AD$4:AD16))</f>
        <v>-30.278372902817296</v>
      </c>
      <c r="AG16" s="102">
        <f t="shared" si="16"/>
        <v>-20.160000000000082</v>
      </c>
      <c r="AH16" s="56" t="s">
        <v>2507</v>
      </c>
      <c r="AI16" s="65">
        <f t="shared" si="17"/>
        <v>0.30152802815692448</v>
      </c>
      <c r="AJ16" s="54">
        <f>IF(AI16="",#N/A,SUM($AI$4:AI16))</f>
        <v>0.47188246503205122</v>
      </c>
      <c r="AK16" s="57">
        <f t="shared" si="18"/>
        <v>19.670000000000073</v>
      </c>
      <c r="AL16" s="58">
        <f>IF(AI16="",#N/A,IF(AH16="Skip",SUM($AK$4:AK16),SUM($AK$4:AK16)))</f>
        <v>33.649999999999864</v>
      </c>
      <c r="AM16" s="65">
        <f t="shared" si="101"/>
        <v>-7.5113743668985865E-3</v>
      </c>
      <c r="AN16" s="209"/>
      <c r="AO16" s="65" t="str">
        <f t="shared" si="19"/>
        <v/>
      </c>
      <c r="AP16" s="65">
        <f>IF($AC16="",#N/A,SUM(AO$4:AO16))</f>
        <v>3.6488913755939625</v>
      </c>
      <c r="AQ16" s="65" t="str">
        <f t="shared" si="20"/>
        <v/>
      </c>
      <c r="AR16" s="65">
        <f>IF($AC16="",#N/A,SUM(AQ$4:AQ16))</f>
        <v>0</v>
      </c>
      <c r="AS16" s="65">
        <f t="shared" si="21"/>
        <v>-7.5113743668985865E-3</v>
      </c>
      <c r="AT16" s="65">
        <f>IF($AC16="",#N/A,SUM(AS$4:AS16))</f>
        <v>-4.1319305047478476</v>
      </c>
      <c r="AU16" s="57" t="str">
        <f t="shared" si="102"/>
        <v/>
      </c>
      <c r="AV16" s="57">
        <f>IF($AC16="",#N/A,SUM(AU$4:AU16))</f>
        <v>236.89999999999998</v>
      </c>
      <c r="AW16" s="57" t="str">
        <f t="shared" si="103"/>
        <v/>
      </c>
      <c r="AX16" s="57">
        <f>IF($AC16="",#N/A,SUM(AW$4:AW16))</f>
        <v>0</v>
      </c>
      <c r="AY16" s="56">
        <f t="shared" si="104"/>
        <v>-0.49000000000000909</v>
      </c>
      <c r="AZ16" s="57">
        <f>IF($AC16="",#N/A,SUM(AY$4:AY16))</f>
        <v>-267.17837290281727</v>
      </c>
      <c r="BA16" s="57">
        <f>IF(AD16="",#N/A,SUM($AD$4:AD16))</f>
        <v>-30.278372902817296</v>
      </c>
      <c r="BC16" s="51" t="str">
        <f t="shared" si="22"/>
        <v/>
      </c>
      <c r="BD16" s="51" t="str">
        <f t="shared" si="23"/>
        <v/>
      </c>
      <c r="BE16" s="51" t="str">
        <f t="shared" si="24"/>
        <v/>
      </c>
      <c r="BF16" s="51" t="str">
        <f t="shared" si="25"/>
        <v>Short</v>
      </c>
      <c r="BG16" s="51">
        <f t="shared" si="26"/>
        <v>1</v>
      </c>
      <c r="BH16" s="51" t="str">
        <f t="shared" si="27"/>
        <v/>
      </c>
      <c r="BI16" s="51" t="str">
        <f t="shared" si="28"/>
        <v/>
      </c>
      <c r="BK16" s="184"/>
      <c r="BL16" s="184"/>
      <c r="BM16" s="73"/>
      <c r="BO16" s="489" t="e">
        <f>IF(J16="",#N/A,IF(S16="SW",(COUNTIFS(K$4:$K16,"&gt;0",S$4:$S16,"SW")/COUNTIF(S$4:$S16,"SW")),#N/A))</f>
        <v>#N/A</v>
      </c>
      <c r="BP16" s="489">
        <f>IF($J16="",#N/A,IF($S16="DWN",(COUNTIFS($K$4:$K16,"&lt;0",$S$4:$S16,"DWN")/COUNTIF($S$4:$S16,"DWN")),#N/A))</f>
        <v>0.75</v>
      </c>
      <c r="BQ16" s="489" t="e">
        <f>IF($J16="",#N/A,IF($S16="UP",(COUNTIFS($K$4:$K16,"&gt;0",$S$4:$S16,"UP")/COUNTIF($S$4:$S16,"UP")),#N/A))</f>
        <v>#N/A</v>
      </c>
      <c r="BR16" s="489">
        <f>IF(J16="",#N/A,COUNTIF($K$4:K16,"&gt;0")/COUNT($J$4:J16))</f>
        <v>0.30769230769230771</v>
      </c>
      <c r="BS16" s="65" t="str">
        <f t="shared" si="29"/>
        <v/>
      </c>
      <c r="BT16" s="65" t="str">
        <f t="shared" si="30"/>
        <v/>
      </c>
      <c r="BU16" s="65">
        <f t="shared" si="31"/>
        <v>0.30152802815692448</v>
      </c>
      <c r="BV16" s="65" t="str">
        <f t="shared" si="32"/>
        <v/>
      </c>
      <c r="BW16" s="151" t="str">
        <f t="shared" si="33"/>
        <v/>
      </c>
      <c r="BX16" s="151">
        <f>IF($J16="",#N/A,SUM($BW$4:BW16))</f>
        <v>0</v>
      </c>
      <c r="BY16" s="152">
        <f t="shared" si="34"/>
        <v>19.670000000000073</v>
      </c>
      <c r="BZ16" s="152">
        <f>IF($J16="",#N/A,SUM($BY$4:BY16))</f>
        <v>40.306280468503019</v>
      </c>
      <c r="CA16" s="153" t="str">
        <f t="shared" si="35"/>
        <v/>
      </c>
      <c r="CB16" s="154">
        <f>IF($J16="",#N/A,SUM($CA$4:CA16))</f>
        <v>-46.4200000000003</v>
      </c>
      <c r="CC16" s="191" t="str">
        <f t="shared" si="36"/>
        <v/>
      </c>
      <c r="CD16" s="191">
        <f>IF($J16="",#N/A,SUM($CC$4:CC16))</f>
        <v>0</v>
      </c>
      <c r="CE16" s="192">
        <f t="shared" si="37"/>
        <v>0.30152802815692448</v>
      </c>
      <c r="CF16" s="192">
        <f>IF($J16="",#N/A,SUM($CE$4:CE16))</f>
        <v>0.60216810360001793</v>
      </c>
      <c r="CG16" s="193" t="str">
        <f t="shared" si="38"/>
        <v/>
      </c>
      <c r="CH16" s="193">
        <f>IF($J16="",#N/A,SUM($CG$4:CG16))</f>
        <v>-0.74266446688844512</v>
      </c>
      <c r="CI16" s="200" t="str">
        <f t="shared" si="39"/>
        <v/>
      </c>
      <c r="CJ16" s="200">
        <f>IF($J16="",#N/A,SUM(CI$4:CI16))</f>
        <v>0</v>
      </c>
      <c r="CK16" s="201" t="str">
        <f t="shared" si="40"/>
        <v/>
      </c>
      <c r="CL16" s="201">
        <f>IF($J16="",#N/A,SUM(CK$4:CK16))</f>
        <v>0</v>
      </c>
      <c r="CM16" s="202" t="str">
        <f t="shared" si="41"/>
        <v/>
      </c>
      <c r="CN16" s="202">
        <f>IF($J16="",#N/A,SUM(CM$4:CM16))</f>
        <v>0</v>
      </c>
      <c r="CO16" s="202">
        <f>IF($J16="",#N/A,SUM(CM$4:CM16,CK$4:CK16,CI$4:CI16))</f>
        <v>0</v>
      </c>
      <c r="CP16" s="200" t="str">
        <f t="shared" si="42"/>
        <v/>
      </c>
      <c r="CQ16" s="200">
        <f>IF($J16="",#N/A,SUM(CP$4:CP16))</f>
        <v>0</v>
      </c>
      <c r="CR16" s="201" t="str">
        <f t="shared" si="43"/>
        <v/>
      </c>
      <c r="CS16" s="201">
        <f>IF($J16="",#N/A,SUM(CR$4:CR16))</f>
        <v>0</v>
      </c>
      <c r="CT16" s="202" t="str">
        <f t="shared" si="44"/>
        <v/>
      </c>
      <c r="CU16" s="202">
        <f>IF($J16="",#N/A,SUM(CT$4:CT16))</f>
        <v>0</v>
      </c>
      <c r="CV16" s="202">
        <f>IF($J16="",#N/A,SUM(CT$4:CT16,CR$4:CR16,CP$4:CP16))</f>
        <v>0</v>
      </c>
      <c r="CW16" s="200" t="str">
        <f t="shared" si="45"/>
        <v/>
      </c>
      <c r="CX16" s="200">
        <f>IF($J16="",#N/A,SUM(CW$4:CW16))</f>
        <v>0</v>
      </c>
      <c r="CY16" s="201" t="str">
        <f t="shared" si="46"/>
        <v/>
      </c>
      <c r="CZ16" s="201">
        <f>IF($J16="",#N/A,SUM(CY$4:CY16))</f>
        <v>0</v>
      </c>
      <c r="DA16" s="202" t="str">
        <f t="shared" si="47"/>
        <v/>
      </c>
      <c r="DB16" s="202">
        <f>IF($J16="",#N/A,SUM(DA$4:DA16))</f>
        <v>0</v>
      </c>
      <c r="DC16" s="202">
        <f>IF($J16="",#N/A,SUM(DA$4:DA16,CY$4:CY16,CW$4:CW16))</f>
        <v>0</v>
      </c>
      <c r="DD16" s="200" t="str">
        <f t="shared" si="48"/>
        <v/>
      </c>
      <c r="DE16" s="200">
        <f>IF($J16="",#N/A,SUM(DD$4:DD16))</f>
        <v>0</v>
      </c>
      <c r="DF16" s="201" t="str">
        <f t="shared" si="49"/>
        <v/>
      </c>
      <c r="DG16" s="201">
        <f>IF($J16="",#N/A,SUM(DF$4:DF16))</f>
        <v>0.6788440567066546</v>
      </c>
      <c r="DH16" s="202" t="str">
        <f t="shared" si="50"/>
        <v/>
      </c>
      <c r="DI16" s="202">
        <f>IF($J16="",#N/A,SUM(DH$4:DH16))</f>
        <v>0</v>
      </c>
      <c r="DJ16" s="202">
        <f>IF($J16="",#N/A,SUM(DH$4:DH16,DF$4:DF16,DD$4:DD16))</f>
        <v>0.6788440567066546</v>
      </c>
      <c r="DK16" s="200" t="str">
        <f t="shared" si="51"/>
        <v/>
      </c>
      <c r="DL16" s="200">
        <f>IF($J16="",#N/A,SUM(DK$4:DK16))</f>
        <v>0</v>
      </c>
      <c r="DM16" s="201" t="str">
        <f t="shared" si="52"/>
        <v/>
      </c>
      <c r="DN16" s="201">
        <f>IF($J16="",#N/A,SUM(DM$4:DM16))</f>
        <v>0</v>
      </c>
      <c r="DO16" s="202" t="str">
        <f t="shared" si="53"/>
        <v/>
      </c>
      <c r="DP16" s="202">
        <f>IF($J16="",#N/A,SUM(DO$4:DO16))</f>
        <v>0</v>
      </c>
      <c r="DQ16" s="202">
        <f>IF($J16="",#N/A,SUM(DO$4:DO16,DM$4:DM16,DK$4:DK16))</f>
        <v>0</v>
      </c>
      <c r="DR16" s="200" t="str">
        <f t="shared" si="54"/>
        <v/>
      </c>
      <c r="DS16" s="200">
        <f>IF($J16="",#N/A,SUM(DR$4:DR16))</f>
        <v>0</v>
      </c>
      <c r="DT16" s="201">
        <f t="shared" si="55"/>
        <v>0.30152802815692448</v>
      </c>
      <c r="DU16" s="201">
        <f>IF($J16="",#N/A,SUM(DT$4:DT16))</f>
        <v>0.40177072099220923</v>
      </c>
      <c r="DV16" s="202" t="str">
        <f t="shared" si="56"/>
        <v/>
      </c>
      <c r="DW16" s="202">
        <f>IF($J16="",#N/A,SUM(DV$4:DV16))</f>
        <v>-0.61511905632416297</v>
      </c>
      <c r="DX16" s="202">
        <f>IF($J16="",#N/A,SUM(DV$4:DV16,DT$4:DT16,DR$4:DR16))</f>
        <v>-0.21334833533195374</v>
      </c>
      <c r="DY16" s="200" t="str">
        <f t="shared" si="57"/>
        <v/>
      </c>
      <c r="DZ16" s="200">
        <f>IF($J16="",#N/A,SUM(DY$4:DY16))</f>
        <v>0</v>
      </c>
      <c r="EA16" s="201" t="str">
        <f t="shared" si="58"/>
        <v/>
      </c>
      <c r="EB16" s="201">
        <f>IF($J16="",#N/A,SUM(EA$4:EA16))</f>
        <v>-0.47844667409884589</v>
      </c>
      <c r="EC16" s="202" t="str">
        <f t="shared" si="59"/>
        <v/>
      </c>
      <c r="ED16" s="202">
        <f>IF($J16="",#N/A,SUM(EC$4:EC16))</f>
        <v>-0.12754541056428245</v>
      </c>
      <c r="EE16" s="202">
        <f>IF($J16="",#N/A,SUM(EC$4:EC16,EA$4:EA16,DY$4:DY16))</f>
        <v>-0.60599208466312837</v>
      </c>
      <c r="EF16" s="200" t="str">
        <f t="shared" si="60"/>
        <v/>
      </c>
      <c r="EG16" s="200">
        <f>IF($J16="",#N/A,SUM(EF$4:EF16))</f>
        <v>0</v>
      </c>
      <c r="EH16" s="201" t="str">
        <f t="shared" si="61"/>
        <v/>
      </c>
      <c r="EI16" s="201">
        <f>IF($J16="",#N/A,SUM(EH$4:EH16))</f>
        <v>0</v>
      </c>
      <c r="EJ16" s="202" t="str">
        <f t="shared" si="62"/>
        <v/>
      </c>
      <c r="EK16" s="202">
        <f>IF($J16="",#N/A,SUM(EJ$4:EJ16))</f>
        <v>0</v>
      </c>
      <c r="EL16" s="202">
        <f>IF($J16="",#N/A,SUM(EJ$4:EJ16,EH$4:EH16,EF$4:EF16))</f>
        <v>0</v>
      </c>
      <c r="EM16" s="200" t="str">
        <f t="shared" si="63"/>
        <v/>
      </c>
      <c r="EN16" s="200">
        <f>IF($J16="",#N/A,SUM(EM$4:EM16))</f>
        <v>0</v>
      </c>
      <c r="EO16" s="201" t="str">
        <f t="shared" si="64"/>
        <v/>
      </c>
      <c r="EP16" s="201">
        <f>IF($J16="",#N/A,SUM(EO$4:EO16))</f>
        <v>0</v>
      </c>
      <c r="EQ16" s="202" t="str">
        <f t="shared" si="65"/>
        <v/>
      </c>
      <c r="ER16" s="202">
        <f>IF($J16="",#N/A,SUM(EQ$4:EQ16))</f>
        <v>0</v>
      </c>
      <c r="ES16" s="202">
        <f>IF($J16="",#N/A,SUM(EQ$4:EQ16,EO$4:EO16,EM$4:EM16))</f>
        <v>0</v>
      </c>
      <c r="ET16" s="200" t="str">
        <f t="shared" si="66"/>
        <v/>
      </c>
      <c r="EU16" s="200">
        <f>IF($J16="",#N/A,SUM(ET$4:ET16))</f>
        <v>0</v>
      </c>
      <c r="EV16" s="201" t="str">
        <f t="shared" si="67"/>
        <v/>
      </c>
      <c r="EW16" s="201">
        <f>IF($J16="",#N/A,SUM(EV$4:EV16))</f>
        <v>0</v>
      </c>
      <c r="EX16" s="202" t="str">
        <f t="shared" si="68"/>
        <v/>
      </c>
      <c r="EY16" s="202">
        <f>IF($J16="",#N/A,SUM(EX$4:EX16))</f>
        <v>0</v>
      </c>
      <c r="EZ16" s="202">
        <f>IF($J16="",#N/A,SUM(EX$4:EX16,EV$4:EV16,ET$4:ET16))</f>
        <v>0</v>
      </c>
      <c r="FA16" s="200" t="str">
        <f t="shared" si="69"/>
        <v/>
      </c>
      <c r="FB16" s="200">
        <f>IF($J16="",#N/A,SUM(FA$4:FA16))</f>
        <v>0</v>
      </c>
      <c r="FC16" s="201" t="str">
        <f t="shared" si="70"/>
        <v/>
      </c>
      <c r="FD16" s="201">
        <f>IF($J16="",#N/A,SUM(FC$4:FC16))</f>
        <v>0</v>
      </c>
      <c r="FE16" s="202" t="str">
        <f t="shared" si="71"/>
        <v/>
      </c>
      <c r="FF16" s="202">
        <f>IF($J16="",#N/A,SUM(FE$4:FE16))</f>
        <v>0</v>
      </c>
      <c r="FG16" s="202">
        <f>IF($J16="",#N/A,SUM(FE$4:FE16,FC$4:FC16,FA$4:FA16))</f>
        <v>0</v>
      </c>
      <c r="FH16" s="200" t="str">
        <f t="shared" si="72"/>
        <v/>
      </c>
      <c r="FI16" s="200">
        <f>IF($J16="",#N/A,SUM(FH$4:FH16))</f>
        <v>0</v>
      </c>
      <c r="FJ16" s="201" t="str">
        <f t="shared" si="73"/>
        <v/>
      </c>
      <c r="FK16" s="201">
        <f>IF($J16="",#N/A,SUM(FJ$4:FJ16))</f>
        <v>0</v>
      </c>
      <c r="FL16" s="202" t="str">
        <f t="shared" si="74"/>
        <v/>
      </c>
      <c r="FM16" s="202">
        <f>IF($J16="",#N/A,SUM(FL$4:FL16))</f>
        <v>0</v>
      </c>
      <c r="FN16" s="202">
        <f>IF($J16="",#N/A,SUM(FL$4:FL16,FJ$4:FJ16,FH$4:FH16))</f>
        <v>0</v>
      </c>
      <c r="FO16" s="200" t="str">
        <f t="shared" si="75"/>
        <v/>
      </c>
      <c r="FP16" s="200">
        <f>IF($J16="",#N/A,SUM(FO$4:FO16))</f>
        <v>0</v>
      </c>
      <c r="FQ16" s="201" t="str">
        <f t="shared" si="76"/>
        <v/>
      </c>
      <c r="FR16" s="201">
        <f>IF($J16="",#N/A,SUM(FQ$4:FQ16))</f>
        <v>0</v>
      </c>
      <c r="FS16" s="202" t="str">
        <f t="shared" si="77"/>
        <v/>
      </c>
      <c r="FT16" s="202">
        <f>IF($J16="",#N/A,SUM(FS$4:FS16))</f>
        <v>0</v>
      </c>
      <c r="FU16" s="202">
        <f>IF($J16="",#N/A,SUM(FS$4:FS16,FQ$4:FQ16,FO$4:FO16))</f>
        <v>0</v>
      </c>
      <c r="FV16" s="200" t="str">
        <f t="shared" si="78"/>
        <v/>
      </c>
      <c r="FW16" s="200">
        <f>IF($J16="",#N/A,SUM(FV$4:FV16))</f>
        <v>0</v>
      </c>
      <c r="FX16" s="201" t="str">
        <f t="shared" si="79"/>
        <v/>
      </c>
      <c r="FY16" s="201">
        <f>IF($J16="",#N/A,SUM(FX$4:FX16))</f>
        <v>0</v>
      </c>
      <c r="FZ16" s="202" t="str">
        <f t="shared" si="80"/>
        <v/>
      </c>
      <c r="GA16" s="202">
        <f>IF($J16="",#N/A,SUM(FZ$4:FZ16))</f>
        <v>0</v>
      </c>
      <c r="GB16" s="202">
        <f>IF($J16="",#N/A,SUM(FZ$4:FZ16,FX$4:FX16,FV$4:FV16))</f>
        <v>0</v>
      </c>
      <c r="GC16" s="200" t="str">
        <f t="shared" si="81"/>
        <v/>
      </c>
      <c r="GD16" s="200">
        <f>IF($J16="",#N/A,SUM(GC$4:GC16))</f>
        <v>0</v>
      </c>
      <c r="GE16" s="201" t="str">
        <f t="shared" si="82"/>
        <v/>
      </c>
      <c r="GF16" s="201">
        <f>IF($J16="",#N/A,SUM(GE$4:GE16))</f>
        <v>0</v>
      </c>
      <c r="GG16" s="202" t="str">
        <f t="shared" si="83"/>
        <v/>
      </c>
      <c r="GH16" s="202">
        <f>IF($J16="",#N/A,SUM(GG$4:GG16))</f>
        <v>0</v>
      </c>
      <c r="GI16" s="202">
        <f>IF($J16="",#N/A,SUM(GG$4:GG16,GE$4:GE16,GC$4:GC16))</f>
        <v>0</v>
      </c>
      <c r="GJ16" s="200" t="str">
        <f t="shared" si="84"/>
        <v/>
      </c>
      <c r="GK16" s="200">
        <f>IF($J16="",#N/A,SUM(GJ$4:GJ16))</f>
        <v>0</v>
      </c>
      <c r="GL16" s="201" t="str">
        <f t="shared" si="85"/>
        <v/>
      </c>
      <c r="GM16" s="201">
        <f>IF($J16="",#N/A,SUM(GL$4:GL16))</f>
        <v>0</v>
      </c>
      <c r="GN16" s="202" t="str">
        <f t="shared" si="86"/>
        <v/>
      </c>
      <c r="GO16" s="202">
        <f>IF($J16="",#N/A,SUM(GN$4:GN16))</f>
        <v>0</v>
      </c>
      <c r="GP16" s="202">
        <f>IF($J16="",#N/A,SUM(GN$4:GN16,GL$4:GL16,GJ$4:GJ16))</f>
        <v>0</v>
      </c>
      <c r="GS16" s="54">
        <f t="shared" si="105"/>
        <v>0.30152802815692448</v>
      </c>
      <c r="GT16" s="54">
        <f>IF(GS16="",NA(),SUM($GS$4:GS16))</f>
        <v>-0.14049636328842707</v>
      </c>
      <c r="GU16" s="54" t="str">
        <f t="shared" si="87"/>
        <v/>
      </c>
      <c r="GV16" s="54" t="e">
        <f>IF(GU16="",NA(),SUM($GU$4:GU16))</f>
        <v>#N/A</v>
      </c>
      <c r="GW16" s="54" t="str">
        <f t="shared" si="88"/>
        <v/>
      </c>
      <c r="GX16" s="54" t="e">
        <f>IF(GW16="",NA(),SUM($GW$4:GW16))</f>
        <v>#N/A</v>
      </c>
      <c r="GY16" s="54">
        <f t="shared" si="89"/>
        <v>0.30152802815692448</v>
      </c>
      <c r="GZ16" s="54">
        <f>IF(GY16="",NA(),SUM($GY$4:GY16))</f>
        <v>0.60216810360001793</v>
      </c>
      <c r="HA16" s="54" t="str">
        <f t="shared" si="90"/>
        <v/>
      </c>
      <c r="HB16" s="54" t="e">
        <f>IF(HA16="",NA(),SUM($HA$4:HA16))</f>
        <v>#N/A</v>
      </c>
      <c r="HC16" s="54" t="str">
        <f t="shared" si="91"/>
        <v/>
      </c>
      <c r="HD16" s="54" t="e">
        <f>IF(HC16="",NA(),SUM($HC$4:HC16))</f>
        <v>#N/A</v>
      </c>
      <c r="HE16" s="54" t="str">
        <f t="shared" si="92"/>
        <v/>
      </c>
      <c r="HF16" s="54" t="e">
        <f>IF(HE16="",NA(),SUM($HE$4:HE16))</f>
        <v>#N/A</v>
      </c>
      <c r="HG16" s="54" t="str">
        <f t="shared" si="93"/>
        <v/>
      </c>
      <c r="HH16" s="54" t="e">
        <f>IF(HG16="",NA(),SUM($HG$4:HG16))</f>
        <v>#N/A</v>
      </c>
      <c r="HI16" s="172">
        <f t="shared" si="106"/>
        <v>-0.30903940252382306</v>
      </c>
      <c r="HJ16" s="181">
        <f>IF($J16="",#N/A,SUM(HI$4:$HI16))</f>
        <v>-1.268844056136792</v>
      </c>
      <c r="HK16" s="54" t="str">
        <f t="shared" si="94"/>
        <v/>
      </c>
      <c r="HL16" s="54">
        <f>IF($J16="",#N/A,SUM($HK$4:HK16))</f>
        <v>-3.4652545522110731</v>
      </c>
      <c r="HM16" s="54" t="str">
        <f t="shared" si="95"/>
        <v/>
      </c>
      <c r="HN16" s="54">
        <f>IF($J16="",#N/A,SUM($HM$4:HM16))</f>
        <v>0</v>
      </c>
      <c r="HO16" s="54" t="str">
        <f t="shared" si="96"/>
        <v/>
      </c>
      <c r="HP16" s="54">
        <f>IF($J16="",#N/A,SUM($HO$4:HO16))</f>
        <v>0</v>
      </c>
      <c r="HQ16" s="54" t="str">
        <f t="shared" si="97"/>
        <v/>
      </c>
      <c r="HR16" s="54">
        <f>IF($J16="",#N/A,SUM($HQ$4:HQ16))</f>
        <v>-7.9659235076597334E-2</v>
      </c>
      <c r="HS16" s="54" t="str">
        <f t="shared" si="98"/>
        <v/>
      </c>
      <c r="HT16" s="54">
        <f>IF($J16="",#N/A,SUM($HS$4:HS16))</f>
        <v>4.4712150775590054</v>
      </c>
      <c r="HU16" s="65">
        <f t="shared" si="99"/>
        <v>-7.5113743668985865E-3</v>
      </c>
      <c r="HV16" s="65">
        <f>IF($J16="",#N/A,SUM(HU$4:$HU16))</f>
        <v>-0.48303912915388475</v>
      </c>
    </row>
    <row r="17" spans="1:230" ht="15.75" thickBot="1" x14ac:dyDescent="0.3">
      <c r="A17" s="292" t="s">
        <v>1278</v>
      </c>
      <c r="B17" s="293" t="s">
        <v>4479</v>
      </c>
      <c r="C17" s="294">
        <f t="shared" si="0"/>
        <v>3</v>
      </c>
      <c r="D17" s="295" t="str">
        <f>_xlfn.XLOOKUP(A17,[1]SP500!$A$2:$A$502,[1]SP500!$D$2:$D$502,"N")</f>
        <v>Y</v>
      </c>
      <c r="E17" s="292" t="str">
        <f>IFERROR(_xlfn.XLOOKUP(A17,[1]SP500!$A$2:$A$655,[1]SP500!$B$2:$B$655),"")</f>
        <v>XLV</v>
      </c>
      <c r="F17" s="296">
        <v>45762</v>
      </c>
      <c r="G17" s="292" t="str">
        <f t="shared" si="1"/>
        <v>BMO</v>
      </c>
      <c r="H17" s="292" t="str">
        <f t="shared" si="2"/>
        <v>s</v>
      </c>
      <c r="I17" s="345">
        <v>154.36000000000001</v>
      </c>
      <c r="J17" s="313">
        <v>155.69999999999999</v>
      </c>
      <c r="K17" s="298">
        <f t="shared" si="3"/>
        <v>8.6810054418241436E-3</v>
      </c>
      <c r="L17" s="299">
        <f t="shared" si="4"/>
        <v>9.3799999999998818</v>
      </c>
      <c r="M17" s="300" t="e">
        <f t="shared" si="5"/>
        <v>#N/A</v>
      </c>
      <c r="N17" s="301">
        <f t="shared" si="6"/>
        <v>9.3799999999998818</v>
      </c>
      <c r="O17" s="302">
        <f>IF(N17="",#N/A,SUM($N$4:N17))</f>
        <v>3.2662804685026003</v>
      </c>
      <c r="P17" s="305">
        <f t="shared" si="100"/>
        <v>0.1446834240304033</v>
      </c>
      <c r="Q17" s="304">
        <f>IF($N17="",#N/A,SUM($P$4:P17))</f>
        <v>4.1870607419762229E-3</v>
      </c>
      <c r="R17" s="307">
        <f t="shared" si="7"/>
        <v>-0.36890037967229877</v>
      </c>
      <c r="S17" s="292" t="str">
        <f t="shared" si="8"/>
        <v>SW</v>
      </c>
      <c r="T17" s="292" t="s">
        <v>2828</v>
      </c>
      <c r="U17" s="308">
        <f t="shared" si="9"/>
        <v>154.36000000000001</v>
      </c>
      <c r="V17" s="308" t="s">
        <v>4460</v>
      </c>
      <c r="W17" s="310">
        <v>7</v>
      </c>
      <c r="X17" s="309">
        <f t="shared" si="10"/>
        <v>1080.52</v>
      </c>
      <c r="Y17" s="310">
        <f t="shared" si="11"/>
        <v>7</v>
      </c>
      <c r="Z17" s="313">
        <v>153.44499999999999</v>
      </c>
      <c r="AA17" s="341">
        <f t="shared" si="12"/>
        <v>-6.4049999999999727</v>
      </c>
      <c r="AB17" s="341">
        <f t="shared" si="13"/>
        <v>-5.1799999999998363</v>
      </c>
      <c r="AC17" s="297">
        <v>153.62</v>
      </c>
      <c r="AD17" s="301">
        <f t="shared" si="14"/>
        <v>-5.1799999999998363</v>
      </c>
      <c r="AE17" s="546">
        <f t="shared" si="15"/>
        <v>-7.9899801330221204E-2</v>
      </c>
      <c r="AF17" s="300">
        <f>IF($AC17="",#N/A,SUM(AD$4:AD17))</f>
        <v>-35.458372902817132</v>
      </c>
      <c r="AG17" s="341">
        <f t="shared" si="16"/>
        <v>-14.559999999999718</v>
      </c>
      <c r="AH17" s="308" t="s">
        <v>4471</v>
      </c>
      <c r="AI17" s="305">
        <f t="shared" si="17"/>
        <v>-9.8795024617776214E-2</v>
      </c>
      <c r="AJ17" s="303">
        <f>IF(AI17="",#N/A,SUM($AI$4:AI17))</f>
        <v>0.373087440414275</v>
      </c>
      <c r="AK17" s="300">
        <f t="shared" si="18"/>
        <v>-6.4049999999999727</v>
      </c>
      <c r="AL17" s="312">
        <f>IF(AI17="",#N/A,IF(AH17="Skip",SUM($AK$4:AK17),SUM($AK$4:AK17)))</f>
        <v>27.244999999999891</v>
      </c>
      <c r="AM17" s="65">
        <f t="shared" si="101"/>
        <v>-7.9899801330221204E-2</v>
      </c>
      <c r="AN17" s="209"/>
      <c r="AO17" s="305">
        <f t="shared" si="19"/>
        <v>-7.9899801330221204E-2</v>
      </c>
      <c r="AP17" s="305">
        <f>IF($AC17="",#N/A,SUM(AO$4:AO17))</f>
        <v>3.5689915742637415</v>
      </c>
      <c r="AQ17" s="305" t="str">
        <f t="shared" si="20"/>
        <v/>
      </c>
      <c r="AR17" s="305">
        <f>IF($AC17="",#N/A,SUM(AQ$4:AQ17))</f>
        <v>0</v>
      </c>
      <c r="AS17" s="305" t="str">
        <f t="shared" si="21"/>
        <v/>
      </c>
      <c r="AT17" s="305">
        <f>IF($AC17="",#N/A,SUM(AS$4:AS17))</f>
        <v>-4.1319305047478476</v>
      </c>
      <c r="AU17" s="300">
        <f t="shared" si="102"/>
        <v>-5.1799999999998363</v>
      </c>
      <c r="AV17" s="300">
        <f>IF($AC17="",#N/A,SUM(AU$4:AU17))</f>
        <v>231.72000000000014</v>
      </c>
      <c r="AW17" s="300" t="str">
        <f t="shared" si="103"/>
        <v/>
      </c>
      <c r="AX17" s="300">
        <f>IF($AC17="",#N/A,SUM(AW$4:AW17))</f>
        <v>0</v>
      </c>
      <c r="AY17" s="308" t="str">
        <f t="shared" si="104"/>
        <v/>
      </c>
      <c r="AZ17" s="300">
        <f>IF($AC17="",#N/A,SUM(AY$4:AY17))</f>
        <v>-267.17837290281727</v>
      </c>
      <c r="BA17" s="300">
        <f>IF(AD17="",#N/A,SUM($AD$4:AD17))</f>
        <v>-35.458372902817132</v>
      </c>
      <c r="BC17" s="292" t="str">
        <f t="shared" si="22"/>
        <v/>
      </c>
      <c r="BD17" s="292" t="str">
        <f t="shared" si="23"/>
        <v/>
      </c>
      <c r="BE17" s="292">
        <f t="shared" si="24"/>
        <v>1</v>
      </c>
      <c r="BF17" s="292" t="str">
        <f t="shared" si="25"/>
        <v>Long</v>
      </c>
      <c r="BG17" s="292" t="str">
        <f t="shared" si="26"/>
        <v/>
      </c>
      <c r="BH17" s="292" t="str">
        <f t="shared" si="27"/>
        <v/>
      </c>
      <c r="BI17" s="292" t="str">
        <f t="shared" si="28"/>
        <v/>
      </c>
      <c r="BK17" s="184"/>
      <c r="BL17" s="184"/>
      <c r="BM17" s="73"/>
      <c r="BO17" s="489">
        <f>IF(J17="",#N/A,IF(S17="SW",(COUNTIFS(K$4:$K17,"&gt;0",S$4:$S17,"SW")/COUNTIF(S$4:$S17,"SW")),#N/A))</f>
        <v>0.4</v>
      </c>
      <c r="BP17" s="489" t="e">
        <f>IF($J17="",#N/A,IF($S17="DWN",(COUNTIFS($K$4:$K17,"&lt;0",$S$4:$S17,"DWN")/COUNTIF($S$4:$S17,"DWN")),#N/A))</f>
        <v>#N/A</v>
      </c>
      <c r="BQ17" s="489" t="e">
        <f>IF($J17="",#N/A,IF($S17="UP",(COUNTIFS($K$4:$K17,"&gt;0",$S$4:$S17,"UP")/COUNTIF($S$4:$S17,"UP")),#N/A))</f>
        <v>#N/A</v>
      </c>
      <c r="BR17" s="489">
        <f>IF(J17="",#N/A,COUNTIF($K$4:K17,"&gt;0")/COUNT($J$4:J17))</f>
        <v>0.35714285714285715</v>
      </c>
      <c r="BS17" s="65">
        <f t="shared" si="29"/>
        <v>0.1446834240304033</v>
      </c>
      <c r="BT17" s="65" t="str">
        <f t="shared" si="30"/>
        <v/>
      </c>
      <c r="BU17" s="65" t="str">
        <f t="shared" si="31"/>
        <v/>
      </c>
      <c r="BV17" s="65" t="str">
        <f t="shared" si="32"/>
        <v/>
      </c>
      <c r="BW17" s="151" t="str">
        <f t="shared" si="33"/>
        <v/>
      </c>
      <c r="BX17" s="151">
        <f>IF($J17="",#N/A,SUM($BW$4:BW17))</f>
        <v>0</v>
      </c>
      <c r="BY17" s="152" t="str">
        <f t="shared" si="34"/>
        <v/>
      </c>
      <c r="BZ17" s="152">
        <f>IF($J17="",#N/A,SUM($BY$4:BY17))</f>
        <v>40.306280468503019</v>
      </c>
      <c r="CA17" s="153">
        <f t="shared" si="35"/>
        <v>9.3799999999998818</v>
      </c>
      <c r="CB17" s="154">
        <f>IF($J17="",#N/A,SUM($CA$4:CA17))</f>
        <v>-37.040000000000418</v>
      </c>
      <c r="CC17" s="191" t="str">
        <f t="shared" si="36"/>
        <v/>
      </c>
      <c r="CD17" s="191">
        <f>IF($J17="",#N/A,SUM($CC$4:CC17))</f>
        <v>0</v>
      </c>
      <c r="CE17" s="192" t="str">
        <f t="shared" si="37"/>
        <v/>
      </c>
      <c r="CF17" s="192">
        <f>IF($J17="",#N/A,SUM($CE$4:CE17))</f>
        <v>0.60216810360001793</v>
      </c>
      <c r="CG17" s="193">
        <f t="shared" si="38"/>
        <v>0.1446834240304033</v>
      </c>
      <c r="CH17" s="193">
        <f>IF($J17="",#N/A,SUM($CG$4:CG17))</f>
        <v>-0.59798104285804188</v>
      </c>
      <c r="CI17" s="200" t="str">
        <f t="shared" si="39"/>
        <v/>
      </c>
      <c r="CJ17" s="200">
        <f>IF($J17="",#N/A,SUM(CI$4:CI17))</f>
        <v>0</v>
      </c>
      <c r="CK17" s="201" t="str">
        <f t="shared" si="40"/>
        <v/>
      </c>
      <c r="CL17" s="201">
        <f>IF($J17="",#N/A,SUM(CK$4:CK17))</f>
        <v>0</v>
      </c>
      <c r="CM17" s="202" t="str">
        <f t="shared" si="41"/>
        <v/>
      </c>
      <c r="CN17" s="202">
        <f>IF($J17="",#N/A,SUM(CM$4:CM17))</f>
        <v>0</v>
      </c>
      <c r="CO17" s="202">
        <f>IF($J17="",#N/A,SUM(CM$4:CM17,CK$4:CK17,CI$4:CI17))</f>
        <v>0</v>
      </c>
      <c r="CP17" s="200" t="str">
        <f t="shared" si="42"/>
        <v/>
      </c>
      <c r="CQ17" s="200">
        <f>IF($J17="",#N/A,SUM(CP$4:CP17))</f>
        <v>0</v>
      </c>
      <c r="CR17" s="201" t="str">
        <f t="shared" si="43"/>
        <v/>
      </c>
      <c r="CS17" s="201">
        <f>IF($J17="",#N/A,SUM(CR$4:CR17))</f>
        <v>0</v>
      </c>
      <c r="CT17" s="202" t="str">
        <f t="shared" si="44"/>
        <v/>
      </c>
      <c r="CU17" s="202">
        <f>IF($J17="",#N/A,SUM(CT$4:CT17))</f>
        <v>0</v>
      </c>
      <c r="CV17" s="202">
        <f>IF($J17="",#N/A,SUM(CT$4:CT17,CR$4:CR17,CP$4:CP17))</f>
        <v>0</v>
      </c>
      <c r="CW17" s="200" t="str">
        <f t="shared" si="45"/>
        <v/>
      </c>
      <c r="CX17" s="200">
        <f>IF($J17="",#N/A,SUM(CW$4:CW17))</f>
        <v>0</v>
      </c>
      <c r="CY17" s="201" t="str">
        <f t="shared" si="46"/>
        <v/>
      </c>
      <c r="CZ17" s="201">
        <f>IF($J17="",#N/A,SUM(CY$4:CY17))</f>
        <v>0</v>
      </c>
      <c r="DA17" s="202" t="str">
        <f t="shared" si="47"/>
        <v/>
      </c>
      <c r="DB17" s="202">
        <f>IF($J17="",#N/A,SUM(DA$4:DA17))</f>
        <v>0</v>
      </c>
      <c r="DC17" s="202">
        <f>IF($J17="",#N/A,SUM(DA$4:DA17,CY$4:CY17,CW$4:CW17))</f>
        <v>0</v>
      </c>
      <c r="DD17" s="200" t="str">
        <f t="shared" si="48"/>
        <v/>
      </c>
      <c r="DE17" s="200">
        <f>IF($J17="",#N/A,SUM(DD$4:DD17))</f>
        <v>0</v>
      </c>
      <c r="DF17" s="201" t="str">
        <f t="shared" si="49"/>
        <v/>
      </c>
      <c r="DG17" s="201">
        <f>IF($J17="",#N/A,SUM(DF$4:DF17))</f>
        <v>0.6788440567066546</v>
      </c>
      <c r="DH17" s="202" t="str">
        <f t="shared" si="50"/>
        <v/>
      </c>
      <c r="DI17" s="202">
        <f>IF($J17="",#N/A,SUM(DH$4:DH17))</f>
        <v>0</v>
      </c>
      <c r="DJ17" s="202">
        <f>IF($J17="",#N/A,SUM(DH$4:DH17,DF$4:DF17,DD$4:DD17))</f>
        <v>0.6788440567066546</v>
      </c>
      <c r="DK17" s="200" t="str">
        <f t="shared" si="51"/>
        <v/>
      </c>
      <c r="DL17" s="200">
        <f>IF($J17="",#N/A,SUM(DK$4:DK17))</f>
        <v>0</v>
      </c>
      <c r="DM17" s="201" t="str">
        <f t="shared" si="52"/>
        <v/>
      </c>
      <c r="DN17" s="201">
        <f>IF($J17="",#N/A,SUM(DM$4:DM17))</f>
        <v>0</v>
      </c>
      <c r="DO17" s="202" t="str">
        <f t="shared" si="53"/>
        <v/>
      </c>
      <c r="DP17" s="202">
        <f>IF($J17="",#N/A,SUM(DO$4:DO17))</f>
        <v>0</v>
      </c>
      <c r="DQ17" s="202">
        <f>IF($J17="",#N/A,SUM(DO$4:DO17,DM$4:DM17,DK$4:DK17))</f>
        <v>0</v>
      </c>
      <c r="DR17" s="200" t="str">
        <f t="shared" si="54"/>
        <v/>
      </c>
      <c r="DS17" s="200">
        <f>IF($J17="",#N/A,SUM(DR$4:DR17))</f>
        <v>0</v>
      </c>
      <c r="DT17" s="201" t="str">
        <f t="shared" si="55"/>
        <v/>
      </c>
      <c r="DU17" s="201">
        <f>IF($J17="",#N/A,SUM(DT$4:DT17))</f>
        <v>0.40177072099220923</v>
      </c>
      <c r="DV17" s="202" t="str">
        <f t="shared" si="56"/>
        <v/>
      </c>
      <c r="DW17" s="202">
        <f>IF($J17="",#N/A,SUM(DV$4:DV17))</f>
        <v>-0.61511905632416297</v>
      </c>
      <c r="DX17" s="202">
        <f>IF($J17="",#N/A,SUM(DV$4:DV17,DT$4:DT17,DR$4:DR17))</f>
        <v>-0.21334833533195374</v>
      </c>
      <c r="DY17" s="200" t="str">
        <f t="shared" si="57"/>
        <v/>
      </c>
      <c r="DZ17" s="200">
        <f>IF($J17="",#N/A,SUM(DY$4:DY17))</f>
        <v>0</v>
      </c>
      <c r="EA17" s="201" t="str">
        <f t="shared" si="58"/>
        <v/>
      </c>
      <c r="EB17" s="201">
        <f>IF($J17="",#N/A,SUM(EA$4:EA17))</f>
        <v>-0.47844667409884589</v>
      </c>
      <c r="EC17" s="202" t="str">
        <f t="shared" si="59"/>
        <v/>
      </c>
      <c r="ED17" s="202">
        <f>IF($J17="",#N/A,SUM(EC$4:EC17))</f>
        <v>-0.12754541056428245</v>
      </c>
      <c r="EE17" s="202">
        <f>IF($J17="",#N/A,SUM(EC$4:EC17,EA$4:EA17,DY$4:DY17))</f>
        <v>-0.60599208466312837</v>
      </c>
      <c r="EF17" s="200" t="str">
        <f t="shared" si="60"/>
        <v/>
      </c>
      <c r="EG17" s="200">
        <f>IF($J17="",#N/A,SUM(EF$4:EF17))</f>
        <v>0</v>
      </c>
      <c r="EH17" s="201" t="str">
        <f t="shared" si="61"/>
        <v/>
      </c>
      <c r="EI17" s="201">
        <f>IF($J17="",#N/A,SUM(EH$4:EH17))</f>
        <v>0</v>
      </c>
      <c r="EJ17" s="202">
        <f t="shared" si="62"/>
        <v>0.1446834240304033</v>
      </c>
      <c r="EK17" s="202">
        <f>IF($J17="",#N/A,SUM(EJ$4:EJ17))</f>
        <v>0.1446834240304033</v>
      </c>
      <c r="EL17" s="202">
        <f>IF($J17="",#N/A,SUM(EJ$4:EJ17,EH$4:EH17,EF$4:EF17))</f>
        <v>0.1446834240304033</v>
      </c>
      <c r="EM17" s="200" t="str">
        <f t="shared" si="63"/>
        <v/>
      </c>
      <c r="EN17" s="200">
        <f>IF($J17="",#N/A,SUM(EM$4:EM17))</f>
        <v>0</v>
      </c>
      <c r="EO17" s="201" t="str">
        <f t="shared" si="64"/>
        <v/>
      </c>
      <c r="EP17" s="201">
        <f>IF($J17="",#N/A,SUM(EO$4:EO17))</f>
        <v>0</v>
      </c>
      <c r="EQ17" s="202" t="str">
        <f t="shared" si="65"/>
        <v/>
      </c>
      <c r="ER17" s="202">
        <f>IF($J17="",#N/A,SUM(EQ$4:EQ17))</f>
        <v>0</v>
      </c>
      <c r="ES17" s="202">
        <f>IF($J17="",#N/A,SUM(EQ$4:EQ17,EO$4:EO17,EM$4:EM17))</f>
        <v>0</v>
      </c>
      <c r="ET17" s="200" t="str">
        <f t="shared" si="66"/>
        <v/>
      </c>
      <c r="EU17" s="200">
        <f>IF($J17="",#N/A,SUM(ET$4:ET17))</f>
        <v>0</v>
      </c>
      <c r="EV17" s="201" t="str">
        <f t="shared" si="67"/>
        <v/>
      </c>
      <c r="EW17" s="201">
        <f>IF($J17="",#N/A,SUM(EV$4:EV17))</f>
        <v>0</v>
      </c>
      <c r="EX17" s="202" t="str">
        <f t="shared" si="68"/>
        <v/>
      </c>
      <c r="EY17" s="202">
        <f>IF($J17="",#N/A,SUM(EX$4:EX17))</f>
        <v>0</v>
      </c>
      <c r="EZ17" s="202">
        <f>IF($J17="",#N/A,SUM(EX$4:EX17,EV$4:EV17,ET$4:ET17))</f>
        <v>0</v>
      </c>
      <c r="FA17" s="200" t="str">
        <f t="shared" si="69"/>
        <v/>
      </c>
      <c r="FB17" s="200">
        <f>IF($J17="",#N/A,SUM(FA$4:FA17))</f>
        <v>0</v>
      </c>
      <c r="FC17" s="201" t="str">
        <f t="shared" si="70"/>
        <v/>
      </c>
      <c r="FD17" s="201">
        <f>IF($J17="",#N/A,SUM(FC$4:FC17))</f>
        <v>0</v>
      </c>
      <c r="FE17" s="202" t="str">
        <f t="shared" si="71"/>
        <v/>
      </c>
      <c r="FF17" s="202">
        <f>IF($J17="",#N/A,SUM(FE$4:FE17))</f>
        <v>0</v>
      </c>
      <c r="FG17" s="202">
        <f>IF($J17="",#N/A,SUM(FE$4:FE17,FC$4:FC17,FA$4:FA17))</f>
        <v>0</v>
      </c>
      <c r="FH17" s="200" t="str">
        <f t="shared" si="72"/>
        <v/>
      </c>
      <c r="FI17" s="200">
        <f>IF($J17="",#N/A,SUM(FH$4:FH17))</f>
        <v>0</v>
      </c>
      <c r="FJ17" s="201" t="str">
        <f t="shared" si="73"/>
        <v/>
      </c>
      <c r="FK17" s="201">
        <f>IF($J17="",#N/A,SUM(FJ$4:FJ17))</f>
        <v>0</v>
      </c>
      <c r="FL17" s="202" t="str">
        <f t="shared" si="74"/>
        <v/>
      </c>
      <c r="FM17" s="202">
        <f>IF($J17="",#N/A,SUM(FL$4:FL17))</f>
        <v>0</v>
      </c>
      <c r="FN17" s="202">
        <f>IF($J17="",#N/A,SUM(FL$4:FL17,FJ$4:FJ17,FH$4:FH17))</f>
        <v>0</v>
      </c>
      <c r="FO17" s="200" t="str">
        <f t="shared" si="75"/>
        <v/>
      </c>
      <c r="FP17" s="200">
        <f>IF($J17="",#N/A,SUM(FO$4:FO17))</f>
        <v>0</v>
      </c>
      <c r="FQ17" s="201" t="str">
        <f t="shared" si="76"/>
        <v/>
      </c>
      <c r="FR17" s="201">
        <f>IF($J17="",#N/A,SUM(FQ$4:FQ17))</f>
        <v>0</v>
      </c>
      <c r="FS17" s="202" t="str">
        <f t="shared" si="77"/>
        <v/>
      </c>
      <c r="FT17" s="202">
        <f>IF($J17="",#N/A,SUM(FS$4:FS17))</f>
        <v>0</v>
      </c>
      <c r="FU17" s="202">
        <f>IF($J17="",#N/A,SUM(FS$4:FS17,FQ$4:FQ17,FO$4:FO17))</f>
        <v>0</v>
      </c>
      <c r="FV17" s="200" t="str">
        <f t="shared" si="78"/>
        <v/>
      </c>
      <c r="FW17" s="200">
        <f>IF($J17="",#N/A,SUM(FV$4:FV17))</f>
        <v>0</v>
      </c>
      <c r="FX17" s="201" t="str">
        <f t="shared" si="79"/>
        <v/>
      </c>
      <c r="FY17" s="201">
        <f>IF($J17="",#N/A,SUM(FX$4:FX17))</f>
        <v>0</v>
      </c>
      <c r="FZ17" s="202" t="str">
        <f t="shared" si="80"/>
        <v/>
      </c>
      <c r="GA17" s="202">
        <f>IF($J17="",#N/A,SUM(FZ$4:FZ17))</f>
        <v>0</v>
      </c>
      <c r="GB17" s="202">
        <f>IF($J17="",#N/A,SUM(FZ$4:FZ17,FX$4:FX17,FV$4:FV17))</f>
        <v>0</v>
      </c>
      <c r="GC17" s="200" t="str">
        <f t="shared" si="81"/>
        <v/>
      </c>
      <c r="GD17" s="200">
        <f>IF($J17="",#N/A,SUM(GC$4:GC17))</f>
        <v>0</v>
      </c>
      <c r="GE17" s="201" t="str">
        <f t="shared" si="82"/>
        <v/>
      </c>
      <c r="GF17" s="201">
        <f>IF($J17="",#N/A,SUM(GE$4:GE17))</f>
        <v>0</v>
      </c>
      <c r="GG17" s="202" t="str">
        <f t="shared" si="83"/>
        <v/>
      </c>
      <c r="GH17" s="202">
        <f>IF($J17="",#N/A,SUM(GG$4:GG17))</f>
        <v>0</v>
      </c>
      <c r="GI17" s="202">
        <f>IF($J17="",#N/A,SUM(GG$4:GG17,GE$4:GE17,GC$4:GC17))</f>
        <v>0</v>
      </c>
      <c r="GJ17" s="200" t="str">
        <f t="shared" si="84"/>
        <v/>
      </c>
      <c r="GK17" s="200">
        <f>IF($J17="",#N/A,SUM(GJ$4:GJ17))</f>
        <v>0</v>
      </c>
      <c r="GL17" s="201" t="str">
        <f t="shared" si="85"/>
        <v/>
      </c>
      <c r="GM17" s="201">
        <f>IF($J17="",#N/A,SUM(GL$4:GL17))</f>
        <v>0</v>
      </c>
      <c r="GN17" s="202" t="str">
        <f t="shared" si="86"/>
        <v/>
      </c>
      <c r="GO17" s="202">
        <f>IF($J17="",#N/A,SUM(GN$4:GN17))</f>
        <v>0</v>
      </c>
      <c r="GP17" s="202">
        <f>IF($J17="",#N/A,SUM(GN$4:GN17,GL$4:GL17,GJ$4:GJ17))</f>
        <v>0</v>
      </c>
      <c r="GS17" s="303">
        <f t="shared" si="105"/>
        <v>0.1446834240304033</v>
      </c>
      <c r="GT17" s="303">
        <f>IF(GS17="",NA(),SUM($GS$4:GS17))</f>
        <v>4.1870607419762229E-3</v>
      </c>
      <c r="GU17" s="303" t="str">
        <f t="shared" si="87"/>
        <v/>
      </c>
      <c r="GV17" s="303" t="e">
        <f>IF(GU17="",NA(),SUM($GU$4:GU17))</f>
        <v>#N/A</v>
      </c>
      <c r="GW17" s="303">
        <f t="shared" si="88"/>
        <v>0.1446834240304033</v>
      </c>
      <c r="GX17" s="303">
        <f>IF(GW17="",NA(),SUM($GW$4:GW17))</f>
        <v>-0.59798104285804188</v>
      </c>
      <c r="GY17" s="303" t="str">
        <f t="shared" si="89"/>
        <v/>
      </c>
      <c r="GZ17" s="303" t="e">
        <f>IF(GY17="",NA(),SUM($GY$4:GY17))</f>
        <v>#N/A</v>
      </c>
      <c r="HA17" s="303" t="str">
        <f t="shared" si="90"/>
        <v/>
      </c>
      <c r="HB17" s="303" t="e">
        <f>IF(HA17="",NA(),SUM($HA$4:HA17))</f>
        <v>#N/A</v>
      </c>
      <c r="HC17" s="303" t="str">
        <f t="shared" si="91"/>
        <v/>
      </c>
      <c r="HD17" s="303" t="e">
        <f>IF(HC17="",NA(),SUM($HC$4:HC17))</f>
        <v>#N/A</v>
      </c>
      <c r="HE17" s="303" t="str">
        <f t="shared" si="92"/>
        <v/>
      </c>
      <c r="HF17" s="303" t="e">
        <f>IF(HE17="",NA(),SUM($HE$4:HE17))</f>
        <v>#N/A</v>
      </c>
      <c r="HG17" s="303" t="str">
        <f t="shared" si="93"/>
        <v/>
      </c>
      <c r="HH17" s="303" t="e">
        <f>IF(HG17="",NA(),SUM($HG$4:HG17))</f>
        <v>#N/A</v>
      </c>
      <c r="HI17" s="304" t="str">
        <f t="shared" si="106"/>
        <v/>
      </c>
      <c r="HJ17" s="304">
        <f>IF($J17="",#N/A,SUM(HI$4:$HI17))</f>
        <v>-1.268844056136792</v>
      </c>
      <c r="HK17" s="303" t="str">
        <f t="shared" si="94"/>
        <v/>
      </c>
      <c r="HL17" s="303">
        <f>IF($J17="",#N/A,SUM($HK$4:HK17))</f>
        <v>-3.4652545522110731</v>
      </c>
      <c r="HM17" s="303" t="str">
        <f t="shared" si="95"/>
        <v/>
      </c>
      <c r="HN17" s="303">
        <f>IF($J17="",#N/A,SUM($HM$4:HM17))</f>
        <v>0</v>
      </c>
      <c r="HO17" s="303" t="str">
        <f t="shared" si="96"/>
        <v/>
      </c>
      <c r="HP17" s="303">
        <f>IF($J17="",#N/A,SUM($HO$4:HO17))</f>
        <v>0</v>
      </c>
      <c r="HQ17" s="303">
        <f t="shared" si="97"/>
        <v>-0.2245832253606245</v>
      </c>
      <c r="HR17" s="303">
        <f>IF($J17="",#N/A,SUM($HQ$4:HQ17))</f>
        <v>-0.30424246043722181</v>
      </c>
      <c r="HS17" s="303" t="str">
        <f t="shared" si="98"/>
        <v/>
      </c>
      <c r="HT17" s="303">
        <f>IF($J17="",#N/A,SUM($HS$4:HS17))</f>
        <v>4.4712150775590054</v>
      </c>
      <c r="HU17" s="305">
        <f t="shared" si="99"/>
        <v>-7.9899801330221204E-2</v>
      </c>
      <c r="HV17" s="305">
        <f>IF($J17="",#N/A,SUM(HU$4:$HU17))</f>
        <v>-0.56293893048410593</v>
      </c>
    </row>
    <row r="18" spans="1:230" x14ac:dyDescent="0.25">
      <c r="A18" s="59" t="s">
        <v>1534</v>
      </c>
      <c r="B18" s="289" t="s">
        <v>4480</v>
      </c>
      <c r="C18" s="230">
        <f t="shared" si="0"/>
        <v>2</v>
      </c>
      <c r="D18" s="220" t="str">
        <f>_xlfn.XLOOKUP(A18,[1]SP500!$A$2:$A$502,[1]SP500!$D$2:$D$502,"N")</f>
        <v>Y</v>
      </c>
      <c r="E18" s="59" t="str">
        <f>IFERROR(_xlfn.XLOOKUP(A18,[1]SP500!$A$2:$A$655,[1]SP500!$B$2:$B$655),"")</f>
        <v>XLI</v>
      </c>
      <c r="F18" s="290">
        <v>45762</v>
      </c>
      <c r="G18" s="59" t="str">
        <f t="shared" si="1"/>
        <v>AMC</v>
      </c>
      <c r="H18" s="59" t="str">
        <f t="shared" si="2"/>
        <v>s</v>
      </c>
      <c r="I18" s="342">
        <v>135.11000000000001</v>
      </c>
      <c r="J18" s="278">
        <v>128</v>
      </c>
      <c r="K18" s="60">
        <f t="shared" si="3"/>
        <v>-5.2623788024572668E-2</v>
      </c>
      <c r="L18" s="68">
        <f t="shared" si="4"/>
        <v>63.990000000000236</v>
      </c>
      <c r="M18" s="62">
        <f t="shared" si="5"/>
        <v>0</v>
      </c>
      <c r="N18" s="148">
        <f t="shared" si="6"/>
        <v>63.990000000000236</v>
      </c>
      <c r="O18" s="287">
        <f>IF(N18="",#N/A,SUM($N$4:N18))</f>
        <v>67.256280468502837</v>
      </c>
      <c r="P18" s="64">
        <f t="shared" si="100"/>
        <v>0.87706313374287925</v>
      </c>
      <c r="Q18" s="183">
        <f>IF($N18="",#N/A,SUM($P$4:P18))</f>
        <v>0.88125019448485542</v>
      </c>
      <c r="R18" s="279">
        <f t="shared" si="7"/>
        <v>-0.36890037967229894</v>
      </c>
      <c r="S18" s="59" t="str">
        <f t="shared" si="8"/>
        <v>Dwn</v>
      </c>
      <c r="T18" s="59" t="s">
        <v>4462</v>
      </c>
      <c r="U18" s="61">
        <f t="shared" si="9"/>
        <v>135.11000000000001</v>
      </c>
      <c r="V18" s="61" t="s">
        <v>4458</v>
      </c>
      <c r="W18" s="142">
        <v>9</v>
      </c>
      <c r="X18" s="146">
        <f t="shared" si="10"/>
        <v>1215.9900000000002</v>
      </c>
      <c r="Y18" s="142">
        <f t="shared" si="11"/>
        <v>9</v>
      </c>
      <c r="Z18" s="278">
        <v>128</v>
      </c>
      <c r="AA18" s="63">
        <f t="shared" si="12"/>
        <v>63.990000000000236</v>
      </c>
      <c r="AB18" s="63">
        <f t="shared" si="13"/>
        <v>93.4200000000003</v>
      </c>
      <c r="AC18" s="125">
        <v>124.73</v>
      </c>
      <c r="AD18" s="148">
        <f t="shared" si="14"/>
        <v>93.4200000000003</v>
      </c>
      <c r="AE18" s="544">
        <f t="shared" si="15"/>
        <v>1.2804381614980425</v>
      </c>
      <c r="AF18" s="62">
        <f>IF($AC18="",#N/A,SUM(AD$4:AD18))</f>
        <v>57.961627097183168</v>
      </c>
      <c r="AG18" s="63">
        <f t="shared" si="16"/>
        <v>29.430000000000064</v>
      </c>
      <c r="AH18" s="61" t="s">
        <v>2507</v>
      </c>
      <c r="AI18" s="64">
        <f t="shared" si="17"/>
        <v>0.87706313374287925</v>
      </c>
      <c r="AJ18" s="177">
        <f>IF(AI18="",#N/A,SUM($AI$4:AI18))</f>
        <v>1.2501505741571544</v>
      </c>
      <c r="AK18" s="62">
        <f t="shared" si="18"/>
        <v>63.990000000000236</v>
      </c>
      <c r="AL18" s="288">
        <f>IF(AI18="",#N/A,IF(AH18="Skip",SUM($AK$4:AK18),SUM($AK$4:AK18)))</f>
        <v>91.235000000000127</v>
      </c>
      <c r="AM18" s="65">
        <f t="shared" si="101"/>
        <v>1.2804381614980425</v>
      </c>
      <c r="AN18" s="209"/>
      <c r="AO18" s="64" t="str">
        <f t="shared" si="19"/>
        <v/>
      </c>
      <c r="AP18" s="64">
        <f>IF($AC18="",#N/A,SUM(AO$4:AO18))</f>
        <v>3.5689915742637415</v>
      </c>
      <c r="AQ18" s="64" t="str">
        <f t="shared" si="20"/>
        <v/>
      </c>
      <c r="AR18" s="64">
        <f>IF($AC18="",#N/A,SUM(AQ$4:AQ18))</f>
        <v>0</v>
      </c>
      <c r="AS18" s="64">
        <f t="shared" si="21"/>
        <v>1.2804381614980425</v>
      </c>
      <c r="AT18" s="64">
        <f>IF($AC18="",#N/A,SUM(AS$4:AS18))</f>
        <v>-2.8514923432498049</v>
      </c>
      <c r="AU18" s="62" t="str">
        <f t="shared" si="102"/>
        <v/>
      </c>
      <c r="AV18" s="62">
        <f>IF($AC18="",#N/A,SUM(AU$4:AU18))</f>
        <v>231.72000000000014</v>
      </c>
      <c r="AW18" s="62" t="str">
        <f t="shared" si="103"/>
        <v/>
      </c>
      <c r="AX18" s="62">
        <f>IF($AC18="",#N/A,SUM(AW$4:AW18))</f>
        <v>0</v>
      </c>
      <c r="AY18" s="61">
        <f t="shared" si="104"/>
        <v>93.4200000000003</v>
      </c>
      <c r="AZ18" s="62">
        <f>IF($AC18="",#N/A,SUM(AY$4:AY18))</f>
        <v>-173.75837290281697</v>
      </c>
      <c r="BA18" s="62">
        <f>IF(AD18="",#N/A,SUM($AD$4:AD18))</f>
        <v>57.961627097183168</v>
      </c>
      <c r="BC18" s="59" t="str">
        <f t="shared" si="22"/>
        <v/>
      </c>
      <c r="BD18" s="59" t="str">
        <f t="shared" si="23"/>
        <v/>
      </c>
      <c r="BE18" s="59" t="str">
        <f t="shared" si="24"/>
        <v/>
      </c>
      <c r="BF18" s="59" t="str">
        <f t="shared" si="25"/>
        <v>Short</v>
      </c>
      <c r="BG18" s="59">
        <f t="shared" si="26"/>
        <v>1</v>
      </c>
      <c r="BH18" s="59" t="str">
        <f t="shared" si="27"/>
        <v/>
      </c>
      <c r="BI18" s="59" t="str">
        <f t="shared" si="28"/>
        <v/>
      </c>
      <c r="BK18" s="184"/>
      <c r="BL18" s="184"/>
      <c r="BM18" s="73"/>
      <c r="BO18" s="489" t="e">
        <f>IF(J18="",#N/A,IF(S18="SW",(COUNTIFS(K$4:$K18,"&gt;0",S$4:$S18,"SW")/COUNTIF(S$4:$S18,"SW")),#N/A))</f>
        <v>#N/A</v>
      </c>
      <c r="BP18" s="489">
        <f>IF($J18="",#N/A,IF($S18="DWN",(COUNTIFS($K$4:$K18,"&lt;0",$S$4:$S18,"DWN")/COUNTIF($S$4:$S18,"DWN")),#N/A))</f>
        <v>0.8</v>
      </c>
      <c r="BQ18" s="489" t="e">
        <f>IF($J18="",#N/A,IF($S18="UP",(COUNTIFS($K$4:$K18,"&gt;0",$S$4:$S18,"UP")/COUNTIF($S$4:$S18,"UP")),#N/A))</f>
        <v>#N/A</v>
      </c>
      <c r="BR18" s="489">
        <f>IF(J18="",#N/A,COUNTIF($K$4:K18,"&gt;0")/COUNT($J$4:J18))</f>
        <v>0.33333333333333331</v>
      </c>
      <c r="BS18" s="65" t="str">
        <f t="shared" si="29"/>
        <v/>
      </c>
      <c r="BT18" s="65" t="str">
        <f t="shared" si="30"/>
        <v/>
      </c>
      <c r="BU18" s="65">
        <f t="shared" si="31"/>
        <v>0.87706313374287925</v>
      </c>
      <c r="BV18" s="65" t="str">
        <f t="shared" si="32"/>
        <v/>
      </c>
      <c r="BW18" s="151" t="str">
        <f t="shared" si="33"/>
        <v/>
      </c>
      <c r="BX18" s="151">
        <f>IF($J18="",#N/A,SUM($BW$4:BW18))</f>
        <v>0</v>
      </c>
      <c r="BY18" s="152">
        <f t="shared" si="34"/>
        <v>63.990000000000236</v>
      </c>
      <c r="BZ18" s="152">
        <f>IF($J18="",#N/A,SUM($BY$4:BY18))</f>
        <v>104.29628046850326</v>
      </c>
      <c r="CA18" s="153" t="str">
        <f t="shared" si="35"/>
        <v/>
      </c>
      <c r="CB18" s="154">
        <f>IF($J18="",#N/A,SUM($CA$4:CA18))</f>
        <v>-37.040000000000418</v>
      </c>
      <c r="CC18" s="191" t="str">
        <f t="shared" si="36"/>
        <v/>
      </c>
      <c r="CD18" s="191">
        <f>IF($J18="",#N/A,SUM($CC$4:CC18))</f>
        <v>0</v>
      </c>
      <c r="CE18" s="192">
        <f t="shared" si="37"/>
        <v>0.87706313374287925</v>
      </c>
      <c r="CF18" s="192">
        <f>IF($J18="",#N/A,SUM($CE$4:CE18))</f>
        <v>1.4792312373428973</v>
      </c>
      <c r="CG18" s="193" t="str">
        <f t="shared" si="38"/>
        <v/>
      </c>
      <c r="CH18" s="193">
        <f>IF($J18="",#N/A,SUM($CG$4:CG18))</f>
        <v>-0.59798104285804188</v>
      </c>
      <c r="CI18" s="200" t="str">
        <f t="shared" si="39"/>
        <v/>
      </c>
      <c r="CJ18" s="200">
        <f>IF($J18="",#N/A,SUM(CI$4:CI18))</f>
        <v>0</v>
      </c>
      <c r="CK18" s="201" t="str">
        <f t="shared" si="40"/>
        <v/>
      </c>
      <c r="CL18" s="201">
        <f>IF($J18="",#N/A,SUM(CK$4:CK18))</f>
        <v>0</v>
      </c>
      <c r="CM18" s="202" t="str">
        <f t="shared" si="41"/>
        <v/>
      </c>
      <c r="CN18" s="202">
        <f>IF($J18="",#N/A,SUM(CM$4:CM18))</f>
        <v>0</v>
      </c>
      <c r="CO18" s="202">
        <f>IF($J18="",#N/A,SUM(CM$4:CM18,CK$4:CK18,CI$4:CI18))</f>
        <v>0</v>
      </c>
      <c r="CP18" s="200" t="str">
        <f t="shared" si="42"/>
        <v/>
      </c>
      <c r="CQ18" s="200">
        <f>IF($J18="",#N/A,SUM(CP$4:CP18))</f>
        <v>0</v>
      </c>
      <c r="CR18" s="201" t="str">
        <f t="shared" si="43"/>
        <v/>
      </c>
      <c r="CS18" s="201">
        <f>IF($J18="",#N/A,SUM(CR$4:CR18))</f>
        <v>0</v>
      </c>
      <c r="CT18" s="202" t="str">
        <f t="shared" si="44"/>
        <v/>
      </c>
      <c r="CU18" s="202">
        <f>IF($J18="",#N/A,SUM(CT$4:CT18))</f>
        <v>0</v>
      </c>
      <c r="CV18" s="202">
        <f>IF($J18="",#N/A,SUM(CT$4:CT18,CR$4:CR18,CP$4:CP18))</f>
        <v>0</v>
      </c>
      <c r="CW18" s="200" t="str">
        <f t="shared" si="45"/>
        <v/>
      </c>
      <c r="CX18" s="200">
        <f>IF($J18="",#N/A,SUM(CW$4:CW18))</f>
        <v>0</v>
      </c>
      <c r="CY18" s="201" t="str">
        <f t="shared" si="46"/>
        <v/>
      </c>
      <c r="CZ18" s="201">
        <f>IF($J18="",#N/A,SUM(CY$4:CY18))</f>
        <v>0</v>
      </c>
      <c r="DA18" s="202" t="str">
        <f t="shared" si="47"/>
        <v/>
      </c>
      <c r="DB18" s="202">
        <f>IF($J18="",#N/A,SUM(DA$4:DA18))</f>
        <v>0</v>
      </c>
      <c r="DC18" s="202">
        <f>IF($J18="",#N/A,SUM(DA$4:DA18,CY$4:CY18,CW$4:CW18))</f>
        <v>0</v>
      </c>
      <c r="DD18" s="200" t="str">
        <f t="shared" si="48"/>
        <v/>
      </c>
      <c r="DE18" s="200">
        <f>IF($J18="",#N/A,SUM(DD$4:DD18))</f>
        <v>0</v>
      </c>
      <c r="DF18" s="201" t="str">
        <f t="shared" si="49"/>
        <v/>
      </c>
      <c r="DG18" s="201">
        <f>IF($J18="",#N/A,SUM(DF$4:DF18))</f>
        <v>0.6788440567066546</v>
      </c>
      <c r="DH18" s="202" t="str">
        <f t="shared" si="50"/>
        <v/>
      </c>
      <c r="DI18" s="202">
        <f>IF($J18="",#N/A,SUM(DH$4:DH18))</f>
        <v>0</v>
      </c>
      <c r="DJ18" s="202">
        <f>IF($J18="",#N/A,SUM(DH$4:DH18,DF$4:DF18,DD$4:DD18))</f>
        <v>0.6788440567066546</v>
      </c>
      <c r="DK18" s="200" t="str">
        <f t="shared" si="51"/>
        <v/>
      </c>
      <c r="DL18" s="200">
        <f>IF($J18="",#N/A,SUM(DK$4:DK18))</f>
        <v>0</v>
      </c>
      <c r="DM18" s="201" t="str">
        <f t="shared" si="52"/>
        <v/>
      </c>
      <c r="DN18" s="201">
        <f>IF($J18="",#N/A,SUM(DM$4:DM18))</f>
        <v>0</v>
      </c>
      <c r="DO18" s="202" t="str">
        <f t="shared" si="53"/>
        <v/>
      </c>
      <c r="DP18" s="202">
        <f>IF($J18="",#N/A,SUM(DO$4:DO18))</f>
        <v>0</v>
      </c>
      <c r="DQ18" s="202">
        <f>IF($J18="",#N/A,SUM(DO$4:DO18,DM$4:DM18,DK$4:DK18))</f>
        <v>0</v>
      </c>
      <c r="DR18" s="200" t="str">
        <f t="shared" si="54"/>
        <v/>
      </c>
      <c r="DS18" s="200">
        <f>IF($J18="",#N/A,SUM(DR$4:DR18))</f>
        <v>0</v>
      </c>
      <c r="DT18" s="201" t="str">
        <f t="shared" si="55"/>
        <v/>
      </c>
      <c r="DU18" s="201">
        <f>IF($J18="",#N/A,SUM(DT$4:DT18))</f>
        <v>0.40177072099220923</v>
      </c>
      <c r="DV18" s="202" t="str">
        <f t="shared" si="56"/>
        <v/>
      </c>
      <c r="DW18" s="202">
        <f>IF($J18="",#N/A,SUM(DV$4:DV18))</f>
        <v>-0.61511905632416297</v>
      </c>
      <c r="DX18" s="202">
        <f>IF($J18="",#N/A,SUM(DV$4:DV18,DT$4:DT18,DR$4:DR18))</f>
        <v>-0.21334833533195374</v>
      </c>
      <c r="DY18" s="200" t="str">
        <f t="shared" si="57"/>
        <v/>
      </c>
      <c r="DZ18" s="200">
        <f>IF($J18="",#N/A,SUM(DY$4:DY18))</f>
        <v>0</v>
      </c>
      <c r="EA18" s="201">
        <f t="shared" si="58"/>
        <v>0.87706313374287925</v>
      </c>
      <c r="EB18" s="201">
        <f>IF($J18="",#N/A,SUM(EA$4:EA18))</f>
        <v>0.39861645964403336</v>
      </c>
      <c r="EC18" s="202" t="str">
        <f t="shared" si="59"/>
        <v/>
      </c>
      <c r="ED18" s="202">
        <f>IF($J18="",#N/A,SUM(EC$4:EC18))</f>
        <v>-0.12754541056428245</v>
      </c>
      <c r="EE18" s="202">
        <f>IF($J18="",#N/A,SUM(EC$4:EC18,EA$4:EA18,DY$4:DY18))</f>
        <v>0.27107104907975088</v>
      </c>
      <c r="EF18" s="200" t="str">
        <f t="shared" si="60"/>
        <v/>
      </c>
      <c r="EG18" s="200">
        <f>IF($J18="",#N/A,SUM(EF$4:EF18))</f>
        <v>0</v>
      </c>
      <c r="EH18" s="201" t="str">
        <f t="shared" si="61"/>
        <v/>
      </c>
      <c r="EI18" s="201">
        <f>IF($J18="",#N/A,SUM(EH$4:EH18))</f>
        <v>0</v>
      </c>
      <c r="EJ18" s="202" t="str">
        <f t="shared" si="62"/>
        <v/>
      </c>
      <c r="EK18" s="202">
        <f>IF($J18="",#N/A,SUM(EJ$4:EJ18))</f>
        <v>0.1446834240304033</v>
      </c>
      <c r="EL18" s="202">
        <f>IF($J18="",#N/A,SUM(EJ$4:EJ18,EH$4:EH18,EF$4:EF18))</f>
        <v>0.1446834240304033</v>
      </c>
      <c r="EM18" s="200" t="str">
        <f t="shared" si="63"/>
        <v/>
      </c>
      <c r="EN18" s="200">
        <f>IF($J18="",#N/A,SUM(EM$4:EM18))</f>
        <v>0</v>
      </c>
      <c r="EO18" s="201" t="str">
        <f t="shared" si="64"/>
        <v/>
      </c>
      <c r="EP18" s="201">
        <f>IF($J18="",#N/A,SUM(EO$4:EO18))</f>
        <v>0</v>
      </c>
      <c r="EQ18" s="202" t="str">
        <f t="shared" si="65"/>
        <v/>
      </c>
      <c r="ER18" s="202">
        <f>IF($J18="",#N/A,SUM(EQ$4:EQ18))</f>
        <v>0</v>
      </c>
      <c r="ES18" s="202">
        <f>IF($J18="",#N/A,SUM(EQ$4:EQ18,EO$4:EO18,EM$4:EM18))</f>
        <v>0</v>
      </c>
      <c r="ET18" s="200" t="str">
        <f t="shared" si="66"/>
        <v/>
      </c>
      <c r="EU18" s="200">
        <f>IF($J18="",#N/A,SUM(ET$4:ET18))</f>
        <v>0</v>
      </c>
      <c r="EV18" s="201" t="str">
        <f t="shared" si="67"/>
        <v/>
      </c>
      <c r="EW18" s="201">
        <f>IF($J18="",#N/A,SUM(EV$4:EV18))</f>
        <v>0</v>
      </c>
      <c r="EX18" s="202" t="str">
        <f t="shared" si="68"/>
        <v/>
      </c>
      <c r="EY18" s="202">
        <f>IF($J18="",#N/A,SUM(EX$4:EX18))</f>
        <v>0</v>
      </c>
      <c r="EZ18" s="202">
        <f>IF($J18="",#N/A,SUM(EX$4:EX18,EV$4:EV18,ET$4:ET18))</f>
        <v>0</v>
      </c>
      <c r="FA18" s="200" t="str">
        <f t="shared" si="69"/>
        <v/>
      </c>
      <c r="FB18" s="200">
        <f>IF($J18="",#N/A,SUM(FA$4:FA18))</f>
        <v>0</v>
      </c>
      <c r="FC18" s="201" t="str">
        <f t="shared" si="70"/>
        <v/>
      </c>
      <c r="FD18" s="201">
        <f>IF($J18="",#N/A,SUM(FC$4:FC18))</f>
        <v>0</v>
      </c>
      <c r="FE18" s="202" t="str">
        <f t="shared" si="71"/>
        <v/>
      </c>
      <c r="FF18" s="202">
        <f>IF($J18="",#N/A,SUM(FE$4:FE18))</f>
        <v>0</v>
      </c>
      <c r="FG18" s="202">
        <f>IF($J18="",#N/A,SUM(FE$4:FE18,FC$4:FC18,FA$4:FA18))</f>
        <v>0</v>
      </c>
      <c r="FH18" s="200" t="str">
        <f t="shared" si="72"/>
        <v/>
      </c>
      <c r="FI18" s="200">
        <f>IF($J18="",#N/A,SUM(FH$4:FH18))</f>
        <v>0</v>
      </c>
      <c r="FJ18" s="201" t="str">
        <f t="shared" si="73"/>
        <v/>
      </c>
      <c r="FK18" s="201">
        <f>IF($J18="",#N/A,SUM(FJ$4:FJ18))</f>
        <v>0</v>
      </c>
      <c r="FL18" s="202" t="str">
        <f t="shared" si="74"/>
        <v/>
      </c>
      <c r="FM18" s="202">
        <f>IF($J18="",#N/A,SUM(FL$4:FL18))</f>
        <v>0</v>
      </c>
      <c r="FN18" s="202">
        <f>IF($J18="",#N/A,SUM(FL$4:FL18,FJ$4:FJ18,FH$4:FH18))</f>
        <v>0</v>
      </c>
      <c r="FO18" s="200" t="str">
        <f t="shared" si="75"/>
        <v/>
      </c>
      <c r="FP18" s="200">
        <f>IF($J18="",#N/A,SUM(FO$4:FO18))</f>
        <v>0</v>
      </c>
      <c r="FQ18" s="201" t="str">
        <f t="shared" si="76"/>
        <v/>
      </c>
      <c r="FR18" s="201">
        <f>IF($J18="",#N/A,SUM(FQ$4:FQ18))</f>
        <v>0</v>
      </c>
      <c r="FS18" s="202" t="str">
        <f t="shared" si="77"/>
        <v/>
      </c>
      <c r="FT18" s="202">
        <f>IF($J18="",#N/A,SUM(FS$4:FS18))</f>
        <v>0</v>
      </c>
      <c r="FU18" s="202">
        <f>IF($J18="",#N/A,SUM(FS$4:FS18,FQ$4:FQ18,FO$4:FO18))</f>
        <v>0</v>
      </c>
      <c r="FV18" s="200" t="str">
        <f t="shared" si="78"/>
        <v/>
      </c>
      <c r="FW18" s="200">
        <f>IF($J18="",#N/A,SUM(FV$4:FV18))</f>
        <v>0</v>
      </c>
      <c r="FX18" s="201" t="str">
        <f t="shared" si="79"/>
        <v/>
      </c>
      <c r="FY18" s="201">
        <f>IF($J18="",#N/A,SUM(FX$4:FX18))</f>
        <v>0</v>
      </c>
      <c r="FZ18" s="202" t="str">
        <f t="shared" si="80"/>
        <v/>
      </c>
      <c r="GA18" s="202">
        <f>IF($J18="",#N/A,SUM(FZ$4:FZ18))</f>
        <v>0</v>
      </c>
      <c r="GB18" s="202">
        <f>IF($J18="",#N/A,SUM(FZ$4:FZ18,FX$4:FX18,FV$4:FV18))</f>
        <v>0</v>
      </c>
      <c r="GC18" s="200" t="str">
        <f t="shared" si="81"/>
        <v/>
      </c>
      <c r="GD18" s="200">
        <f>IF($J18="",#N/A,SUM(GC$4:GC18))</f>
        <v>0</v>
      </c>
      <c r="GE18" s="201" t="str">
        <f t="shared" si="82"/>
        <v/>
      </c>
      <c r="GF18" s="201">
        <f>IF($J18="",#N/A,SUM(GE$4:GE18))</f>
        <v>0</v>
      </c>
      <c r="GG18" s="202" t="str">
        <f t="shared" si="83"/>
        <v/>
      </c>
      <c r="GH18" s="202">
        <f>IF($J18="",#N/A,SUM(GG$4:GG18))</f>
        <v>0</v>
      </c>
      <c r="GI18" s="202">
        <f>IF($J18="",#N/A,SUM(GG$4:GG18,GE$4:GE18,GC$4:GC18))</f>
        <v>0</v>
      </c>
      <c r="GJ18" s="200" t="str">
        <f t="shared" si="84"/>
        <v/>
      </c>
      <c r="GK18" s="200">
        <f>IF($J18="",#N/A,SUM(GJ$4:GJ18))</f>
        <v>0</v>
      </c>
      <c r="GL18" s="201" t="str">
        <f t="shared" si="85"/>
        <v/>
      </c>
      <c r="GM18" s="201">
        <f>IF($J18="",#N/A,SUM(GL$4:GL18))</f>
        <v>0</v>
      </c>
      <c r="GN18" s="202" t="str">
        <f t="shared" si="86"/>
        <v/>
      </c>
      <c r="GO18" s="202">
        <f>IF($J18="",#N/A,SUM(GN$4:GN18))</f>
        <v>0</v>
      </c>
      <c r="GP18" s="202">
        <f>IF($J18="",#N/A,SUM(GN$4:GN18,GL$4:GL18,GJ$4:GJ18))</f>
        <v>0</v>
      </c>
      <c r="GS18" s="177">
        <f t="shared" si="105"/>
        <v>0.87706313374287925</v>
      </c>
      <c r="GT18" s="177">
        <f>IF(GS18="",NA(),SUM($GS$4:GS18))</f>
        <v>0.88125019448485542</v>
      </c>
      <c r="GU18" s="177" t="str">
        <f t="shared" si="87"/>
        <v/>
      </c>
      <c r="GV18" s="177" t="e">
        <f>IF(GU18="",NA(),SUM($GU$4:GU18))</f>
        <v>#N/A</v>
      </c>
      <c r="GW18" s="177" t="str">
        <f t="shared" si="88"/>
        <v/>
      </c>
      <c r="GX18" s="177" t="e">
        <f>IF(GW18="",NA(),SUM($GW$4:GW18))</f>
        <v>#N/A</v>
      </c>
      <c r="GY18" s="177">
        <f t="shared" si="89"/>
        <v>0.87706313374287925</v>
      </c>
      <c r="GZ18" s="177">
        <f>IF(GY18="",NA(),SUM($GY$4:GY18))</f>
        <v>1.4792312373428973</v>
      </c>
      <c r="HA18" s="177" t="str">
        <f t="shared" si="90"/>
        <v/>
      </c>
      <c r="HB18" s="177" t="e">
        <f>IF(HA18="",NA(),SUM($HA$4:HA18))</f>
        <v>#N/A</v>
      </c>
      <c r="HC18" s="177" t="str">
        <f t="shared" si="91"/>
        <v/>
      </c>
      <c r="HD18" s="177" t="e">
        <f>IF(HC18="",NA(),SUM($HC$4:HC18))</f>
        <v>#N/A</v>
      </c>
      <c r="HE18" s="177" t="str">
        <f t="shared" si="92"/>
        <v/>
      </c>
      <c r="HF18" s="177" t="e">
        <f>IF(HE18="",NA(),SUM($HE$4:HE18))</f>
        <v>#N/A</v>
      </c>
      <c r="HG18" s="177" t="str">
        <f t="shared" si="93"/>
        <v/>
      </c>
      <c r="HH18" s="177" t="e">
        <f>IF(HG18="",NA(),SUM($HG$4:HG18))</f>
        <v>#N/A</v>
      </c>
      <c r="HI18" s="183">
        <f t="shared" si="106"/>
        <v>0.40337502775516321</v>
      </c>
      <c r="HJ18" s="291">
        <f>IF($J18="",#N/A,SUM(HI$4:$HI18))</f>
        <v>-0.86546902838162876</v>
      </c>
      <c r="HK18" s="177" t="str">
        <f t="shared" si="94"/>
        <v/>
      </c>
      <c r="HL18" s="177">
        <f>IF($J18="",#N/A,SUM($HK$4:HK18))</f>
        <v>-3.4652545522110731</v>
      </c>
      <c r="HM18" s="177" t="str">
        <f t="shared" si="95"/>
        <v/>
      </c>
      <c r="HN18" s="177">
        <f>IF($J18="",#N/A,SUM($HM$4:HM18))</f>
        <v>0</v>
      </c>
      <c r="HO18" s="177" t="str">
        <f t="shared" si="96"/>
        <v/>
      </c>
      <c r="HP18" s="177">
        <f>IF($J18="",#N/A,SUM($HO$4:HO18))</f>
        <v>0</v>
      </c>
      <c r="HQ18" s="177" t="str">
        <f t="shared" si="97"/>
        <v/>
      </c>
      <c r="HR18" s="177">
        <f>IF($J18="",#N/A,SUM($HQ$4:HQ18))</f>
        <v>-0.30424246043722181</v>
      </c>
      <c r="HS18" s="177" t="str">
        <f t="shared" si="98"/>
        <v/>
      </c>
      <c r="HT18" s="177">
        <f>IF($J18="",#N/A,SUM($HS$4:HS18))</f>
        <v>4.4712150775590054</v>
      </c>
      <c r="HU18" s="64">
        <f t="shared" si="99"/>
        <v>1.2804381614980425</v>
      </c>
      <c r="HV18" s="64">
        <f>IF($J18="",#N/A,SUM(HU$4:$HU18))</f>
        <v>0.71749923101393653</v>
      </c>
    </row>
    <row r="19" spans="1:230" x14ac:dyDescent="0.25">
      <c r="A19" s="76" t="s">
        <v>1462</v>
      </c>
      <c r="B19" s="52" t="s">
        <v>4480</v>
      </c>
      <c r="C19" s="229">
        <f t="shared" si="0"/>
        <v>3</v>
      </c>
      <c r="D19" s="219" t="str">
        <f>_xlfn.XLOOKUP(A19,[1]SP500!$A$2:$A$502,[1]SP500!$D$2:$D$502,"N")</f>
        <v>Y</v>
      </c>
      <c r="E19" s="51" t="str">
        <f>IFERROR(_xlfn.XLOOKUP(A19,[1]SP500!$A$2:$A$655,[1]SP500!$B$2:$B$655),"")</f>
        <v>XLI</v>
      </c>
      <c r="F19" s="53">
        <v>45762</v>
      </c>
      <c r="G19" s="51" t="str">
        <f t="shared" si="1"/>
        <v>AMC</v>
      </c>
      <c r="H19" s="51" t="str">
        <f t="shared" si="2"/>
        <v>s</v>
      </c>
      <c r="I19" s="343">
        <v>67</v>
      </c>
      <c r="J19" s="124">
        <v>69.635000000000005</v>
      </c>
      <c r="K19" s="55">
        <f t="shared" si="3"/>
        <v>3.9328358208955298E-2</v>
      </c>
      <c r="L19" s="67">
        <f t="shared" si="4"/>
        <v>47.430000000000064</v>
      </c>
      <c r="M19" s="57">
        <f t="shared" si="5"/>
        <v>-0.63000000000010914</v>
      </c>
      <c r="N19" s="155">
        <f t="shared" si="6"/>
        <v>47.430000000000064</v>
      </c>
      <c r="O19" s="156">
        <f>IF(N19="",#N/A,SUM($N$4:N19))</f>
        <v>114.6862804685029</v>
      </c>
      <c r="P19" s="65">
        <f t="shared" si="100"/>
        <v>0.65547263681592127</v>
      </c>
      <c r="Q19" s="172">
        <f>IF($N19="",#N/A,SUM($P$4:P19))</f>
        <v>1.5367228313007768</v>
      </c>
      <c r="R19" s="279">
        <f t="shared" si="7"/>
        <v>-0.36019391201060591</v>
      </c>
      <c r="S19" s="51" t="str">
        <f t="shared" si="8"/>
        <v>SW</v>
      </c>
      <c r="T19" s="51" t="s">
        <v>2828</v>
      </c>
      <c r="U19" s="56">
        <f t="shared" si="9"/>
        <v>67</v>
      </c>
      <c r="V19" s="56" t="s">
        <v>4460</v>
      </c>
      <c r="W19" s="142">
        <v>18</v>
      </c>
      <c r="X19" s="145">
        <f t="shared" si="10"/>
        <v>1206</v>
      </c>
      <c r="Y19" s="140">
        <f t="shared" si="11"/>
        <v>18</v>
      </c>
      <c r="Z19" s="123">
        <v>69.599999999999994</v>
      </c>
      <c r="AA19" s="102">
        <f t="shared" si="12"/>
        <v>46.799999999999955</v>
      </c>
      <c r="AB19" s="102">
        <f t="shared" si="13"/>
        <v>-0.18000000000006366</v>
      </c>
      <c r="AC19" s="124">
        <v>66.989999999999995</v>
      </c>
      <c r="AD19" s="155">
        <f t="shared" si="14"/>
        <v>-0.18000000000006366</v>
      </c>
      <c r="AE19" s="545">
        <f t="shared" si="15"/>
        <v>-2.4875621890556063E-3</v>
      </c>
      <c r="AF19" s="57">
        <f>IF($AC19="",#N/A,SUM(AD$4:AD19))</f>
        <v>57.781627097183105</v>
      </c>
      <c r="AG19" s="102">
        <f t="shared" si="16"/>
        <v>-47.610000000000127</v>
      </c>
      <c r="AH19" s="56" t="s">
        <v>2507</v>
      </c>
      <c r="AI19" s="65">
        <f t="shared" si="17"/>
        <v>0.64676616915422824</v>
      </c>
      <c r="AJ19" s="54">
        <f>IF(AI19="",#N/A,SUM($AI$4:AI19))</f>
        <v>1.8969167433113827</v>
      </c>
      <c r="AK19" s="57">
        <f t="shared" si="18"/>
        <v>46.799999999999955</v>
      </c>
      <c r="AL19" s="58">
        <f>IF(AI19="",#N/A,IF(AH19="Skip",SUM($AK$4:AK19),SUM($AK$4:AK19)))</f>
        <v>138.03500000000008</v>
      </c>
      <c r="AM19" s="65">
        <f t="shared" si="101"/>
        <v>-2.4875621890556063E-3</v>
      </c>
      <c r="AN19" s="209"/>
      <c r="AO19" s="65">
        <f t="shared" si="19"/>
        <v>-2.4875621890556063E-3</v>
      </c>
      <c r="AP19" s="65">
        <f>IF($AC19="",#N/A,SUM(AO$4:AO19))</f>
        <v>3.5665040120746858</v>
      </c>
      <c r="AQ19" s="65" t="str">
        <f t="shared" si="20"/>
        <v/>
      </c>
      <c r="AR19" s="65">
        <f>IF($AC19="",#N/A,SUM(AQ$4:AQ19))</f>
        <v>0</v>
      </c>
      <c r="AS19" s="65" t="str">
        <f t="shared" si="21"/>
        <v/>
      </c>
      <c r="AT19" s="65">
        <f>IF($AC19="",#N/A,SUM(AS$4:AS19))</f>
        <v>-2.8514923432498049</v>
      </c>
      <c r="AU19" s="57">
        <f t="shared" si="102"/>
        <v>-0.18000000000006366</v>
      </c>
      <c r="AV19" s="57">
        <f>IF($AC19="",#N/A,SUM(AU$4:AU19))</f>
        <v>231.54000000000008</v>
      </c>
      <c r="AW19" s="57" t="str">
        <f t="shared" si="103"/>
        <v/>
      </c>
      <c r="AX19" s="57">
        <f>IF($AC19="",#N/A,SUM(AW$4:AW19))</f>
        <v>0</v>
      </c>
      <c r="AY19" s="56" t="str">
        <f t="shared" si="104"/>
        <v/>
      </c>
      <c r="AZ19" s="57">
        <f>IF($AC19="",#N/A,SUM(AY$4:AY19))</f>
        <v>-173.75837290281697</v>
      </c>
      <c r="BA19" s="57">
        <f>IF(AD19="",#N/A,SUM($AD$4:AD19))</f>
        <v>57.781627097183105</v>
      </c>
      <c r="BC19" s="51" t="str">
        <f t="shared" si="22"/>
        <v/>
      </c>
      <c r="BD19" s="51" t="str">
        <f t="shared" si="23"/>
        <v/>
      </c>
      <c r="BE19" s="51">
        <f t="shared" si="24"/>
        <v>1</v>
      </c>
      <c r="BF19" s="51" t="str">
        <f t="shared" si="25"/>
        <v>Long</v>
      </c>
      <c r="BG19" s="51" t="str">
        <f t="shared" si="26"/>
        <v/>
      </c>
      <c r="BH19" s="51" t="str">
        <f t="shared" si="27"/>
        <v/>
      </c>
      <c r="BI19" s="51" t="str">
        <f t="shared" si="28"/>
        <v/>
      </c>
      <c r="BK19" s="184"/>
      <c r="BL19" s="184"/>
      <c r="BM19" s="73"/>
      <c r="BO19" s="489">
        <f>IF(J19="",#N/A,IF(S19="SW",(COUNTIFS(K$4:$K19,"&gt;0",S$4:$S19,"SW")/COUNTIF(S$4:$S19,"SW")),#N/A))</f>
        <v>0.45454545454545453</v>
      </c>
      <c r="BP19" s="489" t="e">
        <f>IF($J19="",#N/A,IF($S19="DWN",(COUNTIFS($K$4:$K19,"&lt;0",$S$4:$S19,"DWN")/COUNTIF($S$4:$S19,"DWN")),#N/A))</f>
        <v>#N/A</v>
      </c>
      <c r="BQ19" s="489" t="e">
        <f>IF($J19="",#N/A,IF($S19="UP",(COUNTIFS($K$4:$K19,"&gt;0",$S$4:$S19,"UP")/COUNTIF($S$4:$S19,"UP")),#N/A))</f>
        <v>#N/A</v>
      </c>
      <c r="BR19" s="489">
        <f>IF(J19="",#N/A,COUNTIF($K$4:K19,"&gt;0")/COUNT($J$4:J19))</f>
        <v>0.375</v>
      </c>
      <c r="BS19" s="65">
        <f t="shared" si="29"/>
        <v>0.65547263681592127</v>
      </c>
      <c r="BT19" s="65" t="str">
        <f t="shared" si="30"/>
        <v/>
      </c>
      <c r="BU19" s="65" t="str">
        <f t="shared" si="31"/>
        <v/>
      </c>
      <c r="BV19" s="65" t="str">
        <f t="shared" si="32"/>
        <v/>
      </c>
      <c r="BW19" s="151" t="str">
        <f t="shared" si="33"/>
        <v/>
      </c>
      <c r="BX19" s="151">
        <f>IF($J19="",#N/A,SUM($BW$4:BW19))</f>
        <v>0</v>
      </c>
      <c r="BY19" s="152" t="str">
        <f t="shared" si="34"/>
        <v/>
      </c>
      <c r="BZ19" s="152">
        <f>IF($J19="",#N/A,SUM($BY$4:BY19))</f>
        <v>104.29628046850326</v>
      </c>
      <c r="CA19" s="153">
        <f t="shared" si="35"/>
        <v>47.430000000000064</v>
      </c>
      <c r="CB19" s="154">
        <f>IF($J19="",#N/A,SUM($CA$4:CA19))</f>
        <v>10.389999999999645</v>
      </c>
      <c r="CC19" s="191" t="str">
        <f t="shared" si="36"/>
        <v/>
      </c>
      <c r="CD19" s="191">
        <f>IF($J19="",#N/A,SUM($CC$4:CC19))</f>
        <v>0</v>
      </c>
      <c r="CE19" s="192" t="str">
        <f t="shared" si="37"/>
        <v/>
      </c>
      <c r="CF19" s="192">
        <f>IF($J19="",#N/A,SUM($CE$4:CE19))</f>
        <v>1.4792312373428973</v>
      </c>
      <c r="CG19" s="193">
        <f t="shared" si="38"/>
        <v>0.65547263681592127</v>
      </c>
      <c r="CH19" s="193">
        <f>IF($J19="",#N/A,SUM($CG$4:CG19))</f>
        <v>5.7491593957879394E-2</v>
      </c>
      <c r="CI19" s="200" t="str">
        <f t="shared" si="39"/>
        <v/>
      </c>
      <c r="CJ19" s="200">
        <f>IF($J19="",#N/A,SUM(CI$4:CI19))</f>
        <v>0</v>
      </c>
      <c r="CK19" s="201" t="str">
        <f t="shared" si="40"/>
        <v/>
      </c>
      <c r="CL19" s="201">
        <f>IF($J19="",#N/A,SUM(CK$4:CK19))</f>
        <v>0</v>
      </c>
      <c r="CM19" s="202" t="str">
        <f t="shared" si="41"/>
        <v/>
      </c>
      <c r="CN19" s="202">
        <f>IF($J19="",#N/A,SUM(CM$4:CM19))</f>
        <v>0</v>
      </c>
      <c r="CO19" s="202">
        <f>IF($J19="",#N/A,SUM(CM$4:CM19,CK$4:CK19,CI$4:CI19))</f>
        <v>0</v>
      </c>
      <c r="CP19" s="200" t="str">
        <f t="shared" si="42"/>
        <v/>
      </c>
      <c r="CQ19" s="200">
        <f>IF($J19="",#N/A,SUM(CP$4:CP19))</f>
        <v>0</v>
      </c>
      <c r="CR19" s="201" t="str">
        <f t="shared" si="43"/>
        <v/>
      </c>
      <c r="CS19" s="201">
        <f>IF($J19="",#N/A,SUM(CR$4:CR19))</f>
        <v>0</v>
      </c>
      <c r="CT19" s="202" t="str">
        <f t="shared" si="44"/>
        <v/>
      </c>
      <c r="CU19" s="202">
        <f>IF($J19="",#N/A,SUM(CT$4:CT19))</f>
        <v>0</v>
      </c>
      <c r="CV19" s="202">
        <f>IF($J19="",#N/A,SUM(CT$4:CT19,CR$4:CR19,CP$4:CP19))</f>
        <v>0</v>
      </c>
      <c r="CW19" s="200" t="str">
        <f t="shared" si="45"/>
        <v/>
      </c>
      <c r="CX19" s="200">
        <f>IF($J19="",#N/A,SUM(CW$4:CW19))</f>
        <v>0</v>
      </c>
      <c r="CY19" s="201" t="str">
        <f t="shared" si="46"/>
        <v/>
      </c>
      <c r="CZ19" s="201">
        <f>IF($J19="",#N/A,SUM(CY$4:CY19))</f>
        <v>0</v>
      </c>
      <c r="DA19" s="202" t="str">
        <f t="shared" si="47"/>
        <v/>
      </c>
      <c r="DB19" s="202">
        <f>IF($J19="",#N/A,SUM(DA$4:DA19))</f>
        <v>0</v>
      </c>
      <c r="DC19" s="202">
        <f>IF($J19="",#N/A,SUM(DA$4:DA19,CY$4:CY19,CW$4:CW19))</f>
        <v>0</v>
      </c>
      <c r="DD19" s="200" t="str">
        <f t="shared" si="48"/>
        <v/>
      </c>
      <c r="DE19" s="200">
        <f>IF($J19="",#N/A,SUM(DD$4:DD19))</f>
        <v>0</v>
      </c>
      <c r="DF19" s="201" t="str">
        <f t="shared" si="49"/>
        <v/>
      </c>
      <c r="DG19" s="201">
        <f>IF($J19="",#N/A,SUM(DF$4:DF19))</f>
        <v>0.6788440567066546</v>
      </c>
      <c r="DH19" s="202" t="str">
        <f t="shared" si="50"/>
        <v/>
      </c>
      <c r="DI19" s="202">
        <f>IF($J19="",#N/A,SUM(DH$4:DH19))</f>
        <v>0</v>
      </c>
      <c r="DJ19" s="202">
        <f>IF($J19="",#N/A,SUM(DH$4:DH19,DF$4:DF19,DD$4:DD19))</f>
        <v>0.6788440567066546</v>
      </c>
      <c r="DK19" s="200" t="str">
        <f t="shared" si="51"/>
        <v/>
      </c>
      <c r="DL19" s="200">
        <f>IF($J19="",#N/A,SUM(DK$4:DK19))</f>
        <v>0</v>
      </c>
      <c r="DM19" s="201" t="str">
        <f t="shared" si="52"/>
        <v/>
      </c>
      <c r="DN19" s="201">
        <f>IF($J19="",#N/A,SUM(DM$4:DM19))</f>
        <v>0</v>
      </c>
      <c r="DO19" s="202" t="str">
        <f t="shared" si="53"/>
        <v/>
      </c>
      <c r="DP19" s="202">
        <f>IF($J19="",#N/A,SUM(DO$4:DO19))</f>
        <v>0</v>
      </c>
      <c r="DQ19" s="202">
        <f>IF($J19="",#N/A,SUM(DO$4:DO19,DM$4:DM19,DK$4:DK19))</f>
        <v>0</v>
      </c>
      <c r="DR19" s="200" t="str">
        <f t="shared" si="54"/>
        <v/>
      </c>
      <c r="DS19" s="200">
        <f>IF($J19="",#N/A,SUM(DR$4:DR19))</f>
        <v>0</v>
      </c>
      <c r="DT19" s="201" t="str">
        <f t="shared" si="55"/>
        <v/>
      </c>
      <c r="DU19" s="201">
        <f>IF($J19="",#N/A,SUM(DT$4:DT19))</f>
        <v>0.40177072099220923</v>
      </c>
      <c r="DV19" s="202" t="str">
        <f t="shared" si="56"/>
        <v/>
      </c>
      <c r="DW19" s="202">
        <f>IF($J19="",#N/A,SUM(DV$4:DV19))</f>
        <v>-0.61511905632416297</v>
      </c>
      <c r="DX19" s="202">
        <f>IF($J19="",#N/A,SUM(DV$4:DV19,DT$4:DT19,DR$4:DR19))</f>
        <v>-0.21334833533195374</v>
      </c>
      <c r="DY19" s="200" t="str">
        <f t="shared" si="57"/>
        <v/>
      </c>
      <c r="DZ19" s="200">
        <f>IF($J19="",#N/A,SUM(DY$4:DY19))</f>
        <v>0</v>
      </c>
      <c r="EA19" s="201" t="str">
        <f t="shared" si="58"/>
        <v/>
      </c>
      <c r="EB19" s="201">
        <f>IF($J19="",#N/A,SUM(EA$4:EA19))</f>
        <v>0.39861645964403336</v>
      </c>
      <c r="EC19" s="202">
        <f t="shared" si="59"/>
        <v>0.65547263681592127</v>
      </c>
      <c r="ED19" s="202">
        <f>IF($J19="",#N/A,SUM(EC$4:EC19))</f>
        <v>0.52792722625163879</v>
      </c>
      <c r="EE19" s="202">
        <f>IF($J19="",#N/A,SUM(EC$4:EC19,EA$4:EA19,DY$4:DY19))</f>
        <v>0.92654368589567215</v>
      </c>
      <c r="EF19" s="200" t="str">
        <f t="shared" si="60"/>
        <v/>
      </c>
      <c r="EG19" s="200">
        <f>IF($J19="",#N/A,SUM(EF$4:EF19))</f>
        <v>0</v>
      </c>
      <c r="EH19" s="201" t="str">
        <f t="shared" si="61"/>
        <v/>
      </c>
      <c r="EI19" s="201">
        <f>IF($J19="",#N/A,SUM(EH$4:EH19))</f>
        <v>0</v>
      </c>
      <c r="EJ19" s="202" t="str">
        <f t="shared" si="62"/>
        <v/>
      </c>
      <c r="EK19" s="202">
        <f>IF($J19="",#N/A,SUM(EJ$4:EJ19))</f>
        <v>0.1446834240304033</v>
      </c>
      <c r="EL19" s="202">
        <f>IF($J19="",#N/A,SUM(EJ$4:EJ19,EH$4:EH19,EF$4:EF19))</f>
        <v>0.1446834240304033</v>
      </c>
      <c r="EM19" s="200" t="str">
        <f t="shared" si="63"/>
        <v/>
      </c>
      <c r="EN19" s="200">
        <f>IF($J19="",#N/A,SUM(EM$4:EM19))</f>
        <v>0</v>
      </c>
      <c r="EO19" s="201" t="str">
        <f t="shared" si="64"/>
        <v/>
      </c>
      <c r="EP19" s="201">
        <f>IF($J19="",#N/A,SUM(EO$4:EO19))</f>
        <v>0</v>
      </c>
      <c r="EQ19" s="202" t="str">
        <f t="shared" si="65"/>
        <v/>
      </c>
      <c r="ER19" s="202">
        <f>IF($J19="",#N/A,SUM(EQ$4:EQ19))</f>
        <v>0</v>
      </c>
      <c r="ES19" s="202">
        <f>IF($J19="",#N/A,SUM(EQ$4:EQ19,EO$4:EO19,EM$4:EM19))</f>
        <v>0</v>
      </c>
      <c r="ET19" s="200" t="str">
        <f t="shared" si="66"/>
        <v/>
      </c>
      <c r="EU19" s="200">
        <f>IF($J19="",#N/A,SUM(ET$4:ET19))</f>
        <v>0</v>
      </c>
      <c r="EV19" s="201" t="str">
        <f t="shared" si="67"/>
        <v/>
      </c>
      <c r="EW19" s="201">
        <f>IF($J19="",#N/A,SUM(EV$4:EV19))</f>
        <v>0</v>
      </c>
      <c r="EX19" s="202" t="str">
        <f t="shared" si="68"/>
        <v/>
      </c>
      <c r="EY19" s="202">
        <f>IF($J19="",#N/A,SUM(EX$4:EX19))</f>
        <v>0</v>
      </c>
      <c r="EZ19" s="202">
        <f>IF($J19="",#N/A,SUM(EX$4:EX19,EV$4:EV19,ET$4:ET19))</f>
        <v>0</v>
      </c>
      <c r="FA19" s="200" t="str">
        <f t="shared" si="69"/>
        <v/>
      </c>
      <c r="FB19" s="200">
        <f>IF($J19="",#N/A,SUM(FA$4:FA19))</f>
        <v>0</v>
      </c>
      <c r="FC19" s="201" t="str">
        <f t="shared" si="70"/>
        <v/>
      </c>
      <c r="FD19" s="201">
        <f>IF($J19="",#N/A,SUM(FC$4:FC19))</f>
        <v>0</v>
      </c>
      <c r="FE19" s="202" t="str">
        <f t="shared" si="71"/>
        <v/>
      </c>
      <c r="FF19" s="202">
        <f>IF($J19="",#N/A,SUM(FE$4:FE19))</f>
        <v>0</v>
      </c>
      <c r="FG19" s="202">
        <f>IF($J19="",#N/A,SUM(FE$4:FE19,FC$4:FC19,FA$4:FA19))</f>
        <v>0</v>
      </c>
      <c r="FH19" s="200" t="str">
        <f t="shared" si="72"/>
        <v/>
      </c>
      <c r="FI19" s="200">
        <f>IF($J19="",#N/A,SUM(FH$4:FH19))</f>
        <v>0</v>
      </c>
      <c r="FJ19" s="201" t="str">
        <f t="shared" si="73"/>
        <v/>
      </c>
      <c r="FK19" s="201">
        <f>IF($J19="",#N/A,SUM(FJ$4:FJ19))</f>
        <v>0</v>
      </c>
      <c r="FL19" s="202" t="str">
        <f t="shared" si="74"/>
        <v/>
      </c>
      <c r="FM19" s="202">
        <f>IF($J19="",#N/A,SUM(FL$4:FL19))</f>
        <v>0</v>
      </c>
      <c r="FN19" s="202">
        <f>IF($J19="",#N/A,SUM(FL$4:FL19,FJ$4:FJ19,FH$4:FH19))</f>
        <v>0</v>
      </c>
      <c r="FO19" s="200" t="str">
        <f t="shared" si="75"/>
        <v/>
      </c>
      <c r="FP19" s="200">
        <f>IF($J19="",#N/A,SUM(FO$4:FO19))</f>
        <v>0</v>
      </c>
      <c r="FQ19" s="201" t="str">
        <f t="shared" si="76"/>
        <v/>
      </c>
      <c r="FR19" s="201">
        <f>IF($J19="",#N/A,SUM(FQ$4:FQ19))</f>
        <v>0</v>
      </c>
      <c r="FS19" s="202" t="str">
        <f t="shared" si="77"/>
        <v/>
      </c>
      <c r="FT19" s="202">
        <f>IF($J19="",#N/A,SUM(FS$4:FS19))</f>
        <v>0</v>
      </c>
      <c r="FU19" s="202">
        <f>IF($J19="",#N/A,SUM(FS$4:FS19,FQ$4:FQ19,FO$4:FO19))</f>
        <v>0</v>
      </c>
      <c r="FV19" s="200" t="str">
        <f t="shared" si="78"/>
        <v/>
      </c>
      <c r="FW19" s="200">
        <f>IF($J19="",#N/A,SUM(FV$4:FV19))</f>
        <v>0</v>
      </c>
      <c r="FX19" s="201" t="str">
        <f t="shared" si="79"/>
        <v/>
      </c>
      <c r="FY19" s="201">
        <f>IF($J19="",#N/A,SUM(FX$4:FX19))</f>
        <v>0</v>
      </c>
      <c r="FZ19" s="202" t="str">
        <f t="shared" si="80"/>
        <v/>
      </c>
      <c r="GA19" s="202">
        <f>IF($J19="",#N/A,SUM(FZ$4:FZ19))</f>
        <v>0</v>
      </c>
      <c r="GB19" s="202">
        <f>IF($J19="",#N/A,SUM(FZ$4:FZ19,FX$4:FX19,FV$4:FV19))</f>
        <v>0</v>
      </c>
      <c r="GC19" s="200" t="str">
        <f t="shared" si="81"/>
        <v/>
      </c>
      <c r="GD19" s="200">
        <f>IF($J19="",#N/A,SUM(GC$4:GC19))</f>
        <v>0</v>
      </c>
      <c r="GE19" s="201" t="str">
        <f t="shared" si="82"/>
        <v/>
      </c>
      <c r="GF19" s="201">
        <f>IF($J19="",#N/A,SUM(GE$4:GE19))</f>
        <v>0</v>
      </c>
      <c r="GG19" s="202" t="str">
        <f t="shared" si="83"/>
        <v/>
      </c>
      <c r="GH19" s="202">
        <f>IF($J19="",#N/A,SUM(GG$4:GG19))</f>
        <v>0</v>
      </c>
      <c r="GI19" s="202">
        <f>IF($J19="",#N/A,SUM(GG$4:GG19,GE$4:GE19,GC$4:GC19))</f>
        <v>0</v>
      </c>
      <c r="GJ19" s="200" t="str">
        <f t="shared" si="84"/>
        <v/>
      </c>
      <c r="GK19" s="200">
        <f>IF($J19="",#N/A,SUM(GJ$4:GJ19))</f>
        <v>0</v>
      </c>
      <c r="GL19" s="201" t="str">
        <f t="shared" si="85"/>
        <v/>
      </c>
      <c r="GM19" s="201">
        <f>IF($J19="",#N/A,SUM(GL$4:GL19))</f>
        <v>0</v>
      </c>
      <c r="GN19" s="202" t="str">
        <f t="shared" si="86"/>
        <v/>
      </c>
      <c r="GO19" s="202">
        <f>IF($J19="",#N/A,SUM(GN$4:GN19))</f>
        <v>0</v>
      </c>
      <c r="GP19" s="202">
        <f>IF($J19="",#N/A,SUM(GN$4:GN19,GL$4:GL19,GJ$4:GJ19))</f>
        <v>0</v>
      </c>
      <c r="GS19" s="54">
        <f t="shared" si="105"/>
        <v>0.65547263681592127</v>
      </c>
      <c r="GT19" s="54">
        <f>IF(GS19="",NA(),SUM($GS$4:GS19))</f>
        <v>1.5367228313007768</v>
      </c>
      <c r="GU19" s="54" t="str">
        <f t="shared" si="87"/>
        <v/>
      </c>
      <c r="GV19" s="54" t="e">
        <f>IF(GU19="",NA(),SUM($GU$4:GU19))</f>
        <v>#N/A</v>
      </c>
      <c r="GW19" s="54">
        <f t="shared" si="88"/>
        <v>0.65547263681592127</v>
      </c>
      <c r="GX19" s="54">
        <f>IF(GW19="",NA(),SUM($GW$4:GW19))</f>
        <v>5.7491593957879394E-2</v>
      </c>
      <c r="GY19" s="54" t="str">
        <f t="shared" si="89"/>
        <v/>
      </c>
      <c r="GZ19" s="54" t="e">
        <f>IF(GY19="",NA(),SUM($GY$4:GY19))</f>
        <v>#N/A</v>
      </c>
      <c r="HA19" s="54" t="str">
        <f t="shared" si="90"/>
        <v/>
      </c>
      <c r="HB19" s="54" t="e">
        <f>IF(HA19="",NA(),SUM($HA$4:HA19))</f>
        <v>#N/A</v>
      </c>
      <c r="HC19" s="54" t="str">
        <f t="shared" si="91"/>
        <v/>
      </c>
      <c r="HD19" s="54" t="e">
        <f>IF(HC19="",NA(),SUM($HC$4:HC19))</f>
        <v>#N/A</v>
      </c>
      <c r="HE19" s="54" t="str">
        <f t="shared" si="92"/>
        <v/>
      </c>
      <c r="HF19" s="54" t="e">
        <f>IF(HE19="",NA(),SUM($HE$4:HE19))</f>
        <v>#N/A</v>
      </c>
      <c r="HG19" s="54" t="str">
        <f t="shared" si="93"/>
        <v/>
      </c>
      <c r="HH19" s="54" t="e">
        <f>IF(HG19="",NA(),SUM($HG$4:HG19))</f>
        <v>#N/A</v>
      </c>
      <c r="HI19" s="172" t="str">
        <f t="shared" si="106"/>
        <v/>
      </c>
      <c r="HJ19" s="172">
        <f>IF($J19="",#N/A,SUM(HI$4:$HI19))</f>
        <v>-0.86546902838162876</v>
      </c>
      <c r="HK19" s="54" t="str">
        <f t="shared" si="94"/>
        <v/>
      </c>
      <c r="HL19" s="54">
        <f>IF($J19="",#N/A,SUM($HK$4:HK19))</f>
        <v>-3.4652545522110731</v>
      </c>
      <c r="HM19" s="54" t="str">
        <f t="shared" si="95"/>
        <v/>
      </c>
      <c r="HN19" s="54">
        <f>IF($J19="",#N/A,SUM($HM$4:HM19))</f>
        <v>0</v>
      </c>
      <c r="HO19" s="54" t="str">
        <f t="shared" si="96"/>
        <v/>
      </c>
      <c r="HP19" s="54">
        <f>IF($J19="",#N/A,SUM($HO$4:HO19))</f>
        <v>0</v>
      </c>
      <c r="HQ19" s="54">
        <f t="shared" si="97"/>
        <v>-0.65796019900497693</v>
      </c>
      <c r="HR19" s="54">
        <f>IF($J19="",#N/A,SUM($HQ$4:HQ19))</f>
        <v>-0.96220265944219874</v>
      </c>
      <c r="HS19" s="54" t="str">
        <f t="shared" si="98"/>
        <v/>
      </c>
      <c r="HT19" s="54">
        <f>IF($J19="",#N/A,SUM($HS$4:HS19))</f>
        <v>4.4712150775590054</v>
      </c>
      <c r="HU19" s="65">
        <f t="shared" si="99"/>
        <v>-2.4875621890556063E-3</v>
      </c>
      <c r="HV19" s="65">
        <f>IF($J19="",#N/A,SUM(HU$4:$HU19))</f>
        <v>0.71501166882488087</v>
      </c>
    </row>
    <row r="20" spans="1:230" x14ac:dyDescent="0.25">
      <c r="A20" s="51" t="s">
        <v>1526</v>
      </c>
      <c r="B20" s="52" t="s">
        <v>4480</v>
      </c>
      <c r="C20" s="229">
        <f t="shared" si="0"/>
        <v>2</v>
      </c>
      <c r="D20" s="219" t="str">
        <f>_xlfn.XLOOKUP(A20,[1]SP500!$A$2:$A$502,[1]SP500!$D$2:$D$502,"N")</f>
        <v>Y</v>
      </c>
      <c r="E20" s="51" t="str">
        <f>IFERROR(_xlfn.XLOOKUP(A20,[1]SP500!$A$2:$A$655,[1]SP500!$B$2:$B$655),"")</f>
        <v>XLC</v>
      </c>
      <c r="F20" s="53">
        <v>45762</v>
      </c>
      <c r="G20" s="51" t="str">
        <f t="shared" si="1"/>
        <v>AMC</v>
      </c>
      <c r="H20" s="51" t="str">
        <f t="shared" si="2"/>
        <v>s</v>
      </c>
      <c r="I20" s="343">
        <v>76.83</v>
      </c>
      <c r="J20" s="124">
        <v>75.16</v>
      </c>
      <c r="K20" s="55">
        <f t="shared" si="3"/>
        <v>-2.1736300924118206E-2</v>
      </c>
      <c r="L20" s="67">
        <f t="shared" si="4"/>
        <v>25.050000000000182</v>
      </c>
      <c r="M20" s="57">
        <f t="shared" si="5"/>
        <v>3</v>
      </c>
      <c r="N20" s="102">
        <f t="shared" si="6"/>
        <v>25.050000000000182</v>
      </c>
      <c r="O20" s="57">
        <f>IF(N20="",#N/A,SUM($N$4:N20))</f>
        <v>139.73628046850308</v>
      </c>
      <c r="P20" s="65">
        <f t="shared" si="100"/>
        <v>0.36227168206863897</v>
      </c>
      <c r="Q20" s="172">
        <f>IF($N20="",#N/A,SUM($P$4:P20))</f>
        <v>1.8989945133694157</v>
      </c>
      <c r="R20" s="359">
        <f t="shared" si="7"/>
        <v>-0.4035797421984666</v>
      </c>
      <c r="S20" s="51" t="str">
        <f t="shared" si="8"/>
        <v>Dwn</v>
      </c>
      <c r="T20" s="51" t="s">
        <v>4462</v>
      </c>
      <c r="U20" s="56">
        <f t="shared" si="9"/>
        <v>76.83</v>
      </c>
      <c r="V20" s="56" t="s">
        <v>4458</v>
      </c>
      <c r="W20" s="140">
        <v>15</v>
      </c>
      <c r="X20" s="145">
        <f t="shared" si="10"/>
        <v>1152.45</v>
      </c>
      <c r="Y20" s="140">
        <f t="shared" si="11"/>
        <v>15</v>
      </c>
      <c r="Z20" s="123">
        <v>74.959999999999994</v>
      </c>
      <c r="AA20" s="102">
        <f t="shared" si="12"/>
        <v>28.050000000000182</v>
      </c>
      <c r="AB20" s="102">
        <f t="shared" si="13"/>
        <v>83.850000000000136</v>
      </c>
      <c r="AC20" s="124">
        <v>71.239999999999995</v>
      </c>
      <c r="AD20" s="155">
        <f t="shared" si="14"/>
        <v>83.850000000000136</v>
      </c>
      <c r="AE20" s="545">
        <f t="shared" si="15"/>
        <v>1.2126339537507069</v>
      </c>
      <c r="AF20" s="57">
        <f>IF($AC20="",#N/A,SUM(AD$4:AD20))</f>
        <v>141.63162709718324</v>
      </c>
      <c r="AG20" s="102">
        <f t="shared" si="16"/>
        <v>58.799999999999955</v>
      </c>
      <c r="AH20" s="56" t="s">
        <v>2507</v>
      </c>
      <c r="AI20" s="65">
        <f t="shared" si="17"/>
        <v>0.40565751225649965</v>
      </c>
      <c r="AJ20" s="54">
        <f>IF(AI20="",#N/A,SUM($AI$4:AI20))</f>
        <v>2.3025742555678823</v>
      </c>
      <c r="AK20" s="57">
        <f t="shared" si="18"/>
        <v>28.050000000000182</v>
      </c>
      <c r="AL20" s="349">
        <f>IF(AI20="",#N/A,IF(AH20="Skip",SUM($AK$4:AK20),SUM($AK$4:AK20)))</f>
        <v>166.08500000000026</v>
      </c>
      <c r="AM20" s="65">
        <f t="shared" si="101"/>
        <v>1.2126339537507069</v>
      </c>
      <c r="AN20" s="209"/>
      <c r="AO20" s="65" t="str">
        <f t="shared" si="19"/>
        <v/>
      </c>
      <c r="AP20" s="65">
        <f>IF($AC20="",#N/A,SUM(AO$4:AO20))</f>
        <v>3.5665040120746858</v>
      </c>
      <c r="AQ20" s="65" t="str">
        <f t="shared" si="20"/>
        <v/>
      </c>
      <c r="AR20" s="65">
        <f>IF($AC20="",#N/A,SUM(AQ$4:AQ20))</f>
        <v>0</v>
      </c>
      <c r="AS20" s="65">
        <f t="shared" si="21"/>
        <v>1.2126339537507069</v>
      </c>
      <c r="AT20" s="65">
        <f>IF($AC20="",#N/A,SUM(AS$4:AS20))</f>
        <v>-1.638858389499098</v>
      </c>
      <c r="AU20" s="57" t="str">
        <f t="shared" si="102"/>
        <v/>
      </c>
      <c r="AV20" s="57">
        <f>IF($AC20="",#N/A,SUM(AU$4:AU20))</f>
        <v>231.54000000000008</v>
      </c>
      <c r="AW20" s="57" t="str">
        <f t="shared" si="103"/>
        <v/>
      </c>
      <c r="AX20" s="57">
        <f>IF($AC20="",#N/A,SUM(AW$4:AW20))</f>
        <v>0</v>
      </c>
      <c r="AY20" s="57">
        <f t="shared" si="104"/>
        <v>83.850000000000136</v>
      </c>
      <c r="AZ20" s="57">
        <f>IF($AC20="",#N/A,SUM(AY$4:AY20))</f>
        <v>-89.908372902816836</v>
      </c>
      <c r="BA20" s="57">
        <f>IF(AD20="",#N/A,SUM($AD$4:AD20))</f>
        <v>141.63162709718324</v>
      </c>
      <c r="BC20" s="51" t="str">
        <f t="shared" si="22"/>
        <v/>
      </c>
      <c r="BD20" s="51" t="str">
        <f t="shared" si="23"/>
        <v/>
      </c>
      <c r="BE20" s="51" t="str">
        <f t="shared" si="24"/>
        <v/>
      </c>
      <c r="BF20" s="51" t="str">
        <f t="shared" si="25"/>
        <v>Short</v>
      </c>
      <c r="BG20" s="51">
        <f t="shared" si="26"/>
        <v>1</v>
      </c>
      <c r="BH20" s="51" t="str">
        <f t="shared" si="27"/>
        <v/>
      </c>
      <c r="BI20" s="51" t="str">
        <f t="shared" si="28"/>
        <v/>
      </c>
      <c r="BK20" s="184"/>
      <c r="BL20" s="184"/>
      <c r="BM20" s="73"/>
      <c r="BO20" s="489" t="e">
        <f>IF(J20="",#N/A,IF(S20="SW",(COUNTIFS(K$4:$K20,"&gt;0",S$4:$S20,"SW")/COUNTIF(S$4:$S20,"SW")),#N/A))</f>
        <v>#N/A</v>
      </c>
      <c r="BP20" s="489">
        <f>IF($J20="",#N/A,IF($S20="DWN",(COUNTIFS($K$4:$K20,"&lt;0",$S$4:$S20,"DWN")/COUNTIF($S$4:$S20,"DWN")),#N/A))</f>
        <v>0.83333333333333337</v>
      </c>
      <c r="BQ20" s="489" t="e">
        <f>IF($J20="",#N/A,IF($S20="UP",(COUNTIFS($K$4:$K20,"&gt;0",$S$4:$S20,"UP")/COUNTIF($S$4:$S20,"UP")),#N/A))</f>
        <v>#N/A</v>
      </c>
      <c r="BR20" s="489">
        <f>IF(J20="",#N/A,COUNTIF($K$4:K20,"&gt;0")/COUNT($J$4:J20))</f>
        <v>0.35294117647058826</v>
      </c>
      <c r="BS20" s="65" t="str">
        <f t="shared" si="29"/>
        <v/>
      </c>
      <c r="BT20" s="65" t="str">
        <f t="shared" si="30"/>
        <v/>
      </c>
      <c r="BU20" s="65">
        <f t="shared" si="31"/>
        <v>0.36227168206863897</v>
      </c>
      <c r="BV20" s="65" t="str">
        <f t="shared" si="32"/>
        <v/>
      </c>
      <c r="BW20" s="128" t="str">
        <f t="shared" si="33"/>
        <v/>
      </c>
      <c r="BX20" s="128">
        <f>IF($J20="",#N/A,SUM($BW$4:BW20))</f>
        <v>0</v>
      </c>
      <c r="BY20" s="131">
        <f t="shared" si="34"/>
        <v>25.050000000000182</v>
      </c>
      <c r="BZ20" s="131">
        <f>IF($J20="",#N/A,SUM($BY$4:BY20))</f>
        <v>129.34628046850344</v>
      </c>
      <c r="CA20" s="133" t="str">
        <f t="shared" si="35"/>
        <v/>
      </c>
      <c r="CB20" s="133">
        <f>IF($J20="",#N/A,SUM($CA$4:CA20))</f>
        <v>10.389999999999645</v>
      </c>
      <c r="CC20" s="194" t="str">
        <f t="shared" si="36"/>
        <v/>
      </c>
      <c r="CD20" s="194">
        <f>IF($J20="",#N/A,SUM($CC$4:CC20))</f>
        <v>0</v>
      </c>
      <c r="CE20" s="195">
        <f t="shared" si="37"/>
        <v>0.36227168206863897</v>
      </c>
      <c r="CF20" s="195">
        <f>IF($J20="",#N/A,SUM($CE$4:CE20))</f>
        <v>1.8415029194115362</v>
      </c>
      <c r="CG20" s="196" t="str">
        <f t="shared" si="38"/>
        <v/>
      </c>
      <c r="CH20" s="193">
        <f>IF($J20="",#N/A,SUM($CG$4:CG20))</f>
        <v>5.7491593957879394E-2</v>
      </c>
      <c r="CI20" s="200" t="str">
        <f t="shared" si="39"/>
        <v/>
      </c>
      <c r="CJ20" s="203">
        <f>IF($J20="",#N/A,SUM(CI$4:CI20))</f>
        <v>0</v>
      </c>
      <c r="CK20" s="204" t="str">
        <f t="shared" si="40"/>
        <v/>
      </c>
      <c r="CL20" s="204">
        <f>IF($J20="",#N/A,SUM(CK$4:CK20))</f>
        <v>0</v>
      </c>
      <c r="CM20" s="205" t="str">
        <f t="shared" si="41"/>
        <v/>
      </c>
      <c r="CN20" s="205">
        <f>IF($J20="",#N/A,SUM(CM$4:CM20))</f>
        <v>0</v>
      </c>
      <c r="CO20" s="205">
        <f>IF($J20="",#N/A,SUM(CM$4:CM20,CK$4:CK20,CI$4:CI20))</f>
        <v>0</v>
      </c>
      <c r="CP20" s="200" t="str">
        <f t="shared" si="42"/>
        <v/>
      </c>
      <c r="CQ20" s="203">
        <f>IF($J20="",#N/A,SUM(CP$4:CP20))</f>
        <v>0</v>
      </c>
      <c r="CR20" s="204" t="str">
        <f t="shared" si="43"/>
        <v/>
      </c>
      <c r="CS20" s="204">
        <f>IF($J20="",#N/A,SUM(CR$4:CR20))</f>
        <v>0</v>
      </c>
      <c r="CT20" s="205" t="str">
        <f t="shared" si="44"/>
        <v/>
      </c>
      <c r="CU20" s="205">
        <f>IF($J20="",#N/A,SUM(CT$4:CT20))</f>
        <v>0</v>
      </c>
      <c r="CV20" s="205">
        <f>IF($J20="",#N/A,SUM(CT$4:CT20,CR$4:CR20,CP$4:CP20))</f>
        <v>0</v>
      </c>
      <c r="CW20" s="200" t="str">
        <f t="shared" si="45"/>
        <v/>
      </c>
      <c r="CX20" s="203">
        <f>IF($J20="",#N/A,SUM(CW$4:CW20))</f>
        <v>0</v>
      </c>
      <c r="CY20" s="204" t="str">
        <f t="shared" si="46"/>
        <v/>
      </c>
      <c r="CZ20" s="204">
        <f>IF($J20="",#N/A,SUM(CY$4:CY20))</f>
        <v>0</v>
      </c>
      <c r="DA20" s="205" t="str">
        <f t="shared" si="47"/>
        <v/>
      </c>
      <c r="DB20" s="205">
        <f>IF($J20="",#N/A,SUM(DA$4:DA20))</f>
        <v>0</v>
      </c>
      <c r="DC20" s="205">
        <f>IF($J20="",#N/A,SUM(DA$4:DA20,CY$4:CY20,CW$4:CW20))</f>
        <v>0</v>
      </c>
      <c r="DD20" s="200" t="str">
        <f t="shared" si="48"/>
        <v/>
      </c>
      <c r="DE20" s="203">
        <f>IF($J20="",#N/A,SUM(DD$4:DD20))</f>
        <v>0</v>
      </c>
      <c r="DF20" s="204" t="str">
        <f t="shared" si="49"/>
        <v/>
      </c>
      <c r="DG20" s="204">
        <f>IF($J20="",#N/A,SUM(DF$4:DF20))</f>
        <v>0.6788440567066546</v>
      </c>
      <c r="DH20" s="205" t="str">
        <f t="shared" si="50"/>
        <v/>
      </c>
      <c r="DI20" s="205">
        <f>IF($J20="",#N/A,SUM(DH$4:DH20))</f>
        <v>0</v>
      </c>
      <c r="DJ20" s="205">
        <f>IF($J20="",#N/A,SUM(DH$4:DH20,DF$4:DF20,DD$4:DD20))</f>
        <v>0.6788440567066546</v>
      </c>
      <c r="DK20" s="200" t="str">
        <f t="shared" si="51"/>
        <v/>
      </c>
      <c r="DL20" s="203">
        <f>IF($J20="",#N/A,SUM(DK$4:DK20))</f>
        <v>0</v>
      </c>
      <c r="DM20" s="204">
        <f t="shared" si="52"/>
        <v>0.36227168206863897</v>
      </c>
      <c r="DN20" s="204">
        <f>IF($J20="",#N/A,SUM(DM$4:DM20))</f>
        <v>0.36227168206863897</v>
      </c>
      <c r="DO20" s="205" t="str">
        <f t="shared" si="53"/>
        <v/>
      </c>
      <c r="DP20" s="205">
        <f>IF($J20="",#N/A,SUM(DO$4:DO20))</f>
        <v>0</v>
      </c>
      <c r="DQ20" s="205">
        <f>IF($J20="",#N/A,SUM(DO$4:DO20,DM$4:DM20,DK$4:DK20))</f>
        <v>0.36227168206863897</v>
      </c>
      <c r="DR20" s="200" t="str">
        <f t="shared" si="54"/>
        <v/>
      </c>
      <c r="DS20" s="203">
        <f>IF($J20="",#N/A,SUM(DR$4:DR20))</f>
        <v>0</v>
      </c>
      <c r="DT20" s="204" t="str">
        <f t="shared" si="55"/>
        <v/>
      </c>
      <c r="DU20" s="204">
        <f>IF($J20="",#N/A,SUM(DT$4:DT20))</f>
        <v>0.40177072099220923</v>
      </c>
      <c r="DV20" s="205" t="str">
        <f t="shared" si="56"/>
        <v/>
      </c>
      <c r="DW20" s="205">
        <f>IF($J20="",#N/A,SUM(DV$4:DV20))</f>
        <v>-0.61511905632416297</v>
      </c>
      <c r="DX20" s="205">
        <f>IF($J20="",#N/A,SUM(DV$4:DV20,DT$4:DT20,DR$4:DR20))</f>
        <v>-0.21334833533195374</v>
      </c>
      <c r="DY20" s="200" t="str">
        <f t="shared" si="57"/>
        <v/>
      </c>
      <c r="DZ20" s="203">
        <f>IF($J20="",#N/A,SUM(DY$4:DY20))</f>
        <v>0</v>
      </c>
      <c r="EA20" s="204" t="str">
        <f t="shared" si="58"/>
        <v/>
      </c>
      <c r="EB20" s="204">
        <f>IF($J20="",#N/A,SUM(EA$4:EA20))</f>
        <v>0.39861645964403336</v>
      </c>
      <c r="EC20" s="205" t="str">
        <f t="shared" si="59"/>
        <v/>
      </c>
      <c r="ED20" s="205">
        <f>IF($J20="",#N/A,SUM(EC$4:EC20))</f>
        <v>0.52792722625163879</v>
      </c>
      <c r="EE20" s="205">
        <f>IF($J20="",#N/A,SUM(EC$4:EC20,EA$4:EA20,DY$4:DY20))</f>
        <v>0.92654368589567215</v>
      </c>
      <c r="EF20" s="200" t="str">
        <f t="shared" si="60"/>
        <v/>
      </c>
      <c r="EG20" s="203">
        <f>IF($J20="",#N/A,SUM(EF$4:EF20))</f>
        <v>0</v>
      </c>
      <c r="EH20" s="204" t="str">
        <f t="shared" si="61"/>
        <v/>
      </c>
      <c r="EI20" s="204">
        <f>IF($J20="",#N/A,SUM(EH$4:EH20))</f>
        <v>0</v>
      </c>
      <c r="EJ20" s="205" t="str">
        <f t="shared" si="62"/>
        <v/>
      </c>
      <c r="EK20" s="205">
        <f>IF($J20="",#N/A,SUM(EJ$4:EJ20))</f>
        <v>0.1446834240304033</v>
      </c>
      <c r="EL20" s="205">
        <f>IF($J20="",#N/A,SUM(EJ$4:EJ20,EH$4:EH20,EF$4:EF20))</f>
        <v>0.1446834240304033</v>
      </c>
      <c r="EM20" s="200" t="str">
        <f t="shared" si="63"/>
        <v/>
      </c>
      <c r="EN20" s="203">
        <f>IF($J20="",#N/A,SUM(EM$4:EM20))</f>
        <v>0</v>
      </c>
      <c r="EO20" s="204" t="str">
        <f t="shared" si="64"/>
        <v/>
      </c>
      <c r="EP20" s="204">
        <f>IF($J20="",#N/A,SUM(EO$4:EO20))</f>
        <v>0</v>
      </c>
      <c r="EQ20" s="205" t="str">
        <f t="shared" si="65"/>
        <v/>
      </c>
      <c r="ER20" s="205">
        <f>IF($J20="",#N/A,SUM(EQ$4:EQ20))</f>
        <v>0</v>
      </c>
      <c r="ES20" s="205">
        <f>IF($J20="",#N/A,SUM(EQ$4:EQ20,EO$4:EO20,EM$4:EM20))</f>
        <v>0</v>
      </c>
      <c r="ET20" s="200" t="str">
        <f t="shared" si="66"/>
        <v/>
      </c>
      <c r="EU20" s="203">
        <f>IF($J20="",#N/A,SUM(ET$4:ET20))</f>
        <v>0</v>
      </c>
      <c r="EV20" s="204" t="str">
        <f t="shared" si="67"/>
        <v/>
      </c>
      <c r="EW20" s="204">
        <f>IF($J20="",#N/A,SUM(EV$4:EV20))</f>
        <v>0</v>
      </c>
      <c r="EX20" s="205" t="str">
        <f t="shared" si="68"/>
        <v/>
      </c>
      <c r="EY20" s="205">
        <f>IF($J20="",#N/A,SUM(EX$4:EX20))</f>
        <v>0</v>
      </c>
      <c r="EZ20" s="205">
        <f>IF($J20="",#N/A,SUM(EX$4:EX20,EV$4:EV20,ET$4:ET20))</f>
        <v>0</v>
      </c>
      <c r="FA20" s="200" t="str">
        <f t="shared" si="69"/>
        <v/>
      </c>
      <c r="FB20" s="203">
        <f>IF($J20="",#N/A,SUM(FA$4:FA20))</f>
        <v>0</v>
      </c>
      <c r="FC20" s="204" t="str">
        <f t="shared" si="70"/>
        <v/>
      </c>
      <c r="FD20" s="204">
        <f>IF($J20="",#N/A,SUM(FC$4:FC20))</f>
        <v>0</v>
      </c>
      <c r="FE20" s="205" t="str">
        <f t="shared" si="71"/>
        <v/>
      </c>
      <c r="FF20" s="205">
        <f>IF($J20="",#N/A,SUM(FE$4:FE20))</f>
        <v>0</v>
      </c>
      <c r="FG20" s="205">
        <f>IF($J20="",#N/A,SUM(FE$4:FE20,FC$4:FC20,FA$4:FA20))</f>
        <v>0</v>
      </c>
      <c r="FH20" s="200" t="str">
        <f t="shared" si="72"/>
        <v/>
      </c>
      <c r="FI20" s="203">
        <f>IF($J20="",#N/A,SUM(FH$4:FH20))</f>
        <v>0</v>
      </c>
      <c r="FJ20" s="204" t="str">
        <f t="shared" si="73"/>
        <v/>
      </c>
      <c r="FK20" s="204">
        <f>IF($J20="",#N/A,SUM(FJ$4:FJ20))</f>
        <v>0</v>
      </c>
      <c r="FL20" s="205" t="str">
        <f t="shared" si="74"/>
        <v/>
      </c>
      <c r="FM20" s="205">
        <f>IF($J20="",#N/A,SUM(FL$4:FL20))</f>
        <v>0</v>
      </c>
      <c r="FN20" s="205">
        <f>IF($J20="",#N/A,SUM(FL$4:FL20,FJ$4:FJ20,FH$4:FH20))</f>
        <v>0</v>
      </c>
      <c r="FO20" s="200" t="str">
        <f t="shared" si="75"/>
        <v/>
      </c>
      <c r="FP20" s="203">
        <f>IF($J20="",#N/A,SUM(FO$4:FO20))</f>
        <v>0</v>
      </c>
      <c r="FQ20" s="204" t="str">
        <f t="shared" si="76"/>
        <v/>
      </c>
      <c r="FR20" s="204">
        <f>IF($J20="",#N/A,SUM(FQ$4:FQ20))</f>
        <v>0</v>
      </c>
      <c r="FS20" s="205" t="str">
        <f t="shared" si="77"/>
        <v/>
      </c>
      <c r="FT20" s="205">
        <f>IF($J20="",#N/A,SUM(FS$4:FS20))</f>
        <v>0</v>
      </c>
      <c r="FU20" s="205">
        <f>IF($J20="",#N/A,SUM(FS$4:FS20,FQ$4:FQ20,FO$4:FO20))</f>
        <v>0</v>
      </c>
      <c r="FV20" s="200" t="str">
        <f t="shared" si="78"/>
        <v/>
      </c>
      <c r="FW20" s="203">
        <f>IF($J20="",#N/A,SUM(FV$4:FV20))</f>
        <v>0</v>
      </c>
      <c r="FX20" s="204" t="str">
        <f t="shared" si="79"/>
        <v/>
      </c>
      <c r="FY20" s="204">
        <f>IF($J20="",#N/A,SUM(FX$4:FX20))</f>
        <v>0</v>
      </c>
      <c r="FZ20" s="205" t="str">
        <f t="shared" si="80"/>
        <v/>
      </c>
      <c r="GA20" s="205">
        <f>IF($J20="",#N/A,SUM(FZ$4:FZ20))</f>
        <v>0</v>
      </c>
      <c r="GB20" s="205">
        <f>IF($J20="",#N/A,SUM(FZ$4:FZ20,FX$4:FX20,FV$4:FV20))</f>
        <v>0</v>
      </c>
      <c r="GC20" s="200" t="str">
        <f t="shared" si="81"/>
        <v/>
      </c>
      <c r="GD20" s="203">
        <f>IF($J20="",#N/A,SUM(GC$4:GC20))</f>
        <v>0</v>
      </c>
      <c r="GE20" s="204" t="str">
        <f t="shared" si="82"/>
        <v/>
      </c>
      <c r="GF20" s="204">
        <f>IF($J20="",#N/A,SUM(GE$4:GE20))</f>
        <v>0</v>
      </c>
      <c r="GG20" s="205" t="str">
        <f t="shared" si="83"/>
        <v/>
      </c>
      <c r="GH20" s="205">
        <f>IF($J20="",#N/A,SUM(GG$4:GG20))</f>
        <v>0</v>
      </c>
      <c r="GI20" s="205">
        <f>IF($J20="",#N/A,SUM(GG$4:GG20,GE$4:GE20,GC$4:GC20))</f>
        <v>0</v>
      </c>
      <c r="GJ20" s="200" t="str">
        <f t="shared" si="84"/>
        <v/>
      </c>
      <c r="GK20" s="203">
        <f>IF($J20="",#N/A,SUM(GJ$4:GJ20))</f>
        <v>0</v>
      </c>
      <c r="GL20" s="204" t="str">
        <f t="shared" si="85"/>
        <v/>
      </c>
      <c r="GM20" s="204">
        <f>IF($J20="",#N/A,SUM(GL$4:GL20))</f>
        <v>0</v>
      </c>
      <c r="GN20" s="205" t="str">
        <f t="shared" si="86"/>
        <v/>
      </c>
      <c r="GO20" s="205">
        <f>IF($J20="",#N/A,SUM(GN$4:GN20))</f>
        <v>0</v>
      </c>
      <c r="GP20" s="205">
        <f>IF($J20="",#N/A,SUM(GN$4:GN20,GL$4:GL20,GJ$4:GJ20))</f>
        <v>0</v>
      </c>
      <c r="GS20" s="54">
        <f t="shared" si="105"/>
        <v>0.36227168206863897</v>
      </c>
      <c r="GT20" s="54">
        <f>IF(GS20="",NA(),SUM($GS$4:GS20))</f>
        <v>1.8989945133694157</v>
      </c>
      <c r="GU20" s="54" t="str">
        <f t="shared" si="87"/>
        <v/>
      </c>
      <c r="GV20" s="54" t="e">
        <f>IF(GU20="",NA(),SUM($GU$4:GU20))</f>
        <v>#N/A</v>
      </c>
      <c r="GW20" s="54" t="str">
        <f t="shared" si="88"/>
        <v/>
      </c>
      <c r="GX20" s="54" t="e">
        <f>IF(GW20="",NA(),SUM($GW$4:GW20))</f>
        <v>#N/A</v>
      </c>
      <c r="GY20" s="54">
        <f t="shared" si="89"/>
        <v>0.36227168206863897</v>
      </c>
      <c r="GZ20" s="54">
        <f>IF(GY20="",NA(),SUM($GY$4:GY20))</f>
        <v>1.8415029194115362</v>
      </c>
      <c r="HA20" s="54" t="str">
        <f t="shared" si="90"/>
        <v/>
      </c>
      <c r="HB20" s="54" t="e">
        <f>IF(HA20="",NA(),SUM($HA$4:HA20))</f>
        <v>#N/A</v>
      </c>
      <c r="HC20" s="54" t="str">
        <f t="shared" si="91"/>
        <v/>
      </c>
      <c r="HD20" s="54" t="e">
        <f>IF(HC20="",NA(),SUM($HC$4:HC20))</f>
        <v>#N/A</v>
      </c>
      <c r="HE20" s="54" t="str">
        <f t="shared" si="92"/>
        <v/>
      </c>
      <c r="HF20" s="54" t="e">
        <f>IF(HE20="",NA(),SUM($HE$4:HE20))</f>
        <v>#N/A</v>
      </c>
      <c r="HG20" s="54" t="str">
        <f t="shared" si="93"/>
        <v/>
      </c>
      <c r="HH20" s="54" t="e">
        <f>IF(HG20="",NA(),SUM($HG$4:HG20))</f>
        <v>#N/A</v>
      </c>
      <c r="HI20" s="172">
        <f t="shared" si="106"/>
        <v>0.85036227168206802</v>
      </c>
      <c r="HJ20" s="172">
        <f>IF($J20="",#N/A,SUM(HI$4:$HI20))</f>
        <v>-1.5106756699560742E-2</v>
      </c>
      <c r="HK20" s="54" t="str">
        <f t="shared" si="94"/>
        <v/>
      </c>
      <c r="HL20" s="54">
        <f>IF($J20="",#N/A,SUM($HK$4:HK20))</f>
        <v>-3.4652545522110731</v>
      </c>
      <c r="HM20" s="54" t="str">
        <f t="shared" si="95"/>
        <v/>
      </c>
      <c r="HN20" s="54">
        <f>IF($J20="",#N/A,SUM($HM$4:HM20))</f>
        <v>0</v>
      </c>
      <c r="HO20" s="54" t="str">
        <f t="shared" si="96"/>
        <v/>
      </c>
      <c r="HP20" s="54">
        <f>IF($J20="",#N/A,SUM($HO$4:HO20))</f>
        <v>0</v>
      </c>
      <c r="HQ20" s="54" t="str">
        <f t="shared" si="97"/>
        <v/>
      </c>
      <c r="HR20" s="54">
        <f>IF($J20="",#N/A,SUM($HQ$4:HQ20))</f>
        <v>-0.96220265944219874</v>
      </c>
      <c r="HS20" s="54" t="str">
        <f t="shared" si="98"/>
        <v/>
      </c>
      <c r="HT20" s="54">
        <f>IF($J20="",#N/A,SUM($HS$4:HS20))</f>
        <v>4.4712150775590054</v>
      </c>
      <c r="HU20" s="65">
        <f t="shared" si="99"/>
        <v>1.2126339537507069</v>
      </c>
      <c r="HV20" s="65">
        <f>IF($J20="",#N/A,SUM(HU$4:$HU20))</f>
        <v>1.9276456225755878</v>
      </c>
    </row>
    <row r="21" spans="1:230" x14ac:dyDescent="0.25">
      <c r="A21" s="59" t="s">
        <v>1365</v>
      </c>
      <c r="B21" s="289" t="s">
        <v>4481</v>
      </c>
      <c r="C21" s="230">
        <f t="shared" si="0"/>
        <v>2</v>
      </c>
      <c r="D21" s="220" t="str">
        <f>_xlfn.XLOOKUP(A21,[1]SP500!$A$2:$A$502,[1]SP500!$D$2:$D$502,"N")</f>
        <v>Y</v>
      </c>
      <c r="E21" s="59" t="str">
        <f>IFERROR(_xlfn.XLOOKUP(A21,[1]SP500!$A$2:$A$655,[1]SP500!$B$2:$B$655),"")</f>
        <v>XLF</v>
      </c>
      <c r="F21" s="290">
        <v>45763</v>
      </c>
      <c r="G21" s="59" t="str">
        <f t="shared" si="1"/>
        <v>BMO</v>
      </c>
      <c r="H21" s="59" t="str">
        <f t="shared" si="2"/>
        <v>s</v>
      </c>
      <c r="I21" s="342">
        <v>38.630000000000003</v>
      </c>
      <c r="J21" s="125">
        <v>38.22</v>
      </c>
      <c r="K21" s="60">
        <f t="shared" si="3"/>
        <v>-1.0613512813875322E-2</v>
      </c>
      <c r="L21" s="68">
        <f t="shared" si="4"/>
        <v>12.300000000000182</v>
      </c>
      <c r="M21" s="62">
        <f t="shared" si="5"/>
        <v>0</v>
      </c>
      <c r="N21" s="148">
        <f t="shared" si="6"/>
        <v>12.300000000000182</v>
      </c>
      <c r="O21" s="287">
        <f>IF(N21="",#N/A,SUM($N$4:N21))</f>
        <v>152.03628046850326</v>
      </c>
      <c r="P21" s="64">
        <f t="shared" si="100"/>
        <v>0.17689188023125638</v>
      </c>
      <c r="Q21" s="183">
        <f>IF($N21="",#N/A,SUM($P$4:P21))</f>
        <v>2.0758863936006722</v>
      </c>
      <c r="R21" s="279">
        <f t="shared" si="7"/>
        <v>-0.40357974219846637</v>
      </c>
      <c r="S21" s="59" t="str">
        <f t="shared" si="8"/>
        <v>Dwn</v>
      </c>
      <c r="T21" s="59" t="s">
        <v>4462</v>
      </c>
      <c r="U21" s="61">
        <f t="shared" si="9"/>
        <v>38.630000000000003</v>
      </c>
      <c r="V21" s="61" t="s">
        <v>4458</v>
      </c>
      <c r="W21" s="142">
        <v>30</v>
      </c>
      <c r="X21" s="146">
        <f t="shared" si="10"/>
        <v>1158.9000000000001</v>
      </c>
      <c r="Y21" s="142">
        <f t="shared" si="11"/>
        <v>30</v>
      </c>
      <c r="Z21" s="278">
        <v>38.22</v>
      </c>
      <c r="AA21" s="63">
        <f t="shared" si="12"/>
        <v>12.300000000000182</v>
      </c>
      <c r="AB21" s="63">
        <f t="shared" si="13"/>
        <v>24.300000000000182</v>
      </c>
      <c r="AC21" s="125">
        <v>37.82</v>
      </c>
      <c r="AD21" s="148">
        <f t="shared" si="14"/>
        <v>24.300000000000182</v>
      </c>
      <c r="AE21" s="544">
        <f t="shared" si="15"/>
        <v>0.34946932435930883</v>
      </c>
      <c r="AF21" s="62">
        <f>IF($AC21="",#N/A,SUM(AD$4:AD21))</f>
        <v>165.93162709718342</v>
      </c>
      <c r="AG21" s="63">
        <f t="shared" si="16"/>
        <v>12</v>
      </c>
      <c r="AH21" s="56" t="s">
        <v>2507</v>
      </c>
      <c r="AI21" s="64">
        <f t="shared" si="17"/>
        <v>0.17689188023125638</v>
      </c>
      <c r="AJ21" s="177">
        <f>IF(AI21="",#N/A,SUM($AI$4:AI21))</f>
        <v>2.4794661357991385</v>
      </c>
      <c r="AK21" s="62">
        <f t="shared" si="18"/>
        <v>12.300000000000182</v>
      </c>
      <c r="AL21" s="288">
        <f>IF(AI21="",#N/A,IF(AH21="Skip",SUM($AK$4:AK21),SUM($AK$4:AK21)))</f>
        <v>178.38500000000045</v>
      </c>
      <c r="AM21" s="65">
        <f t="shared" si="101"/>
        <v>0.34946932435930883</v>
      </c>
      <c r="AN21" s="209"/>
      <c r="AO21" s="64" t="str">
        <f t="shared" si="19"/>
        <v/>
      </c>
      <c r="AP21" s="64">
        <f>IF($AC21="",#N/A,SUM(AO$4:AO21))</f>
        <v>3.5665040120746858</v>
      </c>
      <c r="AQ21" s="64" t="str">
        <f t="shared" si="20"/>
        <v/>
      </c>
      <c r="AR21" s="64">
        <f>IF($AC21="",#N/A,SUM(AQ$4:AQ21))</f>
        <v>0</v>
      </c>
      <c r="AS21" s="64">
        <f t="shared" si="21"/>
        <v>0.34946932435930883</v>
      </c>
      <c r="AT21" s="64">
        <f>IF($AC21="",#N/A,SUM(AS$4:AS21))</f>
        <v>-1.2893890651397892</v>
      </c>
      <c r="AU21" s="62" t="str">
        <f t="shared" si="102"/>
        <v/>
      </c>
      <c r="AV21" s="62">
        <f>IF($AC21="",#N/A,SUM(AU$4:AU21))</f>
        <v>231.54000000000008</v>
      </c>
      <c r="AW21" s="62" t="str">
        <f t="shared" si="103"/>
        <v/>
      </c>
      <c r="AX21" s="62">
        <f>IF($AC21="",#N/A,SUM(AW$4:AW21))</f>
        <v>0</v>
      </c>
      <c r="AY21" s="61">
        <f t="shared" si="104"/>
        <v>24.300000000000182</v>
      </c>
      <c r="AZ21" s="62">
        <f>IF($AC21="",#N/A,SUM(AY$4:AY21))</f>
        <v>-65.608372902816654</v>
      </c>
      <c r="BA21" s="62">
        <f>IF(AD21="",#N/A,SUM($AD$4:AD21))</f>
        <v>165.93162709718342</v>
      </c>
      <c r="BC21" s="59" t="str">
        <f t="shared" si="22"/>
        <v/>
      </c>
      <c r="BD21" s="59" t="str">
        <f t="shared" si="23"/>
        <v/>
      </c>
      <c r="BE21" s="59" t="str">
        <f t="shared" si="24"/>
        <v/>
      </c>
      <c r="BF21" s="59" t="str">
        <f t="shared" si="25"/>
        <v>Short</v>
      </c>
      <c r="BG21" s="59">
        <f t="shared" si="26"/>
        <v>1</v>
      </c>
      <c r="BH21" s="59" t="str">
        <f t="shared" si="27"/>
        <v/>
      </c>
      <c r="BI21" s="59" t="str">
        <f t="shared" si="28"/>
        <v/>
      </c>
      <c r="BK21" s="184"/>
      <c r="BL21" s="184"/>
      <c r="BM21" s="73"/>
      <c r="BO21" s="489" t="e">
        <f>IF(J21="",#N/A,IF(S21="SW",(COUNTIFS(K$4:$K21,"&gt;0",S$4:$S21,"SW")/COUNTIF(S$4:$S21,"SW")),#N/A))</f>
        <v>#N/A</v>
      </c>
      <c r="BP21" s="489">
        <f>IF($J21="",#N/A,IF($S21="DWN",(COUNTIFS($K$4:$K21,"&lt;0",$S$4:$S21,"DWN")/COUNTIF($S$4:$S21,"DWN")),#N/A))</f>
        <v>0.8571428571428571</v>
      </c>
      <c r="BQ21" s="489" t="e">
        <f>IF($J21="",#N/A,IF($S21="UP",(COUNTIFS($K$4:$K21,"&gt;0",$S$4:$S21,"UP")/COUNTIF($S$4:$S21,"UP")),#N/A))</f>
        <v>#N/A</v>
      </c>
      <c r="BR21" s="489">
        <f>IF(J21="",#N/A,COUNTIF($K$4:K21,"&gt;0")/COUNT($J$4:J21))</f>
        <v>0.33333333333333331</v>
      </c>
      <c r="BS21" s="65" t="str">
        <f t="shared" si="29"/>
        <v/>
      </c>
      <c r="BT21" s="65" t="str">
        <f t="shared" si="30"/>
        <v/>
      </c>
      <c r="BU21" s="65">
        <f t="shared" si="31"/>
        <v>0.17689188023125638</v>
      </c>
      <c r="BV21" s="65" t="str">
        <f t="shared" si="32"/>
        <v/>
      </c>
      <c r="BW21" s="151" t="str">
        <f t="shared" si="33"/>
        <v/>
      </c>
      <c r="BX21" s="151">
        <f>IF($J21="",#N/A,SUM($BW$4:BW21))</f>
        <v>0</v>
      </c>
      <c r="BY21" s="152">
        <f t="shared" si="34"/>
        <v>12.300000000000182</v>
      </c>
      <c r="BZ21" s="152">
        <f>IF($J21="",#N/A,SUM($BY$4:BY21))</f>
        <v>141.64628046850362</v>
      </c>
      <c r="CA21" s="153" t="str">
        <f t="shared" si="35"/>
        <v/>
      </c>
      <c r="CB21" s="154">
        <f>IF($J21="",#N/A,SUM($CA$4:CA21))</f>
        <v>10.389999999999645</v>
      </c>
      <c r="CC21" s="191" t="str">
        <f t="shared" si="36"/>
        <v/>
      </c>
      <c r="CD21" s="191">
        <f>IF($J21="",#N/A,SUM($CC$4:CC21))</f>
        <v>0</v>
      </c>
      <c r="CE21" s="192">
        <f t="shared" si="37"/>
        <v>0.17689188023125638</v>
      </c>
      <c r="CF21" s="192">
        <f>IF($J21="",#N/A,SUM($CE$4:CE21))</f>
        <v>2.0183947996427927</v>
      </c>
      <c r="CG21" s="193" t="str">
        <f t="shared" si="38"/>
        <v/>
      </c>
      <c r="CH21" s="193">
        <f>IF($J21="",#N/A,SUM($CG$4:CG21))</f>
        <v>5.7491593957879394E-2</v>
      </c>
      <c r="CI21" s="200" t="str">
        <f t="shared" si="39"/>
        <v/>
      </c>
      <c r="CJ21" s="200">
        <f>IF($J21="",#N/A,SUM(CI$4:CI21))</f>
        <v>0</v>
      </c>
      <c r="CK21" s="201" t="str">
        <f t="shared" si="40"/>
        <v/>
      </c>
      <c r="CL21" s="201">
        <f>IF($J21="",#N/A,SUM(CK$4:CK21))</f>
        <v>0</v>
      </c>
      <c r="CM21" s="202" t="str">
        <f t="shared" si="41"/>
        <v/>
      </c>
      <c r="CN21" s="202">
        <f>IF($J21="",#N/A,SUM(CM$4:CM21))</f>
        <v>0</v>
      </c>
      <c r="CO21" s="202">
        <f>IF($J21="",#N/A,SUM(CM$4:CM21,CK$4:CK21,CI$4:CI21))</f>
        <v>0</v>
      </c>
      <c r="CP21" s="200" t="str">
        <f t="shared" si="42"/>
        <v/>
      </c>
      <c r="CQ21" s="200">
        <f>IF($J21="",#N/A,SUM(CP$4:CP21))</f>
        <v>0</v>
      </c>
      <c r="CR21" s="201" t="str">
        <f t="shared" si="43"/>
        <v/>
      </c>
      <c r="CS21" s="201">
        <f>IF($J21="",#N/A,SUM(CR$4:CR21))</f>
        <v>0</v>
      </c>
      <c r="CT21" s="202" t="str">
        <f t="shared" si="44"/>
        <v/>
      </c>
      <c r="CU21" s="202">
        <f>IF($J21="",#N/A,SUM(CT$4:CT21))</f>
        <v>0</v>
      </c>
      <c r="CV21" s="202">
        <f>IF($J21="",#N/A,SUM(CT$4:CT21,CR$4:CR21,CP$4:CP21))</f>
        <v>0</v>
      </c>
      <c r="CW21" s="200" t="str">
        <f t="shared" si="45"/>
        <v/>
      </c>
      <c r="CX21" s="200">
        <f>IF($J21="",#N/A,SUM(CW$4:CW21))</f>
        <v>0</v>
      </c>
      <c r="CY21" s="201" t="str">
        <f t="shared" si="46"/>
        <v/>
      </c>
      <c r="CZ21" s="201">
        <f>IF($J21="",#N/A,SUM(CY$4:CY21))</f>
        <v>0</v>
      </c>
      <c r="DA21" s="202" t="str">
        <f t="shared" si="47"/>
        <v/>
      </c>
      <c r="DB21" s="202">
        <f>IF($J21="",#N/A,SUM(DA$4:DA21))</f>
        <v>0</v>
      </c>
      <c r="DC21" s="202">
        <f>IF($J21="",#N/A,SUM(DA$4:DA21,CY$4:CY21,CW$4:CW21))</f>
        <v>0</v>
      </c>
      <c r="DD21" s="200" t="str">
        <f t="shared" si="48"/>
        <v/>
      </c>
      <c r="DE21" s="200">
        <f>IF($J21="",#N/A,SUM(DD$4:DD21))</f>
        <v>0</v>
      </c>
      <c r="DF21" s="201" t="str">
        <f t="shared" si="49"/>
        <v/>
      </c>
      <c r="DG21" s="201">
        <f>IF($J21="",#N/A,SUM(DF$4:DF21))</f>
        <v>0.6788440567066546</v>
      </c>
      <c r="DH21" s="202" t="str">
        <f t="shared" si="50"/>
        <v/>
      </c>
      <c r="DI21" s="202">
        <f>IF($J21="",#N/A,SUM(DH$4:DH21))</f>
        <v>0</v>
      </c>
      <c r="DJ21" s="202">
        <f>IF($J21="",#N/A,SUM(DH$4:DH21,DF$4:DF21,DD$4:DD21))</f>
        <v>0.6788440567066546</v>
      </c>
      <c r="DK21" s="200" t="str">
        <f t="shared" si="51"/>
        <v/>
      </c>
      <c r="DL21" s="200">
        <f>IF($J21="",#N/A,SUM(DK$4:DK21))</f>
        <v>0</v>
      </c>
      <c r="DM21" s="201" t="str">
        <f t="shared" si="52"/>
        <v/>
      </c>
      <c r="DN21" s="201">
        <f>IF($J21="",#N/A,SUM(DM$4:DM21))</f>
        <v>0.36227168206863897</v>
      </c>
      <c r="DO21" s="202" t="str">
        <f t="shared" si="53"/>
        <v/>
      </c>
      <c r="DP21" s="202">
        <f>IF($J21="",#N/A,SUM(DO$4:DO21))</f>
        <v>0</v>
      </c>
      <c r="DQ21" s="202">
        <f>IF($J21="",#N/A,SUM(DO$4:DO21,DM$4:DM21,DK$4:DK21))</f>
        <v>0.36227168206863897</v>
      </c>
      <c r="DR21" s="200" t="str">
        <f t="shared" si="54"/>
        <v/>
      </c>
      <c r="DS21" s="200">
        <f>IF($J21="",#N/A,SUM(DR$4:DR21))</f>
        <v>0</v>
      </c>
      <c r="DT21" s="201">
        <f t="shared" si="55"/>
        <v>0.17689188023125638</v>
      </c>
      <c r="DU21" s="201">
        <f>IF($J21="",#N/A,SUM(DT$4:DT21))</f>
        <v>0.57866260122346558</v>
      </c>
      <c r="DV21" s="202" t="str">
        <f t="shared" si="56"/>
        <v/>
      </c>
      <c r="DW21" s="202">
        <f>IF($J21="",#N/A,SUM(DV$4:DV21))</f>
        <v>-0.61511905632416297</v>
      </c>
      <c r="DX21" s="202">
        <f>IF($J21="",#N/A,SUM(DV$4:DV21,DT$4:DT21,DR$4:DR21))</f>
        <v>-3.6456455100697366E-2</v>
      </c>
      <c r="DY21" s="200" t="str">
        <f t="shared" si="57"/>
        <v/>
      </c>
      <c r="DZ21" s="200">
        <f>IF($J21="",#N/A,SUM(DY$4:DY21))</f>
        <v>0</v>
      </c>
      <c r="EA21" s="201" t="str">
        <f t="shared" si="58"/>
        <v/>
      </c>
      <c r="EB21" s="201">
        <f>IF($J21="",#N/A,SUM(EA$4:EA21))</f>
        <v>0.39861645964403336</v>
      </c>
      <c r="EC21" s="202" t="str">
        <f t="shared" si="59"/>
        <v/>
      </c>
      <c r="ED21" s="202">
        <f>IF($J21="",#N/A,SUM(EC$4:EC21))</f>
        <v>0.52792722625163879</v>
      </c>
      <c r="EE21" s="202">
        <f>IF($J21="",#N/A,SUM(EC$4:EC21,EA$4:EA21,DY$4:DY21))</f>
        <v>0.92654368589567215</v>
      </c>
      <c r="EF21" s="200" t="str">
        <f t="shared" si="60"/>
        <v/>
      </c>
      <c r="EG21" s="200">
        <f>IF($J21="",#N/A,SUM(EF$4:EF21))</f>
        <v>0</v>
      </c>
      <c r="EH21" s="201" t="str">
        <f t="shared" si="61"/>
        <v/>
      </c>
      <c r="EI21" s="201">
        <f>IF($J21="",#N/A,SUM(EH$4:EH21))</f>
        <v>0</v>
      </c>
      <c r="EJ21" s="202" t="str">
        <f t="shared" si="62"/>
        <v/>
      </c>
      <c r="EK21" s="202">
        <f>IF($J21="",#N/A,SUM(EJ$4:EJ21))</f>
        <v>0.1446834240304033</v>
      </c>
      <c r="EL21" s="202">
        <f>IF($J21="",#N/A,SUM(EJ$4:EJ21,EH$4:EH21,EF$4:EF21))</f>
        <v>0.1446834240304033</v>
      </c>
      <c r="EM21" s="200" t="str">
        <f t="shared" si="63"/>
        <v/>
      </c>
      <c r="EN21" s="200">
        <f>IF($J21="",#N/A,SUM(EM$4:EM21))</f>
        <v>0</v>
      </c>
      <c r="EO21" s="201" t="str">
        <f t="shared" si="64"/>
        <v/>
      </c>
      <c r="EP21" s="201">
        <f>IF($J21="",#N/A,SUM(EO$4:EO21))</f>
        <v>0</v>
      </c>
      <c r="EQ21" s="202" t="str">
        <f t="shared" si="65"/>
        <v/>
      </c>
      <c r="ER21" s="202">
        <f>IF($J21="",#N/A,SUM(EQ$4:EQ21))</f>
        <v>0</v>
      </c>
      <c r="ES21" s="202">
        <f>IF($J21="",#N/A,SUM(EQ$4:EQ21,EO$4:EO21,EM$4:EM21))</f>
        <v>0</v>
      </c>
      <c r="ET21" s="200" t="str">
        <f t="shared" si="66"/>
        <v/>
      </c>
      <c r="EU21" s="200">
        <f>IF($J21="",#N/A,SUM(ET$4:ET21))</f>
        <v>0</v>
      </c>
      <c r="EV21" s="201" t="str">
        <f t="shared" si="67"/>
        <v/>
      </c>
      <c r="EW21" s="201">
        <f>IF($J21="",#N/A,SUM(EV$4:EV21))</f>
        <v>0</v>
      </c>
      <c r="EX21" s="202" t="str">
        <f t="shared" si="68"/>
        <v/>
      </c>
      <c r="EY21" s="202">
        <f>IF($J21="",#N/A,SUM(EX$4:EX21))</f>
        <v>0</v>
      </c>
      <c r="EZ21" s="202">
        <f>IF($J21="",#N/A,SUM(EX$4:EX21,EV$4:EV21,ET$4:ET21))</f>
        <v>0</v>
      </c>
      <c r="FA21" s="200" t="str">
        <f t="shared" si="69"/>
        <v/>
      </c>
      <c r="FB21" s="200">
        <f>IF($J21="",#N/A,SUM(FA$4:FA21))</f>
        <v>0</v>
      </c>
      <c r="FC21" s="201" t="str">
        <f t="shared" si="70"/>
        <v/>
      </c>
      <c r="FD21" s="201">
        <f>IF($J21="",#N/A,SUM(FC$4:FC21))</f>
        <v>0</v>
      </c>
      <c r="FE21" s="202" t="str">
        <f t="shared" si="71"/>
        <v/>
      </c>
      <c r="FF21" s="202">
        <f>IF($J21="",#N/A,SUM(FE$4:FE21))</f>
        <v>0</v>
      </c>
      <c r="FG21" s="202">
        <f>IF($J21="",#N/A,SUM(FE$4:FE21,FC$4:FC21,FA$4:FA21))</f>
        <v>0</v>
      </c>
      <c r="FH21" s="200" t="str">
        <f t="shared" si="72"/>
        <v/>
      </c>
      <c r="FI21" s="200">
        <f>IF($J21="",#N/A,SUM(FH$4:FH21))</f>
        <v>0</v>
      </c>
      <c r="FJ21" s="201" t="str">
        <f t="shared" si="73"/>
        <v/>
      </c>
      <c r="FK21" s="201">
        <f>IF($J21="",#N/A,SUM(FJ$4:FJ21))</f>
        <v>0</v>
      </c>
      <c r="FL21" s="202" t="str">
        <f t="shared" si="74"/>
        <v/>
      </c>
      <c r="FM21" s="202">
        <f>IF($J21="",#N/A,SUM(FL$4:FL21))</f>
        <v>0</v>
      </c>
      <c r="FN21" s="202">
        <f>IF($J21="",#N/A,SUM(FL$4:FL21,FJ$4:FJ21,FH$4:FH21))</f>
        <v>0</v>
      </c>
      <c r="FO21" s="200" t="str">
        <f t="shared" si="75"/>
        <v/>
      </c>
      <c r="FP21" s="200">
        <f>IF($J21="",#N/A,SUM(FO$4:FO21))</f>
        <v>0</v>
      </c>
      <c r="FQ21" s="201" t="str">
        <f t="shared" si="76"/>
        <v/>
      </c>
      <c r="FR21" s="201">
        <f>IF($J21="",#N/A,SUM(FQ$4:FQ21))</f>
        <v>0</v>
      </c>
      <c r="FS21" s="202" t="str">
        <f t="shared" si="77"/>
        <v/>
      </c>
      <c r="FT21" s="202">
        <f>IF($J21="",#N/A,SUM(FS$4:FS21))</f>
        <v>0</v>
      </c>
      <c r="FU21" s="202">
        <f>IF($J21="",#N/A,SUM(FS$4:FS21,FQ$4:FQ21,FO$4:FO21))</f>
        <v>0</v>
      </c>
      <c r="FV21" s="200" t="str">
        <f t="shared" si="78"/>
        <v/>
      </c>
      <c r="FW21" s="200">
        <f>IF($J21="",#N/A,SUM(FV$4:FV21))</f>
        <v>0</v>
      </c>
      <c r="FX21" s="201" t="str">
        <f t="shared" si="79"/>
        <v/>
      </c>
      <c r="FY21" s="201">
        <f>IF($J21="",#N/A,SUM(FX$4:FX21))</f>
        <v>0</v>
      </c>
      <c r="FZ21" s="202" t="str">
        <f t="shared" si="80"/>
        <v/>
      </c>
      <c r="GA21" s="202">
        <f>IF($J21="",#N/A,SUM(FZ$4:FZ21))</f>
        <v>0</v>
      </c>
      <c r="GB21" s="202">
        <f>IF($J21="",#N/A,SUM(FZ$4:FZ21,FX$4:FX21,FV$4:FV21))</f>
        <v>0</v>
      </c>
      <c r="GC21" s="200" t="str">
        <f t="shared" si="81"/>
        <v/>
      </c>
      <c r="GD21" s="200">
        <f>IF($J21="",#N/A,SUM(GC$4:GC21))</f>
        <v>0</v>
      </c>
      <c r="GE21" s="201" t="str">
        <f t="shared" si="82"/>
        <v/>
      </c>
      <c r="GF21" s="201">
        <f>IF($J21="",#N/A,SUM(GE$4:GE21))</f>
        <v>0</v>
      </c>
      <c r="GG21" s="202" t="str">
        <f t="shared" si="83"/>
        <v/>
      </c>
      <c r="GH21" s="202">
        <f>IF($J21="",#N/A,SUM(GG$4:GG21))</f>
        <v>0</v>
      </c>
      <c r="GI21" s="202">
        <f>IF($J21="",#N/A,SUM(GG$4:GG21,GE$4:GE21,GC$4:GC21))</f>
        <v>0</v>
      </c>
      <c r="GJ21" s="200" t="str">
        <f t="shared" si="84"/>
        <v/>
      </c>
      <c r="GK21" s="200">
        <f>IF($J21="",#N/A,SUM(GJ$4:GJ21))</f>
        <v>0</v>
      </c>
      <c r="GL21" s="201" t="str">
        <f t="shared" si="85"/>
        <v/>
      </c>
      <c r="GM21" s="201">
        <f>IF($J21="",#N/A,SUM(GL$4:GL21))</f>
        <v>0</v>
      </c>
      <c r="GN21" s="202" t="str">
        <f t="shared" si="86"/>
        <v/>
      </c>
      <c r="GO21" s="202">
        <f>IF($J21="",#N/A,SUM(GN$4:GN21))</f>
        <v>0</v>
      </c>
      <c r="GP21" s="202">
        <f>IF($J21="",#N/A,SUM(GN$4:GN21,GL$4:GL21,GJ$4:GJ21))</f>
        <v>0</v>
      </c>
      <c r="GS21" s="177">
        <f t="shared" si="105"/>
        <v>0.17689188023125638</v>
      </c>
      <c r="GT21" s="177">
        <f>IF(GS21="",NA(),SUM($GS$4:GS21))</f>
        <v>2.0758863936006722</v>
      </c>
      <c r="GU21" s="177" t="str">
        <f t="shared" si="87"/>
        <v/>
      </c>
      <c r="GV21" s="177" t="e">
        <f>IF(GU21="",NA(),SUM($GU$4:GU21))</f>
        <v>#N/A</v>
      </c>
      <c r="GW21" s="177" t="str">
        <f t="shared" si="88"/>
        <v/>
      </c>
      <c r="GX21" s="177" t="e">
        <f>IF(GW21="",NA(),SUM($GW$4:GW21))</f>
        <v>#N/A</v>
      </c>
      <c r="GY21" s="177">
        <f t="shared" si="89"/>
        <v>0.17689188023125638</v>
      </c>
      <c r="GZ21" s="177">
        <f>IF(GY21="",NA(),SUM($GY$4:GY21))</f>
        <v>2.0183947996427927</v>
      </c>
      <c r="HA21" s="177" t="str">
        <f t="shared" si="90"/>
        <v/>
      </c>
      <c r="HB21" s="177" t="e">
        <f>IF(HA21="",NA(),SUM($HA$4:HA21))</f>
        <v>#N/A</v>
      </c>
      <c r="HC21" s="177" t="str">
        <f t="shared" si="91"/>
        <v/>
      </c>
      <c r="HD21" s="177" t="e">
        <f>IF(HC21="",NA(),SUM($HC$4:HC21))</f>
        <v>#N/A</v>
      </c>
      <c r="HE21" s="177" t="str">
        <f t="shared" si="92"/>
        <v/>
      </c>
      <c r="HF21" s="177" t="e">
        <f>IF(HE21="",NA(),SUM($HE$4:HE21))</f>
        <v>#N/A</v>
      </c>
      <c r="HG21" s="177" t="str">
        <f t="shared" si="93"/>
        <v/>
      </c>
      <c r="HH21" s="177" t="e">
        <f>IF(HG21="",NA(),SUM($HG$4:HG21))</f>
        <v>#N/A</v>
      </c>
      <c r="HI21" s="183">
        <f t="shared" si="106"/>
        <v>0.17257744412805245</v>
      </c>
      <c r="HJ21" s="291">
        <f>IF($J21="",#N/A,SUM(HI$4:$HI21))</f>
        <v>0.15747068742849171</v>
      </c>
      <c r="HK21" s="177" t="str">
        <f t="shared" si="94"/>
        <v/>
      </c>
      <c r="HL21" s="177">
        <f>IF($J21="",#N/A,SUM($HK$4:HK21))</f>
        <v>-3.4652545522110731</v>
      </c>
      <c r="HM21" s="177" t="str">
        <f t="shared" si="95"/>
        <v/>
      </c>
      <c r="HN21" s="177">
        <f>IF($J21="",#N/A,SUM($HM$4:HM21))</f>
        <v>0</v>
      </c>
      <c r="HO21" s="177" t="str">
        <f t="shared" si="96"/>
        <v/>
      </c>
      <c r="HP21" s="177">
        <f>IF($J21="",#N/A,SUM($HO$4:HO21))</f>
        <v>0</v>
      </c>
      <c r="HQ21" s="177" t="str">
        <f t="shared" si="97"/>
        <v/>
      </c>
      <c r="HR21" s="177">
        <f>IF($J21="",#N/A,SUM($HQ$4:HQ21))</f>
        <v>-0.96220265944219874</v>
      </c>
      <c r="HS21" s="177" t="str">
        <f t="shared" si="98"/>
        <v/>
      </c>
      <c r="HT21" s="177">
        <f>IF($J21="",#N/A,SUM($HS$4:HS21))</f>
        <v>4.4712150775590054</v>
      </c>
      <c r="HU21" s="64">
        <f t="shared" si="99"/>
        <v>0.34946932435930883</v>
      </c>
      <c r="HV21" s="64">
        <f>IF($J21="",#N/A,SUM(HU$4:$HU21))</f>
        <v>2.2771149469348968</v>
      </c>
    </row>
    <row r="22" spans="1:230" x14ac:dyDescent="0.25">
      <c r="A22" s="51" t="s">
        <v>1520</v>
      </c>
      <c r="B22" s="52" t="s">
        <v>4481</v>
      </c>
      <c r="C22" s="229">
        <f t="shared" si="0"/>
        <v>3</v>
      </c>
      <c r="D22" s="219" t="str">
        <f>_xlfn.XLOOKUP(A22,[1]SP500!$A$2:$A$502,[1]SP500!$D$2:$D$502,"N")</f>
        <v>Y</v>
      </c>
      <c r="E22" s="51" t="str">
        <f>IFERROR(_xlfn.XLOOKUP(A22,[1]SP500!$A$2:$A$655,[1]SP500!$B$2:$B$655),"")</f>
        <v>XLF</v>
      </c>
      <c r="F22" s="53">
        <v>45763</v>
      </c>
      <c r="G22" s="51" t="str">
        <f t="shared" si="1"/>
        <v>BMO</v>
      </c>
      <c r="H22" s="51" t="str">
        <f t="shared" si="2"/>
        <v>s</v>
      </c>
      <c r="I22" s="343">
        <v>36.1</v>
      </c>
      <c r="J22" s="124">
        <v>35.979999999999997</v>
      </c>
      <c r="K22" s="55">
        <f t="shared" si="3"/>
        <v>-3.3240997229918158E-3</v>
      </c>
      <c r="L22" s="67">
        <f t="shared" si="4"/>
        <v>-3.6000000000001364</v>
      </c>
      <c r="M22" s="57">
        <f t="shared" si="5"/>
        <v>0</v>
      </c>
      <c r="N22" s="155">
        <f t="shared" si="6"/>
        <v>-3.6000000000001364</v>
      </c>
      <c r="O22" s="156">
        <f>IF(N22="",#N/A,SUM($N$4:N22))</f>
        <v>148.43628046850313</v>
      </c>
      <c r="P22" s="65">
        <f t="shared" si="100"/>
        <v>-5.540166204986359E-2</v>
      </c>
      <c r="Q22" s="172">
        <f>IF($N22="",#N/A,SUM($P$4:P22))</f>
        <v>2.0204847315508085</v>
      </c>
      <c r="R22" s="279">
        <f t="shared" si="7"/>
        <v>-0.40357974219846637</v>
      </c>
      <c r="S22" s="51" t="str">
        <f t="shared" si="8"/>
        <v>SW</v>
      </c>
      <c r="T22" s="51" t="s">
        <v>2828</v>
      </c>
      <c r="U22" s="56">
        <f t="shared" si="9"/>
        <v>36.1</v>
      </c>
      <c r="V22" s="56" t="s">
        <v>4460</v>
      </c>
      <c r="W22" s="142">
        <v>30</v>
      </c>
      <c r="X22" s="145">
        <f t="shared" si="10"/>
        <v>1083</v>
      </c>
      <c r="Y22" s="140">
        <f t="shared" si="11"/>
        <v>30</v>
      </c>
      <c r="Z22" s="123">
        <v>35.979999999999997</v>
      </c>
      <c r="AA22" s="102">
        <f t="shared" si="12"/>
        <v>-3.6000000000001364</v>
      </c>
      <c r="AB22" s="102">
        <f t="shared" si="13"/>
        <v>-19.200000000000045</v>
      </c>
      <c r="AC22" s="124">
        <v>35.46</v>
      </c>
      <c r="AD22" s="155">
        <f t="shared" si="14"/>
        <v>-19.200000000000045</v>
      </c>
      <c r="AE22" s="545">
        <f t="shared" si="15"/>
        <v>-0.29547553093259532</v>
      </c>
      <c r="AF22" s="57">
        <f>IF($AC22="",#N/A,SUM(AD$4:AD22))</f>
        <v>146.73162709718338</v>
      </c>
      <c r="AG22" s="102">
        <f t="shared" si="16"/>
        <v>-15.599999999999909</v>
      </c>
      <c r="AH22" s="56" t="s">
        <v>2507</v>
      </c>
      <c r="AI22" s="65">
        <f t="shared" si="17"/>
        <v>-5.540166204986359E-2</v>
      </c>
      <c r="AJ22" s="54">
        <f>IF(AI22="",#N/A,SUM($AI$4:AI22))</f>
        <v>2.4240644737492749</v>
      </c>
      <c r="AK22" s="57">
        <f t="shared" si="18"/>
        <v>-3.6000000000001364</v>
      </c>
      <c r="AL22" s="58">
        <f>IF(AI22="",#N/A,IF(AH22="Skip",SUM($AK$4:AK22),SUM($AK$4:AK22)))</f>
        <v>174.78500000000031</v>
      </c>
      <c r="AM22" s="65">
        <f t="shared" si="101"/>
        <v>-0.29547553093259532</v>
      </c>
      <c r="AN22" s="209"/>
      <c r="AO22" s="65">
        <f t="shared" si="19"/>
        <v>-0.29547553093259532</v>
      </c>
      <c r="AP22" s="65">
        <f>IF($AC22="",#N/A,SUM(AO$4:AO22))</f>
        <v>3.2710284811420904</v>
      </c>
      <c r="AQ22" s="65" t="str">
        <f t="shared" si="20"/>
        <v/>
      </c>
      <c r="AR22" s="65">
        <f>IF($AC22="",#N/A,SUM(AQ$4:AQ22))</f>
        <v>0</v>
      </c>
      <c r="AS22" s="65" t="str">
        <f t="shared" si="21"/>
        <v/>
      </c>
      <c r="AT22" s="65">
        <f>IF($AC22="",#N/A,SUM(AS$4:AS22))</f>
        <v>-1.2893890651397892</v>
      </c>
      <c r="AU22" s="57">
        <f t="shared" si="102"/>
        <v>-19.200000000000045</v>
      </c>
      <c r="AV22" s="57">
        <f>IF($AC22="",#N/A,SUM(AU$4:AU22))</f>
        <v>212.34000000000003</v>
      </c>
      <c r="AW22" s="57" t="str">
        <f t="shared" si="103"/>
        <v/>
      </c>
      <c r="AX22" s="57">
        <f>IF($AC22="",#N/A,SUM(AW$4:AW22))</f>
        <v>0</v>
      </c>
      <c r="AY22" s="56" t="str">
        <f t="shared" si="104"/>
        <v/>
      </c>
      <c r="AZ22" s="57">
        <f>IF($AC22="",#N/A,SUM(AY$4:AY22))</f>
        <v>-65.608372902816654</v>
      </c>
      <c r="BA22" s="57">
        <f>IF(AD22="",#N/A,SUM($AD$4:AD22))</f>
        <v>146.73162709718338</v>
      </c>
      <c r="BC22" s="51" t="str">
        <f t="shared" si="22"/>
        <v/>
      </c>
      <c r="BD22" s="51" t="str">
        <f t="shared" si="23"/>
        <v/>
      </c>
      <c r="BE22" s="51" t="str">
        <f t="shared" si="24"/>
        <v/>
      </c>
      <c r="BF22" s="51" t="str">
        <f t="shared" si="25"/>
        <v>Long</v>
      </c>
      <c r="BG22" s="51" t="str">
        <f t="shared" si="26"/>
        <v/>
      </c>
      <c r="BH22" s="51" t="str">
        <f t="shared" si="27"/>
        <v/>
      </c>
      <c r="BI22" s="51">
        <f t="shared" si="28"/>
        <v>1</v>
      </c>
      <c r="BK22" s="184"/>
      <c r="BL22" s="184"/>
      <c r="BM22" s="73"/>
      <c r="BO22" s="489">
        <f>IF(J22="",#N/A,IF(S22="SW",(COUNTIFS(K$4:$K22,"&gt;0",S$4:$S22,"SW")/COUNTIF(S$4:$S22,"SW")),#N/A))</f>
        <v>0.41666666666666669</v>
      </c>
      <c r="BP22" s="489" t="e">
        <f>IF($J22="",#N/A,IF($S22="DWN",(COUNTIFS($K$4:$K22,"&lt;0",$S$4:$S22,"DWN")/COUNTIF($S$4:$S22,"DWN")),#N/A))</f>
        <v>#N/A</v>
      </c>
      <c r="BQ22" s="489" t="e">
        <f>IF($J22="",#N/A,IF($S22="UP",(COUNTIFS($K$4:$K22,"&gt;0",$S$4:$S22,"UP")/COUNTIF($S$4:$S22,"UP")),#N/A))</f>
        <v>#N/A</v>
      </c>
      <c r="BR22" s="489">
        <f>IF(J22="",#N/A,COUNTIF($K$4:K22,"&gt;0")/COUNT($J$4:J22))</f>
        <v>0.31578947368421051</v>
      </c>
      <c r="BS22" s="65" t="str">
        <f t="shared" si="29"/>
        <v/>
      </c>
      <c r="BT22" s="65">
        <f t="shared" si="30"/>
        <v>-5.540166204986359E-2</v>
      </c>
      <c r="BU22" s="65" t="str">
        <f t="shared" si="31"/>
        <v/>
      </c>
      <c r="BV22" s="65" t="str">
        <f t="shared" si="32"/>
        <v/>
      </c>
      <c r="BW22" s="151" t="str">
        <f t="shared" si="33"/>
        <v/>
      </c>
      <c r="BX22" s="151">
        <f>IF($J22="",#N/A,SUM($BW$4:BW22))</f>
        <v>0</v>
      </c>
      <c r="BY22" s="152" t="str">
        <f t="shared" si="34"/>
        <v/>
      </c>
      <c r="BZ22" s="152">
        <f>IF($J22="",#N/A,SUM($BY$4:BY22))</f>
        <v>141.64628046850362</v>
      </c>
      <c r="CA22" s="153">
        <f t="shared" si="35"/>
        <v>-3.6000000000001364</v>
      </c>
      <c r="CB22" s="154">
        <f>IF($J22="",#N/A,SUM($CA$4:CA22))</f>
        <v>6.7899999999995089</v>
      </c>
      <c r="CC22" s="191" t="str">
        <f t="shared" si="36"/>
        <v/>
      </c>
      <c r="CD22" s="191">
        <f>IF($J22="",#N/A,SUM($CC$4:CC22))</f>
        <v>0</v>
      </c>
      <c r="CE22" s="192" t="str">
        <f t="shared" si="37"/>
        <v/>
      </c>
      <c r="CF22" s="192">
        <f>IF($J22="",#N/A,SUM($CE$4:CE22))</f>
        <v>2.0183947996427927</v>
      </c>
      <c r="CG22" s="193">
        <f t="shared" si="38"/>
        <v>-5.540166204986359E-2</v>
      </c>
      <c r="CH22" s="193">
        <f>IF($J22="",#N/A,SUM($CG$4:CG22))</f>
        <v>2.0899319080158046E-3</v>
      </c>
      <c r="CI22" s="200" t="str">
        <f t="shared" si="39"/>
        <v/>
      </c>
      <c r="CJ22" s="200">
        <f>IF($J22="",#N/A,SUM(CI$4:CI22))</f>
        <v>0</v>
      </c>
      <c r="CK22" s="201" t="str">
        <f t="shared" si="40"/>
        <v/>
      </c>
      <c r="CL22" s="201">
        <f>IF($J22="",#N/A,SUM(CK$4:CK22))</f>
        <v>0</v>
      </c>
      <c r="CM22" s="202" t="str">
        <f t="shared" si="41"/>
        <v/>
      </c>
      <c r="CN22" s="202">
        <f>IF($J22="",#N/A,SUM(CM$4:CM22))</f>
        <v>0</v>
      </c>
      <c r="CO22" s="202">
        <f>IF($J22="",#N/A,SUM(CM$4:CM22,CK$4:CK22,CI$4:CI22))</f>
        <v>0</v>
      </c>
      <c r="CP22" s="200" t="str">
        <f t="shared" si="42"/>
        <v/>
      </c>
      <c r="CQ22" s="200">
        <f>IF($J22="",#N/A,SUM(CP$4:CP22))</f>
        <v>0</v>
      </c>
      <c r="CR22" s="201" t="str">
        <f t="shared" si="43"/>
        <v/>
      </c>
      <c r="CS22" s="201">
        <f>IF($J22="",#N/A,SUM(CR$4:CR22))</f>
        <v>0</v>
      </c>
      <c r="CT22" s="202" t="str">
        <f t="shared" si="44"/>
        <v/>
      </c>
      <c r="CU22" s="202">
        <f>IF($J22="",#N/A,SUM(CT$4:CT22))</f>
        <v>0</v>
      </c>
      <c r="CV22" s="202">
        <f>IF($J22="",#N/A,SUM(CT$4:CT22,CR$4:CR22,CP$4:CP22))</f>
        <v>0</v>
      </c>
      <c r="CW22" s="200" t="str">
        <f t="shared" si="45"/>
        <v/>
      </c>
      <c r="CX22" s="200">
        <f>IF($J22="",#N/A,SUM(CW$4:CW22))</f>
        <v>0</v>
      </c>
      <c r="CY22" s="201" t="str">
        <f t="shared" si="46"/>
        <v/>
      </c>
      <c r="CZ22" s="201">
        <f>IF($J22="",#N/A,SUM(CY$4:CY22))</f>
        <v>0</v>
      </c>
      <c r="DA22" s="202" t="str">
        <f t="shared" si="47"/>
        <v/>
      </c>
      <c r="DB22" s="202">
        <f>IF($J22="",#N/A,SUM(DA$4:DA22))</f>
        <v>0</v>
      </c>
      <c r="DC22" s="202">
        <f>IF($J22="",#N/A,SUM(DA$4:DA22,CY$4:CY22,CW$4:CW22))</f>
        <v>0</v>
      </c>
      <c r="DD22" s="200" t="str">
        <f t="shared" si="48"/>
        <v/>
      </c>
      <c r="DE22" s="200">
        <f>IF($J22="",#N/A,SUM(DD$4:DD22))</f>
        <v>0</v>
      </c>
      <c r="DF22" s="201" t="str">
        <f t="shared" si="49"/>
        <v/>
      </c>
      <c r="DG22" s="201">
        <f>IF($J22="",#N/A,SUM(DF$4:DF22))</f>
        <v>0.6788440567066546</v>
      </c>
      <c r="DH22" s="202" t="str">
        <f t="shared" si="50"/>
        <v/>
      </c>
      <c r="DI22" s="202">
        <f>IF($J22="",#N/A,SUM(DH$4:DH22))</f>
        <v>0</v>
      </c>
      <c r="DJ22" s="202">
        <f>IF($J22="",#N/A,SUM(DH$4:DH22,DF$4:DF22,DD$4:DD22))</f>
        <v>0.6788440567066546</v>
      </c>
      <c r="DK22" s="200" t="str">
        <f t="shared" si="51"/>
        <v/>
      </c>
      <c r="DL22" s="200">
        <f>IF($J22="",#N/A,SUM(DK$4:DK22))</f>
        <v>0</v>
      </c>
      <c r="DM22" s="201" t="str">
        <f t="shared" si="52"/>
        <v/>
      </c>
      <c r="DN22" s="201">
        <f>IF($J22="",#N/A,SUM(DM$4:DM22))</f>
        <v>0.36227168206863897</v>
      </c>
      <c r="DO22" s="202" t="str">
        <f t="shared" si="53"/>
        <v/>
      </c>
      <c r="DP22" s="202">
        <f>IF($J22="",#N/A,SUM(DO$4:DO22))</f>
        <v>0</v>
      </c>
      <c r="DQ22" s="202">
        <f>IF($J22="",#N/A,SUM(DO$4:DO22,DM$4:DM22,DK$4:DK22))</f>
        <v>0.36227168206863897</v>
      </c>
      <c r="DR22" s="200" t="str">
        <f t="shared" si="54"/>
        <v/>
      </c>
      <c r="DS22" s="200">
        <f>IF($J22="",#N/A,SUM(DR$4:DR22))</f>
        <v>0</v>
      </c>
      <c r="DT22" s="201" t="str">
        <f t="shared" si="55"/>
        <v/>
      </c>
      <c r="DU22" s="201">
        <f>IF($J22="",#N/A,SUM(DT$4:DT22))</f>
        <v>0.57866260122346558</v>
      </c>
      <c r="DV22" s="202">
        <f t="shared" si="56"/>
        <v>-5.540166204986359E-2</v>
      </c>
      <c r="DW22" s="202">
        <f>IF($J22="",#N/A,SUM(DV$4:DV22))</f>
        <v>-0.6705207183740266</v>
      </c>
      <c r="DX22" s="202">
        <f>IF($J22="",#N/A,SUM(DV$4:DV22,DT$4:DT22,DR$4:DR22))</f>
        <v>-9.1858117150560997E-2</v>
      </c>
      <c r="DY22" s="200" t="str">
        <f t="shared" si="57"/>
        <v/>
      </c>
      <c r="DZ22" s="200">
        <f>IF($J22="",#N/A,SUM(DY$4:DY22))</f>
        <v>0</v>
      </c>
      <c r="EA22" s="201" t="str">
        <f t="shared" si="58"/>
        <v/>
      </c>
      <c r="EB22" s="201">
        <f>IF($J22="",#N/A,SUM(EA$4:EA22))</f>
        <v>0.39861645964403336</v>
      </c>
      <c r="EC22" s="202" t="str">
        <f t="shared" si="59"/>
        <v/>
      </c>
      <c r="ED22" s="202">
        <f>IF($J22="",#N/A,SUM(EC$4:EC22))</f>
        <v>0.52792722625163879</v>
      </c>
      <c r="EE22" s="202">
        <f>IF($J22="",#N/A,SUM(EC$4:EC22,EA$4:EA22,DY$4:DY22))</f>
        <v>0.92654368589567215</v>
      </c>
      <c r="EF22" s="200" t="str">
        <f t="shared" si="60"/>
        <v/>
      </c>
      <c r="EG22" s="200">
        <f>IF($J22="",#N/A,SUM(EF$4:EF22))</f>
        <v>0</v>
      </c>
      <c r="EH22" s="201" t="str">
        <f t="shared" si="61"/>
        <v/>
      </c>
      <c r="EI22" s="201">
        <f>IF($J22="",#N/A,SUM(EH$4:EH22))</f>
        <v>0</v>
      </c>
      <c r="EJ22" s="202" t="str">
        <f t="shared" si="62"/>
        <v/>
      </c>
      <c r="EK22" s="202">
        <f>IF($J22="",#N/A,SUM(EJ$4:EJ22))</f>
        <v>0.1446834240304033</v>
      </c>
      <c r="EL22" s="202">
        <f>IF($J22="",#N/A,SUM(EJ$4:EJ22,EH$4:EH22,EF$4:EF22))</f>
        <v>0.1446834240304033</v>
      </c>
      <c r="EM22" s="200" t="str">
        <f t="shared" si="63"/>
        <v/>
      </c>
      <c r="EN22" s="200">
        <f>IF($J22="",#N/A,SUM(EM$4:EM22))</f>
        <v>0</v>
      </c>
      <c r="EO22" s="201" t="str">
        <f t="shared" si="64"/>
        <v/>
      </c>
      <c r="EP22" s="201">
        <f>IF($J22="",#N/A,SUM(EO$4:EO22))</f>
        <v>0</v>
      </c>
      <c r="EQ22" s="202" t="str">
        <f t="shared" si="65"/>
        <v/>
      </c>
      <c r="ER22" s="202">
        <f>IF($J22="",#N/A,SUM(EQ$4:EQ22))</f>
        <v>0</v>
      </c>
      <c r="ES22" s="202">
        <f>IF($J22="",#N/A,SUM(EQ$4:EQ22,EO$4:EO22,EM$4:EM22))</f>
        <v>0</v>
      </c>
      <c r="ET22" s="200" t="str">
        <f t="shared" si="66"/>
        <v/>
      </c>
      <c r="EU22" s="200">
        <f>IF($J22="",#N/A,SUM(ET$4:ET22))</f>
        <v>0</v>
      </c>
      <c r="EV22" s="201" t="str">
        <f t="shared" si="67"/>
        <v/>
      </c>
      <c r="EW22" s="201">
        <f>IF($J22="",#N/A,SUM(EV$4:EV22))</f>
        <v>0</v>
      </c>
      <c r="EX22" s="202" t="str">
        <f t="shared" si="68"/>
        <v/>
      </c>
      <c r="EY22" s="202">
        <f>IF($J22="",#N/A,SUM(EX$4:EX22))</f>
        <v>0</v>
      </c>
      <c r="EZ22" s="202">
        <f>IF($J22="",#N/A,SUM(EX$4:EX22,EV$4:EV22,ET$4:ET22))</f>
        <v>0</v>
      </c>
      <c r="FA22" s="200" t="str">
        <f t="shared" si="69"/>
        <v/>
      </c>
      <c r="FB22" s="200">
        <f>IF($J22="",#N/A,SUM(FA$4:FA22))</f>
        <v>0</v>
      </c>
      <c r="FC22" s="201" t="str">
        <f t="shared" si="70"/>
        <v/>
      </c>
      <c r="FD22" s="201">
        <f>IF($J22="",#N/A,SUM(FC$4:FC22))</f>
        <v>0</v>
      </c>
      <c r="FE22" s="202" t="str">
        <f t="shared" si="71"/>
        <v/>
      </c>
      <c r="FF22" s="202">
        <f>IF($J22="",#N/A,SUM(FE$4:FE22))</f>
        <v>0</v>
      </c>
      <c r="FG22" s="202">
        <f>IF($J22="",#N/A,SUM(FE$4:FE22,FC$4:FC22,FA$4:FA22))</f>
        <v>0</v>
      </c>
      <c r="FH22" s="200" t="str">
        <f t="shared" si="72"/>
        <v/>
      </c>
      <c r="FI22" s="200">
        <f>IF($J22="",#N/A,SUM(FH$4:FH22))</f>
        <v>0</v>
      </c>
      <c r="FJ22" s="201" t="str">
        <f t="shared" si="73"/>
        <v/>
      </c>
      <c r="FK22" s="201">
        <f>IF($J22="",#N/A,SUM(FJ$4:FJ22))</f>
        <v>0</v>
      </c>
      <c r="FL22" s="202" t="str">
        <f t="shared" si="74"/>
        <v/>
      </c>
      <c r="FM22" s="202">
        <f>IF($J22="",#N/A,SUM(FL$4:FL22))</f>
        <v>0</v>
      </c>
      <c r="FN22" s="202">
        <f>IF($J22="",#N/A,SUM(FL$4:FL22,FJ$4:FJ22,FH$4:FH22))</f>
        <v>0</v>
      </c>
      <c r="FO22" s="200" t="str">
        <f t="shared" si="75"/>
        <v/>
      </c>
      <c r="FP22" s="200">
        <f>IF($J22="",#N/A,SUM(FO$4:FO22))</f>
        <v>0</v>
      </c>
      <c r="FQ22" s="201" t="str">
        <f t="shared" si="76"/>
        <v/>
      </c>
      <c r="FR22" s="201">
        <f>IF($J22="",#N/A,SUM(FQ$4:FQ22))</f>
        <v>0</v>
      </c>
      <c r="FS22" s="202" t="str">
        <f t="shared" si="77"/>
        <v/>
      </c>
      <c r="FT22" s="202">
        <f>IF($J22="",#N/A,SUM(FS$4:FS22))</f>
        <v>0</v>
      </c>
      <c r="FU22" s="202">
        <f>IF($J22="",#N/A,SUM(FS$4:FS22,FQ$4:FQ22,FO$4:FO22))</f>
        <v>0</v>
      </c>
      <c r="FV22" s="200" t="str">
        <f t="shared" si="78"/>
        <v/>
      </c>
      <c r="FW22" s="200">
        <f>IF($J22="",#N/A,SUM(FV$4:FV22))</f>
        <v>0</v>
      </c>
      <c r="FX22" s="201" t="str">
        <f t="shared" si="79"/>
        <v/>
      </c>
      <c r="FY22" s="201">
        <f>IF($J22="",#N/A,SUM(FX$4:FX22))</f>
        <v>0</v>
      </c>
      <c r="FZ22" s="202" t="str">
        <f t="shared" si="80"/>
        <v/>
      </c>
      <c r="GA22" s="202">
        <f>IF($J22="",#N/A,SUM(FZ$4:FZ22))</f>
        <v>0</v>
      </c>
      <c r="GB22" s="202">
        <f>IF($J22="",#N/A,SUM(FZ$4:FZ22,FX$4:FX22,FV$4:FV22))</f>
        <v>0</v>
      </c>
      <c r="GC22" s="200" t="str">
        <f t="shared" si="81"/>
        <v/>
      </c>
      <c r="GD22" s="200">
        <f>IF($J22="",#N/A,SUM(GC$4:GC22))</f>
        <v>0</v>
      </c>
      <c r="GE22" s="201" t="str">
        <f t="shared" si="82"/>
        <v/>
      </c>
      <c r="GF22" s="201">
        <f>IF($J22="",#N/A,SUM(GE$4:GE22))</f>
        <v>0</v>
      </c>
      <c r="GG22" s="202" t="str">
        <f t="shared" si="83"/>
        <v/>
      </c>
      <c r="GH22" s="202">
        <f>IF($J22="",#N/A,SUM(GG$4:GG22))</f>
        <v>0</v>
      </c>
      <c r="GI22" s="202">
        <f>IF($J22="",#N/A,SUM(GG$4:GG22,GE$4:GE22,GC$4:GC22))</f>
        <v>0</v>
      </c>
      <c r="GJ22" s="200" t="str">
        <f t="shared" si="84"/>
        <v/>
      </c>
      <c r="GK22" s="200">
        <f>IF($J22="",#N/A,SUM(GJ$4:GJ22))</f>
        <v>0</v>
      </c>
      <c r="GL22" s="201" t="str">
        <f t="shared" si="85"/>
        <v/>
      </c>
      <c r="GM22" s="201">
        <f>IF($J22="",#N/A,SUM(GL$4:GL22))</f>
        <v>0</v>
      </c>
      <c r="GN22" s="202" t="str">
        <f t="shared" si="86"/>
        <v/>
      </c>
      <c r="GO22" s="202">
        <f>IF($J22="",#N/A,SUM(GN$4:GN22))</f>
        <v>0</v>
      </c>
      <c r="GP22" s="202">
        <f>IF($J22="",#N/A,SUM(GN$4:GN22,GL$4:GL22,GJ$4:GJ22))</f>
        <v>0</v>
      </c>
      <c r="GS22" s="54">
        <f t="shared" si="105"/>
        <v>-5.540166204986359E-2</v>
      </c>
      <c r="GT22" s="54">
        <f>IF(GS22="",NA(),SUM($GS$4:GS22))</f>
        <v>2.0204847315508085</v>
      </c>
      <c r="GU22" s="54" t="str">
        <f t="shared" si="87"/>
        <v/>
      </c>
      <c r="GV22" s="54" t="e">
        <f>IF(GU22="",NA(),SUM($GU$4:GU22))</f>
        <v>#N/A</v>
      </c>
      <c r="GW22" s="54">
        <f t="shared" si="88"/>
        <v>-5.540166204986359E-2</v>
      </c>
      <c r="GX22" s="54">
        <f>IF(GW22="",NA(),SUM($GW$4:GW22))</f>
        <v>2.0899319080158046E-3</v>
      </c>
      <c r="GY22" s="54" t="str">
        <f t="shared" si="89"/>
        <v/>
      </c>
      <c r="GZ22" s="54" t="e">
        <f>IF(GY22="",NA(),SUM($GY$4:GY22))</f>
        <v>#N/A</v>
      </c>
      <c r="HA22" s="54" t="str">
        <f t="shared" si="90"/>
        <v/>
      </c>
      <c r="HB22" s="54" t="e">
        <f>IF(HA22="",NA(),SUM($HA$4:HA22))</f>
        <v>#N/A</v>
      </c>
      <c r="HC22" s="54" t="str">
        <f t="shared" si="91"/>
        <v/>
      </c>
      <c r="HD22" s="54" t="e">
        <f>IF(HC22="",NA(),SUM($HC$4:HC22))</f>
        <v>#N/A</v>
      </c>
      <c r="HE22" s="54" t="str">
        <f t="shared" si="92"/>
        <v/>
      </c>
      <c r="HF22" s="54" t="e">
        <f>IF(HE22="",NA(),SUM($HE$4:HE22))</f>
        <v>#N/A</v>
      </c>
      <c r="HG22" s="54" t="str">
        <f t="shared" si="93"/>
        <v/>
      </c>
      <c r="HH22" s="54" t="e">
        <f>IF(HG22="",NA(),SUM($HG$4:HG22))</f>
        <v>#N/A</v>
      </c>
      <c r="HI22" s="172" t="str">
        <f t="shared" si="106"/>
        <v/>
      </c>
      <c r="HJ22" s="172">
        <f>IF($J22="",#N/A,SUM(HI$4:$HI22))</f>
        <v>0.15747068742849171</v>
      </c>
      <c r="HK22" s="54" t="str">
        <f t="shared" si="94"/>
        <v/>
      </c>
      <c r="HL22" s="54">
        <f>IF($J22="",#N/A,SUM($HK$4:HK22))</f>
        <v>-3.4652545522110731</v>
      </c>
      <c r="HM22" s="54" t="str">
        <f t="shared" si="95"/>
        <v/>
      </c>
      <c r="HN22" s="54">
        <f>IF($J22="",#N/A,SUM($HM$4:HM22))</f>
        <v>0</v>
      </c>
      <c r="HO22" s="54" t="str">
        <f t="shared" si="96"/>
        <v/>
      </c>
      <c r="HP22" s="54">
        <f>IF($J22="",#N/A,SUM($HO$4:HO22))</f>
        <v>0</v>
      </c>
      <c r="HQ22" s="54" t="str">
        <f t="shared" si="97"/>
        <v/>
      </c>
      <c r="HR22" s="54">
        <f>IF($J22="",#N/A,SUM($HQ$4:HQ22))</f>
        <v>-0.96220265944219874</v>
      </c>
      <c r="HS22" s="54">
        <f t="shared" si="98"/>
        <v>-0.24007386888273174</v>
      </c>
      <c r="HT22" s="54">
        <f>IF($J22="",#N/A,SUM($HS$4:HS22))</f>
        <v>4.2311412086762736</v>
      </c>
      <c r="HU22" s="65">
        <f t="shared" si="99"/>
        <v>-0.29547553093259532</v>
      </c>
      <c r="HV22" s="65">
        <f>IF($J22="",#N/A,SUM(HU$4:$HU22))</f>
        <v>1.9816394160023014</v>
      </c>
    </row>
    <row r="23" spans="1:230" x14ac:dyDescent="0.25">
      <c r="A23" s="51" t="s">
        <v>1295</v>
      </c>
      <c r="B23" s="52" t="s">
        <v>4481</v>
      </c>
      <c r="C23" s="229">
        <f t="shared" si="0"/>
        <v>3</v>
      </c>
      <c r="D23" s="219" t="str">
        <f>_xlfn.XLOOKUP(A23,[1]SP500!$A$2:$A$502,[1]SP500!$D$2:$D$502,"N")</f>
        <v>Y</v>
      </c>
      <c r="E23" s="51" t="str">
        <f>IFERROR(_xlfn.XLOOKUP(A23,[1]SP500!$A$2:$A$655,[1]SP500!$B$2:$B$655),"")</f>
        <v>XLV</v>
      </c>
      <c r="F23" s="53">
        <v>45763</v>
      </c>
      <c r="G23" s="51" t="str">
        <f t="shared" si="1"/>
        <v>BMO</v>
      </c>
      <c r="H23" s="51" t="str">
        <f t="shared" si="2"/>
        <v>s</v>
      </c>
      <c r="I23" s="344">
        <v>126.22</v>
      </c>
      <c r="J23" s="124">
        <v>129.69499999999999</v>
      </c>
      <c r="K23" s="55">
        <f t="shared" si="3"/>
        <v>2.7531294565045116E-2</v>
      </c>
      <c r="L23" s="67">
        <f t="shared" si="4"/>
        <v>31.274999999999864</v>
      </c>
      <c r="M23" s="57">
        <f t="shared" si="5"/>
        <v>10.754999999999882</v>
      </c>
      <c r="N23" s="155">
        <f t="shared" si="6"/>
        <v>31.274999999999864</v>
      </c>
      <c r="O23" s="156">
        <f>IF(N23="",#N/A,SUM($N$4:N23))</f>
        <v>179.71128046850299</v>
      </c>
      <c r="P23" s="65">
        <f t="shared" si="100"/>
        <v>0.4588549094174173</v>
      </c>
      <c r="Q23" s="172">
        <f>IF($N23="",#N/A,SUM($P$4:P23))</f>
        <v>2.479339640968226</v>
      </c>
      <c r="R23" s="279">
        <f t="shared" si="7"/>
        <v>-0.5613730132067567</v>
      </c>
      <c r="S23" s="51" t="str">
        <f t="shared" si="8"/>
        <v>SW</v>
      </c>
      <c r="T23" s="51" t="s">
        <v>2828</v>
      </c>
      <c r="U23" s="56">
        <f t="shared" si="9"/>
        <v>126.22</v>
      </c>
      <c r="V23" s="56" t="s">
        <v>4460</v>
      </c>
      <c r="W23" s="142">
        <v>9</v>
      </c>
      <c r="X23" s="145">
        <f t="shared" si="10"/>
        <v>1135.98</v>
      </c>
      <c r="Y23" s="140">
        <f t="shared" si="11"/>
        <v>9</v>
      </c>
      <c r="Z23" s="123">
        <v>130.88999999999999</v>
      </c>
      <c r="AA23" s="102">
        <f t="shared" si="12"/>
        <v>42.029999999999745</v>
      </c>
      <c r="AB23" s="102">
        <f t="shared" si="13"/>
        <v>31.319999999999936</v>
      </c>
      <c r="AC23" s="124">
        <v>129.69999999999999</v>
      </c>
      <c r="AD23" s="155">
        <f t="shared" si="14"/>
        <v>31.319999999999936</v>
      </c>
      <c r="AE23" s="545">
        <f t="shared" si="15"/>
        <v>0.45951513230866647</v>
      </c>
      <c r="AF23" s="57">
        <f>IF($AC23="",#N/A,SUM(AD$4:AD23))</f>
        <v>178.05162709718331</v>
      </c>
      <c r="AG23" s="102">
        <f t="shared" si="16"/>
        <v>4.500000000007276E-2</v>
      </c>
      <c r="AH23" s="56" t="s">
        <v>2507</v>
      </c>
      <c r="AI23" s="65">
        <f t="shared" si="17"/>
        <v>0.61664818042570801</v>
      </c>
      <c r="AJ23" s="54">
        <f>IF(AI23="",#N/A,SUM($AI$4:AI23))</f>
        <v>3.0407126541749827</v>
      </c>
      <c r="AK23" s="57">
        <f t="shared" si="18"/>
        <v>42.029999999999745</v>
      </c>
      <c r="AL23" s="58">
        <f>IF(AI23="",#N/A,IF(AH23="Skip",SUM($AK$4:AK23),SUM($AK$4:AK23)))</f>
        <v>216.81500000000005</v>
      </c>
      <c r="AM23" s="65">
        <f t="shared" si="101"/>
        <v>0.45951513230866647</v>
      </c>
      <c r="AN23" s="209"/>
      <c r="AO23" s="65">
        <f t="shared" si="19"/>
        <v>0.45951513230866647</v>
      </c>
      <c r="AP23" s="65">
        <f>IF($AC23="",#N/A,SUM(AO$4:AO23))</f>
        <v>3.7305436134507568</v>
      </c>
      <c r="AQ23" s="65" t="str">
        <f t="shared" si="20"/>
        <v/>
      </c>
      <c r="AR23" s="65">
        <f>IF($AC23="",#N/A,SUM(AQ$4:AQ23))</f>
        <v>0</v>
      </c>
      <c r="AS23" s="65" t="str">
        <f t="shared" si="21"/>
        <v/>
      </c>
      <c r="AT23" s="65">
        <f>IF($AC23="",#N/A,SUM(AS$4:AS23))</f>
        <v>-1.2893890651397892</v>
      </c>
      <c r="AU23" s="57">
        <f t="shared" si="102"/>
        <v>31.319999999999936</v>
      </c>
      <c r="AV23" s="57">
        <f>IF($AC23="",#N/A,SUM(AU$4:AU23))</f>
        <v>243.65999999999997</v>
      </c>
      <c r="AW23" s="57" t="str">
        <f t="shared" si="103"/>
        <v/>
      </c>
      <c r="AX23" s="57">
        <f>IF($AC23="",#N/A,SUM(AW$4:AW23))</f>
        <v>0</v>
      </c>
      <c r="AY23" s="56" t="str">
        <f t="shared" si="104"/>
        <v/>
      </c>
      <c r="AZ23" s="57">
        <f>IF($AC23="",#N/A,SUM(AY$4:AY23))</f>
        <v>-65.608372902816654</v>
      </c>
      <c r="BA23" s="57">
        <f>IF(AD23="",#N/A,SUM($AD$4:AD23))</f>
        <v>178.05162709718331</v>
      </c>
      <c r="BC23" s="51" t="str">
        <f t="shared" si="22"/>
        <v/>
      </c>
      <c r="BD23" s="51" t="str">
        <f t="shared" si="23"/>
        <v/>
      </c>
      <c r="BE23" s="51">
        <f t="shared" si="24"/>
        <v>1</v>
      </c>
      <c r="BF23" s="51" t="str">
        <f t="shared" si="25"/>
        <v>Long</v>
      </c>
      <c r="BG23" s="51" t="str">
        <f t="shared" si="26"/>
        <v/>
      </c>
      <c r="BH23" s="51" t="str">
        <f t="shared" si="27"/>
        <v/>
      </c>
      <c r="BI23" s="51" t="str">
        <f t="shared" si="28"/>
        <v/>
      </c>
      <c r="BK23" s="184"/>
      <c r="BL23" s="184"/>
      <c r="BM23" s="73"/>
      <c r="BO23" s="489">
        <f>IF(J23="",#N/A,IF(S23="SW",(COUNTIFS(K$4:$K23,"&gt;0",S$4:$S23,"SW")/COUNTIF(S$4:$S23,"SW")),#N/A))</f>
        <v>0.46153846153846156</v>
      </c>
      <c r="BP23" s="489" t="e">
        <f>IF($J23="",#N/A,IF($S23="DWN",(COUNTIFS($K$4:$K23,"&lt;0",$S$4:$S23,"DWN")/COUNTIF($S$4:$S23,"DWN")),#N/A))</f>
        <v>#N/A</v>
      </c>
      <c r="BQ23" s="489" t="e">
        <f>IF($J23="",#N/A,IF($S23="UP",(COUNTIFS($K$4:$K23,"&gt;0",$S$4:$S23,"UP")/COUNTIF($S$4:$S23,"UP")),#N/A))</f>
        <v>#N/A</v>
      </c>
      <c r="BR23" s="489">
        <f>IF(J23="",#N/A,COUNTIF($K$4:K23,"&gt;0")/COUNT($J$4:J23))</f>
        <v>0.35</v>
      </c>
      <c r="BS23" s="65">
        <f t="shared" si="29"/>
        <v>0.4588549094174173</v>
      </c>
      <c r="BT23" s="65" t="str">
        <f t="shared" si="30"/>
        <v/>
      </c>
      <c r="BU23" s="65" t="str">
        <f t="shared" si="31"/>
        <v/>
      </c>
      <c r="BV23" s="65" t="str">
        <f t="shared" si="32"/>
        <v/>
      </c>
      <c r="BW23" s="151" t="str">
        <f t="shared" si="33"/>
        <v/>
      </c>
      <c r="BX23" s="151">
        <f>IF($J23="",#N/A,SUM($BW$4:BW23))</f>
        <v>0</v>
      </c>
      <c r="BY23" s="152" t="str">
        <f t="shared" si="34"/>
        <v/>
      </c>
      <c r="BZ23" s="152">
        <f>IF($J23="",#N/A,SUM($BY$4:BY23))</f>
        <v>141.64628046850362</v>
      </c>
      <c r="CA23" s="153">
        <f t="shared" si="35"/>
        <v>31.274999999999864</v>
      </c>
      <c r="CB23" s="154">
        <f>IF($J23="",#N/A,SUM($CA$4:CA23))</f>
        <v>38.064999999999372</v>
      </c>
      <c r="CC23" s="191" t="str">
        <f t="shared" si="36"/>
        <v/>
      </c>
      <c r="CD23" s="191">
        <f>IF($J23="",#N/A,SUM($CC$4:CC23))</f>
        <v>0</v>
      </c>
      <c r="CE23" s="192" t="str">
        <f t="shared" si="37"/>
        <v/>
      </c>
      <c r="CF23" s="192">
        <f>IF($J23="",#N/A,SUM($CE$4:CE23))</f>
        <v>2.0183947996427927</v>
      </c>
      <c r="CG23" s="193">
        <f t="shared" si="38"/>
        <v>0.4588549094174173</v>
      </c>
      <c r="CH23" s="193">
        <f>IF($J23="",#N/A,SUM($CG$4:CG23))</f>
        <v>0.46094484132543312</v>
      </c>
      <c r="CI23" s="200" t="str">
        <f t="shared" si="39"/>
        <v/>
      </c>
      <c r="CJ23" s="200">
        <f>IF($J23="",#N/A,SUM(CI$4:CI23))</f>
        <v>0</v>
      </c>
      <c r="CK23" s="201" t="str">
        <f t="shared" si="40"/>
        <v/>
      </c>
      <c r="CL23" s="201">
        <f>IF($J23="",#N/A,SUM(CK$4:CK23))</f>
        <v>0</v>
      </c>
      <c r="CM23" s="202" t="str">
        <f t="shared" si="41"/>
        <v/>
      </c>
      <c r="CN23" s="202">
        <f>IF($J23="",#N/A,SUM(CM$4:CM23))</f>
        <v>0</v>
      </c>
      <c r="CO23" s="202">
        <f>IF($J23="",#N/A,SUM(CM$4:CM23,CK$4:CK23,CI$4:CI23))</f>
        <v>0</v>
      </c>
      <c r="CP23" s="200" t="str">
        <f t="shared" si="42"/>
        <v/>
      </c>
      <c r="CQ23" s="200">
        <f>IF($J23="",#N/A,SUM(CP$4:CP23))</f>
        <v>0</v>
      </c>
      <c r="CR23" s="201" t="str">
        <f t="shared" si="43"/>
        <v/>
      </c>
      <c r="CS23" s="201">
        <f>IF($J23="",#N/A,SUM(CR$4:CR23))</f>
        <v>0</v>
      </c>
      <c r="CT23" s="202" t="str">
        <f t="shared" si="44"/>
        <v/>
      </c>
      <c r="CU23" s="202">
        <f>IF($J23="",#N/A,SUM(CT$4:CT23))</f>
        <v>0</v>
      </c>
      <c r="CV23" s="202">
        <f>IF($J23="",#N/A,SUM(CT$4:CT23,CR$4:CR23,CP$4:CP23))</f>
        <v>0</v>
      </c>
      <c r="CW23" s="200" t="str">
        <f t="shared" si="45"/>
        <v/>
      </c>
      <c r="CX23" s="200">
        <f>IF($J23="",#N/A,SUM(CW$4:CW23))</f>
        <v>0</v>
      </c>
      <c r="CY23" s="201" t="str">
        <f t="shared" si="46"/>
        <v/>
      </c>
      <c r="CZ23" s="201">
        <f>IF($J23="",#N/A,SUM(CY$4:CY23))</f>
        <v>0</v>
      </c>
      <c r="DA23" s="202" t="str">
        <f t="shared" si="47"/>
        <v/>
      </c>
      <c r="DB23" s="202">
        <f>IF($J23="",#N/A,SUM(DA$4:DA23))</f>
        <v>0</v>
      </c>
      <c r="DC23" s="202">
        <f>IF($J23="",#N/A,SUM(DA$4:DA23,CY$4:CY23,CW$4:CW23))</f>
        <v>0</v>
      </c>
      <c r="DD23" s="200" t="str">
        <f t="shared" si="48"/>
        <v/>
      </c>
      <c r="DE23" s="200">
        <f>IF($J23="",#N/A,SUM(DD$4:DD23))</f>
        <v>0</v>
      </c>
      <c r="DF23" s="201" t="str">
        <f t="shared" si="49"/>
        <v/>
      </c>
      <c r="DG23" s="201">
        <f>IF($J23="",#N/A,SUM(DF$4:DF23))</f>
        <v>0.6788440567066546</v>
      </c>
      <c r="DH23" s="202" t="str">
        <f t="shared" si="50"/>
        <v/>
      </c>
      <c r="DI23" s="202">
        <f>IF($J23="",#N/A,SUM(DH$4:DH23))</f>
        <v>0</v>
      </c>
      <c r="DJ23" s="202">
        <f>IF($J23="",#N/A,SUM(DH$4:DH23,DF$4:DF23,DD$4:DD23))</f>
        <v>0.6788440567066546</v>
      </c>
      <c r="DK23" s="200" t="str">
        <f t="shared" si="51"/>
        <v/>
      </c>
      <c r="DL23" s="200">
        <f>IF($J23="",#N/A,SUM(DK$4:DK23))</f>
        <v>0</v>
      </c>
      <c r="DM23" s="201" t="str">
        <f t="shared" si="52"/>
        <v/>
      </c>
      <c r="DN23" s="201">
        <f>IF($J23="",#N/A,SUM(DM$4:DM23))</f>
        <v>0.36227168206863897</v>
      </c>
      <c r="DO23" s="202" t="str">
        <f t="shared" si="53"/>
        <v/>
      </c>
      <c r="DP23" s="202">
        <f>IF($J23="",#N/A,SUM(DO$4:DO23))</f>
        <v>0</v>
      </c>
      <c r="DQ23" s="202">
        <f>IF($J23="",#N/A,SUM(DO$4:DO23,DM$4:DM23,DK$4:DK23))</f>
        <v>0.36227168206863897</v>
      </c>
      <c r="DR23" s="200" t="str">
        <f t="shared" si="54"/>
        <v/>
      </c>
      <c r="DS23" s="200">
        <f>IF($J23="",#N/A,SUM(DR$4:DR23))</f>
        <v>0</v>
      </c>
      <c r="DT23" s="201" t="str">
        <f t="shared" si="55"/>
        <v/>
      </c>
      <c r="DU23" s="201">
        <f>IF($J23="",#N/A,SUM(DT$4:DT23))</f>
        <v>0.57866260122346558</v>
      </c>
      <c r="DV23" s="202" t="str">
        <f t="shared" si="56"/>
        <v/>
      </c>
      <c r="DW23" s="202">
        <f>IF($J23="",#N/A,SUM(DV$4:DV23))</f>
        <v>-0.6705207183740266</v>
      </c>
      <c r="DX23" s="202">
        <f>IF($J23="",#N/A,SUM(DV$4:DV23,DT$4:DT23,DR$4:DR23))</f>
        <v>-9.1858117150560997E-2</v>
      </c>
      <c r="DY23" s="200" t="str">
        <f t="shared" si="57"/>
        <v/>
      </c>
      <c r="DZ23" s="200">
        <f>IF($J23="",#N/A,SUM(DY$4:DY23))</f>
        <v>0</v>
      </c>
      <c r="EA23" s="201" t="str">
        <f t="shared" si="58"/>
        <v/>
      </c>
      <c r="EB23" s="201">
        <f>IF($J23="",#N/A,SUM(EA$4:EA23))</f>
        <v>0.39861645964403336</v>
      </c>
      <c r="EC23" s="202" t="str">
        <f t="shared" si="59"/>
        <v/>
      </c>
      <c r="ED23" s="202">
        <f>IF($J23="",#N/A,SUM(EC$4:EC23))</f>
        <v>0.52792722625163879</v>
      </c>
      <c r="EE23" s="202">
        <f>IF($J23="",#N/A,SUM(EC$4:EC23,EA$4:EA23,DY$4:DY23))</f>
        <v>0.92654368589567215</v>
      </c>
      <c r="EF23" s="200" t="str">
        <f t="shared" si="60"/>
        <v/>
      </c>
      <c r="EG23" s="200">
        <f>IF($J23="",#N/A,SUM(EF$4:EF23))</f>
        <v>0</v>
      </c>
      <c r="EH23" s="201" t="str">
        <f t="shared" si="61"/>
        <v/>
      </c>
      <c r="EI23" s="201">
        <f>IF($J23="",#N/A,SUM(EH$4:EH23))</f>
        <v>0</v>
      </c>
      <c r="EJ23" s="202">
        <f t="shared" si="62"/>
        <v>0.4588549094174173</v>
      </c>
      <c r="EK23" s="202">
        <f>IF($J23="",#N/A,SUM(EJ$4:EJ23))</f>
        <v>0.6035383334478206</v>
      </c>
      <c r="EL23" s="202">
        <f>IF($J23="",#N/A,SUM(EJ$4:EJ23,EH$4:EH23,EF$4:EF23))</f>
        <v>0.6035383334478206</v>
      </c>
      <c r="EM23" s="200" t="str">
        <f t="shared" si="63"/>
        <v/>
      </c>
      <c r="EN23" s="200">
        <f>IF($J23="",#N/A,SUM(EM$4:EM23))</f>
        <v>0</v>
      </c>
      <c r="EO23" s="201" t="str">
        <f t="shared" si="64"/>
        <v/>
      </c>
      <c r="EP23" s="201">
        <f>IF($J23="",#N/A,SUM(EO$4:EO23))</f>
        <v>0</v>
      </c>
      <c r="EQ23" s="202" t="str">
        <f t="shared" si="65"/>
        <v/>
      </c>
      <c r="ER23" s="202">
        <f>IF($J23="",#N/A,SUM(EQ$4:EQ23))</f>
        <v>0</v>
      </c>
      <c r="ES23" s="202">
        <f>IF($J23="",#N/A,SUM(EQ$4:EQ23,EO$4:EO23,EM$4:EM23))</f>
        <v>0</v>
      </c>
      <c r="ET23" s="200" t="str">
        <f t="shared" si="66"/>
        <v/>
      </c>
      <c r="EU23" s="200">
        <f>IF($J23="",#N/A,SUM(ET$4:ET23))</f>
        <v>0</v>
      </c>
      <c r="EV23" s="201" t="str">
        <f t="shared" si="67"/>
        <v/>
      </c>
      <c r="EW23" s="201">
        <f>IF($J23="",#N/A,SUM(EV$4:EV23))</f>
        <v>0</v>
      </c>
      <c r="EX23" s="202" t="str">
        <f t="shared" si="68"/>
        <v/>
      </c>
      <c r="EY23" s="202">
        <f>IF($J23="",#N/A,SUM(EX$4:EX23))</f>
        <v>0</v>
      </c>
      <c r="EZ23" s="202">
        <f>IF($J23="",#N/A,SUM(EX$4:EX23,EV$4:EV23,ET$4:ET23))</f>
        <v>0</v>
      </c>
      <c r="FA23" s="200" t="str">
        <f t="shared" si="69"/>
        <v/>
      </c>
      <c r="FB23" s="200">
        <f>IF($J23="",#N/A,SUM(FA$4:FA23))</f>
        <v>0</v>
      </c>
      <c r="FC23" s="201" t="str">
        <f t="shared" si="70"/>
        <v/>
      </c>
      <c r="FD23" s="201">
        <f>IF($J23="",#N/A,SUM(FC$4:FC23))</f>
        <v>0</v>
      </c>
      <c r="FE23" s="202" t="str">
        <f t="shared" si="71"/>
        <v/>
      </c>
      <c r="FF23" s="202">
        <f>IF($J23="",#N/A,SUM(FE$4:FE23))</f>
        <v>0</v>
      </c>
      <c r="FG23" s="202">
        <f>IF($J23="",#N/A,SUM(FE$4:FE23,FC$4:FC23,FA$4:FA23))</f>
        <v>0</v>
      </c>
      <c r="FH23" s="200" t="str">
        <f t="shared" si="72"/>
        <v/>
      </c>
      <c r="FI23" s="200">
        <f>IF($J23="",#N/A,SUM(FH$4:FH23))</f>
        <v>0</v>
      </c>
      <c r="FJ23" s="201" t="str">
        <f t="shared" si="73"/>
        <v/>
      </c>
      <c r="FK23" s="201">
        <f>IF($J23="",#N/A,SUM(FJ$4:FJ23))</f>
        <v>0</v>
      </c>
      <c r="FL23" s="202" t="str">
        <f t="shared" si="74"/>
        <v/>
      </c>
      <c r="FM23" s="202">
        <f>IF($J23="",#N/A,SUM(FL$4:FL23))</f>
        <v>0</v>
      </c>
      <c r="FN23" s="202">
        <f>IF($J23="",#N/A,SUM(FL$4:FL23,FJ$4:FJ23,FH$4:FH23))</f>
        <v>0</v>
      </c>
      <c r="FO23" s="200" t="str">
        <f t="shared" si="75"/>
        <v/>
      </c>
      <c r="FP23" s="200">
        <f>IF($J23="",#N/A,SUM(FO$4:FO23))</f>
        <v>0</v>
      </c>
      <c r="FQ23" s="201" t="str">
        <f t="shared" si="76"/>
        <v/>
      </c>
      <c r="FR23" s="201">
        <f>IF($J23="",#N/A,SUM(FQ$4:FQ23))</f>
        <v>0</v>
      </c>
      <c r="FS23" s="202" t="str">
        <f t="shared" si="77"/>
        <v/>
      </c>
      <c r="FT23" s="202">
        <f>IF($J23="",#N/A,SUM(FS$4:FS23))</f>
        <v>0</v>
      </c>
      <c r="FU23" s="202">
        <f>IF($J23="",#N/A,SUM(FS$4:FS23,FQ$4:FQ23,FO$4:FO23))</f>
        <v>0</v>
      </c>
      <c r="FV23" s="200" t="str">
        <f t="shared" si="78"/>
        <v/>
      </c>
      <c r="FW23" s="200">
        <f>IF($J23="",#N/A,SUM(FV$4:FV23))</f>
        <v>0</v>
      </c>
      <c r="FX23" s="201" t="str">
        <f t="shared" si="79"/>
        <v/>
      </c>
      <c r="FY23" s="201">
        <f>IF($J23="",#N/A,SUM(FX$4:FX23))</f>
        <v>0</v>
      </c>
      <c r="FZ23" s="202" t="str">
        <f t="shared" si="80"/>
        <v/>
      </c>
      <c r="GA23" s="202">
        <f>IF($J23="",#N/A,SUM(FZ$4:FZ23))</f>
        <v>0</v>
      </c>
      <c r="GB23" s="202">
        <f>IF($J23="",#N/A,SUM(FZ$4:FZ23,FX$4:FX23,FV$4:FV23))</f>
        <v>0</v>
      </c>
      <c r="GC23" s="200" t="str">
        <f t="shared" si="81"/>
        <v/>
      </c>
      <c r="GD23" s="200">
        <f>IF($J23="",#N/A,SUM(GC$4:GC23))</f>
        <v>0</v>
      </c>
      <c r="GE23" s="201" t="str">
        <f t="shared" si="82"/>
        <v/>
      </c>
      <c r="GF23" s="201">
        <f>IF($J23="",#N/A,SUM(GE$4:GE23))</f>
        <v>0</v>
      </c>
      <c r="GG23" s="202" t="str">
        <f t="shared" si="83"/>
        <v/>
      </c>
      <c r="GH23" s="202">
        <f>IF($J23="",#N/A,SUM(GG$4:GG23))</f>
        <v>0</v>
      </c>
      <c r="GI23" s="202">
        <f>IF($J23="",#N/A,SUM(GG$4:GG23,GE$4:GE23,GC$4:GC23))</f>
        <v>0</v>
      </c>
      <c r="GJ23" s="200" t="str">
        <f t="shared" si="84"/>
        <v/>
      </c>
      <c r="GK23" s="200">
        <f>IF($J23="",#N/A,SUM(GJ$4:GJ23))</f>
        <v>0</v>
      </c>
      <c r="GL23" s="201" t="str">
        <f t="shared" si="85"/>
        <v/>
      </c>
      <c r="GM23" s="201">
        <f>IF($J23="",#N/A,SUM(GL$4:GL23))</f>
        <v>0</v>
      </c>
      <c r="GN23" s="202" t="str">
        <f t="shared" si="86"/>
        <v/>
      </c>
      <c r="GO23" s="202">
        <f>IF($J23="",#N/A,SUM(GN$4:GN23))</f>
        <v>0</v>
      </c>
      <c r="GP23" s="202">
        <f>IF($J23="",#N/A,SUM(GN$4:GN23,GL$4:GL23,GJ$4:GJ23))</f>
        <v>0</v>
      </c>
      <c r="GS23" s="54">
        <f t="shared" si="105"/>
        <v>0.4588549094174173</v>
      </c>
      <c r="GT23" s="54">
        <f>IF(GS23="",NA(),SUM($GS$4:GS23))</f>
        <v>2.479339640968226</v>
      </c>
      <c r="GU23" s="54" t="str">
        <f t="shared" si="87"/>
        <v/>
      </c>
      <c r="GV23" s="54" t="e">
        <f>IF(GU23="",NA(),SUM($GU$4:GU23))</f>
        <v>#N/A</v>
      </c>
      <c r="GW23" s="54">
        <f t="shared" si="88"/>
        <v>0.4588549094174173</v>
      </c>
      <c r="GX23" s="54">
        <f>IF(GW23="",NA(),SUM($GW$4:GW23))</f>
        <v>0.46094484132543312</v>
      </c>
      <c r="GY23" s="54" t="str">
        <f t="shared" si="89"/>
        <v/>
      </c>
      <c r="GZ23" s="54" t="e">
        <f>IF(GY23="",NA(),SUM($GY$4:GY23))</f>
        <v>#N/A</v>
      </c>
      <c r="HA23" s="54" t="str">
        <f t="shared" si="90"/>
        <v/>
      </c>
      <c r="HB23" s="54" t="e">
        <f>IF(HA23="",NA(),SUM($HA$4:HA23))</f>
        <v>#N/A</v>
      </c>
      <c r="HC23" s="54" t="str">
        <f t="shared" si="91"/>
        <v/>
      </c>
      <c r="HD23" s="54" t="e">
        <f>IF(HC23="",NA(),SUM($HC$4:HC23))</f>
        <v>#N/A</v>
      </c>
      <c r="HE23" s="54" t="str">
        <f t="shared" si="92"/>
        <v/>
      </c>
      <c r="HF23" s="54" t="e">
        <f>IF(HE23="",NA(),SUM($HE$4:HE23))</f>
        <v>#N/A</v>
      </c>
      <c r="HG23" s="54" t="str">
        <f t="shared" si="93"/>
        <v/>
      </c>
      <c r="HH23" s="54" t="e">
        <f>IF(HG23="",NA(),SUM($HG$4:HG23))</f>
        <v>#N/A</v>
      </c>
      <c r="HI23" s="172" t="str">
        <f t="shared" si="106"/>
        <v/>
      </c>
      <c r="HJ23" s="172">
        <f>IF($J23="",#N/A,SUM(HI$4:$HI23))</f>
        <v>0.15747068742849171</v>
      </c>
      <c r="HK23" s="54" t="str">
        <f t="shared" si="94"/>
        <v/>
      </c>
      <c r="HL23" s="54">
        <f>IF($J23="",#N/A,SUM($HK$4:HK23))</f>
        <v>-3.4652545522110731</v>
      </c>
      <c r="HM23" s="54" t="str">
        <f t="shared" si="95"/>
        <v/>
      </c>
      <c r="HN23" s="54">
        <f>IF($J23="",#N/A,SUM($HM$4:HM23))</f>
        <v>0</v>
      </c>
      <c r="HO23" s="54" t="str">
        <f t="shared" si="96"/>
        <v/>
      </c>
      <c r="HP23" s="54">
        <f>IF($J23="",#N/A,SUM($HO$4:HO23))</f>
        <v>0</v>
      </c>
      <c r="HQ23" s="54">
        <f t="shared" si="97"/>
        <v>6.6022289124917366E-4</v>
      </c>
      <c r="HR23" s="54">
        <f>IF($J23="",#N/A,SUM($HQ$4:HQ23))</f>
        <v>-0.96154243655094951</v>
      </c>
      <c r="HS23" s="54" t="str">
        <f t="shared" si="98"/>
        <v/>
      </c>
      <c r="HT23" s="54">
        <f>IF($J23="",#N/A,SUM($HS$4:HS23))</f>
        <v>4.2311412086762736</v>
      </c>
      <c r="HU23" s="65">
        <f t="shared" si="99"/>
        <v>0.45951513230866647</v>
      </c>
      <c r="HV23" s="65">
        <f>IF($J23="",#N/A,SUM(HU$4:$HU23))</f>
        <v>2.4411545483109678</v>
      </c>
    </row>
    <row r="24" spans="1:230" x14ac:dyDescent="0.25">
      <c r="A24" s="51" t="s">
        <v>1392</v>
      </c>
      <c r="B24" s="52" t="s">
        <v>4481</v>
      </c>
      <c r="C24" s="229">
        <f t="shared" si="0"/>
        <v>3</v>
      </c>
      <c r="D24" s="219" t="str">
        <f>_xlfn.XLOOKUP(A24,[1]SP500!$A$2:$A$502,[1]SP500!$D$2:$D$502,"N")</f>
        <v>Y</v>
      </c>
      <c r="E24" s="51" t="str">
        <f>IFERROR(_xlfn.XLOOKUP(A24,[1]SP500!$A$2:$A$655,[1]SP500!$B$2:$B$655),"")</f>
        <v>INS</v>
      </c>
      <c r="F24" s="53">
        <v>45763</v>
      </c>
      <c r="G24" s="51" t="str">
        <f t="shared" si="1"/>
        <v>BMO</v>
      </c>
      <c r="H24" s="51" t="str">
        <f t="shared" si="2"/>
        <v>sk</v>
      </c>
      <c r="I24" s="344">
        <v>249.66</v>
      </c>
      <c r="J24" s="123">
        <v>255.79</v>
      </c>
      <c r="K24" s="55">
        <f t="shared" si="3"/>
        <v>2.455339261395496E-2</v>
      </c>
      <c r="L24" s="67">
        <f t="shared" si="4"/>
        <v>28.236401506048196</v>
      </c>
      <c r="M24" s="57" t="e">
        <f t="shared" si="5"/>
        <v>#N/A</v>
      </c>
      <c r="N24" s="155">
        <f t="shared" si="6"/>
        <v>28.236401506048196</v>
      </c>
      <c r="O24" s="156">
        <f>IF(N24="",#N/A,SUM($N$4:N24))</f>
        <v>207.94768197455119</v>
      </c>
      <c r="P24" s="65">
        <f t="shared" si="100"/>
        <v>0.40922321023258257</v>
      </c>
      <c r="Q24" s="172">
        <f>IF($N24="",#N/A,SUM($P$4:P24))</f>
        <v>2.8885628512008088</v>
      </c>
      <c r="R24" s="279">
        <f t="shared" si="7"/>
        <v>-0.15214980297417391</v>
      </c>
      <c r="S24" s="51" t="str">
        <f t="shared" si="8"/>
        <v>SW</v>
      </c>
      <c r="T24" s="51" t="s">
        <v>2828</v>
      </c>
      <c r="U24" s="56">
        <f t="shared" si="9"/>
        <v>249.66</v>
      </c>
      <c r="V24" s="56" t="s">
        <v>4460</v>
      </c>
      <c r="W24" s="340">
        <f>IF(I24="","",1150/I24)</f>
        <v>4.6062645197468557</v>
      </c>
      <c r="X24" s="145">
        <f t="shared" si="10"/>
        <v>1150</v>
      </c>
      <c r="Y24" s="73">
        <f t="shared" si="11"/>
        <v>4.6062645197468557</v>
      </c>
      <c r="Z24" s="538">
        <f>J24</f>
        <v>255.79</v>
      </c>
      <c r="AA24" s="102">
        <f t="shared" si="12"/>
        <v>28.236401506048196</v>
      </c>
      <c r="AB24" s="102">
        <f t="shared" si="13"/>
        <v>12.989665945686056</v>
      </c>
      <c r="AC24" s="124">
        <v>252.48</v>
      </c>
      <c r="AD24" s="155">
        <f t="shared" si="14"/>
        <v>12.989665945686056</v>
      </c>
      <c r="AE24" s="545">
        <f t="shared" si="15"/>
        <v>0.18825602819834863</v>
      </c>
      <c r="AF24" s="57">
        <f>IF($AC24="",#N/A,SUM(AD$4:AD24))</f>
        <v>191.04129304286937</v>
      </c>
      <c r="AG24" s="102">
        <f t="shared" si="16"/>
        <v>-15.24673556036214</v>
      </c>
      <c r="AH24" s="56" t="s">
        <v>4464</v>
      </c>
      <c r="AI24" s="65">
        <f t="shared" si="17"/>
        <v>0</v>
      </c>
      <c r="AJ24" s="54">
        <f>IF(AI24="",#N/A,SUM($AI$4:AI24))</f>
        <v>3.0407126541749827</v>
      </c>
      <c r="AK24" s="57" t="str">
        <f t="shared" si="18"/>
        <v/>
      </c>
      <c r="AL24" s="58">
        <f>IF(AI24="",#N/A,IF(AH24="Skip",SUM($AK$4:AK24),SUM($AK$4:AK24)))</f>
        <v>216.81500000000005</v>
      </c>
      <c r="AM24" s="65">
        <f t="shared" si="101"/>
        <v>0.18825602819834863</v>
      </c>
      <c r="AN24" s="209"/>
      <c r="AO24" s="65">
        <f t="shared" si="19"/>
        <v>0.18825602819834863</v>
      </c>
      <c r="AP24" s="65">
        <f>IF($AC24="",#N/A,SUM(AO$4:AO24))</f>
        <v>3.9187996416491053</v>
      </c>
      <c r="AQ24" s="65" t="str">
        <f t="shared" si="20"/>
        <v/>
      </c>
      <c r="AR24" s="65">
        <f>IF($AC24="",#N/A,SUM(AQ$4:AQ24))</f>
        <v>0</v>
      </c>
      <c r="AS24" s="65" t="str">
        <f t="shared" si="21"/>
        <v/>
      </c>
      <c r="AT24" s="65">
        <f>IF($AC24="",#N/A,SUM(AS$4:AS24))</f>
        <v>-1.2893890651397892</v>
      </c>
      <c r="AU24" s="57">
        <f t="shared" si="102"/>
        <v>12.989665945686056</v>
      </c>
      <c r="AV24" s="57">
        <f>IF($AC24="",#N/A,SUM(AU$4:AU24))</f>
        <v>256.64966594568602</v>
      </c>
      <c r="AW24" s="57" t="str">
        <f t="shared" si="103"/>
        <v/>
      </c>
      <c r="AX24" s="57">
        <f>IF($AC24="",#N/A,SUM(AW$4:AW24))</f>
        <v>0</v>
      </c>
      <c r="AY24" s="56" t="str">
        <f t="shared" si="104"/>
        <v/>
      </c>
      <c r="AZ24" s="57">
        <f>IF($AC24="",#N/A,SUM(AY$4:AY24))</f>
        <v>-65.608372902816654</v>
      </c>
      <c r="BA24" s="57">
        <f>IF(AD24="",#N/A,SUM($AD$4:AD24))</f>
        <v>191.04129304286937</v>
      </c>
      <c r="BC24" s="51" t="str">
        <f t="shared" si="22"/>
        <v/>
      </c>
      <c r="BD24" s="51" t="str">
        <f t="shared" si="23"/>
        <v/>
      </c>
      <c r="BE24" s="51">
        <f t="shared" si="24"/>
        <v>1</v>
      </c>
      <c r="BF24" s="51" t="str">
        <f t="shared" si="25"/>
        <v>Long</v>
      </c>
      <c r="BG24" s="51" t="str">
        <f t="shared" si="26"/>
        <v/>
      </c>
      <c r="BH24" s="51" t="str">
        <f t="shared" si="27"/>
        <v/>
      </c>
      <c r="BI24" s="51" t="str">
        <f t="shared" si="28"/>
        <v/>
      </c>
      <c r="BK24" s="184"/>
      <c r="BL24" s="184"/>
      <c r="BM24" s="73"/>
      <c r="BO24" s="489">
        <f>IF(J24="",#N/A,IF(S24="SW",(COUNTIFS(K$4:$K24,"&gt;0",S$4:$S24,"SW")/COUNTIF(S$4:$S24,"SW")),#N/A))</f>
        <v>0.5</v>
      </c>
      <c r="BP24" s="489" t="e">
        <f>IF($J24="",#N/A,IF($S24="DWN",(COUNTIFS($K$4:$K24,"&lt;0",$S$4:$S24,"DWN")/COUNTIF($S$4:$S24,"DWN")),#N/A))</f>
        <v>#N/A</v>
      </c>
      <c r="BQ24" s="489" t="e">
        <f>IF($J24="",#N/A,IF($S24="UP",(COUNTIFS($K$4:$K24,"&gt;0",$S$4:$S24,"UP")/COUNTIF($S$4:$S24,"UP")),#N/A))</f>
        <v>#N/A</v>
      </c>
      <c r="BR24" s="489">
        <f>IF(J24="",#N/A,COUNTIF($K$4:K24,"&gt;0")/COUNT($J$4:J24))</f>
        <v>0.38095238095238093</v>
      </c>
      <c r="BS24" s="73" t="str">
        <f t="shared" si="29"/>
        <v/>
      </c>
      <c r="BT24" s="73" t="str">
        <f t="shared" si="30"/>
        <v/>
      </c>
      <c r="BU24" s="73" t="str">
        <f t="shared" si="31"/>
        <v/>
      </c>
      <c r="BV24" s="73" t="str">
        <f t="shared" si="32"/>
        <v/>
      </c>
      <c r="BW24" s="151" t="str">
        <f t="shared" si="33"/>
        <v/>
      </c>
      <c r="BX24" s="151">
        <f>IF($J24="",#N/A,SUM($BW$4:BW24))</f>
        <v>0</v>
      </c>
      <c r="BY24" s="152" t="str">
        <f t="shared" si="34"/>
        <v/>
      </c>
      <c r="BZ24" s="152">
        <f>IF($J24="",#N/A,SUM($BY$4:BY24))</f>
        <v>141.64628046850362</v>
      </c>
      <c r="CA24" s="153">
        <f t="shared" si="35"/>
        <v>28.236401506048196</v>
      </c>
      <c r="CB24" s="154">
        <f>IF($J24="",#N/A,SUM($CA$4:CA24))</f>
        <v>66.301401506047569</v>
      </c>
      <c r="CC24" s="191" t="str">
        <f t="shared" si="36"/>
        <v/>
      </c>
      <c r="CD24" s="191">
        <f>IF($J24="",#N/A,SUM($CC$4:CC24))</f>
        <v>0</v>
      </c>
      <c r="CE24" s="192" t="str">
        <f t="shared" si="37"/>
        <v/>
      </c>
      <c r="CF24" s="192">
        <f>IF($J24="",#N/A,SUM($CE$4:CE24))</f>
        <v>2.0183947996427927</v>
      </c>
      <c r="CG24" s="193">
        <f t="shared" si="38"/>
        <v>0.40922321023258257</v>
      </c>
      <c r="CH24" s="193">
        <f>IF($J24="",#N/A,SUM($CG$4:CG24))</f>
        <v>0.87016805155801569</v>
      </c>
      <c r="CI24" s="200" t="str">
        <f t="shared" si="39"/>
        <v/>
      </c>
      <c r="CJ24" s="200">
        <f>IF($J24="",#N/A,SUM(CI$4:CI24))</f>
        <v>0</v>
      </c>
      <c r="CK24" s="201" t="str">
        <f t="shared" si="40"/>
        <v/>
      </c>
      <c r="CL24" s="201">
        <f>IF($J24="",#N/A,SUM(CK$4:CK24))</f>
        <v>0</v>
      </c>
      <c r="CM24" s="202" t="str">
        <f t="shared" si="41"/>
        <v/>
      </c>
      <c r="CN24" s="202">
        <f>IF($J24="",#N/A,SUM(CM$4:CM24))</f>
        <v>0</v>
      </c>
      <c r="CO24" s="202">
        <f>IF($J24="",#N/A,SUM(CM$4:CM24,CK$4:CK24,CI$4:CI24))</f>
        <v>0</v>
      </c>
      <c r="CP24" s="200" t="str">
        <f t="shared" si="42"/>
        <v/>
      </c>
      <c r="CQ24" s="200">
        <f>IF($J24="",#N/A,SUM(CP$4:CP24))</f>
        <v>0</v>
      </c>
      <c r="CR24" s="201" t="str">
        <f t="shared" si="43"/>
        <v/>
      </c>
      <c r="CS24" s="201">
        <f>IF($J24="",#N/A,SUM(CR$4:CR24))</f>
        <v>0</v>
      </c>
      <c r="CT24" s="202" t="str">
        <f t="shared" si="44"/>
        <v/>
      </c>
      <c r="CU24" s="202">
        <f>IF($J24="",#N/A,SUM(CT$4:CT24))</f>
        <v>0</v>
      </c>
      <c r="CV24" s="202">
        <f>IF($J24="",#N/A,SUM(CT$4:CT24,CR$4:CR24,CP$4:CP24))</f>
        <v>0</v>
      </c>
      <c r="CW24" s="200" t="str">
        <f t="shared" si="45"/>
        <v/>
      </c>
      <c r="CX24" s="200">
        <f>IF($J24="",#N/A,SUM(CW$4:CW24))</f>
        <v>0</v>
      </c>
      <c r="CY24" s="201" t="str">
        <f t="shared" si="46"/>
        <v/>
      </c>
      <c r="CZ24" s="201">
        <f>IF($J24="",#N/A,SUM(CY$4:CY24))</f>
        <v>0</v>
      </c>
      <c r="DA24" s="202" t="str">
        <f t="shared" si="47"/>
        <v/>
      </c>
      <c r="DB24" s="202">
        <f>IF($J24="",#N/A,SUM(DA$4:DA24))</f>
        <v>0</v>
      </c>
      <c r="DC24" s="202">
        <f>IF($J24="",#N/A,SUM(DA$4:DA24,CY$4:CY24,CW$4:CW24))</f>
        <v>0</v>
      </c>
      <c r="DD24" s="200" t="str">
        <f t="shared" si="48"/>
        <v/>
      </c>
      <c r="DE24" s="200">
        <f>IF($J24="",#N/A,SUM(DD$4:DD24))</f>
        <v>0</v>
      </c>
      <c r="DF24" s="201" t="str">
        <f t="shared" si="49"/>
        <v/>
      </c>
      <c r="DG24" s="201">
        <f>IF($J24="",#N/A,SUM(DF$4:DF24))</f>
        <v>0.6788440567066546</v>
      </c>
      <c r="DH24" s="202" t="str">
        <f t="shared" si="50"/>
        <v/>
      </c>
      <c r="DI24" s="202">
        <f>IF($J24="",#N/A,SUM(DH$4:DH24))</f>
        <v>0</v>
      </c>
      <c r="DJ24" s="202">
        <f>IF($J24="",#N/A,SUM(DH$4:DH24,DF$4:DF24,DD$4:DD24))</f>
        <v>0.6788440567066546</v>
      </c>
      <c r="DK24" s="200" t="str">
        <f t="shared" si="51"/>
        <v/>
      </c>
      <c r="DL24" s="200">
        <f>IF($J24="",#N/A,SUM(DK$4:DK24))</f>
        <v>0</v>
      </c>
      <c r="DM24" s="201" t="str">
        <f t="shared" si="52"/>
        <v/>
      </c>
      <c r="DN24" s="201">
        <f>IF($J24="",#N/A,SUM(DM$4:DM24))</f>
        <v>0.36227168206863897</v>
      </c>
      <c r="DO24" s="202" t="str">
        <f t="shared" si="53"/>
        <v/>
      </c>
      <c r="DP24" s="202">
        <f>IF($J24="",#N/A,SUM(DO$4:DO24))</f>
        <v>0</v>
      </c>
      <c r="DQ24" s="202">
        <f>IF($J24="",#N/A,SUM(DO$4:DO24,DM$4:DM24,DK$4:DK24))</f>
        <v>0.36227168206863897</v>
      </c>
      <c r="DR24" s="200" t="str">
        <f t="shared" si="54"/>
        <v/>
      </c>
      <c r="DS24" s="200">
        <f>IF($J24="",#N/A,SUM(DR$4:DR24))</f>
        <v>0</v>
      </c>
      <c r="DT24" s="201" t="str">
        <f t="shared" si="55"/>
        <v/>
      </c>
      <c r="DU24" s="201">
        <f>IF($J24="",#N/A,SUM(DT$4:DT24))</f>
        <v>0.57866260122346558</v>
      </c>
      <c r="DV24" s="202" t="str">
        <f t="shared" si="56"/>
        <v/>
      </c>
      <c r="DW24" s="202">
        <f>IF($J24="",#N/A,SUM(DV$4:DV24))</f>
        <v>-0.6705207183740266</v>
      </c>
      <c r="DX24" s="202">
        <f>IF($J24="",#N/A,SUM(DV$4:DV24,DT$4:DT24,DR$4:DR24))</f>
        <v>-9.1858117150560997E-2</v>
      </c>
      <c r="DY24" s="200" t="str">
        <f t="shared" si="57"/>
        <v/>
      </c>
      <c r="DZ24" s="200">
        <f>IF($J24="",#N/A,SUM(DY$4:DY24))</f>
        <v>0</v>
      </c>
      <c r="EA24" s="201" t="str">
        <f t="shared" si="58"/>
        <v/>
      </c>
      <c r="EB24" s="201">
        <f>IF($J24="",#N/A,SUM(EA$4:EA24))</f>
        <v>0.39861645964403336</v>
      </c>
      <c r="EC24" s="202" t="str">
        <f t="shared" si="59"/>
        <v/>
      </c>
      <c r="ED24" s="202">
        <f>IF($J24="",#N/A,SUM(EC$4:EC24))</f>
        <v>0.52792722625163879</v>
      </c>
      <c r="EE24" s="202">
        <f>IF($J24="",#N/A,SUM(EC$4:EC24,EA$4:EA24,DY$4:DY24))</f>
        <v>0.92654368589567215</v>
      </c>
      <c r="EF24" s="200" t="str">
        <f t="shared" si="60"/>
        <v/>
      </c>
      <c r="EG24" s="200">
        <f>IF($J24="",#N/A,SUM(EF$4:EF24))</f>
        <v>0</v>
      </c>
      <c r="EH24" s="201" t="str">
        <f t="shared" si="61"/>
        <v/>
      </c>
      <c r="EI24" s="201">
        <f>IF($J24="",#N/A,SUM(EH$4:EH24))</f>
        <v>0</v>
      </c>
      <c r="EJ24" s="202" t="str">
        <f t="shared" si="62"/>
        <v/>
      </c>
      <c r="EK24" s="202">
        <f>IF($J24="",#N/A,SUM(EJ$4:EJ24))</f>
        <v>0.6035383334478206</v>
      </c>
      <c r="EL24" s="202">
        <f>IF($J24="",#N/A,SUM(EJ$4:EJ24,EH$4:EH24,EF$4:EF24))</f>
        <v>0.6035383334478206</v>
      </c>
      <c r="EM24" s="200" t="str">
        <f t="shared" si="63"/>
        <v/>
      </c>
      <c r="EN24" s="200">
        <f>IF($J24="",#N/A,SUM(EM$4:EM24))</f>
        <v>0</v>
      </c>
      <c r="EO24" s="201" t="str">
        <f t="shared" si="64"/>
        <v/>
      </c>
      <c r="EP24" s="201">
        <f>IF($J24="",#N/A,SUM(EO$4:EO24))</f>
        <v>0</v>
      </c>
      <c r="EQ24" s="202" t="str">
        <f t="shared" si="65"/>
        <v/>
      </c>
      <c r="ER24" s="202">
        <f>IF($J24="",#N/A,SUM(EQ$4:EQ24))</f>
        <v>0</v>
      </c>
      <c r="ES24" s="202">
        <f>IF($J24="",#N/A,SUM(EQ$4:EQ24,EO$4:EO24,EM$4:EM24))</f>
        <v>0</v>
      </c>
      <c r="ET24" s="200" t="str">
        <f t="shared" si="66"/>
        <v/>
      </c>
      <c r="EU24" s="200">
        <f>IF($J24="",#N/A,SUM(ET$4:ET24))</f>
        <v>0</v>
      </c>
      <c r="EV24" s="201" t="str">
        <f t="shared" si="67"/>
        <v/>
      </c>
      <c r="EW24" s="201">
        <f>IF($J24="",#N/A,SUM(EV$4:EV24))</f>
        <v>0</v>
      </c>
      <c r="EX24" s="202" t="str">
        <f t="shared" si="68"/>
        <v/>
      </c>
      <c r="EY24" s="202">
        <f>IF($J24="",#N/A,SUM(EX$4:EX24))</f>
        <v>0</v>
      </c>
      <c r="EZ24" s="202">
        <f>IF($J24="",#N/A,SUM(EX$4:EX24,EV$4:EV24,ET$4:ET24))</f>
        <v>0</v>
      </c>
      <c r="FA24" s="200" t="str">
        <f t="shared" si="69"/>
        <v/>
      </c>
      <c r="FB24" s="200">
        <f>IF($J24="",#N/A,SUM(FA$4:FA24))</f>
        <v>0</v>
      </c>
      <c r="FC24" s="201" t="str">
        <f t="shared" si="70"/>
        <v/>
      </c>
      <c r="FD24" s="201">
        <f>IF($J24="",#N/A,SUM(FC$4:FC24))</f>
        <v>0</v>
      </c>
      <c r="FE24" s="202" t="str">
        <f t="shared" si="71"/>
        <v/>
      </c>
      <c r="FF24" s="202">
        <f>IF($J24="",#N/A,SUM(FE$4:FE24))</f>
        <v>0</v>
      </c>
      <c r="FG24" s="202">
        <f>IF($J24="",#N/A,SUM(FE$4:FE24,FC$4:FC24,FA$4:FA24))</f>
        <v>0</v>
      </c>
      <c r="FH24" s="200" t="str">
        <f t="shared" si="72"/>
        <v/>
      </c>
      <c r="FI24" s="200">
        <f>IF($J24="",#N/A,SUM(FH$4:FH24))</f>
        <v>0</v>
      </c>
      <c r="FJ24" s="201" t="str">
        <f t="shared" si="73"/>
        <v/>
      </c>
      <c r="FK24" s="201">
        <f>IF($J24="",#N/A,SUM(FJ$4:FJ24))</f>
        <v>0</v>
      </c>
      <c r="FL24" s="202" t="str">
        <f t="shared" si="74"/>
        <v/>
      </c>
      <c r="FM24" s="202">
        <f>IF($J24="",#N/A,SUM(FL$4:FL24))</f>
        <v>0</v>
      </c>
      <c r="FN24" s="202">
        <f>IF($J24="",#N/A,SUM(FL$4:FL24,FJ$4:FJ24,FH$4:FH24))</f>
        <v>0</v>
      </c>
      <c r="FO24" s="200" t="str">
        <f t="shared" si="75"/>
        <v/>
      </c>
      <c r="FP24" s="200">
        <f>IF($J24="",#N/A,SUM(FO$4:FO24))</f>
        <v>0</v>
      </c>
      <c r="FQ24" s="201" t="str">
        <f t="shared" si="76"/>
        <v/>
      </c>
      <c r="FR24" s="201">
        <f>IF($J24="",#N/A,SUM(FQ$4:FQ24))</f>
        <v>0</v>
      </c>
      <c r="FS24" s="202" t="str">
        <f t="shared" si="77"/>
        <v/>
      </c>
      <c r="FT24" s="202">
        <f>IF($J24="",#N/A,SUM(FS$4:FS24))</f>
        <v>0</v>
      </c>
      <c r="FU24" s="202">
        <f>IF($J24="",#N/A,SUM(FS$4:FS24,FQ$4:FQ24,FO$4:FO24))</f>
        <v>0</v>
      </c>
      <c r="FV24" s="200" t="str">
        <f t="shared" si="78"/>
        <v/>
      </c>
      <c r="FW24" s="200">
        <f>IF($J24="",#N/A,SUM(FV$4:FV24))</f>
        <v>0</v>
      </c>
      <c r="FX24" s="201" t="str">
        <f t="shared" si="79"/>
        <v/>
      </c>
      <c r="FY24" s="201">
        <f>IF($J24="",#N/A,SUM(FX$4:FX24))</f>
        <v>0</v>
      </c>
      <c r="FZ24" s="202">
        <f t="shared" si="80"/>
        <v>0.40922321023258257</v>
      </c>
      <c r="GA24" s="202">
        <f>IF($J24="",#N/A,SUM(FZ$4:FZ24))</f>
        <v>0.40922321023258257</v>
      </c>
      <c r="GB24" s="202">
        <f>IF($J24="",#N/A,SUM(FZ$4:FZ24,FX$4:FX24,FV$4:FV24))</f>
        <v>0.40922321023258257</v>
      </c>
      <c r="GC24" s="200" t="str">
        <f t="shared" si="81"/>
        <v/>
      </c>
      <c r="GD24" s="200">
        <f>IF($J24="",#N/A,SUM(GC$4:GC24))</f>
        <v>0</v>
      </c>
      <c r="GE24" s="201" t="str">
        <f t="shared" si="82"/>
        <v/>
      </c>
      <c r="GF24" s="201">
        <f>IF($J24="",#N/A,SUM(GE$4:GE24))</f>
        <v>0</v>
      </c>
      <c r="GG24" s="202" t="str">
        <f t="shared" si="83"/>
        <v/>
      </c>
      <c r="GH24" s="202">
        <f>IF($J24="",#N/A,SUM(GG$4:GG24))</f>
        <v>0</v>
      </c>
      <c r="GI24" s="202">
        <f>IF($J24="",#N/A,SUM(GG$4:GG24,GE$4:GE24,GC$4:GC24))</f>
        <v>0</v>
      </c>
      <c r="GJ24" s="200" t="str">
        <f t="shared" si="84"/>
        <v/>
      </c>
      <c r="GK24" s="200">
        <f>IF($J24="",#N/A,SUM(GJ$4:GJ24))</f>
        <v>0</v>
      </c>
      <c r="GL24" s="201" t="str">
        <f t="shared" si="85"/>
        <v/>
      </c>
      <c r="GM24" s="201">
        <f>IF($J24="",#N/A,SUM(GL$4:GL24))</f>
        <v>0</v>
      </c>
      <c r="GN24" s="202" t="str">
        <f t="shared" si="86"/>
        <v/>
      </c>
      <c r="GO24" s="202">
        <f>IF($J24="",#N/A,SUM(GN$4:GN24))</f>
        <v>0</v>
      </c>
      <c r="GP24" s="202">
        <f>IF($J24="",#N/A,SUM(GN$4:GN24,GL$4:GL24,GJ$4:GJ24))</f>
        <v>0</v>
      </c>
      <c r="GS24" s="54">
        <f t="shared" si="105"/>
        <v>0.40922321023258257</v>
      </c>
      <c r="GT24" s="54">
        <f>IF(GS24="",NA(),SUM($GS$4:GS24))</f>
        <v>2.8885628512008088</v>
      </c>
      <c r="GU24" s="54" t="str">
        <f t="shared" si="87"/>
        <v/>
      </c>
      <c r="GV24" s="54" t="e">
        <f>IF(GU24="",NA(),SUM($GU$4:GU24))</f>
        <v>#N/A</v>
      </c>
      <c r="GW24" s="54">
        <f t="shared" si="88"/>
        <v>0.40922321023258257</v>
      </c>
      <c r="GX24" s="54">
        <f>IF(GW24="",NA(),SUM($GW$4:GW24))</f>
        <v>0.87016805155801569</v>
      </c>
      <c r="GY24" s="54" t="str">
        <f t="shared" si="89"/>
        <v/>
      </c>
      <c r="GZ24" s="54" t="e">
        <f>IF(GY24="",NA(),SUM($GY$4:GY24))</f>
        <v>#N/A</v>
      </c>
      <c r="HA24" s="54" t="str">
        <f t="shared" si="90"/>
        <v/>
      </c>
      <c r="HB24" s="54" t="e">
        <f>IF(HA24="",NA(),SUM($HA$4:HA24))</f>
        <v>#N/A</v>
      </c>
      <c r="HC24" s="54" t="str">
        <f t="shared" si="91"/>
        <v/>
      </c>
      <c r="HD24" s="54" t="e">
        <f>IF(HC24="",NA(),SUM($HC$4:HC24))</f>
        <v>#N/A</v>
      </c>
      <c r="HE24" s="54" t="str">
        <f t="shared" si="92"/>
        <v/>
      </c>
      <c r="HF24" s="54" t="e">
        <f>IF(HE24="",NA(),SUM($HE$4:HE24))</f>
        <v>#N/A</v>
      </c>
      <c r="HG24" s="54" t="str">
        <f t="shared" si="93"/>
        <v/>
      </c>
      <c r="HH24" s="54" t="e">
        <f>IF(HG24="",NA(),SUM($HG$4:HG24))</f>
        <v>#N/A</v>
      </c>
      <c r="HI24" s="172" t="str">
        <f t="shared" si="106"/>
        <v/>
      </c>
      <c r="HJ24" s="172">
        <f>IF($J24="",#N/A,SUM(HI$4:$HI24))</f>
        <v>0.15747068742849171</v>
      </c>
      <c r="HK24" s="54" t="str">
        <f t="shared" si="94"/>
        <v/>
      </c>
      <c r="HL24" s="54">
        <f>IF($J24="",#N/A,SUM($HK$4:HK24))</f>
        <v>-3.4652545522110731</v>
      </c>
      <c r="HM24" s="54" t="str">
        <f t="shared" si="95"/>
        <v/>
      </c>
      <c r="HN24" s="54">
        <f>IF($J24="",#N/A,SUM($HM$4:HM24))</f>
        <v>0</v>
      </c>
      <c r="HO24" s="54" t="str">
        <f t="shared" si="96"/>
        <v/>
      </c>
      <c r="HP24" s="54">
        <f>IF($J24="",#N/A,SUM($HO$4:HO24))</f>
        <v>0</v>
      </c>
      <c r="HQ24" s="54">
        <f t="shared" si="97"/>
        <v>-0.22096718203423393</v>
      </c>
      <c r="HR24" s="54">
        <f>IF($J24="",#N/A,SUM($HQ$4:HQ24))</f>
        <v>-1.1825096185851836</v>
      </c>
      <c r="HS24" s="54" t="str">
        <f t="shared" si="98"/>
        <v/>
      </c>
      <c r="HT24" s="54">
        <f>IF($J24="",#N/A,SUM($HS$4:HS24))</f>
        <v>4.2311412086762736</v>
      </c>
      <c r="HU24" s="65">
        <f t="shared" si="99"/>
        <v>0.18825602819834863</v>
      </c>
      <c r="HV24" s="65">
        <f>IF($J24="",#N/A,SUM(HU$4:$HU24))</f>
        <v>2.6294105765093163</v>
      </c>
    </row>
    <row r="25" spans="1:230" ht="15.75" thickBot="1" x14ac:dyDescent="0.3">
      <c r="A25" s="292" t="s">
        <v>1313</v>
      </c>
      <c r="B25" s="293" t="s">
        <v>4481</v>
      </c>
      <c r="C25" s="294">
        <f t="shared" si="0"/>
        <v>3</v>
      </c>
      <c r="D25" s="295" t="str">
        <f>_xlfn.XLOOKUP(A25,[1]SP500!$A$2:$A$502,[1]SP500!$D$2:$D$502,"N")</f>
        <v>Y</v>
      </c>
      <c r="E25" s="292" t="str">
        <f>IFERROR(_xlfn.XLOOKUP(A25,[1]SP500!$A$2:$A$655,[1]SP500!$B$2:$B$655),"")</f>
        <v>INS</v>
      </c>
      <c r="F25" s="296">
        <v>45763</v>
      </c>
      <c r="G25" s="292" t="str">
        <f t="shared" si="1"/>
        <v>BMO</v>
      </c>
      <c r="H25" s="292" t="str">
        <f t="shared" si="2"/>
        <v>sk</v>
      </c>
      <c r="I25" s="345">
        <v>276.11</v>
      </c>
      <c r="J25" s="297">
        <v>280.98</v>
      </c>
      <c r="K25" s="298">
        <f t="shared" si="3"/>
        <v>1.7637897939227137E-2</v>
      </c>
      <c r="L25" s="299">
        <f t="shared" si="4"/>
        <v>20.283582630111141</v>
      </c>
      <c r="M25" s="300" t="e">
        <f t="shared" si="5"/>
        <v>#N/A</v>
      </c>
      <c r="N25" s="341">
        <f t="shared" si="6"/>
        <v>20.283582630111141</v>
      </c>
      <c r="O25" s="300">
        <f>IF(N25="",#N/A,SUM($N$4:N25))</f>
        <v>228.23126460466233</v>
      </c>
      <c r="P25" s="305">
        <f t="shared" si="100"/>
        <v>0.29396496565378466</v>
      </c>
      <c r="Q25" s="304">
        <f>IF($N25="",#N/A,SUM($P$4:P25))</f>
        <v>3.1825278168545936</v>
      </c>
      <c r="R25" s="307">
        <f t="shared" si="7"/>
        <v>0.14181516267961092</v>
      </c>
      <c r="S25" s="292" t="str">
        <f t="shared" si="8"/>
        <v>SW</v>
      </c>
      <c r="T25" s="292" t="s">
        <v>2828</v>
      </c>
      <c r="U25" s="308">
        <f t="shared" si="9"/>
        <v>276.11</v>
      </c>
      <c r="V25" s="308" t="s">
        <v>4460</v>
      </c>
      <c r="W25" s="306">
        <f>IF(I25="","",1150/I25)</f>
        <v>4.1650067002281697</v>
      </c>
      <c r="X25" s="309">
        <f t="shared" si="10"/>
        <v>1150</v>
      </c>
      <c r="Y25" s="306">
        <f t="shared" si="11"/>
        <v>4.1650067002281697</v>
      </c>
      <c r="Z25" s="537">
        <f>J25</f>
        <v>280.98</v>
      </c>
      <c r="AA25" s="341">
        <f t="shared" si="12"/>
        <v>20.283582630111141</v>
      </c>
      <c r="AB25" s="341">
        <f t="shared" si="13"/>
        <v>-4.0817065662236018</v>
      </c>
      <c r="AC25" s="297">
        <v>275.13</v>
      </c>
      <c r="AD25" s="301">
        <f t="shared" si="14"/>
        <v>-4.0817065662236018</v>
      </c>
      <c r="AE25" s="546">
        <f t="shared" si="15"/>
        <v>-5.9155167626429014E-2</v>
      </c>
      <c r="AF25" s="300">
        <f>IF($AC25="",#N/A,SUM(AD$4:AD25))</f>
        <v>186.95958647664577</v>
      </c>
      <c r="AG25" s="341">
        <f t="shared" si="16"/>
        <v>-24.365289196334743</v>
      </c>
      <c r="AH25" s="308" t="s">
        <v>4464</v>
      </c>
      <c r="AI25" s="305">
        <f t="shared" si="17"/>
        <v>0</v>
      </c>
      <c r="AJ25" s="303">
        <f>IF(AI25="",#N/A,SUM($AI$4:AI25))</f>
        <v>3.0407126541749827</v>
      </c>
      <c r="AK25" s="300" t="str">
        <f t="shared" si="18"/>
        <v/>
      </c>
      <c r="AL25" s="348">
        <f>IF(AI25="",#N/A,IF(AH25="Skip",SUM($AK$4:AK25),SUM($AK$4:AK25)))</f>
        <v>216.81500000000005</v>
      </c>
      <c r="AM25" s="65">
        <f t="shared" si="101"/>
        <v>-5.9155167626429014E-2</v>
      </c>
      <c r="AN25" s="209"/>
      <c r="AO25" s="305">
        <f t="shared" si="19"/>
        <v>-5.9155167626429014E-2</v>
      </c>
      <c r="AP25" s="305">
        <f>IF($AC25="",#N/A,SUM(AO$4:AO25))</f>
        <v>3.8596444740226765</v>
      </c>
      <c r="AQ25" s="305" t="str">
        <f t="shared" si="20"/>
        <v/>
      </c>
      <c r="AR25" s="305">
        <f>IF($AC25="",#N/A,SUM(AQ$4:AQ25))</f>
        <v>0</v>
      </c>
      <c r="AS25" s="305" t="str">
        <f t="shared" si="21"/>
        <v/>
      </c>
      <c r="AT25" s="305">
        <f>IF($AC25="",#N/A,SUM(AS$4:AS25))</f>
        <v>-1.2893890651397892</v>
      </c>
      <c r="AU25" s="300">
        <f t="shared" si="102"/>
        <v>-4.0817065662236018</v>
      </c>
      <c r="AV25" s="300">
        <f>IF($AC25="",#N/A,SUM(AU$4:AU25))</f>
        <v>252.56795937946242</v>
      </c>
      <c r="AW25" s="300" t="str">
        <f t="shared" si="103"/>
        <v/>
      </c>
      <c r="AX25" s="300">
        <f>IF($AC25="",#N/A,SUM(AW$4:AW25))</f>
        <v>0</v>
      </c>
      <c r="AY25" s="300" t="str">
        <f t="shared" si="104"/>
        <v/>
      </c>
      <c r="AZ25" s="300">
        <f>IF($AC25="",#N/A,SUM(AY$4:AY25))</f>
        <v>-65.608372902816654</v>
      </c>
      <c r="BA25" s="300">
        <f>IF(AD25="",#N/A,SUM($AD$4:AD25))</f>
        <v>186.95958647664577</v>
      </c>
      <c r="BC25" s="292" t="str">
        <f t="shared" si="22"/>
        <v/>
      </c>
      <c r="BD25" s="292" t="str">
        <f t="shared" si="23"/>
        <v/>
      </c>
      <c r="BE25" s="292">
        <f t="shared" si="24"/>
        <v>1</v>
      </c>
      <c r="BF25" s="292" t="str">
        <f t="shared" si="25"/>
        <v>Long</v>
      </c>
      <c r="BG25" s="292" t="str">
        <f t="shared" si="26"/>
        <v/>
      </c>
      <c r="BH25" s="292" t="str">
        <f t="shared" si="27"/>
        <v/>
      </c>
      <c r="BI25" s="292" t="str">
        <f t="shared" si="28"/>
        <v/>
      </c>
      <c r="BK25" s="184"/>
      <c r="BL25" s="184"/>
      <c r="BM25" s="73"/>
      <c r="BO25" s="489">
        <f>IF(J25="",#N/A,IF(S25="SW",(COUNTIFS(K$4:$K25,"&gt;0",S$4:$S25,"SW")/COUNTIF(S$4:$S25,"SW")),#N/A))</f>
        <v>0.53333333333333333</v>
      </c>
      <c r="BP25" s="489" t="e">
        <f>IF($J25="",#N/A,IF($S25="DWN",(COUNTIFS($K$4:$K25,"&lt;0",$S$4:$S25,"DWN")/COUNTIF($S$4:$S25,"DWN")),#N/A))</f>
        <v>#N/A</v>
      </c>
      <c r="BQ25" s="489" t="e">
        <f>IF($J25="",#N/A,IF($S25="UP",(COUNTIFS($K$4:$K25,"&gt;0",$S$4:$S25,"UP")/COUNTIF($S$4:$S25,"UP")),#N/A))</f>
        <v>#N/A</v>
      </c>
      <c r="BR25" s="489">
        <f>IF(J25="",#N/A,COUNTIF($K$4:K25,"&gt;0")/COUNT($J$4:J25))</f>
        <v>0.40909090909090912</v>
      </c>
      <c r="BS25" s="73" t="str">
        <f t="shared" si="29"/>
        <v/>
      </c>
      <c r="BT25" s="73" t="str">
        <f t="shared" si="30"/>
        <v/>
      </c>
      <c r="BU25" s="73" t="str">
        <f t="shared" si="31"/>
        <v/>
      </c>
      <c r="BV25" s="73" t="str">
        <f t="shared" si="32"/>
        <v/>
      </c>
      <c r="BW25" s="128" t="str">
        <f t="shared" si="33"/>
        <v/>
      </c>
      <c r="BX25" s="128">
        <f>IF($J25="",#N/A,SUM($BW$4:BW25))</f>
        <v>0</v>
      </c>
      <c r="BY25" s="131" t="str">
        <f t="shared" si="34"/>
        <v/>
      </c>
      <c r="BZ25" s="131">
        <f>IF($J25="",#N/A,SUM($BY$4:BY25))</f>
        <v>141.64628046850362</v>
      </c>
      <c r="CA25" s="133">
        <f t="shared" si="35"/>
        <v>20.283582630111141</v>
      </c>
      <c r="CB25" s="133">
        <f>IF($J25="",#N/A,SUM($CA$4:CA25))</f>
        <v>86.58498413615871</v>
      </c>
      <c r="CC25" s="194" t="str">
        <f t="shared" si="36"/>
        <v/>
      </c>
      <c r="CD25" s="194">
        <f>IF($J25="",#N/A,SUM($CC$4:CC25))</f>
        <v>0</v>
      </c>
      <c r="CE25" s="195" t="str">
        <f t="shared" si="37"/>
        <v/>
      </c>
      <c r="CF25" s="195">
        <f>IF($J25="",#N/A,SUM($CE$4:CE25))</f>
        <v>2.0183947996427927</v>
      </c>
      <c r="CG25" s="196">
        <f t="shared" si="38"/>
        <v>0.29396496565378466</v>
      </c>
      <c r="CH25" s="193">
        <f>IF($J25="",#N/A,SUM($CG$4:CG25))</f>
        <v>1.1641330172118003</v>
      </c>
      <c r="CI25" s="200" t="str">
        <f t="shared" si="39"/>
        <v/>
      </c>
      <c r="CJ25" s="203">
        <f>IF($J25="",#N/A,SUM(CI$4:CI25))</f>
        <v>0</v>
      </c>
      <c r="CK25" s="204" t="str">
        <f t="shared" si="40"/>
        <v/>
      </c>
      <c r="CL25" s="204">
        <f>IF($J25="",#N/A,SUM(CK$4:CK25))</f>
        <v>0</v>
      </c>
      <c r="CM25" s="205" t="str">
        <f t="shared" si="41"/>
        <v/>
      </c>
      <c r="CN25" s="205">
        <f>IF($J25="",#N/A,SUM(CM$4:CM25))</f>
        <v>0</v>
      </c>
      <c r="CO25" s="205">
        <f>IF($J25="",#N/A,SUM(CM$4:CM25,CK$4:CK25,CI$4:CI25))</f>
        <v>0</v>
      </c>
      <c r="CP25" s="200" t="str">
        <f t="shared" si="42"/>
        <v/>
      </c>
      <c r="CQ25" s="203">
        <f>IF($J25="",#N/A,SUM(CP$4:CP25))</f>
        <v>0</v>
      </c>
      <c r="CR25" s="204" t="str">
        <f t="shared" si="43"/>
        <v/>
      </c>
      <c r="CS25" s="204">
        <f>IF($J25="",#N/A,SUM(CR$4:CR25))</f>
        <v>0</v>
      </c>
      <c r="CT25" s="205" t="str">
        <f t="shared" si="44"/>
        <v/>
      </c>
      <c r="CU25" s="205">
        <f>IF($J25="",#N/A,SUM(CT$4:CT25))</f>
        <v>0</v>
      </c>
      <c r="CV25" s="205">
        <f>IF($J25="",#N/A,SUM(CT$4:CT25,CR$4:CR25,CP$4:CP25))</f>
        <v>0</v>
      </c>
      <c r="CW25" s="200" t="str">
        <f t="shared" si="45"/>
        <v/>
      </c>
      <c r="CX25" s="203">
        <f>IF($J25="",#N/A,SUM(CW$4:CW25))</f>
        <v>0</v>
      </c>
      <c r="CY25" s="204" t="str">
        <f t="shared" si="46"/>
        <v/>
      </c>
      <c r="CZ25" s="204">
        <f>IF($J25="",#N/A,SUM(CY$4:CY25))</f>
        <v>0</v>
      </c>
      <c r="DA25" s="205" t="str">
        <f t="shared" si="47"/>
        <v/>
      </c>
      <c r="DB25" s="205">
        <f>IF($J25="",#N/A,SUM(DA$4:DA25))</f>
        <v>0</v>
      </c>
      <c r="DC25" s="205">
        <f>IF($J25="",#N/A,SUM(DA$4:DA25,CY$4:CY25,CW$4:CW25))</f>
        <v>0</v>
      </c>
      <c r="DD25" s="200" t="str">
        <f t="shared" si="48"/>
        <v/>
      </c>
      <c r="DE25" s="203">
        <f>IF($J25="",#N/A,SUM(DD$4:DD25))</f>
        <v>0</v>
      </c>
      <c r="DF25" s="204" t="str">
        <f t="shared" si="49"/>
        <v/>
      </c>
      <c r="DG25" s="204">
        <f>IF($J25="",#N/A,SUM(DF$4:DF25))</f>
        <v>0.6788440567066546</v>
      </c>
      <c r="DH25" s="205" t="str">
        <f t="shared" si="50"/>
        <v/>
      </c>
      <c r="DI25" s="205">
        <f>IF($J25="",#N/A,SUM(DH$4:DH25))</f>
        <v>0</v>
      </c>
      <c r="DJ25" s="205">
        <f>IF($J25="",#N/A,SUM(DH$4:DH25,DF$4:DF25,DD$4:DD25))</f>
        <v>0.6788440567066546</v>
      </c>
      <c r="DK25" s="200" t="str">
        <f t="shared" si="51"/>
        <v/>
      </c>
      <c r="DL25" s="203">
        <f>IF($J25="",#N/A,SUM(DK$4:DK25))</f>
        <v>0</v>
      </c>
      <c r="DM25" s="204" t="str">
        <f t="shared" si="52"/>
        <v/>
      </c>
      <c r="DN25" s="204">
        <f>IF($J25="",#N/A,SUM(DM$4:DM25))</f>
        <v>0.36227168206863897</v>
      </c>
      <c r="DO25" s="205" t="str">
        <f t="shared" si="53"/>
        <v/>
      </c>
      <c r="DP25" s="205">
        <f>IF($J25="",#N/A,SUM(DO$4:DO25))</f>
        <v>0</v>
      </c>
      <c r="DQ25" s="205">
        <f>IF($J25="",#N/A,SUM(DO$4:DO25,DM$4:DM25,DK$4:DK25))</f>
        <v>0.36227168206863897</v>
      </c>
      <c r="DR25" s="200" t="str">
        <f t="shared" si="54"/>
        <v/>
      </c>
      <c r="DS25" s="203">
        <f>IF($J25="",#N/A,SUM(DR$4:DR25))</f>
        <v>0</v>
      </c>
      <c r="DT25" s="204" t="str">
        <f t="shared" si="55"/>
        <v/>
      </c>
      <c r="DU25" s="204">
        <f>IF($J25="",#N/A,SUM(DT$4:DT25))</f>
        <v>0.57866260122346558</v>
      </c>
      <c r="DV25" s="205" t="str">
        <f t="shared" si="56"/>
        <v/>
      </c>
      <c r="DW25" s="205">
        <f>IF($J25="",#N/A,SUM(DV$4:DV25))</f>
        <v>-0.6705207183740266</v>
      </c>
      <c r="DX25" s="205">
        <f>IF($J25="",#N/A,SUM(DV$4:DV25,DT$4:DT25,DR$4:DR25))</f>
        <v>-9.1858117150560997E-2</v>
      </c>
      <c r="DY25" s="200" t="str">
        <f t="shared" si="57"/>
        <v/>
      </c>
      <c r="DZ25" s="203">
        <f>IF($J25="",#N/A,SUM(DY$4:DY25))</f>
        <v>0</v>
      </c>
      <c r="EA25" s="204" t="str">
        <f t="shared" si="58"/>
        <v/>
      </c>
      <c r="EB25" s="204">
        <f>IF($J25="",#N/A,SUM(EA$4:EA25))</f>
        <v>0.39861645964403336</v>
      </c>
      <c r="EC25" s="205" t="str">
        <f t="shared" si="59"/>
        <v/>
      </c>
      <c r="ED25" s="205">
        <f>IF($J25="",#N/A,SUM(EC$4:EC25))</f>
        <v>0.52792722625163879</v>
      </c>
      <c r="EE25" s="205">
        <f>IF($J25="",#N/A,SUM(EC$4:EC25,EA$4:EA25,DY$4:DY25))</f>
        <v>0.92654368589567215</v>
      </c>
      <c r="EF25" s="200" t="str">
        <f t="shared" si="60"/>
        <v/>
      </c>
      <c r="EG25" s="203">
        <f>IF($J25="",#N/A,SUM(EF$4:EF25))</f>
        <v>0</v>
      </c>
      <c r="EH25" s="204" t="str">
        <f t="shared" si="61"/>
        <v/>
      </c>
      <c r="EI25" s="204">
        <f>IF($J25="",#N/A,SUM(EH$4:EH25))</f>
        <v>0</v>
      </c>
      <c r="EJ25" s="205" t="str">
        <f t="shared" si="62"/>
        <v/>
      </c>
      <c r="EK25" s="205">
        <f>IF($J25="",#N/A,SUM(EJ$4:EJ25))</f>
        <v>0.6035383334478206</v>
      </c>
      <c r="EL25" s="205">
        <f>IF($J25="",#N/A,SUM(EJ$4:EJ25,EH$4:EH25,EF$4:EF25))</f>
        <v>0.6035383334478206</v>
      </c>
      <c r="EM25" s="200" t="str">
        <f t="shared" si="63"/>
        <v/>
      </c>
      <c r="EN25" s="203">
        <f>IF($J25="",#N/A,SUM(EM$4:EM25))</f>
        <v>0</v>
      </c>
      <c r="EO25" s="204" t="str">
        <f t="shared" si="64"/>
        <v/>
      </c>
      <c r="EP25" s="204">
        <f>IF($J25="",#N/A,SUM(EO$4:EO25))</f>
        <v>0</v>
      </c>
      <c r="EQ25" s="205" t="str">
        <f t="shared" si="65"/>
        <v/>
      </c>
      <c r="ER25" s="205">
        <f>IF($J25="",#N/A,SUM(EQ$4:EQ25))</f>
        <v>0</v>
      </c>
      <c r="ES25" s="205">
        <f>IF($J25="",#N/A,SUM(EQ$4:EQ25,EO$4:EO25,EM$4:EM25))</f>
        <v>0</v>
      </c>
      <c r="ET25" s="200" t="str">
        <f t="shared" si="66"/>
        <v/>
      </c>
      <c r="EU25" s="203">
        <f>IF($J25="",#N/A,SUM(ET$4:ET25))</f>
        <v>0</v>
      </c>
      <c r="EV25" s="204" t="str">
        <f t="shared" si="67"/>
        <v/>
      </c>
      <c r="EW25" s="204">
        <f>IF($J25="",#N/A,SUM(EV$4:EV25))</f>
        <v>0</v>
      </c>
      <c r="EX25" s="205" t="str">
        <f t="shared" si="68"/>
        <v/>
      </c>
      <c r="EY25" s="205">
        <f>IF($J25="",#N/A,SUM(EX$4:EX25))</f>
        <v>0</v>
      </c>
      <c r="EZ25" s="205">
        <f>IF($J25="",#N/A,SUM(EX$4:EX25,EV$4:EV25,ET$4:ET25))</f>
        <v>0</v>
      </c>
      <c r="FA25" s="200" t="str">
        <f t="shared" si="69"/>
        <v/>
      </c>
      <c r="FB25" s="203">
        <f>IF($J25="",#N/A,SUM(FA$4:FA25))</f>
        <v>0</v>
      </c>
      <c r="FC25" s="204" t="str">
        <f t="shared" si="70"/>
        <v/>
      </c>
      <c r="FD25" s="204">
        <f>IF($J25="",#N/A,SUM(FC$4:FC25))</f>
        <v>0</v>
      </c>
      <c r="FE25" s="205" t="str">
        <f t="shared" si="71"/>
        <v/>
      </c>
      <c r="FF25" s="205">
        <f>IF($J25="",#N/A,SUM(FE$4:FE25))</f>
        <v>0</v>
      </c>
      <c r="FG25" s="205">
        <f>IF($J25="",#N/A,SUM(FE$4:FE25,FC$4:FC25,FA$4:FA25))</f>
        <v>0</v>
      </c>
      <c r="FH25" s="200" t="str">
        <f t="shared" si="72"/>
        <v/>
      </c>
      <c r="FI25" s="203">
        <f>IF($J25="",#N/A,SUM(FH$4:FH25))</f>
        <v>0</v>
      </c>
      <c r="FJ25" s="204" t="str">
        <f t="shared" si="73"/>
        <v/>
      </c>
      <c r="FK25" s="204">
        <f>IF($J25="",#N/A,SUM(FJ$4:FJ25))</f>
        <v>0</v>
      </c>
      <c r="FL25" s="205" t="str">
        <f t="shared" si="74"/>
        <v/>
      </c>
      <c r="FM25" s="205">
        <f>IF($J25="",#N/A,SUM(FL$4:FL25))</f>
        <v>0</v>
      </c>
      <c r="FN25" s="205">
        <f>IF($J25="",#N/A,SUM(FL$4:FL25,FJ$4:FJ25,FH$4:FH25))</f>
        <v>0</v>
      </c>
      <c r="FO25" s="200" t="str">
        <f t="shared" si="75"/>
        <v/>
      </c>
      <c r="FP25" s="203">
        <f>IF($J25="",#N/A,SUM(FO$4:FO25))</f>
        <v>0</v>
      </c>
      <c r="FQ25" s="204" t="str">
        <f t="shared" si="76"/>
        <v/>
      </c>
      <c r="FR25" s="204">
        <f>IF($J25="",#N/A,SUM(FQ$4:FQ25))</f>
        <v>0</v>
      </c>
      <c r="FS25" s="205" t="str">
        <f t="shared" si="77"/>
        <v/>
      </c>
      <c r="FT25" s="205">
        <f>IF($J25="",#N/A,SUM(FS$4:FS25))</f>
        <v>0</v>
      </c>
      <c r="FU25" s="205">
        <f>IF($J25="",#N/A,SUM(FS$4:FS25,FQ$4:FQ25,FO$4:FO25))</f>
        <v>0</v>
      </c>
      <c r="FV25" s="200" t="str">
        <f t="shared" si="78"/>
        <v/>
      </c>
      <c r="FW25" s="203">
        <f>IF($J25="",#N/A,SUM(FV$4:FV25))</f>
        <v>0</v>
      </c>
      <c r="FX25" s="204" t="str">
        <f t="shared" si="79"/>
        <v/>
      </c>
      <c r="FY25" s="204">
        <f>IF($J25="",#N/A,SUM(FX$4:FX25))</f>
        <v>0</v>
      </c>
      <c r="FZ25" s="205">
        <f t="shared" si="80"/>
        <v>0.29396496565378466</v>
      </c>
      <c r="GA25" s="205">
        <f>IF($J25="",#N/A,SUM(FZ$4:FZ25))</f>
        <v>0.70318817588636717</v>
      </c>
      <c r="GB25" s="205">
        <f>IF($J25="",#N/A,SUM(FZ$4:FZ25,FX$4:FX25,FV$4:FV25))</f>
        <v>0.70318817588636717</v>
      </c>
      <c r="GC25" s="200" t="str">
        <f t="shared" si="81"/>
        <v/>
      </c>
      <c r="GD25" s="203">
        <f>IF($J25="",#N/A,SUM(GC$4:GC25))</f>
        <v>0</v>
      </c>
      <c r="GE25" s="204" t="str">
        <f t="shared" si="82"/>
        <v/>
      </c>
      <c r="GF25" s="204">
        <f>IF($J25="",#N/A,SUM(GE$4:GE25))</f>
        <v>0</v>
      </c>
      <c r="GG25" s="205" t="str">
        <f t="shared" si="83"/>
        <v/>
      </c>
      <c r="GH25" s="205">
        <f>IF($J25="",#N/A,SUM(GG$4:GG25))</f>
        <v>0</v>
      </c>
      <c r="GI25" s="205">
        <f>IF($J25="",#N/A,SUM(GG$4:GG25,GE$4:GE25,GC$4:GC25))</f>
        <v>0</v>
      </c>
      <c r="GJ25" s="200" t="str">
        <f t="shared" si="84"/>
        <v/>
      </c>
      <c r="GK25" s="203">
        <f>IF($J25="",#N/A,SUM(GJ$4:GJ25))</f>
        <v>0</v>
      </c>
      <c r="GL25" s="204" t="str">
        <f t="shared" si="85"/>
        <v/>
      </c>
      <c r="GM25" s="204">
        <f>IF($J25="",#N/A,SUM(GL$4:GL25))</f>
        <v>0</v>
      </c>
      <c r="GN25" s="205" t="str">
        <f t="shared" si="86"/>
        <v/>
      </c>
      <c r="GO25" s="205">
        <f>IF($J25="",#N/A,SUM(GN$4:GN25))</f>
        <v>0</v>
      </c>
      <c r="GP25" s="205">
        <f>IF($J25="",#N/A,SUM(GN$4:GN25,GL$4:GL25,GJ$4:GJ25))</f>
        <v>0</v>
      </c>
      <c r="GS25" s="303">
        <f t="shared" si="105"/>
        <v>0.29396496565378466</v>
      </c>
      <c r="GT25" s="303">
        <f>IF(GS25="",NA(),SUM($GS$4:GS25))</f>
        <v>3.1825278168545936</v>
      </c>
      <c r="GU25" s="303" t="str">
        <f t="shared" si="87"/>
        <v/>
      </c>
      <c r="GV25" s="303" t="e">
        <f>IF(GU25="",NA(),SUM($GU$4:GU25))</f>
        <v>#N/A</v>
      </c>
      <c r="GW25" s="303">
        <f t="shared" si="88"/>
        <v>0.29396496565378466</v>
      </c>
      <c r="GX25" s="303">
        <f>IF(GW25="",NA(),SUM($GW$4:GW25))</f>
        <v>1.1641330172118003</v>
      </c>
      <c r="GY25" s="303" t="str">
        <f t="shared" si="89"/>
        <v/>
      </c>
      <c r="GZ25" s="303" t="e">
        <f>IF(GY25="",NA(),SUM($GY$4:GY25))</f>
        <v>#N/A</v>
      </c>
      <c r="HA25" s="303" t="str">
        <f t="shared" si="90"/>
        <v/>
      </c>
      <c r="HB25" s="303" t="e">
        <f>IF(HA25="",NA(),SUM($HA$4:HA25))</f>
        <v>#N/A</v>
      </c>
      <c r="HC25" s="303" t="str">
        <f t="shared" si="91"/>
        <v/>
      </c>
      <c r="HD25" s="303" t="e">
        <f>IF(HC25="",NA(),SUM($HC$4:HC25))</f>
        <v>#N/A</v>
      </c>
      <c r="HE25" s="303" t="str">
        <f t="shared" si="92"/>
        <v/>
      </c>
      <c r="HF25" s="303" t="e">
        <f>IF(HE25="",NA(),SUM($HE$4:HE25))</f>
        <v>#N/A</v>
      </c>
      <c r="HG25" s="303" t="str">
        <f t="shared" si="93"/>
        <v/>
      </c>
      <c r="HH25" s="303" t="e">
        <f>IF(HG25="",NA(),SUM($HG$4:HG25))</f>
        <v>#N/A</v>
      </c>
      <c r="HI25" s="304" t="str">
        <f t="shared" si="106"/>
        <v/>
      </c>
      <c r="HJ25" s="304">
        <f>IF($J25="",#N/A,SUM(HI$4:$HI25))</f>
        <v>0.15747068742849171</v>
      </c>
      <c r="HK25" s="303" t="str">
        <f t="shared" si="94"/>
        <v/>
      </c>
      <c r="HL25" s="303">
        <f>IF($J25="",#N/A,SUM($HK$4:HK25))</f>
        <v>-3.4652545522110731</v>
      </c>
      <c r="HM25" s="303" t="str">
        <f t="shared" si="95"/>
        <v/>
      </c>
      <c r="HN25" s="303">
        <f>IF($J25="",#N/A,SUM($HM$4:HM25))</f>
        <v>0</v>
      </c>
      <c r="HO25" s="303" t="str">
        <f t="shared" si="96"/>
        <v/>
      </c>
      <c r="HP25" s="303">
        <f>IF($J25="",#N/A,SUM($HO$4:HO25))</f>
        <v>0</v>
      </c>
      <c r="HQ25" s="303">
        <f t="shared" si="97"/>
        <v>-0.35312013328021369</v>
      </c>
      <c r="HR25" s="303">
        <f>IF($J25="",#N/A,SUM($HQ$4:HQ25))</f>
        <v>-1.5356297518653972</v>
      </c>
      <c r="HS25" s="303" t="str">
        <f t="shared" si="98"/>
        <v/>
      </c>
      <c r="HT25" s="303">
        <f>IF($J25="",#N/A,SUM($HS$4:HS25))</f>
        <v>4.2311412086762736</v>
      </c>
      <c r="HU25" s="305">
        <f t="shared" si="99"/>
        <v>-5.9155167626429014E-2</v>
      </c>
      <c r="HV25" s="305">
        <f>IF($J25="",#N/A,SUM(HU$4:$HU25))</f>
        <v>2.5702554088828875</v>
      </c>
    </row>
    <row r="26" spans="1:230" x14ac:dyDescent="0.25">
      <c r="A26" s="59" t="s">
        <v>1375</v>
      </c>
      <c r="B26" s="289" t="s">
        <v>4482</v>
      </c>
      <c r="C26" s="230">
        <f t="shared" si="0"/>
        <v>2</v>
      </c>
      <c r="D26" s="220" t="str">
        <f>_xlfn.XLOOKUP(A26,[1]SP500!$A$2:$A$502,[1]SP500!$D$2:$D$502,"N")</f>
        <v>Y</v>
      </c>
      <c r="E26" s="59" t="str">
        <f>IFERROR(_xlfn.XLOOKUP(A26,[1]SP500!$A$2:$A$655,[1]SP500!$B$2:$B$655),"")</f>
        <v>XLI</v>
      </c>
      <c r="F26" s="290">
        <v>45763</v>
      </c>
      <c r="G26" s="59" t="str">
        <f t="shared" si="1"/>
        <v>AMC</v>
      </c>
      <c r="H26" s="59" t="str">
        <f t="shared" si="2"/>
        <v>s</v>
      </c>
      <c r="I26" s="376">
        <v>27.35</v>
      </c>
      <c r="J26" s="125">
        <v>27.29</v>
      </c>
      <c r="K26" s="60">
        <f t="shared" si="3"/>
        <v>-2.193784277879425E-3</v>
      </c>
      <c r="L26" s="68">
        <f t="shared" si="4"/>
        <v>2.4600000000002638</v>
      </c>
      <c r="M26" s="62">
        <f t="shared" si="5"/>
        <v>0</v>
      </c>
      <c r="N26" s="148">
        <f t="shared" si="6"/>
        <v>2.4600000000002638</v>
      </c>
      <c r="O26" s="287">
        <f>IF(N26="",#N/A,SUM($N$4:N26))</f>
        <v>230.69126460466259</v>
      </c>
      <c r="P26" s="64">
        <f t="shared" si="100"/>
        <v>3.6563071297992945E-2</v>
      </c>
      <c r="Q26" s="183">
        <f>IF($N26="",#N/A,SUM($P$4:P26))</f>
        <v>3.2190908881525866</v>
      </c>
      <c r="R26" s="279">
        <f t="shared" si="7"/>
        <v>0.14181516267961092</v>
      </c>
      <c r="S26" s="59" t="str">
        <f t="shared" si="8"/>
        <v>Dwn</v>
      </c>
      <c r="T26" s="59" t="s">
        <v>4462</v>
      </c>
      <c r="U26" s="61">
        <f t="shared" si="9"/>
        <v>27.35</v>
      </c>
      <c r="V26" s="61" t="s">
        <v>4458</v>
      </c>
      <c r="W26" s="142">
        <v>41</v>
      </c>
      <c r="X26" s="146">
        <f t="shared" si="10"/>
        <v>1121.3500000000001</v>
      </c>
      <c r="Y26" s="142">
        <f t="shared" si="11"/>
        <v>41</v>
      </c>
      <c r="Z26" s="278">
        <v>27.29</v>
      </c>
      <c r="AA26" s="63">
        <f t="shared" si="12"/>
        <v>2.4600000000002638</v>
      </c>
      <c r="AB26" s="63">
        <f t="shared" si="13"/>
        <v>-13.529999999999745</v>
      </c>
      <c r="AC26" s="125">
        <v>27.68</v>
      </c>
      <c r="AD26" s="148">
        <f t="shared" si="14"/>
        <v>-13.529999999999745</v>
      </c>
      <c r="AE26" s="544">
        <f t="shared" si="15"/>
        <v>-0.20109689213893586</v>
      </c>
      <c r="AF26" s="62">
        <f>IF($AC26="",#N/A,SUM(AD$4:AD26))</f>
        <v>173.42958647664602</v>
      </c>
      <c r="AG26" s="63">
        <f t="shared" si="16"/>
        <v>-15.990000000000009</v>
      </c>
      <c r="AH26" s="61" t="s">
        <v>2507</v>
      </c>
      <c r="AI26" s="64">
        <f t="shared" si="17"/>
        <v>3.6563071297992945E-2</v>
      </c>
      <c r="AJ26" s="177">
        <f>IF(AI26="",#N/A,SUM($AI$4:AI26))</f>
        <v>3.0772757254729757</v>
      </c>
      <c r="AK26" s="62">
        <f t="shared" si="18"/>
        <v>2.4600000000002638</v>
      </c>
      <c r="AL26" s="288">
        <f>IF(AI26="",#N/A,IF(AH26="Skip",SUM($AK$4:AK26),SUM($AK$4:AK26)))</f>
        <v>219.27500000000032</v>
      </c>
      <c r="AM26" s="65">
        <f t="shared" si="101"/>
        <v>-0.20109689213893586</v>
      </c>
      <c r="AN26" s="209"/>
      <c r="AO26" s="64" t="str">
        <f t="shared" si="19"/>
        <v/>
      </c>
      <c r="AP26" s="64">
        <f>IF($AC26="",#N/A,SUM(AO$4:AO26))</f>
        <v>3.8596444740226765</v>
      </c>
      <c r="AQ26" s="64" t="str">
        <f t="shared" si="20"/>
        <v/>
      </c>
      <c r="AR26" s="64">
        <f>IF($AC26="",#N/A,SUM(AQ$4:AQ26))</f>
        <v>0</v>
      </c>
      <c r="AS26" s="64">
        <f t="shared" si="21"/>
        <v>-0.20109689213893586</v>
      </c>
      <c r="AT26" s="64">
        <f>IF($AC26="",#N/A,SUM(AS$4:AS26))</f>
        <v>-1.490485957278725</v>
      </c>
      <c r="AU26" s="62" t="str">
        <f t="shared" si="102"/>
        <v/>
      </c>
      <c r="AV26" s="62">
        <f>IF($AC26="",#N/A,SUM(AU$4:AU26))</f>
        <v>252.56795937946242</v>
      </c>
      <c r="AW26" s="62" t="str">
        <f t="shared" si="103"/>
        <v/>
      </c>
      <c r="AX26" s="62">
        <f>IF($AC26="",#N/A,SUM(AW$4:AW26))</f>
        <v>0</v>
      </c>
      <c r="AY26" s="61">
        <f t="shared" si="104"/>
        <v>-13.529999999999745</v>
      </c>
      <c r="AZ26" s="62">
        <f>IF($AC26="",#N/A,SUM(AY$4:AY26))</f>
        <v>-79.1383729028164</v>
      </c>
      <c r="BA26" s="62">
        <f>IF(AD26="",#N/A,SUM($AD$4:AD26))</f>
        <v>173.42958647664602</v>
      </c>
      <c r="BC26" s="59" t="str">
        <f t="shared" si="22"/>
        <v/>
      </c>
      <c r="BD26" s="59" t="str">
        <f t="shared" si="23"/>
        <v/>
      </c>
      <c r="BE26" s="59" t="str">
        <f t="shared" si="24"/>
        <v/>
      </c>
      <c r="BF26" s="59" t="str">
        <f t="shared" si="25"/>
        <v>Short</v>
      </c>
      <c r="BG26" s="59">
        <f t="shared" si="26"/>
        <v>1</v>
      </c>
      <c r="BH26" s="59" t="str">
        <f t="shared" si="27"/>
        <v/>
      </c>
      <c r="BI26" s="59" t="str">
        <f t="shared" si="28"/>
        <v/>
      </c>
      <c r="BK26" s="184"/>
      <c r="BL26" s="184"/>
      <c r="BM26" s="73"/>
      <c r="BO26" s="489" t="e">
        <f>IF(J26="",#N/A,IF(S26="SW",(COUNTIFS(K$4:$K26,"&gt;0",S$4:$S26,"SW")/COUNTIF(S$4:$S26,"SW")),#N/A))</f>
        <v>#N/A</v>
      </c>
      <c r="BP26" s="489">
        <f>IF($J26="",#N/A,IF($S26="DWN",(COUNTIFS($K$4:$K26,"&lt;0",$S$4:$S26,"DWN")/COUNTIF($S$4:$S26,"DWN")),#N/A))</f>
        <v>0.875</v>
      </c>
      <c r="BQ26" s="489" t="e">
        <f>IF($J26="",#N/A,IF($S26="UP",(COUNTIFS($K$4:$K26,"&gt;0",$S$4:$S26,"UP")/COUNTIF($S$4:$S26,"UP")),#N/A))</f>
        <v>#N/A</v>
      </c>
      <c r="BR26" s="489">
        <f>IF(J26="",#N/A,COUNTIF($K$4:K26,"&gt;0")/COUNT($J$4:J26))</f>
        <v>0.39130434782608697</v>
      </c>
      <c r="BS26" s="65" t="str">
        <f t="shared" si="29"/>
        <v/>
      </c>
      <c r="BT26" s="65" t="str">
        <f t="shared" si="30"/>
        <v/>
      </c>
      <c r="BU26" s="65">
        <f t="shared" si="31"/>
        <v>3.6563071297992945E-2</v>
      </c>
      <c r="BV26" s="65" t="str">
        <f t="shared" si="32"/>
        <v/>
      </c>
      <c r="BW26" s="151" t="str">
        <f t="shared" si="33"/>
        <v/>
      </c>
      <c r="BX26" s="151">
        <f>IF($J26="",#N/A,SUM($BW$4:BW26))</f>
        <v>0</v>
      </c>
      <c r="BY26" s="152">
        <f t="shared" si="34"/>
        <v>2.4600000000002638</v>
      </c>
      <c r="BZ26" s="152">
        <f>IF($J26="",#N/A,SUM($BY$4:BY26))</f>
        <v>144.10628046850388</v>
      </c>
      <c r="CA26" s="153" t="str">
        <f t="shared" si="35"/>
        <v/>
      </c>
      <c r="CB26" s="154">
        <f>IF($J26="",#N/A,SUM($CA$4:CA26))</f>
        <v>86.58498413615871</v>
      </c>
      <c r="CC26" s="191" t="str">
        <f t="shared" si="36"/>
        <v/>
      </c>
      <c r="CD26" s="191">
        <f>IF($J26="",#N/A,SUM($CC$4:CC26))</f>
        <v>0</v>
      </c>
      <c r="CE26" s="192">
        <f t="shared" si="37"/>
        <v>3.6563071297992945E-2</v>
      </c>
      <c r="CF26" s="192">
        <f>IF($J26="",#N/A,SUM($CE$4:CE26))</f>
        <v>2.0549578709407856</v>
      </c>
      <c r="CG26" s="193" t="str">
        <f t="shared" si="38"/>
        <v/>
      </c>
      <c r="CH26" s="193">
        <f>IF($J26="",#N/A,SUM($CG$4:CG26))</f>
        <v>1.1641330172118003</v>
      </c>
      <c r="CI26" s="200" t="str">
        <f t="shared" si="39"/>
        <v/>
      </c>
      <c r="CJ26" s="200">
        <f>IF($J26="",#N/A,SUM(CI$4:CI26))</f>
        <v>0</v>
      </c>
      <c r="CK26" s="201" t="str">
        <f t="shared" si="40"/>
        <v/>
      </c>
      <c r="CL26" s="201">
        <f>IF($J26="",#N/A,SUM(CK$4:CK26))</f>
        <v>0</v>
      </c>
      <c r="CM26" s="202" t="str">
        <f t="shared" si="41"/>
        <v/>
      </c>
      <c r="CN26" s="202">
        <f>IF($J26="",#N/A,SUM(CM$4:CM26))</f>
        <v>0</v>
      </c>
      <c r="CO26" s="202">
        <f>IF($J26="",#N/A,SUM(CM$4:CM26,CK$4:CK26,CI$4:CI26))</f>
        <v>0</v>
      </c>
      <c r="CP26" s="200" t="str">
        <f t="shared" si="42"/>
        <v/>
      </c>
      <c r="CQ26" s="200">
        <f>IF($J26="",#N/A,SUM(CP$4:CP26))</f>
        <v>0</v>
      </c>
      <c r="CR26" s="201" t="str">
        <f t="shared" si="43"/>
        <v/>
      </c>
      <c r="CS26" s="201">
        <f>IF($J26="",#N/A,SUM(CR$4:CR26))</f>
        <v>0</v>
      </c>
      <c r="CT26" s="202" t="str">
        <f t="shared" si="44"/>
        <v/>
      </c>
      <c r="CU26" s="202">
        <f>IF($J26="",#N/A,SUM(CT$4:CT26))</f>
        <v>0</v>
      </c>
      <c r="CV26" s="202">
        <f>IF($J26="",#N/A,SUM(CT$4:CT26,CR$4:CR26,CP$4:CP26))</f>
        <v>0</v>
      </c>
      <c r="CW26" s="200" t="str">
        <f t="shared" si="45"/>
        <v/>
      </c>
      <c r="CX26" s="200">
        <f>IF($J26="",#N/A,SUM(CW$4:CW26))</f>
        <v>0</v>
      </c>
      <c r="CY26" s="201" t="str">
        <f t="shared" si="46"/>
        <v/>
      </c>
      <c r="CZ26" s="201">
        <f>IF($J26="",#N/A,SUM(CY$4:CY26))</f>
        <v>0</v>
      </c>
      <c r="DA26" s="202" t="str">
        <f t="shared" si="47"/>
        <v/>
      </c>
      <c r="DB26" s="202">
        <f>IF($J26="",#N/A,SUM(DA$4:DA26))</f>
        <v>0</v>
      </c>
      <c r="DC26" s="202">
        <f>IF($J26="",#N/A,SUM(DA$4:DA26,CY$4:CY26,CW$4:CW26))</f>
        <v>0</v>
      </c>
      <c r="DD26" s="200" t="str">
        <f t="shared" si="48"/>
        <v/>
      </c>
      <c r="DE26" s="200">
        <f>IF($J26="",#N/A,SUM(DD$4:DD26))</f>
        <v>0</v>
      </c>
      <c r="DF26" s="201" t="str">
        <f t="shared" si="49"/>
        <v/>
      </c>
      <c r="DG26" s="201">
        <f>IF($J26="",#N/A,SUM(DF$4:DF26))</f>
        <v>0.6788440567066546</v>
      </c>
      <c r="DH26" s="202" t="str">
        <f t="shared" si="50"/>
        <v/>
      </c>
      <c r="DI26" s="202">
        <f>IF($J26="",#N/A,SUM(DH$4:DH26))</f>
        <v>0</v>
      </c>
      <c r="DJ26" s="202">
        <f>IF($J26="",#N/A,SUM(DH$4:DH26,DF$4:DF26,DD$4:DD26))</f>
        <v>0.6788440567066546</v>
      </c>
      <c r="DK26" s="200" t="str">
        <f t="shared" si="51"/>
        <v/>
      </c>
      <c r="DL26" s="200">
        <f>IF($J26="",#N/A,SUM(DK$4:DK26))</f>
        <v>0</v>
      </c>
      <c r="DM26" s="201" t="str">
        <f t="shared" si="52"/>
        <v/>
      </c>
      <c r="DN26" s="201">
        <f>IF($J26="",#N/A,SUM(DM$4:DM26))</f>
        <v>0.36227168206863897</v>
      </c>
      <c r="DO26" s="202" t="str">
        <f t="shared" si="53"/>
        <v/>
      </c>
      <c r="DP26" s="202">
        <f>IF($J26="",#N/A,SUM(DO$4:DO26))</f>
        <v>0</v>
      </c>
      <c r="DQ26" s="202">
        <f>IF($J26="",#N/A,SUM(DO$4:DO26,DM$4:DM26,DK$4:DK26))</f>
        <v>0.36227168206863897</v>
      </c>
      <c r="DR26" s="200" t="str">
        <f t="shared" si="54"/>
        <v/>
      </c>
      <c r="DS26" s="200">
        <f>IF($J26="",#N/A,SUM(DR$4:DR26))</f>
        <v>0</v>
      </c>
      <c r="DT26" s="201" t="str">
        <f t="shared" si="55"/>
        <v/>
      </c>
      <c r="DU26" s="201">
        <f>IF($J26="",#N/A,SUM(DT$4:DT26))</f>
        <v>0.57866260122346558</v>
      </c>
      <c r="DV26" s="202" t="str">
        <f t="shared" si="56"/>
        <v/>
      </c>
      <c r="DW26" s="202">
        <f>IF($J26="",#N/A,SUM(DV$4:DV26))</f>
        <v>-0.6705207183740266</v>
      </c>
      <c r="DX26" s="202">
        <f>IF($J26="",#N/A,SUM(DV$4:DV26,DT$4:DT26,DR$4:DR26))</f>
        <v>-9.1858117150560997E-2</v>
      </c>
      <c r="DY26" s="200" t="str">
        <f t="shared" si="57"/>
        <v/>
      </c>
      <c r="DZ26" s="200">
        <f>IF($J26="",#N/A,SUM(DY$4:DY26))</f>
        <v>0</v>
      </c>
      <c r="EA26" s="201">
        <f t="shared" si="58"/>
        <v>3.6563071297992945E-2</v>
      </c>
      <c r="EB26" s="201">
        <f>IF($J26="",#N/A,SUM(EA$4:EA26))</f>
        <v>0.43517953094202633</v>
      </c>
      <c r="EC26" s="202" t="str">
        <f t="shared" si="59"/>
        <v/>
      </c>
      <c r="ED26" s="202">
        <f>IF($J26="",#N/A,SUM(EC$4:EC26))</f>
        <v>0.52792722625163879</v>
      </c>
      <c r="EE26" s="202">
        <f>IF($J26="",#N/A,SUM(EC$4:EC26,EA$4:EA26,DY$4:DY26))</f>
        <v>0.96310675719366512</v>
      </c>
      <c r="EF26" s="200" t="str">
        <f t="shared" si="60"/>
        <v/>
      </c>
      <c r="EG26" s="200">
        <f>IF($J26="",#N/A,SUM(EF$4:EF26))</f>
        <v>0</v>
      </c>
      <c r="EH26" s="201" t="str">
        <f t="shared" si="61"/>
        <v/>
      </c>
      <c r="EI26" s="201">
        <f>IF($J26="",#N/A,SUM(EH$4:EH26))</f>
        <v>0</v>
      </c>
      <c r="EJ26" s="202" t="str">
        <f t="shared" si="62"/>
        <v/>
      </c>
      <c r="EK26" s="202">
        <f>IF($J26="",#N/A,SUM(EJ$4:EJ26))</f>
        <v>0.6035383334478206</v>
      </c>
      <c r="EL26" s="202">
        <f>IF($J26="",#N/A,SUM(EJ$4:EJ26,EH$4:EH26,EF$4:EF26))</f>
        <v>0.6035383334478206</v>
      </c>
      <c r="EM26" s="200" t="str">
        <f t="shared" si="63"/>
        <v/>
      </c>
      <c r="EN26" s="200">
        <f>IF($J26="",#N/A,SUM(EM$4:EM26))</f>
        <v>0</v>
      </c>
      <c r="EO26" s="201" t="str">
        <f t="shared" si="64"/>
        <v/>
      </c>
      <c r="EP26" s="201">
        <f>IF($J26="",#N/A,SUM(EO$4:EO26))</f>
        <v>0</v>
      </c>
      <c r="EQ26" s="202" t="str">
        <f t="shared" si="65"/>
        <v/>
      </c>
      <c r="ER26" s="202">
        <f>IF($J26="",#N/A,SUM(EQ$4:EQ26))</f>
        <v>0</v>
      </c>
      <c r="ES26" s="202">
        <f>IF($J26="",#N/A,SUM(EQ$4:EQ26,EO$4:EO26,EM$4:EM26))</f>
        <v>0</v>
      </c>
      <c r="ET26" s="200" t="str">
        <f t="shared" si="66"/>
        <v/>
      </c>
      <c r="EU26" s="200">
        <f>IF($J26="",#N/A,SUM(ET$4:ET26))</f>
        <v>0</v>
      </c>
      <c r="EV26" s="201" t="str">
        <f t="shared" si="67"/>
        <v/>
      </c>
      <c r="EW26" s="201">
        <f>IF($J26="",#N/A,SUM(EV$4:EV26))</f>
        <v>0</v>
      </c>
      <c r="EX26" s="202" t="str">
        <f t="shared" si="68"/>
        <v/>
      </c>
      <c r="EY26" s="202">
        <f>IF($J26="",#N/A,SUM(EX$4:EX26))</f>
        <v>0</v>
      </c>
      <c r="EZ26" s="202">
        <f>IF($J26="",#N/A,SUM(EX$4:EX26,EV$4:EV26,ET$4:ET26))</f>
        <v>0</v>
      </c>
      <c r="FA26" s="200" t="str">
        <f t="shared" si="69"/>
        <v/>
      </c>
      <c r="FB26" s="200">
        <f>IF($J26="",#N/A,SUM(FA$4:FA26))</f>
        <v>0</v>
      </c>
      <c r="FC26" s="201" t="str">
        <f t="shared" si="70"/>
        <v/>
      </c>
      <c r="FD26" s="201">
        <f>IF($J26="",#N/A,SUM(FC$4:FC26))</f>
        <v>0</v>
      </c>
      <c r="FE26" s="202" t="str">
        <f t="shared" si="71"/>
        <v/>
      </c>
      <c r="FF26" s="202">
        <f>IF($J26="",#N/A,SUM(FE$4:FE26))</f>
        <v>0</v>
      </c>
      <c r="FG26" s="202">
        <f>IF($J26="",#N/A,SUM(FE$4:FE26,FC$4:FC26,FA$4:FA26))</f>
        <v>0</v>
      </c>
      <c r="FH26" s="200" t="str">
        <f t="shared" si="72"/>
        <v/>
      </c>
      <c r="FI26" s="200">
        <f>IF($J26="",#N/A,SUM(FH$4:FH26))</f>
        <v>0</v>
      </c>
      <c r="FJ26" s="201" t="str">
        <f t="shared" si="73"/>
        <v/>
      </c>
      <c r="FK26" s="201">
        <f>IF($J26="",#N/A,SUM(FJ$4:FJ26))</f>
        <v>0</v>
      </c>
      <c r="FL26" s="202" t="str">
        <f t="shared" si="74"/>
        <v/>
      </c>
      <c r="FM26" s="202">
        <f>IF($J26="",#N/A,SUM(FL$4:FL26))</f>
        <v>0</v>
      </c>
      <c r="FN26" s="202">
        <f>IF($J26="",#N/A,SUM(FL$4:FL26,FJ$4:FJ26,FH$4:FH26))</f>
        <v>0</v>
      </c>
      <c r="FO26" s="200" t="str">
        <f t="shared" si="75"/>
        <v/>
      </c>
      <c r="FP26" s="200">
        <f>IF($J26="",#N/A,SUM(FO$4:FO26))</f>
        <v>0</v>
      </c>
      <c r="FQ26" s="201" t="str">
        <f t="shared" si="76"/>
        <v/>
      </c>
      <c r="FR26" s="201">
        <f>IF($J26="",#N/A,SUM(FQ$4:FQ26))</f>
        <v>0</v>
      </c>
      <c r="FS26" s="202" t="str">
        <f t="shared" si="77"/>
        <v/>
      </c>
      <c r="FT26" s="202">
        <f>IF($J26="",#N/A,SUM(FS$4:FS26))</f>
        <v>0</v>
      </c>
      <c r="FU26" s="202">
        <f>IF($J26="",#N/A,SUM(FS$4:FS26,FQ$4:FQ26,FO$4:FO26))</f>
        <v>0</v>
      </c>
      <c r="FV26" s="200" t="str">
        <f t="shared" si="78"/>
        <v/>
      </c>
      <c r="FW26" s="200">
        <f>IF($J26="",#N/A,SUM(FV$4:FV26))</f>
        <v>0</v>
      </c>
      <c r="FX26" s="201" t="str">
        <f t="shared" si="79"/>
        <v/>
      </c>
      <c r="FY26" s="201">
        <f>IF($J26="",#N/A,SUM(FX$4:FX26))</f>
        <v>0</v>
      </c>
      <c r="FZ26" s="202" t="str">
        <f t="shared" si="80"/>
        <v/>
      </c>
      <c r="GA26" s="202">
        <f>IF($J26="",#N/A,SUM(FZ$4:FZ26))</f>
        <v>0.70318817588636717</v>
      </c>
      <c r="GB26" s="202">
        <f>IF($J26="",#N/A,SUM(FZ$4:FZ26,FX$4:FX26,FV$4:FV26))</f>
        <v>0.70318817588636717</v>
      </c>
      <c r="GC26" s="200" t="str">
        <f t="shared" si="81"/>
        <v/>
      </c>
      <c r="GD26" s="200">
        <f>IF($J26="",#N/A,SUM(GC$4:GC26))</f>
        <v>0</v>
      </c>
      <c r="GE26" s="201" t="str">
        <f t="shared" si="82"/>
        <v/>
      </c>
      <c r="GF26" s="201">
        <f>IF($J26="",#N/A,SUM(GE$4:GE26))</f>
        <v>0</v>
      </c>
      <c r="GG26" s="202" t="str">
        <f t="shared" si="83"/>
        <v/>
      </c>
      <c r="GH26" s="202">
        <f>IF($J26="",#N/A,SUM(GG$4:GG26))</f>
        <v>0</v>
      </c>
      <c r="GI26" s="202">
        <f>IF($J26="",#N/A,SUM(GG$4:GG26,GE$4:GE26,GC$4:GC26))</f>
        <v>0</v>
      </c>
      <c r="GJ26" s="200" t="str">
        <f t="shared" si="84"/>
        <v/>
      </c>
      <c r="GK26" s="200">
        <f>IF($J26="",#N/A,SUM(GJ$4:GJ26))</f>
        <v>0</v>
      </c>
      <c r="GL26" s="201" t="str">
        <f t="shared" si="85"/>
        <v/>
      </c>
      <c r="GM26" s="201">
        <f>IF($J26="",#N/A,SUM(GL$4:GL26))</f>
        <v>0</v>
      </c>
      <c r="GN26" s="202" t="str">
        <f t="shared" si="86"/>
        <v/>
      </c>
      <c r="GO26" s="202">
        <f>IF($J26="",#N/A,SUM(GN$4:GN26))</f>
        <v>0</v>
      </c>
      <c r="GP26" s="202">
        <f>IF($J26="",#N/A,SUM(GN$4:GN26,GL$4:GL26,GJ$4:GJ26))</f>
        <v>0</v>
      </c>
      <c r="GS26" s="177">
        <f t="shared" si="105"/>
        <v>3.6563071297992945E-2</v>
      </c>
      <c r="GT26" s="177">
        <f>IF(GS26="",NA(),SUM($GS$4:GS26))</f>
        <v>3.2190908881525866</v>
      </c>
      <c r="GU26" s="177" t="str">
        <f t="shared" si="87"/>
        <v/>
      </c>
      <c r="GV26" s="177" t="e">
        <f>IF(GU26="",NA(),SUM($GU$4:GU26))</f>
        <v>#N/A</v>
      </c>
      <c r="GW26" s="177" t="str">
        <f t="shared" si="88"/>
        <v/>
      </c>
      <c r="GX26" s="177" t="e">
        <f>IF(GW26="",NA(),SUM($GW$4:GW26))</f>
        <v>#N/A</v>
      </c>
      <c r="GY26" s="177">
        <f t="shared" si="89"/>
        <v>3.6563071297992945E-2</v>
      </c>
      <c r="GZ26" s="177">
        <f>IF(GY26="",NA(),SUM($GY$4:GY26))</f>
        <v>2.0549578709407856</v>
      </c>
      <c r="HA26" s="177" t="str">
        <f t="shared" si="90"/>
        <v/>
      </c>
      <c r="HB26" s="177" t="e">
        <f>IF(HA26="",NA(),SUM($HA$4:HA26))</f>
        <v>#N/A</v>
      </c>
      <c r="HC26" s="177" t="str">
        <f t="shared" si="91"/>
        <v/>
      </c>
      <c r="HD26" s="177" t="e">
        <f>IF(HC26="",NA(),SUM($HC$4:HC26))</f>
        <v>#N/A</v>
      </c>
      <c r="HE26" s="177" t="str">
        <f t="shared" si="92"/>
        <v/>
      </c>
      <c r="HF26" s="177" t="e">
        <f>IF(HE26="",NA(),SUM($HE$4:HE26))</f>
        <v>#N/A</v>
      </c>
      <c r="HG26" s="177" t="str">
        <f t="shared" si="93"/>
        <v/>
      </c>
      <c r="HH26" s="177" t="e">
        <f>IF(HG26="",NA(),SUM($HG$4:HG26))</f>
        <v>#N/A</v>
      </c>
      <c r="HI26" s="183">
        <f t="shared" si="106"/>
        <v>-0.2376599634369288</v>
      </c>
      <c r="HJ26" s="183">
        <f>IF($J26="",#N/A,SUM(HI$4:$HI26))</f>
        <v>-8.0189276008437088E-2</v>
      </c>
      <c r="HK26" s="177" t="str">
        <f t="shared" si="94"/>
        <v/>
      </c>
      <c r="HL26" s="177">
        <f>IF($J26="",#N/A,SUM($HK$4:HK26))</f>
        <v>-3.4652545522110731</v>
      </c>
      <c r="HM26" s="177" t="str">
        <f t="shared" si="95"/>
        <v/>
      </c>
      <c r="HN26" s="177">
        <f>IF($J26="",#N/A,SUM($HM$4:HM26))</f>
        <v>0</v>
      </c>
      <c r="HO26" s="177" t="str">
        <f t="shared" si="96"/>
        <v/>
      </c>
      <c r="HP26" s="177">
        <f>IF($J26="",#N/A,SUM($HO$4:HO26))</f>
        <v>0</v>
      </c>
      <c r="HQ26" s="177" t="str">
        <f t="shared" si="97"/>
        <v/>
      </c>
      <c r="HR26" s="177">
        <f>IF($J26="",#N/A,SUM($HQ$4:HQ26))</f>
        <v>-1.5356297518653972</v>
      </c>
      <c r="HS26" s="177" t="str">
        <f t="shared" si="98"/>
        <v/>
      </c>
      <c r="HT26" s="177">
        <f>IF($J26="",#N/A,SUM($HS$4:HS26))</f>
        <v>4.2311412086762736</v>
      </c>
      <c r="HU26" s="64">
        <f t="shared" si="99"/>
        <v>-0.20109689213893586</v>
      </c>
      <c r="HV26" s="64">
        <f>IF($J26="",#N/A,SUM(HU$4:$HU26))</f>
        <v>2.3691585167439517</v>
      </c>
    </row>
    <row r="27" spans="1:230" x14ac:dyDescent="0.25">
      <c r="A27" s="51" t="s">
        <v>1383</v>
      </c>
      <c r="B27" s="52" t="s">
        <v>4498</v>
      </c>
      <c r="C27" s="229">
        <f t="shared" si="0"/>
        <v>3</v>
      </c>
      <c r="D27" s="219" t="str">
        <f>_xlfn.XLOOKUP(A27,[1]SP500!$A$2:$A$502,[1]SP500!$D$2:$D$502,"N")</f>
        <v>Y</v>
      </c>
      <c r="E27" s="51" t="str">
        <f>IFERROR(_xlfn.XLOOKUP(A27,[1]SP500!$A$2:$A$655,[1]SP500!$B$2:$B$655),"")</f>
        <v>XLE</v>
      </c>
      <c r="F27" s="53">
        <v>45763</v>
      </c>
      <c r="G27" s="51" t="str">
        <f t="shared" si="1"/>
        <v>AMC</v>
      </c>
      <c r="H27" s="51" t="str">
        <f t="shared" si="2"/>
        <v>sk</v>
      </c>
      <c r="I27" s="344">
        <v>26.95</v>
      </c>
      <c r="J27" s="123">
        <v>26.77</v>
      </c>
      <c r="K27" s="55">
        <f t="shared" si="3"/>
        <v>-6.6790352504638118E-3</v>
      </c>
      <c r="L27" s="67">
        <f t="shared" si="4"/>
        <v>-7.6808905380335091</v>
      </c>
      <c r="M27" s="57" t="e">
        <f t="shared" si="5"/>
        <v>#N/A</v>
      </c>
      <c r="N27" s="155">
        <f t="shared" si="6"/>
        <v>-7.6808905380335091</v>
      </c>
      <c r="O27" s="156">
        <f>IF(N27="",#N/A,SUM($N$4:N27))</f>
        <v>223.01037406662908</v>
      </c>
      <c r="P27" s="65">
        <f t="shared" si="100"/>
        <v>-0.11131725417439868</v>
      </c>
      <c r="Q27" s="172">
        <f>IF($N27="",#N/A,SUM($P$4:P27))</f>
        <v>3.1077736339781881</v>
      </c>
      <c r="R27" s="279">
        <f t="shared" si="7"/>
        <v>3.049790850521239E-2</v>
      </c>
      <c r="S27" s="51" t="str">
        <f t="shared" si="8"/>
        <v>SW</v>
      </c>
      <c r="T27" s="51" t="s">
        <v>2828</v>
      </c>
      <c r="U27" s="56">
        <f t="shared" si="9"/>
        <v>26.95</v>
      </c>
      <c r="V27" s="56" t="s">
        <v>4460</v>
      </c>
      <c r="W27" s="340">
        <f>IF(I27="","",1150/I27)</f>
        <v>42.671614100185529</v>
      </c>
      <c r="X27" s="145">
        <f t="shared" si="10"/>
        <v>1150</v>
      </c>
      <c r="Y27" s="73">
        <f t="shared" si="11"/>
        <v>42.671614100185529</v>
      </c>
      <c r="Z27" s="538">
        <f>J27</f>
        <v>26.77</v>
      </c>
      <c r="AA27" s="102">
        <f t="shared" si="12"/>
        <v>-7.6808905380335091</v>
      </c>
      <c r="AB27" s="102">
        <f t="shared" si="13"/>
        <v>6.4007421150279242</v>
      </c>
      <c r="AC27" s="124">
        <v>27.1</v>
      </c>
      <c r="AD27" s="155">
        <f t="shared" si="14"/>
        <v>6.4007421150279242</v>
      </c>
      <c r="AE27" s="545">
        <f t="shared" si="15"/>
        <v>9.2764378478665574E-2</v>
      </c>
      <c r="AF27" s="57">
        <f>IF($AC27="",#N/A,SUM(AD$4:AD27))</f>
        <v>179.83032859167395</v>
      </c>
      <c r="AG27" s="102">
        <f t="shared" si="16"/>
        <v>14.081632653061433</v>
      </c>
      <c r="AH27" s="56" t="s">
        <v>4464</v>
      </c>
      <c r="AI27" s="65">
        <f t="shared" si="17"/>
        <v>0</v>
      </c>
      <c r="AJ27" s="54">
        <f>IF(AI27="",#N/A,SUM($AI$4:AI27))</f>
        <v>3.0772757254729757</v>
      </c>
      <c r="AK27" s="57" t="str">
        <f t="shared" si="18"/>
        <v/>
      </c>
      <c r="AL27" s="58">
        <f>IF(AI27="",#N/A,IF(AH27="Skip",SUM($AK$4:AK27),SUM($AK$4:AK27)))</f>
        <v>219.27500000000032</v>
      </c>
      <c r="AM27" s="65">
        <f t="shared" si="101"/>
        <v>9.2764378478665574E-2</v>
      </c>
      <c r="AN27" s="209"/>
      <c r="AO27" s="65">
        <f t="shared" si="19"/>
        <v>9.2764378478665574E-2</v>
      </c>
      <c r="AP27" s="65">
        <f>IF($AC27="",#N/A,SUM(AO$4:AO27))</f>
        <v>3.9524088525013421</v>
      </c>
      <c r="AQ27" s="65" t="str">
        <f t="shared" si="20"/>
        <v/>
      </c>
      <c r="AR27" s="65">
        <f>IF($AC27="",#N/A,SUM(AQ$4:AQ27))</f>
        <v>0</v>
      </c>
      <c r="AS27" s="65" t="str">
        <f t="shared" si="21"/>
        <v/>
      </c>
      <c r="AT27" s="65">
        <f>IF($AC27="",#N/A,SUM(AS$4:AS27))</f>
        <v>-1.490485957278725</v>
      </c>
      <c r="AU27" s="57">
        <f t="shared" si="102"/>
        <v>6.4007421150279242</v>
      </c>
      <c r="AV27" s="57">
        <f>IF($AC27="",#N/A,SUM(AU$4:AU27))</f>
        <v>258.96870149449035</v>
      </c>
      <c r="AW27" s="57" t="str">
        <f t="shared" si="103"/>
        <v/>
      </c>
      <c r="AX27" s="57">
        <f>IF($AC27="",#N/A,SUM(AW$4:AW27))</f>
        <v>0</v>
      </c>
      <c r="AY27" s="56" t="str">
        <f t="shared" si="104"/>
        <v/>
      </c>
      <c r="AZ27" s="57">
        <f>IF($AC27="",#N/A,SUM(AY$4:AY27))</f>
        <v>-79.1383729028164</v>
      </c>
      <c r="BA27" s="57">
        <f>IF(AD27="",#N/A,SUM($AD$4:AD27))</f>
        <v>179.83032859167395</v>
      </c>
      <c r="BC27" s="51" t="str">
        <f t="shared" si="22"/>
        <v/>
      </c>
      <c r="BD27" s="51" t="str">
        <f t="shared" si="23"/>
        <v/>
      </c>
      <c r="BE27" s="51" t="str">
        <f t="shared" si="24"/>
        <v/>
      </c>
      <c r="BF27" s="51" t="str">
        <f t="shared" si="25"/>
        <v>Long</v>
      </c>
      <c r="BG27" s="51" t="str">
        <f t="shared" si="26"/>
        <v/>
      </c>
      <c r="BH27" s="51" t="str">
        <f t="shared" si="27"/>
        <v/>
      </c>
      <c r="BI27" s="51">
        <f t="shared" si="28"/>
        <v>1</v>
      </c>
      <c r="BK27" s="184"/>
      <c r="BL27" s="184"/>
      <c r="BM27" s="73"/>
      <c r="BO27" s="489">
        <f>IF(J27="",#N/A,IF(S27="SW",(COUNTIFS(K$4:$K27,"&gt;0",S$4:$S27,"SW")/COUNTIF(S$4:$S27,"SW")),#N/A))</f>
        <v>0.5</v>
      </c>
      <c r="BP27" s="489" t="e">
        <f>IF($J27="",#N/A,IF($S27="DWN",(COUNTIFS($K$4:$K27,"&lt;0",$S$4:$S27,"DWN")/COUNTIF($S$4:$S27,"DWN")),#N/A))</f>
        <v>#N/A</v>
      </c>
      <c r="BQ27" s="489" t="e">
        <f>IF($J27="",#N/A,IF($S27="UP",(COUNTIFS($K$4:$K27,"&gt;0",$S$4:$S27,"UP")/COUNTIF($S$4:$S27,"UP")),#N/A))</f>
        <v>#N/A</v>
      </c>
      <c r="BR27" s="489">
        <f>IF(J27="",#N/A,COUNTIF($K$4:K27,"&gt;0")/COUNT($J$4:J27))</f>
        <v>0.375</v>
      </c>
      <c r="BS27" s="73" t="str">
        <f t="shared" si="29"/>
        <v/>
      </c>
      <c r="BT27" s="73" t="str">
        <f t="shared" si="30"/>
        <v/>
      </c>
      <c r="BU27" s="73" t="str">
        <f t="shared" si="31"/>
        <v/>
      </c>
      <c r="BV27" s="73" t="str">
        <f t="shared" si="32"/>
        <v/>
      </c>
      <c r="BW27" s="151" t="str">
        <f t="shared" si="33"/>
        <v/>
      </c>
      <c r="BX27" s="151">
        <f>IF($J27="",#N/A,SUM($BW$4:BW27))</f>
        <v>0</v>
      </c>
      <c r="BY27" s="152" t="str">
        <f t="shared" si="34"/>
        <v/>
      </c>
      <c r="BZ27" s="152">
        <f>IF($J27="",#N/A,SUM($BY$4:BY27))</f>
        <v>144.10628046850388</v>
      </c>
      <c r="CA27" s="153">
        <f t="shared" si="35"/>
        <v>-7.6808905380335091</v>
      </c>
      <c r="CB27" s="154">
        <f>IF($J27="",#N/A,SUM($CA$4:CA27))</f>
        <v>78.904093598125201</v>
      </c>
      <c r="CC27" s="191" t="str">
        <f t="shared" si="36"/>
        <v/>
      </c>
      <c r="CD27" s="191">
        <f>IF($J27="",#N/A,SUM($CC$4:CC27))</f>
        <v>0</v>
      </c>
      <c r="CE27" s="192" t="str">
        <f t="shared" si="37"/>
        <v/>
      </c>
      <c r="CF27" s="192">
        <f>IF($J27="",#N/A,SUM($CE$4:CE27))</f>
        <v>2.0549578709407856</v>
      </c>
      <c r="CG27" s="193">
        <f t="shared" si="38"/>
        <v>-0.11131725417439868</v>
      </c>
      <c r="CH27" s="193">
        <f>IF($J27="",#N/A,SUM($CG$4:CG27))</f>
        <v>1.0528157630374015</v>
      </c>
      <c r="CI27" s="200" t="str">
        <f t="shared" si="39"/>
        <v/>
      </c>
      <c r="CJ27" s="200">
        <f>IF($J27="",#N/A,SUM(CI$4:CI27))</f>
        <v>0</v>
      </c>
      <c r="CK27" s="201" t="str">
        <f t="shared" si="40"/>
        <v/>
      </c>
      <c r="CL27" s="201">
        <f>IF($J27="",#N/A,SUM(CK$4:CK27))</f>
        <v>0</v>
      </c>
      <c r="CM27" s="202" t="str">
        <f t="shared" si="41"/>
        <v/>
      </c>
      <c r="CN27" s="202">
        <f>IF($J27="",#N/A,SUM(CM$4:CM27))</f>
        <v>0</v>
      </c>
      <c r="CO27" s="202">
        <f>IF($J27="",#N/A,SUM(CM$4:CM27,CK$4:CK27,CI$4:CI27))</f>
        <v>0</v>
      </c>
      <c r="CP27" s="200" t="str">
        <f t="shared" si="42"/>
        <v/>
      </c>
      <c r="CQ27" s="200">
        <f>IF($J27="",#N/A,SUM(CP$4:CP27))</f>
        <v>0</v>
      </c>
      <c r="CR27" s="201" t="str">
        <f t="shared" si="43"/>
        <v/>
      </c>
      <c r="CS27" s="201">
        <f>IF($J27="",#N/A,SUM(CR$4:CR27))</f>
        <v>0</v>
      </c>
      <c r="CT27" s="202" t="str">
        <f t="shared" si="44"/>
        <v/>
      </c>
      <c r="CU27" s="202">
        <f>IF($J27="",#N/A,SUM(CT$4:CT27))</f>
        <v>0</v>
      </c>
      <c r="CV27" s="202">
        <f>IF($J27="",#N/A,SUM(CT$4:CT27,CR$4:CR27,CP$4:CP27))</f>
        <v>0</v>
      </c>
      <c r="CW27" s="200" t="str">
        <f t="shared" si="45"/>
        <v/>
      </c>
      <c r="CX27" s="200">
        <f>IF($J27="",#N/A,SUM(CW$4:CW27))</f>
        <v>0</v>
      </c>
      <c r="CY27" s="201" t="str">
        <f t="shared" si="46"/>
        <v/>
      </c>
      <c r="CZ27" s="201">
        <f>IF($J27="",#N/A,SUM(CY$4:CY27))</f>
        <v>0</v>
      </c>
      <c r="DA27" s="202" t="str">
        <f t="shared" si="47"/>
        <v/>
      </c>
      <c r="DB27" s="202">
        <f>IF($J27="",#N/A,SUM(DA$4:DA27))</f>
        <v>0</v>
      </c>
      <c r="DC27" s="202">
        <f>IF($J27="",#N/A,SUM(DA$4:DA27,CY$4:CY27,CW$4:CW27))</f>
        <v>0</v>
      </c>
      <c r="DD27" s="200" t="str">
        <f t="shared" si="48"/>
        <v/>
      </c>
      <c r="DE27" s="200">
        <f>IF($J27="",#N/A,SUM(DD$4:DD27))</f>
        <v>0</v>
      </c>
      <c r="DF27" s="201" t="str">
        <f t="shared" si="49"/>
        <v/>
      </c>
      <c r="DG27" s="201">
        <f>IF($J27="",#N/A,SUM(DF$4:DF27))</f>
        <v>0.6788440567066546</v>
      </c>
      <c r="DH27" s="202" t="str">
        <f t="shared" si="50"/>
        <v/>
      </c>
      <c r="DI27" s="202">
        <f>IF($J27="",#N/A,SUM(DH$4:DH27))</f>
        <v>0</v>
      </c>
      <c r="DJ27" s="202">
        <f>IF($J27="",#N/A,SUM(DH$4:DH27,DF$4:DF27,DD$4:DD27))</f>
        <v>0.6788440567066546</v>
      </c>
      <c r="DK27" s="200" t="str">
        <f t="shared" si="51"/>
        <v/>
      </c>
      <c r="DL27" s="200">
        <f>IF($J27="",#N/A,SUM(DK$4:DK27))</f>
        <v>0</v>
      </c>
      <c r="DM27" s="201" t="str">
        <f t="shared" si="52"/>
        <v/>
      </c>
      <c r="DN27" s="201">
        <f>IF($J27="",#N/A,SUM(DM$4:DM27))</f>
        <v>0.36227168206863897</v>
      </c>
      <c r="DO27" s="202" t="str">
        <f t="shared" si="53"/>
        <v/>
      </c>
      <c r="DP27" s="202">
        <f>IF($J27="",#N/A,SUM(DO$4:DO27))</f>
        <v>0</v>
      </c>
      <c r="DQ27" s="202">
        <f>IF($J27="",#N/A,SUM(DO$4:DO27,DM$4:DM27,DK$4:DK27))</f>
        <v>0.36227168206863897</v>
      </c>
      <c r="DR27" s="200" t="str">
        <f t="shared" si="54"/>
        <v/>
      </c>
      <c r="DS27" s="200">
        <f>IF($J27="",#N/A,SUM(DR$4:DR27))</f>
        <v>0</v>
      </c>
      <c r="DT27" s="201" t="str">
        <f t="shared" si="55"/>
        <v/>
      </c>
      <c r="DU27" s="201">
        <f>IF($J27="",#N/A,SUM(DT$4:DT27))</f>
        <v>0.57866260122346558</v>
      </c>
      <c r="DV27" s="202" t="str">
        <f t="shared" si="56"/>
        <v/>
      </c>
      <c r="DW27" s="202">
        <f>IF($J27="",#N/A,SUM(DV$4:DV27))</f>
        <v>-0.6705207183740266</v>
      </c>
      <c r="DX27" s="202">
        <f>IF($J27="",#N/A,SUM(DV$4:DV27,DT$4:DT27,DR$4:DR27))</f>
        <v>-9.1858117150560997E-2</v>
      </c>
      <c r="DY27" s="200" t="str">
        <f t="shared" si="57"/>
        <v/>
      </c>
      <c r="DZ27" s="200">
        <f>IF($J27="",#N/A,SUM(DY$4:DY27))</f>
        <v>0</v>
      </c>
      <c r="EA27" s="201" t="str">
        <f t="shared" si="58"/>
        <v/>
      </c>
      <c r="EB27" s="201">
        <f>IF($J27="",#N/A,SUM(EA$4:EA27))</f>
        <v>0.43517953094202633</v>
      </c>
      <c r="EC27" s="202" t="str">
        <f t="shared" si="59"/>
        <v/>
      </c>
      <c r="ED27" s="202">
        <f>IF($J27="",#N/A,SUM(EC$4:EC27))</f>
        <v>0.52792722625163879</v>
      </c>
      <c r="EE27" s="202">
        <f>IF($J27="",#N/A,SUM(EC$4:EC27,EA$4:EA27,DY$4:DY27))</f>
        <v>0.96310675719366512</v>
      </c>
      <c r="EF27" s="200" t="str">
        <f t="shared" si="60"/>
        <v/>
      </c>
      <c r="EG27" s="200">
        <f>IF($J27="",#N/A,SUM(EF$4:EF27))</f>
        <v>0</v>
      </c>
      <c r="EH27" s="201" t="str">
        <f t="shared" si="61"/>
        <v/>
      </c>
      <c r="EI27" s="201">
        <f>IF($J27="",#N/A,SUM(EH$4:EH27))</f>
        <v>0</v>
      </c>
      <c r="EJ27" s="202" t="str">
        <f t="shared" si="62"/>
        <v/>
      </c>
      <c r="EK27" s="202">
        <f>IF($J27="",#N/A,SUM(EJ$4:EJ27))</f>
        <v>0.6035383334478206</v>
      </c>
      <c r="EL27" s="202">
        <f>IF($J27="",#N/A,SUM(EJ$4:EJ27,EH$4:EH27,EF$4:EF27))</f>
        <v>0.6035383334478206</v>
      </c>
      <c r="EM27" s="200" t="str">
        <f t="shared" si="63"/>
        <v/>
      </c>
      <c r="EN27" s="200">
        <f>IF($J27="",#N/A,SUM(EM$4:EM27))</f>
        <v>0</v>
      </c>
      <c r="EO27" s="201" t="str">
        <f t="shared" si="64"/>
        <v/>
      </c>
      <c r="EP27" s="201">
        <f>IF($J27="",#N/A,SUM(EO$4:EO27))</f>
        <v>0</v>
      </c>
      <c r="EQ27" s="202" t="str">
        <f t="shared" si="65"/>
        <v/>
      </c>
      <c r="ER27" s="202">
        <f>IF($J27="",#N/A,SUM(EQ$4:EQ27))</f>
        <v>0</v>
      </c>
      <c r="ES27" s="202">
        <f>IF($J27="",#N/A,SUM(EQ$4:EQ27,EO$4:EO27,EM$4:EM27))</f>
        <v>0</v>
      </c>
      <c r="ET27" s="200" t="str">
        <f t="shared" si="66"/>
        <v/>
      </c>
      <c r="EU27" s="200">
        <f>IF($J27="",#N/A,SUM(ET$4:ET27))</f>
        <v>0</v>
      </c>
      <c r="EV27" s="201" t="str">
        <f t="shared" si="67"/>
        <v/>
      </c>
      <c r="EW27" s="201">
        <f>IF($J27="",#N/A,SUM(EV$4:EV27))</f>
        <v>0</v>
      </c>
      <c r="EX27" s="202" t="str">
        <f t="shared" si="68"/>
        <v/>
      </c>
      <c r="EY27" s="202">
        <f>IF($J27="",#N/A,SUM(EX$4:EX27))</f>
        <v>0</v>
      </c>
      <c r="EZ27" s="202">
        <f>IF($J27="",#N/A,SUM(EX$4:EX27,EV$4:EV27,ET$4:ET27))</f>
        <v>0</v>
      </c>
      <c r="FA27" s="200" t="str">
        <f t="shared" si="69"/>
        <v/>
      </c>
      <c r="FB27" s="200">
        <f>IF($J27="",#N/A,SUM(FA$4:FA27))</f>
        <v>0</v>
      </c>
      <c r="FC27" s="201" t="str">
        <f t="shared" si="70"/>
        <v/>
      </c>
      <c r="FD27" s="201">
        <f>IF($J27="",#N/A,SUM(FC$4:FC27))</f>
        <v>0</v>
      </c>
      <c r="FE27" s="202">
        <f t="shared" si="71"/>
        <v>-0.11131725417439868</v>
      </c>
      <c r="FF27" s="202">
        <f>IF($J27="",#N/A,SUM(FE$4:FE27))</f>
        <v>-0.11131725417439868</v>
      </c>
      <c r="FG27" s="202">
        <f>IF($J27="",#N/A,SUM(FE$4:FE27,FC$4:FC27,FA$4:FA27))</f>
        <v>-0.11131725417439868</v>
      </c>
      <c r="FH27" s="200" t="str">
        <f t="shared" si="72"/>
        <v/>
      </c>
      <c r="FI27" s="200">
        <f>IF($J27="",#N/A,SUM(FH$4:FH27))</f>
        <v>0</v>
      </c>
      <c r="FJ27" s="201" t="str">
        <f t="shared" si="73"/>
        <v/>
      </c>
      <c r="FK27" s="201">
        <f>IF($J27="",#N/A,SUM(FJ$4:FJ27))</f>
        <v>0</v>
      </c>
      <c r="FL27" s="202" t="str">
        <f t="shared" si="74"/>
        <v/>
      </c>
      <c r="FM27" s="202">
        <f>IF($J27="",#N/A,SUM(FL$4:FL27))</f>
        <v>0</v>
      </c>
      <c r="FN27" s="202">
        <f>IF($J27="",#N/A,SUM(FL$4:FL27,FJ$4:FJ27,FH$4:FH27))</f>
        <v>0</v>
      </c>
      <c r="FO27" s="200" t="str">
        <f t="shared" si="75"/>
        <v/>
      </c>
      <c r="FP27" s="200">
        <f>IF($J27="",#N/A,SUM(FO$4:FO27))</f>
        <v>0</v>
      </c>
      <c r="FQ27" s="201" t="str">
        <f t="shared" si="76"/>
        <v/>
      </c>
      <c r="FR27" s="201">
        <f>IF($J27="",#N/A,SUM(FQ$4:FQ27))</f>
        <v>0</v>
      </c>
      <c r="FS27" s="202" t="str">
        <f t="shared" si="77"/>
        <v/>
      </c>
      <c r="FT27" s="202">
        <f>IF($J27="",#N/A,SUM(FS$4:FS27))</f>
        <v>0</v>
      </c>
      <c r="FU27" s="202">
        <f>IF($J27="",#N/A,SUM(FS$4:FS27,FQ$4:FQ27,FO$4:FO27))</f>
        <v>0</v>
      </c>
      <c r="FV27" s="200" t="str">
        <f t="shared" si="78"/>
        <v/>
      </c>
      <c r="FW27" s="200">
        <f>IF($J27="",#N/A,SUM(FV$4:FV27))</f>
        <v>0</v>
      </c>
      <c r="FX27" s="201" t="str">
        <f t="shared" si="79"/>
        <v/>
      </c>
      <c r="FY27" s="201">
        <f>IF($J27="",#N/A,SUM(FX$4:FX27))</f>
        <v>0</v>
      </c>
      <c r="FZ27" s="202" t="str">
        <f t="shared" si="80"/>
        <v/>
      </c>
      <c r="GA27" s="202">
        <f>IF($J27="",#N/A,SUM(FZ$4:FZ27))</f>
        <v>0.70318817588636717</v>
      </c>
      <c r="GB27" s="202">
        <f>IF($J27="",#N/A,SUM(FZ$4:FZ27,FX$4:FX27,FV$4:FV27))</f>
        <v>0.70318817588636717</v>
      </c>
      <c r="GC27" s="200" t="str">
        <f t="shared" si="81"/>
        <v/>
      </c>
      <c r="GD27" s="200">
        <f>IF($J27="",#N/A,SUM(GC$4:GC27))</f>
        <v>0</v>
      </c>
      <c r="GE27" s="201" t="str">
        <f t="shared" si="82"/>
        <v/>
      </c>
      <c r="GF27" s="201">
        <f>IF($J27="",#N/A,SUM(GE$4:GE27))</f>
        <v>0</v>
      </c>
      <c r="GG27" s="202" t="str">
        <f t="shared" si="83"/>
        <v/>
      </c>
      <c r="GH27" s="202">
        <f>IF($J27="",#N/A,SUM(GG$4:GG27))</f>
        <v>0</v>
      </c>
      <c r="GI27" s="202">
        <f>IF($J27="",#N/A,SUM(GG$4:GG27,GE$4:GE27,GC$4:GC27))</f>
        <v>0</v>
      </c>
      <c r="GJ27" s="200" t="str">
        <f t="shared" si="84"/>
        <v/>
      </c>
      <c r="GK27" s="200">
        <f>IF($J27="",#N/A,SUM(GJ$4:GJ27))</f>
        <v>0</v>
      </c>
      <c r="GL27" s="201" t="str">
        <f t="shared" si="85"/>
        <v/>
      </c>
      <c r="GM27" s="201">
        <f>IF($J27="",#N/A,SUM(GL$4:GL27))</f>
        <v>0</v>
      </c>
      <c r="GN27" s="202" t="str">
        <f t="shared" si="86"/>
        <v/>
      </c>
      <c r="GO27" s="202">
        <f>IF($J27="",#N/A,SUM(GN$4:GN27))</f>
        <v>0</v>
      </c>
      <c r="GP27" s="202">
        <f>IF($J27="",#N/A,SUM(GN$4:GN27,GL$4:GL27,GJ$4:GJ27))</f>
        <v>0</v>
      </c>
      <c r="GS27" s="54">
        <f t="shared" si="105"/>
        <v>-0.11131725417439868</v>
      </c>
      <c r="GT27" s="54">
        <f>IF(GS27="",NA(),SUM($GS$4:GS27))</f>
        <v>3.1077736339781881</v>
      </c>
      <c r="GU27" s="54" t="str">
        <f t="shared" si="87"/>
        <v/>
      </c>
      <c r="GV27" s="54" t="e">
        <f>IF(GU27="",NA(),SUM($GU$4:GU27))</f>
        <v>#N/A</v>
      </c>
      <c r="GW27" s="54">
        <f t="shared" si="88"/>
        <v>-0.11131725417439868</v>
      </c>
      <c r="GX27" s="54">
        <f>IF(GW27="",NA(),SUM($GW$4:GW27))</f>
        <v>1.0528157630374015</v>
      </c>
      <c r="GY27" s="54" t="str">
        <f t="shared" si="89"/>
        <v/>
      </c>
      <c r="GZ27" s="54" t="e">
        <f>IF(GY27="",NA(),SUM($GY$4:GY27))</f>
        <v>#N/A</v>
      </c>
      <c r="HA27" s="54" t="str">
        <f t="shared" si="90"/>
        <v/>
      </c>
      <c r="HB27" s="54" t="e">
        <f>IF(HA27="",NA(),SUM($HA$4:HA27))</f>
        <v>#N/A</v>
      </c>
      <c r="HC27" s="54" t="str">
        <f t="shared" si="91"/>
        <v/>
      </c>
      <c r="HD27" s="54" t="e">
        <f>IF(HC27="",NA(),SUM($HC$4:HC27))</f>
        <v>#N/A</v>
      </c>
      <c r="HE27" s="54" t="str">
        <f t="shared" si="92"/>
        <v/>
      </c>
      <c r="HF27" s="54" t="e">
        <f>IF(HE27="",NA(),SUM($HE$4:HE27))</f>
        <v>#N/A</v>
      </c>
      <c r="HG27" s="54" t="str">
        <f t="shared" si="93"/>
        <v/>
      </c>
      <c r="HH27" s="54" t="e">
        <f>IF(HG27="",NA(),SUM($HG$4:HG27))</f>
        <v>#N/A</v>
      </c>
      <c r="HI27" s="172" t="str">
        <f t="shared" si="106"/>
        <v/>
      </c>
      <c r="HJ27" s="172">
        <f>IF($J27="",#N/A,SUM(HI$4:$HI27))</f>
        <v>-8.0189276008437088E-2</v>
      </c>
      <c r="HK27" s="54" t="str">
        <f t="shared" si="94"/>
        <v/>
      </c>
      <c r="HL27" s="54">
        <f>IF($J27="",#N/A,SUM($HK$4:HK27))</f>
        <v>-3.4652545522110731</v>
      </c>
      <c r="HM27" s="54" t="str">
        <f t="shared" si="95"/>
        <v/>
      </c>
      <c r="HN27" s="54">
        <f>IF($J27="",#N/A,SUM($HM$4:HM27))</f>
        <v>0</v>
      </c>
      <c r="HO27" s="54" t="str">
        <f t="shared" si="96"/>
        <v/>
      </c>
      <c r="HP27" s="54">
        <f>IF($J27="",#N/A,SUM($HO$4:HO27))</f>
        <v>0</v>
      </c>
      <c r="HQ27" s="54" t="str">
        <f t="shared" si="97"/>
        <v/>
      </c>
      <c r="HR27" s="54">
        <f>IF($J27="",#N/A,SUM($HQ$4:HQ27))</f>
        <v>-1.5356297518653972</v>
      </c>
      <c r="HS27" s="54">
        <f t="shared" si="98"/>
        <v>0.20408163265306425</v>
      </c>
      <c r="HT27" s="54">
        <f>IF($J27="",#N/A,SUM($HS$4:HS27))</f>
        <v>4.4352228413293382</v>
      </c>
      <c r="HU27" s="65">
        <f t="shared" si="99"/>
        <v>9.2764378478665574E-2</v>
      </c>
      <c r="HV27" s="65">
        <f>IF($J27="",#N/A,SUM(HU$4:$HU27))</f>
        <v>2.4619228952226173</v>
      </c>
    </row>
    <row r="28" spans="1:230" x14ac:dyDescent="0.25">
      <c r="A28" s="51" t="s">
        <v>1476</v>
      </c>
      <c r="B28" s="52" t="s">
        <v>4483</v>
      </c>
      <c r="C28" s="229">
        <f t="shared" si="0"/>
        <v>3</v>
      </c>
      <c r="D28" s="219" t="str">
        <f>_xlfn.XLOOKUP(A28,[1]SP500!$A$2:$A$502,[1]SP500!$D$2:$D$502,"N")</f>
        <v>Y</v>
      </c>
      <c r="E28" s="51" t="str">
        <f>IFERROR(_xlfn.XLOOKUP(A28,[1]SP500!$A$2:$A$655,[1]SP500!$B$2:$B$655),"")</f>
        <v>XLF</v>
      </c>
      <c r="F28" s="53">
        <v>45764</v>
      </c>
      <c r="G28" s="51" t="str">
        <f t="shared" si="1"/>
        <v>BMO</v>
      </c>
      <c r="H28" s="51" t="str">
        <f t="shared" si="2"/>
        <v>s</v>
      </c>
      <c r="I28" s="344">
        <v>79.63</v>
      </c>
      <c r="J28" s="124">
        <v>75.5</v>
      </c>
      <c r="K28" s="55">
        <f t="shared" si="3"/>
        <v>-5.1864875047092751E-2</v>
      </c>
      <c r="L28" s="67">
        <f t="shared" si="4"/>
        <v>-57.819999999999936</v>
      </c>
      <c r="M28" s="57">
        <f t="shared" si="5"/>
        <v>12.740000000000009</v>
      </c>
      <c r="N28" s="155">
        <f t="shared" si="6"/>
        <v>-57.819999999999936</v>
      </c>
      <c r="O28" s="156">
        <f>IF(N28="",#N/A,SUM($N$4:N28))</f>
        <v>165.19037406662915</v>
      </c>
      <c r="P28" s="65">
        <f t="shared" si="100"/>
        <v>-0.86441458411821259</v>
      </c>
      <c r="Q28" s="172">
        <f>IF($N28="",#N/A,SUM($P$4:P28))</f>
        <v>2.2433590498599756</v>
      </c>
      <c r="R28" s="279">
        <f t="shared" si="7"/>
        <v>-0.15996632189371596</v>
      </c>
      <c r="S28" s="51" t="str">
        <f t="shared" si="8"/>
        <v>SW</v>
      </c>
      <c r="T28" s="51" t="s">
        <v>2828</v>
      </c>
      <c r="U28" s="56">
        <f t="shared" si="9"/>
        <v>79.63</v>
      </c>
      <c r="V28" s="56" t="s">
        <v>4460</v>
      </c>
      <c r="W28" s="142">
        <v>14</v>
      </c>
      <c r="X28" s="145">
        <f t="shared" si="10"/>
        <v>1114.82</v>
      </c>
      <c r="Y28" s="140">
        <f t="shared" si="11"/>
        <v>14</v>
      </c>
      <c r="Z28" s="123">
        <v>76.41</v>
      </c>
      <c r="AA28" s="102">
        <f t="shared" si="12"/>
        <v>-45.079999999999927</v>
      </c>
      <c r="AB28" s="102">
        <f t="shared" si="13"/>
        <v>22.820000000000164</v>
      </c>
      <c r="AC28" s="124">
        <v>81.260000000000005</v>
      </c>
      <c r="AD28" s="155">
        <f t="shared" si="14"/>
        <v>22.820000000000164</v>
      </c>
      <c r="AE28" s="545">
        <f t="shared" si="15"/>
        <v>0.34116120390137972</v>
      </c>
      <c r="AF28" s="57">
        <f>IF($AC28="",#N/A,SUM(AD$4:AD28))</f>
        <v>202.65032859167411</v>
      </c>
      <c r="AG28" s="102">
        <f t="shared" si="16"/>
        <v>80.6400000000001</v>
      </c>
      <c r="AH28" s="56" t="s">
        <v>2507</v>
      </c>
      <c r="AI28" s="65">
        <f t="shared" si="17"/>
        <v>-0.67395035371928402</v>
      </c>
      <c r="AJ28" s="54">
        <f>IF(AI28="",#N/A,SUM($AI$4:AI28))</f>
        <v>2.4033253717536915</v>
      </c>
      <c r="AK28" s="57">
        <f t="shared" si="18"/>
        <v>-45.079999999999927</v>
      </c>
      <c r="AL28" s="58">
        <f>IF(AI28="",#N/A,IF(AH28="Skip",SUM($AK$4:AK28),SUM($AK$4:AK28)))</f>
        <v>174.19500000000039</v>
      </c>
      <c r="AM28" s="65">
        <f t="shared" si="101"/>
        <v>0.34116120390137972</v>
      </c>
      <c r="AN28" s="209"/>
      <c r="AO28" s="65">
        <f t="shared" si="19"/>
        <v>0.34116120390137972</v>
      </c>
      <c r="AP28" s="65">
        <f>IF($AC28="",#N/A,SUM(AO$4:AO28))</f>
        <v>4.2935700564027215</v>
      </c>
      <c r="AQ28" s="65" t="str">
        <f t="shared" si="20"/>
        <v/>
      </c>
      <c r="AR28" s="65">
        <f>IF($AC28="",#N/A,SUM(AQ$4:AQ28))</f>
        <v>0</v>
      </c>
      <c r="AS28" s="65" t="str">
        <f t="shared" si="21"/>
        <v/>
      </c>
      <c r="AT28" s="65">
        <f>IF($AC28="",#N/A,SUM(AS$4:AS28))</f>
        <v>-1.490485957278725</v>
      </c>
      <c r="AU28" s="57">
        <f t="shared" si="102"/>
        <v>22.820000000000164</v>
      </c>
      <c r="AV28" s="57">
        <f>IF($AC28="",#N/A,SUM(AU$4:AU28))</f>
        <v>281.78870149449051</v>
      </c>
      <c r="AW28" s="57" t="str">
        <f t="shared" si="103"/>
        <v/>
      </c>
      <c r="AX28" s="57">
        <f>IF($AC28="",#N/A,SUM(AW$4:AW28))</f>
        <v>0</v>
      </c>
      <c r="AY28" s="56" t="str">
        <f t="shared" si="104"/>
        <v/>
      </c>
      <c r="AZ28" s="57">
        <f>IF($AC28="",#N/A,SUM(AY$4:AY28))</f>
        <v>-79.1383729028164</v>
      </c>
      <c r="BA28" s="57">
        <f>IF(AD28="",#N/A,SUM($AD$4:AD28))</f>
        <v>202.65032859167411</v>
      </c>
      <c r="BC28" s="51" t="str">
        <f t="shared" si="22"/>
        <v/>
      </c>
      <c r="BD28" s="51" t="str">
        <f t="shared" si="23"/>
        <v/>
      </c>
      <c r="BE28" s="51" t="str">
        <f t="shared" si="24"/>
        <v/>
      </c>
      <c r="BF28" s="51" t="str">
        <f t="shared" si="25"/>
        <v>Long</v>
      </c>
      <c r="BG28" s="51" t="str">
        <f t="shared" si="26"/>
        <v/>
      </c>
      <c r="BH28" s="51" t="str">
        <f t="shared" si="27"/>
        <v/>
      </c>
      <c r="BI28" s="51">
        <f t="shared" si="28"/>
        <v>1</v>
      </c>
      <c r="BK28" s="184"/>
      <c r="BL28" s="65">
        <f t="shared" ref="BL28:BL91" si="107">IFERROR((Q28-Q4)/COUNTA(J4:J28),#N/A)</f>
        <v>0.10887222895835286</v>
      </c>
      <c r="BM28" s="65">
        <f>IFERROR(Q28/COUNTA($J$4:J28),#N/A)</f>
        <v>8.973436199439902E-2</v>
      </c>
      <c r="BO28" s="489">
        <f>IF(J28="",#N/A,IF(S28="SW",(COUNTIFS(K$4:$K28,"&gt;0",S$4:$S28,"SW")/COUNTIF(S$4:$S28,"SW")),#N/A))</f>
        <v>0.47058823529411764</v>
      </c>
      <c r="BP28" s="489" t="e">
        <f>IF($J28="",#N/A,IF($S28="DWN",(COUNTIFS($K$4:$K28,"&lt;0",$S$4:$S28,"DWN")/COUNTIF($S$4:$S28,"DWN")),#N/A))</f>
        <v>#N/A</v>
      </c>
      <c r="BQ28" s="489" t="e">
        <f>IF($J28="",#N/A,IF($S28="UP",(COUNTIFS($K$4:$K28,"&gt;0",$S$4:$S28,"UP")/COUNTIF($S$4:$S28,"UP")),#N/A))</f>
        <v>#N/A</v>
      </c>
      <c r="BR28" s="489">
        <f>IF(J28="",#N/A,COUNTIF($K$4:K28,"&gt;0")/COUNT($J$4:J28))</f>
        <v>0.36</v>
      </c>
      <c r="BS28" s="65" t="str">
        <f t="shared" si="29"/>
        <v/>
      </c>
      <c r="BT28" s="65">
        <f t="shared" si="30"/>
        <v>-0.86441458411821259</v>
      </c>
      <c r="BU28" s="65" t="str">
        <f t="shared" si="31"/>
        <v/>
      </c>
      <c r="BV28" s="65" t="str">
        <f t="shared" si="32"/>
        <v/>
      </c>
      <c r="BW28" s="151" t="str">
        <f t="shared" si="33"/>
        <v/>
      </c>
      <c r="BX28" s="151">
        <f>IF($J28="",#N/A,SUM($BW$4:BW28))</f>
        <v>0</v>
      </c>
      <c r="BY28" s="152" t="str">
        <f t="shared" si="34"/>
        <v/>
      </c>
      <c r="BZ28" s="152">
        <f>IF($J28="",#N/A,SUM($BY$4:BY28))</f>
        <v>144.10628046850388</v>
      </c>
      <c r="CA28" s="153">
        <f t="shared" si="35"/>
        <v>-57.819999999999936</v>
      </c>
      <c r="CB28" s="154">
        <f>IF($J28="",#N/A,SUM($CA$4:CA28))</f>
        <v>21.084093598125264</v>
      </c>
      <c r="CC28" s="191" t="str">
        <f t="shared" si="36"/>
        <v/>
      </c>
      <c r="CD28" s="191">
        <f>IF($J28="",#N/A,SUM($CC$4:CC28))</f>
        <v>0</v>
      </c>
      <c r="CE28" s="192" t="str">
        <f t="shared" si="37"/>
        <v/>
      </c>
      <c r="CF28" s="192">
        <f>IF($J28="",#N/A,SUM($CE$4:CE28))</f>
        <v>2.0549578709407856</v>
      </c>
      <c r="CG28" s="193">
        <f t="shared" si="38"/>
        <v>-0.86441458411821259</v>
      </c>
      <c r="CH28" s="193">
        <f>IF($J28="",#N/A,SUM($CG$4:CG28))</f>
        <v>0.18840117891918895</v>
      </c>
      <c r="CI28" s="200" t="str">
        <f t="shared" si="39"/>
        <v/>
      </c>
      <c r="CJ28" s="200">
        <f>IF($J28="",#N/A,SUM(CI$4:CI28))</f>
        <v>0</v>
      </c>
      <c r="CK28" s="201" t="str">
        <f t="shared" si="40"/>
        <v/>
      </c>
      <c r="CL28" s="201">
        <f>IF($J28="",#N/A,SUM(CK$4:CK28))</f>
        <v>0</v>
      </c>
      <c r="CM28" s="202" t="str">
        <f t="shared" si="41"/>
        <v/>
      </c>
      <c r="CN28" s="202">
        <f>IF($J28="",#N/A,SUM(CM$4:CM28))</f>
        <v>0</v>
      </c>
      <c r="CO28" s="202">
        <f>IF($J28="",#N/A,SUM(CM$4:CM28,CK$4:CK28,CI$4:CI28))</f>
        <v>0</v>
      </c>
      <c r="CP28" s="200" t="str">
        <f t="shared" si="42"/>
        <v/>
      </c>
      <c r="CQ28" s="200">
        <f>IF($J28="",#N/A,SUM(CP$4:CP28))</f>
        <v>0</v>
      </c>
      <c r="CR28" s="201" t="str">
        <f t="shared" si="43"/>
        <v/>
      </c>
      <c r="CS28" s="201">
        <f>IF($J28="",#N/A,SUM(CR$4:CR28))</f>
        <v>0</v>
      </c>
      <c r="CT28" s="202" t="str">
        <f t="shared" si="44"/>
        <v/>
      </c>
      <c r="CU28" s="202">
        <f>IF($J28="",#N/A,SUM(CT$4:CT28))</f>
        <v>0</v>
      </c>
      <c r="CV28" s="202">
        <f>IF($J28="",#N/A,SUM(CT$4:CT28,CR$4:CR28,CP$4:CP28))</f>
        <v>0</v>
      </c>
      <c r="CW28" s="200" t="str">
        <f t="shared" si="45"/>
        <v/>
      </c>
      <c r="CX28" s="200">
        <f>IF($J28="",#N/A,SUM(CW$4:CW28))</f>
        <v>0</v>
      </c>
      <c r="CY28" s="201" t="str">
        <f t="shared" si="46"/>
        <v/>
      </c>
      <c r="CZ28" s="201">
        <f>IF($J28="",#N/A,SUM(CY$4:CY28))</f>
        <v>0</v>
      </c>
      <c r="DA28" s="202" t="str">
        <f t="shared" si="47"/>
        <v/>
      </c>
      <c r="DB28" s="202">
        <f>IF($J28="",#N/A,SUM(DA$4:DA28))</f>
        <v>0</v>
      </c>
      <c r="DC28" s="202">
        <f>IF($J28="",#N/A,SUM(DA$4:DA28,CY$4:CY28,CW$4:CW28))</f>
        <v>0</v>
      </c>
      <c r="DD28" s="200" t="str">
        <f t="shared" si="48"/>
        <v/>
      </c>
      <c r="DE28" s="200">
        <f>IF($J28="",#N/A,SUM(DD$4:DD28))</f>
        <v>0</v>
      </c>
      <c r="DF28" s="201" t="str">
        <f t="shared" si="49"/>
        <v/>
      </c>
      <c r="DG28" s="201">
        <f>IF($J28="",#N/A,SUM(DF$4:DF28))</f>
        <v>0.6788440567066546</v>
      </c>
      <c r="DH28" s="202" t="str">
        <f t="shared" si="50"/>
        <v/>
      </c>
      <c r="DI28" s="202">
        <f>IF($J28="",#N/A,SUM(DH$4:DH28))</f>
        <v>0</v>
      </c>
      <c r="DJ28" s="202">
        <f>IF($J28="",#N/A,SUM(DH$4:DH28,DF$4:DF28,DD$4:DD28))</f>
        <v>0.6788440567066546</v>
      </c>
      <c r="DK28" s="200" t="str">
        <f t="shared" si="51"/>
        <v/>
      </c>
      <c r="DL28" s="200">
        <f>IF($J28="",#N/A,SUM(DK$4:DK28))</f>
        <v>0</v>
      </c>
      <c r="DM28" s="201" t="str">
        <f t="shared" si="52"/>
        <v/>
      </c>
      <c r="DN28" s="201">
        <f>IF($J28="",#N/A,SUM(DM$4:DM28))</f>
        <v>0.36227168206863897</v>
      </c>
      <c r="DO28" s="202" t="str">
        <f t="shared" si="53"/>
        <v/>
      </c>
      <c r="DP28" s="202">
        <f>IF($J28="",#N/A,SUM(DO$4:DO28))</f>
        <v>0</v>
      </c>
      <c r="DQ28" s="202">
        <f>IF($J28="",#N/A,SUM(DO$4:DO28,DM$4:DM28,DK$4:DK28))</f>
        <v>0.36227168206863897</v>
      </c>
      <c r="DR28" s="200" t="str">
        <f t="shared" si="54"/>
        <v/>
      </c>
      <c r="DS28" s="200">
        <f>IF($J28="",#N/A,SUM(DR$4:DR28))</f>
        <v>0</v>
      </c>
      <c r="DT28" s="201" t="str">
        <f t="shared" si="55"/>
        <v/>
      </c>
      <c r="DU28" s="201">
        <f>IF($J28="",#N/A,SUM(DT$4:DT28))</f>
        <v>0.57866260122346558</v>
      </c>
      <c r="DV28" s="202">
        <f t="shared" si="56"/>
        <v>-0.86441458411821259</v>
      </c>
      <c r="DW28" s="202">
        <f>IF($J28="",#N/A,SUM(DV$4:DV28))</f>
        <v>-1.5349353024922392</v>
      </c>
      <c r="DX28" s="202">
        <f>IF($J28="",#N/A,SUM(DV$4:DV28,DT$4:DT28,DR$4:DR28))</f>
        <v>-0.9562727012687734</v>
      </c>
      <c r="DY28" s="200" t="str">
        <f t="shared" si="57"/>
        <v/>
      </c>
      <c r="DZ28" s="200">
        <f>IF($J28="",#N/A,SUM(DY$4:DY28))</f>
        <v>0</v>
      </c>
      <c r="EA28" s="201" t="str">
        <f t="shared" si="58"/>
        <v/>
      </c>
      <c r="EB28" s="201">
        <f>IF($J28="",#N/A,SUM(EA$4:EA28))</f>
        <v>0.43517953094202633</v>
      </c>
      <c r="EC28" s="202" t="str">
        <f t="shared" si="59"/>
        <v/>
      </c>
      <c r="ED28" s="202">
        <f>IF($J28="",#N/A,SUM(EC$4:EC28))</f>
        <v>0.52792722625163879</v>
      </c>
      <c r="EE28" s="202">
        <f>IF($J28="",#N/A,SUM(EC$4:EC28,EA$4:EA28,DY$4:DY28))</f>
        <v>0.96310675719366512</v>
      </c>
      <c r="EF28" s="200" t="str">
        <f t="shared" si="60"/>
        <v/>
      </c>
      <c r="EG28" s="200">
        <f>IF($J28="",#N/A,SUM(EF$4:EF28))</f>
        <v>0</v>
      </c>
      <c r="EH28" s="201" t="str">
        <f t="shared" si="61"/>
        <v/>
      </c>
      <c r="EI28" s="201">
        <f>IF($J28="",#N/A,SUM(EH$4:EH28))</f>
        <v>0</v>
      </c>
      <c r="EJ28" s="202" t="str">
        <f t="shared" si="62"/>
        <v/>
      </c>
      <c r="EK28" s="202">
        <f>IF($J28="",#N/A,SUM(EJ$4:EJ28))</f>
        <v>0.6035383334478206</v>
      </c>
      <c r="EL28" s="202">
        <f>IF($J28="",#N/A,SUM(EJ$4:EJ28,EH$4:EH28,EF$4:EF28))</f>
        <v>0.6035383334478206</v>
      </c>
      <c r="EM28" s="200" t="str">
        <f t="shared" si="63"/>
        <v/>
      </c>
      <c r="EN28" s="200">
        <f>IF($J28="",#N/A,SUM(EM$4:EM28))</f>
        <v>0</v>
      </c>
      <c r="EO28" s="201" t="str">
        <f t="shared" si="64"/>
        <v/>
      </c>
      <c r="EP28" s="201">
        <f>IF($J28="",#N/A,SUM(EO$4:EO28))</f>
        <v>0</v>
      </c>
      <c r="EQ28" s="202" t="str">
        <f t="shared" si="65"/>
        <v/>
      </c>
      <c r="ER28" s="202">
        <f>IF($J28="",#N/A,SUM(EQ$4:EQ28))</f>
        <v>0</v>
      </c>
      <c r="ES28" s="202">
        <f>IF($J28="",#N/A,SUM(EQ$4:EQ28,EO$4:EO28,EM$4:EM28))</f>
        <v>0</v>
      </c>
      <c r="ET28" s="200" t="str">
        <f t="shared" si="66"/>
        <v/>
      </c>
      <c r="EU28" s="200">
        <f>IF($J28="",#N/A,SUM(ET$4:ET28))</f>
        <v>0</v>
      </c>
      <c r="EV28" s="201" t="str">
        <f t="shared" si="67"/>
        <v/>
      </c>
      <c r="EW28" s="201">
        <f>IF($J28="",#N/A,SUM(EV$4:EV28))</f>
        <v>0</v>
      </c>
      <c r="EX28" s="202" t="str">
        <f t="shared" si="68"/>
        <v/>
      </c>
      <c r="EY28" s="202">
        <f>IF($J28="",#N/A,SUM(EX$4:EX28))</f>
        <v>0</v>
      </c>
      <c r="EZ28" s="202">
        <f>IF($J28="",#N/A,SUM(EX$4:EX28,EV$4:EV28,ET$4:ET28))</f>
        <v>0</v>
      </c>
      <c r="FA28" s="200" t="str">
        <f t="shared" si="69"/>
        <v/>
      </c>
      <c r="FB28" s="200">
        <f>IF($J28="",#N/A,SUM(FA$4:FA28))</f>
        <v>0</v>
      </c>
      <c r="FC28" s="201" t="str">
        <f t="shared" si="70"/>
        <v/>
      </c>
      <c r="FD28" s="201">
        <f>IF($J28="",#N/A,SUM(FC$4:FC28))</f>
        <v>0</v>
      </c>
      <c r="FE28" s="202" t="str">
        <f t="shared" si="71"/>
        <v/>
      </c>
      <c r="FF28" s="202">
        <f>IF($J28="",#N/A,SUM(FE$4:FE28))</f>
        <v>-0.11131725417439868</v>
      </c>
      <c r="FG28" s="202">
        <f>IF($J28="",#N/A,SUM(FE$4:FE28,FC$4:FC28,FA$4:FA28))</f>
        <v>-0.11131725417439868</v>
      </c>
      <c r="FH28" s="200" t="str">
        <f t="shared" si="72"/>
        <v/>
      </c>
      <c r="FI28" s="200">
        <f>IF($J28="",#N/A,SUM(FH$4:FH28))</f>
        <v>0</v>
      </c>
      <c r="FJ28" s="201" t="str">
        <f t="shared" si="73"/>
        <v/>
      </c>
      <c r="FK28" s="201">
        <f>IF($J28="",#N/A,SUM(FJ$4:FJ28))</f>
        <v>0</v>
      </c>
      <c r="FL28" s="202" t="str">
        <f t="shared" si="74"/>
        <v/>
      </c>
      <c r="FM28" s="202">
        <f>IF($J28="",#N/A,SUM(FL$4:FL28))</f>
        <v>0</v>
      </c>
      <c r="FN28" s="202">
        <f>IF($J28="",#N/A,SUM(FL$4:FL28,FJ$4:FJ28,FH$4:FH28))</f>
        <v>0</v>
      </c>
      <c r="FO28" s="200" t="str">
        <f t="shared" si="75"/>
        <v/>
      </c>
      <c r="FP28" s="200">
        <f>IF($J28="",#N/A,SUM(FO$4:FO28))</f>
        <v>0</v>
      </c>
      <c r="FQ28" s="201" t="str">
        <f t="shared" si="76"/>
        <v/>
      </c>
      <c r="FR28" s="201">
        <f>IF($J28="",#N/A,SUM(FQ$4:FQ28))</f>
        <v>0</v>
      </c>
      <c r="FS28" s="202" t="str">
        <f t="shared" si="77"/>
        <v/>
      </c>
      <c r="FT28" s="202">
        <f>IF($J28="",#N/A,SUM(FS$4:FS28))</f>
        <v>0</v>
      </c>
      <c r="FU28" s="202">
        <f>IF($J28="",#N/A,SUM(FS$4:FS28,FQ$4:FQ28,FO$4:FO28))</f>
        <v>0</v>
      </c>
      <c r="FV28" s="200" t="str">
        <f t="shared" si="78"/>
        <v/>
      </c>
      <c r="FW28" s="200">
        <f>IF($J28="",#N/A,SUM(FV$4:FV28))</f>
        <v>0</v>
      </c>
      <c r="FX28" s="201" t="str">
        <f t="shared" si="79"/>
        <v/>
      </c>
      <c r="FY28" s="201">
        <f>IF($J28="",#N/A,SUM(FX$4:FX28))</f>
        <v>0</v>
      </c>
      <c r="FZ28" s="202" t="str">
        <f t="shared" si="80"/>
        <v/>
      </c>
      <c r="GA28" s="202">
        <f>IF($J28="",#N/A,SUM(FZ$4:FZ28))</f>
        <v>0.70318817588636717</v>
      </c>
      <c r="GB28" s="202">
        <f>IF($J28="",#N/A,SUM(FZ$4:FZ28,FX$4:FX28,FV$4:FV28))</f>
        <v>0.70318817588636717</v>
      </c>
      <c r="GC28" s="200" t="str">
        <f t="shared" si="81"/>
        <v/>
      </c>
      <c r="GD28" s="200">
        <f>IF($J28="",#N/A,SUM(GC$4:GC28))</f>
        <v>0</v>
      </c>
      <c r="GE28" s="201" t="str">
        <f t="shared" si="82"/>
        <v/>
      </c>
      <c r="GF28" s="201">
        <f>IF($J28="",#N/A,SUM(GE$4:GE28))</f>
        <v>0</v>
      </c>
      <c r="GG28" s="202" t="str">
        <f t="shared" si="83"/>
        <v/>
      </c>
      <c r="GH28" s="202">
        <f>IF($J28="",#N/A,SUM(GG$4:GG28))</f>
        <v>0</v>
      </c>
      <c r="GI28" s="202">
        <f>IF($J28="",#N/A,SUM(GG$4:GG28,GE$4:GE28,GC$4:GC28))</f>
        <v>0</v>
      </c>
      <c r="GJ28" s="200" t="str">
        <f t="shared" si="84"/>
        <v/>
      </c>
      <c r="GK28" s="200">
        <f>IF($J28="",#N/A,SUM(GJ$4:GJ28))</f>
        <v>0</v>
      </c>
      <c r="GL28" s="201" t="str">
        <f t="shared" si="85"/>
        <v/>
      </c>
      <c r="GM28" s="201">
        <f>IF($J28="",#N/A,SUM(GL$4:GL28))</f>
        <v>0</v>
      </c>
      <c r="GN28" s="202" t="str">
        <f t="shared" si="86"/>
        <v/>
      </c>
      <c r="GO28" s="202">
        <f>IF($J28="",#N/A,SUM(GN$4:GN28))</f>
        <v>0</v>
      </c>
      <c r="GP28" s="202">
        <f>IF($J28="",#N/A,SUM(GN$4:GN28,GL$4:GL28,GJ$4:GJ28))</f>
        <v>0</v>
      </c>
      <c r="GS28" s="54">
        <f t="shared" si="105"/>
        <v>-0.86441458411821259</v>
      </c>
      <c r="GT28" s="54">
        <f>IF(GS28="",NA(),SUM($GS$4:GS28))</f>
        <v>2.2433590498599756</v>
      </c>
      <c r="GU28" s="54" t="str">
        <f t="shared" si="87"/>
        <v/>
      </c>
      <c r="GV28" s="54" t="e">
        <f>IF(GU28="",NA(),SUM($GU$4:GU28))</f>
        <v>#N/A</v>
      </c>
      <c r="GW28" s="54">
        <f t="shared" si="88"/>
        <v>-0.86441458411821259</v>
      </c>
      <c r="GX28" s="54">
        <f>IF(GW28="",NA(),SUM($GW$4:GW28))</f>
        <v>0.18840117891918895</v>
      </c>
      <c r="GY28" s="54" t="str">
        <f t="shared" si="89"/>
        <v/>
      </c>
      <c r="GZ28" s="54" t="e">
        <f>IF(GY28="",NA(),SUM($GY$4:GY28))</f>
        <v>#N/A</v>
      </c>
      <c r="HA28" s="54" t="str">
        <f t="shared" si="90"/>
        <v/>
      </c>
      <c r="HB28" s="54" t="e">
        <f>IF(HA28="",NA(),SUM($HA$4:HA28))</f>
        <v>#N/A</v>
      </c>
      <c r="HC28" s="54" t="str">
        <f t="shared" si="91"/>
        <v/>
      </c>
      <c r="HD28" s="54" t="e">
        <f>IF(HC28="",NA(),SUM($HC$4:HC28))</f>
        <v>#N/A</v>
      </c>
      <c r="HE28" s="54" t="str">
        <f t="shared" si="92"/>
        <v/>
      </c>
      <c r="HF28" s="54" t="e">
        <f>IF(HE28="",NA(),SUM($HE$4:HE28))</f>
        <v>#N/A</v>
      </c>
      <c r="HG28" s="54" t="str">
        <f t="shared" si="93"/>
        <v/>
      </c>
      <c r="HH28" s="54" t="e">
        <f>IF(HG28="",NA(),SUM($HG$4:HG28))</f>
        <v>#N/A</v>
      </c>
      <c r="HI28" s="172" t="str">
        <f t="shared" si="106"/>
        <v/>
      </c>
      <c r="HJ28" s="172">
        <f>IF($J28="",#N/A,SUM(HI$4:$HI28))</f>
        <v>-8.0189276008437088E-2</v>
      </c>
      <c r="HK28" s="54" t="str">
        <f t="shared" si="94"/>
        <v/>
      </c>
      <c r="HL28" s="54">
        <f>IF($J28="",#N/A,SUM($HK$4:HK28))</f>
        <v>-3.4652545522110731</v>
      </c>
      <c r="HM28" s="54" t="str">
        <f t="shared" si="95"/>
        <v/>
      </c>
      <c r="HN28" s="54">
        <f>IF($J28="",#N/A,SUM($HM$4:HM28))</f>
        <v>0</v>
      </c>
      <c r="HO28" s="54" t="str">
        <f t="shared" si="96"/>
        <v/>
      </c>
      <c r="HP28" s="54">
        <f>IF($J28="",#N/A,SUM($HO$4:HO28))</f>
        <v>0</v>
      </c>
      <c r="HQ28" s="54" t="str">
        <f t="shared" si="97"/>
        <v/>
      </c>
      <c r="HR28" s="54">
        <f>IF($J28="",#N/A,SUM($HQ$4:HQ28))</f>
        <v>-1.5356297518653972</v>
      </c>
      <c r="HS28" s="54">
        <f t="shared" si="98"/>
        <v>1.2055757880195923</v>
      </c>
      <c r="HT28" s="54">
        <f>IF($J28="",#N/A,SUM($HS$4:HS28))</f>
        <v>5.6407986293489305</v>
      </c>
      <c r="HU28" s="65">
        <f t="shared" si="99"/>
        <v>0.34116120390137972</v>
      </c>
      <c r="HV28" s="65">
        <f>IF($J28="",#N/A,SUM(HU$4:$HU28))</f>
        <v>2.8030840991239971</v>
      </c>
    </row>
    <row r="29" spans="1:230" x14ac:dyDescent="0.25">
      <c r="A29" s="51" t="s">
        <v>1274</v>
      </c>
      <c r="B29" s="52" t="s">
        <v>4483</v>
      </c>
      <c r="C29" s="229">
        <f t="shared" si="0"/>
        <v>3</v>
      </c>
      <c r="D29" s="219" t="str">
        <f>_xlfn.XLOOKUP(A29,[1]SP500!$A$2:$A$502,[1]SP500!$D$2:$D$502,"N")</f>
        <v>Y</v>
      </c>
      <c r="E29" s="51" t="str">
        <f>IFERROR(_xlfn.XLOOKUP(A29,[1]SP500!$A$2:$A$655,[1]SP500!$B$2:$B$655),"")</f>
        <v>H-INS</v>
      </c>
      <c r="F29" s="53">
        <v>45764</v>
      </c>
      <c r="G29" s="51" t="str">
        <f t="shared" si="1"/>
        <v>BMO</v>
      </c>
      <c r="H29" s="51" t="str">
        <f t="shared" si="2"/>
        <v>s</v>
      </c>
      <c r="I29" s="344">
        <v>585.04</v>
      </c>
      <c r="J29" s="124">
        <v>481.95</v>
      </c>
      <c r="K29" s="55">
        <f t="shared" si="3"/>
        <v>-0.17621017366333921</v>
      </c>
      <c r="L29" s="67">
        <f t="shared" si="4"/>
        <v>-206.17999999999995</v>
      </c>
      <c r="M29" s="57">
        <f t="shared" si="5"/>
        <v>-3.8999999999999773</v>
      </c>
      <c r="N29" s="155">
        <f t="shared" si="6"/>
        <v>-206.17999999999995</v>
      </c>
      <c r="O29" s="156">
        <f>IF(N29="",#N/A,SUM($N$4:N29))</f>
        <v>-40.989625933370803</v>
      </c>
      <c r="P29" s="65">
        <f t="shared" si="100"/>
        <v>-2.9368362277223206</v>
      </c>
      <c r="Q29" s="172">
        <f>IF($N29="",#N/A,SUM($P$4:P29))</f>
        <v>-0.69347717786234497</v>
      </c>
      <c r="R29" s="279">
        <f t="shared" si="7"/>
        <v>-0.10441456474890565</v>
      </c>
      <c r="S29" s="51" t="str">
        <f t="shared" si="8"/>
        <v>SW</v>
      </c>
      <c r="T29" s="51" t="s">
        <v>2828</v>
      </c>
      <c r="U29" s="56">
        <f t="shared" si="9"/>
        <v>585.04</v>
      </c>
      <c r="V29" s="56" t="s">
        <v>4460</v>
      </c>
      <c r="W29" s="142">
        <v>2</v>
      </c>
      <c r="X29" s="145">
        <f t="shared" si="10"/>
        <v>1170.08</v>
      </c>
      <c r="Y29" s="140">
        <f t="shared" si="11"/>
        <v>2</v>
      </c>
      <c r="Z29" s="123">
        <v>480</v>
      </c>
      <c r="AA29" s="102">
        <f t="shared" si="12"/>
        <v>-210.07999999999993</v>
      </c>
      <c r="AB29" s="102">
        <f t="shared" si="13"/>
        <v>-261.8599999999999</v>
      </c>
      <c r="AC29" s="124">
        <v>454.11</v>
      </c>
      <c r="AD29" s="155">
        <f t="shared" si="14"/>
        <v>-261.8599999999999</v>
      </c>
      <c r="AE29" s="545">
        <f t="shared" si="15"/>
        <v>-3.729944391266693</v>
      </c>
      <c r="AF29" s="57">
        <f>IF($AC29="",#N/A,SUM(AD$4:AD29))</f>
        <v>-59.209671408325789</v>
      </c>
      <c r="AG29" s="102">
        <f t="shared" si="16"/>
        <v>-55.67999999999995</v>
      </c>
      <c r="AH29" s="56" t="s">
        <v>2507</v>
      </c>
      <c r="AI29" s="65">
        <f t="shared" si="17"/>
        <v>-2.9923879848671309</v>
      </c>
      <c r="AJ29" s="54">
        <f>IF(AI29="",#N/A,SUM($AI$4:AI29))</f>
        <v>-0.58906261311343933</v>
      </c>
      <c r="AK29" s="57">
        <f t="shared" si="18"/>
        <v>-210.07999999999993</v>
      </c>
      <c r="AL29" s="58">
        <f>IF(AI29="",#N/A,IF(AH29="Skip",SUM($AK$4:AK29),SUM($AK$4:AK29)))</f>
        <v>-35.884999999999536</v>
      </c>
      <c r="AM29" s="65">
        <f t="shared" si="101"/>
        <v>-3.729944391266693</v>
      </c>
      <c r="AN29" s="209"/>
      <c r="AO29" s="65">
        <f t="shared" si="19"/>
        <v>-3.729944391266693</v>
      </c>
      <c r="AP29" s="65">
        <f>IF($AC29="",#N/A,SUM(AO$4:AO29))</f>
        <v>0.56362566513602852</v>
      </c>
      <c r="AQ29" s="65" t="str">
        <f t="shared" si="20"/>
        <v/>
      </c>
      <c r="AR29" s="65">
        <f>IF($AC29="",#N/A,SUM(AQ$4:AQ29))</f>
        <v>0</v>
      </c>
      <c r="AS29" s="65" t="str">
        <f t="shared" si="21"/>
        <v/>
      </c>
      <c r="AT29" s="65">
        <f>IF($AC29="",#N/A,SUM(AS$4:AS29))</f>
        <v>-1.490485957278725</v>
      </c>
      <c r="AU29" s="57">
        <f t="shared" si="102"/>
        <v>-261.8599999999999</v>
      </c>
      <c r="AV29" s="57">
        <f>IF($AC29="",#N/A,SUM(AU$4:AU29))</f>
        <v>19.92870149449061</v>
      </c>
      <c r="AW29" s="57" t="str">
        <f t="shared" si="103"/>
        <v/>
      </c>
      <c r="AX29" s="57">
        <f>IF($AC29="",#N/A,SUM(AW$4:AW29))</f>
        <v>0</v>
      </c>
      <c r="AY29" s="56" t="str">
        <f t="shared" si="104"/>
        <v/>
      </c>
      <c r="AZ29" s="57">
        <f>IF($AC29="",#N/A,SUM(AY$4:AY29))</f>
        <v>-79.1383729028164</v>
      </c>
      <c r="BA29" s="57">
        <f>IF(AD29="",#N/A,SUM($AD$4:AD29))</f>
        <v>-59.209671408325789</v>
      </c>
      <c r="BC29" s="51" t="str">
        <f t="shared" si="22"/>
        <v/>
      </c>
      <c r="BD29" s="51" t="str">
        <f t="shared" si="23"/>
        <v/>
      </c>
      <c r="BE29" s="51" t="str">
        <f t="shared" si="24"/>
        <v/>
      </c>
      <c r="BF29" s="51" t="str">
        <f t="shared" si="25"/>
        <v>Long</v>
      </c>
      <c r="BG29" s="51" t="str">
        <f t="shared" si="26"/>
        <v/>
      </c>
      <c r="BH29" s="51" t="str">
        <f t="shared" si="27"/>
        <v/>
      </c>
      <c r="BI29" s="51">
        <f t="shared" si="28"/>
        <v>1</v>
      </c>
      <c r="BK29" s="184"/>
      <c r="BL29" s="65">
        <f t="shared" si="107"/>
        <v>-3.5754982418806147E-2</v>
      </c>
      <c r="BM29" s="65">
        <f>IFERROR(Q29/COUNTA($J$4:J29),#N/A)</f>
        <v>-2.6672199148551731E-2</v>
      </c>
      <c r="BO29" s="489">
        <f>IF(J29="",#N/A,IF(S29="SW",(COUNTIFS(K$4:$K29,"&gt;0",S$4:$S29,"SW")/COUNTIF(S$4:$S29,"SW")),#N/A))</f>
        <v>0.44444444444444442</v>
      </c>
      <c r="BP29" s="489" t="e">
        <f>IF($J29="",#N/A,IF($S29="DWN",(COUNTIFS($K$4:$K29,"&lt;0",$S$4:$S29,"DWN")/COUNTIF($S$4:$S29,"DWN")),#N/A))</f>
        <v>#N/A</v>
      </c>
      <c r="BQ29" s="489" t="e">
        <f>IF($J29="",#N/A,IF($S29="UP",(COUNTIFS($K$4:$K29,"&gt;0",$S$4:$S29,"UP")/COUNTIF($S$4:$S29,"UP")),#N/A))</f>
        <v>#N/A</v>
      </c>
      <c r="BR29" s="489">
        <f>IF(J29="",#N/A,COUNTIF($K$4:K29,"&gt;0")/COUNT($J$4:J29))</f>
        <v>0.34615384615384615</v>
      </c>
      <c r="BS29" s="65" t="str">
        <f t="shared" si="29"/>
        <v/>
      </c>
      <c r="BT29" s="65">
        <f t="shared" si="30"/>
        <v>-2.9368362277223206</v>
      </c>
      <c r="BU29" s="65" t="str">
        <f t="shared" si="31"/>
        <v/>
      </c>
      <c r="BV29" s="65" t="str">
        <f t="shared" si="32"/>
        <v/>
      </c>
      <c r="BW29" s="151" t="str">
        <f t="shared" si="33"/>
        <v/>
      </c>
      <c r="BX29" s="151">
        <f>IF($J29="",#N/A,SUM($BW$4:BW29))</f>
        <v>0</v>
      </c>
      <c r="BY29" s="152" t="str">
        <f t="shared" si="34"/>
        <v/>
      </c>
      <c r="BZ29" s="152">
        <f>IF($J29="",#N/A,SUM($BY$4:BY29))</f>
        <v>144.10628046850388</v>
      </c>
      <c r="CA29" s="153">
        <f t="shared" si="35"/>
        <v>-206.17999999999995</v>
      </c>
      <c r="CB29" s="154">
        <f>IF($J29="",#N/A,SUM($CA$4:CA29))</f>
        <v>-185.09590640187469</v>
      </c>
      <c r="CC29" s="191" t="str">
        <f t="shared" si="36"/>
        <v/>
      </c>
      <c r="CD29" s="191">
        <f>IF($J29="",#N/A,SUM($CC$4:CC29))</f>
        <v>0</v>
      </c>
      <c r="CE29" s="192" t="str">
        <f t="shared" si="37"/>
        <v/>
      </c>
      <c r="CF29" s="192">
        <f>IF($J29="",#N/A,SUM($CE$4:CE29))</f>
        <v>2.0549578709407856</v>
      </c>
      <c r="CG29" s="193">
        <f t="shared" si="38"/>
        <v>-2.9368362277223206</v>
      </c>
      <c r="CH29" s="193">
        <f>IF($J29="",#N/A,SUM($CG$4:CG29))</f>
        <v>-2.7484350488031315</v>
      </c>
      <c r="CI29" s="200" t="str">
        <f t="shared" si="39"/>
        <v/>
      </c>
      <c r="CJ29" s="200">
        <f>IF($J29="",#N/A,SUM(CI$4:CI29))</f>
        <v>0</v>
      </c>
      <c r="CK29" s="201" t="str">
        <f t="shared" si="40"/>
        <v/>
      </c>
      <c r="CL29" s="201">
        <f>IF($J29="",#N/A,SUM(CK$4:CK29))</f>
        <v>0</v>
      </c>
      <c r="CM29" s="202" t="str">
        <f t="shared" si="41"/>
        <v/>
      </c>
      <c r="CN29" s="202">
        <f>IF($J29="",#N/A,SUM(CM$4:CM29))</f>
        <v>0</v>
      </c>
      <c r="CO29" s="202">
        <f>IF($J29="",#N/A,SUM(CM$4:CM29,CK$4:CK29,CI$4:CI29))</f>
        <v>0</v>
      </c>
      <c r="CP29" s="200" t="str">
        <f t="shared" si="42"/>
        <v/>
      </c>
      <c r="CQ29" s="200">
        <f>IF($J29="",#N/A,SUM(CP$4:CP29))</f>
        <v>0</v>
      </c>
      <c r="CR29" s="201" t="str">
        <f t="shared" si="43"/>
        <v/>
      </c>
      <c r="CS29" s="201">
        <f>IF($J29="",#N/A,SUM(CR$4:CR29))</f>
        <v>0</v>
      </c>
      <c r="CT29" s="202" t="str">
        <f t="shared" si="44"/>
        <v/>
      </c>
      <c r="CU29" s="202">
        <f>IF($J29="",#N/A,SUM(CT$4:CT29))</f>
        <v>0</v>
      </c>
      <c r="CV29" s="202">
        <f>IF($J29="",#N/A,SUM(CT$4:CT29,CR$4:CR29,CP$4:CP29))</f>
        <v>0</v>
      </c>
      <c r="CW29" s="200" t="str">
        <f t="shared" si="45"/>
        <v/>
      </c>
      <c r="CX29" s="200">
        <f>IF($J29="",#N/A,SUM(CW$4:CW29))</f>
        <v>0</v>
      </c>
      <c r="CY29" s="201" t="str">
        <f t="shared" si="46"/>
        <v/>
      </c>
      <c r="CZ29" s="201">
        <f>IF($J29="",#N/A,SUM(CY$4:CY29))</f>
        <v>0</v>
      </c>
      <c r="DA29" s="202" t="str">
        <f t="shared" si="47"/>
        <v/>
      </c>
      <c r="DB29" s="202">
        <f>IF($J29="",#N/A,SUM(DA$4:DA29))</f>
        <v>0</v>
      </c>
      <c r="DC29" s="202">
        <f>IF($J29="",#N/A,SUM(DA$4:DA29,CY$4:CY29,CW$4:CW29))</f>
        <v>0</v>
      </c>
      <c r="DD29" s="200" t="str">
        <f t="shared" si="48"/>
        <v/>
      </c>
      <c r="DE29" s="200">
        <f>IF($J29="",#N/A,SUM(DD$4:DD29))</f>
        <v>0</v>
      </c>
      <c r="DF29" s="201" t="str">
        <f t="shared" si="49"/>
        <v/>
      </c>
      <c r="DG29" s="201">
        <f>IF($J29="",#N/A,SUM(DF$4:DF29))</f>
        <v>0.6788440567066546</v>
      </c>
      <c r="DH29" s="202" t="str">
        <f t="shared" si="50"/>
        <v/>
      </c>
      <c r="DI29" s="202">
        <f>IF($J29="",#N/A,SUM(DH$4:DH29))</f>
        <v>0</v>
      </c>
      <c r="DJ29" s="202">
        <f>IF($J29="",#N/A,SUM(DH$4:DH29,DF$4:DF29,DD$4:DD29))</f>
        <v>0.6788440567066546</v>
      </c>
      <c r="DK29" s="200" t="str">
        <f t="shared" si="51"/>
        <v/>
      </c>
      <c r="DL29" s="200">
        <f>IF($J29="",#N/A,SUM(DK$4:DK29))</f>
        <v>0</v>
      </c>
      <c r="DM29" s="201" t="str">
        <f t="shared" si="52"/>
        <v/>
      </c>
      <c r="DN29" s="201">
        <f>IF($J29="",#N/A,SUM(DM$4:DM29))</f>
        <v>0.36227168206863897</v>
      </c>
      <c r="DO29" s="202" t="str">
        <f t="shared" si="53"/>
        <v/>
      </c>
      <c r="DP29" s="202">
        <f>IF($J29="",#N/A,SUM(DO$4:DO29))</f>
        <v>0</v>
      </c>
      <c r="DQ29" s="202">
        <f>IF($J29="",#N/A,SUM(DO$4:DO29,DM$4:DM29,DK$4:DK29))</f>
        <v>0.36227168206863897</v>
      </c>
      <c r="DR29" s="200" t="str">
        <f t="shared" si="54"/>
        <v/>
      </c>
      <c r="DS29" s="200">
        <f>IF($J29="",#N/A,SUM(DR$4:DR29))</f>
        <v>0</v>
      </c>
      <c r="DT29" s="201" t="str">
        <f t="shared" si="55"/>
        <v/>
      </c>
      <c r="DU29" s="201">
        <f>IF($J29="",#N/A,SUM(DT$4:DT29))</f>
        <v>0.57866260122346558</v>
      </c>
      <c r="DV29" s="202" t="str">
        <f t="shared" si="56"/>
        <v/>
      </c>
      <c r="DW29" s="202">
        <f>IF($J29="",#N/A,SUM(DV$4:DV29))</f>
        <v>-1.5349353024922392</v>
      </c>
      <c r="DX29" s="202">
        <f>IF($J29="",#N/A,SUM(DV$4:DV29,DT$4:DT29,DR$4:DR29))</f>
        <v>-0.9562727012687734</v>
      </c>
      <c r="DY29" s="200" t="str">
        <f t="shared" si="57"/>
        <v/>
      </c>
      <c r="DZ29" s="200">
        <f>IF($J29="",#N/A,SUM(DY$4:DY29))</f>
        <v>0</v>
      </c>
      <c r="EA29" s="201" t="str">
        <f t="shared" si="58"/>
        <v/>
      </c>
      <c r="EB29" s="201">
        <f>IF($J29="",#N/A,SUM(EA$4:EA29))</f>
        <v>0.43517953094202633</v>
      </c>
      <c r="EC29" s="202" t="str">
        <f t="shared" si="59"/>
        <v/>
      </c>
      <c r="ED29" s="202">
        <f>IF($J29="",#N/A,SUM(EC$4:EC29))</f>
        <v>0.52792722625163879</v>
      </c>
      <c r="EE29" s="202">
        <f>IF($J29="",#N/A,SUM(EC$4:EC29,EA$4:EA29,DY$4:DY29))</f>
        <v>0.96310675719366512</v>
      </c>
      <c r="EF29" s="200" t="str">
        <f t="shared" si="60"/>
        <v/>
      </c>
      <c r="EG29" s="200">
        <f>IF($J29="",#N/A,SUM(EF$4:EF29))</f>
        <v>0</v>
      </c>
      <c r="EH29" s="201" t="str">
        <f t="shared" si="61"/>
        <v/>
      </c>
      <c r="EI29" s="201">
        <f>IF($J29="",#N/A,SUM(EH$4:EH29))</f>
        <v>0</v>
      </c>
      <c r="EJ29" s="202" t="str">
        <f t="shared" si="62"/>
        <v/>
      </c>
      <c r="EK29" s="202">
        <f>IF($J29="",#N/A,SUM(EJ$4:EJ29))</f>
        <v>0.6035383334478206</v>
      </c>
      <c r="EL29" s="202">
        <f>IF($J29="",#N/A,SUM(EJ$4:EJ29,EH$4:EH29,EF$4:EF29))</f>
        <v>0.6035383334478206</v>
      </c>
      <c r="EM29" s="200" t="str">
        <f t="shared" si="63"/>
        <v/>
      </c>
      <c r="EN29" s="200">
        <f>IF($J29="",#N/A,SUM(EM$4:EM29))</f>
        <v>0</v>
      </c>
      <c r="EO29" s="201" t="str">
        <f t="shared" si="64"/>
        <v/>
      </c>
      <c r="EP29" s="201">
        <f>IF($J29="",#N/A,SUM(EO$4:EO29))</f>
        <v>0</v>
      </c>
      <c r="EQ29" s="202" t="str">
        <f t="shared" si="65"/>
        <v/>
      </c>
      <c r="ER29" s="202">
        <f>IF($J29="",#N/A,SUM(EQ$4:EQ29))</f>
        <v>0</v>
      </c>
      <c r="ES29" s="202">
        <f>IF($J29="",#N/A,SUM(EQ$4:EQ29,EO$4:EO29,EM$4:EM29))</f>
        <v>0</v>
      </c>
      <c r="ET29" s="200" t="str">
        <f t="shared" si="66"/>
        <v/>
      </c>
      <c r="EU29" s="200">
        <f>IF($J29="",#N/A,SUM(ET$4:ET29))</f>
        <v>0</v>
      </c>
      <c r="EV29" s="201" t="str">
        <f t="shared" si="67"/>
        <v/>
      </c>
      <c r="EW29" s="201">
        <f>IF($J29="",#N/A,SUM(EV$4:EV29))</f>
        <v>0</v>
      </c>
      <c r="EX29" s="202" t="str">
        <f t="shared" si="68"/>
        <v/>
      </c>
      <c r="EY29" s="202">
        <f>IF($J29="",#N/A,SUM(EX$4:EX29))</f>
        <v>0</v>
      </c>
      <c r="EZ29" s="202">
        <f>IF($J29="",#N/A,SUM(EX$4:EX29,EV$4:EV29,ET$4:ET29))</f>
        <v>0</v>
      </c>
      <c r="FA29" s="200" t="str">
        <f t="shared" si="69"/>
        <v/>
      </c>
      <c r="FB29" s="200">
        <f>IF($J29="",#N/A,SUM(FA$4:FA29))</f>
        <v>0</v>
      </c>
      <c r="FC29" s="201" t="str">
        <f t="shared" si="70"/>
        <v/>
      </c>
      <c r="FD29" s="201">
        <f>IF($J29="",#N/A,SUM(FC$4:FC29))</f>
        <v>0</v>
      </c>
      <c r="FE29" s="202" t="str">
        <f t="shared" si="71"/>
        <v/>
      </c>
      <c r="FF29" s="202">
        <f>IF($J29="",#N/A,SUM(FE$4:FE29))</f>
        <v>-0.11131725417439868</v>
      </c>
      <c r="FG29" s="202">
        <f>IF($J29="",#N/A,SUM(FE$4:FE29,FC$4:FC29,FA$4:FA29))</f>
        <v>-0.11131725417439868</v>
      </c>
      <c r="FH29" s="200" t="str">
        <f t="shared" si="72"/>
        <v/>
      </c>
      <c r="FI29" s="200">
        <f>IF($J29="",#N/A,SUM(FH$4:FH29))</f>
        <v>0</v>
      </c>
      <c r="FJ29" s="201" t="str">
        <f t="shared" si="73"/>
        <v/>
      </c>
      <c r="FK29" s="201">
        <f>IF($J29="",#N/A,SUM(FJ$4:FJ29))</f>
        <v>0</v>
      </c>
      <c r="FL29" s="202" t="str">
        <f t="shared" si="74"/>
        <v/>
      </c>
      <c r="FM29" s="202">
        <f>IF($J29="",#N/A,SUM(FL$4:FL29))</f>
        <v>0</v>
      </c>
      <c r="FN29" s="202">
        <f>IF($J29="",#N/A,SUM(FL$4:FL29,FJ$4:FJ29,FH$4:FH29))</f>
        <v>0</v>
      </c>
      <c r="FO29" s="200" t="str">
        <f t="shared" si="75"/>
        <v/>
      </c>
      <c r="FP29" s="200">
        <f>IF($J29="",#N/A,SUM(FO$4:FO29))</f>
        <v>0</v>
      </c>
      <c r="FQ29" s="201" t="str">
        <f t="shared" si="76"/>
        <v/>
      </c>
      <c r="FR29" s="201">
        <f>IF($J29="",#N/A,SUM(FQ$4:FQ29))</f>
        <v>0</v>
      </c>
      <c r="FS29" s="202" t="str">
        <f t="shared" si="77"/>
        <v/>
      </c>
      <c r="FT29" s="202">
        <f>IF($J29="",#N/A,SUM(FS$4:FS29))</f>
        <v>0</v>
      </c>
      <c r="FU29" s="202">
        <f>IF($J29="",#N/A,SUM(FS$4:FS29,FQ$4:FQ29,FO$4:FO29))</f>
        <v>0</v>
      </c>
      <c r="FV29" s="200" t="str">
        <f t="shared" si="78"/>
        <v/>
      </c>
      <c r="FW29" s="200">
        <f>IF($J29="",#N/A,SUM(FV$4:FV29))</f>
        <v>0</v>
      </c>
      <c r="FX29" s="201" t="str">
        <f t="shared" si="79"/>
        <v/>
      </c>
      <c r="FY29" s="201">
        <f>IF($J29="",#N/A,SUM(FX$4:FX29))</f>
        <v>0</v>
      </c>
      <c r="FZ29" s="202" t="str">
        <f t="shared" si="80"/>
        <v/>
      </c>
      <c r="GA29" s="202">
        <f>IF($J29="",#N/A,SUM(FZ$4:FZ29))</f>
        <v>0.70318817588636717</v>
      </c>
      <c r="GB29" s="202">
        <f>IF($J29="",#N/A,SUM(FZ$4:FZ29,FX$4:FX29,FV$4:FV29))</f>
        <v>0.70318817588636717</v>
      </c>
      <c r="GC29" s="200" t="str">
        <f t="shared" si="81"/>
        <v/>
      </c>
      <c r="GD29" s="200">
        <f>IF($J29="",#N/A,SUM(GC$4:GC29))</f>
        <v>0</v>
      </c>
      <c r="GE29" s="201" t="str">
        <f t="shared" si="82"/>
        <v/>
      </c>
      <c r="GF29" s="201">
        <f>IF($J29="",#N/A,SUM(GE$4:GE29))</f>
        <v>0</v>
      </c>
      <c r="GG29" s="202">
        <f t="shared" si="83"/>
        <v>-2.9368362277223206</v>
      </c>
      <c r="GH29" s="202">
        <f>IF($J29="",#N/A,SUM(GG$4:GG29))</f>
        <v>-2.9368362277223206</v>
      </c>
      <c r="GI29" s="202">
        <f>IF($J29="",#N/A,SUM(GG$4:GG29,GE$4:GE29,GC$4:GC29))</f>
        <v>-2.9368362277223206</v>
      </c>
      <c r="GJ29" s="200" t="str">
        <f t="shared" si="84"/>
        <v/>
      </c>
      <c r="GK29" s="200">
        <f>IF($J29="",#N/A,SUM(GJ$4:GJ29))</f>
        <v>0</v>
      </c>
      <c r="GL29" s="201" t="str">
        <f t="shared" si="85"/>
        <v/>
      </c>
      <c r="GM29" s="201">
        <f>IF($J29="",#N/A,SUM(GL$4:GL29))</f>
        <v>0</v>
      </c>
      <c r="GN29" s="202" t="str">
        <f t="shared" si="86"/>
        <v/>
      </c>
      <c r="GO29" s="202">
        <f>IF($J29="",#N/A,SUM(GN$4:GN29))</f>
        <v>0</v>
      </c>
      <c r="GP29" s="202">
        <f>IF($J29="",#N/A,SUM(GN$4:GN29,GL$4:GL29,GJ$4:GJ29))</f>
        <v>0</v>
      </c>
      <c r="GS29" s="54">
        <f t="shared" si="105"/>
        <v>-2.9368362277223206</v>
      </c>
      <c r="GT29" s="54">
        <f>IF(GS29="",NA(),SUM($GS$4:GS29))</f>
        <v>-0.69347717786234497</v>
      </c>
      <c r="GU29" s="54" t="str">
        <f t="shared" si="87"/>
        <v/>
      </c>
      <c r="GV29" s="54" t="e">
        <f>IF(GU29="",NA(),SUM($GU$4:GU29))</f>
        <v>#N/A</v>
      </c>
      <c r="GW29" s="54">
        <f t="shared" si="88"/>
        <v>-2.9368362277223206</v>
      </c>
      <c r="GX29" s="54">
        <f>IF(GW29="",NA(),SUM($GW$4:GW29))</f>
        <v>-2.7484350488031315</v>
      </c>
      <c r="GY29" s="54" t="str">
        <f t="shared" si="89"/>
        <v/>
      </c>
      <c r="GZ29" s="54" t="e">
        <f>IF(GY29="",NA(),SUM($GY$4:GY29))</f>
        <v>#N/A</v>
      </c>
      <c r="HA29" s="54" t="str">
        <f t="shared" si="90"/>
        <v/>
      </c>
      <c r="HB29" s="54" t="e">
        <f>IF(HA29="",NA(),SUM($HA$4:HA29))</f>
        <v>#N/A</v>
      </c>
      <c r="HC29" s="54" t="str">
        <f t="shared" si="91"/>
        <v/>
      </c>
      <c r="HD29" s="54" t="e">
        <f>IF(HC29="",NA(),SUM($HC$4:HC29))</f>
        <v>#N/A</v>
      </c>
      <c r="HE29" s="54" t="str">
        <f t="shared" si="92"/>
        <v/>
      </c>
      <c r="HF29" s="54" t="e">
        <f>IF(HE29="",NA(),SUM($HE$4:HE29))</f>
        <v>#N/A</v>
      </c>
      <c r="HG29" s="54" t="str">
        <f t="shared" si="93"/>
        <v/>
      </c>
      <c r="HH29" s="54" t="e">
        <f>IF(HG29="",NA(),SUM($HG$4:HG29))</f>
        <v>#N/A</v>
      </c>
      <c r="HI29" s="172" t="str">
        <f t="shared" si="106"/>
        <v/>
      </c>
      <c r="HJ29" s="181">
        <f>IF($J29="",#N/A,SUM(HI$4:$HI29))</f>
        <v>-8.0189276008437088E-2</v>
      </c>
      <c r="HK29" s="54" t="str">
        <f t="shared" si="94"/>
        <v/>
      </c>
      <c r="HL29" s="54">
        <f>IF($J29="",#N/A,SUM($HK$4:HK29))</f>
        <v>-3.4652545522110731</v>
      </c>
      <c r="HM29" s="54" t="str">
        <f t="shared" si="95"/>
        <v/>
      </c>
      <c r="HN29" s="54">
        <f>IF($J29="",#N/A,SUM($HM$4:HM29))</f>
        <v>0</v>
      </c>
      <c r="HO29" s="54" t="str">
        <f t="shared" si="96"/>
        <v/>
      </c>
      <c r="HP29" s="54">
        <f>IF($J29="",#N/A,SUM($HO$4:HO29))</f>
        <v>0</v>
      </c>
      <c r="HQ29" s="54" t="str">
        <f t="shared" si="97"/>
        <v/>
      </c>
      <c r="HR29" s="54">
        <f>IF($J29="",#N/A,SUM($HQ$4:HQ29))</f>
        <v>-1.5356297518653972</v>
      </c>
      <c r="HS29" s="54">
        <f t="shared" si="98"/>
        <v>-0.79310816354437241</v>
      </c>
      <c r="HT29" s="54">
        <f>IF($J29="",#N/A,SUM($HS$4:HS29))</f>
        <v>4.8476904658045576</v>
      </c>
      <c r="HU29" s="65">
        <f t="shared" si="99"/>
        <v>-3.729944391266693</v>
      </c>
      <c r="HV29" s="65">
        <f>IF($J29="",#N/A,SUM(HU$4:$HU29))</f>
        <v>-0.92686029214269583</v>
      </c>
    </row>
    <row r="30" spans="1:230" x14ac:dyDescent="0.25">
      <c r="A30" s="51" t="s">
        <v>1384</v>
      </c>
      <c r="B30" s="52" t="s">
        <v>4483</v>
      </c>
      <c r="C30" s="229">
        <f t="shared" si="0"/>
        <v>2</v>
      </c>
      <c r="D30" s="219" t="str">
        <f>_xlfn.XLOOKUP(A30,[1]SP500!$A$2:$A$502,[1]SP500!$D$2:$D$502,"N")</f>
        <v>Y</v>
      </c>
      <c r="E30" s="51" t="str">
        <f>IFERROR(_xlfn.XLOOKUP(A30,[1]SP500!$A$2:$A$655,[1]SP500!$B$2:$B$655),"")</f>
        <v>XLF</v>
      </c>
      <c r="F30" s="53">
        <v>45764</v>
      </c>
      <c r="G30" s="51" t="str">
        <f t="shared" si="1"/>
        <v>BMO</v>
      </c>
      <c r="H30" s="51" t="str">
        <f t="shared" si="2"/>
        <v>s</v>
      </c>
      <c r="I30" s="343">
        <v>36</v>
      </c>
      <c r="J30" s="124">
        <v>35.11</v>
      </c>
      <c r="K30" s="55">
        <f t="shared" si="3"/>
        <v>-2.4722222222222239E-2</v>
      </c>
      <c r="L30" s="67">
        <f t="shared" si="4"/>
        <v>26.700000000000045</v>
      </c>
      <c r="M30" s="57">
        <f t="shared" si="5"/>
        <v>-11.099999999999909</v>
      </c>
      <c r="N30" s="155">
        <f t="shared" si="6"/>
        <v>26.700000000000045</v>
      </c>
      <c r="O30" s="156">
        <f>IF(N30="",#N/A,SUM($N$4:N30))</f>
        <v>-14.289625933370758</v>
      </c>
      <c r="P30" s="65">
        <f t="shared" si="100"/>
        <v>0.41203703703703776</v>
      </c>
      <c r="Q30" s="172">
        <f>IF($N30="",#N/A,SUM($P$4:P30))</f>
        <v>-0.28144014082530722</v>
      </c>
      <c r="R30" s="279">
        <f t="shared" si="7"/>
        <v>6.6881731547389245E-2</v>
      </c>
      <c r="S30" s="51" t="str">
        <f t="shared" si="8"/>
        <v>Dwn</v>
      </c>
      <c r="T30" s="51" t="s">
        <v>4462</v>
      </c>
      <c r="U30" s="56">
        <f t="shared" si="9"/>
        <v>36</v>
      </c>
      <c r="V30" s="56" t="s">
        <v>4458</v>
      </c>
      <c r="W30" s="142">
        <v>30</v>
      </c>
      <c r="X30" s="145">
        <f t="shared" si="10"/>
        <v>1080</v>
      </c>
      <c r="Y30" s="140">
        <f t="shared" si="11"/>
        <v>30</v>
      </c>
      <c r="Z30" s="123">
        <v>35.479999999999997</v>
      </c>
      <c r="AA30" s="102">
        <f t="shared" si="12"/>
        <v>15.600000000000136</v>
      </c>
      <c r="AB30" s="102">
        <f t="shared" si="13"/>
        <v>3</v>
      </c>
      <c r="AC30" s="124">
        <v>35.9</v>
      </c>
      <c r="AD30" s="155">
        <f t="shared" si="14"/>
        <v>3</v>
      </c>
      <c r="AE30" s="545">
        <f t="shared" si="15"/>
        <v>4.6296296296296301E-2</v>
      </c>
      <c r="AF30" s="57">
        <f>IF($AC30="",#N/A,SUM(AD$4:AD30))</f>
        <v>-56.209671408325789</v>
      </c>
      <c r="AG30" s="102">
        <f t="shared" si="16"/>
        <v>-23.700000000000045</v>
      </c>
      <c r="AH30" s="56" t="s">
        <v>2507</v>
      </c>
      <c r="AI30" s="65">
        <f t="shared" si="17"/>
        <v>0.24074074074074286</v>
      </c>
      <c r="AJ30" s="54">
        <f>IF(AI30="",#N/A,SUM($AI$4:AI30))</f>
        <v>-0.34832187237269646</v>
      </c>
      <c r="AK30" s="57">
        <f t="shared" si="18"/>
        <v>15.600000000000136</v>
      </c>
      <c r="AL30" s="58">
        <f>IF(AI30="",#N/A,IF(AH30="Skip",SUM($AK$4:AK30),SUM($AK$4:AK30)))</f>
        <v>-20.2849999999994</v>
      </c>
      <c r="AM30" s="65">
        <f t="shared" si="101"/>
        <v>4.6296296296296301E-2</v>
      </c>
      <c r="AN30" s="209"/>
      <c r="AO30" s="65" t="str">
        <f t="shared" si="19"/>
        <v/>
      </c>
      <c r="AP30" s="65">
        <f>IF($AC30="",#N/A,SUM(AO$4:AO30))</f>
        <v>0.56362566513602852</v>
      </c>
      <c r="AQ30" s="65" t="str">
        <f t="shared" si="20"/>
        <v/>
      </c>
      <c r="AR30" s="65">
        <f>IF($AC30="",#N/A,SUM(AQ$4:AQ30))</f>
        <v>0</v>
      </c>
      <c r="AS30" s="65">
        <f t="shared" si="21"/>
        <v>4.6296296296296301E-2</v>
      </c>
      <c r="AT30" s="65">
        <f>IF($AC30="",#N/A,SUM(AS$4:AS30))</f>
        <v>-1.4441896609824287</v>
      </c>
      <c r="AU30" s="57" t="str">
        <f t="shared" si="102"/>
        <v/>
      </c>
      <c r="AV30" s="57">
        <f>IF($AC30="",#N/A,SUM(AU$4:AU30))</f>
        <v>19.92870149449061</v>
      </c>
      <c r="AW30" s="57" t="str">
        <f t="shared" si="103"/>
        <v/>
      </c>
      <c r="AX30" s="57">
        <f>IF($AC30="",#N/A,SUM(AW$4:AW30))</f>
        <v>0</v>
      </c>
      <c r="AY30" s="56">
        <f t="shared" si="104"/>
        <v>3</v>
      </c>
      <c r="AZ30" s="57">
        <f>IF($AC30="",#N/A,SUM(AY$4:AY30))</f>
        <v>-76.1383729028164</v>
      </c>
      <c r="BA30" s="57">
        <f>IF(AD30="",#N/A,SUM($AD$4:AD30))</f>
        <v>-56.209671408325789</v>
      </c>
      <c r="BC30" s="51" t="str">
        <f t="shared" si="22"/>
        <v/>
      </c>
      <c r="BD30" s="51" t="str">
        <f t="shared" si="23"/>
        <v/>
      </c>
      <c r="BE30" s="51" t="str">
        <f t="shared" si="24"/>
        <v/>
      </c>
      <c r="BF30" s="51" t="str">
        <f t="shared" si="25"/>
        <v>Short</v>
      </c>
      <c r="BG30" s="51">
        <f t="shared" si="26"/>
        <v>1</v>
      </c>
      <c r="BH30" s="51" t="str">
        <f t="shared" si="27"/>
        <v/>
      </c>
      <c r="BI30" s="51" t="str">
        <f t="shared" si="28"/>
        <v/>
      </c>
      <c r="BK30" s="184"/>
      <c r="BL30" s="65">
        <f t="shared" si="107"/>
        <v>-1.6925152853429767E-2</v>
      </c>
      <c r="BM30" s="65">
        <f>IFERROR(Q30/COUNTA($J$4:J30),#N/A)</f>
        <v>-1.0423708919455823E-2</v>
      </c>
      <c r="BO30" s="489" t="e">
        <f>IF(J30="",#N/A,IF(S30="SW",(COUNTIFS(K$4:$K30,"&gt;0",S$4:$S30,"SW")/COUNTIF(S$4:$S30,"SW")),#N/A))</f>
        <v>#N/A</v>
      </c>
      <c r="BP30" s="489">
        <f>IF($J30="",#N/A,IF($S30="DWN",(COUNTIFS($K$4:$K30,"&lt;0",$S$4:$S30,"DWN")/COUNTIF($S$4:$S30,"DWN")),#N/A))</f>
        <v>0.88888888888888884</v>
      </c>
      <c r="BQ30" s="489" t="e">
        <f>IF($J30="",#N/A,IF($S30="UP",(COUNTIFS($K$4:$K30,"&gt;0",$S$4:$S30,"UP")/COUNTIF($S$4:$S30,"UP")),#N/A))</f>
        <v>#N/A</v>
      </c>
      <c r="BR30" s="489">
        <f>IF(J30="",#N/A,COUNTIF($K$4:K30,"&gt;0")/COUNT($J$4:J30))</f>
        <v>0.33333333333333331</v>
      </c>
      <c r="BS30" s="65" t="str">
        <f t="shared" si="29"/>
        <v/>
      </c>
      <c r="BT30" s="65" t="str">
        <f t="shared" si="30"/>
        <v/>
      </c>
      <c r="BU30" s="65">
        <f t="shared" si="31"/>
        <v>0.41203703703703776</v>
      </c>
      <c r="BV30" s="65" t="str">
        <f t="shared" si="32"/>
        <v/>
      </c>
      <c r="BW30" s="151" t="str">
        <f t="shared" si="33"/>
        <v/>
      </c>
      <c r="BX30" s="151">
        <f>IF($J30="",#N/A,SUM($BW$4:BW30))</f>
        <v>0</v>
      </c>
      <c r="BY30" s="152">
        <f t="shared" si="34"/>
        <v>26.700000000000045</v>
      </c>
      <c r="BZ30" s="152">
        <f>IF($J30="",#N/A,SUM($BY$4:BY30))</f>
        <v>170.80628046850393</v>
      </c>
      <c r="CA30" s="153" t="str">
        <f t="shared" si="35"/>
        <v/>
      </c>
      <c r="CB30" s="154">
        <f>IF($J30="",#N/A,SUM($CA$4:CA30))</f>
        <v>-185.09590640187469</v>
      </c>
      <c r="CC30" s="191" t="str">
        <f t="shared" si="36"/>
        <v/>
      </c>
      <c r="CD30" s="191">
        <f>IF($J30="",#N/A,SUM($CC$4:CC30))</f>
        <v>0</v>
      </c>
      <c r="CE30" s="192">
        <f t="shared" si="37"/>
        <v>0.41203703703703776</v>
      </c>
      <c r="CF30" s="192">
        <f>IF($J30="",#N/A,SUM($CE$4:CE30))</f>
        <v>2.4669949079778233</v>
      </c>
      <c r="CG30" s="193" t="str">
        <f t="shared" si="38"/>
        <v/>
      </c>
      <c r="CH30" s="193">
        <f>IF($J30="",#N/A,SUM($CG$4:CG30))</f>
        <v>-2.7484350488031315</v>
      </c>
      <c r="CI30" s="200" t="str">
        <f t="shared" si="39"/>
        <v/>
      </c>
      <c r="CJ30" s="200">
        <f>IF($J30="",#N/A,SUM(CI$4:CI30))</f>
        <v>0</v>
      </c>
      <c r="CK30" s="201" t="str">
        <f t="shared" si="40"/>
        <v/>
      </c>
      <c r="CL30" s="201">
        <f>IF($J30="",#N/A,SUM(CK$4:CK30))</f>
        <v>0</v>
      </c>
      <c r="CM30" s="202" t="str">
        <f t="shared" si="41"/>
        <v/>
      </c>
      <c r="CN30" s="202">
        <f>IF($J30="",#N/A,SUM(CM$4:CM30))</f>
        <v>0</v>
      </c>
      <c r="CO30" s="202">
        <f>IF($J30="",#N/A,SUM(CM$4:CM30,CK$4:CK30,CI$4:CI30))</f>
        <v>0</v>
      </c>
      <c r="CP30" s="200" t="str">
        <f t="shared" si="42"/>
        <v/>
      </c>
      <c r="CQ30" s="200">
        <f>IF($J30="",#N/A,SUM(CP$4:CP30))</f>
        <v>0</v>
      </c>
      <c r="CR30" s="201" t="str">
        <f t="shared" si="43"/>
        <v/>
      </c>
      <c r="CS30" s="201">
        <f>IF($J30="",#N/A,SUM(CR$4:CR30))</f>
        <v>0</v>
      </c>
      <c r="CT30" s="202" t="str">
        <f t="shared" si="44"/>
        <v/>
      </c>
      <c r="CU30" s="202">
        <f>IF($J30="",#N/A,SUM(CT$4:CT30))</f>
        <v>0</v>
      </c>
      <c r="CV30" s="202">
        <f>IF($J30="",#N/A,SUM(CT$4:CT30,CR$4:CR30,CP$4:CP30))</f>
        <v>0</v>
      </c>
      <c r="CW30" s="200" t="str">
        <f t="shared" si="45"/>
        <v/>
      </c>
      <c r="CX30" s="200">
        <f>IF($J30="",#N/A,SUM(CW$4:CW30))</f>
        <v>0</v>
      </c>
      <c r="CY30" s="201" t="str">
        <f t="shared" si="46"/>
        <v/>
      </c>
      <c r="CZ30" s="201">
        <f>IF($J30="",#N/A,SUM(CY$4:CY30))</f>
        <v>0</v>
      </c>
      <c r="DA30" s="202" t="str">
        <f t="shared" si="47"/>
        <v/>
      </c>
      <c r="DB30" s="202">
        <f>IF($J30="",#N/A,SUM(DA$4:DA30))</f>
        <v>0</v>
      </c>
      <c r="DC30" s="202">
        <f>IF($J30="",#N/A,SUM(DA$4:DA30,CY$4:CY30,CW$4:CW30))</f>
        <v>0</v>
      </c>
      <c r="DD30" s="200" t="str">
        <f t="shared" si="48"/>
        <v/>
      </c>
      <c r="DE30" s="200">
        <f>IF($J30="",#N/A,SUM(DD$4:DD30))</f>
        <v>0</v>
      </c>
      <c r="DF30" s="201" t="str">
        <f t="shared" si="49"/>
        <v/>
      </c>
      <c r="DG30" s="201">
        <f>IF($J30="",#N/A,SUM(DF$4:DF30))</f>
        <v>0.6788440567066546</v>
      </c>
      <c r="DH30" s="202" t="str">
        <f t="shared" si="50"/>
        <v/>
      </c>
      <c r="DI30" s="202">
        <f>IF($J30="",#N/A,SUM(DH$4:DH30))</f>
        <v>0</v>
      </c>
      <c r="DJ30" s="202">
        <f>IF($J30="",#N/A,SUM(DH$4:DH30,DF$4:DF30,DD$4:DD30))</f>
        <v>0.6788440567066546</v>
      </c>
      <c r="DK30" s="200" t="str">
        <f t="shared" si="51"/>
        <v/>
      </c>
      <c r="DL30" s="200">
        <f>IF($J30="",#N/A,SUM(DK$4:DK30))</f>
        <v>0</v>
      </c>
      <c r="DM30" s="201" t="str">
        <f t="shared" si="52"/>
        <v/>
      </c>
      <c r="DN30" s="201">
        <f>IF($J30="",#N/A,SUM(DM$4:DM30))</f>
        <v>0.36227168206863897</v>
      </c>
      <c r="DO30" s="202" t="str">
        <f t="shared" si="53"/>
        <v/>
      </c>
      <c r="DP30" s="202">
        <f>IF($J30="",#N/A,SUM(DO$4:DO30))</f>
        <v>0</v>
      </c>
      <c r="DQ30" s="202">
        <f>IF($J30="",#N/A,SUM(DO$4:DO30,DM$4:DM30,DK$4:DK30))</f>
        <v>0.36227168206863897</v>
      </c>
      <c r="DR30" s="200" t="str">
        <f t="shared" si="54"/>
        <v/>
      </c>
      <c r="DS30" s="200">
        <f>IF($J30="",#N/A,SUM(DR$4:DR30))</f>
        <v>0</v>
      </c>
      <c r="DT30" s="201">
        <f t="shared" si="55"/>
        <v>0.41203703703703776</v>
      </c>
      <c r="DU30" s="201">
        <f>IF($J30="",#N/A,SUM(DT$4:DT30))</f>
        <v>0.99069963826050333</v>
      </c>
      <c r="DV30" s="202" t="str">
        <f t="shared" si="56"/>
        <v/>
      </c>
      <c r="DW30" s="202">
        <f>IF($J30="",#N/A,SUM(DV$4:DV30))</f>
        <v>-1.5349353024922392</v>
      </c>
      <c r="DX30" s="202">
        <f>IF($J30="",#N/A,SUM(DV$4:DV30,DT$4:DT30,DR$4:DR30))</f>
        <v>-0.54423566423173564</v>
      </c>
      <c r="DY30" s="200" t="str">
        <f t="shared" si="57"/>
        <v/>
      </c>
      <c r="DZ30" s="200">
        <f>IF($J30="",#N/A,SUM(DY$4:DY30))</f>
        <v>0</v>
      </c>
      <c r="EA30" s="201" t="str">
        <f t="shared" si="58"/>
        <v/>
      </c>
      <c r="EB30" s="201">
        <f>IF($J30="",#N/A,SUM(EA$4:EA30))</f>
        <v>0.43517953094202633</v>
      </c>
      <c r="EC30" s="202" t="str">
        <f t="shared" si="59"/>
        <v/>
      </c>
      <c r="ED30" s="202">
        <f>IF($J30="",#N/A,SUM(EC$4:EC30))</f>
        <v>0.52792722625163879</v>
      </c>
      <c r="EE30" s="202">
        <f>IF($J30="",#N/A,SUM(EC$4:EC30,EA$4:EA30,DY$4:DY30))</f>
        <v>0.96310675719366512</v>
      </c>
      <c r="EF30" s="200" t="str">
        <f t="shared" si="60"/>
        <v/>
      </c>
      <c r="EG30" s="200">
        <f>IF($J30="",#N/A,SUM(EF$4:EF30))</f>
        <v>0</v>
      </c>
      <c r="EH30" s="201" t="str">
        <f t="shared" si="61"/>
        <v/>
      </c>
      <c r="EI30" s="201">
        <f>IF($J30="",#N/A,SUM(EH$4:EH30))</f>
        <v>0</v>
      </c>
      <c r="EJ30" s="202" t="str">
        <f t="shared" si="62"/>
        <v/>
      </c>
      <c r="EK30" s="202">
        <f>IF($J30="",#N/A,SUM(EJ$4:EJ30))</f>
        <v>0.6035383334478206</v>
      </c>
      <c r="EL30" s="202">
        <f>IF($J30="",#N/A,SUM(EJ$4:EJ30,EH$4:EH30,EF$4:EF30))</f>
        <v>0.6035383334478206</v>
      </c>
      <c r="EM30" s="200" t="str">
        <f t="shared" si="63"/>
        <v/>
      </c>
      <c r="EN30" s="200">
        <f>IF($J30="",#N/A,SUM(EM$4:EM30))</f>
        <v>0</v>
      </c>
      <c r="EO30" s="201" t="str">
        <f t="shared" si="64"/>
        <v/>
      </c>
      <c r="EP30" s="201">
        <f>IF($J30="",#N/A,SUM(EO$4:EO30))</f>
        <v>0</v>
      </c>
      <c r="EQ30" s="202" t="str">
        <f t="shared" si="65"/>
        <v/>
      </c>
      <c r="ER30" s="202">
        <f>IF($J30="",#N/A,SUM(EQ$4:EQ30))</f>
        <v>0</v>
      </c>
      <c r="ES30" s="202">
        <f>IF($J30="",#N/A,SUM(EQ$4:EQ30,EO$4:EO30,EM$4:EM30))</f>
        <v>0</v>
      </c>
      <c r="ET30" s="200" t="str">
        <f t="shared" si="66"/>
        <v/>
      </c>
      <c r="EU30" s="200">
        <f>IF($J30="",#N/A,SUM(ET$4:ET30))</f>
        <v>0</v>
      </c>
      <c r="EV30" s="201" t="str">
        <f t="shared" si="67"/>
        <v/>
      </c>
      <c r="EW30" s="201">
        <f>IF($J30="",#N/A,SUM(EV$4:EV30))</f>
        <v>0</v>
      </c>
      <c r="EX30" s="202" t="str">
        <f t="shared" si="68"/>
        <v/>
      </c>
      <c r="EY30" s="202">
        <f>IF($J30="",#N/A,SUM(EX$4:EX30))</f>
        <v>0</v>
      </c>
      <c r="EZ30" s="202">
        <f>IF($J30="",#N/A,SUM(EX$4:EX30,EV$4:EV30,ET$4:ET30))</f>
        <v>0</v>
      </c>
      <c r="FA30" s="200" t="str">
        <f t="shared" si="69"/>
        <v/>
      </c>
      <c r="FB30" s="200">
        <f>IF($J30="",#N/A,SUM(FA$4:FA30))</f>
        <v>0</v>
      </c>
      <c r="FC30" s="201" t="str">
        <f t="shared" si="70"/>
        <v/>
      </c>
      <c r="FD30" s="201">
        <f>IF($J30="",#N/A,SUM(FC$4:FC30))</f>
        <v>0</v>
      </c>
      <c r="FE30" s="202" t="str">
        <f t="shared" si="71"/>
        <v/>
      </c>
      <c r="FF30" s="202">
        <f>IF($J30="",#N/A,SUM(FE$4:FE30))</f>
        <v>-0.11131725417439868</v>
      </c>
      <c r="FG30" s="202">
        <f>IF($J30="",#N/A,SUM(FE$4:FE30,FC$4:FC30,FA$4:FA30))</f>
        <v>-0.11131725417439868</v>
      </c>
      <c r="FH30" s="200" t="str">
        <f t="shared" si="72"/>
        <v/>
      </c>
      <c r="FI30" s="200">
        <f>IF($J30="",#N/A,SUM(FH$4:FH30))</f>
        <v>0</v>
      </c>
      <c r="FJ30" s="201" t="str">
        <f t="shared" si="73"/>
        <v/>
      </c>
      <c r="FK30" s="201">
        <f>IF($J30="",#N/A,SUM(FJ$4:FJ30))</f>
        <v>0</v>
      </c>
      <c r="FL30" s="202" t="str">
        <f t="shared" si="74"/>
        <v/>
      </c>
      <c r="FM30" s="202">
        <f>IF($J30="",#N/A,SUM(FL$4:FL30))</f>
        <v>0</v>
      </c>
      <c r="FN30" s="202">
        <f>IF($J30="",#N/A,SUM(FL$4:FL30,FJ$4:FJ30,FH$4:FH30))</f>
        <v>0</v>
      </c>
      <c r="FO30" s="200" t="str">
        <f t="shared" si="75"/>
        <v/>
      </c>
      <c r="FP30" s="200">
        <f>IF($J30="",#N/A,SUM(FO$4:FO30))</f>
        <v>0</v>
      </c>
      <c r="FQ30" s="201" t="str">
        <f t="shared" si="76"/>
        <v/>
      </c>
      <c r="FR30" s="201">
        <f>IF($J30="",#N/A,SUM(FQ$4:FQ30))</f>
        <v>0</v>
      </c>
      <c r="FS30" s="202" t="str">
        <f t="shared" si="77"/>
        <v/>
      </c>
      <c r="FT30" s="202">
        <f>IF($J30="",#N/A,SUM(FS$4:FS30))</f>
        <v>0</v>
      </c>
      <c r="FU30" s="202">
        <f>IF($J30="",#N/A,SUM(FS$4:FS30,FQ$4:FQ30,FO$4:FO30))</f>
        <v>0</v>
      </c>
      <c r="FV30" s="200" t="str">
        <f t="shared" si="78"/>
        <v/>
      </c>
      <c r="FW30" s="200">
        <f>IF($J30="",#N/A,SUM(FV$4:FV30))</f>
        <v>0</v>
      </c>
      <c r="FX30" s="201" t="str">
        <f t="shared" si="79"/>
        <v/>
      </c>
      <c r="FY30" s="201">
        <f>IF($J30="",#N/A,SUM(FX$4:FX30))</f>
        <v>0</v>
      </c>
      <c r="FZ30" s="202" t="str">
        <f t="shared" si="80"/>
        <v/>
      </c>
      <c r="GA30" s="202">
        <f>IF($J30="",#N/A,SUM(FZ$4:FZ30))</f>
        <v>0.70318817588636717</v>
      </c>
      <c r="GB30" s="202">
        <f>IF($J30="",#N/A,SUM(FZ$4:FZ30,FX$4:FX30,FV$4:FV30))</f>
        <v>0.70318817588636717</v>
      </c>
      <c r="GC30" s="200" t="str">
        <f t="shared" si="81"/>
        <v/>
      </c>
      <c r="GD30" s="200">
        <f>IF($J30="",#N/A,SUM(GC$4:GC30))</f>
        <v>0</v>
      </c>
      <c r="GE30" s="201" t="str">
        <f t="shared" si="82"/>
        <v/>
      </c>
      <c r="GF30" s="201">
        <f>IF($J30="",#N/A,SUM(GE$4:GE30))</f>
        <v>0</v>
      </c>
      <c r="GG30" s="202" t="str">
        <f t="shared" si="83"/>
        <v/>
      </c>
      <c r="GH30" s="202">
        <f>IF($J30="",#N/A,SUM(GG$4:GG30))</f>
        <v>-2.9368362277223206</v>
      </c>
      <c r="GI30" s="202">
        <f>IF($J30="",#N/A,SUM(GG$4:GG30,GE$4:GE30,GC$4:GC30))</f>
        <v>-2.9368362277223206</v>
      </c>
      <c r="GJ30" s="200" t="str">
        <f t="shared" si="84"/>
        <v/>
      </c>
      <c r="GK30" s="200">
        <f>IF($J30="",#N/A,SUM(GJ$4:GJ30))</f>
        <v>0</v>
      </c>
      <c r="GL30" s="201" t="str">
        <f t="shared" si="85"/>
        <v/>
      </c>
      <c r="GM30" s="201">
        <f>IF($J30="",#N/A,SUM(GL$4:GL30))</f>
        <v>0</v>
      </c>
      <c r="GN30" s="202" t="str">
        <f t="shared" si="86"/>
        <v/>
      </c>
      <c r="GO30" s="202">
        <f>IF($J30="",#N/A,SUM(GN$4:GN30))</f>
        <v>0</v>
      </c>
      <c r="GP30" s="202">
        <f>IF($J30="",#N/A,SUM(GN$4:GN30,GL$4:GL30,GJ$4:GJ30))</f>
        <v>0</v>
      </c>
      <c r="GS30" s="54">
        <f t="shared" si="105"/>
        <v>0.41203703703703776</v>
      </c>
      <c r="GT30" s="54">
        <f>IF(GS30="",NA(),SUM($GS$4:GS30))</f>
        <v>-0.28144014082530722</v>
      </c>
      <c r="GU30" s="54" t="str">
        <f t="shared" si="87"/>
        <v/>
      </c>
      <c r="GV30" s="54" t="e">
        <f>IF(GU30="",NA(),SUM($GU$4:GU30))</f>
        <v>#N/A</v>
      </c>
      <c r="GW30" s="54" t="str">
        <f t="shared" si="88"/>
        <v/>
      </c>
      <c r="GX30" s="54" t="e">
        <f>IF(GW30="",NA(),SUM($GW$4:GW30))</f>
        <v>#N/A</v>
      </c>
      <c r="GY30" s="54">
        <f t="shared" si="89"/>
        <v>0.41203703703703776</v>
      </c>
      <c r="GZ30" s="54">
        <f>IF(GY30="",NA(),SUM($GY$4:GY30))</f>
        <v>2.4669949079778233</v>
      </c>
      <c r="HA30" s="54" t="str">
        <f t="shared" si="90"/>
        <v/>
      </c>
      <c r="HB30" s="54" t="e">
        <f>IF(HA30="",NA(),SUM($HA$4:HA30))</f>
        <v>#N/A</v>
      </c>
      <c r="HC30" s="54" t="str">
        <f t="shared" si="91"/>
        <v/>
      </c>
      <c r="HD30" s="54" t="e">
        <f>IF(HC30="",NA(),SUM($HC$4:HC30))</f>
        <v>#N/A</v>
      </c>
      <c r="HE30" s="54" t="str">
        <f t="shared" si="92"/>
        <v/>
      </c>
      <c r="HF30" s="54" t="e">
        <f>IF(HE30="",NA(),SUM($HE$4:HE30))</f>
        <v>#N/A</v>
      </c>
      <c r="HG30" s="54" t="str">
        <f t="shared" si="93"/>
        <v/>
      </c>
      <c r="HH30" s="54" t="e">
        <f>IF(HG30="",NA(),SUM($HG$4:HG30))</f>
        <v>#N/A</v>
      </c>
      <c r="HI30" s="172">
        <f t="shared" si="106"/>
        <v>-0.36574074074074148</v>
      </c>
      <c r="HJ30" s="181">
        <f>IF($J30="",#N/A,SUM(HI$4:$HI30))</f>
        <v>-0.44593001674917854</v>
      </c>
      <c r="HK30" s="54" t="str">
        <f t="shared" si="94"/>
        <v/>
      </c>
      <c r="HL30" s="54">
        <f>IF($J30="",#N/A,SUM($HK$4:HK30))</f>
        <v>-3.4652545522110731</v>
      </c>
      <c r="HM30" s="54" t="str">
        <f t="shared" si="95"/>
        <v/>
      </c>
      <c r="HN30" s="54">
        <f>IF($J30="",#N/A,SUM($HM$4:HM30))</f>
        <v>0</v>
      </c>
      <c r="HO30" s="54" t="str">
        <f t="shared" si="96"/>
        <v/>
      </c>
      <c r="HP30" s="54">
        <f>IF($J30="",#N/A,SUM($HO$4:HO30))</f>
        <v>0</v>
      </c>
      <c r="HQ30" s="54" t="str">
        <f t="shared" si="97"/>
        <v/>
      </c>
      <c r="HR30" s="54">
        <f>IF($J30="",#N/A,SUM($HQ$4:HQ30))</f>
        <v>-1.5356297518653972</v>
      </c>
      <c r="HS30" s="54" t="str">
        <f t="shared" si="98"/>
        <v/>
      </c>
      <c r="HT30" s="54">
        <f>IF($J30="",#N/A,SUM($HS$4:HS30))</f>
        <v>4.8476904658045576</v>
      </c>
      <c r="HU30" s="65">
        <f t="shared" si="99"/>
        <v>4.6296296296296301E-2</v>
      </c>
      <c r="HV30" s="65">
        <f>IF($J30="",#N/A,SUM(HU$4:$HU30))</f>
        <v>-0.88056399584639955</v>
      </c>
    </row>
    <row r="31" spans="1:230" x14ac:dyDescent="0.25">
      <c r="A31" s="51" t="s">
        <v>1490</v>
      </c>
      <c r="B31" s="52" t="s">
        <v>4483</v>
      </c>
      <c r="C31" s="229">
        <f t="shared" si="0"/>
        <v>2</v>
      </c>
      <c r="D31" s="219" t="str">
        <f>_xlfn.XLOOKUP(A31,[1]SP500!$A$2:$A$502,[1]SP500!$D$2:$D$502,"N")</f>
        <v>Y</v>
      </c>
      <c r="E31" s="51" t="str">
        <f>IFERROR(_xlfn.XLOOKUP(A31,[1]SP500!$A$2:$A$655,[1]SP500!$B$2:$B$655),"")</f>
        <v>XLF</v>
      </c>
      <c r="F31" s="53">
        <v>45764</v>
      </c>
      <c r="G31" s="51" t="str">
        <f t="shared" si="1"/>
        <v>BMO</v>
      </c>
      <c r="H31" s="51" t="str">
        <f t="shared" si="2"/>
        <v>s</v>
      </c>
      <c r="I31" s="344">
        <v>13.27</v>
      </c>
      <c r="J31" s="123">
        <v>13.72</v>
      </c>
      <c r="K31" s="55">
        <f t="shared" si="3"/>
        <v>3.3911077618688855E-2</v>
      </c>
      <c r="L31" s="67">
        <f t="shared" si="4"/>
        <v>-38.25</v>
      </c>
      <c r="M31" s="57">
        <f t="shared" si="5"/>
        <v>-2.5499999999999545</v>
      </c>
      <c r="N31" s="155">
        <f t="shared" si="6"/>
        <v>-38.25</v>
      </c>
      <c r="O31" s="156">
        <f>IF(N31="",#N/A,SUM($N$4:N31))</f>
        <v>-52.539625933370758</v>
      </c>
      <c r="P31" s="65">
        <f t="shared" si="100"/>
        <v>-0.56518462697814609</v>
      </c>
      <c r="Q31" s="172">
        <f>IF($N31="",#N/A,SUM($P$4:P31))</f>
        <v>-0.8466247678034533</v>
      </c>
      <c r="R31" s="279">
        <f t="shared" si="7"/>
        <v>0.10456070667926509</v>
      </c>
      <c r="S31" s="51" t="str">
        <f t="shared" si="8"/>
        <v>Dwn</v>
      </c>
      <c r="T31" s="51" t="s">
        <v>4461</v>
      </c>
      <c r="U31" s="56">
        <f t="shared" si="9"/>
        <v>13.27</v>
      </c>
      <c r="V31" s="56" t="s">
        <v>4458</v>
      </c>
      <c r="W31" s="142">
        <v>85</v>
      </c>
      <c r="X31" s="145">
        <f t="shared" si="10"/>
        <v>1127.95</v>
      </c>
      <c r="Y31" s="140">
        <f t="shared" si="11"/>
        <v>85</v>
      </c>
      <c r="Z31" s="123">
        <v>13.75</v>
      </c>
      <c r="AA31" s="102">
        <f t="shared" si="12"/>
        <v>-40.799999999999955</v>
      </c>
      <c r="AB31" s="102">
        <f t="shared" si="13"/>
        <v>-34</v>
      </c>
      <c r="AC31" s="124">
        <v>13.67</v>
      </c>
      <c r="AD31" s="155">
        <f t="shared" si="14"/>
        <v>-34</v>
      </c>
      <c r="AE31" s="545">
        <f t="shared" si="15"/>
        <v>-0.50238633509168551</v>
      </c>
      <c r="AF31" s="57">
        <f>IF($AC31="",#N/A,SUM(AD$4:AD31))</f>
        <v>-90.209671408325789</v>
      </c>
      <c r="AG31" s="102">
        <f t="shared" si="16"/>
        <v>4.25</v>
      </c>
      <c r="AH31" s="56" t="s">
        <v>2507</v>
      </c>
      <c r="AI31" s="65">
        <f t="shared" si="17"/>
        <v>-0.60286360211002188</v>
      </c>
      <c r="AJ31" s="54">
        <f>IF(AI31="",#N/A,SUM($AI$4:AI31))</f>
        <v>-0.9511854744827184</v>
      </c>
      <c r="AK31" s="57">
        <f t="shared" si="18"/>
        <v>-40.799999999999955</v>
      </c>
      <c r="AL31" s="58">
        <f>IF(AI31="",#N/A,IF(AH31="Skip",SUM($AK$4:AK31),SUM($AK$4:AK31)))</f>
        <v>-61.084999999999354</v>
      </c>
      <c r="AM31" s="65">
        <f t="shared" si="101"/>
        <v>-0.50238633509168551</v>
      </c>
      <c r="AN31" s="209"/>
      <c r="AO31" s="65" t="str">
        <f t="shared" si="19"/>
        <v/>
      </c>
      <c r="AP31" s="65">
        <f>IF($AC31="",#N/A,SUM(AO$4:AO31))</f>
        <v>0.56362566513602852</v>
      </c>
      <c r="AQ31" s="65" t="str">
        <f t="shared" si="20"/>
        <v/>
      </c>
      <c r="AR31" s="65">
        <f>IF($AC31="",#N/A,SUM(AQ$4:AQ31))</f>
        <v>0</v>
      </c>
      <c r="AS31" s="65">
        <f t="shared" si="21"/>
        <v>-0.50238633509168551</v>
      </c>
      <c r="AT31" s="65">
        <f>IF($AC31="",#N/A,SUM(AS$4:AS31))</f>
        <v>-1.9465759960741142</v>
      </c>
      <c r="AU31" s="57" t="str">
        <f t="shared" si="102"/>
        <v/>
      </c>
      <c r="AV31" s="57">
        <f>IF($AC31="",#N/A,SUM(AU$4:AU31))</f>
        <v>19.92870149449061</v>
      </c>
      <c r="AW31" s="57" t="str">
        <f t="shared" si="103"/>
        <v/>
      </c>
      <c r="AX31" s="57">
        <f>IF($AC31="",#N/A,SUM(AW$4:AW31))</f>
        <v>0</v>
      </c>
      <c r="AY31" s="56">
        <f t="shared" si="104"/>
        <v>-34</v>
      </c>
      <c r="AZ31" s="57">
        <f>IF($AC31="",#N/A,SUM(AY$4:AY31))</f>
        <v>-110.1383729028164</v>
      </c>
      <c r="BA31" s="57">
        <f>IF(AD31="",#N/A,SUM($AD$4:AD31))</f>
        <v>-90.209671408325789</v>
      </c>
      <c r="BC31" s="51" t="str">
        <f t="shared" si="22"/>
        <v/>
      </c>
      <c r="BD31" s="51">
        <f t="shared" si="23"/>
        <v>1</v>
      </c>
      <c r="BE31" s="51" t="str">
        <f t="shared" si="24"/>
        <v/>
      </c>
      <c r="BF31" s="51" t="str">
        <f t="shared" si="25"/>
        <v>Short</v>
      </c>
      <c r="BG31" s="51" t="str">
        <f t="shared" si="26"/>
        <v/>
      </c>
      <c r="BH31" s="51" t="str">
        <f t="shared" si="27"/>
        <v/>
      </c>
      <c r="BI31" s="51" t="str">
        <f t="shared" si="28"/>
        <v/>
      </c>
      <c r="BK31" s="184"/>
      <c r="BL31" s="65">
        <f t="shared" si="107"/>
        <v>-2.2947738904403811E-2</v>
      </c>
      <c r="BM31" s="65">
        <f>IFERROR(Q31/COUNTA($J$4:J31),#N/A)</f>
        <v>-3.0236598850123333E-2</v>
      </c>
      <c r="BO31" s="489" t="e">
        <f>IF(J31="",#N/A,IF(S31="SW",(COUNTIFS(K$4:$K31,"&gt;0",S$4:$S31,"SW")/COUNTIF(S$4:$S31,"SW")),#N/A))</f>
        <v>#N/A</v>
      </c>
      <c r="BP31" s="489">
        <f>IF($J31="",#N/A,IF($S31="DWN",(COUNTIFS($K$4:$K31,"&lt;0",$S$4:$S31,"DWN")/COUNTIF($S$4:$S31,"DWN")),#N/A))</f>
        <v>0.8</v>
      </c>
      <c r="BQ31" s="489" t="e">
        <f>IF($J31="",#N/A,IF($S31="UP",(COUNTIFS($K$4:$K31,"&gt;0",$S$4:$S31,"UP")/COUNTIF($S$4:$S31,"UP")),#N/A))</f>
        <v>#N/A</v>
      </c>
      <c r="BR31" s="489">
        <f>IF(J31="",#N/A,COUNTIF($K$4:K31,"&gt;0")/COUNT($J$4:J31))</f>
        <v>0.35714285714285715</v>
      </c>
      <c r="BS31" s="65" t="str">
        <f t="shared" si="29"/>
        <v/>
      </c>
      <c r="BT31" s="65" t="str">
        <f t="shared" si="30"/>
        <v/>
      </c>
      <c r="BU31" s="65" t="str">
        <f t="shared" si="31"/>
        <v/>
      </c>
      <c r="BV31" s="65">
        <f t="shared" si="32"/>
        <v>-0.56518462697814609</v>
      </c>
      <c r="BW31" s="151" t="str">
        <f t="shared" si="33"/>
        <v/>
      </c>
      <c r="BX31" s="151">
        <f>IF($J31="",#N/A,SUM($BW$4:BW31))</f>
        <v>0</v>
      </c>
      <c r="BY31" s="152">
        <f t="shared" si="34"/>
        <v>-38.25</v>
      </c>
      <c r="BZ31" s="152">
        <f>IF($J31="",#N/A,SUM($BY$4:BY31))</f>
        <v>132.55628046850393</v>
      </c>
      <c r="CA31" s="153" t="str">
        <f t="shared" si="35"/>
        <v/>
      </c>
      <c r="CB31" s="154">
        <f>IF($J31="",#N/A,SUM($CA$4:CA31))</f>
        <v>-185.09590640187469</v>
      </c>
      <c r="CC31" s="191" t="str">
        <f t="shared" si="36"/>
        <v/>
      </c>
      <c r="CD31" s="191">
        <f>IF($J31="",#N/A,SUM($CC$4:CC31))</f>
        <v>0</v>
      </c>
      <c r="CE31" s="192">
        <f t="shared" si="37"/>
        <v>-0.56518462697814609</v>
      </c>
      <c r="CF31" s="192">
        <f>IF($J31="",#N/A,SUM($CE$4:CE31))</f>
        <v>1.9018102809996771</v>
      </c>
      <c r="CG31" s="193" t="str">
        <f t="shared" si="38"/>
        <v/>
      </c>
      <c r="CH31" s="193">
        <f>IF($J31="",#N/A,SUM($CG$4:CG31))</f>
        <v>-2.7484350488031315</v>
      </c>
      <c r="CI31" s="200" t="str">
        <f t="shared" si="39"/>
        <v/>
      </c>
      <c r="CJ31" s="200">
        <f>IF($J31="",#N/A,SUM(CI$4:CI31))</f>
        <v>0</v>
      </c>
      <c r="CK31" s="201" t="str">
        <f t="shared" si="40"/>
        <v/>
      </c>
      <c r="CL31" s="201">
        <f>IF($J31="",#N/A,SUM(CK$4:CK31))</f>
        <v>0</v>
      </c>
      <c r="CM31" s="202" t="str">
        <f t="shared" si="41"/>
        <v/>
      </c>
      <c r="CN31" s="202">
        <f>IF($J31="",#N/A,SUM(CM$4:CM31))</f>
        <v>0</v>
      </c>
      <c r="CO31" s="202">
        <f>IF($J31="",#N/A,SUM(CM$4:CM31,CK$4:CK31,CI$4:CI31))</f>
        <v>0</v>
      </c>
      <c r="CP31" s="200" t="str">
        <f t="shared" si="42"/>
        <v/>
      </c>
      <c r="CQ31" s="200">
        <f>IF($J31="",#N/A,SUM(CP$4:CP31))</f>
        <v>0</v>
      </c>
      <c r="CR31" s="201" t="str">
        <f t="shared" si="43"/>
        <v/>
      </c>
      <c r="CS31" s="201">
        <f>IF($J31="",#N/A,SUM(CR$4:CR31))</f>
        <v>0</v>
      </c>
      <c r="CT31" s="202" t="str">
        <f t="shared" si="44"/>
        <v/>
      </c>
      <c r="CU31" s="202">
        <f>IF($J31="",#N/A,SUM(CT$4:CT31))</f>
        <v>0</v>
      </c>
      <c r="CV31" s="202">
        <f>IF($J31="",#N/A,SUM(CT$4:CT31,CR$4:CR31,CP$4:CP31))</f>
        <v>0</v>
      </c>
      <c r="CW31" s="200" t="str">
        <f t="shared" si="45"/>
        <v/>
      </c>
      <c r="CX31" s="200">
        <f>IF($J31="",#N/A,SUM(CW$4:CW31))</f>
        <v>0</v>
      </c>
      <c r="CY31" s="201" t="str">
        <f t="shared" si="46"/>
        <v/>
      </c>
      <c r="CZ31" s="201">
        <f>IF($J31="",#N/A,SUM(CY$4:CY31))</f>
        <v>0</v>
      </c>
      <c r="DA31" s="202" t="str">
        <f t="shared" si="47"/>
        <v/>
      </c>
      <c r="DB31" s="202">
        <f>IF($J31="",#N/A,SUM(DA$4:DA31))</f>
        <v>0</v>
      </c>
      <c r="DC31" s="202">
        <f>IF($J31="",#N/A,SUM(DA$4:DA31,CY$4:CY31,CW$4:CW31))</f>
        <v>0</v>
      </c>
      <c r="DD31" s="200" t="str">
        <f t="shared" si="48"/>
        <v/>
      </c>
      <c r="DE31" s="200">
        <f>IF($J31="",#N/A,SUM(DD$4:DD31))</f>
        <v>0</v>
      </c>
      <c r="DF31" s="201" t="str">
        <f t="shared" si="49"/>
        <v/>
      </c>
      <c r="DG31" s="201">
        <f>IF($J31="",#N/A,SUM(DF$4:DF31))</f>
        <v>0.6788440567066546</v>
      </c>
      <c r="DH31" s="202" t="str">
        <f t="shared" si="50"/>
        <v/>
      </c>
      <c r="DI31" s="202">
        <f>IF($J31="",#N/A,SUM(DH$4:DH31))</f>
        <v>0</v>
      </c>
      <c r="DJ31" s="202">
        <f>IF($J31="",#N/A,SUM(DH$4:DH31,DF$4:DF31,DD$4:DD31))</f>
        <v>0.6788440567066546</v>
      </c>
      <c r="DK31" s="200" t="str">
        <f t="shared" si="51"/>
        <v/>
      </c>
      <c r="DL31" s="200">
        <f>IF($J31="",#N/A,SUM(DK$4:DK31))</f>
        <v>0</v>
      </c>
      <c r="DM31" s="201" t="str">
        <f t="shared" si="52"/>
        <v/>
      </c>
      <c r="DN31" s="201">
        <f>IF($J31="",#N/A,SUM(DM$4:DM31))</f>
        <v>0.36227168206863897</v>
      </c>
      <c r="DO31" s="202" t="str">
        <f t="shared" si="53"/>
        <v/>
      </c>
      <c r="DP31" s="202">
        <f>IF($J31="",#N/A,SUM(DO$4:DO31))</f>
        <v>0</v>
      </c>
      <c r="DQ31" s="202">
        <f>IF($J31="",#N/A,SUM(DO$4:DO31,DM$4:DM31,DK$4:DK31))</f>
        <v>0.36227168206863897</v>
      </c>
      <c r="DR31" s="200" t="str">
        <f t="shared" si="54"/>
        <v/>
      </c>
      <c r="DS31" s="200">
        <f>IF($J31="",#N/A,SUM(DR$4:DR31))</f>
        <v>0</v>
      </c>
      <c r="DT31" s="201">
        <f t="shared" si="55"/>
        <v>-0.56518462697814609</v>
      </c>
      <c r="DU31" s="201">
        <f>IF($J31="",#N/A,SUM(DT$4:DT31))</f>
        <v>0.42551501128235725</v>
      </c>
      <c r="DV31" s="202" t="str">
        <f t="shared" si="56"/>
        <v/>
      </c>
      <c r="DW31" s="202">
        <f>IF($J31="",#N/A,SUM(DV$4:DV31))</f>
        <v>-1.5349353024922392</v>
      </c>
      <c r="DX31" s="202">
        <f>IF($J31="",#N/A,SUM(DV$4:DV31,DT$4:DT31,DR$4:DR31))</f>
        <v>-1.1094202912098816</v>
      </c>
      <c r="DY31" s="200" t="str">
        <f t="shared" si="57"/>
        <v/>
      </c>
      <c r="DZ31" s="200">
        <f>IF($J31="",#N/A,SUM(DY$4:DY31))</f>
        <v>0</v>
      </c>
      <c r="EA31" s="201" t="str">
        <f t="shared" si="58"/>
        <v/>
      </c>
      <c r="EB31" s="201">
        <f>IF($J31="",#N/A,SUM(EA$4:EA31))</f>
        <v>0.43517953094202633</v>
      </c>
      <c r="EC31" s="202" t="str">
        <f t="shared" si="59"/>
        <v/>
      </c>
      <c r="ED31" s="202">
        <f>IF($J31="",#N/A,SUM(EC$4:EC31))</f>
        <v>0.52792722625163879</v>
      </c>
      <c r="EE31" s="202">
        <f>IF($J31="",#N/A,SUM(EC$4:EC31,EA$4:EA31,DY$4:DY31))</f>
        <v>0.96310675719366512</v>
      </c>
      <c r="EF31" s="200" t="str">
        <f t="shared" si="60"/>
        <v/>
      </c>
      <c r="EG31" s="200">
        <f>IF($J31="",#N/A,SUM(EF$4:EF31))</f>
        <v>0</v>
      </c>
      <c r="EH31" s="201" t="str">
        <f t="shared" si="61"/>
        <v/>
      </c>
      <c r="EI31" s="201">
        <f>IF($J31="",#N/A,SUM(EH$4:EH31))</f>
        <v>0</v>
      </c>
      <c r="EJ31" s="202" t="str">
        <f t="shared" si="62"/>
        <v/>
      </c>
      <c r="EK31" s="202">
        <f>IF($J31="",#N/A,SUM(EJ$4:EJ31))</f>
        <v>0.6035383334478206</v>
      </c>
      <c r="EL31" s="202">
        <f>IF($J31="",#N/A,SUM(EJ$4:EJ31,EH$4:EH31,EF$4:EF31))</f>
        <v>0.6035383334478206</v>
      </c>
      <c r="EM31" s="200" t="str">
        <f t="shared" si="63"/>
        <v/>
      </c>
      <c r="EN31" s="200">
        <f>IF($J31="",#N/A,SUM(EM$4:EM31))</f>
        <v>0</v>
      </c>
      <c r="EO31" s="201" t="str">
        <f t="shared" si="64"/>
        <v/>
      </c>
      <c r="EP31" s="201">
        <f>IF($J31="",#N/A,SUM(EO$4:EO31))</f>
        <v>0</v>
      </c>
      <c r="EQ31" s="202" t="str">
        <f t="shared" si="65"/>
        <v/>
      </c>
      <c r="ER31" s="202">
        <f>IF($J31="",#N/A,SUM(EQ$4:EQ31))</f>
        <v>0</v>
      </c>
      <c r="ES31" s="202">
        <f>IF($J31="",#N/A,SUM(EQ$4:EQ31,EO$4:EO31,EM$4:EM31))</f>
        <v>0</v>
      </c>
      <c r="ET31" s="200" t="str">
        <f t="shared" si="66"/>
        <v/>
      </c>
      <c r="EU31" s="200">
        <f>IF($J31="",#N/A,SUM(ET$4:ET31))</f>
        <v>0</v>
      </c>
      <c r="EV31" s="201" t="str">
        <f t="shared" si="67"/>
        <v/>
      </c>
      <c r="EW31" s="201">
        <f>IF($J31="",#N/A,SUM(EV$4:EV31))</f>
        <v>0</v>
      </c>
      <c r="EX31" s="202" t="str">
        <f t="shared" si="68"/>
        <v/>
      </c>
      <c r="EY31" s="202">
        <f>IF($J31="",#N/A,SUM(EX$4:EX31))</f>
        <v>0</v>
      </c>
      <c r="EZ31" s="202">
        <f>IF($J31="",#N/A,SUM(EX$4:EX31,EV$4:EV31,ET$4:ET31))</f>
        <v>0</v>
      </c>
      <c r="FA31" s="200" t="str">
        <f t="shared" si="69"/>
        <v/>
      </c>
      <c r="FB31" s="200">
        <f>IF($J31="",#N/A,SUM(FA$4:FA31))</f>
        <v>0</v>
      </c>
      <c r="FC31" s="201" t="str">
        <f t="shared" si="70"/>
        <v/>
      </c>
      <c r="FD31" s="201">
        <f>IF($J31="",#N/A,SUM(FC$4:FC31))</f>
        <v>0</v>
      </c>
      <c r="FE31" s="202" t="str">
        <f t="shared" si="71"/>
        <v/>
      </c>
      <c r="FF31" s="202">
        <f>IF($J31="",#N/A,SUM(FE$4:FE31))</f>
        <v>-0.11131725417439868</v>
      </c>
      <c r="FG31" s="202">
        <f>IF($J31="",#N/A,SUM(FE$4:FE31,FC$4:FC31,FA$4:FA31))</f>
        <v>-0.11131725417439868</v>
      </c>
      <c r="FH31" s="200" t="str">
        <f t="shared" si="72"/>
        <v/>
      </c>
      <c r="FI31" s="200">
        <f>IF($J31="",#N/A,SUM(FH$4:FH31))</f>
        <v>0</v>
      </c>
      <c r="FJ31" s="201" t="str">
        <f t="shared" si="73"/>
        <v/>
      </c>
      <c r="FK31" s="201">
        <f>IF($J31="",#N/A,SUM(FJ$4:FJ31))</f>
        <v>0</v>
      </c>
      <c r="FL31" s="202" t="str">
        <f t="shared" si="74"/>
        <v/>
      </c>
      <c r="FM31" s="202">
        <f>IF($J31="",#N/A,SUM(FL$4:FL31))</f>
        <v>0</v>
      </c>
      <c r="FN31" s="202">
        <f>IF($J31="",#N/A,SUM(FL$4:FL31,FJ$4:FJ31,FH$4:FH31))</f>
        <v>0</v>
      </c>
      <c r="FO31" s="200" t="str">
        <f t="shared" si="75"/>
        <v/>
      </c>
      <c r="FP31" s="200">
        <f>IF($J31="",#N/A,SUM(FO$4:FO31))</f>
        <v>0</v>
      </c>
      <c r="FQ31" s="201" t="str">
        <f t="shared" si="76"/>
        <v/>
      </c>
      <c r="FR31" s="201">
        <f>IF($J31="",#N/A,SUM(FQ$4:FQ31))</f>
        <v>0</v>
      </c>
      <c r="FS31" s="202" t="str">
        <f t="shared" si="77"/>
        <v/>
      </c>
      <c r="FT31" s="202">
        <f>IF($J31="",#N/A,SUM(FS$4:FS31))</f>
        <v>0</v>
      </c>
      <c r="FU31" s="202">
        <f>IF($J31="",#N/A,SUM(FS$4:FS31,FQ$4:FQ31,FO$4:FO31))</f>
        <v>0</v>
      </c>
      <c r="FV31" s="200" t="str">
        <f t="shared" si="78"/>
        <v/>
      </c>
      <c r="FW31" s="200">
        <f>IF($J31="",#N/A,SUM(FV$4:FV31))</f>
        <v>0</v>
      </c>
      <c r="FX31" s="201" t="str">
        <f t="shared" si="79"/>
        <v/>
      </c>
      <c r="FY31" s="201">
        <f>IF($J31="",#N/A,SUM(FX$4:FX31))</f>
        <v>0</v>
      </c>
      <c r="FZ31" s="202" t="str">
        <f t="shared" si="80"/>
        <v/>
      </c>
      <c r="GA31" s="202">
        <f>IF($J31="",#N/A,SUM(FZ$4:FZ31))</f>
        <v>0.70318817588636717</v>
      </c>
      <c r="GB31" s="202">
        <f>IF($J31="",#N/A,SUM(FZ$4:FZ31,FX$4:FX31,FV$4:FV31))</f>
        <v>0.70318817588636717</v>
      </c>
      <c r="GC31" s="200" t="str">
        <f t="shared" si="81"/>
        <v/>
      </c>
      <c r="GD31" s="200">
        <f>IF($J31="",#N/A,SUM(GC$4:GC31))</f>
        <v>0</v>
      </c>
      <c r="GE31" s="201" t="str">
        <f t="shared" si="82"/>
        <v/>
      </c>
      <c r="GF31" s="201">
        <f>IF($J31="",#N/A,SUM(GE$4:GE31))</f>
        <v>0</v>
      </c>
      <c r="GG31" s="202" t="str">
        <f t="shared" si="83"/>
        <v/>
      </c>
      <c r="GH31" s="202">
        <f>IF($J31="",#N/A,SUM(GG$4:GG31))</f>
        <v>-2.9368362277223206</v>
      </c>
      <c r="GI31" s="202">
        <f>IF($J31="",#N/A,SUM(GG$4:GG31,GE$4:GE31,GC$4:GC31))</f>
        <v>-2.9368362277223206</v>
      </c>
      <c r="GJ31" s="200" t="str">
        <f t="shared" si="84"/>
        <v/>
      </c>
      <c r="GK31" s="200">
        <f>IF($J31="",#N/A,SUM(GJ$4:GJ31))</f>
        <v>0</v>
      </c>
      <c r="GL31" s="201" t="str">
        <f t="shared" si="85"/>
        <v/>
      </c>
      <c r="GM31" s="201">
        <f>IF($J31="",#N/A,SUM(GL$4:GL31))</f>
        <v>0</v>
      </c>
      <c r="GN31" s="202" t="str">
        <f t="shared" si="86"/>
        <v/>
      </c>
      <c r="GO31" s="202">
        <f>IF($J31="",#N/A,SUM(GN$4:GN31))</f>
        <v>0</v>
      </c>
      <c r="GP31" s="202">
        <f>IF($J31="",#N/A,SUM(GN$4:GN31,GL$4:GL31,GJ$4:GJ31))</f>
        <v>0</v>
      </c>
      <c r="GS31" s="54">
        <f t="shared" si="105"/>
        <v>-0.56518462697814609</v>
      </c>
      <c r="GT31" s="54">
        <f>IF(GS31="",NA(),SUM($GS$4:GS31))</f>
        <v>-0.8466247678034533</v>
      </c>
      <c r="GU31" s="54" t="str">
        <f t="shared" si="87"/>
        <v/>
      </c>
      <c r="GV31" s="54" t="e">
        <f>IF(GU31="",NA(),SUM($GU$4:GU31))</f>
        <v>#N/A</v>
      </c>
      <c r="GW31" s="54" t="str">
        <f t="shared" si="88"/>
        <v/>
      </c>
      <c r="GX31" s="54" t="e">
        <f>IF(GW31="",NA(),SUM($GW$4:GW31))</f>
        <v>#N/A</v>
      </c>
      <c r="GY31" s="54">
        <f t="shared" si="89"/>
        <v>-0.56518462697814609</v>
      </c>
      <c r="GZ31" s="54">
        <f>IF(GY31="",NA(),SUM($GY$4:GY31))</f>
        <v>1.9018102809996771</v>
      </c>
      <c r="HA31" s="54" t="str">
        <f t="shared" si="90"/>
        <v/>
      </c>
      <c r="HB31" s="54" t="e">
        <f>IF(HA31="",NA(),SUM($HA$4:HA31))</f>
        <v>#N/A</v>
      </c>
      <c r="HC31" s="54" t="str">
        <f t="shared" si="91"/>
        <v/>
      </c>
      <c r="HD31" s="54" t="e">
        <f>IF(HC31="",NA(),SUM($HC$4:HC31))</f>
        <v>#N/A</v>
      </c>
      <c r="HE31" s="54" t="str">
        <f t="shared" si="92"/>
        <v/>
      </c>
      <c r="HF31" s="54" t="e">
        <f>IF(HE31="",NA(),SUM($HE$4:HE31))</f>
        <v>#N/A</v>
      </c>
      <c r="HG31" s="54" t="str">
        <f t="shared" si="93"/>
        <v/>
      </c>
      <c r="HH31" s="54" t="e">
        <f>IF(HG31="",NA(),SUM($HG$4:HG31))</f>
        <v>#N/A</v>
      </c>
      <c r="HI31" s="172" t="str">
        <f t="shared" si="106"/>
        <v/>
      </c>
      <c r="HJ31" s="172">
        <f>IF($J31="",#N/A,SUM(HI$4:$HI31))</f>
        <v>-0.44593001674917854</v>
      </c>
      <c r="HK31" s="54">
        <f t="shared" si="94"/>
        <v>6.2798291886460578E-2</v>
      </c>
      <c r="HL31" s="54">
        <f>IF($J31="",#N/A,SUM($HK$4:HK31))</f>
        <v>-3.4024562603246125</v>
      </c>
      <c r="HM31" s="54" t="str">
        <f t="shared" si="95"/>
        <v/>
      </c>
      <c r="HN31" s="54">
        <f>IF($J31="",#N/A,SUM($HM$4:HM31))</f>
        <v>0</v>
      </c>
      <c r="HO31" s="54" t="str">
        <f t="shared" si="96"/>
        <v/>
      </c>
      <c r="HP31" s="54">
        <f>IF($J31="",#N/A,SUM($HO$4:HO31))</f>
        <v>0</v>
      </c>
      <c r="HQ31" s="54" t="str">
        <f t="shared" si="97"/>
        <v/>
      </c>
      <c r="HR31" s="54">
        <f>IF($J31="",#N/A,SUM($HQ$4:HQ31))</f>
        <v>-1.5356297518653972</v>
      </c>
      <c r="HS31" s="54" t="str">
        <f t="shared" si="98"/>
        <v/>
      </c>
      <c r="HT31" s="54">
        <f>IF($J31="",#N/A,SUM($HS$4:HS31))</f>
        <v>4.8476904658045576</v>
      </c>
      <c r="HU31" s="65">
        <f t="shared" si="99"/>
        <v>-0.50238633509168551</v>
      </c>
      <c r="HV31" s="65">
        <f>IF($J31="",#N/A,SUM(HU$4:$HU31))</f>
        <v>-1.3829503309380851</v>
      </c>
    </row>
    <row r="32" spans="1:230" x14ac:dyDescent="0.25">
      <c r="A32" s="51" t="s">
        <v>1495</v>
      </c>
      <c r="B32" s="52" t="s">
        <v>4483</v>
      </c>
      <c r="C32" s="229">
        <f t="shared" si="0"/>
        <v>2</v>
      </c>
      <c r="D32" s="219" t="str">
        <f>_xlfn.XLOOKUP(A32,[1]SP500!$A$2:$A$502,[1]SP500!$D$2:$D$502,"N")</f>
        <v>Y</v>
      </c>
      <c r="E32" s="51" t="str">
        <f>IFERROR(_xlfn.XLOOKUP(A32,[1]SP500!$A$2:$A$655,[1]SP500!$B$2:$B$655),"")</f>
        <v>XLF</v>
      </c>
      <c r="F32" s="53">
        <v>45764</v>
      </c>
      <c r="G32" s="51" t="str">
        <f t="shared" si="1"/>
        <v>BMO</v>
      </c>
      <c r="H32" s="51" t="str">
        <f t="shared" si="2"/>
        <v>s</v>
      </c>
      <c r="I32" s="344">
        <v>19.170000000000002</v>
      </c>
      <c r="J32" s="124">
        <v>20.29</v>
      </c>
      <c r="K32" s="55">
        <f t="shared" si="3"/>
        <v>5.8424621804903355E-2</v>
      </c>
      <c r="L32" s="67">
        <f t="shared" si="4"/>
        <v>-67.199999999999818</v>
      </c>
      <c r="M32" s="57">
        <f t="shared" si="5"/>
        <v>-59.400000000000318</v>
      </c>
      <c r="N32" s="155">
        <f t="shared" si="6"/>
        <v>-67.199999999999818</v>
      </c>
      <c r="O32" s="156">
        <f>IF(N32="",#N/A,SUM($N$4:N32))</f>
        <v>-119.73962593337058</v>
      </c>
      <c r="P32" s="65">
        <f t="shared" si="100"/>
        <v>-0.9737436967483889</v>
      </c>
      <c r="Q32" s="172">
        <f>IF($N32="",#N/A,SUM($P$4:P32))</f>
        <v>-1.8203684645518421</v>
      </c>
      <c r="R32" s="279">
        <f t="shared" si="7"/>
        <v>0.96528058148365181</v>
      </c>
      <c r="S32" s="51" t="str">
        <f t="shared" si="8"/>
        <v>Dwn</v>
      </c>
      <c r="T32" s="51" t="s">
        <v>4461</v>
      </c>
      <c r="U32" s="56">
        <f t="shared" si="9"/>
        <v>19.170000000000002</v>
      </c>
      <c r="V32" s="56" t="s">
        <v>4458</v>
      </c>
      <c r="W32" s="142">
        <v>60</v>
      </c>
      <c r="X32" s="145">
        <f t="shared" si="10"/>
        <v>1150.2</v>
      </c>
      <c r="Y32" s="140">
        <f t="shared" si="11"/>
        <v>60</v>
      </c>
      <c r="Z32" s="123">
        <v>21.28</v>
      </c>
      <c r="AA32" s="102">
        <f t="shared" si="12"/>
        <v>-126.60000000000014</v>
      </c>
      <c r="AB32" s="102">
        <f t="shared" si="13"/>
        <v>-8.3999999999998636</v>
      </c>
      <c r="AC32" s="124">
        <v>19.309999999999999</v>
      </c>
      <c r="AD32" s="155">
        <f t="shared" si="14"/>
        <v>-8.3999999999998636</v>
      </c>
      <c r="AE32" s="545">
        <f t="shared" si="15"/>
        <v>-0.12171796209354697</v>
      </c>
      <c r="AF32" s="57">
        <f>IF($AC32="",#N/A,SUM(AD$4:AD32))</f>
        <v>-98.609671408325653</v>
      </c>
      <c r="AG32" s="102">
        <f t="shared" si="16"/>
        <v>58.799999999999955</v>
      </c>
      <c r="AH32" s="56" t="s">
        <v>2507</v>
      </c>
      <c r="AI32" s="65">
        <f t="shared" si="17"/>
        <v>-1.8344635715527753</v>
      </c>
      <c r="AJ32" s="54">
        <f>IF(AI32="",#N/A,SUM($AI$4:AI32))</f>
        <v>-2.7856490460354939</v>
      </c>
      <c r="AK32" s="57">
        <f t="shared" si="18"/>
        <v>-126.60000000000014</v>
      </c>
      <c r="AL32" s="58">
        <f>IF(AI32="",#N/A,IF(AH32="Skip",SUM($AK$4:AK32),SUM($AK$4:AK32)))</f>
        <v>-187.68499999999949</v>
      </c>
      <c r="AM32" s="65">
        <f t="shared" si="101"/>
        <v>-0.12171796209354697</v>
      </c>
      <c r="AN32" s="209"/>
      <c r="AO32" s="65" t="str">
        <f t="shared" si="19"/>
        <v/>
      </c>
      <c r="AP32" s="65">
        <f>IF($AC32="",#N/A,SUM(AO$4:AO32))</f>
        <v>0.56362566513602852</v>
      </c>
      <c r="AQ32" s="65" t="str">
        <f t="shared" si="20"/>
        <v/>
      </c>
      <c r="AR32" s="65">
        <f>IF($AC32="",#N/A,SUM(AQ$4:AQ32))</f>
        <v>0</v>
      </c>
      <c r="AS32" s="65">
        <f t="shared" si="21"/>
        <v>-0.12171796209354697</v>
      </c>
      <c r="AT32" s="65">
        <f>IF($AC32="",#N/A,SUM(AS$4:AS32))</f>
        <v>-2.0682939581676614</v>
      </c>
      <c r="AU32" s="57" t="str">
        <f t="shared" si="102"/>
        <v/>
      </c>
      <c r="AV32" s="57">
        <f>IF($AC32="",#N/A,SUM(AU$4:AU32))</f>
        <v>19.92870149449061</v>
      </c>
      <c r="AW32" s="57" t="str">
        <f t="shared" si="103"/>
        <v/>
      </c>
      <c r="AX32" s="57">
        <f>IF($AC32="",#N/A,SUM(AW$4:AW32))</f>
        <v>0</v>
      </c>
      <c r="AY32" s="56">
        <f t="shared" si="104"/>
        <v>-8.3999999999998636</v>
      </c>
      <c r="AZ32" s="57">
        <f>IF($AC32="",#N/A,SUM(AY$4:AY32))</f>
        <v>-118.53837290281626</v>
      </c>
      <c r="BA32" s="57">
        <f>IF(AD32="",#N/A,SUM($AD$4:AD32))</f>
        <v>-98.609671408325653</v>
      </c>
      <c r="BC32" s="51" t="str">
        <f t="shared" si="22"/>
        <v/>
      </c>
      <c r="BD32" s="51">
        <f t="shared" si="23"/>
        <v>1</v>
      </c>
      <c r="BE32" s="51" t="str">
        <f t="shared" si="24"/>
        <v/>
      </c>
      <c r="BF32" s="51" t="str">
        <f t="shared" si="25"/>
        <v>Short</v>
      </c>
      <c r="BG32" s="51" t="str">
        <f t="shared" si="26"/>
        <v/>
      </c>
      <c r="BH32" s="51" t="str">
        <f t="shared" si="27"/>
        <v/>
      </c>
      <c r="BI32" s="51" t="str">
        <f t="shared" si="28"/>
        <v/>
      </c>
      <c r="BK32" s="184"/>
      <c r="BL32" s="65">
        <f t="shared" si="107"/>
        <v>-5.3660996249020487E-2</v>
      </c>
      <c r="BM32" s="65">
        <f>IFERROR(Q32/COUNTA($J$4:J32),#N/A)</f>
        <v>-6.2771326363856628E-2</v>
      </c>
      <c r="BO32" s="489" t="e">
        <f>IF(J32="",#N/A,IF(S32="SW",(COUNTIFS(K$4:$K32,"&gt;0",S$4:$S32,"SW")/COUNTIF(S$4:$S32,"SW")),#N/A))</f>
        <v>#N/A</v>
      </c>
      <c r="BP32" s="489">
        <f>IF($J32="",#N/A,IF($S32="DWN",(COUNTIFS($K$4:$K32,"&lt;0",$S$4:$S32,"DWN")/COUNTIF($S$4:$S32,"DWN")),#N/A))</f>
        <v>0.72727272727272729</v>
      </c>
      <c r="BQ32" s="489" t="e">
        <f>IF($J32="",#N/A,IF($S32="UP",(COUNTIFS($K$4:$K32,"&gt;0",$S$4:$S32,"UP")/COUNTIF($S$4:$S32,"UP")),#N/A))</f>
        <v>#N/A</v>
      </c>
      <c r="BR32" s="489">
        <f>IF(J32="",#N/A,COUNTIF($K$4:K32,"&gt;0")/COUNT($J$4:J32))</f>
        <v>0.37931034482758619</v>
      </c>
      <c r="BS32" s="65" t="str">
        <f t="shared" si="29"/>
        <v/>
      </c>
      <c r="BT32" s="65" t="str">
        <f t="shared" si="30"/>
        <v/>
      </c>
      <c r="BU32" s="65" t="str">
        <f t="shared" si="31"/>
        <v/>
      </c>
      <c r="BV32" s="65">
        <f t="shared" si="32"/>
        <v>-0.9737436967483889</v>
      </c>
      <c r="BW32" s="151" t="str">
        <f t="shared" si="33"/>
        <v/>
      </c>
      <c r="BX32" s="151">
        <f>IF($J32="",#N/A,SUM($BW$4:BW32))</f>
        <v>0</v>
      </c>
      <c r="BY32" s="152">
        <f t="shared" si="34"/>
        <v>-67.199999999999818</v>
      </c>
      <c r="BZ32" s="152">
        <f>IF($J32="",#N/A,SUM($BY$4:BY32))</f>
        <v>65.35628046850411</v>
      </c>
      <c r="CA32" s="153" t="str">
        <f t="shared" si="35"/>
        <v/>
      </c>
      <c r="CB32" s="154">
        <f>IF($J32="",#N/A,SUM($CA$4:CA32))</f>
        <v>-185.09590640187469</v>
      </c>
      <c r="CC32" s="191" t="str">
        <f t="shared" si="36"/>
        <v/>
      </c>
      <c r="CD32" s="191">
        <f>IF($J32="",#N/A,SUM($CC$4:CC32))</f>
        <v>0</v>
      </c>
      <c r="CE32" s="192">
        <f t="shared" si="37"/>
        <v>-0.9737436967483889</v>
      </c>
      <c r="CF32" s="192">
        <f>IF($J32="",#N/A,SUM($CE$4:CE32))</f>
        <v>0.92806658425128818</v>
      </c>
      <c r="CG32" s="193" t="str">
        <f t="shared" si="38"/>
        <v/>
      </c>
      <c r="CH32" s="193">
        <f>IF($J32="",#N/A,SUM($CG$4:CG32))</f>
        <v>-2.7484350488031315</v>
      </c>
      <c r="CI32" s="200" t="str">
        <f t="shared" si="39"/>
        <v/>
      </c>
      <c r="CJ32" s="200">
        <f>IF($J32="",#N/A,SUM(CI$4:CI32))</f>
        <v>0</v>
      </c>
      <c r="CK32" s="201" t="str">
        <f t="shared" si="40"/>
        <v/>
      </c>
      <c r="CL32" s="201">
        <f>IF($J32="",#N/A,SUM(CK$4:CK32))</f>
        <v>0</v>
      </c>
      <c r="CM32" s="202" t="str">
        <f t="shared" si="41"/>
        <v/>
      </c>
      <c r="CN32" s="202">
        <f>IF($J32="",#N/A,SUM(CM$4:CM32))</f>
        <v>0</v>
      </c>
      <c r="CO32" s="202">
        <f>IF($J32="",#N/A,SUM(CM$4:CM32,CK$4:CK32,CI$4:CI32))</f>
        <v>0</v>
      </c>
      <c r="CP32" s="200" t="str">
        <f t="shared" si="42"/>
        <v/>
      </c>
      <c r="CQ32" s="200">
        <f>IF($J32="",#N/A,SUM(CP$4:CP32))</f>
        <v>0</v>
      </c>
      <c r="CR32" s="201" t="str">
        <f t="shared" si="43"/>
        <v/>
      </c>
      <c r="CS32" s="201">
        <f>IF($J32="",#N/A,SUM(CR$4:CR32))</f>
        <v>0</v>
      </c>
      <c r="CT32" s="202" t="str">
        <f t="shared" si="44"/>
        <v/>
      </c>
      <c r="CU32" s="202">
        <f>IF($J32="",#N/A,SUM(CT$4:CT32))</f>
        <v>0</v>
      </c>
      <c r="CV32" s="202">
        <f>IF($J32="",#N/A,SUM(CT$4:CT32,CR$4:CR32,CP$4:CP32))</f>
        <v>0</v>
      </c>
      <c r="CW32" s="200" t="str">
        <f t="shared" si="45"/>
        <v/>
      </c>
      <c r="CX32" s="200">
        <f>IF($J32="",#N/A,SUM(CW$4:CW32))</f>
        <v>0</v>
      </c>
      <c r="CY32" s="201" t="str">
        <f t="shared" si="46"/>
        <v/>
      </c>
      <c r="CZ32" s="201">
        <f>IF($J32="",#N/A,SUM(CY$4:CY32))</f>
        <v>0</v>
      </c>
      <c r="DA32" s="202" t="str">
        <f t="shared" si="47"/>
        <v/>
      </c>
      <c r="DB32" s="202">
        <f>IF($J32="",#N/A,SUM(DA$4:DA32))</f>
        <v>0</v>
      </c>
      <c r="DC32" s="202">
        <f>IF($J32="",#N/A,SUM(DA$4:DA32,CY$4:CY32,CW$4:CW32))</f>
        <v>0</v>
      </c>
      <c r="DD32" s="200" t="str">
        <f t="shared" si="48"/>
        <v/>
      </c>
      <c r="DE32" s="200">
        <f>IF($J32="",#N/A,SUM(DD$4:DD32))</f>
        <v>0</v>
      </c>
      <c r="DF32" s="201" t="str">
        <f t="shared" si="49"/>
        <v/>
      </c>
      <c r="DG32" s="201">
        <f>IF($J32="",#N/A,SUM(DF$4:DF32))</f>
        <v>0.6788440567066546</v>
      </c>
      <c r="DH32" s="202" t="str">
        <f t="shared" si="50"/>
        <v/>
      </c>
      <c r="DI32" s="202">
        <f>IF($J32="",#N/A,SUM(DH$4:DH32))</f>
        <v>0</v>
      </c>
      <c r="DJ32" s="202">
        <f>IF($J32="",#N/A,SUM(DH$4:DH32,DF$4:DF32,DD$4:DD32))</f>
        <v>0.6788440567066546</v>
      </c>
      <c r="DK32" s="200" t="str">
        <f t="shared" si="51"/>
        <v/>
      </c>
      <c r="DL32" s="200">
        <f>IF($J32="",#N/A,SUM(DK$4:DK32))</f>
        <v>0</v>
      </c>
      <c r="DM32" s="201" t="str">
        <f t="shared" si="52"/>
        <v/>
      </c>
      <c r="DN32" s="201">
        <f>IF($J32="",#N/A,SUM(DM$4:DM32))</f>
        <v>0.36227168206863897</v>
      </c>
      <c r="DO32" s="202" t="str">
        <f t="shared" si="53"/>
        <v/>
      </c>
      <c r="DP32" s="202">
        <f>IF($J32="",#N/A,SUM(DO$4:DO32))</f>
        <v>0</v>
      </c>
      <c r="DQ32" s="202">
        <f>IF($J32="",#N/A,SUM(DO$4:DO32,DM$4:DM32,DK$4:DK32))</f>
        <v>0.36227168206863897</v>
      </c>
      <c r="DR32" s="200" t="str">
        <f t="shared" si="54"/>
        <v/>
      </c>
      <c r="DS32" s="200">
        <f>IF($J32="",#N/A,SUM(DR$4:DR32))</f>
        <v>0</v>
      </c>
      <c r="DT32" s="201">
        <f t="shared" si="55"/>
        <v>-0.9737436967483889</v>
      </c>
      <c r="DU32" s="201">
        <f>IF($J32="",#N/A,SUM(DT$4:DT32))</f>
        <v>-0.54822868546603165</v>
      </c>
      <c r="DV32" s="202" t="str">
        <f t="shared" si="56"/>
        <v/>
      </c>
      <c r="DW32" s="202">
        <f>IF($J32="",#N/A,SUM(DV$4:DV32))</f>
        <v>-1.5349353024922392</v>
      </c>
      <c r="DX32" s="202">
        <f>IF($J32="",#N/A,SUM(DV$4:DV32,DT$4:DT32,DR$4:DR32))</f>
        <v>-2.0831639879582706</v>
      </c>
      <c r="DY32" s="200" t="str">
        <f t="shared" si="57"/>
        <v/>
      </c>
      <c r="DZ32" s="200">
        <f>IF($J32="",#N/A,SUM(DY$4:DY32))</f>
        <v>0</v>
      </c>
      <c r="EA32" s="201" t="str">
        <f t="shared" si="58"/>
        <v/>
      </c>
      <c r="EB32" s="201">
        <f>IF($J32="",#N/A,SUM(EA$4:EA32))</f>
        <v>0.43517953094202633</v>
      </c>
      <c r="EC32" s="202" t="str">
        <f t="shared" si="59"/>
        <v/>
      </c>
      <c r="ED32" s="202">
        <f>IF($J32="",#N/A,SUM(EC$4:EC32))</f>
        <v>0.52792722625163879</v>
      </c>
      <c r="EE32" s="202">
        <f>IF($J32="",#N/A,SUM(EC$4:EC32,EA$4:EA32,DY$4:DY32))</f>
        <v>0.96310675719366512</v>
      </c>
      <c r="EF32" s="200" t="str">
        <f t="shared" si="60"/>
        <v/>
      </c>
      <c r="EG32" s="200">
        <f>IF($J32="",#N/A,SUM(EF$4:EF32))</f>
        <v>0</v>
      </c>
      <c r="EH32" s="201" t="str">
        <f t="shared" si="61"/>
        <v/>
      </c>
      <c r="EI32" s="201">
        <f>IF($J32="",#N/A,SUM(EH$4:EH32))</f>
        <v>0</v>
      </c>
      <c r="EJ32" s="202" t="str">
        <f t="shared" si="62"/>
        <v/>
      </c>
      <c r="EK32" s="202">
        <f>IF($J32="",#N/A,SUM(EJ$4:EJ32))</f>
        <v>0.6035383334478206</v>
      </c>
      <c r="EL32" s="202">
        <f>IF($J32="",#N/A,SUM(EJ$4:EJ32,EH$4:EH32,EF$4:EF32))</f>
        <v>0.6035383334478206</v>
      </c>
      <c r="EM32" s="200" t="str">
        <f t="shared" si="63"/>
        <v/>
      </c>
      <c r="EN32" s="200">
        <f>IF($J32="",#N/A,SUM(EM$4:EM32))</f>
        <v>0</v>
      </c>
      <c r="EO32" s="201" t="str">
        <f t="shared" si="64"/>
        <v/>
      </c>
      <c r="EP32" s="201">
        <f>IF($J32="",#N/A,SUM(EO$4:EO32))</f>
        <v>0</v>
      </c>
      <c r="EQ32" s="202" t="str">
        <f t="shared" si="65"/>
        <v/>
      </c>
      <c r="ER32" s="202">
        <f>IF($J32="",#N/A,SUM(EQ$4:EQ32))</f>
        <v>0</v>
      </c>
      <c r="ES32" s="202">
        <f>IF($J32="",#N/A,SUM(EQ$4:EQ32,EO$4:EO32,EM$4:EM32))</f>
        <v>0</v>
      </c>
      <c r="ET32" s="200" t="str">
        <f t="shared" si="66"/>
        <v/>
      </c>
      <c r="EU32" s="200">
        <f>IF($J32="",#N/A,SUM(ET$4:ET32))</f>
        <v>0</v>
      </c>
      <c r="EV32" s="201" t="str">
        <f t="shared" si="67"/>
        <v/>
      </c>
      <c r="EW32" s="201">
        <f>IF($J32="",#N/A,SUM(EV$4:EV32))</f>
        <v>0</v>
      </c>
      <c r="EX32" s="202" t="str">
        <f t="shared" si="68"/>
        <v/>
      </c>
      <c r="EY32" s="202">
        <f>IF($J32="",#N/A,SUM(EX$4:EX32))</f>
        <v>0</v>
      </c>
      <c r="EZ32" s="202">
        <f>IF($J32="",#N/A,SUM(EX$4:EX32,EV$4:EV32,ET$4:ET32))</f>
        <v>0</v>
      </c>
      <c r="FA32" s="200" t="str">
        <f t="shared" si="69"/>
        <v/>
      </c>
      <c r="FB32" s="200">
        <f>IF($J32="",#N/A,SUM(FA$4:FA32))</f>
        <v>0</v>
      </c>
      <c r="FC32" s="201" t="str">
        <f t="shared" si="70"/>
        <v/>
      </c>
      <c r="FD32" s="201">
        <f>IF($J32="",#N/A,SUM(FC$4:FC32))</f>
        <v>0</v>
      </c>
      <c r="FE32" s="202" t="str">
        <f t="shared" si="71"/>
        <v/>
      </c>
      <c r="FF32" s="202">
        <f>IF($J32="",#N/A,SUM(FE$4:FE32))</f>
        <v>-0.11131725417439868</v>
      </c>
      <c r="FG32" s="202">
        <f>IF($J32="",#N/A,SUM(FE$4:FE32,FC$4:FC32,FA$4:FA32))</f>
        <v>-0.11131725417439868</v>
      </c>
      <c r="FH32" s="200" t="str">
        <f t="shared" si="72"/>
        <v/>
      </c>
      <c r="FI32" s="200">
        <f>IF($J32="",#N/A,SUM(FH$4:FH32))</f>
        <v>0</v>
      </c>
      <c r="FJ32" s="201" t="str">
        <f t="shared" si="73"/>
        <v/>
      </c>
      <c r="FK32" s="201">
        <f>IF($J32="",#N/A,SUM(FJ$4:FJ32))</f>
        <v>0</v>
      </c>
      <c r="FL32" s="202" t="str">
        <f t="shared" si="74"/>
        <v/>
      </c>
      <c r="FM32" s="202">
        <f>IF($J32="",#N/A,SUM(FL$4:FL32))</f>
        <v>0</v>
      </c>
      <c r="FN32" s="202">
        <f>IF($J32="",#N/A,SUM(FL$4:FL32,FJ$4:FJ32,FH$4:FH32))</f>
        <v>0</v>
      </c>
      <c r="FO32" s="200" t="str">
        <f t="shared" si="75"/>
        <v/>
      </c>
      <c r="FP32" s="200">
        <f>IF($J32="",#N/A,SUM(FO$4:FO32))</f>
        <v>0</v>
      </c>
      <c r="FQ32" s="201" t="str">
        <f t="shared" si="76"/>
        <v/>
      </c>
      <c r="FR32" s="201">
        <f>IF($J32="",#N/A,SUM(FQ$4:FQ32))</f>
        <v>0</v>
      </c>
      <c r="FS32" s="202" t="str">
        <f t="shared" si="77"/>
        <v/>
      </c>
      <c r="FT32" s="202">
        <f>IF($J32="",#N/A,SUM(FS$4:FS32))</f>
        <v>0</v>
      </c>
      <c r="FU32" s="202">
        <f>IF($J32="",#N/A,SUM(FS$4:FS32,FQ$4:FQ32,FO$4:FO32))</f>
        <v>0</v>
      </c>
      <c r="FV32" s="200" t="str">
        <f t="shared" si="78"/>
        <v/>
      </c>
      <c r="FW32" s="200">
        <f>IF($J32="",#N/A,SUM(FV$4:FV32))</f>
        <v>0</v>
      </c>
      <c r="FX32" s="201" t="str">
        <f t="shared" si="79"/>
        <v/>
      </c>
      <c r="FY32" s="201">
        <f>IF($J32="",#N/A,SUM(FX$4:FX32))</f>
        <v>0</v>
      </c>
      <c r="FZ32" s="202" t="str">
        <f t="shared" si="80"/>
        <v/>
      </c>
      <c r="GA32" s="202">
        <f>IF($J32="",#N/A,SUM(FZ$4:FZ32))</f>
        <v>0.70318817588636717</v>
      </c>
      <c r="GB32" s="202">
        <f>IF($J32="",#N/A,SUM(FZ$4:FZ32,FX$4:FX32,FV$4:FV32))</f>
        <v>0.70318817588636717</v>
      </c>
      <c r="GC32" s="200" t="str">
        <f t="shared" si="81"/>
        <v/>
      </c>
      <c r="GD32" s="200">
        <f>IF($J32="",#N/A,SUM(GC$4:GC32))</f>
        <v>0</v>
      </c>
      <c r="GE32" s="201" t="str">
        <f t="shared" si="82"/>
        <v/>
      </c>
      <c r="GF32" s="201">
        <f>IF($J32="",#N/A,SUM(GE$4:GE32))</f>
        <v>0</v>
      </c>
      <c r="GG32" s="202" t="str">
        <f t="shared" si="83"/>
        <v/>
      </c>
      <c r="GH32" s="202">
        <f>IF($J32="",#N/A,SUM(GG$4:GG32))</f>
        <v>-2.9368362277223206</v>
      </c>
      <c r="GI32" s="202">
        <f>IF($J32="",#N/A,SUM(GG$4:GG32,GE$4:GE32,GC$4:GC32))</f>
        <v>-2.9368362277223206</v>
      </c>
      <c r="GJ32" s="200" t="str">
        <f t="shared" si="84"/>
        <v/>
      </c>
      <c r="GK32" s="200">
        <f>IF($J32="",#N/A,SUM(GJ$4:GJ32))</f>
        <v>0</v>
      </c>
      <c r="GL32" s="201" t="str">
        <f t="shared" si="85"/>
        <v/>
      </c>
      <c r="GM32" s="201">
        <f>IF($J32="",#N/A,SUM(GL$4:GL32))</f>
        <v>0</v>
      </c>
      <c r="GN32" s="202" t="str">
        <f t="shared" si="86"/>
        <v/>
      </c>
      <c r="GO32" s="202">
        <f>IF($J32="",#N/A,SUM(GN$4:GN32))</f>
        <v>0</v>
      </c>
      <c r="GP32" s="202">
        <f>IF($J32="",#N/A,SUM(GN$4:GN32,GL$4:GL32,GJ$4:GJ32))</f>
        <v>0</v>
      </c>
      <c r="GS32" s="54">
        <f t="shared" si="105"/>
        <v>-0.9737436967483889</v>
      </c>
      <c r="GT32" s="54">
        <f>IF(GS32="",NA(),SUM($GS$4:GS32))</f>
        <v>-1.8203684645518421</v>
      </c>
      <c r="GU32" s="54" t="str">
        <f t="shared" si="87"/>
        <v/>
      </c>
      <c r="GV32" s="54" t="e">
        <f>IF(GU32="",NA(),SUM($GU$4:GU32))</f>
        <v>#N/A</v>
      </c>
      <c r="GW32" s="54" t="str">
        <f t="shared" si="88"/>
        <v/>
      </c>
      <c r="GX32" s="54" t="e">
        <f>IF(GW32="",NA(),SUM($GW$4:GW32))</f>
        <v>#N/A</v>
      </c>
      <c r="GY32" s="54">
        <f t="shared" si="89"/>
        <v>-0.9737436967483889</v>
      </c>
      <c r="GZ32" s="54">
        <f>IF(GY32="",NA(),SUM($GY$4:GY32))</f>
        <v>0.92806658425128818</v>
      </c>
      <c r="HA32" s="54" t="str">
        <f t="shared" si="90"/>
        <v/>
      </c>
      <c r="HB32" s="54" t="e">
        <f>IF(HA32="",NA(),SUM($HA$4:HA32))</f>
        <v>#N/A</v>
      </c>
      <c r="HC32" s="54" t="str">
        <f t="shared" si="91"/>
        <v/>
      </c>
      <c r="HD32" s="54" t="e">
        <f>IF(HC32="",NA(),SUM($HC$4:HC32))</f>
        <v>#N/A</v>
      </c>
      <c r="HE32" s="54" t="str">
        <f t="shared" si="92"/>
        <v/>
      </c>
      <c r="HF32" s="54" t="e">
        <f>IF(HE32="",NA(),SUM($HE$4:HE32))</f>
        <v>#N/A</v>
      </c>
      <c r="HG32" s="54" t="str">
        <f t="shared" si="93"/>
        <v/>
      </c>
      <c r="HH32" s="54" t="e">
        <f>IF(HG32="",NA(),SUM($HG$4:HG32))</f>
        <v>#N/A</v>
      </c>
      <c r="HI32" s="172" t="str">
        <f t="shared" si="106"/>
        <v/>
      </c>
      <c r="HJ32" s="172">
        <f>IF($J32="",#N/A,SUM(HI$4:$HI32))</f>
        <v>-0.44593001674917854</v>
      </c>
      <c r="HK32" s="54">
        <f t="shared" si="94"/>
        <v>0.85202573465484188</v>
      </c>
      <c r="HL32" s="54">
        <f>IF($J32="",#N/A,SUM($HK$4:HK32))</f>
        <v>-2.5504305256697704</v>
      </c>
      <c r="HM32" s="54" t="str">
        <f t="shared" si="95"/>
        <v/>
      </c>
      <c r="HN32" s="54">
        <f>IF($J32="",#N/A,SUM($HM$4:HM32))</f>
        <v>0</v>
      </c>
      <c r="HO32" s="54" t="str">
        <f t="shared" si="96"/>
        <v/>
      </c>
      <c r="HP32" s="54">
        <f>IF($J32="",#N/A,SUM($HO$4:HO32))</f>
        <v>0</v>
      </c>
      <c r="HQ32" s="54" t="str">
        <f t="shared" si="97"/>
        <v/>
      </c>
      <c r="HR32" s="54">
        <f>IF($J32="",#N/A,SUM($HQ$4:HQ32))</f>
        <v>-1.5356297518653972</v>
      </c>
      <c r="HS32" s="54" t="str">
        <f t="shared" si="98"/>
        <v/>
      </c>
      <c r="HT32" s="54">
        <f>IF($J32="",#N/A,SUM($HS$4:HS32))</f>
        <v>4.8476904658045576</v>
      </c>
      <c r="HU32" s="65">
        <f t="shared" si="99"/>
        <v>-0.12171796209354697</v>
      </c>
      <c r="HV32" s="65">
        <f>IF($J32="",#N/A,SUM(HU$4:$HU32))</f>
        <v>-1.504668293031632</v>
      </c>
    </row>
    <row r="33" spans="1:230" x14ac:dyDescent="0.25">
      <c r="A33" s="51" t="s">
        <v>1315</v>
      </c>
      <c r="B33" s="52" t="s">
        <v>4483</v>
      </c>
      <c r="C33" s="229">
        <f t="shared" si="0"/>
        <v>3</v>
      </c>
      <c r="D33" s="219" t="str">
        <f>_xlfn.XLOOKUP(A33,[1]SP500!$A$2:$A$502,[1]SP500!$D$2:$D$502,"N")</f>
        <v>Y</v>
      </c>
      <c r="E33" s="51" t="str">
        <f>IFERROR(_xlfn.XLOOKUP(A33,[1]SP500!$A$2:$A$655,[1]SP500!$B$2:$B$655),"")</f>
        <v>XLF</v>
      </c>
      <c r="F33" s="53">
        <v>45764</v>
      </c>
      <c r="G33" s="51" t="str">
        <f t="shared" si="1"/>
        <v>BMO</v>
      </c>
      <c r="H33" s="51" t="str">
        <f t="shared" si="2"/>
        <v>s</v>
      </c>
      <c r="I33" s="344">
        <v>75.7</v>
      </c>
      <c r="J33" s="124">
        <v>77.665000000000006</v>
      </c>
      <c r="K33" s="55">
        <f t="shared" si="3"/>
        <v>2.5957727873183664E-2</v>
      </c>
      <c r="L33" s="67">
        <f t="shared" si="4"/>
        <v>29.475000000000136</v>
      </c>
      <c r="M33" s="57">
        <f t="shared" si="5"/>
        <v>4.7249999999999091</v>
      </c>
      <c r="N33" s="155">
        <f t="shared" si="6"/>
        <v>29.475000000000136</v>
      </c>
      <c r="O33" s="156">
        <f>IF(N33="",#N/A,SUM($N$4:N33))</f>
        <v>-90.264625933370439</v>
      </c>
      <c r="P33" s="65">
        <f t="shared" si="100"/>
        <v>0.43262879788639569</v>
      </c>
      <c r="Q33" s="172">
        <f>IF($N33="",#N/A,SUM($P$4:P33))</f>
        <v>-1.3877396666654465</v>
      </c>
      <c r="R33" s="279">
        <f t="shared" si="7"/>
        <v>0.89592787342552893</v>
      </c>
      <c r="S33" s="51" t="str">
        <f t="shared" si="8"/>
        <v>SW</v>
      </c>
      <c r="T33" s="51" t="s">
        <v>2828</v>
      </c>
      <c r="U33" s="56">
        <f t="shared" si="9"/>
        <v>75.7</v>
      </c>
      <c r="V33" s="56" t="s">
        <v>4460</v>
      </c>
      <c r="W33" s="142">
        <v>15</v>
      </c>
      <c r="X33" s="145">
        <f t="shared" si="10"/>
        <v>1135.5</v>
      </c>
      <c r="Y33" s="140">
        <f t="shared" si="11"/>
        <v>15</v>
      </c>
      <c r="Z33" s="123">
        <v>77.98</v>
      </c>
      <c r="AA33" s="102">
        <f t="shared" si="12"/>
        <v>34.200000000000045</v>
      </c>
      <c r="AB33" s="102">
        <f t="shared" si="13"/>
        <v>6.75</v>
      </c>
      <c r="AC33" s="124">
        <v>76.150000000000006</v>
      </c>
      <c r="AD33" s="155">
        <f t="shared" si="14"/>
        <v>6.75</v>
      </c>
      <c r="AE33" s="545">
        <f t="shared" si="15"/>
        <v>9.9075297225891687E-2</v>
      </c>
      <c r="AF33" s="57">
        <f>IF($AC33="",#N/A,SUM(AD$4:AD33))</f>
        <v>-91.859671408325653</v>
      </c>
      <c r="AG33" s="102">
        <f t="shared" si="16"/>
        <v>-22.725000000000136</v>
      </c>
      <c r="AH33" s="56" t="s">
        <v>2507</v>
      </c>
      <c r="AI33" s="65">
        <f t="shared" si="17"/>
        <v>0.50198150594451851</v>
      </c>
      <c r="AJ33" s="54">
        <f>IF(AI33="",#N/A,SUM($AI$4:AI33))</f>
        <v>-2.2836675400909754</v>
      </c>
      <c r="AK33" s="57">
        <f t="shared" si="18"/>
        <v>34.200000000000045</v>
      </c>
      <c r="AL33" s="58">
        <f>IF(AI33="",#N/A,IF(AH33="Skip",SUM($AK$4:AK33),SUM($AK$4:AK33)))</f>
        <v>-153.48499999999945</v>
      </c>
      <c r="AM33" s="65">
        <f t="shared" si="101"/>
        <v>9.9075297225891687E-2</v>
      </c>
      <c r="AN33" s="209"/>
      <c r="AO33" s="65">
        <f t="shared" si="19"/>
        <v>9.9075297225891687E-2</v>
      </c>
      <c r="AP33" s="65">
        <f>IF($AC33="",#N/A,SUM(AO$4:AO33))</f>
        <v>0.66270096236192022</v>
      </c>
      <c r="AQ33" s="65" t="str">
        <f t="shared" si="20"/>
        <v/>
      </c>
      <c r="AR33" s="65">
        <f>IF($AC33="",#N/A,SUM(AQ$4:AQ33))</f>
        <v>0</v>
      </c>
      <c r="AS33" s="65" t="str">
        <f t="shared" si="21"/>
        <v/>
      </c>
      <c r="AT33" s="65">
        <f>IF($AC33="",#N/A,SUM(AS$4:AS33))</f>
        <v>-2.0682939581676614</v>
      </c>
      <c r="AU33" s="57">
        <f t="shared" si="102"/>
        <v>6.75</v>
      </c>
      <c r="AV33" s="57">
        <f>IF($AC33="",#N/A,SUM(AU$4:AU33))</f>
        <v>26.67870149449061</v>
      </c>
      <c r="AW33" s="57" t="str">
        <f t="shared" si="103"/>
        <v/>
      </c>
      <c r="AX33" s="57">
        <f>IF($AC33="",#N/A,SUM(AW$4:AW33))</f>
        <v>0</v>
      </c>
      <c r="AY33" s="56" t="str">
        <f t="shared" si="104"/>
        <v/>
      </c>
      <c r="AZ33" s="57">
        <f>IF($AC33="",#N/A,SUM(AY$4:AY33))</f>
        <v>-118.53837290281626</v>
      </c>
      <c r="BA33" s="57">
        <f>IF(AD33="",#N/A,SUM($AD$4:AD33))</f>
        <v>-91.859671408325653</v>
      </c>
      <c r="BC33" s="51" t="str">
        <f t="shared" si="22"/>
        <v/>
      </c>
      <c r="BD33" s="51" t="str">
        <f t="shared" si="23"/>
        <v/>
      </c>
      <c r="BE33" s="51">
        <f t="shared" si="24"/>
        <v>1</v>
      </c>
      <c r="BF33" s="51" t="str">
        <f t="shared" si="25"/>
        <v>Long</v>
      </c>
      <c r="BG33" s="51" t="str">
        <f t="shared" si="26"/>
        <v/>
      </c>
      <c r="BH33" s="51" t="str">
        <f t="shared" si="27"/>
        <v/>
      </c>
      <c r="BI33" s="51" t="str">
        <f t="shared" si="28"/>
        <v/>
      </c>
      <c r="BK33" s="184"/>
      <c r="BL33" s="65">
        <f t="shared" si="107"/>
        <v>-1.0249591886103486E-2</v>
      </c>
      <c r="BM33" s="65">
        <f>IFERROR(Q33/COUNTA($J$4:J33),#N/A)</f>
        <v>-4.6257988888848217E-2</v>
      </c>
      <c r="BO33" s="489">
        <f>IF(J33="",#N/A,IF(S33="SW",(COUNTIFS(K$4:$K33,"&gt;0",S$4:$S33,"SW")/COUNTIF(S$4:$S33,"SW")),#N/A))</f>
        <v>0.47368421052631576</v>
      </c>
      <c r="BP33" s="489" t="e">
        <f>IF($J33="",#N/A,IF($S33="DWN",(COUNTIFS($K$4:$K33,"&lt;0",$S$4:$S33,"DWN")/COUNTIF($S$4:$S33,"DWN")),#N/A))</f>
        <v>#N/A</v>
      </c>
      <c r="BQ33" s="489" t="e">
        <f>IF($J33="",#N/A,IF($S33="UP",(COUNTIFS($K$4:$K33,"&gt;0",$S$4:$S33,"UP")/COUNTIF($S$4:$S33,"UP")),#N/A))</f>
        <v>#N/A</v>
      </c>
      <c r="BR33" s="489">
        <f>IF(J33="",#N/A,COUNTIF($K$4:K33,"&gt;0")/COUNT($J$4:J33))</f>
        <v>0.4</v>
      </c>
      <c r="BS33" s="65">
        <f t="shared" si="29"/>
        <v>0.43262879788639569</v>
      </c>
      <c r="BT33" s="65" t="str">
        <f t="shared" si="30"/>
        <v/>
      </c>
      <c r="BU33" s="65" t="str">
        <f t="shared" si="31"/>
        <v/>
      </c>
      <c r="BV33" s="65" t="str">
        <f t="shared" si="32"/>
        <v/>
      </c>
      <c r="BW33" s="151" t="str">
        <f t="shared" si="33"/>
        <v/>
      </c>
      <c r="BX33" s="151">
        <f>IF($J33="",#N/A,SUM($BW$4:BW33))</f>
        <v>0</v>
      </c>
      <c r="BY33" s="152" t="str">
        <f t="shared" si="34"/>
        <v/>
      </c>
      <c r="BZ33" s="152">
        <f>IF($J33="",#N/A,SUM($BY$4:BY33))</f>
        <v>65.35628046850411</v>
      </c>
      <c r="CA33" s="153">
        <f t="shared" si="35"/>
        <v>29.475000000000136</v>
      </c>
      <c r="CB33" s="154">
        <f>IF($J33="",#N/A,SUM($CA$4:CA33))</f>
        <v>-155.62090640187455</v>
      </c>
      <c r="CC33" s="191" t="str">
        <f t="shared" si="36"/>
        <v/>
      </c>
      <c r="CD33" s="191">
        <f>IF($J33="",#N/A,SUM($CC$4:CC33))</f>
        <v>0</v>
      </c>
      <c r="CE33" s="192" t="str">
        <f t="shared" si="37"/>
        <v/>
      </c>
      <c r="CF33" s="192">
        <f>IF($J33="",#N/A,SUM($CE$4:CE33))</f>
        <v>0.92806658425128818</v>
      </c>
      <c r="CG33" s="193">
        <f t="shared" si="38"/>
        <v>0.43262879788639569</v>
      </c>
      <c r="CH33" s="193">
        <f>IF($J33="",#N/A,SUM($CG$4:CG33))</f>
        <v>-2.3158062509167356</v>
      </c>
      <c r="CI33" s="200" t="str">
        <f t="shared" si="39"/>
        <v/>
      </c>
      <c r="CJ33" s="200">
        <f>IF($J33="",#N/A,SUM(CI$4:CI33))</f>
        <v>0</v>
      </c>
      <c r="CK33" s="201" t="str">
        <f t="shared" si="40"/>
        <v/>
      </c>
      <c r="CL33" s="201">
        <f>IF($J33="",#N/A,SUM(CK$4:CK33))</f>
        <v>0</v>
      </c>
      <c r="CM33" s="202" t="str">
        <f t="shared" si="41"/>
        <v/>
      </c>
      <c r="CN33" s="202">
        <f>IF($J33="",#N/A,SUM(CM$4:CM33))</f>
        <v>0</v>
      </c>
      <c r="CO33" s="202">
        <f>IF($J33="",#N/A,SUM(CM$4:CM33,CK$4:CK33,CI$4:CI33))</f>
        <v>0</v>
      </c>
      <c r="CP33" s="200" t="str">
        <f t="shared" si="42"/>
        <v/>
      </c>
      <c r="CQ33" s="200">
        <f>IF($J33="",#N/A,SUM(CP$4:CP33))</f>
        <v>0</v>
      </c>
      <c r="CR33" s="201" t="str">
        <f t="shared" si="43"/>
        <v/>
      </c>
      <c r="CS33" s="201">
        <f>IF($J33="",#N/A,SUM(CR$4:CR33))</f>
        <v>0</v>
      </c>
      <c r="CT33" s="202" t="str">
        <f t="shared" si="44"/>
        <v/>
      </c>
      <c r="CU33" s="202">
        <f>IF($J33="",#N/A,SUM(CT$4:CT33))</f>
        <v>0</v>
      </c>
      <c r="CV33" s="202">
        <f>IF($J33="",#N/A,SUM(CT$4:CT33,CR$4:CR33,CP$4:CP33))</f>
        <v>0</v>
      </c>
      <c r="CW33" s="200" t="str">
        <f t="shared" si="45"/>
        <v/>
      </c>
      <c r="CX33" s="200">
        <f>IF($J33="",#N/A,SUM(CW$4:CW33))</f>
        <v>0</v>
      </c>
      <c r="CY33" s="201" t="str">
        <f t="shared" si="46"/>
        <v/>
      </c>
      <c r="CZ33" s="201">
        <f>IF($J33="",#N/A,SUM(CY$4:CY33))</f>
        <v>0</v>
      </c>
      <c r="DA33" s="202" t="str">
        <f t="shared" si="47"/>
        <v/>
      </c>
      <c r="DB33" s="202">
        <f>IF($J33="",#N/A,SUM(DA$4:DA33))</f>
        <v>0</v>
      </c>
      <c r="DC33" s="202">
        <f>IF($J33="",#N/A,SUM(DA$4:DA33,CY$4:CY33,CW$4:CW33))</f>
        <v>0</v>
      </c>
      <c r="DD33" s="200" t="str">
        <f t="shared" si="48"/>
        <v/>
      </c>
      <c r="DE33" s="200">
        <f>IF($J33="",#N/A,SUM(DD$4:DD33))</f>
        <v>0</v>
      </c>
      <c r="DF33" s="201" t="str">
        <f t="shared" si="49"/>
        <v/>
      </c>
      <c r="DG33" s="201">
        <f>IF($J33="",#N/A,SUM(DF$4:DF33))</f>
        <v>0.6788440567066546</v>
      </c>
      <c r="DH33" s="202" t="str">
        <f t="shared" si="50"/>
        <v/>
      </c>
      <c r="DI33" s="202">
        <f>IF($J33="",#N/A,SUM(DH$4:DH33))</f>
        <v>0</v>
      </c>
      <c r="DJ33" s="202">
        <f>IF($J33="",#N/A,SUM(DH$4:DH33,DF$4:DF33,DD$4:DD33))</f>
        <v>0.6788440567066546</v>
      </c>
      <c r="DK33" s="200" t="str">
        <f t="shared" si="51"/>
        <v/>
      </c>
      <c r="DL33" s="200">
        <f>IF($J33="",#N/A,SUM(DK$4:DK33))</f>
        <v>0</v>
      </c>
      <c r="DM33" s="201" t="str">
        <f t="shared" si="52"/>
        <v/>
      </c>
      <c r="DN33" s="201">
        <f>IF($J33="",#N/A,SUM(DM$4:DM33))</f>
        <v>0.36227168206863897</v>
      </c>
      <c r="DO33" s="202" t="str">
        <f t="shared" si="53"/>
        <v/>
      </c>
      <c r="DP33" s="202">
        <f>IF($J33="",#N/A,SUM(DO$4:DO33))</f>
        <v>0</v>
      </c>
      <c r="DQ33" s="202">
        <f>IF($J33="",#N/A,SUM(DO$4:DO33,DM$4:DM33,DK$4:DK33))</f>
        <v>0.36227168206863897</v>
      </c>
      <c r="DR33" s="200" t="str">
        <f t="shared" si="54"/>
        <v/>
      </c>
      <c r="DS33" s="200">
        <f>IF($J33="",#N/A,SUM(DR$4:DR33))</f>
        <v>0</v>
      </c>
      <c r="DT33" s="201" t="str">
        <f t="shared" si="55"/>
        <v/>
      </c>
      <c r="DU33" s="201">
        <f>IF($J33="",#N/A,SUM(DT$4:DT33))</f>
        <v>-0.54822868546603165</v>
      </c>
      <c r="DV33" s="202">
        <f t="shared" si="56"/>
        <v>0.43262879788639569</v>
      </c>
      <c r="DW33" s="202">
        <f>IF($J33="",#N/A,SUM(DV$4:DV33))</f>
        <v>-1.1023065046058436</v>
      </c>
      <c r="DX33" s="202">
        <f>IF($J33="",#N/A,SUM(DV$4:DV33,DT$4:DT33,DR$4:DR33))</f>
        <v>-1.6505351900718752</v>
      </c>
      <c r="DY33" s="200" t="str">
        <f t="shared" si="57"/>
        <v/>
      </c>
      <c r="DZ33" s="200">
        <f>IF($J33="",#N/A,SUM(DY$4:DY33))</f>
        <v>0</v>
      </c>
      <c r="EA33" s="201" t="str">
        <f t="shared" si="58"/>
        <v/>
      </c>
      <c r="EB33" s="201">
        <f>IF($J33="",#N/A,SUM(EA$4:EA33))</f>
        <v>0.43517953094202633</v>
      </c>
      <c r="EC33" s="202" t="str">
        <f t="shared" si="59"/>
        <v/>
      </c>
      <c r="ED33" s="202">
        <f>IF($J33="",#N/A,SUM(EC$4:EC33))</f>
        <v>0.52792722625163879</v>
      </c>
      <c r="EE33" s="202">
        <f>IF($J33="",#N/A,SUM(EC$4:EC33,EA$4:EA33,DY$4:DY33))</f>
        <v>0.96310675719366512</v>
      </c>
      <c r="EF33" s="200" t="str">
        <f t="shared" si="60"/>
        <v/>
      </c>
      <c r="EG33" s="200">
        <f>IF($J33="",#N/A,SUM(EF$4:EF33))</f>
        <v>0</v>
      </c>
      <c r="EH33" s="201" t="str">
        <f t="shared" si="61"/>
        <v/>
      </c>
      <c r="EI33" s="201">
        <f>IF($J33="",#N/A,SUM(EH$4:EH33))</f>
        <v>0</v>
      </c>
      <c r="EJ33" s="202" t="str">
        <f t="shared" si="62"/>
        <v/>
      </c>
      <c r="EK33" s="202">
        <f>IF($J33="",#N/A,SUM(EJ$4:EJ33))</f>
        <v>0.6035383334478206</v>
      </c>
      <c r="EL33" s="202">
        <f>IF($J33="",#N/A,SUM(EJ$4:EJ33,EH$4:EH33,EF$4:EF33))</f>
        <v>0.6035383334478206</v>
      </c>
      <c r="EM33" s="200" t="str">
        <f t="shared" si="63"/>
        <v/>
      </c>
      <c r="EN33" s="200">
        <f>IF($J33="",#N/A,SUM(EM$4:EM33))</f>
        <v>0</v>
      </c>
      <c r="EO33" s="201" t="str">
        <f t="shared" si="64"/>
        <v/>
      </c>
      <c r="EP33" s="201">
        <f>IF($J33="",#N/A,SUM(EO$4:EO33))</f>
        <v>0</v>
      </c>
      <c r="EQ33" s="202" t="str">
        <f t="shared" si="65"/>
        <v/>
      </c>
      <c r="ER33" s="202">
        <f>IF($J33="",#N/A,SUM(EQ$4:EQ33))</f>
        <v>0</v>
      </c>
      <c r="ES33" s="202">
        <f>IF($J33="",#N/A,SUM(EQ$4:EQ33,EO$4:EO33,EM$4:EM33))</f>
        <v>0</v>
      </c>
      <c r="ET33" s="200" t="str">
        <f t="shared" si="66"/>
        <v/>
      </c>
      <c r="EU33" s="200">
        <f>IF($J33="",#N/A,SUM(ET$4:ET33))</f>
        <v>0</v>
      </c>
      <c r="EV33" s="201" t="str">
        <f t="shared" si="67"/>
        <v/>
      </c>
      <c r="EW33" s="201">
        <f>IF($J33="",#N/A,SUM(EV$4:EV33))</f>
        <v>0</v>
      </c>
      <c r="EX33" s="202" t="str">
        <f t="shared" si="68"/>
        <v/>
      </c>
      <c r="EY33" s="202">
        <f>IF($J33="",#N/A,SUM(EX$4:EX33))</f>
        <v>0</v>
      </c>
      <c r="EZ33" s="202">
        <f>IF($J33="",#N/A,SUM(EX$4:EX33,EV$4:EV33,ET$4:ET33))</f>
        <v>0</v>
      </c>
      <c r="FA33" s="200" t="str">
        <f t="shared" si="69"/>
        <v/>
      </c>
      <c r="FB33" s="200">
        <f>IF($J33="",#N/A,SUM(FA$4:FA33))</f>
        <v>0</v>
      </c>
      <c r="FC33" s="201" t="str">
        <f t="shared" si="70"/>
        <v/>
      </c>
      <c r="FD33" s="201">
        <f>IF($J33="",#N/A,SUM(FC$4:FC33))</f>
        <v>0</v>
      </c>
      <c r="FE33" s="202" t="str">
        <f t="shared" si="71"/>
        <v/>
      </c>
      <c r="FF33" s="202">
        <f>IF($J33="",#N/A,SUM(FE$4:FE33))</f>
        <v>-0.11131725417439868</v>
      </c>
      <c r="FG33" s="202">
        <f>IF($J33="",#N/A,SUM(FE$4:FE33,FC$4:FC33,FA$4:FA33))</f>
        <v>-0.11131725417439868</v>
      </c>
      <c r="FH33" s="200" t="str">
        <f t="shared" si="72"/>
        <v/>
      </c>
      <c r="FI33" s="200">
        <f>IF($J33="",#N/A,SUM(FH$4:FH33))</f>
        <v>0</v>
      </c>
      <c r="FJ33" s="201" t="str">
        <f t="shared" si="73"/>
        <v/>
      </c>
      <c r="FK33" s="201">
        <f>IF($J33="",#N/A,SUM(FJ$4:FJ33))</f>
        <v>0</v>
      </c>
      <c r="FL33" s="202" t="str">
        <f t="shared" si="74"/>
        <v/>
      </c>
      <c r="FM33" s="202">
        <f>IF($J33="",#N/A,SUM(FL$4:FL33))</f>
        <v>0</v>
      </c>
      <c r="FN33" s="202">
        <f>IF($J33="",#N/A,SUM(FL$4:FL33,FJ$4:FJ33,FH$4:FH33))</f>
        <v>0</v>
      </c>
      <c r="FO33" s="200" t="str">
        <f t="shared" si="75"/>
        <v/>
      </c>
      <c r="FP33" s="200">
        <f>IF($J33="",#N/A,SUM(FO$4:FO33))</f>
        <v>0</v>
      </c>
      <c r="FQ33" s="201" t="str">
        <f t="shared" si="76"/>
        <v/>
      </c>
      <c r="FR33" s="201">
        <f>IF($J33="",#N/A,SUM(FQ$4:FQ33))</f>
        <v>0</v>
      </c>
      <c r="FS33" s="202" t="str">
        <f t="shared" si="77"/>
        <v/>
      </c>
      <c r="FT33" s="202">
        <f>IF($J33="",#N/A,SUM(FS$4:FS33))</f>
        <v>0</v>
      </c>
      <c r="FU33" s="202">
        <f>IF($J33="",#N/A,SUM(FS$4:FS33,FQ$4:FQ33,FO$4:FO33))</f>
        <v>0</v>
      </c>
      <c r="FV33" s="200" t="str">
        <f t="shared" si="78"/>
        <v/>
      </c>
      <c r="FW33" s="200">
        <f>IF($J33="",#N/A,SUM(FV$4:FV33))</f>
        <v>0</v>
      </c>
      <c r="FX33" s="201" t="str">
        <f t="shared" si="79"/>
        <v/>
      </c>
      <c r="FY33" s="201">
        <f>IF($J33="",#N/A,SUM(FX$4:FX33))</f>
        <v>0</v>
      </c>
      <c r="FZ33" s="202" t="str">
        <f t="shared" si="80"/>
        <v/>
      </c>
      <c r="GA33" s="202">
        <f>IF($J33="",#N/A,SUM(FZ$4:FZ33))</f>
        <v>0.70318817588636717</v>
      </c>
      <c r="GB33" s="202">
        <f>IF($J33="",#N/A,SUM(FZ$4:FZ33,FX$4:FX33,FV$4:FV33))</f>
        <v>0.70318817588636717</v>
      </c>
      <c r="GC33" s="200" t="str">
        <f t="shared" si="81"/>
        <v/>
      </c>
      <c r="GD33" s="200">
        <f>IF($J33="",#N/A,SUM(GC$4:GC33))</f>
        <v>0</v>
      </c>
      <c r="GE33" s="201" t="str">
        <f t="shared" si="82"/>
        <v/>
      </c>
      <c r="GF33" s="201">
        <f>IF($J33="",#N/A,SUM(GE$4:GE33))</f>
        <v>0</v>
      </c>
      <c r="GG33" s="202" t="str">
        <f t="shared" si="83"/>
        <v/>
      </c>
      <c r="GH33" s="202">
        <f>IF($J33="",#N/A,SUM(GG$4:GG33))</f>
        <v>-2.9368362277223206</v>
      </c>
      <c r="GI33" s="202">
        <f>IF($J33="",#N/A,SUM(GG$4:GG33,GE$4:GE33,GC$4:GC33))</f>
        <v>-2.9368362277223206</v>
      </c>
      <c r="GJ33" s="200" t="str">
        <f t="shared" si="84"/>
        <v/>
      </c>
      <c r="GK33" s="200">
        <f>IF($J33="",#N/A,SUM(GJ$4:GJ33))</f>
        <v>0</v>
      </c>
      <c r="GL33" s="201" t="str">
        <f t="shared" si="85"/>
        <v/>
      </c>
      <c r="GM33" s="201">
        <f>IF($J33="",#N/A,SUM(GL$4:GL33))</f>
        <v>0</v>
      </c>
      <c r="GN33" s="202" t="str">
        <f t="shared" si="86"/>
        <v/>
      </c>
      <c r="GO33" s="202">
        <f>IF($J33="",#N/A,SUM(GN$4:GN33))</f>
        <v>0</v>
      </c>
      <c r="GP33" s="202">
        <f>IF($J33="",#N/A,SUM(GN$4:GN33,GL$4:GL33,GJ$4:GJ33))</f>
        <v>0</v>
      </c>
      <c r="GS33" s="54">
        <f t="shared" si="105"/>
        <v>0.43262879788639569</v>
      </c>
      <c r="GT33" s="54">
        <f>IF(GS33="",NA(),SUM($GS$4:GS33))</f>
        <v>-1.3877396666654465</v>
      </c>
      <c r="GU33" s="54" t="str">
        <f t="shared" si="87"/>
        <v/>
      </c>
      <c r="GV33" s="54" t="e">
        <f>IF(GU33="",NA(),SUM($GU$4:GU33))</f>
        <v>#N/A</v>
      </c>
      <c r="GW33" s="54">
        <f t="shared" si="88"/>
        <v>0.43262879788639569</v>
      </c>
      <c r="GX33" s="54">
        <f>IF(GW33="",NA(),SUM($GW$4:GW33))</f>
        <v>-2.3158062509167356</v>
      </c>
      <c r="GY33" s="54" t="str">
        <f t="shared" si="89"/>
        <v/>
      </c>
      <c r="GZ33" s="54" t="e">
        <f>IF(GY33="",NA(),SUM($GY$4:GY33))</f>
        <v>#N/A</v>
      </c>
      <c r="HA33" s="54" t="str">
        <f t="shared" si="90"/>
        <v/>
      </c>
      <c r="HB33" s="54" t="e">
        <f>IF(HA33="",NA(),SUM($HA$4:HA33))</f>
        <v>#N/A</v>
      </c>
      <c r="HC33" s="54" t="str">
        <f t="shared" si="91"/>
        <v/>
      </c>
      <c r="HD33" s="54" t="e">
        <f>IF(HC33="",NA(),SUM($HC$4:HC33))</f>
        <v>#N/A</v>
      </c>
      <c r="HE33" s="54" t="str">
        <f t="shared" si="92"/>
        <v/>
      </c>
      <c r="HF33" s="54" t="e">
        <f>IF(HE33="",NA(),SUM($HE$4:HE33))</f>
        <v>#N/A</v>
      </c>
      <c r="HG33" s="54" t="str">
        <f t="shared" si="93"/>
        <v/>
      </c>
      <c r="HH33" s="54" t="e">
        <f>IF(HG33="",NA(),SUM($HG$4:HG33))</f>
        <v>#N/A</v>
      </c>
      <c r="HI33" s="172" t="str">
        <f t="shared" si="106"/>
        <v/>
      </c>
      <c r="HJ33" s="172">
        <f>IF($J33="",#N/A,SUM(HI$4:$HI33))</f>
        <v>-0.44593001674917854</v>
      </c>
      <c r="HK33" s="54" t="str">
        <f t="shared" si="94"/>
        <v/>
      </c>
      <c r="HL33" s="54">
        <f>IF($J33="",#N/A,SUM($HK$4:HK33))</f>
        <v>-2.5504305256697704</v>
      </c>
      <c r="HM33" s="54" t="str">
        <f t="shared" si="95"/>
        <v/>
      </c>
      <c r="HN33" s="54">
        <f>IF($J33="",#N/A,SUM($HM$4:HM33))</f>
        <v>0</v>
      </c>
      <c r="HO33" s="54" t="str">
        <f t="shared" si="96"/>
        <v/>
      </c>
      <c r="HP33" s="54">
        <f>IF($J33="",#N/A,SUM($HO$4:HO33))</f>
        <v>0</v>
      </c>
      <c r="HQ33" s="54">
        <f t="shared" si="97"/>
        <v>-0.33355350066050399</v>
      </c>
      <c r="HR33" s="54">
        <f>IF($J33="",#N/A,SUM($HQ$4:HQ33))</f>
        <v>-1.8691832525259011</v>
      </c>
      <c r="HS33" s="54" t="str">
        <f t="shared" si="98"/>
        <v/>
      </c>
      <c r="HT33" s="54">
        <f>IF($J33="",#N/A,SUM($HS$4:HS33))</f>
        <v>4.8476904658045576</v>
      </c>
      <c r="HU33" s="65">
        <f t="shared" si="99"/>
        <v>9.9075297225891687E-2</v>
      </c>
      <c r="HV33" s="65">
        <f>IF($J33="",#N/A,SUM(HU$4:$HU33))</f>
        <v>-1.4055929958057403</v>
      </c>
    </row>
    <row r="34" spans="1:230" x14ac:dyDescent="0.25">
      <c r="A34" s="396" t="s">
        <v>1400</v>
      </c>
      <c r="B34" s="52" t="s">
        <v>4483</v>
      </c>
      <c r="C34" s="229">
        <f t="shared" si="0"/>
        <v>2</v>
      </c>
      <c r="D34" s="219" t="str">
        <f>_xlfn.XLOOKUP(A34,[1]SP500!$A$2:$A$502,[1]SP500!$D$2:$D$502,"N")</f>
        <v>Y</v>
      </c>
      <c r="E34" s="51" t="str">
        <f>IFERROR(_xlfn.XLOOKUP(A34,[1]SP500!$A$2:$A$655,[1]SP500!$B$2:$B$655),"")</f>
        <v>XHB</v>
      </c>
      <c r="F34" s="53">
        <v>45764</v>
      </c>
      <c r="G34" s="51" t="str">
        <f t="shared" si="1"/>
        <v>BMO</v>
      </c>
      <c r="H34" s="51" t="str">
        <f t="shared" si="2"/>
        <v>s</v>
      </c>
      <c r="I34" s="344">
        <v>117.54</v>
      </c>
      <c r="J34" s="124">
        <v>121.42</v>
      </c>
      <c r="K34" s="55">
        <f t="shared" si="3"/>
        <v>3.3010039135613366E-2</v>
      </c>
      <c r="L34" s="67">
        <f t="shared" si="4"/>
        <v>-38.799999999999955</v>
      </c>
      <c r="M34" s="57">
        <f t="shared" si="5"/>
        <v>-1.7999999999999545</v>
      </c>
      <c r="N34" s="155">
        <f t="shared" si="6"/>
        <v>-38.799999999999955</v>
      </c>
      <c r="O34" s="156">
        <f>IF(N34="",#N/A,SUM($N$4:N34))</f>
        <v>-129.06462593337039</v>
      </c>
      <c r="P34" s="65">
        <f t="shared" si="100"/>
        <v>-0.55016731892688953</v>
      </c>
      <c r="Q34" s="172">
        <f>IF($N34="",#N/A,SUM($P$4:P34))</f>
        <v>-1.9379069855923361</v>
      </c>
      <c r="R34" s="279">
        <f t="shared" si="7"/>
        <v>0.92145109956131188</v>
      </c>
      <c r="S34" s="51" t="str">
        <f t="shared" si="8"/>
        <v>Dwn</v>
      </c>
      <c r="T34" s="51" t="s">
        <v>4461</v>
      </c>
      <c r="U34" s="56">
        <f t="shared" si="9"/>
        <v>117.54</v>
      </c>
      <c r="V34" s="56" t="s">
        <v>4458</v>
      </c>
      <c r="W34" s="142">
        <v>10</v>
      </c>
      <c r="X34" s="145">
        <f t="shared" si="10"/>
        <v>1175.4000000000001</v>
      </c>
      <c r="Y34" s="140">
        <f t="shared" si="11"/>
        <v>10</v>
      </c>
      <c r="Z34" s="123">
        <v>121.6</v>
      </c>
      <c r="AA34" s="102">
        <f t="shared" si="12"/>
        <v>-40.599999999999909</v>
      </c>
      <c r="AB34" s="102">
        <f t="shared" si="13"/>
        <v>-37.099999999999909</v>
      </c>
      <c r="AC34" s="124">
        <v>121.25</v>
      </c>
      <c r="AD34" s="155">
        <f t="shared" si="14"/>
        <v>-37.099999999999909</v>
      </c>
      <c r="AE34" s="545">
        <f t="shared" si="15"/>
        <v>-0.52606204979864879</v>
      </c>
      <c r="AF34" s="57">
        <f>IF($AC34="",#N/A,SUM(AD$4:AD34))</f>
        <v>-128.95967140832556</v>
      </c>
      <c r="AG34" s="102">
        <f t="shared" si="16"/>
        <v>1.7000000000000455</v>
      </c>
      <c r="AH34" s="56" t="s">
        <v>2507</v>
      </c>
      <c r="AI34" s="65">
        <f t="shared" si="17"/>
        <v>-0.57569054506267237</v>
      </c>
      <c r="AJ34" s="54">
        <f>IF(AI34="",#N/A,SUM($AI$4:AI34))</f>
        <v>-2.859358085153648</v>
      </c>
      <c r="AK34" s="57">
        <f t="shared" si="18"/>
        <v>-40.599999999999909</v>
      </c>
      <c r="AL34" s="58">
        <f>IF(AI34="",#N/A,IF(AH34="Skip",SUM($AK$4:AK34),SUM($AK$4:AK34)))</f>
        <v>-194.08499999999935</v>
      </c>
      <c r="AM34" s="65">
        <f t="shared" si="101"/>
        <v>-0.52606204979864879</v>
      </c>
      <c r="AN34" s="209"/>
      <c r="AO34" s="65" t="str">
        <f t="shared" si="19"/>
        <v/>
      </c>
      <c r="AP34" s="65">
        <f>IF($AC34="",#N/A,SUM(AO$4:AO34))</f>
        <v>0.66270096236192022</v>
      </c>
      <c r="AQ34" s="65" t="str">
        <f t="shared" si="20"/>
        <v/>
      </c>
      <c r="AR34" s="65">
        <f>IF($AC34="",#N/A,SUM(AQ$4:AQ34))</f>
        <v>0</v>
      </c>
      <c r="AS34" s="65">
        <f t="shared" si="21"/>
        <v>-0.52606204979864879</v>
      </c>
      <c r="AT34" s="65">
        <f>IF($AC34="",#N/A,SUM(AS$4:AS34))</f>
        <v>-2.5943560079663102</v>
      </c>
      <c r="AU34" s="57" t="str">
        <f t="shared" si="102"/>
        <v/>
      </c>
      <c r="AV34" s="57">
        <f>IF($AC34="",#N/A,SUM(AU$4:AU34))</f>
        <v>26.67870149449061</v>
      </c>
      <c r="AW34" s="57" t="str">
        <f t="shared" si="103"/>
        <v/>
      </c>
      <c r="AX34" s="57">
        <f>IF($AC34="",#N/A,SUM(AW$4:AW34))</f>
        <v>0</v>
      </c>
      <c r="AY34" s="56">
        <f t="shared" si="104"/>
        <v>-37.099999999999909</v>
      </c>
      <c r="AZ34" s="57">
        <f>IF($AC34="",#N/A,SUM(AY$4:AY34))</f>
        <v>-155.63837290281617</v>
      </c>
      <c r="BA34" s="57">
        <f>IF(AD34="",#N/A,SUM($AD$4:AD34))</f>
        <v>-128.95967140832556</v>
      </c>
      <c r="BC34" s="51" t="str">
        <f t="shared" si="22"/>
        <v/>
      </c>
      <c r="BD34" s="51">
        <f t="shared" si="23"/>
        <v>1</v>
      </c>
      <c r="BE34" s="51" t="str">
        <f t="shared" si="24"/>
        <v/>
      </c>
      <c r="BF34" s="51" t="str">
        <f t="shared" si="25"/>
        <v>Short</v>
      </c>
      <c r="BG34" s="51" t="str">
        <f t="shared" si="26"/>
        <v/>
      </c>
      <c r="BH34" s="51" t="str">
        <f t="shared" si="27"/>
        <v/>
      </c>
      <c r="BI34" s="51" t="str">
        <f t="shared" si="28"/>
        <v/>
      </c>
      <c r="BK34" s="184"/>
      <c r="BL34" s="65">
        <f t="shared" si="107"/>
        <v>-9.1750311246953861E-3</v>
      </c>
      <c r="BM34" s="65">
        <f>IFERROR(Q34/COUNTA($J$4:J34),#N/A)</f>
        <v>-6.2513128567494719E-2</v>
      </c>
      <c r="BO34" s="489" t="e">
        <f>IF(J34="",#N/A,IF(S34="SW",(COUNTIFS(K$4:$K34,"&gt;0",S$4:$S34,"SW")/COUNTIF(S$4:$S34,"SW")),#N/A))</f>
        <v>#N/A</v>
      </c>
      <c r="BP34" s="489">
        <f>IF($J34="",#N/A,IF($S34="DWN",(COUNTIFS($K$4:$K34,"&lt;0",$S$4:$S34,"DWN")/COUNTIF($S$4:$S34,"DWN")),#N/A))</f>
        <v>0.66666666666666663</v>
      </c>
      <c r="BQ34" s="489" t="e">
        <f>IF($J34="",#N/A,IF($S34="UP",(COUNTIFS($K$4:$K34,"&gt;0",$S$4:$S34,"UP")/COUNTIF($S$4:$S34,"UP")),#N/A))</f>
        <v>#N/A</v>
      </c>
      <c r="BR34" s="489">
        <f>IF(J34="",#N/A,COUNTIF($K$4:K34,"&gt;0")/COUNT($J$4:J34))</f>
        <v>0.41935483870967744</v>
      </c>
      <c r="BS34" s="65" t="str">
        <f t="shared" si="29"/>
        <v/>
      </c>
      <c r="BT34" s="65" t="str">
        <f t="shared" si="30"/>
        <v/>
      </c>
      <c r="BU34" s="65" t="str">
        <f t="shared" si="31"/>
        <v/>
      </c>
      <c r="BV34" s="65">
        <f t="shared" si="32"/>
        <v>-0.55016731892688953</v>
      </c>
      <c r="BW34" s="151" t="str">
        <f t="shared" si="33"/>
        <v/>
      </c>
      <c r="BX34" s="151">
        <f>IF($J34="",#N/A,SUM($BW$4:BW34))</f>
        <v>0</v>
      </c>
      <c r="BY34" s="152">
        <f t="shared" si="34"/>
        <v>-38.799999999999955</v>
      </c>
      <c r="BZ34" s="152">
        <f>IF($J34="",#N/A,SUM($BY$4:BY34))</f>
        <v>26.556280468504156</v>
      </c>
      <c r="CA34" s="153" t="str">
        <f t="shared" si="35"/>
        <v/>
      </c>
      <c r="CB34" s="154">
        <f>IF($J34="",#N/A,SUM($CA$4:CA34))</f>
        <v>-155.62090640187455</v>
      </c>
      <c r="CC34" s="191" t="str">
        <f t="shared" si="36"/>
        <v/>
      </c>
      <c r="CD34" s="191">
        <f>IF($J34="",#N/A,SUM($CC$4:CC34))</f>
        <v>0</v>
      </c>
      <c r="CE34" s="192">
        <f t="shared" si="37"/>
        <v>-0.55016731892688953</v>
      </c>
      <c r="CF34" s="192">
        <f>IF($J34="",#N/A,SUM($CE$4:CE34))</f>
        <v>0.37789926532439866</v>
      </c>
      <c r="CG34" s="193" t="str">
        <f t="shared" si="38"/>
        <v/>
      </c>
      <c r="CH34" s="193">
        <f>IF($J34="",#N/A,SUM($CG$4:CG34))</f>
        <v>-2.3158062509167356</v>
      </c>
      <c r="CI34" s="200" t="str">
        <f t="shared" si="39"/>
        <v/>
      </c>
      <c r="CJ34" s="200">
        <f>IF($J34="",#N/A,SUM(CI$4:CI34))</f>
        <v>0</v>
      </c>
      <c r="CK34" s="201" t="str">
        <f t="shared" si="40"/>
        <v/>
      </c>
      <c r="CL34" s="201">
        <f>IF($J34="",#N/A,SUM(CK$4:CK34))</f>
        <v>0</v>
      </c>
      <c r="CM34" s="202" t="str">
        <f t="shared" si="41"/>
        <v/>
      </c>
      <c r="CN34" s="202">
        <f>IF($J34="",#N/A,SUM(CM$4:CM34))</f>
        <v>0</v>
      </c>
      <c r="CO34" s="202">
        <f>IF($J34="",#N/A,SUM(CM$4:CM34,CK$4:CK34,CI$4:CI34))</f>
        <v>0</v>
      </c>
      <c r="CP34" s="200" t="str">
        <f t="shared" si="42"/>
        <v/>
      </c>
      <c r="CQ34" s="200">
        <f>IF($J34="",#N/A,SUM(CP$4:CP34))</f>
        <v>0</v>
      </c>
      <c r="CR34" s="201" t="str">
        <f t="shared" si="43"/>
        <v/>
      </c>
      <c r="CS34" s="201">
        <f>IF($J34="",#N/A,SUM(CR$4:CR34))</f>
        <v>0</v>
      </c>
      <c r="CT34" s="202" t="str">
        <f t="shared" si="44"/>
        <v/>
      </c>
      <c r="CU34" s="202">
        <f>IF($J34="",#N/A,SUM(CT$4:CT34))</f>
        <v>0</v>
      </c>
      <c r="CV34" s="202">
        <f>IF($J34="",#N/A,SUM(CT$4:CT34,CR$4:CR34,CP$4:CP34))</f>
        <v>0</v>
      </c>
      <c r="CW34" s="200" t="str">
        <f t="shared" si="45"/>
        <v/>
      </c>
      <c r="CX34" s="200">
        <f>IF($J34="",#N/A,SUM(CW$4:CW34))</f>
        <v>0</v>
      </c>
      <c r="CY34" s="201" t="str">
        <f t="shared" si="46"/>
        <v/>
      </c>
      <c r="CZ34" s="201">
        <f>IF($J34="",#N/A,SUM(CY$4:CY34))</f>
        <v>0</v>
      </c>
      <c r="DA34" s="202" t="str">
        <f t="shared" si="47"/>
        <v/>
      </c>
      <c r="DB34" s="202">
        <f>IF($J34="",#N/A,SUM(DA$4:DA34))</f>
        <v>0</v>
      </c>
      <c r="DC34" s="202">
        <f>IF($J34="",#N/A,SUM(DA$4:DA34,CY$4:CY34,CW$4:CW34))</f>
        <v>0</v>
      </c>
      <c r="DD34" s="200" t="str">
        <f t="shared" si="48"/>
        <v/>
      </c>
      <c r="DE34" s="200">
        <f>IF($J34="",#N/A,SUM(DD$4:DD34))</f>
        <v>0</v>
      </c>
      <c r="DF34" s="201" t="str">
        <f t="shared" si="49"/>
        <v/>
      </c>
      <c r="DG34" s="201">
        <f>IF($J34="",#N/A,SUM(DF$4:DF34))</f>
        <v>0.6788440567066546</v>
      </c>
      <c r="DH34" s="202" t="str">
        <f t="shared" si="50"/>
        <v/>
      </c>
      <c r="DI34" s="202">
        <f>IF($J34="",#N/A,SUM(DH$4:DH34))</f>
        <v>0</v>
      </c>
      <c r="DJ34" s="202">
        <f>IF($J34="",#N/A,SUM(DH$4:DH34,DF$4:DF34,DD$4:DD34))</f>
        <v>0.6788440567066546</v>
      </c>
      <c r="DK34" s="200" t="str">
        <f t="shared" si="51"/>
        <v/>
      </c>
      <c r="DL34" s="200">
        <f>IF($J34="",#N/A,SUM(DK$4:DK34))</f>
        <v>0</v>
      </c>
      <c r="DM34" s="201" t="str">
        <f t="shared" si="52"/>
        <v/>
      </c>
      <c r="DN34" s="201">
        <f>IF($J34="",#N/A,SUM(DM$4:DM34))</f>
        <v>0.36227168206863897</v>
      </c>
      <c r="DO34" s="202" t="str">
        <f t="shared" si="53"/>
        <v/>
      </c>
      <c r="DP34" s="202">
        <f>IF($J34="",#N/A,SUM(DO$4:DO34))</f>
        <v>0</v>
      </c>
      <c r="DQ34" s="202">
        <f>IF($J34="",#N/A,SUM(DO$4:DO34,DM$4:DM34,DK$4:DK34))</f>
        <v>0.36227168206863897</v>
      </c>
      <c r="DR34" s="200" t="str">
        <f t="shared" si="54"/>
        <v/>
      </c>
      <c r="DS34" s="200">
        <f>IF($J34="",#N/A,SUM(DR$4:DR34))</f>
        <v>0</v>
      </c>
      <c r="DT34" s="201" t="str">
        <f t="shared" si="55"/>
        <v/>
      </c>
      <c r="DU34" s="201">
        <f>IF($J34="",#N/A,SUM(DT$4:DT34))</f>
        <v>-0.54822868546603165</v>
      </c>
      <c r="DV34" s="202" t="str">
        <f t="shared" si="56"/>
        <v/>
      </c>
      <c r="DW34" s="202">
        <f>IF($J34="",#N/A,SUM(DV$4:DV34))</f>
        <v>-1.1023065046058436</v>
      </c>
      <c r="DX34" s="202">
        <f>IF($J34="",#N/A,SUM(DV$4:DV34,DT$4:DT34,DR$4:DR34))</f>
        <v>-1.6505351900718752</v>
      </c>
      <c r="DY34" s="200" t="str">
        <f t="shared" si="57"/>
        <v/>
      </c>
      <c r="DZ34" s="200">
        <f>IF($J34="",#N/A,SUM(DY$4:DY34))</f>
        <v>0</v>
      </c>
      <c r="EA34" s="201" t="str">
        <f t="shared" si="58"/>
        <v/>
      </c>
      <c r="EB34" s="201">
        <f>IF($J34="",#N/A,SUM(EA$4:EA34))</f>
        <v>0.43517953094202633</v>
      </c>
      <c r="EC34" s="202" t="str">
        <f t="shared" si="59"/>
        <v/>
      </c>
      <c r="ED34" s="202">
        <f>IF($J34="",#N/A,SUM(EC$4:EC34))</f>
        <v>0.52792722625163879</v>
      </c>
      <c r="EE34" s="202">
        <f>IF($J34="",#N/A,SUM(EC$4:EC34,EA$4:EA34,DY$4:DY34))</f>
        <v>0.96310675719366512</v>
      </c>
      <c r="EF34" s="200" t="str">
        <f t="shared" si="60"/>
        <v/>
      </c>
      <c r="EG34" s="200">
        <f>IF($J34="",#N/A,SUM(EF$4:EF34))</f>
        <v>0</v>
      </c>
      <c r="EH34" s="201" t="str">
        <f t="shared" si="61"/>
        <v/>
      </c>
      <c r="EI34" s="201">
        <f>IF($J34="",#N/A,SUM(EH$4:EH34))</f>
        <v>0</v>
      </c>
      <c r="EJ34" s="202" t="str">
        <f t="shared" si="62"/>
        <v/>
      </c>
      <c r="EK34" s="202">
        <f>IF($J34="",#N/A,SUM(EJ$4:EJ34))</f>
        <v>0.6035383334478206</v>
      </c>
      <c r="EL34" s="202">
        <f>IF($J34="",#N/A,SUM(EJ$4:EJ34,EH$4:EH34,EF$4:EF34))</f>
        <v>0.6035383334478206</v>
      </c>
      <c r="EM34" s="200" t="str">
        <f t="shared" si="63"/>
        <v/>
      </c>
      <c r="EN34" s="200">
        <f>IF($J34="",#N/A,SUM(EM$4:EM34))</f>
        <v>0</v>
      </c>
      <c r="EO34" s="201" t="str">
        <f t="shared" si="64"/>
        <v/>
      </c>
      <c r="EP34" s="201">
        <f>IF($J34="",#N/A,SUM(EO$4:EO34))</f>
        <v>0</v>
      </c>
      <c r="EQ34" s="202" t="str">
        <f t="shared" si="65"/>
        <v/>
      </c>
      <c r="ER34" s="202">
        <f>IF($J34="",#N/A,SUM(EQ$4:EQ34))</f>
        <v>0</v>
      </c>
      <c r="ES34" s="202">
        <f>IF($J34="",#N/A,SUM(EQ$4:EQ34,EO$4:EO34,EM$4:EM34))</f>
        <v>0</v>
      </c>
      <c r="ET34" s="200" t="str">
        <f t="shared" si="66"/>
        <v/>
      </c>
      <c r="EU34" s="200">
        <f>IF($J34="",#N/A,SUM(ET$4:ET34))</f>
        <v>0</v>
      </c>
      <c r="EV34" s="201" t="str">
        <f t="shared" si="67"/>
        <v/>
      </c>
      <c r="EW34" s="201">
        <f>IF($J34="",#N/A,SUM(EV$4:EV34))</f>
        <v>0</v>
      </c>
      <c r="EX34" s="202" t="str">
        <f t="shared" si="68"/>
        <v/>
      </c>
      <c r="EY34" s="202">
        <f>IF($J34="",#N/A,SUM(EX$4:EX34))</f>
        <v>0</v>
      </c>
      <c r="EZ34" s="202">
        <f>IF($J34="",#N/A,SUM(EX$4:EX34,EV$4:EV34,ET$4:ET34))</f>
        <v>0</v>
      </c>
      <c r="FA34" s="200" t="str">
        <f t="shared" si="69"/>
        <v/>
      </c>
      <c r="FB34" s="200">
        <f>IF($J34="",#N/A,SUM(FA$4:FA34))</f>
        <v>0</v>
      </c>
      <c r="FC34" s="201" t="str">
        <f t="shared" si="70"/>
        <v/>
      </c>
      <c r="FD34" s="201">
        <f>IF($J34="",#N/A,SUM(FC$4:FC34))</f>
        <v>0</v>
      </c>
      <c r="FE34" s="202" t="str">
        <f t="shared" si="71"/>
        <v/>
      </c>
      <c r="FF34" s="202">
        <f>IF($J34="",#N/A,SUM(FE$4:FE34))</f>
        <v>-0.11131725417439868</v>
      </c>
      <c r="FG34" s="202">
        <f>IF($J34="",#N/A,SUM(FE$4:FE34,FC$4:FC34,FA$4:FA34))</f>
        <v>-0.11131725417439868</v>
      </c>
      <c r="FH34" s="200" t="str">
        <f t="shared" si="72"/>
        <v/>
      </c>
      <c r="FI34" s="200">
        <f>IF($J34="",#N/A,SUM(FH$4:FH34))</f>
        <v>0</v>
      </c>
      <c r="FJ34" s="201" t="str">
        <f t="shared" si="73"/>
        <v/>
      </c>
      <c r="FK34" s="201">
        <f>IF($J34="",#N/A,SUM(FJ$4:FJ34))</f>
        <v>0</v>
      </c>
      <c r="FL34" s="202" t="str">
        <f t="shared" si="74"/>
        <v/>
      </c>
      <c r="FM34" s="202">
        <f>IF($J34="",#N/A,SUM(FL$4:FL34))</f>
        <v>0</v>
      </c>
      <c r="FN34" s="202">
        <f>IF($J34="",#N/A,SUM(FL$4:FL34,FJ$4:FJ34,FH$4:FH34))</f>
        <v>0</v>
      </c>
      <c r="FO34" s="200" t="str">
        <f t="shared" si="75"/>
        <v/>
      </c>
      <c r="FP34" s="200">
        <f>IF($J34="",#N/A,SUM(FO$4:FO34))</f>
        <v>0</v>
      </c>
      <c r="FQ34" s="201" t="str">
        <f t="shared" si="76"/>
        <v/>
      </c>
      <c r="FR34" s="201">
        <f>IF($J34="",#N/A,SUM(FQ$4:FQ34))</f>
        <v>0</v>
      </c>
      <c r="FS34" s="202" t="str">
        <f t="shared" si="77"/>
        <v/>
      </c>
      <c r="FT34" s="202">
        <f>IF($J34="",#N/A,SUM(FS$4:FS34))</f>
        <v>0</v>
      </c>
      <c r="FU34" s="202">
        <f>IF($J34="",#N/A,SUM(FS$4:FS34,FQ$4:FQ34,FO$4:FO34))</f>
        <v>0</v>
      </c>
      <c r="FV34" s="200" t="str">
        <f t="shared" si="78"/>
        <v/>
      </c>
      <c r="FW34" s="200">
        <f>IF($J34="",#N/A,SUM(FV$4:FV34))</f>
        <v>0</v>
      </c>
      <c r="FX34" s="201" t="str">
        <f t="shared" si="79"/>
        <v/>
      </c>
      <c r="FY34" s="201">
        <f>IF($J34="",#N/A,SUM(FX$4:FX34))</f>
        <v>0</v>
      </c>
      <c r="FZ34" s="202" t="str">
        <f t="shared" si="80"/>
        <v/>
      </c>
      <c r="GA34" s="202">
        <f>IF($J34="",#N/A,SUM(FZ$4:FZ34))</f>
        <v>0.70318817588636717</v>
      </c>
      <c r="GB34" s="202">
        <f>IF($J34="",#N/A,SUM(FZ$4:FZ34,FX$4:FX34,FV$4:FV34))</f>
        <v>0.70318817588636717</v>
      </c>
      <c r="GC34" s="200" t="str">
        <f t="shared" si="81"/>
        <v/>
      </c>
      <c r="GD34" s="200">
        <f>IF($J34="",#N/A,SUM(GC$4:GC34))</f>
        <v>0</v>
      </c>
      <c r="GE34" s="201" t="str">
        <f t="shared" si="82"/>
        <v/>
      </c>
      <c r="GF34" s="201">
        <f>IF($J34="",#N/A,SUM(GE$4:GE34))</f>
        <v>0</v>
      </c>
      <c r="GG34" s="202" t="str">
        <f t="shared" si="83"/>
        <v/>
      </c>
      <c r="GH34" s="202">
        <f>IF($J34="",#N/A,SUM(GG$4:GG34))</f>
        <v>-2.9368362277223206</v>
      </c>
      <c r="GI34" s="202">
        <f>IF($J34="",#N/A,SUM(GG$4:GG34,GE$4:GE34,GC$4:GC34))</f>
        <v>-2.9368362277223206</v>
      </c>
      <c r="GJ34" s="200" t="str">
        <f t="shared" si="84"/>
        <v/>
      </c>
      <c r="GK34" s="200">
        <f>IF($J34="",#N/A,SUM(GJ$4:GJ34))</f>
        <v>0</v>
      </c>
      <c r="GL34" s="201">
        <f t="shared" si="85"/>
        <v>-0.55016731892688953</v>
      </c>
      <c r="GM34" s="201">
        <f>IF($J34="",#N/A,SUM(GL$4:GL34))</f>
        <v>-0.55016731892688953</v>
      </c>
      <c r="GN34" s="202" t="str">
        <f t="shared" si="86"/>
        <v/>
      </c>
      <c r="GO34" s="202">
        <f>IF($J34="",#N/A,SUM(GN$4:GN34))</f>
        <v>0</v>
      </c>
      <c r="GP34" s="202">
        <f>IF($J34="",#N/A,SUM(GN$4:GN34,GL$4:GL34,GJ$4:GJ34))</f>
        <v>-0.55016731892688953</v>
      </c>
      <c r="GS34" s="54">
        <f t="shared" si="105"/>
        <v>-0.55016731892688953</v>
      </c>
      <c r="GT34" s="54">
        <f>IF(GS34="",NA(),SUM($GS$4:GS34))</f>
        <v>-1.9379069855923361</v>
      </c>
      <c r="GU34" s="54" t="str">
        <f t="shared" si="87"/>
        <v/>
      </c>
      <c r="GV34" s="54" t="e">
        <f>IF(GU34="",NA(),SUM($GU$4:GU34))</f>
        <v>#N/A</v>
      </c>
      <c r="GW34" s="54" t="str">
        <f t="shared" si="88"/>
        <v/>
      </c>
      <c r="GX34" s="54" t="e">
        <f>IF(GW34="",NA(),SUM($GW$4:GW34))</f>
        <v>#N/A</v>
      </c>
      <c r="GY34" s="54">
        <f t="shared" si="89"/>
        <v>-0.55016731892688953</v>
      </c>
      <c r="GZ34" s="54">
        <f>IF(GY34="",NA(),SUM($GY$4:GY34))</f>
        <v>0.37789926532439866</v>
      </c>
      <c r="HA34" s="54" t="str">
        <f t="shared" si="90"/>
        <v/>
      </c>
      <c r="HB34" s="54" t="e">
        <f>IF(HA34="",NA(),SUM($HA$4:HA34))</f>
        <v>#N/A</v>
      </c>
      <c r="HC34" s="54" t="str">
        <f t="shared" si="91"/>
        <v/>
      </c>
      <c r="HD34" s="54" t="e">
        <f>IF(HC34="",NA(),SUM($HC$4:HC34))</f>
        <v>#N/A</v>
      </c>
      <c r="HE34" s="54" t="str">
        <f t="shared" si="92"/>
        <v/>
      </c>
      <c r="HF34" s="54" t="e">
        <f>IF(HE34="",NA(),SUM($HE$4:HE34))</f>
        <v>#N/A</v>
      </c>
      <c r="HG34" s="54" t="str">
        <f t="shared" si="93"/>
        <v/>
      </c>
      <c r="HH34" s="54" t="e">
        <f>IF(HG34="",NA(),SUM($HG$4:HG34))</f>
        <v>#N/A</v>
      </c>
      <c r="HI34" s="172" t="str">
        <f t="shared" si="106"/>
        <v/>
      </c>
      <c r="HJ34" s="172">
        <f>IF($J34="",#N/A,SUM(HI$4:$HI34))</f>
        <v>-0.44593001674917854</v>
      </c>
      <c r="HK34" s="54">
        <f t="shared" si="94"/>
        <v>2.4105269128240736E-2</v>
      </c>
      <c r="HL34" s="54">
        <f>IF($J34="",#N/A,SUM($HK$4:HK34))</f>
        <v>-2.5263252565415297</v>
      </c>
      <c r="HM34" s="54" t="str">
        <f t="shared" si="95"/>
        <v/>
      </c>
      <c r="HN34" s="54">
        <f>IF($J34="",#N/A,SUM($HM$4:HM34))</f>
        <v>0</v>
      </c>
      <c r="HO34" s="54" t="str">
        <f t="shared" si="96"/>
        <v/>
      </c>
      <c r="HP34" s="54">
        <f>IF($J34="",#N/A,SUM($HO$4:HO34))</f>
        <v>0</v>
      </c>
      <c r="HQ34" s="54" t="str">
        <f t="shared" si="97"/>
        <v/>
      </c>
      <c r="HR34" s="54">
        <f>IF($J34="",#N/A,SUM($HQ$4:HQ34))</f>
        <v>-1.8691832525259011</v>
      </c>
      <c r="HS34" s="54" t="str">
        <f t="shared" si="98"/>
        <v/>
      </c>
      <c r="HT34" s="54">
        <f>IF($J34="",#N/A,SUM($HS$4:HS34))</f>
        <v>4.8476904658045576</v>
      </c>
      <c r="HU34" s="65">
        <f t="shared" si="99"/>
        <v>-0.52606204979864879</v>
      </c>
      <c r="HV34" s="65">
        <f>IF($J34="",#N/A,SUM(HU$4:$HU34))</f>
        <v>-1.9316550456043891</v>
      </c>
    </row>
    <row r="35" spans="1:230" x14ac:dyDescent="0.25">
      <c r="A35" s="51" t="s">
        <v>1459</v>
      </c>
      <c r="B35" s="52" t="s">
        <v>4483</v>
      </c>
      <c r="C35" s="229">
        <f t="shared" si="0"/>
        <v>2</v>
      </c>
      <c r="D35" s="219" t="str">
        <f>_xlfn.XLOOKUP(A35,[1]SP500!$A$2:$A$502,[1]SP500!$D$2:$D$502,"N")</f>
        <v>Y</v>
      </c>
      <c r="E35" s="51" t="str">
        <f>IFERROR(_xlfn.XLOOKUP(A35,[1]SP500!$A$2:$A$655,[1]SP500!$B$2:$B$655),"")</f>
        <v>XLF</v>
      </c>
      <c r="F35" s="53">
        <v>45764</v>
      </c>
      <c r="G35" s="51" t="str">
        <f t="shared" si="1"/>
        <v>BMO</v>
      </c>
      <c r="H35" s="51" t="str">
        <f t="shared" si="2"/>
        <v>s</v>
      </c>
      <c r="I35" s="344">
        <v>34.4</v>
      </c>
      <c r="J35" s="124">
        <v>33.33</v>
      </c>
      <c r="K35" s="55">
        <f t="shared" si="3"/>
        <v>-3.1104651162790709E-2</v>
      </c>
      <c r="L35" s="67">
        <f t="shared" si="4"/>
        <v>32.100000000000023</v>
      </c>
      <c r="M35" s="57">
        <f t="shared" si="5"/>
        <v>0</v>
      </c>
      <c r="N35" s="155">
        <f t="shared" si="6"/>
        <v>32.100000000000023</v>
      </c>
      <c r="O35" s="156">
        <f>IF(N35="",#N/A,SUM($N$4:N35))</f>
        <v>-96.964625933370371</v>
      </c>
      <c r="P35" s="65">
        <f t="shared" si="100"/>
        <v>0.51841085271317866</v>
      </c>
      <c r="Q35" s="172">
        <f>IF($N35="",#N/A,SUM($P$4:P35))</f>
        <v>-1.4194961328791575</v>
      </c>
      <c r="R35" s="279">
        <f t="shared" si="7"/>
        <v>0.92145109956131188</v>
      </c>
      <c r="S35" s="51" t="str">
        <f t="shared" si="8"/>
        <v>Dwn</v>
      </c>
      <c r="T35" s="51" t="s">
        <v>4462</v>
      </c>
      <c r="U35" s="56">
        <f t="shared" si="9"/>
        <v>34.4</v>
      </c>
      <c r="V35" s="56" t="s">
        <v>4458</v>
      </c>
      <c r="W35" s="142">
        <v>30</v>
      </c>
      <c r="X35" s="145">
        <f t="shared" si="10"/>
        <v>1032</v>
      </c>
      <c r="Y35" s="140">
        <f t="shared" si="11"/>
        <v>30</v>
      </c>
      <c r="Z35" s="123">
        <v>33.33</v>
      </c>
      <c r="AA35" s="102">
        <f t="shared" si="12"/>
        <v>32.100000000000023</v>
      </c>
      <c r="AB35" s="102">
        <f t="shared" si="13"/>
        <v>7.5</v>
      </c>
      <c r="AC35" s="124">
        <v>34.15</v>
      </c>
      <c r="AD35" s="155">
        <f t="shared" si="14"/>
        <v>7.5</v>
      </c>
      <c r="AE35" s="545">
        <f t="shared" si="15"/>
        <v>0.12112403100775194</v>
      </c>
      <c r="AF35" s="57">
        <f>IF($AC35="",#N/A,SUM(AD$4:AD35))</f>
        <v>-121.45967140832556</v>
      </c>
      <c r="AG35" s="102">
        <f t="shared" si="16"/>
        <v>-24.600000000000023</v>
      </c>
      <c r="AH35" s="56" t="s">
        <v>2507</v>
      </c>
      <c r="AI35" s="65">
        <f t="shared" si="17"/>
        <v>0.51841085271317866</v>
      </c>
      <c r="AJ35" s="54">
        <f>IF(AI35="",#N/A,SUM($AI$4:AI35))</f>
        <v>-2.3409472324404694</v>
      </c>
      <c r="AK35" s="57">
        <f t="shared" si="18"/>
        <v>32.100000000000023</v>
      </c>
      <c r="AL35" s="58">
        <f>IF(AI35="",#N/A,IF(AH35="Skip",SUM($AK$4:AK35),SUM($AK$4:AK35)))</f>
        <v>-161.98499999999933</v>
      </c>
      <c r="AM35" s="65">
        <f t="shared" si="101"/>
        <v>0.12112403100775194</v>
      </c>
      <c r="AN35" s="209"/>
      <c r="AO35" s="65" t="str">
        <f t="shared" si="19"/>
        <v/>
      </c>
      <c r="AP35" s="65">
        <f>IF($AC35="",#N/A,SUM(AO$4:AO35))</f>
        <v>0.66270096236192022</v>
      </c>
      <c r="AQ35" s="65" t="str">
        <f t="shared" si="20"/>
        <v/>
      </c>
      <c r="AR35" s="65">
        <f>IF($AC35="",#N/A,SUM(AQ$4:AQ35))</f>
        <v>0</v>
      </c>
      <c r="AS35" s="65">
        <f t="shared" si="21"/>
        <v>0.12112403100775194</v>
      </c>
      <c r="AT35" s="65">
        <f>IF($AC35="",#N/A,SUM(AS$4:AS35))</f>
        <v>-2.4732319769585582</v>
      </c>
      <c r="AU35" s="57" t="str">
        <f t="shared" si="102"/>
        <v/>
      </c>
      <c r="AV35" s="57">
        <f>IF($AC35="",#N/A,SUM(AU$4:AU35))</f>
        <v>26.67870149449061</v>
      </c>
      <c r="AW35" s="57" t="str">
        <f t="shared" si="103"/>
        <v/>
      </c>
      <c r="AX35" s="57">
        <f>IF($AC35="",#N/A,SUM(AW$4:AW35))</f>
        <v>0</v>
      </c>
      <c r="AY35" s="56">
        <f t="shared" si="104"/>
        <v>7.5</v>
      </c>
      <c r="AZ35" s="57">
        <f>IF($AC35="",#N/A,SUM(AY$4:AY35))</f>
        <v>-148.13837290281617</v>
      </c>
      <c r="BA35" s="57">
        <f>IF(AD35="",#N/A,SUM($AD$4:AD35))</f>
        <v>-121.45967140832556</v>
      </c>
      <c r="BC35" s="51" t="str">
        <f t="shared" si="22"/>
        <v/>
      </c>
      <c r="BD35" s="51" t="str">
        <f t="shared" si="23"/>
        <v/>
      </c>
      <c r="BE35" s="51" t="str">
        <f t="shared" si="24"/>
        <v/>
      </c>
      <c r="BF35" s="51" t="str">
        <f t="shared" si="25"/>
        <v>Short</v>
      </c>
      <c r="BG35" s="51">
        <f t="shared" si="26"/>
        <v>1</v>
      </c>
      <c r="BH35" s="51" t="str">
        <f t="shared" si="27"/>
        <v/>
      </c>
      <c r="BI35" s="51" t="str">
        <f t="shared" si="28"/>
        <v/>
      </c>
      <c r="BK35" s="184"/>
      <c r="BL35" s="65">
        <f t="shared" si="107"/>
        <v>1.666321940640305E-2</v>
      </c>
      <c r="BM35" s="65">
        <f>IFERROR(Q35/COUNTA($J$4:J35),#N/A)</f>
        <v>-4.4359254152473673E-2</v>
      </c>
      <c r="BO35" s="489" t="e">
        <f>IF(J35="",#N/A,IF(S35="SW",(COUNTIFS(K$4:$K35,"&gt;0",S$4:$S35,"SW")/COUNTIF(S$4:$S35,"SW")),#N/A))</f>
        <v>#N/A</v>
      </c>
      <c r="BP35" s="489">
        <f>IF($J35="",#N/A,IF($S35="DWN",(COUNTIFS($K$4:$K35,"&lt;0",$S$4:$S35,"DWN")/COUNTIF($S$4:$S35,"DWN")),#N/A))</f>
        <v>0.69230769230769229</v>
      </c>
      <c r="BQ35" s="489" t="e">
        <f>IF($J35="",#N/A,IF($S35="UP",(COUNTIFS($K$4:$K35,"&gt;0",$S$4:$S35,"UP")/COUNTIF($S$4:$S35,"UP")),#N/A))</f>
        <v>#N/A</v>
      </c>
      <c r="BR35" s="489">
        <f>IF(J35="",#N/A,COUNTIF($K$4:K35,"&gt;0")/COUNT($J$4:J35))</f>
        <v>0.40625</v>
      </c>
      <c r="BS35" s="65" t="str">
        <f t="shared" si="29"/>
        <v/>
      </c>
      <c r="BT35" s="65" t="str">
        <f t="shared" si="30"/>
        <v/>
      </c>
      <c r="BU35" s="65">
        <f t="shared" si="31"/>
        <v>0.51841085271317866</v>
      </c>
      <c r="BV35" s="65" t="str">
        <f t="shared" si="32"/>
        <v/>
      </c>
      <c r="BW35" s="151" t="str">
        <f t="shared" si="33"/>
        <v/>
      </c>
      <c r="BX35" s="151">
        <f>IF($J35="",#N/A,SUM($BW$4:BW35))</f>
        <v>0</v>
      </c>
      <c r="BY35" s="152">
        <f t="shared" si="34"/>
        <v>32.100000000000023</v>
      </c>
      <c r="BZ35" s="152">
        <f>IF($J35="",#N/A,SUM($BY$4:BY35))</f>
        <v>58.656280468504178</v>
      </c>
      <c r="CA35" s="153" t="str">
        <f t="shared" si="35"/>
        <v/>
      </c>
      <c r="CB35" s="154">
        <f>IF($J35="",#N/A,SUM($CA$4:CA35))</f>
        <v>-155.62090640187455</v>
      </c>
      <c r="CC35" s="191" t="str">
        <f t="shared" si="36"/>
        <v/>
      </c>
      <c r="CD35" s="191">
        <f>IF($J35="",#N/A,SUM($CC$4:CC35))</f>
        <v>0</v>
      </c>
      <c r="CE35" s="192">
        <f t="shared" si="37"/>
        <v>0.51841085271317866</v>
      </c>
      <c r="CF35" s="192">
        <f>IF($J35="",#N/A,SUM($CE$4:CE35))</f>
        <v>0.89631011803757732</v>
      </c>
      <c r="CG35" s="193" t="str">
        <f t="shared" si="38"/>
        <v/>
      </c>
      <c r="CH35" s="193">
        <f>IF($J35="",#N/A,SUM($CG$4:CG35))</f>
        <v>-2.3158062509167356</v>
      </c>
      <c r="CI35" s="200" t="str">
        <f t="shared" si="39"/>
        <v/>
      </c>
      <c r="CJ35" s="200">
        <f>IF($J35="",#N/A,SUM(CI$4:CI35))</f>
        <v>0</v>
      </c>
      <c r="CK35" s="201" t="str">
        <f t="shared" si="40"/>
        <v/>
      </c>
      <c r="CL35" s="201">
        <f>IF($J35="",#N/A,SUM(CK$4:CK35))</f>
        <v>0</v>
      </c>
      <c r="CM35" s="202" t="str">
        <f t="shared" si="41"/>
        <v/>
      </c>
      <c r="CN35" s="202">
        <f>IF($J35="",#N/A,SUM(CM$4:CM35))</f>
        <v>0</v>
      </c>
      <c r="CO35" s="202">
        <f>IF($J35="",#N/A,SUM(CM$4:CM35,CK$4:CK35,CI$4:CI35))</f>
        <v>0</v>
      </c>
      <c r="CP35" s="200" t="str">
        <f t="shared" si="42"/>
        <v/>
      </c>
      <c r="CQ35" s="200">
        <f>IF($J35="",#N/A,SUM(CP$4:CP35))</f>
        <v>0</v>
      </c>
      <c r="CR35" s="201" t="str">
        <f t="shared" si="43"/>
        <v/>
      </c>
      <c r="CS35" s="201">
        <f>IF($J35="",#N/A,SUM(CR$4:CR35))</f>
        <v>0</v>
      </c>
      <c r="CT35" s="202" t="str">
        <f t="shared" si="44"/>
        <v/>
      </c>
      <c r="CU35" s="202">
        <f>IF($J35="",#N/A,SUM(CT$4:CT35))</f>
        <v>0</v>
      </c>
      <c r="CV35" s="202">
        <f>IF($J35="",#N/A,SUM(CT$4:CT35,CR$4:CR35,CP$4:CP35))</f>
        <v>0</v>
      </c>
      <c r="CW35" s="200" t="str">
        <f t="shared" si="45"/>
        <v/>
      </c>
      <c r="CX35" s="200">
        <f>IF($J35="",#N/A,SUM(CW$4:CW35))</f>
        <v>0</v>
      </c>
      <c r="CY35" s="201" t="str">
        <f t="shared" si="46"/>
        <v/>
      </c>
      <c r="CZ35" s="201">
        <f>IF($J35="",#N/A,SUM(CY$4:CY35))</f>
        <v>0</v>
      </c>
      <c r="DA35" s="202" t="str">
        <f t="shared" si="47"/>
        <v/>
      </c>
      <c r="DB35" s="202">
        <f>IF($J35="",#N/A,SUM(DA$4:DA35))</f>
        <v>0</v>
      </c>
      <c r="DC35" s="202">
        <f>IF($J35="",#N/A,SUM(DA$4:DA35,CY$4:CY35,CW$4:CW35))</f>
        <v>0</v>
      </c>
      <c r="DD35" s="200" t="str">
        <f t="shared" si="48"/>
        <v/>
      </c>
      <c r="DE35" s="200">
        <f>IF($J35="",#N/A,SUM(DD$4:DD35))</f>
        <v>0</v>
      </c>
      <c r="DF35" s="201" t="str">
        <f t="shared" si="49"/>
        <v/>
      </c>
      <c r="DG35" s="201">
        <f>IF($J35="",#N/A,SUM(DF$4:DF35))</f>
        <v>0.6788440567066546</v>
      </c>
      <c r="DH35" s="202" t="str">
        <f t="shared" si="50"/>
        <v/>
      </c>
      <c r="DI35" s="202">
        <f>IF($J35="",#N/A,SUM(DH$4:DH35))</f>
        <v>0</v>
      </c>
      <c r="DJ35" s="202">
        <f>IF($J35="",#N/A,SUM(DH$4:DH35,DF$4:DF35,DD$4:DD35))</f>
        <v>0.6788440567066546</v>
      </c>
      <c r="DK35" s="200" t="str">
        <f t="shared" si="51"/>
        <v/>
      </c>
      <c r="DL35" s="200">
        <f>IF($J35="",#N/A,SUM(DK$4:DK35))</f>
        <v>0</v>
      </c>
      <c r="DM35" s="201" t="str">
        <f t="shared" si="52"/>
        <v/>
      </c>
      <c r="DN35" s="201">
        <f>IF($J35="",#N/A,SUM(DM$4:DM35))</f>
        <v>0.36227168206863897</v>
      </c>
      <c r="DO35" s="202" t="str">
        <f t="shared" si="53"/>
        <v/>
      </c>
      <c r="DP35" s="202">
        <f>IF($J35="",#N/A,SUM(DO$4:DO35))</f>
        <v>0</v>
      </c>
      <c r="DQ35" s="202">
        <f>IF($J35="",#N/A,SUM(DO$4:DO35,DM$4:DM35,DK$4:DK35))</f>
        <v>0.36227168206863897</v>
      </c>
      <c r="DR35" s="200" t="str">
        <f t="shared" si="54"/>
        <v/>
      </c>
      <c r="DS35" s="200">
        <f>IF($J35="",#N/A,SUM(DR$4:DR35))</f>
        <v>0</v>
      </c>
      <c r="DT35" s="201">
        <f t="shared" si="55"/>
        <v>0.51841085271317866</v>
      </c>
      <c r="DU35" s="201">
        <f>IF($J35="",#N/A,SUM(DT$4:DT35))</f>
        <v>-2.9817832752852991E-2</v>
      </c>
      <c r="DV35" s="202" t="str">
        <f t="shared" si="56"/>
        <v/>
      </c>
      <c r="DW35" s="202">
        <f>IF($J35="",#N/A,SUM(DV$4:DV35))</f>
        <v>-1.1023065046058436</v>
      </c>
      <c r="DX35" s="202">
        <f>IF($J35="",#N/A,SUM(DV$4:DV35,DT$4:DT35,DR$4:DR35))</f>
        <v>-1.1321243373586967</v>
      </c>
      <c r="DY35" s="200" t="str">
        <f t="shared" si="57"/>
        <v/>
      </c>
      <c r="DZ35" s="200">
        <f>IF($J35="",#N/A,SUM(DY$4:DY35))</f>
        <v>0</v>
      </c>
      <c r="EA35" s="201" t="str">
        <f t="shared" si="58"/>
        <v/>
      </c>
      <c r="EB35" s="201">
        <f>IF($J35="",#N/A,SUM(EA$4:EA35))</f>
        <v>0.43517953094202633</v>
      </c>
      <c r="EC35" s="202" t="str">
        <f t="shared" si="59"/>
        <v/>
      </c>
      <c r="ED35" s="202">
        <f>IF($J35="",#N/A,SUM(EC$4:EC35))</f>
        <v>0.52792722625163879</v>
      </c>
      <c r="EE35" s="202">
        <f>IF($J35="",#N/A,SUM(EC$4:EC35,EA$4:EA35,DY$4:DY35))</f>
        <v>0.96310675719366512</v>
      </c>
      <c r="EF35" s="200" t="str">
        <f t="shared" si="60"/>
        <v/>
      </c>
      <c r="EG35" s="200">
        <f>IF($J35="",#N/A,SUM(EF$4:EF35))</f>
        <v>0</v>
      </c>
      <c r="EH35" s="201" t="str">
        <f t="shared" si="61"/>
        <v/>
      </c>
      <c r="EI35" s="201">
        <f>IF($J35="",#N/A,SUM(EH$4:EH35))</f>
        <v>0</v>
      </c>
      <c r="EJ35" s="202" t="str">
        <f t="shared" si="62"/>
        <v/>
      </c>
      <c r="EK35" s="202">
        <f>IF($J35="",#N/A,SUM(EJ$4:EJ35))</f>
        <v>0.6035383334478206</v>
      </c>
      <c r="EL35" s="202">
        <f>IF($J35="",#N/A,SUM(EJ$4:EJ35,EH$4:EH35,EF$4:EF35))</f>
        <v>0.6035383334478206</v>
      </c>
      <c r="EM35" s="200" t="str">
        <f t="shared" si="63"/>
        <v/>
      </c>
      <c r="EN35" s="200">
        <f>IF($J35="",#N/A,SUM(EM$4:EM35))</f>
        <v>0</v>
      </c>
      <c r="EO35" s="201" t="str">
        <f t="shared" si="64"/>
        <v/>
      </c>
      <c r="EP35" s="201">
        <f>IF($J35="",#N/A,SUM(EO$4:EO35))</f>
        <v>0</v>
      </c>
      <c r="EQ35" s="202" t="str">
        <f t="shared" si="65"/>
        <v/>
      </c>
      <c r="ER35" s="202">
        <f>IF($J35="",#N/A,SUM(EQ$4:EQ35))</f>
        <v>0</v>
      </c>
      <c r="ES35" s="202">
        <f>IF($J35="",#N/A,SUM(EQ$4:EQ35,EO$4:EO35,EM$4:EM35))</f>
        <v>0</v>
      </c>
      <c r="ET35" s="200" t="str">
        <f t="shared" si="66"/>
        <v/>
      </c>
      <c r="EU35" s="200">
        <f>IF($J35="",#N/A,SUM(ET$4:ET35))</f>
        <v>0</v>
      </c>
      <c r="EV35" s="201" t="str">
        <f t="shared" si="67"/>
        <v/>
      </c>
      <c r="EW35" s="201">
        <f>IF($J35="",#N/A,SUM(EV$4:EV35))</f>
        <v>0</v>
      </c>
      <c r="EX35" s="202" t="str">
        <f t="shared" si="68"/>
        <v/>
      </c>
      <c r="EY35" s="202">
        <f>IF($J35="",#N/A,SUM(EX$4:EX35))</f>
        <v>0</v>
      </c>
      <c r="EZ35" s="202">
        <f>IF($J35="",#N/A,SUM(EX$4:EX35,EV$4:EV35,ET$4:ET35))</f>
        <v>0</v>
      </c>
      <c r="FA35" s="200" t="str">
        <f t="shared" si="69"/>
        <v/>
      </c>
      <c r="FB35" s="200">
        <f>IF($J35="",#N/A,SUM(FA$4:FA35))</f>
        <v>0</v>
      </c>
      <c r="FC35" s="201" t="str">
        <f t="shared" si="70"/>
        <v/>
      </c>
      <c r="FD35" s="201">
        <f>IF($J35="",#N/A,SUM(FC$4:FC35))</f>
        <v>0</v>
      </c>
      <c r="FE35" s="202" t="str">
        <f t="shared" si="71"/>
        <v/>
      </c>
      <c r="FF35" s="202">
        <f>IF($J35="",#N/A,SUM(FE$4:FE35))</f>
        <v>-0.11131725417439868</v>
      </c>
      <c r="FG35" s="202">
        <f>IF($J35="",#N/A,SUM(FE$4:FE35,FC$4:FC35,FA$4:FA35))</f>
        <v>-0.11131725417439868</v>
      </c>
      <c r="FH35" s="200" t="str">
        <f t="shared" si="72"/>
        <v/>
      </c>
      <c r="FI35" s="200">
        <f>IF($J35="",#N/A,SUM(FH$4:FH35))</f>
        <v>0</v>
      </c>
      <c r="FJ35" s="201" t="str">
        <f t="shared" si="73"/>
        <v/>
      </c>
      <c r="FK35" s="201">
        <f>IF($J35="",#N/A,SUM(FJ$4:FJ35))</f>
        <v>0</v>
      </c>
      <c r="FL35" s="202" t="str">
        <f t="shared" si="74"/>
        <v/>
      </c>
      <c r="FM35" s="202">
        <f>IF($J35="",#N/A,SUM(FL$4:FL35))</f>
        <v>0</v>
      </c>
      <c r="FN35" s="202">
        <f>IF($J35="",#N/A,SUM(FL$4:FL35,FJ$4:FJ35,FH$4:FH35))</f>
        <v>0</v>
      </c>
      <c r="FO35" s="200" t="str">
        <f t="shared" si="75"/>
        <v/>
      </c>
      <c r="FP35" s="200">
        <f>IF($J35="",#N/A,SUM(FO$4:FO35))</f>
        <v>0</v>
      </c>
      <c r="FQ35" s="201" t="str">
        <f t="shared" si="76"/>
        <v/>
      </c>
      <c r="FR35" s="201">
        <f>IF($J35="",#N/A,SUM(FQ$4:FQ35))</f>
        <v>0</v>
      </c>
      <c r="FS35" s="202" t="str">
        <f t="shared" si="77"/>
        <v/>
      </c>
      <c r="FT35" s="202">
        <f>IF($J35="",#N/A,SUM(FS$4:FS35))</f>
        <v>0</v>
      </c>
      <c r="FU35" s="202">
        <f>IF($J35="",#N/A,SUM(FS$4:FS35,FQ$4:FQ35,FO$4:FO35))</f>
        <v>0</v>
      </c>
      <c r="FV35" s="200" t="str">
        <f t="shared" si="78"/>
        <v/>
      </c>
      <c r="FW35" s="200">
        <f>IF($J35="",#N/A,SUM(FV$4:FV35))</f>
        <v>0</v>
      </c>
      <c r="FX35" s="201" t="str">
        <f t="shared" si="79"/>
        <v/>
      </c>
      <c r="FY35" s="201">
        <f>IF($J35="",#N/A,SUM(FX$4:FX35))</f>
        <v>0</v>
      </c>
      <c r="FZ35" s="202" t="str">
        <f t="shared" si="80"/>
        <v/>
      </c>
      <c r="GA35" s="202">
        <f>IF($J35="",#N/A,SUM(FZ$4:FZ35))</f>
        <v>0.70318817588636717</v>
      </c>
      <c r="GB35" s="202">
        <f>IF($J35="",#N/A,SUM(FZ$4:FZ35,FX$4:FX35,FV$4:FV35))</f>
        <v>0.70318817588636717</v>
      </c>
      <c r="GC35" s="200" t="str">
        <f t="shared" si="81"/>
        <v/>
      </c>
      <c r="GD35" s="200">
        <f>IF($J35="",#N/A,SUM(GC$4:GC35))</f>
        <v>0</v>
      </c>
      <c r="GE35" s="201" t="str">
        <f t="shared" si="82"/>
        <v/>
      </c>
      <c r="GF35" s="201">
        <f>IF($J35="",#N/A,SUM(GE$4:GE35))</f>
        <v>0</v>
      </c>
      <c r="GG35" s="202" t="str">
        <f t="shared" si="83"/>
        <v/>
      </c>
      <c r="GH35" s="202">
        <f>IF($J35="",#N/A,SUM(GG$4:GG35))</f>
        <v>-2.9368362277223206</v>
      </c>
      <c r="GI35" s="202">
        <f>IF($J35="",#N/A,SUM(GG$4:GG35,GE$4:GE35,GC$4:GC35))</f>
        <v>-2.9368362277223206</v>
      </c>
      <c r="GJ35" s="200" t="str">
        <f t="shared" si="84"/>
        <v/>
      </c>
      <c r="GK35" s="200">
        <f>IF($J35="",#N/A,SUM(GJ$4:GJ35))</f>
        <v>0</v>
      </c>
      <c r="GL35" s="201" t="str">
        <f t="shared" si="85"/>
        <v/>
      </c>
      <c r="GM35" s="201">
        <f>IF($J35="",#N/A,SUM(GL$4:GL35))</f>
        <v>-0.55016731892688953</v>
      </c>
      <c r="GN35" s="202" t="str">
        <f t="shared" si="86"/>
        <v/>
      </c>
      <c r="GO35" s="202">
        <f>IF($J35="",#N/A,SUM(GN$4:GN35))</f>
        <v>0</v>
      </c>
      <c r="GP35" s="202">
        <f>IF($J35="",#N/A,SUM(GN$4:GN35,GL$4:GL35,GJ$4:GJ35))</f>
        <v>-0.55016731892688953</v>
      </c>
      <c r="GS35" s="54">
        <f t="shared" si="105"/>
        <v>0.51841085271317866</v>
      </c>
      <c r="GT35" s="54">
        <f>IF(GS35="",NA(),SUM($GS$4:GS35))</f>
        <v>-1.4194961328791575</v>
      </c>
      <c r="GU35" s="54" t="str">
        <f t="shared" si="87"/>
        <v/>
      </c>
      <c r="GV35" s="54" t="e">
        <f>IF(GU35="",NA(),SUM($GU$4:GU35))</f>
        <v>#N/A</v>
      </c>
      <c r="GW35" s="54" t="str">
        <f t="shared" si="88"/>
        <v/>
      </c>
      <c r="GX35" s="54" t="e">
        <f>IF(GW35="",NA(),SUM($GW$4:GW35))</f>
        <v>#N/A</v>
      </c>
      <c r="GY35" s="54">
        <f t="shared" si="89"/>
        <v>0.51841085271317866</v>
      </c>
      <c r="GZ35" s="54">
        <f>IF(GY35="",NA(),SUM($GY$4:GY35))</f>
        <v>0.89631011803757732</v>
      </c>
      <c r="HA35" s="54" t="str">
        <f t="shared" si="90"/>
        <v/>
      </c>
      <c r="HB35" s="54" t="e">
        <f>IF(HA35="",NA(),SUM($HA$4:HA35))</f>
        <v>#N/A</v>
      </c>
      <c r="HC35" s="54" t="str">
        <f t="shared" si="91"/>
        <v/>
      </c>
      <c r="HD35" s="54" t="e">
        <f>IF(HC35="",NA(),SUM($HC$4:HC35))</f>
        <v>#N/A</v>
      </c>
      <c r="HE35" s="54" t="str">
        <f t="shared" si="92"/>
        <v/>
      </c>
      <c r="HF35" s="54" t="e">
        <f>IF(HE35="",NA(),SUM($HE$4:HE35))</f>
        <v>#N/A</v>
      </c>
      <c r="HG35" s="54" t="str">
        <f t="shared" si="93"/>
        <v/>
      </c>
      <c r="HH35" s="54" t="e">
        <f>IF(HG35="",NA(),SUM($HG$4:HG35))</f>
        <v>#N/A</v>
      </c>
      <c r="HI35" s="172">
        <f t="shared" si="106"/>
        <v>-0.39728682170542673</v>
      </c>
      <c r="HJ35" s="172">
        <f>IF($J35="",#N/A,SUM(HI$4:$HI35))</f>
        <v>-0.84321683845460527</v>
      </c>
      <c r="HK35" s="54" t="str">
        <f t="shared" si="94"/>
        <v/>
      </c>
      <c r="HL35" s="54">
        <f>IF($J35="",#N/A,SUM($HK$4:HK35))</f>
        <v>-2.5263252565415297</v>
      </c>
      <c r="HM35" s="54" t="str">
        <f t="shared" si="95"/>
        <v/>
      </c>
      <c r="HN35" s="54">
        <f>IF($J35="",#N/A,SUM($HM$4:HM35))</f>
        <v>0</v>
      </c>
      <c r="HO35" s="54" t="str">
        <f t="shared" si="96"/>
        <v/>
      </c>
      <c r="HP35" s="54">
        <f>IF($J35="",#N/A,SUM($HO$4:HO35))</f>
        <v>0</v>
      </c>
      <c r="HQ35" s="54" t="str">
        <f t="shared" si="97"/>
        <v/>
      </c>
      <c r="HR35" s="54">
        <f>IF($J35="",#N/A,SUM($HQ$4:HQ35))</f>
        <v>-1.8691832525259011</v>
      </c>
      <c r="HS35" s="54" t="str">
        <f t="shared" si="98"/>
        <v/>
      </c>
      <c r="HT35" s="54">
        <f>IF($J35="",#N/A,SUM($HS$4:HS35))</f>
        <v>4.8476904658045576</v>
      </c>
      <c r="HU35" s="65">
        <f t="shared" si="99"/>
        <v>0.12112403100775194</v>
      </c>
      <c r="HV35" s="65">
        <f>IF($J35="",#N/A,SUM(HU$4:$HU35))</f>
        <v>-1.8105310145966371</v>
      </c>
    </row>
    <row r="36" spans="1:230" x14ac:dyDescent="0.25">
      <c r="A36" s="51" t="s">
        <v>1532</v>
      </c>
      <c r="B36" s="52" t="s">
        <v>4483</v>
      </c>
      <c r="C36" s="229">
        <f t="shared" si="0"/>
        <v>2</v>
      </c>
      <c r="D36" s="219" t="str">
        <f>_xlfn.XLOOKUP(A36,[1]SP500!$A$2:$A$502,[1]SP500!$D$2:$D$502,"N")</f>
        <v>Y</v>
      </c>
      <c r="E36" s="51" t="str">
        <f>IFERROR(_xlfn.XLOOKUP(A36,[1]SP500!$A$2:$A$655,[1]SP500!$B$2:$B$655),"")</f>
        <v>XLF</v>
      </c>
      <c r="F36" s="53">
        <v>45764</v>
      </c>
      <c r="G36" s="51" t="str">
        <f t="shared" si="1"/>
        <v>BMO</v>
      </c>
      <c r="H36" s="51" t="str">
        <f t="shared" si="2"/>
        <v>s</v>
      </c>
      <c r="I36" s="343">
        <v>14.07</v>
      </c>
      <c r="J36" s="124">
        <v>14.5</v>
      </c>
      <c r="K36" s="55">
        <f t="shared" si="3"/>
        <v>3.0561478322672333E-2</v>
      </c>
      <c r="L36" s="67">
        <f t="shared" si="4"/>
        <v>-34.400000000000091</v>
      </c>
      <c r="M36" s="57">
        <f t="shared" si="5"/>
        <v>0</v>
      </c>
      <c r="N36" s="155">
        <f t="shared" si="6"/>
        <v>-34.400000000000091</v>
      </c>
      <c r="O36" s="156">
        <f>IF(N36="",#N/A,SUM($N$4:N36))</f>
        <v>-131.36462593337046</v>
      </c>
      <c r="P36" s="65">
        <f t="shared" si="100"/>
        <v>-0.5093579720445407</v>
      </c>
      <c r="Q36" s="172">
        <f>IF($N36="",#N/A,SUM($P$4:P36))</f>
        <v>-1.9288541049236982</v>
      </c>
      <c r="R36" s="279">
        <f t="shared" si="7"/>
        <v>0.92145109956131166</v>
      </c>
      <c r="S36" s="51" t="str">
        <f t="shared" si="8"/>
        <v>Dwn</v>
      </c>
      <c r="T36" s="51" t="s">
        <v>4461</v>
      </c>
      <c r="U36" s="56">
        <f t="shared" si="9"/>
        <v>14.07</v>
      </c>
      <c r="V36" s="56" t="s">
        <v>4458</v>
      </c>
      <c r="W36" s="142">
        <v>80</v>
      </c>
      <c r="X36" s="145">
        <f t="shared" si="10"/>
        <v>1125.5999999999999</v>
      </c>
      <c r="Y36" s="140">
        <f t="shared" si="11"/>
        <v>80</v>
      </c>
      <c r="Z36" s="123">
        <v>14.5</v>
      </c>
      <c r="AA36" s="102">
        <f t="shared" si="12"/>
        <v>-34.400000000000091</v>
      </c>
      <c r="AB36" s="102">
        <f t="shared" si="13"/>
        <v>-16</v>
      </c>
      <c r="AC36" s="124">
        <v>14.27</v>
      </c>
      <c r="AD36" s="155">
        <f t="shared" si="14"/>
        <v>-16</v>
      </c>
      <c r="AE36" s="545">
        <f t="shared" si="15"/>
        <v>-0.23691068467187876</v>
      </c>
      <c r="AF36" s="57">
        <f>IF($AC36="",#N/A,SUM(AD$4:AD36))</f>
        <v>-137.45967140832556</v>
      </c>
      <c r="AG36" s="102">
        <f t="shared" si="16"/>
        <v>18.400000000000091</v>
      </c>
      <c r="AH36" s="56" t="s">
        <v>2507</v>
      </c>
      <c r="AI36" s="65">
        <f t="shared" si="17"/>
        <v>-0.5093579720445407</v>
      </c>
      <c r="AJ36" s="54">
        <f>IF(AI36="",#N/A,SUM($AI$4:AI36))</f>
        <v>-2.8503052044850099</v>
      </c>
      <c r="AK36" s="57">
        <f t="shared" si="18"/>
        <v>-34.400000000000091</v>
      </c>
      <c r="AL36" s="58">
        <f>IF(AI36="",#N/A,IF(AH36="Skip",SUM($AK$4:AK36),SUM($AK$4:AK36)))</f>
        <v>-196.38499999999942</v>
      </c>
      <c r="AM36" s="65">
        <f t="shared" si="101"/>
        <v>-0.23691068467187876</v>
      </c>
      <c r="AN36" s="209"/>
      <c r="AO36" s="65" t="str">
        <f t="shared" si="19"/>
        <v/>
      </c>
      <c r="AP36" s="65">
        <f>IF($AC36="",#N/A,SUM(AO$4:AO36))</f>
        <v>0.66270096236192022</v>
      </c>
      <c r="AQ36" s="65" t="str">
        <f t="shared" si="20"/>
        <v/>
      </c>
      <c r="AR36" s="65">
        <f>IF($AC36="",#N/A,SUM(AQ$4:AQ36))</f>
        <v>0</v>
      </c>
      <c r="AS36" s="65">
        <f t="shared" si="21"/>
        <v>-0.23691068467187876</v>
      </c>
      <c r="AT36" s="65">
        <f>IF($AC36="",#N/A,SUM(AS$4:AS36))</f>
        <v>-2.7101426616304369</v>
      </c>
      <c r="AU36" s="57" t="str">
        <f t="shared" si="102"/>
        <v/>
      </c>
      <c r="AV36" s="57">
        <f>IF($AC36="",#N/A,SUM(AU$4:AU36))</f>
        <v>26.67870149449061</v>
      </c>
      <c r="AW36" s="57" t="str">
        <f t="shared" si="103"/>
        <v/>
      </c>
      <c r="AX36" s="57">
        <f>IF($AC36="",#N/A,SUM(AW$4:AW36))</f>
        <v>0</v>
      </c>
      <c r="AY36" s="56">
        <f t="shared" si="104"/>
        <v>-16</v>
      </c>
      <c r="AZ36" s="57">
        <f>IF($AC36="",#N/A,SUM(AY$4:AY36))</f>
        <v>-164.13837290281617</v>
      </c>
      <c r="BA36" s="57">
        <f>IF(AD36="",#N/A,SUM($AD$4:AD36))</f>
        <v>-137.45967140832556</v>
      </c>
      <c r="BC36" s="51" t="str">
        <f t="shared" si="22"/>
        <v/>
      </c>
      <c r="BD36" s="51">
        <f t="shared" si="23"/>
        <v>1</v>
      </c>
      <c r="BE36" s="51" t="str">
        <f t="shared" si="24"/>
        <v/>
      </c>
      <c r="BF36" s="51" t="str">
        <f t="shared" si="25"/>
        <v>Short</v>
      </c>
      <c r="BG36" s="51" t="str">
        <f t="shared" si="26"/>
        <v/>
      </c>
      <c r="BH36" s="51" t="str">
        <f t="shared" si="27"/>
        <v/>
      </c>
      <c r="BI36" s="51" t="str">
        <f t="shared" si="28"/>
        <v/>
      </c>
      <c r="BK36" s="184"/>
      <c r="BL36" s="65">
        <f t="shared" si="107"/>
        <v>-2.4691063340222311E-2</v>
      </c>
      <c r="BM36" s="65">
        <f>IFERROR(Q36/COUNTA($J$4:J36),#N/A)</f>
        <v>-5.8450124391627223E-2</v>
      </c>
      <c r="BO36" s="489" t="e">
        <f>IF(J36="",#N/A,IF(S36="SW",(COUNTIFS(K$4:$K36,"&gt;0",S$4:$S36,"SW")/COUNTIF(S$4:$S36,"SW")),#N/A))</f>
        <v>#N/A</v>
      </c>
      <c r="BP36" s="489">
        <f>IF($J36="",#N/A,IF($S36="DWN",(COUNTIFS($K$4:$K36,"&lt;0",$S$4:$S36,"DWN")/COUNTIF($S$4:$S36,"DWN")),#N/A))</f>
        <v>0.6428571428571429</v>
      </c>
      <c r="BQ36" s="489" t="e">
        <f>IF($J36="",#N/A,IF($S36="UP",(COUNTIFS($K$4:$K36,"&gt;0",$S$4:$S36,"UP")/COUNTIF($S$4:$S36,"UP")),#N/A))</f>
        <v>#N/A</v>
      </c>
      <c r="BR36" s="489">
        <f>IF(J36="",#N/A,COUNTIF($K$4:K36,"&gt;0")/COUNT($J$4:J36))</f>
        <v>0.42424242424242425</v>
      </c>
      <c r="BS36" s="65" t="str">
        <f t="shared" si="29"/>
        <v/>
      </c>
      <c r="BT36" s="65" t="str">
        <f t="shared" si="30"/>
        <v/>
      </c>
      <c r="BU36" s="65" t="str">
        <f t="shared" si="31"/>
        <v/>
      </c>
      <c r="BV36" s="65">
        <f t="shared" si="32"/>
        <v>-0.5093579720445407</v>
      </c>
      <c r="BW36" s="151" t="str">
        <f t="shared" si="33"/>
        <v/>
      </c>
      <c r="BX36" s="151">
        <f>IF($J36="",#N/A,SUM($BW$4:BW36))</f>
        <v>0</v>
      </c>
      <c r="BY36" s="152">
        <f t="shared" si="34"/>
        <v>-34.400000000000091</v>
      </c>
      <c r="BZ36" s="152">
        <f>IF($J36="",#N/A,SUM($BY$4:BY36))</f>
        <v>24.256280468504087</v>
      </c>
      <c r="CA36" s="153" t="str">
        <f t="shared" si="35"/>
        <v/>
      </c>
      <c r="CB36" s="154">
        <f>IF($J36="",#N/A,SUM($CA$4:CA36))</f>
        <v>-155.62090640187455</v>
      </c>
      <c r="CC36" s="191" t="str">
        <f t="shared" si="36"/>
        <v/>
      </c>
      <c r="CD36" s="191">
        <f>IF($J36="",#N/A,SUM($CC$4:CC36))</f>
        <v>0</v>
      </c>
      <c r="CE36" s="192">
        <f t="shared" si="37"/>
        <v>-0.5093579720445407</v>
      </c>
      <c r="CF36" s="192">
        <f>IF($J36="",#N/A,SUM($CE$4:CE36))</f>
        <v>0.38695214599303662</v>
      </c>
      <c r="CG36" s="193" t="str">
        <f t="shared" si="38"/>
        <v/>
      </c>
      <c r="CH36" s="193">
        <f>IF($J36="",#N/A,SUM($CG$4:CG36))</f>
        <v>-2.3158062509167356</v>
      </c>
      <c r="CI36" s="200" t="str">
        <f t="shared" si="39"/>
        <v/>
      </c>
      <c r="CJ36" s="200">
        <f>IF($J36="",#N/A,SUM(CI$4:CI36))</f>
        <v>0</v>
      </c>
      <c r="CK36" s="201" t="str">
        <f t="shared" si="40"/>
        <v/>
      </c>
      <c r="CL36" s="201">
        <f>IF($J36="",#N/A,SUM(CK$4:CK36))</f>
        <v>0</v>
      </c>
      <c r="CM36" s="202" t="str">
        <f t="shared" si="41"/>
        <v/>
      </c>
      <c r="CN36" s="202">
        <f>IF($J36="",#N/A,SUM(CM$4:CM36))</f>
        <v>0</v>
      </c>
      <c r="CO36" s="202">
        <f>IF($J36="",#N/A,SUM(CM$4:CM36,CK$4:CK36,CI$4:CI36))</f>
        <v>0</v>
      </c>
      <c r="CP36" s="200" t="str">
        <f t="shared" si="42"/>
        <v/>
      </c>
      <c r="CQ36" s="200">
        <f>IF($J36="",#N/A,SUM(CP$4:CP36))</f>
        <v>0</v>
      </c>
      <c r="CR36" s="201" t="str">
        <f t="shared" si="43"/>
        <v/>
      </c>
      <c r="CS36" s="201">
        <f>IF($J36="",#N/A,SUM(CR$4:CR36))</f>
        <v>0</v>
      </c>
      <c r="CT36" s="202" t="str">
        <f t="shared" si="44"/>
        <v/>
      </c>
      <c r="CU36" s="202">
        <f>IF($J36="",#N/A,SUM(CT$4:CT36))</f>
        <v>0</v>
      </c>
      <c r="CV36" s="202">
        <f>IF($J36="",#N/A,SUM(CT$4:CT36,CR$4:CR36,CP$4:CP36))</f>
        <v>0</v>
      </c>
      <c r="CW36" s="200" t="str">
        <f t="shared" si="45"/>
        <v/>
      </c>
      <c r="CX36" s="200">
        <f>IF($J36="",#N/A,SUM(CW$4:CW36))</f>
        <v>0</v>
      </c>
      <c r="CY36" s="201" t="str">
        <f t="shared" si="46"/>
        <v/>
      </c>
      <c r="CZ36" s="201">
        <f>IF($J36="",#N/A,SUM(CY$4:CY36))</f>
        <v>0</v>
      </c>
      <c r="DA36" s="202" t="str">
        <f t="shared" si="47"/>
        <v/>
      </c>
      <c r="DB36" s="202">
        <f>IF($J36="",#N/A,SUM(DA$4:DA36))</f>
        <v>0</v>
      </c>
      <c r="DC36" s="202">
        <f>IF($J36="",#N/A,SUM(DA$4:DA36,CY$4:CY36,CW$4:CW36))</f>
        <v>0</v>
      </c>
      <c r="DD36" s="200" t="str">
        <f t="shared" si="48"/>
        <v/>
      </c>
      <c r="DE36" s="200">
        <f>IF($J36="",#N/A,SUM(DD$4:DD36))</f>
        <v>0</v>
      </c>
      <c r="DF36" s="201" t="str">
        <f t="shared" si="49"/>
        <v/>
      </c>
      <c r="DG36" s="201">
        <f>IF($J36="",#N/A,SUM(DF$4:DF36))</f>
        <v>0.6788440567066546</v>
      </c>
      <c r="DH36" s="202" t="str">
        <f t="shared" si="50"/>
        <v/>
      </c>
      <c r="DI36" s="202">
        <f>IF($J36="",#N/A,SUM(DH$4:DH36))</f>
        <v>0</v>
      </c>
      <c r="DJ36" s="202">
        <f>IF($J36="",#N/A,SUM(DH$4:DH36,DF$4:DF36,DD$4:DD36))</f>
        <v>0.6788440567066546</v>
      </c>
      <c r="DK36" s="200" t="str">
        <f t="shared" si="51"/>
        <v/>
      </c>
      <c r="DL36" s="200">
        <f>IF($J36="",#N/A,SUM(DK$4:DK36))</f>
        <v>0</v>
      </c>
      <c r="DM36" s="201" t="str">
        <f t="shared" si="52"/>
        <v/>
      </c>
      <c r="DN36" s="201">
        <f>IF($J36="",#N/A,SUM(DM$4:DM36))</f>
        <v>0.36227168206863897</v>
      </c>
      <c r="DO36" s="202" t="str">
        <f t="shared" si="53"/>
        <v/>
      </c>
      <c r="DP36" s="202">
        <f>IF($J36="",#N/A,SUM(DO$4:DO36))</f>
        <v>0</v>
      </c>
      <c r="DQ36" s="202">
        <f>IF($J36="",#N/A,SUM(DO$4:DO36,DM$4:DM36,DK$4:DK36))</f>
        <v>0.36227168206863897</v>
      </c>
      <c r="DR36" s="200" t="str">
        <f t="shared" si="54"/>
        <v/>
      </c>
      <c r="DS36" s="200">
        <f>IF($J36="",#N/A,SUM(DR$4:DR36))</f>
        <v>0</v>
      </c>
      <c r="DT36" s="201">
        <f t="shared" si="55"/>
        <v>-0.5093579720445407</v>
      </c>
      <c r="DU36" s="201">
        <f>IF($J36="",#N/A,SUM(DT$4:DT36))</f>
        <v>-0.53917580479739369</v>
      </c>
      <c r="DV36" s="202" t="str">
        <f t="shared" si="56"/>
        <v/>
      </c>
      <c r="DW36" s="202">
        <f>IF($J36="",#N/A,SUM(DV$4:DV36))</f>
        <v>-1.1023065046058436</v>
      </c>
      <c r="DX36" s="202">
        <f>IF($J36="",#N/A,SUM(DV$4:DV36,DT$4:DT36,DR$4:DR36))</f>
        <v>-1.6414823094032374</v>
      </c>
      <c r="DY36" s="200" t="str">
        <f t="shared" si="57"/>
        <v/>
      </c>
      <c r="DZ36" s="200">
        <f>IF($J36="",#N/A,SUM(DY$4:DY36))</f>
        <v>0</v>
      </c>
      <c r="EA36" s="201" t="str">
        <f t="shared" si="58"/>
        <v/>
      </c>
      <c r="EB36" s="201">
        <f>IF($J36="",#N/A,SUM(EA$4:EA36))</f>
        <v>0.43517953094202633</v>
      </c>
      <c r="EC36" s="202" t="str">
        <f t="shared" si="59"/>
        <v/>
      </c>
      <c r="ED36" s="202">
        <f>IF($J36="",#N/A,SUM(EC$4:EC36))</f>
        <v>0.52792722625163879</v>
      </c>
      <c r="EE36" s="202">
        <f>IF($J36="",#N/A,SUM(EC$4:EC36,EA$4:EA36,DY$4:DY36))</f>
        <v>0.96310675719366512</v>
      </c>
      <c r="EF36" s="200" t="str">
        <f t="shared" si="60"/>
        <v/>
      </c>
      <c r="EG36" s="200">
        <f>IF($J36="",#N/A,SUM(EF$4:EF36))</f>
        <v>0</v>
      </c>
      <c r="EH36" s="201" t="str">
        <f t="shared" si="61"/>
        <v/>
      </c>
      <c r="EI36" s="201">
        <f>IF($J36="",#N/A,SUM(EH$4:EH36))</f>
        <v>0</v>
      </c>
      <c r="EJ36" s="202" t="str">
        <f t="shared" si="62"/>
        <v/>
      </c>
      <c r="EK36" s="202">
        <f>IF($J36="",#N/A,SUM(EJ$4:EJ36))</f>
        <v>0.6035383334478206</v>
      </c>
      <c r="EL36" s="202">
        <f>IF($J36="",#N/A,SUM(EJ$4:EJ36,EH$4:EH36,EF$4:EF36))</f>
        <v>0.6035383334478206</v>
      </c>
      <c r="EM36" s="200" t="str">
        <f t="shared" si="63"/>
        <v/>
      </c>
      <c r="EN36" s="200">
        <f>IF($J36="",#N/A,SUM(EM$4:EM36))</f>
        <v>0</v>
      </c>
      <c r="EO36" s="201" t="str">
        <f t="shared" si="64"/>
        <v/>
      </c>
      <c r="EP36" s="201">
        <f>IF($J36="",#N/A,SUM(EO$4:EO36))</f>
        <v>0</v>
      </c>
      <c r="EQ36" s="202" t="str">
        <f t="shared" si="65"/>
        <v/>
      </c>
      <c r="ER36" s="202">
        <f>IF($J36="",#N/A,SUM(EQ$4:EQ36))</f>
        <v>0</v>
      </c>
      <c r="ES36" s="202">
        <f>IF($J36="",#N/A,SUM(EQ$4:EQ36,EO$4:EO36,EM$4:EM36))</f>
        <v>0</v>
      </c>
      <c r="ET36" s="200" t="str">
        <f t="shared" si="66"/>
        <v/>
      </c>
      <c r="EU36" s="200">
        <f>IF($J36="",#N/A,SUM(ET$4:ET36))</f>
        <v>0</v>
      </c>
      <c r="EV36" s="201" t="str">
        <f t="shared" si="67"/>
        <v/>
      </c>
      <c r="EW36" s="201">
        <f>IF($J36="",#N/A,SUM(EV$4:EV36))</f>
        <v>0</v>
      </c>
      <c r="EX36" s="202" t="str">
        <f t="shared" si="68"/>
        <v/>
      </c>
      <c r="EY36" s="202">
        <f>IF($J36="",#N/A,SUM(EX$4:EX36))</f>
        <v>0</v>
      </c>
      <c r="EZ36" s="202">
        <f>IF($J36="",#N/A,SUM(EX$4:EX36,EV$4:EV36,ET$4:ET36))</f>
        <v>0</v>
      </c>
      <c r="FA36" s="200" t="str">
        <f t="shared" si="69"/>
        <v/>
      </c>
      <c r="FB36" s="200">
        <f>IF($J36="",#N/A,SUM(FA$4:FA36))</f>
        <v>0</v>
      </c>
      <c r="FC36" s="201" t="str">
        <f t="shared" si="70"/>
        <v/>
      </c>
      <c r="FD36" s="201">
        <f>IF($J36="",#N/A,SUM(FC$4:FC36))</f>
        <v>0</v>
      </c>
      <c r="FE36" s="202" t="str">
        <f t="shared" si="71"/>
        <v/>
      </c>
      <c r="FF36" s="202">
        <f>IF($J36="",#N/A,SUM(FE$4:FE36))</f>
        <v>-0.11131725417439868</v>
      </c>
      <c r="FG36" s="202">
        <f>IF($J36="",#N/A,SUM(FE$4:FE36,FC$4:FC36,FA$4:FA36))</f>
        <v>-0.11131725417439868</v>
      </c>
      <c r="FH36" s="200" t="str">
        <f t="shared" si="72"/>
        <v/>
      </c>
      <c r="FI36" s="200">
        <f>IF($J36="",#N/A,SUM(FH$4:FH36))</f>
        <v>0</v>
      </c>
      <c r="FJ36" s="201" t="str">
        <f t="shared" si="73"/>
        <v/>
      </c>
      <c r="FK36" s="201">
        <f>IF($J36="",#N/A,SUM(FJ$4:FJ36))</f>
        <v>0</v>
      </c>
      <c r="FL36" s="202" t="str">
        <f t="shared" si="74"/>
        <v/>
      </c>
      <c r="FM36" s="202">
        <f>IF($J36="",#N/A,SUM(FL$4:FL36))</f>
        <v>0</v>
      </c>
      <c r="FN36" s="202">
        <f>IF($J36="",#N/A,SUM(FL$4:FL36,FJ$4:FJ36,FH$4:FH36))</f>
        <v>0</v>
      </c>
      <c r="FO36" s="200" t="str">
        <f t="shared" si="75"/>
        <v/>
      </c>
      <c r="FP36" s="200">
        <f>IF($J36="",#N/A,SUM(FO$4:FO36))</f>
        <v>0</v>
      </c>
      <c r="FQ36" s="201" t="str">
        <f t="shared" si="76"/>
        <v/>
      </c>
      <c r="FR36" s="201">
        <f>IF($J36="",#N/A,SUM(FQ$4:FQ36))</f>
        <v>0</v>
      </c>
      <c r="FS36" s="202" t="str">
        <f t="shared" si="77"/>
        <v/>
      </c>
      <c r="FT36" s="202">
        <f>IF($J36="",#N/A,SUM(FS$4:FS36))</f>
        <v>0</v>
      </c>
      <c r="FU36" s="202">
        <f>IF($J36="",#N/A,SUM(FS$4:FS36,FQ$4:FQ36,FO$4:FO36))</f>
        <v>0</v>
      </c>
      <c r="FV36" s="200" t="str">
        <f t="shared" si="78"/>
        <v/>
      </c>
      <c r="FW36" s="200">
        <f>IF($J36="",#N/A,SUM(FV$4:FV36))</f>
        <v>0</v>
      </c>
      <c r="FX36" s="201" t="str">
        <f t="shared" si="79"/>
        <v/>
      </c>
      <c r="FY36" s="201">
        <f>IF($J36="",#N/A,SUM(FX$4:FX36))</f>
        <v>0</v>
      </c>
      <c r="FZ36" s="202" t="str">
        <f t="shared" si="80"/>
        <v/>
      </c>
      <c r="GA36" s="202">
        <f>IF($J36="",#N/A,SUM(FZ$4:FZ36))</f>
        <v>0.70318817588636717</v>
      </c>
      <c r="GB36" s="202">
        <f>IF($J36="",#N/A,SUM(FZ$4:FZ36,FX$4:FX36,FV$4:FV36))</f>
        <v>0.70318817588636717</v>
      </c>
      <c r="GC36" s="200" t="str">
        <f t="shared" si="81"/>
        <v/>
      </c>
      <c r="GD36" s="200">
        <f>IF($J36="",#N/A,SUM(GC$4:GC36))</f>
        <v>0</v>
      </c>
      <c r="GE36" s="201" t="str">
        <f t="shared" si="82"/>
        <v/>
      </c>
      <c r="GF36" s="201">
        <f>IF($J36="",#N/A,SUM(GE$4:GE36))</f>
        <v>0</v>
      </c>
      <c r="GG36" s="202" t="str">
        <f t="shared" si="83"/>
        <v/>
      </c>
      <c r="GH36" s="202">
        <f>IF($J36="",#N/A,SUM(GG$4:GG36))</f>
        <v>-2.9368362277223206</v>
      </c>
      <c r="GI36" s="202">
        <f>IF($J36="",#N/A,SUM(GG$4:GG36,GE$4:GE36,GC$4:GC36))</f>
        <v>-2.9368362277223206</v>
      </c>
      <c r="GJ36" s="200" t="str">
        <f t="shared" si="84"/>
        <v/>
      </c>
      <c r="GK36" s="200">
        <f>IF($J36="",#N/A,SUM(GJ$4:GJ36))</f>
        <v>0</v>
      </c>
      <c r="GL36" s="201" t="str">
        <f t="shared" si="85"/>
        <v/>
      </c>
      <c r="GM36" s="201">
        <f>IF($J36="",#N/A,SUM(GL$4:GL36))</f>
        <v>-0.55016731892688953</v>
      </c>
      <c r="GN36" s="202" t="str">
        <f t="shared" si="86"/>
        <v/>
      </c>
      <c r="GO36" s="202">
        <f>IF($J36="",#N/A,SUM(GN$4:GN36))</f>
        <v>0</v>
      </c>
      <c r="GP36" s="202">
        <f>IF($J36="",#N/A,SUM(GN$4:GN36,GL$4:GL36,GJ$4:GJ36))</f>
        <v>-0.55016731892688953</v>
      </c>
      <c r="GS36" s="54">
        <f t="shared" si="105"/>
        <v>-0.5093579720445407</v>
      </c>
      <c r="GT36" s="54">
        <f>IF(GS36="",NA(),SUM($GS$4:GS36))</f>
        <v>-1.9288541049236982</v>
      </c>
      <c r="GU36" s="54" t="str">
        <f t="shared" si="87"/>
        <v/>
      </c>
      <c r="GV36" s="54" t="e">
        <f>IF(GU36="",NA(),SUM($GU$4:GU36))</f>
        <v>#N/A</v>
      </c>
      <c r="GW36" s="54" t="str">
        <f t="shared" si="88"/>
        <v/>
      </c>
      <c r="GX36" s="54" t="e">
        <f>IF(GW36="",NA(),SUM($GW$4:GW36))</f>
        <v>#N/A</v>
      </c>
      <c r="GY36" s="54">
        <f t="shared" si="89"/>
        <v>-0.5093579720445407</v>
      </c>
      <c r="GZ36" s="54">
        <f>IF(GY36="",NA(),SUM($GY$4:GY36))</f>
        <v>0.38695214599303662</v>
      </c>
      <c r="HA36" s="54" t="str">
        <f t="shared" si="90"/>
        <v/>
      </c>
      <c r="HB36" s="54" t="e">
        <f>IF(HA36="",NA(),SUM($HA$4:HA36))</f>
        <v>#N/A</v>
      </c>
      <c r="HC36" s="54" t="str">
        <f t="shared" si="91"/>
        <v/>
      </c>
      <c r="HD36" s="54" t="e">
        <f>IF(HC36="",NA(),SUM($HC$4:HC36))</f>
        <v>#N/A</v>
      </c>
      <c r="HE36" s="54" t="str">
        <f t="shared" si="92"/>
        <v/>
      </c>
      <c r="HF36" s="54" t="e">
        <f>IF(HE36="",NA(),SUM($HE$4:HE36))</f>
        <v>#N/A</v>
      </c>
      <c r="HG36" s="54" t="str">
        <f t="shared" si="93"/>
        <v/>
      </c>
      <c r="HH36" s="54" t="e">
        <f>IF(HG36="",NA(),SUM($HG$4:HG36))</f>
        <v>#N/A</v>
      </c>
      <c r="HI36" s="172" t="str">
        <f t="shared" si="106"/>
        <v/>
      </c>
      <c r="HJ36" s="172">
        <f>IF($J36="",#N/A,SUM(HI$4:$HI36))</f>
        <v>-0.84321683845460527</v>
      </c>
      <c r="HK36" s="54">
        <f t="shared" si="94"/>
        <v>0.27244728737266194</v>
      </c>
      <c r="HL36" s="54">
        <f>IF($J36="",#N/A,SUM($HK$4:HK36))</f>
        <v>-2.253877969168868</v>
      </c>
      <c r="HM36" s="54" t="str">
        <f t="shared" si="95"/>
        <v/>
      </c>
      <c r="HN36" s="54">
        <f>IF($J36="",#N/A,SUM($HM$4:HM36))</f>
        <v>0</v>
      </c>
      <c r="HO36" s="54" t="str">
        <f t="shared" si="96"/>
        <v/>
      </c>
      <c r="HP36" s="54">
        <f>IF($J36="",#N/A,SUM($HO$4:HO36))</f>
        <v>0</v>
      </c>
      <c r="HQ36" s="54" t="str">
        <f t="shared" si="97"/>
        <v/>
      </c>
      <c r="HR36" s="54">
        <f>IF($J36="",#N/A,SUM($HQ$4:HQ36))</f>
        <v>-1.8691832525259011</v>
      </c>
      <c r="HS36" s="54" t="str">
        <f t="shared" si="98"/>
        <v/>
      </c>
      <c r="HT36" s="54">
        <f>IF($J36="",#N/A,SUM($HS$4:HS36))</f>
        <v>4.8476904658045576</v>
      </c>
      <c r="HU36" s="65">
        <f t="shared" si="99"/>
        <v>-0.23691068467187876</v>
      </c>
      <c r="HV36" s="65">
        <f>IF($J36="",#N/A,SUM(HU$4:$HU36))</f>
        <v>-2.047441699268516</v>
      </c>
    </row>
    <row r="37" spans="1:230" x14ac:dyDescent="0.25">
      <c r="A37" s="51" t="s">
        <v>1294</v>
      </c>
      <c r="B37" s="52" t="s">
        <v>4483</v>
      </c>
      <c r="C37" s="229">
        <f t="shared" si="0"/>
        <v>3</v>
      </c>
      <c r="D37" s="219" t="str">
        <f>_xlfn.XLOOKUP(A37,[1]SP500!$A$2:$A$502,[1]SP500!$D$2:$D$502,"N")</f>
        <v>Y</v>
      </c>
      <c r="E37" s="51" t="str">
        <f>IFERROR(_xlfn.XLOOKUP(A37,[1]SP500!$A$2:$A$655,[1]SP500!$B$2:$B$655),"")</f>
        <v>XLF</v>
      </c>
      <c r="F37" s="53">
        <v>45764</v>
      </c>
      <c r="G37" s="51" t="str">
        <f t="shared" si="1"/>
        <v>BMO</v>
      </c>
      <c r="H37" s="51" t="str">
        <f t="shared" si="2"/>
        <v>s</v>
      </c>
      <c r="I37" s="344">
        <v>252.92</v>
      </c>
      <c r="J37" s="123">
        <v>252.95</v>
      </c>
      <c r="K37" s="55">
        <f t="shared" si="3"/>
        <v>1.1861458168591309E-4</v>
      </c>
      <c r="L37" s="67">
        <f t="shared" si="4"/>
        <v>0.15000000000009095</v>
      </c>
      <c r="M37" s="57">
        <f t="shared" si="5"/>
        <v>8.2000000000000455</v>
      </c>
      <c r="N37" s="155">
        <f t="shared" si="6"/>
        <v>0.15000000000009095</v>
      </c>
      <c r="O37" s="156">
        <f>IF(N37="",#N/A,SUM($N$4:N37))</f>
        <v>-131.21462593337037</v>
      </c>
      <c r="P37" s="65">
        <f t="shared" si="100"/>
        <v>1.9769096947663419E-3</v>
      </c>
      <c r="Q37" s="172">
        <f>IF($N37="",#N/A,SUM($P$4:P37))</f>
        <v>-1.9268771952289319</v>
      </c>
      <c r="R37" s="279">
        <f t="shared" si="7"/>
        <v>0.81338003624748323</v>
      </c>
      <c r="S37" s="51" t="str">
        <f t="shared" si="8"/>
        <v>SW</v>
      </c>
      <c r="T37" s="51" t="s">
        <v>2828</v>
      </c>
      <c r="U37" s="56">
        <f t="shared" si="9"/>
        <v>252.92</v>
      </c>
      <c r="V37" s="56" t="s">
        <v>4460</v>
      </c>
      <c r="W37" s="142">
        <v>5</v>
      </c>
      <c r="X37" s="145">
        <f t="shared" si="10"/>
        <v>1264.5999999999999</v>
      </c>
      <c r="Y37" s="140">
        <f t="shared" si="11"/>
        <v>5</v>
      </c>
      <c r="Z37" s="123">
        <v>254.59</v>
      </c>
      <c r="AA37" s="102">
        <f t="shared" si="12"/>
        <v>8.3500000000001364</v>
      </c>
      <c r="AB37" s="102">
        <f t="shared" si="13"/>
        <v>-8.0499999999999545</v>
      </c>
      <c r="AC37" s="124">
        <v>251.31</v>
      </c>
      <c r="AD37" s="155">
        <f t="shared" si="14"/>
        <v>-8.0499999999999545</v>
      </c>
      <c r="AE37" s="545">
        <f t="shared" si="15"/>
        <v>-0.10609415361906209</v>
      </c>
      <c r="AF37" s="57">
        <f>IF($AC37="",#N/A,SUM(AD$4:AD37))</f>
        <v>-145.50967140832552</v>
      </c>
      <c r="AG37" s="102">
        <f t="shared" si="16"/>
        <v>-8.2000000000000455</v>
      </c>
      <c r="AH37" s="56" t="s">
        <v>2507</v>
      </c>
      <c r="AI37" s="65">
        <f t="shared" si="17"/>
        <v>0.11004797300859478</v>
      </c>
      <c r="AJ37" s="54">
        <f>IF(AI37="",#N/A,SUM($AI$4:AI37))</f>
        <v>-2.7402572314764151</v>
      </c>
      <c r="AK37" s="57">
        <f t="shared" si="18"/>
        <v>8.3500000000001364</v>
      </c>
      <c r="AL37" s="58">
        <f>IF(AI37="",#N/A,IF(AH37="Skip",SUM($AK$4:AK37),SUM($AK$4:AK37)))</f>
        <v>-188.03499999999929</v>
      </c>
      <c r="AM37" s="65">
        <f t="shared" si="101"/>
        <v>-0.10609415361906209</v>
      </c>
      <c r="AN37" s="209"/>
      <c r="AO37" s="65">
        <f t="shared" si="19"/>
        <v>-0.10609415361906209</v>
      </c>
      <c r="AP37" s="65">
        <f>IF($AC37="",#N/A,SUM(AO$4:AO37))</f>
        <v>0.55660680874285817</v>
      </c>
      <c r="AQ37" s="65" t="str">
        <f t="shared" si="20"/>
        <v/>
      </c>
      <c r="AR37" s="65">
        <f>IF($AC37="",#N/A,SUM(AQ$4:AQ37))</f>
        <v>0</v>
      </c>
      <c r="AS37" s="65" t="str">
        <f t="shared" si="21"/>
        <v/>
      </c>
      <c r="AT37" s="65">
        <f>IF($AC37="",#N/A,SUM(AS$4:AS37))</f>
        <v>-2.7101426616304369</v>
      </c>
      <c r="AU37" s="57">
        <f t="shared" si="102"/>
        <v>-8.0499999999999545</v>
      </c>
      <c r="AV37" s="57">
        <f>IF($AC37="",#N/A,SUM(AU$4:AU37))</f>
        <v>18.628701494490656</v>
      </c>
      <c r="AW37" s="57" t="str">
        <f t="shared" si="103"/>
        <v/>
      </c>
      <c r="AX37" s="57">
        <f>IF($AC37="",#N/A,SUM(AW$4:AW37))</f>
        <v>0</v>
      </c>
      <c r="AY37" s="56" t="str">
        <f t="shared" si="104"/>
        <v/>
      </c>
      <c r="AZ37" s="57">
        <f>IF($AC37="",#N/A,SUM(AY$4:AY37))</f>
        <v>-164.13837290281617</v>
      </c>
      <c r="BA37" s="57">
        <f>IF(AD37="",#N/A,SUM($AD$4:AD37))</f>
        <v>-145.50967140832552</v>
      </c>
      <c r="BC37" s="51" t="str">
        <f t="shared" si="22"/>
        <v/>
      </c>
      <c r="BD37" s="51" t="str">
        <f t="shared" si="23"/>
        <v/>
      </c>
      <c r="BE37" s="51">
        <f t="shared" si="24"/>
        <v>1</v>
      </c>
      <c r="BF37" s="51" t="str">
        <f t="shared" si="25"/>
        <v>Long</v>
      </c>
      <c r="BG37" s="51" t="str">
        <f t="shared" si="26"/>
        <v/>
      </c>
      <c r="BH37" s="51" t="str">
        <f t="shared" si="27"/>
        <v/>
      </c>
      <c r="BI37" s="51" t="str">
        <f t="shared" si="28"/>
        <v/>
      </c>
      <c r="BK37" s="184"/>
      <c r="BL37" s="65">
        <f t="shared" si="107"/>
        <v>-2.862169466584305E-2</v>
      </c>
      <c r="BM37" s="65">
        <f>IFERROR(Q37/COUNTA($J$4:J37),#N/A)</f>
        <v>-5.6672858683203875E-2</v>
      </c>
      <c r="BO37" s="489">
        <f>IF(J37="",#N/A,IF(S37="SW",(COUNTIFS(K$4:$K37,"&gt;0",S$4:$S37,"SW")/COUNTIF(S$4:$S37,"SW")),#N/A))</f>
        <v>0.5</v>
      </c>
      <c r="BP37" s="489" t="e">
        <f>IF($J37="",#N/A,IF($S37="DWN",(COUNTIFS($K$4:$K37,"&lt;0",$S$4:$S37,"DWN")/COUNTIF($S$4:$S37,"DWN")),#N/A))</f>
        <v>#N/A</v>
      </c>
      <c r="BQ37" s="489" t="e">
        <f>IF($J37="",#N/A,IF($S37="UP",(COUNTIFS($K$4:$K37,"&gt;0",$S$4:$S37,"UP")/COUNTIF($S$4:$S37,"UP")),#N/A))</f>
        <v>#N/A</v>
      </c>
      <c r="BR37" s="489">
        <f>IF(J37="",#N/A,COUNTIF($K$4:K37,"&gt;0")/COUNT($J$4:J37))</f>
        <v>0.44117647058823528</v>
      </c>
      <c r="BS37" s="65">
        <f t="shared" si="29"/>
        <v>1.9769096947663419E-3</v>
      </c>
      <c r="BT37" s="65" t="str">
        <f t="shared" si="30"/>
        <v/>
      </c>
      <c r="BU37" s="65" t="str">
        <f t="shared" si="31"/>
        <v/>
      </c>
      <c r="BV37" s="65" t="str">
        <f t="shared" si="32"/>
        <v/>
      </c>
      <c r="BW37" s="151" t="str">
        <f t="shared" si="33"/>
        <v/>
      </c>
      <c r="BX37" s="151">
        <f>IF($J37="",#N/A,SUM($BW$4:BW37))</f>
        <v>0</v>
      </c>
      <c r="BY37" s="152" t="str">
        <f t="shared" si="34"/>
        <v/>
      </c>
      <c r="BZ37" s="152">
        <f>IF($J37="",#N/A,SUM($BY$4:BY37))</f>
        <v>24.256280468504087</v>
      </c>
      <c r="CA37" s="153">
        <f t="shared" si="35"/>
        <v>0.15000000000009095</v>
      </c>
      <c r="CB37" s="154">
        <f>IF($J37="",#N/A,SUM($CA$4:CA37))</f>
        <v>-155.47090640187446</v>
      </c>
      <c r="CC37" s="191" t="str">
        <f t="shared" si="36"/>
        <v/>
      </c>
      <c r="CD37" s="191">
        <f>IF($J37="",#N/A,SUM($CC$4:CC37))</f>
        <v>0</v>
      </c>
      <c r="CE37" s="192" t="str">
        <f t="shared" si="37"/>
        <v/>
      </c>
      <c r="CF37" s="192">
        <f>IF($J37="",#N/A,SUM($CE$4:CE37))</f>
        <v>0.38695214599303662</v>
      </c>
      <c r="CG37" s="193">
        <f t="shared" si="38"/>
        <v>1.9769096947663419E-3</v>
      </c>
      <c r="CH37" s="193">
        <f>IF($J37="",#N/A,SUM($CG$4:CG37))</f>
        <v>-2.3138293412219695</v>
      </c>
      <c r="CI37" s="200" t="str">
        <f t="shared" si="39"/>
        <v/>
      </c>
      <c r="CJ37" s="200">
        <f>IF($J37="",#N/A,SUM(CI$4:CI37))</f>
        <v>0</v>
      </c>
      <c r="CK37" s="201" t="str">
        <f t="shared" si="40"/>
        <v/>
      </c>
      <c r="CL37" s="201">
        <f>IF($J37="",#N/A,SUM(CK$4:CK37))</f>
        <v>0</v>
      </c>
      <c r="CM37" s="202" t="str">
        <f t="shared" si="41"/>
        <v/>
      </c>
      <c r="CN37" s="202">
        <f>IF($J37="",#N/A,SUM(CM$4:CM37))</f>
        <v>0</v>
      </c>
      <c r="CO37" s="202">
        <f>IF($J37="",#N/A,SUM(CM$4:CM37,CK$4:CK37,CI$4:CI37))</f>
        <v>0</v>
      </c>
      <c r="CP37" s="200" t="str">
        <f t="shared" si="42"/>
        <v/>
      </c>
      <c r="CQ37" s="200">
        <f>IF($J37="",#N/A,SUM(CP$4:CP37))</f>
        <v>0</v>
      </c>
      <c r="CR37" s="201" t="str">
        <f t="shared" si="43"/>
        <v/>
      </c>
      <c r="CS37" s="201">
        <f>IF($J37="",#N/A,SUM(CR$4:CR37))</f>
        <v>0</v>
      </c>
      <c r="CT37" s="202" t="str">
        <f t="shared" si="44"/>
        <v/>
      </c>
      <c r="CU37" s="202">
        <f>IF($J37="",#N/A,SUM(CT$4:CT37))</f>
        <v>0</v>
      </c>
      <c r="CV37" s="202">
        <f>IF($J37="",#N/A,SUM(CT$4:CT37,CR$4:CR37,CP$4:CP37))</f>
        <v>0</v>
      </c>
      <c r="CW37" s="200" t="str">
        <f t="shared" si="45"/>
        <v/>
      </c>
      <c r="CX37" s="200">
        <f>IF($J37="",#N/A,SUM(CW$4:CW37))</f>
        <v>0</v>
      </c>
      <c r="CY37" s="201" t="str">
        <f t="shared" si="46"/>
        <v/>
      </c>
      <c r="CZ37" s="201">
        <f>IF($J37="",#N/A,SUM(CY$4:CY37))</f>
        <v>0</v>
      </c>
      <c r="DA37" s="202" t="str">
        <f t="shared" si="47"/>
        <v/>
      </c>
      <c r="DB37" s="202">
        <f>IF($J37="",#N/A,SUM(DA$4:DA37))</f>
        <v>0</v>
      </c>
      <c r="DC37" s="202">
        <f>IF($J37="",#N/A,SUM(DA$4:DA37,CY$4:CY37,CW$4:CW37))</f>
        <v>0</v>
      </c>
      <c r="DD37" s="200" t="str">
        <f t="shared" si="48"/>
        <v/>
      </c>
      <c r="DE37" s="200">
        <f>IF($J37="",#N/A,SUM(DD$4:DD37))</f>
        <v>0</v>
      </c>
      <c r="DF37" s="201" t="str">
        <f t="shared" si="49"/>
        <v/>
      </c>
      <c r="DG37" s="201">
        <f>IF($J37="",#N/A,SUM(DF$4:DF37))</f>
        <v>0.6788440567066546</v>
      </c>
      <c r="DH37" s="202" t="str">
        <f t="shared" si="50"/>
        <v/>
      </c>
      <c r="DI37" s="202">
        <f>IF($J37="",#N/A,SUM(DH$4:DH37))</f>
        <v>0</v>
      </c>
      <c r="DJ37" s="202">
        <f>IF($J37="",#N/A,SUM(DH$4:DH37,DF$4:DF37,DD$4:DD37))</f>
        <v>0.6788440567066546</v>
      </c>
      <c r="DK37" s="200" t="str">
        <f t="shared" si="51"/>
        <v/>
      </c>
      <c r="DL37" s="200">
        <f>IF($J37="",#N/A,SUM(DK$4:DK37))</f>
        <v>0</v>
      </c>
      <c r="DM37" s="201" t="str">
        <f t="shared" si="52"/>
        <v/>
      </c>
      <c r="DN37" s="201">
        <f>IF($J37="",#N/A,SUM(DM$4:DM37))</f>
        <v>0.36227168206863897</v>
      </c>
      <c r="DO37" s="202" t="str">
        <f t="shared" si="53"/>
        <v/>
      </c>
      <c r="DP37" s="202">
        <f>IF($J37="",#N/A,SUM(DO$4:DO37))</f>
        <v>0</v>
      </c>
      <c r="DQ37" s="202">
        <f>IF($J37="",#N/A,SUM(DO$4:DO37,DM$4:DM37,DK$4:DK37))</f>
        <v>0.36227168206863897</v>
      </c>
      <c r="DR37" s="200" t="str">
        <f t="shared" si="54"/>
        <v/>
      </c>
      <c r="DS37" s="200">
        <f>IF($J37="",#N/A,SUM(DR$4:DR37))</f>
        <v>0</v>
      </c>
      <c r="DT37" s="201" t="str">
        <f t="shared" si="55"/>
        <v/>
      </c>
      <c r="DU37" s="201">
        <f>IF($J37="",#N/A,SUM(DT$4:DT37))</f>
        <v>-0.53917580479739369</v>
      </c>
      <c r="DV37" s="202">
        <f t="shared" si="56"/>
        <v>1.9769096947663419E-3</v>
      </c>
      <c r="DW37" s="202">
        <f>IF($J37="",#N/A,SUM(DV$4:DV37))</f>
        <v>-1.1003295949110772</v>
      </c>
      <c r="DX37" s="202">
        <f>IF($J37="",#N/A,SUM(DV$4:DV37,DT$4:DT37,DR$4:DR37))</f>
        <v>-1.6395053997084708</v>
      </c>
      <c r="DY37" s="200" t="str">
        <f t="shared" si="57"/>
        <v/>
      </c>
      <c r="DZ37" s="200">
        <f>IF($J37="",#N/A,SUM(DY$4:DY37))</f>
        <v>0</v>
      </c>
      <c r="EA37" s="201" t="str">
        <f t="shared" si="58"/>
        <v/>
      </c>
      <c r="EB37" s="201">
        <f>IF($J37="",#N/A,SUM(EA$4:EA37))</f>
        <v>0.43517953094202633</v>
      </c>
      <c r="EC37" s="202" t="str">
        <f t="shared" si="59"/>
        <v/>
      </c>
      <c r="ED37" s="202">
        <f>IF($J37="",#N/A,SUM(EC$4:EC37))</f>
        <v>0.52792722625163879</v>
      </c>
      <c r="EE37" s="202">
        <f>IF($J37="",#N/A,SUM(EC$4:EC37,EA$4:EA37,DY$4:DY37))</f>
        <v>0.96310675719366512</v>
      </c>
      <c r="EF37" s="200" t="str">
        <f t="shared" si="60"/>
        <v/>
      </c>
      <c r="EG37" s="200">
        <f>IF($J37="",#N/A,SUM(EF$4:EF37))</f>
        <v>0</v>
      </c>
      <c r="EH37" s="201" t="str">
        <f t="shared" si="61"/>
        <v/>
      </c>
      <c r="EI37" s="201">
        <f>IF($J37="",#N/A,SUM(EH$4:EH37))</f>
        <v>0</v>
      </c>
      <c r="EJ37" s="202" t="str">
        <f t="shared" si="62"/>
        <v/>
      </c>
      <c r="EK37" s="202">
        <f>IF($J37="",#N/A,SUM(EJ$4:EJ37))</f>
        <v>0.6035383334478206</v>
      </c>
      <c r="EL37" s="202">
        <f>IF($J37="",#N/A,SUM(EJ$4:EJ37,EH$4:EH37,EF$4:EF37))</f>
        <v>0.6035383334478206</v>
      </c>
      <c r="EM37" s="200" t="str">
        <f t="shared" si="63"/>
        <v/>
      </c>
      <c r="EN37" s="200">
        <f>IF($J37="",#N/A,SUM(EM$4:EM37))</f>
        <v>0</v>
      </c>
      <c r="EO37" s="201" t="str">
        <f t="shared" si="64"/>
        <v/>
      </c>
      <c r="EP37" s="201">
        <f>IF($J37="",#N/A,SUM(EO$4:EO37))</f>
        <v>0</v>
      </c>
      <c r="EQ37" s="202" t="str">
        <f t="shared" si="65"/>
        <v/>
      </c>
      <c r="ER37" s="202">
        <f>IF($J37="",#N/A,SUM(EQ$4:EQ37))</f>
        <v>0</v>
      </c>
      <c r="ES37" s="202">
        <f>IF($J37="",#N/A,SUM(EQ$4:EQ37,EO$4:EO37,EM$4:EM37))</f>
        <v>0</v>
      </c>
      <c r="ET37" s="200" t="str">
        <f t="shared" si="66"/>
        <v/>
      </c>
      <c r="EU37" s="200">
        <f>IF($J37="",#N/A,SUM(ET$4:ET37))</f>
        <v>0</v>
      </c>
      <c r="EV37" s="201" t="str">
        <f t="shared" si="67"/>
        <v/>
      </c>
      <c r="EW37" s="201">
        <f>IF($J37="",#N/A,SUM(EV$4:EV37))</f>
        <v>0</v>
      </c>
      <c r="EX37" s="202" t="str">
        <f t="shared" si="68"/>
        <v/>
      </c>
      <c r="EY37" s="202">
        <f>IF($J37="",#N/A,SUM(EX$4:EX37))</f>
        <v>0</v>
      </c>
      <c r="EZ37" s="202">
        <f>IF($J37="",#N/A,SUM(EX$4:EX37,EV$4:EV37,ET$4:ET37))</f>
        <v>0</v>
      </c>
      <c r="FA37" s="200" t="str">
        <f t="shared" si="69"/>
        <v/>
      </c>
      <c r="FB37" s="200">
        <f>IF($J37="",#N/A,SUM(FA$4:FA37))</f>
        <v>0</v>
      </c>
      <c r="FC37" s="201" t="str">
        <f t="shared" si="70"/>
        <v/>
      </c>
      <c r="FD37" s="201">
        <f>IF($J37="",#N/A,SUM(FC$4:FC37))</f>
        <v>0</v>
      </c>
      <c r="FE37" s="202" t="str">
        <f t="shared" si="71"/>
        <v/>
      </c>
      <c r="FF37" s="202">
        <f>IF($J37="",#N/A,SUM(FE$4:FE37))</f>
        <v>-0.11131725417439868</v>
      </c>
      <c r="FG37" s="202">
        <f>IF($J37="",#N/A,SUM(FE$4:FE37,FC$4:FC37,FA$4:FA37))</f>
        <v>-0.11131725417439868</v>
      </c>
      <c r="FH37" s="200" t="str">
        <f t="shared" si="72"/>
        <v/>
      </c>
      <c r="FI37" s="200">
        <f>IF($J37="",#N/A,SUM(FH$4:FH37))</f>
        <v>0</v>
      </c>
      <c r="FJ37" s="201" t="str">
        <f t="shared" si="73"/>
        <v/>
      </c>
      <c r="FK37" s="201">
        <f>IF($J37="",#N/A,SUM(FJ$4:FJ37))</f>
        <v>0</v>
      </c>
      <c r="FL37" s="202" t="str">
        <f t="shared" si="74"/>
        <v/>
      </c>
      <c r="FM37" s="202">
        <f>IF($J37="",#N/A,SUM(FL$4:FL37))</f>
        <v>0</v>
      </c>
      <c r="FN37" s="202">
        <f>IF($J37="",#N/A,SUM(FL$4:FL37,FJ$4:FJ37,FH$4:FH37))</f>
        <v>0</v>
      </c>
      <c r="FO37" s="200" t="str">
        <f t="shared" si="75"/>
        <v/>
      </c>
      <c r="FP37" s="200">
        <f>IF($J37="",#N/A,SUM(FO$4:FO37))</f>
        <v>0</v>
      </c>
      <c r="FQ37" s="201" t="str">
        <f t="shared" si="76"/>
        <v/>
      </c>
      <c r="FR37" s="201">
        <f>IF($J37="",#N/A,SUM(FQ$4:FQ37))</f>
        <v>0</v>
      </c>
      <c r="FS37" s="202" t="str">
        <f t="shared" si="77"/>
        <v/>
      </c>
      <c r="FT37" s="202">
        <f>IF($J37="",#N/A,SUM(FS$4:FS37))</f>
        <v>0</v>
      </c>
      <c r="FU37" s="202">
        <f>IF($J37="",#N/A,SUM(FS$4:FS37,FQ$4:FQ37,FO$4:FO37))</f>
        <v>0</v>
      </c>
      <c r="FV37" s="200" t="str">
        <f t="shared" si="78"/>
        <v/>
      </c>
      <c r="FW37" s="200">
        <f>IF($J37="",#N/A,SUM(FV$4:FV37))</f>
        <v>0</v>
      </c>
      <c r="FX37" s="201" t="str">
        <f t="shared" si="79"/>
        <v/>
      </c>
      <c r="FY37" s="201">
        <f>IF($J37="",#N/A,SUM(FX$4:FX37))</f>
        <v>0</v>
      </c>
      <c r="FZ37" s="202" t="str">
        <f t="shared" si="80"/>
        <v/>
      </c>
      <c r="GA37" s="202">
        <f>IF($J37="",#N/A,SUM(FZ$4:FZ37))</f>
        <v>0.70318817588636717</v>
      </c>
      <c r="GB37" s="202">
        <f>IF($J37="",#N/A,SUM(FZ$4:FZ37,FX$4:FX37,FV$4:FV37))</f>
        <v>0.70318817588636717</v>
      </c>
      <c r="GC37" s="200" t="str">
        <f t="shared" si="81"/>
        <v/>
      </c>
      <c r="GD37" s="200">
        <f>IF($J37="",#N/A,SUM(GC$4:GC37))</f>
        <v>0</v>
      </c>
      <c r="GE37" s="201" t="str">
        <f t="shared" si="82"/>
        <v/>
      </c>
      <c r="GF37" s="201">
        <f>IF($J37="",#N/A,SUM(GE$4:GE37))</f>
        <v>0</v>
      </c>
      <c r="GG37" s="202" t="str">
        <f t="shared" si="83"/>
        <v/>
      </c>
      <c r="GH37" s="202">
        <f>IF($J37="",#N/A,SUM(GG$4:GG37))</f>
        <v>-2.9368362277223206</v>
      </c>
      <c r="GI37" s="202">
        <f>IF($J37="",#N/A,SUM(GG$4:GG37,GE$4:GE37,GC$4:GC37))</f>
        <v>-2.9368362277223206</v>
      </c>
      <c r="GJ37" s="200" t="str">
        <f t="shared" si="84"/>
        <v/>
      </c>
      <c r="GK37" s="200">
        <f>IF($J37="",#N/A,SUM(GJ$4:GJ37))</f>
        <v>0</v>
      </c>
      <c r="GL37" s="201" t="str">
        <f t="shared" si="85"/>
        <v/>
      </c>
      <c r="GM37" s="201">
        <f>IF($J37="",#N/A,SUM(GL$4:GL37))</f>
        <v>-0.55016731892688953</v>
      </c>
      <c r="GN37" s="202" t="str">
        <f t="shared" si="86"/>
        <v/>
      </c>
      <c r="GO37" s="202">
        <f>IF($J37="",#N/A,SUM(GN$4:GN37))</f>
        <v>0</v>
      </c>
      <c r="GP37" s="202">
        <f>IF($J37="",#N/A,SUM(GN$4:GN37,GL$4:GL37,GJ$4:GJ37))</f>
        <v>-0.55016731892688953</v>
      </c>
      <c r="GS37" s="54">
        <f t="shared" si="105"/>
        <v>1.9769096947663419E-3</v>
      </c>
      <c r="GT37" s="54">
        <f>IF(GS37="",NA(),SUM($GS$4:GS37))</f>
        <v>-1.9268771952289319</v>
      </c>
      <c r="GU37" s="54" t="str">
        <f t="shared" si="87"/>
        <v/>
      </c>
      <c r="GV37" s="54" t="e">
        <f>IF(GU37="",NA(),SUM($GU$4:GU37))</f>
        <v>#N/A</v>
      </c>
      <c r="GW37" s="54">
        <f t="shared" si="88"/>
        <v>1.9769096947663419E-3</v>
      </c>
      <c r="GX37" s="54">
        <f>IF(GW37="",NA(),SUM($GW$4:GW37))</f>
        <v>-2.3138293412219695</v>
      </c>
      <c r="GY37" s="54" t="str">
        <f t="shared" si="89"/>
        <v/>
      </c>
      <c r="GZ37" s="54" t="e">
        <f>IF(GY37="",NA(),SUM($GY$4:GY37))</f>
        <v>#N/A</v>
      </c>
      <c r="HA37" s="54" t="str">
        <f t="shared" si="90"/>
        <v/>
      </c>
      <c r="HB37" s="54" t="e">
        <f>IF(HA37="",NA(),SUM($HA$4:HA37))</f>
        <v>#N/A</v>
      </c>
      <c r="HC37" s="54" t="str">
        <f t="shared" si="91"/>
        <v/>
      </c>
      <c r="HD37" s="54" t="e">
        <f>IF(HC37="",NA(),SUM($HC$4:HC37))</f>
        <v>#N/A</v>
      </c>
      <c r="HE37" s="54" t="str">
        <f t="shared" si="92"/>
        <v/>
      </c>
      <c r="HF37" s="54" t="e">
        <f>IF(HE37="",NA(),SUM($HE$4:HE37))</f>
        <v>#N/A</v>
      </c>
      <c r="HG37" s="54" t="str">
        <f t="shared" si="93"/>
        <v/>
      </c>
      <c r="HH37" s="54" t="e">
        <f>IF(HG37="",NA(),SUM($HG$4:HG37))</f>
        <v>#N/A</v>
      </c>
      <c r="HI37" s="172" t="str">
        <f t="shared" si="106"/>
        <v/>
      </c>
      <c r="HJ37" s="172">
        <f>IF($J37="",#N/A,SUM(HI$4:$HI37))</f>
        <v>-0.84321683845460527</v>
      </c>
      <c r="HK37" s="54" t="str">
        <f t="shared" si="94"/>
        <v/>
      </c>
      <c r="HL37" s="54">
        <f>IF($J37="",#N/A,SUM($HK$4:HK37))</f>
        <v>-2.253877969168868</v>
      </c>
      <c r="HM37" s="54" t="str">
        <f t="shared" si="95"/>
        <v/>
      </c>
      <c r="HN37" s="54">
        <f>IF($J37="",#N/A,SUM($HM$4:HM37))</f>
        <v>0</v>
      </c>
      <c r="HO37" s="54" t="str">
        <f t="shared" si="96"/>
        <v/>
      </c>
      <c r="HP37" s="54">
        <f>IF($J37="",#N/A,SUM($HO$4:HO37))</f>
        <v>0</v>
      </c>
      <c r="HQ37" s="54">
        <f t="shared" si="97"/>
        <v>-0.10807106331382843</v>
      </c>
      <c r="HR37" s="54">
        <f>IF($J37="",#N/A,SUM($HQ$4:HQ37))</f>
        <v>-1.9772543158397295</v>
      </c>
      <c r="HS37" s="54" t="str">
        <f t="shared" si="98"/>
        <v/>
      </c>
      <c r="HT37" s="54">
        <f>IF($J37="",#N/A,SUM($HS$4:HS37))</f>
        <v>4.8476904658045576</v>
      </c>
      <c r="HU37" s="65">
        <f t="shared" si="99"/>
        <v>-0.10609415361906209</v>
      </c>
      <c r="HV37" s="65">
        <f>IF($J37="",#N/A,SUM(HU$4:$HU37))</f>
        <v>-2.1535358528875781</v>
      </c>
    </row>
    <row r="38" spans="1:230" x14ac:dyDescent="0.25">
      <c r="A38" s="51" t="s">
        <v>1333</v>
      </c>
      <c r="B38" s="52" t="s">
        <v>4483</v>
      </c>
      <c r="C38" s="229">
        <f t="shared" si="0"/>
        <v>3</v>
      </c>
      <c r="D38" s="219" t="str">
        <f>_xlfn.XLOOKUP(A38,[1]SP500!$A$2:$A$502,[1]SP500!$D$2:$D$502,"N")</f>
        <v>Y</v>
      </c>
      <c r="E38" s="51" t="str">
        <f>IFERROR(_xlfn.XLOOKUP(A38,[1]SP500!$A$2:$A$655,[1]SP500!$B$2:$B$655),"")</f>
        <v>INS</v>
      </c>
      <c r="F38" s="53">
        <v>45764</v>
      </c>
      <c r="G38" s="51" t="str">
        <f t="shared" si="1"/>
        <v>BMO</v>
      </c>
      <c r="H38" s="51" t="str">
        <f t="shared" si="2"/>
        <v>s</v>
      </c>
      <c r="I38" s="344">
        <v>231.32</v>
      </c>
      <c r="J38" s="124">
        <v>218.77</v>
      </c>
      <c r="K38" s="55">
        <f t="shared" si="3"/>
        <v>-5.4253847484004768E-2</v>
      </c>
      <c r="L38" s="67">
        <f t="shared" si="4"/>
        <v>-62.749999999999773</v>
      </c>
      <c r="M38" s="57">
        <f t="shared" si="5"/>
        <v>6.1499999999998636</v>
      </c>
      <c r="N38" s="102">
        <f t="shared" si="6"/>
        <v>-62.749999999999773</v>
      </c>
      <c r="O38" s="57">
        <f>IF(N38="",#N/A,SUM($N$4:N38))</f>
        <v>-193.96462593337014</v>
      </c>
      <c r="P38" s="65">
        <f t="shared" si="100"/>
        <v>-0.90423079140007756</v>
      </c>
      <c r="Q38" s="172">
        <f>IF($N38="",#N/A,SUM($P$4:P38))</f>
        <v>-2.8311079866290094</v>
      </c>
      <c r="R38" s="279">
        <f t="shared" si="7"/>
        <v>0.72475821366405091</v>
      </c>
      <c r="S38" s="51" t="str">
        <f t="shared" si="8"/>
        <v>SW</v>
      </c>
      <c r="T38" s="51" t="s">
        <v>2828</v>
      </c>
      <c r="U38" s="56">
        <f t="shared" si="9"/>
        <v>231.32</v>
      </c>
      <c r="V38" s="56" t="s">
        <v>4460</v>
      </c>
      <c r="W38" s="142">
        <v>5</v>
      </c>
      <c r="X38" s="145">
        <f t="shared" si="10"/>
        <v>1156.5999999999999</v>
      </c>
      <c r="Y38" s="140">
        <f t="shared" si="11"/>
        <v>5</v>
      </c>
      <c r="Z38" s="123">
        <v>220</v>
      </c>
      <c r="AA38" s="102">
        <f t="shared" si="12"/>
        <v>-56.599999999999909</v>
      </c>
      <c r="AB38" s="102">
        <f t="shared" si="13"/>
        <v>-56.25</v>
      </c>
      <c r="AC38" s="124">
        <v>220.07</v>
      </c>
      <c r="AD38" s="155">
        <f t="shared" si="14"/>
        <v>-56.25</v>
      </c>
      <c r="AE38" s="545">
        <f t="shared" si="15"/>
        <v>-0.8105654504582398</v>
      </c>
      <c r="AF38" s="57">
        <f>IF($AC38="",#N/A,SUM(AD$4:AD38))</f>
        <v>-201.75967140832552</v>
      </c>
      <c r="AG38" s="102">
        <f t="shared" si="16"/>
        <v>6.4999999999997726</v>
      </c>
      <c r="AH38" s="56" t="s">
        <v>2507</v>
      </c>
      <c r="AI38" s="65">
        <f t="shared" si="17"/>
        <v>-0.81560896881664535</v>
      </c>
      <c r="AJ38" s="54">
        <f>IF(AI38="",#N/A,SUM($AI$4:AI38))</f>
        <v>-3.5558662002930603</v>
      </c>
      <c r="AK38" s="57">
        <f t="shared" si="18"/>
        <v>-56.599999999999909</v>
      </c>
      <c r="AL38" s="349">
        <f>IF(AI38="",#N/A,IF(AH38="Skip",SUM($AK$4:AK38),SUM($AK$4:AK38)))</f>
        <v>-244.6349999999992</v>
      </c>
      <c r="AM38" s="65">
        <f t="shared" si="101"/>
        <v>-0.8105654504582398</v>
      </c>
      <c r="AN38" s="209"/>
      <c r="AO38" s="65">
        <f t="shared" si="19"/>
        <v>-0.8105654504582398</v>
      </c>
      <c r="AP38" s="65">
        <f>IF($AC38="",#N/A,SUM(AO$4:AO38))</f>
        <v>-0.25395864171538163</v>
      </c>
      <c r="AQ38" s="65" t="str">
        <f t="shared" si="20"/>
        <v/>
      </c>
      <c r="AR38" s="65">
        <f>IF($AC38="",#N/A,SUM(AQ$4:AQ38))</f>
        <v>0</v>
      </c>
      <c r="AS38" s="65" t="str">
        <f t="shared" si="21"/>
        <v/>
      </c>
      <c r="AT38" s="65">
        <f>IF($AC38="",#N/A,SUM(AS$4:AS38))</f>
        <v>-2.7101426616304369</v>
      </c>
      <c r="AU38" s="57">
        <f t="shared" si="102"/>
        <v>-56.25</v>
      </c>
      <c r="AV38" s="57">
        <f>IF($AC38="",#N/A,SUM(AU$4:AU38))</f>
        <v>-37.621298505509344</v>
      </c>
      <c r="AW38" s="57" t="str">
        <f t="shared" si="103"/>
        <v/>
      </c>
      <c r="AX38" s="57">
        <f>IF($AC38="",#N/A,SUM(AW$4:AW38))</f>
        <v>0</v>
      </c>
      <c r="AY38" s="57" t="str">
        <f t="shared" si="104"/>
        <v/>
      </c>
      <c r="AZ38" s="57">
        <f>IF($AC38="",#N/A,SUM(AY$4:AY38))</f>
        <v>-164.13837290281617</v>
      </c>
      <c r="BA38" s="57">
        <f>IF(AD38="",#N/A,SUM($AD$4:AD38))</f>
        <v>-201.75967140832552</v>
      </c>
      <c r="BC38" s="51" t="str">
        <f t="shared" si="22"/>
        <v/>
      </c>
      <c r="BD38" s="51" t="str">
        <f t="shared" si="23"/>
        <v/>
      </c>
      <c r="BE38" s="51" t="str">
        <f t="shared" si="24"/>
        <v/>
      </c>
      <c r="BF38" s="51" t="str">
        <f t="shared" si="25"/>
        <v>Long</v>
      </c>
      <c r="BG38" s="51" t="str">
        <f t="shared" si="26"/>
        <v/>
      </c>
      <c r="BH38" s="51" t="str">
        <f t="shared" si="27"/>
        <v/>
      </c>
      <c r="BI38" s="51">
        <f t="shared" si="28"/>
        <v>1</v>
      </c>
      <c r="BK38" s="184"/>
      <c r="BL38" s="65">
        <f t="shared" si="107"/>
        <v>-7.5019756860705181E-2</v>
      </c>
      <c r="BM38" s="65">
        <f>IFERROR(Q38/COUNTA($J$4:J38),#N/A)</f>
        <v>-8.0888799617971699E-2</v>
      </c>
      <c r="BO38" s="489">
        <f>IF(J38="",#N/A,IF(S38="SW",(COUNTIFS(K$4:$K38,"&gt;0",S$4:$S38,"SW")/COUNTIF(S$4:$S38,"SW")),#N/A))</f>
        <v>0.47619047619047616</v>
      </c>
      <c r="BP38" s="489" t="e">
        <f>IF($J38="",#N/A,IF($S38="DWN",(COUNTIFS($K$4:$K38,"&lt;0",$S$4:$S38,"DWN")/COUNTIF($S$4:$S38,"DWN")),#N/A))</f>
        <v>#N/A</v>
      </c>
      <c r="BQ38" s="489" t="e">
        <f>IF($J38="",#N/A,IF($S38="UP",(COUNTIFS($K$4:$K38,"&gt;0",$S$4:$S38,"UP")/COUNTIF($S$4:$S38,"UP")),#N/A))</f>
        <v>#N/A</v>
      </c>
      <c r="BR38" s="489">
        <f>IF(J38="",#N/A,COUNTIF($K$4:K38,"&gt;0")/COUNT($J$4:J38))</f>
        <v>0.42857142857142855</v>
      </c>
      <c r="BS38" s="65" t="str">
        <f t="shared" si="29"/>
        <v/>
      </c>
      <c r="BT38" s="65">
        <f t="shared" si="30"/>
        <v>-0.90423079140007756</v>
      </c>
      <c r="BU38" s="65" t="str">
        <f t="shared" si="31"/>
        <v/>
      </c>
      <c r="BV38" s="65" t="str">
        <f t="shared" si="32"/>
        <v/>
      </c>
      <c r="BW38" s="128" t="str">
        <f t="shared" si="33"/>
        <v/>
      </c>
      <c r="BX38" s="128">
        <f>IF($J38="",#N/A,SUM($BW$4:BW38))</f>
        <v>0</v>
      </c>
      <c r="BY38" s="131" t="str">
        <f t="shared" si="34"/>
        <v/>
      </c>
      <c r="BZ38" s="131">
        <f>IF($J38="",#N/A,SUM($BY$4:BY38))</f>
        <v>24.256280468504087</v>
      </c>
      <c r="CA38" s="133">
        <f t="shared" si="35"/>
        <v>-62.749999999999773</v>
      </c>
      <c r="CB38" s="133">
        <f>IF($J38="",#N/A,SUM($CA$4:CA38))</f>
        <v>-218.22090640187423</v>
      </c>
      <c r="CC38" s="194" t="str">
        <f t="shared" si="36"/>
        <v/>
      </c>
      <c r="CD38" s="194">
        <f>IF($J38="",#N/A,SUM($CC$4:CC38))</f>
        <v>0</v>
      </c>
      <c r="CE38" s="195" t="str">
        <f t="shared" si="37"/>
        <v/>
      </c>
      <c r="CF38" s="195">
        <f>IF($J38="",#N/A,SUM($CE$4:CE38))</f>
        <v>0.38695214599303662</v>
      </c>
      <c r="CG38" s="196">
        <f t="shared" si="38"/>
        <v>-0.90423079140007756</v>
      </c>
      <c r="CH38" s="193">
        <f>IF($J38="",#N/A,SUM($CG$4:CG38))</f>
        <v>-3.218060132622047</v>
      </c>
      <c r="CI38" s="200" t="str">
        <f t="shared" si="39"/>
        <v/>
      </c>
      <c r="CJ38" s="203">
        <f>IF($J38="",#N/A,SUM(CI$4:CI38))</f>
        <v>0</v>
      </c>
      <c r="CK38" s="204" t="str">
        <f t="shared" si="40"/>
        <v/>
      </c>
      <c r="CL38" s="204">
        <f>IF($J38="",#N/A,SUM(CK$4:CK38))</f>
        <v>0</v>
      </c>
      <c r="CM38" s="205" t="str">
        <f t="shared" si="41"/>
        <v/>
      </c>
      <c r="CN38" s="205">
        <f>IF($J38="",#N/A,SUM(CM$4:CM38))</f>
        <v>0</v>
      </c>
      <c r="CO38" s="205">
        <f>IF($J38="",#N/A,SUM(CM$4:CM38,CK$4:CK38,CI$4:CI38))</f>
        <v>0</v>
      </c>
      <c r="CP38" s="200" t="str">
        <f t="shared" si="42"/>
        <v/>
      </c>
      <c r="CQ38" s="203">
        <f>IF($J38="",#N/A,SUM(CP$4:CP38))</f>
        <v>0</v>
      </c>
      <c r="CR38" s="204" t="str">
        <f t="shared" si="43"/>
        <v/>
      </c>
      <c r="CS38" s="204">
        <f>IF($J38="",#N/A,SUM(CR$4:CR38))</f>
        <v>0</v>
      </c>
      <c r="CT38" s="205" t="str">
        <f t="shared" si="44"/>
        <v/>
      </c>
      <c r="CU38" s="205">
        <f>IF($J38="",#N/A,SUM(CT$4:CT38))</f>
        <v>0</v>
      </c>
      <c r="CV38" s="205">
        <f>IF($J38="",#N/A,SUM(CT$4:CT38,CR$4:CR38,CP$4:CP38))</f>
        <v>0</v>
      </c>
      <c r="CW38" s="200" t="str">
        <f t="shared" si="45"/>
        <v/>
      </c>
      <c r="CX38" s="203">
        <f>IF($J38="",#N/A,SUM(CW$4:CW38))</f>
        <v>0</v>
      </c>
      <c r="CY38" s="204" t="str">
        <f t="shared" si="46"/>
        <v/>
      </c>
      <c r="CZ38" s="204">
        <f>IF($J38="",#N/A,SUM(CY$4:CY38))</f>
        <v>0</v>
      </c>
      <c r="DA38" s="205" t="str">
        <f t="shared" si="47"/>
        <v/>
      </c>
      <c r="DB38" s="205">
        <f>IF($J38="",#N/A,SUM(DA$4:DA38))</f>
        <v>0</v>
      </c>
      <c r="DC38" s="205">
        <f>IF($J38="",#N/A,SUM(DA$4:DA38,CY$4:CY38,CW$4:CW38))</f>
        <v>0</v>
      </c>
      <c r="DD38" s="200" t="str">
        <f t="shared" si="48"/>
        <v/>
      </c>
      <c r="DE38" s="203">
        <f>IF($J38="",#N/A,SUM(DD$4:DD38))</f>
        <v>0</v>
      </c>
      <c r="DF38" s="204" t="str">
        <f t="shared" si="49"/>
        <v/>
      </c>
      <c r="DG38" s="204">
        <f>IF($J38="",#N/A,SUM(DF$4:DF38))</f>
        <v>0.6788440567066546</v>
      </c>
      <c r="DH38" s="205" t="str">
        <f t="shared" si="50"/>
        <v/>
      </c>
      <c r="DI38" s="205">
        <f>IF($J38="",#N/A,SUM(DH$4:DH38))</f>
        <v>0</v>
      </c>
      <c r="DJ38" s="205">
        <f>IF($J38="",#N/A,SUM(DH$4:DH38,DF$4:DF38,DD$4:DD38))</f>
        <v>0.6788440567066546</v>
      </c>
      <c r="DK38" s="200" t="str">
        <f t="shared" si="51"/>
        <v/>
      </c>
      <c r="DL38" s="203">
        <f>IF($J38="",#N/A,SUM(DK$4:DK38))</f>
        <v>0</v>
      </c>
      <c r="DM38" s="204" t="str">
        <f t="shared" si="52"/>
        <v/>
      </c>
      <c r="DN38" s="204">
        <f>IF($J38="",#N/A,SUM(DM$4:DM38))</f>
        <v>0.36227168206863897</v>
      </c>
      <c r="DO38" s="205" t="str">
        <f t="shared" si="53"/>
        <v/>
      </c>
      <c r="DP38" s="205">
        <f>IF($J38="",#N/A,SUM(DO$4:DO38))</f>
        <v>0</v>
      </c>
      <c r="DQ38" s="205">
        <f>IF($J38="",#N/A,SUM(DO$4:DO38,DM$4:DM38,DK$4:DK38))</f>
        <v>0.36227168206863897</v>
      </c>
      <c r="DR38" s="200" t="str">
        <f t="shared" si="54"/>
        <v/>
      </c>
      <c r="DS38" s="203">
        <f>IF($J38="",#N/A,SUM(DR$4:DR38))</f>
        <v>0</v>
      </c>
      <c r="DT38" s="204" t="str">
        <f t="shared" si="55"/>
        <v/>
      </c>
      <c r="DU38" s="204">
        <f>IF($J38="",#N/A,SUM(DT$4:DT38))</f>
        <v>-0.53917580479739369</v>
      </c>
      <c r="DV38" s="205" t="str">
        <f t="shared" si="56"/>
        <v/>
      </c>
      <c r="DW38" s="205">
        <f>IF($J38="",#N/A,SUM(DV$4:DV38))</f>
        <v>-1.1003295949110772</v>
      </c>
      <c r="DX38" s="205">
        <f>IF($J38="",#N/A,SUM(DV$4:DV38,DT$4:DT38,DR$4:DR38))</f>
        <v>-1.6395053997084708</v>
      </c>
      <c r="DY38" s="200" t="str">
        <f t="shared" si="57"/>
        <v/>
      </c>
      <c r="DZ38" s="203">
        <f>IF($J38="",#N/A,SUM(DY$4:DY38))</f>
        <v>0</v>
      </c>
      <c r="EA38" s="204" t="str">
        <f t="shared" si="58"/>
        <v/>
      </c>
      <c r="EB38" s="204">
        <f>IF($J38="",#N/A,SUM(EA$4:EA38))</f>
        <v>0.43517953094202633</v>
      </c>
      <c r="EC38" s="205" t="str">
        <f t="shared" si="59"/>
        <v/>
      </c>
      <c r="ED38" s="205">
        <f>IF($J38="",#N/A,SUM(EC$4:EC38))</f>
        <v>0.52792722625163879</v>
      </c>
      <c r="EE38" s="205">
        <f>IF($J38="",#N/A,SUM(EC$4:EC38,EA$4:EA38,DY$4:DY38))</f>
        <v>0.96310675719366512</v>
      </c>
      <c r="EF38" s="200" t="str">
        <f t="shared" si="60"/>
        <v/>
      </c>
      <c r="EG38" s="203">
        <f>IF($J38="",#N/A,SUM(EF$4:EF38))</f>
        <v>0</v>
      </c>
      <c r="EH38" s="204" t="str">
        <f t="shared" si="61"/>
        <v/>
      </c>
      <c r="EI38" s="204">
        <f>IF($J38="",#N/A,SUM(EH$4:EH38))</f>
        <v>0</v>
      </c>
      <c r="EJ38" s="205" t="str">
        <f t="shared" si="62"/>
        <v/>
      </c>
      <c r="EK38" s="205">
        <f>IF($J38="",#N/A,SUM(EJ$4:EJ38))</f>
        <v>0.6035383334478206</v>
      </c>
      <c r="EL38" s="205">
        <f>IF($J38="",#N/A,SUM(EJ$4:EJ38,EH$4:EH38,EF$4:EF38))</f>
        <v>0.6035383334478206</v>
      </c>
      <c r="EM38" s="200" t="str">
        <f t="shared" si="63"/>
        <v/>
      </c>
      <c r="EN38" s="203">
        <f>IF($J38="",#N/A,SUM(EM$4:EM38))</f>
        <v>0</v>
      </c>
      <c r="EO38" s="204" t="str">
        <f t="shared" si="64"/>
        <v/>
      </c>
      <c r="EP38" s="204">
        <f>IF($J38="",#N/A,SUM(EO$4:EO38))</f>
        <v>0</v>
      </c>
      <c r="EQ38" s="205" t="str">
        <f t="shared" si="65"/>
        <v/>
      </c>
      <c r="ER38" s="205">
        <f>IF($J38="",#N/A,SUM(EQ$4:EQ38))</f>
        <v>0</v>
      </c>
      <c r="ES38" s="205">
        <f>IF($J38="",#N/A,SUM(EQ$4:EQ38,EO$4:EO38,EM$4:EM38))</f>
        <v>0</v>
      </c>
      <c r="ET38" s="200" t="str">
        <f t="shared" si="66"/>
        <v/>
      </c>
      <c r="EU38" s="203">
        <f>IF($J38="",#N/A,SUM(ET$4:ET38))</f>
        <v>0</v>
      </c>
      <c r="EV38" s="204" t="str">
        <f t="shared" si="67"/>
        <v/>
      </c>
      <c r="EW38" s="204">
        <f>IF($J38="",#N/A,SUM(EV$4:EV38))</f>
        <v>0</v>
      </c>
      <c r="EX38" s="205" t="str">
        <f t="shared" si="68"/>
        <v/>
      </c>
      <c r="EY38" s="205">
        <f>IF($J38="",#N/A,SUM(EX$4:EX38))</f>
        <v>0</v>
      </c>
      <c r="EZ38" s="205">
        <f>IF($J38="",#N/A,SUM(EX$4:EX38,EV$4:EV38,ET$4:ET38))</f>
        <v>0</v>
      </c>
      <c r="FA38" s="200" t="str">
        <f t="shared" si="69"/>
        <v/>
      </c>
      <c r="FB38" s="203">
        <f>IF($J38="",#N/A,SUM(FA$4:FA38))</f>
        <v>0</v>
      </c>
      <c r="FC38" s="204" t="str">
        <f t="shared" si="70"/>
        <v/>
      </c>
      <c r="FD38" s="204">
        <f>IF($J38="",#N/A,SUM(FC$4:FC38))</f>
        <v>0</v>
      </c>
      <c r="FE38" s="205" t="str">
        <f t="shared" si="71"/>
        <v/>
      </c>
      <c r="FF38" s="205">
        <f>IF($J38="",#N/A,SUM(FE$4:FE38))</f>
        <v>-0.11131725417439868</v>
      </c>
      <c r="FG38" s="205">
        <f>IF($J38="",#N/A,SUM(FE$4:FE38,FC$4:FC38,FA$4:FA38))</f>
        <v>-0.11131725417439868</v>
      </c>
      <c r="FH38" s="200" t="str">
        <f t="shared" si="72"/>
        <v/>
      </c>
      <c r="FI38" s="203">
        <f>IF($J38="",#N/A,SUM(FH$4:FH38))</f>
        <v>0</v>
      </c>
      <c r="FJ38" s="204" t="str">
        <f t="shared" si="73"/>
        <v/>
      </c>
      <c r="FK38" s="204">
        <f>IF($J38="",#N/A,SUM(FJ$4:FJ38))</f>
        <v>0</v>
      </c>
      <c r="FL38" s="205" t="str">
        <f t="shared" si="74"/>
        <v/>
      </c>
      <c r="FM38" s="205">
        <f>IF($J38="",#N/A,SUM(FL$4:FL38))</f>
        <v>0</v>
      </c>
      <c r="FN38" s="205">
        <f>IF($J38="",#N/A,SUM(FL$4:FL38,FJ$4:FJ38,FH$4:FH38))</f>
        <v>0</v>
      </c>
      <c r="FO38" s="200" t="str">
        <f t="shared" si="75"/>
        <v/>
      </c>
      <c r="FP38" s="203">
        <f>IF($J38="",#N/A,SUM(FO$4:FO38))</f>
        <v>0</v>
      </c>
      <c r="FQ38" s="204" t="str">
        <f t="shared" si="76"/>
        <v/>
      </c>
      <c r="FR38" s="204">
        <f>IF($J38="",#N/A,SUM(FQ$4:FQ38))</f>
        <v>0</v>
      </c>
      <c r="FS38" s="205" t="str">
        <f t="shared" si="77"/>
        <v/>
      </c>
      <c r="FT38" s="205">
        <f>IF($J38="",#N/A,SUM(FS$4:FS38))</f>
        <v>0</v>
      </c>
      <c r="FU38" s="205">
        <f>IF($J38="",#N/A,SUM(FS$4:FS38,FQ$4:FQ38,FO$4:FO38))</f>
        <v>0</v>
      </c>
      <c r="FV38" s="200" t="str">
        <f t="shared" si="78"/>
        <v/>
      </c>
      <c r="FW38" s="203">
        <f>IF($J38="",#N/A,SUM(FV$4:FV38))</f>
        <v>0</v>
      </c>
      <c r="FX38" s="204" t="str">
        <f t="shared" si="79"/>
        <v/>
      </c>
      <c r="FY38" s="204">
        <f>IF($J38="",#N/A,SUM(FX$4:FX38))</f>
        <v>0</v>
      </c>
      <c r="FZ38" s="205">
        <f t="shared" si="80"/>
        <v>-0.90423079140007756</v>
      </c>
      <c r="GA38" s="205">
        <f>IF($J38="",#N/A,SUM(FZ$4:FZ38))</f>
        <v>-0.20104261551371039</v>
      </c>
      <c r="GB38" s="205">
        <f>IF($J38="",#N/A,SUM(FZ$4:FZ38,FX$4:FX38,FV$4:FV38))</f>
        <v>-0.20104261551371039</v>
      </c>
      <c r="GC38" s="200" t="str">
        <f t="shared" si="81"/>
        <v/>
      </c>
      <c r="GD38" s="203">
        <f>IF($J38="",#N/A,SUM(GC$4:GC38))</f>
        <v>0</v>
      </c>
      <c r="GE38" s="204" t="str">
        <f t="shared" si="82"/>
        <v/>
      </c>
      <c r="GF38" s="204">
        <f>IF($J38="",#N/A,SUM(GE$4:GE38))</f>
        <v>0</v>
      </c>
      <c r="GG38" s="205" t="str">
        <f t="shared" si="83"/>
        <v/>
      </c>
      <c r="GH38" s="205">
        <f>IF($J38="",#N/A,SUM(GG$4:GG38))</f>
        <v>-2.9368362277223206</v>
      </c>
      <c r="GI38" s="205">
        <f>IF($J38="",#N/A,SUM(GG$4:GG38,GE$4:GE38,GC$4:GC38))</f>
        <v>-2.9368362277223206</v>
      </c>
      <c r="GJ38" s="200" t="str">
        <f t="shared" si="84"/>
        <v/>
      </c>
      <c r="GK38" s="203">
        <f>IF($J38="",#N/A,SUM(GJ$4:GJ38))</f>
        <v>0</v>
      </c>
      <c r="GL38" s="204" t="str">
        <f t="shared" si="85"/>
        <v/>
      </c>
      <c r="GM38" s="204">
        <f>IF($J38="",#N/A,SUM(GL$4:GL38))</f>
        <v>-0.55016731892688953</v>
      </c>
      <c r="GN38" s="205" t="str">
        <f t="shared" si="86"/>
        <v/>
      </c>
      <c r="GO38" s="205">
        <f>IF($J38="",#N/A,SUM(GN$4:GN38))</f>
        <v>0</v>
      </c>
      <c r="GP38" s="205">
        <f>IF($J38="",#N/A,SUM(GN$4:GN38,GL$4:GL38,GJ$4:GJ38))</f>
        <v>-0.55016731892688953</v>
      </c>
      <c r="GS38" s="54">
        <f t="shared" si="105"/>
        <v>-0.90423079140007756</v>
      </c>
      <c r="GT38" s="54">
        <f>IF(GS38="",NA(),SUM($GS$4:GS38))</f>
        <v>-2.8311079866290094</v>
      </c>
      <c r="GU38" s="54" t="str">
        <f t="shared" si="87"/>
        <v/>
      </c>
      <c r="GV38" s="54" t="e">
        <f>IF(GU38="",NA(),SUM($GU$4:GU38))</f>
        <v>#N/A</v>
      </c>
      <c r="GW38" s="54">
        <f t="shared" si="88"/>
        <v>-0.90423079140007756</v>
      </c>
      <c r="GX38" s="54">
        <f>IF(GW38="",NA(),SUM($GW$4:GW38))</f>
        <v>-3.218060132622047</v>
      </c>
      <c r="GY38" s="54" t="str">
        <f t="shared" si="89"/>
        <v/>
      </c>
      <c r="GZ38" s="54" t="e">
        <f>IF(GY38="",NA(),SUM($GY$4:GY38))</f>
        <v>#N/A</v>
      </c>
      <c r="HA38" s="54" t="str">
        <f t="shared" si="90"/>
        <v/>
      </c>
      <c r="HB38" s="54" t="e">
        <f>IF(HA38="",NA(),SUM($HA$4:HA38))</f>
        <v>#N/A</v>
      </c>
      <c r="HC38" s="54" t="str">
        <f t="shared" si="91"/>
        <v/>
      </c>
      <c r="HD38" s="54" t="e">
        <f>IF(HC38="",NA(),SUM($HC$4:HC38))</f>
        <v>#N/A</v>
      </c>
      <c r="HE38" s="54" t="str">
        <f t="shared" si="92"/>
        <v/>
      </c>
      <c r="HF38" s="54" t="e">
        <f>IF(HE38="",NA(),SUM($HE$4:HE38))</f>
        <v>#N/A</v>
      </c>
      <c r="HG38" s="54" t="str">
        <f t="shared" si="93"/>
        <v/>
      </c>
      <c r="HH38" s="54" t="e">
        <f>IF(HG38="",NA(),SUM($HG$4:HG38))</f>
        <v>#N/A</v>
      </c>
      <c r="HI38" s="172" t="str">
        <f t="shared" si="106"/>
        <v/>
      </c>
      <c r="HJ38" s="172">
        <f>IF($J38="",#N/A,SUM(HI$4:$HI38))</f>
        <v>-0.84321683845460527</v>
      </c>
      <c r="HK38" s="54" t="str">
        <f t="shared" si="94"/>
        <v/>
      </c>
      <c r="HL38" s="54">
        <f>IF($J38="",#N/A,SUM($HK$4:HK38))</f>
        <v>-2.253877969168868</v>
      </c>
      <c r="HM38" s="54" t="str">
        <f t="shared" si="95"/>
        <v/>
      </c>
      <c r="HN38" s="54">
        <f>IF($J38="",#N/A,SUM($HM$4:HM38))</f>
        <v>0</v>
      </c>
      <c r="HO38" s="54" t="str">
        <f t="shared" si="96"/>
        <v/>
      </c>
      <c r="HP38" s="54">
        <f>IF($J38="",#N/A,SUM($HO$4:HO38))</f>
        <v>0</v>
      </c>
      <c r="HQ38" s="54" t="str">
        <f t="shared" si="97"/>
        <v/>
      </c>
      <c r="HR38" s="54">
        <f>IF($J38="",#N/A,SUM($HQ$4:HQ38))</f>
        <v>-1.9772543158397295</v>
      </c>
      <c r="HS38" s="54">
        <f t="shared" si="98"/>
        <v>9.366534094183776E-2</v>
      </c>
      <c r="HT38" s="54">
        <f>IF($J38="",#N/A,SUM($HS$4:HS38))</f>
        <v>4.9413558067463956</v>
      </c>
      <c r="HU38" s="65">
        <f t="shared" si="99"/>
        <v>-0.8105654504582398</v>
      </c>
      <c r="HV38" s="65">
        <f>IF($J38="",#N/A,SUM(HU$4:$HU38))</f>
        <v>-2.9641013033458181</v>
      </c>
    </row>
    <row r="39" spans="1:230" x14ac:dyDescent="0.25">
      <c r="A39" s="51" t="s">
        <v>1533</v>
      </c>
      <c r="B39" s="52" t="s">
        <v>4483</v>
      </c>
      <c r="C39" s="229">
        <f t="shared" si="0"/>
        <v>3</v>
      </c>
      <c r="D39" s="219" t="str">
        <f>_xlfn.XLOOKUP(A39,[1]SP500!$A$2:$A$502,[1]SP500!$D$2:$D$502,"N")</f>
        <v>Y</v>
      </c>
      <c r="E39" s="51" t="str">
        <f>IFERROR(_xlfn.XLOOKUP(A39,[1]SP500!$A$2:$A$655,[1]SP500!$B$2:$B$655),"")</f>
        <v>XLI</v>
      </c>
      <c r="F39" s="53">
        <v>45764</v>
      </c>
      <c r="G39" s="51" t="str">
        <f t="shared" si="1"/>
        <v>BMO</v>
      </c>
      <c r="H39" s="51" t="str">
        <f t="shared" si="2"/>
        <v>s</v>
      </c>
      <c r="I39" s="344">
        <v>332</v>
      </c>
      <c r="J39" s="124">
        <v>315.64</v>
      </c>
      <c r="K39" s="55">
        <f t="shared" si="3"/>
        <v>-4.9277108433734979E-2</v>
      </c>
      <c r="L39" s="67">
        <f t="shared" si="4"/>
        <v>-49.080000000000041</v>
      </c>
      <c r="M39" s="57">
        <f t="shared" si="5"/>
        <v>4.67999999999995</v>
      </c>
      <c r="N39" s="147">
        <f t="shared" si="6"/>
        <v>-49.080000000000041</v>
      </c>
      <c r="O39" s="57">
        <f>IF(N39="",#N/A,SUM($N$4:N39))</f>
        <v>-243.04462593337018</v>
      </c>
      <c r="P39" s="65">
        <f t="shared" si="100"/>
        <v>-0.82128514056224966</v>
      </c>
      <c r="Q39" s="172">
        <f>IF($N39="",#N/A,SUM($P$4:P39))</f>
        <v>-3.6523931271912593</v>
      </c>
      <c r="R39" s="279">
        <f t="shared" si="7"/>
        <v>0.64644496065200308</v>
      </c>
      <c r="S39" s="51" t="str">
        <f t="shared" si="8"/>
        <v>SW</v>
      </c>
      <c r="T39" s="51" t="s">
        <v>2828</v>
      </c>
      <c r="U39" s="56">
        <f t="shared" si="9"/>
        <v>332</v>
      </c>
      <c r="V39" s="56" t="s">
        <v>4460</v>
      </c>
      <c r="W39" s="142">
        <v>3</v>
      </c>
      <c r="X39" s="145">
        <f t="shared" si="10"/>
        <v>996</v>
      </c>
      <c r="Y39" s="140">
        <f t="shared" si="11"/>
        <v>3</v>
      </c>
      <c r="Z39" s="123">
        <v>317.2</v>
      </c>
      <c r="AA39" s="102">
        <f t="shared" si="12"/>
        <v>-44.400000000000091</v>
      </c>
      <c r="AB39" s="102">
        <f t="shared" si="13"/>
        <v>-79.680000000000064</v>
      </c>
      <c r="AC39" s="124">
        <v>305.44</v>
      </c>
      <c r="AD39" s="155">
        <f t="shared" si="14"/>
        <v>-79.680000000000064</v>
      </c>
      <c r="AE39" s="545">
        <f t="shared" si="15"/>
        <v>-1.3333333333333344</v>
      </c>
      <c r="AF39" s="57">
        <f>IF($AC39="",#N/A,SUM(AD$4:AD39))</f>
        <v>-281.43967140832558</v>
      </c>
      <c r="AG39" s="102">
        <f t="shared" si="16"/>
        <v>-30.600000000000023</v>
      </c>
      <c r="AH39" s="102" t="s">
        <v>2507</v>
      </c>
      <c r="AI39" s="65">
        <f t="shared" si="17"/>
        <v>-0.74297188755020238</v>
      </c>
      <c r="AJ39" s="350">
        <f>IF(AI39="",#N/A,SUM($AI$4:AI39))</f>
        <v>-4.2988380878432624</v>
      </c>
      <c r="AK39" s="144">
        <f t="shared" si="18"/>
        <v>-44.400000000000091</v>
      </c>
      <c r="AL39" s="349">
        <f>IF(AI39="",#N/A,IF(AH39="Skip",SUM($AK$4:AK39),SUM($AK$4:AK39)))</f>
        <v>-289.03499999999929</v>
      </c>
      <c r="AM39" s="65">
        <f t="shared" si="101"/>
        <v>-1.3333333333333344</v>
      </c>
      <c r="AN39" s="209"/>
      <c r="AO39" s="65">
        <f t="shared" si="19"/>
        <v>-1.3333333333333344</v>
      </c>
      <c r="AP39" s="65">
        <f>IF($AC39="",#N/A,SUM(AO$4:AO39))</f>
        <v>-1.587291975048716</v>
      </c>
      <c r="AQ39" s="65" t="str">
        <f t="shared" si="20"/>
        <v/>
      </c>
      <c r="AR39" s="65">
        <f>IF($AC39="",#N/A,SUM(AQ$4:AQ39))</f>
        <v>0</v>
      </c>
      <c r="AS39" s="65" t="str">
        <f t="shared" si="21"/>
        <v/>
      </c>
      <c r="AT39" s="65">
        <f>IF($AC39="",#N/A,SUM(AS$4:AS39))</f>
        <v>-2.7101426616304369</v>
      </c>
      <c r="AU39" s="57">
        <f t="shared" si="102"/>
        <v>-79.680000000000064</v>
      </c>
      <c r="AV39" s="57">
        <f>IF($AC39="",#N/A,SUM(AU$4:AU39))</f>
        <v>-117.30129850550941</v>
      </c>
      <c r="AW39" s="57" t="str">
        <f t="shared" si="103"/>
        <v/>
      </c>
      <c r="AX39" s="57">
        <f>IF($AC39="",#N/A,SUM(AW$4:AW39))</f>
        <v>0</v>
      </c>
      <c r="AY39" s="57" t="str">
        <f t="shared" si="104"/>
        <v/>
      </c>
      <c r="AZ39" s="57">
        <f>IF($AC39="",#N/A,SUM(AY$4:AY39))</f>
        <v>-164.13837290281617</v>
      </c>
      <c r="BA39" s="57">
        <f>IF(AD39="",#N/A,SUM($AD$4:AD39))</f>
        <v>-281.43967140832558</v>
      </c>
      <c r="BC39" s="51" t="str">
        <f t="shared" si="22"/>
        <v/>
      </c>
      <c r="BD39" s="51" t="str">
        <f t="shared" si="23"/>
        <v/>
      </c>
      <c r="BE39" s="51" t="str">
        <f t="shared" si="24"/>
        <v/>
      </c>
      <c r="BF39" s="51" t="str">
        <f t="shared" si="25"/>
        <v>Long</v>
      </c>
      <c r="BG39" s="51" t="str">
        <f t="shared" si="26"/>
        <v/>
      </c>
      <c r="BH39" s="51" t="str">
        <f t="shared" si="27"/>
        <v/>
      </c>
      <c r="BI39" s="51">
        <f t="shared" si="28"/>
        <v>1</v>
      </c>
      <c r="BK39" s="184"/>
      <c r="BL39" s="65">
        <f t="shared" si="107"/>
        <v>-0.1284147494298363</v>
      </c>
      <c r="BM39" s="65">
        <f>IFERROR(Q39/COUNTA($J$4:J39),#N/A)</f>
        <v>-0.10145536464420164</v>
      </c>
      <c r="BO39" s="489">
        <f>IF(J39="",#N/A,IF(S39="SW",(COUNTIFS(K$4:$K39,"&gt;0",S$4:$S39,"SW")/COUNTIF(S$4:$S39,"SW")),#N/A))</f>
        <v>0.45454545454545453</v>
      </c>
      <c r="BP39" s="489" t="e">
        <f>IF($J39="",#N/A,IF($S39="DWN",(COUNTIFS($K$4:$K39,"&lt;0",$S$4:$S39,"DWN")/COUNTIF($S$4:$S39,"DWN")),#N/A))</f>
        <v>#N/A</v>
      </c>
      <c r="BQ39" s="489" t="e">
        <f>IF($J39="",#N/A,IF($S39="UP",(COUNTIFS($K$4:$K39,"&gt;0",$S$4:$S39,"UP")/COUNTIF($S$4:$S39,"UP")),#N/A))</f>
        <v>#N/A</v>
      </c>
      <c r="BR39" s="489">
        <f>IF(J39="",#N/A,COUNTIF($K$4:K39,"&gt;0")/COUNT($J$4:J39))</f>
        <v>0.41666666666666669</v>
      </c>
      <c r="BS39" s="65" t="str">
        <f t="shared" si="29"/>
        <v/>
      </c>
      <c r="BT39" s="65">
        <f t="shared" si="30"/>
        <v>-0.82128514056224966</v>
      </c>
      <c r="BU39" s="65" t="str">
        <f t="shared" si="31"/>
        <v/>
      </c>
      <c r="BV39" s="65" t="str">
        <f t="shared" si="32"/>
        <v/>
      </c>
      <c r="BW39" s="127" t="str">
        <f t="shared" si="33"/>
        <v/>
      </c>
      <c r="BX39" s="127">
        <f>IF($J39="",#N/A,SUM($BW$4:BW39))</f>
        <v>0</v>
      </c>
      <c r="BY39" s="130" t="str">
        <f t="shared" si="34"/>
        <v/>
      </c>
      <c r="BZ39" s="130">
        <f>IF($J39="",#N/A,SUM($BY$4:BY39))</f>
        <v>24.256280468504087</v>
      </c>
      <c r="CA39" s="132">
        <f t="shared" si="35"/>
        <v>-49.080000000000041</v>
      </c>
      <c r="CB39" s="132">
        <f>IF($J39="",#N/A,SUM($CA$4:CA39))</f>
        <v>-267.30090640187427</v>
      </c>
      <c r="CC39" s="197" t="str">
        <f t="shared" si="36"/>
        <v/>
      </c>
      <c r="CD39" s="197">
        <f>IF($J39="",#N/A,SUM($CC$4:CC39))</f>
        <v>0</v>
      </c>
      <c r="CE39" s="198" t="str">
        <f t="shared" si="37"/>
        <v/>
      </c>
      <c r="CF39" s="198">
        <f>IF($J39="",#N/A,SUM($CE$4:CE39))</f>
        <v>0.38695214599303662</v>
      </c>
      <c r="CG39" s="199">
        <f t="shared" si="38"/>
        <v>-0.82128514056224966</v>
      </c>
      <c r="CH39" s="199">
        <f>IF($J39="",#N/A,SUM($CG$4:CG39))</f>
        <v>-4.0393452731842965</v>
      </c>
      <c r="CI39" s="200" t="str">
        <f t="shared" si="39"/>
        <v/>
      </c>
      <c r="CJ39" s="206">
        <f>IF($J39="",#N/A,SUM(CI$4:CI39))</f>
        <v>0</v>
      </c>
      <c r="CK39" s="207" t="str">
        <f t="shared" si="40"/>
        <v/>
      </c>
      <c r="CL39" s="207">
        <f>IF($J39="",#N/A,SUM(CK$4:CK39))</f>
        <v>0</v>
      </c>
      <c r="CM39" s="208" t="str">
        <f t="shared" si="41"/>
        <v/>
      </c>
      <c r="CN39" s="208">
        <f>IF($J39="",#N/A,SUM(CM$4:CM39))</f>
        <v>0</v>
      </c>
      <c r="CO39" s="208">
        <f>IF($J39="",#N/A,SUM(CM$4:CM39,CK$4:CK39,CI$4:CI39))</f>
        <v>0</v>
      </c>
      <c r="CP39" s="200" t="str">
        <f t="shared" si="42"/>
        <v/>
      </c>
      <c r="CQ39" s="206">
        <f>IF($J39="",#N/A,SUM(CP$4:CP39))</f>
        <v>0</v>
      </c>
      <c r="CR39" s="207" t="str">
        <f t="shared" si="43"/>
        <v/>
      </c>
      <c r="CS39" s="207">
        <f>IF($J39="",#N/A,SUM(CR$4:CR39))</f>
        <v>0</v>
      </c>
      <c r="CT39" s="208" t="str">
        <f t="shared" si="44"/>
        <v/>
      </c>
      <c r="CU39" s="208">
        <f>IF($J39="",#N/A,SUM(CT$4:CT39))</f>
        <v>0</v>
      </c>
      <c r="CV39" s="208">
        <f>IF($J39="",#N/A,SUM(CT$4:CT39,CR$4:CR39,CP$4:CP39))</f>
        <v>0</v>
      </c>
      <c r="CW39" s="200" t="str">
        <f t="shared" si="45"/>
        <v/>
      </c>
      <c r="CX39" s="206">
        <f>IF($J39="",#N/A,SUM(CW$4:CW39))</f>
        <v>0</v>
      </c>
      <c r="CY39" s="207" t="str">
        <f t="shared" si="46"/>
        <v/>
      </c>
      <c r="CZ39" s="207">
        <f>IF($J39="",#N/A,SUM(CY$4:CY39))</f>
        <v>0</v>
      </c>
      <c r="DA39" s="208" t="str">
        <f t="shared" si="47"/>
        <v/>
      </c>
      <c r="DB39" s="208">
        <f>IF($J39="",#N/A,SUM(DA$4:DA39))</f>
        <v>0</v>
      </c>
      <c r="DC39" s="208">
        <f>IF($J39="",#N/A,SUM(DA$4:DA39,CY$4:CY39,CW$4:CW39))</f>
        <v>0</v>
      </c>
      <c r="DD39" s="200" t="str">
        <f t="shared" si="48"/>
        <v/>
      </c>
      <c r="DE39" s="206">
        <f>IF($J39="",#N/A,SUM(DD$4:DD39))</f>
        <v>0</v>
      </c>
      <c r="DF39" s="207" t="str">
        <f t="shared" si="49"/>
        <v/>
      </c>
      <c r="DG39" s="207">
        <f>IF($J39="",#N/A,SUM(DF$4:DF39))</f>
        <v>0.6788440567066546</v>
      </c>
      <c r="DH39" s="208" t="str">
        <f t="shared" si="50"/>
        <v/>
      </c>
      <c r="DI39" s="208">
        <f>IF($J39="",#N/A,SUM(DH$4:DH39))</f>
        <v>0</v>
      </c>
      <c r="DJ39" s="208">
        <f>IF($J39="",#N/A,SUM(DH$4:DH39,DF$4:DF39,DD$4:DD39))</f>
        <v>0.6788440567066546</v>
      </c>
      <c r="DK39" s="200" t="str">
        <f t="shared" si="51"/>
        <v/>
      </c>
      <c r="DL39" s="206">
        <f>IF($J39="",#N/A,SUM(DK$4:DK39))</f>
        <v>0</v>
      </c>
      <c r="DM39" s="207" t="str">
        <f t="shared" si="52"/>
        <v/>
      </c>
      <c r="DN39" s="207">
        <f>IF($J39="",#N/A,SUM(DM$4:DM39))</f>
        <v>0.36227168206863897</v>
      </c>
      <c r="DO39" s="208" t="str">
        <f t="shared" si="53"/>
        <v/>
      </c>
      <c r="DP39" s="208">
        <f>IF($J39="",#N/A,SUM(DO$4:DO39))</f>
        <v>0</v>
      </c>
      <c r="DQ39" s="208">
        <f>IF($J39="",#N/A,SUM(DO$4:DO39,DM$4:DM39,DK$4:DK39))</f>
        <v>0.36227168206863897</v>
      </c>
      <c r="DR39" s="200" t="str">
        <f t="shared" si="54"/>
        <v/>
      </c>
      <c r="DS39" s="206">
        <f>IF($J39="",#N/A,SUM(DR$4:DR39))</f>
        <v>0</v>
      </c>
      <c r="DT39" s="207" t="str">
        <f t="shared" si="55"/>
        <v/>
      </c>
      <c r="DU39" s="207">
        <f>IF($J39="",#N/A,SUM(DT$4:DT39))</f>
        <v>-0.53917580479739369</v>
      </c>
      <c r="DV39" s="208" t="str">
        <f t="shared" si="56"/>
        <v/>
      </c>
      <c r="DW39" s="208">
        <f>IF($J39="",#N/A,SUM(DV$4:DV39))</f>
        <v>-1.1003295949110772</v>
      </c>
      <c r="DX39" s="208">
        <f>IF($J39="",#N/A,SUM(DV$4:DV39,DT$4:DT39,DR$4:DR39))</f>
        <v>-1.6395053997084708</v>
      </c>
      <c r="DY39" s="200" t="str">
        <f t="shared" si="57"/>
        <v/>
      </c>
      <c r="DZ39" s="206">
        <f>IF($J39="",#N/A,SUM(DY$4:DY39))</f>
        <v>0</v>
      </c>
      <c r="EA39" s="207" t="str">
        <f t="shared" si="58"/>
        <v/>
      </c>
      <c r="EB39" s="207">
        <f>IF($J39="",#N/A,SUM(EA$4:EA39))</f>
        <v>0.43517953094202633</v>
      </c>
      <c r="EC39" s="208">
        <f t="shared" si="59"/>
        <v>-0.82128514056224966</v>
      </c>
      <c r="ED39" s="208">
        <f>IF($J39="",#N/A,SUM(EC$4:EC39))</f>
        <v>-0.29335791431061087</v>
      </c>
      <c r="EE39" s="208">
        <f>IF($J39="",#N/A,SUM(EC$4:EC39,EA$4:EA39,DY$4:DY39))</f>
        <v>0.14182161663141543</v>
      </c>
      <c r="EF39" s="200" t="str">
        <f t="shared" si="60"/>
        <v/>
      </c>
      <c r="EG39" s="206">
        <f>IF($J39="",#N/A,SUM(EF$4:EF39))</f>
        <v>0</v>
      </c>
      <c r="EH39" s="207" t="str">
        <f t="shared" si="61"/>
        <v/>
      </c>
      <c r="EI39" s="207">
        <f>IF($J39="",#N/A,SUM(EH$4:EH39))</f>
        <v>0</v>
      </c>
      <c r="EJ39" s="208" t="str">
        <f t="shared" si="62"/>
        <v/>
      </c>
      <c r="EK39" s="208">
        <f>IF($J39="",#N/A,SUM(EJ$4:EJ39))</f>
        <v>0.6035383334478206</v>
      </c>
      <c r="EL39" s="208">
        <f>IF($J39="",#N/A,SUM(EJ$4:EJ39,EH$4:EH39,EF$4:EF39))</f>
        <v>0.6035383334478206</v>
      </c>
      <c r="EM39" s="200" t="str">
        <f t="shared" si="63"/>
        <v/>
      </c>
      <c r="EN39" s="206">
        <f>IF($J39="",#N/A,SUM(EM$4:EM39))</f>
        <v>0</v>
      </c>
      <c r="EO39" s="207" t="str">
        <f t="shared" si="64"/>
        <v/>
      </c>
      <c r="EP39" s="207">
        <f>IF($J39="",#N/A,SUM(EO$4:EO39))</f>
        <v>0</v>
      </c>
      <c r="EQ39" s="208" t="str">
        <f t="shared" si="65"/>
        <v/>
      </c>
      <c r="ER39" s="208">
        <f>IF($J39="",#N/A,SUM(EQ$4:EQ39))</f>
        <v>0</v>
      </c>
      <c r="ES39" s="208">
        <f>IF($J39="",#N/A,SUM(EQ$4:EQ39,EO$4:EO39,EM$4:EM39))</f>
        <v>0</v>
      </c>
      <c r="ET39" s="200" t="str">
        <f t="shared" si="66"/>
        <v/>
      </c>
      <c r="EU39" s="206">
        <f>IF($J39="",#N/A,SUM(ET$4:ET39))</f>
        <v>0</v>
      </c>
      <c r="EV39" s="207" t="str">
        <f t="shared" si="67"/>
        <v/>
      </c>
      <c r="EW39" s="207">
        <f>IF($J39="",#N/A,SUM(EV$4:EV39))</f>
        <v>0</v>
      </c>
      <c r="EX39" s="208" t="str">
        <f t="shared" si="68"/>
        <v/>
      </c>
      <c r="EY39" s="208">
        <f>IF($J39="",#N/A,SUM(EX$4:EX39))</f>
        <v>0</v>
      </c>
      <c r="EZ39" s="208">
        <f>IF($J39="",#N/A,SUM(EX$4:EX39,EV$4:EV39,ET$4:ET39))</f>
        <v>0</v>
      </c>
      <c r="FA39" s="200" t="str">
        <f t="shared" si="69"/>
        <v/>
      </c>
      <c r="FB39" s="206">
        <f>IF($J39="",#N/A,SUM(FA$4:FA39))</f>
        <v>0</v>
      </c>
      <c r="FC39" s="207" t="str">
        <f t="shared" si="70"/>
        <v/>
      </c>
      <c r="FD39" s="207">
        <f>IF($J39="",#N/A,SUM(FC$4:FC39))</f>
        <v>0</v>
      </c>
      <c r="FE39" s="208" t="str">
        <f t="shared" si="71"/>
        <v/>
      </c>
      <c r="FF39" s="208">
        <f>IF($J39="",#N/A,SUM(FE$4:FE39))</f>
        <v>-0.11131725417439868</v>
      </c>
      <c r="FG39" s="208">
        <f>IF($J39="",#N/A,SUM(FE$4:FE39,FC$4:FC39,FA$4:FA39))</f>
        <v>-0.11131725417439868</v>
      </c>
      <c r="FH39" s="200" t="str">
        <f t="shared" si="72"/>
        <v/>
      </c>
      <c r="FI39" s="206">
        <f>IF($J39="",#N/A,SUM(FH$4:FH39))</f>
        <v>0</v>
      </c>
      <c r="FJ39" s="207" t="str">
        <f t="shared" si="73"/>
        <v/>
      </c>
      <c r="FK39" s="207">
        <f>IF($J39="",#N/A,SUM(FJ$4:FJ39))</f>
        <v>0</v>
      </c>
      <c r="FL39" s="208" t="str">
        <f t="shared" si="74"/>
        <v/>
      </c>
      <c r="FM39" s="208">
        <f>IF($J39="",#N/A,SUM(FL$4:FL39))</f>
        <v>0</v>
      </c>
      <c r="FN39" s="208">
        <f>IF($J39="",#N/A,SUM(FL$4:FL39,FJ$4:FJ39,FH$4:FH39))</f>
        <v>0</v>
      </c>
      <c r="FO39" s="200" t="str">
        <f t="shared" si="75"/>
        <v/>
      </c>
      <c r="FP39" s="206">
        <f>IF($J39="",#N/A,SUM(FO$4:FO39))</f>
        <v>0</v>
      </c>
      <c r="FQ39" s="207" t="str">
        <f t="shared" si="76"/>
        <v/>
      </c>
      <c r="FR39" s="207">
        <f>IF($J39="",#N/A,SUM(FQ$4:FQ39))</f>
        <v>0</v>
      </c>
      <c r="FS39" s="208" t="str">
        <f t="shared" si="77"/>
        <v/>
      </c>
      <c r="FT39" s="208">
        <f>IF($J39="",#N/A,SUM(FS$4:FS39))</f>
        <v>0</v>
      </c>
      <c r="FU39" s="208">
        <f>IF($J39="",#N/A,SUM(FS$4:FS39,FQ$4:FQ39,FO$4:FO39))</f>
        <v>0</v>
      </c>
      <c r="FV39" s="200" t="str">
        <f t="shared" si="78"/>
        <v/>
      </c>
      <c r="FW39" s="206">
        <f>IF($J39="",#N/A,SUM(FV$4:FV39))</f>
        <v>0</v>
      </c>
      <c r="FX39" s="207" t="str">
        <f t="shared" si="79"/>
        <v/>
      </c>
      <c r="FY39" s="207">
        <f>IF($J39="",#N/A,SUM(FX$4:FX39))</f>
        <v>0</v>
      </c>
      <c r="FZ39" s="208" t="str">
        <f t="shared" si="80"/>
        <v/>
      </c>
      <c r="GA39" s="208">
        <f>IF($J39="",#N/A,SUM(FZ$4:FZ39))</f>
        <v>-0.20104261551371039</v>
      </c>
      <c r="GB39" s="208">
        <f>IF($J39="",#N/A,SUM(FZ$4:FZ39,FX$4:FX39,FV$4:FV39))</f>
        <v>-0.20104261551371039</v>
      </c>
      <c r="GC39" s="200" t="str">
        <f t="shared" si="81"/>
        <v/>
      </c>
      <c r="GD39" s="206">
        <f>IF($J39="",#N/A,SUM(GC$4:GC39))</f>
        <v>0</v>
      </c>
      <c r="GE39" s="207" t="str">
        <f t="shared" si="82"/>
        <v/>
      </c>
      <c r="GF39" s="207">
        <f>IF($J39="",#N/A,SUM(GE$4:GE39))</f>
        <v>0</v>
      </c>
      <c r="GG39" s="208" t="str">
        <f t="shared" si="83"/>
        <v/>
      </c>
      <c r="GH39" s="208">
        <f>IF($J39="",#N/A,SUM(GG$4:GG39))</f>
        <v>-2.9368362277223206</v>
      </c>
      <c r="GI39" s="208">
        <f>IF($J39="",#N/A,SUM(GG$4:GG39,GE$4:GE39,GC$4:GC39))</f>
        <v>-2.9368362277223206</v>
      </c>
      <c r="GJ39" s="200" t="str">
        <f t="shared" si="84"/>
        <v/>
      </c>
      <c r="GK39" s="206">
        <f>IF($J39="",#N/A,SUM(GJ$4:GJ39))</f>
        <v>0</v>
      </c>
      <c r="GL39" s="207" t="str">
        <f t="shared" si="85"/>
        <v/>
      </c>
      <c r="GM39" s="207">
        <f>IF($J39="",#N/A,SUM(GL$4:GL39))</f>
        <v>-0.55016731892688953</v>
      </c>
      <c r="GN39" s="208" t="str">
        <f t="shared" si="86"/>
        <v/>
      </c>
      <c r="GO39" s="208">
        <f>IF($J39="",#N/A,SUM(GN$4:GN39))</f>
        <v>0</v>
      </c>
      <c r="GP39" s="208">
        <f>IF($J39="",#N/A,SUM(GN$4:GN39,GL$4:GL39,GJ$4:GJ39))</f>
        <v>-0.55016731892688953</v>
      </c>
      <c r="GS39" s="54">
        <f t="shared" si="105"/>
        <v>-0.82128514056224966</v>
      </c>
      <c r="GT39" s="54">
        <f>IF(GS39="",NA(),SUM($GS$4:GS39))</f>
        <v>-3.6523931271912593</v>
      </c>
      <c r="GU39" s="54" t="str">
        <f t="shared" si="87"/>
        <v/>
      </c>
      <c r="GV39" s="54" t="e">
        <f>IF(GU39="",NA(),SUM($GU$4:GU39))</f>
        <v>#N/A</v>
      </c>
      <c r="GW39" s="54">
        <f t="shared" si="88"/>
        <v>-0.82128514056224966</v>
      </c>
      <c r="GX39" s="54">
        <f>IF(GW39="",NA(),SUM($GW$4:GW39))</f>
        <v>-4.0393452731842965</v>
      </c>
      <c r="GY39" s="54" t="str">
        <f t="shared" si="89"/>
        <v/>
      </c>
      <c r="GZ39" s="54" t="e">
        <f>IF(GY39="",NA(),SUM($GY$4:GY39))</f>
        <v>#N/A</v>
      </c>
      <c r="HA39" s="54" t="str">
        <f t="shared" si="90"/>
        <v/>
      </c>
      <c r="HB39" s="54" t="e">
        <f>IF(HA39="",NA(),SUM($HA$4:HA39))</f>
        <v>#N/A</v>
      </c>
      <c r="HC39" s="54" t="str">
        <f t="shared" si="91"/>
        <v/>
      </c>
      <c r="HD39" s="54" t="e">
        <f>IF(HC39="",NA(),SUM($HC$4:HC39))</f>
        <v>#N/A</v>
      </c>
      <c r="HE39" s="54" t="str">
        <f t="shared" si="92"/>
        <v/>
      </c>
      <c r="HF39" s="54" t="e">
        <f>IF(HE39="",NA(),SUM($HE$4:HE39))</f>
        <v>#N/A</v>
      </c>
      <c r="HG39" s="54" t="str">
        <f t="shared" si="93"/>
        <v/>
      </c>
      <c r="HH39" s="54" t="e">
        <f>IF(HG39="",NA(),SUM($HG$4:HG39))</f>
        <v>#N/A</v>
      </c>
      <c r="HI39" s="172" t="str">
        <f t="shared" si="106"/>
        <v/>
      </c>
      <c r="HJ39" s="172">
        <f>IF($J39="",#N/A,SUM(HI$4:$HI39))</f>
        <v>-0.84321683845460527</v>
      </c>
      <c r="HK39" s="54" t="str">
        <f t="shared" si="94"/>
        <v/>
      </c>
      <c r="HL39" s="54">
        <f>IF($J39="",#N/A,SUM($HK$4:HK39))</f>
        <v>-2.253877969168868</v>
      </c>
      <c r="HM39" s="54" t="str">
        <f t="shared" si="95"/>
        <v/>
      </c>
      <c r="HN39" s="54">
        <f>IF($J39="",#N/A,SUM($HM$4:HM39))</f>
        <v>0</v>
      </c>
      <c r="HO39" s="54" t="str">
        <f t="shared" si="96"/>
        <v/>
      </c>
      <c r="HP39" s="54">
        <f>IF($J39="",#N/A,SUM($HO$4:HO39))</f>
        <v>0</v>
      </c>
      <c r="HQ39" s="54" t="str">
        <f t="shared" si="97"/>
        <v/>
      </c>
      <c r="HR39" s="54">
        <f>IF($J39="",#N/A,SUM($HQ$4:HQ39))</f>
        <v>-1.9772543158397295</v>
      </c>
      <c r="HS39" s="54">
        <f t="shared" si="98"/>
        <v>-0.51204819277108471</v>
      </c>
      <c r="HT39" s="54">
        <f>IF($J39="",#N/A,SUM($HS$4:HS39))</f>
        <v>4.4293076139753111</v>
      </c>
      <c r="HU39" s="65">
        <f t="shared" si="99"/>
        <v>-1.3333333333333344</v>
      </c>
      <c r="HV39" s="65">
        <f>IF($J39="",#N/A,SUM(HU$4:$HU39))</f>
        <v>-4.2974346366791529</v>
      </c>
    </row>
    <row r="40" spans="1:230" x14ac:dyDescent="0.25">
      <c r="A40" s="51" t="s">
        <v>1285</v>
      </c>
      <c r="B40" s="52" t="s">
        <v>4483</v>
      </c>
      <c r="C40" s="229">
        <f t="shared" si="0"/>
        <v>2</v>
      </c>
      <c r="D40" s="219" t="str">
        <f>_xlfn.XLOOKUP(A40,[1]SP500!$A$2:$A$502,[1]SP500!$D$2:$D$502,"N")</f>
        <v>Y</v>
      </c>
      <c r="E40" s="51" t="str">
        <f>IFERROR(_xlfn.XLOOKUP(A40,[1]SP500!$A$2:$A$655,[1]SP500!$B$2:$B$655),"")</f>
        <v>XLF</v>
      </c>
      <c r="F40" s="53">
        <v>45764</v>
      </c>
      <c r="G40" s="51" t="str">
        <f t="shared" si="1"/>
        <v>BMO</v>
      </c>
      <c r="H40" s="51" t="str">
        <f t="shared" si="2"/>
        <v>s</v>
      </c>
      <c r="I40" s="344">
        <v>129.38</v>
      </c>
      <c r="J40" s="123">
        <v>132</v>
      </c>
      <c r="K40" s="55">
        <f t="shared" si="3"/>
        <v>2.0250425104343828E-2</v>
      </c>
      <c r="L40" s="67">
        <f t="shared" si="4"/>
        <v>-23.579999999999927</v>
      </c>
      <c r="M40" s="57">
        <f t="shared" si="5"/>
        <v>0</v>
      </c>
      <c r="N40" s="102">
        <f t="shared" si="6"/>
        <v>-23.579999999999927</v>
      </c>
      <c r="O40" s="57">
        <f>IF(N40="",#N/A,SUM($N$4:N40))</f>
        <v>-266.62462593337011</v>
      </c>
      <c r="P40" s="65">
        <f t="shared" si="100"/>
        <v>-0.33750708507239552</v>
      </c>
      <c r="Q40" s="172">
        <f>IF($N40="",#N/A,SUM($P$4:P40))</f>
        <v>-3.9899002122636547</v>
      </c>
      <c r="R40" s="359">
        <f t="shared" si="7"/>
        <v>0.64644496065200352</v>
      </c>
      <c r="S40" s="51" t="str">
        <f t="shared" si="8"/>
        <v>Dwn</v>
      </c>
      <c r="T40" s="51" t="s">
        <v>4461</v>
      </c>
      <c r="U40" s="56">
        <f t="shared" si="9"/>
        <v>129.38</v>
      </c>
      <c r="V40" s="56" t="s">
        <v>4458</v>
      </c>
      <c r="W40" s="140">
        <v>9</v>
      </c>
      <c r="X40" s="145">
        <f t="shared" si="10"/>
        <v>1164.42</v>
      </c>
      <c r="Y40" s="140">
        <f t="shared" si="11"/>
        <v>9</v>
      </c>
      <c r="Z40" s="123">
        <v>132</v>
      </c>
      <c r="AA40" s="102">
        <f t="shared" si="12"/>
        <v>-23.579999999999927</v>
      </c>
      <c r="AB40" s="102">
        <f t="shared" si="13"/>
        <v>-9.0899999999996908</v>
      </c>
      <c r="AC40" s="124">
        <v>130.38999999999999</v>
      </c>
      <c r="AD40" s="155">
        <f t="shared" si="14"/>
        <v>-9.0899999999996908</v>
      </c>
      <c r="AE40" s="545">
        <f t="shared" si="15"/>
        <v>-0.13010769310042325</v>
      </c>
      <c r="AF40" s="57">
        <f>IF($AC40="",#N/A,SUM(AD$4:AD40))</f>
        <v>-290.52967140832527</v>
      </c>
      <c r="AG40" s="102">
        <f t="shared" si="16"/>
        <v>14.490000000000236</v>
      </c>
      <c r="AH40" s="56" t="s">
        <v>2507</v>
      </c>
      <c r="AI40" s="65">
        <f t="shared" si="17"/>
        <v>-0.33750708507239552</v>
      </c>
      <c r="AJ40" s="54">
        <f>IF(AI40="",#N/A,SUM($AI$4:AI40))</f>
        <v>-4.6363451729156582</v>
      </c>
      <c r="AK40" s="57">
        <f t="shared" si="18"/>
        <v>-23.579999999999927</v>
      </c>
      <c r="AL40" s="349">
        <f>IF(AI40="",#N/A,IF(AH40="Skip",SUM($AK$4:AK40),SUM($AK$4:AK40)))</f>
        <v>-312.61499999999921</v>
      </c>
      <c r="AM40" s="65">
        <f t="shared" si="101"/>
        <v>-0.13010769310042325</v>
      </c>
      <c r="AN40" s="209"/>
      <c r="AO40" s="65" t="str">
        <f t="shared" si="19"/>
        <v/>
      </c>
      <c r="AP40" s="65">
        <f>IF($AC40="",#N/A,SUM(AO$4:AO40))</f>
        <v>-1.587291975048716</v>
      </c>
      <c r="AQ40" s="65" t="str">
        <f t="shared" si="20"/>
        <v/>
      </c>
      <c r="AR40" s="65">
        <f>IF($AC40="",#N/A,SUM(AQ$4:AQ40))</f>
        <v>0</v>
      </c>
      <c r="AS40" s="65">
        <f t="shared" si="21"/>
        <v>-0.13010769310042325</v>
      </c>
      <c r="AT40" s="65">
        <f>IF($AC40="",#N/A,SUM(AS$4:AS40))</f>
        <v>-2.84025035473086</v>
      </c>
      <c r="AU40" s="57" t="str">
        <f t="shared" si="102"/>
        <v/>
      </c>
      <c r="AV40" s="57">
        <f>IF($AC40="",#N/A,SUM(AU$4:AU40))</f>
        <v>-117.30129850550941</v>
      </c>
      <c r="AW40" s="57" t="str">
        <f t="shared" si="103"/>
        <v/>
      </c>
      <c r="AX40" s="57">
        <f>IF($AC40="",#N/A,SUM(AW$4:AW40))</f>
        <v>0</v>
      </c>
      <c r="AY40" s="57">
        <f t="shared" si="104"/>
        <v>-9.0899999999996908</v>
      </c>
      <c r="AZ40" s="57">
        <f>IF($AC40="",#N/A,SUM(AY$4:AY40))</f>
        <v>-173.22837290281586</v>
      </c>
      <c r="BA40" s="57">
        <f>IF(AD40="",#N/A,SUM($AD$4:AD40))</f>
        <v>-290.52967140832527</v>
      </c>
      <c r="BC40" s="51" t="str">
        <f t="shared" si="22"/>
        <v/>
      </c>
      <c r="BD40" s="51">
        <f t="shared" si="23"/>
        <v>1</v>
      </c>
      <c r="BE40" s="51" t="str">
        <f t="shared" si="24"/>
        <v/>
      </c>
      <c r="BF40" s="51" t="str">
        <f t="shared" si="25"/>
        <v>Short</v>
      </c>
      <c r="BG40" s="51" t="str">
        <f t="shared" si="26"/>
        <v/>
      </c>
      <c r="BH40" s="51" t="str">
        <f t="shared" si="27"/>
        <v/>
      </c>
      <c r="BI40" s="51" t="str">
        <f t="shared" si="28"/>
        <v/>
      </c>
      <c r="BK40" s="184"/>
      <c r="BL40" s="65">
        <f t="shared" si="107"/>
        <v>-0.1539761539590091</v>
      </c>
      <c r="BM40" s="65">
        <f>IFERROR(Q40/COUNTA($J$4:J40),#N/A)</f>
        <v>-0.10783514087199067</v>
      </c>
      <c r="BO40" s="489" t="e">
        <f>IF(J40="",#N/A,IF(S40="SW",(COUNTIFS(K$4:$K40,"&gt;0",S$4:$S40,"SW")/COUNTIF(S$4:$S40,"SW")),#N/A))</f>
        <v>#N/A</v>
      </c>
      <c r="BP40" s="489">
        <f>IF($J40="",#N/A,IF($S40="DWN",(COUNTIFS($K$4:$K40,"&lt;0",$S$4:$S40,"DWN")/COUNTIF($S$4:$S40,"DWN")),#N/A))</f>
        <v>0.6</v>
      </c>
      <c r="BQ40" s="489" t="e">
        <f>IF($J40="",#N/A,IF($S40="UP",(COUNTIFS($K$4:$K40,"&gt;0",$S$4:$S40,"UP")/COUNTIF($S$4:$S40,"UP")),#N/A))</f>
        <v>#N/A</v>
      </c>
      <c r="BR40" s="489">
        <f>IF(J40="",#N/A,COUNTIF($K$4:K40,"&gt;0")/COUNT($J$4:J40))</f>
        <v>0.43243243243243246</v>
      </c>
      <c r="BS40" s="65" t="str">
        <f t="shared" si="29"/>
        <v/>
      </c>
      <c r="BT40" s="65" t="str">
        <f t="shared" si="30"/>
        <v/>
      </c>
      <c r="BU40" s="65" t="str">
        <f t="shared" si="31"/>
        <v/>
      </c>
      <c r="BV40" s="65">
        <f t="shared" si="32"/>
        <v>-0.33750708507239552</v>
      </c>
      <c r="BW40" s="128" t="str">
        <f t="shared" si="33"/>
        <v/>
      </c>
      <c r="BX40" s="128">
        <f>IF($J40="",#N/A,SUM($BW$4:BW40))</f>
        <v>0</v>
      </c>
      <c r="BY40" s="131">
        <f t="shared" si="34"/>
        <v>-23.579999999999927</v>
      </c>
      <c r="BZ40" s="131">
        <f>IF($J40="",#N/A,SUM($BY$4:BY40))</f>
        <v>0.67628046850416013</v>
      </c>
      <c r="CA40" s="133" t="str">
        <f t="shared" si="35"/>
        <v/>
      </c>
      <c r="CB40" s="133">
        <f>IF($J40="",#N/A,SUM($CA$4:CA40))</f>
        <v>-267.30090640187427</v>
      </c>
      <c r="CC40" s="194" t="str">
        <f t="shared" si="36"/>
        <v/>
      </c>
      <c r="CD40" s="194">
        <f>IF($J40="",#N/A,SUM($CC$4:CC40))</f>
        <v>0</v>
      </c>
      <c r="CE40" s="195">
        <f t="shared" si="37"/>
        <v>-0.33750708507239552</v>
      </c>
      <c r="CF40" s="195">
        <f>IF($J40="",#N/A,SUM($CE$4:CE40))</f>
        <v>4.9445060920641104E-2</v>
      </c>
      <c r="CG40" s="196" t="str">
        <f t="shared" si="38"/>
        <v/>
      </c>
      <c r="CH40" s="193">
        <f>IF($J40="",#N/A,SUM($CG$4:CG40))</f>
        <v>-4.0393452731842965</v>
      </c>
      <c r="CI40" s="200" t="str">
        <f t="shared" si="39"/>
        <v/>
      </c>
      <c r="CJ40" s="203">
        <f>IF($J40="",#N/A,SUM(CI$4:CI40))</f>
        <v>0</v>
      </c>
      <c r="CK40" s="204" t="str">
        <f t="shared" si="40"/>
        <v/>
      </c>
      <c r="CL40" s="204">
        <f>IF($J40="",#N/A,SUM(CK$4:CK40))</f>
        <v>0</v>
      </c>
      <c r="CM40" s="205" t="str">
        <f t="shared" si="41"/>
        <v/>
      </c>
      <c r="CN40" s="205">
        <f>IF($J40="",#N/A,SUM(CM$4:CM40))</f>
        <v>0</v>
      </c>
      <c r="CO40" s="205">
        <f>IF($J40="",#N/A,SUM(CM$4:CM40,CK$4:CK40,CI$4:CI40))</f>
        <v>0</v>
      </c>
      <c r="CP40" s="200" t="str">
        <f t="shared" si="42"/>
        <v/>
      </c>
      <c r="CQ40" s="203">
        <f>IF($J40="",#N/A,SUM(CP$4:CP40))</f>
        <v>0</v>
      </c>
      <c r="CR40" s="204" t="str">
        <f t="shared" si="43"/>
        <v/>
      </c>
      <c r="CS40" s="204">
        <f>IF($J40="",#N/A,SUM(CR$4:CR40))</f>
        <v>0</v>
      </c>
      <c r="CT40" s="205" t="str">
        <f t="shared" si="44"/>
        <v/>
      </c>
      <c r="CU40" s="205">
        <f>IF($J40="",#N/A,SUM(CT$4:CT40))</f>
        <v>0</v>
      </c>
      <c r="CV40" s="205">
        <f>IF($J40="",#N/A,SUM(CT$4:CT40,CR$4:CR40,CP$4:CP40))</f>
        <v>0</v>
      </c>
      <c r="CW40" s="200" t="str">
        <f t="shared" si="45"/>
        <v/>
      </c>
      <c r="CX40" s="203">
        <f>IF($J40="",#N/A,SUM(CW$4:CW40))</f>
        <v>0</v>
      </c>
      <c r="CY40" s="204" t="str">
        <f t="shared" si="46"/>
        <v/>
      </c>
      <c r="CZ40" s="204">
        <f>IF($J40="",#N/A,SUM(CY$4:CY40))</f>
        <v>0</v>
      </c>
      <c r="DA40" s="205" t="str">
        <f t="shared" si="47"/>
        <v/>
      </c>
      <c r="DB40" s="205">
        <f>IF($J40="",#N/A,SUM(DA$4:DA40))</f>
        <v>0</v>
      </c>
      <c r="DC40" s="205">
        <f>IF($J40="",#N/A,SUM(DA$4:DA40,CY$4:CY40,CW$4:CW40))</f>
        <v>0</v>
      </c>
      <c r="DD40" s="200" t="str">
        <f t="shared" si="48"/>
        <v/>
      </c>
      <c r="DE40" s="203">
        <f>IF($J40="",#N/A,SUM(DD$4:DD40))</f>
        <v>0</v>
      </c>
      <c r="DF40" s="204" t="str">
        <f t="shared" si="49"/>
        <v/>
      </c>
      <c r="DG40" s="204">
        <f>IF($J40="",#N/A,SUM(DF$4:DF40))</f>
        <v>0.6788440567066546</v>
      </c>
      <c r="DH40" s="205" t="str">
        <f t="shared" si="50"/>
        <v/>
      </c>
      <c r="DI40" s="205">
        <f>IF($J40="",#N/A,SUM(DH$4:DH40))</f>
        <v>0</v>
      </c>
      <c r="DJ40" s="205">
        <f>IF($J40="",#N/A,SUM(DH$4:DH40,DF$4:DF40,DD$4:DD40))</f>
        <v>0.6788440567066546</v>
      </c>
      <c r="DK40" s="200" t="str">
        <f t="shared" si="51"/>
        <v/>
      </c>
      <c r="DL40" s="203">
        <f>IF($J40="",#N/A,SUM(DK$4:DK40))</f>
        <v>0</v>
      </c>
      <c r="DM40" s="204" t="str">
        <f t="shared" si="52"/>
        <v/>
      </c>
      <c r="DN40" s="204">
        <f>IF($J40="",#N/A,SUM(DM$4:DM40))</f>
        <v>0.36227168206863897</v>
      </c>
      <c r="DO40" s="205" t="str">
        <f t="shared" si="53"/>
        <v/>
      </c>
      <c r="DP40" s="205">
        <f>IF($J40="",#N/A,SUM(DO$4:DO40))</f>
        <v>0</v>
      </c>
      <c r="DQ40" s="205">
        <f>IF($J40="",#N/A,SUM(DO$4:DO40,DM$4:DM40,DK$4:DK40))</f>
        <v>0.36227168206863897</v>
      </c>
      <c r="DR40" s="200" t="str">
        <f t="shared" si="54"/>
        <v/>
      </c>
      <c r="DS40" s="203">
        <f>IF($J40="",#N/A,SUM(DR$4:DR40))</f>
        <v>0</v>
      </c>
      <c r="DT40" s="204">
        <f t="shared" si="55"/>
        <v>-0.33750708507239552</v>
      </c>
      <c r="DU40" s="204">
        <f>IF($J40="",#N/A,SUM(DT$4:DT40))</f>
        <v>-0.87668288986978915</v>
      </c>
      <c r="DV40" s="205" t="str">
        <f t="shared" si="56"/>
        <v/>
      </c>
      <c r="DW40" s="205">
        <f>IF($J40="",#N/A,SUM(DV$4:DV40))</f>
        <v>-1.1003295949110772</v>
      </c>
      <c r="DX40" s="205">
        <f>IF($J40="",#N/A,SUM(DV$4:DV40,DT$4:DT40,DR$4:DR40))</f>
        <v>-1.9770124847808663</v>
      </c>
      <c r="DY40" s="200" t="str">
        <f t="shared" si="57"/>
        <v/>
      </c>
      <c r="DZ40" s="203">
        <f>IF($J40="",#N/A,SUM(DY$4:DY40))</f>
        <v>0</v>
      </c>
      <c r="EA40" s="204" t="str">
        <f t="shared" si="58"/>
        <v/>
      </c>
      <c r="EB40" s="204">
        <f>IF($J40="",#N/A,SUM(EA$4:EA40))</f>
        <v>0.43517953094202633</v>
      </c>
      <c r="EC40" s="205" t="str">
        <f t="shared" si="59"/>
        <v/>
      </c>
      <c r="ED40" s="205">
        <f>IF($J40="",#N/A,SUM(EC$4:EC40))</f>
        <v>-0.29335791431061087</v>
      </c>
      <c r="EE40" s="205">
        <f>IF($J40="",#N/A,SUM(EC$4:EC40,EA$4:EA40,DY$4:DY40))</f>
        <v>0.14182161663141543</v>
      </c>
      <c r="EF40" s="200" t="str">
        <f t="shared" si="60"/>
        <v/>
      </c>
      <c r="EG40" s="203">
        <f>IF($J40="",#N/A,SUM(EF$4:EF40))</f>
        <v>0</v>
      </c>
      <c r="EH40" s="204" t="str">
        <f t="shared" si="61"/>
        <v/>
      </c>
      <c r="EI40" s="204">
        <f>IF($J40="",#N/A,SUM(EH$4:EH40))</f>
        <v>0</v>
      </c>
      <c r="EJ40" s="205" t="str">
        <f t="shared" si="62"/>
        <v/>
      </c>
      <c r="EK40" s="205">
        <f>IF($J40="",#N/A,SUM(EJ$4:EJ40))</f>
        <v>0.6035383334478206</v>
      </c>
      <c r="EL40" s="205">
        <f>IF($J40="",#N/A,SUM(EJ$4:EJ40,EH$4:EH40,EF$4:EF40))</f>
        <v>0.6035383334478206</v>
      </c>
      <c r="EM40" s="200" t="str">
        <f t="shared" si="63"/>
        <v/>
      </c>
      <c r="EN40" s="203">
        <f>IF($J40="",#N/A,SUM(EM$4:EM40))</f>
        <v>0</v>
      </c>
      <c r="EO40" s="204" t="str">
        <f t="shared" si="64"/>
        <v/>
      </c>
      <c r="EP40" s="204">
        <f>IF($J40="",#N/A,SUM(EO$4:EO40))</f>
        <v>0</v>
      </c>
      <c r="EQ40" s="205" t="str">
        <f t="shared" si="65"/>
        <v/>
      </c>
      <c r="ER40" s="205">
        <f>IF($J40="",#N/A,SUM(EQ$4:EQ40))</f>
        <v>0</v>
      </c>
      <c r="ES40" s="205">
        <f>IF($J40="",#N/A,SUM(EQ$4:EQ40,EO$4:EO40,EM$4:EM40))</f>
        <v>0</v>
      </c>
      <c r="ET40" s="200" t="str">
        <f t="shared" si="66"/>
        <v/>
      </c>
      <c r="EU40" s="203">
        <f>IF($J40="",#N/A,SUM(ET$4:ET40))</f>
        <v>0</v>
      </c>
      <c r="EV40" s="204" t="str">
        <f t="shared" si="67"/>
        <v/>
      </c>
      <c r="EW40" s="204">
        <f>IF($J40="",#N/A,SUM(EV$4:EV40))</f>
        <v>0</v>
      </c>
      <c r="EX40" s="205" t="str">
        <f t="shared" si="68"/>
        <v/>
      </c>
      <c r="EY40" s="205">
        <f>IF($J40="",#N/A,SUM(EX$4:EX40))</f>
        <v>0</v>
      </c>
      <c r="EZ40" s="205">
        <f>IF($J40="",#N/A,SUM(EX$4:EX40,EV$4:EV40,ET$4:ET40))</f>
        <v>0</v>
      </c>
      <c r="FA40" s="200" t="str">
        <f t="shared" si="69"/>
        <v/>
      </c>
      <c r="FB40" s="203">
        <f>IF($J40="",#N/A,SUM(FA$4:FA40))</f>
        <v>0</v>
      </c>
      <c r="FC40" s="204" t="str">
        <f t="shared" si="70"/>
        <v/>
      </c>
      <c r="FD40" s="204">
        <f>IF($J40="",#N/A,SUM(FC$4:FC40))</f>
        <v>0</v>
      </c>
      <c r="FE40" s="205" t="str">
        <f t="shared" si="71"/>
        <v/>
      </c>
      <c r="FF40" s="205">
        <f>IF($J40="",#N/A,SUM(FE$4:FE40))</f>
        <v>-0.11131725417439868</v>
      </c>
      <c r="FG40" s="205">
        <f>IF($J40="",#N/A,SUM(FE$4:FE40,FC$4:FC40,FA$4:FA40))</f>
        <v>-0.11131725417439868</v>
      </c>
      <c r="FH40" s="200" t="str">
        <f t="shared" si="72"/>
        <v/>
      </c>
      <c r="FI40" s="203">
        <f>IF($J40="",#N/A,SUM(FH$4:FH40))</f>
        <v>0</v>
      </c>
      <c r="FJ40" s="204" t="str">
        <f t="shared" si="73"/>
        <v/>
      </c>
      <c r="FK40" s="204">
        <f>IF($J40="",#N/A,SUM(FJ$4:FJ40))</f>
        <v>0</v>
      </c>
      <c r="FL40" s="205" t="str">
        <f t="shared" si="74"/>
        <v/>
      </c>
      <c r="FM40" s="205">
        <f>IF($J40="",#N/A,SUM(FL$4:FL40))</f>
        <v>0</v>
      </c>
      <c r="FN40" s="205">
        <f>IF($J40="",#N/A,SUM(FL$4:FL40,FJ$4:FJ40,FH$4:FH40))</f>
        <v>0</v>
      </c>
      <c r="FO40" s="200" t="str">
        <f t="shared" si="75"/>
        <v/>
      </c>
      <c r="FP40" s="203">
        <f>IF($J40="",#N/A,SUM(FO$4:FO40))</f>
        <v>0</v>
      </c>
      <c r="FQ40" s="204" t="str">
        <f t="shared" si="76"/>
        <v/>
      </c>
      <c r="FR40" s="204">
        <f>IF($J40="",#N/A,SUM(FQ$4:FQ40))</f>
        <v>0</v>
      </c>
      <c r="FS40" s="205" t="str">
        <f t="shared" si="77"/>
        <v/>
      </c>
      <c r="FT40" s="205">
        <f>IF($J40="",#N/A,SUM(FS$4:FS40))</f>
        <v>0</v>
      </c>
      <c r="FU40" s="205">
        <f>IF($J40="",#N/A,SUM(FS$4:FS40,FQ$4:FQ40,FO$4:FO40))</f>
        <v>0</v>
      </c>
      <c r="FV40" s="200" t="str">
        <f t="shared" si="78"/>
        <v/>
      </c>
      <c r="FW40" s="203">
        <f>IF($J40="",#N/A,SUM(FV$4:FV40))</f>
        <v>0</v>
      </c>
      <c r="FX40" s="204" t="str">
        <f t="shared" si="79"/>
        <v/>
      </c>
      <c r="FY40" s="204">
        <f>IF($J40="",#N/A,SUM(FX$4:FX40))</f>
        <v>0</v>
      </c>
      <c r="FZ40" s="205" t="str">
        <f t="shared" si="80"/>
        <v/>
      </c>
      <c r="GA40" s="205">
        <f>IF($J40="",#N/A,SUM(FZ$4:FZ40))</f>
        <v>-0.20104261551371039</v>
      </c>
      <c r="GB40" s="205">
        <f>IF($J40="",#N/A,SUM(FZ$4:FZ40,FX$4:FX40,FV$4:FV40))</f>
        <v>-0.20104261551371039</v>
      </c>
      <c r="GC40" s="200" t="str">
        <f t="shared" si="81"/>
        <v/>
      </c>
      <c r="GD40" s="203">
        <f>IF($J40="",#N/A,SUM(GC$4:GC40))</f>
        <v>0</v>
      </c>
      <c r="GE40" s="204" t="str">
        <f t="shared" si="82"/>
        <v/>
      </c>
      <c r="GF40" s="204">
        <f>IF($J40="",#N/A,SUM(GE$4:GE40))</f>
        <v>0</v>
      </c>
      <c r="GG40" s="205" t="str">
        <f t="shared" si="83"/>
        <v/>
      </c>
      <c r="GH40" s="205">
        <f>IF($J40="",#N/A,SUM(GG$4:GG40))</f>
        <v>-2.9368362277223206</v>
      </c>
      <c r="GI40" s="205">
        <f>IF($J40="",#N/A,SUM(GG$4:GG40,GE$4:GE40,GC$4:GC40))</f>
        <v>-2.9368362277223206</v>
      </c>
      <c r="GJ40" s="200" t="str">
        <f t="shared" si="84"/>
        <v/>
      </c>
      <c r="GK40" s="203">
        <f>IF($J40="",#N/A,SUM(GJ$4:GJ40))</f>
        <v>0</v>
      </c>
      <c r="GL40" s="204" t="str">
        <f t="shared" si="85"/>
        <v/>
      </c>
      <c r="GM40" s="204">
        <f>IF($J40="",#N/A,SUM(GL$4:GL40))</f>
        <v>-0.55016731892688953</v>
      </c>
      <c r="GN40" s="205" t="str">
        <f t="shared" si="86"/>
        <v/>
      </c>
      <c r="GO40" s="205">
        <f>IF($J40="",#N/A,SUM(GN$4:GN40))</f>
        <v>0</v>
      </c>
      <c r="GP40" s="205">
        <f>IF($J40="",#N/A,SUM(GN$4:GN40,GL$4:GL40,GJ$4:GJ40))</f>
        <v>-0.55016731892688953</v>
      </c>
      <c r="GS40" s="54">
        <f t="shared" si="105"/>
        <v>-0.33750708507239552</v>
      </c>
      <c r="GT40" s="54">
        <f>IF(GS40="",NA(),SUM($GS$4:GS40))</f>
        <v>-3.9899002122636547</v>
      </c>
      <c r="GU40" s="54" t="str">
        <f t="shared" si="87"/>
        <v/>
      </c>
      <c r="GV40" s="54" t="e">
        <f>IF(GU40="",NA(),SUM($GU$4:GU40))</f>
        <v>#N/A</v>
      </c>
      <c r="GW40" s="54" t="str">
        <f t="shared" si="88"/>
        <v/>
      </c>
      <c r="GX40" s="54" t="e">
        <f>IF(GW40="",NA(),SUM($GW$4:GW40))</f>
        <v>#N/A</v>
      </c>
      <c r="GY40" s="54">
        <f t="shared" si="89"/>
        <v>-0.33750708507239552</v>
      </c>
      <c r="GZ40" s="54">
        <f>IF(GY40="",NA(),SUM($GY$4:GY40))</f>
        <v>4.9445060920641104E-2</v>
      </c>
      <c r="HA40" s="54" t="str">
        <f t="shared" si="90"/>
        <v/>
      </c>
      <c r="HB40" s="54" t="e">
        <f>IF(HA40="",NA(),SUM($HA$4:HA40))</f>
        <v>#N/A</v>
      </c>
      <c r="HC40" s="54" t="str">
        <f t="shared" si="91"/>
        <v/>
      </c>
      <c r="HD40" s="54" t="e">
        <f>IF(HC40="",NA(),SUM($HC$4:HC40))</f>
        <v>#N/A</v>
      </c>
      <c r="HE40" s="54" t="str">
        <f t="shared" si="92"/>
        <v/>
      </c>
      <c r="HF40" s="54" t="e">
        <f>IF(HE40="",NA(),SUM($HE$4:HE40))</f>
        <v>#N/A</v>
      </c>
      <c r="HG40" s="54" t="str">
        <f t="shared" si="93"/>
        <v/>
      </c>
      <c r="HH40" s="54" t="e">
        <f>IF(HG40="",NA(),SUM($HG$4:HG40))</f>
        <v>#N/A</v>
      </c>
      <c r="HI40" s="172" t="str">
        <f t="shared" si="106"/>
        <v/>
      </c>
      <c r="HJ40" s="172">
        <f>IF($J40="",#N/A,SUM(HI$4:$HI40))</f>
        <v>-0.84321683845460527</v>
      </c>
      <c r="HK40" s="54">
        <f t="shared" si="94"/>
        <v>0.20739939197197227</v>
      </c>
      <c r="HL40" s="54">
        <f>IF($J40="",#N/A,SUM($HK$4:HK40))</f>
        <v>-2.0464785771968956</v>
      </c>
      <c r="HM40" s="54" t="str">
        <f t="shared" si="95"/>
        <v/>
      </c>
      <c r="HN40" s="54">
        <f>IF($J40="",#N/A,SUM($HM$4:HM40))</f>
        <v>0</v>
      </c>
      <c r="HO40" s="54" t="str">
        <f t="shared" si="96"/>
        <v/>
      </c>
      <c r="HP40" s="54">
        <f>IF($J40="",#N/A,SUM($HO$4:HO40))</f>
        <v>0</v>
      </c>
      <c r="HQ40" s="54" t="str">
        <f t="shared" si="97"/>
        <v/>
      </c>
      <c r="HR40" s="54">
        <f>IF($J40="",#N/A,SUM($HQ$4:HQ40))</f>
        <v>-1.9772543158397295</v>
      </c>
      <c r="HS40" s="54" t="str">
        <f t="shared" si="98"/>
        <v/>
      </c>
      <c r="HT40" s="54">
        <f>IF($J40="",#N/A,SUM($HS$4:HS40))</f>
        <v>4.4293076139753111</v>
      </c>
      <c r="HU40" s="65">
        <f t="shared" si="99"/>
        <v>-0.13010769310042325</v>
      </c>
      <c r="HV40" s="65">
        <f>IF($J40="",#N/A,SUM(HU$4:$HU40))</f>
        <v>-4.427542329779576</v>
      </c>
    </row>
    <row r="41" spans="1:230" ht="15.75" thickBot="1" x14ac:dyDescent="0.3">
      <c r="A41" s="292" t="s">
        <v>2402</v>
      </c>
      <c r="B41" s="293" t="s">
        <v>4483</v>
      </c>
      <c r="C41" s="294">
        <f t="shared" si="0"/>
        <v>3</v>
      </c>
      <c r="D41" s="295" t="str">
        <f>_xlfn.XLOOKUP(A41,[1]SP500!$A$2:$A$502,[1]SP500!$D$2:$D$502,"N")</f>
        <v>N</v>
      </c>
      <c r="E41" s="292" t="str">
        <f>IFERROR(_xlfn.XLOOKUP(A41,[1]SP500!$A$2:$A$655,[1]SP500!$B$2:$B$655),"")</f>
        <v>XLF</v>
      </c>
      <c r="F41" s="296">
        <v>45764</v>
      </c>
      <c r="G41" s="292" t="str">
        <f t="shared" si="1"/>
        <v>BMO</v>
      </c>
      <c r="H41" s="292" t="str">
        <f t="shared" si="2"/>
        <v>s</v>
      </c>
      <c r="I41" s="345">
        <v>32.18</v>
      </c>
      <c r="J41" s="297">
        <v>32.57</v>
      </c>
      <c r="K41" s="298">
        <f t="shared" si="3"/>
        <v>1.211932877563706E-2</v>
      </c>
      <c r="L41" s="299">
        <f t="shared" si="4"/>
        <v>13.650000000000091</v>
      </c>
      <c r="M41" s="300">
        <f t="shared" si="5"/>
        <v>0</v>
      </c>
      <c r="N41" s="341">
        <f t="shared" si="6"/>
        <v>13.650000000000091</v>
      </c>
      <c r="O41" s="300">
        <f>IF(N41="",#N/A,SUM($N$4:N41))</f>
        <v>-252.97462593337002</v>
      </c>
      <c r="P41" s="305">
        <f t="shared" si="100"/>
        <v>0.2019888129272854</v>
      </c>
      <c r="Q41" s="304">
        <f>IF($N41="",#N/A,SUM($P$4:P41))</f>
        <v>-3.7879113993363691</v>
      </c>
      <c r="R41" s="307">
        <f t="shared" si="7"/>
        <v>0.64644496065200352</v>
      </c>
      <c r="S41" s="292" t="str">
        <f t="shared" si="8"/>
        <v>SW</v>
      </c>
      <c r="T41" s="292" t="s">
        <v>2828</v>
      </c>
      <c r="U41" s="308">
        <f t="shared" si="9"/>
        <v>32.18</v>
      </c>
      <c r="V41" s="308" t="s">
        <v>4460</v>
      </c>
      <c r="W41" s="310">
        <v>35</v>
      </c>
      <c r="X41" s="309">
        <f t="shared" si="10"/>
        <v>1126.3</v>
      </c>
      <c r="Y41" s="310">
        <f t="shared" si="11"/>
        <v>35</v>
      </c>
      <c r="Z41" s="313">
        <v>32.57</v>
      </c>
      <c r="AA41" s="341">
        <f t="shared" si="12"/>
        <v>13.650000000000091</v>
      </c>
      <c r="AB41" s="341">
        <f t="shared" si="13"/>
        <v>-19.25</v>
      </c>
      <c r="AC41" s="297">
        <v>31.63</v>
      </c>
      <c r="AD41" s="301">
        <f t="shared" si="14"/>
        <v>-19.25</v>
      </c>
      <c r="AE41" s="546">
        <f t="shared" si="15"/>
        <v>-0.28485601823078521</v>
      </c>
      <c r="AF41" s="300">
        <f>IF($AC41="",#N/A,SUM(AD$4:AD41))</f>
        <v>-309.77967140832527</v>
      </c>
      <c r="AG41" s="341">
        <f t="shared" si="16"/>
        <v>-32.900000000000091</v>
      </c>
      <c r="AH41" s="308" t="s">
        <v>2507</v>
      </c>
      <c r="AI41" s="305">
        <f t="shared" si="17"/>
        <v>0.2019888129272854</v>
      </c>
      <c r="AJ41" s="360">
        <f>IF(AI41="",#N/A,SUM($AI$4:AI41))</f>
        <v>-4.4343563599883726</v>
      </c>
      <c r="AK41" s="300">
        <f t="shared" si="18"/>
        <v>13.650000000000091</v>
      </c>
      <c r="AL41" s="348">
        <f>IF(AI41="",#N/A,IF(AH41="Skip",SUM($AK$4:AK41),SUM($AK$4:AK41)))</f>
        <v>-298.96499999999912</v>
      </c>
      <c r="AM41" s="65">
        <f t="shared" si="101"/>
        <v>-0.28485601823078521</v>
      </c>
      <c r="AN41" s="209"/>
      <c r="AO41" s="305">
        <f t="shared" si="19"/>
        <v>-0.28485601823078521</v>
      </c>
      <c r="AP41" s="305">
        <f>IF($AC41="",#N/A,SUM(AO$4:AO41))</f>
        <v>-1.8721479932795013</v>
      </c>
      <c r="AQ41" s="305" t="str">
        <f t="shared" si="20"/>
        <v/>
      </c>
      <c r="AR41" s="305">
        <f>IF($AC41="",#N/A,SUM(AQ$4:AQ41))</f>
        <v>0</v>
      </c>
      <c r="AS41" s="305" t="str">
        <f t="shared" si="21"/>
        <v/>
      </c>
      <c r="AT41" s="305">
        <f>IF($AC41="",#N/A,SUM(AS$4:AS41))</f>
        <v>-2.84025035473086</v>
      </c>
      <c r="AU41" s="300">
        <f t="shared" si="102"/>
        <v>-19.25</v>
      </c>
      <c r="AV41" s="300">
        <f>IF($AC41="",#N/A,SUM(AU$4:AU41))</f>
        <v>-136.55129850550941</v>
      </c>
      <c r="AW41" s="300" t="str">
        <f t="shared" si="103"/>
        <v/>
      </c>
      <c r="AX41" s="300">
        <f>IF($AC41="",#N/A,SUM(AW$4:AW41))</f>
        <v>0</v>
      </c>
      <c r="AY41" s="300" t="str">
        <f t="shared" si="104"/>
        <v/>
      </c>
      <c r="AZ41" s="300">
        <f>IF($AC41="",#N/A,SUM(AY$4:AY41))</f>
        <v>-173.22837290281586</v>
      </c>
      <c r="BA41" s="300">
        <f>IF(AD41="",#N/A,SUM($AD$4:AD41))</f>
        <v>-309.77967140832527</v>
      </c>
      <c r="BC41" s="292" t="str">
        <f t="shared" si="22"/>
        <v/>
      </c>
      <c r="BD41" s="292" t="str">
        <f t="shared" si="23"/>
        <v/>
      </c>
      <c r="BE41" s="292">
        <f t="shared" si="24"/>
        <v>1</v>
      </c>
      <c r="BF41" s="292" t="str">
        <f t="shared" si="25"/>
        <v>Long</v>
      </c>
      <c r="BG41" s="292" t="str">
        <f t="shared" si="26"/>
        <v/>
      </c>
      <c r="BH41" s="292" t="str">
        <f t="shared" si="27"/>
        <v/>
      </c>
      <c r="BI41" s="292" t="str">
        <f t="shared" si="28"/>
        <v/>
      </c>
      <c r="BK41" s="184"/>
      <c r="BL41" s="65">
        <f t="shared" si="107"/>
        <v>-0.15168393840313382</v>
      </c>
      <c r="BM41" s="65">
        <f>IFERROR(Q41/COUNTA($J$4:J41),#N/A)</f>
        <v>-9.9681878929904447E-2</v>
      </c>
      <c r="BO41" s="489">
        <f>IF(J41="",#N/A,IF(S41="SW",(COUNTIFS(K$4:$K41,"&gt;0",S$4:$S41,"SW")/COUNTIF(S$4:$S41,"SW")),#N/A))</f>
        <v>0.47826086956521741</v>
      </c>
      <c r="BP41" s="489" t="e">
        <f>IF($J41="",#N/A,IF($S41="DWN",(COUNTIFS($K$4:$K41,"&lt;0",$S$4:$S41,"DWN")/COUNTIF($S$4:$S41,"DWN")),#N/A))</f>
        <v>#N/A</v>
      </c>
      <c r="BQ41" s="489" t="e">
        <f>IF($J41="",#N/A,IF($S41="UP",(COUNTIFS($K$4:$K41,"&gt;0",$S$4:$S41,"UP")/COUNTIF($S$4:$S41,"UP")),#N/A))</f>
        <v>#N/A</v>
      </c>
      <c r="BR41" s="489">
        <f>IF(J41="",#N/A,COUNTIF($K$4:K41,"&gt;0")/COUNT($J$4:J41))</f>
        <v>0.44736842105263158</v>
      </c>
      <c r="BS41" s="65">
        <f t="shared" si="29"/>
        <v>0.2019888129272854</v>
      </c>
      <c r="BT41" s="65" t="str">
        <f t="shared" si="30"/>
        <v/>
      </c>
      <c r="BU41" s="65" t="str">
        <f t="shared" si="31"/>
        <v/>
      </c>
      <c r="BV41" s="65" t="str">
        <f t="shared" si="32"/>
        <v/>
      </c>
      <c r="BW41" s="128" t="str">
        <f t="shared" si="33"/>
        <v/>
      </c>
      <c r="BX41" s="128">
        <f>IF($J41="",#N/A,SUM($BW$4:BW41))</f>
        <v>0</v>
      </c>
      <c r="BY41" s="131" t="str">
        <f t="shared" si="34"/>
        <v/>
      </c>
      <c r="BZ41" s="131">
        <f>IF($J41="",#N/A,SUM($BY$4:BY41))</f>
        <v>0.67628046850416013</v>
      </c>
      <c r="CA41" s="133">
        <f t="shared" si="35"/>
        <v>13.650000000000091</v>
      </c>
      <c r="CB41" s="133">
        <f>IF($J41="",#N/A,SUM($CA$4:CA41))</f>
        <v>-253.65090640187418</v>
      </c>
      <c r="CC41" s="194" t="str">
        <f t="shared" si="36"/>
        <v/>
      </c>
      <c r="CD41" s="194">
        <f>IF($J41="",#N/A,SUM($CC$4:CC41))</f>
        <v>0</v>
      </c>
      <c r="CE41" s="195" t="str">
        <f t="shared" si="37"/>
        <v/>
      </c>
      <c r="CF41" s="195">
        <f>IF($J41="",#N/A,SUM($CE$4:CE41))</f>
        <v>4.9445060920641104E-2</v>
      </c>
      <c r="CG41" s="196">
        <f t="shared" si="38"/>
        <v>0.2019888129272854</v>
      </c>
      <c r="CH41" s="196">
        <f>IF($J41="",#N/A,SUM($CG$4:CG41))</f>
        <v>-3.8373564602570109</v>
      </c>
      <c r="CI41" s="200" t="str">
        <f t="shared" si="39"/>
        <v/>
      </c>
      <c r="CJ41" s="203">
        <f>IF($J41="",#N/A,SUM(CI$4:CI41))</f>
        <v>0</v>
      </c>
      <c r="CK41" s="204" t="str">
        <f t="shared" si="40"/>
        <v/>
      </c>
      <c r="CL41" s="204">
        <f>IF($J41="",#N/A,SUM(CK$4:CK41))</f>
        <v>0</v>
      </c>
      <c r="CM41" s="205" t="str">
        <f t="shared" si="41"/>
        <v/>
      </c>
      <c r="CN41" s="205">
        <f>IF($J41="",#N/A,SUM(CM$4:CM41))</f>
        <v>0</v>
      </c>
      <c r="CO41" s="205">
        <f>IF($J41="",#N/A,SUM(CM$4:CM41,CK$4:CK41,CI$4:CI41))</f>
        <v>0</v>
      </c>
      <c r="CP41" s="200" t="str">
        <f t="shared" si="42"/>
        <v/>
      </c>
      <c r="CQ41" s="203">
        <f>IF($J41="",#N/A,SUM(CP$4:CP41))</f>
        <v>0</v>
      </c>
      <c r="CR41" s="204" t="str">
        <f t="shared" si="43"/>
        <v/>
      </c>
      <c r="CS41" s="204">
        <f>IF($J41="",#N/A,SUM(CR$4:CR41))</f>
        <v>0</v>
      </c>
      <c r="CT41" s="205" t="str">
        <f t="shared" si="44"/>
        <v/>
      </c>
      <c r="CU41" s="205">
        <f>IF($J41="",#N/A,SUM(CT$4:CT41))</f>
        <v>0</v>
      </c>
      <c r="CV41" s="205">
        <f>IF($J41="",#N/A,SUM(CT$4:CT41,CR$4:CR41,CP$4:CP41))</f>
        <v>0</v>
      </c>
      <c r="CW41" s="200" t="str">
        <f t="shared" si="45"/>
        <v/>
      </c>
      <c r="CX41" s="203">
        <f>IF($J41="",#N/A,SUM(CW$4:CW41))</f>
        <v>0</v>
      </c>
      <c r="CY41" s="204" t="str">
        <f t="shared" si="46"/>
        <v/>
      </c>
      <c r="CZ41" s="204">
        <f>IF($J41="",#N/A,SUM(CY$4:CY41))</f>
        <v>0</v>
      </c>
      <c r="DA41" s="205" t="str">
        <f t="shared" si="47"/>
        <v/>
      </c>
      <c r="DB41" s="205">
        <f>IF($J41="",#N/A,SUM(DA$4:DA41))</f>
        <v>0</v>
      </c>
      <c r="DC41" s="205">
        <f>IF($J41="",#N/A,SUM(DA$4:DA41,CY$4:CY41,CW$4:CW41))</f>
        <v>0</v>
      </c>
      <c r="DD41" s="200" t="str">
        <f t="shared" si="48"/>
        <v/>
      </c>
      <c r="DE41" s="203">
        <f>IF($J41="",#N/A,SUM(DD$4:DD41))</f>
        <v>0</v>
      </c>
      <c r="DF41" s="204" t="str">
        <f t="shared" si="49"/>
        <v/>
      </c>
      <c r="DG41" s="204">
        <f>IF($J41="",#N/A,SUM(DF$4:DF41))</f>
        <v>0.6788440567066546</v>
      </c>
      <c r="DH41" s="205" t="str">
        <f t="shared" si="50"/>
        <v/>
      </c>
      <c r="DI41" s="205">
        <f>IF($J41="",#N/A,SUM(DH$4:DH41))</f>
        <v>0</v>
      </c>
      <c r="DJ41" s="205">
        <f>IF($J41="",#N/A,SUM(DH$4:DH41,DF$4:DF41,DD$4:DD41))</f>
        <v>0.6788440567066546</v>
      </c>
      <c r="DK41" s="200" t="str">
        <f t="shared" si="51"/>
        <v/>
      </c>
      <c r="DL41" s="203">
        <f>IF($J41="",#N/A,SUM(DK$4:DK41))</f>
        <v>0</v>
      </c>
      <c r="DM41" s="204" t="str">
        <f t="shared" si="52"/>
        <v/>
      </c>
      <c r="DN41" s="204">
        <f>IF($J41="",#N/A,SUM(DM$4:DM41))</f>
        <v>0.36227168206863897</v>
      </c>
      <c r="DO41" s="205" t="str">
        <f t="shared" si="53"/>
        <v/>
      </c>
      <c r="DP41" s="205">
        <f>IF($J41="",#N/A,SUM(DO$4:DO41))</f>
        <v>0</v>
      </c>
      <c r="DQ41" s="205">
        <f>IF($J41="",#N/A,SUM(DO$4:DO41,DM$4:DM41,DK$4:DK41))</f>
        <v>0.36227168206863897</v>
      </c>
      <c r="DR41" s="200" t="str">
        <f t="shared" si="54"/>
        <v/>
      </c>
      <c r="DS41" s="203">
        <f>IF($J41="",#N/A,SUM(DR$4:DR41))</f>
        <v>0</v>
      </c>
      <c r="DT41" s="204" t="str">
        <f t="shared" si="55"/>
        <v/>
      </c>
      <c r="DU41" s="204">
        <f>IF($J41="",#N/A,SUM(DT$4:DT41))</f>
        <v>-0.87668288986978915</v>
      </c>
      <c r="DV41" s="205">
        <f t="shared" si="56"/>
        <v>0.2019888129272854</v>
      </c>
      <c r="DW41" s="205">
        <f>IF($J41="",#N/A,SUM(DV$4:DV41))</f>
        <v>-0.89834078198379175</v>
      </c>
      <c r="DX41" s="205">
        <f>IF($J41="",#N/A,SUM(DV$4:DV41,DT$4:DT41,DR$4:DR41))</f>
        <v>-1.775023671853581</v>
      </c>
      <c r="DY41" s="200" t="str">
        <f t="shared" si="57"/>
        <v/>
      </c>
      <c r="DZ41" s="203">
        <f>IF($J41="",#N/A,SUM(DY$4:DY41))</f>
        <v>0</v>
      </c>
      <c r="EA41" s="204" t="str">
        <f t="shared" si="58"/>
        <v/>
      </c>
      <c r="EB41" s="204">
        <f>IF($J41="",#N/A,SUM(EA$4:EA41))</f>
        <v>0.43517953094202633</v>
      </c>
      <c r="EC41" s="205" t="str">
        <f t="shared" si="59"/>
        <v/>
      </c>
      <c r="ED41" s="205">
        <f>IF($J41="",#N/A,SUM(EC$4:EC41))</f>
        <v>-0.29335791431061087</v>
      </c>
      <c r="EE41" s="205">
        <f>IF($J41="",#N/A,SUM(EC$4:EC41,EA$4:EA41,DY$4:DY41))</f>
        <v>0.14182161663141543</v>
      </c>
      <c r="EF41" s="200" t="str">
        <f t="shared" si="60"/>
        <v/>
      </c>
      <c r="EG41" s="203">
        <f>IF($J41="",#N/A,SUM(EF$4:EF41))</f>
        <v>0</v>
      </c>
      <c r="EH41" s="204" t="str">
        <f t="shared" si="61"/>
        <v/>
      </c>
      <c r="EI41" s="204">
        <f>IF($J41="",#N/A,SUM(EH$4:EH41))</f>
        <v>0</v>
      </c>
      <c r="EJ41" s="205" t="str">
        <f t="shared" si="62"/>
        <v/>
      </c>
      <c r="EK41" s="205">
        <f>IF($J41="",#N/A,SUM(EJ$4:EJ41))</f>
        <v>0.6035383334478206</v>
      </c>
      <c r="EL41" s="205">
        <f>IF($J41="",#N/A,SUM(EJ$4:EJ41,EH$4:EH41,EF$4:EF41))</f>
        <v>0.6035383334478206</v>
      </c>
      <c r="EM41" s="200" t="str">
        <f t="shared" si="63"/>
        <v/>
      </c>
      <c r="EN41" s="203">
        <f>IF($J41="",#N/A,SUM(EM$4:EM41))</f>
        <v>0</v>
      </c>
      <c r="EO41" s="204" t="str">
        <f t="shared" si="64"/>
        <v/>
      </c>
      <c r="EP41" s="204">
        <f>IF($J41="",#N/A,SUM(EO$4:EO41))</f>
        <v>0</v>
      </c>
      <c r="EQ41" s="205" t="str">
        <f t="shared" si="65"/>
        <v/>
      </c>
      <c r="ER41" s="205">
        <f>IF($J41="",#N/A,SUM(EQ$4:EQ41))</f>
        <v>0</v>
      </c>
      <c r="ES41" s="205">
        <f>IF($J41="",#N/A,SUM(EQ$4:EQ41,EO$4:EO41,EM$4:EM41))</f>
        <v>0</v>
      </c>
      <c r="ET41" s="200" t="str">
        <f t="shared" si="66"/>
        <v/>
      </c>
      <c r="EU41" s="203">
        <f>IF($J41="",#N/A,SUM(ET$4:ET41))</f>
        <v>0</v>
      </c>
      <c r="EV41" s="204" t="str">
        <f t="shared" si="67"/>
        <v/>
      </c>
      <c r="EW41" s="204">
        <f>IF($J41="",#N/A,SUM(EV$4:EV41))</f>
        <v>0</v>
      </c>
      <c r="EX41" s="205" t="str">
        <f t="shared" si="68"/>
        <v/>
      </c>
      <c r="EY41" s="205">
        <f>IF($J41="",#N/A,SUM(EX$4:EX41))</f>
        <v>0</v>
      </c>
      <c r="EZ41" s="205">
        <f>IF($J41="",#N/A,SUM(EX$4:EX41,EV$4:EV41,ET$4:ET41))</f>
        <v>0</v>
      </c>
      <c r="FA41" s="200" t="str">
        <f t="shared" si="69"/>
        <v/>
      </c>
      <c r="FB41" s="203">
        <f>IF($J41="",#N/A,SUM(FA$4:FA41))</f>
        <v>0</v>
      </c>
      <c r="FC41" s="204" t="str">
        <f t="shared" si="70"/>
        <v/>
      </c>
      <c r="FD41" s="204">
        <f>IF($J41="",#N/A,SUM(FC$4:FC41))</f>
        <v>0</v>
      </c>
      <c r="FE41" s="205" t="str">
        <f t="shared" si="71"/>
        <v/>
      </c>
      <c r="FF41" s="205">
        <f>IF($J41="",#N/A,SUM(FE$4:FE41))</f>
        <v>-0.11131725417439868</v>
      </c>
      <c r="FG41" s="205">
        <f>IF($J41="",#N/A,SUM(FE$4:FE41,FC$4:FC41,FA$4:FA41))</f>
        <v>-0.11131725417439868</v>
      </c>
      <c r="FH41" s="200" t="str">
        <f t="shared" si="72"/>
        <v/>
      </c>
      <c r="FI41" s="203">
        <f>IF($J41="",#N/A,SUM(FH$4:FH41))</f>
        <v>0</v>
      </c>
      <c r="FJ41" s="204" t="str">
        <f t="shared" si="73"/>
        <v/>
      </c>
      <c r="FK41" s="204">
        <f>IF($J41="",#N/A,SUM(FJ$4:FJ41))</f>
        <v>0</v>
      </c>
      <c r="FL41" s="205" t="str">
        <f t="shared" si="74"/>
        <v/>
      </c>
      <c r="FM41" s="205">
        <f>IF($J41="",#N/A,SUM(FL$4:FL41))</f>
        <v>0</v>
      </c>
      <c r="FN41" s="205">
        <f>IF($J41="",#N/A,SUM(FL$4:FL41,FJ$4:FJ41,FH$4:FH41))</f>
        <v>0</v>
      </c>
      <c r="FO41" s="200" t="str">
        <f t="shared" si="75"/>
        <v/>
      </c>
      <c r="FP41" s="203">
        <f>IF($J41="",#N/A,SUM(FO$4:FO41))</f>
        <v>0</v>
      </c>
      <c r="FQ41" s="204" t="str">
        <f t="shared" si="76"/>
        <v/>
      </c>
      <c r="FR41" s="204">
        <f>IF($J41="",#N/A,SUM(FQ$4:FQ41))</f>
        <v>0</v>
      </c>
      <c r="FS41" s="205" t="str">
        <f t="shared" si="77"/>
        <v/>
      </c>
      <c r="FT41" s="205">
        <f>IF($J41="",#N/A,SUM(FS$4:FS41))</f>
        <v>0</v>
      </c>
      <c r="FU41" s="205">
        <f>IF($J41="",#N/A,SUM(FS$4:FS41,FQ$4:FQ41,FO$4:FO41))</f>
        <v>0</v>
      </c>
      <c r="FV41" s="200" t="str">
        <f t="shared" si="78"/>
        <v/>
      </c>
      <c r="FW41" s="203">
        <f>IF($J41="",#N/A,SUM(FV$4:FV41))</f>
        <v>0</v>
      </c>
      <c r="FX41" s="204" t="str">
        <f t="shared" si="79"/>
        <v/>
      </c>
      <c r="FY41" s="204">
        <f>IF($J41="",#N/A,SUM(FX$4:FX41))</f>
        <v>0</v>
      </c>
      <c r="FZ41" s="205" t="str">
        <f t="shared" si="80"/>
        <v/>
      </c>
      <c r="GA41" s="205">
        <f>IF($J41="",#N/A,SUM(FZ$4:FZ41))</f>
        <v>-0.20104261551371039</v>
      </c>
      <c r="GB41" s="205">
        <f>IF($J41="",#N/A,SUM(FZ$4:FZ41,FX$4:FX41,FV$4:FV41))</f>
        <v>-0.20104261551371039</v>
      </c>
      <c r="GC41" s="200" t="str">
        <f t="shared" si="81"/>
        <v/>
      </c>
      <c r="GD41" s="203">
        <f>IF($J41="",#N/A,SUM(GC$4:GC41))</f>
        <v>0</v>
      </c>
      <c r="GE41" s="204" t="str">
        <f t="shared" si="82"/>
        <v/>
      </c>
      <c r="GF41" s="204">
        <f>IF($J41="",#N/A,SUM(GE$4:GE41))</f>
        <v>0</v>
      </c>
      <c r="GG41" s="205" t="str">
        <f t="shared" si="83"/>
        <v/>
      </c>
      <c r="GH41" s="205">
        <f>IF($J41="",#N/A,SUM(GG$4:GG41))</f>
        <v>-2.9368362277223206</v>
      </c>
      <c r="GI41" s="205">
        <f>IF($J41="",#N/A,SUM(GG$4:GG41,GE$4:GE41,GC$4:GC41))</f>
        <v>-2.9368362277223206</v>
      </c>
      <c r="GJ41" s="200" t="str">
        <f t="shared" si="84"/>
        <v/>
      </c>
      <c r="GK41" s="203">
        <f>IF($J41="",#N/A,SUM(GJ$4:GJ41))</f>
        <v>0</v>
      </c>
      <c r="GL41" s="204" t="str">
        <f t="shared" si="85"/>
        <v/>
      </c>
      <c r="GM41" s="204">
        <f>IF($J41="",#N/A,SUM(GL$4:GL41))</f>
        <v>-0.55016731892688953</v>
      </c>
      <c r="GN41" s="205" t="str">
        <f t="shared" si="86"/>
        <v/>
      </c>
      <c r="GO41" s="205">
        <f>IF($J41="",#N/A,SUM(GN$4:GN41))</f>
        <v>0</v>
      </c>
      <c r="GP41" s="205">
        <f>IF($J41="",#N/A,SUM(GN$4:GN41,GL$4:GL41,GJ$4:GJ41))</f>
        <v>-0.55016731892688953</v>
      </c>
      <c r="GS41" s="303" t="str">
        <f t="shared" si="105"/>
        <v/>
      </c>
      <c r="GT41" s="303" t="e">
        <f>IF(GS41="",NA(),SUM($GS$4:GS41))</f>
        <v>#N/A</v>
      </c>
      <c r="GU41" s="303" t="str">
        <f t="shared" si="87"/>
        <v/>
      </c>
      <c r="GV41" s="303" t="e">
        <f>IF(GU41="",NA(),SUM($GU$4:GU41))</f>
        <v>#N/A</v>
      </c>
      <c r="GW41" s="303" t="str">
        <f t="shared" si="88"/>
        <v/>
      </c>
      <c r="GX41" s="303" t="e">
        <f>IF(GW41="",NA(),SUM($GW$4:GW41))</f>
        <v>#N/A</v>
      </c>
      <c r="GY41" s="303" t="str">
        <f t="shared" si="89"/>
        <v/>
      </c>
      <c r="GZ41" s="303" t="e">
        <f>IF(GY41="",NA(),SUM($GY$4:GY41))</f>
        <v>#N/A</v>
      </c>
      <c r="HA41" s="303">
        <f t="shared" si="90"/>
        <v>0.2019888129272854</v>
      </c>
      <c r="HB41" s="303">
        <f>IF(HA41="",NA(),SUM($HA$4:HA41))</f>
        <v>0.2019888129272854</v>
      </c>
      <c r="HC41" s="303" t="str">
        <f t="shared" si="91"/>
        <v/>
      </c>
      <c r="HD41" s="303" t="e">
        <f>IF(HC41="",NA(),SUM($HC$4:HC41))</f>
        <v>#N/A</v>
      </c>
      <c r="HE41" s="303">
        <f t="shared" si="92"/>
        <v>0.2019888129272854</v>
      </c>
      <c r="HF41" s="303">
        <f>IF(HE41="",NA(),SUM($HE$4:HE41))</f>
        <v>0.2019888129272854</v>
      </c>
      <c r="HG41" s="303" t="str">
        <f t="shared" si="93"/>
        <v/>
      </c>
      <c r="HH41" s="303" t="e">
        <f>IF(HG41="",NA(),SUM($HG$4:HG41))</f>
        <v>#N/A</v>
      </c>
      <c r="HI41" s="304" t="str">
        <f t="shared" si="106"/>
        <v/>
      </c>
      <c r="HJ41" s="304">
        <f>IF($J41="",#N/A,SUM(HI$4:$HI41))</f>
        <v>-0.84321683845460527</v>
      </c>
      <c r="HK41" s="303" t="str">
        <f t="shared" si="94"/>
        <v/>
      </c>
      <c r="HL41" s="303">
        <f>IF($J41="",#N/A,SUM($HK$4:HK41))</f>
        <v>-2.0464785771968956</v>
      </c>
      <c r="HM41" s="303" t="str">
        <f t="shared" si="95"/>
        <v/>
      </c>
      <c r="HN41" s="303">
        <f>IF($J41="",#N/A,SUM($HM$4:HM41))</f>
        <v>0</v>
      </c>
      <c r="HO41" s="303" t="str">
        <f t="shared" si="96"/>
        <v/>
      </c>
      <c r="HP41" s="303">
        <f>IF($J41="",#N/A,SUM($HO$4:HO41))</f>
        <v>0</v>
      </c>
      <c r="HQ41" s="303">
        <f t="shared" si="97"/>
        <v>-0.48684483115807065</v>
      </c>
      <c r="HR41" s="303">
        <f>IF($J41="",#N/A,SUM($HQ$4:HQ41))</f>
        <v>-2.4640991469978002</v>
      </c>
      <c r="HS41" s="303" t="str">
        <f t="shared" si="98"/>
        <v/>
      </c>
      <c r="HT41" s="303">
        <f>IF($J41="",#N/A,SUM($HS$4:HS41))</f>
        <v>4.4293076139753111</v>
      </c>
      <c r="HU41" s="305">
        <f t="shared" si="99"/>
        <v>-0.28485601823078521</v>
      </c>
      <c r="HV41" s="305">
        <f>IF($J41="",#N/A,SUM(HU$4:$HU41))</f>
        <v>-4.7123983480103613</v>
      </c>
    </row>
    <row r="42" spans="1:230" ht="15.75" thickBot="1" x14ac:dyDescent="0.3">
      <c r="A42" s="316" t="s">
        <v>1277</v>
      </c>
      <c r="B42" s="317" t="s">
        <v>4499</v>
      </c>
      <c r="C42" s="318">
        <f t="shared" si="0"/>
        <v>3</v>
      </c>
      <c r="D42" s="384" t="str">
        <f>_xlfn.XLOOKUP(A42,[1]SP500!$A$2:$A$502,[1]SP500!$D$2:$D$502,"N")</f>
        <v>Y</v>
      </c>
      <c r="E42" s="316" t="str">
        <f>IFERROR(_xlfn.XLOOKUP(A42,[1]SP500!$A$2:$A$655,[1]SP500!$B$2:$B$655),"")</f>
        <v>XLC</v>
      </c>
      <c r="F42" s="320">
        <v>45764</v>
      </c>
      <c r="G42" s="316" t="str">
        <f t="shared" si="1"/>
        <v>AMC</v>
      </c>
      <c r="H42" s="316" t="str">
        <f t="shared" si="2"/>
        <v>s</v>
      </c>
      <c r="I42" s="385">
        <v>973.03</v>
      </c>
      <c r="J42" s="337">
        <v>984.4</v>
      </c>
      <c r="K42" s="322">
        <f t="shared" si="3"/>
        <v>1.1685148453798963E-2</v>
      </c>
      <c r="L42" s="323">
        <f t="shared" si="4"/>
        <v>11.370000000000005</v>
      </c>
      <c r="M42" s="324">
        <f t="shared" si="5"/>
        <v>-0.41499999999996362</v>
      </c>
      <c r="N42" s="325">
        <f t="shared" si="6"/>
        <v>11.370000000000005</v>
      </c>
      <c r="O42" s="326">
        <f>IF(N42="",#N/A,SUM($N$4:N42))</f>
        <v>-241.60462593337002</v>
      </c>
      <c r="P42" s="331">
        <f t="shared" si="100"/>
        <v>0.19475247422998271</v>
      </c>
      <c r="Q42" s="328">
        <f>IF($N42="",#N/A,SUM($P$4:P42))</f>
        <v>-3.5931589251063865</v>
      </c>
      <c r="R42" s="333">
        <f t="shared" si="7"/>
        <v>0.65355334031826873</v>
      </c>
      <c r="S42" s="316" t="str">
        <f t="shared" si="8"/>
        <v>SW</v>
      </c>
      <c r="T42" s="316" t="s">
        <v>2828</v>
      </c>
      <c r="U42" s="334">
        <f t="shared" si="9"/>
        <v>973.03</v>
      </c>
      <c r="V42" s="334" t="s">
        <v>4460</v>
      </c>
      <c r="W42" s="336">
        <v>1</v>
      </c>
      <c r="X42" s="335">
        <f t="shared" si="10"/>
        <v>973.03</v>
      </c>
      <c r="Y42" s="336">
        <f t="shared" si="11"/>
        <v>1</v>
      </c>
      <c r="Z42" s="321">
        <v>983.98500000000001</v>
      </c>
      <c r="AA42" s="466">
        <f t="shared" si="12"/>
        <v>10.955000000000041</v>
      </c>
      <c r="AB42" s="466">
        <f t="shared" si="13"/>
        <v>14.879999999999995</v>
      </c>
      <c r="AC42" s="337">
        <v>987.91</v>
      </c>
      <c r="AD42" s="325">
        <f t="shared" si="14"/>
        <v>14.879999999999995</v>
      </c>
      <c r="AE42" s="543">
        <f t="shared" si="15"/>
        <v>0.25487395044346006</v>
      </c>
      <c r="AF42" s="324">
        <f>IF($AC42="",#N/A,SUM(AD$4:AD42))</f>
        <v>-294.89967140832528</v>
      </c>
      <c r="AG42" s="466">
        <f t="shared" si="16"/>
        <v>3.5099999999999909</v>
      </c>
      <c r="AH42" s="334" t="s">
        <v>2507</v>
      </c>
      <c r="AI42" s="331">
        <f t="shared" si="17"/>
        <v>0.18764409456371747</v>
      </c>
      <c r="AJ42" s="327">
        <f>IF(AI42="",#N/A,SUM($AI$4:AI42))</f>
        <v>-4.2467122654246552</v>
      </c>
      <c r="AK42" s="324">
        <f t="shared" si="18"/>
        <v>10.955000000000041</v>
      </c>
      <c r="AL42" s="338">
        <f>IF(AI42="",#N/A,IF(AH42="Skip",SUM($AK$4:AK42),SUM($AK$4:AK42)))</f>
        <v>-288.00999999999908</v>
      </c>
      <c r="AM42" s="65">
        <f t="shared" si="101"/>
        <v>0.25487395044346006</v>
      </c>
      <c r="AN42" s="209"/>
      <c r="AO42" s="331">
        <f t="shared" si="19"/>
        <v>0.25487395044346006</v>
      </c>
      <c r="AP42" s="331">
        <f>IF($AC42="",#N/A,SUM(AO$4:AO42))</f>
        <v>-1.6172740428360413</v>
      </c>
      <c r="AQ42" s="331" t="str">
        <f t="shared" si="20"/>
        <v/>
      </c>
      <c r="AR42" s="331">
        <f>IF($AC42="",#N/A,SUM(AQ$4:AQ42))</f>
        <v>0</v>
      </c>
      <c r="AS42" s="331" t="str">
        <f t="shared" si="21"/>
        <v/>
      </c>
      <c r="AT42" s="331">
        <f>IF($AC42="",#N/A,SUM(AS$4:AS42))</f>
        <v>-2.84025035473086</v>
      </c>
      <c r="AU42" s="324">
        <f t="shared" si="102"/>
        <v>14.879999999999995</v>
      </c>
      <c r="AV42" s="324">
        <f>IF($AC42="",#N/A,SUM(AU$4:AU42))</f>
        <v>-121.67129850550941</v>
      </c>
      <c r="AW42" s="324" t="str">
        <f t="shared" si="103"/>
        <v/>
      </c>
      <c r="AX42" s="324">
        <f>IF($AC42="",#N/A,SUM(AW$4:AW42))</f>
        <v>0</v>
      </c>
      <c r="AY42" s="334" t="str">
        <f t="shared" si="104"/>
        <v/>
      </c>
      <c r="AZ42" s="324">
        <f>IF($AC42="",#N/A,SUM(AY$4:AY42))</f>
        <v>-173.22837290281586</v>
      </c>
      <c r="BA42" s="324">
        <f>IF(AD42="",#N/A,SUM($AD$4:AD42))</f>
        <v>-294.89967140832528</v>
      </c>
      <c r="BC42" s="316" t="str">
        <f t="shared" si="22"/>
        <v/>
      </c>
      <c r="BD42" s="316" t="str">
        <f t="shared" si="23"/>
        <v/>
      </c>
      <c r="BE42" s="316">
        <f t="shared" si="24"/>
        <v>1</v>
      </c>
      <c r="BF42" s="316" t="str">
        <f t="shared" si="25"/>
        <v>Long</v>
      </c>
      <c r="BG42" s="316" t="str">
        <f t="shared" si="26"/>
        <v/>
      </c>
      <c r="BH42" s="316" t="str">
        <f t="shared" si="27"/>
        <v/>
      </c>
      <c r="BI42" s="316" t="str">
        <f t="shared" si="28"/>
        <v/>
      </c>
      <c r="BK42" s="184"/>
      <c r="BL42" s="65">
        <f t="shared" si="107"/>
        <v>-0.17897636478364964</v>
      </c>
      <c r="BM42" s="65">
        <f>IFERROR(Q42/COUNTA($J$4:J42),#N/A)</f>
        <v>-9.2132280130932984E-2</v>
      </c>
      <c r="BO42" s="489">
        <f>IF(J42="",#N/A,IF(S42="SW",(COUNTIFS(K$4:$K42,"&gt;0",S$4:$S42,"SW")/COUNTIF(S$4:$S42,"SW")),#N/A))</f>
        <v>0.5</v>
      </c>
      <c r="BP42" s="489" t="e">
        <f>IF($J42="",#N/A,IF($S42="DWN",(COUNTIFS($K$4:$K42,"&lt;0",$S$4:$S42,"DWN")/COUNTIF($S$4:$S42,"DWN")),#N/A))</f>
        <v>#N/A</v>
      </c>
      <c r="BQ42" s="489" t="e">
        <f>IF($J42="",#N/A,IF($S42="UP",(COUNTIFS($K$4:$K42,"&gt;0",$S$4:$S42,"UP")/COUNTIF($S$4:$S42,"UP")),#N/A))</f>
        <v>#N/A</v>
      </c>
      <c r="BR42" s="489">
        <f>IF(J42="",#N/A,COUNTIF($K$4:K42,"&gt;0")/COUNT($J$4:J42))</f>
        <v>0.46153846153846156</v>
      </c>
      <c r="BS42" s="65">
        <f t="shared" si="29"/>
        <v>0.19475247422998271</v>
      </c>
      <c r="BT42" s="65" t="str">
        <f t="shared" si="30"/>
        <v/>
      </c>
      <c r="BU42" s="65" t="str">
        <f t="shared" si="31"/>
        <v/>
      </c>
      <c r="BV42" s="65" t="str">
        <f t="shared" si="32"/>
        <v/>
      </c>
      <c r="BW42" s="151" t="str">
        <f t="shared" si="33"/>
        <v/>
      </c>
      <c r="BX42" s="151">
        <f>IF($J42="",#N/A,SUM($BW$4:BW42))</f>
        <v>0</v>
      </c>
      <c r="BY42" s="152" t="str">
        <f t="shared" si="34"/>
        <v/>
      </c>
      <c r="BZ42" s="152">
        <f>IF($J42="",#N/A,SUM($BY$4:BY42))</f>
        <v>0.67628046850416013</v>
      </c>
      <c r="CA42" s="153">
        <f t="shared" si="35"/>
        <v>11.370000000000005</v>
      </c>
      <c r="CB42" s="154">
        <f>IF($J42="",#N/A,SUM($CA$4:CA42))</f>
        <v>-242.28090640187418</v>
      </c>
      <c r="CC42" s="191" t="str">
        <f t="shared" si="36"/>
        <v/>
      </c>
      <c r="CD42" s="191">
        <f>IF($J42="",#N/A,SUM($CC$4:CC42))</f>
        <v>0</v>
      </c>
      <c r="CE42" s="192" t="str">
        <f t="shared" si="37"/>
        <v/>
      </c>
      <c r="CF42" s="192">
        <f>IF($J42="",#N/A,SUM($CE$4:CE42))</f>
        <v>4.9445060920641104E-2</v>
      </c>
      <c r="CG42" s="193">
        <f t="shared" si="38"/>
        <v>0.19475247422998271</v>
      </c>
      <c r="CH42" s="193">
        <f>IF($J42="",#N/A,SUM($CG$4:CG42))</f>
        <v>-3.6426039860270283</v>
      </c>
      <c r="CI42" s="200" t="str">
        <f t="shared" si="39"/>
        <v/>
      </c>
      <c r="CJ42" s="200">
        <f>IF($J42="",#N/A,SUM(CI$4:CI42))</f>
        <v>0</v>
      </c>
      <c r="CK42" s="201" t="str">
        <f t="shared" si="40"/>
        <v/>
      </c>
      <c r="CL42" s="201">
        <f>IF($J42="",#N/A,SUM(CK$4:CK42))</f>
        <v>0</v>
      </c>
      <c r="CM42" s="202" t="str">
        <f t="shared" si="41"/>
        <v/>
      </c>
      <c r="CN42" s="202">
        <f>IF($J42="",#N/A,SUM(CM$4:CM42))</f>
        <v>0</v>
      </c>
      <c r="CO42" s="202">
        <f>IF($J42="",#N/A,SUM(CM$4:CM42,CK$4:CK42,CI$4:CI42))</f>
        <v>0</v>
      </c>
      <c r="CP42" s="200" t="str">
        <f t="shared" si="42"/>
        <v/>
      </c>
      <c r="CQ42" s="200">
        <f>IF($J42="",#N/A,SUM(CP$4:CP42))</f>
        <v>0</v>
      </c>
      <c r="CR42" s="201" t="str">
        <f t="shared" si="43"/>
        <v/>
      </c>
      <c r="CS42" s="201">
        <f>IF($J42="",#N/A,SUM(CR$4:CR42))</f>
        <v>0</v>
      </c>
      <c r="CT42" s="202" t="str">
        <f t="shared" si="44"/>
        <v/>
      </c>
      <c r="CU42" s="202">
        <f>IF($J42="",#N/A,SUM(CT$4:CT42))</f>
        <v>0</v>
      </c>
      <c r="CV42" s="202">
        <f>IF($J42="",#N/A,SUM(CT$4:CT42,CR$4:CR42,CP$4:CP42))</f>
        <v>0</v>
      </c>
      <c r="CW42" s="200" t="str">
        <f t="shared" si="45"/>
        <v/>
      </c>
      <c r="CX42" s="200">
        <f>IF($J42="",#N/A,SUM(CW$4:CW42))</f>
        <v>0</v>
      </c>
      <c r="CY42" s="201" t="str">
        <f t="shared" si="46"/>
        <v/>
      </c>
      <c r="CZ42" s="201">
        <f>IF($J42="",#N/A,SUM(CY$4:CY42))</f>
        <v>0</v>
      </c>
      <c r="DA42" s="202" t="str">
        <f t="shared" si="47"/>
        <v/>
      </c>
      <c r="DB42" s="202">
        <f>IF($J42="",#N/A,SUM(DA$4:DA42))</f>
        <v>0</v>
      </c>
      <c r="DC42" s="202">
        <f>IF($J42="",#N/A,SUM(DA$4:DA42,CY$4:CY42,CW$4:CW42))</f>
        <v>0</v>
      </c>
      <c r="DD42" s="200" t="str">
        <f t="shared" si="48"/>
        <v/>
      </c>
      <c r="DE42" s="200">
        <f>IF($J42="",#N/A,SUM(DD$4:DD42))</f>
        <v>0</v>
      </c>
      <c r="DF42" s="201" t="str">
        <f t="shared" si="49"/>
        <v/>
      </c>
      <c r="DG42" s="201">
        <f>IF($J42="",#N/A,SUM(DF$4:DF42))</f>
        <v>0.6788440567066546</v>
      </c>
      <c r="DH42" s="202" t="str">
        <f t="shared" si="50"/>
        <v/>
      </c>
      <c r="DI42" s="202">
        <f>IF($J42="",#N/A,SUM(DH$4:DH42))</f>
        <v>0</v>
      </c>
      <c r="DJ42" s="202">
        <f>IF($J42="",#N/A,SUM(DH$4:DH42,DF$4:DF42,DD$4:DD42))</f>
        <v>0.6788440567066546</v>
      </c>
      <c r="DK42" s="200" t="str">
        <f t="shared" si="51"/>
        <v/>
      </c>
      <c r="DL42" s="200">
        <f>IF($J42="",#N/A,SUM(DK$4:DK42))</f>
        <v>0</v>
      </c>
      <c r="DM42" s="201" t="str">
        <f t="shared" si="52"/>
        <v/>
      </c>
      <c r="DN42" s="201">
        <f>IF($J42="",#N/A,SUM(DM$4:DM42))</f>
        <v>0.36227168206863897</v>
      </c>
      <c r="DO42" s="202">
        <f t="shared" si="53"/>
        <v>0.19475247422998271</v>
      </c>
      <c r="DP42" s="202">
        <f>IF($J42="",#N/A,SUM(DO$4:DO42))</f>
        <v>0.19475247422998271</v>
      </c>
      <c r="DQ42" s="202">
        <f>IF($J42="",#N/A,SUM(DO$4:DO42,DM$4:DM42,DK$4:DK42))</f>
        <v>0.55702415629862168</v>
      </c>
      <c r="DR42" s="200" t="str">
        <f t="shared" si="54"/>
        <v/>
      </c>
      <c r="DS42" s="200">
        <f>IF($J42="",#N/A,SUM(DR$4:DR42))</f>
        <v>0</v>
      </c>
      <c r="DT42" s="201" t="str">
        <f t="shared" si="55"/>
        <v/>
      </c>
      <c r="DU42" s="201">
        <f>IF($J42="",#N/A,SUM(DT$4:DT42))</f>
        <v>-0.87668288986978915</v>
      </c>
      <c r="DV42" s="202" t="str">
        <f t="shared" si="56"/>
        <v/>
      </c>
      <c r="DW42" s="202">
        <f>IF($J42="",#N/A,SUM(DV$4:DV42))</f>
        <v>-0.89834078198379175</v>
      </c>
      <c r="DX42" s="202">
        <f>IF($J42="",#N/A,SUM(DV$4:DV42,DT$4:DT42,DR$4:DR42))</f>
        <v>-1.775023671853581</v>
      </c>
      <c r="DY42" s="200" t="str">
        <f t="shared" si="57"/>
        <v/>
      </c>
      <c r="DZ42" s="200">
        <f>IF($J42="",#N/A,SUM(DY$4:DY42))</f>
        <v>0</v>
      </c>
      <c r="EA42" s="201" t="str">
        <f t="shared" si="58"/>
        <v/>
      </c>
      <c r="EB42" s="201">
        <f>IF($J42="",#N/A,SUM(EA$4:EA42))</f>
        <v>0.43517953094202633</v>
      </c>
      <c r="EC42" s="202" t="str">
        <f t="shared" si="59"/>
        <v/>
      </c>
      <c r="ED42" s="202">
        <f>IF($J42="",#N/A,SUM(EC$4:EC42))</f>
        <v>-0.29335791431061087</v>
      </c>
      <c r="EE42" s="202">
        <f>IF($J42="",#N/A,SUM(EC$4:EC42,EA$4:EA42,DY$4:DY42))</f>
        <v>0.14182161663141543</v>
      </c>
      <c r="EF42" s="200" t="str">
        <f t="shared" si="60"/>
        <v/>
      </c>
      <c r="EG42" s="200">
        <f>IF($J42="",#N/A,SUM(EF$4:EF42))</f>
        <v>0</v>
      </c>
      <c r="EH42" s="201" t="str">
        <f t="shared" si="61"/>
        <v/>
      </c>
      <c r="EI42" s="201">
        <f>IF($J42="",#N/A,SUM(EH$4:EH42))</f>
        <v>0</v>
      </c>
      <c r="EJ42" s="202" t="str">
        <f t="shared" si="62"/>
        <v/>
      </c>
      <c r="EK42" s="202">
        <f>IF($J42="",#N/A,SUM(EJ$4:EJ42))</f>
        <v>0.6035383334478206</v>
      </c>
      <c r="EL42" s="202">
        <f>IF($J42="",#N/A,SUM(EJ$4:EJ42,EH$4:EH42,EF$4:EF42))</f>
        <v>0.6035383334478206</v>
      </c>
      <c r="EM42" s="200" t="str">
        <f t="shared" si="63"/>
        <v/>
      </c>
      <c r="EN42" s="200">
        <f>IF($J42="",#N/A,SUM(EM$4:EM42))</f>
        <v>0</v>
      </c>
      <c r="EO42" s="201" t="str">
        <f t="shared" si="64"/>
        <v/>
      </c>
      <c r="EP42" s="201">
        <f>IF($J42="",#N/A,SUM(EO$4:EO42))</f>
        <v>0</v>
      </c>
      <c r="EQ42" s="202" t="str">
        <f t="shared" si="65"/>
        <v/>
      </c>
      <c r="ER42" s="202">
        <f>IF($J42="",#N/A,SUM(EQ$4:EQ42))</f>
        <v>0</v>
      </c>
      <c r="ES42" s="202">
        <f>IF($J42="",#N/A,SUM(EQ$4:EQ42,EO$4:EO42,EM$4:EM42))</f>
        <v>0</v>
      </c>
      <c r="ET42" s="200" t="str">
        <f t="shared" si="66"/>
        <v/>
      </c>
      <c r="EU42" s="200">
        <f>IF($J42="",#N/A,SUM(ET$4:ET42))</f>
        <v>0</v>
      </c>
      <c r="EV42" s="201" t="str">
        <f t="shared" si="67"/>
        <v/>
      </c>
      <c r="EW42" s="201">
        <f>IF($J42="",#N/A,SUM(EV$4:EV42))</f>
        <v>0</v>
      </c>
      <c r="EX42" s="202" t="str">
        <f t="shared" si="68"/>
        <v/>
      </c>
      <c r="EY42" s="202">
        <f>IF($J42="",#N/A,SUM(EX$4:EX42))</f>
        <v>0</v>
      </c>
      <c r="EZ42" s="202">
        <f>IF($J42="",#N/A,SUM(EX$4:EX42,EV$4:EV42,ET$4:ET42))</f>
        <v>0</v>
      </c>
      <c r="FA42" s="200" t="str">
        <f t="shared" si="69"/>
        <v/>
      </c>
      <c r="FB42" s="200">
        <f>IF($J42="",#N/A,SUM(FA$4:FA42))</f>
        <v>0</v>
      </c>
      <c r="FC42" s="201" t="str">
        <f t="shared" si="70"/>
        <v/>
      </c>
      <c r="FD42" s="201">
        <f>IF($J42="",#N/A,SUM(FC$4:FC42))</f>
        <v>0</v>
      </c>
      <c r="FE42" s="202" t="str">
        <f t="shared" si="71"/>
        <v/>
      </c>
      <c r="FF42" s="202">
        <f>IF($J42="",#N/A,SUM(FE$4:FE42))</f>
        <v>-0.11131725417439868</v>
      </c>
      <c r="FG42" s="202">
        <f>IF($J42="",#N/A,SUM(FE$4:FE42,FC$4:FC42,FA$4:FA42))</f>
        <v>-0.11131725417439868</v>
      </c>
      <c r="FH42" s="200" t="str">
        <f t="shared" si="72"/>
        <v/>
      </c>
      <c r="FI42" s="200">
        <f>IF($J42="",#N/A,SUM(FH$4:FH42))</f>
        <v>0</v>
      </c>
      <c r="FJ42" s="201" t="str">
        <f t="shared" si="73"/>
        <v/>
      </c>
      <c r="FK42" s="201">
        <f>IF($J42="",#N/A,SUM(FJ$4:FJ42))</f>
        <v>0</v>
      </c>
      <c r="FL42" s="202" t="str">
        <f t="shared" si="74"/>
        <v/>
      </c>
      <c r="FM42" s="202">
        <f>IF($J42="",#N/A,SUM(FL$4:FL42))</f>
        <v>0</v>
      </c>
      <c r="FN42" s="202">
        <f>IF($J42="",#N/A,SUM(FL$4:FL42,FJ$4:FJ42,FH$4:FH42))</f>
        <v>0</v>
      </c>
      <c r="FO42" s="200" t="str">
        <f t="shared" si="75"/>
        <v/>
      </c>
      <c r="FP42" s="200">
        <f>IF($J42="",#N/A,SUM(FO$4:FO42))</f>
        <v>0</v>
      </c>
      <c r="FQ42" s="201" t="str">
        <f t="shared" si="76"/>
        <v/>
      </c>
      <c r="FR42" s="201">
        <f>IF($J42="",#N/A,SUM(FQ$4:FQ42))</f>
        <v>0</v>
      </c>
      <c r="FS42" s="202" t="str">
        <f t="shared" si="77"/>
        <v/>
      </c>
      <c r="FT42" s="202">
        <f>IF($J42="",#N/A,SUM(FS$4:FS42))</f>
        <v>0</v>
      </c>
      <c r="FU42" s="202">
        <f>IF($J42="",#N/A,SUM(FS$4:FS42,FQ$4:FQ42,FO$4:FO42))</f>
        <v>0</v>
      </c>
      <c r="FV42" s="200" t="str">
        <f t="shared" si="78"/>
        <v/>
      </c>
      <c r="FW42" s="200">
        <f>IF($J42="",#N/A,SUM(FV$4:FV42))</f>
        <v>0</v>
      </c>
      <c r="FX42" s="201" t="str">
        <f t="shared" si="79"/>
        <v/>
      </c>
      <c r="FY42" s="201">
        <f>IF($J42="",#N/A,SUM(FX$4:FX42))</f>
        <v>0</v>
      </c>
      <c r="FZ42" s="202" t="str">
        <f t="shared" si="80"/>
        <v/>
      </c>
      <c r="GA42" s="202">
        <f>IF($J42="",#N/A,SUM(FZ$4:FZ42))</f>
        <v>-0.20104261551371039</v>
      </c>
      <c r="GB42" s="202">
        <f>IF($J42="",#N/A,SUM(FZ$4:FZ42,FX$4:FX42,FV$4:FV42))</f>
        <v>-0.20104261551371039</v>
      </c>
      <c r="GC42" s="200" t="str">
        <f t="shared" si="81"/>
        <v/>
      </c>
      <c r="GD42" s="200">
        <f>IF($J42="",#N/A,SUM(GC$4:GC42))</f>
        <v>0</v>
      </c>
      <c r="GE42" s="201" t="str">
        <f t="shared" si="82"/>
        <v/>
      </c>
      <c r="GF42" s="201">
        <f>IF($J42="",#N/A,SUM(GE$4:GE42))</f>
        <v>0</v>
      </c>
      <c r="GG42" s="202" t="str">
        <f t="shared" si="83"/>
        <v/>
      </c>
      <c r="GH42" s="202">
        <f>IF($J42="",#N/A,SUM(GG$4:GG42))</f>
        <v>-2.9368362277223206</v>
      </c>
      <c r="GI42" s="202">
        <f>IF($J42="",#N/A,SUM(GG$4:GG42,GE$4:GE42,GC$4:GC42))</f>
        <v>-2.9368362277223206</v>
      </c>
      <c r="GJ42" s="200" t="str">
        <f t="shared" si="84"/>
        <v/>
      </c>
      <c r="GK42" s="200">
        <f>IF($J42="",#N/A,SUM(GJ$4:GJ42))</f>
        <v>0</v>
      </c>
      <c r="GL42" s="201" t="str">
        <f t="shared" si="85"/>
        <v/>
      </c>
      <c r="GM42" s="201">
        <f>IF($J42="",#N/A,SUM(GL$4:GL42))</f>
        <v>-0.55016731892688953</v>
      </c>
      <c r="GN42" s="202" t="str">
        <f t="shared" si="86"/>
        <v/>
      </c>
      <c r="GO42" s="202">
        <f>IF($J42="",#N/A,SUM(GN$4:GN42))</f>
        <v>0</v>
      </c>
      <c r="GP42" s="202">
        <f>IF($J42="",#N/A,SUM(GN$4:GN42,GL$4:GL42,GJ$4:GJ42))</f>
        <v>-0.55016731892688953</v>
      </c>
      <c r="GS42" s="327">
        <f t="shared" si="105"/>
        <v>0.19475247422998271</v>
      </c>
      <c r="GT42" s="327">
        <f>IF(GS42="",NA(),SUM($GS$4:GS42))</f>
        <v>-3.795147738033672</v>
      </c>
      <c r="GU42" s="327" t="str">
        <f t="shared" si="87"/>
        <v/>
      </c>
      <c r="GV42" s="327" t="e">
        <f>IF(GU42="",NA(),SUM($GU$4:GU42))</f>
        <v>#N/A</v>
      </c>
      <c r="GW42" s="327">
        <f t="shared" si="88"/>
        <v>0.19475247422998271</v>
      </c>
      <c r="GX42" s="327">
        <f>IF(GW42="",NA(),SUM($GW$4:GW42))</f>
        <v>-3.8445927989543138</v>
      </c>
      <c r="GY42" s="327" t="str">
        <f t="shared" si="89"/>
        <v/>
      </c>
      <c r="GZ42" s="327" t="e">
        <f>IF(GY42="",NA(),SUM($GY$4:GY42))</f>
        <v>#N/A</v>
      </c>
      <c r="HA42" s="327" t="str">
        <f t="shared" si="90"/>
        <v/>
      </c>
      <c r="HB42" s="327" t="e">
        <f>IF(HA42="",NA(),SUM($HA$4:HA42))</f>
        <v>#N/A</v>
      </c>
      <c r="HC42" s="327" t="str">
        <f t="shared" si="91"/>
        <v/>
      </c>
      <c r="HD42" s="327" t="e">
        <f>IF(HC42="",NA(),SUM($HC$4:HC42))</f>
        <v>#N/A</v>
      </c>
      <c r="HE42" s="327" t="str">
        <f t="shared" si="92"/>
        <v/>
      </c>
      <c r="HF42" s="327" t="e">
        <f>IF(HE42="",NA(),SUM($HE$4:HE42))</f>
        <v>#N/A</v>
      </c>
      <c r="HG42" s="327" t="str">
        <f t="shared" si="93"/>
        <v/>
      </c>
      <c r="HH42" s="327" t="e">
        <f>IF(HG42="",NA(),SUM($HG$4:HG42))</f>
        <v>#N/A</v>
      </c>
      <c r="HI42" s="328" t="str">
        <f t="shared" si="106"/>
        <v/>
      </c>
      <c r="HJ42" s="328">
        <f>IF($J42="",#N/A,SUM(HI$4:$HI42))</f>
        <v>-0.84321683845460527</v>
      </c>
      <c r="HK42" s="327" t="str">
        <f t="shared" si="94"/>
        <v/>
      </c>
      <c r="HL42" s="327">
        <f>IF($J42="",#N/A,SUM($HK$4:HK42))</f>
        <v>-2.0464785771968956</v>
      </c>
      <c r="HM42" s="327" t="str">
        <f t="shared" si="95"/>
        <v/>
      </c>
      <c r="HN42" s="327">
        <f>IF($J42="",#N/A,SUM($HM$4:HM42))</f>
        <v>0</v>
      </c>
      <c r="HO42" s="327" t="str">
        <f t="shared" si="96"/>
        <v/>
      </c>
      <c r="HP42" s="327">
        <f>IF($J42="",#N/A,SUM($HO$4:HO42))</f>
        <v>0</v>
      </c>
      <c r="HQ42" s="327">
        <f t="shared" si="97"/>
        <v>6.0121476213477354E-2</v>
      </c>
      <c r="HR42" s="327">
        <f>IF($J42="",#N/A,SUM($HQ$4:HQ42))</f>
        <v>-2.403977670784323</v>
      </c>
      <c r="HS42" s="327" t="str">
        <f t="shared" si="98"/>
        <v/>
      </c>
      <c r="HT42" s="327">
        <f>IF($J42="",#N/A,SUM($HS$4:HS42))</f>
        <v>4.4293076139753111</v>
      </c>
      <c r="HU42" s="331">
        <f t="shared" si="99"/>
        <v>0.25487395044346006</v>
      </c>
      <c r="HV42" s="331">
        <f>IF($J42="",#N/A,SUM(HU$4:$HU42))</f>
        <v>-4.4575243975669014</v>
      </c>
    </row>
    <row r="43" spans="1:230" x14ac:dyDescent="0.25">
      <c r="A43" s="59" t="s">
        <v>1501</v>
      </c>
      <c r="B43" s="289" t="s">
        <v>4500</v>
      </c>
      <c r="C43" s="230">
        <f t="shared" si="0"/>
        <v>1</v>
      </c>
      <c r="D43" s="220" t="str">
        <f>_xlfn.XLOOKUP(A43,[1]SP500!$A$2:$A$502,[1]SP500!$D$2:$D$502,"N")</f>
        <v>Y</v>
      </c>
      <c r="E43" s="59" t="str">
        <f>IFERROR(_xlfn.XLOOKUP(A43,[1]SP500!$A$2:$A$655,[1]SP500!$B$2:$B$655),"")</f>
        <v>INS</v>
      </c>
      <c r="F43" s="290">
        <v>45768</v>
      </c>
      <c r="G43" s="59" t="str">
        <f t="shared" si="1"/>
        <v>AMC</v>
      </c>
      <c r="H43" s="59" t="str">
        <f t="shared" si="2"/>
        <v>s</v>
      </c>
      <c r="I43" s="376">
        <v>67.33</v>
      </c>
      <c r="J43" s="278">
        <v>67.599999999999994</v>
      </c>
      <c r="K43" s="60">
        <f t="shared" si="3"/>
        <v>4.0100995098766674E-3</v>
      </c>
      <c r="L43" s="68">
        <f t="shared" si="4"/>
        <v>4.5899999999999181</v>
      </c>
      <c r="M43" s="62">
        <f t="shared" si="5"/>
        <v>-11.559999999999718</v>
      </c>
      <c r="N43" s="148">
        <f t="shared" si="6"/>
        <v>4.5899999999999181</v>
      </c>
      <c r="O43" s="287">
        <f>IF(N43="",#N/A,SUM($N$4:N43))</f>
        <v>-237.0146259333701</v>
      </c>
      <c r="P43" s="64">
        <f t="shared" si="100"/>
        <v>6.6834991831277585E-2</v>
      </c>
      <c r="Q43" s="183">
        <f>IF($N43="",#N/A,SUM($P$4:P43))</f>
        <v>-3.5263239332751088</v>
      </c>
      <c r="R43" s="279">
        <f t="shared" si="7"/>
        <v>0.82187850493037429</v>
      </c>
      <c r="S43" s="59" t="str">
        <f t="shared" si="8"/>
        <v>Up</v>
      </c>
      <c r="T43" s="59" t="s">
        <v>4462</v>
      </c>
      <c r="U43" s="61">
        <f t="shared" si="9"/>
        <v>67.33</v>
      </c>
      <c r="V43" s="61" t="s">
        <v>4460</v>
      </c>
      <c r="W43" s="142">
        <v>17</v>
      </c>
      <c r="X43" s="146">
        <f t="shared" si="10"/>
        <v>1144.6099999999999</v>
      </c>
      <c r="Y43" s="142">
        <f t="shared" si="11"/>
        <v>17</v>
      </c>
      <c r="Z43" s="278">
        <v>66.92</v>
      </c>
      <c r="AA43" s="63">
        <f t="shared" si="12"/>
        <v>-6.9699999999997999</v>
      </c>
      <c r="AB43" s="63">
        <f t="shared" si="13"/>
        <v>59.839999999999918</v>
      </c>
      <c r="AC43" s="125">
        <v>70.849999999999994</v>
      </c>
      <c r="AD43" s="148">
        <f t="shared" si="14"/>
        <v>59.839999999999918</v>
      </c>
      <c r="AE43" s="544">
        <f t="shared" si="15"/>
        <v>0.87133026387444812</v>
      </c>
      <c r="AF43" s="62">
        <f>IF($AC43="",#N/A,SUM(AD$4:AD43))</f>
        <v>-235.05967140832536</v>
      </c>
      <c r="AG43" s="63">
        <f t="shared" si="16"/>
        <v>55.25</v>
      </c>
      <c r="AH43" s="62" t="s">
        <v>2507</v>
      </c>
      <c r="AI43" s="64">
        <f t="shared" si="17"/>
        <v>-0.10149017278082784</v>
      </c>
      <c r="AJ43" s="177">
        <f>IF(AI43="",#N/A,SUM($AI$4:AI43))</f>
        <v>-4.3482024382054831</v>
      </c>
      <c r="AK43" s="62">
        <f t="shared" si="18"/>
        <v>-6.9699999999997999</v>
      </c>
      <c r="AL43" s="288">
        <f>IF(AI43="",#N/A,IF(AH43="Skip",SUM($AK$4:AK43),SUM($AK$4:AK43)))</f>
        <v>-294.97999999999888</v>
      </c>
      <c r="AM43" s="65">
        <f t="shared" si="101"/>
        <v>0.87133026387444812</v>
      </c>
      <c r="AN43" s="209"/>
      <c r="AO43" s="64" t="str">
        <f t="shared" si="19"/>
        <v/>
      </c>
      <c r="AP43" s="64">
        <f>IF($AC43="",#N/A,SUM(AO$4:AO43))</f>
        <v>-1.6172740428360413</v>
      </c>
      <c r="AQ43" s="64">
        <f t="shared" si="20"/>
        <v>0.87133026387444812</v>
      </c>
      <c r="AR43" s="64">
        <f>IF($AC43="",#N/A,SUM(AQ$4:AQ43))</f>
        <v>0.87133026387444812</v>
      </c>
      <c r="AS43" s="64" t="str">
        <f t="shared" si="21"/>
        <v/>
      </c>
      <c r="AT43" s="64">
        <f>IF($AC43="",#N/A,SUM(AS$4:AS43))</f>
        <v>-2.84025035473086</v>
      </c>
      <c r="AU43" s="62" t="str">
        <f t="shared" si="102"/>
        <v/>
      </c>
      <c r="AV43" s="62">
        <f>IF($AC43="",#N/A,SUM(AU$4:AU43))</f>
        <v>-121.67129850550941</v>
      </c>
      <c r="AW43" s="62">
        <f t="shared" si="103"/>
        <v>59.839999999999918</v>
      </c>
      <c r="AX43" s="62">
        <f>IF($AC43="",#N/A,SUM(AW$4:AW43))</f>
        <v>59.839999999999918</v>
      </c>
      <c r="AY43" s="62" t="str">
        <f t="shared" si="104"/>
        <v/>
      </c>
      <c r="AZ43" s="62">
        <f>IF($AC43="",#N/A,SUM(AY$4:AY43))</f>
        <v>-173.22837290281586</v>
      </c>
      <c r="BA43" s="62">
        <f>IF(AD43="",#N/A,SUM($AD$4:AD43))</f>
        <v>-235.05967140832536</v>
      </c>
      <c r="BC43" s="59">
        <f t="shared" si="22"/>
        <v>1</v>
      </c>
      <c r="BD43" s="59" t="str">
        <f t="shared" si="23"/>
        <v/>
      </c>
      <c r="BE43" s="59" t="str">
        <f t="shared" si="24"/>
        <v/>
      </c>
      <c r="BF43" s="59" t="str">
        <f t="shared" si="25"/>
        <v>Long</v>
      </c>
      <c r="BG43" s="59" t="str">
        <f t="shared" si="26"/>
        <v/>
      </c>
      <c r="BH43" s="59" t="str">
        <f t="shared" si="27"/>
        <v/>
      </c>
      <c r="BI43" s="59" t="str">
        <f t="shared" si="28"/>
        <v/>
      </c>
      <c r="BK43" s="184"/>
      <c r="BL43" s="65">
        <f t="shared" si="107"/>
        <v>-0.20252187058303542</v>
      </c>
      <c r="BM43" s="65">
        <f>IFERROR(Q43/COUNTA($J$4:J43),#N/A)</f>
        <v>-8.8158098331877724E-2</v>
      </c>
      <c r="BO43" s="489" t="e">
        <f>IF(J43="",#N/A,IF(S43="SW",(COUNTIFS(K$4:$K43,"&gt;0",S$4:$S43,"SW")/COUNTIF(S$4:$S43,"SW")),#N/A))</f>
        <v>#N/A</v>
      </c>
      <c r="BP43" s="489" t="e">
        <f>IF($J43="",#N/A,IF($S43="DWN",(COUNTIFS($K$4:$K43,"&lt;0",$S$4:$S43,"DWN")/COUNTIF($S$4:$S43,"DWN")),#N/A))</f>
        <v>#N/A</v>
      </c>
      <c r="BQ43" s="489">
        <f>IF($J43="",#N/A,IF($S43="UP",(COUNTIFS($K$4:$K43,"&gt;0",$S$4:$S43,"UP")/COUNTIF($S$4:$S43,"UP")),#N/A))</f>
        <v>1</v>
      </c>
      <c r="BR43" s="489">
        <f>IF(J43="",#N/A,COUNTIF($K$4:K43,"&gt;0")/COUNT($J$4:J43))</f>
        <v>0.47499999999999998</v>
      </c>
      <c r="BS43" s="65">
        <f t="shared" si="29"/>
        <v>6.6834991831277585E-2</v>
      </c>
      <c r="BT43" s="65" t="str">
        <f t="shared" si="30"/>
        <v/>
      </c>
      <c r="BU43" s="65" t="str">
        <f t="shared" si="31"/>
        <v/>
      </c>
      <c r="BV43" s="65" t="str">
        <f t="shared" si="32"/>
        <v/>
      </c>
      <c r="BW43" s="151">
        <f t="shared" si="33"/>
        <v>4.5899999999999181</v>
      </c>
      <c r="BX43" s="151">
        <f>IF($J43="",#N/A,SUM($BW$4:BW43))</f>
        <v>4.5899999999999181</v>
      </c>
      <c r="BY43" s="152" t="str">
        <f t="shared" si="34"/>
        <v/>
      </c>
      <c r="BZ43" s="152">
        <f>IF($J43="",#N/A,SUM($BY$4:BY43))</f>
        <v>0.67628046850416013</v>
      </c>
      <c r="CA43" s="153" t="str">
        <f t="shared" si="35"/>
        <v/>
      </c>
      <c r="CB43" s="154">
        <f>IF($J43="",#N/A,SUM($CA$4:CA43))</f>
        <v>-242.28090640187418</v>
      </c>
      <c r="CC43" s="191">
        <f t="shared" si="36"/>
        <v>6.6834991831277585E-2</v>
      </c>
      <c r="CD43" s="191">
        <f>IF($J43="",#N/A,SUM($CC$4:CC43))</f>
        <v>6.6834991831277585E-2</v>
      </c>
      <c r="CE43" s="192" t="str">
        <f t="shared" si="37"/>
        <v/>
      </c>
      <c r="CF43" s="192">
        <f>IF($J43="",#N/A,SUM($CE$4:CE43))</f>
        <v>4.9445060920641104E-2</v>
      </c>
      <c r="CG43" s="193" t="str">
        <f t="shared" si="38"/>
        <v/>
      </c>
      <c r="CH43" s="193">
        <f>IF($J43="",#N/A,SUM($CG$4:CG43))</f>
        <v>-3.6426039860270283</v>
      </c>
      <c r="CI43" s="200" t="str">
        <f t="shared" si="39"/>
        <v/>
      </c>
      <c r="CJ43" s="200">
        <f>IF($J43="",#N/A,SUM(CI$4:CI43))</f>
        <v>0</v>
      </c>
      <c r="CK43" s="201" t="str">
        <f t="shared" si="40"/>
        <v/>
      </c>
      <c r="CL43" s="201">
        <f>IF($J43="",#N/A,SUM(CK$4:CK43))</f>
        <v>0</v>
      </c>
      <c r="CM43" s="202" t="str">
        <f t="shared" si="41"/>
        <v/>
      </c>
      <c r="CN43" s="202">
        <f>IF($J43="",#N/A,SUM(CM$4:CM43))</f>
        <v>0</v>
      </c>
      <c r="CO43" s="202">
        <f>IF($J43="",#N/A,SUM(CM$4:CM43,CK$4:CK43,CI$4:CI43))</f>
        <v>0</v>
      </c>
      <c r="CP43" s="200" t="str">
        <f t="shared" si="42"/>
        <v/>
      </c>
      <c r="CQ43" s="200">
        <f>IF($J43="",#N/A,SUM(CP$4:CP43))</f>
        <v>0</v>
      </c>
      <c r="CR43" s="201" t="str">
        <f t="shared" si="43"/>
        <v/>
      </c>
      <c r="CS43" s="201">
        <f>IF($J43="",#N/A,SUM(CR$4:CR43))</f>
        <v>0</v>
      </c>
      <c r="CT43" s="202" t="str">
        <f t="shared" si="44"/>
        <v/>
      </c>
      <c r="CU43" s="202">
        <f>IF($J43="",#N/A,SUM(CT$4:CT43))</f>
        <v>0</v>
      </c>
      <c r="CV43" s="202">
        <f>IF($J43="",#N/A,SUM(CT$4:CT43,CR$4:CR43,CP$4:CP43))</f>
        <v>0</v>
      </c>
      <c r="CW43" s="200" t="str">
        <f t="shared" si="45"/>
        <v/>
      </c>
      <c r="CX43" s="200">
        <f>IF($J43="",#N/A,SUM(CW$4:CW43))</f>
        <v>0</v>
      </c>
      <c r="CY43" s="201" t="str">
        <f t="shared" si="46"/>
        <v/>
      </c>
      <c r="CZ43" s="201">
        <f>IF($J43="",#N/A,SUM(CY$4:CY43))</f>
        <v>0</v>
      </c>
      <c r="DA43" s="202" t="str">
        <f t="shared" si="47"/>
        <v/>
      </c>
      <c r="DB43" s="202">
        <f>IF($J43="",#N/A,SUM(DA$4:DA43))</f>
        <v>0</v>
      </c>
      <c r="DC43" s="202">
        <f>IF($J43="",#N/A,SUM(DA$4:DA43,CY$4:CY43,CW$4:CW43))</f>
        <v>0</v>
      </c>
      <c r="DD43" s="200" t="str">
        <f t="shared" si="48"/>
        <v/>
      </c>
      <c r="DE43" s="200">
        <f>IF($J43="",#N/A,SUM(DD$4:DD43))</f>
        <v>0</v>
      </c>
      <c r="DF43" s="201" t="str">
        <f t="shared" si="49"/>
        <v/>
      </c>
      <c r="DG43" s="201">
        <f>IF($J43="",#N/A,SUM(DF$4:DF43))</f>
        <v>0.6788440567066546</v>
      </c>
      <c r="DH43" s="202" t="str">
        <f t="shared" si="50"/>
        <v/>
      </c>
      <c r="DI43" s="202">
        <f>IF($J43="",#N/A,SUM(DH$4:DH43))</f>
        <v>0</v>
      </c>
      <c r="DJ43" s="202">
        <f>IF($J43="",#N/A,SUM(DH$4:DH43,DF$4:DF43,DD$4:DD43))</f>
        <v>0.6788440567066546</v>
      </c>
      <c r="DK43" s="200" t="str">
        <f t="shared" si="51"/>
        <v/>
      </c>
      <c r="DL43" s="200">
        <f>IF($J43="",#N/A,SUM(DK$4:DK43))</f>
        <v>0</v>
      </c>
      <c r="DM43" s="201" t="str">
        <f t="shared" si="52"/>
        <v/>
      </c>
      <c r="DN43" s="201">
        <f>IF($J43="",#N/A,SUM(DM$4:DM43))</f>
        <v>0.36227168206863897</v>
      </c>
      <c r="DO43" s="202" t="str">
        <f t="shared" si="53"/>
        <v/>
      </c>
      <c r="DP43" s="202">
        <f>IF($J43="",#N/A,SUM(DO$4:DO43))</f>
        <v>0.19475247422998271</v>
      </c>
      <c r="DQ43" s="202">
        <f>IF($J43="",#N/A,SUM(DO$4:DO43,DM$4:DM43,DK$4:DK43))</f>
        <v>0.55702415629862168</v>
      </c>
      <c r="DR43" s="200" t="str">
        <f t="shared" si="54"/>
        <v/>
      </c>
      <c r="DS43" s="200">
        <f>IF($J43="",#N/A,SUM(DR$4:DR43))</f>
        <v>0</v>
      </c>
      <c r="DT43" s="201" t="str">
        <f t="shared" si="55"/>
        <v/>
      </c>
      <c r="DU43" s="201">
        <f>IF($J43="",#N/A,SUM(DT$4:DT43))</f>
        <v>-0.87668288986978915</v>
      </c>
      <c r="DV43" s="202" t="str">
        <f t="shared" si="56"/>
        <v/>
      </c>
      <c r="DW43" s="202">
        <f>IF($J43="",#N/A,SUM(DV$4:DV43))</f>
        <v>-0.89834078198379175</v>
      </c>
      <c r="DX43" s="202">
        <f>IF($J43="",#N/A,SUM(DV$4:DV43,DT$4:DT43,DR$4:DR43))</f>
        <v>-1.775023671853581</v>
      </c>
      <c r="DY43" s="200" t="str">
        <f t="shared" si="57"/>
        <v/>
      </c>
      <c r="DZ43" s="200">
        <f>IF($J43="",#N/A,SUM(DY$4:DY43))</f>
        <v>0</v>
      </c>
      <c r="EA43" s="201" t="str">
        <f t="shared" si="58"/>
        <v/>
      </c>
      <c r="EB43" s="201">
        <f>IF($J43="",#N/A,SUM(EA$4:EA43))</f>
        <v>0.43517953094202633</v>
      </c>
      <c r="EC43" s="202" t="str">
        <f t="shared" si="59"/>
        <v/>
      </c>
      <c r="ED43" s="202">
        <f>IF($J43="",#N/A,SUM(EC$4:EC43))</f>
        <v>-0.29335791431061087</v>
      </c>
      <c r="EE43" s="202">
        <f>IF($J43="",#N/A,SUM(EC$4:EC43,EA$4:EA43,DY$4:DY43))</f>
        <v>0.14182161663141543</v>
      </c>
      <c r="EF43" s="200" t="str">
        <f t="shared" si="60"/>
        <v/>
      </c>
      <c r="EG43" s="200">
        <f>IF($J43="",#N/A,SUM(EF$4:EF43))</f>
        <v>0</v>
      </c>
      <c r="EH43" s="201" t="str">
        <f t="shared" si="61"/>
        <v/>
      </c>
      <c r="EI43" s="201">
        <f>IF($J43="",#N/A,SUM(EH$4:EH43))</f>
        <v>0</v>
      </c>
      <c r="EJ43" s="202" t="str">
        <f t="shared" si="62"/>
        <v/>
      </c>
      <c r="EK43" s="202">
        <f>IF($J43="",#N/A,SUM(EJ$4:EJ43))</f>
        <v>0.6035383334478206</v>
      </c>
      <c r="EL43" s="202">
        <f>IF($J43="",#N/A,SUM(EJ$4:EJ43,EH$4:EH43,EF$4:EF43))</f>
        <v>0.6035383334478206</v>
      </c>
      <c r="EM43" s="200" t="str">
        <f t="shared" si="63"/>
        <v/>
      </c>
      <c r="EN43" s="200">
        <f>IF($J43="",#N/A,SUM(EM$4:EM43))</f>
        <v>0</v>
      </c>
      <c r="EO43" s="201" t="str">
        <f t="shared" si="64"/>
        <v/>
      </c>
      <c r="EP43" s="201">
        <f>IF($J43="",#N/A,SUM(EO$4:EO43))</f>
        <v>0</v>
      </c>
      <c r="EQ43" s="202" t="str">
        <f t="shared" si="65"/>
        <v/>
      </c>
      <c r="ER43" s="202">
        <f>IF($J43="",#N/A,SUM(EQ$4:EQ43))</f>
        <v>0</v>
      </c>
      <c r="ES43" s="202">
        <f>IF($J43="",#N/A,SUM(EQ$4:EQ43,EO$4:EO43,EM$4:EM43))</f>
        <v>0</v>
      </c>
      <c r="ET43" s="200" t="str">
        <f t="shared" si="66"/>
        <v/>
      </c>
      <c r="EU43" s="200">
        <f>IF($J43="",#N/A,SUM(ET$4:ET43))</f>
        <v>0</v>
      </c>
      <c r="EV43" s="201" t="str">
        <f t="shared" si="67"/>
        <v/>
      </c>
      <c r="EW43" s="201">
        <f>IF($J43="",#N/A,SUM(EV$4:EV43))</f>
        <v>0</v>
      </c>
      <c r="EX43" s="202" t="str">
        <f t="shared" si="68"/>
        <v/>
      </c>
      <c r="EY43" s="202">
        <f>IF($J43="",#N/A,SUM(EX$4:EX43))</f>
        <v>0</v>
      </c>
      <c r="EZ43" s="202">
        <f>IF($J43="",#N/A,SUM(EX$4:EX43,EV$4:EV43,ET$4:ET43))</f>
        <v>0</v>
      </c>
      <c r="FA43" s="200" t="str">
        <f t="shared" si="69"/>
        <v/>
      </c>
      <c r="FB43" s="200">
        <f>IF($J43="",#N/A,SUM(FA$4:FA43))</f>
        <v>0</v>
      </c>
      <c r="FC43" s="201" t="str">
        <f t="shared" si="70"/>
        <v/>
      </c>
      <c r="FD43" s="201">
        <f>IF($J43="",#N/A,SUM(FC$4:FC43))</f>
        <v>0</v>
      </c>
      <c r="FE43" s="202" t="str">
        <f t="shared" si="71"/>
        <v/>
      </c>
      <c r="FF43" s="202">
        <f>IF($J43="",#N/A,SUM(FE$4:FE43))</f>
        <v>-0.11131725417439868</v>
      </c>
      <c r="FG43" s="202">
        <f>IF($J43="",#N/A,SUM(FE$4:FE43,FC$4:FC43,FA$4:FA43))</f>
        <v>-0.11131725417439868</v>
      </c>
      <c r="FH43" s="200" t="str">
        <f t="shared" si="72"/>
        <v/>
      </c>
      <c r="FI43" s="200">
        <f>IF($J43="",#N/A,SUM(FH$4:FH43))</f>
        <v>0</v>
      </c>
      <c r="FJ43" s="201" t="str">
        <f t="shared" si="73"/>
        <v/>
      </c>
      <c r="FK43" s="201">
        <f>IF($J43="",#N/A,SUM(FJ$4:FJ43))</f>
        <v>0</v>
      </c>
      <c r="FL43" s="202" t="str">
        <f t="shared" si="74"/>
        <v/>
      </c>
      <c r="FM43" s="202">
        <f>IF($J43="",#N/A,SUM(FL$4:FL43))</f>
        <v>0</v>
      </c>
      <c r="FN43" s="202">
        <f>IF($J43="",#N/A,SUM(FL$4:FL43,FJ$4:FJ43,FH$4:FH43))</f>
        <v>0</v>
      </c>
      <c r="FO43" s="200" t="str">
        <f t="shared" si="75"/>
        <v/>
      </c>
      <c r="FP43" s="200">
        <f>IF($J43="",#N/A,SUM(FO$4:FO43))</f>
        <v>0</v>
      </c>
      <c r="FQ43" s="201" t="str">
        <f t="shared" si="76"/>
        <v/>
      </c>
      <c r="FR43" s="201">
        <f>IF($J43="",#N/A,SUM(FQ$4:FQ43))</f>
        <v>0</v>
      </c>
      <c r="FS43" s="202" t="str">
        <f t="shared" si="77"/>
        <v/>
      </c>
      <c r="FT43" s="202">
        <f>IF($J43="",#N/A,SUM(FS$4:FS43))</f>
        <v>0</v>
      </c>
      <c r="FU43" s="202">
        <f>IF($J43="",#N/A,SUM(FS$4:FS43,FQ$4:FQ43,FO$4:FO43))</f>
        <v>0</v>
      </c>
      <c r="FV43" s="200">
        <f t="shared" si="78"/>
        <v>6.6834991831277585E-2</v>
      </c>
      <c r="FW43" s="200">
        <f>IF($J43="",#N/A,SUM(FV$4:FV43))</f>
        <v>6.6834991831277585E-2</v>
      </c>
      <c r="FX43" s="201" t="str">
        <f t="shared" si="79"/>
        <v/>
      </c>
      <c r="FY43" s="201">
        <f>IF($J43="",#N/A,SUM(FX$4:FX43))</f>
        <v>0</v>
      </c>
      <c r="FZ43" s="202" t="str">
        <f t="shared" si="80"/>
        <v/>
      </c>
      <c r="GA43" s="202">
        <f>IF($J43="",#N/A,SUM(FZ$4:FZ43))</f>
        <v>-0.20104261551371039</v>
      </c>
      <c r="GB43" s="202">
        <f>IF($J43="",#N/A,SUM(FZ$4:FZ43,FX$4:FX43,FV$4:FV43))</f>
        <v>-0.1342076236824328</v>
      </c>
      <c r="GC43" s="200" t="str">
        <f t="shared" si="81"/>
        <v/>
      </c>
      <c r="GD43" s="200">
        <f>IF($J43="",#N/A,SUM(GC$4:GC43))</f>
        <v>0</v>
      </c>
      <c r="GE43" s="201" t="str">
        <f t="shared" si="82"/>
        <v/>
      </c>
      <c r="GF43" s="201">
        <f>IF($J43="",#N/A,SUM(GE$4:GE43))</f>
        <v>0</v>
      </c>
      <c r="GG43" s="202" t="str">
        <f t="shared" si="83"/>
        <v/>
      </c>
      <c r="GH43" s="202">
        <f>IF($J43="",#N/A,SUM(GG$4:GG43))</f>
        <v>-2.9368362277223206</v>
      </c>
      <c r="GI43" s="202">
        <f>IF($J43="",#N/A,SUM(GG$4:GG43,GE$4:GE43,GC$4:GC43))</f>
        <v>-2.9368362277223206</v>
      </c>
      <c r="GJ43" s="200" t="str">
        <f t="shared" si="84"/>
        <v/>
      </c>
      <c r="GK43" s="200">
        <f>IF($J43="",#N/A,SUM(GJ$4:GJ43))</f>
        <v>0</v>
      </c>
      <c r="GL43" s="201" t="str">
        <f t="shared" si="85"/>
        <v/>
      </c>
      <c r="GM43" s="201">
        <f>IF($J43="",#N/A,SUM(GL$4:GL43))</f>
        <v>-0.55016731892688953</v>
      </c>
      <c r="GN43" s="202" t="str">
        <f t="shared" si="86"/>
        <v/>
      </c>
      <c r="GO43" s="202">
        <f>IF($J43="",#N/A,SUM(GN$4:GN43))</f>
        <v>0</v>
      </c>
      <c r="GP43" s="202">
        <f>IF($J43="",#N/A,SUM(GN$4:GN43,GL$4:GL43,GJ$4:GJ43))</f>
        <v>-0.55016731892688953</v>
      </c>
      <c r="GS43" s="177">
        <f t="shared" si="105"/>
        <v>6.6834991831277585E-2</v>
      </c>
      <c r="GT43" s="177">
        <f>IF(GS43="",NA(),SUM($GS$4:GS43))</f>
        <v>-3.7283127462023944</v>
      </c>
      <c r="GU43" s="177">
        <f t="shared" si="87"/>
        <v>6.6834991831277585E-2</v>
      </c>
      <c r="GV43" s="177">
        <f>IF(GU43="",NA(),SUM($GU$4:GU43))</f>
        <v>6.6834991831277585E-2</v>
      </c>
      <c r="GW43" s="177" t="str">
        <f t="shared" si="88"/>
        <v/>
      </c>
      <c r="GX43" s="177" t="e">
        <f>IF(GW43="",NA(),SUM($GW$4:GW43))</f>
        <v>#N/A</v>
      </c>
      <c r="GY43" s="177" t="str">
        <f t="shared" si="89"/>
        <v/>
      </c>
      <c r="GZ43" s="177" t="e">
        <f>IF(GY43="",NA(),SUM($GY$4:GY43))</f>
        <v>#N/A</v>
      </c>
      <c r="HA43" s="177" t="str">
        <f t="shared" si="90"/>
        <v/>
      </c>
      <c r="HB43" s="177" t="e">
        <f>IF(HA43="",NA(),SUM($HA$4:HA43))</f>
        <v>#N/A</v>
      </c>
      <c r="HC43" s="177" t="str">
        <f t="shared" si="91"/>
        <v/>
      </c>
      <c r="HD43" s="177" t="e">
        <f>IF(HC43="",NA(),SUM($HC$4:HC43))</f>
        <v>#N/A</v>
      </c>
      <c r="HE43" s="177" t="str">
        <f t="shared" si="92"/>
        <v/>
      </c>
      <c r="HF43" s="177" t="e">
        <f>IF(HE43="",NA(),SUM($HE$4:HE43))</f>
        <v>#N/A</v>
      </c>
      <c r="HG43" s="177" t="str">
        <f t="shared" si="93"/>
        <v/>
      </c>
      <c r="HH43" s="177" t="e">
        <f>IF(HG43="",NA(),SUM($HG$4:HG43))</f>
        <v>#N/A</v>
      </c>
      <c r="HI43" s="183" t="str">
        <f t="shared" si="106"/>
        <v/>
      </c>
      <c r="HJ43" s="183">
        <f>IF($J43="",#N/A,SUM(HI$4:$HI43))</f>
        <v>-0.84321683845460527</v>
      </c>
      <c r="HK43" s="177" t="str">
        <f t="shared" si="94"/>
        <v/>
      </c>
      <c r="HL43" s="177">
        <f>IF($J43="",#N/A,SUM($HK$4:HK43))</f>
        <v>-2.0464785771968956</v>
      </c>
      <c r="HM43" s="177">
        <f t="shared" si="95"/>
        <v>0.80449527204317051</v>
      </c>
      <c r="HN43" s="177">
        <f>IF($J43="",#N/A,SUM($HM$4:HM43))</f>
        <v>0.80449527204317051</v>
      </c>
      <c r="HO43" s="177" t="str">
        <f t="shared" si="96"/>
        <v/>
      </c>
      <c r="HP43" s="177">
        <f>IF($J43="",#N/A,SUM($HO$4:HO43))</f>
        <v>0</v>
      </c>
      <c r="HQ43" s="177" t="str">
        <f t="shared" si="97"/>
        <v/>
      </c>
      <c r="HR43" s="177">
        <f>IF($J43="",#N/A,SUM($HQ$4:HQ43))</f>
        <v>-2.403977670784323</v>
      </c>
      <c r="HS43" s="177" t="str">
        <f t="shared" si="98"/>
        <v/>
      </c>
      <c r="HT43" s="177">
        <f>IF($J43="",#N/A,SUM($HS$4:HS43))</f>
        <v>4.4293076139753111</v>
      </c>
      <c r="HU43" s="64">
        <f t="shared" si="99"/>
        <v>0.87133026387444812</v>
      </c>
      <c r="HV43" s="64">
        <f>IF($J43="",#N/A,SUM(HU$4:$HU43))</f>
        <v>-3.5861941336924534</v>
      </c>
    </row>
    <row r="44" spans="1:230" x14ac:dyDescent="0.25">
      <c r="A44" s="396" t="s">
        <v>1464</v>
      </c>
      <c r="B44" s="52" t="s">
        <v>4501</v>
      </c>
      <c r="C44" s="229">
        <f t="shared" si="0"/>
        <v>2</v>
      </c>
      <c r="D44" s="219" t="str">
        <f>_xlfn.XLOOKUP(A44,[1]SP500!$A$2:$A$502,[1]SP500!$D$2:$D$502,"N")</f>
        <v>Y</v>
      </c>
      <c r="E44" s="51" t="str">
        <f>IFERROR(_xlfn.XLOOKUP(A44,[1]SP500!$A$2:$A$655,[1]SP500!$B$2:$B$655),"")</f>
        <v>XLF</v>
      </c>
      <c r="F44" s="53">
        <v>45769</v>
      </c>
      <c r="G44" s="51" t="str">
        <f t="shared" si="1"/>
        <v>BMO</v>
      </c>
      <c r="H44" s="51" t="str">
        <f t="shared" si="2"/>
        <v>s</v>
      </c>
      <c r="I44" s="344">
        <v>215.29</v>
      </c>
      <c r="J44" s="124">
        <v>241.26499999999999</v>
      </c>
      <c r="K44" s="55">
        <f t="shared" si="3"/>
        <v>0.12065121464071715</v>
      </c>
      <c r="L44" s="67">
        <f t="shared" si="4"/>
        <v>-129.87499999999977</v>
      </c>
      <c r="M44" s="57">
        <f t="shared" si="5"/>
        <v>-1.1250000000002274</v>
      </c>
      <c r="N44" s="102">
        <f t="shared" si="6"/>
        <v>-129.87499999999977</v>
      </c>
      <c r="O44" s="57">
        <f>IF(N44="",#N/A,SUM($N$4:N44))</f>
        <v>-366.88962593336987</v>
      </c>
      <c r="P44" s="65">
        <f t="shared" si="100"/>
        <v>-2.0108535773452827</v>
      </c>
      <c r="Q44" s="172">
        <f>IF($N44="",#N/A,SUM($P$4:P44))</f>
        <v>-5.537177510620392</v>
      </c>
      <c r="R44" s="279">
        <f t="shared" si="7"/>
        <v>0.83929687085540827</v>
      </c>
      <c r="S44" s="51" t="str">
        <f t="shared" si="8"/>
        <v>Dwn</v>
      </c>
      <c r="T44" s="51" t="s">
        <v>4461</v>
      </c>
      <c r="U44" s="56">
        <f t="shared" si="9"/>
        <v>215.29</v>
      </c>
      <c r="V44" s="56" t="s">
        <v>4458</v>
      </c>
      <c r="W44" s="142">
        <v>5</v>
      </c>
      <c r="X44" s="145">
        <f t="shared" si="10"/>
        <v>1076.45</v>
      </c>
      <c r="Y44" s="140">
        <f t="shared" si="11"/>
        <v>5</v>
      </c>
      <c r="Z44" s="123">
        <v>241.49</v>
      </c>
      <c r="AA44" s="102">
        <f t="shared" si="12"/>
        <v>-131</v>
      </c>
      <c r="AB44" s="102">
        <f t="shared" si="13"/>
        <v>-148.95000000000005</v>
      </c>
      <c r="AC44" s="124">
        <v>245.08</v>
      </c>
      <c r="AD44" s="155">
        <f t="shared" si="14"/>
        <v>-148.95000000000005</v>
      </c>
      <c r="AE44" s="545">
        <f t="shared" si="15"/>
        <v>-2.3061916484741518</v>
      </c>
      <c r="AF44" s="57">
        <f>IF($AC44="",#N/A,SUM(AD$4:AD44))</f>
        <v>-384.0096714083254</v>
      </c>
      <c r="AG44" s="102">
        <f t="shared" si="16"/>
        <v>-19.075000000000273</v>
      </c>
      <c r="AH44" s="56" t="s">
        <v>2507</v>
      </c>
      <c r="AI44" s="65">
        <f t="shared" si="17"/>
        <v>-2.0282719432703176</v>
      </c>
      <c r="AJ44" s="350">
        <f>IF(AI44="",#N/A,SUM($AI$4:AI44))</f>
        <v>-6.3764743814758003</v>
      </c>
      <c r="AK44" s="57">
        <f t="shared" si="18"/>
        <v>-131</v>
      </c>
      <c r="AL44" s="349">
        <f>IF(AI44="",#N/A,IF(AH44="Skip",SUM($AK$4:AK44),SUM($AK$4:AK44)))</f>
        <v>-425.97999999999888</v>
      </c>
      <c r="AM44" s="65">
        <f t="shared" si="101"/>
        <v>-2.3061916484741518</v>
      </c>
      <c r="AN44" s="209"/>
      <c r="AO44" s="65" t="str">
        <f t="shared" si="19"/>
        <v/>
      </c>
      <c r="AP44" s="65">
        <f>IF($AC44="",#N/A,SUM(AO$4:AO44))</f>
        <v>-1.6172740428360413</v>
      </c>
      <c r="AQ44" s="65" t="str">
        <f t="shared" si="20"/>
        <v/>
      </c>
      <c r="AR44" s="65">
        <f>IF($AC44="",#N/A,SUM(AQ$4:AQ44))</f>
        <v>0.87133026387444812</v>
      </c>
      <c r="AS44" s="65">
        <f t="shared" si="21"/>
        <v>-2.3061916484741518</v>
      </c>
      <c r="AT44" s="65">
        <f>IF($AC44="",#N/A,SUM(AS$4:AS44))</f>
        <v>-5.1464420032050118</v>
      </c>
      <c r="AU44" s="57" t="str">
        <f t="shared" si="102"/>
        <v/>
      </c>
      <c r="AV44" s="57">
        <f>IF($AC44="",#N/A,SUM(AU$4:AU44))</f>
        <v>-121.67129850550941</v>
      </c>
      <c r="AW44" s="57" t="str">
        <f t="shared" si="103"/>
        <v/>
      </c>
      <c r="AX44" s="57">
        <f>IF($AC44="",#N/A,SUM(AW$4:AW44))</f>
        <v>59.839999999999918</v>
      </c>
      <c r="AY44" s="57">
        <f t="shared" si="104"/>
        <v>-148.95000000000005</v>
      </c>
      <c r="AZ44" s="57">
        <f>IF($AC44="",#N/A,SUM(AY$4:AY44))</f>
        <v>-322.17837290281591</v>
      </c>
      <c r="BA44" s="57">
        <f>IF(AD44="",#N/A,SUM($AD$4:AD44))</f>
        <v>-384.0096714083254</v>
      </c>
      <c r="BC44" s="51" t="str">
        <f t="shared" si="22"/>
        <v/>
      </c>
      <c r="BD44" s="51">
        <f t="shared" si="23"/>
        <v>1</v>
      </c>
      <c r="BE44" s="51" t="str">
        <f t="shared" si="24"/>
        <v/>
      </c>
      <c r="BF44" s="51" t="str">
        <f t="shared" si="25"/>
        <v>Short</v>
      </c>
      <c r="BG44" s="51" t="str">
        <f t="shared" si="26"/>
        <v/>
      </c>
      <c r="BH44" s="51" t="str">
        <f t="shared" si="27"/>
        <v/>
      </c>
      <c r="BI44" s="51" t="str">
        <f t="shared" si="28"/>
        <v/>
      </c>
      <c r="BK44" s="184"/>
      <c r="BL44" s="65">
        <f t="shared" si="107"/>
        <v>-0.29744688095959232</v>
      </c>
      <c r="BM44" s="65">
        <f>IFERROR(Q44/COUNTA($J$4:J44),#N/A)</f>
        <v>-0.13505311001513151</v>
      </c>
      <c r="BO44" s="489" t="e">
        <f>IF(J44="",#N/A,IF(S44="SW",(COUNTIFS(K$4:$K44,"&gt;0",S$4:$S44,"SW")/COUNTIF(S$4:$S44,"SW")),#N/A))</f>
        <v>#N/A</v>
      </c>
      <c r="BP44" s="489">
        <f>IF($J44="",#N/A,IF($S44="DWN",(COUNTIFS($K$4:$K44,"&lt;0",$S$4:$S44,"DWN")/COUNTIF($S$4:$S44,"DWN")),#N/A))</f>
        <v>0.5625</v>
      </c>
      <c r="BQ44" s="489" t="e">
        <f>IF($J44="",#N/A,IF($S44="UP",(COUNTIFS($K$4:$K44,"&gt;0",$S$4:$S44,"UP")/COUNTIF($S$4:$S44,"UP")),#N/A))</f>
        <v>#N/A</v>
      </c>
      <c r="BR44" s="489">
        <f>IF(J44="",#N/A,COUNTIF($K$4:K44,"&gt;0")/COUNT($J$4:J44))</f>
        <v>0.48780487804878048</v>
      </c>
      <c r="BS44" s="65" t="str">
        <f t="shared" si="29"/>
        <v/>
      </c>
      <c r="BT44" s="65" t="str">
        <f t="shared" si="30"/>
        <v/>
      </c>
      <c r="BU44" s="65" t="str">
        <f t="shared" si="31"/>
        <v/>
      </c>
      <c r="BV44" s="65">
        <f t="shared" si="32"/>
        <v>-2.0108535773452827</v>
      </c>
      <c r="BW44" s="128" t="str">
        <f t="shared" si="33"/>
        <v/>
      </c>
      <c r="BX44" s="128">
        <f>IF($J44="",#N/A,SUM($BW$4:BW44))</f>
        <v>4.5899999999999181</v>
      </c>
      <c r="BY44" s="131">
        <f t="shared" si="34"/>
        <v>-129.87499999999977</v>
      </c>
      <c r="BZ44" s="131">
        <f>IF($J44="",#N/A,SUM($BY$4:BY44))</f>
        <v>-129.19871953149561</v>
      </c>
      <c r="CA44" s="133" t="str">
        <f t="shared" si="35"/>
        <v/>
      </c>
      <c r="CB44" s="133">
        <f>IF($J44="",#N/A,SUM($CA$4:CA44))</f>
        <v>-242.28090640187418</v>
      </c>
      <c r="CC44" s="194" t="str">
        <f t="shared" si="36"/>
        <v/>
      </c>
      <c r="CD44" s="194">
        <f>IF($J44="",#N/A,SUM($CC$4:CC44))</f>
        <v>6.6834991831277585E-2</v>
      </c>
      <c r="CE44" s="195">
        <f t="shared" si="37"/>
        <v>-2.0108535773452827</v>
      </c>
      <c r="CF44" s="195">
        <f>IF($J44="",#N/A,SUM($CE$4:CE44))</f>
        <v>-1.9614085164246415</v>
      </c>
      <c r="CG44" s="196" t="str">
        <f t="shared" si="38"/>
        <v/>
      </c>
      <c r="CH44" s="196">
        <f>IF($J44="",#N/A,SUM($CG$4:CG44))</f>
        <v>-3.6426039860270283</v>
      </c>
      <c r="CI44" s="200" t="str">
        <f t="shared" si="39"/>
        <v/>
      </c>
      <c r="CJ44" s="203">
        <f>IF($J44="",#N/A,SUM(CI$4:CI44))</f>
        <v>0</v>
      </c>
      <c r="CK44" s="204" t="str">
        <f t="shared" si="40"/>
        <v/>
      </c>
      <c r="CL44" s="204">
        <f>IF($J44="",#N/A,SUM(CK$4:CK44))</f>
        <v>0</v>
      </c>
      <c r="CM44" s="205" t="str">
        <f t="shared" si="41"/>
        <v/>
      </c>
      <c r="CN44" s="205">
        <f>IF($J44="",#N/A,SUM(CM$4:CM44))</f>
        <v>0</v>
      </c>
      <c r="CO44" s="205">
        <f>IF($J44="",#N/A,SUM(CM$4:CM44,CK$4:CK44,CI$4:CI44))</f>
        <v>0</v>
      </c>
      <c r="CP44" s="200" t="str">
        <f t="shared" si="42"/>
        <v/>
      </c>
      <c r="CQ44" s="203">
        <f>IF($J44="",#N/A,SUM(CP$4:CP44))</f>
        <v>0</v>
      </c>
      <c r="CR44" s="204" t="str">
        <f t="shared" si="43"/>
        <v/>
      </c>
      <c r="CS44" s="204">
        <f>IF($J44="",#N/A,SUM(CR$4:CR44))</f>
        <v>0</v>
      </c>
      <c r="CT44" s="205" t="str">
        <f t="shared" si="44"/>
        <v/>
      </c>
      <c r="CU44" s="205">
        <f>IF($J44="",#N/A,SUM(CT$4:CT44))</f>
        <v>0</v>
      </c>
      <c r="CV44" s="205">
        <f>IF($J44="",#N/A,SUM(CT$4:CT44,CR$4:CR44,CP$4:CP44))</f>
        <v>0</v>
      </c>
      <c r="CW44" s="200" t="str">
        <f t="shared" si="45"/>
        <v/>
      </c>
      <c r="CX44" s="203">
        <f>IF($J44="",#N/A,SUM(CW$4:CW44))</f>
        <v>0</v>
      </c>
      <c r="CY44" s="204" t="str">
        <f t="shared" si="46"/>
        <v/>
      </c>
      <c r="CZ44" s="204">
        <f>IF($J44="",#N/A,SUM(CY$4:CY44))</f>
        <v>0</v>
      </c>
      <c r="DA44" s="205" t="str">
        <f t="shared" si="47"/>
        <v/>
      </c>
      <c r="DB44" s="205">
        <f>IF($J44="",#N/A,SUM(DA$4:DA44))</f>
        <v>0</v>
      </c>
      <c r="DC44" s="205">
        <f>IF($J44="",#N/A,SUM(DA$4:DA44,CY$4:CY44,CW$4:CW44))</f>
        <v>0</v>
      </c>
      <c r="DD44" s="200" t="str">
        <f t="shared" si="48"/>
        <v/>
      </c>
      <c r="DE44" s="203">
        <f>IF($J44="",#N/A,SUM(DD$4:DD44))</f>
        <v>0</v>
      </c>
      <c r="DF44" s="204" t="str">
        <f t="shared" si="49"/>
        <v/>
      </c>
      <c r="DG44" s="204">
        <f>IF($J44="",#N/A,SUM(DF$4:DF44))</f>
        <v>0.6788440567066546</v>
      </c>
      <c r="DH44" s="205" t="str">
        <f t="shared" si="50"/>
        <v/>
      </c>
      <c r="DI44" s="205">
        <f>IF($J44="",#N/A,SUM(DH$4:DH44))</f>
        <v>0</v>
      </c>
      <c r="DJ44" s="205">
        <f>IF($J44="",#N/A,SUM(DH$4:DH44,DF$4:DF44,DD$4:DD44))</f>
        <v>0.6788440567066546</v>
      </c>
      <c r="DK44" s="200" t="str">
        <f t="shared" si="51"/>
        <v/>
      </c>
      <c r="DL44" s="203">
        <f>IF($J44="",#N/A,SUM(DK$4:DK44))</f>
        <v>0</v>
      </c>
      <c r="DM44" s="204" t="str">
        <f t="shared" si="52"/>
        <v/>
      </c>
      <c r="DN44" s="204">
        <f>IF($J44="",#N/A,SUM(DM$4:DM44))</f>
        <v>0.36227168206863897</v>
      </c>
      <c r="DO44" s="205" t="str">
        <f t="shared" si="53"/>
        <v/>
      </c>
      <c r="DP44" s="205">
        <f>IF($J44="",#N/A,SUM(DO$4:DO44))</f>
        <v>0.19475247422998271</v>
      </c>
      <c r="DQ44" s="205">
        <f>IF($J44="",#N/A,SUM(DO$4:DO44,DM$4:DM44,DK$4:DK44))</f>
        <v>0.55702415629862168</v>
      </c>
      <c r="DR44" s="200" t="str">
        <f t="shared" si="54"/>
        <v/>
      </c>
      <c r="DS44" s="203">
        <f>IF($J44="",#N/A,SUM(DR$4:DR44))</f>
        <v>0</v>
      </c>
      <c r="DT44" s="204">
        <f t="shared" si="55"/>
        <v>-2.0108535773452827</v>
      </c>
      <c r="DU44" s="204">
        <f>IF($J44="",#N/A,SUM(DT$4:DT44))</f>
        <v>-2.8875364672150718</v>
      </c>
      <c r="DV44" s="205" t="str">
        <f t="shared" si="56"/>
        <v/>
      </c>
      <c r="DW44" s="205">
        <f>IF($J44="",#N/A,SUM(DV$4:DV44))</f>
        <v>-0.89834078198379175</v>
      </c>
      <c r="DX44" s="205">
        <f>IF($J44="",#N/A,SUM(DV$4:DV44,DT$4:DT44,DR$4:DR44))</f>
        <v>-3.7858772491988635</v>
      </c>
      <c r="DY44" s="200" t="str">
        <f t="shared" si="57"/>
        <v/>
      </c>
      <c r="DZ44" s="203">
        <f>IF($J44="",#N/A,SUM(DY$4:DY44))</f>
        <v>0</v>
      </c>
      <c r="EA44" s="204" t="str">
        <f t="shared" si="58"/>
        <v/>
      </c>
      <c r="EB44" s="204">
        <f>IF($J44="",#N/A,SUM(EA$4:EA44))</f>
        <v>0.43517953094202633</v>
      </c>
      <c r="EC44" s="205" t="str">
        <f t="shared" si="59"/>
        <v/>
      </c>
      <c r="ED44" s="205">
        <f>IF($J44="",#N/A,SUM(EC$4:EC44))</f>
        <v>-0.29335791431061087</v>
      </c>
      <c r="EE44" s="205">
        <f>IF($J44="",#N/A,SUM(EC$4:EC44,EA$4:EA44,DY$4:DY44))</f>
        <v>0.14182161663141543</v>
      </c>
      <c r="EF44" s="200" t="str">
        <f t="shared" si="60"/>
        <v/>
      </c>
      <c r="EG44" s="203">
        <f>IF($J44="",#N/A,SUM(EF$4:EF44))</f>
        <v>0</v>
      </c>
      <c r="EH44" s="204" t="str">
        <f t="shared" si="61"/>
        <v/>
      </c>
      <c r="EI44" s="204">
        <f>IF($J44="",#N/A,SUM(EH$4:EH44))</f>
        <v>0</v>
      </c>
      <c r="EJ44" s="205" t="str">
        <f t="shared" si="62"/>
        <v/>
      </c>
      <c r="EK44" s="205">
        <f>IF($J44="",#N/A,SUM(EJ$4:EJ44))</f>
        <v>0.6035383334478206</v>
      </c>
      <c r="EL44" s="205">
        <f>IF($J44="",#N/A,SUM(EJ$4:EJ44,EH$4:EH44,EF$4:EF44))</f>
        <v>0.6035383334478206</v>
      </c>
      <c r="EM44" s="200" t="str">
        <f t="shared" si="63"/>
        <v/>
      </c>
      <c r="EN44" s="203">
        <f>IF($J44="",#N/A,SUM(EM$4:EM44))</f>
        <v>0</v>
      </c>
      <c r="EO44" s="204" t="str">
        <f t="shared" si="64"/>
        <v/>
      </c>
      <c r="EP44" s="204">
        <f>IF($J44="",#N/A,SUM(EO$4:EO44))</f>
        <v>0</v>
      </c>
      <c r="EQ44" s="205" t="str">
        <f t="shared" si="65"/>
        <v/>
      </c>
      <c r="ER44" s="205">
        <f>IF($J44="",#N/A,SUM(EQ$4:EQ44))</f>
        <v>0</v>
      </c>
      <c r="ES44" s="205">
        <f>IF($J44="",#N/A,SUM(EQ$4:EQ44,EO$4:EO44,EM$4:EM44))</f>
        <v>0</v>
      </c>
      <c r="ET44" s="200" t="str">
        <f t="shared" si="66"/>
        <v/>
      </c>
      <c r="EU44" s="203">
        <f>IF($J44="",#N/A,SUM(ET$4:ET44))</f>
        <v>0</v>
      </c>
      <c r="EV44" s="204" t="str">
        <f t="shared" si="67"/>
        <v/>
      </c>
      <c r="EW44" s="204">
        <f>IF($J44="",#N/A,SUM(EV$4:EV44))</f>
        <v>0</v>
      </c>
      <c r="EX44" s="205" t="str">
        <f t="shared" si="68"/>
        <v/>
      </c>
      <c r="EY44" s="205">
        <f>IF($J44="",#N/A,SUM(EX$4:EX44))</f>
        <v>0</v>
      </c>
      <c r="EZ44" s="205">
        <f>IF($J44="",#N/A,SUM(EX$4:EX44,EV$4:EV44,ET$4:ET44))</f>
        <v>0</v>
      </c>
      <c r="FA44" s="200" t="str">
        <f t="shared" si="69"/>
        <v/>
      </c>
      <c r="FB44" s="203">
        <f>IF($J44="",#N/A,SUM(FA$4:FA44))</f>
        <v>0</v>
      </c>
      <c r="FC44" s="204" t="str">
        <f t="shared" si="70"/>
        <v/>
      </c>
      <c r="FD44" s="204">
        <f>IF($J44="",#N/A,SUM(FC$4:FC44))</f>
        <v>0</v>
      </c>
      <c r="FE44" s="205" t="str">
        <f t="shared" si="71"/>
        <v/>
      </c>
      <c r="FF44" s="205">
        <f>IF($J44="",#N/A,SUM(FE$4:FE44))</f>
        <v>-0.11131725417439868</v>
      </c>
      <c r="FG44" s="205">
        <f>IF($J44="",#N/A,SUM(FE$4:FE44,FC$4:FC44,FA$4:FA44))</f>
        <v>-0.11131725417439868</v>
      </c>
      <c r="FH44" s="200" t="str">
        <f t="shared" si="72"/>
        <v/>
      </c>
      <c r="FI44" s="203">
        <f>IF($J44="",#N/A,SUM(FH$4:FH44))</f>
        <v>0</v>
      </c>
      <c r="FJ44" s="204" t="str">
        <f t="shared" si="73"/>
        <v/>
      </c>
      <c r="FK44" s="204">
        <f>IF($J44="",#N/A,SUM(FJ$4:FJ44))</f>
        <v>0</v>
      </c>
      <c r="FL44" s="205" t="str">
        <f t="shared" si="74"/>
        <v/>
      </c>
      <c r="FM44" s="205">
        <f>IF($J44="",#N/A,SUM(FL$4:FL44))</f>
        <v>0</v>
      </c>
      <c r="FN44" s="205">
        <f>IF($J44="",#N/A,SUM(FL$4:FL44,FJ$4:FJ44,FH$4:FH44))</f>
        <v>0</v>
      </c>
      <c r="FO44" s="200" t="str">
        <f t="shared" si="75"/>
        <v/>
      </c>
      <c r="FP44" s="203">
        <f>IF($J44="",#N/A,SUM(FO$4:FO44))</f>
        <v>0</v>
      </c>
      <c r="FQ44" s="204" t="str">
        <f t="shared" si="76"/>
        <v/>
      </c>
      <c r="FR44" s="204">
        <f>IF($J44="",#N/A,SUM(FQ$4:FQ44))</f>
        <v>0</v>
      </c>
      <c r="FS44" s="205" t="str">
        <f t="shared" si="77"/>
        <v/>
      </c>
      <c r="FT44" s="205">
        <f>IF($J44="",#N/A,SUM(FS$4:FS44))</f>
        <v>0</v>
      </c>
      <c r="FU44" s="205">
        <f>IF($J44="",#N/A,SUM(FS$4:FS44,FQ$4:FQ44,FO$4:FO44))</f>
        <v>0</v>
      </c>
      <c r="FV44" s="200" t="str">
        <f t="shared" si="78"/>
        <v/>
      </c>
      <c r="FW44" s="203">
        <f>IF($J44="",#N/A,SUM(FV$4:FV44))</f>
        <v>6.6834991831277585E-2</v>
      </c>
      <c r="FX44" s="204" t="str">
        <f t="shared" si="79"/>
        <v/>
      </c>
      <c r="FY44" s="204">
        <f>IF($J44="",#N/A,SUM(FX$4:FX44))</f>
        <v>0</v>
      </c>
      <c r="FZ44" s="205" t="str">
        <f t="shared" si="80"/>
        <v/>
      </c>
      <c r="GA44" s="205">
        <f>IF($J44="",#N/A,SUM(FZ$4:FZ44))</f>
        <v>-0.20104261551371039</v>
      </c>
      <c r="GB44" s="205">
        <f>IF($J44="",#N/A,SUM(FZ$4:FZ44,FX$4:FX44,FV$4:FV44))</f>
        <v>-0.1342076236824328</v>
      </c>
      <c r="GC44" s="200" t="str">
        <f t="shared" si="81"/>
        <v/>
      </c>
      <c r="GD44" s="203">
        <f>IF($J44="",#N/A,SUM(GC$4:GC44))</f>
        <v>0</v>
      </c>
      <c r="GE44" s="204" t="str">
        <f t="shared" si="82"/>
        <v/>
      </c>
      <c r="GF44" s="204">
        <f>IF($J44="",#N/A,SUM(GE$4:GE44))</f>
        <v>0</v>
      </c>
      <c r="GG44" s="205" t="str">
        <f t="shared" si="83"/>
        <v/>
      </c>
      <c r="GH44" s="205">
        <f>IF($J44="",#N/A,SUM(GG$4:GG44))</f>
        <v>-2.9368362277223206</v>
      </c>
      <c r="GI44" s="205">
        <f>IF($J44="",#N/A,SUM(GG$4:GG44,GE$4:GE44,GC$4:GC44))</f>
        <v>-2.9368362277223206</v>
      </c>
      <c r="GJ44" s="200" t="str">
        <f t="shared" si="84"/>
        <v/>
      </c>
      <c r="GK44" s="203">
        <f>IF($J44="",#N/A,SUM(GJ$4:GJ44))</f>
        <v>0</v>
      </c>
      <c r="GL44" s="204" t="str">
        <f t="shared" si="85"/>
        <v/>
      </c>
      <c r="GM44" s="204">
        <f>IF($J44="",#N/A,SUM(GL$4:GL44))</f>
        <v>-0.55016731892688953</v>
      </c>
      <c r="GN44" s="205" t="str">
        <f t="shared" si="86"/>
        <v/>
      </c>
      <c r="GO44" s="205">
        <f>IF($J44="",#N/A,SUM(GN$4:GN44))</f>
        <v>0</v>
      </c>
      <c r="GP44" s="205">
        <f>IF($J44="",#N/A,SUM(GN$4:GN44,GL$4:GL44,GJ$4:GJ44))</f>
        <v>-0.55016731892688953</v>
      </c>
      <c r="GS44" s="54">
        <f t="shared" si="105"/>
        <v>-2.0108535773452827</v>
      </c>
      <c r="GT44" s="54">
        <f>IF(GS44="",NA(),SUM($GS$4:GS44))</f>
        <v>-5.7391663235476766</v>
      </c>
      <c r="GU44" s="54" t="str">
        <f t="shared" si="87"/>
        <v/>
      </c>
      <c r="GV44" s="54" t="e">
        <f>IF(GU44="",NA(),SUM($GU$4:GU44))</f>
        <v>#N/A</v>
      </c>
      <c r="GW44" s="54" t="str">
        <f t="shared" si="88"/>
        <v/>
      </c>
      <c r="GX44" s="54" t="e">
        <f>IF(GW44="",NA(),SUM($GW$4:GW44))</f>
        <v>#N/A</v>
      </c>
      <c r="GY44" s="54">
        <f t="shared" si="89"/>
        <v>-2.0108535773452827</v>
      </c>
      <c r="GZ44" s="54">
        <f>IF(GY44="",NA(),SUM($GY$4:GY44))</f>
        <v>-1.9614085164246415</v>
      </c>
      <c r="HA44" s="54" t="str">
        <f t="shared" si="90"/>
        <v/>
      </c>
      <c r="HB44" s="54" t="e">
        <f>IF(HA44="",NA(),SUM($HA$4:HA44))</f>
        <v>#N/A</v>
      </c>
      <c r="HC44" s="54" t="str">
        <f t="shared" si="91"/>
        <v/>
      </c>
      <c r="HD44" s="54" t="e">
        <f>IF(HC44="",NA(),SUM($HC$4:HC44))</f>
        <v>#N/A</v>
      </c>
      <c r="HE44" s="54" t="str">
        <f t="shared" si="92"/>
        <v/>
      </c>
      <c r="HF44" s="54" t="e">
        <f>IF(HE44="",NA(),SUM($HE$4:HE44))</f>
        <v>#N/A</v>
      </c>
      <c r="HG44" s="54" t="str">
        <f t="shared" si="93"/>
        <v/>
      </c>
      <c r="HH44" s="54" t="e">
        <f>IF(HG44="",NA(),SUM($HG$4:HG44))</f>
        <v>#N/A</v>
      </c>
      <c r="HI44" s="172" t="str">
        <f t="shared" si="106"/>
        <v/>
      </c>
      <c r="HJ44" s="172">
        <f>IF($J44="",#N/A,SUM(HI$4:$HI44))</f>
        <v>-0.84321683845460527</v>
      </c>
      <c r="HK44" s="54">
        <f t="shared" si="94"/>
        <v>-0.29533807112886912</v>
      </c>
      <c r="HL44" s="54">
        <f>IF($J44="",#N/A,SUM($HK$4:HK44))</f>
        <v>-2.3418166483257647</v>
      </c>
      <c r="HM44" s="54" t="str">
        <f t="shared" si="95"/>
        <v/>
      </c>
      <c r="HN44" s="54">
        <f>IF($J44="",#N/A,SUM($HM$4:HM44))</f>
        <v>0.80449527204317051</v>
      </c>
      <c r="HO44" s="54" t="str">
        <f t="shared" si="96"/>
        <v/>
      </c>
      <c r="HP44" s="54">
        <f>IF($J44="",#N/A,SUM($HO$4:HO44))</f>
        <v>0</v>
      </c>
      <c r="HQ44" s="54" t="str">
        <f t="shared" si="97"/>
        <v/>
      </c>
      <c r="HR44" s="54">
        <f>IF($J44="",#N/A,SUM($HQ$4:HQ44))</f>
        <v>-2.403977670784323</v>
      </c>
      <c r="HS44" s="54" t="str">
        <f t="shared" si="98"/>
        <v/>
      </c>
      <c r="HT44" s="54">
        <f>IF($J44="",#N/A,SUM($HS$4:HS44))</f>
        <v>4.4293076139753111</v>
      </c>
      <c r="HU44" s="65">
        <f t="shared" si="99"/>
        <v>-2.3061916484741518</v>
      </c>
      <c r="HV44" s="65">
        <f>IF($J44="",#N/A,SUM(HU$4:$HU44))</f>
        <v>-5.8923857821666052</v>
      </c>
    </row>
    <row r="45" spans="1:230" x14ac:dyDescent="0.25">
      <c r="A45" s="275" t="s">
        <v>1546</v>
      </c>
      <c r="B45" s="52" t="s">
        <v>4501</v>
      </c>
      <c r="C45" s="276">
        <f t="shared" si="0"/>
        <v>2</v>
      </c>
      <c r="D45" s="277" t="str">
        <f>_xlfn.XLOOKUP(A45,[1]SP500!$A$2:$A$502,[1]SP500!$D$2:$D$502,"N")</f>
        <v>Y</v>
      </c>
      <c r="E45" s="275" t="str">
        <f>IFERROR(_xlfn.XLOOKUP(A45,[1]SP500!$A$2:$A$655,[1]SP500!$B$2:$B$655),"")</f>
        <v>XLY</v>
      </c>
      <c r="F45" s="53">
        <v>45769</v>
      </c>
      <c r="G45" s="51" t="str">
        <f t="shared" si="1"/>
        <v>BMO</v>
      </c>
      <c r="H45" s="51" t="str">
        <f t="shared" si="2"/>
        <v>s</v>
      </c>
      <c r="I45" s="344">
        <v>111.82</v>
      </c>
      <c r="J45" s="124">
        <v>116.065</v>
      </c>
      <c r="K45" s="55">
        <f t="shared" si="3"/>
        <v>3.7962797352888614E-2</v>
      </c>
      <c r="L45" s="67">
        <f t="shared" si="4"/>
        <v>-42.450000000000273</v>
      </c>
      <c r="M45" s="57">
        <f t="shared" si="5"/>
        <v>0.65000000000009095</v>
      </c>
      <c r="N45" s="102">
        <f t="shared" si="6"/>
        <v>-42.450000000000273</v>
      </c>
      <c r="O45" s="57">
        <f>IF(N45="",#N/A,SUM($N$4:N45))</f>
        <v>-409.33962593337014</v>
      </c>
      <c r="P45" s="65">
        <f t="shared" si="100"/>
        <v>-0.63271328921481373</v>
      </c>
      <c r="Q45" s="172">
        <f>IF($N45="",#N/A,SUM($P$4:P45))</f>
        <v>-6.1698907998352057</v>
      </c>
      <c r="R45" s="279">
        <f t="shared" si="7"/>
        <v>0.82960868150347178</v>
      </c>
      <c r="S45" s="51" t="str">
        <f t="shared" si="8"/>
        <v>Dwn</v>
      </c>
      <c r="T45" s="51" t="s">
        <v>4461</v>
      </c>
      <c r="U45" s="56">
        <f t="shared" si="9"/>
        <v>111.82</v>
      </c>
      <c r="V45" s="56" t="s">
        <v>4458</v>
      </c>
      <c r="W45" s="142">
        <v>10</v>
      </c>
      <c r="X45" s="145">
        <f t="shared" si="10"/>
        <v>1118.1999999999998</v>
      </c>
      <c r="Y45" s="140">
        <f t="shared" si="11"/>
        <v>10</v>
      </c>
      <c r="Z45" s="123">
        <v>116</v>
      </c>
      <c r="AA45" s="102">
        <f t="shared" si="12"/>
        <v>-41.800000000000182</v>
      </c>
      <c r="AB45" s="102">
        <f t="shared" si="13"/>
        <v>-31.300000000000182</v>
      </c>
      <c r="AC45" s="124">
        <v>114.95</v>
      </c>
      <c r="AD45" s="155">
        <f t="shared" si="14"/>
        <v>-31.300000000000182</v>
      </c>
      <c r="AE45" s="545">
        <f t="shared" si="15"/>
        <v>-0.46652357956239476</v>
      </c>
      <c r="AF45" s="57">
        <f>IF($AC45="",#N/A,SUM(AD$4:AD45))</f>
        <v>-415.30967140832558</v>
      </c>
      <c r="AG45" s="102">
        <f t="shared" si="16"/>
        <v>11.150000000000091</v>
      </c>
      <c r="AH45" s="56" t="s">
        <v>2507</v>
      </c>
      <c r="AI45" s="65">
        <f t="shared" si="17"/>
        <v>-0.62302509986287768</v>
      </c>
      <c r="AJ45" s="350">
        <f>IF(AI45="",#N/A,SUM($AI$4:AI45))</f>
        <v>-6.9994994813386775</v>
      </c>
      <c r="AK45" s="57">
        <f t="shared" si="18"/>
        <v>-41.800000000000182</v>
      </c>
      <c r="AL45" s="349">
        <f>IF(AI45="",#N/A,IF(AH45="Skip",SUM($AK$4:AK45),SUM($AK$4:AK45)))</f>
        <v>-467.77999999999906</v>
      </c>
      <c r="AM45" s="65">
        <f t="shared" si="101"/>
        <v>-0.46652357956239476</v>
      </c>
      <c r="AN45" s="209"/>
      <c r="AO45" s="65" t="str">
        <f t="shared" si="19"/>
        <v/>
      </c>
      <c r="AP45" s="65">
        <f>IF($AC45="",#N/A,SUM(AO$4:AO45))</f>
        <v>-1.6172740428360413</v>
      </c>
      <c r="AQ45" s="65" t="str">
        <f t="shared" si="20"/>
        <v/>
      </c>
      <c r="AR45" s="65">
        <f>IF($AC45="",#N/A,SUM(AQ$4:AQ45))</f>
        <v>0.87133026387444812</v>
      </c>
      <c r="AS45" s="65">
        <f t="shared" si="21"/>
        <v>-0.46652357956239476</v>
      </c>
      <c r="AT45" s="65">
        <f>IF($AC45="",#N/A,SUM(AS$4:AS45))</f>
        <v>-5.6129655827674068</v>
      </c>
      <c r="AU45" s="57" t="str">
        <f t="shared" si="102"/>
        <v/>
      </c>
      <c r="AV45" s="57">
        <f>IF($AC45="",#N/A,SUM(AU$4:AU45))</f>
        <v>-121.67129850550941</v>
      </c>
      <c r="AW45" s="57" t="str">
        <f t="shared" si="103"/>
        <v/>
      </c>
      <c r="AX45" s="57">
        <f>IF($AC45="",#N/A,SUM(AW$4:AW45))</f>
        <v>59.839999999999918</v>
      </c>
      <c r="AY45" s="57">
        <f t="shared" si="104"/>
        <v>-31.300000000000182</v>
      </c>
      <c r="AZ45" s="57">
        <f>IF($AC45="",#N/A,SUM(AY$4:AY45))</f>
        <v>-353.47837290281609</v>
      </c>
      <c r="BA45" s="57">
        <f>IF(AD45="",#N/A,SUM($AD$4:AD45))</f>
        <v>-415.30967140832558</v>
      </c>
      <c r="BC45" s="51" t="str">
        <f t="shared" si="22"/>
        <v/>
      </c>
      <c r="BD45" s="51">
        <f t="shared" si="23"/>
        <v>1</v>
      </c>
      <c r="BE45" s="51" t="str">
        <f t="shared" si="24"/>
        <v/>
      </c>
      <c r="BF45" s="51" t="str">
        <f t="shared" si="25"/>
        <v>Short</v>
      </c>
      <c r="BG45" s="51" t="str">
        <f t="shared" si="26"/>
        <v/>
      </c>
      <c r="BH45" s="51" t="str">
        <f t="shared" si="27"/>
        <v/>
      </c>
      <c r="BI45" s="51" t="str">
        <f t="shared" si="28"/>
        <v/>
      </c>
      <c r="BK45" s="184"/>
      <c r="BL45" s="65">
        <f t="shared" si="107"/>
        <v>-0.32983108773743508</v>
      </c>
      <c r="BM45" s="65">
        <f>IFERROR(Q45/COUNTA($J$4:J45),#N/A)</f>
        <v>-0.14690216190083824</v>
      </c>
      <c r="BO45" s="489" t="e">
        <f>IF(J45="",#N/A,IF(S45="SW",(COUNTIFS(K$4:$K45,"&gt;0",S$4:$S45,"SW")/COUNTIF(S$4:$S45,"SW")),#N/A))</f>
        <v>#N/A</v>
      </c>
      <c r="BP45" s="489">
        <f>IF($J45="",#N/A,IF($S45="DWN",(COUNTIFS($K$4:$K45,"&lt;0",$S$4:$S45,"DWN")/COUNTIF($S$4:$S45,"DWN")),#N/A))</f>
        <v>0.52941176470588236</v>
      </c>
      <c r="BQ45" s="489" t="e">
        <f>IF($J45="",#N/A,IF($S45="UP",(COUNTIFS($K$4:$K45,"&gt;0",$S$4:$S45,"UP")/COUNTIF($S$4:$S45,"UP")),#N/A))</f>
        <v>#N/A</v>
      </c>
      <c r="BR45" s="489">
        <f>IF(J45="",#N/A,COUNTIF($K$4:K45,"&gt;0")/COUNT($J$4:J45))</f>
        <v>0.5</v>
      </c>
      <c r="BS45" s="65" t="str">
        <f t="shared" si="29"/>
        <v/>
      </c>
      <c r="BT45" s="65" t="str">
        <f t="shared" si="30"/>
        <v/>
      </c>
      <c r="BU45" s="65" t="str">
        <f t="shared" si="31"/>
        <v/>
      </c>
      <c r="BV45" s="65">
        <f t="shared" si="32"/>
        <v>-0.63271328921481373</v>
      </c>
      <c r="BW45" s="128" t="str">
        <f t="shared" si="33"/>
        <v/>
      </c>
      <c r="BX45" s="128">
        <f>IF($J45="",#N/A,SUM($BW$4:BW45))</f>
        <v>4.5899999999999181</v>
      </c>
      <c r="BY45" s="131">
        <f t="shared" si="34"/>
        <v>-42.450000000000273</v>
      </c>
      <c r="BZ45" s="131">
        <f>IF($J45="",#N/A,SUM($BY$4:BY45))</f>
        <v>-171.64871953149589</v>
      </c>
      <c r="CA45" s="133" t="str">
        <f t="shared" si="35"/>
        <v/>
      </c>
      <c r="CB45" s="133">
        <f>IF($J45="",#N/A,SUM($CA$4:CA45))</f>
        <v>-242.28090640187418</v>
      </c>
      <c r="CC45" s="194" t="str">
        <f t="shared" si="36"/>
        <v/>
      </c>
      <c r="CD45" s="194">
        <f>IF($J45="",#N/A,SUM($CC$4:CC45))</f>
        <v>6.6834991831277585E-2</v>
      </c>
      <c r="CE45" s="195">
        <f t="shared" si="37"/>
        <v>-0.63271328921481373</v>
      </c>
      <c r="CF45" s="195">
        <f>IF($J45="",#N/A,SUM($CE$4:CE45))</f>
        <v>-2.594121805639455</v>
      </c>
      <c r="CG45" s="196" t="str">
        <f t="shared" si="38"/>
        <v/>
      </c>
      <c r="CH45" s="196">
        <f>IF($J45="",#N/A,SUM($CG$4:CG45))</f>
        <v>-3.6426039860270283</v>
      </c>
      <c r="CI45" s="200" t="str">
        <f t="shared" si="39"/>
        <v/>
      </c>
      <c r="CJ45" s="203">
        <f>IF($J45="",#N/A,SUM(CI$4:CI45))</f>
        <v>0</v>
      </c>
      <c r="CK45" s="204" t="str">
        <f t="shared" si="40"/>
        <v/>
      </c>
      <c r="CL45" s="204">
        <f>IF($J45="",#N/A,SUM(CK$4:CK45))</f>
        <v>0</v>
      </c>
      <c r="CM45" s="205" t="str">
        <f t="shared" si="41"/>
        <v/>
      </c>
      <c r="CN45" s="205">
        <f>IF($J45="",#N/A,SUM(CM$4:CM45))</f>
        <v>0</v>
      </c>
      <c r="CO45" s="205">
        <f>IF($J45="",#N/A,SUM(CM$4:CM45,CK$4:CK45,CI$4:CI45))</f>
        <v>0</v>
      </c>
      <c r="CP45" s="200" t="str">
        <f t="shared" si="42"/>
        <v/>
      </c>
      <c r="CQ45" s="203">
        <f>IF($J45="",#N/A,SUM(CP$4:CP45))</f>
        <v>0</v>
      </c>
      <c r="CR45" s="204" t="str">
        <f t="shared" si="43"/>
        <v/>
      </c>
      <c r="CS45" s="204">
        <f>IF($J45="",#N/A,SUM(CR$4:CR45))</f>
        <v>0</v>
      </c>
      <c r="CT45" s="205" t="str">
        <f t="shared" si="44"/>
        <v/>
      </c>
      <c r="CU45" s="205">
        <f>IF($J45="",#N/A,SUM(CT$4:CT45))</f>
        <v>0</v>
      </c>
      <c r="CV45" s="205">
        <f>IF($J45="",#N/A,SUM(CT$4:CT45,CR$4:CR45,CP$4:CP45))</f>
        <v>0</v>
      </c>
      <c r="CW45" s="200" t="str">
        <f t="shared" si="45"/>
        <v/>
      </c>
      <c r="CX45" s="203">
        <f>IF($J45="",#N/A,SUM(CW$4:CW45))</f>
        <v>0</v>
      </c>
      <c r="CY45" s="204">
        <f t="shared" si="46"/>
        <v>-0.63271328921481373</v>
      </c>
      <c r="CZ45" s="204">
        <f>IF($J45="",#N/A,SUM(CY$4:CY45))</f>
        <v>-0.63271328921481373</v>
      </c>
      <c r="DA45" s="205" t="str">
        <f t="shared" si="47"/>
        <v/>
      </c>
      <c r="DB45" s="205">
        <f>IF($J45="",#N/A,SUM(DA$4:DA45))</f>
        <v>0</v>
      </c>
      <c r="DC45" s="205">
        <f>IF($J45="",#N/A,SUM(DA$4:DA45,CY$4:CY45,CW$4:CW45))</f>
        <v>-0.63271328921481373</v>
      </c>
      <c r="DD45" s="200" t="str">
        <f t="shared" si="48"/>
        <v/>
      </c>
      <c r="DE45" s="203">
        <f>IF($J45="",#N/A,SUM(DD$4:DD45))</f>
        <v>0</v>
      </c>
      <c r="DF45" s="204" t="str">
        <f t="shared" si="49"/>
        <v/>
      </c>
      <c r="DG45" s="204">
        <f>IF($J45="",#N/A,SUM(DF$4:DF45))</f>
        <v>0.6788440567066546</v>
      </c>
      <c r="DH45" s="205" t="str">
        <f t="shared" si="50"/>
        <v/>
      </c>
      <c r="DI45" s="205">
        <f>IF($J45="",#N/A,SUM(DH$4:DH45))</f>
        <v>0</v>
      </c>
      <c r="DJ45" s="205">
        <f>IF($J45="",#N/A,SUM(DH$4:DH45,DF$4:DF45,DD$4:DD45))</f>
        <v>0.6788440567066546</v>
      </c>
      <c r="DK45" s="200" t="str">
        <f t="shared" si="51"/>
        <v/>
      </c>
      <c r="DL45" s="203">
        <f>IF($J45="",#N/A,SUM(DK$4:DK45))</f>
        <v>0</v>
      </c>
      <c r="DM45" s="204" t="str">
        <f t="shared" si="52"/>
        <v/>
      </c>
      <c r="DN45" s="204">
        <f>IF($J45="",#N/A,SUM(DM$4:DM45))</f>
        <v>0.36227168206863897</v>
      </c>
      <c r="DO45" s="205" t="str">
        <f t="shared" si="53"/>
        <v/>
      </c>
      <c r="DP45" s="205">
        <f>IF($J45="",#N/A,SUM(DO$4:DO45))</f>
        <v>0.19475247422998271</v>
      </c>
      <c r="DQ45" s="205">
        <f>IF($J45="",#N/A,SUM(DO$4:DO45,DM$4:DM45,DK$4:DK45))</f>
        <v>0.55702415629862168</v>
      </c>
      <c r="DR45" s="200" t="str">
        <f t="shared" si="54"/>
        <v/>
      </c>
      <c r="DS45" s="203">
        <f>IF($J45="",#N/A,SUM(DR$4:DR45))</f>
        <v>0</v>
      </c>
      <c r="DT45" s="204" t="str">
        <f t="shared" si="55"/>
        <v/>
      </c>
      <c r="DU45" s="204">
        <f>IF($J45="",#N/A,SUM(DT$4:DT45))</f>
        <v>-2.8875364672150718</v>
      </c>
      <c r="DV45" s="205" t="str">
        <f t="shared" si="56"/>
        <v/>
      </c>
      <c r="DW45" s="205">
        <f>IF($J45="",#N/A,SUM(DV$4:DV45))</f>
        <v>-0.89834078198379175</v>
      </c>
      <c r="DX45" s="205">
        <f>IF($J45="",#N/A,SUM(DV$4:DV45,DT$4:DT45,DR$4:DR45))</f>
        <v>-3.7858772491988635</v>
      </c>
      <c r="DY45" s="200" t="str">
        <f t="shared" si="57"/>
        <v/>
      </c>
      <c r="DZ45" s="203">
        <f>IF($J45="",#N/A,SUM(DY$4:DY45))</f>
        <v>0</v>
      </c>
      <c r="EA45" s="204" t="str">
        <f t="shared" si="58"/>
        <v/>
      </c>
      <c r="EB45" s="204">
        <f>IF($J45="",#N/A,SUM(EA$4:EA45))</f>
        <v>0.43517953094202633</v>
      </c>
      <c r="EC45" s="205" t="str">
        <f t="shared" si="59"/>
        <v/>
      </c>
      <c r="ED45" s="205">
        <f>IF($J45="",#N/A,SUM(EC$4:EC45))</f>
        <v>-0.29335791431061087</v>
      </c>
      <c r="EE45" s="205">
        <f>IF($J45="",#N/A,SUM(EC$4:EC45,EA$4:EA45,DY$4:DY45))</f>
        <v>0.14182161663141543</v>
      </c>
      <c r="EF45" s="200" t="str">
        <f t="shared" si="60"/>
        <v/>
      </c>
      <c r="EG45" s="203">
        <f>IF($J45="",#N/A,SUM(EF$4:EF45))</f>
        <v>0</v>
      </c>
      <c r="EH45" s="204" t="str">
        <f t="shared" si="61"/>
        <v/>
      </c>
      <c r="EI45" s="204">
        <f>IF($J45="",#N/A,SUM(EH$4:EH45))</f>
        <v>0</v>
      </c>
      <c r="EJ45" s="205" t="str">
        <f t="shared" si="62"/>
        <v/>
      </c>
      <c r="EK45" s="205">
        <f>IF($J45="",#N/A,SUM(EJ$4:EJ45))</f>
        <v>0.6035383334478206</v>
      </c>
      <c r="EL45" s="205">
        <f>IF($J45="",#N/A,SUM(EJ$4:EJ45,EH$4:EH45,EF$4:EF45))</f>
        <v>0.6035383334478206</v>
      </c>
      <c r="EM45" s="200" t="str">
        <f t="shared" si="63"/>
        <v/>
      </c>
      <c r="EN45" s="203">
        <f>IF($J45="",#N/A,SUM(EM$4:EM45))</f>
        <v>0</v>
      </c>
      <c r="EO45" s="204" t="str">
        <f t="shared" si="64"/>
        <v/>
      </c>
      <c r="EP45" s="204">
        <f>IF($J45="",#N/A,SUM(EO$4:EO45))</f>
        <v>0</v>
      </c>
      <c r="EQ45" s="205" t="str">
        <f t="shared" si="65"/>
        <v/>
      </c>
      <c r="ER45" s="205">
        <f>IF($J45="",#N/A,SUM(EQ$4:EQ45))</f>
        <v>0</v>
      </c>
      <c r="ES45" s="205">
        <f>IF($J45="",#N/A,SUM(EQ$4:EQ45,EO$4:EO45,EM$4:EM45))</f>
        <v>0</v>
      </c>
      <c r="ET45" s="200" t="str">
        <f t="shared" si="66"/>
        <v/>
      </c>
      <c r="EU45" s="203">
        <f>IF($J45="",#N/A,SUM(ET$4:ET45))</f>
        <v>0</v>
      </c>
      <c r="EV45" s="204" t="str">
        <f t="shared" si="67"/>
        <v/>
      </c>
      <c r="EW45" s="204">
        <f>IF($J45="",#N/A,SUM(EV$4:EV45))</f>
        <v>0</v>
      </c>
      <c r="EX45" s="205" t="str">
        <f t="shared" si="68"/>
        <v/>
      </c>
      <c r="EY45" s="205">
        <f>IF($J45="",#N/A,SUM(EX$4:EX45))</f>
        <v>0</v>
      </c>
      <c r="EZ45" s="205">
        <f>IF($J45="",#N/A,SUM(EX$4:EX45,EV$4:EV45,ET$4:ET45))</f>
        <v>0</v>
      </c>
      <c r="FA45" s="200" t="str">
        <f t="shared" si="69"/>
        <v/>
      </c>
      <c r="FB45" s="203">
        <f>IF($J45="",#N/A,SUM(FA$4:FA45))</f>
        <v>0</v>
      </c>
      <c r="FC45" s="204" t="str">
        <f t="shared" si="70"/>
        <v/>
      </c>
      <c r="FD45" s="204">
        <f>IF($J45="",#N/A,SUM(FC$4:FC45))</f>
        <v>0</v>
      </c>
      <c r="FE45" s="205" t="str">
        <f t="shared" si="71"/>
        <v/>
      </c>
      <c r="FF45" s="205">
        <f>IF($J45="",#N/A,SUM(FE$4:FE45))</f>
        <v>-0.11131725417439868</v>
      </c>
      <c r="FG45" s="205">
        <f>IF($J45="",#N/A,SUM(FE$4:FE45,FC$4:FC45,FA$4:FA45))</f>
        <v>-0.11131725417439868</v>
      </c>
      <c r="FH45" s="200" t="str">
        <f t="shared" si="72"/>
        <v/>
      </c>
      <c r="FI45" s="203">
        <f>IF($J45="",#N/A,SUM(FH$4:FH45))</f>
        <v>0</v>
      </c>
      <c r="FJ45" s="204" t="str">
        <f t="shared" si="73"/>
        <v/>
      </c>
      <c r="FK45" s="204">
        <f>IF($J45="",#N/A,SUM(FJ$4:FJ45))</f>
        <v>0</v>
      </c>
      <c r="FL45" s="205" t="str">
        <f t="shared" si="74"/>
        <v/>
      </c>
      <c r="FM45" s="205">
        <f>IF($J45="",#N/A,SUM(FL$4:FL45))</f>
        <v>0</v>
      </c>
      <c r="FN45" s="205">
        <f>IF($J45="",#N/A,SUM(FL$4:FL45,FJ$4:FJ45,FH$4:FH45))</f>
        <v>0</v>
      </c>
      <c r="FO45" s="200" t="str">
        <f t="shared" si="75"/>
        <v/>
      </c>
      <c r="FP45" s="203">
        <f>IF($J45="",#N/A,SUM(FO$4:FO45))</f>
        <v>0</v>
      </c>
      <c r="FQ45" s="204" t="str">
        <f t="shared" si="76"/>
        <v/>
      </c>
      <c r="FR45" s="204">
        <f>IF($J45="",#N/A,SUM(FQ$4:FQ45))</f>
        <v>0</v>
      </c>
      <c r="FS45" s="205" t="str">
        <f t="shared" si="77"/>
        <v/>
      </c>
      <c r="FT45" s="205">
        <f>IF($J45="",#N/A,SUM(FS$4:FS45))</f>
        <v>0</v>
      </c>
      <c r="FU45" s="205">
        <f>IF($J45="",#N/A,SUM(FS$4:FS45,FQ$4:FQ45,FO$4:FO45))</f>
        <v>0</v>
      </c>
      <c r="FV45" s="200" t="str">
        <f t="shared" si="78"/>
        <v/>
      </c>
      <c r="FW45" s="203">
        <f>IF($J45="",#N/A,SUM(FV$4:FV45))</f>
        <v>6.6834991831277585E-2</v>
      </c>
      <c r="FX45" s="204" t="str">
        <f t="shared" si="79"/>
        <v/>
      </c>
      <c r="FY45" s="204">
        <f>IF($J45="",#N/A,SUM(FX$4:FX45))</f>
        <v>0</v>
      </c>
      <c r="FZ45" s="205" t="str">
        <f t="shared" si="80"/>
        <v/>
      </c>
      <c r="GA45" s="205">
        <f>IF($J45="",#N/A,SUM(FZ$4:FZ45))</f>
        <v>-0.20104261551371039</v>
      </c>
      <c r="GB45" s="205">
        <f>IF($J45="",#N/A,SUM(FZ$4:FZ45,FX$4:FX45,FV$4:FV45))</f>
        <v>-0.1342076236824328</v>
      </c>
      <c r="GC45" s="200" t="str">
        <f t="shared" si="81"/>
        <v/>
      </c>
      <c r="GD45" s="203">
        <f>IF($J45="",#N/A,SUM(GC$4:GC45))</f>
        <v>0</v>
      </c>
      <c r="GE45" s="204" t="str">
        <f t="shared" si="82"/>
        <v/>
      </c>
      <c r="GF45" s="204">
        <f>IF($J45="",#N/A,SUM(GE$4:GE45))</f>
        <v>0</v>
      </c>
      <c r="GG45" s="205" t="str">
        <f t="shared" si="83"/>
        <v/>
      </c>
      <c r="GH45" s="205">
        <f>IF($J45="",#N/A,SUM(GG$4:GG45))</f>
        <v>-2.9368362277223206</v>
      </c>
      <c r="GI45" s="205">
        <f>IF($J45="",#N/A,SUM(GG$4:GG45,GE$4:GE45,GC$4:GC45))</f>
        <v>-2.9368362277223206</v>
      </c>
      <c r="GJ45" s="200" t="str">
        <f t="shared" si="84"/>
        <v/>
      </c>
      <c r="GK45" s="203">
        <f>IF($J45="",#N/A,SUM(GJ$4:GJ45))</f>
        <v>0</v>
      </c>
      <c r="GL45" s="204" t="str">
        <f t="shared" si="85"/>
        <v/>
      </c>
      <c r="GM45" s="204">
        <f>IF($J45="",#N/A,SUM(GL$4:GL45))</f>
        <v>-0.55016731892688953</v>
      </c>
      <c r="GN45" s="205" t="str">
        <f t="shared" si="86"/>
        <v/>
      </c>
      <c r="GO45" s="205">
        <f>IF($J45="",#N/A,SUM(GN$4:GN45))</f>
        <v>0</v>
      </c>
      <c r="GP45" s="205">
        <f>IF($J45="",#N/A,SUM(GN$4:GN45,GL$4:GL45,GJ$4:GJ45))</f>
        <v>-0.55016731892688953</v>
      </c>
      <c r="GS45" s="54">
        <f t="shared" si="105"/>
        <v>-0.63271328921481373</v>
      </c>
      <c r="GT45" s="54">
        <f>IF(GS45="",NA(),SUM($GS$4:GS45))</f>
        <v>-6.3718796127624904</v>
      </c>
      <c r="GU45" s="54" t="str">
        <f t="shared" si="87"/>
        <v/>
      </c>
      <c r="GV45" s="54" t="e">
        <f>IF(GU45="",NA(),SUM($GU$4:GU45))</f>
        <v>#N/A</v>
      </c>
      <c r="GW45" s="54" t="str">
        <f t="shared" si="88"/>
        <v/>
      </c>
      <c r="GX45" s="54" t="e">
        <f>IF(GW45="",NA(),SUM($GW$4:GW45))</f>
        <v>#N/A</v>
      </c>
      <c r="GY45" s="54">
        <f t="shared" si="89"/>
        <v>-0.63271328921481373</v>
      </c>
      <c r="GZ45" s="54">
        <f>IF(GY45="",NA(),SUM($GY$4:GY45))</f>
        <v>-2.594121805639455</v>
      </c>
      <c r="HA45" s="54" t="str">
        <f t="shared" si="90"/>
        <v/>
      </c>
      <c r="HB45" s="54" t="e">
        <f>IF(HA45="",NA(),SUM($HA$4:HA45))</f>
        <v>#N/A</v>
      </c>
      <c r="HC45" s="54" t="str">
        <f t="shared" si="91"/>
        <v/>
      </c>
      <c r="HD45" s="54" t="e">
        <f>IF(HC45="",NA(),SUM($HC$4:HC45))</f>
        <v>#N/A</v>
      </c>
      <c r="HE45" s="54" t="str">
        <f t="shared" si="92"/>
        <v/>
      </c>
      <c r="HF45" s="54" t="e">
        <f>IF(HE45="",NA(),SUM($HE$4:HE45))</f>
        <v>#N/A</v>
      </c>
      <c r="HG45" s="54" t="str">
        <f t="shared" si="93"/>
        <v/>
      </c>
      <c r="HH45" s="54" t="e">
        <f>IF(HG45="",NA(),SUM($HG$4:HG45))</f>
        <v>#N/A</v>
      </c>
      <c r="HI45" s="172" t="str">
        <f t="shared" si="106"/>
        <v/>
      </c>
      <c r="HJ45" s="172">
        <f>IF($J45="",#N/A,SUM(HI$4:$HI45))</f>
        <v>-0.84321683845460527</v>
      </c>
      <c r="HK45" s="54">
        <f t="shared" si="94"/>
        <v>0.16618970965241897</v>
      </c>
      <c r="HL45" s="54">
        <f>IF($J45="",#N/A,SUM($HK$4:HK45))</f>
        <v>-2.1756269386733456</v>
      </c>
      <c r="HM45" s="54" t="str">
        <f t="shared" si="95"/>
        <v/>
      </c>
      <c r="HN45" s="54">
        <f>IF($J45="",#N/A,SUM($HM$4:HM45))</f>
        <v>0.80449527204317051</v>
      </c>
      <c r="HO45" s="54" t="str">
        <f t="shared" si="96"/>
        <v/>
      </c>
      <c r="HP45" s="54">
        <f>IF($J45="",#N/A,SUM($HO$4:HO45))</f>
        <v>0</v>
      </c>
      <c r="HQ45" s="54" t="str">
        <f t="shared" si="97"/>
        <v/>
      </c>
      <c r="HR45" s="54">
        <f>IF($J45="",#N/A,SUM($HQ$4:HQ45))</f>
        <v>-2.403977670784323</v>
      </c>
      <c r="HS45" s="54" t="str">
        <f t="shared" si="98"/>
        <v/>
      </c>
      <c r="HT45" s="54">
        <f>IF($J45="",#N/A,SUM($HS$4:HS45))</f>
        <v>4.4293076139753111</v>
      </c>
      <c r="HU45" s="65">
        <f t="shared" si="99"/>
        <v>-0.46652357956239476</v>
      </c>
      <c r="HV45" s="65">
        <f>IF($J45="",#N/A,SUM(HU$4:$HU45))</f>
        <v>-6.3589093617290002</v>
      </c>
    </row>
    <row r="46" spans="1:230" x14ac:dyDescent="0.25">
      <c r="A46" s="51" t="s">
        <v>569</v>
      </c>
      <c r="B46" s="52" t="s">
        <v>4501</v>
      </c>
      <c r="C46" s="229">
        <f t="shared" si="0"/>
        <v>2</v>
      </c>
      <c r="D46" s="219" t="str">
        <f>_xlfn.XLOOKUP(A46,[1]SP500!$A$2:$A$502,[1]SP500!$D$2:$D$502,"N")</f>
        <v>Y</v>
      </c>
      <c r="E46" s="51" t="str">
        <f>IFERROR(_xlfn.XLOOKUP(A46,[1]SP500!$A$2:$A$655,[1]SP500!$B$2:$B$655),"")</f>
        <v>XLE</v>
      </c>
      <c r="F46" s="53">
        <v>45769</v>
      </c>
      <c r="G46" s="51" t="str">
        <f t="shared" si="1"/>
        <v>BMO</v>
      </c>
      <c r="H46" s="51" t="str">
        <f t="shared" si="2"/>
        <v>s</v>
      </c>
      <c r="I46" s="344">
        <v>21.92</v>
      </c>
      <c r="J46" s="123">
        <v>20.114999999999998</v>
      </c>
      <c r="K46" s="55">
        <f t="shared" si="3"/>
        <v>-8.2344890510949051E-2</v>
      </c>
      <c r="L46" s="67">
        <f t="shared" si="4"/>
        <v>99.275000000000318</v>
      </c>
      <c r="M46" s="57">
        <f t="shared" si="5"/>
        <v>6.3249999999998181</v>
      </c>
      <c r="N46" s="155">
        <f t="shared" si="6"/>
        <v>99.275000000000318</v>
      </c>
      <c r="O46" s="156">
        <f>IF(N46="",#N/A,SUM($N$4:N46))</f>
        <v>-310.06462593336983</v>
      </c>
      <c r="P46" s="65">
        <f t="shared" si="100"/>
        <v>1.3724148418491529</v>
      </c>
      <c r="Q46" s="172">
        <f>IF($N46="",#N/A,SUM($P$4:P46))</f>
        <v>-4.7974759579860526</v>
      </c>
      <c r="R46" s="279">
        <f t="shared" si="7"/>
        <v>0.74216950875408294</v>
      </c>
      <c r="S46" s="51" t="str">
        <f t="shared" si="8"/>
        <v>Dwn</v>
      </c>
      <c r="T46" s="51" t="s">
        <v>4462</v>
      </c>
      <c r="U46" s="56">
        <f t="shared" si="9"/>
        <v>21.92</v>
      </c>
      <c r="V46" s="56" t="s">
        <v>4458</v>
      </c>
      <c r="W46" s="142">
        <v>55</v>
      </c>
      <c r="X46" s="145">
        <f t="shared" si="10"/>
        <v>1205.6000000000001</v>
      </c>
      <c r="Y46" s="140">
        <f t="shared" si="11"/>
        <v>55</v>
      </c>
      <c r="Z46" s="123">
        <v>20</v>
      </c>
      <c r="AA46" s="102">
        <f t="shared" si="12"/>
        <v>105.60000000000014</v>
      </c>
      <c r="AB46" s="102">
        <f t="shared" si="13"/>
        <v>67.100000000000136</v>
      </c>
      <c r="AC46" s="124">
        <v>20.7</v>
      </c>
      <c r="AD46" s="155">
        <f t="shared" si="14"/>
        <v>67.100000000000136</v>
      </c>
      <c r="AE46" s="545">
        <f t="shared" si="15"/>
        <v>0.92761557177615761</v>
      </c>
      <c r="AF46" s="57">
        <f>IF($AC46="",#N/A,SUM(AD$4:AD46))</f>
        <v>-348.20967140832545</v>
      </c>
      <c r="AG46" s="102">
        <f t="shared" si="16"/>
        <v>-32.175000000000182</v>
      </c>
      <c r="AH46" s="56" t="s">
        <v>2507</v>
      </c>
      <c r="AI46" s="65">
        <f t="shared" si="17"/>
        <v>1.4598540145985421</v>
      </c>
      <c r="AJ46" s="54">
        <f>IF(AI46="",#N/A,SUM($AI$4:AI46))</f>
        <v>-5.5396454667401356</v>
      </c>
      <c r="AK46" s="57">
        <f t="shared" si="18"/>
        <v>105.60000000000014</v>
      </c>
      <c r="AL46" s="58">
        <f>IF(AI46="",#N/A,IF(AH46="Skip",SUM($AK$4:AK46),SUM($AK$4:AK46)))</f>
        <v>-362.17999999999893</v>
      </c>
      <c r="AM46" s="65">
        <f t="shared" si="101"/>
        <v>0.92761557177615761</v>
      </c>
      <c r="AN46" s="209"/>
      <c r="AO46" s="65" t="str">
        <f t="shared" si="19"/>
        <v/>
      </c>
      <c r="AP46" s="65">
        <f>IF($AC46="",#N/A,SUM(AO$4:AO46))</f>
        <v>-1.6172740428360413</v>
      </c>
      <c r="AQ46" s="65" t="str">
        <f t="shared" si="20"/>
        <v/>
      </c>
      <c r="AR46" s="65">
        <f>IF($AC46="",#N/A,SUM(AQ$4:AQ46))</f>
        <v>0.87133026387444812</v>
      </c>
      <c r="AS46" s="65">
        <f t="shared" si="21"/>
        <v>0.92761557177615761</v>
      </c>
      <c r="AT46" s="65">
        <f>IF($AC46="",#N/A,SUM(AS$4:AS46))</f>
        <v>-4.6853500109912494</v>
      </c>
      <c r="AU46" s="57" t="str">
        <f t="shared" si="102"/>
        <v/>
      </c>
      <c r="AV46" s="57">
        <f>IF($AC46="",#N/A,SUM(AU$4:AU46))</f>
        <v>-121.67129850550941</v>
      </c>
      <c r="AW46" s="57" t="str">
        <f t="shared" si="103"/>
        <v/>
      </c>
      <c r="AX46" s="57">
        <f>IF($AC46="",#N/A,SUM(AW$4:AW46))</f>
        <v>59.839999999999918</v>
      </c>
      <c r="AY46" s="56">
        <f t="shared" si="104"/>
        <v>67.100000000000136</v>
      </c>
      <c r="AZ46" s="57">
        <f>IF($AC46="",#N/A,SUM(AY$4:AY46))</f>
        <v>-286.37837290281595</v>
      </c>
      <c r="BA46" s="57">
        <f>IF(AD46="",#N/A,SUM($AD$4:AD46))</f>
        <v>-348.20967140832545</v>
      </c>
      <c r="BC46" s="51" t="str">
        <f t="shared" si="22"/>
        <v/>
      </c>
      <c r="BD46" s="51" t="str">
        <f t="shared" si="23"/>
        <v/>
      </c>
      <c r="BE46" s="51" t="str">
        <f t="shared" si="24"/>
        <v/>
      </c>
      <c r="BF46" s="51" t="str">
        <f t="shared" si="25"/>
        <v>Short</v>
      </c>
      <c r="BG46" s="51">
        <f t="shared" si="26"/>
        <v>1</v>
      </c>
      <c r="BH46" s="51" t="str">
        <f t="shared" si="27"/>
        <v/>
      </c>
      <c r="BI46" s="51" t="str">
        <f t="shared" si="28"/>
        <v/>
      </c>
      <c r="BK46" s="184"/>
      <c r="BL46" s="65">
        <f t="shared" si="107"/>
        <v>-0.27271842758147441</v>
      </c>
      <c r="BM46" s="65">
        <f>IFERROR(Q46/COUNTA($J$4:J46),#N/A)</f>
        <v>-0.11156920832525703</v>
      </c>
      <c r="BO46" s="489" t="e">
        <f>IF(J46="",#N/A,IF(S46="SW",(COUNTIFS(K$4:$K46,"&gt;0",S$4:$S46,"SW")/COUNTIF(S$4:$S46,"SW")),#N/A))</f>
        <v>#N/A</v>
      </c>
      <c r="BP46" s="489">
        <f>IF($J46="",#N/A,IF($S46="DWN",(COUNTIFS($K$4:$K46,"&lt;0",$S$4:$S46,"DWN")/COUNTIF($S$4:$S46,"DWN")),#N/A))</f>
        <v>0.55555555555555558</v>
      </c>
      <c r="BQ46" s="489" t="e">
        <f>IF($J46="",#N/A,IF($S46="UP",(COUNTIFS($K$4:$K46,"&gt;0",$S$4:$S46,"UP")/COUNTIF($S$4:$S46,"UP")),#N/A))</f>
        <v>#N/A</v>
      </c>
      <c r="BR46" s="489">
        <f>IF(J46="",#N/A,COUNTIF($K$4:K46,"&gt;0")/COUNT($J$4:J46))</f>
        <v>0.48837209302325579</v>
      </c>
      <c r="BS46" s="65" t="str">
        <f t="shared" si="29"/>
        <v/>
      </c>
      <c r="BT46" s="65" t="str">
        <f t="shared" si="30"/>
        <v/>
      </c>
      <c r="BU46" s="65">
        <f t="shared" si="31"/>
        <v>1.3724148418491529</v>
      </c>
      <c r="BV46" s="65" t="str">
        <f t="shared" si="32"/>
        <v/>
      </c>
      <c r="BW46" s="151" t="str">
        <f t="shared" si="33"/>
        <v/>
      </c>
      <c r="BX46" s="151">
        <f>IF($J46="",#N/A,SUM($BW$4:BW46))</f>
        <v>4.5899999999999181</v>
      </c>
      <c r="BY46" s="152">
        <f t="shared" si="34"/>
        <v>99.275000000000318</v>
      </c>
      <c r="BZ46" s="152">
        <f>IF($J46="",#N/A,SUM($BY$4:BY46))</f>
        <v>-72.373719531495567</v>
      </c>
      <c r="CA46" s="153" t="str">
        <f t="shared" si="35"/>
        <v/>
      </c>
      <c r="CB46" s="154">
        <f>IF($J46="",#N/A,SUM($CA$4:CA46))</f>
        <v>-242.28090640187418</v>
      </c>
      <c r="CC46" s="191" t="str">
        <f t="shared" si="36"/>
        <v/>
      </c>
      <c r="CD46" s="191">
        <f>IF($J46="",#N/A,SUM($CC$4:CC46))</f>
        <v>6.6834991831277585E-2</v>
      </c>
      <c r="CE46" s="192">
        <f t="shared" si="37"/>
        <v>1.3724148418491529</v>
      </c>
      <c r="CF46" s="192">
        <f>IF($J46="",#N/A,SUM($CE$4:CE46))</f>
        <v>-1.2217069637903022</v>
      </c>
      <c r="CG46" s="193" t="str">
        <f t="shared" si="38"/>
        <v/>
      </c>
      <c r="CH46" s="193">
        <f>IF($J46="",#N/A,SUM($CG$4:CG46))</f>
        <v>-3.6426039860270283</v>
      </c>
      <c r="CI46" s="200" t="str">
        <f t="shared" si="39"/>
        <v/>
      </c>
      <c r="CJ46" s="200">
        <f>IF($J46="",#N/A,SUM(CI$4:CI46))</f>
        <v>0</v>
      </c>
      <c r="CK46" s="201" t="str">
        <f t="shared" si="40"/>
        <v/>
      </c>
      <c r="CL46" s="201">
        <f>IF($J46="",#N/A,SUM(CK$4:CK46))</f>
        <v>0</v>
      </c>
      <c r="CM46" s="202" t="str">
        <f t="shared" si="41"/>
        <v/>
      </c>
      <c r="CN46" s="202">
        <f>IF($J46="",#N/A,SUM(CM$4:CM46))</f>
        <v>0</v>
      </c>
      <c r="CO46" s="202">
        <f>IF($J46="",#N/A,SUM(CM$4:CM46,CK$4:CK46,CI$4:CI46))</f>
        <v>0</v>
      </c>
      <c r="CP46" s="200" t="str">
        <f t="shared" si="42"/>
        <v/>
      </c>
      <c r="CQ46" s="200">
        <f>IF($J46="",#N/A,SUM(CP$4:CP46))</f>
        <v>0</v>
      </c>
      <c r="CR46" s="201" t="str">
        <f t="shared" si="43"/>
        <v/>
      </c>
      <c r="CS46" s="201">
        <f>IF($J46="",#N/A,SUM(CR$4:CR46))</f>
        <v>0</v>
      </c>
      <c r="CT46" s="202" t="str">
        <f t="shared" si="44"/>
        <v/>
      </c>
      <c r="CU46" s="202">
        <f>IF($J46="",#N/A,SUM(CT$4:CT46))</f>
        <v>0</v>
      </c>
      <c r="CV46" s="202">
        <f>IF($J46="",#N/A,SUM(CT$4:CT46,CR$4:CR46,CP$4:CP46))</f>
        <v>0</v>
      </c>
      <c r="CW46" s="200" t="str">
        <f t="shared" si="45"/>
        <v/>
      </c>
      <c r="CX46" s="200">
        <f>IF($J46="",#N/A,SUM(CW$4:CW46))</f>
        <v>0</v>
      </c>
      <c r="CY46" s="201" t="str">
        <f t="shared" si="46"/>
        <v/>
      </c>
      <c r="CZ46" s="201">
        <f>IF($J46="",#N/A,SUM(CY$4:CY46))</f>
        <v>-0.63271328921481373</v>
      </c>
      <c r="DA46" s="202" t="str">
        <f t="shared" si="47"/>
        <v/>
      </c>
      <c r="DB46" s="202">
        <f>IF($J46="",#N/A,SUM(DA$4:DA46))</f>
        <v>0</v>
      </c>
      <c r="DC46" s="202">
        <f>IF($J46="",#N/A,SUM(DA$4:DA46,CY$4:CY46,CW$4:CW46))</f>
        <v>-0.63271328921481373</v>
      </c>
      <c r="DD46" s="200" t="str">
        <f t="shared" si="48"/>
        <v/>
      </c>
      <c r="DE46" s="200">
        <f>IF($J46="",#N/A,SUM(DD$4:DD46))</f>
        <v>0</v>
      </c>
      <c r="DF46" s="201" t="str">
        <f t="shared" si="49"/>
        <v/>
      </c>
      <c r="DG46" s="201">
        <f>IF($J46="",#N/A,SUM(DF$4:DF46))</f>
        <v>0.6788440567066546</v>
      </c>
      <c r="DH46" s="202" t="str">
        <f t="shared" si="50"/>
        <v/>
      </c>
      <c r="DI46" s="202">
        <f>IF($J46="",#N/A,SUM(DH$4:DH46))</f>
        <v>0</v>
      </c>
      <c r="DJ46" s="202">
        <f>IF($J46="",#N/A,SUM(DH$4:DH46,DF$4:DF46,DD$4:DD46))</f>
        <v>0.6788440567066546</v>
      </c>
      <c r="DK46" s="200" t="str">
        <f t="shared" si="51"/>
        <v/>
      </c>
      <c r="DL46" s="200">
        <f>IF($J46="",#N/A,SUM(DK$4:DK46))</f>
        <v>0</v>
      </c>
      <c r="DM46" s="201" t="str">
        <f t="shared" si="52"/>
        <v/>
      </c>
      <c r="DN46" s="201">
        <f>IF($J46="",#N/A,SUM(DM$4:DM46))</f>
        <v>0.36227168206863897</v>
      </c>
      <c r="DO46" s="202" t="str">
        <f t="shared" si="53"/>
        <v/>
      </c>
      <c r="DP46" s="202">
        <f>IF($J46="",#N/A,SUM(DO$4:DO46))</f>
        <v>0.19475247422998271</v>
      </c>
      <c r="DQ46" s="202">
        <f>IF($J46="",#N/A,SUM(DO$4:DO46,DM$4:DM46,DK$4:DK46))</f>
        <v>0.55702415629862168</v>
      </c>
      <c r="DR46" s="200" t="str">
        <f t="shared" si="54"/>
        <v/>
      </c>
      <c r="DS46" s="200">
        <f>IF($J46="",#N/A,SUM(DR$4:DR46))</f>
        <v>0</v>
      </c>
      <c r="DT46" s="201" t="str">
        <f t="shared" si="55"/>
        <v/>
      </c>
      <c r="DU46" s="201">
        <f>IF($J46="",#N/A,SUM(DT$4:DT46))</f>
        <v>-2.8875364672150718</v>
      </c>
      <c r="DV46" s="202" t="str">
        <f t="shared" si="56"/>
        <v/>
      </c>
      <c r="DW46" s="202">
        <f>IF($J46="",#N/A,SUM(DV$4:DV46))</f>
        <v>-0.89834078198379175</v>
      </c>
      <c r="DX46" s="202">
        <f>IF($J46="",#N/A,SUM(DV$4:DV46,DT$4:DT46,DR$4:DR46))</f>
        <v>-3.7858772491988635</v>
      </c>
      <c r="DY46" s="200" t="str">
        <f t="shared" si="57"/>
        <v/>
      </c>
      <c r="DZ46" s="200">
        <f>IF($J46="",#N/A,SUM(DY$4:DY46))</f>
        <v>0</v>
      </c>
      <c r="EA46" s="201" t="str">
        <f t="shared" si="58"/>
        <v/>
      </c>
      <c r="EB46" s="201">
        <f>IF($J46="",#N/A,SUM(EA$4:EA46))</f>
        <v>0.43517953094202633</v>
      </c>
      <c r="EC46" s="202" t="str">
        <f t="shared" si="59"/>
        <v/>
      </c>
      <c r="ED46" s="202">
        <f>IF($J46="",#N/A,SUM(EC$4:EC46))</f>
        <v>-0.29335791431061087</v>
      </c>
      <c r="EE46" s="202">
        <f>IF($J46="",#N/A,SUM(EC$4:EC46,EA$4:EA46,DY$4:DY46))</f>
        <v>0.14182161663141543</v>
      </c>
      <c r="EF46" s="200" t="str">
        <f t="shared" si="60"/>
        <v/>
      </c>
      <c r="EG46" s="200">
        <f>IF($J46="",#N/A,SUM(EF$4:EF46))</f>
        <v>0</v>
      </c>
      <c r="EH46" s="201" t="str">
        <f t="shared" si="61"/>
        <v/>
      </c>
      <c r="EI46" s="201">
        <f>IF($J46="",#N/A,SUM(EH$4:EH46))</f>
        <v>0</v>
      </c>
      <c r="EJ46" s="202" t="str">
        <f t="shared" si="62"/>
        <v/>
      </c>
      <c r="EK46" s="202">
        <f>IF($J46="",#N/A,SUM(EJ$4:EJ46))</f>
        <v>0.6035383334478206</v>
      </c>
      <c r="EL46" s="202">
        <f>IF($J46="",#N/A,SUM(EJ$4:EJ46,EH$4:EH46,EF$4:EF46))</f>
        <v>0.6035383334478206</v>
      </c>
      <c r="EM46" s="200" t="str">
        <f t="shared" si="63"/>
        <v/>
      </c>
      <c r="EN46" s="200">
        <f>IF($J46="",#N/A,SUM(EM$4:EM46))</f>
        <v>0</v>
      </c>
      <c r="EO46" s="201" t="str">
        <f t="shared" si="64"/>
        <v/>
      </c>
      <c r="EP46" s="201">
        <f>IF($J46="",#N/A,SUM(EO$4:EO46))</f>
        <v>0</v>
      </c>
      <c r="EQ46" s="202" t="str">
        <f t="shared" si="65"/>
        <v/>
      </c>
      <c r="ER46" s="202">
        <f>IF($J46="",#N/A,SUM(EQ$4:EQ46))</f>
        <v>0</v>
      </c>
      <c r="ES46" s="202">
        <f>IF($J46="",#N/A,SUM(EQ$4:EQ46,EO$4:EO46,EM$4:EM46))</f>
        <v>0</v>
      </c>
      <c r="ET46" s="200" t="str">
        <f t="shared" si="66"/>
        <v/>
      </c>
      <c r="EU46" s="200">
        <f>IF($J46="",#N/A,SUM(ET$4:ET46))</f>
        <v>0</v>
      </c>
      <c r="EV46" s="201" t="str">
        <f t="shared" si="67"/>
        <v/>
      </c>
      <c r="EW46" s="201">
        <f>IF($J46="",#N/A,SUM(EV$4:EV46))</f>
        <v>0</v>
      </c>
      <c r="EX46" s="202" t="str">
        <f t="shared" si="68"/>
        <v/>
      </c>
      <c r="EY46" s="202">
        <f>IF($J46="",#N/A,SUM(EX$4:EX46))</f>
        <v>0</v>
      </c>
      <c r="EZ46" s="202">
        <f>IF($J46="",#N/A,SUM(EX$4:EX46,EV$4:EV46,ET$4:ET46))</f>
        <v>0</v>
      </c>
      <c r="FA46" s="200" t="str">
        <f t="shared" si="69"/>
        <v/>
      </c>
      <c r="FB46" s="200">
        <f>IF($J46="",#N/A,SUM(FA$4:FA46))</f>
        <v>0</v>
      </c>
      <c r="FC46" s="201">
        <f t="shared" si="70"/>
        <v>1.3724148418491529</v>
      </c>
      <c r="FD46" s="201">
        <f>IF($J46="",#N/A,SUM(FC$4:FC46))</f>
        <v>1.3724148418491529</v>
      </c>
      <c r="FE46" s="202" t="str">
        <f t="shared" si="71"/>
        <v/>
      </c>
      <c r="FF46" s="202">
        <f>IF($J46="",#N/A,SUM(FE$4:FE46))</f>
        <v>-0.11131725417439868</v>
      </c>
      <c r="FG46" s="202">
        <f>IF($J46="",#N/A,SUM(FE$4:FE46,FC$4:FC46,FA$4:FA46))</f>
        <v>1.2610975876747541</v>
      </c>
      <c r="FH46" s="200" t="str">
        <f t="shared" si="72"/>
        <v/>
      </c>
      <c r="FI46" s="200">
        <f>IF($J46="",#N/A,SUM(FH$4:FH46))</f>
        <v>0</v>
      </c>
      <c r="FJ46" s="201" t="str">
        <f t="shared" si="73"/>
        <v/>
      </c>
      <c r="FK46" s="201">
        <f>IF($J46="",#N/A,SUM(FJ$4:FJ46))</f>
        <v>0</v>
      </c>
      <c r="FL46" s="202" t="str">
        <f t="shared" si="74"/>
        <v/>
      </c>
      <c r="FM46" s="202">
        <f>IF($J46="",#N/A,SUM(FL$4:FL46))</f>
        <v>0</v>
      </c>
      <c r="FN46" s="202">
        <f>IF($J46="",#N/A,SUM(FL$4:FL46,FJ$4:FJ46,FH$4:FH46))</f>
        <v>0</v>
      </c>
      <c r="FO46" s="200" t="str">
        <f t="shared" si="75"/>
        <v/>
      </c>
      <c r="FP46" s="200">
        <f>IF($J46="",#N/A,SUM(FO$4:FO46))</f>
        <v>0</v>
      </c>
      <c r="FQ46" s="201" t="str">
        <f t="shared" si="76"/>
        <v/>
      </c>
      <c r="FR46" s="201">
        <f>IF($J46="",#N/A,SUM(FQ$4:FQ46))</f>
        <v>0</v>
      </c>
      <c r="FS46" s="202" t="str">
        <f t="shared" si="77"/>
        <v/>
      </c>
      <c r="FT46" s="202">
        <f>IF($J46="",#N/A,SUM(FS$4:FS46))</f>
        <v>0</v>
      </c>
      <c r="FU46" s="202">
        <f>IF($J46="",#N/A,SUM(FS$4:FS46,FQ$4:FQ46,FO$4:FO46))</f>
        <v>0</v>
      </c>
      <c r="FV46" s="200" t="str">
        <f t="shared" si="78"/>
        <v/>
      </c>
      <c r="FW46" s="200">
        <f>IF($J46="",#N/A,SUM(FV$4:FV46))</f>
        <v>6.6834991831277585E-2</v>
      </c>
      <c r="FX46" s="201" t="str">
        <f t="shared" si="79"/>
        <v/>
      </c>
      <c r="FY46" s="201">
        <f>IF($J46="",#N/A,SUM(FX$4:FX46))</f>
        <v>0</v>
      </c>
      <c r="FZ46" s="202" t="str">
        <f t="shared" si="80"/>
        <v/>
      </c>
      <c r="GA46" s="202">
        <f>IF($J46="",#N/A,SUM(FZ$4:FZ46))</f>
        <v>-0.20104261551371039</v>
      </c>
      <c r="GB46" s="202">
        <f>IF($J46="",#N/A,SUM(FZ$4:FZ46,FX$4:FX46,FV$4:FV46))</f>
        <v>-0.1342076236824328</v>
      </c>
      <c r="GC46" s="200" t="str">
        <f t="shared" si="81"/>
        <v/>
      </c>
      <c r="GD46" s="200">
        <f>IF($J46="",#N/A,SUM(GC$4:GC46))</f>
        <v>0</v>
      </c>
      <c r="GE46" s="201" t="str">
        <f t="shared" si="82"/>
        <v/>
      </c>
      <c r="GF46" s="201">
        <f>IF($J46="",#N/A,SUM(GE$4:GE46))</f>
        <v>0</v>
      </c>
      <c r="GG46" s="202" t="str">
        <f t="shared" si="83"/>
        <v/>
      </c>
      <c r="GH46" s="202">
        <f>IF($J46="",#N/A,SUM(GG$4:GG46))</f>
        <v>-2.9368362277223206</v>
      </c>
      <c r="GI46" s="202">
        <f>IF($J46="",#N/A,SUM(GG$4:GG46,GE$4:GE46,GC$4:GC46))</f>
        <v>-2.9368362277223206</v>
      </c>
      <c r="GJ46" s="200" t="str">
        <f t="shared" si="84"/>
        <v/>
      </c>
      <c r="GK46" s="200">
        <f>IF($J46="",#N/A,SUM(GJ$4:GJ46))</f>
        <v>0</v>
      </c>
      <c r="GL46" s="201" t="str">
        <f t="shared" si="85"/>
        <v/>
      </c>
      <c r="GM46" s="201">
        <f>IF($J46="",#N/A,SUM(GL$4:GL46))</f>
        <v>-0.55016731892688953</v>
      </c>
      <c r="GN46" s="202" t="str">
        <f t="shared" si="86"/>
        <v/>
      </c>
      <c r="GO46" s="202">
        <f>IF($J46="",#N/A,SUM(GN$4:GN46))</f>
        <v>0</v>
      </c>
      <c r="GP46" s="202">
        <f>IF($J46="",#N/A,SUM(GN$4:GN46,GL$4:GL46,GJ$4:GJ46))</f>
        <v>-0.55016731892688953</v>
      </c>
      <c r="GS46" s="54">
        <f t="shared" si="105"/>
        <v>1.3724148418491529</v>
      </c>
      <c r="GT46" s="54">
        <f>IF(GS46="",NA(),SUM($GS$4:GS46))</f>
        <v>-4.9994647709133373</v>
      </c>
      <c r="GU46" s="54" t="str">
        <f t="shared" si="87"/>
        <v/>
      </c>
      <c r="GV46" s="54" t="e">
        <f>IF(GU46="",NA(),SUM($GU$4:GU46))</f>
        <v>#N/A</v>
      </c>
      <c r="GW46" s="54" t="str">
        <f t="shared" si="88"/>
        <v/>
      </c>
      <c r="GX46" s="54" t="e">
        <f>IF(GW46="",NA(),SUM($GW$4:GW46))</f>
        <v>#N/A</v>
      </c>
      <c r="GY46" s="54">
        <f t="shared" si="89"/>
        <v>1.3724148418491529</v>
      </c>
      <c r="GZ46" s="54">
        <f>IF(GY46="",NA(),SUM($GY$4:GY46))</f>
        <v>-1.2217069637903022</v>
      </c>
      <c r="HA46" s="54" t="str">
        <f t="shared" si="90"/>
        <v/>
      </c>
      <c r="HB46" s="54" t="e">
        <f>IF(HA46="",NA(),SUM($HA$4:HA46))</f>
        <v>#N/A</v>
      </c>
      <c r="HC46" s="54" t="str">
        <f t="shared" si="91"/>
        <v/>
      </c>
      <c r="HD46" s="54" t="e">
        <f>IF(HC46="",NA(),SUM($HC$4:HC46))</f>
        <v>#N/A</v>
      </c>
      <c r="HE46" s="54" t="str">
        <f t="shared" si="92"/>
        <v/>
      </c>
      <c r="HF46" s="54" t="e">
        <f>IF(HE46="",NA(),SUM($HE$4:HE46))</f>
        <v>#N/A</v>
      </c>
      <c r="HG46" s="54" t="str">
        <f t="shared" si="93"/>
        <v/>
      </c>
      <c r="HH46" s="54" t="e">
        <f>IF(HG46="",NA(),SUM($HG$4:HG46))</f>
        <v>#N/A</v>
      </c>
      <c r="HI46" s="172">
        <f t="shared" si="106"/>
        <v>-0.44479927007299525</v>
      </c>
      <c r="HJ46" s="172">
        <f>IF($J46="",#N/A,SUM(HI$4:$HI46))</f>
        <v>-1.2880161085276005</v>
      </c>
      <c r="HK46" s="54" t="str">
        <f t="shared" si="94"/>
        <v/>
      </c>
      <c r="HL46" s="54">
        <f>IF($J46="",#N/A,SUM($HK$4:HK46))</f>
        <v>-2.1756269386733456</v>
      </c>
      <c r="HM46" s="54" t="str">
        <f t="shared" si="95"/>
        <v/>
      </c>
      <c r="HN46" s="54">
        <f>IF($J46="",#N/A,SUM($HM$4:HM46))</f>
        <v>0.80449527204317051</v>
      </c>
      <c r="HO46" s="54" t="str">
        <f t="shared" si="96"/>
        <v/>
      </c>
      <c r="HP46" s="54">
        <f>IF($J46="",#N/A,SUM($HO$4:HO46))</f>
        <v>0</v>
      </c>
      <c r="HQ46" s="54" t="str">
        <f t="shared" si="97"/>
        <v/>
      </c>
      <c r="HR46" s="54">
        <f>IF($J46="",#N/A,SUM($HQ$4:HQ46))</f>
        <v>-2.403977670784323</v>
      </c>
      <c r="HS46" s="54" t="str">
        <f t="shared" si="98"/>
        <v/>
      </c>
      <c r="HT46" s="54">
        <f>IF($J46="",#N/A,SUM($HS$4:HS46))</f>
        <v>4.4293076139753111</v>
      </c>
      <c r="HU46" s="65">
        <f t="shared" si="99"/>
        <v>0.92761557177615761</v>
      </c>
      <c r="HV46" s="65">
        <f>IF($J46="",#N/A,SUM(HU$4:$HU46))</f>
        <v>-5.4312937899528428</v>
      </c>
    </row>
    <row r="47" spans="1:230" x14ac:dyDescent="0.25">
      <c r="A47" s="51" t="s">
        <v>1299</v>
      </c>
      <c r="B47" s="52" t="s">
        <v>4501</v>
      </c>
      <c r="C47" s="229">
        <f t="shared" si="0"/>
        <v>3</v>
      </c>
      <c r="D47" s="219" t="str">
        <f>_xlfn.XLOOKUP(A47,[1]SP500!$A$2:$A$502,[1]SP500!$D$2:$D$502,"N")</f>
        <v>Y</v>
      </c>
      <c r="E47" s="51" t="str">
        <f>IFERROR(_xlfn.XLOOKUP(A47,[1]SP500!$A$2:$A$655,[1]SP500!$B$2:$B$655),"")</f>
        <v>XLI</v>
      </c>
      <c r="F47" s="53">
        <v>45769</v>
      </c>
      <c r="G47" s="51" t="str">
        <f t="shared" si="1"/>
        <v>BMO</v>
      </c>
      <c r="H47" s="51" t="str">
        <f t="shared" si="2"/>
        <v>o</v>
      </c>
      <c r="I47" s="344">
        <v>178.35</v>
      </c>
      <c r="J47" s="123">
        <v>186.5</v>
      </c>
      <c r="K47" s="55">
        <f t="shared" si="3"/>
        <v>4.5696663863190393E-2</v>
      </c>
      <c r="L47" s="67">
        <f t="shared" si="4"/>
        <v>-57.049999999999955</v>
      </c>
      <c r="M47" s="57">
        <f t="shared" si="5"/>
        <v>0</v>
      </c>
      <c r="N47" s="155">
        <f t="shared" si="6"/>
        <v>57.049999999999955</v>
      </c>
      <c r="O47" s="156">
        <f>IF(N47="",#N/A,SUM($N$4:N47))</f>
        <v>-253.01462593336987</v>
      </c>
      <c r="P47" s="65">
        <f t="shared" si="100"/>
        <v>0.76161106438650539</v>
      </c>
      <c r="Q47" s="172">
        <f>IF($N47="",#N/A,SUM($P$4:P47))</f>
        <v>-4.0358648935995474</v>
      </c>
      <c r="R47" s="279">
        <f t="shared" si="7"/>
        <v>2.2653916375270935</v>
      </c>
      <c r="S47" s="51" t="str">
        <f t="shared" si="8"/>
        <v>SW</v>
      </c>
      <c r="T47" s="51" t="s">
        <v>2828</v>
      </c>
      <c r="U47" s="56">
        <f t="shared" si="9"/>
        <v>178.35</v>
      </c>
      <c r="V47" s="56" t="s">
        <v>4458</v>
      </c>
      <c r="W47" s="142">
        <v>7</v>
      </c>
      <c r="X47" s="145">
        <f t="shared" si="10"/>
        <v>1248.45</v>
      </c>
      <c r="Y47" s="140">
        <f t="shared" si="11"/>
        <v>7</v>
      </c>
      <c r="Z47" s="123">
        <v>186.5</v>
      </c>
      <c r="AA47" s="102">
        <f t="shared" si="12"/>
        <v>-57.049999999999955</v>
      </c>
      <c r="AB47" s="102">
        <f t="shared" si="13"/>
        <v>-75.809999999999945</v>
      </c>
      <c r="AC47" s="123">
        <v>189.18</v>
      </c>
      <c r="AD47" s="155">
        <f t="shared" si="14"/>
        <v>75.809999999999945</v>
      </c>
      <c r="AE47" s="545">
        <f t="shared" si="15"/>
        <v>1.0120549481356875</v>
      </c>
      <c r="AF47" s="57">
        <f>IF($AC47="",#N/A,SUM(AD$4:AD47))</f>
        <v>-272.3996714083255</v>
      </c>
      <c r="AG47" s="102">
        <f t="shared" si="16"/>
        <v>18.759999999999991</v>
      </c>
      <c r="AH47" s="56" t="s">
        <v>2507</v>
      </c>
      <c r="AI47" s="65">
        <f t="shared" si="17"/>
        <v>-0.76161106438650539</v>
      </c>
      <c r="AJ47" s="54">
        <f>IF(AI47="",#N/A,SUM($AI$4:AI47))</f>
        <v>-6.3012565311266409</v>
      </c>
      <c r="AK47" s="57">
        <f t="shared" si="18"/>
        <v>-57.049999999999955</v>
      </c>
      <c r="AL47" s="58">
        <f>IF(AI47="",#N/A,IF(AH47="Skip",SUM($AK$4:AK47),SUM($AK$4:AK47)))</f>
        <v>-419.22999999999888</v>
      </c>
      <c r="AM47" s="65">
        <f t="shared" si="101"/>
        <v>1.0120549481356875</v>
      </c>
      <c r="AN47" s="209"/>
      <c r="AO47" s="65">
        <f t="shared" si="19"/>
        <v>1.0120549481356875</v>
      </c>
      <c r="AP47" s="65">
        <f>IF($AC47="",#N/A,SUM(AO$4:AO47))</f>
        <v>-0.60521909470035373</v>
      </c>
      <c r="AQ47" s="65" t="str">
        <f t="shared" si="20"/>
        <v/>
      </c>
      <c r="AR47" s="65">
        <f>IF($AC47="",#N/A,SUM(AQ$4:AQ47))</f>
        <v>0.87133026387444812</v>
      </c>
      <c r="AS47" s="65" t="str">
        <f t="shared" si="21"/>
        <v/>
      </c>
      <c r="AT47" s="65">
        <f>IF($AC47="",#N/A,SUM(AS$4:AS47))</f>
        <v>-4.6853500109912494</v>
      </c>
      <c r="AU47" s="57">
        <f t="shared" si="102"/>
        <v>75.809999999999945</v>
      </c>
      <c r="AV47" s="57">
        <f>IF($AC47="",#N/A,SUM(AU$4:AU47))</f>
        <v>-45.861298505509467</v>
      </c>
      <c r="AW47" s="57" t="str">
        <f t="shared" si="103"/>
        <v/>
      </c>
      <c r="AX47" s="57">
        <f>IF($AC47="",#N/A,SUM(AW$4:AW47))</f>
        <v>59.839999999999918</v>
      </c>
      <c r="AY47" s="56" t="str">
        <f t="shared" si="104"/>
        <v/>
      </c>
      <c r="AZ47" s="57">
        <f>IF($AC47="",#N/A,SUM(AY$4:AY47))</f>
        <v>-286.37837290281595</v>
      </c>
      <c r="BA47" s="57">
        <f>IF(AD47="",#N/A,SUM($AD$4:AD47))</f>
        <v>-272.3996714083255</v>
      </c>
      <c r="BC47" s="51" t="str">
        <f t="shared" si="22"/>
        <v/>
      </c>
      <c r="BD47" s="51" t="str">
        <f t="shared" si="23"/>
        <v/>
      </c>
      <c r="BE47" s="51">
        <f t="shared" si="24"/>
        <v>1</v>
      </c>
      <c r="BF47" s="51" t="str">
        <f t="shared" si="25"/>
        <v>Long</v>
      </c>
      <c r="BG47" s="51" t="str">
        <f t="shared" si="26"/>
        <v/>
      </c>
      <c r="BH47" s="51" t="str">
        <f t="shared" si="27"/>
        <v/>
      </c>
      <c r="BI47" s="51" t="str">
        <f t="shared" si="28"/>
        <v/>
      </c>
      <c r="BK47" s="184"/>
      <c r="BL47" s="65">
        <f t="shared" si="107"/>
        <v>-0.26060818138271097</v>
      </c>
      <c r="BM47" s="65">
        <f>IFERROR(Q47/COUNTA($J$4:J47),#N/A)</f>
        <v>-9.1724202127262441E-2</v>
      </c>
      <c r="BO47" s="489">
        <f>IF(J47="",#N/A,IF(S47="SW",(COUNTIFS(K$4:$K47,"&gt;0",S$4:$S47,"SW")/COUNTIF(S$4:$S47,"SW")),#N/A))</f>
        <v>0.52</v>
      </c>
      <c r="BP47" s="489" t="e">
        <f>IF($J47="",#N/A,IF($S47="DWN",(COUNTIFS($K$4:$K47,"&lt;0",$S$4:$S47,"DWN")/COUNTIF($S$4:$S47,"DWN")),#N/A))</f>
        <v>#N/A</v>
      </c>
      <c r="BQ47" s="489" t="e">
        <f>IF($J47="",#N/A,IF($S47="UP",(COUNTIFS($K$4:$K47,"&gt;0",$S$4:$S47,"UP")/COUNTIF($S$4:$S47,"UP")),#N/A))</f>
        <v>#N/A</v>
      </c>
      <c r="BR47" s="489">
        <f>IF(J47="",#N/A,COUNTIF($K$4:K47,"&gt;0")/COUNT($J$4:J47))</f>
        <v>0.5</v>
      </c>
      <c r="BS47" s="65" t="str">
        <f t="shared" si="29"/>
        <v/>
      </c>
      <c r="BT47" s="65" t="str">
        <f t="shared" si="30"/>
        <v/>
      </c>
      <c r="BU47" s="65" t="str">
        <f t="shared" si="31"/>
        <v/>
      </c>
      <c r="BV47" s="65">
        <f t="shared" si="32"/>
        <v>0.76161106438650539</v>
      </c>
      <c r="BW47" s="151" t="str">
        <f t="shared" si="33"/>
        <v/>
      </c>
      <c r="BX47" s="151">
        <f>IF($J47="",#N/A,SUM($BW$4:BW47))</f>
        <v>4.5899999999999181</v>
      </c>
      <c r="BY47" s="152" t="str">
        <f t="shared" si="34"/>
        <v/>
      </c>
      <c r="BZ47" s="152">
        <f>IF($J47="",#N/A,SUM($BY$4:BY47))</f>
        <v>-72.373719531495567</v>
      </c>
      <c r="CA47" s="153">
        <f t="shared" si="35"/>
        <v>57.049999999999955</v>
      </c>
      <c r="CB47" s="154">
        <f>IF($J47="",#N/A,SUM($CA$4:CA47))</f>
        <v>-185.23090640187422</v>
      </c>
      <c r="CC47" s="191" t="str">
        <f t="shared" si="36"/>
        <v/>
      </c>
      <c r="CD47" s="191">
        <f>IF($J47="",#N/A,SUM($CC$4:CC47))</f>
        <v>6.6834991831277585E-2</v>
      </c>
      <c r="CE47" s="192" t="str">
        <f t="shared" si="37"/>
        <v/>
      </c>
      <c r="CF47" s="192">
        <f>IF($J47="",#N/A,SUM($CE$4:CE47))</f>
        <v>-1.2217069637903022</v>
      </c>
      <c r="CG47" s="193">
        <f t="shared" si="38"/>
        <v>0.76161106438650539</v>
      </c>
      <c r="CH47" s="193">
        <f>IF($J47="",#N/A,SUM($CG$4:CG47))</f>
        <v>-2.880992921640523</v>
      </c>
      <c r="CI47" s="200" t="str">
        <f t="shared" si="39"/>
        <v/>
      </c>
      <c r="CJ47" s="200">
        <f>IF($J47="",#N/A,SUM(CI$4:CI47))</f>
        <v>0</v>
      </c>
      <c r="CK47" s="201" t="str">
        <f t="shared" si="40"/>
        <v/>
      </c>
      <c r="CL47" s="201">
        <f>IF($J47="",#N/A,SUM(CK$4:CK47))</f>
        <v>0</v>
      </c>
      <c r="CM47" s="202" t="str">
        <f t="shared" si="41"/>
        <v/>
      </c>
      <c r="CN47" s="202">
        <f>IF($J47="",#N/A,SUM(CM$4:CM47))</f>
        <v>0</v>
      </c>
      <c r="CO47" s="202">
        <f>IF($J47="",#N/A,SUM(CM$4:CM47,CK$4:CK47,CI$4:CI47))</f>
        <v>0</v>
      </c>
      <c r="CP47" s="200" t="str">
        <f t="shared" si="42"/>
        <v/>
      </c>
      <c r="CQ47" s="200">
        <f>IF($J47="",#N/A,SUM(CP$4:CP47))</f>
        <v>0</v>
      </c>
      <c r="CR47" s="201" t="str">
        <f t="shared" si="43"/>
        <v/>
      </c>
      <c r="CS47" s="201">
        <f>IF($J47="",#N/A,SUM(CR$4:CR47))</f>
        <v>0</v>
      </c>
      <c r="CT47" s="202" t="str">
        <f t="shared" si="44"/>
        <v/>
      </c>
      <c r="CU47" s="202">
        <f>IF($J47="",#N/A,SUM(CT$4:CT47))</f>
        <v>0</v>
      </c>
      <c r="CV47" s="202">
        <f>IF($J47="",#N/A,SUM(CT$4:CT47,CR$4:CR47,CP$4:CP47))</f>
        <v>0</v>
      </c>
      <c r="CW47" s="200" t="str">
        <f t="shared" si="45"/>
        <v/>
      </c>
      <c r="CX47" s="200">
        <f>IF($J47="",#N/A,SUM(CW$4:CW47))</f>
        <v>0</v>
      </c>
      <c r="CY47" s="201" t="str">
        <f t="shared" si="46"/>
        <v/>
      </c>
      <c r="CZ47" s="201">
        <f>IF($J47="",#N/A,SUM(CY$4:CY47))</f>
        <v>-0.63271328921481373</v>
      </c>
      <c r="DA47" s="202" t="str">
        <f t="shared" si="47"/>
        <v/>
      </c>
      <c r="DB47" s="202">
        <f>IF($J47="",#N/A,SUM(DA$4:DA47))</f>
        <v>0</v>
      </c>
      <c r="DC47" s="202">
        <f>IF($J47="",#N/A,SUM(DA$4:DA47,CY$4:CY47,CW$4:CW47))</f>
        <v>-0.63271328921481373</v>
      </c>
      <c r="DD47" s="200" t="str">
        <f t="shared" si="48"/>
        <v/>
      </c>
      <c r="DE47" s="200">
        <f>IF($J47="",#N/A,SUM(DD$4:DD47))</f>
        <v>0</v>
      </c>
      <c r="DF47" s="201" t="str">
        <f t="shared" si="49"/>
        <v/>
      </c>
      <c r="DG47" s="201">
        <f>IF($J47="",#N/A,SUM(DF$4:DF47))</f>
        <v>0.6788440567066546</v>
      </c>
      <c r="DH47" s="202" t="str">
        <f t="shared" si="50"/>
        <v/>
      </c>
      <c r="DI47" s="202">
        <f>IF($J47="",#N/A,SUM(DH$4:DH47))</f>
        <v>0</v>
      </c>
      <c r="DJ47" s="202">
        <f>IF($J47="",#N/A,SUM(DH$4:DH47,DF$4:DF47,DD$4:DD47))</f>
        <v>0.6788440567066546</v>
      </c>
      <c r="DK47" s="200" t="str">
        <f t="shared" si="51"/>
        <v/>
      </c>
      <c r="DL47" s="200">
        <f>IF($J47="",#N/A,SUM(DK$4:DK47))</f>
        <v>0</v>
      </c>
      <c r="DM47" s="201" t="str">
        <f t="shared" si="52"/>
        <v/>
      </c>
      <c r="DN47" s="201">
        <f>IF($J47="",#N/A,SUM(DM$4:DM47))</f>
        <v>0.36227168206863897</v>
      </c>
      <c r="DO47" s="202" t="str">
        <f t="shared" si="53"/>
        <v/>
      </c>
      <c r="DP47" s="202">
        <f>IF($J47="",#N/A,SUM(DO$4:DO47))</f>
        <v>0.19475247422998271</v>
      </c>
      <c r="DQ47" s="202">
        <f>IF($J47="",#N/A,SUM(DO$4:DO47,DM$4:DM47,DK$4:DK47))</f>
        <v>0.55702415629862168</v>
      </c>
      <c r="DR47" s="200" t="str">
        <f t="shared" si="54"/>
        <v/>
      </c>
      <c r="DS47" s="200">
        <f>IF($J47="",#N/A,SUM(DR$4:DR47))</f>
        <v>0</v>
      </c>
      <c r="DT47" s="201" t="str">
        <f t="shared" si="55"/>
        <v/>
      </c>
      <c r="DU47" s="201">
        <f>IF($J47="",#N/A,SUM(DT$4:DT47))</f>
        <v>-2.8875364672150718</v>
      </c>
      <c r="DV47" s="202" t="str">
        <f t="shared" si="56"/>
        <v/>
      </c>
      <c r="DW47" s="202">
        <f>IF($J47="",#N/A,SUM(DV$4:DV47))</f>
        <v>-0.89834078198379175</v>
      </c>
      <c r="DX47" s="202">
        <f>IF($J47="",#N/A,SUM(DV$4:DV47,DT$4:DT47,DR$4:DR47))</f>
        <v>-3.7858772491988635</v>
      </c>
      <c r="DY47" s="200" t="str">
        <f t="shared" si="57"/>
        <v/>
      </c>
      <c r="DZ47" s="200">
        <f>IF($J47="",#N/A,SUM(DY$4:DY47))</f>
        <v>0</v>
      </c>
      <c r="EA47" s="201" t="str">
        <f t="shared" si="58"/>
        <v/>
      </c>
      <c r="EB47" s="201">
        <f>IF($J47="",#N/A,SUM(EA$4:EA47))</f>
        <v>0.43517953094202633</v>
      </c>
      <c r="EC47" s="202">
        <f t="shared" si="59"/>
        <v>0.76161106438650539</v>
      </c>
      <c r="ED47" s="202">
        <f>IF($J47="",#N/A,SUM(EC$4:EC47))</f>
        <v>0.46825315007589452</v>
      </c>
      <c r="EE47" s="202">
        <f>IF($J47="",#N/A,SUM(EC$4:EC47,EA$4:EA47,DY$4:DY47))</f>
        <v>0.90343268101792085</v>
      </c>
      <c r="EF47" s="200" t="str">
        <f t="shared" si="60"/>
        <v/>
      </c>
      <c r="EG47" s="200">
        <f>IF($J47="",#N/A,SUM(EF$4:EF47))</f>
        <v>0</v>
      </c>
      <c r="EH47" s="201" t="str">
        <f t="shared" si="61"/>
        <v/>
      </c>
      <c r="EI47" s="201">
        <f>IF($J47="",#N/A,SUM(EH$4:EH47))</f>
        <v>0</v>
      </c>
      <c r="EJ47" s="202" t="str">
        <f t="shared" si="62"/>
        <v/>
      </c>
      <c r="EK47" s="202">
        <f>IF($J47="",#N/A,SUM(EJ$4:EJ47))</f>
        <v>0.6035383334478206</v>
      </c>
      <c r="EL47" s="202">
        <f>IF($J47="",#N/A,SUM(EJ$4:EJ47,EH$4:EH47,EF$4:EF47))</f>
        <v>0.6035383334478206</v>
      </c>
      <c r="EM47" s="200" t="str">
        <f t="shared" si="63"/>
        <v/>
      </c>
      <c r="EN47" s="200">
        <f>IF($J47="",#N/A,SUM(EM$4:EM47))</f>
        <v>0</v>
      </c>
      <c r="EO47" s="201" t="str">
        <f t="shared" si="64"/>
        <v/>
      </c>
      <c r="EP47" s="201">
        <f>IF($J47="",#N/A,SUM(EO$4:EO47))</f>
        <v>0</v>
      </c>
      <c r="EQ47" s="202" t="str">
        <f t="shared" si="65"/>
        <v/>
      </c>
      <c r="ER47" s="202">
        <f>IF($J47="",#N/A,SUM(EQ$4:EQ47))</f>
        <v>0</v>
      </c>
      <c r="ES47" s="202">
        <f>IF($J47="",#N/A,SUM(EQ$4:EQ47,EO$4:EO47,EM$4:EM47))</f>
        <v>0</v>
      </c>
      <c r="ET47" s="200" t="str">
        <f t="shared" si="66"/>
        <v/>
      </c>
      <c r="EU47" s="200">
        <f>IF($J47="",#N/A,SUM(ET$4:ET47))</f>
        <v>0</v>
      </c>
      <c r="EV47" s="201" t="str">
        <f t="shared" si="67"/>
        <v/>
      </c>
      <c r="EW47" s="201">
        <f>IF($J47="",#N/A,SUM(EV$4:EV47))</f>
        <v>0</v>
      </c>
      <c r="EX47" s="202" t="str">
        <f t="shared" si="68"/>
        <v/>
      </c>
      <c r="EY47" s="202">
        <f>IF($J47="",#N/A,SUM(EX$4:EX47))</f>
        <v>0</v>
      </c>
      <c r="EZ47" s="202">
        <f>IF($J47="",#N/A,SUM(EX$4:EX47,EV$4:EV47,ET$4:ET47))</f>
        <v>0</v>
      </c>
      <c r="FA47" s="200" t="str">
        <f t="shared" si="69"/>
        <v/>
      </c>
      <c r="FB47" s="200">
        <f>IF($J47="",#N/A,SUM(FA$4:FA47))</f>
        <v>0</v>
      </c>
      <c r="FC47" s="201" t="str">
        <f t="shared" si="70"/>
        <v/>
      </c>
      <c r="FD47" s="201">
        <f>IF($J47="",#N/A,SUM(FC$4:FC47))</f>
        <v>1.3724148418491529</v>
      </c>
      <c r="FE47" s="202" t="str">
        <f t="shared" si="71"/>
        <v/>
      </c>
      <c r="FF47" s="202">
        <f>IF($J47="",#N/A,SUM(FE$4:FE47))</f>
        <v>-0.11131725417439868</v>
      </c>
      <c r="FG47" s="202">
        <f>IF($J47="",#N/A,SUM(FE$4:FE47,FC$4:FC47,FA$4:FA47))</f>
        <v>1.2610975876747541</v>
      </c>
      <c r="FH47" s="200" t="str">
        <f t="shared" si="72"/>
        <v/>
      </c>
      <c r="FI47" s="200">
        <f>IF($J47="",#N/A,SUM(FH$4:FH47))</f>
        <v>0</v>
      </c>
      <c r="FJ47" s="201" t="str">
        <f t="shared" si="73"/>
        <v/>
      </c>
      <c r="FK47" s="201">
        <f>IF($J47="",#N/A,SUM(FJ$4:FJ47))</f>
        <v>0</v>
      </c>
      <c r="FL47" s="202" t="str">
        <f t="shared" si="74"/>
        <v/>
      </c>
      <c r="FM47" s="202">
        <f>IF($J47="",#N/A,SUM(FL$4:FL47))</f>
        <v>0</v>
      </c>
      <c r="FN47" s="202">
        <f>IF($J47="",#N/A,SUM(FL$4:FL47,FJ$4:FJ47,FH$4:FH47))</f>
        <v>0</v>
      </c>
      <c r="FO47" s="200" t="str">
        <f t="shared" si="75"/>
        <v/>
      </c>
      <c r="FP47" s="200">
        <f>IF($J47="",#N/A,SUM(FO$4:FO47))</f>
        <v>0</v>
      </c>
      <c r="FQ47" s="201" t="str">
        <f t="shared" si="76"/>
        <v/>
      </c>
      <c r="FR47" s="201">
        <f>IF($J47="",#N/A,SUM(FQ$4:FQ47))</f>
        <v>0</v>
      </c>
      <c r="FS47" s="202" t="str">
        <f t="shared" si="77"/>
        <v/>
      </c>
      <c r="FT47" s="202">
        <f>IF($J47="",#N/A,SUM(FS$4:FS47))</f>
        <v>0</v>
      </c>
      <c r="FU47" s="202">
        <f>IF($J47="",#N/A,SUM(FS$4:FS47,FQ$4:FQ47,FO$4:FO47))</f>
        <v>0</v>
      </c>
      <c r="FV47" s="200" t="str">
        <f t="shared" si="78"/>
        <v/>
      </c>
      <c r="FW47" s="200">
        <f>IF($J47="",#N/A,SUM(FV$4:FV47))</f>
        <v>6.6834991831277585E-2</v>
      </c>
      <c r="FX47" s="201" t="str">
        <f t="shared" si="79"/>
        <v/>
      </c>
      <c r="FY47" s="201">
        <f>IF($J47="",#N/A,SUM(FX$4:FX47))</f>
        <v>0</v>
      </c>
      <c r="FZ47" s="202" t="str">
        <f t="shared" si="80"/>
        <v/>
      </c>
      <c r="GA47" s="202">
        <f>IF($J47="",#N/A,SUM(FZ$4:FZ47))</f>
        <v>-0.20104261551371039</v>
      </c>
      <c r="GB47" s="202">
        <f>IF($J47="",#N/A,SUM(FZ$4:FZ47,FX$4:FX47,FV$4:FV47))</f>
        <v>-0.1342076236824328</v>
      </c>
      <c r="GC47" s="200" t="str">
        <f t="shared" si="81"/>
        <v/>
      </c>
      <c r="GD47" s="200">
        <f>IF($J47="",#N/A,SUM(GC$4:GC47))</f>
        <v>0</v>
      </c>
      <c r="GE47" s="201" t="str">
        <f t="shared" si="82"/>
        <v/>
      </c>
      <c r="GF47" s="201">
        <f>IF($J47="",#N/A,SUM(GE$4:GE47))</f>
        <v>0</v>
      </c>
      <c r="GG47" s="202" t="str">
        <f t="shared" si="83"/>
        <v/>
      </c>
      <c r="GH47" s="202">
        <f>IF($J47="",#N/A,SUM(GG$4:GG47))</f>
        <v>-2.9368362277223206</v>
      </c>
      <c r="GI47" s="202">
        <f>IF($J47="",#N/A,SUM(GG$4:GG47,GE$4:GE47,GC$4:GC47))</f>
        <v>-2.9368362277223206</v>
      </c>
      <c r="GJ47" s="200" t="str">
        <f t="shared" si="84"/>
        <v/>
      </c>
      <c r="GK47" s="200">
        <f>IF($J47="",#N/A,SUM(GJ$4:GJ47))</f>
        <v>0</v>
      </c>
      <c r="GL47" s="201" t="str">
        <f t="shared" si="85"/>
        <v/>
      </c>
      <c r="GM47" s="201">
        <f>IF($J47="",#N/A,SUM(GL$4:GL47))</f>
        <v>-0.55016731892688953</v>
      </c>
      <c r="GN47" s="202" t="str">
        <f t="shared" si="86"/>
        <v/>
      </c>
      <c r="GO47" s="202">
        <f>IF($J47="",#N/A,SUM(GN$4:GN47))</f>
        <v>0</v>
      </c>
      <c r="GP47" s="202">
        <f>IF($J47="",#N/A,SUM(GN$4:GN47,GL$4:GL47,GJ$4:GJ47))</f>
        <v>-0.55016731892688953</v>
      </c>
      <c r="GS47" s="54">
        <f t="shared" si="105"/>
        <v>0.76161106438650539</v>
      </c>
      <c r="GT47" s="54">
        <f>IF(GS47="",NA(),SUM($GS$4:GS47))</f>
        <v>-4.237853706526832</v>
      </c>
      <c r="GU47" s="54" t="str">
        <f t="shared" si="87"/>
        <v/>
      </c>
      <c r="GV47" s="54" t="e">
        <f>IF(GU47="",NA(),SUM($GU$4:GU47))</f>
        <v>#N/A</v>
      </c>
      <c r="GW47" s="54">
        <f t="shared" si="88"/>
        <v>0.76161106438650539</v>
      </c>
      <c r="GX47" s="54">
        <f>IF(GW47="",NA(),SUM($GW$4:GW47))</f>
        <v>-3.0829817345678086</v>
      </c>
      <c r="GY47" s="54" t="str">
        <f t="shared" si="89"/>
        <v/>
      </c>
      <c r="GZ47" s="54" t="e">
        <f>IF(GY47="",NA(),SUM($GY$4:GY47))</f>
        <v>#N/A</v>
      </c>
      <c r="HA47" s="54" t="str">
        <f t="shared" si="90"/>
        <v/>
      </c>
      <c r="HB47" s="54" t="e">
        <f>IF(HA47="",NA(),SUM($HA$4:HA47))</f>
        <v>#N/A</v>
      </c>
      <c r="HC47" s="54" t="str">
        <f t="shared" si="91"/>
        <v/>
      </c>
      <c r="HD47" s="54" t="e">
        <f>IF(HC47="",NA(),SUM($HC$4:HC47))</f>
        <v>#N/A</v>
      </c>
      <c r="HE47" s="54" t="str">
        <f t="shared" si="92"/>
        <v/>
      </c>
      <c r="HF47" s="54" t="e">
        <f>IF(HE47="",NA(),SUM($HE$4:HE47))</f>
        <v>#N/A</v>
      </c>
      <c r="HG47" s="54" t="str">
        <f t="shared" si="93"/>
        <v/>
      </c>
      <c r="HH47" s="54" t="e">
        <f>IF(HG47="",NA(),SUM($HG$4:HG47))</f>
        <v>#N/A</v>
      </c>
      <c r="HI47" s="172" t="str">
        <f t="shared" si="106"/>
        <v/>
      </c>
      <c r="HJ47" s="172">
        <f>IF($J47="",#N/A,SUM(HI$4:$HI47))</f>
        <v>-1.2880161085276005</v>
      </c>
      <c r="HK47" s="54" t="str">
        <f t="shared" si="94"/>
        <v/>
      </c>
      <c r="HL47" s="54">
        <f>IF($J47="",#N/A,SUM($HK$4:HK47))</f>
        <v>-2.1756269386733456</v>
      </c>
      <c r="HM47" s="54" t="str">
        <f t="shared" si="95"/>
        <v/>
      </c>
      <c r="HN47" s="54">
        <f>IF($J47="",#N/A,SUM($HM$4:HM47))</f>
        <v>0.80449527204317051</v>
      </c>
      <c r="HO47" s="54" t="str">
        <f t="shared" si="96"/>
        <v/>
      </c>
      <c r="HP47" s="54">
        <f>IF($J47="",#N/A,SUM($HO$4:HO47))</f>
        <v>0</v>
      </c>
      <c r="HQ47" s="54">
        <f t="shared" si="97"/>
        <v>0.25044388374918214</v>
      </c>
      <c r="HR47" s="54">
        <f>IF($J47="",#N/A,SUM($HQ$4:HQ47))</f>
        <v>-2.153533787035141</v>
      </c>
      <c r="HS47" s="54" t="str">
        <f t="shared" si="98"/>
        <v/>
      </c>
      <c r="HT47" s="54">
        <f>IF($J47="",#N/A,SUM($HS$4:HS47))</f>
        <v>4.4293076139753111</v>
      </c>
      <c r="HU47" s="65">
        <f t="shared" si="99"/>
        <v>1.0120549481356875</v>
      </c>
      <c r="HV47" s="65">
        <f>IF($J47="",#N/A,SUM(HU$4:$HU47))</f>
        <v>-4.4192388418171555</v>
      </c>
    </row>
    <row r="48" spans="1:230" x14ac:dyDescent="0.25">
      <c r="A48" s="51" t="s">
        <v>1303</v>
      </c>
      <c r="B48" s="52" t="s">
        <v>4501</v>
      </c>
      <c r="C48" s="229">
        <f t="shared" si="0"/>
        <v>3</v>
      </c>
      <c r="D48" s="219" t="str">
        <f>_xlfn.XLOOKUP(A48,[1]SP500!$A$2:$A$502,[1]SP500!$D$2:$D$502,"N")</f>
        <v>Y</v>
      </c>
      <c r="E48" s="51" t="str">
        <f>IFERROR(_xlfn.XLOOKUP(A48,[1]SP500!$A$2:$A$655,[1]SP500!$B$2:$B$655),"")</f>
        <v>XLC</v>
      </c>
      <c r="F48" s="53">
        <v>45769</v>
      </c>
      <c r="G48" s="51" t="str">
        <f t="shared" si="1"/>
        <v>BMO</v>
      </c>
      <c r="H48" s="51" t="str">
        <f t="shared" si="2"/>
        <v>s</v>
      </c>
      <c r="I48" s="344">
        <v>42.93</v>
      </c>
      <c r="J48" s="124">
        <v>41.99</v>
      </c>
      <c r="K48" s="55">
        <f t="shared" si="3"/>
        <v>-2.1896109946424359E-2</v>
      </c>
      <c r="L48" s="67">
        <f t="shared" si="4"/>
        <v>-23.5</v>
      </c>
      <c r="M48" s="57">
        <f t="shared" si="5"/>
        <v>-8.25</v>
      </c>
      <c r="N48" s="155">
        <f t="shared" si="6"/>
        <v>-23.5</v>
      </c>
      <c r="O48" s="156">
        <f>IF(N48="",#N/A,SUM($N$4:N48))</f>
        <v>-276.51462593336987</v>
      </c>
      <c r="P48" s="65">
        <f t="shared" si="100"/>
        <v>-0.36493516577374024</v>
      </c>
      <c r="Q48" s="172">
        <f>IF($N48="",#N/A,SUM($P$4:P48))</f>
        <v>-4.4008000593732879</v>
      </c>
      <c r="R48" s="279">
        <f t="shared" si="7"/>
        <v>2.3935071744476613</v>
      </c>
      <c r="S48" s="51" t="str">
        <f t="shared" si="8"/>
        <v>SW</v>
      </c>
      <c r="T48" s="51" t="s">
        <v>2828</v>
      </c>
      <c r="U48" s="56">
        <f t="shared" si="9"/>
        <v>42.93</v>
      </c>
      <c r="V48" s="56" t="s">
        <v>4460</v>
      </c>
      <c r="W48" s="142">
        <v>25</v>
      </c>
      <c r="X48" s="145">
        <f t="shared" si="10"/>
        <v>1073.25</v>
      </c>
      <c r="Y48" s="140">
        <f t="shared" si="11"/>
        <v>25</v>
      </c>
      <c r="Z48" s="123">
        <v>41.66</v>
      </c>
      <c r="AA48" s="102">
        <f t="shared" si="12"/>
        <v>-31.75</v>
      </c>
      <c r="AB48" s="102">
        <f t="shared" si="13"/>
        <v>6.5</v>
      </c>
      <c r="AC48" s="124">
        <v>43.19</v>
      </c>
      <c r="AD48" s="155">
        <f t="shared" si="14"/>
        <v>6.5</v>
      </c>
      <c r="AE48" s="545">
        <f t="shared" si="15"/>
        <v>0.10093951393741751</v>
      </c>
      <c r="AF48" s="57">
        <f>IF($AC48="",#N/A,SUM(AD$4:AD48))</f>
        <v>-265.8996714083255</v>
      </c>
      <c r="AG48" s="102">
        <f t="shared" si="16"/>
        <v>30</v>
      </c>
      <c r="AH48" s="56" t="s">
        <v>2507</v>
      </c>
      <c r="AI48" s="65">
        <f t="shared" si="17"/>
        <v>-0.49305070269430862</v>
      </c>
      <c r="AJ48" s="54">
        <f>IF(AI48="",#N/A,SUM($AI$4:AI48))</f>
        <v>-6.7943072338209491</v>
      </c>
      <c r="AK48" s="57">
        <f t="shared" si="18"/>
        <v>-31.75</v>
      </c>
      <c r="AL48" s="58">
        <f>IF(AI48="",#N/A,IF(AH48="Skip",SUM($AK$4:AK48),SUM($AK$4:AK48)))</f>
        <v>-450.97999999999888</v>
      </c>
      <c r="AM48" s="65">
        <f t="shared" si="101"/>
        <v>0.10093951393741751</v>
      </c>
      <c r="AN48" s="209"/>
      <c r="AO48" s="65">
        <f t="shared" si="19"/>
        <v>0.10093951393741751</v>
      </c>
      <c r="AP48" s="65">
        <f>IF($AC48="",#N/A,SUM(AO$4:AO48))</f>
        <v>-0.50427958076293622</v>
      </c>
      <c r="AQ48" s="65" t="str">
        <f t="shared" si="20"/>
        <v/>
      </c>
      <c r="AR48" s="65">
        <f>IF($AC48="",#N/A,SUM(AQ$4:AQ48))</f>
        <v>0.87133026387444812</v>
      </c>
      <c r="AS48" s="65" t="str">
        <f t="shared" si="21"/>
        <v/>
      </c>
      <c r="AT48" s="65">
        <f>IF($AC48="",#N/A,SUM(AS$4:AS48))</f>
        <v>-4.6853500109912494</v>
      </c>
      <c r="AU48" s="57">
        <f t="shared" si="102"/>
        <v>6.5</v>
      </c>
      <c r="AV48" s="57">
        <f>IF($AC48="",#N/A,SUM(AU$4:AU48))</f>
        <v>-39.361298505509467</v>
      </c>
      <c r="AW48" s="57" t="str">
        <f t="shared" si="103"/>
        <v/>
      </c>
      <c r="AX48" s="57">
        <f>IF($AC48="",#N/A,SUM(AW$4:AW48))</f>
        <v>59.839999999999918</v>
      </c>
      <c r="AY48" s="56" t="str">
        <f t="shared" si="104"/>
        <v/>
      </c>
      <c r="AZ48" s="57">
        <f>IF($AC48="",#N/A,SUM(AY$4:AY48))</f>
        <v>-286.37837290281595</v>
      </c>
      <c r="BA48" s="57">
        <f>IF(AD48="",#N/A,SUM($AD$4:AD48))</f>
        <v>-265.8996714083255</v>
      </c>
      <c r="BC48" s="51" t="str">
        <f t="shared" si="22"/>
        <v/>
      </c>
      <c r="BD48" s="51" t="str">
        <f t="shared" si="23"/>
        <v/>
      </c>
      <c r="BE48" s="51" t="str">
        <f t="shared" si="24"/>
        <v/>
      </c>
      <c r="BF48" s="51" t="str">
        <f t="shared" si="25"/>
        <v>Long</v>
      </c>
      <c r="BG48" s="51" t="str">
        <f t="shared" si="26"/>
        <v/>
      </c>
      <c r="BH48" s="51" t="str">
        <f t="shared" si="27"/>
        <v/>
      </c>
      <c r="BI48" s="51">
        <f t="shared" si="28"/>
        <v>1</v>
      </c>
      <c r="BK48" s="184"/>
      <c r="BL48" s="65">
        <f t="shared" si="107"/>
        <v>-0.29157451642296389</v>
      </c>
      <c r="BM48" s="65">
        <f>IFERROR(Q48/COUNTA($J$4:J48),#N/A)</f>
        <v>-9.7795556874961956E-2</v>
      </c>
      <c r="BO48" s="489">
        <f>IF(J48="",#N/A,IF(S48="SW",(COUNTIFS(K$4:$K48,"&gt;0",S$4:$S48,"SW")/COUNTIF(S$4:$S48,"SW")),#N/A))</f>
        <v>0.5</v>
      </c>
      <c r="BP48" s="489" t="e">
        <f>IF($J48="",#N/A,IF($S48="DWN",(COUNTIFS($K$4:$K48,"&lt;0",$S$4:$S48,"DWN")/COUNTIF($S$4:$S48,"DWN")),#N/A))</f>
        <v>#N/A</v>
      </c>
      <c r="BQ48" s="489" t="e">
        <f>IF($J48="",#N/A,IF($S48="UP",(COUNTIFS($K$4:$K48,"&gt;0",$S$4:$S48,"UP")/COUNTIF($S$4:$S48,"UP")),#N/A))</f>
        <v>#N/A</v>
      </c>
      <c r="BR48" s="489">
        <f>IF(J48="",#N/A,COUNTIF($K$4:K48,"&gt;0")/COUNT($J$4:J48))</f>
        <v>0.48888888888888887</v>
      </c>
      <c r="BS48" s="65" t="str">
        <f t="shared" si="29"/>
        <v/>
      </c>
      <c r="BT48" s="65">
        <f t="shared" si="30"/>
        <v>-0.36493516577374024</v>
      </c>
      <c r="BU48" s="65" t="str">
        <f t="shared" si="31"/>
        <v/>
      </c>
      <c r="BV48" s="65" t="str">
        <f t="shared" si="32"/>
        <v/>
      </c>
      <c r="BW48" s="151" t="str">
        <f t="shared" si="33"/>
        <v/>
      </c>
      <c r="BX48" s="151">
        <f>IF($J48="",#N/A,SUM($BW$4:BW48))</f>
        <v>4.5899999999999181</v>
      </c>
      <c r="BY48" s="152" t="str">
        <f t="shared" si="34"/>
        <v/>
      </c>
      <c r="BZ48" s="152">
        <f>IF($J48="",#N/A,SUM($BY$4:BY48))</f>
        <v>-72.373719531495567</v>
      </c>
      <c r="CA48" s="153">
        <f t="shared" si="35"/>
        <v>-23.5</v>
      </c>
      <c r="CB48" s="154">
        <f>IF($J48="",#N/A,SUM($CA$4:CA48))</f>
        <v>-208.73090640187422</v>
      </c>
      <c r="CC48" s="191" t="str">
        <f t="shared" si="36"/>
        <v/>
      </c>
      <c r="CD48" s="191">
        <f>IF($J48="",#N/A,SUM($CC$4:CC48))</f>
        <v>6.6834991831277585E-2</v>
      </c>
      <c r="CE48" s="192" t="str">
        <f t="shared" si="37"/>
        <v/>
      </c>
      <c r="CF48" s="192">
        <f>IF($J48="",#N/A,SUM($CE$4:CE48))</f>
        <v>-1.2217069637903022</v>
      </c>
      <c r="CG48" s="193">
        <f t="shared" si="38"/>
        <v>-0.36493516577374024</v>
      </c>
      <c r="CH48" s="193">
        <f>IF($J48="",#N/A,SUM($CG$4:CG48))</f>
        <v>-3.2459280874142631</v>
      </c>
      <c r="CI48" s="200" t="str">
        <f t="shared" si="39"/>
        <v/>
      </c>
      <c r="CJ48" s="200">
        <f>IF($J48="",#N/A,SUM(CI$4:CI48))</f>
        <v>0</v>
      </c>
      <c r="CK48" s="201" t="str">
        <f t="shared" si="40"/>
        <v/>
      </c>
      <c r="CL48" s="201">
        <f>IF($J48="",#N/A,SUM(CK$4:CK48))</f>
        <v>0</v>
      </c>
      <c r="CM48" s="202" t="str">
        <f t="shared" si="41"/>
        <v/>
      </c>
      <c r="CN48" s="202">
        <f>IF($J48="",#N/A,SUM(CM$4:CM48))</f>
        <v>0</v>
      </c>
      <c r="CO48" s="202">
        <f>IF($J48="",#N/A,SUM(CM$4:CM48,CK$4:CK48,CI$4:CI48))</f>
        <v>0</v>
      </c>
      <c r="CP48" s="200" t="str">
        <f t="shared" si="42"/>
        <v/>
      </c>
      <c r="CQ48" s="200">
        <f>IF($J48="",#N/A,SUM(CP$4:CP48))</f>
        <v>0</v>
      </c>
      <c r="CR48" s="201" t="str">
        <f t="shared" si="43"/>
        <v/>
      </c>
      <c r="CS48" s="201">
        <f>IF($J48="",#N/A,SUM(CR$4:CR48))</f>
        <v>0</v>
      </c>
      <c r="CT48" s="202" t="str">
        <f t="shared" si="44"/>
        <v/>
      </c>
      <c r="CU48" s="202">
        <f>IF($J48="",#N/A,SUM(CT$4:CT48))</f>
        <v>0</v>
      </c>
      <c r="CV48" s="202">
        <f>IF($J48="",#N/A,SUM(CT$4:CT48,CR$4:CR48,CP$4:CP48))</f>
        <v>0</v>
      </c>
      <c r="CW48" s="200" t="str">
        <f t="shared" si="45"/>
        <v/>
      </c>
      <c r="CX48" s="200">
        <f>IF($J48="",#N/A,SUM(CW$4:CW48))</f>
        <v>0</v>
      </c>
      <c r="CY48" s="201" t="str">
        <f t="shared" si="46"/>
        <v/>
      </c>
      <c r="CZ48" s="201">
        <f>IF($J48="",#N/A,SUM(CY$4:CY48))</f>
        <v>-0.63271328921481373</v>
      </c>
      <c r="DA48" s="202" t="str">
        <f t="shared" si="47"/>
        <v/>
      </c>
      <c r="DB48" s="202">
        <f>IF($J48="",#N/A,SUM(DA$4:DA48))</f>
        <v>0</v>
      </c>
      <c r="DC48" s="202">
        <f>IF($J48="",#N/A,SUM(DA$4:DA48,CY$4:CY48,CW$4:CW48))</f>
        <v>-0.63271328921481373</v>
      </c>
      <c r="DD48" s="200" t="str">
        <f t="shared" si="48"/>
        <v/>
      </c>
      <c r="DE48" s="200">
        <f>IF($J48="",#N/A,SUM(DD$4:DD48))</f>
        <v>0</v>
      </c>
      <c r="DF48" s="201" t="str">
        <f t="shared" si="49"/>
        <v/>
      </c>
      <c r="DG48" s="201">
        <f>IF($J48="",#N/A,SUM(DF$4:DF48))</f>
        <v>0.6788440567066546</v>
      </c>
      <c r="DH48" s="202" t="str">
        <f t="shared" si="50"/>
        <v/>
      </c>
      <c r="DI48" s="202">
        <f>IF($J48="",#N/A,SUM(DH$4:DH48))</f>
        <v>0</v>
      </c>
      <c r="DJ48" s="202">
        <f>IF($J48="",#N/A,SUM(DH$4:DH48,DF$4:DF48,DD$4:DD48))</f>
        <v>0.6788440567066546</v>
      </c>
      <c r="DK48" s="200" t="str">
        <f t="shared" si="51"/>
        <v/>
      </c>
      <c r="DL48" s="200">
        <f>IF($J48="",#N/A,SUM(DK$4:DK48))</f>
        <v>0</v>
      </c>
      <c r="DM48" s="201" t="str">
        <f t="shared" si="52"/>
        <v/>
      </c>
      <c r="DN48" s="201">
        <f>IF($J48="",#N/A,SUM(DM$4:DM48))</f>
        <v>0.36227168206863897</v>
      </c>
      <c r="DO48" s="202">
        <f t="shared" si="53"/>
        <v>-0.36493516577374024</v>
      </c>
      <c r="DP48" s="202">
        <f>IF($J48="",#N/A,SUM(DO$4:DO48))</f>
        <v>-0.17018269154375754</v>
      </c>
      <c r="DQ48" s="202">
        <f>IF($J48="",#N/A,SUM(DO$4:DO48,DM$4:DM48,DK$4:DK48))</f>
        <v>0.19208899052488143</v>
      </c>
      <c r="DR48" s="200" t="str">
        <f t="shared" si="54"/>
        <v/>
      </c>
      <c r="DS48" s="200">
        <f>IF($J48="",#N/A,SUM(DR$4:DR48))</f>
        <v>0</v>
      </c>
      <c r="DT48" s="201" t="str">
        <f t="shared" si="55"/>
        <v/>
      </c>
      <c r="DU48" s="201">
        <f>IF($J48="",#N/A,SUM(DT$4:DT48))</f>
        <v>-2.8875364672150718</v>
      </c>
      <c r="DV48" s="202" t="str">
        <f t="shared" si="56"/>
        <v/>
      </c>
      <c r="DW48" s="202">
        <f>IF($J48="",#N/A,SUM(DV$4:DV48))</f>
        <v>-0.89834078198379175</v>
      </c>
      <c r="DX48" s="202">
        <f>IF($J48="",#N/A,SUM(DV$4:DV48,DT$4:DT48,DR$4:DR48))</f>
        <v>-3.7858772491988635</v>
      </c>
      <c r="DY48" s="200" t="str">
        <f t="shared" si="57"/>
        <v/>
      </c>
      <c r="DZ48" s="200">
        <f>IF($J48="",#N/A,SUM(DY$4:DY48))</f>
        <v>0</v>
      </c>
      <c r="EA48" s="201" t="str">
        <f t="shared" si="58"/>
        <v/>
      </c>
      <c r="EB48" s="201">
        <f>IF($J48="",#N/A,SUM(EA$4:EA48))</f>
        <v>0.43517953094202633</v>
      </c>
      <c r="EC48" s="202" t="str">
        <f t="shared" si="59"/>
        <v/>
      </c>
      <c r="ED48" s="202">
        <f>IF($J48="",#N/A,SUM(EC$4:EC48))</f>
        <v>0.46825315007589452</v>
      </c>
      <c r="EE48" s="202">
        <f>IF($J48="",#N/A,SUM(EC$4:EC48,EA$4:EA48,DY$4:DY48))</f>
        <v>0.90343268101792085</v>
      </c>
      <c r="EF48" s="200" t="str">
        <f t="shared" si="60"/>
        <v/>
      </c>
      <c r="EG48" s="200">
        <f>IF($J48="",#N/A,SUM(EF$4:EF48))</f>
        <v>0</v>
      </c>
      <c r="EH48" s="201" t="str">
        <f t="shared" si="61"/>
        <v/>
      </c>
      <c r="EI48" s="201">
        <f>IF($J48="",#N/A,SUM(EH$4:EH48))</f>
        <v>0</v>
      </c>
      <c r="EJ48" s="202" t="str">
        <f t="shared" si="62"/>
        <v/>
      </c>
      <c r="EK48" s="202">
        <f>IF($J48="",#N/A,SUM(EJ$4:EJ48))</f>
        <v>0.6035383334478206</v>
      </c>
      <c r="EL48" s="202">
        <f>IF($J48="",#N/A,SUM(EJ$4:EJ48,EH$4:EH48,EF$4:EF48))</f>
        <v>0.6035383334478206</v>
      </c>
      <c r="EM48" s="200" t="str">
        <f t="shared" si="63"/>
        <v/>
      </c>
      <c r="EN48" s="200">
        <f>IF($J48="",#N/A,SUM(EM$4:EM48))</f>
        <v>0</v>
      </c>
      <c r="EO48" s="201" t="str">
        <f t="shared" si="64"/>
        <v/>
      </c>
      <c r="EP48" s="201">
        <f>IF($J48="",#N/A,SUM(EO$4:EO48))</f>
        <v>0</v>
      </c>
      <c r="EQ48" s="202" t="str">
        <f t="shared" si="65"/>
        <v/>
      </c>
      <c r="ER48" s="202">
        <f>IF($J48="",#N/A,SUM(EQ$4:EQ48))</f>
        <v>0</v>
      </c>
      <c r="ES48" s="202">
        <f>IF($J48="",#N/A,SUM(EQ$4:EQ48,EO$4:EO48,EM$4:EM48))</f>
        <v>0</v>
      </c>
      <c r="ET48" s="200" t="str">
        <f t="shared" si="66"/>
        <v/>
      </c>
      <c r="EU48" s="200">
        <f>IF($J48="",#N/A,SUM(ET$4:ET48))</f>
        <v>0</v>
      </c>
      <c r="EV48" s="201" t="str">
        <f t="shared" si="67"/>
        <v/>
      </c>
      <c r="EW48" s="201">
        <f>IF($J48="",#N/A,SUM(EV$4:EV48))</f>
        <v>0</v>
      </c>
      <c r="EX48" s="202" t="str">
        <f t="shared" si="68"/>
        <v/>
      </c>
      <c r="EY48" s="202">
        <f>IF($J48="",#N/A,SUM(EX$4:EX48))</f>
        <v>0</v>
      </c>
      <c r="EZ48" s="202">
        <f>IF($J48="",#N/A,SUM(EX$4:EX48,EV$4:EV48,ET$4:ET48))</f>
        <v>0</v>
      </c>
      <c r="FA48" s="200" t="str">
        <f t="shared" si="69"/>
        <v/>
      </c>
      <c r="FB48" s="200">
        <f>IF($J48="",#N/A,SUM(FA$4:FA48))</f>
        <v>0</v>
      </c>
      <c r="FC48" s="201" t="str">
        <f t="shared" si="70"/>
        <v/>
      </c>
      <c r="FD48" s="201">
        <f>IF($J48="",#N/A,SUM(FC$4:FC48))</f>
        <v>1.3724148418491529</v>
      </c>
      <c r="FE48" s="202" t="str">
        <f t="shared" si="71"/>
        <v/>
      </c>
      <c r="FF48" s="202">
        <f>IF($J48="",#N/A,SUM(FE$4:FE48))</f>
        <v>-0.11131725417439868</v>
      </c>
      <c r="FG48" s="202">
        <f>IF($J48="",#N/A,SUM(FE$4:FE48,FC$4:FC48,FA$4:FA48))</f>
        <v>1.2610975876747541</v>
      </c>
      <c r="FH48" s="200" t="str">
        <f t="shared" si="72"/>
        <v/>
      </c>
      <c r="FI48" s="200">
        <f>IF($J48="",#N/A,SUM(FH$4:FH48))</f>
        <v>0</v>
      </c>
      <c r="FJ48" s="201" t="str">
        <f t="shared" si="73"/>
        <v/>
      </c>
      <c r="FK48" s="201">
        <f>IF($J48="",#N/A,SUM(FJ$4:FJ48))</f>
        <v>0</v>
      </c>
      <c r="FL48" s="202" t="str">
        <f t="shared" si="74"/>
        <v/>
      </c>
      <c r="FM48" s="202">
        <f>IF($J48="",#N/A,SUM(FL$4:FL48))</f>
        <v>0</v>
      </c>
      <c r="FN48" s="202">
        <f>IF($J48="",#N/A,SUM(FL$4:FL48,FJ$4:FJ48,FH$4:FH48))</f>
        <v>0</v>
      </c>
      <c r="FO48" s="200" t="str">
        <f t="shared" si="75"/>
        <v/>
      </c>
      <c r="FP48" s="200">
        <f>IF($J48="",#N/A,SUM(FO$4:FO48))</f>
        <v>0</v>
      </c>
      <c r="FQ48" s="201" t="str">
        <f t="shared" si="76"/>
        <v/>
      </c>
      <c r="FR48" s="201">
        <f>IF($J48="",#N/A,SUM(FQ$4:FQ48))</f>
        <v>0</v>
      </c>
      <c r="FS48" s="202" t="str">
        <f t="shared" si="77"/>
        <v/>
      </c>
      <c r="FT48" s="202">
        <f>IF($J48="",#N/A,SUM(FS$4:FS48))</f>
        <v>0</v>
      </c>
      <c r="FU48" s="202">
        <f>IF($J48="",#N/A,SUM(FS$4:FS48,FQ$4:FQ48,FO$4:FO48))</f>
        <v>0</v>
      </c>
      <c r="FV48" s="200" t="str">
        <f t="shared" si="78"/>
        <v/>
      </c>
      <c r="FW48" s="200">
        <f>IF($J48="",#N/A,SUM(FV$4:FV48))</f>
        <v>6.6834991831277585E-2</v>
      </c>
      <c r="FX48" s="201" t="str">
        <f t="shared" si="79"/>
        <v/>
      </c>
      <c r="FY48" s="201">
        <f>IF($J48="",#N/A,SUM(FX$4:FX48))</f>
        <v>0</v>
      </c>
      <c r="FZ48" s="202" t="str">
        <f t="shared" si="80"/>
        <v/>
      </c>
      <c r="GA48" s="202">
        <f>IF($J48="",#N/A,SUM(FZ$4:FZ48))</f>
        <v>-0.20104261551371039</v>
      </c>
      <c r="GB48" s="202">
        <f>IF($J48="",#N/A,SUM(FZ$4:FZ48,FX$4:FX48,FV$4:FV48))</f>
        <v>-0.1342076236824328</v>
      </c>
      <c r="GC48" s="200" t="str">
        <f t="shared" si="81"/>
        <v/>
      </c>
      <c r="GD48" s="200">
        <f>IF($J48="",#N/A,SUM(GC$4:GC48))</f>
        <v>0</v>
      </c>
      <c r="GE48" s="201" t="str">
        <f t="shared" si="82"/>
        <v/>
      </c>
      <c r="GF48" s="201">
        <f>IF($J48="",#N/A,SUM(GE$4:GE48))</f>
        <v>0</v>
      </c>
      <c r="GG48" s="202" t="str">
        <f t="shared" si="83"/>
        <v/>
      </c>
      <c r="GH48" s="202">
        <f>IF($J48="",#N/A,SUM(GG$4:GG48))</f>
        <v>-2.9368362277223206</v>
      </c>
      <c r="GI48" s="202">
        <f>IF($J48="",#N/A,SUM(GG$4:GG48,GE$4:GE48,GC$4:GC48))</f>
        <v>-2.9368362277223206</v>
      </c>
      <c r="GJ48" s="200" t="str">
        <f t="shared" si="84"/>
        <v/>
      </c>
      <c r="GK48" s="200">
        <f>IF($J48="",#N/A,SUM(GJ$4:GJ48))</f>
        <v>0</v>
      </c>
      <c r="GL48" s="201" t="str">
        <f t="shared" si="85"/>
        <v/>
      </c>
      <c r="GM48" s="201">
        <f>IF($J48="",#N/A,SUM(GL$4:GL48))</f>
        <v>-0.55016731892688953</v>
      </c>
      <c r="GN48" s="202" t="str">
        <f t="shared" si="86"/>
        <v/>
      </c>
      <c r="GO48" s="202">
        <f>IF($J48="",#N/A,SUM(GN$4:GN48))</f>
        <v>0</v>
      </c>
      <c r="GP48" s="202">
        <f>IF($J48="",#N/A,SUM(GN$4:GN48,GL$4:GL48,GJ$4:GJ48))</f>
        <v>-0.55016731892688953</v>
      </c>
      <c r="GS48" s="54">
        <f t="shared" si="105"/>
        <v>-0.36493516577374024</v>
      </c>
      <c r="GT48" s="54">
        <f>IF(GS48="",NA(),SUM($GS$4:GS48))</f>
        <v>-4.6027888723005725</v>
      </c>
      <c r="GU48" s="54" t="str">
        <f t="shared" si="87"/>
        <v/>
      </c>
      <c r="GV48" s="54" t="e">
        <f>IF(GU48="",NA(),SUM($GU$4:GU48))</f>
        <v>#N/A</v>
      </c>
      <c r="GW48" s="54">
        <f t="shared" si="88"/>
        <v>-0.36493516577374024</v>
      </c>
      <c r="GX48" s="54">
        <f>IF(GW48="",NA(),SUM($GW$4:GW48))</f>
        <v>-3.4479169003415486</v>
      </c>
      <c r="GY48" s="54" t="str">
        <f t="shared" si="89"/>
        <v/>
      </c>
      <c r="GZ48" s="54" t="e">
        <f>IF(GY48="",NA(),SUM($GY$4:GY48))</f>
        <v>#N/A</v>
      </c>
      <c r="HA48" s="54" t="str">
        <f t="shared" si="90"/>
        <v/>
      </c>
      <c r="HB48" s="54" t="e">
        <f>IF(HA48="",NA(),SUM($HA$4:HA48))</f>
        <v>#N/A</v>
      </c>
      <c r="HC48" s="54" t="str">
        <f t="shared" si="91"/>
        <v/>
      </c>
      <c r="HD48" s="54" t="e">
        <f>IF(HC48="",NA(),SUM($HC$4:HC48))</f>
        <v>#N/A</v>
      </c>
      <c r="HE48" s="54" t="str">
        <f t="shared" si="92"/>
        <v/>
      </c>
      <c r="HF48" s="54" t="e">
        <f>IF(HE48="",NA(),SUM($HE$4:HE48))</f>
        <v>#N/A</v>
      </c>
      <c r="HG48" s="54" t="str">
        <f t="shared" si="93"/>
        <v/>
      </c>
      <c r="HH48" s="54" t="e">
        <f>IF(HG48="",NA(),SUM($HG$4:HG48))</f>
        <v>#N/A</v>
      </c>
      <c r="HI48" s="172" t="str">
        <f t="shared" si="106"/>
        <v/>
      </c>
      <c r="HJ48" s="172">
        <f>IF($J48="",#N/A,SUM(HI$4:$HI48))</f>
        <v>-1.2880161085276005</v>
      </c>
      <c r="HK48" s="54" t="str">
        <f t="shared" si="94"/>
        <v/>
      </c>
      <c r="HL48" s="54">
        <f>IF($J48="",#N/A,SUM($HK$4:HK48))</f>
        <v>-2.1756269386733456</v>
      </c>
      <c r="HM48" s="54" t="str">
        <f t="shared" si="95"/>
        <v/>
      </c>
      <c r="HN48" s="54">
        <f>IF($J48="",#N/A,SUM($HM$4:HM48))</f>
        <v>0.80449527204317051</v>
      </c>
      <c r="HO48" s="54" t="str">
        <f t="shared" si="96"/>
        <v/>
      </c>
      <c r="HP48" s="54">
        <f>IF($J48="",#N/A,SUM($HO$4:HO48))</f>
        <v>0</v>
      </c>
      <c r="HQ48" s="54" t="str">
        <f t="shared" si="97"/>
        <v/>
      </c>
      <c r="HR48" s="54">
        <f>IF($J48="",#N/A,SUM($HQ$4:HQ48))</f>
        <v>-2.153533787035141</v>
      </c>
      <c r="HS48" s="54">
        <f t="shared" si="98"/>
        <v>0.46587467971115776</v>
      </c>
      <c r="HT48" s="54">
        <f>IF($J48="",#N/A,SUM($HS$4:HS48))</f>
        <v>4.8951822936864691</v>
      </c>
      <c r="HU48" s="65">
        <f t="shared" si="99"/>
        <v>0.10093951393741751</v>
      </c>
      <c r="HV48" s="65">
        <f>IF($J48="",#N/A,SUM(HU$4:$HU48))</f>
        <v>-4.3182993278797381</v>
      </c>
    </row>
    <row r="49" spans="1:230" x14ac:dyDescent="0.25">
      <c r="A49" s="51" t="s">
        <v>1325</v>
      </c>
      <c r="B49" s="52" t="s">
        <v>4501</v>
      </c>
      <c r="C49" s="229">
        <f t="shared" si="0"/>
        <v>3</v>
      </c>
      <c r="D49" s="219" t="str">
        <f>_xlfn.XLOOKUP(A49,[1]SP500!$A$2:$A$502,[1]SP500!$D$2:$D$502,"N")</f>
        <v>Y</v>
      </c>
      <c r="E49" s="51" t="str">
        <f>IFERROR(_xlfn.XLOOKUP(A49,[1]SP500!$A$2:$A$655,[1]SP500!$B$2:$B$655),"")</f>
        <v>XLI</v>
      </c>
      <c r="F49" s="53">
        <v>45769</v>
      </c>
      <c r="G49" s="51" t="str">
        <f t="shared" si="1"/>
        <v>BMO</v>
      </c>
      <c r="H49" s="51" t="str">
        <f t="shared" si="2"/>
        <v>o</v>
      </c>
      <c r="I49" s="344">
        <v>458.33</v>
      </c>
      <c r="J49" s="124">
        <v>458.05</v>
      </c>
      <c r="K49" s="55">
        <f t="shared" si="3"/>
        <v>-6.1091353391655077E-4</v>
      </c>
      <c r="L49" s="67">
        <f t="shared" si="4"/>
        <v>0.83999999999991815</v>
      </c>
      <c r="M49" s="57">
        <f t="shared" si="5"/>
        <v>-3.0899999999999181</v>
      </c>
      <c r="N49" s="155">
        <f t="shared" si="6"/>
        <v>-0.83999999999991815</v>
      </c>
      <c r="O49" s="156">
        <f>IF(N49="",#N/A,SUM($N$4:N49))</f>
        <v>-277.35462593336979</v>
      </c>
      <c r="P49" s="65">
        <f t="shared" si="100"/>
        <v>-1.0181892231942513E-2</v>
      </c>
      <c r="Q49" s="172">
        <f>IF($N49="",#N/A,SUM($P$4:P49))</f>
        <v>-4.4109819516052307</v>
      </c>
      <c r="R49" s="279">
        <f t="shared" si="7"/>
        <v>2.4105982078369959</v>
      </c>
      <c r="S49" s="51" t="str">
        <f t="shared" si="8"/>
        <v>SW</v>
      </c>
      <c r="T49" s="51" t="s">
        <v>2828</v>
      </c>
      <c r="U49" s="56">
        <f t="shared" si="9"/>
        <v>458.33</v>
      </c>
      <c r="V49" s="56" t="s">
        <v>4458</v>
      </c>
      <c r="W49" s="142">
        <v>3</v>
      </c>
      <c r="X49" s="145">
        <f t="shared" si="10"/>
        <v>1374.99</v>
      </c>
      <c r="Y49" s="140">
        <f t="shared" si="11"/>
        <v>3</v>
      </c>
      <c r="Z49" s="123">
        <v>459.08</v>
      </c>
      <c r="AA49" s="102">
        <f t="shared" si="12"/>
        <v>-2.25</v>
      </c>
      <c r="AB49" s="102">
        <f t="shared" si="13"/>
        <v>-11.25</v>
      </c>
      <c r="AC49" s="124">
        <v>462.08</v>
      </c>
      <c r="AD49" s="155">
        <f t="shared" si="14"/>
        <v>11.25</v>
      </c>
      <c r="AE49" s="545">
        <f t="shared" si="15"/>
        <v>0.13636462810638625</v>
      </c>
      <c r="AF49" s="57">
        <f>IF($AC49="",#N/A,SUM(AD$4:AD49))</f>
        <v>-254.6496714083255</v>
      </c>
      <c r="AG49" s="102">
        <f t="shared" si="16"/>
        <v>12.089999999999918</v>
      </c>
      <c r="AH49" s="57" t="s">
        <v>2507</v>
      </c>
      <c r="AI49" s="65">
        <f t="shared" si="17"/>
        <v>-2.7272925621277248E-2</v>
      </c>
      <c r="AJ49" s="54">
        <f>IF(AI49="",#N/A,SUM($AI$4:AI49))</f>
        <v>-6.8215801594422265</v>
      </c>
      <c r="AK49" s="57">
        <f t="shared" si="18"/>
        <v>-2.25</v>
      </c>
      <c r="AL49" s="58">
        <f>IF(AI49="",#N/A,IF(AH49="Skip",SUM($AK$4:AK49),SUM($AK$4:AK49)))</f>
        <v>-453.22999999999888</v>
      </c>
      <c r="AM49" s="65">
        <f t="shared" si="101"/>
        <v>0.13636462810638625</v>
      </c>
      <c r="AN49" s="209"/>
      <c r="AO49" s="65">
        <f t="shared" si="19"/>
        <v>0.13636462810638625</v>
      </c>
      <c r="AP49" s="65">
        <f>IF($AC49="",#N/A,SUM(AO$4:AO49))</f>
        <v>-0.36791495265654994</v>
      </c>
      <c r="AQ49" s="65" t="str">
        <f t="shared" si="20"/>
        <v/>
      </c>
      <c r="AR49" s="65">
        <f>IF($AC49="",#N/A,SUM(AQ$4:AQ49))</f>
        <v>0.87133026387444812</v>
      </c>
      <c r="AS49" s="65" t="str">
        <f t="shared" si="21"/>
        <v/>
      </c>
      <c r="AT49" s="65">
        <f>IF($AC49="",#N/A,SUM(AS$4:AS49))</f>
        <v>-4.6853500109912494</v>
      </c>
      <c r="AU49" s="57">
        <f t="shared" si="102"/>
        <v>11.25</v>
      </c>
      <c r="AV49" s="57">
        <f>IF($AC49="",#N/A,SUM(AU$4:AU49))</f>
        <v>-28.111298505509467</v>
      </c>
      <c r="AW49" s="57" t="str">
        <f t="shared" si="103"/>
        <v/>
      </c>
      <c r="AX49" s="57">
        <f>IF($AC49="",#N/A,SUM(AW$4:AW49))</f>
        <v>59.839999999999918</v>
      </c>
      <c r="AY49" s="57" t="str">
        <f t="shared" si="104"/>
        <v/>
      </c>
      <c r="AZ49" s="57">
        <f>IF($AC49="",#N/A,SUM(AY$4:AY49))</f>
        <v>-286.37837290281595</v>
      </c>
      <c r="BA49" s="57">
        <f>IF(AD49="",#N/A,SUM($AD$4:AD49))</f>
        <v>-254.6496714083255</v>
      </c>
      <c r="BC49" s="51" t="str">
        <f t="shared" si="22"/>
        <v/>
      </c>
      <c r="BD49" s="51" t="str">
        <f t="shared" si="23"/>
        <v/>
      </c>
      <c r="BE49" s="51" t="str">
        <f t="shared" si="24"/>
        <v/>
      </c>
      <c r="BF49" s="51" t="str">
        <f t="shared" si="25"/>
        <v>Long</v>
      </c>
      <c r="BG49" s="51" t="str">
        <f t="shared" si="26"/>
        <v/>
      </c>
      <c r="BH49" s="51" t="str">
        <f t="shared" si="27"/>
        <v/>
      </c>
      <c r="BI49" s="51">
        <f t="shared" si="28"/>
        <v>1</v>
      </c>
      <c r="BK49" s="184"/>
      <c r="BL49" s="65">
        <f t="shared" si="107"/>
        <v>-0.30374039073839298</v>
      </c>
      <c r="BM49" s="65">
        <f>IFERROR(Q49/COUNTA($J$4:J49),#N/A)</f>
        <v>-9.5890911991418054E-2</v>
      </c>
      <c r="BO49" s="489">
        <f>IF(J49="",#N/A,IF(S49="SW",(COUNTIFS(K$4:$K49,"&gt;0",S$4:$S49,"SW")/COUNTIF(S$4:$S49,"SW")),#N/A))</f>
        <v>0.48148148148148145</v>
      </c>
      <c r="BP49" s="489" t="e">
        <f>IF($J49="",#N/A,IF($S49="DWN",(COUNTIFS($K$4:$K49,"&lt;0",$S$4:$S49,"DWN")/COUNTIF($S$4:$S49,"DWN")),#N/A))</f>
        <v>#N/A</v>
      </c>
      <c r="BQ49" s="489" t="e">
        <f>IF($J49="",#N/A,IF($S49="UP",(COUNTIFS($K$4:$K49,"&gt;0",$S$4:$S49,"UP")/COUNTIF($S$4:$S49,"UP")),#N/A))</f>
        <v>#N/A</v>
      </c>
      <c r="BR49" s="489">
        <f>IF(J49="",#N/A,COUNTIF($K$4:K49,"&gt;0")/COUNT($J$4:J49))</f>
        <v>0.47826086956521741</v>
      </c>
      <c r="BS49" s="65" t="str">
        <f t="shared" si="29"/>
        <v/>
      </c>
      <c r="BT49" s="65" t="str">
        <f t="shared" si="30"/>
        <v/>
      </c>
      <c r="BU49" s="65">
        <f t="shared" si="31"/>
        <v>-1.0181892231942513E-2</v>
      </c>
      <c r="BV49" s="65" t="str">
        <f t="shared" si="32"/>
        <v/>
      </c>
      <c r="BW49" s="151" t="str">
        <f t="shared" si="33"/>
        <v/>
      </c>
      <c r="BX49" s="151">
        <f>IF($J49="",#N/A,SUM($BW$4:BW49))</f>
        <v>4.5899999999999181</v>
      </c>
      <c r="BY49" s="152" t="str">
        <f t="shared" si="34"/>
        <v/>
      </c>
      <c r="BZ49" s="152">
        <f>IF($J49="",#N/A,SUM($BY$4:BY49))</f>
        <v>-72.373719531495567</v>
      </c>
      <c r="CA49" s="153">
        <f t="shared" si="35"/>
        <v>-0.83999999999991815</v>
      </c>
      <c r="CB49" s="154">
        <f>IF($J49="",#N/A,SUM($CA$4:CA49))</f>
        <v>-209.57090640187414</v>
      </c>
      <c r="CC49" s="191" t="str">
        <f t="shared" si="36"/>
        <v/>
      </c>
      <c r="CD49" s="191">
        <f>IF($J49="",#N/A,SUM($CC$4:CC49))</f>
        <v>6.6834991831277585E-2</v>
      </c>
      <c r="CE49" s="192" t="str">
        <f t="shared" si="37"/>
        <v/>
      </c>
      <c r="CF49" s="192">
        <f>IF($J49="",#N/A,SUM($CE$4:CE49))</f>
        <v>-1.2217069637903022</v>
      </c>
      <c r="CG49" s="193">
        <f t="shared" si="38"/>
        <v>-1.0181892231942513E-2</v>
      </c>
      <c r="CH49" s="193">
        <f>IF($J49="",#N/A,SUM($CG$4:CG49))</f>
        <v>-3.2561099796462054</v>
      </c>
      <c r="CI49" s="200" t="str">
        <f t="shared" si="39"/>
        <v/>
      </c>
      <c r="CJ49" s="200">
        <f>IF($J49="",#N/A,SUM(CI$4:CI49))</f>
        <v>0</v>
      </c>
      <c r="CK49" s="201" t="str">
        <f t="shared" si="40"/>
        <v/>
      </c>
      <c r="CL49" s="201">
        <f>IF($J49="",#N/A,SUM(CK$4:CK49))</f>
        <v>0</v>
      </c>
      <c r="CM49" s="202" t="str">
        <f t="shared" si="41"/>
        <v/>
      </c>
      <c r="CN49" s="202">
        <f>IF($J49="",#N/A,SUM(CM$4:CM49))</f>
        <v>0</v>
      </c>
      <c r="CO49" s="202">
        <f>IF($J49="",#N/A,SUM(CM$4:CM49,CK$4:CK49,CI$4:CI49))</f>
        <v>0</v>
      </c>
      <c r="CP49" s="200" t="str">
        <f t="shared" si="42"/>
        <v/>
      </c>
      <c r="CQ49" s="200">
        <f>IF($J49="",#N/A,SUM(CP$4:CP49))</f>
        <v>0</v>
      </c>
      <c r="CR49" s="201" t="str">
        <f t="shared" si="43"/>
        <v/>
      </c>
      <c r="CS49" s="201">
        <f>IF($J49="",#N/A,SUM(CR$4:CR49))</f>
        <v>0</v>
      </c>
      <c r="CT49" s="202" t="str">
        <f t="shared" si="44"/>
        <v/>
      </c>
      <c r="CU49" s="202">
        <f>IF($J49="",#N/A,SUM(CT$4:CT49))</f>
        <v>0</v>
      </c>
      <c r="CV49" s="202">
        <f>IF($J49="",#N/A,SUM(CT$4:CT49,CR$4:CR49,CP$4:CP49))</f>
        <v>0</v>
      </c>
      <c r="CW49" s="200" t="str">
        <f t="shared" si="45"/>
        <v/>
      </c>
      <c r="CX49" s="200">
        <f>IF($J49="",#N/A,SUM(CW$4:CW49))</f>
        <v>0</v>
      </c>
      <c r="CY49" s="201" t="str">
        <f t="shared" si="46"/>
        <v/>
      </c>
      <c r="CZ49" s="201">
        <f>IF($J49="",#N/A,SUM(CY$4:CY49))</f>
        <v>-0.63271328921481373</v>
      </c>
      <c r="DA49" s="202" t="str">
        <f t="shared" si="47"/>
        <v/>
      </c>
      <c r="DB49" s="202">
        <f>IF($J49="",#N/A,SUM(DA$4:DA49))</f>
        <v>0</v>
      </c>
      <c r="DC49" s="202">
        <f>IF($J49="",#N/A,SUM(DA$4:DA49,CY$4:CY49,CW$4:CW49))</f>
        <v>-0.63271328921481373</v>
      </c>
      <c r="DD49" s="200" t="str">
        <f t="shared" si="48"/>
        <v/>
      </c>
      <c r="DE49" s="200">
        <f>IF($J49="",#N/A,SUM(DD$4:DD49))</f>
        <v>0</v>
      </c>
      <c r="DF49" s="201" t="str">
        <f t="shared" si="49"/>
        <v/>
      </c>
      <c r="DG49" s="201">
        <f>IF($J49="",#N/A,SUM(DF$4:DF49))</f>
        <v>0.6788440567066546</v>
      </c>
      <c r="DH49" s="202" t="str">
        <f t="shared" si="50"/>
        <v/>
      </c>
      <c r="DI49" s="202">
        <f>IF($J49="",#N/A,SUM(DH$4:DH49))</f>
        <v>0</v>
      </c>
      <c r="DJ49" s="202">
        <f>IF($J49="",#N/A,SUM(DH$4:DH49,DF$4:DF49,DD$4:DD49))</f>
        <v>0.6788440567066546</v>
      </c>
      <c r="DK49" s="200" t="str">
        <f t="shared" si="51"/>
        <v/>
      </c>
      <c r="DL49" s="200">
        <f>IF($J49="",#N/A,SUM(DK$4:DK49))</f>
        <v>0</v>
      </c>
      <c r="DM49" s="201" t="str">
        <f t="shared" si="52"/>
        <v/>
      </c>
      <c r="DN49" s="201">
        <f>IF($J49="",#N/A,SUM(DM$4:DM49))</f>
        <v>0.36227168206863897</v>
      </c>
      <c r="DO49" s="202" t="str">
        <f t="shared" si="53"/>
        <v/>
      </c>
      <c r="DP49" s="202">
        <f>IF($J49="",#N/A,SUM(DO$4:DO49))</f>
        <v>-0.17018269154375754</v>
      </c>
      <c r="DQ49" s="202">
        <f>IF($J49="",#N/A,SUM(DO$4:DO49,DM$4:DM49,DK$4:DK49))</f>
        <v>0.19208899052488143</v>
      </c>
      <c r="DR49" s="200" t="str">
        <f t="shared" si="54"/>
        <v/>
      </c>
      <c r="DS49" s="200">
        <f>IF($J49="",#N/A,SUM(DR$4:DR49))</f>
        <v>0</v>
      </c>
      <c r="DT49" s="201" t="str">
        <f t="shared" si="55"/>
        <v/>
      </c>
      <c r="DU49" s="201">
        <f>IF($J49="",#N/A,SUM(DT$4:DT49))</f>
        <v>-2.8875364672150718</v>
      </c>
      <c r="DV49" s="202" t="str">
        <f t="shared" si="56"/>
        <v/>
      </c>
      <c r="DW49" s="202">
        <f>IF($J49="",#N/A,SUM(DV$4:DV49))</f>
        <v>-0.89834078198379175</v>
      </c>
      <c r="DX49" s="202">
        <f>IF($J49="",#N/A,SUM(DV$4:DV49,DT$4:DT49,DR$4:DR49))</f>
        <v>-3.7858772491988635</v>
      </c>
      <c r="DY49" s="200" t="str">
        <f t="shared" si="57"/>
        <v/>
      </c>
      <c r="DZ49" s="200">
        <f>IF($J49="",#N/A,SUM(DY$4:DY49))</f>
        <v>0</v>
      </c>
      <c r="EA49" s="201" t="str">
        <f t="shared" si="58"/>
        <v/>
      </c>
      <c r="EB49" s="201">
        <f>IF($J49="",#N/A,SUM(EA$4:EA49))</f>
        <v>0.43517953094202633</v>
      </c>
      <c r="EC49" s="202">
        <f t="shared" si="59"/>
        <v>-1.0181892231942513E-2</v>
      </c>
      <c r="ED49" s="202">
        <f>IF($J49="",#N/A,SUM(EC$4:EC49))</f>
        <v>0.45807125784395203</v>
      </c>
      <c r="EE49" s="202">
        <f>IF($J49="",#N/A,SUM(EC$4:EC49,EA$4:EA49,DY$4:DY49))</f>
        <v>0.89325078878597841</v>
      </c>
      <c r="EF49" s="200" t="str">
        <f t="shared" si="60"/>
        <v/>
      </c>
      <c r="EG49" s="200">
        <f>IF($J49="",#N/A,SUM(EF$4:EF49))</f>
        <v>0</v>
      </c>
      <c r="EH49" s="201" t="str">
        <f t="shared" si="61"/>
        <v/>
      </c>
      <c r="EI49" s="201">
        <f>IF($J49="",#N/A,SUM(EH$4:EH49))</f>
        <v>0</v>
      </c>
      <c r="EJ49" s="202" t="str">
        <f t="shared" si="62"/>
        <v/>
      </c>
      <c r="EK49" s="202">
        <f>IF($J49="",#N/A,SUM(EJ$4:EJ49))</f>
        <v>0.6035383334478206</v>
      </c>
      <c r="EL49" s="202">
        <f>IF($J49="",#N/A,SUM(EJ$4:EJ49,EH$4:EH49,EF$4:EF49))</f>
        <v>0.6035383334478206</v>
      </c>
      <c r="EM49" s="200" t="str">
        <f t="shared" si="63"/>
        <v/>
      </c>
      <c r="EN49" s="200">
        <f>IF($J49="",#N/A,SUM(EM$4:EM49))</f>
        <v>0</v>
      </c>
      <c r="EO49" s="201" t="str">
        <f t="shared" si="64"/>
        <v/>
      </c>
      <c r="EP49" s="201">
        <f>IF($J49="",#N/A,SUM(EO$4:EO49))</f>
        <v>0</v>
      </c>
      <c r="EQ49" s="202" t="str">
        <f t="shared" si="65"/>
        <v/>
      </c>
      <c r="ER49" s="202">
        <f>IF($J49="",#N/A,SUM(EQ$4:EQ49))</f>
        <v>0</v>
      </c>
      <c r="ES49" s="202">
        <f>IF($J49="",#N/A,SUM(EQ$4:EQ49,EO$4:EO49,EM$4:EM49))</f>
        <v>0</v>
      </c>
      <c r="ET49" s="200" t="str">
        <f t="shared" si="66"/>
        <v/>
      </c>
      <c r="EU49" s="200">
        <f>IF($J49="",#N/A,SUM(ET$4:ET49))</f>
        <v>0</v>
      </c>
      <c r="EV49" s="201" t="str">
        <f t="shared" si="67"/>
        <v/>
      </c>
      <c r="EW49" s="201">
        <f>IF($J49="",#N/A,SUM(EV$4:EV49))</f>
        <v>0</v>
      </c>
      <c r="EX49" s="202" t="str">
        <f t="shared" si="68"/>
        <v/>
      </c>
      <c r="EY49" s="202">
        <f>IF($J49="",#N/A,SUM(EX$4:EX49))</f>
        <v>0</v>
      </c>
      <c r="EZ49" s="202">
        <f>IF($J49="",#N/A,SUM(EX$4:EX49,EV$4:EV49,ET$4:ET49))</f>
        <v>0</v>
      </c>
      <c r="FA49" s="200" t="str">
        <f t="shared" si="69"/>
        <v/>
      </c>
      <c r="FB49" s="200">
        <f>IF($J49="",#N/A,SUM(FA$4:FA49))</f>
        <v>0</v>
      </c>
      <c r="FC49" s="201" t="str">
        <f t="shared" si="70"/>
        <v/>
      </c>
      <c r="FD49" s="201">
        <f>IF($J49="",#N/A,SUM(FC$4:FC49))</f>
        <v>1.3724148418491529</v>
      </c>
      <c r="FE49" s="202" t="str">
        <f t="shared" si="71"/>
        <v/>
      </c>
      <c r="FF49" s="202">
        <f>IF($J49="",#N/A,SUM(FE$4:FE49))</f>
        <v>-0.11131725417439868</v>
      </c>
      <c r="FG49" s="202">
        <f>IF($J49="",#N/A,SUM(FE$4:FE49,FC$4:FC49,FA$4:FA49))</f>
        <v>1.2610975876747541</v>
      </c>
      <c r="FH49" s="200" t="str">
        <f t="shared" si="72"/>
        <v/>
      </c>
      <c r="FI49" s="200">
        <f>IF($J49="",#N/A,SUM(FH$4:FH49))</f>
        <v>0</v>
      </c>
      <c r="FJ49" s="201" t="str">
        <f t="shared" si="73"/>
        <v/>
      </c>
      <c r="FK49" s="201">
        <f>IF($J49="",#N/A,SUM(FJ$4:FJ49))</f>
        <v>0</v>
      </c>
      <c r="FL49" s="202" t="str">
        <f t="shared" si="74"/>
        <v/>
      </c>
      <c r="FM49" s="202">
        <f>IF($J49="",#N/A,SUM(FL$4:FL49))</f>
        <v>0</v>
      </c>
      <c r="FN49" s="202">
        <f>IF($J49="",#N/A,SUM(FL$4:FL49,FJ$4:FJ49,FH$4:FH49))</f>
        <v>0</v>
      </c>
      <c r="FO49" s="200" t="str">
        <f t="shared" si="75"/>
        <v/>
      </c>
      <c r="FP49" s="200">
        <f>IF($J49="",#N/A,SUM(FO$4:FO49))</f>
        <v>0</v>
      </c>
      <c r="FQ49" s="201" t="str">
        <f t="shared" si="76"/>
        <v/>
      </c>
      <c r="FR49" s="201">
        <f>IF($J49="",#N/A,SUM(FQ$4:FQ49))</f>
        <v>0</v>
      </c>
      <c r="FS49" s="202" t="str">
        <f t="shared" si="77"/>
        <v/>
      </c>
      <c r="FT49" s="202">
        <f>IF($J49="",#N/A,SUM(FS$4:FS49))</f>
        <v>0</v>
      </c>
      <c r="FU49" s="202">
        <f>IF($J49="",#N/A,SUM(FS$4:FS49,FQ$4:FQ49,FO$4:FO49))</f>
        <v>0</v>
      </c>
      <c r="FV49" s="200" t="str">
        <f t="shared" si="78"/>
        <v/>
      </c>
      <c r="FW49" s="200">
        <f>IF($J49="",#N/A,SUM(FV$4:FV49))</f>
        <v>6.6834991831277585E-2</v>
      </c>
      <c r="FX49" s="201" t="str">
        <f t="shared" si="79"/>
        <v/>
      </c>
      <c r="FY49" s="201">
        <f>IF($J49="",#N/A,SUM(FX$4:FX49))</f>
        <v>0</v>
      </c>
      <c r="FZ49" s="202" t="str">
        <f t="shared" si="80"/>
        <v/>
      </c>
      <c r="GA49" s="202">
        <f>IF($J49="",#N/A,SUM(FZ$4:FZ49))</f>
        <v>-0.20104261551371039</v>
      </c>
      <c r="GB49" s="202">
        <f>IF($J49="",#N/A,SUM(FZ$4:FZ49,FX$4:FX49,FV$4:FV49))</f>
        <v>-0.1342076236824328</v>
      </c>
      <c r="GC49" s="200" t="str">
        <f t="shared" si="81"/>
        <v/>
      </c>
      <c r="GD49" s="200">
        <f>IF($J49="",#N/A,SUM(GC$4:GC49))</f>
        <v>0</v>
      </c>
      <c r="GE49" s="201" t="str">
        <f t="shared" si="82"/>
        <v/>
      </c>
      <c r="GF49" s="201">
        <f>IF($J49="",#N/A,SUM(GE$4:GE49))</f>
        <v>0</v>
      </c>
      <c r="GG49" s="202" t="str">
        <f t="shared" si="83"/>
        <v/>
      </c>
      <c r="GH49" s="202">
        <f>IF($J49="",#N/A,SUM(GG$4:GG49))</f>
        <v>-2.9368362277223206</v>
      </c>
      <c r="GI49" s="202">
        <f>IF($J49="",#N/A,SUM(GG$4:GG49,GE$4:GE49,GC$4:GC49))</f>
        <v>-2.9368362277223206</v>
      </c>
      <c r="GJ49" s="200" t="str">
        <f t="shared" si="84"/>
        <v/>
      </c>
      <c r="GK49" s="200">
        <f>IF($J49="",#N/A,SUM(GJ$4:GJ49))</f>
        <v>0</v>
      </c>
      <c r="GL49" s="201" t="str">
        <f t="shared" si="85"/>
        <v/>
      </c>
      <c r="GM49" s="201">
        <f>IF($J49="",#N/A,SUM(GL$4:GL49))</f>
        <v>-0.55016731892688953</v>
      </c>
      <c r="GN49" s="202" t="str">
        <f t="shared" si="86"/>
        <v/>
      </c>
      <c r="GO49" s="202">
        <f>IF($J49="",#N/A,SUM(GN$4:GN49))</f>
        <v>0</v>
      </c>
      <c r="GP49" s="202">
        <f>IF($J49="",#N/A,SUM(GN$4:GN49,GL$4:GL49,GJ$4:GJ49))</f>
        <v>-0.55016731892688953</v>
      </c>
      <c r="GS49" s="54">
        <f t="shared" si="105"/>
        <v>-1.0181892231942513E-2</v>
      </c>
      <c r="GT49" s="54">
        <f>IF(GS49="",NA(),SUM($GS$4:GS49))</f>
        <v>-4.6129707645325153</v>
      </c>
      <c r="GU49" s="54" t="str">
        <f t="shared" si="87"/>
        <v/>
      </c>
      <c r="GV49" s="54" t="e">
        <f>IF(GU49="",NA(),SUM($GU$4:GU49))</f>
        <v>#N/A</v>
      </c>
      <c r="GW49" s="54">
        <f t="shared" si="88"/>
        <v>-1.0181892231942513E-2</v>
      </c>
      <c r="GX49" s="54">
        <f>IF(GW49="",NA(),SUM($GW$4:GW49))</f>
        <v>-3.458098792573491</v>
      </c>
      <c r="GY49" s="54" t="str">
        <f t="shared" si="89"/>
        <v/>
      </c>
      <c r="GZ49" s="54" t="e">
        <f>IF(GY49="",NA(),SUM($GY$4:GY49))</f>
        <v>#N/A</v>
      </c>
      <c r="HA49" s="54" t="str">
        <f t="shared" si="90"/>
        <v/>
      </c>
      <c r="HB49" s="54" t="e">
        <f>IF(HA49="",NA(),SUM($HA$4:HA49))</f>
        <v>#N/A</v>
      </c>
      <c r="HC49" s="54" t="str">
        <f t="shared" si="91"/>
        <v/>
      </c>
      <c r="HD49" s="54" t="e">
        <f>IF(HC49="",NA(),SUM($HC$4:HC49))</f>
        <v>#N/A</v>
      </c>
      <c r="HE49" s="54" t="str">
        <f t="shared" si="92"/>
        <v/>
      </c>
      <c r="HF49" s="54" t="e">
        <f>IF(HE49="",NA(),SUM($HE$4:HE49))</f>
        <v>#N/A</v>
      </c>
      <c r="HG49" s="54" t="str">
        <f t="shared" si="93"/>
        <v/>
      </c>
      <c r="HH49" s="54" t="e">
        <f>IF(HG49="",NA(),SUM($HG$4:HG49))</f>
        <v>#N/A</v>
      </c>
      <c r="HI49" s="172" t="str">
        <f t="shared" si="106"/>
        <v/>
      </c>
      <c r="HJ49" s="172">
        <f>IF($J49="",#N/A,SUM(HI$4:$HI49))</f>
        <v>-1.2880161085276005</v>
      </c>
      <c r="HK49" s="54" t="str">
        <f t="shared" si="94"/>
        <v/>
      </c>
      <c r="HL49" s="54">
        <f>IF($J49="",#N/A,SUM($HK$4:HK49))</f>
        <v>-2.1756269386733456</v>
      </c>
      <c r="HM49" s="54" t="str">
        <f t="shared" si="95"/>
        <v/>
      </c>
      <c r="HN49" s="54">
        <f>IF($J49="",#N/A,SUM($HM$4:HM49))</f>
        <v>0.80449527204317051</v>
      </c>
      <c r="HO49" s="54" t="str">
        <f t="shared" si="96"/>
        <v/>
      </c>
      <c r="HP49" s="54">
        <f>IF($J49="",#N/A,SUM($HO$4:HO49))</f>
        <v>0</v>
      </c>
      <c r="HQ49" s="54" t="str">
        <f t="shared" si="97"/>
        <v/>
      </c>
      <c r="HR49" s="54">
        <f>IF($J49="",#N/A,SUM($HQ$4:HQ49))</f>
        <v>-2.153533787035141</v>
      </c>
      <c r="HS49" s="54">
        <f t="shared" si="98"/>
        <v>0.14654652033832877</v>
      </c>
      <c r="HT49" s="54">
        <f>IF($J49="",#N/A,SUM($HS$4:HS49))</f>
        <v>5.0417288140247978</v>
      </c>
      <c r="HU49" s="65">
        <f t="shared" si="99"/>
        <v>0.13636462810638625</v>
      </c>
      <c r="HV49" s="65">
        <f>IF($J49="",#N/A,SUM(HU$4:$HU49))</f>
        <v>-4.1819346997733522</v>
      </c>
    </row>
    <row r="50" spans="1:230" x14ac:dyDescent="0.25">
      <c r="A50" s="51" t="s">
        <v>1304</v>
      </c>
      <c r="B50" s="52" t="s">
        <v>4501</v>
      </c>
      <c r="C50" s="229">
        <f t="shared" si="0"/>
        <v>2</v>
      </c>
      <c r="D50" s="219" t="str">
        <f>_xlfn.XLOOKUP(A50,[1]SP500!$A$2:$A$502,[1]SP500!$D$2:$D$502,"N")</f>
        <v>Y</v>
      </c>
      <c r="E50" s="51" t="str">
        <f>IFERROR(_xlfn.XLOOKUP(A50,[1]SP500!$A$2:$A$655,[1]SP500!$B$2:$B$655),"")</f>
        <v>XLV</v>
      </c>
      <c r="F50" s="53">
        <v>45769</v>
      </c>
      <c r="G50" s="51" t="str">
        <f t="shared" si="1"/>
        <v>BMO</v>
      </c>
      <c r="H50" s="51" t="str">
        <f t="shared" si="2"/>
        <v>s</v>
      </c>
      <c r="I50" s="344">
        <v>184.96</v>
      </c>
      <c r="J50" s="124">
        <v>198.23500000000001</v>
      </c>
      <c r="K50" s="55">
        <f t="shared" si="3"/>
        <v>7.1772275086505216E-2</v>
      </c>
      <c r="L50" s="67">
        <f t="shared" si="4"/>
        <v>-92.924999999999955</v>
      </c>
      <c r="M50" s="57">
        <f t="shared" si="5"/>
        <v>-3.9550000000001546</v>
      </c>
      <c r="N50" s="102">
        <f t="shared" si="6"/>
        <v>-92.924999999999955</v>
      </c>
      <c r="O50" s="57">
        <f>IF(N50="",#N/A,SUM($N$4:N50))</f>
        <v>-370.27962593336974</v>
      </c>
      <c r="P50" s="65">
        <f t="shared" si="100"/>
        <v>-1.196204584775086</v>
      </c>
      <c r="Q50" s="172">
        <f>IF($N50="",#N/A,SUM($P$4:P50))</f>
        <v>-5.6071865363803166</v>
      </c>
      <c r="R50" s="279">
        <f t="shared" si="7"/>
        <v>2.4615101167181965</v>
      </c>
      <c r="S50" s="51" t="str">
        <f t="shared" si="8"/>
        <v>Dwn</v>
      </c>
      <c r="T50" s="51" t="s">
        <v>4461</v>
      </c>
      <c r="U50" s="56">
        <f t="shared" si="9"/>
        <v>184.96</v>
      </c>
      <c r="V50" s="56" t="s">
        <v>4458</v>
      </c>
      <c r="W50" s="142">
        <v>7</v>
      </c>
      <c r="X50" s="145">
        <f t="shared" si="10"/>
        <v>1294.72</v>
      </c>
      <c r="Y50" s="140">
        <f t="shared" si="11"/>
        <v>7</v>
      </c>
      <c r="Z50" s="123">
        <v>198.8</v>
      </c>
      <c r="AA50" s="102">
        <f t="shared" si="12"/>
        <v>-96.880000000000109</v>
      </c>
      <c r="AB50" s="102">
        <f t="shared" si="13"/>
        <v>-49.769999999999982</v>
      </c>
      <c r="AC50" s="124">
        <v>192.07</v>
      </c>
      <c r="AD50" s="155">
        <f t="shared" si="14"/>
        <v>-49.769999999999982</v>
      </c>
      <c r="AE50" s="545">
        <f t="shared" si="15"/>
        <v>-0.6406790657439444</v>
      </c>
      <c r="AF50" s="57">
        <f>IF($AC50="",#N/A,SUM(AD$4:AD50))</f>
        <v>-304.41967140832548</v>
      </c>
      <c r="AG50" s="102">
        <f t="shared" si="16"/>
        <v>43.154999999999973</v>
      </c>
      <c r="AH50" s="56" t="s">
        <v>2507</v>
      </c>
      <c r="AI50" s="65">
        <f t="shared" si="17"/>
        <v>-1.2471164936562875</v>
      </c>
      <c r="AJ50" s="54">
        <f>IF(AI50="",#N/A,SUM($AI$4:AI50))</f>
        <v>-8.0686966530985131</v>
      </c>
      <c r="AK50" s="57">
        <f t="shared" si="18"/>
        <v>-96.880000000000109</v>
      </c>
      <c r="AL50" s="349">
        <f>IF(AI50="",#N/A,IF(AH50="Skip",SUM($AK$4:AK50),SUM($AK$4:AK50)))</f>
        <v>-550.10999999999899</v>
      </c>
      <c r="AM50" s="65">
        <f t="shared" si="101"/>
        <v>-0.6406790657439444</v>
      </c>
      <c r="AN50" s="209"/>
      <c r="AO50" s="65" t="str">
        <f t="shared" si="19"/>
        <v/>
      </c>
      <c r="AP50" s="65">
        <f>IF($AC50="",#N/A,SUM(AO$4:AO50))</f>
        <v>-0.36791495265654994</v>
      </c>
      <c r="AQ50" s="65" t="str">
        <f t="shared" si="20"/>
        <v/>
      </c>
      <c r="AR50" s="65">
        <f>IF($AC50="",#N/A,SUM(AQ$4:AQ50))</f>
        <v>0.87133026387444812</v>
      </c>
      <c r="AS50" s="65">
        <f t="shared" si="21"/>
        <v>-0.6406790657439444</v>
      </c>
      <c r="AT50" s="65">
        <f>IF($AC50="",#N/A,SUM(AS$4:AS50))</f>
        <v>-5.3260290767351934</v>
      </c>
      <c r="AU50" s="57" t="str">
        <f t="shared" si="102"/>
        <v/>
      </c>
      <c r="AV50" s="57">
        <f>IF($AC50="",#N/A,SUM(AU$4:AU50))</f>
        <v>-28.111298505509467</v>
      </c>
      <c r="AW50" s="57" t="str">
        <f t="shared" si="103"/>
        <v/>
      </c>
      <c r="AX50" s="57">
        <f>IF($AC50="",#N/A,SUM(AW$4:AW50))</f>
        <v>59.839999999999918</v>
      </c>
      <c r="AY50" s="57">
        <f t="shared" si="104"/>
        <v>-49.769999999999982</v>
      </c>
      <c r="AZ50" s="57">
        <f>IF($AC50="",#N/A,SUM(AY$4:AY50))</f>
        <v>-336.14837290281594</v>
      </c>
      <c r="BA50" s="57">
        <f>IF(AD50="",#N/A,SUM($AD$4:AD50))</f>
        <v>-304.41967140832548</v>
      </c>
      <c r="BC50" s="51" t="str">
        <f t="shared" si="22"/>
        <v/>
      </c>
      <c r="BD50" s="51">
        <f t="shared" si="23"/>
        <v>1</v>
      </c>
      <c r="BE50" s="51" t="str">
        <f t="shared" si="24"/>
        <v/>
      </c>
      <c r="BF50" s="51" t="str">
        <f t="shared" si="25"/>
        <v>Short</v>
      </c>
      <c r="BG50" s="51" t="str">
        <f t="shared" si="26"/>
        <v/>
      </c>
      <c r="BH50" s="51" t="str">
        <f t="shared" si="27"/>
        <v/>
      </c>
      <c r="BI50" s="51" t="str">
        <f t="shared" si="28"/>
        <v/>
      </c>
      <c r="BK50" s="184"/>
      <c r="BL50" s="65">
        <f t="shared" si="107"/>
        <v>-0.35305109698131615</v>
      </c>
      <c r="BM50" s="65">
        <f>IFERROR(Q50/COUNTA($J$4:J50),#N/A)</f>
        <v>-0.1193018411995812</v>
      </c>
      <c r="BO50" s="489" t="e">
        <f>IF(J50="",#N/A,IF(S50="SW",(COUNTIFS(K$4:$K50,"&gt;0",S$4:$S50,"SW")/COUNTIF(S$4:$S50,"SW")),#N/A))</f>
        <v>#N/A</v>
      </c>
      <c r="BP50" s="489">
        <f>IF($J50="",#N/A,IF($S50="DWN",(COUNTIFS($K$4:$K50,"&lt;0",$S$4:$S50,"DWN")/COUNTIF($S$4:$S50,"DWN")),#N/A))</f>
        <v>0.52631578947368418</v>
      </c>
      <c r="BQ50" s="489" t="e">
        <f>IF($J50="",#N/A,IF($S50="UP",(COUNTIFS($K$4:$K50,"&gt;0",$S$4:$S50,"UP")/COUNTIF($S$4:$S50,"UP")),#N/A))</f>
        <v>#N/A</v>
      </c>
      <c r="BR50" s="489">
        <f>IF(J50="",#N/A,COUNTIF($K$4:K50,"&gt;0")/COUNT($J$4:J50))</f>
        <v>0.48936170212765956</v>
      </c>
      <c r="BS50" s="65" t="str">
        <f t="shared" si="29"/>
        <v/>
      </c>
      <c r="BT50" s="65" t="str">
        <f t="shared" si="30"/>
        <v/>
      </c>
      <c r="BU50" s="65" t="str">
        <f t="shared" si="31"/>
        <v/>
      </c>
      <c r="BV50" s="65">
        <f t="shared" si="32"/>
        <v>-1.196204584775086</v>
      </c>
      <c r="BW50" s="128" t="str">
        <f t="shared" si="33"/>
        <v/>
      </c>
      <c r="BX50" s="128">
        <f>IF($J50="",#N/A,SUM($BW$4:BW50))</f>
        <v>4.5899999999999181</v>
      </c>
      <c r="BY50" s="131">
        <f t="shared" si="34"/>
        <v>-92.924999999999955</v>
      </c>
      <c r="BZ50" s="131">
        <f>IF($J50="",#N/A,SUM($BY$4:BY50))</f>
        <v>-165.29871953149552</v>
      </c>
      <c r="CA50" s="133" t="str">
        <f t="shared" si="35"/>
        <v/>
      </c>
      <c r="CB50" s="133">
        <f>IF($J50="",#N/A,SUM($CA$4:CA50))</f>
        <v>-209.57090640187414</v>
      </c>
      <c r="CC50" s="194" t="str">
        <f t="shared" si="36"/>
        <v/>
      </c>
      <c r="CD50" s="194">
        <f>IF($J50="",#N/A,SUM($CC$4:CC50))</f>
        <v>6.6834991831277585E-2</v>
      </c>
      <c r="CE50" s="195">
        <f t="shared" si="37"/>
        <v>-1.196204584775086</v>
      </c>
      <c r="CF50" s="195">
        <f>IF($J50="",#N/A,SUM($CE$4:CE50))</f>
        <v>-2.4179115485653879</v>
      </c>
      <c r="CG50" s="196" t="str">
        <f t="shared" si="38"/>
        <v/>
      </c>
      <c r="CH50" s="193">
        <f>IF($J50="",#N/A,SUM($CG$4:CG50))</f>
        <v>-3.2561099796462054</v>
      </c>
      <c r="CI50" s="200" t="str">
        <f t="shared" si="39"/>
        <v/>
      </c>
      <c r="CJ50" s="203">
        <f>IF($J50="",#N/A,SUM(CI$4:CI50))</f>
        <v>0</v>
      </c>
      <c r="CK50" s="204" t="str">
        <f t="shared" si="40"/>
        <v/>
      </c>
      <c r="CL50" s="204">
        <f>IF($J50="",#N/A,SUM(CK$4:CK50))</f>
        <v>0</v>
      </c>
      <c r="CM50" s="205" t="str">
        <f t="shared" si="41"/>
        <v/>
      </c>
      <c r="CN50" s="205">
        <f>IF($J50="",#N/A,SUM(CM$4:CM50))</f>
        <v>0</v>
      </c>
      <c r="CO50" s="205">
        <f>IF($J50="",#N/A,SUM(CM$4:CM50,CK$4:CK50,CI$4:CI50))</f>
        <v>0</v>
      </c>
      <c r="CP50" s="200" t="str">
        <f t="shared" si="42"/>
        <v/>
      </c>
      <c r="CQ50" s="203">
        <f>IF($J50="",#N/A,SUM(CP$4:CP50))</f>
        <v>0</v>
      </c>
      <c r="CR50" s="204" t="str">
        <f t="shared" si="43"/>
        <v/>
      </c>
      <c r="CS50" s="204">
        <f>IF($J50="",#N/A,SUM(CR$4:CR50))</f>
        <v>0</v>
      </c>
      <c r="CT50" s="205" t="str">
        <f t="shared" si="44"/>
        <v/>
      </c>
      <c r="CU50" s="205">
        <f>IF($J50="",#N/A,SUM(CT$4:CT50))</f>
        <v>0</v>
      </c>
      <c r="CV50" s="205">
        <f>IF($J50="",#N/A,SUM(CT$4:CT50,CR$4:CR50,CP$4:CP50))</f>
        <v>0</v>
      </c>
      <c r="CW50" s="200" t="str">
        <f t="shared" si="45"/>
        <v/>
      </c>
      <c r="CX50" s="203">
        <f>IF($J50="",#N/A,SUM(CW$4:CW50))</f>
        <v>0</v>
      </c>
      <c r="CY50" s="204" t="str">
        <f t="shared" si="46"/>
        <v/>
      </c>
      <c r="CZ50" s="204">
        <f>IF($J50="",#N/A,SUM(CY$4:CY50))</f>
        <v>-0.63271328921481373</v>
      </c>
      <c r="DA50" s="205" t="str">
        <f t="shared" si="47"/>
        <v/>
      </c>
      <c r="DB50" s="205">
        <f>IF($J50="",#N/A,SUM(DA$4:DA50))</f>
        <v>0</v>
      </c>
      <c r="DC50" s="205">
        <f>IF($J50="",#N/A,SUM(DA$4:DA50,CY$4:CY50,CW$4:CW50))</f>
        <v>-0.63271328921481373</v>
      </c>
      <c r="DD50" s="200" t="str">
        <f t="shared" si="48"/>
        <v/>
      </c>
      <c r="DE50" s="203">
        <f>IF($J50="",#N/A,SUM(DD$4:DD50))</f>
        <v>0</v>
      </c>
      <c r="DF50" s="204" t="str">
        <f t="shared" si="49"/>
        <v/>
      </c>
      <c r="DG50" s="204">
        <f>IF($J50="",#N/A,SUM(DF$4:DF50))</f>
        <v>0.6788440567066546</v>
      </c>
      <c r="DH50" s="205" t="str">
        <f t="shared" si="50"/>
        <v/>
      </c>
      <c r="DI50" s="205">
        <f>IF($J50="",#N/A,SUM(DH$4:DH50))</f>
        <v>0</v>
      </c>
      <c r="DJ50" s="205">
        <f>IF($J50="",#N/A,SUM(DH$4:DH50,DF$4:DF50,DD$4:DD50))</f>
        <v>0.6788440567066546</v>
      </c>
      <c r="DK50" s="200" t="str">
        <f t="shared" si="51"/>
        <v/>
      </c>
      <c r="DL50" s="203">
        <f>IF($J50="",#N/A,SUM(DK$4:DK50))</f>
        <v>0</v>
      </c>
      <c r="DM50" s="204" t="str">
        <f t="shared" si="52"/>
        <v/>
      </c>
      <c r="DN50" s="204">
        <f>IF($J50="",#N/A,SUM(DM$4:DM50))</f>
        <v>0.36227168206863897</v>
      </c>
      <c r="DO50" s="205" t="str">
        <f t="shared" si="53"/>
        <v/>
      </c>
      <c r="DP50" s="205">
        <f>IF($J50="",#N/A,SUM(DO$4:DO50))</f>
        <v>-0.17018269154375754</v>
      </c>
      <c r="DQ50" s="205">
        <f>IF($J50="",#N/A,SUM(DO$4:DO50,DM$4:DM50,DK$4:DK50))</f>
        <v>0.19208899052488143</v>
      </c>
      <c r="DR50" s="200" t="str">
        <f t="shared" si="54"/>
        <v/>
      </c>
      <c r="DS50" s="203">
        <f>IF($J50="",#N/A,SUM(DR$4:DR50))</f>
        <v>0</v>
      </c>
      <c r="DT50" s="204" t="str">
        <f t="shared" si="55"/>
        <v/>
      </c>
      <c r="DU50" s="204">
        <f>IF($J50="",#N/A,SUM(DT$4:DT50))</f>
        <v>-2.8875364672150718</v>
      </c>
      <c r="DV50" s="205" t="str">
        <f t="shared" si="56"/>
        <v/>
      </c>
      <c r="DW50" s="205">
        <f>IF($J50="",#N/A,SUM(DV$4:DV50))</f>
        <v>-0.89834078198379175</v>
      </c>
      <c r="DX50" s="205">
        <f>IF($J50="",#N/A,SUM(DV$4:DV50,DT$4:DT50,DR$4:DR50))</f>
        <v>-3.7858772491988635</v>
      </c>
      <c r="DY50" s="200" t="str">
        <f t="shared" si="57"/>
        <v/>
      </c>
      <c r="DZ50" s="203">
        <f>IF($J50="",#N/A,SUM(DY$4:DY50))</f>
        <v>0</v>
      </c>
      <c r="EA50" s="204" t="str">
        <f t="shared" si="58"/>
        <v/>
      </c>
      <c r="EB50" s="204">
        <f>IF($J50="",#N/A,SUM(EA$4:EA50))</f>
        <v>0.43517953094202633</v>
      </c>
      <c r="EC50" s="205" t="str">
        <f t="shared" si="59"/>
        <v/>
      </c>
      <c r="ED50" s="205">
        <f>IF($J50="",#N/A,SUM(EC$4:EC50))</f>
        <v>0.45807125784395203</v>
      </c>
      <c r="EE50" s="205">
        <f>IF($J50="",#N/A,SUM(EC$4:EC50,EA$4:EA50,DY$4:DY50))</f>
        <v>0.89325078878597841</v>
      </c>
      <c r="EF50" s="200" t="str">
        <f t="shared" si="60"/>
        <v/>
      </c>
      <c r="EG50" s="203">
        <f>IF($J50="",#N/A,SUM(EF$4:EF50))</f>
        <v>0</v>
      </c>
      <c r="EH50" s="204">
        <f t="shared" si="61"/>
        <v>-1.196204584775086</v>
      </c>
      <c r="EI50" s="204">
        <f>IF($J50="",#N/A,SUM(EH$4:EH50))</f>
        <v>-1.196204584775086</v>
      </c>
      <c r="EJ50" s="205" t="str">
        <f t="shared" si="62"/>
        <v/>
      </c>
      <c r="EK50" s="205">
        <f>IF($J50="",#N/A,SUM(EJ$4:EJ50))</f>
        <v>0.6035383334478206</v>
      </c>
      <c r="EL50" s="205">
        <f>IF($J50="",#N/A,SUM(EJ$4:EJ50,EH$4:EH50,EF$4:EF50))</f>
        <v>-0.59266625132726536</v>
      </c>
      <c r="EM50" s="200" t="str">
        <f t="shared" si="63"/>
        <v/>
      </c>
      <c r="EN50" s="203">
        <f>IF($J50="",#N/A,SUM(EM$4:EM50))</f>
        <v>0</v>
      </c>
      <c r="EO50" s="204" t="str">
        <f t="shared" si="64"/>
        <v/>
      </c>
      <c r="EP50" s="204">
        <f>IF($J50="",#N/A,SUM(EO$4:EO50))</f>
        <v>0</v>
      </c>
      <c r="EQ50" s="205" t="str">
        <f t="shared" si="65"/>
        <v/>
      </c>
      <c r="ER50" s="205">
        <f>IF($J50="",#N/A,SUM(EQ$4:EQ50))</f>
        <v>0</v>
      </c>
      <c r="ES50" s="205">
        <f>IF($J50="",#N/A,SUM(EQ$4:EQ50,EO$4:EO50,EM$4:EM50))</f>
        <v>0</v>
      </c>
      <c r="ET50" s="200" t="str">
        <f t="shared" si="66"/>
        <v/>
      </c>
      <c r="EU50" s="203">
        <f>IF($J50="",#N/A,SUM(ET$4:ET50))</f>
        <v>0</v>
      </c>
      <c r="EV50" s="204" t="str">
        <f t="shared" si="67"/>
        <v/>
      </c>
      <c r="EW50" s="204">
        <f>IF($J50="",#N/A,SUM(EV$4:EV50))</f>
        <v>0</v>
      </c>
      <c r="EX50" s="205" t="str">
        <f t="shared" si="68"/>
        <v/>
      </c>
      <c r="EY50" s="205">
        <f>IF($J50="",#N/A,SUM(EX$4:EX50))</f>
        <v>0</v>
      </c>
      <c r="EZ50" s="205">
        <f>IF($J50="",#N/A,SUM(EX$4:EX50,EV$4:EV50,ET$4:ET50))</f>
        <v>0</v>
      </c>
      <c r="FA50" s="200" t="str">
        <f t="shared" si="69"/>
        <v/>
      </c>
      <c r="FB50" s="203">
        <f>IF($J50="",#N/A,SUM(FA$4:FA50))</f>
        <v>0</v>
      </c>
      <c r="FC50" s="204" t="str">
        <f t="shared" si="70"/>
        <v/>
      </c>
      <c r="FD50" s="204">
        <f>IF($J50="",#N/A,SUM(FC$4:FC50))</f>
        <v>1.3724148418491529</v>
      </c>
      <c r="FE50" s="205" t="str">
        <f t="shared" si="71"/>
        <v/>
      </c>
      <c r="FF50" s="205">
        <f>IF($J50="",#N/A,SUM(FE$4:FE50))</f>
        <v>-0.11131725417439868</v>
      </c>
      <c r="FG50" s="205">
        <f>IF($J50="",#N/A,SUM(FE$4:FE50,FC$4:FC50,FA$4:FA50))</f>
        <v>1.2610975876747541</v>
      </c>
      <c r="FH50" s="200" t="str">
        <f t="shared" si="72"/>
        <v/>
      </c>
      <c r="FI50" s="203">
        <f>IF($J50="",#N/A,SUM(FH$4:FH50))</f>
        <v>0</v>
      </c>
      <c r="FJ50" s="204" t="str">
        <f t="shared" si="73"/>
        <v/>
      </c>
      <c r="FK50" s="204">
        <f>IF($J50="",#N/A,SUM(FJ$4:FJ50))</f>
        <v>0</v>
      </c>
      <c r="FL50" s="205" t="str">
        <f t="shared" si="74"/>
        <v/>
      </c>
      <c r="FM50" s="205">
        <f>IF($J50="",#N/A,SUM(FL$4:FL50))</f>
        <v>0</v>
      </c>
      <c r="FN50" s="205">
        <f>IF($J50="",#N/A,SUM(FL$4:FL50,FJ$4:FJ50,FH$4:FH50))</f>
        <v>0</v>
      </c>
      <c r="FO50" s="200" t="str">
        <f t="shared" si="75"/>
        <v/>
      </c>
      <c r="FP50" s="203">
        <f>IF($J50="",#N/A,SUM(FO$4:FO50))</f>
        <v>0</v>
      </c>
      <c r="FQ50" s="204" t="str">
        <f t="shared" si="76"/>
        <v/>
      </c>
      <c r="FR50" s="204">
        <f>IF($J50="",#N/A,SUM(FQ$4:FQ50))</f>
        <v>0</v>
      </c>
      <c r="FS50" s="205" t="str">
        <f t="shared" si="77"/>
        <v/>
      </c>
      <c r="FT50" s="205">
        <f>IF($J50="",#N/A,SUM(FS$4:FS50))</f>
        <v>0</v>
      </c>
      <c r="FU50" s="205">
        <f>IF($J50="",#N/A,SUM(FS$4:FS50,FQ$4:FQ50,FO$4:FO50))</f>
        <v>0</v>
      </c>
      <c r="FV50" s="200" t="str">
        <f t="shared" si="78"/>
        <v/>
      </c>
      <c r="FW50" s="203">
        <f>IF($J50="",#N/A,SUM(FV$4:FV50))</f>
        <v>6.6834991831277585E-2</v>
      </c>
      <c r="FX50" s="204" t="str">
        <f t="shared" si="79"/>
        <v/>
      </c>
      <c r="FY50" s="204">
        <f>IF($J50="",#N/A,SUM(FX$4:FX50))</f>
        <v>0</v>
      </c>
      <c r="FZ50" s="205" t="str">
        <f t="shared" si="80"/>
        <v/>
      </c>
      <c r="GA50" s="205">
        <f>IF($J50="",#N/A,SUM(FZ$4:FZ50))</f>
        <v>-0.20104261551371039</v>
      </c>
      <c r="GB50" s="205">
        <f>IF($J50="",#N/A,SUM(FZ$4:FZ50,FX$4:FX50,FV$4:FV50))</f>
        <v>-0.1342076236824328</v>
      </c>
      <c r="GC50" s="200" t="str">
        <f t="shared" si="81"/>
        <v/>
      </c>
      <c r="GD50" s="203">
        <f>IF($J50="",#N/A,SUM(GC$4:GC50))</f>
        <v>0</v>
      </c>
      <c r="GE50" s="204" t="str">
        <f t="shared" si="82"/>
        <v/>
      </c>
      <c r="GF50" s="204">
        <f>IF($J50="",#N/A,SUM(GE$4:GE50))</f>
        <v>0</v>
      </c>
      <c r="GG50" s="205" t="str">
        <f t="shared" si="83"/>
        <v/>
      </c>
      <c r="GH50" s="205">
        <f>IF($J50="",#N/A,SUM(GG$4:GG50))</f>
        <v>-2.9368362277223206</v>
      </c>
      <c r="GI50" s="205">
        <f>IF($J50="",#N/A,SUM(GG$4:GG50,GE$4:GE50,GC$4:GC50))</f>
        <v>-2.9368362277223206</v>
      </c>
      <c r="GJ50" s="200" t="str">
        <f t="shared" si="84"/>
        <v/>
      </c>
      <c r="GK50" s="203">
        <f>IF($J50="",#N/A,SUM(GJ$4:GJ50))</f>
        <v>0</v>
      </c>
      <c r="GL50" s="204" t="str">
        <f t="shared" si="85"/>
        <v/>
      </c>
      <c r="GM50" s="204">
        <f>IF($J50="",#N/A,SUM(GL$4:GL50))</f>
        <v>-0.55016731892688953</v>
      </c>
      <c r="GN50" s="205" t="str">
        <f t="shared" si="86"/>
        <v/>
      </c>
      <c r="GO50" s="205">
        <f>IF($J50="",#N/A,SUM(GN$4:GN50))</f>
        <v>0</v>
      </c>
      <c r="GP50" s="205">
        <f>IF($J50="",#N/A,SUM(GN$4:GN50,GL$4:GL50,GJ$4:GJ50))</f>
        <v>-0.55016731892688953</v>
      </c>
      <c r="GS50" s="54">
        <f t="shared" si="105"/>
        <v>-1.196204584775086</v>
      </c>
      <c r="GT50" s="54">
        <f>IF(GS50="",NA(),SUM($GS$4:GS50))</f>
        <v>-5.8091753493076013</v>
      </c>
      <c r="GU50" s="54" t="str">
        <f t="shared" si="87"/>
        <v/>
      </c>
      <c r="GV50" s="54" t="e">
        <f>IF(GU50="",NA(),SUM($GU$4:GU50))</f>
        <v>#N/A</v>
      </c>
      <c r="GW50" s="54" t="str">
        <f t="shared" si="88"/>
        <v/>
      </c>
      <c r="GX50" s="54" t="e">
        <f>IF(GW50="",NA(),SUM($GW$4:GW50))</f>
        <v>#N/A</v>
      </c>
      <c r="GY50" s="54">
        <f t="shared" si="89"/>
        <v>-1.196204584775086</v>
      </c>
      <c r="GZ50" s="54">
        <f>IF(GY50="",NA(),SUM($GY$4:GY50))</f>
        <v>-2.4179115485653879</v>
      </c>
      <c r="HA50" s="54" t="str">
        <f t="shared" si="90"/>
        <v/>
      </c>
      <c r="HB50" s="54" t="e">
        <f>IF(HA50="",NA(),SUM($HA$4:HA50))</f>
        <v>#N/A</v>
      </c>
      <c r="HC50" s="54" t="str">
        <f t="shared" si="91"/>
        <v/>
      </c>
      <c r="HD50" s="54" t="e">
        <f>IF(HC50="",NA(),SUM($HC$4:HC50))</f>
        <v>#N/A</v>
      </c>
      <c r="HE50" s="54" t="str">
        <f t="shared" si="92"/>
        <v/>
      </c>
      <c r="HF50" s="54" t="e">
        <f>IF(HE50="",NA(),SUM($HE$4:HE50))</f>
        <v>#N/A</v>
      </c>
      <c r="HG50" s="54" t="str">
        <f t="shared" si="93"/>
        <v/>
      </c>
      <c r="HH50" s="54" t="e">
        <f>IF(HG50="",NA(),SUM($HG$4:HG50))</f>
        <v>#N/A</v>
      </c>
      <c r="HI50" s="172" t="str">
        <f t="shared" si="106"/>
        <v/>
      </c>
      <c r="HJ50" s="172">
        <f>IF($J50="",#N/A,SUM(HI$4:$HI50))</f>
        <v>-1.2880161085276005</v>
      </c>
      <c r="HK50" s="54">
        <f t="shared" si="94"/>
        <v>0.55552551903114156</v>
      </c>
      <c r="HL50" s="54">
        <f>IF($J50="",#N/A,SUM($HK$4:HK50))</f>
        <v>-1.6201014196422041</v>
      </c>
      <c r="HM50" s="54" t="str">
        <f t="shared" si="95"/>
        <v/>
      </c>
      <c r="HN50" s="54">
        <f>IF($J50="",#N/A,SUM($HM$4:HM50))</f>
        <v>0.80449527204317051</v>
      </c>
      <c r="HO50" s="54" t="str">
        <f t="shared" si="96"/>
        <v/>
      </c>
      <c r="HP50" s="54">
        <f>IF($J50="",#N/A,SUM($HO$4:HO50))</f>
        <v>0</v>
      </c>
      <c r="HQ50" s="54" t="str">
        <f t="shared" si="97"/>
        <v/>
      </c>
      <c r="HR50" s="54">
        <f>IF($J50="",#N/A,SUM($HQ$4:HQ50))</f>
        <v>-2.153533787035141</v>
      </c>
      <c r="HS50" s="54" t="str">
        <f t="shared" si="98"/>
        <v/>
      </c>
      <c r="HT50" s="54">
        <f>IF($J50="",#N/A,SUM($HS$4:HS50))</f>
        <v>5.0417288140247978</v>
      </c>
      <c r="HU50" s="65">
        <f t="shared" si="99"/>
        <v>-0.6406790657439444</v>
      </c>
      <c r="HV50" s="65">
        <f>IF($J50="",#N/A,SUM(HU$4:$HU50))</f>
        <v>-4.8226137655172963</v>
      </c>
    </row>
    <row r="51" spans="1:230" x14ac:dyDescent="0.25">
      <c r="A51" s="51" t="s">
        <v>1369</v>
      </c>
      <c r="B51" s="52" t="s">
        <v>4501</v>
      </c>
      <c r="C51" s="229">
        <f t="shared" si="0"/>
        <v>1</v>
      </c>
      <c r="D51" s="219" t="str">
        <f>_xlfn.XLOOKUP(A51,[1]SP500!$A$2:$A$502,[1]SP500!$D$2:$D$502,"N")</f>
        <v>Y</v>
      </c>
      <c r="E51" s="51" t="str">
        <f>IFERROR(_xlfn.XLOOKUP(A51,[1]SP500!$A$2:$A$655,[1]SP500!$B$2:$B$655),"")</f>
        <v>XLI</v>
      </c>
      <c r="F51" s="53">
        <v>45769</v>
      </c>
      <c r="G51" s="51" t="str">
        <f t="shared" si="1"/>
        <v>BMO</v>
      </c>
      <c r="H51" s="51" t="str">
        <f t="shared" si="2"/>
        <v>s</v>
      </c>
      <c r="I51" s="344">
        <v>531.33000000000004</v>
      </c>
      <c r="J51" s="124">
        <v>484.75</v>
      </c>
      <c r="K51" s="71">
        <f t="shared" si="3"/>
        <v>-8.7666798411533395E-2</v>
      </c>
      <c r="L51" s="67">
        <f t="shared" si="4"/>
        <v>-93.160000000000082</v>
      </c>
      <c r="M51" s="57">
        <f t="shared" si="5"/>
        <v>0.5</v>
      </c>
      <c r="N51" s="147">
        <f t="shared" si="6"/>
        <v>-93.160000000000082</v>
      </c>
      <c r="O51" s="57">
        <f>IF(N51="",#N/A,SUM($N$4:N51))</f>
        <v>-463.43962593336983</v>
      </c>
      <c r="P51" s="65">
        <f t="shared" si="100"/>
        <v>-1.4611133068588897</v>
      </c>
      <c r="Q51" s="172">
        <f>IF($N51="",#N/A,SUM($P$4:P51))</f>
        <v>-7.0682998432392061</v>
      </c>
      <c r="R51" s="279">
        <f t="shared" si="7"/>
        <v>2.4536681603696628</v>
      </c>
      <c r="S51" s="51" t="str">
        <f t="shared" si="8"/>
        <v>Up</v>
      </c>
      <c r="T51" s="51" t="s">
        <v>4461</v>
      </c>
      <c r="U51" s="56">
        <f t="shared" si="9"/>
        <v>531.33000000000004</v>
      </c>
      <c r="V51" s="56" t="s">
        <v>4460</v>
      </c>
      <c r="W51" s="142">
        <v>2</v>
      </c>
      <c r="X51" s="145">
        <f t="shared" si="10"/>
        <v>1062.6600000000001</v>
      </c>
      <c r="Y51" s="140">
        <f t="shared" si="11"/>
        <v>2</v>
      </c>
      <c r="Z51" s="123">
        <v>485</v>
      </c>
      <c r="AA51" s="102">
        <f t="shared" si="12"/>
        <v>-92.660000000000082</v>
      </c>
      <c r="AB51" s="102">
        <f t="shared" si="13"/>
        <v>-134.50000000000011</v>
      </c>
      <c r="AC51" s="124">
        <v>464.08</v>
      </c>
      <c r="AD51" s="155">
        <f t="shared" si="14"/>
        <v>-134.50000000000011</v>
      </c>
      <c r="AE51" s="545">
        <f t="shared" si="15"/>
        <v>-2.1094862577556963</v>
      </c>
      <c r="AF51" s="57">
        <f>IF($AC51="",#N/A,SUM(AD$4:AD51))</f>
        <v>-438.9196714083256</v>
      </c>
      <c r="AG51" s="102">
        <f t="shared" si="16"/>
        <v>-41.340000000000032</v>
      </c>
      <c r="AH51" s="102" t="s">
        <v>2507</v>
      </c>
      <c r="AI51" s="65">
        <f t="shared" si="17"/>
        <v>-1.4532713505103556</v>
      </c>
      <c r="AJ51" s="54">
        <f>IF(AI51="",#N/A,SUM($AI$4:AI51))</f>
        <v>-9.521968003608869</v>
      </c>
      <c r="AK51" s="144">
        <f t="shared" si="18"/>
        <v>-92.660000000000082</v>
      </c>
      <c r="AL51" s="349">
        <f>IF(AI51="",#N/A,IF(AH51="Skip",SUM($AK$4:AK51),SUM($AK$4:AK51)))</f>
        <v>-642.76999999999907</v>
      </c>
      <c r="AM51" s="65">
        <f t="shared" si="101"/>
        <v>-2.1094862577556963</v>
      </c>
      <c r="AN51" s="209"/>
      <c r="AO51" s="65" t="str">
        <f t="shared" si="19"/>
        <v/>
      </c>
      <c r="AP51" s="65">
        <f>IF($AC51="",#N/A,SUM(AO$4:AO51))</f>
        <v>-0.36791495265654994</v>
      </c>
      <c r="AQ51" s="65">
        <f t="shared" si="20"/>
        <v>-2.1094862577556963</v>
      </c>
      <c r="AR51" s="65">
        <f>IF($AC51="",#N/A,SUM(AQ$4:AQ51))</f>
        <v>-1.2381559938812483</v>
      </c>
      <c r="AS51" s="65" t="str">
        <f t="shared" si="21"/>
        <v/>
      </c>
      <c r="AT51" s="65">
        <f>IF($AC51="",#N/A,SUM(AS$4:AS51))</f>
        <v>-5.3260290767351934</v>
      </c>
      <c r="AU51" s="57" t="str">
        <f t="shared" si="102"/>
        <v/>
      </c>
      <c r="AV51" s="57">
        <f>IF($AC51="",#N/A,SUM(AU$4:AU51))</f>
        <v>-28.111298505509467</v>
      </c>
      <c r="AW51" s="57">
        <f t="shared" si="103"/>
        <v>-134.50000000000011</v>
      </c>
      <c r="AX51" s="57">
        <f>IF($AC51="",#N/A,SUM(AW$4:AW51))</f>
        <v>-74.660000000000196</v>
      </c>
      <c r="AY51" s="57" t="str">
        <f t="shared" si="104"/>
        <v/>
      </c>
      <c r="AZ51" s="57">
        <f>IF($AC51="",#N/A,SUM(AY$4:AY51))</f>
        <v>-336.14837290281594</v>
      </c>
      <c r="BA51" s="57">
        <f>IF(AD51="",#N/A,SUM($AD$4:AD51))</f>
        <v>-438.9196714083256</v>
      </c>
      <c r="BC51" s="51" t="str">
        <f t="shared" si="22"/>
        <v/>
      </c>
      <c r="BD51" s="51" t="str">
        <f t="shared" si="23"/>
        <v/>
      </c>
      <c r="BE51" s="51" t="str">
        <f t="shared" si="24"/>
        <v/>
      </c>
      <c r="BF51" s="51" t="str">
        <f t="shared" si="25"/>
        <v>Long</v>
      </c>
      <c r="BG51" s="51" t="str">
        <f t="shared" si="26"/>
        <v/>
      </c>
      <c r="BH51" s="51">
        <f t="shared" si="27"/>
        <v>1</v>
      </c>
      <c r="BI51" s="51" t="str">
        <f t="shared" si="28"/>
        <v/>
      </c>
      <c r="BK51" s="184"/>
      <c r="BL51" s="65">
        <f t="shared" si="107"/>
        <v>-0.40704293908869571</v>
      </c>
      <c r="BM51" s="65">
        <f>IFERROR(Q51/COUNTA($J$4:J51),#N/A)</f>
        <v>-0.14725624673415014</v>
      </c>
      <c r="BO51" s="489" t="e">
        <f>IF(J51="",#N/A,IF(S51="SW",(COUNTIFS(K$4:$K51,"&gt;0",S$4:$S51,"SW")/COUNTIF(S$4:$S51,"SW")),#N/A))</f>
        <v>#N/A</v>
      </c>
      <c r="BP51" s="489" t="e">
        <f>IF($J51="",#N/A,IF($S51="DWN",(COUNTIFS($K$4:$K51,"&lt;0",$S$4:$S51,"DWN")/COUNTIF($S$4:$S51,"DWN")),#N/A))</f>
        <v>#N/A</v>
      </c>
      <c r="BQ51" s="489">
        <f>IF($J51="",#N/A,IF($S51="UP",(COUNTIFS($K$4:$K51,"&gt;0",$S$4:$S51,"UP")/COUNTIF($S$4:$S51,"UP")),#N/A))</f>
        <v>0.5</v>
      </c>
      <c r="BR51" s="489">
        <f>IF(J51="",#N/A,COUNTIF($K$4:K51,"&gt;0")/COUNT($J$4:J51))</f>
        <v>0.47916666666666669</v>
      </c>
      <c r="BS51" s="65" t="str">
        <f t="shared" si="29"/>
        <v/>
      </c>
      <c r="BT51" s="65">
        <f t="shared" si="30"/>
        <v>-1.4611133068588897</v>
      </c>
      <c r="BU51" s="65" t="str">
        <f t="shared" si="31"/>
        <v/>
      </c>
      <c r="BV51" s="65" t="str">
        <f t="shared" si="32"/>
        <v/>
      </c>
      <c r="BW51" s="127">
        <f t="shared" si="33"/>
        <v>-93.160000000000082</v>
      </c>
      <c r="BX51" s="127">
        <f>IF($J51="",#N/A,SUM($BW$4:BW51))</f>
        <v>-88.570000000000164</v>
      </c>
      <c r="BY51" s="130" t="str">
        <f t="shared" si="34"/>
        <v/>
      </c>
      <c r="BZ51" s="130">
        <f>IF($J51="",#N/A,SUM($BY$4:BY51))</f>
        <v>-165.29871953149552</v>
      </c>
      <c r="CA51" s="132" t="str">
        <f t="shared" si="35"/>
        <v/>
      </c>
      <c r="CB51" s="132">
        <f>IF($J51="",#N/A,SUM($CA$4:CA51))</f>
        <v>-209.57090640187414</v>
      </c>
      <c r="CC51" s="197">
        <f t="shared" si="36"/>
        <v>-1.4611133068588897</v>
      </c>
      <c r="CD51" s="197">
        <f>IF($J51="",#N/A,SUM($CC$4:CC51))</f>
        <v>-1.3942783150276121</v>
      </c>
      <c r="CE51" s="198" t="str">
        <f t="shared" si="37"/>
        <v/>
      </c>
      <c r="CF51" s="198">
        <f>IF($J51="",#N/A,SUM($CE$4:CE51))</f>
        <v>-2.4179115485653879</v>
      </c>
      <c r="CG51" s="199" t="str">
        <f t="shared" si="38"/>
        <v/>
      </c>
      <c r="CH51" s="193">
        <f>IF($J51="",#N/A,SUM($CG$4:CG51))</f>
        <v>-3.2561099796462054</v>
      </c>
      <c r="CI51" s="200" t="str">
        <f t="shared" si="39"/>
        <v/>
      </c>
      <c r="CJ51" s="206">
        <f>IF($J51="",#N/A,SUM(CI$4:CI51))</f>
        <v>0</v>
      </c>
      <c r="CK51" s="207" t="str">
        <f t="shared" si="40"/>
        <v/>
      </c>
      <c r="CL51" s="207">
        <f>IF($J51="",#N/A,SUM(CK$4:CK51))</f>
        <v>0</v>
      </c>
      <c r="CM51" s="208" t="str">
        <f t="shared" si="41"/>
        <v/>
      </c>
      <c r="CN51" s="208">
        <f>IF($J51="",#N/A,SUM(CM$4:CM51))</f>
        <v>0</v>
      </c>
      <c r="CO51" s="208">
        <f>IF($J51="",#N/A,SUM(CM$4:CM51,CK$4:CK51,CI$4:CI51))</f>
        <v>0</v>
      </c>
      <c r="CP51" s="200" t="str">
        <f t="shared" si="42"/>
        <v/>
      </c>
      <c r="CQ51" s="206">
        <f>IF($J51="",#N/A,SUM(CP$4:CP51))</f>
        <v>0</v>
      </c>
      <c r="CR51" s="207" t="str">
        <f t="shared" si="43"/>
        <v/>
      </c>
      <c r="CS51" s="207">
        <f>IF($J51="",#N/A,SUM(CR$4:CR51))</f>
        <v>0</v>
      </c>
      <c r="CT51" s="208" t="str">
        <f t="shared" si="44"/>
        <v/>
      </c>
      <c r="CU51" s="208">
        <f>IF($J51="",#N/A,SUM(CT$4:CT51))</f>
        <v>0</v>
      </c>
      <c r="CV51" s="208">
        <f>IF($J51="",#N/A,SUM(CT$4:CT51,CR$4:CR51,CP$4:CP51))</f>
        <v>0</v>
      </c>
      <c r="CW51" s="200" t="str">
        <f t="shared" si="45"/>
        <v/>
      </c>
      <c r="CX51" s="206">
        <f>IF($J51="",#N/A,SUM(CW$4:CW51))</f>
        <v>0</v>
      </c>
      <c r="CY51" s="207" t="str">
        <f t="shared" si="46"/>
        <v/>
      </c>
      <c r="CZ51" s="207">
        <f>IF($J51="",#N/A,SUM(CY$4:CY51))</f>
        <v>-0.63271328921481373</v>
      </c>
      <c r="DA51" s="208" t="str">
        <f t="shared" si="47"/>
        <v/>
      </c>
      <c r="DB51" s="208">
        <f>IF($J51="",#N/A,SUM(DA$4:DA51))</f>
        <v>0</v>
      </c>
      <c r="DC51" s="208">
        <f>IF($J51="",#N/A,SUM(DA$4:DA51,CY$4:CY51,CW$4:CW51))</f>
        <v>-0.63271328921481373</v>
      </c>
      <c r="DD51" s="200" t="str">
        <f t="shared" si="48"/>
        <v/>
      </c>
      <c r="DE51" s="206">
        <f>IF($J51="",#N/A,SUM(DD$4:DD51))</f>
        <v>0</v>
      </c>
      <c r="DF51" s="207" t="str">
        <f t="shared" si="49"/>
        <v/>
      </c>
      <c r="DG51" s="207">
        <f>IF($J51="",#N/A,SUM(DF$4:DF51))</f>
        <v>0.6788440567066546</v>
      </c>
      <c r="DH51" s="208" t="str">
        <f t="shared" si="50"/>
        <v/>
      </c>
      <c r="DI51" s="208">
        <f>IF($J51="",#N/A,SUM(DH$4:DH51))</f>
        <v>0</v>
      </c>
      <c r="DJ51" s="208">
        <f>IF($J51="",#N/A,SUM(DH$4:DH51,DF$4:DF51,DD$4:DD51))</f>
        <v>0.6788440567066546</v>
      </c>
      <c r="DK51" s="200" t="str">
        <f t="shared" si="51"/>
        <v/>
      </c>
      <c r="DL51" s="206">
        <f>IF($J51="",#N/A,SUM(DK$4:DK51))</f>
        <v>0</v>
      </c>
      <c r="DM51" s="207" t="str">
        <f t="shared" si="52"/>
        <v/>
      </c>
      <c r="DN51" s="207">
        <f>IF($J51="",#N/A,SUM(DM$4:DM51))</f>
        <v>0.36227168206863897</v>
      </c>
      <c r="DO51" s="208" t="str">
        <f t="shared" si="53"/>
        <v/>
      </c>
      <c r="DP51" s="208">
        <f>IF($J51="",#N/A,SUM(DO$4:DO51))</f>
        <v>-0.17018269154375754</v>
      </c>
      <c r="DQ51" s="208">
        <f>IF($J51="",#N/A,SUM(DO$4:DO51,DM$4:DM51,DK$4:DK51))</f>
        <v>0.19208899052488143</v>
      </c>
      <c r="DR51" s="200" t="str">
        <f t="shared" si="54"/>
        <v/>
      </c>
      <c r="DS51" s="206">
        <f>IF($J51="",#N/A,SUM(DR$4:DR51))</f>
        <v>0</v>
      </c>
      <c r="DT51" s="207" t="str">
        <f t="shared" si="55"/>
        <v/>
      </c>
      <c r="DU51" s="207">
        <f>IF($J51="",#N/A,SUM(DT$4:DT51))</f>
        <v>-2.8875364672150718</v>
      </c>
      <c r="DV51" s="208" t="str">
        <f t="shared" si="56"/>
        <v/>
      </c>
      <c r="DW51" s="208">
        <f>IF($J51="",#N/A,SUM(DV$4:DV51))</f>
        <v>-0.89834078198379175</v>
      </c>
      <c r="DX51" s="208">
        <f>IF($J51="",#N/A,SUM(DV$4:DV51,DT$4:DT51,DR$4:DR51))</f>
        <v>-3.7858772491988635</v>
      </c>
      <c r="DY51" s="200">
        <f t="shared" si="57"/>
        <v>-1.4611133068588897</v>
      </c>
      <c r="DZ51" s="206">
        <f>IF($J51="",#N/A,SUM(DY$4:DY51))</f>
        <v>-1.4611133068588897</v>
      </c>
      <c r="EA51" s="207" t="str">
        <f t="shared" si="58"/>
        <v/>
      </c>
      <c r="EB51" s="207">
        <f>IF($J51="",#N/A,SUM(EA$4:EA51))</f>
        <v>0.43517953094202633</v>
      </c>
      <c r="EC51" s="208" t="str">
        <f t="shared" si="59"/>
        <v/>
      </c>
      <c r="ED51" s="208">
        <f>IF($J51="",#N/A,SUM(EC$4:EC51))</f>
        <v>0.45807125784395203</v>
      </c>
      <c r="EE51" s="208">
        <f>IF($J51="",#N/A,SUM(EC$4:EC51,EA$4:EA51,DY$4:DY51))</f>
        <v>-0.56786251807291133</v>
      </c>
      <c r="EF51" s="200" t="str">
        <f t="shared" si="60"/>
        <v/>
      </c>
      <c r="EG51" s="206">
        <f>IF($J51="",#N/A,SUM(EF$4:EF51))</f>
        <v>0</v>
      </c>
      <c r="EH51" s="207" t="str">
        <f t="shared" si="61"/>
        <v/>
      </c>
      <c r="EI51" s="207">
        <f>IF($J51="",#N/A,SUM(EH$4:EH51))</f>
        <v>-1.196204584775086</v>
      </c>
      <c r="EJ51" s="208" t="str">
        <f t="shared" si="62"/>
        <v/>
      </c>
      <c r="EK51" s="208">
        <f>IF($J51="",#N/A,SUM(EJ$4:EJ51))</f>
        <v>0.6035383334478206</v>
      </c>
      <c r="EL51" s="208">
        <f>IF($J51="",#N/A,SUM(EJ$4:EJ51,EH$4:EH51,EF$4:EF51))</f>
        <v>-0.59266625132726536</v>
      </c>
      <c r="EM51" s="200" t="str">
        <f t="shared" si="63"/>
        <v/>
      </c>
      <c r="EN51" s="206">
        <f>IF($J51="",#N/A,SUM(EM$4:EM51))</f>
        <v>0</v>
      </c>
      <c r="EO51" s="207" t="str">
        <f t="shared" si="64"/>
        <v/>
      </c>
      <c r="EP51" s="207">
        <f>IF($J51="",#N/A,SUM(EO$4:EO51))</f>
        <v>0</v>
      </c>
      <c r="EQ51" s="208" t="str">
        <f t="shared" si="65"/>
        <v/>
      </c>
      <c r="ER51" s="208">
        <f>IF($J51="",#N/A,SUM(EQ$4:EQ51))</f>
        <v>0</v>
      </c>
      <c r="ES51" s="208">
        <f>IF($J51="",#N/A,SUM(EQ$4:EQ51,EO$4:EO51,EM$4:EM51))</f>
        <v>0</v>
      </c>
      <c r="ET51" s="200" t="str">
        <f t="shared" si="66"/>
        <v/>
      </c>
      <c r="EU51" s="206">
        <f>IF($J51="",#N/A,SUM(ET$4:ET51))</f>
        <v>0</v>
      </c>
      <c r="EV51" s="207" t="str">
        <f t="shared" si="67"/>
        <v/>
      </c>
      <c r="EW51" s="207">
        <f>IF($J51="",#N/A,SUM(EV$4:EV51))</f>
        <v>0</v>
      </c>
      <c r="EX51" s="208" t="str">
        <f t="shared" si="68"/>
        <v/>
      </c>
      <c r="EY51" s="208">
        <f>IF($J51="",#N/A,SUM(EX$4:EX51))</f>
        <v>0</v>
      </c>
      <c r="EZ51" s="208">
        <f>IF($J51="",#N/A,SUM(EX$4:EX51,EV$4:EV51,ET$4:ET51))</f>
        <v>0</v>
      </c>
      <c r="FA51" s="200" t="str">
        <f t="shared" si="69"/>
        <v/>
      </c>
      <c r="FB51" s="206">
        <f>IF($J51="",#N/A,SUM(FA$4:FA51))</f>
        <v>0</v>
      </c>
      <c r="FC51" s="207" t="str">
        <f t="shared" si="70"/>
        <v/>
      </c>
      <c r="FD51" s="207">
        <f>IF($J51="",#N/A,SUM(FC$4:FC51))</f>
        <v>1.3724148418491529</v>
      </c>
      <c r="FE51" s="208" t="str">
        <f t="shared" si="71"/>
        <v/>
      </c>
      <c r="FF51" s="208">
        <f>IF($J51="",#N/A,SUM(FE$4:FE51))</f>
        <v>-0.11131725417439868</v>
      </c>
      <c r="FG51" s="208">
        <f>IF($J51="",#N/A,SUM(FE$4:FE51,FC$4:FC51,FA$4:FA51))</f>
        <v>1.2610975876747541</v>
      </c>
      <c r="FH51" s="200" t="str">
        <f t="shared" si="72"/>
        <v/>
      </c>
      <c r="FI51" s="206">
        <f>IF($J51="",#N/A,SUM(FH$4:FH51))</f>
        <v>0</v>
      </c>
      <c r="FJ51" s="207" t="str">
        <f t="shared" si="73"/>
        <v/>
      </c>
      <c r="FK51" s="207">
        <f>IF($J51="",#N/A,SUM(FJ$4:FJ51))</f>
        <v>0</v>
      </c>
      <c r="FL51" s="208" t="str">
        <f t="shared" si="74"/>
        <v/>
      </c>
      <c r="FM51" s="208">
        <f>IF($J51="",#N/A,SUM(FL$4:FL51))</f>
        <v>0</v>
      </c>
      <c r="FN51" s="208">
        <f>IF($J51="",#N/A,SUM(FL$4:FL51,FJ$4:FJ51,FH$4:FH51))</f>
        <v>0</v>
      </c>
      <c r="FO51" s="200" t="str">
        <f t="shared" si="75"/>
        <v/>
      </c>
      <c r="FP51" s="206">
        <f>IF($J51="",#N/A,SUM(FO$4:FO51))</f>
        <v>0</v>
      </c>
      <c r="FQ51" s="207" t="str">
        <f t="shared" si="76"/>
        <v/>
      </c>
      <c r="FR51" s="207">
        <f>IF($J51="",#N/A,SUM(FQ$4:FQ51))</f>
        <v>0</v>
      </c>
      <c r="FS51" s="208" t="str">
        <f t="shared" si="77"/>
        <v/>
      </c>
      <c r="FT51" s="208">
        <f>IF($J51="",#N/A,SUM(FS$4:FS51))</f>
        <v>0</v>
      </c>
      <c r="FU51" s="208">
        <f>IF($J51="",#N/A,SUM(FS$4:FS51,FQ$4:FQ51,FO$4:FO51))</f>
        <v>0</v>
      </c>
      <c r="FV51" s="200" t="str">
        <f t="shared" si="78"/>
        <v/>
      </c>
      <c r="FW51" s="206">
        <f>IF($J51="",#N/A,SUM(FV$4:FV51))</f>
        <v>6.6834991831277585E-2</v>
      </c>
      <c r="FX51" s="207" t="str">
        <f t="shared" si="79"/>
        <v/>
      </c>
      <c r="FY51" s="207">
        <f>IF($J51="",#N/A,SUM(FX$4:FX51))</f>
        <v>0</v>
      </c>
      <c r="FZ51" s="208" t="str">
        <f t="shared" si="80"/>
        <v/>
      </c>
      <c r="GA51" s="208">
        <f>IF($J51="",#N/A,SUM(FZ$4:FZ51))</f>
        <v>-0.20104261551371039</v>
      </c>
      <c r="GB51" s="208">
        <f>IF($J51="",#N/A,SUM(FZ$4:FZ51,FX$4:FX51,FV$4:FV51))</f>
        <v>-0.1342076236824328</v>
      </c>
      <c r="GC51" s="200" t="str">
        <f t="shared" si="81"/>
        <v/>
      </c>
      <c r="GD51" s="206">
        <f>IF($J51="",#N/A,SUM(GC$4:GC51))</f>
        <v>0</v>
      </c>
      <c r="GE51" s="207" t="str">
        <f t="shared" si="82"/>
        <v/>
      </c>
      <c r="GF51" s="207">
        <f>IF($J51="",#N/A,SUM(GE$4:GE51))</f>
        <v>0</v>
      </c>
      <c r="GG51" s="208" t="str">
        <f t="shared" si="83"/>
        <v/>
      </c>
      <c r="GH51" s="208">
        <f>IF($J51="",#N/A,SUM(GG$4:GG51))</f>
        <v>-2.9368362277223206</v>
      </c>
      <c r="GI51" s="208">
        <f>IF($J51="",#N/A,SUM(GG$4:GG51,GE$4:GE51,GC$4:GC51))</f>
        <v>-2.9368362277223206</v>
      </c>
      <c r="GJ51" s="200" t="str">
        <f t="shared" si="84"/>
        <v/>
      </c>
      <c r="GK51" s="206">
        <f>IF($J51="",#N/A,SUM(GJ$4:GJ51))</f>
        <v>0</v>
      </c>
      <c r="GL51" s="207" t="str">
        <f t="shared" si="85"/>
        <v/>
      </c>
      <c r="GM51" s="207">
        <f>IF($J51="",#N/A,SUM(GL$4:GL51))</f>
        <v>-0.55016731892688953</v>
      </c>
      <c r="GN51" s="208" t="str">
        <f t="shared" si="86"/>
        <v/>
      </c>
      <c r="GO51" s="208">
        <f>IF($J51="",#N/A,SUM(GN$4:GN51))</f>
        <v>0</v>
      </c>
      <c r="GP51" s="208">
        <f>IF($J51="",#N/A,SUM(GN$4:GN51,GL$4:GL51,GJ$4:GJ51))</f>
        <v>-0.55016731892688953</v>
      </c>
      <c r="GS51" s="54">
        <f t="shared" si="105"/>
        <v>-1.4611133068588897</v>
      </c>
      <c r="GT51" s="54">
        <f>IF(GS51="",NA(),SUM($GS$4:GS51))</f>
        <v>-7.2702886561664908</v>
      </c>
      <c r="GU51" s="54">
        <f t="shared" si="87"/>
        <v>-1.4611133068588897</v>
      </c>
      <c r="GV51" s="54">
        <f>IF(GU51="",NA(),SUM($GU$4:GU51))</f>
        <v>-1.3942783150276121</v>
      </c>
      <c r="GW51" s="54" t="str">
        <f t="shared" si="88"/>
        <v/>
      </c>
      <c r="GX51" s="54" t="e">
        <f>IF(GW51="",NA(),SUM($GW$4:GW51))</f>
        <v>#N/A</v>
      </c>
      <c r="GY51" s="54" t="str">
        <f t="shared" si="89"/>
        <v/>
      </c>
      <c r="GZ51" s="54" t="e">
        <f>IF(GY51="",NA(),SUM($GY$4:GY51))</f>
        <v>#N/A</v>
      </c>
      <c r="HA51" s="54" t="str">
        <f t="shared" si="90"/>
        <v/>
      </c>
      <c r="HB51" s="54" t="e">
        <f>IF(HA51="",NA(),SUM($HA$4:HA51))</f>
        <v>#N/A</v>
      </c>
      <c r="HC51" s="54" t="str">
        <f t="shared" si="91"/>
        <v/>
      </c>
      <c r="HD51" s="54" t="e">
        <f>IF(HC51="",NA(),SUM($HC$4:HC51))</f>
        <v>#N/A</v>
      </c>
      <c r="HE51" s="54" t="str">
        <f t="shared" si="92"/>
        <v/>
      </c>
      <c r="HF51" s="54" t="e">
        <f>IF(HE51="",NA(),SUM($HE$4:HE51))</f>
        <v>#N/A</v>
      </c>
      <c r="HG51" s="54" t="str">
        <f t="shared" si="93"/>
        <v/>
      </c>
      <c r="HH51" s="54" t="e">
        <f>IF(HG51="",NA(),SUM($HG$4:HG51))</f>
        <v>#N/A</v>
      </c>
      <c r="HI51" s="172" t="str">
        <f t="shared" si="106"/>
        <v/>
      </c>
      <c r="HJ51" s="172">
        <f>IF($J51="",#N/A,SUM(HI$4:$HI51))</f>
        <v>-1.2880161085276005</v>
      </c>
      <c r="HK51" s="54" t="str">
        <f t="shared" si="94"/>
        <v/>
      </c>
      <c r="HL51" s="54">
        <f>IF($J51="",#N/A,SUM($HK$4:HK51))</f>
        <v>-1.6201014196422041</v>
      </c>
      <c r="HM51" s="54" t="str">
        <f t="shared" si="95"/>
        <v/>
      </c>
      <c r="HN51" s="54">
        <f>IF($J51="",#N/A,SUM($HM$4:HM51))</f>
        <v>0.80449527204317051</v>
      </c>
      <c r="HO51" s="54">
        <f t="shared" si="96"/>
        <v>-0.64837295089680658</v>
      </c>
      <c r="HP51" s="54">
        <f>IF($J51="",#N/A,SUM($HO$4:HO51))</f>
        <v>-0.64837295089680658</v>
      </c>
      <c r="HQ51" s="54" t="str">
        <f t="shared" si="97"/>
        <v/>
      </c>
      <c r="HR51" s="54">
        <f>IF($J51="",#N/A,SUM($HQ$4:HQ51))</f>
        <v>-2.153533787035141</v>
      </c>
      <c r="HS51" s="54" t="str">
        <f t="shared" si="98"/>
        <v/>
      </c>
      <c r="HT51" s="54">
        <f>IF($J51="",#N/A,SUM($HS$4:HS51))</f>
        <v>5.0417288140247978</v>
      </c>
      <c r="HU51" s="65">
        <f t="shared" si="99"/>
        <v>-2.1094862577556963</v>
      </c>
      <c r="HV51" s="65">
        <f>IF($J51="",#N/A,SUM(HU$4:$HU51))</f>
        <v>-6.9321000232729926</v>
      </c>
    </row>
    <row r="52" spans="1:230" x14ac:dyDescent="0.25">
      <c r="A52" s="51" t="s">
        <v>1485</v>
      </c>
      <c r="B52" s="52" t="s">
        <v>4501</v>
      </c>
      <c r="C52" s="229">
        <f t="shared" si="0"/>
        <v>2</v>
      </c>
      <c r="D52" s="219" t="str">
        <f>_xlfn.XLOOKUP(A52,[1]SP500!$A$2:$A$502,[1]SP500!$D$2:$D$502,"N")</f>
        <v>Y</v>
      </c>
      <c r="E52" s="51" t="str">
        <f>IFERROR(_xlfn.XLOOKUP(A52,[1]SP500!$A$2:$A$655,[1]SP500!$B$2:$B$655),"")</f>
        <v>XHB</v>
      </c>
      <c r="F52" s="53">
        <v>45769</v>
      </c>
      <c r="G52" s="51" t="str">
        <f t="shared" si="1"/>
        <v>BMO</v>
      </c>
      <c r="H52" s="51" t="str">
        <f t="shared" si="2"/>
        <v>s</v>
      </c>
      <c r="I52" s="344">
        <v>93.11</v>
      </c>
      <c r="J52" s="123">
        <v>96</v>
      </c>
      <c r="K52" s="55">
        <f t="shared" si="3"/>
        <v>3.1038556546020842E-2</v>
      </c>
      <c r="L52" s="67">
        <f t="shared" si="4"/>
        <v>-37.569999999999936</v>
      </c>
      <c r="M52" s="57">
        <f t="shared" si="5"/>
        <v>-3.6400000000001</v>
      </c>
      <c r="N52" s="102">
        <f t="shared" si="6"/>
        <v>-37.569999999999936</v>
      </c>
      <c r="O52" s="57">
        <f>IF(N52="",#N/A,SUM($N$4:N52))</f>
        <v>-501.00962593336976</v>
      </c>
      <c r="P52" s="65">
        <f t="shared" si="100"/>
        <v>-0.51730927576701302</v>
      </c>
      <c r="Q52" s="172">
        <f>IF($N52="",#N/A,SUM($P$4:P52))</f>
        <v>-7.5856091190062189</v>
      </c>
      <c r="R52" s="279">
        <f t="shared" si="7"/>
        <v>2.5037880902017635</v>
      </c>
      <c r="S52" s="51" t="str">
        <f t="shared" si="8"/>
        <v>Dwn</v>
      </c>
      <c r="T52" s="51" t="s">
        <v>4461</v>
      </c>
      <c r="U52" s="56">
        <f t="shared" si="9"/>
        <v>93.11</v>
      </c>
      <c r="V52" s="56" t="s">
        <v>4458</v>
      </c>
      <c r="W52" s="142">
        <v>13</v>
      </c>
      <c r="X52" s="145">
        <f t="shared" si="10"/>
        <v>1210.43</v>
      </c>
      <c r="Y52" s="140">
        <f t="shared" si="11"/>
        <v>13</v>
      </c>
      <c r="Z52" s="123">
        <v>96.28</v>
      </c>
      <c r="AA52" s="102">
        <f t="shared" si="12"/>
        <v>-41.210000000000036</v>
      </c>
      <c r="AB52" s="102">
        <f t="shared" si="13"/>
        <v>-101.13999999999987</v>
      </c>
      <c r="AC52" s="124">
        <v>100.89</v>
      </c>
      <c r="AD52" s="155">
        <f t="shared" si="14"/>
        <v>-101.13999999999987</v>
      </c>
      <c r="AE52" s="545">
        <f t="shared" si="15"/>
        <v>-1.3926180503347279</v>
      </c>
      <c r="AF52" s="57">
        <f>IF($AC52="",#N/A,SUM(AD$4:AD52))</f>
        <v>-540.05967140832547</v>
      </c>
      <c r="AG52" s="102">
        <f t="shared" si="16"/>
        <v>-63.569999999999936</v>
      </c>
      <c r="AH52" s="56" t="s">
        <v>2507</v>
      </c>
      <c r="AI52" s="65">
        <f t="shared" si="17"/>
        <v>-0.5674292055991127</v>
      </c>
      <c r="AJ52" s="54">
        <f>IF(AI52="",#N/A,SUM($AI$4:AI52))</f>
        <v>-10.089397209207982</v>
      </c>
      <c r="AK52" s="57">
        <f t="shared" si="18"/>
        <v>-41.210000000000036</v>
      </c>
      <c r="AL52" s="349">
        <f>IF(AI52="",#N/A,IF(AH52="Skip",SUM($AK$4:AK52),SUM($AK$4:AK52)))</f>
        <v>-683.97999999999911</v>
      </c>
      <c r="AM52" s="65">
        <f t="shared" si="101"/>
        <v>-1.3926180503347279</v>
      </c>
      <c r="AN52" s="209"/>
      <c r="AO52" s="65" t="str">
        <f t="shared" si="19"/>
        <v/>
      </c>
      <c r="AP52" s="65">
        <f>IF($AC52="",#N/A,SUM(AO$4:AO52))</f>
        <v>-0.36791495265654994</v>
      </c>
      <c r="AQ52" s="65" t="str">
        <f t="shared" si="20"/>
        <v/>
      </c>
      <c r="AR52" s="65">
        <f>IF($AC52="",#N/A,SUM(AQ$4:AQ52))</f>
        <v>-1.2381559938812483</v>
      </c>
      <c r="AS52" s="65">
        <f t="shared" si="21"/>
        <v>-1.3926180503347279</v>
      </c>
      <c r="AT52" s="65">
        <f>IF($AC52="",#N/A,SUM(AS$4:AS52))</f>
        <v>-6.7186471270699215</v>
      </c>
      <c r="AU52" s="57" t="str">
        <f t="shared" si="102"/>
        <v/>
      </c>
      <c r="AV52" s="57">
        <f>IF($AC52="",#N/A,SUM(AU$4:AU52))</f>
        <v>-28.111298505509467</v>
      </c>
      <c r="AW52" s="57" t="str">
        <f t="shared" si="103"/>
        <v/>
      </c>
      <c r="AX52" s="57">
        <f>IF($AC52="",#N/A,SUM(AW$4:AW52))</f>
        <v>-74.660000000000196</v>
      </c>
      <c r="AY52" s="57">
        <f t="shared" si="104"/>
        <v>-101.13999999999987</v>
      </c>
      <c r="AZ52" s="57">
        <f>IF($AC52="",#N/A,SUM(AY$4:AY52))</f>
        <v>-437.28837290281581</v>
      </c>
      <c r="BA52" s="57">
        <f>IF(AD52="",#N/A,SUM($AD$4:AD52))</f>
        <v>-540.05967140832547</v>
      </c>
      <c r="BC52" s="51" t="str">
        <f t="shared" si="22"/>
        <v/>
      </c>
      <c r="BD52" s="51">
        <f t="shared" si="23"/>
        <v>1</v>
      </c>
      <c r="BE52" s="51" t="str">
        <f t="shared" si="24"/>
        <v/>
      </c>
      <c r="BF52" s="51" t="str">
        <f t="shared" si="25"/>
        <v>Short</v>
      </c>
      <c r="BG52" s="51" t="str">
        <f t="shared" si="26"/>
        <v/>
      </c>
      <c r="BH52" s="51" t="str">
        <f t="shared" si="27"/>
        <v/>
      </c>
      <c r="BI52" s="51" t="str">
        <f t="shared" si="28"/>
        <v/>
      </c>
      <c r="BK52" s="184"/>
      <c r="BL52" s="65">
        <f t="shared" si="107"/>
        <v>-0.39315872675464775</v>
      </c>
      <c r="BM52" s="65">
        <f>IFERROR(Q52/COUNTA($J$4:J52),#N/A)</f>
        <v>-0.15480834936747387</v>
      </c>
      <c r="BO52" s="489" t="e">
        <f>IF(J52="",#N/A,IF(S52="SW",(COUNTIFS(K$4:$K52,"&gt;0",S$4:$S52,"SW")/COUNTIF(S$4:$S52,"SW")),#N/A))</f>
        <v>#N/A</v>
      </c>
      <c r="BP52" s="489">
        <f>IF($J52="",#N/A,IF($S52="DWN",(COUNTIFS($K$4:$K52,"&lt;0",$S$4:$S52,"DWN")/COUNTIF($S$4:$S52,"DWN")),#N/A))</f>
        <v>0.5</v>
      </c>
      <c r="BQ52" s="489" t="e">
        <f>IF($J52="",#N/A,IF($S52="UP",(COUNTIFS($K$4:$K52,"&gt;0",$S$4:$S52,"UP")/COUNTIF($S$4:$S52,"UP")),#N/A))</f>
        <v>#N/A</v>
      </c>
      <c r="BR52" s="489">
        <f>IF(J52="",#N/A,COUNTIF($K$4:K52,"&gt;0")/COUNT($J$4:J52))</f>
        <v>0.48979591836734693</v>
      </c>
      <c r="BS52" s="65" t="str">
        <f t="shared" si="29"/>
        <v/>
      </c>
      <c r="BT52" s="65" t="str">
        <f t="shared" si="30"/>
        <v/>
      </c>
      <c r="BU52" s="65" t="str">
        <f t="shared" si="31"/>
        <v/>
      </c>
      <c r="BV52" s="65">
        <f t="shared" si="32"/>
        <v>-0.51730927576701302</v>
      </c>
      <c r="BW52" s="128" t="str">
        <f t="shared" si="33"/>
        <v/>
      </c>
      <c r="BX52" s="128">
        <f>IF($J52="",#N/A,SUM($BW$4:BW52))</f>
        <v>-88.570000000000164</v>
      </c>
      <c r="BY52" s="131">
        <f t="shared" si="34"/>
        <v>-37.569999999999936</v>
      </c>
      <c r="BZ52" s="131">
        <f>IF($J52="",#N/A,SUM($BY$4:BY52))</f>
        <v>-202.86871953149546</v>
      </c>
      <c r="CA52" s="133" t="str">
        <f t="shared" si="35"/>
        <v/>
      </c>
      <c r="CB52" s="133">
        <f>IF($J52="",#N/A,SUM($CA$4:CA52))</f>
        <v>-209.57090640187414</v>
      </c>
      <c r="CC52" s="194" t="str">
        <f t="shared" si="36"/>
        <v/>
      </c>
      <c r="CD52" s="194">
        <f>IF($J52="",#N/A,SUM($CC$4:CC52))</f>
        <v>-1.3942783150276121</v>
      </c>
      <c r="CE52" s="195">
        <f t="shared" si="37"/>
        <v>-0.51730927576701302</v>
      </c>
      <c r="CF52" s="195">
        <f>IF($J52="",#N/A,SUM($CE$4:CE52))</f>
        <v>-2.9352208243324007</v>
      </c>
      <c r="CG52" s="196" t="str">
        <f t="shared" si="38"/>
        <v/>
      </c>
      <c r="CH52" s="193">
        <f>IF($J52="",#N/A,SUM($CG$4:CG52))</f>
        <v>-3.2561099796462054</v>
      </c>
      <c r="CI52" s="200" t="str">
        <f t="shared" si="39"/>
        <v/>
      </c>
      <c r="CJ52" s="203">
        <f>IF($J52="",#N/A,SUM(CI$4:CI52))</f>
        <v>0</v>
      </c>
      <c r="CK52" s="204" t="str">
        <f t="shared" si="40"/>
        <v/>
      </c>
      <c r="CL52" s="204">
        <f>IF($J52="",#N/A,SUM(CK$4:CK52))</f>
        <v>0</v>
      </c>
      <c r="CM52" s="205" t="str">
        <f t="shared" si="41"/>
        <v/>
      </c>
      <c r="CN52" s="205">
        <f>IF($J52="",#N/A,SUM(CM$4:CM52))</f>
        <v>0</v>
      </c>
      <c r="CO52" s="205">
        <f>IF($J52="",#N/A,SUM(CM$4:CM52,CK$4:CK52,CI$4:CI52))</f>
        <v>0</v>
      </c>
      <c r="CP52" s="200" t="str">
        <f t="shared" si="42"/>
        <v/>
      </c>
      <c r="CQ52" s="203">
        <f>IF($J52="",#N/A,SUM(CP$4:CP52))</f>
        <v>0</v>
      </c>
      <c r="CR52" s="204" t="str">
        <f t="shared" si="43"/>
        <v/>
      </c>
      <c r="CS52" s="204">
        <f>IF($J52="",#N/A,SUM(CR$4:CR52))</f>
        <v>0</v>
      </c>
      <c r="CT52" s="205" t="str">
        <f t="shared" si="44"/>
        <v/>
      </c>
      <c r="CU52" s="205">
        <f>IF($J52="",#N/A,SUM(CT$4:CT52))</f>
        <v>0</v>
      </c>
      <c r="CV52" s="205">
        <f>IF($J52="",#N/A,SUM(CT$4:CT52,CR$4:CR52,CP$4:CP52))</f>
        <v>0</v>
      </c>
      <c r="CW52" s="200" t="str">
        <f t="shared" si="45"/>
        <v/>
      </c>
      <c r="CX52" s="203">
        <f>IF($J52="",#N/A,SUM(CW$4:CW52))</f>
        <v>0</v>
      </c>
      <c r="CY52" s="204" t="str">
        <f t="shared" si="46"/>
        <v/>
      </c>
      <c r="CZ52" s="204">
        <f>IF($J52="",#N/A,SUM(CY$4:CY52))</f>
        <v>-0.63271328921481373</v>
      </c>
      <c r="DA52" s="205" t="str">
        <f t="shared" si="47"/>
        <v/>
      </c>
      <c r="DB52" s="205">
        <f>IF($J52="",#N/A,SUM(DA$4:DA52))</f>
        <v>0</v>
      </c>
      <c r="DC52" s="205">
        <f>IF($J52="",#N/A,SUM(DA$4:DA52,CY$4:CY52,CW$4:CW52))</f>
        <v>-0.63271328921481373</v>
      </c>
      <c r="DD52" s="200" t="str">
        <f t="shared" si="48"/>
        <v/>
      </c>
      <c r="DE52" s="203">
        <f>IF($J52="",#N/A,SUM(DD$4:DD52))</f>
        <v>0</v>
      </c>
      <c r="DF52" s="204" t="str">
        <f t="shared" si="49"/>
        <v/>
      </c>
      <c r="DG52" s="204">
        <f>IF($J52="",#N/A,SUM(DF$4:DF52))</f>
        <v>0.6788440567066546</v>
      </c>
      <c r="DH52" s="205" t="str">
        <f t="shared" si="50"/>
        <v/>
      </c>
      <c r="DI52" s="205">
        <f>IF($J52="",#N/A,SUM(DH$4:DH52))</f>
        <v>0</v>
      </c>
      <c r="DJ52" s="205">
        <f>IF($J52="",#N/A,SUM(DH$4:DH52,DF$4:DF52,DD$4:DD52))</f>
        <v>0.6788440567066546</v>
      </c>
      <c r="DK52" s="200" t="str">
        <f t="shared" si="51"/>
        <v/>
      </c>
      <c r="DL52" s="203">
        <f>IF($J52="",#N/A,SUM(DK$4:DK52))</f>
        <v>0</v>
      </c>
      <c r="DM52" s="204" t="str">
        <f t="shared" si="52"/>
        <v/>
      </c>
      <c r="DN52" s="204">
        <f>IF($J52="",#N/A,SUM(DM$4:DM52))</f>
        <v>0.36227168206863897</v>
      </c>
      <c r="DO52" s="205" t="str">
        <f t="shared" si="53"/>
        <v/>
      </c>
      <c r="DP52" s="205">
        <f>IF($J52="",#N/A,SUM(DO$4:DO52))</f>
        <v>-0.17018269154375754</v>
      </c>
      <c r="DQ52" s="205">
        <f>IF($J52="",#N/A,SUM(DO$4:DO52,DM$4:DM52,DK$4:DK52))</f>
        <v>0.19208899052488143</v>
      </c>
      <c r="DR52" s="200" t="str">
        <f t="shared" si="54"/>
        <v/>
      </c>
      <c r="DS52" s="203">
        <f>IF($J52="",#N/A,SUM(DR$4:DR52))</f>
        <v>0</v>
      </c>
      <c r="DT52" s="204" t="str">
        <f t="shared" si="55"/>
        <v/>
      </c>
      <c r="DU52" s="204">
        <f>IF($J52="",#N/A,SUM(DT$4:DT52))</f>
        <v>-2.8875364672150718</v>
      </c>
      <c r="DV52" s="205" t="str">
        <f t="shared" si="56"/>
        <v/>
      </c>
      <c r="DW52" s="205">
        <f>IF($J52="",#N/A,SUM(DV$4:DV52))</f>
        <v>-0.89834078198379175</v>
      </c>
      <c r="DX52" s="205">
        <f>IF($J52="",#N/A,SUM(DV$4:DV52,DT$4:DT52,DR$4:DR52))</f>
        <v>-3.7858772491988635</v>
      </c>
      <c r="DY52" s="200" t="str">
        <f t="shared" si="57"/>
        <v/>
      </c>
      <c r="DZ52" s="203">
        <f>IF($J52="",#N/A,SUM(DY$4:DY52))</f>
        <v>-1.4611133068588897</v>
      </c>
      <c r="EA52" s="204" t="str">
        <f t="shared" si="58"/>
        <v/>
      </c>
      <c r="EB52" s="204">
        <f>IF($J52="",#N/A,SUM(EA$4:EA52))</f>
        <v>0.43517953094202633</v>
      </c>
      <c r="EC52" s="205" t="str">
        <f t="shared" si="59"/>
        <v/>
      </c>
      <c r="ED52" s="205">
        <f>IF($J52="",#N/A,SUM(EC$4:EC52))</f>
        <v>0.45807125784395203</v>
      </c>
      <c r="EE52" s="205">
        <f>IF($J52="",#N/A,SUM(EC$4:EC52,EA$4:EA52,DY$4:DY52))</f>
        <v>-0.56786251807291133</v>
      </c>
      <c r="EF52" s="200" t="str">
        <f t="shared" si="60"/>
        <v/>
      </c>
      <c r="EG52" s="203">
        <f>IF($J52="",#N/A,SUM(EF$4:EF52))</f>
        <v>0</v>
      </c>
      <c r="EH52" s="204" t="str">
        <f t="shared" si="61"/>
        <v/>
      </c>
      <c r="EI52" s="204">
        <f>IF($J52="",#N/A,SUM(EH$4:EH52))</f>
        <v>-1.196204584775086</v>
      </c>
      <c r="EJ52" s="205" t="str">
        <f t="shared" si="62"/>
        <v/>
      </c>
      <c r="EK52" s="205">
        <f>IF($J52="",#N/A,SUM(EJ$4:EJ52))</f>
        <v>0.6035383334478206</v>
      </c>
      <c r="EL52" s="205">
        <f>IF($J52="",#N/A,SUM(EJ$4:EJ52,EH$4:EH52,EF$4:EF52))</f>
        <v>-0.59266625132726536</v>
      </c>
      <c r="EM52" s="200" t="str">
        <f t="shared" si="63"/>
        <v/>
      </c>
      <c r="EN52" s="203">
        <f>IF($J52="",#N/A,SUM(EM$4:EM52))</f>
        <v>0</v>
      </c>
      <c r="EO52" s="204" t="str">
        <f t="shared" si="64"/>
        <v/>
      </c>
      <c r="EP52" s="204">
        <f>IF($J52="",#N/A,SUM(EO$4:EO52))</f>
        <v>0</v>
      </c>
      <c r="EQ52" s="205" t="str">
        <f t="shared" si="65"/>
        <v/>
      </c>
      <c r="ER52" s="205">
        <f>IF($J52="",#N/A,SUM(EQ$4:EQ52))</f>
        <v>0</v>
      </c>
      <c r="ES52" s="205">
        <f>IF($J52="",#N/A,SUM(EQ$4:EQ52,EO$4:EO52,EM$4:EM52))</f>
        <v>0</v>
      </c>
      <c r="ET52" s="200" t="str">
        <f t="shared" si="66"/>
        <v/>
      </c>
      <c r="EU52" s="203">
        <f>IF($J52="",#N/A,SUM(ET$4:ET52))</f>
        <v>0</v>
      </c>
      <c r="EV52" s="204" t="str">
        <f t="shared" si="67"/>
        <v/>
      </c>
      <c r="EW52" s="204">
        <f>IF($J52="",#N/A,SUM(EV$4:EV52))</f>
        <v>0</v>
      </c>
      <c r="EX52" s="205" t="str">
        <f t="shared" si="68"/>
        <v/>
      </c>
      <c r="EY52" s="205">
        <f>IF($J52="",#N/A,SUM(EX$4:EX52))</f>
        <v>0</v>
      </c>
      <c r="EZ52" s="205">
        <f>IF($J52="",#N/A,SUM(EX$4:EX52,EV$4:EV52,ET$4:ET52))</f>
        <v>0</v>
      </c>
      <c r="FA52" s="200" t="str">
        <f t="shared" si="69"/>
        <v/>
      </c>
      <c r="FB52" s="203">
        <f>IF($J52="",#N/A,SUM(FA$4:FA52))</f>
        <v>0</v>
      </c>
      <c r="FC52" s="204" t="str">
        <f t="shared" si="70"/>
        <v/>
      </c>
      <c r="FD52" s="204">
        <f>IF($J52="",#N/A,SUM(FC$4:FC52))</f>
        <v>1.3724148418491529</v>
      </c>
      <c r="FE52" s="205" t="str">
        <f t="shared" si="71"/>
        <v/>
      </c>
      <c r="FF52" s="205">
        <f>IF($J52="",#N/A,SUM(FE$4:FE52))</f>
        <v>-0.11131725417439868</v>
      </c>
      <c r="FG52" s="205">
        <f>IF($J52="",#N/A,SUM(FE$4:FE52,FC$4:FC52,FA$4:FA52))</f>
        <v>1.2610975876747541</v>
      </c>
      <c r="FH52" s="200" t="str">
        <f t="shared" si="72"/>
        <v/>
      </c>
      <c r="FI52" s="203">
        <f>IF($J52="",#N/A,SUM(FH$4:FH52))</f>
        <v>0</v>
      </c>
      <c r="FJ52" s="204" t="str">
        <f t="shared" si="73"/>
        <v/>
      </c>
      <c r="FK52" s="204">
        <f>IF($J52="",#N/A,SUM(FJ$4:FJ52))</f>
        <v>0</v>
      </c>
      <c r="FL52" s="205" t="str">
        <f t="shared" si="74"/>
        <v/>
      </c>
      <c r="FM52" s="205">
        <f>IF($J52="",#N/A,SUM(FL$4:FL52))</f>
        <v>0</v>
      </c>
      <c r="FN52" s="205">
        <f>IF($J52="",#N/A,SUM(FL$4:FL52,FJ$4:FJ52,FH$4:FH52))</f>
        <v>0</v>
      </c>
      <c r="FO52" s="200" t="str">
        <f t="shared" si="75"/>
        <v/>
      </c>
      <c r="FP52" s="203">
        <f>IF($J52="",#N/A,SUM(FO$4:FO52))</f>
        <v>0</v>
      </c>
      <c r="FQ52" s="204" t="str">
        <f t="shared" si="76"/>
        <v/>
      </c>
      <c r="FR52" s="204">
        <f>IF($J52="",#N/A,SUM(FQ$4:FQ52))</f>
        <v>0</v>
      </c>
      <c r="FS52" s="205" t="str">
        <f t="shared" si="77"/>
        <v/>
      </c>
      <c r="FT52" s="205">
        <f>IF($J52="",#N/A,SUM(FS$4:FS52))</f>
        <v>0</v>
      </c>
      <c r="FU52" s="205">
        <f>IF($J52="",#N/A,SUM(FS$4:FS52,FQ$4:FQ52,FO$4:FO52))</f>
        <v>0</v>
      </c>
      <c r="FV52" s="200" t="str">
        <f t="shared" si="78"/>
        <v/>
      </c>
      <c r="FW52" s="203">
        <f>IF($J52="",#N/A,SUM(FV$4:FV52))</f>
        <v>6.6834991831277585E-2</v>
      </c>
      <c r="FX52" s="204" t="str">
        <f t="shared" si="79"/>
        <v/>
      </c>
      <c r="FY52" s="204">
        <f>IF($J52="",#N/A,SUM(FX$4:FX52))</f>
        <v>0</v>
      </c>
      <c r="FZ52" s="205" t="str">
        <f t="shared" si="80"/>
        <v/>
      </c>
      <c r="GA52" s="205">
        <f>IF($J52="",#N/A,SUM(FZ$4:FZ52))</f>
        <v>-0.20104261551371039</v>
      </c>
      <c r="GB52" s="205">
        <f>IF($J52="",#N/A,SUM(FZ$4:FZ52,FX$4:FX52,FV$4:FV52))</f>
        <v>-0.1342076236824328</v>
      </c>
      <c r="GC52" s="200" t="str">
        <f t="shared" si="81"/>
        <v/>
      </c>
      <c r="GD52" s="203">
        <f>IF($J52="",#N/A,SUM(GC$4:GC52))</f>
        <v>0</v>
      </c>
      <c r="GE52" s="204" t="str">
        <f t="shared" si="82"/>
        <v/>
      </c>
      <c r="GF52" s="204">
        <f>IF($J52="",#N/A,SUM(GE$4:GE52))</f>
        <v>0</v>
      </c>
      <c r="GG52" s="205" t="str">
        <f t="shared" si="83"/>
        <v/>
      </c>
      <c r="GH52" s="205">
        <f>IF($J52="",#N/A,SUM(GG$4:GG52))</f>
        <v>-2.9368362277223206</v>
      </c>
      <c r="GI52" s="205">
        <f>IF($J52="",#N/A,SUM(GG$4:GG52,GE$4:GE52,GC$4:GC52))</f>
        <v>-2.9368362277223206</v>
      </c>
      <c r="GJ52" s="200" t="str">
        <f t="shared" si="84"/>
        <v/>
      </c>
      <c r="GK52" s="203">
        <f>IF($J52="",#N/A,SUM(GJ$4:GJ52))</f>
        <v>0</v>
      </c>
      <c r="GL52" s="204">
        <f t="shared" si="85"/>
        <v>-0.51730927576701302</v>
      </c>
      <c r="GM52" s="204">
        <f>IF($J52="",#N/A,SUM(GL$4:GL52))</f>
        <v>-1.0674765946939027</v>
      </c>
      <c r="GN52" s="205" t="str">
        <f t="shared" si="86"/>
        <v/>
      </c>
      <c r="GO52" s="205">
        <f>IF($J52="",#N/A,SUM(GN$4:GN52))</f>
        <v>0</v>
      </c>
      <c r="GP52" s="205">
        <f>IF($J52="",#N/A,SUM(GN$4:GN52,GL$4:GL52,GJ$4:GJ52))</f>
        <v>-1.0674765946939027</v>
      </c>
      <c r="GS52" s="54">
        <f t="shared" si="105"/>
        <v>-0.51730927576701302</v>
      </c>
      <c r="GT52" s="54">
        <f>IF(GS52="",NA(),SUM($GS$4:GS52))</f>
        <v>-7.7875979319335036</v>
      </c>
      <c r="GU52" s="54" t="str">
        <f t="shared" si="87"/>
        <v/>
      </c>
      <c r="GV52" s="54" t="e">
        <f>IF(GU52="",NA(),SUM($GU$4:GU52))</f>
        <v>#N/A</v>
      </c>
      <c r="GW52" s="54" t="str">
        <f t="shared" si="88"/>
        <v/>
      </c>
      <c r="GX52" s="54" t="e">
        <f>IF(GW52="",NA(),SUM($GW$4:GW52))</f>
        <v>#N/A</v>
      </c>
      <c r="GY52" s="54">
        <f t="shared" si="89"/>
        <v>-0.51730927576701302</v>
      </c>
      <c r="GZ52" s="54">
        <f>IF(GY52="",NA(),SUM($GY$4:GY52))</f>
        <v>-2.9352208243324007</v>
      </c>
      <c r="HA52" s="54" t="str">
        <f t="shared" si="90"/>
        <v/>
      </c>
      <c r="HB52" s="54" t="e">
        <f>IF(HA52="",NA(),SUM($HA$4:HA52))</f>
        <v>#N/A</v>
      </c>
      <c r="HC52" s="54" t="str">
        <f t="shared" si="91"/>
        <v/>
      </c>
      <c r="HD52" s="54" t="e">
        <f>IF(HC52="",NA(),SUM($HC$4:HC52))</f>
        <v>#N/A</v>
      </c>
      <c r="HE52" s="54" t="str">
        <f t="shared" si="92"/>
        <v/>
      </c>
      <c r="HF52" s="54" t="e">
        <f>IF(HE52="",NA(),SUM($HE$4:HE52))</f>
        <v>#N/A</v>
      </c>
      <c r="HG52" s="54" t="str">
        <f t="shared" si="93"/>
        <v/>
      </c>
      <c r="HH52" s="54" t="e">
        <f>IF(HG52="",NA(),SUM($HG$4:HG52))</f>
        <v>#N/A</v>
      </c>
      <c r="HI52" s="172" t="str">
        <f t="shared" si="106"/>
        <v/>
      </c>
      <c r="HJ52" s="172">
        <f>IF($J52="",#N/A,SUM(HI$4:$HI52))</f>
        <v>-1.2880161085276005</v>
      </c>
      <c r="HK52" s="54">
        <f t="shared" si="94"/>
        <v>-0.87530877456771483</v>
      </c>
      <c r="HL52" s="54">
        <f>IF($J52="",#N/A,SUM($HK$4:HK52))</f>
        <v>-2.4954101942099189</v>
      </c>
      <c r="HM52" s="54" t="str">
        <f t="shared" si="95"/>
        <v/>
      </c>
      <c r="HN52" s="54">
        <f>IF($J52="",#N/A,SUM($HM$4:HM52))</f>
        <v>0.80449527204317051</v>
      </c>
      <c r="HO52" s="54" t="str">
        <f t="shared" si="96"/>
        <v/>
      </c>
      <c r="HP52" s="54">
        <f>IF($J52="",#N/A,SUM($HO$4:HO52))</f>
        <v>-0.64837295089680658</v>
      </c>
      <c r="HQ52" s="54" t="str">
        <f t="shared" si="97"/>
        <v/>
      </c>
      <c r="HR52" s="54">
        <f>IF($J52="",#N/A,SUM($HQ$4:HQ52))</f>
        <v>-2.153533787035141</v>
      </c>
      <c r="HS52" s="54" t="str">
        <f t="shared" si="98"/>
        <v/>
      </c>
      <c r="HT52" s="54">
        <f>IF($J52="",#N/A,SUM($HS$4:HS52))</f>
        <v>5.0417288140247978</v>
      </c>
      <c r="HU52" s="65">
        <f t="shared" si="99"/>
        <v>-1.3926180503347279</v>
      </c>
      <c r="HV52" s="65">
        <f>IF($J52="",#N/A,SUM(HU$4:$HU52))</f>
        <v>-8.3247180736077198</v>
      </c>
    </row>
    <row r="53" spans="1:230" x14ac:dyDescent="0.25">
      <c r="A53" s="51" t="s">
        <v>1309</v>
      </c>
      <c r="B53" s="52" t="s">
        <v>4501</v>
      </c>
      <c r="C53" s="229">
        <f t="shared" si="0"/>
        <v>3</v>
      </c>
      <c r="D53" s="219" t="str">
        <f>_xlfn.XLOOKUP(A53,[1]SP500!$A$2:$A$502,[1]SP500!$D$2:$D$502,"N")</f>
        <v>Y</v>
      </c>
      <c r="E53" s="51" t="str">
        <f>IFERROR(_xlfn.XLOOKUP(A53,[1]SP500!$A$2:$A$655,[1]SP500!$B$2:$B$655),"")</f>
        <v>XLI</v>
      </c>
      <c r="F53" s="53">
        <v>45769</v>
      </c>
      <c r="G53" s="51" t="str">
        <f t="shared" si="1"/>
        <v>BMO</v>
      </c>
      <c r="H53" s="51" t="str">
        <f t="shared" si="2"/>
        <v>sk</v>
      </c>
      <c r="I53" s="344">
        <v>126.12</v>
      </c>
      <c r="J53" s="124">
        <v>114.53</v>
      </c>
      <c r="K53" s="55">
        <f t="shared" si="3"/>
        <v>-9.1896606406596915E-2</v>
      </c>
      <c r="L53" s="67">
        <f t="shared" si="4"/>
        <v>-107.21301379638453</v>
      </c>
      <c r="M53" s="57" t="e">
        <f t="shared" si="5"/>
        <v>#N/A</v>
      </c>
      <c r="N53" s="155">
        <f t="shared" si="6"/>
        <v>-107.21301379638453</v>
      </c>
      <c r="O53" s="156">
        <f>IF(N53="",#N/A,SUM($N$4:N53))</f>
        <v>-608.22263972975429</v>
      </c>
      <c r="P53" s="65">
        <f t="shared" si="100"/>
        <v>-1.5316101067766166</v>
      </c>
      <c r="Q53" s="172">
        <f>IF($N53="",#N/A,SUM($P$4:P53))</f>
        <v>-9.1172192257828364</v>
      </c>
      <c r="R53" s="279">
        <f t="shared" si="7"/>
        <v>0.97217798342514605</v>
      </c>
      <c r="S53" s="51" t="str">
        <f t="shared" si="8"/>
        <v>SW</v>
      </c>
      <c r="T53" s="51" t="s">
        <v>2828</v>
      </c>
      <c r="U53" s="56">
        <f t="shared" si="9"/>
        <v>126.12</v>
      </c>
      <c r="V53" s="56" t="s">
        <v>4460</v>
      </c>
      <c r="W53" s="340">
        <f>IF(I53="","",1166.67/I53)</f>
        <v>9.2504757373929589</v>
      </c>
      <c r="X53" s="145">
        <f t="shared" si="10"/>
        <v>1166.67</v>
      </c>
      <c r="Y53" s="73">
        <f t="shared" si="11"/>
        <v>9.2504757373929589</v>
      </c>
      <c r="Z53" s="538">
        <f>J53</f>
        <v>114.53</v>
      </c>
      <c r="AA53" s="102">
        <f t="shared" si="12"/>
        <v>-107.21301379638453</v>
      </c>
      <c r="AB53" s="102">
        <f t="shared" si="13"/>
        <v>-114.42838487155109</v>
      </c>
      <c r="AC53" s="124">
        <v>113.75</v>
      </c>
      <c r="AD53" s="155">
        <f t="shared" si="14"/>
        <v>-114.42838487155109</v>
      </c>
      <c r="AE53" s="545">
        <f t="shared" si="15"/>
        <v>-1.6346865419177528</v>
      </c>
      <c r="AF53" s="57">
        <f>IF($AC53="",#N/A,SUM(AD$4:AD53))</f>
        <v>-654.48805627987656</v>
      </c>
      <c r="AG53" s="102">
        <f t="shared" si="16"/>
        <v>-7.2153710751665585</v>
      </c>
      <c r="AH53" s="57" t="s">
        <v>4464</v>
      </c>
      <c r="AI53" s="65">
        <f t="shared" si="17"/>
        <v>0</v>
      </c>
      <c r="AJ53" s="54">
        <f>IF(AI53="",#N/A,SUM($AI$4:AI53))</f>
        <v>-10.089397209207982</v>
      </c>
      <c r="AK53" s="57" t="str">
        <f t="shared" si="18"/>
        <v/>
      </c>
      <c r="AL53" s="58">
        <f>IF(AI53="",#N/A,IF(AH53="Skip",SUM($AK$4:AK53),SUM($AK$4:AK53)))</f>
        <v>-683.97999999999911</v>
      </c>
      <c r="AM53" s="65">
        <f t="shared" si="101"/>
        <v>-1.6346865419177528</v>
      </c>
      <c r="AN53" s="209"/>
      <c r="AO53" s="65">
        <f t="shared" si="19"/>
        <v>-1.6346865419177528</v>
      </c>
      <c r="AP53" s="65">
        <f>IF($AC53="",#N/A,SUM(AO$4:AO53))</f>
        <v>-2.0026014945743027</v>
      </c>
      <c r="AQ53" s="65" t="str">
        <f t="shared" si="20"/>
        <v/>
      </c>
      <c r="AR53" s="65">
        <f>IF($AC53="",#N/A,SUM(AQ$4:AQ53))</f>
        <v>-1.2381559938812483</v>
      </c>
      <c r="AS53" s="65" t="str">
        <f t="shared" si="21"/>
        <v/>
      </c>
      <c r="AT53" s="65">
        <f>IF($AC53="",#N/A,SUM(AS$4:AS53))</f>
        <v>-6.7186471270699215</v>
      </c>
      <c r="AU53" s="57">
        <f t="shared" si="102"/>
        <v>-114.42838487155109</v>
      </c>
      <c r="AV53" s="57">
        <f>IF($AC53="",#N/A,SUM(AU$4:AU53))</f>
        <v>-142.53968337706056</v>
      </c>
      <c r="AW53" s="57" t="str">
        <f t="shared" si="103"/>
        <v/>
      </c>
      <c r="AX53" s="57">
        <f>IF($AC53="",#N/A,SUM(AW$4:AW53))</f>
        <v>-74.660000000000196</v>
      </c>
      <c r="AY53" s="57" t="str">
        <f t="shared" si="104"/>
        <v/>
      </c>
      <c r="AZ53" s="57">
        <f>IF($AC53="",#N/A,SUM(AY$4:AY53))</f>
        <v>-437.28837290281581</v>
      </c>
      <c r="BA53" s="57">
        <f>IF(AD53="",#N/A,SUM($AD$4:AD53))</f>
        <v>-654.48805627987656</v>
      </c>
      <c r="BC53" s="51" t="str">
        <f t="shared" si="22"/>
        <v/>
      </c>
      <c r="BD53" s="51" t="str">
        <f t="shared" si="23"/>
        <v/>
      </c>
      <c r="BE53" s="51" t="str">
        <f t="shared" si="24"/>
        <v/>
      </c>
      <c r="BF53" s="51" t="str">
        <f t="shared" si="25"/>
        <v>Long</v>
      </c>
      <c r="BG53" s="51" t="str">
        <f t="shared" si="26"/>
        <v/>
      </c>
      <c r="BH53" s="51" t="str">
        <f t="shared" si="27"/>
        <v/>
      </c>
      <c r="BI53" s="51">
        <f t="shared" si="28"/>
        <v>1</v>
      </c>
      <c r="BK53" s="65">
        <f t="shared" ref="BK53:BK116" si="108">IFERROR(($Q53-$Q4)/COUNTA($J4:$J53),#N/A)</f>
        <v>-0.17277545103367981</v>
      </c>
      <c r="BL53" s="65">
        <f t="shared" si="107"/>
        <v>-0.33694968191681968</v>
      </c>
      <c r="BM53" s="65">
        <f>IFERROR(Q53/COUNTA($J$4:J53),#N/A)</f>
        <v>-0.18234438451565674</v>
      </c>
      <c r="BO53" s="489">
        <f>IF(J53="",#N/A,IF(S53="SW",(COUNTIFS(K$4:$K53,"&gt;0",S$4:$S53,"SW")/COUNTIF(S$4:$S53,"SW")),#N/A))</f>
        <v>0.4642857142857143</v>
      </c>
      <c r="BP53" s="489" t="e">
        <f>IF($J53="",#N/A,IF($S53="DWN",(COUNTIFS($K$4:$K53,"&lt;0",$S$4:$S53,"DWN")/COUNTIF($S$4:$S53,"DWN")),#N/A))</f>
        <v>#N/A</v>
      </c>
      <c r="BQ53" s="489" t="e">
        <f>IF($J53="",#N/A,IF($S53="UP",(COUNTIFS($K$4:$K53,"&gt;0",$S$4:$S53,"UP")/COUNTIF($S$4:$S53,"UP")),#N/A))</f>
        <v>#N/A</v>
      </c>
      <c r="BR53" s="489">
        <f>IF(J53="",#N/A,COUNTIF($K$4:K53,"&gt;0")/COUNT($J$4:J53))</f>
        <v>0.48</v>
      </c>
      <c r="BS53" s="73" t="str">
        <f t="shared" si="29"/>
        <v/>
      </c>
      <c r="BT53" s="73" t="str">
        <f t="shared" si="30"/>
        <v/>
      </c>
      <c r="BU53" s="73" t="str">
        <f t="shared" si="31"/>
        <v/>
      </c>
      <c r="BV53" s="73" t="str">
        <f t="shared" si="32"/>
        <v/>
      </c>
      <c r="BW53" s="151" t="str">
        <f t="shared" si="33"/>
        <v/>
      </c>
      <c r="BX53" s="151">
        <f>IF($J53="",#N/A,SUM($BW$4:BW53))</f>
        <v>-88.570000000000164</v>
      </c>
      <c r="BY53" s="152" t="str">
        <f t="shared" si="34"/>
        <v/>
      </c>
      <c r="BZ53" s="152">
        <f>IF($J53="",#N/A,SUM($BY$4:BY53))</f>
        <v>-202.86871953149546</v>
      </c>
      <c r="CA53" s="153">
        <f t="shared" si="35"/>
        <v>-107.21301379638453</v>
      </c>
      <c r="CB53" s="154">
        <f>IF($J53="",#N/A,SUM($CA$4:CA53))</f>
        <v>-316.78392019825867</v>
      </c>
      <c r="CC53" s="191" t="str">
        <f t="shared" si="36"/>
        <v/>
      </c>
      <c r="CD53" s="191">
        <f>IF($J53="",#N/A,SUM($CC$4:CC53))</f>
        <v>-1.3942783150276121</v>
      </c>
      <c r="CE53" s="192" t="str">
        <f t="shared" si="37"/>
        <v/>
      </c>
      <c r="CF53" s="192">
        <f>IF($J53="",#N/A,SUM($CE$4:CE53))</f>
        <v>-2.9352208243324007</v>
      </c>
      <c r="CG53" s="193">
        <f t="shared" si="38"/>
        <v>-1.5316101067766166</v>
      </c>
      <c r="CH53" s="193">
        <f>IF($J53="",#N/A,SUM($CG$4:CG53))</f>
        <v>-4.787720086422822</v>
      </c>
      <c r="CI53" s="200" t="str">
        <f t="shared" si="39"/>
        <v/>
      </c>
      <c r="CJ53" s="200">
        <f>IF($J53="",#N/A,SUM(CI$4:CI53))</f>
        <v>0</v>
      </c>
      <c r="CK53" s="201" t="str">
        <f t="shared" si="40"/>
        <v/>
      </c>
      <c r="CL53" s="201">
        <f>IF($J53="",#N/A,SUM(CK$4:CK53))</f>
        <v>0</v>
      </c>
      <c r="CM53" s="202" t="str">
        <f t="shared" si="41"/>
        <v/>
      </c>
      <c r="CN53" s="202">
        <f>IF($J53="",#N/A,SUM(CM$4:CM53))</f>
        <v>0</v>
      </c>
      <c r="CO53" s="202">
        <f>IF($J53="",#N/A,SUM(CM$4:CM53,CK$4:CK53,CI$4:CI53))</f>
        <v>0</v>
      </c>
      <c r="CP53" s="200" t="str">
        <f t="shared" si="42"/>
        <v/>
      </c>
      <c r="CQ53" s="200">
        <f>IF($J53="",#N/A,SUM(CP$4:CP53))</f>
        <v>0</v>
      </c>
      <c r="CR53" s="201" t="str">
        <f t="shared" si="43"/>
        <v/>
      </c>
      <c r="CS53" s="201">
        <f>IF($J53="",#N/A,SUM(CR$4:CR53))</f>
        <v>0</v>
      </c>
      <c r="CT53" s="202" t="str">
        <f t="shared" si="44"/>
        <v/>
      </c>
      <c r="CU53" s="202">
        <f>IF($J53="",#N/A,SUM(CT$4:CT53))</f>
        <v>0</v>
      </c>
      <c r="CV53" s="202">
        <f>IF($J53="",#N/A,SUM(CT$4:CT53,CR$4:CR53,CP$4:CP53))</f>
        <v>0</v>
      </c>
      <c r="CW53" s="200" t="str">
        <f t="shared" si="45"/>
        <v/>
      </c>
      <c r="CX53" s="200">
        <f>IF($J53="",#N/A,SUM(CW$4:CW53))</f>
        <v>0</v>
      </c>
      <c r="CY53" s="201" t="str">
        <f t="shared" si="46"/>
        <v/>
      </c>
      <c r="CZ53" s="201">
        <f>IF($J53="",#N/A,SUM(CY$4:CY53))</f>
        <v>-0.63271328921481373</v>
      </c>
      <c r="DA53" s="202" t="str">
        <f t="shared" si="47"/>
        <v/>
      </c>
      <c r="DB53" s="202">
        <f>IF($J53="",#N/A,SUM(DA$4:DA53))</f>
        <v>0</v>
      </c>
      <c r="DC53" s="202">
        <f>IF($J53="",#N/A,SUM(DA$4:DA53,CY$4:CY53,CW$4:CW53))</f>
        <v>-0.63271328921481373</v>
      </c>
      <c r="DD53" s="200" t="str">
        <f t="shared" si="48"/>
        <v/>
      </c>
      <c r="DE53" s="200">
        <f>IF($J53="",#N/A,SUM(DD$4:DD53))</f>
        <v>0</v>
      </c>
      <c r="DF53" s="201" t="str">
        <f t="shared" si="49"/>
        <v/>
      </c>
      <c r="DG53" s="201">
        <f>IF($J53="",#N/A,SUM(DF$4:DF53))</f>
        <v>0.6788440567066546</v>
      </c>
      <c r="DH53" s="202" t="str">
        <f t="shared" si="50"/>
        <v/>
      </c>
      <c r="DI53" s="202">
        <f>IF($J53="",#N/A,SUM(DH$4:DH53))</f>
        <v>0</v>
      </c>
      <c r="DJ53" s="202">
        <f>IF($J53="",#N/A,SUM(DH$4:DH53,DF$4:DF53,DD$4:DD53))</f>
        <v>0.6788440567066546</v>
      </c>
      <c r="DK53" s="200" t="str">
        <f t="shared" si="51"/>
        <v/>
      </c>
      <c r="DL53" s="200">
        <f>IF($J53="",#N/A,SUM(DK$4:DK53))</f>
        <v>0</v>
      </c>
      <c r="DM53" s="201" t="str">
        <f t="shared" si="52"/>
        <v/>
      </c>
      <c r="DN53" s="201">
        <f>IF($J53="",#N/A,SUM(DM$4:DM53))</f>
        <v>0.36227168206863897</v>
      </c>
      <c r="DO53" s="202" t="str">
        <f t="shared" si="53"/>
        <v/>
      </c>
      <c r="DP53" s="202">
        <f>IF($J53="",#N/A,SUM(DO$4:DO53))</f>
        <v>-0.17018269154375754</v>
      </c>
      <c r="DQ53" s="202">
        <f>IF($J53="",#N/A,SUM(DO$4:DO53,DM$4:DM53,DK$4:DK53))</f>
        <v>0.19208899052488143</v>
      </c>
      <c r="DR53" s="200" t="str">
        <f t="shared" si="54"/>
        <v/>
      </c>
      <c r="DS53" s="200">
        <f>IF($J53="",#N/A,SUM(DR$4:DR53))</f>
        <v>0</v>
      </c>
      <c r="DT53" s="201" t="str">
        <f t="shared" si="55"/>
        <v/>
      </c>
      <c r="DU53" s="201">
        <f>IF($J53="",#N/A,SUM(DT$4:DT53))</f>
        <v>-2.8875364672150718</v>
      </c>
      <c r="DV53" s="202" t="str">
        <f t="shared" si="56"/>
        <v/>
      </c>
      <c r="DW53" s="202">
        <f>IF($J53="",#N/A,SUM(DV$4:DV53))</f>
        <v>-0.89834078198379175</v>
      </c>
      <c r="DX53" s="202">
        <f>IF($J53="",#N/A,SUM(DV$4:DV53,DT$4:DT53,DR$4:DR53))</f>
        <v>-3.7858772491988635</v>
      </c>
      <c r="DY53" s="200" t="str">
        <f t="shared" si="57"/>
        <v/>
      </c>
      <c r="DZ53" s="200">
        <f>IF($J53="",#N/A,SUM(DY$4:DY53))</f>
        <v>-1.4611133068588897</v>
      </c>
      <c r="EA53" s="201" t="str">
        <f t="shared" si="58"/>
        <v/>
      </c>
      <c r="EB53" s="201">
        <f>IF($J53="",#N/A,SUM(EA$4:EA53))</f>
        <v>0.43517953094202633</v>
      </c>
      <c r="EC53" s="202">
        <f t="shared" si="59"/>
        <v>-1.5316101067766166</v>
      </c>
      <c r="ED53" s="202">
        <f>IF($J53="",#N/A,SUM(EC$4:EC53))</f>
        <v>-1.0735388489326645</v>
      </c>
      <c r="EE53" s="202">
        <f>IF($J53="",#N/A,SUM(EC$4:EC53,EA$4:EA53,DY$4:DY53))</f>
        <v>-2.0994726248495277</v>
      </c>
      <c r="EF53" s="200" t="str">
        <f t="shared" si="60"/>
        <v/>
      </c>
      <c r="EG53" s="200">
        <f>IF($J53="",#N/A,SUM(EF$4:EF53))</f>
        <v>0</v>
      </c>
      <c r="EH53" s="201" t="str">
        <f t="shared" si="61"/>
        <v/>
      </c>
      <c r="EI53" s="201">
        <f>IF($J53="",#N/A,SUM(EH$4:EH53))</f>
        <v>-1.196204584775086</v>
      </c>
      <c r="EJ53" s="202" t="str">
        <f t="shared" si="62"/>
        <v/>
      </c>
      <c r="EK53" s="202">
        <f>IF($J53="",#N/A,SUM(EJ$4:EJ53))</f>
        <v>0.6035383334478206</v>
      </c>
      <c r="EL53" s="202">
        <f>IF($J53="",#N/A,SUM(EJ$4:EJ53,EH$4:EH53,EF$4:EF53))</f>
        <v>-0.59266625132726536</v>
      </c>
      <c r="EM53" s="200" t="str">
        <f t="shared" si="63"/>
        <v/>
      </c>
      <c r="EN53" s="200">
        <f>IF($J53="",#N/A,SUM(EM$4:EM53))</f>
        <v>0</v>
      </c>
      <c r="EO53" s="201" t="str">
        <f t="shared" si="64"/>
        <v/>
      </c>
      <c r="EP53" s="201">
        <f>IF($J53="",#N/A,SUM(EO$4:EO53))</f>
        <v>0</v>
      </c>
      <c r="EQ53" s="202" t="str">
        <f t="shared" si="65"/>
        <v/>
      </c>
      <c r="ER53" s="202">
        <f>IF($J53="",#N/A,SUM(EQ$4:EQ53))</f>
        <v>0</v>
      </c>
      <c r="ES53" s="202">
        <f>IF($J53="",#N/A,SUM(EQ$4:EQ53,EO$4:EO53,EM$4:EM53))</f>
        <v>0</v>
      </c>
      <c r="ET53" s="200" t="str">
        <f t="shared" si="66"/>
        <v/>
      </c>
      <c r="EU53" s="200">
        <f>IF($J53="",#N/A,SUM(ET$4:ET53))</f>
        <v>0</v>
      </c>
      <c r="EV53" s="201" t="str">
        <f t="shared" si="67"/>
        <v/>
      </c>
      <c r="EW53" s="201">
        <f>IF($J53="",#N/A,SUM(EV$4:EV53))</f>
        <v>0</v>
      </c>
      <c r="EX53" s="202" t="str">
        <f t="shared" si="68"/>
        <v/>
      </c>
      <c r="EY53" s="202">
        <f>IF($J53="",#N/A,SUM(EX$4:EX53))</f>
        <v>0</v>
      </c>
      <c r="EZ53" s="202">
        <f>IF($J53="",#N/A,SUM(EX$4:EX53,EV$4:EV53,ET$4:ET53))</f>
        <v>0</v>
      </c>
      <c r="FA53" s="200" t="str">
        <f t="shared" si="69"/>
        <v/>
      </c>
      <c r="FB53" s="200">
        <f>IF($J53="",#N/A,SUM(FA$4:FA53))</f>
        <v>0</v>
      </c>
      <c r="FC53" s="201" t="str">
        <f t="shared" si="70"/>
        <v/>
      </c>
      <c r="FD53" s="201">
        <f>IF($J53="",#N/A,SUM(FC$4:FC53))</f>
        <v>1.3724148418491529</v>
      </c>
      <c r="FE53" s="202" t="str">
        <f t="shared" si="71"/>
        <v/>
      </c>
      <c r="FF53" s="202">
        <f>IF($J53="",#N/A,SUM(FE$4:FE53))</f>
        <v>-0.11131725417439868</v>
      </c>
      <c r="FG53" s="202">
        <f>IF($J53="",#N/A,SUM(FE$4:FE53,FC$4:FC53,FA$4:FA53))</f>
        <v>1.2610975876747541</v>
      </c>
      <c r="FH53" s="200" t="str">
        <f t="shared" si="72"/>
        <v/>
      </c>
      <c r="FI53" s="200">
        <f>IF($J53="",#N/A,SUM(FH$4:FH53))</f>
        <v>0</v>
      </c>
      <c r="FJ53" s="201" t="str">
        <f t="shared" si="73"/>
        <v/>
      </c>
      <c r="FK53" s="201">
        <f>IF($J53="",#N/A,SUM(FJ$4:FJ53))</f>
        <v>0</v>
      </c>
      <c r="FL53" s="202" t="str">
        <f t="shared" si="74"/>
        <v/>
      </c>
      <c r="FM53" s="202">
        <f>IF($J53="",#N/A,SUM(FL$4:FL53))</f>
        <v>0</v>
      </c>
      <c r="FN53" s="202">
        <f>IF($J53="",#N/A,SUM(FL$4:FL53,FJ$4:FJ53,FH$4:FH53))</f>
        <v>0</v>
      </c>
      <c r="FO53" s="200" t="str">
        <f t="shared" si="75"/>
        <v/>
      </c>
      <c r="FP53" s="200">
        <f>IF($J53="",#N/A,SUM(FO$4:FO53))</f>
        <v>0</v>
      </c>
      <c r="FQ53" s="201" t="str">
        <f t="shared" si="76"/>
        <v/>
      </c>
      <c r="FR53" s="201">
        <f>IF($J53="",#N/A,SUM(FQ$4:FQ53))</f>
        <v>0</v>
      </c>
      <c r="FS53" s="202" t="str">
        <f t="shared" si="77"/>
        <v/>
      </c>
      <c r="FT53" s="202">
        <f>IF($J53="",#N/A,SUM(FS$4:FS53))</f>
        <v>0</v>
      </c>
      <c r="FU53" s="202">
        <f>IF($J53="",#N/A,SUM(FS$4:FS53,FQ$4:FQ53,FO$4:FO53))</f>
        <v>0</v>
      </c>
      <c r="FV53" s="200" t="str">
        <f t="shared" si="78"/>
        <v/>
      </c>
      <c r="FW53" s="200">
        <f>IF($J53="",#N/A,SUM(FV$4:FV53))</f>
        <v>6.6834991831277585E-2</v>
      </c>
      <c r="FX53" s="201" t="str">
        <f t="shared" si="79"/>
        <v/>
      </c>
      <c r="FY53" s="201">
        <f>IF($J53="",#N/A,SUM(FX$4:FX53))</f>
        <v>0</v>
      </c>
      <c r="FZ53" s="202" t="str">
        <f t="shared" si="80"/>
        <v/>
      </c>
      <c r="GA53" s="202">
        <f>IF($J53="",#N/A,SUM(FZ$4:FZ53))</f>
        <v>-0.20104261551371039</v>
      </c>
      <c r="GB53" s="202">
        <f>IF($J53="",#N/A,SUM(FZ$4:FZ53,FX$4:FX53,FV$4:FV53))</f>
        <v>-0.1342076236824328</v>
      </c>
      <c r="GC53" s="200" t="str">
        <f t="shared" si="81"/>
        <v/>
      </c>
      <c r="GD53" s="200">
        <f>IF($J53="",#N/A,SUM(GC$4:GC53))</f>
        <v>0</v>
      </c>
      <c r="GE53" s="201" t="str">
        <f t="shared" si="82"/>
        <v/>
      </c>
      <c r="GF53" s="201">
        <f>IF($J53="",#N/A,SUM(GE$4:GE53))</f>
        <v>0</v>
      </c>
      <c r="GG53" s="202" t="str">
        <f t="shared" si="83"/>
        <v/>
      </c>
      <c r="GH53" s="202">
        <f>IF($J53="",#N/A,SUM(GG$4:GG53))</f>
        <v>-2.9368362277223206</v>
      </c>
      <c r="GI53" s="202">
        <f>IF($J53="",#N/A,SUM(GG$4:GG53,GE$4:GE53,GC$4:GC53))</f>
        <v>-2.9368362277223206</v>
      </c>
      <c r="GJ53" s="200" t="str">
        <f t="shared" si="84"/>
        <v/>
      </c>
      <c r="GK53" s="200">
        <f>IF($J53="",#N/A,SUM(GJ$4:GJ53))</f>
        <v>0</v>
      </c>
      <c r="GL53" s="201" t="str">
        <f t="shared" si="85"/>
        <v/>
      </c>
      <c r="GM53" s="201">
        <f>IF($J53="",#N/A,SUM(GL$4:GL53))</f>
        <v>-1.0674765946939027</v>
      </c>
      <c r="GN53" s="202" t="str">
        <f t="shared" si="86"/>
        <v/>
      </c>
      <c r="GO53" s="202">
        <f>IF($J53="",#N/A,SUM(GN$4:GN53))</f>
        <v>0</v>
      </c>
      <c r="GP53" s="202">
        <f>IF($J53="",#N/A,SUM(GN$4:GN53,GL$4:GL53,GJ$4:GJ53))</f>
        <v>-1.0674765946939027</v>
      </c>
      <c r="GS53" s="54">
        <f t="shared" si="105"/>
        <v>-1.5316101067766166</v>
      </c>
      <c r="GT53" s="54">
        <f>IF(GS53="",NA(),SUM($GS$4:GS53))</f>
        <v>-9.3192080387101193</v>
      </c>
      <c r="GU53" s="54" t="str">
        <f t="shared" si="87"/>
        <v/>
      </c>
      <c r="GV53" s="54" t="e">
        <f>IF(GU53="",NA(),SUM($GU$4:GU53))</f>
        <v>#N/A</v>
      </c>
      <c r="GW53" s="54">
        <f t="shared" si="88"/>
        <v>-1.5316101067766166</v>
      </c>
      <c r="GX53" s="54">
        <f>IF(GW53="",NA(),SUM($GW$4:GW53))</f>
        <v>-4.9897088993501075</v>
      </c>
      <c r="GY53" s="54" t="str">
        <f t="shared" si="89"/>
        <v/>
      </c>
      <c r="GZ53" s="54" t="e">
        <f>IF(GY53="",NA(),SUM($GY$4:GY53))</f>
        <v>#N/A</v>
      </c>
      <c r="HA53" s="54" t="str">
        <f t="shared" si="90"/>
        <v/>
      </c>
      <c r="HB53" s="54" t="e">
        <f>IF(HA53="",NA(),SUM($HA$4:HA53))</f>
        <v>#N/A</v>
      </c>
      <c r="HC53" s="54" t="str">
        <f t="shared" si="91"/>
        <v/>
      </c>
      <c r="HD53" s="54" t="e">
        <f>IF(HC53="",NA(),SUM($HC$4:HC53))</f>
        <v>#N/A</v>
      </c>
      <c r="HE53" s="54" t="str">
        <f t="shared" si="92"/>
        <v/>
      </c>
      <c r="HF53" s="54" t="e">
        <f>IF(HE53="",NA(),SUM($HE$4:HE53))</f>
        <v>#N/A</v>
      </c>
      <c r="HG53" s="54" t="str">
        <f t="shared" si="93"/>
        <v/>
      </c>
      <c r="HH53" s="54" t="e">
        <f>IF(HG53="",NA(),SUM($HG$4:HG53))</f>
        <v>#N/A</v>
      </c>
      <c r="HI53" s="172" t="str">
        <f t="shared" si="106"/>
        <v/>
      </c>
      <c r="HJ53" s="172">
        <f>IF($J53="",#N/A,SUM(HI$4:$HI53))</f>
        <v>-1.2880161085276005</v>
      </c>
      <c r="HK53" s="54" t="str">
        <f t="shared" si="94"/>
        <v/>
      </c>
      <c r="HL53" s="54">
        <f>IF($J53="",#N/A,SUM($HK$4:HK53))</f>
        <v>-2.4954101942099189</v>
      </c>
      <c r="HM53" s="54" t="str">
        <f t="shared" si="95"/>
        <v/>
      </c>
      <c r="HN53" s="54">
        <f>IF($J53="",#N/A,SUM($HM$4:HM53))</f>
        <v>0.80449527204317051</v>
      </c>
      <c r="HO53" s="54" t="str">
        <f t="shared" si="96"/>
        <v/>
      </c>
      <c r="HP53" s="54">
        <f>IF($J53="",#N/A,SUM($HO$4:HO53))</f>
        <v>-0.64837295089680658</v>
      </c>
      <c r="HQ53" s="54" t="str">
        <f t="shared" si="97"/>
        <v/>
      </c>
      <c r="HR53" s="54">
        <f>IF($J53="",#N/A,SUM($HQ$4:HQ53))</f>
        <v>-2.153533787035141</v>
      </c>
      <c r="HS53" s="54">
        <f t="shared" si="98"/>
        <v>-0.10307643514113618</v>
      </c>
      <c r="HT53" s="54">
        <f>IF($J53="",#N/A,SUM($HS$4:HS53))</f>
        <v>4.9386523788836616</v>
      </c>
      <c r="HU53" s="65">
        <f t="shared" si="99"/>
        <v>-1.6346865419177528</v>
      </c>
      <c r="HV53" s="65">
        <f>IF($J53="",#N/A,SUM(HU$4:$HU53))</f>
        <v>-9.9594046155254716</v>
      </c>
    </row>
    <row r="54" spans="1:230" x14ac:dyDescent="0.25">
      <c r="A54" s="51" t="s">
        <v>1411</v>
      </c>
      <c r="B54" s="52" t="s">
        <v>4501</v>
      </c>
      <c r="C54" s="229">
        <f t="shared" si="0"/>
        <v>3</v>
      </c>
      <c r="D54" s="219" t="str">
        <f>_xlfn.XLOOKUP(A54,[1]SP500!$A$2:$A$502,[1]SP500!$D$2:$D$502,"N")</f>
        <v>Y</v>
      </c>
      <c r="E54" s="51" t="str">
        <f>IFERROR(_xlfn.XLOOKUP(A54,[1]SP500!$A$2:$A$655,[1]SP500!$B$2:$B$655),"")</f>
        <v>XLP</v>
      </c>
      <c r="F54" s="53">
        <v>45769</v>
      </c>
      <c r="G54" s="51" t="str">
        <f t="shared" si="1"/>
        <v>BMO</v>
      </c>
      <c r="H54" s="51" t="str">
        <f t="shared" si="2"/>
        <v>sk</v>
      </c>
      <c r="I54" s="344">
        <v>140.07</v>
      </c>
      <c r="J54" s="123">
        <v>133.08000000000001</v>
      </c>
      <c r="K54" s="55">
        <f t="shared" si="3"/>
        <v>-4.9903619618761913E-2</v>
      </c>
      <c r="L54" s="67">
        <f t="shared" si="4"/>
        <v>-58.22105590062074</v>
      </c>
      <c r="M54" s="57" t="e">
        <f t="shared" si="5"/>
        <v>#N/A</v>
      </c>
      <c r="N54" s="155">
        <f t="shared" si="6"/>
        <v>-58.22105590062074</v>
      </c>
      <c r="O54" s="156">
        <f>IF(N54="",#N/A,SUM($N$4:N54))</f>
        <v>-666.44369563037503</v>
      </c>
      <c r="P54" s="65">
        <f t="shared" si="100"/>
        <v>-0.83172699364602887</v>
      </c>
      <c r="Q54" s="172">
        <f>IF($N54="",#N/A,SUM($P$4:P54))</f>
        <v>-9.9489462194288656</v>
      </c>
      <c r="R54" s="279">
        <f t="shared" si="7"/>
        <v>0.14045098977911685</v>
      </c>
      <c r="S54" s="51" t="str">
        <f t="shared" si="8"/>
        <v>SW</v>
      </c>
      <c r="T54" s="51" t="s">
        <v>2828</v>
      </c>
      <c r="U54" s="56">
        <f t="shared" si="9"/>
        <v>140.07</v>
      </c>
      <c r="V54" s="56" t="s">
        <v>4460</v>
      </c>
      <c r="W54" s="340">
        <f>IF(I54="","",1166.67/I54)</f>
        <v>8.329192546583851</v>
      </c>
      <c r="X54" s="145">
        <f t="shared" si="10"/>
        <v>1166.6699999999998</v>
      </c>
      <c r="Y54" s="73">
        <f t="shared" si="11"/>
        <v>8.329192546583851</v>
      </c>
      <c r="Z54" s="538">
        <f>J54</f>
        <v>133.08000000000001</v>
      </c>
      <c r="AA54" s="102">
        <f t="shared" si="12"/>
        <v>-58.22105590062074</v>
      </c>
      <c r="AB54" s="102">
        <f t="shared" si="13"/>
        <v>-17.907763975155149</v>
      </c>
      <c r="AC54" s="124">
        <v>137.91999999999999</v>
      </c>
      <c r="AD54" s="155">
        <f t="shared" si="14"/>
        <v>-17.907763975155149</v>
      </c>
      <c r="AE54" s="545">
        <f t="shared" si="15"/>
        <v>-0.25582446871802011</v>
      </c>
      <c r="AF54" s="57">
        <f>IF($AC54="",#N/A,SUM(AD$4:AD54))</f>
        <v>-672.39582025503171</v>
      </c>
      <c r="AG54" s="102">
        <f t="shared" si="16"/>
        <v>40.313291925465592</v>
      </c>
      <c r="AH54" s="57" t="s">
        <v>4464</v>
      </c>
      <c r="AI54" s="65">
        <f t="shared" si="17"/>
        <v>0</v>
      </c>
      <c r="AJ54" s="54">
        <f>IF(AI54="",#N/A,SUM($AI$4:AI54))</f>
        <v>-10.089397209207982</v>
      </c>
      <c r="AK54" s="57" t="str">
        <f t="shared" si="18"/>
        <v/>
      </c>
      <c r="AL54" s="58">
        <f>IF(AI54="",#N/A,IF(AH54="Skip",SUM($AK$4:AK54),SUM($AK$4:AK54)))</f>
        <v>-683.97999999999911</v>
      </c>
      <c r="AM54" s="65">
        <f t="shared" si="101"/>
        <v>-0.25582446871802011</v>
      </c>
      <c r="AN54" s="209"/>
      <c r="AO54" s="65">
        <f t="shared" si="19"/>
        <v>-0.25582446871802011</v>
      </c>
      <c r="AP54" s="65">
        <f>IF($AC54="",#N/A,SUM(AO$4:AO54))</f>
        <v>-2.2584259632923227</v>
      </c>
      <c r="AQ54" s="65" t="str">
        <f t="shared" si="20"/>
        <v/>
      </c>
      <c r="AR54" s="65">
        <f>IF($AC54="",#N/A,SUM(AQ$4:AQ54))</f>
        <v>-1.2381559938812483</v>
      </c>
      <c r="AS54" s="65" t="str">
        <f t="shared" si="21"/>
        <v/>
      </c>
      <c r="AT54" s="65">
        <f>IF($AC54="",#N/A,SUM(AS$4:AS54))</f>
        <v>-6.7186471270699215</v>
      </c>
      <c r="AU54" s="57">
        <f t="shared" si="102"/>
        <v>-17.907763975155149</v>
      </c>
      <c r="AV54" s="57">
        <f>IF($AC54="",#N/A,SUM(AU$4:AU54))</f>
        <v>-160.4474473522157</v>
      </c>
      <c r="AW54" s="57" t="str">
        <f t="shared" si="103"/>
        <v/>
      </c>
      <c r="AX54" s="57">
        <f>IF($AC54="",#N/A,SUM(AW$4:AW54))</f>
        <v>-74.660000000000196</v>
      </c>
      <c r="AY54" s="57" t="str">
        <f t="shared" si="104"/>
        <v/>
      </c>
      <c r="AZ54" s="57">
        <f>IF($AC54="",#N/A,SUM(AY$4:AY54))</f>
        <v>-437.28837290281581</v>
      </c>
      <c r="BA54" s="57">
        <f>IF(AD54="",#N/A,SUM($AD$4:AD54))</f>
        <v>-672.39582025503171</v>
      </c>
      <c r="BC54" s="51" t="str">
        <f t="shared" si="22"/>
        <v/>
      </c>
      <c r="BD54" s="51" t="str">
        <f t="shared" si="23"/>
        <v/>
      </c>
      <c r="BE54" s="51" t="str">
        <f t="shared" si="24"/>
        <v/>
      </c>
      <c r="BF54" s="51" t="str">
        <f t="shared" si="25"/>
        <v>Long</v>
      </c>
      <c r="BG54" s="51" t="str">
        <f t="shared" si="26"/>
        <v/>
      </c>
      <c r="BH54" s="51" t="str">
        <f t="shared" si="27"/>
        <v/>
      </c>
      <c r="BI54" s="51">
        <f t="shared" si="28"/>
        <v>1</v>
      </c>
      <c r="BK54" s="65">
        <f t="shared" si="108"/>
        <v>-0.20298687204073348</v>
      </c>
      <c r="BL54" s="65">
        <f t="shared" si="107"/>
        <v>-0.38670024314414236</v>
      </c>
      <c r="BM54" s="65">
        <f>IFERROR(Q54/COUNTA($J$4:J54),#N/A)</f>
        <v>-0.19507737685154639</v>
      </c>
      <c r="BO54" s="489">
        <f>IF(J54="",#N/A,IF(S54="SW",(COUNTIFS(K$4:$K54,"&gt;0",S$4:$S54,"SW")/COUNTIF(S$4:$S54,"SW")),#N/A))</f>
        <v>0.44827586206896552</v>
      </c>
      <c r="BP54" s="489" t="e">
        <f>IF($J54="",#N/A,IF($S54="DWN",(COUNTIFS($K$4:$K54,"&lt;0",$S$4:$S54,"DWN")/COUNTIF($S$4:$S54,"DWN")),#N/A))</f>
        <v>#N/A</v>
      </c>
      <c r="BQ54" s="489" t="e">
        <f>IF($J54="",#N/A,IF($S54="UP",(COUNTIFS($K$4:$K54,"&gt;0",$S$4:$S54,"UP")/COUNTIF($S$4:$S54,"UP")),#N/A))</f>
        <v>#N/A</v>
      </c>
      <c r="BR54" s="489">
        <f>IF(J54="",#N/A,COUNTIF($K$4:K54,"&gt;0")/COUNT($J$4:J54))</f>
        <v>0.47058823529411764</v>
      </c>
      <c r="BS54" s="73" t="str">
        <f t="shared" si="29"/>
        <v/>
      </c>
      <c r="BT54" s="73" t="str">
        <f t="shared" si="30"/>
        <v/>
      </c>
      <c r="BU54" s="73" t="str">
        <f t="shared" si="31"/>
        <v/>
      </c>
      <c r="BV54" s="73" t="str">
        <f t="shared" si="32"/>
        <v/>
      </c>
      <c r="BW54" s="151" t="str">
        <f t="shared" si="33"/>
        <v/>
      </c>
      <c r="BX54" s="151">
        <f>IF($J54="",#N/A,SUM($BW$4:BW54))</f>
        <v>-88.570000000000164</v>
      </c>
      <c r="BY54" s="152" t="str">
        <f t="shared" si="34"/>
        <v/>
      </c>
      <c r="BZ54" s="152">
        <f>IF($J54="",#N/A,SUM($BY$4:BY54))</f>
        <v>-202.86871953149546</v>
      </c>
      <c r="CA54" s="153">
        <f t="shared" si="35"/>
        <v>-58.22105590062074</v>
      </c>
      <c r="CB54" s="154">
        <f>IF($J54="",#N/A,SUM($CA$4:CA54))</f>
        <v>-375.00497609887941</v>
      </c>
      <c r="CC54" s="191" t="str">
        <f t="shared" si="36"/>
        <v/>
      </c>
      <c r="CD54" s="191">
        <f>IF($J54="",#N/A,SUM($CC$4:CC54))</f>
        <v>-1.3942783150276121</v>
      </c>
      <c r="CE54" s="192" t="str">
        <f t="shared" si="37"/>
        <v/>
      </c>
      <c r="CF54" s="192">
        <f>IF($J54="",#N/A,SUM($CE$4:CE54))</f>
        <v>-2.9352208243324007</v>
      </c>
      <c r="CG54" s="193">
        <f t="shared" si="38"/>
        <v>-0.83172699364602887</v>
      </c>
      <c r="CH54" s="193">
        <f>IF($J54="",#N/A,SUM($CG$4:CG54))</f>
        <v>-5.6194470800688512</v>
      </c>
      <c r="CI54" s="200" t="str">
        <f t="shared" si="39"/>
        <v/>
      </c>
      <c r="CJ54" s="200">
        <f>IF($J54="",#N/A,SUM(CI$4:CI54))</f>
        <v>0</v>
      </c>
      <c r="CK54" s="201" t="str">
        <f t="shared" si="40"/>
        <v/>
      </c>
      <c r="CL54" s="201">
        <f>IF($J54="",#N/A,SUM(CK$4:CK54))</f>
        <v>0</v>
      </c>
      <c r="CM54" s="202" t="str">
        <f t="shared" si="41"/>
        <v/>
      </c>
      <c r="CN54" s="202">
        <f>IF($J54="",#N/A,SUM(CM$4:CM54))</f>
        <v>0</v>
      </c>
      <c r="CO54" s="202">
        <f>IF($J54="",#N/A,SUM(CM$4:CM54,CK$4:CK54,CI$4:CI54))</f>
        <v>0</v>
      </c>
      <c r="CP54" s="200" t="str">
        <f t="shared" si="42"/>
        <v/>
      </c>
      <c r="CQ54" s="200">
        <f>IF($J54="",#N/A,SUM(CP$4:CP54))</f>
        <v>0</v>
      </c>
      <c r="CR54" s="201" t="str">
        <f t="shared" si="43"/>
        <v/>
      </c>
      <c r="CS54" s="201">
        <f>IF($J54="",#N/A,SUM(CR$4:CR54))</f>
        <v>0</v>
      </c>
      <c r="CT54" s="202" t="str">
        <f t="shared" si="44"/>
        <v/>
      </c>
      <c r="CU54" s="202">
        <f>IF($J54="",#N/A,SUM(CT$4:CT54))</f>
        <v>0</v>
      </c>
      <c r="CV54" s="202">
        <f>IF($J54="",#N/A,SUM(CT$4:CT54,CR$4:CR54,CP$4:CP54))</f>
        <v>0</v>
      </c>
      <c r="CW54" s="200" t="str">
        <f t="shared" si="45"/>
        <v/>
      </c>
      <c r="CX54" s="200">
        <f>IF($J54="",#N/A,SUM(CW$4:CW54))</f>
        <v>0</v>
      </c>
      <c r="CY54" s="201" t="str">
        <f t="shared" si="46"/>
        <v/>
      </c>
      <c r="CZ54" s="201">
        <f>IF($J54="",#N/A,SUM(CY$4:CY54))</f>
        <v>-0.63271328921481373</v>
      </c>
      <c r="DA54" s="202" t="str">
        <f t="shared" si="47"/>
        <v/>
      </c>
      <c r="DB54" s="202">
        <f>IF($J54="",#N/A,SUM(DA$4:DA54))</f>
        <v>0</v>
      </c>
      <c r="DC54" s="202">
        <f>IF($J54="",#N/A,SUM(DA$4:DA54,CY$4:CY54,CW$4:CW54))</f>
        <v>-0.63271328921481373</v>
      </c>
      <c r="DD54" s="200" t="str">
        <f t="shared" si="48"/>
        <v/>
      </c>
      <c r="DE54" s="200">
        <f>IF($J54="",#N/A,SUM(DD$4:DD54))</f>
        <v>0</v>
      </c>
      <c r="DF54" s="201" t="str">
        <f t="shared" si="49"/>
        <v/>
      </c>
      <c r="DG54" s="201">
        <f>IF($J54="",#N/A,SUM(DF$4:DF54))</f>
        <v>0.6788440567066546</v>
      </c>
      <c r="DH54" s="202">
        <f t="shared" si="50"/>
        <v>-0.83172699364602887</v>
      </c>
      <c r="DI54" s="202">
        <f>IF($J54="",#N/A,SUM(DH$4:DH54))</f>
        <v>-0.83172699364602887</v>
      </c>
      <c r="DJ54" s="202">
        <f>IF($J54="",#N/A,SUM(DH$4:DH54,DF$4:DF54,DD$4:DD54))</f>
        <v>-0.15288293693937427</v>
      </c>
      <c r="DK54" s="200" t="str">
        <f t="shared" si="51"/>
        <v/>
      </c>
      <c r="DL54" s="200">
        <f>IF($J54="",#N/A,SUM(DK$4:DK54))</f>
        <v>0</v>
      </c>
      <c r="DM54" s="201" t="str">
        <f t="shared" si="52"/>
        <v/>
      </c>
      <c r="DN54" s="201">
        <f>IF($J54="",#N/A,SUM(DM$4:DM54))</f>
        <v>0.36227168206863897</v>
      </c>
      <c r="DO54" s="202" t="str">
        <f t="shared" si="53"/>
        <v/>
      </c>
      <c r="DP54" s="202">
        <f>IF($J54="",#N/A,SUM(DO$4:DO54))</f>
        <v>-0.17018269154375754</v>
      </c>
      <c r="DQ54" s="202">
        <f>IF($J54="",#N/A,SUM(DO$4:DO54,DM$4:DM54,DK$4:DK54))</f>
        <v>0.19208899052488143</v>
      </c>
      <c r="DR54" s="200" t="str">
        <f t="shared" si="54"/>
        <v/>
      </c>
      <c r="DS54" s="200">
        <f>IF($J54="",#N/A,SUM(DR$4:DR54))</f>
        <v>0</v>
      </c>
      <c r="DT54" s="201" t="str">
        <f t="shared" si="55"/>
        <v/>
      </c>
      <c r="DU54" s="201">
        <f>IF($J54="",#N/A,SUM(DT$4:DT54))</f>
        <v>-2.8875364672150718</v>
      </c>
      <c r="DV54" s="202" t="str">
        <f t="shared" si="56"/>
        <v/>
      </c>
      <c r="DW54" s="202">
        <f>IF($J54="",#N/A,SUM(DV$4:DV54))</f>
        <v>-0.89834078198379175</v>
      </c>
      <c r="DX54" s="202">
        <f>IF($J54="",#N/A,SUM(DV$4:DV54,DT$4:DT54,DR$4:DR54))</f>
        <v>-3.7858772491988635</v>
      </c>
      <c r="DY54" s="200" t="str">
        <f t="shared" si="57"/>
        <v/>
      </c>
      <c r="DZ54" s="200">
        <f>IF($J54="",#N/A,SUM(DY$4:DY54))</f>
        <v>-1.4611133068588897</v>
      </c>
      <c r="EA54" s="201" t="str">
        <f t="shared" si="58"/>
        <v/>
      </c>
      <c r="EB54" s="201">
        <f>IF($J54="",#N/A,SUM(EA$4:EA54))</f>
        <v>0.43517953094202633</v>
      </c>
      <c r="EC54" s="202" t="str">
        <f t="shared" si="59"/>
        <v/>
      </c>
      <c r="ED54" s="202">
        <f>IF($J54="",#N/A,SUM(EC$4:EC54))</f>
        <v>-1.0735388489326645</v>
      </c>
      <c r="EE54" s="202">
        <f>IF($J54="",#N/A,SUM(EC$4:EC54,EA$4:EA54,DY$4:DY54))</f>
        <v>-2.0994726248495277</v>
      </c>
      <c r="EF54" s="200" t="str">
        <f t="shared" si="60"/>
        <v/>
      </c>
      <c r="EG54" s="200">
        <f>IF($J54="",#N/A,SUM(EF$4:EF54))</f>
        <v>0</v>
      </c>
      <c r="EH54" s="201" t="str">
        <f t="shared" si="61"/>
        <v/>
      </c>
      <c r="EI54" s="201">
        <f>IF($J54="",#N/A,SUM(EH$4:EH54))</f>
        <v>-1.196204584775086</v>
      </c>
      <c r="EJ54" s="202" t="str">
        <f t="shared" si="62"/>
        <v/>
      </c>
      <c r="EK54" s="202">
        <f>IF($J54="",#N/A,SUM(EJ$4:EJ54))</f>
        <v>0.6035383334478206</v>
      </c>
      <c r="EL54" s="202">
        <f>IF($J54="",#N/A,SUM(EJ$4:EJ54,EH$4:EH54,EF$4:EF54))</f>
        <v>-0.59266625132726536</v>
      </c>
      <c r="EM54" s="200" t="str">
        <f t="shared" si="63"/>
        <v/>
      </c>
      <c r="EN54" s="200">
        <f>IF($J54="",#N/A,SUM(EM$4:EM54))</f>
        <v>0</v>
      </c>
      <c r="EO54" s="201" t="str">
        <f t="shared" si="64"/>
        <v/>
      </c>
      <c r="EP54" s="201">
        <f>IF($J54="",#N/A,SUM(EO$4:EO54))</f>
        <v>0</v>
      </c>
      <c r="EQ54" s="202" t="str">
        <f t="shared" si="65"/>
        <v/>
      </c>
      <c r="ER54" s="202">
        <f>IF($J54="",#N/A,SUM(EQ$4:EQ54))</f>
        <v>0</v>
      </c>
      <c r="ES54" s="202">
        <f>IF($J54="",#N/A,SUM(EQ$4:EQ54,EO$4:EO54,EM$4:EM54))</f>
        <v>0</v>
      </c>
      <c r="ET54" s="200" t="str">
        <f t="shared" si="66"/>
        <v/>
      </c>
      <c r="EU54" s="200">
        <f>IF($J54="",#N/A,SUM(ET$4:ET54))</f>
        <v>0</v>
      </c>
      <c r="EV54" s="201" t="str">
        <f t="shared" si="67"/>
        <v/>
      </c>
      <c r="EW54" s="201">
        <f>IF($J54="",#N/A,SUM(EV$4:EV54))</f>
        <v>0</v>
      </c>
      <c r="EX54" s="202" t="str">
        <f t="shared" si="68"/>
        <v/>
      </c>
      <c r="EY54" s="202">
        <f>IF($J54="",#N/A,SUM(EX$4:EX54))</f>
        <v>0</v>
      </c>
      <c r="EZ54" s="202">
        <f>IF($J54="",#N/A,SUM(EX$4:EX54,EV$4:EV54,ET$4:ET54))</f>
        <v>0</v>
      </c>
      <c r="FA54" s="200" t="str">
        <f t="shared" si="69"/>
        <v/>
      </c>
      <c r="FB54" s="200">
        <f>IF($J54="",#N/A,SUM(FA$4:FA54))</f>
        <v>0</v>
      </c>
      <c r="FC54" s="201" t="str">
        <f t="shared" si="70"/>
        <v/>
      </c>
      <c r="FD54" s="201">
        <f>IF($J54="",#N/A,SUM(FC$4:FC54))</f>
        <v>1.3724148418491529</v>
      </c>
      <c r="FE54" s="202" t="str">
        <f t="shared" si="71"/>
        <v/>
      </c>
      <c r="FF54" s="202">
        <f>IF($J54="",#N/A,SUM(FE$4:FE54))</f>
        <v>-0.11131725417439868</v>
      </c>
      <c r="FG54" s="202">
        <f>IF($J54="",#N/A,SUM(FE$4:FE54,FC$4:FC54,FA$4:FA54))</f>
        <v>1.2610975876747541</v>
      </c>
      <c r="FH54" s="200" t="str">
        <f t="shared" si="72"/>
        <v/>
      </c>
      <c r="FI54" s="200">
        <f>IF($J54="",#N/A,SUM(FH$4:FH54))</f>
        <v>0</v>
      </c>
      <c r="FJ54" s="201" t="str">
        <f t="shared" si="73"/>
        <v/>
      </c>
      <c r="FK54" s="201">
        <f>IF($J54="",#N/A,SUM(FJ$4:FJ54))</f>
        <v>0</v>
      </c>
      <c r="FL54" s="202" t="str">
        <f t="shared" si="74"/>
        <v/>
      </c>
      <c r="FM54" s="202">
        <f>IF($J54="",#N/A,SUM(FL$4:FL54))</f>
        <v>0</v>
      </c>
      <c r="FN54" s="202">
        <f>IF($J54="",#N/A,SUM(FL$4:FL54,FJ$4:FJ54,FH$4:FH54))</f>
        <v>0</v>
      </c>
      <c r="FO54" s="200" t="str">
        <f t="shared" si="75"/>
        <v/>
      </c>
      <c r="FP54" s="200">
        <f>IF($J54="",#N/A,SUM(FO$4:FO54))</f>
        <v>0</v>
      </c>
      <c r="FQ54" s="201" t="str">
        <f t="shared" si="76"/>
        <v/>
      </c>
      <c r="FR54" s="201">
        <f>IF($J54="",#N/A,SUM(FQ$4:FQ54))</f>
        <v>0</v>
      </c>
      <c r="FS54" s="202" t="str">
        <f t="shared" si="77"/>
        <v/>
      </c>
      <c r="FT54" s="202">
        <f>IF($J54="",#N/A,SUM(FS$4:FS54))</f>
        <v>0</v>
      </c>
      <c r="FU54" s="202">
        <f>IF($J54="",#N/A,SUM(FS$4:FS54,FQ$4:FQ54,FO$4:FO54))</f>
        <v>0</v>
      </c>
      <c r="FV54" s="200" t="str">
        <f t="shared" si="78"/>
        <v/>
      </c>
      <c r="FW54" s="200">
        <f>IF($J54="",#N/A,SUM(FV$4:FV54))</f>
        <v>6.6834991831277585E-2</v>
      </c>
      <c r="FX54" s="201" t="str">
        <f t="shared" si="79"/>
        <v/>
      </c>
      <c r="FY54" s="201">
        <f>IF($J54="",#N/A,SUM(FX$4:FX54))</f>
        <v>0</v>
      </c>
      <c r="FZ54" s="202" t="str">
        <f t="shared" si="80"/>
        <v/>
      </c>
      <c r="GA54" s="202">
        <f>IF($J54="",#N/A,SUM(FZ$4:FZ54))</f>
        <v>-0.20104261551371039</v>
      </c>
      <c r="GB54" s="202">
        <f>IF($J54="",#N/A,SUM(FZ$4:FZ54,FX$4:FX54,FV$4:FV54))</f>
        <v>-0.1342076236824328</v>
      </c>
      <c r="GC54" s="200" t="str">
        <f t="shared" si="81"/>
        <v/>
      </c>
      <c r="GD54" s="200">
        <f>IF($J54="",#N/A,SUM(GC$4:GC54))</f>
        <v>0</v>
      </c>
      <c r="GE54" s="201" t="str">
        <f t="shared" si="82"/>
        <v/>
      </c>
      <c r="GF54" s="201">
        <f>IF($J54="",#N/A,SUM(GE$4:GE54))</f>
        <v>0</v>
      </c>
      <c r="GG54" s="202" t="str">
        <f t="shared" si="83"/>
        <v/>
      </c>
      <c r="GH54" s="202">
        <f>IF($J54="",#N/A,SUM(GG$4:GG54))</f>
        <v>-2.9368362277223206</v>
      </c>
      <c r="GI54" s="202">
        <f>IF($J54="",#N/A,SUM(GG$4:GG54,GE$4:GE54,GC$4:GC54))</f>
        <v>-2.9368362277223206</v>
      </c>
      <c r="GJ54" s="200" t="str">
        <f t="shared" si="84"/>
        <v/>
      </c>
      <c r="GK54" s="200">
        <f>IF($J54="",#N/A,SUM(GJ$4:GJ54))</f>
        <v>0</v>
      </c>
      <c r="GL54" s="201" t="str">
        <f t="shared" si="85"/>
        <v/>
      </c>
      <c r="GM54" s="201">
        <f>IF($J54="",#N/A,SUM(GL$4:GL54))</f>
        <v>-1.0674765946939027</v>
      </c>
      <c r="GN54" s="202" t="str">
        <f t="shared" si="86"/>
        <v/>
      </c>
      <c r="GO54" s="202">
        <f>IF($J54="",#N/A,SUM(GN$4:GN54))</f>
        <v>0</v>
      </c>
      <c r="GP54" s="202">
        <f>IF($J54="",#N/A,SUM(GN$4:GN54,GL$4:GL54,GJ$4:GJ54))</f>
        <v>-1.0674765946939027</v>
      </c>
      <c r="GS54" s="54">
        <f t="shared" si="105"/>
        <v>-0.83172699364602887</v>
      </c>
      <c r="GT54" s="54">
        <f>IF(GS54="",NA(),SUM($GS$4:GS54))</f>
        <v>-10.150935032356148</v>
      </c>
      <c r="GU54" s="54" t="str">
        <f t="shared" si="87"/>
        <v/>
      </c>
      <c r="GV54" s="54" t="e">
        <f>IF(GU54="",NA(),SUM($GU$4:GU54))</f>
        <v>#N/A</v>
      </c>
      <c r="GW54" s="54">
        <f t="shared" si="88"/>
        <v>-0.83172699364602887</v>
      </c>
      <c r="GX54" s="54">
        <f>IF(GW54="",NA(),SUM($GW$4:GW54))</f>
        <v>-5.8214358929961367</v>
      </c>
      <c r="GY54" s="54" t="str">
        <f t="shared" si="89"/>
        <v/>
      </c>
      <c r="GZ54" s="54" t="e">
        <f>IF(GY54="",NA(),SUM($GY$4:GY54))</f>
        <v>#N/A</v>
      </c>
      <c r="HA54" s="54" t="str">
        <f t="shared" si="90"/>
        <v/>
      </c>
      <c r="HB54" s="54" t="e">
        <f>IF(HA54="",NA(),SUM($HA$4:HA54))</f>
        <v>#N/A</v>
      </c>
      <c r="HC54" s="54" t="str">
        <f t="shared" si="91"/>
        <v/>
      </c>
      <c r="HD54" s="54" t="e">
        <f>IF(HC54="",NA(),SUM($HC$4:HC54))</f>
        <v>#N/A</v>
      </c>
      <c r="HE54" s="54" t="str">
        <f t="shared" si="92"/>
        <v/>
      </c>
      <c r="HF54" s="54" t="e">
        <f>IF(HE54="",NA(),SUM($HE$4:HE54))</f>
        <v>#N/A</v>
      </c>
      <c r="HG54" s="54" t="str">
        <f t="shared" si="93"/>
        <v/>
      </c>
      <c r="HH54" s="54" t="e">
        <f>IF(HG54="",NA(),SUM($HG$4:HG54))</f>
        <v>#N/A</v>
      </c>
      <c r="HI54" s="172" t="str">
        <f t="shared" si="106"/>
        <v/>
      </c>
      <c r="HJ54" s="172">
        <f>IF($J54="",#N/A,SUM(HI$4:$HI54))</f>
        <v>-1.2880161085276005</v>
      </c>
      <c r="HK54" s="54" t="str">
        <f t="shared" si="94"/>
        <v/>
      </c>
      <c r="HL54" s="54">
        <f>IF($J54="",#N/A,SUM($HK$4:HK54))</f>
        <v>-2.4954101942099189</v>
      </c>
      <c r="HM54" s="54" t="str">
        <f t="shared" si="95"/>
        <v/>
      </c>
      <c r="HN54" s="54">
        <f>IF($J54="",#N/A,SUM($HM$4:HM54))</f>
        <v>0.80449527204317051</v>
      </c>
      <c r="HO54" s="54" t="str">
        <f t="shared" si="96"/>
        <v/>
      </c>
      <c r="HP54" s="54">
        <f>IF($J54="",#N/A,SUM($HO$4:HO54))</f>
        <v>-0.64837295089680658</v>
      </c>
      <c r="HQ54" s="54" t="str">
        <f t="shared" si="97"/>
        <v/>
      </c>
      <c r="HR54" s="54">
        <f>IF($J54="",#N/A,SUM($HQ$4:HQ54))</f>
        <v>-2.153533787035141</v>
      </c>
      <c r="HS54" s="54">
        <f t="shared" si="98"/>
        <v>0.57590252492800875</v>
      </c>
      <c r="HT54" s="54">
        <f>IF($J54="",#N/A,SUM($HS$4:HS54))</f>
        <v>5.5145549038116703</v>
      </c>
      <c r="HU54" s="65">
        <f t="shared" si="99"/>
        <v>-0.25582446871802011</v>
      </c>
      <c r="HV54" s="65">
        <f>IF($J54="",#N/A,SUM(HU$4:$HU54))</f>
        <v>-10.215229084243491</v>
      </c>
    </row>
    <row r="55" spans="1:230" x14ac:dyDescent="0.25">
      <c r="A55" s="76" t="s">
        <v>1371</v>
      </c>
      <c r="B55" s="52" t="s">
        <v>4501</v>
      </c>
      <c r="C55" s="229">
        <f t="shared" si="0"/>
        <v>3</v>
      </c>
      <c r="D55" s="219" t="str">
        <f>_xlfn.XLOOKUP(A55,[1]SP500!$A$2:$A$502,[1]SP500!$D$2:$D$502,"N")</f>
        <v>Y</v>
      </c>
      <c r="E55" s="51" t="str">
        <f>IFERROR(_xlfn.XLOOKUP(A55,[1]SP500!$A$2:$A$655,[1]SP500!$B$2:$B$655),"")</f>
        <v>XLI</v>
      </c>
      <c r="F55" s="53">
        <v>45769</v>
      </c>
      <c r="G55" s="51" t="str">
        <f t="shared" si="1"/>
        <v>BMO</v>
      </c>
      <c r="H55" s="51" t="str">
        <f t="shared" si="2"/>
        <v>o</v>
      </c>
      <c r="I55" s="344">
        <v>126.09</v>
      </c>
      <c r="J55" s="123">
        <v>133.285</v>
      </c>
      <c r="K55" s="55">
        <f t="shared" si="3"/>
        <v>5.7062415734792551E-2</v>
      </c>
      <c r="L55" s="67">
        <f t="shared" si="4"/>
        <v>-64.755000000000109</v>
      </c>
      <c r="M55" s="57">
        <f t="shared" si="5"/>
        <v>2.5650000000000546</v>
      </c>
      <c r="N55" s="155">
        <f t="shared" si="6"/>
        <v>64.755000000000109</v>
      </c>
      <c r="O55" s="156">
        <f>IF(N55="",#N/A,SUM($N$4:N55))</f>
        <v>-601.68869563037492</v>
      </c>
      <c r="P55" s="65">
        <f t="shared" si="100"/>
        <v>0.95104026224654503</v>
      </c>
      <c r="Q55" s="172">
        <f>IF($N55="",#N/A,SUM($P$4:P55))</f>
        <v>-8.9979059571823203</v>
      </c>
      <c r="R55" s="359">
        <f t="shared" si="7"/>
        <v>2.0048600097912797</v>
      </c>
      <c r="S55" s="51" t="str">
        <f t="shared" si="8"/>
        <v>SW</v>
      </c>
      <c r="T55" s="51" t="s">
        <v>2828</v>
      </c>
      <c r="U55" s="56">
        <f t="shared" si="9"/>
        <v>126.09</v>
      </c>
      <c r="V55" s="56" t="s">
        <v>4458</v>
      </c>
      <c r="W55" s="140">
        <v>9</v>
      </c>
      <c r="X55" s="145">
        <f t="shared" si="10"/>
        <v>1134.81</v>
      </c>
      <c r="Y55" s="140">
        <f t="shared" si="11"/>
        <v>9</v>
      </c>
      <c r="Z55" s="123">
        <v>133</v>
      </c>
      <c r="AA55" s="102">
        <f t="shared" si="12"/>
        <v>-62.190000000000055</v>
      </c>
      <c r="AB55" s="102">
        <f t="shared" si="13"/>
        <v>-92.160000000000082</v>
      </c>
      <c r="AC55" s="124">
        <v>136.33000000000001</v>
      </c>
      <c r="AD55" s="155">
        <f t="shared" si="14"/>
        <v>92.160000000000082</v>
      </c>
      <c r="AE55" s="545">
        <f t="shared" si="15"/>
        <v>1.3535305469638101</v>
      </c>
      <c r="AF55" s="57">
        <f>IF($AC55="",#N/A,SUM(AD$4:AD55))</f>
        <v>-580.23582025503163</v>
      </c>
      <c r="AG55" s="102">
        <f t="shared" si="16"/>
        <v>27.404999999999973</v>
      </c>
      <c r="AH55" s="56" t="s">
        <v>2507</v>
      </c>
      <c r="AI55" s="65">
        <f t="shared" si="17"/>
        <v>-0.91336875776561799</v>
      </c>
      <c r="AJ55" s="54">
        <f>IF(AI55="",#N/A,SUM($AI$4:AI55))</f>
        <v>-11.0027659669736</v>
      </c>
      <c r="AK55" s="57">
        <f t="shared" si="18"/>
        <v>-62.190000000000055</v>
      </c>
      <c r="AL55" s="58">
        <f>IF(AI55="",#N/A,IF(AH55="Skip",SUM($AK$4:AK55),SUM($AK$4:AK55)))</f>
        <v>-746.16999999999916</v>
      </c>
      <c r="AM55" s="65">
        <f t="shared" si="101"/>
        <v>1.3535305469638101</v>
      </c>
      <c r="AN55" s="209"/>
      <c r="AO55" s="65">
        <f t="shared" si="19"/>
        <v>1.3535305469638101</v>
      </c>
      <c r="AP55" s="65">
        <f>IF($AC55="",#N/A,SUM(AO$4:AO55))</f>
        <v>-0.90489541632851256</v>
      </c>
      <c r="AQ55" s="65" t="str">
        <f t="shared" si="20"/>
        <v/>
      </c>
      <c r="AR55" s="65">
        <f>IF($AC55="",#N/A,SUM(AQ$4:AQ55))</f>
        <v>-1.2381559938812483</v>
      </c>
      <c r="AS55" s="65" t="str">
        <f t="shared" si="21"/>
        <v/>
      </c>
      <c r="AT55" s="65">
        <f>IF($AC55="",#N/A,SUM(AS$4:AS55))</f>
        <v>-6.7186471270699215</v>
      </c>
      <c r="AU55" s="57">
        <f t="shared" si="102"/>
        <v>92.160000000000082</v>
      </c>
      <c r="AV55" s="57">
        <f>IF($AC55="",#N/A,SUM(AU$4:AU55))</f>
        <v>-68.287447352215622</v>
      </c>
      <c r="AW55" s="57" t="str">
        <f t="shared" si="103"/>
        <v/>
      </c>
      <c r="AX55" s="57">
        <f>IF($AC55="",#N/A,SUM(AW$4:AW55))</f>
        <v>-74.660000000000196</v>
      </c>
      <c r="AY55" s="56" t="str">
        <f t="shared" si="104"/>
        <v/>
      </c>
      <c r="AZ55" s="57">
        <f>IF($AC55="",#N/A,SUM(AY$4:AY55))</f>
        <v>-437.28837290281581</v>
      </c>
      <c r="BA55" s="57">
        <f>IF(AD55="",#N/A,SUM($AD$4:AD55))</f>
        <v>-580.23582025503163</v>
      </c>
      <c r="BC55" s="51" t="str">
        <f t="shared" si="22"/>
        <v/>
      </c>
      <c r="BD55" s="51" t="str">
        <f t="shared" si="23"/>
        <v/>
      </c>
      <c r="BE55" s="51">
        <f t="shared" si="24"/>
        <v>1</v>
      </c>
      <c r="BF55" s="51" t="str">
        <f t="shared" si="25"/>
        <v>Long</v>
      </c>
      <c r="BG55" s="51" t="str">
        <f t="shared" si="26"/>
        <v/>
      </c>
      <c r="BH55" s="51" t="str">
        <f t="shared" si="27"/>
        <v/>
      </c>
      <c r="BI55" s="51" t="str">
        <f t="shared" si="28"/>
        <v/>
      </c>
      <c r="BK55" s="65">
        <f t="shared" si="108"/>
        <v>-0.18279189275385516</v>
      </c>
      <c r="BL55" s="65">
        <f t="shared" si="107"/>
        <v>-0.32605124757515469</v>
      </c>
      <c r="BM55" s="65">
        <f>IFERROR(Q55/COUNTA($J$4:J55),#N/A)</f>
        <v>-0.17303665302273694</v>
      </c>
      <c r="BO55" s="489">
        <f>IF(J55="",#N/A,IF(S55="SW",(COUNTIFS(K$4:$K55,"&gt;0",S$4:$S55,"SW")/COUNTIF(S$4:$S55,"SW")),#N/A))</f>
        <v>0.46666666666666667</v>
      </c>
      <c r="BP55" s="489" t="e">
        <f>IF($J55="",#N/A,IF($S55="DWN",(COUNTIFS($K$4:$K55,"&lt;0",$S$4:$S55,"DWN")/COUNTIF($S$4:$S55,"DWN")),#N/A))</f>
        <v>#N/A</v>
      </c>
      <c r="BQ55" s="489" t="e">
        <f>IF($J55="",#N/A,IF($S55="UP",(COUNTIFS($K$4:$K55,"&gt;0",$S$4:$S55,"UP")/COUNTIF($S$4:$S55,"UP")),#N/A))</f>
        <v>#N/A</v>
      </c>
      <c r="BR55" s="489">
        <f>IF(J55="",#N/A,COUNTIF($K$4:K55,"&gt;0")/COUNT($J$4:J55))</f>
        <v>0.48076923076923078</v>
      </c>
      <c r="BS55" s="65" t="str">
        <f t="shared" si="29"/>
        <v/>
      </c>
      <c r="BT55" s="65" t="str">
        <f t="shared" si="30"/>
        <v/>
      </c>
      <c r="BU55" s="65" t="str">
        <f t="shared" si="31"/>
        <v/>
      </c>
      <c r="BV55" s="65">
        <f t="shared" si="32"/>
        <v>0.95104026224654503</v>
      </c>
      <c r="BW55" s="151" t="str">
        <f t="shared" si="33"/>
        <v/>
      </c>
      <c r="BX55" s="151">
        <f>IF($J55="",#N/A,SUM($BW$4:BW55))</f>
        <v>-88.570000000000164</v>
      </c>
      <c r="BY55" s="152" t="str">
        <f t="shared" si="34"/>
        <v/>
      </c>
      <c r="BZ55" s="152">
        <f>IF($J55="",#N/A,SUM($BY$4:BY55))</f>
        <v>-202.86871953149546</v>
      </c>
      <c r="CA55" s="153">
        <f t="shared" si="35"/>
        <v>64.755000000000109</v>
      </c>
      <c r="CB55" s="154">
        <f>IF($J55="",#N/A,SUM($CA$4:CA55))</f>
        <v>-310.2499760988793</v>
      </c>
      <c r="CC55" s="191" t="str">
        <f t="shared" si="36"/>
        <v/>
      </c>
      <c r="CD55" s="191">
        <f>IF($J55="",#N/A,SUM($CC$4:CC55))</f>
        <v>-1.3942783150276121</v>
      </c>
      <c r="CE55" s="192" t="str">
        <f t="shared" si="37"/>
        <v/>
      </c>
      <c r="CF55" s="192">
        <f>IF($J55="",#N/A,SUM($CE$4:CE55))</f>
        <v>-2.9352208243324007</v>
      </c>
      <c r="CG55" s="193">
        <f t="shared" si="38"/>
        <v>0.95104026224654503</v>
      </c>
      <c r="CH55" s="193">
        <f>IF($J55="",#N/A,SUM($CG$4:CG55))</f>
        <v>-4.6684068178223059</v>
      </c>
      <c r="CI55" s="200" t="str">
        <f t="shared" si="39"/>
        <v/>
      </c>
      <c r="CJ55" s="200">
        <f>IF($J55="",#N/A,SUM(CI$4:CI55))</f>
        <v>0</v>
      </c>
      <c r="CK55" s="201" t="str">
        <f t="shared" si="40"/>
        <v/>
      </c>
      <c r="CL55" s="201">
        <f>IF($J55="",#N/A,SUM(CK$4:CK55))</f>
        <v>0</v>
      </c>
      <c r="CM55" s="202" t="str">
        <f t="shared" si="41"/>
        <v/>
      </c>
      <c r="CN55" s="202">
        <f>IF($J55="",#N/A,SUM(CM$4:CM55))</f>
        <v>0</v>
      </c>
      <c r="CO55" s="202">
        <f>IF($J55="",#N/A,SUM(CM$4:CM55,CK$4:CK55,CI$4:CI55))</f>
        <v>0</v>
      </c>
      <c r="CP55" s="200" t="str">
        <f t="shared" si="42"/>
        <v/>
      </c>
      <c r="CQ55" s="200">
        <f>IF($J55="",#N/A,SUM(CP$4:CP55))</f>
        <v>0</v>
      </c>
      <c r="CR55" s="201" t="str">
        <f t="shared" si="43"/>
        <v/>
      </c>
      <c r="CS55" s="201">
        <f>IF($J55="",#N/A,SUM(CR$4:CR55))</f>
        <v>0</v>
      </c>
      <c r="CT55" s="202" t="str">
        <f t="shared" si="44"/>
        <v/>
      </c>
      <c r="CU55" s="202">
        <f>IF($J55="",#N/A,SUM(CT$4:CT55))</f>
        <v>0</v>
      </c>
      <c r="CV55" s="202">
        <f>IF($J55="",#N/A,SUM(CT$4:CT55,CR$4:CR55,CP$4:CP55))</f>
        <v>0</v>
      </c>
      <c r="CW55" s="200" t="str">
        <f t="shared" si="45"/>
        <v/>
      </c>
      <c r="CX55" s="200">
        <f>IF($J55="",#N/A,SUM(CW$4:CW55))</f>
        <v>0</v>
      </c>
      <c r="CY55" s="201" t="str">
        <f t="shared" si="46"/>
        <v/>
      </c>
      <c r="CZ55" s="201">
        <f>IF($J55="",#N/A,SUM(CY$4:CY55))</f>
        <v>-0.63271328921481373</v>
      </c>
      <c r="DA55" s="202" t="str">
        <f t="shared" si="47"/>
        <v/>
      </c>
      <c r="DB55" s="202">
        <f>IF($J55="",#N/A,SUM(DA$4:DA55))</f>
        <v>0</v>
      </c>
      <c r="DC55" s="202">
        <f>IF($J55="",#N/A,SUM(DA$4:DA55,CY$4:CY55,CW$4:CW55))</f>
        <v>-0.63271328921481373</v>
      </c>
      <c r="DD55" s="200" t="str">
        <f t="shared" si="48"/>
        <v/>
      </c>
      <c r="DE55" s="200">
        <f>IF($J55="",#N/A,SUM(DD$4:DD55))</f>
        <v>0</v>
      </c>
      <c r="DF55" s="201" t="str">
        <f t="shared" si="49"/>
        <v/>
      </c>
      <c r="DG55" s="201">
        <f>IF($J55="",#N/A,SUM(DF$4:DF55))</f>
        <v>0.6788440567066546</v>
      </c>
      <c r="DH55" s="202" t="str">
        <f t="shared" si="50"/>
        <v/>
      </c>
      <c r="DI55" s="202">
        <f>IF($J55="",#N/A,SUM(DH$4:DH55))</f>
        <v>-0.83172699364602887</v>
      </c>
      <c r="DJ55" s="202">
        <f>IF($J55="",#N/A,SUM(DH$4:DH55,DF$4:DF55,DD$4:DD55))</f>
        <v>-0.15288293693937427</v>
      </c>
      <c r="DK55" s="200" t="str">
        <f t="shared" si="51"/>
        <v/>
      </c>
      <c r="DL55" s="200">
        <f>IF($J55="",#N/A,SUM(DK$4:DK55))</f>
        <v>0</v>
      </c>
      <c r="DM55" s="201" t="str">
        <f t="shared" si="52"/>
        <v/>
      </c>
      <c r="DN55" s="201">
        <f>IF($J55="",#N/A,SUM(DM$4:DM55))</f>
        <v>0.36227168206863897</v>
      </c>
      <c r="DO55" s="202" t="str">
        <f t="shared" si="53"/>
        <v/>
      </c>
      <c r="DP55" s="202">
        <f>IF($J55="",#N/A,SUM(DO$4:DO55))</f>
        <v>-0.17018269154375754</v>
      </c>
      <c r="DQ55" s="202">
        <f>IF($J55="",#N/A,SUM(DO$4:DO55,DM$4:DM55,DK$4:DK55))</f>
        <v>0.19208899052488143</v>
      </c>
      <c r="DR55" s="200" t="str">
        <f t="shared" si="54"/>
        <v/>
      </c>
      <c r="DS55" s="200">
        <f>IF($J55="",#N/A,SUM(DR$4:DR55))</f>
        <v>0</v>
      </c>
      <c r="DT55" s="201" t="str">
        <f t="shared" si="55"/>
        <v/>
      </c>
      <c r="DU55" s="201">
        <f>IF($J55="",#N/A,SUM(DT$4:DT55))</f>
        <v>-2.8875364672150718</v>
      </c>
      <c r="DV55" s="202" t="str">
        <f t="shared" si="56"/>
        <v/>
      </c>
      <c r="DW55" s="202">
        <f>IF($J55="",#N/A,SUM(DV$4:DV55))</f>
        <v>-0.89834078198379175</v>
      </c>
      <c r="DX55" s="202">
        <f>IF($J55="",#N/A,SUM(DV$4:DV55,DT$4:DT55,DR$4:DR55))</f>
        <v>-3.7858772491988635</v>
      </c>
      <c r="DY55" s="200" t="str">
        <f t="shared" si="57"/>
        <v/>
      </c>
      <c r="DZ55" s="200">
        <f>IF($J55="",#N/A,SUM(DY$4:DY55))</f>
        <v>-1.4611133068588897</v>
      </c>
      <c r="EA55" s="201" t="str">
        <f t="shared" si="58"/>
        <v/>
      </c>
      <c r="EB55" s="201">
        <f>IF($J55="",#N/A,SUM(EA$4:EA55))</f>
        <v>0.43517953094202633</v>
      </c>
      <c r="EC55" s="202">
        <f t="shared" si="59"/>
        <v>0.95104026224654503</v>
      </c>
      <c r="ED55" s="202">
        <f>IF($J55="",#N/A,SUM(EC$4:EC55))</f>
        <v>-0.12249858668611946</v>
      </c>
      <c r="EE55" s="202">
        <f>IF($J55="",#N/A,SUM(EC$4:EC55,EA$4:EA55,DY$4:DY55))</f>
        <v>-1.1484323626029829</v>
      </c>
      <c r="EF55" s="200" t="str">
        <f t="shared" si="60"/>
        <v/>
      </c>
      <c r="EG55" s="200">
        <f>IF($J55="",#N/A,SUM(EF$4:EF55))</f>
        <v>0</v>
      </c>
      <c r="EH55" s="201" t="str">
        <f t="shared" si="61"/>
        <v/>
      </c>
      <c r="EI55" s="201">
        <f>IF($J55="",#N/A,SUM(EH$4:EH55))</f>
        <v>-1.196204584775086</v>
      </c>
      <c r="EJ55" s="202" t="str">
        <f t="shared" si="62"/>
        <v/>
      </c>
      <c r="EK55" s="202">
        <f>IF($J55="",#N/A,SUM(EJ$4:EJ55))</f>
        <v>0.6035383334478206</v>
      </c>
      <c r="EL55" s="202">
        <f>IF($J55="",#N/A,SUM(EJ$4:EJ55,EH$4:EH55,EF$4:EF55))</f>
        <v>-0.59266625132726536</v>
      </c>
      <c r="EM55" s="200" t="str">
        <f t="shared" si="63"/>
        <v/>
      </c>
      <c r="EN55" s="200">
        <f>IF($J55="",#N/A,SUM(EM$4:EM55))</f>
        <v>0</v>
      </c>
      <c r="EO55" s="201" t="str">
        <f t="shared" si="64"/>
        <v/>
      </c>
      <c r="EP55" s="201">
        <f>IF($J55="",#N/A,SUM(EO$4:EO55))</f>
        <v>0</v>
      </c>
      <c r="EQ55" s="202" t="str">
        <f t="shared" si="65"/>
        <v/>
      </c>
      <c r="ER55" s="202">
        <f>IF($J55="",#N/A,SUM(EQ$4:EQ55))</f>
        <v>0</v>
      </c>
      <c r="ES55" s="202">
        <f>IF($J55="",#N/A,SUM(EQ$4:EQ55,EO$4:EO55,EM$4:EM55))</f>
        <v>0</v>
      </c>
      <c r="ET55" s="200" t="str">
        <f t="shared" si="66"/>
        <v/>
      </c>
      <c r="EU55" s="200">
        <f>IF($J55="",#N/A,SUM(ET$4:ET55))</f>
        <v>0</v>
      </c>
      <c r="EV55" s="201" t="str">
        <f t="shared" si="67"/>
        <v/>
      </c>
      <c r="EW55" s="201">
        <f>IF($J55="",#N/A,SUM(EV$4:EV55))</f>
        <v>0</v>
      </c>
      <c r="EX55" s="202" t="str">
        <f t="shared" si="68"/>
        <v/>
      </c>
      <c r="EY55" s="202">
        <f>IF($J55="",#N/A,SUM(EX$4:EX55))</f>
        <v>0</v>
      </c>
      <c r="EZ55" s="202">
        <f>IF($J55="",#N/A,SUM(EX$4:EX55,EV$4:EV55,ET$4:ET55))</f>
        <v>0</v>
      </c>
      <c r="FA55" s="200" t="str">
        <f t="shared" si="69"/>
        <v/>
      </c>
      <c r="FB55" s="200">
        <f>IF($J55="",#N/A,SUM(FA$4:FA55))</f>
        <v>0</v>
      </c>
      <c r="FC55" s="201" t="str">
        <f t="shared" si="70"/>
        <v/>
      </c>
      <c r="FD55" s="201">
        <f>IF($J55="",#N/A,SUM(FC$4:FC55))</f>
        <v>1.3724148418491529</v>
      </c>
      <c r="FE55" s="202" t="str">
        <f t="shared" si="71"/>
        <v/>
      </c>
      <c r="FF55" s="202">
        <f>IF($J55="",#N/A,SUM(FE$4:FE55))</f>
        <v>-0.11131725417439868</v>
      </c>
      <c r="FG55" s="202">
        <f>IF($J55="",#N/A,SUM(FE$4:FE55,FC$4:FC55,FA$4:FA55))</f>
        <v>1.2610975876747541</v>
      </c>
      <c r="FH55" s="200" t="str">
        <f t="shared" si="72"/>
        <v/>
      </c>
      <c r="FI55" s="200">
        <f>IF($J55="",#N/A,SUM(FH$4:FH55))</f>
        <v>0</v>
      </c>
      <c r="FJ55" s="201" t="str">
        <f t="shared" si="73"/>
        <v/>
      </c>
      <c r="FK55" s="201">
        <f>IF($J55="",#N/A,SUM(FJ$4:FJ55))</f>
        <v>0</v>
      </c>
      <c r="FL55" s="202" t="str">
        <f t="shared" si="74"/>
        <v/>
      </c>
      <c r="FM55" s="202">
        <f>IF($J55="",#N/A,SUM(FL$4:FL55))</f>
        <v>0</v>
      </c>
      <c r="FN55" s="202">
        <f>IF($J55="",#N/A,SUM(FL$4:FL55,FJ$4:FJ55,FH$4:FH55))</f>
        <v>0</v>
      </c>
      <c r="FO55" s="200" t="str">
        <f t="shared" si="75"/>
        <v/>
      </c>
      <c r="FP55" s="200">
        <f>IF($J55="",#N/A,SUM(FO$4:FO55))</f>
        <v>0</v>
      </c>
      <c r="FQ55" s="201" t="str">
        <f t="shared" si="76"/>
        <v/>
      </c>
      <c r="FR55" s="201">
        <f>IF($J55="",#N/A,SUM(FQ$4:FQ55))</f>
        <v>0</v>
      </c>
      <c r="FS55" s="202" t="str">
        <f t="shared" si="77"/>
        <v/>
      </c>
      <c r="FT55" s="202">
        <f>IF($J55="",#N/A,SUM(FS$4:FS55))</f>
        <v>0</v>
      </c>
      <c r="FU55" s="202">
        <f>IF($J55="",#N/A,SUM(FS$4:FS55,FQ$4:FQ55,FO$4:FO55))</f>
        <v>0</v>
      </c>
      <c r="FV55" s="200" t="str">
        <f t="shared" si="78"/>
        <v/>
      </c>
      <c r="FW55" s="200">
        <f>IF($J55="",#N/A,SUM(FV$4:FV55))</f>
        <v>6.6834991831277585E-2</v>
      </c>
      <c r="FX55" s="201" t="str">
        <f t="shared" si="79"/>
        <v/>
      </c>
      <c r="FY55" s="201">
        <f>IF($J55="",#N/A,SUM(FX$4:FX55))</f>
        <v>0</v>
      </c>
      <c r="FZ55" s="202" t="str">
        <f t="shared" si="80"/>
        <v/>
      </c>
      <c r="GA55" s="202">
        <f>IF($J55="",#N/A,SUM(FZ$4:FZ55))</f>
        <v>-0.20104261551371039</v>
      </c>
      <c r="GB55" s="202">
        <f>IF($J55="",#N/A,SUM(FZ$4:FZ55,FX$4:FX55,FV$4:FV55))</f>
        <v>-0.1342076236824328</v>
      </c>
      <c r="GC55" s="200" t="str">
        <f t="shared" si="81"/>
        <v/>
      </c>
      <c r="GD55" s="200">
        <f>IF($J55="",#N/A,SUM(GC$4:GC55))</f>
        <v>0</v>
      </c>
      <c r="GE55" s="201" t="str">
        <f t="shared" si="82"/>
        <v/>
      </c>
      <c r="GF55" s="201">
        <f>IF($J55="",#N/A,SUM(GE$4:GE55))</f>
        <v>0</v>
      </c>
      <c r="GG55" s="202" t="str">
        <f t="shared" si="83"/>
        <v/>
      </c>
      <c r="GH55" s="202">
        <f>IF($J55="",#N/A,SUM(GG$4:GG55))</f>
        <v>-2.9368362277223206</v>
      </c>
      <c r="GI55" s="202">
        <f>IF($J55="",#N/A,SUM(GG$4:GG55,GE$4:GE55,GC$4:GC55))</f>
        <v>-2.9368362277223206</v>
      </c>
      <c r="GJ55" s="200" t="str">
        <f t="shared" si="84"/>
        <v/>
      </c>
      <c r="GK55" s="200">
        <f>IF($J55="",#N/A,SUM(GJ$4:GJ55))</f>
        <v>0</v>
      </c>
      <c r="GL55" s="201" t="str">
        <f t="shared" si="85"/>
        <v/>
      </c>
      <c r="GM55" s="201">
        <f>IF($J55="",#N/A,SUM(GL$4:GL55))</f>
        <v>-1.0674765946939027</v>
      </c>
      <c r="GN55" s="202" t="str">
        <f t="shared" si="86"/>
        <v/>
      </c>
      <c r="GO55" s="202">
        <f>IF($J55="",#N/A,SUM(GN$4:GN55))</f>
        <v>0</v>
      </c>
      <c r="GP55" s="202">
        <f>IF($J55="",#N/A,SUM(GN$4:GN55,GL$4:GL55,GJ$4:GJ55))</f>
        <v>-1.0674765946939027</v>
      </c>
      <c r="GS55" s="54">
        <f t="shared" si="105"/>
        <v>0.95104026224654503</v>
      </c>
      <c r="GT55" s="54">
        <f>IF(GS55="",NA(),SUM($GS$4:GS55))</f>
        <v>-9.1998947701096032</v>
      </c>
      <c r="GU55" s="54" t="str">
        <f t="shared" si="87"/>
        <v/>
      </c>
      <c r="GV55" s="54" t="e">
        <f>IF(GU55="",NA(),SUM($GU$4:GU55))</f>
        <v>#N/A</v>
      </c>
      <c r="GW55" s="54">
        <f t="shared" si="88"/>
        <v>0.95104026224654503</v>
      </c>
      <c r="GX55" s="54">
        <f>IF(GW55="",NA(),SUM($GW$4:GW55))</f>
        <v>-4.8703956307495915</v>
      </c>
      <c r="GY55" s="54" t="str">
        <f t="shared" si="89"/>
        <v/>
      </c>
      <c r="GZ55" s="54" t="e">
        <f>IF(GY55="",NA(),SUM($GY$4:GY55))</f>
        <v>#N/A</v>
      </c>
      <c r="HA55" s="54" t="str">
        <f t="shared" si="90"/>
        <v/>
      </c>
      <c r="HB55" s="54" t="e">
        <f>IF(HA55="",NA(),SUM($HA$4:HA55))</f>
        <v>#N/A</v>
      </c>
      <c r="HC55" s="54" t="str">
        <f t="shared" si="91"/>
        <v/>
      </c>
      <c r="HD55" s="54" t="e">
        <f>IF(HC55="",NA(),SUM($HC$4:HC55))</f>
        <v>#N/A</v>
      </c>
      <c r="HE55" s="54" t="str">
        <f t="shared" si="92"/>
        <v/>
      </c>
      <c r="HF55" s="54" t="e">
        <f>IF(HE55="",NA(),SUM($HE$4:HE55))</f>
        <v>#N/A</v>
      </c>
      <c r="HG55" s="54" t="str">
        <f t="shared" si="93"/>
        <v/>
      </c>
      <c r="HH55" s="54" t="e">
        <f>IF(HG55="",NA(),SUM($HG$4:HG55))</f>
        <v>#N/A</v>
      </c>
      <c r="HI55" s="172" t="str">
        <f t="shared" si="106"/>
        <v/>
      </c>
      <c r="HJ55" s="172">
        <f>IF($J55="",#N/A,SUM(HI$4:$HI55))</f>
        <v>-1.2880161085276005</v>
      </c>
      <c r="HK55" s="54" t="str">
        <f t="shared" si="94"/>
        <v/>
      </c>
      <c r="HL55" s="54">
        <f>IF($J55="",#N/A,SUM($HK$4:HK55))</f>
        <v>-2.4954101942099189</v>
      </c>
      <c r="HM55" s="54" t="str">
        <f t="shared" si="95"/>
        <v/>
      </c>
      <c r="HN55" s="54">
        <f>IF($J55="",#N/A,SUM($HM$4:HM55))</f>
        <v>0.80449527204317051</v>
      </c>
      <c r="HO55" s="54" t="str">
        <f t="shared" si="96"/>
        <v/>
      </c>
      <c r="HP55" s="54">
        <f>IF($J55="",#N/A,SUM($HO$4:HO55))</f>
        <v>-0.64837295089680658</v>
      </c>
      <c r="HQ55" s="54">
        <f t="shared" si="97"/>
        <v>0.40249028471726511</v>
      </c>
      <c r="HR55" s="54">
        <f>IF($J55="",#N/A,SUM($HQ$4:HQ55))</f>
        <v>-1.7510435023178759</v>
      </c>
      <c r="HS55" s="54" t="str">
        <f t="shared" si="98"/>
        <v/>
      </c>
      <c r="HT55" s="54">
        <f>IF($J55="",#N/A,SUM($HS$4:HS55))</f>
        <v>5.5145549038116703</v>
      </c>
      <c r="HU55" s="65">
        <f t="shared" si="99"/>
        <v>1.3535305469638101</v>
      </c>
      <c r="HV55" s="65">
        <f>IF($J55="",#N/A,SUM(HU$4:$HU55))</f>
        <v>-8.8616985372796808</v>
      </c>
    </row>
    <row r="56" spans="1:230" ht="15.75" thickBot="1" x14ac:dyDescent="0.3">
      <c r="A56" s="292" t="s">
        <v>1542</v>
      </c>
      <c r="B56" s="293" t="s">
        <v>4501</v>
      </c>
      <c r="C56" s="294">
        <f t="shared" si="0"/>
        <v>2</v>
      </c>
      <c r="D56" s="295" t="str">
        <f>_xlfn.XLOOKUP(A56,[1]SP500!$A$2:$A$502,[1]SP500!$D$2:$D$502,"N")</f>
        <v>Y</v>
      </c>
      <c r="E56" s="292" t="str">
        <f>IFERROR(_xlfn.XLOOKUP(A56,[1]SP500!$A$2:$A$655,[1]SP500!$B$2:$B$655),"")</f>
        <v>XLI</v>
      </c>
      <c r="F56" s="296">
        <v>45769</v>
      </c>
      <c r="G56" s="292" t="str">
        <f t="shared" si="1"/>
        <v>BMO</v>
      </c>
      <c r="H56" s="292" t="str">
        <f t="shared" si="2"/>
        <v>s</v>
      </c>
      <c r="I56" s="345">
        <v>78.959999999999994</v>
      </c>
      <c r="J56" s="297">
        <v>85.13</v>
      </c>
      <c r="K56" s="298">
        <f t="shared" si="3"/>
        <v>7.8140830800405292E-2</v>
      </c>
      <c r="L56" s="299">
        <f t="shared" si="4"/>
        <v>-92.549999999999955</v>
      </c>
      <c r="M56" s="300">
        <f t="shared" si="5"/>
        <v>-13.050000000000182</v>
      </c>
      <c r="N56" s="341">
        <f t="shared" si="6"/>
        <v>-92.549999999999955</v>
      </c>
      <c r="O56" s="300">
        <f>IF(N56="",#N/A,SUM($N$4:N56))</f>
        <v>-694.23869563037488</v>
      </c>
      <c r="P56" s="305">
        <f t="shared" si="100"/>
        <v>-1.3023471800067539</v>
      </c>
      <c r="Q56" s="304">
        <f>IF($N56="",#N/A,SUM($P$4:P56))</f>
        <v>-10.300253137189074</v>
      </c>
      <c r="R56" s="307">
        <f t="shared" si="7"/>
        <v>2.1884972944923966</v>
      </c>
      <c r="S56" s="292" t="str">
        <f t="shared" si="8"/>
        <v>Dwn</v>
      </c>
      <c r="T56" s="292" t="s">
        <v>4461</v>
      </c>
      <c r="U56" s="308">
        <f t="shared" si="9"/>
        <v>78.959999999999994</v>
      </c>
      <c r="V56" s="308" t="s">
        <v>4458</v>
      </c>
      <c r="W56" s="310">
        <v>15</v>
      </c>
      <c r="X56" s="309">
        <f t="shared" si="10"/>
        <v>1184.3999999999999</v>
      </c>
      <c r="Y56" s="310">
        <f t="shared" si="11"/>
        <v>15</v>
      </c>
      <c r="Z56" s="313">
        <v>86</v>
      </c>
      <c r="AA56" s="341">
        <f t="shared" si="12"/>
        <v>-105.60000000000014</v>
      </c>
      <c r="AB56" s="341">
        <f t="shared" si="13"/>
        <v>-109.20000000000005</v>
      </c>
      <c r="AC56" s="297">
        <v>86.24</v>
      </c>
      <c r="AD56" s="301">
        <f t="shared" si="14"/>
        <v>-109.20000000000005</v>
      </c>
      <c r="AE56" s="546">
        <f t="shared" si="15"/>
        <v>-1.536643026004729</v>
      </c>
      <c r="AF56" s="300">
        <f>IF($AC56="",#N/A,SUM(AD$4:AD56))</f>
        <v>-689.43582025503167</v>
      </c>
      <c r="AG56" s="341">
        <f t="shared" si="16"/>
        <v>-16.650000000000091</v>
      </c>
      <c r="AH56" s="308" t="s">
        <v>2507</v>
      </c>
      <c r="AI56" s="305">
        <f t="shared" si="17"/>
        <v>-1.485984464707871</v>
      </c>
      <c r="AJ56" s="303">
        <f>IF(AI56="",#N/A,SUM($AI$4:AI56))</f>
        <v>-12.488750431681471</v>
      </c>
      <c r="AK56" s="300">
        <f t="shared" si="18"/>
        <v>-105.60000000000014</v>
      </c>
      <c r="AL56" s="348">
        <f>IF(AI56="",#N/A,IF(AH56="Skip",SUM($AK$4:AK56),SUM($AK$4:AK56)))</f>
        <v>-851.7699999999993</v>
      </c>
      <c r="AM56" s="65">
        <f t="shared" si="101"/>
        <v>-1.536643026004729</v>
      </c>
      <c r="AN56" s="209"/>
      <c r="AO56" s="305" t="str">
        <f t="shared" si="19"/>
        <v/>
      </c>
      <c r="AP56" s="305">
        <f>IF($AC56="",#N/A,SUM(AO$4:AO56))</f>
        <v>-0.90489541632851256</v>
      </c>
      <c r="AQ56" s="305" t="str">
        <f t="shared" si="20"/>
        <v/>
      </c>
      <c r="AR56" s="305">
        <f>IF($AC56="",#N/A,SUM(AQ$4:AQ56))</f>
        <v>-1.2381559938812483</v>
      </c>
      <c r="AS56" s="305">
        <f t="shared" si="21"/>
        <v>-1.536643026004729</v>
      </c>
      <c r="AT56" s="305">
        <f>IF($AC56="",#N/A,SUM(AS$4:AS56))</f>
        <v>-8.2552901530746503</v>
      </c>
      <c r="AU56" s="300" t="str">
        <f t="shared" si="102"/>
        <v/>
      </c>
      <c r="AV56" s="300">
        <f>IF($AC56="",#N/A,SUM(AU$4:AU56))</f>
        <v>-68.287447352215622</v>
      </c>
      <c r="AW56" s="300" t="str">
        <f t="shared" si="103"/>
        <v/>
      </c>
      <c r="AX56" s="300">
        <f>IF($AC56="",#N/A,SUM(AW$4:AW56))</f>
        <v>-74.660000000000196</v>
      </c>
      <c r="AY56" s="300">
        <f t="shared" si="104"/>
        <v>-109.20000000000005</v>
      </c>
      <c r="AZ56" s="300">
        <f>IF($AC56="",#N/A,SUM(AY$4:AY56))</f>
        <v>-546.48837290281585</v>
      </c>
      <c r="BA56" s="300">
        <f>IF(AD56="",#N/A,SUM($AD$4:AD56))</f>
        <v>-689.43582025503167</v>
      </c>
      <c r="BC56" s="292" t="str">
        <f t="shared" si="22"/>
        <v/>
      </c>
      <c r="BD56" s="292">
        <f t="shared" si="23"/>
        <v>1</v>
      </c>
      <c r="BE56" s="292" t="str">
        <f t="shared" si="24"/>
        <v/>
      </c>
      <c r="BF56" s="292" t="str">
        <f t="shared" si="25"/>
        <v>Short</v>
      </c>
      <c r="BG56" s="292" t="str">
        <f t="shared" si="26"/>
        <v/>
      </c>
      <c r="BH56" s="292" t="str">
        <f t="shared" si="27"/>
        <v/>
      </c>
      <c r="BI56" s="292" t="str">
        <f t="shared" si="28"/>
        <v/>
      </c>
      <c r="BK56" s="65">
        <f t="shared" si="108"/>
        <v>-0.20054643683991433</v>
      </c>
      <c r="BL56" s="65">
        <f t="shared" si="107"/>
        <v>-0.33919538690548928</v>
      </c>
      <c r="BM56" s="65">
        <f>IFERROR(Q56/COUNTA($J$4:J56),#N/A)</f>
        <v>-0.19434439881488819</v>
      </c>
      <c r="BO56" s="489" t="e">
        <f>IF(J56="",#N/A,IF(S56="SW",(COUNTIFS(K$4:$K56,"&gt;0",S$4:$S56,"SW")/COUNTIF(S$4:$S56,"SW")),#N/A))</f>
        <v>#N/A</v>
      </c>
      <c r="BP56" s="489">
        <f>IF($J56="",#N/A,IF($S56="DWN",(COUNTIFS($K$4:$K56,"&lt;0",$S$4:$S56,"DWN")/COUNTIF($S$4:$S56,"DWN")),#N/A))</f>
        <v>0.47619047619047616</v>
      </c>
      <c r="BQ56" s="489" t="e">
        <f>IF($J56="",#N/A,IF($S56="UP",(COUNTIFS($K$4:$K56,"&gt;0",$S$4:$S56,"UP")/COUNTIF($S$4:$S56,"UP")),#N/A))</f>
        <v>#N/A</v>
      </c>
      <c r="BR56" s="489">
        <f>IF(J56="",#N/A,COUNTIF($K$4:K56,"&gt;0")/COUNT($J$4:J56))</f>
        <v>0.49056603773584906</v>
      </c>
      <c r="BS56" s="65" t="str">
        <f t="shared" si="29"/>
        <v/>
      </c>
      <c r="BT56" s="65" t="str">
        <f t="shared" si="30"/>
        <v/>
      </c>
      <c r="BU56" s="65" t="str">
        <f t="shared" si="31"/>
        <v/>
      </c>
      <c r="BV56" s="65">
        <f t="shared" si="32"/>
        <v>-1.3023471800067539</v>
      </c>
      <c r="BW56" s="128" t="str">
        <f t="shared" si="33"/>
        <v/>
      </c>
      <c r="BX56" s="128">
        <f>IF($J56="",#N/A,SUM($BW$4:BW56))</f>
        <v>-88.570000000000164</v>
      </c>
      <c r="BY56" s="131">
        <f t="shared" si="34"/>
        <v>-92.549999999999955</v>
      </c>
      <c r="BZ56" s="131">
        <f>IF($J56="",#N/A,SUM($BY$4:BY56))</f>
        <v>-295.41871953149541</v>
      </c>
      <c r="CA56" s="133" t="str">
        <f t="shared" si="35"/>
        <v/>
      </c>
      <c r="CB56" s="133">
        <f>IF($J56="",#N/A,SUM($CA$4:CA56))</f>
        <v>-310.2499760988793</v>
      </c>
      <c r="CC56" s="194" t="str">
        <f t="shared" si="36"/>
        <v/>
      </c>
      <c r="CD56" s="194">
        <f>IF($J56="",#N/A,SUM($CC$4:CC56))</f>
        <v>-1.3942783150276121</v>
      </c>
      <c r="CE56" s="195">
        <f t="shared" si="37"/>
        <v>-1.3023471800067539</v>
      </c>
      <c r="CF56" s="195">
        <f>IF($J56="",#N/A,SUM($CE$4:CE56))</f>
        <v>-4.2375680043391544</v>
      </c>
      <c r="CG56" s="196" t="str">
        <f t="shared" si="38"/>
        <v/>
      </c>
      <c r="CH56" s="193">
        <f>IF($J56="",#N/A,SUM($CG$4:CG56))</f>
        <v>-4.6684068178223059</v>
      </c>
      <c r="CI56" s="200" t="str">
        <f t="shared" si="39"/>
        <v/>
      </c>
      <c r="CJ56" s="203">
        <f>IF($J56="",#N/A,SUM(CI$4:CI56))</f>
        <v>0</v>
      </c>
      <c r="CK56" s="204" t="str">
        <f t="shared" si="40"/>
        <v/>
      </c>
      <c r="CL56" s="204">
        <f>IF($J56="",#N/A,SUM(CK$4:CK56))</f>
        <v>0</v>
      </c>
      <c r="CM56" s="205" t="str">
        <f t="shared" si="41"/>
        <v/>
      </c>
      <c r="CN56" s="205">
        <f>IF($J56="",#N/A,SUM(CM$4:CM56))</f>
        <v>0</v>
      </c>
      <c r="CO56" s="205">
        <f>IF($J56="",#N/A,SUM(CM$4:CM56,CK$4:CK56,CI$4:CI56))</f>
        <v>0</v>
      </c>
      <c r="CP56" s="200" t="str">
        <f t="shared" si="42"/>
        <v/>
      </c>
      <c r="CQ56" s="203">
        <f>IF($J56="",#N/A,SUM(CP$4:CP56))</f>
        <v>0</v>
      </c>
      <c r="CR56" s="204" t="str">
        <f t="shared" si="43"/>
        <v/>
      </c>
      <c r="CS56" s="204">
        <f>IF($J56="",#N/A,SUM(CR$4:CR56))</f>
        <v>0</v>
      </c>
      <c r="CT56" s="205" t="str">
        <f t="shared" si="44"/>
        <v/>
      </c>
      <c r="CU56" s="205">
        <f>IF($J56="",#N/A,SUM(CT$4:CT56))</f>
        <v>0</v>
      </c>
      <c r="CV56" s="205">
        <f>IF($J56="",#N/A,SUM(CT$4:CT56,CR$4:CR56,CP$4:CP56))</f>
        <v>0</v>
      </c>
      <c r="CW56" s="200" t="str">
        <f t="shared" si="45"/>
        <v/>
      </c>
      <c r="CX56" s="203">
        <f>IF($J56="",#N/A,SUM(CW$4:CW56))</f>
        <v>0</v>
      </c>
      <c r="CY56" s="204" t="str">
        <f t="shared" si="46"/>
        <v/>
      </c>
      <c r="CZ56" s="204">
        <f>IF($J56="",#N/A,SUM(CY$4:CY56))</f>
        <v>-0.63271328921481373</v>
      </c>
      <c r="DA56" s="205" t="str">
        <f t="shared" si="47"/>
        <v/>
      </c>
      <c r="DB56" s="205">
        <f>IF($J56="",#N/A,SUM(DA$4:DA56))</f>
        <v>0</v>
      </c>
      <c r="DC56" s="205">
        <f>IF($J56="",#N/A,SUM(DA$4:DA56,CY$4:CY56,CW$4:CW56))</f>
        <v>-0.63271328921481373</v>
      </c>
      <c r="DD56" s="200" t="str">
        <f t="shared" si="48"/>
        <v/>
      </c>
      <c r="DE56" s="203">
        <f>IF($J56="",#N/A,SUM(DD$4:DD56))</f>
        <v>0</v>
      </c>
      <c r="DF56" s="204" t="str">
        <f t="shared" si="49"/>
        <v/>
      </c>
      <c r="DG56" s="204">
        <f>IF($J56="",#N/A,SUM(DF$4:DF56))</f>
        <v>0.6788440567066546</v>
      </c>
      <c r="DH56" s="205" t="str">
        <f t="shared" si="50"/>
        <v/>
      </c>
      <c r="DI56" s="205">
        <f>IF($J56="",#N/A,SUM(DH$4:DH56))</f>
        <v>-0.83172699364602887</v>
      </c>
      <c r="DJ56" s="205">
        <f>IF($J56="",#N/A,SUM(DH$4:DH56,DF$4:DF56,DD$4:DD56))</f>
        <v>-0.15288293693937427</v>
      </c>
      <c r="DK56" s="200" t="str">
        <f t="shared" si="51"/>
        <v/>
      </c>
      <c r="DL56" s="203">
        <f>IF($J56="",#N/A,SUM(DK$4:DK56))</f>
        <v>0</v>
      </c>
      <c r="DM56" s="204" t="str">
        <f t="shared" si="52"/>
        <v/>
      </c>
      <c r="DN56" s="204">
        <f>IF($J56="",#N/A,SUM(DM$4:DM56))</f>
        <v>0.36227168206863897</v>
      </c>
      <c r="DO56" s="205" t="str">
        <f t="shared" si="53"/>
        <v/>
      </c>
      <c r="DP56" s="205">
        <f>IF($J56="",#N/A,SUM(DO$4:DO56))</f>
        <v>-0.17018269154375754</v>
      </c>
      <c r="DQ56" s="205">
        <f>IF($J56="",#N/A,SUM(DO$4:DO56,DM$4:DM56,DK$4:DK56))</f>
        <v>0.19208899052488143</v>
      </c>
      <c r="DR56" s="200" t="str">
        <f t="shared" si="54"/>
        <v/>
      </c>
      <c r="DS56" s="203">
        <f>IF($J56="",#N/A,SUM(DR$4:DR56))</f>
        <v>0</v>
      </c>
      <c r="DT56" s="204" t="str">
        <f t="shared" si="55"/>
        <v/>
      </c>
      <c r="DU56" s="204">
        <f>IF($J56="",#N/A,SUM(DT$4:DT56))</f>
        <v>-2.8875364672150718</v>
      </c>
      <c r="DV56" s="205" t="str">
        <f t="shared" si="56"/>
        <v/>
      </c>
      <c r="DW56" s="205">
        <f>IF($J56="",#N/A,SUM(DV$4:DV56))</f>
        <v>-0.89834078198379175</v>
      </c>
      <c r="DX56" s="205">
        <f>IF($J56="",#N/A,SUM(DV$4:DV56,DT$4:DT56,DR$4:DR56))</f>
        <v>-3.7858772491988635</v>
      </c>
      <c r="DY56" s="200" t="str">
        <f t="shared" si="57"/>
        <v/>
      </c>
      <c r="DZ56" s="203">
        <f>IF($J56="",#N/A,SUM(DY$4:DY56))</f>
        <v>-1.4611133068588897</v>
      </c>
      <c r="EA56" s="204">
        <f t="shared" si="58"/>
        <v>-1.3023471800067539</v>
      </c>
      <c r="EB56" s="204">
        <f>IF($J56="",#N/A,SUM(EA$4:EA56))</f>
        <v>-0.86716764906472754</v>
      </c>
      <c r="EC56" s="205" t="str">
        <f t="shared" si="59"/>
        <v/>
      </c>
      <c r="ED56" s="205">
        <f>IF($J56="",#N/A,SUM(EC$4:EC56))</f>
        <v>-0.12249858668611946</v>
      </c>
      <c r="EE56" s="205">
        <f>IF($J56="",#N/A,SUM(EC$4:EC56,EA$4:EA56,DY$4:DY56))</f>
        <v>-2.4507795426097365</v>
      </c>
      <c r="EF56" s="200" t="str">
        <f t="shared" si="60"/>
        <v/>
      </c>
      <c r="EG56" s="203">
        <f>IF($J56="",#N/A,SUM(EF$4:EF56))</f>
        <v>0</v>
      </c>
      <c r="EH56" s="204" t="str">
        <f t="shared" si="61"/>
        <v/>
      </c>
      <c r="EI56" s="204">
        <f>IF($J56="",#N/A,SUM(EH$4:EH56))</f>
        <v>-1.196204584775086</v>
      </c>
      <c r="EJ56" s="205" t="str">
        <f t="shared" si="62"/>
        <v/>
      </c>
      <c r="EK56" s="205">
        <f>IF($J56="",#N/A,SUM(EJ$4:EJ56))</f>
        <v>0.6035383334478206</v>
      </c>
      <c r="EL56" s="205">
        <f>IF($J56="",#N/A,SUM(EJ$4:EJ56,EH$4:EH56,EF$4:EF56))</f>
        <v>-0.59266625132726536</v>
      </c>
      <c r="EM56" s="200" t="str">
        <f t="shared" si="63"/>
        <v/>
      </c>
      <c r="EN56" s="203">
        <f>IF($J56="",#N/A,SUM(EM$4:EM56))</f>
        <v>0</v>
      </c>
      <c r="EO56" s="204" t="str">
        <f t="shared" si="64"/>
        <v/>
      </c>
      <c r="EP56" s="204">
        <f>IF($J56="",#N/A,SUM(EO$4:EO56))</f>
        <v>0</v>
      </c>
      <c r="EQ56" s="205" t="str">
        <f t="shared" si="65"/>
        <v/>
      </c>
      <c r="ER56" s="205">
        <f>IF($J56="",#N/A,SUM(EQ$4:EQ56))</f>
        <v>0</v>
      </c>
      <c r="ES56" s="205">
        <f>IF($J56="",#N/A,SUM(EQ$4:EQ56,EO$4:EO56,EM$4:EM56))</f>
        <v>0</v>
      </c>
      <c r="ET56" s="200" t="str">
        <f t="shared" si="66"/>
        <v/>
      </c>
      <c r="EU56" s="203">
        <f>IF($J56="",#N/A,SUM(ET$4:ET56))</f>
        <v>0</v>
      </c>
      <c r="EV56" s="204" t="str">
        <f t="shared" si="67"/>
        <v/>
      </c>
      <c r="EW56" s="204">
        <f>IF($J56="",#N/A,SUM(EV$4:EV56))</f>
        <v>0</v>
      </c>
      <c r="EX56" s="205" t="str">
        <f t="shared" si="68"/>
        <v/>
      </c>
      <c r="EY56" s="205">
        <f>IF($J56="",#N/A,SUM(EX$4:EX56))</f>
        <v>0</v>
      </c>
      <c r="EZ56" s="205">
        <f>IF($J56="",#N/A,SUM(EX$4:EX56,EV$4:EV56,ET$4:ET56))</f>
        <v>0</v>
      </c>
      <c r="FA56" s="200" t="str">
        <f t="shared" si="69"/>
        <v/>
      </c>
      <c r="FB56" s="203">
        <f>IF($J56="",#N/A,SUM(FA$4:FA56))</f>
        <v>0</v>
      </c>
      <c r="FC56" s="204" t="str">
        <f t="shared" si="70"/>
        <v/>
      </c>
      <c r="FD56" s="204">
        <f>IF($J56="",#N/A,SUM(FC$4:FC56))</f>
        <v>1.3724148418491529</v>
      </c>
      <c r="FE56" s="205" t="str">
        <f t="shared" si="71"/>
        <v/>
      </c>
      <c r="FF56" s="205">
        <f>IF($J56="",#N/A,SUM(FE$4:FE56))</f>
        <v>-0.11131725417439868</v>
      </c>
      <c r="FG56" s="205">
        <f>IF($J56="",#N/A,SUM(FE$4:FE56,FC$4:FC56,FA$4:FA56))</f>
        <v>1.2610975876747541</v>
      </c>
      <c r="FH56" s="200" t="str">
        <f t="shared" si="72"/>
        <v/>
      </c>
      <c r="FI56" s="203">
        <f>IF($J56="",#N/A,SUM(FH$4:FH56))</f>
        <v>0</v>
      </c>
      <c r="FJ56" s="204" t="str">
        <f t="shared" si="73"/>
        <v/>
      </c>
      <c r="FK56" s="204">
        <f>IF($J56="",#N/A,SUM(FJ$4:FJ56))</f>
        <v>0</v>
      </c>
      <c r="FL56" s="205" t="str">
        <f t="shared" si="74"/>
        <v/>
      </c>
      <c r="FM56" s="205">
        <f>IF($J56="",#N/A,SUM(FL$4:FL56))</f>
        <v>0</v>
      </c>
      <c r="FN56" s="205">
        <f>IF($J56="",#N/A,SUM(FL$4:FL56,FJ$4:FJ56,FH$4:FH56))</f>
        <v>0</v>
      </c>
      <c r="FO56" s="200" t="str">
        <f t="shared" si="75"/>
        <v/>
      </c>
      <c r="FP56" s="203">
        <f>IF($J56="",#N/A,SUM(FO$4:FO56))</f>
        <v>0</v>
      </c>
      <c r="FQ56" s="204" t="str">
        <f t="shared" si="76"/>
        <v/>
      </c>
      <c r="FR56" s="204">
        <f>IF($J56="",#N/A,SUM(FQ$4:FQ56))</f>
        <v>0</v>
      </c>
      <c r="FS56" s="205" t="str">
        <f t="shared" si="77"/>
        <v/>
      </c>
      <c r="FT56" s="205">
        <f>IF($J56="",#N/A,SUM(FS$4:FS56))</f>
        <v>0</v>
      </c>
      <c r="FU56" s="205">
        <f>IF($J56="",#N/A,SUM(FS$4:FS56,FQ$4:FQ56,FO$4:FO56))</f>
        <v>0</v>
      </c>
      <c r="FV56" s="200" t="str">
        <f t="shared" si="78"/>
        <v/>
      </c>
      <c r="FW56" s="203">
        <f>IF($J56="",#N/A,SUM(FV$4:FV56))</f>
        <v>6.6834991831277585E-2</v>
      </c>
      <c r="FX56" s="204" t="str">
        <f t="shared" si="79"/>
        <v/>
      </c>
      <c r="FY56" s="204">
        <f>IF($J56="",#N/A,SUM(FX$4:FX56))</f>
        <v>0</v>
      </c>
      <c r="FZ56" s="205" t="str">
        <f t="shared" si="80"/>
        <v/>
      </c>
      <c r="GA56" s="205">
        <f>IF($J56="",#N/A,SUM(FZ$4:FZ56))</f>
        <v>-0.20104261551371039</v>
      </c>
      <c r="GB56" s="205">
        <f>IF($J56="",#N/A,SUM(FZ$4:FZ56,FX$4:FX56,FV$4:FV56))</f>
        <v>-0.1342076236824328</v>
      </c>
      <c r="GC56" s="200" t="str">
        <f t="shared" si="81"/>
        <v/>
      </c>
      <c r="GD56" s="203">
        <f>IF($J56="",#N/A,SUM(GC$4:GC56))</f>
        <v>0</v>
      </c>
      <c r="GE56" s="204" t="str">
        <f t="shared" si="82"/>
        <v/>
      </c>
      <c r="GF56" s="204">
        <f>IF($J56="",#N/A,SUM(GE$4:GE56))</f>
        <v>0</v>
      </c>
      <c r="GG56" s="205" t="str">
        <f t="shared" si="83"/>
        <v/>
      </c>
      <c r="GH56" s="205">
        <f>IF($J56="",#N/A,SUM(GG$4:GG56))</f>
        <v>-2.9368362277223206</v>
      </c>
      <c r="GI56" s="205">
        <f>IF($J56="",#N/A,SUM(GG$4:GG56,GE$4:GE56,GC$4:GC56))</f>
        <v>-2.9368362277223206</v>
      </c>
      <c r="GJ56" s="200" t="str">
        <f t="shared" si="84"/>
        <v/>
      </c>
      <c r="GK56" s="203">
        <f>IF($J56="",#N/A,SUM(GJ$4:GJ56))</f>
        <v>0</v>
      </c>
      <c r="GL56" s="204" t="str">
        <f t="shared" si="85"/>
        <v/>
      </c>
      <c r="GM56" s="204">
        <f>IF($J56="",#N/A,SUM(GL$4:GL56))</f>
        <v>-1.0674765946939027</v>
      </c>
      <c r="GN56" s="205" t="str">
        <f t="shared" si="86"/>
        <v/>
      </c>
      <c r="GO56" s="205">
        <f>IF($J56="",#N/A,SUM(GN$4:GN56))</f>
        <v>0</v>
      </c>
      <c r="GP56" s="205">
        <f>IF($J56="",#N/A,SUM(GN$4:GN56,GL$4:GL56,GJ$4:GJ56))</f>
        <v>-1.0674765946939027</v>
      </c>
      <c r="GS56" s="303">
        <f t="shared" si="105"/>
        <v>-1.3023471800067539</v>
      </c>
      <c r="GT56" s="303">
        <f>IF(GS56="",NA(),SUM($GS$4:GS56))</f>
        <v>-10.502241950116357</v>
      </c>
      <c r="GU56" s="303" t="str">
        <f t="shared" si="87"/>
        <v/>
      </c>
      <c r="GV56" s="303" t="e">
        <f>IF(GU56="",NA(),SUM($GU$4:GU56))</f>
        <v>#N/A</v>
      </c>
      <c r="GW56" s="303" t="str">
        <f t="shared" si="88"/>
        <v/>
      </c>
      <c r="GX56" s="303" t="e">
        <f>IF(GW56="",NA(),SUM($GW$4:GW56))</f>
        <v>#N/A</v>
      </c>
      <c r="GY56" s="303">
        <f t="shared" si="89"/>
        <v>-1.3023471800067539</v>
      </c>
      <c r="GZ56" s="303">
        <f>IF(GY56="",NA(),SUM($GY$4:GY56))</f>
        <v>-4.2375680043391544</v>
      </c>
      <c r="HA56" s="303" t="str">
        <f t="shared" si="90"/>
        <v/>
      </c>
      <c r="HB56" s="303" t="e">
        <f>IF(HA56="",NA(),SUM($HA$4:HA56))</f>
        <v>#N/A</v>
      </c>
      <c r="HC56" s="303" t="str">
        <f t="shared" si="91"/>
        <v/>
      </c>
      <c r="HD56" s="303" t="e">
        <f>IF(HC56="",NA(),SUM($HC$4:HC56))</f>
        <v>#N/A</v>
      </c>
      <c r="HE56" s="303" t="str">
        <f t="shared" si="92"/>
        <v/>
      </c>
      <c r="HF56" s="303" t="e">
        <f>IF(HE56="",NA(),SUM($HE$4:HE56))</f>
        <v>#N/A</v>
      </c>
      <c r="HG56" s="303" t="str">
        <f t="shared" si="93"/>
        <v/>
      </c>
      <c r="HH56" s="303" t="e">
        <f>IF(HG56="",NA(),SUM($HG$4:HG56))</f>
        <v>#N/A</v>
      </c>
      <c r="HI56" s="304" t="str">
        <f t="shared" si="106"/>
        <v/>
      </c>
      <c r="HJ56" s="304">
        <f>IF($J56="",#N/A,SUM(HI$4:$HI56))</f>
        <v>-1.2880161085276005</v>
      </c>
      <c r="HK56" s="303">
        <f t="shared" si="94"/>
        <v>-0.23429584599797515</v>
      </c>
      <c r="HL56" s="303">
        <f>IF($J56="",#N/A,SUM($HK$4:HK56))</f>
        <v>-2.7297060402078941</v>
      </c>
      <c r="HM56" s="303" t="str">
        <f t="shared" si="95"/>
        <v/>
      </c>
      <c r="HN56" s="303">
        <f>IF($J56="",#N/A,SUM($HM$4:HM56))</f>
        <v>0.80449527204317051</v>
      </c>
      <c r="HO56" s="303" t="str">
        <f t="shared" si="96"/>
        <v/>
      </c>
      <c r="HP56" s="303">
        <f>IF($J56="",#N/A,SUM($HO$4:HO56))</f>
        <v>-0.64837295089680658</v>
      </c>
      <c r="HQ56" s="303" t="str">
        <f t="shared" si="97"/>
        <v/>
      </c>
      <c r="HR56" s="303">
        <f>IF($J56="",#N/A,SUM($HQ$4:HQ56))</f>
        <v>-1.7510435023178759</v>
      </c>
      <c r="HS56" s="303" t="str">
        <f t="shared" si="98"/>
        <v/>
      </c>
      <c r="HT56" s="303">
        <f>IF($J56="",#N/A,SUM($HS$4:HS56))</f>
        <v>5.5145549038116703</v>
      </c>
      <c r="HU56" s="305">
        <f t="shared" si="99"/>
        <v>-1.536643026004729</v>
      </c>
      <c r="HV56" s="305">
        <f>IF($J56="",#N/A,SUM(HU$4:$HU56))</f>
        <v>-10.39834156328441</v>
      </c>
    </row>
    <row r="57" spans="1:230" x14ac:dyDescent="0.25">
      <c r="A57" s="397" t="s">
        <v>1505</v>
      </c>
      <c r="B57" s="289" t="s">
        <v>4502</v>
      </c>
      <c r="C57" s="230">
        <f t="shared" si="0"/>
        <v>3</v>
      </c>
      <c r="D57" s="220" t="str">
        <f>_xlfn.XLOOKUP(A57,[1]SP500!$A$2:$A$502,[1]SP500!$D$2:$D$502,"N")</f>
        <v>Y</v>
      </c>
      <c r="E57" s="59" t="str">
        <f>IFERROR(_xlfn.XLOOKUP(A57,[1]SP500!$A$2:$A$655,[1]SP500!$B$2:$B$655),"")</f>
        <v>XLB</v>
      </c>
      <c r="F57" s="290">
        <v>45769</v>
      </c>
      <c r="G57" s="59" t="str">
        <f t="shared" si="1"/>
        <v>AMC</v>
      </c>
      <c r="H57" s="59" t="str">
        <f t="shared" si="2"/>
        <v>s</v>
      </c>
      <c r="I57" s="376">
        <v>117.39</v>
      </c>
      <c r="J57" s="278">
        <v>120.86</v>
      </c>
      <c r="K57" s="60">
        <f t="shared" si="3"/>
        <v>2.9559587699122574E-2</v>
      </c>
      <c r="L57" s="68">
        <f t="shared" si="4"/>
        <v>24.289999999999964</v>
      </c>
      <c r="M57" s="62">
        <f t="shared" si="5"/>
        <v>0</v>
      </c>
      <c r="N57" s="148">
        <f t="shared" si="6"/>
        <v>24.289999999999964</v>
      </c>
      <c r="O57" s="287">
        <f>IF(N57="",#N/A,SUM($N$4:N57))</f>
        <v>-669.94869563037491</v>
      </c>
      <c r="P57" s="64">
        <f t="shared" si="100"/>
        <v>0.4926597949853756</v>
      </c>
      <c r="Q57" s="183">
        <f>IF($N57="",#N/A,SUM($P$4:P57))</f>
        <v>-9.8075933422036989</v>
      </c>
      <c r="R57" s="279">
        <f t="shared" si="7"/>
        <v>2.1884972944923966</v>
      </c>
      <c r="S57" s="59" t="str">
        <f t="shared" si="8"/>
        <v>SW</v>
      </c>
      <c r="T57" s="59" t="s">
        <v>2828</v>
      </c>
      <c r="U57" s="61">
        <f t="shared" si="9"/>
        <v>117.39</v>
      </c>
      <c r="V57" s="61" t="s">
        <v>4460</v>
      </c>
      <c r="W57" s="142">
        <v>7</v>
      </c>
      <c r="X57" s="146">
        <f t="shared" si="10"/>
        <v>821.73</v>
      </c>
      <c r="Y57" s="142">
        <f t="shared" si="11"/>
        <v>7</v>
      </c>
      <c r="Z57" s="278">
        <v>120.86</v>
      </c>
      <c r="AA57" s="63">
        <f t="shared" si="12"/>
        <v>24.289999999999964</v>
      </c>
      <c r="AB57" s="63">
        <f t="shared" si="13"/>
        <v>35.279999999999973</v>
      </c>
      <c r="AC57" s="125">
        <v>122.43</v>
      </c>
      <c r="AD57" s="148">
        <f t="shared" si="14"/>
        <v>35.279999999999973</v>
      </c>
      <c r="AE57" s="544">
        <f t="shared" si="15"/>
        <v>0.71556350626118004</v>
      </c>
      <c r="AF57" s="62">
        <f>IF($AC57="",#N/A,SUM(AD$4:AD57))</f>
        <v>-654.1558202550317</v>
      </c>
      <c r="AG57" s="63">
        <f t="shared" si="16"/>
        <v>10.990000000000009</v>
      </c>
      <c r="AH57" s="61" t="s">
        <v>2507</v>
      </c>
      <c r="AI57" s="64">
        <f t="shared" si="17"/>
        <v>0.4926597949853756</v>
      </c>
      <c r="AJ57" s="177">
        <f>IF(AI57="",#N/A,SUM($AI$4:AI57))</f>
        <v>-11.996090636696096</v>
      </c>
      <c r="AK57" s="62">
        <f t="shared" si="18"/>
        <v>24.289999999999964</v>
      </c>
      <c r="AL57" s="288">
        <f>IF(AI57="",#N/A,IF(AH57="Skip",SUM($AK$4:AK57),SUM($AK$4:AK57)))</f>
        <v>-827.47999999999934</v>
      </c>
      <c r="AM57" s="65">
        <f t="shared" si="101"/>
        <v>0.71556350626118004</v>
      </c>
      <c r="AN57" s="209"/>
      <c r="AO57" s="64">
        <f t="shared" si="19"/>
        <v>0.71556350626118004</v>
      </c>
      <c r="AP57" s="64">
        <f>IF($AC57="",#N/A,SUM(AO$4:AO57))</f>
        <v>-0.18933191006733252</v>
      </c>
      <c r="AQ57" s="64" t="str">
        <f t="shared" si="20"/>
        <v/>
      </c>
      <c r="AR57" s="64">
        <f>IF($AC57="",#N/A,SUM(AQ$4:AQ57))</f>
        <v>-1.2381559938812483</v>
      </c>
      <c r="AS57" s="64" t="str">
        <f t="shared" si="21"/>
        <v/>
      </c>
      <c r="AT57" s="64">
        <f>IF($AC57="",#N/A,SUM(AS$4:AS57))</f>
        <v>-8.2552901530746503</v>
      </c>
      <c r="AU57" s="62">
        <f t="shared" si="102"/>
        <v>35.279999999999973</v>
      </c>
      <c r="AV57" s="62">
        <f>IF($AC57="",#N/A,SUM(AU$4:AU57))</f>
        <v>-33.00744735221565</v>
      </c>
      <c r="AW57" s="62" t="str">
        <f t="shared" si="103"/>
        <v/>
      </c>
      <c r="AX57" s="62">
        <f>IF($AC57="",#N/A,SUM(AW$4:AW57))</f>
        <v>-74.660000000000196</v>
      </c>
      <c r="AY57" s="61" t="str">
        <f t="shared" si="104"/>
        <v/>
      </c>
      <c r="AZ57" s="62">
        <f>IF($AC57="",#N/A,SUM(AY$4:AY57))</f>
        <v>-546.48837290281585</v>
      </c>
      <c r="BA57" s="62">
        <f>IF(AD57="",#N/A,SUM($AD$4:AD57))</f>
        <v>-654.1558202550317</v>
      </c>
      <c r="BC57" s="59" t="str">
        <f t="shared" si="22"/>
        <v/>
      </c>
      <c r="BD57" s="59" t="str">
        <f t="shared" si="23"/>
        <v/>
      </c>
      <c r="BE57" s="59">
        <f t="shared" si="24"/>
        <v>1</v>
      </c>
      <c r="BF57" s="59" t="str">
        <f t="shared" si="25"/>
        <v>Long</v>
      </c>
      <c r="BG57" s="59" t="str">
        <f t="shared" si="26"/>
        <v/>
      </c>
      <c r="BH57" s="59" t="str">
        <f t="shared" si="27"/>
        <v/>
      </c>
      <c r="BI57" s="59" t="str">
        <f t="shared" si="28"/>
        <v/>
      </c>
      <c r="BK57" s="65">
        <f t="shared" si="108"/>
        <v>-0.18657499567754737</v>
      </c>
      <c r="BL57" s="65">
        <f t="shared" si="107"/>
        <v>-0.3367941470215301</v>
      </c>
      <c r="BM57" s="65">
        <f>IFERROR(Q57/COUNTA($J$4:J57),#N/A)</f>
        <v>-0.18162209892969813</v>
      </c>
      <c r="BO57" s="489">
        <f>IF(J57="",#N/A,IF(S57="SW",(COUNTIFS(K$4:$K57,"&gt;0",S$4:$S57,"SW")/COUNTIF(S$4:$S57,"SW")),#N/A))</f>
        <v>0.4838709677419355</v>
      </c>
      <c r="BP57" s="489" t="e">
        <f>IF($J57="",#N/A,IF($S57="DWN",(COUNTIFS($K$4:$K57,"&lt;0",$S$4:$S57,"DWN")/COUNTIF($S$4:$S57,"DWN")),#N/A))</f>
        <v>#N/A</v>
      </c>
      <c r="BQ57" s="489" t="e">
        <f>IF($J57="",#N/A,IF($S57="UP",(COUNTIFS($K$4:$K57,"&gt;0",$S$4:$S57,"UP")/COUNTIF($S$4:$S57,"UP")),#N/A))</f>
        <v>#N/A</v>
      </c>
      <c r="BR57" s="489">
        <f>IF(J57="",#N/A,COUNTIF($K$4:K57,"&gt;0")/COUNT($J$4:J57))</f>
        <v>0.5</v>
      </c>
      <c r="BS57" s="65">
        <f t="shared" si="29"/>
        <v>0.4926597949853756</v>
      </c>
      <c r="BT57" s="65" t="str">
        <f t="shared" si="30"/>
        <v/>
      </c>
      <c r="BU57" s="65" t="str">
        <f t="shared" si="31"/>
        <v/>
      </c>
      <c r="BV57" s="65" t="str">
        <f t="shared" si="32"/>
        <v/>
      </c>
      <c r="BW57" s="151" t="str">
        <f t="shared" si="33"/>
        <v/>
      </c>
      <c r="BX57" s="151">
        <f>IF($J57="",#N/A,SUM($BW$4:BW57))</f>
        <v>-88.570000000000164</v>
      </c>
      <c r="BY57" s="152" t="str">
        <f t="shared" si="34"/>
        <v/>
      </c>
      <c r="BZ57" s="152">
        <f>IF($J57="",#N/A,SUM($BY$4:BY57))</f>
        <v>-295.41871953149541</v>
      </c>
      <c r="CA57" s="153">
        <f t="shared" si="35"/>
        <v>24.289999999999964</v>
      </c>
      <c r="CB57" s="154">
        <f>IF($J57="",#N/A,SUM($CA$4:CA57))</f>
        <v>-285.95997609887934</v>
      </c>
      <c r="CC57" s="191" t="str">
        <f t="shared" si="36"/>
        <v/>
      </c>
      <c r="CD57" s="191">
        <f>IF($J57="",#N/A,SUM($CC$4:CC57))</f>
        <v>-1.3942783150276121</v>
      </c>
      <c r="CE57" s="192" t="str">
        <f t="shared" si="37"/>
        <v/>
      </c>
      <c r="CF57" s="192">
        <f>IF($J57="",#N/A,SUM($CE$4:CE57))</f>
        <v>-4.2375680043391544</v>
      </c>
      <c r="CG57" s="193">
        <f t="shared" si="38"/>
        <v>0.4926597949853756</v>
      </c>
      <c r="CH57" s="193">
        <f>IF($J57="",#N/A,SUM($CG$4:CG57))</f>
        <v>-4.17574702283693</v>
      </c>
      <c r="CI57" s="200" t="str">
        <f t="shared" si="39"/>
        <v/>
      </c>
      <c r="CJ57" s="200">
        <f>IF($J57="",#N/A,SUM(CI$4:CI57))</f>
        <v>0</v>
      </c>
      <c r="CK57" s="201" t="str">
        <f t="shared" si="40"/>
        <v/>
      </c>
      <c r="CL57" s="201">
        <f>IF($J57="",#N/A,SUM(CK$4:CK57))</f>
        <v>0</v>
      </c>
      <c r="CM57" s="202" t="str">
        <f t="shared" si="41"/>
        <v/>
      </c>
      <c r="CN57" s="202">
        <f>IF($J57="",#N/A,SUM(CM$4:CM57))</f>
        <v>0</v>
      </c>
      <c r="CO57" s="202">
        <f>IF($J57="",#N/A,SUM(CM$4:CM57,CK$4:CK57,CI$4:CI57))</f>
        <v>0</v>
      </c>
      <c r="CP57" s="200" t="str">
        <f t="shared" si="42"/>
        <v/>
      </c>
      <c r="CQ57" s="200">
        <f>IF($J57="",#N/A,SUM(CP$4:CP57))</f>
        <v>0</v>
      </c>
      <c r="CR57" s="201" t="str">
        <f t="shared" si="43"/>
        <v/>
      </c>
      <c r="CS57" s="201">
        <f>IF($J57="",#N/A,SUM(CR$4:CR57))</f>
        <v>0</v>
      </c>
      <c r="CT57" s="202" t="str">
        <f t="shared" si="44"/>
        <v/>
      </c>
      <c r="CU57" s="202">
        <f>IF($J57="",#N/A,SUM(CT$4:CT57))</f>
        <v>0</v>
      </c>
      <c r="CV57" s="202">
        <f>IF($J57="",#N/A,SUM(CT$4:CT57,CR$4:CR57,CP$4:CP57))</f>
        <v>0</v>
      </c>
      <c r="CW57" s="200" t="str">
        <f t="shared" si="45"/>
        <v/>
      </c>
      <c r="CX57" s="200">
        <f>IF($J57="",#N/A,SUM(CW$4:CW57))</f>
        <v>0</v>
      </c>
      <c r="CY57" s="201" t="str">
        <f t="shared" si="46"/>
        <v/>
      </c>
      <c r="CZ57" s="201">
        <f>IF($J57="",#N/A,SUM(CY$4:CY57))</f>
        <v>-0.63271328921481373</v>
      </c>
      <c r="DA57" s="202" t="str">
        <f t="shared" si="47"/>
        <v/>
      </c>
      <c r="DB57" s="202">
        <f>IF($J57="",#N/A,SUM(DA$4:DA57))</f>
        <v>0</v>
      </c>
      <c r="DC57" s="202">
        <f>IF($J57="",#N/A,SUM(DA$4:DA57,CY$4:CY57,CW$4:CW57))</f>
        <v>-0.63271328921481373</v>
      </c>
      <c r="DD57" s="200" t="str">
        <f t="shared" si="48"/>
        <v/>
      </c>
      <c r="DE57" s="200">
        <f>IF($J57="",#N/A,SUM(DD$4:DD57))</f>
        <v>0</v>
      </c>
      <c r="DF57" s="201" t="str">
        <f t="shared" si="49"/>
        <v/>
      </c>
      <c r="DG57" s="201">
        <f>IF($J57="",#N/A,SUM(DF$4:DF57))</f>
        <v>0.6788440567066546</v>
      </c>
      <c r="DH57" s="202" t="str">
        <f t="shared" si="50"/>
        <v/>
      </c>
      <c r="DI57" s="202">
        <f>IF($J57="",#N/A,SUM(DH$4:DH57))</f>
        <v>-0.83172699364602887</v>
      </c>
      <c r="DJ57" s="202">
        <f>IF($J57="",#N/A,SUM(DH$4:DH57,DF$4:DF57,DD$4:DD57))</f>
        <v>-0.15288293693937427</v>
      </c>
      <c r="DK57" s="200" t="str">
        <f t="shared" si="51"/>
        <v/>
      </c>
      <c r="DL57" s="200">
        <f>IF($J57="",#N/A,SUM(DK$4:DK57))</f>
        <v>0</v>
      </c>
      <c r="DM57" s="201" t="str">
        <f t="shared" si="52"/>
        <v/>
      </c>
      <c r="DN57" s="201">
        <f>IF($J57="",#N/A,SUM(DM$4:DM57))</f>
        <v>0.36227168206863897</v>
      </c>
      <c r="DO57" s="202" t="str">
        <f t="shared" si="53"/>
        <v/>
      </c>
      <c r="DP57" s="202">
        <f>IF($J57="",#N/A,SUM(DO$4:DO57))</f>
        <v>-0.17018269154375754</v>
      </c>
      <c r="DQ57" s="202">
        <f>IF($J57="",#N/A,SUM(DO$4:DO57,DM$4:DM57,DK$4:DK57))</f>
        <v>0.19208899052488143</v>
      </c>
      <c r="DR57" s="200" t="str">
        <f t="shared" si="54"/>
        <v/>
      </c>
      <c r="DS57" s="200">
        <f>IF($J57="",#N/A,SUM(DR$4:DR57))</f>
        <v>0</v>
      </c>
      <c r="DT57" s="201" t="str">
        <f t="shared" si="55"/>
        <v/>
      </c>
      <c r="DU57" s="201">
        <f>IF($J57="",#N/A,SUM(DT$4:DT57))</f>
        <v>-2.8875364672150718</v>
      </c>
      <c r="DV57" s="202" t="str">
        <f t="shared" si="56"/>
        <v/>
      </c>
      <c r="DW57" s="202">
        <f>IF($J57="",#N/A,SUM(DV$4:DV57))</f>
        <v>-0.89834078198379175</v>
      </c>
      <c r="DX57" s="202">
        <f>IF($J57="",#N/A,SUM(DV$4:DV57,DT$4:DT57,DR$4:DR57))</f>
        <v>-3.7858772491988635</v>
      </c>
      <c r="DY57" s="200" t="str">
        <f t="shared" si="57"/>
        <v/>
      </c>
      <c r="DZ57" s="200">
        <f>IF($J57="",#N/A,SUM(DY$4:DY57))</f>
        <v>-1.4611133068588897</v>
      </c>
      <c r="EA57" s="201" t="str">
        <f t="shared" si="58"/>
        <v/>
      </c>
      <c r="EB57" s="201">
        <f>IF($J57="",#N/A,SUM(EA$4:EA57))</f>
        <v>-0.86716764906472754</v>
      </c>
      <c r="EC57" s="202" t="str">
        <f t="shared" si="59"/>
        <v/>
      </c>
      <c r="ED57" s="202">
        <f>IF($J57="",#N/A,SUM(EC$4:EC57))</f>
        <v>-0.12249858668611946</v>
      </c>
      <c r="EE57" s="202">
        <f>IF($J57="",#N/A,SUM(EC$4:EC57,EA$4:EA57,DY$4:DY57))</f>
        <v>-2.4507795426097365</v>
      </c>
      <c r="EF57" s="200" t="str">
        <f t="shared" si="60"/>
        <v/>
      </c>
      <c r="EG57" s="200">
        <f>IF($J57="",#N/A,SUM(EF$4:EF57))</f>
        <v>0</v>
      </c>
      <c r="EH57" s="201" t="str">
        <f t="shared" si="61"/>
        <v/>
      </c>
      <c r="EI57" s="201">
        <f>IF($J57="",#N/A,SUM(EH$4:EH57))</f>
        <v>-1.196204584775086</v>
      </c>
      <c r="EJ57" s="202" t="str">
        <f t="shared" si="62"/>
        <v/>
      </c>
      <c r="EK57" s="202">
        <f>IF($J57="",#N/A,SUM(EJ$4:EJ57))</f>
        <v>0.6035383334478206</v>
      </c>
      <c r="EL57" s="202">
        <f>IF($J57="",#N/A,SUM(EJ$4:EJ57,EH$4:EH57,EF$4:EF57))</f>
        <v>-0.59266625132726536</v>
      </c>
      <c r="EM57" s="200" t="str">
        <f t="shared" si="63"/>
        <v/>
      </c>
      <c r="EN57" s="200">
        <f>IF($J57="",#N/A,SUM(EM$4:EM57))</f>
        <v>0</v>
      </c>
      <c r="EO57" s="201" t="str">
        <f t="shared" si="64"/>
        <v/>
      </c>
      <c r="EP57" s="201">
        <f>IF($J57="",#N/A,SUM(EO$4:EO57))</f>
        <v>0</v>
      </c>
      <c r="EQ57" s="202">
        <f t="shared" si="65"/>
        <v>0.4926597949853756</v>
      </c>
      <c r="ER57" s="202">
        <f>IF($J57="",#N/A,SUM(EQ$4:EQ57))</f>
        <v>0.4926597949853756</v>
      </c>
      <c r="ES57" s="202">
        <f>IF($J57="",#N/A,SUM(EQ$4:EQ57,EO$4:EO57,EM$4:EM57))</f>
        <v>0.4926597949853756</v>
      </c>
      <c r="ET57" s="200" t="str">
        <f t="shared" si="66"/>
        <v/>
      </c>
      <c r="EU57" s="200">
        <f>IF($J57="",#N/A,SUM(ET$4:ET57))</f>
        <v>0</v>
      </c>
      <c r="EV57" s="201" t="str">
        <f t="shared" si="67"/>
        <v/>
      </c>
      <c r="EW57" s="201">
        <f>IF($J57="",#N/A,SUM(EV$4:EV57))</f>
        <v>0</v>
      </c>
      <c r="EX57" s="202" t="str">
        <f t="shared" si="68"/>
        <v/>
      </c>
      <c r="EY57" s="202">
        <f>IF($J57="",#N/A,SUM(EX$4:EX57))</f>
        <v>0</v>
      </c>
      <c r="EZ57" s="202">
        <f>IF($J57="",#N/A,SUM(EX$4:EX57,EV$4:EV57,ET$4:ET57))</f>
        <v>0</v>
      </c>
      <c r="FA57" s="200" t="str">
        <f t="shared" si="69"/>
        <v/>
      </c>
      <c r="FB57" s="200">
        <f>IF($J57="",#N/A,SUM(FA$4:FA57))</f>
        <v>0</v>
      </c>
      <c r="FC57" s="201" t="str">
        <f t="shared" si="70"/>
        <v/>
      </c>
      <c r="FD57" s="201">
        <f>IF($J57="",#N/A,SUM(FC$4:FC57))</f>
        <v>1.3724148418491529</v>
      </c>
      <c r="FE57" s="202" t="str">
        <f t="shared" si="71"/>
        <v/>
      </c>
      <c r="FF57" s="202">
        <f>IF($J57="",#N/A,SUM(FE$4:FE57))</f>
        <v>-0.11131725417439868</v>
      </c>
      <c r="FG57" s="202">
        <f>IF($J57="",#N/A,SUM(FE$4:FE57,FC$4:FC57,FA$4:FA57))</f>
        <v>1.2610975876747541</v>
      </c>
      <c r="FH57" s="200" t="str">
        <f t="shared" si="72"/>
        <v/>
      </c>
      <c r="FI57" s="200">
        <f>IF($J57="",#N/A,SUM(FH$4:FH57))</f>
        <v>0</v>
      </c>
      <c r="FJ57" s="201" t="str">
        <f t="shared" si="73"/>
        <v/>
      </c>
      <c r="FK57" s="201">
        <f>IF($J57="",#N/A,SUM(FJ$4:FJ57))</f>
        <v>0</v>
      </c>
      <c r="FL57" s="202" t="str">
        <f t="shared" si="74"/>
        <v/>
      </c>
      <c r="FM57" s="202">
        <f>IF($J57="",#N/A,SUM(FL$4:FL57))</f>
        <v>0</v>
      </c>
      <c r="FN57" s="202">
        <f>IF($J57="",#N/A,SUM(FL$4:FL57,FJ$4:FJ57,FH$4:FH57))</f>
        <v>0</v>
      </c>
      <c r="FO57" s="200" t="str">
        <f t="shared" si="75"/>
        <v/>
      </c>
      <c r="FP57" s="200">
        <f>IF($J57="",#N/A,SUM(FO$4:FO57))</f>
        <v>0</v>
      </c>
      <c r="FQ57" s="201" t="str">
        <f t="shared" si="76"/>
        <v/>
      </c>
      <c r="FR57" s="201">
        <f>IF($J57="",#N/A,SUM(FQ$4:FQ57))</f>
        <v>0</v>
      </c>
      <c r="FS57" s="202" t="str">
        <f t="shared" si="77"/>
        <v/>
      </c>
      <c r="FT57" s="202">
        <f>IF($J57="",#N/A,SUM(FS$4:FS57))</f>
        <v>0</v>
      </c>
      <c r="FU57" s="202">
        <f>IF($J57="",#N/A,SUM(FS$4:FS57,FQ$4:FQ57,FO$4:FO57))</f>
        <v>0</v>
      </c>
      <c r="FV57" s="200" t="str">
        <f t="shared" si="78"/>
        <v/>
      </c>
      <c r="FW57" s="200">
        <f>IF($J57="",#N/A,SUM(FV$4:FV57))</f>
        <v>6.6834991831277585E-2</v>
      </c>
      <c r="FX57" s="201" t="str">
        <f t="shared" si="79"/>
        <v/>
      </c>
      <c r="FY57" s="201">
        <f>IF($J57="",#N/A,SUM(FX$4:FX57))</f>
        <v>0</v>
      </c>
      <c r="FZ57" s="202" t="str">
        <f t="shared" si="80"/>
        <v/>
      </c>
      <c r="GA57" s="202">
        <f>IF($J57="",#N/A,SUM(FZ$4:FZ57))</f>
        <v>-0.20104261551371039</v>
      </c>
      <c r="GB57" s="202">
        <f>IF($J57="",#N/A,SUM(FZ$4:FZ57,FX$4:FX57,FV$4:FV57))</f>
        <v>-0.1342076236824328</v>
      </c>
      <c r="GC57" s="200" t="str">
        <f t="shared" si="81"/>
        <v/>
      </c>
      <c r="GD57" s="200">
        <f>IF($J57="",#N/A,SUM(GC$4:GC57))</f>
        <v>0</v>
      </c>
      <c r="GE57" s="201" t="str">
        <f t="shared" si="82"/>
        <v/>
      </c>
      <c r="GF57" s="201">
        <f>IF($J57="",#N/A,SUM(GE$4:GE57))</f>
        <v>0</v>
      </c>
      <c r="GG57" s="202" t="str">
        <f t="shared" si="83"/>
        <v/>
      </c>
      <c r="GH57" s="202">
        <f>IF($J57="",#N/A,SUM(GG$4:GG57))</f>
        <v>-2.9368362277223206</v>
      </c>
      <c r="GI57" s="202">
        <f>IF($J57="",#N/A,SUM(GG$4:GG57,GE$4:GE57,GC$4:GC57))</f>
        <v>-2.9368362277223206</v>
      </c>
      <c r="GJ57" s="200" t="str">
        <f t="shared" si="84"/>
        <v/>
      </c>
      <c r="GK57" s="200">
        <f>IF($J57="",#N/A,SUM(GJ$4:GJ57))</f>
        <v>0</v>
      </c>
      <c r="GL57" s="201" t="str">
        <f t="shared" si="85"/>
        <v/>
      </c>
      <c r="GM57" s="201">
        <f>IF($J57="",#N/A,SUM(GL$4:GL57))</f>
        <v>-1.0674765946939027</v>
      </c>
      <c r="GN57" s="202" t="str">
        <f t="shared" si="86"/>
        <v/>
      </c>
      <c r="GO57" s="202">
        <f>IF($J57="",#N/A,SUM(GN$4:GN57))</f>
        <v>0</v>
      </c>
      <c r="GP57" s="202">
        <f>IF($J57="",#N/A,SUM(GN$4:GN57,GL$4:GL57,GJ$4:GJ57))</f>
        <v>-1.0674765946939027</v>
      </c>
      <c r="GS57" s="177">
        <f t="shared" si="105"/>
        <v>0.4926597949853756</v>
      </c>
      <c r="GT57" s="177">
        <f>IF(GS57="",NA(),SUM($GS$4:GS57))</f>
        <v>-10.009582155130982</v>
      </c>
      <c r="GU57" s="177" t="str">
        <f t="shared" si="87"/>
        <v/>
      </c>
      <c r="GV57" s="177" t="e">
        <f>IF(GU57="",NA(),SUM($GU$4:GU57))</f>
        <v>#N/A</v>
      </c>
      <c r="GW57" s="177">
        <f t="shared" si="88"/>
        <v>0.4926597949853756</v>
      </c>
      <c r="GX57" s="177">
        <f>IF(GW57="",NA(),SUM($GW$4:GW57))</f>
        <v>-4.3777358357642155</v>
      </c>
      <c r="GY57" s="177" t="str">
        <f t="shared" si="89"/>
        <v/>
      </c>
      <c r="GZ57" s="177" t="e">
        <f>IF(GY57="",NA(),SUM($GY$4:GY57))</f>
        <v>#N/A</v>
      </c>
      <c r="HA57" s="177" t="str">
        <f t="shared" si="90"/>
        <v/>
      </c>
      <c r="HB57" s="177" t="e">
        <f>IF(HA57="",NA(),SUM($HA$4:HA57))</f>
        <v>#N/A</v>
      </c>
      <c r="HC57" s="177" t="str">
        <f t="shared" si="91"/>
        <v/>
      </c>
      <c r="HD57" s="177" t="e">
        <f>IF(HC57="",NA(),SUM($HC$4:HC57))</f>
        <v>#N/A</v>
      </c>
      <c r="HE57" s="177" t="str">
        <f t="shared" si="92"/>
        <v/>
      </c>
      <c r="HF57" s="177" t="e">
        <f>IF(HE57="",NA(),SUM($HE$4:HE57))</f>
        <v>#N/A</v>
      </c>
      <c r="HG57" s="177" t="str">
        <f t="shared" si="93"/>
        <v/>
      </c>
      <c r="HH57" s="177" t="e">
        <f>IF(HG57="",NA(),SUM($HG$4:HG57))</f>
        <v>#N/A</v>
      </c>
      <c r="HI57" s="183" t="str">
        <f t="shared" si="106"/>
        <v/>
      </c>
      <c r="HJ57" s="183">
        <f>IF($J57="",#N/A,SUM(HI$4:$HI57))</f>
        <v>-1.2880161085276005</v>
      </c>
      <c r="HK57" s="177" t="str">
        <f t="shared" si="94"/>
        <v/>
      </c>
      <c r="HL57" s="177">
        <f>IF($J57="",#N/A,SUM($HK$4:HK57))</f>
        <v>-2.7297060402078941</v>
      </c>
      <c r="HM57" s="177" t="str">
        <f t="shared" si="95"/>
        <v/>
      </c>
      <c r="HN57" s="177">
        <f>IF($J57="",#N/A,SUM($HM$4:HM57))</f>
        <v>0.80449527204317051</v>
      </c>
      <c r="HO57" s="177" t="str">
        <f t="shared" si="96"/>
        <v/>
      </c>
      <c r="HP57" s="177">
        <f>IF($J57="",#N/A,SUM($HO$4:HO57))</f>
        <v>-0.64837295089680658</v>
      </c>
      <c r="HQ57" s="177">
        <f t="shared" si="97"/>
        <v>0.22290371127580444</v>
      </c>
      <c r="HR57" s="177">
        <f>IF($J57="",#N/A,SUM($HQ$4:HQ57))</f>
        <v>-1.5281397910420713</v>
      </c>
      <c r="HS57" s="177" t="str">
        <f t="shared" si="98"/>
        <v/>
      </c>
      <c r="HT57" s="177">
        <f>IF($J57="",#N/A,SUM($HS$4:HS57))</f>
        <v>5.5145549038116703</v>
      </c>
      <c r="HU57" s="64">
        <f t="shared" si="99"/>
        <v>0.71556350626118004</v>
      </c>
      <c r="HV57" s="64">
        <f>IF($J57="",#N/A,SUM(HU$4:$HU57))</f>
        <v>-9.6827780570232296</v>
      </c>
    </row>
    <row r="58" spans="1:230" x14ac:dyDescent="0.25">
      <c r="A58" s="51" t="s">
        <v>1298</v>
      </c>
      <c r="B58" s="52" t="s">
        <v>4502</v>
      </c>
      <c r="C58" s="229">
        <f t="shared" si="0"/>
        <v>3</v>
      </c>
      <c r="D58" s="219" t="str">
        <f>_xlfn.XLOOKUP(A58,[1]SP500!$A$2:$A$502,[1]SP500!$D$2:$D$502,"N")</f>
        <v>Y</v>
      </c>
      <c r="E58" s="51" t="str">
        <f>IFERROR(_xlfn.XLOOKUP(A58,[1]SP500!$A$2:$A$655,[1]SP500!$B$2:$B$655),"")</f>
        <v>XLV</v>
      </c>
      <c r="F58" s="53">
        <v>45769</v>
      </c>
      <c r="G58" s="51" t="str">
        <f t="shared" si="1"/>
        <v>AMC</v>
      </c>
      <c r="H58" s="51" t="str">
        <f t="shared" si="2"/>
        <v>s</v>
      </c>
      <c r="I58" s="344">
        <v>478.74</v>
      </c>
      <c r="J58" s="123">
        <v>500</v>
      </c>
      <c r="K58" s="55">
        <f t="shared" si="3"/>
        <v>4.4408238292183627E-2</v>
      </c>
      <c r="L58" s="67">
        <f t="shared" si="4"/>
        <v>42.519999999999982</v>
      </c>
      <c r="M58" s="57">
        <f t="shared" si="5"/>
        <v>0</v>
      </c>
      <c r="N58" s="155">
        <f t="shared" si="6"/>
        <v>42.519999999999982</v>
      </c>
      <c r="O58" s="156">
        <f>IF(N58="",#N/A,SUM($N$4:N58))</f>
        <v>-627.42869563037493</v>
      </c>
      <c r="P58" s="65">
        <f t="shared" si="100"/>
        <v>0.74013730486972718</v>
      </c>
      <c r="Q58" s="172">
        <f>IF($N58="",#N/A,SUM($P$4:P58))</f>
        <v>-9.0674560373339723</v>
      </c>
      <c r="R58" s="279">
        <f t="shared" si="7"/>
        <v>2.1884972944923966</v>
      </c>
      <c r="S58" s="51" t="str">
        <f t="shared" si="8"/>
        <v>SW</v>
      </c>
      <c r="T58" s="51" t="s">
        <v>2828</v>
      </c>
      <c r="U58" s="56">
        <f t="shared" si="9"/>
        <v>478.74</v>
      </c>
      <c r="V58" s="56" t="s">
        <v>4460</v>
      </c>
      <c r="W58" s="142">
        <v>2</v>
      </c>
      <c r="X58" s="145">
        <f t="shared" si="10"/>
        <v>957.48</v>
      </c>
      <c r="Y58" s="140">
        <f t="shared" si="11"/>
        <v>2</v>
      </c>
      <c r="Z58" s="123">
        <v>500</v>
      </c>
      <c r="AA58" s="102">
        <f t="shared" si="12"/>
        <v>42.519999999999982</v>
      </c>
      <c r="AB58" s="102">
        <f t="shared" si="13"/>
        <v>18.379999999999995</v>
      </c>
      <c r="AC58" s="124">
        <v>487.93</v>
      </c>
      <c r="AD58" s="155">
        <f t="shared" si="14"/>
        <v>18.379999999999995</v>
      </c>
      <c r="AE58" s="545">
        <f t="shared" si="15"/>
        <v>0.31993705699683883</v>
      </c>
      <c r="AF58" s="57">
        <f>IF($AC58="",#N/A,SUM(AD$4:AD58))</f>
        <v>-635.7758202550317</v>
      </c>
      <c r="AG58" s="102">
        <f t="shared" si="16"/>
        <v>-24.139999999999986</v>
      </c>
      <c r="AH58" s="56" t="s">
        <v>2507</v>
      </c>
      <c r="AI58" s="65">
        <f t="shared" si="17"/>
        <v>0.74013730486972718</v>
      </c>
      <c r="AJ58" s="54">
        <f>IF(AI58="",#N/A,SUM($AI$4:AI58))</f>
        <v>-11.255953331826369</v>
      </c>
      <c r="AK58" s="57">
        <f t="shared" si="18"/>
        <v>42.519999999999982</v>
      </c>
      <c r="AL58" s="58">
        <f>IF(AI58="",#N/A,IF(AH58="Skip",SUM($AK$4:AK58),SUM($AK$4:AK58)))</f>
        <v>-784.95999999999935</v>
      </c>
      <c r="AM58" s="65">
        <f t="shared" si="101"/>
        <v>0.31993705699683883</v>
      </c>
      <c r="AN58" s="209"/>
      <c r="AO58" s="65">
        <f t="shared" si="19"/>
        <v>0.31993705699683883</v>
      </c>
      <c r="AP58" s="65">
        <f>IF($AC58="",#N/A,SUM(AO$4:AO58))</f>
        <v>0.13060514692950631</v>
      </c>
      <c r="AQ58" s="65" t="str">
        <f t="shared" si="20"/>
        <v/>
      </c>
      <c r="AR58" s="65">
        <f>IF($AC58="",#N/A,SUM(AQ$4:AQ58))</f>
        <v>-1.2381559938812483</v>
      </c>
      <c r="AS58" s="65" t="str">
        <f t="shared" si="21"/>
        <v/>
      </c>
      <c r="AT58" s="65">
        <f>IF($AC58="",#N/A,SUM(AS$4:AS58))</f>
        <v>-8.2552901530746503</v>
      </c>
      <c r="AU58" s="57">
        <f t="shared" si="102"/>
        <v>18.379999999999995</v>
      </c>
      <c r="AV58" s="57">
        <f>IF($AC58="",#N/A,SUM(AU$4:AU58))</f>
        <v>-14.627447352215654</v>
      </c>
      <c r="AW58" s="57" t="str">
        <f t="shared" si="103"/>
        <v/>
      </c>
      <c r="AX58" s="57">
        <f>IF($AC58="",#N/A,SUM(AW$4:AW58))</f>
        <v>-74.660000000000196</v>
      </c>
      <c r="AY58" s="56" t="str">
        <f t="shared" si="104"/>
        <v/>
      </c>
      <c r="AZ58" s="57">
        <f>IF($AC58="",#N/A,SUM(AY$4:AY58))</f>
        <v>-546.48837290281585</v>
      </c>
      <c r="BA58" s="57">
        <f>IF(AD58="",#N/A,SUM($AD$4:AD58))</f>
        <v>-635.7758202550317</v>
      </c>
      <c r="BC58" s="51" t="str">
        <f t="shared" si="22"/>
        <v/>
      </c>
      <c r="BD58" s="51" t="str">
        <f t="shared" si="23"/>
        <v/>
      </c>
      <c r="BE58" s="51">
        <f t="shared" si="24"/>
        <v>1</v>
      </c>
      <c r="BF58" s="51" t="str">
        <f t="shared" si="25"/>
        <v>Long</v>
      </c>
      <c r="BG58" s="51" t="str">
        <f t="shared" si="26"/>
        <v/>
      </c>
      <c r="BH58" s="51" t="str">
        <f t="shared" si="27"/>
        <v/>
      </c>
      <c r="BI58" s="51" t="str">
        <f t="shared" si="28"/>
        <v/>
      </c>
      <c r="BK58" s="65">
        <f t="shared" si="108"/>
        <v>-0.15871912335642224</v>
      </c>
      <c r="BL58" s="65">
        <f t="shared" si="107"/>
        <v>-0.28518196206966545</v>
      </c>
      <c r="BM58" s="65">
        <f>IFERROR(Q58/COUNTA($J$4:J58),#N/A)</f>
        <v>-0.16486283704243587</v>
      </c>
      <c r="BO58" s="489">
        <f>IF(J58="",#N/A,IF(S58="SW",(COUNTIFS(K$4:$K58,"&gt;0",S$4:$S58,"SW")/COUNTIF(S$4:$S58,"SW")),#N/A))</f>
        <v>0.5</v>
      </c>
      <c r="BP58" s="489" t="e">
        <f>IF($J58="",#N/A,IF($S58="DWN",(COUNTIFS($K$4:$K58,"&lt;0",$S$4:$S58,"DWN")/COUNTIF($S$4:$S58,"DWN")),#N/A))</f>
        <v>#N/A</v>
      </c>
      <c r="BQ58" s="489" t="e">
        <f>IF($J58="",#N/A,IF($S58="UP",(COUNTIFS($K$4:$K58,"&gt;0",$S$4:$S58,"UP")/COUNTIF($S$4:$S58,"UP")),#N/A))</f>
        <v>#N/A</v>
      </c>
      <c r="BR58" s="489">
        <f>IF(J58="",#N/A,COUNTIF($K$4:K58,"&gt;0")/COUNT($J$4:J58))</f>
        <v>0.50909090909090904</v>
      </c>
      <c r="BS58" s="65">
        <f t="shared" si="29"/>
        <v>0.74013730486972718</v>
      </c>
      <c r="BT58" s="65" t="str">
        <f t="shared" si="30"/>
        <v/>
      </c>
      <c r="BU58" s="65" t="str">
        <f t="shared" si="31"/>
        <v/>
      </c>
      <c r="BV58" s="65" t="str">
        <f t="shared" si="32"/>
        <v/>
      </c>
      <c r="BW58" s="151" t="str">
        <f t="shared" si="33"/>
        <v/>
      </c>
      <c r="BX58" s="151">
        <f>IF($J58="",#N/A,SUM($BW$4:BW58))</f>
        <v>-88.570000000000164</v>
      </c>
      <c r="BY58" s="152" t="str">
        <f t="shared" si="34"/>
        <v/>
      </c>
      <c r="BZ58" s="152">
        <f>IF($J58="",#N/A,SUM($BY$4:BY58))</f>
        <v>-295.41871953149541</v>
      </c>
      <c r="CA58" s="153">
        <f t="shared" si="35"/>
        <v>42.519999999999982</v>
      </c>
      <c r="CB58" s="154">
        <f>IF($J58="",#N/A,SUM($CA$4:CA58))</f>
        <v>-243.43997609887936</v>
      </c>
      <c r="CC58" s="191" t="str">
        <f t="shared" si="36"/>
        <v/>
      </c>
      <c r="CD58" s="191">
        <f>IF($J58="",#N/A,SUM($CC$4:CC58))</f>
        <v>-1.3942783150276121</v>
      </c>
      <c r="CE58" s="192" t="str">
        <f t="shared" si="37"/>
        <v/>
      </c>
      <c r="CF58" s="192">
        <f>IF($J58="",#N/A,SUM($CE$4:CE58))</f>
        <v>-4.2375680043391544</v>
      </c>
      <c r="CG58" s="193">
        <f t="shared" si="38"/>
        <v>0.74013730486972718</v>
      </c>
      <c r="CH58" s="193">
        <f>IF($J58="",#N/A,SUM($CG$4:CG58))</f>
        <v>-3.4356097179672029</v>
      </c>
      <c r="CI58" s="200" t="str">
        <f t="shared" si="39"/>
        <v/>
      </c>
      <c r="CJ58" s="200">
        <f>IF($J58="",#N/A,SUM(CI$4:CI58))</f>
        <v>0</v>
      </c>
      <c r="CK58" s="201" t="str">
        <f t="shared" si="40"/>
        <v/>
      </c>
      <c r="CL58" s="201">
        <f>IF($J58="",#N/A,SUM(CK$4:CK58))</f>
        <v>0</v>
      </c>
      <c r="CM58" s="202" t="str">
        <f t="shared" si="41"/>
        <v/>
      </c>
      <c r="CN58" s="202">
        <f>IF($J58="",#N/A,SUM(CM$4:CM58))</f>
        <v>0</v>
      </c>
      <c r="CO58" s="202">
        <f>IF($J58="",#N/A,SUM(CM$4:CM58,CK$4:CK58,CI$4:CI58))</f>
        <v>0</v>
      </c>
      <c r="CP58" s="200" t="str">
        <f t="shared" si="42"/>
        <v/>
      </c>
      <c r="CQ58" s="200">
        <f>IF($J58="",#N/A,SUM(CP$4:CP58))</f>
        <v>0</v>
      </c>
      <c r="CR58" s="201" t="str">
        <f t="shared" si="43"/>
        <v/>
      </c>
      <c r="CS58" s="201">
        <f>IF($J58="",#N/A,SUM(CR$4:CR58))</f>
        <v>0</v>
      </c>
      <c r="CT58" s="202" t="str">
        <f t="shared" si="44"/>
        <v/>
      </c>
      <c r="CU58" s="202">
        <f>IF($J58="",#N/A,SUM(CT$4:CT58))</f>
        <v>0</v>
      </c>
      <c r="CV58" s="202">
        <f>IF($J58="",#N/A,SUM(CT$4:CT58,CR$4:CR58,CP$4:CP58))</f>
        <v>0</v>
      </c>
      <c r="CW58" s="200" t="str">
        <f t="shared" si="45"/>
        <v/>
      </c>
      <c r="CX58" s="200">
        <f>IF($J58="",#N/A,SUM(CW$4:CW58))</f>
        <v>0</v>
      </c>
      <c r="CY58" s="201" t="str">
        <f t="shared" si="46"/>
        <v/>
      </c>
      <c r="CZ58" s="201">
        <f>IF($J58="",#N/A,SUM(CY$4:CY58))</f>
        <v>-0.63271328921481373</v>
      </c>
      <c r="DA58" s="202" t="str">
        <f t="shared" si="47"/>
        <v/>
      </c>
      <c r="DB58" s="202">
        <f>IF($J58="",#N/A,SUM(DA$4:DA58))</f>
        <v>0</v>
      </c>
      <c r="DC58" s="202">
        <f>IF($J58="",#N/A,SUM(DA$4:DA58,CY$4:CY58,CW$4:CW58))</f>
        <v>-0.63271328921481373</v>
      </c>
      <c r="DD58" s="200" t="str">
        <f t="shared" si="48"/>
        <v/>
      </c>
      <c r="DE58" s="200">
        <f>IF($J58="",#N/A,SUM(DD$4:DD58))</f>
        <v>0</v>
      </c>
      <c r="DF58" s="201" t="str">
        <f t="shared" si="49"/>
        <v/>
      </c>
      <c r="DG58" s="201">
        <f>IF($J58="",#N/A,SUM(DF$4:DF58))</f>
        <v>0.6788440567066546</v>
      </c>
      <c r="DH58" s="202" t="str">
        <f t="shared" si="50"/>
        <v/>
      </c>
      <c r="DI58" s="202">
        <f>IF($J58="",#N/A,SUM(DH$4:DH58))</f>
        <v>-0.83172699364602887</v>
      </c>
      <c r="DJ58" s="202">
        <f>IF($J58="",#N/A,SUM(DH$4:DH58,DF$4:DF58,DD$4:DD58))</f>
        <v>-0.15288293693937427</v>
      </c>
      <c r="DK58" s="200" t="str">
        <f t="shared" si="51"/>
        <v/>
      </c>
      <c r="DL58" s="200">
        <f>IF($J58="",#N/A,SUM(DK$4:DK58))</f>
        <v>0</v>
      </c>
      <c r="DM58" s="201" t="str">
        <f t="shared" si="52"/>
        <v/>
      </c>
      <c r="DN58" s="201">
        <f>IF($J58="",#N/A,SUM(DM$4:DM58))</f>
        <v>0.36227168206863897</v>
      </c>
      <c r="DO58" s="202" t="str">
        <f t="shared" si="53"/>
        <v/>
      </c>
      <c r="DP58" s="202">
        <f>IF($J58="",#N/A,SUM(DO$4:DO58))</f>
        <v>-0.17018269154375754</v>
      </c>
      <c r="DQ58" s="202">
        <f>IF($J58="",#N/A,SUM(DO$4:DO58,DM$4:DM58,DK$4:DK58))</f>
        <v>0.19208899052488143</v>
      </c>
      <c r="DR58" s="200" t="str">
        <f t="shared" si="54"/>
        <v/>
      </c>
      <c r="DS58" s="200">
        <f>IF($J58="",#N/A,SUM(DR$4:DR58))</f>
        <v>0</v>
      </c>
      <c r="DT58" s="201" t="str">
        <f t="shared" si="55"/>
        <v/>
      </c>
      <c r="DU58" s="201">
        <f>IF($J58="",#N/A,SUM(DT$4:DT58))</f>
        <v>-2.8875364672150718</v>
      </c>
      <c r="DV58" s="202" t="str">
        <f t="shared" si="56"/>
        <v/>
      </c>
      <c r="DW58" s="202">
        <f>IF($J58="",#N/A,SUM(DV$4:DV58))</f>
        <v>-0.89834078198379175</v>
      </c>
      <c r="DX58" s="202">
        <f>IF($J58="",#N/A,SUM(DV$4:DV58,DT$4:DT58,DR$4:DR58))</f>
        <v>-3.7858772491988635</v>
      </c>
      <c r="DY58" s="200" t="str">
        <f t="shared" si="57"/>
        <v/>
      </c>
      <c r="DZ58" s="200">
        <f>IF($J58="",#N/A,SUM(DY$4:DY58))</f>
        <v>-1.4611133068588897</v>
      </c>
      <c r="EA58" s="201" t="str">
        <f t="shared" si="58"/>
        <v/>
      </c>
      <c r="EB58" s="201">
        <f>IF($J58="",#N/A,SUM(EA$4:EA58))</f>
        <v>-0.86716764906472754</v>
      </c>
      <c r="EC58" s="202" t="str">
        <f t="shared" si="59"/>
        <v/>
      </c>
      <c r="ED58" s="202">
        <f>IF($J58="",#N/A,SUM(EC$4:EC58))</f>
        <v>-0.12249858668611946</v>
      </c>
      <c r="EE58" s="202">
        <f>IF($J58="",#N/A,SUM(EC$4:EC58,EA$4:EA58,DY$4:DY58))</f>
        <v>-2.4507795426097365</v>
      </c>
      <c r="EF58" s="200" t="str">
        <f t="shared" si="60"/>
        <v/>
      </c>
      <c r="EG58" s="200">
        <f>IF($J58="",#N/A,SUM(EF$4:EF58))</f>
        <v>0</v>
      </c>
      <c r="EH58" s="201" t="str">
        <f t="shared" si="61"/>
        <v/>
      </c>
      <c r="EI58" s="201">
        <f>IF($J58="",#N/A,SUM(EH$4:EH58))</f>
        <v>-1.196204584775086</v>
      </c>
      <c r="EJ58" s="202">
        <f t="shared" si="62"/>
        <v>0.74013730486972718</v>
      </c>
      <c r="EK58" s="202">
        <f>IF($J58="",#N/A,SUM(EJ$4:EJ58))</f>
        <v>1.3436756383175479</v>
      </c>
      <c r="EL58" s="202">
        <f>IF($J58="",#N/A,SUM(EJ$4:EJ58,EH$4:EH58,EF$4:EF58))</f>
        <v>0.14747105354246193</v>
      </c>
      <c r="EM58" s="200" t="str">
        <f t="shared" si="63"/>
        <v/>
      </c>
      <c r="EN58" s="200">
        <f>IF($J58="",#N/A,SUM(EM$4:EM58))</f>
        <v>0</v>
      </c>
      <c r="EO58" s="201" t="str">
        <f t="shared" si="64"/>
        <v/>
      </c>
      <c r="EP58" s="201">
        <f>IF($J58="",#N/A,SUM(EO$4:EO58))</f>
        <v>0</v>
      </c>
      <c r="EQ58" s="202" t="str">
        <f t="shared" si="65"/>
        <v/>
      </c>
      <c r="ER58" s="202">
        <f>IF($J58="",#N/A,SUM(EQ$4:EQ58))</f>
        <v>0.4926597949853756</v>
      </c>
      <c r="ES58" s="202">
        <f>IF($J58="",#N/A,SUM(EQ$4:EQ58,EO$4:EO58,EM$4:EM58))</f>
        <v>0.4926597949853756</v>
      </c>
      <c r="ET58" s="200" t="str">
        <f t="shared" si="66"/>
        <v/>
      </c>
      <c r="EU58" s="200">
        <f>IF($J58="",#N/A,SUM(ET$4:ET58))</f>
        <v>0</v>
      </c>
      <c r="EV58" s="201" t="str">
        <f t="shared" si="67"/>
        <v/>
      </c>
      <c r="EW58" s="201">
        <f>IF($J58="",#N/A,SUM(EV$4:EV58))</f>
        <v>0</v>
      </c>
      <c r="EX58" s="202" t="str">
        <f t="shared" si="68"/>
        <v/>
      </c>
      <c r="EY58" s="202">
        <f>IF($J58="",#N/A,SUM(EX$4:EX58))</f>
        <v>0</v>
      </c>
      <c r="EZ58" s="202">
        <f>IF($J58="",#N/A,SUM(EX$4:EX58,EV$4:EV58,ET$4:ET58))</f>
        <v>0</v>
      </c>
      <c r="FA58" s="200" t="str">
        <f t="shared" si="69"/>
        <v/>
      </c>
      <c r="FB58" s="200">
        <f>IF($J58="",#N/A,SUM(FA$4:FA58))</f>
        <v>0</v>
      </c>
      <c r="FC58" s="201" t="str">
        <f t="shared" si="70"/>
        <v/>
      </c>
      <c r="FD58" s="201">
        <f>IF($J58="",#N/A,SUM(FC$4:FC58))</f>
        <v>1.3724148418491529</v>
      </c>
      <c r="FE58" s="202" t="str">
        <f t="shared" si="71"/>
        <v/>
      </c>
      <c r="FF58" s="202">
        <f>IF($J58="",#N/A,SUM(FE$4:FE58))</f>
        <v>-0.11131725417439868</v>
      </c>
      <c r="FG58" s="202">
        <f>IF($J58="",#N/A,SUM(FE$4:FE58,FC$4:FC58,FA$4:FA58))</f>
        <v>1.2610975876747541</v>
      </c>
      <c r="FH58" s="200" t="str">
        <f t="shared" si="72"/>
        <v/>
      </c>
      <c r="FI58" s="200">
        <f>IF($J58="",#N/A,SUM(FH$4:FH58))</f>
        <v>0</v>
      </c>
      <c r="FJ58" s="201" t="str">
        <f t="shared" si="73"/>
        <v/>
      </c>
      <c r="FK58" s="201">
        <f>IF($J58="",#N/A,SUM(FJ$4:FJ58))</f>
        <v>0</v>
      </c>
      <c r="FL58" s="202" t="str">
        <f t="shared" si="74"/>
        <v/>
      </c>
      <c r="FM58" s="202">
        <f>IF($J58="",#N/A,SUM(FL$4:FL58))</f>
        <v>0</v>
      </c>
      <c r="FN58" s="202">
        <f>IF($J58="",#N/A,SUM(FL$4:FL58,FJ$4:FJ58,FH$4:FH58))</f>
        <v>0</v>
      </c>
      <c r="FO58" s="200" t="str">
        <f t="shared" si="75"/>
        <v/>
      </c>
      <c r="FP58" s="200">
        <f>IF($J58="",#N/A,SUM(FO$4:FO58))</f>
        <v>0</v>
      </c>
      <c r="FQ58" s="201" t="str">
        <f t="shared" si="76"/>
        <v/>
      </c>
      <c r="FR58" s="201">
        <f>IF($J58="",#N/A,SUM(FQ$4:FQ58))</f>
        <v>0</v>
      </c>
      <c r="FS58" s="202" t="str">
        <f t="shared" si="77"/>
        <v/>
      </c>
      <c r="FT58" s="202">
        <f>IF($J58="",#N/A,SUM(FS$4:FS58))</f>
        <v>0</v>
      </c>
      <c r="FU58" s="202">
        <f>IF($J58="",#N/A,SUM(FS$4:FS58,FQ$4:FQ58,FO$4:FO58))</f>
        <v>0</v>
      </c>
      <c r="FV58" s="200" t="str">
        <f t="shared" si="78"/>
        <v/>
      </c>
      <c r="FW58" s="200">
        <f>IF($J58="",#N/A,SUM(FV$4:FV58))</f>
        <v>6.6834991831277585E-2</v>
      </c>
      <c r="FX58" s="201" t="str">
        <f t="shared" si="79"/>
        <v/>
      </c>
      <c r="FY58" s="201">
        <f>IF($J58="",#N/A,SUM(FX$4:FX58))</f>
        <v>0</v>
      </c>
      <c r="FZ58" s="202" t="str">
        <f t="shared" si="80"/>
        <v/>
      </c>
      <c r="GA58" s="202">
        <f>IF($J58="",#N/A,SUM(FZ$4:FZ58))</f>
        <v>-0.20104261551371039</v>
      </c>
      <c r="GB58" s="202">
        <f>IF($J58="",#N/A,SUM(FZ$4:FZ58,FX$4:FX58,FV$4:FV58))</f>
        <v>-0.1342076236824328</v>
      </c>
      <c r="GC58" s="200" t="str">
        <f t="shared" si="81"/>
        <v/>
      </c>
      <c r="GD58" s="200">
        <f>IF($J58="",#N/A,SUM(GC$4:GC58))</f>
        <v>0</v>
      </c>
      <c r="GE58" s="201" t="str">
        <f t="shared" si="82"/>
        <v/>
      </c>
      <c r="GF58" s="201">
        <f>IF($J58="",#N/A,SUM(GE$4:GE58))</f>
        <v>0</v>
      </c>
      <c r="GG58" s="202" t="str">
        <f t="shared" si="83"/>
        <v/>
      </c>
      <c r="GH58" s="202">
        <f>IF($J58="",#N/A,SUM(GG$4:GG58))</f>
        <v>-2.9368362277223206</v>
      </c>
      <c r="GI58" s="202">
        <f>IF($J58="",#N/A,SUM(GG$4:GG58,GE$4:GE58,GC$4:GC58))</f>
        <v>-2.9368362277223206</v>
      </c>
      <c r="GJ58" s="200" t="str">
        <f t="shared" si="84"/>
        <v/>
      </c>
      <c r="GK58" s="200">
        <f>IF($J58="",#N/A,SUM(GJ$4:GJ58))</f>
        <v>0</v>
      </c>
      <c r="GL58" s="201" t="str">
        <f t="shared" si="85"/>
        <v/>
      </c>
      <c r="GM58" s="201">
        <f>IF($J58="",#N/A,SUM(GL$4:GL58))</f>
        <v>-1.0674765946939027</v>
      </c>
      <c r="GN58" s="202" t="str">
        <f t="shared" si="86"/>
        <v/>
      </c>
      <c r="GO58" s="202">
        <f>IF($J58="",#N/A,SUM(GN$4:GN58))</f>
        <v>0</v>
      </c>
      <c r="GP58" s="202">
        <f>IF($J58="",#N/A,SUM(GN$4:GN58,GL$4:GL58,GJ$4:GJ58))</f>
        <v>-1.0674765946939027</v>
      </c>
      <c r="GS58" s="54">
        <f t="shared" si="105"/>
        <v>0.74013730486972718</v>
      </c>
      <c r="GT58" s="54">
        <f>IF(GS58="",NA(),SUM($GS$4:GS58))</f>
        <v>-9.2694448502612552</v>
      </c>
      <c r="GU58" s="54" t="str">
        <f t="shared" si="87"/>
        <v/>
      </c>
      <c r="GV58" s="54" t="e">
        <f>IF(GU58="",NA(),SUM($GU$4:GU58))</f>
        <v>#N/A</v>
      </c>
      <c r="GW58" s="54">
        <f t="shared" si="88"/>
        <v>0.74013730486972718</v>
      </c>
      <c r="GX58" s="54">
        <f>IF(GW58="",NA(),SUM($GW$4:GW58))</f>
        <v>-3.6375985308944885</v>
      </c>
      <c r="GY58" s="54" t="str">
        <f t="shared" si="89"/>
        <v/>
      </c>
      <c r="GZ58" s="54" t="e">
        <f>IF(GY58="",NA(),SUM($GY$4:GY58))</f>
        <v>#N/A</v>
      </c>
      <c r="HA58" s="54" t="str">
        <f t="shared" si="90"/>
        <v/>
      </c>
      <c r="HB58" s="54" t="e">
        <f>IF(HA58="",NA(),SUM($HA$4:HA58))</f>
        <v>#N/A</v>
      </c>
      <c r="HC58" s="54" t="str">
        <f t="shared" si="91"/>
        <v/>
      </c>
      <c r="HD58" s="54" t="e">
        <f>IF(HC58="",NA(),SUM($HC$4:HC58))</f>
        <v>#N/A</v>
      </c>
      <c r="HE58" s="54" t="str">
        <f t="shared" si="92"/>
        <v/>
      </c>
      <c r="HF58" s="54" t="e">
        <f>IF(HE58="",NA(),SUM($HE$4:HE58))</f>
        <v>#N/A</v>
      </c>
      <c r="HG58" s="54" t="str">
        <f t="shared" si="93"/>
        <v/>
      </c>
      <c r="HH58" s="54" t="e">
        <f>IF(HG58="",NA(),SUM($HG$4:HG58))</f>
        <v>#N/A</v>
      </c>
      <c r="HI58" s="172" t="str">
        <f t="shared" si="106"/>
        <v/>
      </c>
      <c r="HJ58" s="172">
        <f>IF($J58="",#N/A,SUM(HI$4:$HI58))</f>
        <v>-1.2880161085276005</v>
      </c>
      <c r="HK58" s="54" t="str">
        <f t="shared" si="94"/>
        <v/>
      </c>
      <c r="HL58" s="54">
        <f>IF($J58="",#N/A,SUM($HK$4:HK58))</f>
        <v>-2.7297060402078941</v>
      </c>
      <c r="HM58" s="54" t="str">
        <f t="shared" si="95"/>
        <v/>
      </c>
      <c r="HN58" s="54">
        <f>IF($J58="",#N/A,SUM($HM$4:HM58))</f>
        <v>0.80449527204317051</v>
      </c>
      <c r="HO58" s="54" t="str">
        <f t="shared" si="96"/>
        <v/>
      </c>
      <c r="HP58" s="54">
        <f>IF($J58="",#N/A,SUM($HO$4:HO58))</f>
        <v>-0.64837295089680658</v>
      </c>
      <c r="HQ58" s="54">
        <f t="shared" si="97"/>
        <v>-0.42020024787288834</v>
      </c>
      <c r="HR58" s="54">
        <f>IF($J58="",#N/A,SUM($HQ$4:HQ58))</f>
        <v>-1.9483400389149597</v>
      </c>
      <c r="HS58" s="54" t="str">
        <f t="shared" si="98"/>
        <v/>
      </c>
      <c r="HT58" s="54">
        <f>IF($J58="",#N/A,SUM($HS$4:HS58))</f>
        <v>5.5145549038116703</v>
      </c>
      <c r="HU58" s="65">
        <f t="shared" si="99"/>
        <v>0.31993705699683883</v>
      </c>
      <c r="HV58" s="65">
        <f>IF($J58="",#N/A,SUM(HU$4:$HU58))</f>
        <v>-9.3628410000263909</v>
      </c>
    </row>
    <row r="59" spans="1:230" x14ac:dyDescent="0.25">
      <c r="A59" s="396" t="s">
        <v>1510</v>
      </c>
      <c r="B59" s="52" t="s">
        <v>4502</v>
      </c>
      <c r="C59" s="229">
        <f t="shared" si="0"/>
        <v>2</v>
      </c>
      <c r="D59" s="219" t="str">
        <f>_xlfn.XLOOKUP(A59,[1]SP500!$A$2:$A$502,[1]SP500!$D$2:$D$502,"N")</f>
        <v>Y</v>
      </c>
      <c r="E59" s="51" t="str">
        <f>IFERROR(_xlfn.XLOOKUP(A59,[1]SP500!$A$2:$A$655,[1]SP500!$B$2:$B$655),"")</f>
        <v>XLB</v>
      </c>
      <c r="F59" s="53">
        <v>45769</v>
      </c>
      <c r="G59" s="51" t="str">
        <f t="shared" si="1"/>
        <v>AMC</v>
      </c>
      <c r="H59" s="51" t="str">
        <f t="shared" si="2"/>
        <v>s</v>
      </c>
      <c r="I59" s="344">
        <v>186.42</v>
      </c>
      <c r="J59" s="123">
        <v>179.54</v>
      </c>
      <c r="K59" s="55">
        <f t="shared" si="3"/>
        <v>-3.6905911382898809E-2</v>
      </c>
      <c r="L59" s="67">
        <f t="shared" si="4"/>
        <v>27.519999999999982</v>
      </c>
      <c r="M59" s="57">
        <f t="shared" si="5"/>
        <v>-1</v>
      </c>
      <c r="N59" s="102">
        <f t="shared" si="6"/>
        <v>27.519999999999982</v>
      </c>
      <c r="O59" s="57">
        <f>IF(N59="",#N/A,SUM($N$4:N59))</f>
        <v>-599.90869563037495</v>
      </c>
      <c r="P59" s="65">
        <f t="shared" si="100"/>
        <v>0.61509852304831358</v>
      </c>
      <c r="Q59" s="172">
        <f>IF($N59="",#N/A,SUM($P$4:P59))</f>
        <v>-8.4523575142856586</v>
      </c>
      <c r="R59" s="279">
        <f t="shared" si="7"/>
        <v>2.2108482582659548</v>
      </c>
      <c r="S59" s="51" t="str">
        <f t="shared" si="8"/>
        <v>Dwn</v>
      </c>
      <c r="T59" s="51" t="s">
        <v>4462</v>
      </c>
      <c r="U59" s="56">
        <f t="shared" si="9"/>
        <v>186.42</v>
      </c>
      <c r="V59" s="56" t="s">
        <v>4458</v>
      </c>
      <c r="W59" s="142">
        <v>4</v>
      </c>
      <c r="X59" s="145">
        <f t="shared" si="10"/>
        <v>745.68</v>
      </c>
      <c r="Y59" s="140">
        <f t="shared" si="11"/>
        <v>4</v>
      </c>
      <c r="Z59" s="123">
        <v>179.79</v>
      </c>
      <c r="AA59" s="102">
        <f t="shared" si="12"/>
        <v>26.519999999999982</v>
      </c>
      <c r="AB59" s="102">
        <f t="shared" si="13"/>
        <v>6.9199999999999591</v>
      </c>
      <c r="AC59" s="124">
        <v>184.69</v>
      </c>
      <c r="AD59" s="155">
        <f t="shared" si="14"/>
        <v>6.9199999999999591</v>
      </c>
      <c r="AE59" s="545">
        <f t="shared" si="15"/>
        <v>0.1546686693130199</v>
      </c>
      <c r="AF59" s="57">
        <f>IF($AC59="",#N/A,SUM(AD$4:AD59))</f>
        <v>-628.85582025503174</v>
      </c>
      <c r="AG59" s="102">
        <f t="shared" si="16"/>
        <v>-20.600000000000023</v>
      </c>
      <c r="AH59" s="56" t="s">
        <v>2507</v>
      </c>
      <c r="AI59" s="65">
        <f t="shared" si="17"/>
        <v>0.59274755927475564</v>
      </c>
      <c r="AJ59" s="54">
        <f>IF(AI59="",#N/A,SUM($AI$4:AI59))</f>
        <v>-10.663205772551613</v>
      </c>
      <c r="AK59" s="57">
        <f t="shared" si="18"/>
        <v>26.519999999999982</v>
      </c>
      <c r="AL59" s="349">
        <f>IF(AI59="",#N/A,IF(AH59="Skip",SUM($AK$4:AK59),SUM($AK$4:AK59)))</f>
        <v>-758.43999999999937</v>
      </c>
      <c r="AM59" s="65">
        <f t="shared" si="101"/>
        <v>0.1546686693130199</v>
      </c>
      <c r="AN59" s="209"/>
      <c r="AO59" s="65" t="str">
        <f t="shared" si="19"/>
        <v/>
      </c>
      <c r="AP59" s="65">
        <f>IF($AC59="",#N/A,SUM(AO$4:AO59))</f>
        <v>0.13060514692950631</v>
      </c>
      <c r="AQ59" s="65" t="str">
        <f t="shared" si="20"/>
        <v/>
      </c>
      <c r="AR59" s="65">
        <f>IF($AC59="",#N/A,SUM(AQ$4:AQ59))</f>
        <v>-1.2381559938812483</v>
      </c>
      <c r="AS59" s="65">
        <f t="shared" si="21"/>
        <v>0.1546686693130199</v>
      </c>
      <c r="AT59" s="65">
        <f>IF($AC59="",#N/A,SUM(AS$4:AS59))</f>
        <v>-8.1006214837616302</v>
      </c>
      <c r="AU59" s="57" t="str">
        <f t="shared" si="102"/>
        <v/>
      </c>
      <c r="AV59" s="57">
        <f>IF($AC59="",#N/A,SUM(AU$4:AU59))</f>
        <v>-14.627447352215654</v>
      </c>
      <c r="AW59" s="57" t="str">
        <f t="shared" si="103"/>
        <v/>
      </c>
      <c r="AX59" s="57">
        <f>IF($AC59="",#N/A,SUM(AW$4:AW59))</f>
        <v>-74.660000000000196</v>
      </c>
      <c r="AY59" s="57">
        <f t="shared" si="104"/>
        <v>6.9199999999999591</v>
      </c>
      <c r="AZ59" s="57">
        <f>IF($AC59="",#N/A,SUM(AY$4:AY59))</f>
        <v>-539.5683729028159</v>
      </c>
      <c r="BA59" s="57">
        <f>IF(AD59="",#N/A,SUM($AD$4:AD59))</f>
        <v>-628.85582025503174</v>
      </c>
      <c r="BC59" s="51" t="str">
        <f t="shared" si="22"/>
        <v/>
      </c>
      <c r="BD59" s="51" t="str">
        <f t="shared" si="23"/>
        <v/>
      </c>
      <c r="BE59" s="51" t="str">
        <f t="shared" si="24"/>
        <v/>
      </c>
      <c r="BF59" s="51" t="str">
        <f t="shared" si="25"/>
        <v>Short</v>
      </c>
      <c r="BG59" s="51">
        <f t="shared" si="26"/>
        <v>1</v>
      </c>
      <c r="BH59" s="51" t="str">
        <f t="shared" si="27"/>
        <v/>
      </c>
      <c r="BI59" s="51" t="str">
        <f t="shared" si="28"/>
        <v/>
      </c>
      <c r="BK59" s="65">
        <f t="shared" si="108"/>
        <v>-0.13487652613621415</v>
      </c>
      <c r="BL59" s="65">
        <f t="shared" si="107"/>
        <v>-0.28131445525626009</v>
      </c>
      <c r="BM59" s="65">
        <f>IFERROR(Q59/COUNTA($J$4:J59),#N/A)</f>
        <v>-0.1509349556122439</v>
      </c>
      <c r="BO59" s="489" t="e">
        <f>IF(J59="",#N/A,IF(S59="SW",(COUNTIFS(K$4:$K59,"&gt;0",S$4:$S59,"SW")/COUNTIF(S$4:$S59,"SW")),#N/A))</f>
        <v>#N/A</v>
      </c>
      <c r="BP59" s="489">
        <f>IF($J59="",#N/A,IF($S59="DWN",(COUNTIFS($K$4:$K59,"&lt;0",$S$4:$S59,"DWN")/COUNTIF($S$4:$S59,"DWN")),#N/A))</f>
        <v>0.5</v>
      </c>
      <c r="BQ59" s="489" t="e">
        <f>IF($J59="",#N/A,IF($S59="UP",(COUNTIFS($K$4:$K59,"&gt;0",$S$4:$S59,"UP")/COUNTIF($S$4:$S59,"UP")),#N/A))</f>
        <v>#N/A</v>
      </c>
      <c r="BR59" s="489">
        <f>IF(J59="",#N/A,COUNTIF($K$4:K59,"&gt;0")/COUNT($J$4:J59))</f>
        <v>0.5</v>
      </c>
      <c r="BS59" s="65" t="str">
        <f t="shared" si="29"/>
        <v/>
      </c>
      <c r="BT59" s="65" t="str">
        <f t="shared" si="30"/>
        <v/>
      </c>
      <c r="BU59" s="65">
        <f t="shared" si="31"/>
        <v>0.61509852304831358</v>
      </c>
      <c r="BV59" s="65" t="str">
        <f t="shared" si="32"/>
        <v/>
      </c>
      <c r="BW59" s="128" t="str">
        <f t="shared" si="33"/>
        <v/>
      </c>
      <c r="BX59" s="128">
        <f>IF($J59="",#N/A,SUM($BW$4:BW59))</f>
        <v>-88.570000000000164</v>
      </c>
      <c r="BY59" s="131">
        <f t="shared" si="34"/>
        <v>27.519999999999982</v>
      </c>
      <c r="BZ59" s="131">
        <f>IF($J59="",#N/A,SUM($BY$4:BY59))</f>
        <v>-267.89871953149543</v>
      </c>
      <c r="CA59" s="133" t="str">
        <f t="shared" si="35"/>
        <v/>
      </c>
      <c r="CB59" s="133">
        <f>IF($J59="",#N/A,SUM($CA$4:CA59))</f>
        <v>-243.43997609887936</v>
      </c>
      <c r="CC59" s="194" t="str">
        <f t="shared" si="36"/>
        <v/>
      </c>
      <c r="CD59" s="194">
        <f>IF($J59="",#N/A,SUM($CC$4:CC59))</f>
        <v>-1.3942783150276121</v>
      </c>
      <c r="CE59" s="195">
        <f t="shared" si="37"/>
        <v>0.61509852304831358</v>
      </c>
      <c r="CF59" s="195">
        <f>IF($J59="",#N/A,SUM($CE$4:CE59))</f>
        <v>-3.6224694812908407</v>
      </c>
      <c r="CG59" s="196" t="str">
        <f t="shared" si="38"/>
        <v/>
      </c>
      <c r="CH59" s="193">
        <f>IF($J59="",#N/A,SUM($CG$4:CG59))</f>
        <v>-3.4356097179672029</v>
      </c>
      <c r="CI59" s="200" t="str">
        <f t="shared" si="39"/>
        <v/>
      </c>
      <c r="CJ59" s="203">
        <f>IF($J59="",#N/A,SUM(CI$4:CI59))</f>
        <v>0</v>
      </c>
      <c r="CK59" s="204" t="str">
        <f t="shared" si="40"/>
        <v/>
      </c>
      <c r="CL59" s="204">
        <f>IF($J59="",#N/A,SUM(CK$4:CK59))</f>
        <v>0</v>
      </c>
      <c r="CM59" s="205" t="str">
        <f t="shared" si="41"/>
        <v/>
      </c>
      <c r="CN59" s="205">
        <f>IF($J59="",#N/A,SUM(CM$4:CM59))</f>
        <v>0</v>
      </c>
      <c r="CO59" s="205">
        <f>IF($J59="",#N/A,SUM(CM$4:CM59,CK$4:CK59,CI$4:CI59))</f>
        <v>0</v>
      </c>
      <c r="CP59" s="200" t="str">
        <f t="shared" si="42"/>
        <v/>
      </c>
      <c r="CQ59" s="203">
        <f>IF($J59="",#N/A,SUM(CP$4:CP59))</f>
        <v>0</v>
      </c>
      <c r="CR59" s="204" t="str">
        <f t="shared" si="43"/>
        <v/>
      </c>
      <c r="CS59" s="204">
        <f>IF($J59="",#N/A,SUM(CR$4:CR59))</f>
        <v>0</v>
      </c>
      <c r="CT59" s="205" t="str">
        <f t="shared" si="44"/>
        <v/>
      </c>
      <c r="CU59" s="205">
        <f>IF($J59="",#N/A,SUM(CT$4:CT59))</f>
        <v>0</v>
      </c>
      <c r="CV59" s="205">
        <f>IF($J59="",#N/A,SUM(CT$4:CT59,CR$4:CR59,CP$4:CP59))</f>
        <v>0</v>
      </c>
      <c r="CW59" s="200" t="str">
        <f t="shared" si="45"/>
        <v/>
      </c>
      <c r="CX59" s="203">
        <f>IF($J59="",#N/A,SUM(CW$4:CW59))</f>
        <v>0</v>
      </c>
      <c r="CY59" s="204" t="str">
        <f t="shared" si="46"/>
        <v/>
      </c>
      <c r="CZ59" s="204">
        <f>IF($J59="",#N/A,SUM(CY$4:CY59))</f>
        <v>-0.63271328921481373</v>
      </c>
      <c r="DA59" s="205" t="str">
        <f t="shared" si="47"/>
        <v/>
      </c>
      <c r="DB59" s="205">
        <f>IF($J59="",#N/A,SUM(DA$4:DA59))</f>
        <v>0</v>
      </c>
      <c r="DC59" s="205">
        <f>IF($J59="",#N/A,SUM(DA$4:DA59,CY$4:CY59,CW$4:CW59))</f>
        <v>-0.63271328921481373</v>
      </c>
      <c r="DD59" s="200" t="str">
        <f t="shared" si="48"/>
        <v/>
      </c>
      <c r="DE59" s="203">
        <f>IF($J59="",#N/A,SUM(DD$4:DD59))</f>
        <v>0</v>
      </c>
      <c r="DF59" s="204" t="str">
        <f t="shared" si="49"/>
        <v/>
      </c>
      <c r="DG59" s="204">
        <f>IF($J59="",#N/A,SUM(DF$4:DF59))</f>
        <v>0.6788440567066546</v>
      </c>
      <c r="DH59" s="205" t="str">
        <f t="shared" si="50"/>
        <v/>
      </c>
      <c r="DI59" s="205">
        <f>IF($J59="",#N/A,SUM(DH$4:DH59))</f>
        <v>-0.83172699364602887</v>
      </c>
      <c r="DJ59" s="205">
        <f>IF($J59="",#N/A,SUM(DH$4:DH59,DF$4:DF59,DD$4:DD59))</f>
        <v>-0.15288293693937427</v>
      </c>
      <c r="DK59" s="200" t="str">
        <f t="shared" si="51"/>
        <v/>
      </c>
      <c r="DL59" s="203">
        <f>IF($J59="",#N/A,SUM(DK$4:DK59))</f>
        <v>0</v>
      </c>
      <c r="DM59" s="204" t="str">
        <f t="shared" si="52"/>
        <v/>
      </c>
      <c r="DN59" s="204">
        <f>IF($J59="",#N/A,SUM(DM$4:DM59))</f>
        <v>0.36227168206863897</v>
      </c>
      <c r="DO59" s="205" t="str">
        <f t="shared" si="53"/>
        <v/>
      </c>
      <c r="DP59" s="205">
        <f>IF($J59="",#N/A,SUM(DO$4:DO59))</f>
        <v>-0.17018269154375754</v>
      </c>
      <c r="DQ59" s="205">
        <f>IF($J59="",#N/A,SUM(DO$4:DO59,DM$4:DM59,DK$4:DK59))</f>
        <v>0.19208899052488143</v>
      </c>
      <c r="DR59" s="200" t="str">
        <f t="shared" si="54"/>
        <v/>
      </c>
      <c r="DS59" s="203">
        <f>IF($J59="",#N/A,SUM(DR$4:DR59))</f>
        <v>0</v>
      </c>
      <c r="DT59" s="204" t="str">
        <f t="shared" si="55"/>
        <v/>
      </c>
      <c r="DU59" s="204">
        <f>IF($J59="",#N/A,SUM(DT$4:DT59))</f>
        <v>-2.8875364672150718</v>
      </c>
      <c r="DV59" s="205" t="str">
        <f t="shared" si="56"/>
        <v/>
      </c>
      <c r="DW59" s="205">
        <f>IF($J59="",#N/A,SUM(DV$4:DV59))</f>
        <v>-0.89834078198379175</v>
      </c>
      <c r="DX59" s="205">
        <f>IF($J59="",#N/A,SUM(DV$4:DV59,DT$4:DT59,DR$4:DR59))</f>
        <v>-3.7858772491988635</v>
      </c>
      <c r="DY59" s="200" t="str">
        <f t="shared" si="57"/>
        <v/>
      </c>
      <c r="DZ59" s="203">
        <f>IF($J59="",#N/A,SUM(DY$4:DY59))</f>
        <v>-1.4611133068588897</v>
      </c>
      <c r="EA59" s="204" t="str">
        <f t="shared" si="58"/>
        <v/>
      </c>
      <c r="EB59" s="204">
        <f>IF($J59="",#N/A,SUM(EA$4:EA59))</f>
        <v>-0.86716764906472754</v>
      </c>
      <c r="EC59" s="205" t="str">
        <f t="shared" si="59"/>
        <v/>
      </c>
      <c r="ED59" s="205">
        <f>IF($J59="",#N/A,SUM(EC$4:EC59))</f>
        <v>-0.12249858668611946</v>
      </c>
      <c r="EE59" s="205">
        <f>IF($J59="",#N/A,SUM(EC$4:EC59,EA$4:EA59,DY$4:DY59))</f>
        <v>-2.4507795426097365</v>
      </c>
      <c r="EF59" s="200" t="str">
        <f t="shared" si="60"/>
        <v/>
      </c>
      <c r="EG59" s="203">
        <f>IF($J59="",#N/A,SUM(EF$4:EF59))</f>
        <v>0</v>
      </c>
      <c r="EH59" s="204" t="str">
        <f t="shared" si="61"/>
        <v/>
      </c>
      <c r="EI59" s="204">
        <f>IF($J59="",#N/A,SUM(EH$4:EH59))</f>
        <v>-1.196204584775086</v>
      </c>
      <c r="EJ59" s="205" t="str">
        <f t="shared" si="62"/>
        <v/>
      </c>
      <c r="EK59" s="205">
        <f>IF($J59="",#N/A,SUM(EJ$4:EJ59))</f>
        <v>1.3436756383175479</v>
      </c>
      <c r="EL59" s="205">
        <f>IF($J59="",#N/A,SUM(EJ$4:EJ59,EH$4:EH59,EF$4:EF59))</f>
        <v>0.14747105354246193</v>
      </c>
      <c r="EM59" s="200" t="str">
        <f t="shared" si="63"/>
        <v/>
      </c>
      <c r="EN59" s="203">
        <f>IF($J59="",#N/A,SUM(EM$4:EM59))</f>
        <v>0</v>
      </c>
      <c r="EO59" s="204">
        <f t="shared" si="64"/>
        <v>0.61509852304831358</v>
      </c>
      <c r="EP59" s="204">
        <f>IF($J59="",#N/A,SUM(EO$4:EO59))</f>
        <v>0.61509852304831358</v>
      </c>
      <c r="EQ59" s="205" t="str">
        <f t="shared" si="65"/>
        <v/>
      </c>
      <c r="ER59" s="205">
        <f>IF($J59="",#N/A,SUM(EQ$4:EQ59))</f>
        <v>0.4926597949853756</v>
      </c>
      <c r="ES59" s="205">
        <f>IF($J59="",#N/A,SUM(EQ$4:EQ59,EO$4:EO59,EM$4:EM59))</f>
        <v>1.1077583180336892</v>
      </c>
      <c r="ET59" s="200" t="str">
        <f t="shared" si="66"/>
        <v/>
      </c>
      <c r="EU59" s="203">
        <f>IF($J59="",#N/A,SUM(ET$4:ET59))</f>
        <v>0</v>
      </c>
      <c r="EV59" s="204" t="str">
        <f t="shared" si="67"/>
        <v/>
      </c>
      <c r="EW59" s="204">
        <f>IF($J59="",#N/A,SUM(EV$4:EV59))</f>
        <v>0</v>
      </c>
      <c r="EX59" s="205" t="str">
        <f t="shared" si="68"/>
        <v/>
      </c>
      <c r="EY59" s="205">
        <f>IF($J59="",#N/A,SUM(EX$4:EX59))</f>
        <v>0</v>
      </c>
      <c r="EZ59" s="205">
        <f>IF($J59="",#N/A,SUM(EX$4:EX59,EV$4:EV59,ET$4:ET59))</f>
        <v>0</v>
      </c>
      <c r="FA59" s="200" t="str">
        <f t="shared" si="69"/>
        <v/>
      </c>
      <c r="FB59" s="203">
        <f>IF($J59="",#N/A,SUM(FA$4:FA59))</f>
        <v>0</v>
      </c>
      <c r="FC59" s="204" t="str">
        <f t="shared" si="70"/>
        <v/>
      </c>
      <c r="FD59" s="204">
        <f>IF($J59="",#N/A,SUM(FC$4:FC59))</f>
        <v>1.3724148418491529</v>
      </c>
      <c r="FE59" s="205" t="str">
        <f t="shared" si="71"/>
        <v/>
      </c>
      <c r="FF59" s="205">
        <f>IF($J59="",#N/A,SUM(FE$4:FE59))</f>
        <v>-0.11131725417439868</v>
      </c>
      <c r="FG59" s="205">
        <f>IF($J59="",#N/A,SUM(FE$4:FE59,FC$4:FC59,FA$4:FA59))</f>
        <v>1.2610975876747541</v>
      </c>
      <c r="FH59" s="200" t="str">
        <f t="shared" si="72"/>
        <v/>
      </c>
      <c r="FI59" s="203">
        <f>IF($J59="",#N/A,SUM(FH$4:FH59))</f>
        <v>0</v>
      </c>
      <c r="FJ59" s="204" t="str">
        <f t="shared" si="73"/>
        <v/>
      </c>
      <c r="FK59" s="204">
        <f>IF($J59="",#N/A,SUM(FJ$4:FJ59))</f>
        <v>0</v>
      </c>
      <c r="FL59" s="205" t="str">
        <f t="shared" si="74"/>
        <v/>
      </c>
      <c r="FM59" s="205">
        <f>IF($J59="",#N/A,SUM(FL$4:FL59))</f>
        <v>0</v>
      </c>
      <c r="FN59" s="205">
        <f>IF($J59="",#N/A,SUM(FL$4:FL59,FJ$4:FJ59,FH$4:FH59))</f>
        <v>0</v>
      </c>
      <c r="FO59" s="200" t="str">
        <f t="shared" si="75"/>
        <v/>
      </c>
      <c r="FP59" s="203">
        <f>IF($J59="",#N/A,SUM(FO$4:FO59))</f>
        <v>0</v>
      </c>
      <c r="FQ59" s="204" t="str">
        <f t="shared" si="76"/>
        <v/>
      </c>
      <c r="FR59" s="204">
        <f>IF($J59="",#N/A,SUM(FQ$4:FQ59))</f>
        <v>0</v>
      </c>
      <c r="FS59" s="205" t="str">
        <f t="shared" si="77"/>
        <v/>
      </c>
      <c r="FT59" s="205">
        <f>IF($J59="",#N/A,SUM(FS$4:FS59))</f>
        <v>0</v>
      </c>
      <c r="FU59" s="205">
        <f>IF($J59="",#N/A,SUM(FS$4:FS59,FQ$4:FQ59,FO$4:FO59))</f>
        <v>0</v>
      </c>
      <c r="FV59" s="200" t="str">
        <f t="shared" si="78"/>
        <v/>
      </c>
      <c r="FW59" s="203">
        <f>IF($J59="",#N/A,SUM(FV$4:FV59))</f>
        <v>6.6834991831277585E-2</v>
      </c>
      <c r="FX59" s="204" t="str">
        <f t="shared" si="79"/>
        <v/>
      </c>
      <c r="FY59" s="204">
        <f>IF($J59="",#N/A,SUM(FX$4:FX59))</f>
        <v>0</v>
      </c>
      <c r="FZ59" s="205" t="str">
        <f t="shared" si="80"/>
        <v/>
      </c>
      <c r="GA59" s="205">
        <f>IF($J59="",#N/A,SUM(FZ$4:FZ59))</f>
        <v>-0.20104261551371039</v>
      </c>
      <c r="GB59" s="205">
        <f>IF($J59="",#N/A,SUM(FZ$4:FZ59,FX$4:FX59,FV$4:FV59))</f>
        <v>-0.1342076236824328</v>
      </c>
      <c r="GC59" s="200" t="str">
        <f t="shared" si="81"/>
        <v/>
      </c>
      <c r="GD59" s="203">
        <f>IF($J59="",#N/A,SUM(GC$4:GC59))</f>
        <v>0</v>
      </c>
      <c r="GE59" s="204" t="str">
        <f t="shared" si="82"/>
        <v/>
      </c>
      <c r="GF59" s="204">
        <f>IF($J59="",#N/A,SUM(GE$4:GE59))</f>
        <v>0</v>
      </c>
      <c r="GG59" s="205" t="str">
        <f t="shared" si="83"/>
        <v/>
      </c>
      <c r="GH59" s="205">
        <f>IF($J59="",#N/A,SUM(GG$4:GG59))</f>
        <v>-2.9368362277223206</v>
      </c>
      <c r="GI59" s="205">
        <f>IF($J59="",#N/A,SUM(GG$4:GG59,GE$4:GE59,GC$4:GC59))</f>
        <v>-2.9368362277223206</v>
      </c>
      <c r="GJ59" s="200" t="str">
        <f t="shared" si="84"/>
        <v/>
      </c>
      <c r="GK59" s="203">
        <f>IF($J59="",#N/A,SUM(GJ$4:GJ59))</f>
        <v>0</v>
      </c>
      <c r="GL59" s="204" t="str">
        <f t="shared" si="85"/>
        <v/>
      </c>
      <c r="GM59" s="204">
        <f>IF($J59="",#N/A,SUM(GL$4:GL59))</f>
        <v>-1.0674765946939027</v>
      </c>
      <c r="GN59" s="205" t="str">
        <f t="shared" si="86"/>
        <v/>
      </c>
      <c r="GO59" s="205">
        <f>IF($J59="",#N/A,SUM(GN$4:GN59))</f>
        <v>0</v>
      </c>
      <c r="GP59" s="205">
        <f>IF($J59="",#N/A,SUM(GN$4:GN59,GL$4:GL59,GJ$4:GJ59))</f>
        <v>-1.0674765946939027</v>
      </c>
      <c r="GS59" s="54">
        <f t="shared" si="105"/>
        <v>0.61509852304831358</v>
      </c>
      <c r="GT59" s="54">
        <f>IF(GS59="",NA(),SUM($GS$4:GS59))</f>
        <v>-8.6543463272129415</v>
      </c>
      <c r="GU59" s="54" t="str">
        <f t="shared" si="87"/>
        <v/>
      </c>
      <c r="GV59" s="54" t="e">
        <f>IF(GU59="",NA(),SUM($GU$4:GU59))</f>
        <v>#N/A</v>
      </c>
      <c r="GW59" s="54" t="str">
        <f t="shared" si="88"/>
        <v/>
      </c>
      <c r="GX59" s="54" t="e">
        <f>IF(GW59="",NA(),SUM($GW$4:GW59))</f>
        <v>#N/A</v>
      </c>
      <c r="GY59" s="54">
        <f t="shared" si="89"/>
        <v>0.61509852304831358</v>
      </c>
      <c r="GZ59" s="54">
        <f>IF(GY59="",NA(),SUM($GY$4:GY59))</f>
        <v>-3.6224694812908407</v>
      </c>
      <c r="HA59" s="54" t="str">
        <f t="shared" si="90"/>
        <v/>
      </c>
      <c r="HB59" s="54" t="e">
        <f>IF(HA59="",NA(),SUM($HA$4:HA59))</f>
        <v>#N/A</v>
      </c>
      <c r="HC59" s="54" t="str">
        <f t="shared" si="91"/>
        <v/>
      </c>
      <c r="HD59" s="54" t="e">
        <f>IF(HC59="",NA(),SUM($HC$4:HC59))</f>
        <v>#N/A</v>
      </c>
      <c r="HE59" s="54" t="str">
        <f t="shared" si="92"/>
        <v/>
      </c>
      <c r="HF59" s="54" t="e">
        <f>IF(HE59="",NA(),SUM($HE$4:HE59))</f>
        <v>#N/A</v>
      </c>
      <c r="HG59" s="54" t="str">
        <f t="shared" si="93"/>
        <v/>
      </c>
      <c r="HH59" s="54" t="e">
        <f>IF(HG59="",NA(),SUM($HG$4:HG59))</f>
        <v>#N/A</v>
      </c>
      <c r="HI59" s="172">
        <f t="shared" si="106"/>
        <v>-0.46042985373529366</v>
      </c>
      <c r="HJ59" s="172">
        <f>IF($J59="",#N/A,SUM(HI$4:$HI59))</f>
        <v>-1.7484459622628941</v>
      </c>
      <c r="HK59" s="54" t="str">
        <f t="shared" si="94"/>
        <v/>
      </c>
      <c r="HL59" s="54">
        <f>IF($J59="",#N/A,SUM($HK$4:HK59))</f>
        <v>-2.7297060402078941</v>
      </c>
      <c r="HM59" s="54" t="str">
        <f t="shared" si="95"/>
        <v/>
      </c>
      <c r="HN59" s="54">
        <f>IF($J59="",#N/A,SUM($HM$4:HM59))</f>
        <v>0.80449527204317051</v>
      </c>
      <c r="HO59" s="54" t="str">
        <f t="shared" si="96"/>
        <v/>
      </c>
      <c r="HP59" s="54">
        <f>IF($J59="",#N/A,SUM($HO$4:HO59))</f>
        <v>-0.64837295089680658</v>
      </c>
      <c r="HQ59" s="54" t="str">
        <f t="shared" si="97"/>
        <v/>
      </c>
      <c r="HR59" s="54">
        <f>IF($J59="",#N/A,SUM($HQ$4:HQ59))</f>
        <v>-1.9483400389149597</v>
      </c>
      <c r="HS59" s="54" t="str">
        <f t="shared" si="98"/>
        <v/>
      </c>
      <c r="HT59" s="54">
        <f>IF($J59="",#N/A,SUM($HS$4:HS59))</f>
        <v>5.5145549038116703</v>
      </c>
      <c r="HU59" s="65">
        <f t="shared" si="99"/>
        <v>0.1546686693130199</v>
      </c>
      <c r="HV59" s="65">
        <f>IF($J59="",#N/A,SUM(HU$4:$HU59))</f>
        <v>-9.2081723307133707</v>
      </c>
    </row>
    <row r="60" spans="1:230" x14ac:dyDescent="0.25">
      <c r="A60" s="51" t="s">
        <v>1418</v>
      </c>
      <c r="B60" s="52" t="s">
        <v>4502</v>
      </c>
      <c r="C60" s="229">
        <f t="shared" si="0"/>
        <v>3</v>
      </c>
      <c r="D60" s="219" t="str">
        <f>_xlfn.XLOOKUP(A60,[1]SP500!$A$2:$A$502,[1]SP500!$D$2:$D$502,"N")</f>
        <v>Y</v>
      </c>
      <c r="E60" s="51" t="str">
        <f>IFERROR(_xlfn.XLOOKUP(A60,[1]SP500!$A$2:$A$655,[1]SP500!$B$2:$B$655),"")</f>
        <v>XLE</v>
      </c>
      <c r="F60" s="53">
        <v>45769</v>
      </c>
      <c r="G60" s="51" t="str">
        <f t="shared" si="1"/>
        <v>AMC</v>
      </c>
      <c r="H60" s="51" t="str">
        <f t="shared" si="2"/>
        <v>s</v>
      </c>
      <c r="I60" s="343">
        <v>38.36</v>
      </c>
      <c r="J60" s="123">
        <v>36.799999999999997</v>
      </c>
      <c r="K60" s="55">
        <f t="shared" si="3"/>
        <v>-4.0667361835245108E-2</v>
      </c>
      <c r="L60" s="67">
        <f t="shared" si="4"/>
        <v>-31.200000000000045</v>
      </c>
      <c r="M60" s="57">
        <f t="shared" si="5"/>
        <v>10.800000000000068</v>
      </c>
      <c r="N60" s="102">
        <f t="shared" si="6"/>
        <v>-31.200000000000045</v>
      </c>
      <c r="O60" s="57">
        <f>IF(N60="",#N/A,SUM($N$4:N60))</f>
        <v>-631.108695630375</v>
      </c>
      <c r="P60" s="65">
        <f t="shared" si="100"/>
        <v>-0.67778936392075173</v>
      </c>
      <c r="Q60" s="172">
        <f>IF($N60="",#N/A,SUM($P$4:P60))</f>
        <v>-9.1301468782064106</v>
      </c>
      <c r="R60" s="279">
        <f t="shared" si="7"/>
        <v>1.9762288630626159</v>
      </c>
      <c r="S60" s="51" t="str">
        <f t="shared" si="8"/>
        <v>SW</v>
      </c>
      <c r="T60" s="51" t="s">
        <v>2828</v>
      </c>
      <c r="U60" s="56">
        <f t="shared" si="9"/>
        <v>38.36</v>
      </c>
      <c r="V60" s="56" t="s">
        <v>4460</v>
      </c>
      <c r="W60" s="142">
        <v>20</v>
      </c>
      <c r="X60" s="145">
        <f t="shared" si="10"/>
        <v>767.2</v>
      </c>
      <c r="Y60" s="140">
        <f t="shared" si="11"/>
        <v>20</v>
      </c>
      <c r="Z60" s="123">
        <v>37.340000000000003</v>
      </c>
      <c r="AA60" s="102">
        <f t="shared" si="12"/>
        <v>-20.399999999999977</v>
      </c>
      <c r="AB60" s="102">
        <f t="shared" si="13"/>
        <v>-49.600000000000023</v>
      </c>
      <c r="AC60" s="124">
        <v>35.880000000000003</v>
      </c>
      <c r="AD60" s="155">
        <f t="shared" si="14"/>
        <v>-49.600000000000023</v>
      </c>
      <c r="AE60" s="545">
        <f t="shared" si="15"/>
        <v>-1.0775112964893991</v>
      </c>
      <c r="AF60" s="57">
        <f>IF($AC60="",#N/A,SUM(AD$4:AD60))</f>
        <v>-678.45582025503177</v>
      </c>
      <c r="AG60" s="102">
        <f t="shared" si="16"/>
        <v>-18.399999999999977</v>
      </c>
      <c r="AH60" s="56" t="s">
        <v>2507</v>
      </c>
      <c r="AI60" s="65">
        <f t="shared" si="17"/>
        <v>-0.44316996871741343</v>
      </c>
      <c r="AJ60" s="54">
        <f>IF(AI60="",#N/A,SUM($AI$4:AI60))</f>
        <v>-11.106375741269026</v>
      </c>
      <c r="AK60" s="57">
        <f t="shared" si="18"/>
        <v>-20.399999999999977</v>
      </c>
      <c r="AL60" s="349">
        <f>IF(AI60="",#N/A,IF(AH60="Skip",SUM($AK$4:AK60),SUM($AK$4:AK60)))</f>
        <v>-778.83999999999935</v>
      </c>
      <c r="AM60" s="65">
        <f t="shared" si="101"/>
        <v>-1.0775112964893991</v>
      </c>
      <c r="AN60" s="209"/>
      <c r="AO60" s="65">
        <f t="shared" si="19"/>
        <v>-1.0775112964893991</v>
      </c>
      <c r="AP60" s="65">
        <f>IF($AC60="",#N/A,SUM(AO$4:AO60))</f>
        <v>-0.94690614955989283</v>
      </c>
      <c r="AQ60" s="65" t="str">
        <f t="shared" si="20"/>
        <v/>
      </c>
      <c r="AR60" s="65">
        <f>IF($AC60="",#N/A,SUM(AQ$4:AQ60))</f>
        <v>-1.2381559938812483</v>
      </c>
      <c r="AS60" s="65" t="str">
        <f t="shared" si="21"/>
        <v/>
      </c>
      <c r="AT60" s="65">
        <f>IF($AC60="",#N/A,SUM(AS$4:AS60))</f>
        <v>-8.1006214837616302</v>
      </c>
      <c r="AU60" s="57">
        <f t="shared" si="102"/>
        <v>-49.600000000000023</v>
      </c>
      <c r="AV60" s="57">
        <f>IF($AC60="",#N/A,SUM(AU$4:AU60))</f>
        <v>-64.227447352215677</v>
      </c>
      <c r="AW60" s="57" t="str">
        <f t="shared" si="103"/>
        <v/>
      </c>
      <c r="AX60" s="57">
        <f>IF($AC60="",#N/A,SUM(AW$4:AW60))</f>
        <v>-74.660000000000196</v>
      </c>
      <c r="AY60" s="57" t="str">
        <f t="shared" si="104"/>
        <v/>
      </c>
      <c r="AZ60" s="57">
        <f>IF($AC60="",#N/A,SUM(AY$4:AY60))</f>
        <v>-539.5683729028159</v>
      </c>
      <c r="BA60" s="57">
        <f>IF(AD60="",#N/A,SUM($AD$4:AD60))</f>
        <v>-678.45582025503177</v>
      </c>
      <c r="BC60" s="51" t="str">
        <f t="shared" si="22"/>
        <v/>
      </c>
      <c r="BD60" s="51" t="str">
        <f t="shared" si="23"/>
        <v/>
      </c>
      <c r="BE60" s="51" t="str">
        <f t="shared" si="24"/>
        <v/>
      </c>
      <c r="BF60" s="51" t="str">
        <f t="shared" si="25"/>
        <v>Long</v>
      </c>
      <c r="BG60" s="51" t="str">
        <f t="shared" si="26"/>
        <v/>
      </c>
      <c r="BH60" s="51" t="str">
        <f t="shared" si="27"/>
        <v/>
      </c>
      <c r="BI60" s="51">
        <f t="shared" si="28"/>
        <v>1</v>
      </c>
      <c r="BK60" s="65">
        <f t="shared" si="108"/>
        <v>-0.14588140520334353</v>
      </c>
      <c r="BL60" s="65">
        <f t="shared" si="107"/>
        <v>-0.28805171093130849</v>
      </c>
      <c r="BM60" s="65">
        <f>IFERROR(Q60/COUNTA($J$4:J60),#N/A)</f>
        <v>-0.16017801540713</v>
      </c>
      <c r="BO60" s="489">
        <f>IF(J60="",#N/A,IF(S60="SW",(COUNTIFS(K$4:$K60,"&gt;0",S$4:$S60,"SW")/COUNTIF(S$4:$S60,"SW")),#N/A))</f>
        <v>0.48484848484848486</v>
      </c>
      <c r="BP60" s="489" t="e">
        <f>IF($J60="",#N/A,IF($S60="DWN",(COUNTIFS($K$4:$K60,"&lt;0",$S$4:$S60,"DWN")/COUNTIF($S$4:$S60,"DWN")),#N/A))</f>
        <v>#N/A</v>
      </c>
      <c r="BQ60" s="489" t="e">
        <f>IF($J60="",#N/A,IF($S60="UP",(COUNTIFS($K$4:$K60,"&gt;0",$S$4:$S60,"UP")/COUNTIF($S$4:$S60,"UP")),#N/A))</f>
        <v>#N/A</v>
      </c>
      <c r="BR60" s="489">
        <f>IF(J60="",#N/A,COUNTIF($K$4:K60,"&gt;0")/COUNT($J$4:J60))</f>
        <v>0.49122807017543857</v>
      </c>
      <c r="BS60" s="65" t="str">
        <f t="shared" si="29"/>
        <v/>
      </c>
      <c r="BT60" s="65">
        <f t="shared" si="30"/>
        <v>-0.67778936392075173</v>
      </c>
      <c r="BU60" s="65" t="str">
        <f t="shared" si="31"/>
        <v/>
      </c>
      <c r="BV60" s="65" t="str">
        <f t="shared" si="32"/>
        <v/>
      </c>
      <c r="BW60" s="128" t="str">
        <f t="shared" si="33"/>
        <v/>
      </c>
      <c r="BX60" s="128">
        <f>IF($J60="",#N/A,SUM($BW$4:BW60))</f>
        <v>-88.570000000000164</v>
      </c>
      <c r="BY60" s="131" t="str">
        <f t="shared" si="34"/>
        <v/>
      </c>
      <c r="BZ60" s="131">
        <f>IF($J60="",#N/A,SUM($BY$4:BY60))</f>
        <v>-267.89871953149543</v>
      </c>
      <c r="CA60" s="133">
        <f t="shared" si="35"/>
        <v>-31.200000000000045</v>
      </c>
      <c r="CB60" s="133">
        <f>IF($J60="",#N/A,SUM($CA$4:CA60))</f>
        <v>-274.6399760988794</v>
      </c>
      <c r="CC60" s="194" t="str">
        <f t="shared" si="36"/>
        <v/>
      </c>
      <c r="CD60" s="194">
        <f>IF($J60="",#N/A,SUM($CC$4:CC60))</f>
        <v>-1.3942783150276121</v>
      </c>
      <c r="CE60" s="195" t="str">
        <f t="shared" si="37"/>
        <v/>
      </c>
      <c r="CF60" s="195">
        <f>IF($J60="",#N/A,SUM($CE$4:CE60))</f>
        <v>-3.6224694812908407</v>
      </c>
      <c r="CG60" s="196">
        <f t="shared" si="38"/>
        <v>-0.67778936392075173</v>
      </c>
      <c r="CH60" s="193">
        <f>IF($J60="",#N/A,SUM($CG$4:CG60))</f>
        <v>-4.1133990818879544</v>
      </c>
      <c r="CI60" s="200" t="str">
        <f t="shared" si="39"/>
        <v/>
      </c>
      <c r="CJ60" s="203">
        <f>IF($J60="",#N/A,SUM(CI$4:CI60))</f>
        <v>0</v>
      </c>
      <c r="CK60" s="204" t="str">
        <f t="shared" si="40"/>
        <v/>
      </c>
      <c r="CL60" s="204">
        <f>IF($J60="",#N/A,SUM(CK$4:CK60))</f>
        <v>0</v>
      </c>
      <c r="CM60" s="205" t="str">
        <f t="shared" si="41"/>
        <v/>
      </c>
      <c r="CN60" s="205">
        <f>IF($J60="",#N/A,SUM(CM$4:CM60))</f>
        <v>0</v>
      </c>
      <c r="CO60" s="205">
        <f>IF($J60="",#N/A,SUM(CM$4:CM60,CK$4:CK60,CI$4:CI60))</f>
        <v>0</v>
      </c>
      <c r="CP60" s="200" t="str">
        <f t="shared" si="42"/>
        <v/>
      </c>
      <c r="CQ60" s="203">
        <f>IF($J60="",#N/A,SUM(CP$4:CP60))</f>
        <v>0</v>
      </c>
      <c r="CR60" s="204" t="str">
        <f t="shared" si="43"/>
        <v/>
      </c>
      <c r="CS60" s="204">
        <f>IF($J60="",#N/A,SUM(CR$4:CR60))</f>
        <v>0</v>
      </c>
      <c r="CT60" s="205" t="str">
        <f t="shared" si="44"/>
        <v/>
      </c>
      <c r="CU60" s="205">
        <f>IF($J60="",#N/A,SUM(CT$4:CT60))</f>
        <v>0</v>
      </c>
      <c r="CV60" s="205">
        <f>IF($J60="",#N/A,SUM(CT$4:CT60,CR$4:CR60,CP$4:CP60))</f>
        <v>0</v>
      </c>
      <c r="CW60" s="200" t="str">
        <f t="shared" si="45"/>
        <v/>
      </c>
      <c r="CX60" s="203">
        <f>IF($J60="",#N/A,SUM(CW$4:CW60))</f>
        <v>0</v>
      </c>
      <c r="CY60" s="204" t="str">
        <f t="shared" si="46"/>
        <v/>
      </c>
      <c r="CZ60" s="204">
        <f>IF($J60="",#N/A,SUM(CY$4:CY60))</f>
        <v>-0.63271328921481373</v>
      </c>
      <c r="DA60" s="205" t="str">
        <f t="shared" si="47"/>
        <v/>
      </c>
      <c r="DB60" s="205">
        <f>IF($J60="",#N/A,SUM(DA$4:DA60))</f>
        <v>0</v>
      </c>
      <c r="DC60" s="205">
        <f>IF($J60="",#N/A,SUM(DA$4:DA60,CY$4:CY60,CW$4:CW60))</f>
        <v>-0.63271328921481373</v>
      </c>
      <c r="DD60" s="200" t="str">
        <f t="shared" si="48"/>
        <v/>
      </c>
      <c r="DE60" s="203">
        <f>IF($J60="",#N/A,SUM(DD$4:DD60))</f>
        <v>0</v>
      </c>
      <c r="DF60" s="204" t="str">
        <f t="shared" si="49"/>
        <v/>
      </c>
      <c r="DG60" s="204">
        <f>IF($J60="",#N/A,SUM(DF$4:DF60))</f>
        <v>0.6788440567066546</v>
      </c>
      <c r="DH60" s="205" t="str">
        <f t="shared" si="50"/>
        <v/>
      </c>
      <c r="DI60" s="205">
        <f>IF($J60="",#N/A,SUM(DH$4:DH60))</f>
        <v>-0.83172699364602887</v>
      </c>
      <c r="DJ60" s="205">
        <f>IF($J60="",#N/A,SUM(DH$4:DH60,DF$4:DF60,DD$4:DD60))</f>
        <v>-0.15288293693937427</v>
      </c>
      <c r="DK60" s="200" t="str">
        <f t="shared" si="51"/>
        <v/>
      </c>
      <c r="DL60" s="203">
        <f>IF($J60="",#N/A,SUM(DK$4:DK60))</f>
        <v>0</v>
      </c>
      <c r="DM60" s="204" t="str">
        <f t="shared" si="52"/>
        <v/>
      </c>
      <c r="DN60" s="204">
        <f>IF($J60="",#N/A,SUM(DM$4:DM60))</f>
        <v>0.36227168206863897</v>
      </c>
      <c r="DO60" s="205" t="str">
        <f t="shared" si="53"/>
        <v/>
      </c>
      <c r="DP60" s="205">
        <f>IF($J60="",#N/A,SUM(DO$4:DO60))</f>
        <v>-0.17018269154375754</v>
      </c>
      <c r="DQ60" s="205">
        <f>IF($J60="",#N/A,SUM(DO$4:DO60,DM$4:DM60,DK$4:DK60))</f>
        <v>0.19208899052488143</v>
      </c>
      <c r="DR60" s="200" t="str">
        <f t="shared" si="54"/>
        <v/>
      </c>
      <c r="DS60" s="203">
        <f>IF($J60="",#N/A,SUM(DR$4:DR60))</f>
        <v>0</v>
      </c>
      <c r="DT60" s="204" t="str">
        <f t="shared" si="55"/>
        <v/>
      </c>
      <c r="DU60" s="204">
        <f>IF($J60="",#N/A,SUM(DT$4:DT60))</f>
        <v>-2.8875364672150718</v>
      </c>
      <c r="DV60" s="205" t="str">
        <f t="shared" si="56"/>
        <v/>
      </c>
      <c r="DW60" s="205">
        <f>IF($J60="",#N/A,SUM(DV$4:DV60))</f>
        <v>-0.89834078198379175</v>
      </c>
      <c r="DX60" s="205">
        <f>IF($J60="",#N/A,SUM(DV$4:DV60,DT$4:DT60,DR$4:DR60))</f>
        <v>-3.7858772491988635</v>
      </c>
      <c r="DY60" s="200" t="str">
        <f t="shared" si="57"/>
        <v/>
      </c>
      <c r="DZ60" s="203">
        <f>IF($J60="",#N/A,SUM(DY$4:DY60))</f>
        <v>-1.4611133068588897</v>
      </c>
      <c r="EA60" s="204" t="str">
        <f t="shared" si="58"/>
        <v/>
      </c>
      <c r="EB60" s="204">
        <f>IF($J60="",#N/A,SUM(EA$4:EA60))</f>
        <v>-0.86716764906472754</v>
      </c>
      <c r="EC60" s="205" t="str">
        <f t="shared" si="59"/>
        <v/>
      </c>
      <c r="ED60" s="205">
        <f>IF($J60="",#N/A,SUM(EC$4:EC60))</f>
        <v>-0.12249858668611946</v>
      </c>
      <c r="EE60" s="205">
        <f>IF($J60="",#N/A,SUM(EC$4:EC60,EA$4:EA60,DY$4:DY60))</f>
        <v>-2.4507795426097365</v>
      </c>
      <c r="EF60" s="200" t="str">
        <f t="shared" si="60"/>
        <v/>
      </c>
      <c r="EG60" s="203">
        <f>IF($J60="",#N/A,SUM(EF$4:EF60))</f>
        <v>0</v>
      </c>
      <c r="EH60" s="204" t="str">
        <f t="shared" si="61"/>
        <v/>
      </c>
      <c r="EI60" s="204">
        <f>IF($J60="",#N/A,SUM(EH$4:EH60))</f>
        <v>-1.196204584775086</v>
      </c>
      <c r="EJ60" s="205" t="str">
        <f t="shared" si="62"/>
        <v/>
      </c>
      <c r="EK60" s="205">
        <f>IF($J60="",#N/A,SUM(EJ$4:EJ60))</f>
        <v>1.3436756383175479</v>
      </c>
      <c r="EL60" s="205">
        <f>IF($J60="",#N/A,SUM(EJ$4:EJ60,EH$4:EH60,EF$4:EF60))</f>
        <v>0.14747105354246193</v>
      </c>
      <c r="EM60" s="200" t="str">
        <f t="shared" si="63"/>
        <v/>
      </c>
      <c r="EN60" s="203">
        <f>IF($J60="",#N/A,SUM(EM$4:EM60))</f>
        <v>0</v>
      </c>
      <c r="EO60" s="204" t="str">
        <f t="shared" si="64"/>
        <v/>
      </c>
      <c r="EP60" s="204">
        <f>IF($J60="",#N/A,SUM(EO$4:EO60))</f>
        <v>0.61509852304831358</v>
      </c>
      <c r="EQ60" s="205" t="str">
        <f t="shared" si="65"/>
        <v/>
      </c>
      <c r="ER60" s="205">
        <f>IF($J60="",#N/A,SUM(EQ$4:EQ60))</f>
        <v>0.4926597949853756</v>
      </c>
      <c r="ES60" s="205">
        <f>IF($J60="",#N/A,SUM(EQ$4:EQ60,EO$4:EO60,EM$4:EM60))</f>
        <v>1.1077583180336892</v>
      </c>
      <c r="ET60" s="200" t="str">
        <f t="shared" si="66"/>
        <v/>
      </c>
      <c r="EU60" s="203">
        <f>IF($J60="",#N/A,SUM(ET$4:ET60))</f>
        <v>0</v>
      </c>
      <c r="EV60" s="204" t="str">
        <f t="shared" si="67"/>
        <v/>
      </c>
      <c r="EW60" s="204">
        <f>IF($J60="",#N/A,SUM(EV$4:EV60))</f>
        <v>0</v>
      </c>
      <c r="EX60" s="205" t="str">
        <f t="shared" si="68"/>
        <v/>
      </c>
      <c r="EY60" s="205">
        <f>IF($J60="",#N/A,SUM(EX$4:EX60))</f>
        <v>0</v>
      </c>
      <c r="EZ60" s="205">
        <f>IF($J60="",#N/A,SUM(EX$4:EX60,EV$4:EV60,ET$4:ET60))</f>
        <v>0</v>
      </c>
      <c r="FA60" s="200" t="str">
        <f t="shared" si="69"/>
        <v/>
      </c>
      <c r="FB60" s="203">
        <f>IF($J60="",#N/A,SUM(FA$4:FA60))</f>
        <v>0</v>
      </c>
      <c r="FC60" s="204" t="str">
        <f t="shared" si="70"/>
        <v/>
      </c>
      <c r="FD60" s="204">
        <f>IF($J60="",#N/A,SUM(FC$4:FC60))</f>
        <v>1.3724148418491529</v>
      </c>
      <c r="FE60" s="205">
        <f t="shared" si="71"/>
        <v>-0.67778936392075173</v>
      </c>
      <c r="FF60" s="205">
        <f>IF($J60="",#N/A,SUM(FE$4:FE60))</f>
        <v>-0.78910661809515037</v>
      </c>
      <c r="FG60" s="205">
        <f>IF($J60="",#N/A,SUM(FE$4:FE60,FC$4:FC60,FA$4:FA60))</f>
        <v>0.58330822375400249</v>
      </c>
      <c r="FH60" s="200" t="str">
        <f t="shared" si="72"/>
        <v/>
      </c>
      <c r="FI60" s="203">
        <f>IF($J60="",#N/A,SUM(FH$4:FH60))</f>
        <v>0</v>
      </c>
      <c r="FJ60" s="204" t="str">
        <f t="shared" si="73"/>
        <v/>
      </c>
      <c r="FK60" s="204">
        <f>IF($J60="",#N/A,SUM(FJ$4:FJ60))</f>
        <v>0</v>
      </c>
      <c r="FL60" s="205" t="str">
        <f t="shared" si="74"/>
        <v/>
      </c>
      <c r="FM60" s="205">
        <f>IF($J60="",#N/A,SUM(FL$4:FL60))</f>
        <v>0</v>
      </c>
      <c r="FN60" s="205">
        <f>IF($J60="",#N/A,SUM(FL$4:FL60,FJ$4:FJ60,FH$4:FH60))</f>
        <v>0</v>
      </c>
      <c r="FO60" s="200" t="str">
        <f t="shared" si="75"/>
        <v/>
      </c>
      <c r="FP60" s="203">
        <f>IF($J60="",#N/A,SUM(FO$4:FO60))</f>
        <v>0</v>
      </c>
      <c r="FQ60" s="204" t="str">
        <f t="shared" si="76"/>
        <v/>
      </c>
      <c r="FR60" s="204">
        <f>IF($J60="",#N/A,SUM(FQ$4:FQ60))</f>
        <v>0</v>
      </c>
      <c r="FS60" s="205" t="str">
        <f t="shared" si="77"/>
        <v/>
      </c>
      <c r="FT60" s="205">
        <f>IF($J60="",#N/A,SUM(FS$4:FS60))</f>
        <v>0</v>
      </c>
      <c r="FU60" s="205">
        <f>IF($J60="",#N/A,SUM(FS$4:FS60,FQ$4:FQ60,FO$4:FO60))</f>
        <v>0</v>
      </c>
      <c r="FV60" s="200" t="str">
        <f t="shared" si="78"/>
        <v/>
      </c>
      <c r="FW60" s="203">
        <f>IF($J60="",#N/A,SUM(FV$4:FV60))</f>
        <v>6.6834991831277585E-2</v>
      </c>
      <c r="FX60" s="204" t="str">
        <f t="shared" si="79"/>
        <v/>
      </c>
      <c r="FY60" s="204">
        <f>IF($J60="",#N/A,SUM(FX$4:FX60))</f>
        <v>0</v>
      </c>
      <c r="FZ60" s="205" t="str">
        <f t="shared" si="80"/>
        <v/>
      </c>
      <c r="GA60" s="205">
        <f>IF($J60="",#N/A,SUM(FZ$4:FZ60))</f>
        <v>-0.20104261551371039</v>
      </c>
      <c r="GB60" s="205">
        <f>IF($J60="",#N/A,SUM(FZ$4:FZ60,FX$4:FX60,FV$4:FV60))</f>
        <v>-0.1342076236824328</v>
      </c>
      <c r="GC60" s="200" t="str">
        <f t="shared" si="81"/>
        <v/>
      </c>
      <c r="GD60" s="203">
        <f>IF($J60="",#N/A,SUM(GC$4:GC60))</f>
        <v>0</v>
      </c>
      <c r="GE60" s="204" t="str">
        <f t="shared" si="82"/>
        <v/>
      </c>
      <c r="GF60" s="204">
        <f>IF($J60="",#N/A,SUM(GE$4:GE60))</f>
        <v>0</v>
      </c>
      <c r="GG60" s="205" t="str">
        <f t="shared" si="83"/>
        <v/>
      </c>
      <c r="GH60" s="205">
        <f>IF($J60="",#N/A,SUM(GG$4:GG60))</f>
        <v>-2.9368362277223206</v>
      </c>
      <c r="GI60" s="205">
        <f>IF($J60="",#N/A,SUM(GG$4:GG60,GE$4:GE60,GC$4:GC60))</f>
        <v>-2.9368362277223206</v>
      </c>
      <c r="GJ60" s="200" t="str">
        <f t="shared" si="84"/>
        <v/>
      </c>
      <c r="GK60" s="203">
        <f>IF($J60="",#N/A,SUM(GJ$4:GJ60))</f>
        <v>0</v>
      </c>
      <c r="GL60" s="204" t="str">
        <f t="shared" si="85"/>
        <v/>
      </c>
      <c r="GM60" s="204">
        <f>IF($J60="",#N/A,SUM(GL$4:GL60))</f>
        <v>-1.0674765946939027</v>
      </c>
      <c r="GN60" s="205" t="str">
        <f t="shared" si="86"/>
        <v/>
      </c>
      <c r="GO60" s="205">
        <f>IF($J60="",#N/A,SUM(GN$4:GN60))</f>
        <v>0</v>
      </c>
      <c r="GP60" s="205">
        <f>IF($J60="",#N/A,SUM(GN$4:GN60,GL$4:GL60,GJ$4:GJ60))</f>
        <v>-1.0674765946939027</v>
      </c>
      <c r="GS60" s="54">
        <f t="shared" si="105"/>
        <v>-0.67778936392075173</v>
      </c>
      <c r="GT60" s="54">
        <f>IF(GS60="",NA(),SUM($GS$4:GS60))</f>
        <v>-9.3321356911336935</v>
      </c>
      <c r="GU60" s="54" t="str">
        <f t="shared" si="87"/>
        <v/>
      </c>
      <c r="GV60" s="54" t="e">
        <f>IF(GU60="",NA(),SUM($GU$4:GU60))</f>
        <v>#N/A</v>
      </c>
      <c r="GW60" s="54">
        <f t="shared" si="88"/>
        <v>-0.67778936392075173</v>
      </c>
      <c r="GX60" s="54">
        <f>IF(GW60="",NA(),SUM($GW$4:GW60))</f>
        <v>-4.31538789481524</v>
      </c>
      <c r="GY60" s="54" t="str">
        <f t="shared" si="89"/>
        <v/>
      </c>
      <c r="GZ60" s="54" t="e">
        <f>IF(GY60="",NA(),SUM($GY$4:GY60))</f>
        <v>#N/A</v>
      </c>
      <c r="HA60" s="54" t="str">
        <f t="shared" si="90"/>
        <v/>
      </c>
      <c r="HB60" s="54" t="e">
        <f>IF(HA60="",NA(),SUM($HA$4:HA60))</f>
        <v>#N/A</v>
      </c>
      <c r="HC60" s="54" t="str">
        <f t="shared" si="91"/>
        <v/>
      </c>
      <c r="HD60" s="54" t="e">
        <f>IF(HC60="",NA(),SUM($HC$4:HC60))</f>
        <v>#N/A</v>
      </c>
      <c r="HE60" s="54" t="str">
        <f t="shared" si="92"/>
        <v/>
      </c>
      <c r="HF60" s="54" t="e">
        <f>IF(HE60="",NA(),SUM($HE$4:HE60))</f>
        <v>#N/A</v>
      </c>
      <c r="HG60" s="54" t="str">
        <f t="shared" si="93"/>
        <v/>
      </c>
      <c r="HH60" s="54" t="e">
        <f>IF(HG60="",NA(),SUM($HG$4:HG60))</f>
        <v>#N/A</v>
      </c>
      <c r="HI60" s="172" t="str">
        <f t="shared" si="106"/>
        <v/>
      </c>
      <c r="HJ60" s="172">
        <f>IF($J60="",#N/A,SUM(HI$4:$HI60))</f>
        <v>-1.7484459622628941</v>
      </c>
      <c r="HK60" s="54" t="str">
        <f t="shared" si="94"/>
        <v/>
      </c>
      <c r="HL60" s="54">
        <f>IF($J60="",#N/A,SUM($HK$4:HK60))</f>
        <v>-2.7297060402078941</v>
      </c>
      <c r="HM60" s="54" t="str">
        <f t="shared" si="95"/>
        <v/>
      </c>
      <c r="HN60" s="54">
        <f>IF($J60="",#N/A,SUM($HM$4:HM60))</f>
        <v>0.80449527204317051</v>
      </c>
      <c r="HO60" s="54" t="str">
        <f t="shared" si="96"/>
        <v/>
      </c>
      <c r="HP60" s="54">
        <f>IF($J60="",#N/A,SUM($HO$4:HO60))</f>
        <v>-0.64837295089680658</v>
      </c>
      <c r="HQ60" s="54" t="str">
        <f t="shared" si="97"/>
        <v/>
      </c>
      <c r="HR60" s="54">
        <f>IF($J60="",#N/A,SUM($HQ$4:HQ60))</f>
        <v>-1.9483400389149597</v>
      </c>
      <c r="HS60" s="54">
        <f t="shared" si="98"/>
        <v>-0.39972193256864741</v>
      </c>
      <c r="HT60" s="54">
        <f>IF($J60="",#N/A,SUM($HS$4:HS60))</f>
        <v>5.1148329712430227</v>
      </c>
      <c r="HU60" s="65">
        <f t="shared" si="99"/>
        <v>-1.0775112964893991</v>
      </c>
      <c r="HV60" s="65">
        <f>IF($J60="",#N/A,SUM(HU$4:$HU60))</f>
        <v>-10.28568362720277</v>
      </c>
    </row>
    <row r="61" spans="1:230" x14ac:dyDescent="0.25">
      <c r="A61" s="396" t="s">
        <v>1593</v>
      </c>
      <c r="B61" s="52" t="s">
        <v>4502</v>
      </c>
      <c r="C61" s="229">
        <f t="shared" si="0"/>
        <v>2</v>
      </c>
      <c r="D61" s="219" t="str">
        <f>_xlfn.XLOOKUP(A61,[1]SP500!$A$2:$A$502,[1]SP500!$D$2:$D$502,"N")</f>
        <v>Y</v>
      </c>
      <c r="E61" s="51" t="str">
        <f>IFERROR(_xlfn.XLOOKUP(A61,[1]SP500!$A$2:$A$655,[1]SP500!$B$2:$B$655),"")</f>
        <v>XLK</v>
      </c>
      <c r="F61" s="53">
        <v>45769</v>
      </c>
      <c r="G61" s="51" t="str">
        <f t="shared" si="1"/>
        <v>AMC</v>
      </c>
      <c r="H61" s="51" t="str">
        <f t="shared" si="2"/>
        <v>s</v>
      </c>
      <c r="I61" s="344">
        <v>53.43</v>
      </c>
      <c r="J61" s="124">
        <v>47.36</v>
      </c>
      <c r="K61" s="55">
        <f t="shared" si="3"/>
        <v>-0.11360658805914281</v>
      </c>
      <c r="L61" s="67">
        <f t="shared" si="4"/>
        <v>91.050000000000068</v>
      </c>
      <c r="M61" s="57">
        <f t="shared" si="5"/>
        <v>0</v>
      </c>
      <c r="N61" s="102">
        <f t="shared" si="6"/>
        <v>91.050000000000068</v>
      </c>
      <c r="O61" s="57">
        <f>IF(N61="",#N/A,SUM($N$4:N61))</f>
        <v>-540.05869563037493</v>
      </c>
      <c r="P61" s="65">
        <f t="shared" si="100"/>
        <v>1.8934431343190481</v>
      </c>
      <c r="Q61" s="172">
        <f>IF($N61="",#N/A,SUM($P$4:P61))</f>
        <v>-7.2367037438873627</v>
      </c>
      <c r="R61" s="279">
        <f t="shared" si="7"/>
        <v>1.9762288630626159</v>
      </c>
      <c r="S61" s="51" t="str">
        <f t="shared" si="8"/>
        <v>Dwn</v>
      </c>
      <c r="T61" s="51" t="s">
        <v>4462</v>
      </c>
      <c r="U61" s="56">
        <f t="shared" si="9"/>
        <v>53.43</v>
      </c>
      <c r="V61" s="56" t="s">
        <v>4458</v>
      </c>
      <c r="W61" s="142">
        <v>15</v>
      </c>
      <c r="X61" s="145">
        <f t="shared" si="10"/>
        <v>801.45</v>
      </c>
      <c r="Y61" s="140">
        <f t="shared" si="11"/>
        <v>15</v>
      </c>
      <c r="Z61" s="123">
        <v>47.36</v>
      </c>
      <c r="AA61" s="102">
        <f t="shared" si="12"/>
        <v>91.050000000000068</v>
      </c>
      <c r="AB61" s="102">
        <f t="shared" si="13"/>
        <v>124.65000000000009</v>
      </c>
      <c r="AC61" s="124">
        <v>45.12</v>
      </c>
      <c r="AD61" s="155">
        <f t="shared" si="14"/>
        <v>124.65000000000009</v>
      </c>
      <c r="AE61" s="545">
        <f t="shared" si="15"/>
        <v>2.5921766797679222</v>
      </c>
      <c r="AF61" s="57">
        <f>IF($AC61="",#N/A,SUM(AD$4:AD61))</f>
        <v>-553.80582025503168</v>
      </c>
      <c r="AG61" s="102">
        <f t="shared" si="16"/>
        <v>33.600000000000023</v>
      </c>
      <c r="AH61" s="56" t="s">
        <v>2507</v>
      </c>
      <c r="AI61" s="65">
        <f t="shared" si="17"/>
        <v>1.8934431343190481</v>
      </c>
      <c r="AJ61" s="65">
        <f>IF(AI61="",#N/A,SUM($AI$4:AI61))</f>
        <v>-9.2129326069499786</v>
      </c>
      <c r="AK61" s="57">
        <f t="shared" si="18"/>
        <v>91.050000000000068</v>
      </c>
      <c r="AL61" s="349">
        <f>IF(AI61="",#N/A,IF(AH61="Skip",SUM($AK$4:AK61),SUM($AK$4:AK61)))</f>
        <v>-687.78999999999928</v>
      </c>
      <c r="AM61" s="65">
        <f t="shared" si="101"/>
        <v>2.5921766797679222</v>
      </c>
      <c r="AN61" s="209"/>
      <c r="AO61" s="65" t="str">
        <f t="shared" si="19"/>
        <v/>
      </c>
      <c r="AP61" s="65">
        <f>IF($AC61="",#N/A,SUM(AO$4:AO61))</f>
        <v>-0.94690614955989283</v>
      </c>
      <c r="AQ61" s="65" t="str">
        <f t="shared" si="20"/>
        <v/>
      </c>
      <c r="AR61" s="65">
        <f>IF($AC61="",#N/A,SUM(AQ$4:AQ61))</f>
        <v>-1.2381559938812483</v>
      </c>
      <c r="AS61" s="65">
        <f t="shared" si="21"/>
        <v>2.5921766797679222</v>
      </c>
      <c r="AT61" s="65">
        <f>IF($AC61="",#N/A,SUM(AS$4:AS61))</f>
        <v>-5.5084448039937079</v>
      </c>
      <c r="AU61" s="57" t="str">
        <f t="shared" si="102"/>
        <v/>
      </c>
      <c r="AV61" s="57">
        <f>IF($AC61="",#N/A,SUM(AU$4:AU61))</f>
        <v>-64.227447352215677</v>
      </c>
      <c r="AW61" s="57" t="str">
        <f t="shared" si="103"/>
        <v/>
      </c>
      <c r="AX61" s="57">
        <f>IF($AC61="",#N/A,SUM(AW$4:AW61))</f>
        <v>-74.660000000000196</v>
      </c>
      <c r="AY61" s="57">
        <f t="shared" si="104"/>
        <v>124.65000000000009</v>
      </c>
      <c r="AZ61" s="57">
        <f>IF($AC61="",#N/A,SUM(AY$4:AY61))</f>
        <v>-414.9183729028158</v>
      </c>
      <c r="BA61" s="57">
        <f>IF(AD61="",#N/A,SUM($AD$4:AD61))</f>
        <v>-553.80582025503168</v>
      </c>
      <c r="BC61" s="51" t="str">
        <f t="shared" si="22"/>
        <v/>
      </c>
      <c r="BD61" s="51" t="str">
        <f t="shared" si="23"/>
        <v/>
      </c>
      <c r="BE61" s="51" t="str">
        <f t="shared" si="24"/>
        <v/>
      </c>
      <c r="BF61" s="51" t="str">
        <f t="shared" si="25"/>
        <v>Short</v>
      </c>
      <c r="BG61" s="51">
        <f t="shared" si="26"/>
        <v>1</v>
      </c>
      <c r="BH61" s="51" t="str">
        <f t="shared" si="27"/>
        <v/>
      </c>
      <c r="BI61" s="51" t="str">
        <f t="shared" si="28"/>
        <v/>
      </c>
      <c r="BK61" s="65">
        <f t="shared" si="108"/>
        <v>-0.11850252444938444</v>
      </c>
      <c r="BL61" s="65">
        <f t="shared" si="107"/>
        <v>-0.21239306194633722</v>
      </c>
      <c r="BM61" s="65">
        <f>IFERROR(Q61/COUNTA($J$4:J61),#N/A)</f>
        <v>-0.12477075420495452</v>
      </c>
      <c r="BO61" s="489" t="e">
        <f>IF(J61="",#N/A,IF(S61="SW",(COUNTIFS(K$4:$K61,"&gt;0",S$4:$S61,"SW")/COUNTIF(S$4:$S61,"SW")),#N/A))</f>
        <v>#N/A</v>
      </c>
      <c r="BP61" s="489">
        <f>IF($J61="",#N/A,IF($S61="DWN",(COUNTIFS($K$4:$K61,"&lt;0",$S$4:$S61,"DWN")/COUNTIF($S$4:$S61,"DWN")),#N/A))</f>
        <v>0.52173913043478259</v>
      </c>
      <c r="BQ61" s="489" t="e">
        <f>IF($J61="",#N/A,IF($S61="UP",(COUNTIFS($K$4:$K61,"&gt;0",$S$4:$S61,"UP")/COUNTIF($S$4:$S61,"UP")),#N/A))</f>
        <v>#N/A</v>
      </c>
      <c r="BR61" s="489">
        <f>IF(J61="",#N/A,COUNTIF($K$4:K61,"&gt;0")/COUNT($J$4:J61))</f>
        <v>0.48275862068965519</v>
      </c>
      <c r="BS61" s="65" t="str">
        <f t="shared" si="29"/>
        <v/>
      </c>
      <c r="BT61" s="65" t="str">
        <f t="shared" si="30"/>
        <v/>
      </c>
      <c r="BU61" s="65">
        <f t="shared" si="31"/>
        <v>1.8934431343190481</v>
      </c>
      <c r="BV61" s="65" t="str">
        <f t="shared" si="32"/>
        <v/>
      </c>
      <c r="BW61" s="128" t="str">
        <f t="shared" si="33"/>
        <v/>
      </c>
      <c r="BX61" s="128">
        <f>IF($J61="",#N/A,SUM($BW$4:BW61))</f>
        <v>-88.570000000000164</v>
      </c>
      <c r="BY61" s="131">
        <f t="shared" si="34"/>
        <v>91.050000000000068</v>
      </c>
      <c r="BZ61" s="131">
        <f>IF($J61="",#N/A,SUM($BY$4:BY61))</f>
        <v>-176.84871953149536</v>
      </c>
      <c r="CA61" s="133" t="str">
        <f t="shared" si="35"/>
        <v/>
      </c>
      <c r="CB61" s="133">
        <f>IF($J61="",#N/A,SUM($CA$4:CA61))</f>
        <v>-274.6399760988794</v>
      </c>
      <c r="CC61" s="194" t="str">
        <f t="shared" si="36"/>
        <v/>
      </c>
      <c r="CD61" s="194">
        <f>IF($J61="",#N/A,SUM($CC$4:CC61))</f>
        <v>-1.3942783150276121</v>
      </c>
      <c r="CE61" s="195">
        <f t="shared" si="37"/>
        <v>1.8934431343190481</v>
      </c>
      <c r="CF61" s="195">
        <f>IF($J61="",#N/A,SUM($CE$4:CE61))</f>
        <v>-1.7290263469717926</v>
      </c>
      <c r="CG61" s="196" t="str">
        <f t="shared" si="38"/>
        <v/>
      </c>
      <c r="CH61" s="196">
        <f>IF($J61="",#N/A,SUM($CG$4:CG61))</f>
        <v>-4.1133990818879544</v>
      </c>
      <c r="CI61" s="200" t="str">
        <f t="shared" si="39"/>
        <v/>
      </c>
      <c r="CJ61" s="203">
        <f>IF($J61="",#N/A,SUM(CI$4:CI61))</f>
        <v>0</v>
      </c>
      <c r="CK61" s="204">
        <f t="shared" si="40"/>
        <v>1.8934431343190481</v>
      </c>
      <c r="CL61" s="204">
        <f>IF($J61="",#N/A,SUM(CK$4:CK61))</f>
        <v>1.8934431343190481</v>
      </c>
      <c r="CM61" s="205" t="str">
        <f t="shared" si="41"/>
        <v/>
      </c>
      <c r="CN61" s="205">
        <f>IF($J61="",#N/A,SUM(CM$4:CM61))</f>
        <v>0</v>
      </c>
      <c r="CO61" s="205">
        <f>IF($J61="",#N/A,SUM(CM$4:CM61,CK$4:CK61,CI$4:CI61))</f>
        <v>1.8934431343190481</v>
      </c>
      <c r="CP61" s="200" t="str">
        <f t="shared" si="42"/>
        <v/>
      </c>
      <c r="CQ61" s="203">
        <f>IF($J61="",#N/A,SUM(CP$4:CP61))</f>
        <v>0</v>
      </c>
      <c r="CR61" s="204" t="str">
        <f t="shared" si="43"/>
        <v/>
      </c>
      <c r="CS61" s="204">
        <f>IF($J61="",#N/A,SUM(CR$4:CR61))</f>
        <v>0</v>
      </c>
      <c r="CT61" s="205" t="str">
        <f t="shared" si="44"/>
        <v/>
      </c>
      <c r="CU61" s="205">
        <f>IF($J61="",#N/A,SUM(CT$4:CT61))</f>
        <v>0</v>
      </c>
      <c r="CV61" s="205">
        <f>IF($J61="",#N/A,SUM(CT$4:CT61,CR$4:CR61,CP$4:CP61))</f>
        <v>0</v>
      </c>
      <c r="CW61" s="200" t="str">
        <f t="shared" si="45"/>
        <v/>
      </c>
      <c r="CX61" s="203">
        <f>IF($J61="",#N/A,SUM(CW$4:CW61))</f>
        <v>0</v>
      </c>
      <c r="CY61" s="204" t="str">
        <f t="shared" si="46"/>
        <v/>
      </c>
      <c r="CZ61" s="204">
        <f>IF($J61="",#N/A,SUM(CY$4:CY61))</f>
        <v>-0.63271328921481373</v>
      </c>
      <c r="DA61" s="205" t="str">
        <f t="shared" si="47"/>
        <v/>
      </c>
      <c r="DB61" s="205">
        <f>IF($J61="",#N/A,SUM(DA$4:DA61))</f>
        <v>0</v>
      </c>
      <c r="DC61" s="205">
        <f>IF($J61="",#N/A,SUM(DA$4:DA61,CY$4:CY61,CW$4:CW61))</f>
        <v>-0.63271328921481373</v>
      </c>
      <c r="DD61" s="200" t="str">
        <f t="shared" si="48"/>
        <v/>
      </c>
      <c r="DE61" s="203">
        <f>IF($J61="",#N/A,SUM(DD$4:DD61))</f>
        <v>0</v>
      </c>
      <c r="DF61" s="204" t="str">
        <f t="shared" si="49"/>
        <v/>
      </c>
      <c r="DG61" s="204">
        <f>IF($J61="",#N/A,SUM(DF$4:DF61))</f>
        <v>0.6788440567066546</v>
      </c>
      <c r="DH61" s="205" t="str">
        <f t="shared" si="50"/>
        <v/>
      </c>
      <c r="DI61" s="205">
        <f>IF($J61="",#N/A,SUM(DH$4:DH61))</f>
        <v>-0.83172699364602887</v>
      </c>
      <c r="DJ61" s="205">
        <f>IF($J61="",#N/A,SUM(DH$4:DH61,DF$4:DF61,DD$4:DD61))</f>
        <v>-0.15288293693937427</v>
      </c>
      <c r="DK61" s="200" t="str">
        <f t="shared" si="51"/>
        <v/>
      </c>
      <c r="DL61" s="203">
        <f>IF($J61="",#N/A,SUM(DK$4:DK61))</f>
        <v>0</v>
      </c>
      <c r="DM61" s="204" t="str">
        <f t="shared" si="52"/>
        <v/>
      </c>
      <c r="DN61" s="204">
        <f>IF($J61="",#N/A,SUM(DM$4:DM61))</f>
        <v>0.36227168206863897</v>
      </c>
      <c r="DO61" s="205" t="str">
        <f t="shared" si="53"/>
        <v/>
      </c>
      <c r="DP61" s="205">
        <f>IF($J61="",#N/A,SUM(DO$4:DO61))</f>
        <v>-0.17018269154375754</v>
      </c>
      <c r="DQ61" s="205">
        <f>IF($J61="",#N/A,SUM(DO$4:DO61,DM$4:DM61,DK$4:DK61))</f>
        <v>0.19208899052488143</v>
      </c>
      <c r="DR61" s="200" t="str">
        <f t="shared" si="54"/>
        <v/>
      </c>
      <c r="DS61" s="203">
        <f>IF($J61="",#N/A,SUM(DR$4:DR61))</f>
        <v>0</v>
      </c>
      <c r="DT61" s="204" t="str">
        <f t="shared" si="55"/>
        <v/>
      </c>
      <c r="DU61" s="204">
        <f>IF($J61="",#N/A,SUM(DT$4:DT61))</f>
        <v>-2.8875364672150718</v>
      </c>
      <c r="DV61" s="205" t="str">
        <f t="shared" si="56"/>
        <v/>
      </c>
      <c r="DW61" s="205">
        <f>IF($J61="",#N/A,SUM(DV$4:DV61))</f>
        <v>-0.89834078198379175</v>
      </c>
      <c r="DX61" s="205">
        <f>IF($J61="",#N/A,SUM(DV$4:DV61,DT$4:DT61,DR$4:DR61))</f>
        <v>-3.7858772491988635</v>
      </c>
      <c r="DY61" s="200" t="str">
        <f t="shared" si="57"/>
        <v/>
      </c>
      <c r="DZ61" s="203">
        <f>IF($J61="",#N/A,SUM(DY$4:DY61))</f>
        <v>-1.4611133068588897</v>
      </c>
      <c r="EA61" s="204" t="str">
        <f t="shared" si="58"/>
        <v/>
      </c>
      <c r="EB61" s="204">
        <f>IF($J61="",#N/A,SUM(EA$4:EA61))</f>
        <v>-0.86716764906472754</v>
      </c>
      <c r="EC61" s="205" t="str">
        <f t="shared" si="59"/>
        <v/>
      </c>
      <c r="ED61" s="205">
        <f>IF($J61="",#N/A,SUM(EC$4:EC61))</f>
        <v>-0.12249858668611946</v>
      </c>
      <c r="EE61" s="205">
        <f>IF($J61="",#N/A,SUM(EC$4:EC61,EA$4:EA61,DY$4:DY61))</f>
        <v>-2.4507795426097365</v>
      </c>
      <c r="EF61" s="200" t="str">
        <f t="shared" si="60"/>
        <v/>
      </c>
      <c r="EG61" s="203">
        <f>IF($J61="",#N/A,SUM(EF$4:EF61))</f>
        <v>0</v>
      </c>
      <c r="EH61" s="204" t="str">
        <f t="shared" si="61"/>
        <v/>
      </c>
      <c r="EI61" s="204">
        <f>IF($J61="",#N/A,SUM(EH$4:EH61))</f>
        <v>-1.196204584775086</v>
      </c>
      <c r="EJ61" s="205" t="str">
        <f t="shared" si="62"/>
        <v/>
      </c>
      <c r="EK61" s="205">
        <f>IF($J61="",#N/A,SUM(EJ$4:EJ61))</f>
        <v>1.3436756383175479</v>
      </c>
      <c r="EL61" s="205">
        <f>IF($J61="",#N/A,SUM(EJ$4:EJ61,EH$4:EH61,EF$4:EF61))</f>
        <v>0.14747105354246193</v>
      </c>
      <c r="EM61" s="200" t="str">
        <f t="shared" si="63"/>
        <v/>
      </c>
      <c r="EN61" s="203">
        <f>IF($J61="",#N/A,SUM(EM$4:EM61))</f>
        <v>0</v>
      </c>
      <c r="EO61" s="204" t="str">
        <f t="shared" si="64"/>
        <v/>
      </c>
      <c r="EP61" s="204">
        <f>IF($J61="",#N/A,SUM(EO$4:EO61))</f>
        <v>0.61509852304831358</v>
      </c>
      <c r="EQ61" s="205" t="str">
        <f t="shared" si="65"/>
        <v/>
      </c>
      <c r="ER61" s="205">
        <f>IF($J61="",#N/A,SUM(EQ$4:EQ61))</f>
        <v>0.4926597949853756</v>
      </c>
      <c r="ES61" s="205">
        <f>IF($J61="",#N/A,SUM(EQ$4:EQ61,EO$4:EO61,EM$4:EM61))</f>
        <v>1.1077583180336892</v>
      </c>
      <c r="ET61" s="200" t="str">
        <f t="shared" si="66"/>
        <v/>
      </c>
      <c r="EU61" s="203">
        <f>IF($J61="",#N/A,SUM(ET$4:ET61))</f>
        <v>0</v>
      </c>
      <c r="EV61" s="204" t="str">
        <f t="shared" si="67"/>
        <v/>
      </c>
      <c r="EW61" s="204">
        <f>IF($J61="",#N/A,SUM(EV$4:EV61))</f>
        <v>0</v>
      </c>
      <c r="EX61" s="205" t="str">
        <f t="shared" si="68"/>
        <v/>
      </c>
      <c r="EY61" s="205">
        <f>IF($J61="",#N/A,SUM(EX$4:EX61))</f>
        <v>0</v>
      </c>
      <c r="EZ61" s="205">
        <f>IF($J61="",#N/A,SUM(EX$4:EX61,EV$4:EV61,ET$4:ET61))</f>
        <v>0</v>
      </c>
      <c r="FA61" s="200" t="str">
        <f t="shared" si="69"/>
        <v/>
      </c>
      <c r="FB61" s="203">
        <f>IF($J61="",#N/A,SUM(FA$4:FA61))</f>
        <v>0</v>
      </c>
      <c r="FC61" s="204" t="str">
        <f t="shared" si="70"/>
        <v/>
      </c>
      <c r="FD61" s="204">
        <f>IF($J61="",#N/A,SUM(FC$4:FC61))</f>
        <v>1.3724148418491529</v>
      </c>
      <c r="FE61" s="205" t="str">
        <f t="shared" si="71"/>
        <v/>
      </c>
      <c r="FF61" s="205">
        <f>IF($J61="",#N/A,SUM(FE$4:FE61))</f>
        <v>-0.78910661809515037</v>
      </c>
      <c r="FG61" s="205">
        <f>IF($J61="",#N/A,SUM(FE$4:FE61,FC$4:FC61,FA$4:FA61))</f>
        <v>0.58330822375400249</v>
      </c>
      <c r="FH61" s="200" t="str">
        <f t="shared" si="72"/>
        <v/>
      </c>
      <c r="FI61" s="203">
        <f>IF($J61="",#N/A,SUM(FH$4:FH61))</f>
        <v>0</v>
      </c>
      <c r="FJ61" s="204" t="str">
        <f t="shared" si="73"/>
        <v/>
      </c>
      <c r="FK61" s="204">
        <f>IF($J61="",#N/A,SUM(FJ$4:FJ61))</f>
        <v>0</v>
      </c>
      <c r="FL61" s="205" t="str">
        <f t="shared" si="74"/>
        <v/>
      </c>
      <c r="FM61" s="205">
        <f>IF($J61="",#N/A,SUM(FL$4:FL61))</f>
        <v>0</v>
      </c>
      <c r="FN61" s="205">
        <f>IF($J61="",#N/A,SUM(FL$4:FL61,FJ$4:FJ61,FH$4:FH61))</f>
        <v>0</v>
      </c>
      <c r="FO61" s="200" t="str">
        <f t="shared" si="75"/>
        <v/>
      </c>
      <c r="FP61" s="203">
        <f>IF($J61="",#N/A,SUM(FO$4:FO61))</f>
        <v>0</v>
      </c>
      <c r="FQ61" s="204" t="str">
        <f t="shared" si="76"/>
        <v/>
      </c>
      <c r="FR61" s="204">
        <f>IF($J61="",#N/A,SUM(FQ$4:FQ61))</f>
        <v>0</v>
      </c>
      <c r="FS61" s="205" t="str">
        <f t="shared" si="77"/>
        <v/>
      </c>
      <c r="FT61" s="205">
        <f>IF($J61="",#N/A,SUM(FS$4:FS61))</f>
        <v>0</v>
      </c>
      <c r="FU61" s="205">
        <f>IF($J61="",#N/A,SUM(FS$4:FS61,FQ$4:FQ61,FO$4:FO61))</f>
        <v>0</v>
      </c>
      <c r="FV61" s="200" t="str">
        <f t="shared" si="78"/>
        <v/>
      </c>
      <c r="FW61" s="203">
        <f>IF($J61="",#N/A,SUM(FV$4:FV61))</f>
        <v>6.6834991831277585E-2</v>
      </c>
      <c r="FX61" s="204" t="str">
        <f t="shared" si="79"/>
        <v/>
      </c>
      <c r="FY61" s="204">
        <f>IF($J61="",#N/A,SUM(FX$4:FX61))</f>
        <v>0</v>
      </c>
      <c r="FZ61" s="205" t="str">
        <f t="shared" si="80"/>
        <v/>
      </c>
      <c r="GA61" s="205">
        <f>IF($J61="",#N/A,SUM(FZ$4:FZ61))</f>
        <v>-0.20104261551371039</v>
      </c>
      <c r="GB61" s="205">
        <f>IF($J61="",#N/A,SUM(FZ$4:FZ61,FX$4:FX61,FV$4:FV61))</f>
        <v>-0.1342076236824328</v>
      </c>
      <c r="GC61" s="200" t="str">
        <f t="shared" si="81"/>
        <v/>
      </c>
      <c r="GD61" s="203">
        <f>IF($J61="",#N/A,SUM(GC$4:GC61))</f>
        <v>0</v>
      </c>
      <c r="GE61" s="204" t="str">
        <f t="shared" si="82"/>
        <v/>
      </c>
      <c r="GF61" s="204">
        <f>IF($J61="",#N/A,SUM(GE$4:GE61))</f>
        <v>0</v>
      </c>
      <c r="GG61" s="205" t="str">
        <f t="shared" si="83"/>
        <v/>
      </c>
      <c r="GH61" s="205">
        <f>IF($J61="",#N/A,SUM(GG$4:GG61))</f>
        <v>-2.9368362277223206</v>
      </c>
      <c r="GI61" s="205">
        <f>IF($J61="",#N/A,SUM(GG$4:GG61,GE$4:GE61,GC$4:GC61))</f>
        <v>-2.9368362277223206</v>
      </c>
      <c r="GJ61" s="200" t="str">
        <f t="shared" si="84"/>
        <v/>
      </c>
      <c r="GK61" s="203">
        <f>IF($J61="",#N/A,SUM(GJ$4:GJ61))</f>
        <v>0</v>
      </c>
      <c r="GL61" s="204" t="str">
        <f t="shared" si="85"/>
        <v/>
      </c>
      <c r="GM61" s="204">
        <f>IF($J61="",#N/A,SUM(GL$4:GL61))</f>
        <v>-1.0674765946939027</v>
      </c>
      <c r="GN61" s="205" t="str">
        <f t="shared" si="86"/>
        <v/>
      </c>
      <c r="GO61" s="205">
        <f>IF($J61="",#N/A,SUM(GN$4:GN61))</f>
        <v>0</v>
      </c>
      <c r="GP61" s="205">
        <f>IF($J61="",#N/A,SUM(GN$4:GN61,GL$4:GL61,GJ$4:GJ61))</f>
        <v>-1.0674765946939027</v>
      </c>
      <c r="GS61" s="54">
        <f t="shared" si="105"/>
        <v>1.8934431343190481</v>
      </c>
      <c r="GT61" s="54">
        <f>IF(GS61="",NA(),SUM($GS$4:GS61))</f>
        <v>-7.4386925568146456</v>
      </c>
      <c r="GU61" s="54" t="str">
        <f t="shared" si="87"/>
        <v/>
      </c>
      <c r="GV61" s="54" t="e">
        <f>IF(GU61="",NA(),SUM($GU$4:GU61))</f>
        <v>#N/A</v>
      </c>
      <c r="GW61" s="54" t="str">
        <f t="shared" si="88"/>
        <v/>
      </c>
      <c r="GX61" s="54" t="e">
        <f>IF(GW61="",NA(),SUM($GW$4:GW61))</f>
        <v>#N/A</v>
      </c>
      <c r="GY61" s="54">
        <f t="shared" si="89"/>
        <v>1.8934431343190481</v>
      </c>
      <c r="GZ61" s="54">
        <f>IF(GY61="",NA(),SUM($GY$4:GY61))</f>
        <v>-1.7290263469717926</v>
      </c>
      <c r="HA61" s="54" t="str">
        <f t="shared" si="90"/>
        <v/>
      </c>
      <c r="HB61" s="54" t="e">
        <f>IF(HA61="",NA(),SUM($HA$4:HA61))</f>
        <v>#N/A</v>
      </c>
      <c r="HC61" s="54" t="str">
        <f t="shared" si="91"/>
        <v/>
      </c>
      <c r="HD61" s="54" t="e">
        <f>IF(HC61="",NA(),SUM($HC$4:HC61))</f>
        <v>#N/A</v>
      </c>
      <c r="HE61" s="54" t="str">
        <f t="shared" si="92"/>
        <v/>
      </c>
      <c r="HF61" s="54" t="e">
        <f>IF(HE61="",NA(),SUM($HE$4:HE61))</f>
        <v>#N/A</v>
      </c>
      <c r="HG61" s="54" t="str">
        <f t="shared" si="93"/>
        <v/>
      </c>
      <c r="HH61" s="54" t="e">
        <f>IF(HG61="",NA(),SUM($HG$4:HG61))</f>
        <v>#N/A</v>
      </c>
      <c r="HI61" s="172">
        <f t="shared" si="106"/>
        <v>0.69873354544887412</v>
      </c>
      <c r="HJ61" s="172">
        <f>IF($J61="",#N/A,SUM(HI$4:$HI61))</f>
        <v>-1.0497124168140199</v>
      </c>
      <c r="HK61" s="54" t="str">
        <f t="shared" si="94"/>
        <v/>
      </c>
      <c r="HL61" s="54">
        <f>IF($J61="",#N/A,SUM($HK$4:HK61))</f>
        <v>-2.7297060402078941</v>
      </c>
      <c r="HM61" s="54" t="str">
        <f t="shared" si="95"/>
        <v/>
      </c>
      <c r="HN61" s="54">
        <f>IF($J61="",#N/A,SUM($HM$4:HM61))</f>
        <v>0.80449527204317051</v>
      </c>
      <c r="HO61" s="54" t="str">
        <f t="shared" si="96"/>
        <v/>
      </c>
      <c r="HP61" s="54">
        <f>IF($J61="",#N/A,SUM($HO$4:HO61))</f>
        <v>-0.64837295089680658</v>
      </c>
      <c r="HQ61" s="54" t="str">
        <f t="shared" si="97"/>
        <v/>
      </c>
      <c r="HR61" s="54">
        <f>IF($J61="",#N/A,SUM($HQ$4:HQ61))</f>
        <v>-1.9483400389149597</v>
      </c>
      <c r="HS61" s="54" t="str">
        <f t="shared" si="98"/>
        <v/>
      </c>
      <c r="HT61" s="54">
        <f>IF($J61="",#N/A,SUM($HS$4:HS61))</f>
        <v>5.1148329712430227</v>
      </c>
      <c r="HU61" s="65">
        <f t="shared" si="99"/>
        <v>2.5921766797679222</v>
      </c>
      <c r="HV61" s="65">
        <f>IF($J61="",#N/A,SUM(HU$4:$HU61))</f>
        <v>-7.6935069474348481</v>
      </c>
    </row>
    <row r="62" spans="1:230" x14ac:dyDescent="0.25">
      <c r="A62" s="76" t="s">
        <v>1372</v>
      </c>
      <c r="B62" s="52" t="s">
        <v>4502</v>
      </c>
      <c r="C62" s="229">
        <f t="shared" si="0"/>
        <v>3</v>
      </c>
      <c r="D62" s="219" t="str">
        <f>_xlfn.XLOOKUP(A62,[1]SP500!$A$2:$A$502,[1]SP500!$D$2:$D$502,"N")</f>
        <v>Y</v>
      </c>
      <c r="E62" s="51" t="str">
        <f>IFERROR(_xlfn.XLOOKUP(A62,[1]SP500!$A$2:$A$655,[1]SP500!$B$2:$B$655),"")</f>
        <v>XLF</v>
      </c>
      <c r="F62" s="53">
        <v>45769</v>
      </c>
      <c r="G62" s="51" t="str">
        <f t="shared" si="1"/>
        <v>AMC</v>
      </c>
      <c r="H62" s="51" t="str">
        <f t="shared" si="2"/>
        <v>s</v>
      </c>
      <c r="I62" s="344">
        <v>170.2</v>
      </c>
      <c r="J62" s="123">
        <v>177</v>
      </c>
      <c r="K62" s="55">
        <f t="shared" si="3"/>
        <v>3.9952996474735672E-2</v>
      </c>
      <c r="L62" s="67">
        <f t="shared" si="4"/>
        <v>34</v>
      </c>
      <c r="M62" s="57">
        <f t="shared" si="5"/>
        <v>5</v>
      </c>
      <c r="N62" s="155">
        <f t="shared" si="6"/>
        <v>34</v>
      </c>
      <c r="O62" s="156">
        <f>IF(N62="",#N/A,SUM($N$4:N62))</f>
        <v>-506.05869563037493</v>
      </c>
      <c r="P62" s="65">
        <f t="shared" si="100"/>
        <v>0.66588327457892682</v>
      </c>
      <c r="Q62" s="172">
        <f>IF($N62="",#N/A,SUM($P$4:P62))</f>
        <v>-6.570820469308436</v>
      </c>
      <c r="R62" s="279">
        <f t="shared" si="7"/>
        <v>1.878304852095126</v>
      </c>
      <c r="S62" s="51" t="str">
        <f t="shared" si="8"/>
        <v>SW</v>
      </c>
      <c r="T62" s="51" t="s">
        <v>2828</v>
      </c>
      <c r="U62" s="56">
        <f t="shared" si="9"/>
        <v>170.2</v>
      </c>
      <c r="V62" s="56" t="s">
        <v>4460</v>
      </c>
      <c r="W62" s="142">
        <v>5</v>
      </c>
      <c r="X62" s="145">
        <f t="shared" si="10"/>
        <v>851</v>
      </c>
      <c r="Y62" s="140">
        <f t="shared" si="11"/>
        <v>5</v>
      </c>
      <c r="Z62" s="123">
        <v>178</v>
      </c>
      <c r="AA62" s="102">
        <f t="shared" si="12"/>
        <v>39</v>
      </c>
      <c r="AB62" s="102">
        <f t="shared" si="13"/>
        <v>31.300000000000068</v>
      </c>
      <c r="AC62" s="124">
        <v>176.46</v>
      </c>
      <c r="AD62" s="155">
        <f t="shared" si="14"/>
        <v>31.300000000000068</v>
      </c>
      <c r="AE62" s="545">
        <f t="shared" si="15"/>
        <v>0.61300430865648392</v>
      </c>
      <c r="AF62" s="57">
        <f>IF($AC62="",#N/A,SUM(AD$4:AD62))</f>
        <v>-522.50582025503161</v>
      </c>
      <c r="AG62" s="102">
        <f t="shared" si="16"/>
        <v>-2.6999999999999318</v>
      </c>
      <c r="AH62" s="56" t="s">
        <v>2507</v>
      </c>
      <c r="AI62" s="65">
        <f t="shared" si="17"/>
        <v>0.76380728554641608</v>
      </c>
      <c r="AJ62" s="54">
        <f>IF(AI62="",#N/A,SUM($AI$4:AI62))</f>
        <v>-8.449125321403562</v>
      </c>
      <c r="AK62" s="57">
        <f t="shared" si="18"/>
        <v>39</v>
      </c>
      <c r="AL62" s="58">
        <f>IF(AI62="",#N/A,IF(AH62="Skip",SUM($AK$4:AK62),SUM($AK$4:AK62)))</f>
        <v>-648.78999999999928</v>
      </c>
      <c r="AM62" s="65">
        <f t="shared" si="101"/>
        <v>0.61300430865648392</v>
      </c>
      <c r="AN62" s="209"/>
      <c r="AO62" s="65">
        <f t="shared" si="19"/>
        <v>0.61300430865648392</v>
      </c>
      <c r="AP62" s="65">
        <f>IF($AC62="",#N/A,SUM(AO$4:AO62))</f>
        <v>-0.33390184090340891</v>
      </c>
      <c r="AQ62" s="65" t="str">
        <f t="shared" si="20"/>
        <v/>
      </c>
      <c r="AR62" s="65">
        <f>IF($AC62="",#N/A,SUM(AQ$4:AQ62))</f>
        <v>-1.2381559938812483</v>
      </c>
      <c r="AS62" s="65" t="str">
        <f t="shared" si="21"/>
        <v/>
      </c>
      <c r="AT62" s="65">
        <f>IF($AC62="",#N/A,SUM(AS$4:AS62))</f>
        <v>-5.5084448039937079</v>
      </c>
      <c r="AU62" s="57">
        <f t="shared" si="102"/>
        <v>31.300000000000068</v>
      </c>
      <c r="AV62" s="57">
        <f>IF($AC62="",#N/A,SUM(AU$4:AU62))</f>
        <v>-32.927447352215609</v>
      </c>
      <c r="AW62" s="57" t="str">
        <f t="shared" si="103"/>
        <v/>
      </c>
      <c r="AX62" s="57">
        <f>IF($AC62="",#N/A,SUM(AW$4:AW62))</f>
        <v>-74.660000000000196</v>
      </c>
      <c r="AY62" s="56" t="str">
        <f t="shared" si="104"/>
        <v/>
      </c>
      <c r="AZ62" s="57">
        <f>IF($AC62="",#N/A,SUM(AY$4:AY62))</f>
        <v>-414.9183729028158</v>
      </c>
      <c r="BA62" s="57">
        <f>IF(AD62="",#N/A,SUM($AD$4:AD62))</f>
        <v>-522.50582025503161</v>
      </c>
      <c r="BC62" s="51" t="str">
        <f t="shared" si="22"/>
        <v/>
      </c>
      <c r="BD62" s="51" t="str">
        <f t="shared" si="23"/>
        <v/>
      </c>
      <c r="BE62" s="51">
        <f t="shared" si="24"/>
        <v>1</v>
      </c>
      <c r="BF62" s="51" t="str">
        <f t="shared" si="25"/>
        <v>Long</v>
      </c>
      <c r="BG62" s="51" t="str">
        <f t="shared" si="26"/>
        <v/>
      </c>
      <c r="BH62" s="51" t="str">
        <f t="shared" si="27"/>
        <v/>
      </c>
      <c r="BI62" s="51" t="str">
        <f t="shared" si="28"/>
        <v/>
      </c>
      <c r="BK62" s="65">
        <f t="shared" si="108"/>
        <v>-0.1071897128145116</v>
      </c>
      <c r="BL62" s="65">
        <f t="shared" si="107"/>
        <v>-0.14958849930717708</v>
      </c>
      <c r="BM62" s="65">
        <f>IFERROR(Q62/COUNTA($J$4:J62),#N/A)</f>
        <v>-0.11136983846285485</v>
      </c>
      <c r="BO62" s="489">
        <f>IF(J62="",#N/A,IF(S62="SW",(COUNTIFS(K$4:$K62,"&gt;0",S$4:$S62,"SW")/COUNTIF(S$4:$S62,"SW")),#N/A))</f>
        <v>0.5</v>
      </c>
      <c r="BP62" s="489" t="e">
        <f>IF($J62="",#N/A,IF($S62="DWN",(COUNTIFS($K$4:$K62,"&lt;0",$S$4:$S62,"DWN")/COUNTIF($S$4:$S62,"DWN")),#N/A))</f>
        <v>#N/A</v>
      </c>
      <c r="BQ62" s="489" t="e">
        <f>IF($J62="",#N/A,IF($S62="UP",(COUNTIFS($K$4:$K62,"&gt;0",$S$4:$S62,"UP")/COUNTIF($S$4:$S62,"UP")),#N/A))</f>
        <v>#N/A</v>
      </c>
      <c r="BR62" s="489">
        <f>IF(J62="",#N/A,COUNTIF($K$4:K62,"&gt;0")/COUNT($J$4:J62))</f>
        <v>0.49152542372881358</v>
      </c>
      <c r="BS62" s="65">
        <f t="shared" si="29"/>
        <v>0.66588327457892682</v>
      </c>
      <c r="BT62" s="65" t="str">
        <f t="shared" si="30"/>
        <v/>
      </c>
      <c r="BU62" s="65" t="str">
        <f t="shared" si="31"/>
        <v/>
      </c>
      <c r="BV62" s="65" t="str">
        <f t="shared" si="32"/>
        <v/>
      </c>
      <c r="BW62" s="151" t="str">
        <f t="shared" si="33"/>
        <v/>
      </c>
      <c r="BX62" s="151">
        <f>IF($J62="",#N/A,SUM($BW$4:BW62))</f>
        <v>-88.570000000000164</v>
      </c>
      <c r="BY62" s="152" t="str">
        <f t="shared" si="34"/>
        <v/>
      </c>
      <c r="BZ62" s="152">
        <f>IF($J62="",#N/A,SUM($BY$4:BY62))</f>
        <v>-176.84871953149536</v>
      </c>
      <c r="CA62" s="153">
        <f t="shared" si="35"/>
        <v>34</v>
      </c>
      <c r="CB62" s="154">
        <f>IF($J62="",#N/A,SUM($CA$4:CA62))</f>
        <v>-240.6399760988794</v>
      </c>
      <c r="CC62" s="191" t="str">
        <f t="shared" si="36"/>
        <v/>
      </c>
      <c r="CD62" s="191">
        <f>IF($J62="",#N/A,SUM($CC$4:CC62))</f>
        <v>-1.3942783150276121</v>
      </c>
      <c r="CE62" s="192" t="str">
        <f t="shared" si="37"/>
        <v/>
      </c>
      <c r="CF62" s="192">
        <f>IF($J62="",#N/A,SUM($CE$4:CE62))</f>
        <v>-1.7290263469717926</v>
      </c>
      <c r="CG62" s="193">
        <f t="shared" si="38"/>
        <v>0.66588327457892682</v>
      </c>
      <c r="CH62" s="193">
        <f>IF($J62="",#N/A,SUM($CG$4:CG62))</f>
        <v>-3.4475158073090277</v>
      </c>
      <c r="CI62" s="200" t="str">
        <f t="shared" si="39"/>
        <v/>
      </c>
      <c r="CJ62" s="200">
        <f>IF($J62="",#N/A,SUM(CI$4:CI62))</f>
        <v>0</v>
      </c>
      <c r="CK62" s="201" t="str">
        <f t="shared" si="40"/>
        <v/>
      </c>
      <c r="CL62" s="201">
        <f>IF($J62="",#N/A,SUM(CK$4:CK62))</f>
        <v>1.8934431343190481</v>
      </c>
      <c r="CM62" s="202" t="str">
        <f t="shared" si="41"/>
        <v/>
      </c>
      <c r="CN62" s="202">
        <f>IF($J62="",#N/A,SUM(CM$4:CM62))</f>
        <v>0</v>
      </c>
      <c r="CO62" s="202">
        <f>IF($J62="",#N/A,SUM(CM$4:CM62,CK$4:CK62,CI$4:CI62))</f>
        <v>1.8934431343190481</v>
      </c>
      <c r="CP62" s="200" t="str">
        <f t="shared" si="42"/>
        <v/>
      </c>
      <c r="CQ62" s="200">
        <f>IF($J62="",#N/A,SUM(CP$4:CP62))</f>
        <v>0</v>
      </c>
      <c r="CR62" s="201" t="str">
        <f t="shared" si="43"/>
        <v/>
      </c>
      <c r="CS62" s="201">
        <f>IF($J62="",#N/A,SUM(CR$4:CR62))</f>
        <v>0</v>
      </c>
      <c r="CT62" s="202" t="str">
        <f t="shared" si="44"/>
        <v/>
      </c>
      <c r="CU62" s="202">
        <f>IF($J62="",#N/A,SUM(CT$4:CT62))</f>
        <v>0</v>
      </c>
      <c r="CV62" s="202">
        <f>IF($J62="",#N/A,SUM(CT$4:CT62,CR$4:CR62,CP$4:CP62))</f>
        <v>0</v>
      </c>
      <c r="CW62" s="200" t="str">
        <f t="shared" si="45"/>
        <v/>
      </c>
      <c r="CX62" s="200">
        <f>IF($J62="",#N/A,SUM(CW$4:CW62))</f>
        <v>0</v>
      </c>
      <c r="CY62" s="201" t="str">
        <f t="shared" si="46"/>
        <v/>
      </c>
      <c r="CZ62" s="201">
        <f>IF($J62="",#N/A,SUM(CY$4:CY62))</f>
        <v>-0.63271328921481373</v>
      </c>
      <c r="DA62" s="202" t="str">
        <f t="shared" si="47"/>
        <v/>
      </c>
      <c r="DB62" s="202">
        <f>IF($J62="",#N/A,SUM(DA$4:DA62))</f>
        <v>0</v>
      </c>
      <c r="DC62" s="202">
        <f>IF($J62="",#N/A,SUM(DA$4:DA62,CY$4:CY62,CW$4:CW62))</f>
        <v>-0.63271328921481373</v>
      </c>
      <c r="DD62" s="200" t="str">
        <f t="shared" si="48"/>
        <v/>
      </c>
      <c r="DE62" s="200">
        <f>IF($J62="",#N/A,SUM(DD$4:DD62))</f>
        <v>0</v>
      </c>
      <c r="DF62" s="201" t="str">
        <f t="shared" si="49"/>
        <v/>
      </c>
      <c r="DG62" s="201">
        <f>IF($J62="",#N/A,SUM(DF$4:DF62))</f>
        <v>0.6788440567066546</v>
      </c>
      <c r="DH62" s="202" t="str">
        <f t="shared" si="50"/>
        <v/>
      </c>
      <c r="DI62" s="202">
        <f>IF($J62="",#N/A,SUM(DH$4:DH62))</f>
        <v>-0.83172699364602887</v>
      </c>
      <c r="DJ62" s="202">
        <f>IF($J62="",#N/A,SUM(DH$4:DH62,DF$4:DF62,DD$4:DD62))</f>
        <v>-0.15288293693937427</v>
      </c>
      <c r="DK62" s="200" t="str">
        <f t="shared" si="51"/>
        <v/>
      </c>
      <c r="DL62" s="200">
        <f>IF($J62="",#N/A,SUM(DK$4:DK62))</f>
        <v>0</v>
      </c>
      <c r="DM62" s="201" t="str">
        <f t="shared" si="52"/>
        <v/>
      </c>
      <c r="DN62" s="201">
        <f>IF($J62="",#N/A,SUM(DM$4:DM62))</f>
        <v>0.36227168206863897</v>
      </c>
      <c r="DO62" s="202" t="str">
        <f t="shared" si="53"/>
        <v/>
      </c>
      <c r="DP62" s="202">
        <f>IF($J62="",#N/A,SUM(DO$4:DO62))</f>
        <v>-0.17018269154375754</v>
      </c>
      <c r="DQ62" s="202">
        <f>IF($J62="",#N/A,SUM(DO$4:DO62,DM$4:DM62,DK$4:DK62))</f>
        <v>0.19208899052488143</v>
      </c>
      <c r="DR62" s="200" t="str">
        <f t="shared" si="54"/>
        <v/>
      </c>
      <c r="DS62" s="200">
        <f>IF($J62="",#N/A,SUM(DR$4:DR62))</f>
        <v>0</v>
      </c>
      <c r="DT62" s="201" t="str">
        <f t="shared" si="55"/>
        <v/>
      </c>
      <c r="DU62" s="201">
        <f>IF($J62="",#N/A,SUM(DT$4:DT62))</f>
        <v>-2.8875364672150718</v>
      </c>
      <c r="DV62" s="202">
        <f t="shared" si="56"/>
        <v>0.66588327457892682</v>
      </c>
      <c r="DW62" s="202">
        <f>IF($J62="",#N/A,SUM(DV$4:DV62))</f>
        <v>-0.23245750740486493</v>
      </c>
      <c r="DX62" s="202">
        <f>IF($J62="",#N/A,SUM(DV$4:DV62,DT$4:DT62,DR$4:DR62))</f>
        <v>-3.1199939746199368</v>
      </c>
      <c r="DY62" s="200" t="str">
        <f t="shared" si="57"/>
        <v/>
      </c>
      <c r="DZ62" s="200">
        <f>IF($J62="",#N/A,SUM(DY$4:DY62))</f>
        <v>-1.4611133068588897</v>
      </c>
      <c r="EA62" s="201" t="str">
        <f t="shared" si="58"/>
        <v/>
      </c>
      <c r="EB62" s="201">
        <f>IF($J62="",#N/A,SUM(EA$4:EA62))</f>
        <v>-0.86716764906472754</v>
      </c>
      <c r="EC62" s="202" t="str">
        <f t="shared" si="59"/>
        <v/>
      </c>
      <c r="ED62" s="202">
        <f>IF($J62="",#N/A,SUM(EC$4:EC62))</f>
        <v>-0.12249858668611946</v>
      </c>
      <c r="EE62" s="202">
        <f>IF($J62="",#N/A,SUM(EC$4:EC62,EA$4:EA62,DY$4:DY62))</f>
        <v>-2.4507795426097365</v>
      </c>
      <c r="EF62" s="200" t="str">
        <f t="shared" si="60"/>
        <v/>
      </c>
      <c r="EG62" s="200">
        <f>IF($J62="",#N/A,SUM(EF$4:EF62))</f>
        <v>0</v>
      </c>
      <c r="EH62" s="201" t="str">
        <f t="shared" si="61"/>
        <v/>
      </c>
      <c r="EI62" s="201">
        <f>IF($J62="",#N/A,SUM(EH$4:EH62))</f>
        <v>-1.196204584775086</v>
      </c>
      <c r="EJ62" s="202" t="str">
        <f t="shared" si="62"/>
        <v/>
      </c>
      <c r="EK62" s="202">
        <f>IF($J62="",#N/A,SUM(EJ$4:EJ62))</f>
        <v>1.3436756383175479</v>
      </c>
      <c r="EL62" s="202">
        <f>IF($J62="",#N/A,SUM(EJ$4:EJ62,EH$4:EH62,EF$4:EF62))</f>
        <v>0.14747105354246193</v>
      </c>
      <c r="EM62" s="200" t="str">
        <f t="shared" si="63"/>
        <v/>
      </c>
      <c r="EN62" s="200">
        <f>IF($J62="",#N/A,SUM(EM$4:EM62))</f>
        <v>0</v>
      </c>
      <c r="EO62" s="201" t="str">
        <f t="shared" si="64"/>
        <v/>
      </c>
      <c r="EP62" s="201">
        <f>IF($J62="",#N/A,SUM(EO$4:EO62))</f>
        <v>0.61509852304831358</v>
      </c>
      <c r="EQ62" s="202" t="str">
        <f t="shared" si="65"/>
        <v/>
      </c>
      <c r="ER62" s="202">
        <f>IF($J62="",#N/A,SUM(EQ$4:EQ62))</f>
        <v>0.4926597949853756</v>
      </c>
      <c r="ES62" s="202">
        <f>IF($J62="",#N/A,SUM(EQ$4:EQ62,EO$4:EO62,EM$4:EM62))</f>
        <v>1.1077583180336892</v>
      </c>
      <c r="ET62" s="200" t="str">
        <f t="shared" si="66"/>
        <v/>
      </c>
      <c r="EU62" s="200">
        <f>IF($J62="",#N/A,SUM(ET$4:ET62))</f>
        <v>0</v>
      </c>
      <c r="EV62" s="201" t="str">
        <f t="shared" si="67"/>
        <v/>
      </c>
      <c r="EW62" s="201">
        <f>IF($J62="",#N/A,SUM(EV$4:EV62))</f>
        <v>0</v>
      </c>
      <c r="EX62" s="202" t="str">
        <f t="shared" si="68"/>
        <v/>
      </c>
      <c r="EY62" s="202">
        <f>IF($J62="",#N/A,SUM(EX$4:EX62))</f>
        <v>0</v>
      </c>
      <c r="EZ62" s="202">
        <f>IF($J62="",#N/A,SUM(EX$4:EX62,EV$4:EV62,ET$4:ET62))</f>
        <v>0</v>
      </c>
      <c r="FA62" s="200" t="str">
        <f t="shared" si="69"/>
        <v/>
      </c>
      <c r="FB62" s="200">
        <f>IF($J62="",#N/A,SUM(FA$4:FA62))</f>
        <v>0</v>
      </c>
      <c r="FC62" s="201" t="str">
        <f t="shared" si="70"/>
        <v/>
      </c>
      <c r="FD62" s="201">
        <f>IF($J62="",#N/A,SUM(FC$4:FC62))</f>
        <v>1.3724148418491529</v>
      </c>
      <c r="FE62" s="202" t="str">
        <f t="shared" si="71"/>
        <v/>
      </c>
      <c r="FF62" s="202">
        <f>IF($J62="",#N/A,SUM(FE$4:FE62))</f>
        <v>-0.78910661809515037</v>
      </c>
      <c r="FG62" s="202">
        <f>IF($J62="",#N/A,SUM(FE$4:FE62,FC$4:FC62,FA$4:FA62))</f>
        <v>0.58330822375400249</v>
      </c>
      <c r="FH62" s="200" t="str">
        <f t="shared" si="72"/>
        <v/>
      </c>
      <c r="FI62" s="200">
        <f>IF($J62="",#N/A,SUM(FH$4:FH62))</f>
        <v>0</v>
      </c>
      <c r="FJ62" s="201" t="str">
        <f t="shared" si="73"/>
        <v/>
      </c>
      <c r="FK62" s="201">
        <f>IF($J62="",#N/A,SUM(FJ$4:FJ62))</f>
        <v>0</v>
      </c>
      <c r="FL62" s="202" t="str">
        <f t="shared" si="74"/>
        <v/>
      </c>
      <c r="FM62" s="202">
        <f>IF($J62="",#N/A,SUM(FL$4:FL62))</f>
        <v>0</v>
      </c>
      <c r="FN62" s="202">
        <f>IF($J62="",#N/A,SUM(FL$4:FL62,FJ$4:FJ62,FH$4:FH62))</f>
        <v>0</v>
      </c>
      <c r="FO62" s="200" t="str">
        <f t="shared" si="75"/>
        <v/>
      </c>
      <c r="FP62" s="200">
        <f>IF($J62="",#N/A,SUM(FO$4:FO62))</f>
        <v>0</v>
      </c>
      <c r="FQ62" s="201" t="str">
        <f t="shared" si="76"/>
        <v/>
      </c>
      <c r="FR62" s="201">
        <f>IF($J62="",#N/A,SUM(FQ$4:FQ62))</f>
        <v>0</v>
      </c>
      <c r="FS62" s="202" t="str">
        <f t="shared" si="77"/>
        <v/>
      </c>
      <c r="FT62" s="202">
        <f>IF($J62="",#N/A,SUM(FS$4:FS62))</f>
        <v>0</v>
      </c>
      <c r="FU62" s="202">
        <f>IF($J62="",#N/A,SUM(FS$4:FS62,FQ$4:FQ62,FO$4:FO62))</f>
        <v>0</v>
      </c>
      <c r="FV62" s="200" t="str">
        <f t="shared" si="78"/>
        <v/>
      </c>
      <c r="FW62" s="200">
        <f>IF($J62="",#N/A,SUM(FV$4:FV62))</f>
        <v>6.6834991831277585E-2</v>
      </c>
      <c r="FX62" s="201" t="str">
        <f t="shared" si="79"/>
        <v/>
      </c>
      <c r="FY62" s="201">
        <f>IF($J62="",#N/A,SUM(FX$4:FX62))</f>
        <v>0</v>
      </c>
      <c r="FZ62" s="202" t="str">
        <f t="shared" si="80"/>
        <v/>
      </c>
      <c r="GA62" s="202">
        <f>IF($J62="",#N/A,SUM(FZ$4:FZ62))</f>
        <v>-0.20104261551371039</v>
      </c>
      <c r="GB62" s="202">
        <f>IF($J62="",#N/A,SUM(FZ$4:FZ62,FX$4:FX62,FV$4:FV62))</f>
        <v>-0.1342076236824328</v>
      </c>
      <c r="GC62" s="200" t="str">
        <f t="shared" si="81"/>
        <v/>
      </c>
      <c r="GD62" s="200">
        <f>IF($J62="",#N/A,SUM(GC$4:GC62))</f>
        <v>0</v>
      </c>
      <c r="GE62" s="201" t="str">
        <f t="shared" si="82"/>
        <v/>
      </c>
      <c r="GF62" s="201">
        <f>IF($J62="",#N/A,SUM(GE$4:GE62))</f>
        <v>0</v>
      </c>
      <c r="GG62" s="202" t="str">
        <f t="shared" si="83"/>
        <v/>
      </c>
      <c r="GH62" s="202">
        <f>IF($J62="",#N/A,SUM(GG$4:GG62))</f>
        <v>-2.9368362277223206</v>
      </c>
      <c r="GI62" s="202">
        <f>IF($J62="",#N/A,SUM(GG$4:GG62,GE$4:GE62,GC$4:GC62))</f>
        <v>-2.9368362277223206</v>
      </c>
      <c r="GJ62" s="200" t="str">
        <f t="shared" si="84"/>
        <v/>
      </c>
      <c r="GK62" s="200">
        <f>IF($J62="",#N/A,SUM(GJ$4:GJ62))</f>
        <v>0</v>
      </c>
      <c r="GL62" s="201" t="str">
        <f t="shared" si="85"/>
        <v/>
      </c>
      <c r="GM62" s="201">
        <f>IF($J62="",#N/A,SUM(GL$4:GL62))</f>
        <v>-1.0674765946939027</v>
      </c>
      <c r="GN62" s="202" t="str">
        <f t="shared" si="86"/>
        <v/>
      </c>
      <c r="GO62" s="202">
        <f>IF($J62="",#N/A,SUM(GN$4:GN62))</f>
        <v>0</v>
      </c>
      <c r="GP62" s="202">
        <f>IF($J62="",#N/A,SUM(GN$4:GN62,GL$4:GL62,GJ$4:GJ62))</f>
        <v>-1.0674765946939027</v>
      </c>
      <c r="GS62" s="54">
        <f t="shared" si="105"/>
        <v>0.66588327457892682</v>
      </c>
      <c r="GT62" s="54">
        <f>IF(GS62="",NA(),SUM($GS$4:GS62))</f>
        <v>-6.7728092822357189</v>
      </c>
      <c r="GU62" s="54" t="str">
        <f t="shared" si="87"/>
        <v/>
      </c>
      <c r="GV62" s="54" t="e">
        <f>IF(GU62="",NA(),SUM($GU$4:GU62))</f>
        <v>#N/A</v>
      </c>
      <c r="GW62" s="54">
        <f t="shared" si="88"/>
        <v>0.66588327457892682</v>
      </c>
      <c r="GX62" s="54">
        <f>IF(GW62="",NA(),SUM($GW$4:GW62))</f>
        <v>-3.6495046202363133</v>
      </c>
      <c r="GY62" s="54" t="str">
        <f t="shared" si="89"/>
        <v/>
      </c>
      <c r="GZ62" s="54" t="e">
        <f>IF(GY62="",NA(),SUM($GY$4:GY62))</f>
        <v>#N/A</v>
      </c>
      <c r="HA62" s="54" t="str">
        <f t="shared" si="90"/>
        <v/>
      </c>
      <c r="HB62" s="54" t="e">
        <f>IF(HA62="",NA(),SUM($HA$4:HA62))</f>
        <v>#N/A</v>
      </c>
      <c r="HC62" s="54" t="str">
        <f t="shared" si="91"/>
        <v/>
      </c>
      <c r="HD62" s="54" t="e">
        <f>IF(HC62="",NA(),SUM($HC$4:HC62))</f>
        <v>#N/A</v>
      </c>
      <c r="HE62" s="54" t="str">
        <f t="shared" si="92"/>
        <v/>
      </c>
      <c r="HF62" s="54" t="e">
        <f>IF(HE62="",NA(),SUM($HE$4:HE62))</f>
        <v>#N/A</v>
      </c>
      <c r="HG62" s="54" t="str">
        <f t="shared" si="93"/>
        <v/>
      </c>
      <c r="HH62" s="54" t="e">
        <f>IF(HG62="",NA(),SUM($HG$4:HG62))</f>
        <v>#N/A</v>
      </c>
      <c r="HI62" s="172" t="str">
        <f t="shared" si="106"/>
        <v/>
      </c>
      <c r="HJ62" s="172">
        <f>IF($J62="",#N/A,SUM(HI$4:$HI62))</f>
        <v>-1.0497124168140199</v>
      </c>
      <c r="HK62" s="54" t="str">
        <f t="shared" si="94"/>
        <v/>
      </c>
      <c r="HL62" s="54">
        <f>IF($J62="",#N/A,SUM($HK$4:HK62))</f>
        <v>-2.7297060402078941</v>
      </c>
      <c r="HM62" s="54" t="str">
        <f t="shared" si="95"/>
        <v/>
      </c>
      <c r="HN62" s="54">
        <f>IF($J62="",#N/A,SUM($HM$4:HM62))</f>
        <v>0.80449527204317051</v>
      </c>
      <c r="HO62" s="54" t="str">
        <f t="shared" si="96"/>
        <v/>
      </c>
      <c r="HP62" s="54">
        <f>IF($J62="",#N/A,SUM($HO$4:HO62))</f>
        <v>-0.64837295089680658</v>
      </c>
      <c r="HQ62" s="54">
        <f t="shared" si="97"/>
        <v>-5.28789659224429E-2</v>
      </c>
      <c r="HR62" s="54">
        <f>IF($J62="",#N/A,SUM($HQ$4:HQ62))</f>
        <v>-2.0012190048374023</v>
      </c>
      <c r="HS62" s="54" t="str">
        <f t="shared" si="98"/>
        <v/>
      </c>
      <c r="HT62" s="54">
        <f>IF($J62="",#N/A,SUM($HS$4:HS62))</f>
        <v>5.1148329712430227</v>
      </c>
      <c r="HU62" s="65">
        <f t="shared" si="99"/>
        <v>0.61300430865648392</v>
      </c>
      <c r="HV62" s="65">
        <f>IF($J62="",#N/A,SUM(HU$4:$HU62))</f>
        <v>-7.0805026387783645</v>
      </c>
    </row>
    <row r="63" spans="1:230" x14ac:dyDescent="0.25">
      <c r="A63" s="51" t="s">
        <v>1269</v>
      </c>
      <c r="B63" s="52" t="s">
        <v>4502</v>
      </c>
      <c r="C63" s="229">
        <f t="shared" si="0"/>
        <v>3</v>
      </c>
      <c r="D63" s="219" t="str">
        <f>_xlfn.XLOOKUP(A63,[1]SP500!$A$2:$A$502,[1]SP500!$D$2:$D$502,"N")</f>
        <v>Y</v>
      </c>
      <c r="E63" s="51" t="str">
        <f>IFERROR(_xlfn.XLOOKUP(A63,[1]SP500!$A$2:$A$655,[1]SP500!$B$2:$B$655),"")</f>
        <v>XLY</v>
      </c>
      <c r="F63" s="53">
        <v>45769</v>
      </c>
      <c r="G63" s="51" t="str">
        <f t="shared" si="1"/>
        <v>AMC</v>
      </c>
      <c r="H63" s="51" t="str">
        <f t="shared" si="2"/>
        <v>s</v>
      </c>
      <c r="I63" s="344">
        <v>237.97</v>
      </c>
      <c r="J63" s="124">
        <v>254.86</v>
      </c>
      <c r="K63" s="71">
        <f t="shared" si="3"/>
        <v>7.0975333025171297E-2</v>
      </c>
      <c r="L63" s="67">
        <f t="shared" si="4"/>
        <v>50.670000000000073</v>
      </c>
      <c r="M63" s="57">
        <f t="shared" si="5"/>
        <v>0.41999999999995907</v>
      </c>
      <c r="N63" s="102">
        <f t="shared" si="6"/>
        <v>50.670000000000073</v>
      </c>
      <c r="O63" s="57">
        <f>IF(N63="",#N/A,SUM($N$4:N63))</f>
        <v>-455.38869563037485</v>
      </c>
      <c r="P63" s="65">
        <f t="shared" si="100"/>
        <v>1.1829222170861893</v>
      </c>
      <c r="Q63" s="172">
        <f>IF($N63="",#N/A,SUM($P$4:P63))</f>
        <v>-5.3878982522222465</v>
      </c>
      <c r="R63" s="279">
        <f t="shared" si="7"/>
        <v>1.868499694582276</v>
      </c>
      <c r="S63" s="51" t="str">
        <f t="shared" si="8"/>
        <v>SW</v>
      </c>
      <c r="T63" s="51" t="s">
        <v>2828</v>
      </c>
      <c r="U63" s="56">
        <f t="shared" si="9"/>
        <v>237.97</v>
      </c>
      <c r="V63" s="56" t="s">
        <v>4460</v>
      </c>
      <c r="W63" s="142">
        <v>3</v>
      </c>
      <c r="X63" s="145">
        <f t="shared" si="10"/>
        <v>713.91</v>
      </c>
      <c r="Y63" s="140">
        <f t="shared" si="11"/>
        <v>3</v>
      </c>
      <c r="Z63" s="123">
        <v>255</v>
      </c>
      <c r="AA63" s="102">
        <f t="shared" si="12"/>
        <v>51.090000000000032</v>
      </c>
      <c r="AB63" s="102">
        <f t="shared" si="13"/>
        <v>38.100000000000023</v>
      </c>
      <c r="AC63" s="124">
        <v>250.67</v>
      </c>
      <c r="AD63" s="155">
        <f t="shared" si="14"/>
        <v>38.100000000000023</v>
      </c>
      <c r="AE63" s="545">
        <f t="shared" si="15"/>
        <v>0.88946786009441026</v>
      </c>
      <c r="AF63" s="57">
        <f>IF($AC63="",#N/A,SUM(AD$4:AD63))</f>
        <v>-484.40582025503159</v>
      </c>
      <c r="AG63" s="102">
        <f t="shared" si="16"/>
        <v>-12.57000000000005</v>
      </c>
      <c r="AH63" s="102" t="s">
        <v>2507</v>
      </c>
      <c r="AI63" s="65">
        <f t="shared" si="17"/>
        <v>1.1927273745990399</v>
      </c>
      <c r="AJ63" s="54">
        <f>IF(AI63="",#N/A,SUM($AI$4:AI63))</f>
        <v>-7.2563979468045225</v>
      </c>
      <c r="AK63" s="144">
        <f t="shared" si="18"/>
        <v>51.090000000000032</v>
      </c>
      <c r="AL63" s="349">
        <f>IF(AI63="",#N/A,IF(AH63="Skip",SUM($AK$4:AK63),SUM($AK$4:AK63)))</f>
        <v>-597.69999999999925</v>
      </c>
      <c r="AM63" s="65">
        <f t="shared" si="101"/>
        <v>0.88946786009441026</v>
      </c>
      <c r="AN63" s="209"/>
      <c r="AO63" s="65">
        <f t="shared" si="19"/>
        <v>0.88946786009441026</v>
      </c>
      <c r="AP63" s="65">
        <f>IF($AC63="",#N/A,SUM(AO$4:AO63))</f>
        <v>0.55556601919100135</v>
      </c>
      <c r="AQ63" s="65" t="str">
        <f t="shared" si="20"/>
        <v/>
      </c>
      <c r="AR63" s="65">
        <f>IF($AC63="",#N/A,SUM(AQ$4:AQ63))</f>
        <v>-1.2381559938812483</v>
      </c>
      <c r="AS63" s="65" t="str">
        <f t="shared" si="21"/>
        <v/>
      </c>
      <c r="AT63" s="65">
        <f>IF($AC63="",#N/A,SUM(AS$4:AS63))</f>
        <v>-5.5084448039937079</v>
      </c>
      <c r="AU63" s="57">
        <f t="shared" si="102"/>
        <v>38.100000000000023</v>
      </c>
      <c r="AV63" s="57">
        <f>IF($AC63="",#N/A,SUM(AU$4:AU63))</f>
        <v>5.1725526477844141</v>
      </c>
      <c r="AW63" s="57" t="str">
        <f t="shared" si="103"/>
        <v/>
      </c>
      <c r="AX63" s="57">
        <f>IF($AC63="",#N/A,SUM(AW$4:AW63))</f>
        <v>-74.660000000000196</v>
      </c>
      <c r="AY63" s="57" t="str">
        <f t="shared" si="104"/>
        <v/>
      </c>
      <c r="AZ63" s="57">
        <f>IF($AC63="",#N/A,SUM(AY$4:AY63))</f>
        <v>-414.9183729028158</v>
      </c>
      <c r="BA63" s="57">
        <f>IF(AD63="",#N/A,SUM($AD$4:AD63))</f>
        <v>-484.40582025503159</v>
      </c>
      <c r="BC63" s="72" t="str">
        <f t="shared" si="22"/>
        <v/>
      </c>
      <c r="BD63" s="72" t="str">
        <f t="shared" si="23"/>
        <v/>
      </c>
      <c r="BE63" s="72">
        <f t="shared" si="24"/>
        <v>1</v>
      </c>
      <c r="BF63" s="51" t="str">
        <f t="shared" si="25"/>
        <v>Long</v>
      </c>
      <c r="BG63" s="72" t="str">
        <f t="shared" si="26"/>
        <v/>
      </c>
      <c r="BH63" s="72" t="str">
        <f t="shared" si="27"/>
        <v/>
      </c>
      <c r="BI63" s="72" t="str">
        <f t="shared" si="28"/>
        <v/>
      </c>
      <c r="BK63" s="65">
        <f t="shared" si="108"/>
        <v>-8.8645683742217332E-2</v>
      </c>
      <c r="BL63" s="65">
        <f t="shared" si="107"/>
        <v>-6.9420205001239493E-2</v>
      </c>
      <c r="BM63" s="65">
        <f>IFERROR(Q63/COUNTA($J$4:J63),#N/A)</f>
        <v>-8.9798304203704105E-2</v>
      </c>
      <c r="BO63" s="489">
        <f>IF(J63="",#N/A,IF(S63="SW",(COUNTIFS(K$4:$K63,"&gt;0",S$4:$S63,"SW")/COUNTIF(S$4:$S63,"SW")),#N/A))</f>
        <v>0.51428571428571423</v>
      </c>
      <c r="BP63" s="489" t="e">
        <f>IF($J63="",#N/A,IF($S63="DWN",(COUNTIFS($K$4:$K63,"&lt;0",$S$4:$S63,"DWN")/COUNTIF($S$4:$S63,"DWN")),#N/A))</f>
        <v>#N/A</v>
      </c>
      <c r="BQ63" s="489" t="e">
        <f>IF($J63="",#N/A,IF($S63="UP",(COUNTIFS($K$4:$K63,"&gt;0",$S$4:$S63,"UP")/COUNTIF($S$4:$S63,"UP")),#N/A))</f>
        <v>#N/A</v>
      </c>
      <c r="BR63" s="489">
        <f>IF(J63="",#N/A,COUNTIF($K$4:K63,"&gt;0")/COUNT($J$4:J63))</f>
        <v>0.5</v>
      </c>
      <c r="BS63" s="65">
        <f t="shared" si="29"/>
        <v>1.1829222170861893</v>
      </c>
      <c r="BT63" s="65" t="str">
        <f t="shared" si="30"/>
        <v/>
      </c>
      <c r="BU63" s="65" t="str">
        <f t="shared" si="31"/>
        <v/>
      </c>
      <c r="BV63" s="65" t="str">
        <f t="shared" si="32"/>
        <v/>
      </c>
      <c r="BW63" s="128" t="str">
        <f t="shared" si="33"/>
        <v/>
      </c>
      <c r="BX63" s="128">
        <f>IF($J63="",#N/A,SUM($BW$4:BW63))</f>
        <v>-88.570000000000164</v>
      </c>
      <c r="BY63" s="131" t="str">
        <f t="shared" si="34"/>
        <v/>
      </c>
      <c r="BZ63" s="131">
        <f>IF($J63="",#N/A,SUM($BY$4:BY63))</f>
        <v>-176.84871953149536</v>
      </c>
      <c r="CA63" s="133">
        <f t="shared" si="35"/>
        <v>50.670000000000073</v>
      </c>
      <c r="CB63" s="133">
        <f>IF($J63="",#N/A,SUM($CA$4:CA63))</f>
        <v>-189.96997609887933</v>
      </c>
      <c r="CC63" s="194" t="str">
        <f t="shared" si="36"/>
        <v/>
      </c>
      <c r="CD63" s="194">
        <f>IF($J63="",#N/A,SUM($CC$4:CC63))</f>
        <v>-1.3942783150276121</v>
      </c>
      <c r="CE63" s="195" t="str">
        <f t="shared" si="37"/>
        <v/>
      </c>
      <c r="CF63" s="195">
        <f>IF($J63="",#N/A,SUM($CE$4:CE63))</f>
        <v>-1.7290263469717926</v>
      </c>
      <c r="CG63" s="196">
        <f t="shared" si="38"/>
        <v>1.1829222170861893</v>
      </c>
      <c r="CH63" s="193">
        <f>IF($J63="",#N/A,SUM($CG$4:CG63))</f>
        <v>-2.2645935902228382</v>
      </c>
      <c r="CI63" s="200" t="str">
        <f t="shared" si="39"/>
        <v/>
      </c>
      <c r="CJ63" s="203">
        <f>IF($J63="",#N/A,SUM(CI$4:CI63))</f>
        <v>0</v>
      </c>
      <c r="CK63" s="204" t="str">
        <f t="shared" si="40"/>
        <v/>
      </c>
      <c r="CL63" s="204">
        <f>IF($J63="",#N/A,SUM(CK$4:CK63))</f>
        <v>1.8934431343190481</v>
      </c>
      <c r="CM63" s="205" t="str">
        <f t="shared" si="41"/>
        <v/>
      </c>
      <c r="CN63" s="205">
        <f>IF($J63="",#N/A,SUM(CM$4:CM63))</f>
        <v>0</v>
      </c>
      <c r="CO63" s="205">
        <f>IF($J63="",#N/A,SUM(CM$4:CM63,CK$4:CK63,CI$4:CI63))</f>
        <v>1.8934431343190481</v>
      </c>
      <c r="CP63" s="200" t="str">
        <f t="shared" si="42"/>
        <v/>
      </c>
      <c r="CQ63" s="203">
        <f>IF($J63="",#N/A,SUM(CP$4:CP63))</f>
        <v>0</v>
      </c>
      <c r="CR63" s="204" t="str">
        <f t="shared" si="43"/>
        <v/>
      </c>
      <c r="CS63" s="204">
        <f>IF($J63="",#N/A,SUM(CR$4:CR63))</f>
        <v>0</v>
      </c>
      <c r="CT63" s="205" t="str">
        <f t="shared" si="44"/>
        <v/>
      </c>
      <c r="CU63" s="205">
        <f>IF($J63="",#N/A,SUM(CT$4:CT63))</f>
        <v>0</v>
      </c>
      <c r="CV63" s="205">
        <f>IF($J63="",#N/A,SUM(CT$4:CT63,CR$4:CR63,CP$4:CP63))</f>
        <v>0</v>
      </c>
      <c r="CW63" s="200" t="str">
        <f t="shared" si="45"/>
        <v/>
      </c>
      <c r="CX63" s="203">
        <f>IF($J63="",#N/A,SUM(CW$4:CW63))</f>
        <v>0</v>
      </c>
      <c r="CY63" s="204" t="str">
        <f t="shared" si="46"/>
        <v/>
      </c>
      <c r="CZ63" s="204">
        <f>IF($J63="",#N/A,SUM(CY$4:CY63))</f>
        <v>-0.63271328921481373</v>
      </c>
      <c r="DA63" s="205">
        <f t="shared" si="47"/>
        <v>1.1829222170861893</v>
      </c>
      <c r="DB63" s="205">
        <f>IF($J63="",#N/A,SUM(DA$4:DA63))</f>
        <v>1.1829222170861893</v>
      </c>
      <c r="DC63" s="205">
        <f>IF($J63="",#N/A,SUM(DA$4:DA63,CY$4:CY63,CW$4:CW63))</f>
        <v>0.55020892787137554</v>
      </c>
      <c r="DD63" s="200" t="str">
        <f t="shared" si="48"/>
        <v/>
      </c>
      <c r="DE63" s="203">
        <f>IF($J63="",#N/A,SUM(DD$4:DD63))</f>
        <v>0</v>
      </c>
      <c r="DF63" s="204" t="str">
        <f t="shared" si="49"/>
        <v/>
      </c>
      <c r="DG63" s="204">
        <f>IF($J63="",#N/A,SUM(DF$4:DF63))</f>
        <v>0.6788440567066546</v>
      </c>
      <c r="DH63" s="205" t="str">
        <f t="shared" si="50"/>
        <v/>
      </c>
      <c r="DI63" s="205">
        <f>IF($J63="",#N/A,SUM(DH$4:DH63))</f>
        <v>-0.83172699364602887</v>
      </c>
      <c r="DJ63" s="205">
        <f>IF($J63="",#N/A,SUM(DH$4:DH63,DF$4:DF63,DD$4:DD63))</f>
        <v>-0.15288293693937427</v>
      </c>
      <c r="DK63" s="200" t="str">
        <f t="shared" si="51"/>
        <v/>
      </c>
      <c r="DL63" s="203">
        <f>IF($J63="",#N/A,SUM(DK$4:DK63))</f>
        <v>0</v>
      </c>
      <c r="DM63" s="204" t="str">
        <f t="shared" si="52"/>
        <v/>
      </c>
      <c r="DN63" s="204">
        <f>IF($J63="",#N/A,SUM(DM$4:DM63))</f>
        <v>0.36227168206863897</v>
      </c>
      <c r="DO63" s="205" t="str">
        <f t="shared" si="53"/>
        <v/>
      </c>
      <c r="DP63" s="205">
        <f>IF($J63="",#N/A,SUM(DO$4:DO63))</f>
        <v>-0.17018269154375754</v>
      </c>
      <c r="DQ63" s="205">
        <f>IF($J63="",#N/A,SUM(DO$4:DO63,DM$4:DM63,DK$4:DK63))</f>
        <v>0.19208899052488143</v>
      </c>
      <c r="DR63" s="200" t="str">
        <f t="shared" si="54"/>
        <v/>
      </c>
      <c r="DS63" s="203">
        <f>IF($J63="",#N/A,SUM(DR$4:DR63))</f>
        <v>0</v>
      </c>
      <c r="DT63" s="204" t="str">
        <f t="shared" si="55"/>
        <v/>
      </c>
      <c r="DU63" s="204">
        <f>IF($J63="",#N/A,SUM(DT$4:DT63))</f>
        <v>-2.8875364672150718</v>
      </c>
      <c r="DV63" s="205" t="str">
        <f t="shared" si="56"/>
        <v/>
      </c>
      <c r="DW63" s="205">
        <f>IF($J63="",#N/A,SUM(DV$4:DV63))</f>
        <v>-0.23245750740486493</v>
      </c>
      <c r="DX63" s="205">
        <f>IF($J63="",#N/A,SUM(DV$4:DV63,DT$4:DT63,DR$4:DR63))</f>
        <v>-3.1199939746199368</v>
      </c>
      <c r="DY63" s="200" t="str">
        <f t="shared" si="57"/>
        <v/>
      </c>
      <c r="DZ63" s="203">
        <f>IF($J63="",#N/A,SUM(DY$4:DY63))</f>
        <v>-1.4611133068588897</v>
      </c>
      <c r="EA63" s="204" t="str">
        <f t="shared" si="58"/>
        <v/>
      </c>
      <c r="EB63" s="204">
        <f>IF($J63="",#N/A,SUM(EA$4:EA63))</f>
        <v>-0.86716764906472754</v>
      </c>
      <c r="EC63" s="205" t="str">
        <f t="shared" si="59"/>
        <v/>
      </c>
      <c r="ED63" s="205">
        <f>IF($J63="",#N/A,SUM(EC$4:EC63))</f>
        <v>-0.12249858668611946</v>
      </c>
      <c r="EE63" s="205">
        <f>IF($J63="",#N/A,SUM(EC$4:EC63,EA$4:EA63,DY$4:DY63))</f>
        <v>-2.4507795426097365</v>
      </c>
      <c r="EF63" s="200" t="str">
        <f t="shared" si="60"/>
        <v/>
      </c>
      <c r="EG63" s="203">
        <f>IF($J63="",#N/A,SUM(EF$4:EF63))</f>
        <v>0</v>
      </c>
      <c r="EH63" s="204" t="str">
        <f t="shared" si="61"/>
        <v/>
      </c>
      <c r="EI63" s="204">
        <f>IF($J63="",#N/A,SUM(EH$4:EH63))</f>
        <v>-1.196204584775086</v>
      </c>
      <c r="EJ63" s="205" t="str">
        <f t="shared" si="62"/>
        <v/>
      </c>
      <c r="EK63" s="205">
        <f>IF($J63="",#N/A,SUM(EJ$4:EJ63))</f>
        <v>1.3436756383175479</v>
      </c>
      <c r="EL63" s="205">
        <f>IF($J63="",#N/A,SUM(EJ$4:EJ63,EH$4:EH63,EF$4:EF63))</f>
        <v>0.14747105354246193</v>
      </c>
      <c r="EM63" s="200" t="str">
        <f t="shared" si="63"/>
        <v/>
      </c>
      <c r="EN63" s="203">
        <f>IF($J63="",#N/A,SUM(EM$4:EM63))</f>
        <v>0</v>
      </c>
      <c r="EO63" s="204" t="str">
        <f t="shared" si="64"/>
        <v/>
      </c>
      <c r="EP63" s="204">
        <f>IF($J63="",#N/A,SUM(EO$4:EO63))</f>
        <v>0.61509852304831358</v>
      </c>
      <c r="EQ63" s="205" t="str">
        <f t="shared" si="65"/>
        <v/>
      </c>
      <c r="ER63" s="205">
        <f>IF($J63="",#N/A,SUM(EQ$4:EQ63))</f>
        <v>0.4926597949853756</v>
      </c>
      <c r="ES63" s="205">
        <f>IF($J63="",#N/A,SUM(EQ$4:EQ63,EO$4:EO63,EM$4:EM63))</f>
        <v>1.1077583180336892</v>
      </c>
      <c r="ET63" s="200" t="str">
        <f t="shared" si="66"/>
        <v/>
      </c>
      <c r="EU63" s="203">
        <f>IF($J63="",#N/A,SUM(ET$4:ET63))</f>
        <v>0</v>
      </c>
      <c r="EV63" s="204" t="str">
        <f t="shared" si="67"/>
        <v/>
      </c>
      <c r="EW63" s="204">
        <f>IF($J63="",#N/A,SUM(EV$4:EV63))</f>
        <v>0</v>
      </c>
      <c r="EX63" s="205" t="str">
        <f t="shared" si="68"/>
        <v/>
      </c>
      <c r="EY63" s="205">
        <f>IF($J63="",#N/A,SUM(EX$4:EX63))</f>
        <v>0</v>
      </c>
      <c r="EZ63" s="205">
        <f>IF($J63="",#N/A,SUM(EX$4:EX63,EV$4:EV63,ET$4:ET63))</f>
        <v>0</v>
      </c>
      <c r="FA63" s="200" t="str">
        <f t="shared" si="69"/>
        <v/>
      </c>
      <c r="FB63" s="203">
        <f>IF($J63="",#N/A,SUM(FA$4:FA63))</f>
        <v>0</v>
      </c>
      <c r="FC63" s="204" t="str">
        <f t="shared" si="70"/>
        <v/>
      </c>
      <c r="FD63" s="204">
        <f>IF($J63="",#N/A,SUM(FC$4:FC63))</f>
        <v>1.3724148418491529</v>
      </c>
      <c r="FE63" s="205" t="str">
        <f t="shared" si="71"/>
        <v/>
      </c>
      <c r="FF63" s="205">
        <f>IF($J63="",#N/A,SUM(FE$4:FE63))</f>
        <v>-0.78910661809515037</v>
      </c>
      <c r="FG63" s="205">
        <f>IF($J63="",#N/A,SUM(FE$4:FE63,FC$4:FC63,FA$4:FA63))</f>
        <v>0.58330822375400249</v>
      </c>
      <c r="FH63" s="200" t="str">
        <f t="shared" si="72"/>
        <v/>
      </c>
      <c r="FI63" s="203">
        <f>IF($J63="",#N/A,SUM(FH$4:FH63))</f>
        <v>0</v>
      </c>
      <c r="FJ63" s="204" t="str">
        <f t="shared" si="73"/>
        <v/>
      </c>
      <c r="FK63" s="204">
        <f>IF($J63="",#N/A,SUM(FJ$4:FJ63))</f>
        <v>0</v>
      </c>
      <c r="FL63" s="205" t="str">
        <f t="shared" si="74"/>
        <v/>
      </c>
      <c r="FM63" s="205">
        <f>IF($J63="",#N/A,SUM(FL$4:FL63))</f>
        <v>0</v>
      </c>
      <c r="FN63" s="205">
        <f>IF($J63="",#N/A,SUM(FL$4:FL63,FJ$4:FJ63,FH$4:FH63))</f>
        <v>0</v>
      </c>
      <c r="FO63" s="200" t="str">
        <f t="shared" si="75"/>
        <v/>
      </c>
      <c r="FP63" s="203">
        <f>IF($J63="",#N/A,SUM(FO$4:FO63))</f>
        <v>0</v>
      </c>
      <c r="FQ63" s="204" t="str">
        <f t="shared" si="76"/>
        <v/>
      </c>
      <c r="FR63" s="204">
        <f>IF($J63="",#N/A,SUM(FQ$4:FQ63))</f>
        <v>0</v>
      </c>
      <c r="FS63" s="205" t="str">
        <f t="shared" si="77"/>
        <v/>
      </c>
      <c r="FT63" s="205">
        <f>IF($J63="",#N/A,SUM(FS$4:FS63))</f>
        <v>0</v>
      </c>
      <c r="FU63" s="205">
        <f>IF($J63="",#N/A,SUM(FS$4:FS63,FQ$4:FQ63,FO$4:FO63))</f>
        <v>0</v>
      </c>
      <c r="FV63" s="200" t="str">
        <f t="shared" si="78"/>
        <v/>
      </c>
      <c r="FW63" s="203">
        <f>IF($J63="",#N/A,SUM(FV$4:FV63))</f>
        <v>6.6834991831277585E-2</v>
      </c>
      <c r="FX63" s="204" t="str">
        <f t="shared" si="79"/>
        <v/>
      </c>
      <c r="FY63" s="204">
        <f>IF($J63="",#N/A,SUM(FX$4:FX63))</f>
        <v>0</v>
      </c>
      <c r="FZ63" s="205" t="str">
        <f t="shared" si="80"/>
        <v/>
      </c>
      <c r="GA63" s="205">
        <f>IF($J63="",#N/A,SUM(FZ$4:FZ63))</f>
        <v>-0.20104261551371039</v>
      </c>
      <c r="GB63" s="205">
        <f>IF($J63="",#N/A,SUM(FZ$4:FZ63,FX$4:FX63,FV$4:FV63))</f>
        <v>-0.1342076236824328</v>
      </c>
      <c r="GC63" s="200" t="str">
        <f t="shared" si="81"/>
        <v/>
      </c>
      <c r="GD63" s="203">
        <f>IF($J63="",#N/A,SUM(GC$4:GC63))</f>
        <v>0</v>
      </c>
      <c r="GE63" s="204" t="str">
        <f t="shared" si="82"/>
        <v/>
      </c>
      <c r="GF63" s="204">
        <f>IF($J63="",#N/A,SUM(GE$4:GE63))</f>
        <v>0</v>
      </c>
      <c r="GG63" s="205" t="str">
        <f t="shared" si="83"/>
        <v/>
      </c>
      <c r="GH63" s="205">
        <f>IF($J63="",#N/A,SUM(GG$4:GG63))</f>
        <v>-2.9368362277223206</v>
      </c>
      <c r="GI63" s="205">
        <f>IF($J63="",#N/A,SUM(GG$4:GG63,GE$4:GE63,GC$4:GC63))</f>
        <v>-2.9368362277223206</v>
      </c>
      <c r="GJ63" s="200" t="str">
        <f t="shared" si="84"/>
        <v/>
      </c>
      <c r="GK63" s="203">
        <f>IF($J63="",#N/A,SUM(GJ$4:GJ63))</f>
        <v>0</v>
      </c>
      <c r="GL63" s="204" t="str">
        <f t="shared" si="85"/>
        <v/>
      </c>
      <c r="GM63" s="204">
        <f>IF($J63="",#N/A,SUM(GL$4:GL63))</f>
        <v>-1.0674765946939027</v>
      </c>
      <c r="GN63" s="205" t="str">
        <f t="shared" si="86"/>
        <v/>
      </c>
      <c r="GO63" s="205">
        <f>IF($J63="",#N/A,SUM(GN$4:GN63))</f>
        <v>0</v>
      </c>
      <c r="GP63" s="205">
        <f>IF($J63="",#N/A,SUM(GN$4:GN63,GL$4:GL63,GJ$4:GJ63))</f>
        <v>-1.0674765946939027</v>
      </c>
      <c r="GS63" s="54">
        <f t="shared" si="105"/>
        <v>1.1829222170861893</v>
      </c>
      <c r="GT63" s="54">
        <f>IF(GS63="",NA(),SUM($GS$4:GS63))</f>
        <v>-5.5898870651495294</v>
      </c>
      <c r="GU63" s="54" t="str">
        <f t="shared" si="87"/>
        <v/>
      </c>
      <c r="GV63" s="54" t="e">
        <f>IF(GU63="",NA(),SUM($GU$4:GU63))</f>
        <v>#N/A</v>
      </c>
      <c r="GW63" s="54">
        <f t="shared" si="88"/>
        <v>1.1829222170861893</v>
      </c>
      <c r="GX63" s="54">
        <f>IF(GW63="",NA(),SUM($GW$4:GW63))</f>
        <v>-2.4665824031501238</v>
      </c>
      <c r="GY63" s="54" t="str">
        <f t="shared" si="89"/>
        <v/>
      </c>
      <c r="GZ63" s="54" t="e">
        <f>IF(GY63="",NA(),SUM($GY$4:GY63))</f>
        <v>#N/A</v>
      </c>
      <c r="HA63" s="54" t="str">
        <f t="shared" si="90"/>
        <v/>
      </c>
      <c r="HB63" s="54" t="e">
        <f>IF(HA63="",NA(),SUM($HA$4:HA63))</f>
        <v>#N/A</v>
      </c>
      <c r="HC63" s="54" t="str">
        <f t="shared" si="91"/>
        <v/>
      </c>
      <c r="HD63" s="54" t="e">
        <f>IF(HC63="",NA(),SUM($HC$4:HC63))</f>
        <v>#N/A</v>
      </c>
      <c r="HE63" s="54" t="str">
        <f t="shared" si="92"/>
        <v/>
      </c>
      <c r="HF63" s="54" t="e">
        <f>IF(HE63="",NA(),SUM($HE$4:HE63))</f>
        <v>#N/A</v>
      </c>
      <c r="HG63" s="54" t="str">
        <f t="shared" si="93"/>
        <v/>
      </c>
      <c r="HH63" s="54" t="e">
        <f>IF(HG63="",NA(),SUM($HG$4:HG63))</f>
        <v>#N/A</v>
      </c>
      <c r="HI63" s="172" t="str">
        <f t="shared" si="106"/>
        <v/>
      </c>
      <c r="HJ63" s="172">
        <f>IF($J63="",#N/A,SUM(HI$4:$HI63))</f>
        <v>-1.0497124168140199</v>
      </c>
      <c r="HK63" s="54" t="str">
        <f t="shared" si="94"/>
        <v/>
      </c>
      <c r="HL63" s="54">
        <f>IF($J63="",#N/A,SUM($HK$4:HK63))</f>
        <v>-2.7297060402078941</v>
      </c>
      <c r="HM63" s="54" t="str">
        <f t="shared" si="95"/>
        <v/>
      </c>
      <c r="HN63" s="54">
        <f>IF($J63="",#N/A,SUM($HM$4:HM63))</f>
        <v>0.80449527204317051</v>
      </c>
      <c r="HO63" s="54" t="str">
        <f t="shared" si="96"/>
        <v/>
      </c>
      <c r="HP63" s="54">
        <f>IF($J63="",#N/A,SUM($HO$4:HO63))</f>
        <v>-0.64837295089680658</v>
      </c>
      <c r="HQ63" s="54">
        <f t="shared" si="97"/>
        <v>-0.29345435699177902</v>
      </c>
      <c r="HR63" s="54">
        <f>IF($J63="",#N/A,SUM($HQ$4:HQ63))</f>
        <v>-2.2946733618291812</v>
      </c>
      <c r="HS63" s="54" t="str">
        <f t="shared" si="98"/>
        <v/>
      </c>
      <c r="HT63" s="54">
        <f>IF($J63="",#N/A,SUM($HS$4:HS63))</f>
        <v>5.1148329712430227</v>
      </c>
      <c r="HU63" s="65">
        <f t="shared" si="99"/>
        <v>0.88946786009441026</v>
      </c>
      <c r="HV63" s="65">
        <f>IF($J63="",#N/A,SUM(HU$4:$HU63))</f>
        <v>-6.1910347786839539</v>
      </c>
    </row>
    <row r="64" spans="1:230" x14ac:dyDescent="0.25">
      <c r="A64" s="51" t="s">
        <v>1475</v>
      </c>
      <c r="B64" s="52" t="s">
        <v>4502</v>
      </c>
      <c r="C64" s="229">
        <f t="shared" si="0"/>
        <v>3</v>
      </c>
      <c r="D64" s="219" t="str">
        <f>_xlfn.XLOOKUP(A64,[1]SP500!$A$2:$A$502,[1]SP500!$D$2:$D$502,"N")</f>
        <v>Y</v>
      </c>
      <c r="E64" s="51" t="str">
        <f>IFERROR(_xlfn.XLOOKUP(A64,[1]SP500!$A$2:$A$655,[1]SP500!$B$2:$B$655),"")</f>
        <v>XLE</v>
      </c>
      <c r="F64" s="53">
        <v>45769</v>
      </c>
      <c r="G64" s="51" t="str">
        <f t="shared" si="1"/>
        <v>AMC</v>
      </c>
      <c r="H64" s="51" t="str">
        <f t="shared" si="2"/>
        <v>s</v>
      </c>
      <c r="I64" s="344">
        <v>48.57</v>
      </c>
      <c r="J64" s="124">
        <v>50.03</v>
      </c>
      <c r="K64" s="55">
        <f t="shared" si="3"/>
        <v>3.005970763845997E-2</v>
      </c>
      <c r="L64" s="67">
        <f t="shared" si="4"/>
        <v>21.900000000000091</v>
      </c>
      <c r="M64" s="57">
        <f t="shared" si="5"/>
        <v>-25.500000000000114</v>
      </c>
      <c r="N64" s="102">
        <f t="shared" si="6"/>
        <v>21.900000000000091</v>
      </c>
      <c r="O64" s="57">
        <f>IF(N64="",#N/A,SUM($N$4:N64))</f>
        <v>-433.48869563037476</v>
      </c>
      <c r="P64" s="65">
        <f t="shared" si="100"/>
        <v>0.50099512730766804</v>
      </c>
      <c r="Q64" s="172">
        <f>IF($N64="",#N/A,SUM($P$4:P64))</f>
        <v>-4.8869031249145785</v>
      </c>
      <c r="R64" s="279">
        <f t="shared" si="7"/>
        <v>2.4518501852829857</v>
      </c>
      <c r="S64" s="51" t="str">
        <f t="shared" si="8"/>
        <v>SW</v>
      </c>
      <c r="T64" s="51" t="s">
        <v>2828</v>
      </c>
      <c r="U64" s="56">
        <f t="shared" si="9"/>
        <v>48.57</v>
      </c>
      <c r="V64" s="56" t="s">
        <v>4460</v>
      </c>
      <c r="W64" s="142">
        <v>15</v>
      </c>
      <c r="X64" s="145">
        <f t="shared" si="10"/>
        <v>728.55</v>
      </c>
      <c r="Y64" s="140">
        <f t="shared" si="11"/>
        <v>15</v>
      </c>
      <c r="Z64" s="123">
        <v>48.33</v>
      </c>
      <c r="AA64" s="102">
        <f t="shared" si="12"/>
        <v>-3.6000000000000227</v>
      </c>
      <c r="AB64" s="102">
        <f t="shared" si="13"/>
        <v>2.7000000000000455</v>
      </c>
      <c r="AC64" s="124">
        <v>48.75</v>
      </c>
      <c r="AD64" s="155">
        <f t="shared" si="14"/>
        <v>2.7000000000000455</v>
      </c>
      <c r="AE64" s="545">
        <f t="shared" si="15"/>
        <v>6.176652254478178E-2</v>
      </c>
      <c r="AF64" s="57">
        <f>IF($AC64="",#N/A,SUM(AD$4:AD64))</f>
        <v>-481.70582025503154</v>
      </c>
      <c r="AG64" s="102">
        <f t="shared" si="16"/>
        <v>-19.200000000000045</v>
      </c>
      <c r="AH64" s="56" t="s">
        <v>2507</v>
      </c>
      <c r="AI64" s="65">
        <f t="shared" si="17"/>
        <v>-8.2355363393041503E-2</v>
      </c>
      <c r="AJ64" s="350">
        <f>IF(AI64="",#N/A,SUM($AI$4:AI64))</f>
        <v>-7.3387533101975642</v>
      </c>
      <c r="AK64" s="57">
        <f t="shared" si="18"/>
        <v>-3.6000000000000227</v>
      </c>
      <c r="AL64" s="349">
        <f>IF(AI64="",#N/A,IF(AH64="Skip",SUM($AK$4:AK64),SUM($AK$4:AK64)))</f>
        <v>-601.29999999999927</v>
      </c>
      <c r="AM64" s="65">
        <f t="shared" si="101"/>
        <v>6.176652254478178E-2</v>
      </c>
      <c r="AN64" s="209"/>
      <c r="AO64" s="65">
        <f t="shared" si="19"/>
        <v>6.176652254478178E-2</v>
      </c>
      <c r="AP64" s="65">
        <f>IF($AC64="",#N/A,SUM(AO$4:AO64))</f>
        <v>0.61733254173578311</v>
      </c>
      <c r="AQ64" s="65" t="str">
        <f t="shared" si="20"/>
        <v/>
      </c>
      <c r="AR64" s="65">
        <f>IF($AC64="",#N/A,SUM(AQ$4:AQ64))</f>
        <v>-1.2381559938812483</v>
      </c>
      <c r="AS64" s="65" t="str">
        <f t="shared" si="21"/>
        <v/>
      </c>
      <c r="AT64" s="65">
        <f>IF($AC64="",#N/A,SUM(AS$4:AS64))</f>
        <v>-5.5084448039937079</v>
      </c>
      <c r="AU64" s="57">
        <f t="shared" si="102"/>
        <v>2.7000000000000455</v>
      </c>
      <c r="AV64" s="57">
        <f>IF($AC64="",#N/A,SUM(AU$4:AU64))</f>
        <v>7.8725526477844596</v>
      </c>
      <c r="AW64" s="57" t="str">
        <f t="shared" si="103"/>
        <v/>
      </c>
      <c r="AX64" s="57">
        <f>IF($AC64="",#N/A,SUM(AW$4:AW64))</f>
        <v>-74.660000000000196</v>
      </c>
      <c r="AY64" s="57" t="str">
        <f t="shared" si="104"/>
        <v/>
      </c>
      <c r="AZ64" s="57">
        <f>IF($AC64="",#N/A,SUM(AY$4:AY64))</f>
        <v>-414.9183729028158</v>
      </c>
      <c r="BA64" s="57">
        <f>IF(AD64="",#N/A,SUM($AD$4:AD64))</f>
        <v>-481.70582025503154</v>
      </c>
      <c r="BC64" s="51" t="str">
        <f t="shared" si="22"/>
        <v/>
      </c>
      <c r="BD64" s="51" t="str">
        <f t="shared" si="23"/>
        <v/>
      </c>
      <c r="BE64" s="51">
        <f t="shared" si="24"/>
        <v>1</v>
      </c>
      <c r="BF64" s="51" t="str">
        <f t="shared" si="25"/>
        <v>Long</v>
      </c>
      <c r="BG64" s="51" t="str">
        <f t="shared" si="26"/>
        <v/>
      </c>
      <c r="BH64" s="51" t="str">
        <f t="shared" si="27"/>
        <v/>
      </c>
      <c r="BI64" s="51" t="str">
        <f t="shared" si="28"/>
        <v/>
      </c>
      <c r="BK64" s="65">
        <f t="shared" si="108"/>
        <v>-8.8897574669384541E-2</v>
      </c>
      <c r="BL64" s="65">
        <f t="shared" si="107"/>
        <v>-3.5880116506036952E-2</v>
      </c>
      <c r="BM64" s="65">
        <f>IFERROR(Q64/COUNTA($J$4:J64),#N/A)</f>
        <v>-8.0113165982206205E-2</v>
      </c>
      <c r="BO64" s="489">
        <f>IF(J64="",#N/A,IF(S64="SW",(COUNTIFS(K$4:$K64,"&gt;0",S$4:$S64,"SW")/COUNTIF(S$4:$S64,"SW")),#N/A))</f>
        <v>0.52777777777777779</v>
      </c>
      <c r="BP64" s="489" t="e">
        <f>IF($J64="",#N/A,IF($S64="DWN",(COUNTIFS($K$4:$K64,"&lt;0",$S$4:$S64,"DWN")/COUNTIF($S$4:$S64,"DWN")),#N/A))</f>
        <v>#N/A</v>
      </c>
      <c r="BQ64" s="489" t="e">
        <f>IF($J64="",#N/A,IF($S64="UP",(COUNTIFS($K$4:$K64,"&gt;0",$S$4:$S64,"UP")/COUNTIF($S$4:$S64,"UP")),#N/A))</f>
        <v>#N/A</v>
      </c>
      <c r="BR64" s="489">
        <f>IF(J64="",#N/A,COUNTIF($K$4:K64,"&gt;0")/COUNT($J$4:J64))</f>
        <v>0.50819672131147542</v>
      </c>
      <c r="BS64" s="65">
        <f t="shared" si="29"/>
        <v>0.50099512730766804</v>
      </c>
      <c r="BT64" s="65" t="str">
        <f t="shared" si="30"/>
        <v/>
      </c>
      <c r="BU64" s="65" t="str">
        <f t="shared" si="31"/>
        <v/>
      </c>
      <c r="BV64" s="65" t="str">
        <f t="shared" si="32"/>
        <v/>
      </c>
      <c r="BW64" s="128" t="str">
        <f t="shared" si="33"/>
        <v/>
      </c>
      <c r="BX64" s="128">
        <f>IF($J64="",#N/A,SUM($BW$4:BW64))</f>
        <v>-88.570000000000164</v>
      </c>
      <c r="BY64" s="131" t="str">
        <f t="shared" si="34"/>
        <v/>
      </c>
      <c r="BZ64" s="131">
        <f>IF($J64="",#N/A,SUM($BY$4:BY64))</f>
        <v>-176.84871953149536</v>
      </c>
      <c r="CA64" s="133">
        <f t="shared" si="35"/>
        <v>21.900000000000091</v>
      </c>
      <c r="CB64" s="133">
        <f>IF($J64="",#N/A,SUM($CA$4:CA64))</f>
        <v>-168.06997609887924</v>
      </c>
      <c r="CC64" s="194" t="str">
        <f t="shared" si="36"/>
        <v/>
      </c>
      <c r="CD64" s="194">
        <f>IF($J64="",#N/A,SUM($CC$4:CC64))</f>
        <v>-1.3942783150276121</v>
      </c>
      <c r="CE64" s="195" t="str">
        <f t="shared" si="37"/>
        <v/>
      </c>
      <c r="CF64" s="195">
        <f>IF($J64="",#N/A,SUM($CE$4:CE64))</f>
        <v>-1.7290263469717926</v>
      </c>
      <c r="CG64" s="196">
        <f t="shared" si="38"/>
        <v>0.50099512730766804</v>
      </c>
      <c r="CH64" s="196">
        <f>IF($J64="",#N/A,SUM($CG$4:CG64))</f>
        <v>-1.7635984629151702</v>
      </c>
      <c r="CI64" s="200" t="str">
        <f t="shared" si="39"/>
        <v/>
      </c>
      <c r="CJ64" s="203">
        <f>IF($J64="",#N/A,SUM(CI$4:CI64))</f>
        <v>0</v>
      </c>
      <c r="CK64" s="204" t="str">
        <f t="shared" si="40"/>
        <v/>
      </c>
      <c r="CL64" s="204">
        <f>IF($J64="",#N/A,SUM(CK$4:CK64))</f>
        <v>1.8934431343190481</v>
      </c>
      <c r="CM64" s="205" t="str">
        <f t="shared" si="41"/>
        <v/>
      </c>
      <c r="CN64" s="205">
        <f>IF($J64="",#N/A,SUM(CM$4:CM64))</f>
        <v>0</v>
      </c>
      <c r="CO64" s="205">
        <f>IF($J64="",#N/A,SUM(CM$4:CM64,CK$4:CK64,CI$4:CI64))</f>
        <v>1.8934431343190481</v>
      </c>
      <c r="CP64" s="200" t="str">
        <f t="shared" si="42"/>
        <v/>
      </c>
      <c r="CQ64" s="203">
        <f>IF($J64="",#N/A,SUM(CP$4:CP64))</f>
        <v>0</v>
      </c>
      <c r="CR64" s="204" t="str">
        <f t="shared" si="43"/>
        <v/>
      </c>
      <c r="CS64" s="204">
        <f>IF($J64="",#N/A,SUM(CR$4:CR64))</f>
        <v>0</v>
      </c>
      <c r="CT64" s="205" t="str">
        <f t="shared" si="44"/>
        <v/>
      </c>
      <c r="CU64" s="205">
        <f>IF($J64="",#N/A,SUM(CT$4:CT64))</f>
        <v>0</v>
      </c>
      <c r="CV64" s="205">
        <f>IF($J64="",#N/A,SUM(CT$4:CT64,CR$4:CR64,CP$4:CP64))</f>
        <v>0</v>
      </c>
      <c r="CW64" s="200" t="str">
        <f t="shared" si="45"/>
        <v/>
      </c>
      <c r="CX64" s="203">
        <f>IF($J64="",#N/A,SUM(CW$4:CW64))</f>
        <v>0</v>
      </c>
      <c r="CY64" s="204" t="str">
        <f t="shared" si="46"/>
        <v/>
      </c>
      <c r="CZ64" s="204">
        <f>IF($J64="",#N/A,SUM(CY$4:CY64))</f>
        <v>-0.63271328921481373</v>
      </c>
      <c r="DA64" s="205" t="str">
        <f t="shared" si="47"/>
        <v/>
      </c>
      <c r="DB64" s="205">
        <f>IF($J64="",#N/A,SUM(DA$4:DA64))</f>
        <v>1.1829222170861893</v>
      </c>
      <c r="DC64" s="205">
        <f>IF($J64="",#N/A,SUM(DA$4:DA64,CY$4:CY64,CW$4:CW64))</f>
        <v>0.55020892787137554</v>
      </c>
      <c r="DD64" s="200" t="str">
        <f t="shared" si="48"/>
        <v/>
      </c>
      <c r="DE64" s="203">
        <f>IF($J64="",#N/A,SUM(DD$4:DD64))</f>
        <v>0</v>
      </c>
      <c r="DF64" s="204" t="str">
        <f t="shared" si="49"/>
        <v/>
      </c>
      <c r="DG64" s="204">
        <f>IF($J64="",#N/A,SUM(DF$4:DF64))</f>
        <v>0.6788440567066546</v>
      </c>
      <c r="DH64" s="205" t="str">
        <f t="shared" si="50"/>
        <v/>
      </c>
      <c r="DI64" s="205">
        <f>IF($J64="",#N/A,SUM(DH$4:DH64))</f>
        <v>-0.83172699364602887</v>
      </c>
      <c r="DJ64" s="205">
        <f>IF($J64="",#N/A,SUM(DH$4:DH64,DF$4:DF64,DD$4:DD64))</f>
        <v>-0.15288293693937427</v>
      </c>
      <c r="DK64" s="200" t="str">
        <f t="shared" si="51"/>
        <v/>
      </c>
      <c r="DL64" s="203">
        <f>IF($J64="",#N/A,SUM(DK$4:DK64))</f>
        <v>0</v>
      </c>
      <c r="DM64" s="204" t="str">
        <f t="shared" si="52"/>
        <v/>
      </c>
      <c r="DN64" s="204">
        <f>IF($J64="",#N/A,SUM(DM$4:DM64))</f>
        <v>0.36227168206863897</v>
      </c>
      <c r="DO64" s="205" t="str">
        <f t="shared" si="53"/>
        <v/>
      </c>
      <c r="DP64" s="205">
        <f>IF($J64="",#N/A,SUM(DO$4:DO64))</f>
        <v>-0.17018269154375754</v>
      </c>
      <c r="DQ64" s="205">
        <f>IF($J64="",#N/A,SUM(DO$4:DO64,DM$4:DM64,DK$4:DK64))</f>
        <v>0.19208899052488143</v>
      </c>
      <c r="DR64" s="200" t="str">
        <f t="shared" si="54"/>
        <v/>
      </c>
      <c r="DS64" s="203">
        <f>IF($J64="",#N/A,SUM(DR$4:DR64))</f>
        <v>0</v>
      </c>
      <c r="DT64" s="204" t="str">
        <f t="shared" si="55"/>
        <v/>
      </c>
      <c r="DU64" s="204">
        <f>IF($J64="",#N/A,SUM(DT$4:DT64))</f>
        <v>-2.8875364672150718</v>
      </c>
      <c r="DV64" s="205" t="str">
        <f t="shared" si="56"/>
        <v/>
      </c>
      <c r="DW64" s="205">
        <f>IF($J64="",#N/A,SUM(DV$4:DV64))</f>
        <v>-0.23245750740486493</v>
      </c>
      <c r="DX64" s="205">
        <f>IF($J64="",#N/A,SUM(DV$4:DV64,DT$4:DT64,DR$4:DR64))</f>
        <v>-3.1199939746199368</v>
      </c>
      <c r="DY64" s="200" t="str">
        <f t="shared" si="57"/>
        <v/>
      </c>
      <c r="DZ64" s="203">
        <f>IF($J64="",#N/A,SUM(DY$4:DY64))</f>
        <v>-1.4611133068588897</v>
      </c>
      <c r="EA64" s="204" t="str">
        <f t="shared" si="58"/>
        <v/>
      </c>
      <c r="EB64" s="204">
        <f>IF($J64="",#N/A,SUM(EA$4:EA64))</f>
        <v>-0.86716764906472754</v>
      </c>
      <c r="EC64" s="205" t="str">
        <f t="shared" si="59"/>
        <v/>
      </c>
      <c r="ED64" s="205">
        <f>IF($J64="",#N/A,SUM(EC$4:EC64))</f>
        <v>-0.12249858668611946</v>
      </c>
      <c r="EE64" s="205">
        <f>IF($J64="",#N/A,SUM(EC$4:EC64,EA$4:EA64,DY$4:DY64))</f>
        <v>-2.4507795426097365</v>
      </c>
      <c r="EF64" s="200" t="str">
        <f t="shared" si="60"/>
        <v/>
      </c>
      <c r="EG64" s="203">
        <f>IF($J64="",#N/A,SUM(EF$4:EF64))</f>
        <v>0</v>
      </c>
      <c r="EH64" s="204" t="str">
        <f t="shared" si="61"/>
        <v/>
      </c>
      <c r="EI64" s="204">
        <f>IF($J64="",#N/A,SUM(EH$4:EH64))</f>
        <v>-1.196204584775086</v>
      </c>
      <c r="EJ64" s="205" t="str">
        <f t="shared" si="62"/>
        <v/>
      </c>
      <c r="EK64" s="205">
        <f>IF($J64="",#N/A,SUM(EJ$4:EJ64))</f>
        <v>1.3436756383175479</v>
      </c>
      <c r="EL64" s="205">
        <f>IF($J64="",#N/A,SUM(EJ$4:EJ64,EH$4:EH64,EF$4:EF64))</f>
        <v>0.14747105354246193</v>
      </c>
      <c r="EM64" s="200" t="str">
        <f t="shared" si="63"/>
        <v/>
      </c>
      <c r="EN64" s="203">
        <f>IF($J64="",#N/A,SUM(EM$4:EM64))</f>
        <v>0</v>
      </c>
      <c r="EO64" s="204" t="str">
        <f t="shared" si="64"/>
        <v/>
      </c>
      <c r="EP64" s="204">
        <f>IF($J64="",#N/A,SUM(EO$4:EO64))</f>
        <v>0.61509852304831358</v>
      </c>
      <c r="EQ64" s="205" t="str">
        <f t="shared" si="65"/>
        <v/>
      </c>
      <c r="ER64" s="205">
        <f>IF($J64="",#N/A,SUM(EQ$4:EQ64))</f>
        <v>0.4926597949853756</v>
      </c>
      <c r="ES64" s="205">
        <f>IF($J64="",#N/A,SUM(EQ$4:EQ64,EO$4:EO64,EM$4:EM64))</f>
        <v>1.1077583180336892</v>
      </c>
      <c r="ET64" s="200" t="str">
        <f t="shared" si="66"/>
        <v/>
      </c>
      <c r="EU64" s="203">
        <f>IF($J64="",#N/A,SUM(ET$4:ET64))</f>
        <v>0</v>
      </c>
      <c r="EV64" s="204" t="str">
        <f t="shared" si="67"/>
        <v/>
      </c>
      <c r="EW64" s="204">
        <f>IF($J64="",#N/A,SUM(EV$4:EV64))</f>
        <v>0</v>
      </c>
      <c r="EX64" s="205" t="str">
        <f t="shared" si="68"/>
        <v/>
      </c>
      <c r="EY64" s="205">
        <f>IF($J64="",#N/A,SUM(EX$4:EX64))</f>
        <v>0</v>
      </c>
      <c r="EZ64" s="205">
        <f>IF($J64="",#N/A,SUM(EX$4:EX64,EV$4:EV64,ET$4:ET64))</f>
        <v>0</v>
      </c>
      <c r="FA64" s="200" t="str">
        <f t="shared" si="69"/>
        <v/>
      </c>
      <c r="FB64" s="203">
        <f>IF($J64="",#N/A,SUM(FA$4:FA64))</f>
        <v>0</v>
      </c>
      <c r="FC64" s="204" t="str">
        <f t="shared" si="70"/>
        <v/>
      </c>
      <c r="FD64" s="204">
        <f>IF($J64="",#N/A,SUM(FC$4:FC64))</f>
        <v>1.3724148418491529</v>
      </c>
      <c r="FE64" s="205">
        <f t="shared" si="71"/>
        <v>0.50099512730766804</v>
      </c>
      <c r="FF64" s="205">
        <f>IF($J64="",#N/A,SUM(FE$4:FE64))</f>
        <v>-0.28811149078748233</v>
      </c>
      <c r="FG64" s="205">
        <f>IF($J64="",#N/A,SUM(FE$4:FE64,FC$4:FC64,FA$4:FA64))</f>
        <v>1.0843033510616706</v>
      </c>
      <c r="FH64" s="200" t="str">
        <f t="shared" si="72"/>
        <v/>
      </c>
      <c r="FI64" s="203">
        <f>IF($J64="",#N/A,SUM(FH$4:FH64))</f>
        <v>0</v>
      </c>
      <c r="FJ64" s="204" t="str">
        <f t="shared" si="73"/>
        <v/>
      </c>
      <c r="FK64" s="204">
        <f>IF($J64="",#N/A,SUM(FJ$4:FJ64))</f>
        <v>0</v>
      </c>
      <c r="FL64" s="205" t="str">
        <f t="shared" si="74"/>
        <v/>
      </c>
      <c r="FM64" s="205">
        <f>IF($J64="",#N/A,SUM(FL$4:FL64))</f>
        <v>0</v>
      </c>
      <c r="FN64" s="205">
        <f>IF($J64="",#N/A,SUM(FL$4:FL64,FJ$4:FJ64,FH$4:FH64))</f>
        <v>0</v>
      </c>
      <c r="FO64" s="200" t="str">
        <f t="shared" si="75"/>
        <v/>
      </c>
      <c r="FP64" s="203">
        <f>IF($J64="",#N/A,SUM(FO$4:FO64))</f>
        <v>0</v>
      </c>
      <c r="FQ64" s="204" t="str">
        <f t="shared" si="76"/>
        <v/>
      </c>
      <c r="FR64" s="204">
        <f>IF($J64="",#N/A,SUM(FQ$4:FQ64))</f>
        <v>0</v>
      </c>
      <c r="FS64" s="205" t="str">
        <f t="shared" si="77"/>
        <v/>
      </c>
      <c r="FT64" s="205">
        <f>IF($J64="",#N/A,SUM(FS$4:FS64))</f>
        <v>0</v>
      </c>
      <c r="FU64" s="205">
        <f>IF($J64="",#N/A,SUM(FS$4:FS64,FQ$4:FQ64,FO$4:FO64))</f>
        <v>0</v>
      </c>
      <c r="FV64" s="200" t="str">
        <f t="shared" si="78"/>
        <v/>
      </c>
      <c r="FW64" s="203">
        <f>IF($J64="",#N/A,SUM(FV$4:FV64))</f>
        <v>6.6834991831277585E-2</v>
      </c>
      <c r="FX64" s="204" t="str">
        <f t="shared" si="79"/>
        <v/>
      </c>
      <c r="FY64" s="204">
        <f>IF($J64="",#N/A,SUM(FX$4:FX64))</f>
        <v>0</v>
      </c>
      <c r="FZ64" s="205" t="str">
        <f t="shared" si="80"/>
        <v/>
      </c>
      <c r="GA64" s="205">
        <f>IF($J64="",#N/A,SUM(FZ$4:FZ64))</f>
        <v>-0.20104261551371039</v>
      </c>
      <c r="GB64" s="205">
        <f>IF($J64="",#N/A,SUM(FZ$4:FZ64,FX$4:FX64,FV$4:FV64))</f>
        <v>-0.1342076236824328</v>
      </c>
      <c r="GC64" s="200" t="str">
        <f t="shared" si="81"/>
        <v/>
      </c>
      <c r="GD64" s="203">
        <f>IF($J64="",#N/A,SUM(GC$4:GC64))</f>
        <v>0</v>
      </c>
      <c r="GE64" s="204" t="str">
        <f t="shared" si="82"/>
        <v/>
      </c>
      <c r="GF64" s="204">
        <f>IF($J64="",#N/A,SUM(GE$4:GE64))</f>
        <v>0</v>
      </c>
      <c r="GG64" s="205" t="str">
        <f t="shared" si="83"/>
        <v/>
      </c>
      <c r="GH64" s="205">
        <f>IF($J64="",#N/A,SUM(GG$4:GG64))</f>
        <v>-2.9368362277223206</v>
      </c>
      <c r="GI64" s="205">
        <f>IF($J64="",#N/A,SUM(GG$4:GG64,GE$4:GE64,GC$4:GC64))</f>
        <v>-2.9368362277223206</v>
      </c>
      <c r="GJ64" s="200" t="str">
        <f t="shared" si="84"/>
        <v/>
      </c>
      <c r="GK64" s="203">
        <f>IF($J64="",#N/A,SUM(GJ$4:GJ64))</f>
        <v>0</v>
      </c>
      <c r="GL64" s="204" t="str">
        <f t="shared" si="85"/>
        <v/>
      </c>
      <c r="GM64" s="204">
        <f>IF($J64="",#N/A,SUM(GL$4:GL64))</f>
        <v>-1.0674765946939027</v>
      </c>
      <c r="GN64" s="205" t="str">
        <f t="shared" si="86"/>
        <v/>
      </c>
      <c r="GO64" s="205">
        <f>IF($J64="",#N/A,SUM(GN$4:GN64))</f>
        <v>0</v>
      </c>
      <c r="GP64" s="205">
        <f>IF($J64="",#N/A,SUM(GN$4:GN64,GL$4:GL64,GJ$4:GJ64))</f>
        <v>-1.0674765946939027</v>
      </c>
      <c r="GS64" s="54">
        <f t="shared" si="105"/>
        <v>0.50099512730766804</v>
      </c>
      <c r="GT64" s="54">
        <f>IF(GS64="",NA(),SUM($GS$4:GS64))</f>
        <v>-5.0888919378418613</v>
      </c>
      <c r="GU64" s="54" t="str">
        <f t="shared" si="87"/>
        <v/>
      </c>
      <c r="GV64" s="54" t="e">
        <f>IF(GU64="",NA(),SUM($GU$4:GU64))</f>
        <v>#N/A</v>
      </c>
      <c r="GW64" s="54">
        <f t="shared" si="88"/>
        <v>0.50099512730766804</v>
      </c>
      <c r="GX64" s="54">
        <f>IF(GW64="",NA(),SUM($GW$4:GW64))</f>
        <v>-1.9655872758424557</v>
      </c>
      <c r="GY64" s="54" t="str">
        <f t="shared" si="89"/>
        <v/>
      </c>
      <c r="GZ64" s="54" t="e">
        <f>IF(GY64="",NA(),SUM($GY$4:GY64))</f>
        <v>#N/A</v>
      </c>
      <c r="HA64" s="54" t="str">
        <f t="shared" si="90"/>
        <v/>
      </c>
      <c r="HB64" s="54" t="e">
        <f>IF(HA64="",NA(),SUM($HA$4:HA64))</f>
        <v>#N/A</v>
      </c>
      <c r="HC64" s="54" t="str">
        <f t="shared" si="91"/>
        <v/>
      </c>
      <c r="HD64" s="54" t="e">
        <f>IF(HC64="",NA(),SUM($HC$4:HC64))</f>
        <v>#N/A</v>
      </c>
      <c r="HE64" s="54" t="str">
        <f t="shared" si="92"/>
        <v/>
      </c>
      <c r="HF64" s="54" t="e">
        <f>IF(HE64="",NA(),SUM($HE$4:HE64))</f>
        <v>#N/A</v>
      </c>
      <c r="HG64" s="54" t="str">
        <f t="shared" si="93"/>
        <v/>
      </c>
      <c r="HH64" s="54" t="e">
        <f>IF(HG64="",NA(),SUM($HG$4:HG64))</f>
        <v>#N/A</v>
      </c>
      <c r="HI64" s="172" t="str">
        <f t="shared" si="106"/>
        <v/>
      </c>
      <c r="HJ64" s="172">
        <f>IF($J64="",#N/A,SUM(HI$4:$HI64))</f>
        <v>-1.0497124168140199</v>
      </c>
      <c r="HK64" s="54" t="str">
        <f t="shared" si="94"/>
        <v/>
      </c>
      <c r="HL64" s="54">
        <f>IF($J64="",#N/A,SUM($HK$4:HK64))</f>
        <v>-2.7297060402078941</v>
      </c>
      <c r="HM64" s="54" t="str">
        <f t="shared" si="95"/>
        <v/>
      </c>
      <c r="HN64" s="54">
        <f>IF($J64="",#N/A,SUM($HM$4:HM64))</f>
        <v>0.80449527204317051</v>
      </c>
      <c r="HO64" s="54" t="str">
        <f t="shared" si="96"/>
        <v/>
      </c>
      <c r="HP64" s="54">
        <f>IF($J64="",#N/A,SUM($HO$4:HO64))</f>
        <v>-0.64837295089680658</v>
      </c>
      <c r="HQ64" s="54">
        <f t="shared" si="97"/>
        <v>-0.43922860476288628</v>
      </c>
      <c r="HR64" s="54">
        <f>IF($J64="",#N/A,SUM($HQ$4:HQ64))</f>
        <v>-2.7339019665920676</v>
      </c>
      <c r="HS64" s="54" t="str">
        <f t="shared" si="98"/>
        <v/>
      </c>
      <c r="HT64" s="54">
        <f>IF($J64="",#N/A,SUM($HS$4:HS64))</f>
        <v>5.1148329712430227</v>
      </c>
      <c r="HU64" s="65">
        <f t="shared" si="99"/>
        <v>6.176652254478178E-2</v>
      </c>
      <c r="HV64" s="65">
        <f>IF($J64="",#N/A,SUM(HU$4:$HU64))</f>
        <v>-6.1292682561391718</v>
      </c>
    </row>
    <row r="65" spans="1:230" x14ac:dyDescent="0.25">
      <c r="A65" s="396" t="s">
        <v>1340</v>
      </c>
      <c r="B65" s="52" t="s">
        <v>4503</v>
      </c>
      <c r="C65" s="229">
        <f t="shared" si="0"/>
        <v>3</v>
      </c>
      <c r="D65" s="219" t="str">
        <f>_xlfn.XLOOKUP(A65,[1]SP500!$A$2:$A$502,[1]SP500!$D$2:$D$502,"N")</f>
        <v>Y</v>
      </c>
      <c r="E65" s="51" t="str">
        <f>IFERROR(_xlfn.XLOOKUP(A65,[1]SP500!$A$2:$A$655,[1]SP500!$B$2:$B$655),"")</f>
        <v>XLI</v>
      </c>
      <c r="F65" s="53">
        <v>45770</v>
      </c>
      <c r="G65" s="51" t="str">
        <f t="shared" si="1"/>
        <v>BMO</v>
      </c>
      <c r="H65" s="51" t="str">
        <f t="shared" si="2"/>
        <v>s</v>
      </c>
      <c r="I65" s="395">
        <v>326.07</v>
      </c>
      <c r="J65" s="123">
        <v>354.04</v>
      </c>
      <c r="K65" s="55">
        <f t="shared" si="3"/>
        <v>8.5779127181280182E-2</v>
      </c>
      <c r="L65" s="67">
        <f t="shared" si="4"/>
        <v>83.910000000000082</v>
      </c>
      <c r="M65" s="57">
        <f t="shared" si="5"/>
        <v>4.4399999999998272</v>
      </c>
      <c r="N65" s="155">
        <f t="shared" si="6"/>
        <v>83.910000000000082</v>
      </c>
      <c r="O65" s="156">
        <f>IF(N65="",#N/A,SUM($N$4:N65))</f>
        <v>-349.57869563037468</v>
      </c>
      <c r="P65" s="65">
        <f t="shared" si="100"/>
        <v>1.429652119688003</v>
      </c>
      <c r="Q65" s="172">
        <f>IF($N65="",#N/A,SUM($P$4:P65))</f>
        <v>-3.4572510052265755</v>
      </c>
      <c r="R65" s="279">
        <f t="shared" si="7"/>
        <v>2.3762018071228801</v>
      </c>
      <c r="S65" s="51" t="str">
        <f t="shared" si="8"/>
        <v>SW</v>
      </c>
      <c r="T65" s="51" t="s">
        <v>2828</v>
      </c>
      <c r="U65" s="56">
        <f t="shared" si="9"/>
        <v>326.07</v>
      </c>
      <c r="V65" s="56" t="s">
        <v>4460</v>
      </c>
      <c r="W65" s="142">
        <v>3</v>
      </c>
      <c r="X65" s="145">
        <f t="shared" si="10"/>
        <v>978.21</v>
      </c>
      <c r="Y65" s="140">
        <f t="shared" si="11"/>
        <v>3</v>
      </c>
      <c r="Z65" s="123">
        <v>355.52</v>
      </c>
      <c r="AA65" s="102">
        <f t="shared" si="12"/>
        <v>88.349999999999909</v>
      </c>
      <c r="AB65" s="102">
        <f t="shared" si="13"/>
        <v>30.059999999999945</v>
      </c>
      <c r="AC65" s="124">
        <v>336.09</v>
      </c>
      <c r="AD65" s="155">
        <f t="shared" si="14"/>
        <v>30.059999999999945</v>
      </c>
      <c r="AE65" s="545">
        <f t="shared" si="15"/>
        <v>0.51215996565154631</v>
      </c>
      <c r="AF65" s="57">
        <f>IF($AC65="",#N/A,SUM(AD$4:AD65))</f>
        <v>-451.64582025503159</v>
      </c>
      <c r="AG65" s="102">
        <f t="shared" si="16"/>
        <v>-53.850000000000136</v>
      </c>
      <c r="AH65" s="56" t="s">
        <v>2507</v>
      </c>
      <c r="AI65" s="65">
        <f t="shared" si="17"/>
        <v>1.5053004978481088</v>
      </c>
      <c r="AJ65" s="54">
        <f>IF(AI65="",#N/A,SUM($AI$4:AI65))</f>
        <v>-5.8334528123494556</v>
      </c>
      <c r="AK65" s="57">
        <f t="shared" si="18"/>
        <v>88.349999999999909</v>
      </c>
      <c r="AL65" s="58">
        <f>IF(AI65="",#N/A,IF(AH65="Skip",SUM($AK$4:AK65),SUM($AK$4:AK65)))</f>
        <v>-512.94999999999936</v>
      </c>
      <c r="AM65" s="65">
        <f t="shared" si="101"/>
        <v>0.51215996565154631</v>
      </c>
      <c r="AN65" s="209"/>
      <c r="AO65" s="65">
        <f t="shared" si="19"/>
        <v>0.51215996565154631</v>
      </c>
      <c r="AP65" s="65">
        <f>IF($AC65="",#N/A,SUM(AO$4:AO65))</f>
        <v>1.1294925073873294</v>
      </c>
      <c r="AQ65" s="65" t="str">
        <f t="shared" si="20"/>
        <v/>
      </c>
      <c r="AR65" s="65">
        <f>IF($AC65="",#N/A,SUM(AQ$4:AQ65))</f>
        <v>-1.2381559938812483</v>
      </c>
      <c r="AS65" s="65" t="str">
        <f t="shared" si="21"/>
        <v/>
      </c>
      <c r="AT65" s="65">
        <f>IF($AC65="",#N/A,SUM(AS$4:AS65))</f>
        <v>-5.5084448039937079</v>
      </c>
      <c r="AU65" s="57">
        <f t="shared" si="102"/>
        <v>30.059999999999945</v>
      </c>
      <c r="AV65" s="57">
        <f>IF($AC65="",#N/A,SUM(AU$4:AU65))</f>
        <v>37.932552647784405</v>
      </c>
      <c r="AW65" s="57" t="str">
        <f t="shared" si="103"/>
        <v/>
      </c>
      <c r="AX65" s="57">
        <f>IF($AC65="",#N/A,SUM(AW$4:AW65))</f>
        <v>-74.660000000000196</v>
      </c>
      <c r="AY65" s="56" t="str">
        <f t="shared" si="104"/>
        <v/>
      </c>
      <c r="AZ65" s="57">
        <f>IF($AC65="",#N/A,SUM(AY$4:AY65))</f>
        <v>-414.9183729028158</v>
      </c>
      <c r="BA65" s="57">
        <f>IF(AD65="",#N/A,SUM($AD$4:AD65))</f>
        <v>-451.64582025503159</v>
      </c>
      <c r="BC65" s="51" t="str">
        <f t="shared" si="22"/>
        <v/>
      </c>
      <c r="BD65" s="51" t="str">
        <f t="shared" si="23"/>
        <v/>
      </c>
      <c r="BE65" s="51">
        <f t="shared" si="24"/>
        <v>1</v>
      </c>
      <c r="BF65" s="51" t="str">
        <f t="shared" si="25"/>
        <v>Long</v>
      </c>
      <c r="BG65" s="51" t="str">
        <f t="shared" si="26"/>
        <v/>
      </c>
      <c r="BH65" s="51" t="str">
        <f t="shared" si="27"/>
        <v/>
      </c>
      <c r="BI65" s="51" t="str">
        <f t="shared" si="28"/>
        <v/>
      </c>
      <c r="BK65" s="65">
        <f t="shared" si="108"/>
        <v>-6.6335092838762974E-2</v>
      </c>
      <c r="BL65" s="65">
        <f t="shared" si="107"/>
        <v>1.3226415764391746E-2</v>
      </c>
      <c r="BM65" s="65">
        <f>IFERROR(Q65/COUNTA($J$4:J65),#N/A)</f>
        <v>-5.5762112987525411E-2</v>
      </c>
      <c r="BO65" s="489">
        <f>IF(J65="",#N/A,IF(S65="SW",(COUNTIFS(K$4:$K65,"&gt;0",S$4:$S65,"SW")/COUNTIF(S$4:$S65,"SW")),#N/A))</f>
        <v>0.54054054054054057</v>
      </c>
      <c r="BP65" s="489" t="e">
        <f>IF($J65="",#N/A,IF($S65="DWN",(COUNTIFS($K$4:$K65,"&lt;0",$S$4:$S65,"DWN")/COUNTIF($S$4:$S65,"DWN")),#N/A))</f>
        <v>#N/A</v>
      </c>
      <c r="BQ65" s="489" t="e">
        <f>IF($J65="",#N/A,IF($S65="UP",(COUNTIFS($K$4:$K65,"&gt;0",$S$4:$S65,"UP")/COUNTIF($S$4:$S65,"UP")),#N/A))</f>
        <v>#N/A</v>
      </c>
      <c r="BR65" s="489">
        <f>IF(J65="",#N/A,COUNTIF($K$4:K65,"&gt;0")/COUNT($J$4:J65))</f>
        <v>0.5161290322580645</v>
      </c>
      <c r="BS65" s="65">
        <f t="shared" si="29"/>
        <v>1.429652119688003</v>
      </c>
      <c r="BT65" s="65" t="str">
        <f t="shared" si="30"/>
        <v/>
      </c>
      <c r="BU65" s="65" t="str">
        <f t="shared" si="31"/>
        <v/>
      </c>
      <c r="BV65" s="65" t="str">
        <f t="shared" si="32"/>
        <v/>
      </c>
      <c r="BW65" s="151" t="str">
        <f t="shared" si="33"/>
        <v/>
      </c>
      <c r="BX65" s="151">
        <f>IF($J65="",#N/A,SUM($BW$4:BW65))</f>
        <v>-88.570000000000164</v>
      </c>
      <c r="BY65" s="152" t="str">
        <f t="shared" si="34"/>
        <v/>
      </c>
      <c r="BZ65" s="152">
        <f>IF($J65="",#N/A,SUM($BY$4:BY65))</f>
        <v>-176.84871953149536</v>
      </c>
      <c r="CA65" s="153">
        <f t="shared" si="35"/>
        <v>83.910000000000082</v>
      </c>
      <c r="CB65" s="154">
        <f>IF($J65="",#N/A,SUM($CA$4:CA65))</f>
        <v>-84.159976098879156</v>
      </c>
      <c r="CC65" s="191" t="str">
        <f t="shared" si="36"/>
        <v/>
      </c>
      <c r="CD65" s="191">
        <f>IF($J65="",#N/A,SUM($CC$4:CC65))</f>
        <v>-1.3942783150276121</v>
      </c>
      <c r="CE65" s="192" t="str">
        <f t="shared" si="37"/>
        <v/>
      </c>
      <c r="CF65" s="192">
        <f>IF($J65="",#N/A,SUM($CE$4:CE65))</f>
        <v>-1.7290263469717926</v>
      </c>
      <c r="CG65" s="193">
        <f t="shared" si="38"/>
        <v>1.429652119688003</v>
      </c>
      <c r="CH65" s="193">
        <f>IF($J65="",#N/A,SUM($CG$4:CG65))</f>
        <v>-0.33394634322716721</v>
      </c>
      <c r="CI65" s="200" t="str">
        <f t="shared" si="39"/>
        <v/>
      </c>
      <c r="CJ65" s="200">
        <f>IF($J65="",#N/A,SUM(CI$4:CI65))</f>
        <v>0</v>
      </c>
      <c r="CK65" s="201" t="str">
        <f t="shared" si="40"/>
        <v/>
      </c>
      <c r="CL65" s="201">
        <f>IF($J65="",#N/A,SUM(CK$4:CK65))</f>
        <v>1.8934431343190481</v>
      </c>
      <c r="CM65" s="202" t="str">
        <f t="shared" si="41"/>
        <v/>
      </c>
      <c r="CN65" s="202">
        <f>IF($J65="",#N/A,SUM(CM$4:CM65))</f>
        <v>0</v>
      </c>
      <c r="CO65" s="202">
        <f>IF($J65="",#N/A,SUM(CM$4:CM65,CK$4:CK65,CI$4:CI65))</f>
        <v>1.8934431343190481</v>
      </c>
      <c r="CP65" s="200" t="str">
        <f t="shared" si="42"/>
        <v/>
      </c>
      <c r="CQ65" s="200">
        <f>IF($J65="",#N/A,SUM(CP$4:CP65))</f>
        <v>0</v>
      </c>
      <c r="CR65" s="201" t="str">
        <f t="shared" si="43"/>
        <v/>
      </c>
      <c r="CS65" s="201">
        <f>IF($J65="",#N/A,SUM(CR$4:CR65))</f>
        <v>0</v>
      </c>
      <c r="CT65" s="202" t="str">
        <f t="shared" si="44"/>
        <v/>
      </c>
      <c r="CU65" s="202">
        <f>IF($J65="",#N/A,SUM(CT$4:CT65))</f>
        <v>0</v>
      </c>
      <c r="CV65" s="202">
        <f>IF($J65="",#N/A,SUM(CT$4:CT65,CR$4:CR65,CP$4:CP65))</f>
        <v>0</v>
      </c>
      <c r="CW65" s="200" t="str">
        <f t="shared" si="45"/>
        <v/>
      </c>
      <c r="CX65" s="200">
        <f>IF($J65="",#N/A,SUM(CW$4:CW65))</f>
        <v>0</v>
      </c>
      <c r="CY65" s="201" t="str">
        <f t="shared" si="46"/>
        <v/>
      </c>
      <c r="CZ65" s="201">
        <f>IF($J65="",#N/A,SUM(CY$4:CY65))</f>
        <v>-0.63271328921481373</v>
      </c>
      <c r="DA65" s="202" t="str">
        <f t="shared" si="47"/>
        <v/>
      </c>
      <c r="DB65" s="202">
        <f>IF($J65="",#N/A,SUM(DA$4:DA65))</f>
        <v>1.1829222170861893</v>
      </c>
      <c r="DC65" s="202">
        <f>IF($J65="",#N/A,SUM(DA$4:DA65,CY$4:CY65,CW$4:CW65))</f>
        <v>0.55020892787137554</v>
      </c>
      <c r="DD65" s="200" t="str">
        <f t="shared" si="48"/>
        <v/>
      </c>
      <c r="DE65" s="200">
        <f>IF($J65="",#N/A,SUM(DD$4:DD65))</f>
        <v>0</v>
      </c>
      <c r="DF65" s="201" t="str">
        <f t="shared" si="49"/>
        <v/>
      </c>
      <c r="DG65" s="201">
        <f>IF($J65="",#N/A,SUM(DF$4:DF65))</f>
        <v>0.6788440567066546</v>
      </c>
      <c r="DH65" s="202" t="str">
        <f t="shared" si="50"/>
        <v/>
      </c>
      <c r="DI65" s="202">
        <f>IF($J65="",#N/A,SUM(DH$4:DH65))</f>
        <v>-0.83172699364602887</v>
      </c>
      <c r="DJ65" s="202">
        <f>IF($J65="",#N/A,SUM(DH$4:DH65,DF$4:DF65,DD$4:DD65))</f>
        <v>-0.15288293693937427</v>
      </c>
      <c r="DK65" s="200" t="str">
        <f t="shared" si="51"/>
        <v/>
      </c>
      <c r="DL65" s="200">
        <f>IF($J65="",#N/A,SUM(DK$4:DK65))</f>
        <v>0</v>
      </c>
      <c r="DM65" s="201" t="str">
        <f t="shared" si="52"/>
        <v/>
      </c>
      <c r="DN65" s="201">
        <f>IF($J65="",#N/A,SUM(DM$4:DM65))</f>
        <v>0.36227168206863897</v>
      </c>
      <c r="DO65" s="202" t="str">
        <f t="shared" si="53"/>
        <v/>
      </c>
      <c r="DP65" s="202">
        <f>IF($J65="",#N/A,SUM(DO$4:DO65))</f>
        <v>-0.17018269154375754</v>
      </c>
      <c r="DQ65" s="202">
        <f>IF($J65="",#N/A,SUM(DO$4:DO65,DM$4:DM65,DK$4:DK65))</f>
        <v>0.19208899052488143</v>
      </c>
      <c r="DR65" s="200" t="str">
        <f t="shared" si="54"/>
        <v/>
      </c>
      <c r="DS65" s="200">
        <f>IF($J65="",#N/A,SUM(DR$4:DR65))</f>
        <v>0</v>
      </c>
      <c r="DT65" s="201" t="str">
        <f t="shared" si="55"/>
        <v/>
      </c>
      <c r="DU65" s="201">
        <f>IF($J65="",#N/A,SUM(DT$4:DT65))</f>
        <v>-2.8875364672150718</v>
      </c>
      <c r="DV65" s="202" t="str">
        <f t="shared" si="56"/>
        <v/>
      </c>
      <c r="DW65" s="202">
        <f>IF($J65="",#N/A,SUM(DV$4:DV65))</f>
        <v>-0.23245750740486493</v>
      </c>
      <c r="DX65" s="202">
        <f>IF($J65="",#N/A,SUM(DV$4:DV65,DT$4:DT65,DR$4:DR65))</f>
        <v>-3.1199939746199368</v>
      </c>
      <c r="DY65" s="200" t="str">
        <f t="shared" si="57"/>
        <v/>
      </c>
      <c r="DZ65" s="200">
        <f>IF($J65="",#N/A,SUM(DY$4:DY65))</f>
        <v>-1.4611133068588897</v>
      </c>
      <c r="EA65" s="201" t="str">
        <f t="shared" si="58"/>
        <v/>
      </c>
      <c r="EB65" s="201">
        <f>IF($J65="",#N/A,SUM(EA$4:EA65))</f>
        <v>-0.86716764906472754</v>
      </c>
      <c r="EC65" s="202">
        <f t="shared" si="59"/>
        <v>1.429652119688003</v>
      </c>
      <c r="ED65" s="202">
        <f>IF($J65="",#N/A,SUM(EC$4:EC65))</f>
        <v>1.3071535330018835</v>
      </c>
      <c r="EE65" s="202">
        <f>IF($J65="",#N/A,SUM(EC$4:EC65,EA$4:EA65,DY$4:DY65))</f>
        <v>-1.0211274229217338</v>
      </c>
      <c r="EF65" s="200" t="str">
        <f t="shared" si="60"/>
        <v/>
      </c>
      <c r="EG65" s="200">
        <f>IF($J65="",#N/A,SUM(EF$4:EF65))</f>
        <v>0</v>
      </c>
      <c r="EH65" s="201" t="str">
        <f t="shared" si="61"/>
        <v/>
      </c>
      <c r="EI65" s="201">
        <f>IF($J65="",#N/A,SUM(EH$4:EH65))</f>
        <v>-1.196204584775086</v>
      </c>
      <c r="EJ65" s="202" t="str">
        <f t="shared" si="62"/>
        <v/>
      </c>
      <c r="EK65" s="202">
        <f>IF($J65="",#N/A,SUM(EJ$4:EJ65))</f>
        <v>1.3436756383175479</v>
      </c>
      <c r="EL65" s="202">
        <f>IF($J65="",#N/A,SUM(EJ$4:EJ65,EH$4:EH65,EF$4:EF65))</f>
        <v>0.14747105354246193</v>
      </c>
      <c r="EM65" s="200" t="str">
        <f t="shared" si="63"/>
        <v/>
      </c>
      <c r="EN65" s="200">
        <f>IF($J65="",#N/A,SUM(EM$4:EM65))</f>
        <v>0</v>
      </c>
      <c r="EO65" s="201" t="str">
        <f t="shared" si="64"/>
        <v/>
      </c>
      <c r="EP65" s="201">
        <f>IF($J65="",#N/A,SUM(EO$4:EO65))</f>
        <v>0.61509852304831358</v>
      </c>
      <c r="EQ65" s="202" t="str">
        <f t="shared" si="65"/>
        <v/>
      </c>
      <c r="ER65" s="202">
        <f>IF($J65="",#N/A,SUM(EQ$4:EQ65))</f>
        <v>0.4926597949853756</v>
      </c>
      <c r="ES65" s="202">
        <f>IF($J65="",#N/A,SUM(EQ$4:EQ65,EO$4:EO65,EM$4:EM65))</f>
        <v>1.1077583180336892</v>
      </c>
      <c r="ET65" s="200" t="str">
        <f t="shared" si="66"/>
        <v/>
      </c>
      <c r="EU65" s="200">
        <f>IF($J65="",#N/A,SUM(ET$4:ET65))</f>
        <v>0</v>
      </c>
      <c r="EV65" s="201" t="str">
        <f t="shared" si="67"/>
        <v/>
      </c>
      <c r="EW65" s="201">
        <f>IF($J65="",#N/A,SUM(EV$4:EV65))</f>
        <v>0</v>
      </c>
      <c r="EX65" s="202" t="str">
        <f t="shared" si="68"/>
        <v/>
      </c>
      <c r="EY65" s="202">
        <f>IF($J65="",#N/A,SUM(EX$4:EX65))</f>
        <v>0</v>
      </c>
      <c r="EZ65" s="202">
        <f>IF($J65="",#N/A,SUM(EX$4:EX65,EV$4:EV65,ET$4:ET65))</f>
        <v>0</v>
      </c>
      <c r="FA65" s="200" t="str">
        <f t="shared" si="69"/>
        <v/>
      </c>
      <c r="FB65" s="200">
        <f>IF($J65="",#N/A,SUM(FA$4:FA65))</f>
        <v>0</v>
      </c>
      <c r="FC65" s="201" t="str">
        <f t="shared" si="70"/>
        <v/>
      </c>
      <c r="FD65" s="201">
        <f>IF($J65="",#N/A,SUM(FC$4:FC65))</f>
        <v>1.3724148418491529</v>
      </c>
      <c r="FE65" s="202" t="str">
        <f t="shared" si="71"/>
        <v/>
      </c>
      <c r="FF65" s="202">
        <f>IF($J65="",#N/A,SUM(FE$4:FE65))</f>
        <v>-0.28811149078748233</v>
      </c>
      <c r="FG65" s="202">
        <f>IF($J65="",#N/A,SUM(FE$4:FE65,FC$4:FC65,FA$4:FA65))</f>
        <v>1.0843033510616706</v>
      </c>
      <c r="FH65" s="200" t="str">
        <f t="shared" si="72"/>
        <v/>
      </c>
      <c r="FI65" s="200">
        <f>IF($J65="",#N/A,SUM(FH$4:FH65))</f>
        <v>0</v>
      </c>
      <c r="FJ65" s="201" t="str">
        <f t="shared" si="73"/>
        <v/>
      </c>
      <c r="FK65" s="201">
        <f>IF($J65="",#N/A,SUM(FJ$4:FJ65))</f>
        <v>0</v>
      </c>
      <c r="FL65" s="202" t="str">
        <f t="shared" si="74"/>
        <v/>
      </c>
      <c r="FM65" s="202">
        <f>IF($J65="",#N/A,SUM(FL$4:FL65))</f>
        <v>0</v>
      </c>
      <c r="FN65" s="202">
        <f>IF($J65="",#N/A,SUM(FL$4:FL65,FJ$4:FJ65,FH$4:FH65))</f>
        <v>0</v>
      </c>
      <c r="FO65" s="200" t="str">
        <f t="shared" si="75"/>
        <v/>
      </c>
      <c r="FP65" s="200">
        <f>IF($J65="",#N/A,SUM(FO$4:FO65))</f>
        <v>0</v>
      </c>
      <c r="FQ65" s="201" t="str">
        <f t="shared" si="76"/>
        <v/>
      </c>
      <c r="FR65" s="201">
        <f>IF($J65="",#N/A,SUM(FQ$4:FQ65))</f>
        <v>0</v>
      </c>
      <c r="FS65" s="202" t="str">
        <f t="shared" si="77"/>
        <v/>
      </c>
      <c r="FT65" s="202">
        <f>IF($J65="",#N/A,SUM(FS$4:FS65))</f>
        <v>0</v>
      </c>
      <c r="FU65" s="202">
        <f>IF($J65="",#N/A,SUM(FS$4:FS65,FQ$4:FQ65,FO$4:FO65))</f>
        <v>0</v>
      </c>
      <c r="FV65" s="200" t="str">
        <f t="shared" si="78"/>
        <v/>
      </c>
      <c r="FW65" s="200">
        <f>IF($J65="",#N/A,SUM(FV$4:FV65))</f>
        <v>6.6834991831277585E-2</v>
      </c>
      <c r="FX65" s="201" t="str">
        <f t="shared" si="79"/>
        <v/>
      </c>
      <c r="FY65" s="201">
        <f>IF($J65="",#N/A,SUM(FX$4:FX65))</f>
        <v>0</v>
      </c>
      <c r="FZ65" s="202" t="str">
        <f t="shared" si="80"/>
        <v/>
      </c>
      <c r="GA65" s="202">
        <f>IF($J65="",#N/A,SUM(FZ$4:FZ65))</f>
        <v>-0.20104261551371039</v>
      </c>
      <c r="GB65" s="202">
        <f>IF($J65="",#N/A,SUM(FZ$4:FZ65,FX$4:FX65,FV$4:FV65))</f>
        <v>-0.1342076236824328</v>
      </c>
      <c r="GC65" s="200" t="str">
        <f t="shared" si="81"/>
        <v/>
      </c>
      <c r="GD65" s="200">
        <f>IF($J65="",#N/A,SUM(GC$4:GC65))</f>
        <v>0</v>
      </c>
      <c r="GE65" s="201" t="str">
        <f t="shared" si="82"/>
        <v/>
      </c>
      <c r="GF65" s="201">
        <f>IF($J65="",#N/A,SUM(GE$4:GE65))</f>
        <v>0</v>
      </c>
      <c r="GG65" s="202" t="str">
        <f t="shared" si="83"/>
        <v/>
      </c>
      <c r="GH65" s="202">
        <f>IF($J65="",#N/A,SUM(GG$4:GG65))</f>
        <v>-2.9368362277223206</v>
      </c>
      <c r="GI65" s="202">
        <f>IF($J65="",#N/A,SUM(GG$4:GG65,GE$4:GE65,GC$4:GC65))</f>
        <v>-2.9368362277223206</v>
      </c>
      <c r="GJ65" s="200" t="str">
        <f t="shared" si="84"/>
        <v/>
      </c>
      <c r="GK65" s="200">
        <f>IF($J65="",#N/A,SUM(GJ$4:GJ65))</f>
        <v>0</v>
      </c>
      <c r="GL65" s="201" t="str">
        <f t="shared" si="85"/>
        <v/>
      </c>
      <c r="GM65" s="201">
        <f>IF($J65="",#N/A,SUM(GL$4:GL65))</f>
        <v>-1.0674765946939027</v>
      </c>
      <c r="GN65" s="202" t="str">
        <f t="shared" si="86"/>
        <v/>
      </c>
      <c r="GO65" s="202">
        <f>IF($J65="",#N/A,SUM(GN$4:GN65))</f>
        <v>0</v>
      </c>
      <c r="GP65" s="202">
        <f>IF($J65="",#N/A,SUM(GN$4:GN65,GL$4:GL65,GJ$4:GJ65))</f>
        <v>-1.0674765946939027</v>
      </c>
      <c r="GS65" s="54">
        <f t="shared" si="105"/>
        <v>1.429652119688003</v>
      </c>
      <c r="GT65" s="54">
        <f>IF(GS65="",NA(),SUM($GS$4:GS65))</f>
        <v>-3.6592398181538583</v>
      </c>
      <c r="GU65" s="54" t="str">
        <f t="shared" si="87"/>
        <v/>
      </c>
      <c r="GV65" s="54" t="e">
        <f>IF(GU65="",NA(),SUM($GU$4:GU65))</f>
        <v>#N/A</v>
      </c>
      <c r="GW65" s="54">
        <f t="shared" si="88"/>
        <v>1.429652119688003</v>
      </c>
      <c r="GX65" s="54">
        <f>IF(GW65="",NA(),SUM($GW$4:GW65))</f>
        <v>-0.53593515615445275</v>
      </c>
      <c r="GY65" s="54" t="str">
        <f t="shared" si="89"/>
        <v/>
      </c>
      <c r="GZ65" s="54" t="e">
        <f>IF(GY65="",NA(),SUM($GY$4:GY65))</f>
        <v>#N/A</v>
      </c>
      <c r="HA65" s="54" t="str">
        <f t="shared" si="90"/>
        <v/>
      </c>
      <c r="HB65" s="54" t="e">
        <f>IF(HA65="",NA(),SUM($HA$4:HA65))</f>
        <v>#N/A</v>
      </c>
      <c r="HC65" s="54" t="str">
        <f t="shared" si="91"/>
        <v/>
      </c>
      <c r="HD65" s="54" t="e">
        <f>IF(HC65="",NA(),SUM($HC$4:HC65))</f>
        <v>#N/A</v>
      </c>
      <c r="HE65" s="54" t="str">
        <f t="shared" si="92"/>
        <v/>
      </c>
      <c r="HF65" s="54" t="e">
        <f>IF(HE65="",NA(),SUM($HE$4:HE65))</f>
        <v>#N/A</v>
      </c>
      <c r="HG65" s="54" t="str">
        <f t="shared" si="93"/>
        <v/>
      </c>
      <c r="HH65" s="54" t="e">
        <f>IF(HG65="",NA(),SUM($HG$4:HG65))</f>
        <v>#N/A</v>
      </c>
      <c r="HI65" s="172" t="str">
        <f t="shared" si="106"/>
        <v/>
      </c>
      <c r="HJ65" s="172">
        <f>IF($J65="",#N/A,SUM(HI$4:$HI65))</f>
        <v>-1.0497124168140199</v>
      </c>
      <c r="HK65" s="54" t="str">
        <f t="shared" si="94"/>
        <v/>
      </c>
      <c r="HL65" s="54">
        <f>IF($J65="",#N/A,SUM($HK$4:HK65))</f>
        <v>-2.7297060402078941</v>
      </c>
      <c r="HM65" s="54" t="str">
        <f t="shared" si="95"/>
        <v/>
      </c>
      <c r="HN65" s="54">
        <f>IF($J65="",#N/A,SUM($HM$4:HM65))</f>
        <v>0.80449527204317051</v>
      </c>
      <c r="HO65" s="54" t="str">
        <f t="shared" si="96"/>
        <v/>
      </c>
      <c r="HP65" s="54">
        <f>IF($J65="",#N/A,SUM($HO$4:HO65))</f>
        <v>-0.64837295089680658</v>
      </c>
      <c r="HQ65" s="54">
        <f t="shared" si="97"/>
        <v>-0.91749215403645668</v>
      </c>
      <c r="HR65" s="54">
        <f>IF($J65="",#N/A,SUM($HQ$4:HQ65))</f>
        <v>-3.6513941206285243</v>
      </c>
      <c r="HS65" s="54" t="str">
        <f t="shared" si="98"/>
        <v/>
      </c>
      <c r="HT65" s="54">
        <f>IF($J65="",#N/A,SUM($HS$4:HS65))</f>
        <v>5.1148329712430227</v>
      </c>
      <c r="HU65" s="65">
        <f t="shared" si="99"/>
        <v>0.51215996565154631</v>
      </c>
      <c r="HV65" s="65">
        <f>IF($J65="",#N/A,SUM(HU$4:$HU65))</f>
        <v>-5.6171082904876251</v>
      </c>
    </row>
    <row r="66" spans="1:230" x14ac:dyDescent="0.25">
      <c r="A66" s="51" t="s">
        <v>1355</v>
      </c>
      <c r="B66" s="52" t="s">
        <v>4503</v>
      </c>
      <c r="C66" s="229">
        <f t="shared" si="0"/>
        <v>3</v>
      </c>
      <c r="D66" s="219" t="str">
        <f>_xlfn.XLOOKUP(A66,[1]SP500!$A$2:$A$502,[1]SP500!$D$2:$D$502,"N")</f>
        <v>Y</v>
      </c>
      <c r="E66" s="51" t="str">
        <f>IFERROR(_xlfn.XLOOKUP(A66,[1]SP500!$A$2:$A$655,[1]SP500!$B$2:$B$655),"")</f>
        <v>XLK</v>
      </c>
      <c r="F66" s="53">
        <v>45770</v>
      </c>
      <c r="G66" s="51" t="str">
        <f t="shared" si="1"/>
        <v>BMO</v>
      </c>
      <c r="H66" s="51" t="str">
        <f t="shared" si="2"/>
        <v>s</v>
      </c>
      <c r="I66" s="344">
        <v>65.75</v>
      </c>
      <c r="J66" s="124">
        <v>76.02</v>
      </c>
      <c r="K66" s="55">
        <f t="shared" si="3"/>
        <v>0.15619771863117865</v>
      </c>
      <c r="L66" s="67">
        <f t="shared" si="4"/>
        <v>123.24000000000001</v>
      </c>
      <c r="M66" s="57">
        <f t="shared" si="5"/>
        <v>-12.240000000000009</v>
      </c>
      <c r="N66" s="155">
        <f t="shared" si="6"/>
        <v>123.24000000000001</v>
      </c>
      <c r="O66" s="156">
        <f>IF(N66="",#N/A,SUM($N$4:N66))</f>
        <v>-226.33869563037467</v>
      </c>
      <c r="P66" s="65">
        <f t="shared" si="100"/>
        <v>2.6032953105196457</v>
      </c>
      <c r="Q66" s="172">
        <f>IF($N66="",#N/A,SUM($P$4:P66))</f>
        <v>-0.85395569470692978</v>
      </c>
      <c r="R66" s="279">
        <f t="shared" si="7"/>
        <v>2.6347569402027284</v>
      </c>
      <c r="S66" s="51" t="str">
        <f t="shared" si="8"/>
        <v>SW</v>
      </c>
      <c r="T66" s="51" t="s">
        <v>2828</v>
      </c>
      <c r="U66" s="56">
        <f t="shared" si="9"/>
        <v>65.75</v>
      </c>
      <c r="V66" s="56" t="s">
        <v>4460</v>
      </c>
      <c r="W66" s="142">
        <v>12</v>
      </c>
      <c r="X66" s="145">
        <f t="shared" si="10"/>
        <v>789</v>
      </c>
      <c r="Y66" s="140">
        <f t="shared" si="11"/>
        <v>12</v>
      </c>
      <c r="Z66" s="123">
        <v>75</v>
      </c>
      <c r="AA66" s="102">
        <f t="shared" si="12"/>
        <v>111</v>
      </c>
      <c r="AB66" s="102">
        <f t="shared" si="13"/>
        <v>64.800000000000068</v>
      </c>
      <c r="AC66" s="124">
        <v>71.150000000000006</v>
      </c>
      <c r="AD66" s="155">
        <f t="shared" si="14"/>
        <v>64.800000000000068</v>
      </c>
      <c r="AE66" s="545">
        <f t="shared" si="15"/>
        <v>1.3688212927756669</v>
      </c>
      <c r="AF66" s="57">
        <f>IF($AC66="",#N/A,SUM(AD$4:AD66))</f>
        <v>-386.84582025503153</v>
      </c>
      <c r="AG66" s="102">
        <f t="shared" si="16"/>
        <v>-58.439999999999941</v>
      </c>
      <c r="AH66" s="56" t="s">
        <v>2507</v>
      </c>
      <c r="AI66" s="65">
        <f t="shared" si="17"/>
        <v>2.3447401774397973</v>
      </c>
      <c r="AJ66" s="54">
        <f>IF(AI66="",#N/A,SUM($AI$4:AI66))</f>
        <v>-3.4887126349096582</v>
      </c>
      <c r="AK66" s="57">
        <f t="shared" si="18"/>
        <v>111</v>
      </c>
      <c r="AL66" s="58">
        <f>IF(AI66="",#N/A,IF(AH66="Skip",SUM($AK$4:AK66),SUM($AK$4:AK66)))</f>
        <v>-401.94999999999936</v>
      </c>
      <c r="AM66" s="65">
        <f t="shared" si="101"/>
        <v>1.3688212927756669</v>
      </c>
      <c r="AN66" s="209"/>
      <c r="AO66" s="65">
        <f t="shared" si="19"/>
        <v>1.3688212927756669</v>
      </c>
      <c r="AP66" s="65">
        <f>IF($AC66="",#N/A,SUM(AO$4:AO66))</f>
        <v>2.4983138001629963</v>
      </c>
      <c r="AQ66" s="65" t="str">
        <f t="shared" si="20"/>
        <v/>
      </c>
      <c r="AR66" s="65">
        <f>IF($AC66="",#N/A,SUM(AQ$4:AQ66))</f>
        <v>-1.2381559938812483</v>
      </c>
      <c r="AS66" s="65" t="str">
        <f t="shared" si="21"/>
        <v/>
      </c>
      <c r="AT66" s="65">
        <f>IF($AC66="",#N/A,SUM(AS$4:AS66))</f>
        <v>-5.5084448039937079</v>
      </c>
      <c r="AU66" s="57">
        <f t="shared" si="102"/>
        <v>64.800000000000068</v>
      </c>
      <c r="AV66" s="57">
        <f>IF($AC66="",#N/A,SUM(AU$4:AU66))</f>
        <v>102.73255264778447</v>
      </c>
      <c r="AW66" s="57" t="str">
        <f t="shared" si="103"/>
        <v/>
      </c>
      <c r="AX66" s="57">
        <f>IF($AC66="",#N/A,SUM(AW$4:AW66))</f>
        <v>-74.660000000000196</v>
      </c>
      <c r="AY66" s="56" t="str">
        <f t="shared" si="104"/>
        <v/>
      </c>
      <c r="AZ66" s="57">
        <f>IF($AC66="",#N/A,SUM(AY$4:AY66))</f>
        <v>-414.9183729028158</v>
      </c>
      <c r="BA66" s="57">
        <f>IF(AD66="",#N/A,SUM($AD$4:AD66))</f>
        <v>-386.84582025503153</v>
      </c>
      <c r="BC66" s="51" t="str">
        <f t="shared" si="22"/>
        <v/>
      </c>
      <c r="BD66" s="51" t="str">
        <f t="shared" si="23"/>
        <v/>
      </c>
      <c r="BE66" s="51">
        <f t="shared" si="24"/>
        <v>1</v>
      </c>
      <c r="BF66" s="51" t="str">
        <f t="shared" si="25"/>
        <v>Long</v>
      </c>
      <c r="BG66" s="51" t="str">
        <f t="shared" si="26"/>
        <v/>
      </c>
      <c r="BH66" s="51" t="str">
        <f t="shared" si="27"/>
        <v/>
      </c>
      <c r="BI66" s="51" t="str">
        <f t="shared" si="28"/>
        <v/>
      </c>
      <c r="BK66" s="65">
        <f t="shared" si="108"/>
        <v>-1.7162855108978123E-2</v>
      </c>
      <c r="BL66" s="65">
        <f t="shared" si="107"/>
        <v>0.10956812921597826</v>
      </c>
      <c r="BM66" s="65">
        <f>IFERROR(Q66/COUNTA($J$4:J66),#N/A)</f>
        <v>-1.3554852296935394E-2</v>
      </c>
      <c r="BO66" s="489">
        <f>IF(J66="",#N/A,IF(S66="SW",(COUNTIFS(K$4:$K66,"&gt;0",S$4:$S66,"SW")/COUNTIF(S$4:$S66,"SW")),#N/A))</f>
        <v>0.55263157894736847</v>
      </c>
      <c r="BP66" s="489" t="e">
        <f>IF($J66="",#N/A,IF($S66="DWN",(COUNTIFS($K$4:$K66,"&lt;0",$S$4:$S66,"DWN")/COUNTIF($S$4:$S66,"DWN")),#N/A))</f>
        <v>#N/A</v>
      </c>
      <c r="BQ66" s="489" t="e">
        <f>IF($J66="",#N/A,IF($S66="UP",(COUNTIFS($K$4:$K66,"&gt;0",$S$4:$S66,"UP")/COUNTIF($S$4:$S66,"UP")),#N/A))</f>
        <v>#N/A</v>
      </c>
      <c r="BR66" s="489">
        <f>IF(J66="",#N/A,COUNTIF($K$4:K66,"&gt;0")/COUNT($J$4:J66))</f>
        <v>0.52380952380952384</v>
      </c>
      <c r="BS66" s="65">
        <f t="shared" si="29"/>
        <v>2.6032953105196457</v>
      </c>
      <c r="BT66" s="65" t="str">
        <f t="shared" si="30"/>
        <v/>
      </c>
      <c r="BU66" s="65" t="str">
        <f t="shared" si="31"/>
        <v/>
      </c>
      <c r="BV66" s="65" t="str">
        <f t="shared" si="32"/>
        <v/>
      </c>
      <c r="BW66" s="151" t="str">
        <f t="shared" si="33"/>
        <v/>
      </c>
      <c r="BX66" s="151">
        <f>IF($J66="",#N/A,SUM($BW$4:BW66))</f>
        <v>-88.570000000000164</v>
      </c>
      <c r="BY66" s="152" t="str">
        <f t="shared" si="34"/>
        <v/>
      </c>
      <c r="BZ66" s="152">
        <f>IF($J66="",#N/A,SUM($BY$4:BY66))</f>
        <v>-176.84871953149536</v>
      </c>
      <c r="CA66" s="153">
        <f t="shared" si="35"/>
        <v>123.24000000000001</v>
      </c>
      <c r="CB66" s="154">
        <f>IF($J66="",#N/A,SUM($CA$4:CA66))</f>
        <v>39.080023901120853</v>
      </c>
      <c r="CC66" s="191" t="str">
        <f t="shared" si="36"/>
        <v/>
      </c>
      <c r="CD66" s="191">
        <f>IF($J66="",#N/A,SUM($CC$4:CC66))</f>
        <v>-1.3942783150276121</v>
      </c>
      <c r="CE66" s="192" t="str">
        <f t="shared" si="37"/>
        <v/>
      </c>
      <c r="CF66" s="192">
        <f>IF($J66="",#N/A,SUM($CE$4:CE66))</f>
        <v>-1.7290263469717926</v>
      </c>
      <c r="CG66" s="193">
        <f t="shared" si="38"/>
        <v>2.6032953105196457</v>
      </c>
      <c r="CH66" s="193">
        <f>IF($J66="",#N/A,SUM($CG$4:CG66))</f>
        <v>2.2693489672924785</v>
      </c>
      <c r="CI66" s="200" t="str">
        <f t="shared" si="39"/>
        <v/>
      </c>
      <c r="CJ66" s="200">
        <f>IF($J66="",#N/A,SUM(CI$4:CI66))</f>
        <v>0</v>
      </c>
      <c r="CK66" s="201" t="str">
        <f t="shared" si="40"/>
        <v/>
      </c>
      <c r="CL66" s="201">
        <f>IF($J66="",#N/A,SUM(CK$4:CK66))</f>
        <v>1.8934431343190481</v>
      </c>
      <c r="CM66" s="202">
        <f t="shared" si="41"/>
        <v>2.6032953105196457</v>
      </c>
      <c r="CN66" s="202">
        <f>IF($J66="",#N/A,SUM(CM$4:CM66))</f>
        <v>2.6032953105196457</v>
      </c>
      <c r="CO66" s="202">
        <f>IF($J66="",#N/A,SUM(CM$4:CM66,CK$4:CK66,CI$4:CI66))</f>
        <v>4.4967384448386936</v>
      </c>
      <c r="CP66" s="200" t="str">
        <f t="shared" si="42"/>
        <v/>
      </c>
      <c r="CQ66" s="200">
        <f>IF($J66="",#N/A,SUM(CP$4:CP66))</f>
        <v>0</v>
      </c>
      <c r="CR66" s="201" t="str">
        <f t="shared" si="43"/>
        <v/>
      </c>
      <c r="CS66" s="201">
        <f>IF($J66="",#N/A,SUM(CR$4:CR66))</f>
        <v>0</v>
      </c>
      <c r="CT66" s="202" t="str">
        <f t="shared" si="44"/>
        <v/>
      </c>
      <c r="CU66" s="202">
        <f>IF($J66="",#N/A,SUM(CT$4:CT66))</f>
        <v>0</v>
      </c>
      <c r="CV66" s="202">
        <f>IF($J66="",#N/A,SUM(CT$4:CT66,CR$4:CR66,CP$4:CP66))</f>
        <v>0</v>
      </c>
      <c r="CW66" s="200" t="str">
        <f t="shared" si="45"/>
        <v/>
      </c>
      <c r="CX66" s="200">
        <f>IF($J66="",#N/A,SUM(CW$4:CW66))</f>
        <v>0</v>
      </c>
      <c r="CY66" s="201" t="str">
        <f t="shared" si="46"/>
        <v/>
      </c>
      <c r="CZ66" s="201">
        <f>IF($J66="",#N/A,SUM(CY$4:CY66))</f>
        <v>-0.63271328921481373</v>
      </c>
      <c r="DA66" s="202" t="str">
        <f t="shared" si="47"/>
        <v/>
      </c>
      <c r="DB66" s="202">
        <f>IF($J66="",#N/A,SUM(DA$4:DA66))</f>
        <v>1.1829222170861893</v>
      </c>
      <c r="DC66" s="202">
        <f>IF($J66="",#N/A,SUM(DA$4:DA66,CY$4:CY66,CW$4:CW66))</f>
        <v>0.55020892787137554</v>
      </c>
      <c r="DD66" s="200" t="str">
        <f t="shared" si="48"/>
        <v/>
      </c>
      <c r="DE66" s="200">
        <f>IF($J66="",#N/A,SUM(DD$4:DD66))</f>
        <v>0</v>
      </c>
      <c r="DF66" s="201" t="str">
        <f t="shared" si="49"/>
        <v/>
      </c>
      <c r="DG66" s="201">
        <f>IF($J66="",#N/A,SUM(DF$4:DF66))</f>
        <v>0.6788440567066546</v>
      </c>
      <c r="DH66" s="202" t="str">
        <f t="shared" si="50"/>
        <v/>
      </c>
      <c r="DI66" s="202">
        <f>IF($J66="",#N/A,SUM(DH$4:DH66))</f>
        <v>-0.83172699364602887</v>
      </c>
      <c r="DJ66" s="202">
        <f>IF($J66="",#N/A,SUM(DH$4:DH66,DF$4:DF66,DD$4:DD66))</f>
        <v>-0.15288293693937427</v>
      </c>
      <c r="DK66" s="200" t="str">
        <f t="shared" si="51"/>
        <v/>
      </c>
      <c r="DL66" s="200">
        <f>IF($J66="",#N/A,SUM(DK$4:DK66))</f>
        <v>0</v>
      </c>
      <c r="DM66" s="201" t="str">
        <f t="shared" si="52"/>
        <v/>
      </c>
      <c r="DN66" s="201">
        <f>IF($J66="",#N/A,SUM(DM$4:DM66))</f>
        <v>0.36227168206863897</v>
      </c>
      <c r="DO66" s="202" t="str">
        <f t="shared" si="53"/>
        <v/>
      </c>
      <c r="DP66" s="202">
        <f>IF($J66="",#N/A,SUM(DO$4:DO66))</f>
        <v>-0.17018269154375754</v>
      </c>
      <c r="DQ66" s="202">
        <f>IF($J66="",#N/A,SUM(DO$4:DO66,DM$4:DM66,DK$4:DK66))</f>
        <v>0.19208899052488143</v>
      </c>
      <c r="DR66" s="200" t="str">
        <f t="shared" si="54"/>
        <v/>
      </c>
      <c r="DS66" s="200">
        <f>IF($J66="",#N/A,SUM(DR$4:DR66))</f>
        <v>0</v>
      </c>
      <c r="DT66" s="201" t="str">
        <f t="shared" si="55"/>
        <v/>
      </c>
      <c r="DU66" s="201">
        <f>IF($J66="",#N/A,SUM(DT$4:DT66))</f>
        <v>-2.8875364672150718</v>
      </c>
      <c r="DV66" s="202" t="str">
        <f t="shared" si="56"/>
        <v/>
      </c>
      <c r="DW66" s="202">
        <f>IF($J66="",#N/A,SUM(DV$4:DV66))</f>
        <v>-0.23245750740486493</v>
      </c>
      <c r="DX66" s="202">
        <f>IF($J66="",#N/A,SUM(DV$4:DV66,DT$4:DT66,DR$4:DR66))</f>
        <v>-3.1199939746199368</v>
      </c>
      <c r="DY66" s="200" t="str">
        <f t="shared" si="57"/>
        <v/>
      </c>
      <c r="DZ66" s="200">
        <f>IF($J66="",#N/A,SUM(DY$4:DY66))</f>
        <v>-1.4611133068588897</v>
      </c>
      <c r="EA66" s="201" t="str">
        <f t="shared" si="58"/>
        <v/>
      </c>
      <c r="EB66" s="201">
        <f>IF($J66="",#N/A,SUM(EA$4:EA66))</f>
        <v>-0.86716764906472754</v>
      </c>
      <c r="EC66" s="202" t="str">
        <f t="shared" si="59"/>
        <v/>
      </c>
      <c r="ED66" s="202">
        <f>IF($J66="",#N/A,SUM(EC$4:EC66))</f>
        <v>1.3071535330018835</v>
      </c>
      <c r="EE66" s="202">
        <f>IF($J66="",#N/A,SUM(EC$4:EC66,EA$4:EA66,DY$4:DY66))</f>
        <v>-1.0211274229217338</v>
      </c>
      <c r="EF66" s="200" t="str">
        <f t="shared" si="60"/>
        <v/>
      </c>
      <c r="EG66" s="200">
        <f>IF($J66="",#N/A,SUM(EF$4:EF66))</f>
        <v>0</v>
      </c>
      <c r="EH66" s="201" t="str">
        <f t="shared" si="61"/>
        <v/>
      </c>
      <c r="EI66" s="201">
        <f>IF($J66="",#N/A,SUM(EH$4:EH66))</f>
        <v>-1.196204584775086</v>
      </c>
      <c r="EJ66" s="202" t="str">
        <f t="shared" si="62"/>
        <v/>
      </c>
      <c r="EK66" s="202">
        <f>IF($J66="",#N/A,SUM(EJ$4:EJ66))</f>
        <v>1.3436756383175479</v>
      </c>
      <c r="EL66" s="202">
        <f>IF($J66="",#N/A,SUM(EJ$4:EJ66,EH$4:EH66,EF$4:EF66))</f>
        <v>0.14747105354246193</v>
      </c>
      <c r="EM66" s="200" t="str">
        <f t="shared" si="63"/>
        <v/>
      </c>
      <c r="EN66" s="200">
        <f>IF($J66="",#N/A,SUM(EM$4:EM66))</f>
        <v>0</v>
      </c>
      <c r="EO66" s="201" t="str">
        <f t="shared" si="64"/>
        <v/>
      </c>
      <c r="EP66" s="201">
        <f>IF($J66="",#N/A,SUM(EO$4:EO66))</f>
        <v>0.61509852304831358</v>
      </c>
      <c r="EQ66" s="202" t="str">
        <f t="shared" si="65"/>
        <v/>
      </c>
      <c r="ER66" s="202">
        <f>IF($J66="",#N/A,SUM(EQ$4:EQ66))</f>
        <v>0.4926597949853756</v>
      </c>
      <c r="ES66" s="202">
        <f>IF($J66="",#N/A,SUM(EQ$4:EQ66,EO$4:EO66,EM$4:EM66))</f>
        <v>1.1077583180336892</v>
      </c>
      <c r="ET66" s="200" t="str">
        <f t="shared" si="66"/>
        <v/>
      </c>
      <c r="EU66" s="200">
        <f>IF($J66="",#N/A,SUM(ET$4:ET66))</f>
        <v>0</v>
      </c>
      <c r="EV66" s="201" t="str">
        <f t="shared" si="67"/>
        <v/>
      </c>
      <c r="EW66" s="201">
        <f>IF($J66="",#N/A,SUM(EV$4:EV66))</f>
        <v>0</v>
      </c>
      <c r="EX66" s="202" t="str">
        <f t="shared" si="68"/>
        <v/>
      </c>
      <c r="EY66" s="202">
        <f>IF($J66="",#N/A,SUM(EX$4:EX66))</f>
        <v>0</v>
      </c>
      <c r="EZ66" s="202">
        <f>IF($J66="",#N/A,SUM(EX$4:EX66,EV$4:EV66,ET$4:ET66))</f>
        <v>0</v>
      </c>
      <c r="FA66" s="200" t="str">
        <f t="shared" si="69"/>
        <v/>
      </c>
      <c r="FB66" s="200">
        <f>IF($J66="",#N/A,SUM(FA$4:FA66))</f>
        <v>0</v>
      </c>
      <c r="FC66" s="201" t="str">
        <f t="shared" si="70"/>
        <v/>
      </c>
      <c r="FD66" s="201">
        <f>IF($J66="",#N/A,SUM(FC$4:FC66))</f>
        <v>1.3724148418491529</v>
      </c>
      <c r="FE66" s="202" t="str">
        <f t="shared" si="71"/>
        <v/>
      </c>
      <c r="FF66" s="202">
        <f>IF($J66="",#N/A,SUM(FE$4:FE66))</f>
        <v>-0.28811149078748233</v>
      </c>
      <c r="FG66" s="202">
        <f>IF($J66="",#N/A,SUM(FE$4:FE66,FC$4:FC66,FA$4:FA66))</f>
        <v>1.0843033510616706</v>
      </c>
      <c r="FH66" s="200" t="str">
        <f t="shared" si="72"/>
        <v/>
      </c>
      <c r="FI66" s="200">
        <f>IF($J66="",#N/A,SUM(FH$4:FH66))</f>
        <v>0</v>
      </c>
      <c r="FJ66" s="201" t="str">
        <f t="shared" si="73"/>
        <v/>
      </c>
      <c r="FK66" s="201">
        <f>IF($J66="",#N/A,SUM(FJ$4:FJ66))</f>
        <v>0</v>
      </c>
      <c r="FL66" s="202" t="str">
        <f t="shared" si="74"/>
        <v/>
      </c>
      <c r="FM66" s="202">
        <f>IF($J66="",#N/A,SUM(FL$4:FL66))</f>
        <v>0</v>
      </c>
      <c r="FN66" s="202">
        <f>IF($J66="",#N/A,SUM(FL$4:FL66,FJ$4:FJ66,FH$4:FH66))</f>
        <v>0</v>
      </c>
      <c r="FO66" s="200" t="str">
        <f t="shared" si="75"/>
        <v/>
      </c>
      <c r="FP66" s="200">
        <f>IF($J66="",#N/A,SUM(FO$4:FO66))</f>
        <v>0</v>
      </c>
      <c r="FQ66" s="201" t="str">
        <f t="shared" si="76"/>
        <v/>
      </c>
      <c r="FR66" s="201">
        <f>IF($J66="",#N/A,SUM(FQ$4:FQ66))</f>
        <v>0</v>
      </c>
      <c r="FS66" s="202" t="str">
        <f t="shared" si="77"/>
        <v/>
      </c>
      <c r="FT66" s="202">
        <f>IF($J66="",#N/A,SUM(FS$4:FS66))</f>
        <v>0</v>
      </c>
      <c r="FU66" s="202">
        <f>IF($J66="",#N/A,SUM(FS$4:FS66,FQ$4:FQ66,FO$4:FO66))</f>
        <v>0</v>
      </c>
      <c r="FV66" s="200" t="str">
        <f t="shared" si="78"/>
        <v/>
      </c>
      <c r="FW66" s="200">
        <f>IF($J66="",#N/A,SUM(FV$4:FV66))</f>
        <v>6.6834991831277585E-2</v>
      </c>
      <c r="FX66" s="201" t="str">
        <f t="shared" si="79"/>
        <v/>
      </c>
      <c r="FY66" s="201">
        <f>IF($J66="",#N/A,SUM(FX$4:FX66))</f>
        <v>0</v>
      </c>
      <c r="FZ66" s="202" t="str">
        <f t="shared" si="80"/>
        <v/>
      </c>
      <c r="GA66" s="202">
        <f>IF($J66="",#N/A,SUM(FZ$4:FZ66))</f>
        <v>-0.20104261551371039</v>
      </c>
      <c r="GB66" s="202">
        <f>IF($J66="",#N/A,SUM(FZ$4:FZ66,FX$4:FX66,FV$4:FV66))</f>
        <v>-0.1342076236824328</v>
      </c>
      <c r="GC66" s="200" t="str">
        <f t="shared" si="81"/>
        <v/>
      </c>
      <c r="GD66" s="200">
        <f>IF($J66="",#N/A,SUM(GC$4:GC66))</f>
        <v>0</v>
      </c>
      <c r="GE66" s="201" t="str">
        <f t="shared" si="82"/>
        <v/>
      </c>
      <c r="GF66" s="201">
        <f>IF($J66="",#N/A,SUM(GE$4:GE66))</f>
        <v>0</v>
      </c>
      <c r="GG66" s="202" t="str">
        <f t="shared" si="83"/>
        <v/>
      </c>
      <c r="GH66" s="202">
        <f>IF($J66="",#N/A,SUM(GG$4:GG66))</f>
        <v>-2.9368362277223206</v>
      </c>
      <c r="GI66" s="202">
        <f>IF($J66="",#N/A,SUM(GG$4:GG66,GE$4:GE66,GC$4:GC66))</f>
        <v>-2.9368362277223206</v>
      </c>
      <c r="GJ66" s="200" t="str">
        <f t="shared" si="84"/>
        <v/>
      </c>
      <c r="GK66" s="200">
        <f>IF($J66="",#N/A,SUM(GJ$4:GJ66))</f>
        <v>0</v>
      </c>
      <c r="GL66" s="201" t="str">
        <f t="shared" si="85"/>
        <v/>
      </c>
      <c r="GM66" s="201">
        <f>IF($J66="",#N/A,SUM(GL$4:GL66))</f>
        <v>-1.0674765946939027</v>
      </c>
      <c r="GN66" s="202" t="str">
        <f t="shared" si="86"/>
        <v/>
      </c>
      <c r="GO66" s="202">
        <f>IF($J66="",#N/A,SUM(GN$4:GN66))</f>
        <v>0</v>
      </c>
      <c r="GP66" s="202">
        <f>IF($J66="",#N/A,SUM(GN$4:GN66,GL$4:GL66,GJ$4:GJ66))</f>
        <v>-1.0674765946939027</v>
      </c>
      <c r="GS66" s="54">
        <f t="shared" si="105"/>
        <v>2.6032953105196457</v>
      </c>
      <c r="GT66" s="54">
        <f>IF(GS66="",NA(),SUM($GS$4:GS66))</f>
        <v>-1.0559445076342127</v>
      </c>
      <c r="GU66" s="54" t="str">
        <f t="shared" si="87"/>
        <v/>
      </c>
      <c r="GV66" s="54" t="e">
        <f>IF(GU66="",NA(),SUM($GU$4:GU66))</f>
        <v>#N/A</v>
      </c>
      <c r="GW66" s="54">
        <f t="shared" si="88"/>
        <v>2.6032953105196457</v>
      </c>
      <c r="GX66" s="54">
        <f>IF(GW66="",NA(),SUM($GW$4:GW66))</f>
        <v>2.0673601543651929</v>
      </c>
      <c r="GY66" s="54" t="str">
        <f t="shared" si="89"/>
        <v/>
      </c>
      <c r="GZ66" s="54" t="e">
        <f>IF(GY66="",NA(),SUM($GY$4:GY66))</f>
        <v>#N/A</v>
      </c>
      <c r="HA66" s="54" t="str">
        <f t="shared" si="90"/>
        <v/>
      </c>
      <c r="HB66" s="54" t="e">
        <f>IF(HA66="",NA(),SUM($HA$4:HA66))</f>
        <v>#N/A</v>
      </c>
      <c r="HC66" s="54" t="str">
        <f t="shared" si="91"/>
        <v/>
      </c>
      <c r="HD66" s="54" t="e">
        <f>IF(HC66="",NA(),SUM($HC$4:HC66))</f>
        <v>#N/A</v>
      </c>
      <c r="HE66" s="54" t="str">
        <f t="shared" si="92"/>
        <v/>
      </c>
      <c r="HF66" s="54" t="e">
        <f>IF(HE66="",NA(),SUM($HE$4:HE66))</f>
        <v>#N/A</v>
      </c>
      <c r="HG66" s="54" t="str">
        <f t="shared" si="93"/>
        <v/>
      </c>
      <c r="HH66" s="54" t="e">
        <f>IF(HG66="",NA(),SUM($HG$4:HG66))</f>
        <v>#N/A</v>
      </c>
      <c r="HI66" s="172" t="str">
        <f t="shared" si="106"/>
        <v/>
      </c>
      <c r="HJ66" s="172">
        <f>IF($J66="",#N/A,SUM(HI$4:$HI66))</f>
        <v>-1.0497124168140199</v>
      </c>
      <c r="HK66" s="54" t="str">
        <f t="shared" si="94"/>
        <v/>
      </c>
      <c r="HL66" s="54">
        <f>IF($J66="",#N/A,SUM($HK$4:HK66))</f>
        <v>-2.7297060402078941</v>
      </c>
      <c r="HM66" s="54" t="str">
        <f t="shared" si="95"/>
        <v/>
      </c>
      <c r="HN66" s="54">
        <f>IF($J66="",#N/A,SUM($HM$4:HM66))</f>
        <v>0.80449527204317051</v>
      </c>
      <c r="HO66" s="54" t="str">
        <f t="shared" si="96"/>
        <v/>
      </c>
      <c r="HP66" s="54">
        <f>IF($J66="",#N/A,SUM($HO$4:HO66))</f>
        <v>-0.64837295089680658</v>
      </c>
      <c r="HQ66" s="54">
        <f t="shared" si="97"/>
        <v>-1.2344740177439788</v>
      </c>
      <c r="HR66" s="54">
        <f>IF($J66="",#N/A,SUM($HQ$4:HQ66))</f>
        <v>-4.8858681383725031</v>
      </c>
      <c r="HS66" s="54" t="str">
        <f t="shared" si="98"/>
        <v/>
      </c>
      <c r="HT66" s="54">
        <f>IF($J66="",#N/A,SUM($HS$4:HS66))</f>
        <v>5.1148329712430227</v>
      </c>
      <c r="HU66" s="65">
        <f t="shared" si="99"/>
        <v>1.3688212927756669</v>
      </c>
      <c r="HV66" s="65">
        <f>IF($J66="",#N/A,SUM(HU$4:$HU66))</f>
        <v>-4.2482869977119577</v>
      </c>
    </row>
    <row r="67" spans="1:230" x14ac:dyDescent="0.25">
      <c r="A67" s="51" t="s">
        <v>1417</v>
      </c>
      <c r="B67" s="52" t="s">
        <v>4503</v>
      </c>
      <c r="C67" s="229">
        <f t="shared" si="0"/>
        <v>3</v>
      </c>
      <c r="D67" s="219" t="str">
        <f>_xlfn.XLOOKUP(A67,[1]SP500!$A$2:$A$502,[1]SP500!$D$2:$D$502,"N")</f>
        <v>Y</v>
      </c>
      <c r="E67" s="51" t="str">
        <f>IFERROR(_xlfn.XLOOKUP(A67,[1]SP500!$A$2:$A$655,[1]SP500!$B$2:$B$655),"")</f>
        <v>XLK</v>
      </c>
      <c r="F67" s="53">
        <v>45770</v>
      </c>
      <c r="G67" s="51" t="str">
        <f t="shared" si="1"/>
        <v>BMO</v>
      </c>
      <c r="H67" s="51" t="str">
        <f t="shared" si="2"/>
        <v>s</v>
      </c>
      <c r="I67" s="343">
        <v>133.44999999999999</v>
      </c>
      <c r="J67" s="124">
        <v>140.97999999999999</v>
      </c>
      <c r="K67" s="55">
        <f t="shared" si="3"/>
        <v>5.6425627575871128E-2</v>
      </c>
      <c r="L67" s="67">
        <f t="shared" si="4"/>
        <v>45.17999999999995</v>
      </c>
      <c r="M67" s="57">
        <f t="shared" si="5"/>
        <v>0.12000000000011823</v>
      </c>
      <c r="N67" s="155">
        <f t="shared" si="6"/>
        <v>45.17999999999995</v>
      </c>
      <c r="O67" s="156">
        <f>IF(N67="",#N/A,SUM($N$4:N67))</f>
        <v>-181.15869563037472</v>
      </c>
      <c r="P67" s="65">
        <f t="shared" si="100"/>
        <v>0.94042712626451763</v>
      </c>
      <c r="Q67" s="172">
        <f>IF($N67="",#N/A,SUM($P$4:P67))</f>
        <v>8.6471431557587852E-2</v>
      </c>
      <c r="R67" s="279">
        <f t="shared" si="7"/>
        <v>2.6322591257903367</v>
      </c>
      <c r="S67" s="51" t="str">
        <f t="shared" si="8"/>
        <v>SW</v>
      </c>
      <c r="T67" s="51" t="s">
        <v>2828</v>
      </c>
      <c r="U67" s="56">
        <f t="shared" si="9"/>
        <v>133.44999999999999</v>
      </c>
      <c r="V67" s="56" t="s">
        <v>4460</v>
      </c>
      <c r="W67" s="142">
        <v>6</v>
      </c>
      <c r="X67" s="145">
        <f t="shared" si="10"/>
        <v>800.69999999999993</v>
      </c>
      <c r="Y67" s="140">
        <f t="shared" si="11"/>
        <v>6</v>
      </c>
      <c r="Z67" s="123">
        <v>141</v>
      </c>
      <c r="AA67" s="102">
        <f t="shared" si="12"/>
        <v>45.300000000000068</v>
      </c>
      <c r="AB67" s="102">
        <f t="shared" si="13"/>
        <v>15.660000000000082</v>
      </c>
      <c r="AC67" s="124">
        <v>136.06</v>
      </c>
      <c r="AD67" s="155">
        <f t="shared" si="14"/>
        <v>15.660000000000082</v>
      </c>
      <c r="AE67" s="545">
        <f t="shared" si="15"/>
        <v>0.32596478081678704</v>
      </c>
      <c r="AF67" s="57">
        <f>IF($AC67="",#N/A,SUM(AD$4:AD67))</f>
        <v>-371.18582025503144</v>
      </c>
      <c r="AG67" s="102">
        <f t="shared" si="16"/>
        <v>-29.519999999999868</v>
      </c>
      <c r="AH67" s="56" t="s">
        <v>2507</v>
      </c>
      <c r="AI67" s="65">
        <f t="shared" si="17"/>
        <v>0.94292494067690924</v>
      </c>
      <c r="AJ67" s="54">
        <f>IF(AI67="",#N/A,SUM($AI$4:AI67))</f>
        <v>-2.5457876942327489</v>
      </c>
      <c r="AK67" s="57">
        <f t="shared" si="18"/>
        <v>45.300000000000068</v>
      </c>
      <c r="AL67" s="58">
        <f>IF(AI67="",#N/A,IF(AH67="Skip",SUM($AK$4:AK67),SUM($AK$4:AK67)))</f>
        <v>-356.6499999999993</v>
      </c>
      <c r="AM67" s="65">
        <f t="shared" si="101"/>
        <v>0.32596478081678704</v>
      </c>
      <c r="AN67" s="209"/>
      <c r="AO67" s="65">
        <f t="shared" si="19"/>
        <v>0.32596478081678704</v>
      </c>
      <c r="AP67" s="65">
        <f>IF($AC67="",#N/A,SUM(AO$4:AO67))</f>
        <v>2.8242785809797835</v>
      </c>
      <c r="AQ67" s="65" t="str">
        <f t="shared" si="20"/>
        <v/>
      </c>
      <c r="AR67" s="65">
        <f>IF($AC67="",#N/A,SUM(AQ$4:AQ67))</f>
        <v>-1.2381559938812483</v>
      </c>
      <c r="AS67" s="65" t="str">
        <f t="shared" si="21"/>
        <v/>
      </c>
      <c r="AT67" s="65">
        <f>IF($AC67="",#N/A,SUM(AS$4:AS67))</f>
        <v>-5.5084448039937079</v>
      </c>
      <c r="AU67" s="57">
        <f t="shared" si="102"/>
        <v>15.660000000000082</v>
      </c>
      <c r="AV67" s="57">
        <f>IF($AC67="",#N/A,SUM(AU$4:AU67))</f>
        <v>118.39255264778456</v>
      </c>
      <c r="AW67" s="57" t="str">
        <f t="shared" si="103"/>
        <v/>
      </c>
      <c r="AX67" s="57">
        <f>IF($AC67="",#N/A,SUM(AW$4:AW67))</f>
        <v>-74.660000000000196</v>
      </c>
      <c r="AY67" s="56" t="str">
        <f t="shared" si="104"/>
        <v/>
      </c>
      <c r="AZ67" s="57">
        <f>IF($AC67="",#N/A,SUM(AY$4:AY67))</f>
        <v>-414.9183729028158</v>
      </c>
      <c r="BA67" s="57">
        <f>IF(AD67="",#N/A,SUM($AD$4:AD67))</f>
        <v>-371.18582025503144</v>
      </c>
      <c r="BC67" s="51" t="str">
        <f t="shared" si="22"/>
        <v/>
      </c>
      <c r="BD67" s="51" t="str">
        <f t="shared" si="23"/>
        <v/>
      </c>
      <c r="BE67" s="51">
        <f t="shared" si="24"/>
        <v>1</v>
      </c>
      <c r="BF67" s="51" t="str">
        <f t="shared" si="25"/>
        <v>Long</v>
      </c>
      <c r="BG67" s="51" t="str">
        <f t="shared" si="26"/>
        <v/>
      </c>
      <c r="BH67" s="51" t="str">
        <f t="shared" si="27"/>
        <v/>
      </c>
      <c r="BI67" s="51" t="str">
        <f t="shared" si="28"/>
        <v/>
      </c>
      <c r="BK67" s="65">
        <f t="shared" si="108"/>
        <v>-1.589557525854535E-2</v>
      </c>
      <c r="BL67" s="65">
        <f t="shared" si="107"/>
        <v>0.14451181459330786</v>
      </c>
      <c r="BM67" s="65">
        <f>IFERROR(Q67/COUNTA($J$4:J67),#N/A)</f>
        <v>1.3511161180873102E-3</v>
      </c>
      <c r="BO67" s="489">
        <f>IF(J67="",#N/A,IF(S67="SW",(COUNTIFS(K$4:$K67,"&gt;0",S$4:$S67,"SW")/COUNTIF(S$4:$S67,"SW")),#N/A))</f>
        <v>0.5641025641025641</v>
      </c>
      <c r="BP67" s="489" t="e">
        <f>IF($J67="",#N/A,IF($S67="DWN",(COUNTIFS($K$4:$K67,"&lt;0",$S$4:$S67,"DWN")/COUNTIF($S$4:$S67,"DWN")),#N/A))</f>
        <v>#N/A</v>
      </c>
      <c r="BQ67" s="489" t="e">
        <f>IF($J67="",#N/A,IF($S67="UP",(COUNTIFS($K$4:$K67,"&gt;0",$S$4:$S67,"UP")/COUNTIF($S$4:$S67,"UP")),#N/A))</f>
        <v>#N/A</v>
      </c>
      <c r="BR67" s="489">
        <f>IF(J67="",#N/A,COUNTIF($K$4:K67,"&gt;0")/COUNT($J$4:J67))</f>
        <v>0.53125</v>
      </c>
      <c r="BS67" s="65">
        <f t="shared" si="29"/>
        <v>0.94042712626451763</v>
      </c>
      <c r="BT67" s="65" t="str">
        <f t="shared" si="30"/>
        <v/>
      </c>
      <c r="BU67" s="65" t="str">
        <f t="shared" si="31"/>
        <v/>
      </c>
      <c r="BV67" s="65" t="str">
        <f t="shared" si="32"/>
        <v/>
      </c>
      <c r="BW67" s="151" t="str">
        <f t="shared" si="33"/>
        <v/>
      </c>
      <c r="BX67" s="151">
        <f>IF($J67="",#N/A,SUM($BW$4:BW67))</f>
        <v>-88.570000000000164</v>
      </c>
      <c r="BY67" s="152" t="str">
        <f t="shared" si="34"/>
        <v/>
      </c>
      <c r="BZ67" s="152">
        <f>IF($J67="",#N/A,SUM($BY$4:BY67))</f>
        <v>-176.84871953149536</v>
      </c>
      <c r="CA67" s="153">
        <f t="shared" si="35"/>
        <v>45.17999999999995</v>
      </c>
      <c r="CB67" s="154">
        <f>IF($J67="",#N/A,SUM($CA$4:CA67))</f>
        <v>84.260023901120803</v>
      </c>
      <c r="CC67" s="191" t="str">
        <f t="shared" si="36"/>
        <v/>
      </c>
      <c r="CD67" s="191">
        <f>IF($J67="",#N/A,SUM($CC$4:CC67))</f>
        <v>-1.3942783150276121</v>
      </c>
      <c r="CE67" s="192" t="str">
        <f t="shared" si="37"/>
        <v/>
      </c>
      <c r="CF67" s="192">
        <f>IF($J67="",#N/A,SUM($CE$4:CE67))</f>
        <v>-1.7290263469717926</v>
      </c>
      <c r="CG67" s="193">
        <f t="shared" si="38"/>
        <v>0.94042712626451763</v>
      </c>
      <c r="CH67" s="193">
        <f>IF($J67="",#N/A,SUM($CG$4:CG67))</f>
        <v>3.2097760935569961</v>
      </c>
      <c r="CI67" s="200" t="str">
        <f t="shared" si="39"/>
        <v/>
      </c>
      <c r="CJ67" s="200">
        <f>IF($J67="",#N/A,SUM(CI$4:CI67))</f>
        <v>0</v>
      </c>
      <c r="CK67" s="201" t="str">
        <f t="shared" si="40"/>
        <v/>
      </c>
      <c r="CL67" s="201">
        <f>IF($J67="",#N/A,SUM(CK$4:CK67))</f>
        <v>1.8934431343190481</v>
      </c>
      <c r="CM67" s="202">
        <f t="shared" si="41"/>
        <v>0.94042712626451763</v>
      </c>
      <c r="CN67" s="202">
        <f>IF($J67="",#N/A,SUM(CM$4:CM67))</f>
        <v>3.5437224367841633</v>
      </c>
      <c r="CO67" s="202">
        <f>IF($J67="",#N/A,SUM(CM$4:CM67,CK$4:CK67,CI$4:CI67))</f>
        <v>5.4371655711032112</v>
      </c>
      <c r="CP67" s="200" t="str">
        <f t="shared" si="42"/>
        <v/>
      </c>
      <c r="CQ67" s="200">
        <f>IF($J67="",#N/A,SUM(CP$4:CP67))</f>
        <v>0</v>
      </c>
      <c r="CR67" s="201" t="str">
        <f t="shared" si="43"/>
        <v/>
      </c>
      <c r="CS67" s="201">
        <f>IF($J67="",#N/A,SUM(CR$4:CR67))</f>
        <v>0</v>
      </c>
      <c r="CT67" s="202" t="str">
        <f t="shared" si="44"/>
        <v/>
      </c>
      <c r="CU67" s="202">
        <f>IF($J67="",#N/A,SUM(CT$4:CT67))</f>
        <v>0</v>
      </c>
      <c r="CV67" s="202">
        <f>IF($J67="",#N/A,SUM(CT$4:CT67,CR$4:CR67,CP$4:CP67))</f>
        <v>0</v>
      </c>
      <c r="CW67" s="200" t="str">
        <f t="shared" si="45"/>
        <v/>
      </c>
      <c r="CX67" s="200">
        <f>IF($J67="",#N/A,SUM(CW$4:CW67))</f>
        <v>0</v>
      </c>
      <c r="CY67" s="201" t="str">
        <f t="shared" si="46"/>
        <v/>
      </c>
      <c r="CZ67" s="201">
        <f>IF($J67="",#N/A,SUM(CY$4:CY67))</f>
        <v>-0.63271328921481373</v>
      </c>
      <c r="DA67" s="202" t="str">
        <f t="shared" si="47"/>
        <v/>
      </c>
      <c r="DB67" s="202">
        <f>IF($J67="",#N/A,SUM(DA$4:DA67))</f>
        <v>1.1829222170861893</v>
      </c>
      <c r="DC67" s="202">
        <f>IF($J67="",#N/A,SUM(DA$4:DA67,CY$4:CY67,CW$4:CW67))</f>
        <v>0.55020892787137554</v>
      </c>
      <c r="DD67" s="200" t="str">
        <f t="shared" si="48"/>
        <v/>
      </c>
      <c r="DE67" s="200">
        <f>IF($J67="",#N/A,SUM(DD$4:DD67))</f>
        <v>0</v>
      </c>
      <c r="DF67" s="201" t="str">
        <f t="shared" si="49"/>
        <v/>
      </c>
      <c r="DG67" s="201">
        <f>IF($J67="",#N/A,SUM(DF$4:DF67))</f>
        <v>0.6788440567066546</v>
      </c>
      <c r="DH67" s="202" t="str">
        <f t="shared" si="50"/>
        <v/>
      </c>
      <c r="DI67" s="202">
        <f>IF($J67="",#N/A,SUM(DH$4:DH67))</f>
        <v>-0.83172699364602887</v>
      </c>
      <c r="DJ67" s="202">
        <f>IF($J67="",#N/A,SUM(DH$4:DH67,DF$4:DF67,DD$4:DD67))</f>
        <v>-0.15288293693937427</v>
      </c>
      <c r="DK67" s="200" t="str">
        <f t="shared" si="51"/>
        <v/>
      </c>
      <c r="DL67" s="200">
        <f>IF($J67="",#N/A,SUM(DK$4:DK67))</f>
        <v>0</v>
      </c>
      <c r="DM67" s="201" t="str">
        <f t="shared" si="52"/>
        <v/>
      </c>
      <c r="DN67" s="201">
        <f>IF($J67="",#N/A,SUM(DM$4:DM67))</f>
        <v>0.36227168206863897</v>
      </c>
      <c r="DO67" s="202" t="str">
        <f t="shared" si="53"/>
        <v/>
      </c>
      <c r="DP67" s="202">
        <f>IF($J67="",#N/A,SUM(DO$4:DO67))</f>
        <v>-0.17018269154375754</v>
      </c>
      <c r="DQ67" s="202">
        <f>IF($J67="",#N/A,SUM(DO$4:DO67,DM$4:DM67,DK$4:DK67))</f>
        <v>0.19208899052488143</v>
      </c>
      <c r="DR67" s="200" t="str">
        <f t="shared" si="54"/>
        <v/>
      </c>
      <c r="DS67" s="200">
        <f>IF($J67="",#N/A,SUM(DR$4:DR67))</f>
        <v>0</v>
      </c>
      <c r="DT67" s="201" t="str">
        <f t="shared" si="55"/>
        <v/>
      </c>
      <c r="DU67" s="201">
        <f>IF($J67="",#N/A,SUM(DT$4:DT67))</f>
        <v>-2.8875364672150718</v>
      </c>
      <c r="DV67" s="202" t="str">
        <f t="shared" si="56"/>
        <v/>
      </c>
      <c r="DW67" s="202">
        <f>IF($J67="",#N/A,SUM(DV$4:DV67))</f>
        <v>-0.23245750740486493</v>
      </c>
      <c r="DX67" s="202">
        <f>IF($J67="",#N/A,SUM(DV$4:DV67,DT$4:DT67,DR$4:DR67))</f>
        <v>-3.1199939746199368</v>
      </c>
      <c r="DY67" s="200" t="str">
        <f t="shared" si="57"/>
        <v/>
      </c>
      <c r="DZ67" s="200">
        <f>IF($J67="",#N/A,SUM(DY$4:DY67))</f>
        <v>-1.4611133068588897</v>
      </c>
      <c r="EA67" s="201" t="str">
        <f t="shared" si="58"/>
        <v/>
      </c>
      <c r="EB67" s="201">
        <f>IF($J67="",#N/A,SUM(EA$4:EA67))</f>
        <v>-0.86716764906472754</v>
      </c>
      <c r="EC67" s="202" t="str">
        <f t="shared" si="59"/>
        <v/>
      </c>
      <c r="ED67" s="202">
        <f>IF($J67="",#N/A,SUM(EC$4:EC67))</f>
        <v>1.3071535330018835</v>
      </c>
      <c r="EE67" s="202">
        <f>IF($J67="",#N/A,SUM(EC$4:EC67,EA$4:EA67,DY$4:DY67))</f>
        <v>-1.0211274229217338</v>
      </c>
      <c r="EF67" s="200" t="str">
        <f t="shared" si="60"/>
        <v/>
      </c>
      <c r="EG67" s="200">
        <f>IF($J67="",#N/A,SUM(EF$4:EF67))</f>
        <v>0</v>
      </c>
      <c r="EH67" s="201" t="str">
        <f t="shared" si="61"/>
        <v/>
      </c>
      <c r="EI67" s="201">
        <f>IF($J67="",#N/A,SUM(EH$4:EH67))</f>
        <v>-1.196204584775086</v>
      </c>
      <c r="EJ67" s="202" t="str">
        <f t="shared" si="62"/>
        <v/>
      </c>
      <c r="EK67" s="202">
        <f>IF($J67="",#N/A,SUM(EJ$4:EJ67))</f>
        <v>1.3436756383175479</v>
      </c>
      <c r="EL67" s="202">
        <f>IF($J67="",#N/A,SUM(EJ$4:EJ67,EH$4:EH67,EF$4:EF67))</f>
        <v>0.14747105354246193</v>
      </c>
      <c r="EM67" s="200" t="str">
        <f t="shared" si="63"/>
        <v/>
      </c>
      <c r="EN67" s="200">
        <f>IF($J67="",#N/A,SUM(EM$4:EM67))</f>
        <v>0</v>
      </c>
      <c r="EO67" s="201" t="str">
        <f t="shared" si="64"/>
        <v/>
      </c>
      <c r="EP67" s="201">
        <f>IF($J67="",#N/A,SUM(EO$4:EO67))</f>
        <v>0.61509852304831358</v>
      </c>
      <c r="EQ67" s="202" t="str">
        <f t="shared" si="65"/>
        <v/>
      </c>
      <c r="ER67" s="202">
        <f>IF($J67="",#N/A,SUM(EQ$4:EQ67))</f>
        <v>0.4926597949853756</v>
      </c>
      <c r="ES67" s="202">
        <f>IF($J67="",#N/A,SUM(EQ$4:EQ67,EO$4:EO67,EM$4:EM67))</f>
        <v>1.1077583180336892</v>
      </c>
      <c r="ET67" s="200" t="str">
        <f t="shared" si="66"/>
        <v/>
      </c>
      <c r="EU67" s="200">
        <f>IF($J67="",#N/A,SUM(ET$4:ET67))</f>
        <v>0</v>
      </c>
      <c r="EV67" s="201" t="str">
        <f t="shared" si="67"/>
        <v/>
      </c>
      <c r="EW67" s="201">
        <f>IF($J67="",#N/A,SUM(EV$4:EV67))</f>
        <v>0</v>
      </c>
      <c r="EX67" s="202" t="str">
        <f t="shared" si="68"/>
        <v/>
      </c>
      <c r="EY67" s="202">
        <f>IF($J67="",#N/A,SUM(EX$4:EX67))</f>
        <v>0</v>
      </c>
      <c r="EZ67" s="202">
        <f>IF($J67="",#N/A,SUM(EX$4:EX67,EV$4:EV67,ET$4:ET67))</f>
        <v>0</v>
      </c>
      <c r="FA67" s="200" t="str">
        <f t="shared" si="69"/>
        <v/>
      </c>
      <c r="FB67" s="200">
        <f>IF($J67="",#N/A,SUM(FA$4:FA67))</f>
        <v>0</v>
      </c>
      <c r="FC67" s="201" t="str">
        <f t="shared" si="70"/>
        <v/>
      </c>
      <c r="FD67" s="201">
        <f>IF($J67="",#N/A,SUM(FC$4:FC67))</f>
        <v>1.3724148418491529</v>
      </c>
      <c r="FE67" s="202" t="str">
        <f t="shared" si="71"/>
        <v/>
      </c>
      <c r="FF67" s="202">
        <f>IF($J67="",#N/A,SUM(FE$4:FE67))</f>
        <v>-0.28811149078748233</v>
      </c>
      <c r="FG67" s="202">
        <f>IF($J67="",#N/A,SUM(FE$4:FE67,FC$4:FC67,FA$4:FA67))</f>
        <v>1.0843033510616706</v>
      </c>
      <c r="FH67" s="200" t="str">
        <f t="shared" si="72"/>
        <v/>
      </c>
      <c r="FI67" s="200">
        <f>IF($J67="",#N/A,SUM(FH$4:FH67))</f>
        <v>0</v>
      </c>
      <c r="FJ67" s="201" t="str">
        <f t="shared" si="73"/>
        <v/>
      </c>
      <c r="FK67" s="201">
        <f>IF($J67="",#N/A,SUM(FJ$4:FJ67))</f>
        <v>0</v>
      </c>
      <c r="FL67" s="202" t="str">
        <f t="shared" si="74"/>
        <v/>
      </c>
      <c r="FM67" s="202">
        <f>IF($J67="",#N/A,SUM(FL$4:FL67))</f>
        <v>0</v>
      </c>
      <c r="FN67" s="202">
        <f>IF($J67="",#N/A,SUM(FL$4:FL67,FJ$4:FJ67,FH$4:FH67))</f>
        <v>0</v>
      </c>
      <c r="FO67" s="200" t="str">
        <f t="shared" si="75"/>
        <v/>
      </c>
      <c r="FP67" s="200">
        <f>IF($J67="",#N/A,SUM(FO$4:FO67))</f>
        <v>0</v>
      </c>
      <c r="FQ67" s="201" t="str">
        <f t="shared" si="76"/>
        <v/>
      </c>
      <c r="FR67" s="201">
        <f>IF($J67="",#N/A,SUM(FQ$4:FQ67))</f>
        <v>0</v>
      </c>
      <c r="FS67" s="202" t="str">
        <f t="shared" si="77"/>
        <v/>
      </c>
      <c r="FT67" s="202">
        <f>IF($J67="",#N/A,SUM(FS$4:FS67))</f>
        <v>0</v>
      </c>
      <c r="FU67" s="202">
        <f>IF($J67="",#N/A,SUM(FS$4:FS67,FQ$4:FQ67,FO$4:FO67))</f>
        <v>0</v>
      </c>
      <c r="FV67" s="200" t="str">
        <f t="shared" si="78"/>
        <v/>
      </c>
      <c r="FW67" s="200">
        <f>IF($J67="",#N/A,SUM(FV$4:FV67))</f>
        <v>6.6834991831277585E-2</v>
      </c>
      <c r="FX67" s="201" t="str">
        <f t="shared" si="79"/>
        <v/>
      </c>
      <c r="FY67" s="201">
        <f>IF($J67="",#N/A,SUM(FX$4:FX67))</f>
        <v>0</v>
      </c>
      <c r="FZ67" s="202" t="str">
        <f t="shared" si="80"/>
        <v/>
      </c>
      <c r="GA67" s="202">
        <f>IF($J67="",#N/A,SUM(FZ$4:FZ67))</f>
        <v>-0.20104261551371039</v>
      </c>
      <c r="GB67" s="202">
        <f>IF($J67="",#N/A,SUM(FZ$4:FZ67,FX$4:FX67,FV$4:FV67))</f>
        <v>-0.1342076236824328</v>
      </c>
      <c r="GC67" s="200" t="str">
        <f t="shared" si="81"/>
        <v/>
      </c>
      <c r="GD67" s="200">
        <f>IF($J67="",#N/A,SUM(GC$4:GC67))</f>
        <v>0</v>
      </c>
      <c r="GE67" s="201" t="str">
        <f t="shared" si="82"/>
        <v/>
      </c>
      <c r="GF67" s="201">
        <f>IF($J67="",#N/A,SUM(GE$4:GE67))</f>
        <v>0</v>
      </c>
      <c r="GG67" s="202" t="str">
        <f t="shared" si="83"/>
        <v/>
      </c>
      <c r="GH67" s="202">
        <f>IF($J67="",#N/A,SUM(GG$4:GG67))</f>
        <v>-2.9368362277223206</v>
      </c>
      <c r="GI67" s="202">
        <f>IF($J67="",#N/A,SUM(GG$4:GG67,GE$4:GE67,GC$4:GC67))</f>
        <v>-2.9368362277223206</v>
      </c>
      <c r="GJ67" s="200" t="str">
        <f t="shared" si="84"/>
        <v/>
      </c>
      <c r="GK67" s="200">
        <f>IF($J67="",#N/A,SUM(GJ$4:GJ67))</f>
        <v>0</v>
      </c>
      <c r="GL67" s="201" t="str">
        <f t="shared" si="85"/>
        <v/>
      </c>
      <c r="GM67" s="201">
        <f>IF($J67="",#N/A,SUM(GL$4:GL67))</f>
        <v>-1.0674765946939027</v>
      </c>
      <c r="GN67" s="202" t="str">
        <f t="shared" si="86"/>
        <v/>
      </c>
      <c r="GO67" s="202">
        <f>IF($J67="",#N/A,SUM(GN$4:GN67))</f>
        <v>0</v>
      </c>
      <c r="GP67" s="202">
        <f>IF($J67="",#N/A,SUM(GN$4:GN67,GL$4:GL67,GJ$4:GJ67))</f>
        <v>-1.0674765946939027</v>
      </c>
      <c r="GS67" s="54">
        <f t="shared" si="105"/>
        <v>0.94042712626451763</v>
      </c>
      <c r="GT67" s="54">
        <f>IF(GS67="",NA(),SUM($GS$4:GS67))</f>
        <v>-0.11551738136969503</v>
      </c>
      <c r="GU67" s="54" t="str">
        <f t="shared" si="87"/>
        <v/>
      </c>
      <c r="GV67" s="54" t="e">
        <f>IF(GU67="",NA(),SUM($GU$4:GU67))</f>
        <v>#N/A</v>
      </c>
      <c r="GW67" s="54">
        <f t="shared" si="88"/>
        <v>0.94042712626451763</v>
      </c>
      <c r="GX67" s="54">
        <f>IF(GW67="",NA(),SUM($GW$4:GW67))</f>
        <v>3.0077872806297106</v>
      </c>
      <c r="GY67" s="54" t="str">
        <f t="shared" si="89"/>
        <v/>
      </c>
      <c r="GZ67" s="54" t="e">
        <f>IF(GY67="",NA(),SUM($GY$4:GY67))</f>
        <v>#N/A</v>
      </c>
      <c r="HA67" s="54" t="str">
        <f t="shared" si="90"/>
        <v/>
      </c>
      <c r="HB67" s="54" t="e">
        <f>IF(HA67="",NA(),SUM($HA$4:HA67))</f>
        <v>#N/A</v>
      </c>
      <c r="HC67" s="54" t="str">
        <f t="shared" si="91"/>
        <v/>
      </c>
      <c r="HD67" s="54" t="e">
        <f>IF(HC67="",NA(),SUM($HC$4:HC67))</f>
        <v>#N/A</v>
      </c>
      <c r="HE67" s="54" t="str">
        <f t="shared" si="92"/>
        <v/>
      </c>
      <c r="HF67" s="54" t="e">
        <f>IF(HE67="",NA(),SUM($HE$4:HE67))</f>
        <v>#N/A</v>
      </c>
      <c r="HG67" s="54" t="str">
        <f t="shared" si="93"/>
        <v/>
      </c>
      <c r="HH67" s="54" t="e">
        <f>IF(HG67="",NA(),SUM($HG$4:HG67))</f>
        <v>#N/A</v>
      </c>
      <c r="HI67" s="172" t="str">
        <f t="shared" si="106"/>
        <v/>
      </c>
      <c r="HJ67" s="172">
        <f>IF($J67="",#N/A,SUM(HI$4:$HI67))</f>
        <v>-1.0497124168140199</v>
      </c>
      <c r="HK67" s="54" t="str">
        <f t="shared" si="94"/>
        <v/>
      </c>
      <c r="HL67" s="54">
        <f>IF($J67="",#N/A,SUM($HK$4:HK67))</f>
        <v>-2.7297060402078941</v>
      </c>
      <c r="HM67" s="54" t="str">
        <f t="shared" si="95"/>
        <v/>
      </c>
      <c r="HN67" s="54">
        <f>IF($J67="",#N/A,SUM($HM$4:HM67))</f>
        <v>0.80449527204317051</v>
      </c>
      <c r="HO67" s="54" t="str">
        <f t="shared" si="96"/>
        <v/>
      </c>
      <c r="HP67" s="54">
        <f>IF($J67="",#N/A,SUM($HO$4:HO67))</f>
        <v>-0.64837295089680658</v>
      </c>
      <c r="HQ67" s="54">
        <f t="shared" si="97"/>
        <v>-0.6144623454477306</v>
      </c>
      <c r="HR67" s="54">
        <f>IF($J67="",#N/A,SUM($HQ$4:HQ67))</f>
        <v>-5.5003304838202336</v>
      </c>
      <c r="HS67" s="54" t="str">
        <f t="shared" si="98"/>
        <v/>
      </c>
      <c r="HT67" s="54">
        <f>IF($J67="",#N/A,SUM($HS$4:HS67))</f>
        <v>5.1148329712430227</v>
      </c>
      <c r="HU67" s="65">
        <f t="shared" si="99"/>
        <v>0.32596478081678704</v>
      </c>
      <c r="HV67" s="65">
        <f>IF($J67="",#N/A,SUM(HU$4:$HU67))</f>
        <v>-3.9223222168951706</v>
      </c>
    </row>
    <row r="68" spans="1:230" x14ac:dyDescent="0.25">
      <c r="A68" s="51" t="s">
        <v>1306</v>
      </c>
      <c r="B68" s="52" t="s">
        <v>4503</v>
      </c>
      <c r="C68" s="229">
        <f t="shared" ref="C68:C131" si="109">IF(S68="Dwn",2,IF(S68="Up",1,IF(S68="SW",3,"x")))</f>
        <v>3</v>
      </c>
      <c r="D68" s="219" t="str">
        <f>_xlfn.XLOOKUP(A68,[1]SP500!$A$2:$A$502,[1]SP500!$D$2:$D$502,"N")</f>
        <v>Y</v>
      </c>
      <c r="E68" s="51" t="str">
        <f>IFERROR(_xlfn.XLOOKUP(A68,[1]SP500!$A$2:$A$655,[1]SP500!$B$2:$B$655),"")</f>
        <v>XLC</v>
      </c>
      <c r="F68" s="53">
        <v>45770</v>
      </c>
      <c r="G68" s="51" t="str">
        <f t="shared" ref="G68:G131" si="110">IF(ISNUMBER(FIND("After",B68,1)),"AMC",IF(ISNUMBER(FIND("Before",B68,1)),"BMO","err"))</f>
        <v>BMO</v>
      </c>
      <c r="H68" s="51" t="str">
        <f t="shared" ref="H68:H131" si="111">IF(AH68="Skip","sk",IF(OR(S68="",V68=""),"",IF(AND(S68="Dwn",V68="Short"),"s",IF(AND(S68="Up",V68="Long"),"s",IF(AND(S68="SW",V68="Long"),"s","o")))))</f>
        <v>s</v>
      </c>
      <c r="I68" s="344">
        <v>26.96</v>
      </c>
      <c r="J68" s="123">
        <v>26.535</v>
      </c>
      <c r="K68" s="55">
        <f t="shared" ref="K68:K131" si="112">IF(J68="","",(J68-I68)/I68)</f>
        <v>-1.5764094955489642E-2</v>
      </c>
      <c r="L68" s="67">
        <f t="shared" ref="L68:L131" si="113">IF(OR($Y68="",J68=""),"",IF($V68="Long",(($J68*$Y68)-$X68),($X68-($J68*$Y68))))</f>
        <v>-12.750000000000114</v>
      </c>
      <c r="M68" s="57">
        <f t="shared" ref="M68:M131" si="114">IF(L68="","",IF(AK68="",#N/A,IF(AH68="Open",AK68-L68,#N/A)))</f>
        <v>-6.75</v>
      </c>
      <c r="N68" s="155">
        <f t="shared" ref="N68:N131" si="115">IF(OR($Y68="",L68=""),"",IF($BF68="Long",(($J68*$Y68)-$X68),($X68-($J68*$Y68))))</f>
        <v>-12.750000000000114</v>
      </c>
      <c r="O68" s="156">
        <f>IF(N68="",#N/A,SUM($N$4:N68))</f>
        <v>-193.90869563037484</v>
      </c>
      <c r="P68" s="65">
        <f t="shared" si="100"/>
        <v>-0.26273491592482923</v>
      </c>
      <c r="Q68" s="172">
        <f>IF($N68="",#N/A,SUM($P$4:P68))</f>
        <v>-0.17626348436724137</v>
      </c>
      <c r="R68" s="279">
        <f t="shared" ref="R68:R131" si="116">IF(AND(AH68="MOC",AC68=""),#N/A,IFERROR(Q68-AJ68,Q68-0))</f>
        <v>2.7713540812799509</v>
      </c>
      <c r="S68" s="51" t="str">
        <f t="shared" ref="S68:S131" si="117">IF(T68="Down","Dwn",IF(T68="Up","Up",IF(AND(T68="",K68=""),"",IF(AND(K68&lt;0,T68="Yes"),"Dwn",IF(AND(K68&gt;0,T68="Yes"),"Up",IF(AND(K68&lt;0,T68="No"),"Up",IF(AND(K68&gt;0,T68="No"),"Dwn",IF(T68="NA","SW","err"))))))))</f>
        <v>SW</v>
      </c>
      <c r="T68" s="51" t="s">
        <v>2828</v>
      </c>
      <c r="U68" s="56">
        <f t="shared" ref="U68:U131" si="118">I68</f>
        <v>26.96</v>
      </c>
      <c r="V68" s="56" t="s">
        <v>4460</v>
      </c>
      <c r="W68" s="142">
        <v>30</v>
      </c>
      <c r="X68" s="145">
        <f t="shared" ref="X68:X131" si="119">IF(W68="","",U68*W68)</f>
        <v>808.80000000000007</v>
      </c>
      <c r="Y68" s="140">
        <f t="shared" ref="Y68:Y131" si="120">IF(W68="","",W68)</f>
        <v>30</v>
      </c>
      <c r="Z68" s="123">
        <v>26.31</v>
      </c>
      <c r="AA68" s="102">
        <f t="shared" ref="AA68:AA131" si="121">IF($Z68="","",IF($V68="Long",(($Z68*$Y68)-$X68),($X68-($Z68*$Y68))))</f>
        <v>-19.500000000000114</v>
      </c>
      <c r="AB68" s="102">
        <f t="shared" ref="AB68:AB131" si="122">IF($AC68="","",IF($V68="Long",(($AC68*$Y68)-$X68),($X68-($AC68*$Y68))))</f>
        <v>6.8999999999999773</v>
      </c>
      <c r="AC68" s="124">
        <v>27.19</v>
      </c>
      <c r="AD68" s="155">
        <f t="shared" ref="AD68:AD131" si="123">IF(AC68="","",IF(OR($Y68="",CV68=""),"",IF($BF68="Long",(($AC68*$Y68)-$X68),($X68-($AC68*$Y68)))))</f>
        <v>6.8999999999999773</v>
      </c>
      <c r="AE68" s="545">
        <f t="shared" ref="AE68:AE131" si="124">IF(OR($Y68="",$AD68=""),"",IF($BF68="Long",(($AC68*$Y68)-$X68)/($X68*0.06),($X68-($AC68*$Y68))/($X68*0.06)))</f>
        <v>0.14218595450049407</v>
      </c>
      <c r="AF68" s="57">
        <f>IF($AC68="",#N/A,SUM(AD$4:AD68))</f>
        <v>-364.28582025503147</v>
      </c>
      <c r="AG68" s="102">
        <f t="shared" ref="AG68:AG131" si="125">IF(OR(AD68="",AC68=""),"",AD68-N68)</f>
        <v>19.650000000000091</v>
      </c>
      <c r="AH68" s="56" t="s">
        <v>2507</v>
      </c>
      <c r="AI68" s="65">
        <f t="shared" ref="AI68:AI131" si="126">IF(AND(AH68="MOC",AC68=""),"",IF(Z68="","",IF(AH68="Skip",0,IF(AK68=0,0,AK68/(X68*0.06)))))</f>
        <v>-0.40182987141444343</v>
      </c>
      <c r="AJ68" s="54">
        <f>IF(AI68="",#N/A,SUM($AI$4:AI68))</f>
        <v>-2.9476175656471924</v>
      </c>
      <c r="AK68" s="57">
        <f t="shared" ref="AK68:AK131" si="127">IF(AH68="","",IF(AH68="Skip","",IF(OR(AH68="open",AH68="Other"),AA68,IF(AH68="MOC",AB68,"Err"))))</f>
        <v>-19.500000000000114</v>
      </c>
      <c r="AL68" s="58">
        <f>IF(AI68="",#N/A,IF(AH68="Skip",SUM($AK$4:AK68),SUM($AK$4:AK68)))</f>
        <v>-376.14999999999941</v>
      </c>
      <c r="AM68" s="65">
        <f t="shared" si="101"/>
        <v>0.14218595450049407</v>
      </c>
      <c r="AN68" s="209"/>
      <c r="AO68" s="65">
        <f t="shared" ref="AO68:AO131" si="128">IF(AND($S68="SW",$BF68="Long"),$HU68,"")</f>
        <v>0.14218595450049407</v>
      </c>
      <c r="AP68" s="65">
        <f>IF($AC68="",#N/A,SUM(AO$4:AO68))</f>
        <v>2.9664645354802777</v>
      </c>
      <c r="AQ68" s="65" t="str">
        <f t="shared" ref="AQ68:AQ131" si="129">IF(AND($S68="UP",$BF68="Long"),$HU68,"")</f>
        <v/>
      </c>
      <c r="AR68" s="65">
        <f>IF($AC68="",#N/A,SUM(AQ$4:AQ68))</f>
        <v>-1.2381559938812483</v>
      </c>
      <c r="AS68" s="65" t="str">
        <f t="shared" ref="AS68:AS131" si="130">IF(AND($S68="Dwn",$BF68="Short"),$HU68,"")</f>
        <v/>
      </c>
      <c r="AT68" s="65">
        <f>IF($AC68="",#N/A,SUM(AS$4:AS68))</f>
        <v>-5.5084448039937079</v>
      </c>
      <c r="AU68" s="57">
        <f t="shared" si="102"/>
        <v>6.8999999999999773</v>
      </c>
      <c r="AV68" s="57">
        <f>IF($AC68="",#N/A,SUM(AU$4:AU68))</f>
        <v>125.29255264778453</v>
      </c>
      <c r="AW68" s="57" t="str">
        <f t="shared" si="103"/>
        <v/>
      </c>
      <c r="AX68" s="57">
        <f>IF($AC68="",#N/A,SUM(AW$4:AW68))</f>
        <v>-74.660000000000196</v>
      </c>
      <c r="AY68" s="56" t="str">
        <f t="shared" si="104"/>
        <v/>
      </c>
      <c r="AZ68" s="57">
        <f>IF($AC68="",#N/A,SUM(AY$4:AY68))</f>
        <v>-414.9183729028158</v>
      </c>
      <c r="BA68" s="57">
        <f>IF(AD68="",#N/A,SUM($AD$4:AD68))</f>
        <v>-364.28582025503147</v>
      </c>
      <c r="BC68" s="51" t="str">
        <f t="shared" ref="BC68:BC131" si="131">IF(K68="","",IF(AND(K68&gt;0,T68="Yes"),1,""))</f>
        <v/>
      </c>
      <c r="BD68" s="51" t="str">
        <f t="shared" ref="BD68:BD131" si="132">IF(K68="","",IF(AND($K68&gt;0,$T68="No"),1,""))</f>
        <v/>
      </c>
      <c r="BE68" s="51" t="str">
        <f t="shared" ref="BE68:BE131" si="133">IF(K68="","",IF(AND($K68&gt;0,$T68="NA"),1,""))</f>
        <v/>
      </c>
      <c r="BF68" s="51" t="str">
        <f t="shared" ref="BF68:BF131" si="134">IF(S68="Dwn","Short","Long")</f>
        <v>Long</v>
      </c>
      <c r="BG68" s="51" t="str">
        <f t="shared" ref="BG68:BG131" si="135">IF(K68="","",IF(AND($K68&lt;0,$T68="Yes"),1,""))</f>
        <v/>
      </c>
      <c r="BH68" s="51" t="str">
        <f t="shared" ref="BH68:BH131" si="136">IF(K68="","",IF(AND($K68&lt;0,$T68="No"),1,""))</f>
        <v/>
      </c>
      <c r="BI68" s="51">
        <f t="shared" ref="BI68:BI131" si="137">IF(K68="","",IF(AND($K68&lt;0,$T68="NA"),1,""))</f>
        <v>1</v>
      </c>
      <c r="BK68" s="65">
        <f t="shared" si="108"/>
        <v>-3.4259726313360363E-2</v>
      </c>
      <c r="BL68" s="65">
        <f t="shared" si="107"/>
        <v>0.21443656105012604</v>
      </c>
      <c r="BM68" s="65">
        <f>IFERROR(Q68/COUNTA($J$4:J68),#N/A)</f>
        <v>-2.7117459133421751E-3</v>
      </c>
      <c r="BO68" s="489">
        <f>IF(J68="",#N/A,IF(S68="SW",(COUNTIFS(K$4:$K68,"&gt;0",S$4:$S68,"SW")/COUNTIF(S$4:$S68,"SW")),#N/A))</f>
        <v>0.55000000000000004</v>
      </c>
      <c r="BP68" s="489" t="e">
        <f>IF($J68="",#N/A,IF($S68="DWN",(COUNTIFS($K$4:$K68,"&lt;0",$S$4:$S68,"DWN")/COUNTIF($S$4:$S68,"DWN")),#N/A))</f>
        <v>#N/A</v>
      </c>
      <c r="BQ68" s="489" t="e">
        <f>IF($J68="",#N/A,IF($S68="UP",(COUNTIFS($K$4:$K68,"&gt;0",$S$4:$S68,"UP")/COUNTIF($S$4:$S68,"UP")),#N/A))</f>
        <v>#N/A</v>
      </c>
      <c r="BR68" s="489">
        <f>IF(J68="",#N/A,COUNTIF($K$4:K68,"&gt;0")/COUNT($J$4:J68))</f>
        <v>0.52307692307692311</v>
      </c>
      <c r="BS68" s="65" t="str">
        <f t="shared" ref="BS68:BS131" si="138">IF($AH68="Skip","",IF($J68="","",IF(AND($V68="Long",$L68&gt;0),$P68,"")))</f>
        <v/>
      </c>
      <c r="BT68" s="65">
        <f t="shared" ref="BT68:BT131" si="139">IF($AH68="Skip","",IF($J68="","",IF(AND($V68="Long",$L68&lt;0),$P68,"")))</f>
        <v>-0.26273491592482923</v>
      </c>
      <c r="BU68" s="65" t="str">
        <f t="shared" ref="BU68:BU131" si="140">IF($AH68="Skip","",IF($J68="","",IF(AND($V68="Short",$L68&gt;0),$P68,"")))</f>
        <v/>
      </c>
      <c r="BV68" s="65" t="str">
        <f t="shared" ref="BV68:BV131" si="141">IF($AH68="Skip","",IF($J68="","",IF(AND($V68="Short",$L68&lt;0),$P68,"")))</f>
        <v/>
      </c>
      <c r="BW68" s="151" t="str">
        <f t="shared" ref="BW68:BW131" si="142">IF(AND($S68="Up",$BF68="Long"),$N68,"")</f>
        <v/>
      </c>
      <c r="BX68" s="151">
        <f>IF($J68="",#N/A,SUM($BW$4:BW68))</f>
        <v>-88.570000000000164</v>
      </c>
      <c r="BY68" s="152" t="str">
        <f t="shared" ref="BY68:BY131" si="143">IF(AND($S68="Dwn",$BF68="Short"),$N68,"")</f>
        <v/>
      </c>
      <c r="BZ68" s="152">
        <f>IF($J68="",#N/A,SUM($BY$4:BY68))</f>
        <v>-176.84871953149536</v>
      </c>
      <c r="CA68" s="153">
        <f t="shared" ref="CA68:CA131" si="144">IF(AND($S68="SW",$BF68="Long"),$N68,"")</f>
        <v>-12.750000000000114</v>
      </c>
      <c r="CB68" s="154">
        <f>IF($J68="",#N/A,SUM($CA$4:CA68))</f>
        <v>71.51002390112069</v>
      </c>
      <c r="CC68" s="191" t="str">
        <f t="shared" ref="CC68:CC131" si="145">IF(AND($S68="Up",$BF68="Long"),$P68,"")</f>
        <v/>
      </c>
      <c r="CD68" s="191">
        <f>IF($J68="",#N/A,SUM($CC$4:CC68))</f>
        <v>-1.3942783150276121</v>
      </c>
      <c r="CE68" s="192" t="str">
        <f t="shared" ref="CE68:CE131" si="146">IF(AND($S68="Dwn",$BF68="Short"),$P68,"")</f>
        <v/>
      </c>
      <c r="CF68" s="192">
        <f>IF($J68="",#N/A,SUM($CE$4:CE68))</f>
        <v>-1.7290263469717926</v>
      </c>
      <c r="CG68" s="193">
        <f t="shared" ref="CG68:CG131" si="147">IF(AND($S68="SW",$BF68="Long"),$P68,"")</f>
        <v>-0.26273491592482923</v>
      </c>
      <c r="CH68" s="193">
        <f>IF($J68="",#N/A,SUM($CG$4:CG68))</f>
        <v>2.9470411776321668</v>
      </c>
      <c r="CI68" s="200" t="str">
        <f t="shared" ref="CI68:CI131" si="148">IF(AND($S68="Up",$BF68="Long",$E68=CI$2),$P68,"")</f>
        <v/>
      </c>
      <c r="CJ68" s="200">
        <f>IF($J68="",#N/A,SUM(CI$4:CI68))</f>
        <v>0</v>
      </c>
      <c r="CK68" s="201" t="str">
        <f t="shared" ref="CK68:CK131" si="149">IF(AND($S68="Dwn",$BF68="Short",$E68=CI$2),$P68,"")</f>
        <v/>
      </c>
      <c r="CL68" s="201">
        <f>IF($J68="",#N/A,SUM(CK$4:CK68))</f>
        <v>1.8934431343190481</v>
      </c>
      <c r="CM68" s="202" t="str">
        <f t="shared" ref="CM68:CM131" si="150">IF(AND($S68="SW",$BF68="Long",$E68=CI$2),$P68,"")</f>
        <v/>
      </c>
      <c r="CN68" s="202">
        <f>IF($J68="",#N/A,SUM(CM$4:CM68))</f>
        <v>3.5437224367841633</v>
      </c>
      <c r="CO68" s="202">
        <f>IF($J68="",#N/A,SUM(CM$4:CM68,CK$4:CK68,CI$4:CI68))</f>
        <v>5.4371655711032112</v>
      </c>
      <c r="CP68" s="200" t="str">
        <f t="shared" ref="CP68:CP131" si="151">IF(AND($S68="Up",$BF68="Long",$E68=CP$2),$P68,"")</f>
        <v/>
      </c>
      <c r="CQ68" s="200">
        <f>IF($J68="",#N/A,SUM(CP$4:CP68))</f>
        <v>0</v>
      </c>
      <c r="CR68" s="201" t="str">
        <f t="shared" ref="CR68:CR131" si="152">IF(AND($S68="Dwn",$BF68="Short",$E68=CP$2),$P68,"")</f>
        <v/>
      </c>
      <c r="CS68" s="201">
        <f>IF($J68="",#N/A,SUM(CR$4:CR68))</f>
        <v>0</v>
      </c>
      <c r="CT68" s="202" t="str">
        <f t="shared" ref="CT68:CT131" si="153">IF(AND($S68="SW",$BF68="Long",$E68=CP$2),$P68,"")</f>
        <v/>
      </c>
      <c r="CU68" s="202">
        <f>IF($J68="",#N/A,SUM(CT$4:CT68))</f>
        <v>0</v>
      </c>
      <c r="CV68" s="202">
        <f>IF($J68="",#N/A,SUM(CT$4:CT68,CR$4:CR68,CP$4:CP68))</f>
        <v>0</v>
      </c>
      <c r="CW68" s="200" t="str">
        <f t="shared" ref="CW68:CW131" si="154">IF(AND($S68="Up",$BF68="Long",$E68=CW$2),$P68,"")</f>
        <v/>
      </c>
      <c r="CX68" s="200">
        <f>IF($J68="",#N/A,SUM(CW$4:CW68))</f>
        <v>0</v>
      </c>
      <c r="CY68" s="201" t="str">
        <f t="shared" ref="CY68:CY131" si="155">IF(AND($S68="Dwn",$BF68="Short",$E68=CW$2),$P68,"")</f>
        <v/>
      </c>
      <c r="CZ68" s="201">
        <f>IF($J68="",#N/A,SUM(CY$4:CY68))</f>
        <v>-0.63271328921481373</v>
      </c>
      <c r="DA68" s="202" t="str">
        <f t="shared" ref="DA68:DA131" si="156">IF(AND($S68="SW",$BF68="Long",$E68=CW$2),$P68,"")</f>
        <v/>
      </c>
      <c r="DB68" s="202">
        <f>IF($J68="",#N/A,SUM(DA$4:DA68))</f>
        <v>1.1829222170861893</v>
      </c>
      <c r="DC68" s="202">
        <f>IF($J68="",#N/A,SUM(DA$4:DA68,CY$4:CY68,CW$4:CW68))</f>
        <v>0.55020892787137554</v>
      </c>
      <c r="DD68" s="200" t="str">
        <f t="shared" ref="DD68:DD131" si="157">IF(AND($S68="Up",$BF68="Long",$E68=DD$2),$P68,"")</f>
        <v/>
      </c>
      <c r="DE68" s="200">
        <f>IF($J68="",#N/A,SUM(DD$4:DD68))</f>
        <v>0</v>
      </c>
      <c r="DF68" s="201" t="str">
        <f t="shared" ref="DF68:DF131" si="158">IF(AND($S68="Dwn",$BF68="Short",$E68=DD$2),$P68,"")</f>
        <v/>
      </c>
      <c r="DG68" s="201">
        <f>IF($J68="",#N/A,SUM(DF$4:DF68))</f>
        <v>0.6788440567066546</v>
      </c>
      <c r="DH68" s="202" t="str">
        <f t="shared" ref="DH68:DH131" si="159">IF(AND($S68="SW",$BF68="Long",$E68=DD$2),$P68,"")</f>
        <v/>
      </c>
      <c r="DI68" s="202">
        <f>IF($J68="",#N/A,SUM(DH$4:DH68))</f>
        <v>-0.83172699364602887</v>
      </c>
      <c r="DJ68" s="202">
        <f>IF($J68="",#N/A,SUM(DH$4:DH68,DF$4:DF68,DD$4:DD68))</f>
        <v>-0.15288293693937427</v>
      </c>
      <c r="DK68" s="200" t="str">
        <f t="shared" ref="DK68:DK131" si="160">IF(AND($S68="Up",$BF68="Long",$E68=DK$2),$P68,"")</f>
        <v/>
      </c>
      <c r="DL68" s="200">
        <f>IF($J68="",#N/A,SUM(DK$4:DK68))</f>
        <v>0</v>
      </c>
      <c r="DM68" s="201" t="str">
        <f t="shared" ref="DM68:DM131" si="161">IF(AND($S68="Dwn",$BF68="Short",$E68=DK$2),$P68,"")</f>
        <v/>
      </c>
      <c r="DN68" s="201">
        <f>IF($J68="",#N/A,SUM(DM$4:DM68))</f>
        <v>0.36227168206863897</v>
      </c>
      <c r="DO68" s="202">
        <f t="shared" ref="DO68:DO131" si="162">IF(AND($S68="SW",$BF68="Long",$E68=DK$2),$P68,"")</f>
        <v>-0.26273491592482923</v>
      </c>
      <c r="DP68" s="202">
        <f>IF($J68="",#N/A,SUM(DO$4:DO68))</f>
        <v>-0.43291760746858676</v>
      </c>
      <c r="DQ68" s="202">
        <f>IF($J68="",#N/A,SUM(DO$4:DO68,DM$4:DM68,DK$4:DK68))</f>
        <v>-7.0645925399947795E-2</v>
      </c>
      <c r="DR68" s="200" t="str">
        <f t="shared" ref="DR68:DR131" si="163">IF(AND($S68="Up",$BF68="Long",$E68=DR$2),$P68,"")</f>
        <v/>
      </c>
      <c r="DS68" s="200">
        <f>IF($J68="",#N/A,SUM(DR$4:DR68))</f>
        <v>0</v>
      </c>
      <c r="DT68" s="201" t="str">
        <f t="shared" ref="DT68:DT131" si="164">IF(AND($S68="Dwn",$BF68="Short",$E68=DR$2),$P68,"")</f>
        <v/>
      </c>
      <c r="DU68" s="201">
        <f>IF($J68="",#N/A,SUM(DT$4:DT68))</f>
        <v>-2.8875364672150718</v>
      </c>
      <c r="DV68" s="202" t="str">
        <f t="shared" ref="DV68:DV131" si="165">IF(AND($S68="SW",$BF68="Long",$E68=DR$2),$P68,"")</f>
        <v/>
      </c>
      <c r="DW68" s="202">
        <f>IF($J68="",#N/A,SUM(DV$4:DV68))</f>
        <v>-0.23245750740486493</v>
      </c>
      <c r="DX68" s="202">
        <f>IF($J68="",#N/A,SUM(DV$4:DV68,DT$4:DT68,DR$4:DR68))</f>
        <v>-3.1199939746199368</v>
      </c>
      <c r="DY68" s="200" t="str">
        <f t="shared" ref="DY68:DY131" si="166">IF(AND($S68="Up",$BF68="Long",$E68=DY$2),$P68,"")</f>
        <v/>
      </c>
      <c r="DZ68" s="200">
        <f>IF($J68="",#N/A,SUM(DY$4:DY68))</f>
        <v>-1.4611133068588897</v>
      </c>
      <c r="EA68" s="201" t="str">
        <f t="shared" ref="EA68:EA131" si="167">IF(AND($S68="Dwn",$BF68="Short",$E68=DY$2),$P68,"")</f>
        <v/>
      </c>
      <c r="EB68" s="201">
        <f>IF($J68="",#N/A,SUM(EA$4:EA68))</f>
        <v>-0.86716764906472754</v>
      </c>
      <c r="EC68" s="202" t="str">
        <f t="shared" ref="EC68:EC131" si="168">IF(AND($S68="SW",$BF68="Long",$E68=DY$2),$P68,"")</f>
        <v/>
      </c>
      <c r="ED68" s="202">
        <f>IF($J68="",#N/A,SUM(EC$4:EC68))</f>
        <v>1.3071535330018835</v>
      </c>
      <c r="EE68" s="202">
        <f>IF($J68="",#N/A,SUM(EC$4:EC68,EA$4:EA68,DY$4:DY68))</f>
        <v>-1.0211274229217338</v>
      </c>
      <c r="EF68" s="200" t="str">
        <f t="shared" ref="EF68:EF131" si="169">IF(AND($S68="Up",$BF68="Long",$E68=EF$2),$P68,"")</f>
        <v/>
      </c>
      <c r="EG68" s="200">
        <f>IF($J68="",#N/A,SUM(EF$4:EF68))</f>
        <v>0</v>
      </c>
      <c r="EH68" s="201" t="str">
        <f t="shared" ref="EH68:EH131" si="170">IF(AND($S68="Dwn",$BF68="Short",$E68=EF$2),$P68,"")</f>
        <v/>
      </c>
      <c r="EI68" s="201">
        <f>IF($J68="",#N/A,SUM(EH$4:EH68))</f>
        <v>-1.196204584775086</v>
      </c>
      <c r="EJ68" s="202" t="str">
        <f t="shared" ref="EJ68:EJ131" si="171">IF(AND($S68="SW",$BF68="Long",$E68=EF$2),$P68,"")</f>
        <v/>
      </c>
      <c r="EK68" s="202">
        <f>IF($J68="",#N/A,SUM(EJ$4:EJ68))</f>
        <v>1.3436756383175479</v>
      </c>
      <c r="EL68" s="202">
        <f>IF($J68="",#N/A,SUM(EJ$4:EJ68,EH$4:EH68,EF$4:EF68))</f>
        <v>0.14747105354246193</v>
      </c>
      <c r="EM68" s="200" t="str">
        <f t="shared" ref="EM68:EM131" si="172">IF(AND($S68="Up",$BF68="Long",$E68=EM$2),$P68,"")</f>
        <v/>
      </c>
      <c r="EN68" s="200">
        <f>IF($J68="",#N/A,SUM(EM$4:EM68))</f>
        <v>0</v>
      </c>
      <c r="EO68" s="201" t="str">
        <f t="shared" ref="EO68:EO131" si="173">IF(AND($S68="Dwn",$BF68="Short",$E68=EM$2),$P68,"")</f>
        <v/>
      </c>
      <c r="EP68" s="201">
        <f>IF($J68="",#N/A,SUM(EO$4:EO68))</f>
        <v>0.61509852304831358</v>
      </c>
      <c r="EQ68" s="202" t="str">
        <f t="shared" ref="EQ68:EQ131" si="174">IF(AND($S68="SW",$BF68="Long",$E68=EM$2),$P68,"")</f>
        <v/>
      </c>
      <c r="ER68" s="202">
        <f>IF($J68="",#N/A,SUM(EQ$4:EQ68))</f>
        <v>0.4926597949853756</v>
      </c>
      <c r="ES68" s="202">
        <f>IF($J68="",#N/A,SUM(EQ$4:EQ68,EO$4:EO68,EM$4:EM68))</f>
        <v>1.1077583180336892</v>
      </c>
      <c r="ET68" s="200" t="str">
        <f t="shared" ref="ET68:ET131" si="175">IF(AND($S68="Up",$BF68="Long",$E68=ET$2),$P68,"")</f>
        <v/>
      </c>
      <c r="EU68" s="200">
        <f>IF($J68="",#N/A,SUM(ET$4:ET68))</f>
        <v>0</v>
      </c>
      <c r="EV68" s="201" t="str">
        <f t="shared" ref="EV68:EV131" si="176">IF(AND($S68="Dwn",$BF68="Short",$E68=ET$2),$P68,"")</f>
        <v/>
      </c>
      <c r="EW68" s="201">
        <f>IF($J68="",#N/A,SUM(EV$4:EV68))</f>
        <v>0</v>
      </c>
      <c r="EX68" s="202" t="str">
        <f t="shared" ref="EX68:EX131" si="177">IF(AND($S68="SW",$BF68="Long",$E68=ET$2),$P68,"")</f>
        <v/>
      </c>
      <c r="EY68" s="202">
        <f>IF($J68="",#N/A,SUM(EX$4:EX68))</f>
        <v>0</v>
      </c>
      <c r="EZ68" s="202">
        <f>IF($J68="",#N/A,SUM(EX$4:EX68,EV$4:EV68,ET$4:ET68))</f>
        <v>0</v>
      </c>
      <c r="FA68" s="200" t="str">
        <f t="shared" ref="FA68:FA131" si="178">IF(AND($S68="Up",$BF68="Long",$E68=FA$2),$P68,"")</f>
        <v/>
      </c>
      <c r="FB68" s="200">
        <f>IF($J68="",#N/A,SUM(FA$4:FA68))</f>
        <v>0</v>
      </c>
      <c r="FC68" s="201" t="str">
        <f t="shared" ref="FC68:FC131" si="179">IF(AND($S68="Dwn",$BF68="Short",$E68=FA$2),$P68,"")</f>
        <v/>
      </c>
      <c r="FD68" s="201">
        <f>IF($J68="",#N/A,SUM(FC$4:FC68))</f>
        <v>1.3724148418491529</v>
      </c>
      <c r="FE68" s="202" t="str">
        <f t="shared" ref="FE68:FE131" si="180">IF(AND($S68="SW",$BF68="Long",$E68=FA$2),$P68,"")</f>
        <v/>
      </c>
      <c r="FF68" s="202">
        <f>IF($J68="",#N/A,SUM(FE$4:FE68))</f>
        <v>-0.28811149078748233</v>
      </c>
      <c r="FG68" s="202">
        <f>IF($J68="",#N/A,SUM(FE$4:FE68,FC$4:FC68,FA$4:FA68))</f>
        <v>1.0843033510616706</v>
      </c>
      <c r="FH68" s="200" t="str">
        <f t="shared" ref="FH68:FH131" si="181">IF(AND($S68="Up",$BF68="Long",$E68=FH$2),$P68,"")</f>
        <v/>
      </c>
      <c r="FI68" s="200">
        <f>IF($J68="",#N/A,SUM(FH$4:FH68))</f>
        <v>0</v>
      </c>
      <c r="FJ68" s="201" t="str">
        <f t="shared" ref="FJ68:FJ131" si="182">IF(AND($S68="Dwn",$BF68="Short",$E68=FH$2),$P68,"")</f>
        <v/>
      </c>
      <c r="FK68" s="201">
        <f>IF($J68="",#N/A,SUM(FJ$4:FJ68))</f>
        <v>0</v>
      </c>
      <c r="FL68" s="202" t="str">
        <f t="shared" ref="FL68:FL131" si="183">IF(AND($S68="SW",$BF68="Long",$E68=FH$2),$P68,"")</f>
        <v/>
      </c>
      <c r="FM68" s="202">
        <f>IF($J68="",#N/A,SUM(FL$4:FL68))</f>
        <v>0</v>
      </c>
      <c r="FN68" s="202">
        <f>IF($J68="",#N/A,SUM(FL$4:FL68,FJ$4:FJ68,FH$4:FH68))</f>
        <v>0</v>
      </c>
      <c r="FO68" s="200" t="str">
        <f t="shared" ref="FO68:FO131" si="184">IF(AND($S68="Up",$BF68="Long",$E68=FO$2),$P68,"")</f>
        <v/>
      </c>
      <c r="FP68" s="200">
        <f>IF($J68="",#N/A,SUM(FO$4:FO68))</f>
        <v>0</v>
      </c>
      <c r="FQ68" s="201" t="str">
        <f t="shared" ref="FQ68:FQ131" si="185">IF(AND($S68="Dwn",$BF68="Short",$E68=FO$2),$P68,"")</f>
        <v/>
      </c>
      <c r="FR68" s="201">
        <f>IF($J68="",#N/A,SUM(FQ$4:FQ68))</f>
        <v>0</v>
      </c>
      <c r="FS68" s="202" t="str">
        <f t="shared" ref="FS68:FS131" si="186">IF(AND($S68="SW",$BF68="Long",$E68=FO$2),$P68,"")</f>
        <v/>
      </c>
      <c r="FT68" s="202">
        <f>IF($J68="",#N/A,SUM(FS$4:FS68))</f>
        <v>0</v>
      </c>
      <c r="FU68" s="202">
        <f>IF($J68="",#N/A,SUM(FS$4:FS68,FQ$4:FQ68,FO$4:FO68))</f>
        <v>0</v>
      </c>
      <c r="FV68" s="200" t="str">
        <f t="shared" ref="FV68:FV131" si="187">IF(AND($S68="Up",$BF68="Long",$E68=FV$2),$P68,"")</f>
        <v/>
      </c>
      <c r="FW68" s="200">
        <f>IF($J68="",#N/A,SUM(FV$4:FV68))</f>
        <v>6.6834991831277585E-2</v>
      </c>
      <c r="FX68" s="201" t="str">
        <f t="shared" ref="FX68:FX131" si="188">IF(AND($S68="Dwn",$BF68="Short",$E68=FV$2),$P68,"")</f>
        <v/>
      </c>
      <c r="FY68" s="201">
        <f>IF($J68="",#N/A,SUM(FX$4:FX68))</f>
        <v>0</v>
      </c>
      <c r="FZ68" s="202" t="str">
        <f t="shared" ref="FZ68:FZ131" si="189">IF(AND($S68="SW",$BF68="Long",$E68=FV$2),$P68,"")</f>
        <v/>
      </c>
      <c r="GA68" s="202">
        <f>IF($J68="",#N/A,SUM(FZ$4:FZ68))</f>
        <v>-0.20104261551371039</v>
      </c>
      <c r="GB68" s="202">
        <f>IF($J68="",#N/A,SUM(FZ$4:FZ68,FX$4:FX68,FV$4:FV68))</f>
        <v>-0.1342076236824328</v>
      </c>
      <c r="GC68" s="200" t="str">
        <f t="shared" ref="GC68:GC131" si="190">IF(AND($S68="Up",$BF68="Long",$E68=GC$2),$P68,"")</f>
        <v/>
      </c>
      <c r="GD68" s="200">
        <f>IF($J68="",#N/A,SUM(GC$4:GC68))</f>
        <v>0</v>
      </c>
      <c r="GE68" s="201" t="str">
        <f t="shared" ref="GE68:GE131" si="191">IF(AND($S68="Dwn",$BF68="Short",$E68=GC$2),$P68,"")</f>
        <v/>
      </c>
      <c r="GF68" s="201">
        <f>IF($J68="",#N/A,SUM(GE$4:GE68))</f>
        <v>0</v>
      </c>
      <c r="GG68" s="202" t="str">
        <f t="shared" ref="GG68:GG131" si="192">IF(AND($S68="SW",$BF68="Long",$E68=GC$2),$P68,"")</f>
        <v/>
      </c>
      <c r="GH68" s="202">
        <f>IF($J68="",#N/A,SUM(GG$4:GG68))</f>
        <v>-2.9368362277223206</v>
      </c>
      <c r="GI68" s="202">
        <f>IF($J68="",#N/A,SUM(GG$4:GG68,GE$4:GE68,GC$4:GC68))</f>
        <v>-2.9368362277223206</v>
      </c>
      <c r="GJ68" s="200" t="str">
        <f t="shared" ref="GJ68:GJ131" si="193">IF(AND($S68="Up",$BF68="Long",$E68=GJ$2),$P68,"")</f>
        <v/>
      </c>
      <c r="GK68" s="200">
        <f>IF($J68="",#N/A,SUM(GJ$4:GJ68))</f>
        <v>0</v>
      </c>
      <c r="GL68" s="201" t="str">
        <f t="shared" ref="GL68:GL131" si="194">IF(AND($S68="Dwn",$BF68="Short",$E68=GJ$2),$P68,"")</f>
        <v/>
      </c>
      <c r="GM68" s="201">
        <f>IF($J68="",#N/A,SUM(GL$4:GL68))</f>
        <v>-1.0674765946939027</v>
      </c>
      <c r="GN68" s="202" t="str">
        <f t="shared" ref="GN68:GN131" si="195">IF(AND($S68="SW",$BF68="Long",$E68=GJ$2),$P68,"")</f>
        <v/>
      </c>
      <c r="GO68" s="202">
        <f>IF($J68="",#N/A,SUM(GN$4:GN68))</f>
        <v>0</v>
      </c>
      <c r="GP68" s="202">
        <f>IF($J68="",#N/A,SUM(GN$4:GN68,GL$4:GL68,GJ$4:GJ68))</f>
        <v>-1.0674765946939027</v>
      </c>
      <c r="GS68" s="54">
        <f t="shared" si="105"/>
        <v>-0.26273491592482923</v>
      </c>
      <c r="GT68" s="54">
        <f>IF(GS68="",NA(),SUM($GS$4:GS68))</f>
        <v>-0.37825229729452425</v>
      </c>
      <c r="GU68" s="54" t="str">
        <f t="shared" ref="GU68:GU131" si="196">IF(AND($S68="Up",$BF68="Long",$D68="Y"),$GS68,"")</f>
        <v/>
      </c>
      <c r="GV68" s="54" t="e">
        <f>IF(GU68="",NA(),SUM($GU$4:GU68))</f>
        <v>#N/A</v>
      </c>
      <c r="GW68" s="54">
        <f t="shared" ref="GW68:GW131" si="197">IF(AND($S68="SW",$BF68="Long",$D68="Y"),$GS68,"")</f>
        <v>-0.26273491592482923</v>
      </c>
      <c r="GX68" s="54">
        <f>IF(GW68="",NA(),SUM($GW$4:GW68))</f>
        <v>2.7450523647048812</v>
      </c>
      <c r="GY68" s="54" t="str">
        <f t="shared" ref="GY68:GY131" si="198">IF(AND($S68="Dwn",$BF68="Short",$D68="Y"),$GS68,"")</f>
        <v/>
      </c>
      <c r="GZ68" s="54" t="e">
        <f>IF(GY68="",NA(),SUM($GY$4:GY68))</f>
        <v>#N/A</v>
      </c>
      <c r="HA68" s="54" t="str">
        <f t="shared" ref="HA68:HA131" si="199">IF($J68="","",IF($D68="N",$P68,""))</f>
        <v/>
      </c>
      <c r="HB68" s="54" t="e">
        <f>IF(HA68="",NA(),SUM($HA$4:HA68))</f>
        <v>#N/A</v>
      </c>
      <c r="HC68" s="54" t="str">
        <f t="shared" ref="HC68:HC131" si="200">IF(AND($S68="Up",$BF68="Long",$D68="N"),$HA68,"")</f>
        <v/>
      </c>
      <c r="HD68" s="54" t="e">
        <f>IF(HC68="",NA(),SUM($HC$4:HC68))</f>
        <v>#N/A</v>
      </c>
      <c r="HE68" s="54" t="str">
        <f t="shared" ref="HE68:HE131" si="201">IF(AND($S68="SW",$BF68="Long",$D68="N"),$HA68,"")</f>
        <v/>
      </c>
      <c r="HF68" s="54" t="e">
        <f>IF(HE68="",NA(),SUM($HE$4:HE68))</f>
        <v>#N/A</v>
      </c>
      <c r="HG68" s="54" t="str">
        <f t="shared" ref="HG68:HG131" si="202">IF(AND($S68="Dwn",$BF68="Short",$D68="N"),$HA68,"")</f>
        <v/>
      </c>
      <c r="HH68" s="54" t="e">
        <f>IF(HG68="",NA(),SUM($HG$4:HG68))</f>
        <v>#N/A</v>
      </c>
      <c r="HI68" s="172" t="str">
        <f t="shared" si="106"/>
        <v/>
      </c>
      <c r="HJ68" s="172">
        <f>IF($J68="",#N/A,SUM(HI$4:$HI68))</f>
        <v>-1.0497124168140199</v>
      </c>
      <c r="HK68" s="54" t="str">
        <f t="shared" ref="HK68:HK131" si="203">IF($AC68="","",IF(AND($S68="Dwn",$K68&gt;0),$HU68-$P68,""))</f>
        <v/>
      </c>
      <c r="HL68" s="54">
        <f>IF($J68="",#N/A,SUM($HK$4:HK68))</f>
        <v>-2.7297060402078941</v>
      </c>
      <c r="HM68" s="54" t="str">
        <f t="shared" ref="HM68:HM131" si="204">IF($AC68="","",IF(AND($S68="Up",$K68&gt;0),$HU68-$P68,""))</f>
        <v/>
      </c>
      <c r="HN68" s="54">
        <f>IF($J68="",#N/A,SUM($HM$4:HM68))</f>
        <v>0.80449527204317051</v>
      </c>
      <c r="HO68" s="54" t="str">
        <f t="shared" ref="HO68:HO131" si="205">IF($AC68="","",IF(AND($S68="Up",$K68&lt;0),$HU68-$P68,""))</f>
        <v/>
      </c>
      <c r="HP68" s="54">
        <f>IF($J68="",#N/A,SUM($HO$4:HO68))</f>
        <v>-0.64837295089680658</v>
      </c>
      <c r="HQ68" s="54" t="str">
        <f t="shared" ref="HQ68:HQ131" si="206">IF($AC68="","",IF(AND($S68="SW",$K68&gt;0),$HU68-$P68,""))</f>
        <v/>
      </c>
      <c r="HR68" s="54">
        <f>IF($J68="",#N/A,SUM($HQ$4:HQ68))</f>
        <v>-5.5003304838202336</v>
      </c>
      <c r="HS68" s="54">
        <f t="shared" ref="HS68:HS131" si="207">IF($AC68="","",IF(AND($S68="SW",$K68&lt;0),$HU68-$P68,""))</f>
        <v>0.40492087042532332</v>
      </c>
      <c r="HT68" s="54">
        <f>IF($J68="",#N/A,SUM($HS$4:HS68))</f>
        <v>5.5197538416683463</v>
      </c>
      <c r="HU68" s="65">
        <f t="shared" ref="HU68:HU131" si="208">IF(OR($Y68="",$AC68=""),"",IF($BF68="Long",(($AC68*$Y68)-$X68)/($X68*0.06),($X68-($AC68*$Y68))/($X68*0.06)))</f>
        <v>0.14218595450049407</v>
      </c>
      <c r="HV68" s="65">
        <f>IF($J68="",#N/A,SUM(HU$4:$HU68))</f>
        <v>-3.7801362623946764</v>
      </c>
    </row>
    <row r="69" spans="1:230" x14ac:dyDescent="0.25">
      <c r="A69" s="51" t="s">
        <v>1332</v>
      </c>
      <c r="B69" s="52" t="s">
        <v>4503</v>
      </c>
      <c r="C69" s="229">
        <f t="shared" si="109"/>
        <v>3</v>
      </c>
      <c r="D69" s="219" t="str">
        <f>_xlfn.XLOOKUP(A69,[1]SP500!$A$2:$A$502,[1]SP500!$D$2:$D$502,"N")</f>
        <v>Y</v>
      </c>
      <c r="E69" s="51" t="str">
        <f>IFERROR(_xlfn.XLOOKUP(A69,[1]SP500!$A$2:$A$655,[1]SP500!$B$2:$B$655),"")</f>
        <v>XLI</v>
      </c>
      <c r="F69" s="53">
        <v>45770</v>
      </c>
      <c r="G69" s="51" t="str">
        <f t="shared" si="110"/>
        <v>BMO</v>
      </c>
      <c r="H69" s="51" t="str">
        <f t="shared" si="111"/>
        <v>s</v>
      </c>
      <c r="I69" s="344">
        <v>162.52000000000001</v>
      </c>
      <c r="J69" s="123">
        <v>174</v>
      </c>
      <c r="K69" s="55">
        <f t="shared" si="112"/>
        <v>7.0637460004922409E-2</v>
      </c>
      <c r="L69" s="67">
        <f t="shared" si="113"/>
        <v>57.399999999999977</v>
      </c>
      <c r="M69" s="57">
        <f t="shared" si="114"/>
        <v>-2.75</v>
      </c>
      <c r="N69" s="155">
        <f t="shared" si="115"/>
        <v>57.399999999999977</v>
      </c>
      <c r="O69" s="156">
        <f>IF(N69="",#N/A,SUM($N$4:N69))</f>
        <v>-136.50869563037486</v>
      </c>
      <c r="P69" s="65">
        <f t="shared" ref="P69:P132" si="209">IF(OR($Y69="",L69=""),"",IF($BF69="Long",(($J69*$Y69)-$X69)/(X69*0.06),($X69-($J69*$Y69))/(X69*0.06)))</f>
        <v>1.1772910000820407</v>
      </c>
      <c r="Q69" s="172">
        <f>IF($N69="",#N/A,SUM($P$4:P69))</f>
        <v>1.0010275157147994</v>
      </c>
      <c r="R69" s="279">
        <f t="shared" si="116"/>
        <v>2.827757395743812</v>
      </c>
      <c r="S69" s="51" t="str">
        <f t="shared" si="117"/>
        <v>SW</v>
      </c>
      <c r="T69" s="51" t="s">
        <v>2828</v>
      </c>
      <c r="U69" s="56">
        <f t="shared" si="118"/>
        <v>162.52000000000001</v>
      </c>
      <c r="V69" s="56" t="s">
        <v>4460</v>
      </c>
      <c r="W69" s="142">
        <v>5</v>
      </c>
      <c r="X69" s="145">
        <f t="shared" si="119"/>
        <v>812.6</v>
      </c>
      <c r="Y69" s="140">
        <f t="shared" si="120"/>
        <v>5</v>
      </c>
      <c r="Z69" s="123">
        <v>173.45</v>
      </c>
      <c r="AA69" s="102">
        <f t="shared" si="121"/>
        <v>54.649999999999977</v>
      </c>
      <c r="AB69" s="102">
        <f t="shared" si="122"/>
        <v>49.25</v>
      </c>
      <c r="AC69" s="124">
        <v>172.37</v>
      </c>
      <c r="AD69" s="155">
        <f t="shared" si="123"/>
        <v>49.25</v>
      </c>
      <c r="AE69" s="545">
        <f t="shared" si="124"/>
        <v>1.0101320863073262</v>
      </c>
      <c r="AF69" s="57">
        <f>IF($AC69="",#N/A,SUM(AD$4:AD69))</f>
        <v>-315.03582025503147</v>
      </c>
      <c r="AG69" s="102">
        <f t="shared" si="125"/>
        <v>-8.1499999999999773</v>
      </c>
      <c r="AH69" s="57" t="s">
        <v>2507</v>
      </c>
      <c r="AI69" s="65">
        <f t="shared" si="126"/>
        <v>1.1208876856181798</v>
      </c>
      <c r="AJ69" s="54">
        <f>IF(AI69="",#N/A,SUM($AI$4:AI69))</f>
        <v>-1.8267298800290126</v>
      </c>
      <c r="AK69" s="57">
        <f t="shared" si="127"/>
        <v>54.649999999999977</v>
      </c>
      <c r="AL69" s="58">
        <f>IF(AI69="",#N/A,IF(AH69="Skip",SUM($AK$4:AK69),SUM($AK$4:AK69)))</f>
        <v>-321.49999999999943</v>
      </c>
      <c r="AM69" s="65">
        <f t="shared" ref="AM69:AM132" si="210">IF(OR($Y69="",$L69=""),"",IF($BF69="Long",(($AC69*$Y69)-$X69)/($X69*0.06),($X69-($AC69*$Y69))/($X69*0.06)))</f>
        <v>1.0101320863073262</v>
      </c>
      <c r="AN69" s="209"/>
      <c r="AO69" s="65">
        <f t="shared" si="128"/>
        <v>1.0101320863073262</v>
      </c>
      <c r="AP69" s="65">
        <f>IF($AC69="",#N/A,SUM(AO$4:AO69))</f>
        <v>3.9765966217876039</v>
      </c>
      <c r="AQ69" s="65" t="str">
        <f t="shared" si="129"/>
        <v/>
      </c>
      <c r="AR69" s="65">
        <f>IF($AC69="",#N/A,SUM(AQ$4:AQ69))</f>
        <v>-1.2381559938812483</v>
      </c>
      <c r="AS69" s="65" t="str">
        <f t="shared" si="130"/>
        <v/>
      </c>
      <c r="AT69" s="65">
        <f>IF($AC69="",#N/A,SUM(AS$4:AS69))</f>
        <v>-5.5084448039937079</v>
      </c>
      <c r="AU69" s="57">
        <f t="shared" si="102"/>
        <v>49.25</v>
      </c>
      <c r="AV69" s="57">
        <f>IF($AC69="",#N/A,SUM(AU$4:AU69))</f>
        <v>174.54255264778453</v>
      </c>
      <c r="AW69" s="57" t="str">
        <f t="shared" si="103"/>
        <v/>
      </c>
      <c r="AX69" s="57">
        <f>IF($AC69="",#N/A,SUM(AW$4:AW69))</f>
        <v>-74.660000000000196</v>
      </c>
      <c r="AY69" s="57" t="str">
        <f t="shared" si="104"/>
        <v/>
      </c>
      <c r="AZ69" s="57">
        <f>IF($AC69="",#N/A,SUM(AY$4:AY69))</f>
        <v>-414.9183729028158</v>
      </c>
      <c r="BA69" s="57">
        <f>IF(AD69="",#N/A,SUM($AD$4:AD69))</f>
        <v>-315.03582025503147</v>
      </c>
      <c r="BC69" s="51" t="str">
        <f t="shared" si="131"/>
        <v/>
      </c>
      <c r="BD69" s="51" t="str">
        <f t="shared" si="132"/>
        <v/>
      </c>
      <c r="BE69" s="51">
        <f t="shared" si="133"/>
        <v>1</v>
      </c>
      <c r="BF69" s="51" t="str">
        <f t="shared" si="134"/>
        <v>Long</v>
      </c>
      <c r="BG69" s="51" t="str">
        <f t="shared" si="135"/>
        <v/>
      </c>
      <c r="BH69" s="51" t="str">
        <f t="shared" si="136"/>
        <v/>
      </c>
      <c r="BI69" s="51" t="str">
        <f t="shared" si="137"/>
        <v/>
      </c>
      <c r="BK69" s="65">
        <f t="shared" si="108"/>
        <v>-1.7959339953092325E-2</v>
      </c>
      <c r="BL69" s="65">
        <f t="shared" si="107"/>
        <v>0.28683673262200021</v>
      </c>
      <c r="BM69" s="65">
        <f>IFERROR(Q69/COUNTA($J$4:J69),#N/A)</f>
        <v>1.5167083571436354E-2</v>
      </c>
      <c r="BO69" s="489">
        <f>IF(J69="",#N/A,IF(S69="SW",(COUNTIFS(K$4:$K69,"&gt;0",S$4:$S69,"SW")/COUNTIF(S$4:$S69,"SW")),#N/A))</f>
        <v>0.56097560975609762</v>
      </c>
      <c r="BP69" s="489" t="e">
        <f>IF($J69="",#N/A,IF($S69="DWN",(COUNTIFS($K$4:$K69,"&lt;0",$S$4:$S69,"DWN")/COUNTIF($S$4:$S69,"DWN")),#N/A))</f>
        <v>#N/A</v>
      </c>
      <c r="BQ69" s="489" t="e">
        <f>IF($J69="",#N/A,IF($S69="UP",(COUNTIFS($K$4:$K69,"&gt;0",$S$4:$S69,"UP")/COUNTIF($S$4:$S69,"UP")),#N/A))</f>
        <v>#N/A</v>
      </c>
      <c r="BR69" s="489">
        <f>IF(J69="",#N/A,COUNTIF($K$4:K69,"&gt;0")/COUNT($J$4:J69))</f>
        <v>0.53030303030303028</v>
      </c>
      <c r="BS69" s="65">
        <f t="shared" si="138"/>
        <v>1.1772910000820407</v>
      </c>
      <c r="BT69" s="65" t="str">
        <f t="shared" si="139"/>
        <v/>
      </c>
      <c r="BU69" s="65" t="str">
        <f t="shared" si="140"/>
        <v/>
      </c>
      <c r="BV69" s="65" t="str">
        <f t="shared" si="141"/>
        <v/>
      </c>
      <c r="BW69" s="151" t="str">
        <f t="shared" si="142"/>
        <v/>
      </c>
      <c r="BX69" s="151">
        <f>IF($J69="",#N/A,SUM($BW$4:BW69))</f>
        <v>-88.570000000000164</v>
      </c>
      <c r="BY69" s="152" t="str">
        <f t="shared" si="143"/>
        <v/>
      </c>
      <c r="BZ69" s="152">
        <f>IF($J69="",#N/A,SUM($BY$4:BY69))</f>
        <v>-176.84871953149536</v>
      </c>
      <c r="CA69" s="153">
        <f t="shared" si="144"/>
        <v>57.399999999999977</v>
      </c>
      <c r="CB69" s="154">
        <f>IF($J69="",#N/A,SUM($CA$4:CA69))</f>
        <v>128.91002390112067</v>
      </c>
      <c r="CC69" s="191" t="str">
        <f t="shared" si="145"/>
        <v/>
      </c>
      <c r="CD69" s="191">
        <f>IF($J69="",#N/A,SUM($CC$4:CC69))</f>
        <v>-1.3942783150276121</v>
      </c>
      <c r="CE69" s="192" t="str">
        <f t="shared" si="146"/>
        <v/>
      </c>
      <c r="CF69" s="192">
        <f>IF($J69="",#N/A,SUM($CE$4:CE69))</f>
        <v>-1.7290263469717926</v>
      </c>
      <c r="CG69" s="193">
        <f t="shared" si="147"/>
        <v>1.1772910000820407</v>
      </c>
      <c r="CH69" s="193">
        <f>IF($J69="",#N/A,SUM($CG$4:CG69))</f>
        <v>4.1243321777142077</v>
      </c>
      <c r="CI69" s="200" t="str">
        <f t="shared" si="148"/>
        <v/>
      </c>
      <c r="CJ69" s="200">
        <f>IF($J69="",#N/A,SUM(CI$4:CI69))</f>
        <v>0</v>
      </c>
      <c r="CK69" s="201" t="str">
        <f t="shared" si="149"/>
        <v/>
      </c>
      <c r="CL69" s="201">
        <f>IF($J69="",#N/A,SUM(CK$4:CK69))</f>
        <v>1.8934431343190481</v>
      </c>
      <c r="CM69" s="202" t="str">
        <f t="shared" si="150"/>
        <v/>
      </c>
      <c r="CN69" s="202">
        <f>IF($J69="",#N/A,SUM(CM$4:CM69))</f>
        <v>3.5437224367841633</v>
      </c>
      <c r="CO69" s="202">
        <f>IF($J69="",#N/A,SUM(CM$4:CM69,CK$4:CK69,CI$4:CI69))</f>
        <v>5.4371655711032112</v>
      </c>
      <c r="CP69" s="200" t="str">
        <f t="shared" si="151"/>
        <v/>
      </c>
      <c r="CQ69" s="200">
        <f>IF($J69="",#N/A,SUM(CP$4:CP69))</f>
        <v>0</v>
      </c>
      <c r="CR69" s="201" t="str">
        <f t="shared" si="152"/>
        <v/>
      </c>
      <c r="CS69" s="201">
        <f>IF($J69="",#N/A,SUM(CR$4:CR69))</f>
        <v>0</v>
      </c>
      <c r="CT69" s="202" t="str">
        <f t="shared" si="153"/>
        <v/>
      </c>
      <c r="CU69" s="202">
        <f>IF($J69="",#N/A,SUM(CT$4:CT69))</f>
        <v>0</v>
      </c>
      <c r="CV69" s="202">
        <f>IF($J69="",#N/A,SUM(CT$4:CT69,CR$4:CR69,CP$4:CP69))</f>
        <v>0</v>
      </c>
      <c r="CW69" s="200" t="str">
        <f t="shared" si="154"/>
        <v/>
      </c>
      <c r="CX69" s="200">
        <f>IF($J69="",#N/A,SUM(CW$4:CW69))</f>
        <v>0</v>
      </c>
      <c r="CY69" s="201" t="str">
        <f t="shared" si="155"/>
        <v/>
      </c>
      <c r="CZ69" s="201">
        <f>IF($J69="",#N/A,SUM(CY$4:CY69))</f>
        <v>-0.63271328921481373</v>
      </c>
      <c r="DA69" s="202" t="str">
        <f t="shared" si="156"/>
        <v/>
      </c>
      <c r="DB69" s="202">
        <f>IF($J69="",#N/A,SUM(DA$4:DA69))</f>
        <v>1.1829222170861893</v>
      </c>
      <c r="DC69" s="202">
        <f>IF($J69="",#N/A,SUM(DA$4:DA69,CY$4:CY69,CW$4:CW69))</f>
        <v>0.55020892787137554</v>
      </c>
      <c r="DD69" s="200" t="str">
        <f t="shared" si="157"/>
        <v/>
      </c>
      <c r="DE69" s="200">
        <f>IF($J69="",#N/A,SUM(DD$4:DD69))</f>
        <v>0</v>
      </c>
      <c r="DF69" s="201" t="str">
        <f t="shared" si="158"/>
        <v/>
      </c>
      <c r="DG69" s="201">
        <f>IF($J69="",#N/A,SUM(DF$4:DF69))</f>
        <v>0.6788440567066546</v>
      </c>
      <c r="DH69" s="202" t="str">
        <f t="shared" si="159"/>
        <v/>
      </c>
      <c r="DI69" s="202">
        <f>IF($J69="",#N/A,SUM(DH$4:DH69))</f>
        <v>-0.83172699364602887</v>
      </c>
      <c r="DJ69" s="202">
        <f>IF($J69="",#N/A,SUM(DH$4:DH69,DF$4:DF69,DD$4:DD69))</f>
        <v>-0.15288293693937427</v>
      </c>
      <c r="DK69" s="200" t="str">
        <f t="shared" si="160"/>
        <v/>
      </c>
      <c r="DL69" s="200">
        <f>IF($J69="",#N/A,SUM(DK$4:DK69))</f>
        <v>0</v>
      </c>
      <c r="DM69" s="201" t="str">
        <f t="shared" si="161"/>
        <v/>
      </c>
      <c r="DN69" s="201">
        <f>IF($J69="",#N/A,SUM(DM$4:DM69))</f>
        <v>0.36227168206863897</v>
      </c>
      <c r="DO69" s="202" t="str">
        <f t="shared" si="162"/>
        <v/>
      </c>
      <c r="DP69" s="202">
        <f>IF($J69="",#N/A,SUM(DO$4:DO69))</f>
        <v>-0.43291760746858676</v>
      </c>
      <c r="DQ69" s="202">
        <f>IF($J69="",#N/A,SUM(DO$4:DO69,DM$4:DM69,DK$4:DK69))</f>
        <v>-7.0645925399947795E-2</v>
      </c>
      <c r="DR69" s="200" t="str">
        <f t="shared" si="163"/>
        <v/>
      </c>
      <c r="DS69" s="200">
        <f>IF($J69="",#N/A,SUM(DR$4:DR69))</f>
        <v>0</v>
      </c>
      <c r="DT69" s="201" t="str">
        <f t="shared" si="164"/>
        <v/>
      </c>
      <c r="DU69" s="201">
        <f>IF($J69="",#N/A,SUM(DT$4:DT69))</f>
        <v>-2.8875364672150718</v>
      </c>
      <c r="DV69" s="202" t="str">
        <f t="shared" si="165"/>
        <v/>
      </c>
      <c r="DW69" s="202">
        <f>IF($J69="",#N/A,SUM(DV$4:DV69))</f>
        <v>-0.23245750740486493</v>
      </c>
      <c r="DX69" s="202">
        <f>IF($J69="",#N/A,SUM(DV$4:DV69,DT$4:DT69,DR$4:DR69))</f>
        <v>-3.1199939746199368</v>
      </c>
      <c r="DY69" s="200" t="str">
        <f t="shared" si="166"/>
        <v/>
      </c>
      <c r="DZ69" s="200">
        <f>IF($J69="",#N/A,SUM(DY$4:DY69))</f>
        <v>-1.4611133068588897</v>
      </c>
      <c r="EA69" s="201" t="str">
        <f t="shared" si="167"/>
        <v/>
      </c>
      <c r="EB69" s="201">
        <f>IF($J69="",#N/A,SUM(EA$4:EA69))</f>
        <v>-0.86716764906472754</v>
      </c>
      <c r="EC69" s="202">
        <f t="shared" si="168"/>
        <v>1.1772910000820407</v>
      </c>
      <c r="ED69" s="202">
        <f>IF($J69="",#N/A,SUM(EC$4:EC69))</f>
        <v>2.4844445330839244</v>
      </c>
      <c r="EE69" s="202">
        <f>IF($J69="",#N/A,SUM(EC$4:EC69,EA$4:EA69,DY$4:DY69))</f>
        <v>0.15616357716030693</v>
      </c>
      <c r="EF69" s="200" t="str">
        <f t="shared" si="169"/>
        <v/>
      </c>
      <c r="EG69" s="200">
        <f>IF($J69="",#N/A,SUM(EF$4:EF69))</f>
        <v>0</v>
      </c>
      <c r="EH69" s="201" t="str">
        <f t="shared" si="170"/>
        <v/>
      </c>
      <c r="EI69" s="201">
        <f>IF($J69="",#N/A,SUM(EH$4:EH69))</f>
        <v>-1.196204584775086</v>
      </c>
      <c r="EJ69" s="202" t="str">
        <f t="shared" si="171"/>
        <v/>
      </c>
      <c r="EK69" s="202">
        <f>IF($J69="",#N/A,SUM(EJ$4:EJ69))</f>
        <v>1.3436756383175479</v>
      </c>
      <c r="EL69" s="202">
        <f>IF($J69="",#N/A,SUM(EJ$4:EJ69,EH$4:EH69,EF$4:EF69))</f>
        <v>0.14747105354246193</v>
      </c>
      <c r="EM69" s="200" t="str">
        <f t="shared" si="172"/>
        <v/>
      </c>
      <c r="EN69" s="200">
        <f>IF($J69="",#N/A,SUM(EM$4:EM69))</f>
        <v>0</v>
      </c>
      <c r="EO69" s="201" t="str">
        <f t="shared" si="173"/>
        <v/>
      </c>
      <c r="EP69" s="201">
        <f>IF($J69="",#N/A,SUM(EO$4:EO69))</f>
        <v>0.61509852304831358</v>
      </c>
      <c r="EQ69" s="202" t="str">
        <f t="shared" si="174"/>
        <v/>
      </c>
      <c r="ER69" s="202">
        <f>IF($J69="",#N/A,SUM(EQ$4:EQ69))</f>
        <v>0.4926597949853756</v>
      </c>
      <c r="ES69" s="202">
        <f>IF($J69="",#N/A,SUM(EQ$4:EQ69,EO$4:EO69,EM$4:EM69))</f>
        <v>1.1077583180336892</v>
      </c>
      <c r="ET69" s="200" t="str">
        <f t="shared" si="175"/>
        <v/>
      </c>
      <c r="EU69" s="200">
        <f>IF($J69="",#N/A,SUM(ET$4:ET69))</f>
        <v>0</v>
      </c>
      <c r="EV69" s="201" t="str">
        <f t="shared" si="176"/>
        <v/>
      </c>
      <c r="EW69" s="201">
        <f>IF($J69="",#N/A,SUM(EV$4:EV69))</f>
        <v>0</v>
      </c>
      <c r="EX69" s="202" t="str">
        <f t="shared" si="177"/>
        <v/>
      </c>
      <c r="EY69" s="202">
        <f>IF($J69="",#N/A,SUM(EX$4:EX69))</f>
        <v>0</v>
      </c>
      <c r="EZ69" s="202">
        <f>IF($J69="",#N/A,SUM(EX$4:EX69,EV$4:EV69,ET$4:ET69))</f>
        <v>0</v>
      </c>
      <c r="FA69" s="200" t="str">
        <f t="shared" si="178"/>
        <v/>
      </c>
      <c r="FB69" s="200">
        <f>IF($J69="",#N/A,SUM(FA$4:FA69))</f>
        <v>0</v>
      </c>
      <c r="FC69" s="201" t="str">
        <f t="shared" si="179"/>
        <v/>
      </c>
      <c r="FD69" s="201">
        <f>IF($J69="",#N/A,SUM(FC$4:FC69))</f>
        <v>1.3724148418491529</v>
      </c>
      <c r="FE69" s="202" t="str">
        <f t="shared" si="180"/>
        <v/>
      </c>
      <c r="FF69" s="202">
        <f>IF($J69="",#N/A,SUM(FE$4:FE69))</f>
        <v>-0.28811149078748233</v>
      </c>
      <c r="FG69" s="202">
        <f>IF($J69="",#N/A,SUM(FE$4:FE69,FC$4:FC69,FA$4:FA69))</f>
        <v>1.0843033510616706</v>
      </c>
      <c r="FH69" s="200" t="str">
        <f t="shared" si="181"/>
        <v/>
      </c>
      <c r="FI69" s="200">
        <f>IF($J69="",#N/A,SUM(FH$4:FH69))</f>
        <v>0</v>
      </c>
      <c r="FJ69" s="201" t="str">
        <f t="shared" si="182"/>
        <v/>
      </c>
      <c r="FK69" s="201">
        <f>IF($J69="",#N/A,SUM(FJ$4:FJ69))</f>
        <v>0</v>
      </c>
      <c r="FL69" s="202" t="str">
        <f t="shared" si="183"/>
        <v/>
      </c>
      <c r="FM69" s="202">
        <f>IF($J69="",#N/A,SUM(FL$4:FL69))</f>
        <v>0</v>
      </c>
      <c r="FN69" s="202">
        <f>IF($J69="",#N/A,SUM(FL$4:FL69,FJ$4:FJ69,FH$4:FH69))</f>
        <v>0</v>
      </c>
      <c r="FO69" s="200" t="str">
        <f t="shared" si="184"/>
        <v/>
      </c>
      <c r="FP69" s="200">
        <f>IF($J69="",#N/A,SUM(FO$4:FO69))</f>
        <v>0</v>
      </c>
      <c r="FQ69" s="201" t="str">
        <f t="shared" si="185"/>
        <v/>
      </c>
      <c r="FR69" s="201">
        <f>IF($J69="",#N/A,SUM(FQ$4:FQ69))</f>
        <v>0</v>
      </c>
      <c r="FS69" s="202" t="str">
        <f t="shared" si="186"/>
        <v/>
      </c>
      <c r="FT69" s="202">
        <f>IF($J69="",#N/A,SUM(FS$4:FS69))</f>
        <v>0</v>
      </c>
      <c r="FU69" s="202">
        <f>IF($J69="",#N/A,SUM(FS$4:FS69,FQ$4:FQ69,FO$4:FO69))</f>
        <v>0</v>
      </c>
      <c r="FV69" s="200" t="str">
        <f t="shared" si="187"/>
        <v/>
      </c>
      <c r="FW69" s="200">
        <f>IF($J69="",#N/A,SUM(FV$4:FV69))</f>
        <v>6.6834991831277585E-2</v>
      </c>
      <c r="FX69" s="201" t="str">
        <f t="shared" si="188"/>
        <v/>
      </c>
      <c r="FY69" s="201">
        <f>IF($J69="",#N/A,SUM(FX$4:FX69))</f>
        <v>0</v>
      </c>
      <c r="FZ69" s="202" t="str">
        <f t="shared" si="189"/>
        <v/>
      </c>
      <c r="GA69" s="202">
        <f>IF($J69="",#N/A,SUM(FZ$4:FZ69))</f>
        <v>-0.20104261551371039</v>
      </c>
      <c r="GB69" s="202">
        <f>IF($J69="",#N/A,SUM(FZ$4:FZ69,FX$4:FX69,FV$4:FV69))</f>
        <v>-0.1342076236824328</v>
      </c>
      <c r="GC69" s="200" t="str">
        <f t="shared" si="190"/>
        <v/>
      </c>
      <c r="GD69" s="200">
        <f>IF($J69="",#N/A,SUM(GC$4:GC69))</f>
        <v>0</v>
      </c>
      <c r="GE69" s="201" t="str">
        <f t="shared" si="191"/>
        <v/>
      </c>
      <c r="GF69" s="201">
        <f>IF($J69="",#N/A,SUM(GE$4:GE69))</f>
        <v>0</v>
      </c>
      <c r="GG69" s="202" t="str">
        <f t="shared" si="192"/>
        <v/>
      </c>
      <c r="GH69" s="202">
        <f>IF($J69="",#N/A,SUM(GG$4:GG69))</f>
        <v>-2.9368362277223206</v>
      </c>
      <c r="GI69" s="202">
        <f>IF($J69="",#N/A,SUM(GG$4:GG69,GE$4:GE69,GC$4:GC69))</f>
        <v>-2.9368362277223206</v>
      </c>
      <c r="GJ69" s="200" t="str">
        <f t="shared" si="193"/>
        <v/>
      </c>
      <c r="GK69" s="200">
        <f>IF($J69="",#N/A,SUM(GJ$4:GJ69))</f>
        <v>0</v>
      </c>
      <c r="GL69" s="201" t="str">
        <f t="shared" si="194"/>
        <v/>
      </c>
      <c r="GM69" s="201">
        <f>IF($J69="",#N/A,SUM(GL$4:GL69))</f>
        <v>-1.0674765946939027</v>
      </c>
      <c r="GN69" s="202" t="str">
        <f t="shared" si="195"/>
        <v/>
      </c>
      <c r="GO69" s="202">
        <f>IF($J69="",#N/A,SUM(GN$4:GN69))</f>
        <v>0</v>
      </c>
      <c r="GP69" s="202">
        <f>IF($J69="",#N/A,SUM(GN$4:GN69,GL$4:GL69,GJ$4:GJ69))</f>
        <v>-1.0674765946939027</v>
      </c>
      <c r="GS69" s="54">
        <f t="shared" si="105"/>
        <v>1.1772910000820407</v>
      </c>
      <c r="GT69" s="54">
        <f>IF(GS69="",NA(),SUM($GS$4:GS69))</f>
        <v>0.79903870278751643</v>
      </c>
      <c r="GU69" s="54" t="str">
        <f t="shared" si="196"/>
        <v/>
      </c>
      <c r="GV69" s="54" t="e">
        <f>IF(GU69="",NA(),SUM($GU$4:GU69))</f>
        <v>#N/A</v>
      </c>
      <c r="GW69" s="54">
        <f t="shared" si="197"/>
        <v>1.1772910000820407</v>
      </c>
      <c r="GX69" s="54">
        <f>IF(GW69="",NA(),SUM($GW$4:GW69))</f>
        <v>3.9223433647869221</v>
      </c>
      <c r="GY69" s="54" t="str">
        <f t="shared" si="198"/>
        <v/>
      </c>
      <c r="GZ69" s="54" t="e">
        <f>IF(GY69="",NA(),SUM($GY$4:GY69))</f>
        <v>#N/A</v>
      </c>
      <c r="HA69" s="54" t="str">
        <f t="shared" si="199"/>
        <v/>
      </c>
      <c r="HB69" s="54" t="e">
        <f>IF(HA69="",NA(),SUM($HA$4:HA69))</f>
        <v>#N/A</v>
      </c>
      <c r="HC69" s="54" t="str">
        <f t="shared" si="200"/>
        <v/>
      </c>
      <c r="HD69" s="54" t="e">
        <f>IF(HC69="",NA(),SUM($HC$4:HC69))</f>
        <v>#N/A</v>
      </c>
      <c r="HE69" s="54" t="str">
        <f t="shared" si="201"/>
        <v/>
      </c>
      <c r="HF69" s="54" t="e">
        <f>IF(HE69="",NA(),SUM($HE$4:HE69))</f>
        <v>#N/A</v>
      </c>
      <c r="HG69" s="54" t="str">
        <f t="shared" si="202"/>
        <v/>
      </c>
      <c r="HH69" s="54" t="e">
        <f>IF(HG69="",NA(),SUM($HG$4:HG69))</f>
        <v>#N/A</v>
      </c>
      <c r="HI69" s="172" t="str">
        <f t="shared" si="106"/>
        <v/>
      </c>
      <c r="HJ69" s="172">
        <f>IF($J69="",#N/A,SUM(HI$4:$HI69))</f>
        <v>-1.0497124168140199</v>
      </c>
      <c r="HK69" s="54" t="str">
        <f t="shared" si="203"/>
        <v/>
      </c>
      <c r="HL69" s="54">
        <f>IF($J69="",#N/A,SUM($HK$4:HK69))</f>
        <v>-2.7297060402078941</v>
      </c>
      <c r="HM69" s="54" t="str">
        <f t="shared" si="204"/>
        <v/>
      </c>
      <c r="HN69" s="54">
        <f>IF($J69="",#N/A,SUM($HM$4:HM69))</f>
        <v>0.80449527204317051</v>
      </c>
      <c r="HO69" s="54" t="str">
        <f t="shared" si="205"/>
        <v/>
      </c>
      <c r="HP69" s="54">
        <f>IF($J69="",#N/A,SUM($HO$4:HO69))</f>
        <v>-0.64837295089680658</v>
      </c>
      <c r="HQ69" s="54">
        <f t="shared" si="206"/>
        <v>-0.16715891377471448</v>
      </c>
      <c r="HR69" s="54">
        <f>IF($J69="",#N/A,SUM($HQ$4:HQ69))</f>
        <v>-5.6674893975949479</v>
      </c>
      <c r="HS69" s="54" t="str">
        <f t="shared" si="207"/>
        <v/>
      </c>
      <c r="HT69" s="54">
        <f>IF($J69="",#N/A,SUM($HS$4:HS69))</f>
        <v>5.5197538416683463</v>
      </c>
      <c r="HU69" s="65">
        <f t="shared" si="208"/>
        <v>1.0101320863073262</v>
      </c>
      <c r="HV69" s="65">
        <f>IF($J69="",#N/A,SUM(HU$4:$HU69))</f>
        <v>-2.7700041760873502</v>
      </c>
    </row>
    <row r="70" spans="1:230" x14ac:dyDescent="0.25">
      <c r="A70" s="51" t="s">
        <v>1390</v>
      </c>
      <c r="B70" s="52" t="s">
        <v>4503</v>
      </c>
      <c r="C70" s="229">
        <f t="shared" si="109"/>
        <v>2</v>
      </c>
      <c r="D70" s="219" t="str">
        <f>_xlfn.XLOOKUP(A70,[1]SP500!$A$2:$A$502,[1]SP500!$D$2:$D$502,"N")</f>
        <v>Y</v>
      </c>
      <c r="E70" s="51" t="str">
        <f>IFERROR(_xlfn.XLOOKUP(A70,[1]SP500!$A$2:$A$655,[1]SP500!$B$2:$B$655),"")</f>
        <v>XLI</v>
      </c>
      <c r="F70" s="53">
        <v>45770</v>
      </c>
      <c r="G70" s="51" t="str">
        <f t="shared" si="110"/>
        <v>BMO</v>
      </c>
      <c r="H70" s="51" t="str">
        <f t="shared" si="111"/>
        <v>s</v>
      </c>
      <c r="I70" s="343">
        <v>220</v>
      </c>
      <c r="J70" s="123">
        <v>225</v>
      </c>
      <c r="K70" s="55">
        <f t="shared" si="112"/>
        <v>2.2727272727272728E-2</v>
      </c>
      <c r="L70" s="67">
        <f t="shared" si="113"/>
        <v>-15</v>
      </c>
      <c r="M70" s="57">
        <f t="shared" si="114"/>
        <v>0</v>
      </c>
      <c r="N70" s="102">
        <f t="shared" si="115"/>
        <v>-15</v>
      </c>
      <c r="O70" s="57">
        <f>IF(N70="",#N/A,SUM($N$4:N70))</f>
        <v>-151.50869563037486</v>
      </c>
      <c r="P70" s="65">
        <f t="shared" si="209"/>
        <v>-0.37878787878787878</v>
      </c>
      <c r="Q70" s="172">
        <f>IF($N70="",#N/A,SUM($P$4:P70))</f>
        <v>0.62223963692692064</v>
      </c>
      <c r="R70" s="279">
        <f t="shared" si="116"/>
        <v>2.827757395743812</v>
      </c>
      <c r="S70" s="51" t="str">
        <f t="shared" si="117"/>
        <v>Dwn</v>
      </c>
      <c r="T70" s="51" t="s">
        <v>4461</v>
      </c>
      <c r="U70" s="56">
        <f t="shared" si="118"/>
        <v>220</v>
      </c>
      <c r="V70" s="56" t="s">
        <v>4458</v>
      </c>
      <c r="W70" s="142">
        <v>3</v>
      </c>
      <c r="X70" s="145">
        <f t="shared" si="119"/>
        <v>660</v>
      </c>
      <c r="Y70" s="140">
        <f t="shared" si="120"/>
        <v>3</v>
      </c>
      <c r="Z70" s="123">
        <v>225</v>
      </c>
      <c r="AA70" s="102">
        <f t="shared" si="121"/>
        <v>-15</v>
      </c>
      <c r="AB70" s="102">
        <f t="shared" si="122"/>
        <v>-5.8499999999999091</v>
      </c>
      <c r="AC70" s="124">
        <v>221.95</v>
      </c>
      <c r="AD70" s="155">
        <f t="shared" si="123"/>
        <v>-5.8499999999999091</v>
      </c>
      <c r="AE70" s="545">
        <f t="shared" si="124"/>
        <v>-0.14772727272727043</v>
      </c>
      <c r="AF70" s="57">
        <f>IF($AC70="",#N/A,SUM(AD$4:AD70))</f>
        <v>-320.88582025503138</v>
      </c>
      <c r="AG70" s="102">
        <f t="shared" si="125"/>
        <v>9.1500000000000909</v>
      </c>
      <c r="AH70" s="56" t="s">
        <v>2507</v>
      </c>
      <c r="AI70" s="65">
        <f t="shared" si="126"/>
        <v>-0.37878787878787878</v>
      </c>
      <c r="AJ70" s="54">
        <f>IF(AI70="",#N/A,SUM($AI$4:AI70))</f>
        <v>-2.2055177588168915</v>
      </c>
      <c r="AK70" s="57">
        <f t="shared" si="127"/>
        <v>-15</v>
      </c>
      <c r="AL70" s="349">
        <f>IF(AI70="",#N/A,IF(AH70="Skip",SUM($AK$4:AK70),SUM($AK$4:AK70)))</f>
        <v>-336.49999999999943</v>
      </c>
      <c r="AM70" s="65">
        <f t="shared" si="210"/>
        <v>-0.14772727272727043</v>
      </c>
      <c r="AN70" s="209"/>
      <c r="AO70" s="65" t="str">
        <f t="shared" si="128"/>
        <v/>
      </c>
      <c r="AP70" s="65">
        <f>IF($AC70="",#N/A,SUM(AO$4:AO70))</f>
        <v>3.9765966217876039</v>
      </c>
      <c r="AQ70" s="65" t="str">
        <f t="shared" si="129"/>
        <v/>
      </c>
      <c r="AR70" s="65">
        <f>IF($AC70="",#N/A,SUM(AQ$4:AQ70))</f>
        <v>-1.2381559938812483</v>
      </c>
      <c r="AS70" s="65">
        <f t="shared" si="130"/>
        <v>-0.14772727272727043</v>
      </c>
      <c r="AT70" s="65">
        <f>IF($AC70="",#N/A,SUM(AS$4:AS70))</f>
        <v>-5.6561720767209787</v>
      </c>
      <c r="AU70" s="57" t="str">
        <f t="shared" ref="AU70:AU133" si="211">IF(AND(S70="SW",BF70="Long"),$AD70,"")</f>
        <v/>
      </c>
      <c r="AV70" s="57">
        <f>IF($AC70="",#N/A,SUM(AU$4:AU70))</f>
        <v>174.54255264778453</v>
      </c>
      <c r="AW70" s="57" t="str">
        <f t="shared" ref="AW70:AW133" si="212">IF(AND(S70="UP",BF70="Long"),$AD70,"")</f>
        <v/>
      </c>
      <c r="AX70" s="57">
        <f>IF($AC70="",#N/A,SUM(AW$4:AW70))</f>
        <v>-74.660000000000196</v>
      </c>
      <c r="AY70" s="57">
        <f t="shared" ref="AY70:AY133" si="213">IF(AND(S70="Dwn",BF70="Short"),$AD70,"")</f>
        <v>-5.8499999999999091</v>
      </c>
      <c r="AZ70" s="57">
        <f>IF($AC70="",#N/A,SUM(AY$4:AY70))</f>
        <v>-420.76837290281571</v>
      </c>
      <c r="BA70" s="57">
        <f>IF(AD70="",#N/A,SUM($AD$4:AD70))</f>
        <v>-320.88582025503138</v>
      </c>
      <c r="BC70" s="51" t="str">
        <f t="shared" si="131"/>
        <v/>
      </c>
      <c r="BD70" s="51">
        <f t="shared" si="132"/>
        <v>1</v>
      </c>
      <c r="BE70" s="51" t="str">
        <f t="shared" si="133"/>
        <v/>
      </c>
      <c r="BF70" s="51" t="str">
        <f t="shared" si="134"/>
        <v>Short</v>
      </c>
      <c r="BG70" s="51" t="str">
        <f t="shared" si="135"/>
        <v/>
      </c>
      <c r="BH70" s="51" t="str">
        <f t="shared" si="136"/>
        <v/>
      </c>
      <c r="BI70" s="51" t="str">
        <f t="shared" si="137"/>
        <v/>
      </c>
      <c r="BK70" s="65">
        <f t="shared" si="108"/>
        <v>-2.9072935133475034E-2</v>
      </c>
      <c r="BL70" s="65">
        <f t="shared" si="107"/>
        <v>0.21678862379651892</v>
      </c>
      <c r="BM70" s="65">
        <f>IFERROR(Q70/COUNTA($J$4:J70),#N/A)</f>
        <v>9.287158760103293E-3</v>
      </c>
      <c r="BO70" s="489" t="e">
        <f>IF(J70="",#N/A,IF(S70="SW",(COUNTIFS(K$4:$K70,"&gt;0",S$4:$S70,"SW")/COUNTIF(S$4:$S70,"SW")),#N/A))</f>
        <v>#N/A</v>
      </c>
      <c r="BP70" s="489">
        <f>IF($J70="",#N/A,IF($S70="DWN",(COUNTIFS($K$4:$K70,"&lt;0",$S$4:$S70,"DWN")/COUNTIF($S$4:$S70,"DWN")),#N/A))</f>
        <v>0.5</v>
      </c>
      <c r="BQ70" s="489" t="e">
        <f>IF($J70="",#N/A,IF($S70="UP",(COUNTIFS($K$4:$K70,"&gt;0",$S$4:$S70,"UP")/COUNTIF($S$4:$S70,"UP")),#N/A))</f>
        <v>#N/A</v>
      </c>
      <c r="BR70" s="489">
        <f>IF(J70="",#N/A,COUNTIF($K$4:K70,"&gt;0")/COUNT($J$4:J70))</f>
        <v>0.53731343283582089</v>
      </c>
      <c r="BS70" s="65" t="str">
        <f t="shared" si="138"/>
        <v/>
      </c>
      <c r="BT70" s="65" t="str">
        <f t="shared" si="139"/>
        <v/>
      </c>
      <c r="BU70" s="65" t="str">
        <f t="shared" si="140"/>
        <v/>
      </c>
      <c r="BV70" s="65">
        <f t="shared" si="141"/>
        <v>-0.37878787878787878</v>
      </c>
      <c r="BW70" s="128" t="str">
        <f t="shared" si="142"/>
        <v/>
      </c>
      <c r="BX70" s="128">
        <f>IF($J70="",#N/A,SUM($BW$4:BW70))</f>
        <v>-88.570000000000164</v>
      </c>
      <c r="BY70" s="131">
        <f t="shared" si="143"/>
        <v>-15</v>
      </c>
      <c r="BZ70" s="131">
        <f>IF($J70="",#N/A,SUM($BY$4:BY70))</f>
        <v>-191.84871953149536</v>
      </c>
      <c r="CA70" s="133" t="str">
        <f t="shared" si="144"/>
        <v/>
      </c>
      <c r="CB70" s="133">
        <f>IF($J70="",#N/A,SUM($CA$4:CA70))</f>
        <v>128.91002390112067</v>
      </c>
      <c r="CC70" s="194" t="str">
        <f t="shared" si="145"/>
        <v/>
      </c>
      <c r="CD70" s="194">
        <f>IF($J70="",#N/A,SUM($CC$4:CC70))</f>
        <v>-1.3942783150276121</v>
      </c>
      <c r="CE70" s="195">
        <f t="shared" si="146"/>
        <v>-0.37878787878787878</v>
      </c>
      <c r="CF70" s="195">
        <f>IF($J70="",#N/A,SUM($CE$4:CE70))</f>
        <v>-2.1078142257596713</v>
      </c>
      <c r="CG70" s="196" t="str">
        <f t="shared" si="147"/>
        <v/>
      </c>
      <c r="CH70" s="193">
        <f>IF($J70="",#N/A,SUM($CG$4:CG70))</f>
        <v>4.1243321777142077</v>
      </c>
      <c r="CI70" s="200" t="str">
        <f t="shared" si="148"/>
        <v/>
      </c>
      <c r="CJ70" s="203">
        <f>IF($J70="",#N/A,SUM(CI$4:CI70))</f>
        <v>0</v>
      </c>
      <c r="CK70" s="204" t="str">
        <f t="shared" si="149"/>
        <v/>
      </c>
      <c r="CL70" s="204">
        <f>IF($J70="",#N/A,SUM(CK$4:CK70))</f>
        <v>1.8934431343190481</v>
      </c>
      <c r="CM70" s="205" t="str">
        <f t="shared" si="150"/>
        <v/>
      </c>
      <c r="CN70" s="205">
        <f>IF($J70="",#N/A,SUM(CM$4:CM70))</f>
        <v>3.5437224367841633</v>
      </c>
      <c r="CO70" s="205">
        <f>IF($J70="",#N/A,SUM(CM$4:CM70,CK$4:CK70,CI$4:CI70))</f>
        <v>5.4371655711032112</v>
      </c>
      <c r="CP70" s="200" t="str">
        <f t="shared" si="151"/>
        <v/>
      </c>
      <c r="CQ70" s="203">
        <f>IF($J70="",#N/A,SUM(CP$4:CP70))</f>
        <v>0</v>
      </c>
      <c r="CR70" s="204" t="str">
        <f t="shared" si="152"/>
        <v/>
      </c>
      <c r="CS70" s="204">
        <f>IF($J70="",#N/A,SUM(CR$4:CR70))</f>
        <v>0</v>
      </c>
      <c r="CT70" s="205" t="str">
        <f t="shared" si="153"/>
        <v/>
      </c>
      <c r="CU70" s="205">
        <f>IF($J70="",#N/A,SUM(CT$4:CT70))</f>
        <v>0</v>
      </c>
      <c r="CV70" s="205">
        <f>IF($J70="",#N/A,SUM(CT$4:CT70,CR$4:CR70,CP$4:CP70))</f>
        <v>0</v>
      </c>
      <c r="CW70" s="200" t="str">
        <f t="shared" si="154"/>
        <v/>
      </c>
      <c r="CX70" s="203">
        <f>IF($J70="",#N/A,SUM(CW$4:CW70))</f>
        <v>0</v>
      </c>
      <c r="CY70" s="204" t="str">
        <f t="shared" si="155"/>
        <v/>
      </c>
      <c r="CZ70" s="204">
        <f>IF($J70="",#N/A,SUM(CY$4:CY70))</f>
        <v>-0.63271328921481373</v>
      </c>
      <c r="DA70" s="205" t="str">
        <f t="shared" si="156"/>
        <v/>
      </c>
      <c r="DB70" s="205">
        <f>IF($J70="",#N/A,SUM(DA$4:DA70))</f>
        <v>1.1829222170861893</v>
      </c>
      <c r="DC70" s="205">
        <f>IF($J70="",#N/A,SUM(DA$4:DA70,CY$4:CY70,CW$4:CW70))</f>
        <v>0.55020892787137554</v>
      </c>
      <c r="DD70" s="200" t="str">
        <f t="shared" si="157"/>
        <v/>
      </c>
      <c r="DE70" s="203">
        <f>IF($J70="",#N/A,SUM(DD$4:DD70))</f>
        <v>0</v>
      </c>
      <c r="DF70" s="204" t="str">
        <f t="shared" si="158"/>
        <v/>
      </c>
      <c r="DG70" s="204">
        <f>IF($J70="",#N/A,SUM(DF$4:DF70))</f>
        <v>0.6788440567066546</v>
      </c>
      <c r="DH70" s="205" t="str">
        <f t="shared" si="159"/>
        <v/>
      </c>
      <c r="DI70" s="205">
        <f>IF($J70="",#N/A,SUM(DH$4:DH70))</f>
        <v>-0.83172699364602887</v>
      </c>
      <c r="DJ70" s="205">
        <f>IF($J70="",#N/A,SUM(DH$4:DH70,DF$4:DF70,DD$4:DD70))</f>
        <v>-0.15288293693937427</v>
      </c>
      <c r="DK70" s="200" t="str">
        <f t="shared" si="160"/>
        <v/>
      </c>
      <c r="DL70" s="203">
        <f>IF($J70="",#N/A,SUM(DK$4:DK70))</f>
        <v>0</v>
      </c>
      <c r="DM70" s="204" t="str">
        <f t="shared" si="161"/>
        <v/>
      </c>
      <c r="DN70" s="204">
        <f>IF($J70="",#N/A,SUM(DM$4:DM70))</f>
        <v>0.36227168206863897</v>
      </c>
      <c r="DO70" s="205" t="str">
        <f t="shared" si="162"/>
        <v/>
      </c>
      <c r="DP70" s="205">
        <f>IF($J70="",#N/A,SUM(DO$4:DO70))</f>
        <v>-0.43291760746858676</v>
      </c>
      <c r="DQ70" s="205">
        <f>IF($J70="",#N/A,SUM(DO$4:DO70,DM$4:DM70,DK$4:DK70))</f>
        <v>-7.0645925399947795E-2</v>
      </c>
      <c r="DR70" s="200" t="str">
        <f t="shared" si="163"/>
        <v/>
      </c>
      <c r="DS70" s="203">
        <f>IF($J70="",#N/A,SUM(DR$4:DR70))</f>
        <v>0</v>
      </c>
      <c r="DT70" s="204" t="str">
        <f t="shared" si="164"/>
        <v/>
      </c>
      <c r="DU70" s="204">
        <f>IF($J70="",#N/A,SUM(DT$4:DT70))</f>
        <v>-2.8875364672150718</v>
      </c>
      <c r="DV70" s="205" t="str">
        <f t="shared" si="165"/>
        <v/>
      </c>
      <c r="DW70" s="205">
        <f>IF($J70="",#N/A,SUM(DV$4:DV70))</f>
        <v>-0.23245750740486493</v>
      </c>
      <c r="DX70" s="205">
        <f>IF($J70="",#N/A,SUM(DV$4:DV70,DT$4:DT70,DR$4:DR70))</f>
        <v>-3.1199939746199368</v>
      </c>
      <c r="DY70" s="200" t="str">
        <f t="shared" si="166"/>
        <v/>
      </c>
      <c r="DZ70" s="203">
        <f>IF($J70="",#N/A,SUM(DY$4:DY70))</f>
        <v>-1.4611133068588897</v>
      </c>
      <c r="EA70" s="204">
        <f t="shared" si="167"/>
        <v>-0.37878787878787878</v>
      </c>
      <c r="EB70" s="204">
        <f>IF($J70="",#N/A,SUM(EA$4:EA70))</f>
        <v>-1.2459555278526064</v>
      </c>
      <c r="EC70" s="205" t="str">
        <f t="shared" si="168"/>
        <v/>
      </c>
      <c r="ED70" s="205">
        <f>IF($J70="",#N/A,SUM(EC$4:EC70))</f>
        <v>2.4844445330839244</v>
      </c>
      <c r="EE70" s="205">
        <f>IF($J70="",#N/A,SUM(EC$4:EC70,EA$4:EA70,DY$4:DY70))</f>
        <v>-0.22262430162757174</v>
      </c>
      <c r="EF70" s="200" t="str">
        <f t="shared" si="169"/>
        <v/>
      </c>
      <c r="EG70" s="203">
        <f>IF($J70="",#N/A,SUM(EF$4:EF70))</f>
        <v>0</v>
      </c>
      <c r="EH70" s="204" t="str">
        <f t="shared" si="170"/>
        <v/>
      </c>
      <c r="EI70" s="204">
        <f>IF($J70="",#N/A,SUM(EH$4:EH70))</f>
        <v>-1.196204584775086</v>
      </c>
      <c r="EJ70" s="205" t="str">
        <f t="shared" si="171"/>
        <v/>
      </c>
      <c r="EK70" s="205">
        <f>IF($J70="",#N/A,SUM(EJ$4:EJ70))</f>
        <v>1.3436756383175479</v>
      </c>
      <c r="EL70" s="205">
        <f>IF($J70="",#N/A,SUM(EJ$4:EJ70,EH$4:EH70,EF$4:EF70))</f>
        <v>0.14747105354246193</v>
      </c>
      <c r="EM70" s="200" t="str">
        <f t="shared" si="172"/>
        <v/>
      </c>
      <c r="EN70" s="203">
        <f>IF($J70="",#N/A,SUM(EM$4:EM70))</f>
        <v>0</v>
      </c>
      <c r="EO70" s="204" t="str">
        <f t="shared" si="173"/>
        <v/>
      </c>
      <c r="EP70" s="204">
        <f>IF($J70="",#N/A,SUM(EO$4:EO70))</f>
        <v>0.61509852304831358</v>
      </c>
      <c r="EQ70" s="205" t="str">
        <f t="shared" si="174"/>
        <v/>
      </c>
      <c r="ER70" s="205">
        <f>IF($J70="",#N/A,SUM(EQ$4:EQ70))</f>
        <v>0.4926597949853756</v>
      </c>
      <c r="ES70" s="205">
        <f>IF($J70="",#N/A,SUM(EQ$4:EQ70,EO$4:EO70,EM$4:EM70))</f>
        <v>1.1077583180336892</v>
      </c>
      <c r="ET70" s="200" t="str">
        <f t="shared" si="175"/>
        <v/>
      </c>
      <c r="EU70" s="203">
        <f>IF($J70="",#N/A,SUM(ET$4:ET70))</f>
        <v>0</v>
      </c>
      <c r="EV70" s="204" t="str">
        <f t="shared" si="176"/>
        <v/>
      </c>
      <c r="EW70" s="204">
        <f>IF($J70="",#N/A,SUM(EV$4:EV70))</f>
        <v>0</v>
      </c>
      <c r="EX70" s="205" t="str">
        <f t="shared" si="177"/>
        <v/>
      </c>
      <c r="EY70" s="205">
        <f>IF($J70="",#N/A,SUM(EX$4:EX70))</f>
        <v>0</v>
      </c>
      <c r="EZ70" s="205">
        <f>IF($J70="",#N/A,SUM(EX$4:EX70,EV$4:EV70,ET$4:ET70))</f>
        <v>0</v>
      </c>
      <c r="FA70" s="200" t="str">
        <f t="shared" si="178"/>
        <v/>
      </c>
      <c r="FB70" s="203">
        <f>IF($J70="",#N/A,SUM(FA$4:FA70))</f>
        <v>0</v>
      </c>
      <c r="FC70" s="204" t="str">
        <f t="shared" si="179"/>
        <v/>
      </c>
      <c r="FD70" s="204">
        <f>IF($J70="",#N/A,SUM(FC$4:FC70))</f>
        <v>1.3724148418491529</v>
      </c>
      <c r="FE70" s="205" t="str">
        <f t="shared" si="180"/>
        <v/>
      </c>
      <c r="FF70" s="205">
        <f>IF($J70="",#N/A,SUM(FE$4:FE70))</f>
        <v>-0.28811149078748233</v>
      </c>
      <c r="FG70" s="205">
        <f>IF($J70="",#N/A,SUM(FE$4:FE70,FC$4:FC70,FA$4:FA70))</f>
        <v>1.0843033510616706</v>
      </c>
      <c r="FH70" s="200" t="str">
        <f t="shared" si="181"/>
        <v/>
      </c>
      <c r="FI70" s="203">
        <f>IF($J70="",#N/A,SUM(FH$4:FH70))</f>
        <v>0</v>
      </c>
      <c r="FJ70" s="204" t="str">
        <f t="shared" si="182"/>
        <v/>
      </c>
      <c r="FK70" s="204">
        <f>IF($J70="",#N/A,SUM(FJ$4:FJ70))</f>
        <v>0</v>
      </c>
      <c r="FL70" s="205" t="str">
        <f t="shared" si="183"/>
        <v/>
      </c>
      <c r="FM70" s="205">
        <f>IF($J70="",#N/A,SUM(FL$4:FL70))</f>
        <v>0</v>
      </c>
      <c r="FN70" s="205">
        <f>IF($J70="",#N/A,SUM(FL$4:FL70,FJ$4:FJ70,FH$4:FH70))</f>
        <v>0</v>
      </c>
      <c r="FO70" s="200" t="str">
        <f t="shared" si="184"/>
        <v/>
      </c>
      <c r="FP70" s="203">
        <f>IF($J70="",#N/A,SUM(FO$4:FO70))</f>
        <v>0</v>
      </c>
      <c r="FQ70" s="204" t="str">
        <f t="shared" si="185"/>
        <v/>
      </c>
      <c r="FR70" s="204">
        <f>IF($J70="",#N/A,SUM(FQ$4:FQ70))</f>
        <v>0</v>
      </c>
      <c r="FS70" s="205" t="str">
        <f t="shared" si="186"/>
        <v/>
      </c>
      <c r="FT70" s="205">
        <f>IF($J70="",#N/A,SUM(FS$4:FS70))</f>
        <v>0</v>
      </c>
      <c r="FU70" s="205">
        <f>IF($J70="",#N/A,SUM(FS$4:FS70,FQ$4:FQ70,FO$4:FO70))</f>
        <v>0</v>
      </c>
      <c r="FV70" s="200" t="str">
        <f t="shared" si="187"/>
        <v/>
      </c>
      <c r="FW70" s="203">
        <f>IF($J70="",#N/A,SUM(FV$4:FV70))</f>
        <v>6.6834991831277585E-2</v>
      </c>
      <c r="FX70" s="204" t="str">
        <f t="shared" si="188"/>
        <v/>
      </c>
      <c r="FY70" s="204">
        <f>IF($J70="",#N/A,SUM(FX$4:FX70))</f>
        <v>0</v>
      </c>
      <c r="FZ70" s="205" t="str">
        <f t="shared" si="189"/>
        <v/>
      </c>
      <c r="GA70" s="205">
        <f>IF($J70="",#N/A,SUM(FZ$4:FZ70))</f>
        <v>-0.20104261551371039</v>
      </c>
      <c r="GB70" s="205">
        <f>IF($J70="",#N/A,SUM(FZ$4:FZ70,FX$4:FX70,FV$4:FV70))</f>
        <v>-0.1342076236824328</v>
      </c>
      <c r="GC70" s="200" t="str">
        <f t="shared" si="190"/>
        <v/>
      </c>
      <c r="GD70" s="203">
        <f>IF($J70="",#N/A,SUM(GC$4:GC70))</f>
        <v>0</v>
      </c>
      <c r="GE70" s="204" t="str">
        <f t="shared" si="191"/>
        <v/>
      </c>
      <c r="GF70" s="204">
        <f>IF($J70="",#N/A,SUM(GE$4:GE70))</f>
        <v>0</v>
      </c>
      <c r="GG70" s="205" t="str">
        <f t="shared" si="192"/>
        <v/>
      </c>
      <c r="GH70" s="205">
        <f>IF($J70="",#N/A,SUM(GG$4:GG70))</f>
        <v>-2.9368362277223206</v>
      </c>
      <c r="GI70" s="205">
        <f>IF($J70="",#N/A,SUM(GG$4:GG70,GE$4:GE70,GC$4:GC70))</f>
        <v>-2.9368362277223206</v>
      </c>
      <c r="GJ70" s="200" t="str">
        <f t="shared" si="193"/>
        <v/>
      </c>
      <c r="GK70" s="203">
        <f>IF($J70="",#N/A,SUM(GJ$4:GJ70))</f>
        <v>0</v>
      </c>
      <c r="GL70" s="204" t="str">
        <f t="shared" si="194"/>
        <v/>
      </c>
      <c r="GM70" s="204">
        <f>IF($J70="",#N/A,SUM(GL$4:GL70))</f>
        <v>-1.0674765946939027</v>
      </c>
      <c r="GN70" s="205" t="str">
        <f t="shared" si="195"/>
        <v/>
      </c>
      <c r="GO70" s="205">
        <f>IF($J70="",#N/A,SUM(GN$4:GN70))</f>
        <v>0</v>
      </c>
      <c r="GP70" s="205">
        <f>IF($J70="",#N/A,SUM(GN$4:GN70,GL$4:GL70,GJ$4:GJ70))</f>
        <v>-1.0674765946939027</v>
      </c>
      <c r="GS70" s="54">
        <f t="shared" ref="GS70:GS133" si="214">IF(J70="","",IF(D70="Y",P70,""))</f>
        <v>-0.37878787878787878</v>
      </c>
      <c r="GT70" s="54">
        <f>IF(GS70="",NA(),SUM($GS$4:GS70))</f>
        <v>0.42025082399963765</v>
      </c>
      <c r="GU70" s="54" t="str">
        <f t="shared" si="196"/>
        <v/>
      </c>
      <c r="GV70" s="54" t="e">
        <f>IF(GU70="",NA(),SUM($GU$4:GU70))</f>
        <v>#N/A</v>
      </c>
      <c r="GW70" s="54" t="str">
        <f t="shared" si="197"/>
        <v/>
      </c>
      <c r="GX70" s="54" t="e">
        <f>IF(GW70="",NA(),SUM($GW$4:GW70))</f>
        <v>#N/A</v>
      </c>
      <c r="GY70" s="54">
        <f t="shared" si="198"/>
        <v>-0.37878787878787878</v>
      </c>
      <c r="GZ70" s="54">
        <f>IF(GY70="",NA(),SUM($GY$4:GY70))</f>
        <v>-2.1078142257596713</v>
      </c>
      <c r="HA70" s="54" t="str">
        <f t="shared" si="199"/>
        <v/>
      </c>
      <c r="HB70" s="54" t="e">
        <f>IF(HA70="",NA(),SUM($HA$4:HA70))</f>
        <v>#N/A</v>
      </c>
      <c r="HC70" s="54" t="str">
        <f t="shared" si="200"/>
        <v/>
      </c>
      <c r="HD70" s="54" t="e">
        <f>IF(HC70="",NA(),SUM($HC$4:HC70))</f>
        <v>#N/A</v>
      </c>
      <c r="HE70" s="54" t="str">
        <f t="shared" si="201"/>
        <v/>
      </c>
      <c r="HF70" s="54" t="e">
        <f>IF(HE70="",NA(),SUM($HE$4:HE70))</f>
        <v>#N/A</v>
      </c>
      <c r="HG70" s="54" t="str">
        <f t="shared" si="202"/>
        <v/>
      </c>
      <c r="HH70" s="54" t="e">
        <f>IF(HG70="",NA(),SUM($HG$4:HG70))</f>
        <v>#N/A</v>
      </c>
      <c r="HI70" s="172" t="str">
        <f t="shared" ref="HI70:HI133" si="215">IF($AC70="","",IF(AND($S70="Dwn",$K70&lt;0),$HU70-P70,""))</f>
        <v/>
      </c>
      <c r="HJ70" s="172">
        <f>IF($J70="",#N/A,SUM(HI$4:$HI70))</f>
        <v>-1.0497124168140199</v>
      </c>
      <c r="HK70" s="54">
        <f t="shared" si="203"/>
        <v>0.23106060606060835</v>
      </c>
      <c r="HL70" s="54">
        <f>IF($J70="",#N/A,SUM($HK$4:HK70))</f>
        <v>-2.4986454341472859</v>
      </c>
      <c r="HM70" s="54" t="str">
        <f t="shared" si="204"/>
        <v/>
      </c>
      <c r="HN70" s="54">
        <f>IF($J70="",#N/A,SUM($HM$4:HM70))</f>
        <v>0.80449527204317051</v>
      </c>
      <c r="HO70" s="54" t="str">
        <f t="shared" si="205"/>
        <v/>
      </c>
      <c r="HP70" s="54">
        <f>IF($J70="",#N/A,SUM($HO$4:HO70))</f>
        <v>-0.64837295089680658</v>
      </c>
      <c r="HQ70" s="54" t="str">
        <f t="shared" si="206"/>
        <v/>
      </c>
      <c r="HR70" s="54">
        <f>IF($J70="",#N/A,SUM($HQ$4:HQ70))</f>
        <v>-5.6674893975949479</v>
      </c>
      <c r="HS70" s="54" t="str">
        <f t="shared" si="207"/>
        <v/>
      </c>
      <c r="HT70" s="54">
        <f>IF($J70="",#N/A,SUM($HS$4:HS70))</f>
        <v>5.5197538416683463</v>
      </c>
      <c r="HU70" s="65">
        <f t="shared" si="208"/>
        <v>-0.14772727272727043</v>
      </c>
      <c r="HV70" s="65">
        <f>IF($J70="",#N/A,SUM(HU$4:$HU70))</f>
        <v>-2.9177314488146204</v>
      </c>
    </row>
    <row r="71" spans="1:230" x14ac:dyDescent="0.25">
      <c r="A71" s="51" t="s">
        <v>1297</v>
      </c>
      <c r="B71" s="52" t="s">
        <v>4503</v>
      </c>
      <c r="C71" s="229">
        <f t="shared" si="109"/>
        <v>2</v>
      </c>
      <c r="D71" s="219" t="str">
        <f>_xlfn.XLOOKUP(A71,[1]SP500!$A$2:$A$502,[1]SP500!$D$2:$D$502,"N")</f>
        <v>Y</v>
      </c>
      <c r="E71" s="51" t="str">
        <f>IFERROR(_xlfn.XLOOKUP(A71,[1]SP500!$A$2:$A$655,[1]SP500!$B$2:$B$655),"")</f>
        <v>XLV</v>
      </c>
      <c r="F71" s="53">
        <v>45770</v>
      </c>
      <c r="G71" s="51" t="str">
        <f t="shared" si="110"/>
        <v>BMO</v>
      </c>
      <c r="H71" s="51" t="str">
        <f t="shared" si="111"/>
        <v>s</v>
      </c>
      <c r="I71" s="344">
        <v>434.73</v>
      </c>
      <c r="J71" s="124">
        <v>456.55</v>
      </c>
      <c r="K71" s="71">
        <f t="shared" si="112"/>
        <v>5.0192073240862126E-2</v>
      </c>
      <c r="L71" s="67">
        <f t="shared" si="113"/>
        <v>-43.639999999999986</v>
      </c>
      <c r="M71" s="57">
        <f t="shared" si="114"/>
        <v>-6.8999999999999773</v>
      </c>
      <c r="N71" s="147">
        <f t="shared" si="115"/>
        <v>-43.639999999999986</v>
      </c>
      <c r="O71" s="57">
        <f>IF(N71="",#N/A,SUM($N$4:N71))</f>
        <v>-195.14869563037485</v>
      </c>
      <c r="P71" s="65">
        <f t="shared" si="209"/>
        <v>-0.83653455401436883</v>
      </c>
      <c r="Q71" s="172">
        <f>IF($N71="",#N/A,SUM($P$4:P71))</f>
        <v>-0.21429491708744819</v>
      </c>
      <c r="R71" s="279">
        <f t="shared" si="116"/>
        <v>2.9600233999303178</v>
      </c>
      <c r="S71" s="51" t="str">
        <f t="shared" si="117"/>
        <v>Dwn</v>
      </c>
      <c r="T71" s="51" t="s">
        <v>4461</v>
      </c>
      <c r="U71" s="56">
        <f t="shared" si="118"/>
        <v>434.73</v>
      </c>
      <c r="V71" s="56" t="s">
        <v>4458</v>
      </c>
      <c r="W71" s="142">
        <v>2</v>
      </c>
      <c r="X71" s="145">
        <f t="shared" si="119"/>
        <v>869.46</v>
      </c>
      <c r="Y71" s="140">
        <f t="shared" si="120"/>
        <v>2</v>
      </c>
      <c r="Z71" s="123">
        <v>460</v>
      </c>
      <c r="AA71" s="102">
        <f t="shared" si="121"/>
        <v>-50.539999999999964</v>
      </c>
      <c r="AB71" s="102">
        <f t="shared" si="122"/>
        <v>6.1800000000000637</v>
      </c>
      <c r="AC71" s="124">
        <v>431.64</v>
      </c>
      <c r="AD71" s="155">
        <f t="shared" si="123"/>
        <v>6.1800000000000637</v>
      </c>
      <c r="AE71" s="545">
        <f t="shared" si="124"/>
        <v>0.11846433418443754</v>
      </c>
      <c r="AF71" s="57">
        <f>IF($AC71="",#N/A,SUM(AD$4:AD71))</f>
        <v>-314.70582025503131</v>
      </c>
      <c r="AG71" s="102">
        <f t="shared" si="125"/>
        <v>49.82000000000005</v>
      </c>
      <c r="AH71" s="102" t="s">
        <v>2507</v>
      </c>
      <c r="AI71" s="65">
        <f t="shared" si="126"/>
        <v>-0.96880055820087496</v>
      </c>
      <c r="AJ71" s="54">
        <f>IF(AI71="",#N/A,SUM($AI$4:AI71))</f>
        <v>-3.1743183170177662</v>
      </c>
      <c r="AK71" s="144">
        <f t="shared" si="127"/>
        <v>-50.539999999999964</v>
      </c>
      <c r="AL71" s="349">
        <f>IF(AI71="",#N/A,IF(AH71="Skip",SUM($AK$4:AK71),SUM($AK$4:AK71)))</f>
        <v>-387.0399999999994</v>
      </c>
      <c r="AM71" s="65">
        <f t="shared" si="210"/>
        <v>0.11846433418443754</v>
      </c>
      <c r="AN71" s="209"/>
      <c r="AO71" s="65" t="str">
        <f t="shared" si="128"/>
        <v/>
      </c>
      <c r="AP71" s="65">
        <f>IF($AC71="",#N/A,SUM(AO$4:AO71))</f>
        <v>3.9765966217876039</v>
      </c>
      <c r="AQ71" s="65" t="str">
        <f t="shared" si="129"/>
        <v/>
      </c>
      <c r="AR71" s="65">
        <f>IF($AC71="",#N/A,SUM(AQ$4:AQ71))</f>
        <v>-1.2381559938812483</v>
      </c>
      <c r="AS71" s="65">
        <f t="shared" si="130"/>
        <v>0.11846433418443754</v>
      </c>
      <c r="AT71" s="65">
        <f>IF($AC71="",#N/A,SUM(AS$4:AS71))</f>
        <v>-5.5377077425365409</v>
      </c>
      <c r="AU71" s="57" t="str">
        <f t="shared" si="211"/>
        <v/>
      </c>
      <c r="AV71" s="57">
        <f>IF($AC71="",#N/A,SUM(AU$4:AU71))</f>
        <v>174.54255264778453</v>
      </c>
      <c r="AW71" s="57" t="str">
        <f t="shared" si="212"/>
        <v/>
      </c>
      <c r="AX71" s="57">
        <f>IF($AC71="",#N/A,SUM(AW$4:AW71))</f>
        <v>-74.660000000000196</v>
      </c>
      <c r="AY71" s="57">
        <f t="shared" si="213"/>
        <v>6.1800000000000637</v>
      </c>
      <c r="AZ71" s="57">
        <f>IF($AC71="",#N/A,SUM(AY$4:AY71))</f>
        <v>-414.58837290281565</v>
      </c>
      <c r="BA71" s="57">
        <f>IF(AD71="",#N/A,SUM($AD$4:AD71))</f>
        <v>-314.70582025503131</v>
      </c>
      <c r="BC71" s="51" t="str">
        <f t="shared" si="131"/>
        <v/>
      </c>
      <c r="BD71" s="51">
        <f t="shared" si="132"/>
        <v>1</v>
      </c>
      <c r="BE71" s="51" t="str">
        <f t="shared" si="133"/>
        <v/>
      </c>
      <c r="BF71" s="51" t="str">
        <f t="shared" si="134"/>
        <v>Short</v>
      </c>
      <c r="BG71" s="51" t="str">
        <f t="shared" si="135"/>
        <v/>
      </c>
      <c r="BH71" s="51" t="str">
        <f t="shared" si="136"/>
        <v/>
      </c>
      <c r="BI71" s="51" t="str">
        <f t="shared" si="137"/>
        <v/>
      </c>
      <c r="BK71" s="65">
        <f t="shared" si="108"/>
        <v>-4.4695592972765132E-2</v>
      </c>
      <c r="BL71" s="65">
        <f t="shared" si="107"/>
        <v>0.15286279906048394</v>
      </c>
      <c r="BM71" s="65">
        <f>IFERROR(Q71/COUNTA($J$4:J71),#N/A)</f>
        <v>-3.1513958395212971E-3</v>
      </c>
      <c r="BO71" s="489" t="e">
        <f>IF(J71="",#N/A,IF(S71="SW",(COUNTIFS(K$4:$K71,"&gt;0",S$4:$S71,"SW")/COUNTIF(S$4:$S71,"SW")),#N/A))</f>
        <v>#N/A</v>
      </c>
      <c r="BP71" s="489">
        <f>IF($J71="",#N/A,IF($S71="DWN",(COUNTIFS($K$4:$K71,"&lt;0",$S$4:$S71,"DWN")/COUNTIF($S$4:$S71,"DWN")),#N/A))</f>
        <v>0.48</v>
      </c>
      <c r="BQ71" s="489" t="e">
        <f>IF($J71="",#N/A,IF($S71="UP",(COUNTIFS($K$4:$K71,"&gt;0",$S$4:$S71,"UP")/COUNTIF($S$4:$S71,"UP")),#N/A))</f>
        <v>#N/A</v>
      </c>
      <c r="BR71" s="489">
        <f>IF(J71="",#N/A,COUNTIF($K$4:K71,"&gt;0")/COUNT($J$4:J71))</f>
        <v>0.54411764705882348</v>
      </c>
      <c r="BS71" s="65" t="str">
        <f t="shared" si="138"/>
        <v/>
      </c>
      <c r="BT71" s="65" t="str">
        <f t="shared" si="139"/>
        <v/>
      </c>
      <c r="BU71" s="65" t="str">
        <f t="shared" si="140"/>
        <v/>
      </c>
      <c r="BV71" s="65">
        <f t="shared" si="141"/>
        <v>-0.83653455401436883</v>
      </c>
      <c r="BW71" s="127" t="str">
        <f t="shared" si="142"/>
        <v/>
      </c>
      <c r="BX71" s="127">
        <f>IF($J71="",#N/A,SUM($BW$4:BW71))</f>
        <v>-88.570000000000164</v>
      </c>
      <c r="BY71" s="130">
        <f t="shared" si="143"/>
        <v>-43.639999999999986</v>
      </c>
      <c r="BZ71" s="130">
        <f>IF($J71="",#N/A,SUM($BY$4:BY71))</f>
        <v>-235.48871953149535</v>
      </c>
      <c r="CA71" s="132" t="str">
        <f t="shared" si="144"/>
        <v/>
      </c>
      <c r="CB71" s="132">
        <f>IF($J71="",#N/A,SUM($CA$4:CA71))</f>
        <v>128.91002390112067</v>
      </c>
      <c r="CC71" s="197" t="str">
        <f t="shared" si="145"/>
        <v/>
      </c>
      <c r="CD71" s="197">
        <f>IF($J71="",#N/A,SUM($CC$4:CC71))</f>
        <v>-1.3942783150276121</v>
      </c>
      <c r="CE71" s="198">
        <f t="shared" si="146"/>
        <v>-0.83653455401436883</v>
      </c>
      <c r="CF71" s="198">
        <f>IF($J71="",#N/A,SUM($CE$4:CE71))</f>
        <v>-2.9443487797740402</v>
      </c>
      <c r="CG71" s="199" t="str">
        <f t="shared" si="147"/>
        <v/>
      </c>
      <c r="CH71" s="193">
        <f>IF($J71="",#N/A,SUM($CG$4:CG71))</f>
        <v>4.1243321777142077</v>
      </c>
      <c r="CI71" s="200" t="str">
        <f t="shared" si="148"/>
        <v/>
      </c>
      <c r="CJ71" s="206">
        <f>IF($J71="",#N/A,SUM(CI$4:CI71))</f>
        <v>0</v>
      </c>
      <c r="CK71" s="207" t="str">
        <f t="shared" si="149"/>
        <v/>
      </c>
      <c r="CL71" s="207">
        <f>IF($J71="",#N/A,SUM(CK$4:CK71))</f>
        <v>1.8934431343190481</v>
      </c>
      <c r="CM71" s="208" t="str">
        <f t="shared" si="150"/>
        <v/>
      </c>
      <c r="CN71" s="208">
        <f>IF($J71="",#N/A,SUM(CM$4:CM71))</f>
        <v>3.5437224367841633</v>
      </c>
      <c r="CO71" s="208">
        <f>IF($J71="",#N/A,SUM(CM$4:CM71,CK$4:CK71,CI$4:CI71))</f>
        <v>5.4371655711032112</v>
      </c>
      <c r="CP71" s="200" t="str">
        <f t="shared" si="151"/>
        <v/>
      </c>
      <c r="CQ71" s="206">
        <f>IF($J71="",#N/A,SUM(CP$4:CP71))</f>
        <v>0</v>
      </c>
      <c r="CR71" s="207" t="str">
        <f t="shared" si="152"/>
        <v/>
      </c>
      <c r="CS71" s="207">
        <f>IF($J71="",#N/A,SUM(CR$4:CR71))</f>
        <v>0</v>
      </c>
      <c r="CT71" s="208" t="str">
        <f t="shared" si="153"/>
        <v/>
      </c>
      <c r="CU71" s="208">
        <f>IF($J71="",#N/A,SUM(CT$4:CT71))</f>
        <v>0</v>
      </c>
      <c r="CV71" s="208">
        <f>IF($J71="",#N/A,SUM(CT$4:CT71,CR$4:CR71,CP$4:CP71))</f>
        <v>0</v>
      </c>
      <c r="CW71" s="200" t="str">
        <f t="shared" si="154"/>
        <v/>
      </c>
      <c r="CX71" s="206">
        <f>IF($J71="",#N/A,SUM(CW$4:CW71))</f>
        <v>0</v>
      </c>
      <c r="CY71" s="207" t="str">
        <f t="shared" si="155"/>
        <v/>
      </c>
      <c r="CZ71" s="207">
        <f>IF($J71="",#N/A,SUM(CY$4:CY71))</f>
        <v>-0.63271328921481373</v>
      </c>
      <c r="DA71" s="208" t="str">
        <f t="shared" si="156"/>
        <v/>
      </c>
      <c r="DB71" s="208">
        <f>IF($J71="",#N/A,SUM(DA$4:DA71))</f>
        <v>1.1829222170861893</v>
      </c>
      <c r="DC71" s="208">
        <f>IF($J71="",#N/A,SUM(DA$4:DA71,CY$4:CY71,CW$4:CW71))</f>
        <v>0.55020892787137554</v>
      </c>
      <c r="DD71" s="200" t="str">
        <f t="shared" si="157"/>
        <v/>
      </c>
      <c r="DE71" s="206">
        <f>IF($J71="",#N/A,SUM(DD$4:DD71))</f>
        <v>0</v>
      </c>
      <c r="DF71" s="207" t="str">
        <f t="shared" si="158"/>
        <v/>
      </c>
      <c r="DG71" s="207">
        <f>IF($J71="",#N/A,SUM(DF$4:DF71))</f>
        <v>0.6788440567066546</v>
      </c>
      <c r="DH71" s="208" t="str">
        <f t="shared" si="159"/>
        <v/>
      </c>
      <c r="DI71" s="208">
        <f>IF($J71="",#N/A,SUM(DH$4:DH71))</f>
        <v>-0.83172699364602887</v>
      </c>
      <c r="DJ71" s="208">
        <f>IF($J71="",#N/A,SUM(DH$4:DH71,DF$4:DF71,DD$4:DD71))</f>
        <v>-0.15288293693937427</v>
      </c>
      <c r="DK71" s="200" t="str">
        <f t="shared" si="160"/>
        <v/>
      </c>
      <c r="DL71" s="206">
        <f>IF($J71="",#N/A,SUM(DK$4:DK71))</f>
        <v>0</v>
      </c>
      <c r="DM71" s="207" t="str">
        <f t="shared" si="161"/>
        <v/>
      </c>
      <c r="DN71" s="207">
        <f>IF($J71="",#N/A,SUM(DM$4:DM71))</f>
        <v>0.36227168206863897</v>
      </c>
      <c r="DO71" s="208" t="str">
        <f t="shared" si="162"/>
        <v/>
      </c>
      <c r="DP71" s="208">
        <f>IF($J71="",#N/A,SUM(DO$4:DO71))</f>
        <v>-0.43291760746858676</v>
      </c>
      <c r="DQ71" s="208">
        <f>IF($J71="",#N/A,SUM(DO$4:DO71,DM$4:DM71,DK$4:DK71))</f>
        <v>-7.0645925399947795E-2</v>
      </c>
      <c r="DR71" s="200" t="str">
        <f t="shared" si="163"/>
        <v/>
      </c>
      <c r="DS71" s="206">
        <f>IF($J71="",#N/A,SUM(DR$4:DR71))</f>
        <v>0</v>
      </c>
      <c r="DT71" s="207" t="str">
        <f t="shared" si="164"/>
        <v/>
      </c>
      <c r="DU71" s="207">
        <f>IF($J71="",#N/A,SUM(DT$4:DT71))</f>
        <v>-2.8875364672150718</v>
      </c>
      <c r="DV71" s="208" t="str">
        <f t="shared" si="165"/>
        <v/>
      </c>
      <c r="DW71" s="208">
        <f>IF($J71="",#N/A,SUM(DV$4:DV71))</f>
        <v>-0.23245750740486493</v>
      </c>
      <c r="DX71" s="208">
        <f>IF($J71="",#N/A,SUM(DV$4:DV71,DT$4:DT71,DR$4:DR71))</f>
        <v>-3.1199939746199368</v>
      </c>
      <c r="DY71" s="200" t="str">
        <f t="shared" si="166"/>
        <v/>
      </c>
      <c r="DZ71" s="206">
        <f>IF($J71="",#N/A,SUM(DY$4:DY71))</f>
        <v>-1.4611133068588897</v>
      </c>
      <c r="EA71" s="207" t="str">
        <f t="shared" si="167"/>
        <v/>
      </c>
      <c r="EB71" s="207">
        <f>IF($J71="",#N/A,SUM(EA$4:EA71))</f>
        <v>-1.2459555278526064</v>
      </c>
      <c r="EC71" s="208" t="str">
        <f t="shared" si="168"/>
        <v/>
      </c>
      <c r="ED71" s="208">
        <f>IF($J71="",#N/A,SUM(EC$4:EC71))</f>
        <v>2.4844445330839244</v>
      </c>
      <c r="EE71" s="208">
        <f>IF($J71="",#N/A,SUM(EC$4:EC71,EA$4:EA71,DY$4:DY71))</f>
        <v>-0.22262430162757174</v>
      </c>
      <c r="EF71" s="200" t="str">
        <f t="shared" si="169"/>
        <v/>
      </c>
      <c r="EG71" s="206">
        <f>IF($J71="",#N/A,SUM(EF$4:EF71))</f>
        <v>0</v>
      </c>
      <c r="EH71" s="207">
        <f t="shared" si="170"/>
        <v>-0.83653455401436883</v>
      </c>
      <c r="EI71" s="207">
        <f>IF($J71="",#N/A,SUM(EH$4:EH71))</f>
        <v>-2.0327391387894549</v>
      </c>
      <c r="EJ71" s="208" t="str">
        <f t="shared" si="171"/>
        <v/>
      </c>
      <c r="EK71" s="208">
        <f>IF($J71="",#N/A,SUM(EJ$4:EJ71))</f>
        <v>1.3436756383175479</v>
      </c>
      <c r="EL71" s="208">
        <f>IF($J71="",#N/A,SUM(EJ$4:EJ71,EH$4:EH71,EF$4:EF71))</f>
        <v>-0.6890635004719069</v>
      </c>
      <c r="EM71" s="200" t="str">
        <f t="shared" si="172"/>
        <v/>
      </c>
      <c r="EN71" s="206">
        <f>IF($J71="",#N/A,SUM(EM$4:EM71))</f>
        <v>0</v>
      </c>
      <c r="EO71" s="207" t="str">
        <f t="shared" si="173"/>
        <v/>
      </c>
      <c r="EP71" s="207">
        <f>IF($J71="",#N/A,SUM(EO$4:EO71))</f>
        <v>0.61509852304831358</v>
      </c>
      <c r="EQ71" s="208" t="str">
        <f t="shared" si="174"/>
        <v/>
      </c>
      <c r="ER71" s="208">
        <f>IF($J71="",#N/A,SUM(EQ$4:EQ71))</f>
        <v>0.4926597949853756</v>
      </c>
      <c r="ES71" s="208">
        <f>IF($J71="",#N/A,SUM(EQ$4:EQ71,EO$4:EO71,EM$4:EM71))</f>
        <v>1.1077583180336892</v>
      </c>
      <c r="ET71" s="200" t="str">
        <f t="shared" si="175"/>
        <v/>
      </c>
      <c r="EU71" s="206">
        <f>IF($J71="",#N/A,SUM(ET$4:ET71))</f>
        <v>0</v>
      </c>
      <c r="EV71" s="207" t="str">
        <f t="shared" si="176"/>
        <v/>
      </c>
      <c r="EW71" s="207">
        <f>IF($J71="",#N/A,SUM(EV$4:EV71))</f>
        <v>0</v>
      </c>
      <c r="EX71" s="208" t="str">
        <f t="shared" si="177"/>
        <v/>
      </c>
      <c r="EY71" s="208">
        <f>IF($J71="",#N/A,SUM(EX$4:EX71))</f>
        <v>0</v>
      </c>
      <c r="EZ71" s="208">
        <f>IF($J71="",#N/A,SUM(EX$4:EX71,EV$4:EV71,ET$4:ET71))</f>
        <v>0</v>
      </c>
      <c r="FA71" s="200" t="str">
        <f t="shared" si="178"/>
        <v/>
      </c>
      <c r="FB71" s="206">
        <f>IF($J71="",#N/A,SUM(FA$4:FA71))</f>
        <v>0</v>
      </c>
      <c r="FC71" s="207" t="str">
        <f t="shared" si="179"/>
        <v/>
      </c>
      <c r="FD71" s="207">
        <f>IF($J71="",#N/A,SUM(FC$4:FC71))</f>
        <v>1.3724148418491529</v>
      </c>
      <c r="FE71" s="208" t="str">
        <f t="shared" si="180"/>
        <v/>
      </c>
      <c r="FF71" s="208">
        <f>IF($J71="",#N/A,SUM(FE$4:FE71))</f>
        <v>-0.28811149078748233</v>
      </c>
      <c r="FG71" s="208">
        <f>IF($J71="",#N/A,SUM(FE$4:FE71,FC$4:FC71,FA$4:FA71))</f>
        <v>1.0843033510616706</v>
      </c>
      <c r="FH71" s="200" t="str">
        <f t="shared" si="181"/>
        <v/>
      </c>
      <c r="FI71" s="206">
        <f>IF($J71="",#N/A,SUM(FH$4:FH71))</f>
        <v>0</v>
      </c>
      <c r="FJ71" s="207" t="str">
        <f t="shared" si="182"/>
        <v/>
      </c>
      <c r="FK71" s="207">
        <f>IF($J71="",#N/A,SUM(FJ$4:FJ71))</f>
        <v>0</v>
      </c>
      <c r="FL71" s="208" t="str">
        <f t="shared" si="183"/>
        <v/>
      </c>
      <c r="FM71" s="208">
        <f>IF($J71="",#N/A,SUM(FL$4:FL71))</f>
        <v>0</v>
      </c>
      <c r="FN71" s="208">
        <f>IF($J71="",#N/A,SUM(FL$4:FL71,FJ$4:FJ71,FH$4:FH71))</f>
        <v>0</v>
      </c>
      <c r="FO71" s="200" t="str">
        <f t="shared" si="184"/>
        <v/>
      </c>
      <c r="FP71" s="206">
        <f>IF($J71="",#N/A,SUM(FO$4:FO71))</f>
        <v>0</v>
      </c>
      <c r="FQ71" s="207" t="str">
        <f t="shared" si="185"/>
        <v/>
      </c>
      <c r="FR71" s="207">
        <f>IF($J71="",#N/A,SUM(FQ$4:FQ71))</f>
        <v>0</v>
      </c>
      <c r="FS71" s="208" t="str">
        <f t="shared" si="186"/>
        <v/>
      </c>
      <c r="FT71" s="208">
        <f>IF($J71="",#N/A,SUM(FS$4:FS71))</f>
        <v>0</v>
      </c>
      <c r="FU71" s="208">
        <f>IF($J71="",#N/A,SUM(FS$4:FS71,FQ$4:FQ71,FO$4:FO71))</f>
        <v>0</v>
      </c>
      <c r="FV71" s="200" t="str">
        <f t="shared" si="187"/>
        <v/>
      </c>
      <c r="FW71" s="206">
        <f>IF($J71="",#N/A,SUM(FV$4:FV71))</f>
        <v>6.6834991831277585E-2</v>
      </c>
      <c r="FX71" s="207" t="str">
        <f t="shared" si="188"/>
        <v/>
      </c>
      <c r="FY71" s="207">
        <f>IF($J71="",#N/A,SUM(FX$4:FX71))</f>
        <v>0</v>
      </c>
      <c r="FZ71" s="208" t="str">
        <f t="shared" si="189"/>
        <v/>
      </c>
      <c r="GA71" s="208">
        <f>IF($J71="",#N/A,SUM(FZ$4:FZ71))</f>
        <v>-0.20104261551371039</v>
      </c>
      <c r="GB71" s="208">
        <f>IF($J71="",#N/A,SUM(FZ$4:FZ71,FX$4:FX71,FV$4:FV71))</f>
        <v>-0.1342076236824328</v>
      </c>
      <c r="GC71" s="200" t="str">
        <f t="shared" si="190"/>
        <v/>
      </c>
      <c r="GD71" s="206">
        <f>IF($J71="",#N/A,SUM(GC$4:GC71))</f>
        <v>0</v>
      </c>
      <c r="GE71" s="207" t="str">
        <f t="shared" si="191"/>
        <v/>
      </c>
      <c r="GF71" s="207">
        <f>IF($J71="",#N/A,SUM(GE$4:GE71))</f>
        <v>0</v>
      </c>
      <c r="GG71" s="208" t="str">
        <f t="shared" si="192"/>
        <v/>
      </c>
      <c r="GH71" s="208">
        <f>IF($J71="",#N/A,SUM(GG$4:GG71))</f>
        <v>-2.9368362277223206</v>
      </c>
      <c r="GI71" s="208">
        <f>IF($J71="",#N/A,SUM(GG$4:GG71,GE$4:GE71,GC$4:GC71))</f>
        <v>-2.9368362277223206</v>
      </c>
      <c r="GJ71" s="200" t="str">
        <f t="shared" si="193"/>
        <v/>
      </c>
      <c r="GK71" s="206">
        <f>IF($J71="",#N/A,SUM(GJ$4:GJ71))</f>
        <v>0</v>
      </c>
      <c r="GL71" s="207" t="str">
        <f t="shared" si="194"/>
        <v/>
      </c>
      <c r="GM71" s="207">
        <f>IF($J71="",#N/A,SUM(GL$4:GL71))</f>
        <v>-1.0674765946939027</v>
      </c>
      <c r="GN71" s="208" t="str">
        <f t="shared" si="195"/>
        <v/>
      </c>
      <c r="GO71" s="208">
        <f>IF($J71="",#N/A,SUM(GN$4:GN71))</f>
        <v>0</v>
      </c>
      <c r="GP71" s="208">
        <f>IF($J71="",#N/A,SUM(GN$4:GN71,GL$4:GL71,GJ$4:GJ71))</f>
        <v>-1.0674765946939027</v>
      </c>
      <c r="GS71" s="54">
        <f t="shared" si="214"/>
        <v>-0.83653455401436883</v>
      </c>
      <c r="GT71" s="54">
        <f>IF(GS71="",NA(),SUM($GS$4:GS71))</f>
        <v>-0.41628373001473118</v>
      </c>
      <c r="GU71" s="54" t="str">
        <f t="shared" si="196"/>
        <v/>
      </c>
      <c r="GV71" s="54" t="e">
        <f>IF(GU71="",NA(),SUM($GU$4:GU71))</f>
        <v>#N/A</v>
      </c>
      <c r="GW71" s="54" t="str">
        <f t="shared" si="197"/>
        <v/>
      </c>
      <c r="GX71" s="54" t="e">
        <f>IF(GW71="",NA(),SUM($GW$4:GW71))</f>
        <v>#N/A</v>
      </c>
      <c r="GY71" s="54">
        <f t="shared" si="198"/>
        <v>-0.83653455401436883</v>
      </c>
      <c r="GZ71" s="54">
        <f>IF(GY71="",NA(),SUM($GY$4:GY71))</f>
        <v>-2.9443487797740402</v>
      </c>
      <c r="HA71" s="54" t="str">
        <f t="shared" si="199"/>
        <v/>
      </c>
      <c r="HB71" s="54" t="e">
        <f>IF(HA71="",NA(),SUM($HA$4:HA71))</f>
        <v>#N/A</v>
      </c>
      <c r="HC71" s="54" t="str">
        <f t="shared" si="200"/>
        <v/>
      </c>
      <c r="HD71" s="54" t="e">
        <f>IF(HC71="",NA(),SUM($HC$4:HC71))</f>
        <v>#N/A</v>
      </c>
      <c r="HE71" s="54" t="str">
        <f t="shared" si="201"/>
        <v/>
      </c>
      <c r="HF71" s="54" t="e">
        <f>IF(HE71="",NA(),SUM($HE$4:HE71))</f>
        <v>#N/A</v>
      </c>
      <c r="HG71" s="54" t="str">
        <f t="shared" si="202"/>
        <v/>
      </c>
      <c r="HH71" s="54" t="e">
        <f>IF(HG71="",NA(),SUM($HG$4:HG71))</f>
        <v>#N/A</v>
      </c>
      <c r="HI71" s="172" t="str">
        <f t="shared" si="215"/>
        <v/>
      </c>
      <c r="HJ71" s="172">
        <f>IF($J71="",#N/A,SUM(HI$4:$HI71))</f>
        <v>-1.0497124168140199</v>
      </c>
      <c r="HK71" s="54">
        <f t="shared" si="203"/>
        <v>0.95499888819880641</v>
      </c>
      <c r="HL71" s="54">
        <f>IF($J71="",#N/A,SUM($HK$4:HK71))</f>
        <v>-1.5436465459484796</v>
      </c>
      <c r="HM71" s="54" t="str">
        <f t="shared" si="204"/>
        <v/>
      </c>
      <c r="HN71" s="54">
        <f>IF($J71="",#N/A,SUM($HM$4:HM71))</f>
        <v>0.80449527204317051</v>
      </c>
      <c r="HO71" s="54" t="str">
        <f t="shared" si="205"/>
        <v/>
      </c>
      <c r="HP71" s="54">
        <f>IF($J71="",#N/A,SUM($HO$4:HO71))</f>
        <v>-0.64837295089680658</v>
      </c>
      <c r="HQ71" s="54" t="str">
        <f t="shared" si="206"/>
        <v/>
      </c>
      <c r="HR71" s="54">
        <f>IF($J71="",#N/A,SUM($HQ$4:HQ71))</f>
        <v>-5.6674893975949479</v>
      </c>
      <c r="HS71" s="54" t="str">
        <f t="shared" si="207"/>
        <v/>
      </c>
      <c r="HT71" s="54">
        <f>IF($J71="",#N/A,SUM($HS$4:HS71))</f>
        <v>5.5197538416683463</v>
      </c>
      <c r="HU71" s="65">
        <f t="shared" si="208"/>
        <v>0.11846433418443754</v>
      </c>
      <c r="HV71" s="65">
        <f>IF($J71="",#N/A,SUM(HU$4:$HU71))</f>
        <v>-2.7992671146301831</v>
      </c>
    </row>
    <row r="72" spans="1:230" x14ac:dyDescent="0.25">
      <c r="A72" s="51" t="s">
        <v>1553</v>
      </c>
      <c r="B72" s="52" t="s">
        <v>4503</v>
      </c>
      <c r="C72" s="229">
        <f t="shared" si="109"/>
        <v>2</v>
      </c>
      <c r="D72" s="219" t="str">
        <f>_xlfn.XLOOKUP(A72,[1]SP500!$A$2:$A$502,[1]SP500!$D$2:$D$502,"N")</f>
        <v>Y</v>
      </c>
      <c r="E72" s="51" t="str">
        <f>IFERROR(_xlfn.XLOOKUP(A72,[1]SP500!$A$2:$A$655,[1]SP500!$B$2:$B$655),"")</f>
        <v>XLB</v>
      </c>
      <c r="F72" s="53">
        <v>45770</v>
      </c>
      <c r="G72" s="51" t="str">
        <f t="shared" si="110"/>
        <v>BMO</v>
      </c>
      <c r="H72" s="51" t="str">
        <f t="shared" si="111"/>
        <v>s</v>
      </c>
      <c r="I72" s="344">
        <v>174.83</v>
      </c>
      <c r="J72" s="124">
        <v>173.48</v>
      </c>
      <c r="K72" s="55">
        <f t="shared" si="112"/>
        <v>-7.7217868786822776E-3</v>
      </c>
      <c r="L72" s="67">
        <f t="shared" si="113"/>
        <v>5.4000000000000909</v>
      </c>
      <c r="M72" s="57">
        <f t="shared" si="114"/>
        <v>2.1200000000000045</v>
      </c>
      <c r="N72" s="102">
        <f t="shared" si="115"/>
        <v>5.4000000000000909</v>
      </c>
      <c r="O72" s="57">
        <f>IF(N72="",#N/A,SUM($N$4:N72))</f>
        <v>-189.74869563037475</v>
      </c>
      <c r="P72" s="65">
        <f t="shared" si="209"/>
        <v>0.12869644797803798</v>
      </c>
      <c r="Q72" s="172">
        <f>IF($N72="",#N/A,SUM($P$4:P72))</f>
        <v>-8.5598469109410213E-2</v>
      </c>
      <c r="R72" s="279">
        <f t="shared" si="116"/>
        <v>2.9094981277611631</v>
      </c>
      <c r="S72" s="51" t="str">
        <f t="shared" si="117"/>
        <v>Dwn</v>
      </c>
      <c r="T72" s="51" t="s">
        <v>4462</v>
      </c>
      <c r="U72" s="56">
        <f t="shared" si="118"/>
        <v>174.83</v>
      </c>
      <c r="V72" s="56" t="s">
        <v>4458</v>
      </c>
      <c r="W72" s="142">
        <v>4</v>
      </c>
      <c r="X72" s="145">
        <f t="shared" si="119"/>
        <v>699.32</v>
      </c>
      <c r="Y72" s="140">
        <f t="shared" si="120"/>
        <v>4</v>
      </c>
      <c r="Z72" s="123">
        <v>172.95</v>
      </c>
      <c r="AA72" s="102">
        <f t="shared" si="121"/>
        <v>7.5200000000000955</v>
      </c>
      <c r="AB72" s="102">
        <f t="shared" si="122"/>
        <v>18.32000000000005</v>
      </c>
      <c r="AC72" s="124">
        <v>170.25</v>
      </c>
      <c r="AD72" s="155">
        <f t="shared" si="123"/>
        <v>18.32000000000005</v>
      </c>
      <c r="AE72" s="545">
        <f t="shared" si="124"/>
        <v>0.43661461610326335</v>
      </c>
      <c r="AF72" s="57">
        <f>IF($AC72="",#N/A,SUM(AD$4:AD72))</f>
        <v>-296.38582025503126</v>
      </c>
      <c r="AG72" s="102">
        <f t="shared" si="125"/>
        <v>12.919999999999959</v>
      </c>
      <c r="AH72" s="56" t="s">
        <v>2507</v>
      </c>
      <c r="AI72" s="65">
        <f t="shared" si="126"/>
        <v>0.17922172014719287</v>
      </c>
      <c r="AJ72" s="54">
        <f>IF(AI72="",#N/A,SUM($AI$4:AI72))</f>
        <v>-2.9950965968705732</v>
      </c>
      <c r="AK72" s="57">
        <f t="shared" si="127"/>
        <v>7.5200000000000955</v>
      </c>
      <c r="AL72" s="349">
        <f>IF(AI72="",#N/A,IF(AH72="Skip",SUM($AK$4:AK72),SUM($AK$4:AK72)))</f>
        <v>-379.5199999999993</v>
      </c>
      <c r="AM72" s="65">
        <f t="shared" si="210"/>
        <v>0.43661461610326335</v>
      </c>
      <c r="AN72" s="209"/>
      <c r="AO72" s="65" t="str">
        <f t="shared" si="128"/>
        <v/>
      </c>
      <c r="AP72" s="65">
        <f>IF($AC72="",#N/A,SUM(AO$4:AO72))</f>
        <v>3.9765966217876039</v>
      </c>
      <c r="AQ72" s="65" t="str">
        <f t="shared" si="129"/>
        <v/>
      </c>
      <c r="AR72" s="65">
        <f>IF($AC72="",#N/A,SUM(AQ$4:AQ72))</f>
        <v>-1.2381559938812483</v>
      </c>
      <c r="AS72" s="65">
        <f t="shared" si="130"/>
        <v>0.43661461610326335</v>
      </c>
      <c r="AT72" s="65">
        <f>IF($AC72="",#N/A,SUM(AS$4:AS72))</f>
        <v>-5.1010931264332777</v>
      </c>
      <c r="AU72" s="57" t="str">
        <f t="shared" si="211"/>
        <v/>
      </c>
      <c r="AV72" s="57">
        <f>IF($AC72="",#N/A,SUM(AU$4:AU72))</f>
        <v>174.54255264778453</v>
      </c>
      <c r="AW72" s="57" t="str">
        <f t="shared" si="212"/>
        <v/>
      </c>
      <c r="AX72" s="57">
        <f>IF($AC72="",#N/A,SUM(AW$4:AW72))</f>
        <v>-74.660000000000196</v>
      </c>
      <c r="AY72" s="57">
        <f t="shared" si="213"/>
        <v>18.32000000000005</v>
      </c>
      <c r="AZ72" s="57">
        <f>IF($AC72="",#N/A,SUM(AY$4:AY72))</f>
        <v>-396.2683729028156</v>
      </c>
      <c r="BA72" s="57">
        <f>IF(AD72="",#N/A,SUM($AD$4:AD72))</f>
        <v>-296.38582025503126</v>
      </c>
      <c r="BC72" s="51" t="str">
        <f t="shared" si="131"/>
        <v/>
      </c>
      <c r="BD72" s="51" t="str">
        <f t="shared" si="132"/>
        <v/>
      </c>
      <c r="BE72" s="51" t="str">
        <f t="shared" si="133"/>
        <v/>
      </c>
      <c r="BF72" s="51" t="str">
        <f t="shared" si="134"/>
        <v>Short</v>
      </c>
      <c r="BG72" s="51">
        <f t="shared" si="135"/>
        <v>1</v>
      </c>
      <c r="BH72" s="51" t="str">
        <f t="shared" si="136"/>
        <v/>
      </c>
      <c r="BI72" s="51" t="str">
        <f t="shared" si="137"/>
        <v/>
      </c>
      <c r="BK72" s="65">
        <f t="shared" si="108"/>
        <v>-5.1298762201552724E-2</v>
      </c>
      <c r="BL72" s="65">
        <f t="shared" si="107"/>
        <v>0.17260806361055511</v>
      </c>
      <c r="BM72" s="65">
        <f>IFERROR(Q72/COUNTA($J$4:J72),#N/A)</f>
        <v>-1.2405575233247856E-3</v>
      </c>
      <c r="BO72" s="489" t="e">
        <f>IF(J72="",#N/A,IF(S72="SW",(COUNTIFS(K$4:$K72,"&gt;0",S$4:$S72,"SW")/COUNTIF(S$4:$S72,"SW")),#N/A))</f>
        <v>#N/A</v>
      </c>
      <c r="BP72" s="489">
        <f>IF($J72="",#N/A,IF($S72="DWN",(COUNTIFS($K$4:$K72,"&lt;0",$S$4:$S72,"DWN")/COUNTIF($S$4:$S72,"DWN")),#N/A))</f>
        <v>0.5</v>
      </c>
      <c r="BQ72" s="489" t="e">
        <f>IF($J72="",#N/A,IF($S72="UP",(COUNTIFS($K$4:$K72,"&gt;0",$S$4:$S72,"UP")/COUNTIF($S$4:$S72,"UP")),#N/A))</f>
        <v>#N/A</v>
      </c>
      <c r="BR72" s="489">
        <f>IF(J72="",#N/A,COUNTIF($K$4:K72,"&gt;0")/COUNT($J$4:J72))</f>
        <v>0.53623188405797106</v>
      </c>
      <c r="BS72" s="65" t="str">
        <f t="shared" si="138"/>
        <v/>
      </c>
      <c r="BT72" s="65" t="str">
        <f t="shared" si="139"/>
        <v/>
      </c>
      <c r="BU72" s="65">
        <f t="shared" si="140"/>
        <v>0.12869644797803798</v>
      </c>
      <c r="BV72" s="65" t="str">
        <f t="shared" si="141"/>
        <v/>
      </c>
      <c r="BW72" s="128" t="str">
        <f t="shared" si="142"/>
        <v/>
      </c>
      <c r="BX72" s="128">
        <f>IF($J72="",#N/A,SUM($BW$4:BW72))</f>
        <v>-88.570000000000164</v>
      </c>
      <c r="BY72" s="131">
        <f t="shared" si="143"/>
        <v>5.4000000000000909</v>
      </c>
      <c r="BZ72" s="131">
        <f>IF($J72="",#N/A,SUM($BY$4:BY72))</f>
        <v>-230.08871953149526</v>
      </c>
      <c r="CA72" s="133" t="str">
        <f t="shared" si="144"/>
        <v/>
      </c>
      <c r="CB72" s="133">
        <f>IF($J72="",#N/A,SUM($CA$4:CA72))</f>
        <v>128.91002390112067</v>
      </c>
      <c r="CC72" s="194" t="str">
        <f t="shared" si="145"/>
        <v/>
      </c>
      <c r="CD72" s="194">
        <f>IF($J72="",#N/A,SUM($CC$4:CC72))</f>
        <v>-1.3942783150276121</v>
      </c>
      <c r="CE72" s="195">
        <f t="shared" si="146"/>
        <v>0.12869644797803798</v>
      </c>
      <c r="CF72" s="195">
        <f>IF($J72="",#N/A,SUM($CE$4:CE72))</f>
        <v>-2.8156523317960023</v>
      </c>
      <c r="CG72" s="196" t="str">
        <f t="shared" si="147"/>
        <v/>
      </c>
      <c r="CH72" s="193">
        <f>IF($J72="",#N/A,SUM($CG$4:CG72))</f>
        <v>4.1243321777142077</v>
      </c>
      <c r="CI72" s="200" t="str">
        <f t="shared" si="148"/>
        <v/>
      </c>
      <c r="CJ72" s="203">
        <f>IF($J72="",#N/A,SUM(CI$4:CI72))</f>
        <v>0</v>
      </c>
      <c r="CK72" s="204" t="str">
        <f t="shared" si="149"/>
        <v/>
      </c>
      <c r="CL72" s="204">
        <f>IF($J72="",#N/A,SUM(CK$4:CK72))</f>
        <v>1.8934431343190481</v>
      </c>
      <c r="CM72" s="205" t="str">
        <f t="shared" si="150"/>
        <v/>
      </c>
      <c r="CN72" s="205">
        <f>IF($J72="",#N/A,SUM(CM$4:CM72))</f>
        <v>3.5437224367841633</v>
      </c>
      <c r="CO72" s="205">
        <f>IF($J72="",#N/A,SUM(CM$4:CM72,CK$4:CK72,CI$4:CI72))</f>
        <v>5.4371655711032112</v>
      </c>
      <c r="CP72" s="200" t="str">
        <f t="shared" si="151"/>
        <v/>
      </c>
      <c r="CQ72" s="203">
        <f>IF($J72="",#N/A,SUM(CP$4:CP72))</f>
        <v>0</v>
      </c>
      <c r="CR72" s="204" t="str">
        <f t="shared" si="152"/>
        <v/>
      </c>
      <c r="CS72" s="204">
        <f>IF($J72="",#N/A,SUM(CR$4:CR72))</f>
        <v>0</v>
      </c>
      <c r="CT72" s="205" t="str">
        <f t="shared" si="153"/>
        <v/>
      </c>
      <c r="CU72" s="205">
        <f>IF($J72="",#N/A,SUM(CT$4:CT72))</f>
        <v>0</v>
      </c>
      <c r="CV72" s="205">
        <f>IF($J72="",#N/A,SUM(CT$4:CT72,CR$4:CR72,CP$4:CP72))</f>
        <v>0</v>
      </c>
      <c r="CW72" s="200" t="str">
        <f t="shared" si="154"/>
        <v/>
      </c>
      <c r="CX72" s="203">
        <f>IF($J72="",#N/A,SUM(CW$4:CW72))</f>
        <v>0</v>
      </c>
      <c r="CY72" s="204" t="str">
        <f t="shared" si="155"/>
        <v/>
      </c>
      <c r="CZ72" s="204">
        <f>IF($J72="",#N/A,SUM(CY$4:CY72))</f>
        <v>-0.63271328921481373</v>
      </c>
      <c r="DA72" s="205" t="str">
        <f t="shared" si="156"/>
        <v/>
      </c>
      <c r="DB72" s="205">
        <f>IF($J72="",#N/A,SUM(DA$4:DA72))</f>
        <v>1.1829222170861893</v>
      </c>
      <c r="DC72" s="205">
        <f>IF($J72="",#N/A,SUM(DA$4:DA72,CY$4:CY72,CW$4:CW72))</f>
        <v>0.55020892787137554</v>
      </c>
      <c r="DD72" s="200" t="str">
        <f t="shared" si="157"/>
        <v/>
      </c>
      <c r="DE72" s="203">
        <f>IF($J72="",#N/A,SUM(DD$4:DD72))</f>
        <v>0</v>
      </c>
      <c r="DF72" s="204" t="str">
        <f t="shared" si="158"/>
        <v/>
      </c>
      <c r="DG72" s="204">
        <f>IF($J72="",#N/A,SUM(DF$4:DF72))</f>
        <v>0.6788440567066546</v>
      </c>
      <c r="DH72" s="205" t="str">
        <f t="shared" si="159"/>
        <v/>
      </c>
      <c r="DI72" s="205">
        <f>IF($J72="",#N/A,SUM(DH$4:DH72))</f>
        <v>-0.83172699364602887</v>
      </c>
      <c r="DJ72" s="205">
        <f>IF($J72="",#N/A,SUM(DH$4:DH72,DF$4:DF72,DD$4:DD72))</f>
        <v>-0.15288293693937427</v>
      </c>
      <c r="DK72" s="200" t="str">
        <f t="shared" si="160"/>
        <v/>
      </c>
      <c r="DL72" s="203">
        <f>IF($J72="",#N/A,SUM(DK$4:DK72))</f>
        <v>0</v>
      </c>
      <c r="DM72" s="204" t="str">
        <f t="shared" si="161"/>
        <v/>
      </c>
      <c r="DN72" s="204">
        <f>IF($J72="",#N/A,SUM(DM$4:DM72))</f>
        <v>0.36227168206863897</v>
      </c>
      <c r="DO72" s="205" t="str">
        <f t="shared" si="162"/>
        <v/>
      </c>
      <c r="DP72" s="205">
        <f>IF($J72="",#N/A,SUM(DO$4:DO72))</f>
        <v>-0.43291760746858676</v>
      </c>
      <c r="DQ72" s="205">
        <f>IF($J72="",#N/A,SUM(DO$4:DO72,DM$4:DM72,DK$4:DK72))</f>
        <v>-7.0645925399947795E-2</v>
      </c>
      <c r="DR72" s="200" t="str">
        <f t="shared" si="163"/>
        <v/>
      </c>
      <c r="DS72" s="203">
        <f>IF($J72="",#N/A,SUM(DR$4:DR72))</f>
        <v>0</v>
      </c>
      <c r="DT72" s="204" t="str">
        <f t="shared" si="164"/>
        <v/>
      </c>
      <c r="DU72" s="204">
        <f>IF($J72="",#N/A,SUM(DT$4:DT72))</f>
        <v>-2.8875364672150718</v>
      </c>
      <c r="DV72" s="205" t="str">
        <f t="shared" si="165"/>
        <v/>
      </c>
      <c r="DW72" s="205">
        <f>IF($J72="",#N/A,SUM(DV$4:DV72))</f>
        <v>-0.23245750740486493</v>
      </c>
      <c r="DX72" s="205">
        <f>IF($J72="",#N/A,SUM(DV$4:DV72,DT$4:DT72,DR$4:DR72))</f>
        <v>-3.1199939746199368</v>
      </c>
      <c r="DY72" s="200" t="str">
        <f t="shared" si="166"/>
        <v/>
      </c>
      <c r="DZ72" s="203">
        <f>IF($J72="",#N/A,SUM(DY$4:DY72))</f>
        <v>-1.4611133068588897</v>
      </c>
      <c r="EA72" s="204" t="str">
        <f t="shared" si="167"/>
        <v/>
      </c>
      <c r="EB72" s="204">
        <f>IF($J72="",#N/A,SUM(EA$4:EA72))</f>
        <v>-1.2459555278526064</v>
      </c>
      <c r="EC72" s="205" t="str">
        <f t="shared" si="168"/>
        <v/>
      </c>
      <c r="ED72" s="205">
        <f>IF($J72="",#N/A,SUM(EC$4:EC72))</f>
        <v>2.4844445330839244</v>
      </c>
      <c r="EE72" s="205">
        <f>IF($J72="",#N/A,SUM(EC$4:EC72,EA$4:EA72,DY$4:DY72))</f>
        <v>-0.22262430162757174</v>
      </c>
      <c r="EF72" s="200" t="str">
        <f t="shared" si="169"/>
        <v/>
      </c>
      <c r="EG72" s="203">
        <f>IF($J72="",#N/A,SUM(EF$4:EF72))</f>
        <v>0</v>
      </c>
      <c r="EH72" s="204" t="str">
        <f t="shared" si="170"/>
        <v/>
      </c>
      <c r="EI72" s="204">
        <f>IF($J72="",#N/A,SUM(EH$4:EH72))</f>
        <v>-2.0327391387894549</v>
      </c>
      <c r="EJ72" s="205" t="str">
        <f t="shared" si="171"/>
        <v/>
      </c>
      <c r="EK72" s="205">
        <f>IF($J72="",#N/A,SUM(EJ$4:EJ72))</f>
        <v>1.3436756383175479</v>
      </c>
      <c r="EL72" s="205">
        <f>IF($J72="",#N/A,SUM(EJ$4:EJ72,EH$4:EH72,EF$4:EF72))</f>
        <v>-0.6890635004719069</v>
      </c>
      <c r="EM72" s="200" t="str">
        <f t="shared" si="172"/>
        <v/>
      </c>
      <c r="EN72" s="203">
        <f>IF($J72="",#N/A,SUM(EM$4:EM72))</f>
        <v>0</v>
      </c>
      <c r="EO72" s="204">
        <f t="shared" si="173"/>
        <v>0.12869644797803798</v>
      </c>
      <c r="EP72" s="204">
        <f>IF($J72="",#N/A,SUM(EO$4:EO72))</f>
        <v>0.74379497102635161</v>
      </c>
      <c r="EQ72" s="205" t="str">
        <f t="shared" si="174"/>
        <v/>
      </c>
      <c r="ER72" s="205">
        <f>IF($J72="",#N/A,SUM(EQ$4:EQ72))</f>
        <v>0.4926597949853756</v>
      </c>
      <c r="ES72" s="205">
        <f>IF($J72="",#N/A,SUM(EQ$4:EQ72,EO$4:EO72,EM$4:EM72))</f>
        <v>1.2364547660117271</v>
      </c>
      <c r="ET72" s="200" t="str">
        <f t="shared" si="175"/>
        <v/>
      </c>
      <c r="EU72" s="203">
        <f>IF($J72="",#N/A,SUM(ET$4:ET72))</f>
        <v>0</v>
      </c>
      <c r="EV72" s="204" t="str">
        <f t="shared" si="176"/>
        <v/>
      </c>
      <c r="EW72" s="204">
        <f>IF($J72="",#N/A,SUM(EV$4:EV72))</f>
        <v>0</v>
      </c>
      <c r="EX72" s="205" t="str">
        <f t="shared" si="177"/>
        <v/>
      </c>
      <c r="EY72" s="205">
        <f>IF($J72="",#N/A,SUM(EX$4:EX72))</f>
        <v>0</v>
      </c>
      <c r="EZ72" s="205">
        <f>IF($J72="",#N/A,SUM(EX$4:EX72,EV$4:EV72,ET$4:ET72))</f>
        <v>0</v>
      </c>
      <c r="FA72" s="200" t="str">
        <f t="shared" si="178"/>
        <v/>
      </c>
      <c r="FB72" s="203">
        <f>IF($J72="",#N/A,SUM(FA$4:FA72))</f>
        <v>0</v>
      </c>
      <c r="FC72" s="204" t="str">
        <f t="shared" si="179"/>
        <v/>
      </c>
      <c r="FD72" s="204">
        <f>IF($J72="",#N/A,SUM(FC$4:FC72))</f>
        <v>1.3724148418491529</v>
      </c>
      <c r="FE72" s="205" t="str">
        <f t="shared" si="180"/>
        <v/>
      </c>
      <c r="FF72" s="205">
        <f>IF($J72="",#N/A,SUM(FE$4:FE72))</f>
        <v>-0.28811149078748233</v>
      </c>
      <c r="FG72" s="205">
        <f>IF($J72="",#N/A,SUM(FE$4:FE72,FC$4:FC72,FA$4:FA72))</f>
        <v>1.0843033510616706</v>
      </c>
      <c r="FH72" s="200" t="str">
        <f t="shared" si="181"/>
        <v/>
      </c>
      <c r="FI72" s="203">
        <f>IF($J72="",#N/A,SUM(FH$4:FH72))</f>
        <v>0</v>
      </c>
      <c r="FJ72" s="204" t="str">
        <f t="shared" si="182"/>
        <v/>
      </c>
      <c r="FK72" s="204">
        <f>IF($J72="",#N/A,SUM(FJ$4:FJ72))</f>
        <v>0</v>
      </c>
      <c r="FL72" s="205" t="str">
        <f t="shared" si="183"/>
        <v/>
      </c>
      <c r="FM72" s="205">
        <f>IF($J72="",#N/A,SUM(FL$4:FL72))</f>
        <v>0</v>
      </c>
      <c r="FN72" s="205">
        <f>IF($J72="",#N/A,SUM(FL$4:FL72,FJ$4:FJ72,FH$4:FH72))</f>
        <v>0</v>
      </c>
      <c r="FO72" s="200" t="str">
        <f t="shared" si="184"/>
        <v/>
      </c>
      <c r="FP72" s="203">
        <f>IF($J72="",#N/A,SUM(FO$4:FO72))</f>
        <v>0</v>
      </c>
      <c r="FQ72" s="204" t="str">
        <f t="shared" si="185"/>
        <v/>
      </c>
      <c r="FR72" s="204">
        <f>IF($J72="",#N/A,SUM(FQ$4:FQ72))</f>
        <v>0</v>
      </c>
      <c r="FS72" s="205" t="str">
        <f t="shared" si="186"/>
        <v/>
      </c>
      <c r="FT72" s="205">
        <f>IF($J72="",#N/A,SUM(FS$4:FS72))</f>
        <v>0</v>
      </c>
      <c r="FU72" s="205">
        <f>IF($J72="",#N/A,SUM(FS$4:FS72,FQ$4:FQ72,FO$4:FO72))</f>
        <v>0</v>
      </c>
      <c r="FV72" s="200" t="str">
        <f t="shared" si="187"/>
        <v/>
      </c>
      <c r="FW72" s="203">
        <f>IF($J72="",#N/A,SUM(FV$4:FV72))</f>
        <v>6.6834991831277585E-2</v>
      </c>
      <c r="FX72" s="204" t="str">
        <f t="shared" si="188"/>
        <v/>
      </c>
      <c r="FY72" s="204">
        <f>IF($J72="",#N/A,SUM(FX$4:FX72))</f>
        <v>0</v>
      </c>
      <c r="FZ72" s="205" t="str">
        <f t="shared" si="189"/>
        <v/>
      </c>
      <c r="GA72" s="205">
        <f>IF($J72="",#N/A,SUM(FZ$4:FZ72))</f>
        <v>-0.20104261551371039</v>
      </c>
      <c r="GB72" s="205">
        <f>IF($J72="",#N/A,SUM(FZ$4:FZ72,FX$4:FX72,FV$4:FV72))</f>
        <v>-0.1342076236824328</v>
      </c>
      <c r="GC72" s="200" t="str">
        <f t="shared" si="190"/>
        <v/>
      </c>
      <c r="GD72" s="203">
        <f>IF($J72="",#N/A,SUM(GC$4:GC72))</f>
        <v>0</v>
      </c>
      <c r="GE72" s="204" t="str">
        <f t="shared" si="191"/>
        <v/>
      </c>
      <c r="GF72" s="204">
        <f>IF($J72="",#N/A,SUM(GE$4:GE72))</f>
        <v>0</v>
      </c>
      <c r="GG72" s="205" t="str">
        <f t="shared" si="192"/>
        <v/>
      </c>
      <c r="GH72" s="205">
        <f>IF($J72="",#N/A,SUM(GG$4:GG72))</f>
        <v>-2.9368362277223206</v>
      </c>
      <c r="GI72" s="205">
        <f>IF($J72="",#N/A,SUM(GG$4:GG72,GE$4:GE72,GC$4:GC72))</f>
        <v>-2.9368362277223206</v>
      </c>
      <c r="GJ72" s="200" t="str">
        <f t="shared" si="193"/>
        <v/>
      </c>
      <c r="GK72" s="203">
        <f>IF($J72="",#N/A,SUM(GJ$4:GJ72))</f>
        <v>0</v>
      </c>
      <c r="GL72" s="204" t="str">
        <f t="shared" si="194"/>
        <v/>
      </c>
      <c r="GM72" s="204">
        <f>IF($J72="",#N/A,SUM(GL$4:GL72))</f>
        <v>-1.0674765946939027</v>
      </c>
      <c r="GN72" s="205" t="str">
        <f t="shared" si="195"/>
        <v/>
      </c>
      <c r="GO72" s="205">
        <f>IF($J72="",#N/A,SUM(GN$4:GN72))</f>
        <v>0</v>
      </c>
      <c r="GP72" s="205">
        <f>IF($J72="",#N/A,SUM(GN$4:GN72,GL$4:GL72,GJ$4:GJ72))</f>
        <v>-1.0674765946939027</v>
      </c>
      <c r="GS72" s="54">
        <f t="shared" si="214"/>
        <v>0.12869644797803798</v>
      </c>
      <c r="GT72" s="54">
        <f>IF(GS72="",NA(),SUM($GS$4:GS72))</f>
        <v>-0.2875872820366932</v>
      </c>
      <c r="GU72" s="54" t="str">
        <f t="shared" si="196"/>
        <v/>
      </c>
      <c r="GV72" s="54" t="e">
        <f>IF(GU72="",NA(),SUM($GU$4:GU72))</f>
        <v>#N/A</v>
      </c>
      <c r="GW72" s="54" t="str">
        <f t="shared" si="197"/>
        <v/>
      </c>
      <c r="GX72" s="54" t="e">
        <f>IF(GW72="",NA(),SUM($GW$4:GW72))</f>
        <v>#N/A</v>
      </c>
      <c r="GY72" s="54">
        <f t="shared" si="198"/>
        <v>0.12869644797803798</v>
      </c>
      <c r="GZ72" s="54">
        <f>IF(GY72="",NA(),SUM($GY$4:GY72))</f>
        <v>-2.8156523317960023</v>
      </c>
      <c r="HA72" s="54" t="str">
        <f t="shared" si="199"/>
        <v/>
      </c>
      <c r="HB72" s="54" t="e">
        <f>IF(HA72="",NA(),SUM($HA$4:HA72))</f>
        <v>#N/A</v>
      </c>
      <c r="HC72" s="54" t="str">
        <f t="shared" si="200"/>
        <v/>
      </c>
      <c r="HD72" s="54" t="e">
        <f>IF(HC72="",NA(),SUM($HC$4:HC72))</f>
        <v>#N/A</v>
      </c>
      <c r="HE72" s="54" t="str">
        <f t="shared" si="201"/>
        <v/>
      </c>
      <c r="HF72" s="54" t="e">
        <f>IF(HE72="",NA(),SUM($HE$4:HE72))</f>
        <v>#N/A</v>
      </c>
      <c r="HG72" s="54" t="str">
        <f t="shared" si="202"/>
        <v/>
      </c>
      <c r="HH72" s="54" t="e">
        <f>IF(HG72="",NA(),SUM($HG$4:HG72))</f>
        <v>#N/A</v>
      </c>
      <c r="HI72" s="172">
        <f t="shared" si="215"/>
        <v>0.30791816812522538</v>
      </c>
      <c r="HJ72" s="172">
        <f>IF($J72="",#N/A,SUM(HI$4:$HI72))</f>
        <v>-0.74179424868879451</v>
      </c>
      <c r="HK72" s="54" t="str">
        <f t="shared" si="203"/>
        <v/>
      </c>
      <c r="HL72" s="54">
        <f>IF($J72="",#N/A,SUM($HK$4:HK72))</f>
        <v>-1.5436465459484796</v>
      </c>
      <c r="HM72" s="54" t="str">
        <f t="shared" si="204"/>
        <v/>
      </c>
      <c r="HN72" s="54">
        <f>IF($J72="",#N/A,SUM($HM$4:HM72))</f>
        <v>0.80449527204317051</v>
      </c>
      <c r="HO72" s="54" t="str">
        <f t="shared" si="205"/>
        <v/>
      </c>
      <c r="HP72" s="54">
        <f>IF($J72="",#N/A,SUM($HO$4:HO72))</f>
        <v>-0.64837295089680658</v>
      </c>
      <c r="HQ72" s="54" t="str">
        <f t="shared" si="206"/>
        <v/>
      </c>
      <c r="HR72" s="54">
        <f>IF($J72="",#N/A,SUM($HQ$4:HQ72))</f>
        <v>-5.6674893975949479</v>
      </c>
      <c r="HS72" s="54" t="str">
        <f t="shared" si="207"/>
        <v/>
      </c>
      <c r="HT72" s="54">
        <f>IF($J72="",#N/A,SUM($HS$4:HS72))</f>
        <v>5.5197538416683463</v>
      </c>
      <c r="HU72" s="65">
        <f t="shared" si="208"/>
        <v>0.43661461610326335</v>
      </c>
      <c r="HV72" s="65">
        <f>IF($J72="",#N/A,SUM(HU$4:$HU72))</f>
        <v>-2.3626524985269199</v>
      </c>
    </row>
    <row r="73" spans="1:230" x14ac:dyDescent="0.25">
      <c r="A73" s="51" t="s">
        <v>1293</v>
      </c>
      <c r="B73" s="52" t="s">
        <v>4503</v>
      </c>
      <c r="C73" s="229">
        <f t="shared" si="109"/>
        <v>1</v>
      </c>
      <c r="D73" s="219" t="str">
        <f>_xlfn.XLOOKUP(A73,[1]SP500!$A$2:$A$502,[1]SP500!$D$2:$D$502,"N")</f>
        <v>Y</v>
      </c>
      <c r="E73" s="51" t="str">
        <f>IFERROR(_xlfn.XLOOKUP(A73,[1]SP500!$A$2:$A$655,[1]SP500!$B$2:$B$655),"")</f>
        <v>XLP</v>
      </c>
      <c r="F73" s="53">
        <v>45770</v>
      </c>
      <c r="G73" s="51" t="str">
        <f t="shared" si="110"/>
        <v>BMO</v>
      </c>
      <c r="H73" s="51" t="str">
        <f t="shared" si="111"/>
        <v>s</v>
      </c>
      <c r="I73" s="344">
        <v>164.11</v>
      </c>
      <c r="J73" s="124">
        <v>168.94</v>
      </c>
      <c r="K73" s="55">
        <f t="shared" si="112"/>
        <v>2.9431478886112875E-2</v>
      </c>
      <c r="L73" s="67">
        <f t="shared" si="113"/>
        <v>24.149999999999977</v>
      </c>
      <c r="M73" s="57">
        <f t="shared" si="114"/>
        <v>-10.200000000000045</v>
      </c>
      <c r="N73" s="102">
        <f t="shared" si="115"/>
        <v>24.149999999999977</v>
      </c>
      <c r="O73" s="57">
        <f>IF(N73="",#N/A,SUM($N$4:N73))</f>
        <v>-165.59869563037478</v>
      </c>
      <c r="P73" s="65">
        <f t="shared" si="209"/>
        <v>0.4905246481018824</v>
      </c>
      <c r="Q73" s="172">
        <f>IF($N73="",#N/A,SUM($P$4:P73))</f>
        <v>0.40492617899247219</v>
      </c>
      <c r="R73" s="279">
        <f t="shared" si="116"/>
        <v>3.1166762400029526</v>
      </c>
      <c r="S73" s="51" t="str">
        <f t="shared" si="117"/>
        <v>Up</v>
      </c>
      <c r="T73" s="51" t="s">
        <v>4462</v>
      </c>
      <c r="U73" s="56">
        <f t="shared" si="118"/>
        <v>164.11</v>
      </c>
      <c r="V73" s="56" t="s">
        <v>4460</v>
      </c>
      <c r="W73" s="142">
        <v>5</v>
      </c>
      <c r="X73" s="145">
        <f t="shared" si="119"/>
        <v>820.55000000000007</v>
      </c>
      <c r="Y73" s="140">
        <f t="shared" si="120"/>
        <v>5</v>
      </c>
      <c r="Z73" s="123">
        <v>166.9</v>
      </c>
      <c r="AA73" s="102">
        <f t="shared" si="121"/>
        <v>13.949999999999932</v>
      </c>
      <c r="AB73" s="102">
        <f t="shared" si="122"/>
        <v>20</v>
      </c>
      <c r="AC73" s="124">
        <v>168.11</v>
      </c>
      <c r="AD73" s="155">
        <f t="shared" si="123"/>
        <v>20</v>
      </c>
      <c r="AE73" s="545">
        <f t="shared" si="124"/>
        <v>0.40623159263095887</v>
      </c>
      <c r="AF73" s="57">
        <f>IF($AC73="",#N/A,SUM(AD$4:AD73))</f>
        <v>-276.38582025503126</v>
      </c>
      <c r="AG73" s="102">
        <f t="shared" si="125"/>
        <v>-4.1499999999999773</v>
      </c>
      <c r="AH73" s="56" t="s">
        <v>2507</v>
      </c>
      <c r="AI73" s="65">
        <f t="shared" si="126"/>
        <v>0.28334653586009245</v>
      </c>
      <c r="AJ73" s="350">
        <f>IF(AI73="",#N/A,SUM($AI$4:AI73))</f>
        <v>-2.7117500610104806</v>
      </c>
      <c r="AK73" s="57">
        <f t="shared" si="127"/>
        <v>13.949999999999932</v>
      </c>
      <c r="AL73" s="349">
        <f>IF(AI73="",#N/A,IF(AH73="Skip",SUM($AK$4:AK73),SUM($AK$4:AK73)))</f>
        <v>-365.56999999999937</v>
      </c>
      <c r="AM73" s="65">
        <f t="shared" si="210"/>
        <v>0.40623159263095887</v>
      </c>
      <c r="AN73" s="209"/>
      <c r="AO73" s="65" t="str">
        <f t="shared" si="128"/>
        <v/>
      </c>
      <c r="AP73" s="65">
        <f>IF($AC73="",#N/A,SUM(AO$4:AO73))</f>
        <v>3.9765966217876039</v>
      </c>
      <c r="AQ73" s="65">
        <f t="shared" si="129"/>
        <v>0.40623159263095887</v>
      </c>
      <c r="AR73" s="65">
        <f>IF($AC73="",#N/A,SUM(AQ$4:AQ73))</f>
        <v>-0.83192440125028944</v>
      </c>
      <c r="AS73" s="65" t="str">
        <f t="shared" si="130"/>
        <v/>
      </c>
      <c r="AT73" s="65">
        <f>IF($AC73="",#N/A,SUM(AS$4:AS73))</f>
        <v>-5.1010931264332777</v>
      </c>
      <c r="AU73" s="57" t="str">
        <f t="shared" si="211"/>
        <v/>
      </c>
      <c r="AV73" s="57">
        <f>IF($AC73="",#N/A,SUM(AU$4:AU73))</f>
        <v>174.54255264778453</v>
      </c>
      <c r="AW73" s="57">
        <f t="shared" si="212"/>
        <v>20</v>
      </c>
      <c r="AX73" s="57">
        <f>IF($AC73="",#N/A,SUM(AW$4:AW73))</f>
        <v>-54.660000000000196</v>
      </c>
      <c r="AY73" s="57" t="str">
        <f t="shared" si="213"/>
        <v/>
      </c>
      <c r="AZ73" s="57">
        <f>IF($AC73="",#N/A,SUM(AY$4:AY73))</f>
        <v>-396.2683729028156</v>
      </c>
      <c r="BA73" s="57">
        <f>IF(AD73="",#N/A,SUM($AD$4:AD73))</f>
        <v>-276.38582025503126</v>
      </c>
      <c r="BC73" s="51">
        <f t="shared" si="131"/>
        <v>1</v>
      </c>
      <c r="BD73" s="51" t="str">
        <f t="shared" si="132"/>
        <v/>
      </c>
      <c r="BE73" s="51" t="str">
        <f t="shared" si="133"/>
        <v/>
      </c>
      <c r="BF73" s="51" t="str">
        <f t="shared" si="134"/>
        <v>Long</v>
      </c>
      <c r="BG73" s="51" t="str">
        <f t="shared" si="135"/>
        <v/>
      </c>
      <c r="BH73" s="51" t="str">
        <f t="shared" si="136"/>
        <v/>
      </c>
      <c r="BI73" s="51" t="str">
        <f t="shared" si="137"/>
        <v/>
      </c>
      <c r="BK73" s="65">
        <f t="shared" si="108"/>
        <v>-4.9672733444166735E-2</v>
      </c>
      <c r="BL73" s="65">
        <f t="shared" si="107"/>
        <v>0.19263632522390811</v>
      </c>
      <c r="BM73" s="65">
        <f>IFERROR(Q73/COUNTA($J$4:J73),#N/A)</f>
        <v>5.7846596998924601E-3</v>
      </c>
      <c r="BO73" s="489" t="e">
        <f>IF(J73="",#N/A,IF(S73="SW",(COUNTIFS(K$4:$K73,"&gt;0",S$4:$S73,"SW")/COUNTIF(S$4:$S73,"SW")),#N/A))</f>
        <v>#N/A</v>
      </c>
      <c r="BP73" s="489" t="e">
        <f>IF($J73="",#N/A,IF($S73="DWN",(COUNTIFS($K$4:$K73,"&lt;0",$S$4:$S73,"DWN")/COUNTIF($S$4:$S73,"DWN")),#N/A))</f>
        <v>#N/A</v>
      </c>
      <c r="BQ73" s="489">
        <f>IF($J73="",#N/A,IF($S73="UP",(COUNTIFS($K$4:$K73,"&gt;0",$S$4:$S73,"UP")/COUNTIF($S$4:$S73,"UP")),#N/A))</f>
        <v>0.66666666666666663</v>
      </c>
      <c r="BR73" s="489">
        <f>IF(J73="",#N/A,COUNTIF($K$4:K73,"&gt;0")/COUNT($J$4:J73))</f>
        <v>0.54285714285714282</v>
      </c>
      <c r="BS73" s="65">
        <f t="shared" si="138"/>
        <v>0.4905246481018824</v>
      </c>
      <c r="BT73" s="65" t="str">
        <f t="shared" si="139"/>
        <v/>
      </c>
      <c r="BU73" s="65" t="str">
        <f t="shared" si="140"/>
        <v/>
      </c>
      <c r="BV73" s="65" t="str">
        <f t="shared" si="141"/>
        <v/>
      </c>
      <c r="BW73" s="128">
        <f t="shared" si="142"/>
        <v>24.149999999999977</v>
      </c>
      <c r="BX73" s="128">
        <f>IF($J73="",#N/A,SUM($BW$4:BW73))</f>
        <v>-64.420000000000186</v>
      </c>
      <c r="BY73" s="131" t="str">
        <f t="shared" si="143"/>
        <v/>
      </c>
      <c r="BZ73" s="131">
        <f>IF($J73="",#N/A,SUM($BY$4:BY73))</f>
        <v>-230.08871953149526</v>
      </c>
      <c r="CA73" s="133" t="str">
        <f t="shared" si="144"/>
        <v/>
      </c>
      <c r="CB73" s="133">
        <f>IF($J73="",#N/A,SUM($CA$4:CA73))</f>
        <v>128.91002390112067</v>
      </c>
      <c r="CC73" s="194">
        <f t="shared" si="145"/>
        <v>0.4905246481018824</v>
      </c>
      <c r="CD73" s="194">
        <f>IF($J73="",#N/A,SUM($CC$4:CC73))</f>
        <v>-0.90375366692572978</v>
      </c>
      <c r="CE73" s="195" t="str">
        <f t="shared" si="146"/>
        <v/>
      </c>
      <c r="CF73" s="195">
        <f>IF($J73="",#N/A,SUM($CE$4:CE73))</f>
        <v>-2.8156523317960023</v>
      </c>
      <c r="CG73" s="196" t="str">
        <f t="shared" si="147"/>
        <v/>
      </c>
      <c r="CH73" s="196">
        <f>IF($J73="",#N/A,SUM($CG$4:CG73))</f>
        <v>4.1243321777142077</v>
      </c>
      <c r="CI73" s="200" t="str">
        <f t="shared" si="148"/>
        <v/>
      </c>
      <c r="CJ73" s="203">
        <f>IF($J73="",#N/A,SUM(CI$4:CI73))</f>
        <v>0</v>
      </c>
      <c r="CK73" s="204" t="str">
        <f t="shared" si="149"/>
        <v/>
      </c>
      <c r="CL73" s="204">
        <f>IF($J73="",#N/A,SUM(CK$4:CK73))</f>
        <v>1.8934431343190481</v>
      </c>
      <c r="CM73" s="205" t="str">
        <f t="shared" si="150"/>
        <v/>
      </c>
      <c r="CN73" s="205">
        <f>IF($J73="",#N/A,SUM(CM$4:CM73))</f>
        <v>3.5437224367841633</v>
      </c>
      <c r="CO73" s="205">
        <f>IF($J73="",#N/A,SUM(CM$4:CM73,CK$4:CK73,CI$4:CI73))</f>
        <v>5.4371655711032112</v>
      </c>
      <c r="CP73" s="200" t="str">
        <f t="shared" si="151"/>
        <v/>
      </c>
      <c r="CQ73" s="203">
        <f>IF($J73="",#N/A,SUM(CP$4:CP73))</f>
        <v>0</v>
      </c>
      <c r="CR73" s="204" t="str">
        <f t="shared" si="152"/>
        <v/>
      </c>
      <c r="CS73" s="204">
        <f>IF($J73="",#N/A,SUM(CR$4:CR73))</f>
        <v>0</v>
      </c>
      <c r="CT73" s="205" t="str">
        <f t="shared" si="153"/>
        <v/>
      </c>
      <c r="CU73" s="205">
        <f>IF($J73="",#N/A,SUM(CT$4:CT73))</f>
        <v>0</v>
      </c>
      <c r="CV73" s="205">
        <f>IF($J73="",#N/A,SUM(CT$4:CT73,CR$4:CR73,CP$4:CP73))</f>
        <v>0</v>
      </c>
      <c r="CW73" s="200" t="str">
        <f t="shared" si="154"/>
        <v/>
      </c>
      <c r="CX73" s="203">
        <f>IF($J73="",#N/A,SUM(CW$4:CW73))</f>
        <v>0</v>
      </c>
      <c r="CY73" s="204" t="str">
        <f t="shared" si="155"/>
        <v/>
      </c>
      <c r="CZ73" s="204">
        <f>IF($J73="",#N/A,SUM(CY$4:CY73))</f>
        <v>-0.63271328921481373</v>
      </c>
      <c r="DA73" s="205" t="str">
        <f t="shared" si="156"/>
        <v/>
      </c>
      <c r="DB73" s="205">
        <f>IF($J73="",#N/A,SUM(DA$4:DA73))</f>
        <v>1.1829222170861893</v>
      </c>
      <c r="DC73" s="205">
        <f>IF($J73="",#N/A,SUM(DA$4:DA73,CY$4:CY73,CW$4:CW73))</f>
        <v>0.55020892787137554</v>
      </c>
      <c r="DD73" s="200">
        <f t="shared" si="157"/>
        <v>0.4905246481018824</v>
      </c>
      <c r="DE73" s="203">
        <f>IF($J73="",#N/A,SUM(DD$4:DD73))</f>
        <v>0.4905246481018824</v>
      </c>
      <c r="DF73" s="204" t="str">
        <f t="shared" si="158"/>
        <v/>
      </c>
      <c r="DG73" s="204">
        <f>IF($J73="",#N/A,SUM(DF$4:DF73))</f>
        <v>0.6788440567066546</v>
      </c>
      <c r="DH73" s="205" t="str">
        <f t="shared" si="159"/>
        <v/>
      </c>
      <c r="DI73" s="205">
        <f>IF($J73="",#N/A,SUM(DH$4:DH73))</f>
        <v>-0.83172699364602887</v>
      </c>
      <c r="DJ73" s="205">
        <f>IF($J73="",#N/A,SUM(DH$4:DH73,DF$4:DF73,DD$4:DD73))</f>
        <v>0.33764171116250813</v>
      </c>
      <c r="DK73" s="200" t="str">
        <f t="shared" si="160"/>
        <v/>
      </c>
      <c r="DL73" s="203">
        <f>IF($J73="",#N/A,SUM(DK$4:DK73))</f>
        <v>0</v>
      </c>
      <c r="DM73" s="204" t="str">
        <f t="shared" si="161"/>
        <v/>
      </c>
      <c r="DN73" s="204">
        <f>IF($J73="",#N/A,SUM(DM$4:DM73))</f>
        <v>0.36227168206863897</v>
      </c>
      <c r="DO73" s="205" t="str">
        <f t="shared" si="162"/>
        <v/>
      </c>
      <c r="DP73" s="205">
        <f>IF($J73="",#N/A,SUM(DO$4:DO73))</f>
        <v>-0.43291760746858676</v>
      </c>
      <c r="DQ73" s="205">
        <f>IF($J73="",#N/A,SUM(DO$4:DO73,DM$4:DM73,DK$4:DK73))</f>
        <v>-7.0645925399947795E-2</v>
      </c>
      <c r="DR73" s="200" t="str">
        <f t="shared" si="163"/>
        <v/>
      </c>
      <c r="DS73" s="203">
        <f>IF($J73="",#N/A,SUM(DR$4:DR73))</f>
        <v>0</v>
      </c>
      <c r="DT73" s="204" t="str">
        <f t="shared" si="164"/>
        <v/>
      </c>
      <c r="DU73" s="204">
        <f>IF($J73="",#N/A,SUM(DT$4:DT73))</f>
        <v>-2.8875364672150718</v>
      </c>
      <c r="DV73" s="205" t="str">
        <f t="shared" si="165"/>
        <v/>
      </c>
      <c r="DW73" s="205">
        <f>IF($J73="",#N/A,SUM(DV$4:DV73))</f>
        <v>-0.23245750740486493</v>
      </c>
      <c r="DX73" s="205">
        <f>IF($J73="",#N/A,SUM(DV$4:DV73,DT$4:DT73,DR$4:DR73))</f>
        <v>-3.1199939746199368</v>
      </c>
      <c r="DY73" s="200" t="str">
        <f t="shared" si="166"/>
        <v/>
      </c>
      <c r="DZ73" s="203">
        <f>IF($J73="",#N/A,SUM(DY$4:DY73))</f>
        <v>-1.4611133068588897</v>
      </c>
      <c r="EA73" s="204" t="str">
        <f t="shared" si="167"/>
        <v/>
      </c>
      <c r="EB73" s="204">
        <f>IF($J73="",#N/A,SUM(EA$4:EA73))</f>
        <v>-1.2459555278526064</v>
      </c>
      <c r="EC73" s="205" t="str">
        <f t="shared" si="168"/>
        <v/>
      </c>
      <c r="ED73" s="205">
        <f>IF($J73="",#N/A,SUM(EC$4:EC73))</f>
        <v>2.4844445330839244</v>
      </c>
      <c r="EE73" s="205">
        <f>IF($J73="",#N/A,SUM(EC$4:EC73,EA$4:EA73,DY$4:DY73))</f>
        <v>-0.22262430162757174</v>
      </c>
      <c r="EF73" s="200" t="str">
        <f t="shared" si="169"/>
        <v/>
      </c>
      <c r="EG73" s="203">
        <f>IF($J73="",#N/A,SUM(EF$4:EF73))</f>
        <v>0</v>
      </c>
      <c r="EH73" s="204" t="str">
        <f t="shared" si="170"/>
        <v/>
      </c>
      <c r="EI73" s="204">
        <f>IF($J73="",#N/A,SUM(EH$4:EH73))</f>
        <v>-2.0327391387894549</v>
      </c>
      <c r="EJ73" s="205" t="str">
        <f t="shared" si="171"/>
        <v/>
      </c>
      <c r="EK73" s="205">
        <f>IF($J73="",#N/A,SUM(EJ$4:EJ73))</f>
        <v>1.3436756383175479</v>
      </c>
      <c r="EL73" s="205">
        <f>IF($J73="",#N/A,SUM(EJ$4:EJ73,EH$4:EH73,EF$4:EF73))</f>
        <v>-0.6890635004719069</v>
      </c>
      <c r="EM73" s="200" t="str">
        <f t="shared" si="172"/>
        <v/>
      </c>
      <c r="EN73" s="203">
        <f>IF($J73="",#N/A,SUM(EM$4:EM73))</f>
        <v>0</v>
      </c>
      <c r="EO73" s="204" t="str">
        <f t="shared" si="173"/>
        <v/>
      </c>
      <c r="EP73" s="204">
        <f>IF($J73="",#N/A,SUM(EO$4:EO73))</f>
        <v>0.74379497102635161</v>
      </c>
      <c r="EQ73" s="205" t="str">
        <f t="shared" si="174"/>
        <v/>
      </c>
      <c r="ER73" s="205">
        <f>IF($J73="",#N/A,SUM(EQ$4:EQ73))</f>
        <v>0.4926597949853756</v>
      </c>
      <c r="ES73" s="205">
        <f>IF($J73="",#N/A,SUM(EQ$4:EQ73,EO$4:EO73,EM$4:EM73))</f>
        <v>1.2364547660117271</v>
      </c>
      <c r="ET73" s="200" t="str">
        <f t="shared" si="175"/>
        <v/>
      </c>
      <c r="EU73" s="203">
        <f>IF($J73="",#N/A,SUM(ET$4:ET73))</f>
        <v>0</v>
      </c>
      <c r="EV73" s="204" t="str">
        <f t="shared" si="176"/>
        <v/>
      </c>
      <c r="EW73" s="204">
        <f>IF($J73="",#N/A,SUM(EV$4:EV73))</f>
        <v>0</v>
      </c>
      <c r="EX73" s="205" t="str">
        <f t="shared" si="177"/>
        <v/>
      </c>
      <c r="EY73" s="205">
        <f>IF($J73="",#N/A,SUM(EX$4:EX73))</f>
        <v>0</v>
      </c>
      <c r="EZ73" s="205">
        <f>IF($J73="",#N/A,SUM(EX$4:EX73,EV$4:EV73,ET$4:ET73))</f>
        <v>0</v>
      </c>
      <c r="FA73" s="200" t="str">
        <f t="shared" si="178"/>
        <v/>
      </c>
      <c r="FB73" s="203">
        <f>IF($J73="",#N/A,SUM(FA$4:FA73))</f>
        <v>0</v>
      </c>
      <c r="FC73" s="204" t="str">
        <f t="shared" si="179"/>
        <v/>
      </c>
      <c r="FD73" s="204">
        <f>IF($J73="",#N/A,SUM(FC$4:FC73))</f>
        <v>1.3724148418491529</v>
      </c>
      <c r="FE73" s="205" t="str">
        <f t="shared" si="180"/>
        <v/>
      </c>
      <c r="FF73" s="205">
        <f>IF($J73="",#N/A,SUM(FE$4:FE73))</f>
        <v>-0.28811149078748233</v>
      </c>
      <c r="FG73" s="205">
        <f>IF($J73="",#N/A,SUM(FE$4:FE73,FC$4:FC73,FA$4:FA73))</f>
        <v>1.0843033510616706</v>
      </c>
      <c r="FH73" s="200" t="str">
        <f t="shared" si="181"/>
        <v/>
      </c>
      <c r="FI73" s="203">
        <f>IF($J73="",#N/A,SUM(FH$4:FH73))</f>
        <v>0</v>
      </c>
      <c r="FJ73" s="204" t="str">
        <f t="shared" si="182"/>
        <v/>
      </c>
      <c r="FK73" s="204">
        <f>IF($J73="",#N/A,SUM(FJ$4:FJ73))</f>
        <v>0</v>
      </c>
      <c r="FL73" s="205" t="str">
        <f t="shared" si="183"/>
        <v/>
      </c>
      <c r="FM73" s="205">
        <f>IF($J73="",#N/A,SUM(FL$4:FL73))</f>
        <v>0</v>
      </c>
      <c r="FN73" s="205">
        <f>IF($J73="",#N/A,SUM(FL$4:FL73,FJ$4:FJ73,FH$4:FH73))</f>
        <v>0</v>
      </c>
      <c r="FO73" s="200" t="str">
        <f t="shared" si="184"/>
        <v/>
      </c>
      <c r="FP73" s="203">
        <f>IF($J73="",#N/A,SUM(FO$4:FO73))</f>
        <v>0</v>
      </c>
      <c r="FQ73" s="204" t="str">
        <f t="shared" si="185"/>
        <v/>
      </c>
      <c r="FR73" s="204">
        <f>IF($J73="",#N/A,SUM(FQ$4:FQ73))</f>
        <v>0</v>
      </c>
      <c r="FS73" s="205" t="str">
        <f t="shared" si="186"/>
        <v/>
      </c>
      <c r="FT73" s="205">
        <f>IF($J73="",#N/A,SUM(FS$4:FS73))</f>
        <v>0</v>
      </c>
      <c r="FU73" s="205">
        <f>IF($J73="",#N/A,SUM(FS$4:FS73,FQ$4:FQ73,FO$4:FO73))</f>
        <v>0</v>
      </c>
      <c r="FV73" s="200" t="str">
        <f t="shared" si="187"/>
        <v/>
      </c>
      <c r="FW73" s="203">
        <f>IF($J73="",#N/A,SUM(FV$4:FV73))</f>
        <v>6.6834991831277585E-2</v>
      </c>
      <c r="FX73" s="204" t="str">
        <f t="shared" si="188"/>
        <v/>
      </c>
      <c r="FY73" s="204">
        <f>IF($J73="",#N/A,SUM(FX$4:FX73))</f>
        <v>0</v>
      </c>
      <c r="FZ73" s="205" t="str">
        <f t="shared" si="189"/>
        <v/>
      </c>
      <c r="GA73" s="205">
        <f>IF($J73="",#N/A,SUM(FZ$4:FZ73))</f>
        <v>-0.20104261551371039</v>
      </c>
      <c r="GB73" s="205">
        <f>IF($J73="",#N/A,SUM(FZ$4:FZ73,FX$4:FX73,FV$4:FV73))</f>
        <v>-0.1342076236824328</v>
      </c>
      <c r="GC73" s="200" t="str">
        <f t="shared" si="190"/>
        <v/>
      </c>
      <c r="GD73" s="203">
        <f>IF($J73="",#N/A,SUM(GC$4:GC73))</f>
        <v>0</v>
      </c>
      <c r="GE73" s="204" t="str">
        <f t="shared" si="191"/>
        <v/>
      </c>
      <c r="GF73" s="204">
        <f>IF($J73="",#N/A,SUM(GE$4:GE73))</f>
        <v>0</v>
      </c>
      <c r="GG73" s="205" t="str">
        <f t="shared" si="192"/>
        <v/>
      </c>
      <c r="GH73" s="205">
        <f>IF($J73="",#N/A,SUM(GG$4:GG73))</f>
        <v>-2.9368362277223206</v>
      </c>
      <c r="GI73" s="205">
        <f>IF($J73="",#N/A,SUM(GG$4:GG73,GE$4:GE73,GC$4:GC73))</f>
        <v>-2.9368362277223206</v>
      </c>
      <c r="GJ73" s="200" t="str">
        <f t="shared" si="193"/>
        <v/>
      </c>
      <c r="GK73" s="203">
        <f>IF($J73="",#N/A,SUM(GJ$4:GJ73))</f>
        <v>0</v>
      </c>
      <c r="GL73" s="204" t="str">
        <f t="shared" si="194"/>
        <v/>
      </c>
      <c r="GM73" s="204">
        <f>IF($J73="",#N/A,SUM(GL$4:GL73))</f>
        <v>-1.0674765946939027</v>
      </c>
      <c r="GN73" s="205" t="str">
        <f t="shared" si="195"/>
        <v/>
      </c>
      <c r="GO73" s="205">
        <f>IF($J73="",#N/A,SUM(GN$4:GN73))</f>
        <v>0</v>
      </c>
      <c r="GP73" s="205">
        <f>IF($J73="",#N/A,SUM(GN$4:GN73,GL$4:GL73,GJ$4:GJ73))</f>
        <v>-1.0674765946939027</v>
      </c>
      <c r="GS73" s="54">
        <f t="shared" si="214"/>
        <v>0.4905246481018824</v>
      </c>
      <c r="GT73" s="54">
        <f>IF(GS73="",NA(),SUM($GS$4:GS73))</f>
        <v>0.2029373660651892</v>
      </c>
      <c r="GU73" s="54">
        <f t="shared" si="196"/>
        <v>0.4905246481018824</v>
      </c>
      <c r="GV73" s="54">
        <f>IF(GU73="",NA(),SUM($GU$4:GU73))</f>
        <v>-0.90375366692572978</v>
      </c>
      <c r="GW73" s="54" t="str">
        <f t="shared" si="197"/>
        <v/>
      </c>
      <c r="GX73" s="54" t="e">
        <f>IF(GW73="",NA(),SUM($GW$4:GW73))</f>
        <v>#N/A</v>
      </c>
      <c r="GY73" s="54" t="str">
        <f t="shared" si="198"/>
        <v/>
      </c>
      <c r="GZ73" s="54" t="e">
        <f>IF(GY73="",NA(),SUM($GY$4:GY73))</f>
        <v>#N/A</v>
      </c>
      <c r="HA73" s="54" t="str">
        <f t="shared" si="199"/>
        <v/>
      </c>
      <c r="HB73" s="54" t="e">
        <f>IF(HA73="",NA(),SUM($HA$4:HA73))</f>
        <v>#N/A</v>
      </c>
      <c r="HC73" s="54" t="str">
        <f t="shared" si="200"/>
        <v/>
      </c>
      <c r="HD73" s="54" t="e">
        <f>IF(HC73="",NA(),SUM($HC$4:HC73))</f>
        <v>#N/A</v>
      </c>
      <c r="HE73" s="54" t="str">
        <f t="shared" si="201"/>
        <v/>
      </c>
      <c r="HF73" s="54" t="e">
        <f>IF(HE73="",NA(),SUM($HE$4:HE73))</f>
        <v>#N/A</v>
      </c>
      <c r="HG73" s="54" t="str">
        <f t="shared" si="202"/>
        <v/>
      </c>
      <c r="HH73" s="54" t="e">
        <f>IF(HG73="",NA(),SUM($HG$4:HG73))</f>
        <v>#N/A</v>
      </c>
      <c r="HI73" s="172" t="str">
        <f t="shared" si="215"/>
        <v/>
      </c>
      <c r="HJ73" s="172">
        <f>IF($J73="",#N/A,SUM(HI$4:$HI73))</f>
        <v>-0.74179424868879451</v>
      </c>
      <c r="HK73" s="54" t="str">
        <f t="shared" si="203"/>
        <v/>
      </c>
      <c r="HL73" s="54">
        <f>IF($J73="",#N/A,SUM($HK$4:HK73))</f>
        <v>-1.5436465459484796</v>
      </c>
      <c r="HM73" s="54">
        <f t="shared" si="204"/>
        <v>-8.4293055470923528E-2</v>
      </c>
      <c r="HN73" s="54">
        <f>IF($J73="",#N/A,SUM($HM$4:HM73))</f>
        <v>0.72020221657224703</v>
      </c>
      <c r="HO73" s="54" t="str">
        <f t="shared" si="205"/>
        <v/>
      </c>
      <c r="HP73" s="54">
        <f>IF($J73="",#N/A,SUM($HO$4:HO73))</f>
        <v>-0.64837295089680658</v>
      </c>
      <c r="HQ73" s="54" t="str">
        <f t="shared" si="206"/>
        <v/>
      </c>
      <c r="HR73" s="54">
        <f>IF($J73="",#N/A,SUM($HQ$4:HQ73))</f>
        <v>-5.6674893975949479</v>
      </c>
      <c r="HS73" s="54" t="str">
        <f t="shared" si="207"/>
        <v/>
      </c>
      <c r="HT73" s="54">
        <f>IF($J73="",#N/A,SUM($HS$4:HS73))</f>
        <v>5.5197538416683463</v>
      </c>
      <c r="HU73" s="65">
        <f t="shared" si="208"/>
        <v>0.40623159263095887</v>
      </c>
      <c r="HV73" s="65">
        <f>IF($J73="",#N/A,SUM(HU$4:$HU73))</f>
        <v>-1.956420905895961</v>
      </c>
    </row>
    <row r="74" spans="1:230" x14ac:dyDescent="0.25">
      <c r="A74" s="51" t="s">
        <v>1549</v>
      </c>
      <c r="B74" s="52" t="s">
        <v>4503</v>
      </c>
      <c r="C74" s="229">
        <f t="shared" si="109"/>
        <v>2</v>
      </c>
      <c r="D74" s="219" t="str">
        <f>_xlfn.XLOOKUP(A74,[1]SP500!$A$2:$A$502,[1]SP500!$D$2:$D$502,"N")</f>
        <v>Y</v>
      </c>
      <c r="E74" s="51" t="str">
        <f>IFERROR(_xlfn.XLOOKUP(A74,[1]SP500!$A$2:$A$655,[1]SP500!$B$2:$B$655),"")</f>
        <v>XHB</v>
      </c>
      <c r="F74" s="53">
        <v>45770</v>
      </c>
      <c r="G74" s="51" t="str">
        <f t="shared" si="110"/>
        <v>BMO</v>
      </c>
      <c r="H74" s="51" t="str">
        <f t="shared" si="111"/>
        <v>s</v>
      </c>
      <c r="I74" s="344">
        <v>61.43</v>
      </c>
      <c r="J74" s="124">
        <v>58.99</v>
      </c>
      <c r="K74" s="55">
        <f t="shared" si="112"/>
        <v>-3.972000651147644E-2</v>
      </c>
      <c r="L74" s="67">
        <f t="shared" si="113"/>
        <v>31.720000000000027</v>
      </c>
      <c r="M74" s="57">
        <f t="shared" si="114"/>
        <v>26.389999999999986</v>
      </c>
      <c r="N74" s="147">
        <f t="shared" si="115"/>
        <v>31.720000000000027</v>
      </c>
      <c r="O74" s="57">
        <f>IF(N74="",#N/A,SUM($N$4:N74))</f>
        <v>-133.87869563037475</v>
      </c>
      <c r="P74" s="65">
        <f t="shared" si="209"/>
        <v>0.66200010852460855</v>
      </c>
      <c r="Q74" s="172">
        <f>IF($N74="",#N/A,SUM($P$4:P74))</f>
        <v>1.0669262875170809</v>
      </c>
      <c r="R74" s="279">
        <f t="shared" si="116"/>
        <v>2.5659138546320701</v>
      </c>
      <c r="S74" s="51" t="str">
        <f t="shared" si="117"/>
        <v>Dwn</v>
      </c>
      <c r="T74" s="51" t="s">
        <v>4462</v>
      </c>
      <c r="U74" s="56">
        <f t="shared" si="118"/>
        <v>61.43</v>
      </c>
      <c r="V74" s="56" t="s">
        <v>4458</v>
      </c>
      <c r="W74" s="142">
        <v>13</v>
      </c>
      <c r="X74" s="145">
        <f t="shared" si="119"/>
        <v>798.59</v>
      </c>
      <c r="Y74" s="140">
        <f t="shared" si="120"/>
        <v>13</v>
      </c>
      <c r="Z74" s="123">
        <v>56.96</v>
      </c>
      <c r="AA74" s="102">
        <f t="shared" si="121"/>
        <v>58.110000000000014</v>
      </c>
      <c r="AB74" s="102">
        <f t="shared" si="122"/>
        <v>27.430000000000064</v>
      </c>
      <c r="AC74" s="123">
        <v>59.32</v>
      </c>
      <c r="AD74" s="155">
        <f t="shared" si="123"/>
        <v>27.430000000000064</v>
      </c>
      <c r="AE74" s="545">
        <f t="shared" si="124"/>
        <v>0.57246730696185499</v>
      </c>
      <c r="AF74" s="57">
        <f>IF($AC74="",#N/A,SUM(AD$4:AD74))</f>
        <v>-248.9558202550312</v>
      </c>
      <c r="AG74" s="102">
        <f t="shared" si="125"/>
        <v>-4.2899999999999636</v>
      </c>
      <c r="AH74" s="56" t="s">
        <v>2507</v>
      </c>
      <c r="AI74" s="65">
        <f t="shared" si="126"/>
        <v>1.2127624938954911</v>
      </c>
      <c r="AJ74" s="350">
        <f>IF(AI74="",#N/A,SUM($AI$4:AI74))</f>
        <v>-1.4989875671149895</v>
      </c>
      <c r="AK74" s="57">
        <f t="shared" si="127"/>
        <v>58.110000000000014</v>
      </c>
      <c r="AL74" s="349">
        <f>IF(AI74="",#N/A,IF(AH74="Skip",SUM($AK$4:AK74),SUM($AK$4:AK74)))</f>
        <v>-307.45999999999935</v>
      </c>
      <c r="AM74" s="65">
        <f t="shared" si="210"/>
        <v>0.57246730696185499</v>
      </c>
      <c r="AN74" s="209"/>
      <c r="AO74" s="65" t="str">
        <f t="shared" si="128"/>
        <v/>
      </c>
      <c r="AP74" s="65">
        <f>IF($AC74="",#N/A,SUM(AO$4:AO74))</f>
        <v>3.9765966217876039</v>
      </c>
      <c r="AQ74" s="65" t="str">
        <f t="shared" si="129"/>
        <v/>
      </c>
      <c r="AR74" s="65">
        <f>IF($AC74="",#N/A,SUM(AQ$4:AQ74))</f>
        <v>-0.83192440125028944</v>
      </c>
      <c r="AS74" s="65">
        <f t="shared" si="130"/>
        <v>0.57246730696185499</v>
      </c>
      <c r="AT74" s="65">
        <f>IF($AC74="",#N/A,SUM(AS$4:AS74))</f>
        <v>-4.5286258194714231</v>
      </c>
      <c r="AU74" s="57" t="str">
        <f t="shared" si="211"/>
        <v/>
      </c>
      <c r="AV74" s="57">
        <f>IF($AC74="",#N/A,SUM(AU$4:AU74))</f>
        <v>174.54255264778453</v>
      </c>
      <c r="AW74" s="57" t="str">
        <f t="shared" si="212"/>
        <v/>
      </c>
      <c r="AX74" s="57">
        <f>IF($AC74="",#N/A,SUM(AW$4:AW74))</f>
        <v>-54.660000000000196</v>
      </c>
      <c r="AY74" s="57">
        <f t="shared" si="213"/>
        <v>27.430000000000064</v>
      </c>
      <c r="AZ74" s="57">
        <f>IF($AC74="",#N/A,SUM(AY$4:AY74))</f>
        <v>-368.83837290281554</v>
      </c>
      <c r="BA74" s="57">
        <f>IF(AD74="",#N/A,SUM($AD$4:AD74))</f>
        <v>-248.9558202550312</v>
      </c>
      <c r="BC74" s="51" t="str">
        <f t="shared" si="131"/>
        <v/>
      </c>
      <c r="BD74" s="51" t="str">
        <f t="shared" si="132"/>
        <v/>
      </c>
      <c r="BE74" s="51" t="str">
        <f t="shared" si="133"/>
        <v/>
      </c>
      <c r="BF74" s="51" t="str">
        <f t="shared" si="134"/>
        <v>Short</v>
      </c>
      <c r="BG74" s="51">
        <f t="shared" si="135"/>
        <v>1</v>
      </c>
      <c r="BH74" s="51" t="str">
        <f t="shared" si="136"/>
        <v/>
      </c>
      <c r="BI74" s="51" t="str">
        <f t="shared" si="137"/>
        <v/>
      </c>
      <c r="BK74" s="65">
        <f t="shared" si="108"/>
        <v>-4.2312030586750253E-2</v>
      </c>
      <c r="BL74" s="65">
        <f t="shared" si="107"/>
        <v>0.26696451295589591</v>
      </c>
      <c r="BM74" s="65">
        <f>IFERROR(Q74/COUNTA($J$4:J74),#N/A)</f>
        <v>1.502713081009973E-2</v>
      </c>
      <c r="BO74" s="489" t="e">
        <f>IF(J74="",#N/A,IF(S74="SW",(COUNTIFS(K$4:$K74,"&gt;0",S$4:$S74,"SW")/COUNTIF(S$4:$S74,"SW")),#N/A))</f>
        <v>#N/A</v>
      </c>
      <c r="BP74" s="489">
        <f>IF($J74="",#N/A,IF($S74="DWN",(COUNTIFS($K$4:$K74,"&lt;0",$S$4:$S74,"DWN")/COUNTIF($S$4:$S74,"DWN")),#N/A))</f>
        <v>0.51851851851851849</v>
      </c>
      <c r="BQ74" s="489" t="e">
        <f>IF($J74="",#N/A,IF($S74="UP",(COUNTIFS($K$4:$K74,"&gt;0",$S$4:$S74,"UP")/COUNTIF($S$4:$S74,"UP")),#N/A))</f>
        <v>#N/A</v>
      </c>
      <c r="BR74" s="489">
        <f>IF(J74="",#N/A,COUNTIF($K$4:K74,"&gt;0")/COUNT($J$4:J74))</f>
        <v>0.53521126760563376</v>
      </c>
      <c r="BS74" s="65" t="str">
        <f t="shared" si="138"/>
        <v/>
      </c>
      <c r="BT74" s="65" t="str">
        <f t="shared" si="139"/>
        <v/>
      </c>
      <c r="BU74" s="65">
        <f t="shared" si="140"/>
        <v>0.66200010852460855</v>
      </c>
      <c r="BV74" s="65" t="str">
        <f t="shared" si="141"/>
        <v/>
      </c>
      <c r="BW74" s="127" t="str">
        <f t="shared" si="142"/>
        <v/>
      </c>
      <c r="BX74" s="127">
        <f>IF($J74="",#N/A,SUM($BW$4:BW74))</f>
        <v>-64.420000000000186</v>
      </c>
      <c r="BY74" s="130">
        <f t="shared" si="143"/>
        <v>31.720000000000027</v>
      </c>
      <c r="BZ74" s="130">
        <f>IF($J74="",#N/A,SUM($BY$4:BY74))</f>
        <v>-198.36871953149523</v>
      </c>
      <c r="CA74" s="132" t="str">
        <f t="shared" si="144"/>
        <v/>
      </c>
      <c r="CB74" s="132">
        <f>IF($J74="",#N/A,SUM($CA$4:CA74))</f>
        <v>128.91002390112067</v>
      </c>
      <c r="CC74" s="197" t="str">
        <f t="shared" si="145"/>
        <v/>
      </c>
      <c r="CD74" s="197">
        <f>IF($J74="",#N/A,SUM($CC$4:CC74))</f>
        <v>-0.90375366692572978</v>
      </c>
      <c r="CE74" s="198">
        <f t="shared" si="146"/>
        <v>0.66200010852460855</v>
      </c>
      <c r="CF74" s="198">
        <f>IF($J74="",#N/A,SUM($CE$4:CE74))</f>
        <v>-2.1536522232713935</v>
      </c>
      <c r="CG74" s="199" t="str">
        <f t="shared" si="147"/>
        <v/>
      </c>
      <c r="CH74" s="199">
        <f>IF($J74="",#N/A,SUM($CG$4:CG74))</f>
        <v>4.1243321777142077</v>
      </c>
      <c r="CI74" s="200" t="str">
        <f t="shared" si="148"/>
        <v/>
      </c>
      <c r="CJ74" s="206">
        <f>IF($J74="",#N/A,SUM(CI$4:CI74))</f>
        <v>0</v>
      </c>
      <c r="CK74" s="207" t="str">
        <f t="shared" si="149"/>
        <v/>
      </c>
      <c r="CL74" s="207">
        <f>IF($J74="",#N/A,SUM(CK$4:CK74))</f>
        <v>1.8934431343190481</v>
      </c>
      <c r="CM74" s="208" t="str">
        <f t="shared" si="150"/>
        <v/>
      </c>
      <c r="CN74" s="208">
        <f>IF($J74="",#N/A,SUM(CM$4:CM74))</f>
        <v>3.5437224367841633</v>
      </c>
      <c r="CO74" s="208">
        <f>IF($J74="",#N/A,SUM(CM$4:CM74,CK$4:CK74,CI$4:CI74))</f>
        <v>5.4371655711032112</v>
      </c>
      <c r="CP74" s="200" t="str">
        <f t="shared" si="151"/>
        <v/>
      </c>
      <c r="CQ74" s="206">
        <f>IF($J74="",#N/A,SUM(CP$4:CP74))</f>
        <v>0</v>
      </c>
      <c r="CR74" s="207" t="str">
        <f t="shared" si="152"/>
        <v/>
      </c>
      <c r="CS74" s="207">
        <f>IF($J74="",#N/A,SUM(CR$4:CR74))</f>
        <v>0</v>
      </c>
      <c r="CT74" s="208" t="str">
        <f t="shared" si="153"/>
        <v/>
      </c>
      <c r="CU74" s="208">
        <f>IF($J74="",#N/A,SUM(CT$4:CT74))</f>
        <v>0</v>
      </c>
      <c r="CV74" s="208">
        <f>IF($J74="",#N/A,SUM(CT$4:CT74,CR$4:CR74,CP$4:CP74))</f>
        <v>0</v>
      </c>
      <c r="CW74" s="200" t="str">
        <f t="shared" si="154"/>
        <v/>
      </c>
      <c r="CX74" s="206">
        <f>IF($J74="",#N/A,SUM(CW$4:CW74))</f>
        <v>0</v>
      </c>
      <c r="CY74" s="207" t="str">
        <f t="shared" si="155"/>
        <v/>
      </c>
      <c r="CZ74" s="207">
        <f>IF($J74="",#N/A,SUM(CY$4:CY74))</f>
        <v>-0.63271328921481373</v>
      </c>
      <c r="DA74" s="208" t="str">
        <f t="shared" si="156"/>
        <v/>
      </c>
      <c r="DB74" s="208">
        <f>IF($J74="",#N/A,SUM(DA$4:DA74))</f>
        <v>1.1829222170861893</v>
      </c>
      <c r="DC74" s="208">
        <f>IF($J74="",#N/A,SUM(DA$4:DA74,CY$4:CY74,CW$4:CW74))</f>
        <v>0.55020892787137554</v>
      </c>
      <c r="DD74" s="200" t="str">
        <f t="shared" si="157"/>
        <v/>
      </c>
      <c r="DE74" s="206">
        <f>IF($J74="",#N/A,SUM(DD$4:DD74))</f>
        <v>0.4905246481018824</v>
      </c>
      <c r="DF74" s="207" t="str">
        <f t="shared" si="158"/>
        <v/>
      </c>
      <c r="DG74" s="207">
        <f>IF($J74="",#N/A,SUM(DF$4:DF74))</f>
        <v>0.6788440567066546</v>
      </c>
      <c r="DH74" s="208" t="str">
        <f t="shared" si="159"/>
        <v/>
      </c>
      <c r="DI74" s="208">
        <f>IF($J74="",#N/A,SUM(DH$4:DH74))</f>
        <v>-0.83172699364602887</v>
      </c>
      <c r="DJ74" s="208">
        <f>IF($J74="",#N/A,SUM(DH$4:DH74,DF$4:DF74,DD$4:DD74))</f>
        <v>0.33764171116250813</v>
      </c>
      <c r="DK74" s="200" t="str">
        <f t="shared" si="160"/>
        <v/>
      </c>
      <c r="DL74" s="206">
        <f>IF($J74="",#N/A,SUM(DK$4:DK74))</f>
        <v>0</v>
      </c>
      <c r="DM74" s="207" t="str">
        <f t="shared" si="161"/>
        <v/>
      </c>
      <c r="DN74" s="207">
        <f>IF($J74="",#N/A,SUM(DM$4:DM74))</f>
        <v>0.36227168206863897</v>
      </c>
      <c r="DO74" s="208" t="str">
        <f t="shared" si="162"/>
        <v/>
      </c>
      <c r="DP74" s="208">
        <f>IF($J74="",#N/A,SUM(DO$4:DO74))</f>
        <v>-0.43291760746858676</v>
      </c>
      <c r="DQ74" s="208">
        <f>IF($J74="",#N/A,SUM(DO$4:DO74,DM$4:DM74,DK$4:DK74))</f>
        <v>-7.0645925399947795E-2</v>
      </c>
      <c r="DR74" s="200" t="str">
        <f t="shared" si="163"/>
        <v/>
      </c>
      <c r="DS74" s="206">
        <f>IF($J74="",#N/A,SUM(DR$4:DR74))</f>
        <v>0</v>
      </c>
      <c r="DT74" s="207" t="str">
        <f t="shared" si="164"/>
        <v/>
      </c>
      <c r="DU74" s="207">
        <f>IF($J74="",#N/A,SUM(DT$4:DT74))</f>
        <v>-2.8875364672150718</v>
      </c>
      <c r="DV74" s="208" t="str">
        <f t="shared" si="165"/>
        <v/>
      </c>
      <c r="DW74" s="208">
        <f>IF($J74="",#N/A,SUM(DV$4:DV74))</f>
        <v>-0.23245750740486493</v>
      </c>
      <c r="DX74" s="208">
        <f>IF($J74="",#N/A,SUM(DV$4:DV74,DT$4:DT74,DR$4:DR74))</f>
        <v>-3.1199939746199368</v>
      </c>
      <c r="DY74" s="200" t="str">
        <f t="shared" si="166"/>
        <v/>
      </c>
      <c r="DZ74" s="206">
        <f>IF($J74="",#N/A,SUM(DY$4:DY74))</f>
        <v>-1.4611133068588897</v>
      </c>
      <c r="EA74" s="207" t="str">
        <f t="shared" si="167"/>
        <v/>
      </c>
      <c r="EB74" s="207">
        <f>IF($J74="",#N/A,SUM(EA$4:EA74))</f>
        <v>-1.2459555278526064</v>
      </c>
      <c r="EC74" s="208" t="str">
        <f t="shared" si="168"/>
        <v/>
      </c>
      <c r="ED74" s="208">
        <f>IF($J74="",#N/A,SUM(EC$4:EC74))</f>
        <v>2.4844445330839244</v>
      </c>
      <c r="EE74" s="208">
        <f>IF($J74="",#N/A,SUM(EC$4:EC74,EA$4:EA74,DY$4:DY74))</f>
        <v>-0.22262430162757174</v>
      </c>
      <c r="EF74" s="200" t="str">
        <f t="shared" si="169"/>
        <v/>
      </c>
      <c r="EG74" s="206">
        <f>IF($J74="",#N/A,SUM(EF$4:EF74))</f>
        <v>0</v>
      </c>
      <c r="EH74" s="207" t="str">
        <f t="shared" si="170"/>
        <v/>
      </c>
      <c r="EI74" s="207">
        <f>IF($J74="",#N/A,SUM(EH$4:EH74))</f>
        <v>-2.0327391387894549</v>
      </c>
      <c r="EJ74" s="208" t="str">
        <f t="shared" si="171"/>
        <v/>
      </c>
      <c r="EK74" s="208">
        <f>IF($J74="",#N/A,SUM(EJ$4:EJ74))</f>
        <v>1.3436756383175479</v>
      </c>
      <c r="EL74" s="208">
        <f>IF($J74="",#N/A,SUM(EJ$4:EJ74,EH$4:EH74,EF$4:EF74))</f>
        <v>-0.6890635004719069</v>
      </c>
      <c r="EM74" s="200" t="str">
        <f t="shared" si="172"/>
        <v/>
      </c>
      <c r="EN74" s="206">
        <f>IF($J74="",#N/A,SUM(EM$4:EM74))</f>
        <v>0</v>
      </c>
      <c r="EO74" s="207" t="str">
        <f t="shared" si="173"/>
        <v/>
      </c>
      <c r="EP74" s="207">
        <f>IF($J74="",#N/A,SUM(EO$4:EO74))</f>
        <v>0.74379497102635161</v>
      </c>
      <c r="EQ74" s="208" t="str">
        <f t="shared" si="174"/>
        <v/>
      </c>
      <c r="ER74" s="208">
        <f>IF($J74="",#N/A,SUM(EQ$4:EQ74))</f>
        <v>0.4926597949853756</v>
      </c>
      <c r="ES74" s="208">
        <f>IF($J74="",#N/A,SUM(EQ$4:EQ74,EO$4:EO74,EM$4:EM74))</f>
        <v>1.2364547660117271</v>
      </c>
      <c r="ET74" s="200" t="str">
        <f t="shared" si="175"/>
        <v/>
      </c>
      <c r="EU74" s="206">
        <f>IF($J74="",#N/A,SUM(ET$4:ET74))</f>
        <v>0</v>
      </c>
      <c r="EV74" s="207" t="str">
        <f t="shared" si="176"/>
        <v/>
      </c>
      <c r="EW74" s="207">
        <f>IF($J74="",#N/A,SUM(EV$4:EV74))</f>
        <v>0</v>
      </c>
      <c r="EX74" s="208" t="str">
        <f t="shared" si="177"/>
        <v/>
      </c>
      <c r="EY74" s="208">
        <f>IF($J74="",#N/A,SUM(EX$4:EX74))</f>
        <v>0</v>
      </c>
      <c r="EZ74" s="208">
        <f>IF($J74="",#N/A,SUM(EX$4:EX74,EV$4:EV74,ET$4:ET74))</f>
        <v>0</v>
      </c>
      <c r="FA74" s="200" t="str">
        <f t="shared" si="178"/>
        <v/>
      </c>
      <c r="FB74" s="206">
        <f>IF($J74="",#N/A,SUM(FA$4:FA74))</f>
        <v>0</v>
      </c>
      <c r="FC74" s="207" t="str">
        <f t="shared" si="179"/>
        <v/>
      </c>
      <c r="FD74" s="207">
        <f>IF($J74="",#N/A,SUM(FC$4:FC74))</f>
        <v>1.3724148418491529</v>
      </c>
      <c r="FE74" s="208" t="str">
        <f t="shared" si="180"/>
        <v/>
      </c>
      <c r="FF74" s="208">
        <f>IF($J74="",#N/A,SUM(FE$4:FE74))</f>
        <v>-0.28811149078748233</v>
      </c>
      <c r="FG74" s="208">
        <f>IF($J74="",#N/A,SUM(FE$4:FE74,FC$4:FC74,FA$4:FA74))</f>
        <v>1.0843033510616706</v>
      </c>
      <c r="FH74" s="200" t="str">
        <f t="shared" si="181"/>
        <v/>
      </c>
      <c r="FI74" s="206">
        <f>IF($J74="",#N/A,SUM(FH$4:FH74))</f>
        <v>0</v>
      </c>
      <c r="FJ74" s="207" t="str">
        <f t="shared" si="182"/>
        <v/>
      </c>
      <c r="FK74" s="207">
        <f>IF($J74="",#N/A,SUM(FJ$4:FJ74))</f>
        <v>0</v>
      </c>
      <c r="FL74" s="208" t="str">
        <f t="shared" si="183"/>
        <v/>
      </c>
      <c r="FM74" s="208">
        <f>IF($J74="",#N/A,SUM(FL$4:FL74))</f>
        <v>0</v>
      </c>
      <c r="FN74" s="208">
        <f>IF($J74="",#N/A,SUM(FL$4:FL74,FJ$4:FJ74,FH$4:FH74))</f>
        <v>0</v>
      </c>
      <c r="FO74" s="200" t="str">
        <f t="shared" si="184"/>
        <v/>
      </c>
      <c r="FP74" s="206">
        <f>IF($J74="",#N/A,SUM(FO$4:FO74))</f>
        <v>0</v>
      </c>
      <c r="FQ74" s="207" t="str">
        <f t="shared" si="185"/>
        <v/>
      </c>
      <c r="FR74" s="207">
        <f>IF($J74="",#N/A,SUM(FQ$4:FQ74))</f>
        <v>0</v>
      </c>
      <c r="FS74" s="208" t="str">
        <f t="shared" si="186"/>
        <v/>
      </c>
      <c r="FT74" s="208">
        <f>IF($J74="",#N/A,SUM(FS$4:FS74))</f>
        <v>0</v>
      </c>
      <c r="FU74" s="208">
        <f>IF($J74="",#N/A,SUM(FS$4:FS74,FQ$4:FQ74,FO$4:FO74))</f>
        <v>0</v>
      </c>
      <c r="FV74" s="200" t="str">
        <f t="shared" si="187"/>
        <v/>
      </c>
      <c r="FW74" s="206">
        <f>IF($J74="",#N/A,SUM(FV$4:FV74))</f>
        <v>6.6834991831277585E-2</v>
      </c>
      <c r="FX74" s="207" t="str">
        <f t="shared" si="188"/>
        <v/>
      </c>
      <c r="FY74" s="207">
        <f>IF($J74="",#N/A,SUM(FX$4:FX74))</f>
        <v>0</v>
      </c>
      <c r="FZ74" s="208" t="str">
        <f t="shared" si="189"/>
        <v/>
      </c>
      <c r="GA74" s="208">
        <f>IF($J74="",#N/A,SUM(FZ$4:FZ74))</f>
        <v>-0.20104261551371039</v>
      </c>
      <c r="GB74" s="208">
        <f>IF($J74="",#N/A,SUM(FZ$4:FZ74,FX$4:FX74,FV$4:FV74))</f>
        <v>-0.1342076236824328</v>
      </c>
      <c r="GC74" s="200" t="str">
        <f t="shared" si="190"/>
        <v/>
      </c>
      <c r="GD74" s="206">
        <f>IF($J74="",#N/A,SUM(GC$4:GC74))</f>
        <v>0</v>
      </c>
      <c r="GE74" s="207" t="str">
        <f t="shared" si="191"/>
        <v/>
      </c>
      <c r="GF74" s="207">
        <f>IF($J74="",#N/A,SUM(GE$4:GE74))</f>
        <v>0</v>
      </c>
      <c r="GG74" s="208" t="str">
        <f t="shared" si="192"/>
        <v/>
      </c>
      <c r="GH74" s="208">
        <f>IF($J74="",#N/A,SUM(GG$4:GG74))</f>
        <v>-2.9368362277223206</v>
      </c>
      <c r="GI74" s="208">
        <f>IF($J74="",#N/A,SUM(GG$4:GG74,GE$4:GE74,GC$4:GC74))</f>
        <v>-2.9368362277223206</v>
      </c>
      <c r="GJ74" s="200" t="str">
        <f t="shared" si="193"/>
        <v/>
      </c>
      <c r="GK74" s="206">
        <f>IF($J74="",#N/A,SUM(GJ$4:GJ74))</f>
        <v>0</v>
      </c>
      <c r="GL74" s="207">
        <f t="shared" si="194"/>
        <v>0.66200010852460855</v>
      </c>
      <c r="GM74" s="207">
        <f>IF($J74="",#N/A,SUM(GL$4:GL74))</f>
        <v>-0.4054764861692941</v>
      </c>
      <c r="GN74" s="208" t="str">
        <f t="shared" si="195"/>
        <v/>
      </c>
      <c r="GO74" s="208">
        <f>IF($J74="",#N/A,SUM(GN$4:GN74))</f>
        <v>0</v>
      </c>
      <c r="GP74" s="208">
        <f>IF($J74="",#N/A,SUM(GN$4:GN74,GL$4:GL74,GJ$4:GJ74))</f>
        <v>-0.4054764861692941</v>
      </c>
      <c r="GS74" s="54">
        <f t="shared" si="214"/>
        <v>0.66200010852460855</v>
      </c>
      <c r="GT74" s="54">
        <f>IF(GS74="",NA(),SUM($GS$4:GS74))</f>
        <v>0.86493747458979775</v>
      </c>
      <c r="GU74" s="54" t="str">
        <f t="shared" si="196"/>
        <v/>
      </c>
      <c r="GV74" s="54" t="e">
        <f>IF(GU74="",NA(),SUM($GU$4:GU74))</f>
        <v>#N/A</v>
      </c>
      <c r="GW74" s="54" t="str">
        <f t="shared" si="197"/>
        <v/>
      </c>
      <c r="GX74" s="54" t="e">
        <f>IF(GW74="",NA(),SUM($GW$4:GW74))</f>
        <v>#N/A</v>
      </c>
      <c r="GY74" s="54">
        <f t="shared" si="198"/>
        <v>0.66200010852460855</v>
      </c>
      <c r="GZ74" s="54">
        <f>IF(GY74="",NA(),SUM($GY$4:GY74))</f>
        <v>-2.1536522232713935</v>
      </c>
      <c r="HA74" s="54" t="str">
        <f t="shared" si="199"/>
        <v/>
      </c>
      <c r="HB74" s="54" t="e">
        <f>IF(HA74="",NA(),SUM($HA$4:HA74))</f>
        <v>#N/A</v>
      </c>
      <c r="HC74" s="54" t="str">
        <f t="shared" si="200"/>
        <v/>
      </c>
      <c r="HD74" s="54" t="e">
        <f>IF(HC74="",NA(),SUM($HC$4:HC74))</f>
        <v>#N/A</v>
      </c>
      <c r="HE74" s="54" t="str">
        <f t="shared" si="201"/>
        <v/>
      </c>
      <c r="HF74" s="54" t="e">
        <f>IF(HE74="",NA(),SUM($HE$4:HE74))</f>
        <v>#N/A</v>
      </c>
      <c r="HG74" s="54" t="str">
        <f t="shared" si="202"/>
        <v/>
      </c>
      <c r="HH74" s="54" t="e">
        <f>IF(HG74="",NA(),SUM($HG$4:HG74))</f>
        <v>#N/A</v>
      </c>
      <c r="HI74" s="172">
        <f t="shared" si="215"/>
        <v>-8.9532801562753561E-2</v>
      </c>
      <c r="HJ74" s="172">
        <f>IF($J74="",#N/A,SUM(HI$4:$HI74))</f>
        <v>-0.83132705025154807</v>
      </c>
      <c r="HK74" s="54" t="str">
        <f t="shared" si="203"/>
        <v/>
      </c>
      <c r="HL74" s="54">
        <f>IF($J74="",#N/A,SUM($HK$4:HK74))</f>
        <v>-1.5436465459484796</v>
      </c>
      <c r="HM74" s="54" t="str">
        <f t="shared" si="204"/>
        <v/>
      </c>
      <c r="HN74" s="54">
        <f>IF($J74="",#N/A,SUM($HM$4:HM74))</f>
        <v>0.72020221657224703</v>
      </c>
      <c r="HO74" s="54" t="str">
        <f t="shared" si="205"/>
        <v/>
      </c>
      <c r="HP74" s="54">
        <f>IF($J74="",#N/A,SUM($HO$4:HO74))</f>
        <v>-0.64837295089680658</v>
      </c>
      <c r="HQ74" s="54" t="str">
        <f t="shared" si="206"/>
        <v/>
      </c>
      <c r="HR74" s="54">
        <f>IF($J74="",#N/A,SUM($HQ$4:HQ74))</f>
        <v>-5.6674893975949479</v>
      </c>
      <c r="HS74" s="54" t="str">
        <f t="shared" si="207"/>
        <v/>
      </c>
      <c r="HT74" s="54">
        <f>IF($J74="",#N/A,SUM($HS$4:HS74))</f>
        <v>5.5197538416683463</v>
      </c>
      <c r="HU74" s="65">
        <f t="shared" si="208"/>
        <v>0.57246730696185499</v>
      </c>
      <c r="HV74" s="65">
        <f>IF($J74="",#N/A,SUM(HU$4:$HU74))</f>
        <v>-1.3839535989341059</v>
      </c>
    </row>
    <row r="75" spans="1:230" x14ac:dyDescent="0.25">
      <c r="A75" s="51" t="s">
        <v>1360</v>
      </c>
      <c r="B75" s="52" t="s">
        <v>4503</v>
      </c>
      <c r="C75" s="229">
        <f t="shared" si="109"/>
        <v>1</v>
      </c>
      <c r="D75" s="219" t="str">
        <f>_xlfn.XLOOKUP(A75,[1]SP500!$A$2:$A$502,[1]SP500!$D$2:$D$502,"N")</f>
        <v>Y</v>
      </c>
      <c r="E75" s="51" t="str">
        <f>IFERROR(_xlfn.XLOOKUP(A75,[1]SP500!$A$2:$A$655,[1]SP500!$B$2:$B$655),"")</f>
        <v>XLF</v>
      </c>
      <c r="F75" s="53">
        <v>45770</v>
      </c>
      <c r="G75" s="51" t="str">
        <f t="shared" si="110"/>
        <v>BMO</v>
      </c>
      <c r="H75" s="51" t="str">
        <f t="shared" si="111"/>
        <v>s</v>
      </c>
      <c r="I75" s="344">
        <v>265.56</v>
      </c>
      <c r="J75" s="124">
        <v>256.64499999999998</v>
      </c>
      <c r="K75" s="55">
        <f t="shared" si="112"/>
        <v>-3.3570567856604984E-2</v>
      </c>
      <c r="L75" s="67">
        <f t="shared" si="113"/>
        <v>-26.745000000000118</v>
      </c>
      <c r="M75" s="57">
        <f t="shared" si="114"/>
        <v>-0.3149999999998272</v>
      </c>
      <c r="N75" s="102">
        <f t="shared" si="115"/>
        <v>-26.745000000000118</v>
      </c>
      <c r="O75" s="57">
        <f>IF(N75="",#N/A,SUM($N$4:N75))</f>
        <v>-160.62369563037487</v>
      </c>
      <c r="P75" s="65">
        <f t="shared" si="209"/>
        <v>-0.55950946427675097</v>
      </c>
      <c r="Q75" s="172">
        <f>IF($N75="",#N/A,SUM($P$4:P75))</f>
        <v>0.50741682324032988</v>
      </c>
      <c r="R75" s="279">
        <f t="shared" si="116"/>
        <v>2.5725037025007214</v>
      </c>
      <c r="S75" s="51" t="str">
        <f t="shared" si="117"/>
        <v>Up</v>
      </c>
      <c r="T75" s="51" t="s">
        <v>4461</v>
      </c>
      <c r="U75" s="56">
        <f t="shared" si="118"/>
        <v>265.56</v>
      </c>
      <c r="V75" s="56" t="s">
        <v>4460</v>
      </c>
      <c r="W75" s="142">
        <v>3</v>
      </c>
      <c r="X75" s="145">
        <f t="shared" si="119"/>
        <v>796.68000000000006</v>
      </c>
      <c r="Y75" s="140">
        <f t="shared" si="120"/>
        <v>3</v>
      </c>
      <c r="Z75" s="123">
        <v>256.54000000000002</v>
      </c>
      <c r="AA75" s="102">
        <f t="shared" si="121"/>
        <v>-27.059999999999945</v>
      </c>
      <c r="AB75" s="102">
        <f t="shared" si="122"/>
        <v>-12.240000000000009</v>
      </c>
      <c r="AC75" s="124">
        <v>261.48</v>
      </c>
      <c r="AD75" s="155">
        <f t="shared" si="123"/>
        <v>-12.240000000000009</v>
      </c>
      <c r="AE75" s="545">
        <f t="shared" si="124"/>
        <v>-0.25606266003916273</v>
      </c>
      <c r="AF75" s="57">
        <f>IF($AC75="",#N/A,SUM(AD$4:AD75))</f>
        <v>-261.19582025503121</v>
      </c>
      <c r="AG75" s="102">
        <f t="shared" si="125"/>
        <v>14.505000000000109</v>
      </c>
      <c r="AH75" s="56" t="s">
        <v>2507</v>
      </c>
      <c r="AI75" s="65">
        <f t="shared" si="126"/>
        <v>-0.56609931214540221</v>
      </c>
      <c r="AJ75" s="350">
        <f>IF(AI75="",#N/A,SUM($AI$4:AI75))</f>
        <v>-2.0650868792603916</v>
      </c>
      <c r="AK75" s="57">
        <f t="shared" si="127"/>
        <v>-27.059999999999945</v>
      </c>
      <c r="AL75" s="349">
        <f>IF(AI75="",#N/A,IF(AH75="Skip",SUM($AK$4:AK75),SUM($AK$4:AK75)))</f>
        <v>-334.5199999999993</v>
      </c>
      <c r="AM75" s="65">
        <f t="shared" si="210"/>
        <v>-0.25606266003916273</v>
      </c>
      <c r="AN75" s="209"/>
      <c r="AO75" s="65" t="str">
        <f t="shared" si="128"/>
        <v/>
      </c>
      <c r="AP75" s="65">
        <f>IF($AC75="",#N/A,SUM(AO$4:AO75))</f>
        <v>3.9765966217876039</v>
      </c>
      <c r="AQ75" s="65">
        <f t="shared" si="129"/>
        <v>-0.25606266003916273</v>
      </c>
      <c r="AR75" s="65">
        <f>IF($AC75="",#N/A,SUM(AQ$4:AQ75))</f>
        <v>-1.0879870612894522</v>
      </c>
      <c r="AS75" s="65" t="str">
        <f t="shared" si="130"/>
        <v/>
      </c>
      <c r="AT75" s="65">
        <f>IF($AC75="",#N/A,SUM(AS$4:AS75))</f>
        <v>-4.5286258194714231</v>
      </c>
      <c r="AU75" s="57" t="str">
        <f t="shared" si="211"/>
        <v/>
      </c>
      <c r="AV75" s="57">
        <f>IF($AC75="",#N/A,SUM(AU$4:AU75))</f>
        <v>174.54255264778453</v>
      </c>
      <c r="AW75" s="57">
        <f t="shared" si="212"/>
        <v>-12.240000000000009</v>
      </c>
      <c r="AX75" s="57">
        <f>IF($AC75="",#N/A,SUM(AW$4:AW75))</f>
        <v>-66.900000000000205</v>
      </c>
      <c r="AY75" s="57" t="str">
        <f t="shared" si="213"/>
        <v/>
      </c>
      <c r="AZ75" s="57">
        <f>IF($AC75="",#N/A,SUM(AY$4:AY75))</f>
        <v>-368.83837290281554</v>
      </c>
      <c r="BA75" s="57">
        <f>IF(AD75="",#N/A,SUM($AD$4:AD75))</f>
        <v>-261.19582025503121</v>
      </c>
      <c r="BC75" s="51" t="str">
        <f t="shared" si="131"/>
        <v/>
      </c>
      <c r="BD75" s="51" t="str">
        <f t="shared" si="132"/>
        <v/>
      </c>
      <c r="BE75" s="51" t="str">
        <f t="shared" si="133"/>
        <v/>
      </c>
      <c r="BF75" s="51" t="str">
        <f t="shared" si="134"/>
        <v>Long</v>
      </c>
      <c r="BG75" s="51" t="str">
        <f t="shared" si="135"/>
        <v/>
      </c>
      <c r="BH75" s="51">
        <f t="shared" si="136"/>
        <v>1</v>
      </c>
      <c r="BI75" s="51" t="str">
        <f t="shared" si="137"/>
        <v/>
      </c>
      <c r="BK75" s="65">
        <f t="shared" si="108"/>
        <v>-5.4233481298245137E-2</v>
      </c>
      <c r="BL75" s="65">
        <f t="shared" si="107"/>
        <v>0.30302866665918143</v>
      </c>
      <c r="BM75" s="65">
        <f>IFERROR(Q75/COUNTA($J$4:J75),#N/A)</f>
        <v>7.0474558783379148E-3</v>
      </c>
      <c r="BO75" s="489" t="e">
        <f>IF(J75="",#N/A,IF(S75="SW",(COUNTIFS(K$4:$K75,"&gt;0",S$4:$S75,"SW")/COUNTIF(S$4:$S75,"SW")),#N/A))</f>
        <v>#N/A</v>
      </c>
      <c r="BP75" s="489" t="e">
        <f>IF($J75="",#N/A,IF($S75="DWN",(COUNTIFS($K$4:$K75,"&lt;0",$S$4:$S75,"DWN")/COUNTIF($S$4:$S75,"DWN")),#N/A))</f>
        <v>#N/A</v>
      </c>
      <c r="BQ75" s="489">
        <f>IF($J75="",#N/A,IF($S75="UP",(COUNTIFS($K$4:$K75,"&gt;0",$S$4:$S75,"UP")/COUNTIF($S$4:$S75,"UP")),#N/A))</f>
        <v>0.5</v>
      </c>
      <c r="BR75" s="489">
        <f>IF(J75="",#N/A,COUNTIF($K$4:K75,"&gt;0")/COUNT($J$4:J75))</f>
        <v>0.52777777777777779</v>
      </c>
      <c r="BS75" s="65" t="str">
        <f t="shared" si="138"/>
        <v/>
      </c>
      <c r="BT75" s="65">
        <f t="shared" si="139"/>
        <v>-0.55950946427675097</v>
      </c>
      <c r="BU75" s="65" t="str">
        <f t="shared" si="140"/>
        <v/>
      </c>
      <c r="BV75" s="65" t="str">
        <f t="shared" si="141"/>
        <v/>
      </c>
      <c r="BW75" s="128">
        <f t="shared" si="142"/>
        <v>-26.745000000000118</v>
      </c>
      <c r="BX75" s="128">
        <f>IF($J75="",#N/A,SUM($BW$4:BW75))</f>
        <v>-91.165000000000305</v>
      </c>
      <c r="BY75" s="131" t="str">
        <f t="shared" si="143"/>
        <v/>
      </c>
      <c r="BZ75" s="131">
        <f>IF($J75="",#N/A,SUM($BY$4:BY75))</f>
        <v>-198.36871953149523</v>
      </c>
      <c r="CA75" s="133" t="str">
        <f t="shared" si="144"/>
        <v/>
      </c>
      <c r="CB75" s="133">
        <f>IF($J75="",#N/A,SUM($CA$4:CA75))</f>
        <v>128.91002390112067</v>
      </c>
      <c r="CC75" s="194">
        <f t="shared" si="145"/>
        <v>-0.55950946427675097</v>
      </c>
      <c r="CD75" s="194">
        <f>IF($J75="",#N/A,SUM($CC$4:CC75))</f>
        <v>-1.4632631312024809</v>
      </c>
      <c r="CE75" s="195" t="str">
        <f t="shared" si="146"/>
        <v/>
      </c>
      <c r="CF75" s="195">
        <f>IF($J75="",#N/A,SUM($CE$4:CE75))</f>
        <v>-2.1536522232713935</v>
      </c>
      <c r="CG75" s="196" t="str">
        <f t="shared" si="147"/>
        <v/>
      </c>
      <c r="CH75" s="196">
        <f>IF($J75="",#N/A,SUM($CG$4:CG75))</f>
        <v>4.1243321777142077</v>
      </c>
      <c r="CI75" s="200" t="str">
        <f t="shared" si="148"/>
        <v/>
      </c>
      <c r="CJ75" s="203">
        <f>IF($J75="",#N/A,SUM(CI$4:CI75))</f>
        <v>0</v>
      </c>
      <c r="CK75" s="204" t="str">
        <f t="shared" si="149"/>
        <v/>
      </c>
      <c r="CL75" s="204">
        <f>IF($J75="",#N/A,SUM(CK$4:CK75))</f>
        <v>1.8934431343190481</v>
      </c>
      <c r="CM75" s="205" t="str">
        <f t="shared" si="150"/>
        <v/>
      </c>
      <c r="CN75" s="205">
        <f>IF($J75="",#N/A,SUM(CM$4:CM75))</f>
        <v>3.5437224367841633</v>
      </c>
      <c r="CO75" s="205">
        <f>IF($J75="",#N/A,SUM(CM$4:CM75,CK$4:CK75,CI$4:CI75))</f>
        <v>5.4371655711032112</v>
      </c>
      <c r="CP75" s="200" t="str">
        <f t="shared" si="151"/>
        <v/>
      </c>
      <c r="CQ75" s="203">
        <f>IF($J75="",#N/A,SUM(CP$4:CP75))</f>
        <v>0</v>
      </c>
      <c r="CR75" s="204" t="str">
        <f t="shared" si="152"/>
        <v/>
      </c>
      <c r="CS75" s="204">
        <f>IF($J75="",#N/A,SUM(CR$4:CR75))</f>
        <v>0</v>
      </c>
      <c r="CT75" s="205" t="str">
        <f t="shared" si="153"/>
        <v/>
      </c>
      <c r="CU75" s="205">
        <f>IF($J75="",#N/A,SUM(CT$4:CT75))</f>
        <v>0</v>
      </c>
      <c r="CV75" s="205">
        <f>IF($J75="",#N/A,SUM(CT$4:CT75,CR$4:CR75,CP$4:CP75))</f>
        <v>0</v>
      </c>
      <c r="CW75" s="200" t="str">
        <f t="shared" si="154"/>
        <v/>
      </c>
      <c r="CX75" s="203">
        <f>IF($J75="",#N/A,SUM(CW$4:CW75))</f>
        <v>0</v>
      </c>
      <c r="CY75" s="204" t="str">
        <f t="shared" si="155"/>
        <v/>
      </c>
      <c r="CZ75" s="204">
        <f>IF($J75="",#N/A,SUM(CY$4:CY75))</f>
        <v>-0.63271328921481373</v>
      </c>
      <c r="DA75" s="205" t="str">
        <f t="shared" si="156"/>
        <v/>
      </c>
      <c r="DB75" s="205">
        <f>IF($J75="",#N/A,SUM(DA$4:DA75))</f>
        <v>1.1829222170861893</v>
      </c>
      <c r="DC75" s="205">
        <f>IF($J75="",#N/A,SUM(DA$4:DA75,CY$4:CY75,CW$4:CW75))</f>
        <v>0.55020892787137554</v>
      </c>
      <c r="DD75" s="200" t="str">
        <f t="shared" si="157"/>
        <v/>
      </c>
      <c r="DE75" s="203">
        <f>IF($J75="",#N/A,SUM(DD$4:DD75))</f>
        <v>0.4905246481018824</v>
      </c>
      <c r="DF75" s="204" t="str">
        <f t="shared" si="158"/>
        <v/>
      </c>
      <c r="DG75" s="204">
        <f>IF($J75="",#N/A,SUM(DF$4:DF75))</f>
        <v>0.6788440567066546</v>
      </c>
      <c r="DH75" s="205" t="str">
        <f t="shared" si="159"/>
        <v/>
      </c>
      <c r="DI75" s="205">
        <f>IF($J75="",#N/A,SUM(DH$4:DH75))</f>
        <v>-0.83172699364602887</v>
      </c>
      <c r="DJ75" s="205">
        <f>IF($J75="",#N/A,SUM(DH$4:DH75,DF$4:DF75,DD$4:DD75))</f>
        <v>0.33764171116250813</v>
      </c>
      <c r="DK75" s="200" t="str">
        <f t="shared" si="160"/>
        <v/>
      </c>
      <c r="DL75" s="203">
        <f>IF($J75="",#N/A,SUM(DK$4:DK75))</f>
        <v>0</v>
      </c>
      <c r="DM75" s="204" t="str">
        <f t="shared" si="161"/>
        <v/>
      </c>
      <c r="DN75" s="204">
        <f>IF($J75="",#N/A,SUM(DM$4:DM75))</f>
        <v>0.36227168206863897</v>
      </c>
      <c r="DO75" s="205" t="str">
        <f t="shared" si="162"/>
        <v/>
      </c>
      <c r="DP75" s="205">
        <f>IF($J75="",#N/A,SUM(DO$4:DO75))</f>
        <v>-0.43291760746858676</v>
      </c>
      <c r="DQ75" s="205">
        <f>IF($J75="",#N/A,SUM(DO$4:DO75,DM$4:DM75,DK$4:DK75))</f>
        <v>-7.0645925399947795E-2</v>
      </c>
      <c r="DR75" s="200">
        <f t="shared" si="163"/>
        <v>-0.55950946427675097</v>
      </c>
      <c r="DS75" s="203">
        <f>IF($J75="",#N/A,SUM(DR$4:DR75))</f>
        <v>-0.55950946427675097</v>
      </c>
      <c r="DT75" s="204" t="str">
        <f t="shared" si="164"/>
        <v/>
      </c>
      <c r="DU75" s="204">
        <f>IF($J75="",#N/A,SUM(DT$4:DT75))</f>
        <v>-2.8875364672150718</v>
      </c>
      <c r="DV75" s="205" t="str">
        <f t="shared" si="165"/>
        <v/>
      </c>
      <c r="DW75" s="205">
        <f>IF($J75="",#N/A,SUM(DV$4:DV75))</f>
        <v>-0.23245750740486493</v>
      </c>
      <c r="DX75" s="205">
        <f>IF($J75="",#N/A,SUM(DV$4:DV75,DT$4:DT75,DR$4:DR75))</f>
        <v>-3.6795034388966879</v>
      </c>
      <c r="DY75" s="200" t="str">
        <f t="shared" si="166"/>
        <v/>
      </c>
      <c r="DZ75" s="203">
        <f>IF($J75="",#N/A,SUM(DY$4:DY75))</f>
        <v>-1.4611133068588897</v>
      </c>
      <c r="EA75" s="204" t="str">
        <f t="shared" si="167"/>
        <v/>
      </c>
      <c r="EB75" s="204">
        <f>IF($J75="",#N/A,SUM(EA$4:EA75))</f>
        <v>-1.2459555278526064</v>
      </c>
      <c r="EC75" s="205" t="str">
        <f t="shared" si="168"/>
        <v/>
      </c>
      <c r="ED75" s="205">
        <f>IF($J75="",#N/A,SUM(EC$4:EC75))</f>
        <v>2.4844445330839244</v>
      </c>
      <c r="EE75" s="205">
        <f>IF($J75="",#N/A,SUM(EC$4:EC75,EA$4:EA75,DY$4:DY75))</f>
        <v>-0.22262430162757174</v>
      </c>
      <c r="EF75" s="200" t="str">
        <f t="shared" si="169"/>
        <v/>
      </c>
      <c r="EG75" s="203">
        <f>IF($J75="",#N/A,SUM(EF$4:EF75))</f>
        <v>0</v>
      </c>
      <c r="EH75" s="204" t="str">
        <f t="shared" si="170"/>
        <v/>
      </c>
      <c r="EI75" s="204">
        <f>IF($J75="",#N/A,SUM(EH$4:EH75))</f>
        <v>-2.0327391387894549</v>
      </c>
      <c r="EJ75" s="205" t="str">
        <f t="shared" si="171"/>
        <v/>
      </c>
      <c r="EK75" s="205">
        <f>IF($J75="",#N/A,SUM(EJ$4:EJ75))</f>
        <v>1.3436756383175479</v>
      </c>
      <c r="EL75" s="205">
        <f>IF($J75="",#N/A,SUM(EJ$4:EJ75,EH$4:EH75,EF$4:EF75))</f>
        <v>-0.6890635004719069</v>
      </c>
      <c r="EM75" s="200" t="str">
        <f t="shared" si="172"/>
        <v/>
      </c>
      <c r="EN75" s="203">
        <f>IF($J75="",#N/A,SUM(EM$4:EM75))</f>
        <v>0</v>
      </c>
      <c r="EO75" s="204" t="str">
        <f t="shared" si="173"/>
        <v/>
      </c>
      <c r="EP75" s="204">
        <f>IF($J75="",#N/A,SUM(EO$4:EO75))</f>
        <v>0.74379497102635161</v>
      </c>
      <c r="EQ75" s="205" t="str">
        <f t="shared" si="174"/>
        <v/>
      </c>
      <c r="ER75" s="205">
        <f>IF($J75="",#N/A,SUM(EQ$4:EQ75))</f>
        <v>0.4926597949853756</v>
      </c>
      <c r="ES75" s="205">
        <f>IF($J75="",#N/A,SUM(EQ$4:EQ75,EO$4:EO75,EM$4:EM75))</f>
        <v>1.2364547660117271</v>
      </c>
      <c r="ET75" s="200" t="str">
        <f t="shared" si="175"/>
        <v/>
      </c>
      <c r="EU75" s="203">
        <f>IF($J75="",#N/A,SUM(ET$4:ET75))</f>
        <v>0</v>
      </c>
      <c r="EV75" s="204" t="str">
        <f t="shared" si="176"/>
        <v/>
      </c>
      <c r="EW75" s="204">
        <f>IF($J75="",#N/A,SUM(EV$4:EV75))</f>
        <v>0</v>
      </c>
      <c r="EX75" s="205" t="str">
        <f t="shared" si="177"/>
        <v/>
      </c>
      <c r="EY75" s="205">
        <f>IF($J75="",#N/A,SUM(EX$4:EX75))</f>
        <v>0</v>
      </c>
      <c r="EZ75" s="205">
        <f>IF($J75="",#N/A,SUM(EX$4:EX75,EV$4:EV75,ET$4:ET75))</f>
        <v>0</v>
      </c>
      <c r="FA75" s="200" t="str">
        <f t="shared" si="178"/>
        <v/>
      </c>
      <c r="FB75" s="203">
        <f>IF($J75="",#N/A,SUM(FA$4:FA75))</f>
        <v>0</v>
      </c>
      <c r="FC75" s="204" t="str">
        <f t="shared" si="179"/>
        <v/>
      </c>
      <c r="FD75" s="204">
        <f>IF($J75="",#N/A,SUM(FC$4:FC75))</f>
        <v>1.3724148418491529</v>
      </c>
      <c r="FE75" s="205" t="str">
        <f t="shared" si="180"/>
        <v/>
      </c>
      <c r="FF75" s="205">
        <f>IF($J75="",#N/A,SUM(FE$4:FE75))</f>
        <v>-0.28811149078748233</v>
      </c>
      <c r="FG75" s="205">
        <f>IF($J75="",#N/A,SUM(FE$4:FE75,FC$4:FC75,FA$4:FA75))</f>
        <v>1.0843033510616706</v>
      </c>
      <c r="FH75" s="200" t="str">
        <f t="shared" si="181"/>
        <v/>
      </c>
      <c r="FI75" s="203">
        <f>IF($J75="",#N/A,SUM(FH$4:FH75))</f>
        <v>0</v>
      </c>
      <c r="FJ75" s="204" t="str">
        <f t="shared" si="182"/>
        <v/>
      </c>
      <c r="FK75" s="204">
        <f>IF($J75="",#N/A,SUM(FJ$4:FJ75))</f>
        <v>0</v>
      </c>
      <c r="FL75" s="205" t="str">
        <f t="shared" si="183"/>
        <v/>
      </c>
      <c r="FM75" s="205">
        <f>IF($J75="",#N/A,SUM(FL$4:FL75))</f>
        <v>0</v>
      </c>
      <c r="FN75" s="205">
        <f>IF($J75="",#N/A,SUM(FL$4:FL75,FJ$4:FJ75,FH$4:FH75))</f>
        <v>0</v>
      </c>
      <c r="FO75" s="200" t="str">
        <f t="shared" si="184"/>
        <v/>
      </c>
      <c r="FP75" s="203">
        <f>IF($J75="",#N/A,SUM(FO$4:FO75))</f>
        <v>0</v>
      </c>
      <c r="FQ75" s="204" t="str">
        <f t="shared" si="185"/>
        <v/>
      </c>
      <c r="FR75" s="204">
        <f>IF($J75="",#N/A,SUM(FQ$4:FQ75))</f>
        <v>0</v>
      </c>
      <c r="FS75" s="205" t="str">
        <f t="shared" si="186"/>
        <v/>
      </c>
      <c r="FT75" s="205">
        <f>IF($J75="",#N/A,SUM(FS$4:FS75))</f>
        <v>0</v>
      </c>
      <c r="FU75" s="205">
        <f>IF($J75="",#N/A,SUM(FS$4:FS75,FQ$4:FQ75,FO$4:FO75))</f>
        <v>0</v>
      </c>
      <c r="FV75" s="200" t="str">
        <f t="shared" si="187"/>
        <v/>
      </c>
      <c r="FW75" s="203">
        <f>IF($J75="",#N/A,SUM(FV$4:FV75))</f>
        <v>6.6834991831277585E-2</v>
      </c>
      <c r="FX75" s="204" t="str">
        <f t="shared" si="188"/>
        <v/>
      </c>
      <c r="FY75" s="204">
        <f>IF($J75="",#N/A,SUM(FX$4:FX75))</f>
        <v>0</v>
      </c>
      <c r="FZ75" s="205" t="str">
        <f t="shared" si="189"/>
        <v/>
      </c>
      <c r="GA75" s="205">
        <f>IF($J75="",#N/A,SUM(FZ$4:FZ75))</f>
        <v>-0.20104261551371039</v>
      </c>
      <c r="GB75" s="205">
        <f>IF($J75="",#N/A,SUM(FZ$4:FZ75,FX$4:FX75,FV$4:FV75))</f>
        <v>-0.1342076236824328</v>
      </c>
      <c r="GC75" s="200" t="str">
        <f t="shared" si="190"/>
        <v/>
      </c>
      <c r="GD75" s="203">
        <f>IF($J75="",#N/A,SUM(GC$4:GC75))</f>
        <v>0</v>
      </c>
      <c r="GE75" s="204" t="str">
        <f t="shared" si="191"/>
        <v/>
      </c>
      <c r="GF75" s="204">
        <f>IF($J75="",#N/A,SUM(GE$4:GE75))</f>
        <v>0</v>
      </c>
      <c r="GG75" s="205" t="str">
        <f t="shared" si="192"/>
        <v/>
      </c>
      <c r="GH75" s="205">
        <f>IF($J75="",#N/A,SUM(GG$4:GG75))</f>
        <v>-2.9368362277223206</v>
      </c>
      <c r="GI75" s="205">
        <f>IF($J75="",#N/A,SUM(GG$4:GG75,GE$4:GE75,GC$4:GC75))</f>
        <v>-2.9368362277223206</v>
      </c>
      <c r="GJ75" s="200" t="str">
        <f t="shared" si="193"/>
        <v/>
      </c>
      <c r="GK75" s="203">
        <f>IF($J75="",#N/A,SUM(GJ$4:GJ75))</f>
        <v>0</v>
      </c>
      <c r="GL75" s="204" t="str">
        <f t="shared" si="194"/>
        <v/>
      </c>
      <c r="GM75" s="204">
        <f>IF($J75="",#N/A,SUM(GL$4:GL75))</f>
        <v>-0.4054764861692941</v>
      </c>
      <c r="GN75" s="205" t="str">
        <f t="shared" si="195"/>
        <v/>
      </c>
      <c r="GO75" s="205">
        <f>IF($J75="",#N/A,SUM(GN$4:GN75))</f>
        <v>0</v>
      </c>
      <c r="GP75" s="205">
        <f>IF($J75="",#N/A,SUM(GN$4:GN75,GL$4:GL75,GJ$4:GJ75))</f>
        <v>-0.4054764861692941</v>
      </c>
      <c r="GS75" s="54">
        <f t="shared" si="214"/>
        <v>-0.55950946427675097</v>
      </c>
      <c r="GT75" s="54">
        <f>IF(GS75="",NA(),SUM($GS$4:GS75))</f>
        <v>0.30542801031304678</v>
      </c>
      <c r="GU75" s="54">
        <f t="shared" si="196"/>
        <v>-0.55950946427675097</v>
      </c>
      <c r="GV75" s="54">
        <f>IF(GU75="",NA(),SUM($GU$4:GU75))</f>
        <v>-1.4632631312024809</v>
      </c>
      <c r="GW75" s="54" t="str">
        <f t="shared" si="197"/>
        <v/>
      </c>
      <c r="GX75" s="54" t="e">
        <f>IF(GW75="",NA(),SUM($GW$4:GW75))</f>
        <v>#N/A</v>
      </c>
      <c r="GY75" s="54" t="str">
        <f t="shared" si="198"/>
        <v/>
      </c>
      <c r="GZ75" s="54" t="e">
        <f>IF(GY75="",NA(),SUM($GY$4:GY75))</f>
        <v>#N/A</v>
      </c>
      <c r="HA75" s="54" t="str">
        <f t="shared" si="199"/>
        <v/>
      </c>
      <c r="HB75" s="54" t="e">
        <f>IF(HA75="",NA(),SUM($HA$4:HA75))</f>
        <v>#N/A</v>
      </c>
      <c r="HC75" s="54" t="str">
        <f t="shared" si="200"/>
        <v/>
      </c>
      <c r="HD75" s="54" t="e">
        <f>IF(HC75="",NA(),SUM($HC$4:HC75))</f>
        <v>#N/A</v>
      </c>
      <c r="HE75" s="54" t="str">
        <f t="shared" si="201"/>
        <v/>
      </c>
      <c r="HF75" s="54" t="e">
        <f>IF(HE75="",NA(),SUM($HE$4:HE75))</f>
        <v>#N/A</v>
      </c>
      <c r="HG75" s="54" t="str">
        <f t="shared" si="202"/>
        <v/>
      </c>
      <c r="HH75" s="54" t="e">
        <f>IF(HG75="",NA(),SUM($HG$4:HG75))</f>
        <v>#N/A</v>
      </c>
      <c r="HI75" s="172" t="str">
        <f t="shared" si="215"/>
        <v/>
      </c>
      <c r="HJ75" s="172">
        <f>IF($J75="",#N/A,SUM(HI$4:$HI75))</f>
        <v>-0.83132705025154807</v>
      </c>
      <c r="HK75" s="54" t="str">
        <f t="shared" si="203"/>
        <v/>
      </c>
      <c r="HL75" s="54">
        <f>IF($J75="",#N/A,SUM($HK$4:HK75))</f>
        <v>-1.5436465459484796</v>
      </c>
      <c r="HM75" s="54" t="str">
        <f t="shared" si="204"/>
        <v/>
      </c>
      <c r="HN75" s="54">
        <f>IF($J75="",#N/A,SUM($HM$4:HM75))</f>
        <v>0.72020221657224703</v>
      </c>
      <c r="HO75" s="54">
        <f t="shared" si="205"/>
        <v>0.30344680423758824</v>
      </c>
      <c r="HP75" s="54">
        <f>IF($J75="",#N/A,SUM($HO$4:HO75))</f>
        <v>-0.34492614665921834</v>
      </c>
      <c r="HQ75" s="54" t="str">
        <f t="shared" si="206"/>
        <v/>
      </c>
      <c r="HR75" s="54">
        <f>IF($J75="",#N/A,SUM($HQ$4:HQ75))</f>
        <v>-5.6674893975949479</v>
      </c>
      <c r="HS75" s="54" t="str">
        <f t="shared" si="207"/>
        <v/>
      </c>
      <c r="HT75" s="54">
        <f>IF($J75="",#N/A,SUM($HS$4:HS75))</f>
        <v>5.5197538416683463</v>
      </c>
      <c r="HU75" s="65">
        <f t="shared" si="208"/>
        <v>-0.25606266003916273</v>
      </c>
      <c r="HV75" s="65">
        <f>IF($J75="",#N/A,SUM(HU$4:$HU75))</f>
        <v>-1.6400162589732685</v>
      </c>
    </row>
    <row r="76" spans="1:230" x14ac:dyDescent="0.25">
      <c r="A76" s="51" t="s">
        <v>1450</v>
      </c>
      <c r="B76" s="52" t="s">
        <v>4503</v>
      </c>
      <c r="C76" s="229">
        <f t="shared" si="109"/>
        <v>3</v>
      </c>
      <c r="D76" s="219" t="str">
        <f>_xlfn.XLOOKUP(A76,[1]SP500!$A$2:$A$502,[1]SP500!$D$2:$D$502,"N")</f>
        <v>Y</v>
      </c>
      <c r="E76" s="51" t="str">
        <f>IFERROR(_xlfn.XLOOKUP(A76,[1]SP500!$A$2:$A$655,[1]SP500!$B$2:$B$655),"")</f>
        <v>XLI</v>
      </c>
      <c r="F76" s="53">
        <v>45770</v>
      </c>
      <c r="G76" s="51" t="str">
        <f t="shared" si="110"/>
        <v>BMO</v>
      </c>
      <c r="H76" s="51" t="str">
        <f t="shared" si="111"/>
        <v>s</v>
      </c>
      <c r="I76" s="344">
        <v>171.76</v>
      </c>
      <c r="J76" s="123">
        <v>183.62</v>
      </c>
      <c r="K76" s="55">
        <f t="shared" si="112"/>
        <v>6.90498369818352E-2</v>
      </c>
      <c r="L76" s="67">
        <f t="shared" si="113"/>
        <v>47.440000000000055</v>
      </c>
      <c r="M76" s="57">
        <f t="shared" si="114"/>
        <v>19.519999999999982</v>
      </c>
      <c r="N76" s="102">
        <f t="shared" si="115"/>
        <v>47.440000000000055</v>
      </c>
      <c r="O76" s="57">
        <f>IF(N76="",#N/A,SUM($N$4:N76))</f>
        <v>-113.18369563037481</v>
      </c>
      <c r="P76" s="65">
        <f t="shared" si="209"/>
        <v>1.1508306163639201</v>
      </c>
      <c r="Q76" s="172">
        <f>IF($N76="",#N/A,SUM($P$4:P76))</f>
        <v>1.6582474396042501</v>
      </c>
      <c r="R76" s="279">
        <f t="shared" si="116"/>
        <v>2.0989747473695308</v>
      </c>
      <c r="S76" s="51" t="str">
        <f t="shared" si="117"/>
        <v>SW</v>
      </c>
      <c r="T76" s="51" t="s">
        <v>2828</v>
      </c>
      <c r="U76" s="56">
        <f t="shared" si="118"/>
        <v>171.76</v>
      </c>
      <c r="V76" s="56" t="s">
        <v>4460</v>
      </c>
      <c r="W76" s="142">
        <v>4</v>
      </c>
      <c r="X76" s="145">
        <f t="shared" si="119"/>
        <v>687.04</v>
      </c>
      <c r="Y76" s="140">
        <f t="shared" si="120"/>
        <v>4</v>
      </c>
      <c r="Z76" s="123">
        <v>188.5</v>
      </c>
      <c r="AA76" s="102">
        <f t="shared" si="121"/>
        <v>66.960000000000036</v>
      </c>
      <c r="AB76" s="102">
        <f t="shared" si="122"/>
        <v>40.840000000000032</v>
      </c>
      <c r="AC76" s="124">
        <v>181.97</v>
      </c>
      <c r="AD76" s="155">
        <f t="shared" si="123"/>
        <v>40.840000000000032</v>
      </c>
      <c r="AE76" s="545">
        <f t="shared" si="124"/>
        <v>0.99072349014128336</v>
      </c>
      <c r="AF76" s="57">
        <f>IF($AC76="",#N/A,SUM(AD$4:AD76))</f>
        <v>-220.35582025503118</v>
      </c>
      <c r="AG76" s="102">
        <f t="shared" si="125"/>
        <v>-6.6000000000000227</v>
      </c>
      <c r="AH76" s="56" t="s">
        <v>2507</v>
      </c>
      <c r="AI76" s="65">
        <f t="shared" si="126"/>
        <v>1.6243595714951107</v>
      </c>
      <c r="AJ76" s="350">
        <f>IF(AI76="",#N/A,SUM($AI$4:AI76))</f>
        <v>-0.44072730776528091</v>
      </c>
      <c r="AK76" s="57">
        <f t="shared" si="127"/>
        <v>66.960000000000036</v>
      </c>
      <c r="AL76" s="349">
        <f>IF(AI76="",#N/A,IF(AH76="Skip",SUM($AK$4:AK76),SUM($AK$4:AK76)))</f>
        <v>-267.55999999999926</v>
      </c>
      <c r="AM76" s="65">
        <f t="shared" si="210"/>
        <v>0.99072349014128336</v>
      </c>
      <c r="AN76" s="209"/>
      <c r="AO76" s="65">
        <f t="shared" si="128"/>
        <v>0.99072349014128336</v>
      </c>
      <c r="AP76" s="65">
        <f>IF($AC76="",#N/A,SUM(AO$4:AO76))</f>
        <v>4.9673201119288874</v>
      </c>
      <c r="AQ76" s="65" t="str">
        <f t="shared" si="129"/>
        <v/>
      </c>
      <c r="AR76" s="65">
        <f>IF($AC76="",#N/A,SUM(AQ$4:AQ76))</f>
        <v>-1.0879870612894522</v>
      </c>
      <c r="AS76" s="65" t="str">
        <f t="shared" si="130"/>
        <v/>
      </c>
      <c r="AT76" s="65">
        <f>IF($AC76="",#N/A,SUM(AS$4:AS76))</f>
        <v>-4.5286258194714231</v>
      </c>
      <c r="AU76" s="57">
        <f t="shared" si="211"/>
        <v>40.840000000000032</v>
      </c>
      <c r="AV76" s="57">
        <f>IF($AC76="",#N/A,SUM(AU$4:AU76))</f>
        <v>215.38255264778456</v>
      </c>
      <c r="AW76" s="57" t="str">
        <f t="shared" si="212"/>
        <v/>
      </c>
      <c r="AX76" s="57">
        <f>IF($AC76="",#N/A,SUM(AW$4:AW76))</f>
        <v>-66.900000000000205</v>
      </c>
      <c r="AY76" s="57" t="str">
        <f t="shared" si="213"/>
        <v/>
      </c>
      <c r="AZ76" s="57">
        <f>IF($AC76="",#N/A,SUM(AY$4:AY76))</f>
        <v>-368.83837290281554</v>
      </c>
      <c r="BA76" s="57">
        <f>IF(AD76="",#N/A,SUM($AD$4:AD76))</f>
        <v>-220.35582025503118</v>
      </c>
      <c r="BC76" s="51" t="str">
        <f t="shared" si="131"/>
        <v/>
      </c>
      <c r="BD76" s="51" t="str">
        <f t="shared" si="132"/>
        <v/>
      </c>
      <c r="BE76" s="51">
        <f t="shared" si="133"/>
        <v>1</v>
      </c>
      <c r="BF76" s="51" t="str">
        <f t="shared" si="134"/>
        <v>Long</v>
      </c>
      <c r="BG76" s="51" t="str">
        <f t="shared" si="135"/>
        <v/>
      </c>
      <c r="BH76" s="51" t="str">
        <f t="shared" si="136"/>
        <v/>
      </c>
      <c r="BI76" s="51" t="str">
        <f t="shared" si="137"/>
        <v/>
      </c>
      <c r="BK76" s="65">
        <f t="shared" si="108"/>
        <v>-2.8990523887478758E-2</v>
      </c>
      <c r="BL76" s="65">
        <f t="shared" si="107"/>
        <v>0.36975426234441877</v>
      </c>
      <c r="BM76" s="65">
        <f>IFERROR(Q76/COUNTA($J$4:J76),#N/A)</f>
        <v>2.2715718350743153E-2</v>
      </c>
      <c r="BO76" s="489">
        <f>IF(J76="",#N/A,IF(S76="SW",(COUNTIFS(K$4:$K76,"&gt;0",S$4:$S76,"SW")/COUNTIF(S$4:$S76,"SW")),#N/A))</f>
        <v>0.5714285714285714</v>
      </c>
      <c r="BP76" s="489" t="e">
        <f>IF($J76="",#N/A,IF($S76="DWN",(COUNTIFS($K$4:$K76,"&lt;0",$S$4:$S76,"DWN")/COUNTIF($S$4:$S76,"DWN")),#N/A))</f>
        <v>#N/A</v>
      </c>
      <c r="BQ76" s="489" t="e">
        <f>IF($J76="",#N/A,IF($S76="UP",(COUNTIFS($K$4:$K76,"&gt;0",$S$4:$S76,"UP")/COUNTIF($S$4:$S76,"UP")),#N/A))</f>
        <v>#N/A</v>
      </c>
      <c r="BR76" s="489">
        <f>IF(J76="",#N/A,COUNTIF($K$4:K76,"&gt;0")/COUNT($J$4:J76))</f>
        <v>0.53424657534246578</v>
      </c>
      <c r="BS76" s="65">
        <f t="shared" si="138"/>
        <v>1.1508306163639201</v>
      </c>
      <c r="BT76" s="65" t="str">
        <f t="shared" si="139"/>
        <v/>
      </c>
      <c r="BU76" s="65" t="str">
        <f t="shared" si="140"/>
        <v/>
      </c>
      <c r="BV76" s="65" t="str">
        <f t="shared" si="141"/>
        <v/>
      </c>
      <c r="BW76" s="128" t="str">
        <f t="shared" si="142"/>
        <v/>
      </c>
      <c r="BX76" s="128">
        <f>IF($J76="",#N/A,SUM($BW$4:BW76))</f>
        <v>-91.165000000000305</v>
      </c>
      <c r="BY76" s="131" t="str">
        <f t="shared" si="143"/>
        <v/>
      </c>
      <c r="BZ76" s="131">
        <f>IF($J76="",#N/A,SUM($BY$4:BY76))</f>
        <v>-198.36871953149523</v>
      </c>
      <c r="CA76" s="133">
        <f t="shared" si="144"/>
        <v>47.440000000000055</v>
      </c>
      <c r="CB76" s="133">
        <f>IF($J76="",#N/A,SUM($CA$4:CA76))</f>
        <v>176.35002390112072</v>
      </c>
      <c r="CC76" s="194" t="str">
        <f t="shared" si="145"/>
        <v/>
      </c>
      <c r="CD76" s="194">
        <f>IF($J76="",#N/A,SUM($CC$4:CC76))</f>
        <v>-1.4632631312024809</v>
      </c>
      <c r="CE76" s="195" t="str">
        <f t="shared" si="146"/>
        <v/>
      </c>
      <c r="CF76" s="195">
        <f>IF($J76="",#N/A,SUM($CE$4:CE76))</f>
        <v>-2.1536522232713935</v>
      </c>
      <c r="CG76" s="196">
        <f t="shared" si="147"/>
        <v>1.1508306163639201</v>
      </c>
      <c r="CH76" s="196">
        <f>IF($J76="",#N/A,SUM($CG$4:CG76))</f>
        <v>5.2751627940781276</v>
      </c>
      <c r="CI76" s="200" t="str">
        <f t="shared" si="148"/>
        <v/>
      </c>
      <c r="CJ76" s="203">
        <f>IF($J76="",#N/A,SUM(CI$4:CI76))</f>
        <v>0</v>
      </c>
      <c r="CK76" s="204" t="str">
        <f t="shared" si="149"/>
        <v/>
      </c>
      <c r="CL76" s="204">
        <f>IF($J76="",#N/A,SUM(CK$4:CK76))</f>
        <v>1.8934431343190481</v>
      </c>
      <c r="CM76" s="205" t="str">
        <f t="shared" si="150"/>
        <v/>
      </c>
      <c r="CN76" s="205">
        <f>IF($J76="",#N/A,SUM(CM$4:CM76))</f>
        <v>3.5437224367841633</v>
      </c>
      <c r="CO76" s="205">
        <f>IF($J76="",#N/A,SUM(CM$4:CM76,CK$4:CK76,CI$4:CI76))</f>
        <v>5.4371655711032112</v>
      </c>
      <c r="CP76" s="200" t="str">
        <f t="shared" si="151"/>
        <v/>
      </c>
      <c r="CQ76" s="203">
        <f>IF($J76="",#N/A,SUM(CP$4:CP76))</f>
        <v>0</v>
      </c>
      <c r="CR76" s="204" t="str">
        <f t="shared" si="152"/>
        <v/>
      </c>
      <c r="CS76" s="204">
        <f>IF($J76="",#N/A,SUM(CR$4:CR76))</f>
        <v>0</v>
      </c>
      <c r="CT76" s="205" t="str">
        <f t="shared" si="153"/>
        <v/>
      </c>
      <c r="CU76" s="205">
        <f>IF($J76="",#N/A,SUM(CT$4:CT76))</f>
        <v>0</v>
      </c>
      <c r="CV76" s="205">
        <f>IF($J76="",#N/A,SUM(CT$4:CT76,CR$4:CR76,CP$4:CP76))</f>
        <v>0</v>
      </c>
      <c r="CW76" s="200" t="str">
        <f t="shared" si="154"/>
        <v/>
      </c>
      <c r="CX76" s="203">
        <f>IF($J76="",#N/A,SUM(CW$4:CW76))</f>
        <v>0</v>
      </c>
      <c r="CY76" s="204" t="str">
        <f t="shared" si="155"/>
        <v/>
      </c>
      <c r="CZ76" s="204">
        <f>IF($J76="",#N/A,SUM(CY$4:CY76))</f>
        <v>-0.63271328921481373</v>
      </c>
      <c r="DA76" s="205" t="str">
        <f t="shared" si="156"/>
        <v/>
      </c>
      <c r="DB76" s="205">
        <f>IF($J76="",#N/A,SUM(DA$4:DA76))</f>
        <v>1.1829222170861893</v>
      </c>
      <c r="DC76" s="205">
        <f>IF($J76="",#N/A,SUM(DA$4:DA76,CY$4:CY76,CW$4:CW76))</f>
        <v>0.55020892787137554</v>
      </c>
      <c r="DD76" s="200" t="str">
        <f t="shared" si="157"/>
        <v/>
      </c>
      <c r="DE76" s="203">
        <f>IF($J76="",#N/A,SUM(DD$4:DD76))</f>
        <v>0.4905246481018824</v>
      </c>
      <c r="DF76" s="204" t="str">
        <f t="shared" si="158"/>
        <v/>
      </c>
      <c r="DG76" s="204">
        <f>IF($J76="",#N/A,SUM(DF$4:DF76))</f>
        <v>0.6788440567066546</v>
      </c>
      <c r="DH76" s="205" t="str">
        <f t="shared" si="159"/>
        <v/>
      </c>
      <c r="DI76" s="205">
        <f>IF($J76="",#N/A,SUM(DH$4:DH76))</f>
        <v>-0.83172699364602887</v>
      </c>
      <c r="DJ76" s="205">
        <f>IF($J76="",#N/A,SUM(DH$4:DH76,DF$4:DF76,DD$4:DD76))</f>
        <v>0.33764171116250813</v>
      </c>
      <c r="DK76" s="200" t="str">
        <f t="shared" si="160"/>
        <v/>
      </c>
      <c r="DL76" s="203">
        <f>IF($J76="",#N/A,SUM(DK$4:DK76))</f>
        <v>0</v>
      </c>
      <c r="DM76" s="204" t="str">
        <f t="shared" si="161"/>
        <v/>
      </c>
      <c r="DN76" s="204">
        <f>IF($J76="",#N/A,SUM(DM$4:DM76))</f>
        <v>0.36227168206863897</v>
      </c>
      <c r="DO76" s="205" t="str">
        <f t="shared" si="162"/>
        <v/>
      </c>
      <c r="DP76" s="205">
        <f>IF($J76="",#N/A,SUM(DO$4:DO76))</f>
        <v>-0.43291760746858676</v>
      </c>
      <c r="DQ76" s="205">
        <f>IF($J76="",#N/A,SUM(DO$4:DO76,DM$4:DM76,DK$4:DK76))</f>
        <v>-7.0645925399947795E-2</v>
      </c>
      <c r="DR76" s="200" t="str">
        <f t="shared" si="163"/>
        <v/>
      </c>
      <c r="DS76" s="203">
        <f>IF($J76="",#N/A,SUM(DR$4:DR76))</f>
        <v>-0.55950946427675097</v>
      </c>
      <c r="DT76" s="204" t="str">
        <f t="shared" si="164"/>
        <v/>
      </c>
      <c r="DU76" s="204">
        <f>IF($J76="",#N/A,SUM(DT$4:DT76))</f>
        <v>-2.8875364672150718</v>
      </c>
      <c r="DV76" s="205" t="str">
        <f t="shared" si="165"/>
        <v/>
      </c>
      <c r="DW76" s="205">
        <f>IF($J76="",#N/A,SUM(DV$4:DV76))</f>
        <v>-0.23245750740486493</v>
      </c>
      <c r="DX76" s="205">
        <f>IF($J76="",#N/A,SUM(DV$4:DV76,DT$4:DT76,DR$4:DR76))</f>
        <v>-3.6795034388966879</v>
      </c>
      <c r="DY76" s="200" t="str">
        <f t="shared" si="166"/>
        <v/>
      </c>
      <c r="DZ76" s="203">
        <f>IF($J76="",#N/A,SUM(DY$4:DY76))</f>
        <v>-1.4611133068588897</v>
      </c>
      <c r="EA76" s="204" t="str">
        <f t="shared" si="167"/>
        <v/>
      </c>
      <c r="EB76" s="204">
        <f>IF($J76="",#N/A,SUM(EA$4:EA76))</f>
        <v>-1.2459555278526064</v>
      </c>
      <c r="EC76" s="205">
        <f t="shared" si="168"/>
        <v>1.1508306163639201</v>
      </c>
      <c r="ED76" s="205">
        <f>IF($J76="",#N/A,SUM(EC$4:EC76))</f>
        <v>3.6352751494478444</v>
      </c>
      <c r="EE76" s="205">
        <f>IF($J76="",#N/A,SUM(EC$4:EC76,EA$4:EA76,DY$4:DY76))</f>
        <v>0.92820631473634818</v>
      </c>
      <c r="EF76" s="200" t="str">
        <f t="shared" si="169"/>
        <v/>
      </c>
      <c r="EG76" s="203">
        <f>IF($J76="",#N/A,SUM(EF$4:EF76))</f>
        <v>0</v>
      </c>
      <c r="EH76" s="204" t="str">
        <f t="shared" si="170"/>
        <v/>
      </c>
      <c r="EI76" s="204">
        <f>IF($J76="",#N/A,SUM(EH$4:EH76))</f>
        <v>-2.0327391387894549</v>
      </c>
      <c r="EJ76" s="205" t="str">
        <f t="shared" si="171"/>
        <v/>
      </c>
      <c r="EK76" s="205">
        <f>IF($J76="",#N/A,SUM(EJ$4:EJ76))</f>
        <v>1.3436756383175479</v>
      </c>
      <c r="EL76" s="205">
        <f>IF($J76="",#N/A,SUM(EJ$4:EJ76,EH$4:EH76,EF$4:EF76))</f>
        <v>-0.6890635004719069</v>
      </c>
      <c r="EM76" s="200" t="str">
        <f t="shared" si="172"/>
        <v/>
      </c>
      <c r="EN76" s="203">
        <f>IF($J76="",#N/A,SUM(EM$4:EM76))</f>
        <v>0</v>
      </c>
      <c r="EO76" s="204" t="str">
        <f t="shared" si="173"/>
        <v/>
      </c>
      <c r="EP76" s="204">
        <f>IF($J76="",#N/A,SUM(EO$4:EO76))</f>
        <v>0.74379497102635161</v>
      </c>
      <c r="EQ76" s="205" t="str">
        <f t="shared" si="174"/>
        <v/>
      </c>
      <c r="ER76" s="205">
        <f>IF($J76="",#N/A,SUM(EQ$4:EQ76))</f>
        <v>0.4926597949853756</v>
      </c>
      <c r="ES76" s="205">
        <f>IF($J76="",#N/A,SUM(EQ$4:EQ76,EO$4:EO76,EM$4:EM76))</f>
        <v>1.2364547660117271</v>
      </c>
      <c r="ET76" s="200" t="str">
        <f t="shared" si="175"/>
        <v/>
      </c>
      <c r="EU76" s="203">
        <f>IF($J76="",#N/A,SUM(ET$4:ET76))</f>
        <v>0</v>
      </c>
      <c r="EV76" s="204" t="str">
        <f t="shared" si="176"/>
        <v/>
      </c>
      <c r="EW76" s="204">
        <f>IF($J76="",#N/A,SUM(EV$4:EV76))</f>
        <v>0</v>
      </c>
      <c r="EX76" s="205" t="str">
        <f t="shared" si="177"/>
        <v/>
      </c>
      <c r="EY76" s="205">
        <f>IF($J76="",#N/A,SUM(EX$4:EX76))</f>
        <v>0</v>
      </c>
      <c r="EZ76" s="205">
        <f>IF($J76="",#N/A,SUM(EX$4:EX76,EV$4:EV76,ET$4:ET76))</f>
        <v>0</v>
      </c>
      <c r="FA76" s="200" t="str">
        <f t="shared" si="178"/>
        <v/>
      </c>
      <c r="FB76" s="203">
        <f>IF($J76="",#N/A,SUM(FA$4:FA76))</f>
        <v>0</v>
      </c>
      <c r="FC76" s="204" t="str">
        <f t="shared" si="179"/>
        <v/>
      </c>
      <c r="FD76" s="204">
        <f>IF($J76="",#N/A,SUM(FC$4:FC76))</f>
        <v>1.3724148418491529</v>
      </c>
      <c r="FE76" s="205" t="str">
        <f t="shared" si="180"/>
        <v/>
      </c>
      <c r="FF76" s="205">
        <f>IF($J76="",#N/A,SUM(FE$4:FE76))</f>
        <v>-0.28811149078748233</v>
      </c>
      <c r="FG76" s="205">
        <f>IF($J76="",#N/A,SUM(FE$4:FE76,FC$4:FC76,FA$4:FA76))</f>
        <v>1.0843033510616706</v>
      </c>
      <c r="FH76" s="200" t="str">
        <f t="shared" si="181"/>
        <v/>
      </c>
      <c r="FI76" s="203">
        <f>IF($J76="",#N/A,SUM(FH$4:FH76))</f>
        <v>0</v>
      </c>
      <c r="FJ76" s="204" t="str">
        <f t="shared" si="182"/>
        <v/>
      </c>
      <c r="FK76" s="204">
        <f>IF($J76="",#N/A,SUM(FJ$4:FJ76))</f>
        <v>0</v>
      </c>
      <c r="FL76" s="205" t="str">
        <f t="shared" si="183"/>
        <v/>
      </c>
      <c r="FM76" s="205">
        <f>IF($J76="",#N/A,SUM(FL$4:FL76))</f>
        <v>0</v>
      </c>
      <c r="FN76" s="205">
        <f>IF($J76="",#N/A,SUM(FL$4:FL76,FJ$4:FJ76,FH$4:FH76))</f>
        <v>0</v>
      </c>
      <c r="FO76" s="200" t="str">
        <f t="shared" si="184"/>
        <v/>
      </c>
      <c r="FP76" s="203">
        <f>IF($J76="",#N/A,SUM(FO$4:FO76))</f>
        <v>0</v>
      </c>
      <c r="FQ76" s="204" t="str">
        <f t="shared" si="185"/>
        <v/>
      </c>
      <c r="FR76" s="204">
        <f>IF($J76="",#N/A,SUM(FQ$4:FQ76))</f>
        <v>0</v>
      </c>
      <c r="FS76" s="205" t="str">
        <f t="shared" si="186"/>
        <v/>
      </c>
      <c r="FT76" s="205">
        <f>IF($J76="",#N/A,SUM(FS$4:FS76))</f>
        <v>0</v>
      </c>
      <c r="FU76" s="205">
        <f>IF($J76="",#N/A,SUM(FS$4:FS76,FQ$4:FQ76,FO$4:FO76))</f>
        <v>0</v>
      </c>
      <c r="FV76" s="200" t="str">
        <f t="shared" si="187"/>
        <v/>
      </c>
      <c r="FW76" s="203">
        <f>IF($J76="",#N/A,SUM(FV$4:FV76))</f>
        <v>6.6834991831277585E-2</v>
      </c>
      <c r="FX76" s="204" t="str">
        <f t="shared" si="188"/>
        <v/>
      </c>
      <c r="FY76" s="204">
        <f>IF($J76="",#N/A,SUM(FX$4:FX76))</f>
        <v>0</v>
      </c>
      <c r="FZ76" s="205" t="str">
        <f t="shared" si="189"/>
        <v/>
      </c>
      <c r="GA76" s="205">
        <f>IF($J76="",#N/A,SUM(FZ$4:FZ76))</f>
        <v>-0.20104261551371039</v>
      </c>
      <c r="GB76" s="205">
        <f>IF($J76="",#N/A,SUM(FZ$4:FZ76,FX$4:FX76,FV$4:FV76))</f>
        <v>-0.1342076236824328</v>
      </c>
      <c r="GC76" s="200" t="str">
        <f t="shared" si="190"/>
        <v/>
      </c>
      <c r="GD76" s="203">
        <f>IF($J76="",#N/A,SUM(GC$4:GC76))</f>
        <v>0</v>
      </c>
      <c r="GE76" s="204" t="str">
        <f t="shared" si="191"/>
        <v/>
      </c>
      <c r="GF76" s="204">
        <f>IF($J76="",#N/A,SUM(GE$4:GE76))</f>
        <v>0</v>
      </c>
      <c r="GG76" s="205" t="str">
        <f t="shared" si="192"/>
        <v/>
      </c>
      <c r="GH76" s="205">
        <f>IF($J76="",#N/A,SUM(GG$4:GG76))</f>
        <v>-2.9368362277223206</v>
      </c>
      <c r="GI76" s="205">
        <f>IF($J76="",#N/A,SUM(GG$4:GG76,GE$4:GE76,GC$4:GC76))</f>
        <v>-2.9368362277223206</v>
      </c>
      <c r="GJ76" s="200" t="str">
        <f t="shared" si="193"/>
        <v/>
      </c>
      <c r="GK76" s="203">
        <f>IF($J76="",#N/A,SUM(GJ$4:GJ76))</f>
        <v>0</v>
      </c>
      <c r="GL76" s="204" t="str">
        <f t="shared" si="194"/>
        <v/>
      </c>
      <c r="GM76" s="204">
        <f>IF($J76="",#N/A,SUM(GL$4:GL76))</f>
        <v>-0.4054764861692941</v>
      </c>
      <c r="GN76" s="205" t="str">
        <f t="shared" si="195"/>
        <v/>
      </c>
      <c r="GO76" s="205">
        <f>IF($J76="",#N/A,SUM(GN$4:GN76))</f>
        <v>0</v>
      </c>
      <c r="GP76" s="205">
        <f>IF($J76="",#N/A,SUM(GN$4:GN76,GL$4:GL76,GJ$4:GJ76))</f>
        <v>-0.4054764861692941</v>
      </c>
      <c r="GS76" s="54">
        <f t="shared" si="214"/>
        <v>1.1508306163639201</v>
      </c>
      <c r="GT76" s="54">
        <f>IF(GS76="",NA(),SUM($GS$4:GS76))</f>
        <v>1.4562586266769668</v>
      </c>
      <c r="GU76" s="54" t="str">
        <f t="shared" si="196"/>
        <v/>
      </c>
      <c r="GV76" s="54" t="e">
        <f>IF(GU76="",NA(),SUM($GU$4:GU76))</f>
        <v>#N/A</v>
      </c>
      <c r="GW76" s="54">
        <f t="shared" si="197"/>
        <v>1.1508306163639201</v>
      </c>
      <c r="GX76" s="54">
        <f>IF(GW76="",NA(),SUM($GW$4:GW76))</f>
        <v>5.0731739811508421</v>
      </c>
      <c r="GY76" s="54" t="str">
        <f t="shared" si="198"/>
        <v/>
      </c>
      <c r="GZ76" s="54" t="e">
        <f>IF(GY76="",NA(),SUM($GY$4:GY76))</f>
        <v>#N/A</v>
      </c>
      <c r="HA76" s="54" t="str">
        <f t="shared" si="199"/>
        <v/>
      </c>
      <c r="HB76" s="54" t="e">
        <f>IF(HA76="",NA(),SUM($HA$4:HA76))</f>
        <v>#N/A</v>
      </c>
      <c r="HC76" s="54" t="str">
        <f t="shared" si="200"/>
        <v/>
      </c>
      <c r="HD76" s="54" t="e">
        <f>IF(HC76="",NA(),SUM($HC$4:HC76))</f>
        <v>#N/A</v>
      </c>
      <c r="HE76" s="54" t="str">
        <f t="shared" si="201"/>
        <v/>
      </c>
      <c r="HF76" s="54" t="e">
        <f>IF(HE76="",NA(),SUM($HE$4:HE76))</f>
        <v>#N/A</v>
      </c>
      <c r="HG76" s="54" t="str">
        <f t="shared" si="202"/>
        <v/>
      </c>
      <c r="HH76" s="54" t="e">
        <f>IF(HG76="",NA(),SUM($HG$4:HG76))</f>
        <v>#N/A</v>
      </c>
      <c r="HI76" s="172" t="str">
        <f t="shared" si="215"/>
        <v/>
      </c>
      <c r="HJ76" s="172">
        <f>IF($J76="",#N/A,SUM(HI$4:$HI76))</f>
        <v>-0.83132705025154807</v>
      </c>
      <c r="HK76" s="54" t="str">
        <f t="shared" si="203"/>
        <v/>
      </c>
      <c r="HL76" s="54">
        <f>IF($J76="",#N/A,SUM($HK$4:HK76))</f>
        <v>-1.5436465459484796</v>
      </c>
      <c r="HM76" s="54" t="str">
        <f t="shared" si="204"/>
        <v/>
      </c>
      <c r="HN76" s="54">
        <f>IF($J76="",#N/A,SUM($HM$4:HM76))</f>
        <v>0.72020221657224703</v>
      </c>
      <c r="HO76" s="54" t="str">
        <f t="shared" si="205"/>
        <v/>
      </c>
      <c r="HP76" s="54">
        <f>IF($J76="",#N/A,SUM($HO$4:HO76))</f>
        <v>-0.34492614665921834</v>
      </c>
      <c r="HQ76" s="54">
        <f t="shared" si="206"/>
        <v>-0.16010712622263679</v>
      </c>
      <c r="HR76" s="54">
        <f>IF($J76="",#N/A,SUM($HQ$4:HQ76))</f>
        <v>-5.8275965238175846</v>
      </c>
      <c r="HS76" s="54" t="str">
        <f t="shared" si="207"/>
        <v/>
      </c>
      <c r="HT76" s="54">
        <f>IF($J76="",#N/A,SUM($HS$4:HS76))</f>
        <v>5.5197538416683463</v>
      </c>
      <c r="HU76" s="65">
        <f t="shared" si="208"/>
        <v>0.99072349014128336</v>
      </c>
      <c r="HV76" s="65">
        <f>IF($J76="",#N/A,SUM(HU$4:$HU76))</f>
        <v>-0.64929276883198517</v>
      </c>
    </row>
    <row r="77" spans="1:230" x14ac:dyDescent="0.25">
      <c r="A77" s="396" t="s">
        <v>1368</v>
      </c>
      <c r="B77" s="52" t="s">
        <v>4503</v>
      </c>
      <c r="C77" s="229">
        <f t="shared" si="109"/>
        <v>3</v>
      </c>
      <c r="D77" s="219" t="str">
        <f>_xlfn.XLOOKUP(A77,[1]SP500!$A$2:$A$502,[1]SP500!$D$2:$D$502,"N")</f>
        <v>Y</v>
      </c>
      <c r="E77" s="51" t="str">
        <f>IFERROR(_xlfn.XLOOKUP(A77,[1]SP500!$A$2:$A$655,[1]SP500!$B$2:$B$655),"")</f>
        <v>XLI</v>
      </c>
      <c r="F77" s="53">
        <v>45770</v>
      </c>
      <c r="G77" s="51" t="str">
        <f t="shared" si="110"/>
        <v>BMO</v>
      </c>
      <c r="H77" s="51" t="str">
        <f t="shared" si="111"/>
        <v>s</v>
      </c>
      <c r="I77" s="344">
        <v>274.8</v>
      </c>
      <c r="J77" s="124">
        <v>271.63</v>
      </c>
      <c r="K77" s="55">
        <f t="shared" si="112"/>
        <v>-1.1535662299854497E-2</v>
      </c>
      <c r="L77" s="67">
        <f t="shared" si="113"/>
        <v>-9.5100000000001046</v>
      </c>
      <c r="M77" s="57">
        <f t="shared" si="114"/>
        <v>0</v>
      </c>
      <c r="N77" s="102">
        <f t="shared" si="115"/>
        <v>-9.5100000000001046</v>
      </c>
      <c r="O77" s="57">
        <f>IF(N77="",#N/A,SUM($N$4:N77))</f>
        <v>-122.69369563037492</v>
      </c>
      <c r="P77" s="65">
        <f t="shared" si="209"/>
        <v>-0.19226103833090941</v>
      </c>
      <c r="Q77" s="172">
        <f>IF($N77="",#N/A,SUM($P$4:P77))</f>
        <v>1.4659864012733408</v>
      </c>
      <c r="R77" s="279">
        <f t="shared" si="116"/>
        <v>2.0989747473695308</v>
      </c>
      <c r="S77" s="51" t="str">
        <f t="shared" si="117"/>
        <v>SW</v>
      </c>
      <c r="T77" s="51" t="s">
        <v>2828</v>
      </c>
      <c r="U77" s="56">
        <f t="shared" si="118"/>
        <v>274.8</v>
      </c>
      <c r="V77" s="56" t="s">
        <v>4460</v>
      </c>
      <c r="W77" s="142">
        <v>3</v>
      </c>
      <c r="X77" s="145">
        <f t="shared" si="119"/>
        <v>824.40000000000009</v>
      </c>
      <c r="Y77" s="140">
        <f t="shared" si="120"/>
        <v>3</v>
      </c>
      <c r="Z77" s="123">
        <v>271.63</v>
      </c>
      <c r="AA77" s="102">
        <f t="shared" si="121"/>
        <v>-9.5100000000001046</v>
      </c>
      <c r="AB77" s="102">
        <f t="shared" si="122"/>
        <v>-27.210000000000036</v>
      </c>
      <c r="AC77" s="124">
        <v>265.73</v>
      </c>
      <c r="AD77" s="155">
        <f t="shared" si="123"/>
        <v>-27.210000000000036</v>
      </c>
      <c r="AE77" s="545">
        <f t="shared" si="124"/>
        <v>-0.55009704027171347</v>
      </c>
      <c r="AF77" s="57">
        <f>IF($AC77="",#N/A,SUM(AD$4:AD77))</f>
        <v>-247.56582025503121</v>
      </c>
      <c r="AG77" s="102">
        <f t="shared" si="125"/>
        <v>-17.699999999999932</v>
      </c>
      <c r="AH77" s="56" t="s">
        <v>2507</v>
      </c>
      <c r="AI77" s="65">
        <f t="shared" si="126"/>
        <v>-0.19226103833090941</v>
      </c>
      <c r="AJ77" s="54">
        <f>IF(AI77="",#N/A,SUM($AI$4:AI77))</f>
        <v>-0.63298834609619026</v>
      </c>
      <c r="AK77" s="57">
        <f t="shared" si="127"/>
        <v>-9.5100000000001046</v>
      </c>
      <c r="AL77" s="349">
        <f>IF(AI77="",#N/A,IF(AH77="Skip",SUM($AK$4:AK77),SUM($AK$4:AK77)))</f>
        <v>-277.06999999999937</v>
      </c>
      <c r="AM77" s="65">
        <f t="shared" si="210"/>
        <v>-0.55009704027171347</v>
      </c>
      <c r="AN77" s="209"/>
      <c r="AO77" s="65">
        <f t="shared" si="128"/>
        <v>-0.55009704027171347</v>
      </c>
      <c r="AP77" s="65">
        <f>IF($AC77="",#N/A,SUM(AO$4:AO77))</f>
        <v>4.4172230716571743</v>
      </c>
      <c r="AQ77" s="65" t="str">
        <f t="shared" si="129"/>
        <v/>
      </c>
      <c r="AR77" s="65">
        <f>IF($AC77="",#N/A,SUM(AQ$4:AQ77))</f>
        <v>-1.0879870612894522</v>
      </c>
      <c r="AS77" s="65" t="str">
        <f t="shared" si="130"/>
        <v/>
      </c>
      <c r="AT77" s="65">
        <f>IF($AC77="",#N/A,SUM(AS$4:AS77))</f>
        <v>-4.5286258194714231</v>
      </c>
      <c r="AU77" s="57">
        <f t="shared" si="211"/>
        <v>-27.210000000000036</v>
      </c>
      <c r="AV77" s="57">
        <f>IF($AC77="",#N/A,SUM(AU$4:AU77))</f>
        <v>188.17255264778453</v>
      </c>
      <c r="AW77" s="57" t="str">
        <f t="shared" si="212"/>
        <v/>
      </c>
      <c r="AX77" s="57">
        <f>IF($AC77="",#N/A,SUM(AW$4:AW77))</f>
        <v>-66.900000000000205</v>
      </c>
      <c r="AY77" s="57" t="str">
        <f t="shared" si="213"/>
        <v/>
      </c>
      <c r="AZ77" s="57">
        <f>IF($AC77="",#N/A,SUM(AY$4:AY77))</f>
        <v>-368.83837290281554</v>
      </c>
      <c r="BA77" s="57">
        <f>IF(AD77="",#N/A,SUM($AD$4:AD77))</f>
        <v>-247.56582025503121</v>
      </c>
      <c r="BC77" s="51" t="str">
        <f t="shared" si="131"/>
        <v/>
      </c>
      <c r="BD77" s="51" t="str">
        <f t="shared" si="132"/>
        <v/>
      </c>
      <c r="BE77" s="51" t="str">
        <f t="shared" si="133"/>
        <v/>
      </c>
      <c r="BF77" s="51" t="str">
        <f t="shared" si="134"/>
        <v>Long</v>
      </c>
      <c r="BG77" s="51" t="str">
        <f t="shared" si="135"/>
        <v/>
      </c>
      <c r="BH77" s="51" t="str">
        <f t="shared" si="136"/>
        <v/>
      </c>
      <c r="BI77" s="51">
        <f t="shared" si="137"/>
        <v>1</v>
      </c>
      <c r="BK77" s="65">
        <f t="shared" si="108"/>
        <v>-1.5547452971732696E-2</v>
      </c>
      <c r="BL77" s="65">
        <f t="shared" si="107"/>
        <v>0.4233282250822471</v>
      </c>
      <c r="BM77" s="65">
        <f>IFERROR(Q77/COUNTA($J$4:J77),#N/A)</f>
        <v>1.9810627044234336E-2</v>
      </c>
      <c r="BO77" s="489">
        <f>IF(J77="",#N/A,IF(S77="SW",(COUNTIFS(K$4:$K77,"&gt;0",S$4:$S77,"SW")/COUNTIF(S$4:$S77,"SW")),#N/A))</f>
        <v>0.55813953488372092</v>
      </c>
      <c r="BP77" s="489" t="e">
        <f>IF($J77="",#N/A,IF($S77="DWN",(COUNTIFS($K$4:$K77,"&lt;0",$S$4:$S77,"DWN")/COUNTIF($S$4:$S77,"DWN")),#N/A))</f>
        <v>#N/A</v>
      </c>
      <c r="BQ77" s="489" t="e">
        <f>IF($J77="",#N/A,IF($S77="UP",(COUNTIFS($K$4:$K77,"&gt;0",$S$4:$S77,"UP")/COUNTIF($S$4:$S77,"UP")),#N/A))</f>
        <v>#N/A</v>
      </c>
      <c r="BR77" s="489">
        <f>IF(J77="",#N/A,COUNTIF($K$4:K77,"&gt;0")/COUNT($J$4:J77))</f>
        <v>0.52702702702702697</v>
      </c>
      <c r="BS77" s="65" t="str">
        <f t="shared" si="138"/>
        <v/>
      </c>
      <c r="BT77" s="65">
        <f t="shared" si="139"/>
        <v>-0.19226103833090941</v>
      </c>
      <c r="BU77" s="65" t="str">
        <f t="shared" si="140"/>
        <v/>
      </c>
      <c r="BV77" s="65" t="str">
        <f t="shared" si="141"/>
        <v/>
      </c>
      <c r="BW77" s="128" t="str">
        <f t="shared" si="142"/>
        <v/>
      </c>
      <c r="BX77" s="128">
        <f>IF($J77="",#N/A,SUM($BW$4:BW77))</f>
        <v>-91.165000000000305</v>
      </c>
      <c r="BY77" s="131" t="str">
        <f t="shared" si="143"/>
        <v/>
      </c>
      <c r="BZ77" s="131">
        <f>IF($J77="",#N/A,SUM($BY$4:BY77))</f>
        <v>-198.36871953149523</v>
      </c>
      <c r="CA77" s="133">
        <f t="shared" si="144"/>
        <v>-9.5100000000001046</v>
      </c>
      <c r="CB77" s="133">
        <f>IF($J77="",#N/A,SUM($CA$4:CA77))</f>
        <v>166.84002390112062</v>
      </c>
      <c r="CC77" s="194" t="str">
        <f t="shared" si="145"/>
        <v/>
      </c>
      <c r="CD77" s="194">
        <f>IF($J77="",#N/A,SUM($CC$4:CC77))</f>
        <v>-1.4632631312024809</v>
      </c>
      <c r="CE77" s="195" t="str">
        <f t="shared" si="146"/>
        <v/>
      </c>
      <c r="CF77" s="195">
        <f>IF($J77="",#N/A,SUM($CE$4:CE77))</f>
        <v>-2.1536522232713935</v>
      </c>
      <c r="CG77" s="196">
        <f t="shared" si="147"/>
        <v>-0.19226103833090941</v>
      </c>
      <c r="CH77" s="193">
        <f>IF($J77="",#N/A,SUM($CG$4:CG77))</f>
        <v>5.0829017557472183</v>
      </c>
      <c r="CI77" s="200" t="str">
        <f t="shared" si="148"/>
        <v/>
      </c>
      <c r="CJ77" s="203">
        <f>IF($J77="",#N/A,SUM(CI$4:CI77))</f>
        <v>0</v>
      </c>
      <c r="CK77" s="204" t="str">
        <f t="shared" si="149"/>
        <v/>
      </c>
      <c r="CL77" s="204">
        <f>IF($J77="",#N/A,SUM(CK$4:CK77))</f>
        <v>1.8934431343190481</v>
      </c>
      <c r="CM77" s="205" t="str">
        <f t="shared" si="150"/>
        <v/>
      </c>
      <c r="CN77" s="205">
        <f>IF($J77="",#N/A,SUM(CM$4:CM77))</f>
        <v>3.5437224367841633</v>
      </c>
      <c r="CO77" s="205">
        <f>IF($J77="",#N/A,SUM(CM$4:CM77,CK$4:CK77,CI$4:CI77))</f>
        <v>5.4371655711032112</v>
      </c>
      <c r="CP77" s="200" t="str">
        <f t="shared" si="151"/>
        <v/>
      </c>
      <c r="CQ77" s="203">
        <f>IF($J77="",#N/A,SUM(CP$4:CP77))</f>
        <v>0</v>
      </c>
      <c r="CR77" s="204" t="str">
        <f t="shared" si="152"/>
        <v/>
      </c>
      <c r="CS77" s="204">
        <f>IF($J77="",#N/A,SUM(CR$4:CR77))</f>
        <v>0</v>
      </c>
      <c r="CT77" s="205" t="str">
        <f t="shared" si="153"/>
        <v/>
      </c>
      <c r="CU77" s="205">
        <f>IF($J77="",#N/A,SUM(CT$4:CT77))</f>
        <v>0</v>
      </c>
      <c r="CV77" s="205">
        <f>IF($J77="",#N/A,SUM(CT$4:CT77,CR$4:CR77,CP$4:CP77))</f>
        <v>0</v>
      </c>
      <c r="CW77" s="200" t="str">
        <f t="shared" si="154"/>
        <v/>
      </c>
      <c r="CX77" s="203">
        <f>IF($J77="",#N/A,SUM(CW$4:CW77))</f>
        <v>0</v>
      </c>
      <c r="CY77" s="204" t="str">
        <f t="shared" si="155"/>
        <v/>
      </c>
      <c r="CZ77" s="204">
        <f>IF($J77="",#N/A,SUM(CY$4:CY77))</f>
        <v>-0.63271328921481373</v>
      </c>
      <c r="DA77" s="205" t="str">
        <f t="shared" si="156"/>
        <v/>
      </c>
      <c r="DB77" s="205">
        <f>IF($J77="",#N/A,SUM(DA$4:DA77))</f>
        <v>1.1829222170861893</v>
      </c>
      <c r="DC77" s="205">
        <f>IF($J77="",#N/A,SUM(DA$4:DA77,CY$4:CY77,CW$4:CW77))</f>
        <v>0.55020892787137554</v>
      </c>
      <c r="DD77" s="200" t="str">
        <f t="shared" si="157"/>
        <v/>
      </c>
      <c r="DE77" s="203">
        <f>IF($J77="",#N/A,SUM(DD$4:DD77))</f>
        <v>0.4905246481018824</v>
      </c>
      <c r="DF77" s="204" t="str">
        <f t="shared" si="158"/>
        <v/>
      </c>
      <c r="DG77" s="204">
        <f>IF($J77="",#N/A,SUM(DF$4:DF77))</f>
        <v>0.6788440567066546</v>
      </c>
      <c r="DH77" s="205" t="str">
        <f t="shared" si="159"/>
        <v/>
      </c>
      <c r="DI77" s="205">
        <f>IF($J77="",#N/A,SUM(DH$4:DH77))</f>
        <v>-0.83172699364602887</v>
      </c>
      <c r="DJ77" s="205">
        <f>IF($J77="",#N/A,SUM(DH$4:DH77,DF$4:DF77,DD$4:DD77))</f>
        <v>0.33764171116250813</v>
      </c>
      <c r="DK77" s="200" t="str">
        <f t="shared" si="160"/>
        <v/>
      </c>
      <c r="DL77" s="203">
        <f>IF($J77="",#N/A,SUM(DK$4:DK77))</f>
        <v>0</v>
      </c>
      <c r="DM77" s="204" t="str">
        <f t="shared" si="161"/>
        <v/>
      </c>
      <c r="DN77" s="204">
        <f>IF($J77="",#N/A,SUM(DM$4:DM77))</f>
        <v>0.36227168206863897</v>
      </c>
      <c r="DO77" s="205" t="str">
        <f t="shared" si="162"/>
        <v/>
      </c>
      <c r="DP77" s="205">
        <f>IF($J77="",#N/A,SUM(DO$4:DO77))</f>
        <v>-0.43291760746858676</v>
      </c>
      <c r="DQ77" s="205">
        <f>IF($J77="",#N/A,SUM(DO$4:DO77,DM$4:DM77,DK$4:DK77))</f>
        <v>-7.0645925399947795E-2</v>
      </c>
      <c r="DR77" s="200" t="str">
        <f t="shared" si="163"/>
        <v/>
      </c>
      <c r="DS77" s="203">
        <f>IF($J77="",#N/A,SUM(DR$4:DR77))</f>
        <v>-0.55950946427675097</v>
      </c>
      <c r="DT77" s="204" t="str">
        <f t="shared" si="164"/>
        <v/>
      </c>
      <c r="DU77" s="204">
        <f>IF($J77="",#N/A,SUM(DT$4:DT77))</f>
        <v>-2.8875364672150718</v>
      </c>
      <c r="DV77" s="205" t="str">
        <f t="shared" si="165"/>
        <v/>
      </c>
      <c r="DW77" s="205">
        <f>IF($J77="",#N/A,SUM(DV$4:DV77))</f>
        <v>-0.23245750740486493</v>
      </c>
      <c r="DX77" s="205">
        <f>IF($J77="",#N/A,SUM(DV$4:DV77,DT$4:DT77,DR$4:DR77))</f>
        <v>-3.6795034388966879</v>
      </c>
      <c r="DY77" s="200" t="str">
        <f t="shared" si="166"/>
        <v/>
      </c>
      <c r="DZ77" s="203">
        <f>IF($J77="",#N/A,SUM(DY$4:DY77))</f>
        <v>-1.4611133068588897</v>
      </c>
      <c r="EA77" s="204" t="str">
        <f t="shared" si="167"/>
        <v/>
      </c>
      <c r="EB77" s="204">
        <f>IF($J77="",#N/A,SUM(EA$4:EA77))</f>
        <v>-1.2459555278526064</v>
      </c>
      <c r="EC77" s="205">
        <f t="shared" si="168"/>
        <v>-0.19226103833090941</v>
      </c>
      <c r="ED77" s="205">
        <f>IF($J77="",#N/A,SUM(EC$4:EC77))</f>
        <v>3.443014111116935</v>
      </c>
      <c r="EE77" s="205">
        <f>IF($J77="",#N/A,SUM(EC$4:EC77,EA$4:EA77,DY$4:DY77))</f>
        <v>0.73594527640543883</v>
      </c>
      <c r="EF77" s="200" t="str">
        <f t="shared" si="169"/>
        <v/>
      </c>
      <c r="EG77" s="203">
        <f>IF($J77="",#N/A,SUM(EF$4:EF77))</f>
        <v>0</v>
      </c>
      <c r="EH77" s="204" t="str">
        <f t="shared" si="170"/>
        <v/>
      </c>
      <c r="EI77" s="204">
        <f>IF($J77="",#N/A,SUM(EH$4:EH77))</f>
        <v>-2.0327391387894549</v>
      </c>
      <c r="EJ77" s="205" t="str">
        <f t="shared" si="171"/>
        <v/>
      </c>
      <c r="EK77" s="205">
        <f>IF($J77="",#N/A,SUM(EJ$4:EJ77))</f>
        <v>1.3436756383175479</v>
      </c>
      <c r="EL77" s="205">
        <f>IF($J77="",#N/A,SUM(EJ$4:EJ77,EH$4:EH77,EF$4:EF77))</f>
        <v>-0.6890635004719069</v>
      </c>
      <c r="EM77" s="200" t="str">
        <f t="shared" si="172"/>
        <v/>
      </c>
      <c r="EN77" s="203">
        <f>IF($J77="",#N/A,SUM(EM$4:EM77))</f>
        <v>0</v>
      </c>
      <c r="EO77" s="204" t="str">
        <f t="shared" si="173"/>
        <v/>
      </c>
      <c r="EP77" s="204">
        <f>IF($J77="",#N/A,SUM(EO$4:EO77))</f>
        <v>0.74379497102635161</v>
      </c>
      <c r="EQ77" s="205" t="str">
        <f t="shared" si="174"/>
        <v/>
      </c>
      <c r="ER77" s="205">
        <f>IF($J77="",#N/A,SUM(EQ$4:EQ77))</f>
        <v>0.4926597949853756</v>
      </c>
      <c r="ES77" s="205">
        <f>IF($J77="",#N/A,SUM(EQ$4:EQ77,EO$4:EO77,EM$4:EM77))</f>
        <v>1.2364547660117271</v>
      </c>
      <c r="ET77" s="200" t="str">
        <f t="shared" si="175"/>
        <v/>
      </c>
      <c r="EU77" s="203">
        <f>IF($J77="",#N/A,SUM(ET$4:ET77))</f>
        <v>0</v>
      </c>
      <c r="EV77" s="204" t="str">
        <f t="shared" si="176"/>
        <v/>
      </c>
      <c r="EW77" s="204">
        <f>IF($J77="",#N/A,SUM(EV$4:EV77))</f>
        <v>0</v>
      </c>
      <c r="EX77" s="205" t="str">
        <f t="shared" si="177"/>
        <v/>
      </c>
      <c r="EY77" s="205">
        <f>IF($J77="",#N/A,SUM(EX$4:EX77))</f>
        <v>0</v>
      </c>
      <c r="EZ77" s="205">
        <f>IF($J77="",#N/A,SUM(EX$4:EX77,EV$4:EV77,ET$4:ET77))</f>
        <v>0</v>
      </c>
      <c r="FA77" s="200" t="str">
        <f t="shared" si="178"/>
        <v/>
      </c>
      <c r="FB77" s="203">
        <f>IF($J77="",#N/A,SUM(FA$4:FA77))</f>
        <v>0</v>
      </c>
      <c r="FC77" s="204" t="str">
        <f t="shared" si="179"/>
        <v/>
      </c>
      <c r="FD77" s="204">
        <f>IF($J77="",#N/A,SUM(FC$4:FC77))</f>
        <v>1.3724148418491529</v>
      </c>
      <c r="FE77" s="205" t="str">
        <f t="shared" si="180"/>
        <v/>
      </c>
      <c r="FF77" s="205">
        <f>IF($J77="",#N/A,SUM(FE$4:FE77))</f>
        <v>-0.28811149078748233</v>
      </c>
      <c r="FG77" s="205">
        <f>IF($J77="",#N/A,SUM(FE$4:FE77,FC$4:FC77,FA$4:FA77))</f>
        <v>1.0843033510616706</v>
      </c>
      <c r="FH77" s="200" t="str">
        <f t="shared" si="181"/>
        <v/>
      </c>
      <c r="FI77" s="203">
        <f>IF($J77="",#N/A,SUM(FH$4:FH77))</f>
        <v>0</v>
      </c>
      <c r="FJ77" s="204" t="str">
        <f t="shared" si="182"/>
        <v/>
      </c>
      <c r="FK77" s="204">
        <f>IF($J77="",#N/A,SUM(FJ$4:FJ77))</f>
        <v>0</v>
      </c>
      <c r="FL77" s="205" t="str">
        <f t="shared" si="183"/>
        <v/>
      </c>
      <c r="FM77" s="205">
        <f>IF($J77="",#N/A,SUM(FL$4:FL77))</f>
        <v>0</v>
      </c>
      <c r="FN77" s="205">
        <f>IF($J77="",#N/A,SUM(FL$4:FL77,FJ$4:FJ77,FH$4:FH77))</f>
        <v>0</v>
      </c>
      <c r="FO77" s="200" t="str">
        <f t="shared" si="184"/>
        <v/>
      </c>
      <c r="FP77" s="203">
        <f>IF($J77="",#N/A,SUM(FO$4:FO77))</f>
        <v>0</v>
      </c>
      <c r="FQ77" s="204" t="str">
        <f t="shared" si="185"/>
        <v/>
      </c>
      <c r="FR77" s="204">
        <f>IF($J77="",#N/A,SUM(FQ$4:FQ77))</f>
        <v>0</v>
      </c>
      <c r="FS77" s="205" t="str">
        <f t="shared" si="186"/>
        <v/>
      </c>
      <c r="FT77" s="205">
        <f>IF($J77="",#N/A,SUM(FS$4:FS77))</f>
        <v>0</v>
      </c>
      <c r="FU77" s="205">
        <f>IF($J77="",#N/A,SUM(FS$4:FS77,FQ$4:FQ77,FO$4:FO77))</f>
        <v>0</v>
      </c>
      <c r="FV77" s="200" t="str">
        <f t="shared" si="187"/>
        <v/>
      </c>
      <c r="FW77" s="203">
        <f>IF($J77="",#N/A,SUM(FV$4:FV77))</f>
        <v>6.6834991831277585E-2</v>
      </c>
      <c r="FX77" s="204" t="str">
        <f t="shared" si="188"/>
        <v/>
      </c>
      <c r="FY77" s="204">
        <f>IF($J77="",#N/A,SUM(FX$4:FX77))</f>
        <v>0</v>
      </c>
      <c r="FZ77" s="205" t="str">
        <f t="shared" si="189"/>
        <v/>
      </c>
      <c r="GA77" s="205">
        <f>IF($J77="",#N/A,SUM(FZ$4:FZ77))</f>
        <v>-0.20104261551371039</v>
      </c>
      <c r="GB77" s="205">
        <f>IF($J77="",#N/A,SUM(FZ$4:FZ77,FX$4:FX77,FV$4:FV77))</f>
        <v>-0.1342076236824328</v>
      </c>
      <c r="GC77" s="200" t="str">
        <f t="shared" si="190"/>
        <v/>
      </c>
      <c r="GD77" s="203">
        <f>IF($J77="",#N/A,SUM(GC$4:GC77))</f>
        <v>0</v>
      </c>
      <c r="GE77" s="204" t="str">
        <f t="shared" si="191"/>
        <v/>
      </c>
      <c r="GF77" s="204">
        <f>IF($J77="",#N/A,SUM(GE$4:GE77))</f>
        <v>0</v>
      </c>
      <c r="GG77" s="205" t="str">
        <f t="shared" si="192"/>
        <v/>
      </c>
      <c r="GH77" s="205">
        <f>IF($J77="",#N/A,SUM(GG$4:GG77))</f>
        <v>-2.9368362277223206</v>
      </c>
      <c r="GI77" s="205">
        <f>IF($J77="",#N/A,SUM(GG$4:GG77,GE$4:GE77,GC$4:GC77))</f>
        <v>-2.9368362277223206</v>
      </c>
      <c r="GJ77" s="200" t="str">
        <f t="shared" si="193"/>
        <v/>
      </c>
      <c r="GK77" s="203">
        <f>IF($J77="",#N/A,SUM(GJ$4:GJ77))</f>
        <v>0</v>
      </c>
      <c r="GL77" s="204" t="str">
        <f t="shared" si="194"/>
        <v/>
      </c>
      <c r="GM77" s="204">
        <f>IF($J77="",#N/A,SUM(GL$4:GL77))</f>
        <v>-0.4054764861692941</v>
      </c>
      <c r="GN77" s="205" t="str">
        <f t="shared" si="195"/>
        <v/>
      </c>
      <c r="GO77" s="205">
        <f>IF($J77="",#N/A,SUM(GN$4:GN77))</f>
        <v>0</v>
      </c>
      <c r="GP77" s="205">
        <f>IF($J77="",#N/A,SUM(GN$4:GN77,GL$4:GL77,GJ$4:GJ77))</f>
        <v>-0.4054764861692941</v>
      </c>
      <c r="GS77" s="54">
        <f t="shared" si="214"/>
        <v>-0.19226103833090941</v>
      </c>
      <c r="GT77" s="54">
        <f>IF(GS77="",NA(),SUM($GS$4:GS77))</f>
        <v>1.2639975883460575</v>
      </c>
      <c r="GU77" s="54" t="str">
        <f t="shared" si="196"/>
        <v/>
      </c>
      <c r="GV77" s="54" t="e">
        <f>IF(GU77="",NA(),SUM($GU$4:GU77))</f>
        <v>#N/A</v>
      </c>
      <c r="GW77" s="54">
        <f t="shared" si="197"/>
        <v>-0.19226103833090941</v>
      </c>
      <c r="GX77" s="54">
        <f>IF(GW77="",NA(),SUM($GW$4:GW77))</f>
        <v>4.8809129428199327</v>
      </c>
      <c r="GY77" s="54" t="str">
        <f t="shared" si="198"/>
        <v/>
      </c>
      <c r="GZ77" s="54" t="e">
        <f>IF(GY77="",NA(),SUM($GY$4:GY77))</f>
        <v>#N/A</v>
      </c>
      <c r="HA77" s="54" t="str">
        <f t="shared" si="199"/>
        <v/>
      </c>
      <c r="HB77" s="54" t="e">
        <f>IF(HA77="",NA(),SUM($HA$4:HA77))</f>
        <v>#N/A</v>
      </c>
      <c r="HC77" s="54" t="str">
        <f t="shared" si="200"/>
        <v/>
      </c>
      <c r="HD77" s="54" t="e">
        <f>IF(HC77="",NA(),SUM($HC$4:HC77))</f>
        <v>#N/A</v>
      </c>
      <c r="HE77" s="54" t="str">
        <f t="shared" si="201"/>
        <v/>
      </c>
      <c r="HF77" s="54" t="e">
        <f>IF(HE77="",NA(),SUM($HE$4:HE77))</f>
        <v>#N/A</v>
      </c>
      <c r="HG77" s="54" t="str">
        <f t="shared" si="202"/>
        <v/>
      </c>
      <c r="HH77" s="54" t="e">
        <f>IF(HG77="",NA(),SUM($HG$4:HG77))</f>
        <v>#N/A</v>
      </c>
      <c r="HI77" s="172" t="str">
        <f t="shared" si="215"/>
        <v/>
      </c>
      <c r="HJ77" s="172">
        <f>IF($J77="",#N/A,SUM(HI$4:$HI77))</f>
        <v>-0.83132705025154807</v>
      </c>
      <c r="HK77" s="54" t="str">
        <f t="shared" si="203"/>
        <v/>
      </c>
      <c r="HL77" s="54">
        <f>IF($J77="",#N/A,SUM($HK$4:HK77))</f>
        <v>-1.5436465459484796</v>
      </c>
      <c r="HM77" s="54" t="str">
        <f t="shared" si="204"/>
        <v/>
      </c>
      <c r="HN77" s="54">
        <f>IF($J77="",#N/A,SUM($HM$4:HM77))</f>
        <v>0.72020221657224703</v>
      </c>
      <c r="HO77" s="54" t="str">
        <f t="shared" si="205"/>
        <v/>
      </c>
      <c r="HP77" s="54">
        <f>IF($J77="",#N/A,SUM($HO$4:HO77))</f>
        <v>-0.34492614665921834</v>
      </c>
      <c r="HQ77" s="54" t="str">
        <f t="shared" si="206"/>
        <v/>
      </c>
      <c r="HR77" s="54">
        <f>IF($J77="",#N/A,SUM($HQ$4:HQ77))</f>
        <v>-5.8275965238175846</v>
      </c>
      <c r="HS77" s="54">
        <f t="shared" si="207"/>
        <v>-0.35783600194080406</v>
      </c>
      <c r="HT77" s="54">
        <f>IF($J77="",#N/A,SUM($HS$4:HS77))</f>
        <v>5.1619178397275425</v>
      </c>
      <c r="HU77" s="65">
        <f t="shared" si="208"/>
        <v>-0.55009704027171347</v>
      </c>
      <c r="HV77" s="65">
        <f>IF($J77="",#N/A,SUM(HU$4:$HU77))</f>
        <v>-1.1993898091036987</v>
      </c>
    </row>
    <row r="78" spans="1:230" x14ac:dyDescent="0.25">
      <c r="A78" s="51" t="s">
        <v>1322</v>
      </c>
      <c r="B78" s="52" t="s">
        <v>4503</v>
      </c>
      <c r="C78" s="229">
        <f t="shared" si="109"/>
        <v>3</v>
      </c>
      <c r="D78" s="219" t="str">
        <f>_xlfn.XLOOKUP(A78,[1]SP500!$A$2:$A$502,[1]SP500!$D$2:$D$502,"N")</f>
        <v>Y</v>
      </c>
      <c r="E78" s="51" t="str">
        <f>IFERROR(_xlfn.XLOOKUP(A78,[1]SP500!$A$2:$A$655,[1]SP500!$B$2:$B$655),"")</f>
        <v>XLV</v>
      </c>
      <c r="F78" s="53">
        <v>45770</v>
      </c>
      <c r="G78" s="51" t="str">
        <f t="shared" si="110"/>
        <v>BMO</v>
      </c>
      <c r="H78" s="51" t="str">
        <f t="shared" si="111"/>
        <v>s</v>
      </c>
      <c r="I78" s="344">
        <v>95.05</v>
      </c>
      <c r="J78" s="123">
        <v>100</v>
      </c>
      <c r="K78" s="55">
        <f t="shared" si="112"/>
        <v>5.2077853761178357E-2</v>
      </c>
      <c r="L78" s="67">
        <f t="shared" si="113"/>
        <v>39.600000000000023</v>
      </c>
      <c r="M78" s="57">
        <f t="shared" si="114"/>
        <v>0</v>
      </c>
      <c r="N78" s="102">
        <f t="shared" si="115"/>
        <v>39.600000000000023</v>
      </c>
      <c r="O78" s="57">
        <f>IF(N78="",#N/A,SUM($N$4:N78))</f>
        <v>-83.093695630374896</v>
      </c>
      <c r="P78" s="65">
        <f t="shared" si="209"/>
        <v>0.86796422935297268</v>
      </c>
      <c r="Q78" s="172">
        <f>IF($N78="",#N/A,SUM($P$4:P78))</f>
        <v>2.3339506306263136</v>
      </c>
      <c r="R78" s="279">
        <f t="shared" si="116"/>
        <v>2.0989747473695313</v>
      </c>
      <c r="S78" s="51" t="str">
        <f t="shared" si="117"/>
        <v>SW</v>
      </c>
      <c r="T78" s="51" t="s">
        <v>2828</v>
      </c>
      <c r="U78" s="56">
        <f t="shared" si="118"/>
        <v>95.05</v>
      </c>
      <c r="V78" s="56" t="s">
        <v>4460</v>
      </c>
      <c r="W78" s="142">
        <v>8</v>
      </c>
      <c r="X78" s="145">
        <f t="shared" si="119"/>
        <v>760.4</v>
      </c>
      <c r="Y78" s="140">
        <f t="shared" si="120"/>
        <v>8</v>
      </c>
      <c r="Z78" s="123">
        <v>100</v>
      </c>
      <c r="AA78" s="102">
        <f t="shared" si="121"/>
        <v>39.600000000000023</v>
      </c>
      <c r="AB78" s="102">
        <f t="shared" si="122"/>
        <v>30.960000000000036</v>
      </c>
      <c r="AC78" s="124">
        <v>98.92</v>
      </c>
      <c r="AD78" s="155">
        <f t="shared" si="123"/>
        <v>30.960000000000036</v>
      </c>
      <c r="AE78" s="545">
        <f t="shared" si="124"/>
        <v>0.67859021567596089</v>
      </c>
      <c r="AF78" s="57">
        <f>IF($AC78="",#N/A,SUM(AD$4:AD78))</f>
        <v>-216.60582025503118</v>
      </c>
      <c r="AG78" s="102">
        <f t="shared" si="125"/>
        <v>-8.6399999999999864</v>
      </c>
      <c r="AH78" s="56" t="s">
        <v>2507</v>
      </c>
      <c r="AI78" s="65">
        <f t="shared" si="126"/>
        <v>0.86796422935297268</v>
      </c>
      <c r="AJ78" s="65">
        <f>IF(AI78="",#N/A,SUM($AI$4:AI78))</f>
        <v>0.23497588325678243</v>
      </c>
      <c r="AK78" s="57">
        <f t="shared" si="127"/>
        <v>39.600000000000023</v>
      </c>
      <c r="AL78" s="349">
        <f>IF(AI78="",#N/A,IF(AH78="Skip",SUM($AK$4:AK78),SUM($AK$4:AK78)))</f>
        <v>-237.46999999999935</v>
      </c>
      <c r="AM78" s="65">
        <f t="shared" si="210"/>
        <v>0.67859021567596089</v>
      </c>
      <c r="AN78" s="209"/>
      <c r="AO78" s="65">
        <f t="shared" si="128"/>
        <v>0.67859021567596089</v>
      </c>
      <c r="AP78" s="65">
        <f>IF($AC78="",#N/A,SUM(AO$4:AO78))</f>
        <v>5.0958132873331348</v>
      </c>
      <c r="AQ78" s="65" t="str">
        <f t="shared" si="129"/>
        <v/>
      </c>
      <c r="AR78" s="65">
        <f>IF($AC78="",#N/A,SUM(AQ$4:AQ78))</f>
        <v>-1.0879870612894522</v>
      </c>
      <c r="AS78" s="65" t="str">
        <f t="shared" si="130"/>
        <v/>
      </c>
      <c r="AT78" s="65">
        <f>IF($AC78="",#N/A,SUM(AS$4:AS78))</f>
        <v>-4.5286258194714231</v>
      </c>
      <c r="AU78" s="57">
        <f t="shared" si="211"/>
        <v>30.960000000000036</v>
      </c>
      <c r="AV78" s="57">
        <f>IF($AC78="",#N/A,SUM(AU$4:AU78))</f>
        <v>219.13255264778456</v>
      </c>
      <c r="AW78" s="57" t="str">
        <f t="shared" si="212"/>
        <v/>
      </c>
      <c r="AX78" s="57">
        <f>IF($AC78="",#N/A,SUM(AW$4:AW78))</f>
        <v>-66.900000000000205</v>
      </c>
      <c r="AY78" s="57" t="str">
        <f t="shared" si="213"/>
        <v/>
      </c>
      <c r="AZ78" s="57">
        <f>IF($AC78="",#N/A,SUM(AY$4:AY78))</f>
        <v>-368.83837290281554</v>
      </c>
      <c r="BA78" s="57">
        <f>IF(AD78="",#N/A,SUM($AD$4:AD78))</f>
        <v>-216.60582025503118</v>
      </c>
      <c r="BC78" s="51" t="str">
        <f t="shared" si="131"/>
        <v/>
      </c>
      <c r="BD78" s="51" t="str">
        <f t="shared" si="132"/>
        <v/>
      </c>
      <c r="BE78" s="51">
        <f t="shared" si="133"/>
        <v>1</v>
      </c>
      <c r="BF78" s="51" t="str">
        <f t="shared" si="134"/>
        <v>Long</v>
      </c>
      <c r="BG78" s="51" t="str">
        <f t="shared" si="135"/>
        <v/>
      </c>
      <c r="BH78" s="51" t="str">
        <f t="shared" si="136"/>
        <v/>
      </c>
      <c r="BI78" s="51" t="str">
        <f t="shared" si="137"/>
        <v/>
      </c>
      <c r="BK78" s="65">
        <f t="shared" si="108"/>
        <v>6.0548556169773171E-2</v>
      </c>
      <c r="BL78" s="65">
        <f t="shared" si="107"/>
        <v>0.49131587400220716</v>
      </c>
      <c r="BM78" s="65">
        <f>IFERROR(Q78/COUNTA($J$4:J78),#N/A)</f>
        <v>3.1119341741684181E-2</v>
      </c>
      <c r="BO78" s="489">
        <f>IF(J78="",#N/A,IF(S78="SW",(COUNTIFS(K$4:$K78,"&gt;0",S$4:$S78,"SW")/COUNTIF(S$4:$S78,"SW")),#N/A))</f>
        <v>0.56818181818181823</v>
      </c>
      <c r="BP78" s="489" t="e">
        <f>IF($J78="",#N/A,IF($S78="DWN",(COUNTIFS($K$4:$K78,"&lt;0",$S$4:$S78,"DWN")/COUNTIF($S$4:$S78,"DWN")),#N/A))</f>
        <v>#N/A</v>
      </c>
      <c r="BQ78" s="489" t="e">
        <f>IF($J78="",#N/A,IF($S78="UP",(COUNTIFS($K$4:$K78,"&gt;0",$S$4:$S78,"UP")/COUNTIF($S$4:$S78,"UP")),#N/A))</f>
        <v>#N/A</v>
      </c>
      <c r="BR78" s="489">
        <f>IF(J78="",#N/A,COUNTIF($K$4:K78,"&gt;0")/COUNT($J$4:J78))</f>
        <v>0.53333333333333333</v>
      </c>
      <c r="BS78" s="65">
        <f t="shared" si="138"/>
        <v>0.86796422935297268</v>
      </c>
      <c r="BT78" s="65" t="str">
        <f t="shared" si="139"/>
        <v/>
      </c>
      <c r="BU78" s="65" t="str">
        <f t="shared" si="140"/>
        <v/>
      </c>
      <c r="BV78" s="65" t="str">
        <f t="shared" si="141"/>
        <v/>
      </c>
      <c r="BW78" s="128" t="str">
        <f t="shared" si="142"/>
        <v/>
      </c>
      <c r="BX78" s="128">
        <f>IF($J78="",#N/A,SUM($BW$4:BW78))</f>
        <v>-91.165000000000305</v>
      </c>
      <c r="BY78" s="131" t="str">
        <f t="shared" si="143"/>
        <v/>
      </c>
      <c r="BZ78" s="131">
        <f>IF($J78="",#N/A,SUM($BY$4:BY78))</f>
        <v>-198.36871953149523</v>
      </c>
      <c r="CA78" s="133">
        <f t="shared" si="144"/>
        <v>39.600000000000023</v>
      </c>
      <c r="CB78" s="133">
        <f>IF($J78="",#N/A,SUM($CA$4:CA78))</f>
        <v>206.44002390112064</v>
      </c>
      <c r="CC78" s="194" t="str">
        <f t="shared" si="145"/>
        <v/>
      </c>
      <c r="CD78" s="194">
        <f>IF($J78="",#N/A,SUM($CC$4:CC78))</f>
        <v>-1.4632631312024809</v>
      </c>
      <c r="CE78" s="195" t="str">
        <f t="shared" si="146"/>
        <v/>
      </c>
      <c r="CF78" s="195">
        <f>IF($J78="",#N/A,SUM($CE$4:CE78))</f>
        <v>-2.1536522232713935</v>
      </c>
      <c r="CG78" s="196">
        <f t="shared" si="147"/>
        <v>0.86796422935297268</v>
      </c>
      <c r="CH78" s="196">
        <f>IF($J78="",#N/A,SUM($CG$4:CG78))</f>
        <v>5.950865985100191</v>
      </c>
      <c r="CI78" s="200" t="str">
        <f t="shared" si="148"/>
        <v/>
      </c>
      <c r="CJ78" s="203">
        <f>IF($J78="",#N/A,SUM(CI$4:CI78))</f>
        <v>0</v>
      </c>
      <c r="CK78" s="204" t="str">
        <f t="shared" si="149"/>
        <v/>
      </c>
      <c r="CL78" s="204">
        <f>IF($J78="",#N/A,SUM(CK$4:CK78))</f>
        <v>1.8934431343190481</v>
      </c>
      <c r="CM78" s="205" t="str">
        <f t="shared" si="150"/>
        <v/>
      </c>
      <c r="CN78" s="205">
        <f>IF($J78="",#N/A,SUM(CM$4:CM78))</f>
        <v>3.5437224367841633</v>
      </c>
      <c r="CO78" s="205">
        <f>IF($J78="",#N/A,SUM(CM$4:CM78,CK$4:CK78,CI$4:CI78))</f>
        <v>5.4371655711032112</v>
      </c>
      <c r="CP78" s="200" t="str">
        <f t="shared" si="151"/>
        <v/>
      </c>
      <c r="CQ78" s="203">
        <f>IF($J78="",#N/A,SUM(CP$4:CP78))</f>
        <v>0</v>
      </c>
      <c r="CR78" s="204" t="str">
        <f t="shared" si="152"/>
        <v/>
      </c>
      <c r="CS78" s="204">
        <f>IF($J78="",#N/A,SUM(CR$4:CR78))</f>
        <v>0</v>
      </c>
      <c r="CT78" s="205" t="str">
        <f t="shared" si="153"/>
        <v/>
      </c>
      <c r="CU78" s="205">
        <f>IF($J78="",#N/A,SUM(CT$4:CT78))</f>
        <v>0</v>
      </c>
      <c r="CV78" s="205">
        <f>IF($J78="",#N/A,SUM(CT$4:CT78,CR$4:CR78,CP$4:CP78))</f>
        <v>0</v>
      </c>
      <c r="CW78" s="200" t="str">
        <f t="shared" si="154"/>
        <v/>
      </c>
      <c r="CX78" s="203">
        <f>IF($J78="",#N/A,SUM(CW$4:CW78))</f>
        <v>0</v>
      </c>
      <c r="CY78" s="204" t="str">
        <f t="shared" si="155"/>
        <v/>
      </c>
      <c r="CZ78" s="204">
        <f>IF($J78="",#N/A,SUM(CY$4:CY78))</f>
        <v>-0.63271328921481373</v>
      </c>
      <c r="DA78" s="205" t="str">
        <f t="shared" si="156"/>
        <v/>
      </c>
      <c r="DB78" s="205">
        <f>IF($J78="",#N/A,SUM(DA$4:DA78))</f>
        <v>1.1829222170861893</v>
      </c>
      <c r="DC78" s="205">
        <f>IF($J78="",#N/A,SUM(DA$4:DA78,CY$4:CY78,CW$4:CW78))</f>
        <v>0.55020892787137554</v>
      </c>
      <c r="DD78" s="200" t="str">
        <f t="shared" si="157"/>
        <v/>
      </c>
      <c r="DE78" s="203">
        <f>IF($J78="",#N/A,SUM(DD$4:DD78))</f>
        <v>0.4905246481018824</v>
      </c>
      <c r="DF78" s="204" t="str">
        <f t="shared" si="158"/>
        <v/>
      </c>
      <c r="DG78" s="204">
        <f>IF($J78="",#N/A,SUM(DF$4:DF78))</f>
        <v>0.6788440567066546</v>
      </c>
      <c r="DH78" s="205" t="str">
        <f t="shared" si="159"/>
        <v/>
      </c>
      <c r="DI78" s="205">
        <f>IF($J78="",#N/A,SUM(DH$4:DH78))</f>
        <v>-0.83172699364602887</v>
      </c>
      <c r="DJ78" s="205">
        <f>IF($J78="",#N/A,SUM(DH$4:DH78,DF$4:DF78,DD$4:DD78))</f>
        <v>0.33764171116250813</v>
      </c>
      <c r="DK78" s="200" t="str">
        <f t="shared" si="160"/>
        <v/>
      </c>
      <c r="DL78" s="203">
        <f>IF($J78="",#N/A,SUM(DK$4:DK78))</f>
        <v>0</v>
      </c>
      <c r="DM78" s="204" t="str">
        <f t="shared" si="161"/>
        <v/>
      </c>
      <c r="DN78" s="204">
        <f>IF($J78="",#N/A,SUM(DM$4:DM78))</f>
        <v>0.36227168206863897</v>
      </c>
      <c r="DO78" s="205" t="str">
        <f t="shared" si="162"/>
        <v/>
      </c>
      <c r="DP78" s="205">
        <f>IF($J78="",#N/A,SUM(DO$4:DO78))</f>
        <v>-0.43291760746858676</v>
      </c>
      <c r="DQ78" s="205">
        <f>IF($J78="",#N/A,SUM(DO$4:DO78,DM$4:DM78,DK$4:DK78))</f>
        <v>-7.0645925399947795E-2</v>
      </c>
      <c r="DR78" s="200" t="str">
        <f t="shared" si="163"/>
        <v/>
      </c>
      <c r="DS78" s="203">
        <f>IF($J78="",#N/A,SUM(DR$4:DR78))</f>
        <v>-0.55950946427675097</v>
      </c>
      <c r="DT78" s="204" t="str">
        <f t="shared" si="164"/>
        <v/>
      </c>
      <c r="DU78" s="204">
        <f>IF($J78="",#N/A,SUM(DT$4:DT78))</f>
        <v>-2.8875364672150718</v>
      </c>
      <c r="DV78" s="205" t="str">
        <f t="shared" si="165"/>
        <v/>
      </c>
      <c r="DW78" s="205">
        <f>IF($J78="",#N/A,SUM(DV$4:DV78))</f>
        <v>-0.23245750740486493</v>
      </c>
      <c r="DX78" s="205">
        <f>IF($J78="",#N/A,SUM(DV$4:DV78,DT$4:DT78,DR$4:DR78))</f>
        <v>-3.6795034388966879</v>
      </c>
      <c r="DY78" s="200" t="str">
        <f t="shared" si="166"/>
        <v/>
      </c>
      <c r="DZ78" s="203">
        <f>IF($J78="",#N/A,SUM(DY$4:DY78))</f>
        <v>-1.4611133068588897</v>
      </c>
      <c r="EA78" s="204" t="str">
        <f t="shared" si="167"/>
        <v/>
      </c>
      <c r="EB78" s="204">
        <f>IF($J78="",#N/A,SUM(EA$4:EA78))</f>
        <v>-1.2459555278526064</v>
      </c>
      <c r="EC78" s="205" t="str">
        <f t="shared" si="168"/>
        <v/>
      </c>
      <c r="ED78" s="205">
        <f>IF($J78="",#N/A,SUM(EC$4:EC78))</f>
        <v>3.443014111116935</v>
      </c>
      <c r="EE78" s="205">
        <f>IF($J78="",#N/A,SUM(EC$4:EC78,EA$4:EA78,DY$4:DY78))</f>
        <v>0.73594527640543883</v>
      </c>
      <c r="EF78" s="200" t="str">
        <f t="shared" si="169"/>
        <v/>
      </c>
      <c r="EG78" s="203">
        <f>IF($J78="",#N/A,SUM(EF$4:EF78))</f>
        <v>0</v>
      </c>
      <c r="EH78" s="204" t="str">
        <f t="shared" si="170"/>
        <v/>
      </c>
      <c r="EI78" s="204">
        <f>IF($J78="",#N/A,SUM(EH$4:EH78))</f>
        <v>-2.0327391387894549</v>
      </c>
      <c r="EJ78" s="205">
        <f t="shared" si="171"/>
        <v>0.86796422935297268</v>
      </c>
      <c r="EK78" s="205">
        <f>IF($J78="",#N/A,SUM(EJ$4:EJ78))</f>
        <v>2.2116398676705207</v>
      </c>
      <c r="EL78" s="205">
        <f>IF($J78="",#N/A,SUM(EJ$4:EJ78,EH$4:EH78,EF$4:EF78))</f>
        <v>0.1789007288810659</v>
      </c>
      <c r="EM78" s="200" t="str">
        <f t="shared" si="172"/>
        <v/>
      </c>
      <c r="EN78" s="203">
        <f>IF($J78="",#N/A,SUM(EM$4:EM78))</f>
        <v>0</v>
      </c>
      <c r="EO78" s="204" t="str">
        <f t="shared" si="173"/>
        <v/>
      </c>
      <c r="EP78" s="204">
        <f>IF($J78="",#N/A,SUM(EO$4:EO78))</f>
        <v>0.74379497102635161</v>
      </c>
      <c r="EQ78" s="205" t="str">
        <f t="shared" si="174"/>
        <v/>
      </c>
      <c r="ER78" s="205">
        <f>IF($J78="",#N/A,SUM(EQ$4:EQ78))</f>
        <v>0.4926597949853756</v>
      </c>
      <c r="ES78" s="205">
        <f>IF($J78="",#N/A,SUM(EQ$4:EQ78,EO$4:EO78,EM$4:EM78))</f>
        <v>1.2364547660117271</v>
      </c>
      <c r="ET78" s="200" t="str">
        <f t="shared" si="175"/>
        <v/>
      </c>
      <c r="EU78" s="203">
        <f>IF($J78="",#N/A,SUM(ET$4:ET78))</f>
        <v>0</v>
      </c>
      <c r="EV78" s="204" t="str">
        <f t="shared" si="176"/>
        <v/>
      </c>
      <c r="EW78" s="204">
        <f>IF($J78="",#N/A,SUM(EV$4:EV78))</f>
        <v>0</v>
      </c>
      <c r="EX78" s="205" t="str">
        <f t="shared" si="177"/>
        <v/>
      </c>
      <c r="EY78" s="205">
        <f>IF($J78="",#N/A,SUM(EX$4:EX78))</f>
        <v>0</v>
      </c>
      <c r="EZ78" s="205">
        <f>IF($J78="",#N/A,SUM(EX$4:EX78,EV$4:EV78,ET$4:ET78))</f>
        <v>0</v>
      </c>
      <c r="FA78" s="200" t="str">
        <f t="shared" si="178"/>
        <v/>
      </c>
      <c r="FB78" s="203">
        <f>IF($J78="",#N/A,SUM(FA$4:FA78))</f>
        <v>0</v>
      </c>
      <c r="FC78" s="204" t="str">
        <f t="shared" si="179"/>
        <v/>
      </c>
      <c r="FD78" s="204">
        <f>IF($J78="",#N/A,SUM(FC$4:FC78))</f>
        <v>1.3724148418491529</v>
      </c>
      <c r="FE78" s="205" t="str">
        <f t="shared" si="180"/>
        <v/>
      </c>
      <c r="FF78" s="205">
        <f>IF($J78="",#N/A,SUM(FE$4:FE78))</f>
        <v>-0.28811149078748233</v>
      </c>
      <c r="FG78" s="205">
        <f>IF($J78="",#N/A,SUM(FE$4:FE78,FC$4:FC78,FA$4:FA78))</f>
        <v>1.0843033510616706</v>
      </c>
      <c r="FH78" s="200" t="str">
        <f t="shared" si="181"/>
        <v/>
      </c>
      <c r="FI78" s="203">
        <f>IF($J78="",#N/A,SUM(FH$4:FH78))</f>
        <v>0</v>
      </c>
      <c r="FJ78" s="204" t="str">
        <f t="shared" si="182"/>
        <v/>
      </c>
      <c r="FK78" s="204">
        <f>IF($J78="",#N/A,SUM(FJ$4:FJ78))</f>
        <v>0</v>
      </c>
      <c r="FL78" s="205" t="str">
        <f t="shared" si="183"/>
        <v/>
      </c>
      <c r="FM78" s="205">
        <f>IF($J78="",#N/A,SUM(FL$4:FL78))</f>
        <v>0</v>
      </c>
      <c r="FN78" s="205">
        <f>IF($J78="",#N/A,SUM(FL$4:FL78,FJ$4:FJ78,FH$4:FH78))</f>
        <v>0</v>
      </c>
      <c r="FO78" s="200" t="str">
        <f t="shared" si="184"/>
        <v/>
      </c>
      <c r="FP78" s="203">
        <f>IF($J78="",#N/A,SUM(FO$4:FO78))</f>
        <v>0</v>
      </c>
      <c r="FQ78" s="204" t="str">
        <f t="shared" si="185"/>
        <v/>
      </c>
      <c r="FR78" s="204">
        <f>IF($J78="",#N/A,SUM(FQ$4:FQ78))</f>
        <v>0</v>
      </c>
      <c r="FS78" s="205" t="str">
        <f t="shared" si="186"/>
        <v/>
      </c>
      <c r="FT78" s="205">
        <f>IF($J78="",#N/A,SUM(FS$4:FS78))</f>
        <v>0</v>
      </c>
      <c r="FU78" s="205">
        <f>IF($J78="",#N/A,SUM(FS$4:FS78,FQ$4:FQ78,FO$4:FO78))</f>
        <v>0</v>
      </c>
      <c r="FV78" s="200" t="str">
        <f t="shared" si="187"/>
        <v/>
      </c>
      <c r="FW78" s="203">
        <f>IF($J78="",#N/A,SUM(FV$4:FV78))</f>
        <v>6.6834991831277585E-2</v>
      </c>
      <c r="FX78" s="204" t="str">
        <f t="shared" si="188"/>
        <v/>
      </c>
      <c r="FY78" s="204">
        <f>IF($J78="",#N/A,SUM(FX$4:FX78))</f>
        <v>0</v>
      </c>
      <c r="FZ78" s="205" t="str">
        <f t="shared" si="189"/>
        <v/>
      </c>
      <c r="GA78" s="205">
        <f>IF($J78="",#N/A,SUM(FZ$4:FZ78))</f>
        <v>-0.20104261551371039</v>
      </c>
      <c r="GB78" s="205">
        <f>IF($J78="",#N/A,SUM(FZ$4:FZ78,FX$4:FX78,FV$4:FV78))</f>
        <v>-0.1342076236824328</v>
      </c>
      <c r="GC78" s="200" t="str">
        <f t="shared" si="190"/>
        <v/>
      </c>
      <c r="GD78" s="203">
        <f>IF($J78="",#N/A,SUM(GC$4:GC78))</f>
        <v>0</v>
      </c>
      <c r="GE78" s="204" t="str">
        <f t="shared" si="191"/>
        <v/>
      </c>
      <c r="GF78" s="204">
        <f>IF($J78="",#N/A,SUM(GE$4:GE78))</f>
        <v>0</v>
      </c>
      <c r="GG78" s="205" t="str">
        <f t="shared" si="192"/>
        <v/>
      </c>
      <c r="GH78" s="205">
        <f>IF($J78="",#N/A,SUM(GG$4:GG78))</f>
        <v>-2.9368362277223206</v>
      </c>
      <c r="GI78" s="205">
        <f>IF($J78="",#N/A,SUM(GG$4:GG78,GE$4:GE78,GC$4:GC78))</f>
        <v>-2.9368362277223206</v>
      </c>
      <c r="GJ78" s="200" t="str">
        <f t="shared" si="193"/>
        <v/>
      </c>
      <c r="GK78" s="203">
        <f>IF($J78="",#N/A,SUM(GJ$4:GJ78))</f>
        <v>0</v>
      </c>
      <c r="GL78" s="204" t="str">
        <f t="shared" si="194"/>
        <v/>
      </c>
      <c r="GM78" s="204">
        <f>IF($J78="",#N/A,SUM(GL$4:GL78))</f>
        <v>-0.4054764861692941</v>
      </c>
      <c r="GN78" s="205" t="str">
        <f t="shared" si="195"/>
        <v/>
      </c>
      <c r="GO78" s="205">
        <f>IF($J78="",#N/A,SUM(GN$4:GN78))</f>
        <v>0</v>
      </c>
      <c r="GP78" s="205">
        <f>IF($J78="",#N/A,SUM(GN$4:GN78,GL$4:GL78,GJ$4:GJ78))</f>
        <v>-0.4054764861692941</v>
      </c>
      <c r="GS78" s="54">
        <f t="shared" si="214"/>
        <v>0.86796422935297268</v>
      </c>
      <c r="GT78" s="54">
        <f>IF(GS78="",NA(),SUM($GS$4:GS78))</f>
        <v>2.1319618176990303</v>
      </c>
      <c r="GU78" s="54" t="str">
        <f t="shared" si="196"/>
        <v/>
      </c>
      <c r="GV78" s="54" t="e">
        <f>IF(GU78="",NA(),SUM($GU$4:GU78))</f>
        <v>#N/A</v>
      </c>
      <c r="GW78" s="54">
        <f t="shared" si="197"/>
        <v>0.86796422935297268</v>
      </c>
      <c r="GX78" s="54">
        <f>IF(GW78="",NA(),SUM($GW$4:GW78))</f>
        <v>5.7488771721729055</v>
      </c>
      <c r="GY78" s="54" t="str">
        <f t="shared" si="198"/>
        <v/>
      </c>
      <c r="GZ78" s="54" t="e">
        <f>IF(GY78="",NA(),SUM($GY$4:GY78))</f>
        <v>#N/A</v>
      </c>
      <c r="HA78" s="54" t="str">
        <f t="shared" si="199"/>
        <v/>
      </c>
      <c r="HB78" s="54" t="e">
        <f>IF(HA78="",NA(),SUM($HA$4:HA78))</f>
        <v>#N/A</v>
      </c>
      <c r="HC78" s="54" t="str">
        <f t="shared" si="200"/>
        <v/>
      </c>
      <c r="HD78" s="54" t="e">
        <f>IF(HC78="",NA(),SUM($HC$4:HC78))</f>
        <v>#N/A</v>
      </c>
      <c r="HE78" s="54" t="str">
        <f t="shared" si="201"/>
        <v/>
      </c>
      <c r="HF78" s="54" t="e">
        <f>IF(HE78="",NA(),SUM($HE$4:HE78))</f>
        <v>#N/A</v>
      </c>
      <c r="HG78" s="54" t="str">
        <f t="shared" si="202"/>
        <v/>
      </c>
      <c r="HH78" s="54" t="e">
        <f>IF(HG78="",NA(),SUM($HG$4:HG78))</f>
        <v>#N/A</v>
      </c>
      <c r="HI78" s="172" t="str">
        <f t="shared" si="215"/>
        <v/>
      </c>
      <c r="HJ78" s="172">
        <f>IF($J78="",#N/A,SUM(HI$4:$HI78))</f>
        <v>-0.83132705025154807</v>
      </c>
      <c r="HK78" s="54" t="str">
        <f t="shared" si="203"/>
        <v/>
      </c>
      <c r="HL78" s="54">
        <f>IF($J78="",#N/A,SUM($HK$4:HK78))</f>
        <v>-1.5436465459484796</v>
      </c>
      <c r="HM78" s="54" t="str">
        <f t="shared" si="204"/>
        <v/>
      </c>
      <c r="HN78" s="54">
        <f>IF($J78="",#N/A,SUM($HM$4:HM78))</f>
        <v>0.72020221657224703</v>
      </c>
      <c r="HO78" s="54" t="str">
        <f t="shared" si="205"/>
        <v/>
      </c>
      <c r="HP78" s="54">
        <f>IF($J78="",#N/A,SUM($HO$4:HO78))</f>
        <v>-0.34492614665921834</v>
      </c>
      <c r="HQ78" s="54">
        <f t="shared" si="206"/>
        <v>-0.18937401367701179</v>
      </c>
      <c r="HR78" s="54">
        <f>IF($J78="",#N/A,SUM($HQ$4:HQ78))</f>
        <v>-6.0169705374945961</v>
      </c>
      <c r="HS78" s="54" t="str">
        <f t="shared" si="207"/>
        <v/>
      </c>
      <c r="HT78" s="54">
        <f>IF($J78="",#N/A,SUM($HS$4:HS78))</f>
        <v>5.1619178397275425</v>
      </c>
      <c r="HU78" s="65">
        <f t="shared" si="208"/>
        <v>0.67859021567596089</v>
      </c>
      <c r="HV78" s="65">
        <f>IF($J78="",#N/A,SUM(HU$4:$HU78))</f>
        <v>-0.52079959342773785</v>
      </c>
    </row>
    <row r="79" spans="1:230" ht="15.75" thickBot="1" x14ac:dyDescent="0.3">
      <c r="A79" s="292" t="s">
        <v>1430</v>
      </c>
      <c r="B79" s="293" t="s">
        <v>4503</v>
      </c>
      <c r="C79" s="294">
        <f t="shared" si="109"/>
        <v>3</v>
      </c>
      <c r="D79" s="295" t="str">
        <f>_xlfn.XLOOKUP(A79,[1]SP500!$A$2:$A$502,[1]SP500!$D$2:$D$502,"N")</f>
        <v>Y</v>
      </c>
      <c r="E79" s="292" t="str">
        <f>IFERROR(_xlfn.XLOOKUP(A79,[1]SP500!$A$2:$A$655,[1]SP500!$B$2:$B$655),"")</f>
        <v>XLI</v>
      </c>
      <c r="F79" s="296">
        <v>45770</v>
      </c>
      <c r="G79" s="292" t="str">
        <f t="shared" si="110"/>
        <v>BMO</v>
      </c>
      <c r="H79" s="292" t="str">
        <f t="shared" si="111"/>
        <v>s</v>
      </c>
      <c r="I79" s="345">
        <v>98.95</v>
      </c>
      <c r="J79" s="297">
        <v>95.94</v>
      </c>
      <c r="K79" s="298">
        <f t="shared" si="112"/>
        <v>-3.0419403739262305E-2</v>
      </c>
      <c r="L79" s="299">
        <f t="shared" si="113"/>
        <v>-24.080000000000041</v>
      </c>
      <c r="M79" s="300">
        <f t="shared" si="114"/>
        <v>0</v>
      </c>
      <c r="N79" s="341">
        <f t="shared" si="115"/>
        <v>-24.080000000000041</v>
      </c>
      <c r="O79" s="300">
        <f>IF(N79="",#N/A,SUM($N$4:N79))</f>
        <v>-107.17369563037494</v>
      </c>
      <c r="P79" s="305">
        <f t="shared" si="209"/>
        <v>-0.50699006232103838</v>
      </c>
      <c r="Q79" s="304">
        <f>IF($N79="",#N/A,SUM($P$4:P79))</f>
        <v>1.8269605683052752</v>
      </c>
      <c r="R79" s="307">
        <f t="shared" si="116"/>
        <v>2.0989747473695313</v>
      </c>
      <c r="S79" s="292" t="str">
        <f t="shared" si="117"/>
        <v>SW</v>
      </c>
      <c r="T79" s="292" t="s">
        <v>2828</v>
      </c>
      <c r="U79" s="308">
        <f t="shared" si="118"/>
        <v>98.95</v>
      </c>
      <c r="V79" s="308" t="s">
        <v>4460</v>
      </c>
      <c r="W79" s="310">
        <v>8</v>
      </c>
      <c r="X79" s="309">
        <f t="shared" si="119"/>
        <v>791.6</v>
      </c>
      <c r="Y79" s="310">
        <f t="shared" si="120"/>
        <v>8</v>
      </c>
      <c r="Z79" s="313">
        <v>95.94</v>
      </c>
      <c r="AA79" s="341">
        <f t="shared" si="121"/>
        <v>-24.080000000000041</v>
      </c>
      <c r="AB79" s="341">
        <f t="shared" si="122"/>
        <v>-53.200000000000045</v>
      </c>
      <c r="AC79" s="297">
        <v>92.3</v>
      </c>
      <c r="AD79" s="301">
        <f t="shared" si="123"/>
        <v>-53.200000000000045</v>
      </c>
      <c r="AE79" s="546">
        <f t="shared" si="124"/>
        <v>-1.1200943237325258</v>
      </c>
      <c r="AF79" s="300">
        <f>IF($AC79="",#N/A,SUM(AD$4:AD79))</f>
        <v>-269.80582025503122</v>
      </c>
      <c r="AG79" s="341">
        <f t="shared" si="125"/>
        <v>-29.120000000000005</v>
      </c>
      <c r="AH79" s="308" t="s">
        <v>2507</v>
      </c>
      <c r="AI79" s="305">
        <f t="shared" si="126"/>
        <v>-0.50699006232103838</v>
      </c>
      <c r="AJ79" s="303">
        <f>IF(AI79="",#N/A,SUM($AI$4:AI79))</f>
        <v>-0.27201417906425596</v>
      </c>
      <c r="AK79" s="300">
        <f t="shared" si="127"/>
        <v>-24.080000000000041</v>
      </c>
      <c r="AL79" s="348">
        <f>IF(AI79="",#N/A,IF(AH79="Skip",SUM($AK$4:AK79),SUM($AK$4:AK79)))</f>
        <v>-261.54999999999939</v>
      </c>
      <c r="AM79" s="65">
        <f t="shared" si="210"/>
        <v>-1.1200943237325258</v>
      </c>
      <c r="AN79" s="209"/>
      <c r="AO79" s="305">
        <f t="shared" si="128"/>
        <v>-1.1200943237325258</v>
      </c>
      <c r="AP79" s="305">
        <f>IF($AC79="",#N/A,SUM(AO$4:AO79))</f>
        <v>3.9757189636006087</v>
      </c>
      <c r="AQ79" s="305" t="str">
        <f t="shared" si="129"/>
        <v/>
      </c>
      <c r="AR79" s="305">
        <f>IF($AC79="",#N/A,SUM(AQ$4:AQ79))</f>
        <v>-1.0879870612894522</v>
      </c>
      <c r="AS79" s="305" t="str">
        <f t="shared" si="130"/>
        <v/>
      </c>
      <c r="AT79" s="305">
        <f>IF($AC79="",#N/A,SUM(AS$4:AS79))</f>
        <v>-4.5286258194714231</v>
      </c>
      <c r="AU79" s="300">
        <f t="shared" si="211"/>
        <v>-53.200000000000045</v>
      </c>
      <c r="AV79" s="300">
        <f>IF($AC79="",#N/A,SUM(AU$4:AU79))</f>
        <v>165.93255264778452</v>
      </c>
      <c r="AW79" s="300" t="str">
        <f t="shared" si="212"/>
        <v/>
      </c>
      <c r="AX79" s="300">
        <f>IF($AC79="",#N/A,SUM(AW$4:AW79))</f>
        <v>-66.900000000000205</v>
      </c>
      <c r="AY79" s="300" t="str">
        <f t="shared" si="213"/>
        <v/>
      </c>
      <c r="AZ79" s="300">
        <f>IF($AC79="",#N/A,SUM(AY$4:AY79))</f>
        <v>-368.83837290281554</v>
      </c>
      <c r="BA79" s="300">
        <f>IF(AD79="",#N/A,SUM($AD$4:AD79))</f>
        <v>-269.80582025503122</v>
      </c>
      <c r="BC79" s="292" t="str">
        <f t="shared" si="131"/>
        <v/>
      </c>
      <c r="BD79" s="292" t="str">
        <f t="shared" si="132"/>
        <v/>
      </c>
      <c r="BE79" s="292" t="str">
        <f t="shared" si="133"/>
        <v/>
      </c>
      <c r="BF79" s="292" t="str">
        <f t="shared" si="134"/>
        <v>Long</v>
      </c>
      <c r="BG79" s="292" t="str">
        <f t="shared" si="135"/>
        <v/>
      </c>
      <c r="BH79" s="292" t="str">
        <f t="shared" si="136"/>
        <v/>
      </c>
      <c r="BI79" s="292">
        <f t="shared" si="137"/>
        <v>1</v>
      </c>
      <c r="BK79" s="65">
        <f t="shared" si="108"/>
        <v>4.2168014182611645E-2</v>
      </c>
      <c r="BL79" s="65">
        <f t="shared" si="107"/>
        <v>0.43299466101950379</v>
      </c>
      <c r="BM79" s="65">
        <f>IFERROR(Q79/COUNTA($J$4:J79),#N/A)</f>
        <v>2.4038954846122042E-2</v>
      </c>
      <c r="BO79" s="489">
        <f>IF(J79="",#N/A,IF(S79="SW",(COUNTIFS(K$4:$K79,"&gt;0",S$4:$S79,"SW")/COUNTIF(S$4:$S79,"SW")),#N/A))</f>
        <v>0.55555555555555558</v>
      </c>
      <c r="BP79" s="489" t="e">
        <f>IF($J79="",#N/A,IF($S79="DWN",(COUNTIFS($K$4:$K79,"&lt;0",$S$4:$S79,"DWN")/COUNTIF($S$4:$S79,"DWN")),#N/A))</f>
        <v>#N/A</v>
      </c>
      <c r="BQ79" s="489" t="e">
        <f>IF($J79="",#N/A,IF($S79="UP",(COUNTIFS($K$4:$K79,"&gt;0",$S$4:$S79,"UP")/COUNTIF($S$4:$S79,"UP")),#N/A))</f>
        <v>#N/A</v>
      </c>
      <c r="BR79" s="489">
        <f>IF(J79="",#N/A,COUNTIF($K$4:K79,"&gt;0")/COUNT($J$4:J79))</f>
        <v>0.52631578947368418</v>
      </c>
      <c r="BS79" s="65" t="str">
        <f t="shared" si="138"/>
        <v/>
      </c>
      <c r="BT79" s="65">
        <f t="shared" si="139"/>
        <v>-0.50699006232103838</v>
      </c>
      <c r="BU79" s="65" t="str">
        <f t="shared" si="140"/>
        <v/>
      </c>
      <c r="BV79" s="65" t="str">
        <f t="shared" si="141"/>
        <v/>
      </c>
      <c r="BW79" s="128" t="str">
        <f t="shared" si="142"/>
        <v/>
      </c>
      <c r="BX79" s="128">
        <f>IF($J79="",#N/A,SUM($BW$4:BW79))</f>
        <v>-91.165000000000305</v>
      </c>
      <c r="BY79" s="131" t="str">
        <f t="shared" si="143"/>
        <v/>
      </c>
      <c r="BZ79" s="131">
        <f>IF($J79="",#N/A,SUM($BY$4:BY79))</f>
        <v>-198.36871953149523</v>
      </c>
      <c r="CA79" s="133">
        <f t="shared" si="144"/>
        <v>-24.080000000000041</v>
      </c>
      <c r="CB79" s="133">
        <f>IF($J79="",#N/A,SUM($CA$4:CA79))</f>
        <v>182.3600239011206</v>
      </c>
      <c r="CC79" s="194" t="str">
        <f t="shared" si="145"/>
        <v/>
      </c>
      <c r="CD79" s="194">
        <f>IF($J79="",#N/A,SUM($CC$4:CC79))</f>
        <v>-1.4632631312024809</v>
      </c>
      <c r="CE79" s="195" t="str">
        <f t="shared" si="146"/>
        <v/>
      </c>
      <c r="CF79" s="195">
        <f>IF($J79="",#N/A,SUM($CE$4:CE79))</f>
        <v>-2.1536522232713935</v>
      </c>
      <c r="CG79" s="196">
        <f t="shared" si="147"/>
        <v>-0.50699006232103838</v>
      </c>
      <c r="CH79" s="193">
        <f>IF($J79="",#N/A,SUM($CG$4:CG79))</f>
        <v>5.4438759227791529</v>
      </c>
      <c r="CI79" s="200" t="str">
        <f t="shared" si="148"/>
        <v/>
      </c>
      <c r="CJ79" s="203">
        <f>IF($J79="",#N/A,SUM(CI$4:CI79))</f>
        <v>0</v>
      </c>
      <c r="CK79" s="204" t="str">
        <f t="shared" si="149"/>
        <v/>
      </c>
      <c r="CL79" s="204">
        <f>IF($J79="",#N/A,SUM(CK$4:CK79))</f>
        <v>1.8934431343190481</v>
      </c>
      <c r="CM79" s="205" t="str">
        <f t="shared" si="150"/>
        <v/>
      </c>
      <c r="CN79" s="205">
        <f>IF($J79="",#N/A,SUM(CM$4:CM79))</f>
        <v>3.5437224367841633</v>
      </c>
      <c r="CO79" s="205">
        <f>IF($J79="",#N/A,SUM(CM$4:CM79,CK$4:CK79,CI$4:CI79))</f>
        <v>5.4371655711032112</v>
      </c>
      <c r="CP79" s="200" t="str">
        <f t="shared" si="151"/>
        <v/>
      </c>
      <c r="CQ79" s="203">
        <f>IF($J79="",#N/A,SUM(CP$4:CP79))</f>
        <v>0</v>
      </c>
      <c r="CR79" s="204" t="str">
        <f t="shared" si="152"/>
        <v/>
      </c>
      <c r="CS79" s="204">
        <f>IF($J79="",#N/A,SUM(CR$4:CR79))</f>
        <v>0</v>
      </c>
      <c r="CT79" s="205" t="str">
        <f t="shared" si="153"/>
        <v/>
      </c>
      <c r="CU79" s="205">
        <f>IF($J79="",#N/A,SUM(CT$4:CT79))</f>
        <v>0</v>
      </c>
      <c r="CV79" s="205">
        <f>IF($J79="",#N/A,SUM(CT$4:CT79,CR$4:CR79,CP$4:CP79))</f>
        <v>0</v>
      </c>
      <c r="CW79" s="200" t="str">
        <f t="shared" si="154"/>
        <v/>
      </c>
      <c r="CX79" s="203">
        <f>IF($J79="",#N/A,SUM(CW$4:CW79))</f>
        <v>0</v>
      </c>
      <c r="CY79" s="204" t="str">
        <f t="shared" si="155"/>
        <v/>
      </c>
      <c r="CZ79" s="204">
        <f>IF($J79="",#N/A,SUM(CY$4:CY79))</f>
        <v>-0.63271328921481373</v>
      </c>
      <c r="DA79" s="205" t="str">
        <f t="shared" si="156"/>
        <v/>
      </c>
      <c r="DB79" s="205">
        <f>IF($J79="",#N/A,SUM(DA$4:DA79))</f>
        <v>1.1829222170861893</v>
      </c>
      <c r="DC79" s="205">
        <f>IF($J79="",#N/A,SUM(DA$4:DA79,CY$4:CY79,CW$4:CW79))</f>
        <v>0.55020892787137554</v>
      </c>
      <c r="DD79" s="200" t="str">
        <f t="shared" si="157"/>
        <v/>
      </c>
      <c r="DE79" s="203">
        <f>IF($J79="",#N/A,SUM(DD$4:DD79))</f>
        <v>0.4905246481018824</v>
      </c>
      <c r="DF79" s="204" t="str">
        <f t="shared" si="158"/>
        <v/>
      </c>
      <c r="DG79" s="204">
        <f>IF($J79="",#N/A,SUM(DF$4:DF79))</f>
        <v>0.6788440567066546</v>
      </c>
      <c r="DH79" s="205" t="str">
        <f t="shared" si="159"/>
        <v/>
      </c>
      <c r="DI79" s="205">
        <f>IF($J79="",#N/A,SUM(DH$4:DH79))</f>
        <v>-0.83172699364602887</v>
      </c>
      <c r="DJ79" s="205">
        <f>IF($J79="",#N/A,SUM(DH$4:DH79,DF$4:DF79,DD$4:DD79))</f>
        <v>0.33764171116250813</v>
      </c>
      <c r="DK79" s="200" t="str">
        <f t="shared" si="160"/>
        <v/>
      </c>
      <c r="DL79" s="203">
        <f>IF($J79="",#N/A,SUM(DK$4:DK79))</f>
        <v>0</v>
      </c>
      <c r="DM79" s="204" t="str">
        <f t="shared" si="161"/>
        <v/>
      </c>
      <c r="DN79" s="204">
        <f>IF($J79="",#N/A,SUM(DM$4:DM79))</f>
        <v>0.36227168206863897</v>
      </c>
      <c r="DO79" s="205" t="str">
        <f t="shared" si="162"/>
        <v/>
      </c>
      <c r="DP79" s="205">
        <f>IF($J79="",#N/A,SUM(DO$4:DO79))</f>
        <v>-0.43291760746858676</v>
      </c>
      <c r="DQ79" s="205">
        <f>IF($J79="",#N/A,SUM(DO$4:DO79,DM$4:DM79,DK$4:DK79))</f>
        <v>-7.0645925399947795E-2</v>
      </c>
      <c r="DR79" s="200" t="str">
        <f t="shared" si="163"/>
        <v/>
      </c>
      <c r="DS79" s="203">
        <f>IF($J79="",#N/A,SUM(DR$4:DR79))</f>
        <v>-0.55950946427675097</v>
      </c>
      <c r="DT79" s="204" t="str">
        <f t="shared" si="164"/>
        <v/>
      </c>
      <c r="DU79" s="204">
        <f>IF($J79="",#N/A,SUM(DT$4:DT79))</f>
        <v>-2.8875364672150718</v>
      </c>
      <c r="DV79" s="205" t="str">
        <f t="shared" si="165"/>
        <v/>
      </c>
      <c r="DW79" s="205">
        <f>IF($J79="",#N/A,SUM(DV$4:DV79))</f>
        <v>-0.23245750740486493</v>
      </c>
      <c r="DX79" s="205">
        <f>IF($J79="",#N/A,SUM(DV$4:DV79,DT$4:DT79,DR$4:DR79))</f>
        <v>-3.6795034388966879</v>
      </c>
      <c r="DY79" s="200" t="str">
        <f t="shared" si="166"/>
        <v/>
      </c>
      <c r="DZ79" s="203">
        <f>IF($J79="",#N/A,SUM(DY$4:DY79))</f>
        <v>-1.4611133068588897</v>
      </c>
      <c r="EA79" s="204" t="str">
        <f t="shared" si="167"/>
        <v/>
      </c>
      <c r="EB79" s="204">
        <f>IF($J79="",#N/A,SUM(EA$4:EA79))</f>
        <v>-1.2459555278526064</v>
      </c>
      <c r="EC79" s="205">
        <f t="shared" si="168"/>
        <v>-0.50699006232103838</v>
      </c>
      <c r="ED79" s="205">
        <f>IF($J79="",#N/A,SUM(EC$4:EC79))</f>
        <v>2.9360240487958968</v>
      </c>
      <c r="EE79" s="205">
        <f>IF($J79="",#N/A,SUM(EC$4:EC79,EA$4:EA79,DY$4:DY79))</f>
        <v>0.22895521408440067</v>
      </c>
      <c r="EF79" s="200" t="str">
        <f t="shared" si="169"/>
        <v/>
      </c>
      <c r="EG79" s="203">
        <f>IF($J79="",#N/A,SUM(EF$4:EF79))</f>
        <v>0</v>
      </c>
      <c r="EH79" s="204" t="str">
        <f t="shared" si="170"/>
        <v/>
      </c>
      <c r="EI79" s="204">
        <f>IF($J79="",#N/A,SUM(EH$4:EH79))</f>
        <v>-2.0327391387894549</v>
      </c>
      <c r="EJ79" s="205" t="str">
        <f t="shared" si="171"/>
        <v/>
      </c>
      <c r="EK79" s="205">
        <f>IF($J79="",#N/A,SUM(EJ$4:EJ79))</f>
        <v>2.2116398676705207</v>
      </c>
      <c r="EL79" s="205">
        <f>IF($J79="",#N/A,SUM(EJ$4:EJ79,EH$4:EH79,EF$4:EF79))</f>
        <v>0.1789007288810659</v>
      </c>
      <c r="EM79" s="200" t="str">
        <f t="shared" si="172"/>
        <v/>
      </c>
      <c r="EN79" s="203">
        <f>IF($J79="",#N/A,SUM(EM$4:EM79))</f>
        <v>0</v>
      </c>
      <c r="EO79" s="204" t="str">
        <f t="shared" si="173"/>
        <v/>
      </c>
      <c r="EP79" s="204">
        <f>IF($J79="",#N/A,SUM(EO$4:EO79))</f>
        <v>0.74379497102635161</v>
      </c>
      <c r="EQ79" s="205" t="str">
        <f t="shared" si="174"/>
        <v/>
      </c>
      <c r="ER79" s="205">
        <f>IF($J79="",#N/A,SUM(EQ$4:EQ79))</f>
        <v>0.4926597949853756</v>
      </c>
      <c r="ES79" s="205">
        <f>IF($J79="",#N/A,SUM(EQ$4:EQ79,EO$4:EO79,EM$4:EM79))</f>
        <v>1.2364547660117271</v>
      </c>
      <c r="ET79" s="200" t="str">
        <f t="shared" si="175"/>
        <v/>
      </c>
      <c r="EU79" s="203">
        <f>IF($J79="",#N/A,SUM(ET$4:ET79))</f>
        <v>0</v>
      </c>
      <c r="EV79" s="204" t="str">
        <f t="shared" si="176"/>
        <v/>
      </c>
      <c r="EW79" s="204">
        <f>IF($J79="",#N/A,SUM(EV$4:EV79))</f>
        <v>0</v>
      </c>
      <c r="EX79" s="205" t="str">
        <f t="shared" si="177"/>
        <v/>
      </c>
      <c r="EY79" s="205">
        <f>IF($J79="",#N/A,SUM(EX$4:EX79))</f>
        <v>0</v>
      </c>
      <c r="EZ79" s="205">
        <f>IF($J79="",#N/A,SUM(EX$4:EX79,EV$4:EV79,ET$4:ET79))</f>
        <v>0</v>
      </c>
      <c r="FA79" s="200" t="str">
        <f t="shared" si="178"/>
        <v/>
      </c>
      <c r="FB79" s="203">
        <f>IF($J79="",#N/A,SUM(FA$4:FA79))</f>
        <v>0</v>
      </c>
      <c r="FC79" s="204" t="str">
        <f t="shared" si="179"/>
        <v/>
      </c>
      <c r="FD79" s="204">
        <f>IF($J79="",#N/A,SUM(FC$4:FC79))</f>
        <v>1.3724148418491529</v>
      </c>
      <c r="FE79" s="205" t="str">
        <f t="shared" si="180"/>
        <v/>
      </c>
      <c r="FF79" s="205">
        <f>IF($J79="",#N/A,SUM(FE$4:FE79))</f>
        <v>-0.28811149078748233</v>
      </c>
      <c r="FG79" s="205">
        <f>IF($J79="",#N/A,SUM(FE$4:FE79,FC$4:FC79,FA$4:FA79))</f>
        <v>1.0843033510616706</v>
      </c>
      <c r="FH79" s="200" t="str">
        <f t="shared" si="181"/>
        <v/>
      </c>
      <c r="FI79" s="203">
        <f>IF($J79="",#N/A,SUM(FH$4:FH79))</f>
        <v>0</v>
      </c>
      <c r="FJ79" s="204" t="str">
        <f t="shared" si="182"/>
        <v/>
      </c>
      <c r="FK79" s="204">
        <f>IF($J79="",#N/A,SUM(FJ$4:FJ79))</f>
        <v>0</v>
      </c>
      <c r="FL79" s="205" t="str">
        <f t="shared" si="183"/>
        <v/>
      </c>
      <c r="FM79" s="205">
        <f>IF($J79="",#N/A,SUM(FL$4:FL79))</f>
        <v>0</v>
      </c>
      <c r="FN79" s="205">
        <f>IF($J79="",#N/A,SUM(FL$4:FL79,FJ$4:FJ79,FH$4:FH79))</f>
        <v>0</v>
      </c>
      <c r="FO79" s="200" t="str">
        <f t="shared" si="184"/>
        <v/>
      </c>
      <c r="FP79" s="203">
        <f>IF($J79="",#N/A,SUM(FO$4:FO79))</f>
        <v>0</v>
      </c>
      <c r="FQ79" s="204" t="str">
        <f t="shared" si="185"/>
        <v/>
      </c>
      <c r="FR79" s="204">
        <f>IF($J79="",#N/A,SUM(FQ$4:FQ79))</f>
        <v>0</v>
      </c>
      <c r="FS79" s="205" t="str">
        <f t="shared" si="186"/>
        <v/>
      </c>
      <c r="FT79" s="205">
        <f>IF($J79="",#N/A,SUM(FS$4:FS79))</f>
        <v>0</v>
      </c>
      <c r="FU79" s="205">
        <f>IF($J79="",#N/A,SUM(FS$4:FS79,FQ$4:FQ79,FO$4:FO79))</f>
        <v>0</v>
      </c>
      <c r="FV79" s="200" t="str">
        <f t="shared" si="187"/>
        <v/>
      </c>
      <c r="FW79" s="203">
        <f>IF($J79="",#N/A,SUM(FV$4:FV79))</f>
        <v>6.6834991831277585E-2</v>
      </c>
      <c r="FX79" s="204" t="str">
        <f t="shared" si="188"/>
        <v/>
      </c>
      <c r="FY79" s="204">
        <f>IF($J79="",#N/A,SUM(FX$4:FX79))</f>
        <v>0</v>
      </c>
      <c r="FZ79" s="205" t="str">
        <f t="shared" si="189"/>
        <v/>
      </c>
      <c r="GA79" s="205">
        <f>IF($J79="",#N/A,SUM(FZ$4:FZ79))</f>
        <v>-0.20104261551371039</v>
      </c>
      <c r="GB79" s="205">
        <f>IF($J79="",#N/A,SUM(FZ$4:FZ79,FX$4:FX79,FV$4:FV79))</f>
        <v>-0.1342076236824328</v>
      </c>
      <c r="GC79" s="200" t="str">
        <f t="shared" si="190"/>
        <v/>
      </c>
      <c r="GD79" s="203">
        <f>IF($J79="",#N/A,SUM(GC$4:GC79))</f>
        <v>0</v>
      </c>
      <c r="GE79" s="204" t="str">
        <f t="shared" si="191"/>
        <v/>
      </c>
      <c r="GF79" s="204">
        <f>IF($J79="",#N/A,SUM(GE$4:GE79))</f>
        <v>0</v>
      </c>
      <c r="GG79" s="205" t="str">
        <f t="shared" si="192"/>
        <v/>
      </c>
      <c r="GH79" s="205">
        <f>IF($J79="",#N/A,SUM(GG$4:GG79))</f>
        <v>-2.9368362277223206</v>
      </c>
      <c r="GI79" s="205">
        <f>IF($J79="",#N/A,SUM(GG$4:GG79,GE$4:GE79,GC$4:GC79))</f>
        <v>-2.9368362277223206</v>
      </c>
      <c r="GJ79" s="200" t="str">
        <f t="shared" si="193"/>
        <v/>
      </c>
      <c r="GK79" s="203">
        <f>IF($J79="",#N/A,SUM(GJ$4:GJ79))</f>
        <v>0</v>
      </c>
      <c r="GL79" s="204" t="str">
        <f t="shared" si="194"/>
        <v/>
      </c>
      <c r="GM79" s="204">
        <f>IF($J79="",#N/A,SUM(GL$4:GL79))</f>
        <v>-0.4054764861692941</v>
      </c>
      <c r="GN79" s="205" t="str">
        <f t="shared" si="195"/>
        <v/>
      </c>
      <c r="GO79" s="205">
        <f>IF($J79="",#N/A,SUM(GN$4:GN79))</f>
        <v>0</v>
      </c>
      <c r="GP79" s="205">
        <f>IF($J79="",#N/A,SUM(GN$4:GN79,GL$4:GL79,GJ$4:GJ79))</f>
        <v>-0.4054764861692941</v>
      </c>
      <c r="GS79" s="303">
        <f t="shared" si="214"/>
        <v>-0.50699006232103838</v>
      </c>
      <c r="GT79" s="303">
        <f>IF(GS79="",NA(),SUM($GS$4:GS79))</f>
        <v>1.6249717553779919</v>
      </c>
      <c r="GU79" s="303" t="str">
        <f t="shared" si="196"/>
        <v/>
      </c>
      <c r="GV79" s="303" t="e">
        <f>IF(GU79="",NA(),SUM($GU$4:GU79))</f>
        <v>#N/A</v>
      </c>
      <c r="GW79" s="303">
        <f t="shared" si="197"/>
        <v>-0.50699006232103838</v>
      </c>
      <c r="GX79" s="303">
        <f>IF(GW79="",NA(),SUM($GW$4:GW79))</f>
        <v>5.2418871098518673</v>
      </c>
      <c r="GY79" s="303" t="str">
        <f t="shared" si="198"/>
        <v/>
      </c>
      <c r="GZ79" s="303" t="e">
        <f>IF(GY79="",NA(),SUM($GY$4:GY79))</f>
        <v>#N/A</v>
      </c>
      <c r="HA79" s="303" t="str">
        <f t="shared" si="199"/>
        <v/>
      </c>
      <c r="HB79" s="303" t="e">
        <f>IF(HA79="",NA(),SUM($HA$4:HA79))</f>
        <v>#N/A</v>
      </c>
      <c r="HC79" s="303" t="str">
        <f t="shared" si="200"/>
        <v/>
      </c>
      <c r="HD79" s="303" t="e">
        <f>IF(HC79="",NA(),SUM($HC$4:HC79))</f>
        <v>#N/A</v>
      </c>
      <c r="HE79" s="303" t="str">
        <f t="shared" si="201"/>
        <v/>
      </c>
      <c r="HF79" s="303" t="e">
        <f>IF(HE79="",NA(),SUM($HE$4:HE79))</f>
        <v>#N/A</v>
      </c>
      <c r="HG79" s="303" t="str">
        <f t="shared" si="202"/>
        <v/>
      </c>
      <c r="HH79" s="303" t="e">
        <f>IF(HG79="",NA(),SUM($HG$4:HG79))</f>
        <v>#N/A</v>
      </c>
      <c r="HI79" s="304" t="str">
        <f t="shared" si="215"/>
        <v/>
      </c>
      <c r="HJ79" s="304">
        <f>IF($J79="",#N/A,SUM(HI$4:$HI79))</f>
        <v>-0.83132705025154807</v>
      </c>
      <c r="HK79" s="303" t="str">
        <f t="shared" si="203"/>
        <v/>
      </c>
      <c r="HL79" s="303">
        <f>IF($J79="",#N/A,SUM($HK$4:HK79))</f>
        <v>-1.5436465459484796</v>
      </c>
      <c r="HM79" s="303" t="str">
        <f t="shared" si="204"/>
        <v/>
      </c>
      <c r="HN79" s="303">
        <f>IF($J79="",#N/A,SUM($HM$4:HM79))</f>
        <v>0.72020221657224703</v>
      </c>
      <c r="HO79" s="303" t="str">
        <f t="shared" si="205"/>
        <v/>
      </c>
      <c r="HP79" s="303">
        <f>IF($J79="",#N/A,SUM($HO$4:HO79))</f>
        <v>-0.34492614665921834</v>
      </c>
      <c r="HQ79" s="303" t="str">
        <f t="shared" si="206"/>
        <v/>
      </c>
      <c r="HR79" s="303">
        <f>IF($J79="",#N/A,SUM($HQ$4:HQ79))</f>
        <v>-6.0169705374945961</v>
      </c>
      <c r="HS79" s="303">
        <f t="shared" si="207"/>
        <v>-0.61310426141148744</v>
      </c>
      <c r="HT79" s="303">
        <f>IF($J79="",#N/A,SUM($HS$4:HS79))</f>
        <v>4.5488135783160555</v>
      </c>
      <c r="HU79" s="305">
        <f t="shared" si="208"/>
        <v>-1.1200943237325258</v>
      </c>
      <c r="HV79" s="305">
        <f>IF($J79="",#N/A,SUM(HU$4:$HU79))</f>
        <v>-1.6408939171602637</v>
      </c>
    </row>
    <row r="80" spans="1:230" x14ac:dyDescent="0.25">
      <c r="A80" s="397" t="s">
        <v>1302</v>
      </c>
      <c r="B80" s="289" t="s">
        <v>4515</v>
      </c>
      <c r="C80" s="230">
        <f t="shared" si="109"/>
        <v>3</v>
      </c>
      <c r="D80" s="220" t="str">
        <f>_xlfn.XLOOKUP(A80,[1]SP500!$A$2:$A$502,[1]SP500!$D$2:$D$502,"N")</f>
        <v>Y</v>
      </c>
      <c r="E80" s="59" t="str">
        <f>IFERROR(_xlfn.XLOOKUP(A80,[1]SP500!$A$2:$A$655,[1]SP500!$B$2:$B$655),"")</f>
        <v>SMH</v>
      </c>
      <c r="F80" s="290">
        <v>45770</v>
      </c>
      <c r="G80" s="59" t="str">
        <f t="shared" si="110"/>
        <v>AMC</v>
      </c>
      <c r="H80" s="59" t="str">
        <f t="shared" si="111"/>
        <v>s</v>
      </c>
      <c r="I80" s="342">
        <v>152.15</v>
      </c>
      <c r="J80" s="278">
        <v>164.63</v>
      </c>
      <c r="K80" s="60">
        <f t="shared" si="112"/>
        <v>8.2024318107131053E-2</v>
      </c>
      <c r="L80" s="68">
        <f t="shared" si="113"/>
        <v>62.399999999999977</v>
      </c>
      <c r="M80" s="62">
        <f t="shared" si="114"/>
        <v>-2.1499999999999773</v>
      </c>
      <c r="N80" s="148">
        <f t="shared" si="115"/>
        <v>62.399999999999977</v>
      </c>
      <c r="O80" s="287">
        <f>IF(N80="",#N/A,SUM($N$4:N80))</f>
        <v>-44.773695630374959</v>
      </c>
      <c r="P80" s="64">
        <f t="shared" si="209"/>
        <v>1.367071968452185</v>
      </c>
      <c r="Q80" s="183">
        <f>IF($N80="",#N/A,SUM($P$4:P80))</f>
        <v>3.1940325367574602</v>
      </c>
      <c r="R80" s="279">
        <f t="shared" si="116"/>
        <v>2.1460773873081878</v>
      </c>
      <c r="S80" s="59" t="str">
        <f t="shared" si="117"/>
        <v>SW</v>
      </c>
      <c r="T80" s="59" t="s">
        <v>2828</v>
      </c>
      <c r="U80" s="61">
        <f t="shared" si="118"/>
        <v>152.15</v>
      </c>
      <c r="V80" s="61" t="s">
        <v>4460</v>
      </c>
      <c r="W80" s="142">
        <v>5</v>
      </c>
      <c r="X80" s="146">
        <f t="shared" si="119"/>
        <v>760.75</v>
      </c>
      <c r="Y80" s="142">
        <f t="shared" si="120"/>
        <v>5</v>
      </c>
      <c r="Z80" s="278">
        <v>164.2</v>
      </c>
      <c r="AA80" s="63">
        <f t="shared" si="121"/>
        <v>60.25</v>
      </c>
      <c r="AB80" s="63">
        <f t="shared" si="122"/>
        <v>49.899999999999977</v>
      </c>
      <c r="AC80" s="125">
        <v>162.13</v>
      </c>
      <c r="AD80" s="148">
        <f t="shared" si="123"/>
        <v>49.899999999999977</v>
      </c>
      <c r="AE80" s="544">
        <f t="shared" si="124"/>
        <v>1.0932194106692952</v>
      </c>
      <c r="AF80" s="62">
        <f>IF($AC80="",#N/A,SUM(AD$4:AD80))</f>
        <v>-219.90582025503124</v>
      </c>
      <c r="AG80" s="63">
        <f t="shared" si="125"/>
        <v>-12.5</v>
      </c>
      <c r="AH80" s="61" t="s">
        <v>2507</v>
      </c>
      <c r="AI80" s="64">
        <f t="shared" si="126"/>
        <v>1.3199693285135283</v>
      </c>
      <c r="AJ80" s="177">
        <f>IF(AI80="",#N/A,SUM($AI$4:AI80))</f>
        <v>1.0479551494492725</v>
      </c>
      <c r="AK80" s="62">
        <f t="shared" si="127"/>
        <v>60.25</v>
      </c>
      <c r="AL80" s="288">
        <f>IF(AI80="",#N/A,IF(AH80="Skip",SUM($AK$4:AK80),SUM($AK$4:AK80)))</f>
        <v>-201.29999999999939</v>
      </c>
      <c r="AM80" s="65">
        <f t="shared" si="210"/>
        <v>1.0932194106692952</v>
      </c>
      <c r="AN80" s="209"/>
      <c r="AO80" s="64">
        <f t="shared" si="128"/>
        <v>1.0932194106692952</v>
      </c>
      <c r="AP80" s="64">
        <f>IF($AC80="",#N/A,SUM(AO$4:AO80))</f>
        <v>5.0689383742699041</v>
      </c>
      <c r="AQ80" s="64" t="str">
        <f t="shared" si="129"/>
        <v/>
      </c>
      <c r="AR80" s="64">
        <f>IF($AC80="",#N/A,SUM(AQ$4:AQ80))</f>
        <v>-1.0879870612894522</v>
      </c>
      <c r="AS80" s="64" t="str">
        <f t="shared" si="130"/>
        <v/>
      </c>
      <c r="AT80" s="64">
        <f>IF($AC80="",#N/A,SUM(AS$4:AS80))</f>
        <v>-4.5286258194714231</v>
      </c>
      <c r="AU80" s="62">
        <f t="shared" si="211"/>
        <v>49.899999999999977</v>
      </c>
      <c r="AV80" s="62">
        <f>IF($AC80="",#N/A,SUM(AU$4:AU80))</f>
        <v>215.8325526477845</v>
      </c>
      <c r="AW80" s="62" t="str">
        <f t="shared" si="212"/>
        <v/>
      </c>
      <c r="AX80" s="62">
        <f>IF($AC80="",#N/A,SUM(AW$4:AW80))</f>
        <v>-66.900000000000205</v>
      </c>
      <c r="AY80" s="61" t="str">
        <f t="shared" si="213"/>
        <v/>
      </c>
      <c r="AZ80" s="62">
        <f>IF($AC80="",#N/A,SUM(AY$4:AY80))</f>
        <v>-368.83837290281554</v>
      </c>
      <c r="BA80" s="62">
        <f>IF(AD80="",#N/A,SUM($AD$4:AD80))</f>
        <v>-219.90582025503124</v>
      </c>
      <c r="BC80" s="59" t="str">
        <f t="shared" si="131"/>
        <v/>
      </c>
      <c r="BD80" s="59" t="str">
        <f t="shared" si="132"/>
        <v/>
      </c>
      <c r="BE80" s="59">
        <f t="shared" si="133"/>
        <v>1</v>
      </c>
      <c r="BF80" s="59" t="str">
        <f t="shared" si="134"/>
        <v>Long</v>
      </c>
      <c r="BG80" s="59" t="str">
        <f t="shared" si="135"/>
        <v/>
      </c>
      <c r="BH80" s="59" t="str">
        <f t="shared" si="136"/>
        <v/>
      </c>
      <c r="BI80" s="59" t="str">
        <f t="shared" si="137"/>
        <v/>
      </c>
      <c r="BK80" s="65">
        <f t="shared" si="108"/>
        <v>8.0813146091218271E-2</v>
      </c>
      <c r="BL80" s="65">
        <f t="shared" si="107"/>
        <v>0.5397714269578614</v>
      </c>
      <c r="BM80" s="65">
        <f>IFERROR(Q80/COUNTA($J$4:J80),#N/A)</f>
        <v>4.1480942035811173E-2</v>
      </c>
      <c r="BO80" s="489">
        <f>IF(J80="",#N/A,IF(S80="SW",(COUNTIFS(K$4:$K80,"&gt;0",S$4:$S80,"SW")/COUNTIF(S$4:$S80,"SW")),#N/A))</f>
        <v>0.56521739130434778</v>
      </c>
      <c r="BP80" s="489" t="e">
        <f>IF($J80="",#N/A,IF($S80="DWN",(COUNTIFS($K$4:$K80,"&lt;0",$S$4:$S80,"DWN")/COUNTIF($S$4:$S80,"DWN")),#N/A))</f>
        <v>#N/A</v>
      </c>
      <c r="BQ80" s="489" t="e">
        <f>IF($J80="",#N/A,IF($S80="UP",(COUNTIFS($K$4:$K80,"&gt;0",$S$4:$S80,"UP")/COUNTIF($S$4:$S80,"UP")),#N/A))</f>
        <v>#N/A</v>
      </c>
      <c r="BR80" s="489">
        <f>IF(J80="",#N/A,COUNTIF($K$4:K80,"&gt;0")/COUNT($J$4:J80))</f>
        <v>0.53246753246753242</v>
      </c>
      <c r="BS80" s="65">
        <f t="shared" si="138"/>
        <v>1.367071968452185</v>
      </c>
      <c r="BT80" s="65" t="str">
        <f t="shared" si="139"/>
        <v/>
      </c>
      <c r="BU80" s="65" t="str">
        <f t="shared" si="140"/>
        <v/>
      </c>
      <c r="BV80" s="65" t="str">
        <f t="shared" si="141"/>
        <v/>
      </c>
      <c r="BW80" s="151" t="str">
        <f t="shared" si="142"/>
        <v/>
      </c>
      <c r="BX80" s="151">
        <f>IF($J80="",#N/A,SUM($BW$4:BW80))</f>
        <v>-91.165000000000305</v>
      </c>
      <c r="BY80" s="152" t="str">
        <f t="shared" si="143"/>
        <v/>
      </c>
      <c r="BZ80" s="152">
        <f>IF($J80="",#N/A,SUM($BY$4:BY80))</f>
        <v>-198.36871953149523</v>
      </c>
      <c r="CA80" s="153">
        <f t="shared" si="144"/>
        <v>62.399999999999977</v>
      </c>
      <c r="CB80" s="154">
        <f>IF($J80="",#N/A,SUM($CA$4:CA80))</f>
        <v>244.76002390112058</v>
      </c>
      <c r="CC80" s="191" t="str">
        <f t="shared" si="145"/>
        <v/>
      </c>
      <c r="CD80" s="191">
        <f>IF($J80="",#N/A,SUM($CC$4:CC80))</f>
        <v>-1.4632631312024809</v>
      </c>
      <c r="CE80" s="192" t="str">
        <f t="shared" si="146"/>
        <v/>
      </c>
      <c r="CF80" s="192">
        <f>IF($J80="",#N/A,SUM($CE$4:CE80))</f>
        <v>-2.1536522232713935</v>
      </c>
      <c r="CG80" s="193">
        <f t="shared" si="147"/>
        <v>1.367071968452185</v>
      </c>
      <c r="CH80" s="193">
        <f>IF($J80="",#N/A,SUM($CG$4:CG80))</f>
        <v>6.8109478912313381</v>
      </c>
      <c r="CI80" s="200" t="str">
        <f t="shared" si="148"/>
        <v/>
      </c>
      <c r="CJ80" s="200">
        <f>IF($J80="",#N/A,SUM(CI$4:CI80))</f>
        <v>0</v>
      </c>
      <c r="CK80" s="201" t="str">
        <f t="shared" si="149"/>
        <v/>
      </c>
      <c r="CL80" s="201">
        <f>IF($J80="",#N/A,SUM(CK$4:CK80))</f>
        <v>1.8934431343190481</v>
      </c>
      <c r="CM80" s="202" t="str">
        <f t="shared" si="150"/>
        <v/>
      </c>
      <c r="CN80" s="202">
        <f>IF($J80="",#N/A,SUM(CM$4:CM80))</f>
        <v>3.5437224367841633</v>
      </c>
      <c r="CO80" s="202">
        <f>IF($J80="",#N/A,SUM(CM$4:CM80,CK$4:CK80,CI$4:CI80))</f>
        <v>5.4371655711032112</v>
      </c>
      <c r="CP80" s="200" t="str">
        <f t="shared" si="151"/>
        <v/>
      </c>
      <c r="CQ80" s="200">
        <f>IF($J80="",#N/A,SUM(CP$4:CP80))</f>
        <v>0</v>
      </c>
      <c r="CR80" s="201" t="str">
        <f t="shared" si="152"/>
        <v/>
      </c>
      <c r="CS80" s="201">
        <f>IF($J80="",#N/A,SUM(CR$4:CR80))</f>
        <v>0</v>
      </c>
      <c r="CT80" s="202" t="str">
        <f t="shared" si="153"/>
        <v/>
      </c>
      <c r="CU80" s="202">
        <f>IF($J80="",#N/A,SUM(CT$4:CT80))</f>
        <v>0</v>
      </c>
      <c r="CV80" s="202">
        <f>IF($J80="",#N/A,SUM(CT$4:CT80,CR$4:CR80,CP$4:CP80))</f>
        <v>0</v>
      </c>
      <c r="CW80" s="200" t="str">
        <f t="shared" si="154"/>
        <v/>
      </c>
      <c r="CX80" s="200">
        <f>IF($J80="",#N/A,SUM(CW$4:CW80))</f>
        <v>0</v>
      </c>
      <c r="CY80" s="201" t="str">
        <f t="shared" si="155"/>
        <v/>
      </c>
      <c r="CZ80" s="201">
        <f>IF($J80="",#N/A,SUM(CY$4:CY80))</f>
        <v>-0.63271328921481373</v>
      </c>
      <c r="DA80" s="202" t="str">
        <f t="shared" si="156"/>
        <v/>
      </c>
      <c r="DB80" s="202">
        <f>IF($J80="",#N/A,SUM(DA$4:DA80))</f>
        <v>1.1829222170861893</v>
      </c>
      <c r="DC80" s="202">
        <f>IF($J80="",#N/A,SUM(DA$4:DA80,CY$4:CY80,CW$4:CW80))</f>
        <v>0.55020892787137554</v>
      </c>
      <c r="DD80" s="200" t="str">
        <f t="shared" si="157"/>
        <v/>
      </c>
      <c r="DE80" s="200">
        <f>IF($J80="",#N/A,SUM(DD$4:DD80))</f>
        <v>0.4905246481018824</v>
      </c>
      <c r="DF80" s="201" t="str">
        <f t="shared" si="158"/>
        <v/>
      </c>
      <c r="DG80" s="201">
        <f>IF($J80="",#N/A,SUM(DF$4:DF80))</f>
        <v>0.6788440567066546</v>
      </c>
      <c r="DH80" s="202" t="str">
        <f t="shared" si="159"/>
        <v/>
      </c>
      <c r="DI80" s="202">
        <f>IF($J80="",#N/A,SUM(DH$4:DH80))</f>
        <v>-0.83172699364602887</v>
      </c>
      <c r="DJ80" s="202">
        <f>IF($J80="",#N/A,SUM(DH$4:DH80,DF$4:DF80,DD$4:DD80))</f>
        <v>0.33764171116250813</v>
      </c>
      <c r="DK80" s="200" t="str">
        <f t="shared" si="160"/>
        <v/>
      </c>
      <c r="DL80" s="200">
        <f>IF($J80="",#N/A,SUM(DK$4:DK80))</f>
        <v>0</v>
      </c>
      <c r="DM80" s="201" t="str">
        <f t="shared" si="161"/>
        <v/>
      </c>
      <c r="DN80" s="201">
        <f>IF($J80="",#N/A,SUM(DM$4:DM80))</f>
        <v>0.36227168206863897</v>
      </c>
      <c r="DO80" s="202" t="str">
        <f t="shared" si="162"/>
        <v/>
      </c>
      <c r="DP80" s="202">
        <f>IF($J80="",#N/A,SUM(DO$4:DO80))</f>
        <v>-0.43291760746858676</v>
      </c>
      <c r="DQ80" s="202">
        <f>IF($J80="",#N/A,SUM(DO$4:DO80,DM$4:DM80,DK$4:DK80))</f>
        <v>-7.0645925399947795E-2</v>
      </c>
      <c r="DR80" s="200" t="str">
        <f t="shared" si="163"/>
        <v/>
      </c>
      <c r="DS80" s="200">
        <f>IF($J80="",#N/A,SUM(DR$4:DR80))</f>
        <v>-0.55950946427675097</v>
      </c>
      <c r="DT80" s="201" t="str">
        <f t="shared" si="164"/>
        <v/>
      </c>
      <c r="DU80" s="201">
        <f>IF($J80="",#N/A,SUM(DT$4:DT80))</f>
        <v>-2.8875364672150718</v>
      </c>
      <c r="DV80" s="202" t="str">
        <f t="shared" si="165"/>
        <v/>
      </c>
      <c r="DW80" s="202">
        <f>IF($J80="",#N/A,SUM(DV$4:DV80))</f>
        <v>-0.23245750740486493</v>
      </c>
      <c r="DX80" s="202">
        <f>IF($J80="",#N/A,SUM(DV$4:DV80,DT$4:DT80,DR$4:DR80))</f>
        <v>-3.6795034388966879</v>
      </c>
      <c r="DY80" s="200" t="str">
        <f t="shared" si="166"/>
        <v/>
      </c>
      <c r="DZ80" s="200">
        <f>IF($J80="",#N/A,SUM(DY$4:DY80))</f>
        <v>-1.4611133068588897</v>
      </c>
      <c r="EA80" s="201" t="str">
        <f t="shared" si="167"/>
        <v/>
      </c>
      <c r="EB80" s="201">
        <f>IF($J80="",#N/A,SUM(EA$4:EA80))</f>
        <v>-1.2459555278526064</v>
      </c>
      <c r="EC80" s="202" t="str">
        <f t="shared" si="168"/>
        <v/>
      </c>
      <c r="ED80" s="202">
        <f>IF($J80="",#N/A,SUM(EC$4:EC80))</f>
        <v>2.9360240487958968</v>
      </c>
      <c r="EE80" s="202">
        <f>IF($J80="",#N/A,SUM(EC$4:EC80,EA$4:EA80,DY$4:DY80))</f>
        <v>0.22895521408440067</v>
      </c>
      <c r="EF80" s="200" t="str">
        <f t="shared" si="169"/>
        <v/>
      </c>
      <c r="EG80" s="200">
        <f>IF($J80="",#N/A,SUM(EF$4:EF80))</f>
        <v>0</v>
      </c>
      <c r="EH80" s="201" t="str">
        <f t="shared" si="170"/>
        <v/>
      </c>
      <c r="EI80" s="201">
        <f>IF($J80="",#N/A,SUM(EH$4:EH80))</f>
        <v>-2.0327391387894549</v>
      </c>
      <c r="EJ80" s="202" t="str">
        <f t="shared" si="171"/>
        <v/>
      </c>
      <c r="EK80" s="202">
        <f>IF($J80="",#N/A,SUM(EJ$4:EJ80))</f>
        <v>2.2116398676705207</v>
      </c>
      <c r="EL80" s="202">
        <f>IF($J80="",#N/A,SUM(EJ$4:EJ80,EH$4:EH80,EF$4:EF80))</f>
        <v>0.1789007288810659</v>
      </c>
      <c r="EM80" s="200" t="str">
        <f t="shared" si="172"/>
        <v/>
      </c>
      <c r="EN80" s="200">
        <f>IF($J80="",#N/A,SUM(EM$4:EM80))</f>
        <v>0</v>
      </c>
      <c r="EO80" s="201" t="str">
        <f t="shared" si="173"/>
        <v/>
      </c>
      <c r="EP80" s="201">
        <f>IF($J80="",#N/A,SUM(EO$4:EO80))</f>
        <v>0.74379497102635161</v>
      </c>
      <c r="EQ80" s="202" t="str">
        <f t="shared" si="174"/>
        <v/>
      </c>
      <c r="ER80" s="202">
        <f>IF($J80="",#N/A,SUM(EQ$4:EQ80))</f>
        <v>0.4926597949853756</v>
      </c>
      <c r="ES80" s="202">
        <f>IF($J80="",#N/A,SUM(EQ$4:EQ80,EO$4:EO80,EM$4:EM80))</f>
        <v>1.2364547660117271</v>
      </c>
      <c r="ET80" s="200" t="str">
        <f t="shared" si="175"/>
        <v/>
      </c>
      <c r="EU80" s="200">
        <f>IF($J80="",#N/A,SUM(ET$4:ET80))</f>
        <v>0</v>
      </c>
      <c r="EV80" s="201" t="str">
        <f t="shared" si="176"/>
        <v/>
      </c>
      <c r="EW80" s="201">
        <f>IF($J80="",#N/A,SUM(EV$4:EV80))</f>
        <v>0</v>
      </c>
      <c r="EX80" s="202">
        <f t="shared" si="177"/>
        <v>1.367071968452185</v>
      </c>
      <c r="EY80" s="202">
        <f>IF($J80="",#N/A,SUM(EX$4:EX80))</f>
        <v>1.367071968452185</v>
      </c>
      <c r="EZ80" s="202">
        <f>IF($J80="",#N/A,SUM(EX$4:EX80,EV$4:EV80,ET$4:ET80))</f>
        <v>1.367071968452185</v>
      </c>
      <c r="FA80" s="200" t="str">
        <f t="shared" si="178"/>
        <v/>
      </c>
      <c r="FB80" s="200">
        <f>IF($J80="",#N/A,SUM(FA$4:FA80))</f>
        <v>0</v>
      </c>
      <c r="FC80" s="201" t="str">
        <f t="shared" si="179"/>
        <v/>
      </c>
      <c r="FD80" s="201">
        <f>IF($J80="",#N/A,SUM(FC$4:FC80))</f>
        <v>1.3724148418491529</v>
      </c>
      <c r="FE80" s="202" t="str">
        <f t="shared" si="180"/>
        <v/>
      </c>
      <c r="FF80" s="202">
        <f>IF($J80="",#N/A,SUM(FE$4:FE80))</f>
        <v>-0.28811149078748233</v>
      </c>
      <c r="FG80" s="202">
        <f>IF($J80="",#N/A,SUM(FE$4:FE80,FC$4:FC80,FA$4:FA80))</f>
        <v>1.0843033510616706</v>
      </c>
      <c r="FH80" s="200" t="str">
        <f t="shared" si="181"/>
        <v/>
      </c>
      <c r="FI80" s="200">
        <f>IF($J80="",#N/A,SUM(FH$4:FH80))</f>
        <v>0</v>
      </c>
      <c r="FJ80" s="201" t="str">
        <f t="shared" si="182"/>
        <v/>
      </c>
      <c r="FK80" s="201">
        <f>IF($J80="",#N/A,SUM(FJ$4:FJ80))</f>
        <v>0</v>
      </c>
      <c r="FL80" s="202" t="str">
        <f t="shared" si="183"/>
        <v/>
      </c>
      <c r="FM80" s="202">
        <f>IF($J80="",#N/A,SUM(FL$4:FL80))</f>
        <v>0</v>
      </c>
      <c r="FN80" s="202">
        <f>IF($J80="",#N/A,SUM(FL$4:FL80,FJ$4:FJ80,FH$4:FH80))</f>
        <v>0</v>
      </c>
      <c r="FO80" s="200" t="str">
        <f t="shared" si="184"/>
        <v/>
      </c>
      <c r="FP80" s="200">
        <f>IF($J80="",#N/A,SUM(FO$4:FO80))</f>
        <v>0</v>
      </c>
      <c r="FQ80" s="201" t="str">
        <f t="shared" si="185"/>
        <v/>
      </c>
      <c r="FR80" s="201">
        <f>IF($J80="",#N/A,SUM(FQ$4:FQ80))</f>
        <v>0</v>
      </c>
      <c r="FS80" s="202" t="str">
        <f t="shared" si="186"/>
        <v/>
      </c>
      <c r="FT80" s="202">
        <f>IF($J80="",#N/A,SUM(FS$4:FS80))</f>
        <v>0</v>
      </c>
      <c r="FU80" s="202">
        <f>IF($J80="",#N/A,SUM(FS$4:FS80,FQ$4:FQ80,FO$4:FO80))</f>
        <v>0</v>
      </c>
      <c r="FV80" s="200" t="str">
        <f t="shared" si="187"/>
        <v/>
      </c>
      <c r="FW80" s="200">
        <f>IF($J80="",#N/A,SUM(FV$4:FV80))</f>
        <v>6.6834991831277585E-2</v>
      </c>
      <c r="FX80" s="201" t="str">
        <f t="shared" si="188"/>
        <v/>
      </c>
      <c r="FY80" s="201">
        <f>IF($J80="",#N/A,SUM(FX$4:FX80))</f>
        <v>0</v>
      </c>
      <c r="FZ80" s="202" t="str">
        <f t="shared" si="189"/>
        <v/>
      </c>
      <c r="GA80" s="202">
        <f>IF($J80="",#N/A,SUM(FZ$4:FZ80))</f>
        <v>-0.20104261551371039</v>
      </c>
      <c r="GB80" s="202">
        <f>IF($J80="",#N/A,SUM(FZ$4:FZ80,FX$4:FX80,FV$4:FV80))</f>
        <v>-0.1342076236824328</v>
      </c>
      <c r="GC80" s="200" t="str">
        <f t="shared" si="190"/>
        <v/>
      </c>
      <c r="GD80" s="200">
        <f>IF($J80="",#N/A,SUM(GC$4:GC80))</f>
        <v>0</v>
      </c>
      <c r="GE80" s="201" t="str">
        <f t="shared" si="191"/>
        <v/>
      </c>
      <c r="GF80" s="201">
        <f>IF($J80="",#N/A,SUM(GE$4:GE80))</f>
        <v>0</v>
      </c>
      <c r="GG80" s="202" t="str">
        <f t="shared" si="192"/>
        <v/>
      </c>
      <c r="GH80" s="202">
        <f>IF($J80="",#N/A,SUM(GG$4:GG80))</f>
        <v>-2.9368362277223206</v>
      </c>
      <c r="GI80" s="202">
        <f>IF($J80="",#N/A,SUM(GG$4:GG80,GE$4:GE80,GC$4:GC80))</f>
        <v>-2.9368362277223206</v>
      </c>
      <c r="GJ80" s="200" t="str">
        <f t="shared" si="193"/>
        <v/>
      </c>
      <c r="GK80" s="200">
        <f>IF($J80="",#N/A,SUM(GJ$4:GJ80))</f>
        <v>0</v>
      </c>
      <c r="GL80" s="201" t="str">
        <f t="shared" si="194"/>
        <v/>
      </c>
      <c r="GM80" s="201">
        <f>IF($J80="",#N/A,SUM(GL$4:GL80))</f>
        <v>-0.4054764861692941</v>
      </c>
      <c r="GN80" s="202" t="str">
        <f t="shared" si="195"/>
        <v/>
      </c>
      <c r="GO80" s="202">
        <f>IF($J80="",#N/A,SUM(GN$4:GN80))</f>
        <v>0</v>
      </c>
      <c r="GP80" s="202">
        <f>IF($J80="",#N/A,SUM(GN$4:GN80,GL$4:GL80,GJ$4:GJ80))</f>
        <v>-0.4054764861692941</v>
      </c>
      <c r="GS80" s="177">
        <f t="shared" si="214"/>
        <v>1.367071968452185</v>
      </c>
      <c r="GT80" s="177">
        <f>IF(GS80="",NA(),SUM($GS$4:GS80))</f>
        <v>2.9920437238301769</v>
      </c>
      <c r="GU80" s="177" t="str">
        <f t="shared" si="196"/>
        <v/>
      </c>
      <c r="GV80" s="177" t="e">
        <f>IF(GU80="",NA(),SUM($GU$4:GU80))</f>
        <v>#N/A</v>
      </c>
      <c r="GW80" s="177">
        <f t="shared" si="197"/>
        <v>1.367071968452185</v>
      </c>
      <c r="GX80" s="177">
        <f>IF(GW80="",NA(),SUM($GW$4:GW80))</f>
        <v>6.6089590783040526</v>
      </c>
      <c r="GY80" s="177" t="str">
        <f t="shared" si="198"/>
        <v/>
      </c>
      <c r="GZ80" s="177" t="e">
        <f>IF(GY80="",NA(),SUM($GY$4:GY80))</f>
        <v>#N/A</v>
      </c>
      <c r="HA80" s="177" t="str">
        <f t="shared" si="199"/>
        <v/>
      </c>
      <c r="HB80" s="177" t="e">
        <f>IF(HA80="",NA(),SUM($HA$4:HA80))</f>
        <v>#N/A</v>
      </c>
      <c r="HC80" s="177" t="str">
        <f t="shared" si="200"/>
        <v/>
      </c>
      <c r="HD80" s="177" t="e">
        <f>IF(HC80="",NA(),SUM($HC$4:HC80))</f>
        <v>#N/A</v>
      </c>
      <c r="HE80" s="177" t="str">
        <f t="shared" si="201"/>
        <v/>
      </c>
      <c r="HF80" s="177" t="e">
        <f>IF(HE80="",NA(),SUM($HE$4:HE80))</f>
        <v>#N/A</v>
      </c>
      <c r="HG80" s="177" t="str">
        <f t="shared" si="202"/>
        <v/>
      </c>
      <c r="HH80" s="177" t="e">
        <f>IF(HG80="",NA(),SUM($HG$4:HG80))</f>
        <v>#N/A</v>
      </c>
      <c r="HI80" s="183" t="str">
        <f t="shared" si="215"/>
        <v/>
      </c>
      <c r="HJ80" s="183">
        <f>IF($J80="",#N/A,SUM(HI$4:$HI80))</f>
        <v>-0.83132705025154807</v>
      </c>
      <c r="HK80" s="177" t="str">
        <f t="shared" si="203"/>
        <v/>
      </c>
      <c r="HL80" s="177">
        <f>IF($J80="",#N/A,SUM($HK$4:HK80))</f>
        <v>-1.5436465459484796</v>
      </c>
      <c r="HM80" s="177" t="str">
        <f t="shared" si="204"/>
        <v/>
      </c>
      <c r="HN80" s="177">
        <f>IF($J80="",#N/A,SUM($HM$4:HM80))</f>
        <v>0.72020221657224703</v>
      </c>
      <c r="HO80" s="177" t="str">
        <f t="shared" si="205"/>
        <v/>
      </c>
      <c r="HP80" s="177">
        <f>IF($J80="",#N/A,SUM($HO$4:HO80))</f>
        <v>-0.34492614665921834</v>
      </c>
      <c r="HQ80" s="177">
        <f t="shared" si="206"/>
        <v>-0.27385255778288986</v>
      </c>
      <c r="HR80" s="177">
        <f>IF($J80="",#N/A,SUM($HQ$4:HQ80))</f>
        <v>-6.290823095277486</v>
      </c>
      <c r="HS80" s="177" t="str">
        <f t="shared" si="207"/>
        <v/>
      </c>
      <c r="HT80" s="177">
        <f>IF($J80="",#N/A,SUM($HS$4:HS80))</f>
        <v>4.5488135783160555</v>
      </c>
      <c r="HU80" s="64">
        <f t="shared" si="208"/>
        <v>1.0932194106692952</v>
      </c>
      <c r="HV80" s="64">
        <f>IF($J80="",#N/A,SUM(HU$4:$HU80))</f>
        <v>-0.54767450649096849</v>
      </c>
    </row>
    <row r="81" spans="1:230" x14ac:dyDescent="0.25">
      <c r="A81" s="51" t="s">
        <v>1420</v>
      </c>
      <c r="B81" s="52" t="s">
        <v>4516</v>
      </c>
      <c r="C81" s="229">
        <f t="shared" si="109"/>
        <v>3</v>
      </c>
      <c r="D81" s="219" t="str">
        <f>_xlfn.XLOOKUP(A81,[1]SP500!$A$2:$A$502,[1]SP500!$D$2:$D$502,"N")</f>
        <v>Y</v>
      </c>
      <c r="E81" s="51" t="str">
        <f>IFERROR(_xlfn.XLOOKUP(A81,[1]SP500!$A$2:$A$655,[1]SP500!$B$2:$B$655),"")</f>
        <v>XLF</v>
      </c>
      <c r="F81" s="290">
        <v>45770</v>
      </c>
      <c r="G81" s="51" t="str">
        <f t="shared" si="110"/>
        <v>AMC</v>
      </c>
      <c r="H81" s="51" t="str">
        <f t="shared" si="111"/>
        <v>s</v>
      </c>
      <c r="I81" s="343">
        <v>178.69</v>
      </c>
      <c r="J81" s="123">
        <v>175.64</v>
      </c>
      <c r="K81" s="55">
        <f t="shared" si="112"/>
        <v>-1.7068666405506808E-2</v>
      </c>
      <c r="L81" s="67">
        <f t="shared" si="113"/>
        <v>-15.250000000000114</v>
      </c>
      <c r="M81" s="57">
        <f t="shared" si="114"/>
        <v>0</v>
      </c>
      <c r="N81" s="155">
        <f t="shared" si="115"/>
        <v>-15.250000000000114</v>
      </c>
      <c r="O81" s="156">
        <f>IF(N81="",#N/A,SUM($N$4:N81))</f>
        <v>-60.023695630375073</v>
      </c>
      <c r="P81" s="65">
        <f t="shared" si="209"/>
        <v>-0.28447777342511454</v>
      </c>
      <c r="Q81" s="172">
        <f>IF($N81="",#N/A,SUM($P$4:P81))</f>
        <v>2.9095547633323458</v>
      </c>
      <c r="R81" s="279">
        <f t="shared" si="116"/>
        <v>2.1460773873081878</v>
      </c>
      <c r="S81" s="51" t="str">
        <f t="shared" si="117"/>
        <v>SW</v>
      </c>
      <c r="T81" s="51" t="s">
        <v>2828</v>
      </c>
      <c r="U81" s="56">
        <f t="shared" si="118"/>
        <v>178.69</v>
      </c>
      <c r="V81" s="56" t="s">
        <v>4460</v>
      </c>
      <c r="W81" s="142">
        <v>5</v>
      </c>
      <c r="X81" s="145">
        <f t="shared" si="119"/>
        <v>893.45</v>
      </c>
      <c r="Y81" s="140">
        <f t="shared" si="120"/>
        <v>5</v>
      </c>
      <c r="Z81" s="123">
        <v>175.64</v>
      </c>
      <c r="AA81" s="102">
        <f t="shared" si="121"/>
        <v>-15.250000000000114</v>
      </c>
      <c r="AB81" s="102">
        <f t="shared" si="122"/>
        <v>43.850000000000023</v>
      </c>
      <c r="AC81" s="124">
        <v>187.46</v>
      </c>
      <c r="AD81" s="155">
        <f t="shared" si="123"/>
        <v>43.850000000000023</v>
      </c>
      <c r="AE81" s="545">
        <f t="shared" si="124"/>
        <v>0.81799018784860233</v>
      </c>
      <c r="AF81" s="57">
        <f>IF($AC81="",#N/A,SUM(AD$4:AD81))</f>
        <v>-176.05582025503122</v>
      </c>
      <c r="AG81" s="102">
        <f t="shared" si="125"/>
        <v>59.100000000000136</v>
      </c>
      <c r="AH81" s="56" t="s">
        <v>2507</v>
      </c>
      <c r="AI81" s="65">
        <f t="shared" si="126"/>
        <v>-0.28447777342511454</v>
      </c>
      <c r="AJ81" s="54">
        <f>IF(AI81="",#N/A,SUM($AI$4:AI81))</f>
        <v>0.76347737602415799</v>
      </c>
      <c r="AK81" s="57">
        <f t="shared" si="127"/>
        <v>-15.250000000000114</v>
      </c>
      <c r="AL81" s="58">
        <f>IF(AI81="",#N/A,IF(AH81="Skip",SUM($AK$4:AK81),SUM($AK$4:AK81)))</f>
        <v>-216.5499999999995</v>
      </c>
      <c r="AM81" s="65">
        <f t="shared" si="210"/>
        <v>0.81799018784860233</v>
      </c>
      <c r="AN81" s="209"/>
      <c r="AO81" s="65">
        <f t="shared" si="128"/>
        <v>0.81799018784860233</v>
      </c>
      <c r="AP81" s="65">
        <f>IF($AC81="",#N/A,SUM(AO$4:AO81))</f>
        <v>5.8869285621185066</v>
      </c>
      <c r="AQ81" s="65" t="str">
        <f t="shared" si="129"/>
        <v/>
      </c>
      <c r="AR81" s="65">
        <f>IF($AC81="",#N/A,SUM(AQ$4:AQ81))</f>
        <v>-1.0879870612894522</v>
      </c>
      <c r="AS81" s="65" t="str">
        <f t="shared" si="130"/>
        <v/>
      </c>
      <c r="AT81" s="65">
        <f>IF($AC81="",#N/A,SUM(AS$4:AS81))</f>
        <v>-4.5286258194714231</v>
      </c>
      <c r="AU81" s="57">
        <f t="shared" si="211"/>
        <v>43.850000000000023</v>
      </c>
      <c r="AV81" s="57">
        <f>IF($AC81="",#N/A,SUM(AU$4:AU81))</f>
        <v>259.68255264778452</v>
      </c>
      <c r="AW81" s="57" t="str">
        <f t="shared" si="212"/>
        <v/>
      </c>
      <c r="AX81" s="57">
        <f>IF($AC81="",#N/A,SUM(AW$4:AW81))</f>
        <v>-66.900000000000205</v>
      </c>
      <c r="AY81" s="56" t="str">
        <f t="shared" si="213"/>
        <v/>
      </c>
      <c r="AZ81" s="57">
        <f>IF($AC81="",#N/A,SUM(AY$4:AY81))</f>
        <v>-368.83837290281554</v>
      </c>
      <c r="BA81" s="57">
        <f>IF(AD81="",#N/A,SUM($AD$4:AD81))</f>
        <v>-176.05582025503122</v>
      </c>
      <c r="BC81" s="51" t="str">
        <f t="shared" si="131"/>
        <v/>
      </c>
      <c r="BD81" s="51" t="str">
        <f t="shared" si="132"/>
        <v/>
      </c>
      <c r="BE81" s="51" t="str">
        <f t="shared" si="133"/>
        <v/>
      </c>
      <c r="BF81" s="51" t="str">
        <f t="shared" si="134"/>
        <v>Long</v>
      </c>
      <c r="BG81" s="51" t="str">
        <f t="shared" si="135"/>
        <v/>
      </c>
      <c r="BH81" s="51" t="str">
        <f t="shared" si="136"/>
        <v/>
      </c>
      <c r="BI81" s="51">
        <f t="shared" si="137"/>
        <v>1</v>
      </c>
      <c r="BK81" s="65">
        <f t="shared" si="108"/>
        <v>9.4598464557683754E-2</v>
      </c>
      <c r="BL81" s="65">
        <f t="shared" si="107"/>
        <v>0.50868592422144177</v>
      </c>
      <c r="BM81" s="65">
        <f>IFERROR(Q81/COUNTA($J$4:J81),#N/A)</f>
        <v>3.7301984145286481E-2</v>
      </c>
      <c r="BO81" s="489">
        <f>IF(J81="",#N/A,IF(S81="SW",(COUNTIFS(K$4:$K81,"&gt;0",S$4:$S81,"SW")/COUNTIF(S$4:$S81,"SW")),#N/A))</f>
        <v>0.55319148936170215</v>
      </c>
      <c r="BP81" s="489" t="e">
        <f>IF($J81="",#N/A,IF($S81="DWN",(COUNTIFS($K$4:$K81,"&lt;0",$S$4:$S81,"DWN")/COUNTIF($S$4:$S81,"DWN")),#N/A))</f>
        <v>#N/A</v>
      </c>
      <c r="BQ81" s="489" t="e">
        <f>IF($J81="",#N/A,IF($S81="UP",(COUNTIFS($K$4:$K81,"&gt;0",$S$4:$S81,"UP")/COUNTIF($S$4:$S81,"UP")),#N/A))</f>
        <v>#N/A</v>
      </c>
      <c r="BR81" s="489">
        <f>IF(J81="",#N/A,COUNTIF($K$4:K81,"&gt;0")/COUNT($J$4:J81))</f>
        <v>0.52564102564102566</v>
      </c>
      <c r="BS81" s="65" t="str">
        <f t="shared" si="138"/>
        <v/>
      </c>
      <c r="BT81" s="65">
        <f t="shared" si="139"/>
        <v>-0.28447777342511454</v>
      </c>
      <c r="BU81" s="65" t="str">
        <f t="shared" si="140"/>
        <v/>
      </c>
      <c r="BV81" s="65" t="str">
        <f t="shared" si="141"/>
        <v/>
      </c>
      <c r="BW81" s="151" t="str">
        <f t="shared" si="142"/>
        <v/>
      </c>
      <c r="BX81" s="151">
        <f>IF($J81="",#N/A,SUM($BW$4:BW81))</f>
        <v>-91.165000000000305</v>
      </c>
      <c r="BY81" s="152" t="str">
        <f t="shared" si="143"/>
        <v/>
      </c>
      <c r="BZ81" s="152">
        <f>IF($J81="",#N/A,SUM($BY$4:BY81))</f>
        <v>-198.36871953149523</v>
      </c>
      <c r="CA81" s="153">
        <f t="shared" si="144"/>
        <v>-15.250000000000114</v>
      </c>
      <c r="CB81" s="154">
        <f>IF($J81="",#N/A,SUM($CA$4:CA81))</f>
        <v>229.51002390112046</v>
      </c>
      <c r="CC81" s="191" t="str">
        <f t="shared" si="145"/>
        <v/>
      </c>
      <c r="CD81" s="191">
        <f>IF($J81="",#N/A,SUM($CC$4:CC81))</f>
        <v>-1.4632631312024809</v>
      </c>
      <c r="CE81" s="192" t="str">
        <f t="shared" si="146"/>
        <v/>
      </c>
      <c r="CF81" s="192">
        <f>IF($J81="",#N/A,SUM($CE$4:CE81))</f>
        <v>-2.1536522232713935</v>
      </c>
      <c r="CG81" s="193">
        <f t="shared" si="147"/>
        <v>-0.28447777342511454</v>
      </c>
      <c r="CH81" s="193">
        <f>IF($J81="",#N/A,SUM($CG$4:CG81))</f>
        <v>6.5264701178062232</v>
      </c>
      <c r="CI81" s="200" t="str">
        <f t="shared" si="148"/>
        <v/>
      </c>
      <c r="CJ81" s="200">
        <f>IF($J81="",#N/A,SUM(CI$4:CI81))</f>
        <v>0</v>
      </c>
      <c r="CK81" s="201" t="str">
        <f t="shared" si="149"/>
        <v/>
      </c>
      <c r="CL81" s="201">
        <f>IF($J81="",#N/A,SUM(CK$4:CK81))</f>
        <v>1.8934431343190481</v>
      </c>
      <c r="CM81" s="202" t="str">
        <f t="shared" si="150"/>
        <v/>
      </c>
      <c r="CN81" s="202">
        <f>IF($J81="",#N/A,SUM(CM$4:CM81))</f>
        <v>3.5437224367841633</v>
      </c>
      <c r="CO81" s="202">
        <f>IF($J81="",#N/A,SUM(CM$4:CM81,CK$4:CK81,CI$4:CI81))</f>
        <v>5.4371655711032112</v>
      </c>
      <c r="CP81" s="200" t="str">
        <f t="shared" si="151"/>
        <v/>
      </c>
      <c r="CQ81" s="200">
        <f>IF($J81="",#N/A,SUM(CP$4:CP81))</f>
        <v>0</v>
      </c>
      <c r="CR81" s="201" t="str">
        <f t="shared" si="152"/>
        <v/>
      </c>
      <c r="CS81" s="201">
        <f>IF($J81="",#N/A,SUM(CR$4:CR81))</f>
        <v>0</v>
      </c>
      <c r="CT81" s="202" t="str">
        <f t="shared" si="153"/>
        <v/>
      </c>
      <c r="CU81" s="202">
        <f>IF($J81="",#N/A,SUM(CT$4:CT81))</f>
        <v>0</v>
      </c>
      <c r="CV81" s="202">
        <f>IF($J81="",#N/A,SUM(CT$4:CT81,CR$4:CR81,CP$4:CP81))</f>
        <v>0</v>
      </c>
      <c r="CW81" s="200" t="str">
        <f t="shared" si="154"/>
        <v/>
      </c>
      <c r="CX81" s="200">
        <f>IF($J81="",#N/A,SUM(CW$4:CW81))</f>
        <v>0</v>
      </c>
      <c r="CY81" s="201" t="str">
        <f t="shared" si="155"/>
        <v/>
      </c>
      <c r="CZ81" s="201">
        <f>IF($J81="",#N/A,SUM(CY$4:CY81))</f>
        <v>-0.63271328921481373</v>
      </c>
      <c r="DA81" s="202" t="str">
        <f t="shared" si="156"/>
        <v/>
      </c>
      <c r="DB81" s="202">
        <f>IF($J81="",#N/A,SUM(DA$4:DA81))</f>
        <v>1.1829222170861893</v>
      </c>
      <c r="DC81" s="202">
        <f>IF($J81="",#N/A,SUM(DA$4:DA81,CY$4:CY81,CW$4:CW81))</f>
        <v>0.55020892787137554</v>
      </c>
      <c r="DD81" s="200" t="str">
        <f t="shared" si="157"/>
        <v/>
      </c>
      <c r="DE81" s="200">
        <f>IF($J81="",#N/A,SUM(DD$4:DD81))</f>
        <v>0.4905246481018824</v>
      </c>
      <c r="DF81" s="201" t="str">
        <f t="shared" si="158"/>
        <v/>
      </c>
      <c r="DG81" s="201">
        <f>IF($J81="",#N/A,SUM(DF$4:DF81))</f>
        <v>0.6788440567066546</v>
      </c>
      <c r="DH81" s="202" t="str">
        <f t="shared" si="159"/>
        <v/>
      </c>
      <c r="DI81" s="202">
        <f>IF($J81="",#N/A,SUM(DH$4:DH81))</f>
        <v>-0.83172699364602887</v>
      </c>
      <c r="DJ81" s="202">
        <f>IF($J81="",#N/A,SUM(DH$4:DH81,DF$4:DF81,DD$4:DD81))</f>
        <v>0.33764171116250813</v>
      </c>
      <c r="DK81" s="200" t="str">
        <f t="shared" si="160"/>
        <v/>
      </c>
      <c r="DL81" s="200">
        <f>IF($J81="",#N/A,SUM(DK$4:DK81))</f>
        <v>0</v>
      </c>
      <c r="DM81" s="201" t="str">
        <f t="shared" si="161"/>
        <v/>
      </c>
      <c r="DN81" s="201">
        <f>IF($J81="",#N/A,SUM(DM$4:DM81))</f>
        <v>0.36227168206863897</v>
      </c>
      <c r="DO81" s="202" t="str">
        <f t="shared" si="162"/>
        <v/>
      </c>
      <c r="DP81" s="202">
        <f>IF($J81="",#N/A,SUM(DO$4:DO81))</f>
        <v>-0.43291760746858676</v>
      </c>
      <c r="DQ81" s="202">
        <f>IF($J81="",#N/A,SUM(DO$4:DO81,DM$4:DM81,DK$4:DK81))</f>
        <v>-7.0645925399947795E-2</v>
      </c>
      <c r="DR81" s="200" t="str">
        <f t="shared" si="163"/>
        <v/>
      </c>
      <c r="DS81" s="200">
        <f>IF($J81="",#N/A,SUM(DR$4:DR81))</f>
        <v>-0.55950946427675097</v>
      </c>
      <c r="DT81" s="201" t="str">
        <f t="shared" si="164"/>
        <v/>
      </c>
      <c r="DU81" s="201">
        <f>IF($J81="",#N/A,SUM(DT$4:DT81))</f>
        <v>-2.8875364672150718</v>
      </c>
      <c r="DV81" s="202">
        <f t="shared" si="165"/>
        <v>-0.28447777342511454</v>
      </c>
      <c r="DW81" s="202">
        <f>IF($J81="",#N/A,SUM(DV$4:DV81))</f>
        <v>-0.51693528082997942</v>
      </c>
      <c r="DX81" s="202">
        <f>IF($J81="",#N/A,SUM(DV$4:DV81,DT$4:DT81,DR$4:DR81))</f>
        <v>-3.9639812123218028</v>
      </c>
      <c r="DY81" s="200" t="str">
        <f t="shared" si="166"/>
        <v/>
      </c>
      <c r="DZ81" s="200">
        <f>IF($J81="",#N/A,SUM(DY$4:DY81))</f>
        <v>-1.4611133068588897</v>
      </c>
      <c r="EA81" s="201" t="str">
        <f t="shared" si="167"/>
        <v/>
      </c>
      <c r="EB81" s="201">
        <f>IF($J81="",#N/A,SUM(EA$4:EA81))</f>
        <v>-1.2459555278526064</v>
      </c>
      <c r="EC81" s="202" t="str">
        <f t="shared" si="168"/>
        <v/>
      </c>
      <c r="ED81" s="202">
        <f>IF($J81="",#N/A,SUM(EC$4:EC81))</f>
        <v>2.9360240487958968</v>
      </c>
      <c r="EE81" s="202">
        <f>IF($J81="",#N/A,SUM(EC$4:EC81,EA$4:EA81,DY$4:DY81))</f>
        <v>0.22895521408440067</v>
      </c>
      <c r="EF81" s="200" t="str">
        <f t="shared" si="169"/>
        <v/>
      </c>
      <c r="EG81" s="200">
        <f>IF($J81="",#N/A,SUM(EF$4:EF81))</f>
        <v>0</v>
      </c>
      <c r="EH81" s="201" t="str">
        <f t="shared" si="170"/>
        <v/>
      </c>
      <c r="EI81" s="201">
        <f>IF($J81="",#N/A,SUM(EH$4:EH81))</f>
        <v>-2.0327391387894549</v>
      </c>
      <c r="EJ81" s="202" t="str">
        <f t="shared" si="171"/>
        <v/>
      </c>
      <c r="EK81" s="202">
        <f>IF($J81="",#N/A,SUM(EJ$4:EJ81))</f>
        <v>2.2116398676705207</v>
      </c>
      <c r="EL81" s="202">
        <f>IF($J81="",#N/A,SUM(EJ$4:EJ81,EH$4:EH81,EF$4:EF81))</f>
        <v>0.1789007288810659</v>
      </c>
      <c r="EM81" s="200" t="str">
        <f t="shared" si="172"/>
        <v/>
      </c>
      <c r="EN81" s="200">
        <f>IF($J81="",#N/A,SUM(EM$4:EM81))</f>
        <v>0</v>
      </c>
      <c r="EO81" s="201" t="str">
        <f t="shared" si="173"/>
        <v/>
      </c>
      <c r="EP81" s="201">
        <f>IF($J81="",#N/A,SUM(EO$4:EO81))</f>
        <v>0.74379497102635161</v>
      </c>
      <c r="EQ81" s="202" t="str">
        <f t="shared" si="174"/>
        <v/>
      </c>
      <c r="ER81" s="202">
        <f>IF($J81="",#N/A,SUM(EQ$4:EQ81))</f>
        <v>0.4926597949853756</v>
      </c>
      <c r="ES81" s="202">
        <f>IF($J81="",#N/A,SUM(EQ$4:EQ81,EO$4:EO81,EM$4:EM81))</f>
        <v>1.2364547660117271</v>
      </c>
      <c r="ET81" s="200" t="str">
        <f t="shared" si="175"/>
        <v/>
      </c>
      <c r="EU81" s="200">
        <f>IF($J81="",#N/A,SUM(ET$4:ET81))</f>
        <v>0</v>
      </c>
      <c r="EV81" s="201" t="str">
        <f t="shared" si="176"/>
        <v/>
      </c>
      <c r="EW81" s="201">
        <f>IF($J81="",#N/A,SUM(EV$4:EV81))</f>
        <v>0</v>
      </c>
      <c r="EX81" s="202" t="str">
        <f t="shared" si="177"/>
        <v/>
      </c>
      <c r="EY81" s="202">
        <f>IF($J81="",#N/A,SUM(EX$4:EX81))</f>
        <v>1.367071968452185</v>
      </c>
      <c r="EZ81" s="202">
        <f>IF($J81="",#N/A,SUM(EX$4:EX81,EV$4:EV81,ET$4:ET81))</f>
        <v>1.367071968452185</v>
      </c>
      <c r="FA81" s="200" t="str">
        <f t="shared" si="178"/>
        <v/>
      </c>
      <c r="FB81" s="200">
        <f>IF($J81="",#N/A,SUM(FA$4:FA81))</f>
        <v>0</v>
      </c>
      <c r="FC81" s="201" t="str">
        <f t="shared" si="179"/>
        <v/>
      </c>
      <c r="FD81" s="201">
        <f>IF($J81="",#N/A,SUM(FC$4:FC81))</f>
        <v>1.3724148418491529</v>
      </c>
      <c r="FE81" s="202" t="str">
        <f t="shared" si="180"/>
        <v/>
      </c>
      <c r="FF81" s="202">
        <f>IF($J81="",#N/A,SUM(FE$4:FE81))</f>
        <v>-0.28811149078748233</v>
      </c>
      <c r="FG81" s="202">
        <f>IF($J81="",#N/A,SUM(FE$4:FE81,FC$4:FC81,FA$4:FA81))</f>
        <v>1.0843033510616706</v>
      </c>
      <c r="FH81" s="200" t="str">
        <f t="shared" si="181"/>
        <v/>
      </c>
      <c r="FI81" s="200">
        <f>IF($J81="",#N/A,SUM(FH$4:FH81))</f>
        <v>0</v>
      </c>
      <c r="FJ81" s="201" t="str">
        <f t="shared" si="182"/>
        <v/>
      </c>
      <c r="FK81" s="201">
        <f>IF($J81="",#N/A,SUM(FJ$4:FJ81))</f>
        <v>0</v>
      </c>
      <c r="FL81" s="202" t="str">
        <f t="shared" si="183"/>
        <v/>
      </c>
      <c r="FM81" s="202">
        <f>IF($J81="",#N/A,SUM(FL$4:FL81))</f>
        <v>0</v>
      </c>
      <c r="FN81" s="202">
        <f>IF($J81="",#N/A,SUM(FL$4:FL81,FJ$4:FJ81,FH$4:FH81))</f>
        <v>0</v>
      </c>
      <c r="FO81" s="200" t="str">
        <f t="shared" si="184"/>
        <v/>
      </c>
      <c r="FP81" s="200">
        <f>IF($J81="",#N/A,SUM(FO$4:FO81))</f>
        <v>0</v>
      </c>
      <c r="FQ81" s="201" t="str">
        <f t="shared" si="185"/>
        <v/>
      </c>
      <c r="FR81" s="201">
        <f>IF($J81="",#N/A,SUM(FQ$4:FQ81))</f>
        <v>0</v>
      </c>
      <c r="FS81" s="202" t="str">
        <f t="shared" si="186"/>
        <v/>
      </c>
      <c r="FT81" s="202">
        <f>IF($J81="",#N/A,SUM(FS$4:FS81))</f>
        <v>0</v>
      </c>
      <c r="FU81" s="202">
        <f>IF($J81="",#N/A,SUM(FS$4:FS81,FQ$4:FQ81,FO$4:FO81))</f>
        <v>0</v>
      </c>
      <c r="FV81" s="200" t="str">
        <f t="shared" si="187"/>
        <v/>
      </c>
      <c r="FW81" s="200">
        <f>IF($J81="",#N/A,SUM(FV$4:FV81))</f>
        <v>6.6834991831277585E-2</v>
      </c>
      <c r="FX81" s="201" t="str">
        <f t="shared" si="188"/>
        <v/>
      </c>
      <c r="FY81" s="201">
        <f>IF($J81="",#N/A,SUM(FX$4:FX81))</f>
        <v>0</v>
      </c>
      <c r="FZ81" s="202" t="str">
        <f t="shared" si="189"/>
        <v/>
      </c>
      <c r="GA81" s="202">
        <f>IF($J81="",#N/A,SUM(FZ$4:FZ81))</f>
        <v>-0.20104261551371039</v>
      </c>
      <c r="GB81" s="202">
        <f>IF($J81="",#N/A,SUM(FZ$4:FZ81,FX$4:FX81,FV$4:FV81))</f>
        <v>-0.1342076236824328</v>
      </c>
      <c r="GC81" s="200" t="str">
        <f t="shared" si="190"/>
        <v/>
      </c>
      <c r="GD81" s="200">
        <f>IF($J81="",#N/A,SUM(GC$4:GC81))</f>
        <v>0</v>
      </c>
      <c r="GE81" s="201" t="str">
        <f t="shared" si="191"/>
        <v/>
      </c>
      <c r="GF81" s="201">
        <f>IF($J81="",#N/A,SUM(GE$4:GE81))</f>
        <v>0</v>
      </c>
      <c r="GG81" s="202" t="str">
        <f t="shared" si="192"/>
        <v/>
      </c>
      <c r="GH81" s="202">
        <f>IF($J81="",#N/A,SUM(GG$4:GG81))</f>
        <v>-2.9368362277223206</v>
      </c>
      <c r="GI81" s="202">
        <f>IF($J81="",#N/A,SUM(GG$4:GG81,GE$4:GE81,GC$4:GC81))</f>
        <v>-2.9368362277223206</v>
      </c>
      <c r="GJ81" s="200" t="str">
        <f t="shared" si="193"/>
        <v/>
      </c>
      <c r="GK81" s="200">
        <f>IF($J81="",#N/A,SUM(GJ$4:GJ81))</f>
        <v>0</v>
      </c>
      <c r="GL81" s="201" t="str">
        <f t="shared" si="194"/>
        <v/>
      </c>
      <c r="GM81" s="201">
        <f>IF($J81="",#N/A,SUM(GL$4:GL81))</f>
        <v>-0.4054764861692941</v>
      </c>
      <c r="GN81" s="202" t="str">
        <f t="shared" si="195"/>
        <v/>
      </c>
      <c r="GO81" s="202">
        <f>IF($J81="",#N/A,SUM(GN$4:GN81))</f>
        <v>0</v>
      </c>
      <c r="GP81" s="202">
        <f>IF($J81="",#N/A,SUM(GN$4:GN81,GL$4:GL81,GJ$4:GJ81))</f>
        <v>-0.4054764861692941</v>
      </c>
      <c r="GS81" s="54">
        <f t="shared" si="214"/>
        <v>-0.28447777342511454</v>
      </c>
      <c r="GT81" s="54">
        <f>IF(GS81="",NA(),SUM($GS$4:GS81))</f>
        <v>2.7075659504050624</v>
      </c>
      <c r="GU81" s="54" t="str">
        <f t="shared" si="196"/>
        <v/>
      </c>
      <c r="GV81" s="54" t="e">
        <f>IF(GU81="",NA(),SUM($GU$4:GU81))</f>
        <v>#N/A</v>
      </c>
      <c r="GW81" s="54">
        <f t="shared" si="197"/>
        <v>-0.28447777342511454</v>
      </c>
      <c r="GX81" s="54">
        <f>IF(GW81="",NA(),SUM($GW$4:GW81))</f>
        <v>6.3244813048789377</v>
      </c>
      <c r="GY81" s="54" t="str">
        <f t="shared" si="198"/>
        <v/>
      </c>
      <c r="GZ81" s="54" t="e">
        <f>IF(GY81="",NA(),SUM($GY$4:GY81))</f>
        <v>#N/A</v>
      </c>
      <c r="HA81" s="54" t="str">
        <f t="shared" si="199"/>
        <v/>
      </c>
      <c r="HB81" s="54" t="e">
        <f>IF(HA81="",NA(),SUM($HA$4:HA81))</f>
        <v>#N/A</v>
      </c>
      <c r="HC81" s="54" t="str">
        <f t="shared" si="200"/>
        <v/>
      </c>
      <c r="HD81" s="54" t="e">
        <f>IF(HC81="",NA(),SUM($HC$4:HC81))</f>
        <v>#N/A</v>
      </c>
      <c r="HE81" s="54" t="str">
        <f t="shared" si="201"/>
        <v/>
      </c>
      <c r="HF81" s="54" t="e">
        <f>IF(HE81="",NA(),SUM($HE$4:HE81))</f>
        <v>#N/A</v>
      </c>
      <c r="HG81" s="54" t="str">
        <f t="shared" si="202"/>
        <v/>
      </c>
      <c r="HH81" s="54" t="e">
        <f>IF(HG81="",NA(),SUM($HG$4:HG81))</f>
        <v>#N/A</v>
      </c>
      <c r="HI81" s="172" t="str">
        <f t="shared" si="215"/>
        <v/>
      </c>
      <c r="HJ81" s="172">
        <f>IF($J81="",#N/A,SUM(HI$4:$HI81))</f>
        <v>-0.83132705025154807</v>
      </c>
      <c r="HK81" s="54" t="str">
        <f t="shared" si="203"/>
        <v/>
      </c>
      <c r="HL81" s="54">
        <f>IF($J81="",#N/A,SUM($HK$4:HK81))</f>
        <v>-1.5436465459484796</v>
      </c>
      <c r="HM81" s="54" t="str">
        <f t="shared" si="204"/>
        <v/>
      </c>
      <c r="HN81" s="54">
        <f>IF($J81="",#N/A,SUM($HM$4:HM81))</f>
        <v>0.72020221657224703</v>
      </c>
      <c r="HO81" s="54" t="str">
        <f t="shared" si="205"/>
        <v/>
      </c>
      <c r="HP81" s="54">
        <f>IF($J81="",#N/A,SUM($HO$4:HO81))</f>
        <v>-0.34492614665921834</v>
      </c>
      <c r="HQ81" s="54" t="str">
        <f t="shared" si="206"/>
        <v/>
      </c>
      <c r="HR81" s="54">
        <f>IF($J81="",#N/A,SUM($HQ$4:HQ81))</f>
        <v>-6.290823095277486</v>
      </c>
      <c r="HS81" s="54">
        <f t="shared" si="207"/>
        <v>1.1024679612737169</v>
      </c>
      <c r="HT81" s="54">
        <f>IF($J81="",#N/A,SUM($HS$4:HS81))</f>
        <v>5.6512815395897729</v>
      </c>
      <c r="HU81" s="65">
        <f t="shared" si="208"/>
        <v>0.81799018784860233</v>
      </c>
      <c r="HV81" s="65">
        <f>IF($J81="",#N/A,SUM(HU$4:$HU81))</f>
        <v>0.27031568135763384</v>
      </c>
    </row>
    <row r="82" spans="1:230" x14ac:dyDescent="0.25">
      <c r="A82" s="51" t="s">
        <v>1296</v>
      </c>
      <c r="B82" s="52" t="s">
        <v>4517</v>
      </c>
      <c r="C82" s="229">
        <f t="shared" si="109"/>
        <v>3</v>
      </c>
      <c r="D82" s="219" t="str">
        <f>_xlfn.XLOOKUP(A82,[1]SP500!$A$2:$A$502,[1]SP500!$D$2:$D$502,"N")</f>
        <v>Y</v>
      </c>
      <c r="E82" s="51" t="str">
        <f>IFERROR(_xlfn.XLOOKUP(A82,[1]SP500!$A$2:$A$655,[1]SP500!$B$2:$B$655),"")</f>
        <v>XLK</v>
      </c>
      <c r="F82" s="290">
        <v>45770</v>
      </c>
      <c r="G82" s="51" t="str">
        <f t="shared" si="110"/>
        <v>AMC</v>
      </c>
      <c r="H82" s="51" t="str">
        <f t="shared" si="111"/>
        <v>s</v>
      </c>
      <c r="I82" s="343">
        <v>245.48</v>
      </c>
      <c r="J82" s="123">
        <v>231.17500000000001</v>
      </c>
      <c r="K82" s="55">
        <f t="shared" si="112"/>
        <v>-5.8273586442887319E-2</v>
      </c>
      <c r="L82" s="67">
        <f t="shared" si="113"/>
        <v>-57.219999999999914</v>
      </c>
      <c r="M82" s="57">
        <f t="shared" si="114"/>
        <v>-3.2200000000000273</v>
      </c>
      <c r="N82" s="102">
        <f t="shared" si="115"/>
        <v>-57.219999999999914</v>
      </c>
      <c r="O82" s="57">
        <f>IF(N82="",#N/A,SUM($N$4:N82))</f>
        <v>-117.24369563037499</v>
      </c>
      <c r="P82" s="65">
        <f t="shared" si="209"/>
        <v>-0.97122644071478859</v>
      </c>
      <c r="Q82" s="172">
        <f>IF($N82="",#N/A,SUM($P$4:P82))</f>
        <v>1.9383283226175572</v>
      </c>
      <c r="R82" s="279">
        <f t="shared" si="116"/>
        <v>2.2007322132274756</v>
      </c>
      <c r="S82" s="51" t="str">
        <f t="shared" si="117"/>
        <v>SW</v>
      </c>
      <c r="T82" s="51" t="s">
        <v>2828</v>
      </c>
      <c r="U82" s="56">
        <f t="shared" si="118"/>
        <v>245.48</v>
      </c>
      <c r="V82" s="56" t="s">
        <v>4460</v>
      </c>
      <c r="W82" s="142">
        <v>4</v>
      </c>
      <c r="X82" s="145">
        <f t="shared" si="119"/>
        <v>981.92</v>
      </c>
      <c r="Y82" s="140">
        <f t="shared" si="120"/>
        <v>4</v>
      </c>
      <c r="Z82" s="123">
        <v>230.37</v>
      </c>
      <c r="AA82" s="102">
        <f t="shared" si="121"/>
        <v>-60.439999999999941</v>
      </c>
      <c r="AB82" s="102">
        <f t="shared" si="122"/>
        <v>-64.599999999999909</v>
      </c>
      <c r="AC82" s="124">
        <v>229.33</v>
      </c>
      <c r="AD82" s="155">
        <f t="shared" si="123"/>
        <v>-64.599999999999909</v>
      </c>
      <c r="AE82" s="545">
        <f t="shared" si="124"/>
        <v>-1.096491228070174</v>
      </c>
      <c r="AF82" s="57">
        <f>IF($AC82="",#N/A,SUM(AD$4:AD82))</f>
        <v>-240.65582025503113</v>
      </c>
      <c r="AG82" s="102">
        <f t="shared" si="125"/>
        <v>-7.3799999999999955</v>
      </c>
      <c r="AH82" s="56" t="s">
        <v>2507</v>
      </c>
      <c r="AI82" s="65">
        <f t="shared" si="126"/>
        <v>-1.0258812666340764</v>
      </c>
      <c r="AJ82" s="54">
        <f>IF(AI82="",#N/A,SUM($AI$4:AI82))</f>
        <v>-0.26240389060991842</v>
      </c>
      <c r="AK82" s="57">
        <f t="shared" si="127"/>
        <v>-60.439999999999941</v>
      </c>
      <c r="AL82" s="349">
        <f>IF(AI82="",#N/A,IF(AH82="Skip",SUM($AK$4:AK82),SUM($AK$4:AK82)))</f>
        <v>-276.98999999999944</v>
      </c>
      <c r="AM82" s="65">
        <f t="shared" si="210"/>
        <v>-1.096491228070174</v>
      </c>
      <c r="AN82" s="209"/>
      <c r="AO82" s="65">
        <f t="shared" si="128"/>
        <v>-1.096491228070174</v>
      </c>
      <c r="AP82" s="65">
        <f>IF($AC82="",#N/A,SUM(AO$4:AO82))</f>
        <v>4.7904373340483328</v>
      </c>
      <c r="AQ82" s="65" t="str">
        <f t="shared" si="129"/>
        <v/>
      </c>
      <c r="AR82" s="65">
        <f>IF($AC82="",#N/A,SUM(AQ$4:AQ82))</f>
        <v>-1.0879870612894522</v>
      </c>
      <c r="AS82" s="65" t="str">
        <f t="shared" si="130"/>
        <v/>
      </c>
      <c r="AT82" s="65">
        <f>IF($AC82="",#N/A,SUM(AS$4:AS82))</f>
        <v>-4.5286258194714231</v>
      </c>
      <c r="AU82" s="57">
        <f t="shared" si="211"/>
        <v>-64.599999999999909</v>
      </c>
      <c r="AV82" s="57">
        <f>IF($AC82="",#N/A,SUM(AU$4:AU82))</f>
        <v>195.08255264778461</v>
      </c>
      <c r="AW82" s="57" t="str">
        <f t="shared" si="212"/>
        <v/>
      </c>
      <c r="AX82" s="57">
        <f>IF($AC82="",#N/A,SUM(AW$4:AW82))</f>
        <v>-66.900000000000205</v>
      </c>
      <c r="AY82" s="57" t="str">
        <f t="shared" si="213"/>
        <v/>
      </c>
      <c r="AZ82" s="57">
        <f>IF($AC82="",#N/A,SUM(AY$4:AY82))</f>
        <v>-368.83837290281554</v>
      </c>
      <c r="BA82" s="57">
        <f>IF(AD82="",#N/A,SUM($AD$4:AD82))</f>
        <v>-240.65582025503113</v>
      </c>
      <c r="BC82" s="51" t="str">
        <f t="shared" si="131"/>
        <v/>
      </c>
      <c r="BD82" s="51" t="str">
        <f t="shared" si="132"/>
        <v/>
      </c>
      <c r="BE82" s="51" t="str">
        <f t="shared" si="133"/>
        <v/>
      </c>
      <c r="BF82" s="51" t="str">
        <f t="shared" si="134"/>
        <v>Long</v>
      </c>
      <c r="BG82" s="51" t="str">
        <f t="shared" si="135"/>
        <v/>
      </c>
      <c r="BH82" s="51" t="str">
        <f t="shared" si="136"/>
        <v/>
      </c>
      <c r="BI82" s="51">
        <f t="shared" si="137"/>
        <v>1</v>
      </c>
      <c r="BK82" s="65">
        <f t="shared" si="108"/>
        <v>6.6521359785660067E-2</v>
      </c>
      <c r="BL82" s="65">
        <f t="shared" si="107"/>
        <v>0.4402313743980612</v>
      </c>
      <c r="BM82" s="65">
        <f>IFERROR(Q82/COUNTA($J$4:J82),#N/A)</f>
        <v>2.4535801552120977E-2</v>
      </c>
      <c r="BO82" s="489">
        <f>IF(J82="",#N/A,IF(S82="SW",(COUNTIFS(K$4:$K82,"&gt;0",S$4:$S82,"SW")/COUNTIF(S$4:$S82,"SW")),#N/A))</f>
        <v>0.54166666666666663</v>
      </c>
      <c r="BP82" s="489" t="e">
        <f>IF($J82="",#N/A,IF($S82="DWN",(COUNTIFS($K$4:$K82,"&lt;0",$S$4:$S82,"DWN")/COUNTIF($S$4:$S82,"DWN")),#N/A))</f>
        <v>#N/A</v>
      </c>
      <c r="BQ82" s="489" t="e">
        <f>IF($J82="",#N/A,IF($S82="UP",(COUNTIFS($K$4:$K82,"&gt;0",$S$4:$S82,"UP")/COUNTIF($S$4:$S82,"UP")),#N/A))</f>
        <v>#N/A</v>
      </c>
      <c r="BR82" s="489">
        <f>IF(J82="",#N/A,COUNTIF($K$4:K82,"&gt;0")/COUNT($J$4:J82))</f>
        <v>0.51898734177215189</v>
      </c>
      <c r="BS82" s="65" t="str">
        <f t="shared" si="138"/>
        <v/>
      </c>
      <c r="BT82" s="65">
        <f t="shared" si="139"/>
        <v>-0.97122644071478859</v>
      </c>
      <c r="BU82" s="65" t="str">
        <f t="shared" si="140"/>
        <v/>
      </c>
      <c r="BV82" s="65" t="str">
        <f t="shared" si="141"/>
        <v/>
      </c>
      <c r="BW82" s="128" t="str">
        <f t="shared" si="142"/>
        <v/>
      </c>
      <c r="BX82" s="128">
        <f>IF($J82="",#N/A,SUM($BW$4:BW82))</f>
        <v>-91.165000000000305</v>
      </c>
      <c r="BY82" s="131" t="str">
        <f t="shared" si="143"/>
        <v/>
      </c>
      <c r="BZ82" s="131">
        <f>IF($J82="",#N/A,SUM($BY$4:BY82))</f>
        <v>-198.36871953149523</v>
      </c>
      <c r="CA82" s="133">
        <f t="shared" si="144"/>
        <v>-57.219999999999914</v>
      </c>
      <c r="CB82" s="133">
        <f>IF($J82="",#N/A,SUM($CA$4:CA82))</f>
        <v>172.29002390112055</v>
      </c>
      <c r="CC82" s="194" t="str">
        <f t="shared" si="145"/>
        <v/>
      </c>
      <c r="CD82" s="194">
        <f>IF($J82="",#N/A,SUM($CC$4:CC82))</f>
        <v>-1.4632631312024809</v>
      </c>
      <c r="CE82" s="195" t="str">
        <f t="shared" si="146"/>
        <v/>
      </c>
      <c r="CF82" s="195">
        <f>IF($J82="",#N/A,SUM($CE$4:CE82))</f>
        <v>-2.1536522232713935</v>
      </c>
      <c r="CG82" s="196">
        <f t="shared" si="147"/>
        <v>-0.97122644071478859</v>
      </c>
      <c r="CH82" s="193">
        <f>IF($J82="",#N/A,SUM($CG$4:CG82))</f>
        <v>5.5552436770914344</v>
      </c>
      <c r="CI82" s="200" t="str">
        <f t="shared" si="148"/>
        <v/>
      </c>
      <c r="CJ82" s="203">
        <f>IF($J82="",#N/A,SUM(CI$4:CI82))</f>
        <v>0</v>
      </c>
      <c r="CK82" s="204" t="str">
        <f t="shared" si="149"/>
        <v/>
      </c>
      <c r="CL82" s="204">
        <f>IF($J82="",#N/A,SUM(CK$4:CK82))</f>
        <v>1.8934431343190481</v>
      </c>
      <c r="CM82" s="205">
        <f t="shared" si="150"/>
        <v>-0.97122644071478859</v>
      </c>
      <c r="CN82" s="205">
        <f>IF($J82="",#N/A,SUM(CM$4:CM82))</f>
        <v>2.5724959960693745</v>
      </c>
      <c r="CO82" s="205">
        <f>IF($J82="",#N/A,SUM(CM$4:CM82,CK$4:CK82,CI$4:CI82))</f>
        <v>4.4659391303884224</v>
      </c>
      <c r="CP82" s="200" t="str">
        <f t="shared" si="151"/>
        <v/>
      </c>
      <c r="CQ82" s="203">
        <f>IF($J82="",#N/A,SUM(CP$4:CP82))</f>
        <v>0</v>
      </c>
      <c r="CR82" s="204" t="str">
        <f t="shared" si="152"/>
        <v/>
      </c>
      <c r="CS82" s="204">
        <f>IF($J82="",#N/A,SUM(CR$4:CR82))</f>
        <v>0</v>
      </c>
      <c r="CT82" s="205" t="str">
        <f t="shared" si="153"/>
        <v/>
      </c>
      <c r="CU82" s="205">
        <f>IF($J82="",#N/A,SUM(CT$4:CT82))</f>
        <v>0</v>
      </c>
      <c r="CV82" s="205">
        <f>IF($J82="",#N/A,SUM(CT$4:CT82,CR$4:CR82,CP$4:CP82))</f>
        <v>0</v>
      </c>
      <c r="CW82" s="200" t="str">
        <f t="shared" si="154"/>
        <v/>
      </c>
      <c r="CX82" s="203">
        <f>IF($J82="",#N/A,SUM(CW$4:CW82))</f>
        <v>0</v>
      </c>
      <c r="CY82" s="204" t="str">
        <f t="shared" si="155"/>
        <v/>
      </c>
      <c r="CZ82" s="204">
        <f>IF($J82="",#N/A,SUM(CY$4:CY82))</f>
        <v>-0.63271328921481373</v>
      </c>
      <c r="DA82" s="205" t="str">
        <f t="shared" si="156"/>
        <v/>
      </c>
      <c r="DB82" s="205">
        <f>IF($J82="",#N/A,SUM(DA$4:DA82))</f>
        <v>1.1829222170861893</v>
      </c>
      <c r="DC82" s="205">
        <f>IF($J82="",#N/A,SUM(DA$4:DA82,CY$4:CY82,CW$4:CW82))</f>
        <v>0.55020892787137554</v>
      </c>
      <c r="DD82" s="200" t="str">
        <f t="shared" si="157"/>
        <v/>
      </c>
      <c r="DE82" s="203">
        <f>IF($J82="",#N/A,SUM(DD$4:DD82))</f>
        <v>0.4905246481018824</v>
      </c>
      <c r="DF82" s="204" t="str">
        <f t="shared" si="158"/>
        <v/>
      </c>
      <c r="DG82" s="204">
        <f>IF($J82="",#N/A,SUM(DF$4:DF82))</f>
        <v>0.6788440567066546</v>
      </c>
      <c r="DH82" s="205" t="str">
        <f t="shared" si="159"/>
        <v/>
      </c>
      <c r="DI82" s="205">
        <f>IF($J82="",#N/A,SUM(DH$4:DH82))</f>
        <v>-0.83172699364602887</v>
      </c>
      <c r="DJ82" s="205">
        <f>IF($J82="",#N/A,SUM(DH$4:DH82,DF$4:DF82,DD$4:DD82))</f>
        <v>0.33764171116250813</v>
      </c>
      <c r="DK82" s="200" t="str">
        <f t="shared" si="160"/>
        <v/>
      </c>
      <c r="DL82" s="203">
        <f>IF($J82="",#N/A,SUM(DK$4:DK82))</f>
        <v>0</v>
      </c>
      <c r="DM82" s="204" t="str">
        <f t="shared" si="161"/>
        <v/>
      </c>
      <c r="DN82" s="204">
        <f>IF($J82="",#N/A,SUM(DM$4:DM82))</f>
        <v>0.36227168206863897</v>
      </c>
      <c r="DO82" s="205" t="str">
        <f t="shared" si="162"/>
        <v/>
      </c>
      <c r="DP82" s="205">
        <f>IF($J82="",#N/A,SUM(DO$4:DO82))</f>
        <v>-0.43291760746858676</v>
      </c>
      <c r="DQ82" s="205">
        <f>IF($J82="",#N/A,SUM(DO$4:DO82,DM$4:DM82,DK$4:DK82))</f>
        <v>-7.0645925399947795E-2</v>
      </c>
      <c r="DR82" s="200" t="str">
        <f t="shared" si="163"/>
        <v/>
      </c>
      <c r="DS82" s="203">
        <f>IF($J82="",#N/A,SUM(DR$4:DR82))</f>
        <v>-0.55950946427675097</v>
      </c>
      <c r="DT82" s="204" t="str">
        <f t="shared" si="164"/>
        <v/>
      </c>
      <c r="DU82" s="204">
        <f>IF($J82="",#N/A,SUM(DT$4:DT82))</f>
        <v>-2.8875364672150718</v>
      </c>
      <c r="DV82" s="205" t="str">
        <f t="shared" si="165"/>
        <v/>
      </c>
      <c r="DW82" s="205">
        <f>IF($J82="",#N/A,SUM(DV$4:DV82))</f>
        <v>-0.51693528082997942</v>
      </c>
      <c r="DX82" s="205">
        <f>IF($J82="",#N/A,SUM(DV$4:DV82,DT$4:DT82,DR$4:DR82))</f>
        <v>-3.9639812123218028</v>
      </c>
      <c r="DY82" s="200" t="str">
        <f t="shared" si="166"/>
        <v/>
      </c>
      <c r="DZ82" s="203">
        <f>IF($J82="",#N/A,SUM(DY$4:DY82))</f>
        <v>-1.4611133068588897</v>
      </c>
      <c r="EA82" s="204" t="str">
        <f t="shared" si="167"/>
        <v/>
      </c>
      <c r="EB82" s="204">
        <f>IF($J82="",#N/A,SUM(EA$4:EA82))</f>
        <v>-1.2459555278526064</v>
      </c>
      <c r="EC82" s="205" t="str">
        <f t="shared" si="168"/>
        <v/>
      </c>
      <c r="ED82" s="205">
        <f>IF($J82="",#N/A,SUM(EC$4:EC82))</f>
        <v>2.9360240487958968</v>
      </c>
      <c r="EE82" s="205">
        <f>IF($J82="",#N/A,SUM(EC$4:EC82,EA$4:EA82,DY$4:DY82))</f>
        <v>0.22895521408440067</v>
      </c>
      <c r="EF82" s="200" t="str">
        <f t="shared" si="169"/>
        <v/>
      </c>
      <c r="EG82" s="203">
        <f>IF($J82="",#N/A,SUM(EF$4:EF82))</f>
        <v>0</v>
      </c>
      <c r="EH82" s="204" t="str">
        <f t="shared" si="170"/>
        <v/>
      </c>
      <c r="EI82" s="204">
        <f>IF($J82="",#N/A,SUM(EH$4:EH82))</f>
        <v>-2.0327391387894549</v>
      </c>
      <c r="EJ82" s="205" t="str">
        <f t="shared" si="171"/>
        <v/>
      </c>
      <c r="EK82" s="205">
        <f>IF($J82="",#N/A,SUM(EJ$4:EJ82))</f>
        <v>2.2116398676705207</v>
      </c>
      <c r="EL82" s="205">
        <f>IF($J82="",#N/A,SUM(EJ$4:EJ82,EH$4:EH82,EF$4:EF82))</f>
        <v>0.1789007288810659</v>
      </c>
      <c r="EM82" s="200" t="str">
        <f t="shared" si="172"/>
        <v/>
      </c>
      <c r="EN82" s="203">
        <f>IF($J82="",#N/A,SUM(EM$4:EM82))</f>
        <v>0</v>
      </c>
      <c r="EO82" s="204" t="str">
        <f t="shared" si="173"/>
        <v/>
      </c>
      <c r="EP82" s="204">
        <f>IF($J82="",#N/A,SUM(EO$4:EO82))</f>
        <v>0.74379497102635161</v>
      </c>
      <c r="EQ82" s="205" t="str">
        <f t="shared" si="174"/>
        <v/>
      </c>
      <c r="ER82" s="205">
        <f>IF($J82="",#N/A,SUM(EQ$4:EQ82))</f>
        <v>0.4926597949853756</v>
      </c>
      <c r="ES82" s="205">
        <f>IF($J82="",#N/A,SUM(EQ$4:EQ82,EO$4:EO82,EM$4:EM82))</f>
        <v>1.2364547660117271</v>
      </c>
      <c r="ET82" s="200" t="str">
        <f t="shared" si="175"/>
        <v/>
      </c>
      <c r="EU82" s="203">
        <f>IF($J82="",#N/A,SUM(ET$4:ET82))</f>
        <v>0</v>
      </c>
      <c r="EV82" s="204" t="str">
        <f t="shared" si="176"/>
        <v/>
      </c>
      <c r="EW82" s="204">
        <f>IF($J82="",#N/A,SUM(EV$4:EV82))</f>
        <v>0</v>
      </c>
      <c r="EX82" s="205" t="str">
        <f t="shared" si="177"/>
        <v/>
      </c>
      <c r="EY82" s="205">
        <f>IF($J82="",#N/A,SUM(EX$4:EX82))</f>
        <v>1.367071968452185</v>
      </c>
      <c r="EZ82" s="205">
        <f>IF($J82="",#N/A,SUM(EX$4:EX82,EV$4:EV82,ET$4:ET82))</f>
        <v>1.367071968452185</v>
      </c>
      <c r="FA82" s="200" t="str">
        <f t="shared" si="178"/>
        <v/>
      </c>
      <c r="FB82" s="203">
        <f>IF($J82="",#N/A,SUM(FA$4:FA82))</f>
        <v>0</v>
      </c>
      <c r="FC82" s="204" t="str">
        <f t="shared" si="179"/>
        <v/>
      </c>
      <c r="FD82" s="204">
        <f>IF($J82="",#N/A,SUM(FC$4:FC82))</f>
        <v>1.3724148418491529</v>
      </c>
      <c r="FE82" s="205" t="str">
        <f t="shared" si="180"/>
        <v/>
      </c>
      <c r="FF82" s="205">
        <f>IF($J82="",#N/A,SUM(FE$4:FE82))</f>
        <v>-0.28811149078748233</v>
      </c>
      <c r="FG82" s="205">
        <f>IF($J82="",#N/A,SUM(FE$4:FE82,FC$4:FC82,FA$4:FA82))</f>
        <v>1.0843033510616706</v>
      </c>
      <c r="FH82" s="200" t="str">
        <f t="shared" si="181"/>
        <v/>
      </c>
      <c r="FI82" s="203">
        <f>IF($J82="",#N/A,SUM(FH$4:FH82))</f>
        <v>0</v>
      </c>
      <c r="FJ82" s="204" t="str">
        <f t="shared" si="182"/>
        <v/>
      </c>
      <c r="FK82" s="204">
        <f>IF($J82="",#N/A,SUM(FJ$4:FJ82))</f>
        <v>0</v>
      </c>
      <c r="FL82" s="205" t="str">
        <f t="shared" si="183"/>
        <v/>
      </c>
      <c r="FM82" s="205">
        <f>IF($J82="",#N/A,SUM(FL$4:FL82))</f>
        <v>0</v>
      </c>
      <c r="FN82" s="205">
        <f>IF($J82="",#N/A,SUM(FL$4:FL82,FJ$4:FJ82,FH$4:FH82))</f>
        <v>0</v>
      </c>
      <c r="FO82" s="200" t="str">
        <f t="shared" si="184"/>
        <v/>
      </c>
      <c r="FP82" s="203">
        <f>IF($J82="",#N/A,SUM(FO$4:FO82))</f>
        <v>0</v>
      </c>
      <c r="FQ82" s="204" t="str">
        <f t="shared" si="185"/>
        <v/>
      </c>
      <c r="FR82" s="204">
        <f>IF($J82="",#N/A,SUM(FQ$4:FQ82))</f>
        <v>0</v>
      </c>
      <c r="FS82" s="205" t="str">
        <f t="shared" si="186"/>
        <v/>
      </c>
      <c r="FT82" s="205">
        <f>IF($J82="",#N/A,SUM(FS$4:FS82))</f>
        <v>0</v>
      </c>
      <c r="FU82" s="205">
        <f>IF($J82="",#N/A,SUM(FS$4:FS82,FQ$4:FQ82,FO$4:FO82))</f>
        <v>0</v>
      </c>
      <c r="FV82" s="200" t="str">
        <f t="shared" si="187"/>
        <v/>
      </c>
      <c r="FW82" s="203">
        <f>IF($J82="",#N/A,SUM(FV$4:FV82))</f>
        <v>6.6834991831277585E-2</v>
      </c>
      <c r="FX82" s="204" t="str">
        <f t="shared" si="188"/>
        <v/>
      </c>
      <c r="FY82" s="204">
        <f>IF($J82="",#N/A,SUM(FX$4:FX82))</f>
        <v>0</v>
      </c>
      <c r="FZ82" s="205" t="str">
        <f t="shared" si="189"/>
        <v/>
      </c>
      <c r="GA82" s="205">
        <f>IF($J82="",#N/A,SUM(FZ$4:FZ82))</f>
        <v>-0.20104261551371039</v>
      </c>
      <c r="GB82" s="205">
        <f>IF($J82="",#N/A,SUM(FZ$4:FZ82,FX$4:FX82,FV$4:FV82))</f>
        <v>-0.1342076236824328</v>
      </c>
      <c r="GC82" s="200" t="str">
        <f t="shared" si="190"/>
        <v/>
      </c>
      <c r="GD82" s="203">
        <f>IF($J82="",#N/A,SUM(GC$4:GC82))</f>
        <v>0</v>
      </c>
      <c r="GE82" s="204" t="str">
        <f t="shared" si="191"/>
        <v/>
      </c>
      <c r="GF82" s="204">
        <f>IF($J82="",#N/A,SUM(GE$4:GE82))</f>
        <v>0</v>
      </c>
      <c r="GG82" s="205" t="str">
        <f t="shared" si="192"/>
        <v/>
      </c>
      <c r="GH82" s="205">
        <f>IF($J82="",#N/A,SUM(GG$4:GG82))</f>
        <v>-2.9368362277223206</v>
      </c>
      <c r="GI82" s="205">
        <f>IF($J82="",#N/A,SUM(GG$4:GG82,GE$4:GE82,GC$4:GC82))</f>
        <v>-2.9368362277223206</v>
      </c>
      <c r="GJ82" s="200" t="str">
        <f t="shared" si="193"/>
        <v/>
      </c>
      <c r="GK82" s="203">
        <f>IF($J82="",#N/A,SUM(GJ$4:GJ82))</f>
        <v>0</v>
      </c>
      <c r="GL82" s="204" t="str">
        <f t="shared" si="194"/>
        <v/>
      </c>
      <c r="GM82" s="204">
        <f>IF($J82="",#N/A,SUM(GL$4:GL82))</f>
        <v>-0.4054764861692941</v>
      </c>
      <c r="GN82" s="205" t="str">
        <f t="shared" si="195"/>
        <v/>
      </c>
      <c r="GO82" s="205">
        <f>IF($J82="",#N/A,SUM(GN$4:GN82))</f>
        <v>0</v>
      </c>
      <c r="GP82" s="205">
        <f>IF($J82="",#N/A,SUM(GN$4:GN82,GL$4:GL82,GJ$4:GJ82))</f>
        <v>-0.4054764861692941</v>
      </c>
      <c r="GS82" s="54">
        <f t="shared" si="214"/>
        <v>-0.97122644071478859</v>
      </c>
      <c r="GT82" s="54">
        <f>IF(GS82="",NA(),SUM($GS$4:GS82))</f>
        <v>1.7363395096902738</v>
      </c>
      <c r="GU82" s="54" t="str">
        <f t="shared" si="196"/>
        <v/>
      </c>
      <c r="GV82" s="54" t="e">
        <f>IF(GU82="",NA(),SUM($GU$4:GU82))</f>
        <v>#N/A</v>
      </c>
      <c r="GW82" s="54">
        <f t="shared" si="197"/>
        <v>-0.97122644071478859</v>
      </c>
      <c r="GX82" s="54">
        <f>IF(GW82="",NA(),SUM($GW$4:GW82))</f>
        <v>5.3532548641641489</v>
      </c>
      <c r="GY82" s="54" t="str">
        <f t="shared" si="198"/>
        <v/>
      </c>
      <c r="GZ82" s="54" t="e">
        <f>IF(GY82="",NA(),SUM($GY$4:GY82))</f>
        <v>#N/A</v>
      </c>
      <c r="HA82" s="54" t="str">
        <f t="shared" si="199"/>
        <v/>
      </c>
      <c r="HB82" s="54" t="e">
        <f>IF(HA82="",NA(),SUM($HA$4:HA82))</f>
        <v>#N/A</v>
      </c>
      <c r="HC82" s="54" t="str">
        <f t="shared" si="200"/>
        <v/>
      </c>
      <c r="HD82" s="54" t="e">
        <f>IF(HC82="",NA(),SUM($HC$4:HC82))</f>
        <v>#N/A</v>
      </c>
      <c r="HE82" s="54" t="str">
        <f t="shared" si="201"/>
        <v/>
      </c>
      <c r="HF82" s="54" t="e">
        <f>IF(HE82="",NA(),SUM($HE$4:HE82))</f>
        <v>#N/A</v>
      </c>
      <c r="HG82" s="54" t="str">
        <f t="shared" si="202"/>
        <v/>
      </c>
      <c r="HH82" s="54" t="e">
        <f>IF(HG82="",NA(),SUM($HG$4:HG82))</f>
        <v>#N/A</v>
      </c>
      <c r="HI82" s="172" t="str">
        <f t="shared" si="215"/>
        <v/>
      </c>
      <c r="HJ82" s="172">
        <f>IF($J82="",#N/A,SUM(HI$4:$HI82))</f>
        <v>-0.83132705025154807</v>
      </c>
      <c r="HK82" s="54" t="str">
        <f t="shared" si="203"/>
        <v/>
      </c>
      <c r="HL82" s="54">
        <f>IF($J82="",#N/A,SUM($HK$4:HK82))</f>
        <v>-1.5436465459484796</v>
      </c>
      <c r="HM82" s="54" t="str">
        <f t="shared" si="204"/>
        <v/>
      </c>
      <c r="HN82" s="54">
        <f>IF($J82="",#N/A,SUM($HM$4:HM82))</f>
        <v>0.72020221657224703</v>
      </c>
      <c r="HO82" s="54" t="str">
        <f t="shared" si="205"/>
        <v/>
      </c>
      <c r="HP82" s="54">
        <f>IF($J82="",#N/A,SUM($HO$4:HO82))</f>
        <v>-0.34492614665921834</v>
      </c>
      <c r="HQ82" s="54" t="str">
        <f t="shared" si="206"/>
        <v/>
      </c>
      <c r="HR82" s="54">
        <f>IF($J82="",#N/A,SUM($HQ$4:HQ82))</f>
        <v>-6.290823095277486</v>
      </c>
      <c r="HS82" s="54">
        <f t="shared" si="207"/>
        <v>-0.12526478735538538</v>
      </c>
      <c r="HT82" s="54">
        <f>IF($J82="",#N/A,SUM($HS$4:HS82))</f>
        <v>5.526016752234387</v>
      </c>
      <c r="HU82" s="65">
        <f t="shared" si="208"/>
        <v>-1.096491228070174</v>
      </c>
      <c r="HV82" s="65">
        <f>IF($J82="",#N/A,SUM(HU$4:$HU82))</f>
        <v>-0.82617554671254012</v>
      </c>
    </row>
    <row r="83" spans="1:230" x14ac:dyDescent="0.25">
      <c r="A83" s="51" t="s">
        <v>1440</v>
      </c>
      <c r="B83" s="52" t="s">
        <v>4518</v>
      </c>
      <c r="C83" s="229">
        <f t="shared" si="109"/>
        <v>2</v>
      </c>
      <c r="D83" s="219" t="str">
        <f>_xlfn.XLOOKUP(A83,[1]SP500!$A$2:$A$502,[1]SP500!$D$2:$D$502,"N")</f>
        <v>Y</v>
      </c>
      <c r="E83" s="51" t="str">
        <f>IFERROR(_xlfn.XLOOKUP(A83,[1]SP500!$A$2:$A$655,[1]SP500!$B$2:$B$655),"")</f>
        <v>XLY</v>
      </c>
      <c r="F83" s="290">
        <v>45770</v>
      </c>
      <c r="G83" s="51" t="str">
        <f t="shared" si="110"/>
        <v>AMC</v>
      </c>
      <c r="H83" s="51" t="str">
        <f t="shared" si="111"/>
        <v>sk</v>
      </c>
      <c r="I83" s="344">
        <v>34.380000000000003</v>
      </c>
      <c r="J83" s="123">
        <v>34.47</v>
      </c>
      <c r="K83" s="55">
        <f t="shared" si="112"/>
        <v>2.617801047120311E-3</v>
      </c>
      <c r="L83" s="67">
        <f t="shared" si="113"/>
        <v>-2.2251308900523554</v>
      </c>
      <c r="M83" s="57" t="e">
        <f t="shared" si="114"/>
        <v>#N/A</v>
      </c>
      <c r="N83" s="102">
        <f t="shared" si="115"/>
        <v>-2.2251308900523554</v>
      </c>
      <c r="O83" s="57">
        <f>IF(N83="",#N/A,SUM($N$4:N83))</f>
        <v>-119.46882652042734</v>
      </c>
      <c r="P83" s="65">
        <f t="shared" si="209"/>
        <v>-4.3630017452006967E-2</v>
      </c>
      <c r="Q83" s="172">
        <f>IF($N83="",#N/A,SUM($P$4:P83))</f>
        <v>1.8946983051655502</v>
      </c>
      <c r="R83" s="279">
        <f t="shared" si="116"/>
        <v>2.1571021957754688</v>
      </c>
      <c r="S83" s="51" t="str">
        <f t="shared" si="117"/>
        <v>Dwn</v>
      </c>
      <c r="T83" s="51" t="s">
        <v>4461</v>
      </c>
      <c r="U83" s="56">
        <f t="shared" si="118"/>
        <v>34.380000000000003</v>
      </c>
      <c r="V83" s="56" t="s">
        <v>4458</v>
      </c>
      <c r="W83" s="340">
        <f>IF(I83="","",850/I83)</f>
        <v>24.723676556137288</v>
      </c>
      <c r="X83" s="145">
        <f t="shared" si="119"/>
        <v>850</v>
      </c>
      <c r="Y83" s="73">
        <f t="shared" si="120"/>
        <v>24.723676556137288</v>
      </c>
      <c r="Z83" s="538">
        <f>J83</f>
        <v>34.47</v>
      </c>
      <c r="AA83" s="102">
        <f t="shared" si="121"/>
        <v>-2.2251308900523554</v>
      </c>
      <c r="AB83" s="102">
        <f t="shared" si="122"/>
        <v>-55.133798720186064</v>
      </c>
      <c r="AC83" s="124">
        <v>36.61</v>
      </c>
      <c r="AD83" s="155">
        <f t="shared" si="123"/>
        <v>-55.133798720186064</v>
      </c>
      <c r="AE83" s="545">
        <f t="shared" si="124"/>
        <v>-1.0810548768663935</v>
      </c>
      <c r="AF83" s="57">
        <f>IF($AC83="",#N/A,SUM(AD$4:AD83))</f>
        <v>-295.78961897521719</v>
      </c>
      <c r="AG83" s="102">
        <f t="shared" si="125"/>
        <v>-52.908667830133709</v>
      </c>
      <c r="AH83" s="56" t="s">
        <v>4464</v>
      </c>
      <c r="AI83" s="65">
        <f t="shared" si="126"/>
        <v>0</v>
      </c>
      <c r="AJ83" s="54">
        <f>IF(AI83="",#N/A,SUM($AI$4:AI83))</f>
        <v>-0.26240389060991842</v>
      </c>
      <c r="AK83" s="57" t="str">
        <f t="shared" si="127"/>
        <v/>
      </c>
      <c r="AL83" s="349">
        <f>IF(AI83="",#N/A,IF(AH83="Skip",SUM($AK$4:AK83),SUM($AK$4:AK83)))</f>
        <v>-276.98999999999944</v>
      </c>
      <c r="AM83" s="65">
        <f t="shared" si="210"/>
        <v>-1.0810548768663935</v>
      </c>
      <c r="AN83" s="211"/>
      <c r="AO83" s="65" t="str">
        <f t="shared" si="128"/>
        <v/>
      </c>
      <c r="AP83" s="65">
        <f>IF($AC83="",#N/A,SUM(AO$4:AO83))</f>
        <v>4.7904373340483328</v>
      </c>
      <c r="AQ83" s="65" t="str">
        <f t="shared" si="129"/>
        <v/>
      </c>
      <c r="AR83" s="65">
        <f>IF($AC83="",#N/A,SUM(AQ$4:AQ83))</f>
        <v>-1.0879870612894522</v>
      </c>
      <c r="AS83" s="65">
        <f t="shared" si="130"/>
        <v>-1.0810548768663935</v>
      </c>
      <c r="AT83" s="65">
        <f>IF($AC83="",#N/A,SUM(AS$4:AS83))</f>
        <v>-5.6096806963378167</v>
      </c>
      <c r="AU83" s="57" t="str">
        <f t="shared" si="211"/>
        <v/>
      </c>
      <c r="AV83" s="57">
        <f>IF($AC83="",#N/A,SUM(AU$4:AU83))</f>
        <v>195.08255264778461</v>
      </c>
      <c r="AW83" s="57" t="str">
        <f t="shared" si="212"/>
        <v/>
      </c>
      <c r="AX83" s="57">
        <f>IF($AC83="",#N/A,SUM(AW$4:AW83))</f>
        <v>-66.900000000000205</v>
      </c>
      <c r="AY83" s="57">
        <f t="shared" si="213"/>
        <v>-55.133798720186064</v>
      </c>
      <c r="AZ83" s="57">
        <f>IF($AC83="",#N/A,SUM(AY$4:AY83))</f>
        <v>-423.9721716230016</v>
      </c>
      <c r="BA83" s="57">
        <f>IF(AD83="",#N/A,SUM($AD$4:AD83))</f>
        <v>-295.78961897521719</v>
      </c>
      <c r="BC83" s="51" t="str">
        <f t="shared" si="131"/>
        <v/>
      </c>
      <c r="BD83" s="51">
        <f t="shared" si="132"/>
        <v>1</v>
      </c>
      <c r="BE83" s="51" t="str">
        <f t="shared" si="133"/>
        <v/>
      </c>
      <c r="BF83" s="51" t="str">
        <f t="shared" si="134"/>
        <v>Short</v>
      </c>
      <c r="BG83" s="51" t="str">
        <f t="shared" si="135"/>
        <v/>
      </c>
      <c r="BH83" s="51" t="str">
        <f t="shared" si="136"/>
        <v/>
      </c>
      <c r="BI83" s="51" t="str">
        <f t="shared" si="137"/>
        <v/>
      </c>
      <c r="BK83" s="65">
        <f t="shared" si="108"/>
        <v>7.6652105815157731E-2</v>
      </c>
      <c r="BL83" s="65">
        <f t="shared" si="107"/>
        <v>0.41388223277804831</v>
      </c>
      <c r="BM83" s="65">
        <f>IFERROR(Q83/COUNTA($J$4:J83),#N/A)</f>
        <v>2.3683728814569378E-2</v>
      </c>
      <c r="BO83" s="489" t="e">
        <f>IF(J83="",#N/A,IF(S83="SW",(COUNTIFS(K$4:$K83,"&gt;0",S$4:$S83,"SW")/COUNTIF(S$4:$S83,"SW")),#N/A))</f>
        <v>#N/A</v>
      </c>
      <c r="BP83" s="489">
        <f>IF($J83="",#N/A,IF($S83="DWN",(COUNTIFS($K$4:$K83,"&lt;0",$S$4:$S83,"DWN")/COUNTIF($S$4:$S83,"DWN")),#N/A))</f>
        <v>0.5</v>
      </c>
      <c r="BQ83" s="489" t="e">
        <f>IF($J83="",#N/A,IF($S83="UP",(COUNTIFS($K$4:$K83,"&gt;0",$S$4:$S83,"UP")/COUNTIF($S$4:$S83,"UP")),#N/A))</f>
        <v>#N/A</v>
      </c>
      <c r="BR83" s="489">
        <f>IF(J83="",#N/A,COUNTIF($K$4:K83,"&gt;0")/COUNT($J$4:J83))</f>
        <v>0.52500000000000002</v>
      </c>
      <c r="BS83" s="65" t="str">
        <f t="shared" si="138"/>
        <v/>
      </c>
      <c r="BT83" s="65" t="str">
        <f t="shared" si="139"/>
        <v/>
      </c>
      <c r="BU83" s="65" t="str">
        <f t="shared" si="140"/>
        <v/>
      </c>
      <c r="BV83" s="65" t="str">
        <f t="shared" si="141"/>
        <v/>
      </c>
      <c r="BW83" s="128" t="str">
        <f t="shared" si="142"/>
        <v/>
      </c>
      <c r="BX83" s="128">
        <f>IF($J83="",#N/A,SUM($BW$4:BW83))</f>
        <v>-91.165000000000305</v>
      </c>
      <c r="BY83" s="131">
        <f t="shared" si="143"/>
        <v>-2.2251308900523554</v>
      </c>
      <c r="BZ83" s="131">
        <f>IF($J83="",#N/A,SUM($BY$4:BY83))</f>
        <v>-200.59385042154759</v>
      </c>
      <c r="CA83" s="133" t="str">
        <f t="shared" si="144"/>
        <v/>
      </c>
      <c r="CB83" s="133">
        <f>IF($J83="",#N/A,SUM($CA$4:CA83))</f>
        <v>172.29002390112055</v>
      </c>
      <c r="CC83" s="194" t="str">
        <f t="shared" si="145"/>
        <v/>
      </c>
      <c r="CD83" s="194">
        <f>IF($J83="",#N/A,SUM($CC$4:CC83))</f>
        <v>-1.4632631312024809</v>
      </c>
      <c r="CE83" s="195">
        <f t="shared" si="146"/>
        <v>-4.3630017452006967E-2</v>
      </c>
      <c r="CF83" s="195">
        <f>IF($J83="",#N/A,SUM($CE$4:CE83))</f>
        <v>-2.1972822407234003</v>
      </c>
      <c r="CG83" s="196" t="str">
        <f t="shared" si="147"/>
        <v/>
      </c>
      <c r="CH83" s="193">
        <f>IF($J83="",#N/A,SUM($CG$4:CG83))</f>
        <v>5.5552436770914344</v>
      </c>
      <c r="CI83" s="200" t="str">
        <f t="shared" si="148"/>
        <v/>
      </c>
      <c r="CJ83" s="203">
        <f>IF($J83="",#N/A,SUM(CI$4:CI83))</f>
        <v>0</v>
      </c>
      <c r="CK83" s="204" t="str">
        <f t="shared" si="149"/>
        <v/>
      </c>
      <c r="CL83" s="204">
        <f>IF($J83="",#N/A,SUM(CK$4:CK83))</f>
        <v>1.8934431343190481</v>
      </c>
      <c r="CM83" s="205" t="str">
        <f t="shared" si="150"/>
        <v/>
      </c>
      <c r="CN83" s="205">
        <f>IF($J83="",#N/A,SUM(CM$4:CM83))</f>
        <v>2.5724959960693745</v>
      </c>
      <c r="CO83" s="205">
        <f>IF($J83="",#N/A,SUM(CM$4:CM83,CK$4:CK83,CI$4:CI83))</f>
        <v>4.4659391303884224</v>
      </c>
      <c r="CP83" s="200" t="str">
        <f t="shared" si="151"/>
        <v/>
      </c>
      <c r="CQ83" s="203">
        <f>IF($J83="",#N/A,SUM(CP$4:CP83))</f>
        <v>0</v>
      </c>
      <c r="CR83" s="204" t="str">
        <f t="shared" si="152"/>
        <v/>
      </c>
      <c r="CS83" s="204">
        <f>IF($J83="",#N/A,SUM(CR$4:CR83))</f>
        <v>0</v>
      </c>
      <c r="CT83" s="205" t="str">
        <f t="shared" si="153"/>
        <v/>
      </c>
      <c r="CU83" s="205">
        <f>IF($J83="",#N/A,SUM(CT$4:CT83))</f>
        <v>0</v>
      </c>
      <c r="CV83" s="205">
        <f>IF($J83="",#N/A,SUM(CT$4:CT83,CR$4:CR83,CP$4:CP83))</f>
        <v>0</v>
      </c>
      <c r="CW83" s="200" t="str">
        <f t="shared" si="154"/>
        <v/>
      </c>
      <c r="CX83" s="203">
        <f>IF($J83="",#N/A,SUM(CW$4:CW83))</f>
        <v>0</v>
      </c>
      <c r="CY83" s="204">
        <f t="shared" si="155"/>
        <v>-4.3630017452006967E-2</v>
      </c>
      <c r="CZ83" s="204">
        <f>IF($J83="",#N/A,SUM(CY$4:CY83))</f>
        <v>-0.67634330666682074</v>
      </c>
      <c r="DA83" s="205" t="str">
        <f t="shared" si="156"/>
        <v/>
      </c>
      <c r="DB83" s="205">
        <f>IF($J83="",#N/A,SUM(DA$4:DA83))</f>
        <v>1.1829222170861893</v>
      </c>
      <c r="DC83" s="205">
        <f>IF($J83="",#N/A,SUM(DA$4:DA83,CY$4:CY83,CW$4:CW83))</f>
        <v>0.50657891041936853</v>
      </c>
      <c r="DD83" s="200" t="str">
        <f t="shared" si="157"/>
        <v/>
      </c>
      <c r="DE83" s="203">
        <f>IF($J83="",#N/A,SUM(DD$4:DD83))</f>
        <v>0.4905246481018824</v>
      </c>
      <c r="DF83" s="204" t="str">
        <f t="shared" si="158"/>
        <v/>
      </c>
      <c r="DG83" s="204">
        <f>IF($J83="",#N/A,SUM(DF$4:DF83))</f>
        <v>0.6788440567066546</v>
      </c>
      <c r="DH83" s="205" t="str">
        <f t="shared" si="159"/>
        <v/>
      </c>
      <c r="DI83" s="205">
        <f>IF($J83="",#N/A,SUM(DH$4:DH83))</f>
        <v>-0.83172699364602887</v>
      </c>
      <c r="DJ83" s="205">
        <f>IF($J83="",#N/A,SUM(DH$4:DH83,DF$4:DF83,DD$4:DD83))</f>
        <v>0.33764171116250813</v>
      </c>
      <c r="DK83" s="200" t="str">
        <f t="shared" si="160"/>
        <v/>
      </c>
      <c r="DL83" s="203">
        <f>IF($J83="",#N/A,SUM(DK$4:DK83))</f>
        <v>0</v>
      </c>
      <c r="DM83" s="204" t="str">
        <f t="shared" si="161"/>
        <v/>
      </c>
      <c r="DN83" s="204">
        <f>IF($J83="",#N/A,SUM(DM$4:DM83))</f>
        <v>0.36227168206863897</v>
      </c>
      <c r="DO83" s="205" t="str">
        <f t="shared" si="162"/>
        <v/>
      </c>
      <c r="DP83" s="205">
        <f>IF($J83="",#N/A,SUM(DO$4:DO83))</f>
        <v>-0.43291760746858676</v>
      </c>
      <c r="DQ83" s="205">
        <f>IF($J83="",#N/A,SUM(DO$4:DO83,DM$4:DM83,DK$4:DK83))</f>
        <v>-7.0645925399947795E-2</v>
      </c>
      <c r="DR83" s="200" t="str">
        <f t="shared" si="163"/>
        <v/>
      </c>
      <c r="DS83" s="203">
        <f>IF($J83="",#N/A,SUM(DR$4:DR83))</f>
        <v>-0.55950946427675097</v>
      </c>
      <c r="DT83" s="204" t="str">
        <f t="shared" si="164"/>
        <v/>
      </c>
      <c r="DU83" s="204">
        <f>IF($J83="",#N/A,SUM(DT$4:DT83))</f>
        <v>-2.8875364672150718</v>
      </c>
      <c r="DV83" s="205" t="str">
        <f t="shared" si="165"/>
        <v/>
      </c>
      <c r="DW83" s="205">
        <f>IF($J83="",#N/A,SUM(DV$4:DV83))</f>
        <v>-0.51693528082997942</v>
      </c>
      <c r="DX83" s="205">
        <f>IF($J83="",#N/A,SUM(DV$4:DV83,DT$4:DT83,DR$4:DR83))</f>
        <v>-3.9639812123218028</v>
      </c>
      <c r="DY83" s="200" t="str">
        <f t="shared" si="166"/>
        <v/>
      </c>
      <c r="DZ83" s="203">
        <f>IF($J83="",#N/A,SUM(DY$4:DY83))</f>
        <v>-1.4611133068588897</v>
      </c>
      <c r="EA83" s="204" t="str">
        <f t="shared" si="167"/>
        <v/>
      </c>
      <c r="EB83" s="204">
        <f>IF($J83="",#N/A,SUM(EA$4:EA83))</f>
        <v>-1.2459555278526064</v>
      </c>
      <c r="EC83" s="205" t="str">
        <f t="shared" si="168"/>
        <v/>
      </c>
      <c r="ED83" s="205">
        <f>IF($J83="",#N/A,SUM(EC$4:EC83))</f>
        <v>2.9360240487958968</v>
      </c>
      <c r="EE83" s="205">
        <f>IF($J83="",#N/A,SUM(EC$4:EC83,EA$4:EA83,DY$4:DY83))</f>
        <v>0.22895521408440067</v>
      </c>
      <c r="EF83" s="200" t="str">
        <f t="shared" si="169"/>
        <v/>
      </c>
      <c r="EG83" s="203">
        <f>IF($J83="",#N/A,SUM(EF$4:EF83))</f>
        <v>0</v>
      </c>
      <c r="EH83" s="204" t="str">
        <f t="shared" si="170"/>
        <v/>
      </c>
      <c r="EI83" s="204">
        <f>IF($J83="",#N/A,SUM(EH$4:EH83))</f>
        <v>-2.0327391387894549</v>
      </c>
      <c r="EJ83" s="205" t="str">
        <f t="shared" si="171"/>
        <v/>
      </c>
      <c r="EK83" s="205">
        <f>IF($J83="",#N/A,SUM(EJ$4:EJ83))</f>
        <v>2.2116398676705207</v>
      </c>
      <c r="EL83" s="205">
        <f>IF($J83="",#N/A,SUM(EJ$4:EJ83,EH$4:EH83,EF$4:EF83))</f>
        <v>0.1789007288810659</v>
      </c>
      <c r="EM83" s="200" t="str">
        <f t="shared" si="172"/>
        <v/>
      </c>
      <c r="EN83" s="203">
        <f>IF($J83="",#N/A,SUM(EM$4:EM83))</f>
        <v>0</v>
      </c>
      <c r="EO83" s="204" t="str">
        <f t="shared" si="173"/>
        <v/>
      </c>
      <c r="EP83" s="204">
        <f>IF($J83="",#N/A,SUM(EO$4:EO83))</f>
        <v>0.74379497102635161</v>
      </c>
      <c r="EQ83" s="205" t="str">
        <f t="shared" si="174"/>
        <v/>
      </c>
      <c r="ER83" s="205">
        <f>IF($J83="",#N/A,SUM(EQ$4:EQ83))</f>
        <v>0.4926597949853756</v>
      </c>
      <c r="ES83" s="205">
        <f>IF($J83="",#N/A,SUM(EQ$4:EQ83,EO$4:EO83,EM$4:EM83))</f>
        <v>1.2364547660117271</v>
      </c>
      <c r="ET83" s="200" t="str">
        <f t="shared" si="175"/>
        <v/>
      </c>
      <c r="EU83" s="203">
        <f>IF($J83="",#N/A,SUM(ET$4:ET83))</f>
        <v>0</v>
      </c>
      <c r="EV83" s="204" t="str">
        <f t="shared" si="176"/>
        <v/>
      </c>
      <c r="EW83" s="204">
        <f>IF($J83="",#N/A,SUM(EV$4:EV83))</f>
        <v>0</v>
      </c>
      <c r="EX83" s="205" t="str">
        <f t="shared" si="177"/>
        <v/>
      </c>
      <c r="EY83" s="205">
        <f>IF($J83="",#N/A,SUM(EX$4:EX83))</f>
        <v>1.367071968452185</v>
      </c>
      <c r="EZ83" s="205">
        <f>IF($J83="",#N/A,SUM(EX$4:EX83,EV$4:EV83,ET$4:ET83))</f>
        <v>1.367071968452185</v>
      </c>
      <c r="FA83" s="200" t="str">
        <f t="shared" si="178"/>
        <v/>
      </c>
      <c r="FB83" s="203">
        <f>IF($J83="",#N/A,SUM(FA$4:FA83))</f>
        <v>0</v>
      </c>
      <c r="FC83" s="204" t="str">
        <f t="shared" si="179"/>
        <v/>
      </c>
      <c r="FD83" s="204">
        <f>IF($J83="",#N/A,SUM(FC$4:FC83))</f>
        <v>1.3724148418491529</v>
      </c>
      <c r="FE83" s="205" t="str">
        <f t="shared" si="180"/>
        <v/>
      </c>
      <c r="FF83" s="205">
        <f>IF($J83="",#N/A,SUM(FE$4:FE83))</f>
        <v>-0.28811149078748233</v>
      </c>
      <c r="FG83" s="205">
        <f>IF($J83="",#N/A,SUM(FE$4:FE83,FC$4:FC83,FA$4:FA83))</f>
        <v>1.0843033510616706</v>
      </c>
      <c r="FH83" s="200" t="str">
        <f t="shared" si="181"/>
        <v/>
      </c>
      <c r="FI83" s="203">
        <f>IF($J83="",#N/A,SUM(FH$4:FH83))</f>
        <v>0</v>
      </c>
      <c r="FJ83" s="204" t="str">
        <f t="shared" si="182"/>
        <v/>
      </c>
      <c r="FK83" s="204">
        <f>IF($J83="",#N/A,SUM(FJ$4:FJ83))</f>
        <v>0</v>
      </c>
      <c r="FL83" s="205" t="str">
        <f t="shared" si="183"/>
        <v/>
      </c>
      <c r="FM83" s="205">
        <f>IF($J83="",#N/A,SUM(FL$4:FL83))</f>
        <v>0</v>
      </c>
      <c r="FN83" s="205">
        <f>IF($J83="",#N/A,SUM(FL$4:FL83,FJ$4:FJ83,FH$4:FH83))</f>
        <v>0</v>
      </c>
      <c r="FO83" s="200" t="str">
        <f t="shared" si="184"/>
        <v/>
      </c>
      <c r="FP83" s="203">
        <f>IF($J83="",#N/A,SUM(FO$4:FO83))</f>
        <v>0</v>
      </c>
      <c r="FQ83" s="204" t="str">
        <f t="shared" si="185"/>
        <v/>
      </c>
      <c r="FR83" s="204">
        <f>IF($J83="",#N/A,SUM(FQ$4:FQ83))</f>
        <v>0</v>
      </c>
      <c r="FS83" s="205" t="str">
        <f t="shared" si="186"/>
        <v/>
      </c>
      <c r="FT83" s="205">
        <f>IF($J83="",#N/A,SUM(FS$4:FS83))</f>
        <v>0</v>
      </c>
      <c r="FU83" s="205">
        <f>IF($J83="",#N/A,SUM(FS$4:FS83,FQ$4:FQ83,FO$4:FO83))</f>
        <v>0</v>
      </c>
      <c r="FV83" s="200" t="str">
        <f t="shared" si="187"/>
        <v/>
      </c>
      <c r="FW83" s="203">
        <f>IF($J83="",#N/A,SUM(FV$4:FV83))</f>
        <v>6.6834991831277585E-2</v>
      </c>
      <c r="FX83" s="204" t="str">
        <f t="shared" si="188"/>
        <v/>
      </c>
      <c r="FY83" s="204">
        <f>IF($J83="",#N/A,SUM(FX$4:FX83))</f>
        <v>0</v>
      </c>
      <c r="FZ83" s="205" t="str">
        <f t="shared" si="189"/>
        <v/>
      </c>
      <c r="GA83" s="205">
        <f>IF($J83="",#N/A,SUM(FZ$4:FZ83))</f>
        <v>-0.20104261551371039</v>
      </c>
      <c r="GB83" s="205">
        <f>IF($J83="",#N/A,SUM(FZ$4:FZ83,FX$4:FX83,FV$4:FV83))</f>
        <v>-0.1342076236824328</v>
      </c>
      <c r="GC83" s="200" t="str">
        <f t="shared" si="190"/>
        <v/>
      </c>
      <c r="GD83" s="203">
        <f>IF($J83="",#N/A,SUM(GC$4:GC83))</f>
        <v>0</v>
      </c>
      <c r="GE83" s="204" t="str">
        <f t="shared" si="191"/>
        <v/>
      </c>
      <c r="GF83" s="204">
        <f>IF($J83="",#N/A,SUM(GE$4:GE83))</f>
        <v>0</v>
      </c>
      <c r="GG83" s="205" t="str">
        <f t="shared" si="192"/>
        <v/>
      </c>
      <c r="GH83" s="205">
        <f>IF($J83="",#N/A,SUM(GG$4:GG83))</f>
        <v>-2.9368362277223206</v>
      </c>
      <c r="GI83" s="205">
        <f>IF($J83="",#N/A,SUM(GG$4:GG83,GE$4:GE83,GC$4:GC83))</f>
        <v>-2.9368362277223206</v>
      </c>
      <c r="GJ83" s="200" t="str">
        <f t="shared" si="193"/>
        <v/>
      </c>
      <c r="GK83" s="203">
        <f>IF($J83="",#N/A,SUM(GJ$4:GJ83))</f>
        <v>0</v>
      </c>
      <c r="GL83" s="204" t="str">
        <f t="shared" si="194"/>
        <v/>
      </c>
      <c r="GM83" s="204">
        <f>IF($J83="",#N/A,SUM(GL$4:GL83))</f>
        <v>-0.4054764861692941</v>
      </c>
      <c r="GN83" s="205" t="str">
        <f t="shared" si="195"/>
        <v/>
      </c>
      <c r="GO83" s="205">
        <f>IF($J83="",#N/A,SUM(GN$4:GN83))</f>
        <v>0</v>
      </c>
      <c r="GP83" s="205">
        <f>IF($J83="",#N/A,SUM(GN$4:GN83,GL$4:GL83,GJ$4:GJ83))</f>
        <v>-0.4054764861692941</v>
      </c>
      <c r="GS83" s="54">
        <f t="shared" si="214"/>
        <v>-4.3630017452006967E-2</v>
      </c>
      <c r="GT83" s="54">
        <f>IF(GS83="",NA(),SUM($GS$4:GS83))</f>
        <v>1.6927094922382668</v>
      </c>
      <c r="GU83" s="54" t="str">
        <f t="shared" si="196"/>
        <v/>
      </c>
      <c r="GV83" s="54" t="e">
        <f>IF(GU83="",NA(),SUM($GU$4:GU83))</f>
        <v>#N/A</v>
      </c>
      <c r="GW83" s="54" t="str">
        <f t="shared" si="197"/>
        <v/>
      </c>
      <c r="GX83" s="54" t="e">
        <f>IF(GW83="",NA(),SUM($GW$4:GW83))</f>
        <v>#N/A</v>
      </c>
      <c r="GY83" s="54">
        <f t="shared" si="198"/>
        <v>-4.3630017452006967E-2</v>
      </c>
      <c r="GZ83" s="54">
        <f>IF(GY83="",NA(),SUM($GY$4:GY83))</f>
        <v>-2.1972822407234003</v>
      </c>
      <c r="HA83" s="54" t="str">
        <f t="shared" si="199"/>
        <v/>
      </c>
      <c r="HB83" s="54" t="e">
        <f>IF(HA83="",NA(),SUM($HA$4:HA83))</f>
        <v>#N/A</v>
      </c>
      <c r="HC83" s="54" t="str">
        <f t="shared" si="200"/>
        <v/>
      </c>
      <c r="HD83" s="54" t="e">
        <f>IF(HC83="",NA(),SUM($HC$4:HC83))</f>
        <v>#N/A</v>
      </c>
      <c r="HE83" s="54" t="str">
        <f t="shared" si="201"/>
        <v/>
      </c>
      <c r="HF83" s="54" t="e">
        <f>IF(HE83="",NA(),SUM($HE$4:HE83))</f>
        <v>#N/A</v>
      </c>
      <c r="HG83" s="54" t="str">
        <f t="shared" si="202"/>
        <v/>
      </c>
      <c r="HH83" s="54" t="e">
        <f>IF(HG83="",NA(),SUM($HG$4:HG83))</f>
        <v>#N/A</v>
      </c>
      <c r="HI83" s="172" t="str">
        <f t="shared" si="215"/>
        <v/>
      </c>
      <c r="HJ83" s="172">
        <f>IF($J83="",#N/A,SUM(HI$4:$HI83))</f>
        <v>-0.83132705025154807</v>
      </c>
      <c r="HK83" s="54">
        <f t="shared" si="203"/>
        <v>-1.0374248594143864</v>
      </c>
      <c r="HL83" s="54">
        <f>IF($J83="",#N/A,SUM($HK$4:HK83))</f>
        <v>-2.5810714053628661</v>
      </c>
      <c r="HM83" s="54" t="str">
        <f t="shared" si="204"/>
        <v/>
      </c>
      <c r="HN83" s="54">
        <f>IF($J83="",#N/A,SUM($HM$4:HM83))</f>
        <v>0.72020221657224703</v>
      </c>
      <c r="HO83" s="54" t="str">
        <f t="shared" si="205"/>
        <v/>
      </c>
      <c r="HP83" s="54">
        <f>IF($J83="",#N/A,SUM($HO$4:HO83))</f>
        <v>-0.34492614665921834</v>
      </c>
      <c r="HQ83" s="54" t="str">
        <f t="shared" si="206"/>
        <v/>
      </c>
      <c r="HR83" s="54">
        <f>IF($J83="",#N/A,SUM($HQ$4:HQ83))</f>
        <v>-6.290823095277486</v>
      </c>
      <c r="HS83" s="54" t="str">
        <f t="shared" si="207"/>
        <v/>
      </c>
      <c r="HT83" s="54">
        <f>IF($J83="",#N/A,SUM($HS$4:HS83))</f>
        <v>5.526016752234387</v>
      </c>
      <c r="HU83" s="65">
        <f t="shared" si="208"/>
        <v>-1.0810548768663935</v>
      </c>
      <c r="HV83" s="65">
        <f>IF($J83="",#N/A,SUM(HU$4:$HU83))</f>
        <v>-1.9072304235789335</v>
      </c>
    </row>
    <row r="84" spans="1:230" x14ac:dyDescent="0.25">
      <c r="A84" s="51" t="s">
        <v>1363</v>
      </c>
      <c r="B84" s="52" t="s">
        <v>4519</v>
      </c>
      <c r="C84" s="229">
        <f t="shared" si="109"/>
        <v>3</v>
      </c>
      <c r="D84" s="219" t="str">
        <f>_xlfn.XLOOKUP(A84,[1]SP500!$A$2:$A$502,[1]SP500!$D$2:$D$502,"N")</f>
        <v>Y</v>
      </c>
      <c r="E84" s="51" t="str">
        <f>IFERROR(_xlfn.XLOOKUP(A84,[1]SP500!$A$2:$A$655,[1]SP500!$B$2:$B$655),"")</f>
        <v>XLY</v>
      </c>
      <c r="F84" s="290">
        <v>45770</v>
      </c>
      <c r="G84" s="51" t="str">
        <f t="shared" si="110"/>
        <v>AMC</v>
      </c>
      <c r="H84" s="51" t="str">
        <f t="shared" si="111"/>
        <v>s</v>
      </c>
      <c r="I84" s="343">
        <v>48.76</v>
      </c>
      <c r="J84" s="124">
        <v>49.2</v>
      </c>
      <c r="K84" s="55">
        <f t="shared" si="112"/>
        <v>9.0237899917966543E-3</v>
      </c>
      <c r="L84" s="67">
        <f t="shared" si="113"/>
        <v>7.4800000000001319</v>
      </c>
      <c r="M84" s="57" t="e">
        <f t="shared" si="114"/>
        <v>#N/A</v>
      </c>
      <c r="N84" s="102">
        <f t="shared" si="115"/>
        <v>7.4800000000001319</v>
      </c>
      <c r="O84" s="57">
        <f>IF(N84="",#N/A,SUM($N$4:N84))</f>
        <v>-111.98882652042721</v>
      </c>
      <c r="P84" s="65">
        <f t="shared" si="209"/>
        <v>0.15039649986327858</v>
      </c>
      <c r="Q84" s="172">
        <f>IF($N84="",#N/A,SUM($P$4:P84))</f>
        <v>2.0450948050288287</v>
      </c>
      <c r="R84" s="279">
        <f t="shared" si="116"/>
        <v>2.1154355291088032</v>
      </c>
      <c r="S84" s="51" t="str">
        <f t="shared" si="117"/>
        <v>SW</v>
      </c>
      <c r="T84" s="51" t="s">
        <v>2828</v>
      </c>
      <c r="U84" s="56">
        <f t="shared" si="118"/>
        <v>48.76</v>
      </c>
      <c r="V84" s="56" t="s">
        <v>4460</v>
      </c>
      <c r="W84" s="142">
        <v>17</v>
      </c>
      <c r="X84" s="145">
        <f t="shared" si="119"/>
        <v>828.92</v>
      </c>
      <c r="Y84" s="140">
        <f t="shared" si="120"/>
        <v>17</v>
      </c>
      <c r="Z84" s="343">
        <v>49.321899999999999</v>
      </c>
      <c r="AA84" s="102">
        <f t="shared" si="121"/>
        <v>9.5523000000000593</v>
      </c>
      <c r="AB84" s="102">
        <f t="shared" si="122"/>
        <v>13.259999999999991</v>
      </c>
      <c r="AC84" s="124">
        <v>49.54</v>
      </c>
      <c r="AD84" s="155">
        <f t="shared" si="123"/>
        <v>13.259999999999991</v>
      </c>
      <c r="AE84" s="545">
        <f t="shared" si="124"/>
        <v>0.26661197703035255</v>
      </c>
      <c r="AF84" s="57">
        <f>IF($AC84="",#N/A,SUM(AD$4:AD84))</f>
        <v>-282.5296189752172</v>
      </c>
      <c r="AG84" s="102">
        <f t="shared" si="125"/>
        <v>5.779999999999859</v>
      </c>
      <c r="AH84" s="56" t="s">
        <v>4471</v>
      </c>
      <c r="AI84" s="65">
        <f t="shared" si="126"/>
        <v>0.19206316652994376</v>
      </c>
      <c r="AJ84" s="54">
        <f>IF(AI84="",#N/A,SUM($AI$4:AI84))</f>
        <v>-7.0340724079974659E-2</v>
      </c>
      <c r="AK84" s="57">
        <f t="shared" si="127"/>
        <v>9.5523000000000593</v>
      </c>
      <c r="AL84" s="349">
        <f>IF(AI84="",#N/A,IF(AH84="Skip",SUM($AK$4:AK84),SUM($AK$4:AK84)))</f>
        <v>-267.43769999999938</v>
      </c>
      <c r="AM84" s="65">
        <f t="shared" si="210"/>
        <v>0.26661197703035255</v>
      </c>
      <c r="AN84" s="209"/>
      <c r="AO84" s="65">
        <f t="shared" si="128"/>
        <v>0.26661197703035255</v>
      </c>
      <c r="AP84" s="65">
        <f>IF($AC84="",#N/A,SUM(AO$4:AO84))</f>
        <v>5.0570493110786856</v>
      </c>
      <c r="AQ84" s="65" t="str">
        <f t="shared" si="129"/>
        <v/>
      </c>
      <c r="AR84" s="65">
        <f>IF($AC84="",#N/A,SUM(AQ$4:AQ84))</f>
        <v>-1.0879870612894522</v>
      </c>
      <c r="AS84" s="65" t="str">
        <f t="shared" si="130"/>
        <v/>
      </c>
      <c r="AT84" s="65">
        <f>IF($AC84="",#N/A,SUM(AS$4:AS84))</f>
        <v>-5.6096806963378167</v>
      </c>
      <c r="AU84" s="57">
        <f t="shared" si="211"/>
        <v>13.259999999999991</v>
      </c>
      <c r="AV84" s="57">
        <f>IF($AC84="",#N/A,SUM(AU$4:AU84))</f>
        <v>208.3425526477846</v>
      </c>
      <c r="AW84" s="57" t="str">
        <f t="shared" si="212"/>
        <v/>
      </c>
      <c r="AX84" s="57">
        <f>IF($AC84="",#N/A,SUM(AW$4:AW84))</f>
        <v>-66.900000000000205</v>
      </c>
      <c r="AY84" s="57" t="str">
        <f t="shared" si="213"/>
        <v/>
      </c>
      <c r="AZ84" s="57">
        <f>IF($AC84="",#N/A,SUM(AY$4:AY84))</f>
        <v>-423.9721716230016</v>
      </c>
      <c r="BA84" s="57">
        <f>IF(AD84="",#N/A,SUM($AD$4:AD84))</f>
        <v>-282.5296189752172</v>
      </c>
      <c r="BC84" s="51" t="str">
        <f t="shared" si="131"/>
        <v/>
      </c>
      <c r="BD84" s="51" t="str">
        <f t="shared" si="132"/>
        <v/>
      </c>
      <c r="BE84" s="51">
        <f t="shared" si="133"/>
        <v>1</v>
      </c>
      <c r="BF84" s="51" t="str">
        <f t="shared" si="134"/>
        <v>Long</v>
      </c>
      <c r="BG84" s="51" t="str">
        <f t="shared" si="135"/>
        <v/>
      </c>
      <c r="BH84" s="51" t="str">
        <f t="shared" si="136"/>
        <v/>
      </c>
      <c r="BI84" s="51" t="str">
        <f t="shared" si="137"/>
        <v/>
      </c>
      <c r="BK84" s="65">
        <f t="shared" si="108"/>
        <v>6.9291818758159721E-2</v>
      </c>
      <c r="BL84" s="65">
        <f t="shared" si="107"/>
        <v>0.44700966732940955</v>
      </c>
      <c r="BM84" s="65">
        <f>IFERROR(Q84/COUNTA($J$4:J84),#N/A)</f>
        <v>2.524808401270159E-2</v>
      </c>
      <c r="BO84" s="489">
        <f>IF(J84="",#N/A,IF(S84="SW",(COUNTIFS(K$4:$K84,"&gt;0",S$4:$S84,"SW")/COUNTIF(S$4:$S84,"SW")),#N/A))</f>
        <v>0.55102040816326525</v>
      </c>
      <c r="BP84" s="489" t="e">
        <f>IF($J84="",#N/A,IF($S84="DWN",(COUNTIFS($K$4:$K84,"&lt;0",$S$4:$S84,"DWN")/COUNTIF($S$4:$S84,"DWN")),#N/A))</f>
        <v>#N/A</v>
      </c>
      <c r="BQ84" s="489" t="e">
        <f>IF($J84="",#N/A,IF($S84="UP",(COUNTIFS($K$4:$K84,"&gt;0",$S$4:$S84,"UP")/COUNTIF($S$4:$S84,"UP")),#N/A))</f>
        <v>#N/A</v>
      </c>
      <c r="BR84" s="489">
        <f>IF(J84="",#N/A,COUNTIF($K$4:K84,"&gt;0")/COUNT($J$4:J84))</f>
        <v>0.53086419753086422</v>
      </c>
      <c r="BS84" s="65">
        <f t="shared" si="138"/>
        <v>0.15039649986327858</v>
      </c>
      <c r="BT84" s="65" t="str">
        <f t="shared" si="139"/>
        <v/>
      </c>
      <c r="BU84" s="65" t="str">
        <f t="shared" si="140"/>
        <v/>
      </c>
      <c r="BV84" s="65" t="str">
        <f t="shared" si="141"/>
        <v/>
      </c>
      <c r="BW84" s="128" t="str">
        <f t="shared" si="142"/>
        <v/>
      </c>
      <c r="BX84" s="128">
        <f>IF($J84="",#N/A,SUM($BW$4:BW84))</f>
        <v>-91.165000000000305</v>
      </c>
      <c r="BY84" s="131" t="str">
        <f t="shared" si="143"/>
        <v/>
      </c>
      <c r="BZ84" s="131">
        <f>IF($J84="",#N/A,SUM($BY$4:BY84))</f>
        <v>-200.59385042154759</v>
      </c>
      <c r="CA84" s="133">
        <f t="shared" si="144"/>
        <v>7.4800000000001319</v>
      </c>
      <c r="CB84" s="133">
        <f>IF($J84="",#N/A,SUM($CA$4:CA84))</f>
        <v>179.77002390112068</v>
      </c>
      <c r="CC84" s="194" t="str">
        <f t="shared" si="145"/>
        <v/>
      </c>
      <c r="CD84" s="194">
        <f>IF($J84="",#N/A,SUM($CC$4:CC84))</f>
        <v>-1.4632631312024809</v>
      </c>
      <c r="CE84" s="195" t="str">
        <f t="shared" si="146"/>
        <v/>
      </c>
      <c r="CF84" s="195">
        <f>IF($J84="",#N/A,SUM($CE$4:CE84))</f>
        <v>-2.1972822407234003</v>
      </c>
      <c r="CG84" s="196">
        <f t="shared" si="147"/>
        <v>0.15039649986327858</v>
      </c>
      <c r="CH84" s="193">
        <f>IF($J84="",#N/A,SUM($CG$4:CG84))</f>
        <v>5.7056401769547129</v>
      </c>
      <c r="CI84" s="200" t="str">
        <f t="shared" si="148"/>
        <v/>
      </c>
      <c r="CJ84" s="203">
        <f>IF($J84="",#N/A,SUM(CI$4:CI84))</f>
        <v>0</v>
      </c>
      <c r="CK84" s="204" t="str">
        <f t="shared" si="149"/>
        <v/>
      </c>
      <c r="CL84" s="204">
        <f>IF($J84="",#N/A,SUM(CK$4:CK84))</f>
        <v>1.8934431343190481</v>
      </c>
      <c r="CM84" s="205" t="str">
        <f t="shared" si="150"/>
        <v/>
      </c>
      <c r="CN84" s="205">
        <f>IF($J84="",#N/A,SUM(CM$4:CM84))</f>
        <v>2.5724959960693745</v>
      </c>
      <c r="CO84" s="205">
        <f>IF($J84="",#N/A,SUM(CM$4:CM84,CK$4:CK84,CI$4:CI84))</f>
        <v>4.4659391303884224</v>
      </c>
      <c r="CP84" s="200" t="str">
        <f t="shared" si="151"/>
        <v/>
      </c>
      <c r="CQ84" s="203">
        <f>IF($J84="",#N/A,SUM(CP$4:CP84))</f>
        <v>0</v>
      </c>
      <c r="CR84" s="204" t="str">
        <f t="shared" si="152"/>
        <v/>
      </c>
      <c r="CS84" s="204">
        <f>IF($J84="",#N/A,SUM(CR$4:CR84))</f>
        <v>0</v>
      </c>
      <c r="CT84" s="205" t="str">
        <f t="shared" si="153"/>
        <v/>
      </c>
      <c r="CU84" s="205">
        <f>IF($J84="",#N/A,SUM(CT$4:CT84))</f>
        <v>0</v>
      </c>
      <c r="CV84" s="205">
        <f>IF($J84="",#N/A,SUM(CT$4:CT84,CR$4:CR84,CP$4:CP84))</f>
        <v>0</v>
      </c>
      <c r="CW84" s="200" t="str">
        <f t="shared" si="154"/>
        <v/>
      </c>
      <c r="CX84" s="203">
        <f>IF($J84="",#N/A,SUM(CW$4:CW84))</f>
        <v>0</v>
      </c>
      <c r="CY84" s="204" t="str">
        <f t="shared" si="155"/>
        <v/>
      </c>
      <c r="CZ84" s="204">
        <f>IF($J84="",#N/A,SUM(CY$4:CY84))</f>
        <v>-0.67634330666682074</v>
      </c>
      <c r="DA84" s="205">
        <f t="shared" si="156"/>
        <v>0.15039649986327858</v>
      </c>
      <c r="DB84" s="205">
        <f>IF($J84="",#N/A,SUM(DA$4:DA84))</f>
        <v>1.3333187169494678</v>
      </c>
      <c r="DC84" s="205">
        <f>IF($J84="",#N/A,SUM(DA$4:DA84,CY$4:CY84,CW$4:CW84))</f>
        <v>0.65697541028264705</v>
      </c>
      <c r="DD84" s="200" t="str">
        <f t="shared" si="157"/>
        <v/>
      </c>
      <c r="DE84" s="203">
        <f>IF($J84="",#N/A,SUM(DD$4:DD84))</f>
        <v>0.4905246481018824</v>
      </c>
      <c r="DF84" s="204" t="str">
        <f t="shared" si="158"/>
        <v/>
      </c>
      <c r="DG84" s="204">
        <f>IF($J84="",#N/A,SUM(DF$4:DF84))</f>
        <v>0.6788440567066546</v>
      </c>
      <c r="DH84" s="205" t="str">
        <f t="shared" si="159"/>
        <v/>
      </c>
      <c r="DI84" s="205">
        <f>IF($J84="",#N/A,SUM(DH$4:DH84))</f>
        <v>-0.83172699364602887</v>
      </c>
      <c r="DJ84" s="205">
        <f>IF($J84="",#N/A,SUM(DH$4:DH84,DF$4:DF84,DD$4:DD84))</f>
        <v>0.33764171116250813</v>
      </c>
      <c r="DK84" s="200" t="str">
        <f t="shared" si="160"/>
        <v/>
      </c>
      <c r="DL84" s="203">
        <f>IF($J84="",#N/A,SUM(DK$4:DK84))</f>
        <v>0</v>
      </c>
      <c r="DM84" s="204" t="str">
        <f t="shared" si="161"/>
        <v/>
      </c>
      <c r="DN84" s="204">
        <f>IF($J84="",#N/A,SUM(DM$4:DM84))</f>
        <v>0.36227168206863897</v>
      </c>
      <c r="DO84" s="205" t="str">
        <f t="shared" si="162"/>
        <v/>
      </c>
      <c r="DP84" s="205">
        <f>IF($J84="",#N/A,SUM(DO$4:DO84))</f>
        <v>-0.43291760746858676</v>
      </c>
      <c r="DQ84" s="205">
        <f>IF($J84="",#N/A,SUM(DO$4:DO84,DM$4:DM84,DK$4:DK84))</f>
        <v>-7.0645925399947795E-2</v>
      </c>
      <c r="DR84" s="200" t="str">
        <f t="shared" si="163"/>
        <v/>
      </c>
      <c r="DS84" s="203">
        <f>IF($J84="",#N/A,SUM(DR$4:DR84))</f>
        <v>-0.55950946427675097</v>
      </c>
      <c r="DT84" s="204" t="str">
        <f t="shared" si="164"/>
        <v/>
      </c>
      <c r="DU84" s="204">
        <f>IF($J84="",#N/A,SUM(DT$4:DT84))</f>
        <v>-2.8875364672150718</v>
      </c>
      <c r="DV84" s="205" t="str">
        <f t="shared" si="165"/>
        <v/>
      </c>
      <c r="DW84" s="205">
        <f>IF($J84="",#N/A,SUM(DV$4:DV84))</f>
        <v>-0.51693528082997942</v>
      </c>
      <c r="DX84" s="205">
        <f>IF($J84="",#N/A,SUM(DV$4:DV84,DT$4:DT84,DR$4:DR84))</f>
        <v>-3.9639812123218028</v>
      </c>
      <c r="DY84" s="200" t="str">
        <f t="shared" si="166"/>
        <v/>
      </c>
      <c r="DZ84" s="203">
        <f>IF($J84="",#N/A,SUM(DY$4:DY84))</f>
        <v>-1.4611133068588897</v>
      </c>
      <c r="EA84" s="204" t="str">
        <f t="shared" si="167"/>
        <v/>
      </c>
      <c r="EB84" s="204">
        <f>IF($J84="",#N/A,SUM(EA$4:EA84))</f>
        <v>-1.2459555278526064</v>
      </c>
      <c r="EC84" s="205" t="str">
        <f t="shared" si="168"/>
        <v/>
      </c>
      <c r="ED84" s="205">
        <f>IF($J84="",#N/A,SUM(EC$4:EC84))</f>
        <v>2.9360240487958968</v>
      </c>
      <c r="EE84" s="205">
        <f>IF($J84="",#N/A,SUM(EC$4:EC84,EA$4:EA84,DY$4:DY84))</f>
        <v>0.22895521408440067</v>
      </c>
      <c r="EF84" s="200" t="str">
        <f t="shared" si="169"/>
        <v/>
      </c>
      <c r="EG84" s="203">
        <f>IF($J84="",#N/A,SUM(EF$4:EF84))</f>
        <v>0</v>
      </c>
      <c r="EH84" s="204" t="str">
        <f t="shared" si="170"/>
        <v/>
      </c>
      <c r="EI84" s="204">
        <f>IF($J84="",#N/A,SUM(EH$4:EH84))</f>
        <v>-2.0327391387894549</v>
      </c>
      <c r="EJ84" s="205" t="str">
        <f t="shared" si="171"/>
        <v/>
      </c>
      <c r="EK84" s="205">
        <f>IF($J84="",#N/A,SUM(EJ$4:EJ84))</f>
        <v>2.2116398676705207</v>
      </c>
      <c r="EL84" s="205">
        <f>IF($J84="",#N/A,SUM(EJ$4:EJ84,EH$4:EH84,EF$4:EF84))</f>
        <v>0.1789007288810659</v>
      </c>
      <c r="EM84" s="200" t="str">
        <f t="shared" si="172"/>
        <v/>
      </c>
      <c r="EN84" s="203">
        <f>IF($J84="",#N/A,SUM(EM$4:EM84))</f>
        <v>0</v>
      </c>
      <c r="EO84" s="204" t="str">
        <f t="shared" si="173"/>
        <v/>
      </c>
      <c r="EP84" s="204">
        <f>IF($J84="",#N/A,SUM(EO$4:EO84))</f>
        <v>0.74379497102635161</v>
      </c>
      <c r="EQ84" s="205" t="str">
        <f t="shared" si="174"/>
        <v/>
      </c>
      <c r="ER84" s="205">
        <f>IF($J84="",#N/A,SUM(EQ$4:EQ84))</f>
        <v>0.4926597949853756</v>
      </c>
      <c r="ES84" s="205">
        <f>IF($J84="",#N/A,SUM(EQ$4:EQ84,EO$4:EO84,EM$4:EM84))</f>
        <v>1.2364547660117271</v>
      </c>
      <c r="ET84" s="200" t="str">
        <f t="shared" si="175"/>
        <v/>
      </c>
      <c r="EU84" s="203">
        <f>IF($J84="",#N/A,SUM(ET$4:ET84))</f>
        <v>0</v>
      </c>
      <c r="EV84" s="204" t="str">
        <f t="shared" si="176"/>
        <v/>
      </c>
      <c r="EW84" s="204">
        <f>IF($J84="",#N/A,SUM(EV$4:EV84))</f>
        <v>0</v>
      </c>
      <c r="EX84" s="205" t="str">
        <f t="shared" si="177"/>
        <v/>
      </c>
      <c r="EY84" s="205">
        <f>IF($J84="",#N/A,SUM(EX$4:EX84))</f>
        <v>1.367071968452185</v>
      </c>
      <c r="EZ84" s="205">
        <f>IF($J84="",#N/A,SUM(EX$4:EX84,EV$4:EV84,ET$4:ET84))</f>
        <v>1.367071968452185</v>
      </c>
      <c r="FA84" s="200" t="str">
        <f t="shared" si="178"/>
        <v/>
      </c>
      <c r="FB84" s="203">
        <f>IF($J84="",#N/A,SUM(FA$4:FA84))</f>
        <v>0</v>
      </c>
      <c r="FC84" s="204" t="str">
        <f t="shared" si="179"/>
        <v/>
      </c>
      <c r="FD84" s="204">
        <f>IF($J84="",#N/A,SUM(FC$4:FC84))</f>
        <v>1.3724148418491529</v>
      </c>
      <c r="FE84" s="205" t="str">
        <f t="shared" si="180"/>
        <v/>
      </c>
      <c r="FF84" s="205">
        <f>IF($J84="",#N/A,SUM(FE$4:FE84))</f>
        <v>-0.28811149078748233</v>
      </c>
      <c r="FG84" s="205">
        <f>IF($J84="",#N/A,SUM(FE$4:FE84,FC$4:FC84,FA$4:FA84))</f>
        <v>1.0843033510616706</v>
      </c>
      <c r="FH84" s="200" t="str">
        <f t="shared" si="181"/>
        <v/>
      </c>
      <c r="FI84" s="203">
        <f>IF($J84="",#N/A,SUM(FH$4:FH84))</f>
        <v>0</v>
      </c>
      <c r="FJ84" s="204" t="str">
        <f t="shared" si="182"/>
        <v/>
      </c>
      <c r="FK84" s="204">
        <f>IF($J84="",#N/A,SUM(FJ$4:FJ84))</f>
        <v>0</v>
      </c>
      <c r="FL84" s="205" t="str">
        <f t="shared" si="183"/>
        <v/>
      </c>
      <c r="FM84" s="205">
        <f>IF($J84="",#N/A,SUM(FL$4:FL84))</f>
        <v>0</v>
      </c>
      <c r="FN84" s="205">
        <f>IF($J84="",#N/A,SUM(FL$4:FL84,FJ$4:FJ84,FH$4:FH84))</f>
        <v>0</v>
      </c>
      <c r="FO84" s="200" t="str">
        <f t="shared" si="184"/>
        <v/>
      </c>
      <c r="FP84" s="203">
        <f>IF($J84="",#N/A,SUM(FO$4:FO84))</f>
        <v>0</v>
      </c>
      <c r="FQ84" s="204" t="str">
        <f t="shared" si="185"/>
        <v/>
      </c>
      <c r="FR84" s="204">
        <f>IF($J84="",#N/A,SUM(FQ$4:FQ84))</f>
        <v>0</v>
      </c>
      <c r="FS84" s="205" t="str">
        <f t="shared" si="186"/>
        <v/>
      </c>
      <c r="FT84" s="205">
        <f>IF($J84="",#N/A,SUM(FS$4:FS84))</f>
        <v>0</v>
      </c>
      <c r="FU84" s="205">
        <f>IF($J84="",#N/A,SUM(FS$4:FS84,FQ$4:FQ84,FO$4:FO84))</f>
        <v>0</v>
      </c>
      <c r="FV84" s="200" t="str">
        <f t="shared" si="187"/>
        <v/>
      </c>
      <c r="FW84" s="203">
        <f>IF($J84="",#N/A,SUM(FV$4:FV84))</f>
        <v>6.6834991831277585E-2</v>
      </c>
      <c r="FX84" s="204" t="str">
        <f t="shared" si="188"/>
        <v/>
      </c>
      <c r="FY84" s="204">
        <f>IF($J84="",#N/A,SUM(FX$4:FX84))</f>
        <v>0</v>
      </c>
      <c r="FZ84" s="205" t="str">
        <f t="shared" si="189"/>
        <v/>
      </c>
      <c r="GA84" s="205">
        <f>IF($J84="",#N/A,SUM(FZ$4:FZ84))</f>
        <v>-0.20104261551371039</v>
      </c>
      <c r="GB84" s="205">
        <f>IF($J84="",#N/A,SUM(FZ$4:FZ84,FX$4:FX84,FV$4:FV84))</f>
        <v>-0.1342076236824328</v>
      </c>
      <c r="GC84" s="200" t="str">
        <f t="shared" si="190"/>
        <v/>
      </c>
      <c r="GD84" s="203">
        <f>IF($J84="",#N/A,SUM(GC$4:GC84))</f>
        <v>0</v>
      </c>
      <c r="GE84" s="204" t="str">
        <f t="shared" si="191"/>
        <v/>
      </c>
      <c r="GF84" s="204">
        <f>IF($J84="",#N/A,SUM(GE$4:GE84))</f>
        <v>0</v>
      </c>
      <c r="GG84" s="205" t="str">
        <f t="shared" si="192"/>
        <v/>
      </c>
      <c r="GH84" s="205">
        <f>IF($J84="",#N/A,SUM(GG$4:GG84))</f>
        <v>-2.9368362277223206</v>
      </c>
      <c r="GI84" s="205">
        <f>IF($J84="",#N/A,SUM(GG$4:GG84,GE$4:GE84,GC$4:GC84))</f>
        <v>-2.9368362277223206</v>
      </c>
      <c r="GJ84" s="200" t="str">
        <f t="shared" si="193"/>
        <v/>
      </c>
      <c r="GK84" s="203">
        <f>IF($J84="",#N/A,SUM(GJ$4:GJ84))</f>
        <v>0</v>
      </c>
      <c r="GL84" s="204" t="str">
        <f t="shared" si="194"/>
        <v/>
      </c>
      <c r="GM84" s="204">
        <f>IF($J84="",#N/A,SUM(GL$4:GL84))</f>
        <v>-0.4054764861692941</v>
      </c>
      <c r="GN84" s="205" t="str">
        <f t="shared" si="195"/>
        <v/>
      </c>
      <c r="GO84" s="205">
        <f>IF($J84="",#N/A,SUM(GN$4:GN84))</f>
        <v>0</v>
      </c>
      <c r="GP84" s="205">
        <f>IF($J84="",#N/A,SUM(GN$4:GN84,GL$4:GL84,GJ$4:GJ84))</f>
        <v>-0.4054764861692941</v>
      </c>
      <c r="GS84" s="54">
        <f t="shared" si="214"/>
        <v>0.15039649986327858</v>
      </c>
      <c r="GT84" s="54">
        <f>IF(GS84="",NA(),SUM($GS$4:GS84))</f>
        <v>1.8431059921015454</v>
      </c>
      <c r="GU84" s="54" t="str">
        <f t="shared" si="196"/>
        <v/>
      </c>
      <c r="GV84" s="54" t="e">
        <f>IF(GU84="",NA(),SUM($GU$4:GU84))</f>
        <v>#N/A</v>
      </c>
      <c r="GW84" s="54">
        <f t="shared" si="197"/>
        <v>0.15039649986327858</v>
      </c>
      <c r="GX84" s="54">
        <f>IF(GW84="",NA(),SUM($GW$4:GW84))</f>
        <v>5.5036513640274274</v>
      </c>
      <c r="GY84" s="54" t="str">
        <f t="shared" si="198"/>
        <v/>
      </c>
      <c r="GZ84" s="54" t="e">
        <f>IF(GY84="",NA(),SUM($GY$4:GY84))</f>
        <v>#N/A</v>
      </c>
      <c r="HA84" s="54" t="str">
        <f t="shared" si="199"/>
        <v/>
      </c>
      <c r="HB84" s="54" t="e">
        <f>IF(HA84="",NA(),SUM($HA$4:HA84))</f>
        <v>#N/A</v>
      </c>
      <c r="HC84" s="54" t="str">
        <f t="shared" si="200"/>
        <v/>
      </c>
      <c r="HD84" s="54" t="e">
        <f>IF(HC84="",NA(),SUM($HC$4:HC84))</f>
        <v>#N/A</v>
      </c>
      <c r="HE84" s="54" t="str">
        <f t="shared" si="201"/>
        <v/>
      </c>
      <c r="HF84" s="54" t="e">
        <f>IF(HE84="",NA(),SUM($HE$4:HE84))</f>
        <v>#N/A</v>
      </c>
      <c r="HG84" s="54" t="str">
        <f t="shared" si="202"/>
        <v/>
      </c>
      <c r="HH84" s="54" t="e">
        <f>IF(HG84="",NA(),SUM($HG$4:HG84))</f>
        <v>#N/A</v>
      </c>
      <c r="HI84" s="172" t="str">
        <f t="shared" si="215"/>
        <v/>
      </c>
      <c r="HJ84" s="172">
        <f>IF($J84="",#N/A,SUM(HI$4:$HI84))</f>
        <v>-0.83132705025154807</v>
      </c>
      <c r="HK84" s="54" t="str">
        <f t="shared" si="203"/>
        <v/>
      </c>
      <c r="HL84" s="54">
        <f>IF($J84="",#N/A,SUM($HK$4:HK84))</f>
        <v>-2.5810714053628661</v>
      </c>
      <c r="HM84" s="54" t="str">
        <f t="shared" si="204"/>
        <v/>
      </c>
      <c r="HN84" s="54">
        <f>IF($J84="",#N/A,SUM($HM$4:HM84))</f>
        <v>0.72020221657224703</v>
      </c>
      <c r="HO84" s="54" t="str">
        <f t="shared" si="205"/>
        <v/>
      </c>
      <c r="HP84" s="54">
        <f>IF($J84="",#N/A,SUM($HO$4:HO84))</f>
        <v>-0.34492614665921834</v>
      </c>
      <c r="HQ84" s="54">
        <f t="shared" si="206"/>
        <v>0.11621547716707398</v>
      </c>
      <c r="HR84" s="54">
        <f>IF($J84="",#N/A,SUM($HQ$4:HQ84))</f>
        <v>-6.1746076181104117</v>
      </c>
      <c r="HS84" s="54" t="str">
        <f t="shared" si="207"/>
        <v/>
      </c>
      <c r="HT84" s="54">
        <f>IF($J84="",#N/A,SUM($HS$4:HS84))</f>
        <v>5.526016752234387</v>
      </c>
      <c r="HU84" s="65">
        <f t="shared" si="208"/>
        <v>0.26661197703035255</v>
      </c>
      <c r="HV84" s="65">
        <f>IF($J84="",#N/A,SUM(HU$4:$HU84))</f>
        <v>-1.6406184465485809</v>
      </c>
    </row>
    <row r="85" spans="1:230" x14ac:dyDescent="0.25">
      <c r="A85" s="51" t="s">
        <v>1425</v>
      </c>
      <c r="B85" s="52" t="s">
        <v>4520</v>
      </c>
      <c r="C85" s="229">
        <f t="shared" si="109"/>
        <v>2</v>
      </c>
      <c r="D85" s="219" t="str">
        <f>_xlfn.XLOOKUP(A85,[1]SP500!$A$2:$A$502,[1]SP500!$D$2:$D$502,"N")</f>
        <v>Y</v>
      </c>
      <c r="E85" s="51" t="str">
        <f>IFERROR(_xlfn.XLOOKUP(A85,[1]SP500!$A$2:$A$655,[1]SP500!$B$2:$B$655),"")</f>
        <v>XLV</v>
      </c>
      <c r="F85" s="290">
        <v>45770</v>
      </c>
      <c r="G85" s="51" t="str">
        <f t="shared" si="110"/>
        <v>AMC</v>
      </c>
      <c r="H85" s="51" t="str">
        <f t="shared" si="111"/>
        <v>s</v>
      </c>
      <c r="I85" s="343">
        <v>70.459999999999994</v>
      </c>
      <c r="J85" s="123">
        <v>74.2</v>
      </c>
      <c r="K85" s="55">
        <f t="shared" si="112"/>
        <v>5.3079761566846573E-2</v>
      </c>
      <c r="L85" s="67">
        <f t="shared" si="113"/>
        <v>-44.880000000000109</v>
      </c>
      <c r="M85" s="57">
        <f t="shared" si="114"/>
        <v>-9.5999999999999091</v>
      </c>
      <c r="N85" s="102">
        <f t="shared" si="115"/>
        <v>-44.880000000000109</v>
      </c>
      <c r="O85" s="57">
        <f>IF(N85="",#N/A,SUM($N$4:N85))</f>
        <v>-156.86882652042732</v>
      </c>
      <c r="P85" s="65">
        <f t="shared" si="209"/>
        <v>-0.88466269278077625</v>
      </c>
      <c r="Q85" s="172">
        <f>IF($N85="",#N/A,SUM($P$4:P85))</f>
        <v>1.1604321122480523</v>
      </c>
      <c r="R85" s="279">
        <f t="shared" si="116"/>
        <v>2.3046681906661863</v>
      </c>
      <c r="S85" s="51" t="str">
        <f t="shared" si="117"/>
        <v>Dwn</v>
      </c>
      <c r="T85" s="51" t="s">
        <v>4461</v>
      </c>
      <c r="U85" s="56">
        <f t="shared" si="118"/>
        <v>70.459999999999994</v>
      </c>
      <c r="V85" s="56" t="s">
        <v>4458</v>
      </c>
      <c r="W85" s="142">
        <v>12</v>
      </c>
      <c r="X85" s="145">
        <f t="shared" si="119"/>
        <v>845.52</v>
      </c>
      <c r="Y85" s="140">
        <f t="shared" si="120"/>
        <v>12</v>
      </c>
      <c r="Z85" s="123">
        <v>75</v>
      </c>
      <c r="AA85" s="102">
        <f t="shared" si="121"/>
        <v>-54.480000000000018</v>
      </c>
      <c r="AB85" s="102">
        <f t="shared" si="122"/>
        <v>-56.039999999999964</v>
      </c>
      <c r="AC85" s="124">
        <v>75.13</v>
      </c>
      <c r="AD85" s="155">
        <f t="shared" si="123"/>
        <v>-56.039999999999964</v>
      </c>
      <c r="AE85" s="545">
        <f t="shared" si="124"/>
        <v>-1.1046456618412333</v>
      </c>
      <c r="AF85" s="57">
        <f>IF($AC85="",#N/A,SUM(AD$4:AD85))</f>
        <v>-338.56961897521717</v>
      </c>
      <c r="AG85" s="102">
        <f t="shared" si="125"/>
        <v>-11.159999999999854</v>
      </c>
      <c r="AH85" s="56" t="s">
        <v>2507</v>
      </c>
      <c r="AI85" s="65">
        <f t="shared" si="126"/>
        <v>-1.0738953543381593</v>
      </c>
      <c r="AJ85" s="350">
        <f>IF(AI85="",#N/A,SUM($AI$4:AI85))</f>
        <v>-1.144236078418134</v>
      </c>
      <c r="AK85" s="57">
        <f t="shared" si="127"/>
        <v>-54.480000000000018</v>
      </c>
      <c r="AL85" s="349">
        <f>IF(AI85="",#N/A,IF(AH85="Skip",SUM($AK$4:AK85),SUM($AK$4:AK85)))</f>
        <v>-321.9176999999994</v>
      </c>
      <c r="AM85" s="65">
        <f t="shared" si="210"/>
        <v>-1.1046456618412333</v>
      </c>
      <c r="AN85" s="211"/>
      <c r="AO85" s="65" t="str">
        <f t="shared" si="128"/>
        <v/>
      </c>
      <c r="AP85" s="65">
        <f>IF($AC85="",#N/A,SUM(AO$4:AO85))</f>
        <v>5.0570493110786856</v>
      </c>
      <c r="AQ85" s="65" t="str">
        <f t="shared" si="129"/>
        <v/>
      </c>
      <c r="AR85" s="65">
        <f>IF($AC85="",#N/A,SUM(AQ$4:AQ85))</f>
        <v>-1.0879870612894522</v>
      </c>
      <c r="AS85" s="65">
        <f t="shared" si="130"/>
        <v>-1.1046456618412333</v>
      </c>
      <c r="AT85" s="65">
        <f>IF($AC85="",#N/A,SUM(AS$4:AS85))</f>
        <v>-6.7143263581790498</v>
      </c>
      <c r="AU85" s="57" t="str">
        <f t="shared" si="211"/>
        <v/>
      </c>
      <c r="AV85" s="57">
        <f>IF($AC85="",#N/A,SUM(AU$4:AU85))</f>
        <v>208.3425526477846</v>
      </c>
      <c r="AW85" s="57" t="str">
        <f t="shared" si="212"/>
        <v/>
      </c>
      <c r="AX85" s="57">
        <f>IF($AC85="",#N/A,SUM(AW$4:AW85))</f>
        <v>-66.900000000000205</v>
      </c>
      <c r="AY85" s="57">
        <f t="shared" si="213"/>
        <v>-56.039999999999964</v>
      </c>
      <c r="AZ85" s="57">
        <f>IF($AC85="",#N/A,SUM(AY$4:AY85))</f>
        <v>-480.01217162300156</v>
      </c>
      <c r="BA85" s="57">
        <f>IF(AD85="",#N/A,SUM($AD$4:AD85))</f>
        <v>-338.56961897521717</v>
      </c>
      <c r="BC85" s="51" t="str">
        <f t="shared" si="131"/>
        <v/>
      </c>
      <c r="BD85" s="51">
        <f t="shared" si="132"/>
        <v>1</v>
      </c>
      <c r="BE85" s="51" t="str">
        <f t="shared" si="133"/>
        <v/>
      </c>
      <c r="BF85" s="51" t="str">
        <f t="shared" si="134"/>
        <v>Short</v>
      </c>
      <c r="BG85" s="51" t="str">
        <f t="shared" si="135"/>
        <v/>
      </c>
      <c r="BH85" s="51" t="str">
        <f t="shared" si="136"/>
        <v/>
      </c>
      <c r="BI85" s="51" t="str">
        <f t="shared" si="137"/>
        <v/>
      </c>
      <c r="BK85" s="65">
        <f t="shared" si="108"/>
        <v>6.178572434343501E-2</v>
      </c>
      <c r="BL85" s="65">
        <f t="shared" si="107"/>
        <v>0.33588543424541661</v>
      </c>
      <c r="BM85" s="65">
        <f>IFERROR(Q85/COUNTA($J$4:J85),#N/A)</f>
        <v>1.4151611124976248E-2</v>
      </c>
      <c r="BO85" s="489" t="e">
        <f>IF(J85="",#N/A,IF(S85="SW",(COUNTIFS(K$4:$K85,"&gt;0",S$4:$S85,"SW")/COUNTIF(S$4:$S85,"SW")),#N/A))</f>
        <v>#N/A</v>
      </c>
      <c r="BP85" s="489">
        <f>IF($J85="",#N/A,IF($S85="DWN",(COUNTIFS($K$4:$K85,"&lt;0",$S$4:$S85,"DWN")/COUNTIF($S$4:$S85,"DWN")),#N/A))</f>
        <v>0.48275862068965519</v>
      </c>
      <c r="BQ85" s="489" t="e">
        <f>IF($J85="",#N/A,IF($S85="UP",(COUNTIFS($K$4:$K85,"&gt;0",$S$4:$S85,"UP")/COUNTIF($S$4:$S85,"UP")),#N/A))</f>
        <v>#N/A</v>
      </c>
      <c r="BR85" s="489">
        <f>IF(J85="",#N/A,COUNTIF($K$4:K85,"&gt;0")/COUNT($J$4:J85))</f>
        <v>0.53658536585365857</v>
      </c>
      <c r="BS85" s="65" t="str">
        <f t="shared" si="138"/>
        <v/>
      </c>
      <c r="BT85" s="65" t="str">
        <f t="shared" si="139"/>
        <v/>
      </c>
      <c r="BU85" s="65" t="str">
        <f t="shared" si="140"/>
        <v/>
      </c>
      <c r="BV85" s="65">
        <f t="shared" si="141"/>
        <v>-0.88466269278077625</v>
      </c>
      <c r="BW85" s="128" t="str">
        <f t="shared" si="142"/>
        <v/>
      </c>
      <c r="BX85" s="128">
        <f>IF($J85="",#N/A,SUM($BW$4:BW85))</f>
        <v>-91.165000000000305</v>
      </c>
      <c r="BY85" s="131">
        <f t="shared" si="143"/>
        <v>-44.880000000000109</v>
      </c>
      <c r="BZ85" s="131">
        <f>IF($J85="",#N/A,SUM($BY$4:BY85))</f>
        <v>-245.4738504215477</v>
      </c>
      <c r="CA85" s="133" t="str">
        <f t="shared" si="144"/>
        <v/>
      </c>
      <c r="CB85" s="133">
        <f>IF($J85="",#N/A,SUM($CA$4:CA85))</f>
        <v>179.77002390112068</v>
      </c>
      <c r="CC85" s="194" t="str">
        <f t="shared" si="145"/>
        <v/>
      </c>
      <c r="CD85" s="194">
        <f>IF($J85="",#N/A,SUM($CC$4:CC85))</f>
        <v>-1.4632631312024809</v>
      </c>
      <c r="CE85" s="195">
        <f t="shared" si="146"/>
        <v>-0.88466269278077625</v>
      </c>
      <c r="CF85" s="195">
        <f>IF($J85="",#N/A,SUM($CE$4:CE85))</f>
        <v>-3.0819449335041766</v>
      </c>
      <c r="CG85" s="196" t="str">
        <f t="shared" si="147"/>
        <v/>
      </c>
      <c r="CH85" s="196">
        <f>IF($J85="",#N/A,SUM($CG$4:CG85))</f>
        <v>5.7056401769547129</v>
      </c>
      <c r="CI85" s="200" t="str">
        <f t="shared" si="148"/>
        <v/>
      </c>
      <c r="CJ85" s="203">
        <f>IF($J85="",#N/A,SUM(CI$4:CI85))</f>
        <v>0</v>
      </c>
      <c r="CK85" s="204" t="str">
        <f t="shared" si="149"/>
        <v/>
      </c>
      <c r="CL85" s="204">
        <f>IF($J85="",#N/A,SUM(CK$4:CK85))</f>
        <v>1.8934431343190481</v>
      </c>
      <c r="CM85" s="205" t="str">
        <f t="shared" si="150"/>
        <v/>
      </c>
      <c r="CN85" s="205">
        <f>IF($J85="",#N/A,SUM(CM$4:CM85))</f>
        <v>2.5724959960693745</v>
      </c>
      <c r="CO85" s="205">
        <f>IF($J85="",#N/A,SUM(CM$4:CM85,CK$4:CK85,CI$4:CI85))</f>
        <v>4.4659391303884224</v>
      </c>
      <c r="CP85" s="200" t="str">
        <f t="shared" si="151"/>
        <v/>
      </c>
      <c r="CQ85" s="203">
        <f>IF($J85="",#N/A,SUM(CP$4:CP85))</f>
        <v>0</v>
      </c>
      <c r="CR85" s="204" t="str">
        <f t="shared" si="152"/>
        <v/>
      </c>
      <c r="CS85" s="204">
        <f>IF($J85="",#N/A,SUM(CR$4:CR85))</f>
        <v>0</v>
      </c>
      <c r="CT85" s="205" t="str">
        <f t="shared" si="153"/>
        <v/>
      </c>
      <c r="CU85" s="205">
        <f>IF($J85="",#N/A,SUM(CT$4:CT85))</f>
        <v>0</v>
      </c>
      <c r="CV85" s="205">
        <f>IF($J85="",#N/A,SUM(CT$4:CT85,CR$4:CR85,CP$4:CP85))</f>
        <v>0</v>
      </c>
      <c r="CW85" s="200" t="str">
        <f t="shared" si="154"/>
        <v/>
      </c>
      <c r="CX85" s="203">
        <f>IF($J85="",#N/A,SUM(CW$4:CW85))</f>
        <v>0</v>
      </c>
      <c r="CY85" s="204" t="str">
        <f t="shared" si="155"/>
        <v/>
      </c>
      <c r="CZ85" s="204">
        <f>IF($J85="",#N/A,SUM(CY$4:CY85))</f>
        <v>-0.67634330666682074</v>
      </c>
      <c r="DA85" s="205" t="str">
        <f t="shared" si="156"/>
        <v/>
      </c>
      <c r="DB85" s="205">
        <f>IF($J85="",#N/A,SUM(DA$4:DA85))</f>
        <v>1.3333187169494678</v>
      </c>
      <c r="DC85" s="205">
        <f>IF($J85="",#N/A,SUM(DA$4:DA85,CY$4:CY85,CW$4:CW85))</f>
        <v>0.65697541028264705</v>
      </c>
      <c r="DD85" s="200" t="str">
        <f t="shared" si="157"/>
        <v/>
      </c>
      <c r="DE85" s="203">
        <f>IF($J85="",#N/A,SUM(DD$4:DD85))</f>
        <v>0.4905246481018824</v>
      </c>
      <c r="DF85" s="204" t="str">
        <f t="shared" si="158"/>
        <v/>
      </c>
      <c r="DG85" s="204">
        <f>IF($J85="",#N/A,SUM(DF$4:DF85))</f>
        <v>0.6788440567066546</v>
      </c>
      <c r="DH85" s="205" t="str">
        <f t="shared" si="159"/>
        <v/>
      </c>
      <c r="DI85" s="205">
        <f>IF($J85="",#N/A,SUM(DH$4:DH85))</f>
        <v>-0.83172699364602887</v>
      </c>
      <c r="DJ85" s="205">
        <f>IF($J85="",#N/A,SUM(DH$4:DH85,DF$4:DF85,DD$4:DD85))</f>
        <v>0.33764171116250813</v>
      </c>
      <c r="DK85" s="200" t="str">
        <f t="shared" si="160"/>
        <v/>
      </c>
      <c r="DL85" s="203">
        <f>IF($J85="",#N/A,SUM(DK$4:DK85))</f>
        <v>0</v>
      </c>
      <c r="DM85" s="204" t="str">
        <f t="shared" si="161"/>
        <v/>
      </c>
      <c r="DN85" s="204">
        <f>IF($J85="",#N/A,SUM(DM$4:DM85))</f>
        <v>0.36227168206863897</v>
      </c>
      <c r="DO85" s="205" t="str">
        <f t="shared" si="162"/>
        <v/>
      </c>
      <c r="DP85" s="205">
        <f>IF($J85="",#N/A,SUM(DO$4:DO85))</f>
        <v>-0.43291760746858676</v>
      </c>
      <c r="DQ85" s="205">
        <f>IF($J85="",#N/A,SUM(DO$4:DO85,DM$4:DM85,DK$4:DK85))</f>
        <v>-7.0645925399947795E-2</v>
      </c>
      <c r="DR85" s="200" t="str">
        <f t="shared" si="163"/>
        <v/>
      </c>
      <c r="DS85" s="203">
        <f>IF($J85="",#N/A,SUM(DR$4:DR85))</f>
        <v>-0.55950946427675097</v>
      </c>
      <c r="DT85" s="204" t="str">
        <f t="shared" si="164"/>
        <v/>
      </c>
      <c r="DU85" s="204">
        <f>IF($J85="",#N/A,SUM(DT$4:DT85))</f>
        <v>-2.8875364672150718</v>
      </c>
      <c r="DV85" s="205" t="str">
        <f t="shared" si="165"/>
        <v/>
      </c>
      <c r="DW85" s="205">
        <f>IF($J85="",#N/A,SUM(DV$4:DV85))</f>
        <v>-0.51693528082997942</v>
      </c>
      <c r="DX85" s="205">
        <f>IF($J85="",#N/A,SUM(DV$4:DV85,DT$4:DT85,DR$4:DR85))</f>
        <v>-3.9639812123218028</v>
      </c>
      <c r="DY85" s="200" t="str">
        <f t="shared" si="166"/>
        <v/>
      </c>
      <c r="DZ85" s="203">
        <f>IF($J85="",#N/A,SUM(DY$4:DY85))</f>
        <v>-1.4611133068588897</v>
      </c>
      <c r="EA85" s="204" t="str">
        <f t="shared" si="167"/>
        <v/>
      </c>
      <c r="EB85" s="204">
        <f>IF($J85="",#N/A,SUM(EA$4:EA85))</f>
        <v>-1.2459555278526064</v>
      </c>
      <c r="EC85" s="205" t="str">
        <f t="shared" si="168"/>
        <v/>
      </c>
      <c r="ED85" s="205">
        <f>IF($J85="",#N/A,SUM(EC$4:EC85))</f>
        <v>2.9360240487958968</v>
      </c>
      <c r="EE85" s="205">
        <f>IF($J85="",#N/A,SUM(EC$4:EC85,EA$4:EA85,DY$4:DY85))</f>
        <v>0.22895521408440067</v>
      </c>
      <c r="EF85" s="200" t="str">
        <f t="shared" si="169"/>
        <v/>
      </c>
      <c r="EG85" s="203">
        <f>IF($J85="",#N/A,SUM(EF$4:EF85))</f>
        <v>0</v>
      </c>
      <c r="EH85" s="204">
        <f t="shared" si="170"/>
        <v>-0.88466269278077625</v>
      </c>
      <c r="EI85" s="204">
        <f>IF($J85="",#N/A,SUM(EH$4:EH85))</f>
        <v>-2.9174018315702313</v>
      </c>
      <c r="EJ85" s="205" t="str">
        <f t="shared" si="171"/>
        <v/>
      </c>
      <c r="EK85" s="205">
        <f>IF($J85="",#N/A,SUM(EJ$4:EJ85))</f>
        <v>2.2116398676705207</v>
      </c>
      <c r="EL85" s="205">
        <f>IF($J85="",#N/A,SUM(EJ$4:EJ85,EH$4:EH85,EF$4:EF85))</f>
        <v>-0.70576196389971035</v>
      </c>
      <c r="EM85" s="200" t="str">
        <f t="shared" si="172"/>
        <v/>
      </c>
      <c r="EN85" s="203">
        <f>IF($J85="",#N/A,SUM(EM$4:EM85))</f>
        <v>0</v>
      </c>
      <c r="EO85" s="204" t="str">
        <f t="shared" si="173"/>
        <v/>
      </c>
      <c r="EP85" s="204">
        <f>IF($J85="",#N/A,SUM(EO$4:EO85))</f>
        <v>0.74379497102635161</v>
      </c>
      <c r="EQ85" s="205" t="str">
        <f t="shared" si="174"/>
        <v/>
      </c>
      <c r="ER85" s="205">
        <f>IF($J85="",#N/A,SUM(EQ$4:EQ85))</f>
        <v>0.4926597949853756</v>
      </c>
      <c r="ES85" s="205">
        <f>IF($J85="",#N/A,SUM(EQ$4:EQ85,EO$4:EO85,EM$4:EM85))</f>
        <v>1.2364547660117271</v>
      </c>
      <c r="ET85" s="200" t="str">
        <f t="shared" si="175"/>
        <v/>
      </c>
      <c r="EU85" s="203">
        <f>IF($J85="",#N/A,SUM(ET$4:ET85))</f>
        <v>0</v>
      </c>
      <c r="EV85" s="204" t="str">
        <f t="shared" si="176"/>
        <v/>
      </c>
      <c r="EW85" s="204">
        <f>IF($J85="",#N/A,SUM(EV$4:EV85))</f>
        <v>0</v>
      </c>
      <c r="EX85" s="205" t="str">
        <f t="shared" si="177"/>
        <v/>
      </c>
      <c r="EY85" s="205">
        <f>IF($J85="",#N/A,SUM(EX$4:EX85))</f>
        <v>1.367071968452185</v>
      </c>
      <c r="EZ85" s="205">
        <f>IF($J85="",#N/A,SUM(EX$4:EX85,EV$4:EV85,ET$4:ET85))</f>
        <v>1.367071968452185</v>
      </c>
      <c r="FA85" s="200" t="str">
        <f t="shared" si="178"/>
        <v/>
      </c>
      <c r="FB85" s="203">
        <f>IF($J85="",#N/A,SUM(FA$4:FA85))</f>
        <v>0</v>
      </c>
      <c r="FC85" s="204" t="str">
        <f t="shared" si="179"/>
        <v/>
      </c>
      <c r="FD85" s="204">
        <f>IF($J85="",#N/A,SUM(FC$4:FC85))</f>
        <v>1.3724148418491529</v>
      </c>
      <c r="FE85" s="205" t="str">
        <f t="shared" si="180"/>
        <v/>
      </c>
      <c r="FF85" s="205">
        <f>IF($J85="",#N/A,SUM(FE$4:FE85))</f>
        <v>-0.28811149078748233</v>
      </c>
      <c r="FG85" s="205">
        <f>IF($J85="",#N/A,SUM(FE$4:FE85,FC$4:FC85,FA$4:FA85))</f>
        <v>1.0843033510616706</v>
      </c>
      <c r="FH85" s="200" t="str">
        <f t="shared" si="181"/>
        <v/>
      </c>
      <c r="FI85" s="203">
        <f>IF($J85="",#N/A,SUM(FH$4:FH85))</f>
        <v>0</v>
      </c>
      <c r="FJ85" s="204" t="str">
        <f t="shared" si="182"/>
        <v/>
      </c>
      <c r="FK85" s="204">
        <f>IF($J85="",#N/A,SUM(FJ$4:FJ85))</f>
        <v>0</v>
      </c>
      <c r="FL85" s="205" t="str">
        <f t="shared" si="183"/>
        <v/>
      </c>
      <c r="FM85" s="205">
        <f>IF($J85="",#N/A,SUM(FL$4:FL85))</f>
        <v>0</v>
      </c>
      <c r="FN85" s="205">
        <f>IF($J85="",#N/A,SUM(FL$4:FL85,FJ$4:FJ85,FH$4:FH85))</f>
        <v>0</v>
      </c>
      <c r="FO85" s="200" t="str">
        <f t="shared" si="184"/>
        <v/>
      </c>
      <c r="FP85" s="203">
        <f>IF($J85="",#N/A,SUM(FO$4:FO85))</f>
        <v>0</v>
      </c>
      <c r="FQ85" s="204" t="str">
        <f t="shared" si="185"/>
        <v/>
      </c>
      <c r="FR85" s="204">
        <f>IF($J85="",#N/A,SUM(FQ$4:FQ85))</f>
        <v>0</v>
      </c>
      <c r="FS85" s="205" t="str">
        <f t="shared" si="186"/>
        <v/>
      </c>
      <c r="FT85" s="205">
        <f>IF($J85="",#N/A,SUM(FS$4:FS85))</f>
        <v>0</v>
      </c>
      <c r="FU85" s="205">
        <f>IF($J85="",#N/A,SUM(FS$4:FS85,FQ$4:FQ85,FO$4:FO85))</f>
        <v>0</v>
      </c>
      <c r="FV85" s="200" t="str">
        <f t="shared" si="187"/>
        <v/>
      </c>
      <c r="FW85" s="203">
        <f>IF($J85="",#N/A,SUM(FV$4:FV85))</f>
        <v>6.6834991831277585E-2</v>
      </c>
      <c r="FX85" s="204" t="str">
        <f t="shared" si="188"/>
        <v/>
      </c>
      <c r="FY85" s="204">
        <f>IF($J85="",#N/A,SUM(FX$4:FX85))</f>
        <v>0</v>
      </c>
      <c r="FZ85" s="205" t="str">
        <f t="shared" si="189"/>
        <v/>
      </c>
      <c r="GA85" s="205">
        <f>IF($J85="",#N/A,SUM(FZ$4:FZ85))</f>
        <v>-0.20104261551371039</v>
      </c>
      <c r="GB85" s="205">
        <f>IF($J85="",#N/A,SUM(FZ$4:FZ85,FX$4:FX85,FV$4:FV85))</f>
        <v>-0.1342076236824328</v>
      </c>
      <c r="GC85" s="200" t="str">
        <f t="shared" si="190"/>
        <v/>
      </c>
      <c r="GD85" s="203">
        <f>IF($J85="",#N/A,SUM(GC$4:GC85))</f>
        <v>0</v>
      </c>
      <c r="GE85" s="204" t="str">
        <f t="shared" si="191"/>
        <v/>
      </c>
      <c r="GF85" s="204">
        <f>IF($J85="",#N/A,SUM(GE$4:GE85))</f>
        <v>0</v>
      </c>
      <c r="GG85" s="205" t="str">
        <f t="shared" si="192"/>
        <v/>
      </c>
      <c r="GH85" s="205">
        <f>IF($J85="",#N/A,SUM(GG$4:GG85))</f>
        <v>-2.9368362277223206</v>
      </c>
      <c r="GI85" s="205">
        <f>IF($J85="",#N/A,SUM(GG$4:GG85,GE$4:GE85,GC$4:GC85))</f>
        <v>-2.9368362277223206</v>
      </c>
      <c r="GJ85" s="200" t="str">
        <f t="shared" si="193"/>
        <v/>
      </c>
      <c r="GK85" s="203">
        <f>IF($J85="",#N/A,SUM(GJ$4:GJ85))</f>
        <v>0</v>
      </c>
      <c r="GL85" s="204" t="str">
        <f t="shared" si="194"/>
        <v/>
      </c>
      <c r="GM85" s="204">
        <f>IF($J85="",#N/A,SUM(GL$4:GL85))</f>
        <v>-0.4054764861692941</v>
      </c>
      <c r="GN85" s="205" t="str">
        <f t="shared" si="195"/>
        <v/>
      </c>
      <c r="GO85" s="205">
        <f>IF($J85="",#N/A,SUM(GN$4:GN85))</f>
        <v>0</v>
      </c>
      <c r="GP85" s="205">
        <f>IF($J85="",#N/A,SUM(GN$4:GN85,GL$4:GL85,GJ$4:GJ85))</f>
        <v>-0.4054764861692941</v>
      </c>
      <c r="GS85" s="54">
        <f t="shared" si="214"/>
        <v>-0.88466269278077625</v>
      </c>
      <c r="GT85" s="54">
        <f>IF(GS85="",NA(),SUM($GS$4:GS85))</f>
        <v>0.9584432993207691</v>
      </c>
      <c r="GU85" s="54" t="str">
        <f t="shared" si="196"/>
        <v/>
      </c>
      <c r="GV85" s="54" t="e">
        <f>IF(GU85="",NA(),SUM($GU$4:GU85))</f>
        <v>#N/A</v>
      </c>
      <c r="GW85" s="54" t="str">
        <f t="shared" si="197"/>
        <v/>
      </c>
      <c r="GX85" s="54" t="e">
        <f>IF(GW85="",NA(),SUM($GW$4:GW85))</f>
        <v>#N/A</v>
      </c>
      <c r="GY85" s="54">
        <f t="shared" si="198"/>
        <v>-0.88466269278077625</v>
      </c>
      <c r="GZ85" s="54">
        <f>IF(GY85="",NA(),SUM($GY$4:GY85))</f>
        <v>-3.0819449335041766</v>
      </c>
      <c r="HA85" s="54" t="str">
        <f t="shared" si="199"/>
        <v/>
      </c>
      <c r="HB85" s="54" t="e">
        <f>IF(HA85="",NA(),SUM($HA$4:HA85))</f>
        <v>#N/A</v>
      </c>
      <c r="HC85" s="54" t="str">
        <f t="shared" si="200"/>
        <v/>
      </c>
      <c r="HD85" s="54" t="e">
        <f>IF(HC85="",NA(),SUM($HC$4:HC85))</f>
        <v>#N/A</v>
      </c>
      <c r="HE85" s="54" t="str">
        <f t="shared" si="201"/>
        <v/>
      </c>
      <c r="HF85" s="54" t="e">
        <f>IF(HE85="",NA(),SUM($HE$4:HE85))</f>
        <v>#N/A</v>
      </c>
      <c r="HG85" s="54" t="str">
        <f t="shared" si="202"/>
        <v/>
      </c>
      <c r="HH85" s="54" t="e">
        <f>IF(HG85="",NA(),SUM($HG$4:HG85))</f>
        <v>#N/A</v>
      </c>
      <c r="HI85" s="172" t="str">
        <f t="shared" si="215"/>
        <v/>
      </c>
      <c r="HJ85" s="172">
        <f>IF($J85="",#N/A,SUM(HI$4:$HI85))</f>
        <v>-0.83132705025154807</v>
      </c>
      <c r="HK85" s="54">
        <f t="shared" si="203"/>
        <v>-0.219982969060457</v>
      </c>
      <c r="HL85" s="54">
        <f>IF($J85="",#N/A,SUM($HK$4:HK85))</f>
        <v>-2.8010543744233232</v>
      </c>
      <c r="HM85" s="54" t="str">
        <f t="shared" si="204"/>
        <v/>
      </c>
      <c r="HN85" s="54">
        <f>IF($J85="",#N/A,SUM($HM$4:HM85))</f>
        <v>0.72020221657224703</v>
      </c>
      <c r="HO85" s="54" t="str">
        <f t="shared" si="205"/>
        <v/>
      </c>
      <c r="HP85" s="54">
        <f>IF($J85="",#N/A,SUM($HO$4:HO85))</f>
        <v>-0.34492614665921834</v>
      </c>
      <c r="HQ85" s="54" t="str">
        <f t="shared" si="206"/>
        <v/>
      </c>
      <c r="HR85" s="54">
        <f>IF($J85="",#N/A,SUM($HQ$4:HQ85))</f>
        <v>-6.1746076181104117</v>
      </c>
      <c r="HS85" s="54" t="str">
        <f t="shared" si="207"/>
        <v/>
      </c>
      <c r="HT85" s="54">
        <f>IF($J85="",#N/A,SUM($HS$4:HS85))</f>
        <v>5.526016752234387</v>
      </c>
      <c r="HU85" s="65">
        <f t="shared" si="208"/>
        <v>-1.1046456618412333</v>
      </c>
      <c r="HV85" s="65">
        <f>IF($J85="",#N/A,SUM(HU$4:$HU85))</f>
        <v>-2.7452641083898142</v>
      </c>
    </row>
    <row r="86" spans="1:230" x14ac:dyDescent="0.25">
      <c r="A86" s="51" t="s">
        <v>1346</v>
      </c>
      <c r="B86" s="52" t="s">
        <v>4518</v>
      </c>
      <c r="C86" s="229">
        <f t="shared" si="109"/>
        <v>2</v>
      </c>
      <c r="D86" s="219" t="str">
        <f>_xlfn.XLOOKUP(A86,[1]SP500!$A$2:$A$502,[1]SP500!$D$2:$D$502,"N")</f>
        <v>Y</v>
      </c>
      <c r="E86" s="51" t="str">
        <f>IFERROR(_xlfn.XLOOKUP(A86,[1]SP500!$A$2:$A$655,[1]SP500!$B$2:$B$655),"")</f>
        <v>SMH</v>
      </c>
      <c r="F86" s="290">
        <v>45770</v>
      </c>
      <c r="G86" s="51" t="str">
        <f t="shared" si="110"/>
        <v>AMC</v>
      </c>
      <c r="H86" s="51" t="str">
        <f t="shared" si="111"/>
        <v>s</v>
      </c>
      <c r="I86" s="343">
        <v>66.73</v>
      </c>
      <c r="J86" s="124">
        <v>69.67</v>
      </c>
      <c r="K86" s="55">
        <f t="shared" si="112"/>
        <v>4.4058144762475611E-2</v>
      </c>
      <c r="L86" s="67">
        <f t="shared" si="113"/>
        <v>-35.279999999999973</v>
      </c>
      <c r="M86" s="57">
        <f t="shared" si="114"/>
        <v>3.9599999999999227</v>
      </c>
      <c r="N86" s="102">
        <f t="shared" si="115"/>
        <v>-35.279999999999973</v>
      </c>
      <c r="O86" s="57">
        <f>IF(N86="",#N/A,SUM($N$4:N86))</f>
        <v>-192.14882652042729</v>
      </c>
      <c r="P86" s="65">
        <f t="shared" si="209"/>
        <v>-0.73430241270792684</v>
      </c>
      <c r="Q86" s="172">
        <f>IF($N86="",#N/A,SUM($P$4:P86))</f>
        <v>0.42612969954012547</v>
      </c>
      <c r="R86" s="279">
        <f t="shared" si="116"/>
        <v>2.2222464912806044</v>
      </c>
      <c r="S86" s="51" t="str">
        <f t="shared" si="117"/>
        <v>Dwn</v>
      </c>
      <c r="T86" s="51" t="s">
        <v>4461</v>
      </c>
      <c r="U86" s="56">
        <f t="shared" si="118"/>
        <v>66.73</v>
      </c>
      <c r="V86" s="56" t="s">
        <v>4458</v>
      </c>
      <c r="W86" s="142">
        <v>12</v>
      </c>
      <c r="X86" s="145">
        <f t="shared" si="119"/>
        <v>800.76</v>
      </c>
      <c r="Y86" s="140">
        <f t="shared" si="120"/>
        <v>12</v>
      </c>
      <c r="Z86" s="123">
        <v>69.34</v>
      </c>
      <c r="AA86" s="102">
        <f t="shared" si="121"/>
        <v>-31.32000000000005</v>
      </c>
      <c r="AB86" s="102">
        <f t="shared" si="122"/>
        <v>-50.040000000000077</v>
      </c>
      <c r="AC86" s="124">
        <v>70.900000000000006</v>
      </c>
      <c r="AD86" s="155">
        <f t="shared" si="123"/>
        <v>-50.040000000000077</v>
      </c>
      <c r="AE86" s="545">
        <f t="shared" si="124"/>
        <v>-1.0415105649632865</v>
      </c>
      <c r="AF86" s="57">
        <f>IF($AC86="",#N/A,SUM(AD$4:AD86))</f>
        <v>-388.60961897521724</v>
      </c>
      <c r="AG86" s="102">
        <f t="shared" si="125"/>
        <v>-14.760000000000105</v>
      </c>
      <c r="AH86" s="56" t="s">
        <v>2507</v>
      </c>
      <c r="AI86" s="65">
        <f t="shared" si="126"/>
        <v>-0.65188071332234476</v>
      </c>
      <c r="AJ86" s="54">
        <f>IF(AI86="",#N/A,SUM($AI$4:AI86))</f>
        <v>-1.7961167917404788</v>
      </c>
      <c r="AK86" s="57">
        <f t="shared" si="127"/>
        <v>-31.32000000000005</v>
      </c>
      <c r="AL86" s="349">
        <f>IF(AI86="",#N/A,IF(AH86="Skip",SUM($AK$4:AK86),SUM($AK$4:AK86)))</f>
        <v>-353.23769999999945</v>
      </c>
      <c r="AM86" s="65">
        <f t="shared" si="210"/>
        <v>-1.0415105649632865</v>
      </c>
      <c r="AN86" s="209"/>
      <c r="AO86" s="65" t="str">
        <f t="shared" si="128"/>
        <v/>
      </c>
      <c r="AP86" s="65">
        <f>IF($AC86="",#N/A,SUM(AO$4:AO86))</f>
        <v>5.0570493110786856</v>
      </c>
      <c r="AQ86" s="65" t="str">
        <f t="shared" si="129"/>
        <v/>
      </c>
      <c r="AR86" s="65">
        <f>IF($AC86="",#N/A,SUM(AQ$4:AQ86))</f>
        <v>-1.0879870612894522</v>
      </c>
      <c r="AS86" s="65">
        <f t="shared" si="130"/>
        <v>-1.0415105649632865</v>
      </c>
      <c r="AT86" s="65">
        <f>IF($AC86="",#N/A,SUM(AS$4:AS86))</f>
        <v>-7.7558369231423363</v>
      </c>
      <c r="AU86" s="57" t="str">
        <f t="shared" si="211"/>
        <v/>
      </c>
      <c r="AV86" s="57">
        <f>IF($AC86="",#N/A,SUM(AU$4:AU86))</f>
        <v>208.3425526477846</v>
      </c>
      <c r="AW86" s="57" t="str">
        <f t="shared" si="212"/>
        <v/>
      </c>
      <c r="AX86" s="57">
        <f>IF($AC86="",#N/A,SUM(AW$4:AW86))</f>
        <v>-66.900000000000205</v>
      </c>
      <c r="AY86" s="57">
        <f t="shared" si="213"/>
        <v>-50.040000000000077</v>
      </c>
      <c r="AZ86" s="57">
        <f>IF($AC86="",#N/A,SUM(AY$4:AY86))</f>
        <v>-530.05217162300164</v>
      </c>
      <c r="BA86" s="57">
        <f>IF(AD86="",#N/A,SUM($AD$4:AD86))</f>
        <v>-388.60961897521724</v>
      </c>
      <c r="BC86" s="51" t="str">
        <f t="shared" si="131"/>
        <v/>
      </c>
      <c r="BD86" s="51">
        <f t="shared" si="132"/>
        <v>1</v>
      </c>
      <c r="BE86" s="51" t="str">
        <f t="shared" si="133"/>
        <v/>
      </c>
      <c r="BF86" s="51" t="str">
        <f t="shared" si="134"/>
        <v>Short</v>
      </c>
      <c r="BG86" s="51" t="str">
        <f t="shared" si="135"/>
        <v/>
      </c>
      <c r="BH86" s="51" t="str">
        <f t="shared" si="136"/>
        <v/>
      </c>
      <c r="BI86" s="51" t="str">
        <f t="shared" si="137"/>
        <v/>
      </c>
      <c r="BK86" s="65">
        <f t="shared" si="108"/>
        <v>4.7060137895381146E-2</v>
      </c>
      <c r="BL86" s="65">
        <f t="shared" si="107"/>
        <v>0.27987800675394248</v>
      </c>
      <c r="BM86" s="65">
        <f>IFERROR(Q86/COUNTA($J$4:J86),#N/A)</f>
        <v>5.1340927655436804E-3</v>
      </c>
      <c r="BO86" s="489" t="e">
        <f>IF(J86="",#N/A,IF(S86="SW",(COUNTIFS(K$4:$K86,"&gt;0",S$4:$S86,"SW")/COUNTIF(S$4:$S86,"SW")),#N/A))</f>
        <v>#N/A</v>
      </c>
      <c r="BP86" s="489">
        <f>IF($J86="",#N/A,IF($S86="DWN",(COUNTIFS($K$4:$K86,"&lt;0",$S$4:$S86,"DWN")/COUNTIF($S$4:$S86,"DWN")),#N/A))</f>
        <v>0.46666666666666667</v>
      </c>
      <c r="BQ86" s="489" t="e">
        <f>IF($J86="",#N/A,IF($S86="UP",(COUNTIFS($K$4:$K86,"&gt;0",$S$4:$S86,"UP")/COUNTIF($S$4:$S86,"UP")),#N/A))</f>
        <v>#N/A</v>
      </c>
      <c r="BR86" s="489">
        <f>IF(J86="",#N/A,COUNTIF($K$4:K86,"&gt;0")/COUNT($J$4:J86))</f>
        <v>0.54216867469879515</v>
      </c>
      <c r="BS86" s="65" t="str">
        <f t="shared" si="138"/>
        <v/>
      </c>
      <c r="BT86" s="65" t="str">
        <f t="shared" si="139"/>
        <v/>
      </c>
      <c r="BU86" s="65" t="str">
        <f t="shared" si="140"/>
        <v/>
      </c>
      <c r="BV86" s="65">
        <f t="shared" si="141"/>
        <v>-0.73430241270792684</v>
      </c>
      <c r="BW86" s="128" t="str">
        <f t="shared" si="142"/>
        <v/>
      </c>
      <c r="BX86" s="128">
        <f>IF($J86="",#N/A,SUM($BW$4:BW86))</f>
        <v>-91.165000000000305</v>
      </c>
      <c r="BY86" s="131">
        <f t="shared" si="143"/>
        <v>-35.279999999999973</v>
      </c>
      <c r="BZ86" s="131">
        <f>IF($J86="",#N/A,SUM($BY$4:BY86))</f>
        <v>-280.75385042154767</v>
      </c>
      <c r="CA86" s="133" t="str">
        <f t="shared" si="144"/>
        <v/>
      </c>
      <c r="CB86" s="133">
        <f>IF($J86="",#N/A,SUM($CA$4:CA86))</f>
        <v>179.77002390112068</v>
      </c>
      <c r="CC86" s="194" t="str">
        <f t="shared" si="145"/>
        <v/>
      </c>
      <c r="CD86" s="194">
        <f>IF($J86="",#N/A,SUM($CC$4:CC86))</f>
        <v>-1.4632631312024809</v>
      </c>
      <c r="CE86" s="195">
        <f t="shared" si="146"/>
        <v>-0.73430241270792684</v>
      </c>
      <c r="CF86" s="195">
        <f>IF($J86="",#N/A,SUM($CE$4:CE86))</f>
        <v>-3.8162473462121036</v>
      </c>
      <c r="CG86" s="196" t="str">
        <f t="shared" si="147"/>
        <v/>
      </c>
      <c r="CH86" s="193">
        <f>IF($J86="",#N/A,SUM($CG$4:CG86))</f>
        <v>5.7056401769547129</v>
      </c>
      <c r="CI86" s="200" t="str">
        <f t="shared" si="148"/>
        <v/>
      </c>
      <c r="CJ86" s="203">
        <f>IF($J86="",#N/A,SUM(CI$4:CI86))</f>
        <v>0</v>
      </c>
      <c r="CK86" s="204" t="str">
        <f t="shared" si="149"/>
        <v/>
      </c>
      <c r="CL86" s="204">
        <f>IF($J86="",#N/A,SUM(CK$4:CK86))</f>
        <v>1.8934431343190481</v>
      </c>
      <c r="CM86" s="205" t="str">
        <f t="shared" si="150"/>
        <v/>
      </c>
      <c r="CN86" s="205">
        <f>IF($J86="",#N/A,SUM(CM$4:CM86))</f>
        <v>2.5724959960693745</v>
      </c>
      <c r="CO86" s="205">
        <f>IF($J86="",#N/A,SUM(CM$4:CM86,CK$4:CK86,CI$4:CI86))</f>
        <v>4.4659391303884224</v>
      </c>
      <c r="CP86" s="200" t="str">
        <f t="shared" si="151"/>
        <v/>
      </c>
      <c r="CQ86" s="203">
        <f>IF($J86="",#N/A,SUM(CP$4:CP86))</f>
        <v>0</v>
      </c>
      <c r="CR86" s="204" t="str">
        <f t="shared" si="152"/>
        <v/>
      </c>
      <c r="CS86" s="204">
        <f>IF($J86="",#N/A,SUM(CR$4:CR86))</f>
        <v>0</v>
      </c>
      <c r="CT86" s="205" t="str">
        <f t="shared" si="153"/>
        <v/>
      </c>
      <c r="CU86" s="205">
        <f>IF($J86="",#N/A,SUM(CT$4:CT86))</f>
        <v>0</v>
      </c>
      <c r="CV86" s="205">
        <f>IF($J86="",#N/A,SUM(CT$4:CT86,CR$4:CR86,CP$4:CP86))</f>
        <v>0</v>
      </c>
      <c r="CW86" s="200" t="str">
        <f t="shared" si="154"/>
        <v/>
      </c>
      <c r="CX86" s="203">
        <f>IF($J86="",#N/A,SUM(CW$4:CW86))</f>
        <v>0</v>
      </c>
      <c r="CY86" s="204" t="str">
        <f t="shared" si="155"/>
        <v/>
      </c>
      <c r="CZ86" s="204">
        <f>IF($J86="",#N/A,SUM(CY$4:CY86))</f>
        <v>-0.67634330666682074</v>
      </c>
      <c r="DA86" s="205" t="str">
        <f t="shared" si="156"/>
        <v/>
      </c>
      <c r="DB86" s="205">
        <f>IF($J86="",#N/A,SUM(DA$4:DA86))</f>
        <v>1.3333187169494678</v>
      </c>
      <c r="DC86" s="205">
        <f>IF($J86="",#N/A,SUM(DA$4:DA86,CY$4:CY86,CW$4:CW86))</f>
        <v>0.65697541028264705</v>
      </c>
      <c r="DD86" s="200" t="str">
        <f t="shared" si="157"/>
        <v/>
      </c>
      <c r="DE86" s="203">
        <f>IF($J86="",#N/A,SUM(DD$4:DD86))</f>
        <v>0.4905246481018824</v>
      </c>
      <c r="DF86" s="204" t="str">
        <f t="shared" si="158"/>
        <v/>
      </c>
      <c r="DG86" s="204">
        <f>IF($J86="",#N/A,SUM(DF$4:DF86))</f>
        <v>0.6788440567066546</v>
      </c>
      <c r="DH86" s="205" t="str">
        <f t="shared" si="159"/>
        <v/>
      </c>
      <c r="DI86" s="205">
        <f>IF($J86="",#N/A,SUM(DH$4:DH86))</f>
        <v>-0.83172699364602887</v>
      </c>
      <c r="DJ86" s="205">
        <f>IF($J86="",#N/A,SUM(DH$4:DH86,DF$4:DF86,DD$4:DD86))</f>
        <v>0.33764171116250813</v>
      </c>
      <c r="DK86" s="200" t="str">
        <f t="shared" si="160"/>
        <v/>
      </c>
      <c r="DL86" s="203">
        <f>IF($J86="",#N/A,SUM(DK$4:DK86))</f>
        <v>0</v>
      </c>
      <c r="DM86" s="204" t="str">
        <f t="shared" si="161"/>
        <v/>
      </c>
      <c r="DN86" s="204">
        <f>IF($J86="",#N/A,SUM(DM$4:DM86))</f>
        <v>0.36227168206863897</v>
      </c>
      <c r="DO86" s="205" t="str">
        <f t="shared" si="162"/>
        <v/>
      </c>
      <c r="DP86" s="205">
        <f>IF($J86="",#N/A,SUM(DO$4:DO86))</f>
        <v>-0.43291760746858676</v>
      </c>
      <c r="DQ86" s="205">
        <f>IF($J86="",#N/A,SUM(DO$4:DO86,DM$4:DM86,DK$4:DK86))</f>
        <v>-7.0645925399947795E-2</v>
      </c>
      <c r="DR86" s="200" t="str">
        <f t="shared" si="163"/>
        <v/>
      </c>
      <c r="DS86" s="203">
        <f>IF($J86="",#N/A,SUM(DR$4:DR86))</f>
        <v>-0.55950946427675097</v>
      </c>
      <c r="DT86" s="204" t="str">
        <f t="shared" si="164"/>
        <v/>
      </c>
      <c r="DU86" s="204">
        <f>IF($J86="",#N/A,SUM(DT$4:DT86))</f>
        <v>-2.8875364672150718</v>
      </c>
      <c r="DV86" s="205" t="str">
        <f t="shared" si="165"/>
        <v/>
      </c>
      <c r="DW86" s="205">
        <f>IF($J86="",#N/A,SUM(DV$4:DV86))</f>
        <v>-0.51693528082997942</v>
      </c>
      <c r="DX86" s="205">
        <f>IF($J86="",#N/A,SUM(DV$4:DV86,DT$4:DT86,DR$4:DR86))</f>
        <v>-3.9639812123218028</v>
      </c>
      <c r="DY86" s="200" t="str">
        <f t="shared" si="166"/>
        <v/>
      </c>
      <c r="DZ86" s="203">
        <f>IF($J86="",#N/A,SUM(DY$4:DY86))</f>
        <v>-1.4611133068588897</v>
      </c>
      <c r="EA86" s="204" t="str">
        <f t="shared" si="167"/>
        <v/>
      </c>
      <c r="EB86" s="204">
        <f>IF($J86="",#N/A,SUM(EA$4:EA86))</f>
        <v>-1.2459555278526064</v>
      </c>
      <c r="EC86" s="205" t="str">
        <f t="shared" si="168"/>
        <v/>
      </c>
      <c r="ED86" s="205">
        <f>IF($J86="",#N/A,SUM(EC$4:EC86))</f>
        <v>2.9360240487958968</v>
      </c>
      <c r="EE86" s="205">
        <f>IF($J86="",#N/A,SUM(EC$4:EC86,EA$4:EA86,DY$4:DY86))</f>
        <v>0.22895521408440067</v>
      </c>
      <c r="EF86" s="200" t="str">
        <f t="shared" si="169"/>
        <v/>
      </c>
      <c r="EG86" s="203">
        <f>IF($J86="",#N/A,SUM(EF$4:EF86))</f>
        <v>0</v>
      </c>
      <c r="EH86" s="204" t="str">
        <f t="shared" si="170"/>
        <v/>
      </c>
      <c r="EI86" s="204">
        <f>IF($J86="",#N/A,SUM(EH$4:EH86))</f>
        <v>-2.9174018315702313</v>
      </c>
      <c r="EJ86" s="205" t="str">
        <f t="shared" si="171"/>
        <v/>
      </c>
      <c r="EK86" s="205">
        <f>IF($J86="",#N/A,SUM(EJ$4:EJ86))</f>
        <v>2.2116398676705207</v>
      </c>
      <c r="EL86" s="205">
        <f>IF($J86="",#N/A,SUM(EJ$4:EJ86,EH$4:EH86,EF$4:EF86))</f>
        <v>-0.70576196389971035</v>
      </c>
      <c r="EM86" s="200" t="str">
        <f t="shared" si="172"/>
        <v/>
      </c>
      <c r="EN86" s="203">
        <f>IF($J86="",#N/A,SUM(EM$4:EM86))</f>
        <v>0</v>
      </c>
      <c r="EO86" s="204" t="str">
        <f t="shared" si="173"/>
        <v/>
      </c>
      <c r="EP86" s="204">
        <f>IF($J86="",#N/A,SUM(EO$4:EO86))</f>
        <v>0.74379497102635161</v>
      </c>
      <c r="EQ86" s="205" t="str">
        <f t="shared" si="174"/>
        <v/>
      </c>
      <c r="ER86" s="205">
        <f>IF($J86="",#N/A,SUM(EQ$4:EQ86))</f>
        <v>0.4926597949853756</v>
      </c>
      <c r="ES86" s="205">
        <f>IF($J86="",#N/A,SUM(EQ$4:EQ86,EO$4:EO86,EM$4:EM86))</f>
        <v>1.2364547660117271</v>
      </c>
      <c r="ET86" s="200" t="str">
        <f t="shared" si="175"/>
        <v/>
      </c>
      <c r="EU86" s="203">
        <f>IF($J86="",#N/A,SUM(ET$4:ET86))</f>
        <v>0</v>
      </c>
      <c r="EV86" s="204">
        <f t="shared" si="176"/>
        <v>-0.73430241270792684</v>
      </c>
      <c r="EW86" s="204">
        <f>IF($J86="",#N/A,SUM(EV$4:EV86))</f>
        <v>-0.73430241270792684</v>
      </c>
      <c r="EX86" s="205" t="str">
        <f t="shared" si="177"/>
        <v/>
      </c>
      <c r="EY86" s="205">
        <f>IF($J86="",#N/A,SUM(EX$4:EX86))</f>
        <v>1.367071968452185</v>
      </c>
      <c r="EZ86" s="205">
        <f>IF($J86="",#N/A,SUM(EX$4:EX86,EV$4:EV86,ET$4:ET86))</f>
        <v>0.63276955574425819</v>
      </c>
      <c r="FA86" s="200" t="str">
        <f t="shared" si="178"/>
        <v/>
      </c>
      <c r="FB86" s="203">
        <f>IF($J86="",#N/A,SUM(FA$4:FA86))</f>
        <v>0</v>
      </c>
      <c r="FC86" s="204" t="str">
        <f t="shared" si="179"/>
        <v/>
      </c>
      <c r="FD86" s="204">
        <f>IF($J86="",#N/A,SUM(FC$4:FC86))</f>
        <v>1.3724148418491529</v>
      </c>
      <c r="FE86" s="205" t="str">
        <f t="shared" si="180"/>
        <v/>
      </c>
      <c r="FF86" s="205">
        <f>IF($J86="",#N/A,SUM(FE$4:FE86))</f>
        <v>-0.28811149078748233</v>
      </c>
      <c r="FG86" s="205">
        <f>IF($J86="",#N/A,SUM(FE$4:FE86,FC$4:FC86,FA$4:FA86))</f>
        <v>1.0843033510616706</v>
      </c>
      <c r="FH86" s="200" t="str">
        <f t="shared" si="181"/>
        <v/>
      </c>
      <c r="FI86" s="203">
        <f>IF($J86="",#N/A,SUM(FH$4:FH86))</f>
        <v>0</v>
      </c>
      <c r="FJ86" s="204" t="str">
        <f t="shared" si="182"/>
        <v/>
      </c>
      <c r="FK86" s="204">
        <f>IF($J86="",#N/A,SUM(FJ$4:FJ86))</f>
        <v>0</v>
      </c>
      <c r="FL86" s="205" t="str">
        <f t="shared" si="183"/>
        <v/>
      </c>
      <c r="FM86" s="205">
        <f>IF($J86="",#N/A,SUM(FL$4:FL86))</f>
        <v>0</v>
      </c>
      <c r="FN86" s="205">
        <f>IF($J86="",#N/A,SUM(FL$4:FL86,FJ$4:FJ86,FH$4:FH86))</f>
        <v>0</v>
      </c>
      <c r="FO86" s="200" t="str">
        <f t="shared" si="184"/>
        <v/>
      </c>
      <c r="FP86" s="203">
        <f>IF($J86="",#N/A,SUM(FO$4:FO86))</f>
        <v>0</v>
      </c>
      <c r="FQ86" s="204" t="str">
        <f t="shared" si="185"/>
        <v/>
      </c>
      <c r="FR86" s="204">
        <f>IF($J86="",#N/A,SUM(FQ$4:FQ86))</f>
        <v>0</v>
      </c>
      <c r="FS86" s="205" t="str">
        <f t="shared" si="186"/>
        <v/>
      </c>
      <c r="FT86" s="205">
        <f>IF($J86="",#N/A,SUM(FS$4:FS86))</f>
        <v>0</v>
      </c>
      <c r="FU86" s="205">
        <f>IF($J86="",#N/A,SUM(FS$4:FS86,FQ$4:FQ86,FO$4:FO86))</f>
        <v>0</v>
      </c>
      <c r="FV86" s="200" t="str">
        <f t="shared" si="187"/>
        <v/>
      </c>
      <c r="FW86" s="203">
        <f>IF($J86="",#N/A,SUM(FV$4:FV86))</f>
        <v>6.6834991831277585E-2</v>
      </c>
      <c r="FX86" s="204" t="str">
        <f t="shared" si="188"/>
        <v/>
      </c>
      <c r="FY86" s="204">
        <f>IF($J86="",#N/A,SUM(FX$4:FX86))</f>
        <v>0</v>
      </c>
      <c r="FZ86" s="205" t="str">
        <f t="shared" si="189"/>
        <v/>
      </c>
      <c r="GA86" s="205">
        <f>IF($J86="",#N/A,SUM(FZ$4:FZ86))</f>
        <v>-0.20104261551371039</v>
      </c>
      <c r="GB86" s="205">
        <f>IF($J86="",#N/A,SUM(FZ$4:FZ86,FX$4:FX86,FV$4:FV86))</f>
        <v>-0.1342076236824328</v>
      </c>
      <c r="GC86" s="200" t="str">
        <f t="shared" si="190"/>
        <v/>
      </c>
      <c r="GD86" s="203">
        <f>IF($J86="",#N/A,SUM(GC$4:GC86))</f>
        <v>0</v>
      </c>
      <c r="GE86" s="204" t="str">
        <f t="shared" si="191"/>
        <v/>
      </c>
      <c r="GF86" s="204">
        <f>IF($J86="",#N/A,SUM(GE$4:GE86))</f>
        <v>0</v>
      </c>
      <c r="GG86" s="205" t="str">
        <f t="shared" si="192"/>
        <v/>
      </c>
      <c r="GH86" s="205">
        <f>IF($J86="",#N/A,SUM(GG$4:GG86))</f>
        <v>-2.9368362277223206</v>
      </c>
      <c r="GI86" s="205">
        <f>IF($J86="",#N/A,SUM(GG$4:GG86,GE$4:GE86,GC$4:GC86))</f>
        <v>-2.9368362277223206</v>
      </c>
      <c r="GJ86" s="200" t="str">
        <f t="shared" si="193"/>
        <v/>
      </c>
      <c r="GK86" s="203">
        <f>IF($J86="",#N/A,SUM(GJ$4:GJ86))</f>
        <v>0</v>
      </c>
      <c r="GL86" s="204" t="str">
        <f t="shared" si="194"/>
        <v/>
      </c>
      <c r="GM86" s="204">
        <f>IF($J86="",#N/A,SUM(GL$4:GL86))</f>
        <v>-0.4054764861692941</v>
      </c>
      <c r="GN86" s="205" t="str">
        <f t="shared" si="195"/>
        <v/>
      </c>
      <c r="GO86" s="205">
        <f>IF($J86="",#N/A,SUM(GN$4:GN86))</f>
        <v>0</v>
      </c>
      <c r="GP86" s="205">
        <f>IF($J86="",#N/A,SUM(GN$4:GN86,GL$4:GL86,GJ$4:GJ86))</f>
        <v>-0.4054764861692941</v>
      </c>
      <c r="GS86" s="54">
        <f t="shared" si="214"/>
        <v>-0.73430241270792684</v>
      </c>
      <c r="GT86" s="54">
        <f>IF(GS86="",NA(),SUM($GS$4:GS86))</f>
        <v>0.22414088661284226</v>
      </c>
      <c r="GU86" s="54" t="str">
        <f t="shared" si="196"/>
        <v/>
      </c>
      <c r="GV86" s="54" t="e">
        <f>IF(GU86="",NA(),SUM($GU$4:GU86))</f>
        <v>#N/A</v>
      </c>
      <c r="GW86" s="54" t="str">
        <f t="shared" si="197"/>
        <v/>
      </c>
      <c r="GX86" s="54" t="e">
        <f>IF(GW86="",NA(),SUM($GW$4:GW86))</f>
        <v>#N/A</v>
      </c>
      <c r="GY86" s="54">
        <f t="shared" si="198"/>
        <v>-0.73430241270792684</v>
      </c>
      <c r="GZ86" s="54">
        <f>IF(GY86="",NA(),SUM($GY$4:GY86))</f>
        <v>-3.8162473462121036</v>
      </c>
      <c r="HA86" s="54" t="str">
        <f t="shared" si="199"/>
        <v/>
      </c>
      <c r="HB86" s="54" t="e">
        <f>IF(HA86="",NA(),SUM($HA$4:HA86))</f>
        <v>#N/A</v>
      </c>
      <c r="HC86" s="54" t="str">
        <f t="shared" si="200"/>
        <v/>
      </c>
      <c r="HD86" s="54" t="e">
        <f>IF(HC86="",NA(),SUM($HC$4:HC86))</f>
        <v>#N/A</v>
      </c>
      <c r="HE86" s="54" t="str">
        <f t="shared" si="201"/>
        <v/>
      </c>
      <c r="HF86" s="54" t="e">
        <f>IF(HE86="",NA(),SUM($HE$4:HE86))</f>
        <v>#N/A</v>
      </c>
      <c r="HG86" s="54" t="str">
        <f t="shared" si="202"/>
        <v/>
      </c>
      <c r="HH86" s="54" t="e">
        <f>IF(HG86="",NA(),SUM($HG$4:HG86))</f>
        <v>#N/A</v>
      </c>
      <c r="HI86" s="172" t="str">
        <f t="shared" si="215"/>
        <v/>
      </c>
      <c r="HJ86" s="172">
        <f>IF($J86="",#N/A,SUM(HI$4:$HI86))</f>
        <v>-0.83132705025154807</v>
      </c>
      <c r="HK86" s="54">
        <f t="shared" si="203"/>
        <v>-0.30720815225535969</v>
      </c>
      <c r="HL86" s="54">
        <f>IF($J86="",#N/A,SUM($HK$4:HK86))</f>
        <v>-3.1082625266786827</v>
      </c>
      <c r="HM86" s="54" t="str">
        <f t="shared" si="204"/>
        <v/>
      </c>
      <c r="HN86" s="54">
        <f>IF($J86="",#N/A,SUM($HM$4:HM86))</f>
        <v>0.72020221657224703</v>
      </c>
      <c r="HO86" s="54" t="str">
        <f t="shared" si="205"/>
        <v/>
      </c>
      <c r="HP86" s="54">
        <f>IF($J86="",#N/A,SUM($HO$4:HO86))</f>
        <v>-0.34492614665921834</v>
      </c>
      <c r="HQ86" s="54" t="str">
        <f t="shared" si="206"/>
        <v/>
      </c>
      <c r="HR86" s="54">
        <f>IF($J86="",#N/A,SUM($HQ$4:HQ86))</f>
        <v>-6.1746076181104117</v>
      </c>
      <c r="HS86" s="54" t="str">
        <f t="shared" si="207"/>
        <v/>
      </c>
      <c r="HT86" s="54">
        <f>IF($J86="",#N/A,SUM($HS$4:HS86))</f>
        <v>5.526016752234387</v>
      </c>
      <c r="HU86" s="65">
        <f t="shared" si="208"/>
        <v>-1.0415105649632865</v>
      </c>
      <c r="HV86" s="65">
        <f>IF($J86="",#N/A,SUM(HU$4:$HU86))</f>
        <v>-3.7867746733531007</v>
      </c>
    </row>
    <row r="87" spans="1:230" x14ac:dyDescent="0.25">
      <c r="A87" s="51" t="s">
        <v>1529</v>
      </c>
      <c r="B87" s="52" t="s">
        <v>4521</v>
      </c>
      <c r="C87" s="229">
        <f t="shared" si="109"/>
        <v>3</v>
      </c>
      <c r="D87" s="219" t="str">
        <f>_xlfn.XLOOKUP(A87,[1]SP500!$A$2:$A$502,[1]SP500!$D$2:$D$502,"N")</f>
        <v>Y</v>
      </c>
      <c r="E87" s="51" t="str">
        <f>IFERROR(_xlfn.XLOOKUP(A87,[1]SP500!$A$2:$A$655,[1]SP500!$B$2:$B$655),"")</f>
        <v>XLI</v>
      </c>
      <c r="F87" s="290">
        <v>45770</v>
      </c>
      <c r="G87" s="51" t="str">
        <f t="shared" si="110"/>
        <v>AMC</v>
      </c>
      <c r="H87" s="51" t="str">
        <f t="shared" si="111"/>
        <v>s</v>
      </c>
      <c r="I87" s="344">
        <v>25.52</v>
      </c>
      <c r="J87" s="124">
        <v>24.65</v>
      </c>
      <c r="K87" s="71">
        <f t="shared" si="112"/>
        <v>-3.409090909090913E-2</v>
      </c>
      <c r="L87" s="67">
        <f t="shared" si="113"/>
        <v>-26.100000000000023</v>
      </c>
      <c r="M87" s="57">
        <f t="shared" si="114"/>
        <v>3.9000000000000909</v>
      </c>
      <c r="N87" s="147">
        <f t="shared" si="115"/>
        <v>-26.100000000000023</v>
      </c>
      <c r="O87" s="57">
        <f>IF(N87="",#N/A,SUM($N$4:N87))</f>
        <v>-218.24882652042731</v>
      </c>
      <c r="P87" s="65">
        <f t="shared" si="209"/>
        <v>-0.56818181818181868</v>
      </c>
      <c r="Q87" s="172">
        <f>IF($N87="",#N/A,SUM($P$4:P87))</f>
        <v>-0.1420521186416932</v>
      </c>
      <c r="R87" s="279">
        <f t="shared" si="116"/>
        <v>2.1373457598281469</v>
      </c>
      <c r="S87" s="51" t="str">
        <f t="shared" si="117"/>
        <v>SW</v>
      </c>
      <c r="T87" s="51" t="s">
        <v>2828</v>
      </c>
      <c r="U87" s="56">
        <f t="shared" si="118"/>
        <v>25.52</v>
      </c>
      <c r="V87" s="56" t="s">
        <v>4460</v>
      </c>
      <c r="W87" s="142">
        <v>30</v>
      </c>
      <c r="X87" s="145">
        <f t="shared" si="119"/>
        <v>765.6</v>
      </c>
      <c r="Y87" s="140">
        <f t="shared" si="120"/>
        <v>30</v>
      </c>
      <c r="Z87" s="123">
        <v>24.78</v>
      </c>
      <c r="AA87" s="102">
        <f t="shared" si="121"/>
        <v>-22.199999999999932</v>
      </c>
      <c r="AB87" s="102">
        <f t="shared" si="122"/>
        <v>28.200000000000045</v>
      </c>
      <c r="AC87" s="124">
        <v>26.46</v>
      </c>
      <c r="AD87" s="155">
        <f t="shared" si="123"/>
        <v>28.200000000000045</v>
      </c>
      <c r="AE87" s="545">
        <f t="shared" si="124"/>
        <v>0.61389759665621835</v>
      </c>
      <c r="AF87" s="57">
        <f>IF($AC87="",#N/A,SUM(AD$4:AD87))</f>
        <v>-360.4096189752172</v>
      </c>
      <c r="AG87" s="102">
        <f t="shared" si="125"/>
        <v>54.300000000000068</v>
      </c>
      <c r="AH87" s="102" t="s">
        <v>2507</v>
      </c>
      <c r="AI87" s="65">
        <f t="shared" si="126"/>
        <v>-0.4832810867293611</v>
      </c>
      <c r="AJ87" s="54">
        <f>IF(AI87="",#N/A,SUM($AI$4:AI87))</f>
        <v>-2.2793978784698399</v>
      </c>
      <c r="AK87" s="144">
        <f t="shared" si="127"/>
        <v>-22.199999999999932</v>
      </c>
      <c r="AL87" s="349">
        <f>IF(AI87="",#N/A,IF(AH87="Skip",SUM($AK$4:AK87),SUM($AK$4:AK87)))</f>
        <v>-375.43769999999938</v>
      </c>
      <c r="AM87" s="65">
        <f t="shared" si="210"/>
        <v>0.61389759665621835</v>
      </c>
      <c r="AN87" s="209"/>
      <c r="AO87" s="65">
        <f t="shared" si="128"/>
        <v>0.61389759665621835</v>
      </c>
      <c r="AP87" s="65">
        <f>IF($AC87="",#N/A,SUM(AO$4:AO87))</f>
        <v>5.670946907734904</v>
      </c>
      <c r="AQ87" s="65" t="str">
        <f t="shared" si="129"/>
        <v/>
      </c>
      <c r="AR87" s="65">
        <f>IF($AC87="",#N/A,SUM(AQ$4:AQ87))</f>
        <v>-1.0879870612894522</v>
      </c>
      <c r="AS87" s="65" t="str">
        <f t="shared" si="130"/>
        <v/>
      </c>
      <c r="AT87" s="65">
        <f>IF($AC87="",#N/A,SUM(AS$4:AS87))</f>
        <v>-7.7558369231423363</v>
      </c>
      <c r="AU87" s="57">
        <f t="shared" si="211"/>
        <v>28.200000000000045</v>
      </c>
      <c r="AV87" s="57">
        <f>IF($AC87="",#N/A,SUM(AU$4:AU87))</f>
        <v>236.54255264778465</v>
      </c>
      <c r="AW87" s="57" t="str">
        <f t="shared" si="212"/>
        <v/>
      </c>
      <c r="AX87" s="57">
        <f>IF($AC87="",#N/A,SUM(AW$4:AW87))</f>
        <v>-66.900000000000205</v>
      </c>
      <c r="AY87" s="57" t="str">
        <f t="shared" si="213"/>
        <v/>
      </c>
      <c r="AZ87" s="57">
        <f>IF($AC87="",#N/A,SUM(AY$4:AY87))</f>
        <v>-530.05217162300164</v>
      </c>
      <c r="BA87" s="57">
        <f>IF(AD87="",#N/A,SUM($AD$4:AD87))</f>
        <v>-360.4096189752172</v>
      </c>
      <c r="BC87" s="51" t="str">
        <f t="shared" si="131"/>
        <v/>
      </c>
      <c r="BD87" s="51" t="str">
        <f t="shared" si="132"/>
        <v/>
      </c>
      <c r="BE87" s="51" t="str">
        <f t="shared" si="133"/>
        <v/>
      </c>
      <c r="BF87" s="51" t="str">
        <f t="shared" si="134"/>
        <v>Long</v>
      </c>
      <c r="BG87" s="51" t="str">
        <f t="shared" si="135"/>
        <v/>
      </c>
      <c r="BH87" s="51" t="str">
        <f t="shared" si="136"/>
        <v/>
      </c>
      <c r="BI87" s="51">
        <f t="shared" si="137"/>
        <v>1</v>
      </c>
      <c r="BK87" s="65">
        <f t="shared" si="108"/>
        <v>5.3781117359746326E-2</v>
      </c>
      <c r="BL87" s="65">
        <f t="shared" si="107"/>
        <v>0.20983384534322214</v>
      </c>
      <c r="BM87" s="65">
        <f>IFERROR(Q87/COUNTA($J$4:J87),#N/A)</f>
        <v>-1.6910966504963478E-3</v>
      </c>
      <c r="BO87" s="489">
        <f>IF(J87="",#N/A,IF(S87="SW",(COUNTIFS(K$4:$K87,"&gt;0",S$4:$S87,"SW")/COUNTIF(S$4:$S87,"SW")),#N/A))</f>
        <v>0.54</v>
      </c>
      <c r="BP87" s="489" t="e">
        <f>IF($J87="",#N/A,IF($S87="DWN",(COUNTIFS($K$4:$K87,"&lt;0",$S$4:$S87,"DWN")/COUNTIF($S$4:$S87,"DWN")),#N/A))</f>
        <v>#N/A</v>
      </c>
      <c r="BQ87" s="489" t="e">
        <f>IF($J87="",#N/A,IF($S87="UP",(COUNTIFS($K$4:$K87,"&gt;0",$S$4:$S87,"UP")/COUNTIF($S$4:$S87,"UP")),#N/A))</f>
        <v>#N/A</v>
      </c>
      <c r="BR87" s="489">
        <f>IF(J87="",#N/A,COUNTIF($K$4:K87,"&gt;0")/COUNT($J$4:J87))</f>
        <v>0.5357142857142857</v>
      </c>
      <c r="BS87" s="65" t="str">
        <f t="shared" si="138"/>
        <v/>
      </c>
      <c r="BT87" s="65">
        <f t="shared" si="139"/>
        <v>-0.56818181818181868</v>
      </c>
      <c r="BU87" s="65" t="str">
        <f t="shared" si="140"/>
        <v/>
      </c>
      <c r="BV87" s="65" t="str">
        <f t="shared" si="141"/>
        <v/>
      </c>
      <c r="BW87" s="127" t="str">
        <f t="shared" si="142"/>
        <v/>
      </c>
      <c r="BX87" s="127">
        <f>IF($J87="",#N/A,SUM($BW$4:BW87))</f>
        <v>-91.165000000000305</v>
      </c>
      <c r="BY87" s="130" t="str">
        <f t="shared" si="143"/>
        <v/>
      </c>
      <c r="BZ87" s="130">
        <f>IF($J87="",#N/A,SUM($BY$4:BY87))</f>
        <v>-280.75385042154767</v>
      </c>
      <c r="CA87" s="132">
        <f t="shared" si="144"/>
        <v>-26.100000000000023</v>
      </c>
      <c r="CB87" s="132">
        <f>IF($J87="",#N/A,SUM($CA$4:CA87))</f>
        <v>153.67002390112066</v>
      </c>
      <c r="CC87" s="197" t="str">
        <f t="shared" si="145"/>
        <v/>
      </c>
      <c r="CD87" s="197">
        <f>IF($J87="",#N/A,SUM($CC$4:CC87))</f>
        <v>-1.4632631312024809</v>
      </c>
      <c r="CE87" s="198" t="str">
        <f t="shared" si="146"/>
        <v/>
      </c>
      <c r="CF87" s="198">
        <f>IF($J87="",#N/A,SUM($CE$4:CE87))</f>
        <v>-3.8162473462121036</v>
      </c>
      <c r="CG87" s="199">
        <f t="shared" si="147"/>
        <v>-0.56818181818181868</v>
      </c>
      <c r="CH87" s="193">
        <f>IF($J87="",#N/A,SUM($CG$4:CG87))</f>
        <v>5.1374583587728946</v>
      </c>
      <c r="CI87" s="200" t="str">
        <f t="shared" si="148"/>
        <v/>
      </c>
      <c r="CJ87" s="206">
        <f>IF($J87="",#N/A,SUM(CI$4:CI87))</f>
        <v>0</v>
      </c>
      <c r="CK87" s="207" t="str">
        <f t="shared" si="149"/>
        <v/>
      </c>
      <c r="CL87" s="207">
        <f>IF($J87="",#N/A,SUM(CK$4:CK87))</f>
        <v>1.8934431343190481</v>
      </c>
      <c r="CM87" s="208" t="str">
        <f t="shared" si="150"/>
        <v/>
      </c>
      <c r="CN87" s="208">
        <f>IF($J87="",#N/A,SUM(CM$4:CM87))</f>
        <v>2.5724959960693745</v>
      </c>
      <c r="CO87" s="208">
        <f>IF($J87="",#N/A,SUM(CM$4:CM87,CK$4:CK87,CI$4:CI87))</f>
        <v>4.4659391303884224</v>
      </c>
      <c r="CP87" s="200" t="str">
        <f t="shared" si="151"/>
        <v/>
      </c>
      <c r="CQ87" s="206">
        <f>IF($J87="",#N/A,SUM(CP$4:CP87))</f>
        <v>0</v>
      </c>
      <c r="CR87" s="207" t="str">
        <f t="shared" si="152"/>
        <v/>
      </c>
      <c r="CS87" s="207">
        <f>IF($J87="",#N/A,SUM(CR$4:CR87))</f>
        <v>0</v>
      </c>
      <c r="CT87" s="208" t="str">
        <f t="shared" si="153"/>
        <v/>
      </c>
      <c r="CU87" s="208">
        <f>IF($J87="",#N/A,SUM(CT$4:CT87))</f>
        <v>0</v>
      </c>
      <c r="CV87" s="208">
        <f>IF($J87="",#N/A,SUM(CT$4:CT87,CR$4:CR87,CP$4:CP87))</f>
        <v>0</v>
      </c>
      <c r="CW87" s="200" t="str">
        <f t="shared" si="154"/>
        <v/>
      </c>
      <c r="CX87" s="206">
        <f>IF($J87="",#N/A,SUM(CW$4:CW87))</f>
        <v>0</v>
      </c>
      <c r="CY87" s="207" t="str">
        <f t="shared" si="155"/>
        <v/>
      </c>
      <c r="CZ87" s="207">
        <f>IF($J87="",#N/A,SUM(CY$4:CY87))</f>
        <v>-0.67634330666682074</v>
      </c>
      <c r="DA87" s="208" t="str">
        <f t="shared" si="156"/>
        <v/>
      </c>
      <c r="DB87" s="208">
        <f>IF($J87="",#N/A,SUM(DA$4:DA87))</f>
        <v>1.3333187169494678</v>
      </c>
      <c r="DC87" s="208">
        <f>IF($J87="",#N/A,SUM(DA$4:DA87,CY$4:CY87,CW$4:CW87))</f>
        <v>0.65697541028264705</v>
      </c>
      <c r="DD87" s="200" t="str">
        <f t="shared" si="157"/>
        <v/>
      </c>
      <c r="DE87" s="206">
        <f>IF($J87="",#N/A,SUM(DD$4:DD87))</f>
        <v>0.4905246481018824</v>
      </c>
      <c r="DF87" s="207" t="str">
        <f t="shared" si="158"/>
        <v/>
      </c>
      <c r="DG87" s="207">
        <f>IF($J87="",#N/A,SUM(DF$4:DF87))</f>
        <v>0.6788440567066546</v>
      </c>
      <c r="DH87" s="208" t="str">
        <f t="shared" si="159"/>
        <v/>
      </c>
      <c r="DI87" s="208">
        <f>IF($J87="",#N/A,SUM(DH$4:DH87))</f>
        <v>-0.83172699364602887</v>
      </c>
      <c r="DJ87" s="208">
        <f>IF($J87="",#N/A,SUM(DH$4:DH87,DF$4:DF87,DD$4:DD87))</f>
        <v>0.33764171116250813</v>
      </c>
      <c r="DK87" s="200" t="str">
        <f t="shared" si="160"/>
        <v/>
      </c>
      <c r="DL87" s="206">
        <f>IF($J87="",#N/A,SUM(DK$4:DK87))</f>
        <v>0</v>
      </c>
      <c r="DM87" s="207" t="str">
        <f t="shared" si="161"/>
        <v/>
      </c>
      <c r="DN87" s="207">
        <f>IF($J87="",#N/A,SUM(DM$4:DM87))</f>
        <v>0.36227168206863897</v>
      </c>
      <c r="DO87" s="208" t="str">
        <f t="shared" si="162"/>
        <v/>
      </c>
      <c r="DP87" s="208">
        <f>IF($J87="",#N/A,SUM(DO$4:DO87))</f>
        <v>-0.43291760746858676</v>
      </c>
      <c r="DQ87" s="208">
        <f>IF($J87="",#N/A,SUM(DO$4:DO87,DM$4:DM87,DK$4:DK87))</f>
        <v>-7.0645925399947795E-2</v>
      </c>
      <c r="DR87" s="200" t="str">
        <f t="shared" si="163"/>
        <v/>
      </c>
      <c r="DS87" s="206">
        <f>IF($J87="",#N/A,SUM(DR$4:DR87))</f>
        <v>-0.55950946427675097</v>
      </c>
      <c r="DT87" s="207" t="str">
        <f t="shared" si="164"/>
        <v/>
      </c>
      <c r="DU87" s="207">
        <f>IF($J87="",#N/A,SUM(DT$4:DT87))</f>
        <v>-2.8875364672150718</v>
      </c>
      <c r="DV87" s="208" t="str">
        <f t="shared" si="165"/>
        <v/>
      </c>
      <c r="DW87" s="208">
        <f>IF($J87="",#N/A,SUM(DV$4:DV87))</f>
        <v>-0.51693528082997942</v>
      </c>
      <c r="DX87" s="208">
        <f>IF($J87="",#N/A,SUM(DV$4:DV87,DT$4:DT87,DR$4:DR87))</f>
        <v>-3.9639812123218028</v>
      </c>
      <c r="DY87" s="200" t="str">
        <f t="shared" si="166"/>
        <v/>
      </c>
      <c r="DZ87" s="206">
        <f>IF($J87="",#N/A,SUM(DY$4:DY87))</f>
        <v>-1.4611133068588897</v>
      </c>
      <c r="EA87" s="207" t="str">
        <f t="shared" si="167"/>
        <v/>
      </c>
      <c r="EB87" s="207">
        <f>IF($J87="",#N/A,SUM(EA$4:EA87))</f>
        <v>-1.2459555278526064</v>
      </c>
      <c r="EC87" s="208">
        <f t="shared" si="168"/>
        <v>-0.56818181818181868</v>
      </c>
      <c r="ED87" s="208">
        <f>IF($J87="",#N/A,SUM(EC$4:EC87))</f>
        <v>2.3678422306140781</v>
      </c>
      <c r="EE87" s="208">
        <f>IF($J87="",#N/A,SUM(EC$4:EC87,EA$4:EA87,DY$4:DY87))</f>
        <v>-0.33922660409741812</v>
      </c>
      <c r="EF87" s="200" t="str">
        <f t="shared" si="169"/>
        <v/>
      </c>
      <c r="EG87" s="206">
        <f>IF($J87="",#N/A,SUM(EF$4:EF87))</f>
        <v>0</v>
      </c>
      <c r="EH87" s="207" t="str">
        <f t="shared" si="170"/>
        <v/>
      </c>
      <c r="EI87" s="207">
        <f>IF($J87="",#N/A,SUM(EH$4:EH87))</f>
        <v>-2.9174018315702313</v>
      </c>
      <c r="EJ87" s="208" t="str">
        <f t="shared" si="171"/>
        <v/>
      </c>
      <c r="EK87" s="208">
        <f>IF($J87="",#N/A,SUM(EJ$4:EJ87))</f>
        <v>2.2116398676705207</v>
      </c>
      <c r="EL87" s="208">
        <f>IF($J87="",#N/A,SUM(EJ$4:EJ87,EH$4:EH87,EF$4:EF87))</f>
        <v>-0.70576196389971035</v>
      </c>
      <c r="EM87" s="200" t="str">
        <f t="shared" si="172"/>
        <v/>
      </c>
      <c r="EN87" s="206">
        <f>IF($J87="",#N/A,SUM(EM$4:EM87))</f>
        <v>0</v>
      </c>
      <c r="EO87" s="207" t="str">
        <f t="shared" si="173"/>
        <v/>
      </c>
      <c r="EP87" s="207">
        <f>IF($J87="",#N/A,SUM(EO$4:EO87))</f>
        <v>0.74379497102635161</v>
      </c>
      <c r="EQ87" s="208" t="str">
        <f t="shared" si="174"/>
        <v/>
      </c>
      <c r="ER87" s="208">
        <f>IF($J87="",#N/A,SUM(EQ$4:EQ87))</f>
        <v>0.4926597949853756</v>
      </c>
      <c r="ES87" s="208">
        <f>IF($J87="",#N/A,SUM(EQ$4:EQ87,EO$4:EO87,EM$4:EM87))</f>
        <v>1.2364547660117271</v>
      </c>
      <c r="ET87" s="200" t="str">
        <f t="shared" si="175"/>
        <v/>
      </c>
      <c r="EU87" s="206">
        <f>IF($J87="",#N/A,SUM(ET$4:ET87))</f>
        <v>0</v>
      </c>
      <c r="EV87" s="207" t="str">
        <f t="shared" si="176"/>
        <v/>
      </c>
      <c r="EW87" s="207">
        <f>IF($J87="",#N/A,SUM(EV$4:EV87))</f>
        <v>-0.73430241270792684</v>
      </c>
      <c r="EX87" s="208" t="str">
        <f t="shared" si="177"/>
        <v/>
      </c>
      <c r="EY87" s="208">
        <f>IF($J87="",#N/A,SUM(EX$4:EX87))</f>
        <v>1.367071968452185</v>
      </c>
      <c r="EZ87" s="208">
        <f>IF($J87="",#N/A,SUM(EX$4:EX87,EV$4:EV87,ET$4:ET87))</f>
        <v>0.63276955574425819</v>
      </c>
      <c r="FA87" s="200" t="str">
        <f t="shared" si="178"/>
        <v/>
      </c>
      <c r="FB87" s="206">
        <f>IF($J87="",#N/A,SUM(FA$4:FA87))</f>
        <v>0</v>
      </c>
      <c r="FC87" s="207" t="str">
        <f t="shared" si="179"/>
        <v/>
      </c>
      <c r="FD87" s="207">
        <f>IF($J87="",#N/A,SUM(FC$4:FC87))</f>
        <v>1.3724148418491529</v>
      </c>
      <c r="FE87" s="208" t="str">
        <f t="shared" si="180"/>
        <v/>
      </c>
      <c r="FF87" s="208">
        <f>IF($J87="",#N/A,SUM(FE$4:FE87))</f>
        <v>-0.28811149078748233</v>
      </c>
      <c r="FG87" s="208">
        <f>IF($J87="",#N/A,SUM(FE$4:FE87,FC$4:FC87,FA$4:FA87))</f>
        <v>1.0843033510616706</v>
      </c>
      <c r="FH87" s="200" t="str">
        <f t="shared" si="181"/>
        <v/>
      </c>
      <c r="FI87" s="206">
        <f>IF($J87="",#N/A,SUM(FH$4:FH87))</f>
        <v>0</v>
      </c>
      <c r="FJ87" s="207" t="str">
        <f t="shared" si="182"/>
        <v/>
      </c>
      <c r="FK87" s="207">
        <f>IF($J87="",#N/A,SUM(FJ$4:FJ87))</f>
        <v>0</v>
      </c>
      <c r="FL87" s="208" t="str">
        <f t="shared" si="183"/>
        <v/>
      </c>
      <c r="FM87" s="208">
        <f>IF($J87="",#N/A,SUM(FL$4:FL87))</f>
        <v>0</v>
      </c>
      <c r="FN87" s="208">
        <f>IF($J87="",#N/A,SUM(FL$4:FL87,FJ$4:FJ87,FH$4:FH87))</f>
        <v>0</v>
      </c>
      <c r="FO87" s="200" t="str">
        <f t="shared" si="184"/>
        <v/>
      </c>
      <c r="FP87" s="206">
        <f>IF($J87="",#N/A,SUM(FO$4:FO87))</f>
        <v>0</v>
      </c>
      <c r="FQ87" s="207" t="str">
        <f t="shared" si="185"/>
        <v/>
      </c>
      <c r="FR87" s="207">
        <f>IF($J87="",#N/A,SUM(FQ$4:FQ87))</f>
        <v>0</v>
      </c>
      <c r="FS87" s="208" t="str">
        <f t="shared" si="186"/>
        <v/>
      </c>
      <c r="FT87" s="208">
        <f>IF($J87="",#N/A,SUM(FS$4:FS87))</f>
        <v>0</v>
      </c>
      <c r="FU87" s="208">
        <f>IF($J87="",#N/A,SUM(FS$4:FS87,FQ$4:FQ87,FO$4:FO87))</f>
        <v>0</v>
      </c>
      <c r="FV87" s="200" t="str">
        <f t="shared" si="187"/>
        <v/>
      </c>
      <c r="FW87" s="206">
        <f>IF($J87="",#N/A,SUM(FV$4:FV87))</f>
        <v>6.6834991831277585E-2</v>
      </c>
      <c r="FX87" s="207" t="str">
        <f t="shared" si="188"/>
        <v/>
      </c>
      <c r="FY87" s="207">
        <f>IF($J87="",#N/A,SUM(FX$4:FX87))</f>
        <v>0</v>
      </c>
      <c r="FZ87" s="208" t="str">
        <f t="shared" si="189"/>
        <v/>
      </c>
      <c r="GA87" s="208">
        <f>IF($J87="",#N/A,SUM(FZ$4:FZ87))</f>
        <v>-0.20104261551371039</v>
      </c>
      <c r="GB87" s="208">
        <f>IF($J87="",#N/A,SUM(FZ$4:FZ87,FX$4:FX87,FV$4:FV87))</f>
        <v>-0.1342076236824328</v>
      </c>
      <c r="GC87" s="200" t="str">
        <f t="shared" si="190"/>
        <v/>
      </c>
      <c r="GD87" s="206">
        <f>IF($J87="",#N/A,SUM(GC$4:GC87))</f>
        <v>0</v>
      </c>
      <c r="GE87" s="207" t="str">
        <f t="shared" si="191"/>
        <v/>
      </c>
      <c r="GF87" s="207">
        <f>IF($J87="",#N/A,SUM(GE$4:GE87))</f>
        <v>0</v>
      </c>
      <c r="GG87" s="208" t="str">
        <f t="shared" si="192"/>
        <v/>
      </c>
      <c r="GH87" s="208">
        <f>IF($J87="",#N/A,SUM(GG$4:GG87))</f>
        <v>-2.9368362277223206</v>
      </c>
      <c r="GI87" s="208">
        <f>IF($J87="",#N/A,SUM(GG$4:GG87,GE$4:GE87,GC$4:GC87))</f>
        <v>-2.9368362277223206</v>
      </c>
      <c r="GJ87" s="200" t="str">
        <f t="shared" si="193"/>
        <v/>
      </c>
      <c r="GK87" s="206">
        <f>IF($J87="",#N/A,SUM(GJ$4:GJ87))</f>
        <v>0</v>
      </c>
      <c r="GL87" s="207" t="str">
        <f t="shared" si="194"/>
        <v/>
      </c>
      <c r="GM87" s="207">
        <f>IF($J87="",#N/A,SUM(GL$4:GL87))</f>
        <v>-0.4054764861692941</v>
      </c>
      <c r="GN87" s="208" t="str">
        <f t="shared" si="195"/>
        <v/>
      </c>
      <c r="GO87" s="208">
        <f>IF($J87="",#N/A,SUM(GN$4:GN87))</f>
        <v>0</v>
      </c>
      <c r="GP87" s="208">
        <f>IF($J87="",#N/A,SUM(GN$4:GN87,GL$4:GL87,GJ$4:GJ87))</f>
        <v>-0.4054764861692941</v>
      </c>
      <c r="GS87" s="54">
        <f t="shared" si="214"/>
        <v>-0.56818181818181868</v>
      </c>
      <c r="GT87" s="54">
        <f>IF(GS87="",NA(),SUM($GS$4:GS87))</f>
        <v>-0.34404093156897642</v>
      </c>
      <c r="GU87" s="54" t="str">
        <f t="shared" si="196"/>
        <v/>
      </c>
      <c r="GV87" s="54" t="e">
        <f>IF(GU87="",NA(),SUM($GU$4:GU87))</f>
        <v>#N/A</v>
      </c>
      <c r="GW87" s="54">
        <f t="shared" si="197"/>
        <v>-0.56818181818181868</v>
      </c>
      <c r="GX87" s="54">
        <f>IF(GW87="",NA(),SUM($GW$4:GW87))</f>
        <v>4.935469545845609</v>
      </c>
      <c r="GY87" s="54" t="str">
        <f t="shared" si="198"/>
        <v/>
      </c>
      <c r="GZ87" s="54" t="e">
        <f>IF(GY87="",NA(),SUM($GY$4:GY87))</f>
        <v>#N/A</v>
      </c>
      <c r="HA87" s="54" t="str">
        <f t="shared" si="199"/>
        <v/>
      </c>
      <c r="HB87" s="54" t="e">
        <f>IF(HA87="",NA(),SUM($HA$4:HA87))</f>
        <v>#N/A</v>
      </c>
      <c r="HC87" s="54" t="str">
        <f t="shared" si="200"/>
        <v/>
      </c>
      <c r="HD87" s="54" t="e">
        <f>IF(HC87="",NA(),SUM($HC$4:HC87))</f>
        <v>#N/A</v>
      </c>
      <c r="HE87" s="54" t="str">
        <f t="shared" si="201"/>
        <v/>
      </c>
      <c r="HF87" s="54" t="e">
        <f>IF(HE87="",NA(),SUM($HE$4:HE87))</f>
        <v>#N/A</v>
      </c>
      <c r="HG87" s="54" t="str">
        <f t="shared" si="202"/>
        <v/>
      </c>
      <c r="HH87" s="54" t="e">
        <f>IF(HG87="",NA(),SUM($HG$4:HG87))</f>
        <v>#N/A</v>
      </c>
      <c r="HI87" s="172" t="str">
        <f t="shared" si="215"/>
        <v/>
      </c>
      <c r="HJ87" s="172">
        <f>IF($J87="",#N/A,SUM(HI$4:$HI87))</f>
        <v>-0.83132705025154807</v>
      </c>
      <c r="HK87" s="54" t="str">
        <f t="shared" si="203"/>
        <v/>
      </c>
      <c r="HL87" s="54">
        <f>IF($J87="",#N/A,SUM($HK$4:HK87))</f>
        <v>-3.1082625266786827</v>
      </c>
      <c r="HM87" s="54" t="str">
        <f t="shared" si="204"/>
        <v/>
      </c>
      <c r="HN87" s="54">
        <f>IF($J87="",#N/A,SUM($HM$4:HM87))</f>
        <v>0.72020221657224703</v>
      </c>
      <c r="HO87" s="54" t="str">
        <f t="shared" si="205"/>
        <v/>
      </c>
      <c r="HP87" s="54">
        <f>IF($J87="",#N/A,SUM($HO$4:HO87))</f>
        <v>-0.34492614665921834</v>
      </c>
      <c r="HQ87" s="54" t="str">
        <f t="shared" si="206"/>
        <v/>
      </c>
      <c r="HR87" s="54">
        <f>IF($J87="",#N/A,SUM($HQ$4:HQ87))</f>
        <v>-6.1746076181104117</v>
      </c>
      <c r="HS87" s="54">
        <f t="shared" si="207"/>
        <v>1.1820794148380371</v>
      </c>
      <c r="HT87" s="54">
        <f>IF($J87="",#N/A,SUM($HS$4:HS87))</f>
        <v>6.7080961670724246</v>
      </c>
      <c r="HU87" s="65">
        <f t="shared" si="208"/>
        <v>0.61389759665621835</v>
      </c>
      <c r="HV87" s="65">
        <f>IF($J87="",#N/A,SUM(HU$4:$HU87))</f>
        <v>-3.1728770766968823</v>
      </c>
    </row>
    <row r="88" spans="1:230" x14ac:dyDescent="0.25">
      <c r="A88" s="396" t="s">
        <v>1326</v>
      </c>
      <c r="B88" s="52" t="s">
        <v>4522</v>
      </c>
      <c r="C88" s="229">
        <f t="shared" si="109"/>
        <v>3</v>
      </c>
      <c r="D88" s="219" t="str">
        <f>_xlfn.XLOOKUP(A88,[1]SP500!$A$2:$A$502,[1]SP500!$D$2:$D$502,"N")</f>
        <v>Y</v>
      </c>
      <c r="E88" s="51" t="str">
        <f>IFERROR(_xlfn.XLOOKUP(A88,[1]SP500!$A$2:$A$655,[1]SP500!$B$2:$B$655),"")</f>
        <v>XLF</v>
      </c>
      <c r="F88" s="290">
        <v>45771</v>
      </c>
      <c r="G88" s="51" t="str">
        <f t="shared" si="110"/>
        <v>BMO</v>
      </c>
      <c r="H88" s="51" t="str">
        <f t="shared" si="111"/>
        <v>s</v>
      </c>
      <c r="I88" s="344">
        <v>217.1</v>
      </c>
      <c r="J88" s="124">
        <v>193.04</v>
      </c>
      <c r="K88" s="55">
        <f t="shared" si="112"/>
        <v>-0.1108245048364809</v>
      </c>
      <c r="L88" s="67">
        <f t="shared" si="113"/>
        <v>-96.240000000000009</v>
      </c>
      <c r="M88" s="57">
        <f t="shared" si="114"/>
        <v>7.8400000000000318</v>
      </c>
      <c r="N88" s="147">
        <f t="shared" si="115"/>
        <v>-96.240000000000009</v>
      </c>
      <c r="O88" s="57">
        <f>IF(N88="",#N/A,SUM($N$4:N88))</f>
        <v>-314.48882652042732</v>
      </c>
      <c r="P88" s="65">
        <f t="shared" si="209"/>
        <v>-1.847075080608015</v>
      </c>
      <c r="Q88" s="172">
        <f>IF($N88="",#N/A,SUM($P$4:P88))</f>
        <v>-1.9891271992497082</v>
      </c>
      <c r="R88" s="279">
        <f t="shared" si="116"/>
        <v>1.986877465647277</v>
      </c>
      <c r="S88" s="51" t="str">
        <f t="shared" si="117"/>
        <v>SW</v>
      </c>
      <c r="T88" s="51" t="s">
        <v>2828</v>
      </c>
      <c r="U88" s="56">
        <f t="shared" si="118"/>
        <v>217.1</v>
      </c>
      <c r="V88" s="56" t="s">
        <v>4460</v>
      </c>
      <c r="W88" s="142">
        <v>4</v>
      </c>
      <c r="X88" s="145">
        <f t="shared" si="119"/>
        <v>868.4</v>
      </c>
      <c r="Y88" s="140">
        <f t="shared" si="120"/>
        <v>4</v>
      </c>
      <c r="Z88" s="123">
        <v>195</v>
      </c>
      <c r="AA88" s="102">
        <f t="shared" si="121"/>
        <v>-88.399999999999977</v>
      </c>
      <c r="AB88" s="102">
        <f t="shared" si="122"/>
        <v>-160.79999999999995</v>
      </c>
      <c r="AC88" s="124">
        <v>176.9</v>
      </c>
      <c r="AD88" s="155">
        <f t="shared" si="123"/>
        <v>-160.79999999999995</v>
      </c>
      <c r="AE88" s="545">
        <f t="shared" si="124"/>
        <v>-3.0861354214647618</v>
      </c>
      <c r="AF88" s="57">
        <f>IF($AC88="",#N/A,SUM(AD$4:AD88))</f>
        <v>-521.20961897521715</v>
      </c>
      <c r="AG88" s="102">
        <f t="shared" si="125"/>
        <v>-64.559999999999945</v>
      </c>
      <c r="AH88" s="102" t="s">
        <v>2507</v>
      </c>
      <c r="AI88" s="65">
        <f t="shared" si="126"/>
        <v>-1.6966067864271452</v>
      </c>
      <c r="AJ88" s="65">
        <f>IF(AI88="",#N/A,SUM($AI$4:AI88))</f>
        <v>-3.9760046648969851</v>
      </c>
      <c r="AK88" s="144">
        <f t="shared" si="127"/>
        <v>-88.399999999999977</v>
      </c>
      <c r="AL88" s="349">
        <f>IF(AI88="",#N/A,IF(AH88="Skip",SUM($AK$4:AK88),SUM($AK$4:AK88)))</f>
        <v>-463.83769999999936</v>
      </c>
      <c r="AM88" s="65">
        <f t="shared" si="210"/>
        <v>-3.0861354214647618</v>
      </c>
      <c r="AN88" s="209"/>
      <c r="AO88" s="65">
        <f t="shared" si="128"/>
        <v>-3.0861354214647618</v>
      </c>
      <c r="AP88" s="65">
        <f>IF($AC88="",#N/A,SUM(AO$4:AO88))</f>
        <v>2.5848114862701421</v>
      </c>
      <c r="AQ88" s="65" t="str">
        <f t="shared" si="129"/>
        <v/>
      </c>
      <c r="AR88" s="65">
        <f>IF($AC88="",#N/A,SUM(AQ$4:AQ88))</f>
        <v>-1.0879870612894522</v>
      </c>
      <c r="AS88" s="65" t="str">
        <f t="shared" si="130"/>
        <v/>
      </c>
      <c r="AT88" s="65">
        <f>IF($AC88="",#N/A,SUM(AS$4:AS88))</f>
        <v>-7.7558369231423363</v>
      </c>
      <c r="AU88" s="57">
        <f t="shared" si="211"/>
        <v>-160.79999999999995</v>
      </c>
      <c r="AV88" s="57">
        <f>IF($AC88="",#N/A,SUM(AU$4:AU88))</f>
        <v>75.742552647784692</v>
      </c>
      <c r="AW88" s="57" t="str">
        <f t="shared" si="212"/>
        <v/>
      </c>
      <c r="AX88" s="57">
        <f>IF($AC88="",#N/A,SUM(AW$4:AW88))</f>
        <v>-66.900000000000205</v>
      </c>
      <c r="AY88" s="57" t="str">
        <f t="shared" si="213"/>
        <v/>
      </c>
      <c r="AZ88" s="57">
        <f>IF($AC88="",#N/A,SUM(AY$4:AY88))</f>
        <v>-530.05217162300164</v>
      </c>
      <c r="BA88" s="57">
        <f>IF(AD88="",#N/A,SUM($AD$4:AD88))</f>
        <v>-521.20961897521715</v>
      </c>
      <c r="BC88" s="51" t="str">
        <f t="shared" si="131"/>
        <v/>
      </c>
      <c r="BD88" s="51" t="str">
        <f t="shared" si="132"/>
        <v/>
      </c>
      <c r="BE88" s="51" t="str">
        <f t="shared" si="133"/>
        <v/>
      </c>
      <c r="BF88" s="51" t="str">
        <f t="shared" si="134"/>
        <v>Long</v>
      </c>
      <c r="BG88" s="51" t="str">
        <f t="shared" si="135"/>
        <v/>
      </c>
      <c r="BH88" s="51" t="str">
        <f t="shared" si="136"/>
        <v/>
      </c>
      <c r="BI88" s="51">
        <f t="shared" si="137"/>
        <v>1</v>
      </c>
      <c r="BK88" s="65">
        <f t="shared" si="108"/>
        <v>3.3265318558831025E-2</v>
      </c>
      <c r="BL88" s="65">
        <f t="shared" si="107"/>
        <v>0.11591103702659482</v>
      </c>
      <c r="BM88" s="65">
        <f>IFERROR(Q88/COUNTA($J$4:J88),#N/A)</f>
        <v>-2.3401496461761272E-2</v>
      </c>
      <c r="BO88" s="489">
        <f>IF(J88="",#N/A,IF(S88="SW",(COUNTIFS(K$4:$K88,"&gt;0",S$4:$S88,"SW")/COUNTIF(S$4:$S88,"SW")),#N/A))</f>
        <v>0.52941176470588236</v>
      </c>
      <c r="BP88" s="489" t="e">
        <f>IF($J88="",#N/A,IF($S88="DWN",(COUNTIFS($K$4:$K88,"&lt;0",$S$4:$S88,"DWN")/COUNTIF($S$4:$S88,"DWN")),#N/A))</f>
        <v>#N/A</v>
      </c>
      <c r="BQ88" s="489" t="e">
        <f>IF($J88="",#N/A,IF($S88="UP",(COUNTIFS($K$4:$K88,"&gt;0",$S$4:$S88,"UP")/COUNTIF($S$4:$S88,"UP")),#N/A))</f>
        <v>#N/A</v>
      </c>
      <c r="BR88" s="489">
        <f>IF(J88="",#N/A,COUNTIF($K$4:K88,"&gt;0")/COUNT($J$4:J88))</f>
        <v>0.52941176470588236</v>
      </c>
      <c r="BS88" s="65" t="str">
        <f t="shared" si="138"/>
        <v/>
      </c>
      <c r="BT88" s="65">
        <f t="shared" si="139"/>
        <v>-1.847075080608015</v>
      </c>
      <c r="BU88" s="65" t="str">
        <f t="shared" si="140"/>
        <v/>
      </c>
      <c r="BV88" s="65" t="str">
        <f t="shared" si="141"/>
        <v/>
      </c>
      <c r="BW88" s="127" t="str">
        <f t="shared" si="142"/>
        <v/>
      </c>
      <c r="BX88" s="127">
        <f>IF($J88="",#N/A,SUM($BW$4:BW88))</f>
        <v>-91.165000000000305</v>
      </c>
      <c r="BY88" s="130" t="str">
        <f t="shared" si="143"/>
        <v/>
      </c>
      <c r="BZ88" s="130">
        <f>IF($J88="",#N/A,SUM($BY$4:BY88))</f>
        <v>-280.75385042154767</v>
      </c>
      <c r="CA88" s="132">
        <f t="shared" si="144"/>
        <v>-96.240000000000009</v>
      </c>
      <c r="CB88" s="132">
        <f>IF($J88="",#N/A,SUM($CA$4:CA88))</f>
        <v>57.430023901120649</v>
      </c>
      <c r="CC88" s="197" t="str">
        <f t="shared" si="145"/>
        <v/>
      </c>
      <c r="CD88" s="197">
        <f>IF($J88="",#N/A,SUM($CC$4:CC88))</f>
        <v>-1.4632631312024809</v>
      </c>
      <c r="CE88" s="198" t="str">
        <f t="shared" si="146"/>
        <v/>
      </c>
      <c r="CF88" s="198">
        <f>IF($J88="",#N/A,SUM($CE$4:CE88))</f>
        <v>-3.8162473462121036</v>
      </c>
      <c r="CG88" s="199">
        <f t="shared" si="147"/>
        <v>-1.847075080608015</v>
      </c>
      <c r="CH88" s="199">
        <f>IF($J88="",#N/A,SUM($CG$4:CG88))</f>
        <v>3.2903832781648799</v>
      </c>
      <c r="CI88" s="200" t="str">
        <f t="shared" si="148"/>
        <v/>
      </c>
      <c r="CJ88" s="206">
        <f>IF($J88="",#N/A,SUM(CI$4:CI88))</f>
        <v>0</v>
      </c>
      <c r="CK88" s="207" t="str">
        <f t="shared" si="149"/>
        <v/>
      </c>
      <c r="CL88" s="207">
        <f>IF($J88="",#N/A,SUM(CK$4:CK88))</f>
        <v>1.8934431343190481</v>
      </c>
      <c r="CM88" s="208" t="str">
        <f t="shared" si="150"/>
        <v/>
      </c>
      <c r="CN88" s="208">
        <f>IF($J88="",#N/A,SUM(CM$4:CM88))</f>
        <v>2.5724959960693745</v>
      </c>
      <c r="CO88" s="208">
        <f>IF($J88="",#N/A,SUM(CM$4:CM88,CK$4:CK88,CI$4:CI88))</f>
        <v>4.4659391303884224</v>
      </c>
      <c r="CP88" s="200" t="str">
        <f t="shared" si="151"/>
        <v/>
      </c>
      <c r="CQ88" s="206">
        <f>IF($J88="",#N/A,SUM(CP$4:CP88))</f>
        <v>0</v>
      </c>
      <c r="CR88" s="207" t="str">
        <f t="shared" si="152"/>
        <v/>
      </c>
      <c r="CS88" s="207">
        <f>IF($J88="",#N/A,SUM(CR$4:CR88))</f>
        <v>0</v>
      </c>
      <c r="CT88" s="208" t="str">
        <f t="shared" si="153"/>
        <v/>
      </c>
      <c r="CU88" s="208">
        <f>IF($J88="",#N/A,SUM(CT$4:CT88))</f>
        <v>0</v>
      </c>
      <c r="CV88" s="208">
        <f>IF($J88="",#N/A,SUM(CT$4:CT88,CR$4:CR88,CP$4:CP88))</f>
        <v>0</v>
      </c>
      <c r="CW88" s="200" t="str">
        <f t="shared" si="154"/>
        <v/>
      </c>
      <c r="CX88" s="206">
        <f>IF($J88="",#N/A,SUM(CW$4:CW88))</f>
        <v>0</v>
      </c>
      <c r="CY88" s="207" t="str">
        <f t="shared" si="155"/>
        <v/>
      </c>
      <c r="CZ88" s="207">
        <f>IF($J88="",#N/A,SUM(CY$4:CY88))</f>
        <v>-0.67634330666682074</v>
      </c>
      <c r="DA88" s="208" t="str">
        <f t="shared" si="156"/>
        <v/>
      </c>
      <c r="DB88" s="208">
        <f>IF($J88="",#N/A,SUM(DA$4:DA88))</f>
        <v>1.3333187169494678</v>
      </c>
      <c r="DC88" s="208">
        <f>IF($J88="",#N/A,SUM(DA$4:DA88,CY$4:CY88,CW$4:CW88))</f>
        <v>0.65697541028264705</v>
      </c>
      <c r="DD88" s="200" t="str">
        <f t="shared" si="157"/>
        <v/>
      </c>
      <c r="DE88" s="206">
        <f>IF($J88="",#N/A,SUM(DD$4:DD88))</f>
        <v>0.4905246481018824</v>
      </c>
      <c r="DF88" s="207" t="str">
        <f t="shared" si="158"/>
        <v/>
      </c>
      <c r="DG88" s="207">
        <f>IF($J88="",#N/A,SUM(DF$4:DF88))</f>
        <v>0.6788440567066546</v>
      </c>
      <c r="DH88" s="208" t="str">
        <f t="shared" si="159"/>
        <v/>
      </c>
      <c r="DI88" s="208">
        <f>IF($J88="",#N/A,SUM(DH$4:DH88))</f>
        <v>-0.83172699364602887</v>
      </c>
      <c r="DJ88" s="208">
        <f>IF($J88="",#N/A,SUM(DH$4:DH88,DF$4:DF88,DD$4:DD88))</f>
        <v>0.33764171116250813</v>
      </c>
      <c r="DK88" s="200" t="str">
        <f t="shared" si="160"/>
        <v/>
      </c>
      <c r="DL88" s="206">
        <f>IF($J88="",#N/A,SUM(DK$4:DK88))</f>
        <v>0</v>
      </c>
      <c r="DM88" s="207" t="str">
        <f t="shared" si="161"/>
        <v/>
      </c>
      <c r="DN88" s="207">
        <f>IF($J88="",#N/A,SUM(DM$4:DM88))</f>
        <v>0.36227168206863897</v>
      </c>
      <c r="DO88" s="208" t="str">
        <f t="shared" si="162"/>
        <v/>
      </c>
      <c r="DP88" s="208">
        <f>IF($J88="",#N/A,SUM(DO$4:DO88))</f>
        <v>-0.43291760746858676</v>
      </c>
      <c r="DQ88" s="208">
        <f>IF($J88="",#N/A,SUM(DO$4:DO88,DM$4:DM88,DK$4:DK88))</f>
        <v>-7.0645925399947795E-2</v>
      </c>
      <c r="DR88" s="200" t="str">
        <f t="shared" si="163"/>
        <v/>
      </c>
      <c r="DS88" s="206">
        <f>IF($J88="",#N/A,SUM(DR$4:DR88))</f>
        <v>-0.55950946427675097</v>
      </c>
      <c r="DT88" s="207" t="str">
        <f t="shared" si="164"/>
        <v/>
      </c>
      <c r="DU88" s="207">
        <f>IF($J88="",#N/A,SUM(DT$4:DT88))</f>
        <v>-2.8875364672150718</v>
      </c>
      <c r="DV88" s="208">
        <f t="shared" si="165"/>
        <v>-1.847075080608015</v>
      </c>
      <c r="DW88" s="208">
        <f>IF($J88="",#N/A,SUM(DV$4:DV88))</f>
        <v>-2.3640103614379946</v>
      </c>
      <c r="DX88" s="208">
        <f>IF($J88="",#N/A,SUM(DV$4:DV88,DT$4:DT88,DR$4:DR88))</f>
        <v>-5.8110562929298162</v>
      </c>
      <c r="DY88" s="200" t="str">
        <f t="shared" si="166"/>
        <v/>
      </c>
      <c r="DZ88" s="206">
        <f>IF($J88="",#N/A,SUM(DY$4:DY88))</f>
        <v>-1.4611133068588897</v>
      </c>
      <c r="EA88" s="207" t="str">
        <f t="shared" si="167"/>
        <v/>
      </c>
      <c r="EB88" s="207">
        <f>IF($J88="",#N/A,SUM(EA$4:EA88))</f>
        <v>-1.2459555278526064</v>
      </c>
      <c r="EC88" s="208" t="str">
        <f t="shared" si="168"/>
        <v/>
      </c>
      <c r="ED88" s="208">
        <f>IF($J88="",#N/A,SUM(EC$4:EC88))</f>
        <v>2.3678422306140781</v>
      </c>
      <c r="EE88" s="208">
        <f>IF($J88="",#N/A,SUM(EC$4:EC88,EA$4:EA88,DY$4:DY88))</f>
        <v>-0.33922660409741812</v>
      </c>
      <c r="EF88" s="200" t="str">
        <f t="shared" si="169"/>
        <v/>
      </c>
      <c r="EG88" s="206">
        <f>IF($J88="",#N/A,SUM(EF$4:EF88))</f>
        <v>0</v>
      </c>
      <c r="EH88" s="207" t="str">
        <f t="shared" si="170"/>
        <v/>
      </c>
      <c r="EI88" s="207">
        <f>IF($J88="",#N/A,SUM(EH$4:EH88))</f>
        <v>-2.9174018315702313</v>
      </c>
      <c r="EJ88" s="208" t="str">
        <f t="shared" si="171"/>
        <v/>
      </c>
      <c r="EK88" s="208">
        <f>IF($J88="",#N/A,SUM(EJ$4:EJ88))</f>
        <v>2.2116398676705207</v>
      </c>
      <c r="EL88" s="208">
        <f>IF($J88="",#N/A,SUM(EJ$4:EJ88,EH$4:EH88,EF$4:EF88))</f>
        <v>-0.70576196389971035</v>
      </c>
      <c r="EM88" s="200" t="str">
        <f t="shared" si="172"/>
        <v/>
      </c>
      <c r="EN88" s="206">
        <f>IF($J88="",#N/A,SUM(EM$4:EM88))</f>
        <v>0</v>
      </c>
      <c r="EO88" s="207" t="str">
        <f t="shared" si="173"/>
        <v/>
      </c>
      <c r="EP88" s="207">
        <f>IF($J88="",#N/A,SUM(EO$4:EO88))</f>
        <v>0.74379497102635161</v>
      </c>
      <c r="EQ88" s="208" t="str">
        <f t="shared" si="174"/>
        <v/>
      </c>
      <c r="ER88" s="208">
        <f>IF($J88="",#N/A,SUM(EQ$4:EQ88))</f>
        <v>0.4926597949853756</v>
      </c>
      <c r="ES88" s="208">
        <f>IF($J88="",#N/A,SUM(EQ$4:EQ88,EO$4:EO88,EM$4:EM88))</f>
        <v>1.2364547660117271</v>
      </c>
      <c r="ET88" s="200" t="str">
        <f t="shared" si="175"/>
        <v/>
      </c>
      <c r="EU88" s="206">
        <f>IF($J88="",#N/A,SUM(ET$4:ET88))</f>
        <v>0</v>
      </c>
      <c r="EV88" s="207" t="str">
        <f t="shared" si="176"/>
        <v/>
      </c>
      <c r="EW88" s="207">
        <f>IF($J88="",#N/A,SUM(EV$4:EV88))</f>
        <v>-0.73430241270792684</v>
      </c>
      <c r="EX88" s="208" t="str">
        <f t="shared" si="177"/>
        <v/>
      </c>
      <c r="EY88" s="208">
        <f>IF($J88="",#N/A,SUM(EX$4:EX88))</f>
        <v>1.367071968452185</v>
      </c>
      <c r="EZ88" s="208">
        <f>IF($J88="",#N/A,SUM(EX$4:EX88,EV$4:EV88,ET$4:ET88))</f>
        <v>0.63276955574425819</v>
      </c>
      <c r="FA88" s="200" t="str">
        <f t="shared" si="178"/>
        <v/>
      </c>
      <c r="FB88" s="206">
        <f>IF($J88="",#N/A,SUM(FA$4:FA88))</f>
        <v>0</v>
      </c>
      <c r="FC88" s="207" t="str">
        <f t="shared" si="179"/>
        <v/>
      </c>
      <c r="FD88" s="207">
        <f>IF($J88="",#N/A,SUM(FC$4:FC88))</f>
        <v>1.3724148418491529</v>
      </c>
      <c r="FE88" s="208" t="str">
        <f t="shared" si="180"/>
        <v/>
      </c>
      <c r="FF88" s="208">
        <f>IF($J88="",#N/A,SUM(FE$4:FE88))</f>
        <v>-0.28811149078748233</v>
      </c>
      <c r="FG88" s="208">
        <f>IF($J88="",#N/A,SUM(FE$4:FE88,FC$4:FC88,FA$4:FA88))</f>
        <v>1.0843033510616706</v>
      </c>
      <c r="FH88" s="200" t="str">
        <f t="shared" si="181"/>
        <v/>
      </c>
      <c r="FI88" s="206">
        <f>IF($J88="",#N/A,SUM(FH$4:FH88))</f>
        <v>0</v>
      </c>
      <c r="FJ88" s="207" t="str">
        <f t="shared" si="182"/>
        <v/>
      </c>
      <c r="FK88" s="207">
        <f>IF($J88="",#N/A,SUM(FJ$4:FJ88))</f>
        <v>0</v>
      </c>
      <c r="FL88" s="208" t="str">
        <f t="shared" si="183"/>
        <v/>
      </c>
      <c r="FM88" s="208">
        <f>IF($J88="",#N/A,SUM(FL$4:FL88))</f>
        <v>0</v>
      </c>
      <c r="FN88" s="208">
        <f>IF($J88="",#N/A,SUM(FL$4:FL88,FJ$4:FJ88,FH$4:FH88))</f>
        <v>0</v>
      </c>
      <c r="FO88" s="200" t="str">
        <f t="shared" si="184"/>
        <v/>
      </c>
      <c r="FP88" s="206">
        <f>IF($J88="",#N/A,SUM(FO$4:FO88))</f>
        <v>0</v>
      </c>
      <c r="FQ88" s="207" t="str">
        <f t="shared" si="185"/>
        <v/>
      </c>
      <c r="FR88" s="207">
        <f>IF($J88="",#N/A,SUM(FQ$4:FQ88))</f>
        <v>0</v>
      </c>
      <c r="FS88" s="208" t="str">
        <f t="shared" si="186"/>
        <v/>
      </c>
      <c r="FT88" s="208">
        <f>IF($J88="",#N/A,SUM(FS$4:FS88))</f>
        <v>0</v>
      </c>
      <c r="FU88" s="208">
        <f>IF($J88="",#N/A,SUM(FS$4:FS88,FQ$4:FQ88,FO$4:FO88))</f>
        <v>0</v>
      </c>
      <c r="FV88" s="200" t="str">
        <f t="shared" si="187"/>
        <v/>
      </c>
      <c r="FW88" s="206">
        <f>IF($J88="",#N/A,SUM(FV$4:FV88))</f>
        <v>6.6834991831277585E-2</v>
      </c>
      <c r="FX88" s="207" t="str">
        <f t="shared" si="188"/>
        <v/>
      </c>
      <c r="FY88" s="207">
        <f>IF($J88="",#N/A,SUM(FX$4:FX88))</f>
        <v>0</v>
      </c>
      <c r="FZ88" s="208" t="str">
        <f t="shared" si="189"/>
        <v/>
      </c>
      <c r="GA88" s="208">
        <f>IF($J88="",#N/A,SUM(FZ$4:FZ88))</f>
        <v>-0.20104261551371039</v>
      </c>
      <c r="GB88" s="208">
        <f>IF($J88="",#N/A,SUM(FZ$4:FZ88,FX$4:FX88,FV$4:FV88))</f>
        <v>-0.1342076236824328</v>
      </c>
      <c r="GC88" s="200" t="str">
        <f t="shared" si="190"/>
        <v/>
      </c>
      <c r="GD88" s="206">
        <f>IF($J88="",#N/A,SUM(GC$4:GC88))</f>
        <v>0</v>
      </c>
      <c r="GE88" s="207" t="str">
        <f t="shared" si="191"/>
        <v/>
      </c>
      <c r="GF88" s="207">
        <f>IF($J88="",#N/A,SUM(GE$4:GE88))</f>
        <v>0</v>
      </c>
      <c r="GG88" s="208" t="str">
        <f t="shared" si="192"/>
        <v/>
      </c>
      <c r="GH88" s="208">
        <f>IF($J88="",#N/A,SUM(GG$4:GG88))</f>
        <v>-2.9368362277223206</v>
      </c>
      <c r="GI88" s="208">
        <f>IF($J88="",#N/A,SUM(GG$4:GG88,GE$4:GE88,GC$4:GC88))</f>
        <v>-2.9368362277223206</v>
      </c>
      <c r="GJ88" s="200" t="str">
        <f t="shared" si="193"/>
        <v/>
      </c>
      <c r="GK88" s="206">
        <f>IF($J88="",#N/A,SUM(GJ$4:GJ88))</f>
        <v>0</v>
      </c>
      <c r="GL88" s="207" t="str">
        <f t="shared" si="194"/>
        <v/>
      </c>
      <c r="GM88" s="207">
        <f>IF($J88="",#N/A,SUM(GL$4:GL88))</f>
        <v>-0.4054764861692941</v>
      </c>
      <c r="GN88" s="208" t="str">
        <f t="shared" si="195"/>
        <v/>
      </c>
      <c r="GO88" s="208">
        <f>IF($J88="",#N/A,SUM(GN$4:GN88))</f>
        <v>0</v>
      </c>
      <c r="GP88" s="208">
        <f>IF($J88="",#N/A,SUM(GN$4:GN88,GL$4:GL88,GJ$4:GJ88))</f>
        <v>-0.4054764861692941</v>
      </c>
      <c r="GS88" s="54">
        <f t="shared" si="214"/>
        <v>-1.847075080608015</v>
      </c>
      <c r="GT88" s="54">
        <f>IF(GS88="",NA(),SUM($GS$4:GS88))</f>
        <v>-2.1911160121769915</v>
      </c>
      <c r="GU88" s="54" t="str">
        <f t="shared" si="196"/>
        <v/>
      </c>
      <c r="GV88" s="54" t="e">
        <f>IF(GU88="",NA(),SUM($GU$4:GU88))</f>
        <v>#N/A</v>
      </c>
      <c r="GW88" s="54">
        <f t="shared" si="197"/>
        <v>-1.847075080608015</v>
      </c>
      <c r="GX88" s="54">
        <f>IF(GW88="",NA(),SUM($GW$4:GW88))</f>
        <v>3.0883944652375943</v>
      </c>
      <c r="GY88" s="54" t="str">
        <f t="shared" si="198"/>
        <v/>
      </c>
      <c r="GZ88" s="54" t="e">
        <f>IF(GY88="",NA(),SUM($GY$4:GY88))</f>
        <v>#N/A</v>
      </c>
      <c r="HA88" s="54" t="str">
        <f t="shared" si="199"/>
        <v/>
      </c>
      <c r="HB88" s="54" t="e">
        <f>IF(HA88="",NA(),SUM($HA$4:HA88))</f>
        <v>#N/A</v>
      </c>
      <c r="HC88" s="54" t="str">
        <f t="shared" si="200"/>
        <v/>
      </c>
      <c r="HD88" s="54" t="e">
        <f>IF(HC88="",NA(),SUM($HC$4:HC88))</f>
        <v>#N/A</v>
      </c>
      <c r="HE88" s="54" t="str">
        <f t="shared" si="201"/>
        <v/>
      </c>
      <c r="HF88" s="54" t="e">
        <f>IF(HE88="",NA(),SUM($HE$4:HE88))</f>
        <v>#N/A</v>
      </c>
      <c r="HG88" s="54" t="str">
        <f t="shared" si="202"/>
        <v/>
      </c>
      <c r="HH88" s="54" t="e">
        <f>IF(HG88="",NA(),SUM($HG$4:HG88))</f>
        <v>#N/A</v>
      </c>
      <c r="HI88" s="172" t="str">
        <f t="shared" si="215"/>
        <v/>
      </c>
      <c r="HJ88" s="172">
        <f>IF($J88="",#N/A,SUM(HI$4:$HI88))</f>
        <v>-0.83132705025154807</v>
      </c>
      <c r="HK88" s="54" t="str">
        <f t="shared" si="203"/>
        <v/>
      </c>
      <c r="HL88" s="54">
        <f>IF($J88="",#N/A,SUM($HK$4:HK88))</f>
        <v>-3.1082625266786827</v>
      </c>
      <c r="HM88" s="54" t="str">
        <f t="shared" si="204"/>
        <v/>
      </c>
      <c r="HN88" s="54">
        <f>IF($J88="",#N/A,SUM($HM$4:HM88))</f>
        <v>0.72020221657224703</v>
      </c>
      <c r="HO88" s="54" t="str">
        <f t="shared" si="205"/>
        <v/>
      </c>
      <c r="HP88" s="54">
        <f>IF($J88="",#N/A,SUM($HO$4:HO88))</f>
        <v>-0.34492614665921834</v>
      </c>
      <c r="HQ88" s="54" t="str">
        <f t="shared" si="206"/>
        <v/>
      </c>
      <c r="HR88" s="54">
        <f>IF($J88="",#N/A,SUM($HQ$4:HQ88))</f>
        <v>-6.1746076181104117</v>
      </c>
      <c r="HS88" s="54">
        <f t="shared" si="207"/>
        <v>-1.2390603408567469</v>
      </c>
      <c r="HT88" s="54">
        <f>IF($J88="",#N/A,SUM($HS$4:HS88))</f>
        <v>5.469035826215678</v>
      </c>
      <c r="HU88" s="65">
        <f t="shared" si="208"/>
        <v>-3.0861354214647618</v>
      </c>
      <c r="HV88" s="65">
        <f>IF($J88="",#N/A,SUM(HU$4:$HU88))</f>
        <v>-6.2590124981616437</v>
      </c>
    </row>
    <row r="89" spans="1:230" x14ac:dyDescent="0.25">
      <c r="A89" s="51" t="s">
        <v>1381</v>
      </c>
      <c r="B89" s="52" t="s">
        <v>4522</v>
      </c>
      <c r="C89" s="229">
        <f t="shared" si="109"/>
        <v>2</v>
      </c>
      <c r="D89" s="219" t="str">
        <f>_xlfn.XLOOKUP(A89,[1]SP500!$A$2:$A$502,[1]SP500!$D$2:$D$502,"N")</f>
        <v>Y</v>
      </c>
      <c r="E89" s="51" t="str">
        <f>IFERROR(_xlfn.XLOOKUP(A89,[1]SP500!$A$2:$A$655,[1]SP500!$B$2:$B$655),"")</f>
        <v>XLB</v>
      </c>
      <c r="F89" s="290">
        <v>45771</v>
      </c>
      <c r="G89" s="51" t="str">
        <f t="shared" si="110"/>
        <v>BMO</v>
      </c>
      <c r="H89" s="51" t="str">
        <f t="shared" si="111"/>
        <v>s</v>
      </c>
      <c r="I89" s="344">
        <v>35.19</v>
      </c>
      <c r="J89" s="124">
        <v>35.57</v>
      </c>
      <c r="K89" s="55">
        <f t="shared" si="112"/>
        <v>1.0798522307473787E-2</v>
      </c>
      <c r="L89" s="67">
        <f t="shared" si="113"/>
        <v>-9.5</v>
      </c>
      <c r="M89" s="57">
        <f t="shared" si="114"/>
        <v>3.25</v>
      </c>
      <c r="N89" s="155">
        <f t="shared" si="115"/>
        <v>-9.5</v>
      </c>
      <c r="O89" s="156">
        <f>IF(N89="",#N/A,SUM($N$4:N89))</f>
        <v>-323.98882652042732</v>
      </c>
      <c r="P89" s="65">
        <f t="shared" si="209"/>
        <v>-0.17997537179122858</v>
      </c>
      <c r="Q89" s="172">
        <f>IF($N89="",#N/A,SUM($P$4:P89))</f>
        <v>-2.1691025710409368</v>
      </c>
      <c r="R89" s="279">
        <f t="shared" si="116"/>
        <v>1.9253069437186987</v>
      </c>
      <c r="S89" s="51" t="str">
        <f t="shared" si="117"/>
        <v>Dwn</v>
      </c>
      <c r="T89" s="51" t="s">
        <v>4461</v>
      </c>
      <c r="U89" s="56">
        <f t="shared" si="118"/>
        <v>35.19</v>
      </c>
      <c r="V89" s="56" t="s">
        <v>4458</v>
      </c>
      <c r="W89" s="142">
        <v>25</v>
      </c>
      <c r="X89" s="145">
        <f t="shared" si="119"/>
        <v>879.75</v>
      </c>
      <c r="Y89" s="140">
        <f t="shared" si="120"/>
        <v>25</v>
      </c>
      <c r="Z89" s="123">
        <v>35.44</v>
      </c>
      <c r="AA89" s="102">
        <f t="shared" si="121"/>
        <v>-6.25</v>
      </c>
      <c r="AB89" s="102">
        <f t="shared" si="122"/>
        <v>-61.000000000000114</v>
      </c>
      <c r="AC89" s="123">
        <v>37.630000000000003</v>
      </c>
      <c r="AD89" s="155">
        <f t="shared" si="123"/>
        <v>-61.000000000000114</v>
      </c>
      <c r="AE89" s="545">
        <f t="shared" si="124"/>
        <v>-1.15563133465947</v>
      </c>
      <c r="AF89" s="57">
        <f>IF($AC89="",#N/A,SUM(AD$4:AD89))</f>
        <v>-582.20961897521727</v>
      </c>
      <c r="AG89" s="102">
        <f t="shared" si="125"/>
        <v>-51.500000000000114</v>
      </c>
      <c r="AH89" s="56" t="s">
        <v>2507</v>
      </c>
      <c r="AI89" s="65">
        <f t="shared" si="126"/>
        <v>-0.11840484986265039</v>
      </c>
      <c r="AJ89" s="54">
        <f>IF(AI89="",#N/A,SUM($AI$4:AI89))</f>
        <v>-4.0944095147596355</v>
      </c>
      <c r="AK89" s="57">
        <f t="shared" si="127"/>
        <v>-6.25</v>
      </c>
      <c r="AL89" s="58">
        <f>IF(AI89="",#N/A,IF(AH89="Skip",SUM($AK$4:AK89),SUM($AK$4:AK89)))</f>
        <v>-470.08769999999936</v>
      </c>
      <c r="AM89" s="65">
        <f t="shared" si="210"/>
        <v>-1.15563133465947</v>
      </c>
      <c r="AN89" s="209"/>
      <c r="AO89" s="65" t="str">
        <f t="shared" si="128"/>
        <v/>
      </c>
      <c r="AP89" s="65">
        <f>IF($AC89="",#N/A,SUM(AO$4:AO89))</f>
        <v>2.5848114862701421</v>
      </c>
      <c r="AQ89" s="65" t="str">
        <f t="shared" si="129"/>
        <v/>
      </c>
      <c r="AR89" s="65">
        <f>IF($AC89="",#N/A,SUM(AQ$4:AQ89))</f>
        <v>-1.0879870612894522</v>
      </c>
      <c r="AS89" s="65">
        <f t="shared" si="130"/>
        <v>-1.15563133465947</v>
      </c>
      <c r="AT89" s="65">
        <f>IF($AC89="",#N/A,SUM(AS$4:AS89))</f>
        <v>-8.9114682578018058</v>
      </c>
      <c r="AU89" s="57" t="str">
        <f t="shared" si="211"/>
        <v/>
      </c>
      <c r="AV89" s="57">
        <f>IF($AC89="",#N/A,SUM(AU$4:AU89))</f>
        <v>75.742552647784692</v>
      </c>
      <c r="AW89" s="57" t="str">
        <f t="shared" si="212"/>
        <v/>
      </c>
      <c r="AX89" s="57">
        <f>IF($AC89="",#N/A,SUM(AW$4:AW89))</f>
        <v>-66.900000000000205</v>
      </c>
      <c r="AY89" s="56">
        <f t="shared" si="213"/>
        <v>-61.000000000000114</v>
      </c>
      <c r="AZ89" s="57">
        <f>IF($AC89="",#N/A,SUM(AY$4:AY89))</f>
        <v>-591.05217162300175</v>
      </c>
      <c r="BA89" s="57">
        <f>IF(AD89="",#N/A,SUM($AD$4:AD89))</f>
        <v>-582.20961897521727</v>
      </c>
      <c r="BC89" s="51" t="str">
        <f t="shared" si="131"/>
        <v/>
      </c>
      <c r="BD89" s="51">
        <f t="shared" si="132"/>
        <v>1</v>
      </c>
      <c r="BE89" s="51" t="str">
        <f t="shared" si="133"/>
        <v/>
      </c>
      <c r="BF89" s="51" t="str">
        <f t="shared" si="134"/>
        <v>Short</v>
      </c>
      <c r="BG89" s="51" t="str">
        <f t="shared" si="135"/>
        <v/>
      </c>
      <c r="BH89" s="51" t="str">
        <f t="shared" si="136"/>
        <v/>
      </c>
      <c r="BI89" s="51" t="str">
        <f t="shared" si="137"/>
        <v/>
      </c>
      <c r="BK89" s="65">
        <f t="shared" si="108"/>
        <v>3.6415952824454353E-2</v>
      </c>
      <c r="BL89" s="65">
        <f t="shared" si="107"/>
        <v>5.1525937367425542E-2</v>
      </c>
      <c r="BM89" s="65">
        <f>IFERROR(Q89/COUNTA($J$4:J89),#N/A)</f>
        <v>-2.5222122919080662E-2</v>
      </c>
      <c r="BO89" s="489" t="e">
        <f>IF(J89="",#N/A,IF(S89="SW",(COUNTIFS(K$4:$K89,"&gt;0",S$4:$S89,"SW")/COUNTIF(S$4:$S89,"SW")),#N/A))</f>
        <v>#N/A</v>
      </c>
      <c r="BP89" s="489">
        <f>IF($J89="",#N/A,IF($S89="DWN",(COUNTIFS($K$4:$K89,"&lt;0",$S$4:$S89,"DWN")/COUNTIF($S$4:$S89,"DWN")),#N/A))</f>
        <v>0.45161290322580644</v>
      </c>
      <c r="BQ89" s="489" t="e">
        <f>IF($J89="",#N/A,IF($S89="UP",(COUNTIFS($K$4:$K89,"&gt;0",$S$4:$S89,"UP")/COUNTIF($S$4:$S89,"UP")),#N/A))</f>
        <v>#N/A</v>
      </c>
      <c r="BR89" s="489">
        <f>IF(J89="",#N/A,COUNTIF($K$4:K89,"&gt;0")/COUNT($J$4:J89))</f>
        <v>0.53488372093023251</v>
      </c>
      <c r="BS89" s="65" t="str">
        <f t="shared" si="138"/>
        <v/>
      </c>
      <c r="BT89" s="65" t="str">
        <f t="shared" si="139"/>
        <v/>
      </c>
      <c r="BU89" s="65" t="str">
        <f t="shared" si="140"/>
        <v/>
      </c>
      <c r="BV89" s="65">
        <f t="shared" si="141"/>
        <v>-0.17997537179122858</v>
      </c>
      <c r="BW89" s="151" t="str">
        <f t="shared" si="142"/>
        <v/>
      </c>
      <c r="BX89" s="151">
        <f>IF($J89="",#N/A,SUM($BW$4:BW89))</f>
        <v>-91.165000000000305</v>
      </c>
      <c r="BY89" s="152">
        <f t="shared" si="143"/>
        <v>-9.5</v>
      </c>
      <c r="BZ89" s="152">
        <f>IF($J89="",#N/A,SUM($BY$4:BY89))</f>
        <v>-290.25385042154767</v>
      </c>
      <c r="CA89" s="153" t="str">
        <f t="shared" si="144"/>
        <v/>
      </c>
      <c r="CB89" s="154">
        <f>IF($J89="",#N/A,SUM($CA$4:CA89))</f>
        <v>57.430023901120649</v>
      </c>
      <c r="CC89" s="191" t="str">
        <f t="shared" si="145"/>
        <v/>
      </c>
      <c r="CD89" s="191">
        <f>IF($J89="",#N/A,SUM($CC$4:CC89))</f>
        <v>-1.4632631312024809</v>
      </c>
      <c r="CE89" s="192">
        <f t="shared" si="146"/>
        <v>-0.17997537179122858</v>
      </c>
      <c r="CF89" s="192">
        <f>IF($J89="",#N/A,SUM($CE$4:CE89))</f>
        <v>-3.9962227180033323</v>
      </c>
      <c r="CG89" s="193" t="str">
        <f t="shared" si="147"/>
        <v/>
      </c>
      <c r="CH89" s="193">
        <f>IF($J89="",#N/A,SUM($CG$4:CG89))</f>
        <v>3.2903832781648799</v>
      </c>
      <c r="CI89" s="200" t="str">
        <f t="shared" si="148"/>
        <v/>
      </c>
      <c r="CJ89" s="200">
        <f>IF($J89="",#N/A,SUM(CI$4:CI89))</f>
        <v>0</v>
      </c>
      <c r="CK89" s="201" t="str">
        <f t="shared" si="149"/>
        <v/>
      </c>
      <c r="CL89" s="201">
        <f>IF($J89="",#N/A,SUM(CK$4:CK89))</f>
        <v>1.8934431343190481</v>
      </c>
      <c r="CM89" s="202" t="str">
        <f t="shared" si="150"/>
        <v/>
      </c>
      <c r="CN89" s="202">
        <f>IF($J89="",#N/A,SUM(CM$4:CM89))</f>
        <v>2.5724959960693745</v>
      </c>
      <c r="CO89" s="202">
        <f>IF($J89="",#N/A,SUM(CM$4:CM89,CK$4:CK89,CI$4:CI89))</f>
        <v>4.4659391303884224</v>
      </c>
      <c r="CP89" s="200" t="str">
        <f t="shared" si="151"/>
        <v/>
      </c>
      <c r="CQ89" s="200">
        <f>IF($J89="",#N/A,SUM(CP$4:CP89))</f>
        <v>0</v>
      </c>
      <c r="CR89" s="201" t="str">
        <f t="shared" si="152"/>
        <v/>
      </c>
      <c r="CS89" s="201">
        <f>IF($J89="",#N/A,SUM(CR$4:CR89))</f>
        <v>0</v>
      </c>
      <c r="CT89" s="202" t="str">
        <f t="shared" si="153"/>
        <v/>
      </c>
      <c r="CU89" s="202">
        <f>IF($J89="",#N/A,SUM(CT$4:CT89))</f>
        <v>0</v>
      </c>
      <c r="CV89" s="202">
        <f>IF($J89="",#N/A,SUM(CT$4:CT89,CR$4:CR89,CP$4:CP89))</f>
        <v>0</v>
      </c>
      <c r="CW89" s="200" t="str">
        <f t="shared" si="154"/>
        <v/>
      </c>
      <c r="CX89" s="200">
        <f>IF($J89="",#N/A,SUM(CW$4:CW89))</f>
        <v>0</v>
      </c>
      <c r="CY89" s="201" t="str">
        <f t="shared" si="155"/>
        <v/>
      </c>
      <c r="CZ89" s="201">
        <f>IF($J89="",#N/A,SUM(CY$4:CY89))</f>
        <v>-0.67634330666682074</v>
      </c>
      <c r="DA89" s="202" t="str">
        <f t="shared" si="156"/>
        <v/>
      </c>
      <c r="DB89" s="202">
        <f>IF($J89="",#N/A,SUM(DA$4:DA89))</f>
        <v>1.3333187169494678</v>
      </c>
      <c r="DC89" s="202">
        <f>IF($J89="",#N/A,SUM(DA$4:DA89,CY$4:CY89,CW$4:CW89))</f>
        <v>0.65697541028264705</v>
      </c>
      <c r="DD89" s="200" t="str">
        <f t="shared" si="157"/>
        <v/>
      </c>
      <c r="DE89" s="200">
        <f>IF($J89="",#N/A,SUM(DD$4:DD89))</f>
        <v>0.4905246481018824</v>
      </c>
      <c r="DF89" s="201" t="str">
        <f t="shared" si="158"/>
        <v/>
      </c>
      <c r="DG89" s="201">
        <f>IF($J89="",#N/A,SUM(DF$4:DF89))</f>
        <v>0.6788440567066546</v>
      </c>
      <c r="DH89" s="202" t="str">
        <f t="shared" si="159"/>
        <v/>
      </c>
      <c r="DI89" s="202">
        <f>IF($J89="",#N/A,SUM(DH$4:DH89))</f>
        <v>-0.83172699364602887</v>
      </c>
      <c r="DJ89" s="202">
        <f>IF($J89="",#N/A,SUM(DH$4:DH89,DF$4:DF89,DD$4:DD89))</f>
        <v>0.33764171116250813</v>
      </c>
      <c r="DK89" s="200" t="str">
        <f t="shared" si="160"/>
        <v/>
      </c>
      <c r="DL89" s="200">
        <f>IF($J89="",#N/A,SUM(DK$4:DK89))</f>
        <v>0</v>
      </c>
      <c r="DM89" s="201" t="str">
        <f t="shared" si="161"/>
        <v/>
      </c>
      <c r="DN89" s="201">
        <f>IF($J89="",#N/A,SUM(DM$4:DM89))</f>
        <v>0.36227168206863897</v>
      </c>
      <c r="DO89" s="202" t="str">
        <f t="shared" si="162"/>
        <v/>
      </c>
      <c r="DP89" s="202">
        <f>IF($J89="",#N/A,SUM(DO$4:DO89))</f>
        <v>-0.43291760746858676</v>
      </c>
      <c r="DQ89" s="202">
        <f>IF($J89="",#N/A,SUM(DO$4:DO89,DM$4:DM89,DK$4:DK89))</f>
        <v>-7.0645925399947795E-2</v>
      </c>
      <c r="DR89" s="200" t="str">
        <f t="shared" si="163"/>
        <v/>
      </c>
      <c r="DS89" s="200">
        <f>IF($J89="",#N/A,SUM(DR$4:DR89))</f>
        <v>-0.55950946427675097</v>
      </c>
      <c r="DT89" s="201" t="str">
        <f t="shared" si="164"/>
        <v/>
      </c>
      <c r="DU89" s="201">
        <f>IF($J89="",#N/A,SUM(DT$4:DT89))</f>
        <v>-2.8875364672150718</v>
      </c>
      <c r="DV89" s="202" t="str">
        <f t="shared" si="165"/>
        <v/>
      </c>
      <c r="DW89" s="202">
        <f>IF($J89="",#N/A,SUM(DV$4:DV89))</f>
        <v>-2.3640103614379946</v>
      </c>
      <c r="DX89" s="202">
        <f>IF($J89="",#N/A,SUM(DV$4:DV89,DT$4:DT89,DR$4:DR89))</f>
        <v>-5.8110562929298162</v>
      </c>
      <c r="DY89" s="200" t="str">
        <f t="shared" si="166"/>
        <v/>
      </c>
      <c r="DZ89" s="200">
        <f>IF($J89="",#N/A,SUM(DY$4:DY89))</f>
        <v>-1.4611133068588897</v>
      </c>
      <c r="EA89" s="201" t="str">
        <f t="shared" si="167"/>
        <v/>
      </c>
      <c r="EB89" s="201">
        <f>IF($J89="",#N/A,SUM(EA$4:EA89))</f>
        <v>-1.2459555278526064</v>
      </c>
      <c r="EC89" s="202" t="str">
        <f t="shared" si="168"/>
        <v/>
      </c>
      <c r="ED89" s="202">
        <f>IF($J89="",#N/A,SUM(EC$4:EC89))</f>
        <v>2.3678422306140781</v>
      </c>
      <c r="EE89" s="202">
        <f>IF($J89="",#N/A,SUM(EC$4:EC89,EA$4:EA89,DY$4:DY89))</f>
        <v>-0.33922660409741812</v>
      </c>
      <c r="EF89" s="200" t="str">
        <f t="shared" si="169"/>
        <v/>
      </c>
      <c r="EG89" s="200">
        <f>IF($J89="",#N/A,SUM(EF$4:EF89))</f>
        <v>0</v>
      </c>
      <c r="EH89" s="201" t="str">
        <f t="shared" si="170"/>
        <v/>
      </c>
      <c r="EI89" s="201">
        <f>IF($J89="",#N/A,SUM(EH$4:EH89))</f>
        <v>-2.9174018315702313</v>
      </c>
      <c r="EJ89" s="202" t="str">
        <f t="shared" si="171"/>
        <v/>
      </c>
      <c r="EK89" s="202">
        <f>IF($J89="",#N/A,SUM(EJ$4:EJ89))</f>
        <v>2.2116398676705207</v>
      </c>
      <c r="EL89" s="202">
        <f>IF($J89="",#N/A,SUM(EJ$4:EJ89,EH$4:EH89,EF$4:EF89))</f>
        <v>-0.70576196389971035</v>
      </c>
      <c r="EM89" s="200" t="str">
        <f t="shared" si="172"/>
        <v/>
      </c>
      <c r="EN89" s="200">
        <f>IF($J89="",#N/A,SUM(EM$4:EM89))</f>
        <v>0</v>
      </c>
      <c r="EO89" s="201">
        <f t="shared" si="173"/>
        <v>-0.17997537179122858</v>
      </c>
      <c r="EP89" s="201">
        <f>IF($J89="",#N/A,SUM(EO$4:EO89))</f>
        <v>0.56381959923512304</v>
      </c>
      <c r="EQ89" s="202" t="str">
        <f t="shared" si="174"/>
        <v/>
      </c>
      <c r="ER89" s="202">
        <f>IF($J89="",#N/A,SUM(EQ$4:EQ89))</f>
        <v>0.4926597949853756</v>
      </c>
      <c r="ES89" s="202">
        <f>IF($J89="",#N/A,SUM(EQ$4:EQ89,EO$4:EO89,EM$4:EM89))</f>
        <v>1.0564793942204984</v>
      </c>
      <c r="ET89" s="200" t="str">
        <f t="shared" si="175"/>
        <v/>
      </c>
      <c r="EU89" s="200">
        <f>IF($J89="",#N/A,SUM(ET$4:ET89))</f>
        <v>0</v>
      </c>
      <c r="EV89" s="201" t="str">
        <f t="shared" si="176"/>
        <v/>
      </c>
      <c r="EW89" s="201">
        <f>IF($J89="",#N/A,SUM(EV$4:EV89))</f>
        <v>-0.73430241270792684</v>
      </c>
      <c r="EX89" s="202" t="str">
        <f t="shared" si="177"/>
        <v/>
      </c>
      <c r="EY89" s="202">
        <f>IF($J89="",#N/A,SUM(EX$4:EX89))</f>
        <v>1.367071968452185</v>
      </c>
      <c r="EZ89" s="202">
        <f>IF($J89="",#N/A,SUM(EX$4:EX89,EV$4:EV89,ET$4:ET89))</f>
        <v>0.63276955574425819</v>
      </c>
      <c r="FA89" s="200" t="str">
        <f t="shared" si="178"/>
        <v/>
      </c>
      <c r="FB89" s="200">
        <f>IF($J89="",#N/A,SUM(FA$4:FA89))</f>
        <v>0</v>
      </c>
      <c r="FC89" s="201" t="str">
        <f t="shared" si="179"/>
        <v/>
      </c>
      <c r="FD89" s="201">
        <f>IF($J89="",#N/A,SUM(FC$4:FC89))</f>
        <v>1.3724148418491529</v>
      </c>
      <c r="FE89" s="202" t="str">
        <f t="shared" si="180"/>
        <v/>
      </c>
      <c r="FF89" s="202">
        <f>IF($J89="",#N/A,SUM(FE$4:FE89))</f>
        <v>-0.28811149078748233</v>
      </c>
      <c r="FG89" s="202">
        <f>IF($J89="",#N/A,SUM(FE$4:FE89,FC$4:FC89,FA$4:FA89))</f>
        <v>1.0843033510616706</v>
      </c>
      <c r="FH89" s="200" t="str">
        <f t="shared" si="181"/>
        <v/>
      </c>
      <c r="FI89" s="200">
        <f>IF($J89="",#N/A,SUM(FH$4:FH89))</f>
        <v>0</v>
      </c>
      <c r="FJ89" s="201" t="str">
        <f t="shared" si="182"/>
        <v/>
      </c>
      <c r="FK89" s="201">
        <f>IF($J89="",#N/A,SUM(FJ$4:FJ89))</f>
        <v>0</v>
      </c>
      <c r="FL89" s="202" t="str">
        <f t="shared" si="183"/>
        <v/>
      </c>
      <c r="FM89" s="202">
        <f>IF($J89="",#N/A,SUM(FL$4:FL89))</f>
        <v>0</v>
      </c>
      <c r="FN89" s="202">
        <f>IF($J89="",#N/A,SUM(FL$4:FL89,FJ$4:FJ89,FH$4:FH89))</f>
        <v>0</v>
      </c>
      <c r="FO89" s="200" t="str">
        <f t="shared" si="184"/>
        <v/>
      </c>
      <c r="FP89" s="200">
        <f>IF($J89="",#N/A,SUM(FO$4:FO89))</f>
        <v>0</v>
      </c>
      <c r="FQ89" s="201" t="str">
        <f t="shared" si="185"/>
        <v/>
      </c>
      <c r="FR89" s="201">
        <f>IF($J89="",#N/A,SUM(FQ$4:FQ89))</f>
        <v>0</v>
      </c>
      <c r="FS89" s="202" t="str">
        <f t="shared" si="186"/>
        <v/>
      </c>
      <c r="FT89" s="202">
        <f>IF($J89="",#N/A,SUM(FS$4:FS89))</f>
        <v>0</v>
      </c>
      <c r="FU89" s="202">
        <f>IF($J89="",#N/A,SUM(FS$4:FS89,FQ$4:FQ89,FO$4:FO89))</f>
        <v>0</v>
      </c>
      <c r="FV89" s="200" t="str">
        <f t="shared" si="187"/>
        <v/>
      </c>
      <c r="FW89" s="200">
        <f>IF($J89="",#N/A,SUM(FV$4:FV89))</f>
        <v>6.6834991831277585E-2</v>
      </c>
      <c r="FX89" s="201" t="str">
        <f t="shared" si="188"/>
        <v/>
      </c>
      <c r="FY89" s="201">
        <f>IF($J89="",#N/A,SUM(FX$4:FX89))</f>
        <v>0</v>
      </c>
      <c r="FZ89" s="202" t="str">
        <f t="shared" si="189"/>
        <v/>
      </c>
      <c r="GA89" s="202">
        <f>IF($J89="",#N/A,SUM(FZ$4:FZ89))</f>
        <v>-0.20104261551371039</v>
      </c>
      <c r="GB89" s="202">
        <f>IF($J89="",#N/A,SUM(FZ$4:FZ89,FX$4:FX89,FV$4:FV89))</f>
        <v>-0.1342076236824328</v>
      </c>
      <c r="GC89" s="200" t="str">
        <f t="shared" si="190"/>
        <v/>
      </c>
      <c r="GD89" s="200">
        <f>IF($J89="",#N/A,SUM(GC$4:GC89))</f>
        <v>0</v>
      </c>
      <c r="GE89" s="201" t="str">
        <f t="shared" si="191"/>
        <v/>
      </c>
      <c r="GF89" s="201">
        <f>IF($J89="",#N/A,SUM(GE$4:GE89))</f>
        <v>0</v>
      </c>
      <c r="GG89" s="202" t="str">
        <f t="shared" si="192"/>
        <v/>
      </c>
      <c r="GH89" s="202">
        <f>IF($J89="",#N/A,SUM(GG$4:GG89))</f>
        <v>-2.9368362277223206</v>
      </c>
      <c r="GI89" s="202">
        <f>IF($J89="",#N/A,SUM(GG$4:GG89,GE$4:GE89,GC$4:GC89))</f>
        <v>-2.9368362277223206</v>
      </c>
      <c r="GJ89" s="200" t="str">
        <f t="shared" si="193"/>
        <v/>
      </c>
      <c r="GK89" s="200">
        <f>IF($J89="",#N/A,SUM(GJ$4:GJ89))</f>
        <v>0</v>
      </c>
      <c r="GL89" s="201" t="str">
        <f t="shared" si="194"/>
        <v/>
      </c>
      <c r="GM89" s="201">
        <f>IF($J89="",#N/A,SUM(GL$4:GL89))</f>
        <v>-0.4054764861692941</v>
      </c>
      <c r="GN89" s="202" t="str">
        <f t="shared" si="195"/>
        <v/>
      </c>
      <c r="GO89" s="202">
        <f>IF($J89="",#N/A,SUM(GN$4:GN89))</f>
        <v>0</v>
      </c>
      <c r="GP89" s="202">
        <f>IF($J89="",#N/A,SUM(GN$4:GN89,GL$4:GL89,GJ$4:GJ89))</f>
        <v>-0.4054764861692941</v>
      </c>
      <c r="GS89" s="54">
        <f t="shared" si="214"/>
        <v>-0.17997537179122858</v>
      </c>
      <c r="GT89" s="54">
        <f>IF(GS89="",NA(),SUM($GS$4:GS89))</f>
        <v>-2.3710913839682202</v>
      </c>
      <c r="GU89" s="54" t="str">
        <f t="shared" si="196"/>
        <v/>
      </c>
      <c r="GV89" s="54" t="e">
        <f>IF(GU89="",NA(),SUM($GU$4:GU89))</f>
        <v>#N/A</v>
      </c>
      <c r="GW89" s="54" t="str">
        <f t="shared" si="197"/>
        <v/>
      </c>
      <c r="GX89" s="54" t="e">
        <f>IF(GW89="",NA(),SUM($GW$4:GW89))</f>
        <v>#N/A</v>
      </c>
      <c r="GY89" s="54">
        <f t="shared" si="198"/>
        <v>-0.17997537179122858</v>
      </c>
      <c r="GZ89" s="54">
        <f>IF(GY89="",NA(),SUM($GY$4:GY89))</f>
        <v>-3.9962227180033323</v>
      </c>
      <c r="HA89" s="54" t="str">
        <f t="shared" si="199"/>
        <v/>
      </c>
      <c r="HB89" s="54" t="e">
        <f>IF(HA89="",NA(),SUM($HA$4:HA89))</f>
        <v>#N/A</v>
      </c>
      <c r="HC89" s="54" t="str">
        <f t="shared" si="200"/>
        <v/>
      </c>
      <c r="HD89" s="54" t="e">
        <f>IF(HC89="",NA(),SUM($HC$4:HC89))</f>
        <v>#N/A</v>
      </c>
      <c r="HE89" s="54" t="str">
        <f t="shared" si="201"/>
        <v/>
      </c>
      <c r="HF89" s="54" t="e">
        <f>IF(HE89="",NA(),SUM($HE$4:HE89))</f>
        <v>#N/A</v>
      </c>
      <c r="HG89" s="54" t="str">
        <f t="shared" si="202"/>
        <v/>
      </c>
      <c r="HH89" s="54" t="e">
        <f>IF(HG89="",NA(),SUM($HG$4:HG89))</f>
        <v>#N/A</v>
      </c>
      <c r="HI89" s="172" t="str">
        <f t="shared" si="215"/>
        <v/>
      </c>
      <c r="HJ89" s="172">
        <f>IF($J89="",#N/A,SUM(HI$4:$HI89))</f>
        <v>-0.83132705025154807</v>
      </c>
      <c r="HK89" s="54">
        <f t="shared" si="203"/>
        <v>-0.97565596286824141</v>
      </c>
      <c r="HL89" s="54">
        <f>IF($J89="",#N/A,SUM($HK$4:HK89))</f>
        <v>-4.0839184895469245</v>
      </c>
      <c r="HM89" s="54" t="str">
        <f t="shared" si="204"/>
        <v/>
      </c>
      <c r="HN89" s="54">
        <f>IF($J89="",#N/A,SUM($HM$4:HM89))</f>
        <v>0.72020221657224703</v>
      </c>
      <c r="HO89" s="54" t="str">
        <f t="shared" si="205"/>
        <v/>
      </c>
      <c r="HP89" s="54">
        <f>IF($J89="",#N/A,SUM($HO$4:HO89))</f>
        <v>-0.34492614665921834</v>
      </c>
      <c r="HQ89" s="54" t="str">
        <f t="shared" si="206"/>
        <v/>
      </c>
      <c r="HR89" s="54">
        <f>IF($J89="",#N/A,SUM($HQ$4:HQ89))</f>
        <v>-6.1746076181104117</v>
      </c>
      <c r="HS89" s="54" t="str">
        <f t="shared" si="207"/>
        <v/>
      </c>
      <c r="HT89" s="54">
        <f>IF($J89="",#N/A,SUM($HS$4:HS89))</f>
        <v>5.469035826215678</v>
      </c>
      <c r="HU89" s="65">
        <f t="shared" si="208"/>
        <v>-1.15563133465947</v>
      </c>
      <c r="HV89" s="65">
        <f>IF($J89="",#N/A,SUM(HU$4:$HU89))</f>
        <v>-7.4146438328211133</v>
      </c>
    </row>
    <row r="90" spans="1:230" x14ac:dyDescent="0.25">
      <c r="A90" s="51" t="s">
        <v>1276</v>
      </c>
      <c r="B90" s="52" t="s">
        <v>4522</v>
      </c>
      <c r="C90" s="229">
        <f t="shared" si="109"/>
        <v>3</v>
      </c>
      <c r="D90" s="219" t="str">
        <f>_xlfn.XLOOKUP(A90,[1]SP500!$A$2:$A$502,[1]SP500!$D$2:$D$502,"N")</f>
        <v>Y</v>
      </c>
      <c r="E90" s="51" t="str">
        <f>IFERROR(_xlfn.XLOOKUP(A90,[1]SP500!$A$2:$A$655,[1]SP500!$B$2:$B$655),"")</f>
        <v>XLP</v>
      </c>
      <c r="F90" s="290">
        <v>45771</v>
      </c>
      <c r="G90" s="51" t="str">
        <f t="shared" si="110"/>
        <v>BMO</v>
      </c>
      <c r="H90" s="51" t="str">
        <f t="shared" si="111"/>
        <v>s</v>
      </c>
      <c r="I90" s="344">
        <v>165.73</v>
      </c>
      <c r="J90" s="123">
        <v>160.5</v>
      </c>
      <c r="K90" s="55">
        <f t="shared" si="112"/>
        <v>-3.1557352320038555E-2</v>
      </c>
      <c r="L90" s="67">
        <f t="shared" si="113"/>
        <v>-26.149999999999977</v>
      </c>
      <c r="M90" s="57">
        <f t="shared" si="114"/>
        <v>1.3500000000000227</v>
      </c>
      <c r="N90" s="155">
        <f t="shared" si="115"/>
        <v>-26.149999999999977</v>
      </c>
      <c r="O90" s="156">
        <f>IF(N90="",#N/A,SUM($N$4:N90))</f>
        <v>-350.1388265204273</v>
      </c>
      <c r="P90" s="65">
        <f t="shared" si="209"/>
        <v>-0.5259558720006432</v>
      </c>
      <c r="Q90" s="172">
        <f>IF($N90="",#N/A,SUM($P$4:P90))</f>
        <v>-2.6950584430415798</v>
      </c>
      <c r="R90" s="279">
        <f t="shared" si="116"/>
        <v>1.8981543461201946</v>
      </c>
      <c r="S90" s="51" t="str">
        <f t="shared" si="117"/>
        <v>SW</v>
      </c>
      <c r="T90" s="51" t="s">
        <v>2828</v>
      </c>
      <c r="U90" s="56">
        <f t="shared" si="118"/>
        <v>165.73</v>
      </c>
      <c r="V90" s="56" t="s">
        <v>4460</v>
      </c>
      <c r="W90" s="142">
        <v>5</v>
      </c>
      <c r="X90" s="145">
        <f t="shared" si="119"/>
        <v>828.65</v>
      </c>
      <c r="Y90" s="140">
        <f t="shared" si="120"/>
        <v>5</v>
      </c>
      <c r="Z90" s="123">
        <v>160.77000000000001</v>
      </c>
      <c r="AA90" s="102">
        <f t="shared" si="121"/>
        <v>-24.799999999999955</v>
      </c>
      <c r="AB90" s="102">
        <f t="shared" si="122"/>
        <v>-31</v>
      </c>
      <c r="AC90" s="124">
        <v>159.53</v>
      </c>
      <c r="AD90" s="155">
        <f t="shared" si="123"/>
        <v>-31</v>
      </c>
      <c r="AE90" s="545">
        <f t="shared" si="124"/>
        <v>-0.62350409300267506</v>
      </c>
      <c r="AF90" s="57">
        <f>IF($AC90="",#N/A,SUM(AD$4:AD90))</f>
        <v>-613.20961897521727</v>
      </c>
      <c r="AG90" s="102">
        <f t="shared" si="125"/>
        <v>-4.8500000000000227</v>
      </c>
      <c r="AH90" s="56" t="s">
        <v>2507</v>
      </c>
      <c r="AI90" s="65">
        <f t="shared" si="126"/>
        <v>-0.49880327440213917</v>
      </c>
      <c r="AJ90" s="54">
        <f>IF(AI90="",#N/A,SUM($AI$4:AI90))</f>
        <v>-4.5932127891617744</v>
      </c>
      <c r="AK90" s="57">
        <f t="shared" si="127"/>
        <v>-24.799999999999955</v>
      </c>
      <c r="AL90" s="58">
        <f>IF(AI90="",#N/A,IF(AH90="Skip",SUM($AK$4:AK90),SUM($AK$4:AK90)))</f>
        <v>-494.88769999999931</v>
      </c>
      <c r="AM90" s="65">
        <f t="shared" si="210"/>
        <v>-0.62350409300267506</v>
      </c>
      <c r="AN90" s="210"/>
      <c r="AO90" s="65">
        <f t="shared" si="128"/>
        <v>-0.62350409300267506</v>
      </c>
      <c r="AP90" s="65">
        <f>IF($AC90="",#N/A,SUM(AO$4:AO90))</f>
        <v>1.9613073932674672</v>
      </c>
      <c r="AQ90" s="65" t="str">
        <f t="shared" si="129"/>
        <v/>
      </c>
      <c r="AR90" s="65">
        <f>IF($AC90="",#N/A,SUM(AQ$4:AQ90))</f>
        <v>-1.0879870612894522</v>
      </c>
      <c r="AS90" s="65" t="str">
        <f t="shared" si="130"/>
        <v/>
      </c>
      <c r="AT90" s="65">
        <f>IF($AC90="",#N/A,SUM(AS$4:AS90))</f>
        <v>-8.9114682578018058</v>
      </c>
      <c r="AU90" s="57">
        <f t="shared" si="211"/>
        <v>-31</v>
      </c>
      <c r="AV90" s="57">
        <f>IF($AC90="",#N/A,SUM(AU$4:AU90))</f>
        <v>44.742552647784692</v>
      </c>
      <c r="AW90" s="57" t="str">
        <f t="shared" si="212"/>
        <v/>
      </c>
      <c r="AX90" s="57">
        <f>IF($AC90="",#N/A,SUM(AW$4:AW90))</f>
        <v>-66.900000000000205</v>
      </c>
      <c r="AY90" s="56" t="str">
        <f t="shared" si="213"/>
        <v/>
      </c>
      <c r="AZ90" s="57">
        <f>IF($AC90="",#N/A,SUM(AY$4:AY90))</f>
        <v>-591.05217162300175</v>
      </c>
      <c r="BA90" s="57">
        <f>IF(AD90="",#N/A,SUM($AD$4:AD90))</f>
        <v>-613.20961897521727</v>
      </c>
      <c r="BC90" s="51" t="str">
        <f t="shared" si="131"/>
        <v/>
      </c>
      <c r="BD90" s="51" t="str">
        <f t="shared" si="132"/>
        <v/>
      </c>
      <c r="BE90" s="51" t="str">
        <f t="shared" si="133"/>
        <v/>
      </c>
      <c r="BF90" s="51" t="str">
        <f t="shared" si="134"/>
        <v>Long</v>
      </c>
      <c r="BG90" s="51" t="str">
        <f t="shared" si="135"/>
        <v/>
      </c>
      <c r="BH90" s="51" t="str">
        <f t="shared" si="136"/>
        <v/>
      </c>
      <c r="BI90" s="51">
        <f t="shared" si="137"/>
        <v>1</v>
      </c>
      <c r="BK90" s="65">
        <f t="shared" si="108"/>
        <v>2.1857059125895785E-2</v>
      </c>
      <c r="BL90" s="65">
        <f t="shared" si="107"/>
        <v>-7.3644109933386007E-2</v>
      </c>
      <c r="BM90" s="65">
        <f>IFERROR(Q90/COUNTA($J$4:J90),#N/A)</f>
        <v>-3.0977683253351491E-2</v>
      </c>
      <c r="BO90" s="489">
        <f>IF(J90="",#N/A,IF(S90="SW",(COUNTIFS(K$4:$K90,"&gt;0",S$4:$S90,"SW")/COUNTIF(S$4:$S90,"SW")),#N/A))</f>
        <v>0.51923076923076927</v>
      </c>
      <c r="BP90" s="489" t="e">
        <f>IF($J90="",#N/A,IF($S90="DWN",(COUNTIFS($K$4:$K90,"&lt;0",$S$4:$S90,"DWN")/COUNTIF($S$4:$S90,"DWN")),#N/A))</f>
        <v>#N/A</v>
      </c>
      <c r="BQ90" s="489" t="e">
        <f>IF($J90="",#N/A,IF($S90="UP",(COUNTIFS($K$4:$K90,"&gt;0",$S$4:$S90,"UP")/COUNTIF($S$4:$S90,"UP")),#N/A))</f>
        <v>#N/A</v>
      </c>
      <c r="BR90" s="489">
        <f>IF(J90="",#N/A,COUNTIF($K$4:K90,"&gt;0")/COUNT($J$4:J90))</f>
        <v>0.52873563218390807</v>
      </c>
      <c r="BS90" s="65" t="str">
        <f t="shared" si="138"/>
        <v/>
      </c>
      <c r="BT90" s="65">
        <f t="shared" si="139"/>
        <v>-0.5259558720006432</v>
      </c>
      <c r="BU90" s="65" t="str">
        <f t="shared" si="140"/>
        <v/>
      </c>
      <c r="BV90" s="65" t="str">
        <f t="shared" si="141"/>
        <v/>
      </c>
      <c r="BW90" s="151" t="str">
        <f t="shared" si="142"/>
        <v/>
      </c>
      <c r="BX90" s="151">
        <f>IF($J90="",#N/A,SUM($BW$4:BW90))</f>
        <v>-91.165000000000305</v>
      </c>
      <c r="BY90" s="152" t="str">
        <f t="shared" si="143"/>
        <v/>
      </c>
      <c r="BZ90" s="152">
        <f>IF($J90="",#N/A,SUM($BY$4:BY90))</f>
        <v>-290.25385042154767</v>
      </c>
      <c r="CA90" s="153">
        <f t="shared" si="144"/>
        <v>-26.149999999999977</v>
      </c>
      <c r="CB90" s="154">
        <f>IF($J90="",#N/A,SUM($CA$4:CA90))</f>
        <v>31.280023901120671</v>
      </c>
      <c r="CC90" s="191" t="str">
        <f t="shared" si="145"/>
        <v/>
      </c>
      <c r="CD90" s="191">
        <f>IF($J90="",#N/A,SUM($CC$4:CC90))</f>
        <v>-1.4632631312024809</v>
      </c>
      <c r="CE90" s="192" t="str">
        <f t="shared" si="146"/>
        <v/>
      </c>
      <c r="CF90" s="192">
        <f>IF($J90="",#N/A,SUM($CE$4:CE90))</f>
        <v>-3.9962227180033323</v>
      </c>
      <c r="CG90" s="193">
        <f t="shared" si="147"/>
        <v>-0.5259558720006432</v>
      </c>
      <c r="CH90" s="193">
        <f>IF($J90="",#N/A,SUM($CG$4:CG90))</f>
        <v>2.7644274061642369</v>
      </c>
      <c r="CI90" s="200" t="str">
        <f t="shared" si="148"/>
        <v/>
      </c>
      <c r="CJ90" s="200">
        <f>IF($J90="",#N/A,SUM(CI$4:CI90))</f>
        <v>0</v>
      </c>
      <c r="CK90" s="201" t="str">
        <f t="shared" si="149"/>
        <v/>
      </c>
      <c r="CL90" s="201">
        <f>IF($J90="",#N/A,SUM(CK$4:CK90))</f>
        <v>1.8934431343190481</v>
      </c>
      <c r="CM90" s="202" t="str">
        <f t="shared" si="150"/>
        <v/>
      </c>
      <c r="CN90" s="202">
        <f>IF($J90="",#N/A,SUM(CM$4:CM90))</f>
        <v>2.5724959960693745</v>
      </c>
      <c r="CO90" s="202">
        <f>IF($J90="",#N/A,SUM(CM$4:CM90,CK$4:CK90,CI$4:CI90))</f>
        <v>4.4659391303884224</v>
      </c>
      <c r="CP90" s="200" t="str">
        <f t="shared" si="151"/>
        <v/>
      </c>
      <c r="CQ90" s="200">
        <f>IF($J90="",#N/A,SUM(CP$4:CP90))</f>
        <v>0</v>
      </c>
      <c r="CR90" s="201" t="str">
        <f t="shared" si="152"/>
        <v/>
      </c>
      <c r="CS90" s="201">
        <f>IF($J90="",#N/A,SUM(CR$4:CR90))</f>
        <v>0</v>
      </c>
      <c r="CT90" s="202" t="str">
        <f t="shared" si="153"/>
        <v/>
      </c>
      <c r="CU90" s="202">
        <f>IF($J90="",#N/A,SUM(CT$4:CT90))</f>
        <v>0</v>
      </c>
      <c r="CV90" s="202">
        <f>IF($J90="",#N/A,SUM(CT$4:CT90,CR$4:CR90,CP$4:CP90))</f>
        <v>0</v>
      </c>
      <c r="CW90" s="200" t="str">
        <f t="shared" si="154"/>
        <v/>
      </c>
      <c r="CX90" s="200">
        <f>IF($J90="",#N/A,SUM(CW$4:CW90))</f>
        <v>0</v>
      </c>
      <c r="CY90" s="201" t="str">
        <f t="shared" si="155"/>
        <v/>
      </c>
      <c r="CZ90" s="201">
        <f>IF($J90="",#N/A,SUM(CY$4:CY90))</f>
        <v>-0.67634330666682074</v>
      </c>
      <c r="DA90" s="202" t="str">
        <f t="shared" si="156"/>
        <v/>
      </c>
      <c r="DB90" s="202">
        <f>IF($J90="",#N/A,SUM(DA$4:DA90))</f>
        <v>1.3333187169494678</v>
      </c>
      <c r="DC90" s="202">
        <f>IF($J90="",#N/A,SUM(DA$4:DA90,CY$4:CY90,CW$4:CW90))</f>
        <v>0.65697541028264705</v>
      </c>
      <c r="DD90" s="200" t="str">
        <f t="shared" si="157"/>
        <v/>
      </c>
      <c r="DE90" s="200">
        <f>IF($J90="",#N/A,SUM(DD$4:DD90))</f>
        <v>0.4905246481018824</v>
      </c>
      <c r="DF90" s="201" t="str">
        <f t="shared" si="158"/>
        <v/>
      </c>
      <c r="DG90" s="201">
        <f>IF($J90="",#N/A,SUM(DF$4:DF90))</f>
        <v>0.6788440567066546</v>
      </c>
      <c r="DH90" s="202">
        <f t="shared" si="159"/>
        <v>-0.5259558720006432</v>
      </c>
      <c r="DI90" s="202">
        <f>IF($J90="",#N/A,SUM(DH$4:DH90))</f>
        <v>-1.3576828656466722</v>
      </c>
      <c r="DJ90" s="202">
        <f>IF($J90="",#N/A,SUM(DH$4:DH90,DF$4:DF90,DD$4:DD90))</f>
        <v>-0.18831416083813518</v>
      </c>
      <c r="DK90" s="200" t="str">
        <f t="shared" si="160"/>
        <v/>
      </c>
      <c r="DL90" s="200">
        <f>IF($J90="",#N/A,SUM(DK$4:DK90))</f>
        <v>0</v>
      </c>
      <c r="DM90" s="201" t="str">
        <f t="shared" si="161"/>
        <v/>
      </c>
      <c r="DN90" s="201">
        <f>IF($J90="",#N/A,SUM(DM$4:DM90))</f>
        <v>0.36227168206863897</v>
      </c>
      <c r="DO90" s="202" t="str">
        <f t="shared" si="162"/>
        <v/>
      </c>
      <c r="DP90" s="202">
        <f>IF($J90="",#N/A,SUM(DO$4:DO90))</f>
        <v>-0.43291760746858676</v>
      </c>
      <c r="DQ90" s="202">
        <f>IF($J90="",#N/A,SUM(DO$4:DO90,DM$4:DM90,DK$4:DK90))</f>
        <v>-7.0645925399947795E-2</v>
      </c>
      <c r="DR90" s="200" t="str">
        <f t="shared" si="163"/>
        <v/>
      </c>
      <c r="DS90" s="200">
        <f>IF($J90="",#N/A,SUM(DR$4:DR90))</f>
        <v>-0.55950946427675097</v>
      </c>
      <c r="DT90" s="201" t="str">
        <f t="shared" si="164"/>
        <v/>
      </c>
      <c r="DU90" s="201">
        <f>IF($J90="",#N/A,SUM(DT$4:DT90))</f>
        <v>-2.8875364672150718</v>
      </c>
      <c r="DV90" s="202" t="str">
        <f t="shared" si="165"/>
        <v/>
      </c>
      <c r="DW90" s="202">
        <f>IF($J90="",#N/A,SUM(DV$4:DV90))</f>
        <v>-2.3640103614379946</v>
      </c>
      <c r="DX90" s="202">
        <f>IF($J90="",#N/A,SUM(DV$4:DV90,DT$4:DT90,DR$4:DR90))</f>
        <v>-5.8110562929298162</v>
      </c>
      <c r="DY90" s="200" t="str">
        <f t="shared" si="166"/>
        <v/>
      </c>
      <c r="DZ90" s="200">
        <f>IF($J90="",#N/A,SUM(DY$4:DY90))</f>
        <v>-1.4611133068588897</v>
      </c>
      <c r="EA90" s="201" t="str">
        <f t="shared" si="167"/>
        <v/>
      </c>
      <c r="EB90" s="201">
        <f>IF($J90="",#N/A,SUM(EA$4:EA90))</f>
        <v>-1.2459555278526064</v>
      </c>
      <c r="EC90" s="202" t="str">
        <f t="shared" si="168"/>
        <v/>
      </c>
      <c r="ED90" s="202">
        <f>IF($J90="",#N/A,SUM(EC$4:EC90))</f>
        <v>2.3678422306140781</v>
      </c>
      <c r="EE90" s="202">
        <f>IF($J90="",#N/A,SUM(EC$4:EC90,EA$4:EA90,DY$4:DY90))</f>
        <v>-0.33922660409741812</v>
      </c>
      <c r="EF90" s="200" t="str">
        <f t="shared" si="169"/>
        <v/>
      </c>
      <c r="EG90" s="200">
        <f>IF($J90="",#N/A,SUM(EF$4:EF90))</f>
        <v>0</v>
      </c>
      <c r="EH90" s="201" t="str">
        <f t="shared" si="170"/>
        <v/>
      </c>
      <c r="EI90" s="201">
        <f>IF($J90="",#N/A,SUM(EH$4:EH90))</f>
        <v>-2.9174018315702313</v>
      </c>
      <c r="EJ90" s="202" t="str">
        <f t="shared" si="171"/>
        <v/>
      </c>
      <c r="EK90" s="202">
        <f>IF($J90="",#N/A,SUM(EJ$4:EJ90))</f>
        <v>2.2116398676705207</v>
      </c>
      <c r="EL90" s="202">
        <f>IF($J90="",#N/A,SUM(EJ$4:EJ90,EH$4:EH90,EF$4:EF90))</f>
        <v>-0.70576196389971035</v>
      </c>
      <c r="EM90" s="200" t="str">
        <f t="shared" si="172"/>
        <v/>
      </c>
      <c r="EN90" s="200">
        <f>IF($J90="",#N/A,SUM(EM$4:EM90))</f>
        <v>0</v>
      </c>
      <c r="EO90" s="201" t="str">
        <f t="shared" si="173"/>
        <v/>
      </c>
      <c r="EP90" s="201">
        <f>IF($J90="",#N/A,SUM(EO$4:EO90))</f>
        <v>0.56381959923512304</v>
      </c>
      <c r="EQ90" s="202" t="str">
        <f t="shared" si="174"/>
        <v/>
      </c>
      <c r="ER90" s="202">
        <f>IF($J90="",#N/A,SUM(EQ$4:EQ90))</f>
        <v>0.4926597949853756</v>
      </c>
      <c r="ES90" s="202">
        <f>IF($J90="",#N/A,SUM(EQ$4:EQ90,EO$4:EO90,EM$4:EM90))</f>
        <v>1.0564793942204984</v>
      </c>
      <c r="ET90" s="200" t="str">
        <f t="shared" si="175"/>
        <v/>
      </c>
      <c r="EU90" s="200">
        <f>IF($J90="",#N/A,SUM(ET$4:ET90))</f>
        <v>0</v>
      </c>
      <c r="EV90" s="201" t="str">
        <f t="shared" si="176"/>
        <v/>
      </c>
      <c r="EW90" s="201">
        <f>IF($J90="",#N/A,SUM(EV$4:EV90))</f>
        <v>-0.73430241270792684</v>
      </c>
      <c r="EX90" s="202" t="str">
        <f t="shared" si="177"/>
        <v/>
      </c>
      <c r="EY90" s="202">
        <f>IF($J90="",#N/A,SUM(EX$4:EX90))</f>
        <v>1.367071968452185</v>
      </c>
      <c r="EZ90" s="202">
        <f>IF($J90="",#N/A,SUM(EX$4:EX90,EV$4:EV90,ET$4:ET90))</f>
        <v>0.63276955574425819</v>
      </c>
      <c r="FA90" s="200" t="str">
        <f t="shared" si="178"/>
        <v/>
      </c>
      <c r="FB90" s="200">
        <f>IF($J90="",#N/A,SUM(FA$4:FA90))</f>
        <v>0</v>
      </c>
      <c r="FC90" s="201" t="str">
        <f t="shared" si="179"/>
        <v/>
      </c>
      <c r="FD90" s="201">
        <f>IF($J90="",#N/A,SUM(FC$4:FC90))</f>
        <v>1.3724148418491529</v>
      </c>
      <c r="FE90" s="202" t="str">
        <f t="shared" si="180"/>
        <v/>
      </c>
      <c r="FF90" s="202">
        <f>IF($J90="",#N/A,SUM(FE$4:FE90))</f>
        <v>-0.28811149078748233</v>
      </c>
      <c r="FG90" s="202">
        <f>IF($J90="",#N/A,SUM(FE$4:FE90,FC$4:FC90,FA$4:FA90))</f>
        <v>1.0843033510616706</v>
      </c>
      <c r="FH90" s="200" t="str">
        <f t="shared" si="181"/>
        <v/>
      </c>
      <c r="FI90" s="200">
        <f>IF($J90="",#N/A,SUM(FH$4:FH90))</f>
        <v>0</v>
      </c>
      <c r="FJ90" s="201" t="str">
        <f t="shared" si="182"/>
        <v/>
      </c>
      <c r="FK90" s="201">
        <f>IF($J90="",#N/A,SUM(FJ$4:FJ90))</f>
        <v>0</v>
      </c>
      <c r="FL90" s="202" t="str">
        <f t="shared" si="183"/>
        <v/>
      </c>
      <c r="FM90" s="202">
        <f>IF($J90="",#N/A,SUM(FL$4:FL90))</f>
        <v>0</v>
      </c>
      <c r="FN90" s="202">
        <f>IF($J90="",#N/A,SUM(FL$4:FL90,FJ$4:FJ90,FH$4:FH90))</f>
        <v>0</v>
      </c>
      <c r="FO90" s="200" t="str">
        <f t="shared" si="184"/>
        <v/>
      </c>
      <c r="FP90" s="200">
        <f>IF($J90="",#N/A,SUM(FO$4:FO90))</f>
        <v>0</v>
      </c>
      <c r="FQ90" s="201" t="str">
        <f t="shared" si="185"/>
        <v/>
      </c>
      <c r="FR90" s="201">
        <f>IF($J90="",#N/A,SUM(FQ$4:FQ90))</f>
        <v>0</v>
      </c>
      <c r="FS90" s="202" t="str">
        <f t="shared" si="186"/>
        <v/>
      </c>
      <c r="FT90" s="202">
        <f>IF($J90="",#N/A,SUM(FS$4:FS90))</f>
        <v>0</v>
      </c>
      <c r="FU90" s="202">
        <f>IF($J90="",#N/A,SUM(FS$4:FS90,FQ$4:FQ90,FO$4:FO90))</f>
        <v>0</v>
      </c>
      <c r="FV90" s="200" t="str">
        <f t="shared" si="187"/>
        <v/>
      </c>
      <c r="FW90" s="200">
        <f>IF($J90="",#N/A,SUM(FV$4:FV90))</f>
        <v>6.6834991831277585E-2</v>
      </c>
      <c r="FX90" s="201" t="str">
        <f t="shared" si="188"/>
        <v/>
      </c>
      <c r="FY90" s="201">
        <f>IF($J90="",#N/A,SUM(FX$4:FX90))</f>
        <v>0</v>
      </c>
      <c r="FZ90" s="202" t="str">
        <f t="shared" si="189"/>
        <v/>
      </c>
      <c r="GA90" s="202">
        <f>IF($J90="",#N/A,SUM(FZ$4:FZ90))</f>
        <v>-0.20104261551371039</v>
      </c>
      <c r="GB90" s="202">
        <f>IF($J90="",#N/A,SUM(FZ$4:FZ90,FX$4:FX90,FV$4:FV90))</f>
        <v>-0.1342076236824328</v>
      </c>
      <c r="GC90" s="200" t="str">
        <f t="shared" si="190"/>
        <v/>
      </c>
      <c r="GD90" s="200">
        <f>IF($J90="",#N/A,SUM(GC$4:GC90))</f>
        <v>0</v>
      </c>
      <c r="GE90" s="201" t="str">
        <f t="shared" si="191"/>
        <v/>
      </c>
      <c r="GF90" s="201">
        <f>IF($J90="",#N/A,SUM(GE$4:GE90))</f>
        <v>0</v>
      </c>
      <c r="GG90" s="202" t="str">
        <f t="shared" si="192"/>
        <v/>
      </c>
      <c r="GH90" s="202">
        <f>IF($J90="",#N/A,SUM(GG$4:GG90))</f>
        <v>-2.9368362277223206</v>
      </c>
      <c r="GI90" s="202">
        <f>IF($J90="",#N/A,SUM(GG$4:GG90,GE$4:GE90,GC$4:GC90))</f>
        <v>-2.9368362277223206</v>
      </c>
      <c r="GJ90" s="200" t="str">
        <f t="shared" si="193"/>
        <v/>
      </c>
      <c r="GK90" s="200">
        <f>IF($J90="",#N/A,SUM(GJ$4:GJ90))</f>
        <v>0</v>
      </c>
      <c r="GL90" s="201" t="str">
        <f t="shared" si="194"/>
        <v/>
      </c>
      <c r="GM90" s="201">
        <f>IF($J90="",#N/A,SUM(GL$4:GL90))</f>
        <v>-0.4054764861692941</v>
      </c>
      <c r="GN90" s="202" t="str">
        <f t="shared" si="195"/>
        <v/>
      </c>
      <c r="GO90" s="202">
        <f>IF($J90="",#N/A,SUM(GN$4:GN90))</f>
        <v>0</v>
      </c>
      <c r="GP90" s="202">
        <f>IF($J90="",#N/A,SUM(GN$4:GN90,GL$4:GL90,GJ$4:GJ90))</f>
        <v>-0.4054764861692941</v>
      </c>
      <c r="GS90" s="54">
        <f t="shared" si="214"/>
        <v>-0.5259558720006432</v>
      </c>
      <c r="GT90" s="54">
        <f>IF(GS90="",NA(),SUM($GS$4:GS90))</f>
        <v>-2.8970472559688636</v>
      </c>
      <c r="GU90" s="54" t="str">
        <f t="shared" si="196"/>
        <v/>
      </c>
      <c r="GV90" s="54" t="e">
        <f>IF(GU90="",NA(),SUM($GU$4:GU90))</f>
        <v>#N/A</v>
      </c>
      <c r="GW90" s="54">
        <f t="shared" si="197"/>
        <v>-0.5259558720006432</v>
      </c>
      <c r="GX90" s="54">
        <f>IF(GW90="",NA(),SUM($GW$4:GW90))</f>
        <v>2.5624385932369513</v>
      </c>
      <c r="GY90" s="54" t="str">
        <f t="shared" si="198"/>
        <v/>
      </c>
      <c r="GZ90" s="54" t="e">
        <f>IF(GY90="",NA(),SUM($GY$4:GY90))</f>
        <v>#N/A</v>
      </c>
      <c r="HA90" s="54" t="str">
        <f t="shared" si="199"/>
        <v/>
      </c>
      <c r="HB90" s="54" t="e">
        <f>IF(HA90="",NA(),SUM($HA$4:HA90))</f>
        <v>#N/A</v>
      </c>
      <c r="HC90" s="54" t="str">
        <f t="shared" si="200"/>
        <v/>
      </c>
      <c r="HD90" s="54" t="e">
        <f>IF(HC90="",NA(),SUM($HC$4:HC90))</f>
        <v>#N/A</v>
      </c>
      <c r="HE90" s="54" t="str">
        <f t="shared" si="201"/>
        <v/>
      </c>
      <c r="HF90" s="54" t="e">
        <f>IF(HE90="",NA(),SUM($HE$4:HE90))</f>
        <v>#N/A</v>
      </c>
      <c r="HG90" s="54" t="str">
        <f t="shared" si="202"/>
        <v/>
      </c>
      <c r="HH90" s="54" t="e">
        <f>IF(HG90="",NA(),SUM($HG$4:HG90))</f>
        <v>#N/A</v>
      </c>
      <c r="HI90" s="172" t="str">
        <f t="shared" si="215"/>
        <v/>
      </c>
      <c r="HJ90" s="172">
        <f>IF($J90="",#N/A,SUM(HI$4:$HI90))</f>
        <v>-0.83132705025154807</v>
      </c>
      <c r="HK90" s="54" t="str">
        <f t="shared" si="203"/>
        <v/>
      </c>
      <c r="HL90" s="54">
        <f>IF($J90="",#N/A,SUM($HK$4:HK90))</f>
        <v>-4.0839184895469245</v>
      </c>
      <c r="HM90" s="54" t="str">
        <f t="shared" si="204"/>
        <v/>
      </c>
      <c r="HN90" s="54">
        <f>IF($J90="",#N/A,SUM($HM$4:HM90))</f>
        <v>0.72020221657224703</v>
      </c>
      <c r="HO90" s="54" t="str">
        <f t="shared" si="205"/>
        <v/>
      </c>
      <c r="HP90" s="54">
        <f>IF($J90="",#N/A,SUM($HO$4:HO90))</f>
        <v>-0.34492614665921834</v>
      </c>
      <c r="HQ90" s="54" t="str">
        <f t="shared" si="206"/>
        <v/>
      </c>
      <c r="HR90" s="54">
        <f>IF($J90="",#N/A,SUM($HQ$4:HQ90))</f>
        <v>-6.1746076181104117</v>
      </c>
      <c r="HS90" s="54">
        <f t="shared" si="207"/>
        <v>-9.7548221002031865E-2</v>
      </c>
      <c r="HT90" s="54">
        <f>IF($J90="",#N/A,SUM($HS$4:HS90))</f>
        <v>5.3714876052136464</v>
      </c>
      <c r="HU90" s="65">
        <f t="shared" si="208"/>
        <v>-0.62350409300267506</v>
      </c>
      <c r="HV90" s="65">
        <f>IF($J90="",#N/A,SUM(HU$4:$HU90))</f>
        <v>-8.0381479258237878</v>
      </c>
    </row>
    <row r="91" spans="1:230" x14ac:dyDescent="0.25">
      <c r="A91" s="396" t="s">
        <v>1556</v>
      </c>
      <c r="B91" s="52" t="s">
        <v>4522</v>
      </c>
      <c r="C91" s="229">
        <f t="shared" si="109"/>
        <v>2</v>
      </c>
      <c r="D91" s="219" t="str">
        <f>_xlfn.XLOOKUP(A91,[1]SP500!$A$2:$A$502,[1]SP500!$D$2:$D$502,"N")</f>
        <v>Y</v>
      </c>
      <c r="E91" s="51" t="str">
        <f>IFERROR(_xlfn.XLOOKUP(A91,[1]SP500!$A$2:$A$655,[1]SP500!$B$2:$B$655),"")</f>
        <v>XLI</v>
      </c>
      <c r="F91" s="290">
        <v>45771</v>
      </c>
      <c r="G91" s="51" t="str">
        <f t="shared" si="110"/>
        <v>BMO</v>
      </c>
      <c r="H91" s="51" t="str">
        <f t="shared" si="111"/>
        <v>s</v>
      </c>
      <c r="I91" s="343">
        <v>66.23</v>
      </c>
      <c r="J91" s="124">
        <v>66.19</v>
      </c>
      <c r="K91" s="55">
        <f t="shared" si="112"/>
        <v>-6.0395591121857541E-4</v>
      </c>
      <c r="L91" s="67">
        <f t="shared" si="113"/>
        <v>0.51999999999998181</v>
      </c>
      <c r="M91" s="57">
        <f t="shared" si="114"/>
        <v>-12.6099999999999</v>
      </c>
      <c r="N91" s="155">
        <f t="shared" si="115"/>
        <v>0.51999999999998181</v>
      </c>
      <c r="O91" s="156">
        <f>IF(N91="",#N/A,SUM($N$4:N91))</f>
        <v>-349.61882652042732</v>
      </c>
      <c r="P91" s="65">
        <f t="shared" si="209"/>
        <v>1.0065931853640998E-2</v>
      </c>
      <c r="Q91" s="172">
        <f>IF($N91="",#N/A,SUM($P$4:P91))</f>
        <v>-2.6849925111879389</v>
      </c>
      <c r="R91" s="279">
        <f t="shared" si="116"/>
        <v>2.1422531935709954</v>
      </c>
      <c r="S91" s="51" t="str">
        <f t="shared" si="117"/>
        <v>Dwn</v>
      </c>
      <c r="T91" s="51" t="s">
        <v>4462</v>
      </c>
      <c r="U91" s="56">
        <f t="shared" si="118"/>
        <v>66.23</v>
      </c>
      <c r="V91" s="56" t="s">
        <v>4458</v>
      </c>
      <c r="W91" s="142">
        <v>13</v>
      </c>
      <c r="X91" s="145">
        <f t="shared" si="119"/>
        <v>860.99</v>
      </c>
      <c r="Y91" s="140">
        <f t="shared" si="120"/>
        <v>13</v>
      </c>
      <c r="Z91" s="123">
        <v>67.16</v>
      </c>
      <c r="AA91" s="102">
        <f t="shared" si="121"/>
        <v>-12.089999999999918</v>
      </c>
      <c r="AB91" s="102">
        <f t="shared" si="122"/>
        <v>-22.100000000000136</v>
      </c>
      <c r="AC91" s="124">
        <v>67.930000000000007</v>
      </c>
      <c r="AD91" s="155">
        <f t="shared" si="123"/>
        <v>-22.100000000000136</v>
      </c>
      <c r="AE91" s="545">
        <f t="shared" si="124"/>
        <v>-0.42780210377976008</v>
      </c>
      <c r="AF91" s="57">
        <f>IF($AC91="",#N/A,SUM(AD$4:AD91))</f>
        <v>-635.3096189752174</v>
      </c>
      <c r="AG91" s="102">
        <f t="shared" si="125"/>
        <v>-22.620000000000118</v>
      </c>
      <c r="AH91" s="56" t="s">
        <v>2507</v>
      </c>
      <c r="AI91" s="65">
        <f t="shared" si="126"/>
        <v>-0.23403291559715983</v>
      </c>
      <c r="AJ91" s="54">
        <f>IF(AI91="",#N/A,SUM($AI$4:AI91))</f>
        <v>-4.8272457047589343</v>
      </c>
      <c r="AK91" s="57">
        <f t="shared" si="127"/>
        <v>-12.089999999999918</v>
      </c>
      <c r="AL91" s="58">
        <f>IF(AI91="",#N/A,IF(AH91="Skip",SUM($AK$4:AK91),SUM($AK$4:AK91)))</f>
        <v>-506.97769999999923</v>
      </c>
      <c r="AM91" s="65">
        <f t="shared" si="210"/>
        <v>-0.42780210377976008</v>
      </c>
      <c r="AN91" s="209"/>
      <c r="AO91" s="65" t="str">
        <f t="shared" si="128"/>
        <v/>
      </c>
      <c r="AP91" s="65">
        <f>IF($AC91="",#N/A,SUM(AO$4:AO91))</f>
        <v>1.9613073932674672</v>
      </c>
      <c r="AQ91" s="65" t="str">
        <f t="shared" si="129"/>
        <v/>
      </c>
      <c r="AR91" s="65">
        <f>IF($AC91="",#N/A,SUM(AQ$4:AQ91))</f>
        <v>-1.0879870612894522</v>
      </c>
      <c r="AS91" s="65">
        <f t="shared" si="130"/>
        <v>-0.42780210377976008</v>
      </c>
      <c r="AT91" s="65">
        <f>IF($AC91="",#N/A,SUM(AS$4:AS91))</f>
        <v>-9.3392703615815655</v>
      </c>
      <c r="AU91" s="57" t="str">
        <f t="shared" si="211"/>
        <v/>
      </c>
      <c r="AV91" s="57">
        <f>IF($AC91="",#N/A,SUM(AU$4:AU91))</f>
        <v>44.742552647784692</v>
      </c>
      <c r="AW91" s="57" t="str">
        <f t="shared" si="212"/>
        <v/>
      </c>
      <c r="AX91" s="57">
        <f>IF($AC91="",#N/A,SUM(AW$4:AW91))</f>
        <v>-66.900000000000205</v>
      </c>
      <c r="AY91" s="56">
        <f t="shared" si="213"/>
        <v>-22.100000000000136</v>
      </c>
      <c r="AZ91" s="57">
        <f>IF($AC91="",#N/A,SUM(AY$4:AY91))</f>
        <v>-613.15217162300189</v>
      </c>
      <c r="BA91" s="57">
        <f>IF(AD91="",#N/A,SUM($AD$4:AD91))</f>
        <v>-635.3096189752174</v>
      </c>
      <c r="BC91" s="51" t="str">
        <f t="shared" si="131"/>
        <v/>
      </c>
      <c r="BD91" s="51" t="str">
        <f t="shared" si="132"/>
        <v/>
      </c>
      <c r="BE91" s="51" t="str">
        <f t="shared" si="133"/>
        <v/>
      </c>
      <c r="BF91" s="51" t="str">
        <f t="shared" si="134"/>
        <v>Short</v>
      </c>
      <c r="BG91" s="51">
        <f t="shared" si="135"/>
        <v>1</v>
      </c>
      <c r="BH91" s="51" t="str">
        <f t="shared" si="136"/>
        <v/>
      </c>
      <c r="BI91" s="51" t="str">
        <f t="shared" si="137"/>
        <v/>
      </c>
      <c r="BK91" s="65">
        <f t="shared" si="108"/>
        <v>1.8163328278368952E-2</v>
      </c>
      <c r="BL91" s="65">
        <f t="shared" si="107"/>
        <v>-0.11085855770982107</v>
      </c>
      <c r="BM91" s="65">
        <f>IFERROR(Q91/COUNTA($J$4:J91),#N/A)</f>
        <v>-3.051127853622658E-2</v>
      </c>
      <c r="BO91" s="489" t="e">
        <f>IF(J91="",#N/A,IF(S91="SW",(COUNTIFS(K$4:$K91,"&gt;0",S$4:$S91,"SW")/COUNTIF(S$4:$S91,"SW")),#N/A))</f>
        <v>#N/A</v>
      </c>
      <c r="BP91" s="489">
        <f>IF($J91="",#N/A,IF($S91="DWN",(COUNTIFS($K$4:$K91,"&lt;0",$S$4:$S91,"DWN")/COUNTIF($S$4:$S91,"DWN")),#N/A))</f>
        <v>0.46875</v>
      </c>
      <c r="BQ91" s="489" t="e">
        <f>IF($J91="",#N/A,IF($S91="UP",(COUNTIFS($K$4:$K91,"&gt;0",$S$4:$S91,"UP")/COUNTIF($S$4:$S91,"UP")),#N/A))</f>
        <v>#N/A</v>
      </c>
      <c r="BR91" s="489">
        <f>IF(J91="",#N/A,COUNTIF($K$4:K91,"&gt;0")/COUNT($J$4:J91))</f>
        <v>0.52272727272727271</v>
      </c>
      <c r="BS91" s="65" t="str">
        <f t="shared" si="138"/>
        <v/>
      </c>
      <c r="BT91" s="65" t="str">
        <f t="shared" si="139"/>
        <v/>
      </c>
      <c r="BU91" s="65">
        <f t="shared" si="140"/>
        <v>1.0065931853640998E-2</v>
      </c>
      <c r="BV91" s="65" t="str">
        <f t="shared" si="141"/>
        <v/>
      </c>
      <c r="BW91" s="151" t="str">
        <f t="shared" si="142"/>
        <v/>
      </c>
      <c r="BX91" s="151">
        <f>IF($J91="",#N/A,SUM($BW$4:BW91))</f>
        <v>-91.165000000000305</v>
      </c>
      <c r="BY91" s="152">
        <f t="shared" si="143"/>
        <v>0.51999999999998181</v>
      </c>
      <c r="BZ91" s="152">
        <f>IF($J91="",#N/A,SUM($BY$4:BY91))</f>
        <v>-289.73385042154769</v>
      </c>
      <c r="CA91" s="153" t="str">
        <f t="shared" si="144"/>
        <v/>
      </c>
      <c r="CB91" s="154">
        <f>IF($J91="",#N/A,SUM($CA$4:CA91))</f>
        <v>31.280023901120671</v>
      </c>
      <c r="CC91" s="191" t="str">
        <f t="shared" si="145"/>
        <v/>
      </c>
      <c r="CD91" s="191">
        <f>IF($J91="",#N/A,SUM($CC$4:CC91))</f>
        <v>-1.4632631312024809</v>
      </c>
      <c r="CE91" s="192">
        <f t="shared" si="146"/>
        <v>1.0065931853640998E-2</v>
      </c>
      <c r="CF91" s="192">
        <f>IF($J91="",#N/A,SUM($CE$4:CE91))</f>
        <v>-3.9861567861496914</v>
      </c>
      <c r="CG91" s="193" t="str">
        <f t="shared" si="147"/>
        <v/>
      </c>
      <c r="CH91" s="193">
        <f>IF($J91="",#N/A,SUM($CG$4:CG91))</f>
        <v>2.7644274061642369</v>
      </c>
      <c r="CI91" s="200" t="str">
        <f t="shared" si="148"/>
        <v/>
      </c>
      <c r="CJ91" s="200">
        <f>IF($J91="",#N/A,SUM(CI$4:CI91))</f>
        <v>0</v>
      </c>
      <c r="CK91" s="201" t="str">
        <f t="shared" si="149"/>
        <v/>
      </c>
      <c r="CL91" s="201">
        <f>IF($J91="",#N/A,SUM(CK$4:CK91))</f>
        <v>1.8934431343190481</v>
      </c>
      <c r="CM91" s="202" t="str">
        <f t="shared" si="150"/>
        <v/>
      </c>
      <c r="CN91" s="202">
        <f>IF($J91="",#N/A,SUM(CM$4:CM91))</f>
        <v>2.5724959960693745</v>
      </c>
      <c r="CO91" s="202">
        <f>IF($J91="",#N/A,SUM(CM$4:CM91,CK$4:CK91,CI$4:CI91))</f>
        <v>4.4659391303884224</v>
      </c>
      <c r="CP91" s="200" t="str">
        <f t="shared" si="151"/>
        <v/>
      </c>
      <c r="CQ91" s="200">
        <f>IF($J91="",#N/A,SUM(CP$4:CP91))</f>
        <v>0</v>
      </c>
      <c r="CR91" s="201" t="str">
        <f t="shared" si="152"/>
        <v/>
      </c>
      <c r="CS91" s="201">
        <f>IF($J91="",#N/A,SUM(CR$4:CR91))</f>
        <v>0</v>
      </c>
      <c r="CT91" s="202" t="str">
        <f t="shared" si="153"/>
        <v/>
      </c>
      <c r="CU91" s="202">
        <f>IF($J91="",#N/A,SUM(CT$4:CT91))</f>
        <v>0</v>
      </c>
      <c r="CV91" s="202">
        <f>IF($J91="",#N/A,SUM(CT$4:CT91,CR$4:CR91,CP$4:CP91))</f>
        <v>0</v>
      </c>
      <c r="CW91" s="200" t="str">
        <f t="shared" si="154"/>
        <v/>
      </c>
      <c r="CX91" s="200">
        <f>IF($J91="",#N/A,SUM(CW$4:CW91))</f>
        <v>0</v>
      </c>
      <c r="CY91" s="201" t="str">
        <f t="shared" si="155"/>
        <v/>
      </c>
      <c r="CZ91" s="201">
        <f>IF($J91="",#N/A,SUM(CY$4:CY91))</f>
        <v>-0.67634330666682074</v>
      </c>
      <c r="DA91" s="202" t="str">
        <f t="shared" si="156"/>
        <v/>
      </c>
      <c r="DB91" s="202">
        <f>IF($J91="",#N/A,SUM(DA$4:DA91))</f>
        <v>1.3333187169494678</v>
      </c>
      <c r="DC91" s="202">
        <f>IF($J91="",#N/A,SUM(DA$4:DA91,CY$4:CY91,CW$4:CW91))</f>
        <v>0.65697541028264705</v>
      </c>
      <c r="DD91" s="200" t="str">
        <f t="shared" si="157"/>
        <v/>
      </c>
      <c r="DE91" s="200">
        <f>IF($J91="",#N/A,SUM(DD$4:DD91))</f>
        <v>0.4905246481018824</v>
      </c>
      <c r="DF91" s="201" t="str">
        <f t="shared" si="158"/>
        <v/>
      </c>
      <c r="DG91" s="201">
        <f>IF($J91="",#N/A,SUM(DF$4:DF91))</f>
        <v>0.6788440567066546</v>
      </c>
      <c r="DH91" s="202" t="str">
        <f t="shared" si="159"/>
        <v/>
      </c>
      <c r="DI91" s="202">
        <f>IF($J91="",#N/A,SUM(DH$4:DH91))</f>
        <v>-1.3576828656466722</v>
      </c>
      <c r="DJ91" s="202">
        <f>IF($J91="",#N/A,SUM(DH$4:DH91,DF$4:DF91,DD$4:DD91))</f>
        <v>-0.18831416083813518</v>
      </c>
      <c r="DK91" s="200" t="str">
        <f t="shared" si="160"/>
        <v/>
      </c>
      <c r="DL91" s="200">
        <f>IF($J91="",#N/A,SUM(DK$4:DK91))</f>
        <v>0</v>
      </c>
      <c r="DM91" s="201" t="str">
        <f t="shared" si="161"/>
        <v/>
      </c>
      <c r="DN91" s="201">
        <f>IF($J91="",#N/A,SUM(DM$4:DM91))</f>
        <v>0.36227168206863897</v>
      </c>
      <c r="DO91" s="202" t="str">
        <f t="shared" si="162"/>
        <v/>
      </c>
      <c r="DP91" s="202">
        <f>IF($J91="",#N/A,SUM(DO$4:DO91))</f>
        <v>-0.43291760746858676</v>
      </c>
      <c r="DQ91" s="202">
        <f>IF($J91="",#N/A,SUM(DO$4:DO91,DM$4:DM91,DK$4:DK91))</f>
        <v>-7.0645925399947795E-2</v>
      </c>
      <c r="DR91" s="200" t="str">
        <f t="shared" si="163"/>
        <v/>
      </c>
      <c r="DS91" s="200">
        <f>IF($J91="",#N/A,SUM(DR$4:DR91))</f>
        <v>-0.55950946427675097</v>
      </c>
      <c r="DT91" s="201" t="str">
        <f t="shared" si="164"/>
        <v/>
      </c>
      <c r="DU91" s="201">
        <f>IF($J91="",#N/A,SUM(DT$4:DT91))</f>
        <v>-2.8875364672150718</v>
      </c>
      <c r="DV91" s="202" t="str">
        <f t="shared" si="165"/>
        <v/>
      </c>
      <c r="DW91" s="202">
        <f>IF($J91="",#N/A,SUM(DV$4:DV91))</f>
        <v>-2.3640103614379946</v>
      </c>
      <c r="DX91" s="202">
        <f>IF($J91="",#N/A,SUM(DV$4:DV91,DT$4:DT91,DR$4:DR91))</f>
        <v>-5.8110562929298162</v>
      </c>
      <c r="DY91" s="200" t="str">
        <f t="shared" si="166"/>
        <v/>
      </c>
      <c r="DZ91" s="200">
        <f>IF($J91="",#N/A,SUM(DY$4:DY91))</f>
        <v>-1.4611133068588897</v>
      </c>
      <c r="EA91" s="201">
        <f t="shared" si="167"/>
        <v>1.0065931853640998E-2</v>
      </c>
      <c r="EB91" s="201">
        <f>IF($J91="",#N/A,SUM(EA$4:EA91))</f>
        <v>-1.2358895959989655</v>
      </c>
      <c r="EC91" s="202" t="str">
        <f t="shared" si="168"/>
        <v/>
      </c>
      <c r="ED91" s="202">
        <f>IF($J91="",#N/A,SUM(EC$4:EC91))</f>
        <v>2.3678422306140781</v>
      </c>
      <c r="EE91" s="202">
        <f>IF($J91="",#N/A,SUM(EC$4:EC91,EA$4:EA91,DY$4:DY91))</f>
        <v>-0.32916067224377721</v>
      </c>
      <c r="EF91" s="200" t="str">
        <f t="shared" si="169"/>
        <v/>
      </c>
      <c r="EG91" s="200">
        <f>IF($J91="",#N/A,SUM(EF$4:EF91))</f>
        <v>0</v>
      </c>
      <c r="EH91" s="201" t="str">
        <f t="shared" si="170"/>
        <v/>
      </c>
      <c r="EI91" s="201">
        <f>IF($J91="",#N/A,SUM(EH$4:EH91))</f>
        <v>-2.9174018315702313</v>
      </c>
      <c r="EJ91" s="202" t="str">
        <f t="shared" si="171"/>
        <v/>
      </c>
      <c r="EK91" s="202">
        <f>IF($J91="",#N/A,SUM(EJ$4:EJ91))</f>
        <v>2.2116398676705207</v>
      </c>
      <c r="EL91" s="202">
        <f>IF($J91="",#N/A,SUM(EJ$4:EJ91,EH$4:EH91,EF$4:EF91))</f>
        <v>-0.70576196389971035</v>
      </c>
      <c r="EM91" s="200" t="str">
        <f t="shared" si="172"/>
        <v/>
      </c>
      <c r="EN91" s="200">
        <f>IF($J91="",#N/A,SUM(EM$4:EM91))</f>
        <v>0</v>
      </c>
      <c r="EO91" s="201" t="str">
        <f t="shared" si="173"/>
        <v/>
      </c>
      <c r="EP91" s="201">
        <f>IF($J91="",#N/A,SUM(EO$4:EO91))</f>
        <v>0.56381959923512304</v>
      </c>
      <c r="EQ91" s="202" t="str">
        <f t="shared" si="174"/>
        <v/>
      </c>
      <c r="ER91" s="202">
        <f>IF($J91="",#N/A,SUM(EQ$4:EQ91))</f>
        <v>0.4926597949853756</v>
      </c>
      <c r="ES91" s="202">
        <f>IF($J91="",#N/A,SUM(EQ$4:EQ91,EO$4:EO91,EM$4:EM91))</f>
        <v>1.0564793942204984</v>
      </c>
      <c r="ET91" s="200" t="str">
        <f t="shared" si="175"/>
        <v/>
      </c>
      <c r="EU91" s="200">
        <f>IF($J91="",#N/A,SUM(ET$4:ET91))</f>
        <v>0</v>
      </c>
      <c r="EV91" s="201" t="str">
        <f t="shared" si="176"/>
        <v/>
      </c>
      <c r="EW91" s="201">
        <f>IF($J91="",#N/A,SUM(EV$4:EV91))</f>
        <v>-0.73430241270792684</v>
      </c>
      <c r="EX91" s="202" t="str">
        <f t="shared" si="177"/>
        <v/>
      </c>
      <c r="EY91" s="202">
        <f>IF($J91="",#N/A,SUM(EX$4:EX91))</f>
        <v>1.367071968452185</v>
      </c>
      <c r="EZ91" s="202">
        <f>IF($J91="",#N/A,SUM(EX$4:EX91,EV$4:EV91,ET$4:ET91))</f>
        <v>0.63276955574425819</v>
      </c>
      <c r="FA91" s="200" t="str">
        <f t="shared" si="178"/>
        <v/>
      </c>
      <c r="FB91" s="200">
        <f>IF($J91="",#N/A,SUM(FA$4:FA91))</f>
        <v>0</v>
      </c>
      <c r="FC91" s="201" t="str">
        <f t="shared" si="179"/>
        <v/>
      </c>
      <c r="FD91" s="201">
        <f>IF($J91="",#N/A,SUM(FC$4:FC91))</f>
        <v>1.3724148418491529</v>
      </c>
      <c r="FE91" s="202" t="str">
        <f t="shared" si="180"/>
        <v/>
      </c>
      <c r="FF91" s="202">
        <f>IF($J91="",#N/A,SUM(FE$4:FE91))</f>
        <v>-0.28811149078748233</v>
      </c>
      <c r="FG91" s="202">
        <f>IF($J91="",#N/A,SUM(FE$4:FE91,FC$4:FC91,FA$4:FA91))</f>
        <v>1.0843033510616706</v>
      </c>
      <c r="FH91" s="200" t="str">
        <f t="shared" si="181"/>
        <v/>
      </c>
      <c r="FI91" s="200">
        <f>IF($J91="",#N/A,SUM(FH$4:FH91))</f>
        <v>0</v>
      </c>
      <c r="FJ91" s="201" t="str">
        <f t="shared" si="182"/>
        <v/>
      </c>
      <c r="FK91" s="201">
        <f>IF($J91="",#N/A,SUM(FJ$4:FJ91))</f>
        <v>0</v>
      </c>
      <c r="FL91" s="202" t="str">
        <f t="shared" si="183"/>
        <v/>
      </c>
      <c r="FM91" s="202">
        <f>IF($J91="",#N/A,SUM(FL$4:FL91))</f>
        <v>0</v>
      </c>
      <c r="FN91" s="202">
        <f>IF($J91="",#N/A,SUM(FL$4:FL91,FJ$4:FJ91,FH$4:FH91))</f>
        <v>0</v>
      </c>
      <c r="FO91" s="200" t="str">
        <f t="shared" si="184"/>
        <v/>
      </c>
      <c r="FP91" s="200">
        <f>IF($J91="",#N/A,SUM(FO$4:FO91))</f>
        <v>0</v>
      </c>
      <c r="FQ91" s="201" t="str">
        <f t="shared" si="185"/>
        <v/>
      </c>
      <c r="FR91" s="201">
        <f>IF($J91="",#N/A,SUM(FQ$4:FQ91))</f>
        <v>0</v>
      </c>
      <c r="FS91" s="202" t="str">
        <f t="shared" si="186"/>
        <v/>
      </c>
      <c r="FT91" s="202">
        <f>IF($J91="",#N/A,SUM(FS$4:FS91))</f>
        <v>0</v>
      </c>
      <c r="FU91" s="202">
        <f>IF($J91="",#N/A,SUM(FS$4:FS91,FQ$4:FQ91,FO$4:FO91))</f>
        <v>0</v>
      </c>
      <c r="FV91" s="200" t="str">
        <f t="shared" si="187"/>
        <v/>
      </c>
      <c r="FW91" s="200">
        <f>IF($J91="",#N/A,SUM(FV$4:FV91))</f>
        <v>6.6834991831277585E-2</v>
      </c>
      <c r="FX91" s="201" t="str">
        <f t="shared" si="188"/>
        <v/>
      </c>
      <c r="FY91" s="201">
        <f>IF($J91="",#N/A,SUM(FX$4:FX91))</f>
        <v>0</v>
      </c>
      <c r="FZ91" s="202" t="str">
        <f t="shared" si="189"/>
        <v/>
      </c>
      <c r="GA91" s="202">
        <f>IF($J91="",#N/A,SUM(FZ$4:FZ91))</f>
        <v>-0.20104261551371039</v>
      </c>
      <c r="GB91" s="202">
        <f>IF($J91="",#N/A,SUM(FZ$4:FZ91,FX$4:FX91,FV$4:FV91))</f>
        <v>-0.1342076236824328</v>
      </c>
      <c r="GC91" s="200" t="str">
        <f t="shared" si="190"/>
        <v/>
      </c>
      <c r="GD91" s="200">
        <f>IF($J91="",#N/A,SUM(GC$4:GC91))</f>
        <v>0</v>
      </c>
      <c r="GE91" s="201" t="str">
        <f t="shared" si="191"/>
        <v/>
      </c>
      <c r="GF91" s="201">
        <f>IF($J91="",#N/A,SUM(GE$4:GE91))</f>
        <v>0</v>
      </c>
      <c r="GG91" s="202" t="str">
        <f t="shared" si="192"/>
        <v/>
      </c>
      <c r="GH91" s="202">
        <f>IF($J91="",#N/A,SUM(GG$4:GG91))</f>
        <v>-2.9368362277223206</v>
      </c>
      <c r="GI91" s="202">
        <f>IF($J91="",#N/A,SUM(GG$4:GG91,GE$4:GE91,GC$4:GC91))</f>
        <v>-2.9368362277223206</v>
      </c>
      <c r="GJ91" s="200" t="str">
        <f t="shared" si="193"/>
        <v/>
      </c>
      <c r="GK91" s="200">
        <f>IF($J91="",#N/A,SUM(GJ$4:GJ91))</f>
        <v>0</v>
      </c>
      <c r="GL91" s="201" t="str">
        <f t="shared" si="194"/>
        <v/>
      </c>
      <c r="GM91" s="201">
        <f>IF($J91="",#N/A,SUM(GL$4:GL91))</f>
        <v>-0.4054764861692941</v>
      </c>
      <c r="GN91" s="202" t="str">
        <f t="shared" si="195"/>
        <v/>
      </c>
      <c r="GO91" s="202">
        <f>IF($J91="",#N/A,SUM(GN$4:GN91))</f>
        <v>0</v>
      </c>
      <c r="GP91" s="202">
        <f>IF($J91="",#N/A,SUM(GN$4:GN91,GL$4:GL91,GJ$4:GJ91))</f>
        <v>-0.4054764861692941</v>
      </c>
      <c r="GS91" s="54">
        <f t="shared" si="214"/>
        <v>1.0065931853640998E-2</v>
      </c>
      <c r="GT91" s="54">
        <f>IF(GS91="",NA(),SUM($GS$4:GS91))</f>
        <v>-2.8869813241152227</v>
      </c>
      <c r="GU91" s="54" t="str">
        <f t="shared" si="196"/>
        <v/>
      </c>
      <c r="GV91" s="54" t="e">
        <f>IF(GU91="",NA(),SUM($GU$4:GU91))</f>
        <v>#N/A</v>
      </c>
      <c r="GW91" s="54" t="str">
        <f t="shared" si="197"/>
        <v/>
      </c>
      <c r="GX91" s="54" t="e">
        <f>IF(GW91="",NA(),SUM($GW$4:GW91))</f>
        <v>#N/A</v>
      </c>
      <c r="GY91" s="54">
        <f t="shared" si="198"/>
        <v>1.0065931853640998E-2</v>
      </c>
      <c r="GZ91" s="54">
        <f>IF(GY91="",NA(),SUM($GY$4:GY91))</f>
        <v>-3.9861567861496914</v>
      </c>
      <c r="HA91" s="54" t="str">
        <f t="shared" si="199"/>
        <v/>
      </c>
      <c r="HB91" s="54" t="e">
        <f>IF(HA91="",NA(),SUM($HA$4:HA91))</f>
        <v>#N/A</v>
      </c>
      <c r="HC91" s="54" t="str">
        <f t="shared" si="200"/>
        <v/>
      </c>
      <c r="HD91" s="54" t="e">
        <f>IF(HC91="",NA(),SUM($HC$4:HC91))</f>
        <v>#N/A</v>
      </c>
      <c r="HE91" s="54" t="str">
        <f t="shared" si="201"/>
        <v/>
      </c>
      <c r="HF91" s="54" t="e">
        <f>IF(HE91="",NA(),SUM($HE$4:HE91))</f>
        <v>#N/A</v>
      </c>
      <c r="HG91" s="54" t="str">
        <f t="shared" si="202"/>
        <v/>
      </c>
      <c r="HH91" s="54" t="e">
        <f>IF(HG91="",NA(),SUM($HG$4:HG91))</f>
        <v>#N/A</v>
      </c>
      <c r="HI91" s="172">
        <f t="shared" si="215"/>
        <v>-0.4378680356334011</v>
      </c>
      <c r="HJ91" s="172">
        <f>IF($J91="",#N/A,SUM(HI$4:$HI91))</f>
        <v>-1.2691950858849492</v>
      </c>
      <c r="HK91" s="54" t="str">
        <f t="shared" si="203"/>
        <v/>
      </c>
      <c r="HL91" s="54">
        <f>IF($J91="",#N/A,SUM($HK$4:HK91))</f>
        <v>-4.0839184895469245</v>
      </c>
      <c r="HM91" s="54" t="str">
        <f t="shared" si="204"/>
        <v/>
      </c>
      <c r="HN91" s="54">
        <f>IF($J91="",#N/A,SUM($HM$4:HM91))</f>
        <v>0.72020221657224703</v>
      </c>
      <c r="HO91" s="54" t="str">
        <f t="shared" si="205"/>
        <v/>
      </c>
      <c r="HP91" s="54">
        <f>IF($J91="",#N/A,SUM($HO$4:HO91))</f>
        <v>-0.34492614665921834</v>
      </c>
      <c r="HQ91" s="54" t="str">
        <f t="shared" si="206"/>
        <v/>
      </c>
      <c r="HR91" s="54">
        <f>IF($J91="",#N/A,SUM($HQ$4:HQ91))</f>
        <v>-6.1746076181104117</v>
      </c>
      <c r="HS91" s="54" t="str">
        <f t="shared" si="207"/>
        <v/>
      </c>
      <c r="HT91" s="54">
        <f>IF($J91="",#N/A,SUM($HS$4:HS91))</f>
        <v>5.3714876052136464</v>
      </c>
      <c r="HU91" s="65">
        <f t="shared" si="208"/>
        <v>-0.42780210377976008</v>
      </c>
      <c r="HV91" s="65">
        <f>IF($J91="",#N/A,SUM(HU$4:$HU91))</f>
        <v>-8.4659500296035475</v>
      </c>
    </row>
    <row r="92" spans="1:230" x14ac:dyDescent="0.25">
      <c r="A92" s="51" t="s">
        <v>1319</v>
      </c>
      <c r="B92" s="52" t="s">
        <v>4522</v>
      </c>
      <c r="C92" s="229">
        <f t="shared" si="109"/>
        <v>2</v>
      </c>
      <c r="D92" s="219" t="str">
        <f>_xlfn.XLOOKUP(A92,[1]SP500!$A$2:$A$502,[1]SP500!$D$2:$D$502,"N")</f>
        <v>Y</v>
      </c>
      <c r="E92" s="51" t="str">
        <f>IFERROR(_xlfn.XLOOKUP(A92,[1]SP500!$A$2:$A$655,[1]SP500!$B$2:$B$655),"")</f>
        <v>XLI</v>
      </c>
      <c r="F92" s="290">
        <v>45771</v>
      </c>
      <c r="G92" s="51" t="str">
        <f t="shared" si="110"/>
        <v>BMO</v>
      </c>
      <c r="H92" s="51" t="str">
        <f t="shared" si="111"/>
        <v>s</v>
      </c>
      <c r="I92" s="343">
        <v>219.78</v>
      </c>
      <c r="J92" s="124">
        <v>208.25</v>
      </c>
      <c r="K92" s="55">
        <f t="shared" si="112"/>
        <v>-5.2461552461552464E-2</v>
      </c>
      <c r="L92" s="67">
        <f t="shared" si="113"/>
        <v>46.120000000000005</v>
      </c>
      <c r="M92" s="57">
        <f t="shared" si="114"/>
        <v>5</v>
      </c>
      <c r="N92" s="155">
        <f t="shared" si="115"/>
        <v>46.120000000000005</v>
      </c>
      <c r="O92" s="156">
        <f>IF(N92="",#N/A,SUM($N$4:N92))</f>
        <v>-303.49882652042731</v>
      </c>
      <c r="P92" s="65">
        <f t="shared" si="209"/>
        <v>0.87435920769254116</v>
      </c>
      <c r="Q92" s="172">
        <f>IF($N92="",#N/A,SUM($P$4:P92))</f>
        <v>-1.8106333034953979</v>
      </c>
      <c r="R92" s="279">
        <f t="shared" si="116"/>
        <v>2.0474614321125673</v>
      </c>
      <c r="S92" s="51" t="str">
        <f t="shared" si="117"/>
        <v>Dwn</v>
      </c>
      <c r="T92" s="51" t="s">
        <v>4462</v>
      </c>
      <c r="U92" s="56">
        <f t="shared" si="118"/>
        <v>219.78</v>
      </c>
      <c r="V92" s="56" t="s">
        <v>4458</v>
      </c>
      <c r="W92" s="142">
        <v>4</v>
      </c>
      <c r="X92" s="145">
        <f t="shared" si="119"/>
        <v>879.12</v>
      </c>
      <c r="Y92" s="140">
        <f t="shared" si="120"/>
        <v>4</v>
      </c>
      <c r="Z92" s="123">
        <v>207</v>
      </c>
      <c r="AA92" s="102">
        <f t="shared" si="121"/>
        <v>51.120000000000005</v>
      </c>
      <c r="AB92" s="102">
        <f t="shared" si="122"/>
        <v>17.32000000000005</v>
      </c>
      <c r="AC92" s="124">
        <v>215.45</v>
      </c>
      <c r="AD92" s="155">
        <f t="shared" si="123"/>
        <v>17.32000000000005</v>
      </c>
      <c r="AE92" s="545">
        <f t="shared" si="124"/>
        <v>0.32835866169199596</v>
      </c>
      <c r="AF92" s="57">
        <f>IF($AC92="",#N/A,SUM(AD$4:AD92))</f>
        <v>-617.98961897521735</v>
      </c>
      <c r="AG92" s="102">
        <f t="shared" si="125"/>
        <v>-28.799999999999955</v>
      </c>
      <c r="AH92" s="56" t="s">
        <v>2507</v>
      </c>
      <c r="AI92" s="65">
        <f t="shared" si="126"/>
        <v>0.96915096915096921</v>
      </c>
      <c r="AJ92" s="54">
        <f>IF(AI92="",#N/A,SUM($AI$4:AI92))</f>
        <v>-3.8580947356079651</v>
      </c>
      <c r="AK92" s="57">
        <f t="shared" si="127"/>
        <v>51.120000000000005</v>
      </c>
      <c r="AL92" s="58">
        <f>IF(AI92="",#N/A,IF(AH92="Skip",SUM($AK$4:AK92),SUM($AK$4:AK92)))</f>
        <v>-455.85769999999923</v>
      </c>
      <c r="AM92" s="65">
        <f t="shared" si="210"/>
        <v>0.32835866169199596</v>
      </c>
      <c r="AN92" s="209"/>
      <c r="AO92" s="65" t="str">
        <f t="shared" si="128"/>
        <v/>
      </c>
      <c r="AP92" s="65">
        <f>IF($AC92="",#N/A,SUM(AO$4:AO92))</f>
        <v>1.9613073932674672</v>
      </c>
      <c r="AQ92" s="65" t="str">
        <f t="shared" si="129"/>
        <v/>
      </c>
      <c r="AR92" s="65">
        <f>IF($AC92="",#N/A,SUM(AQ$4:AQ92))</f>
        <v>-1.0879870612894522</v>
      </c>
      <c r="AS92" s="65">
        <f t="shared" si="130"/>
        <v>0.32835866169199596</v>
      </c>
      <c r="AT92" s="65">
        <f>IF($AC92="",#N/A,SUM(AS$4:AS92))</f>
        <v>-9.0109116998895704</v>
      </c>
      <c r="AU92" s="57" t="str">
        <f t="shared" si="211"/>
        <v/>
      </c>
      <c r="AV92" s="57">
        <f>IF($AC92="",#N/A,SUM(AU$4:AU92))</f>
        <v>44.742552647784692</v>
      </c>
      <c r="AW92" s="57" t="str">
        <f t="shared" si="212"/>
        <v/>
      </c>
      <c r="AX92" s="57">
        <f>IF($AC92="",#N/A,SUM(AW$4:AW92))</f>
        <v>-66.900000000000205</v>
      </c>
      <c r="AY92" s="56">
        <f t="shared" si="213"/>
        <v>17.32000000000005</v>
      </c>
      <c r="AZ92" s="57">
        <f>IF($AC92="",#N/A,SUM(AY$4:AY92))</f>
        <v>-595.83217162300184</v>
      </c>
      <c r="BA92" s="57">
        <f>IF(AD92="",#N/A,SUM($AD$4:AD92))</f>
        <v>-617.98961897521735</v>
      </c>
      <c r="BC92" s="51" t="str">
        <f t="shared" si="131"/>
        <v/>
      </c>
      <c r="BD92" s="51" t="str">
        <f t="shared" si="132"/>
        <v/>
      </c>
      <c r="BE92" s="51" t="str">
        <f t="shared" si="133"/>
        <v/>
      </c>
      <c r="BF92" s="51" t="str">
        <f t="shared" si="134"/>
        <v>Short</v>
      </c>
      <c r="BG92" s="51">
        <f t="shared" si="135"/>
        <v>1</v>
      </c>
      <c r="BH92" s="51" t="str">
        <f t="shared" si="136"/>
        <v/>
      </c>
      <c r="BI92" s="51" t="str">
        <f t="shared" si="137"/>
        <v/>
      </c>
      <c r="BK92" s="65">
        <f t="shared" si="108"/>
        <v>3.4313812595594219E-2</v>
      </c>
      <c r="BL92" s="65">
        <f t="shared" ref="BL92:BL155" si="216">IFERROR((Q92-Q68)/COUNTA(J68:J92),#N/A)</f>
        <v>-6.5374792765126255E-2</v>
      </c>
      <c r="BM92" s="65">
        <f>IFERROR(Q92/COUNTA($J$4:J92),#N/A)</f>
        <v>-2.0344194421296605E-2</v>
      </c>
      <c r="BO92" s="489" t="e">
        <f>IF(J92="",#N/A,IF(S92="SW",(COUNTIFS(K$4:$K92,"&gt;0",S$4:$S92,"SW")/COUNTIF(S$4:$S92,"SW")),#N/A))</f>
        <v>#N/A</v>
      </c>
      <c r="BP92" s="489">
        <f>IF($J92="",#N/A,IF($S92="DWN",(COUNTIFS($K$4:$K92,"&lt;0",$S$4:$S92,"DWN")/COUNTIF($S$4:$S92,"DWN")),#N/A))</f>
        <v>0.48484848484848486</v>
      </c>
      <c r="BQ92" s="489" t="e">
        <f>IF($J92="",#N/A,IF($S92="UP",(COUNTIFS($K$4:$K92,"&gt;0",$S$4:$S92,"UP")/COUNTIF($S$4:$S92,"UP")),#N/A))</f>
        <v>#N/A</v>
      </c>
      <c r="BR92" s="489">
        <f>IF(J92="",#N/A,COUNTIF($K$4:K92,"&gt;0")/COUNT($J$4:J92))</f>
        <v>0.5168539325842697</v>
      </c>
      <c r="BS92" s="65" t="str">
        <f t="shared" si="138"/>
        <v/>
      </c>
      <c r="BT92" s="65" t="str">
        <f t="shared" si="139"/>
        <v/>
      </c>
      <c r="BU92" s="65">
        <f t="shared" si="140"/>
        <v>0.87435920769254116</v>
      </c>
      <c r="BV92" s="65" t="str">
        <f t="shared" si="141"/>
        <v/>
      </c>
      <c r="BW92" s="151" t="str">
        <f t="shared" si="142"/>
        <v/>
      </c>
      <c r="BX92" s="151">
        <f>IF($J92="",#N/A,SUM($BW$4:BW92))</f>
        <v>-91.165000000000305</v>
      </c>
      <c r="BY92" s="152">
        <f t="shared" si="143"/>
        <v>46.120000000000005</v>
      </c>
      <c r="BZ92" s="152">
        <f>IF($J92="",#N/A,SUM($BY$4:BY92))</f>
        <v>-243.61385042154768</v>
      </c>
      <c r="CA92" s="153" t="str">
        <f t="shared" si="144"/>
        <v/>
      </c>
      <c r="CB92" s="154">
        <f>IF($J92="",#N/A,SUM($CA$4:CA92))</f>
        <v>31.280023901120671</v>
      </c>
      <c r="CC92" s="191" t="str">
        <f t="shared" si="145"/>
        <v/>
      </c>
      <c r="CD92" s="191">
        <f>IF($J92="",#N/A,SUM($CC$4:CC92))</f>
        <v>-1.4632631312024809</v>
      </c>
      <c r="CE92" s="192">
        <f t="shared" si="146"/>
        <v>0.87435920769254116</v>
      </c>
      <c r="CF92" s="192">
        <f>IF($J92="",#N/A,SUM($CE$4:CE92))</f>
        <v>-3.1117975784571503</v>
      </c>
      <c r="CG92" s="193" t="str">
        <f t="shared" si="147"/>
        <v/>
      </c>
      <c r="CH92" s="193">
        <f>IF($J92="",#N/A,SUM($CG$4:CG92))</f>
        <v>2.7644274061642369</v>
      </c>
      <c r="CI92" s="200" t="str">
        <f t="shared" si="148"/>
        <v/>
      </c>
      <c r="CJ92" s="200">
        <f>IF($J92="",#N/A,SUM(CI$4:CI92))</f>
        <v>0</v>
      </c>
      <c r="CK92" s="201" t="str">
        <f t="shared" si="149"/>
        <v/>
      </c>
      <c r="CL92" s="201">
        <f>IF($J92="",#N/A,SUM(CK$4:CK92))</f>
        <v>1.8934431343190481</v>
      </c>
      <c r="CM92" s="202" t="str">
        <f t="shared" si="150"/>
        <v/>
      </c>
      <c r="CN92" s="202">
        <f>IF($J92="",#N/A,SUM(CM$4:CM92))</f>
        <v>2.5724959960693745</v>
      </c>
      <c r="CO92" s="202">
        <f>IF($J92="",#N/A,SUM(CM$4:CM92,CK$4:CK92,CI$4:CI92))</f>
        <v>4.4659391303884224</v>
      </c>
      <c r="CP92" s="200" t="str">
        <f t="shared" si="151"/>
        <v/>
      </c>
      <c r="CQ92" s="200">
        <f>IF($J92="",#N/A,SUM(CP$4:CP92))</f>
        <v>0</v>
      </c>
      <c r="CR92" s="201" t="str">
        <f t="shared" si="152"/>
        <v/>
      </c>
      <c r="CS92" s="201">
        <f>IF($J92="",#N/A,SUM(CR$4:CR92))</f>
        <v>0</v>
      </c>
      <c r="CT92" s="202" t="str">
        <f t="shared" si="153"/>
        <v/>
      </c>
      <c r="CU92" s="202">
        <f>IF($J92="",#N/A,SUM(CT$4:CT92))</f>
        <v>0</v>
      </c>
      <c r="CV92" s="202">
        <f>IF($J92="",#N/A,SUM(CT$4:CT92,CR$4:CR92,CP$4:CP92))</f>
        <v>0</v>
      </c>
      <c r="CW92" s="200" t="str">
        <f t="shared" si="154"/>
        <v/>
      </c>
      <c r="CX92" s="200">
        <f>IF($J92="",#N/A,SUM(CW$4:CW92))</f>
        <v>0</v>
      </c>
      <c r="CY92" s="201" t="str">
        <f t="shared" si="155"/>
        <v/>
      </c>
      <c r="CZ92" s="201">
        <f>IF($J92="",#N/A,SUM(CY$4:CY92))</f>
        <v>-0.67634330666682074</v>
      </c>
      <c r="DA92" s="202" t="str">
        <f t="shared" si="156"/>
        <v/>
      </c>
      <c r="DB92" s="202">
        <f>IF($J92="",#N/A,SUM(DA$4:DA92))</f>
        <v>1.3333187169494678</v>
      </c>
      <c r="DC92" s="202">
        <f>IF($J92="",#N/A,SUM(DA$4:DA92,CY$4:CY92,CW$4:CW92))</f>
        <v>0.65697541028264705</v>
      </c>
      <c r="DD92" s="200" t="str">
        <f t="shared" si="157"/>
        <v/>
      </c>
      <c r="DE92" s="200">
        <f>IF($J92="",#N/A,SUM(DD$4:DD92))</f>
        <v>0.4905246481018824</v>
      </c>
      <c r="DF92" s="201" t="str">
        <f t="shared" si="158"/>
        <v/>
      </c>
      <c r="DG92" s="201">
        <f>IF($J92="",#N/A,SUM(DF$4:DF92))</f>
        <v>0.6788440567066546</v>
      </c>
      <c r="DH92" s="202" t="str">
        <f t="shared" si="159"/>
        <v/>
      </c>
      <c r="DI92" s="202">
        <f>IF($J92="",#N/A,SUM(DH$4:DH92))</f>
        <v>-1.3576828656466722</v>
      </c>
      <c r="DJ92" s="202">
        <f>IF($J92="",#N/A,SUM(DH$4:DH92,DF$4:DF92,DD$4:DD92))</f>
        <v>-0.18831416083813518</v>
      </c>
      <c r="DK92" s="200" t="str">
        <f t="shared" si="160"/>
        <v/>
      </c>
      <c r="DL92" s="200">
        <f>IF($J92="",#N/A,SUM(DK$4:DK92))</f>
        <v>0</v>
      </c>
      <c r="DM92" s="201" t="str">
        <f t="shared" si="161"/>
        <v/>
      </c>
      <c r="DN92" s="201">
        <f>IF($J92="",#N/A,SUM(DM$4:DM92))</f>
        <v>0.36227168206863897</v>
      </c>
      <c r="DO92" s="202" t="str">
        <f t="shared" si="162"/>
        <v/>
      </c>
      <c r="DP92" s="202">
        <f>IF($J92="",#N/A,SUM(DO$4:DO92))</f>
        <v>-0.43291760746858676</v>
      </c>
      <c r="DQ92" s="202">
        <f>IF($J92="",#N/A,SUM(DO$4:DO92,DM$4:DM92,DK$4:DK92))</f>
        <v>-7.0645925399947795E-2</v>
      </c>
      <c r="DR92" s="200" t="str">
        <f t="shared" si="163"/>
        <v/>
      </c>
      <c r="DS92" s="200">
        <f>IF($J92="",#N/A,SUM(DR$4:DR92))</f>
        <v>-0.55950946427675097</v>
      </c>
      <c r="DT92" s="201" t="str">
        <f t="shared" si="164"/>
        <v/>
      </c>
      <c r="DU92" s="201">
        <f>IF($J92="",#N/A,SUM(DT$4:DT92))</f>
        <v>-2.8875364672150718</v>
      </c>
      <c r="DV92" s="202" t="str">
        <f t="shared" si="165"/>
        <v/>
      </c>
      <c r="DW92" s="202">
        <f>IF($J92="",#N/A,SUM(DV$4:DV92))</f>
        <v>-2.3640103614379946</v>
      </c>
      <c r="DX92" s="202">
        <f>IF($J92="",#N/A,SUM(DV$4:DV92,DT$4:DT92,DR$4:DR92))</f>
        <v>-5.8110562929298162</v>
      </c>
      <c r="DY92" s="200" t="str">
        <f t="shared" si="166"/>
        <v/>
      </c>
      <c r="DZ92" s="200">
        <f>IF($J92="",#N/A,SUM(DY$4:DY92))</f>
        <v>-1.4611133068588897</v>
      </c>
      <c r="EA92" s="201">
        <f t="shared" si="167"/>
        <v>0.87435920769254116</v>
      </c>
      <c r="EB92" s="201">
        <f>IF($J92="",#N/A,SUM(EA$4:EA92))</f>
        <v>-0.36153038830642437</v>
      </c>
      <c r="EC92" s="202" t="str">
        <f t="shared" si="168"/>
        <v/>
      </c>
      <c r="ED92" s="202">
        <f>IF($J92="",#N/A,SUM(EC$4:EC92))</f>
        <v>2.3678422306140781</v>
      </c>
      <c r="EE92" s="202">
        <f>IF($J92="",#N/A,SUM(EC$4:EC92,EA$4:EA92,DY$4:DY92))</f>
        <v>0.54519853544876384</v>
      </c>
      <c r="EF92" s="200" t="str">
        <f t="shared" si="169"/>
        <v/>
      </c>
      <c r="EG92" s="200">
        <f>IF($J92="",#N/A,SUM(EF$4:EF92))</f>
        <v>0</v>
      </c>
      <c r="EH92" s="201" t="str">
        <f t="shared" si="170"/>
        <v/>
      </c>
      <c r="EI92" s="201">
        <f>IF($J92="",#N/A,SUM(EH$4:EH92))</f>
        <v>-2.9174018315702313</v>
      </c>
      <c r="EJ92" s="202" t="str">
        <f t="shared" si="171"/>
        <v/>
      </c>
      <c r="EK92" s="202">
        <f>IF($J92="",#N/A,SUM(EJ$4:EJ92))</f>
        <v>2.2116398676705207</v>
      </c>
      <c r="EL92" s="202">
        <f>IF($J92="",#N/A,SUM(EJ$4:EJ92,EH$4:EH92,EF$4:EF92))</f>
        <v>-0.70576196389971035</v>
      </c>
      <c r="EM92" s="200" t="str">
        <f t="shared" si="172"/>
        <v/>
      </c>
      <c r="EN92" s="200">
        <f>IF($J92="",#N/A,SUM(EM$4:EM92))</f>
        <v>0</v>
      </c>
      <c r="EO92" s="201" t="str">
        <f t="shared" si="173"/>
        <v/>
      </c>
      <c r="EP92" s="201">
        <f>IF($J92="",#N/A,SUM(EO$4:EO92))</f>
        <v>0.56381959923512304</v>
      </c>
      <c r="EQ92" s="202" t="str">
        <f t="shared" si="174"/>
        <v/>
      </c>
      <c r="ER92" s="202">
        <f>IF($J92="",#N/A,SUM(EQ$4:EQ92))</f>
        <v>0.4926597949853756</v>
      </c>
      <c r="ES92" s="202">
        <f>IF($J92="",#N/A,SUM(EQ$4:EQ92,EO$4:EO92,EM$4:EM92))</f>
        <v>1.0564793942204984</v>
      </c>
      <c r="ET92" s="200" t="str">
        <f t="shared" si="175"/>
        <v/>
      </c>
      <c r="EU92" s="200">
        <f>IF($J92="",#N/A,SUM(ET$4:ET92))</f>
        <v>0</v>
      </c>
      <c r="EV92" s="201" t="str">
        <f t="shared" si="176"/>
        <v/>
      </c>
      <c r="EW92" s="201">
        <f>IF($J92="",#N/A,SUM(EV$4:EV92))</f>
        <v>-0.73430241270792684</v>
      </c>
      <c r="EX92" s="202" t="str">
        <f t="shared" si="177"/>
        <v/>
      </c>
      <c r="EY92" s="202">
        <f>IF($J92="",#N/A,SUM(EX$4:EX92))</f>
        <v>1.367071968452185</v>
      </c>
      <c r="EZ92" s="202">
        <f>IF($J92="",#N/A,SUM(EX$4:EX92,EV$4:EV92,ET$4:ET92))</f>
        <v>0.63276955574425819</v>
      </c>
      <c r="FA92" s="200" t="str">
        <f t="shared" si="178"/>
        <v/>
      </c>
      <c r="FB92" s="200">
        <f>IF($J92="",#N/A,SUM(FA$4:FA92))</f>
        <v>0</v>
      </c>
      <c r="FC92" s="201" t="str">
        <f t="shared" si="179"/>
        <v/>
      </c>
      <c r="FD92" s="201">
        <f>IF($J92="",#N/A,SUM(FC$4:FC92))</f>
        <v>1.3724148418491529</v>
      </c>
      <c r="FE92" s="202" t="str">
        <f t="shared" si="180"/>
        <v/>
      </c>
      <c r="FF92" s="202">
        <f>IF($J92="",#N/A,SUM(FE$4:FE92))</f>
        <v>-0.28811149078748233</v>
      </c>
      <c r="FG92" s="202">
        <f>IF($J92="",#N/A,SUM(FE$4:FE92,FC$4:FC92,FA$4:FA92))</f>
        <v>1.0843033510616706</v>
      </c>
      <c r="FH92" s="200" t="str">
        <f t="shared" si="181"/>
        <v/>
      </c>
      <c r="FI92" s="200">
        <f>IF($J92="",#N/A,SUM(FH$4:FH92))</f>
        <v>0</v>
      </c>
      <c r="FJ92" s="201" t="str">
        <f t="shared" si="182"/>
        <v/>
      </c>
      <c r="FK92" s="201">
        <f>IF($J92="",#N/A,SUM(FJ$4:FJ92))</f>
        <v>0</v>
      </c>
      <c r="FL92" s="202" t="str">
        <f t="shared" si="183"/>
        <v/>
      </c>
      <c r="FM92" s="202">
        <f>IF($J92="",#N/A,SUM(FL$4:FL92))</f>
        <v>0</v>
      </c>
      <c r="FN92" s="202">
        <f>IF($J92="",#N/A,SUM(FL$4:FL92,FJ$4:FJ92,FH$4:FH92))</f>
        <v>0</v>
      </c>
      <c r="FO92" s="200" t="str">
        <f t="shared" si="184"/>
        <v/>
      </c>
      <c r="FP92" s="200">
        <f>IF($J92="",#N/A,SUM(FO$4:FO92))</f>
        <v>0</v>
      </c>
      <c r="FQ92" s="201" t="str">
        <f t="shared" si="185"/>
        <v/>
      </c>
      <c r="FR92" s="201">
        <f>IF($J92="",#N/A,SUM(FQ$4:FQ92))</f>
        <v>0</v>
      </c>
      <c r="FS92" s="202" t="str">
        <f t="shared" si="186"/>
        <v/>
      </c>
      <c r="FT92" s="202">
        <f>IF($J92="",#N/A,SUM(FS$4:FS92))</f>
        <v>0</v>
      </c>
      <c r="FU92" s="202">
        <f>IF($J92="",#N/A,SUM(FS$4:FS92,FQ$4:FQ92,FO$4:FO92))</f>
        <v>0</v>
      </c>
      <c r="FV92" s="200" t="str">
        <f t="shared" si="187"/>
        <v/>
      </c>
      <c r="FW92" s="200">
        <f>IF($J92="",#N/A,SUM(FV$4:FV92))</f>
        <v>6.6834991831277585E-2</v>
      </c>
      <c r="FX92" s="201" t="str">
        <f t="shared" si="188"/>
        <v/>
      </c>
      <c r="FY92" s="201">
        <f>IF($J92="",#N/A,SUM(FX$4:FX92))</f>
        <v>0</v>
      </c>
      <c r="FZ92" s="202" t="str">
        <f t="shared" si="189"/>
        <v/>
      </c>
      <c r="GA92" s="202">
        <f>IF($J92="",#N/A,SUM(FZ$4:FZ92))</f>
        <v>-0.20104261551371039</v>
      </c>
      <c r="GB92" s="202">
        <f>IF($J92="",#N/A,SUM(FZ$4:FZ92,FX$4:FX92,FV$4:FV92))</f>
        <v>-0.1342076236824328</v>
      </c>
      <c r="GC92" s="200" t="str">
        <f t="shared" si="190"/>
        <v/>
      </c>
      <c r="GD92" s="200">
        <f>IF($J92="",#N/A,SUM(GC$4:GC92))</f>
        <v>0</v>
      </c>
      <c r="GE92" s="201" t="str">
        <f t="shared" si="191"/>
        <v/>
      </c>
      <c r="GF92" s="201">
        <f>IF($J92="",#N/A,SUM(GE$4:GE92))</f>
        <v>0</v>
      </c>
      <c r="GG92" s="202" t="str">
        <f t="shared" si="192"/>
        <v/>
      </c>
      <c r="GH92" s="202">
        <f>IF($J92="",#N/A,SUM(GG$4:GG92))</f>
        <v>-2.9368362277223206</v>
      </c>
      <c r="GI92" s="202">
        <f>IF($J92="",#N/A,SUM(GG$4:GG92,GE$4:GE92,GC$4:GC92))</f>
        <v>-2.9368362277223206</v>
      </c>
      <c r="GJ92" s="200" t="str">
        <f t="shared" si="193"/>
        <v/>
      </c>
      <c r="GK92" s="200">
        <f>IF($J92="",#N/A,SUM(GJ$4:GJ92))</f>
        <v>0</v>
      </c>
      <c r="GL92" s="201" t="str">
        <f t="shared" si="194"/>
        <v/>
      </c>
      <c r="GM92" s="201">
        <f>IF($J92="",#N/A,SUM(GL$4:GL92))</f>
        <v>-0.4054764861692941</v>
      </c>
      <c r="GN92" s="202" t="str">
        <f t="shared" si="195"/>
        <v/>
      </c>
      <c r="GO92" s="202">
        <f>IF($J92="",#N/A,SUM(GN$4:GN92))</f>
        <v>0</v>
      </c>
      <c r="GP92" s="202">
        <f>IF($J92="",#N/A,SUM(GN$4:GN92,GL$4:GL92,GJ$4:GJ92))</f>
        <v>-0.4054764861692941</v>
      </c>
      <c r="GS92" s="54">
        <f t="shared" si="214"/>
        <v>0.87435920769254116</v>
      </c>
      <c r="GT92" s="54">
        <f>IF(GS92="",NA(),SUM($GS$4:GS92))</f>
        <v>-2.0126221164226816</v>
      </c>
      <c r="GU92" s="54" t="str">
        <f t="shared" si="196"/>
        <v/>
      </c>
      <c r="GV92" s="54" t="e">
        <f>IF(GU92="",NA(),SUM($GU$4:GU92))</f>
        <v>#N/A</v>
      </c>
      <c r="GW92" s="54" t="str">
        <f t="shared" si="197"/>
        <v/>
      </c>
      <c r="GX92" s="54" t="e">
        <f>IF(GW92="",NA(),SUM($GW$4:GW92))</f>
        <v>#N/A</v>
      </c>
      <c r="GY92" s="54">
        <f t="shared" si="198"/>
        <v>0.87435920769254116</v>
      </c>
      <c r="GZ92" s="54">
        <f>IF(GY92="",NA(),SUM($GY$4:GY92))</f>
        <v>-3.1117975784571503</v>
      </c>
      <c r="HA92" s="54" t="str">
        <f t="shared" si="199"/>
        <v/>
      </c>
      <c r="HB92" s="54" t="e">
        <f>IF(HA92="",NA(),SUM($HA$4:HA92))</f>
        <v>#N/A</v>
      </c>
      <c r="HC92" s="54" t="str">
        <f t="shared" si="200"/>
        <v/>
      </c>
      <c r="HD92" s="54" t="e">
        <f>IF(HC92="",NA(),SUM($HC$4:HC92))</f>
        <v>#N/A</v>
      </c>
      <c r="HE92" s="54" t="str">
        <f t="shared" si="201"/>
        <v/>
      </c>
      <c r="HF92" s="54" t="e">
        <f>IF(HE92="",NA(),SUM($HE$4:HE92))</f>
        <v>#N/A</v>
      </c>
      <c r="HG92" s="54" t="str">
        <f t="shared" si="202"/>
        <v/>
      </c>
      <c r="HH92" s="54" t="e">
        <f>IF(HG92="",NA(),SUM($HG$4:HG92))</f>
        <v>#N/A</v>
      </c>
      <c r="HI92" s="172">
        <f t="shared" si="215"/>
        <v>-0.54600054600054526</v>
      </c>
      <c r="HJ92" s="172">
        <f>IF($J92="",#N/A,SUM(HI$4:$HI92))</f>
        <v>-1.8151956318854945</v>
      </c>
      <c r="HK92" s="54" t="str">
        <f t="shared" si="203"/>
        <v/>
      </c>
      <c r="HL92" s="54">
        <f>IF($J92="",#N/A,SUM($HK$4:HK92))</f>
        <v>-4.0839184895469245</v>
      </c>
      <c r="HM92" s="54" t="str">
        <f t="shared" si="204"/>
        <v/>
      </c>
      <c r="HN92" s="54">
        <f>IF($J92="",#N/A,SUM($HM$4:HM92))</f>
        <v>0.72020221657224703</v>
      </c>
      <c r="HO92" s="54" t="str">
        <f t="shared" si="205"/>
        <v/>
      </c>
      <c r="HP92" s="54">
        <f>IF($J92="",#N/A,SUM($HO$4:HO92))</f>
        <v>-0.34492614665921834</v>
      </c>
      <c r="HQ92" s="54" t="str">
        <f t="shared" si="206"/>
        <v/>
      </c>
      <c r="HR92" s="54">
        <f>IF($J92="",#N/A,SUM($HQ$4:HQ92))</f>
        <v>-6.1746076181104117</v>
      </c>
      <c r="HS92" s="54" t="str">
        <f t="shared" si="207"/>
        <v/>
      </c>
      <c r="HT92" s="54">
        <f>IF($J92="",#N/A,SUM($HS$4:HS92))</f>
        <v>5.3714876052136464</v>
      </c>
      <c r="HU92" s="65">
        <f t="shared" si="208"/>
        <v>0.32835866169199596</v>
      </c>
      <c r="HV92" s="65">
        <f>IF($J92="",#N/A,SUM(HU$4:$HU92))</f>
        <v>-8.1375913679115524</v>
      </c>
    </row>
    <row r="93" spans="1:230" x14ac:dyDescent="0.25">
      <c r="A93" s="51" t="s">
        <v>1407</v>
      </c>
      <c r="B93" s="52" t="s">
        <v>4522</v>
      </c>
      <c r="C93" s="229">
        <f t="shared" si="109"/>
        <v>3</v>
      </c>
      <c r="D93" s="219" t="str">
        <f>_xlfn.XLOOKUP(A93,[1]SP500!$A$2:$A$502,[1]SP500!$D$2:$D$502,"N")</f>
        <v>Y</v>
      </c>
      <c r="E93" s="51" t="str">
        <f>IFERROR(_xlfn.XLOOKUP(A93,[1]SP500!$A$2:$A$655,[1]SP500!$B$2:$B$655),"")</f>
        <v>XLF</v>
      </c>
      <c r="F93" s="290">
        <v>45771</v>
      </c>
      <c r="G93" s="51" t="str">
        <f t="shared" si="110"/>
        <v>BMO</v>
      </c>
      <c r="H93" s="51" t="str">
        <f t="shared" si="111"/>
        <v>s</v>
      </c>
      <c r="I93" s="344">
        <v>73.5</v>
      </c>
      <c r="J93" s="124">
        <v>72.099999999999994</v>
      </c>
      <c r="K93" s="55">
        <f t="shared" si="112"/>
        <v>-1.9047619047619126E-2</v>
      </c>
      <c r="L93" s="67">
        <f t="shared" si="113"/>
        <v>-16.800000000000068</v>
      </c>
      <c r="M93" s="57">
        <f t="shared" si="114"/>
        <v>0</v>
      </c>
      <c r="N93" s="102">
        <f t="shared" si="115"/>
        <v>-16.800000000000068</v>
      </c>
      <c r="O93" s="57">
        <f>IF(N93="",#N/A,SUM($N$4:N93))</f>
        <v>-320.29882652042738</v>
      </c>
      <c r="P93" s="65">
        <f t="shared" si="209"/>
        <v>-0.31746031746031877</v>
      </c>
      <c r="Q93" s="172">
        <f>IF($N93="",#N/A,SUM($P$4:P93))</f>
        <v>-2.1280936209557169</v>
      </c>
      <c r="R93" s="279">
        <f t="shared" si="116"/>
        <v>2.0474614321125673</v>
      </c>
      <c r="S93" s="51" t="str">
        <f t="shared" si="117"/>
        <v>SW</v>
      </c>
      <c r="T93" s="51" t="s">
        <v>2828</v>
      </c>
      <c r="U93" s="56">
        <f t="shared" si="118"/>
        <v>73.5</v>
      </c>
      <c r="V93" s="56" t="s">
        <v>4460</v>
      </c>
      <c r="W93" s="142">
        <v>12</v>
      </c>
      <c r="X93" s="145">
        <f t="shared" si="119"/>
        <v>882</v>
      </c>
      <c r="Y93" s="140">
        <f t="shared" si="120"/>
        <v>12</v>
      </c>
      <c r="Z93" s="123">
        <v>72.099999999999994</v>
      </c>
      <c r="AA93" s="102">
        <f t="shared" si="121"/>
        <v>-16.800000000000068</v>
      </c>
      <c r="AB93" s="102">
        <f t="shared" si="122"/>
        <v>14.879999999999882</v>
      </c>
      <c r="AC93" s="124">
        <v>74.739999999999995</v>
      </c>
      <c r="AD93" s="155">
        <f t="shared" si="123"/>
        <v>14.879999999999882</v>
      </c>
      <c r="AE93" s="545">
        <f t="shared" si="124"/>
        <v>0.28117913832199326</v>
      </c>
      <c r="AF93" s="57">
        <f>IF($AC93="",#N/A,SUM(AD$4:AD93))</f>
        <v>-603.10961897521747</v>
      </c>
      <c r="AG93" s="102">
        <f t="shared" si="125"/>
        <v>31.67999999999995</v>
      </c>
      <c r="AH93" s="56" t="s">
        <v>2507</v>
      </c>
      <c r="AI93" s="65">
        <f t="shared" si="126"/>
        <v>-0.31746031746031877</v>
      </c>
      <c r="AJ93" s="54">
        <f>IF(AI93="",#N/A,SUM($AI$4:AI93))</f>
        <v>-4.1755550530682841</v>
      </c>
      <c r="AK93" s="57">
        <f t="shared" si="127"/>
        <v>-16.800000000000068</v>
      </c>
      <c r="AL93" s="349">
        <f>IF(AI93="",#N/A,IF(AH93="Skip",SUM($AK$4:AK93),SUM($AK$4:AK93)))</f>
        <v>-472.65769999999929</v>
      </c>
      <c r="AM93" s="65">
        <f t="shared" si="210"/>
        <v>0.28117913832199326</v>
      </c>
      <c r="AN93" s="211"/>
      <c r="AO93" s="65">
        <f t="shared" si="128"/>
        <v>0.28117913832199326</v>
      </c>
      <c r="AP93" s="65">
        <f>IF($AC93="",#N/A,SUM(AO$4:AO93))</f>
        <v>2.2424865315894604</v>
      </c>
      <c r="AQ93" s="65" t="str">
        <f t="shared" si="129"/>
        <v/>
      </c>
      <c r="AR93" s="65">
        <f>IF($AC93="",#N/A,SUM(AQ$4:AQ93))</f>
        <v>-1.0879870612894522</v>
      </c>
      <c r="AS93" s="65" t="str">
        <f t="shared" si="130"/>
        <v/>
      </c>
      <c r="AT93" s="65">
        <f>IF($AC93="",#N/A,SUM(AS$4:AS93))</f>
        <v>-9.0109116998895704</v>
      </c>
      <c r="AU93" s="57">
        <f t="shared" si="211"/>
        <v>14.879999999999882</v>
      </c>
      <c r="AV93" s="57">
        <f>IF($AC93="",#N/A,SUM(AU$4:AU93))</f>
        <v>59.622552647784573</v>
      </c>
      <c r="AW93" s="57" t="str">
        <f t="shared" si="212"/>
        <v/>
      </c>
      <c r="AX93" s="57">
        <f>IF($AC93="",#N/A,SUM(AW$4:AW93))</f>
        <v>-66.900000000000205</v>
      </c>
      <c r="AY93" s="57" t="str">
        <f t="shared" si="213"/>
        <v/>
      </c>
      <c r="AZ93" s="57">
        <f>IF($AC93="",#N/A,SUM(AY$4:AY93))</f>
        <v>-595.83217162300184</v>
      </c>
      <c r="BA93" s="57">
        <f>IF(AD93="",#N/A,SUM($AD$4:AD93))</f>
        <v>-603.10961897521747</v>
      </c>
      <c r="BC93" s="51" t="str">
        <f t="shared" si="131"/>
        <v/>
      </c>
      <c r="BD93" s="51" t="str">
        <f t="shared" si="132"/>
        <v/>
      </c>
      <c r="BE93" s="51" t="str">
        <f t="shared" si="133"/>
        <v/>
      </c>
      <c r="BF93" s="51" t="str">
        <f t="shared" si="134"/>
        <v>Long</v>
      </c>
      <c r="BG93" s="51" t="str">
        <f t="shared" si="135"/>
        <v/>
      </c>
      <c r="BH93" s="51" t="str">
        <f t="shared" si="136"/>
        <v/>
      </c>
      <c r="BI93" s="51">
        <f t="shared" si="137"/>
        <v>1</v>
      </c>
      <c r="BK93" s="65">
        <f t="shared" si="108"/>
        <v>6.8181677793293496E-2</v>
      </c>
      <c r="BL93" s="65">
        <f t="shared" si="216"/>
        <v>-0.12516484546682066</v>
      </c>
      <c r="BM93" s="65">
        <f>IFERROR(Q93/COUNTA($J$4:J93),#N/A)</f>
        <v>-2.3645484677285743E-2</v>
      </c>
      <c r="BO93" s="489">
        <f>IF(J93="",#N/A,IF(S93="SW",(COUNTIFS(K$4:$K93,"&gt;0",S$4:$S93,"SW")/COUNTIF(S$4:$S93,"SW")),#N/A))</f>
        <v>0.50943396226415094</v>
      </c>
      <c r="BP93" s="489" t="e">
        <f>IF($J93="",#N/A,IF($S93="DWN",(COUNTIFS($K$4:$K93,"&lt;0",$S$4:$S93,"DWN")/COUNTIF($S$4:$S93,"DWN")),#N/A))</f>
        <v>#N/A</v>
      </c>
      <c r="BQ93" s="489" t="e">
        <f>IF($J93="",#N/A,IF($S93="UP",(COUNTIFS($K$4:$K93,"&gt;0",$S$4:$S93,"UP")/COUNTIF($S$4:$S93,"UP")),#N/A))</f>
        <v>#N/A</v>
      </c>
      <c r="BR93" s="489">
        <f>IF(J93="",#N/A,COUNTIF($K$4:K93,"&gt;0")/COUNT($J$4:J93))</f>
        <v>0.51111111111111107</v>
      </c>
      <c r="BS93" s="65" t="str">
        <f t="shared" si="138"/>
        <v/>
      </c>
      <c r="BT93" s="65">
        <f t="shared" si="139"/>
        <v>-0.31746031746031877</v>
      </c>
      <c r="BU93" s="65" t="str">
        <f t="shared" si="140"/>
        <v/>
      </c>
      <c r="BV93" s="65" t="str">
        <f t="shared" si="141"/>
        <v/>
      </c>
      <c r="BW93" s="128" t="str">
        <f t="shared" si="142"/>
        <v/>
      </c>
      <c r="BX93" s="128">
        <f>IF($J93="",#N/A,SUM($BW$4:BW93))</f>
        <v>-91.165000000000305</v>
      </c>
      <c r="BY93" s="131" t="str">
        <f t="shared" si="143"/>
        <v/>
      </c>
      <c r="BZ93" s="131">
        <f>IF($J93="",#N/A,SUM($BY$4:BY93))</f>
        <v>-243.61385042154768</v>
      </c>
      <c r="CA93" s="133">
        <f t="shared" si="144"/>
        <v>-16.800000000000068</v>
      </c>
      <c r="CB93" s="133">
        <f>IF($J93="",#N/A,SUM($CA$4:CA93))</f>
        <v>14.480023901120603</v>
      </c>
      <c r="CC93" s="194" t="str">
        <f t="shared" si="145"/>
        <v/>
      </c>
      <c r="CD93" s="194">
        <f>IF($J93="",#N/A,SUM($CC$4:CC93))</f>
        <v>-1.4632631312024809</v>
      </c>
      <c r="CE93" s="195" t="str">
        <f t="shared" si="146"/>
        <v/>
      </c>
      <c r="CF93" s="195">
        <f>IF($J93="",#N/A,SUM($CE$4:CE93))</f>
        <v>-3.1117975784571503</v>
      </c>
      <c r="CG93" s="196">
        <f t="shared" si="147"/>
        <v>-0.31746031746031877</v>
      </c>
      <c r="CH93" s="193">
        <f>IF($J93="",#N/A,SUM($CG$4:CG93))</f>
        <v>2.4469670887039179</v>
      </c>
      <c r="CI93" s="200" t="str">
        <f t="shared" si="148"/>
        <v/>
      </c>
      <c r="CJ93" s="203">
        <f>IF($J93="",#N/A,SUM(CI$4:CI93))</f>
        <v>0</v>
      </c>
      <c r="CK93" s="204" t="str">
        <f t="shared" si="149"/>
        <v/>
      </c>
      <c r="CL93" s="204">
        <f>IF($J93="",#N/A,SUM(CK$4:CK93))</f>
        <v>1.8934431343190481</v>
      </c>
      <c r="CM93" s="205" t="str">
        <f t="shared" si="150"/>
        <v/>
      </c>
      <c r="CN93" s="205">
        <f>IF($J93="",#N/A,SUM(CM$4:CM93))</f>
        <v>2.5724959960693745</v>
      </c>
      <c r="CO93" s="205">
        <f>IF($J93="",#N/A,SUM(CM$4:CM93,CK$4:CK93,CI$4:CI93))</f>
        <v>4.4659391303884224</v>
      </c>
      <c r="CP93" s="200" t="str">
        <f t="shared" si="151"/>
        <v/>
      </c>
      <c r="CQ93" s="203">
        <f>IF($J93="",#N/A,SUM(CP$4:CP93))</f>
        <v>0</v>
      </c>
      <c r="CR93" s="204" t="str">
        <f t="shared" si="152"/>
        <v/>
      </c>
      <c r="CS93" s="204">
        <f>IF($J93="",#N/A,SUM(CR$4:CR93))</f>
        <v>0</v>
      </c>
      <c r="CT93" s="205" t="str">
        <f t="shared" si="153"/>
        <v/>
      </c>
      <c r="CU93" s="205">
        <f>IF($J93="",#N/A,SUM(CT$4:CT93))</f>
        <v>0</v>
      </c>
      <c r="CV93" s="205">
        <f>IF($J93="",#N/A,SUM(CT$4:CT93,CR$4:CR93,CP$4:CP93))</f>
        <v>0</v>
      </c>
      <c r="CW93" s="200" t="str">
        <f t="shared" si="154"/>
        <v/>
      </c>
      <c r="CX93" s="203">
        <f>IF($J93="",#N/A,SUM(CW$4:CW93))</f>
        <v>0</v>
      </c>
      <c r="CY93" s="204" t="str">
        <f t="shared" si="155"/>
        <v/>
      </c>
      <c r="CZ93" s="204">
        <f>IF($J93="",#N/A,SUM(CY$4:CY93))</f>
        <v>-0.67634330666682074</v>
      </c>
      <c r="DA93" s="205" t="str">
        <f t="shared" si="156"/>
        <v/>
      </c>
      <c r="DB93" s="205">
        <f>IF($J93="",#N/A,SUM(DA$4:DA93))</f>
        <v>1.3333187169494678</v>
      </c>
      <c r="DC93" s="205">
        <f>IF($J93="",#N/A,SUM(DA$4:DA93,CY$4:CY93,CW$4:CW93))</f>
        <v>0.65697541028264705</v>
      </c>
      <c r="DD93" s="200" t="str">
        <f t="shared" si="157"/>
        <v/>
      </c>
      <c r="DE93" s="203">
        <f>IF($J93="",#N/A,SUM(DD$4:DD93))</f>
        <v>0.4905246481018824</v>
      </c>
      <c r="DF93" s="204" t="str">
        <f t="shared" si="158"/>
        <v/>
      </c>
      <c r="DG93" s="204">
        <f>IF($J93="",#N/A,SUM(DF$4:DF93))</f>
        <v>0.6788440567066546</v>
      </c>
      <c r="DH93" s="205" t="str">
        <f t="shared" si="159"/>
        <v/>
      </c>
      <c r="DI93" s="205">
        <f>IF($J93="",#N/A,SUM(DH$4:DH93))</f>
        <v>-1.3576828656466722</v>
      </c>
      <c r="DJ93" s="205">
        <f>IF($J93="",#N/A,SUM(DH$4:DH93,DF$4:DF93,DD$4:DD93))</f>
        <v>-0.18831416083813518</v>
      </c>
      <c r="DK93" s="200" t="str">
        <f t="shared" si="160"/>
        <v/>
      </c>
      <c r="DL93" s="203">
        <f>IF($J93="",#N/A,SUM(DK$4:DK93))</f>
        <v>0</v>
      </c>
      <c r="DM93" s="204" t="str">
        <f t="shared" si="161"/>
        <v/>
      </c>
      <c r="DN93" s="204">
        <f>IF($J93="",#N/A,SUM(DM$4:DM93))</f>
        <v>0.36227168206863897</v>
      </c>
      <c r="DO93" s="205" t="str">
        <f t="shared" si="162"/>
        <v/>
      </c>
      <c r="DP93" s="205">
        <f>IF($J93="",#N/A,SUM(DO$4:DO93))</f>
        <v>-0.43291760746858676</v>
      </c>
      <c r="DQ93" s="205">
        <f>IF($J93="",#N/A,SUM(DO$4:DO93,DM$4:DM93,DK$4:DK93))</f>
        <v>-7.0645925399947795E-2</v>
      </c>
      <c r="DR93" s="200" t="str">
        <f t="shared" si="163"/>
        <v/>
      </c>
      <c r="DS93" s="203">
        <f>IF($J93="",#N/A,SUM(DR$4:DR93))</f>
        <v>-0.55950946427675097</v>
      </c>
      <c r="DT93" s="204" t="str">
        <f t="shared" si="164"/>
        <v/>
      </c>
      <c r="DU93" s="204">
        <f>IF($J93="",#N/A,SUM(DT$4:DT93))</f>
        <v>-2.8875364672150718</v>
      </c>
      <c r="DV93" s="205">
        <f t="shared" si="165"/>
        <v>-0.31746031746031877</v>
      </c>
      <c r="DW93" s="205">
        <f>IF($J93="",#N/A,SUM(DV$4:DV93))</f>
        <v>-2.6814706788983136</v>
      </c>
      <c r="DX93" s="205">
        <f>IF($J93="",#N/A,SUM(DV$4:DV93,DT$4:DT93,DR$4:DR93))</f>
        <v>-6.1285166103901361</v>
      </c>
      <c r="DY93" s="200" t="str">
        <f t="shared" si="166"/>
        <v/>
      </c>
      <c r="DZ93" s="203">
        <f>IF($J93="",#N/A,SUM(DY$4:DY93))</f>
        <v>-1.4611133068588897</v>
      </c>
      <c r="EA93" s="204" t="str">
        <f t="shared" si="167"/>
        <v/>
      </c>
      <c r="EB93" s="204">
        <f>IF($J93="",#N/A,SUM(EA$4:EA93))</f>
        <v>-0.36153038830642437</v>
      </c>
      <c r="EC93" s="205" t="str">
        <f t="shared" si="168"/>
        <v/>
      </c>
      <c r="ED93" s="205">
        <f>IF($J93="",#N/A,SUM(EC$4:EC93))</f>
        <v>2.3678422306140781</v>
      </c>
      <c r="EE93" s="205">
        <f>IF($J93="",#N/A,SUM(EC$4:EC93,EA$4:EA93,DY$4:DY93))</f>
        <v>0.54519853544876384</v>
      </c>
      <c r="EF93" s="200" t="str">
        <f t="shared" si="169"/>
        <v/>
      </c>
      <c r="EG93" s="203">
        <f>IF($J93="",#N/A,SUM(EF$4:EF93))</f>
        <v>0</v>
      </c>
      <c r="EH93" s="204" t="str">
        <f t="shared" si="170"/>
        <v/>
      </c>
      <c r="EI93" s="204">
        <f>IF($J93="",#N/A,SUM(EH$4:EH93))</f>
        <v>-2.9174018315702313</v>
      </c>
      <c r="EJ93" s="205" t="str">
        <f t="shared" si="171"/>
        <v/>
      </c>
      <c r="EK93" s="205">
        <f>IF($J93="",#N/A,SUM(EJ$4:EJ93))</f>
        <v>2.2116398676705207</v>
      </c>
      <c r="EL93" s="205">
        <f>IF($J93="",#N/A,SUM(EJ$4:EJ93,EH$4:EH93,EF$4:EF93))</f>
        <v>-0.70576196389971035</v>
      </c>
      <c r="EM93" s="200" t="str">
        <f t="shared" si="172"/>
        <v/>
      </c>
      <c r="EN93" s="203">
        <f>IF($J93="",#N/A,SUM(EM$4:EM93))</f>
        <v>0</v>
      </c>
      <c r="EO93" s="204" t="str">
        <f t="shared" si="173"/>
        <v/>
      </c>
      <c r="EP93" s="204">
        <f>IF($J93="",#N/A,SUM(EO$4:EO93))</f>
        <v>0.56381959923512304</v>
      </c>
      <c r="EQ93" s="205" t="str">
        <f t="shared" si="174"/>
        <v/>
      </c>
      <c r="ER93" s="205">
        <f>IF($J93="",#N/A,SUM(EQ$4:EQ93))</f>
        <v>0.4926597949853756</v>
      </c>
      <c r="ES93" s="205">
        <f>IF($J93="",#N/A,SUM(EQ$4:EQ93,EO$4:EO93,EM$4:EM93))</f>
        <v>1.0564793942204984</v>
      </c>
      <c r="ET93" s="200" t="str">
        <f t="shared" si="175"/>
        <v/>
      </c>
      <c r="EU93" s="203">
        <f>IF($J93="",#N/A,SUM(ET$4:ET93))</f>
        <v>0</v>
      </c>
      <c r="EV93" s="204" t="str">
        <f t="shared" si="176"/>
        <v/>
      </c>
      <c r="EW93" s="204">
        <f>IF($J93="",#N/A,SUM(EV$4:EV93))</f>
        <v>-0.73430241270792684</v>
      </c>
      <c r="EX93" s="205" t="str">
        <f t="shared" si="177"/>
        <v/>
      </c>
      <c r="EY93" s="205">
        <f>IF($J93="",#N/A,SUM(EX$4:EX93))</f>
        <v>1.367071968452185</v>
      </c>
      <c r="EZ93" s="205">
        <f>IF($J93="",#N/A,SUM(EX$4:EX93,EV$4:EV93,ET$4:ET93))</f>
        <v>0.63276955574425819</v>
      </c>
      <c r="FA93" s="200" t="str">
        <f t="shared" si="178"/>
        <v/>
      </c>
      <c r="FB93" s="203">
        <f>IF($J93="",#N/A,SUM(FA$4:FA93))</f>
        <v>0</v>
      </c>
      <c r="FC93" s="204" t="str">
        <f t="shared" si="179"/>
        <v/>
      </c>
      <c r="FD93" s="204">
        <f>IF($J93="",#N/A,SUM(FC$4:FC93))</f>
        <v>1.3724148418491529</v>
      </c>
      <c r="FE93" s="205" t="str">
        <f t="shared" si="180"/>
        <v/>
      </c>
      <c r="FF93" s="205">
        <f>IF($J93="",#N/A,SUM(FE$4:FE93))</f>
        <v>-0.28811149078748233</v>
      </c>
      <c r="FG93" s="205">
        <f>IF($J93="",#N/A,SUM(FE$4:FE93,FC$4:FC93,FA$4:FA93))</f>
        <v>1.0843033510616706</v>
      </c>
      <c r="FH93" s="200" t="str">
        <f t="shared" si="181"/>
        <v/>
      </c>
      <c r="FI93" s="203">
        <f>IF($J93="",#N/A,SUM(FH$4:FH93))</f>
        <v>0</v>
      </c>
      <c r="FJ93" s="204" t="str">
        <f t="shared" si="182"/>
        <v/>
      </c>
      <c r="FK93" s="204">
        <f>IF($J93="",#N/A,SUM(FJ$4:FJ93))</f>
        <v>0</v>
      </c>
      <c r="FL93" s="205" t="str">
        <f t="shared" si="183"/>
        <v/>
      </c>
      <c r="FM93" s="205">
        <f>IF($J93="",#N/A,SUM(FL$4:FL93))</f>
        <v>0</v>
      </c>
      <c r="FN93" s="205">
        <f>IF($J93="",#N/A,SUM(FL$4:FL93,FJ$4:FJ93,FH$4:FH93))</f>
        <v>0</v>
      </c>
      <c r="FO93" s="200" t="str">
        <f t="shared" si="184"/>
        <v/>
      </c>
      <c r="FP93" s="203">
        <f>IF($J93="",#N/A,SUM(FO$4:FO93))</f>
        <v>0</v>
      </c>
      <c r="FQ93" s="204" t="str">
        <f t="shared" si="185"/>
        <v/>
      </c>
      <c r="FR93" s="204">
        <f>IF($J93="",#N/A,SUM(FQ$4:FQ93))</f>
        <v>0</v>
      </c>
      <c r="FS93" s="205" t="str">
        <f t="shared" si="186"/>
        <v/>
      </c>
      <c r="FT93" s="205">
        <f>IF($J93="",#N/A,SUM(FS$4:FS93))</f>
        <v>0</v>
      </c>
      <c r="FU93" s="205">
        <f>IF($J93="",#N/A,SUM(FS$4:FS93,FQ$4:FQ93,FO$4:FO93))</f>
        <v>0</v>
      </c>
      <c r="FV93" s="200" t="str">
        <f t="shared" si="187"/>
        <v/>
      </c>
      <c r="FW93" s="203">
        <f>IF($J93="",#N/A,SUM(FV$4:FV93))</f>
        <v>6.6834991831277585E-2</v>
      </c>
      <c r="FX93" s="204" t="str">
        <f t="shared" si="188"/>
        <v/>
      </c>
      <c r="FY93" s="204">
        <f>IF($J93="",#N/A,SUM(FX$4:FX93))</f>
        <v>0</v>
      </c>
      <c r="FZ93" s="205" t="str">
        <f t="shared" si="189"/>
        <v/>
      </c>
      <c r="GA93" s="205">
        <f>IF($J93="",#N/A,SUM(FZ$4:FZ93))</f>
        <v>-0.20104261551371039</v>
      </c>
      <c r="GB93" s="205">
        <f>IF($J93="",#N/A,SUM(FZ$4:FZ93,FX$4:FX93,FV$4:FV93))</f>
        <v>-0.1342076236824328</v>
      </c>
      <c r="GC93" s="200" t="str">
        <f t="shared" si="190"/>
        <v/>
      </c>
      <c r="GD93" s="203">
        <f>IF($J93="",#N/A,SUM(GC$4:GC93))</f>
        <v>0</v>
      </c>
      <c r="GE93" s="204" t="str">
        <f t="shared" si="191"/>
        <v/>
      </c>
      <c r="GF93" s="204">
        <f>IF($J93="",#N/A,SUM(GE$4:GE93))</f>
        <v>0</v>
      </c>
      <c r="GG93" s="205" t="str">
        <f t="shared" si="192"/>
        <v/>
      </c>
      <c r="GH93" s="205">
        <f>IF($J93="",#N/A,SUM(GG$4:GG93))</f>
        <v>-2.9368362277223206</v>
      </c>
      <c r="GI93" s="205">
        <f>IF($J93="",#N/A,SUM(GG$4:GG93,GE$4:GE93,GC$4:GC93))</f>
        <v>-2.9368362277223206</v>
      </c>
      <c r="GJ93" s="200" t="str">
        <f t="shared" si="193"/>
        <v/>
      </c>
      <c r="GK93" s="203">
        <f>IF($J93="",#N/A,SUM(GJ$4:GJ93))</f>
        <v>0</v>
      </c>
      <c r="GL93" s="204" t="str">
        <f t="shared" si="194"/>
        <v/>
      </c>
      <c r="GM93" s="204">
        <f>IF($J93="",#N/A,SUM(GL$4:GL93))</f>
        <v>-0.4054764861692941</v>
      </c>
      <c r="GN93" s="205" t="str">
        <f t="shared" si="195"/>
        <v/>
      </c>
      <c r="GO93" s="205">
        <f>IF($J93="",#N/A,SUM(GN$4:GN93))</f>
        <v>0</v>
      </c>
      <c r="GP93" s="205">
        <f>IF($J93="",#N/A,SUM(GN$4:GN93,GL$4:GL93,GJ$4:GJ93))</f>
        <v>-0.4054764861692941</v>
      </c>
      <c r="GS93" s="54">
        <f t="shared" si="214"/>
        <v>-0.31746031746031877</v>
      </c>
      <c r="GT93" s="54">
        <f>IF(GS93="",NA(),SUM($GS$4:GS93))</f>
        <v>-2.3300824338830006</v>
      </c>
      <c r="GU93" s="54" t="str">
        <f t="shared" si="196"/>
        <v/>
      </c>
      <c r="GV93" s="54" t="e">
        <f>IF(GU93="",NA(),SUM($GU$4:GU93))</f>
        <v>#N/A</v>
      </c>
      <c r="GW93" s="54">
        <f t="shared" si="197"/>
        <v>-0.31746031746031877</v>
      </c>
      <c r="GX93" s="54">
        <f>IF(GW93="",NA(),SUM($GW$4:GW93))</f>
        <v>2.2449782757766323</v>
      </c>
      <c r="GY93" s="54" t="str">
        <f t="shared" si="198"/>
        <v/>
      </c>
      <c r="GZ93" s="54" t="e">
        <f>IF(GY93="",NA(),SUM($GY$4:GY93))</f>
        <v>#N/A</v>
      </c>
      <c r="HA93" s="54" t="str">
        <f t="shared" si="199"/>
        <v/>
      </c>
      <c r="HB93" s="54" t="e">
        <f>IF(HA93="",NA(),SUM($HA$4:HA93))</f>
        <v>#N/A</v>
      </c>
      <c r="HC93" s="54" t="str">
        <f t="shared" si="200"/>
        <v/>
      </c>
      <c r="HD93" s="54" t="e">
        <f>IF(HC93="",NA(),SUM($HC$4:HC93))</f>
        <v>#N/A</v>
      </c>
      <c r="HE93" s="54" t="str">
        <f t="shared" si="201"/>
        <v/>
      </c>
      <c r="HF93" s="54" t="e">
        <f>IF(HE93="",NA(),SUM($HE$4:HE93))</f>
        <v>#N/A</v>
      </c>
      <c r="HG93" s="54" t="str">
        <f t="shared" si="202"/>
        <v/>
      </c>
      <c r="HH93" s="54" t="e">
        <f>IF(HG93="",NA(),SUM($HG$4:HG93))</f>
        <v>#N/A</v>
      </c>
      <c r="HI93" s="172" t="str">
        <f t="shared" si="215"/>
        <v/>
      </c>
      <c r="HJ93" s="172">
        <f>IF($J93="",#N/A,SUM(HI$4:$HI93))</f>
        <v>-1.8151956318854945</v>
      </c>
      <c r="HK93" s="54" t="str">
        <f t="shared" si="203"/>
        <v/>
      </c>
      <c r="HL93" s="54">
        <f>IF($J93="",#N/A,SUM($HK$4:HK93))</f>
        <v>-4.0839184895469245</v>
      </c>
      <c r="HM93" s="54" t="str">
        <f t="shared" si="204"/>
        <v/>
      </c>
      <c r="HN93" s="54">
        <f>IF($J93="",#N/A,SUM($HM$4:HM93))</f>
        <v>0.72020221657224703</v>
      </c>
      <c r="HO93" s="54" t="str">
        <f t="shared" si="205"/>
        <v/>
      </c>
      <c r="HP93" s="54">
        <f>IF($J93="",#N/A,SUM($HO$4:HO93))</f>
        <v>-0.34492614665921834</v>
      </c>
      <c r="HQ93" s="54" t="str">
        <f t="shared" si="206"/>
        <v/>
      </c>
      <c r="HR93" s="54">
        <f>IF($J93="",#N/A,SUM($HQ$4:HQ93))</f>
        <v>-6.1746076181104117</v>
      </c>
      <c r="HS93" s="54">
        <f t="shared" si="207"/>
        <v>0.59863945578231204</v>
      </c>
      <c r="HT93" s="54">
        <f>IF($J93="",#N/A,SUM($HS$4:HS93))</f>
        <v>5.9701270609959582</v>
      </c>
      <c r="HU93" s="65">
        <f t="shared" si="208"/>
        <v>0.28117913832199326</v>
      </c>
      <c r="HV93" s="65">
        <f>IF($J93="",#N/A,SUM(HU$4:$HU93))</f>
        <v>-7.8564122295895586</v>
      </c>
    </row>
    <row r="94" spans="1:230" x14ac:dyDescent="0.25">
      <c r="A94" s="51" t="s">
        <v>1307</v>
      </c>
      <c r="B94" s="52" t="s">
        <v>4522</v>
      </c>
      <c r="C94" s="229">
        <f t="shared" si="109"/>
        <v>2</v>
      </c>
      <c r="D94" s="219" t="str">
        <f>_xlfn.XLOOKUP(A94,[1]SP500!$A$2:$A$502,[1]SP500!$D$2:$D$502,"N")</f>
        <v>Y</v>
      </c>
      <c r="E94" s="51" t="str">
        <f>IFERROR(_xlfn.XLOOKUP(A94,[1]SP500!$A$2:$A$655,[1]SP500!$B$2:$B$655),"")</f>
        <v>XLC</v>
      </c>
      <c r="F94" s="290">
        <v>45771</v>
      </c>
      <c r="G94" s="51" t="str">
        <f t="shared" si="110"/>
        <v>BMO</v>
      </c>
      <c r="H94" s="51" t="str">
        <f t="shared" si="111"/>
        <v>s</v>
      </c>
      <c r="I94" s="344">
        <v>34.47</v>
      </c>
      <c r="J94" s="124">
        <v>31.98</v>
      </c>
      <c r="K94" s="55">
        <f t="shared" si="112"/>
        <v>-7.2236727589207961E-2</v>
      </c>
      <c r="L94" s="67">
        <f t="shared" si="113"/>
        <v>62.25</v>
      </c>
      <c r="M94" s="57">
        <f t="shared" si="114"/>
        <v>0.5</v>
      </c>
      <c r="N94" s="102">
        <f t="shared" si="115"/>
        <v>62.25</v>
      </c>
      <c r="O94" s="57">
        <f>IF(N94="",#N/A,SUM($N$4:N94))</f>
        <v>-258.04882652042738</v>
      </c>
      <c r="P94" s="65">
        <f t="shared" si="209"/>
        <v>1.2039454598201336</v>
      </c>
      <c r="Q94" s="172">
        <f>IF($N94="",#N/A,SUM($P$4:P94))</f>
        <v>-0.92414816113558329</v>
      </c>
      <c r="R94" s="279">
        <f t="shared" si="116"/>
        <v>2.0377911874553774</v>
      </c>
      <c r="S94" s="51" t="str">
        <f t="shared" si="117"/>
        <v>Dwn</v>
      </c>
      <c r="T94" s="51" t="s">
        <v>4462</v>
      </c>
      <c r="U94" s="56">
        <f t="shared" si="118"/>
        <v>34.47</v>
      </c>
      <c r="V94" s="56" t="s">
        <v>4458</v>
      </c>
      <c r="W94" s="142">
        <v>25</v>
      </c>
      <c r="X94" s="145">
        <f t="shared" si="119"/>
        <v>861.75</v>
      </c>
      <c r="Y94" s="140">
        <f t="shared" si="120"/>
        <v>25</v>
      </c>
      <c r="Z94" s="123">
        <v>31.96</v>
      </c>
      <c r="AA94" s="102">
        <f t="shared" si="121"/>
        <v>62.75</v>
      </c>
      <c r="AB94" s="102">
        <f t="shared" si="122"/>
        <v>32</v>
      </c>
      <c r="AC94" s="124">
        <v>33.19</v>
      </c>
      <c r="AD94" s="155">
        <f t="shared" si="123"/>
        <v>32</v>
      </c>
      <c r="AE94" s="545">
        <f t="shared" si="124"/>
        <v>0.6188956580601489</v>
      </c>
      <c r="AF94" s="57">
        <f>IF($AC94="",#N/A,SUM(AD$4:AD94))</f>
        <v>-571.10961897521747</v>
      </c>
      <c r="AG94" s="102">
        <f t="shared" si="125"/>
        <v>-30.25</v>
      </c>
      <c r="AH94" s="56" t="s">
        <v>2507</v>
      </c>
      <c r="AI94" s="65">
        <f t="shared" si="126"/>
        <v>1.2136157044773233</v>
      </c>
      <c r="AJ94" s="54">
        <f>IF(AI94="",#N/A,SUM($AI$4:AI94))</f>
        <v>-2.9619393485909606</v>
      </c>
      <c r="AK94" s="57">
        <f t="shared" si="127"/>
        <v>62.75</v>
      </c>
      <c r="AL94" s="349">
        <f>IF(AI94="",#N/A,IF(AH94="Skip",SUM($AK$4:AK94),SUM($AK$4:AK94)))</f>
        <v>-409.90769999999929</v>
      </c>
      <c r="AM94" s="65">
        <f t="shared" si="210"/>
        <v>0.6188956580601489</v>
      </c>
      <c r="AN94" s="209"/>
      <c r="AO94" s="65" t="str">
        <f t="shared" si="128"/>
        <v/>
      </c>
      <c r="AP94" s="65">
        <f>IF($AC94="",#N/A,SUM(AO$4:AO94))</f>
        <v>2.2424865315894604</v>
      </c>
      <c r="AQ94" s="65" t="str">
        <f t="shared" si="129"/>
        <v/>
      </c>
      <c r="AR94" s="65">
        <f>IF($AC94="",#N/A,SUM(AQ$4:AQ94))</f>
        <v>-1.0879870612894522</v>
      </c>
      <c r="AS94" s="65">
        <f t="shared" si="130"/>
        <v>0.6188956580601489</v>
      </c>
      <c r="AT94" s="65">
        <f>IF($AC94="",#N/A,SUM(AS$4:AS94))</f>
        <v>-8.3920160418294216</v>
      </c>
      <c r="AU94" s="57" t="str">
        <f t="shared" si="211"/>
        <v/>
      </c>
      <c r="AV94" s="57">
        <f>IF($AC94="",#N/A,SUM(AU$4:AU94))</f>
        <v>59.622552647784573</v>
      </c>
      <c r="AW94" s="57" t="str">
        <f t="shared" si="212"/>
        <v/>
      </c>
      <c r="AX94" s="57">
        <f>IF($AC94="",#N/A,SUM(AW$4:AW94))</f>
        <v>-66.900000000000205</v>
      </c>
      <c r="AY94" s="57">
        <f t="shared" si="213"/>
        <v>32</v>
      </c>
      <c r="AZ94" s="57">
        <f>IF($AC94="",#N/A,SUM(AY$4:AY94))</f>
        <v>-563.83217162300184</v>
      </c>
      <c r="BA94" s="57">
        <f>IF(AD94="",#N/A,SUM($AD$4:AD94))</f>
        <v>-571.10961897521747</v>
      </c>
      <c r="BC94" s="51" t="str">
        <f t="shared" si="131"/>
        <v/>
      </c>
      <c r="BD94" s="51" t="str">
        <f t="shared" si="132"/>
        <v/>
      </c>
      <c r="BE94" s="51" t="str">
        <f t="shared" si="133"/>
        <v/>
      </c>
      <c r="BF94" s="51" t="str">
        <f t="shared" si="134"/>
        <v>Short</v>
      </c>
      <c r="BG94" s="51">
        <f t="shared" si="135"/>
        <v>1</v>
      </c>
      <c r="BH94" s="51" t="str">
        <f t="shared" si="136"/>
        <v/>
      </c>
      <c r="BI94" s="51" t="str">
        <f t="shared" si="137"/>
        <v/>
      </c>
      <c r="BK94" s="65">
        <f t="shared" si="108"/>
        <v>0.10491485277399246</v>
      </c>
      <c r="BL94" s="65">
        <f t="shared" si="216"/>
        <v>-6.1855511922500155E-2</v>
      </c>
      <c r="BM94" s="65">
        <f>IFERROR(Q94/COUNTA($J$4:J94),#N/A)</f>
        <v>-1.0155474298193223E-2</v>
      </c>
      <c r="BO94" s="489" t="e">
        <f>IF(J94="",#N/A,IF(S94="SW",(COUNTIFS(K$4:$K94,"&gt;0",S$4:$S94,"SW")/COUNTIF(S$4:$S94,"SW")),#N/A))</f>
        <v>#N/A</v>
      </c>
      <c r="BP94" s="489">
        <f>IF($J94="",#N/A,IF($S94="DWN",(COUNTIFS($K$4:$K94,"&lt;0",$S$4:$S94,"DWN")/COUNTIF($S$4:$S94,"DWN")),#N/A))</f>
        <v>0.5</v>
      </c>
      <c r="BQ94" s="489" t="e">
        <f>IF($J94="",#N/A,IF($S94="UP",(COUNTIFS($K$4:$K94,"&gt;0",$S$4:$S94,"UP")/COUNTIF($S$4:$S94,"UP")),#N/A))</f>
        <v>#N/A</v>
      </c>
      <c r="BR94" s="489">
        <f>IF(J94="",#N/A,COUNTIF($K$4:K94,"&gt;0")/COUNT($J$4:J94))</f>
        <v>0.50549450549450547</v>
      </c>
      <c r="BS94" s="65" t="str">
        <f t="shared" si="138"/>
        <v/>
      </c>
      <c r="BT94" s="65" t="str">
        <f t="shared" si="139"/>
        <v/>
      </c>
      <c r="BU94" s="65">
        <f t="shared" si="140"/>
        <v>1.2039454598201336</v>
      </c>
      <c r="BV94" s="65" t="str">
        <f t="shared" si="141"/>
        <v/>
      </c>
      <c r="BW94" s="128" t="str">
        <f t="shared" si="142"/>
        <v/>
      </c>
      <c r="BX94" s="128">
        <f>IF($J94="",#N/A,SUM($BW$4:BW94))</f>
        <v>-91.165000000000305</v>
      </c>
      <c r="BY94" s="131">
        <f t="shared" si="143"/>
        <v>62.25</v>
      </c>
      <c r="BZ94" s="131">
        <f>IF($J94="",#N/A,SUM($BY$4:BY94))</f>
        <v>-181.36385042154768</v>
      </c>
      <c r="CA94" s="133" t="str">
        <f t="shared" si="144"/>
        <v/>
      </c>
      <c r="CB94" s="133">
        <f>IF($J94="",#N/A,SUM($CA$4:CA94))</f>
        <v>14.480023901120603</v>
      </c>
      <c r="CC94" s="194" t="str">
        <f t="shared" si="145"/>
        <v/>
      </c>
      <c r="CD94" s="194">
        <f>IF($J94="",#N/A,SUM($CC$4:CC94))</f>
        <v>-1.4632631312024809</v>
      </c>
      <c r="CE94" s="195">
        <f t="shared" si="146"/>
        <v>1.2039454598201336</v>
      </c>
      <c r="CF94" s="195">
        <f>IF($J94="",#N/A,SUM($CE$4:CE94))</f>
        <v>-1.9078521186370168</v>
      </c>
      <c r="CG94" s="196" t="str">
        <f t="shared" si="147"/>
        <v/>
      </c>
      <c r="CH94" s="193">
        <f>IF($J94="",#N/A,SUM($CG$4:CG94))</f>
        <v>2.4469670887039179</v>
      </c>
      <c r="CI94" s="200" t="str">
        <f t="shared" si="148"/>
        <v/>
      </c>
      <c r="CJ94" s="203">
        <f>IF($J94="",#N/A,SUM(CI$4:CI94))</f>
        <v>0</v>
      </c>
      <c r="CK94" s="204" t="str">
        <f t="shared" si="149"/>
        <v/>
      </c>
      <c r="CL94" s="204">
        <f>IF($J94="",#N/A,SUM(CK$4:CK94))</f>
        <v>1.8934431343190481</v>
      </c>
      <c r="CM94" s="205" t="str">
        <f t="shared" si="150"/>
        <v/>
      </c>
      <c r="CN94" s="205">
        <f>IF($J94="",#N/A,SUM(CM$4:CM94))</f>
        <v>2.5724959960693745</v>
      </c>
      <c r="CO94" s="205">
        <f>IF($J94="",#N/A,SUM(CM$4:CM94,CK$4:CK94,CI$4:CI94))</f>
        <v>4.4659391303884224</v>
      </c>
      <c r="CP94" s="200" t="str">
        <f t="shared" si="151"/>
        <v/>
      </c>
      <c r="CQ94" s="203">
        <f>IF($J94="",#N/A,SUM(CP$4:CP94))</f>
        <v>0</v>
      </c>
      <c r="CR94" s="204" t="str">
        <f t="shared" si="152"/>
        <v/>
      </c>
      <c r="CS94" s="204">
        <f>IF($J94="",#N/A,SUM(CR$4:CR94))</f>
        <v>0</v>
      </c>
      <c r="CT94" s="205" t="str">
        <f t="shared" si="153"/>
        <v/>
      </c>
      <c r="CU94" s="205">
        <f>IF($J94="",#N/A,SUM(CT$4:CT94))</f>
        <v>0</v>
      </c>
      <c r="CV94" s="205">
        <f>IF($J94="",#N/A,SUM(CT$4:CT94,CR$4:CR94,CP$4:CP94))</f>
        <v>0</v>
      </c>
      <c r="CW94" s="200" t="str">
        <f t="shared" si="154"/>
        <v/>
      </c>
      <c r="CX94" s="203">
        <f>IF($J94="",#N/A,SUM(CW$4:CW94))</f>
        <v>0</v>
      </c>
      <c r="CY94" s="204" t="str">
        <f t="shared" si="155"/>
        <v/>
      </c>
      <c r="CZ94" s="204">
        <f>IF($J94="",#N/A,SUM(CY$4:CY94))</f>
        <v>-0.67634330666682074</v>
      </c>
      <c r="DA94" s="205" t="str">
        <f t="shared" si="156"/>
        <v/>
      </c>
      <c r="DB94" s="205">
        <f>IF($J94="",#N/A,SUM(DA$4:DA94))</f>
        <v>1.3333187169494678</v>
      </c>
      <c r="DC94" s="205">
        <f>IF($J94="",#N/A,SUM(DA$4:DA94,CY$4:CY94,CW$4:CW94))</f>
        <v>0.65697541028264705</v>
      </c>
      <c r="DD94" s="200" t="str">
        <f t="shared" si="157"/>
        <v/>
      </c>
      <c r="DE94" s="203">
        <f>IF($J94="",#N/A,SUM(DD$4:DD94))</f>
        <v>0.4905246481018824</v>
      </c>
      <c r="DF94" s="204" t="str">
        <f t="shared" si="158"/>
        <v/>
      </c>
      <c r="DG94" s="204">
        <f>IF($J94="",#N/A,SUM(DF$4:DF94))</f>
        <v>0.6788440567066546</v>
      </c>
      <c r="DH94" s="205" t="str">
        <f t="shared" si="159"/>
        <v/>
      </c>
      <c r="DI94" s="205">
        <f>IF($J94="",#N/A,SUM(DH$4:DH94))</f>
        <v>-1.3576828656466722</v>
      </c>
      <c r="DJ94" s="205">
        <f>IF($J94="",#N/A,SUM(DH$4:DH94,DF$4:DF94,DD$4:DD94))</f>
        <v>-0.18831416083813518</v>
      </c>
      <c r="DK94" s="200" t="str">
        <f t="shared" si="160"/>
        <v/>
      </c>
      <c r="DL94" s="203">
        <f>IF($J94="",#N/A,SUM(DK$4:DK94))</f>
        <v>0</v>
      </c>
      <c r="DM94" s="204">
        <f t="shared" si="161"/>
        <v>1.2039454598201336</v>
      </c>
      <c r="DN94" s="204">
        <f>IF($J94="",#N/A,SUM(DM$4:DM94))</f>
        <v>1.5662171418887725</v>
      </c>
      <c r="DO94" s="205" t="str">
        <f t="shared" si="162"/>
        <v/>
      </c>
      <c r="DP94" s="205">
        <f>IF($J94="",#N/A,SUM(DO$4:DO94))</f>
        <v>-0.43291760746858676</v>
      </c>
      <c r="DQ94" s="205">
        <f>IF($J94="",#N/A,SUM(DO$4:DO94,DM$4:DM94,DK$4:DK94))</f>
        <v>1.1332995344201857</v>
      </c>
      <c r="DR94" s="200" t="str">
        <f t="shared" si="163"/>
        <v/>
      </c>
      <c r="DS94" s="203">
        <f>IF($J94="",#N/A,SUM(DR$4:DR94))</f>
        <v>-0.55950946427675097</v>
      </c>
      <c r="DT94" s="204" t="str">
        <f t="shared" si="164"/>
        <v/>
      </c>
      <c r="DU94" s="204">
        <f>IF($J94="",#N/A,SUM(DT$4:DT94))</f>
        <v>-2.8875364672150718</v>
      </c>
      <c r="DV94" s="205" t="str">
        <f t="shared" si="165"/>
        <v/>
      </c>
      <c r="DW94" s="205">
        <f>IF($J94="",#N/A,SUM(DV$4:DV94))</f>
        <v>-2.6814706788983136</v>
      </c>
      <c r="DX94" s="205">
        <f>IF($J94="",#N/A,SUM(DV$4:DV94,DT$4:DT94,DR$4:DR94))</f>
        <v>-6.1285166103901361</v>
      </c>
      <c r="DY94" s="200" t="str">
        <f t="shared" si="166"/>
        <v/>
      </c>
      <c r="DZ94" s="203">
        <f>IF($J94="",#N/A,SUM(DY$4:DY94))</f>
        <v>-1.4611133068588897</v>
      </c>
      <c r="EA94" s="204" t="str">
        <f t="shared" si="167"/>
        <v/>
      </c>
      <c r="EB94" s="204">
        <f>IF($J94="",#N/A,SUM(EA$4:EA94))</f>
        <v>-0.36153038830642437</v>
      </c>
      <c r="EC94" s="205" t="str">
        <f t="shared" si="168"/>
        <v/>
      </c>
      <c r="ED94" s="205">
        <f>IF($J94="",#N/A,SUM(EC$4:EC94))</f>
        <v>2.3678422306140781</v>
      </c>
      <c r="EE94" s="205">
        <f>IF($J94="",#N/A,SUM(EC$4:EC94,EA$4:EA94,DY$4:DY94))</f>
        <v>0.54519853544876384</v>
      </c>
      <c r="EF94" s="200" t="str">
        <f t="shared" si="169"/>
        <v/>
      </c>
      <c r="EG94" s="203">
        <f>IF($J94="",#N/A,SUM(EF$4:EF94))</f>
        <v>0</v>
      </c>
      <c r="EH94" s="204" t="str">
        <f t="shared" si="170"/>
        <v/>
      </c>
      <c r="EI94" s="204">
        <f>IF($J94="",#N/A,SUM(EH$4:EH94))</f>
        <v>-2.9174018315702313</v>
      </c>
      <c r="EJ94" s="205" t="str">
        <f t="shared" si="171"/>
        <v/>
      </c>
      <c r="EK94" s="205">
        <f>IF($J94="",#N/A,SUM(EJ$4:EJ94))</f>
        <v>2.2116398676705207</v>
      </c>
      <c r="EL94" s="205">
        <f>IF($J94="",#N/A,SUM(EJ$4:EJ94,EH$4:EH94,EF$4:EF94))</f>
        <v>-0.70576196389971035</v>
      </c>
      <c r="EM94" s="200" t="str">
        <f t="shared" si="172"/>
        <v/>
      </c>
      <c r="EN94" s="203">
        <f>IF($J94="",#N/A,SUM(EM$4:EM94))</f>
        <v>0</v>
      </c>
      <c r="EO94" s="204" t="str">
        <f t="shared" si="173"/>
        <v/>
      </c>
      <c r="EP94" s="204">
        <f>IF($J94="",#N/A,SUM(EO$4:EO94))</f>
        <v>0.56381959923512304</v>
      </c>
      <c r="EQ94" s="205" t="str">
        <f t="shared" si="174"/>
        <v/>
      </c>
      <c r="ER94" s="205">
        <f>IF($J94="",#N/A,SUM(EQ$4:EQ94))</f>
        <v>0.4926597949853756</v>
      </c>
      <c r="ES94" s="205">
        <f>IF($J94="",#N/A,SUM(EQ$4:EQ94,EO$4:EO94,EM$4:EM94))</f>
        <v>1.0564793942204984</v>
      </c>
      <c r="ET94" s="200" t="str">
        <f t="shared" si="175"/>
        <v/>
      </c>
      <c r="EU94" s="203">
        <f>IF($J94="",#N/A,SUM(ET$4:ET94))</f>
        <v>0</v>
      </c>
      <c r="EV94" s="204" t="str">
        <f t="shared" si="176"/>
        <v/>
      </c>
      <c r="EW94" s="204">
        <f>IF($J94="",#N/A,SUM(EV$4:EV94))</f>
        <v>-0.73430241270792684</v>
      </c>
      <c r="EX94" s="205" t="str">
        <f t="shared" si="177"/>
        <v/>
      </c>
      <c r="EY94" s="205">
        <f>IF($J94="",#N/A,SUM(EX$4:EX94))</f>
        <v>1.367071968452185</v>
      </c>
      <c r="EZ94" s="205">
        <f>IF($J94="",#N/A,SUM(EX$4:EX94,EV$4:EV94,ET$4:ET94))</f>
        <v>0.63276955574425819</v>
      </c>
      <c r="FA94" s="200" t="str">
        <f t="shared" si="178"/>
        <v/>
      </c>
      <c r="FB94" s="203">
        <f>IF($J94="",#N/A,SUM(FA$4:FA94))</f>
        <v>0</v>
      </c>
      <c r="FC94" s="204" t="str">
        <f t="shared" si="179"/>
        <v/>
      </c>
      <c r="FD94" s="204">
        <f>IF($J94="",#N/A,SUM(FC$4:FC94))</f>
        <v>1.3724148418491529</v>
      </c>
      <c r="FE94" s="205" t="str">
        <f t="shared" si="180"/>
        <v/>
      </c>
      <c r="FF94" s="205">
        <f>IF($J94="",#N/A,SUM(FE$4:FE94))</f>
        <v>-0.28811149078748233</v>
      </c>
      <c r="FG94" s="205">
        <f>IF($J94="",#N/A,SUM(FE$4:FE94,FC$4:FC94,FA$4:FA94))</f>
        <v>1.0843033510616706</v>
      </c>
      <c r="FH94" s="200" t="str">
        <f t="shared" si="181"/>
        <v/>
      </c>
      <c r="FI94" s="203">
        <f>IF($J94="",#N/A,SUM(FH$4:FH94))</f>
        <v>0</v>
      </c>
      <c r="FJ94" s="204" t="str">
        <f t="shared" si="182"/>
        <v/>
      </c>
      <c r="FK94" s="204">
        <f>IF($J94="",#N/A,SUM(FJ$4:FJ94))</f>
        <v>0</v>
      </c>
      <c r="FL94" s="205" t="str">
        <f t="shared" si="183"/>
        <v/>
      </c>
      <c r="FM94" s="205">
        <f>IF($J94="",#N/A,SUM(FL$4:FL94))</f>
        <v>0</v>
      </c>
      <c r="FN94" s="205">
        <f>IF($J94="",#N/A,SUM(FL$4:FL94,FJ$4:FJ94,FH$4:FH94))</f>
        <v>0</v>
      </c>
      <c r="FO94" s="200" t="str">
        <f t="shared" si="184"/>
        <v/>
      </c>
      <c r="FP94" s="203">
        <f>IF($J94="",#N/A,SUM(FO$4:FO94))</f>
        <v>0</v>
      </c>
      <c r="FQ94" s="204" t="str">
        <f t="shared" si="185"/>
        <v/>
      </c>
      <c r="FR94" s="204">
        <f>IF($J94="",#N/A,SUM(FQ$4:FQ94))</f>
        <v>0</v>
      </c>
      <c r="FS94" s="205" t="str">
        <f t="shared" si="186"/>
        <v/>
      </c>
      <c r="FT94" s="205">
        <f>IF($J94="",#N/A,SUM(FS$4:FS94))</f>
        <v>0</v>
      </c>
      <c r="FU94" s="205">
        <f>IF($J94="",#N/A,SUM(FS$4:FS94,FQ$4:FQ94,FO$4:FO94))</f>
        <v>0</v>
      </c>
      <c r="FV94" s="200" t="str">
        <f t="shared" si="187"/>
        <v/>
      </c>
      <c r="FW94" s="203">
        <f>IF($J94="",#N/A,SUM(FV$4:FV94))</f>
        <v>6.6834991831277585E-2</v>
      </c>
      <c r="FX94" s="204" t="str">
        <f t="shared" si="188"/>
        <v/>
      </c>
      <c r="FY94" s="204">
        <f>IF($J94="",#N/A,SUM(FX$4:FX94))</f>
        <v>0</v>
      </c>
      <c r="FZ94" s="205" t="str">
        <f t="shared" si="189"/>
        <v/>
      </c>
      <c r="GA94" s="205">
        <f>IF($J94="",#N/A,SUM(FZ$4:FZ94))</f>
        <v>-0.20104261551371039</v>
      </c>
      <c r="GB94" s="205">
        <f>IF($J94="",#N/A,SUM(FZ$4:FZ94,FX$4:FX94,FV$4:FV94))</f>
        <v>-0.1342076236824328</v>
      </c>
      <c r="GC94" s="200" t="str">
        <f t="shared" si="190"/>
        <v/>
      </c>
      <c r="GD94" s="203">
        <f>IF($J94="",#N/A,SUM(GC$4:GC94))</f>
        <v>0</v>
      </c>
      <c r="GE94" s="204" t="str">
        <f t="shared" si="191"/>
        <v/>
      </c>
      <c r="GF94" s="204">
        <f>IF($J94="",#N/A,SUM(GE$4:GE94))</f>
        <v>0</v>
      </c>
      <c r="GG94" s="205" t="str">
        <f t="shared" si="192"/>
        <v/>
      </c>
      <c r="GH94" s="205">
        <f>IF($J94="",#N/A,SUM(GG$4:GG94))</f>
        <v>-2.9368362277223206</v>
      </c>
      <c r="GI94" s="205">
        <f>IF($J94="",#N/A,SUM(GG$4:GG94,GE$4:GE94,GC$4:GC94))</f>
        <v>-2.9368362277223206</v>
      </c>
      <c r="GJ94" s="200" t="str">
        <f t="shared" si="193"/>
        <v/>
      </c>
      <c r="GK94" s="203">
        <f>IF($J94="",#N/A,SUM(GJ$4:GJ94))</f>
        <v>0</v>
      </c>
      <c r="GL94" s="204" t="str">
        <f t="shared" si="194"/>
        <v/>
      </c>
      <c r="GM94" s="204">
        <f>IF($J94="",#N/A,SUM(GL$4:GL94))</f>
        <v>-0.4054764861692941</v>
      </c>
      <c r="GN94" s="205" t="str">
        <f t="shared" si="195"/>
        <v/>
      </c>
      <c r="GO94" s="205">
        <f>IF($J94="",#N/A,SUM(GN$4:GN94))</f>
        <v>0</v>
      </c>
      <c r="GP94" s="205">
        <f>IF($J94="",#N/A,SUM(GN$4:GN94,GL$4:GL94,GJ$4:GJ94))</f>
        <v>-0.4054764861692941</v>
      </c>
      <c r="GS94" s="54">
        <f t="shared" si="214"/>
        <v>1.2039454598201336</v>
      </c>
      <c r="GT94" s="54">
        <f>IF(GS94="",NA(),SUM($GS$4:GS94))</f>
        <v>-1.1261369740628671</v>
      </c>
      <c r="GU94" s="54" t="str">
        <f t="shared" si="196"/>
        <v/>
      </c>
      <c r="GV94" s="54" t="e">
        <f>IF(GU94="",NA(),SUM($GU$4:GU94))</f>
        <v>#N/A</v>
      </c>
      <c r="GW94" s="54" t="str">
        <f t="shared" si="197"/>
        <v/>
      </c>
      <c r="GX94" s="54" t="e">
        <f>IF(GW94="",NA(),SUM($GW$4:GW94))</f>
        <v>#N/A</v>
      </c>
      <c r="GY94" s="54">
        <f t="shared" si="198"/>
        <v>1.2039454598201336</v>
      </c>
      <c r="GZ94" s="54">
        <f>IF(GY94="",NA(),SUM($GY$4:GY94))</f>
        <v>-1.9078521186370168</v>
      </c>
      <c r="HA94" s="54" t="str">
        <f t="shared" si="199"/>
        <v/>
      </c>
      <c r="HB94" s="54" t="e">
        <f>IF(HA94="",NA(),SUM($HA$4:HA94))</f>
        <v>#N/A</v>
      </c>
      <c r="HC94" s="54" t="str">
        <f t="shared" si="200"/>
        <v/>
      </c>
      <c r="HD94" s="54" t="e">
        <f>IF(HC94="",NA(),SUM($HC$4:HC94))</f>
        <v>#N/A</v>
      </c>
      <c r="HE94" s="54" t="str">
        <f t="shared" si="201"/>
        <v/>
      </c>
      <c r="HF94" s="54" t="e">
        <f>IF(HE94="",NA(),SUM($HE$4:HE94))</f>
        <v>#N/A</v>
      </c>
      <c r="HG94" s="54" t="str">
        <f t="shared" si="202"/>
        <v/>
      </c>
      <c r="HH94" s="54" t="e">
        <f>IF(HG94="",NA(),SUM($HG$4:HG94))</f>
        <v>#N/A</v>
      </c>
      <c r="HI94" s="172">
        <f t="shared" si="215"/>
        <v>-0.58504980175998467</v>
      </c>
      <c r="HJ94" s="172">
        <f>IF($J94="",#N/A,SUM(HI$4:$HI94))</f>
        <v>-2.400245433645479</v>
      </c>
      <c r="HK94" s="54" t="str">
        <f t="shared" si="203"/>
        <v/>
      </c>
      <c r="HL94" s="54">
        <f>IF($J94="",#N/A,SUM($HK$4:HK94))</f>
        <v>-4.0839184895469245</v>
      </c>
      <c r="HM94" s="54" t="str">
        <f t="shared" si="204"/>
        <v/>
      </c>
      <c r="HN94" s="54">
        <f>IF($J94="",#N/A,SUM($HM$4:HM94))</f>
        <v>0.72020221657224703</v>
      </c>
      <c r="HO94" s="54" t="str">
        <f t="shared" si="205"/>
        <v/>
      </c>
      <c r="HP94" s="54">
        <f>IF($J94="",#N/A,SUM($HO$4:HO94))</f>
        <v>-0.34492614665921834</v>
      </c>
      <c r="HQ94" s="54" t="str">
        <f t="shared" si="206"/>
        <v/>
      </c>
      <c r="HR94" s="54">
        <f>IF($J94="",#N/A,SUM($HQ$4:HQ94))</f>
        <v>-6.1746076181104117</v>
      </c>
      <c r="HS94" s="54" t="str">
        <f t="shared" si="207"/>
        <v/>
      </c>
      <c r="HT94" s="54">
        <f>IF($J94="",#N/A,SUM($HS$4:HS94))</f>
        <v>5.9701270609959582</v>
      </c>
      <c r="HU94" s="65">
        <f t="shared" si="208"/>
        <v>0.6188956580601489</v>
      </c>
      <c r="HV94" s="65">
        <f>IF($J94="",#N/A,SUM(HU$4:$HU94))</f>
        <v>-7.2375165715294099</v>
      </c>
    </row>
    <row r="95" spans="1:230" x14ac:dyDescent="0.25">
      <c r="A95" s="51" t="s">
        <v>1415</v>
      </c>
      <c r="B95" s="52" t="s">
        <v>4522</v>
      </c>
      <c r="C95" s="229">
        <f t="shared" si="109"/>
        <v>2</v>
      </c>
      <c r="D95" s="219" t="str">
        <f>_xlfn.XLOOKUP(A95,[1]SP500!$A$2:$A$502,[1]SP500!$D$2:$D$502,"N")</f>
        <v>Y</v>
      </c>
      <c r="E95" s="51" t="str">
        <f>IFERROR(_xlfn.XLOOKUP(A95,[1]SP500!$A$2:$A$655,[1]SP500!$B$2:$B$655),"")</f>
        <v>XLE</v>
      </c>
      <c r="F95" s="290">
        <v>45771</v>
      </c>
      <c r="G95" s="51" t="str">
        <f t="shared" si="110"/>
        <v>BMO</v>
      </c>
      <c r="H95" s="51" t="str">
        <f t="shared" si="111"/>
        <v>s</v>
      </c>
      <c r="I95" s="344">
        <v>114.5</v>
      </c>
      <c r="J95" s="123">
        <v>116</v>
      </c>
      <c r="K95" s="55">
        <f t="shared" si="112"/>
        <v>1.3100436681222707E-2</v>
      </c>
      <c r="L95" s="67">
        <f t="shared" si="113"/>
        <v>-10.5</v>
      </c>
      <c r="M95" s="57">
        <f t="shared" si="114"/>
        <v>0</v>
      </c>
      <c r="N95" s="102">
        <f t="shared" si="115"/>
        <v>-10.5</v>
      </c>
      <c r="O95" s="57">
        <f>IF(N95="",#N/A,SUM($N$4:N95))</f>
        <v>-268.54882652042738</v>
      </c>
      <c r="P95" s="65">
        <f t="shared" si="209"/>
        <v>-0.2183406113537118</v>
      </c>
      <c r="Q95" s="172">
        <f>IF($N95="",#N/A,SUM($P$4:P95))</f>
        <v>-1.1424887724892951</v>
      </c>
      <c r="R95" s="279">
        <f t="shared" si="116"/>
        <v>2.0377911874553769</v>
      </c>
      <c r="S95" s="51" t="str">
        <f t="shared" si="117"/>
        <v>Dwn</v>
      </c>
      <c r="T95" s="51" t="s">
        <v>4461</v>
      </c>
      <c r="U95" s="56">
        <f t="shared" si="118"/>
        <v>114.5</v>
      </c>
      <c r="V95" s="56" t="s">
        <v>4458</v>
      </c>
      <c r="W95" s="142">
        <v>7</v>
      </c>
      <c r="X95" s="145">
        <f t="shared" si="119"/>
        <v>801.5</v>
      </c>
      <c r="Y95" s="140">
        <f t="shared" si="120"/>
        <v>7</v>
      </c>
      <c r="Z95" s="123">
        <v>116</v>
      </c>
      <c r="AA95" s="102">
        <f t="shared" si="121"/>
        <v>-10.5</v>
      </c>
      <c r="AB95" s="102">
        <f t="shared" si="122"/>
        <v>7.9800000000000182</v>
      </c>
      <c r="AC95" s="124">
        <v>113.36</v>
      </c>
      <c r="AD95" s="155">
        <f t="shared" si="123"/>
        <v>7.9800000000000182</v>
      </c>
      <c r="AE95" s="545">
        <f t="shared" si="124"/>
        <v>0.16593886462882135</v>
      </c>
      <c r="AF95" s="57">
        <f>IF($AC95="",#N/A,SUM(AD$4:AD95))</f>
        <v>-563.12961897521745</v>
      </c>
      <c r="AG95" s="102">
        <f t="shared" si="125"/>
        <v>18.480000000000018</v>
      </c>
      <c r="AH95" s="56" t="s">
        <v>2507</v>
      </c>
      <c r="AI95" s="65">
        <f t="shared" si="126"/>
        <v>-0.2183406113537118</v>
      </c>
      <c r="AJ95" s="54">
        <f>IF(AI95="",#N/A,SUM($AI$4:AI95))</f>
        <v>-3.1802799599446723</v>
      </c>
      <c r="AK95" s="57">
        <f t="shared" si="127"/>
        <v>-10.5</v>
      </c>
      <c r="AL95" s="349">
        <f>IF(AI95="",#N/A,IF(AH95="Skip",SUM($AK$4:AK95),SUM($AK$4:AK95)))</f>
        <v>-420.40769999999929</v>
      </c>
      <c r="AM95" s="65">
        <f t="shared" si="210"/>
        <v>0.16593886462882135</v>
      </c>
      <c r="AN95" s="209"/>
      <c r="AO95" s="65" t="str">
        <f t="shared" si="128"/>
        <v/>
      </c>
      <c r="AP95" s="65">
        <f>IF($AC95="",#N/A,SUM(AO$4:AO95))</f>
        <v>2.2424865315894604</v>
      </c>
      <c r="AQ95" s="65" t="str">
        <f t="shared" si="129"/>
        <v/>
      </c>
      <c r="AR95" s="65">
        <f>IF($AC95="",#N/A,SUM(AQ$4:AQ95))</f>
        <v>-1.0879870612894522</v>
      </c>
      <c r="AS95" s="65">
        <f t="shared" si="130"/>
        <v>0.16593886462882135</v>
      </c>
      <c r="AT95" s="65">
        <f>IF($AC95="",#N/A,SUM(AS$4:AS95))</f>
        <v>-8.2260771772006009</v>
      </c>
      <c r="AU95" s="57" t="str">
        <f t="shared" si="211"/>
        <v/>
      </c>
      <c r="AV95" s="57">
        <f>IF($AC95="",#N/A,SUM(AU$4:AU95))</f>
        <v>59.622552647784573</v>
      </c>
      <c r="AW95" s="57" t="str">
        <f t="shared" si="212"/>
        <v/>
      </c>
      <c r="AX95" s="57">
        <f>IF($AC95="",#N/A,SUM(AW$4:AW95))</f>
        <v>-66.900000000000205</v>
      </c>
      <c r="AY95" s="57">
        <f t="shared" si="213"/>
        <v>7.9800000000000182</v>
      </c>
      <c r="AZ95" s="57">
        <f>IF($AC95="",#N/A,SUM(AY$4:AY95))</f>
        <v>-555.85217162300182</v>
      </c>
      <c r="BA95" s="57">
        <f>IF(AD95="",#N/A,SUM($AD$4:AD95))</f>
        <v>-563.12961897521745</v>
      </c>
      <c r="BC95" s="51" t="str">
        <f t="shared" si="131"/>
        <v/>
      </c>
      <c r="BD95" s="51">
        <f t="shared" si="132"/>
        <v>1</v>
      </c>
      <c r="BE95" s="51" t="str">
        <f t="shared" si="133"/>
        <v/>
      </c>
      <c r="BF95" s="51" t="str">
        <f t="shared" si="134"/>
        <v>Short</v>
      </c>
      <c r="BG95" s="51" t="str">
        <f t="shared" si="135"/>
        <v/>
      </c>
      <c r="BH95" s="51" t="str">
        <f t="shared" si="136"/>
        <v/>
      </c>
      <c r="BI95" s="51" t="str">
        <f t="shared" si="137"/>
        <v/>
      </c>
      <c r="BK95" s="65">
        <f t="shared" si="108"/>
        <v>7.3099743709935161E-2</v>
      </c>
      <c r="BL95" s="65">
        <f t="shared" si="216"/>
        <v>-3.712775421607388E-2</v>
      </c>
      <c r="BM95" s="65">
        <f>IFERROR(Q95/COUNTA($J$4:J95),#N/A)</f>
        <v>-1.2418356222709729E-2</v>
      </c>
      <c r="BO95" s="489" t="e">
        <f>IF(J95="",#N/A,IF(S95="SW",(COUNTIFS(K$4:$K95,"&gt;0",S$4:$S95,"SW")/COUNTIF(S$4:$S95,"SW")),#N/A))</f>
        <v>#N/A</v>
      </c>
      <c r="BP95" s="489">
        <f>IF($J95="",#N/A,IF($S95="DWN",(COUNTIFS($K$4:$K95,"&lt;0",$S$4:$S95,"DWN")/COUNTIF($S$4:$S95,"DWN")),#N/A))</f>
        <v>0.48571428571428571</v>
      </c>
      <c r="BQ95" s="489" t="e">
        <f>IF($J95="",#N/A,IF($S95="UP",(COUNTIFS($K$4:$K95,"&gt;0",$S$4:$S95,"UP")/COUNTIF($S$4:$S95,"UP")),#N/A))</f>
        <v>#N/A</v>
      </c>
      <c r="BR95" s="489">
        <f>IF(J95="",#N/A,COUNTIF($K$4:K95,"&gt;0")/COUNT($J$4:J95))</f>
        <v>0.51086956521739135</v>
      </c>
      <c r="BS95" s="65" t="str">
        <f t="shared" si="138"/>
        <v/>
      </c>
      <c r="BT95" s="65" t="str">
        <f t="shared" si="139"/>
        <v/>
      </c>
      <c r="BU95" s="65" t="str">
        <f t="shared" si="140"/>
        <v/>
      </c>
      <c r="BV95" s="65">
        <f t="shared" si="141"/>
        <v>-0.2183406113537118</v>
      </c>
      <c r="BW95" s="128" t="str">
        <f t="shared" si="142"/>
        <v/>
      </c>
      <c r="BX95" s="128">
        <f>IF($J95="",#N/A,SUM($BW$4:BW95))</f>
        <v>-91.165000000000305</v>
      </c>
      <c r="BY95" s="131">
        <f t="shared" si="143"/>
        <v>-10.5</v>
      </c>
      <c r="BZ95" s="131">
        <f>IF($J95="",#N/A,SUM($BY$4:BY95))</f>
        <v>-191.86385042154768</v>
      </c>
      <c r="CA95" s="133" t="str">
        <f t="shared" si="144"/>
        <v/>
      </c>
      <c r="CB95" s="133">
        <f>IF($J95="",#N/A,SUM($CA$4:CA95))</f>
        <v>14.480023901120603</v>
      </c>
      <c r="CC95" s="194" t="str">
        <f t="shared" si="145"/>
        <v/>
      </c>
      <c r="CD95" s="194">
        <f>IF($J95="",#N/A,SUM($CC$4:CC95))</f>
        <v>-1.4632631312024809</v>
      </c>
      <c r="CE95" s="195">
        <f t="shared" si="146"/>
        <v>-0.2183406113537118</v>
      </c>
      <c r="CF95" s="195">
        <f>IF($J95="",#N/A,SUM($CE$4:CE95))</f>
        <v>-2.1261927299907284</v>
      </c>
      <c r="CG95" s="196" t="str">
        <f t="shared" si="147"/>
        <v/>
      </c>
      <c r="CH95" s="193">
        <f>IF($J95="",#N/A,SUM($CG$4:CG95))</f>
        <v>2.4469670887039179</v>
      </c>
      <c r="CI95" s="200" t="str">
        <f t="shared" si="148"/>
        <v/>
      </c>
      <c r="CJ95" s="203">
        <f>IF($J95="",#N/A,SUM(CI$4:CI95))</f>
        <v>0</v>
      </c>
      <c r="CK95" s="204" t="str">
        <f t="shared" si="149"/>
        <v/>
      </c>
      <c r="CL95" s="204">
        <f>IF($J95="",#N/A,SUM(CK$4:CK95))</f>
        <v>1.8934431343190481</v>
      </c>
      <c r="CM95" s="205" t="str">
        <f t="shared" si="150"/>
        <v/>
      </c>
      <c r="CN95" s="205">
        <f>IF($J95="",#N/A,SUM(CM$4:CM95))</f>
        <v>2.5724959960693745</v>
      </c>
      <c r="CO95" s="205">
        <f>IF($J95="",#N/A,SUM(CM$4:CM95,CK$4:CK95,CI$4:CI95))</f>
        <v>4.4659391303884224</v>
      </c>
      <c r="CP95" s="200" t="str">
        <f t="shared" si="151"/>
        <v/>
      </c>
      <c r="CQ95" s="203">
        <f>IF($J95="",#N/A,SUM(CP$4:CP95))</f>
        <v>0</v>
      </c>
      <c r="CR95" s="204" t="str">
        <f t="shared" si="152"/>
        <v/>
      </c>
      <c r="CS95" s="204">
        <f>IF($J95="",#N/A,SUM(CR$4:CR95))</f>
        <v>0</v>
      </c>
      <c r="CT95" s="205" t="str">
        <f t="shared" si="153"/>
        <v/>
      </c>
      <c r="CU95" s="205">
        <f>IF($J95="",#N/A,SUM(CT$4:CT95))</f>
        <v>0</v>
      </c>
      <c r="CV95" s="205">
        <f>IF($J95="",#N/A,SUM(CT$4:CT95,CR$4:CR95,CP$4:CP95))</f>
        <v>0</v>
      </c>
      <c r="CW95" s="200" t="str">
        <f t="shared" si="154"/>
        <v/>
      </c>
      <c r="CX95" s="203">
        <f>IF($J95="",#N/A,SUM(CW$4:CW95))</f>
        <v>0</v>
      </c>
      <c r="CY95" s="204" t="str">
        <f t="shared" si="155"/>
        <v/>
      </c>
      <c r="CZ95" s="204">
        <f>IF($J95="",#N/A,SUM(CY$4:CY95))</f>
        <v>-0.67634330666682074</v>
      </c>
      <c r="DA95" s="205" t="str">
        <f t="shared" si="156"/>
        <v/>
      </c>
      <c r="DB95" s="205">
        <f>IF($J95="",#N/A,SUM(DA$4:DA95))</f>
        <v>1.3333187169494678</v>
      </c>
      <c r="DC95" s="205">
        <f>IF($J95="",#N/A,SUM(DA$4:DA95,CY$4:CY95,CW$4:CW95))</f>
        <v>0.65697541028264705</v>
      </c>
      <c r="DD95" s="200" t="str">
        <f t="shared" si="157"/>
        <v/>
      </c>
      <c r="DE95" s="203">
        <f>IF($J95="",#N/A,SUM(DD$4:DD95))</f>
        <v>0.4905246481018824</v>
      </c>
      <c r="DF95" s="204" t="str">
        <f t="shared" si="158"/>
        <v/>
      </c>
      <c r="DG95" s="204">
        <f>IF($J95="",#N/A,SUM(DF$4:DF95))</f>
        <v>0.6788440567066546</v>
      </c>
      <c r="DH95" s="205" t="str">
        <f t="shared" si="159"/>
        <v/>
      </c>
      <c r="DI95" s="205">
        <f>IF($J95="",#N/A,SUM(DH$4:DH95))</f>
        <v>-1.3576828656466722</v>
      </c>
      <c r="DJ95" s="205">
        <f>IF($J95="",#N/A,SUM(DH$4:DH95,DF$4:DF95,DD$4:DD95))</f>
        <v>-0.18831416083813518</v>
      </c>
      <c r="DK95" s="200" t="str">
        <f t="shared" si="160"/>
        <v/>
      </c>
      <c r="DL95" s="203">
        <f>IF($J95="",#N/A,SUM(DK$4:DK95))</f>
        <v>0</v>
      </c>
      <c r="DM95" s="204" t="str">
        <f t="shared" si="161"/>
        <v/>
      </c>
      <c r="DN95" s="204">
        <f>IF($J95="",#N/A,SUM(DM$4:DM95))</f>
        <v>1.5662171418887725</v>
      </c>
      <c r="DO95" s="205" t="str">
        <f t="shared" si="162"/>
        <v/>
      </c>
      <c r="DP95" s="205">
        <f>IF($J95="",#N/A,SUM(DO$4:DO95))</f>
        <v>-0.43291760746858676</v>
      </c>
      <c r="DQ95" s="205">
        <f>IF($J95="",#N/A,SUM(DO$4:DO95,DM$4:DM95,DK$4:DK95))</f>
        <v>1.1332995344201857</v>
      </c>
      <c r="DR95" s="200" t="str">
        <f t="shared" si="163"/>
        <v/>
      </c>
      <c r="DS95" s="203">
        <f>IF($J95="",#N/A,SUM(DR$4:DR95))</f>
        <v>-0.55950946427675097</v>
      </c>
      <c r="DT95" s="204" t="str">
        <f t="shared" si="164"/>
        <v/>
      </c>
      <c r="DU95" s="204">
        <f>IF($J95="",#N/A,SUM(DT$4:DT95))</f>
        <v>-2.8875364672150718</v>
      </c>
      <c r="DV95" s="205" t="str">
        <f t="shared" si="165"/>
        <v/>
      </c>
      <c r="DW95" s="205">
        <f>IF($J95="",#N/A,SUM(DV$4:DV95))</f>
        <v>-2.6814706788983136</v>
      </c>
      <c r="DX95" s="205">
        <f>IF($J95="",#N/A,SUM(DV$4:DV95,DT$4:DT95,DR$4:DR95))</f>
        <v>-6.1285166103901361</v>
      </c>
      <c r="DY95" s="200" t="str">
        <f t="shared" si="166"/>
        <v/>
      </c>
      <c r="DZ95" s="203">
        <f>IF($J95="",#N/A,SUM(DY$4:DY95))</f>
        <v>-1.4611133068588897</v>
      </c>
      <c r="EA95" s="204" t="str">
        <f t="shared" si="167"/>
        <v/>
      </c>
      <c r="EB95" s="204">
        <f>IF($J95="",#N/A,SUM(EA$4:EA95))</f>
        <v>-0.36153038830642437</v>
      </c>
      <c r="EC95" s="205" t="str">
        <f t="shared" si="168"/>
        <v/>
      </c>
      <c r="ED95" s="205">
        <f>IF($J95="",#N/A,SUM(EC$4:EC95))</f>
        <v>2.3678422306140781</v>
      </c>
      <c r="EE95" s="205">
        <f>IF($J95="",#N/A,SUM(EC$4:EC95,EA$4:EA95,DY$4:DY95))</f>
        <v>0.54519853544876384</v>
      </c>
      <c r="EF95" s="200" t="str">
        <f t="shared" si="169"/>
        <v/>
      </c>
      <c r="EG95" s="203">
        <f>IF($J95="",#N/A,SUM(EF$4:EF95))</f>
        <v>0</v>
      </c>
      <c r="EH95" s="204" t="str">
        <f t="shared" si="170"/>
        <v/>
      </c>
      <c r="EI95" s="204">
        <f>IF($J95="",#N/A,SUM(EH$4:EH95))</f>
        <v>-2.9174018315702313</v>
      </c>
      <c r="EJ95" s="205" t="str">
        <f t="shared" si="171"/>
        <v/>
      </c>
      <c r="EK95" s="205">
        <f>IF($J95="",#N/A,SUM(EJ$4:EJ95))</f>
        <v>2.2116398676705207</v>
      </c>
      <c r="EL95" s="205">
        <f>IF($J95="",#N/A,SUM(EJ$4:EJ95,EH$4:EH95,EF$4:EF95))</f>
        <v>-0.70576196389971035</v>
      </c>
      <c r="EM95" s="200" t="str">
        <f t="shared" si="172"/>
        <v/>
      </c>
      <c r="EN95" s="203">
        <f>IF($J95="",#N/A,SUM(EM$4:EM95))</f>
        <v>0</v>
      </c>
      <c r="EO95" s="204" t="str">
        <f t="shared" si="173"/>
        <v/>
      </c>
      <c r="EP95" s="204">
        <f>IF($J95="",#N/A,SUM(EO$4:EO95))</f>
        <v>0.56381959923512304</v>
      </c>
      <c r="EQ95" s="205" t="str">
        <f t="shared" si="174"/>
        <v/>
      </c>
      <c r="ER95" s="205">
        <f>IF($J95="",#N/A,SUM(EQ$4:EQ95))</f>
        <v>0.4926597949853756</v>
      </c>
      <c r="ES95" s="205">
        <f>IF($J95="",#N/A,SUM(EQ$4:EQ95,EO$4:EO95,EM$4:EM95))</f>
        <v>1.0564793942204984</v>
      </c>
      <c r="ET95" s="200" t="str">
        <f t="shared" si="175"/>
        <v/>
      </c>
      <c r="EU95" s="203">
        <f>IF($J95="",#N/A,SUM(ET$4:ET95))</f>
        <v>0</v>
      </c>
      <c r="EV95" s="204" t="str">
        <f t="shared" si="176"/>
        <v/>
      </c>
      <c r="EW95" s="204">
        <f>IF($J95="",#N/A,SUM(EV$4:EV95))</f>
        <v>-0.73430241270792684</v>
      </c>
      <c r="EX95" s="205" t="str">
        <f t="shared" si="177"/>
        <v/>
      </c>
      <c r="EY95" s="205">
        <f>IF($J95="",#N/A,SUM(EX$4:EX95))</f>
        <v>1.367071968452185</v>
      </c>
      <c r="EZ95" s="205">
        <f>IF($J95="",#N/A,SUM(EX$4:EX95,EV$4:EV95,ET$4:ET95))</f>
        <v>0.63276955574425819</v>
      </c>
      <c r="FA95" s="200" t="str">
        <f t="shared" si="178"/>
        <v/>
      </c>
      <c r="FB95" s="203">
        <f>IF($J95="",#N/A,SUM(FA$4:FA95))</f>
        <v>0</v>
      </c>
      <c r="FC95" s="204">
        <f t="shared" si="179"/>
        <v>-0.2183406113537118</v>
      </c>
      <c r="FD95" s="204">
        <f>IF($J95="",#N/A,SUM(FC$4:FC95))</f>
        <v>1.154074230495441</v>
      </c>
      <c r="FE95" s="205" t="str">
        <f t="shared" si="180"/>
        <v/>
      </c>
      <c r="FF95" s="205">
        <f>IF($J95="",#N/A,SUM(FE$4:FE95))</f>
        <v>-0.28811149078748233</v>
      </c>
      <c r="FG95" s="205">
        <f>IF($J95="",#N/A,SUM(FE$4:FE95,FC$4:FC95,FA$4:FA95))</f>
        <v>0.86596273970795878</v>
      </c>
      <c r="FH95" s="200" t="str">
        <f t="shared" si="181"/>
        <v/>
      </c>
      <c r="FI95" s="203">
        <f>IF($J95="",#N/A,SUM(FH$4:FH95))</f>
        <v>0</v>
      </c>
      <c r="FJ95" s="204" t="str">
        <f t="shared" si="182"/>
        <v/>
      </c>
      <c r="FK95" s="204">
        <f>IF($J95="",#N/A,SUM(FJ$4:FJ95))</f>
        <v>0</v>
      </c>
      <c r="FL95" s="205" t="str">
        <f t="shared" si="183"/>
        <v/>
      </c>
      <c r="FM95" s="205">
        <f>IF($J95="",#N/A,SUM(FL$4:FL95))</f>
        <v>0</v>
      </c>
      <c r="FN95" s="205">
        <f>IF($J95="",#N/A,SUM(FL$4:FL95,FJ$4:FJ95,FH$4:FH95))</f>
        <v>0</v>
      </c>
      <c r="FO95" s="200" t="str">
        <f t="shared" si="184"/>
        <v/>
      </c>
      <c r="FP95" s="203">
        <f>IF($J95="",#N/A,SUM(FO$4:FO95))</f>
        <v>0</v>
      </c>
      <c r="FQ95" s="204" t="str">
        <f t="shared" si="185"/>
        <v/>
      </c>
      <c r="FR95" s="204">
        <f>IF($J95="",#N/A,SUM(FQ$4:FQ95))</f>
        <v>0</v>
      </c>
      <c r="FS95" s="205" t="str">
        <f t="shared" si="186"/>
        <v/>
      </c>
      <c r="FT95" s="205">
        <f>IF($J95="",#N/A,SUM(FS$4:FS95))</f>
        <v>0</v>
      </c>
      <c r="FU95" s="205">
        <f>IF($J95="",#N/A,SUM(FS$4:FS95,FQ$4:FQ95,FO$4:FO95))</f>
        <v>0</v>
      </c>
      <c r="FV95" s="200" t="str">
        <f t="shared" si="187"/>
        <v/>
      </c>
      <c r="FW95" s="203">
        <f>IF($J95="",#N/A,SUM(FV$4:FV95))</f>
        <v>6.6834991831277585E-2</v>
      </c>
      <c r="FX95" s="204" t="str">
        <f t="shared" si="188"/>
        <v/>
      </c>
      <c r="FY95" s="204">
        <f>IF($J95="",#N/A,SUM(FX$4:FX95))</f>
        <v>0</v>
      </c>
      <c r="FZ95" s="205" t="str">
        <f t="shared" si="189"/>
        <v/>
      </c>
      <c r="GA95" s="205">
        <f>IF($J95="",#N/A,SUM(FZ$4:FZ95))</f>
        <v>-0.20104261551371039</v>
      </c>
      <c r="GB95" s="205">
        <f>IF($J95="",#N/A,SUM(FZ$4:FZ95,FX$4:FX95,FV$4:FV95))</f>
        <v>-0.1342076236824328</v>
      </c>
      <c r="GC95" s="200" t="str">
        <f t="shared" si="190"/>
        <v/>
      </c>
      <c r="GD95" s="203">
        <f>IF($J95="",#N/A,SUM(GC$4:GC95))</f>
        <v>0</v>
      </c>
      <c r="GE95" s="204" t="str">
        <f t="shared" si="191"/>
        <v/>
      </c>
      <c r="GF95" s="204">
        <f>IF($J95="",#N/A,SUM(GE$4:GE95))</f>
        <v>0</v>
      </c>
      <c r="GG95" s="205" t="str">
        <f t="shared" si="192"/>
        <v/>
      </c>
      <c r="GH95" s="205">
        <f>IF($J95="",#N/A,SUM(GG$4:GG95))</f>
        <v>-2.9368362277223206</v>
      </c>
      <c r="GI95" s="205">
        <f>IF($J95="",#N/A,SUM(GG$4:GG95,GE$4:GE95,GC$4:GC95))</f>
        <v>-2.9368362277223206</v>
      </c>
      <c r="GJ95" s="200" t="str">
        <f t="shared" si="193"/>
        <v/>
      </c>
      <c r="GK95" s="203">
        <f>IF($J95="",#N/A,SUM(GJ$4:GJ95))</f>
        <v>0</v>
      </c>
      <c r="GL95" s="204" t="str">
        <f t="shared" si="194"/>
        <v/>
      </c>
      <c r="GM95" s="204">
        <f>IF($J95="",#N/A,SUM(GL$4:GL95))</f>
        <v>-0.4054764861692941</v>
      </c>
      <c r="GN95" s="205" t="str">
        <f t="shared" si="195"/>
        <v/>
      </c>
      <c r="GO95" s="205">
        <f>IF($J95="",#N/A,SUM(GN$4:GN95))</f>
        <v>0</v>
      </c>
      <c r="GP95" s="205">
        <f>IF($J95="",#N/A,SUM(GN$4:GN95,GL$4:GL95,GJ$4:GJ95))</f>
        <v>-0.4054764861692941</v>
      </c>
      <c r="GS95" s="54">
        <f t="shared" si="214"/>
        <v>-0.2183406113537118</v>
      </c>
      <c r="GT95" s="54">
        <f>IF(GS95="",NA(),SUM($GS$4:GS95))</f>
        <v>-1.3444775854165789</v>
      </c>
      <c r="GU95" s="54" t="str">
        <f t="shared" si="196"/>
        <v/>
      </c>
      <c r="GV95" s="54" t="e">
        <f>IF(GU95="",NA(),SUM($GU$4:GU95))</f>
        <v>#N/A</v>
      </c>
      <c r="GW95" s="54" t="str">
        <f t="shared" si="197"/>
        <v/>
      </c>
      <c r="GX95" s="54" t="e">
        <f>IF(GW95="",NA(),SUM($GW$4:GW95))</f>
        <v>#N/A</v>
      </c>
      <c r="GY95" s="54">
        <f t="shared" si="198"/>
        <v>-0.2183406113537118</v>
      </c>
      <c r="GZ95" s="54">
        <f>IF(GY95="",NA(),SUM($GY$4:GY95))</f>
        <v>-2.1261927299907284</v>
      </c>
      <c r="HA95" s="54" t="str">
        <f t="shared" si="199"/>
        <v/>
      </c>
      <c r="HB95" s="54" t="e">
        <f>IF(HA95="",NA(),SUM($HA$4:HA95))</f>
        <v>#N/A</v>
      </c>
      <c r="HC95" s="54" t="str">
        <f t="shared" si="200"/>
        <v/>
      </c>
      <c r="HD95" s="54" t="e">
        <f>IF(HC95="",NA(),SUM($HC$4:HC95))</f>
        <v>#N/A</v>
      </c>
      <c r="HE95" s="54" t="str">
        <f t="shared" si="201"/>
        <v/>
      </c>
      <c r="HF95" s="54" t="e">
        <f>IF(HE95="",NA(),SUM($HE$4:HE95))</f>
        <v>#N/A</v>
      </c>
      <c r="HG95" s="54" t="str">
        <f t="shared" si="202"/>
        <v/>
      </c>
      <c r="HH95" s="54" t="e">
        <f>IF(HG95="",NA(),SUM($HG$4:HG95))</f>
        <v>#N/A</v>
      </c>
      <c r="HI95" s="172" t="str">
        <f t="shared" si="215"/>
        <v/>
      </c>
      <c r="HJ95" s="172">
        <f>IF($J95="",#N/A,SUM(HI$4:$HI95))</f>
        <v>-2.400245433645479</v>
      </c>
      <c r="HK95" s="54">
        <f t="shared" si="203"/>
        <v>0.38427947598253315</v>
      </c>
      <c r="HL95" s="54">
        <f>IF($J95="",#N/A,SUM($HK$4:HK95))</f>
        <v>-3.6996390135643913</v>
      </c>
      <c r="HM95" s="54" t="str">
        <f t="shared" si="204"/>
        <v/>
      </c>
      <c r="HN95" s="54">
        <f>IF($J95="",#N/A,SUM($HM$4:HM95))</f>
        <v>0.72020221657224703</v>
      </c>
      <c r="HO95" s="54" t="str">
        <f t="shared" si="205"/>
        <v/>
      </c>
      <c r="HP95" s="54">
        <f>IF($J95="",#N/A,SUM($HO$4:HO95))</f>
        <v>-0.34492614665921834</v>
      </c>
      <c r="HQ95" s="54" t="str">
        <f t="shared" si="206"/>
        <v/>
      </c>
      <c r="HR95" s="54">
        <f>IF($J95="",#N/A,SUM($HQ$4:HQ95))</f>
        <v>-6.1746076181104117</v>
      </c>
      <c r="HS95" s="54" t="str">
        <f t="shared" si="207"/>
        <v/>
      </c>
      <c r="HT95" s="54">
        <f>IF($J95="",#N/A,SUM($HS$4:HS95))</f>
        <v>5.9701270609959582</v>
      </c>
      <c r="HU95" s="65">
        <f t="shared" si="208"/>
        <v>0.16593886462882135</v>
      </c>
      <c r="HV95" s="65">
        <f>IF($J95="",#N/A,SUM(HU$4:$HU95))</f>
        <v>-7.0715777069005883</v>
      </c>
    </row>
    <row r="96" spans="1:230" x14ac:dyDescent="0.25">
      <c r="A96" s="51" t="s">
        <v>1463</v>
      </c>
      <c r="B96" s="52" t="s">
        <v>4522</v>
      </c>
      <c r="C96" s="229">
        <f t="shared" si="109"/>
        <v>2</v>
      </c>
      <c r="D96" s="219" t="str">
        <f>_xlfn.XLOOKUP(A96,[1]SP500!$A$2:$A$502,[1]SP500!$D$2:$D$502,"N")</f>
        <v>N</v>
      </c>
      <c r="E96" s="51" t="str">
        <f>IFERROR(_xlfn.XLOOKUP(A96,[1]SP500!$A$2:$A$655,[1]SP500!$B$2:$B$655),"")</f>
        <v>XLB</v>
      </c>
      <c r="F96" s="290">
        <v>45771</v>
      </c>
      <c r="G96" s="51" t="str">
        <f t="shared" si="110"/>
        <v>BMO</v>
      </c>
      <c r="H96" s="51" t="str">
        <f t="shared" si="111"/>
        <v>s</v>
      </c>
      <c r="I96" s="343">
        <v>29</v>
      </c>
      <c r="J96" s="124">
        <v>28.52</v>
      </c>
      <c r="K96" s="55">
        <f t="shared" si="112"/>
        <v>-1.6551724137931049E-2</v>
      </c>
      <c r="L96" s="67">
        <f t="shared" si="113"/>
        <v>14.399999999999977</v>
      </c>
      <c r="M96" s="57">
        <f t="shared" si="114"/>
        <v>0</v>
      </c>
      <c r="N96" s="102">
        <f t="shared" si="115"/>
        <v>14.399999999999977</v>
      </c>
      <c r="O96" s="57">
        <f>IF(N96="",#N/A,SUM($N$4:N96))</f>
        <v>-254.14882652042741</v>
      </c>
      <c r="P96" s="65">
        <f t="shared" si="209"/>
        <v>0.27586206896551685</v>
      </c>
      <c r="Q96" s="172">
        <f>IF($N96="",#N/A,SUM($P$4:P96))</f>
        <v>-0.86662670352377824</v>
      </c>
      <c r="R96" s="279">
        <f t="shared" si="116"/>
        <v>2.0377911874553769</v>
      </c>
      <c r="S96" s="51" t="str">
        <f t="shared" si="117"/>
        <v>Dwn</v>
      </c>
      <c r="T96" s="51" t="s">
        <v>4462</v>
      </c>
      <c r="U96" s="56">
        <f t="shared" si="118"/>
        <v>29</v>
      </c>
      <c r="V96" s="56" t="s">
        <v>4458</v>
      </c>
      <c r="W96" s="142">
        <v>30</v>
      </c>
      <c r="X96" s="145">
        <f t="shared" si="119"/>
        <v>870</v>
      </c>
      <c r="Y96" s="140">
        <f t="shared" si="120"/>
        <v>30</v>
      </c>
      <c r="Z96" s="123">
        <v>28.52</v>
      </c>
      <c r="AA96" s="102">
        <f t="shared" si="121"/>
        <v>14.399999999999977</v>
      </c>
      <c r="AB96" s="102">
        <f t="shared" si="122"/>
        <v>-22.800000000000068</v>
      </c>
      <c r="AC96" s="124">
        <v>29.76</v>
      </c>
      <c r="AD96" s="155">
        <f t="shared" si="123"/>
        <v>-22.800000000000068</v>
      </c>
      <c r="AE96" s="545">
        <f t="shared" si="124"/>
        <v>-0.43678160919540365</v>
      </c>
      <c r="AF96" s="57">
        <f>IF($AC96="",#N/A,SUM(AD$4:AD96))</f>
        <v>-585.92961897521752</v>
      </c>
      <c r="AG96" s="102">
        <f t="shared" si="125"/>
        <v>-37.200000000000045</v>
      </c>
      <c r="AH96" s="56" t="s">
        <v>2507</v>
      </c>
      <c r="AI96" s="65">
        <f t="shared" si="126"/>
        <v>0.27586206896551685</v>
      </c>
      <c r="AJ96" s="54">
        <f>IF(AI96="",#N/A,SUM($AI$4:AI96))</f>
        <v>-2.9044178909791554</v>
      </c>
      <c r="AK96" s="57">
        <f t="shared" si="127"/>
        <v>14.399999999999977</v>
      </c>
      <c r="AL96" s="349">
        <f>IF(AI96="",#N/A,IF(AH96="Skip",SUM($AK$4:AK96),SUM($AK$4:AK96)))</f>
        <v>-406.00769999999932</v>
      </c>
      <c r="AM96" s="65">
        <f t="shared" si="210"/>
        <v>-0.43678160919540365</v>
      </c>
      <c r="AN96" s="209"/>
      <c r="AO96" s="65" t="str">
        <f t="shared" si="128"/>
        <v/>
      </c>
      <c r="AP96" s="65">
        <f>IF($AC96="",#N/A,SUM(AO$4:AO96))</f>
        <v>2.2424865315894604</v>
      </c>
      <c r="AQ96" s="65" t="str">
        <f t="shared" si="129"/>
        <v/>
      </c>
      <c r="AR96" s="65">
        <f>IF($AC96="",#N/A,SUM(AQ$4:AQ96))</f>
        <v>-1.0879870612894522</v>
      </c>
      <c r="AS96" s="65">
        <f t="shared" si="130"/>
        <v>-0.43678160919540365</v>
      </c>
      <c r="AT96" s="65">
        <f>IF($AC96="",#N/A,SUM(AS$4:AS96))</f>
        <v>-8.6628587863960043</v>
      </c>
      <c r="AU96" s="57" t="str">
        <f t="shared" si="211"/>
        <v/>
      </c>
      <c r="AV96" s="57">
        <f>IF($AC96="",#N/A,SUM(AU$4:AU96))</f>
        <v>59.622552647784573</v>
      </c>
      <c r="AW96" s="57" t="str">
        <f t="shared" si="212"/>
        <v/>
      </c>
      <c r="AX96" s="57">
        <f>IF($AC96="",#N/A,SUM(AW$4:AW96))</f>
        <v>-66.900000000000205</v>
      </c>
      <c r="AY96" s="57">
        <f t="shared" si="213"/>
        <v>-22.800000000000068</v>
      </c>
      <c r="AZ96" s="57">
        <f>IF($AC96="",#N/A,SUM(AY$4:AY96))</f>
        <v>-578.65217162300189</v>
      </c>
      <c r="BA96" s="57">
        <f>IF(AD96="",#N/A,SUM($AD$4:AD96))</f>
        <v>-585.92961897521752</v>
      </c>
      <c r="BC96" s="51" t="str">
        <f t="shared" si="131"/>
        <v/>
      </c>
      <c r="BD96" s="51" t="str">
        <f t="shared" si="132"/>
        <v/>
      </c>
      <c r="BE96" s="51" t="str">
        <f t="shared" si="133"/>
        <v/>
      </c>
      <c r="BF96" s="51" t="str">
        <f t="shared" si="134"/>
        <v>Short</v>
      </c>
      <c r="BG96" s="51">
        <f t="shared" si="135"/>
        <v>1</v>
      </c>
      <c r="BH96" s="51" t="str">
        <f t="shared" si="136"/>
        <v/>
      </c>
      <c r="BI96" s="51" t="str">
        <f t="shared" si="137"/>
        <v/>
      </c>
      <c r="BK96" s="65">
        <f t="shared" si="108"/>
        <v>6.3384763801515392E-2</v>
      </c>
      <c r="BL96" s="65">
        <f t="shared" si="216"/>
        <v>-3.1241129376574719E-2</v>
      </c>
      <c r="BM96" s="65">
        <f>IFERROR(Q96/COUNTA($J$4:J96),#N/A)</f>
        <v>-9.3185667045567553E-3</v>
      </c>
      <c r="BO96" s="489" t="e">
        <f>IF(J96="",#N/A,IF(S96="SW",(COUNTIFS(K$4:$K96,"&gt;0",S$4:$S96,"SW")/COUNTIF(S$4:$S96,"SW")),#N/A))</f>
        <v>#N/A</v>
      </c>
      <c r="BP96" s="489">
        <f>IF($J96="",#N/A,IF($S96="DWN",(COUNTIFS($K$4:$K96,"&lt;0",$S$4:$S96,"DWN")/COUNTIF($S$4:$S96,"DWN")),#N/A))</f>
        <v>0.5</v>
      </c>
      <c r="BQ96" s="489" t="e">
        <f>IF($J96="",#N/A,IF($S96="UP",(COUNTIFS($K$4:$K96,"&gt;0",$S$4:$S96,"UP")/COUNTIF($S$4:$S96,"UP")),#N/A))</f>
        <v>#N/A</v>
      </c>
      <c r="BR96" s="489">
        <f>IF(J96="",#N/A,COUNTIF($K$4:K96,"&gt;0")/COUNT($J$4:J96))</f>
        <v>0.5053763440860215</v>
      </c>
      <c r="BS96" s="65" t="str">
        <f t="shared" si="138"/>
        <v/>
      </c>
      <c r="BT96" s="65" t="str">
        <f t="shared" si="139"/>
        <v/>
      </c>
      <c r="BU96" s="65">
        <f t="shared" si="140"/>
        <v>0.27586206896551685</v>
      </c>
      <c r="BV96" s="65" t="str">
        <f t="shared" si="141"/>
        <v/>
      </c>
      <c r="BW96" s="128" t="str">
        <f t="shared" si="142"/>
        <v/>
      </c>
      <c r="BX96" s="128">
        <f>IF($J96="",#N/A,SUM($BW$4:BW96))</f>
        <v>-91.165000000000305</v>
      </c>
      <c r="BY96" s="131">
        <f t="shared" si="143"/>
        <v>14.399999999999977</v>
      </c>
      <c r="BZ96" s="131">
        <f>IF($J96="",#N/A,SUM($BY$4:BY96))</f>
        <v>-177.4638504215477</v>
      </c>
      <c r="CA96" s="133" t="str">
        <f t="shared" si="144"/>
        <v/>
      </c>
      <c r="CB96" s="133">
        <f>IF($J96="",#N/A,SUM($CA$4:CA96))</f>
        <v>14.480023901120603</v>
      </c>
      <c r="CC96" s="194" t="str">
        <f t="shared" si="145"/>
        <v/>
      </c>
      <c r="CD96" s="194">
        <f>IF($J96="",#N/A,SUM($CC$4:CC96))</f>
        <v>-1.4632631312024809</v>
      </c>
      <c r="CE96" s="195">
        <f t="shared" si="146"/>
        <v>0.27586206896551685</v>
      </c>
      <c r="CF96" s="195">
        <f>IF($J96="",#N/A,SUM($CE$4:CE96))</f>
        <v>-1.8503306610252115</v>
      </c>
      <c r="CG96" s="196" t="str">
        <f t="shared" si="147"/>
        <v/>
      </c>
      <c r="CH96" s="193">
        <f>IF($J96="",#N/A,SUM($CG$4:CG96))</f>
        <v>2.4469670887039179</v>
      </c>
      <c r="CI96" s="200" t="str">
        <f t="shared" si="148"/>
        <v/>
      </c>
      <c r="CJ96" s="203">
        <f>IF($J96="",#N/A,SUM(CI$4:CI96))</f>
        <v>0</v>
      </c>
      <c r="CK96" s="204" t="str">
        <f t="shared" si="149"/>
        <v/>
      </c>
      <c r="CL96" s="204">
        <f>IF($J96="",#N/A,SUM(CK$4:CK96))</f>
        <v>1.8934431343190481</v>
      </c>
      <c r="CM96" s="205" t="str">
        <f t="shared" si="150"/>
        <v/>
      </c>
      <c r="CN96" s="205">
        <f>IF($J96="",#N/A,SUM(CM$4:CM96))</f>
        <v>2.5724959960693745</v>
      </c>
      <c r="CO96" s="205">
        <f>IF($J96="",#N/A,SUM(CM$4:CM96,CK$4:CK96,CI$4:CI96))</f>
        <v>4.4659391303884224</v>
      </c>
      <c r="CP96" s="200" t="str">
        <f t="shared" si="151"/>
        <v/>
      </c>
      <c r="CQ96" s="203">
        <f>IF($J96="",#N/A,SUM(CP$4:CP96))</f>
        <v>0</v>
      </c>
      <c r="CR96" s="204" t="str">
        <f t="shared" si="152"/>
        <v/>
      </c>
      <c r="CS96" s="204">
        <f>IF($J96="",#N/A,SUM(CR$4:CR96))</f>
        <v>0</v>
      </c>
      <c r="CT96" s="205" t="str">
        <f t="shared" si="153"/>
        <v/>
      </c>
      <c r="CU96" s="205">
        <f>IF($J96="",#N/A,SUM(CT$4:CT96))</f>
        <v>0</v>
      </c>
      <c r="CV96" s="205">
        <f>IF($J96="",#N/A,SUM(CT$4:CT96,CR$4:CR96,CP$4:CP96))</f>
        <v>0</v>
      </c>
      <c r="CW96" s="200" t="str">
        <f t="shared" si="154"/>
        <v/>
      </c>
      <c r="CX96" s="203">
        <f>IF($J96="",#N/A,SUM(CW$4:CW96))</f>
        <v>0</v>
      </c>
      <c r="CY96" s="204" t="str">
        <f t="shared" si="155"/>
        <v/>
      </c>
      <c r="CZ96" s="204">
        <f>IF($J96="",#N/A,SUM(CY$4:CY96))</f>
        <v>-0.67634330666682074</v>
      </c>
      <c r="DA96" s="205" t="str">
        <f t="shared" si="156"/>
        <v/>
      </c>
      <c r="DB96" s="205">
        <f>IF($J96="",#N/A,SUM(DA$4:DA96))</f>
        <v>1.3333187169494678</v>
      </c>
      <c r="DC96" s="205">
        <f>IF($J96="",#N/A,SUM(DA$4:DA96,CY$4:CY96,CW$4:CW96))</f>
        <v>0.65697541028264705</v>
      </c>
      <c r="DD96" s="200" t="str">
        <f t="shared" si="157"/>
        <v/>
      </c>
      <c r="DE96" s="203">
        <f>IF($J96="",#N/A,SUM(DD$4:DD96))</f>
        <v>0.4905246481018824</v>
      </c>
      <c r="DF96" s="204" t="str">
        <f t="shared" si="158"/>
        <v/>
      </c>
      <c r="DG96" s="204">
        <f>IF($J96="",#N/A,SUM(DF$4:DF96))</f>
        <v>0.6788440567066546</v>
      </c>
      <c r="DH96" s="205" t="str">
        <f t="shared" si="159"/>
        <v/>
      </c>
      <c r="DI96" s="205">
        <f>IF($J96="",#N/A,SUM(DH$4:DH96))</f>
        <v>-1.3576828656466722</v>
      </c>
      <c r="DJ96" s="205">
        <f>IF($J96="",#N/A,SUM(DH$4:DH96,DF$4:DF96,DD$4:DD96))</f>
        <v>-0.18831416083813518</v>
      </c>
      <c r="DK96" s="200" t="str">
        <f t="shared" si="160"/>
        <v/>
      </c>
      <c r="DL96" s="203">
        <f>IF($J96="",#N/A,SUM(DK$4:DK96))</f>
        <v>0</v>
      </c>
      <c r="DM96" s="204" t="str">
        <f t="shared" si="161"/>
        <v/>
      </c>
      <c r="DN96" s="204">
        <f>IF($J96="",#N/A,SUM(DM$4:DM96))</f>
        <v>1.5662171418887725</v>
      </c>
      <c r="DO96" s="205" t="str">
        <f t="shared" si="162"/>
        <v/>
      </c>
      <c r="DP96" s="205">
        <f>IF($J96="",#N/A,SUM(DO$4:DO96))</f>
        <v>-0.43291760746858676</v>
      </c>
      <c r="DQ96" s="205">
        <f>IF($J96="",#N/A,SUM(DO$4:DO96,DM$4:DM96,DK$4:DK96))</f>
        <v>1.1332995344201857</v>
      </c>
      <c r="DR96" s="200" t="str">
        <f t="shared" si="163"/>
        <v/>
      </c>
      <c r="DS96" s="203">
        <f>IF($J96="",#N/A,SUM(DR$4:DR96))</f>
        <v>-0.55950946427675097</v>
      </c>
      <c r="DT96" s="204" t="str">
        <f t="shared" si="164"/>
        <v/>
      </c>
      <c r="DU96" s="204">
        <f>IF($J96="",#N/A,SUM(DT$4:DT96))</f>
        <v>-2.8875364672150718</v>
      </c>
      <c r="DV96" s="205" t="str">
        <f t="shared" si="165"/>
        <v/>
      </c>
      <c r="DW96" s="205">
        <f>IF($J96="",#N/A,SUM(DV$4:DV96))</f>
        <v>-2.6814706788983136</v>
      </c>
      <c r="DX96" s="205">
        <f>IF($J96="",#N/A,SUM(DV$4:DV96,DT$4:DT96,DR$4:DR96))</f>
        <v>-6.1285166103901361</v>
      </c>
      <c r="DY96" s="200" t="str">
        <f t="shared" si="166"/>
        <v/>
      </c>
      <c r="DZ96" s="203">
        <f>IF($J96="",#N/A,SUM(DY$4:DY96))</f>
        <v>-1.4611133068588897</v>
      </c>
      <c r="EA96" s="204" t="str">
        <f t="shared" si="167"/>
        <v/>
      </c>
      <c r="EB96" s="204">
        <f>IF($J96="",#N/A,SUM(EA$4:EA96))</f>
        <v>-0.36153038830642437</v>
      </c>
      <c r="EC96" s="205" t="str">
        <f t="shared" si="168"/>
        <v/>
      </c>
      <c r="ED96" s="205">
        <f>IF($J96="",#N/A,SUM(EC$4:EC96))</f>
        <v>2.3678422306140781</v>
      </c>
      <c r="EE96" s="205">
        <f>IF($J96="",#N/A,SUM(EC$4:EC96,EA$4:EA96,DY$4:DY96))</f>
        <v>0.54519853544876384</v>
      </c>
      <c r="EF96" s="200" t="str">
        <f t="shared" si="169"/>
        <v/>
      </c>
      <c r="EG96" s="203">
        <f>IF($J96="",#N/A,SUM(EF$4:EF96))</f>
        <v>0</v>
      </c>
      <c r="EH96" s="204" t="str">
        <f t="shared" si="170"/>
        <v/>
      </c>
      <c r="EI96" s="204">
        <f>IF($J96="",#N/A,SUM(EH$4:EH96))</f>
        <v>-2.9174018315702313</v>
      </c>
      <c r="EJ96" s="205" t="str">
        <f t="shared" si="171"/>
        <v/>
      </c>
      <c r="EK96" s="205">
        <f>IF($J96="",#N/A,SUM(EJ$4:EJ96))</f>
        <v>2.2116398676705207</v>
      </c>
      <c r="EL96" s="205">
        <f>IF($J96="",#N/A,SUM(EJ$4:EJ96,EH$4:EH96,EF$4:EF96))</f>
        <v>-0.70576196389971035</v>
      </c>
      <c r="EM96" s="200" t="str">
        <f t="shared" si="172"/>
        <v/>
      </c>
      <c r="EN96" s="203">
        <f>IF($J96="",#N/A,SUM(EM$4:EM96))</f>
        <v>0</v>
      </c>
      <c r="EO96" s="204">
        <f t="shared" si="173"/>
        <v>0.27586206896551685</v>
      </c>
      <c r="EP96" s="204">
        <f>IF($J96="",#N/A,SUM(EO$4:EO96))</f>
        <v>0.83968166820063983</v>
      </c>
      <c r="EQ96" s="205" t="str">
        <f t="shared" si="174"/>
        <v/>
      </c>
      <c r="ER96" s="205">
        <f>IF($J96="",#N/A,SUM(EQ$4:EQ96))</f>
        <v>0.4926597949853756</v>
      </c>
      <c r="ES96" s="205">
        <f>IF($J96="",#N/A,SUM(EQ$4:EQ96,EO$4:EO96,EM$4:EM96))</f>
        <v>1.3323414631860153</v>
      </c>
      <c r="ET96" s="200" t="str">
        <f t="shared" si="175"/>
        <v/>
      </c>
      <c r="EU96" s="203">
        <f>IF($J96="",#N/A,SUM(ET$4:ET96))</f>
        <v>0</v>
      </c>
      <c r="EV96" s="204" t="str">
        <f t="shared" si="176"/>
        <v/>
      </c>
      <c r="EW96" s="204">
        <f>IF($J96="",#N/A,SUM(EV$4:EV96))</f>
        <v>-0.73430241270792684</v>
      </c>
      <c r="EX96" s="205" t="str">
        <f t="shared" si="177"/>
        <v/>
      </c>
      <c r="EY96" s="205">
        <f>IF($J96="",#N/A,SUM(EX$4:EX96))</f>
        <v>1.367071968452185</v>
      </c>
      <c r="EZ96" s="205">
        <f>IF($J96="",#N/A,SUM(EX$4:EX96,EV$4:EV96,ET$4:ET96))</f>
        <v>0.63276955574425819</v>
      </c>
      <c r="FA96" s="200" t="str">
        <f t="shared" si="178"/>
        <v/>
      </c>
      <c r="FB96" s="203">
        <f>IF($J96="",#N/A,SUM(FA$4:FA96))</f>
        <v>0</v>
      </c>
      <c r="FC96" s="204" t="str">
        <f t="shared" si="179"/>
        <v/>
      </c>
      <c r="FD96" s="204">
        <f>IF($J96="",#N/A,SUM(FC$4:FC96))</f>
        <v>1.154074230495441</v>
      </c>
      <c r="FE96" s="205" t="str">
        <f t="shared" si="180"/>
        <v/>
      </c>
      <c r="FF96" s="205">
        <f>IF($J96="",#N/A,SUM(FE$4:FE96))</f>
        <v>-0.28811149078748233</v>
      </c>
      <c r="FG96" s="205">
        <f>IF($J96="",#N/A,SUM(FE$4:FE96,FC$4:FC96,FA$4:FA96))</f>
        <v>0.86596273970795878</v>
      </c>
      <c r="FH96" s="200" t="str">
        <f t="shared" si="181"/>
        <v/>
      </c>
      <c r="FI96" s="203">
        <f>IF($J96="",#N/A,SUM(FH$4:FH96))</f>
        <v>0</v>
      </c>
      <c r="FJ96" s="204" t="str">
        <f t="shared" si="182"/>
        <v/>
      </c>
      <c r="FK96" s="204">
        <f>IF($J96="",#N/A,SUM(FJ$4:FJ96))</f>
        <v>0</v>
      </c>
      <c r="FL96" s="205" t="str">
        <f t="shared" si="183"/>
        <v/>
      </c>
      <c r="FM96" s="205">
        <f>IF($J96="",#N/A,SUM(FL$4:FL96))</f>
        <v>0</v>
      </c>
      <c r="FN96" s="205">
        <f>IF($J96="",#N/A,SUM(FL$4:FL96,FJ$4:FJ96,FH$4:FH96))</f>
        <v>0</v>
      </c>
      <c r="FO96" s="200" t="str">
        <f t="shared" si="184"/>
        <v/>
      </c>
      <c r="FP96" s="203">
        <f>IF($J96="",#N/A,SUM(FO$4:FO96))</f>
        <v>0</v>
      </c>
      <c r="FQ96" s="204" t="str">
        <f t="shared" si="185"/>
        <v/>
      </c>
      <c r="FR96" s="204">
        <f>IF($J96="",#N/A,SUM(FQ$4:FQ96))</f>
        <v>0</v>
      </c>
      <c r="FS96" s="205" t="str">
        <f t="shared" si="186"/>
        <v/>
      </c>
      <c r="FT96" s="205">
        <f>IF($J96="",#N/A,SUM(FS$4:FS96))</f>
        <v>0</v>
      </c>
      <c r="FU96" s="205">
        <f>IF($J96="",#N/A,SUM(FS$4:FS96,FQ$4:FQ96,FO$4:FO96))</f>
        <v>0</v>
      </c>
      <c r="FV96" s="200" t="str">
        <f t="shared" si="187"/>
        <v/>
      </c>
      <c r="FW96" s="203">
        <f>IF($J96="",#N/A,SUM(FV$4:FV96))</f>
        <v>6.6834991831277585E-2</v>
      </c>
      <c r="FX96" s="204" t="str">
        <f t="shared" si="188"/>
        <v/>
      </c>
      <c r="FY96" s="204">
        <f>IF($J96="",#N/A,SUM(FX$4:FX96))</f>
        <v>0</v>
      </c>
      <c r="FZ96" s="205" t="str">
        <f t="shared" si="189"/>
        <v/>
      </c>
      <c r="GA96" s="205">
        <f>IF($J96="",#N/A,SUM(FZ$4:FZ96))</f>
        <v>-0.20104261551371039</v>
      </c>
      <c r="GB96" s="205">
        <f>IF($J96="",#N/A,SUM(FZ$4:FZ96,FX$4:FX96,FV$4:FV96))</f>
        <v>-0.1342076236824328</v>
      </c>
      <c r="GC96" s="200" t="str">
        <f t="shared" si="190"/>
        <v/>
      </c>
      <c r="GD96" s="203">
        <f>IF($J96="",#N/A,SUM(GC$4:GC96))</f>
        <v>0</v>
      </c>
      <c r="GE96" s="204" t="str">
        <f t="shared" si="191"/>
        <v/>
      </c>
      <c r="GF96" s="204">
        <f>IF($J96="",#N/A,SUM(GE$4:GE96))</f>
        <v>0</v>
      </c>
      <c r="GG96" s="205" t="str">
        <f t="shared" si="192"/>
        <v/>
      </c>
      <c r="GH96" s="205">
        <f>IF($J96="",#N/A,SUM(GG$4:GG96))</f>
        <v>-2.9368362277223206</v>
      </c>
      <c r="GI96" s="205">
        <f>IF($J96="",#N/A,SUM(GG$4:GG96,GE$4:GE96,GC$4:GC96))</f>
        <v>-2.9368362277223206</v>
      </c>
      <c r="GJ96" s="200" t="str">
        <f t="shared" si="193"/>
        <v/>
      </c>
      <c r="GK96" s="203">
        <f>IF($J96="",#N/A,SUM(GJ$4:GJ96))</f>
        <v>0</v>
      </c>
      <c r="GL96" s="204" t="str">
        <f t="shared" si="194"/>
        <v/>
      </c>
      <c r="GM96" s="204">
        <f>IF($J96="",#N/A,SUM(GL$4:GL96))</f>
        <v>-0.4054764861692941</v>
      </c>
      <c r="GN96" s="205" t="str">
        <f t="shared" si="195"/>
        <v/>
      </c>
      <c r="GO96" s="205">
        <f>IF($J96="",#N/A,SUM(GN$4:GN96))</f>
        <v>0</v>
      </c>
      <c r="GP96" s="205">
        <f>IF($J96="",#N/A,SUM(GN$4:GN96,GL$4:GL96,GJ$4:GJ96))</f>
        <v>-0.4054764861692941</v>
      </c>
      <c r="GS96" s="54" t="str">
        <f t="shared" si="214"/>
        <v/>
      </c>
      <c r="GT96" s="54" t="e">
        <f>IF(GS96="",NA(),SUM($GS$4:GS96))</f>
        <v>#N/A</v>
      </c>
      <c r="GU96" s="54" t="str">
        <f t="shared" si="196"/>
        <v/>
      </c>
      <c r="GV96" s="54" t="e">
        <f>IF(GU96="",NA(),SUM($GU$4:GU96))</f>
        <v>#N/A</v>
      </c>
      <c r="GW96" s="54" t="str">
        <f t="shared" si="197"/>
        <v/>
      </c>
      <c r="GX96" s="54" t="e">
        <f>IF(GW96="",NA(),SUM($GW$4:GW96))</f>
        <v>#N/A</v>
      </c>
      <c r="GY96" s="54" t="str">
        <f t="shared" si="198"/>
        <v/>
      </c>
      <c r="GZ96" s="54" t="e">
        <f>IF(GY96="",NA(),SUM($GY$4:GY96))</f>
        <v>#N/A</v>
      </c>
      <c r="HA96" s="54">
        <f t="shared" si="199"/>
        <v>0.27586206896551685</v>
      </c>
      <c r="HB96" s="54">
        <f>IF(HA96="",NA(),SUM($HA$4:HA96))</f>
        <v>0.47785088189280223</v>
      </c>
      <c r="HC96" s="54" t="str">
        <f t="shared" si="200"/>
        <v/>
      </c>
      <c r="HD96" s="54" t="e">
        <f>IF(HC96="",NA(),SUM($HC$4:HC96))</f>
        <v>#N/A</v>
      </c>
      <c r="HE96" s="54" t="str">
        <f t="shared" si="201"/>
        <v/>
      </c>
      <c r="HF96" s="54" t="e">
        <f>IF(HE96="",NA(),SUM($HE$4:HE96))</f>
        <v>#N/A</v>
      </c>
      <c r="HG96" s="54">
        <f t="shared" si="202"/>
        <v>0.27586206896551685</v>
      </c>
      <c r="HH96" s="54">
        <f>IF(HG96="",NA(),SUM($HG$4:HG96))</f>
        <v>0.27586206896551685</v>
      </c>
      <c r="HI96" s="172">
        <f t="shared" si="215"/>
        <v>-0.71264367816092045</v>
      </c>
      <c r="HJ96" s="172">
        <f>IF($J96="",#N/A,SUM(HI$4:$HI96))</f>
        <v>-3.1128891118063997</v>
      </c>
      <c r="HK96" s="54" t="str">
        <f t="shared" si="203"/>
        <v/>
      </c>
      <c r="HL96" s="54">
        <f>IF($J96="",#N/A,SUM($HK$4:HK96))</f>
        <v>-3.6996390135643913</v>
      </c>
      <c r="HM96" s="54" t="str">
        <f t="shared" si="204"/>
        <v/>
      </c>
      <c r="HN96" s="54">
        <f>IF($J96="",#N/A,SUM($HM$4:HM96))</f>
        <v>0.72020221657224703</v>
      </c>
      <c r="HO96" s="54" t="str">
        <f t="shared" si="205"/>
        <v/>
      </c>
      <c r="HP96" s="54">
        <f>IF($J96="",#N/A,SUM($HO$4:HO96))</f>
        <v>-0.34492614665921834</v>
      </c>
      <c r="HQ96" s="54" t="str">
        <f t="shared" si="206"/>
        <v/>
      </c>
      <c r="HR96" s="54">
        <f>IF($J96="",#N/A,SUM($HQ$4:HQ96))</f>
        <v>-6.1746076181104117</v>
      </c>
      <c r="HS96" s="54" t="str">
        <f t="shared" si="207"/>
        <v/>
      </c>
      <c r="HT96" s="54">
        <f>IF($J96="",#N/A,SUM($HS$4:HS96))</f>
        <v>5.9701270609959582</v>
      </c>
      <c r="HU96" s="65">
        <f t="shared" si="208"/>
        <v>-0.43678160919540365</v>
      </c>
      <c r="HV96" s="65">
        <f>IF($J96="",#N/A,SUM(HU$4:$HU96))</f>
        <v>-7.5083593160959916</v>
      </c>
    </row>
    <row r="97" spans="1:230" x14ac:dyDescent="0.25">
      <c r="A97" s="51" t="s">
        <v>1471</v>
      </c>
      <c r="B97" s="52" t="s">
        <v>4522</v>
      </c>
      <c r="C97" s="229">
        <f t="shared" si="109"/>
        <v>3</v>
      </c>
      <c r="D97" s="219" t="str">
        <f>_xlfn.XLOOKUP(A97,[1]SP500!$A$2:$A$502,[1]SP500!$D$2:$D$502,"N")</f>
        <v>Y</v>
      </c>
      <c r="E97" s="51" t="str">
        <f>IFERROR(_xlfn.XLOOKUP(A97,[1]SP500!$A$2:$A$655,[1]SP500!$B$2:$B$655),"")</f>
        <v>XLY</v>
      </c>
      <c r="F97" s="290">
        <v>45771</v>
      </c>
      <c r="G97" s="51" t="str">
        <f t="shared" si="110"/>
        <v>BMO</v>
      </c>
      <c r="H97" s="51" t="str">
        <f t="shared" si="111"/>
        <v>sk</v>
      </c>
      <c r="I97" s="344">
        <v>50.71</v>
      </c>
      <c r="J97" s="124">
        <v>48.1</v>
      </c>
      <c r="K97" s="55">
        <f t="shared" si="112"/>
        <v>-5.1469138237034105E-2</v>
      </c>
      <c r="L97" s="67">
        <f t="shared" si="113"/>
        <v>-43.748767501479051</v>
      </c>
      <c r="M97" s="57" t="e">
        <f t="shared" si="114"/>
        <v>#N/A</v>
      </c>
      <c r="N97" s="102">
        <f t="shared" si="115"/>
        <v>-43.748767501479051</v>
      </c>
      <c r="O97" s="57">
        <f>IF(N97="",#N/A,SUM($N$4:N97))</f>
        <v>-297.89759402190646</v>
      </c>
      <c r="P97" s="65">
        <f t="shared" si="209"/>
        <v>-0.85781897061723633</v>
      </c>
      <c r="Q97" s="172">
        <f>IF($N97="",#N/A,SUM($P$4:P97))</f>
        <v>-1.7244456741410146</v>
      </c>
      <c r="R97" s="279">
        <f t="shared" si="116"/>
        <v>1.1799722168381408</v>
      </c>
      <c r="S97" s="51" t="str">
        <f t="shared" si="117"/>
        <v>SW</v>
      </c>
      <c r="T97" s="51" t="s">
        <v>2828</v>
      </c>
      <c r="U97" s="56">
        <f t="shared" si="118"/>
        <v>50.71</v>
      </c>
      <c r="V97" s="56" t="s">
        <v>4460</v>
      </c>
      <c r="W97" s="340">
        <f>IF(I97="","",850/I97)</f>
        <v>16.761979885624136</v>
      </c>
      <c r="X97" s="145">
        <f t="shared" si="119"/>
        <v>850</v>
      </c>
      <c r="Y97" s="73">
        <f t="shared" si="120"/>
        <v>16.761979885624136</v>
      </c>
      <c r="Z97" s="538">
        <f>J97</f>
        <v>48.1</v>
      </c>
      <c r="AA97" s="102">
        <f t="shared" si="121"/>
        <v>-43.748767501479051</v>
      </c>
      <c r="AB97" s="102">
        <f t="shared" si="122"/>
        <v>-28.662985604417372</v>
      </c>
      <c r="AC97" s="123">
        <v>49</v>
      </c>
      <c r="AD97" s="155">
        <f t="shared" si="123"/>
        <v>-28.662985604417372</v>
      </c>
      <c r="AE97" s="545">
        <f t="shared" si="124"/>
        <v>-0.56201932557681122</v>
      </c>
      <c r="AF97" s="57">
        <f>IF($AC97="",#N/A,SUM(AD$4:AD97))</f>
        <v>-614.59260457963489</v>
      </c>
      <c r="AG97" s="102">
        <f t="shared" si="125"/>
        <v>15.085781897061679</v>
      </c>
      <c r="AH97" s="56" t="s">
        <v>4464</v>
      </c>
      <c r="AI97" s="65">
        <f t="shared" si="126"/>
        <v>0</v>
      </c>
      <c r="AJ97" s="54">
        <f>IF(AI97="",#N/A,SUM($AI$4:AI97))</f>
        <v>-2.9044178909791554</v>
      </c>
      <c r="AK97" s="57" t="str">
        <f t="shared" si="127"/>
        <v/>
      </c>
      <c r="AL97" s="349">
        <f>IF(AI97="",#N/A,IF(AH97="Skip",SUM($AK$4:AK97),SUM($AK$4:AK97)))</f>
        <v>-406.00769999999932</v>
      </c>
      <c r="AM97" s="65">
        <f t="shared" si="210"/>
        <v>-0.56201932557681122</v>
      </c>
      <c r="AN97" s="209"/>
      <c r="AO97" s="65">
        <f t="shared" si="128"/>
        <v>-0.56201932557681122</v>
      </c>
      <c r="AP97" s="65">
        <f>IF($AC97="",#N/A,SUM(AO$4:AO97))</f>
        <v>1.6804672060126493</v>
      </c>
      <c r="AQ97" s="65" t="str">
        <f t="shared" si="129"/>
        <v/>
      </c>
      <c r="AR97" s="65">
        <f>IF($AC97="",#N/A,SUM(AQ$4:AQ97))</f>
        <v>-1.0879870612894522</v>
      </c>
      <c r="AS97" s="65" t="str">
        <f t="shared" si="130"/>
        <v/>
      </c>
      <c r="AT97" s="65">
        <f>IF($AC97="",#N/A,SUM(AS$4:AS97))</f>
        <v>-8.6628587863960043</v>
      </c>
      <c r="AU97" s="57">
        <f t="shared" si="211"/>
        <v>-28.662985604417372</v>
      </c>
      <c r="AV97" s="57">
        <f>IF($AC97="",#N/A,SUM(AU$4:AU97))</f>
        <v>30.959567043367201</v>
      </c>
      <c r="AW97" s="57" t="str">
        <f t="shared" si="212"/>
        <v/>
      </c>
      <c r="AX97" s="57">
        <f>IF($AC97="",#N/A,SUM(AW$4:AW97))</f>
        <v>-66.900000000000205</v>
      </c>
      <c r="AY97" s="57" t="str">
        <f t="shared" si="213"/>
        <v/>
      </c>
      <c r="AZ97" s="57">
        <f>IF($AC97="",#N/A,SUM(AY$4:AY97))</f>
        <v>-578.65217162300189</v>
      </c>
      <c r="BA97" s="57">
        <f>IF(AD97="",#N/A,SUM($AD$4:AD97))</f>
        <v>-614.59260457963489</v>
      </c>
      <c r="BC97" s="51" t="str">
        <f t="shared" si="131"/>
        <v/>
      </c>
      <c r="BD97" s="51" t="str">
        <f t="shared" si="132"/>
        <v/>
      </c>
      <c r="BE97" s="51" t="str">
        <f t="shared" si="133"/>
        <v/>
      </c>
      <c r="BF97" s="51" t="str">
        <f t="shared" si="134"/>
        <v>Long</v>
      </c>
      <c r="BG97" s="51" t="str">
        <f t="shared" si="135"/>
        <v/>
      </c>
      <c r="BH97" s="51" t="str">
        <f t="shared" si="136"/>
        <v/>
      </c>
      <c r="BI97" s="51">
        <f t="shared" si="137"/>
        <v>1</v>
      </c>
      <c r="BK97" s="65">
        <f t="shared" si="108"/>
        <v>5.3527087704645468E-2</v>
      </c>
      <c r="BL97" s="65">
        <f t="shared" si="216"/>
        <v>-8.5174874125339473E-2</v>
      </c>
      <c r="BM97" s="65">
        <f>IFERROR(Q97/COUNTA($J$4:J97),#N/A)</f>
        <v>-1.8345166746181005E-2</v>
      </c>
      <c r="BO97" s="489">
        <f>IF(J97="",#N/A,IF(S97="SW",(COUNTIFS(K$4:$K97,"&gt;0",S$4:$S97,"SW")/COUNTIF(S$4:$S97,"SW")),#N/A))</f>
        <v>0.5</v>
      </c>
      <c r="BP97" s="489" t="e">
        <f>IF($J97="",#N/A,IF($S97="DWN",(COUNTIFS($K$4:$K97,"&lt;0",$S$4:$S97,"DWN")/COUNTIF($S$4:$S97,"DWN")),#N/A))</f>
        <v>#N/A</v>
      </c>
      <c r="BQ97" s="489" t="e">
        <f>IF($J97="",#N/A,IF($S97="UP",(COUNTIFS($K$4:$K97,"&gt;0",$S$4:$S97,"UP")/COUNTIF($S$4:$S97,"UP")),#N/A))</f>
        <v>#N/A</v>
      </c>
      <c r="BR97" s="489">
        <f>IF(J97="",#N/A,COUNTIF($K$4:K97,"&gt;0")/COUNT($J$4:J97))</f>
        <v>0.5</v>
      </c>
      <c r="BS97" s="65" t="str">
        <f t="shared" si="138"/>
        <v/>
      </c>
      <c r="BT97" s="65" t="str">
        <f t="shared" si="139"/>
        <v/>
      </c>
      <c r="BU97" s="65" t="str">
        <f t="shared" si="140"/>
        <v/>
      </c>
      <c r="BV97" s="65" t="str">
        <f t="shared" si="141"/>
        <v/>
      </c>
      <c r="BW97" s="128" t="str">
        <f t="shared" si="142"/>
        <v/>
      </c>
      <c r="BX97" s="128">
        <f>IF($J97="",#N/A,SUM($BW$4:BW97))</f>
        <v>-91.165000000000305</v>
      </c>
      <c r="BY97" s="131" t="str">
        <f t="shared" si="143"/>
        <v/>
      </c>
      <c r="BZ97" s="131">
        <f>IF($J97="",#N/A,SUM($BY$4:BY97))</f>
        <v>-177.4638504215477</v>
      </c>
      <c r="CA97" s="133">
        <f t="shared" si="144"/>
        <v>-43.748767501479051</v>
      </c>
      <c r="CB97" s="133">
        <f>IF($J97="",#N/A,SUM($CA$4:CA97))</f>
        <v>-29.268743600358448</v>
      </c>
      <c r="CC97" s="194" t="str">
        <f t="shared" si="145"/>
        <v/>
      </c>
      <c r="CD97" s="194">
        <f>IF($J97="",#N/A,SUM($CC$4:CC97))</f>
        <v>-1.4632631312024809</v>
      </c>
      <c r="CE97" s="195" t="str">
        <f t="shared" si="146"/>
        <v/>
      </c>
      <c r="CF97" s="195">
        <f>IF($J97="",#N/A,SUM($CE$4:CE97))</f>
        <v>-1.8503306610252115</v>
      </c>
      <c r="CG97" s="196">
        <f t="shared" si="147"/>
        <v>-0.85781897061723633</v>
      </c>
      <c r="CH97" s="193">
        <f>IF($J97="",#N/A,SUM($CG$4:CG97))</f>
        <v>1.5891481180866815</v>
      </c>
      <c r="CI97" s="200" t="str">
        <f t="shared" si="148"/>
        <v/>
      </c>
      <c r="CJ97" s="203">
        <f>IF($J97="",#N/A,SUM(CI$4:CI97))</f>
        <v>0</v>
      </c>
      <c r="CK97" s="204" t="str">
        <f t="shared" si="149"/>
        <v/>
      </c>
      <c r="CL97" s="204">
        <f>IF($J97="",#N/A,SUM(CK$4:CK97))</f>
        <v>1.8934431343190481</v>
      </c>
      <c r="CM97" s="205" t="str">
        <f t="shared" si="150"/>
        <v/>
      </c>
      <c r="CN97" s="205">
        <f>IF($J97="",#N/A,SUM(CM$4:CM97))</f>
        <v>2.5724959960693745</v>
      </c>
      <c r="CO97" s="205">
        <f>IF($J97="",#N/A,SUM(CM$4:CM97,CK$4:CK97,CI$4:CI97))</f>
        <v>4.4659391303884224</v>
      </c>
      <c r="CP97" s="200" t="str">
        <f t="shared" si="151"/>
        <v/>
      </c>
      <c r="CQ97" s="203">
        <f>IF($J97="",#N/A,SUM(CP$4:CP97))</f>
        <v>0</v>
      </c>
      <c r="CR97" s="204" t="str">
        <f t="shared" si="152"/>
        <v/>
      </c>
      <c r="CS97" s="204">
        <f>IF($J97="",#N/A,SUM(CR$4:CR97))</f>
        <v>0</v>
      </c>
      <c r="CT97" s="205" t="str">
        <f t="shared" si="153"/>
        <v/>
      </c>
      <c r="CU97" s="205">
        <f>IF($J97="",#N/A,SUM(CT$4:CT97))</f>
        <v>0</v>
      </c>
      <c r="CV97" s="205">
        <f>IF($J97="",#N/A,SUM(CT$4:CT97,CR$4:CR97,CP$4:CP97))</f>
        <v>0</v>
      </c>
      <c r="CW97" s="200" t="str">
        <f t="shared" si="154"/>
        <v/>
      </c>
      <c r="CX97" s="203">
        <f>IF($J97="",#N/A,SUM(CW$4:CW97))</f>
        <v>0</v>
      </c>
      <c r="CY97" s="204" t="str">
        <f t="shared" si="155"/>
        <v/>
      </c>
      <c r="CZ97" s="204">
        <f>IF($J97="",#N/A,SUM(CY$4:CY97))</f>
        <v>-0.67634330666682074</v>
      </c>
      <c r="DA97" s="205">
        <f t="shared" si="156"/>
        <v>-0.85781897061723633</v>
      </c>
      <c r="DB97" s="205">
        <f>IF($J97="",#N/A,SUM(DA$4:DA97))</f>
        <v>0.47549974633223147</v>
      </c>
      <c r="DC97" s="205">
        <f>IF($J97="",#N/A,SUM(DA$4:DA97,CY$4:CY97,CW$4:CW97))</f>
        <v>-0.20084356033458922</v>
      </c>
      <c r="DD97" s="200" t="str">
        <f t="shared" si="157"/>
        <v/>
      </c>
      <c r="DE97" s="203">
        <f>IF($J97="",#N/A,SUM(DD$4:DD97))</f>
        <v>0.4905246481018824</v>
      </c>
      <c r="DF97" s="204" t="str">
        <f t="shared" si="158"/>
        <v/>
      </c>
      <c r="DG97" s="204">
        <f>IF($J97="",#N/A,SUM(DF$4:DF97))</f>
        <v>0.6788440567066546</v>
      </c>
      <c r="DH97" s="205" t="str">
        <f t="shared" si="159"/>
        <v/>
      </c>
      <c r="DI97" s="205">
        <f>IF($J97="",#N/A,SUM(DH$4:DH97))</f>
        <v>-1.3576828656466722</v>
      </c>
      <c r="DJ97" s="205">
        <f>IF($J97="",#N/A,SUM(DH$4:DH97,DF$4:DF97,DD$4:DD97))</f>
        <v>-0.18831416083813518</v>
      </c>
      <c r="DK97" s="200" t="str">
        <f t="shared" si="160"/>
        <v/>
      </c>
      <c r="DL97" s="203">
        <f>IF($J97="",#N/A,SUM(DK$4:DK97))</f>
        <v>0</v>
      </c>
      <c r="DM97" s="204" t="str">
        <f t="shared" si="161"/>
        <v/>
      </c>
      <c r="DN97" s="204">
        <f>IF($J97="",#N/A,SUM(DM$4:DM97))</f>
        <v>1.5662171418887725</v>
      </c>
      <c r="DO97" s="205" t="str">
        <f t="shared" si="162"/>
        <v/>
      </c>
      <c r="DP97" s="205">
        <f>IF($J97="",#N/A,SUM(DO$4:DO97))</f>
        <v>-0.43291760746858676</v>
      </c>
      <c r="DQ97" s="205">
        <f>IF($J97="",#N/A,SUM(DO$4:DO97,DM$4:DM97,DK$4:DK97))</f>
        <v>1.1332995344201857</v>
      </c>
      <c r="DR97" s="200" t="str">
        <f t="shared" si="163"/>
        <v/>
      </c>
      <c r="DS97" s="203">
        <f>IF($J97="",#N/A,SUM(DR$4:DR97))</f>
        <v>-0.55950946427675097</v>
      </c>
      <c r="DT97" s="204" t="str">
        <f t="shared" si="164"/>
        <v/>
      </c>
      <c r="DU97" s="204">
        <f>IF($J97="",#N/A,SUM(DT$4:DT97))</f>
        <v>-2.8875364672150718</v>
      </c>
      <c r="DV97" s="205" t="str">
        <f t="shared" si="165"/>
        <v/>
      </c>
      <c r="DW97" s="205">
        <f>IF($J97="",#N/A,SUM(DV$4:DV97))</f>
        <v>-2.6814706788983136</v>
      </c>
      <c r="DX97" s="205">
        <f>IF($J97="",#N/A,SUM(DV$4:DV97,DT$4:DT97,DR$4:DR97))</f>
        <v>-6.1285166103901361</v>
      </c>
      <c r="DY97" s="200" t="str">
        <f t="shared" si="166"/>
        <v/>
      </c>
      <c r="DZ97" s="203">
        <f>IF($J97="",#N/A,SUM(DY$4:DY97))</f>
        <v>-1.4611133068588897</v>
      </c>
      <c r="EA97" s="204" t="str">
        <f t="shared" si="167"/>
        <v/>
      </c>
      <c r="EB97" s="204">
        <f>IF($J97="",#N/A,SUM(EA$4:EA97))</f>
        <v>-0.36153038830642437</v>
      </c>
      <c r="EC97" s="205" t="str">
        <f t="shared" si="168"/>
        <v/>
      </c>
      <c r="ED97" s="205">
        <f>IF($J97="",#N/A,SUM(EC$4:EC97))</f>
        <v>2.3678422306140781</v>
      </c>
      <c r="EE97" s="205">
        <f>IF($J97="",#N/A,SUM(EC$4:EC97,EA$4:EA97,DY$4:DY97))</f>
        <v>0.54519853544876384</v>
      </c>
      <c r="EF97" s="200" t="str">
        <f t="shared" si="169"/>
        <v/>
      </c>
      <c r="EG97" s="203">
        <f>IF($J97="",#N/A,SUM(EF$4:EF97))</f>
        <v>0</v>
      </c>
      <c r="EH97" s="204" t="str">
        <f t="shared" si="170"/>
        <v/>
      </c>
      <c r="EI97" s="204">
        <f>IF($J97="",#N/A,SUM(EH$4:EH97))</f>
        <v>-2.9174018315702313</v>
      </c>
      <c r="EJ97" s="205" t="str">
        <f t="shared" si="171"/>
        <v/>
      </c>
      <c r="EK97" s="205">
        <f>IF($J97="",#N/A,SUM(EJ$4:EJ97))</f>
        <v>2.2116398676705207</v>
      </c>
      <c r="EL97" s="205">
        <f>IF($J97="",#N/A,SUM(EJ$4:EJ97,EH$4:EH97,EF$4:EF97))</f>
        <v>-0.70576196389971035</v>
      </c>
      <c r="EM97" s="200" t="str">
        <f t="shared" si="172"/>
        <v/>
      </c>
      <c r="EN97" s="203">
        <f>IF($J97="",#N/A,SUM(EM$4:EM97))</f>
        <v>0</v>
      </c>
      <c r="EO97" s="204" t="str">
        <f t="shared" si="173"/>
        <v/>
      </c>
      <c r="EP97" s="204">
        <f>IF($J97="",#N/A,SUM(EO$4:EO97))</f>
        <v>0.83968166820063983</v>
      </c>
      <c r="EQ97" s="205" t="str">
        <f t="shared" si="174"/>
        <v/>
      </c>
      <c r="ER97" s="205">
        <f>IF($J97="",#N/A,SUM(EQ$4:EQ97))</f>
        <v>0.4926597949853756</v>
      </c>
      <c r="ES97" s="205">
        <f>IF($J97="",#N/A,SUM(EQ$4:EQ97,EO$4:EO97,EM$4:EM97))</f>
        <v>1.3323414631860153</v>
      </c>
      <c r="ET97" s="200" t="str">
        <f t="shared" si="175"/>
        <v/>
      </c>
      <c r="EU97" s="203">
        <f>IF($J97="",#N/A,SUM(ET$4:ET97))</f>
        <v>0</v>
      </c>
      <c r="EV97" s="204" t="str">
        <f t="shared" si="176"/>
        <v/>
      </c>
      <c r="EW97" s="204">
        <f>IF($J97="",#N/A,SUM(EV$4:EV97))</f>
        <v>-0.73430241270792684</v>
      </c>
      <c r="EX97" s="205" t="str">
        <f t="shared" si="177"/>
        <v/>
      </c>
      <c r="EY97" s="205">
        <f>IF($J97="",#N/A,SUM(EX$4:EX97))</f>
        <v>1.367071968452185</v>
      </c>
      <c r="EZ97" s="205">
        <f>IF($J97="",#N/A,SUM(EX$4:EX97,EV$4:EV97,ET$4:ET97))</f>
        <v>0.63276955574425819</v>
      </c>
      <c r="FA97" s="200" t="str">
        <f t="shared" si="178"/>
        <v/>
      </c>
      <c r="FB97" s="203">
        <f>IF($J97="",#N/A,SUM(FA$4:FA97))</f>
        <v>0</v>
      </c>
      <c r="FC97" s="204" t="str">
        <f t="shared" si="179"/>
        <v/>
      </c>
      <c r="FD97" s="204">
        <f>IF($J97="",#N/A,SUM(FC$4:FC97))</f>
        <v>1.154074230495441</v>
      </c>
      <c r="FE97" s="205" t="str">
        <f t="shared" si="180"/>
        <v/>
      </c>
      <c r="FF97" s="205">
        <f>IF($J97="",#N/A,SUM(FE$4:FE97))</f>
        <v>-0.28811149078748233</v>
      </c>
      <c r="FG97" s="205">
        <f>IF($J97="",#N/A,SUM(FE$4:FE97,FC$4:FC97,FA$4:FA97))</f>
        <v>0.86596273970795878</v>
      </c>
      <c r="FH97" s="200" t="str">
        <f t="shared" si="181"/>
        <v/>
      </c>
      <c r="FI97" s="203">
        <f>IF($J97="",#N/A,SUM(FH$4:FH97))</f>
        <v>0</v>
      </c>
      <c r="FJ97" s="204" t="str">
        <f t="shared" si="182"/>
        <v/>
      </c>
      <c r="FK97" s="204">
        <f>IF($J97="",#N/A,SUM(FJ$4:FJ97))</f>
        <v>0</v>
      </c>
      <c r="FL97" s="205" t="str">
        <f t="shared" si="183"/>
        <v/>
      </c>
      <c r="FM97" s="205">
        <f>IF($J97="",#N/A,SUM(FL$4:FL97))</f>
        <v>0</v>
      </c>
      <c r="FN97" s="205">
        <f>IF($J97="",#N/A,SUM(FL$4:FL97,FJ$4:FJ97,FH$4:FH97))</f>
        <v>0</v>
      </c>
      <c r="FO97" s="200" t="str">
        <f t="shared" si="184"/>
        <v/>
      </c>
      <c r="FP97" s="203">
        <f>IF($J97="",#N/A,SUM(FO$4:FO97))</f>
        <v>0</v>
      </c>
      <c r="FQ97" s="204" t="str">
        <f t="shared" si="185"/>
        <v/>
      </c>
      <c r="FR97" s="204">
        <f>IF($J97="",#N/A,SUM(FQ$4:FQ97))</f>
        <v>0</v>
      </c>
      <c r="FS97" s="205" t="str">
        <f t="shared" si="186"/>
        <v/>
      </c>
      <c r="FT97" s="205">
        <f>IF($J97="",#N/A,SUM(FS$4:FS97))</f>
        <v>0</v>
      </c>
      <c r="FU97" s="205">
        <f>IF($J97="",#N/A,SUM(FS$4:FS97,FQ$4:FQ97,FO$4:FO97))</f>
        <v>0</v>
      </c>
      <c r="FV97" s="200" t="str">
        <f t="shared" si="187"/>
        <v/>
      </c>
      <c r="FW97" s="203">
        <f>IF($J97="",#N/A,SUM(FV$4:FV97))</f>
        <v>6.6834991831277585E-2</v>
      </c>
      <c r="FX97" s="204" t="str">
        <f t="shared" si="188"/>
        <v/>
      </c>
      <c r="FY97" s="204">
        <f>IF($J97="",#N/A,SUM(FX$4:FX97))</f>
        <v>0</v>
      </c>
      <c r="FZ97" s="205" t="str">
        <f t="shared" si="189"/>
        <v/>
      </c>
      <c r="GA97" s="205">
        <f>IF($J97="",#N/A,SUM(FZ$4:FZ97))</f>
        <v>-0.20104261551371039</v>
      </c>
      <c r="GB97" s="205">
        <f>IF($J97="",#N/A,SUM(FZ$4:FZ97,FX$4:FX97,FV$4:FV97))</f>
        <v>-0.1342076236824328</v>
      </c>
      <c r="GC97" s="200" t="str">
        <f t="shared" si="190"/>
        <v/>
      </c>
      <c r="GD97" s="203">
        <f>IF($J97="",#N/A,SUM(GC$4:GC97))</f>
        <v>0</v>
      </c>
      <c r="GE97" s="204" t="str">
        <f t="shared" si="191"/>
        <v/>
      </c>
      <c r="GF97" s="204">
        <f>IF($J97="",#N/A,SUM(GE$4:GE97))</f>
        <v>0</v>
      </c>
      <c r="GG97" s="205" t="str">
        <f t="shared" si="192"/>
        <v/>
      </c>
      <c r="GH97" s="205">
        <f>IF($J97="",#N/A,SUM(GG$4:GG97))</f>
        <v>-2.9368362277223206</v>
      </c>
      <c r="GI97" s="205">
        <f>IF($J97="",#N/A,SUM(GG$4:GG97,GE$4:GE97,GC$4:GC97))</f>
        <v>-2.9368362277223206</v>
      </c>
      <c r="GJ97" s="200" t="str">
        <f t="shared" si="193"/>
        <v/>
      </c>
      <c r="GK97" s="203">
        <f>IF($J97="",#N/A,SUM(GJ$4:GJ97))</f>
        <v>0</v>
      </c>
      <c r="GL97" s="204" t="str">
        <f t="shared" si="194"/>
        <v/>
      </c>
      <c r="GM97" s="204">
        <f>IF($J97="",#N/A,SUM(GL$4:GL97))</f>
        <v>-0.4054764861692941</v>
      </c>
      <c r="GN97" s="205" t="str">
        <f t="shared" si="195"/>
        <v/>
      </c>
      <c r="GO97" s="205">
        <f>IF($J97="",#N/A,SUM(GN$4:GN97))</f>
        <v>0</v>
      </c>
      <c r="GP97" s="205">
        <f>IF($J97="",#N/A,SUM(GN$4:GN97,GL$4:GL97,GJ$4:GJ97))</f>
        <v>-0.4054764861692941</v>
      </c>
      <c r="GS97" s="54">
        <f t="shared" si="214"/>
        <v>-0.85781897061723633</v>
      </c>
      <c r="GT97" s="54">
        <f>IF(GS97="",NA(),SUM($GS$4:GS97))</f>
        <v>-2.202296556033815</v>
      </c>
      <c r="GU97" s="54" t="str">
        <f t="shared" si="196"/>
        <v/>
      </c>
      <c r="GV97" s="54" t="e">
        <f>IF(GU97="",NA(),SUM($GU$4:GU97))</f>
        <v>#N/A</v>
      </c>
      <c r="GW97" s="54">
        <f t="shared" si="197"/>
        <v>-0.85781897061723633</v>
      </c>
      <c r="GX97" s="54">
        <f>IF(GW97="",NA(),SUM($GW$4:GW97))</f>
        <v>1.387159305159396</v>
      </c>
      <c r="GY97" s="54" t="str">
        <f t="shared" si="198"/>
        <v/>
      </c>
      <c r="GZ97" s="54" t="e">
        <f>IF(GY97="",NA(),SUM($GY$4:GY97))</f>
        <v>#N/A</v>
      </c>
      <c r="HA97" s="54" t="str">
        <f t="shared" si="199"/>
        <v/>
      </c>
      <c r="HB97" s="54" t="e">
        <f>IF(HA97="",NA(),SUM($HA$4:HA97))</f>
        <v>#N/A</v>
      </c>
      <c r="HC97" s="54" t="str">
        <f t="shared" si="200"/>
        <v/>
      </c>
      <c r="HD97" s="54" t="e">
        <f>IF(HC97="",NA(),SUM($HC$4:HC97))</f>
        <v>#N/A</v>
      </c>
      <c r="HE97" s="54" t="str">
        <f t="shared" si="201"/>
        <v/>
      </c>
      <c r="HF97" s="54" t="e">
        <f>IF(HE97="",NA(),SUM($HE$4:HE97))</f>
        <v>#N/A</v>
      </c>
      <c r="HG97" s="54" t="str">
        <f t="shared" si="202"/>
        <v/>
      </c>
      <c r="HH97" s="54" t="e">
        <f>IF(HG97="",NA(),SUM($HG$4:HG97))</f>
        <v>#N/A</v>
      </c>
      <c r="HI97" s="172" t="str">
        <f t="shared" si="215"/>
        <v/>
      </c>
      <c r="HJ97" s="172">
        <f>IF($J97="",#N/A,SUM(HI$4:$HI97))</f>
        <v>-3.1128891118063997</v>
      </c>
      <c r="HK97" s="54" t="str">
        <f t="shared" si="203"/>
        <v/>
      </c>
      <c r="HL97" s="54">
        <f>IF($J97="",#N/A,SUM($HK$4:HK97))</f>
        <v>-3.6996390135643913</v>
      </c>
      <c r="HM97" s="54" t="str">
        <f t="shared" si="204"/>
        <v/>
      </c>
      <c r="HN97" s="54">
        <f>IF($J97="",#N/A,SUM($HM$4:HM97))</f>
        <v>0.72020221657224703</v>
      </c>
      <c r="HO97" s="54" t="str">
        <f t="shared" si="205"/>
        <v/>
      </c>
      <c r="HP97" s="54">
        <f>IF($J97="",#N/A,SUM($HO$4:HO97))</f>
        <v>-0.34492614665921834</v>
      </c>
      <c r="HQ97" s="54" t="str">
        <f t="shared" si="206"/>
        <v/>
      </c>
      <c r="HR97" s="54">
        <f>IF($J97="",#N/A,SUM($HQ$4:HQ97))</f>
        <v>-6.1746076181104117</v>
      </c>
      <c r="HS97" s="54">
        <f t="shared" si="207"/>
        <v>0.29579964504042511</v>
      </c>
      <c r="HT97" s="54">
        <f>IF($J97="",#N/A,SUM($HS$4:HS97))</f>
        <v>6.2659267060363835</v>
      </c>
      <c r="HU97" s="65">
        <f t="shared" si="208"/>
        <v>-0.56201932557681122</v>
      </c>
      <c r="HV97" s="65">
        <f>IF($J97="",#N/A,SUM(HU$4:$HU97))</f>
        <v>-8.0703786416728036</v>
      </c>
    </row>
    <row r="98" spans="1:230" x14ac:dyDescent="0.25">
      <c r="A98" s="51" t="s">
        <v>1479</v>
      </c>
      <c r="B98" s="52" t="s">
        <v>4522</v>
      </c>
      <c r="C98" s="229">
        <f t="shared" si="109"/>
        <v>3</v>
      </c>
      <c r="D98" s="219" t="str">
        <f>_xlfn.XLOOKUP(A98,[1]SP500!$A$2:$A$502,[1]SP500!$D$2:$D$502,"N")</f>
        <v>Y</v>
      </c>
      <c r="E98" s="51" t="str">
        <f>IFERROR(_xlfn.XLOOKUP(A98,[1]SP500!$A$2:$A$655,[1]SP500!$B$2:$B$655),"")</f>
        <v>XLI</v>
      </c>
      <c r="F98" s="290">
        <v>45771</v>
      </c>
      <c r="G98" s="51" t="str">
        <f t="shared" si="110"/>
        <v>BMO</v>
      </c>
      <c r="H98" s="51" t="str">
        <f t="shared" si="111"/>
        <v>s</v>
      </c>
      <c r="I98" s="344">
        <v>166.35</v>
      </c>
      <c r="J98" s="123">
        <v>159.97999999999999</v>
      </c>
      <c r="K98" s="55">
        <f t="shared" si="112"/>
        <v>-3.8292756236850044E-2</v>
      </c>
      <c r="L98" s="67">
        <f t="shared" si="113"/>
        <v>-31.850000000000023</v>
      </c>
      <c r="M98" s="57">
        <f t="shared" si="114"/>
        <v>0</v>
      </c>
      <c r="N98" s="102">
        <f t="shared" si="115"/>
        <v>-31.850000000000023</v>
      </c>
      <c r="O98" s="57">
        <f>IF(N98="",#N/A,SUM($N$4:N98))</f>
        <v>-329.74759402190648</v>
      </c>
      <c r="P98" s="65">
        <f t="shared" si="209"/>
        <v>-0.63821260394750068</v>
      </c>
      <c r="Q98" s="172">
        <f>IF($N98="",#N/A,SUM($P$4:P98))</f>
        <v>-2.3626582780885155</v>
      </c>
      <c r="R98" s="279">
        <f t="shared" si="116"/>
        <v>1.1799722168381406</v>
      </c>
      <c r="S98" s="51" t="str">
        <f t="shared" si="117"/>
        <v>SW</v>
      </c>
      <c r="T98" s="51" t="s">
        <v>2828</v>
      </c>
      <c r="U98" s="56">
        <f t="shared" si="118"/>
        <v>166.35</v>
      </c>
      <c r="V98" s="56" t="s">
        <v>4460</v>
      </c>
      <c r="W98" s="142">
        <v>5</v>
      </c>
      <c r="X98" s="145">
        <f t="shared" si="119"/>
        <v>831.75</v>
      </c>
      <c r="Y98" s="140">
        <f t="shared" si="120"/>
        <v>5</v>
      </c>
      <c r="Z98" s="123">
        <v>159.97999999999999</v>
      </c>
      <c r="AA98" s="102">
        <f t="shared" si="121"/>
        <v>-31.850000000000023</v>
      </c>
      <c r="AB98" s="102">
        <f t="shared" si="122"/>
        <v>16.850000000000023</v>
      </c>
      <c r="AC98" s="124">
        <v>169.72</v>
      </c>
      <c r="AD98" s="155">
        <f t="shared" si="123"/>
        <v>16.850000000000023</v>
      </c>
      <c r="AE98" s="545">
        <f t="shared" si="124"/>
        <v>0.33764151888588362</v>
      </c>
      <c r="AF98" s="57">
        <f>IF($AC98="",#N/A,SUM(AD$4:AD98))</f>
        <v>-597.74260457963487</v>
      </c>
      <c r="AG98" s="102">
        <f t="shared" si="125"/>
        <v>48.700000000000045</v>
      </c>
      <c r="AH98" s="56" t="s">
        <v>2507</v>
      </c>
      <c r="AI98" s="65">
        <f t="shared" si="126"/>
        <v>-0.63821260394750068</v>
      </c>
      <c r="AJ98" s="54">
        <f>IF(AI98="",#N/A,SUM($AI$4:AI98))</f>
        <v>-3.542630494926656</v>
      </c>
      <c r="AK98" s="57">
        <f t="shared" si="127"/>
        <v>-31.850000000000023</v>
      </c>
      <c r="AL98" s="349">
        <f>IF(AI98="",#N/A,IF(AH98="Skip",SUM($AK$4:AK98),SUM($AK$4:AK98)))</f>
        <v>-437.85769999999934</v>
      </c>
      <c r="AM98" s="65">
        <f t="shared" si="210"/>
        <v>0.33764151888588362</v>
      </c>
      <c r="AN98" s="209"/>
      <c r="AO98" s="65">
        <f t="shared" si="128"/>
        <v>0.33764151888588362</v>
      </c>
      <c r="AP98" s="65">
        <f>IF($AC98="",#N/A,SUM(AO$4:AO98))</f>
        <v>2.018108724898533</v>
      </c>
      <c r="AQ98" s="65" t="str">
        <f t="shared" si="129"/>
        <v/>
      </c>
      <c r="AR98" s="65">
        <f>IF($AC98="",#N/A,SUM(AQ$4:AQ98))</f>
        <v>-1.0879870612894522</v>
      </c>
      <c r="AS98" s="65" t="str">
        <f t="shared" si="130"/>
        <v/>
      </c>
      <c r="AT98" s="65">
        <f>IF($AC98="",#N/A,SUM(AS$4:AS98))</f>
        <v>-8.6628587863960043</v>
      </c>
      <c r="AU98" s="57">
        <f t="shared" si="211"/>
        <v>16.850000000000023</v>
      </c>
      <c r="AV98" s="57">
        <f>IF($AC98="",#N/A,SUM(AU$4:AU98))</f>
        <v>47.809567043367224</v>
      </c>
      <c r="AW98" s="57" t="str">
        <f t="shared" si="212"/>
        <v/>
      </c>
      <c r="AX98" s="57">
        <f>IF($AC98="",#N/A,SUM(AW$4:AW98))</f>
        <v>-66.900000000000205</v>
      </c>
      <c r="AY98" s="57" t="str">
        <f t="shared" si="213"/>
        <v/>
      </c>
      <c r="AZ98" s="57">
        <f>IF($AC98="",#N/A,SUM(AY$4:AY98))</f>
        <v>-578.65217162300189</v>
      </c>
      <c r="BA98" s="57">
        <f>IF(AD98="",#N/A,SUM($AD$4:AD98))</f>
        <v>-597.74260457963487</v>
      </c>
      <c r="BC98" s="51" t="str">
        <f t="shared" si="131"/>
        <v/>
      </c>
      <c r="BD98" s="51" t="str">
        <f t="shared" si="132"/>
        <v/>
      </c>
      <c r="BE98" s="51" t="str">
        <f t="shared" si="133"/>
        <v/>
      </c>
      <c r="BF98" s="51" t="str">
        <f t="shared" si="134"/>
        <v>Long</v>
      </c>
      <c r="BG98" s="51" t="str">
        <f t="shared" si="135"/>
        <v/>
      </c>
      <c r="BH98" s="51" t="str">
        <f t="shared" si="136"/>
        <v/>
      </c>
      <c r="BI98" s="51">
        <f t="shared" si="137"/>
        <v>1</v>
      </c>
      <c r="BK98" s="65">
        <f t="shared" si="108"/>
        <v>4.0966473470334303E-2</v>
      </c>
      <c r="BL98" s="65">
        <f t="shared" si="216"/>
        <v>-0.13718338262422386</v>
      </c>
      <c r="BM98" s="65">
        <f>IFERROR(Q98/COUNTA($J$4:J98),#N/A)</f>
        <v>-2.4870087137773847E-2</v>
      </c>
      <c r="BO98" s="489">
        <f>IF(J98="",#N/A,IF(S98="SW",(COUNTIFS(K$4:$K98,"&gt;0",S$4:$S98,"SW")/COUNTIF(S$4:$S98,"SW")),#N/A))</f>
        <v>0.49090909090909091</v>
      </c>
      <c r="BP98" s="489" t="e">
        <f>IF($J98="",#N/A,IF($S98="DWN",(COUNTIFS($K$4:$K98,"&lt;0",$S$4:$S98,"DWN")/COUNTIF($S$4:$S98,"DWN")),#N/A))</f>
        <v>#N/A</v>
      </c>
      <c r="BQ98" s="489" t="e">
        <f>IF($J98="",#N/A,IF($S98="UP",(COUNTIFS($K$4:$K98,"&gt;0",$S$4:$S98,"UP")/COUNTIF($S$4:$S98,"UP")),#N/A))</f>
        <v>#N/A</v>
      </c>
      <c r="BR98" s="489">
        <f>IF(J98="",#N/A,COUNTIF($K$4:K98,"&gt;0")/COUNT($J$4:J98))</f>
        <v>0.49473684210526314</v>
      </c>
      <c r="BS98" s="65" t="str">
        <f t="shared" si="138"/>
        <v/>
      </c>
      <c r="BT98" s="65">
        <f t="shared" si="139"/>
        <v>-0.63821260394750068</v>
      </c>
      <c r="BU98" s="65" t="str">
        <f t="shared" si="140"/>
        <v/>
      </c>
      <c r="BV98" s="65" t="str">
        <f t="shared" si="141"/>
        <v/>
      </c>
      <c r="BW98" s="128" t="str">
        <f t="shared" si="142"/>
        <v/>
      </c>
      <c r="BX98" s="128">
        <f>IF($J98="",#N/A,SUM($BW$4:BW98))</f>
        <v>-91.165000000000305</v>
      </c>
      <c r="BY98" s="131" t="str">
        <f t="shared" si="143"/>
        <v/>
      </c>
      <c r="BZ98" s="131">
        <f>IF($J98="",#N/A,SUM($BY$4:BY98))</f>
        <v>-177.4638504215477</v>
      </c>
      <c r="CA98" s="133">
        <f t="shared" si="144"/>
        <v>-31.850000000000023</v>
      </c>
      <c r="CB98" s="133">
        <f>IF($J98="",#N/A,SUM($CA$4:CA98))</f>
        <v>-61.118743600358471</v>
      </c>
      <c r="CC98" s="194" t="str">
        <f t="shared" si="145"/>
        <v/>
      </c>
      <c r="CD98" s="194">
        <f>IF($J98="",#N/A,SUM($CC$4:CC98))</f>
        <v>-1.4632631312024809</v>
      </c>
      <c r="CE98" s="195" t="str">
        <f t="shared" si="146"/>
        <v/>
      </c>
      <c r="CF98" s="195">
        <f>IF($J98="",#N/A,SUM($CE$4:CE98))</f>
        <v>-1.8503306610252115</v>
      </c>
      <c r="CG98" s="196">
        <f t="shared" si="147"/>
        <v>-0.63821260394750068</v>
      </c>
      <c r="CH98" s="193">
        <f>IF($J98="",#N/A,SUM($CG$4:CG98))</f>
        <v>0.95093551413918087</v>
      </c>
      <c r="CI98" s="200" t="str">
        <f t="shared" si="148"/>
        <v/>
      </c>
      <c r="CJ98" s="203">
        <f>IF($J98="",#N/A,SUM(CI$4:CI98))</f>
        <v>0</v>
      </c>
      <c r="CK98" s="204" t="str">
        <f t="shared" si="149"/>
        <v/>
      </c>
      <c r="CL98" s="204">
        <f>IF($J98="",#N/A,SUM(CK$4:CK98))</f>
        <v>1.8934431343190481</v>
      </c>
      <c r="CM98" s="205" t="str">
        <f t="shared" si="150"/>
        <v/>
      </c>
      <c r="CN98" s="205">
        <f>IF($J98="",#N/A,SUM(CM$4:CM98))</f>
        <v>2.5724959960693745</v>
      </c>
      <c r="CO98" s="205">
        <f>IF($J98="",#N/A,SUM(CM$4:CM98,CK$4:CK98,CI$4:CI98))</f>
        <v>4.4659391303884224</v>
      </c>
      <c r="CP98" s="200" t="str">
        <f t="shared" si="151"/>
        <v/>
      </c>
      <c r="CQ98" s="203">
        <f>IF($J98="",#N/A,SUM(CP$4:CP98))</f>
        <v>0</v>
      </c>
      <c r="CR98" s="204" t="str">
        <f t="shared" si="152"/>
        <v/>
      </c>
      <c r="CS98" s="204">
        <f>IF($J98="",#N/A,SUM(CR$4:CR98))</f>
        <v>0</v>
      </c>
      <c r="CT98" s="205" t="str">
        <f t="shared" si="153"/>
        <v/>
      </c>
      <c r="CU98" s="205">
        <f>IF($J98="",#N/A,SUM(CT$4:CT98))</f>
        <v>0</v>
      </c>
      <c r="CV98" s="205">
        <f>IF($J98="",#N/A,SUM(CT$4:CT98,CR$4:CR98,CP$4:CP98))</f>
        <v>0</v>
      </c>
      <c r="CW98" s="200" t="str">
        <f t="shared" si="154"/>
        <v/>
      </c>
      <c r="CX98" s="203">
        <f>IF($J98="",#N/A,SUM(CW$4:CW98))</f>
        <v>0</v>
      </c>
      <c r="CY98" s="204" t="str">
        <f t="shared" si="155"/>
        <v/>
      </c>
      <c r="CZ98" s="204">
        <f>IF($J98="",#N/A,SUM(CY$4:CY98))</f>
        <v>-0.67634330666682074</v>
      </c>
      <c r="DA98" s="205" t="str">
        <f t="shared" si="156"/>
        <v/>
      </c>
      <c r="DB98" s="205">
        <f>IF($J98="",#N/A,SUM(DA$4:DA98))</f>
        <v>0.47549974633223147</v>
      </c>
      <c r="DC98" s="205">
        <f>IF($J98="",#N/A,SUM(DA$4:DA98,CY$4:CY98,CW$4:CW98))</f>
        <v>-0.20084356033458922</v>
      </c>
      <c r="DD98" s="200" t="str">
        <f t="shared" si="157"/>
        <v/>
      </c>
      <c r="DE98" s="203">
        <f>IF($J98="",#N/A,SUM(DD$4:DD98))</f>
        <v>0.4905246481018824</v>
      </c>
      <c r="DF98" s="204" t="str">
        <f t="shared" si="158"/>
        <v/>
      </c>
      <c r="DG98" s="204">
        <f>IF($J98="",#N/A,SUM(DF$4:DF98))</f>
        <v>0.6788440567066546</v>
      </c>
      <c r="DH98" s="205" t="str">
        <f t="shared" si="159"/>
        <v/>
      </c>
      <c r="DI98" s="205">
        <f>IF($J98="",#N/A,SUM(DH$4:DH98))</f>
        <v>-1.3576828656466722</v>
      </c>
      <c r="DJ98" s="205">
        <f>IF($J98="",#N/A,SUM(DH$4:DH98,DF$4:DF98,DD$4:DD98))</f>
        <v>-0.18831416083813518</v>
      </c>
      <c r="DK98" s="200" t="str">
        <f t="shared" si="160"/>
        <v/>
      </c>
      <c r="DL98" s="203">
        <f>IF($J98="",#N/A,SUM(DK$4:DK98))</f>
        <v>0</v>
      </c>
      <c r="DM98" s="204" t="str">
        <f t="shared" si="161"/>
        <v/>
      </c>
      <c r="DN98" s="204">
        <f>IF($J98="",#N/A,SUM(DM$4:DM98))</f>
        <v>1.5662171418887725</v>
      </c>
      <c r="DO98" s="205" t="str">
        <f t="shared" si="162"/>
        <v/>
      </c>
      <c r="DP98" s="205">
        <f>IF($J98="",#N/A,SUM(DO$4:DO98))</f>
        <v>-0.43291760746858676</v>
      </c>
      <c r="DQ98" s="205">
        <f>IF($J98="",#N/A,SUM(DO$4:DO98,DM$4:DM98,DK$4:DK98))</f>
        <v>1.1332995344201857</v>
      </c>
      <c r="DR98" s="200" t="str">
        <f t="shared" si="163"/>
        <v/>
      </c>
      <c r="DS98" s="203">
        <f>IF($J98="",#N/A,SUM(DR$4:DR98))</f>
        <v>-0.55950946427675097</v>
      </c>
      <c r="DT98" s="204" t="str">
        <f t="shared" si="164"/>
        <v/>
      </c>
      <c r="DU98" s="204">
        <f>IF($J98="",#N/A,SUM(DT$4:DT98))</f>
        <v>-2.8875364672150718</v>
      </c>
      <c r="DV98" s="205" t="str">
        <f t="shared" si="165"/>
        <v/>
      </c>
      <c r="DW98" s="205">
        <f>IF($J98="",#N/A,SUM(DV$4:DV98))</f>
        <v>-2.6814706788983136</v>
      </c>
      <c r="DX98" s="205">
        <f>IF($J98="",#N/A,SUM(DV$4:DV98,DT$4:DT98,DR$4:DR98))</f>
        <v>-6.1285166103901361</v>
      </c>
      <c r="DY98" s="200" t="str">
        <f t="shared" si="166"/>
        <v/>
      </c>
      <c r="DZ98" s="203">
        <f>IF($J98="",#N/A,SUM(DY$4:DY98))</f>
        <v>-1.4611133068588897</v>
      </c>
      <c r="EA98" s="204" t="str">
        <f t="shared" si="167"/>
        <v/>
      </c>
      <c r="EB98" s="204">
        <f>IF($J98="",#N/A,SUM(EA$4:EA98))</f>
        <v>-0.36153038830642437</v>
      </c>
      <c r="EC98" s="205">
        <f t="shared" si="168"/>
        <v>-0.63821260394750068</v>
      </c>
      <c r="ED98" s="205">
        <f>IF($J98="",#N/A,SUM(EC$4:EC98))</f>
        <v>1.7296296266665774</v>
      </c>
      <c r="EE98" s="205">
        <f>IF($J98="",#N/A,SUM(EC$4:EC98,EA$4:EA98,DY$4:DY98))</f>
        <v>-9.3014068498736835E-2</v>
      </c>
      <c r="EF98" s="200" t="str">
        <f t="shared" si="169"/>
        <v/>
      </c>
      <c r="EG98" s="203">
        <f>IF($J98="",#N/A,SUM(EF$4:EF98))</f>
        <v>0</v>
      </c>
      <c r="EH98" s="204" t="str">
        <f t="shared" si="170"/>
        <v/>
      </c>
      <c r="EI98" s="204">
        <f>IF($J98="",#N/A,SUM(EH$4:EH98))</f>
        <v>-2.9174018315702313</v>
      </c>
      <c r="EJ98" s="205" t="str">
        <f t="shared" si="171"/>
        <v/>
      </c>
      <c r="EK98" s="205">
        <f>IF($J98="",#N/A,SUM(EJ$4:EJ98))</f>
        <v>2.2116398676705207</v>
      </c>
      <c r="EL98" s="205">
        <f>IF($J98="",#N/A,SUM(EJ$4:EJ98,EH$4:EH98,EF$4:EF98))</f>
        <v>-0.70576196389971035</v>
      </c>
      <c r="EM98" s="200" t="str">
        <f t="shared" si="172"/>
        <v/>
      </c>
      <c r="EN98" s="203">
        <f>IF($J98="",#N/A,SUM(EM$4:EM98))</f>
        <v>0</v>
      </c>
      <c r="EO98" s="204" t="str">
        <f t="shared" si="173"/>
        <v/>
      </c>
      <c r="EP98" s="204">
        <f>IF($J98="",#N/A,SUM(EO$4:EO98))</f>
        <v>0.83968166820063983</v>
      </c>
      <c r="EQ98" s="205" t="str">
        <f t="shared" si="174"/>
        <v/>
      </c>
      <c r="ER98" s="205">
        <f>IF($J98="",#N/A,SUM(EQ$4:EQ98))</f>
        <v>0.4926597949853756</v>
      </c>
      <c r="ES98" s="205">
        <f>IF($J98="",#N/A,SUM(EQ$4:EQ98,EO$4:EO98,EM$4:EM98))</f>
        <v>1.3323414631860153</v>
      </c>
      <c r="ET98" s="200" t="str">
        <f t="shared" si="175"/>
        <v/>
      </c>
      <c r="EU98" s="203">
        <f>IF($J98="",#N/A,SUM(ET$4:ET98))</f>
        <v>0</v>
      </c>
      <c r="EV98" s="204" t="str">
        <f t="shared" si="176"/>
        <v/>
      </c>
      <c r="EW98" s="204">
        <f>IF($J98="",#N/A,SUM(EV$4:EV98))</f>
        <v>-0.73430241270792684</v>
      </c>
      <c r="EX98" s="205" t="str">
        <f t="shared" si="177"/>
        <v/>
      </c>
      <c r="EY98" s="205">
        <f>IF($J98="",#N/A,SUM(EX$4:EX98))</f>
        <v>1.367071968452185</v>
      </c>
      <c r="EZ98" s="205">
        <f>IF($J98="",#N/A,SUM(EX$4:EX98,EV$4:EV98,ET$4:ET98))</f>
        <v>0.63276955574425819</v>
      </c>
      <c r="FA98" s="200" t="str">
        <f t="shared" si="178"/>
        <v/>
      </c>
      <c r="FB98" s="203">
        <f>IF($J98="",#N/A,SUM(FA$4:FA98))</f>
        <v>0</v>
      </c>
      <c r="FC98" s="204" t="str">
        <f t="shared" si="179"/>
        <v/>
      </c>
      <c r="FD98" s="204">
        <f>IF($J98="",#N/A,SUM(FC$4:FC98))</f>
        <v>1.154074230495441</v>
      </c>
      <c r="FE98" s="205" t="str">
        <f t="shared" si="180"/>
        <v/>
      </c>
      <c r="FF98" s="205">
        <f>IF($J98="",#N/A,SUM(FE$4:FE98))</f>
        <v>-0.28811149078748233</v>
      </c>
      <c r="FG98" s="205">
        <f>IF($J98="",#N/A,SUM(FE$4:FE98,FC$4:FC98,FA$4:FA98))</f>
        <v>0.86596273970795878</v>
      </c>
      <c r="FH98" s="200" t="str">
        <f t="shared" si="181"/>
        <v/>
      </c>
      <c r="FI98" s="203">
        <f>IF($J98="",#N/A,SUM(FH$4:FH98))</f>
        <v>0</v>
      </c>
      <c r="FJ98" s="204" t="str">
        <f t="shared" si="182"/>
        <v/>
      </c>
      <c r="FK98" s="204">
        <f>IF($J98="",#N/A,SUM(FJ$4:FJ98))</f>
        <v>0</v>
      </c>
      <c r="FL98" s="205" t="str">
        <f t="shared" si="183"/>
        <v/>
      </c>
      <c r="FM98" s="205">
        <f>IF($J98="",#N/A,SUM(FL$4:FL98))</f>
        <v>0</v>
      </c>
      <c r="FN98" s="205">
        <f>IF($J98="",#N/A,SUM(FL$4:FL98,FJ$4:FJ98,FH$4:FH98))</f>
        <v>0</v>
      </c>
      <c r="FO98" s="200" t="str">
        <f t="shared" si="184"/>
        <v/>
      </c>
      <c r="FP98" s="203">
        <f>IF($J98="",#N/A,SUM(FO$4:FO98))</f>
        <v>0</v>
      </c>
      <c r="FQ98" s="204" t="str">
        <f t="shared" si="185"/>
        <v/>
      </c>
      <c r="FR98" s="204">
        <f>IF($J98="",#N/A,SUM(FQ$4:FQ98))</f>
        <v>0</v>
      </c>
      <c r="FS98" s="205" t="str">
        <f t="shared" si="186"/>
        <v/>
      </c>
      <c r="FT98" s="205">
        <f>IF($J98="",#N/A,SUM(FS$4:FS98))</f>
        <v>0</v>
      </c>
      <c r="FU98" s="205">
        <f>IF($J98="",#N/A,SUM(FS$4:FS98,FQ$4:FQ98,FO$4:FO98))</f>
        <v>0</v>
      </c>
      <c r="FV98" s="200" t="str">
        <f t="shared" si="187"/>
        <v/>
      </c>
      <c r="FW98" s="203">
        <f>IF($J98="",#N/A,SUM(FV$4:FV98))</f>
        <v>6.6834991831277585E-2</v>
      </c>
      <c r="FX98" s="204" t="str">
        <f t="shared" si="188"/>
        <v/>
      </c>
      <c r="FY98" s="204">
        <f>IF($J98="",#N/A,SUM(FX$4:FX98))</f>
        <v>0</v>
      </c>
      <c r="FZ98" s="205" t="str">
        <f t="shared" si="189"/>
        <v/>
      </c>
      <c r="GA98" s="205">
        <f>IF($J98="",#N/A,SUM(FZ$4:FZ98))</f>
        <v>-0.20104261551371039</v>
      </c>
      <c r="GB98" s="205">
        <f>IF($J98="",#N/A,SUM(FZ$4:FZ98,FX$4:FX98,FV$4:FV98))</f>
        <v>-0.1342076236824328</v>
      </c>
      <c r="GC98" s="200" t="str">
        <f t="shared" si="190"/>
        <v/>
      </c>
      <c r="GD98" s="203">
        <f>IF($J98="",#N/A,SUM(GC$4:GC98))</f>
        <v>0</v>
      </c>
      <c r="GE98" s="204" t="str">
        <f t="shared" si="191"/>
        <v/>
      </c>
      <c r="GF98" s="204">
        <f>IF($J98="",#N/A,SUM(GE$4:GE98))</f>
        <v>0</v>
      </c>
      <c r="GG98" s="205" t="str">
        <f t="shared" si="192"/>
        <v/>
      </c>
      <c r="GH98" s="205">
        <f>IF($J98="",#N/A,SUM(GG$4:GG98))</f>
        <v>-2.9368362277223206</v>
      </c>
      <c r="GI98" s="205">
        <f>IF($J98="",#N/A,SUM(GG$4:GG98,GE$4:GE98,GC$4:GC98))</f>
        <v>-2.9368362277223206</v>
      </c>
      <c r="GJ98" s="200" t="str">
        <f t="shared" si="193"/>
        <v/>
      </c>
      <c r="GK98" s="203">
        <f>IF($J98="",#N/A,SUM(GJ$4:GJ98))</f>
        <v>0</v>
      </c>
      <c r="GL98" s="204" t="str">
        <f t="shared" si="194"/>
        <v/>
      </c>
      <c r="GM98" s="204">
        <f>IF($J98="",#N/A,SUM(GL$4:GL98))</f>
        <v>-0.4054764861692941</v>
      </c>
      <c r="GN98" s="205" t="str">
        <f t="shared" si="195"/>
        <v/>
      </c>
      <c r="GO98" s="205">
        <f>IF($J98="",#N/A,SUM(GN$4:GN98))</f>
        <v>0</v>
      </c>
      <c r="GP98" s="205">
        <f>IF($J98="",#N/A,SUM(GN$4:GN98,GL$4:GL98,GJ$4:GJ98))</f>
        <v>-0.4054764861692941</v>
      </c>
      <c r="GS98" s="54">
        <f t="shared" si="214"/>
        <v>-0.63821260394750068</v>
      </c>
      <c r="GT98" s="54">
        <f>IF(GS98="",NA(),SUM($GS$4:GS98))</f>
        <v>-2.8405091599813157</v>
      </c>
      <c r="GU98" s="54" t="str">
        <f t="shared" si="196"/>
        <v/>
      </c>
      <c r="GV98" s="54" t="e">
        <f>IF(GU98="",NA(),SUM($GU$4:GU98))</f>
        <v>#N/A</v>
      </c>
      <c r="GW98" s="54">
        <f t="shared" si="197"/>
        <v>-0.63821260394750068</v>
      </c>
      <c r="GX98" s="54">
        <f>IF(GW98="",NA(),SUM($GW$4:GW98))</f>
        <v>0.74894670121189533</v>
      </c>
      <c r="GY98" s="54" t="str">
        <f t="shared" si="198"/>
        <v/>
      </c>
      <c r="GZ98" s="54" t="e">
        <f>IF(GY98="",NA(),SUM($GY$4:GY98))</f>
        <v>#N/A</v>
      </c>
      <c r="HA98" s="54" t="str">
        <f t="shared" si="199"/>
        <v/>
      </c>
      <c r="HB98" s="54" t="e">
        <f>IF(HA98="",NA(),SUM($HA$4:HA98))</f>
        <v>#N/A</v>
      </c>
      <c r="HC98" s="54" t="str">
        <f t="shared" si="200"/>
        <v/>
      </c>
      <c r="HD98" s="54" t="e">
        <f>IF(HC98="",NA(),SUM($HC$4:HC98))</f>
        <v>#N/A</v>
      </c>
      <c r="HE98" s="54" t="str">
        <f t="shared" si="201"/>
        <v/>
      </c>
      <c r="HF98" s="54" t="e">
        <f>IF(HE98="",NA(),SUM($HE$4:HE98))</f>
        <v>#N/A</v>
      </c>
      <c r="HG98" s="54" t="str">
        <f t="shared" si="202"/>
        <v/>
      </c>
      <c r="HH98" s="54" t="e">
        <f>IF(HG98="",NA(),SUM($HG$4:HG98))</f>
        <v>#N/A</v>
      </c>
      <c r="HI98" s="172" t="str">
        <f t="shared" si="215"/>
        <v/>
      </c>
      <c r="HJ98" s="172">
        <f>IF($J98="",#N/A,SUM(HI$4:$HI98))</f>
        <v>-3.1128891118063997</v>
      </c>
      <c r="HK98" s="54" t="str">
        <f t="shared" si="203"/>
        <v/>
      </c>
      <c r="HL98" s="54">
        <f>IF($J98="",#N/A,SUM($HK$4:HK98))</f>
        <v>-3.6996390135643913</v>
      </c>
      <c r="HM98" s="54" t="str">
        <f t="shared" si="204"/>
        <v/>
      </c>
      <c r="HN98" s="54">
        <f>IF($J98="",#N/A,SUM($HM$4:HM98))</f>
        <v>0.72020221657224703</v>
      </c>
      <c r="HO98" s="54" t="str">
        <f t="shared" si="205"/>
        <v/>
      </c>
      <c r="HP98" s="54">
        <f>IF($J98="",#N/A,SUM($HO$4:HO98))</f>
        <v>-0.34492614665921834</v>
      </c>
      <c r="HQ98" s="54" t="str">
        <f t="shared" si="206"/>
        <v/>
      </c>
      <c r="HR98" s="54">
        <f>IF($J98="",#N/A,SUM($HQ$4:HQ98))</f>
        <v>-6.1746076181104117</v>
      </c>
      <c r="HS98" s="54">
        <f t="shared" si="207"/>
        <v>0.97585412283338435</v>
      </c>
      <c r="HT98" s="54">
        <f>IF($J98="",#N/A,SUM($HS$4:HS98))</f>
        <v>7.2417808288697678</v>
      </c>
      <c r="HU98" s="65">
        <f t="shared" si="208"/>
        <v>0.33764151888588362</v>
      </c>
      <c r="HV98" s="65">
        <f>IF($J98="",#N/A,SUM(HU$4:$HU98))</f>
        <v>-7.7327371227869204</v>
      </c>
    </row>
    <row r="99" spans="1:230" x14ac:dyDescent="0.25">
      <c r="A99" s="51" t="s">
        <v>1283</v>
      </c>
      <c r="B99" s="52" t="s">
        <v>4522</v>
      </c>
      <c r="C99" s="229">
        <f t="shared" si="109"/>
        <v>2</v>
      </c>
      <c r="D99" s="219" t="str">
        <f>_xlfn.XLOOKUP(A99,[1]SP500!$A$2:$A$502,[1]SP500!$D$2:$D$502,"N")</f>
        <v>Y</v>
      </c>
      <c r="E99" s="51" t="str">
        <f>IFERROR(_xlfn.XLOOKUP(A99,[1]SP500!$A$2:$A$655,[1]SP500!$B$2:$B$655),"")</f>
        <v>XLV</v>
      </c>
      <c r="F99" s="290">
        <v>45771</v>
      </c>
      <c r="G99" s="51" t="str">
        <f t="shared" si="110"/>
        <v>BMO</v>
      </c>
      <c r="H99" s="51" t="str">
        <f t="shared" si="111"/>
        <v>s</v>
      </c>
      <c r="I99" s="344">
        <v>78.739999999999995</v>
      </c>
      <c r="J99" s="123">
        <v>78.28</v>
      </c>
      <c r="K99" s="55">
        <f t="shared" si="112"/>
        <v>-5.8420116840232888E-3</v>
      </c>
      <c r="L99" s="67">
        <f t="shared" si="113"/>
        <v>4.6000000000000227</v>
      </c>
      <c r="M99" s="57">
        <f t="shared" si="114"/>
        <v>-3.7999999999999545</v>
      </c>
      <c r="N99" s="102">
        <f t="shared" si="115"/>
        <v>4.6000000000000227</v>
      </c>
      <c r="O99" s="57">
        <f>IF(N99="",#N/A,SUM($N$4:N99))</f>
        <v>-325.14759402190646</v>
      </c>
      <c r="P99" s="65">
        <f t="shared" si="209"/>
        <v>9.7366861400389942E-2</v>
      </c>
      <c r="Q99" s="172">
        <f>IF($N99="",#N/A,SUM($P$4:P99))</f>
        <v>-2.2652914166881257</v>
      </c>
      <c r="R99" s="279">
        <f t="shared" si="116"/>
        <v>1.260405711038461</v>
      </c>
      <c r="S99" s="51" t="str">
        <f t="shared" si="117"/>
        <v>Dwn</v>
      </c>
      <c r="T99" s="51" t="s">
        <v>4462</v>
      </c>
      <c r="U99" s="56">
        <f t="shared" si="118"/>
        <v>78.739999999999995</v>
      </c>
      <c r="V99" s="56" t="s">
        <v>4458</v>
      </c>
      <c r="W99" s="142">
        <v>10</v>
      </c>
      <c r="X99" s="145">
        <f t="shared" si="119"/>
        <v>787.4</v>
      </c>
      <c r="Y99" s="140">
        <f t="shared" si="120"/>
        <v>10</v>
      </c>
      <c r="Z99" s="123">
        <v>78.66</v>
      </c>
      <c r="AA99" s="102">
        <f t="shared" si="121"/>
        <v>0.80000000000006821</v>
      </c>
      <c r="AB99" s="102">
        <f t="shared" si="122"/>
        <v>-11.000000000000114</v>
      </c>
      <c r="AC99" s="124">
        <v>79.84</v>
      </c>
      <c r="AD99" s="155">
        <f t="shared" si="123"/>
        <v>-11.000000000000114</v>
      </c>
      <c r="AE99" s="545">
        <f t="shared" si="124"/>
        <v>-0.23283379900093373</v>
      </c>
      <c r="AF99" s="57">
        <f>IF($AC99="",#N/A,SUM(AD$4:AD99))</f>
        <v>-608.74260457963499</v>
      </c>
      <c r="AG99" s="102">
        <f t="shared" si="125"/>
        <v>-15.600000000000136</v>
      </c>
      <c r="AH99" s="56" t="s">
        <v>2507</v>
      </c>
      <c r="AI99" s="65">
        <f t="shared" si="126"/>
        <v>1.6933367200069178E-2</v>
      </c>
      <c r="AJ99" s="54">
        <f>IF(AI99="",#N/A,SUM($AI$4:AI99))</f>
        <v>-3.5256971277265867</v>
      </c>
      <c r="AK99" s="57">
        <f t="shared" si="127"/>
        <v>0.80000000000006821</v>
      </c>
      <c r="AL99" s="349">
        <f>IF(AI99="",#N/A,IF(AH99="Skip",SUM($AK$4:AK99),SUM($AK$4:AK99)))</f>
        <v>-437.05769999999927</v>
      </c>
      <c r="AM99" s="65">
        <f t="shared" si="210"/>
        <v>-0.23283379900093373</v>
      </c>
      <c r="AN99" s="209"/>
      <c r="AO99" s="65" t="str">
        <f t="shared" si="128"/>
        <v/>
      </c>
      <c r="AP99" s="65">
        <f>IF($AC99="",#N/A,SUM(AO$4:AO99))</f>
        <v>2.018108724898533</v>
      </c>
      <c r="AQ99" s="65" t="str">
        <f t="shared" si="129"/>
        <v/>
      </c>
      <c r="AR99" s="65">
        <f>IF($AC99="",#N/A,SUM(AQ$4:AQ99))</f>
        <v>-1.0879870612894522</v>
      </c>
      <c r="AS99" s="65">
        <f t="shared" si="130"/>
        <v>-0.23283379900093373</v>
      </c>
      <c r="AT99" s="65">
        <f>IF($AC99="",#N/A,SUM(AS$4:AS99))</f>
        <v>-8.8956925853969384</v>
      </c>
      <c r="AU99" s="57" t="str">
        <f t="shared" si="211"/>
        <v/>
      </c>
      <c r="AV99" s="57">
        <f>IF($AC99="",#N/A,SUM(AU$4:AU99))</f>
        <v>47.809567043367224</v>
      </c>
      <c r="AW99" s="57" t="str">
        <f t="shared" si="212"/>
        <v/>
      </c>
      <c r="AX99" s="57">
        <f>IF($AC99="",#N/A,SUM(AW$4:AW99))</f>
        <v>-66.900000000000205</v>
      </c>
      <c r="AY99" s="57">
        <f t="shared" si="213"/>
        <v>-11.000000000000114</v>
      </c>
      <c r="AZ99" s="57">
        <f>IF($AC99="",#N/A,SUM(AY$4:AY99))</f>
        <v>-589.652171623002</v>
      </c>
      <c r="BA99" s="57">
        <f>IF(AD99="",#N/A,SUM($AD$4:AD99))</f>
        <v>-608.74260457963499</v>
      </c>
      <c r="BC99" s="51" t="str">
        <f t="shared" si="131"/>
        <v/>
      </c>
      <c r="BD99" s="51" t="str">
        <f t="shared" si="132"/>
        <v/>
      </c>
      <c r="BE99" s="51" t="str">
        <f t="shared" si="133"/>
        <v/>
      </c>
      <c r="BF99" s="51" t="str">
        <f t="shared" si="134"/>
        <v>Short</v>
      </c>
      <c r="BG99" s="51">
        <f t="shared" si="135"/>
        <v>1</v>
      </c>
      <c r="BH99" s="51" t="str">
        <f t="shared" si="136"/>
        <v/>
      </c>
      <c r="BI99" s="51" t="str">
        <f t="shared" si="137"/>
        <v/>
      </c>
      <c r="BK99" s="65">
        <f t="shared" si="108"/>
        <v>6.6837902393843823E-2</v>
      </c>
      <c r="BL99" s="65">
        <f t="shared" si="216"/>
        <v>-0.11090832959713821</v>
      </c>
      <c r="BM99" s="65">
        <f>IFERROR(Q99/COUNTA($J$4:J99),#N/A)</f>
        <v>-2.359678559050131E-2</v>
      </c>
      <c r="BO99" s="489" t="e">
        <f>IF(J99="",#N/A,IF(S99="SW",(COUNTIFS(K$4:$K99,"&gt;0",S$4:$S99,"SW")/COUNTIF(S$4:$S99,"SW")),#N/A))</f>
        <v>#N/A</v>
      </c>
      <c r="BP99" s="489">
        <f>IF($J99="",#N/A,IF($S99="DWN",(COUNTIFS($K$4:$K99,"&lt;0",$S$4:$S99,"DWN")/COUNTIF($S$4:$S99,"DWN")),#N/A))</f>
        <v>0.51351351351351349</v>
      </c>
      <c r="BQ99" s="489" t="e">
        <f>IF($J99="",#N/A,IF($S99="UP",(COUNTIFS($K$4:$K99,"&gt;0",$S$4:$S99,"UP")/COUNTIF($S$4:$S99,"UP")),#N/A))</f>
        <v>#N/A</v>
      </c>
      <c r="BR99" s="489">
        <f>IF(J99="",#N/A,COUNTIF($K$4:K99,"&gt;0")/COUNT($J$4:J99))</f>
        <v>0.48958333333333331</v>
      </c>
      <c r="BS99" s="65" t="str">
        <f t="shared" si="138"/>
        <v/>
      </c>
      <c r="BT99" s="65" t="str">
        <f t="shared" si="139"/>
        <v/>
      </c>
      <c r="BU99" s="65">
        <f t="shared" si="140"/>
        <v>9.7366861400389942E-2</v>
      </c>
      <c r="BV99" s="65" t="str">
        <f t="shared" si="141"/>
        <v/>
      </c>
      <c r="BW99" s="128" t="str">
        <f t="shared" si="142"/>
        <v/>
      </c>
      <c r="BX99" s="128">
        <f>IF($J99="",#N/A,SUM($BW$4:BW99))</f>
        <v>-91.165000000000305</v>
      </c>
      <c r="BY99" s="131">
        <f t="shared" si="143"/>
        <v>4.6000000000000227</v>
      </c>
      <c r="BZ99" s="131">
        <f>IF($J99="",#N/A,SUM($BY$4:BY99))</f>
        <v>-172.86385042154768</v>
      </c>
      <c r="CA99" s="133" t="str">
        <f t="shared" si="144"/>
        <v/>
      </c>
      <c r="CB99" s="133">
        <f>IF($J99="",#N/A,SUM($CA$4:CA99))</f>
        <v>-61.118743600358471</v>
      </c>
      <c r="CC99" s="194" t="str">
        <f t="shared" si="145"/>
        <v/>
      </c>
      <c r="CD99" s="194">
        <f>IF($J99="",#N/A,SUM($CC$4:CC99))</f>
        <v>-1.4632631312024809</v>
      </c>
      <c r="CE99" s="195">
        <f t="shared" si="146"/>
        <v>9.7366861400389942E-2</v>
      </c>
      <c r="CF99" s="195">
        <f>IF($J99="",#N/A,SUM($CE$4:CE99))</f>
        <v>-1.7529637996248215</v>
      </c>
      <c r="CG99" s="196" t="str">
        <f t="shared" si="147"/>
        <v/>
      </c>
      <c r="CH99" s="193">
        <f>IF($J99="",#N/A,SUM($CG$4:CG99))</f>
        <v>0.95093551413918087</v>
      </c>
      <c r="CI99" s="200" t="str">
        <f t="shared" si="148"/>
        <v/>
      </c>
      <c r="CJ99" s="203">
        <f>IF($J99="",#N/A,SUM(CI$4:CI99))</f>
        <v>0</v>
      </c>
      <c r="CK99" s="204" t="str">
        <f t="shared" si="149"/>
        <v/>
      </c>
      <c r="CL99" s="204">
        <f>IF($J99="",#N/A,SUM(CK$4:CK99))</f>
        <v>1.8934431343190481</v>
      </c>
      <c r="CM99" s="205" t="str">
        <f t="shared" si="150"/>
        <v/>
      </c>
      <c r="CN99" s="205">
        <f>IF($J99="",#N/A,SUM(CM$4:CM99))</f>
        <v>2.5724959960693745</v>
      </c>
      <c r="CO99" s="205">
        <f>IF($J99="",#N/A,SUM(CM$4:CM99,CK$4:CK99,CI$4:CI99))</f>
        <v>4.4659391303884224</v>
      </c>
      <c r="CP99" s="200" t="str">
        <f t="shared" si="151"/>
        <v/>
      </c>
      <c r="CQ99" s="203">
        <f>IF($J99="",#N/A,SUM(CP$4:CP99))</f>
        <v>0</v>
      </c>
      <c r="CR99" s="204" t="str">
        <f t="shared" si="152"/>
        <v/>
      </c>
      <c r="CS99" s="204">
        <f>IF($J99="",#N/A,SUM(CR$4:CR99))</f>
        <v>0</v>
      </c>
      <c r="CT99" s="205" t="str">
        <f t="shared" si="153"/>
        <v/>
      </c>
      <c r="CU99" s="205">
        <f>IF($J99="",#N/A,SUM(CT$4:CT99))</f>
        <v>0</v>
      </c>
      <c r="CV99" s="205">
        <f>IF($J99="",#N/A,SUM(CT$4:CT99,CR$4:CR99,CP$4:CP99))</f>
        <v>0</v>
      </c>
      <c r="CW99" s="200" t="str">
        <f t="shared" si="154"/>
        <v/>
      </c>
      <c r="CX99" s="203">
        <f>IF($J99="",#N/A,SUM(CW$4:CW99))</f>
        <v>0</v>
      </c>
      <c r="CY99" s="204" t="str">
        <f t="shared" si="155"/>
        <v/>
      </c>
      <c r="CZ99" s="204">
        <f>IF($J99="",#N/A,SUM(CY$4:CY99))</f>
        <v>-0.67634330666682074</v>
      </c>
      <c r="DA99" s="205" t="str">
        <f t="shared" si="156"/>
        <v/>
      </c>
      <c r="DB99" s="205">
        <f>IF($J99="",#N/A,SUM(DA$4:DA99))</f>
        <v>0.47549974633223147</v>
      </c>
      <c r="DC99" s="205">
        <f>IF($J99="",#N/A,SUM(DA$4:DA99,CY$4:CY99,CW$4:CW99))</f>
        <v>-0.20084356033458922</v>
      </c>
      <c r="DD99" s="200" t="str">
        <f t="shared" si="157"/>
        <v/>
      </c>
      <c r="DE99" s="203">
        <f>IF($J99="",#N/A,SUM(DD$4:DD99))</f>
        <v>0.4905246481018824</v>
      </c>
      <c r="DF99" s="204" t="str">
        <f t="shared" si="158"/>
        <v/>
      </c>
      <c r="DG99" s="204">
        <f>IF($J99="",#N/A,SUM(DF$4:DF99))</f>
        <v>0.6788440567066546</v>
      </c>
      <c r="DH99" s="205" t="str">
        <f t="shared" si="159"/>
        <v/>
      </c>
      <c r="DI99" s="205">
        <f>IF($J99="",#N/A,SUM(DH$4:DH99))</f>
        <v>-1.3576828656466722</v>
      </c>
      <c r="DJ99" s="205">
        <f>IF($J99="",#N/A,SUM(DH$4:DH99,DF$4:DF99,DD$4:DD99))</f>
        <v>-0.18831416083813518</v>
      </c>
      <c r="DK99" s="200" t="str">
        <f t="shared" si="160"/>
        <v/>
      </c>
      <c r="DL99" s="203">
        <f>IF($J99="",#N/A,SUM(DK$4:DK99))</f>
        <v>0</v>
      </c>
      <c r="DM99" s="204" t="str">
        <f t="shared" si="161"/>
        <v/>
      </c>
      <c r="DN99" s="204">
        <f>IF($J99="",#N/A,SUM(DM$4:DM99))</f>
        <v>1.5662171418887725</v>
      </c>
      <c r="DO99" s="205" t="str">
        <f t="shared" si="162"/>
        <v/>
      </c>
      <c r="DP99" s="205">
        <f>IF($J99="",#N/A,SUM(DO$4:DO99))</f>
        <v>-0.43291760746858676</v>
      </c>
      <c r="DQ99" s="205">
        <f>IF($J99="",#N/A,SUM(DO$4:DO99,DM$4:DM99,DK$4:DK99))</f>
        <v>1.1332995344201857</v>
      </c>
      <c r="DR99" s="200" t="str">
        <f t="shared" si="163"/>
        <v/>
      </c>
      <c r="DS99" s="203">
        <f>IF($J99="",#N/A,SUM(DR$4:DR99))</f>
        <v>-0.55950946427675097</v>
      </c>
      <c r="DT99" s="204" t="str">
        <f t="shared" si="164"/>
        <v/>
      </c>
      <c r="DU99" s="204">
        <f>IF($J99="",#N/A,SUM(DT$4:DT99))</f>
        <v>-2.8875364672150718</v>
      </c>
      <c r="DV99" s="205" t="str">
        <f t="shared" si="165"/>
        <v/>
      </c>
      <c r="DW99" s="205">
        <f>IF($J99="",#N/A,SUM(DV$4:DV99))</f>
        <v>-2.6814706788983136</v>
      </c>
      <c r="DX99" s="205">
        <f>IF($J99="",#N/A,SUM(DV$4:DV99,DT$4:DT99,DR$4:DR99))</f>
        <v>-6.1285166103901361</v>
      </c>
      <c r="DY99" s="200" t="str">
        <f t="shared" si="166"/>
        <v/>
      </c>
      <c r="DZ99" s="203">
        <f>IF($J99="",#N/A,SUM(DY$4:DY99))</f>
        <v>-1.4611133068588897</v>
      </c>
      <c r="EA99" s="204" t="str">
        <f t="shared" si="167"/>
        <v/>
      </c>
      <c r="EB99" s="204">
        <f>IF($J99="",#N/A,SUM(EA$4:EA99))</f>
        <v>-0.36153038830642437</v>
      </c>
      <c r="EC99" s="205" t="str">
        <f t="shared" si="168"/>
        <v/>
      </c>
      <c r="ED99" s="205">
        <f>IF($J99="",#N/A,SUM(EC$4:EC99))</f>
        <v>1.7296296266665774</v>
      </c>
      <c r="EE99" s="205">
        <f>IF($J99="",#N/A,SUM(EC$4:EC99,EA$4:EA99,DY$4:DY99))</f>
        <v>-9.3014068498736835E-2</v>
      </c>
      <c r="EF99" s="200" t="str">
        <f t="shared" si="169"/>
        <v/>
      </c>
      <c r="EG99" s="203">
        <f>IF($J99="",#N/A,SUM(EF$4:EF99))</f>
        <v>0</v>
      </c>
      <c r="EH99" s="204">
        <f t="shared" si="170"/>
        <v>9.7366861400389942E-2</v>
      </c>
      <c r="EI99" s="204">
        <f>IF($J99="",#N/A,SUM(EH$4:EH99))</f>
        <v>-2.8200349701698415</v>
      </c>
      <c r="EJ99" s="205" t="str">
        <f t="shared" si="171"/>
        <v/>
      </c>
      <c r="EK99" s="205">
        <f>IF($J99="",#N/A,SUM(EJ$4:EJ99))</f>
        <v>2.2116398676705207</v>
      </c>
      <c r="EL99" s="205">
        <f>IF($J99="",#N/A,SUM(EJ$4:EJ99,EH$4:EH99,EF$4:EF99))</f>
        <v>-0.60839510249932038</v>
      </c>
      <c r="EM99" s="200" t="str">
        <f t="shared" si="172"/>
        <v/>
      </c>
      <c r="EN99" s="203">
        <f>IF($J99="",#N/A,SUM(EM$4:EM99))</f>
        <v>0</v>
      </c>
      <c r="EO99" s="204" t="str">
        <f t="shared" si="173"/>
        <v/>
      </c>
      <c r="EP99" s="204">
        <f>IF($J99="",#N/A,SUM(EO$4:EO99))</f>
        <v>0.83968166820063983</v>
      </c>
      <c r="EQ99" s="205" t="str">
        <f t="shared" si="174"/>
        <v/>
      </c>
      <c r="ER99" s="205">
        <f>IF($J99="",#N/A,SUM(EQ$4:EQ99))</f>
        <v>0.4926597949853756</v>
      </c>
      <c r="ES99" s="205">
        <f>IF($J99="",#N/A,SUM(EQ$4:EQ99,EO$4:EO99,EM$4:EM99))</f>
        <v>1.3323414631860153</v>
      </c>
      <c r="ET99" s="200" t="str">
        <f t="shared" si="175"/>
        <v/>
      </c>
      <c r="EU99" s="203">
        <f>IF($J99="",#N/A,SUM(ET$4:ET99))</f>
        <v>0</v>
      </c>
      <c r="EV99" s="204" t="str">
        <f t="shared" si="176"/>
        <v/>
      </c>
      <c r="EW99" s="204">
        <f>IF($J99="",#N/A,SUM(EV$4:EV99))</f>
        <v>-0.73430241270792684</v>
      </c>
      <c r="EX99" s="205" t="str">
        <f t="shared" si="177"/>
        <v/>
      </c>
      <c r="EY99" s="205">
        <f>IF($J99="",#N/A,SUM(EX$4:EX99))</f>
        <v>1.367071968452185</v>
      </c>
      <c r="EZ99" s="205">
        <f>IF($J99="",#N/A,SUM(EX$4:EX99,EV$4:EV99,ET$4:ET99))</f>
        <v>0.63276955574425819</v>
      </c>
      <c r="FA99" s="200" t="str">
        <f t="shared" si="178"/>
        <v/>
      </c>
      <c r="FB99" s="203">
        <f>IF($J99="",#N/A,SUM(FA$4:FA99))</f>
        <v>0</v>
      </c>
      <c r="FC99" s="204" t="str">
        <f t="shared" si="179"/>
        <v/>
      </c>
      <c r="FD99" s="204">
        <f>IF($J99="",#N/A,SUM(FC$4:FC99))</f>
        <v>1.154074230495441</v>
      </c>
      <c r="FE99" s="205" t="str">
        <f t="shared" si="180"/>
        <v/>
      </c>
      <c r="FF99" s="205">
        <f>IF($J99="",#N/A,SUM(FE$4:FE99))</f>
        <v>-0.28811149078748233</v>
      </c>
      <c r="FG99" s="205">
        <f>IF($J99="",#N/A,SUM(FE$4:FE99,FC$4:FC99,FA$4:FA99))</f>
        <v>0.86596273970795878</v>
      </c>
      <c r="FH99" s="200" t="str">
        <f t="shared" si="181"/>
        <v/>
      </c>
      <c r="FI99" s="203">
        <f>IF($J99="",#N/A,SUM(FH$4:FH99))</f>
        <v>0</v>
      </c>
      <c r="FJ99" s="204" t="str">
        <f t="shared" si="182"/>
        <v/>
      </c>
      <c r="FK99" s="204">
        <f>IF($J99="",#N/A,SUM(FJ$4:FJ99))</f>
        <v>0</v>
      </c>
      <c r="FL99" s="205" t="str">
        <f t="shared" si="183"/>
        <v/>
      </c>
      <c r="FM99" s="205">
        <f>IF($J99="",#N/A,SUM(FL$4:FL99))</f>
        <v>0</v>
      </c>
      <c r="FN99" s="205">
        <f>IF($J99="",#N/A,SUM(FL$4:FL99,FJ$4:FJ99,FH$4:FH99))</f>
        <v>0</v>
      </c>
      <c r="FO99" s="200" t="str">
        <f t="shared" si="184"/>
        <v/>
      </c>
      <c r="FP99" s="203">
        <f>IF($J99="",#N/A,SUM(FO$4:FO99))</f>
        <v>0</v>
      </c>
      <c r="FQ99" s="204" t="str">
        <f t="shared" si="185"/>
        <v/>
      </c>
      <c r="FR99" s="204">
        <f>IF($J99="",#N/A,SUM(FQ$4:FQ99))</f>
        <v>0</v>
      </c>
      <c r="FS99" s="205" t="str">
        <f t="shared" si="186"/>
        <v/>
      </c>
      <c r="FT99" s="205">
        <f>IF($J99="",#N/A,SUM(FS$4:FS99))</f>
        <v>0</v>
      </c>
      <c r="FU99" s="205">
        <f>IF($J99="",#N/A,SUM(FS$4:FS99,FQ$4:FQ99,FO$4:FO99))</f>
        <v>0</v>
      </c>
      <c r="FV99" s="200" t="str">
        <f t="shared" si="187"/>
        <v/>
      </c>
      <c r="FW99" s="203">
        <f>IF($J99="",#N/A,SUM(FV$4:FV99))</f>
        <v>6.6834991831277585E-2</v>
      </c>
      <c r="FX99" s="204" t="str">
        <f t="shared" si="188"/>
        <v/>
      </c>
      <c r="FY99" s="204">
        <f>IF($J99="",#N/A,SUM(FX$4:FX99))</f>
        <v>0</v>
      </c>
      <c r="FZ99" s="205" t="str">
        <f t="shared" si="189"/>
        <v/>
      </c>
      <c r="GA99" s="205">
        <f>IF($J99="",#N/A,SUM(FZ$4:FZ99))</f>
        <v>-0.20104261551371039</v>
      </c>
      <c r="GB99" s="205">
        <f>IF($J99="",#N/A,SUM(FZ$4:FZ99,FX$4:FX99,FV$4:FV99))</f>
        <v>-0.1342076236824328</v>
      </c>
      <c r="GC99" s="200" t="str">
        <f t="shared" si="190"/>
        <v/>
      </c>
      <c r="GD99" s="203">
        <f>IF($J99="",#N/A,SUM(GC$4:GC99))</f>
        <v>0</v>
      </c>
      <c r="GE99" s="204" t="str">
        <f t="shared" si="191"/>
        <v/>
      </c>
      <c r="GF99" s="204">
        <f>IF($J99="",#N/A,SUM(GE$4:GE99))</f>
        <v>0</v>
      </c>
      <c r="GG99" s="205" t="str">
        <f t="shared" si="192"/>
        <v/>
      </c>
      <c r="GH99" s="205">
        <f>IF($J99="",#N/A,SUM(GG$4:GG99))</f>
        <v>-2.9368362277223206</v>
      </c>
      <c r="GI99" s="205">
        <f>IF($J99="",#N/A,SUM(GG$4:GG99,GE$4:GE99,GC$4:GC99))</f>
        <v>-2.9368362277223206</v>
      </c>
      <c r="GJ99" s="200" t="str">
        <f t="shared" si="193"/>
        <v/>
      </c>
      <c r="GK99" s="203">
        <f>IF($J99="",#N/A,SUM(GJ$4:GJ99))</f>
        <v>0</v>
      </c>
      <c r="GL99" s="204" t="str">
        <f t="shared" si="194"/>
        <v/>
      </c>
      <c r="GM99" s="204">
        <f>IF($J99="",#N/A,SUM(GL$4:GL99))</f>
        <v>-0.4054764861692941</v>
      </c>
      <c r="GN99" s="205" t="str">
        <f t="shared" si="195"/>
        <v/>
      </c>
      <c r="GO99" s="205">
        <f>IF($J99="",#N/A,SUM(GN$4:GN99))</f>
        <v>0</v>
      </c>
      <c r="GP99" s="205">
        <f>IF($J99="",#N/A,SUM(GN$4:GN99,GL$4:GL99,GJ$4:GJ99))</f>
        <v>-0.4054764861692941</v>
      </c>
      <c r="GS99" s="54">
        <f t="shared" si="214"/>
        <v>9.7366861400389942E-2</v>
      </c>
      <c r="GT99" s="54">
        <f>IF(GS99="",NA(),SUM($GS$4:GS99))</f>
        <v>-2.743142298580926</v>
      </c>
      <c r="GU99" s="54" t="str">
        <f t="shared" si="196"/>
        <v/>
      </c>
      <c r="GV99" s="54" t="e">
        <f>IF(GU99="",NA(),SUM($GU$4:GU99))</f>
        <v>#N/A</v>
      </c>
      <c r="GW99" s="54" t="str">
        <f t="shared" si="197"/>
        <v/>
      </c>
      <c r="GX99" s="54" t="e">
        <f>IF(GW99="",NA(),SUM($GW$4:GW99))</f>
        <v>#N/A</v>
      </c>
      <c r="GY99" s="54">
        <f t="shared" si="198"/>
        <v>9.7366861400389942E-2</v>
      </c>
      <c r="GZ99" s="54">
        <f>IF(GY99="",NA(),SUM($GY$4:GY99))</f>
        <v>-2.0288258685903386</v>
      </c>
      <c r="HA99" s="54" t="str">
        <f t="shared" si="199"/>
        <v/>
      </c>
      <c r="HB99" s="54" t="e">
        <f>IF(HA99="",NA(),SUM($HA$4:HA99))</f>
        <v>#N/A</v>
      </c>
      <c r="HC99" s="54" t="str">
        <f t="shared" si="200"/>
        <v/>
      </c>
      <c r="HD99" s="54" t="e">
        <f>IF(HC99="",NA(),SUM($HC$4:HC99))</f>
        <v>#N/A</v>
      </c>
      <c r="HE99" s="54" t="str">
        <f t="shared" si="201"/>
        <v/>
      </c>
      <c r="HF99" s="54" t="e">
        <f>IF(HE99="",NA(),SUM($HE$4:HE99))</f>
        <v>#N/A</v>
      </c>
      <c r="HG99" s="54" t="str">
        <f t="shared" si="202"/>
        <v/>
      </c>
      <c r="HH99" s="54" t="e">
        <f>IF(HG99="",NA(),SUM($HG$4:HG99))</f>
        <v>#N/A</v>
      </c>
      <c r="HI99" s="172">
        <f t="shared" si="215"/>
        <v>-0.33020066040132368</v>
      </c>
      <c r="HJ99" s="172">
        <f>IF($J99="",#N/A,SUM(HI$4:$HI99))</f>
        <v>-3.4430897722077232</v>
      </c>
      <c r="HK99" s="54" t="str">
        <f t="shared" si="203"/>
        <v/>
      </c>
      <c r="HL99" s="54">
        <f>IF($J99="",#N/A,SUM($HK$4:HK99))</f>
        <v>-3.6996390135643913</v>
      </c>
      <c r="HM99" s="54" t="str">
        <f t="shared" si="204"/>
        <v/>
      </c>
      <c r="HN99" s="54">
        <f>IF($J99="",#N/A,SUM($HM$4:HM99))</f>
        <v>0.72020221657224703</v>
      </c>
      <c r="HO99" s="54" t="str">
        <f t="shared" si="205"/>
        <v/>
      </c>
      <c r="HP99" s="54">
        <f>IF($J99="",#N/A,SUM($HO$4:HO99))</f>
        <v>-0.34492614665921834</v>
      </c>
      <c r="HQ99" s="54" t="str">
        <f t="shared" si="206"/>
        <v/>
      </c>
      <c r="HR99" s="54">
        <f>IF($J99="",#N/A,SUM($HQ$4:HQ99))</f>
        <v>-6.1746076181104117</v>
      </c>
      <c r="HS99" s="54" t="str">
        <f t="shared" si="207"/>
        <v/>
      </c>
      <c r="HT99" s="54">
        <f>IF($J99="",#N/A,SUM($HS$4:HS99))</f>
        <v>7.2417808288697678</v>
      </c>
      <c r="HU99" s="65">
        <f t="shared" si="208"/>
        <v>-0.23283379900093373</v>
      </c>
      <c r="HV99" s="65">
        <f>IF($J99="",#N/A,SUM(HU$4:$HU99))</f>
        <v>-7.9655709217878545</v>
      </c>
    </row>
    <row r="100" spans="1:230" x14ac:dyDescent="0.25">
      <c r="A100" s="51" t="s">
        <v>1288</v>
      </c>
      <c r="B100" s="52" t="s">
        <v>4522</v>
      </c>
      <c r="C100" s="229">
        <f t="shared" si="109"/>
        <v>2</v>
      </c>
      <c r="D100" s="219" t="str">
        <f>_xlfn.XLOOKUP(A100,[1]SP500!$A$2:$A$502,[1]SP500!$D$2:$D$502,"N")</f>
        <v>Y</v>
      </c>
      <c r="E100" s="51" t="str">
        <f>IFERROR(_xlfn.XLOOKUP(A100,[1]SP500!$A$2:$A$655,[1]SP500!$B$2:$B$655),"")</f>
        <v>XLP</v>
      </c>
      <c r="F100" s="290">
        <v>45771</v>
      </c>
      <c r="G100" s="51" t="str">
        <f t="shared" si="110"/>
        <v>BMO</v>
      </c>
      <c r="H100" s="51" t="str">
        <f t="shared" si="111"/>
        <v>s</v>
      </c>
      <c r="I100" s="344">
        <v>142.26</v>
      </c>
      <c r="J100" s="123">
        <v>141.44999999999999</v>
      </c>
      <c r="K100" s="55">
        <f t="shared" si="112"/>
        <v>-5.6938000843526106E-3</v>
      </c>
      <c r="L100" s="67">
        <f t="shared" si="113"/>
        <v>4.8600000000000136</v>
      </c>
      <c r="M100" s="57">
        <f t="shared" si="114"/>
        <v>-2.3999999999999773</v>
      </c>
      <c r="N100" s="102">
        <f t="shared" si="115"/>
        <v>4.8600000000000136</v>
      </c>
      <c r="O100" s="57">
        <f>IF(N100="",#N/A,SUM($N$4:N100))</f>
        <v>-320.28759402190644</v>
      </c>
      <c r="P100" s="65">
        <f t="shared" si="209"/>
        <v>9.4896668072543516E-2</v>
      </c>
      <c r="Q100" s="172">
        <f>IF($N100="",#N/A,SUM($P$4:P100))</f>
        <v>-2.1703947486155823</v>
      </c>
      <c r="R100" s="279">
        <f t="shared" si="116"/>
        <v>1.3072682631730497</v>
      </c>
      <c r="S100" s="51" t="str">
        <f t="shared" si="117"/>
        <v>Dwn</v>
      </c>
      <c r="T100" s="51" t="s">
        <v>4462</v>
      </c>
      <c r="U100" s="56">
        <f t="shared" si="118"/>
        <v>142.26</v>
      </c>
      <c r="V100" s="56" t="s">
        <v>4458</v>
      </c>
      <c r="W100" s="142">
        <v>6</v>
      </c>
      <c r="X100" s="145">
        <f t="shared" si="119"/>
        <v>853.56</v>
      </c>
      <c r="Y100" s="140">
        <f t="shared" si="120"/>
        <v>6</v>
      </c>
      <c r="Z100" s="123">
        <v>141.85</v>
      </c>
      <c r="AA100" s="102">
        <f t="shared" si="121"/>
        <v>2.4600000000000364</v>
      </c>
      <c r="AB100" s="102">
        <f t="shared" si="122"/>
        <v>41.699999999999932</v>
      </c>
      <c r="AC100" s="124">
        <v>135.31</v>
      </c>
      <c r="AD100" s="155">
        <f t="shared" si="123"/>
        <v>41.699999999999932</v>
      </c>
      <c r="AE100" s="545">
        <f t="shared" si="124"/>
        <v>0.814236843338487</v>
      </c>
      <c r="AF100" s="57">
        <f>IF($AC100="",#N/A,SUM(AD$4:AD100))</f>
        <v>-567.04260457963505</v>
      </c>
      <c r="AG100" s="102">
        <f t="shared" si="125"/>
        <v>36.839999999999918</v>
      </c>
      <c r="AH100" s="56" t="s">
        <v>2507</v>
      </c>
      <c r="AI100" s="65">
        <f t="shared" si="126"/>
        <v>4.8034115937954695E-2</v>
      </c>
      <c r="AJ100" s="54">
        <f>IF(AI100="",#N/A,SUM($AI$4:AI100))</f>
        <v>-3.477663011788632</v>
      </c>
      <c r="AK100" s="57">
        <f t="shared" si="127"/>
        <v>2.4600000000000364</v>
      </c>
      <c r="AL100" s="349">
        <f>IF(AI100="",#N/A,IF(AH100="Skip",SUM($AK$4:AK100),SUM($AK$4:AK100)))</f>
        <v>-434.59769999999924</v>
      </c>
      <c r="AM100" s="65">
        <f t="shared" si="210"/>
        <v>0.814236843338487</v>
      </c>
      <c r="AN100" s="211"/>
      <c r="AO100" s="65" t="str">
        <f t="shared" si="128"/>
        <v/>
      </c>
      <c r="AP100" s="65">
        <f>IF($AC100="",#N/A,SUM(AO$4:AO100))</f>
        <v>2.018108724898533</v>
      </c>
      <c r="AQ100" s="65" t="str">
        <f t="shared" si="129"/>
        <v/>
      </c>
      <c r="AR100" s="65">
        <f>IF($AC100="",#N/A,SUM(AQ$4:AQ100))</f>
        <v>-1.0879870612894522</v>
      </c>
      <c r="AS100" s="65">
        <f t="shared" si="130"/>
        <v>0.814236843338487</v>
      </c>
      <c r="AT100" s="65">
        <f>IF($AC100="",#N/A,SUM(AS$4:AS100))</f>
        <v>-8.0814557420584521</v>
      </c>
      <c r="AU100" s="57" t="str">
        <f t="shared" si="211"/>
        <v/>
      </c>
      <c r="AV100" s="57">
        <f>IF($AC100="",#N/A,SUM(AU$4:AU100))</f>
        <v>47.809567043367224</v>
      </c>
      <c r="AW100" s="57" t="str">
        <f t="shared" si="212"/>
        <v/>
      </c>
      <c r="AX100" s="57">
        <f>IF($AC100="",#N/A,SUM(AW$4:AW100))</f>
        <v>-66.900000000000205</v>
      </c>
      <c r="AY100" s="57">
        <f t="shared" si="213"/>
        <v>41.699999999999932</v>
      </c>
      <c r="AZ100" s="57">
        <f>IF($AC100="",#N/A,SUM(AY$4:AY100))</f>
        <v>-547.95217162300207</v>
      </c>
      <c r="BA100" s="57">
        <f>IF(AD100="",#N/A,SUM($AD$4:AD100))</f>
        <v>-567.04260457963505</v>
      </c>
      <c r="BC100" s="51" t="str">
        <f t="shared" si="131"/>
        <v/>
      </c>
      <c r="BD100" s="51" t="str">
        <f t="shared" si="132"/>
        <v/>
      </c>
      <c r="BE100" s="51" t="str">
        <f t="shared" si="133"/>
        <v/>
      </c>
      <c r="BF100" s="51" t="str">
        <f t="shared" si="134"/>
        <v>Short</v>
      </c>
      <c r="BG100" s="51">
        <f t="shared" si="135"/>
        <v>1</v>
      </c>
      <c r="BH100" s="51" t="str">
        <f t="shared" si="136"/>
        <v/>
      </c>
      <c r="BI100" s="51" t="str">
        <f t="shared" si="137"/>
        <v/>
      </c>
      <c r="BK100" s="65">
        <f t="shared" si="108"/>
        <v>9.7958101892472491E-2</v>
      </c>
      <c r="BL100" s="65">
        <f t="shared" si="216"/>
        <v>-0.15314568752879329</v>
      </c>
      <c r="BM100" s="65">
        <f>IFERROR(Q100/COUNTA($J$4:J100),#N/A)</f>
        <v>-2.2375203593975077E-2</v>
      </c>
      <c r="BO100" s="489" t="e">
        <f>IF(J100="",#N/A,IF(S100="SW",(COUNTIFS(K$4:$K100,"&gt;0",S$4:$S100,"SW")/COUNTIF(S$4:$S100,"SW")),#N/A))</f>
        <v>#N/A</v>
      </c>
      <c r="BP100" s="489">
        <f>IF($J100="",#N/A,IF($S100="DWN",(COUNTIFS($K$4:$K100,"&lt;0",$S$4:$S100,"DWN")/COUNTIF($S$4:$S100,"DWN")),#N/A))</f>
        <v>0.52631578947368418</v>
      </c>
      <c r="BQ100" s="489" t="e">
        <f>IF($J100="",#N/A,IF($S100="UP",(COUNTIFS($K$4:$K100,"&gt;0",$S$4:$S100,"UP")/COUNTIF($S$4:$S100,"UP")),#N/A))</f>
        <v>#N/A</v>
      </c>
      <c r="BR100" s="489">
        <f>IF(J100="",#N/A,COUNTIF($K$4:K100,"&gt;0")/COUNT($J$4:J100))</f>
        <v>0.4845360824742268</v>
      </c>
      <c r="BS100" s="65" t="str">
        <f t="shared" si="138"/>
        <v/>
      </c>
      <c r="BT100" s="65" t="str">
        <f t="shared" si="139"/>
        <v/>
      </c>
      <c r="BU100" s="65">
        <f t="shared" si="140"/>
        <v>9.4896668072543516E-2</v>
      </c>
      <c r="BV100" s="65" t="str">
        <f t="shared" si="141"/>
        <v/>
      </c>
      <c r="BW100" s="128" t="str">
        <f t="shared" si="142"/>
        <v/>
      </c>
      <c r="BX100" s="128">
        <f>IF($J100="",#N/A,SUM($BW$4:BW100))</f>
        <v>-91.165000000000305</v>
      </c>
      <c r="BY100" s="131">
        <f t="shared" si="143"/>
        <v>4.8600000000000136</v>
      </c>
      <c r="BZ100" s="131">
        <f>IF($J100="",#N/A,SUM($BY$4:BY100))</f>
        <v>-168.00385042154767</v>
      </c>
      <c r="CA100" s="133" t="str">
        <f t="shared" si="144"/>
        <v/>
      </c>
      <c r="CB100" s="133">
        <f>IF($J100="",#N/A,SUM($CA$4:CA100))</f>
        <v>-61.118743600358471</v>
      </c>
      <c r="CC100" s="194" t="str">
        <f t="shared" si="145"/>
        <v/>
      </c>
      <c r="CD100" s="194">
        <f>IF($J100="",#N/A,SUM($CC$4:CC100))</f>
        <v>-1.4632631312024809</v>
      </c>
      <c r="CE100" s="195">
        <f t="shared" si="146"/>
        <v>9.4896668072543516E-2</v>
      </c>
      <c r="CF100" s="195">
        <f>IF($J100="",#N/A,SUM($CE$4:CE100))</f>
        <v>-1.6580671315522779</v>
      </c>
      <c r="CG100" s="196" t="str">
        <f t="shared" si="147"/>
        <v/>
      </c>
      <c r="CH100" s="193">
        <f>IF($J100="",#N/A,SUM($CG$4:CG100))</f>
        <v>0.95093551413918087</v>
      </c>
      <c r="CI100" s="200" t="str">
        <f t="shared" si="148"/>
        <v/>
      </c>
      <c r="CJ100" s="203">
        <f>IF($J100="",#N/A,SUM(CI$4:CI100))</f>
        <v>0</v>
      </c>
      <c r="CK100" s="204" t="str">
        <f t="shared" si="149"/>
        <v/>
      </c>
      <c r="CL100" s="204">
        <f>IF($J100="",#N/A,SUM(CK$4:CK100))</f>
        <v>1.8934431343190481</v>
      </c>
      <c r="CM100" s="205" t="str">
        <f t="shared" si="150"/>
        <v/>
      </c>
      <c r="CN100" s="205">
        <f>IF($J100="",#N/A,SUM(CM$4:CM100))</f>
        <v>2.5724959960693745</v>
      </c>
      <c r="CO100" s="205">
        <f>IF($J100="",#N/A,SUM(CM$4:CM100,CK$4:CK100,CI$4:CI100))</f>
        <v>4.4659391303884224</v>
      </c>
      <c r="CP100" s="200" t="str">
        <f t="shared" si="151"/>
        <v/>
      </c>
      <c r="CQ100" s="203">
        <f>IF($J100="",#N/A,SUM(CP$4:CP100))</f>
        <v>0</v>
      </c>
      <c r="CR100" s="204" t="str">
        <f t="shared" si="152"/>
        <v/>
      </c>
      <c r="CS100" s="204">
        <f>IF($J100="",#N/A,SUM(CR$4:CR100))</f>
        <v>0</v>
      </c>
      <c r="CT100" s="205" t="str">
        <f t="shared" si="153"/>
        <v/>
      </c>
      <c r="CU100" s="205">
        <f>IF($J100="",#N/A,SUM(CT$4:CT100))</f>
        <v>0</v>
      </c>
      <c r="CV100" s="205">
        <f>IF($J100="",#N/A,SUM(CT$4:CT100,CR$4:CR100,CP$4:CP100))</f>
        <v>0</v>
      </c>
      <c r="CW100" s="200" t="str">
        <f t="shared" si="154"/>
        <v/>
      </c>
      <c r="CX100" s="203">
        <f>IF($J100="",#N/A,SUM(CW$4:CW100))</f>
        <v>0</v>
      </c>
      <c r="CY100" s="204" t="str">
        <f t="shared" si="155"/>
        <v/>
      </c>
      <c r="CZ100" s="204">
        <f>IF($J100="",#N/A,SUM(CY$4:CY100))</f>
        <v>-0.67634330666682074</v>
      </c>
      <c r="DA100" s="205" t="str">
        <f t="shared" si="156"/>
        <v/>
      </c>
      <c r="DB100" s="205">
        <f>IF($J100="",#N/A,SUM(DA$4:DA100))</f>
        <v>0.47549974633223147</v>
      </c>
      <c r="DC100" s="205">
        <f>IF($J100="",#N/A,SUM(DA$4:DA100,CY$4:CY100,CW$4:CW100))</f>
        <v>-0.20084356033458922</v>
      </c>
      <c r="DD100" s="200" t="str">
        <f t="shared" si="157"/>
        <v/>
      </c>
      <c r="DE100" s="203">
        <f>IF($J100="",#N/A,SUM(DD$4:DD100))</f>
        <v>0.4905246481018824</v>
      </c>
      <c r="DF100" s="204">
        <f t="shared" si="158"/>
        <v>9.4896668072543516E-2</v>
      </c>
      <c r="DG100" s="204">
        <f>IF($J100="",#N/A,SUM(DF$4:DF100))</f>
        <v>0.77374072477919809</v>
      </c>
      <c r="DH100" s="205" t="str">
        <f t="shared" si="159"/>
        <v/>
      </c>
      <c r="DI100" s="205">
        <f>IF($J100="",#N/A,SUM(DH$4:DH100))</f>
        <v>-1.3576828656466722</v>
      </c>
      <c r="DJ100" s="205">
        <f>IF($J100="",#N/A,SUM(DH$4:DH100,DF$4:DF100,DD$4:DD100))</f>
        <v>-9.3417492765591692E-2</v>
      </c>
      <c r="DK100" s="200" t="str">
        <f t="shared" si="160"/>
        <v/>
      </c>
      <c r="DL100" s="203">
        <f>IF($J100="",#N/A,SUM(DK$4:DK100))</f>
        <v>0</v>
      </c>
      <c r="DM100" s="204" t="str">
        <f t="shared" si="161"/>
        <v/>
      </c>
      <c r="DN100" s="204">
        <f>IF($J100="",#N/A,SUM(DM$4:DM100))</f>
        <v>1.5662171418887725</v>
      </c>
      <c r="DO100" s="205" t="str">
        <f t="shared" si="162"/>
        <v/>
      </c>
      <c r="DP100" s="205">
        <f>IF($J100="",#N/A,SUM(DO$4:DO100))</f>
        <v>-0.43291760746858676</v>
      </c>
      <c r="DQ100" s="205">
        <f>IF($J100="",#N/A,SUM(DO$4:DO100,DM$4:DM100,DK$4:DK100))</f>
        <v>1.1332995344201857</v>
      </c>
      <c r="DR100" s="200" t="str">
        <f t="shared" si="163"/>
        <v/>
      </c>
      <c r="DS100" s="203">
        <f>IF($J100="",#N/A,SUM(DR$4:DR100))</f>
        <v>-0.55950946427675097</v>
      </c>
      <c r="DT100" s="204" t="str">
        <f t="shared" si="164"/>
        <v/>
      </c>
      <c r="DU100" s="204">
        <f>IF($J100="",#N/A,SUM(DT$4:DT100))</f>
        <v>-2.8875364672150718</v>
      </c>
      <c r="DV100" s="205" t="str">
        <f t="shared" si="165"/>
        <v/>
      </c>
      <c r="DW100" s="205">
        <f>IF($J100="",#N/A,SUM(DV$4:DV100))</f>
        <v>-2.6814706788983136</v>
      </c>
      <c r="DX100" s="205">
        <f>IF($J100="",#N/A,SUM(DV$4:DV100,DT$4:DT100,DR$4:DR100))</f>
        <v>-6.1285166103901361</v>
      </c>
      <c r="DY100" s="200" t="str">
        <f t="shared" si="166"/>
        <v/>
      </c>
      <c r="DZ100" s="203">
        <f>IF($J100="",#N/A,SUM(DY$4:DY100))</f>
        <v>-1.4611133068588897</v>
      </c>
      <c r="EA100" s="204" t="str">
        <f t="shared" si="167"/>
        <v/>
      </c>
      <c r="EB100" s="204">
        <f>IF($J100="",#N/A,SUM(EA$4:EA100))</f>
        <v>-0.36153038830642437</v>
      </c>
      <c r="EC100" s="205" t="str">
        <f t="shared" si="168"/>
        <v/>
      </c>
      <c r="ED100" s="205">
        <f>IF($J100="",#N/A,SUM(EC$4:EC100))</f>
        <v>1.7296296266665774</v>
      </c>
      <c r="EE100" s="205">
        <f>IF($J100="",#N/A,SUM(EC$4:EC100,EA$4:EA100,DY$4:DY100))</f>
        <v>-9.3014068498736835E-2</v>
      </c>
      <c r="EF100" s="200" t="str">
        <f t="shared" si="169"/>
        <v/>
      </c>
      <c r="EG100" s="203">
        <f>IF($J100="",#N/A,SUM(EF$4:EF100))</f>
        <v>0</v>
      </c>
      <c r="EH100" s="204" t="str">
        <f t="shared" si="170"/>
        <v/>
      </c>
      <c r="EI100" s="204">
        <f>IF($J100="",#N/A,SUM(EH$4:EH100))</f>
        <v>-2.8200349701698415</v>
      </c>
      <c r="EJ100" s="205" t="str">
        <f t="shared" si="171"/>
        <v/>
      </c>
      <c r="EK100" s="205">
        <f>IF($J100="",#N/A,SUM(EJ$4:EJ100))</f>
        <v>2.2116398676705207</v>
      </c>
      <c r="EL100" s="205">
        <f>IF($J100="",#N/A,SUM(EJ$4:EJ100,EH$4:EH100,EF$4:EF100))</f>
        <v>-0.60839510249932038</v>
      </c>
      <c r="EM100" s="200" t="str">
        <f t="shared" si="172"/>
        <v/>
      </c>
      <c r="EN100" s="203">
        <f>IF($J100="",#N/A,SUM(EM$4:EM100))</f>
        <v>0</v>
      </c>
      <c r="EO100" s="204" t="str">
        <f t="shared" si="173"/>
        <v/>
      </c>
      <c r="EP100" s="204">
        <f>IF($J100="",#N/A,SUM(EO$4:EO100))</f>
        <v>0.83968166820063983</v>
      </c>
      <c r="EQ100" s="205" t="str">
        <f t="shared" si="174"/>
        <v/>
      </c>
      <c r="ER100" s="205">
        <f>IF($J100="",#N/A,SUM(EQ$4:EQ100))</f>
        <v>0.4926597949853756</v>
      </c>
      <c r="ES100" s="205">
        <f>IF($J100="",#N/A,SUM(EQ$4:EQ100,EO$4:EO100,EM$4:EM100))</f>
        <v>1.3323414631860153</v>
      </c>
      <c r="ET100" s="200" t="str">
        <f t="shared" si="175"/>
        <v/>
      </c>
      <c r="EU100" s="203">
        <f>IF($J100="",#N/A,SUM(ET$4:ET100))</f>
        <v>0</v>
      </c>
      <c r="EV100" s="204" t="str">
        <f t="shared" si="176"/>
        <v/>
      </c>
      <c r="EW100" s="204">
        <f>IF($J100="",#N/A,SUM(EV$4:EV100))</f>
        <v>-0.73430241270792684</v>
      </c>
      <c r="EX100" s="205" t="str">
        <f t="shared" si="177"/>
        <v/>
      </c>
      <c r="EY100" s="205">
        <f>IF($J100="",#N/A,SUM(EX$4:EX100))</f>
        <v>1.367071968452185</v>
      </c>
      <c r="EZ100" s="205">
        <f>IF($J100="",#N/A,SUM(EX$4:EX100,EV$4:EV100,ET$4:ET100))</f>
        <v>0.63276955574425819</v>
      </c>
      <c r="FA100" s="200" t="str">
        <f t="shared" si="178"/>
        <v/>
      </c>
      <c r="FB100" s="203">
        <f>IF($J100="",#N/A,SUM(FA$4:FA100))</f>
        <v>0</v>
      </c>
      <c r="FC100" s="204" t="str">
        <f t="shared" si="179"/>
        <v/>
      </c>
      <c r="FD100" s="204">
        <f>IF($J100="",#N/A,SUM(FC$4:FC100))</f>
        <v>1.154074230495441</v>
      </c>
      <c r="FE100" s="205" t="str">
        <f t="shared" si="180"/>
        <v/>
      </c>
      <c r="FF100" s="205">
        <f>IF($J100="",#N/A,SUM(FE$4:FE100))</f>
        <v>-0.28811149078748233</v>
      </c>
      <c r="FG100" s="205">
        <f>IF($J100="",#N/A,SUM(FE$4:FE100,FC$4:FC100,FA$4:FA100))</f>
        <v>0.86596273970795878</v>
      </c>
      <c r="FH100" s="200" t="str">
        <f t="shared" si="181"/>
        <v/>
      </c>
      <c r="FI100" s="203">
        <f>IF($J100="",#N/A,SUM(FH$4:FH100))</f>
        <v>0</v>
      </c>
      <c r="FJ100" s="204" t="str">
        <f t="shared" si="182"/>
        <v/>
      </c>
      <c r="FK100" s="204">
        <f>IF($J100="",#N/A,SUM(FJ$4:FJ100))</f>
        <v>0</v>
      </c>
      <c r="FL100" s="205" t="str">
        <f t="shared" si="183"/>
        <v/>
      </c>
      <c r="FM100" s="205">
        <f>IF($J100="",#N/A,SUM(FL$4:FL100))</f>
        <v>0</v>
      </c>
      <c r="FN100" s="205">
        <f>IF($J100="",#N/A,SUM(FL$4:FL100,FJ$4:FJ100,FH$4:FH100))</f>
        <v>0</v>
      </c>
      <c r="FO100" s="200" t="str">
        <f t="shared" si="184"/>
        <v/>
      </c>
      <c r="FP100" s="203">
        <f>IF($J100="",#N/A,SUM(FO$4:FO100))</f>
        <v>0</v>
      </c>
      <c r="FQ100" s="204" t="str">
        <f t="shared" si="185"/>
        <v/>
      </c>
      <c r="FR100" s="204">
        <f>IF($J100="",#N/A,SUM(FQ$4:FQ100))</f>
        <v>0</v>
      </c>
      <c r="FS100" s="205" t="str">
        <f t="shared" si="186"/>
        <v/>
      </c>
      <c r="FT100" s="205">
        <f>IF($J100="",#N/A,SUM(FS$4:FS100))</f>
        <v>0</v>
      </c>
      <c r="FU100" s="205">
        <f>IF($J100="",#N/A,SUM(FS$4:FS100,FQ$4:FQ100,FO$4:FO100))</f>
        <v>0</v>
      </c>
      <c r="FV100" s="200" t="str">
        <f t="shared" si="187"/>
        <v/>
      </c>
      <c r="FW100" s="203">
        <f>IF($J100="",#N/A,SUM(FV$4:FV100))</f>
        <v>6.6834991831277585E-2</v>
      </c>
      <c r="FX100" s="204" t="str">
        <f t="shared" si="188"/>
        <v/>
      </c>
      <c r="FY100" s="204">
        <f>IF($J100="",#N/A,SUM(FX$4:FX100))</f>
        <v>0</v>
      </c>
      <c r="FZ100" s="205" t="str">
        <f t="shared" si="189"/>
        <v/>
      </c>
      <c r="GA100" s="205">
        <f>IF($J100="",#N/A,SUM(FZ$4:FZ100))</f>
        <v>-0.20104261551371039</v>
      </c>
      <c r="GB100" s="205">
        <f>IF($J100="",#N/A,SUM(FZ$4:FZ100,FX$4:FX100,FV$4:FV100))</f>
        <v>-0.1342076236824328</v>
      </c>
      <c r="GC100" s="200" t="str">
        <f t="shared" si="190"/>
        <v/>
      </c>
      <c r="GD100" s="203">
        <f>IF($J100="",#N/A,SUM(GC$4:GC100))</f>
        <v>0</v>
      </c>
      <c r="GE100" s="204" t="str">
        <f t="shared" si="191"/>
        <v/>
      </c>
      <c r="GF100" s="204">
        <f>IF($J100="",#N/A,SUM(GE$4:GE100))</f>
        <v>0</v>
      </c>
      <c r="GG100" s="205" t="str">
        <f t="shared" si="192"/>
        <v/>
      </c>
      <c r="GH100" s="205">
        <f>IF($J100="",#N/A,SUM(GG$4:GG100))</f>
        <v>-2.9368362277223206</v>
      </c>
      <c r="GI100" s="205">
        <f>IF($J100="",#N/A,SUM(GG$4:GG100,GE$4:GE100,GC$4:GC100))</f>
        <v>-2.9368362277223206</v>
      </c>
      <c r="GJ100" s="200" t="str">
        <f t="shared" si="193"/>
        <v/>
      </c>
      <c r="GK100" s="203">
        <f>IF($J100="",#N/A,SUM(GJ$4:GJ100))</f>
        <v>0</v>
      </c>
      <c r="GL100" s="204" t="str">
        <f t="shared" si="194"/>
        <v/>
      </c>
      <c r="GM100" s="204">
        <f>IF($J100="",#N/A,SUM(GL$4:GL100))</f>
        <v>-0.4054764861692941</v>
      </c>
      <c r="GN100" s="205" t="str">
        <f t="shared" si="195"/>
        <v/>
      </c>
      <c r="GO100" s="205">
        <f>IF($J100="",#N/A,SUM(GN$4:GN100))</f>
        <v>0</v>
      </c>
      <c r="GP100" s="205">
        <f>IF($J100="",#N/A,SUM(GN$4:GN100,GL$4:GL100,GJ$4:GJ100))</f>
        <v>-0.4054764861692941</v>
      </c>
      <c r="GS100" s="54">
        <f t="shared" si="214"/>
        <v>9.4896668072543516E-2</v>
      </c>
      <c r="GT100" s="54">
        <f>IF(GS100="",NA(),SUM($GS$4:GS100))</f>
        <v>-2.6482456305083826</v>
      </c>
      <c r="GU100" s="54" t="str">
        <f t="shared" si="196"/>
        <v/>
      </c>
      <c r="GV100" s="54" t="e">
        <f>IF(GU100="",NA(),SUM($GU$4:GU100))</f>
        <v>#N/A</v>
      </c>
      <c r="GW100" s="54" t="str">
        <f t="shared" si="197"/>
        <v/>
      </c>
      <c r="GX100" s="54" t="e">
        <f>IF(GW100="",NA(),SUM($GW$4:GW100))</f>
        <v>#N/A</v>
      </c>
      <c r="GY100" s="54">
        <f t="shared" si="198"/>
        <v>9.4896668072543516E-2</v>
      </c>
      <c r="GZ100" s="54">
        <f>IF(GY100="",NA(),SUM($GY$4:GY100))</f>
        <v>-1.933929200517795</v>
      </c>
      <c r="HA100" s="54" t="str">
        <f t="shared" si="199"/>
        <v/>
      </c>
      <c r="HB100" s="54" t="e">
        <f>IF(HA100="",NA(),SUM($HA$4:HA100))</f>
        <v>#N/A</v>
      </c>
      <c r="HC100" s="54" t="str">
        <f t="shared" si="200"/>
        <v/>
      </c>
      <c r="HD100" s="54" t="e">
        <f>IF(HC100="",NA(),SUM($HC$4:HC100))</f>
        <v>#N/A</v>
      </c>
      <c r="HE100" s="54" t="str">
        <f t="shared" si="201"/>
        <v/>
      </c>
      <c r="HF100" s="54" t="e">
        <f>IF(HE100="",NA(),SUM($HE$4:HE100))</f>
        <v>#N/A</v>
      </c>
      <c r="HG100" s="54" t="str">
        <f t="shared" si="202"/>
        <v/>
      </c>
      <c r="HH100" s="54" t="e">
        <f>IF(HG100="",NA(),SUM($HG$4:HG100))</f>
        <v>#N/A</v>
      </c>
      <c r="HI100" s="172">
        <f t="shared" si="215"/>
        <v>0.71934017526594352</v>
      </c>
      <c r="HJ100" s="172">
        <f>IF($J100="",#N/A,SUM(HI$4:$HI100))</f>
        <v>-2.7237495969417798</v>
      </c>
      <c r="HK100" s="54" t="str">
        <f t="shared" si="203"/>
        <v/>
      </c>
      <c r="HL100" s="54">
        <f>IF($J100="",#N/A,SUM($HK$4:HK100))</f>
        <v>-3.6996390135643913</v>
      </c>
      <c r="HM100" s="54" t="str">
        <f t="shared" si="204"/>
        <v/>
      </c>
      <c r="HN100" s="54">
        <f>IF($J100="",#N/A,SUM($HM$4:HM100))</f>
        <v>0.72020221657224703</v>
      </c>
      <c r="HO100" s="54" t="str">
        <f t="shared" si="205"/>
        <v/>
      </c>
      <c r="HP100" s="54">
        <f>IF($J100="",#N/A,SUM($HO$4:HO100))</f>
        <v>-0.34492614665921834</v>
      </c>
      <c r="HQ100" s="54" t="str">
        <f t="shared" si="206"/>
        <v/>
      </c>
      <c r="HR100" s="54">
        <f>IF($J100="",#N/A,SUM($HQ$4:HQ100))</f>
        <v>-6.1746076181104117</v>
      </c>
      <c r="HS100" s="54" t="str">
        <f t="shared" si="207"/>
        <v/>
      </c>
      <c r="HT100" s="54">
        <f>IF($J100="",#N/A,SUM($HS$4:HS100))</f>
        <v>7.2417808288697678</v>
      </c>
      <c r="HU100" s="65">
        <f t="shared" si="208"/>
        <v>0.814236843338487</v>
      </c>
      <c r="HV100" s="65">
        <f>IF($J100="",#N/A,SUM(HU$4:$HU100))</f>
        <v>-7.1513340784493673</v>
      </c>
    </row>
    <row r="101" spans="1:230" x14ac:dyDescent="0.25">
      <c r="A101" s="51" t="s">
        <v>1328</v>
      </c>
      <c r="B101" s="52" t="s">
        <v>4522</v>
      </c>
      <c r="C101" s="229">
        <f t="shared" si="109"/>
        <v>2</v>
      </c>
      <c r="D101" s="219" t="str">
        <f>_xlfn.XLOOKUP(A101,[1]SP500!$A$2:$A$502,[1]SP500!$D$2:$D$502,"N")</f>
        <v>Y</v>
      </c>
      <c r="E101" s="51" t="str">
        <f>IFERROR(_xlfn.XLOOKUP(A101,[1]SP500!$A$2:$A$655,[1]SP500!$B$2:$B$655),"")</f>
        <v>XLV</v>
      </c>
      <c r="F101" s="290">
        <v>45771</v>
      </c>
      <c r="G101" s="51" t="str">
        <f t="shared" si="110"/>
        <v>BMO</v>
      </c>
      <c r="H101" s="51" t="str">
        <f t="shared" si="111"/>
        <v>s</v>
      </c>
      <c r="I101" s="344">
        <v>48.53</v>
      </c>
      <c r="J101" s="124">
        <v>47.94</v>
      </c>
      <c r="K101" s="55">
        <f t="shared" si="112"/>
        <v>-1.2157428394807405E-2</v>
      </c>
      <c r="L101" s="67">
        <f t="shared" si="113"/>
        <v>10.620000000000005</v>
      </c>
      <c r="M101" s="57">
        <f t="shared" si="114"/>
        <v>-1.0800000000000409</v>
      </c>
      <c r="N101" s="102">
        <f t="shared" si="115"/>
        <v>10.620000000000005</v>
      </c>
      <c r="O101" s="57">
        <f>IF(N101="",#N/A,SUM($N$4:N101))</f>
        <v>-309.66759402190644</v>
      </c>
      <c r="P101" s="65">
        <f t="shared" si="209"/>
        <v>0.20262380658012236</v>
      </c>
      <c r="Q101" s="172">
        <f>IF($N101="",#N/A,SUM($P$4:P101))</f>
        <v>-1.9677709420354601</v>
      </c>
      <c r="R101" s="279">
        <f t="shared" si="116"/>
        <v>1.327874074011707</v>
      </c>
      <c r="S101" s="51" t="str">
        <f t="shared" si="117"/>
        <v>Dwn</v>
      </c>
      <c r="T101" s="51" t="s">
        <v>4462</v>
      </c>
      <c r="U101" s="56">
        <f t="shared" si="118"/>
        <v>48.53</v>
      </c>
      <c r="V101" s="56" t="s">
        <v>4458</v>
      </c>
      <c r="W101" s="142">
        <v>18</v>
      </c>
      <c r="X101" s="145">
        <f t="shared" si="119"/>
        <v>873.54</v>
      </c>
      <c r="Y101" s="140">
        <f t="shared" si="120"/>
        <v>18</v>
      </c>
      <c r="Z101" s="123">
        <v>48</v>
      </c>
      <c r="AA101" s="102">
        <f t="shared" si="121"/>
        <v>9.5399999999999636</v>
      </c>
      <c r="AB101" s="102">
        <f t="shared" si="122"/>
        <v>-2.8799999999999955</v>
      </c>
      <c r="AC101" s="124">
        <v>48.69</v>
      </c>
      <c r="AD101" s="155">
        <f t="shared" si="123"/>
        <v>-2.8799999999999955</v>
      </c>
      <c r="AE101" s="545">
        <f t="shared" si="124"/>
        <v>-5.4948828903083918E-2</v>
      </c>
      <c r="AF101" s="57">
        <f>IF($AC101="",#N/A,SUM(AD$4:AD101))</f>
        <v>-569.92260457963505</v>
      </c>
      <c r="AG101" s="102">
        <f t="shared" si="125"/>
        <v>-13.5</v>
      </c>
      <c r="AH101" s="56" t="s">
        <v>2507</v>
      </c>
      <c r="AI101" s="65">
        <f t="shared" si="126"/>
        <v>0.18201799574146507</v>
      </c>
      <c r="AJ101" s="350">
        <f>IF(AI101="",#N/A,SUM($AI$4:AI101))</f>
        <v>-3.2956450160471671</v>
      </c>
      <c r="AK101" s="57">
        <f t="shared" si="127"/>
        <v>9.5399999999999636</v>
      </c>
      <c r="AL101" s="349">
        <f>IF(AI101="",#N/A,IF(AH101="Skip",SUM($AK$4:AK101),SUM($AK$4:AK101)))</f>
        <v>-425.05769999999927</v>
      </c>
      <c r="AM101" s="65">
        <f t="shared" si="210"/>
        <v>-5.4948828903083918E-2</v>
      </c>
      <c r="AN101" s="211"/>
      <c r="AO101" s="65" t="str">
        <f t="shared" si="128"/>
        <v/>
      </c>
      <c r="AP101" s="65">
        <f>IF($AC101="",#N/A,SUM(AO$4:AO101))</f>
        <v>2.018108724898533</v>
      </c>
      <c r="AQ101" s="65" t="str">
        <f t="shared" si="129"/>
        <v/>
      </c>
      <c r="AR101" s="65">
        <f>IF($AC101="",#N/A,SUM(AQ$4:AQ101))</f>
        <v>-1.0879870612894522</v>
      </c>
      <c r="AS101" s="65">
        <f t="shared" si="130"/>
        <v>-5.4948828903083918E-2</v>
      </c>
      <c r="AT101" s="65">
        <f>IF($AC101="",#N/A,SUM(AS$4:AS101))</f>
        <v>-8.1364045709615365</v>
      </c>
      <c r="AU101" s="57" t="str">
        <f t="shared" si="211"/>
        <v/>
      </c>
      <c r="AV101" s="57">
        <f>IF($AC101="",#N/A,SUM(AU$4:AU101))</f>
        <v>47.809567043367224</v>
      </c>
      <c r="AW101" s="57" t="str">
        <f t="shared" si="212"/>
        <v/>
      </c>
      <c r="AX101" s="57">
        <f>IF($AC101="",#N/A,SUM(AW$4:AW101))</f>
        <v>-66.900000000000205</v>
      </c>
      <c r="AY101" s="57">
        <f t="shared" si="213"/>
        <v>-2.8799999999999955</v>
      </c>
      <c r="AZ101" s="57">
        <f>IF($AC101="",#N/A,SUM(AY$4:AY101))</f>
        <v>-550.83217162300207</v>
      </c>
      <c r="BA101" s="57">
        <f>IF(AD101="",#N/A,SUM($AD$4:AD101))</f>
        <v>-569.92260457963505</v>
      </c>
      <c r="BC101" s="51" t="str">
        <f t="shared" si="131"/>
        <v/>
      </c>
      <c r="BD101" s="51" t="str">
        <f t="shared" si="132"/>
        <v/>
      </c>
      <c r="BE101" s="51" t="str">
        <f t="shared" si="133"/>
        <v/>
      </c>
      <c r="BF101" s="51" t="str">
        <f t="shared" si="134"/>
        <v>Short</v>
      </c>
      <c r="BG101" s="51">
        <f t="shared" si="135"/>
        <v>1</v>
      </c>
      <c r="BH101" s="51" t="str">
        <f t="shared" si="136"/>
        <v/>
      </c>
      <c r="BI101" s="51" t="str">
        <f t="shared" si="137"/>
        <v/>
      </c>
      <c r="BK101" s="65">
        <f t="shared" si="108"/>
        <v>0.11235676353941518</v>
      </c>
      <c r="BL101" s="65">
        <f t="shared" si="216"/>
        <v>-0.13735029373235202</v>
      </c>
      <c r="BM101" s="65">
        <f>IFERROR(Q101/COUNTA($J$4:J101),#N/A)</f>
        <v>-2.0079295326892451E-2</v>
      </c>
      <c r="BO101" s="489" t="e">
        <f>IF(J101="",#N/A,IF(S101="SW",(COUNTIFS(K$4:$K101,"&gt;0",S$4:$S101,"SW")/COUNTIF(S$4:$S101,"SW")),#N/A))</f>
        <v>#N/A</v>
      </c>
      <c r="BP101" s="489">
        <f>IF($J101="",#N/A,IF($S101="DWN",(COUNTIFS($K$4:$K101,"&lt;0",$S$4:$S101,"DWN")/COUNTIF($S$4:$S101,"DWN")),#N/A))</f>
        <v>0.53846153846153844</v>
      </c>
      <c r="BQ101" s="489" t="e">
        <f>IF($J101="",#N/A,IF($S101="UP",(COUNTIFS($K$4:$K101,"&gt;0",$S$4:$S101,"UP")/COUNTIF($S$4:$S101,"UP")),#N/A))</f>
        <v>#N/A</v>
      </c>
      <c r="BR101" s="489">
        <f>IF(J101="",#N/A,COUNTIF($K$4:K101,"&gt;0")/COUNT($J$4:J101))</f>
        <v>0.47959183673469385</v>
      </c>
      <c r="BS101" s="65" t="str">
        <f t="shared" si="138"/>
        <v/>
      </c>
      <c r="BT101" s="65" t="str">
        <f t="shared" si="139"/>
        <v/>
      </c>
      <c r="BU101" s="65">
        <f t="shared" si="140"/>
        <v>0.20262380658012236</v>
      </c>
      <c r="BV101" s="65" t="str">
        <f t="shared" si="141"/>
        <v/>
      </c>
      <c r="BW101" s="128" t="str">
        <f t="shared" si="142"/>
        <v/>
      </c>
      <c r="BX101" s="128">
        <f>IF($J101="",#N/A,SUM($BW$4:BW101))</f>
        <v>-91.165000000000305</v>
      </c>
      <c r="BY101" s="131">
        <f t="shared" si="143"/>
        <v>10.620000000000005</v>
      </c>
      <c r="BZ101" s="131">
        <f>IF($J101="",#N/A,SUM($BY$4:BY101))</f>
        <v>-157.38385042154766</v>
      </c>
      <c r="CA101" s="133" t="str">
        <f t="shared" si="144"/>
        <v/>
      </c>
      <c r="CB101" s="133">
        <f>IF($J101="",#N/A,SUM($CA$4:CA101))</f>
        <v>-61.118743600358471</v>
      </c>
      <c r="CC101" s="194" t="str">
        <f t="shared" si="145"/>
        <v/>
      </c>
      <c r="CD101" s="194">
        <f>IF($J101="",#N/A,SUM($CC$4:CC101))</f>
        <v>-1.4632631312024809</v>
      </c>
      <c r="CE101" s="195">
        <f t="shared" si="146"/>
        <v>0.20262380658012236</v>
      </c>
      <c r="CF101" s="195">
        <f>IF($J101="",#N/A,SUM($CE$4:CE101))</f>
        <v>-1.4554433249721557</v>
      </c>
      <c r="CG101" s="196" t="str">
        <f t="shared" si="147"/>
        <v/>
      </c>
      <c r="CH101" s="196">
        <f>IF($J101="",#N/A,SUM($CG$4:CG101))</f>
        <v>0.95093551413918087</v>
      </c>
      <c r="CI101" s="200" t="str">
        <f t="shared" si="148"/>
        <v/>
      </c>
      <c r="CJ101" s="203">
        <f>IF($J101="",#N/A,SUM(CI$4:CI101))</f>
        <v>0</v>
      </c>
      <c r="CK101" s="204" t="str">
        <f t="shared" si="149"/>
        <v/>
      </c>
      <c r="CL101" s="204">
        <f>IF($J101="",#N/A,SUM(CK$4:CK101))</f>
        <v>1.8934431343190481</v>
      </c>
      <c r="CM101" s="205" t="str">
        <f t="shared" si="150"/>
        <v/>
      </c>
      <c r="CN101" s="205">
        <f>IF($J101="",#N/A,SUM(CM$4:CM101))</f>
        <v>2.5724959960693745</v>
      </c>
      <c r="CO101" s="205">
        <f>IF($J101="",#N/A,SUM(CM$4:CM101,CK$4:CK101,CI$4:CI101))</f>
        <v>4.4659391303884224</v>
      </c>
      <c r="CP101" s="200" t="str">
        <f t="shared" si="151"/>
        <v/>
      </c>
      <c r="CQ101" s="203">
        <f>IF($J101="",#N/A,SUM(CP$4:CP101))</f>
        <v>0</v>
      </c>
      <c r="CR101" s="204" t="str">
        <f t="shared" si="152"/>
        <v/>
      </c>
      <c r="CS101" s="204">
        <f>IF($J101="",#N/A,SUM(CR$4:CR101))</f>
        <v>0</v>
      </c>
      <c r="CT101" s="205" t="str">
        <f t="shared" si="153"/>
        <v/>
      </c>
      <c r="CU101" s="205">
        <f>IF($J101="",#N/A,SUM(CT$4:CT101))</f>
        <v>0</v>
      </c>
      <c r="CV101" s="205">
        <f>IF($J101="",#N/A,SUM(CT$4:CT101,CR$4:CR101,CP$4:CP101))</f>
        <v>0</v>
      </c>
      <c r="CW101" s="200" t="str">
        <f t="shared" si="154"/>
        <v/>
      </c>
      <c r="CX101" s="203">
        <f>IF($J101="",#N/A,SUM(CW$4:CW101))</f>
        <v>0</v>
      </c>
      <c r="CY101" s="204" t="str">
        <f t="shared" si="155"/>
        <v/>
      </c>
      <c r="CZ101" s="204">
        <f>IF($J101="",#N/A,SUM(CY$4:CY101))</f>
        <v>-0.67634330666682074</v>
      </c>
      <c r="DA101" s="205" t="str">
        <f t="shared" si="156"/>
        <v/>
      </c>
      <c r="DB101" s="205">
        <f>IF($J101="",#N/A,SUM(DA$4:DA101))</f>
        <v>0.47549974633223147</v>
      </c>
      <c r="DC101" s="205">
        <f>IF($J101="",#N/A,SUM(DA$4:DA101,CY$4:CY101,CW$4:CW101))</f>
        <v>-0.20084356033458922</v>
      </c>
      <c r="DD101" s="200" t="str">
        <f t="shared" si="157"/>
        <v/>
      </c>
      <c r="DE101" s="203">
        <f>IF($J101="",#N/A,SUM(DD$4:DD101))</f>
        <v>0.4905246481018824</v>
      </c>
      <c r="DF101" s="204" t="str">
        <f t="shared" si="158"/>
        <v/>
      </c>
      <c r="DG101" s="204">
        <f>IF($J101="",#N/A,SUM(DF$4:DF101))</f>
        <v>0.77374072477919809</v>
      </c>
      <c r="DH101" s="205" t="str">
        <f t="shared" si="159"/>
        <v/>
      </c>
      <c r="DI101" s="205">
        <f>IF($J101="",#N/A,SUM(DH$4:DH101))</f>
        <v>-1.3576828656466722</v>
      </c>
      <c r="DJ101" s="205">
        <f>IF($J101="",#N/A,SUM(DH$4:DH101,DF$4:DF101,DD$4:DD101))</f>
        <v>-9.3417492765591692E-2</v>
      </c>
      <c r="DK101" s="200" t="str">
        <f t="shared" si="160"/>
        <v/>
      </c>
      <c r="DL101" s="203">
        <f>IF($J101="",#N/A,SUM(DK$4:DK101))</f>
        <v>0</v>
      </c>
      <c r="DM101" s="204" t="str">
        <f t="shared" si="161"/>
        <v/>
      </c>
      <c r="DN101" s="204">
        <f>IF($J101="",#N/A,SUM(DM$4:DM101))</f>
        <v>1.5662171418887725</v>
      </c>
      <c r="DO101" s="205" t="str">
        <f t="shared" si="162"/>
        <v/>
      </c>
      <c r="DP101" s="205">
        <f>IF($J101="",#N/A,SUM(DO$4:DO101))</f>
        <v>-0.43291760746858676</v>
      </c>
      <c r="DQ101" s="205">
        <f>IF($J101="",#N/A,SUM(DO$4:DO101,DM$4:DM101,DK$4:DK101))</f>
        <v>1.1332995344201857</v>
      </c>
      <c r="DR101" s="200" t="str">
        <f t="shared" si="163"/>
        <v/>
      </c>
      <c r="DS101" s="203">
        <f>IF($J101="",#N/A,SUM(DR$4:DR101))</f>
        <v>-0.55950946427675097</v>
      </c>
      <c r="DT101" s="204" t="str">
        <f t="shared" si="164"/>
        <v/>
      </c>
      <c r="DU101" s="204">
        <f>IF($J101="",#N/A,SUM(DT$4:DT101))</f>
        <v>-2.8875364672150718</v>
      </c>
      <c r="DV101" s="205" t="str">
        <f t="shared" si="165"/>
        <v/>
      </c>
      <c r="DW101" s="205">
        <f>IF($J101="",#N/A,SUM(DV$4:DV101))</f>
        <v>-2.6814706788983136</v>
      </c>
      <c r="DX101" s="205">
        <f>IF($J101="",#N/A,SUM(DV$4:DV101,DT$4:DT101,DR$4:DR101))</f>
        <v>-6.1285166103901361</v>
      </c>
      <c r="DY101" s="200" t="str">
        <f t="shared" si="166"/>
        <v/>
      </c>
      <c r="DZ101" s="203">
        <f>IF($J101="",#N/A,SUM(DY$4:DY101))</f>
        <v>-1.4611133068588897</v>
      </c>
      <c r="EA101" s="204" t="str">
        <f t="shared" si="167"/>
        <v/>
      </c>
      <c r="EB101" s="204">
        <f>IF($J101="",#N/A,SUM(EA$4:EA101))</f>
        <v>-0.36153038830642437</v>
      </c>
      <c r="EC101" s="205" t="str">
        <f t="shared" si="168"/>
        <v/>
      </c>
      <c r="ED101" s="205">
        <f>IF($J101="",#N/A,SUM(EC$4:EC101))</f>
        <v>1.7296296266665774</v>
      </c>
      <c r="EE101" s="205">
        <f>IF($J101="",#N/A,SUM(EC$4:EC101,EA$4:EA101,DY$4:DY101))</f>
        <v>-9.3014068498736835E-2</v>
      </c>
      <c r="EF101" s="200" t="str">
        <f t="shared" si="169"/>
        <v/>
      </c>
      <c r="EG101" s="203">
        <f>IF($J101="",#N/A,SUM(EF$4:EF101))</f>
        <v>0</v>
      </c>
      <c r="EH101" s="204">
        <f t="shared" si="170"/>
        <v>0.20262380658012236</v>
      </c>
      <c r="EI101" s="204">
        <f>IF($J101="",#N/A,SUM(EH$4:EH101))</f>
        <v>-2.6174111635897193</v>
      </c>
      <c r="EJ101" s="205" t="str">
        <f t="shared" si="171"/>
        <v/>
      </c>
      <c r="EK101" s="205">
        <f>IF($J101="",#N/A,SUM(EJ$4:EJ101))</f>
        <v>2.2116398676705207</v>
      </c>
      <c r="EL101" s="205">
        <f>IF($J101="",#N/A,SUM(EJ$4:EJ101,EH$4:EH101,EF$4:EF101))</f>
        <v>-0.40577129591919803</v>
      </c>
      <c r="EM101" s="200" t="str">
        <f t="shared" si="172"/>
        <v/>
      </c>
      <c r="EN101" s="203">
        <f>IF($J101="",#N/A,SUM(EM$4:EM101))</f>
        <v>0</v>
      </c>
      <c r="EO101" s="204" t="str">
        <f t="shared" si="173"/>
        <v/>
      </c>
      <c r="EP101" s="204">
        <f>IF($J101="",#N/A,SUM(EO$4:EO101))</f>
        <v>0.83968166820063983</v>
      </c>
      <c r="EQ101" s="205" t="str">
        <f t="shared" si="174"/>
        <v/>
      </c>
      <c r="ER101" s="205">
        <f>IF($J101="",#N/A,SUM(EQ$4:EQ101))</f>
        <v>0.4926597949853756</v>
      </c>
      <c r="ES101" s="205">
        <f>IF($J101="",#N/A,SUM(EQ$4:EQ101,EO$4:EO101,EM$4:EM101))</f>
        <v>1.3323414631860153</v>
      </c>
      <c r="ET101" s="200" t="str">
        <f t="shared" si="175"/>
        <v/>
      </c>
      <c r="EU101" s="203">
        <f>IF($J101="",#N/A,SUM(ET$4:ET101))</f>
        <v>0</v>
      </c>
      <c r="EV101" s="204" t="str">
        <f t="shared" si="176"/>
        <v/>
      </c>
      <c r="EW101" s="204">
        <f>IF($J101="",#N/A,SUM(EV$4:EV101))</f>
        <v>-0.73430241270792684</v>
      </c>
      <c r="EX101" s="205" t="str">
        <f t="shared" si="177"/>
        <v/>
      </c>
      <c r="EY101" s="205">
        <f>IF($J101="",#N/A,SUM(EX$4:EX101))</f>
        <v>1.367071968452185</v>
      </c>
      <c r="EZ101" s="205">
        <f>IF($J101="",#N/A,SUM(EX$4:EX101,EV$4:EV101,ET$4:ET101))</f>
        <v>0.63276955574425819</v>
      </c>
      <c r="FA101" s="200" t="str">
        <f t="shared" si="178"/>
        <v/>
      </c>
      <c r="FB101" s="203">
        <f>IF($J101="",#N/A,SUM(FA$4:FA101))</f>
        <v>0</v>
      </c>
      <c r="FC101" s="204" t="str">
        <f t="shared" si="179"/>
        <v/>
      </c>
      <c r="FD101" s="204">
        <f>IF($J101="",#N/A,SUM(FC$4:FC101))</f>
        <v>1.154074230495441</v>
      </c>
      <c r="FE101" s="205" t="str">
        <f t="shared" si="180"/>
        <v/>
      </c>
      <c r="FF101" s="205">
        <f>IF($J101="",#N/A,SUM(FE$4:FE101))</f>
        <v>-0.28811149078748233</v>
      </c>
      <c r="FG101" s="205">
        <f>IF($J101="",#N/A,SUM(FE$4:FE101,FC$4:FC101,FA$4:FA101))</f>
        <v>0.86596273970795878</v>
      </c>
      <c r="FH101" s="200" t="str">
        <f t="shared" si="181"/>
        <v/>
      </c>
      <c r="FI101" s="203">
        <f>IF($J101="",#N/A,SUM(FH$4:FH101))</f>
        <v>0</v>
      </c>
      <c r="FJ101" s="204" t="str">
        <f t="shared" si="182"/>
        <v/>
      </c>
      <c r="FK101" s="204">
        <f>IF($J101="",#N/A,SUM(FJ$4:FJ101))</f>
        <v>0</v>
      </c>
      <c r="FL101" s="205" t="str">
        <f t="shared" si="183"/>
        <v/>
      </c>
      <c r="FM101" s="205">
        <f>IF($J101="",#N/A,SUM(FL$4:FL101))</f>
        <v>0</v>
      </c>
      <c r="FN101" s="205">
        <f>IF($J101="",#N/A,SUM(FL$4:FL101,FJ$4:FJ101,FH$4:FH101))</f>
        <v>0</v>
      </c>
      <c r="FO101" s="200" t="str">
        <f t="shared" si="184"/>
        <v/>
      </c>
      <c r="FP101" s="203">
        <f>IF($J101="",#N/A,SUM(FO$4:FO101))</f>
        <v>0</v>
      </c>
      <c r="FQ101" s="204" t="str">
        <f t="shared" si="185"/>
        <v/>
      </c>
      <c r="FR101" s="204">
        <f>IF($J101="",#N/A,SUM(FQ$4:FQ101))</f>
        <v>0</v>
      </c>
      <c r="FS101" s="205" t="str">
        <f t="shared" si="186"/>
        <v/>
      </c>
      <c r="FT101" s="205">
        <f>IF($J101="",#N/A,SUM(FS$4:FS101))</f>
        <v>0</v>
      </c>
      <c r="FU101" s="205">
        <f>IF($J101="",#N/A,SUM(FS$4:FS101,FQ$4:FQ101,FO$4:FO101))</f>
        <v>0</v>
      </c>
      <c r="FV101" s="200" t="str">
        <f t="shared" si="187"/>
        <v/>
      </c>
      <c r="FW101" s="203">
        <f>IF($J101="",#N/A,SUM(FV$4:FV101))</f>
        <v>6.6834991831277585E-2</v>
      </c>
      <c r="FX101" s="204" t="str">
        <f t="shared" si="188"/>
        <v/>
      </c>
      <c r="FY101" s="204">
        <f>IF($J101="",#N/A,SUM(FX$4:FX101))</f>
        <v>0</v>
      </c>
      <c r="FZ101" s="205" t="str">
        <f t="shared" si="189"/>
        <v/>
      </c>
      <c r="GA101" s="205">
        <f>IF($J101="",#N/A,SUM(FZ$4:FZ101))</f>
        <v>-0.20104261551371039</v>
      </c>
      <c r="GB101" s="205">
        <f>IF($J101="",#N/A,SUM(FZ$4:FZ101,FX$4:FX101,FV$4:FV101))</f>
        <v>-0.1342076236824328</v>
      </c>
      <c r="GC101" s="200" t="str">
        <f t="shared" si="190"/>
        <v/>
      </c>
      <c r="GD101" s="203">
        <f>IF($J101="",#N/A,SUM(GC$4:GC101))</f>
        <v>0</v>
      </c>
      <c r="GE101" s="204" t="str">
        <f t="shared" si="191"/>
        <v/>
      </c>
      <c r="GF101" s="204">
        <f>IF($J101="",#N/A,SUM(GE$4:GE101))</f>
        <v>0</v>
      </c>
      <c r="GG101" s="205" t="str">
        <f t="shared" si="192"/>
        <v/>
      </c>
      <c r="GH101" s="205">
        <f>IF($J101="",#N/A,SUM(GG$4:GG101))</f>
        <v>-2.9368362277223206</v>
      </c>
      <c r="GI101" s="205">
        <f>IF($J101="",#N/A,SUM(GG$4:GG101,GE$4:GE101,GC$4:GC101))</f>
        <v>-2.9368362277223206</v>
      </c>
      <c r="GJ101" s="200" t="str">
        <f t="shared" si="193"/>
        <v/>
      </c>
      <c r="GK101" s="203">
        <f>IF($J101="",#N/A,SUM(GJ$4:GJ101))</f>
        <v>0</v>
      </c>
      <c r="GL101" s="204" t="str">
        <f t="shared" si="194"/>
        <v/>
      </c>
      <c r="GM101" s="204">
        <f>IF($J101="",#N/A,SUM(GL$4:GL101))</f>
        <v>-0.4054764861692941</v>
      </c>
      <c r="GN101" s="205" t="str">
        <f t="shared" si="195"/>
        <v/>
      </c>
      <c r="GO101" s="205">
        <f>IF($J101="",#N/A,SUM(GN$4:GN101))</f>
        <v>0</v>
      </c>
      <c r="GP101" s="205">
        <f>IF($J101="",#N/A,SUM(GN$4:GN101,GL$4:GL101,GJ$4:GJ101))</f>
        <v>-0.4054764861692941</v>
      </c>
      <c r="GS101" s="54">
        <f t="shared" si="214"/>
        <v>0.20262380658012236</v>
      </c>
      <c r="GT101" s="54">
        <f>IF(GS101="",NA(),SUM($GS$4:GS101))</f>
        <v>-2.4456218239282603</v>
      </c>
      <c r="GU101" s="54" t="str">
        <f t="shared" si="196"/>
        <v/>
      </c>
      <c r="GV101" s="54" t="e">
        <f>IF(GU101="",NA(),SUM($GU$4:GU101))</f>
        <v>#N/A</v>
      </c>
      <c r="GW101" s="54" t="str">
        <f t="shared" si="197"/>
        <v/>
      </c>
      <c r="GX101" s="54" t="e">
        <f>IF(GW101="",NA(),SUM($GW$4:GW101))</f>
        <v>#N/A</v>
      </c>
      <c r="GY101" s="54">
        <f t="shared" si="198"/>
        <v>0.20262380658012236</v>
      </c>
      <c r="GZ101" s="54">
        <f>IF(GY101="",NA(),SUM($GY$4:GY101))</f>
        <v>-1.7313053939376726</v>
      </c>
      <c r="HA101" s="54" t="str">
        <f t="shared" si="199"/>
        <v/>
      </c>
      <c r="HB101" s="54" t="e">
        <f>IF(HA101="",NA(),SUM($HA$4:HA101))</f>
        <v>#N/A</v>
      </c>
      <c r="HC101" s="54" t="str">
        <f t="shared" si="200"/>
        <v/>
      </c>
      <c r="HD101" s="54" t="e">
        <f>IF(HC101="",NA(),SUM($HC$4:HC101))</f>
        <v>#N/A</v>
      </c>
      <c r="HE101" s="54" t="str">
        <f t="shared" si="201"/>
        <v/>
      </c>
      <c r="HF101" s="54" t="e">
        <f>IF(HE101="",NA(),SUM($HE$4:HE101))</f>
        <v>#N/A</v>
      </c>
      <c r="HG101" s="54" t="str">
        <f t="shared" si="202"/>
        <v/>
      </c>
      <c r="HH101" s="54" t="e">
        <f>IF(HG101="",NA(),SUM($HG$4:HG101))</f>
        <v>#N/A</v>
      </c>
      <c r="HI101" s="172">
        <f t="shared" si="215"/>
        <v>-0.2575726354832063</v>
      </c>
      <c r="HJ101" s="172">
        <f>IF($J101="",#N/A,SUM(HI$4:$HI101))</f>
        <v>-2.981322232424986</v>
      </c>
      <c r="HK101" s="54" t="str">
        <f t="shared" si="203"/>
        <v/>
      </c>
      <c r="HL101" s="54">
        <f>IF($J101="",#N/A,SUM($HK$4:HK101))</f>
        <v>-3.6996390135643913</v>
      </c>
      <c r="HM101" s="54" t="str">
        <f t="shared" si="204"/>
        <v/>
      </c>
      <c r="HN101" s="54">
        <f>IF($J101="",#N/A,SUM($HM$4:HM101))</f>
        <v>0.72020221657224703</v>
      </c>
      <c r="HO101" s="54" t="str">
        <f t="shared" si="205"/>
        <v/>
      </c>
      <c r="HP101" s="54">
        <f>IF($J101="",#N/A,SUM($HO$4:HO101))</f>
        <v>-0.34492614665921834</v>
      </c>
      <c r="HQ101" s="54" t="str">
        <f t="shared" si="206"/>
        <v/>
      </c>
      <c r="HR101" s="54">
        <f>IF($J101="",#N/A,SUM($HQ$4:HQ101))</f>
        <v>-6.1746076181104117</v>
      </c>
      <c r="HS101" s="54" t="str">
        <f t="shared" si="207"/>
        <v/>
      </c>
      <c r="HT101" s="54">
        <f>IF($J101="",#N/A,SUM($HS$4:HS101))</f>
        <v>7.2417808288697678</v>
      </c>
      <c r="HU101" s="65">
        <f t="shared" si="208"/>
        <v>-5.4948828903083918E-2</v>
      </c>
      <c r="HV101" s="65">
        <f>IF($J101="",#N/A,SUM(HU$4:$HU101))</f>
        <v>-7.2062829073524508</v>
      </c>
    </row>
    <row r="102" spans="1:230" x14ac:dyDescent="0.25">
      <c r="A102" s="51" t="s">
        <v>1584</v>
      </c>
      <c r="B102" s="52" t="s">
        <v>4522</v>
      </c>
      <c r="C102" s="229">
        <f t="shared" si="109"/>
        <v>2</v>
      </c>
      <c r="D102" s="219" t="str">
        <f>_xlfn.XLOOKUP(A102,[1]SP500!$A$2:$A$502,[1]SP500!$D$2:$D$502,"N")</f>
        <v>Y</v>
      </c>
      <c r="E102" s="51" t="str">
        <f>IFERROR(_xlfn.XLOOKUP(A102,[1]SP500!$A$2:$A$655,[1]SP500!$B$2:$B$655),"")</f>
        <v>XLC</v>
      </c>
      <c r="F102" s="290">
        <v>45771</v>
      </c>
      <c r="G102" s="51" t="str">
        <f t="shared" si="110"/>
        <v>BMO</v>
      </c>
      <c r="H102" s="51" t="str">
        <f t="shared" si="111"/>
        <v>s</v>
      </c>
      <c r="I102" s="344">
        <v>23.99</v>
      </c>
      <c r="J102" s="124">
        <v>24.53</v>
      </c>
      <c r="K102" s="55">
        <f t="shared" si="112"/>
        <v>2.2509378907878397E-2</v>
      </c>
      <c r="L102" s="67">
        <f t="shared" si="113"/>
        <v>-18.900000000000091</v>
      </c>
      <c r="M102" s="57">
        <f t="shared" si="114"/>
        <v>7.3500000000000227</v>
      </c>
      <c r="N102" s="102">
        <f t="shared" si="115"/>
        <v>-18.900000000000091</v>
      </c>
      <c r="O102" s="57">
        <f>IF(N102="",#N/A,SUM($N$4:N102))</f>
        <v>-328.56759402190653</v>
      </c>
      <c r="P102" s="65">
        <f t="shared" si="209"/>
        <v>-0.37515631513130654</v>
      </c>
      <c r="Q102" s="172">
        <f>IF($N102="",#N/A,SUM($P$4:P102))</f>
        <v>-2.3429272571667665</v>
      </c>
      <c r="R102" s="279">
        <f t="shared" si="116"/>
        <v>1.1819799514606437</v>
      </c>
      <c r="S102" s="51" t="str">
        <f t="shared" si="117"/>
        <v>Dwn</v>
      </c>
      <c r="T102" s="51" t="s">
        <v>4461</v>
      </c>
      <c r="U102" s="56">
        <f t="shared" si="118"/>
        <v>23.99</v>
      </c>
      <c r="V102" s="56" t="s">
        <v>4458</v>
      </c>
      <c r="W102" s="142">
        <v>35</v>
      </c>
      <c r="X102" s="145">
        <f t="shared" si="119"/>
        <v>839.65</v>
      </c>
      <c r="Y102" s="140">
        <f t="shared" si="120"/>
        <v>35</v>
      </c>
      <c r="Z102" s="123">
        <v>24.32</v>
      </c>
      <c r="AA102" s="102">
        <f t="shared" si="121"/>
        <v>-11.550000000000068</v>
      </c>
      <c r="AB102" s="102">
        <f t="shared" si="122"/>
        <v>-38.149999999999977</v>
      </c>
      <c r="AC102" s="124">
        <v>25.08</v>
      </c>
      <c r="AD102" s="155">
        <f t="shared" si="123"/>
        <v>-38.149999999999977</v>
      </c>
      <c r="AE102" s="545">
        <f t="shared" si="124"/>
        <v>-0.75725996943170726</v>
      </c>
      <c r="AF102" s="57">
        <f>IF($AC102="",#N/A,SUM(AD$4:AD102))</f>
        <v>-608.07260457963503</v>
      </c>
      <c r="AG102" s="102">
        <f t="shared" si="125"/>
        <v>-19.249999999999886</v>
      </c>
      <c r="AH102" s="56" t="s">
        <v>2507</v>
      </c>
      <c r="AI102" s="65">
        <f t="shared" si="126"/>
        <v>-0.22926219258024313</v>
      </c>
      <c r="AJ102" s="350">
        <f>IF(AI102="",#N/A,SUM($AI$4:AI102))</f>
        <v>-3.5249072086274102</v>
      </c>
      <c r="AK102" s="57">
        <f t="shared" si="127"/>
        <v>-11.550000000000068</v>
      </c>
      <c r="AL102" s="349">
        <f>IF(AI102="",#N/A,IF(AH102="Skip",SUM($AK$4:AK102),SUM($AK$4:AK102)))</f>
        <v>-436.60769999999934</v>
      </c>
      <c r="AM102" s="65">
        <f t="shared" si="210"/>
        <v>-0.75725996943170726</v>
      </c>
      <c r="AN102" s="211"/>
      <c r="AO102" s="65" t="str">
        <f t="shared" si="128"/>
        <v/>
      </c>
      <c r="AP102" s="65">
        <f>IF($AC102="",#N/A,SUM(AO$4:AO102))</f>
        <v>2.018108724898533</v>
      </c>
      <c r="AQ102" s="65" t="str">
        <f t="shared" si="129"/>
        <v/>
      </c>
      <c r="AR102" s="65">
        <f>IF($AC102="",#N/A,SUM(AQ$4:AQ102))</f>
        <v>-1.0879870612894522</v>
      </c>
      <c r="AS102" s="65">
        <f t="shared" si="130"/>
        <v>-0.75725996943170726</v>
      </c>
      <c r="AT102" s="65">
        <f>IF($AC102="",#N/A,SUM(AS$4:AS102))</f>
        <v>-8.8936645403932442</v>
      </c>
      <c r="AU102" s="57" t="str">
        <f t="shared" si="211"/>
        <v/>
      </c>
      <c r="AV102" s="57">
        <f>IF($AC102="",#N/A,SUM(AU$4:AU102))</f>
        <v>47.809567043367224</v>
      </c>
      <c r="AW102" s="57" t="str">
        <f t="shared" si="212"/>
        <v/>
      </c>
      <c r="AX102" s="57">
        <f>IF($AC102="",#N/A,SUM(AW$4:AW102))</f>
        <v>-66.900000000000205</v>
      </c>
      <c r="AY102" s="57">
        <f t="shared" si="213"/>
        <v>-38.149999999999977</v>
      </c>
      <c r="AZ102" s="57">
        <f>IF($AC102="",#N/A,SUM(AY$4:AY102))</f>
        <v>-588.98217162300205</v>
      </c>
      <c r="BA102" s="57">
        <f>IF(AD102="",#N/A,SUM($AD$4:AD102))</f>
        <v>-608.07260457963503</v>
      </c>
      <c r="BC102" s="51" t="str">
        <f t="shared" si="131"/>
        <v/>
      </c>
      <c r="BD102" s="51">
        <f t="shared" si="132"/>
        <v>1</v>
      </c>
      <c r="BE102" s="51" t="str">
        <f t="shared" si="133"/>
        <v/>
      </c>
      <c r="BF102" s="51" t="str">
        <f t="shared" si="134"/>
        <v>Short</v>
      </c>
      <c r="BG102" s="51" t="str">
        <f t="shared" si="135"/>
        <v/>
      </c>
      <c r="BH102" s="51" t="str">
        <f t="shared" si="136"/>
        <v/>
      </c>
      <c r="BI102" s="51" t="str">
        <f t="shared" si="137"/>
        <v/>
      </c>
      <c r="BK102" s="65">
        <f t="shared" si="108"/>
        <v>0.13548583937232139</v>
      </c>
      <c r="BL102" s="65">
        <f t="shared" si="216"/>
        <v>-0.18707511551172321</v>
      </c>
      <c r="BM102" s="65">
        <f>IFERROR(Q102/COUNTA($J$4:J102),#N/A)</f>
        <v>-2.3665931890573401E-2</v>
      </c>
      <c r="BO102" s="489" t="e">
        <f>IF(J102="",#N/A,IF(S102="SW",(COUNTIFS(K$4:$K102,"&gt;0",S$4:$S102,"SW")/COUNTIF(S$4:$S102,"SW")),#N/A))</f>
        <v>#N/A</v>
      </c>
      <c r="BP102" s="489">
        <f>IF($J102="",#N/A,IF($S102="DWN",(COUNTIFS($K$4:$K102,"&lt;0",$S$4:$S102,"DWN")/COUNTIF($S$4:$S102,"DWN")),#N/A))</f>
        <v>0.52500000000000002</v>
      </c>
      <c r="BQ102" s="489" t="e">
        <f>IF($J102="",#N/A,IF($S102="UP",(COUNTIFS($K$4:$K102,"&gt;0",$S$4:$S102,"UP")/COUNTIF($S$4:$S102,"UP")),#N/A))</f>
        <v>#N/A</v>
      </c>
      <c r="BR102" s="489">
        <f>IF(J102="",#N/A,COUNTIF($K$4:K102,"&gt;0")/COUNT($J$4:J102))</f>
        <v>0.48484848484848486</v>
      </c>
      <c r="BS102" s="65" t="str">
        <f t="shared" si="138"/>
        <v/>
      </c>
      <c r="BT102" s="65" t="str">
        <f t="shared" si="139"/>
        <v/>
      </c>
      <c r="BU102" s="65" t="str">
        <f t="shared" si="140"/>
        <v/>
      </c>
      <c r="BV102" s="65">
        <f t="shared" si="141"/>
        <v>-0.37515631513130654</v>
      </c>
      <c r="BW102" s="128" t="str">
        <f t="shared" si="142"/>
        <v/>
      </c>
      <c r="BX102" s="128">
        <f>IF($J102="",#N/A,SUM($BW$4:BW102))</f>
        <v>-91.165000000000305</v>
      </c>
      <c r="BY102" s="131">
        <f t="shared" si="143"/>
        <v>-18.900000000000091</v>
      </c>
      <c r="BZ102" s="131">
        <f>IF($J102="",#N/A,SUM($BY$4:BY102))</f>
        <v>-176.28385042154775</v>
      </c>
      <c r="CA102" s="133" t="str">
        <f t="shared" si="144"/>
        <v/>
      </c>
      <c r="CB102" s="133">
        <f>IF($J102="",#N/A,SUM($CA$4:CA102))</f>
        <v>-61.118743600358471</v>
      </c>
      <c r="CC102" s="194" t="str">
        <f t="shared" si="145"/>
        <v/>
      </c>
      <c r="CD102" s="194">
        <f>IF($J102="",#N/A,SUM($CC$4:CC102))</f>
        <v>-1.4632631312024809</v>
      </c>
      <c r="CE102" s="195">
        <f t="shared" si="146"/>
        <v>-0.37515631513130654</v>
      </c>
      <c r="CF102" s="195">
        <f>IF($J102="",#N/A,SUM($CE$4:CE102))</f>
        <v>-1.8305996401034621</v>
      </c>
      <c r="CG102" s="196" t="str">
        <f t="shared" si="147"/>
        <v/>
      </c>
      <c r="CH102" s="196">
        <f>IF($J102="",#N/A,SUM($CG$4:CG102))</f>
        <v>0.95093551413918087</v>
      </c>
      <c r="CI102" s="200" t="str">
        <f t="shared" si="148"/>
        <v/>
      </c>
      <c r="CJ102" s="203">
        <f>IF($J102="",#N/A,SUM(CI$4:CI102))</f>
        <v>0</v>
      </c>
      <c r="CK102" s="204" t="str">
        <f t="shared" si="149"/>
        <v/>
      </c>
      <c r="CL102" s="204">
        <f>IF($J102="",#N/A,SUM(CK$4:CK102))</f>
        <v>1.8934431343190481</v>
      </c>
      <c r="CM102" s="205" t="str">
        <f t="shared" si="150"/>
        <v/>
      </c>
      <c r="CN102" s="205">
        <f>IF($J102="",#N/A,SUM(CM$4:CM102))</f>
        <v>2.5724959960693745</v>
      </c>
      <c r="CO102" s="205">
        <f>IF($J102="",#N/A,SUM(CM$4:CM102,CK$4:CK102,CI$4:CI102))</f>
        <v>4.4659391303884224</v>
      </c>
      <c r="CP102" s="200" t="str">
        <f t="shared" si="151"/>
        <v/>
      </c>
      <c r="CQ102" s="203">
        <f>IF($J102="",#N/A,SUM(CP$4:CP102))</f>
        <v>0</v>
      </c>
      <c r="CR102" s="204" t="str">
        <f t="shared" si="152"/>
        <v/>
      </c>
      <c r="CS102" s="204">
        <f>IF($J102="",#N/A,SUM(CR$4:CR102))</f>
        <v>0</v>
      </c>
      <c r="CT102" s="205" t="str">
        <f t="shared" si="153"/>
        <v/>
      </c>
      <c r="CU102" s="205">
        <f>IF($J102="",#N/A,SUM(CT$4:CT102))</f>
        <v>0</v>
      </c>
      <c r="CV102" s="205">
        <f>IF($J102="",#N/A,SUM(CT$4:CT102,CR$4:CR102,CP$4:CP102))</f>
        <v>0</v>
      </c>
      <c r="CW102" s="200" t="str">
        <f t="shared" si="154"/>
        <v/>
      </c>
      <c r="CX102" s="203">
        <f>IF($J102="",#N/A,SUM(CW$4:CW102))</f>
        <v>0</v>
      </c>
      <c r="CY102" s="204" t="str">
        <f t="shared" si="155"/>
        <v/>
      </c>
      <c r="CZ102" s="204">
        <f>IF($J102="",#N/A,SUM(CY$4:CY102))</f>
        <v>-0.67634330666682074</v>
      </c>
      <c r="DA102" s="205" t="str">
        <f t="shared" si="156"/>
        <v/>
      </c>
      <c r="DB102" s="205">
        <f>IF($J102="",#N/A,SUM(DA$4:DA102))</f>
        <v>0.47549974633223147</v>
      </c>
      <c r="DC102" s="205">
        <f>IF($J102="",#N/A,SUM(DA$4:DA102,CY$4:CY102,CW$4:CW102))</f>
        <v>-0.20084356033458922</v>
      </c>
      <c r="DD102" s="200" t="str">
        <f t="shared" si="157"/>
        <v/>
      </c>
      <c r="DE102" s="203">
        <f>IF($J102="",#N/A,SUM(DD$4:DD102))</f>
        <v>0.4905246481018824</v>
      </c>
      <c r="DF102" s="204" t="str">
        <f t="shared" si="158"/>
        <v/>
      </c>
      <c r="DG102" s="204">
        <f>IF($J102="",#N/A,SUM(DF$4:DF102))</f>
        <v>0.77374072477919809</v>
      </c>
      <c r="DH102" s="205" t="str">
        <f t="shared" si="159"/>
        <v/>
      </c>
      <c r="DI102" s="205">
        <f>IF($J102="",#N/A,SUM(DH$4:DH102))</f>
        <v>-1.3576828656466722</v>
      </c>
      <c r="DJ102" s="205">
        <f>IF($J102="",#N/A,SUM(DH$4:DH102,DF$4:DF102,DD$4:DD102))</f>
        <v>-9.3417492765591692E-2</v>
      </c>
      <c r="DK102" s="200" t="str">
        <f t="shared" si="160"/>
        <v/>
      </c>
      <c r="DL102" s="203">
        <f>IF($J102="",#N/A,SUM(DK$4:DK102))</f>
        <v>0</v>
      </c>
      <c r="DM102" s="204">
        <f t="shared" si="161"/>
        <v>-0.37515631513130654</v>
      </c>
      <c r="DN102" s="204">
        <f>IF($J102="",#N/A,SUM(DM$4:DM102))</f>
        <v>1.1910608267574658</v>
      </c>
      <c r="DO102" s="205" t="str">
        <f t="shared" si="162"/>
        <v/>
      </c>
      <c r="DP102" s="205">
        <f>IF($J102="",#N/A,SUM(DO$4:DO102))</f>
        <v>-0.43291760746858676</v>
      </c>
      <c r="DQ102" s="205">
        <f>IF($J102="",#N/A,SUM(DO$4:DO102,DM$4:DM102,DK$4:DK102))</f>
        <v>0.75814321928887918</v>
      </c>
      <c r="DR102" s="200" t="str">
        <f t="shared" si="163"/>
        <v/>
      </c>
      <c r="DS102" s="203">
        <f>IF($J102="",#N/A,SUM(DR$4:DR102))</f>
        <v>-0.55950946427675097</v>
      </c>
      <c r="DT102" s="204" t="str">
        <f t="shared" si="164"/>
        <v/>
      </c>
      <c r="DU102" s="204">
        <f>IF($J102="",#N/A,SUM(DT$4:DT102))</f>
        <v>-2.8875364672150718</v>
      </c>
      <c r="DV102" s="205" t="str">
        <f t="shared" si="165"/>
        <v/>
      </c>
      <c r="DW102" s="205">
        <f>IF($J102="",#N/A,SUM(DV$4:DV102))</f>
        <v>-2.6814706788983136</v>
      </c>
      <c r="DX102" s="205">
        <f>IF($J102="",#N/A,SUM(DV$4:DV102,DT$4:DT102,DR$4:DR102))</f>
        <v>-6.1285166103901361</v>
      </c>
      <c r="DY102" s="200" t="str">
        <f t="shared" si="166"/>
        <v/>
      </c>
      <c r="DZ102" s="203">
        <f>IF($J102="",#N/A,SUM(DY$4:DY102))</f>
        <v>-1.4611133068588897</v>
      </c>
      <c r="EA102" s="204" t="str">
        <f t="shared" si="167"/>
        <v/>
      </c>
      <c r="EB102" s="204">
        <f>IF($J102="",#N/A,SUM(EA$4:EA102))</f>
        <v>-0.36153038830642437</v>
      </c>
      <c r="EC102" s="205" t="str">
        <f t="shared" si="168"/>
        <v/>
      </c>
      <c r="ED102" s="205">
        <f>IF($J102="",#N/A,SUM(EC$4:EC102))</f>
        <v>1.7296296266665774</v>
      </c>
      <c r="EE102" s="205">
        <f>IF($J102="",#N/A,SUM(EC$4:EC102,EA$4:EA102,DY$4:DY102))</f>
        <v>-9.3014068498736835E-2</v>
      </c>
      <c r="EF102" s="200" t="str">
        <f t="shared" si="169"/>
        <v/>
      </c>
      <c r="EG102" s="203">
        <f>IF($J102="",#N/A,SUM(EF$4:EF102))</f>
        <v>0</v>
      </c>
      <c r="EH102" s="204" t="str">
        <f t="shared" si="170"/>
        <v/>
      </c>
      <c r="EI102" s="204">
        <f>IF($J102="",#N/A,SUM(EH$4:EH102))</f>
        <v>-2.6174111635897193</v>
      </c>
      <c r="EJ102" s="205" t="str">
        <f t="shared" si="171"/>
        <v/>
      </c>
      <c r="EK102" s="205">
        <f>IF($J102="",#N/A,SUM(EJ$4:EJ102))</f>
        <v>2.2116398676705207</v>
      </c>
      <c r="EL102" s="205">
        <f>IF($J102="",#N/A,SUM(EJ$4:EJ102,EH$4:EH102,EF$4:EF102))</f>
        <v>-0.40577129591919803</v>
      </c>
      <c r="EM102" s="200" t="str">
        <f t="shared" si="172"/>
        <v/>
      </c>
      <c r="EN102" s="203">
        <f>IF($J102="",#N/A,SUM(EM$4:EM102))</f>
        <v>0</v>
      </c>
      <c r="EO102" s="204" t="str">
        <f t="shared" si="173"/>
        <v/>
      </c>
      <c r="EP102" s="204">
        <f>IF($J102="",#N/A,SUM(EO$4:EO102))</f>
        <v>0.83968166820063983</v>
      </c>
      <c r="EQ102" s="205" t="str">
        <f t="shared" si="174"/>
        <v/>
      </c>
      <c r="ER102" s="205">
        <f>IF($J102="",#N/A,SUM(EQ$4:EQ102))</f>
        <v>0.4926597949853756</v>
      </c>
      <c r="ES102" s="205">
        <f>IF($J102="",#N/A,SUM(EQ$4:EQ102,EO$4:EO102,EM$4:EM102))</f>
        <v>1.3323414631860153</v>
      </c>
      <c r="ET102" s="200" t="str">
        <f t="shared" si="175"/>
        <v/>
      </c>
      <c r="EU102" s="203">
        <f>IF($J102="",#N/A,SUM(ET$4:ET102))</f>
        <v>0</v>
      </c>
      <c r="EV102" s="204" t="str">
        <f t="shared" si="176"/>
        <v/>
      </c>
      <c r="EW102" s="204">
        <f>IF($J102="",#N/A,SUM(EV$4:EV102))</f>
        <v>-0.73430241270792684</v>
      </c>
      <c r="EX102" s="205" t="str">
        <f t="shared" si="177"/>
        <v/>
      </c>
      <c r="EY102" s="205">
        <f>IF($J102="",#N/A,SUM(EX$4:EX102))</f>
        <v>1.367071968452185</v>
      </c>
      <c r="EZ102" s="205">
        <f>IF($J102="",#N/A,SUM(EX$4:EX102,EV$4:EV102,ET$4:ET102))</f>
        <v>0.63276955574425819</v>
      </c>
      <c r="FA102" s="200" t="str">
        <f t="shared" si="178"/>
        <v/>
      </c>
      <c r="FB102" s="203">
        <f>IF($J102="",#N/A,SUM(FA$4:FA102))</f>
        <v>0</v>
      </c>
      <c r="FC102" s="204" t="str">
        <f t="shared" si="179"/>
        <v/>
      </c>
      <c r="FD102" s="204">
        <f>IF($J102="",#N/A,SUM(FC$4:FC102))</f>
        <v>1.154074230495441</v>
      </c>
      <c r="FE102" s="205" t="str">
        <f t="shared" si="180"/>
        <v/>
      </c>
      <c r="FF102" s="205">
        <f>IF($J102="",#N/A,SUM(FE$4:FE102))</f>
        <v>-0.28811149078748233</v>
      </c>
      <c r="FG102" s="205">
        <f>IF($J102="",#N/A,SUM(FE$4:FE102,FC$4:FC102,FA$4:FA102))</f>
        <v>0.86596273970795878</v>
      </c>
      <c r="FH102" s="200" t="str">
        <f t="shared" si="181"/>
        <v/>
      </c>
      <c r="FI102" s="203">
        <f>IF($J102="",#N/A,SUM(FH$4:FH102))</f>
        <v>0</v>
      </c>
      <c r="FJ102" s="204" t="str">
        <f t="shared" si="182"/>
        <v/>
      </c>
      <c r="FK102" s="204">
        <f>IF($J102="",#N/A,SUM(FJ$4:FJ102))</f>
        <v>0</v>
      </c>
      <c r="FL102" s="205" t="str">
        <f t="shared" si="183"/>
        <v/>
      </c>
      <c r="FM102" s="205">
        <f>IF($J102="",#N/A,SUM(FL$4:FL102))</f>
        <v>0</v>
      </c>
      <c r="FN102" s="205">
        <f>IF($J102="",#N/A,SUM(FL$4:FL102,FJ$4:FJ102,FH$4:FH102))</f>
        <v>0</v>
      </c>
      <c r="FO102" s="200" t="str">
        <f t="shared" si="184"/>
        <v/>
      </c>
      <c r="FP102" s="203">
        <f>IF($J102="",#N/A,SUM(FO$4:FO102))</f>
        <v>0</v>
      </c>
      <c r="FQ102" s="204" t="str">
        <f t="shared" si="185"/>
        <v/>
      </c>
      <c r="FR102" s="204">
        <f>IF($J102="",#N/A,SUM(FQ$4:FQ102))</f>
        <v>0</v>
      </c>
      <c r="FS102" s="205" t="str">
        <f t="shared" si="186"/>
        <v/>
      </c>
      <c r="FT102" s="205">
        <f>IF($J102="",#N/A,SUM(FS$4:FS102))</f>
        <v>0</v>
      </c>
      <c r="FU102" s="205">
        <f>IF($J102="",#N/A,SUM(FS$4:FS102,FQ$4:FQ102,FO$4:FO102))</f>
        <v>0</v>
      </c>
      <c r="FV102" s="200" t="str">
        <f t="shared" si="187"/>
        <v/>
      </c>
      <c r="FW102" s="203">
        <f>IF($J102="",#N/A,SUM(FV$4:FV102))</f>
        <v>6.6834991831277585E-2</v>
      </c>
      <c r="FX102" s="204" t="str">
        <f t="shared" si="188"/>
        <v/>
      </c>
      <c r="FY102" s="204">
        <f>IF($J102="",#N/A,SUM(FX$4:FX102))</f>
        <v>0</v>
      </c>
      <c r="FZ102" s="205" t="str">
        <f t="shared" si="189"/>
        <v/>
      </c>
      <c r="GA102" s="205">
        <f>IF($J102="",#N/A,SUM(FZ$4:FZ102))</f>
        <v>-0.20104261551371039</v>
      </c>
      <c r="GB102" s="205">
        <f>IF($J102="",#N/A,SUM(FZ$4:FZ102,FX$4:FX102,FV$4:FV102))</f>
        <v>-0.1342076236824328</v>
      </c>
      <c r="GC102" s="200" t="str">
        <f t="shared" si="190"/>
        <v/>
      </c>
      <c r="GD102" s="203">
        <f>IF($J102="",#N/A,SUM(GC$4:GC102))</f>
        <v>0</v>
      </c>
      <c r="GE102" s="204" t="str">
        <f t="shared" si="191"/>
        <v/>
      </c>
      <c r="GF102" s="204">
        <f>IF($J102="",#N/A,SUM(GE$4:GE102))</f>
        <v>0</v>
      </c>
      <c r="GG102" s="205" t="str">
        <f t="shared" si="192"/>
        <v/>
      </c>
      <c r="GH102" s="205">
        <f>IF($J102="",#N/A,SUM(GG$4:GG102))</f>
        <v>-2.9368362277223206</v>
      </c>
      <c r="GI102" s="205">
        <f>IF($J102="",#N/A,SUM(GG$4:GG102,GE$4:GE102,GC$4:GC102))</f>
        <v>-2.9368362277223206</v>
      </c>
      <c r="GJ102" s="200" t="str">
        <f t="shared" si="193"/>
        <v/>
      </c>
      <c r="GK102" s="203">
        <f>IF($J102="",#N/A,SUM(GJ$4:GJ102))</f>
        <v>0</v>
      </c>
      <c r="GL102" s="204" t="str">
        <f t="shared" si="194"/>
        <v/>
      </c>
      <c r="GM102" s="204">
        <f>IF($J102="",#N/A,SUM(GL$4:GL102))</f>
        <v>-0.4054764861692941</v>
      </c>
      <c r="GN102" s="205" t="str">
        <f t="shared" si="195"/>
        <v/>
      </c>
      <c r="GO102" s="205">
        <f>IF($J102="",#N/A,SUM(GN$4:GN102))</f>
        <v>0</v>
      </c>
      <c r="GP102" s="205">
        <f>IF($J102="",#N/A,SUM(GN$4:GN102,GL$4:GL102,GJ$4:GJ102))</f>
        <v>-0.4054764861692941</v>
      </c>
      <c r="GS102" s="54">
        <f t="shared" si="214"/>
        <v>-0.37515631513130654</v>
      </c>
      <c r="GT102" s="54">
        <f>IF(GS102="",NA(),SUM($GS$4:GS102))</f>
        <v>-2.8207781390595668</v>
      </c>
      <c r="GU102" s="54" t="str">
        <f t="shared" si="196"/>
        <v/>
      </c>
      <c r="GV102" s="54" t="e">
        <f>IF(GU102="",NA(),SUM($GU$4:GU102))</f>
        <v>#N/A</v>
      </c>
      <c r="GW102" s="54" t="str">
        <f t="shared" si="197"/>
        <v/>
      </c>
      <c r="GX102" s="54" t="e">
        <f>IF(GW102="",NA(),SUM($GW$4:GW102))</f>
        <v>#N/A</v>
      </c>
      <c r="GY102" s="54">
        <f t="shared" si="198"/>
        <v>-0.37515631513130654</v>
      </c>
      <c r="GZ102" s="54">
        <f>IF(GY102="",NA(),SUM($GY$4:GY102))</f>
        <v>-2.106461709068979</v>
      </c>
      <c r="HA102" s="54" t="str">
        <f t="shared" si="199"/>
        <v/>
      </c>
      <c r="HB102" s="54" t="e">
        <f>IF(HA102="",NA(),SUM($HA$4:HA102))</f>
        <v>#N/A</v>
      </c>
      <c r="HC102" s="54" t="str">
        <f t="shared" si="200"/>
        <v/>
      </c>
      <c r="HD102" s="54" t="e">
        <f>IF(HC102="",NA(),SUM($HC$4:HC102))</f>
        <v>#N/A</v>
      </c>
      <c r="HE102" s="54" t="str">
        <f t="shared" si="201"/>
        <v/>
      </c>
      <c r="HF102" s="54" t="e">
        <f>IF(HE102="",NA(),SUM($HE$4:HE102))</f>
        <v>#N/A</v>
      </c>
      <c r="HG102" s="54" t="str">
        <f t="shared" si="202"/>
        <v/>
      </c>
      <c r="HH102" s="54" t="e">
        <f>IF(HG102="",NA(),SUM($HG$4:HG102))</f>
        <v>#N/A</v>
      </c>
      <c r="HI102" s="172" t="str">
        <f t="shared" si="215"/>
        <v/>
      </c>
      <c r="HJ102" s="172">
        <f>IF($J102="",#N/A,SUM(HI$4:$HI102))</f>
        <v>-2.981322232424986</v>
      </c>
      <c r="HK102" s="54">
        <f t="shared" si="203"/>
        <v>-0.38210365430040072</v>
      </c>
      <c r="HL102" s="54">
        <f>IF($J102="",#N/A,SUM($HK$4:HK102))</f>
        <v>-4.0817426678647921</v>
      </c>
      <c r="HM102" s="54" t="str">
        <f t="shared" si="204"/>
        <v/>
      </c>
      <c r="HN102" s="54">
        <f>IF($J102="",#N/A,SUM($HM$4:HM102))</f>
        <v>0.72020221657224703</v>
      </c>
      <c r="HO102" s="54" t="str">
        <f t="shared" si="205"/>
        <v/>
      </c>
      <c r="HP102" s="54">
        <f>IF($J102="",#N/A,SUM($HO$4:HO102))</f>
        <v>-0.34492614665921834</v>
      </c>
      <c r="HQ102" s="54" t="str">
        <f t="shared" si="206"/>
        <v/>
      </c>
      <c r="HR102" s="54">
        <f>IF($J102="",#N/A,SUM($HQ$4:HQ102))</f>
        <v>-6.1746076181104117</v>
      </c>
      <c r="HS102" s="54" t="str">
        <f t="shared" si="207"/>
        <v/>
      </c>
      <c r="HT102" s="54">
        <f>IF($J102="",#N/A,SUM($HS$4:HS102))</f>
        <v>7.2417808288697678</v>
      </c>
      <c r="HU102" s="65">
        <f t="shared" si="208"/>
        <v>-0.75725996943170726</v>
      </c>
      <c r="HV102" s="65">
        <f>IF($J102="",#N/A,SUM(HU$4:$HU102))</f>
        <v>-7.9635428767841585</v>
      </c>
    </row>
    <row r="103" spans="1:230" x14ac:dyDescent="0.25">
      <c r="A103" s="396" t="s">
        <v>1586</v>
      </c>
      <c r="B103" s="52" t="s">
        <v>4522</v>
      </c>
      <c r="C103" s="229">
        <f t="shared" si="109"/>
        <v>3</v>
      </c>
      <c r="D103" s="219" t="str">
        <f>_xlfn.XLOOKUP(A103,[1]SP500!$A$2:$A$502,[1]SP500!$D$2:$D$502,"N")</f>
        <v>Y</v>
      </c>
      <c r="E103" s="51" t="str">
        <f>IFERROR(_xlfn.XLOOKUP(A103,[1]SP500!$A$2:$A$655,[1]SP500!$B$2:$B$655),"")</f>
        <v>XLY</v>
      </c>
      <c r="F103" s="290">
        <v>45771</v>
      </c>
      <c r="G103" s="51" t="str">
        <f t="shared" si="110"/>
        <v>BMO</v>
      </c>
      <c r="H103" s="51" t="str">
        <f t="shared" si="111"/>
        <v>s</v>
      </c>
      <c r="I103" s="344">
        <v>42.13</v>
      </c>
      <c r="J103" s="124">
        <v>40.5</v>
      </c>
      <c r="K103" s="55">
        <f t="shared" si="112"/>
        <v>-3.8689769760265905E-2</v>
      </c>
      <c r="L103" s="67">
        <f t="shared" si="113"/>
        <v>-32.600000000000023</v>
      </c>
      <c r="M103" s="57">
        <f t="shared" si="114"/>
        <v>-9.2000000000000455</v>
      </c>
      <c r="N103" s="102">
        <f t="shared" si="115"/>
        <v>-32.600000000000023</v>
      </c>
      <c r="O103" s="57">
        <f>IF(N103="",#N/A,SUM($N$4:N103))</f>
        <v>-361.16759402190655</v>
      </c>
      <c r="P103" s="65">
        <f t="shared" si="209"/>
        <v>-0.64482949600443118</v>
      </c>
      <c r="Q103" s="172">
        <f>IF($N103="",#N/A,SUM($P$4:P103))</f>
        <v>-2.9877567531711975</v>
      </c>
      <c r="R103" s="279">
        <f t="shared" si="116"/>
        <v>1.3639563736459444</v>
      </c>
      <c r="S103" s="51" t="str">
        <f t="shared" si="117"/>
        <v>SW</v>
      </c>
      <c r="T103" s="51" t="s">
        <v>2828</v>
      </c>
      <c r="U103" s="56">
        <f t="shared" si="118"/>
        <v>42.13</v>
      </c>
      <c r="V103" s="56" t="s">
        <v>4460</v>
      </c>
      <c r="W103" s="142">
        <v>20</v>
      </c>
      <c r="X103" s="145">
        <f t="shared" si="119"/>
        <v>842.6</v>
      </c>
      <c r="Y103" s="140">
        <f t="shared" si="120"/>
        <v>20</v>
      </c>
      <c r="Z103" s="123">
        <v>40.04</v>
      </c>
      <c r="AA103" s="102">
        <f t="shared" si="121"/>
        <v>-41.800000000000068</v>
      </c>
      <c r="AB103" s="102">
        <f t="shared" si="122"/>
        <v>-97.400000000000091</v>
      </c>
      <c r="AC103" s="124">
        <v>37.26</v>
      </c>
      <c r="AD103" s="155">
        <f t="shared" si="123"/>
        <v>-97.400000000000091</v>
      </c>
      <c r="AE103" s="545">
        <f t="shared" si="124"/>
        <v>-1.9265764696574115</v>
      </c>
      <c r="AF103" s="57">
        <f>IF($AC103="",#N/A,SUM(AD$4:AD103))</f>
        <v>-705.47260457963512</v>
      </c>
      <c r="AG103" s="102">
        <f t="shared" si="125"/>
        <v>-64.800000000000068</v>
      </c>
      <c r="AH103" s="56" t="s">
        <v>2507</v>
      </c>
      <c r="AI103" s="65">
        <f t="shared" si="126"/>
        <v>-0.82680591818973159</v>
      </c>
      <c r="AJ103" s="350">
        <f>IF(AI103="",#N/A,SUM($AI$4:AI103))</f>
        <v>-4.3517131268171418</v>
      </c>
      <c r="AK103" s="57">
        <f t="shared" si="127"/>
        <v>-41.800000000000068</v>
      </c>
      <c r="AL103" s="349">
        <f>IF(AI103="",#N/A,IF(AH103="Skip",SUM($AK$4:AK103),SUM($AK$4:AK103)))</f>
        <v>-478.40769999999941</v>
      </c>
      <c r="AM103" s="65">
        <f t="shared" si="210"/>
        <v>-1.9265764696574115</v>
      </c>
      <c r="AN103" s="209"/>
      <c r="AO103" s="65">
        <f t="shared" si="128"/>
        <v>-1.9265764696574115</v>
      </c>
      <c r="AP103" s="65">
        <f>IF($AC103="",#N/A,SUM(AO$4:AO103))</f>
        <v>9.1532255241121518E-2</v>
      </c>
      <c r="AQ103" s="65" t="str">
        <f t="shared" si="129"/>
        <v/>
      </c>
      <c r="AR103" s="65">
        <f>IF($AC103="",#N/A,SUM(AQ$4:AQ103))</f>
        <v>-1.0879870612894522</v>
      </c>
      <c r="AS103" s="65" t="str">
        <f t="shared" si="130"/>
        <v/>
      </c>
      <c r="AT103" s="65">
        <f>IF($AC103="",#N/A,SUM(AS$4:AS103))</f>
        <v>-8.8936645403932442</v>
      </c>
      <c r="AU103" s="57">
        <f t="shared" si="211"/>
        <v>-97.400000000000091</v>
      </c>
      <c r="AV103" s="57">
        <f>IF($AC103="",#N/A,SUM(AU$4:AU103))</f>
        <v>-49.590432956632867</v>
      </c>
      <c r="AW103" s="57" t="str">
        <f t="shared" si="212"/>
        <v/>
      </c>
      <c r="AX103" s="57">
        <f>IF($AC103="",#N/A,SUM(AW$4:AW103))</f>
        <v>-66.900000000000205</v>
      </c>
      <c r="AY103" s="57" t="str">
        <f t="shared" si="213"/>
        <v/>
      </c>
      <c r="AZ103" s="57">
        <f>IF($AC103="",#N/A,SUM(AY$4:AY103))</f>
        <v>-588.98217162300205</v>
      </c>
      <c r="BA103" s="57">
        <f>IF(AD103="",#N/A,SUM($AD$4:AD103))</f>
        <v>-705.47260457963512</v>
      </c>
      <c r="BC103" s="51" t="str">
        <f t="shared" si="131"/>
        <v/>
      </c>
      <c r="BD103" s="51" t="str">
        <f t="shared" si="132"/>
        <v/>
      </c>
      <c r="BE103" s="51" t="str">
        <f t="shared" si="133"/>
        <v/>
      </c>
      <c r="BF103" s="51" t="str">
        <f t="shared" si="134"/>
        <v>Long</v>
      </c>
      <c r="BG103" s="51" t="str">
        <f t="shared" si="135"/>
        <v/>
      </c>
      <c r="BH103" s="51" t="str">
        <f t="shared" si="136"/>
        <v/>
      </c>
      <c r="BI103" s="51">
        <f t="shared" si="137"/>
        <v>1</v>
      </c>
      <c r="BK103" s="65">
        <f t="shared" si="108"/>
        <v>0.13922378932515336</v>
      </c>
      <c r="BL103" s="65">
        <f t="shared" si="216"/>
        <v>-0.19258869285905891</v>
      </c>
      <c r="BM103" s="65">
        <f>IFERROR(Q103/COUNTA($J$4:J103),#N/A)</f>
        <v>-2.9877567531711974E-2</v>
      </c>
      <c r="BO103" s="489">
        <f>IF(J103="",#N/A,IF(S103="SW",(COUNTIFS(K$4:$K103,"&gt;0",S$4:$S103,"SW")/COUNTIF(S$4:$S103,"SW")),#N/A))</f>
        <v>0.48214285714285715</v>
      </c>
      <c r="BP103" s="489" t="e">
        <f>IF($J103="",#N/A,IF($S103="DWN",(COUNTIFS($K$4:$K103,"&lt;0",$S$4:$S103,"DWN")/COUNTIF($S$4:$S103,"DWN")),#N/A))</f>
        <v>#N/A</v>
      </c>
      <c r="BQ103" s="489" t="e">
        <f>IF($J103="",#N/A,IF($S103="UP",(COUNTIFS($K$4:$K103,"&gt;0",$S$4:$S103,"UP")/COUNTIF($S$4:$S103,"UP")),#N/A))</f>
        <v>#N/A</v>
      </c>
      <c r="BR103" s="489">
        <f>IF(J103="",#N/A,COUNTIF($K$4:K103,"&gt;0")/COUNT($J$4:J103))</f>
        <v>0.48</v>
      </c>
      <c r="BS103" s="65" t="str">
        <f t="shared" si="138"/>
        <v/>
      </c>
      <c r="BT103" s="65">
        <f t="shared" si="139"/>
        <v>-0.64482949600443118</v>
      </c>
      <c r="BU103" s="65" t="str">
        <f t="shared" si="140"/>
        <v/>
      </c>
      <c r="BV103" s="65" t="str">
        <f t="shared" si="141"/>
        <v/>
      </c>
      <c r="BW103" s="128" t="str">
        <f t="shared" si="142"/>
        <v/>
      </c>
      <c r="BX103" s="128">
        <f>IF($J103="",#N/A,SUM($BW$4:BW103))</f>
        <v>-91.165000000000305</v>
      </c>
      <c r="BY103" s="131" t="str">
        <f t="shared" si="143"/>
        <v/>
      </c>
      <c r="BZ103" s="131">
        <f>IF($J103="",#N/A,SUM($BY$4:BY103))</f>
        <v>-176.28385042154775</v>
      </c>
      <c r="CA103" s="133">
        <f t="shared" si="144"/>
        <v>-32.600000000000023</v>
      </c>
      <c r="CB103" s="133">
        <f>IF($J103="",#N/A,SUM($CA$4:CA103))</f>
        <v>-93.718743600358493</v>
      </c>
      <c r="CC103" s="194" t="str">
        <f t="shared" si="145"/>
        <v/>
      </c>
      <c r="CD103" s="194">
        <f>IF($J103="",#N/A,SUM($CC$4:CC103))</f>
        <v>-1.4632631312024809</v>
      </c>
      <c r="CE103" s="195" t="str">
        <f t="shared" si="146"/>
        <v/>
      </c>
      <c r="CF103" s="195">
        <f>IF($J103="",#N/A,SUM($CE$4:CE103))</f>
        <v>-1.8305996401034621</v>
      </c>
      <c r="CG103" s="196">
        <f t="shared" si="147"/>
        <v>-0.64482949600443118</v>
      </c>
      <c r="CH103" s="196">
        <f>IF($J103="",#N/A,SUM($CG$4:CG103))</f>
        <v>0.30610601813474969</v>
      </c>
      <c r="CI103" s="200" t="str">
        <f t="shared" si="148"/>
        <v/>
      </c>
      <c r="CJ103" s="203">
        <f>IF($J103="",#N/A,SUM(CI$4:CI103))</f>
        <v>0</v>
      </c>
      <c r="CK103" s="204" t="str">
        <f t="shared" si="149"/>
        <v/>
      </c>
      <c r="CL103" s="204">
        <f>IF($J103="",#N/A,SUM(CK$4:CK103))</f>
        <v>1.8934431343190481</v>
      </c>
      <c r="CM103" s="205" t="str">
        <f t="shared" si="150"/>
        <v/>
      </c>
      <c r="CN103" s="205">
        <f>IF($J103="",#N/A,SUM(CM$4:CM103))</f>
        <v>2.5724959960693745</v>
      </c>
      <c r="CO103" s="205">
        <f>IF($J103="",#N/A,SUM(CM$4:CM103,CK$4:CK103,CI$4:CI103))</f>
        <v>4.4659391303884224</v>
      </c>
      <c r="CP103" s="200" t="str">
        <f t="shared" si="151"/>
        <v/>
      </c>
      <c r="CQ103" s="203">
        <f>IF($J103="",#N/A,SUM(CP$4:CP103))</f>
        <v>0</v>
      </c>
      <c r="CR103" s="204" t="str">
        <f t="shared" si="152"/>
        <v/>
      </c>
      <c r="CS103" s="204">
        <f>IF($J103="",#N/A,SUM(CR$4:CR103))</f>
        <v>0</v>
      </c>
      <c r="CT103" s="205" t="str">
        <f t="shared" si="153"/>
        <v/>
      </c>
      <c r="CU103" s="205">
        <f>IF($J103="",#N/A,SUM(CT$4:CT103))</f>
        <v>0</v>
      </c>
      <c r="CV103" s="205">
        <f>IF($J103="",#N/A,SUM(CT$4:CT103,CR$4:CR103,CP$4:CP103))</f>
        <v>0</v>
      </c>
      <c r="CW103" s="200" t="str">
        <f t="shared" si="154"/>
        <v/>
      </c>
      <c r="CX103" s="203">
        <f>IF($J103="",#N/A,SUM(CW$4:CW103))</f>
        <v>0</v>
      </c>
      <c r="CY103" s="204" t="str">
        <f t="shared" si="155"/>
        <v/>
      </c>
      <c r="CZ103" s="204">
        <f>IF($J103="",#N/A,SUM(CY$4:CY103))</f>
        <v>-0.67634330666682074</v>
      </c>
      <c r="DA103" s="205">
        <f t="shared" si="156"/>
        <v>-0.64482949600443118</v>
      </c>
      <c r="DB103" s="205">
        <f>IF($J103="",#N/A,SUM(DA$4:DA103))</f>
        <v>-0.16932974967219971</v>
      </c>
      <c r="DC103" s="205">
        <f>IF($J103="",#N/A,SUM(DA$4:DA103,CY$4:CY103,CW$4:CW103))</f>
        <v>-0.84567305633902046</v>
      </c>
      <c r="DD103" s="200" t="str">
        <f t="shared" si="157"/>
        <v/>
      </c>
      <c r="DE103" s="203">
        <f>IF($J103="",#N/A,SUM(DD$4:DD103))</f>
        <v>0.4905246481018824</v>
      </c>
      <c r="DF103" s="204" t="str">
        <f t="shared" si="158"/>
        <v/>
      </c>
      <c r="DG103" s="204">
        <f>IF($J103="",#N/A,SUM(DF$4:DF103))</f>
        <v>0.77374072477919809</v>
      </c>
      <c r="DH103" s="205" t="str">
        <f t="shared" si="159"/>
        <v/>
      </c>
      <c r="DI103" s="205">
        <f>IF($J103="",#N/A,SUM(DH$4:DH103))</f>
        <v>-1.3576828656466722</v>
      </c>
      <c r="DJ103" s="205">
        <f>IF($J103="",#N/A,SUM(DH$4:DH103,DF$4:DF103,DD$4:DD103))</f>
        <v>-9.3417492765591692E-2</v>
      </c>
      <c r="DK103" s="200" t="str">
        <f t="shared" si="160"/>
        <v/>
      </c>
      <c r="DL103" s="203">
        <f>IF($J103="",#N/A,SUM(DK$4:DK103))</f>
        <v>0</v>
      </c>
      <c r="DM103" s="204" t="str">
        <f t="shared" si="161"/>
        <v/>
      </c>
      <c r="DN103" s="204">
        <f>IF($J103="",#N/A,SUM(DM$4:DM103))</f>
        <v>1.1910608267574658</v>
      </c>
      <c r="DO103" s="205" t="str">
        <f t="shared" si="162"/>
        <v/>
      </c>
      <c r="DP103" s="205">
        <f>IF($J103="",#N/A,SUM(DO$4:DO103))</f>
        <v>-0.43291760746858676</v>
      </c>
      <c r="DQ103" s="205">
        <f>IF($J103="",#N/A,SUM(DO$4:DO103,DM$4:DM103,DK$4:DK103))</f>
        <v>0.75814321928887918</v>
      </c>
      <c r="DR103" s="200" t="str">
        <f t="shared" si="163"/>
        <v/>
      </c>
      <c r="DS103" s="203">
        <f>IF($J103="",#N/A,SUM(DR$4:DR103))</f>
        <v>-0.55950946427675097</v>
      </c>
      <c r="DT103" s="204" t="str">
        <f t="shared" si="164"/>
        <v/>
      </c>
      <c r="DU103" s="204">
        <f>IF($J103="",#N/A,SUM(DT$4:DT103))</f>
        <v>-2.8875364672150718</v>
      </c>
      <c r="DV103" s="205" t="str">
        <f t="shared" si="165"/>
        <v/>
      </c>
      <c r="DW103" s="205">
        <f>IF($J103="",#N/A,SUM(DV$4:DV103))</f>
        <v>-2.6814706788983136</v>
      </c>
      <c r="DX103" s="205">
        <f>IF($J103="",#N/A,SUM(DV$4:DV103,DT$4:DT103,DR$4:DR103))</f>
        <v>-6.1285166103901361</v>
      </c>
      <c r="DY103" s="200" t="str">
        <f t="shared" si="166"/>
        <v/>
      </c>
      <c r="DZ103" s="203">
        <f>IF($J103="",#N/A,SUM(DY$4:DY103))</f>
        <v>-1.4611133068588897</v>
      </c>
      <c r="EA103" s="204" t="str">
        <f t="shared" si="167"/>
        <v/>
      </c>
      <c r="EB103" s="204">
        <f>IF($J103="",#N/A,SUM(EA$4:EA103))</f>
        <v>-0.36153038830642437</v>
      </c>
      <c r="EC103" s="205" t="str">
        <f t="shared" si="168"/>
        <v/>
      </c>
      <c r="ED103" s="205">
        <f>IF($J103="",#N/A,SUM(EC$4:EC103))</f>
        <v>1.7296296266665774</v>
      </c>
      <c r="EE103" s="205">
        <f>IF($J103="",#N/A,SUM(EC$4:EC103,EA$4:EA103,DY$4:DY103))</f>
        <v>-9.3014068498736835E-2</v>
      </c>
      <c r="EF103" s="200" t="str">
        <f t="shared" si="169"/>
        <v/>
      </c>
      <c r="EG103" s="203">
        <f>IF($J103="",#N/A,SUM(EF$4:EF103))</f>
        <v>0</v>
      </c>
      <c r="EH103" s="204" t="str">
        <f t="shared" si="170"/>
        <v/>
      </c>
      <c r="EI103" s="204">
        <f>IF($J103="",#N/A,SUM(EH$4:EH103))</f>
        <v>-2.6174111635897193</v>
      </c>
      <c r="EJ103" s="205" t="str">
        <f t="shared" si="171"/>
        <v/>
      </c>
      <c r="EK103" s="205">
        <f>IF($J103="",#N/A,SUM(EJ$4:EJ103))</f>
        <v>2.2116398676705207</v>
      </c>
      <c r="EL103" s="205">
        <f>IF($J103="",#N/A,SUM(EJ$4:EJ103,EH$4:EH103,EF$4:EF103))</f>
        <v>-0.40577129591919803</v>
      </c>
      <c r="EM103" s="200" t="str">
        <f t="shared" si="172"/>
        <v/>
      </c>
      <c r="EN103" s="203">
        <f>IF($J103="",#N/A,SUM(EM$4:EM103))</f>
        <v>0</v>
      </c>
      <c r="EO103" s="204" t="str">
        <f t="shared" si="173"/>
        <v/>
      </c>
      <c r="EP103" s="204">
        <f>IF($J103="",#N/A,SUM(EO$4:EO103))</f>
        <v>0.83968166820063983</v>
      </c>
      <c r="EQ103" s="205" t="str">
        <f t="shared" si="174"/>
        <v/>
      </c>
      <c r="ER103" s="205">
        <f>IF($J103="",#N/A,SUM(EQ$4:EQ103))</f>
        <v>0.4926597949853756</v>
      </c>
      <c r="ES103" s="205">
        <f>IF($J103="",#N/A,SUM(EQ$4:EQ103,EO$4:EO103,EM$4:EM103))</f>
        <v>1.3323414631860153</v>
      </c>
      <c r="ET103" s="200" t="str">
        <f t="shared" si="175"/>
        <v/>
      </c>
      <c r="EU103" s="203">
        <f>IF($J103="",#N/A,SUM(ET$4:ET103))</f>
        <v>0</v>
      </c>
      <c r="EV103" s="204" t="str">
        <f t="shared" si="176"/>
        <v/>
      </c>
      <c r="EW103" s="204">
        <f>IF($J103="",#N/A,SUM(EV$4:EV103))</f>
        <v>-0.73430241270792684</v>
      </c>
      <c r="EX103" s="205" t="str">
        <f t="shared" si="177"/>
        <v/>
      </c>
      <c r="EY103" s="205">
        <f>IF($J103="",#N/A,SUM(EX$4:EX103))</f>
        <v>1.367071968452185</v>
      </c>
      <c r="EZ103" s="205">
        <f>IF($J103="",#N/A,SUM(EX$4:EX103,EV$4:EV103,ET$4:ET103))</f>
        <v>0.63276955574425819</v>
      </c>
      <c r="FA103" s="200" t="str">
        <f t="shared" si="178"/>
        <v/>
      </c>
      <c r="FB103" s="203">
        <f>IF($J103="",#N/A,SUM(FA$4:FA103))</f>
        <v>0</v>
      </c>
      <c r="FC103" s="204" t="str">
        <f t="shared" si="179"/>
        <v/>
      </c>
      <c r="FD103" s="204">
        <f>IF($J103="",#N/A,SUM(FC$4:FC103))</f>
        <v>1.154074230495441</v>
      </c>
      <c r="FE103" s="205" t="str">
        <f t="shared" si="180"/>
        <v/>
      </c>
      <c r="FF103" s="205">
        <f>IF($J103="",#N/A,SUM(FE$4:FE103))</f>
        <v>-0.28811149078748233</v>
      </c>
      <c r="FG103" s="205">
        <f>IF($J103="",#N/A,SUM(FE$4:FE103,FC$4:FC103,FA$4:FA103))</f>
        <v>0.86596273970795878</v>
      </c>
      <c r="FH103" s="200" t="str">
        <f t="shared" si="181"/>
        <v/>
      </c>
      <c r="FI103" s="203">
        <f>IF($J103="",#N/A,SUM(FH$4:FH103))</f>
        <v>0</v>
      </c>
      <c r="FJ103" s="204" t="str">
        <f t="shared" si="182"/>
        <v/>
      </c>
      <c r="FK103" s="204">
        <f>IF($J103="",#N/A,SUM(FJ$4:FJ103))</f>
        <v>0</v>
      </c>
      <c r="FL103" s="205" t="str">
        <f t="shared" si="183"/>
        <v/>
      </c>
      <c r="FM103" s="205">
        <f>IF($J103="",#N/A,SUM(FL$4:FL103))</f>
        <v>0</v>
      </c>
      <c r="FN103" s="205">
        <f>IF($J103="",#N/A,SUM(FL$4:FL103,FJ$4:FJ103,FH$4:FH103))</f>
        <v>0</v>
      </c>
      <c r="FO103" s="200" t="str">
        <f t="shared" si="184"/>
        <v/>
      </c>
      <c r="FP103" s="203">
        <f>IF($J103="",#N/A,SUM(FO$4:FO103))</f>
        <v>0</v>
      </c>
      <c r="FQ103" s="204" t="str">
        <f t="shared" si="185"/>
        <v/>
      </c>
      <c r="FR103" s="204">
        <f>IF($J103="",#N/A,SUM(FQ$4:FQ103))</f>
        <v>0</v>
      </c>
      <c r="FS103" s="205" t="str">
        <f t="shared" si="186"/>
        <v/>
      </c>
      <c r="FT103" s="205">
        <f>IF($J103="",#N/A,SUM(FS$4:FS103))</f>
        <v>0</v>
      </c>
      <c r="FU103" s="205">
        <f>IF($J103="",#N/A,SUM(FS$4:FS103,FQ$4:FQ103,FO$4:FO103))</f>
        <v>0</v>
      </c>
      <c r="FV103" s="200" t="str">
        <f t="shared" si="187"/>
        <v/>
      </c>
      <c r="FW103" s="203">
        <f>IF($J103="",#N/A,SUM(FV$4:FV103))</f>
        <v>6.6834991831277585E-2</v>
      </c>
      <c r="FX103" s="204" t="str">
        <f t="shared" si="188"/>
        <v/>
      </c>
      <c r="FY103" s="204">
        <f>IF($J103="",#N/A,SUM(FX$4:FX103))</f>
        <v>0</v>
      </c>
      <c r="FZ103" s="205" t="str">
        <f t="shared" si="189"/>
        <v/>
      </c>
      <c r="GA103" s="205">
        <f>IF($J103="",#N/A,SUM(FZ$4:FZ103))</f>
        <v>-0.20104261551371039</v>
      </c>
      <c r="GB103" s="205">
        <f>IF($J103="",#N/A,SUM(FZ$4:FZ103,FX$4:FX103,FV$4:FV103))</f>
        <v>-0.1342076236824328</v>
      </c>
      <c r="GC103" s="200" t="str">
        <f t="shared" si="190"/>
        <v/>
      </c>
      <c r="GD103" s="203">
        <f>IF($J103="",#N/A,SUM(GC$4:GC103))</f>
        <v>0</v>
      </c>
      <c r="GE103" s="204" t="str">
        <f t="shared" si="191"/>
        <v/>
      </c>
      <c r="GF103" s="204">
        <f>IF($J103="",#N/A,SUM(GE$4:GE103))</f>
        <v>0</v>
      </c>
      <c r="GG103" s="205" t="str">
        <f t="shared" si="192"/>
        <v/>
      </c>
      <c r="GH103" s="205">
        <f>IF($J103="",#N/A,SUM(GG$4:GG103))</f>
        <v>-2.9368362277223206</v>
      </c>
      <c r="GI103" s="205">
        <f>IF($J103="",#N/A,SUM(GG$4:GG103,GE$4:GE103,GC$4:GC103))</f>
        <v>-2.9368362277223206</v>
      </c>
      <c r="GJ103" s="200" t="str">
        <f t="shared" si="193"/>
        <v/>
      </c>
      <c r="GK103" s="203">
        <f>IF($J103="",#N/A,SUM(GJ$4:GJ103))</f>
        <v>0</v>
      </c>
      <c r="GL103" s="204" t="str">
        <f t="shared" si="194"/>
        <v/>
      </c>
      <c r="GM103" s="204">
        <f>IF($J103="",#N/A,SUM(GL$4:GL103))</f>
        <v>-0.4054764861692941</v>
      </c>
      <c r="GN103" s="205" t="str">
        <f t="shared" si="195"/>
        <v/>
      </c>
      <c r="GO103" s="205">
        <f>IF($J103="",#N/A,SUM(GN$4:GN103))</f>
        <v>0</v>
      </c>
      <c r="GP103" s="205">
        <f>IF($J103="",#N/A,SUM(GN$4:GN103,GL$4:GL103,GJ$4:GJ103))</f>
        <v>-0.4054764861692941</v>
      </c>
      <c r="GS103" s="54">
        <f t="shared" si="214"/>
        <v>-0.64482949600443118</v>
      </c>
      <c r="GT103" s="54">
        <f>IF(GS103="",NA(),SUM($GS$4:GS103))</f>
        <v>-3.4656076350639982</v>
      </c>
      <c r="GU103" s="54" t="str">
        <f t="shared" si="196"/>
        <v/>
      </c>
      <c r="GV103" s="54" t="e">
        <f>IF(GU103="",NA(),SUM($GU$4:GU103))</f>
        <v>#N/A</v>
      </c>
      <c r="GW103" s="54">
        <f t="shared" si="197"/>
        <v>-0.64482949600443118</v>
      </c>
      <c r="GX103" s="54">
        <f>IF(GW103="",NA(),SUM($GW$4:GW103))</f>
        <v>0.10411720520746415</v>
      </c>
      <c r="GY103" s="54" t="str">
        <f t="shared" si="198"/>
        <v/>
      </c>
      <c r="GZ103" s="54" t="e">
        <f>IF(GY103="",NA(),SUM($GY$4:GY103))</f>
        <v>#N/A</v>
      </c>
      <c r="HA103" s="54" t="str">
        <f t="shared" si="199"/>
        <v/>
      </c>
      <c r="HB103" s="54" t="e">
        <f>IF(HA103="",NA(),SUM($HA$4:HA103))</f>
        <v>#N/A</v>
      </c>
      <c r="HC103" s="54" t="str">
        <f t="shared" si="200"/>
        <v/>
      </c>
      <c r="HD103" s="54" t="e">
        <f>IF(HC103="",NA(),SUM($HC$4:HC103))</f>
        <v>#N/A</v>
      </c>
      <c r="HE103" s="54" t="str">
        <f t="shared" si="201"/>
        <v/>
      </c>
      <c r="HF103" s="54" t="e">
        <f>IF(HE103="",NA(),SUM($HE$4:HE103))</f>
        <v>#N/A</v>
      </c>
      <c r="HG103" s="54" t="str">
        <f t="shared" si="202"/>
        <v/>
      </c>
      <c r="HH103" s="54" t="e">
        <f>IF(HG103="",NA(),SUM($HG$4:HG103))</f>
        <v>#N/A</v>
      </c>
      <c r="HI103" s="172" t="str">
        <f t="shared" si="215"/>
        <v/>
      </c>
      <c r="HJ103" s="172">
        <f>IF($J103="",#N/A,SUM(HI$4:$HI103))</f>
        <v>-2.981322232424986</v>
      </c>
      <c r="HK103" s="54" t="str">
        <f t="shared" si="203"/>
        <v/>
      </c>
      <c r="HL103" s="54">
        <f>IF($J103="",#N/A,SUM($HK$4:HK103))</f>
        <v>-4.0817426678647921</v>
      </c>
      <c r="HM103" s="54" t="str">
        <f t="shared" si="204"/>
        <v/>
      </c>
      <c r="HN103" s="54">
        <f>IF($J103="",#N/A,SUM($HM$4:HM103))</f>
        <v>0.72020221657224703</v>
      </c>
      <c r="HO103" s="54" t="str">
        <f t="shared" si="205"/>
        <v/>
      </c>
      <c r="HP103" s="54">
        <f>IF($J103="",#N/A,SUM($HO$4:HO103))</f>
        <v>-0.34492614665921834</v>
      </c>
      <c r="HQ103" s="54" t="str">
        <f t="shared" si="206"/>
        <v/>
      </c>
      <c r="HR103" s="54">
        <f>IF($J103="",#N/A,SUM($HQ$4:HQ103))</f>
        <v>-6.1746076181104117</v>
      </c>
      <c r="HS103" s="54">
        <f t="shared" si="207"/>
        <v>-1.2817469736529803</v>
      </c>
      <c r="HT103" s="54">
        <f>IF($J103="",#N/A,SUM($HS$4:HS103))</f>
        <v>5.9600338552167873</v>
      </c>
      <c r="HU103" s="65">
        <f t="shared" si="208"/>
        <v>-1.9265764696574115</v>
      </c>
      <c r="HV103" s="65">
        <f>IF($J103="",#N/A,SUM(HU$4:$HU103))</f>
        <v>-9.8901193464415691</v>
      </c>
    </row>
    <row r="104" spans="1:230" x14ac:dyDescent="0.25">
      <c r="A104" s="51" t="s">
        <v>1591</v>
      </c>
      <c r="B104" s="52" t="s">
        <v>4522</v>
      </c>
      <c r="C104" s="229">
        <f t="shared" si="109"/>
        <v>2</v>
      </c>
      <c r="D104" s="219" t="str">
        <f>_xlfn.XLOOKUP(A104,[1]SP500!$A$2:$A$502,[1]SP500!$D$2:$D$502,"N")</f>
        <v>Y</v>
      </c>
      <c r="E104" s="51" t="str">
        <f>IFERROR(_xlfn.XLOOKUP(A104,[1]SP500!$A$2:$A$655,[1]SP500!$B$2:$B$655),"")</f>
        <v>XLY</v>
      </c>
      <c r="F104" s="290">
        <v>45771</v>
      </c>
      <c r="G104" s="51" t="str">
        <f t="shared" si="110"/>
        <v>BMO</v>
      </c>
      <c r="H104" s="51" t="str">
        <f t="shared" si="111"/>
        <v>s</v>
      </c>
      <c r="I104" s="344">
        <v>52.69</v>
      </c>
      <c r="J104" s="124">
        <v>56.65</v>
      </c>
      <c r="K104" s="55">
        <f t="shared" si="112"/>
        <v>7.515657620041756E-2</v>
      </c>
      <c r="L104" s="67">
        <f t="shared" si="113"/>
        <v>-63.360000000000014</v>
      </c>
      <c r="M104" s="57">
        <f t="shared" si="114"/>
        <v>-10.399999999999977</v>
      </c>
      <c r="N104" s="102">
        <f t="shared" si="115"/>
        <v>-63.360000000000014</v>
      </c>
      <c r="O104" s="57">
        <f>IF(N104="",#N/A,SUM($N$4:N104))</f>
        <v>-424.52759402190657</v>
      </c>
      <c r="P104" s="65">
        <f t="shared" si="209"/>
        <v>-1.2526096033402927</v>
      </c>
      <c r="Q104" s="172">
        <f>IF($N104="",#N/A,SUM($P$4:P104))</f>
        <v>-4.2403663565114904</v>
      </c>
      <c r="R104" s="279">
        <f t="shared" si="116"/>
        <v>1.5695614853053357</v>
      </c>
      <c r="S104" s="51" t="str">
        <f t="shared" si="117"/>
        <v>Dwn</v>
      </c>
      <c r="T104" s="51" t="s">
        <v>4461</v>
      </c>
      <c r="U104" s="56">
        <f t="shared" si="118"/>
        <v>52.69</v>
      </c>
      <c r="V104" s="56" t="s">
        <v>4458</v>
      </c>
      <c r="W104" s="142">
        <v>16</v>
      </c>
      <c r="X104" s="145">
        <f t="shared" si="119"/>
        <v>843.04</v>
      </c>
      <c r="Y104" s="140">
        <f t="shared" si="120"/>
        <v>16</v>
      </c>
      <c r="Z104" s="123">
        <v>57.3</v>
      </c>
      <c r="AA104" s="102">
        <f t="shared" si="121"/>
        <v>-73.759999999999991</v>
      </c>
      <c r="AB104" s="102">
        <f t="shared" si="122"/>
        <v>-122.88</v>
      </c>
      <c r="AC104" s="124">
        <v>60.37</v>
      </c>
      <c r="AD104" s="155">
        <f t="shared" si="123"/>
        <v>-122.88</v>
      </c>
      <c r="AE104" s="545">
        <f t="shared" si="124"/>
        <v>-2.4293034731448095</v>
      </c>
      <c r="AF104" s="57">
        <f>IF($AC104="",#N/A,SUM(AD$4:AD104))</f>
        <v>-828.35260457963511</v>
      </c>
      <c r="AG104" s="102">
        <f t="shared" si="125"/>
        <v>-59.519999999999982</v>
      </c>
      <c r="AH104" s="56" t="s">
        <v>2507</v>
      </c>
      <c r="AI104" s="65">
        <f t="shared" si="126"/>
        <v>-1.4582147149996838</v>
      </c>
      <c r="AJ104" s="350">
        <f>IF(AI104="",#N/A,SUM($AI$4:AI104))</f>
        <v>-5.8099278418168261</v>
      </c>
      <c r="AK104" s="57">
        <f t="shared" si="127"/>
        <v>-73.759999999999991</v>
      </c>
      <c r="AL104" s="349">
        <f>IF(AI104="",#N/A,IF(AH104="Skip",SUM($AK$4:AK104),SUM($AK$4:AK104)))</f>
        <v>-552.1676999999994</v>
      </c>
      <c r="AM104" s="65">
        <f t="shared" si="210"/>
        <v>-2.4293034731448095</v>
      </c>
      <c r="AN104" s="209"/>
      <c r="AO104" s="65" t="str">
        <f t="shared" si="128"/>
        <v/>
      </c>
      <c r="AP104" s="65">
        <f>IF($AC104="",#N/A,SUM(AO$4:AO104))</f>
        <v>9.1532255241121518E-2</v>
      </c>
      <c r="AQ104" s="65" t="str">
        <f t="shared" si="129"/>
        <v/>
      </c>
      <c r="AR104" s="65">
        <f>IF($AC104="",#N/A,SUM(AQ$4:AQ104))</f>
        <v>-1.0879870612894522</v>
      </c>
      <c r="AS104" s="65">
        <f t="shared" si="130"/>
        <v>-2.4293034731448095</v>
      </c>
      <c r="AT104" s="65">
        <f>IF($AC104="",#N/A,SUM(AS$4:AS104))</f>
        <v>-11.322968013538054</v>
      </c>
      <c r="AU104" s="57" t="str">
        <f t="shared" si="211"/>
        <v/>
      </c>
      <c r="AV104" s="57">
        <f>IF($AC104="",#N/A,SUM(AU$4:AU104))</f>
        <v>-49.590432956632867</v>
      </c>
      <c r="AW104" s="57" t="str">
        <f t="shared" si="212"/>
        <v/>
      </c>
      <c r="AX104" s="57">
        <f>IF($AC104="",#N/A,SUM(AW$4:AW104))</f>
        <v>-66.900000000000205</v>
      </c>
      <c r="AY104" s="57">
        <f t="shared" si="213"/>
        <v>-122.88</v>
      </c>
      <c r="AZ104" s="57">
        <f>IF($AC104="",#N/A,SUM(AY$4:AY104))</f>
        <v>-711.86217162300204</v>
      </c>
      <c r="BA104" s="57">
        <f>IF(AD104="",#N/A,SUM($AD$4:AD104))</f>
        <v>-828.35260457963511</v>
      </c>
      <c r="BC104" s="51" t="str">
        <f t="shared" si="131"/>
        <v/>
      </c>
      <c r="BD104" s="51">
        <f t="shared" si="132"/>
        <v>1</v>
      </c>
      <c r="BE104" s="51" t="str">
        <f t="shared" si="133"/>
        <v/>
      </c>
      <c r="BF104" s="51" t="str">
        <f t="shared" si="134"/>
        <v>Short</v>
      </c>
      <c r="BG104" s="51" t="str">
        <f t="shared" si="135"/>
        <v/>
      </c>
      <c r="BH104" s="51" t="str">
        <f t="shared" si="136"/>
        <v/>
      </c>
      <c r="BI104" s="51" t="str">
        <f t="shared" si="137"/>
        <v/>
      </c>
      <c r="BK104" s="65">
        <f t="shared" si="108"/>
        <v>9.5150792013416599E-2</v>
      </c>
      <c r="BL104" s="65">
        <f t="shared" si="216"/>
        <v>-0.29737595573075803</v>
      </c>
      <c r="BM104" s="65">
        <f>IFERROR(Q104/COUNTA($J$4:J104),#N/A)</f>
        <v>-4.1983825311994953E-2</v>
      </c>
      <c r="BO104" s="489" t="e">
        <f>IF(J104="",#N/A,IF(S104="SW",(COUNTIFS(K$4:$K104,"&gt;0",S$4:$S104,"SW")/COUNTIF(S$4:$S104,"SW")),#N/A))</f>
        <v>#N/A</v>
      </c>
      <c r="BP104" s="489">
        <f>IF($J104="",#N/A,IF($S104="DWN",(COUNTIFS($K$4:$K104,"&lt;0",$S$4:$S104,"DWN")/COUNTIF($S$4:$S104,"DWN")),#N/A))</f>
        <v>0.51219512195121952</v>
      </c>
      <c r="BQ104" s="489" t="e">
        <f>IF($J104="",#N/A,IF($S104="UP",(COUNTIFS($K$4:$K104,"&gt;0",$S$4:$S104,"UP")/COUNTIF($S$4:$S104,"UP")),#N/A))</f>
        <v>#N/A</v>
      </c>
      <c r="BR104" s="489">
        <f>IF(J104="",#N/A,COUNTIF($K$4:K104,"&gt;0")/COUNT($J$4:J104))</f>
        <v>0.48514851485148514</v>
      </c>
      <c r="BS104" s="65" t="str">
        <f t="shared" si="138"/>
        <v/>
      </c>
      <c r="BT104" s="65" t="str">
        <f t="shared" si="139"/>
        <v/>
      </c>
      <c r="BU104" s="65" t="str">
        <f t="shared" si="140"/>
        <v/>
      </c>
      <c r="BV104" s="65">
        <f t="shared" si="141"/>
        <v>-1.2526096033402927</v>
      </c>
      <c r="BW104" s="128" t="str">
        <f t="shared" si="142"/>
        <v/>
      </c>
      <c r="BX104" s="128">
        <f>IF($J104="",#N/A,SUM($BW$4:BW104))</f>
        <v>-91.165000000000305</v>
      </c>
      <c r="BY104" s="131">
        <f t="shared" si="143"/>
        <v>-63.360000000000014</v>
      </c>
      <c r="BZ104" s="131">
        <f>IF($J104="",#N/A,SUM($BY$4:BY104))</f>
        <v>-239.64385042154777</v>
      </c>
      <c r="CA104" s="133" t="str">
        <f t="shared" si="144"/>
        <v/>
      </c>
      <c r="CB104" s="133">
        <f>IF($J104="",#N/A,SUM($CA$4:CA104))</f>
        <v>-93.718743600358493</v>
      </c>
      <c r="CC104" s="194" t="str">
        <f t="shared" si="145"/>
        <v/>
      </c>
      <c r="CD104" s="194">
        <f>IF($J104="",#N/A,SUM($CC$4:CC104))</f>
        <v>-1.4632631312024809</v>
      </c>
      <c r="CE104" s="195">
        <f t="shared" si="146"/>
        <v>-1.2526096033402927</v>
      </c>
      <c r="CF104" s="195">
        <f>IF($J104="",#N/A,SUM($CE$4:CE104))</f>
        <v>-3.083209243443755</v>
      </c>
      <c r="CG104" s="196" t="str">
        <f t="shared" si="147"/>
        <v/>
      </c>
      <c r="CH104" s="196">
        <f>IF($J104="",#N/A,SUM($CG$4:CG104))</f>
        <v>0.30610601813474969</v>
      </c>
      <c r="CI104" s="200" t="str">
        <f t="shared" si="148"/>
        <v/>
      </c>
      <c r="CJ104" s="203">
        <f>IF($J104="",#N/A,SUM(CI$4:CI104))</f>
        <v>0</v>
      </c>
      <c r="CK104" s="204" t="str">
        <f t="shared" si="149"/>
        <v/>
      </c>
      <c r="CL104" s="204">
        <f>IF($J104="",#N/A,SUM(CK$4:CK104))</f>
        <v>1.8934431343190481</v>
      </c>
      <c r="CM104" s="205" t="str">
        <f t="shared" si="150"/>
        <v/>
      </c>
      <c r="CN104" s="205">
        <f>IF($J104="",#N/A,SUM(CM$4:CM104))</f>
        <v>2.5724959960693745</v>
      </c>
      <c r="CO104" s="205">
        <f>IF($J104="",#N/A,SUM(CM$4:CM104,CK$4:CK104,CI$4:CI104))</f>
        <v>4.4659391303884224</v>
      </c>
      <c r="CP104" s="200" t="str">
        <f t="shared" si="151"/>
        <v/>
      </c>
      <c r="CQ104" s="203">
        <f>IF($J104="",#N/A,SUM(CP$4:CP104))</f>
        <v>0</v>
      </c>
      <c r="CR104" s="204" t="str">
        <f t="shared" si="152"/>
        <v/>
      </c>
      <c r="CS104" s="204">
        <f>IF($J104="",#N/A,SUM(CR$4:CR104))</f>
        <v>0</v>
      </c>
      <c r="CT104" s="205" t="str">
        <f t="shared" si="153"/>
        <v/>
      </c>
      <c r="CU104" s="205">
        <f>IF($J104="",#N/A,SUM(CT$4:CT104))</f>
        <v>0</v>
      </c>
      <c r="CV104" s="205">
        <f>IF($J104="",#N/A,SUM(CT$4:CT104,CR$4:CR104,CP$4:CP104))</f>
        <v>0</v>
      </c>
      <c r="CW104" s="200" t="str">
        <f t="shared" si="154"/>
        <v/>
      </c>
      <c r="CX104" s="203">
        <f>IF($J104="",#N/A,SUM(CW$4:CW104))</f>
        <v>0</v>
      </c>
      <c r="CY104" s="204">
        <f t="shared" si="155"/>
        <v>-1.2526096033402927</v>
      </c>
      <c r="CZ104" s="204">
        <f>IF($J104="",#N/A,SUM(CY$4:CY104))</f>
        <v>-1.9289529100071134</v>
      </c>
      <c r="DA104" s="205" t="str">
        <f t="shared" si="156"/>
        <v/>
      </c>
      <c r="DB104" s="205">
        <f>IF($J104="",#N/A,SUM(DA$4:DA104))</f>
        <v>-0.16932974967219971</v>
      </c>
      <c r="DC104" s="205">
        <f>IF($J104="",#N/A,SUM(DA$4:DA104,CY$4:CY104,CW$4:CW104))</f>
        <v>-2.0982826596793132</v>
      </c>
      <c r="DD104" s="200" t="str">
        <f t="shared" si="157"/>
        <v/>
      </c>
      <c r="DE104" s="203">
        <f>IF($J104="",#N/A,SUM(DD$4:DD104))</f>
        <v>0.4905246481018824</v>
      </c>
      <c r="DF104" s="204" t="str">
        <f t="shared" si="158"/>
        <v/>
      </c>
      <c r="DG104" s="204">
        <f>IF($J104="",#N/A,SUM(DF$4:DF104))</f>
        <v>0.77374072477919809</v>
      </c>
      <c r="DH104" s="205" t="str">
        <f t="shared" si="159"/>
        <v/>
      </c>
      <c r="DI104" s="205">
        <f>IF($J104="",#N/A,SUM(DH$4:DH104))</f>
        <v>-1.3576828656466722</v>
      </c>
      <c r="DJ104" s="205">
        <f>IF($J104="",#N/A,SUM(DH$4:DH104,DF$4:DF104,DD$4:DD104))</f>
        <v>-9.3417492765591692E-2</v>
      </c>
      <c r="DK104" s="200" t="str">
        <f t="shared" si="160"/>
        <v/>
      </c>
      <c r="DL104" s="203">
        <f>IF($J104="",#N/A,SUM(DK$4:DK104))</f>
        <v>0</v>
      </c>
      <c r="DM104" s="204" t="str">
        <f t="shared" si="161"/>
        <v/>
      </c>
      <c r="DN104" s="204">
        <f>IF($J104="",#N/A,SUM(DM$4:DM104))</f>
        <v>1.1910608267574658</v>
      </c>
      <c r="DO104" s="205" t="str">
        <f t="shared" si="162"/>
        <v/>
      </c>
      <c r="DP104" s="205">
        <f>IF($J104="",#N/A,SUM(DO$4:DO104))</f>
        <v>-0.43291760746858676</v>
      </c>
      <c r="DQ104" s="205">
        <f>IF($J104="",#N/A,SUM(DO$4:DO104,DM$4:DM104,DK$4:DK104))</f>
        <v>0.75814321928887918</v>
      </c>
      <c r="DR104" s="200" t="str">
        <f t="shared" si="163"/>
        <v/>
      </c>
      <c r="DS104" s="203">
        <f>IF($J104="",#N/A,SUM(DR$4:DR104))</f>
        <v>-0.55950946427675097</v>
      </c>
      <c r="DT104" s="204" t="str">
        <f t="shared" si="164"/>
        <v/>
      </c>
      <c r="DU104" s="204">
        <f>IF($J104="",#N/A,SUM(DT$4:DT104))</f>
        <v>-2.8875364672150718</v>
      </c>
      <c r="DV104" s="205" t="str">
        <f t="shared" si="165"/>
        <v/>
      </c>
      <c r="DW104" s="205">
        <f>IF($J104="",#N/A,SUM(DV$4:DV104))</f>
        <v>-2.6814706788983136</v>
      </c>
      <c r="DX104" s="205">
        <f>IF($J104="",#N/A,SUM(DV$4:DV104,DT$4:DT104,DR$4:DR104))</f>
        <v>-6.1285166103901361</v>
      </c>
      <c r="DY104" s="200" t="str">
        <f t="shared" si="166"/>
        <v/>
      </c>
      <c r="DZ104" s="203">
        <f>IF($J104="",#N/A,SUM(DY$4:DY104))</f>
        <v>-1.4611133068588897</v>
      </c>
      <c r="EA104" s="204" t="str">
        <f t="shared" si="167"/>
        <v/>
      </c>
      <c r="EB104" s="204">
        <f>IF($J104="",#N/A,SUM(EA$4:EA104))</f>
        <v>-0.36153038830642437</v>
      </c>
      <c r="EC104" s="205" t="str">
        <f t="shared" si="168"/>
        <v/>
      </c>
      <c r="ED104" s="205">
        <f>IF($J104="",#N/A,SUM(EC$4:EC104))</f>
        <v>1.7296296266665774</v>
      </c>
      <c r="EE104" s="205">
        <f>IF($J104="",#N/A,SUM(EC$4:EC104,EA$4:EA104,DY$4:DY104))</f>
        <v>-9.3014068498736835E-2</v>
      </c>
      <c r="EF104" s="200" t="str">
        <f t="shared" si="169"/>
        <v/>
      </c>
      <c r="EG104" s="203">
        <f>IF($J104="",#N/A,SUM(EF$4:EF104))</f>
        <v>0</v>
      </c>
      <c r="EH104" s="204" t="str">
        <f t="shared" si="170"/>
        <v/>
      </c>
      <c r="EI104" s="204">
        <f>IF($J104="",#N/A,SUM(EH$4:EH104))</f>
        <v>-2.6174111635897193</v>
      </c>
      <c r="EJ104" s="205" t="str">
        <f t="shared" si="171"/>
        <v/>
      </c>
      <c r="EK104" s="205">
        <f>IF($J104="",#N/A,SUM(EJ$4:EJ104))</f>
        <v>2.2116398676705207</v>
      </c>
      <c r="EL104" s="205">
        <f>IF($J104="",#N/A,SUM(EJ$4:EJ104,EH$4:EH104,EF$4:EF104))</f>
        <v>-0.40577129591919803</v>
      </c>
      <c r="EM104" s="200" t="str">
        <f t="shared" si="172"/>
        <v/>
      </c>
      <c r="EN104" s="203">
        <f>IF($J104="",#N/A,SUM(EM$4:EM104))</f>
        <v>0</v>
      </c>
      <c r="EO104" s="204" t="str">
        <f t="shared" si="173"/>
        <v/>
      </c>
      <c r="EP104" s="204">
        <f>IF($J104="",#N/A,SUM(EO$4:EO104))</f>
        <v>0.83968166820063983</v>
      </c>
      <c r="EQ104" s="205" t="str">
        <f t="shared" si="174"/>
        <v/>
      </c>
      <c r="ER104" s="205">
        <f>IF($J104="",#N/A,SUM(EQ$4:EQ104))</f>
        <v>0.4926597949853756</v>
      </c>
      <c r="ES104" s="205">
        <f>IF($J104="",#N/A,SUM(EQ$4:EQ104,EO$4:EO104,EM$4:EM104))</f>
        <v>1.3323414631860153</v>
      </c>
      <c r="ET104" s="200" t="str">
        <f t="shared" si="175"/>
        <v/>
      </c>
      <c r="EU104" s="203">
        <f>IF($J104="",#N/A,SUM(ET$4:ET104))</f>
        <v>0</v>
      </c>
      <c r="EV104" s="204" t="str">
        <f t="shared" si="176"/>
        <v/>
      </c>
      <c r="EW104" s="204">
        <f>IF($J104="",#N/A,SUM(EV$4:EV104))</f>
        <v>-0.73430241270792684</v>
      </c>
      <c r="EX104" s="205" t="str">
        <f t="shared" si="177"/>
        <v/>
      </c>
      <c r="EY104" s="205">
        <f>IF($J104="",#N/A,SUM(EX$4:EX104))</f>
        <v>1.367071968452185</v>
      </c>
      <c r="EZ104" s="205">
        <f>IF($J104="",#N/A,SUM(EX$4:EX104,EV$4:EV104,ET$4:ET104))</f>
        <v>0.63276955574425819</v>
      </c>
      <c r="FA104" s="200" t="str">
        <f t="shared" si="178"/>
        <v/>
      </c>
      <c r="FB104" s="203">
        <f>IF($J104="",#N/A,SUM(FA$4:FA104))</f>
        <v>0</v>
      </c>
      <c r="FC104" s="204" t="str">
        <f t="shared" si="179"/>
        <v/>
      </c>
      <c r="FD104" s="204">
        <f>IF($J104="",#N/A,SUM(FC$4:FC104))</f>
        <v>1.154074230495441</v>
      </c>
      <c r="FE104" s="205" t="str">
        <f t="shared" si="180"/>
        <v/>
      </c>
      <c r="FF104" s="205">
        <f>IF($J104="",#N/A,SUM(FE$4:FE104))</f>
        <v>-0.28811149078748233</v>
      </c>
      <c r="FG104" s="205">
        <f>IF($J104="",#N/A,SUM(FE$4:FE104,FC$4:FC104,FA$4:FA104))</f>
        <v>0.86596273970795878</v>
      </c>
      <c r="FH104" s="200" t="str">
        <f t="shared" si="181"/>
        <v/>
      </c>
      <c r="FI104" s="203">
        <f>IF($J104="",#N/A,SUM(FH$4:FH104))</f>
        <v>0</v>
      </c>
      <c r="FJ104" s="204" t="str">
        <f t="shared" si="182"/>
        <v/>
      </c>
      <c r="FK104" s="204">
        <f>IF($J104="",#N/A,SUM(FJ$4:FJ104))</f>
        <v>0</v>
      </c>
      <c r="FL104" s="205" t="str">
        <f t="shared" si="183"/>
        <v/>
      </c>
      <c r="FM104" s="205">
        <f>IF($J104="",#N/A,SUM(FL$4:FL104))</f>
        <v>0</v>
      </c>
      <c r="FN104" s="205">
        <f>IF($J104="",#N/A,SUM(FL$4:FL104,FJ$4:FJ104,FH$4:FH104))</f>
        <v>0</v>
      </c>
      <c r="FO104" s="200" t="str">
        <f t="shared" si="184"/>
        <v/>
      </c>
      <c r="FP104" s="203">
        <f>IF($J104="",#N/A,SUM(FO$4:FO104))</f>
        <v>0</v>
      </c>
      <c r="FQ104" s="204" t="str">
        <f t="shared" si="185"/>
        <v/>
      </c>
      <c r="FR104" s="204">
        <f>IF($J104="",#N/A,SUM(FQ$4:FQ104))</f>
        <v>0</v>
      </c>
      <c r="FS104" s="205" t="str">
        <f t="shared" si="186"/>
        <v/>
      </c>
      <c r="FT104" s="205">
        <f>IF($J104="",#N/A,SUM(FS$4:FS104))</f>
        <v>0</v>
      </c>
      <c r="FU104" s="205">
        <f>IF($J104="",#N/A,SUM(FS$4:FS104,FQ$4:FQ104,FO$4:FO104))</f>
        <v>0</v>
      </c>
      <c r="FV104" s="200" t="str">
        <f t="shared" si="187"/>
        <v/>
      </c>
      <c r="FW104" s="203">
        <f>IF($J104="",#N/A,SUM(FV$4:FV104))</f>
        <v>6.6834991831277585E-2</v>
      </c>
      <c r="FX104" s="204" t="str">
        <f t="shared" si="188"/>
        <v/>
      </c>
      <c r="FY104" s="204">
        <f>IF($J104="",#N/A,SUM(FX$4:FX104))</f>
        <v>0</v>
      </c>
      <c r="FZ104" s="205" t="str">
        <f t="shared" si="189"/>
        <v/>
      </c>
      <c r="GA104" s="205">
        <f>IF($J104="",#N/A,SUM(FZ$4:FZ104))</f>
        <v>-0.20104261551371039</v>
      </c>
      <c r="GB104" s="205">
        <f>IF($J104="",#N/A,SUM(FZ$4:FZ104,FX$4:FX104,FV$4:FV104))</f>
        <v>-0.1342076236824328</v>
      </c>
      <c r="GC104" s="200" t="str">
        <f t="shared" si="190"/>
        <v/>
      </c>
      <c r="GD104" s="203">
        <f>IF($J104="",#N/A,SUM(GC$4:GC104))</f>
        <v>0</v>
      </c>
      <c r="GE104" s="204" t="str">
        <f t="shared" si="191"/>
        <v/>
      </c>
      <c r="GF104" s="204">
        <f>IF($J104="",#N/A,SUM(GE$4:GE104))</f>
        <v>0</v>
      </c>
      <c r="GG104" s="205" t="str">
        <f t="shared" si="192"/>
        <v/>
      </c>
      <c r="GH104" s="205">
        <f>IF($J104="",#N/A,SUM(GG$4:GG104))</f>
        <v>-2.9368362277223206</v>
      </c>
      <c r="GI104" s="205">
        <f>IF($J104="",#N/A,SUM(GG$4:GG104,GE$4:GE104,GC$4:GC104))</f>
        <v>-2.9368362277223206</v>
      </c>
      <c r="GJ104" s="200" t="str">
        <f t="shared" si="193"/>
        <v/>
      </c>
      <c r="GK104" s="203">
        <f>IF($J104="",#N/A,SUM(GJ$4:GJ104))</f>
        <v>0</v>
      </c>
      <c r="GL104" s="204" t="str">
        <f t="shared" si="194"/>
        <v/>
      </c>
      <c r="GM104" s="204">
        <f>IF($J104="",#N/A,SUM(GL$4:GL104))</f>
        <v>-0.4054764861692941</v>
      </c>
      <c r="GN104" s="205" t="str">
        <f t="shared" si="195"/>
        <v/>
      </c>
      <c r="GO104" s="205">
        <f>IF($J104="",#N/A,SUM(GN$4:GN104))</f>
        <v>0</v>
      </c>
      <c r="GP104" s="205">
        <f>IF($J104="",#N/A,SUM(GN$4:GN104,GL$4:GL104,GJ$4:GJ104))</f>
        <v>-0.4054764861692941</v>
      </c>
      <c r="GS104" s="54">
        <f t="shared" si="214"/>
        <v>-1.2526096033402927</v>
      </c>
      <c r="GT104" s="54">
        <f>IF(GS104="",NA(),SUM($GS$4:GS104))</f>
        <v>-4.7182172384042911</v>
      </c>
      <c r="GU104" s="54" t="str">
        <f t="shared" si="196"/>
        <v/>
      </c>
      <c r="GV104" s="54" t="e">
        <f>IF(GU104="",NA(),SUM($GU$4:GU104))</f>
        <v>#N/A</v>
      </c>
      <c r="GW104" s="54" t="str">
        <f t="shared" si="197"/>
        <v/>
      </c>
      <c r="GX104" s="54" t="e">
        <f>IF(GW104="",NA(),SUM($GW$4:GW104))</f>
        <v>#N/A</v>
      </c>
      <c r="GY104" s="54">
        <f t="shared" si="198"/>
        <v>-1.2526096033402927</v>
      </c>
      <c r="GZ104" s="54">
        <f>IF(GY104="",NA(),SUM($GY$4:GY104))</f>
        <v>-3.3590713124092719</v>
      </c>
      <c r="HA104" s="54" t="str">
        <f t="shared" si="199"/>
        <v/>
      </c>
      <c r="HB104" s="54" t="e">
        <f>IF(HA104="",NA(),SUM($HA$4:HA104))</f>
        <v>#N/A</v>
      </c>
      <c r="HC104" s="54" t="str">
        <f t="shared" si="200"/>
        <v/>
      </c>
      <c r="HD104" s="54" t="e">
        <f>IF(HC104="",NA(),SUM($HC$4:HC104))</f>
        <v>#N/A</v>
      </c>
      <c r="HE104" s="54" t="str">
        <f t="shared" si="201"/>
        <v/>
      </c>
      <c r="HF104" s="54" t="e">
        <f>IF(HE104="",NA(),SUM($HE$4:HE104))</f>
        <v>#N/A</v>
      </c>
      <c r="HG104" s="54" t="str">
        <f t="shared" si="202"/>
        <v/>
      </c>
      <c r="HH104" s="54" t="e">
        <f>IF(HG104="",NA(),SUM($HG$4:HG104))</f>
        <v>#N/A</v>
      </c>
      <c r="HI104" s="172" t="str">
        <f t="shared" si="215"/>
        <v/>
      </c>
      <c r="HJ104" s="172">
        <f>IF($J104="",#N/A,SUM(HI$4:$HI104))</f>
        <v>-2.981322232424986</v>
      </c>
      <c r="HK104" s="54">
        <f t="shared" si="203"/>
        <v>-1.1766938698045168</v>
      </c>
      <c r="HL104" s="54">
        <f>IF($J104="",#N/A,SUM($HK$4:HK104))</f>
        <v>-5.2584365376693087</v>
      </c>
      <c r="HM104" s="54" t="str">
        <f t="shared" si="204"/>
        <v/>
      </c>
      <c r="HN104" s="54">
        <f>IF($J104="",#N/A,SUM($HM$4:HM104))</f>
        <v>0.72020221657224703</v>
      </c>
      <c r="HO104" s="54" t="str">
        <f t="shared" si="205"/>
        <v/>
      </c>
      <c r="HP104" s="54">
        <f>IF($J104="",#N/A,SUM($HO$4:HO104))</f>
        <v>-0.34492614665921834</v>
      </c>
      <c r="HQ104" s="54" t="str">
        <f t="shared" si="206"/>
        <v/>
      </c>
      <c r="HR104" s="54">
        <f>IF($J104="",#N/A,SUM($HQ$4:HQ104))</f>
        <v>-6.1746076181104117</v>
      </c>
      <c r="HS104" s="54" t="str">
        <f t="shared" si="207"/>
        <v/>
      </c>
      <c r="HT104" s="54">
        <f>IF($J104="",#N/A,SUM($HS$4:HS104))</f>
        <v>5.9600338552167873</v>
      </c>
      <c r="HU104" s="65">
        <f t="shared" si="208"/>
        <v>-2.4293034731448095</v>
      </c>
      <c r="HV104" s="65">
        <f>IF($J104="",#N/A,SUM(HU$4:$HU104))</f>
        <v>-12.319422819586379</v>
      </c>
    </row>
    <row r="105" spans="1:230" x14ac:dyDescent="0.25">
      <c r="A105" s="51" t="s">
        <v>1422</v>
      </c>
      <c r="B105" s="52" t="s">
        <v>4522</v>
      </c>
      <c r="C105" s="229">
        <f t="shared" si="109"/>
        <v>3</v>
      </c>
      <c r="D105" s="219" t="str">
        <f>_xlfn.XLOOKUP(A105,[1]SP500!$A$2:$A$502,[1]SP500!$D$2:$D$502,"N")</f>
        <v>Y</v>
      </c>
      <c r="E105" s="51" t="str">
        <f>IFERROR(_xlfn.XLOOKUP(A105,[1]SP500!$A$2:$A$655,[1]SP500!$B$2:$B$655),"")</f>
        <v>XLP</v>
      </c>
      <c r="F105" s="290">
        <v>45771</v>
      </c>
      <c r="G105" s="51" t="str">
        <f t="shared" si="110"/>
        <v>BMO</v>
      </c>
      <c r="H105" s="51" t="str">
        <f t="shared" si="111"/>
        <v>s</v>
      </c>
      <c r="I105" s="344">
        <v>35.19</v>
      </c>
      <c r="J105" s="124">
        <v>34.22</v>
      </c>
      <c r="K105" s="55">
        <f t="shared" si="112"/>
        <v>-2.7564649048024976E-2</v>
      </c>
      <c r="L105" s="67">
        <f t="shared" si="113"/>
        <v>-24.25</v>
      </c>
      <c r="M105" s="57">
        <f t="shared" si="114"/>
        <v>-3.75</v>
      </c>
      <c r="N105" s="102">
        <f t="shared" si="115"/>
        <v>-24.25</v>
      </c>
      <c r="O105" s="57">
        <f>IF(N105="",#N/A,SUM($N$4:N105))</f>
        <v>-448.77759402190657</v>
      </c>
      <c r="P105" s="65">
        <f t="shared" si="209"/>
        <v>-0.45941081746708345</v>
      </c>
      <c r="Q105" s="172">
        <f>IF($N105="",#N/A,SUM($P$4:P105))</f>
        <v>-4.6997771739785739</v>
      </c>
      <c r="R105" s="279">
        <f t="shared" si="116"/>
        <v>1.6406043952229261</v>
      </c>
      <c r="S105" s="51" t="str">
        <f t="shared" si="117"/>
        <v>SW</v>
      </c>
      <c r="T105" s="51" t="s">
        <v>2828</v>
      </c>
      <c r="U105" s="56">
        <f t="shared" si="118"/>
        <v>35.19</v>
      </c>
      <c r="V105" s="56" t="s">
        <v>4460</v>
      </c>
      <c r="W105" s="142">
        <v>25</v>
      </c>
      <c r="X105" s="145">
        <f t="shared" si="119"/>
        <v>879.75</v>
      </c>
      <c r="Y105" s="140">
        <f t="shared" si="120"/>
        <v>25</v>
      </c>
      <c r="Z105" s="123">
        <v>34.07</v>
      </c>
      <c r="AA105" s="102">
        <f t="shared" si="121"/>
        <v>-28</v>
      </c>
      <c r="AB105" s="102">
        <f t="shared" si="122"/>
        <v>-18.25</v>
      </c>
      <c r="AC105" s="124">
        <v>34.46</v>
      </c>
      <c r="AD105" s="155">
        <f t="shared" si="123"/>
        <v>-18.25</v>
      </c>
      <c r="AE105" s="545">
        <f t="shared" si="124"/>
        <v>-0.34574216159893911</v>
      </c>
      <c r="AF105" s="57">
        <f>IF($AC105="",#N/A,SUM(AD$4:AD105))</f>
        <v>-846.60260457963511</v>
      </c>
      <c r="AG105" s="102">
        <f t="shared" si="125"/>
        <v>6</v>
      </c>
      <c r="AH105" s="56" t="s">
        <v>2507</v>
      </c>
      <c r="AI105" s="65">
        <f t="shared" si="126"/>
        <v>-0.53045372738467367</v>
      </c>
      <c r="AJ105" s="350">
        <f>IF(AI105="",#N/A,SUM($AI$4:AI105))</f>
        <v>-6.3403815692015</v>
      </c>
      <c r="AK105" s="57">
        <f t="shared" si="127"/>
        <v>-28</v>
      </c>
      <c r="AL105" s="349">
        <f>IF(AI105="",#N/A,IF(AH105="Skip",SUM($AK$4:AK105),SUM($AK$4:AK105)))</f>
        <v>-580.1676999999994</v>
      </c>
      <c r="AM105" s="65">
        <f t="shared" si="210"/>
        <v>-0.34574216159893911</v>
      </c>
      <c r="AN105" s="209"/>
      <c r="AO105" s="65">
        <f t="shared" si="128"/>
        <v>-0.34574216159893911</v>
      </c>
      <c r="AP105" s="65">
        <f>IF($AC105="",#N/A,SUM(AO$4:AO105))</f>
        <v>-0.25420990635781759</v>
      </c>
      <c r="AQ105" s="65" t="str">
        <f t="shared" si="129"/>
        <v/>
      </c>
      <c r="AR105" s="65">
        <f>IF($AC105="",#N/A,SUM(AQ$4:AQ105))</f>
        <v>-1.0879870612894522</v>
      </c>
      <c r="AS105" s="65" t="str">
        <f t="shared" si="130"/>
        <v/>
      </c>
      <c r="AT105" s="65">
        <f>IF($AC105="",#N/A,SUM(AS$4:AS105))</f>
        <v>-11.322968013538054</v>
      </c>
      <c r="AU105" s="57">
        <f t="shared" si="211"/>
        <v>-18.25</v>
      </c>
      <c r="AV105" s="57">
        <f>IF($AC105="",#N/A,SUM(AU$4:AU105))</f>
        <v>-67.840432956632867</v>
      </c>
      <c r="AW105" s="57" t="str">
        <f t="shared" si="212"/>
        <v/>
      </c>
      <c r="AX105" s="57">
        <f>IF($AC105="",#N/A,SUM(AW$4:AW105))</f>
        <v>-66.900000000000205</v>
      </c>
      <c r="AY105" s="57" t="str">
        <f t="shared" si="213"/>
        <v/>
      </c>
      <c r="AZ105" s="57">
        <f>IF($AC105="",#N/A,SUM(AY$4:AY105))</f>
        <v>-711.86217162300204</v>
      </c>
      <c r="BA105" s="57">
        <f>IF(AD105="",#N/A,SUM($AD$4:AD105))</f>
        <v>-846.60260457963511</v>
      </c>
      <c r="BC105" s="51" t="str">
        <f t="shared" si="131"/>
        <v/>
      </c>
      <c r="BD105" s="51" t="str">
        <f t="shared" si="132"/>
        <v/>
      </c>
      <c r="BE105" s="51" t="str">
        <f t="shared" si="133"/>
        <v/>
      </c>
      <c r="BF105" s="51" t="str">
        <f t="shared" si="134"/>
        <v>Long</v>
      </c>
      <c r="BG105" s="51" t="str">
        <f t="shared" si="135"/>
        <v/>
      </c>
      <c r="BH105" s="51" t="str">
        <f t="shared" si="136"/>
        <v/>
      </c>
      <c r="BI105" s="51">
        <f t="shared" si="137"/>
        <v>1</v>
      </c>
      <c r="BK105" s="65">
        <f t="shared" si="108"/>
        <v>0.11200951926421</v>
      </c>
      <c r="BL105" s="65">
        <f t="shared" si="216"/>
        <v>-0.30437327749243681</v>
      </c>
      <c r="BM105" s="65">
        <f>IFERROR(Q105/COUNTA($J$4:J105),#N/A)</f>
        <v>-4.6076246803711508E-2</v>
      </c>
      <c r="BO105" s="489">
        <f>IF(J105="",#N/A,IF(S105="SW",(COUNTIFS(K$4:$K105,"&gt;0",S$4:$S105,"SW")/COUNTIF(S$4:$S105,"SW")),#N/A))</f>
        <v>0.47368421052631576</v>
      </c>
      <c r="BP105" s="489" t="e">
        <f>IF($J105="",#N/A,IF($S105="DWN",(COUNTIFS($K$4:$K105,"&lt;0",$S$4:$S105,"DWN")/COUNTIF($S$4:$S105,"DWN")),#N/A))</f>
        <v>#N/A</v>
      </c>
      <c r="BQ105" s="489" t="e">
        <f>IF($J105="",#N/A,IF($S105="UP",(COUNTIFS($K$4:$K105,"&gt;0",$S$4:$S105,"UP")/COUNTIF($S$4:$S105,"UP")),#N/A))</f>
        <v>#N/A</v>
      </c>
      <c r="BR105" s="489">
        <f>IF(J105="",#N/A,COUNTIF($K$4:K105,"&gt;0")/COUNT($J$4:J105))</f>
        <v>0.48039215686274511</v>
      </c>
      <c r="BS105" s="65" t="str">
        <f t="shared" si="138"/>
        <v/>
      </c>
      <c r="BT105" s="65">
        <f t="shared" si="139"/>
        <v>-0.45941081746708345</v>
      </c>
      <c r="BU105" s="65" t="str">
        <f t="shared" si="140"/>
        <v/>
      </c>
      <c r="BV105" s="65" t="str">
        <f t="shared" si="141"/>
        <v/>
      </c>
      <c r="BW105" s="128" t="str">
        <f t="shared" si="142"/>
        <v/>
      </c>
      <c r="BX105" s="128">
        <f>IF($J105="",#N/A,SUM($BW$4:BW105))</f>
        <v>-91.165000000000305</v>
      </c>
      <c r="BY105" s="131" t="str">
        <f t="shared" si="143"/>
        <v/>
      </c>
      <c r="BZ105" s="131">
        <f>IF($J105="",#N/A,SUM($BY$4:BY105))</f>
        <v>-239.64385042154777</v>
      </c>
      <c r="CA105" s="133">
        <f t="shared" si="144"/>
        <v>-24.25</v>
      </c>
      <c r="CB105" s="133">
        <f>IF($J105="",#N/A,SUM($CA$4:CA105))</f>
        <v>-117.96874360035849</v>
      </c>
      <c r="CC105" s="194" t="str">
        <f t="shared" si="145"/>
        <v/>
      </c>
      <c r="CD105" s="194">
        <f>IF($J105="",#N/A,SUM($CC$4:CC105))</f>
        <v>-1.4632631312024809</v>
      </c>
      <c r="CE105" s="195" t="str">
        <f t="shared" si="146"/>
        <v/>
      </c>
      <c r="CF105" s="195">
        <f>IF($J105="",#N/A,SUM($CE$4:CE105))</f>
        <v>-3.083209243443755</v>
      </c>
      <c r="CG105" s="196">
        <f t="shared" si="147"/>
        <v>-0.45941081746708345</v>
      </c>
      <c r="CH105" s="196">
        <f>IF($J105="",#N/A,SUM($CG$4:CG105))</f>
        <v>-0.15330479933233376</v>
      </c>
      <c r="CI105" s="200" t="str">
        <f t="shared" si="148"/>
        <v/>
      </c>
      <c r="CJ105" s="203">
        <f>IF($J105="",#N/A,SUM(CI$4:CI105))</f>
        <v>0</v>
      </c>
      <c r="CK105" s="204" t="str">
        <f t="shared" si="149"/>
        <v/>
      </c>
      <c r="CL105" s="204">
        <f>IF($J105="",#N/A,SUM(CK$4:CK105))</f>
        <v>1.8934431343190481</v>
      </c>
      <c r="CM105" s="205" t="str">
        <f t="shared" si="150"/>
        <v/>
      </c>
      <c r="CN105" s="205">
        <f>IF($J105="",#N/A,SUM(CM$4:CM105))</f>
        <v>2.5724959960693745</v>
      </c>
      <c r="CO105" s="205">
        <f>IF($J105="",#N/A,SUM(CM$4:CM105,CK$4:CK105,CI$4:CI105))</f>
        <v>4.4659391303884224</v>
      </c>
      <c r="CP105" s="200" t="str">
        <f t="shared" si="151"/>
        <v/>
      </c>
      <c r="CQ105" s="203">
        <f>IF($J105="",#N/A,SUM(CP$4:CP105))</f>
        <v>0</v>
      </c>
      <c r="CR105" s="204" t="str">
        <f t="shared" si="152"/>
        <v/>
      </c>
      <c r="CS105" s="204">
        <f>IF($J105="",#N/A,SUM(CR$4:CR105))</f>
        <v>0</v>
      </c>
      <c r="CT105" s="205" t="str">
        <f t="shared" si="153"/>
        <v/>
      </c>
      <c r="CU105" s="205">
        <f>IF($J105="",#N/A,SUM(CT$4:CT105))</f>
        <v>0</v>
      </c>
      <c r="CV105" s="205">
        <f>IF($J105="",#N/A,SUM(CT$4:CT105,CR$4:CR105,CP$4:CP105))</f>
        <v>0</v>
      </c>
      <c r="CW105" s="200" t="str">
        <f t="shared" si="154"/>
        <v/>
      </c>
      <c r="CX105" s="203">
        <f>IF($J105="",#N/A,SUM(CW$4:CW105))</f>
        <v>0</v>
      </c>
      <c r="CY105" s="204" t="str">
        <f t="shared" si="155"/>
        <v/>
      </c>
      <c r="CZ105" s="204">
        <f>IF($J105="",#N/A,SUM(CY$4:CY105))</f>
        <v>-1.9289529100071134</v>
      </c>
      <c r="DA105" s="205" t="str">
        <f t="shared" si="156"/>
        <v/>
      </c>
      <c r="DB105" s="205">
        <f>IF($J105="",#N/A,SUM(DA$4:DA105))</f>
        <v>-0.16932974967219971</v>
      </c>
      <c r="DC105" s="205">
        <f>IF($J105="",#N/A,SUM(DA$4:DA105,CY$4:CY105,CW$4:CW105))</f>
        <v>-2.0982826596793132</v>
      </c>
      <c r="DD105" s="200" t="str">
        <f t="shared" si="157"/>
        <v/>
      </c>
      <c r="DE105" s="203">
        <f>IF($J105="",#N/A,SUM(DD$4:DD105))</f>
        <v>0.4905246481018824</v>
      </c>
      <c r="DF105" s="204" t="str">
        <f t="shared" si="158"/>
        <v/>
      </c>
      <c r="DG105" s="204">
        <f>IF($J105="",#N/A,SUM(DF$4:DF105))</f>
        <v>0.77374072477919809</v>
      </c>
      <c r="DH105" s="205">
        <f t="shared" si="159"/>
        <v>-0.45941081746708345</v>
      </c>
      <c r="DI105" s="205">
        <f>IF($J105="",#N/A,SUM(DH$4:DH105))</f>
        <v>-1.8170936831137556</v>
      </c>
      <c r="DJ105" s="205">
        <f>IF($J105="",#N/A,SUM(DH$4:DH105,DF$4:DF105,DD$4:DD105))</f>
        <v>-0.55282831023267498</v>
      </c>
      <c r="DK105" s="200" t="str">
        <f t="shared" si="160"/>
        <v/>
      </c>
      <c r="DL105" s="203">
        <f>IF($J105="",#N/A,SUM(DK$4:DK105))</f>
        <v>0</v>
      </c>
      <c r="DM105" s="204" t="str">
        <f t="shared" si="161"/>
        <v/>
      </c>
      <c r="DN105" s="204">
        <f>IF($J105="",#N/A,SUM(DM$4:DM105))</f>
        <v>1.1910608267574658</v>
      </c>
      <c r="DO105" s="205" t="str">
        <f t="shared" si="162"/>
        <v/>
      </c>
      <c r="DP105" s="205">
        <f>IF($J105="",#N/A,SUM(DO$4:DO105))</f>
        <v>-0.43291760746858676</v>
      </c>
      <c r="DQ105" s="205">
        <f>IF($J105="",#N/A,SUM(DO$4:DO105,DM$4:DM105,DK$4:DK105))</f>
        <v>0.75814321928887918</v>
      </c>
      <c r="DR105" s="200" t="str">
        <f t="shared" si="163"/>
        <v/>
      </c>
      <c r="DS105" s="203">
        <f>IF($J105="",#N/A,SUM(DR$4:DR105))</f>
        <v>-0.55950946427675097</v>
      </c>
      <c r="DT105" s="204" t="str">
        <f t="shared" si="164"/>
        <v/>
      </c>
      <c r="DU105" s="204">
        <f>IF($J105="",#N/A,SUM(DT$4:DT105))</f>
        <v>-2.8875364672150718</v>
      </c>
      <c r="DV105" s="205" t="str">
        <f t="shared" si="165"/>
        <v/>
      </c>
      <c r="DW105" s="205">
        <f>IF($J105="",#N/A,SUM(DV$4:DV105))</f>
        <v>-2.6814706788983136</v>
      </c>
      <c r="DX105" s="205">
        <f>IF($J105="",#N/A,SUM(DV$4:DV105,DT$4:DT105,DR$4:DR105))</f>
        <v>-6.1285166103901361</v>
      </c>
      <c r="DY105" s="200" t="str">
        <f t="shared" si="166"/>
        <v/>
      </c>
      <c r="DZ105" s="203">
        <f>IF($J105="",#N/A,SUM(DY$4:DY105))</f>
        <v>-1.4611133068588897</v>
      </c>
      <c r="EA105" s="204" t="str">
        <f t="shared" si="167"/>
        <v/>
      </c>
      <c r="EB105" s="204">
        <f>IF($J105="",#N/A,SUM(EA$4:EA105))</f>
        <v>-0.36153038830642437</v>
      </c>
      <c r="EC105" s="205" t="str">
        <f t="shared" si="168"/>
        <v/>
      </c>
      <c r="ED105" s="205">
        <f>IF($J105="",#N/A,SUM(EC$4:EC105))</f>
        <v>1.7296296266665774</v>
      </c>
      <c r="EE105" s="205">
        <f>IF($J105="",#N/A,SUM(EC$4:EC105,EA$4:EA105,DY$4:DY105))</f>
        <v>-9.3014068498736835E-2</v>
      </c>
      <c r="EF105" s="200" t="str">
        <f t="shared" si="169"/>
        <v/>
      </c>
      <c r="EG105" s="203">
        <f>IF($J105="",#N/A,SUM(EF$4:EF105))</f>
        <v>0</v>
      </c>
      <c r="EH105" s="204" t="str">
        <f t="shared" si="170"/>
        <v/>
      </c>
      <c r="EI105" s="204">
        <f>IF($J105="",#N/A,SUM(EH$4:EH105))</f>
        <v>-2.6174111635897193</v>
      </c>
      <c r="EJ105" s="205" t="str">
        <f t="shared" si="171"/>
        <v/>
      </c>
      <c r="EK105" s="205">
        <f>IF($J105="",#N/A,SUM(EJ$4:EJ105))</f>
        <v>2.2116398676705207</v>
      </c>
      <c r="EL105" s="205">
        <f>IF($J105="",#N/A,SUM(EJ$4:EJ105,EH$4:EH105,EF$4:EF105))</f>
        <v>-0.40577129591919803</v>
      </c>
      <c r="EM105" s="200" t="str">
        <f t="shared" si="172"/>
        <v/>
      </c>
      <c r="EN105" s="203">
        <f>IF($J105="",#N/A,SUM(EM$4:EM105))</f>
        <v>0</v>
      </c>
      <c r="EO105" s="204" t="str">
        <f t="shared" si="173"/>
        <v/>
      </c>
      <c r="EP105" s="204">
        <f>IF($J105="",#N/A,SUM(EO$4:EO105))</f>
        <v>0.83968166820063983</v>
      </c>
      <c r="EQ105" s="205" t="str">
        <f t="shared" si="174"/>
        <v/>
      </c>
      <c r="ER105" s="205">
        <f>IF($J105="",#N/A,SUM(EQ$4:EQ105))</f>
        <v>0.4926597949853756</v>
      </c>
      <c r="ES105" s="205">
        <f>IF($J105="",#N/A,SUM(EQ$4:EQ105,EO$4:EO105,EM$4:EM105))</f>
        <v>1.3323414631860153</v>
      </c>
      <c r="ET105" s="200" t="str">
        <f t="shared" si="175"/>
        <v/>
      </c>
      <c r="EU105" s="203">
        <f>IF($J105="",#N/A,SUM(ET$4:ET105))</f>
        <v>0</v>
      </c>
      <c r="EV105" s="204" t="str">
        <f t="shared" si="176"/>
        <v/>
      </c>
      <c r="EW105" s="204">
        <f>IF($J105="",#N/A,SUM(EV$4:EV105))</f>
        <v>-0.73430241270792684</v>
      </c>
      <c r="EX105" s="205" t="str">
        <f t="shared" si="177"/>
        <v/>
      </c>
      <c r="EY105" s="205">
        <f>IF($J105="",#N/A,SUM(EX$4:EX105))</f>
        <v>1.367071968452185</v>
      </c>
      <c r="EZ105" s="205">
        <f>IF($J105="",#N/A,SUM(EX$4:EX105,EV$4:EV105,ET$4:ET105))</f>
        <v>0.63276955574425819</v>
      </c>
      <c r="FA105" s="200" t="str">
        <f t="shared" si="178"/>
        <v/>
      </c>
      <c r="FB105" s="203">
        <f>IF($J105="",#N/A,SUM(FA$4:FA105))</f>
        <v>0</v>
      </c>
      <c r="FC105" s="204" t="str">
        <f t="shared" si="179"/>
        <v/>
      </c>
      <c r="FD105" s="204">
        <f>IF($J105="",#N/A,SUM(FC$4:FC105))</f>
        <v>1.154074230495441</v>
      </c>
      <c r="FE105" s="205" t="str">
        <f t="shared" si="180"/>
        <v/>
      </c>
      <c r="FF105" s="205">
        <f>IF($J105="",#N/A,SUM(FE$4:FE105))</f>
        <v>-0.28811149078748233</v>
      </c>
      <c r="FG105" s="205">
        <f>IF($J105="",#N/A,SUM(FE$4:FE105,FC$4:FC105,FA$4:FA105))</f>
        <v>0.86596273970795878</v>
      </c>
      <c r="FH105" s="200" t="str">
        <f t="shared" si="181"/>
        <v/>
      </c>
      <c r="FI105" s="203">
        <f>IF($J105="",#N/A,SUM(FH$4:FH105))</f>
        <v>0</v>
      </c>
      <c r="FJ105" s="204" t="str">
        <f t="shared" si="182"/>
        <v/>
      </c>
      <c r="FK105" s="204">
        <f>IF($J105="",#N/A,SUM(FJ$4:FJ105))</f>
        <v>0</v>
      </c>
      <c r="FL105" s="205" t="str">
        <f t="shared" si="183"/>
        <v/>
      </c>
      <c r="FM105" s="205">
        <f>IF($J105="",#N/A,SUM(FL$4:FL105))</f>
        <v>0</v>
      </c>
      <c r="FN105" s="205">
        <f>IF($J105="",#N/A,SUM(FL$4:FL105,FJ$4:FJ105,FH$4:FH105))</f>
        <v>0</v>
      </c>
      <c r="FO105" s="200" t="str">
        <f t="shared" si="184"/>
        <v/>
      </c>
      <c r="FP105" s="203">
        <f>IF($J105="",#N/A,SUM(FO$4:FO105))</f>
        <v>0</v>
      </c>
      <c r="FQ105" s="204" t="str">
        <f t="shared" si="185"/>
        <v/>
      </c>
      <c r="FR105" s="204">
        <f>IF($J105="",#N/A,SUM(FQ$4:FQ105))</f>
        <v>0</v>
      </c>
      <c r="FS105" s="205" t="str">
        <f t="shared" si="186"/>
        <v/>
      </c>
      <c r="FT105" s="205">
        <f>IF($J105="",#N/A,SUM(FS$4:FS105))</f>
        <v>0</v>
      </c>
      <c r="FU105" s="205">
        <f>IF($J105="",#N/A,SUM(FS$4:FS105,FQ$4:FQ105,FO$4:FO105))</f>
        <v>0</v>
      </c>
      <c r="FV105" s="200" t="str">
        <f t="shared" si="187"/>
        <v/>
      </c>
      <c r="FW105" s="203">
        <f>IF($J105="",#N/A,SUM(FV$4:FV105))</f>
        <v>6.6834991831277585E-2</v>
      </c>
      <c r="FX105" s="204" t="str">
        <f t="shared" si="188"/>
        <v/>
      </c>
      <c r="FY105" s="204">
        <f>IF($J105="",#N/A,SUM(FX$4:FX105))</f>
        <v>0</v>
      </c>
      <c r="FZ105" s="205" t="str">
        <f t="shared" si="189"/>
        <v/>
      </c>
      <c r="GA105" s="205">
        <f>IF($J105="",#N/A,SUM(FZ$4:FZ105))</f>
        <v>-0.20104261551371039</v>
      </c>
      <c r="GB105" s="205">
        <f>IF($J105="",#N/A,SUM(FZ$4:FZ105,FX$4:FX105,FV$4:FV105))</f>
        <v>-0.1342076236824328</v>
      </c>
      <c r="GC105" s="200" t="str">
        <f t="shared" si="190"/>
        <v/>
      </c>
      <c r="GD105" s="203">
        <f>IF($J105="",#N/A,SUM(GC$4:GC105))</f>
        <v>0</v>
      </c>
      <c r="GE105" s="204" t="str">
        <f t="shared" si="191"/>
        <v/>
      </c>
      <c r="GF105" s="204">
        <f>IF($J105="",#N/A,SUM(GE$4:GE105))</f>
        <v>0</v>
      </c>
      <c r="GG105" s="205" t="str">
        <f t="shared" si="192"/>
        <v/>
      </c>
      <c r="GH105" s="205">
        <f>IF($J105="",#N/A,SUM(GG$4:GG105))</f>
        <v>-2.9368362277223206</v>
      </c>
      <c r="GI105" s="205">
        <f>IF($J105="",#N/A,SUM(GG$4:GG105,GE$4:GE105,GC$4:GC105))</f>
        <v>-2.9368362277223206</v>
      </c>
      <c r="GJ105" s="200" t="str">
        <f t="shared" si="193"/>
        <v/>
      </c>
      <c r="GK105" s="203">
        <f>IF($J105="",#N/A,SUM(GJ$4:GJ105))</f>
        <v>0</v>
      </c>
      <c r="GL105" s="204" t="str">
        <f t="shared" si="194"/>
        <v/>
      </c>
      <c r="GM105" s="204">
        <f>IF($J105="",#N/A,SUM(GL$4:GL105))</f>
        <v>-0.4054764861692941</v>
      </c>
      <c r="GN105" s="205" t="str">
        <f t="shared" si="195"/>
        <v/>
      </c>
      <c r="GO105" s="205">
        <f>IF($J105="",#N/A,SUM(GN$4:GN105))</f>
        <v>0</v>
      </c>
      <c r="GP105" s="205">
        <f>IF($J105="",#N/A,SUM(GN$4:GN105,GL$4:GL105,GJ$4:GJ105))</f>
        <v>-0.4054764861692941</v>
      </c>
      <c r="GS105" s="54">
        <f t="shared" si="214"/>
        <v>-0.45941081746708345</v>
      </c>
      <c r="GT105" s="54">
        <f>IF(GS105="",NA(),SUM($GS$4:GS105))</f>
        <v>-5.1776280558713745</v>
      </c>
      <c r="GU105" s="54" t="str">
        <f t="shared" si="196"/>
        <v/>
      </c>
      <c r="GV105" s="54" t="e">
        <f>IF(GU105="",NA(),SUM($GU$4:GU105))</f>
        <v>#N/A</v>
      </c>
      <c r="GW105" s="54">
        <f t="shared" si="197"/>
        <v>-0.45941081746708345</v>
      </c>
      <c r="GX105" s="54">
        <f>IF(GW105="",NA(),SUM($GW$4:GW105))</f>
        <v>-0.35529361225961931</v>
      </c>
      <c r="GY105" s="54" t="str">
        <f t="shared" si="198"/>
        <v/>
      </c>
      <c r="GZ105" s="54" t="e">
        <f>IF(GY105="",NA(),SUM($GY$4:GY105))</f>
        <v>#N/A</v>
      </c>
      <c r="HA105" s="54" t="str">
        <f t="shared" si="199"/>
        <v/>
      </c>
      <c r="HB105" s="54" t="e">
        <f>IF(HA105="",NA(),SUM($HA$4:HA105))</f>
        <v>#N/A</v>
      </c>
      <c r="HC105" s="54" t="str">
        <f t="shared" si="200"/>
        <v/>
      </c>
      <c r="HD105" s="54" t="e">
        <f>IF(HC105="",NA(),SUM($HC$4:HC105))</f>
        <v>#N/A</v>
      </c>
      <c r="HE105" s="54" t="str">
        <f t="shared" si="201"/>
        <v/>
      </c>
      <c r="HF105" s="54" t="e">
        <f>IF(HE105="",NA(),SUM($HE$4:HE105))</f>
        <v>#N/A</v>
      </c>
      <c r="HG105" s="54" t="str">
        <f t="shared" si="202"/>
        <v/>
      </c>
      <c r="HH105" s="54" t="e">
        <f>IF(HG105="",NA(),SUM($HG$4:HG105))</f>
        <v>#N/A</v>
      </c>
      <c r="HI105" s="172" t="str">
        <f t="shared" si="215"/>
        <v/>
      </c>
      <c r="HJ105" s="172">
        <f>IF($J105="",#N/A,SUM(HI$4:$HI105))</f>
        <v>-2.981322232424986</v>
      </c>
      <c r="HK105" s="54" t="str">
        <f t="shared" si="203"/>
        <v/>
      </c>
      <c r="HL105" s="54">
        <f>IF($J105="",#N/A,SUM($HK$4:HK105))</f>
        <v>-5.2584365376693087</v>
      </c>
      <c r="HM105" s="54" t="str">
        <f t="shared" si="204"/>
        <v/>
      </c>
      <c r="HN105" s="54">
        <f>IF($J105="",#N/A,SUM($HM$4:HM105))</f>
        <v>0.72020221657224703</v>
      </c>
      <c r="HO105" s="54" t="str">
        <f t="shared" si="205"/>
        <v/>
      </c>
      <c r="HP105" s="54">
        <f>IF($J105="",#N/A,SUM($HO$4:HO105))</f>
        <v>-0.34492614665921834</v>
      </c>
      <c r="HQ105" s="54" t="str">
        <f t="shared" si="206"/>
        <v/>
      </c>
      <c r="HR105" s="54">
        <f>IF($J105="",#N/A,SUM($HQ$4:HQ105))</f>
        <v>-6.1746076181104117</v>
      </c>
      <c r="HS105" s="54">
        <f t="shared" si="207"/>
        <v>0.11366865586814434</v>
      </c>
      <c r="HT105" s="54">
        <f>IF($J105="",#N/A,SUM($HS$4:HS105))</f>
        <v>6.0737025110849316</v>
      </c>
      <c r="HU105" s="65">
        <f t="shared" si="208"/>
        <v>-0.34574216159893911</v>
      </c>
      <c r="HV105" s="65">
        <f>IF($J105="",#N/A,SUM(HU$4:$HU105))</f>
        <v>-12.665164981185317</v>
      </c>
    </row>
    <row r="106" spans="1:230" ht="15.75" thickBot="1" x14ac:dyDescent="0.3">
      <c r="A106" s="292" t="s">
        <v>1406</v>
      </c>
      <c r="B106" s="293" t="s">
        <v>4522</v>
      </c>
      <c r="C106" s="294">
        <f t="shared" si="109"/>
        <v>3</v>
      </c>
      <c r="D106" s="295" t="str">
        <f>_xlfn.XLOOKUP(A106,[1]SP500!$A$2:$A$502,[1]SP500!$D$2:$D$502,"N")</f>
        <v>Y</v>
      </c>
      <c r="E106" s="292" t="str">
        <f>IFERROR(_xlfn.XLOOKUP(A106,[1]SP500!$A$2:$A$655,[1]SP500!$B$2:$B$655),"")</f>
        <v>XLI</v>
      </c>
      <c r="F106" s="296">
        <v>45771</v>
      </c>
      <c r="G106" s="292" t="str">
        <f t="shared" si="110"/>
        <v>BMO</v>
      </c>
      <c r="H106" s="292" t="str">
        <f t="shared" si="111"/>
        <v>s</v>
      </c>
      <c r="I106" s="402">
        <v>216.31</v>
      </c>
      <c r="J106" s="297">
        <v>216.06</v>
      </c>
      <c r="K106" s="298">
        <f t="shared" si="112"/>
        <v>-1.1557486940039757E-3</v>
      </c>
      <c r="L106" s="299">
        <f t="shared" si="113"/>
        <v>-1</v>
      </c>
      <c r="M106" s="300">
        <f t="shared" si="114"/>
        <v>-1.8799999999999955</v>
      </c>
      <c r="N106" s="341">
        <f t="shared" si="115"/>
        <v>-1</v>
      </c>
      <c r="O106" s="300">
        <f>IF(N106="",#N/A,SUM($N$4:N106))</f>
        <v>-449.77759402190657</v>
      </c>
      <c r="P106" s="305">
        <f t="shared" si="209"/>
        <v>-1.9262478233399594E-2</v>
      </c>
      <c r="Q106" s="304">
        <f>IF($N106="",#N/A,SUM($P$4:P106))</f>
        <v>-4.7190396522119737</v>
      </c>
      <c r="R106" s="307">
        <f t="shared" si="116"/>
        <v>1.6768178543017171</v>
      </c>
      <c r="S106" s="292" t="str">
        <f t="shared" si="117"/>
        <v>SW</v>
      </c>
      <c r="T106" s="292" t="s">
        <v>2828</v>
      </c>
      <c r="U106" s="308">
        <f t="shared" si="118"/>
        <v>216.31</v>
      </c>
      <c r="V106" s="308" t="s">
        <v>4460</v>
      </c>
      <c r="W106" s="310">
        <v>4</v>
      </c>
      <c r="X106" s="309">
        <f t="shared" si="119"/>
        <v>865.24</v>
      </c>
      <c r="Y106" s="310">
        <f t="shared" si="120"/>
        <v>4</v>
      </c>
      <c r="Z106" s="313">
        <v>215.59</v>
      </c>
      <c r="AA106" s="341">
        <f t="shared" si="121"/>
        <v>-2.8799999999999955</v>
      </c>
      <c r="AB106" s="341">
        <f t="shared" si="122"/>
        <v>-0.15999999999996817</v>
      </c>
      <c r="AC106" s="297">
        <v>216.27</v>
      </c>
      <c r="AD106" s="301">
        <f t="shared" si="123"/>
        <v>-0.15999999999996817</v>
      </c>
      <c r="AE106" s="546">
        <f t="shared" si="124"/>
        <v>-3.0819965173433223E-3</v>
      </c>
      <c r="AF106" s="300">
        <f>IF($AC106="",#N/A,SUM(AD$4:AD106))</f>
        <v>-846.76260457963508</v>
      </c>
      <c r="AG106" s="341">
        <f t="shared" si="125"/>
        <v>0.84000000000003183</v>
      </c>
      <c r="AH106" s="308" t="s">
        <v>2507</v>
      </c>
      <c r="AI106" s="305">
        <f t="shared" si="126"/>
        <v>-5.5475937312190748E-2</v>
      </c>
      <c r="AJ106" s="303">
        <f>IF(AI106="",#N/A,SUM($AI$4:AI106))</f>
        <v>-6.3958575065136909</v>
      </c>
      <c r="AK106" s="300">
        <f t="shared" si="127"/>
        <v>-2.8799999999999955</v>
      </c>
      <c r="AL106" s="348">
        <f>IF(AI106="",#N/A,IF(AH106="Skip",SUM($AK$4:AK106),SUM($AK$4:AK106)))</f>
        <v>-583.0476999999994</v>
      </c>
      <c r="AM106" s="65">
        <f t="shared" si="210"/>
        <v>-3.0819965173433223E-3</v>
      </c>
      <c r="AN106" s="209"/>
      <c r="AO106" s="305">
        <f t="shared" si="128"/>
        <v>-3.0819965173433223E-3</v>
      </c>
      <c r="AP106" s="305">
        <f>IF($AC106="",#N/A,SUM(AO$4:AO106))</f>
        <v>-0.2572919028751609</v>
      </c>
      <c r="AQ106" s="305" t="str">
        <f t="shared" si="129"/>
        <v/>
      </c>
      <c r="AR106" s="305">
        <f>IF($AC106="",#N/A,SUM(AQ$4:AQ106))</f>
        <v>-1.0879870612894522</v>
      </c>
      <c r="AS106" s="305" t="str">
        <f t="shared" si="130"/>
        <v/>
      </c>
      <c r="AT106" s="305">
        <f>IF($AC106="",#N/A,SUM(AS$4:AS106))</f>
        <v>-11.322968013538054</v>
      </c>
      <c r="AU106" s="300">
        <f t="shared" si="211"/>
        <v>-0.15999999999996817</v>
      </c>
      <c r="AV106" s="300">
        <f>IF($AC106="",#N/A,SUM(AU$4:AU106))</f>
        <v>-68.000432956632835</v>
      </c>
      <c r="AW106" s="300" t="str">
        <f t="shared" si="212"/>
        <v/>
      </c>
      <c r="AX106" s="300">
        <f>IF($AC106="",#N/A,SUM(AW$4:AW106))</f>
        <v>-66.900000000000205</v>
      </c>
      <c r="AY106" s="300" t="str">
        <f t="shared" si="213"/>
        <v/>
      </c>
      <c r="AZ106" s="300">
        <f>IF($AC106="",#N/A,SUM(AY$4:AY106))</f>
        <v>-711.86217162300204</v>
      </c>
      <c r="BA106" s="300">
        <f>IF(AD106="",#N/A,SUM($AD$4:AD106))</f>
        <v>-846.76260457963508</v>
      </c>
      <c r="BC106" s="292" t="str">
        <f t="shared" si="131"/>
        <v/>
      </c>
      <c r="BD106" s="292" t="str">
        <f t="shared" si="132"/>
        <v/>
      </c>
      <c r="BE106" s="292" t="str">
        <f t="shared" si="133"/>
        <v/>
      </c>
      <c r="BF106" s="292" t="str">
        <f t="shared" si="134"/>
        <v>Long</v>
      </c>
      <c r="BG106" s="292" t="str">
        <f t="shared" si="135"/>
        <v/>
      </c>
      <c r="BH106" s="292" t="str">
        <f t="shared" si="136"/>
        <v/>
      </c>
      <c r="BI106" s="292">
        <f t="shared" si="137"/>
        <v>1</v>
      </c>
      <c r="BK106" s="65">
        <f t="shared" si="108"/>
        <v>0.10177107379983451</v>
      </c>
      <c r="BL106" s="65">
        <f t="shared" si="216"/>
        <v>-0.26629471899318125</v>
      </c>
      <c r="BM106" s="65">
        <f>IFERROR(Q106/COUNTA($J$4:J106),#N/A)</f>
        <v>-4.5815918953514306E-2</v>
      </c>
      <c r="BO106" s="489">
        <f>IF(J106="",#N/A,IF(S106="SW",(COUNTIFS(K$4:$K106,"&gt;0",S$4:$S106,"SW")/COUNTIF(S$4:$S106,"SW")),#N/A))</f>
        <v>0.46551724137931033</v>
      </c>
      <c r="BP106" s="489" t="e">
        <f>IF($J106="",#N/A,IF($S106="DWN",(COUNTIFS($K$4:$K106,"&lt;0",$S$4:$S106,"DWN")/COUNTIF($S$4:$S106,"DWN")),#N/A))</f>
        <v>#N/A</v>
      </c>
      <c r="BQ106" s="489" t="e">
        <f>IF($J106="",#N/A,IF($S106="UP",(COUNTIFS($K$4:$K106,"&gt;0",$S$4:$S106,"UP")/COUNTIF($S$4:$S106,"UP")),#N/A))</f>
        <v>#N/A</v>
      </c>
      <c r="BR106" s="489">
        <f>IF(J106="",#N/A,COUNTIF($K$4:K106,"&gt;0")/COUNT($J$4:J106))</f>
        <v>0.47572815533980584</v>
      </c>
      <c r="BS106" s="65" t="str">
        <f t="shared" si="138"/>
        <v/>
      </c>
      <c r="BT106" s="65">
        <f t="shared" si="139"/>
        <v>-1.9262478233399594E-2</v>
      </c>
      <c r="BU106" s="65" t="str">
        <f t="shared" si="140"/>
        <v/>
      </c>
      <c r="BV106" s="65" t="str">
        <f t="shared" si="141"/>
        <v/>
      </c>
      <c r="BW106" s="128" t="str">
        <f t="shared" si="142"/>
        <v/>
      </c>
      <c r="BX106" s="128">
        <f>IF($J106="",#N/A,SUM($BW$4:BW106))</f>
        <v>-91.165000000000305</v>
      </c>
      <c r="BY106" s="131" t="str">
        <f t="shared" si="143"/>
        <v/>
      </c>
      <c r="BZ106" s="131">
        <f>IF($J106="",#N/A,SUM($BY$4:BY106))</f>
        <v>-239.64385042154777</v>
      </c>
      <c r="CA106" s="133">
        <f t="shared" si="144"/>
        <v>-1</v>
      </c>
      <c r="CB106" s="133">
        <f>IF($J106="",#N/A,SUM($CA$4:CA106))</f>
        <v>-118.96874360035849</v>
      </c>
      <c r="CC106" s="194" t="str">
        <f t="shared" si="145"/>
        <v/>
      </c>
      <c r="CD106" s="194">
        <f>IF($J106="",#N/A,SUM($CC$4:CC106))</f>
        <v>-1.4632631312024809</v>
      </c>
      <c r="CE106" s="195" t="str">
        <f t="shared" si="146"/>
        <v/>
      </c>
      <c r="CF106" s="195">
        <f>IF($J106="",#N/A,SUM($CE$4:CE106))</f>
        <v>-3.083209243443755</v>
      </c>
      <c r="CG106" s="196">
        <f t="shared" si="147"/>
        <v>-1.9262478233399594E-2</v>
      </c>
      <c r="CH106" s="193">
        <f>IF($J106="",#N/A,SUM($CG$4:CG106))</f>
        <v>-0.17256727756573337</v>
      </c>
      <c r="CI106" s="200" t="str">
        <f t="shared" si="148"/>
        <v/>
      </c>
      <c r="CJ106" s="203">
        <f>IF($J106="",#N/A,SUM(CI$4:CI106))</f>
        <v>0</v>
      </c>
      <c r="CK106" s="204" t="str">
        <f t="shared" si="149"/>
        <v/>
      </c>
      <c r="CL106" s="204">
        <f>IF($J106="",#N/A,SUM(CK$4:CK106))</f>
        <v>1.8934431343190481</v>
      </c>
      <c r="CM106" s="205" t="str">
        <f t="shared" si="150"/>
        <v/>
      </c>
      <c r="CN106" s="205">
        <f>IF($J106="",#N/A,SUM(CM$4:CM106))</f>
        <v>2.5724959960693745</v>
      </c>
      <c r="CO106" s="205">
        <f>IF($J106="",#N/A,SUM(CM$4:CM106,CK$4:CK106,CI$4:CI106))</f>
        <v>4.4659391303884224</v>
      </c>
      <c r="CP106" s="200" t="str">
        <f t="shared" si="151"/>
        <v/>
      </c>
      <c r="CQ106" s="203">
        <f>IF($J106="",#N/A,SUM(CP$4:CP106))</f>
        <v>0</v>
      </c>
      <c r="CR106" s="204" t="str">
        <f t="shared" si="152"/>
        <v/>
      </c>
      <c r="CS106" s="204">
        <f>IF($J106="",#N/A,SUM(CR$4:CR106))</f>
        <v>0</v>
      </c>
      <c r="CT106" s="205" t="str">
        <f t="shared" si="153"/>
        <v/>
      </c>
      <c r="CU106" s="205">
        <f>IF($J106="",#N/A,SUM(CT$4:CT106))</f>
        <v>0</v>
      </c>
      <c r="CV106" s="205">
        <f>IF($J106="",#N/A,SUM(CT$4:CT106,CR$4:CR106,CP$4:CP106))</f>
        <v>0</v>
      </c>
      <c r="CW106" s="200" t="str">
        <f t="shared" si="154"/>
        <v/>
      </c>
      <c r="CX106" s="203">
        <f>IF($J106="",#N/A,SUM(CW$4:CW106))</f>
        <v>0</v>
      </c>
      <c r="CY106" s="204" t="str">
        <f t="shared" si="155"/>
        <v/>
      </c>
      <c r="CZ106" s="204">
        <f>IF($J106="",#N/A,SUM(CY$4:CY106))</f>
        <v>-1.9289529100071134</v>
      </c>
      <c r="DA106" s="205" t="str">
        <f t="shared" si="156"/>
        <v/>
      </c>
      <c r="DB106" s="205">
        <f>IF($J106="",#N/A,SUM(DA$4:DA106))</f>
        <v>-0.16932974967219971</v>
      </c>
      <c r="DC106" s="205">
        <f>IF($J106="",#N/A,SUM(DA$4:DA106,CY$4:CY106,CW$4:CW106))</f>
        <v>-2.0982826596793132</v>
      </c>
      <c r="DD106" s="200" t="str">
        <f t="shared" si="157"/>
        <v/>
      </c>
      <c r="DE106" s="203">
        <f>IF($J106="",#N/A,SUM(DD$4:DD106))</f>
        <v>0.4905246481018824</v>
      </c>
      <c r="DF106" s="204" t="str">
        <f t="shared" si="158"/>
        <v/>
      </c>
      <c r="DG106" s="204">
        <f>IF($J106="",#N/A,SUM(DF$4:DF106))</f>
        <v>0.77374072477919809</v>
      </c>
      <c r="DH106" s="205" t="str">
        <f t="shared" si="159"/>
        <v/>
      </c>
      <c r="DI106" s="205">
        <f>IF($J106="",#N/A,SUM(DH$4:DH106))</f>
        <v>-1.8170936831137556</v>
      </c>
      <c r="DJ106" s="205">
        <f>IF($J106="",#N/A,SUM(DH$4:DH106,DF$4:DF106,DD$4:DD106))</f>
        <v>-0.55282831023267498</v>
      </c>
      <c r="DK106" s="200" t="str">
        <f t="shared" si="160"/>
        <v/>
      </c>
      <c r="DL106" s="203">
        <f>IF($J106="",#N/A,SUM(DK$4:DK106))</f>
        <v>0</v>
      </c>
      <c r="DM106" s="204" t="str">
        <f t="shared" si="161"/>
        <v/>
      </c>
      <c r="DN106" s="204">
        <f>IF($J106="",#N/A,SUM(DM$4:DM106))</f>
        <v>1.1910608267574658</v>
      </c>
      <c r="DO106" s="205" t="str">
        <f t="shared" si="162"/>
        <v/>
      </c>
      <c r="DP106" s="205">
        <f>IF($J106="",#N/A,SUM(DO$4:DO106))</f>
        <v>-0.43291760746858676</v>
      </c>
      <c r="DQ106" s="205">
        <f>IF($J106="",#N/A,SUM(DO$4:DO106,DM$4:DM106,DK$4:DK106))</f>
        <v>0.75814321928887918</v>
      </c>
      <c r="DR106" s="200" t="str">
        <f t="shared" si="163"/>
        <v/>
      </c>
      <c r="DS106" s="203">
        <f>IF($J106="",#N/A,SUM(DR$4:DR106))</f>
        <v>-0.55950946427675097</v>
      </c>
      <c r="DT106" s="204" t="str">
        <f t="shared" si="164"/>
        <v/>
      </c>
      <c r="DU106" s="204">
        <f>IF($J106="",#N/A,SUM(DT$4:DT106))</f>
        <v>-2.8875364672150718</v>
      </c>
      <c r="DV106" s="205" t="str">
        <f t="shared" si="165"/>
        <v/>
      </c>
      <c r="DW106" s="205">
        <f>IF($J106="",#N/A,SUM(DV$4:DV106))</f>
        <v>-2.6814706788983136</v>
      </c>
      <c r="DX106" s="205">
        <f>IF($J106="",#N/A,SUM(DV$4:DV106,DT$4:DT106,DR$4:DR106))</f>
        <v>-6.1285166103901361</v>
      </c>
      <c r="DY106" s="200" t="str">
        <f t="shared" si="166"/>
        <v/>
      </c>
      <c r="DZ106" s="203">
        <f>IF($J106="",#N/A,SUM(DY$4:DY106))</f>
        <v>-1.4611133068588897</v>
      </c>
      <c r="EA106" s="204" t="str">
        <f t="shared" si="167"/>
        <v/>
      </c>
      <c r="EB106" s="204">
        <f>IF($J106="",#N/A,SUM(EA$4:EA106))</f>
        <v>-0.36153038830642437</v>
      </c>
      <c r="EC106" s="205">
        <f t="shared" si="168"/>
        <v>-1.9262478233399594E-2</v>
      </c>
      <c r="ED106" s="205">
        <f>IF($J106="",#N/A,SUM(EC$4:EC106))</f>
        <v>1.7103671484331777</v>
      </c>
      <c r="EE106" s="205">
        <f>IF($J106="",#N/A,SUM(EC$4:EC106,EA$4:EA106,DY$4:DY106))</f>
        <v>-0.11227654673213627</v>
      </c>
      <c r="EF106" s="200" t="str">
        <f t="shared" si="169"/>
        <v/>
      </c>
      <c r="EG106" s="203">
        <f>IF($J106="",#N/A,SUM(EF$4:EF106))</f>
        <v>0</v>
      </c>
      <c r="EH106" s="204" t="str">
        <f t="shared" si="170"/>
        <v/>
      </c>
      <c r="EI106" s="204">
        <f>IF($J106="",#N/A,SUM(EH$4:EH106))</f>
        <v>-2.6174111635897193</v>
      </c>
      <c r="EJ106" s="205" t="str">
        <f t="shared" si="171"/>
        <v/>
      </c>
      <c r="EK106" s="205">
        <f>IF($J106="",#N/A,SUM(EJ$4:EJ106))</f>
        <v>2.2116398676705207</v>
      </c>
      <c r="EL106" s="205">
        <f>IF($J106="",#N/A,SUM(EJ$4:EJ106,EH$4:EH106,EF$4:EF106))</f>
        <v>-0.40577129591919803</v>
      </c>
      <c r="EM106" s="200" t="str">
        <f t="shared" si="172"/>
        <v/>
      </c>
      <c r="EN106" s="203">
        <f>IF($J106="",#N/A,SUM(EM$4:EM106))</f>
        <v>0</v>
      </c>
      <c r="EO106" s="204" t="str">
        <f t="shared" si="173"/>
        <v/>
      </c>
      <c r="EP106" s="204">
        <f>IF($J106="",#N/A,SUM(EO$4:EO106))</f>
        <v>0.83968166820063983</v>
      </c>
      <c r="EQ106" s="205" t="str">
        <f t="shared" si="174"/>
        <v/>
      </c>
      <c r="ER106" s="205">
        <f>IF($J106="",#N/A,SUM(EQ$4:EQ106))</f>
        <v>0.4926597949853756</v>
      </c>
      <c r="ES106" s="205">
        <f>IF($J106="",#N/A,SUM(EQ$4:EQ106,EO$4:EO106,EM$4:EM106))</f>
        <v>1.3323414631860153</v>
      </c>
      <c r="ET106" s="200" t="str">
        <f t="shared" si="175"/>
        <v/>
      </c>
      <c r="EU106" s="203">
        <f>IF($J106="",#N/A,SUM(ET$4:ET106))</f>
        <v>0</v>
      </c>
      <c r="EV106" s="204" t="str">
        <f t="shared" si="176"/>
        <v/>
      </c>
      <c r="EW106" s="204">
        <f>IF($J106="",#N/A,SUM(EV$4:EV106))</f>
        <v>-0.73430241270792684</v>
      </c>
      <c r="EX106" s="205" t="str">
        <f t="shared" si="177"/>
        <v/>
      </c>
      <c r="EY106" s="205">
        <f>IF($J106="",#N/A,SUM(EX$4:EX106))</f>
        <v>1.367071968452185</v>
      </c>
      <c r="EZ106" s="205">
        <f>IF($J106="",#N/A,SUM(EX$4:EX106,EV$4:EV106,ET$4:ET106))</f>
        <v>0.63276955574425819</v>
      </c>
      <c r="FA106" s="200" t="str">
        <f t="shared" si="178"/>
        <v/>
      </c>
      <c r="FB106" s="203">
        <f>IF($J106="",#N/A,SUM(FA$4:FA106))</f>
        <v>0</v>
      </c>
      <c r="FC106" s="204" t="str">
        <f t="shared" si="179"/>
        <v/>
      </c>
      <c r="FD106" s="204">
        <f>IF($J106="",#N/A,SUM(FC$4:FC106))</f>
        <v>1.154074230495441</v>
      </c>
      <c r="FE106" s="205" t="str">
        <f t="shared" si="180"/>
        <v/>
      </c>
      <c r="FF106" s="205">
        <f>IF($J106="",#N/A,SUM(FE$4:FE106))</f>
        <v>-0.28811149078748233</v>
      </c>
      <c r="FG106" s="205">
        <f>IF($J106="",#N/A,SUM(FE$4:FE106,FC$4:FC106,FA$4:FA106))</f>
        <v>0.86596273970795878</v>
      </c>
      <c r="FH106" s="200" t="str">
        <f t="shared" si="181"/>
        <v/>
      </c>
      <c r="FI106" s="203">
        <f>IF($J106="",#N/A,SUM(FH$4:FH106))</f>
        <v>0</v>
      </c>
      <c r="FJ106" s="204" t="str">
        <f t="shared" si="182"/>
        <v/>
      </c>
      <c r="FK106" s="204">
        <f>IF($J106="",#N/A,SUM(FJ$4:FJ106))</f>
        <v>0</v>
      </c>
      <c r="FL106" s="205" t="str">
        <f t="shared" si="183"/>
        <v/>
      </c>
      <c r="FM106" s="205">
        <f>IF($J106="",#N/A,SUM(FL$4:FL106))</f>
        <v>0</v>
      </c>
      <c r="FN106" s="205">
        <f>IF($J106="",#N/A,SUM(FL$4:FL106,FJ$4:FJ106,FH$4:FH106))</f>
        <v>0</v>
      </c>
      <c r="FO106" s="200" t="str">
        <f t="shared" si="184"/>
        <v/>
      </c>
      <c r="FP106" s="203">
        <f>IF($J106="",#N/A,SUM(FO$4:FO106))</f>
        <v>0</v>
      </c>
      <c r="FQ106" s="204" t="str">
        <f t="shared" si="185"/>
        <v/>
      </c>
      <c r="FR106" s="204">
        <f>IF($J106="",#N/A,SUM(FQ$4:FQ106))</f>
        <v>0</v>
      </c>
      <c r="FS106" s="205" t="str">
        <f t="shared" si="186"/>
        <v/>
      </c>
      <c r="FT106" s="205">
        <f>IF($J106="",#N/A,SUM(FS$4:FS106))</f>
        <v>0</v>
      </c>
      <c r="FU106" s="205">
        <f>IF($J106="",#N/A,SUM(FS$4:FS106,FQ$4:FQ106,FO$4:FO106))</f>
        <v>0</v>
      </c>
      <c r="FV106" s="200" t="str">
        <f t="shared" si="187"/>
        <v/>
      </c>
      <c r="FW106" s="203">
        <f>IF($J106="",#N/A,SUM(FV$4:FV106))</f>
        <v>6.6834991831277585E-2</v>
      </c>
      <c r="FX106" s="204" t="str">
        <f t="shared" si="188"/>
        <v/>
      </c>
      <c r="FY106" s="204">
        <f>IF($J106="",#N/A,SUM(FX$4:FX106))</f>
        <v>0</v>
      </c>
      <c r="FZ106" s="205" t="str">
        <f t="shared" si="189"/>
        <v/>
      </c>
      <c r="GA106" s="205">
        <f>IF($J106="",#N/A,SUM(FZ$4:FZ106))</f>
        <v>-0.20104261551371039</v>
      </c>
      <c r="GB106" s="205">
        <f>IF($J106="",#N/A,SUM(FZ$4:FZ106,FX$4:FX106,FV$4:FV106))</f>
        <v>-0.1342076236824328</v>
      </c>
      <c r="GC106" s="200" t="str">
        <f t="shared" si="190"/>
        <v/>
      </c>
      <c r="GD106" s="203">
        <f>IF($J106="",#N/A,SUM(GC$4:GC106))</f>
        <v>0</v>
      </c>
      <c r="GE106" s="204" t="str">
        <f t="shared" si="191"/>
        <v/>
      </c>
      <c r="GF106" s="204">
        <f>IF($J106="",#N/A,SUM(GE$4:GE106))</f>
        <v>0</v>
      </c>
      <c r="GG106" s="205" t="str">
        <f t="shared" si="192"/>
        <v/>
      </c>
      <c r="GH106" s="205">
        <f>IF($J106="",#N/A,SUM(GG$4:GG106))</f>
        <v>-2.9368362277223206</v>
      </c>
      <c r="GI106" s="205">
        <f>IF($J106="",#N/A,SUM(GG$4:GG106,GE$4:GE106,GC$4:GC106))</f>
        <v>-2.9368362277223206</v>
      </c>
      <c r="GJ106" s="200" t="str">
        <f t="shared" si="193"/>
        <v/>
      </c>
      <c r="GK106" s="203">
        <f>IF($J106="",#N/A,SUM(GJ$4:GJ106))</f>
        <v>0</v>
      </c>
      <c r="GL106" s="204" t="str">
        <f t="shared" si="194"/>
        <v/>
      </c>
      <c r="GM106" s="204">
        <f>IF($J106="",#N/A,SUM(GL$4:GL106))</f>
        <v>-0.4054764861692941</v>
      </c>
      <c r="GN106" s="205" t="str">
        <f t="shared" si="195"/>
        <v/>
      </c>
      <c r="GO106" s="205">
        <f>IF($J106="",#N/A,SUM(GN$4:GN106))</f>
        <v>0</v>
      </c>
      <c r="GP106" s="205">
        <f>IF($J106="",#N/A,SUM(GN$4:GN106,GL$4:GL106,GJ$4:GJ106))</f>
        <v>-0.4054764861692941</v>
      </c>
      <c r="GS106" s="303">
        <f t="shared" si="214"/>
        <v>-1.9262478233399594E-2</v>
      </c>
      <c r="GT106" s="303">
        <f>IF(GS106="",NA(),SUM($GS$4:GS106))</f>
        <v>-5.1968905341047744</v>
      </c>
      <c r="GU106" s="303" t="str">
        <f t="shared" si="196"/>
        <v/>
      </c>
      <c r="GV106" s="303" t="e">
        <f>IF(GU106="",NA(),SUM($GU$4:GU106))</f>
        <v>#N/A</v>
      </c>
      <c r="GW106" s="303">
        <f t="shared" si="197"/>
        <v>-1.9262478233399594E-2</v>
      </c>
      <c r="GX106" s="303">
        <f>IF(GW106="",NA(),SUM($GW$4:GW106))</f>
        <v>-0.37455609049301891</v>
      </c>
      <c r="GY106" s="303" t="str">
        <f t="shared" si="198"/>
        <v/>
      </c>
      <c r="GZ106" s="303" t="e">
        <f>IF(GY106="",NA(),SUM($GY$4:GY106))</f>
        <v>#N/A</v>
      </c>
      <c r="HA106" s="303" t="str">
        <f t="shared" si="199"/>
        <v/>
      </c>
      <c r="HB106" s="303" t="e">
        <f>IF(HA106="",NA(),SUM($HA$4:HA106))</f>
        <v>#N/A</v>
      </c>
      <c r="HC106" s="303" t="str">
        <f t="shared" si="200"/>
        <v/>
      </c>
      <c r="HD106" s="303" t="e">
        <f>IF(HC106="",NA(),SUM($HC$4:HC106))</f>
        <v>#N/A</v>
      </c>
      <c r="HE106" s="303" t="str">
        <f t="shared" si="201"/>
        <v/>
      </c>
      <c r="HF106" s="303" t="e">
        <f>IF(HE106="",NA(),SUM($HE$4:HE106))</f>
        <v>#N/A</v>
      </c>
      <c r="HG106" s="303" t="str">
        <f t="shared" si="202"/>
        <v/>
      </c>
      <c r="HH106" s="303" t="e">
        <f>IF(HG106="",NA(),SUM($HG$4:HG106))</f>
        <v>#N/A</v>
      </c>
      <c r="HI106" s="304" t="str">
        <f t="shared" si="215"/>
        <v/>
      </c>
      <c r="HJ106" s="304">
        <f>IF($J106="",#N/A,SUM(HI$4:$HI106))</f>
        <v>-2.981322232424986</v>
      </c>
      <c r="HK106" s="303" t="str">
        <f t="shared" si="203"/>
        <v/>
      </c>
      <c r="HL106" s="303">
        <f>IF($J106="",#N/A,SUM($HK$4:HK106))</f>
        <v>-5.2584365376693087</v>
      </c>
      <c r="HM106" s="303" t="str">
        <f t="shared" si="204"/>
        <v/>
      </c>
      <c r="HN106" s="303">
        <f>IF($J106="",#N/A,SUM($HM$4:HM106))</f>
        <v>0.72020221657224703</v>
      </c>
      <c r="HO106" s="303" t="str">
        <f t="shared" si="205"/>
        <v/>
      </c>
      <c r="HP106" s="303">
        <f>IF($J106="",#N/A,SUM($HO$4:HO106))</f>
        <v>-0.34492614665921834</v>
      </c>
      <c r="HQ106" s="303" t="str">
        <f t="shared" si="206"/>
        <v/>
      </c>
      <c r="HR106" s="303">
        <f>IF($J106="",#N/A,SUM($HQ$4:HQ106))</f>
        <v>-6.1746076181104117</v>
      </c>
      <c r="HS106" s="303">
        <f t="shared" si="207"/>
        <v>1.6180481716056273E-2</v>
      </c>
      <c r="HT106" s="303">
        <f>IF($J106="",#N/A,SUM($HS$4:HS106))</f>
        <v>6.0898829928009883</v>
      </c>
      <c r="HU106" s="305">
        <f t="shared" si="208"/>
        <v>-3.0819965173433223E-3</v>
      </c>
      <c r="HV106" s="305">
        <f>IF($J106="",#N/A,SUM(HU$4:$HU106))</f>
        <v>-12.66824697770266</v>
      </c>
    </row>
    <row r="107" spans="1:230" x14ac:dyDescent="0.25">
      <c r="A107" s="59" t="s">
        <v>1281</v>
      </c>
      <c r="B107" s="289" t="s">
        <v>4523</v>
      </c>
      <c r="C107" s="230">
        <f t="shared" si="109"/>
        <v>1</v>
      </c>
      <c r="D107" s="220" t="str">
        <f>_xlfn.XLOOKUP(A107,[1]SP500!$A$2:$A$502,[1]SP500!$D$2:$D$502,"N")</f>
        <v>Y</v>
      </c>
      <c r="E107" s="59" t="str">
        <f>IFERROR(_xlfn.XLOOKUP(A107,[1]SP500!$A$2:$A$655,[1]SP500!$B$2:$B$655),"")</f>
        <v>XLC</v>
      </c>
      <c r="F107" s="290">
        <v>45771</v>
      </c>
      <c r="G107" s="59" t="str">
        <f t="shared" si="110"/>
        <v>AMC</v>
      </c>
      <c r="H107" s="59" t="str">
        <f t="shared" si="111"/>
        <v>s</v>
      </c>
      <c r="I107" s="125">
        <v>262.18</v>
      </c>
      <c r="J107" s="278">
        <v>243.15</v>
      </c>
      <c r="K107" s="60">
        <f t="shared" si="112"/>
        <v>-7.2583721107635973E-2</v>
      </c>
      <c r="L107" s="68">
        <f t="shared" si="113"/>
        <v>-76.12</v>
      </c>
      <c r="M107" s="62">
        <f t="shared" si="114"/>
        <v>0</v>
      </c>
      <c r="N107" s="63">
        <f t="shared" si="115"/>
        <v>-76.12</v>
      </c>
      <c r="O107" s="62">
        <f>IF(N107="",#N/A,SUM($N$4:N107))</f>
        <v>-525.89759402190657</v>
      </c>
      <c r="P107" s="64">
        <f t="shared" si="209"/>
        <v>-1.2097286851272664</v>
      </c>
      <c r="Q107" s="183">
        <f>IF($N107="",#N/A,SUM($P$4:P107))</f>
        <v>-5.9287683373392399</v>
      </c>
      <c r="R107" s="279">
        <f t="shared" si="116"/>
        <v>1.6768178543017171</v>
      </c>
      <c r="S107" s="59" t="str">
        <f t="shared" si="117"/>
        <v>Up</v>
      </c>
      <c r="T107" s="59" t="s">
        <v>4461</v>
      </c>
      <c r="U107" s="61">
        <f t="shared" si="118"/>
        <v>262.18</v>
      </c>
      <c r="V107" s="61" t="s">
        <v>4460</v>
      </c>
      <c r="W107" s="142">
        <v>4</v>
      </c>
      <c r="X107" s="146">
        <f t="shared" si="119"/>
        <v>1048.72</v>
      </c>
      <c r="Y107" s="142">
        <f t="shared" si="120"/>
        <v>4</v>
      </c>
      <c r="Z107" s="278">
        <v>243.15</v>
      </c>
      <c r="AA107" s="63">
        <f t="shared" si="121"/>
        <v>-76.12</v>
      </c>
      <c r="AB107" s="63">
        <f t="shared" si="122"/>
        <v>-117.63999999999999</v>
      </c>
      <c r="AC107" s="125">
        <v>232.77</v>
      </c>
      <c r="AD107" s="148">
        <f t="shared" si="123"/>
        <v>-117.63999999999999</v>
      </c>
      <c r="AE107" s="544">
        <f t="shared" si="124"/>
        <v>-1.869580695196684</v>
      </c>
      <c r="AF107" s="62">
        <f>IF($AC107="",#N/A,SUM(AD$4:AD107))</f>
        <v>-964.40260457963507</v>
      </c>
      <c r="AG107" s="63">
        <f t="shared" si="125"/>
        <v>-41.519999999999982</v>
      </c>
      <c r="AH107" s="61" t="s">
        <v>2507</v>
      </c>
      <c r="AI107" s="64">
        <f t="shared" si="126"/>
        <v>-1.2097286851272664</v>
      </c>
      <c r="AJ107" s="177">
        <f>IF(AI107="",#N/A,SUM($AI$4:AI107))</f>
        <v>-7.6055861916409571</v>
      </c>
      <c r="AK107" s="62">
        <f t="shared" si="127"/>
        <v>-76.12</v>
      </c>
      <c r="AL107" s="351">
        <f>IF(AI107="",#N/A,IF(AH107="Skip",SUM($AK$4:AK107),SUM($AK$4:AK107)))</f>
        <v>-659.1676999999994</v>
      </c>
      <c r="AM107" s="65">
        <f t="shared" si="210"/>
        <v>-1.869580695196684</v>
      </c>
      <c r="AN107" s="209"/>
      <c r="AO107" s="64" t="str">
        <f t="shared" si="128"/>
        <v/>
      </c>
      <c r="AP107" s="64">
        <f>IF($AC107="",#N/A,SUM(AO$4:AO107))</f>
        <v>-0.2572919028751609</v>
      </c>
      <c r="AQ107" s="64">
        <f t="shared" si="129"/>
        <v>-1.869580695196684</v>
      </c>
      <c r="AR107" s="64">
        <f>IF($AC107="",#N/A,SUM(AQ$4:AQ107))</f>
        <v>-2.957567756486136</v>
      </c>
      <c r="AS107" s="64" t="str">
        <f t="shared" si="130"/>
        <v/>
      </c>
      <c r="AT107" s="64">
        <f>IF($AC107="",#N/A,SUM(AS$4:AS107))</f>
        <v>-11.322968013538054</v>
      </c>
      <c r="AU107" s="62" t="str">
        <f t="shared" si="211"/>
        <v/>
      </c>
      <c r="AV107" s="62">
        <f>IF($AC107="",#N/A,SUM(AU$4:AU107))</f>
        <v>-68.000432956632835</v>
      </c>
      <c r="AW107" s="62">
        <f t="shared" si="212"/>
        <v>-117.63999999999999</v>
      </c>
      <c r="AX107" s="62">
        <f>IF($AC107="",#N/A,SUM(AW$4:AW107))</f>
        <v>-184.54000000000019</v>
      </c>
      <c r="AY107" s="62" t="str">
        <f t="shared" si="213"/>
        <v/>
      </c>
      <c r="AZ107" s="62">
        <f>IF($AC107="",#N/A,SUM(AY$4:AY107))</f>
        <v>-711.86217162300204</v>
      </c>
      <c r="BA107" s="62">
        <f>IF(AD107="",#N/A,SUM($AD$4:AD107))</f>
        <v>-964.40260457963507</v>
      </c>
      <c r="BC107" s="59" t="str">
        <f t="shared" si="131"/>
        <v/>
      </c>
      <c r="BD107" s="59" t="str">
        <f t="shared" si="132"/>
        <v/>
      </c>
      <c r="BE107" s="59" t="str">
        <f t="shared" si="133"/>
        <v/>
      </c>
      <c r="BF107" s="59" t="str">
        <f t="shared" si="134"/>
        <v>Long</v>
      </c>
      <c r="BG107" s="59" t="str">
        <f t="shared" si="135"/>
        <v/>
      </c>
      <c r="BH107" s="59">
        <f t="shared" si="136"/>
        <v>1</v>
      </c>
      <c r="BI107" s="59" t="str">
        <f t="shared" si="137"/>
        <v/>
      </c>
      <c r="BK107" s="65">
        <f t="shared" si="108"/>
        <v>6.2773753999894655E-2</v>
      </c>
      <c r="BL107" s="65">
        <f t="shared" si="216"/>
        <v>-0.31293866570019163</v>
      </c>
      <c r="BM107" s="65">
        <f>IFERROR(Q107/COUNTA($J$4:J107),#N/A)</f>
        <v>-5.7007387859031151E-2</v>
      </c>
      <c r="BO107" s="489" t="e">
        <f>IF(J107="",#N/A,IF(S107="SW",(COUNTIFS(K$4:$K107,"&gt;0",S$4:$S107,"SW")/COUNTIF(S$4:$S107,"SW")),#N/A))</f>
        <v>#N/A</v>
      </c>
      <c r="BP107" s="489" t="e">
        <f>IF($J107="",#N/A,IF($S107="DWN",(COUNTIFS($K$4:$K107,"&lt;0",$S$4:$S107,"DWN")/COUNTIF($S$4:$S107,"DWN")),#N/A))</f>
        <v>#N/A</v>
      </c>
      <c r="BQ107" s="489">
        <f>IF($J107="",#N/A,IF($S107="UP",(COUNTIFS($K$4:$K107,"&gt;0",$S$4:$S107,"UP")/COUNTIF($S$4:$S107,"UP")),#N/A))</f>
        <v>0.4</v>
      </c>
      <c r="BR107" s="489">
        <f>IF(J107="",#N/A,COUNTIF($K$4:K107,"&gt;0")/COUNT($J$4:J107))</f>
        <v>0.47115384615384615</v>
      </c>
      <c r="BS107" s="65" t="str">
        <f t="shared" si="138"/>
        <v/>
      </c>
      <c r="BT107" s="65">
        <f t="shared" si="139"/>
        <v>-1.2097286851272664</v>
      </c>
      <c r="BU107" s="65" t="str">
        <f t="shared" si="140"/>
        <v/>
      </c>
      <c r="BV107" s="65" t="str">
        <f t="shared" si="141"/>
        <v/>
      </c>
      <c r="BW107" s="128">
        <f t="shared" si="142"/>
        <v>-76.12</v>
      </c>
      <c r="BX107" s="128">
        <f>IF($J107="",#N/A,SUM($BW$4:BW107))</f>
        <v>-167.28500000000031</v>
      </c>
      <c r="BY107" s="131" t="str">
        <f t="shared" si="143"/>
        <v/>
      </c>
      <c r="BZ107" s="131">
        <f>IF($J107="",#N/A,SUM($BY$4:BY107))</f>
        <v>-239.64385042154777</v>
      </c>
      <c r="CA107" s="133" t="str">
        <f t="shared" si="144"/>
        <v/>
      </c>
      <c r="CB107" s="133">
        <f>IF($J107="",#N/A,SUM($CA$4:CA107))</f>
        <v>-118.96874360035849</v>
      </c>
      <c r="CC107" s="194">
        <f t="shared" si="145"/>
        <v>-1.2097286851272664</v>
      </c>
      <c r="CD107" s="194">
        <f>IF($J107="",#N/A,SUM($CC$4:CC107))</f>
        <v>-2.6729918163297475</v>
      </c>
      <c r="CE107" s="195" t="str">
        <f t="shared" si="146"/>
        <v/>
      </c>
      <c r="CF107" s="195">
        <f>IF($J107="",#N/A,SUM($CE$4:CE107))</f>
        <v>-3.083209243443755</v>
      </c>
      <c r="CG107" s="196" t="str">
        <f t="shared" si="147"/>
        <v/>
      </c>
      <c r="CH107" s="193">
        <f>IF($J107="",#N/A,SUM($CG$4:CG107))</f>
        <v>-0.17256727756573337</v>
      </c>
      <c r="CI107" s="200" t="str">
        <f t="shared" si="148"/>
        <v/>
      </c>
      <c r="CJ107" s="203">
        <f>IF($J107="",#N/A,SUM(CI$4:CI107))</f>
        <v>0</v>
      </c>
      <c r="CK107" s="204" t="str">
        <f t="shared" si="149"/>
        <v/>
      </c>
      <c r="CL107" s="204">
        <f>IF($J107="",#N/A,SUM(CK$4:CK107))</f>
        <v>1.8934431343190481</v>
      </c>
      <c r="CM107" s="205" t="str">
        <f t="shared" si="150"/>
        <v/>
      </c>
      <c r="CN107" s="205">
        <f>IF($J107="",#N/A,SUM(CM$4:CM107))</f>
        <v>2.5724959960693745</v>
      </c>
      <c r="CO107" s="205">
        <f>IF($J107="",#N/A,SUM(CM$4:CM107,CK$4:CK107,CI$4:CI107))</f>
        <v>4.4659391303884224</v>
      </c>
      <c r="CP107" s="200" t="str">
        <f t="shared" si="151"/>
        <v/>
      </c>
      <c r="CQ107" s="203">
        <f>IF($J107="",#N/A,SUM(CP$4:CP107))</f>
        <v>0</v>
      </c>
      <c r="CR107" s="204" t="str">
        <f t="shared" si="152"/>
        <v/>
      </c>
      <c r="CS107" s="204">
        <f>IF($J107="",#N/A,SUM(CR$4:CR107))</f>
        <v>0</v>
      </c>
      <c r="CT107" s="205" t="str">
        <f t="shared" si="153"/>
        <v/>
      </c>
      <c r="CU107" s="205">
        <f>IF($J107="",#N/A,SUM(CT$4:CT107))</f>
        <v>0</v>
      </c>
      <c r="CV107" s="205">
        <f>IF($J107="",#N/A,SUM(CT$4:CT107,CR$4:CR107,CP$4:CP107))</f>
        <v>0</v>
      </c>
      <c r="CW107" s="200" t="str">
        <f t="shared" si="154"/>
        <v/>
      </c>
      <c r="CX107" s="203">
        <f>IF($J107="",#N/A,SUM(CW$4:CW107))</f>
        <v>0</v>
      </c>
      <c r="CY107" s="204" t="str">
        <f t="shared" si="155"/>
        <v/>
      </c>
      <c r="CZ107" s="204">
        <f>IF($J107="",#N/A,SUM(CY$4:CY107))</f>
        <v>-1.9289529100071134</v>
      </c>
      <c r="DA107" s="205" t="str">
        <f t="shared" si="156"/>
        <v/>
      </c>
      <c r="DB107" s="205">
        <f>IF($J107="",#N/A,SUM(DA$4:DA107))</f>
        <v>-0.16932974967219971</v>
      </c>
      <c r="DC107" s="205">
        <f>IF($J107="",#N/A,SUM(DA$4:DA107,CY$4:CY107,CW$4:CW107))</f>
        <v>-2.0982826596793132</v>
      </c>
      <c r="DD107" s="200" t="str">
        <f t="shared" si="157"/>
        <v/>
      </c>
      <c r="DE107" s="203">
        <f>IF($J107="",#N/A,SUM(DD$4:DD107))</f>
        <v>0.4905246481018824</v>
      </c>
      <c r="DF107" s="204" t="str">
        <f t="shared" si="158"/>
        <v/>
      </c>
      <c r="DG107" s="204">
        <f>IF($J107="",#N/A,SUM(DF$4:DF107))</f>
        <v>0.77374072477919809</v>
      </c>
      <c r="DH107" s="205" t="str">
        <f t="shared" si="159"/>
        <v/>
      </c>
      <c r="DI107" s="205">
        <f>IF($J107="",#N/A,SUM(DH$4:DH107))</f>
        <v>-1.8170936831137556</v>
      </c>
      <c r="DJ107" s="205">
        <f>IF($J107="",#N/A,SUM(DH$4:DH107,DF$4:DF107,DD$4:DD107))</f>
        <v>-0.55282831023267498</v>
      </c>
      <c r="DK107" s="200">
        <f t="shared" si="160"/>
        <v>-1.2097286851272664</v>
      </c>
      <c r="DL107" s="203">
        <f>IF($J107="",#N/A,SUM(DK$4:DK107))</f>
        <v>-1.2097286851272664</v>
      </c>
      <c r="DM107" s="204" t="str">
        <f t="shared" si="161"/>
        <v/>
      </c>
      <c r="DN107" s="204">
        <f>IF($J107="",#N/A,SUM(DM$4:DM107))</f>
        <v>1.1910608267574658</v>
      </c>
      <c r="DO107" s="205" t="str">
        <f t="shared" si="162"/>
        <v/>
      </c>
      <c r="DP107" s="205">
        <f>IF($J107="",#N/A,SUM(DO$4:DO107))</f>
        <v>-0.43291760746858676</v>
      </c>
      <c r="DQ107" s="205">
        <f>IF($J107="",#N/A,SUM(DO$4:DO107,DM$4:DM107,DK$4:DK107))</f>
        <v>-0.45158546583838721</v>
      </c>
      <c r="DR107" s="200" t="str">
        <f t="shared" si="163"/>
        <v/>
      </c>
      <c r="DS107" s="203">
        <f>IF($J107="",#N/A,SUM(DR$4:DR107))</f>
        <v>-0.55950946427675097</v>
      </c>
      <c r="DT107" s="204" t="str">
        <f t="shared" si="164"/>
        <v/>
      </c>
      <c r="DU107" s="204">
        <f>IF($J107="",#N/A,SUM(DT$4:DT107))</f>
        <v>-2.8875364672150718</v>
      </c>
      <c r="DV107" s="205" t="str">
        <f t="shared" si="165"/>
        <v/>
      </c>
      <c r="DW107" s="205">
        <f>IF($J107="",#N/A,SUM(DV$4:DV107))</f>
        <v>-2.6814706788983136</v>
      </c>
      <c r="DX107" s="205">
        <f>IF($J107="",#N/A,SUM(DV$4:DV107,DT$4:DT107,DR$4:DR107))</f>
        <v>-6.1285166103901361</v>
      </c>
      <c r="DY107" s="200" t="str">
        <f t="shared" si="166"/>
        <v/>
      </c>
      <c r="DZ107" s="203">
        <f>IF($J107="",#N/A,SUM(DY$4:DY107))</f>
        <v>-1.4611133068588897</v>
      </c>
      <c r="EA107" s="204" t="str">
        <f t="shared" si="167"/>
        <v/>
      </c>
      <c r="EB107" s="204">
        <f>IF($J107="",#N/A,SUM(EA$4:EA107))</f>
        <v>-0.36153038830642437</v>
      </c>
      <c r="EC107" s="205" t="str">
        <f t="shared" si="168"/>
        <v/>
      </c>
      <c r="ED107" s="205">
        <f>IF($J107="",#N/A,SUM(EC$4:EC107))</f>
        <v>1.7103671484331777</v>
      </c>
      <c r="EE107" s="205">
        <f>IF($J107="",#N/A,SUM(EC$4:EC107,EA$4:EA107,DY$4:DY107))</f>
        <v>-0.11227654673213627</v>
      </c>
      <c r="EF107" s="200" t="str">
        <f t="shared" si="169"/>
        <v/>
      </c>
      <c r="EG107" s="203">
        <f>IF($J107="",#N/A,SUM(EF$4:EF107))</f>
        <v>0</v>
      </c>
      <c r="EH107" s="204" t="str">
        <f t="shared" si="170"/>
        <v/>
      </c>
      <c r="EI107" s="204">
        <f>IF($J107="",#N/A,SUM(EH$4:EH107))</f>
        <v>-2.6174111635897193</v>
      </c>
      <c r="EJ107" s="205" t="str">
        <f t="shared" si="171"/>
        <v/>
      </c>
      <c r="EK107" s="205">
        <f>IF($J107="",#N/A,SUM(EJ$4:EJ107))</f>
        <v>2.2116398676705207</v>
      </c>
      <c r="EL107" s="205">
        <f>IF($J107="",#N/A,SUM(EJ$4:EJ107,EH$4:EH107,EF$4:EF107))</f>
        <v>-0.40577129591919803</v>
      </c>
      <c r="EM107" s="200" t="str">
        <f t="shared" si="172"/>
        <v/>
      </c>
      <c r="EN107" s="203">
        <f>IF($J107="",#N/A,SUM(EM$4:EM107))</f>
        <v>0</v>
      </c>
      <c r="EO107" s="204" t="str">
        <f t="shared" si="173"/>
        <v/>
      </c>
      <c r="EP107" s="204">
        <f>IF($J107="",#N/A,SUM(EO$4:EO107))</f>
        <v>0.83968166820063983</v>
      </c>
      <c r="EQ107" s="205" t="str">
        <f t="shared" si="174"/>
        <v/>
      </c>
      <c r="ER107" s="205">
        <f>IF($J107="",#N/A,SUM(EQ$4:EQ107))</f>
        <v>0.4926597949853756</v>
      </c>
      <c r="ES107" s="205">
        <f>IF($J107="",#N/A,SUM(EQ$4:EQ107,EO$4:EO107,EM$4:EM107))</f>
        <v>1.3323414631860153</v>
      </c>
      <c r="ET107" s="200" t="str">
        <f t="shared" si="175"/>
        <v/>
      </c>
      <c r="EU107" s="203">
        <f>IF($J107="",#N/A,SUM(ET$4:ET107))</f>
        <v>0</v>
      </c>
      <c r="EV107" s="204" t="str">
        <f t="shared" si="176"/>
        <v/>
      </c>
      <c r="EW107" s="204">
        <f>IF($J107="",#N/A,SUM(EV$4:EV107))</f>
        <v>-0.73430241270792684</v>
      </c>
      <c r="EX107" s="205" t="str">
        <f t="shared" si="177"/>
        <v/>
      </c>
      <c r="EY107" s="205">
        <f>IF($J107="",#N/A,SUM(EX$4:EX107))</f>
        <v>1.367071968452185</v>
      </c>
      <c r="EZ107" s="205">
        <f>IF($J107="",#N/A,SUM(EX$4:EX107,EV$4:EV107,ET$4:ET107))</f>
        <v>0.63276955574425819</v>
      </c>
      <c r="FA107" s="200" t="str">
        <f t="shared" si="178"/>
        <v/>
      </c>
      <c r="FB107" s="203">
        <f>IF($J107="",#N/A,SUM(FA$4:FA107))</f>
        <v>0</v>
      </c>
      <c r="FC107" s="204" t="str">
        <f t="shared" si="179"/>
        <v/>
      </c>
      <c r="FD107" s="204">
        <f>IF($J107="",#N/A,SUM(FC$4:FC107))</f>
        <v>1.154074230495441</v>
      </c>
      <c r="FE107" s="205" t="str">
        <f t="shared" si="180"/>
        <v/>
      </c>
      <c r="FF107" s="205">
        <f>IF($J107="",#N/A,SUM(FE$4:FE107))</f>
        <v>-0.28811149078748233</v>
      </c>
      <c r="FG107" s="205">
        <f>IF($J107="",#N/A,SUM(FE$4:FE107,FC$4:FC107,FA$4:FA107))</f>
        <v>0.86596273970795878</v>
      </c>
      <c r="FH107" s="200" t="str">
        <f t="shared" si="181"/>
        <v/>
      </c>
      <c r="FI107" s="203">
        <f>IF($J107="",#N/A,SUM(FH$4:FH107))</f>
        <v>0</v>
      </c>
      <c r="FJ107" s="204" t="str">
        <f t="shared" si="182"/>
        <v/>
      </c>
      <c r="FK107" s="204">
        <f>IF($J107="",#N/A,SUM(FJ$4:FJ107))</f>
        <v>0</v>
      </c>
      <c r="FL107" s="205" t="str">
        <f t="shared" si="183"/>
        <v/>
      </c>
      <c r="FM107" s="205">
        <f>IF($J107="",#N/A,SUM(FL$4:FL107))</f>
        <v>0</v>
      </c>
      <c r="FN107" s="205">
        <f>IF($J107="",#N/A,SUM(FL$4:FL107,FJ$4:FJ107,FH$4:FH107))</f>
        <v>0</v>
      </c>
      <c r="FO107" s="200" t="str">
        <f t="shared" si="184"/>
        <v/>
      </c>
      <c r="FP107" s="203">
        <f>IF($J107="",#N/A,SUM(FO$4:FO107))</f>
        <v>0</v>
      </c>
      <c r="FQ107" s="204" t="str">
        <f t="shared" si="185"/>
        <v/>
      </c>
      <c r="FR107" s="204">
        <f>IF($J107="",#N/A,SUM(FQ$4:FQ107))</f>
        <v>0</v>
      </c>
      <c r="FS107" s="205" t="str">
        <f t="shared" si="186"/>
        <v/>
      </c>
      <c r="FT107" s="205">
        <f>IF($J107="",#N/A,SUM(FS$4:FS107))</f>
        <v>0</v>
      </c>
      <c r="FU107" s="205">
        <f>IF($J107="",#N/A,SUM(FS$4:FS107,FQ$4:FQ107,FO$4:FO107))</f>
        <v>0</v>
      </c>
      <c r="FV107" s="200" t="str">
        <f t="shared" si="187"/>
        <v/>
      </c>
      <c r="FW107" s="203">
        <f>IF($J107="",#N/A,SUM(FV$4:FV107))</f>
        <v>6.6834991831277585E-2</v>
      </c>
      <c r="FX107" s="204" t="str">
        <f t="shared" si="188"/>
        <v/>
      </c>
      <c r="FY107" s="204">
        <f>IF($J107="",#N/A,SUM(FX$4:FX107))</f>
        <v>0</v>
      </c>
      <c r="FZ107" s="205" t="str">
        <f t="shared" si="189"/>
        <v/>
      </c>
      <c r="GA107" s="205">
        <f>IF($J107="",#N/A,SUM(FZ$4:FZ107))</f>
        <v>-0.20104261551371039</v>
      </c>
      <c r="GB107" s="205">
        <f>IF($J107="",#N/A,SUM(FZ$4:FZ107,FX$4:FX107,FV$4:FV107))</f>
        <v>-0.1342076236824328</v>
      </c>
      <c r="GC107" s="200" t="str">
        <f t="shared" si="190"/>
        <v/>
      </c>
      <c r="GD107" s="203">
        <f>IF($J107="",#N/A,SUM(GC$4:GC107))</f>
        <v>0</v>
      </c>
      <c r="GE107" s="204" t="str">
        <f t="shared" si="191"/>
        <v/>
      </c>
      <c r="GF107" s="204">
        <f>IF($J107="",#N/A,SUM(GE$4:GE107))</f>
        <v>0</v>
      </c>
      <c r="GG107" s="205" t="str">
        <f t="shared" si="192"/>
        <v/>
      </c>
      <c r="GH107" s="205">
        <f>IF($J107="",#N/A,SUM(GG$4:GG107))</f>
        <v>-2.9368362277223206</v>
      </c>
      <c r="GI107" s="205">
        <f>IF($J107="",#N/A,SUM(GG$4:GG107,GE$4:GE107,GC$4:GC107))</f>
        <v>-2.9368362277223206</v>
      </c>
      <c r="GJ107" s="200" t="str">
        <f t="shared" si="193"/>
        <v/>
      </c>
      <c r="GK107" s="203">
        <f>IF($J107="",#N/A,SUM(GJ$4:GJ107))</f>
        <v>0</v>
      </c>
      <c r="GL107" s="204" t="str">
        <f t="shared" si="194"/>
        <v/>
      </c>
      <c r="GM107" s="204">
        <f>IF($J107="",#N/A,SUM(GL$4:GL107))</f>
        <v>-0.4054764861692941</v>
      </c>
      <c r="GN107" s="205" t="str">
        <f t="shared" si="195"/>
        <v/>
      </c>
      <c r="GO107" s="205">
        <f>IF($J107="",#N/A,SUM(GN$4:GN107))</f>
        <v>0</v>
      </c>
      <c r="GP107" s="205">
        <f>IF($J107="",#N/A,SUM(GN$4:GN107,GL$4:GL107,GJ$4:GJ107))</f>
        <v>-0.4054764861692941</v>
      </c>
      <c r="GS107" s="177">
        <f t="shared" si="214"/>
        <v>-1.2097286851272664</v>
      </c>
      <c r="GT107" s="177">
        <f>IF(GS107="",NA(),SUM($GS$4:GS107))</f>
        <v>-6.4066192192320406</v>
      </c>
      <c r="GU107" s="177">
        <f t="shared" si="196"/>
        <v>-1.2097286851272664</v>
      </c>
      <c r="GV107" s="177">
        <f>IF(GU107="",NA(),SUM($GU$4:GU107))</f>
        <v>-2.6729918163297475</v>
      </c>
      <c r="GW107" s="177" t="str">
        <f t="shared" si="197"/>
        <v/>
      </c>
      <c r="GX107" s="177" t="e">
        <f>IF(GW107="",NA(),SUM($GW$4:GW107))</f>
        <v>#N/A</v>
      </c>
      <c r="GY107" s="177" t="str">
        <f t="shared" si="198"/>
        <v/>
      </c>
      <c r="GZ107" s="177" t="e">
        <f>IF(GY107="",NA(),SUM($GY$4:GY107))</f>
        <v>#N/A</v>
      </c>
      <c r="HA107" s="177" t="str">
        <f t="shared" si="199"/>
        <v/>
      </c>
      <c r="HB107" s="177" t="e">
        <f>IF(HA107="",NA(),SUM($HA$4:HA107))</f>
        <v>#N/A</v>
      </c>
      <c r="HC107" s="177" t="str">
        <f t="shared" si="200"/>
        <v/>
      </c>
      <c r="HD107" s="177" t="e">
        <f>IF(HC107="",NA(),SUM($HC$4:HC107))</f>
        <v>#N/A</v>
      </c>
      <c r="HE107" s="177" t="str">
        <f t="shared" si="201"/>
        <v/>
      </c>
      <c r="HF107" s="177" t="e">
        <f>IF(HE107="",NA(),SUM($HE$4:HE107))</f>
        <v>#N/A</v>
      </c>
      <c r="HG107" s="177" t="str">
        <f t="shared" si="202"/>
        <v/>
      </c>
      <c r="HH107" s="177" t="e">
        <f>IF(HG107="",NA(),SUM($HG$4:HG107))</f>
        <v>#N/A</v>
      </c>
      <c r="HI107" s="183" t="str">
        <f t="shared" si="215"/>
        <v/>
      </c>
      <c r="HJ107" s="183">
        <f>IF($J107="",#N/A,SUM(HI$4:$HI107))</f>
        <v>-2.981322232424986</v>
      </c>
      <c r="HK107" s="177" t="str">
        <f t="shared" si="203"/>
        <v/>
      </c>
      <c r="HL107" s="177">
        <f>IF($J107="",#N/A,SUM($HK$4:HK107))</f>
        <v>-5.2584365376693087</v>
      </c>
      <c r="HM107" s="177" t="str">
        <f t="shared" si="204"/>
        <v/>
      </c>
      <c r="HN107" s="177">
        <f>IF($J107="",#N/A,SUM($HM$4:HM107))</f>
        <v>0.72020221657224703</v>
      </c>
      <c r="HO107" s="177">
        <f t="shared" si="205"/>
        <v>-0.65985201006941763</v>
      </c>
      <c r="HP107" s="177">
        <f>IF($J107="",#N/A,SUM($HO$4:HO107))</f>
        <v>-1.004778156728636</v>
      </c>
      <c r="HQ107" s="177" t="str">
        <f t="shared" si="206"/>
        <v/>
      </c>
      <c r="HR107" s="177">
        <f>IF($J107="",#N/A,SUM($HQ$4:HQ107))</f>
        <v>-6.1746076181104117</v>
      </c>
      <c r="HS107" s="177" t="str">
        <f t="shared" si="207"/>
        <v/>
      </c>
      <c r="HT107" s="177">
        <f>IF($J107="",#N/A,SUM($HS$4:HS107))</f>
        <v>6.0898829928009883</v>
      </c>
      <c r="HU107" s="64">
        <f t="shared" si="208"/>
        <v>-1.869580695196684</v>
      </c>
      <c r="HV107" s="64">
        <f>IF($J107="",#N/A,SUM(HU$4:$HU107))</f>
        <v>-14.537827672899343</v>
      </c>
    </row>
    <row r="108" spans="1:230" x14ac:dyDescent="0.25">
      <c r="A108" s="51" t="s">
        <v>1449</v>
      </c>
      <c r="B108" s="52" t="s">
        <v>4523</v>
      </c>
      <c r="C108" s="229">
        <f t="shared" si="109"/>
        <v>3</v>
      </c>
      <c r="D108" s="219" t="str">
        <f>_xlfn.XLOOKUP(A108,[1]SP500!$A$2:$A$502,[1]SP500!$D$2:$D$502,"N")</f>
        <v>Y</v>
      </c>
      <c r="E108" s="51" t="str">
        <f>IFERROR(_xlfn.XLOOKUP(A108,[1]SP500!$A$2:$A$655,[1]SP500!$B$2:$B$655),"")</f>
        <v>INS</v>
      </c>
      <c r="F108" s="290">
        <v>45771</v>
      </c>
      <c r="G108" s="51" t="str">
        <f t="shared" si="110"/>
        <v>AMC</v>
      </c>
      <c r="H108" s="51" t="str">
        <f t="shared" si="111"/>
        <v>s</v>
      </c>
      <c r="I108" s="124">
        <v>119.24</v>
      </c>
      <c r="J108" s="124">
        <v>119.06</v>
      </c>
      <c r="K108" s="55">
        <f t="shared" si="112"/>
        <v>-1.5095605501508941E-3</v>
      </c>
      <c r="L108" s="67">
        <f t="shared" si="113"/>
        <v>-1.4399999999999409</v>
      </c>
      <c r="M108" s="57">
        <f t="shared" si="114"/>
        <v>0</v>
      </c>
      <c r="N108" s="102">
        <f t="shared" si="115"/>
        <v>-1.4399999999999409</v>
      </c>
      <c r="O108" s="57">
        <f>IF(N108="",#N/A,SUM($N$4:N108))</f>
        <v>-527.33759402190651</v>
      </c>
      <c r="P108" s="65">
        <f t="shared" si="209"/>
        <v>-2.5159342502514902E-2</v>
      </c>
      <c r="Q108" s="172">
        <f>IF($N108="",#N/A,SUM($P$4:P108))</f>
        <v>-5.9539276798417546</v>
      </c>
      <c r="R108" s="279">
        <f t="shared" si="116"/>
        <v>1.6768178543017171</v>
      </c>
      <c r="S108" s="51" t="str">
        <f t="shared" si="117"/>
        <v>SW</v>
      </c>
      <c r="T108" s="51" t="s">
        <v>2828</v>
      </c>
      <c r="U108" s="56">
        <f t="shared" si="118"/>
        <v>119.24</v>
      </c>
      <c r="V108" s="56" t="s">
        <v>4460</v>
      </c>
      <c r="W108" s="142">
        <v>8</v>
      </c>
      <c r="X108" s="145">
        <f t="shared" si="119"/>
        <v>953.92</v>
      </c>
      <c r="Y108" s="140">
        <f t="shared" si="120"/>
        <v>8</v>
      </c>
      <c r="Z108" s="123">
        <v>119.06</v>
      </c>
      <c r="AA108" s="102">
        <f t="shared" si="121"/>
        <v>-1.4399999999999409</v>
      </c>
      <c r="AB108" s="102">
        <f t="shared" si="122"/>
        <v>-3.8399999999999181</v>
      </c>
      <c r="AC108" s="124">
        <v>118.76</v>
      </c>
      <c r="AD108" s="155">
        <f t="shared" si="123"/>
        <v>-3.8399999999999181</v>
      </c>
      <c r="AE108" s="545">
        <f t="shared" si="124"/>
        <v>-6.7091580006707729E-2</v>
      </c>
      <c r="AF108" s="57">
        <f>IF($AC108="",#N/A,SUM(AD$4:AD108))</f>
        <v>-968.24260457963499</v>
      </c>
      <c r="AG108" s="102">
        <f t="shared" si="125"/>
        <v>-2.3999999999999773</v>
      </c>
      <c r="AH108" s="56" t="s">
        <v>2507</v>
      </c>
      <c r="AI108" s="65">
        <f t="shared" si="126"/>
        <v>-2.5159342502514902E-2</v>
      </c>
      <c r="AJ108" s="54">
        <f>IF(AI108="",#N/A,SUM($AI$4:AI108))</f>
        <v>-7.6307455341434718</v>
      </c>
      <c r="AK108" s="57">
        <f t="shared" si="127"/>
        <v>-1.4399999999999409</v>
      </c>
      <c r="AL108" s="349">
        <f>IF(AI108="",#N/A,IF(AH108="Skip",SUM($AK$4:AK108),SUM($AK$4:AK108)))</f>
        <v>-660.60769999999934</v>
      </c>
      <c r="AM108" s="65">
        <f t="shared" si="210"/>
        <v>-6.7091580006707729E-2</v>
      </c>
      <c r="AN108" s="209"/>
      <c r="AO108" s="65">
        <f t="shared" si="128"/>
        <v>-6.7091580006707729E-2</v>
      </c>
      <c r="AP108" s="65">
        <f>IF($AC108="",#N/A,SUM(AO$4:AO108))</f>
        <v>-0.32438348288186863</v>
      </c>
      <c r="AQ108" s="65" t="str">
        <f t="shared" si="129"/>
        <v/>
      </c>
      <c r="AR108" s="65">
        <f>IF($AC108="",#N/A,SUM(AQ$4:AQ108))</f>
        <v>-2.957567756486136</v>
      </c>
      <c r="AS108" s="65" t="str">
        <f t="shared" si="130"/>
        <v/>
      </c>
      <c r="AT108" s="65">
        <f>IF($AC108="",#N/A,SUM(AS$4:AS108))</f>
        <v>-11.322968013538054</v>
      </c>
      <c r="AU108" s="57">
        <f t="shared" si="211"/>
        <v>-3.8399999999999181</v>
      </c>
      <c r="AV108" s="57">
        <f>IF($AC108="",#N/A,SUM(AU$4:AU108))</f>
        <v>-71.840432956632753</v>
      </c>
      <c r="AW108" s="57" t="str">
        <f t="shared" si="212"/>
        <v/>
      </c>
      <c r="AX108" s="57">
        <f>IF($AC108="",#N/A,SUM(AW$4:AW108))</f>
        <v>-184.54000000000019</v>
      </c>
      <c r="AY108" s="57" t="str">
        <f t="shared" si="213"/>
        <v/>
      </c>
      <c r="AZ108" s="57">
        <f>IF($AC108="",#N/A,SUM(AY$4:AY108))</f>
        <v>-711.86217162300204</v>
      </c>
      <c r="BA108" s="57">
        <f>IF(AD108="",#N/A,SUM($AD$4:AD108))</f>
        <v>-968.24260457963499</v>
      </c>
      <c r="BC108" s="51" t="str">
        <f t="shared" si="131"/>
        <v/>
      </c>
      <c r="BD108" s="51" t="str">
        <f t="shared" si="132"/>
        <v/>
      </c>
      <c r="BE108" s="51" t="str">
        <f t="shared" si="133"/>
        <v/>
      </c>
      <c r="BF108" s="51" t="str">
        <f t="shared" si="134"/>
        <v>Long</v>
      </c>
      <c r="BG108" s="51" t="str">
        <f t="shared" si="135"/>
        <v/>
      </c>
      <c r="BH108" s="51" t="str">
        <f t="shared" si="136"/>
        <v/>
      </c>
      <c r="BI108" s="51">
        <f t="shared" si="137"/>
        <v>1</v>
      </c>
      <c r="BK108" s="65">
        <f t="shared" si="108"/>
        <v>4.9968596688878077E-2</v>
      </c>
      <c r="BL108" s="65">
        <f t="shared" si="216"/>
        <v>-0.31996089939482331</v>
      </c>
      <c r="BM108" s="65">
        <f>IFERROR(Q108/COUNTA($J$4:J108),#N/A)</f>
        <v>-5.6704073141350043E-2</v>
      </c>
      <c r="BO108" s="489">
        <f>IF(J108="",#N/A,IF(S108="SW",(COUNTIFS(K$4:$K108,"&gt;0",S$4:$S108,"SW")/COUNTIF(S$4:$S108,"SW")),#N/A))</f>
        <v>0.4576271186440678</v>
      </c>
      <c r="BP108" s="489" t="e">
        <f>IF($J108="",#N/A,IF($S108="DWN",(COUNTIFS($K$4:$K108,"&lt;0",$S$4:$S108,"DWN")/COUNTIF($S$4:$S108,"DWN")),#N/A))</f>
        <v>#N/A</v>
      </c>
      <c r="BQ108" s="489" t="e">
        <f>IF($J108="",#N/A,IF($S108="UP",(COUNTIFS($K$4:$K108,"&gt;0",$S$4:$S108,"UP")/COUNTIF($S$4:$S108,"UP")),#N/A))</f>
        <v>#N/A</v>
      </c>
      <c r="BR108" s="489">
        <f>IF(J108="",#N/A,COUNTIF($K$4:K108,"&gt;0")/COUNT($J$4:J108))</f>
        <v>0.46666666666666667</v>
      </c>
      <c r="BS108" s="65" t="str">
        <f t="shared" si="138"/>
        <v/>
      </c>
      <c r="BT108" s="65">
        <f t="shared" si="139"/>
        <v>-2.5159342502514902E-2</v>
      </c>
      <c r="BU108" s="65" t="str">
        <f t="shared" si="140"/>
        <v/>
      </c>
      <c r="BV108" s="65" t="str">
        <f t="shared" si="141"/>
        <v/>
      </c>
      <c r="BW108" s="128" t="str">
        <f t="shared" si="142"/>
        <v/>
      </c>
      <c r="BX108" s="128">
        <f>IF($J108="",#N/A,SUM($BW$4:BW108))</f>
        <v>-167.28500000000031</v>
      </c>
      <c r="BY108" s="131" t="str">
        <f t="shared" si="143"/>
        <v/>
      </c>
      <c r="BZ108" s="131">
        <f>IF($J108="",#N/A,SUM($BY$4:BY108))</f>
        <v>-239.64385042154777</v>
      </c>
      <c r="CA108" s="133">
        <f t="shared" si="144"/>
        <v>-1.4399999999999409</v>
      </c>
      <c r="CB108" s="133">
        <f>IF($J108="",#N/A,SUM($CA$4:CA108))</f>
        <v>-120.40874360035843</v>
      </c>
      <c r="CC108" s="194" t="str">
        <f t="shared" si="145"/>
        <v/>
      </c>
      <c r="CD108" s="194">
        <f>IF($J108="",#N/A,SUM($CC$4:CC108))</f>
        <v>-2.6729918163297475</v>
      </c>
      <c r="CE108" s="195" t="str">
        <f t="shared" si="146"/>
        <v/>
      </c>
      <c r="CF108" s="195">
        <f>IF($J108="",#N/A,SUM($CE$4:CE108))</f>
        <v>-3.083209243443755</v>
      </c>
      <c r="CG108" s="196">
        <f t="shared" si="147"/>
        <v>-2.5159342502514902E-2</v>
      </c>
      <c r="CH108" s="193">
        <f>IF($J108="",#N/A,SUM($CG$4:CG108))</f>
        <v>-0.19772662006824826</v>
      </c>
      <c r="CI108" s="200" t="str">
        <f t="shared" si="148"/>
        <v/>
      </c>
      <c r="CJ108" s="203">
        <f>IF($J108="",#N/A,SUM(CI$4:CI108))</f>
        <v>0</v>
      </c>
      <c r="CK108" s="204" t="str">
        <f t="shared" si="149"/>
        <v/>
      </c>
      <c r="CL108" s="204">
        <f>IF($J108="",#N/A,SUM(CK$4:CK108))</f>
        <v>1.8934431343190481</v>
      </c>
      <c r="CM108" s="205" t="str">
        <f t="shared" si="150"/>
        <v/>
      </c>
      <c r="CN108" s="205">
        <f>IF($J108="",#N/A,SUM(CM$4:CM108))</f>
        <v>2.5724959960693745</v>
      </c>
      <c r="CO108" s="205">
        <f>IF($J108="",#N/A,SUM(CM$4:CM108,CK$4:CK108,CI$4:CI108))</f>
        <v>4.4659391303884224</v>
      </c>
      <c r="CP108" s="200" t="str">
        <f t="shared" si="151"/>
        <v/>
      </c>
      <c r="CQ108" s="203">
        <f>IF($J108="",#N/A,SUM(CP$4:CP108))</f>
        <v>0</v>
      </c>
      <c r="CR108" s="204" t="str">
        <f t="shared" si="152"/>
        <v/>
      </c>
      <c r="CS108" s="204">
        <f>IF($J108="",#N/A,SUM(CR$4:CR108))</f>
        <v>0</v>
      </c>
      <c r="CT108" s="205" t="str">
        <f t="shared" si="153"/>
        <v/>
      </c>
      <c r="CU108" s="205">
        <f>IF($J108="",#N/A,SUM(CT$4:CT108))</f>
        <v>0</v>
      </c>
      <c r="CV108" s="205">
        <f>IF($J108="",#N/A,SUM(CT$4:CT108,CR$4:CR108,CP$4:CP108))</f>
        <v>0</v>
      </c>
      <c r="CW108" s="200" t="str">
        <f t="shared" si="154"/>
        <v/>
      </c>
      <c r="CX108" s="203">
        <f>IF($J108="",#N/A,SUM(CW$4:CW108))</f>
        <v>0</v>
      </c>
      <c r="CY108" s="204" t="str">
        <f t="shared" si="155"/>
        <v/>
      </c>
      <c r="CZ108" s="204">
        <f>IF($J108="",#N/A,SUM(CY$4:CY108))</f>
        <v>-1.9289529100071134</v>
      </c>
      <c r="DA108" s="205" t="str">
        <f t="shared" si="156"/>
        <v/>
      </c>
      <c r="DB108" s="205">
        <f>IF($J108="",#N/A,SUM(DA$4:DA108))</f>
        <v>-0.16932974967219971</v>
      </c>
      <c r="DC108" s="205">
        <f>IF($J108="",#N/A,SUM(DA$4:DA108,CY$4:CY108,CW$4:CW108))</f>
        <v>-2.0982826596793132</v>
      </c>
      <c r="DD108" s="200" t="str">
        <f t="shared" si="157"/>
        <v/>
      </c>
      <c r="DE108" s="203">
        <f>IF($J108="",#N/A,SUM(DD$4:DD108))</f>
        <v>0.4905246481018824</v>
      </c>
      <c r="DF108" s="204" t="str">
        <f t="shared" si="158"/>
        <v/>
      </c>
      <c r="DG108" s="204">
        <f>IF($J108="",#N/A,SUM(DF$4:DF108))</f>
        <v>0.77374072477919809</v>
      </c>
      <c r="DH108" s="205" t="str">
        <f t="shared" si="159"/>
        <v/>
      </c>
      <c r="DI108" s="205">
        <f>IF($J108="",#N/A,SUM(DH$4:DH108))</f>
        <v>-1.8170936831137556</v>
      </c>
      <c r="DJ108" s="205">
        <f>IF($J108="",#N/A,SUM(DH$4:DH108,DF$4:DF108,DD$4:DD108))</f>
        <v>-0.55282831023267498</v>
      </c>
      <c r="DK108" s="200" t="str">
        <f t="shared" si="160"/>
        <v/>
      </c>
      <c r="DL108" s="203">
        <f>IF($J108="",#N/A,SUM(DK$4:DK108))</f>
        <v>-1.2097286851272664</v>
      </c>
      <c r="DM108" s="204" t="str">
        <f t="shared" si="161"/>
        <v/>
      </c>
      <c r="DN108" s="204">
        <f>IF($J108="",#N/A,SUM(DM$4:DM108))</f>
        <v>1.1910608267574658</v>
      </c>
      <c r="DO108" s="205" t="str">
        <f t="shared" si="162"/>
        <v/>
      </c>
      <c r="DP108" s="205">
        <f>IF($J108="",#N/A,SUM(DO$4:DO108))</f>
        <v>-0.43291760746858676</v>
      </c>
      <c r="DQ108" s="205">
        <f>IF($J108="",#N/A,SUM(DO$4:DO108,DM$4:DM108,DK$4:DK108))</f>
        <v>-0.45158546583838721</v>
      </c>
      <c r="DR108" s="200" t="str">
        <f t="shared" si="163"/>
        <v/>
      </c>
      <c r="DS108" s="203">
        <f>IF($J108="",#N/A,SUM(DR$4:DR108))</f>
        <v>-0.55950946427675097</v>
      </c>
      <c r="DT108" s="204" t="str">
        <f t="shared" si="164"/>
        <v/>
      </c>
      <c r="DU108" s="204">
        <f>IF($J108="",#N/A,SUM(DT$4:DT108))</f>
        <v>-2.8875364672150718</v>
      </c>
      <c r="DV108" s="205" t="str">
        <f t="shared" si="165"/>
        <v/>
      </c>
      <c r="DW108" s="205">
        <f>IF($J108="",#N/A,SUM(DV$4:DV108))</f>
        <v>-2.6814706788983136</v>
      </c>
      <c r="DX108" s="205">
        <f>IF($J108="",#N/A,SUM(DV$4:DV108,DT$4:DT108,DR$4:DR108))</f>
        <v>-6.1285166103901361</v>
      </c>
      <c r="DY108" s="200" t="str">
        <f t="shared" si="166"/>
        <v/>
      </c>
      <c r="DZ108" s="203">
        <f>IF($J108="",#N/A,SUM(DY$4:DY108))</f>
        <v>-1.4611133068588897</v>
      </c>
      <c r="EA108" s="204" t="str">
        <f t="shared" si="167"/>
        <v/>
      </c>
      <c r="EB108" s="204">
        <f>IF($J108="",#N/A,SUM(EA$4:EA108))</f>
        <v>-0.36153038830642437</v>
      </c>
      <c r="EC108" s="205" t="str">
        <f t="shared" si="168"/>
        <v/>
      </c>
      <c r="ED108" s="205">
        <f>IF($J108="",#N/A,SUM(EC$4:EC108))</f>
        <v>1.7103671484331777</v>
      </c>
      <c r="EE108" s="205">
        <f>IF($J108="",#N/A,SUM(EC$4:EC108,EA$4:EA108,DY$4:DY108))</f>
        <v>-0.11227654673213627</v>
      </c>
      <c r="EF108" s="200" t="str">
        <f t="shared" si="169"/>
        <v/>
      </c>
      <c r="EG108" s="203">
        <f>IF($J108="",#N/A,SUM(EF$4:EF108))</f>
        <v>0</v>
      </c>
      <c r="EH108" s="204" t="str">
        <f t="shared" si="170"/>
        <v/>
      </c>
      <c r="EI108" s="204">
        <f>IF($J108="",#N/A,SUM(EH$4:EH108))</f>
        <v>-2.6174111635897193</v>
      </c>
      <c r="EJ108" s="205" t="str">
        <f t="shared" si="171"/>
        <v/>
      </c>
      <c r="EK108" s="205">
        <f>IF($J108="",#N/A,SUM(EJ$4:EJ108))</f>
        <v>2.2116398676705207</v>
      </c>
      <c r="EL108" s="205">
        <f>IF($J108="",#N/A,SUM(EJ$4:EJ108,EH$4:EH108,EF$4:EF108))</f>
        <v>-0.40577129591919803</v>
      </c>
      <c r="EM108" s="200" t="str">
        <f t="shared" si="172"/>
        <v/>
      </c>
      <c r="EN108" s="203">
        <f>IF($J108="",#N/A,SUM(EM$4:EM108))</f>
        <v>0</v>
      </c>
      <c r="EO108" s="204" t="str">
        <f t="shared" si="173"/>
        <v/>
      </c>
      <c r="EP108" s="204">
        <f>IF($J108="",#N/A,SUM(EO$4:EO108))</f>
        <v>0.83968166820063983</v>
      </c>
      <c r="EQ108" s="205" t="str">
        <f t="shared" si="174"/>
        <v/>
      </c>
      <c r="ER108" s="205">
        <f>IF($J108="",#N/A,SUM(EQ$4:EQ108))</f>
        <v>0.4926597949853756</v>
      </c>
      <c r="ES108" s="205">
        <f>IF($J108="",#N/A,SUM(EQ$4:EQ108,EO$4:EO108,EM$4:EM108))</f>
        <v>1.3323414631860153</v>
      </c>
      <c r="ET108" s="200" t="str">
        <f t="shared" si="175"/>
        <v/>
      </c>
      <c r="EU108" s="203">
        <f>IF($J108="",#N/A,SUM(ET$4:ET108))</f>
        <v>0</v>
      </c>
      <c r="EV108" s="204" t="str">
        <f t="shared" si="176"/>
        <v/>
      </c>
      <c r="EW108" s="204">
        <f>IF($J108="",#N/A,SUM(EV$4:EV108))</f>
        <v>-0.73430241270792684</v>
      </c>
      <c r="EX108" s="205" t="str">
        <f t="shared" si="177"/>
        <v/>
      </c>
      <c r="EY108" s="205">
        <f>IF($J108="",#N/A,SUM(EX$4:EX108))</f>
        <v>1.367071968452185</v>
      </c>
      <c r="EZ108" s="205">
        <f>IF($J108="",#N/A,SUM(EX$4:EX108,EV$4:EV108,ET$4:ET108))</f>
        <v>0.63276955574425819</v>
      </c>
      <c r="FA108" s="200" t="str">
        <f t="shared" si="178"/>
        <v/>
      </c>
      <c r="FB108" s="203">
        <f>IF($J108="",#N/A,SUM(FA$4:FA108))</f>
        <v>0</v>
      </c>
      <c r="FC108" s="204" t="str">
        <f t="shared" si="179"/>
        <v/>
      </c>
      <c r="FD108" s="204">
        <f>IF($J108="",#N/A,SUM(FC$4:FC108))</f>
        <v>1.154074230495441</v>
      </c>
      <c r="FE108" s="205" t="str">
        <f t="shared" si="180"/>
        <v/>
      </c>
      <c r="FF108" s="205">
        <f>IF($J108="",#N/A,SUM(FE$4:FE108))</f>
        <v>-0.28811149078748233</v>
      </c>
      <c r="FG108" s="205">
        <f>IF($J108="",#N/A,SUM(FE$4:FE108,FC$4:FC108,FA$4:FA108))</f>
        <v>0.86596273970795878</v>
      </c>
      <c r="FH108" s="200" t="str">
        <f t="shared" si="181"/>
        <v/>
      </c>
      <c r="FI108" s="203">
        <f>IF($J108="",#N/A,SUM(FH$4:FH108))</f>
        <v>0</v>
      </c>
      <c r="FJ108" s="204" t="str">
        <f t="shared" si="182"/>
        <v/>
      </c>
      <c r="FK108" s="204">
        <f>IF($J108="",#N/A,SUM(FJ$4:FJ108))</f>
        <v>0</v>
      </c>
      <c r="FL108" s="205" t="str">
        <f t="shared" si="183"/>
        <v/>
      </c>
      <c r="FM108" s="205">
        <f>IF($J108="",#N/A,SUM(FL$4:FL108))</f>
        <v>0</v>
      </c>
      <c r="FN108" s="205">
        <f>IF($J108="",#N/A,SUM(FL$4:FL108,FJ$4:FJ108,FH$4:FH108))</f>
        <v>0</v>
      </c>
      <c r="FO108" s="200" t="str">
        <f t="shared" si="184"/>
        <v/>
      </c>
      <c r="FP108" s="203">
        <f>IF($J108="",#N/A,SUM(FO$4:FO108))</f>
        <v>0</v>
      </c>
      <c r="FQ108" s="204" t="str">
        <f t="shared" si="185"/>
        <v/>
      </c>
      <c r="FR108" s="204">
        <f>IF($J108="",#N/A,SUM(FQ$4:FQ108))</f>
        <v>0</v>
      </c>
      <c r="FS108" s="205" t="str">
        <f t="shared" si="186"/>
        <v/>
      </c>
      <c r="FT108" s="205">
        <f>IF($J108="",#N/A,SUM(FS$4:FS108))</f>
        <v>0</v>
      </c>
      <c r="FU108" s="205">
        <f>IF($J108="",#N/A,SUM(FS$4:FS108,FQ$4:FQ108,FO$4:FO108))</f>
        <v>0</v>
      </c>
      <c r="FV108" s="200" t="str">
        <f t="shared" si="187"/>
        <v/>
      </c>
      <c r="FW108" s="203">
        <f>IF($J108="",#N/A,SUM(FV$4:FV108))</f>
        <v>6.6834991831277585E-2</v>
      </c>
      <c r="FX108" s="204" t="str">
        <f t="shared" si="188"/>
        <v/>
      </c>
      <c r="FY108" s="204">
        <f>IF($J108="",#N/A,SUM(FX$4:FX108))</f>
        <v>0</v>
      </c>
      <c r="FZ108" s="205">
        <f t="shared" si="189"/>
        <v>-2.5159342502514902E-2</v>
      </c>
      <c r="GA108" s="205">
        <f>IF($J108="",#N/A,SUM(FZ$4:FZ108))</f>
        <v>-0.22620195801622528</v>
      </c>
      <c r="GB108" s="205">
        <f>IF($J108="",#N/A,SUM(FZ$4:FZ108,FX$4:FX108,FV$4:FV108))</f>
        <v>-0.15936696618494769</v>
      </c>
      <c r="GC108" s="200" t="str">
        <f t="shared" si="190"/>
        <v/>
      </c>
      <c r="GD108" s="203">
        <f>IF($J108="",#N/A,SUM(GC$4:GC108))</f>
        <v>0</v>
      </c>
      <c r="GE108" s="204" t="str">
        <f t="shared" si="191"/>
        <v/>
      </c>
      <c r="GF108" s="204">
        <f>IF($J108="",#N/A,SUM(GE$4:GE108))</f>
        <v>0</v>
      </c>
      <c r="GG108" s="205" t="str">
        <f t="shared" si="192"/>
        <v/>
      </c>
      <c r="GH108" s="205">
        <f>IF($J108="",#N/A,SUM(GG$4:GG108))</f>
        <v>-2.9368362277223206</v>
      </c>
      <c r="GI108" s="205">
        <f>IF($J108="",#N/A,SUM(GG$4:GG108,GE$4:GE108,GC$4:GC108))</f>
        <v>-2.9368362277223206</v>
      </c>
      <c r="GJ108" s="200" t="str">
        <f t="shared" si="193"/>
        <v/>
      </c>
      <c r="GK108" s="203">
        <f>IF($J108="",#N/A,SUM(GJ$4:GJ108))</f>
        <v>0</v>
      </c>
      <c r="GL108" s="204" t="str">
        <f t="shared" si="194"/>
        <v/>
      </c>
      <c r="GM108" s="204">
        <f>IF($J108="",#N/A,SUM(GL$4:GL108))</f>
        <v>-0.4054764861692941</v>
      </c>
      <c r="GN108" s="205" t="str">
        <f t="shared" si="195"/>
        <v/>
      </c>
      <c r="GO108" s="205">
        <f>IF($J108="",#N/A,SUM(GN$4:GN108))</f>
        <v>0</v>
      </c>
      <c r="GP108" s="205">
        <f>IF($J108="",#N/A,SUM(GN$4:GN108,GL$4:GL108,GJ$4:GJ108))</f>
        <v>-0.4054764861692941</v>
      </c>
      <c r="GS108" s="54">
        <f t="shared" si="214"/>
        <v>-2.5159342502514902E-2</v>
      </c>
      <c r="GT108" s="54">
        <f>IF(GS108="",NA(),SUM($GS$4:GS108))</f>
        <v>-6.4317785617345553</v>
      </c>
      <c r="GU108" s="54" t="str">
        <f t="shared" si="196"/>
        <v/>
      </c>
      <c r="GV108" s="54" t="e">
        <f>IF(GU108="",NA(),SUM($GU$4:GU108))</f>
        <v>#N/A</v>
      </c>
      <c r="GW108" s="54">
        <f t="shared" si="197"/>
        <v>-2.5159342502514902E-2</v>
      </c>
      <c r="GX108" s="54">
        <f>IF(GW108="",NA(),SUM($GW$4:GW108))</f>
        <v>-0.3997154329955338</v>
      </c>
      <c r="GY108" s="54" t="str">
        <f t="shared" si="198"/>
        <v/>
      </c>
      <c r="GZ108" s="54" t="e">
        <f>IF(GY108="",NA(),SUM($GY$4:GY108))</f>
        <v>#N/A</v>
      </c>
      <c r="HA108" s="54" t="str">
        <f t="shared" si="199"/>
        <v/>
      </c>
      <c r="HB108" s="54" t="e">
        <f>IF(HA108="",NA(),SUM($HA$4:HA108))</f>
        <v>#N/A</v>
      </c>
      <c r="HC108" s="54" t="str">
        <f t="shared" si="200"/>
        <v/>
      </c>
      <c r="HD108" s="54" t="e">
        <f>IF(HC108="",NA(),SUM($HC$4:HC108))</f>
        <v>#N/A</v>
      </c>
      <c r="HE108" s="54" t="str">
        <f t="shared" si="201"/>
        <v/>
      </c>
      <c r="HF108" s="54" t="e">
        <f>IF(HE108="",NA(),SUM($HE$4:HE108))</f>
        <v>#N/A</v>
      </c>
      <c r="HG108" s="54" t="str">
        <f t="shared" si="202"/>
        <v/>
      </c>
      <c r="HH108" s="54" t="e">
        <f>IF(HG108="",NA(),SUM($HG$4:HG108))</f>
        <v>#N/A</v>
      </c>
      <c r="HI108" s="172" t="str">
        <f t="shared" si="215"/>
        <v/>
      </c>
      <c r="HJ108" s="172">
        <f>IF($J108="",#N/A,SUM(HI$4:$HI108))</f>
        <v>-2.981322232424986</v>
      </c>
      <c r="HK108" s="54" t="str">
        <f t="shared" si="203"/>
        <v/>
      </c>
      <c r="HL108" s="54">
        <f>IF($J108="",#N/A,SUM($HK$4:HK108))</f>
        <v>-5.2584365376693087</v>
      </c>
      <c r="HM108" s="54" t="str">
        <f t="shared" si="204"/>
        <v/>
      </c>
      <c r="HN108" s="54">
        <f>IF($J108="",#N/A,SUM($HM$4:HM108))</f>
        <v>0.72020221657224703</v>
      </c>
      <c r="HO108" s="54" t="str">
        <f t="shared" si="205"/>
        <v/>
      </c>
      <c r="HP108" s="54">
        <f>IF($J108="",#N/A,SUM($HO$4:HO108))</f>
        <v>-1.004778156728636</v>
      </c>
      <c r="HQ108" s="54" t="str">
        <f t="shared" si="206"/>
        <v/>
      </c>
      <c r="HR108" s="54">
        <f>IF($J108="",#N/A,SUM($HQ$4:HQ108))</f>
        <v>-6.1746076181104117</v>
      </c>
      <c r="HS108" s="54">
        <f t="shared" si="207"/>
        <v>-4.1932237504192824E-2</v>
      </c>
      <c r="HT108" s="54">
        <f>IF($J108="",#N/A,SUM($HS$4:HS108))</f>
        <v>6.0479507552967959</v>
      </c>
      <c r="HU108" s="65">
        <f t="shared" si="208"/>
        <v>-6.7091580006707729E-2</v>
      </c>
      <c r="HV108" s="65">
        <f>IF($J108="",#N/A,SUM(HU$4:$HU108))</f>
        <v>-14.604919252906051</v>
      </c>
    </row>
    <row r="109" spans="1:230" x14ac:dyDescent="0.25">
      <c r="A109" s="51" t="s">
        <v>1578</v>
      </c>
      <c r="B109" s="52" t="s">
        <v>4523</v>
      </c>
      <c r="C109" s="229">
        <f t="shared" si="109"/>
        <v>2</v>
      </c>
      <c r="D109" s="219" t="str">
        <f>_xlfn.XLOOKUP(A109,[1]SP500!$A$2:$A$502,[1]SP500!$D$2:$D$502,"N")</f>
        <v>Y</v>
      </c>
      <c r="E109" s="51" t="str">
        <f>IFERROR(_xlfn.XLOOKUP(A109,[1]SP500!$A$2:$A$655,[1]SP500!$B$2:$B$655),"")</f>
        <v>XLB</v>
      </c>
      <c r="F109" s="290">
        <v>45771</v>
      </c>
      <c r="G109" s="51" t="str">
        <f t="shared" si="110"/>
        <v>AMC</v>
      </c>
      <c r="H109" s="51" t="str">
        <f t="shared" si="111"/>
        <v>s</v>
      </c>
      <c r="I109" s="124">
        <v>80.819999999999993</v>
      </c>
      <c r="J109" s="124">
        <v>77.135000000000005</v>
      </c>
      <c r="K109" s="55">
        <f t="shared" si="112"/>
        <v>-4.5595149715416831E-2</v>
      </c>
      <c r="L109" s="67">
        <f t="shared" si="113"/>
        <v>40.534999999999968</v>
      </c>
      <c r="M109" s="57">
        <f t="shared" si="114"/>
        <v>5.3349999999999227</v>
      </c>
      <c r="N109" s="102">
        <f t="shared" si="115"/>
        <v>40.534999999999968</v>
      </c>
      <c r="O109" s="57">
        <f>IF(N109="",#N/A,SUM($N$4:N109))</f>
        <v>-486.80259402190654</v>
      </c>
      <c r="P109" s="65">
        <f t="shared" si="209"/>
        <v>0.75991916192361575</v>
      </c>
      <c r="Q109" s="172">
        <f>IF($N109="",#N/A,SUM($P$4:P109))</f>
        <v>-5.1940085179181388</v>
      </c>
      <c r="R109" s="279">
        <f t="shared" si="116"/>
        <v>1.5768013567351096</v>
      </c>
      <c r="S109" s="51" t="str">
        <f t="shared" si="117"/>
        <v>Dwn</v>
      </c>
      <c r="T109" s="51" t="s">
        <v>4462</v>
      </c>
      <c r="U109" s="56">
        <f t="shared" si="118"/>
        <v>80.819999999999993</v>
      </c>
      <c r="V109" s="56" t="s">
        <v>4458</v>
      </c>
      <c r="W109" s="142">
        <v>11</v>
      </c>
      <c r="X109" s="145">
        <f t="shared" si="119"/>
        <v>889.02</v>
      </c>
      <c r="Y109" s="140">
        <f t="shared" si="120"/>
        <v>11</v>
      </c>
      <c r="Z109" s="123">
        <v>76.650000000000006</v>
      </c>
      <c r="AA109" s="102">
        <f t="shared" si="121"/>
        <v>45.869999999999891</v>
      </c>
      <c r="AB109" s="102">
        <f t="shared" si="122"/>
        <v>54.779999999999973</v>
      </c>
      <c r="AC109" s="124">
        <v>75.84</v>
      </c>
      <c r="AD109" s="155">
        <f t="shared" si="123"/>
        <v>54.779999999999973</v>
      </c>
      <c r="AE109" s="545">
        <f t="shared" si="124"/>
        <v>1.0269735214055924</v>
      </c>
      <c r="AF109" s="57">
        <f>IF($AC109="",#N/A,SUM(AD$4:AD109))</f>
        <v>-913.46260457963501</v>
      </c>
      <c r="AG109" s="102">
        <f t="shared" si="125"/>
        <v>14.245000000000005</v>
      </c>
      <c r="AH109" s="56" t="s">
        <v>2507</v>
      </c>
      <c r="AI109" s="65">
        <f t="shared" si="126"/>
        <v>0.85993565949022321</v>
      </c>
      <c r="AJ109" s="54">
        <f>IF(AI109="",#N/A,SUM($AI$4:AI109))</f>
        <v>-6.7708098746532484</v>
      </c>
      <c r="AK109" s="57">
        <f t="shared" si="127"/>
        <v>45.869999999999891</v>
      </c>
      <c r="AL109" s="349">
        <f>IF(AI109="",#N/A,IF(AH109="Skip",SUM($AK$4:AK109),SUM($AK$4:AK109)))</f>
        <v>-614.73769999999945</v>
      </c>
      <c r="AM109" s="65">
        <f t="shared" si="210"/>
        <v>1.0269735214055924</v>
      </c>
      <c r="AN109" s="209"/>
      <c r="AO109" s="65" t="str">
        <f t="shared" si="128"/>
        <v/>
      </c>
      <c r="AP109" s="65">
        <f>IF($AC109="",#N/A,SUM(AO$4:AO109))</f>
        <v>-0.32438348288186863</v>
      </c>
      <c r="AQ109" s="65" t="str">
        <f t="shared" si="129"/>
        <v/>
      </c>
      <c r="AR109" s="65">
        <f>IF($AC109="",#N/A,SUM(AQ$4:AQ109))</f>
        <v>-2.957567756486136</v>
      </c>
      <c r="AS109" s="65">
        <f t="shared" si="130"/>
        <v>1.0269735214055924</v>
      </c>
      <c r="AT109" s="65">
        <f>IF($AC109="",#N/A,SUM(AS$4:AS109))</f>
        <v>-10.295994492132461</v>
      </c>
      <c r="AU109" s="57" t="str">
        <f t="shared" si="211"/>
        <v/>
      </c>
      <c r="AV109" s="57">
        <f>IF($AC109="",#N/A,SUM(AU$4:AU109))</f>
        <v>-71.840432956632753</v>
      </c>
      <c r="AW109" s="57" t="str">
        <f t="shared" si="212"/>
        <v/>
      </c>
      <c r="AX109" s="57">
        <f>IF($AC109="",#N/A,SUM(AW$4:AW109))</f>
        <v>-184.54000000000019</v>
      </c>
      <c r="AY109" s="57">
        <f t="shared" si="213"/>
        <v>54.779999999999973</v>
      </c>
      <c r="AZ109" s="57">
        <f>IF($AC109="",#N/A,SUM(AY$4:AY109))</f>
        <v>-657.08217162300207</v>
      </c>
      <c r="BA109" s="57">
        <f>IF(AD109="",#N/A,SUM($AD$4:AD109))</f>
        <v>-913.46260457963501</v>
      </c>
      <c r="BC109" s="51" t="str">
        <f t="shared" si="131"/>
        <v/>
      </c>
      <c r="BD109" s="51" t="str">
        <f t="shared" si="132"/>
        <v/>
      </c>
      <c r="BE109" s="51" t="str">
        <f t="shared" si="133"/>
        <v/>
      </c>
      <c r="BF109" s="51" t="str">
        <f t="shared" si="134"/>
        <v>Short</v>
      </c>
      <c r="BG109" s="51">
        <f t="shared" si="135"/>
        <v>1</v>
      </c>
      <c r="BH109" s="51" t="str">
        <f t="shared" si="136"/>
        <v/>
      </c>
      <c r="BI109" s="51" t="str">
        <f t="shared" si="137"/>
        <v/>
      </c>
      <c r="BK109" s="65">
        <f t="shared" si="108"/>
        <v>7.8722767205765432E-2</v>
      </c>
      <c r="BL109" s="65">
        <f t="shared" si="216"/>
        <v>-0.25417762520664766</v>
      </c>
      <c r="BM109" s="65">
        <f>IFERROR(Q109/COUNTA($J$4:J109),#N/A)</f>
        <v>-4.9000080357718287E-2</v>
      </c>
      <c r="BO109" s="489" t="e">
        <f>IF(J109="",#N/A,IF(S109="SW",(COUNTIFS(K$4:$K109,"&gt;0",S$4:$S109,"SW")/COUNTIF(S$4:$S109,"SW")),#N/A))</f>
        <v>#N/A</v>
      </c>
      <c r="BP109" s="489">
        <f>IF($J109="",#N/A,IF($S109="DWN",(COUNTIFS($K$4:$K109,"&lt;0",$S$4:$S109,"DWN")/COUNTIF($S$4:$S109,"DWN")),#N/A))</f>
        <v>0.52380952380952384</v>
      </c>
      <c r="BQ109" s="489" t="e">
        <f>IF($J109="",#N/A,IF($S109="UP",(COUNTIFS($K$4:$K109,"&gt;0",$S$4:$S109,"UP")/COUNTIF($S$4:$S109,"UP")),#N/A))</f>
        <v>#N/A</v>
      </c>
      <c r="BR109" s="489">
        <f>IF(J109="",#N/A,COUNTIF($K$4:K109,"&gt;0")/COUNT($J$4:J109))</f>
        <v>0.46226415094339623</v>
      </c>
      <c r="BS109" s="65" t="str">
        <f t="shared" si="138"/>
        <v/>
      </c>
      <c r="BT109" s="65" t="str">
        <f t="shared" si="139"/>
        <v/>
      </c>
      <c r="BU109" s="65">
        <f t="shared" si="140"/>
        <v>0.75991916192361575</v>
      </c>
      <c r="BV109" s="65" t="str">
        <f t="shared" si="141"/>
        <v/>
      </c>
      <c r="BW109" s="128" t="str">
        <f t="shared" si="142"/>
        <v/>
      </c>
      <c r="BX109" s="128">
        <f>IF($J109="",#N/A,SUM($BW$4:BW109))</f>
        <v>-167.28500000000031</v>
      </c>
      <c r="BY109" s="131">
        <f t="shared" si="143"/>
        <v>40.534999999999968</v>
      </c>
      <c r="BZ109" s="131">
        <f>IF($J109="",#N/A,SUM($BY$4:BY109))</f>
        <v>-199.1088504215478</v>
      </c>
      <c r="CA109" s="133" t="str">
        <f t="shared" si="144"/>
        <v/>
      </c>
      <c r="CB109" s="133">
        <f>IF($J109="",#N/A,SUM($CA$4:CA109))</f>
        <v>-120.40874360035843</v>
      </c>
      <c r="CC109" s="194" t="str">
        <f t="shared" si="145"/>
        <v/>
      </c>
      <c r="CD109" s="194">
        <f>IF($J109="",#N/A,SUM($CC$4:CC109))</f>
        <v>-2.6729918163297475</v>
      </c>
      <c r="CE109" s="195">
        <f t="shared" si="146"/>
        <v>0.75991916192361575</v>
      </c>
      <c r="CF109" s="195">
        <f>IF($J109="",#N/A,SUM($CE$4:CE109))</f>
        <v>-2.3232900815201392</v>
      </c>
      <c r="CG109" s="196" t="str">
        <f t="shared" si="147"/>
        <v/>
      </c>
      <c r="CH109" s="193">
        <f>IF($J109="",#N/A,SUM($CG$4:CG109))</f>
        <v>-0.19772662006824826</v>
      </c>
      <c r="CI109" s="200" t="str">
        <f t="shared" si="148"/>
        <v/>
      </c>
      <c r="CJ109" s="203">
        <f>IF($J109="",#N/A,SUM(CI$4:CI109))</f>
        <v>0</v>
      </c>
      <c r="CK109" s="204" t="str">
        <f t="shared" si="149"/>
        <v/>
      </c>
      <c r="CL109" s="204">
        <f>IF($J109="",#N/A,SUM(CK$4:CK109))</f>
        <v>1.8934431343190481</v>
      </c>
      <c r="CM109" s="205" t="str">
        <f t="shared" si="150"/>
        <v/>
      </c>
      <c r="CN109" s="205">
        <f>IF($J109="",#N/A,SUM(CM$4:CM109))</f>
        <v>2.5724959960693745</v>
      </c>
      <c r="CO109" s="205">
        <f>IF($J109="",#N/A,SUM(CM$4:CM109,CK$4:CK109,CI$4:CI109))</f>
        <v>4.4659391303884224</v>
      </c>
      <c r="CP109" s="200" t="str">
        <f t="shared" si="151"/>
        <v/>
      </c>
      <c r="CQ109" s="203">
        <f>IF($J109="",#N/A,SUM(CP$4:CP109))</f>
        <v>0</v>
      </c>
      <c r="CR109" s="204" t="str">
        <f t="shared" si="152"/>
        <v/>
      </c>
      <c r="CS109" s="204">
        <f>IF($J109="",#N/A,SUM(CR$4:CR109))</f>
        <v>0</v>
      </c>
      <c r="CT109" s="205" t="str">
        <f t="shared" si="153"/>
        <v/>
      </c>
      <c r="CU109" s="205">
        <f>IF($J109="",#N/A,SUM(CT$4:CT109))</f>
        <v>0</v>
      </c>
      <c r="CV109" s="205">
        <f>IF($J109="",#N/A,SUM(CT$4:CT109,CR$4:CR109,CP$4:CP109))</f>
        <v>0</v>
      </c>
      <c r="CW109" s="200" t="str">
        <f t="shared" si="154"/>
        <v/>
      </c>
      <c r="CX109" s="203">
        <f>IF($J109="",#N/A,SUM(CW$4:CW109))</f>
        <v>0</v>
      </c>
      <c r="CY109" s="204" t="str">
        <f t="shared" si="155"/>
        <v/>
      </c>
      <c r="CZ109" s="204">
        <f>IF($J109="",#N/A,SUM(CY$4:CY109))</f>
        <v>-1.9289529100071134</v>
      </c>
      <c r="DA109" s="205" t="str">
        <f t="shared" si="156"/>
        <v/>
      </c>
      <c r="DB109" s="205">
        <f>IF($J109="",#N/A,SUM(DA$4:DA109))</f>
        <v>-0.16932974967219971</v>
      </c>
      <c r="DC109" s="205">
        <f>IF($J109="",#N/A,SUM(DA$4:DA109,CY$4:CY109,CW$4:CW109))</f>
        <v>-2.0982826596793132</v>
      </c>
      <c r="DD109" s="200" t="str">
        <f t="shared" si="157"/>
        <v/>
      </c>
      <c r="DE109" s="203">
        <f>IF($J109="",#N/A,SUM(DD$4:DD109))</f>
        <v>0.4905246481018824</v>
      </c>
      <c r="DF109" s="204" t="str">
        <f t="shared" si="158"/>
        <v/>
      </c>
      <c r="DG109" s="204">
        <f>IF($J109="",#N/A,SUM(DF$4:DF109))</f>
        <v>0.77374072477919809</v>
      </c>
      <c r="DH109" s="205" t="str">
        <f t="shared" si="159"/>
        <v/>
      </c>
      <c r="DI109" s="205">
        <f>IF($J109="",#N/A,SUM(DH$4:DH109))</f>
        <v>-1.8170936831137556</v>
      </c>
      <c r="DJ109" s="205">
        <f>IF($J109="",#N/A,SUM(DH$4:DH109,DF$4:DF109,DD$4:DD109))</f>
        <v>-0.55282831023267498</v>
      </c>
      <c r="DK109" s="200" t="str">
        <f t="shared" si="160"/>
        <v/>
      </c>
      <c r="DL109" s="203">
        <f>IF($J109="",#N/A,SUM(DK$4:DK109))</f>
        <v>-1.2097286851272664</v>
      </c>
      <c r="DM109" s="204" t="str">
        <f t="shared" si="161"/>
        <v/>
      </c>
      <c r="DN109" s="204">
        <f>IF($J109="",#N/A,SUM(DM$4:DM109))</f>
        <v>1.1910608267574658</v>
      </c>
      <c r="DO109" s="205" t="str">
        <f t="shared" si="162"/>
        <v/>
      </c>
      <c r="DP109" s="205">
        <f>IF($J109="",#N/A,SUM(DO$4:DO109))</f>
        <v>-0.43291760746858676</v>
      </c>
      <c r="DQ109" s="205">
        <f>IF($J109="",#N/A,SUM(DO$4:DO109,DM$4:DM109,DK$4:DK109))</f>
        <v>-0.45158546583838721</v>
      </c>
      <c r="DR109" s="200" t="str">
        <f t="shared" si="163"/>
        <v/>
      </c>
      <c r="DS109" s="203">
        <f>IF($J109="",#N/A,SUM(DR$4:DR109))</f>
        <v>-0.55950946427675097</v>
      </c>
      <c r="DT109" s="204" t="str">
        <f t="shared" si="164"/>
        <v/>
      </c>
      <c r="DU109" s="204">
        <f>IF($J109="",#N/A,SUM(DT$4:DT109))</f>
        <v>-2.8875364672150718</v>
      </c>
      <c r="DV109" s="205" t="str">
        <f t="shared" si="165"/>
        <v/>
      </c>
      <c r="DW109" s="205">
        <f>IF($J109="",#N/A,SUM(DV$4:DV109))</f>
        <v>-2.6814706788983136</v>
      </c>
      <c r="DX109" s="205">
        <f>IF($J109="",#N/A,SUM(DV$4:DV109,DT$4:DT109,DR$4:DR109))</f>
        <v>-6.1285166103901361</v>
      </c>
      <c r="DY109" s="200" t="str">
        <f t="shared" si="166"/>
        <v/>
      </c>
      <c r="DZ109" s="203">
        <f>IF($J109="",#N/A,SUM(DY$4:DY109))</f>
        <v>-1.4611133068588897</v>
      </c>
      <c r="EA109" s="204" t="str">
        <f t="shared" si="167"/>
        <v/>
      </c>
      <c r="EB109" s="204">
        <f>IF($J109="",#N/A,SUM(EA$4:EA109))</f>
        <v>-0.36153038830642437</v>
      </c>
      <c r="EC109" s="205" t="str">
        <f t="shared" si="168"/>
        <v/>
      </c>
      <c r="ED109" s="205">
        <f>IF($J109="",#N/A,SUM(EC$4:EC109))</f>
        <v>1.7103671484331777</v>
      </c>
      <c r="EE109" s="205">
        <f>IF($J109="",#N/A,SUM(EC$4:EC109,EA$4:EA109,DY$4:DY109))</f>
        <v>-0.11227654673213627</v>
      </c>
      <c r="EF109" s="200" t="str">
        <f t="shared" si="169"/>
        <v/>
      </c>
      <c r="EG109" s="203">
        <f>IF($J109="",#N/A,SUM(EF$4:EF109))</f>
        <v>0</v>
      </c>
      <c r="EH109" s="204" t="str">
        <f t="shared" si="170"/>
        <v/>
      </c>
      <c r="EI109" s="204">
        <f>IF($J109="",#N/A,SUM(EH$4:EH109))</f>
        <v>-2.6174111635897193</v>
      </c>
      <c r="EJ109" s="205" t="str">
        <f t="shared" si="171"/>
        <v/>
      </c>
      <c r="EK109" s="205">
        <f>IF($J109="",#N/A,SUM(EJ$4:EJ109))</f>
        <v>2.2116398676705207</v>
      </c>
      <c r="EL109" s="205">
        <f>IF($J109="",#N/A,SUM(EJ$4:EJ109,EH$4:EH109,EF$4:EF109))</f>
        <v>-0.40577129591919803</v>
      </c>
      <c r="EM109" s="200" t="str">
        <f t="shared" si="172"/>
        <v/>
      </c>
      <c r="EN109" s="203">
        <f>IF($J109="",#N/A,SUM(EM$4:EM109))</f>
        <v>0</v>
      </c>
      <c r="EO109" s="204">
        <f t="shared" si="173"/>
        <v>0.75991916192361575</v>
      </c>
      <c r="EP109" s="204">
        <f>IF($J109="",#N/A,SUM(EO$4:EO109))</f>
        <v>1.5996008301242557</v>
      </c>
      <c r="EQ109" s="205" t="str">
        <f t="shared" si="174"/>
        <v/>
      </c>
      <c r="ER109" s="205">
        <f>IF($J109="",#N/A,SUM(EQ$4:EQ109))</f>
        <v>0.4926597949853756</v>
      </c>
      <c r="ES109" s="205">
        <f>IF($J109="",#N/A,SUM(EQ$4:EQ109,EO$4:EO109,EM$4:EM109))</f>
        <v>2.0922606251096312</v>
      </c>
      <c r="ET109" s="200" t="str">
        <f t="shared" si="175"/>
        <v/>
      </c>
      <c r="EU109" s="203">
        <f>IF($J109="",#N/A,SUM(ET$4:ET109))</f>
        <v>0</v>
      </c>
      <c r="EV109" s="204" t="str">
        <f t="shared" si="176"/>
        <v/>
      </c>
      <c r="EW109" s="204">
        <f>IF($J109="",#N/A,SUM(EV$4:EV109))</f>
        <v>-0.73430241270792684</v>
      </c>
      <c r="EX109" s="205" t="str">
        <f t="shared" si="177"/>
        <v/>
      </c>
      <c r="EY109" s="205">
        <f>IF($J109="",#N/A,SUM(EX$4:EX109))</f>
        <v>1.367071968452185</v>
      </c>
      <c r="EZ109" s="205">
        <f>IF($J109="",#N/A,SUM(EX$4:EX109,EV$4:EV109,ET$4:ET109))</f>
        <v>0.63276955574425819</v>
      </c>
      <c r="FA109" s="200" t="str">
        <f t="shared" si="178"/>
        <v/>
      </c>
      <c r="FB109" s="203">
        <f>IF($J109="",#N/A,SUM(FA$4:FA109))</f>
        <v>0</v>
      </c>
      <c r="FC109" s="204" t="str">
        <f t="shared" si="179"/>
        <v/>
      </c>
      <c r="FD109" s="204">
        <f>IF($J109="",#N/A,SUM(FC$4:FC109))</f>
        <v>1.154074230495441</v>
      </c>
      <c r="FE109" s="205" t="str">
        <f t="shared" si="180"/>
        <v/>
      </c>
      <c r="FF109" s="205">
        <f>IF($J109="",#N/A,SUM(FE$4:FE109))</f>
        <v>-0.28811149078748233</v>
      </c>
      <c r="FG109" s="205">
        <f>IF($J109="",#N/A,SUM(FE$4:FE109,FC$4:FC109,FA$4:FA109))</f>
        <v>0.86596273970795878</v>
      </c>
      <c r="FH109" s="200" t="str">
        <f t="shared" si="181"/>
        <v/>
      </c>
      <c r="FI109" s="203">
        <f>IF($J109="",#N/A,SUM(FH$4:FH109))</f>
        <v>0</v>
      </c>
      <c r="FJ109" s="204" t="str">
        <f t="shared" si="182"/>
        <v/>
      </c>
      <c r="FK109" s="204">
        <f>IF($J109="",#N/A,SUM(FJ$4:FJ109))</f>
        <v>0</v>
      </c>
      <c r="FL109" s="205" t="str">
        <f t="shared" si="183"/>
        <v/>
      </c>
      <c r="FM109" s="205">
        <f>IF($J109="",#N/A,SUM(FL$4:FL109))</f>
        <v>0</v>
      </c>
      <c r="FN109" s="205">
        <f>IF($J109="",#N/A,SUM(FL$4:FL109,FJ$4:FJ109,FH$4:FH109))</f>
        <v>0</v>
      </c>
      <c r="FO109" s="200" t="str">
        <f t="shared" si="184"/>
        <v/>
      </c>
      <c r="FP109" s="203">
        <f>IF($J109="",#N/A,SUM(FO$4:FO109))</f>
        <v>0</v>
      </c>
      <c r="FQ109" s="204" t="str">
        <f t="shared" si="185"/>
        <v/>
      </c>
      <c r="FR109" s="204">
        <f>IF($J109="",#N/A,SUM(FQ$4:FQ109))</f>
        <v>0</v>
      </c>
      <c r="FS109" s="205" t="str">
        <f t="shared" si="186"/>
        <v/>
      </c>
      <c r="FT109" s="205">
        <f>IF($J109="",#N/A,SUM(FS$4:FS109))</f>
        <v>0</v>
      </c>
      <c r="FU109" s="205">
        <f>IF($J109="",#N/A,SUM(FS$4:FS109,FQ$4:FQ109,FO$4:FO109))</f>
        <v>0</v>
      </c>
      <c r="FV109" s="200" t="str">
        <f t="shared" si="187"/>
        <v/>
      </c>
      <c r="FW109" s="203">
        <f>IF($J109="",#N/A,SUM(FV$4:FV109))</f>
        <v>6.6834991831277585E-2</v>
      </c>
      <c r="FX109" s="204" t="str">
        <f t="shared" si="188"/>
        <v/>
      </c>
      <c r="FY109" s="204">
        <f>IF($J109="",#N/A,SUM(FX$4:FX109))</f>
        <v>0</v>
      </c>
      <c r="FZ109" s="205" t="str">
        <f t="shared" si="189"/>
        <v/>
      </c>
      <c r="GA109" s="205">
        <f>IF($J109="",#N/A,SUM(FZ$4:FZ109))</f>
        <v>-0.22620195801622528</v>
      </c>
      <c r="GB109" s="205">
        <f>IF($J109="",#N/A,SUM(FZ$4:FZ109,FX$4:FX109,FV$4:FV109))</f>
        <v>-0.15936696618494769</v>
      </c>
      <c r="GC109" s="200" t="str">
        <f t="shared" si="190"/>
        <v/>
      </c>
      <c r="GD109" s="203">
        <f>IF($J109="",#N/A,SUM(GC$4:GC109))</f>
        <v>0</v>
      </c>
      <c r="GE109" s="204" t="str">
        <f t="shared" si="191"/>
        <v/>
      </c>
      <c r="GF109" s="204">
        <f>IF($J109="",#N/A,SUM(GE$4:GE109))</f>
        <v>0</v>
      </c>
      <c r="GG109" s="205" t="str">
        <f t="shared" si="192"/>
        <v/>
      </c>
      <c r="GH109" s="205">
        <f>IF($J109="",#N/A,SUM(GG$4:GG109))</f>
        <v>-2.9368362277223206</v>
      </c>
      <c r="GI109" s="205">
        <f>IF($J109="",#N/A,SUM(GG$4:GG109,GE$4:GE109,GC$4:GC109))</f>
        <v>-2.9368362277223206</v>
      </c>
      <c r="GJ109" s="200" t="str">
        <f t="shared" si="193"/>
        <v/>
      </c>
      <c r="GK109" s="203">
        <f>IF($J109="",#N/A,SUM(GJ$4:GJ109))</f>
        <v>0</v>
      </c>
      <c r="GL109" s="204" t="str">
        <f t="shared" si="194"/>
        <v/>
      </c>
      <c r="GM109" s="204">
        <f>IF($J109="",#N/A,SUM(GL$4:GL109))</f>
        <v>-0.4054764861692941</v>
      </c>
      <c r="GN109" s="205" t="str">
        <f t="shared" si="195"/>
        <v/>
      </c>
      <c r="GO109" s="205">
        <f>IF($J109="",#N/A,SUM(GN$4:GN109))</f>
        <v>0</v>
      </c>
      <c r="GP109" s="205">
        <f>IF($J109="",#N/A,SUM(GN$4:GN109,GL$4:GL109,GJ$4:GJ109))</f>
        <v>-0.4054764861692941</v>
      </c>
      <c r="GS109" s="54">
        <f t="shared" si="214"/>
        <v>0.75991916192361575</v>
      </c>
      <c r="GT109" s="54">
        <f>IF(GS109="",NA(),SUM($GS$4:GS109))</f>
        <v>-5.6718593998109395</v>
      </c>
      <c r="GU109" s="54" t="str">
        <f t="shared" si="196"/>
        <v/>
      </c>
      <c r="GV109" s="54" t="e">
        <f>IF(GU109="",NA(),SUM($GU$4:GU109))</f>
        <v>#N/A</v>
      </c>
      <c r="GW109" s="54" t="str">
        <f t="shared" si="197"/>
        <v/>
      </c>
      <c r="GX109" s="54" t="e">
        <f>IF(GW109="",NA(),SUM($GW$4:GW109))</f>
        <v>#N/A</v>
      </c>
      <c r="GY109" s="54">
        <f t="shared" si="198"/>
        <v>0.75991916192361575</v>
      </c>
      <c r="GZ109" s="54">
        <f>IF(GY109="",NA(),SUM($GY$4:GY109))</f>
        <v>-2.5991521504856561</v>
      </c>
      <c r="HA109" s="54" t="str">
        <f t="shared" si="199"/>
        <v/>
      </c>
      <c r="HB109" s="54" t="e">
        <f>IF(HA109="",NA(),SUM($HA$4:HA109))</f>
        <v>#N/A</v>
      </c>
      <c r="HC109" s="54" t="str">
        <f t="shared" si="200"/>
        <v/>
      </c>
      <c r="HD109" s="54" t="e">
        <f>IF(HC109="",NA(),SUM($HC$4:HC109))</f>
        <v>#N/A</v>
      </c>
      <c r="HE109" s="54" t="str">
        <f t="shared" si="201"/>
        <v/>
      </c>
      <c r="HF109" s="54" t="e">
        <f>IF(HE109="",NA(),SUM($HE$4:HE109))</f>
        <v>#N/A</v>
      </c>
      <c r="HG109" s="54" t="str">
        <f t="shared" si="202"/>
        <v/>
      </c>
      <c r="HH109" s="54" t="e">
        <f>IF(HG109="",NA(),SUM($HG$4:HG109))</f>
        <v>#N/A</v>
      </c>
      <c r="HI109" s="172">
        <f t="shared" si="215"/>
        <v>0.26705435948197664</v>
      </c>
      <c r="HJ109" s="172">
        <f>IF($J109="",#N/A,SUM(HI$4:$HI109))</f>
        <v>-2.7142678729430094</v>
      </c>
      <c r="HK109" s="54" t="str">
        <f t="shared" si="203"/>
        <v/>
      </c>
      <c r="HL109" s="54">
        <f>IF($J109="",#N/A,SUM($HK$4:HK109))</f>
        <v>-5.2584365376693087</v>
      </c>
      <c r="HM109" s="54" t="str">
        <f t="shared" si="204"/>
        <v/>
      </c>
      <c r="HN109" s="54">
        <f>IF($J109="",#N/A,SUM($HM$4:HM109))</f>
        <v>0.72020221657224703</v>
      </c>
      <c r="HO109" s="54" t="str">
        <f t="shared" si="205"/>
        <v/>
      </c>
      <c r="HP109" s="54">
        <f>IF($J109="",#N/A,SUM($HO$4:HO109))</f>
        <v>-1.004778156728636</v>
      </c>
      <c r="HQ109" s="54" t="str">
        <f t="shared" si="206"/>
        <v/>
      </c>
      <c r="HR109" s="54">
        <f>IF($J109="",#N/A,SUM($HQ$4:HQ109))</f>
        <v>-6.1746076181104117</v>
      </c>
      <c r="HS109" s="54" t="str">
        <f t="shared" si="207"/>
        <v/>
      </c>
      <c r="HT109" s="54">
        <f>IF($J109="",#N/A,SUM($HS$4:HS109))</f>
        <v>6.0479507552967959</v>
      </c>
      <c r="HU109" s="65">
        <f t="shared" si="208"/>
        <v>1.0269735214055924</v>
      </c>
      <c r="HV109" s="65">
        <f>IF($J109="",#N/A,SUM(HU$4:$HU109))</f>
        <v>-13.577945731500458</v>
      </c>
    </row>
    <row r="110" spans="1:230" x14ac:dyDescent="0.25">
      <c r="A110" s="275" t="s">
        <v>1377</v>
      </c>
      <c r="B110" s="52" t="s">
        <v>4523</v>
      </c>
      <c r="C110" s="276">
        <f t="shared" si="109"/>
        <v>1</v>
      </c>
      <c r="D110" s="277" t="str">
        <f>_xlfn.XLOOKUP(A110,[1]SP500!$A$2:$A$502,[1]SP500!$D$2:$D$502,"N")</f>
        <v>Y</v>
      </c>
      <c r="E110" s="275" t="str">
        <f>IFERROR(_xlfn.XLOOKUP(A110,[1]SP500!$A$2:$A$655,[1]SP500!$B$2:$B$655),"")</f>
        <v>XLI</v>
      </c>
      <c r="F110" s="290">
        <v>45771</v>
      </c>
      <c r="G110" s="51" t="str">
        <f t="shared" si="110"/>
        <v>AMC</v>
      </c>
      <c r="H110" s="51" t="str">
        <f t="shared" si="111"/>
        <v>o</v>
      </c>
      <c r="I110" s="124">
        <v>240.76</v>
      </c>
      <c r="J110" s="124">
        <v>243.59</v>
      </c>
      <c r="K110" s="55">
        <f t="shared" si="112"/>
        <v>1.175444425984388E-2</v>
      </c>
      <c r="L110" s="67">
        <f t="shared" si="113"/>
        <v>-11.32000000000005</v>
      </c>
      <c r="M110" s="57">
        <f t="shared" si="114"/>
        <v>0</v>
      </c>
      <c r="N110" s="102">
        <f t="shared" si="115"/>
        <v>11.32000000000005</v>
      </c>
      <c r="O110" s="57">
        <f>IF(N110="",#N/A,SUM($N$4:N110))</f>
        <v>-475.48259402190649</v>
      </c>
      <c r="P110" s="65">
        <f t="shared" si="209"/>
        <v>0.19590740433073134</v>
      </c>
      <c r="Q110" s="172">
        <f>IF($N110="",#N/A,SUM($P$4:P110))</f>
        <v>-4.9981011135874072</v>
      </c>
      <c r="R110" s="279">
        <f t="shared" si="116"/>
        <v>1.9686161653965728</v>
      </c>
      <c r="S110" s="51" t="str">
        <f t="shared" si="117"/>
        <v>Up</v>
      </c>
      <c r="T110" s="51" t="s">
        <v>4462</v>
      </c>
      <c r="U110" s="56">
        <f t="shared" si="118"/>
        <v>240.76</v>
      </c>
      <c r="V110" s="56" t="s">
        <v>4458</v>
      </c>
      <c r="W110" s="142">
        <v>4</v>
      </c>
      <c r="X110" s="145">
        <f t="shared" si="119"/>
        <v>963.04</v>
      </c>
      <c r="Y110" s="140">
        <f t="shared" si="120"/>
        <v>4</v>
      </c>
      <c r="Z110" s="123">
        <v>243.59</v>
      </c>
      <c r="AA110" s="102">
        <f t="shared" si="121"/>
        <v>-11.32000000000005</v>
      </c>
      <c r="AB110" s="102">
        <f t="shared" si="122"/>
        <v>-11.200000000000045</v>
      </c>
      <c r="AC110" s="124">
        <v>243.56</v>
      </c>
      <c r="AD110" s="155">
        <f t="shared" si="123"/>
        <v>11.200000000000045</v>
      </c>
      <c r="AE110" s="545">
        <f t="shared" si="124"/>
        <v>0.19383064739436309</v>
      </c>
      <c r="AF110" s="57">
        <f>IF($AC110="",#N/A,SUM(AD$4:AD110))</f>
        <v>-902.26260457963497</v>
      </c>
      <c r="AG110" s="102">
        <f t="shared" si="125"/>
        <v>-0.12000000000000455</v>
      </c>
      <c r="AH110" s="56" t="s">
        <v>2507</v>
      </c>
      <c r="AI110" s="65">
        <f t="shared" si="126"/>
        <v>-0.19590740433073134</v>
      </c>
      <c r="AJ110" s="350">
        <f>IF(AI110="",#N/A,SUM($AI$4:AI110))</f>
        <v>-6.96671727898398</v>
      </c>
      <c r="AK110" s="57">
        <f t="shared" si="127"/>
        <v>-11.32000000000005</v>
      </c>
      <c r="AL110" s="349">
        <f>IF(AI110="",#N/A,IF(AH110="Skip",SUM($AK$4:AK110),SUM($AK$4:AK110)))</f>
        <v>-626.0576999999995</v>
      </c>
      <c r="AM110" s="65">
        <f t="shared" si="210"/>
        <v>0.19383064739436309</v>
      </c>
      <c r="AN110" s="209"/>
      <c r="AO110" s="65" t="str">
        <f t="shared" si="128"/>
        <v/>
      </c>
      <c r="AP110" s="65">
        <f>IF($AC110="",#N/A,SUM(AO$4:AO110))</f>
        <v>-0.32438348288186863</v>
      </c>
      <c r="AQ110" s="65">
        <f t="shared" si="129"/>
        <v>0.19383064739436309</v>
      </c>
      <c r="AR110" s="65">
        <f>IF($AC110="",#N/A,SUM(AQ$4:AQ110))</f>
        <v>-2.7637371090917728</v>
      </c>
      <c r="AS110" s="65" t="str">
        <f t="shared" si="130"/>
        <v/>
      </c>
      <c r="AT110" s="65">
        <f>IF($AC110="",#N/A,SUM(AS$4:AS110))</f>
        <v>-10.295994492132461</v>
      </c>
      <c r="AU110" s="57" t="str">
        <f t="shared" si="211"/>
        <v/>
      </c>
      <c r="AV110" s="57">
        <f>IF($AC110="",#N/A,SUM(AU$4:AU110))</f>
        <v>-71.840432956632753</v>
      </c>
      <c r="AW110" s="57">
        <f t="shared" si="212"/>
        <v>11.200000000000045</v>
      </c>
      <c r="AX110" s="57">
        <f>IF($AC110="",#N/A,SUM(AW$4:AW110))</f>
        <v>-173.34000000000015</v>
      </c>
      <c r="AY110" s="57" t="str">
        <f t="shared" si="213"/>
        <v/>
      </c>
      <c r="AZ110" s="57">
        <f>IF($AC110="",#N/A,SUM(AY$4:AY110))</f>
        <v>-657.08217162300207</v>
      </c>
      <c r="BA110" s="57">
        <f>IF(AD110="",#N/A,SUM($AD$4:AD110))</f>
        <v>-902.26260457963497</v>
      </c>
      <c r="BC110" s="51">
        <f t="shared" si="131"/>
        <v>1</v>
      </c>
      <c r="BD110" s="51" t="str">
        <f t="shared" si="132"/>
        <v/>
      </c>
      <c r="BE110" s="51" t="str">
        <f t="shared" si="133"/>
        <v/>
      </c>
      <c r="BF110" s="51" t="str">
        <f t="shared" si="134"/>
        <v>Long</v>
      </c>
      <c r="BG110" s="51" t="str">
        <f t="shared" si="135"/>
        <v/>
      </c>
      <c r="BH110" s="51" t="str">
        <f t="shared" si="136"/>
        <v/>
      </c>
      <c r="BI110" s="51" t="str">
        <f t="shared" si="137"/>
        <v/>
      </c>
      <c r="BK110" s="65">
        <f t="shared" si="108"/>
        <v>4.4772052605999112E-2</v>
      </c>
      <c r="BL110" s="65">
        <f t="shared" si="216"/>
        <v>-0.21696923252510131</v>
      </c>
      <c r="BM110" s="65">
        <f>IFERROR(Q110/COUNTA($J$4:J110),#N/A)</f>
        <v>-4.6711225360629972E-2</v>
      </c>
      <c r="BO110" s="489" t="e">
        <f>IF(J110="",#N/A,IF(S110="SW",(COUNTIFS(K$4:$K110,"&gt;0",S$4:$S110,"SW")/COUNTIF(S$4:$S110,"SW")),#N/A))</f>
        <v>#N/A</v>
      </c>
      <c r="BP110" s="489" t="e">
        <f>IF($J110="",#N/A,IF($S110="DWN",(COUNTIFS($K$4:$K110,"&lt;0",$S$4:$S110,"DWN")/COUNTIF($S$4:$S110,"DWN")),#N/A))</f>
        <v>#N/A</v>
      </c>
      <c r="BQ110" s="489">
        <f>IF($J110="",#N/A,IF($S110="UP",(COUNTIFS($K$4:$K110,"&gt;0",$S$4:$S110,"UP")/COUNTIF($S$4:$S110,"UP")),#N/A))</f>
        <v>0.5</v>
      </c>
      <c r="BR110" s="489">
        <f>IF(J110="",#N/A,COUNTIF($K$4:K110,"&gt;0")/COUNT($J$4:J110))</f>
        <v>0.46728971962616822</v>
      </c>
      <c r="BS110" s="65" t="str">
        <f t="shared" si="138"/>
        <v/>
      </c>
      <c r="BT110" s="65" t="str">
        <f t="shared" si="139"/>
        <v/>
      </c>
      <c r="BU110" s="65" t="str">
        <f t="shared" si="140"/>
        <v/>
      </c>
      <c r="BV110" s="65">
        <f t="shared" si="141"/>
        <v>0.19590740433073134</v>
      </c>
      <c r="BW110" s="128">
        <f t="shared" si="142"/>
        <v>11.32000000000005</v>
      </c>
      <c r="BX110" s="128">
        <f>IF($J110="",#N/A,SUM($BW$4:BW110))</f>
        <v>-155.96500000000026</v>
      </c>
      <c r="BY110" s="131" t="str">
        <f t="shared" si="143"/>
        <v/>
      </c>
      <c r="BZ110" s="131">
        <f>IF($J110="",#N/A,SUM($BY$4:BY110))</f>
        <v>-199.1088504215478</v>
      </c>
      <c r="CA110" s="133" t="str">
        <f t="shared" si="144"/>
        <v/>
      </c>
      <c r="CB110" s="133">
        <f>IF($J110="",#N/A,SUM($CA$4:CA110))</f>
        <v>-120.40874360035843</v>
      </c>
      <c r="CC110" s="194">
        <f t="shared" si="145"/>
        <v>0.19590740433073134</v>
      </c>
      <c r="CD110" s="194">
        <f>IF($J110="",#N/A,SUM($CC$4:CC110))</f>
        <v>-2.4770844119990163</v>
      </c>
      <c r="CE110" s="195" t="str">
        <f t="shared" si="146"/>
        <v/>
      </c>
      <c r="CF110" s="195">
        <f>IF($J110="",#N/A,SUM($CE$4:CE110))</f>
        <v>-2.3232900815201392</v>
      </c>
      <c r="CG110" s="196" t="str">
        <f t="shared" si="147"/>
        <v/>
      </c>
      <c r="CH110" s="196">
        <f>IF($J110="",#N/A,SUM($CG$4:CG110))</f>
        <v>-0.19772662006824826</v>
      </c>
      <c r="CI110" s="200" t="str">
        <f t="shared" si="148"/>
        <v/>
      </c>
      <c r="CJ110" s="203">
        <f>IF($J110="",#N/A,SUM(CI$4:CI110))</f>
        <v>0</v>
      </c>
      <c r="CK110" s="204" t="str">
        <f t="shared" si="149"/>
        <v/>
      </c>
      <c r="CL110" s="204">
        <f>IF($J110="",#N/A,SUM(CK$4:CK110))</f>
        <v>1.8934431343190481</v>
      </c>
      <c r="CM110" s="205" t="str">
        <f t="shared" si="150"/>
        <v/>
      </c>
      <c r="CN110" s="205">
        <f>IF($J110="",#N/A,SUM(CM$4:CM110))</f>
        <v>2.5724959960693745</v>
      </c>
      <c r="CO110" s="205">
        <f>IF($J110="",#N/A,SUM(CM$4:CM110,CK$4:CK110,CI$4:CI110))</f>
        <v>4.4659391303884224</v>
      </c>
      <c r="CP110" s="200" t="str">
        <f t="shared" si="151"/>
        <v/>
      </c>
      <c r="CQ110" s="203">
        <f>IF($J110="",#N/A,SUM(CP$4:CP110))</f>
        <v>0</v>
      </c>
      <c r="CR110" s="204" t="str">
        <f t="shared" si="152"/>
        <v/>
      </c>
      <c r="CS110" s="204">
        <f>IF($J110="",#N/A,SUM(CR$4:CR110))</f>
        <v>0</v>
      </c>
      <c r="CT110" s="205" t="str">
        <f t="shared" si="153"/>
        <v/>
      </c>
      <c r="CU110" s="205">
        <f>IF($J110="",#N/A,SUM(CT$4:CT110))</f>
        <v>0</v>
      </c>
      <c r="CV110" s="205">
        <f>IF($J110="",#N/A,SUM(CT$4:CT110,CR$4:CR110,CP$4:CP110))</f>
        <v>0</v>
      </c>
      <c r="CW110" s="200" t="str">
        <f t="shared" si="154"/>
        <v/>
      </c>
      <c r="CX110" s="203">
        <f>IF($J110="",#N/A,SUM(CW$4:CW110))</f>
        <v>0</v>
      </c>
      <c r="CY110" s="204" t="str">
        <f t="shared" si="155"/>
        <v/>
      </c>
      <c r="CZ110" s="204">
        <f>IF($J110="",#N/A,SUM(CY$4:CY110))</f>
        <v>-1.9289529100071134</v>
      </c>
      <c r="DA110" s="205" t="str">
        <f t="shared" si="156"/>
        <v/>
      </c>
      <c r="DB110" s="205">
        <f>IF($J110="",#N/A,SUM(DA$4:DA110))</f>
        <v>-0.16932974967219971</v>
      </c>
      <c r="DC110" s="205">
        <f>IF($J110="",#N/A,SUM(DA$4:DA110,CY$4:CY110,CW$4:CW110))</f>
        <v>-2.0982826596793132</v>
      </c>
      <c r="DD110" s="200" t="str">
        <f t="shared" si="157"/>
        <v/>
      </c>
      <c r="DE110" s="203">
        <f>IF($J110="",#N/A,SUM(DD$4:DD110))</f>
        <v>0.4905246481018824</v>
      </c>
      <c r="DF110" s="204" t="str">
        <f t="shared" si="158"/>
        <v/>
      </c>
      <c r="DG110" s="204">
        <f>IF($J110="",#N/A,SUM(DF$4:DF110))</f>
        <v>0.77374072477919809</v>
      </c>
      <c r="DH110" s="205" t="str">
        <f t="shared" si="159"/>
        <v/>
      </c>
      <c r="DI110" s="205">
        <f>IF($J110="",#N/A,SUM(DH$4:DH110))</f>
        <v>-1.8170936831137556</v>
      </c>
      <c r="DJ110" s="205">
        <f>IF($J110="",#N/A,SUM(DH$4:DH110,DF$4:DF110,DD$4:DD110))</f>
        <v>-0.55282831023267498</v>
      </c>
      <c r="DK110" s="200" t="str">
        <f t="shared" si="160"/>
        <v/>
      </c>
      <c r="DL110" s="203">
        <f>IF($J110="",#N/A,SUM(DK$4:DK110))</f>
        <v>-1.2097286851272664</v>
      </c>
      <c r="DM110" s="204" t="str">
        <f t="shared" si="161"/>
        <v/>
      </c>
      <c r="DN110" s="204">
        <f>IF($J110="",#N/A,SUM(DM$4:DM110))</f>
        <v>1.1910608267574658</v>
      </c>
      <c r="DO110" s="205" t="str">
        <f t="shared" si="162"/>
        <v/>
      </c>
      <c r="DP110" s="205">
        <f>IF($J110="",#N/A,SUM(DO$4:DO110))</f>
        <v>-0.43291760746858676</v>
      </c>
      <c r="DQ110" s="205">
        <f>IF($J110="",#N/A,SUM(DO$4:DO110,DM$4:DM110,DK$4:DK110))</f>
        <v>-0.45158546583838721</v>
      </c>
      <c r="DR110" s="200" t="str">
        <f t="shared" si="163"/>
        <v/>
      </c>
      <c r="DS110" s="203">
        <f>IF($J110="",#N/A,SUM(DR$4:DR110))</f>
        <v>-0.55950946427675097</v>
      </c>
      <c r="DT110" s="204" t="str">
        <f t="shared" si="164"/>
        <v/>
      </c>
      <c r="DU110" s="204">
        <f>IF($J110="",#N/A,SUM(DT$4:DT110))</f>
        <v>-2.8875364672150718</v>
      </c>
      <c r="DV110" s="205" t="str">
        <f t="shared" si="165"/>
        <v/>
      </c>
      <c r="DW110" s="205">
        <f>IF($J110="",#N/A,SUM(DV$4:DV110))</f>
        <v>-2.6814706788983136</v>
      </c>
      <c r="DX110" s="205">
        <f>IF($J110="",#N/A,SUM(DV$4:DV110,DT$4:DT110,DR$4:DR110))</f>
        <v>-6.1285166103901361</v>
      </c>
      <c r="DY110" s="200">
        <f t="shared" si="166"/>
        <v>0.19590740433073134</v>
      </c>
      <c r="DZ110" s="203">
        <f>IF($J110="",#N/A,SUM(DY$4:DY110))</f>
        <v>-1.2652059025281583</v>
      </c>
      <c r="EA110" s="204" t="str">
        <f t="shared" si="167"/>
        <v/>
      </c>
      <c r="EB110" s="204">
        <f>IF($J110="",#N/A,SUM(EA$4:EA110))</f>
        <v>-0.36153038830642437</v>
      </c>
      <c r="EC110" s="205" t="str">
        <f t="shared" si="168"/>
        <v/>
      </c>
      <c r="ED110" s="205">
        <f>IF($J110="",#N/A,SUM(EC$4:EC110))</f>
        <v>1.7103671484331777</v>
      </c>
      <c r="EE110" s="205">
        <f>IF($J110="",#N/A,SUM(EC$4:EC110,EA$4:EA110,DY$4:DY110))</f>
        <v>8.3630857598595065E-2</v>
      </c>
      <c r="EF110" s="200" t="str">
        <f t="shared" si="169"/>
        <v/>
      </c>
      <c r="EG110" s="203">
        <f>IF($J110="",#N/A,SUM(EF$4:EF110))</f>
        <v>0</v>
      </c>
      <c r="EH110" s="204" t="str">
        <f t="shared" si="170"/>
        <v/>
      </c>
      <c r="EI110" s="204">
        <f>IF($J110="",#N/A,SUM(EH$4:EH110))</f>
        <v>-2.6174111635897193</v>
      </c>
      <c r="EJ110" s="205" t="str">
        <f t="shared" si="171"/>
        <v/>
      </c>
      <c r="EK110" s="205">
        <f>IF($J110="",#N/A,SUM(EJ$4:EJ110))</f>
        <v>2.2116398676705207</v>
      </c>
      <c r="EL110" s="205">
        <f>IF($J110="",#N/A,SUM(EJ$4:EJ110,EH$4:EH110,EF$4:EF110))</f>
        <v>-0.40577129591919803</v>
      </c>
      <c r="EM110" s="200" t="str">
        <f t="shared" si="172"/>
        <v/>
      </c>
      <c r="EN110" s="203">
        <f>IF($J110="",#N/A,SUM(EM$4:EM110))</f>
        <v>0</v>
      </c>
      <c r="EO110" s="204" t="str">
        <f t="shared" si="173"/>
        <v/>
      </c>
      <c r="EP110" s="204">
        <f>IF($J110="",#N/A,SUM(EO$4:EO110))</f>
        <v>1.5996008301242557</v>
      </c>
      <c r="EQ110" s="205" t="str">
        <f t="shared" si="174"/>
        <v/>
      </c>
      <c r="ER110" s="205">
        <f>IF($J110="",#N/A,SUM(EQ$4:EQ110))</f>
        <v>0.4926597949853756</v>
      </c>
      <c r="ES110" s="205">
        <f>IF($J110="",#N/A,SUM(EQ$4:EQ110,EO$4:EO110,EM$4:EM110))</f>
        <v>2.0922606251096312</v>
      </c>
      <c r="ET110" s="200" t="str">
        <f t="shared" si="175"/>
        <v/>
      </c>
      <c r="EU110" s="203">
        <f>IF($J110="",#N/A,SUM(ET$4:ET110))</f>
        <v>0</v>
      </c>
      <c r="EV110" s="204" t="str">
        <f t="shared" si="176"/>
        <v/>
      </c>
      <c r="EW110" s="204">
        <f>IF($J110="",#N/A,SUM(EV$4:EV110))</f>
        <v>-0.73430241270792684</v>
      </c>
      <c r="EX110" s="205" t="str">
        <f t="shared" si="177"/>
        <v/>
      </c>
      <c r="EY110" s="205">
        <f>IF($J110="",#N/A,SUM(EX$4:EX110))</f>
        <v>1.367071968452185</v>
      </c>
      <c r="EZ110" s="205">
        <f>IF($J110="",#N/A,SUM(EX$4:EX110,EV$4:EV110,ET$4:ET110))</f>
        <v>0.63276955574425819</v>
      </c>
      <c r="FA110" s="200" t="str">
        <f t="shared" si="178"/>
        <v/>
      </c>
      <c r="FB110" s="203">
        <f>IF($J110="",#N/A,SUM(FA$4:FA110))</f>
        <v>0</v>
      </c>
      <c r="FC110" s="204" t="str">
        <f t="shared" si="179"/>
        <v/>
      </c>
      <c r="FD110" s="204">
        <f>IF($J110="",#N/A,SUM(FC$4:FC110))</f>
        <v>1.154074230495441</v>
      </c>
      <c r="FE110" s="205" t="str">
        <f t="shared" si="180"/>
        <v/>
      </c>
      <c r="FF110" s="205">
        <f>IF($J110="",#N/A,SUM(FE$4:FE110))</f>
        <v>-0.28811149078748233</v>
      </c>
      <c r="FG110" s="205">
        <f>IF($J110="",#N/A,SUM(FE$4:FE110,FC$4:FC110,FA$4:FA110))</f>
        <v>0.86596273970795878</v>
      </c>
      <c r="FH110" s="200" t="str">
        <f t="shared" si="181"/>
        <v/>
      </c>
      <c r="FI110" s="203">
        <f>IF($J110="",#N/A,SUM(FH$4:FH110))</f>
        <v>0</v>
      </c>
      <c r="FJ110" s="204" t="str">
        <f t="shared" si="182"/>
        <v/>
      </c>
      <c r="FK110" s="204">
        <f>IF($J110="",#N/A,SUM(FJ$4:FJ110))</f>
        <v>0</v>
      </c>
      <c r="FL110" s="205" t="str">
        <f t="shared" si="183"/>
        <v/>
      </c>
      <c r="FM110" s="205">
        <f>IF($J110="",#N/A,SUM(FL$4:FL110))</f>
        <v>0</v>
      </c>
      <c r="FN110" s="205">
        <f>IF($J110="",#N/A,SUM(FL$4:FL110,FJ$4:FJ110,FH$4:FH110))</f>
        <v>0</v>
      </c>
      <c r="FO110" s="200" t="str">
        <f t="shared" si="184"/>
        <v/>
      </c>
      <c r="FP110" s="203">
        <f>IF($J110="",#N/A,SUM(FO$4:FO110))</f>
        <v>0</v>
      </c>
      <c r="FQ110" s="204" t="str">
        <f t="shared" si="185"/>
        <v/>
      </c>
      <c r="FR110" s="204">
        <f>IF($J110="",#N/A,SUM(FQ$4:FQ110))</f>
        <v>0</v>
      </c>
      <c r="FS110" s="205" t="str">
        <f t="shared" si="186"/>
        <v/>
      </c>
      <c r="FT110" s="205">
        <f>IF($J110="",#N/A,SUM(FS$4:FS110))</f>
        <v>0</v>
      </c>
      <c r="FU110" s="205">
        <f>IF($J110="",#N/A,SUM(FS$4:FS110,FQ$4:FQ110,FO$4:FO110))</f>
        <v>0</v>
      </c>
      <c r="FV110" s="200" t="str">
        <f t="shared" si="187"/>
        <v/>
      </c>
      <c r="FW110" s="203">
        <f>IF($J110="",#N/A,SUM(FV$4:FV110))</f>
        <v>6.6834991831277585E-2</v>
      </c>
      <c r="FX110" s="204" t="str">
        <f t="shared" si="188"/>
        <v/>
      </c>
      <c r="FY110" s="204">
        <f>IF($J110="",#N/A,SUM(FX$4:FX110))</f>
        <v>0</v>
      </c>
      <c r="FZ110" s="205" t="str">
        <f t="shared" si="189"/>
        <v/>
      </c>
      <c r="GA110" s="205">
        <f>IF($J110="",#N/A,SUM(FZ$4:FZ110))</f>
        <v>-0.22620195801622528</v>
      </c>
      <c r="GB110" s="205">
        <f>IF($J110="",#N/A,SUM(FZ$4:FZ110,FX$4:FX110,FV$4:FV110))</f>
        <v>-0.15936696618494769</v>
      </c>
      <c r="GC110" s="200" t="str">
        <f t="shared" si="190"/>
        <v/>
      </c>
      <c r="GD110" s="203">
        <f>IF($J110="",#N/A,SUM(GC$4:GC110))</f>
        <v>0</v>
      </c>
      <c r="GE110" s="204" t="str">
        <f t="shared" si="191"/>
        <v/>
      </c>
      <c r="GF110" s="204">
        <f>IF($J110="",#N/A,SUM(GE$4:GE110))</f>
        <v>0</v>
      </c>
      <c r="GG110" s="205" t="str">
        <f t="shared" si="192"/>
        <v/>
      </c>
      <c r="GH110" s="205">
        <f>IF($J110="",#N/A,SUM(GG$4:GG110))</f>
        <v>-2.9368362277223206</v>
      </c>
      <c r="GI110" s="205">
        <f>IF($J110="",#N/A,SUM(GG$4:GG110,GE$4:GE110,GC$4:GC110))</f>
        <v>-2.9368362277223206</v>
      </c>
      <c r="GJ110" s="200" t="str">
        <f t="shared" si="193"/>
        <v/>
      </c>
      <c r="GK110" s="203">
        <f>IF($J110="",#N/A,SUM(GJ$4:GJ110))</f>
        <v>0</v>
      </c>
      <c r="GL110" s="204" t="str">
        <f t="shared" si="194"/>
        <v/>
      </c>
      <c r="GM110" s="204">
        <f>IF($J110="",#N/A,SUM(GL$4:GL110))</f>
        <v>-0.4054764861692941</v>
      </c>
      <c r="GN110" s="205" t="str">
        <f t="shared" si="195"/>
        <v/>
      </c>
      <c r="GO110" s="205">
        <f>IF($J110="",#N/A,SUM(GN$4:GN110))</f>
        <v>0</v>
      </c>
      <c r="GP110" s="205">
        <f>IF($J110="",#N/A,SUM(GN$4:GN110,GL$4:GL110,GJ$4:GJ110))</f>
        <v>-0.4054764861692941</v>
      </c>
      <c r="GS110" s="54">
        <f t="shared" si="214"/>
        <v>0.19590740433073134</v>
      </c>
      <c r="GT110" s="54">
        <f>IF(GS110="",NA(),SUM($GS$4:GS110))</f>
        <v>-5.4759519954802078</v>
      </c>
      <c r="GU110" s="54">
        <f t="shared" si="196"/>
        <v>0.19590740433073134</v>
      </c>
      <c r="GV110" s="54">
        <f>IF(GU110="",NA(),SUM($GU$4:GU110))</f>
        <v>-2.4770844119990163</v>
      </c>
      <c r="GW110" s="54" t="str">
        <f t="shared" si="197"/>
        <v/>
      </c>
      <c r="GX110" s="54" t="e">
        <f>IF(GW110="",NA(),SUM($GW$4:GW110))</f>
        <v>#N/A</v>
      </c>
      <c r="GY110" s="54" t="str">
        <f t="shared" si="198"/>
        <v/>
      </c>
      <c r="GZ110" s="54" t="e">
        <f>IF(GY110="",NA(),SUM($GY$4:GY110))</f>
        <v>#N/A</v>
      </c>
      <c r="HA110" s="54" t="str">
        <f t="shared" si="199"/>
        <v/>
      </c>
      <c r="HB110" s="54" t="e">
        <f>IF(HA110="",NA(),SUM($HA$4:HA110))</f>
        <v>#N/A</v>
      </c>
      <c r="HC110" s="54" t="str">
        <f t="shared" si="200"/>
        <v/>
      </c>
      <c r="HD110" s="54" t="e">
        <f>IF(HC110="",NA(),SUM($HC$4:HC110))</f>
        <v>#N/A</v>
      </c>
      <c r="HE110" s="54" t="str">
        <f t="shared" si="201"/>
        <v/>
      </c>
      <c r="HF110" s="54" t="e">
        <f>IF(HE110="",NA(),SUM($HE$4:HE110))</f>
        <v>#N/A</v>
      </c>
      <c r="HG110" s="54" t="str">
        <f t="shared" si="202"/>
        <v/>
      </c>
      <c r="HH110" s="54" t="e">
        <f>IF(HG110="",NA(),SUM($HG$4:HG110))</f>
        <v>#N/A</v>
      </c>
      <c r="HI110" s="172" t="str">
        <f t="shared" si="215"/>
        <v/>
      </c>
      <c r="HJ110" s="172">
        <f>IF($J110="",#N/A,SUM(HI$4:$HI110))</f>
        <v>-2.7142678729430094</v>
      </c>
      <c r="HK110" s="54" t="str">
        <f t="shared" si="203"/>
        <v/>
      </c>
      <c r="HL110" s="54">
        <f>IF($J110="",#N/A,SUM($HK$4:HK110))</f>
        <v>-5.2584365376693087</v>
      </c>
      <c r="HM110" s="54">
        <f t="shared" si="204"/>
        <v>-2.0767569363682459E-3</v>
      </c>
      <c r="HN110" s="54">
        <f>IF($J110="",#N/A,SUM($HM$4:HM110))</f>
        <v>0.71812545963587882</v>
      </c>
      <c r="HO110" s="54" t="str">
        <f t="shared" si="205"/>
        <v/>
      </c>
      <c r="HP110" s="54">
        <f>IF($J110="",#N/A,SUM($HO$4:HO110))</f>
        <v>-1.004778156728636</v>
      </c>
      <c r="HQ110" s="54" t="str">
        <f t="shared" si="206"/>
        <v/>
      </c>
      <c r="HR110" s="54">
        <f>IF($J110="",#N/A,SUM($HQ$4:HQ110))</f>
        <v>-6.1746076181104117</v>
      </c>
      <c r="HS110" s="54" t="str">
        <f t="shared" si="207"/>
        <v/>
      </c>
      <c r="HT110" s="54">
        <f>IF($J110="",#N/A,SUM($HS$4:HS110))</f>
        <v>6.0479507552967959</v>
      </c>
      <c r="HU110" s="65">
        <f t="shared" si="208"/>
        <v>0.19383064739436309</v>
      </c>
      <c r="HV110" s="65">
        <f>IF($J110="",#N/A,SUM(HU$4:$HU110))</f>
        <v>-13.384115084106096</v>
      </c>
    </row>
    <row r="111" spans="1:230" x14ac:dyDescent="0.25">
      <c r="A111" s="51" t="s">
        <v>1337</v>
      </c>
      <c r="B111" s="52" t="s">
        <v>4523</v>
      </c>
      <c r="C111" s="229">
        <f t="shared" si="109"/>
        <v>3</v>
      </c>
      <c r="D111" s="219" t="str">
        <f>_xlfn.XLOOKUP(A111,[1]SP500!$A$2:$A$502,[1]SP500!$D$2:$D$502,"N")</f>
        <v>Y</v>
      </c>
      <c r="E111" s="51" t="str">
        <f>IFERROR(_xlfn.XLOOKUP(A111,[1]SP500!$A$2:$A$655,[1]SP500!$B$2:$B$655),"")</f>
        <v>SMH</v>
      </c>
      <c r="F111" s="290">
        <v>45771</v>
      </c>
      <c r="G111" s="51" t="str">
        <f t="shared" si="110"/>
        <v>AMC</v>
      </c>
      <c r="H111" s="51" t="str">
        <f t="shared" si="111"/>
        <v>s</v>
      </c>
      <c r="I111" s="124">
        <v>21.49</v>
      </c>
      <c r="J111" s="123">
        <v>19.73</v>
      </c>
      <c r="K111" s="55">
        <f t="shared" si="112"/>
        <v>-8.1898557468589955E-2</v>
      </c>
      <c r="L111" s="67">
        <f t="shared" si="113"/>
        <v>-79.199999999999932</v>
      </c>
      <c r="M111" s="57">
        <f t="shared" si="114"/>
        <v>-0.89999999999997726</v>
      </c>
      <c r="N111" s="102">
        <f t="shared" si="115"/>
        <v>-79.199999999999932</v>
      </c>
      <c r="O111" s="57">
        <f>IF(N111="",#N/A,SUM($N$4:N111))</f>
        <v>-554.68259402190643</v>
      </c>
      <c r="P111" s="65">
        <f t="shared" si="209"/>
        <v>-1.3649759578098331</v>
      </c>
      <c r="Q111" s="172">
        <f>IF($N111="",#N/A,SUM($P$4:P111))</f>
        <v>-6.3630770713972407</v>
      </c>
      <c r="R111" s="279">
        <f t="shared" si="116"/>
        <v>1.9841272558262286</v>
      </c>
      <c r="S111" s="51" t="str">
        <f t="shared" si="117"/>
        <v>SW</v>
      </c>
      <c r="T111" s="51" t="s">
        <v>2828</v>
      </c>
      <c r="U111" s="56">
        <f t="shared" si="118"/>
        <v>21.49</v>
      </c>
      <c r="V111" s="56" t="s">
        <v>4460</v>
      </c>
      <c r="W111" s="142">
        <v>45</v>
      </c>
      <c r="X111" s="145">
        <f t="shared" si="119"/>
        <v>967.05</v>
      </c>
      <c r="Y111" s="140">
        <f t="shared" si="120"/>
        <v>45</v>
      </c>
      <c r="Z111" s="123">
        <v>19.71</v>
      </c>
      <c r="AA111" s="102">
        <f t="shared" si="121"/>
        <v>-80.099999999999909</v>
      </c>
      <c r="AB111" s="102">
        <f t="shared" si="122"/>
        <v>-64.799999999999955</v>
      </c>
      <c r="AC111" s="124">
        <v>20.05</v>
      </c>
      <c r="AD111" s="155">
        <f t="shared" si="123"/>
        <v>-64.799999999999955</v>
      </c>
      <c r="AE111" s="545">
        <f t="shared" si="124"/>
        <v>-1.116798510935318</v>
      </c>
      <c r="AF111" s="57">
        <f>IF($AC111="",#N/A,SUM(AD$4:AD111))</f>
        <v>-967.06260457963492</v>
      </c>
      <c r="AG111" s="102">
        <f t="shared" si="125"/>
        <v>14.399999999999977</v>
      </c>
      <c r="AH111" s="56" t="s">
        <v>2507</v>
      </c>
      <c r="AI111" s="65">
        <f t="shared" si="126"/>
        <v>-1.3804870482394898</v>
      </c>
      <c r="AJ111" s="54">
        <f>IF(AI111="",#N/A,SUM($AI$4:AI111))</f>
        <v>-8.3472043272234693</v>
      </c>
      <c r="AK111" s="57">
        <f t="shared" si="127"/>
        <v>-80.099999999999909</v>
      </c>
      <c r="AL111" s="349">
        <f>IF(AI111="",#N/A,IF(AH111="Skip",SUM($AK$4:AK111),SUM($AK$4:AK111)))</f>
        <v>-706.15769999999941</v>
      </c>
      <c r="AM111" s="65">
        <f t="shared" si="210"/>
        <v>-1.116798510935318</v>
      </c>
      <c r="AN111" s="209"/>
      <c r="AO111" s="65">
        <f t="shared" si="128"/>
        <v>-1.116798510935318</v>
      </c>
      <c r="AP111" s="65">
        <f>IF($AC111="",#N/A,SUM(AO$4:AO111))</f>
        <v>-1.4411819938171866</v>
      </c>
      <c r="AQ111" s="65" t="str">
        <f t="shared" si="129"/>
        <v/>
      </c>
      <c r="AR111" s="65">
        <f>IF($AC111="",#N/A,SUM(AQ$4:AQ111))</f>
        <v>-2.7637371090917728</v>
      </c>
      <c r="AS111" s="65" t="str">
        <f t="shared" si="130"/>
        <v/>
      </c>
      <c r="AT111" s="65">
        <f>IF($AC111="",#N/A,SUM(AS$4:AS111))</f>
        <v>-10.295994492132461</v>
      </c>
      <c r="AU111" s="57">
        <f t="shared" si="211"/>
        <v>-64.799999999999955</v>
      </c>
      <c r="AV111" s="57">
        <f>IF($AC111="",#N/A,SUM(AU$4:AU111))</f>
        <v>-136.64043295663271</v>
      </c>
      <c r="AW111" s="57" t="str">
        <f t="shared" si="212"/>
        <v/>
      </c>
      <c r="AX111" s="57">
        <f>IF($AC111="",#N/A,SUM(AW$4:AW111))</f>
        <v>-173.34000000000015</v>
      </c>
      <c r="AY111" s="57" t="str">
        <f t="shared" si="213"/>
        <v/>
      </c>
      <c r="AZ111" s="57">
        <f>IF($AC111="",#N/A,SUM(AY$4:AY111))</f>
        <v>-657.08217162300207</v>
      </c>
      <c r="BA111" s="57">
        <f>IF(AD111="",#N/A,SUM($AD$4:AD111))</f>
        <v>-967.06260457963492</v>
      </c>
      <c r="BC111" s="51" t="str">
        <f t="shared" si="131"/>
        <v/>
      </c>
      <c r="BD111" s="51" t="str">
        <f t="shared" si="132"/>
        <v/>
      </c>
      <c r="BE111" s="51" t="str">
        <f t="shared" si="133"/>
        <v/>
      </c>
      <c r="BF111" s="51" t="str">
        <f t="shared" si="134"/>
        <v>Long</v>
      </c>
      <c r="BG111" s="51" t="str">
        <f t="shared" si="135"/>
        <v/>
      </c>
      <c r="BH111" s="51" t="str">
        <f t="shared" si="136"/>
        <v/>
      </c>
      <c r="BI111" s="51">
        <f t="shared" si="137"/>
        <v>1</v>
      </c>
      <c r="BK111" s="65">
        <f t="shared" si="108"/>
        <v>4.1548679582239069E-3</v>
      </c>
      <c r="BL111" s="65">
        <f t="shared" si="216"/>
        <v>-0.24884099811022189</v>
      </c>
      <c r="BM111" s="65">
        <f>IFERROR(Q111/COUNTA($J$4:J111),#N/A)</f>
        <v>-5.8917380290715193E-2</v>
      </c>
      <c r="BO111" s="489">
        <f>IF(J111="",#N/A,IF(S111="SW",(COUNTIFS(K$4:$K111,"&gt;0",S$4:$S111,"SW")/COUNTIF(S$4:$S111,"SW")),#N/A))</f>
        <v>0.45</v>
      </c>
      <c r="BP111" s="489" t="e">
        <f>IF($J111="",#N/A,IF($S111="DWN",(COUNTIFS($K$4:$K111,"&lt;0",$S$4:$S111,"DWN")/COUNTIF($S$4:$S111,"DWN")),#N/A))</f>
        <v>#N/A</v>
      </c>
      <c r="BQ111" s="489" t="e">
        <f>IF($J111="",#N/A,IF($S111="UP",(COUNTIFS($K$4:$K111,"&gt;0",$S$4:$S111,"UP")/COUNTIF($S$4:$S111,"UP")),#N/A))</f>
        <v>#N/A</v>
      </c>
      <c r="BR111" s="489">
        <f>IF(J111="",#N/A,COUNTIF($K$4:K111,"&gt;0")/COUNT($J$4:J111))</f>
        <v>0.46296296296296297</v>
      </c>
      <c r="BS111" s="65" t="str">
        <f t="shared" si="138"/>
        <v/>
      </c>
      <c r="BT111" s="65">
        <f t="shared" si="139"/>
        <v>-1.3649759578098331</v>
      </c>
      <c r="BU111" s="65" t="str">
        <f t="shared" si="140"/>
        <v/>
      </c>
      <c r="BV111" s="65" t="str">
        <f t="shared" si="141"/>
        <v/>
      </c>
      <c r="BW111" s="128" t="str">
        <f t="shared" si="142"/>
        <v/>
      </c>
      <c r="BX111" s="128">
        <f>IF($J111="",#N/A,SUM($BW$4:BW111))</f>
        <v>-155.96500000000026</v>
      </c>
      <c r="BY111" s="131" t="str">
        <f t="shared" si="143"/>
        <v/>
      </c>
      <c r="BZ111" s="131">
        <f>IF($J111="",#N/A,SUM($BY$4:BY111))</f>
        <v>-199.1088504215478</v>
      </c>
      <c r="CA111" s="133">
        <f t="shared" si="144"/>
        <v>-79.199999999999932</v>
      </c>
      <c r="CB111" s="133">
        <f>IF($J111="",#N/A,SUM($CA$4:CA111))</f>
        <v>-199.60874360035837</v>
      </c>
      <c r="CC111" s="194" t="str">
        <f t="shared" si="145"/>
        <v/>
      </c>
      <c r="CD111" s="194">
        <f>IF($J111="",#N/A,SUM($CC$4:CC111))</f>
        <v>-2.4770844119990163</v>
      </c>
      <c r="CE111" s="195" t="str">
        <f t="shared" si="146"/>
        <v/>
      </c>
      <c r="CF111" s="195">
        <f>IF($J111="",#N/A,SUM($CE$4:CE111))</f>
        <v>-2.3232900815201392</v>
      </c>
      <c r="CG111" s="196">
        <f t="shared" si="147"/>
        <v>-1.3649759578098331</v>
      </c>
      <c r="CH111" s="193">
        <f>IF($J111="",#N/A,SUM($CG$4:CG111))</f>
        <v>-1.5627025778780812</v>
      </c>
      <c r="CI111" s="200" t="str">
        <f t="shared" si="148"/>
        <v/>
      </c>
      <c r="CJ111" s="203">
        <f>IF($J111="",#N/A,SUM(CI$4:CI111))</f>
        <v>0</v>
      </c>
      <c r="CK111" s="204" t="str">
        <f t="shared" si="149"/>
        <v/>
      </c>
      <c r="CL111" s="204">
        <f>IF($J111="",#N/A,SUM(CK$4:CK111))</f>
        <v>1.8934431343190481</v>
      </c>
      <c r="CM111" s="205" t="str">
        <f t="shared" si="150"/>
        <v/>
      </c>
      <c r="CN111" s="205">
        <f>IF($J111="",#N/A,SUM(CM$4:CM111))</f>
        <v>2.5724959960693745</v>
      </c>
      <c r="CO111" s="205">
        <f>IF($J111="",#N/A,SUM(CM$4:CM111,CK$4:CK111,CI$4:CI111))</f>
        <v>4.4659391303884224</v>
      </c>
      <c r="CP111" s="200" t="str">
        <f t="shared" si="151"/>
        <v/>
      </c>
      <c r="CQ111" s="203">
        <f>IF($J111="",#N/A,SUM(CP$4:CP111))</f>
        <v>0</v>
      </c>
      <c r="CR111" s="204" t="str">
        <f t="shared" si="152"/>
        <v/>
      </c>
      <c r="CS111" s="204">
        <f>IF($J111="",#N/A,SUM(CR$4:CR111))</f>
        <v>0</v>
      </c>
      <c r="CT111" s="205" t="str">
        <f t="shared" si="153"/>
        <v/>
      </c>
      <c r="CU111" s="205">
        <f>IF($J111="",#N/A,SUM(CT$4:CT111))</f>
        <v>0</v>
      </c>
      <c r="CV111" s="205">
        <f>IF($J111="",#N/A,SUM(CT$4:CT111,CR$4:CR111,CP$4:CP111))</f>
        <v>0</v>
      </c>
      <c r="CW111" s="200" t="str">
        <f t="shared" si="154"/>
        <v/>
      </c>
      <c r="CX111" s="203">
        <f>IF($J111="",#N/A,SUM(CW$4:CW111))</f>
        <v>0</v>
      </c>
      <c r="CY111" s="204" t="str">
        <f t="shared" si="155"/>
        <v/>
      </c>
      <c r="CZ111" s="204">
        <f>IF($J111="",#N/A,SUM(CY$4:CY111))</f>
        <v>-1.9289529100071134</v>
      </c>
      <c r="DA111" s="205" t="str">
        <f t="shared" si="156"/>
        <v/>
      </c>
      <c r="DB111" s="205">
        <f>IF($J111="",#N/A,SUM(DA$4:DA111))</f>
        <v>-0.16932974967219971</v>
      </c>
      <c r="DC111" s="205">
        <f>IF($J111="",#N/A,SUM(DA$4:DA111,CY$4:CY111,CW$4:CW111))</f>
        <v>-2.0982826596793132</v>
      </c>
      <c r="DD111" s="200" t="str">
        <f t="shared" si="157"/>
        <v/>
      </c>
      <c r="DE111" s="203">
        <f>IF($J111="",#N/A,SUM(DD$4:DD111))</f>
        <v>0.4905246481018824</v>
      </c>
      <c r="DF111" s="204" t="str">
        <f t="shared" si="158"/>
        <v/>
      </c>
      <c r="DG111" s="204">
        <f>IF($J111="",#N/A,SUM(DF$4:DF111))</f>
        <v>0.77374072477919809</v>
      </c>
      <c r="DH111" s="205" t="str">
        <f t="shared" si="159"/>
        <v/>
      </c>
      <c r="DI111" s="205">
        <f>IF($J111="",#N/A,SUM(DH$4:DH111))</f>
        <v>-1.8170936831137556</v>
      </c>
      <c r="DJ111" s="205">
        <f>IF($J111="",#N/A,SUM(DH$4:DH111,DF$4:DF111,DD$4:DD111))</f>
        <v>-0.55282831023267498</v>
      </c>
      <c r="DK111" s="200" t="str">
        <f t="shared" si="160"/>
        <v/>
      </c>
      <c r="DL111" s="203">
        <f>IF($J111="",#N/A,SUM(DK$4:DK111))</f>
        <v>-1.2097286851272664</v>
      </c>
      <c r="DM111" s="204" t="str">
        <f t="shared" si="161"/>
        <v/>
      </c>
      <c r="DN111" s="204">
        <f>IF($J111="",#N/A,SUM(DM$4:DM111))</f>
        <v>1.1910608267574658</v>
      </c>
      <c r="DO111" s="205" t="str">
        <f t="shared" si="162"/>
        <v/>
      </c>
      <c r="DP111" s="205">
        <f>IF($J111="",#N/A,SUM(DO$4:DO111))</f>
        <v>-0.43291760746858676</v>
      </c>
      <c r="DQ111" s="205">
        <f>IF($J111="",#N/A,SUM(DO$4:DO111,DM$4:DM111,DK$4:DK111))</f>
        <v>-0.45158546583838721</v>
      </c>
      <c r="DR111" s="200" t="str">
        <f t="shared" si="163"/>
        <v/>
      </c>
      <c r="DS111" s="203">
        <f>IF($J111="",#N/A,SUM(DR$4:DR111))</f>
        <v>-0.55950946427675097</v>
      </c>
      <c r="DT111" s="204" t="str">
        <f t="shared" si="164"/>
        <v/>
      </c>
      <c r="DU111" s="204">
        <f>IF($J111="",#N/A,SUM(DT$4:DT111))</f>
        <v>-2.8875364672150718</v>
      </c>
      <c r="DV111" s="205" t="str">
        <f t="shared" si="165"/>
        <v/>
      </c>
      <c r="DW111" s="205">
        <f>IF($J111="",#N/A,SUM(DV$4:DV111))</f>
        <v>-2.6814706788983136</v>
      </c>
      <c r="DX111" s="205">
        <f>IF($J111="",#N/A,SUM(DV$4:DV111,DT$4:DT111,DR$4:DR111))</f>
        <v>-6.1285166103901361</v>
      </c>
      <c r="DY111" s="200" t="str">
        <f t="shared" si="166"/>
        <v/>
      </c>
      <c r="DZ111" s="203">
        <f>IF($J111="",#N/A,SUM(DY$4:DY111))</f>
        <v>-1.2652059025281583</v>
      </c>
      <c r="EA111" s="204" t="str">
        <f t="shared" si="167"/>
        <v/>
      </c>
      <c r="EB111" s="204">
        <f>IF($J111="",#N/A,SUM(EA$4:EA111))</f>
        <v>-0.36153038830642437</v>
      </c>
      <c r="EC111" s="205" t="str">
        <f t="shared" si="168"/>
        <v/>
      </c>
      <c r="ED111" s="205">
        <f>IF($J111="",#N/A,SUM(EC$4:EC111))</f>
        <v>1.7103671484331777</v>
      </c>
      <c r="EE111" s="205">
        <f>IF($J111="",#N/A,SUM(EC$4:EC111,EA$4:EA111,DY$4:DY111))</f>
        <v>8.3630857598595065E-2</v>
      </c>
      <c r="EF111" s="200" t="str">
        <f t="shared" si="169"/>
        <v/>
      </c>
      <c r="EG111" s="203">
        <f>IF($J111="",#N/A,SUM(EF$4:EF111))</f>
        <v>0</v>
      </c>
      <c r="EH111" s="204" t="str">
        <f t="shared" si="170"/>
        <v/>
      </c>
      <c r="EI111" s="204">
        <f>IF($J111="",#N/A,SUM(EH$4:EH111))</f>
        <v>-2.6174111635897193</v>
      </c>
      <c r="EJ111" s="205" t="str">
        <f t="shared" si="171"/>
        <v/>
      </c>
      <c r="EK111" s="205">
        <f>IF($J111="",#N/A,SUM(EJ$4:EJ111))</f>
        <v>2.2116398676705207</v>
      </c>
      <c r="EL111" s="205">
        <f>IF($J111="",#N/A,SUM(EJ$4:EJ111,EH$4:EH111,EF$4:EF111))</f>
        <v>-0.40577129591919803</v>
      </c>
      <c r="EM111" s="200" t="str">
        <f t="shared" si="172"/>
        <v/>
      </c>
      <c r="EN111" s="203">
        <f>IF($J111="",#N/A,SUM(EM$4:EM111))</f>
        <v>0</v>
      </c>
      <c r="EO111" s="204" t="str">
        <f t="shared" si="173"/>
        <v/>
      </c>
      <c r="EP111" s="204">
        <f>IF($J111="",#N/A,SUM(EO$4:EO111))</f>
        <v>1.5996008301242557</v>
      </c>
      <c r="EQ111" s="205" t="str">
        <f t="shared" si="174"/>
        <v/>
      </c>
      <c r="ER111" s="205">
        <f>IF($J111="",#N/A,SUM(EQ$4:EQ111))</f>
        <v>0.4926597949853756</v>
      </c>
      <c r="ES111" s="205">
        <f>IF($J111="",#N/A,SUM(EQ$4:EQ111,EO$4:EO111,EM$4:EM111))</f>
        <v>2.0922606251096312</v>
      </c>
      <c r="ET111" s="200" t="str">
        <f t="shared" si="175"/>
        <v/>
      </c>
      <c r="EU111" s="203">
        <f>IF($J111="",#N/A,SUM(ET$4:ET111))</f>
        <v>0</v>
      </c>
      <c r="EV111" s="204" t="str">
        <f t="shared" si="176"/>
        <v/>
      </c>
      <c r="EW111" s="204">
        <f>IF($J111="",#N/A,SUM(EV$4:EV111))</f>
        <v>-0.73430241270792684</v>
      </c>
      <c r="EX111" s="205">
        <f t="shared" si="177"/>
        <v>-1.3649759578098331</v>
      </c>
      <c r="EY111" s="205">
        <f>IF($J111="",#N/A,SUM(EX$4:EX111))</f>
        <v>2.0960106423519864E-3</v>
      </c>
      <c r="EZ111" s="205">
        <f>IF($J111="",#N/A,SUM(EX$4:EX111,EV$4:EV111,ET$4:ET111))</f>
        <v>-0.73220640206557486</v>
      </c>
      <c r="FA111" s="200" t="str">
        <f t="shared" si="178"/>
        <v/>
      </c>
      <c r="FB111" s="203">
        <f>IF($J111="",#N/A,SUM(FA$4:FA111))</f>
        <v>0</v>
      </c>
      <c r="FC111" s="204" t="str">
        <f t="shared" si="179"/>
        <v/>
      </c>
      <c r="FD111" s="204">
        <f>IF($J111="",#N/A,SUM(FC$4:FC111))</f>
        <v>1.154074230495441</v>
      </c>
      <c r="FE111" s="205" t="str">
        <f t="shared" si="180"/>
        <v/>
      </c>
      <c r="FF111" s="205">
        <f>IF($J111="",#N/A,SUM(FE$4:FE111))</f>
        <v>-0.28811149078748233</v>
      </c>
      <c r="FG111" s="205">
        <f>IF($J111="",#N/A,SUM(FE$4:FE111,FC$4:FC111,FA$4:FA111))</f>
        <v>0.86596273970795878</v>
      </c>
      <c r="FH111" s="200" t="str">
        <f t="shared" si="181"/>
        <v/>
      </c>
      <c r="FI111" s="203">
        <f>IF($J111="",#N/A,SUM(FH$4:FH111))</f>
        <v>0</v>
      </c>
      <c r="FJ111" s="204" t="str">
        <f t="shared" si="182"/>
        <v/>
      </c>
      <c r="FK111" s="204">
        <f>IF($J111="",#N/A,SUM(FJ$4:FJ111))</f>
        <v>0</v>
      </c>
      <c r="FL111" s="205" t="str">
        <f t="shared" si="183"/>
        <v/>
      </c>
      <c r="FM111" s="205">
        <f>IF($J111="",#N/A,SUM(FL$4:FL111))</f>
        <v>0</v>
      </c>
      <c r="FN111" s="205">
        <f>IF($J111="",#N/A,SUM(FL$4:FL111,FJ$4:FJ111,FH$4:FH111))</f>
        <v>0</v>
      </c>
      <c r="FO111" s="200" t="str">
        <f t="shared" si="184"/>
        <v/>
      </c>
      <c r="FP111" s="203">
        <f>IF($J111="",#N/A,SUM(FO$4:FO111))</f>
        <v>0</v>
      </c>
      <c r="FQ111" s="204" t="str">
        <f t="shared" si="185"/>
        <v/>
      </c>
      <c r="FR111" s="204">
        <f>IF($J111="",#N/A,SUM(FQ$4:FQ111))</f>
        <v>0</v>
      </c>
      <c r="FS111" s="205" t="str">
        <f t="shared" si="186"/>
        <v/>
      </c>
      <c r="FT111" s="205">
        <f>IF($J111="",#N/A,SUM(FS$4:FS111))</f>
        <v>0</v>
      </c>
      <c r="FU111" s="205">
        <f>IF($J111="",#N/A,SUM(FS$4:FS111,FQ$4:FQ111,FO$4:FO111))</f>
        <v>0</v>
      </c>
      <c r="FV111" s="200" t="str">
        <f t="shared" si="187"/>
        <v/>
      </c>
      <c r="FW111" s="203">
        <f>IF($J111="",#N/A,SUM(FV$4:FV111))</f>
        <v>6.6834991831277585E-2</v>
      </c>
      <c r="FX111" s="204" t="str">
        <f t="shared" si="188"/>
        <v/>
      </c>
      <c r="FY111" s="204">
        <f>IF($J111="",#N/A,SUM(FX$4:FX111))</f>
        <v>0</v>
      </c>
      <c r="FZ111" s="205" t="str">
        <f t="shared" si="189"/>
        <v/>
      </c>
      <c r="GA111" s="205">
        <f>IF($J111="",#N/A,SUM(FZ$4:FZ111))</f>
        <v>-0.22620195801622528</v>
      </c>
      <c r="GB111" s="205">
        <f>IF($J111="",#N/A,SUM(FZ$4:FZ111,FX$4:FX111,FV$4:FV111))</f>
        <v>-0.15936696618494769</v>
      </c>
      <c r="GC111" s="200" t="str">
        <f t="shared" si="190"/>
        <v/>
      </c>
      <c r="GD111" s="203">
        <f>IF($J111="",#N/A,SUM(GC$4:GC111))</f>
        <v>0</v>
      </c>
      <c r="GE111" s="204" t="str">
        <f t="shared" si="191"/>
        <v/>
      </c>
      <c r="GF111" s="204">
        <f>IF($J111="",#N/A,SUM(GE$4:GE111))</f>
        <v>0</v>
      </c>
      <c r="GG111" s="205" t="str">
        <f t="shared" si="192"/>
        <v/>
      </c>
      <c r="GH111" s="205">
        <f>IF($J111="",#N/A,SUM(GG$4:GG111))</f>
        <v>-2.9368362277223206</v>
      </c>
      <c r="GI111" s="205">
        <f>IF($J111="",#N/A,SUM(GG$4:GG111,GE$4:GE111,GC$4:GC111))</f>
        <v>-2.9368362277223206</v>
      </c>
      <c r="GJ111" s="200" t="str">
        <f t="shared" si="193"/>
        <v/>
      </c>
      <c r="GK111" s="203">
        <f>IF($J111="",#N/A,SUM(GJ$4:GJ111))</f>
        <v>0</v>
      </c>
      <c r="GL111" s="204" t="str">
        <f t="shared" si="194"/>
        <v/>
      </c>
      <c r="GM111" s="204">
        <f>IF($J111="",#N/A,SUM(GL$4:GL111))</f>
        <v>-0.4054764861692941</v>
      </c>
      <c r="GN111" s="205" t="str">
        <f t="shared" si="195"/>
        <v/>
      </c>
      <c r="GO111" s="205">
        <f>IF($J111="",#N/A,SUM(GN$4:GN111))</f>
        <v>0</v>
      </c>
      <c r="GP111" s="205">
        <f>IF($J111="",#N/A,SUM(GN$4:GN111,GL$4:GL111,GJ$4:GJ111))</f>
        <v>-0.4054764861692941</v>
      </c>
      <c r="GS111" s="54">
        <f t="shared" si="214"/>
        <v>-1.3649759578098331</v>
      </c>
      <c r="GT111" s="54">
        <f>IF(GS111="",NA(),SUM($GS$4:GS111))</f>
        <v>-6.8409279532900413</v>
      </c>
      <c r="GU111" s="54" t="str">
        <f t="shared" si="196"/>
        <v/>
      </c>
      <c r="GV111" s="54" t="e">
        <f>IF(GU111="",NA(),SUM($GU$4:GU111))</f>
        <v>#N/A</v>
      </c>
      <c r="GW111" s="54">
        <f t="shared" si="197"/>
        <v>-1.3649759578098331</v>
      </c>
      <c r="GX111" s="54">
        <f>IF(GW111="",NA(),SUM($GW$4:GW111))</f>
        <v>-1.7646913908053667</v>
      </c>
      <c r="GY111" s="54" t="str">
        <f t="shared" si="198"/>
        <v/>
      </c>
      <c r="GZ111" s="54" t="e">
        <f>IF(GY111="",NA(),SUM($GY$4:GY111))</f>
        <v>#N/A</v>
      </c>
      <c r="HA111" s="54" t="str">
        <f t="shared" si="199"/>
        <v/>
      </c>
      <c r="HB111" s="54" t="e">
        <f>IF(HA111="",NA(),SUM($HA$4:HA111))</f>
        <v>#N/A</v>
      </c>
      <c r="HC111" s="54" t="str">
        <f t="shared" si="200"/>
        <v/>
      </c>
      <c r="HD111" s="54" t="e">
        <f>IF(HC111="",NA(),SUM($HC$4:HC111))</f>
        <v>#N/A</v>
      </c>
      <c r="HE111" s="54" t="str">
        <f t="shared" si="201"/>
        <v/>
      </c>
      <c r="HF111" s="54" t="e">
        <f>IF(HE111="",NA(),SUM($HE$4:HE111))</f>
        <v>#N/A</v>
      </c>
      <c r="HG111" s="54" t="str">
        <f t="shared" si="202"/>
        <v/>
      </c>
      <c r="HH111" s="54" t="e">
        <f>IF(HG111="",NA(),SUM($HG$4:HG111))</f>
        <v>#N/A</v>
      </c>
      <c r="HI111" s="172" t="str">
        <f t="shared" si="215"/>
        <v/>
      </c>
      <c r="HJ111" s="172">
        <f>IF($J111="",#N/A,SUM(HI$4:$HI111))</f>
        <v>-2.7142678729430094</v>
      </c>
      <c r="HK111" s="54" t="str">
        <f t="shared" si="203"/>
        <v/>
      </c>
      <c r="HL111" s="54">
        <f>IF($J111="",#N/A,SUM($HK$4:HK111))</f>
        <v>-5.2584365376693087</v>
      </c>
      <c r="HM111" s="54" t="str">
        <f t="shared" si="204"/>
        <v/>
      </c>
      <c r="HN111" s="54">
        <f>IF($J111="",#N/A,SUM($HM$4:HM111))</f>
        <v>0.71812545963587882</v>
      </c>
      <c r="HO111" s="54" t="str">
        <f t="shared" si="205"/>
        <v/>
      </c>
      <c r="HP111" s="54">
        <f>IF($J111="",#N/A,SUM($HO$4:HO111))</f>
        <v>-1.004778156728636</v>
      </c>
      <c r="HQ111" s="54" t="str">
        <f t="shared" si="206"/>
        <v/>
      </c>
      <c r="HR111" s="54">
        <f>IF($J111="",#N/A,SUM($HQ$4:HQ111))</f>
        <v>-6.1746076181104117</v>
      </c>
      <c r="HS111" s="54">
        <f t="shared" si="207"/>
        <v>0.24817744687451504</v>
      </c>
      <c r="HT111" s="54">
        <f>IF($J111="",#N/A,SUM($HS$4:HS111))</f>
        <v>6.2961282021713112</v>
      </c>
      <c r="HU111" s="65">
        <f t="shared" si="208"/>
        <v>-1.116798510935318</v>
      </c>
      <c r="HV111" s="65">
        <f>IF($J111="",#N/A,SUM(HU$4:$HU111))</f>
        <v>-14.500913595041414</v>
      </c>
    </row>
    <row r="112" spans="1:230" x14ac:dyDescent="0.25">
      <c r="A112" s="51" t="s">
        <v>1265</v>
      </c>
      <c r="B112" s="52" t="s">
        <v>4523</v>
      </c>
      <c r="C112" s="229">
        <f t="shared" si="109"/>
        <v>3</v>
      </c>
      <c r="D112" s="219" t="str">
        <f>_xlfn.XLOOKUP(A112,[1]SP500!$A$2:$A$502,[1]SP500!$D$2:$D$502,"N")</f>
        <v>Y</v>
      </c>
      <c r="E112" s="51" t="str">
        <f>IFERROR(_xlfn.XLOOKUP(A112,[1]SP500!$A$2:$A$655,[1]SP500!$B$2:$B$655),"")</f>
        <v>XLC</v>
      </c>
      <c r="F112" s="290">
        <v>45771</v>
      </c>
      <c r="G112" s="51" t="str">
        <f t="shared" si="110"/>
        <v>AMC</v>
      </c>
      <c r="H112" s="51" t="str">
        <f t="shared" si="111"/>
        <v>s</v>
      </c>
      <c r="I112" s="124">
        <v>161.47</v>
      </c>
      <c r="J112" s="124">
        <v>167.1</v>
      </c>
      <c r="K112" s="55">
        <f t="shared" si="112"/>
        <v>3.4867157986003566E-2</v>
      </c>
      <c r="L112" s="67">
        <f t="shared" si="113"/>
        <v>33.779999999999973</v>
      </c>
      <c r="M112" s="57">
        <f t="shared" si="114"/>
        <v>-1.9199999999998454</v>
      </c>
      <c r="N112" s="147">
        <f t="shared" si="115"/>
        <v>33.779999999999973</v>
      </c>
      <c r="O112" s="57">
        <f>IF(N112="",#N/A,SUM($N$4:N112))</f>
        <v>-520.90259402190645</v>
      </c>
      <c r="P112" s="65">
        <f t="shared" si="209"/>
        <v>0.58111929976672605</v>
      </c>
      <c r="Q112" s="172">
        <f>IF($N112="",#N/A,SUM($P$4:P112))</f>
        <v>-5.7819577716305144</v>
      </c>
      <c r="R112" s="279">
        <f t="shared" si="116"/>
        <v>2.0171571272161648</v>
      </c>
      <c r="S112" s="51" t="str">
        <f t="shared" si="117"/>
        <v>SW</v>
      </c>
      <c r="T112" s="51" t="s">
        <v>2828</v>
      </c>
      <c r="U112" s="56">
        <f t="shared" si="118"/>
        <v>161.47</v>
      </c>
      <c r="V112" s="56" t="s">
        <v>4460</v>
      </c>
      <c r="W112" s="142">
        <v>6</v>
      </c>
      <c r="X112" s="145">
        <f t="shared" si="119"/>
        <v>968.81999999999994</v>
      </c>
      <c r="Y112" s="140">
        <f t="shared" si="120"/>
        <v>6</v>
      </c>
      <c r="Z112" s="123">
        <v>166.78</v>
      </c>
      <c r="AA112" s="102">
        <f t="shared" si="121"/>
        <v>31.860000000000127</v>
      </c>
      <c r="AB112" s="102">
        <f t="shared" si="122"/>
        <v>14.279999999999973</v>
      </c>
      <c r="AC112" s="124">
        <v>163.85</v>
      </c>
      <c r="AD112" s="155">
        <f t="shared" si="123"/>
        <v>14.279999999999973</v>
      </c>
      <c r="AE112" s="545">
        <f t="shared" si="124"/>
        <v>0.24565966846266546</v>
      </c>
      <c r="AF112" s="57">
        <f>IF($AC112="",#N/A,SUM(AD$4:AD112))</f>
        <v>-952.78260457963495</v>
      </c>
      <c r="AG112" s="102">
        <f t="shared" si="125"/>
        <v>-19.5</v>
      </c>
      <c r="AH112" s="102" t="s">
        <v>2507</v>
      </c>
      <c r="AI112" s="65">
        <f t="shared" si="126"/>
        <v>0.54808942837679042</v>
      </c>
      <c r="AJ112" s="54">
        <f>IF(AI112="",#N/A,SUM($AI$4:AI112))</f>
        <v>-7.7991148988466792</v>
      </c>
      <c r="AK112" s="144">
        <f t="shared" si="127"/>
        <v>31.860000000000127</v>
      </c>
      <c r="AL112" s="349">
        <f>IF(AI112="",#N/A,IF(AH112="Skip",SUM($AK$4:AK112),SUM($AK$4:AK112)))</f>
        <v>-674.29769999999928</v>
      </c>
      <c r="AM112" s="65">
        <f t="shared" si="210"/>
        <v>0.24565966846266546</v>
      </c>
      <c r="AN112" s="210"/>
      <c r="AO112" s="65">
        <f t="shared" si="128"/>
        <v>0.24565966846266546</v>
      </c>
      <c r="AP112" s="65">
        <f>IF($AC112="",#N/A,SUM(AO$4:AO112))</f>
        <v>-1.1955223253545211</v>
      </c>
      <c r="AQ112" s="65" t="str">
        <f t="shared" si="129"/>
        <v/>
      </c>
      <c r="AR112" s="65">
        <f>IF($AC112="",#N/A,SUM(AQ$4:AQ112))</f>
        <v>-2.7637371090917728</v>
      </c>
      <c r="AS112" s="65" t="str">
        <f t="shared" si="130"/>
        <v/>
      </c>
      <c r="AT112" s="65">
        <f>IF($AC112="",#N/A,SUM(AS$4:AS112))</f>
        <v>-10.295994492132461</v>
      </c>
      <c r="AU112" s="57">
        <f t="shared" si="211"/>
        <v>14.279999999999973</v>
      </c>
      <c r="AV112" s="57">
        <f>IF($AC112="",#N/A,SUM(AU$4:AU112))</f>
        <v>-122.36043295663274</v>
      </c>
      <c r="AW112" s="57" t="str">
        <f t="shared" si="212"/>
        <v/>
      </c>
      <c r="AX112" s="57">
        <f>IF($AC112="",#N/A,SUM(AW$4:AW112))</f>
        <v>-173.34000000000015</v>
      </c>
      <c r="AY112" s="57" t="str">
        <f t="shared" si="213"/>
        <v/>
      </c>
      <c r="AZ112" s="57">
        <f>IF($AC112="",#N/A,SUM(AY$4:AY112))</f>
        <v>-657.08217162300207</v>
      </c>
      <c r="BA112" s="57">
        <f>IF(AD112="",#N/A,SUM($AD$4:AD112))</f>
        <v>-952.78260457963495</v>
      </c>
      <c r="BC112" s="51" t="str">
        <f t="shared" si="131"/>
        <v/>
      </c>
      <c r="BD112" s="51" t="str">
        <f t="shared" si="132"/>
        <v/>
      </c>
      <c r="BE112" s="51">
        <f t="shared" si="133"/>
        <v>1</v>
      </c>
      <c r="BF112" s="51" t="str">
        <f t="shared" si="134"/>
        <v>Long</v>
      </c>
      <c r="BG112" s="51" t="str">
        <f t="shared" si="135"/>
        <v/>
      </c>
      <c r="BH112" s="51" t="str">
        <f t="shared" si="136"/>
        <v/>
      </c>
      <c r="BI112" s="51" t="str">
        <f t="shared" si="137"/>
        <v/>
      </c>
      <c r="BK112" s="65">
        <f t="shared" si="108"/>
        <v>-7.8811903881653572E-3</v>
      </c>
      <c r="BL112" s="65">
        <f t="shared" si="216"/>
        <v>-0.15171322289523226</v>
      </c>
      <c r="BM112" s="65">
        <f>IFERROR(Q112/COUNTA($J$4:J112),#N/A)</f>
        <v>-5.3045484143399213E-2</v>
      </c>
      <c r="BO112" s="489">
        <f>IF(J112="",#N/A,IF(S112="SW",(COUNTIFS(K$4:$K112,"&gt;0",S$4:$S112,"SW")/COUNTIF(S$4:$S112,"SW")),#N/A))</f>
        <v>0.45901639344262296</v>
      </c>
      <c r="BP112" s="489" t="e">
        <f>IF($J112="",#N/A,IF($S112="DWN",(COUNTIFS($K$4:$K112,"&lt;0",$S$4:$S112,"DWN")/COUNTIF($S$4:$S112,"DWN")),#N/A))</f>
        <v>#N/A</v>
      </c>
      <c r="BQ112" s="489" t="e">
        <f>IF($J112="",#N/A,IF($S112="UP",(COUNTIFS($K$4:$K112,"&gt;0",$S$4:$S112,"UP")/COUNTIF($S$4:$S112,"UP")),#N/A))</f>
        <v>#N/A</v>
      </c>
      <c r="BR112" s="489">
        <f>IF(J112="",#N/A,COUNTIF($K$4:K112,"&gt;0")/COUNT($J$4:J112))</f>
        <v>0.46788990825688076</v>
      </c>
      <c r="BS112" s="65">
        <f t="shared" si="138"/>
        <v>0.58111929976672605</v>
      </c>
      <c r="BT112" s="65" t="str">
        <f t="shared" si="139"/>
        <v/>
      </c>
      <c r="BU112" s="65" t="str">
        <f t="shared" si="140"/>
        <v/>
      </c>
      <c r="BV112" s="65" t="str">
        <f t="shared" si="141"/>
        <v/>
      </c>
      <c r="BW112" s="127" t="str">
        <f t="shared" si="142"/>
        <v/>
      </c>
      <c r="BX112" s="127">
        <f>IF($J112="",#N/A,SUM($BW$4:BW112))</f>
        <v>-155.96500000000026</v>
      </c>
      <c r="BY112" s="130" t="str">
        <f t="shared" si="143"/>
        <v/>
      </c>
      <c r="BZ112" s="130">
        <f>IF($J112="",#N/A,SUM($BY$4:BY112))</f>
        <v>-199.1088504215478</v>
      </c>
      <c r="CA112" s="132">
        <f t="shared" si="144"/>
        <v>33.779999999999973</v>
      </c>
      <c r="CB112" s="132">
        <f>IF($J112="",#N/A,SUM($CA$4:CA112))</f>
        <v>-165.82874360035839</v>
      </c>
      <c r="CC112" s="194" t="str">
        <f t="shared" si="145"/>
        <v/>
      </c>
      <c r="CD112" s="194">
        <f>IF($J112="",#N/A,SUM($CC$4:CC112))</f>
        <v>-2.4770844119990163</v>
      </c>
      <c r="CE112" s="195" t="str">
        <f t="shared" si="146"/>
        <v/>
      </c>
      <c r="CF112" s="195">
        <f>IF($J112="",#N/A,SUM($CE$4:CE112))</f>
        <v>-2.3232900815201392</v>
      </c>
      <c r="CG112" s="196">
        <f t="shared" si="147"/>
        <v>0.58111929976672605</v>
      </c>
      <c r="CH112" s="193">
        <f>IF($J112="",#N/A,SUM($CG$4:CG112))</f>
        <v>-0.98158327811135515</v>
      </c>
      <c r="CI112" s="200" t="str">
        <f t="shared" si="148"/>
        <v/>
      </c>
      <c r="CJ112" s="206">
        <f>IF($J112="",#N/A,SUM(CI$4:CI112))</f>
        <v>0</v>
      </c>
      <c r="CK112" s="207" t="str">
        <f t="shared" si="149"/>
        <v/>
      </c>
      <c r="CL112" s="207">
        <f>IF($J112="",#N/A,SUM(CK$4:CK112))</f>
        <v>1.8934431343190481</v>
      </c>
      <c r="CM112" s="208" t="str">
        <f t="shared" si="150"/>
        <v/>
      </c>
      <c r="CN112" s="208">
        <f>IF($J112="",#N/A,SUM(CM$4:CM112))</f>
        <v>2.5724959960693745</v>
      </c>
      <c r="CO112" s="208">
        <f>IF($J112="",#N/A,SUM(CM$4:CM112,CK$4:CK112,CI$4:CI112))</f>
        <v>4.4659391303884224</v>
      </c>
      <c r="CP112" s="200" t="str">
        <f t="shared" si="151"/>
        <v/>
      </c>
      <c r="CQ112" s="206">
        <f>IF($J112="",#N/A,SUM(CP$4:CP112))</f>
        <v>0</v>
      </c>
      <c r="CR112" s="207" t="str">
        <f t="shared" si="152"/>
        <v/>
      </c>
      <c r="CS112" s="207">
        <f>IF($J112="",#N/A,SUM(CR$4:CR112))</f>
        <v>0</v>
      </c>
      <c r="CT112" s="208" t="str">
        <f t="shared" si="153"/>
        <v/>
      </c>
      <c r="CU112" s="208">
        <f>IF($J112="",#N/A,SUM(CT$4:CT112))</f>
        <v>0</v>
      </c>
      <c r="CV112" s="208">
        <f>IF($J112="",#N/A,SUM(CT$4:CT112,CR$4:CR112,CP$4:CP112))</f>
        <v>0</v>
      </c>
      <c r="CW112" s="200" t="str">
        <f t="shared" si="154"/>
        <v/>
      </c>
      <c r="CX112" s="206">
        <f>IF($J112="",#N/A,SUM(CW$4:CW112))</f>
        <v>0</v>
      </c>
      <c r="CY112" s="207" t="str">
        <f t="shared" si="155"/>
        <v/>
      </c>
      <c r="CZ112" s="207">
        <f>IF($J112="",#N/A,SUM(CY$4:CY112))</f>
        <v>-1.9289529100071134</v>
      </c>
      <c r="DA112" s="208" t="str">
        <f t="shared" si="156"/>
        <v/>
      </c>
      <c r="DB112" s="208">
        <f>IF($J112="",#N/A,SUM(DA$4:DA112))</f>
        <v>-0.16932974967219971</v>
      </c>
      <c r="DC112" s="208">
        <f>IF($J112="",#N/A,SUM(DA$4:DA112,CY$4:CY112,CW$4:CW112))</f>
        <v>-2.0982826596793132</v>
      </c>
      <c r="DD112" s="200" t="str">
        <f t="shared" si="157"/>
        <v/>
      </c>
      <c r="DE112" s="206">
        <f>IF($J112="",#N/A,SUM(DD$4:DD112))</f>
        <v>0.4905246481018824</v>
      </c>
      <c r="DF112" s="207" t="str">
        <f t="shared" si="158"/>
        <v/>
      </c>
      <c r="DG112" s="207">
        <f>IF($J112="",#N/A,SUM(DF$4:DF112))</f>
        <v>0.77374072477919809</v>
      </c>
      <c r="DH112" s="208" t="str">
        <f t="shared" si="159"/>
        <v/>
      </c>
      <c r="DI112" s="208">
        <f>IF($J112="",#N/A,SUM(DH$4:DH112))</f>
        <v>-1.8170936831137556</v>
      </c>
      <c r="DJ112" s="208">
        <f>IF($J112="",#N/A,SUM(DH$4:DH112,DF$4:DF112,DD$4:DD112))</f>
        <v>-0.55282831023267498</v>
      </c>
      <c r="DK112" s="200" t="str">
        <f t="shared" si="160"/>
        <v/>
      </c>
      <c r="DL112" s="206">
        <f>IF($J112="",#N/A,SUM(DK$4:DK112))</f>
        <v>-1.2097286851272664</v>
      </c>
      <c r="DM112" s="207" t="str">
        <f t="shared" si="161"/>
        <v/>
      </c>
      <c r="DN112" s="207">
        <f>IF($J112="",#N/A,SUM(DM$4:DM112))</f>
        <v>1.1910608267574658</v>
      </c>
      <c r="DO112" s="208">
        <f t="shared" si="162"/>
        <v>0.58111929976672605</v>
      </c>
      <c r="DP112" s="208">
        <f>IF($J112="",#N/A,SUM(DO$4:DO112))</f>
        <v>0.14820169229813929</v>
      </c>
      <c r="DQ112" s="208">
        <f>IF($J112="",#N/A,SUM(DO$4:DO112,DM$4:DM112,DK$4:DK112))</f>
        <v>0.12953383392833895</v>
      </c>
      <c r="DR112" s="200" t="str">
        <f t="shared" si="163"/>
        <v/>
      </c>
      <c r="DS112" s="206">
        <f>IF($J112="",#N/A,SUM(DR$4:DR112))</f>
        <v>-0.55950946427675097</v>
      </c>
      <c r="DT112" s="207" t="str">
        <f t="shared" si="164"/>
        <v/>
      </c>
      <c r="DU112" s="207">
        <f>IF($J112="",#N/A,SUM(DT$4:DT112))</f>
        <v>-2.8875364672150718</v>
      </c>
      <c r="DV112" s="208" t="str">
        <f t="shared" si="165"/>
        <v/>
      </c>
      <c r="DW112" s="208">
        <f>IF($J112="",#N/A,SUM(DV$4:DV112))</f>
        <v>-2.6814706788983136</v>
      </c>
      <c r="DX112" s="208">
        <f>IF($J112="",#N/A,SUM(DV$4:DV112,DT$4:DT112,DR$4:DR112))</f>
        <v>-6.1285166103901361</v>
      </c>
      <c r="DY112" s="200" t="str">
        <f t="shared" si="166"/>
        <v/>
      </c>
      <c r="DZ112" s="206">
        <f>IF($J112="",#N/A,SUM(DY$4:DY112))</f>
        <v>-1.2652059025281583</v>
      </c>
      <c r="EA112" s="207" t="str">
        <f t="shared" si="167"/>
        <v/>
      </c>
      <c r="EB112" s="207">
        <f>IF($J112="",#N/A,SUM(EA$4:EA112))</f>
        <v>-0.36153038830642437</v>
      </c>
      <c r="EC112" s="208" t="str">
        <f t="shared" si="168"/>
        <v/>
      </c>
      <c r="ED112" s="208">
        <f>IF($J112="",#N/A,SUM(EC$4:EC112))</f>
        <v>1.7103671484331777</v>
      </c>
      <c r="EE112" s="208">
        <f>IF($J112="",#N/A,SUM(EC$4:EC112,EA$4:EA112,DY$4:DY112))</f>
        <v>8.3630857598595065E-2</v>
      </c>
      <c r="EF112" s="200" t="str">
        <f t="shared" si="169"/>
        <v/>
      </c>
      <c r="EG112" s="206">
        <f>IF($J112="",#N/A,SUM(EF$4:EF112))</f>
        <v>0</v>
      </c>
      <c r="EH112" s="207" t="str">
        <f t="shared" si="170"/>
        <v/>
      </c>
      <c r="EI112" s="207">
        <f>IF($J112="",#N/A,SUM(EH$4:EH112))</f>
        <v>-2.6174111635897193</v>
      </c>
      <c r="EJ112" s="208" t="str">
        <f t="shared" si="171"/>
        <v/>
      </c>
      <c r="EK112" s="208">
        <f>IF($J112="",#N/A,SUM(EJ$4:EJ112))</f>
        <v>2.2116398676705207</v>
      </c>
      <c r="EL112" s="208">
        <f>IF($J112="",#N/A,SUM(EJ$4:EJ112,EH$4:EH112,EF$4:EF112))</f>
        <v>-0.40577129591919803</v>
      </c>
      <c r="EM112" s="200" t="str">
        <f t="shared" si="172"/>
        <v/>
      </c>
      <c r="EN112" s="206">
        <f>IF($J112="",#N/A,SUM(EM$4:EM112))</f>
        <v>0</v>
      </c>
      <c r="EO112" s="207" t="str">
        <f t="shared" si="173"/>
        <v/>
      </c>
      <c r="EP112" s="207">
        <f>IF($J112="",#N/A,SUM(EO$4:EO112))</f>
        <v>1.5996008301242557</v>
      </c>
      <c r="EQ112" s="208" t="str">
        <f t="shared" si="174"/>
        <v/>
      </c>
      <c r="ER112" s="208">
        <f>IF($J112="",#N/A,SUM(EQ$4:EQ112))</f>
        <v>0.4926597949853756</v>
      </c>
      <c r="ES112" s="208">
        <f>IF($J112="",#N/A,SUM(EQ$4:EQ112,EO$4:EO112,EM$4:EM112))</f>
        <v>2.0922606251096312</v>
      </c>
      <c r="ET112" s="200" t="str">
        <f t="shared" si="175"/>
        <v/>
      </c>
      <c r="EU112" s="206">
        <f>IF($J112="",#N/A,SUM(ET$4:ET112))</f>
        <v>0</v>
      </c>
      <c r="EV112" s="207" t="str">
        <f t="shared" si="176"/>
        <v/>
      </c>
      <c r="EW112" s="207">
        <f>IF($J112="",#N/A,SUM(EV$4:EV112))</f>
        <v>-0.73430241270792684</v>
      </c>
      <c r="EX112" s="208" t="str">
        <f t="shared" si="177"/>
        <v/>
      </c>
      <c r="EY112" s="208">
        <f>IF($J112="",#N/A,SUM(EX$4:EX112))</f>
        <v>2.0960106423519864E-3</v>
      </c>
      <c r="EZ112" s="208">
        <f>IF($J112="",#N/A,SUM(EX$4:EX112,EV$4:EV112,ET$4:ET112))</f>
        <v>-0.73220640206557486</v>
      </c>
      <c r="FA112" s="200" t="str">
        <f t="shared" si="178"/>
        <v/>
      </c>
      <c r="FB112" s="206">
        <f>IF($J112="",#N/A,SUM(FA$4:FA112))</f>
        <v>0</v>
      </c>
      <c r="FC112" s="207" t="str">
        <f t="shared" si="179"/>
        <v/>
      </c>
      <c r="FD112" s="207">
        <f>IF($J112="",#N/A,SUM(FC$4:FC112))</f>
        <v>1.154074230495441</v>
      </c>
      <c r="FE112" s="208" t="str">
        <f t="shared" si="180"/>
        <v/>
      </c>
      <c r="FF112" s="208">
        <f>IF($J112="",#N/A,SUM(FE$4:FE112))</f>
        <v>-0.28811149078748233</v>
      </c>
      <c r="FG112" s="208">
        <f>IF($J112="",#N/A,SUM(FE$4:FE112,FC$4:FC112,FA$4:FA112))</f>
        <v>0.86596273970795878</v>
      </c>
      <c r="FH112" s="200" t="str">
        <f t="shared" si="181"/>
        <v/>
      </c>
      <c r="FI112" s="206">
        <f>IF($J112="",#N/A,SUM(FH$4:FH112))</f>
        <v>0</v>
      </c>
      <c r="FJ112" s="207" t="str">
        <f t="shared" si="182"/>
        <v/>
      </c>
      <c r="FK112" s="207">
        <f>IF($J112="",#N/A,SUM(FJ$4:FJ112))</f>
        <v>0</v>
      </c>
      <c r="FL112" s="208" t="str">
        <f t="shared" si="183"/>
        <v/>
      </c>
      <c r="FM112" s="208">
        <f>IF($J112="",#N/A,SUM(FL$4:FL112))</f>
        <v>0</v>
      </c>
      <c r="FN112" s="208">
        <f>IF($J112="",#N/A,SUM(FL$4:FL112,FJ$4:FJ112,FH$4:FH112))</f>
        <v>0</v>
      </c>
      <c r="FO112" s="200" t="str">
        <f t="shared" si="184"/>
        <v/>
      </c>
      <c r="FP112" s="206">
        <f>IF($J112="",#N/A,SUM(FO$4:FO112))</f>
        <v>0</v>
      </c>
      <c r="FQ112" s="207" t="str">
        <f t="shared" si="185"/>
        <v/>
      </c>
      <c r="FR112" s="207">
        <f>IF($J112="",#N/A,SUM(FQ$4:FQ112))</f>
        <v>0</v>
      </c>
      <c r="FS112" s="208" t="str">
        <f t="shared" si="186"/>
        <v/>
      </c>
      <c r="FT112" s="208">
        <f>IF($J112="",#N/A,SUM(FS$4:FS112))</f>
        <v>0</v>
      </c>
      <c r="FU112" s="208">
        <f>IF($J112="",#N/A,SUM(FS$4:FS112,FQ$4:FQ112,FO$4:FO112))</f>
        <v>0</v>
      </c>
      <c r="FV112" s="200" t="str">
        <f t="shared" si="187"/>
        <v/>
      </c>
      <c r="FW112" s="206">
        <f>IF($J112="",#N/A,SUM(FV$4:FV112))</f>
        <v>6.6834991831277585E-2</v>
      </c>
      <c r="FX112" s="207" t="str">
        <f t="shared" si="188"/>
        <v/>
      </c>
      <c r="FY112" s="207">
        <f>IF($J112="",#N/A,SUM(FX$4:FX112))</f>
        <v>0</v>
      </c>
      <c r="FZ112" s="208" t="str">
        <f t="shared" si="189"/>
        <v/>
      </c>
      <c r="GA112" s="208">
        <f>IF($J112="",#N/A,SUM(FZ$4:FZ112))</f>
        <v>-0.22620195801622528</v>
      </c>
      <c r="GB112" s="208">
        <f>IF($J112="",#N/A,SUM(FZ$4:FZ112,FX$4:FX112,FV$4:FV112))</f>
        <v>-0.15936696618494769</v>
      </c>
      <c r="GC112" s="200" t="str">
        <f t="shared" si="190"/>
        <v/>
      </c>
      <c r="GD112" s="206">
        <f>IF($J112="",#N/A,SUM(GC$4:GC112))</f>
        <v>0</v>
      </c>
      <c r="GE112" s="207" t="str">
        <f t="shared" si="191"/>
        <v/>
      </c>
      <c r="GF112" s="207">
        <f>IF($J112="",#N/A,SUM(GE$4:GE112))</f>
        <v>0</v>
      </c>
      <c r="GG112" s="208" t="str">
        <f t="shared" si="192"/>
        <v/>
      </c>
      <c r="GH112" s="208">
        <f>IF($J112="",#N/A,SUM(GG$4:GG112))</f>
        <v>-2.9368362277223206</v>
      </c>
      <c r="GI112" s="208">
        <f>IF($J112="",#N/A,SUM(GG$4:GG112,GE$4:GE112,GC$4:GC112))</f>
        <v>-2.9368362277223206</v>
      </c>
      <c r="GJ112" s="200" t="str">
        <f t="shared" si="193"/>
        <v/>
      </c>
      <c r="GK112" s="206">
        <f>IF($J112="",#N/A,SUM(GJ$4:GJ112))</f>
        <v>0</v>
      </c>
      <c r="GL112" s="207" t="str">
        <f t="shared" si="194"/>
        <v/>
      </c>
      <c r="GM112" s="207">
        <f>IF($J112="",#N/A,SUM(GL$4:GL112))</f>
        <v>-0.4054764861692941</v>
      </c>
      <c r="GN112" s="208" t="str">
        <f t="shared" si="195"/>
        <v/>
      </c>
      <c r="GO112" s="208">
        <f>IF($J112="",#N/A,SUM(GN$4:GN112))</f>
        <v>0</v>
      </c>
      <c r="GP112" s="208">
        <f>IF($J112="",#N/A,SUM(GN$4:GN112,GL$4:GL112,GJ$4:GJ112))</f>
        <v>-0.4054764861692941</v>
      </c>
      <c r="GS112" s="54">
        <f t="shared" si="214"/>
        <v>0.58111929976672605</v>
      </c>
      <c r="GT112" s="54">
        <f>IF(GS112="",NA(),SUM($GS$4:GS112))</f>
        <v>-6.2598086535233151</v>
      </c>
      <c r="GU112" s="54" t="str">
        <f t="shared" si="196"/>
        <v/>
      </c>
      <c r="GV112" s="54" t="e">
        <f>IF(GU112="",NA(),SUM($GU$4:GU112))</f>
        <v>#N/A</v>
      </c>
      <c r="GW112" s="54">
        <f t="shared" si="197"/>
        <v>0.58111929976672605</v>
      </c>
      <c r="GX112" s="54">
        <f>IF(GW112="",NA(),SUM($GW$4:GW112))</f>
        <v>-1.1835720910386407</v>
      </c>
      <c r="GY112" s="54" t="str">
        <f t="shared" si="198"/>
        <v/>
      </c>
      <c r="GZ112" s="54" t="e">
        <f>IF(GY112="",NA(),SUM($GY$4:GY112))</f>
        <v>#N/A</v>
      </c>
      <c r="HA112" s="54" t="str">
        <f t="shared" si="199"/>
        <v/>
      </c>
      <c r="HB112" s="54" t="e">
        <f>IF(HA112="",NA(),SUM($HA$4:HA112))</f>
        <v>#N/A</v>
      </c>
      <c r="HC112" s="54" t="str">
        <f t="shared" si="200"/>
        <v/>
      </c>
      <c r="HD112" s="54" t="e">
        <f>IF(HC112="",NA(),SUM($HC$4:HC112))</f>
        <v>#N/A</v>
      </c>
      <c r="HE112" s="54" t="str">
        <f t="shared" si="201"/>
        <v/>
      </c>
      <c r="HF112" s="54" t="e">
        <f>IF(HE112="",NA(),SUM($HE$4:HE112))</f>
        <v>#N/A</v>
      </c>
      <c r="HG112" s="54" t="str">
        <f t="shared" si="202"/>
        <v/>
      </c>
      <c r="HH112" s="54" t="e">
        <f>IF(HG112="",NA(),SUM($HG$4:HG112))</f>
        <v>#N/A</v>
      </c>
      <c r="HI112" s="172" t="str">
        <f t="shared" si="215"/>
        <v/>
      </c>
      <c r="HJ112" s="172">
        <f>IF($J112="",#N/A,SUM(HI$4:$HI112))</f>
        <v>-2.7142678729430094</v>
      </c>
      <c r="HK112" s="54" t="str">
        <f t="shared" si="203"/>
        <v/>
      </c>
      <c r="HL112" s="54">
        <f>IF($J112="",#N/A,SUM($HK$4:HK112))</f>
        <v>-5.2584365376693087</v>
      </c>
      <c r="HM112" s="54" t="str">
        <f t="shared" si="204"/>
        <v/>
      </c>
      <c r="HN112" s="54">
        <f>IF($J112="",#N/A,SUM($HM$4:HM112))</f>
        <v>0.71812545963587882</v>
      </c>
      <c r="HO112" s="54" t="str">
        <f t="shared" si="205"/>
        <v/>
      </c>
      <c r="HP112" s="54">
        <f>IF($J112="",#N/A,SUM($HO$4:HO112))</f>
        <v>-1.004778156728636</v>
      </c>
      <c r="HQ112" s="54">
        <f t="shared" si="206"/>
        <v>-0.33545963130406059</v>
      </c>
      <c r="HR112" s="54">
        <f>IF($J112="",#N/A,SUM($HQ$4:HQ112))</f>
        <v>-6.5100672494144725</v>
      </c>
      <c r="HS112" s="54" t="str">
        <f t="shared" si="207"/>
        <v/>
      </c>
      <c r="HT112" s="54">
        <f>IF($J112="",#N/A,SUM($HS$4:HS112))</f>
        <v>6.2961282021713112</v>
      </c>
      <c r="HU112" s="65">
        <f t="shared" si="208"/>
        <v>0.24565966846266546</v>
      </c>
      <c r="HV112" s="65">
        <f>IF($J112="",#N/A,SUM(HU$4:$HU112))</f>
        <v>-14.255253926578749</v>
      </c>
    </row>
    <row r="113" spans="1:230" x14ac:dyDescent="0.25">
      <c r="A113" s="51" t="s">
        <v>350</v>
      </c>
      <c r="B113" s="52" t="s">
        <v>4523</v>
      </c>
      <c r="C113" s="229">
        <f t="shared" si="109"/>
        <v>3</v>
      </c>
      <c r="D113" s="219" t="str">
        <f>_xlfn.XLOOKUP(A113,[1]SP500!$A$2:$A$502,[1]SP500!$D$2:$D$502,"N")</f>
        <v>Y</v>
      </c>
      <c r="E113" s="51" t="str">
        <f>IFERROR(_xlfn.XLOOKUP(A113,[1]SP500!$A$2:$A$655,[1]SP500!$B$2:$B$655),"")</f>
        <v>XLV</v>
      </c>
      <c r="F113" s="290">
        <v>45771</v>
      </c>
      <c r="G113" s="51" t="str">
        <f t="shared" si="110"/>
        <v>AMC</v>
      </c>
      <c r="H113" s="51" t="str">
        <f t="shared" si="111"/>
        <v>s</v>
      </c>
      <c r="I113" s="124">
        <v>106.15</v>
      </c>
      <c r="J113" s="124">
        <v>102.68</v>
      </c>
      <c r="K113" s="55">
        <f t="shared" si="112"/>
        <v>-3.2689590202543556E-2</v>
      </c>
      <c r="L113" s="67">
        <f t="shared" si="113"/>
        <v>-62.459999999999809</v>
      </c>
      <c r="M113" s="57">
        <f t="shared" si="114"/>
        <v>2.1599999999996271</v>
      </c>
      <c r="N113" s="102">
        <f t="shared" si="115"/>
        <v>-62.459999999999809</v>
      </c>
      <c r="O113" s="57">
        <f>IF(N113="",#N/A,SUM($N$4:N113))</f>
        <v>-583.36259402190626</v>
      </c>
      <c r="P113" s="65">
        <f t="shared" si="209"/>
        <v>-0.54482650337572458</v>
      </c>
      <c r="Q113" s="172">
        <f>IF($N113="",#N/A,SUM($P$4:P113))</f>
        <v>-6.3267842750062391</v>
      </c>
      <c r="R113" s="279">
        <f t="shared" si="116"/>
        <v>1.9983158648515902</v>
      </c>
      <c r="S113" s="51" t="str">
        <f t="shared" si="117"/>
        <v>SW</v>
      </c>
      <c r="T113" s="51" t="s">
        <v>2828</v>
      </c>
      <c r="U113" s="56">
        <f t="shared" si="118"/>
        <v>106.15</v>
      </c>
      <c r="V113" s="56" t="s">
        <v>4460</v>
      </c>
      <c r="W113" s="142">
        <v>18</v>
      </c>
      <c r="X113" s="145">
        <f t="shared" si="119"/>
        <v>1910.7</v>
      </c>
      <c r="Y113" s="140">
        <f t="shared" si="120"/>
        <v>18</v>
      </c>
      <c r="Z113" s="123">
        <v>102.8</v>
      </c>
      <c r="AA113" s="102">
        <f t="shared" si="121"/>
        <v>-60.300000000000182</v>
      </c>
      <c r="AB113" s="102">
        <f t="shared" si="122"/>
        <v>-53.6400000000001</v>
      </c>
      <c r="AC113" s="124">
        <v>103.17</v>
      </c>
      <c r="AD113" s="155">
        <f t="shared" si="123"/>
        <v>-53.6400000000001</v>
      </c>
      <c r="AE113" s="545">
        <f t="shared" si="124"/>
        <v>-0.46789134872036514</v>
      </c>
      <c r="AF113" s="57">
        <f>IF($AC113="",#N/A,SUM(AD$4:AD113))</f>
        <v>-1006.422604579635</v>
      </c>
      <c r="AG113" s="102">
        <f t="shared" si="125"/>
        <v>8.819999999999709</v>
      </c>
      <c r="AH113" s="56" t="s">
        <v>2507</v>
      </c>
      <c r="AI113" s="65">
        <f t="shared" si="126"/>
        <v>-0.52598524101114941</v>
      </c>
      <c r="AJ113" s="350">
        <f>IF(AI113="",#N/A,SUM($AI$4:AI113))</f>
        <v>-8.3251001398578293</v>
      </c>
      <c r="AK113" s="57">
        <f t="shared" si="127"/>
        <v>-60.300000000000182</v>
      </c>
      <c r="AL113" s="349">
        <f>IF(AI113="",#N/A,IF(AH113="Skip",SUM($AK$4:AK113),SUM($AK$4:AK113)))</f>
        <v>-734.59769999999946</v>
      </c>
      <c r="AM113" s="65">
        <f t="shared" si="210"/>
        <v>-0.46789134872036514</v>
      </c>
      <c r="AN113" s="209"/>
      <c r="AO113" s="65">
        <f t="shared" si="128"/>
        <v>-0.46789134872036514</v>
      </c>
      <c r="AP113" s="65">
        <f>IF($AC113="",#N/A,SUM(AO$4:AO113))</f>
        <v>-1.6634136740748862</v>
      </c>
      <c r="AQ113" s="65" t="str">
        <f t="shared" si="129"/>
        <v/>
      </c>
      <c r="AR113" s="65">
        <f>IF($AC113="",#N/A,SUM(AQ$4:AQ113))</f>
        <v>-2.7637371090917728</v>
      </c>
      <c r="AS113" s="65" t="str">
        <f t="shared" si="130"/>
        <v/>
      </c>
      <c r="AT113" s="65">
        <f>IF($AC113="",#N/A,SUM(AS$4:AS113))</f>
        <v>-10.295994492132461</v>
      </c>
      <c r="AU113" s="57">
        <f t="shared" si="211"/>
        <v>-53.6400000000001</v>
      </c>
      <c r="AV113" s="57">
        <f>IF($AC113="",#N/A,SUM(AU$4:AU113))</f>
        <v>-176.00043295663284</v>
      </c>
      <c r="AW113" s="57" t="str">
        <f t="shared" si="212"/>
        <v/>
      </c>
      <c r="AX113" s="57">
        <f>IF($AC113="",#N/A,SUM(AW$4:AW113))</f>
        <v>-173.34000000000015</v>
      </c>
      <c r="AY113" s="57" t="str">
        <f t="shared" si="213"/>
        <v/>
      </c>
      <c r="AZ113" s="57">
        <f>IF($AC113="",#N/A,SUM(AY$4:AY113))</f>
        <v>-657.08217162300207</v>
      </c>
      <c r="BA113" s="57">
        <f>IF(AD113="",#N/A,SUM($AD$4:AD113))</f>
        <v>-1006.422604579635</v>
      </c>
      <c r="BC113" s="51" t="str">
        <f t="shared" si="131"/>
        <v/>
      </c>
      <c r="BD113" s="51" t="str">
        <f t="shared" si="132"/>
        <v/>
      </c>
      <c r="BE113" s="51" t="str">
        <f t="shared" si="133"/>
        <v/>
      </c>
      <c r="BF113" s="51" t="str">
        <f t="shared" si="134"/>
        <v>Long</v>
      </c>
      <c r="BG113" s="51" t="str">
        <f t="shared" si="135"/>
        <v/>
      </c>
      <c r="BH113" s="51" t="str">
        <f t="shared" si="136"/>
        <v/>
      </c>
      <c r="BI113" s="51">
        <f t="shared" si="137"/>
        <v>1</v>
      </c>
      <c r="BK113" s="65">
        <f t="shared" si="108"/>
        <v>-2.8797623001833212E-2</v>
      </c>
      <c r="BL113" s="65">
        <f t="shared" si="216"/>
        <v>-0.16630726815861208</v>
      </c>
      <c r="BM113" s="65">
        <f>IFERROR(Q113/COUNTA($J$4:J113),#N/A)</f>
        <v>-5.7516220681874904E-2</v>
      </c>
      <c r="BO113" s="489">
        <f>IF(J113="",#N/A,IF(S113="SW",(COUNTIFS(K$4:$K113,"&gt;0",S$4:$S113,"SW")/COUNTIF(S$4:$S113,"SW")),#N/A))</f>
        <v>0.45161290322580644</v>
      </c>
      <c r="BP113" s="489" t="e">
        <f>IF($J113="",#N/A,IF($S113="DWN",(COUNTIFS($K$4:$K113,"&lt;0",$S$4:$S113,"DWN")/COUNTIF($S$4:$S113,"DWN")),#N/A))</f>
        <v>#N/A</v>
      </c>
      <c r="BQ113" s="489" t="e">
        <f>IF($J113="",#N/A,IF($S113="UP",(COUNTIFS($K$4:$K113,"&gt;0",$S$4:$S113,"UP")/COUNTIF($S$4:$S113,"UP")),#N/A))</f>
        <v>#N/A</v>
      </c>
      <c r="BR113" s="489">
        <f>IF(J113="",#N/A,COUNTIF($K$4:K113,"&gt;0")/COUNT($J$4:J113))</f>
        <v>0.46363636363636362</v>
      </c>
      <c r="BS113" s="65" t="str">
        <f t="shared" si="138"/>
        <v/>
      </c>
      <c r="BT113" s="65">
        <f t="shared" si="139"/>
        <v>-0.54482650337572458</v>
      </c>
      <c r="BU113" s="65" t="str">
        <f t="shared" si="140"/>
        <v/>
      </c>
      <c r="BV113" s="65" t="str">
        <f t="shared" si="141"/>
        <v/>
      </c>
      <c r="BW113" s="128" t="str">
        <f t="shared" si="142"/>
        <v/>
      </c>
      <c r="BX113" s="128">
        <f>IF($J113="",#N/A,SUM($BW$4:BW113))</f>
        <v>-155.96500000000026</v>
      </c>
      <c r="BY113" s="131" t="str">
        <f t="shared" si="143"/>
        <v/>
      </c>
      <c r="BZ113" s="131">
        <f>IF($J113="",#N/A,SUM($BY$4:BY113))</f>
        <v>-199.1088504215478</v>
      </c>
      <c r="CA113" s="133">
        <f t="shared" si="144"/>
        <v>-62.459999999999809</v>
      </c>
      <c r="CB113" s="133">
        <f>IF($J113="",#N/A,SUM($CA$4:CA113))</f>
        <v>-228.2887436003582</v>
      </c>
      <c r="CC113" s="194" t="str">
        <f t="shared" si="145"/>
        <v/>
      </c>
      <c r="CD113" s="194">
        <f>IF($J113="",#N/A,SUM($CC$4:CC113))</f>
        <v>-2.4770844119990163</v>
      </c>
      <c r="CE113" s="195" t="str">
        <f t="shared" si="146"/>
        <v/>
      </c>
      <c r="CF113" s="195">
        <f>IF($J113="",#N/A,SUM($CE$4:CE113))</f>
        <v>-2.3232900815201392</v>
      </c>
      <c r="CG113" s="196">
        <f t="shared" si="147"/>
        <v>-0.54482650337572458</v>
      </c>
      <c r="CH113" s="196">
        <f>IF($J113="",#N/A,SUM($CG$4:CG113))</f>
        <v>-1.5264097814870796</v>
      </c>
      <c r="CI113" s="200" t="str">
        <f t="shared" si="148"/>
        <v/>
      </c>
      <c r="CJ113" s="203">
        <f>IF($J113="",#N/A,SUM(CI$4:CI113))</f>
        <v>0</v>
      </c>
      <c r="CK113" s="204" t="str">
        <f t="shared" si="149"/>
        <v/>
      </c>
      <c r="CL113" s="204">
        <f>IF($J113="",#N/A,SUM(CK$4:CK113))</f>
        <v>1.8934431343190481</v>
      </c>
      <c r="CM113" s="205" t="str">
        <f t="shared" si="150"/>
        <v/>
      </c>
      <c r="CN113" s="205">
        <f>IF($J113="",#N/A,SUM(CM$4:CM113))</f>
        <v>2.5724959960693745</v>
      </c>
      <c r="CO113" s="205">
        <f>IF($J113="",#N/A,SUM(CM$4:CM113,CK$4:CK113,CI$4:CI113))</f>
        <v>4.4659391303884224</v>
      </c>
      <c r="CP113" s="200" t="str">
        <f t="shared" si="151"/>
        <v/>
      </c>
      <c r="CQ113" s="203">
        <f>IF($J113="",#N/A,SUM(CP$4:CP113))</f>
        <v>0</v>
      </c>
      <c r="CR113" s="204" t="str">
        <f t="shared" si="152"/>
        <v/>
      </c>
      <c r="CS113" s="204">
        <f>IF($J113="",#N/A,SUM(CR$4:CR113))</f>
        <v>0</v>
      </c>
      <c r="CT113" s="205" t="str">
        <f t="shared" si="153"/>
        <v/>
      </c>
      <c r="CU113" s="205">
        <f>IF($J113="",#N/A,SUM(CT$4:CT113))</f>
        <v>0</v>
      </c>
      <c r="CV113" s="205">
        <f>IF($J113="",#N/A,SUM(CT$4:CT113,CR$4:CR113,CP$4:CP113))</f>
        <v>0</v>
      </c>
      <c r="CW113" s="200" t="str">
        <f t="shared" si="154"/>
        <v/>
      </c>
      <c r="CX113" s="203">
        <f>IF($J113="",#N/A,SUM(CW$4:CW113))</f>
        <v>0</v>
      </c>
      <c r="CY113" s="204" t="str">
        <f t="shared" si="155"/>
        <v/>
      </c>
      <c r="CZ113" s="204">
        <f>IF($J113="",#N/A,SUM(CY$4:CY113))</f>
        <v>-1.9289529100071134</v>
      </c>
      <c r="DA113" s="205" t="str">
        <f t="shared" si="156"/>
        <v/>
      </c>
      <c r="DB113" s="205">
        <f>IF($J113="",#N/A,SUM(DA$4:DA113))</f>
        <v>-0.16932974967219971</v>
      </c>
      <c r="DC113" s="205">
        <f>IF($J113="",#N/A,SUM(DA$4:DA113,CY$4:CY113,CW$4:CW113))</f>
        <v>-2.0982826596793132</v>
      </c>
      <c r="DD113" s="200" t="str">
        <f t="shared" si="157"/>
        <v/>
      </c>
      <c r="DE113" s="203">
        <f>IF($J113="",#N/A,SUM(DD$4:DD113))</f>
        <v>0.4905246481018824</v>
      </c>
      <c r="DF113" s="204" t="str">
        <f t="shared" si="158"/>
        <v/>
      </c>
      <c r="DG113" s="204">
        <f>IF($J113="",#N/A,SUM(DF$4:DF113))</f>
        <v>0.77374072477919809</v>
      </c>
      <c r="DH113" s="205" t="str">
        <f t="shared" si="159"/>
        <v/>
      </c>
      <c r="DI113" s="205">
        <f>IF($J113="",#N/A,SUM(DH$4:DH113))</f>
        <v>-1.8170936831137556</v>
      </c>
      <c r="DJ113" s="205">
        <f>IF($J113="",#N/A,SUM(DH$4:DH113,DF$4:DF113,DD$4:DD113))</f>
        <v>-0.55282831023267498</v>
      </c>
      <c r="DK113" s="200" t="str">
        <f t="shared" si="160"/>
        <v/>
      </c>
      <c r="DL113" s="203">
        <f>IF($J113="",#N/A,SUM(DK$4:DK113))</f>
        <v>-1.2097286851272664</v>
      </c>
      <c r="DM113" s="204" t="str">
        <f t="shared" si="161"/>
        <v/>
      </c>
      <c r="DN113" s="204">
        <f>IF($J113="",#N/A,SUM(DM$4:DM113))</f>
        <v>1.1910608267574658</v>
      </c>
      <c r="DO113" s="205" t="str">
        <f t="shared" si="162"/>
        <v/>
      </c>
      <c r="DP113" s="205">
        <f>IF($J113="",#N/A,SUM(DO$4:DO113))</f>
        <v>0.14820169229813929</v>
      </c>
      <c r="DQ113" s="205">
        <f>IF($J113="",#N/A,SUM(DO$4:DO113,DM$4:DM113,DK$4:DK113))</f>
        <v>0.12953383392833895</v>
      </c>
      <c r="DR113" s="200" t="str">
        <f t="shared" si="163"/>
        <v/>
      </c>
      <c r="DS113" s="203">
        <f>IF($J113="",#N/A,SUM(DR$4:DR113))</f>
        <v>-0.55950946427675097</v>
      </c>
      <c r="DT113" s="204" t="str">
        <f t="shared" si="164"/>
        <v/>
      </c>
      <c r="DU113" s="204">
        <f>IF($J113="",#N/A,SUM(DT$4:DT113))</f>
        <v>-2.8875364672150718</v>
      </c>
      <c r="DV113" s="205" t="str">
        <f t="shared" si="165"/>
        <v/>
      </c>
      <c r="DW113" s="205">
        <f>IF($J113="",#N/A,SUM(DV$4:DV113))</f>
        <v>-2.6814706788983136</v>
      </c>
      <c r="DX113" s="205">
        <f>IF($J113="",#N/A,SUM(DV$4:DV113,DT$4:DT113,DR$4:DR113))</f>
        <v>-6.1285166103901361</v>
      </c>
      <c r="DY113" s="200" t="str">
        <f t="shared" si="166"/>
        <v/>
      </c>
      <c r="DZ113" s="203">
        <f>IF($J113="",#N/A,SUM(DY$4:DY113))</f>
        <v>-1.2652059025281583</v>
      </c>
      <c r="EA113" s="204" t="str">
        <f t="shared" si="167"/>
        <v/>
      </c>
      <c r="EB113" s="204">
        <f>IF($J113="",#N/A,SUM(EA$4:EA113))</f>
        <v>-0.36153038830642437</v>
      </c>
      <c r="EC113" s="205" t="str">
        <f t="shared" si="168"/>
        <v/>
      </c>
      <c r="ED113" s="205">
        <f>IF($J113="",#N/A,SUM(EC$4:EC113))</f>
        <v>1.7103671484331777</v>
      </c>
      <c r="EE113" s="205">
        <f>IF($J113="",#N/A,SUM(EC$4:EC113,EA$4:EA113,DY$4:DY113))</f>
        <v>8.3630857598595065E-2</v>
      </c>
      <c r="EF113" s="200" t="str">
        <f t="shared" si="169"/>
        <v/>
      </c>
      <c r="EG113" s="203">
        <f>IF($J113="",#N/A,SUM(EF$4:EF113))</f>
        <v>0</v>
      </c>
      <c r="EH113" s="204" t="str">
        <f t="shared" si="170"/>
        <v/>
      </c>
      <c r="EI113" s="204">
        <f>IF($J113="",#N/A,SUM(EH$4:EH113))</f>
        <v>-2.6174111635897193</v>
      </c>
      <c r="EJ113" s="205">
        <f t="shared" si="171"/>
        <v>-0.54482650337572458</v>
      </c>
      <c r="EK113" s="205">
        <f>IF($J113="",#N/A,SUM(EJ$4:EJ113))</f>
        <v>1.666813364294796</v>
      </c>
      <c r="EL113" s="205">
        <f>IF($J113="",#N/A,SUM(EJ$4:EJ113,EH$4:EH113,EF$4:EF113))</f>
        <v>-0.95059779929492272</v>
      </c>
      <c r="EM113" s="200" t="str">
        <f t="shared" si="172"/>
        <v/>
      </c>
      <c r="EN113" s="203">
        <f>IF($J113="",#N/A,SUM(EM$4:EM113))</f>
        <v>0</v>
      </c>
      <c r="EO113" s="204" t="str">
        <f t="shared" si="173"/>
        <v/>
      </c>
      <c r="EP113" s="204">
        <f>IF($J113="",#N/A,SUM(EO$4:EO113))</f>
        <v>1.5996008301242557</v>
      </c>
      <c r="EQ113" s="205" t="str">
        <f t="shared" si="174"/>
        <v/>
      </c>
      <c r="ER113" s="205">
        <f>IF($J113="",#N/A,SUM(EQ$4:EQ113))</f>
        <v>0.4926597949853756</v>
      </c>
      <c r="ES113" s="205">
        <f>IF($J113="",#N/A,SUM(EQ$4:EQ113,EO$4:EO113,EM$4:EM113))</f>
        <v>2.0922606251096312</v>
      </c>
      <c r="ET113" s="200" t="str">
        <f t="shared" si="175"/>
        <v/>
      </c>
      <c r="EU113" s="203">
        <f>IF($J113="",#N/A,SUM(ET$4:ET113))</f>
        <v>0</v>
      </c>
      <c r="EV113" s="204" t="str">
        <f t="shared" si="176"/>
        <v/>
      </c>
      <c r="EW113" s="204">
        <f>IF($J113="",#N/A,SUM(EV$4:EV113))</f>
        <v>-0.73430241270792684</v>
      </c>
      <c r="EX113" s="205" t="str">
        <f t="shared" si="177"/>
        <v/>
      </c>
      <c r="EY113" s="205">
        <f>IF($J113="",#N/A,SUM(EX$4:EX113))</f>
        <v>2.0960106423519864E-3</v>
      </c>
      <c r="EZ113" s="205">
        <f>IF($J113="",#N/A,SUM(EX$4:EX113,EV$4:EV113,ET$4:ET113))</f>
        <v>-0.73220640206557486</v>
      </c>
      <c r="FA113" s="200" t="str">
        <f t="shared" si="178"/>
        <v/>
      </c>
      <c r="FB113" s="203">
        <f>IF($J113="",#N/A,SUM(FA$4:FA113))</f>
        <v>0</v>
      </c>
      <c r="FC113" s="204" t="str">
        <f t="shared" si="179"/>
        <v/>
      </c>
      <c r="FD113" s="204">
        <f>IF($J113="",#N/A,SUM(FC$4:FC113))</f>
        <v>1.154074230495441</v>
      </c>
      <c r="FE113" s="205" t="str">
        <f t="shared" si="180"/>
        <v/>
      </c>
      <c r="FF113" s="205">
        <f>IF($J113="",#N/A,SUM(FE$4:FE113))</f>
        <v>-0.28811149078748233</v>
      </c>
      <c r="FG113" s="205">
        <f>IF($J113="",#N/A,SUM(FE$4:FE113,FC$4:FC113,FA$4:FA113))</f>
        <v>0.86596273970795878</v>
      </c>
      <c r="FH113" s="200" t="str">
        <f t="shared" si="181"/>
        <v/>
      </c>
      <c r="FI113" s="203">
        <f>IF($J113="",#N/A,SUM(FH$4:FH113))</f>
        <v>0</v>
      </c>
      <c r="FJ113" s="204" t="str">
        <f t="shared" si="182"/>
        <v/>
      </c>
      <c r="FK113" s="204">
        <f>IF($J113="",#N/A,SUM(FJ$4:FJ113))</f>
        <v>0</v>
      </c>
      <c r="FL113" s="205" t="str">
        <f t="shared" si="183"/>
        <v/>
      </c>
      <c r="FM113" s="205">
        <f>IF($J113="",#N/A,SUM(FL$4:FL113))</f>
        <v>0</v>
      </c>
      <c r="FN113" s="205">
        <f>IF($J113="",#N/A,SUM(FL$4:FL113,FJ$4:FJ113,FH$4:FH113))</f>
        <v>0</v>
      </c>
      <c r="FO113" s="200" t="str">
        <f t="shared" si="184"/>
        <v/>
      </c>
      <c r="FP113" s="203">
        <f>IF($J113="",#N/A,SUM(FO$4:FO113))</f>
        <v>0</v>
      </c>
      <c r="FQ113" s="204" t="str">
        <f t="shared" si="185"/>
        <v/>
      </c>
      <c r="FR113" s="204">
        <f>IF($J113="",#N/A,SUM(FQ$4:FQ113))</f>
        <v>0</v>
      </c>
      <c r="FS113" s="205" t="str">
        <f t="shared" si="186"/>
        <v/>
      </c>
      <c r="FT113" s="205">
        <f>IF($J113="",#N/A,SUM(FS$4:FS113))</f>
        <v>0</v>
      </c>
      <c r="FU113" s="205">
        <f>IF($J113="",#N/A,SUM(FS$4:FS113,FQ$4:FQ113,FO$4:FO113))</f>
        <v>0</v>
      </c>
      <c r="FV113" s="200" t="str">
        <f t="shared" si="187"/>
        <v/>
      </c>
      <c r="FW113" s="203">
        <f>IF($J113="",#N/A,SUM(FV$4:FV113))</f>
        <v>6.6834991831277585E-2</v>
      </c>
      <c r="FX113" s="204" t="str">
        <f t="shared" si="188"/>
        <v/>
      </c>
      <c r="FY113" s="204">
        <f>IF($J113="",#N/A,SUM(FX$4:FX113))</f>
        <v>0</v>
      </c>
      <c r="FZ113" s="205" t="str">
        <f t="shared" si="189"/>
        <v/>
      </c>
      <c r="GA113" s="205">
        <f>IF($J113="",#N/A,SUM(FZ$4:FZ113))</f>
        <v>-0.22620195801622528</v>
      </c>
      <c r="GB113" s="205">
        <f>IF($J113="",#N/A,SUM(FZ$4:FZ113,FX$4:FX113,FV$4:FV113))</f>
        <v>-0.15936696618494769</v>
      </c>
      <c r="GC113" s="200" t="str">
        <f t="shared" si="190"/>
        <v/>
      </c>
      <c r="GD113" s="203">
        <f>IF($J113="",#N/A,SUM(GC$4:GC113))</f>
        <v>0</v>
      </c>
      <c r="GE113" s="204" t="str">
        <f t="shared" si="191"/>
        <v/>
      </c>
      <c r="GF113" s="204">
        <f>IF($J113="",#N/A,SUM(GE$4:GE113))</f>
        <v>0</v>
      </c>
      <c r="GG113" s="205" t="str">
        <f t="shared" si="192"/>
        <v/>
      </c>
      <c r="GH113" s="205">
        <f>IF($J113="",#N/A,SUM(GG$4:GG113))</f>
        <v>-2.9368362277223206</v>
      </c>
      <c r="GI113" s="205">
        <f>IF($J113="",#N/A,SUM(GG$4:GG113,GE$4:GE113,GC$4:GC113))</f>
        <v>-2.9368362277223206</v>
      </c>
      <c r="GJ113" s="200" t="str">
        <f t="shared" si="193"/>
        <v/>
      </c>
      <c r="GK113" s="203">
        <f>IF($J113="",#N/A,SUM(GJ$4:GJ113))</f>
        <v>0</v>
      </c>
      <c r="GL113" s="204" t="str">
        <f t="shared" si="194"/>
        <v/>
      </c>
      <c r="GM113" s="204">
        <f>IF($J113="",#N/A,SUM(GL$4:GL113))</f>
        <v>-0.4054764861692941</v>
      </c>
      <c r="GN113" s="205" t="str">
        <f t="shared" si="195"/>
        <v/>
      </c>
      <c r="GO113" s="205">
        <f>IF($J113="",#N/A,SUM(GN$4:GN113))</f>
        <v>0</v>
      </c>
      <c r="GP113" s="205">
        <f>IF($J113="",#N/A,SUM(GN$4:GN113,GL$4:GL113,GJ$4:GJ113))</f>
        <v>-0.4054764861692941</v>
      </c>
      <c r="GS113" s="54">
        <f t="shared" si="214"/>
        <v>-0.54482650337572458</v>
      </c>
      <c r="GT113" s="54">
        <f>IF(GS113="",NA(),SUM($GS$4:GS113))</f>
        <v>-6.8046351568990397</v>
      </c>
      <c r="GU113" s="54" t="str">
        <f t="shared" si="196"/>
        <v/>
      </c>
      <c r="GV113" s="54" t="e">
        <f>IF(GU113="",NA(),SUM($GU$4:GU113))</f>
        <v>#N/A</v>
      </c>
      <c r="GW113" s="54">
        <f t="shared" si="197"/>
        <v>-0.54482650337572458</v>
      </c>
      <c r="GX113" s="54">
        <f>IF(GW113="",NA(),SUM($GW$4:GW113))</f>
        <v>-1.7283985944143652</v>
      </c>
      <c r="GY113" s="54" t="str">
        <f t="shared" si="198"/>
        <v/>
      </c>
      <c r="GZ113" s="54" t="e">
        <f>IF(GY113="",NA(),SUM($GY$4:GY113))</f>
        <v>#N/A</v>
      </c>
      <c r="HA113" s="54" t="str">
        <f t="shared" si="199"/>
        <v/>
      </c>
      <c r="HB113" s="54" t="e">
        <f>IF(HA113="",NA(),SUM($HA$4:HA113))</f>
        <v>#N/A</v>
      </c>
      <c r="HC113" s="54" t="str">
        <f t="shared" si="200"/>
        <v/>
      </c>
      <c r="HD113" s="54" t="e">
        <f>IF(HC113="",NA(),SUM($HC$4:HC113))</f>
        <v>#N/A</v>
      </c>
      <c r="HE113" s="54" t="str">
        <f t="shared" si="201"/>
        <v/>
      </c>
      <c r="HF113" s="54" t="e">
        <f>IF(HE113="",NA(),SUM($HE$4:HE113))</f>
        <v>#N/A</v>
      </c>
      <c r="HG113" s="54" t="str">
        <f t="shared" si="202"/>
        <v/>
      </c>
      <c r="HH113" s="54" t="e">
        <f>IF(HG113="",NA(),SUM($HG$4:HG113))</f>
        <v>#N/A</v>
      </c>
      <c r="HI113" s="172" t="str">
        <f t="shared" si="215"/>
        <v/>
      </c>
      <c r="HJ113" s="172">
        <f>IF($J113="",#N/A,SUM(HI$4:$HI113))</f>
        <v>-2.7142678729430094</v>
      </c>
      <c r="HK113" s="54" t="str">
        <f t="shared" si="203"/>
        <v/>
      </c>
      <c r="HL113" s="54">
        <f>IF($J113="",#N/A,SUM($HK$4:HK113))</f>
        <v>-5.2584365376693087</v>
      </c>
      <c r="HM113" s="54" t="str">
        <f t="shared" si="204"/>
        <v/>
      </c>
      <c r="HN113" s="54">
        <f>IF($J113="",#N/A,SUM($HM$4:HM113))</f>
        <v>0.71812545963587882</v>
      </c>
      <c r="HO113" s="54" t="str">
        <f t="shared" si="205"/>
        <v/>
      </c>
      <c r="HP113" s="54">
        <f>IF($J113="",#N/A,SUM($HO$4:HO113))</f>
        <v>-1.004778156728636</v>
      </c>
      <c r="HQ113" s="54" t="str">
        <f t="shared" si="206"/>
        <v/>
      </c>
      <c r="HR113" s="54">
        <f>IF($J113="",#N/A,SUM($HQ$4:HQ113))</f>
        <v>-6.5100672494144725</v>
      </c>
      <c r="HS113" s="54">
        <f t="shared" si="207"/>
        <v>7.6935154655359439E-2</v>
      </c>
      <c r="HT113" s="54">
        <f>IF($J113="",#N/A,SUM($HS$4:HS113))</f>
        <v>6.3730633568266706</v>
      </c>
      <c r="HU113" s="65">
        <f t="shared" si="208"/>
        <v>-0.46789134872036514</v>
      </c>
      <c r="HV113" s="65">
        <f>IF($J113="",#N/A,SUM(HU$4:$HU113))</f>
        <v>-14.723145275299114</v>
      </c>
    </row>
    <row r="114" spans="1:230" x14ac:dyDescent="0.25">
      <c r="A114" s="51" t="s">
        <v>1386</v>
      </c>
      <c r="B114" s="52" t="s">
        <v>4524</v>
      </c>
      <c r="C114" s="229">
        <f t="shared" si="109"/>
        <v>2</v>
      </c>
      <c r="D114" s="219" t="str">
        <f>_xlfn.XLOOKUP(A114,[1]SP500!$A$2:$A$502,[1]SP500!$D$2:$D$502,"N")</f>
        <v>Y</v>
      </c>
      <c r="E114" s="51" t="str">
        <f>IFERROR(_xlfn.XLOOKUP(A114,[1]SP500!$A$2:$A$655,[1]SP500!$B$2:$B$655),"")</f>
        <v>XLE</v>
      </c>
      <c r="F114" s="290">
        <v>45772</v>
      </c>
      <c r="G114" s="51" t="str">
        <f t="shared" si="110"/>
        <v>BMO</v>
      </c>
      <c r="H114" s="51" t="str">
        <f t="shared" si="111"/>
        <v>s</v>
      </c>
      <c r="I114" s="124">
        <v>34.93</v>
      </c>
      <c r="J114" s="124">
        <v>34.29</v>
      </c>
      <c r="K114" s="55">
        <f t="shared" si="112"/>
        <v>-1.8322359003721745E-2</v>
      </c>
      <c r="L114" s="67">
        <f t="shared" si="113"/>
        <v>16</v>
      </c>
      <c r="M114" s="57">
        <f t="shared" si="114"/>
        <v>-0.5</v>
      </c>
      <c r="N114" s="155">
        <f t="shared" si="115"/>
        <v>16</v>
      </c>
      <c r="O114" s="156">
        <f>IF(N114="",#N/A,SUM($N$4:N114))</f>
        <v>-567.36259402190626</v>
      </c>
      <c r="P114" s="65">
        <f t="shared" si="209"/>
        <v>0.30537265006202885</v>
      </c>
      <c r="Q114" s="172">
        <f>IF($N114="",#N/A,SUM($P$4:P114))</f>
        <v>-6.0214116249442107</v>
      </c>
      <c r="R114" s="279">
        <f t="shared" si="116"/>
        <v>2.0078587601660285</v>
      </c>
      <c r="S114" s="51" t="str">
        <f t="shared" si="117"/>
        <v>Dwn</v>
      </c>
      <c r="T114" s="51" t="s">
        <v>4462</v>
      </c>
      <c r="U114" s="56">
        <f t="shared" si="118"/>
        <v>34.93</v>
      </c>
      <c r="V114" s="56" t="s">
        <v>4458</v>
      </c>
      <c r="W114" s="142">
        <v>25</v>
      </c>
      <c r="X114" s="145">
        <f t="shared" si="119"/>
        <v>873.25</v>
      </c>
      <c r="Y114" s="140">
        <f t="shared" si="120"/>
        <v>25</v>
      </c>
      <c r="Z114" s="123">
        <v>34.31</v>
      </c>
      <c r="AA114" s="102">
        <f t="shared" si="121"/>
        <v>15.5</v>
      </c>
      <c r="AB114" s="102">
        <f t="shared" si="122"/>
        <v>10.249999999999886</v>
      </c>
      <c r="AC114" s="124">
        <v>34.520000000000003</v>
      </c>
      <c r="AD114" s="155">
        <f t="shared" si="123"/>
        <v>10.249999999999886</v>
      </c>
      <c r="AE114" s="545">
        <f t="shared" si="124"/>
        <v>0.19562935394598505</v>
      </c>
      <c r="AF114" s="57">
        <f>IF($AC114="",#N/A,SUM(AD$4:AD114))</f>
        <v>-996.17260457963516</v>
      </c>
      <c r="AG114" s="102">
        <f t="shared" si="125"/>
        <v>-5.7500000000001137</v>
      </c>
      <c r="AH114" s="56" t="s">
        <v>2507</v>
      </c>
      <c r="AI114" s="65">
        <f t="shared" si="126"/>
        <v>0.29582975474759043</v>
      </c>
      <c r="AJ114" s="54">
        <f>IF(AI114="",#N/A,SUM($AI$4:AI114))</f>
        <v>-8.0292703851102392</v>
      </c>
      <c r="AK114" s="57">
        <f t="shared" si="127"/>
        <v>15.5</v>
      </c>
      <c r="AL114" s="58">
        <f>IF(AI114="",#N/A,IF(AH114="Skip",SUM($AK$4:AK114),SUM($AK$4:AK114)))</f>
        <v>-719.09769999999946</v>
      </c>
      <c r="AM114" s="65">
        <f t="shared" si="210"/>
        <v>0.19562935394598505</v>
      </c>
      <c r="AN114" s="209"/>
      <c r="AO114" s="65" t="str">
        <f t="shared" si="128"/>
        <v/>
      </c>
      <c r="AP114" s="65">
        <f>IF($AC114="",#N/A,SUM(AO$4:AO114))</f>
        <v>-1.6634136740748862</v>
      </c>
      <c r="AQ114" s="65" t="str">
        <f t="shared" si="129"/>
        <v/>
      </c>
      <c r="AR114" s="65">
        <f>IF($AC114="",#N/A,SUM(AQ$4:AQ114))</f>
        <v>-2.7637371090917728</v>
      </c>
      <c r="AS114" s="65">
        <f t="shared" si="130"/>
        <v>0.19562935394598505</v>
      </c>
      <c r="AT114" s="65">
        <f>IF($AC114="",#N/A,SUM(AS$4:AS114))</f>
        <v>-10.100365138186476</v>
      </c>
      <c r="AU114" s="57" t="str">
        <f t="shared" si="211"/>
        <v/>
      </c>
      <c r="AV114" s="57">
        <f>IF($AC114="",#N/A,SUM(AU$4:AU114))</f>
        <v>-176.00043295663284</v>
      </c>
      <c r="AW114" s="57" t="str">
        <f t="shared" si="212"/>
        <v/>
      </c>
      <c r="AX114" s="57">
        <f>IF($AC114="",#N/A,SUM(AW$4:AW114))</f>
        <v>-173.34000000000015</v>
      </c>
      <c r="AY114" s="56">
        <f t="shared" si="213"/>
        <v>10.249999999999886</v>
      </c>
      <c r="AZ114" s="57">
        <f>IF($AC114="",#N/A,SUM(AY$4:AY114))</f>
        <v>-646.83217162300218</v>
      </c>
      <c r="BA114" s="57">
        <f>IF(AD114="",#N/A,SUM($AD$4:AD114))</f>
        <v>-996.17260457963516</v>
      </c>
      <c r="BC114" s="51" t="str">
        <f t="shared" si="131"/>
        <v/>
      </c>
      <c r="BD114" s="51" t="str">
        <f t="shared" si="132"/>
        <v/>
      </c>
      <c r="BE114" s="51" t="str">
        <f t="shared" si="133"/>
        <v/>
      </c>
      <c r="BF114" s="51" t="str">
        <f t="shared" si="134"/>
        <v>Short</v>
      </c>
      <c r="BG114" s="51">
        <f t="shared" si="135"/>
        <v>1</v>
      </c>
      <c r="BH114" s="51" t="str">
        <f t="shared" si="136"/>
        <v/>
      </c>
      <c r="BI114" s="51" t="str">
        <f t="shared" si="137"/>
        <v/>
      </c>
      <c r="BK114" s="65">
        <f t="shared" si="108"/>
        <v>-5.1283212394352705E-2</v>
      </c>
      <c r="BL114" s="65">
        <f t="shared" si="216"/>
        <v>-0.13305412727610524</v>
      </c>
      <c r="BM114" s="65">
        <f>IFERROR(Q114/COUNTA($J$4:J114),#N/A)</f>
        <v>-5.4246951576073968E-2</v>
      </c>
      <c r="BO114" s="489" t="e">
        <f>IF(J114="",#N/A,IF(S114="SW",(COUNTIFS(K$4:$K114,"&gt;0",S$4:$S114,"SW")/COUNTIF(S$4:$S114,"SW")),#N/A))</f>
        <v>#N/A</v>
      </c>
      <c r="BP114" s="489">
        <f>IF($J114="",#N/A,IF($S114="DWN",(COUNTIFS($K$4:$K114,"&lt;0",$S$4:$S114,"DWN")/COUNTIF($S$4:$S114,"DWN")),#N/A))</f>
        <v>0.53488372093023251</v>
      </c>
      <c r="BQ114" s="489" t="e">
        <f>IF($J114="",#N/A,IF($S114="UP",(COUNTIFS($K$4:$K114,"&gt;0",$S$4:$S114,"UP")/COUNTIF($S$4:$S114,"UP")),#N/A))</f>
        <v>#N/A</v>
      </c>
      <c r="BR114" s="489">
        <f>IF(J114="",#N/A,COUNTIF($K$4:K114,"&gt;0")/COUNT($J$4:J114))</f>
        <v>0.45945945945945948</v>
      </c>
      <c r="BS114" s="65" t="str">
        <f t="shared" si="138"/>
        <v/>
      </c>
      <c r="BT114" s="65" t="str">
        <f t="shared" si="139"/>
        <v/>
      </c>
      <c r="BU114" s="65">
        <f t="shared" si="140"/>
        <v>0.30537265006202885</v>
      </c>
      <c r="BV114" s="65" t="str">
        <f t="shared" si="141"/>
        <v/>
      </c>
      <c r="BW114" s="151" t="str">
        <f t="shared" si="142"/>
        <v/>
      </c>
      <c r="BX114" s="151">
        <f>IF($J114="",#N/A,SUM($BW$4:BW114))</f>
        <v>-155.96500000000026</v>
      </c>
      <c r="BY114" s="152">
        <f t="shared" si="143"/>
        <v>16</v>
      </c>
      <c r="BZ114" s="152">
        <f>IF($J114="",#N/A,SUM($BY$4:BY114))</f>
        <v>-183.1088504215478</v>
      </c>
      <c r="CA114" s="153" t="str">
        <f t="shared" si="144"/>
        <v/>
      </c>
      <c r="CB114" s="154">
        <f>IF($J114="",#N/A,SUM($CA$4:CA114))</f>
        <v>-228.2887436003582</v>
      </c>
      <c r="CC114" s="191" t="str">
        <f t="shared" si="145"/>
        <v/>
      </c>
      <c r="CD114" s="191">
        <f>IF($J114="",#N/A,SUM($CC$4:CC114))</f>
        <v>-2.4770844119990163</v>
      </c>
      <c r="CE114" s="192">
        <f t="shared" si="146"/>
        <v>0.30537265006202885</v>
      </c>
      <c r="CF114" s="192">
        <f>IF($J114="",#N/A,SUM($CE$4:CE114))</f>
        <v>-2.0179174314581103</v>
      </c>
      <c r="CG114" s="193" t="str">
        <f t="shared" si="147"/>
        <v/>
      </c>
      <c r="CH114" s="193">
        <f>IF($J114="",#N/A,SUM($CG$4:CG114))</f>
        <v>-1.5264097814870796</v>
      </c>
      <c r="CI114" s="200" t="str">
        <f t="shared" si="148"/>
        <v/>
      </c>
      <c r="CJ114" s="200">
        <f>IF($J114="",#N/A,SUM(CI$4:CI114))</f>
        <v>0</v>
      </c>
      <c r="CK114" s="201" t="str">
        <f t="shared" si="149"/>
        <v/>
      </c>
      <c r="CL114" s="201">
        <f>IF($J114="",#N/A,SUM(CK$4:CK114))</f>
        <v>1.8934431343190481</v>
      </c>
      <c r="CM114" s="202" t="str">
        <f t="shared" si="150"/>
        <v/>
      </c>
      <c r="CN114" s="202">
        <f>IF($J114="",#N/A,SUM(CM$4:CM114))</f>
        <v>2.5724959960693745</v>
      </c>
      <c r="CO114" s="202">
        <f>IF($J114="",#N/A,SUM(CM$4:CM114,CK$4:CK114,CI$4:CI114))</f>
        <v>4.4659391303884224</v>
      </c>
      <c r="CP114" s="200" t="str">
        <f t="shared" si="151"/>
        <v/>
      </c>
      <c r="CQ114" s="200">
        <f>IF($J114="",#N/A,SUM(CP$4:CP114))</f>
        <v>0</v>
      </c>
      <c r="CR114" s="201" t="str">
        <f t="shared" si="152"/>
        <v/>
      </c>
      <c r="CS114" s="201">
        <f>IF($J114="",#N/A,SUM(CR$4:CR114))</f>
        <v>0</v>
      </c>
      <c r="CT114" s="202" t="str">
        <f t="shared" si="153"/>
        <v/>
      </c>
      <c r="CU114" s="202">
        <f>IF($J114="",#N/A,SUM(CT$4:CT114))</f>
        <v>0</v>
      </c>
      <c r="CV114" s="202">
        <f>IF($J114="",#N/A,SUM(CT$4:CT114,CR$4:CR114,CP$4:CP114))</f>
        <v>0</v>
      </c>
      <c r="CW114" s="200" t="str">
        <f t="shared" si="154"/>
        <v/>
      </c>
      <c r="CX114" s="200">
        <f>IF($J114="",#N/A,SUM(CW$4:CW114))</f>
        <v>0</v>
      </c>
      <c r="CY114" s="201" t="str">
        <f t="shared" si="155"/>
        <v/>
      </c>
      <c r="CZ114" s="201">
        <f>IF($J114="",#N/A,SUM(CY$4:CY114))</f>
        <v>-1.9289529100071134</v>
      </c>
      <c r="DA114" s="202" t="str">
        <f t="shared" si="156"/>
        <v/>
      </c>
      <c r="DB114" s="202">
        <f>IF($J114="",#N/A,SUM(DA$4:DA114))</f>
        <v>-0.16932974967219971</v>
      </c>
      <c r="DC114" s="202">
        <f>IF($J114="",#N/A,SUM(DA$4:DA114,CY$4:CY114,CW$4:CW114))</f>
        <v>-2.0982826596793132</v>
      </c>
      <c r="DD114" s="200" t="str">
        <f t="shared" si="157"/>
        <v/>
      </c>
      <c r="DE114" s="200">
        <f>IF($J114="",#N/A,SUM(DD$4:DD114))</f>
        <v>0.4905246481018824</v>
      </c>
      <c r="DF114" s="201" t="str">
        <f t="shared" si="158"/>
        <v/>
      </c>
      <c r="DG114" s="201">
        <f>IF($J114="",#N/A,SUM(DF$4:DF114))</f>
        <v>0.77374072477919809</v>
      </c>
      <c r="DH114" s="202" t="str">
        <f t="shared" si="159"/>
        <v/>
      </c>
      <c r="DI114" s="202">
        <f>IF($J114="",#N/A,SUM(DH$4:DH114))</f>
        <v>-1.8170936831137556</v>
      </c>
      <c r="DJ114" s="202">
        <f>IF($J114="",#N/A,SUM(DH$4:DH114,DF$4:DF114,DD$4:DD114))</f>
        <v>-0.55282831023267498</v>
      </c>
      <c r="DK114" s="200" t="str">
        <f t="shared" si="160"/>
        <v/>
      </c>
      <c r="DL114" s="200">
        <f>IF($J114="",#N/A,SUM(DK$4:DK114))</f>
        <v>-1.2097286851272664</v>
      </c>
      <c r="DM114" s="201" t="str">
        <f t="shared" si="161"/>
        <v/>
      </c>
      <c r="DN114" s="201">
        <f>IF($J114="",#N/A,SUM(DM$4:DM114))</f>
        <v>1.1910608267574658</v>
      </c>
      <c r="DO114" s="202" t="str">
        <f t="shared" si="162"/>
        <v/>
      </c>
      <c r="DP114" s="202">
        <f>IF($J114="",#N/A,SUM(DO$4:DO114))</f>
        <v>0.14820169229813929</v>
      </c>
      <c r="DQ114" s="202">
        <f>IF($J114="",#N/A,SUM(DO$4:DO114,DM$4:DM114,DK$4:DK114))</f>
        <v>0.12953383392833895</v>
      </c>
      <c r="DR114" s="200" t="str">
        <f t="shared" si="163"/>
        <v/>
      </c>
      <c r="DS114" s="200">
        <f>IF($J114="",#N/A,SUM(DR$4:DR114))</f>
        <v>-0.55950946427675097</v>
      </c>
      <c r="DT114" s="201" t="str">
        <f t="shared" si="164"/>
        <v/>
      </c>
      <c r="DU114" s="201">
        <f>IF($J114="",#N/A,SUM(DT$4:DT114))</f>
        <v>-2.8875364672150718</v>
      </c>
      <c r="DV114" s="202" t="str">
        <f t="shared" si="165"/>
        <v/>
      </c>
      <c r="DW114" s="202">
        <f>IF($J114="",#N/A,SUM(DV$4:DV114))</f>
        <v>-2.6814706788983136</v>
      </c>
      <c r="DX114" s="202">
        <f>IF($J114="",#N/A,SUM(DV$4:DV114,DT$4:DT114,DR$4:DR114))</f>
        <v>-6.1285166103901361</v>
      </c>
      <c r="DY114" s="200" t="str">
        <f t="shared" si="166"/>
        <v/>
      </c>
      <c r="DZ114" s="200">
        <f>IF($J114="",#N/A,SUM(DY$4:DY114))</f>
        <v>-1.2652059025281583</v>
      </c>
      <c r="EA114" s="201" t="str">
        <f t="shared" si="167"/>
        <v/>
      </c>
      <c r="EB114" s="201">
        <f>IF($J114="",#N/A,SUM(EA$4:EA114))</f>
        <v>-0.36153038830642437</v>
      </c>
      <c r="EC114" s="202" t="str">
        <f t="shared" si="168"/>
        <v/>
      </c>
      <c r="ED114" s="202">
        <f>IF($J114="",#N/A,SUM(EC$4:EC114))</f>
        <v>1.7103671484331777</v>
      </c>
      <c r="EE114" s="202">
        <f>IF($J114="",#N/A,SUM(EC$4:EC114,EA$4:EA114,DY$4:DY114))</f>
        <v>8.3630857598595065E-2</v>
      </c>
      <c r="EF114" s="200" t="str">
        <f t="shared" si="169"/>
        <v/>
      </c>
      <c r="EG114" s="200">
        <f>IF($J114="",#N/A,SUM(EF$4:EF114))</f>
        <v>0</v>
      </c>
      <c r="EH114" s="201" t="str">
        <f t="shared" si="170"/>
        <v/>
      </c>
      <c r="EI114" s="201">
        <f>IF($J114="",#N/A,SUM(EH$4:EH114))</f>
        <v>-2.6174111635897193</v>
      </c>
      <c r="EJ114" s="202" t="str">
        <f t="shared" si="171"/>
        <v/>
      </c>
      <c r="EK114" s="202">
        <f>IF($J114="",#N/A,SUM(EJ$4:EJ114))</f>
        <v>1.666813364294796</v>
      </c>
      <c r="EL114" s="202">
        <f>IF($J114="",#N/A,SUM(EJ$4:EJ114,EH$4:EH114,EF$4:EF114))</f>
        <v>-0.95059779929492272</v>
      </c>
      <c r="EM114" s="200" t="str">
        <f t="shared" si="172"/>
        <v/>
      </c>
      <c r="EN114" s="200">
        <f>IF($J114="",#N/A,SUM(EM$4:EM114))</f>
        <v>0</v>
      </c>
      <c r="EO114" s="201" t="str">
        <f t="shared" si="173"/>
        <v/>
      </c>
      <c r="EP114" s="201">
        <f>IF($J114="",#N/A,SUM(EO$4:EO114))</f>
        <v>1.5996008301242557</v>
      </c>
      <c r="EQ114" s="202" t="str">
        <f t="shared" si="174"/>
        <v/>
      </c>
      <c r="ER114" s="202">
        <f>IF($J114="",#N/A,SUM(EQ$4:EQ114))</f>
        <v>0.4926597949853756</v>
      </c>
      <c r="ES114" s="202">
        <f>IF($J114="",#N/A,SUM(EQ$4:EQ114,EO$4:EO114,EM$4:EM114))</f>
        <v>2.0922606251096312</v>
      </c>
      <c r="ET114" s="200" t="str">
        <f t="shared" si="175"/>
        <v/>
      </c>
      <c r="EU114" s="200">
        <f>IF($J114="",#N/A,SUM(ET$4:ET114))</f>
        <v>0</v>
      </c>
      <c r="EV114" s="201" t="str">
        <f t="shared" si="176"/>
        <v/>
      </c>
      <c r="EW114" s="201">
        <f>IF($J114="",#N/A,SUM(EV$4:EV114))</f>
        <v>-0.73430241270792684</v>
      </c>
      <c r="EX114" s="202" t="str">
        <f t="shared" si="177"/>
        <v/>
      </c>
      <c r="EY114" s="202">
        <f>IF($J114="",#N/A,SUM(EX$4:EX114))</f>
        <v>2.0960106423519864E-3</v>
      </c>
      <c r="EZ114" s="202">
        <f>IF($J114="",#N/A,SUM(EX$4:EX114,EV$4:EV114,ET$4:ET114))</f>
        <v>-0.73220640206557486</v>
      </c>
      <c r="FA114" s="200" t="str">
        <f t="shared" si="178"/>
        <v/>
      </c>
      <c r="FB114" s="200">
        <f>IF($J114="",#N/A,SUM(FA$4:FA114))</f>
        <v>0</v>
      </c>
      <c r="FC114" s="201">
        <f t="shared" si="179"/>
        <v>0.30537265006202885</v>
      </c>
      <c r="FD114" s="201">
        <f>IF($J114="",#N/A,SUM(FC$4:FC114))</f>
        <v>1.4594468805574699</v>
      </c>
      <c r="FE114" s="202" t="str">
        <f t="shared" si="180"/>
        <v/>
      </c>
      <c r="FF114" s="202">
        <f>IF($J114="",#N/A,SUM(FE$4:FE114))</f>
        <v>-0.28811149078748233</v>
      </c>
      <c r="FG114" s="202">
        <f>IF($J114="",#N/A,SUM(FE$4:FE114,FC$4:FC114,FA$4:FA114))</f>
        <v>1.1713353897699876</v>
      </c>
      <c r="FH114" s="200" t="str">
        <f t="shared" si="181"/>
        <v/>
      </c>
      <c r="FI114" s="200">
        <f>IF($J114="",#N/A,SUM(FH$4:FH114))</f>
        <v>0</v>
      </c>
      <c r="FJ114" s="201" t="str">
        <f t="shared" si="182"/>
        <v/>
      </c>
      <c r="FK114" s="201">
        <f>IF($J114="",#N/A,SUM(FJ$4:FJ114))</f>
        <v>0</v>
      </c>
      <c r="FL114" s="202" t="str">
        <f t="shared" si="183"/>
        <v/>
      </c>
      <c r="FM114" s="202">
        <f>IF($J114="",#N/A,SUM(FL$4:FL114))</f>
        <v>0</v>
      </c>
      <c r="FN114" s="202">
        <f>IF($J114="",#N/A,SUM(FL$4:FL114,FJ$4:FJ114,FH$4:FH114))</f>
        <v>0</v>
      </c>
      <c r="FO114" s="200" t="str">
        <f t="shared" si="184"/>
        <v/>
      </c>
      <c r="FP114" s="200">
        <f>IF($J114="",#N/A,SUM(FO$4:FO114))</f>
        <v>0</v>
      </c>
      <c r="FQ114" s="201" t="str">
        <f t="shared" si="185"/>
        <v/>
      </c>
      <c r="FR114" s="201">
        <f>IF($J114="",#N/A,SUM(FQ$4:FQ114))</f>
        <v>0</v>
      </c>
      <c r="FS114" s="202" t="str">
        <f t="shared" si="186"/>
        <v/>
      </c>
      <c r="FT114" s="202">
        <f>IF($J114="",#N/A,SUM(FS$4:FS114))</f>
        <v>0</v>
      </c>
      <c r="FU114" s="202">
        <f>IF($J114="",#N/A,SUM(FS$4:FS114,FQ$4:FQ114,FO$4:FO114))</f>
        <v>0</v>
      </c>
      <c r="FV114" s="200" t="str">
        <f t="shared" si="187"/>
        <v/>
      </c>
      <c r="FW114" s="200">
        <f>IF($J114="",#N/A,SUM(FV$4:FV114))</f>
        <v>6.6834991831277585E-2</v>
      </c>
      <c r="FX114" s="201" t="str">
        <f t="shared" si="188"/>
        <v/>
      </c>
      <c r="FY114" s="201">
        <f>IF($J114="",#N/A,SUM(FX$4:FX114))</f>
        <v>0</v>
      </c>
      <c r="FZ114" s="202" t="str">
        <f t="shared" si="189"/>
        <v/>
      </c>
      <c r="GA114" s="202">
        <f>IF($J114="",#N/A,SUM(FZ$4:FZ114))</f>
        <v>-0.22620195801622528</v>
      </c>
      <c r="GB114" s="202">
        <f>IF($J114="",#N/A,SUM(FZ$4:FZ114,FX$4:FX114,FV$4:FV114))</f>
        <v>-0.15936696618494769</v>
      </c>
      <c r="GC114" s="200" t="str">
        <f t="shared" si="190"/>
        <v/>
      </c>
      <c r="GD114" s="200">
        <f>IF($J114="",#N/A,SUM(GC$4:GC114))</f>
        <v>0</v>
      </c>
      <c r="GE114" s="201" t="str">
        <f t="shared" si="191"/>
        <v/>
      </c>
      <c r="GF114" s="201">
        <f>IF($J114="",#N/A,SUM(GE$4:GE114))</f>
        <v>0</v>
      </c>
      <c r="GG114" s="202" t="str">
        <f t="shared" si="192"/>
        <v/>
      </c>
      <c r="GH114" s="202">
        <f>IF($J114="",#N/A,SUM(GG$4:GG114))</f>
        <v>-2.9368362277223206</v>
      </c>
      <c r="GI114" s="202">
        <f>IF($J114="",#N/A,SUM(GG$4:GG114,GE$4:GE114,GC$4:GC114))</f>
        <v>-2.9368362277223206</v>
      </c>
      <c r="GJ114" s="200" t="str">
        <f t="shared" si="193"/>
        <v/>
      </c>
      <c r="GK114" s="200">
        <f>IF($J114="",#N/A,SUM(GJ$4:GJ114))</f>
        <v>0</v>
      </c>
      <c r="GL114" s="201" t="str">
        <f t="shared" si="194"/>
        <v/>
      </c>
      <c r="GM114" s="201">
        <f>IF($J114="",#N/A,SUM(GL$4:GL114))</f>
        <v>-0.4054764861692941</v>
      </c>
      <c r="GN114" s="202" t="str">
        <f t="shared" si="195"/>
        <v/>
      </c>
      <c r="GO114" s="202">
        <f>IF($J114="",#N/A,SUM(GN$4:GN114))</f>
        <v>0</v>
      </c>
      <c r="GP114" s="202">
        <f>IF($J114="",#N/A,SUM(GN$4:GN114,GL$4:GL114,GJ$4:GJ114))</f>
        <v>-0.4054764861692941</v>
      </c>
      <c r="GS114" s="54">
        <f t="shared" si="214"/>
        <v>0.30537265006202885</v>
      </c>
      <c r="GT114" s="54">
        <f>IF(GS114="",NA(),SUM($GS$4:GS114))</f>
        <v>-6.4992625068370113</v>
      </c>
      <c r="GU114" s="54" t="str">
        <f t="shared" si="196"/>
        <v/>
      </c>
      <c r="GV114" s="54" t="e">
        <f>IF(GU114="",NA(),SUM($GU$4:GU114))</f>
        <v>#N/A</v>
      </c>
      <c r="GW114" s="54" t="str">
        <f t="shared" si="197"/>
        <v/>
      </c>
      <c r="GX114" s="54" t="e">
        <f>IF(GW114="",NA(),SUM($GW$4:GW114))</f>
        <v>#N/A</v>
      </c>
      <c r="GY114" s="54">
        <f t="shared" si="198"/>
        <v>0.30537265006202885</v>
      </c>
      <c r="GZ114" s="54">
        <f>IF(GY114="",NA(),SUM($GY$4:GY114))</f>
        <v>-2.2937795004236272</v>
      </c>
      <c r="HA114" s="54" t="str">
        <f t="shared" si="199"/>
        <v/>
      </c>
      <c r="HB114" s="54" t="e">
        <f>IF(HA114="",NA(),SUM($HA$4:HA114))</f>
        <v>#N/A</v>
      </c>
      <c r="HC114" s="54" t="str">
        <f t="shared" si="200"/>
        <v/>
      </c>
      <c r="HD114" s="54" t="e">
        <f>IF(HC114="",NA(),SUM($HC$4:HC114))</f>
        <v>#N/A</v>
      </c>
      <c r="HE114" s="54" t="str">
        <f t="shared" si="201"/>
        <v/>
      </c>
      <c r="HF114" s="54" t="e">
        <f>IF(HE114="",NA(),SUM($HE$4:HE114))</f>
        <v>#N/A</v>
      </c>
      <c r="HG114" s="54" t="str">
        <f t="shared" si="202"/>
        <v/>
      </c>
      <c r="HH114" s="54" t="e">
        <f>IF(HG114="",NA(),SUM($HG$4:HG114))</f>
        <v>#N/A</v>
      </c>
      <c r="HI114" s="172">
        <f t="shared" si="215"/>
        <v>-0.1097432961160438</v>
      </c>
      <c r="HJ114" s="182">
        <f>IF($J114="",#N/A,SUM(HI$4:$HI114))</f>
        <v>-2.824011169059053</v>
      </c>
      <c r="HK114" s="54" t="str">
        <f t="shared" si="203"/>
        <v/>
      </c>
      <c r="HL114" s="54">
        <f>IF($J114="",#N/A,SUM($HK$4:HK114))</f>
        <v>-5.2584365376693087</v>
      </c>
      <c r="HM114" s="54" t="str">
        <f t="shared" si="204"/>
        <v/>
      </c>
      <c r="HN114" s="54">
        <f>IF($J114="",#N/A,SUM($HM$4:HM114))</f>
        <v>0.71812545963587882</v>
      </c>
      <c r="HO114" s="54" t="str">
        <f t="shared" si="205"/>
        <v/>
      </c>
      <c r="HP114" s="54">
        <f>IF($J114="",#N/A,SUM($HO$4:HO114))</f>
        <v>-1.004778156728636</v>
      </c>
      <c r="HQ114" s="54" t="str">
        <f t="shared" si="206"/>
        <v/>
      </c>
      <c r="HR114" s="54">
        <f>IF($J114="",#N/A,SUM($HQ$4:HQ114))</f>
        <v>-6.5100672494144725</v>
      </c>
      <c r="HS114" s="54" t="str">
        <f t="shared" si="207"/>
        <v/>
      </c>
      <c r="HT114" s="54">
        <f>IF($J114="",#N/A,SUM($HS$4:HS114))</f>
        <v>6.3730633568266706</v>
      </c>
      <c r="HU114" s="65">
        <f t="shared" si="208"/>
        <v>0.19562935394598505</v>
      </c>
      <c r="HV114" s="65">
        <f>IF($J114="",#N/A,SUM(HU$4:$HU114))</f>
        <v>-14.527515921353128</v>
      </c>
    </row>
    <row r="115" spans="1:230" x14ac:dyDescent="0.25">
      <c r="A115" s="51" t="s">
        <v>1398</v>
      </c>
      <c r="B115" s="52" t="s">
        <v>4524</v>
      </c>
      <c r="C115" s="229">
        <f t="shared" si="109"/>
        <v>2</v>
      </c>
      <c r="D115" s="219" t="str">
        <f>_xlfn.XLOOKUP(A115,[1]SP500!$A$2:$A$502,[1]SP500!$D$2:$D$502,"N")</f>
        <v>Y</v>
      </c>
      <c r="E115" s="51" t="str">
        <f>IFERROR(_xlfn.XLOOKUP(A115,[1]SP500!$A$2:$A$655,[1]SP500!$B$2:$B$655),"")</f>
        <v>XLE</v>
      </c>
      <c r="F115" s="290">
        <v>45772</v>
      </c>
      <c r="G115" s="51" t="str">
        <f t="shared" si="110"/>
        <v>BMO</v>
      </c>
      <c r="H115" s="51" t="str">
        <f t="shared" si="111"/>
        <v>s</v>
      </c>
      <c r="I115" s="124">
        <v>104.69</v>
      </c>
      <c r="J115" s="124">
        <v>103.28</v>
      </c>
      <c r="K115" s="55">
        <f t="shared" si="112"/>
        <v>-1.3468335084535262E-2</v>
      </c>
      <c r="L115" s="67">
        <f t="shared" si="113"/>
        <v>12.690000000000055</v>
      </c>
      <c r="M115" s="57">
        <f t="shared" si="114"/>
        <v>4.32000000000005</v>
      </c>
      <c r="N115" s="102">
        <f t="shared" si="115"/>
        <v>12.690000000000055</v>
      </c>
      <c r="O115" s="57">
        <f>IF(N115="",#N/A,SUM($N$4:N115))</f>
        <v>-554.67259402190621</v>
      </c>
      <c r="P115" s="65">
        <f t="shared" si="209"/>
        <v>0.22447225140892255</v>
      </c>
      <c r="Q115" s="172">
        <f>IF($N115="",#N/A,SUM($P$4:P115))</f>
        <v>-5.7969393735352881</v>
      </c>
      <c r="R115" s="279">
        <f t="shared" si="116"/>
        <v>1.931442674580012</v>
      </c>
      <c r="S115" s="51" t="str">
        <f t="shared" si="117"/>
        <v>Dwn</v>
      </c>
      <c r="T115" s="51" t="s">
        <v>4462</v>
      </c>
      <c r="U115" s="56">
        <f t="shared" si="118"/>
        <v>104.69</v>
      </c>
      <c r="V115" s="56" t="s">
        <v>4458</v>
      </c>
      <c r="W115" s="142">
        <v>9</v>
      </c>
      <c r="X115" s="145">
        <f t="shared" si="119"/>
        <v>942.21</v>
      </c>
      <c r="Y115" s="140">
        <f t="shared" si="120"/>
        <v>9</v>
      </c>
      <c r="Z115" s="123">
        <v>102.8</v>
      </c>
      <c r="AA115" s="102">
        <f t="shared" si="121"/>
        <v>17.010000000000105</v>
      </c>
      <c r="AB115" s="102">
        <f t="shared" si="122"/>
        <v>6.4800000000000182</v>
      </c>
      <c r="AC115" s="124">
        <v>103.97</v>
      </c>
      <c r="AD115" s="155">
        <f t="shared" si="123"/>
        <v>6.4800000000000182</v>
      </c>
      <c r="AE115" s="545">
        <f t="shared" si="124"/>
        <v>0.1146241283790241</v>
      </c>
      <c r="AF115" s="57">
        <f>IF($AC115="",#N/A,SUM(AD$4:AD115))</f>
        <v>-989.69260457963514</v>
      </c>
      <c r="AG115" s="102">
        <f t="shared" si="125"/>
        <v>-6.2100000000000364</v>
      </c>
      <c r="AH115" s="56" t="s">
        <v>2507</v>
      </c>
      <c r="AI115" s="65">
        <f t="shared" si="126"/>
        <v>0.30088833699493928</v>
      </c>
      <c r="AJ115" s="54">
        <f>IF(AI115="",#N/A,SUM($AI$4:AI115))</f>
        <v>-7.7283820481153001</v>
      </c>
      <c r="AK115" s="57">
        <f t="shared" si="127"/>
        <v>17.010000000000105</v>
      </c>
      <c r="AL115" s="349">
        <f>IF(AI115="",#N/A,IF(AH115="Skip",SUM($AK$4:AK115),SUM($AK$4:AK115)))</f>
        <v>-702.08769999999936</v>
      </c>
      <c r="AM115" s="65">
        <f t="shared" si="210"/>
        <v>0.1146241283790241</v>
      </c>
      <c r="AN115" s="209"/>
      <c r="AO115" s="65" t="str">
        <f t="shared" si="128"/>
        <v/>
      </c>
      <c r="AP115" s="65">
        <f>IF($AC115="",#N/A,SUM(AO$4:AO115))</f>
        <v>-1.6634136740748862</v>
      </c>
      <c r="AQ115" s="65" t="str">
        <f t="shared" si="129"/>
        <v/>
      </c>
      <c r="AR115" s="65">
        <f>IF($AC115="",#N/A,SUM(AQ$4:AQ115))</f>
        <v>-2.7637371090917728</v>
      </c>
      <c r="AS115" s="65">
        <f t="shared" si="130"/>
        <v>0.1146241283790241</v>
      </c>
      <c r="AT115" s="65">
        <f>IF($AC115="",#N/A,SUM(AS$4:AS115))</f>
        <v>-9.9857410098074517</v>
      </c>
      <c r="AU115" s="57" t="str">
        <f t="shared" si="211"/>
        <v/>
      </c>
      <c r="AV115" s="57">
        <f>IF($AC115="",#N/A,SUM(AU$4:AU115))</f>
        <v>-176.00043295663284</v>
      </c>
      <c r="AW115" s="57" t="str">
        <f t="shared" si="212"/>
        <v/>
      </c>
      <c r="AX115" s="57">
        <f>IF($AC115="",#N/A,SUM(AW$4:AW115))</f>
        <v>-173.34000000000015</v>
      </c>
      <c r="AY115" s="57">
        <f t="shared" si="213"/>
        <v>6.4800000000000182</v>
      </c>
      <c r="AZ115" s="57">
        <f>IF($AC115="",#N/A,SUM(AY$4:AY115))</f>
        <v>-640.35217162300216</v>
      </c>
      <c r="BA115" s="57">
        <f>IF(AD115="",#N/A,SUM($AD$4:AD115))</f>
        <v>-989.69260457963514</v>
      </c>
      <c r="BC115" s="51" t="str">
        <f t="shared" si="131"/>
        <v/>
      </c>
      <c r="BD115" s="51" t="str">
        <f t="shared" si="132"/>
        <v/>
      </c>
      <c r="BE115" s="51" t="str">
        <f t="shared" si="133"/>
        <v/>
      </c>
      <c r="BF115" s="51" t="str">
        <f t="shared" si="134"/>
        <v>Short</v>
      </c>
      <c r="BG115" s="51">
        <f t="shared" si="135"/>
        <v>1</v>
      </c>
      <c r="BH115" s="51" t="str">
        <f t="shared" si="136"/>
        <v/>
      </c>
      <c r="BI115" s="51" t="str">
        <f t="shared" si="137"/>
        <v/>
      </c>
      <c r="BK115" s="65">
        <f t="shared" si="108"/>
        <v>-9.8859673576567178E-2</v>
      </c>
      <c r="BL115" s="65">
        <f t="shared" si="216"/>
        <v>-0.12447787449389397</v>
      </c>
      <c r="BM115" s="65">
        <f>IFERROR(Q115/COUNTA($J$4:J115),#N/A)</f>
        <v>-5.1758387263707926E-2</v>
      </c>
      <c r="BO115" s="489" t="e">
        <f>IF(J115="",#N/A,IF(S115="SW",(COUNTIFS(K$4:$K115,"&gt;0",S$4:$S115,"SW")/COUNTIF(S$4:$S115,"SW")),#N/A))</f>
        <v>#N/A</v>
      </c>
      <c r="BP115" s="489">
        <f>IF($J115="",#N/A,IF($S115="DWN",(COUNTIFS($K$4:$K115,"&lt;0",$S$4:$S115,"DWN")/COUNTIF($S$4:$S115,"DWN")),#N/A))</f>
        <v>0.54545454545454541</v>
      </c>
      <c r="BQ115" s="489" t="e">
        <f>IF($J115="",#N/A,IF($S115="UP",(COUNTIFS($K$4:$K115,"&gt;0",$S$4:$S115,"UP")/COUNTIF($S$4:$S115,"UP")),#N/A))</f>
        <v>#N/A</v>
      </c>
      <c r="BR115" s="489">
        <f>IF(J115="",#N/A,COUNTIF($K$4:K115,"&gt;0")/COUNT($J$4:J115))</f>
        <v>0.45535714285714285</v>
      </c>
      <c r="BS115" s="65" t="str">
        <f t="shared" si="138"/>
        <v/>
      </c>
      <c r="BT115" s="65" t="str">
        <f t="shared" si="139"/>
        <v/>
      </c>
      <c r="BU115" s="65">
        <f t="shared" si="140"/>
        <v>0.22447225140892255</v>
      </c>
      <c r="BV115" s="65" t="str">
        <f t="shared" si="141"/>
        <v/>
      </c>
      <c r="BW115" s="128" t="str">
        <f t="shared" si="142"/>
        <v/>
      </c>
      <c r="BX115" s="128">
        <f>IF($J115="",#N/A,SUM($BW$4:BW115))</f>
        <v>-155.96500000000026</v>
      </c>
      <c r="BY115" s="131">
        <f t="shared" si="143"/>
        <v>12.690000000000055</v>
      </c>
      <c r="BZ115" s="131">
        <f>IF($J115="",#N/A,SUM($BY$4:BY115))</f>
        <v>-170.41885042154775</v>
      </c>
      <c r="CA115" s="133" t="str">
        <f t="shared" si="144"/>
        <v/>
      </c>
      <c r="CB115" s="133">
        <f>IF($J115="",#N/A,SUM($CA$4:CA115))</f>
        <v>-228.2887436003582</v>
      </c>
      <c r="CC115" s="194" t="str">
        <f t="shared" si="145"/>
        <v/>
      </c>
      <c r="CD115" s="194">
        <f>IF($J115="",#N/A,SUM($CC$4:CC115))</f>
        <v>-2.4770844119990163</v>
      </c>
      <c r="CE115" s="195">
        <f t="shared" si="146"/>
        <v>0.22447225140892255</v>
      </c>
      <c r="CF115" s="195">
        <f>IF($J115="",#N/A,SUM($CE$4:CE115))</f>
        <v>-1.7934451800491877</v>
      </c>
      <c r="CG115" s="196" t="str">
        <f t="shared" si="147"/>
        <v/>
      </c>
      <c r="CH115" s="193">
        <f>IF($J115="",#N/A,SUM($CG$4:CG115))</f>
        <v>-1.5264097814870796</v>
      </c>
      <c r="CI115" s="200" t="str">
        <f t="shared" si="148"/>
        <v/>
      </c>
      <c r="CJ115" s="203">
        <f>IF($J115="",#N/A,SUM(CI$4:CI115))</f>
        <v>0</v>
      </c>
      <c r="CK115" s="204" t="str">
        <f t="shared" si="149"/>
        <v/>
      </c>
      <c r="CL115" s="204">
        <f>IF($J115="",#N/A,SUM(CK$4:CK115))</f>
        <v>1.8934431343190481</v>
      </c>
      <c r="CM115" s="205" t="str">
        <f t="shared" si="150"/>
        <v/>
      </c>
      <c r="CN115" s="205">
        <f>IF($J115="",#N/A,SUM(CM$4:CM115))</f>
        <v>2.5724959960693745</v>
      </c>
      <c r="CO115" s="205">
        <f>IF($J115="",#N/A,SUM(CM$4:CM115,CK$4:CK115,CI$4:CI115))</f>
        <v>4.4659391303884224</v>
      </c>
      <c r="CP115" s="200" t="str">
        <f t="shared" si="151"/>
        <v/>
      </c>
      <c r="CQ115" s="203">
        <f>IF($J115="",#N/A,SUM(CP$4:CP115))</f>
        <v>0</v>
      </c>
      <c r="CR115" s="204" t="str">
        <f t="shared" si="152"/>
        <v/>
      </c>
      <c r="CS115" s="204">
        <f>IF($J115="",#N/A,SUM(CR$4:CR115))</f>
        <v>0</v>
      </c>
      <c r="CT115" s="205" t="str">
        <f t="shared" si="153"/>
        <v/>
      </c>
      <c r="CU115" s="205">
        <f>IF($J115="",#N/A,SUM(CT$4:CT115))</f>
        <v>0</v>
      </c>
      <c r="CV115" s="205">
        <f>IF($J115="",#N/A,SUM(CT$4:CT115,CR$4:CR115,CP$4:CP115))</f>
        <v>0</v>
      </c>
      <c r="CW115" s="200" t="str">
        <f t="shared" si="154"/>
        <v/>
      </c>
      <c r="CX115" s="203">
        <f>IF($J115="",#N/A,SUM(CW$4:CW115))</f>
        <v>0</v>
      </c>
      <c r="CY115" s="204" t="str">
        <f t="shared" si="155"/>
        <v/>
      </c>
      <c r="CZ115" s="204">
        <f>IF($J115="",#N/A,SUM(CY$4:CY115))</f>
        <v>-1.9289529100071134</v>
      </c>
      <c r="DA115" s="205" t="str">
        <f t="shared" si="156"/>
        <v/>
      </c>
      <c r="DB115" s="205">
        <f>IF($J115="",#N/A,SUM(DA$4:DA115))</f>
        <v>-0.16932974967219971</v>
      </c>
      <c r="DC115" s="205">
        <f>IF($J115="",#N/A,SUM(DA$4:DA115,CY$4:CY115,CW$4:CW115))</f>
        <v>-2.0982826596793132</v>
      </c>
      <c r="DD115" s="200" t="str">
        <f t="shared" si="157"/>
        <v/>
      </c>
      <c r="DE115" s="203">
        <f>IF($J115="",#N/A,SUM(DD$4:DD115))</f>
        <v>0.4905246481018824</v>
      </c>
      <c r="DF115" s="204" t="str">
        <f t="shared" si="158"/>
        <v/>
      </c>
      <c r="DG115" s="204">
        <f>IF($J115="",#N/A,SUM(DF$4:DF115))</f>
        <v>0.77374072477919809</v>
      </c>
      <c r="DH115" s="205" t="str">
        <f t="shared" si="159"/>
        <v/>
      </c>
      <c r="DI115" s="205">
        <f>IF($J115="",#N/A,SUM(DH$4:DH115))</f>
        <v>-1.8170936831137556</v>
      </c>
      <c r="DJ115" s="205">
        <f>IF($J115="",#N/A,SUM(DH$4:DH115,DF$4:DF115,DD$4:DD115))</f>
        <v>-0.55282831023267498</v>
      </c>
      <c r="DK115" s="200" t="str">
        <f t="shared" si="160"/>
        <v/>
      </c>
      <c r="DL115" s="203">
        <f>IF($J115="",#N/A,SUM(DK$4:DK115))</f>
        <v>-1.2097286851272664</v>
      </c>
      <c r="DM115" s="204" t="str">
        <f t="shared" si="161"/>
        <v/>
      </c>
      <c r="DN115" s="204">
        <f>IF($J115="",#N/A,SUM(DM$4:DM115))</f>
        <v>1.1910608267574658</v>
      </c>
      <c r="DO115" s="205" t="str">
        <f t="shared" si="162"/>
        <v/>
      </c>
      <c r="DP115" s="205">
        <f>IF($J115="",#N/A,SUM(DO$4:DO115))</f>
        <v>0.14820169229813929</v>
      </c>
      <c r="DQ115" s="205">
        <f>IF($J115="",#N/A,SUM(DO$4:DO115,DM$4:DM115,DK$4:DK115))</f>
        <v>0.12953383392833895</v>
      </c>
      <c r="DR115" s="200" t="str">
        <f t="shared" si="163"/>
        <v/>
      </c>
      <c r="DS115" s="203">
        <f>IF($J115="",#N/A,SUM(DR$4:DR115))</f>
        <v>-0.55950946427675097</v>
      </c>
      <c r="DT115" s="204" t="str">
        <f t="shared" si="164"/>
        <v/>
      </c>
      <c r="DU115" s="204">
        <f>IF($J115="",#N/A,SUM(DT$4:DT115))</f>
        <v>-2.8875364672150718</v>
      </c>
      <c r="DV115" s="205" t="str">
        <f t="shared" si="165"/>
        <v/>
      </c>
      <c r="DW115" s="205">
        <f>IF($J115="",#N/A,SUM(DV$4:DV115))</f>
        <v>-2.6814706788983136</v>
      </c>
      <c r="DX115" s="205">
        <f>IF($J115="",#N/A,SUM(DV$4:DV115,DT$4:DT115,DR$4:DR115))</f>
        <v>-6.1285166103901361</v>
      </c>
      <c r="DY115" s="200" t="str">
        <f t="shared" si="166"/>
        <v/>
      </c>
      <c r="DZ115" s="203">
        <f>IF($J115="",#N/A,SUM(DY$4:DY115))</f>
        <v>-1.2652059025281583</v>
      </c>
      <c r="EA115" s="204" t="str">
        <f t="shared" si="167"/>
        <v/>
      </c>
      <c r="EB115" s="204">
        <f>IF($J115="",#N/A,SUM(EA$4:EA115))</f>
        <v>-0.36153038830642437</v>
      </c>
      <c r="EC115" s="205" t="str">
        <f t="shared" si="168"/>
        <v/>
      </c>
      <c r="ED115" s="205">
        <f>IF($J115="",#N/A,SUM(EC$4:EC115))</f>
        <v>1.7103671484331777</v>
      </c>
      <c r="EE115" s="205">
        <f>IF($J115="",#N/A,SUM(EC$4:EC115,EA$4:EA115,DY$4:DY115))</f>
        <v>8.3630857598595065E-2</v>
      </c>
      <c r="EF115" s="200" t="str">
        <f t="shared" si="169"/>
        <v/>
      </c>
      <c r="EG115" s="203">
        <f>IF($J115="",#N/A,SUM(EF$4:EF115))</f>
        <v>0</v>
      </c>
      <c r="EH115" s="204" t="str">
        <f t="shared" si="170"/>
        <v/>
      </c>
      <c r="EI115" s="204">
        <f>IF($J115="",#N/A,SUM(EH$4:EH115))</f>
        <v>-2.6174111635897193</v>
      </c>
      <c r="EJ115" s="205" t="str">
        <f t="shared" si="171"/>
        <v/>
      </c>
      <c r="EK115" s="205">
        <f>IF($J115="",#N/A,SUM(EJ$4:EJ115))</f>
        <v>1.666813364294796</v>
      </c>
      <c r="EL115" s="205">
        <f>IF($J115="",#N/A,SUM(EJ$4:EJ115,EH$4:EH115,EF$4:EF115))</f>
        <v>-0.95059779929492272</v>
      </c>
      <c r="EM115" s="200" t="str">
        <f t="shared" si="172"/>
        <v/>
      </c>
      <c r="EN115" s="203">
        <f>IF($J115="",#N/A,SUM(EM$4:EM115))</f>
        <v>0</v>
      </c>
      <c r="EO115" s="204" t="str">
        <f t="shared" si="173"/>
        <v/>
      </c>
      <c r="EP115" s="204">
        <f>IF($J115="",#N/A,SUM(EO$4:EO115))</f>
        <v>1.5996008301242557</v>
      </c>
      <c r="EQ115" s="205" t="str">
        <f t="shared" si="174"/>
        <v/>
      </c>
      <c r="ER115" s="205">
        <f>IF($J115="",#N/A,SUM(EQ$4:EQ115))</f>
        <v>0.4926597949853756</v>
      </c>
      <c r="ES115" s="205">
        <f>IF($J115="",#N/A,SUM(EQ$4:EQ115,EO$4:EO115,EM$4:EM115))</f>
        <v>2.0922606251096312</v>
      </c>
      <c r="ET115" s="200" t="str">
        <f t="shared" si="175"/>
        <v/>
      </c>
      <c r="EU115" s="203">
        <f>IF($J115="",#N/A,SUM(ET$4:ET115))</f>
        <v>0</v>
      </c>
      <c r="EV115" s="204" t="str">
        <f t="shared" si="176"/>
        <v/>
      </c>
      <c r="EW115" s="204">
        <f>IF($J115="",#N/A,SUM(EV$4:EV115))</f>
        <v>-0.73430241270792684</v>
      </c>
      <c r="EX115" s="205" t="str">
        <f t="shared" si="177"/>
        <v/>
      </c>
      <c r="EY115" s="205">
        <f>IF($J115="",#N/A,SUM(EX$4:EX115))</f>
        <v>2.0960106423519864E-3</v>
      </c>
      <c r="EZ115" s="205">
        <f>IF($J115="",#N/A,SUM(EX$4:EX115,EV$4:EV115,ET$4:ET115))</f>
        <v>-0.73220640206557486</v>
      </c>
      <c r="FA115" s="200" t="str">
        <f t="shared" si="178"/>
        <v/>
      </c>
      <c r="FB115" s="203">
        <f>IF($J115="",#N/A,SUM(FA$4:FA115))</f>
        <v>0</v>
      </c>
      <c r="FC115" s="204">
        <f t="shared" si="179"/>
        <v>0.22447225140892255</v>
      </c>
      <c r="FD115" s="204">
        <f>IF($J115="",#N/A,SUM(FC$4:FC115))</f>
        <v>1.6839191319663924</v>
      </c>
      <c r="FE115" s="205" t="str">
        <f t="shared" si="180"/>
        <v/>
      </c>
      <c r="FF115" s="205">
        <f>IF($J115="",#N/A,SUM(FE$4:FE115))</f>
        <v>-0.28811149078748233</v>
      </c>
      <c r="FG115" s="205">
        <f>IF($J115="",#N/A,SUM(FE$4:FE115,FC$4:FC115,FA$4:FA115))</f>
        <v>1.3958076411789102</v>
      </c>
      <c r="FH115" s="200" t="str">
        <f t="shared" si="181"/>
        <v/>
      </c>
      <c r="FI115" s="203">
        <f>IF($J115="",#N/A,SUM(FH$4:FH115))</f>
        <v>0</v>
      </c>
      <c r="FJ115" s="204" t="str">
        <f t="shared" si="182"/>
        <v/>
      </c>
      <c r="FK115" s="204">
        <f>IF($J115="",#N/A,SUM(FJ$4:FJ115))</f>
        <v>0</v>
      </c>
      <c r="FL115" s="205" t="str">
        <f t="shared" si="183"/>
        <v/>
      </c>
      <c r="FM115" s="205">
        <f>IF($J115="",#N/A,SUM(FL$4:FL115))</f>
        <v>0</v>
      </c>
      <c r="FN115" s="205">
        <f>IF($J115="",#N/A,SUM(FL$4:FL115,FJ$4:FJ115,FH$4:FH115))</f>
        <v>0</v>
      </c>
      <c r="FO115" s="200" t="str">
        <f t="shared" si="184"/>
        <v/>
      </c>
      <c r="FP115" s="203">
        <f>IF($J115="",#N/A,SUM(FO$4:FO115))</f>
        <v>0</v>
      </c>
      <c r="FQ115" s="204" t="str">
        <f t="shared" si="185"/>
        <v/>
      </c>
      <c r="FR115" s="204">
        <f>IF($J115="",#N/A,SUM(FQ$4:FQ115))</f>
        <v>0</v>
      </c>
      <c r="FS115" s="205" t="str">
        <f t="shared" si="186"/>
        <v/>
      </c>
      <c r="FT115" s="205">
        <f>IF($J115="",#N/A,SUM(FS$4:FS115))</f>
        <v>0</v>
      </c>
      <c r="FU115" s="205">
        <f>IF($J115="",#N/A,SUM(FS$4:FS115,FQ$4:FQ115,FO$4:FO115))</f>
        <v>0</v>
      </c>
      <c r="FV115" s="200" t="str">
        <f t="shared" si="187"/>
        <v/>
      </c>
      <c r="FW115" s="203">
        <f>IF($J115="",#N/A,SUM(FV$4:FV115))</f>
        <v>6.6834991831277585E-2</v>
      </c>
      <c r="FX115" s="204" t="str">
        <f t="shared" si="188"/>
        <v/>
      </c>
      <c r="FY115" s="204">
        <f>IF($J115="",#N/A,SUM(FX$4:FX115))</f>
        <v>0</v>
      </c>
      <c r="FZ115" s="205" t="str">
        <f t="shared" si="189"/>
        <v/>
      </c>
      <c r="GA115" s="205">
        <f>IF($J115="",#N/A,SUM(FZ$4:FZ115))</f>
        <v>-0.22620195801622528</v>
      </c>
      <c r="GB115" s="205">
        <f>IF($J115="",#N/A,SUM(FZ$4:FZ115,FX$4:FX115,FV$4:FV115))</f>
        <v>-0.15936696618494769</v>
      </c>
      <c r="GC115" s="200" t="str">
        <f t="shared" si="190"/>
        <v/>
      </c>
      <c r="GD115" s="203">
        <f>IF($J115="",#N/A,SUM(GC$4:GC115))</f>
        <v>0</v>
      </c>
      <c r="GE115" s="204" t="str">
        <f t="shared" si="191"/>
        <v/>
      </c>
      <c r="GF115" s="204">
        <f>IF($J115="",#N/A,SUM(GE$4:GE115))</f>
        <v>0</v>
      </c>
      <c r="GG115" s="205" t="str">
        <f t="shared" si="192"/>
        <v/>
      </c>
      <c r="GH115" s="205">
        <f>IF($J115="",#N/A,SUM(GG$4:GG115))</f>
        <v>-2.9368362277223206</v>
      </c>
      <c r="GI115" s="205">
        <f>IF($J115="",#N/A,SUM(GG$4:GG115,GE$4:GE115,GC$4:GC115))</f>
        <v>-2.9368362277223206</v>
      </c>
      <c r="GJ115" s="200" t="str">
        <f t="shared" si="193"/>
        <v/>
      </c>
      <c r="GK115" s="203">
        <f>IF($J115="",#N/A,SUM(GJ$4:GJ115))</f>
        <v>0</v>
      </c>
      <c r="GL115" s="204" t="str">
        <f t="shared" si="194"/>
        <v/>
      </c>
      <c r="GM115" s="204">
        <f>IF($J115="",#N/A,SUM(GL$4:GL115))</f>
        <v>-0.4054764861692941</v>
      </c>
      <c r="GN115" s="205" t="str">
        <f t="shared" si="195"/>
        <v/>
      </c>
      <c r="GO115" s="205">
        <f>IF($J115="",#N/A,SUM(GN$4:GN115))</f>
        <v>0</v>
      </c>
      <c r="GP115" s="205">
        <f>IF($J115="",#N/A,SUM(GN$4:GN115,GL$4:GL115,GJ$4:GJ115))</f>
        <v>-0.4054764861692941</v>
      </c>
      <c r="GS115" s="54">
        <f t="shared" si="214"/>
        <v>0.22447225140892255</v>
      </c>
      <c r="GT115" s="54">
        <f>IF(GS115="",NA(),SUM($GS$4:GS115))</f>
        <v>-6.2747902554280888</v>
      </c>
      <c r="GU115" s="54" t="str">
        <f t="shared" si="196"/>
        <v/>
      </c>
      <c r="GV115" s="54" t="e">
        <f>IF(GU115="",NA(),SUM($GU$4:GU115))</f>
        <v>#N/A</v>
      </c>
      <c r="GW115" s="54" t="str">
        <f t="shared" si="197"/>
        <v/>
      </c>
      <c r="GX115" s="54" t="e">
        <f>IF(GW115="",NA(),SUM($GW$4:GW115))</f>
        <v>#N/A</v>
      </c>
      <c r="GY115" s="54">
        <f t="shared" si="198"/>
        <v>0.22447225140892255</v>
      </c>
      <c r="GZ115" s="54">
        <f>IF(GY115="",NA(),SUM($GY$4:GY115))</f>
        <v>-2.0693072490147046</v>
      </c>
      <c r="HA115" s="54" t="str">
        <f t="shared" si="199"/>
        <v/>
      </c>
      <c r="HB115" s="54" t="e">
        <f>IF(HA115="",NA(),SUM($HA$4:HA115))</f>
        <v>#N/A</v>
      </c>
      <c r="HC115" s="54" t="str">
        <f t="shared" si="200"/>
        <v/>
      </c>
      <c r="HD115" s="54" t="e">
        <f>IF(HC115="",NA(),SUM($HC$4:HC115))</f>
        <v>#N/A</v>
      </c>
      <c r="HE115" s="54" t="str">
        <f t="shared" si="201"/>
        <v/>
      </c>
      <c r="HF115" s="54" t="e">
        <f>IF(HE115="",NA(),SUM($HE$4:HE115))</f>
        <v>#N/A</v>
      </c>
      <c r="HG115" s="54" t="str">
        <f t="shared" si="202"/>
        <v/>
      </c>
      <c r="HH115" s="54" t="e">
        <f>IF(HG115="",NA(),SUM($HG$4:HG115))</f>
        <v>#N/A</v>
      </c>
      <c r="HI115" s="172">
        <f t="shared" si="215"/>
        <v>-0.10984812302989845</v>
      </c>
      <c r="HJ115" s="172">
        <f>IF($J115="",#N/A,SUM(HI$4:$HI115))</f>
        <v>-2.9338592920889517</v>
      </c>
      <c r="HK115" s="54" t="str">
        <f t="shared" si="203"/>
        <v/>
      </c>
      <c r="HL115" s="54">
        <f>IF($J115="",#N/A,SUM($HK$4:HK115))</f>
        <v>-5.2584365376693087</v>
      </c>
      <c r="HM115" s="54" t="str">
        <f t="shared" si="204"/>
        <v/>
      </c>
      <c r="HN115" s="54">
        <f>IF($J115="",#N/A,SUM($HM$4:HM115))</f>
        <v>0.71812545963587882</v>
      </c>
      <c r="HO115" s="54" t="str">
        <f t="shared" si="205"/>
        <v/>
      </c>
      <c r="HP115" s="54">
        <f>IF($J115="",#N/A,SUM($HO$4:HO115))</f>
        <v>-1.004778156728636</v>
      </c>
      <c r="HQ115" s="54" t="str">
        <f t="shared" si="206"/>
        <v/>
      </c>
      <c r="HR115" s="54">
        <f>IF($J115="",#N/A,SUM($HQ$4:HQ115))</f>
        <v>-6.5100672494144725</v>
      </c>
      <c r="HS115" s="54" t="str">
        <f t="shared" si="207"/>
        <v/>
      </c>
      <c r="HT115" s="54">
        <f>IF($J115="",#N/A,SUM($HS$4:HS115))</f>
        <v>6.3730633568266706</v>
      </c>
      <c r="HU115" s="65">
        <f t="shared" si="208"/>
        <v>0.1146241283790241</v>
      </c>
      <c r="HV115" s="65">
        <f>IF($J115="",#N/A,SUM(HU$4:$HU115))</f>
        <v>-14.412891792974104</v>
      </c>
    </row>
    <row r="116" spans="1:230" x14ac:dyDescent="0.25">
      <c r="A116" s="51" t="s">
        <v>1357</v>
      </c>
      <c r="B116" s="52" t="s">
        <v>4524</v>
      </c>
      <c r="C116" s="229">
        <f t="shared" si="109"/>
        <v>3</v>
      </c>
      <c r="D116" s="219" t="str">
        <f>_xlfn.XLOOKUP(A116,[1]SP500!$A$2:$A$502,[1]SP500!$D$2:$D$502,"N")</f>
        <v>Y</v>
      </c>
      <c r="E116" s="51" t="str">
        <f>IFERROR(_xlfn.XLOOKUP(A116,[1]SP500!$A$2:$A$655,[1]SP500!$B$2:$B$655),"")</f>
        <v>XLV</v>
      </c>
      <c r="F116" s="290">
        <v>45772</v>
      </c>
      <c r="G116" s="51" t="str">
        <f t="shared" si="110"/>
        <v>BMO</v>
      </c>
      <c r="H116" s="51" t="str">
        <f t="shared" si="111"/>
        <v>s</v>
      </c>
      <c r="I116" s="124">
        <v>341.41</v>
      </c>
      <c r="J116" s="124">
        <v>350.25</v>
      </c>
      <c r="K116" s="55">
        <f t="shared" si="112"/>
        <v>2.5892621774406065E-2</v>
      </c>
      <c r="L116" s="67">
        <f t="shared" si="113"/>
        <v>26.519999999999982</v>
      </c>
      <c r="M116" s="57">
        <f t="shared" si="114"/>
        <v>0</v>
      </c>
      <c r="N116" s="155">
        <f t="shared" si="115"/>
        <v>26.519999999999982</v>
      </c>
      <c r="O116" s="156">
        <f>IF(N116="",#N/A,SUM($N$4:N116))</f>
        <v>-528.15259402190622</v>
      </c>
      <c r="P116" s="65">
        <f t="shared" si="209"/>
        <v>0.43154369624010203</v>
      </c>
      <c r="Q116" s="172">
        <f>IF($N116="",#N/A,SUM($P$4:P116))</f>
        <v>-5.3653956772951865</v>
      </c>
      <c r="R116" s="279">
        <f t="shared" si="116"/>
        <v>1.931442674580012</v>
      </c>
      <c r="S116" s="51" t="str">
        <f t="shared" si="117"/>
        <v>SW</v>
      </c>
      <c r="T116" s="51" t="s">
        <v>2828</v>
      </c>
      <c r="U116" s="56">
        <f t="shared" si="118"/>
        <v>341.41</v>
      </c>
      <c r="V116" s="56" t="s">
        <v>4460</v>
      </c>
      <c r="W116" s="142">
        <v>3</v>
      </c>
      <c r="X116" s="145">
        <f t="shared" si="119"/>
        <v>1024.23</v>
      </c>
      <c r="Y116" s="140">
        <f t="shared" si="120"/>
        <v>3</v>
      </c>
      <c r="Z116" s="123">
        <v>350.25</v>
      </c>
      <c r="AA116" s="102">
        <f t="shared" si="121"/>
        <v>26.519999999999982</v>
      </c>
      <c r="AB116" s="102">
        <f t="shared" si="122"/>
        <v>-40.470000000000027</v>
      </c>
      <c r="AC116" s="124">
        <v>327.92</v>
      </c>
      <c r="AD116" s="155">
        <f t="shared" si="123"/>
        <v>-40.470000000000027</v>
      </c>
      <c r="AE116" s="545">
        <f t="shared" si="124"/>
        <v>-0.65854349120802991</v>
      </c>
      <c r="AF116" s="57">
        <f>IF($AC116="",#N/A,SUM(AD$4:AD116))</f>
        <v>-1030.1626045796352</v>
      </c>
      <c r="AG116" s="102">
        <f t="shared" si="125"/>
        <v>-66.990000000000009</v>
      </c>
      <c r="AH116" s="56" t="s">
        <v>2507</v>
      </c>
      <c r="AI116" s="65">
        <f t="shared" si="126"/>
        <v>0.43154369624010203</v>
      </c>
      <c r="AJ116" s="54">
        <f>IF(AI116="",#N/A,SUM($AI$4:AI116))</f>
        <v>-7.2968383518751985</v>
      </c>
      <c r="AK116" s="57">
        <f t="shared" si="127"/>
        <v>26.519999999999982</v>
      </c>
      <c r="AL116" s="58">
        <f>IF(AI116="",#N/A,IF(AH116="Skip",SUM($AK$4:AK116),SUM($AK$4:AK116)))</f>
        <v>-675.56769999999938</v>
      </c>
      <c r="AM116" s="65">
        <f t="shared" si="210"/>
        <v>-0.65854349120802991</v>
      </c>
      <c r="AN116" s="209"/>
      <c r="AO116" s="65">
        <f t="shared" si="128"/>
        <v>-0.65854349120802991</v>
      </c>
      <c r="AP116" s="65">
        <f>IF($AC116="",#N/A,SUM(AO$4:AO116))</f>
        <v>-2.3219571652829161</v>
      </c>
      <c r="AQ116" s="65" t="str">
        <f t="shared" si="129"/>
        <v/>
      </c>
      <c r="AR116" s="65">
        <f>IF($AC116="",#N/A,SUM(AQ$4:AQ116))</f>
        <v>-2.7637371090917728</v>
      </c>
      <c r="AS116" s="65" t="str">
        <f t="shared" si="130"/>
        <v/>
      </c>
      <c r="AT116" s="65">
        <f>IF($AC116="",#N/A,SUM(AS$4:AS116))</f>
        <v>-9.9857410098074517</v>
      </c>
      <c r="AU116" s="57">
        <f t="shared" si="211"/>
        <v>-40.470000000000027</v>
      </c>
      <c r="AV116" s="57">
        <f>IF($AC116="",#N/A,SUM(AU$4:AU116))</f>
        <v>-216.47043295663286</v>
      </c>
      <c r="AW116" s="57" t="str">
        <f t="shared" si="212"/>
        <v/>
      </c>
      <c r="AX116" s="57">
        <f>IF($AC116="",#N/A,SUM(AW$4:AW116))</f>
        <v>-173.34000000000015</v>
      </c>
      <c r="AY116" s="56" t="str">
        <f t="shared" si="213"/>
        <v/>
      </c>
      <c r="AZ116" s="57">
        <f>IF($AC116="",#N/A,SUM(AY$4:AY116))</f>
        <v>-640.35217162300216</v>
      </c>
      <c r="BA116" s="57">
        <f>IF(AD116="",#N/A,SUM($AD$4:AD116))</f>
        <v>-1030.1626045796352</v>
      </c>
      <c r="BC116" s="51" t="str">
        <f t="shared" si="131"/>
        <v/>
      </c>
      <c r="BD116" s="51" t="str">
        <f t="shared" si="132"/>
        <v/>
      </c>
      <c r="BE116" s="51">
        <f t="shared" si="133"/>
        <v>1</v>
      </c>
      <c r="BF116" s="51" t="str">
        <f t="shared" si="134"/>
        <v>Long</v>
      </c>
      <c r="BG116" s="51" t="str">
        <f t="shared" si="135"/>
        <v/>
      </c>
      <c r="BH116" s="51" t="str">
        <f t="shared" si="136"/>
        <v/>
      </c>
      <c r="BI116" s="51" t="str">
        <f t="shared" si="137"/>
        <v/>
      </c>
      <c r="BK116" s="65">
        <f t="shared" si="108"/>
        <v>-0.10903734217705548</v>
      </c>
      <c r="BL116" s="65">
        <f t="shared" si="216"/>
        <v>-0.14219049495199154</v>
      </c>
      <c r="BM116" s="65">
        <f>IFERROR(Q116/COUNTA($J$4:J116),#N/A)</f>
        <v>-4.748137767517864E-2</v>
      </c>
      <c r="BO116" s="489">
        <f>IF(J116="",#N/A,IF(S116="SW",(COUNTIFS(K$4:$K116,"&gt;0",S$4:$S116,"SW")/COUNTIF(S$4:$S116,"SW")),#N/A))</f>
        <v>0.46031746031746029</v>
      </c>
      <c r="BP116" s="489" t="e">
        <f>IF($J116="",#N/A,IF($S116="DWN",(COUNTIFS($K$4:$K116,"&lt;0",$S$4:$S116,"DWN")/COUNTIF($S$4:$S116,"DWN")),#N/A))</f>
        <v>#N/A</v>
      </c>
      <c r="BQ116" s="489" t="e">
        <f>IF($J116="",#N/A,IF($S116="UP",(COUNTIFS($K$4:$K116,"&gt;0",$S$4:$S116,"UP")/COUNTIF($S$4:$S116,"UP")),#N/A))</f>
        <v>#N/A</v>
      </c>
      <c r="BR116" s="489">
        <f>IF(J116="",#N/A,COUNTIF($K$4:K116,"&gt;0")/COUNT($J$4:J116))</f>
        <v>0.46017699115044247</v>
      </c>
      <c r="BS116" s="65">
        <f t="shared" si="138"/>
        <v>0.43154369624010203</v>
      </c>
      <c r="BT116" s="65" t="str">
        <f t="shared" si="139"/>
        <v/>
      </c>
      <c r="BU116" s="65" t="str">
        <f t="shared" si="140"/>
        <v/>
      </c>
      <c r="BV116" s="65" t="str">
        <f t="shared" si="141"/>
        <v/>
      </c>
      <c r="BW116" s="151" t="str">
        <f t="shared" si="142"/>
        <v/>
      </c>
      <c r="BX116" s="151">
        <f>IF($J116="",#N/A,SUM($BW$4:BW116))</f>
        <v>-155.96500000000026</v>
      </c>
      <c r="BY116" s="152" t="str">
        <f t="shared" si="143"/>
        <v/>
      </c>
      <c r="BZ116" s="152">
        <f>IF($J116="",#N/A,SUM($BY$4:BY116))</f>
        <v>-170.41885042154775</v>
      </c>
      <c r="CA116" s="153">
        <f t="shared" si="144"/>
        <v>26.519999999999982</v>
      </c>
      <c r="CB116" s="154">
        <f>IF($J116="",#N/A,SUM($CA$4:CA116))</f>
        <v>-201.76874360035822</v>
      </c>
      <c r="CC116" s="191" t="str">
        <f t="shared" si="145"/>
        <v/>
      </c>
      <c r="CD116" s="191">
        <f>IF($J116="",#N/A,SUM($CC$4:CC116))</f>
        <v>-2.4770844119990163</v>
      </c>
      <c r="CE116" s="192" t="str">
        <f t="shared" si="146"/>
        <v/>
      </c>
      <c r="CF116" s="192">
        <f>IF($J116="",#N/A,SUM($CE$4:CE116))</f>
        <v>-1.7934451800491877</v>
      </c>
      <c r="CG116" s="193">
        <f t="shared" si="147"/>
        <v>0.43154369624010203</v>
      </c>
      <c r="CH116" s="193">
        <f>IF($J116="",#N/A,SUM($CG$4:CG116))</f>
        <v>-1.0948660852469776</v>
      </c>
      <c r="CI116" s="200" t="str">
        <f t="shared" si="148"/>
        <v/>
      </c>
      <c r="CJ116" s="200">
        <f>IF($J116="",#N/A,SUM(CI$4:CI116))</f>
        <v>0</v>
      </c>
      <c r="CK116" s="201" t="str">
        <f t="shared" si="149"/>
        <v/>
      </c>
      <c r="CL116" s="201">
        <f>IF($J116="",#N/A,SUM(CK$4:CK116))</f>
        <v>1.8934431343190481</v>
      </c>
      <c r="CM116" s="202" t="str">
        <f t="shared" si="150"/>
        <v/>
      </c>
      <c r="CN116" s="202">
        <f>IF($J116="",#N/A,SUM(CM$4:CM116))</f>
        <v>2.5724959960693745</v>
      </c>
      <c r="CO116" s="202">
        <f>IF($J116="",#N/A,SUM(CM$4:CM116,CK$4:CK116,CI$4:CI116))</f>
        <v>4.4659391303884224</v>
      </c>
      <c r="CP116" s="200" t="str">
        <f t="shared" si="151"/>
        <v/>
      </c>
      <c r="CQ116" s="200">
        <f>IF($J116="",#N/A,SUM(CP$4:CP116))</f>
        <v>0</v>
      </c>
      <c r="CR116" s="201" t="str">
        <f t="shared" si="152"/>
        <v/>
      </c>
      <c r="CS116" s="201">
        <f>IF($J116="",#N/A,SUM(CR$4:CR116))</f>
        <v>0</v>
      </c>
      <c r="CT116" s="202" t="str">
        <f t="shared" si="153"/>
        <v/>
      </c>
      <c r="CU116" s="202">
        <f>IF($J116="",#N/A,SUM(CT$4:CT116))</f>
        <v>0</v>
      </c>
      <c r="CV116" s="202">
        <f>IF($J116="",#N/A,SUM(CT$4:CT116,CR$4:CR116,CP$4:CP116))</f>
        <v>0</v>
      </c>
      <c r="CW116" s="200" t="str">
        <f t="shared" si="154"/>
        <v/>
      </c>
      <c r="CX116" s="200">
        <f>IF($J116="",#N/A,SUM(CW$4:CW116))</f>
        <v>0</v>
      </c>
      <c r="CY116" s="201" t="str">
        <f t="shared" si="155"/>
        <v/>
      </c>
      <c r="CZ116" s="201">
        <f>IF($J116="",#N/A,SUM(CY$4:CY116))</f>
        <v>-1.9289529100071134</v>
      </c>
      <c r="DA116" s="202" t="str">
        <f t="shared" si="156"/>
        <v/>
      </c>
      <c r="DB116" s="202">
        <f>IF($J116="",#N/A,SUM(DA$4:DA116))</f>
        <v>-0.16932974967219971</v>
      </c>
      <c r="DC116" s="202">
        <f>IF($J116="",#N/A,SUM(DA$4:DA116,CY$4:CY116,CW$4:CW116))</f>
        <v>-2.0982826596793132</v>
      </c>
      <c r="DD116" s="200" t="str">
        <f t="shared" si="157"/>
        <v/>
      </c>
      <c r="DE116" s="200">
        <f>IF($J116="",#N/A,SUM(DD$4:DD116))</f>
        <v>0.4905246481018824</v>
      </c>
      <c r="DF116" s="201" t="str">
        <f t="shared" si="158"/>
        <v/>
      </c>
      <c r="DG116" s="201">
        <f>IF($J116="",#N/A,SUM(DF$4:DF116))</f>
        <v>0.77374072477919809</v>
      </c>
      <c r="DH116" s="202" t="str">
        <f t="shared" si="159"/>
        <v/>
      </c>
      <c r="DI116" s="202">
        <f>IF($J116="",#N/A,SUM(DH$4:DH116))</f>
        <v>-1.8170936831137556</v>
      </c>
      <c r="DJ116" s="202">
        <f>IF($J116="",#N/A,SUM(DH$4:DH116,DF$4:DF116,DD$4:DD116))</f>
        <v>-0.55282831023267498</v>
      </c>
      <c r="DK116" s="200" t="str">
        <f t="shared" si="160"/>
        <v/>
      </c>
      <c r="DL116" s="200">
        <f>IF($J116="",#N/A,SUM(DK$4:DK116))</f>
        <v>-1.2097286851272664</v>
      </c>
      <c r="DM116" s="201" t="str">
        <f t="shared" si="161"/>
        <v/>
      </c>
      <c r="DN116" s="201">
        <f>IF($J116="",#N/A,SUM(DM$4:DM116))</f>
        <v>1.1910608267574658</v>
      </c>
      <c r="DO116" s="202" t="str">
        <f t="shared" si="162"/>
        <v/>
      </c>
      <c r="DP116" s="202">
        <f>IF($J116="",#N/A,SUM(DO$4:DO116))</f>
        <v>0.14820169229813929</v>
      </c>
      <c r="DQ116" s="202">
        <f>IF($J116="",#N/A,SUM(DO$4:DO116,DM$4:DM116,DK$4:DK116))</f>
        <v>0.12953383392833895</v>
      </c>
      <c r="DR116" s="200" t="str">
        <f t="shared" si="163"/>
        <v/>
      </c>
      <c r="DS116" s="200">
        <f>IF($J116="",#N/A,SUM(DR$4:DR116))</f>
        <v>-0.55950946427675097</v>
      </c>
      <c r="DT116" s="201" t="str">
        <f t="shared" si="164"/>
        <v/>
      </c>
      <c r="DU116" s="201">
        <f>IF($J116="",#N/A,SUM(DT$4:DT116))</f>
        <v>-2.8875364672150718</v>
      </c>
      <c r="DV116" s="202" t="str">
        <f t="shared" si="165"/>
        <v/>
      </c>
      <c r="DW116" s="202">
        <f>IF($J116="",#N/A,SUM(DV$4:DV116))</f>
        <v>-2.6814706788983136</v>
      </c>
      <c r="DX116" s="202">
        <f>IF($J116="",#N/A,SUM(DV$4:DV116,DT$4:DT116,DR$4:DR116))</f>
        <v>-6.1285166103901361</v>
      </c>
      <c r="DY116" s="200" t="str">
        <f t="shared" si="166"/>
        <v/>
      </c>
      <c r="DZ116" s="200">
        <f>IF($J116="",#N/A,SUM(DY$4:DY116))</f>
        <v>-1.2652059025281583</v>
      </c>
      <c r="EA116" s="201" t="str">
        <f t="shared" si="167"/>
        <v/>
      </c>
      <c r="EB116" s="201">
        <f>IF($J116="",#N/A,SUM(EA$4:EA116))</f>
        <v>-0.36153038830642437</v>
      </c>
      <c r="EC116" s="202" t="str">
        <f t="shared" si="168"/>
        <v/>
      </c>
      <c r="ED116" s="202">
        <f>IF($J116="",#N/A,SUM(EC$4:EC116))</f>
        <v>1.7103671484331777</v>
      </c>
      <c r="EE116" s="202">
        <f>IF($J116="",#N/A,SUM(EC$4:EC116,EA$4:EA116,DY$4:DY116))</f>
        <v>8.3630857598595065E-2</v>
      </c>
      <c r="EF116" s="200" t="str">
        <f t="shared" si="169"/>
        <v/>
      </c>
      <c r="EG116" s="200">
        <f>IF($J116="",#N/A,SUM(EF$4:EF116))</f>
        <v>0</v>
      </c>
      <c r="EH116" s="201" t="str">
        <f t="shared" si="170"/>
        <v/>
      </c>
      <c r="EI116" s="201">
        <f>IF($J116="",#N/A,SUM(EH$4:EH116))</f>
        <v>-2.6174111635897193</v>
      </c>
      <c r="EJ116" s="202">
        <f t="shared" si="171"/>
        <v>0.43154369624010203</v>
      </c>
      <c r="EK116" s="202">
        <f>IF($J116="",#N/A,SUM(EJ$4:EJ116))</f>
        <v>2.098357060534898</v>
      </c>
      <c r="EL116" s="202">
        <f>IF($J116="",#N/A,SUM(EJ$4:EJ116,EH$4:EH116,EF$4:EF116))</f>
        <v>-0.51905410305482069</v>
      </c>
      <c r="EM116" s="200" t="str">
        <f t="shared" si="172"/>
        <v/>
      </c>
      <c r="EN116" s="200">
        <f>IF($J116="",#N/A,SUM(EM$4:EM116))</f>
        <v>0</v>
      </c>
      <c r="EO116" s="201" t="str">
        <f t="shared" si="173"/>
        <v/>
      </c>
      <c r="EP116" s="201">
        <f>IF($J116="",#N/A,SUM(EO$4:EO116))</f>
        <v>1.5996008301242557</v>
      </c>
      <c r="EQ116" s="202" t="str">
        <f t="shared" si="174"/>
        <v/>
      </c>
      <c r="ER116" s="202">
        <f>IF($J116="",#N/A,SUM(EQ$4:EQ116))</f>
        <v>0.4926597949853756</v>
      </c>
      <c r="ES116" s="202">
        <f>IF($J116="",#N/A,SUM(EQ$4:EQ116,EO$4:EO116,EM$4:EM116))</f>
        <v>2.0922606251096312</v>
      </c>
      <c r="ET116" s="200" t="str">
        <f t="shared" si="175"/>
        <v/>
      </c>
      <c r="EU116" s="200">
        <f>IF($J116="",#N/A,SUM(ET$4:ET116))</f>
        <v>0</v>
      </c>
      <c r="EV116" s="201" t="str">
        <f t="shared" si="176"/>
        <v/>
      </c>
      <c r="EW116" s="201">
        <f>IF($J116="",#N/A,SUM(EV$4:EV116))</f>
        <v>-0.73430241270792684</v>
      </c>
      <c r="EX116" s="202" t="str">
        <f t="shared" si="177"/>
        <v/>
      </c>
      <c r="EY116" s="202">
        <f>IF($J116="",#N/A,SUM(EX$4:EX116))</f>
        <v>2.0960106423519864E-3</v>
      </c>
      <c r="EZ116" s="202">
        <f>IF($J116="",#N/A,SUM(EX$4:EX116,EV$4:EV116,ET$4:ET116))</f>
        <v>-0.73220640206557486</v>
      </c>
      <c r="FA116" s="200" t="str">
        <f t="shared" si="178"/>
        <v/>
      </c>
      <c r="FB116" s="200">
        <f>IF($J116="",#N/A,SUM(FA$4:FA116))</f>
        <v>0</v>
      </c>
      <c r="FC116" s="201" t="str">
        <f t="shared" si="179"/>
        <v/>
      </c>
      <c r="FD116" s="201">
        <f>IF($J116="",#N/A,SUM(FC$4:FC116))</f>
        <v>1.6839191319663924</v>
      </c>
      <c r="FE116" s="202" t="str">
        <f t="shared" si="180"/>
        <v/>
      </c>
      <c r="FF116" s="202">
        <f>IF($J116="",#N/A,SUM(FE$4:FE116))</f>
        <v>-0.28811149078748233</v>
      </c>
      <c r="FG116" s="202">
        <f>IF($J116="",#N/A,SUM(FE$4:FE116,FC$4:FC116,FA$4:FA116))</f>
        <v>1.3958076411789102</v>
      </c>
      <c r="FH116" s="200" t="str">
        <f t="shared" si="181"/>
        <v/>
      </c>
      <c r="FI116" s="200">
        <f>IF($J116="",#N/A,SUM(FH$4:FH116))</f>
        <v>0</v>
      </c>
      <c r="FJ116" s="201" t="str">
        <f t="shared" si="182"/>
        <v/>
      </c>
      <c r="FK116" s="201">
        <f>IF($J116="",#N/A,SUM(FJ$4:FJ116))</f>
        <v>0</v>
      </c>
      <c r="FL116" s="202" t="str">
        <f t="shared" si="183"/>
        <v/>
      </c>
      <c r="FM116" s="202">
        <f>IF($J116="",#N/A,SUM(FL$4:FL116))</f>
        <v>0</v>
      </c>
      <c r="FN116" s="202">
        <f>IF($J116="",#N/A,SUM(FL$4:FL116,FJ$4:FJ116,FH$4:FH116))</f>
        <v>0</v>
      </c>
      <c r="FO116" s="200" t="str">
        <f t="shared" si="184"/>
        <v/>
      </c>
      <c r="FP116" s="200">
        <f>IF($J116="",#N/A,SUM(FO$4:FO116))</f>
        <v>0</v>
      </c>
      <c r="FQ116" s="201" t="str">
        <f t="shared" si="185"/>
        <v/>
      </c>
      <c r="FR116" s="201">
        <f>IF($J116="",#N/A,SUM(FQ$4:FQ116))</f>
        <v>0</v>
      </c>
      <c r="FS116" s="202" t="str">
        <f t="shared" si="186"/>
        <v/>
      </c>
      <c r="FT116" s="202">
        <f>IF($J116="",#N/A,SUM(FS$4:FS116))</f>
        <v>0</v>
      </c>
      <c r="FU116" s="202">
        <f>IF($J116="",#N/A,SUM(FS$4:FS116,FQ$4:FQ116,FO$4:FO116))</f>
        <v>0</v>
      </c>
      <c r="FV116" s="200" t="str">
        <f t="shared" si="187"/>
        <v/>
      </c>
      <c r="FW116" s="200">
        <f>IF($J116="",#N/A,SUM(FV$4:FV116))</f>
        <v>6.6834991831277585E-2</v>
      </c>
      <c r="FX116" s="201" t="str">
        <f t="shared" si="188"/>
        <v/>
      </c>
      <c r="FY116" s="201">
        <f>IF($J116="",#N/A,SUM(FX$4:FX116))</f>
        <v>0</v>
      </c>
      <c r="FZ116" s="202" t="str">
        <f t="shared" si="189"/>
        <v/>
      </c>
      <c r="GA116" s="202">
        <f>IF($J116="",#N/A,SUM(FZ$4:FZ116))</f>
        <v>-0.22620195801622528</v>
      </c>
      <c r="GB116" s="202">
        <f>IF($J116="",#N/A,SUM(FZ$4:FZ116,FX$4:FX116,FV$4:FV116))</f>
        <v>-0.15936696618494769</v>
      </c>
      <c r="GC116" s="200" t="str">
        <f t="shared" si="190"/>
        <v/>
      </c>
      <c r="GD116" s="200">
        <f>IF($J116="",#N/A,SUM(GC$4:GC116))</f>
        <v>0</v>
      </c>
      <c r="GE116" s="201" t="str">
        <f t="shared" si="191"/>
        <v/>
      </c>
      <c r="GF116" s="201">
        <f>IF($J116="",#N/A,SUM(GE$4:GE116))</f>
        <v>0</v>
      </c>
      <c r="GG116" s="202" t="str">
        <f t="shared" si="192"/>
        <v/>
      </c>
      <c r="GH116" s="202">
        <f>IF($J116="",#N/A,SUM(GG$4:GG116))</f>
        <v>-2.9368362277223206</v>
      </c>
      <c r="GI116" s="202">
        <f>IF($J116="",#N/A,SUM(GG$4:GG116,GE$4:GE116,GC$4:GC116))</f>
        <v>-2.9368362277223206</v>
      </c>
      <c r="GJ116" s="200" t="str">
        <f t="shared" si="193"/>
        <v/>
      </c>
      <c r="GK116" s="200">
        <f>IF($J116="",#N/A,SUM(GJ$4:GJ116))</f>
        <v>0</v>
      </c>
      <c r="GL116" s="201" t="str">
        <f t="shared" si="194"/>
        <v/>
      </c>
      <c r="GM116" s="201">
        <f>IF($J116="",#N/A,SUM(GL$4:GL116))</f>
        <v>-0.4054764861692941</v>
      </c>
      <c r="GN116" s="202" t="str">
        <f t="shared" si="195"/>
        <v/>
      </c>
      <c r="GO116" s="202">
        <f>IF($J116="",#N/A,SUM(GN$4:GN116))</f>
        <v>0</v>
      </c>
      <c r="GP116" s="202">
        <f>IF($J116="",#N/A,SUM(GN$4:GN116,GL$4:GL116,GJ$4:GJ116))</f>
        <v>-0.4054764861692941</v>
      </c>
      <c r="GS116" s="54">
        <f t="shared" si="214"/>
        <v>0.43154369624010203</v>
      </c>
      <c r="GT116" s="54">
        <f>IF(GS116="",NA(),SUM($GS$4:GS116))</f>
        <v>-5.8432465591879872</v>
      </c>
      <c r="GU116" s="54" t="str">
        <f t="shared" si="196"/>
        <v/>
      </c>
      <c r="GV116" s="54" t="e">
        <f>IF(GU116="",NA(),SUM($GU$4:GU116))</f>
        <v>#N/A</v>
      </c>
      <c r="GW116" s="54">
        <f t="shared" si="197"/>
        <v>0.43154369624010203</v>
      </c>
      <c r="GX116" s="54">
        <f>IF(GW116="",NA(),SUM($GW$4:GW116))</f>
        <v>-1.2968548981742631</v>
      </c>
      <c r="GY116" s="54" t="str">
        <f t="shared" si="198"/>
        <v/>
      </c>
      <c r="GZ116" s="54" t="e">
        <f>IF(GY116="",NA(),SUM($GY$4:GY116))</f>
        <v>#N/A</v>
      </c>
      <c r="HA116" s="54" t="str">
        <f t="shared" si="199"/>
        <v/>
      </c>
      <c r="HB116" s="54" t="e">
        <f>IF(HA116="",NA(),SUM($HA$4:HA116))</f>
        <v>#N/A</v>
      </c>
      <c r="HC116" s="54" t="str">
        <f t="shared" si="200"/>
        <v/>
      </c>
      <c r="HD116" s="54" t="e">
        <f>IF(HC116="",NA(),SUM($HC$4:HC116))</f>
        <v>#N/A</v>
      </c>
      <c r="HE116" s="54" t="str">
        <f t="shared" si="201"/>
        <v/>
      </c>
      <c r="HF116" s="54" t="e">
        <f>IF(HE116="",NA(),SUM($HE$4:HE116))</f>
        <v>#N/A</v>
      </c>
      <c r="HG116" s="54" t="str">
        <f t="shared" si="202"/>
        <v/>
      </c>
      <c r="HH116" s="54" t="e">
        <f>IF(HG116="",NA(),SUM($HG$4:HG116))</f>
        <v>#N/A</v>
      </c>
      <c r="HI116" s="172" t="str">
        <f t="shared" si="215"/>
        <v/>
      </c>
      <c r="HJ116" s="172">
        <f>IF($J116="",#N/A,SUM(HI$4:$HI116))</f>
        <v>-2.9338592920889517</v>
      </c>
      <c r="HK116" s="54" t="str">
        <f t="shared" si="203"/>
        <v/>
      </c>
      <c r="HL116" s="54">
        <f>IF($J116="",#N/A,SUM($HK$4:HK116))</f>
        <v>-5.2584365376693087</v>
      </c>
      <c r="HM116" s="54" t="str">
        <f t="shared" si="204"/>
        <v/>
      </c>
      <c r="HN116" s="54">
        <f>IF($J116="",#N/A,SUM($HM$4:HM116))</f>
        <v>0.71812545963587882</v>
      </c>
      <c r="HO116" s="54" t="str">
        <f t="shared" si="205"/>
        <v/>
      </c>
      <c r="HP116" s="54">
        <f>IF($J116="",#N/A,SUM($HO$4:HO116))</f>
        <v>-1.004778156728636</v>
      </c>
      <c r="HQ116" s="54">
        <f t="shared" si="206"/>
        <v>-1.0900871874481319</v>
      </c>
      <c r="HR116" s="54">
        <f>IF($J116="",#N/A,SUM($HQ$4:HQ116))</f>
        <v>-7.6001544368626046</v>
      </c>
      <c r="HS116" s="54" t="str">
        <f t="shared" si="207"/>
        <v/>
      </c>
      <c r="HT116" s="54">
        <f>IF($J116="",#N/A,SUM($HS$4:HS116))</f>
        <v>6.3730633568266706</v>
      </c>
      <c r="HU116" s="65">
        <f t="shared" si="208"/>
        <v>-0.65854349120802991</v>
      </c>
      <c r="HV116" s="65">
        <f>IF($J116="",#N/A,SUM(HU$4:$HU116))</f>
        <v>-15.071435284182135</v>
      </c>
    </row>
    <row r="117" spans="1:230" x14ac:dyDescent="0.25">
      <c r="A117" s="76" t="s">
        <v>1280</v>
      </c>
      <c r="B117" s="52" t="s">
        <v>4524</v>
      </c>
      <c r="C117" s="229">
        <f t="shared" si="109"/>
        <v>3</v>
      </c>
      <c r="D117" s="219" t="str">
        <f>_xlfn.XLOOKUP(A117,[1]SP500!$A$2:$A$502,[1]SP500!$D$2:$D$502,"N")</f>
        <v>Y</v>
      </c>
      <c r="E117" s="51" t="str">
        <f>IFERROR(_xlfn.XLOOKUP(A117,[1]SP500!$A$2:$A$655,[1]SP500!$B$2:$B$655),"")</f>
        <v>XLV</v>
      </c>
      <c r="F117" s="290">
        <v>45772</v>
      </c>
      <c r="G117" s="51" t="str">
        <f t="shared" si="110"/>
        <v>BMO</v>
      </c>
      <c r="H117" s="51" t="str">
        <f t="shared" si="111"/>
        <v>s</v>
      </c>
      <c r="I117" s="124">
        <v>180.37</v>
      </c>
      <c r="J117" s="124">
        <v>187.12</v>
      </c>
      <c r="K117" s="55">
        <f t="shared" si="112"/>
        <v>3.7423074790707986E-2</v>
      </c>
      <c r="L117" s="67">
        <f t="shared" si="113"/>
        <v>33.680767311637169</v>
      </c>
      <c r="M117" s="57">
        <f t="shared" si="114"/>
        <v>-0.6486666297055308</v>
      </c>
      <c r="N117" s="102">
        <f t="shared" si="115"/>
        <v>33.680767311637169</v>
      </c>
      <c r="O117" s="57">
        <f>IF(N117="",#N/A,SUM($N$4:N117))</f>
        <v>-494.47182671026906</v>
      </c>
      <c r="P117" s="65">
        <f t="shared" si="209"/>
        <v>0.62371791317846614</v>
      </c>
      <c r="Q117" s="172">
        <f>IF($N117="",#N/A,SUM($P$4:P117))</f>
        <v>-4.7416777641167203</v>
      </c>
      <c r="R117" s="279">
        <f t="shared" si="116"/>
        <v>1.943455019574559</v>
      </c>
      <c r="S117" s="51" t="str">
        <f t="shared" si="117"/>
        <v>SW</v>
      </c>
      <c r="T117" s="51" t="s">
        <v>2828</v>
      </c>
      <c r="U117" s="56">
        <f t="shared" si="118"/>
        <v>180.37</v>
      </c>
      <c r="V117" s="56" t="s">
        <v>4460</v>
      </c>
      <c r="W117" s="142">
        <f>IF(I117="","",900/I117)</f>
        <v>4.9897433054277318</v>
      </c>
      <c r="X117" s="145">
        <f t="shared" si="119"/>
        <v>900</v>
      </c>
      <c r="Y117" s="140">
        <f t="shared" si="120"/>
        <v>4.9897433054277318</v>
      </c>
      <c r="Z117" s="123">
        <v>186.99</v>
      </c>
      <c r="AA117" s="102">
        <f t="shared" si="121"/>
        <v>33.032100681931638</v>
      </c>
      <c r="AB117" s="102">
        <f t="shared" si="122"/>
        <v>28.391639407883758</v>
      </c>
      <c r="AC117" s="124">
        <v>186.06</v>
      </c>
      <c r="AD117" s="155">
        <f t="shared" si="123"/>
        <v>28.391639407883758</v>
      </c>
      <c r="AE117" s="545">
        <f t="shared" si="124"/>
        <v>0.52577110014599548</v>
      </c>
      <c r="AF117" s="57">
        <f>IF($AC117="",#N/A,SUM(AD$4:AD117))</f>
        <v>-1001.7709651717514</v>
      </c>
      <c r="AG117" s="102">
        <f t="shared" si="125"/>
        <v>-5.2891279037534105</v>
      </c>
      <c r="AH117" s="56" t="s">
        <v>2507</v>
      </c>
      <c r="AI117" s="65">
        <f t="shared" si="126"/>
        <v>0.61170556818391919</v>
      </c>
      <c r="AJ117" s="54">
        <f>IF(AI117="",#N/A,SUM($AI$4:AI117))</f>
        <v>-6.6851327836912793</v>
      </c>
      <c r="AK117" s="57">
        <f t="shared" si="127"/>
        <v>33.032100681931638</v>
      </c>
      <c r="AL117" s="349">
        <f>IF(AI117="",#N/A,IF(AH117="Skip",SUM($AK$4:AK117),SUM($AK$4:AK117)))</f>
        <v>-642.53559931806774</v>
      </c>
      <c r="AM117" s="65">
        <f t="shared" si="210"/>
        <v>0.52577110014599548</v>
      </c>
      <c r="AN117" s="209"/>
      <c r="AO117" s="65">
        <f t="shared" si="128"/>
        <v>0.52577110014599548</v>
      </c>
      <c r="AP117" s="65">
        <f>IF($AC117="",#N/A,SUM(AO$4:AO117))</f>
        <v>-1.7961860651369206</v>
      </c>
      <c r="AQ117" s="65" t="str">
        <f t="shared" si="129"/>
        <v/>
      </c>
      <c r="AR117" s="65">
        <f>IF($AC117="",#N/A,SUM(AQ$4:AQ117))</f>
        <v>-2.7637371090917728</v>
      </c>
      <c r="AS117" s="65" t="str">
        <f t="shared" si="130"/>
        <v/>
      </c>
      <c r="AT117" s="65">
        <f>IF($AC117="",#N/A,SUM(AS$4:AS117))</f>
        <v>-9.9857410098074517</v>
      </c>
      <c r="AU117" s="57">
        <f t="shared" si="211"/>
        <v>28.391639407883758</v>
      </c>
      <c r="AV117" s="57">
        <f>IF($AC117="",#N/A,SUM(AU$4:AU117))</f>
        <v>-188.0787935487491</v>
      </c>
      <c r="AW117" s="57" t="str">
        <f t="shared" si="212"/>
        <v/>
      </c>
      <c r="AX117" s="57">
        <f>IF($AC117="",#N/A,SUM(AW$4:AW117))</f>
        <v>-173.34000000000015</v>
      </c>
      <c r="AY117" s="57" t="str">
        <f t="shared" si="213"/>
        <v/>
      </c>
      <c r="AZ117" s="57">
        <f>IF($AC117="",#N/A,SUM(AY$4:AY117))</f>
        <v>-640.35217162300216</v>
      </c>
      <c r="BA117" s="57">
        <f>IF(AD117="",#N/A,SUM($AD$4:AD117))</f>
        <v>-1001.7709651717514</v>
      </c>
      <c r="BC117" s="51" t="str">
        <f t="shared" si="131"/>
        <v/>
      </c>
      <c r="BD117" s="51" t="str">
        <f t="shared" si="132"/>
        <v/>
      </c>
      <c r="BE117" s="51">
        <f t="shared" si="133"/>
        <v>1</v>
      </c>
      <c r="BF117" s="51" t="str">
        <f t="shared" si="134"/>
        <v>Long</v>
      </c>
      <c r="BG117" s="51" t="str">
        <f t="shared" si="135"/>
        <v/>
      </c>
      <c r="BH117" s="51" t="str">
        <f t="shared" si="136"/>
        <v/>
      </c>
      <c r="BI117" s="51" t="str">
        <f t="shared" si="137"/>
        <v/>
      </c>
      <c r="BK117" s="65">
        <f t="shared" ref="BK117:BK180" si="217">IFERROR(($Q117-$Q68)/COUNTA($J68:$J117),#N/A)</f>
        <v>-9.1308285594989588E-2</v>
      </c>
      <c r="BL117" s="65">
        <f t="shared" si="216"/>
        <v>-0.10454336572644013</v>
      </c>
      <c r="BM117" s="65">
        <f>IFERROR(Q117/COUNTA($J$4:J117),#N/A)</f>
        <v>-4.1593664597515088E-2</v>
      </c>
      <c r="BO117" s="489">
        <f>IF(J117="",#N/A,IF(S117="SW",(COUNTIFS(K$4:$K117,"&gt;0",S$4:$S117,"SW")/COUNTIF(S$4:$S117,"SW")),#N/A))</f>
        <v>0.46875</v>
      </c>
      <c r="BP117" s="489" t="e">
        <f>IF($J117="",#N/A,IF($S117="DWN",(COUNTIFS($K$4:$K117,"&lt;0",$S$4:$S117,"DWN")/COUNTIF($S$4:$S117,"DWN")),#N/A))</f>
        <v>#N/A</v>
      </c>
      <c r="BQ117" s="489" t="e">
        <f>IF($J117="",#N/A,IF($S117="UP",(COUNTIFS($K$4:$K117,"&gt;0",$S$4:$S117,"UP")/COUNTIF($S$4:$S117,"UP")),#N/A))</f>
        <v>#N/A</v>
      </c>
      <c r="BR117" s="489">
        <f>IF(J117="",#N/A,COUNTIF($K$4:K117,"&gt;0")/COUNT($J$4:J117))</f>
        <v>0.46491228070175439</v>
      </c>
      <c r="BS117" s="65">
        <f t="shared" si="138"/>
        <v>0.62371791317846614</v>
      </c>
      <c r="BT117" s="65" t="str">
        <f t="shared" si="139"/>
        <v/>
      </c>
      <c r="BU117" s="65" t="str">
        <f t="shared" si="140"/>
        <v/>
      </c>
      <c r="BV117" s="65" t="str">
        <f t="shared" si="141"/>
        <v/>
      </c>
      <c r="BW117" s="128" t="str">
        <f t="shared" si="142"/>
        <v/>
      </c>
      <c r="BX117" s="128">
        <f>IF($J117="",#N/A,SUM($BW$4:BW117))</f>
        <v>-155.96500000000026</v>
      </c>
      <c r="BY117" s="131" t="str">
        <f t="shared" si="143"/>
        <v/>
      </c>
      <c r="BZ117" s="131">
        <f>IF($J117="",#N/A,SUM($BY$4:BY117))</f>
        <v>-170.41885042154775</v>
      </c>
      <c r="CA117" s="133">
        <f t="shared" si="144"/>
        <v>33.680767311637169</v>
      </c>
      <c r="CB117" s="133">
        <f>IF($J117="",#N/A,SUM($CA$4:CA117))</f>
        <v>-168.08797628872105</v>
      </c>
      <c r="CC117" s="194" t="str">
        <f t="shared" si="145"/>
        <v/>
      </c>
      <c r="CD117" s="194">
        <f>IF($J117="",#N/A,SUM($CC$4:CC117))</f>
        <v>-2.4770844119990163</v>
      </c>
      <c r="CE117" s="195" t="str">
        <f t="shared" si="146"/>
        <v/>
      </c>
      <c r="CF117" s="195">
        <f>IF($J117="",#N/A,SUM($CE$4:CE117))</f>
        <v>-1.7934451800491877</v>
      </c>
      <c r="CG117" s="196">
        <f t="shared" si="147"/>
        <v>0.62371791317846614</v>
      </c>
      <c r="CH117" s="193">
        <f>IF($J117="",#N/A,SUM($CG$4:CG117))</f>
        <v>-0.47114817206851145</v>
      </c>
      <c r="CI117" s="200" t="str">
        <f t="shared" si="148"/>
        <v/>
      </c>
      <c r="CJ117" s="203">
        <f>IF($J117="",#N/A,SUM(CI$4:CI117))</f>
        <v>0</v>
      </c>
      <c r="CK117" s="204" t="str">
        <f t="shared" si="149"/>
        <v/>
      </c>
      <c r="CL117" s="204">
        <f>IF($J117="",#N/A,SUM(CK$4:CK117))</f>
        <v>1.8934431343190481</v>
      </c>
      <c r="CM117" s="205" t="str">
        <f t="shared" si="150"/>
        <v/>
      </c>
      <c r="CN117" s="205">
        <f>IF($J117="",#N/A,SUM(CM$4:CM117))</f>
        <v>2.5724959960693745</v>
      </c>
      <c r="CO117" s="205">
        <f>IF($J117="",#N/A,SUM(CM$4:CM117,CK$4:CK117,CI$4:CI117))</f>
        <v>4.4659391303884224</v>
      </c>
      <c r="CP117" s="200" t="str">
        <f t="shared" si="151"/>
        <v/>
      </c>
      <c r="CQ117" s="203">
        <f>IF($J117="",#N/A,SUM(CP$4:CP117))</f>
        <v>0</v>
      </c>
      <c r="CR117" s="204" t="str">
        <f t="shared" si="152"/>
        <v/>
      </c>
      <c r="CS117" s="204">
        <f>IF($J117="",#N/A,SUM(CR$4:CR117))</f>
        <v>0</v>
      </c>
      <c r="CT117" s="205" t="str">
        <f t="shared" si="153"/>
        <v/>
      </c>
      <c r="CU117" s="205">
        <f>IF($J117="",#N/A,SUM(CT$4:CT117))</f>
        <v>0</v>
      </c>
      <c r="CV117" s="205">
        <f>IF($J117="",#N/A,SUM(CT$4:CT117,CR$4:CR117,CP$4:CP117))</f>
        <v>0</v>
      </c>
      <c r="CW117" s="200" t="str">
        <f t="shared" si="154"/>
        <v/>
      </c>
      <c r="CX117" s="203">
        <f>IF($J117="",#N/A,SUM(CW$4:CW117))</f>
        <v>0</v>
      </c>
      <c r="CY117" s="204" t="str">
        <f t="shared" si="155"/>
        <v/>
      </c>
      <c r="CZ117" s="204">
        <f>IF($J117="",#N/A,SUM(CY$4:CY117))</f>
        <v>-1.9289529100071134</v>
      </c>
      <c r="DA117" s="205" t="str">
        <f t="shared" si="156"/>
        <v/>
      </c>
      <c r="DB117" s="205">
        <f>IF($J117="",#N/A,SUM(DA$4:DA117))</f>
        <v>-0.16932974967219971</v>
      </c>
      <c r="DC117" s="205">
        <f>IF($J117="",#N/A,SUM(DA$4:DA117,CY$4:CY117,CW$4:CW117))</f>
        <v>-2.0982826596793132</v>
      </c>
      <c r="DD117" s="200" t="str">
        <f t="shared" si="157"/>
        <v/>
      </c>
      <c r="DE117" s="203">
        <f>IF($J117="",#N/A,SUM(DD$4:DD117))</f>
        <v>0.4905246481018824</v>
      </c>
      <c r="DF117" s="204" t="str">
        <f t="shared" si="158"/>
        <v/>
      </c>
      <c r="DG117" s="204">
        <f>IF($J117="",#N/A,SUM(DF$4:DF117))</f>
        <v>0.77374072477919809</v>
      </c>
      <c r="DH117" s="205" t="str">
        <f t="shared" si="159"/>
        <v/>
      </c>
      <c r="DI117" s="205">
        <f>IF($J117="",#N/A,SUM(DH$4:DH117))</f>
        <v>-1.8170936831137556</v>
      </c>
      <c r="DJ117" s="205">
        <f>IF($J117="",#N/A,SUM(DH$4:DH117,DF$4:DF117,DD$4:DD117))</f>
        <v>-0.55282831023267498</v>
      </c>
      <c r="DK117" s="200" t="str">
        <f t="shared" si="160"/>
        <v/>
      </c>
      <c r="DL117" s="203">
        <f>IF($J117="",#N/A,SUM(DK$4:DK117))</f>
        <v>-1.2097286851272664</v>
      </c>
      <c r="DM117" s="204" t="str">
        <f t="shared" si="161"/>
        <v/>
      </c>
      <c r="DN117" s="204">
        <f>IF($J117="",#N/A,SUM(DM$4:DM117))</f>
        <v>1.1910608267574658</v>
      </c>
      <c r="DO117" s="205" t="str">
        <f t="shared" si="162"/>
        <v/>
      </c>
      <c r="DP117" s="205">
        <f>IF($J117="",#N/A,SUM(DO$4:DO117))</f>
        <v>0.14820169229813929</v>
      </c>
      <c r="DQ117" s="205">
        <f>IF($J117="",#N/A,SUM(DO$4:DO117,DM$4:DM117,DK$4:DK117))</f>
        <v>0.12953383392833895</v>
      </c>
      <c r="DR117" s="200" t="str">
        <f t="shared" si="163"/>
        <v/>
      </c>
      <c r="DS117" s="203">
        <f>IF($J117="",#N/A,SUM(DR$4:DR117))</f>
        <v>-0.55950946427675097</v>
      </c>
      <c r="DT117" s="204" t="str">
        <f t="shared" si="164"/>
        <v/>
      </c>
      <c r="DU117" s="204">
        <f>IF($J117="",#N/A,SUM(DT$4:DT117))</f>
        <v>-2.8875364672150718</v>
      </c>
      <c r="DV117" s="205" t="str">
        <f t="shared" si="165"/>
        <v/>
      </c>
      <c r="DW117" s="205">
        <f>IF($J117="",#N/A,SUM(DV$4:DV117))</f>
        <v>-2.6814706788983136</v>
      </c>
      <c r="DX117" s="205">
        <f>IF($J117="",#N/A,SUM(DV$4:DV117,DT$4:DT117,DR$4:DR117))</f>
        <v>-6.1285166103901361</v>
      </c>
      <c r="DY117" s="200" t="str">
        <f t="shared" si="166"/>
        <v/>
      </c>
      <c r="DZ117" s="203">
        <f>IF($J117="",#N/A,SUM(DY$4:DY117))</f>
        <v>-1.2652059025281583</v>
      </c>
      <c r="EA117" s="204" t="str">
        <f t="shared" si="167"/>
        <v/>
      </c>
      <c r="EB117" s="204">
        <f>IF($J117="",#N/A,SUM(EA$4:EA117))</f>
        <v>-0.36153038830642437</v>
      </c>
      <c r="EC117" s="205" t="str">
        <f t="shared" si="168"/>
        <v/>
      </c>
      <c r="ED117" s="205">
        <f>IF($J117="",#N/A,SUM(EC$4:EC117))</f>
        <v>1.7103671484331777</v>
      </c>
      <c r="EE117" s="205">
        <f>IF($J117="",#N/A,SUM(EC$4:EC117,EA$4:EA117,DY$4:DY117))</f>
        <v>8.3630857598595065E-2</v>
      </c>
      <c r="EF117" s="200" t="str">
        <f t="shared" si="169"/>
        <v/>
      </c>
      <c r="EG117" s="203">
        <f>IF($J117="",#N/A,SUM(EF$4:EF117))</f>
        <v>0</v>
      </c>
      <c r="EH117" s="204" t="str">
        <f t="shared" si="170"/>
        <v/>
      </c>
      <c r="EI117" s="204">
        <f>IF($J117="",#N/A,SUM(EH$4:EH117))</f>
        <v>-2.6174111635897193</v>
      </c>
      <c r="EJ117" s="205">
        <f t="shared" si="171"/>
        <v>0.62371791317846614</v>
      </c>
      <c r="EK117" s="205">
        <f>IF($J117="",#N/A,SUM(EJ$4:EJ117))</f>
        <v>2.7220749737133643</v>
      </c>
      <c r="EL117" s="205">
        <f>IF($J117="",#N/A,SUM(EJ$4:EJ117,EH$4:EH117,EF$4:EF117))</f>
        <v>0.10466381012364553</v>
      </c>
      <c r="EM117" s="200" t="str">
        <f t="shared" si="172"/>
        <v/>
      </c>
      <c r="EN117" s="203">
        <f>IF($J117="",#N/A,SUM(EM$4:EM117))</f>
        <v>0</v>
      </c>
      <c r="EO117" s="204" t="str">
        <f t="shared" si="173"/>
        <v/>
      </c>
      <c r="EP117" s="204">
        <f>IF($J117="",#N/A,SUM(EO$4:EO117))</f>
        <v>1.5996008301242557</v>
      </c>
      <c r="EQ117" s="205" t="str">
        <f t="shared" si="174"/>
        <v/>
      </c>
      <c r="ER117" s="205">
        <f>IF($J117="",#N/A,SUM(EQ$4:EQ117))</f>
        <v>0.4926597949853756</v>
      </c>
      <c r="ES117" s="205">
        <f>IF($J117="",#N/A,SUM(EQ$4:EQ117,EO$4:EO117,EM$4:EM117))</f>
        <v>2.0922606251096312</v>
      </c>
      <c r="ET117" s="200" t="str">
        <f t="shared" si="175"/>
        <v/>
      </c>
      <c r="EU117" s="203">
        <f>IF($J117="",#N/A,SUM(ET$4:ET117))</f>
        <v>0</v>
      </c>
      <c r="EV117" s="204" t="str">
        <f t="shared" si="176"/>
        <v/>
      </c>
      <c r="EW117" s="204">
        <f>IF($J117="",#N/A,SUM(EV$4:EV117))</f>
        <v>-0.73430241270792684</v>
      </c>
      <c r="EX117" s="205" t="str">
        <f t="shared" si="177"/>
        <v/>
      </c>
      <c r="EY117" s="205">
        <f>IF($J117="",#N/A,SUM(EX$4:EX117))</f>
        <v>2.0960106423519864E-3</v>
      </c>
      <c r="EZ117" s="205">
        <f>IF($J117="",#N/A,SUM(EX$4:EX117,EV$4:EV117,ET$4:ET117))</f>
        <v>-0.73220640206557486</v>
      </c>
      <c r="FA117" s="200" t="str">
        <f t="shared" si="178"/>
        <v/>
      </c>
      <c r="FB117" s="203">
        <f>IF($J117="",#N/A,SUM(FA$4:FA117))</f>
        <v>0</v>
      </c>
      <c r="FC117" s="204" t="str">
        <f t="shared" si="179"/>
        <v/>
      </c>
      <c r="FD117" s="204">
        <f>IF($J117="",#N/A,SUM(FC$4:FC117))</f>
        <v>1.6839191319663924</v>
      </c>
      <c r="FE117" s="205" t="str">
        <f t="shared" si="180"/>
        <v/>
      </c>
      <c r="FF117" s="205">
        <f>IF($J117="",#N/A,SUM(FE$4:FE117))</f>
        <v>-0.28811149078748233</v>
      </c>
      <c r="FG117" s="205">
        <f>IF($J117="",#N/A,SUM(FE$4:FE117,FC$4:FC117,FA$4:FA117))</f>
        <v>1.3958076411789102</v>
      </c>
      <c r="FH117" s="200" t="str">
        <f t="shared" si="181"/>
        <v/>
      </c>
      <c r="FI117" s="203">
        <f>IF($J117="",#N/A,SUM(FH$4:FH117))</f>
        <v>0</v>
      </c>
      <c r="FJ117" s="204" t="str">
        <f t="shared" si="182"/>
        <v/>
      </c>
      <c r="FK117" s="204">
        <f>IF($J117="",#N/A,SUM(FJ$4:FJ117))</f>
        <v>0</v>
      </c>
      <c r="FL117" s="205" t="str">
        <f t="shared" si="183"/>
        <v/>
      </c>
      <c r="FM117" s="205">
        <f>IF($J117="",#N/A,SUM(FL$4:FL117))</f>
        <v>0</v>
      </c>
      <c r="FN117" s="205">
        <f>IF($J117="",#N/A,SUM(FL$4:FL117,FJ$4:FJ117,FH$4:FH117))</f>
        <v>0</v>
      </c>
      <c r="FO117" s="200" t="str">
        <f t="shared" si="184"/>
        <v/>
      </c>
      <c r="FP117" s="203">
        <f>IF($J117="",#N/A,SUM(FO$4:FO117))</f>
        <v>0</v>
      </c>
      <c r="FQ117" s="204" t="str">
        <f t="shared" si="185"/>
        <v/>
      </c>
      <c r="FR117" s="204">
        <f>IF($J117="",#N/A,SUM(FQ$4:FQ117))</f>
        <v>0</v>
      </c>
      <c r="FS117" s="205" t="str">
        <f t="shared" si="186"/>
        <v/>
      </c>
      <c r="FT117" s="205">
        <f>IF($J117="",#N/A,SUM(FS$4:FS117))</f>
        <v>0</v>
      </c>
      <c r="FU117" s="205">
        <f>IF($J117="",#N/A,SUM(FS$4:FS117,FQ$4:FQ117,FO$4:FO117))</f>
        <v>0</v>
      </c>
      <c r="FV117" s="200" t="str">
        <f t="shared" si="187"/>
        <v/>
      </c>
      <c r="FW117" s="203">
        <f>IF($J117="",#N/A,SUM(FV$4:FV117))</f>
        <v>6.6834991831277585E-2</v>
      </c>
      <c r="FX117" s="204" t="str">
        <f t="shared" si="188"/>
        <v/>
      </c>
      <c r="FY117" s="204">
        <f>IF($J117="",#N/A,SUM(FX$4:FX117))</f>
        <v>0</v>
      </c>
      <c r="FZ117" s="205" t="str">
        <f t="shared" si="189"/>
        <v/>
      </c>
      <c r="GA117" s="205">
        <f>IF($J117="",#N/A,SUM(FZ$4:FZ117))</f>
        <v>-0.22620195801622528</v>
      </c>
      <c r="GB117" s="205">
        <f>IF($J117="",#N/A,SUM(FZ$4:FZ117,FX$4:FX117,FV$4:FV117))</f>
        <v>-0.15936696618494769</v>
      </c>
      <c r="GC117" s="200" t="str">
        <f t="shared" si="190"/>
        <v/>
      </c>
      <c r="GD117" s="203">
        <f>IF($J117="",#N/A,SUM(GC$4:GC117))</f>
        <v>0</v>
      </c>
      <c r="GE117" s="204" t="str">
        <f t="shared" si="191"/>
        <v/>
      </c>
      <c r="GF117" s="204">
        <f>IF($J117="",#N/A,SUM(GE$4:GE117))</f>
        <v>0</v>
      </c>
      <c r="GG117" s="205" t="str">
        <f t="shared" si="192"/>
        <v/>
      </c>
      <c r="GH117" s="205">
        <f>IF($J117="",#N/A,SUM(GG$4:GG117))</f>
        <v>-2.9368362277223206</v>
      </c>
      <c r="GI117" s="205">
        <f>IF($J117="",#N/A,SUM(GG$4:GG117,GE$4:GE117,GC$4:GC117))</f>
        <v>-2.9368362277223206</v>
      </c>
      <c r="GJ117" s="200" t="str">
        <f t="shared" si="193"/>
        <v/>
      </c>
      <c r="GK117" s="203">
        <f>IF($J117="",#N/A,SUM(GJ$4:GJ117))</f>
        <v>0</v>
      </c>
      <c r="GL117" s="204" t="str">
        <f t="shared" si="194"/>
        <v/>
      </c>
      <c r="GM117" s="204">
        <f>IF($J117="",#N/A,SUM(GL$4:GL117))</f>
        <v>-0.4054764861692941</v>
      </c>
      <c r="GN117" s="205" t="str">
        <f t="shared" si="195"/>
        <v/>
      </c>
      <c r="GO117" s="205">
        <f>IF($J117="",#N/A,SUM(GN$4:GN117))</f>
        <v>0</v>
      </c>
      <c r="GP117" s="205">
        <f>IF($J117="",#N/A,SUM(GN$4:GN117,GL$4:GL117,GJ$4:GJ117))</f>
        <v>-0.4054764861692941</v>
      </c>
      <c r="GS117" s="54">
        <f t="shared" si="214"/>
        <v>0.62371791317846614</v>
      </c>
      <c r="GT117" s="54">
        <f>IF(GS117="",NA(),SUM($GS$4:GS117))</f>
        <v>-5.2195286460095209</v>
      </c>
      <c r="GU117" s="54" t="str">
        <f t="shared" si="196"/>
        <v/>
      </c>
      <c r="GV117" s="54" t="e">
        <f>IF(GU117="",NA(),SUM($GU$4:GU117))</f>
        <v>#N/A</v>
      </c>
      <c r="GW117" s="54">
        <f t="shared" si="197"/>
        <v>0.62371791317846614</v>
      </c>
      <c r="GX117" s="54">
        <f>IF(GW117="",NA(),SUM($GW$4:GW117))</f>
        <v>-0.67313698499579699</v>
      </c>
      <c r="GY117" s="54" t="str">
        <f t="shared" si="198"/>
        <v/>
      </c>
      <c r="GZ117" s="54" t="e">
        <f>IF(GY117="",NA(),SUM($GY$4:GY117))</f>
        <v>#N/A</v>
      </c>
      <c r="HA117" s="54" t="str">
        <f t="shared" si="199"/>
        <v/>
      </c>
      <c r="HB117" s="54" t="e">
        <f>IF(HA117="",NA(),SUM($HA$4:HA117))</f>
        <v>#N/A</v>
      </c>
      <c r="HC117" s="54" t="str">
        <f t="shared" si="200"/>
        <v/>
      </c>
      <c r="HD117" s="54" t="e">
        <f>IF(HC117="",NA(),SUM($HC$4:HC117))</f>
        <v>#N/A</v>
      </c>
      <c r="HE117" s="54" t="str">
        <f t="shared" si="201"/>
        <v/>
      </c>
      <c r="HF117" s="54" t="e">
        <f>IF(HE117="",NA(),SUM($HE$4:HE117))</f>
        <v>#N/A</v>
      </c>
      <c r="HG117" s="54" t="str">
        <f t="shared" si="202"/>
        <v/>
      </c>
      <c r="HH117" s="54" t="e">
        <f>IF(HG117="",NA(),SUM($HG$4:HG117))</f>
        <v>#N/A</v>
      </c>
      <c r="HI117" s="172" t="str">
        <f t="shared" si="215"/>
        <v/>
      </c>
      <c r="HJ117" s="172">
        <f>IF($J117="",#N/A,SUM(HI$4:$HI117))</f>
        <v>-2.9338592920889517</v>
      </c>
      <c r="HK117" s="54" t="str">
        <f t="shared" si="203"/>
        <v/>
      </c>
      <c r="HL117" s="54">
        <f>IF($J117="",#N/A,SUM($HK$4:HK117))</f>
        <v>-5.2584365376693087</v>
      </c>
      <c r="HM117" s="54" t="str">
        <f t="shared" si="204"/>
        <v/>
      </c>
      <c r="HN117" s="54">
        <f>IF($J117="",#N/A,SUM($HM$4:HM117))</f>
        <v>0.71812545963587882</v>
      </c>
      <c r="HO117" s="54" t="str">
        <f t="shared" si="205"/>
        <v/>
      </c>
      <c r="HP117" s="54">
        <f>IF($J117="",#N/A,SUM($HO$4:HO117))</f>
        <v>-1.004778156728636</v>
      </c>
      <c r="HQ117" s="54">
        <f t="shared" si="206"/>
        <v>-9.7946813032470659E-2</v>
      </c>
      <c r="HR117" s="54">
        <f>IF($J117="",#N/A,SUM($HQ$4:HQ117))</f>
        <v>-7.6981012498950756</v>
      </c>
      <c r="HS117" s="54" t="str">
        <f t="shared" si="207"/>
        <v/>
      </c>
      <c r="HT117" s="54">
        <f>IF($J117="",#N/A,SUM($HS$4:HS117))</f>
        <v>6.3730633568266706</v>
      </c>
      <c r="HU117" s="65">
        <f t="shared" si="208"/>
        <v>0.52577110014599548</v>
      </c>
      <c r="HV117" s="65">
        <f>IF($J117="",#N/A,SUM(HU$4:$HU117))</f>
        <v>-14.54566418403614</v>
      </c>
    </row>
    <row r="118" spans="1:230" x14ac:dyDescent="0.25">
      <c r="A118" s="51" t="s">
        <v>1367</v>
      </c>
      <c r="B118" s="52" t="s">
        <v>4524</v>
      </c>
      <c r="C118" s="229">
        <f t="shared" si="109"/>
        <v>3</v>
      </c>
      <c r="D118" s="219" t="str">
        <f>_xlfn.XLOOKUP(A118,[1]SP500!$A$2:$A$502,[1]SP500!$D$2:$D$502,"N")</f>
        <v>Y</v>
      </c>
      <c r="E118" s="51" t="str">
        <f>IFERROR(_xlfn.XLOOKUP(A118,[1]SP500!$A$2:$A$655,[1]SP500!$B$2:$B$655),"")</f>
        <v>XLP</v>
      </c>
      <c r="F118" s="290">
        <v>45772</v>
      </c>
      <c r="G118" s="51" t="str">
        <f t="shared" si="110"/>
        <v>BMO</v>
      </c>
      <c r="H118" s="51" t="str">
        <f t="shared" si="111"/>
        <v>o</v>
      </c>
      <c r="I118" s="124">
        <v>92.7</v>
      </c>
      <c r="J118" s="124">
        <v>95.49</v>
      </c>
      <c r="K118" s="55">
        <f t="shared" si="112"/>
        <v>3.009708737864069E-2</v>
      </c>
      <c r="L118" s="67">
        <f t="shared" si="113"/>
        <v>-27.899999999999977</v>
      </c>
      <c r="M118" s="57">
        <f t="shared" si="114"/>
        <v>0</v>
      </c>
      <c r="N118" s="102">
        <f t="shared" si="115"/>
        <v>27.899999999999977</v>
      </c>
      <c r="O118" s="57">
        <f>IF(N118="",#N/A,SUM($N$4:N118))</f>
        <v>-466.57182671026908</v>
      </c>
      <c r="P118" s="65">
        <f t="shared" si="209"/>
        <v>0.50161812297734587</v>
      </c>
      <c r="Q118" s="172">
        <f>IF($N118="",#N/A,SUM($P$4:P118))</f>
        <v>-4.2400596411393741</v>
      </c>
      <c r="R118" s="279">
        <f t="shared" si="116"/>
        <v>2.9466912655292514</v>
      </c>
      <c r="S118" s="51" t="str">
        <f t="shared" si="117"/>
        <v>SW</v>
      </c>
      <c r="T118" s="51" t="s">
        <v>2828</v>
      </c>
      <c r="U118" s="56">
        <f t="shared" si="118"/>
        <v>92.7</v>
      </c>
      <c r="V118" s="56" t="s">
        <v>4458</v>
      </c>
      <c r="W118" s="142">
        <v>10</v>
      </c>
      <c r="X118" s="145">
        <f t="shared" si="119"/>
        <v>927</v>
      </c>
      <c r="Y118" s="140">
        <f t="shared" si="120"/>
        <v>10</v>
      </c>
      <c r="Z118" s="123">
        <v>95.49</v>
      </c>
      <c r="AA118" s="102">
        <f t="shared" si="121"/>
        <v>-27.899999999999977</v>
      </c>
      <c r="AB118" s="102">
        <f t="shared" si="122"/>
        <v>-12.099999999999909</v>
      </c>
      <c r="AC118" s="124">
        <v>93.91</v>
      </c>
      <c r="AD118" s="155">
        <f t="shared" si="123"/>
        <v>12.099999999999909</v>
      </c>
      <c r="AE118" s="545">
        <f t="shared" si="124"/>
        <v>0.21754764473210914</v>
      </c>
      <c r="AF118" s="57">
        <f>IF($AC118="",#N/A,SUM(AD$4:AD118))</f>
        <v>-989.6709651717515</v>
      </c>
      <c r="AG118" s="102">
        <f t="shared" si="125"/>
        <v>-15.800000000000068</v>
      </c>
      <c r="AH118" s="56" t="s">
        <v>2507</v>
      </c>
      <c r="AI118" s="65">
        <f t="shared" si="126"/>
        <v>-0.50161812297734587</v>
      </c>
      <c r="AJ118" s="54">
        <f>IF(AI118="",#N/A,SUM($AI$4:AI118))</f>
        <v>-7.1867509066686255</v>
      </c>
      <c r="AK118" s="57">
        <f t="shared" si="127"/>
        <v>-27.899999999999977</v>
      </c>
      <c r="AL118" s="349">
        <f>IF(AI118="",#N/A,IF(AH118="Skip",SUM($AK$4:AK118),SUM($AK$4:AK118)))</f>
        <v>-670.43559931806772</v>
      </c>
      <c r="AM118" s="65">
        <f t="shared" si="210"/>
        <v>0.21754764473210914</v>
      </c>
      <c r="AN118" s="209"/>
      <c r="AO118" s="65">
        <f t="shared" si="128"/>
        <v>0.21754764473210914</v>
      </c>
      <c r="AP118" s="65">
        <f>IF($AC118="",#N/A,SUM(AO$4:AO118))</f>
        <v>-1.5786384204048114</v>
      </c>
      <c r="AQ118" s="65" t="str">
        <f t="shared" si="129"/>
        <v/>
      </c>
      <c r="AR118" s="65">
        <f>IF($AC118="",#N/A,SUM(AQ$4:AQ118))</f>
        <v>-2.7637371090917728</v>
      </c>
      <c r="AS118" s="65" t="str">
        <f t="shared" si="130"/>
        <v/>
      </c>
      <c r="AT118" s="65">
        <f>IF($AC118="",#N/A,SUM(AS$4:AS118))</f>
        <v>-9.9857410098074517</v>
      </c>
      <c r="AU118" s="57">
        <f t="shared" si="211"/>
        <v>12.099999999999909</v>
      </c>
      <c r="AV118" s="57">
        <f>IF($AC118="",#N/A,SUM(AU$4:AU118))</f>
        <v>-175.97879354874919</v>
      </c>
      <c r="AW118" s="57" t="str">
        <f t="shared" si="212"/>
        <v/>
      </c>
      <c r="AX118" s="57">
        <f>IF($AC118="",#N/A,SUM(AW$4:AW118))</f>
        <v>-173.34000000000015</v>
      </c>
      <c r="AY118" s="57" t="str">
        <f t="shared" si="213"/>
        <v/>
      </c>
      <c r="AZ118" s="57">
        <f>IF($AC118="",#N/A,SUM(AY$4:AY118))</f>
        <v>-640.35217162300216</v>
      </c>
      <c r="BA118" s="57">
        <f>IF(AD118="",#N/A,SUM($AD$4:AD118))</f>
        <v>-989.6709651717515</v>
      </c>
      <c r="BC118" s="51" t="str">
        <f t="shared" si="131"/>
        <v/>
      </c>
      <c r="BD118" s="51" t="str">
        <f t="shared" si="132"/>
        <v/>
      </c>
      <c r="BE118" s="51">
        <f t="shared" si="133"/>
        <v>1</v>
      </c>
      <c r="BF118" s="51" t="str">
        <f t="shared" si="134"/>
        <v>Long</v>
      </c>
      <c r="BG118" s="51" t="str">
        <f t="shared" si="135"/>
        <v/>
      </c>
      <c r="BH118" s="51" t="str">
        <f t="shared" si="136"/>
        <v/>
      </c>
      <c r="BI118" s="51" t="str">
        <f t="shared" si="137"/>
        <v/>
      </c>
      <c r="BK118" s="65">
        <f t="shared" si="217"/>
        <v>-0.10482174313708346</v>
      </c>
      <c r="BL118" s="65">
        <f t="shared" si="216"/>
        <v>-0.13263645920015163</v>
      </c>
      <c r="BM118" s="65">
        <f>IFERROR(Q118/COUNTA($J$4:J118),#N/A)</f>
        <v>-3.6870083835994556E-2</v>
      </c>
      <c r="BO118" s="489">
        <f>IF(J118="",#N/A,IF(S118="SW",(COUNTIFS(K$4:$K118,"&gt;0",S$4:$S118,"SW")/COUNTIF(S$4:$S118,"SW")),#N/A))</f>
        <v>0.47692307692307695</v>
      </c>
      <c r="BP118" s="489" t="e">
        <f>IF($J118="",#N/A,IF($S118="DWN",(COUNTIFS($K$4:$K118,"&lt;0",$S$4:$S118,"DWN")/COUNTIF($S$4:$S118,"DWN")),#N/A))</f>
        <v>#N/A</v>
      </c>
      <c r="BQ118" s="489" t="e">
        <f>IF($J118="",#N/A,IF($S118="UP",(COUNTIFS($K$4:$K118,"&gt;0",$S$4:$S118,"UP")/COUNTIF($S$4:$S118,"UP")),#N/A))</f>
        <v>#N/A</v>
      </c>
      <c r="BR118" s="489">
        <f>IF(J118="",#N/A,COUNTIF($K$4:K118,"&gt;0")/COUNT($J$4:J118))</f>
        <v>0.46956521739130436</v>
      </c>
      <c r="BS118" s="65" t="str">
        <f t="shared" si="138"/>
        <v/>
      </c>
      <c r="BT118" s="65" t="str">
        <f t="shared" si="139"/>
        <v/>
      </c>
      <c r="BU118" s="65" t="str">
        <f t="shared" si="140"/>
        <v/>
      </c>
      <c r="BV118" s="65">
        <f t="shared" si="141"/>
        <v>0.50161812297734587</v>
      </c>
      <c r="BW118" s="128" t="str">
        <f t="shared" si="142"/>
        <v/>
      </c>
      <c r="BX118" s="128">
        <f>IF($J118="",#N/A,SUM($BW$4:BW118))</f>
        <v>-155.96500000000026</v>
      </c>
      <c r="BY118" s="131" t="str">
        <f t="shared" si="143"/>
        <v/>
      </c>
      <c r="BZ118" s="131">
        <f>IF($J118="",#N/A,SUM($BY$4:BY118))</f>
        <v>-170.41885042154775</v>
      </c>
      <c r="CA118" s="133">
        <f t="shared" si="144"/>
        <v>27.899999999999977</v>
      </c>
      <c r="CB118" s="133">
        <f>IF($J118="",#N/A,SUM($CA$4:CA118))</f>
        <v>-140.18797628872107</v>
      </c>
      <c r="CC118" s="194" t="str">
        <f t="shared" si="145"/>
        <v/>
      </c>
      <c r="CD118" s="194">
        <f>IF($J118="",#N/A,SUM($CC$4:CC118))</f>
        <v>-2.4770844119990163</v>
      </c>
      <c r="CE118" s="195" t="str">
        <f t="shared" si="146"/>
        <v/>
      </c>
      <c r="CF118" s="195">
        <f>IF($J118="",#N/A,SUM($CE$4:CE118))</f>
        <v>-1.7934451800491877</v>
      </c>
      <c r="CG118" s="196">
        <f t="shared" si="147"/>
        <v>0.50161812297734587</v>
      </c>
      <c r="CH118" s="193">
        <f>IF($J118="",#N/A,SUM($CG$4:CG118))</f>
        <v>3.046995090883442E-2</v>
      </c>
      <c r="CI118" s="200" t="str">
        <f t="shared" si="148"/>
        <v/>
      </c>
      <c r="CJ118" s="203">
        <f>IF($J118="",#N/A,SUM(CI$4:CI118))</f>
        <v>0</v>
      </c>
      <c r="CK118" s="204" t="str">
        <f t="shared" si="149"/>
        <v/>
      </c>
      <c r="CL118" s="204">
        <f>IF($J118="",#N/A,SUM(CK$4:CK118))</f>
        <v>1.8934431343190481</v>
      </c>
      <c r="CM118" s="205" t="str">
        <f t="shared" si="150"/>
        <v/>
      </c>
      <c r="CN118" s="205">
        <f>IF($J118="",#N/A,SUM(CM$4:CM118))</f>
        <v>2.5724959960693745</v>
      </c>
      <c r="CO118" s="205">
        <f>IF($J118="",#N/A,SUM(CM$4:CM118,CK$4:CK118,CI$4:CI118))</f>
        <v>4.4659391303884224</v>
      </c>
      <c r="CP118" s="200" t="str">
        <f t="shared" si="151"/>
        <v/>
      </c>
      <c r="CQ118" s="203">
        <f>IF($J118="",#N/A,SUM(CP$4:CP118))</f>
        <v>0</v>
      </c>
      <c r="CR118" s="204" t="str">
        <f t="shared" si="152"/>
        <v/>
      </c>
      <c r="CS118" s="204">
        <f>IF($J118="",#N/A,SUM(CR$4:CR118))</f>
        <v>0</v>
      </c>
      <c r="CT118" s="205" t="str">
        <f t="shared" si="153"/>
        <v/>
      </c>
      <c r="CU118" s="205">
        <f>IF($J118="",#N/A,SUM(CT$4:CT118))</f>
        <v>0</v>
      </c>
      <c r="CV118" s="205">
        <f>IF($J118="",#N/A,SUM(CT$4:CT118,CR$4:CR118,CP$4:CP118))</f>
        <v>0</v>
      </c>
      <c r="CW118" s="200" t="str">
        <f t="shared" si="154"/>
        <v/>
      </c>
      <c r="CX118" s="203">
        <f>IF($J118="",#N/A,SUM(CW$4:CW118))</f>
        <v>0</v>
      </c>
      <c r="CY118" s="204" t="str">
        <f t="shared" si="155"/>
        <v/>
      </c>
      <c r="CZ118" s="204">
        <f>IF($J118="",#N/A,SUM(CY$4:CY118))</f>
        <v>-1.9289529100071134</v>
      </c>
      <c r="DA118" s="205" t="str">
        <f t="shared" si="156"/>
        <v/>
      </c>
      <c r="DB118" s="205">
        <f>IF($J118="",#N/A,SUM(DA$4:DA118))</f>
        <v>-0.16932974967219971</v>
      </c>
      <c r="DC118" s="205">
        <f>IF($J118="",#N/A,SUM(DA$4:DA118,CY$4:CY118,CW$4:CW118))</f>
        <v>-2.0982826596793132</v>
      </c>
      <c r="DD118" s="200" t="str">
        <f t="shared" si="157"/>
        <v/>
      </c>
      <c r="DE118" s="203">
        <f>IF($J118="",#N/A,SUM(DD$4:DD118))</f>
        <v>0.4905246481018824</v>
      </c>
      <c r="DF118" s="204" t="str">
        <f t="shared" si="158"/>
        <v/>
      </c>
      <c r="DG118" s="204">
        <f>IF($J118="",#N/A,SUM(DF$4:DF118))</f>
        <v>0.77374072477919809</v>
      </c>
      <c r="DH118" s="205">
        <f t="shared" si="159"/>
        <v>0.50161812297734587</v>
      </c>
      <c r="DI118" s="205">
        <f>IF($J118="",#N/A,SUM(DH$4:DH118))</f>
        <v>-1.3154755601364099</v>
      </c>
      <c r="DJ118" s="205">
        <f>IF($J118="",#N/A,SUM(DH$4:DH118,DF$4:DF118,DD$4:DD118))</f>
        <v>-5.1210187255329387E-2</v>
      </c>
      <c r="DK118" s="200" t="str">
        <f t="shared" si="160"/>
        <v/>
      </c>
      <c r="DL118" s="203">
        <f>IF($J118="",#N/A,SUM(DK$4:DK118))</f>
        <v>-1.2097286851272664</v>
      </c>
      <c r="DM118" s="204" t="str">
        <f t="shared" si="161"/>
        <v/>
      </c>
      <c r="DN118" s="204">
        <f>IF($J118="",#N/A,SUM(DM$4:DM118))</f>
        <v>1.1910608267574658</v>
      </c>
      <c r="DO118" s="205" t="str">
        <f t="shared" si="162"/>
        <v/>
      </c>
      <c r="DP118" s="205">
        <f>IF($J118="",#N/A,SUM(DO$4:DO118))</f>
        <v>0.14820169229813929</v>
      </c>
      <c r="DQ118" s="205">
        <f>IF($J118="",#N/A,SUM(DO$4:DO118,DM$4:DM118,DK$4:DK118))</f>
        <v>0.12953383392833895</v>
      </c>
      <c r="DR118" s="200" t="str">
        <f t="shared" si="163"/>
        <v/>
      </c>
      <c r="DS118" s="203">
        <f>IF($J118="",#N/A,SUM(DR$4:DR118))</f>
        <v>-0.55950946427675097</v>
      </c>
      <c r="DT118" s="204" t="str">
        <f t="shared" si="164"/>
        <v/>
      </c>
      <c r="DU118" s="204">
        <f>IF($J118="",#N/A,SUM(DT$4:DT118))</f>
        <v>-2.8875364672150718</v>
      </c>
      <c r="DV118" s="205" t="str">
        <f t="shared" si="165"/>
        <v/>
      </c>
      <c r="DW118" s="205">
        <f>IF($J118="",#N/A,SUM(DV$4:DV118))</f>
        <v>-2.6814706788983136</v>
      </c>
      <c r="DX118" s="205">
        <f>IF($J118="",#N/A,SUM(DV$4:DV118,DT$4:DT118,DR$4:DR118))</f>
        <v>-6.1285166103901361</v>
      </c>
      <c r="DY118" s="200" t="str">
        <f t="shared" si="166"/>
        <v/>
      </c>
      <c r="DZ118" s="203">
        <f>IF($J118="",#N/A,SUM(DY$4:DY118))</f>
        <v>-1.2652059025281583</v>
      </c>
      <c r="EA118" s="204" t="str">
        <f t="shared" si="167"/>
        <v/>
      </c>
      <c r="EB118" s="204">
        <f>IF($J118="",#N/A,SUM(EA$4:EA118))</f>
        <v>-0.36153038830642437</v>
      </c>
      <c r="EC118" s="205" t="str">
        <f t="shared" si="168"/>
        <v/>
      </c>
      <c r="ED118" s="205">
        <f>IF($J118="",#N/A,SUM(EC$4:EC118))</f>
        <v>1.7103671484331777</v>
      </c>
      <c r="EE118" s="205">
        <f>IF($J118="",#N/A,SUM(EC$4:EC118,EA$4:EA118,DY$4:DY118))</f>
        <v>8.3630857598595065E-2</v>
      </c>
      <c r="EF118" s="200" t="str">
        <f t="shared" si="169"/>
        <v/>
      </c>
      <c r="EG118" s="203">
        <f>IF($J118="",#N/A,SUM(EF$4:EF118))</f>
        <v>0</v>
      </c>
      <c r="EH118" s="204" t="str">
        <f t="shared" si="170"/>
        <v/>
      </c>
      <c r="EI118" s="204">
        <f>IF($J118="",#N/A,SUM(EH$4:EH118))</f>
        <v>-2.6174111635897193</v>
      </c>
      <c r="EJ118" s="205" t="str">
        <f t="shared" si="171"/>
        <v/>
      </c>
      <c r="EK118" s="205">
        <f>IF($J118="",#N/A,SUM(EJ$4:EJ118))</f>
        <v>2.7220749737133643</v>
      </c>
      <c r="EL118" s="205">
        <f>IF($J118="",#N/A,SUM(EJ$4:EJ118,EH$4:EH118,EF$4:EF118))</f>
        <v>0.10466381012364553</v>
      </c>
      <c r="EM118" s="200" t="str">
        <f t="shared" si="172"/>
        <v/>
      </c>
      <c r="EN118" s="203">
        <f>IF($J118="",#N/A,SUM(EM$4:EM118))</f>
        <v>0</v>
      </c>
      <c r="EO118" s="204" t="str">
        <f t="shared" si="173"/>
        <v/>
      </c>
      <c r="EP118" s="204">
        <f>IF($J118="",#N/A,SUM(EO$4:EO118))</f>
        <v>1.5996008301242557</v>
      </c>
      <c r="EQ118" s="205" t="str">
        <f t="shared" si="174"/>
        <v/>
      </c>
      <c r="ER118" s="205">
        <f>IF($J118="",#N/A,SUM(EQ$4:EQ118))</f>
        <v>0.4926597949853756</v>
      </c>
      <c r="ES118" s="205">
        <f>IF($J118="",#N/A,SUM(EQ$4:EQ118,EO$4:EO118,EM$4:EM118))</f>
        <v>2.0922606251096312</v>
      </c>
      <c r="ET118" s="200" t="str">
        <f t="shared" si="175"/>
        <v/>
      </c>
      <c r="EU118" s="203">
        <f>IF($J118="",#N/A,SUM(ET$4:ET118))</f>
        <v>0</v>
      </c>
      <c r="EV118" s="204" t="str">
        <f t="shared" si="176"/>
        <v/>
      </c>
      <c r="EW118" s="204">
        <f>IF($J118="",#N/A,SUM(EV$4:EV118))</f>
        <v>-0.73430241270792684</v>
      </c>
      <c r="EX118" s="205" t="str">
        <f t="shared" si="177"/>
        <v/>
      </c>
      <c r="EY118" s="205">
        <f>IF($J118="",#N/A,SUM(EX$4:EX118))</f>
        <v>2.0960106423519864E-3</v>
      </c>
      <c r="EZ118" s="205">
        <f>IF($J118="",#N/A,SUM(EX$4:EX118,EV$4:EV118,ET$4:ET118))</f>
        <v>-0.73220640206557486</v>
      </c>
      <c r="FA118" s="200" t="str">
        <f t="shared" si="178"/>
        <v/>
      </c>
      <c r="FB118" s="203">
        <f>IF($J118="",#N/A,SUM(FA$4:FA118))</f>
        <v>0</v>
      </c>
      <c r="FC118" s="204" t="str">
        <f t="shared" si="179"/>
        <v/>
      </c>
      <c r="FD118" s="204">
        <f>IF($J118="",#N/A,SUM(FC$4:FC118))</f>
        <v>1.6839191319663924</v>
      </c>
      <c r="FE118" s="205" t="str">
        <f t="shared" si="180"/>
        <v/>
      </c>
      <c r="FF118" s="205">
        <f>IF($J118="",#N/A,SUM(FE$4:FE118))</f>
        <v>-0.28811149078748233</v>
      </c>
      <c r="FG118" s="205">
        <f>IF($J118="",#N/A,SUM(FE$4:FE118,FC$4:FC118,FA$4:FA118))</f>
        <v>1.3958076411789102</v>
      </c>
      <c r="FH118" s="200" t="str">
        <f t="shared" si="181"/>
        <v/>
      </c>
      <c r="FI118" s="203">
        <f>IF($J118="",#N/A,SUM(FH$4:FH118))</f>
        <v>0</v>
      </c>
      <c r="FJ118" s="204" t="str">
        <f t="shared" si="182"/>
        <v/>
      </c>
      <c r="FK118" s="204">
        <f>IF($J118="",#N/A,SUM(FJ$4:FJ118))</f>
        <v>0</v>
      </c>
      <c r="FL118" s="205" t="str">
        <f t="shared" si="183"/>
        <v/>
      </c>
      <c r="FM118" s="205">
        <f>IF($J118="",#N/A,SUM(FL$4:FL118))</f>
        <v>0</v>
      </c>
      <c r="FN118" s="205">
        <f>IF($J118="",#N/A,SUM(FL$4:FL118,FJ$4:FJ118,FH$4:FH118))</f>
        <v>0</v>
      </c>
      <c r="FO118" s="200" t="str">
        <f t="shared" si="184"/>
        <v/>
      </c>
      <c r="FP118" s="203">
        <f>IF($J118="",#N/A,SUM(FO$4:FO118))</f>
        <v>0</v>
      </c>
      <c r="FQ118" s="204" t="str">
        <f t="shared" si="185"/>
        <v/>
      </c>
      <c r="FR118" s="204">
        <f>IF($J118="",#N/A,SUM(FQ$4:FQ118))</f>
        <v>0</v>
      </c>
      <c r="FS118" s="205" t="str">
        <f t="shared" si="186"/>
        <v/>
      </c>
      <c r="FT118" s="205">
        <f>IF($J118="",#N/A,SUM(FS$4:FS118))</f>
        <v>0</v>
      </c>
      <c r="FU118" s="205">
        <f>IF($J118="",#N/A,SUM(FS$4:FS118,FQ$4:FQ118,FO$4:FO118))</f>
        <v>0</v>
      </c>
      <c r="FV118" s="200" t="str">
        <f t="shared" si="187"/>
        <v/>
      </c>
      <c r="FW118" s="203">
        <f>IF($J118="",#N/A,SUM(FV$4:FV118))</f>
        <v>6.6834991831277585E-2</v>
      </c>
      <c r="FX118" s="204" t="str">
        <f t="shared" si="188"/>
        <v/>
      </c>
      <c r="FY118" s="204">
        <f>IF($J118="",#N/A,SUM(FX$4:FX118))</f>
        <v>0</v>
      </c>
      <c r="FZ118" s="205" t="str">
        <f t="shared" si="189"/>
        <v/>
      </c>
      <c r="GA118" s="205">
        <f>IF($J118="",#N/A,SUM(FZ$4:FZ118))</f>
        <v>-0.22620195801622528</v>
      </c>
      <c r="GB118" s="205">
        <f>IF($J118="",#N/A,SUM(FZ$4:FZ118,FX$4:FX118,FV$4:FV118))</f>
        <v>-0.15936696618494769</v>
      </c>
      <c r="GC118" s="200" t="str">
        <f t="shared" si="190"/>
        <v/>
      </c>
      <c r="GD118" s="203">
        <f>IF($J118="",#N/A,SUM(GC$4:GC118))</f>
        <v>0</v>
      </c>
      <c r="GE118" s="204" t="str">
        <f t="shared" si="191"/>
        <v/>
      </c>
      <c r="GF118" s="204">
        <f>IF($J118="",#N/A,SUM(GE$4:GE118))</f>
        <v>0</v>
      </c>
      <c r="GG118" s="205" t="str">
        <f t="shared" si="192"/>
        <v/>
      </c>
      <c r="GH118" s="205">
        <f>IF($J118="",#N/A,SUM(GG$4:GG118))</f>
        <v>-2.9368362277223206</v>
      </c>
      <c r="GI118" s="205">
        <f>IF($J118="",#N/A,SUM(GG$4:GG118,GE$4:GE118,GC$4:GC118))</f>
        <v>-2.9368362277223206</v>
      </c>
      <c r="GJ118" s="200" t="str">
        <f t="shared" si="193"/>
        <v/>
      </c>
      <c r="GK118" s="203">
        <f>IF($J118="",#N/A,SUM(GJ$4:GJ118))</f>
        <v>0</v>
      </c>
      <c r="GL118" s="204" t="str">
        <f t="shared" si="194"/>
        <v/>
      </c>
      <c r="GM118" s="204">
        <f>IF($J118="",#N/A,SUM(GL$4:GL118))</f>
        <v>-0.4054764861692941</v>
      </c>
      <c r="GN118" s="205" t="str">
        <f t="shared" si="195"/>
        <v/>
      </c>
      <c r="GO118" s="205">
        <f>IF($J118="",#N/A,SUM(GN$4:GN118))</f>
        <v>0</v>
      </c>
      <c r="GP118" s="205">
        <f>IF($J118="",#N/A,SUM(GN$4:GN118,GL$4:GL118,GJ$4:GJ118))</f>
        <v>-0.4054764861692941</v>
      </c>
      <c r="GS118" s="54">
        <f t="shared" si="214"/>
        <v>0.50161812297734587</v>
      </c>
      <c r="GT118" s="54">
        <f>IF(GS118="",NA(),SUM($GS$4:GS118))</f>
        <v>-4.7179105230321747</v>
      </c>
      <c r="GU118" s="54" t="str">
        <f t="shared" si="196"/>
        <v/>
      </c>
      <c r="GV118" s="54" t="e">
        <f>IF(GU118="",NA(),SUM($GU$4:GU118))</f>
        <v>#N/A</v>
      </c>
      <c r="GW118" s="54">
        <f t="shared" si="197"/>
        <v>0.50161812297734587</v>
      </c>
      <c r="GX118" s="54">
        <f>IF(GW118="",NA(),SUM($GW$4:GW118))</f>
        <v>-0.17151886201845112</v>
      </c>
      <c r="GY118" s="54" t="str">
        <f t="shared" si="198"/>
        <v/>
      </c>
      <c r="GZ118" s="54" t="e">
        <f>IF(GY118="",NA(),SUM($GY$4:GY118))</f>
        <v>#N/A</v>
      </c>
      <c r="HA118" s="54" t="str">
        <f t="shared" si="199"/>
        <v/>
      </c>
      <c r="HB118" s="54" t="e">
        <f>IF(HA118="",NA(),SUM($HA$4:HA118))</f>
        <v>#N/A</v>
      </c>
      <c r="HC118" s="54" t="str">
        <f t="shared" si="200"/>
        <v/>
      </c>
      <c r="HD118" s="54" t="e">
        <f>IF(HC118="",NA(),SUM($HC$4:HC118))</f>
        <v>#N/A</v>
      </c>
      <c r="HE118" s="54" t="str">
        <f t="shared" si="201"/>
        <v/>
      </c>
      <c r="HF118" s="54" t="e">
        <f>IF(HE118="",NA(),SUM($HE$4:HE118))</f>
        <v>#N/A</v>
      </c>
      <c r="HG118" s="54" t="str">
        <f t="shared" si="202"/>
        <v/>
      </c>
      <c r="HH118" s="54" t="e">
        <f>IF(HG118="",NA(),SUM($HG$4:HG118))</f>
        <v>#N/A</v>
      </c>
      <c r="HI118" s="172" t="str">
        <f t="shared" si="215"/>
        <v/>
      </c>
      <c r="HJ118" s="172">
        <f>IF($J118="",#N/A,SUM(HI$4:$HI118))</f>
        <v>-2.9338592920889517</v>
      </c>
      <c r="HK118" s="54" t="str">
        <f t="shared" si="203"/>
        <v/>
      </c>
      <c r="HL118" s="54">
        <f>IF($J118="",#N/A,SUM($HK$4:HK118))</f>
        <v>-5.2584365376693087</v>
      </c>
      <c r="HM118" s="54" t="str">
        <f t="shared" si="204"/>
        <v/>
      </c>
      <c r="HN118" s="54">
        <f>IF($J118="",#N/A,SUM($HM$4:HM118))</f>
        <v>0.71812545963587882</v>
      </c>
      <c r="HO118" s="54" t="str">
        <f t="shared" si="205"/>
        <v/>
      </c>
      <c r="HP118" s="54">
        <f>IF($J118="",#N/A,SUM($HO$4:HO118))</f>
        <v>-1.004778156728636</v>
      </c>
      <c r="HQ118" s="54">
        <f t="shared" si="206"/>
        <v>-0.28407047824523673</v>
      </c>
      <c r="HR118" s="54">
        <f>IF($J118="",#N/A,SUM($HQ$4:HQ118))</f>
        <v>-7.9821717281403126</v>
      </c>
      <c r="HS118" s="54" t="str">
        <f t="shared" si="207"/>
        <v/>
      </c>
      <c r="HT118" s="54">
        <f>IF($J118="",#N/A,SUM($HS$4:HS118))</f>
        <v>6.3730633568266706</v>
      </c>
      <c r="HU118" s="65">
        <f t="shared" si="208"/>
        <v>0.21754764473210914</v>
      </c>
      <c r="HV118" s="65">
        <f>IF($J118="",#N/A,SUM(HU$4:$HU118))</f>
        <v>-14.32811653930403</v>
      </c>
    </row>
    <row r="119" spans="1:230" x14ac:dyDescent="0.25">
      <c r="A119" s="51" t="s">
        <v>19</v>
      </c>
      <c r="B119" s="52" t="s">
        <v>4524</v>
      </c>
      <c r="C119" s="229">
        <f t="shared" si="109"/>
        <v>3</v>
      </c>
      <c r="D119" s="219" t="str">
        <f>_xlfn.XLOOKUP(A119,[1]SP500!$A$2:$A$502,[1]SP500!$D$2:$D$502,"N")</f>
        <v>Y</v>
      </c>
      <c r="E119" s="51" t="str">
        <f>IFERROR(_xlfn.XLOOKUP(A119,[1]SP500!$A$2:$A$655,[1]SP500!$B$2:$B$655),"")</f>
        <v>XLC</v>
      </c>
      <c r="F119" s="290">
        <v>45772</v>
      </c>
      <c r="G119" s="51" t="str">
        <f t="shared" si="110"/>
        <v>BMO</v>
      </c>
      <c r="H119" s="51" t="str">
        <f t="shared" si="111"/>
        <v>s</v>
      </c>
      <c r="I119" s="124">
        <v>335.33</v>
      </c>
      <c r="J119" s="124">
        <v>359.5</v>
      </c>
      <c r="K119" s="55">
        <f t="shared" si="112"/>
        <v>7.2078251274863614E-2</v>
      </c>
      <c r="L119" s="67">
        <f t="shared" si="113"/>
        <v>72.509999999999991</v>
      </c>
      <c r="M119" s="57">
        <f t="shared" si="114"/>
        <v>8.1900000000000546</v>
      </c>
      <c r="N119" s="102">
        <f t="shared" si="115"/>
        <v>72.509999999999991</v>
      </c>
      <c r="O119" s="57">
        <f>IF(N119="",#N/A,SUM($N$4:N119))</f>
        <v>-394.06182671026909</v>
      </c>
      <c r="P119" s="65">
        <f t="shared" si="209"/>
        <v>1.2013041879143926</v>
      </c>
      <c r="Q119" s="172">
        <f>IF($N119="",#N/A,SUM($P$4:P119))</f>
        <v>-3.0387554532249812</v>
      </c>
      <c r="R119" s="279">
        <f t="shared" si="116"/>
        <v>2.8110040320577454</v>
      </c>
      <c r="S119" s="51" t="str">
        <f t="shared" si="117"/>
        <v>SW</v>
      </c>
      <c r="T119" s="51" t="s">
        <v>2828</v>
      </c>
      <c r="U119" s="56">
        <f t="shared" si="118"/>
        <v>335.33</v>
      </c>
      <c r="V119" s="56" t="s">
        <v>4460</v>
      </c>
      <c r="W119" s="142">
        <v>3</v>
      </c>
      <c r="X119" s="145">
        <f t="shared" si="119"/>
        <v>1005.99</v>
      </c>
      <c r="Y119" s="140">
        <f t="shared" si="120"/>
        <v>3</v>
      </c>
      <c r="Z119" s="123">
        <v>362.23</v>
      </c>
      <c r="AA119" s="102">
        <f t="shared" si="121"/>
        <v>80.700000000000045</v>
      </c>
      <c r="AB119" s="102">
        <f t="shared" si="122"/>
        <v>114.95999999999981</v>
      </c>
      <c r="AC119" s="124">
        <v>373.65</v>
      </c>
      <c r="AD119" s="155">
        <f t="shared" si="123"/>
        <v>114.95999999999981</v>
      </c>
      <c r="AE119" s="545">
        <f t="shared" si="124"/>
        <v>1.9045914969333659</v>
      </c>
      <c r="AF119" s="57">
        <f>IF($AC119="",#N/A,SUM(AD$4:AD119))</f>
        <v>-874.7109651717517</v>
      </c>
      <c r="AG119" s="102">
        <f t="shared" si="125"/>
        <v>42.449999999999818</v>
      </c>
      <c r="AH119" s="56" t="s">
        <v>2507</v>
      </c>
      <c r="AI119" s="65">
        <f t="shared" si="126"/>
        <v>1.3369914213858991</v>
      </c>
      <c r="AJ119" s="54">
        <f>IF(AI119="",#N/A,SUM($AI$4:AI119))</f>
        <v>-5.8497594852827266</v>
      </c>
      <c r="AK119" s="57">
        <f t="shared" si="127"/>
        <v>80.700000000000045</v>
      </c>
      <c r="AL119" s="349">
        <f>IF(AI119="",#N/A,IF(AH119="Skip",SUM($AK$4:AK119),SUM($AK$4:AK119)))</f>
        <v>-589.73559931806767</v>
      </c>
      <c r="AM119" s="65">
        <f t="shared" si="210"/>
        <v>1.9045914969333659</v>
      </c>
      <c r="AN119" s="209"/>
      <c r="AO119" s="65">
        <f t="shared" si="128"/>
        <v>1.9045914969333659</v>
      </c>
      <c r="AP119" s="65">
        <f>IF($AC119="",#N/A,SUM(AO$4:AO119))</f>
        <v>0.32595307652855454</v>
      </c>
      <c r="AQ119" s="65" t="str">
        <f t="shared" si="129"/>
        <v/>
      </c>
      <c r="AR119" s="65">
        <f>IF($AC119="",#N/A,SUM(AQ$4:AQ119))</f>
        <v>-2.7637371090917728</v>
      </c>
      <c r="AS119" s="65" t="str">
        <f t="shared" si="130"/>
        <v/>
      </c>
      <c r="AT119" s="65">
        <f>IF($AC119="",#N/A,SUM(AS$4:AS119))</f>
        <v>-9.9857410098074517</v>
      </c>
      <c r="AU119" s="57">
        <f t="shared" si="211"/>
        <v>114.95999999999981</v>
      </c>
      <c r="AV119" s="57">
        <f>IF($AC119="",#N/A,SUM(AU$4:AU119))</f>
        <v>-61.018793548749386</v>
      </c>
      <c r="AW119" s="57" t="str">
        <f t="shared" si="212"/>
        <v/>
      </c>
      <c r="AX119" s="57">
        <f>IF($AC119="",#N/A,SUM(AW$4:AW119))</f>
        <v>-173.34000000000015</v>
      </c>
      <c r="AY119" s="57" t="str">
        <f t="shared" si="213"/>
        <v/>
      </c>
      <c r="AZ119" s="57">
        <f>IF($AC119="",#N/A,SUM(AY$4:AY119))</f>
        <v>-640.35217162300216</v>
      </c>
      <c r="BA119" s="57">
        <f>IF(AD119="",#N/A,SUM($AD$4:AD119))</f>
        <v>-874.7109651717517</v>
      </c>
      <c r="BC119" s="51" t="str">
        <f t="shared" si="131"/>
        <v/>
      </c>
      <c r="BD119" s="51" t="str">
        <f t="shared" si="132"/>
        <v/>
      </c>
      <c r="BE119" s="51">
        <f t="shared" si="133"/>
        <v>1</v>
      </c>
      <c r="BF119" s="51" t="str">
        <f t="shared" si="134"/>
        <v>Long</v>
      </c>
      <c r="BG119" s="51" t="str">
        <f t="shared" si="135"/>
        <v/>
      </c>
      <c r="BH119" s="51" t="str">
        <f t="shared" si="136"/>
        <v/>
      </c>
      <c r="BI119" s="51" t="str">
        <f t="shared" si="137"/>
        <v/>
      </c>
      <c r="BK119" s="65">
        <f t="shared" si="217"/>
        <v>-7.3219901803038029E-2</v>
      </c>
      <c r="BL119" s="65">
        <f t="shared" si="216"/>
        <v>-7.5850667229427446E-2</v>
      </c>
      <c r="BM119" s="65">
        <f>IFERROR(Q119/COUNTA($J$4:J119),#N/A)</f>
        <v>-2.6196167700215354E-2</v>
      </c>
      <c r="BO119" s="489">
        <f>IF(J119="",#N/A,IF(S119="SW",(COUNTIFS(K$4:$K119,"&gt;0",S$4:$S119,"SW")/COUNTIF(S$4:$S119,"SW")),#N/A))</f>
        <v>0.48484848484848486</v>
      </c>
      <c r="BP119" s="489" t="e">
        <f>IF($J119="",#N/A,IF($S119="DWN",(COUNTIFS($K$4:$K119,"&lt;0",$S$4:$S119,"DWN")/COUNTIF($S$4:$S119,"DWN")),#N/A))</f>
        <v>#N/A</v>
      </c>
      <c r="BQ119" s="489" t="e">
        <f>IF($J119="",#N/A,IF($S119="UP",(COUNTIFS($K$4:$K119,"&gt;0",$S$4:$S119,"UP")/COUNTIF($S$4:$S119,"UP")),#N/A))</f>
        <v>#N/A</v>
      </c>
      <c r="BR119" s="489">
        <f>IF(J119="",#N/A,COUNTIF($K$4:K119,"&gt;0")/COUNT($J$4:J119))</f>
        <v>0.47413793103448276</v>
      </c>
      <c r="BS119" s="65">
        <f t="shared" si="138"/>
        <v>1.2013041879143926</v>
      </c>
      <c r="BT119" s="65" t="str">
        <f t="shared" si="139"/>
        <v/>
      </c>
      <c r="BU119" s="65" t="str">
        <f t="shared" si="140"/>
        <v/>
      </c>
      <c r="BV119" s="65" t="str">
        <f t="shared" si="141"/>
        <v/>
      </c>
      <c r="BW119" s="128" t="str">
        <f t="shared" si="142"/>
        <v/>
      </c>
      <c r="BX119" s="128">
        <f>IF($J119="",#N/A,SUM($BW$4:BW119))</f>
        <v>-155.96500000000026</v>
      </c>
      <c r="BY119" s="131" t="str">
        <f t="shared" si="143"/>
        <v/>
      </c>
      <c r="BZ119" s="131">
        <f>IF($J119="",#N/A,SUM($BY$4:BY119))</f>
        <v>-170.41885042154775</v>
      </c>
      <c r="CA119" s="133">
        <f t="shared" si="144"/>
        <v>72.509999999999991</v>
      </c>
      <c r="CB119" s="133">
        <f>IF($J119="",#N/A,SUM($CA$4:CA119))</f>
        <v>-67.677976288721084</v>
      </c>
      <c r="CC119" s="194" t="str">
        <f t="shared" si="145"/>
        <v/>
      </c>
      <c r="CD119" s="194">
        <f>IF($J119="",#N/A,SUM($CC$4:CC119))</f>
        <v>-2.4770844119990163</v>
      </c>
      <c r="CE119" s="195" t="str">
        <f t="shared" si="146"/>
        <v/>
      </c>
      <c r="CF119" s="195">
        <f>IF($J119="",#N/A,SUM($CE$4:CE119))</f>
        <v>-1.7934451800491877</v>
      </c>
      <c r="CG119" s="196">
        <f t="shared" si="147"/>
        <v>1.2013041879143926</v>
      </c>
      <c r="CH119" s="193">
        <f>IF($J119="",#N/A,SUM($CG$4:CG119))</f>
        <v>1.2317741388232271</v>
      </c>
      <c r="CI119" s="200" t="str">
        <f t="shared" si="148"/>
        <v/>
      </c>
      <c r="CJ119" s="203">
        <f>IF($J119="",#N/A,SUM(CI$4:CI119))</f>
        <v>0</v>
      </c>
      <c r="CK119" s="204" t="str">
        <f t="shared" si="149"/>
        <v/>
      </c>
      <c r="CL119" s="204">
        <f>IF($J119="",#N/A,SUM(CK$4:CK119))</f>
        <v>1.8934431343190481</v>
      </c>
      <c r="CM119" s="205" t="str">
        <f t="shared" si="150"/>
        <v/>
      </c>
      <c r="CN119" s="205">
        <f>IF($J119="",#N/A,SUM(CM$4:CM119))</f>
        <v>2.5724959960693745</v>
      </c>
      <c r="CO119" s="205">
        <f>IF($J119="",#N/A,SUM(CM$4:CM119,CK$4:CK119,CI$4:CI119))</f>
        <v>4.4659391303884224</v>
      </c>
      <c r="CP119" s="200" t="str">
        <f t="shared" si="151"/>
        <v/>
      </c>
      <c r="CQ119" s="203">
        <f>IF($J119="",#N/A,SUM(CP$4:CP119))</f>
        <v>0</v>
      </c>
      <c r="CR119" s="204" t="str">
        <f t="shared" si="152"/>
        <v/>
      </c>
      <c r="CS119" s="204">
        <f>IF($J119="",#N/A,SUM(CR$4:CR119))</f>
        <v>0</v>
      </c>
      <c r="CT119" s="205" t="str">
        <f t="shared" si="153"/>
        <v/>
      </c>
      <c r="CU119" s="205">
        <f>IF($J119="",#N/A,SUM(CT$4:CT119))</f>
        <v>0</v>
      </c>
      <c r="CV119" s="205">
        <f>IF($J119="",#N/A,SUM(CT$4:CT119,CR$4:CR119,CP$4:CP119))</f>
        <v>0</v>
      </c>
      <c r="CW119" s="200" t="str">
        <f t="shared" si="154"/>
        <v/>
      </c>
      <c r="CX119" s="203">
        <f>IF($J119="",#N/A,SUM(CW$4:CW119))</f>
        <v>0</v>
      </c>
      <c r="CY119" s="204" t="str">
        <f t="shared" si="155"/>
        <v/>
      </c>
      <c r="CZ119" s="204">
        <f>IF($J119="",#N/A,SUM(CY$4:CY119))</f>
        <v>-1.9289529100071134</v>
      </c>
      <c r="DA119" s="205" t="str">
        <f t="shared" si="156"/>
        <v/>
      </c>
      <c r="DB119" s="205">
        <f>IF($J119="",#N/A,SUM(DA$4:DA119))</f>
        <v>-0.16932974967219971</v>
      </c>
      <c r="DC119" s="205">
        <f>IF($J119="",#N/A,SUM(DA$4:DA119,CY$4:CY119,CW$4:CW119))</f>
        <v>-2.0982826596793132</v>
      </c>
      <c r="DD119" s="200" t="str">
        <f t="shared" si="157"/>
        <v/>
      </c>
      <c r="DE119" s="203">
        <f>IF($J119="",#N/A,SUM(DD$4:DD119))</f>
        <v>0.4905246481018824</v>
      </c>
      <c r="DF119" s="204" t="str">
        <f t="shared" si="158"/>
        <v/>
      </c>
      <c r="DG119" s="204">
        <f>IF($J119="",#N/A,SUM(DF$4:DF119))</f>
        <v>0.77374072477919809</v>
      </c>
      <c r="DH119" s="205" t="str">
        <f t="shared" si="159"/>
        <v/>
      </c>
      <c r="DI119" s="205">
        <f>IF($J119="",#N/A,SUM(DH$4:DH119))</f>
        <v>-1.3154755601364099</v>
      </c>
      <c r="DJ119" s="205">
        <f>IF($J119="",#N/A,SUM(DH$4:DH119,DF$4:DF119,DD$4:DD119))</f>
        <v>-5.1210187255329387E-2</v>
      </c>
      <c r="DK119" s="200" t="str">
        <f t="shared" si="160"/>
        <v/>
      </c>
      <c r="DL119" s="203">
        <f>IF($J119="",#N/A,SUM(DK$4:DK119))</f>
        <v>-1.2097286851272664</v>
      </c>
      <c r="DM119" s="204" t="str">
        <f t="shared" si="161"/>
        <v/>
      </c>
      <c r="DN119" s="204">
        <f>IF($J119="",#N/A,SUM(DM$4:DM119))</f>
        <v>1.1910608267574658</v>
      </c>
      <c r="DO119" s="205">
        <f t="shared" si="162"/>
        <v>1.2013041879143926</v>
      </c>
      <c r="DP119" s="205">
        <f>IF($J119="",#N/A,SUM(DO$4:DO119))</f>
        <v>1.3495058802125319</v>
      </c>
      <c r="DQ119" s="205">
        <f>IF($J119="",#N/A,SUM(DO$4:DO119,DM$4:DM119,DK$4:DK119))</f>
        <v>1.3308380218427318</v>
      </c>
      <c r="DR119" s="200" t="str">
        <f t="shared" si="163"/>
        <v/>
      </c>
      <c r="DS119" s="203">
        <f>IF($J119="",#N/A,SUM(DR$4:DR119))</f>
        <v>-0.55950946427675097</v>
      </c>
      <c r="DT119" s="204" t="str">
        <f t="shared" si="164"/>
        <v/>
      </c>
      <c r="DU119" s="204">
        <f>IF($J119="",#N/A,SUM(DT$4:DT119))</f>
        <v>-2.8875364672150718</v>
      </c>
      <c r="DV119" s="205" t="str">
        <f t="shared" si="165"/>
        <v/>
      </c>
      <c r="DW119" s="205">
        <f>IF($J119="",#N/A,SUM(DV$4:DV119))</f>
        <v>-2.6814706788983136</v>
      </c>
      <c r="DX119" s="205">
        <f>IF($J119="",#N/A,SUM(DV$4:DV119,DT$4:DT119,DR$4:DR119))</f>
        <v>-6.1285166103901361</v>
      </c>
      <c r="DY119" s="200" t="str">
        <f t="shared" si="166"/>
        <v/>
      </c>
      <c r="DZ119" s="203">
        <f>IF($J119="",#N/A,SUM(DY$4:DY119))</f>
        <v>-1.2652059025281583</v>
      </c>
      <c r="EA119" s="204" t="str">
        <f t="shared" si="167"/>
        <v/>
      </c>
      <c r="EB119" s="204">
        <f>IF($J119="",#N/A,SUM(EA$4:EA119))</f>
        <v>-0.36153038830642437</v>
      </c>
      <c r="EC119" s="205" t="str">
        <f t="shared" si="168"/>
        <v/>
      </c>
      <c r="ED119" s="205">
        <f>IF($J119="",#N/A,SUM(EC$4:EC119))</f>
        <v>1.7103671484331777</v>
      </c>
      <c r="EE119" s="205">
        <f>IF($J119="",#N/A,SUM(EC$4:EC119,EA$4:EA119,DY$4:DY119))</f>
        <v>8.3630857598595065E-2</v>
      </c>
      <c r="EF119" s="200" t="str">
        <f t="shared" si="169"/>
        <v/>
      </c>
      <c r="EG119" s="203">
        <f>IF($J119="",#N/A,SUM(EF$4:EF119))</f>
        <v>0</v>
      </c>
      <c r="EH119" s="204" t="str">
        <f t="shared" si="170"/>
        <v/>
      </c>
      <c r="EI119" s="204">
        <f>IF($J119="",#N/A,SUM(EH$4:EH119))</f>
        <v>-2.6174111635897193</v>
      </c>
      <c r="EJ119" s="205" t="str">
        <f t="shared" si="171"/>
        <v/>
      </c>
      <c r="EK119" s="205">
        <f>IF($J119="",#N/A,SUM(EJ$4:EJ119))</f>
        <v>2.7220749737133643</v>
      </c>
      <c r="EL119" s="205">
        <f>IF($J119="",#N/A,SUM(EJ$4:EJ119,EH$4:EH119,EF$4:EF119))</f>
        <v>0.10466381012364553</v>
      </c>
      <c r="EM119" s="200" t="str">
        <f t="shared" si="172"/>
        <v/>
      </c>
      <c r="EN119" s="203">
        <f>IF($J119="",#N/A,SUM(EM$4:EM119))</f>
        <v>0</v>
      </c>
      <c r="EO119" s="204" t="str">
        <f t="shared" si="173"/>
        <v/>
      </c>
      <c r="EP119" s="204">
        <f>IF($J119="",#N/A,SUM(EO$4:EO119))</f>
        <v>1.5996008301242557</v>
      </c>
      <c r="EQ119" s="205" t="str">
        <f t="shared" si="174"/>
        <v/>
      </c>
      <c r="ER119" s="205">
        <f>IF($J119="",#N/A,SUM(EQ$4:EQ119))</f>
        <v>0.4926597949853756</v>
      </c>
      <c r="ES119" s="205">
        <f>IF($J119="",#N/A,SUM(EQ$4:EQ119,EO$4:EO119,EM$4:EM119))</f>
        <v>2.0922606251096312</v>
      </c>
      <c r="ET119" s="200" t="str">
        <f t="shared" si="175"/>
        <v/>
      </c>
      <c r="EU119" s="203">
        <f>IF($J119="",#N/A,SUM(ET$4:ET119))</f>
        <v>0</v>
      </c>
      <c r="EV119" s="204" t="str">
        <f t="shared" si="176"/>
        <v/>
      </c>
      <c r="EW119" s="204">
        <f>IF($J119="",#N/A,SUM(EV$4:EV119))</f>
        <v>-0.73430241270792684</v>
      </c>
      <c r="EX119" s="205" t="str">
        <f t="shared" si="177"/>
        <v/>
      </c>
      <c r="EY119" s="205">
        <f>IF($J119="",#N/A,SUM(EX$4:EX119))</f>
        <v>2.0960106423519864E-3</v>
      </c>
      <c r="EZ119" s="205">
        <f>IF($J119="",#N/A,SUM(EX$4:EX119,EV$4:EV119,ET$4:ET119))</f>
        <v>-0.73220640206557486</v>
      </c>
      <c r="FA119" s="200" t="str">
        <f t="shared" si="178"/>
        <v/>
      </c>
      <c r="FB119" s="203">
        <f>IF($J119="",#N/A,SUM(FA$4:FA119))</f>
        <v>0</v>
      </c>
      <c r="FC119" s="204" t="str">
        <f t="shared" si="179"/>
        <v/>
      </c>
      <c r="FD119" s="204">
        <f>IF($J119="",#N/A,SUM(FC$4:FC119))</f>
        <v>1.6839191319663924</v>
      </c>
      <c r="FE119" s="205" t="str">
        <f t="shared" si="180"/>
        <v/>
      </c>
      <c r="FF119" s="205">
        <f>IF($J119="",#N/A,SUM(FE$4:FE119))</f>
        <v>-0.28811149078748233</v>
      </c>
      <c r="FG119" s="205">
        <f>IF($J119="",#N/A,SUM(FE$4:FE119,FC$4:FC119,FA$4:FA119))</f>
        <v>1.3958076411789102</v>
      </c>
      <c r="FH119" s="200" t="str">
        <f t="shared" si="181"/>
        <v/>
      </c>
      <c r="FI119" s="203">
        <f>IF($J119="",#N/A,SUM(FH$4:FH119))</f>
        <v>0</v>
      </c>
      <c r="FJ119" s="204" t="str">
        <f t="shared" si="182"/>
        <v/>
      </c>
      <c r="FK119" s="204">
        <f>IF($J119="",#N/A,SUM(FJ$4:FJ119))</f>
        <v>0</v>
      </c>
      <c r="FL119" s="205" t="str">
        <f t="shared" si="183"/>
        <v/>
      </c>
      <c r="FM119" s="205">
        <f>IF($J119="",#N/A,SUM(FL$4:FL119))</f>
        <v>0</v>
      </c>
      <c r="FN119" s="205">
        <f>IF($J119="",#N/A,SUM(FL$4:FL119,FJ$4:FJ119,FH$4:FH119))</f>
        <v>0</v>
      </c>
      <c r="FO119" s="200" t="str">
        <f t="shared" si="184"/>
        <v/>
      </c>
      <c r="FP119" s="203">
        <f>IF($J119="",#N/A,SUM(FO$4:FO119))</f>
        <v>0</v>
      </c>
      <c r="FQ119" s="204" t="str">
        <f t="shared" si="185"/>
        <v/>
      </c>
      <c r="FR119" s="204">
        <f>IF($J119="",#N/A,SUM(FQ$4:FQ119))</f>
        <v>0</v>
      </c>
      <c r="FS119" s="205" t="str">
        <f t="shared" si="186"/>
        <v/>
      </c>
      <c r="FT119" s="205">
        <f>IF($J119="",#N/A,SUM(FS$4:FS119))</f>
        <v>0</v>
      </c>
      <c r="FU119" s="205">
        <f>IF($J119="",#N/A,SUM(FS$4:FS119,FQ$4:FQ119,FO$4:FO119))</f>
        <v>0</v>
      </c>
      <c r="FV119" s="200" t="str">
        <f t="shared" si="187"/>
        <v/>
      </c>
      <c r="FW119" s="203">
        <f>IF($J119="",#N/A,SUM(FV$4:FV119))</f>
        <v>6.6834991831277585E-2</v>
      </c>
      <c r="FX119" s="204" t="str">
        <f t="shared" si="188"/>
        <v/>
      </c>
      <c r="FY119" s="204">
        <f>IF($J119="",#N/A,SUM(FX$4:FX119))</f>
        <v>0</v>
      </c>
      <c r="FZ119" s="205" t="str">
        <f t="shared" si="189"/>
        <v/>
      </c>
      <c r="GA119" s="205">
        <f>IF($J119="",#N/A,SUM(FZ$4:FZ119))</f>
        <v>-0.22620195801622528</v>
      </c>
      <c r="GB119" s="205">
        <f>IF($J119="",#N/A,SUM(FZ$4:FZ119,FX$4:FX119,FV$4:FV119))</f>
        <v>-0.15936696618494769</v>
      </c>
      <c r="GC119" s="200" t="str">
        <f t="shared" si="190"/>
        <v/>
      </c>
      <c r="GD119" s="203">
        <f>IF($J119="",#N/A,SUM(GC$4:GC119))</f>
        <v>0</v>
      </c>
      <c r="GE119" s="204" t="str">
        <f t="shared" si="191"/>
        <v/>
      </c>
      <c r="GF119" s="204">
        <f>IF($J119="",#N/A,SUM(GE$4:GE119))</f>
        <v>0</v>
      </c>
      <c r="GG119" s="205" t="str">
        <f t="shared" si="192"/>
        <v/>
      </c>
      <c r="GH119" s="205">
        <f>IF($J119="",#N/A,SUM(GG$4:GG119))</f>
        <v>-2.9368362277223206</v>
      </c>
      <c r="GI119" s="205">
        <f>IF($J119="",#N/A,SUM(GG$4:GG119,GE$4:GE119,GC$4:GC119))</f>
        <v>-2.9368362277223206</v>
      </c>
      <c r="GJ119" s="200" t="str">
        <f t="shared" si="193"/>
        <v/>
      </c>
      <c r="GK119" s="203">
        <f>IF($J119="",#N/A,SUM(GJ$4:GJ119))</f>
        <v>0</v>
      </c>
      <c r="GL119" s="204" t="str">
        <f t="shared" si="194"/>
        <v/>
      </c>
      <c r="GM119" s="204">
        <f>IF($J119="",#N/A,SUM(GL$4:GL119))</f>
        <v>-0.4054764861692941</v>
      </c>
      <c r="GN119" s="205" t="str">
        <f t="shared" si="195"/>
        <v/>
      </c>
      <c r="GO119" s="205">
        <f>IF($J119="",#N/A,SUM(GN$4:GN119))</f>
        <v>0</v>
      </c>
      <c r="GP119" s="205">
        <f>IF($J119="",#N/A,SUM(GN$4:GN119,GL$4:GL119,GJ$4:GJ119))</f>
        <v>-0.4054764861692941</v>
      </c>
      <c r="GS119" s="54">
        <f t="shared" si="214"/>
        <v>1.2013041879143926</v>
      </c>
      <c r="GT119" s="54">
        <f>IF(GS119="",NA(),SUM($GS$4:GS119))</f>
        <v>-3.5166063351177819</v>
      </c>
      <c r="GU119" s="54" t="str">
        <f t="shared" si="196"/>
        <v/>
      </c>
      <c r="GV119" s="54" t="e">
        <f>IF(GU119="",NA(),SUM($GU$4:GU119))</f>
        <v>#N/A</v>
      </c>
      <c r="GW119" s="54">
        <f t="shared" si="197"/>
        <v>1.2013041879143926</v>
      </c>
      <c r="GX119" s="54">
        <f>IF(GW119="",NA(),SUM($GW$4:GW119))</f>
        <v>1.0297853258959415</v>
      </c>
      <c r="GY119" s="54" t="str">
        <f t="shared" si="198"/>
        <v/>
      </c>
      <c r="GZ119" s="54" t="e">
        <f>IF(GY119="",NA(),SUM($GY$4:GY119))</f>
        <v>#N/A</v>
      </c>
      <c r="HA119" s="54" t="str">
        <f t="shared" si="199"/>
        <v/>
      </c>
      <c r="HB119" s="54" t="e">
        <f>IF(HA119="",NA(),SUM($HA$4:HA119))</f>
        <v>#N/A</v>
      </c>
      <c r="HC119" s="54" t="str">
        <f t="shared" si="200"/>
        <v/>
      </c>
      <c r="HD119" s="54" t="e">
        <f>IF(HC119="",NA(),SUM($HC$4:HC119))</f>
        <v>#N/A</v>
      </c>
      <c r="HE119" s="54" t="str">
        <f t="shared" si="201"/>
        <v/>
      </c>
      <c r="HF119" s="54" t="e">
        <f>IF(HE119="",NA(),SUM($HE$4:HE119))</f>
        <v>#N/A</v>
      </c>
      <c r="HG119" s="54" t="str">
        <f t="shared" si="202"/>
        <v/>
      </c>
      <c r="HH119" s="54" t="e">
        <f>IF(HG119="",NA(),SUM($HG$4:HG119))</f>
        <v>#N/A</v>
      </c>
      <c r="HI119" s="172" t="str">
        <f t="shared" si="215"/>
        <v/>
      </c>
      <c r="HJ119" s="172">
        <f>IF($J119="",#N/A,SUM(HI$4:$HI119))</f>
        <v>-2.9338592920889517</v>
      </c>
      <c r="HK119" s="54" t="str">
        <f t="shared" si="203"/>
        <v/>
      </c>
      <c r="HL119" s="54">
        <f>IF($J119="",#N/A,SUM($HK$4:HK119))</f>
        <v>-5.2584365376693087</v>
      </c>
      <c r="HM119" s="54" t="str">
        <f t="shared" si="204"/>
        <v/>
      </c>
      <c r="HN119" s="54">
        <f>IF($J119="",#N/A,SUM($HM$4:HM119))</f>
        <v>0.71812545963587882</v>
      </c>
      <c r="HO119" s="54" t="str">
        <f t="shared" si="205"/>
        <v/>
      </c>
      <c r="HP119" s="54">
        <f>IF($J119="",#N/A,SUM($HO$4:HO119))</f>
        <v>-1.004778156728636</v>
      </c>
      <c r="HQ119" s="54">
        <f t="shared" si="206"/>
        <v>0.70328730901897329</v>
      </c>
      <c r="HR119" s="54">
        <f>IF($J119="",#N/A,SUM($HQ$4:HQ119))</f>
        <v>-7.2788844191213391</v>
      </c>
      <c r="HS119" s="54" t="str">
        <f t="shared" si="207"/>
        <v/>
      </c>
      <c r="HT119" s="54">
        <f>IF($J119="",#N/A,SUM($HS$4:HS119))</f>
        <v>6.3730633568266706</v>
      </c>
      <c r="HU119" s="65">
        <f t="shared" si="208"/>
        <v>1.9045914969333659</v>
      </c>
      <c r="HV119" s="65">
        <f>IF($J119="",#N/A,SUM(HU$4:$HU119))</f>
        <v>-12.423525042370665</v>
      </c>
    </row>
    <row r="120" spans="1:230" ht="15.75" thickBot="1" x14ac:dyDescent="0.3">
      <c r="A120" s="292" t="s">
        <v>14</v>
      </c>
      <c r="B120" s="293" t="s">
        <v>4524</v>
      </c>
      <c r="C120" s="294">
        <f t="shared" si="109"/>
        <v>2</v>
      </c>
      <c r="D120" s="295" t="str">
        <f>_xlfn.XLOOKUP(A120,[1]SP500!$A$2:$A$502,[1]SP500!$D$2:$D$502,"N")</f>
        <v>Y</v>
      </c>
      <c r="E120" s="292" t="str">
        <f>IFERROR(_xlfn.XLOOKUP(A120,[1]SP500!$A$2:$A$655,[1]SP500!$B$2:$B$655),"")</f>
        <v>XLB</v>
      </c>
      <c r="F120" s="296">
        <v>45772</v>
      </c>
      <c r="G120" s="292" t="str">
        <f t="shared" si="110"/>
        <v>BMO</v>
      </c>
      <c r="H120" s="292" t="str">
        <f t="shared" si="111"/>
        <v>s</v>
      </c>
      <c r="I120" s="297">
        <v>59.25</v>
      </c>
      <c r="J120" s="297">
        <v>57.55</v>
      </c>
      <c r="K120" s="298">
        <f t="shared" si="112"/>
        <v>-2.8691983122362916E-2</v>
      </c>
      <c r="L120" s="299">
        <f t="shared" si="113"/>
        <v>25.5</v>
      </c>
      <c r="M120" s="300">
        <f t="shared" si="114"/>
        <v>-4.9500000000000455</v>
      </c>
      <c r="N120" s="341">
        <f t="shared" si="115"/>
        <v>25.5</v>
      </c>
      <c r="O120" s="300">
        <f>IF(N120="",#N/A,SUM($N$4:N120))</f>
        <v>-368.56182671026909</v>
      </c>
      <c r="P120" s="305">
        <f t="shared" si="209"/>
        <v>0.47819971870604788</v>
      </c>
      <c r="Q120" s="304">
        <f>IF($N120="",#N/A,SUM($P$4:P120))</f>
        <v>-2.5605557345189331</v>
      </c>
      <c r="R120" s="307">
        <f t="shared" si="116"/>
        <v>2.9038310362771553</v>
      </c>
      <c r="S120" s="292" t="str">
        <f t="shared" si="117"/>
        <v>Dwn</v>
      </c>
      <c r="T120" s="292" t="s">
        <v>4462</v>
      </c>
      <c r="U120" s="308">
        <f t="shared" si="118"/>
        <v>59.25</v>
      </c>
      <c r="V120" s="308" t="s">
        <v>4458</v>
      </c>
      <c r="W120" s="310">
        <v>15</v>
      </c>
      <c r="X120" s="309">
        <f t="shared" si="119"/>
        <v>888.75</v>
      </c>
      <c r="Y120" s="310">
        <f t="shared" si="120"/>
        <v>15</v>
      </c>
      <c r="Z120" s="313">
        <v>57.88</v>
      </c>
      <c r="AA120" s="341">
        <f t="shared" si="121"/>
        <v>20.549999999999955</v>
      </c>
      <c r="AB120" s="341">
        <f t="shared" si="122"/>
        <v>-2.8499999999999091</v>
      </c>
      <c r="AC120" s="297">
        <v>59.44</v>
      </c>
      <c r="AD120" s="301">
        <f t="shared" si="123"/>
        <v>-2.8499999999999091</v>
      </c>
      <c r="AE120" s="546">
        <f t="shared" si="124"/>
        <v>-5.3445850914203646E-2</v>
      </c>
      <c r="AF120" s="300">
        <f>IF($AC120="",#N/A,SUM(AD$4:AD120))</f>
        <v>-877.5609651717516</v>
      </c>
      <c r="AG120" s="341">
        <f t="shared" si="125"/>
        <v>-28.349999999999909</v>
      </c>
      <c r="AH120" s="308" t="s">
        <v>2507</v>
      </c>
      <c r="AI120" s="305">
        <f t="shared" si="126"/>
        <v>0.38537271448663774</v>
      </c>
      <c r="AJ120" s="303">
        <f>IF(AI120="",#N/A,SUM($AI$4:AI120))</f>
        <v>-5.4643867707960885</v>
      </c>
      <c r="AK120" s="300">
        <f t="shared" si="127"/>
        <v>20.549999999999955</v>
      </c>
      <c r="AL120" s="348">
        <f>IF(AI120="",#N/A,IF(AH120="Skip",SUM($AK$4:AK120),SUM($AK$4:AK120)))</f>
        <v>-569.18559931806772</v>
      </c>
      <c r="AM120" s="65">
        <f t="shared" si="210"/>
        <v>-5.3445850914203646E-2</v>
      </c>
      <c r="AN120" s="209"/>
      <c r="AO120" s="305" t="str">
        <f t="shared" si="128"/>
        <v/>
      </c>
      <c r="AP120" s="305">
        <f>IF($AC120="",#N/A,SUM(AO$4:AO120))</f>
        <v>0.32595307652855454</v>
      </c>
      <c r="AQ120" s="305" t="str">
        <f t="shared" si="129"/>
        <v/>
      </c>
      <c r="AR120" s="305">
        <f>IF($AC120="",#N/A,SUM(AQ$4:AQ120))</f>
        <v>-2.7637371090917728</v>
      </c>
      <c r="AS120" s="305">
        <f t="shared" si="130"/>
        <v>-5.3445850914203646E-2</v>
      </c>
      <c r="AT120" s="305">
        <f>IF($AC120="",#N/A,SUM(AS$4:AS120))</f>
        <v>-10.039186860721655</v>
      </c>
      <c r="AU120" s="300" t="str">
        <f t="shared" si="211"/>
        <v/>
      </c>
      <c r="AV120" s="300">
        <f>IF($AC120="",#N/A,SUM(AU$4:AU120))</f>
        <v>-61.018793548749386</v>
      </c>
      <c r="AW120" s="300" t="str">
        <f t="shared" si="212"/>
        <v/>
      </c>
      <c r="AX120" s="300">
        <f>IF($AC120="",#N/A,SUM(AW$4:AW120))</f>
        <v>-173.34000000000015</v>
      </c>
      <c r="AY120" s="300">
        <f t="shared" si="213"/>
        <v>-2.8499999999999091</v>
      </c>
      <c r="AZ120" s="300">
        <f>IF($AC120="",#N/A,SUM(AY$4:AY120))</f>
        <v>-643.20217162300207</v>
      </c>
      <c r="BA120" s="300">
        <f>IF(AD120="",#N/A,SUM($AD$4:AD120))</f>
        <v>-877.5609651717516</v>
      </c>
      <c r="BC120" s="292" t="str">
        <f t="shared" si="131"/>
        <v/>
      </c>
      <c r="BD120" s="292" t="str">
        <f t="shared" si="132"/>
        <v/>
      </c>
      <c r="BE120" s="292" t="str">
        <f t="shared" si="133"/>
        <v/>
      </c>
      <c r="BF120" s="292" t="str">
        <f t="shared" si="134"/>
        <v>Short</v>
      </c>
      <c r="BG120" s="292">
        <f t="shared" si="135"/>
        <v>1</v>
      </c>
      <c r="BH120" s="292" t="str">
        <f t="shared" si="136"/>
        <v/>
      </c>
      <c r="BI120" s="292" t="str">
        <f t="shared" si="137"/>
        <v/>
      </c>
      <c r="BK120" s="65">
        <f t="shared" si="217"/>
        <v>-4.69252163486297E-2</v>
      </c>
      <c r="BL120" s="65">
        <f t="shared" si="216"/>
        <v>-6.7757161239806199E-2</v>
      </c>
      <c r="BM120" s="65">
        <f>IFERROR(Q120/COUNTA($J$4:J120),#N/A)</f>
        <v>-2.1885091748025071E-2</v>
      </c>
      <c r="BO120" s="489" t="e">
        <f>IF(J120="",#N/A,IF(S120="SW",(COUNTIFS(K$4:$K120,"&gt;0",S$4:$S120,"SW")/COUNTIF(S$4:$S120,"SW")),#N/A))</f>
        <v>#N/A</v>
      </c>
      <c r="BP120" s="489">
        <f>IF($J120="",#N/A,IF($S120="DWN",(COUNTIFS($K$4:$K120,"&lt;0",$S$4:$S120,"DWN")/COUNTIF($S$4:$S120,"DWN")),#N/A))</f>
        <v>0.55555555555555558</v>
      </c>
      <c r="BQ120" s="489" t="e">
        <f>IF($J120="",#N/A,IF($S120="UP",(COUNTIFS($K$4:$K120,"&gt;0",$S$4:$S120,"UP")/COUNTIF($S$4:$S120,"UP")),#N/A))</f>
        <v>#N/A</v>
      </c>
      <c r="BR120" s="489">
        <f>IF(J120="",#N/A,COUNTIF($K$4:K120,"&gt;0")/COUNT($J$4:J120))</f>
        <v>0.47008547008547008</v>
      </c>
      <c r="BS120" s="65" t="str">
        <f t="shared" si="138"/>
        <v/>
      </c>
      <c r="BT120" s="65" t="str">
        <f t="shared" si="139"/>
        <v/>
      </c>
      <c r="BU120" s="65">
        <f t="shared" si="140"/>
        <v>0.47819971870604788</v>
      </c>
      <c r="BV120" s="65" t="str">
        <f t="shared" si="141"/>
        <v/>
      </c>
      <c r="BW120" s="128" t="str">
        <f t="shared" si="142"/>
        <v/>
      </c>
      <c r="BX120" s="128">
        <f>IF($J120="",#N/A,SUM($BW$4:BW120))</f>
        <v>-155.96500000000026</v>
      </c>
      <c r="BY120" s="131">
        <f t="shared" si="143"/>
        <v>25.5</v>
      </c>
      <c r="BZ120" s="131">
        <f>IF($J120="",#N/A,SUM($BY$4:BY120))</f>
        <v>-144.91885042154775</v>
      </c>
      <c r="CA120" s="133" t="str">
        <f t="shared" si="144"/>
        <v/>
      </c>
      <c r="CB120" s="133">
        <f>IF($J120="",#N/A,SUM($CA$4:CA120))</f>
        <v>-67.677976288721084</v>
      </c>
      <c r="CC120" s="194" t="str">
        <f t="shared" si="145"/>
        <v/>
      </c>
      <c r="CD120" s="194">
        <f>IF($J120="",#N/A,SUM($CC$4:CC120))</f>
        <v>-2.4770844119990163</v>
      </c>
      <c r="CE120" s="195">
        <f t="shared" si="146"/>
        <v>0.47819971870604788</v>
      </c>
      <c r="CF120" s="195">
        <f>IF($J120="",#N/A,SUM($CE$4:CE120))</f>
        <v>-1.3152454613431399</v>
      </c>
      <c r="CG120" s="196" t="str">
        <f t="shared" si="147"/>
        <v/>
      </c>
      <c r="CH120" s="193">
        <f>IF($J120="",#N/A,SUM($CG$4:CG120))</f>
        <v>1.2317741388232271</v>
      </c>
      <c r="CI120" s="200" t="str">
        <f t="shared" si="148"/>
        <v/>
      </c>
      <c r="CJ120" s="203">
        <f>IF($J120="",#N/A,SUM(CI$4:CI120))</f>
        <v>0</v>
      </c>
      <c r="CK120" s="204" t="str">
        <f t="shared" si="149"/>
        <v/>
      </c>
      <c r="CL120" s="204">
        <f>IF($J120="",#N/A,SUM(CK$4:CK120))</f>
        <v>1.8934431343190481</v>
      </c>
      <c r="CM120" s="205" t="str">
        <f t="shared" si="150"/>
        <v/>
      </c>
      <c r="CN120" s="205">
        <f>IF($J120="",#N/A,SUM(CM$4:CM120))</f>
        <v>2.5724959960693745</v>
      </c>
      <c r="CO120" s="205">
        <f>IF($J120="",#N/A,SUM(CM$4:CM120,CK$4:CK120,CI$4:CI120))</f>
        <v>4.4659391303884224</v>
      </c>
      <c r="CP120" s="200" t="str">
        <f t="shared" si="151"/>
        <v/>
      </c>
      <c r="CQ120" s="203">
        <f>IF($J120="",#N/A,SUM(CP$4:CP120))</f>
        <v>0</v>
      </c>
      <c r="CR120" s="204" t="str">
        <f t="shared" si="152"/>
        <v/>
      </c>
      <c r="CS120" s="204">
        <f>IF($J120="",#N/A,SUM(CR$4:CR120))</f>
        <v>0</v>
      </c>
      <c r="CT120" s="205" t="str">
        <f t="shared" si="153"/>
        <v/>
      </c>
      <c r="CU120" s="205">
        <f>IF($J120="",#N/A,SUM(CT$4:CT120))</f>
        <v>0</v>
      </c>
      <c r="CV120" s="205">
        <f>IF($J120="",#N/A,SUM(CT$4:CT120,CR$4:CR120,CP$4:CP120))</f>
        <v>0</v>
      </c>
      <c r="CW120" s="200" t="str">
        <f t="shared" si="154"/>
        <v/>
      </c>
      <c r="CX120" s="203">
        <f>IF($J120="",#N/A,SUM(CW$4:CW120))</f>
        <v>0</v>
      </c>
      <c r="CY120" s="204" t="str">
        <f t="shared" si="155"/>
        <v/>
      </c>
      <c r="CZ120" s="204">
        <f>IF($J120="",#N/A,SUM(CY$4:CY120))</f>
        <v>-1.9289529100071134</v>
      </c>
      <c r="DA120" s="205" t="str">
        <f t="shared" si="156"/>
        <v/>
      </c>
      <c r="DB120" s="205">
        <f>IF($J120="",#N/A,SUM(DA$4:DA120))</f>
        <v>-0.16932974967219971</v>
      </c>
      <c r="DC120" s="205">
        <f>IF($J120="",#N/A,SUM(DA$4:DA120,CY$4:CY120,CW$4:CW120))</f>
        <v>-2.0982826596793132</v>
      </c>
      <c r="DD120" s="200" t="str">
        <f t="shared" si="157"/>
        <v/>
      </c>
      <c r="DE120" s="203">
        <f>IF($J120="",#N/A,SUM(DD$4:DD120))</f>
        <v>0.4905246481018824</v>
      </c>
      <c r="DF120" s="204" t="str">
        <f t="shared" si="158"/>
        <v/>
      </c>
      <c r="DG120" s="204">
        <f>IF($J120="",#N/A,SUM(DF$4:DF120))</f>
        <v>0.77374072477919809</v>
      </c>
      <c r="DH120" s="205" t="str">
        <f t="shared" si="159"/>
        <v/>
      </c>
      <c r="DI120" s="205">
        <f>IF($J120="",#N/A,SUM(DH$4:DH120))</f>
        <v>-1.3154755601364099</v>
      </c>
      <c r="DJ120" s="205">
        <f>IF($J120="",#N/A,SUM(DH$4:DH120,DF$4:DF120,DD$4:DD120))</f>
        <v>-5.1210187255329387E-2</v>
      </c>
      <c r="DK120" s="200" t="str">
        <f t="shared" si="160"/>
        <v/>
      </c>
      <c r="DL120" s="203">
        <f>IF($J120="",#N/A,SUM(DK$4:DK120))</f>
        <v>-1.2097286851272664</v>
      </c>
      <c r="DM120" s="204" t="str">
        <f t="shared" si="161"/>
        <v/>
      </c>
      <c r="DN120" s="204">
        <f>IF($J120="",#N/A,SUM(DM$4:DM120))</f>
        <v>1.1910608267574658</v>
      </c>
      <c r="DO120" s="205" t="str">
        <f t="shared" si="162"/>
        <v/>
      </c>
      <c r="DP120" s="205">
        <f>IF($J120="",#N/A,SUM(DO$4:DO120))</f>
        <v>1.3495058802125319</v>
      </c>
      <c r="DQ120" s="205">
        <f>IF($J120="",#N/A,SUM(DO$4:DO120,DM$4:DM120,DK$4:DK120))</f>
        <v>1.3308380218427318</v>
      </c>
      <c r="DR120" s="200" t="str">
        <f t="shared" si="163"/>
        <v/>
      </c>
      <c r="DS120" s="203">
        <f>IF($J120="",#N/A,SUM(DR$4:DR120))</f>
        <v>-0.55950946427675097</v>
      </c>
      <c r="DT120" s="204" t="str">
        <f t="shared" si="164"/>
        <v/>
      </c>
      <c r="DU120" s="204">
        <f>IF($J120="",#N/A,SUM(DT$4:DT120))</f>
        <v>-2.8875364672150718</v>
      </c>
      <c r="DV120" s="205" t="str">
        <f t="shared" si="165"/>
        <v/>
      </c>
      <c r="DW120" s="205">
        <f>IF($J120="",#N/A,SUM(DV$4:DV120))</f>
        <v>-2.6814706788983136</v>
      </c>
      <c r="DX120" s="205">
        <f>IF($J120="",#N/A,SUM(DV$4:DV120,DT$4:DT120,DR$4:DR120))</f>
        <v>-6.1285166103901361</v>
      </c>
      <c r="DY120" s="200" t="str">
        <f t="shared" si="166"/>
        <v/>
      </c>
      <c r="DZ120" s="203">
        <f>IF($J120="",#N/A,SUM(DY$4:DY120))</f>
        <v>-1.2652059025281583</v>
      </c>
      <c r="EA120" s="204" t="str">
        <f t="shared" si="167"/>
        <v/>
      </c>
      <c r="EB120" s="204">
        <f>IF($J120="",#N/A,SUM(EA$4:EA120))</f>
        <v>-0.36153038830642437</v>
      </c>
      <c r="EC120" s="205" t="str">
        <f t="shared" si="168"/>
        <v/>
      </c>
      <c r="ED120" s="205">
        <f>IF($J120="",#N/A,SUM(EC$4:EC120))</f>
        <v>1.7103671484331777</v>
      </c>
      <c r="EE120" s="205">
        <f>IF($J120="",#N/A,SUM(EC$4:EC120,EA$4:EA120,DY$4:DY120))</f>
        <v>8.3630857598595065E-2</v>
      </c>
      <c r="EF120" s="200" t="str">
        <f t="shared" si="169"/>
        <v/>
      </c>
      <c r="EG120" s="203">
        <f>IF($J120="",#N/A,SUM(EF$4:EF120))</f>
        <v>0</v>
      </c>
      <c r="EH120" s="204" t="str">
        <f t="shared" si="170"/>
        <v/>
      </c>
      <c r="EI120" s="204">
        <f>IF($J120="",#N/A,SUM(EH$4:EH120))</f>
        <v>-2.6174111635897193</v>
      </c>
      <c r="EJ120" s="205" t="str">
        <f t="shared" si="171"/>
        <v/>
      </c>
      <c r="EK120" s="205">
        <f>IF($J120="",#N/A,SUM(EJ$4:EJ120))</f>
        <v>2.7220749737133643</v>
      </c>
      <c r="EL120" s="205">
        <f>IF($J120="",#N/A,SUM(EJ$4:EJ120,EH$4:EH120,EF$4:EF120))</f>
        <v>0.10466381012364553</v>
      </c>
      <c r="EM120" s="200" t="str">
        <f t="shared" si="172"/>
        <v/>
      </c>
      <c r="EN120" s="203">
        <f>IF($J120="",#N/A,SUM(EM$4:EM120))</f>
        <v>0</v>
      </c>
      <c r="EO120" s="204">
        <f t="shared" si="173"/>
        <v>0.47819971870604788</v>
      </c>
      <c r="EP120" s="204">
        <f>IF($J120="",#N/A,SUM(EO$4:EO120))</f>
        <v>2.0778005488303037</v>
      </c>
      <c r="EQ120" s="205" t="str">
        <f t="shared" si="174"/>
        <v/>
      </c>
      <c r="ER120" s="205">
        <f>IF($J120="",#N/A,SUM(EQ$4:EQ120))</f>
        <v>0.4926597949853756</v>
      </c>
      <c r="ES120" s="205">
        <f>IF($J120="",#N/A,SUM(EQ$4:EQ120,EO$4:EO120,EM$4:EM120))</f>
        <v>2.5704603438156792</v>
      </c>
      <c r="ET120" s="200" t="str">
        <f t="shared" si="175"/>
        <v/>
      </c>
      <c r="EU120" s="203">
        <f>IF($J120="",#N/A,SUM(ET$4:ET120))</f>
        <v>0</v>
      </c>
      <c r="EV120" s="204" t="str">
        <f t="shared" si="176"/>
        <v/>
      </c>
      <c r="EW120" s="204">
        <f>IF($J120="",#N/A,SUM(EV$4:EV120))</f>
        <v>-0.73430241270792684</v>
      </c>
      <c r="EX120" s="205" t="str">
        <f t="shared" si="177"/>
        <v/>
      </c>
      <c r="EY120" s="205">
        <f>IF($J120="",#N/A,SUM(EX$4:EX120))</f>
        <v>2.0960106423519864E-3</v>
      </c>
      <c r="EZ120" s="205">
        <f>IF($J120="",#N/A,SUM(EX$4:EX120,EV$4:EV120,ET$4:ET120))</f>
        <v>-0.73220640206557486</v>
      </c>
      <c r="FA120" s="200" t="str">
        <f t="shared" si="178"/>
        <v/>
      </c>
      <c r="FB120" s="203">
        <f>IF($J120="",#N/A,SUM(FA$4:FA120))</f>
        <v>0</v>
      </c>
      <c r="FC120" s="204" t="str">
        <f t="shared" si="179"/>
        <v/>
      </c>
      <c r="FD120" s="204">
        <f>IF($J120="",#N/A,SUM(FC$4:FC120))</f>
        <v>1.6839191319663924</v>
      </c>
      <c r="FE120" s="205" t="str">
        <f t="shared" si="180"/>
        <v/>
      </c>
      <c r="FF120" s="205">
        <f>IF($J120="",#N/A,SUM(FE$4:FE120))</f>
        <v>-0.28811149078748233</v>
      </c>
      <c r="FG120" s="205">
        <f>IF($J120="",#N/A,SUM(FE$4:FE120,FC$4:FC120,FA$4:FA120))</f>
        <v>1.3958076411789102</v>
      </c>
      <c r="FH120" s="200" t="str">
        <f t="shared" si="181"/>
        <v/>
      </c>
      <c r="FI120" s="203">
        <f>IF($J120="",#N/A,SUM(FH$4:FH120))</f>
        <v>0</v>
      </c>
      <c r="FJ120" s="204" t="str">
        <f t="shared" si="182"/>
        <v/>
      </c>
      <c r="FK120" s="204">
        <f>IF($J120="",#N/A,SUM(FJ$4:FJ120))</f>
        <v>0</v>
      </c>
      <c r="FL120" s="205" t="str">
        <f t="shared" si="183"/>
        <v/>
      </c>
      <c r="FM120" s="205">
        <f>IF($J120="",#N/A,SUM(FL$4:FL120))</f>
        <v>0</v>
      </c>
      <c r="FN120" s="205">
        <f>IF($J120="",#N/A,SUM(FL$4:FL120,FJ$4:FJ120,FH$4:FH120))</f>
        <v>0</v>
      </c>
      <c r="FO120" s="200" t="str">
        <f t="shared" si="184"/>
        <v/>
      </c>
      <c r="FP120" s="203">
        <f>IF($J120="",#N/A,SUM(FO$4:FO120))</f>
        <v>0</v>
      </c>
      <c r="FQ120" s="204" t="str">
        <f t="shared" si="185"/>
        <v/>
      </c>
      <c r="FR120" s="204">
        <f>IF($J120="",#N/A,SUM(FQ$4:FQ120))</f>
        <v>0</v>
      </c>
      <c r="FS120" s="205" t="str">
        <f t="shared" si="186"/>
        <v/>
      </c>
      <c r="FT120" s="205">
        <f>IF($J120="",#N/A,SUM(FS$4:FS120))</f>
        <v>0</v>
      </c>
      <c r="FU120" s="205">
        <f>IF($J120="",#N/A,SUM(FS$4:FS120,FQ$4:FQ120,FO$4:FO120))</f>
        <v>0</v>
      </c>
      <c r="FV120" s="200" t="str">
        <f t="shared" si="187"/>
        <v/>
      </c>
      <c r="FW120" s="203">
        <f>IF($J120="",#N/A,SUM(FV$4:FV120))</f>
        <v>6.6834991831277585E-2</v>
      </c>
      <c r="FX120" s="204" t="str">
        <f t="shared" si="188"/>
        <v/>
      </c>
      <c r="FY120" s="204">
        <f>IF($J120="",#N/A,SUM(FX$4:FX120))</f>
        <v>0</v>
      </c>
      <c r="FZ120" s="205" t="str">
        <f t="shared" si="189"/>
        <v/>
      </c>
      <c r="GA120" s="205">
        <f>IF($J120="",#N/A,SUM(FZ$4:FZ120))</f>
        <v>-0.22620195801622528</v>
      </c>
      <c r="GB120" s="205">
        <f>IF($J120="",#N/A,SUM(FZ$4:FZ120,FX$4:FX120,FV$4:FV120))</f>
        <v>-0.15936696618494769</v>
      </c>
      <c r="GC120" s="200" t="str">
        <f t="shared" si="190"/>
        <v/>
      </c>
      <c r="GD120" s="203">
        <f>IF($J120="",#N/A,SUM(GC$4:GC120))</f>
        <v>0</v>
      </c>
      <c r="GE120" s="204" t="str">
        <f t="shared" si="191"/>
        <v/>
      </c>
      <c r="GF120" s="204">
        <f>IF($J120="",#N/A,SUM(GE$4:GE120))</f>
        <v>0</v>
      </c>
      <c r="GG120" s="205" t="str">
        <f t="shared" si="192"/>
        <v/>
      </c>
      <c r="GH120" s="205">
        <f>IF($J120="",#N/A,SUM(GG$4:GG120))</f>
        <v>-2.9368362277223206</v>
      </c>
      <c r="GI120" s="205">
        <f>IF($J120="",#N/A,SUM(GG$4:GG120,GE$4:GE120,GC$4:GC120))</f>
        <v>-2.9368362277223206</v>
      </c>
      <c r="GJ120" s="200" t="str">
        <f t="shared" si="193"/>
        <v/>
      </c>
      <c r="GK120" s="203">
        <f>IF($J120="",#N/A,SUM(GJ$4:GJ120))</f>
        <v>0</v>
      </c>
      <c r="GL120" s="204" t="str">
        <f t="shared" si="194"/>
        <v/>
      </c>
      <c r="GM120" s="204">
        <f>IF($J120="",#N/A,SUM(GL$4:GL120))</f>
        <v>-0.4054764861692941</v>
      </c>
      <c r="GN120" s="205" t="str">
        <f t="shared" si="195"/>
        <v/>
      </c>
      <c r="GO120" s="205">
        <f>IF($J120="",#N/A,SUM(GN$4:GN120))</f>
        <v>0</v>
      </c>
      <c r="GP120" s="205">
        <f>IF($J120="",#N/A,SUM(GN$4:GN120,GL$4:GL120,GJ$4:GJ120))</f>
        <v>-0.4054764861692941</v>
      </c>
      <c r="GS120" s="303">
        <f t="shared" si="214"/>
        <v>0.47819971870604788</v>
      </c>
      <c r="GT120" s="303">
        <f>IF(GS120="",NA(),SUM($GS$4:GS120))</f>
        <v>-3.0384066164117338</v>
      </c>
      <c r="GU120" s="303" t="str">
        <f t="shared" si="196"/>
        <v/>
      </c>
      <c r="GV120" s="303" t="e">
        <f>IF(GU120="",NA(),SUM($GU$4:GU120))</f>
        <v>#N/A</v>
      </c>
      <c r="GW120" s="303" t="str">
        <f t="shared" si="197"/>
        <v/>
      </c>
      <c r="GX120" s="303" t="e">
        <f>IF(GW120="",NA(),SUM($GW$4:GW120))</f>
        <v>#N/A</v>
      </c>
      <c r="GY120" s="303">
        <f t="shared" si="198"/>
        <v>0.47819971870604788</v>
      </c>
      <c r="GZ120" s="303">
        <f>IF(GY120="",NA(),SUM($GY$4:GY120))</f>
        <v>-1.5911075303086568</v>
      </c>
      <c r="HA120" s="303" t="str">
        <f t="shared" si="199"/>
        <v/>
      </c>
      <c r="HB120" s="303" t="e">
        <f>IF(HA120="",NA(),SUM($HA$4:HA120))</f>
        <v>#N/A</v>
      </c>
      <c r="HC120" s="303" t="str">
        <f t="shared" si="200"/>
        <v/>
      </c>
      <c r="HD120" s="303" t="e">
        <f>IF(HC120="",NA(),SUM($HC$4:HC120))</f>
        <v>#N/A</v>
      </c>
      <c r="HE120" s="303" t="str">
        <f t="shared" si="201"/>
        <v/>
      </c>
      <c r="HF120" s="303" t="e">
        <f>IF(HE120="",NA(),SUM($HE$4:HE120))</f>
        <v>#N/A</v>
      </c>
      <c r="HG120" s="303" t="str">
        <f t="shared" si="202"/>
        <v/>
      </c>
      <c r="HH120" s="303" t="e">
        <f>IF(HG120="",NA(),SUM($HG$4:HG120))</f>
        <v>#N/A</v>
      </c>
      <c r="HI120" s="304">
        <f t="shared" si="215"/>
        <v>-0.53164556962025156</v>
      </c>
      <c r="HJ120" s="304">
        <f>IF($J120="",#N/A,SUM(HI$4:$HI120))</f>
        <v>-3.4655048617092032</v>
      </c>
      <c r="HK120" s="303" t="str">
        <f t="shared" si="203"/>
        <v/>
      </c>
      <c r="HL120" s="303">
        <f>IF($J120="",#N/A,SUM($HK$4:HK120))</f>
        <v>-5.2584365376693087</v>
      </c>
      <c r="HM120" s="303" t="str">
        <f t="shared" si="204"/>
        <v/>
      </c>
      <c r="HN120" s="303">
        <f>IF($J120="",#N/A,SUM($HM$4:HM120))</f>
        <v>0.71812545963587882</v>
      </c>
      <c r="HO120" s="303" t="str">
        <f t="shared" si="205"/>
        <v/>
      </c>
      <c r="HP120" s="303">
        <f>IF($J120="",#N/A,SUM($HO$4:HO120))</f>
        <v>-1.004778156728636</v>
      </c>
      <c r="HQ120" s="303" t="str">
        <f t="shared" si="206"/>
        <v/>
      </c>
      <c r="HR120" s="303">
        <f>IF($J120="",#N/A,SUM($HQ$4:HQ120))</f>
        <v>-7.2788844191213391</v>
      </c>
      <c r="HS120" s="303" t="str">
        <f t="shared" si="207"/>
        <v/>
      </c>
      <c r="HT120" s="303">
        <f>IF($J120="",#N/A,SUM($HS$4:HS120))</f>
        <v>6.3730633568266706</v>
      </c>
      <c r="HU120" s="305">
        <f t="shared" si="208"/>
        <v>-5.3445850914203646E-2</v>
      </c>
      <c r="HV120" s="305">
        <f>IF($J120="",#N/A,SUM(HU$4:$HU120))</f>
        <v>-12.476970893284868</v>
      </c>
    </row>
    <row r="121" spans="1:230" x14ac:dyDescent="0.25">
      <c r="A121" s="59" t="s">
        <v>1545</v>
      </c>
      <c r="B121" s="289" t="s">
        <v>4539</v>
      </c>
      <c r="C121" s="230">
        <f t="shared" si="109"/>
        <v>2</v>
      </c>
      <c r="D121" s="220" t="str">
        <f>_xlfn.XLOOKUP(A121,[1]SP500!$A$2:$A$502,[1]SP500!$D$2:$D$502,"N")</f>
        <v>Y</v>
      </c>
      <c r="E121" s="59" t="str">
        <f>IFERROR(_xlfn.XLOOKUP(A121,[1]SP500!$A$2:$A$655,[1]SP500!$B$2:$B$655),"")</f>
        <v>SMH</v>
      </c>
      <c r="F121" s="290">
        <v>45775</v>
      </c>
      <c r="G121" s="59" t="str">
        <f t="shared" si="110"/>
        <v>AMC</v>
      </c>
      <c r="H121" s="59" t="str">
        <f t="shared" si="111"/>
        <v>s</v>
      </c>
      <c r="I121" s="376">
        <v>76.83</v>
      </c>
      <c r="J121" s="278">
        <v>75.040000000000006</v>
      </c>
      <c r="K121" s="60">
        <f t="shared" si="112"/>
        <v>-2.3298190810881064E-2</v>
      </c>
      <c r="L121" s="68">
        <f t="shared" si="113"/>
        <v>23.29819081088101</v>
      </c>
      <c r="M121" s="62">
        <f t="shared" si="114"/>
        <v>0</v>
      </c>
      <c r="N121" s="63">
        <f t="shared" si="115"/>
        <v>23.29819081088101</v>
      </c>
      <c r="O121" s="62">
        <f>IF(N121="",#N/A,SUM($N$4:N121))</f>
        <v>-345.26363589938808</v>
      </c>
      <c r="P121" s="64">
        <f t="shared" si="209"/>
        <v>0.38830318018135018</v>
      </c>
      <c r="Q121" s="183">
        <f>IF($N121="",#N/A,SUM($P$4:P121))</f>
        <v>-2.1722525543375828</v>
      </c>
      <c r="R121" s="279">
        <f t="shared" si="116"/>
        <v>2.9038310362771553</v>
      </c>
      <c r="S121" s="59" t="str">
        <f t="shared" si="117"/>
        <v>Dwn</v>
      </c>
      <c r="T121" s="59" t="s">
        <v>4462</v>
      </c>
      <c r="U121" s="61">
        <f t="shared" si="118"/>
        <v>76.83</v>
      </c>
      <c r="V121" s="61" t="s">
        <v>4458</v>
      </c>
      <c r="W121" s="142">
        <f>IF(I121="","",1000/I121)</f>
        <v>13.015749056358194</v>
      </c>
      <c r="X121" s="146">
        <f t="shared" si="119"/>
        <v>1000</v>
      </c>
      <c r="Y121" s="142">
        <f t="shared" si="120"/>
        <v>13.015749056358194</v>
      </c>
      <c r="Z121" s="278">
        <v>75.040000000000006</v>
      </c>
      <c r="AA121" s="63">
        <f t="shared" si="121"/>
        <v>23.29819081088101</v>
      </c>
      <c r="AB121" s="63">
        <f t="shared" si="122"/>
        <v>25.250553169334808</v>
      </c>
      <c r="AC121" s="125">
        <v>74.89</v>
      </c>
      <c r="AD121" s="148">
        <f t="shared" si="123"/>
        <v>25.250553169334808</v>
      </c>
      <c r="AE121" s="544">
        <f t="shared" si="124"/>
        <v>0.42084255282224681</v>
      </c>
      <c r="AF121" s="62">
        <f>IF($AC121="",#N/A,SUM(AD$4:AD121))</f>
        <v>-852.3104120024168</v>
      </c>
      <c r="AG121" s="63">
        <f t="shared" si="125"/>
        <v>1.9523623584537972</v>
      </c>
      <c r="AH121" s="61" t="s">
        <v>2507</v>
      </c>
      <c r="AI121" s="64">
        <f t="shared" si="126"/>
        <v>0.38830318018135018</v>
      </c>
      <c r="AJ121" s="177">
        <f>IF(AI121="",#N/A,SUM($AI$4:AI121))</f>
        <v>-5.0760835906147381</v>
      </c>
      <c r="AK121" s="62">
        <f t="shared" si="127"/>
        <v>23.29819081088101</v>
      </c>
      <c r="AL121" s="351">
        <f>IF(AI121="",#N/A,IF(AH121="Skip",SUM($AK$4:AK121),SUM($AK$4:AK121)))</f>
        <v>-545.88740850718671</v>
      </c>
      <c r="AM121" s="65">
        <f t="shared" si="210"/>
        <v>0.42084255282224681</v>
      </c>
      <c r="AN121" s="210"/>
      <c r="AO121" s="64" t="str">
        <f t="shared" si="128"/>
        <v/>
      </c>
      <c r="AP121" s="64">
        <f>IF($AC121="",#N/A,SUM(AO$4:AO121))</f>
        <v>0.32595307652855454</v>
      </c>
      <c r="AQ121" s="64" t="str">
        <f t="shared" si="129"/>
        <v/>
      </c>
      <c r="AR121" s="64">
        <f>IF($AC121="",#N/A,SUM(AQ$4:AQ121))</f>
        <v>-2.7637371090917728</v>
      </c>
      <c r="AS121" s="64">
        <f t="shared" si="130"/>
        <v>0.42084255282224681</v>
      </c>
      <c r="AT121" s="64">
        <f>IF($AC121="",#N/A,SUM(AS$4:AS121))</f>
        <v>-9.6183443078994078</v>
      </c>
      <c r="AU121" s="62" t="str">
        <f t="shared" si="211"/>
        <v/>
      </c>
      <c r="AV121" s="62">
        <f>IF($AC121="",#N/A,SUM(AU$4:AU121))</f>
        <v>-61.018793548749386</v>
      </c>
      <c r="AW121" s="62" t="str">
        <f t="shared" si="212"/>
        <v/>
      </c>
      <c r="AX121" s="62">
        <f>IF($AC121="",#N/A,SUM(AW$4:AW121))</f>
        <v>-173.34000000000015</v>
      </c>
      <c r="AY121" s="62">
        <f t="shared" si="213"/>
        <v>25.250553169334808</v>
      </c>
      <c r="AZ121" s="62">
        <f>IF($AC121="",#N/A,SUM(AY$4:AY121))</f>
        <v>-617.95161845366727</v>
      </c>
      <c r="BA121" s="62">
        <f>IF(AD121="",#N/A,SUM($AD$4:AD121))</f>
        <v>-852.3104120024168</v>
      </c>
      <c r="BC121" s="59" t="str">
        <f t="shared" si="131"/>
        <v/>
      </c>
      <c r="BD121" s="59" t="str">
        <f t="shared" si="132"/>
        <v/>
      </c>
      <c r="BE121" s="59" t="str">
        <f t="shared" si="133"/>
        <v/>
      </c>
      <c r="BF121" s="59" t="str">
        <f t="shared" si="134"/>
        <v>Short</v>
      </c>
      <c r="BG121" s="59">
        <f t="shared" si="135"/>
        <v>1</v>
      </c>
      <c r="BH121" s="59" t="str">
        <f t="shared" si="136"/>
        <v/>
      </c>
      <c r="BI121" s="59" t="str">
        <f t="shared" si="137"/>
        <v/>
      </c>
      <c r="BK121" s="65">
        <f t="shared" si="217"/>
        <v>-4.1733081704563454E-2</v>
      </c>
      <c r="BL121" s="65">
        <f t="shared" si="216"/>
        <v>-1.7912275207862729E-2</v>
      </c>
      <c r="BM121" s="65">
        <f>IFERROR(Q121/COUNTA($J$4:J121),#N/A)</f>
        <v>-1.8408919952013412E-2</v>
      </c>
      <c r="BO121" s="489" t="e">
        <f>IF(J121="",#N/A,IF(S121="SW",(COUNTIFS(K$4:$K121,"&gt;0",S$4:$S121,"SW")/COUNTIF(S$4:$S121,"SW")),#N/A))</f>
        <v>#N/A</v>
      </c>
      <c r="BP121" s="489">
        <f>IF($J121="",#N/A,IF($S121="DWN",(COUNTIFS($K$4:$K121,"&lt;0",$S$4:$S121,"DWN")/COUNTIF($S$4:$S121,"DWN")),#N/A))</f>
        <v>0.56521739130434778</v>
      </c>
      <c r="BQ121" s="489" t="e">
        <f>IF($J121="",#N/A,IF($S121="UP",(COUNTIFS($K$4:$K121,"&gt;0",$S$4:$S121,"UP")/COUNTIF($S$4:$S121,"UP")),#N/A))</f>
        <v>#N/A</v>
      </c>
      <c r="BR121" s="489">
        <f>IF(J121="",#N/A,COUNTIF($K$4:K121,"&gt;0")/COUNT($J$4:J121))</f>
        <v>0.46610169491525422</v>
      </c>
      <c r="BS121" s="65" t="str">
        <f t="shared" si="138"/>
        <v/>
      </c>
      <c r="BT121" s="65" t="str">
        <f t="shared" si="139"/>
        <v/>
      </c>
      <c r="BU121" s="65">
        <f t="shared" si="140"/>
        <v>0.38830318018135018</v>
      </c>
      <c r="BV121" s="65" t="str">
        <f t="shared" si="141"/>
        <v/>
      </c>
      <c r="BW121" s="128" t="str">
        <f t="shared" si="142"/>
        <v/>
      </c>
      <c r="BX121" s="128">
        <f>IF($J121="",#N/A,SUM($BW$4:BW121))</f>
        <v>-155.96500000000026</v>
      </c>
      <c r="BY121" s="131">
        <f t="shared" si="143"/>
        <v>23.29819081088101</v>
      </c>
      <c r="BZ121" s="131">
        <f>IF($J121="",#N/A,SUM($BY$4:BY121))</f>
        <v>-121.62065961066673</v>
      </c>
      <c r="CA121" s="133" t="str">
        <f t="shared" si="144"/>
        <v/>
      </c>
      <c r="CB121" s="133">
        <f>IF($J121="",#N/A,SUM($CA$4:CA121))</f>
        <v>-67.677976288721084</v>
      </c>
      <c r="CC121" s="194" t="str">
        <f t="shared" si="145"/>
        <v/>
      </c>
      <c r="CD121" s="194">
        <f>IF($J121="",#N/A,SUM($CC$4:CC121))</f>
        <v>-2.4770844119990163</v>
      </c>
      <c r="CE121" s="195">
        <f t="shared" si="146"/>
        <v>0.38830318018135018</v>
      </c>
      <c r="CF121" s="195">
        <f>IF($J121="",#N/A,SUM($CE$4:CE121))</f>
        <v>-0.92694228116178978</v>
      </c>
      <c r="CG121" s="196" t="str">
        <f t="shared" si="147"/>
        <v/>
      </c>
      <c r="CH121" s="193">
        <f>IF($J121="",#N/A,SUM($CG$4:CG121))</f>
        <v>1.2317741388232271</v>
      </c>
      <c r="CI121" s="200" t="str">
        <f t="shared" si="148"/>
        <v/>
      </c>
      <c r="CJ121" s="203">
        <f>IF($J121="",#N/A,SUM(CI$4:CI121))</f>
        <v>0</v>
      </c>
      <c r="CK121" s="204" t="str">
        <f t="shared" si="149"/>
        <v/>
      </c>
      <c r="CL121" s="204">
        <f>IF($J121="",#N/A,SUM(CK$4:CK121))</f>
        <v>1.8934431343190481</v>
      </c>
      <c r="CM121" s="205" t="str">
        <f t="shared" si="150"/>
        <v/>
      </c>
      <c r="CN121" s="205">
        <f>IF($J121="",#N/A,SUM(CM$4:CM121))</f>
        <v>2.5724959960693745</v>
      </c>
      <c r="CO121" s="205">
        <f>IF($J121="",#N/A,SUM(CM$4:CM121,CK$4:CK121,CI$4:CI121))</f>
        <v>4.4659391303884224</v>
      </c>
      <c r="CP121" s="200" t="str">
        <f t="shared" si="151"/>
        <v/>
      </c>
      <c r="CQ121" s="203">
        <f>IF($J121="",#N/A,SUM(CP$4:CP121))</f>
        <v>0</v>
      </c>
      <c r="CR121" s="204" t="str">
        <f t="shared" si="152"/>
        <v/>
      </c>
      <c r="CS121" s="204">
        <f>IF($J121="",#N/A,SUM(CR$4:CR121))</f>
        <v>0</v>
      </c>
      <c r="CT121" s="205" t="str">
        <f t="shared" si="153"/>
        <v/>
      </c>
      <c r="CU121" s="205">
        <f>IF($J121="",#N/A,SUM(CT$4:CT121))</f>
        <v>0</v>
      </c>
      <c r="CV121" s="205">
        <f>IF($J121="",#N/A,SUM(CT$4:CT121,CR$4:CR121,CP$4:CP121))</f>
        <v>0</v>
      </c>
      <c r="CW121" s="200" t="str">
        <f t="shared" si="154"/>
        <v/>
      </c>
      <c r="CX121" s="203">
        <f>IF($J121="",#N/A,SUM(CW$4:CW121))</f>
        <v>0</v>
      </c>
      <c r="CY121" s="204" t="str">
        <f t="shared" si="155"/>
        <v/>
      </c>
      <c r="CZ121" s="204">
        <f>IF($J121="",#N/A,SUM(CY$4:CY121))</f>
        <v>-1.9289529100071134</v>
      </c>
      <c r="DA121" s="205" t="str">
        <f t="shared" si="156"/>
        <v/>
      </c>
      <c r="DB121" s="205">
        <f>IF($J121="",#N/A,SUM(DA$4:DA121))</f>
        <v>-0.16932974967219971</v>
      </c>
      <c r="DC121" s="205">
        <f>IF($J121="",#N/A,SUM(DA$4:DA121,CY$4:CY121,CW$4:CW121))</f>
        <v>-2.0982826596793132</v>
      </c>
      <c r="DD121" s="200" t="str">
        <f t="shared" si="157"/>
        <v/>
      </c>
      <c r="DE121" s="203">
        <f>IF($J121="",#N/A,SUM(DD$4:DD121))</f>
        <v>0.4905246481018824</v>
      </c>
      <c r="DF121" s="204" t="str">
        <f t="shared" si="158"/>
        <v/>
      </c>
      <c r="DG121" s="204">
        <f>IF($J121="",#N/A,SUM(DF$4:DF121))</f>
        <v>0.77374072477919809</v>
      </c>
      <c r="DH121" s="205" t="str">
        <f t="shared" si="159"/>
        <v/>
      </c>
      <c r="DI121" s="205">
        <f>IF($J121="",#N/A,SUM(DH$4:DH121))</f>
        <v>-1.3154755601364099</v>
      </c>
      <c r="DJ121" s="205">
        <f>IF($J121="",#N/A,SUM(DH$4:DH121,DF$4:DF121,DD$4:DD121))</f>
        <v>-5.1210187255329387E-2</v>
      </c>
      <c r="DK121" s="200" t="str">
        <f t="shared" si="160"/>
        <v/>
      </c>
      <c r="DL121" s="203">
        <f>IF($J121="",#N/A,SUM(DK$4:DK121))</f>
        <v>-1.2097286851272664</v>
      </c>
      <c r="DM121" s="204" t="str">
        <f t="shared" si="161"/>
        <v/>
      </c>
      <c r="DN121" s="204">
        <f>IF($J121="",#N/A,SUM(DM$4:DM121))</f>
        <v>1.1910608267574658</v>
      </c>
      <c r="DO121" s="205" t="str">
        <f t="shared" si="162"/>
        <v/>
      </c>
      <c r="DP121" s="205">
        <f>IF($J121="",#N/A,SUM(DO$4:DO121))</f>
        <v>1.3495058802125319</v>
      </c>
      <c r="DQ121" s="205">
        <f>IF($J121="",#N/A,SUM(DO$4:DO121,DM$4:DM121,DK$4:DK121))</f>
        <v>1.3308380218427318</v>
      </c>
      <c r="DR121" s="200" t="str">
        <f t="shared" si="163"/>
        <v/>
      </c>
      <c r="DS121" s="203">
        <f>IF($J121="",#N/A,SUM(DR$4:DR121))</f>
        <v>-0.55950946427675097</v>
      </c>
      <c r="DT121" s="204" t="str">
        <f t="shared" si="164"/>
        <v/>
      </c>
      <c r="DU121" s="204">
        <f>IF($J121="",#N/A,SUM(DT$4:DT121))</f>
        <v>-2.8875364672150718</v>
      </c>
      <c r="DV121" s="205" t="str">
        <f t="shared" si="165"/>
        <v/>
      </c>
      <c r="DW121" s="205">
        <f>IF($J121="",#N/A,SUM(DV$4:DV121))</f>
        <v>-2.6814706788983136</v>
      </c>
      <c r="DX121" s="205">
        <f>IF($J121="",#N/A,SUM(DV$4:DV121,DT$4:DT121,DR$4:DR121))</f>
        <v>-6.1285166103901361</v>
      </c>
      <c r="DY121" s="200" t="str">
        <f t="shared" si="166"/>
        <v/>
      </c>
      <c r="DZ121" s="203">
        <f>IF($J121="",#N/A,SUM(DY$4:DY121))</f>
        <v>-1.2652059025281583</v>
      </c>
      <c r="EA121" s="204" t="str">
        <f t="shared" si="167"/>
        <v/>
      </c>
      <c r="EB121" s="204">
        <f>IF($J121="",#N/A,SUM(EA$4:EA121))</f>
        <v>-0.36153038830642437</v>
      </c>
      <c r="EC121" s="205" t="str">
        <f t="shared" si="168"/>
        <v/>
      </c>
      <c r="ED121" s="205">
        <f>IF($J121="",#N/A,SUM(EC$4:EC121))</f>
        <v>1.7103671484331777</v>
      </c>
      <c r="EE121" s="205">
        <f>IF($J121="",#N/A,SUM(EC$4:EC121,EA$4:EA121,DY$4:DY121))</f>
        <v>8.3630857598595065E-2</v>
      </c>
      <c r="EF121" s="200" t="str">
        <f t="shared" si="169"/>
        <v/>
      </c>
      <c r="EG121" s="203">
        <f>IF($J121="",#N/A,SUM(EF$4:EF121))</f>
        <v>0</v>
      </c>
      <c r="EH121" s="204" t="str">
        <f t="shared" si="170"/>
        <v/>
      </c>
      <c r="EI121" s="204">
        <f>IF($J121="",#N/A,SUM(EH$4:EH121))</f>
        <v>-2.6174111635897193</v>
      </c>
      <c r="EJ121" s="205" t="str">
        <f t="shared" si="171"/>
        <v/>
      </c>
      <c r="EK121" s="205">
        <f>IF($J121="",#N/A,SUM(EJ$4:EJ121))</f>
        <v>2.7220749737133643</v>
      </c>
      <c r="EL121" s="205">
        <f>IF($J121="",#N/A,SUM(EJ$4:EJ121,EH$4:EH121,EF$4:EF121))</f>
        <v>0.10466381012364553</v>
      </c>
      <c r="EM121" s="200" t="str">
        <f t="shared" si="172"/>
        <v/>
      </c>
      <c r="EN121" s="203">
        <f>IF($J121="",#N/A,SUM(EM$4:EM121))</f>
        <v>0</v>
      </c>
      <c r="EO121" s="204" t="str">
        <f t="shared" si="173"/>
        <v/>
      </c>
      <c r="EP121" s="204">
        <f>IF($J121="",#N/A,SUM(EO$4:EO121))</f>
        <v>2.0778005488303037</v>
      </c>
      <c r="EQ121" s="205" t="str">
        <f t="shared" si="174"/>
        <v/>
      </c>
      <c r="ER121" s="205">
        <f>IF($J121="",#N/A,SUM(EQ$4:EQ121))</f>
        <v>0.4926597949853756</v>
      </c>
      <c r="ES121" s="205">
        <f>IF($J121="",#N/A,SUM(EQ$4:EQ121,EO$4:EO121,EM$4:EM121))</f>
        <v>2.5704603438156792</v>
      </c>
      <c r="ET121" s="200" t="str">
        <f t="shared" si="175"/>
        <v/>
      </c>
      <c r="EU121" s="203">
        <f>IF($J121="",#N/A,SUM(ET$4:ET121))</f>
        <v>0</v>
      </c>
      <c r="EV121" s="204">
        <f t="shared" si="176"/>
        <v>0.38830318018135018</v>
      </c>
      <c r="EW121" s="204">
        <f>IF($J121="",#N/A,SUM(EV$4:EV121))</f>
        <v>-0.34599923252657666</v>
      </c>
      <c r="EX121" s="205" t="str">
        <f t="shared" si="177"/>
        <v/>
      </c>
      <c r="EY121" s="205">
        <f>IF($J121="",#N/A,SUM(EX$4:EX121))</f>
        <v>2.0960106423519864E-3</v>
      </c>
      <c r="EZ121" s="205">
        <f>IF($J121="",#N/A,SUM(EX$4:EX121,EV$4:EV121,ET$4:ET121))</f>
        <v>-0.34390322188422467</v>
      </c>
      <c r="FA121" s="200" t="str">
        <f t="shared" si="178"/>
        <v/>
      </c>
      <c r="FB121" s="203">
        <f>IF($J121="",#N/A,SUM(FA$4:FA121))</f>
        <v>0</v>
      </c>
      <c r="FC121" s="204" t="str">
        <f t="shared" si="179"/>
        <v/>
      </c>
      <c r="FD121" s="204">
        <f>IF($J121="",#N/A,SUM(FC$4:FC121))</f>
        <v>1.6839191319663924</v>
      </c>
      <c r="FE121" s="205" t="str">
        <f t="shared" si="180"/>
        <v/>
      </c>
      <c r="FF121" s="205">
        <f>IF($J121="",#N/A,SUM(FE$4:FE121))</f>
        <v>-0.28811149078748233</v>
      </c>
      <c r="FG121" s="205">
        <f>IF($J121="",#N/A,SUM(FE$4:FE121,FC$4:FC121,FA$4:FA121))</f>
        <v>1.3958076411789102</v>
      </c>
      <c r="FH121" s="200" t="str">
        <f t="shared" si="181"/>
        <v/>
      </c>
      <c r="FI121" s="203">
        <f>IF($J121="",#N/A,SUM(FH$4:FH121))</f>
        <v>0</v>
      </c>
      <c r="FJ121" s="204" t="str">
        <f t="shared" si="182"/>
        <v/>
      </c>
      <c r="FK121" s="204">
        <f>IF($J121="",#N/A,SUM(FJ$4:FJ121))</f>
        <v>0</v>
      </c>
      <c r="FL121" s="205" t="str">
        <f t="shared" si="183"/>
        <v/>
      </c>
      <c r="FM121" s="205">
        <f>IF($J121="",#N/A,SUM(FL$4:FL121))</f>
        <v>0</v>
      </c>
      <c r="FN121" s="205">
        <f>IF($J121="",#N/A,SUM(FL$4:FL121,FJ$4:FJ121,FH$4:FH121))</f>
        <v>0</v>
      </c>
      <c r="FO121" s="200" t="str">
        <f t="shared" si="184"/>
        <v/>
      </c>
      <c r="FP121" s="203">
        <f>IF($J121="",#N/A,SUM(FO$4:FO121))</f>
        <v>0</v>
      </c>
      <c r="FQ121" s="204" t="str">
        <f t="shared" si="185"/>
        <v/>
      </c>
      <c r="FR121" s="204">
        <f>IF($J121="",#N/A,SUM(FQ$4:FQ121))</f>
        <v>0</v>
      </c>
      <c r="FS121" s="205" t="str">
        <f t="shared" si="186"/>
        <v/>
      </c>
      <c r="FT121" s="205">
        <f>IF($J121="",#N/A,SUM(FS$4:FS121))</f>
        <v>0</v>
      </c>
      <c r="FU121" s="205">
        <f>IF($J121="",#N/A,SUM(FS$4:FS121,FQ$4:FQ121,FO$4:FO121))</f>
        <v>0</v>
      </c>
      <c r="FV121" s="200" t="str">
        <f t="shared" si="187"/>
        <v/>
      </c>
      <c r="FW121" s="203">
        <f>IF($J121="",#N/A,SUM(FV$4:FV121))</f>
        <v>6.6834991831277585E-2</v>
      </c>
      <c r="FX121" s="204" t="str">
        <f t="shared" si="188"/>
        <v/>
      </c>
      <c r="FY121" s="204">
        <f>IF($J121="",#N/A,SUM(FX$4:FX121))</f>
        <v>0</v>
      </c>
      <c r="FZ121" s="205" t="str">
        <f t="shared" si="189"/>
        <v/>
      </c>
      <c r="GA121" s="205">
        <f>IF($J121="",#N/A,SUM(FZ$4:FZ121))</f>
        <v>-0.22620195801622528</v>
      </c>
      <c r="GB121" s="205">
        <f>IF($J121="",#N/A,SUM(FZ$4:FZ121,FX$4:FX121,FV$4:FV121))</f>
        <v>-0.15936696618494769</v>
      </c>
      <c r="GC121" s="200" t="str">
        <f t="shared" si="190"/>
        <v/>
      </c>
      <c r="GD121" s="203">
        <f>IF($J121="",#N/A,SUM(GC$4:GC121))</f>
        <v>0</v>
      </c>
      <c r="GE121" s="204" t="str">
        <f t="shared" si="191"/>
        <v/>
      </c>
      <c r="GF121" s="204">
        <f>IF($J121="",#N/A,SUM(GE$4:GE121))</f>
        <v>0</v>
      </c>
      <c r="GG121" s="205" t="str">
        <f t="shared" si="192"/>
        <v/>
      </c>
      <c r="GH121" s="205">
        <f>IF($J121="",#N/A,SUM(GG$4:GG121))</f>
        <v>-2.9368362277223206</v>
      </c>
      <c r="GI121" s="205">
        <f>IF($J121="",#N/A,SUM(GG$4:GG121,GE$4:GE121,GC$4:GC121))</f>
        <v>-2.9368362277223206</v>
      </c>
      <c r="GJ121" s="200" t="str">
        <f t="shared" si="193"/>
        <v/>
      </c>
      <c r="GK121" s="203">
        <f>IF($J121="",#N/A,SUM(GJ$4:GJ121))</f>
        <v>0</v>
      </c>
      <c r="GL121" s="204" t="str">
        <f t="shared" si="194"/>
        <v/>
      </c>
      <c r="GM121" s="204">
        <f>IF($J121="",#N/A,SUM(GL$4:GL121))</f>
        <v>-0.4054764861692941</v>
      </c>
      <c r="GN121" s="205" t="str">
        <f t="shared" si="195"/>
        <v/>
      </c>
      <c r="GO121" s="205">
        <f>IF($J121="",#N/A,SUM(GN$4:GN121))</f>
        <v>0</v>
      </c>
      <c r="GP121" s="205">
        <f>IF($J121="",#N/A,SUM(GN$4:GN121,GL$4:GL121,GJ$4:GJ121))</f>
        <v>-0.4054764861692941</v>
      </c>
      <c r="GS121" s="177">
        <f t="shared" si="214"/>
        <v>0.38830318018135018</v>
      </c>
      <c r="GT121" s="177">
        <f>IF(GS121="",NA(),SUM($GS$4:GS121))</f>
        <v>-2.6501034362303835</v>
      </c>
      <c r="GU121" s="177" t="str">
        <f t="shared" si="196"/>
        <v/>
      </c>
      <c r="GV121" s="177" t="e">
        <f>IF(GU121="",NA(),SUM($GU$4:GU121))</f>
        <v>#N/A</v>
      </c>
      <c r="GW121" s="177" t="str">
        <f t="shared" si="197"/>
        <v/>
      </c>
      <c r="GX121" s="177" t="e">
        <f>IF(GW121="",NA(),SUM($GW$4:GW121))</f>
        <v>#N/A</v>
      </c>
      <c r="GY121" s="177">
        <f t="shared" si="198"/>
        <v>0.38830318018135018</v>
      </c>
      <c r="GZ121" s="177">
        <f>IF(GY121="",NA(),SUM($GY$4:GY121))</f>
        <v>-1.2028043501273067</v>
      </c>
      <c r="HA121" s="177" t="str">
        <f t="shared" si="199"/>
        <v/>
      </c>
      <c r="HB121" s="177" t="e">
        <f>IF(HA121="",NA(),SUM($HA$4:HA121))</f>
        <v>#N/A</v>
      </c>
      <c r="HC121" s="177" t="str">
        <f t="shared" si="200"/>
        <v/>
      </c>
      <c r="HD121" s="177" t="e">
        <f>IF(HC121="",NA(),SUM($HC$4:HC121))</f>
        <v>#N/A</v>
      </c>
      <c r="HE121" s="177" t="str">
        <f t="shared" si="201"/>
        <v/>
      </c>
      <c r="HF121" s="177" t="e">
        <f>IF(HE121="",NA(),SUM($HE$4:HE121))</f>
        <v>#N/A</v>
      </c>
      <c r="HG121" s="177" t="str">
        <f t="shared" si="202"/>
        <v/>
      </c>
      <c r="HH121" s="177" t="e">
        <f>IF(HG121="",NA(),SUM($HG$4:HG121))</f>
        <v>#N/A</v>
      </c>
      <c r="HI121" s="183">
        <f t="shared" si="215"/>
        <v>3.2539372640896624E-2</v>
      </c>
      <c r="HJ121" s="183">
        <f>IF($J121="",#N/A,SUM(HI$4:$HI121))</f>
        <v>-3.4329654890683066</v>
      </c>
      <c r="HK121" s="177" t="str">
        <f t="shared" si="203"/>
        <v/>
      </c>
      <c r="HL121" s="177">
        <f>IF($J121="",#N/A,SUM($HK$4:HK121))</f>
        <v>-5.2584365376693087</v>
      </c>
      <c r="HM121" s="177" t="str">
        <f t="shared" si="204"/>
        <v/>
      </c>
      <c r="HN121" s="177">
        <f>IF($J121="",#N/A,SUM($HM$4:HM121))</f>
        <v>0.71812545963587882</v>
      </c>
      <c r="HO121" s="177" t="str">
        <f t="shared" si="205"/>
        <v/>
      </c>
      <c r="HP121" s="177">
        <f>IF($J121="",#N/A,SUM($HO$4:HO121))</f>
        <v>-1.004778156728636</v>
      </c>
      <c r="HQ121" s="177" t="str">
        <f t="shared" si="206"/>
        <v/>
      </c>
      <c r="HR121" s="177">
        <f>IF($J121="",#N/A,SUM($HQ$4:HQ121))</f>
        <v>-7.2788844191213391</v>
      </c>
      <c r="HS121" s="177" t="str">
        <f t="shared" si="207"/>
        <v/>
      </c>
      <c r="HT121" s="177">
        <f>IF($J121="",#N/A,SUM($HS$4:HS121))</f>
        <v>6.3730633568266706</v>
      </c>
      <c r="HU121" s="64">
        <f t="shared" si="208"/>
        <v>0.42084255282224681</v>
      </c>
      <c r="HV121" s="64">
        <f>IF($J121="",#N/A,SUM(HU$4:$HU121))</f>
        <v>-12.056128340462621</v>
      </c>
    </row>
    <row r="122" spans="1:230" x14ac:dyDescent="0.25">
      <c r="A122" s="51" t="s">
        <v>1497</v>
      </c>
      <c r="B122" s="52" t="s">
        <v>4539</v>
      </c>
      <c r="C122" s="229">
        <f t="shared" si="109"/>
        <v>3</v>
      </c>
      <c r="D122" s="219" t="str">
        <f>_xlfn.XLOOKUP(A122,[1]SP500!$A$2:$A$502,[1]SP500!$D$2:$D$502,"N")</f>
        <v>Y</v>
      </c>
      <c r="E122" s="51" t="str">
        <f>IFERROR(_xlfn.XLOOKUP(A122,[1]SP500!$A$2:$A$655,[1]SP500!$B$2:$B$655),"")</f>
        <v>INS</v>
      </c>
      <c r="F122" s="290">
        <v>45775</v>
      </c>
      <c r="G122" s="51" t="str">
        <f t="shared" si="110"/>
        <v>AMC</v>
      </c>
      <c r="H122" s="51" t="str">
        <f t="shared" si="111"/>
        <v>s</v>
      </c>
      <c r="I122" s="344">
        <v>135.87</v>
      </c>
      <c r="J122" s="124">
        <v>144.21</v>
      </c>
      <c r="K122" s="55">
        <f t="shared" si="112"/>
        <v>6.1382203576948575E-2</v>
      </c>
      <c r="L122" s="67">
        <f t="shared" si="113"/>
        <v>75.060000000000173</v>
      </c>
      <c r="M122" s="57">
        <f t="shared" si="114"/>
        <v>0</v>
      </c>
      <c r="N122" s="102">
        <f t="shared" si="115"/>
        <v>75.060000000000173</v>
      </c>
      <c r="O122" s="57">
        <f>IF(N122="",#N/A,SUM($N$4:N122))</f>
        <v>-270.2036358993879</v>
      </c>
      <c r="P122" s="65">
        <f t="shared" si="209"/>
        <v>1.0230367262824782</v>
      </c>
      <c r="Q122" s="172">
        <f>IF($N122="",#N/A,SUM($P$4:P122))</f>
        <v>-1.1492158280551046</v>
      </c>
      <c r="R122" s="279">
        <f t="shared" si="116"/>
        <v>2.9038310362771558</v>
      </c>
      <c r="S122" s="51" t="str">
        <f t="shared" si="117"/>
        <v>SW</v>
      </c>
      <c r="T122" s="51" t="s">
        <v>2828</v>
      </c>
      <c r="U122" s="56">
        <f t="shared" si="118"/>
        <v>135.87</v>
      </c>
      <c r="V122" s="56" t="s">
        <v>4460</v>
      </c>
      <c r="W122" s="142">
        <v>9</v>
      </c>
      <c r="X122" s="145">
        <f t="shared" si="119"/>
        <v>1222.83</v>
      </c>
      <c r="Y122" s="140">
        <f t="shared" si="120"/>
        <v>9</v>
      </c>
      <c r="Z122" s="123">
        <v>144.21</v>
      </c>
      <c r="AA122" s="102">
        <f t="shared" si="121"/>
        <v>75.060000000000173</v>
      </c>
      <c r="AB122" s="102">
        <f t="shared" si="122"/>
        <v>35.819999999999936</v>
      </c>
      <c r="AC122" s="123">
        <v>139.85</v>
      </c>
      <c r="AD122" s="155">
        <f t="shared" si="123"/>
        <v>35.819999999999936</v>
      </c>
      <c r="AE122" s="545">
        <f t="shared" si="124"/>
        <v>0.4882117710556651</v>
      </c>
      <c r="AF122" s="57">
        <f>IF($AC122="",#N/A,SUM(AD$4:AD122))</f>
        <v>-816.49041200241686</v>
      </c>
      <c r="AG122" s="102">
        <f t="shared" si="125"/>
        <v>-39.240000000000236</v>
      </c>
      <c r="AH122" s="56" t="s">
        <v>2507</v>
      </c>
      <c r="AI122" s="65">
        <f t="shared" si="126"/>
        <v>1.0230367262824782</v>
      </c>
      <c r="AJ122" s="350">
        <f>IF(AI122="",#N/A,SUM($AI$4:AI122))</f>
        <v>-4.0530468643322601</v>
      </c>
      <c r="AK122" s="57">
        <f t="shared" si="127"/>
        <v>75.060000000000173</v>
      </c>
      <c r="AL122" s="349">
        <f>IF(AI122="",#N/A,IF(AH122="Skip",SUM($AK$4:AK122),SUM($AK$4:AK122)))</f>
        <v>-470.82740850718653</v>
      </c>
      <c r="AM122" s="65">
        <f t="shared" si="210"/>
        <v>0.4882117710556651</v>
      </c>
      <c r="AN122" s="210"/>
      <c r="AO122" s="65">
        <f t="shared" si="128"/>
        <v>0.4882117710556651</v>
      </c>
      <c r="AP122" s="65">
        <f>IF($AC122="",#N/A,SUM(AO$4:AO122))</f>
        <v>0.81416484758421959</v>
      </c>
      <c r="AQ122" s="65" t="str">
        <f t="shared" si="129"/>
        <v/>
      </c>
      <c r="AR122" s="65">
        <f>IF($AC122="",#N/A,SUM(AQ$4:AQ122))</f>
        <v>-2.7637371090917728</v>
      </c>
      <c r="AS122" s="65" t="str">
        <f t="shared" si="130"/>
        <v/>
      </c>
      <c r="AT122" s="65">
        <f>IF($AC122="",#N/A,SUM(AS$4:AS122))</f>
        <v>-9.6183443078994078</v>
      </c>
      <c r="AU122" s="57">
        <f t="shared" si="211"/>
        <v>35.819999999999936</v>
      </c>
      <c r="AV122" s="57">
        <f>IF($AC122="",#N/A,SUM(AU$4:AU122))</f>
        <v>-25.19879354874945</v>
      </c>
      <c r="AW122" s="57" t="str">
        <f t="shared" si="212"/>
        <v/>
      </c>
      <c r="AX122" s="57">
        <f>IF($AC122="",#N/A,SUM(AW$4:AW122))</f>
        <v>-173.34000000000015</v>
      </c>
      <c r="AY122" s="57" t="str">
        <f t="shared" si="213"/>
        <v/>
      </c>
      <c r="AZ122" s="57">
        <f>IF($AC122="",#N/A,SUM(AY$4:AY122))</f>
        <v>-617.95161845366727</v>
      </c>
      <c r="BA122" s="57">
        <f>IF(AD122="",#N/A,SUM($AD$4:AD122))</f>
        <v>-816.49041200241686</v>
      </c>
      <c r="BC122" s="51" t="str">
        <f t="shared" si="131"/>
        <v/>
      </c>
      <c r="BD122" s="51" t="str">
        <f t="shared" si="132"/>
        <v/>
      </c>
      <c r="BE122" s="51">
        <f t="shared" si="133"/>
        <v>1</v>
      </c>
      <c r="BF122" s="51" t="str">
        <f t="shared" si="134"/>
        <v>Long</v>
      </c>
      <c r="BG122" s="51" t="str">
        <f t="shared" si="135"/>
        <v/>
      </c>
      <c r="BH122" s="51" t="str">
        <f t="shared" si="136"/>
        <v/>
      </c>
      <c r="BI122" s="51" t="str">
        <f t="shared" si="137"/>
        <v/>
      </c>
      <c r="BK122" s="65">
        <f t="shared" si="217"/>
        <v>-3.1082840140951539E-2</v>
      </c>
      <c r="BL122" s="65">
        <f t="shared" si="216"/>
        <v>4.8537698001336435E-2</v>
      </c>
      <c r="BM122" s="65">
        <f>IFERROR(Q122/COUNTA($J$4:J122),#N/A)</f>
        <v>-9.6572758660092815E-3</v>
      </c>
      <c r="BO122" s="489">
        <f>IF(J122="",#N/A,IF(S122="SW",(COUNTIFS(K$4:$K122,"&gt;0",S$4:$S122,"SW")/COUNTIF(S$4:$S122,"SW")),#N/A))</f>
        <v>0.4925373134328358</v>
      </c>
      <c r="BP122" s="489" t="e">
        <f>IF($J122="",#N/A,IF($S122="DWN",(COUNTIFS($K$4:$K122,"&lt;0",$S$4:$S122,"DWN")/COUNTIF($S$4:$S122,"DWN")),#N/A))</f>
        <v>#N/A</v>
      </c>
      <c r="BQ122" s="489" t="e">
        <f>IF($J122="",#N/A,IF($S122="UP",(COUNTIFS($K$4:$K122,"&gt;0",$S$4:$S122,"UP")/COUNTIF($S$4:$S122,"UP")),#N/A))</f>
        <v>#N/A</v>
      </c>
      <c r="BR122" s="489">
        <f>IF(J122="",#N/A,COUNTIF($K$4:K122,"&gt;0")/COUNT($J$4:J122))</f>
        <v>0.47058823529411764</v>
      </c>
      <c r="BS122" s="65">
        <f t="shared" si="138"/>
        <v>1.0230367262824782</v>
      </c>
      <c r="BT122" s="65" t="str">
        <f t="shared" si="139"/>
        <v/>
      </c>
      <c r="BU122" s="65" t="str">
        <f t="shared" si="140"/>
        <v/>
      </c>
      <c r="BV122" s="65" t="str">
        <f t="shared" si="141"/>
        <v/>
      </c>
      <c r="BW122" s="128" t="str">
        <f t="shared" si="142"/>
        <v/>
      </c>
      <c r="BX122" s="128">
        <f>IF($J122="",#N/A,SUM($BW$4:BW122))</f>
        <v>-155.96500000000026</v>
      </c>
      <c r="BY122" s="131" t="str">
        <f t="shared" si="143"/>
        <v/>
      </c>
      <c r="BZ122" s="131">
        <f>IF($J122="",#N/A,SUM($BY$4:BY122))</f>
        <v>-121.62065961066673</v>
      </c>
      <c r="CA122" s="133">
        <f t="shared" si="144"/>
        <v>75.060000000000173</v>
      </c>
      <c r="CB122" s="133">
        <f>IF($J122="",#N/A,SUM($CA$4:CA122))</f>
        <v>7.3820237112790892</v>
      </c>
      <c r="CC122" s="194" t="str">
        <f t="shared" si="145"/>
        <v/>
      </c>
      <c r="CD122" s="194">
        <f>IF($J122="",#N/A,SUM($CC$4:CC122))</f>
        <v>-2.4770844119990163</v>
      </c>
      <c r="CE122" s="195" t="str">
        <f t="shared" si="146"/>
        <v/>
      </c>
      <c r="CF122" s="195">
        <f>IF($J122="",#N/A,SUM($CE$4:CE122))</f>
        <v>-0.92694228116178978</v>
      </c>
      <c r="CG122" s="196">
        <f t="shared" si="147"/>
        <v>1.0230367262824782</v>
      </c>
      <c r="CH122" s="196">
        <f>IF($J122="",#N/A,SUM($CG$4:CG122))</f>
        <v>2.2548108651057053</v>
      </c>
      <c r="CI122" s="200" t="str">
        <f t="shared" si="148"/>
        <v/>
      </c>
      <c r="CJ122" s="203">
        <f>IF($J122="",#N/A,SUM(CI$4:CI122))</f>
        <v>0</v>
      </c>
      <c r="CK122" s="204" t="str">
        <f t="shared" si="149"/>
        <v/>
      </c>
      <c r="CL122" s="204">
        <f>IF($J122="",#N/A,SUM(CK$4:CK122))</f>
        <v>1.8934431343190481</v>
      </c>
      <c r="CM122" s="205" t="str">
        <f t="shared" si="150"/>
        <v/>
      </c>
      <c r="CN122" s="205">
        <f>IF($J122="",#N/A,SUM(CM$4:CM122))</f>
        <v>2.5724959960693745</v>
      </c>
      <c r="CO122" s="205">
        <f>IF($J122="",#N/A,SUM(CM$4:CM122,CK$4:CK122,CI$4:CI122))</f>
        <v>4.4659391303884224</v>
      </c>
      <c r="CP122" s="200" t="str">
        <f t="shared" si="151"/>
        <v/>
      </c>
      <c r="CQ122" s="203">
        <f>IF($J122="",#N/A,SUM(CP$4:CP122))</f>
        <v>0</v>
      </c>
      <c r="CR122" s="204" t="str">
        <f t="shared" si="152"/>
        <v/>
      </c>
      <c r="CS122" s="204">
        <f>IF($J122="",#N/A,SUM(CR$4:CR122))</f>
        <v>0</v>
      </c>
      <c r="CT122" s="205" t="str">
        <f t="shared" si="153"/>
        <v/>
      </c>
      <c r="CU122" s="205">
        <f>IF($J122="",#N/A,SUM(CT$4:CT122))</f>
        <v>0</v>
      </c>
      <c r="CV122" s="205">
        <f>IF($J122="",#N/A,SUM(CT$4:CT122,CR$4:CR122,CP$4:CP122))</f>
        <v>0</v>
      </c>
      <c r="CW122" s="200" t="str">
        <f t="shared" si="154"/>
        <v/>
      </c>
      <c r="CX122" s="203">
        <f>IF($J122="",#N/A,SUM(CW$4:CW122))</f>
        <v>0</v>
      </c>
      <c r="CY122" s="204" t="str">
        <f t="shared" si="155"/>
        <v/>
      </c>
      <c r="CZ122" s="204">
        <f>IF($J122="",#N/A,SUM(CY$4:CY122))</f>
        <v>-1.9289529100071134</v>
      </c>
      <c r="DA122" s="205" t="str">
        <f t="shared" si="156"/>
        <v/>
      </c>
      <c r="DB122" s="205">
        <f>IF($J122="",#N/A,SUM(DA$4:DA122))</f>
        <v>-0.16932974967219971</v>
      </c>
      <c r="DC122" s="205">
        <f>IF($J122="",#N/A,SUM(DA$4:DA122,CY$4:CY122,CW$4:CW122))</f>
        <v>-2.0982826596793132</v>
      </c>
      <c r="DD122" s="200" t="str">
        <f t="shared" si="157"/>
        <v/>
      </c>
      <c r="DE122" s="203">
        <f>IF($J122="",#N/A,SUM(DD$4:DD122))</f>
        <v>0.4905246481018824</v>
      </c>
      <c r="DF122" s="204" t="str">
        <f t="shared" si="158"/>
        <v/>
      </c>
      <c r="DG122" s="204">
        <f>IF($J122="",#N/A,SUM(DF$4:DF122))</f>
        <v>0.77374072477919809</v>
      </c>
      <c r="DH122" s="205" t="str">
        <f t="shared" si="159"/>
        <v/>
      </c>
      <c r="DI122" s="205">
        <f>IF($J122="",#N/A,SUM(DH$4:DH122))</f>
        <v>-1.3154755601364099</v>
      </c>
      <c r="DJ122" s="205">
        <f>IF($J122="",#N/A,SUM(DH$4:DH122,DF$4:DF122,DD$4:DD122))</f>
        <v>-5.1210187255329387E-2</v>
      </c>
      <c r="DK122" s="200" t="str">
        <f t="shared" si="160"/>
        <v/>
      </c>
      <c r="DL122" s="203">
        <f>IF($J122="",#N/A,SUM(DK$4:DK122))</f>
        <v>-1.2097286851272664</v>
      </c>
      <c r="DM122" s="204" t="str">
        <f t="shared" si="161"/>
        <v/>
      </c>
      <c r="DN122" s="204">
        <f>IF($J122="",#N/A,SUM(DM$4:DM122))</f>
        <v>1.1910608267574658</v>
      </c>
      <c r="DO122" s="205" t="str">
        <f t="shared" si="162"/>
        <v/>
      </c>
      <c r="DP122" s="205">
        <f>IF($J122="",#N/A,SUM(DO$4:DO122))</f>
        <v>1.3495058802125319</v>
      </c>
      <c r="DQ122" s="205">
        <f>IF($J122="",#N/A,SUM(DO$4:DO122,DM$4:DM122,DK$4:DK122))</f>
        <v>1.3308380218427318</v>
      </c>
      <c r="DR122" s="200" t="str">
        <f t="shared" si="163"/>
        <v/>
      </c>
      <c r="DS122" s="203">
        <f>IF($J122="",#N/A,SUM(DR$4:DR122))</f>
        <v>-0.55950946427675097</v>
      </c>
      <c r="DT122" s="204" t="str">
        <f t="shared" si="164"/>
        <v/>
      </c>
      <c r="DU122" s="204">
        <f>IF($J122="",#N/A,SUM(DT$4:DT122))</f>
        <v>-2.8875364672150718</v>
      </c>
      <c r="DV122" s="205" t="str">
        <f t="shared" si="165"/>
        <v/>
      </c>
      <c r="DW122" s="205">
        <f>IF($J122="",#N/A,SUM(DV$4:DV122))</f>
        <v>-2.6814706788983136</v>
      </c>
      <c r="DX122" s="205">
        <f>IF($J122="",#N/A,SUM(DV$4:DV122,DT$4:DT122,DR$4:DR122))</f>
        <v>-6.1285166103901361</v>
      </c>
      <c r="DY122" s="200" t="str">
        <f t="shared" si="166"/>
        <v/>
      </c>
      <c r="DZ122" s="203">
        <f>IF($J122="",#N/A,SUM(DY$4:DY122))</f>
        <v>-1.2652059025281583</v>
      </c>
      <c r="EA122" s="204" t="str">
        <f t="shared" si="167"/>
        <v/>
      </c>
      <c r="EB122" s="204">
        <f>IF($J122="",#N/A,SUM(EA$4:EA122))</f>
        <v>-0.36153038830642437</v>
      </c>
      <c r="EC122" s="205" t="str">
        <f t="shared" si="168"/>
        <v/>
      </c>
      <c r="ED122" s="205">
        <f>IF($J122="",#N/A,SUM(EC$4:EC122))</f>
        <v>1.7103671484331777</v>
      </c>
      <c r="EE122" s="205">
        <f>IF($J122="",#N/A,SUM(EC$4:EC122,EA$4:EA122,DY$4:DY122))</f>
        <v>8.3630857598595065E-2</v>
      </c>
      <c r="EF122" s="200" t="str">
        <f t="shared" si="169"/>
        <v/>
      </c>
      <c r="EG122" s="203">
        <f>IF($J122="",#N/A,SUM(EF$4:EF122))</f>
        <v>0</v>
      </c>
      <c r="EH122" s="204" t="str">
        <f t="shared" si="170"/>
        <v/>
      </c>
      <c r="EI122" s="204">
        <f>IF($J122="",#N/A,SUM(EH$4:EH122))</f>
        <v>-2.6174111635897193</v>
      </c>
      <c r="EJ122" s="205" t="str">
        <f t="shared" si="171"/>
        <v/>
      </c>
      <c r="EK122" s="205">
        <f>IF($J122="",#N/A,SUM(EJ$4:EJ122))</f>
        <v>2.7220749737133643</v>
      </c>
      <c r="EL122" s="205">
        <f>IF($J122="",#N/A,SUM(EJ$4:EJ122,EH$4:EH122,EF$4:EF122))</f>
        <v>0.10466381012364553</v>
      </c>
      <c r="EM122" s="200" t="str">
        <f t="shared" si="172"/>
        <v/>
      </c>
      <c r="EN122" s="203">
        <f>IF($J122="",#N/A,SUM(EM$4:EM122))</f>
        <v>0</v>
      </c>
      <c r="EO122" s="204" t="str">
        <f t="shared" si="173"/>
        <v/>
      </c>
      <c r="EP122" s="204">
        <f>IF($J122="",#N/A,SUM(EO$4:EO122))</f>
        <v>2.0778005488303037</v>
      </c>
      <c r="EQ122" s="205" t="str">
        <f t="shared" si="174"/>
        <v/>
      </c>
      <c r="ER122" s="205">
        <f>IF($J122="",#N/A,SUM(EQ$4:EQ122))</f>
        <v>0.4926597949853756</v>
      </c>
      <c r="ES122" s="205">
        <f>IF($J122="",#N/A,SUM(EQ$4:EQ122,EO$4:EO122,EM$4:EM122))</f>
        <v>2.5704603438156792</v>
      </c>
      <c r="ET122" s="200" t="str">
        <f t="shared" si="175"/>
        <v/>
      </c>
      <c r="EU122" s="203">
        <f>IF($J122="",#N/A,SUM(ET$4:ET122))</f>
        <v>0</v>
      </c>
      <c r="EV122" s="204" t="str">
        <f t="shared" si="176"/>
        <v/>
      </c>
      <c r="EW122" s="204">
        <f>IF($J122="",#N/A,SUM(EV$4:EV122))</f>
        <v>-0.34599923252657666</v>
      </c>
      <c r="EX122" s="205" t="str">
        <f t="shared" si="177"/>
        <v/>
      </c>
      <c r="EY122" s="205">
        <f>IF($J122="",#N/A,SUM(EX$4:EX122))</f>
        <v>2.0960106423519864E-3</v>
      </c>
      <c r="EZ122" s="205">
        <f>IF($J122="",#N/A,SUM(EX$4:EX122,EV$4:EV122,ET$4:ET122))</f>
        <v>-0.34390322188422467</v>
      </c>
      <c r="FA122" s="200" t="str">
        <f t="shared" si="178"/>
        <v/>
      </c>
      <c r="FB122" s="203">
        <f>IF($J122="",#N/A,SUM(FA$4:FA122))</f>
        <v>0</v>
      </c>
      <c r="FC122" s="204" t="str">
        <f t="shared" si="179"/>
        <v/>
      </c>
      <c r="FD122" s="204">
        <f>IF($J122="",#N/A,SUM(FC$4:FC122))</f>
        <v>1.6839191319663924</v>
      </c>
      <c r="FE122" s="205" t="str">
        <f t="shared" si="180"/>
        <v/>
      </c>
      <c r="FF122" s="205">
        <f>IF($J122="",#N/A,SUM(FE$4:FE122))</f>
        <v>-0.28811149078748233</v>
      </c>
      <c r="FG122" s="205">
        <f>IF($J122="",#N/A,SUM(FE$4:FE122,FC$4:FC122,FA$4:FA122))</f>
        <v>1.3958076411789102</v>
      </c>
      <c r="FH122" s="200" t="str">
        <f t="shared" si="181"/>
        <v/>
      </c>
      <c r="FI122" s="203">
        <f>IF($J122="",#N/A,SUM(FH$4:FH122))</f>
        <v>0</v>
      </c>
      <c r="FJ122" s="204" t="str">
        <f t="shared" si="182"/>
        <v/>
      </c>
      <c r="FK122" s="204">
        <f>IF($J122="",#N/A,SUM(FJ$4:FJ122))</f>
        <v>0</v>
      </c>
      <c r="FL122" s="205" t="str">
        <f t="shared" si="183"/>
        <v/>
      </c>
      <c r="FM122" s="205">
        <f>IF($J122="",#N/A,SUM(FL$4:FL122))</f>
        <v>0</v>
      </c>
      <c r="FN122" s="205">
        <f>IF($J122="",#N/A,SUM(FL$4:FL122,FJ$4:FJ122,FH$4:FH122))</f>
        <v>0</v>
      </c>
      <c r="FO122" s="200" t="str">
        <f t="shared" si="184"/>
        <v/>
      </c>
      <c r="FP122" s="203">
        <f>IF($J122="",#N/A,SUM(FO$4:FO122))</f>
        <v>0</v>
      </c>
      <c r="FQ122" s="204" t="str">
        <f t="shared" si="185"/>
        <v/>
      </c>
      <c r="FR122" s="204">
        <f>IF($J122="",#N/A,SUM(FQ$4:FQ122))</f>
        <v>0</v>
      </c>
      <c r="FS122" s="205" t="str">
        <f t="shared" si="186"/>
        <v/>
      </c>
      <c r="FT122" s="205">
        <f>IF($J122="",#N/A,SUM(FS$4:FS122))</f>
        <v>0</v>
      </c>
      <c r="FU122" s="205">
        <f>IF($J122="",#N/A,SUM(FS$4:FS122,FQ$4:FQ122,FO$4:FO122))</f>
        <v>0</v>
      </c>
      <c r="FV122" s="200" t="str">
        <f t="shared" si="187"/>
        <v/>
      </c>
      <c r="FW122" s="203">
        <f>IF($J122="",#N/A,SUM(FV$4:FV122))</f>
        <v>6.6834991831277585E-2</v>
      </c>
      <c r="FX122" s="204" t="str">
        <f t="shared" si="188"/>
        <v/>
      </c>
      <c r="FY122" s="204">
        <f>IF($J122="",#N/A,SUM(FX$4:FX122))</f>
        <v>0</v>
      </c>
      <c r="FZ122" s="205">
        <f t="shared" si="189"/>
        <v>1.0230367262824782</v>
      </c>
      <c r="GA122" s="205">
        <f>IF($J122="",#N/A,SUM(FZ$4:FZ122))</f>
        <v>0.79683476826625288</v>
      </c>
      <c r="GB122" s="205">
        <f>IF($J122="",#N/A,SUM(FZ$4:FZ122,FX$4:FX122,FV$4:FV122))</f>
        <v>0.86366976009753049</v>
      </c>
      <c r="GC122" s="200" t="str">
        <f t="shared" si="190"/>
        <v/>
      </c>
      <c r="GD122" s="203">
        <f>IF($J122="",#N/A,SUM(GC$4:GC122))</f>
        <v>0</v>
      </c>
      <c r="GE122" s="204" t="str">
        <f t="shared" si="191"/>
        <v/>
      </c>
      <c r="GF122" s="204">
        <f>IF($J122="",#N/A,SUM(GE$4:GE122))</f>
        <v>0</v>
      </c>
      <c r="GG122" s="205" t="str">
        <f t="shared" si="192"/>
        <v/>
      </c>
      <c r="GH122" s="205">
        <f>IF($J122="",#N/A,SUM(GG$4:GG122))</f>
        <v>-2.9368362277223206</v>
      </c>
      <c r="GI122" s="205">
        <f>IF($J122="",#N/A,SUM(GG$4:GG122,GE$4:GE122,GC$4:GC122))</f>
        <v>-2.9368362277223206</v>
      </c>
      <c r="GJ122" s="200" t="str">
        <f t="shared" si="193"/>
        <v/>
      </c>
      <c r="GK122" s="203">
        <f>IF($J122="",#N/A,SUM(GJ$4:GJ122))</f>
        <v>0</v>
      </c>
      <c r="GL122" s="204" t="str">
        <f t="shared" si="194"/>
        <v/>
      </c>
      <c r="GM122" s="204">
        <f>IF($J122="",#N/A,SUM(GL$4:GL122))</f>
        <v>-0.4054764861692941</v>
      </c>
      <c r="GN122" s="205" t="str">
        <f t="shared" si="195"/>
        <v/>
      </c>
      <c r="GO122" s="205">
        <f>IF($J122="",#N/A,SUM(GN$4:GN122))</f>
        <v>0</v>
      </c>
      <c r="GP122" s="205">
        <f>IF($J122="",#N/A,SUM(GN$4:GN122,GL$4:GL122,GJ$4:GJ122))</f>
        <v>-0.4054764861692941</v>
      </c>
      <c r="GS122" s="54">
        <f t="shared" si="214"/>
        <v>1.0230367262824782</v>
      </c>
      <c r="GT122" s="54">
        <f>IF(GS122="",NA(),SUM($GS$4:GS122))</f>
        <v>-1.6270667099479053</v>
      </c>
      <c r="GU122" s="54" t="str">
        <f t="shared" si="196"/>
        <v/>
      </c>
      <c r="GV122" s="54" t="e">
        <f>IF(GU122="",NA(),SUM($GU$4:GU122))</f>
        <v>#N/A</v>
      </c>
      <c r="GW122" s="54">
        <f t="shared" si="197"/>
        <v>1.0230367262824782</v>
      </c>
      <c r="GX122" s="54">
        <f>IF(GW122="",NA(),SUM($GW$4:GW122))</f>
        <v>2.0528220521784197</v>
      </c>
      <c r="GY122" s="54" t="str">
        <f t="shared" si="198"/>
        <v/>
      </c>
      <c r="GZ122" s="54" t="e">
        <f>IF(GY122="",NA(),SUM($GY$4:GY122))</f>
        <v>#N/A</v>
      </c>
      <c r="HA122" s="54" t="str">
        <f t="shared" si="199"/>
        <v/>
      </c>
      <c r="HB122" s="54" t="e">
        <f>IF(HA122="",NA(),SUM($HA$4:HA122))</f>
        <v>#N/A</v>
      </c>
      <c r="HC122" s="54" t="str">
        <f t="shared" si="200"/>
        <v/>
      </c>
      <c r="HD122" s="54" t="e">
        <f>IF(HC122="",NA(),SUM($HC$4:HC122))</f>
        <v>#N/A</v>
      </c>
      <c r="HE122" s="54" t="str">
        <f t="shared" si="201"/>
        <v/>
      </c>
      <c r="HF122" s="54" t="e">
        <f>IF(HE122="",NA(),SUM($HE$4:HE122))</f>
        <v>#N/A</v>
      </c>
      <c r="HG122" s="54" t="str">
        <f t="shared" si="202"/>
        <v/>
      </c>
      <c r="HH122" s="54" t="e">
        <f>IF(HG122="",NA(),SUM($HG$4:HG122))</f>
        <v>#N/A</v>
      </c>
      <c r="HI122" s="172" t="str">
        <f t="shared" si="215"/>
        <v/>
      </c>
      <c r="HJ122" s="172">
        <f>IF($J122="",#N/A,SUM(HI$4:$HI122))</f>
        <v>-3.4329654890683066</v>
      </c>
      <c r="HK122" s="54" t="str">
        <f t="shared" si="203"/>
        <v/>
      </c>
      <c r="HL122" s="54">
        <f>IF($J122="",#N/A,SUM($HK$4:HK122))</f>
        <v>-5.2584365376693087</v>
      </c>
      <c r="HM122" s="54" t="str">
        <f t="shared" si="204"/>
        <v/>
      </c>
      <c r="HN122" s="54">
        <f>IF($J122="",#N/A,SUM($HM$4:HM122))</f>
        <v>0.71812545963587882</v>
      </c>
      <c r="HO122" s="54" t="str">
        <f t="shared" si="205"/>
        <v/>
      </c>
      <c r="HP122" s="54">
        <f>IF($J122="",#N/A,SUM($HO$4:HO122))</f>
        <v>-1.004778156728636</v>
      </c>
      <c r="HQ122" s="54">
        <f t="shared" si="206"/>
        <v>-0.53482495522681317</v>
      </c>
      <c r="HR122" s="54">
        <f>IF($J122="",#N/A,SUM($HQ$4:HQ122))</f>
        <v>-7.8137093743481518</v>
      </c>
      <c r="HS122" s="54" t="str">
        <f t="shared" si="207"/>
        <v/>
      </c>
      <c r="HT122" s="54">
        <f>IF($J122="",#N/A,SUM($HS$4:HS122))</f>
        <v>6.3730633568266706</v>
      </c>
      <c r="HU122" s="65">
        <f t="shared" si="208"/>
        <v>0.4882117710556651</v>
      </c>
      <c r="HV122" s="65">
        <f>IF($J122="",#N/A,SUM(HU$4:$HU122))</f>
        <v>-11.567916569406956</v>
      </c>
    </row>
    <row r="123" spans="1:230" x14ac:dyDescent="0.25">
      <c r="A123" s="396" t="s">
        <v>1568</v>
      </c>
      <c r="B123" s="52" t="s">
        <v>4539</v>
      </c>
      <c r="C123" s="229">
        <f t="shared" si="109"/>
        <v>3</v>
      </c>
      <c r="D123" s="219" t="str">
        <f>_xlfn.XLOOKUP(A123,[1]SP500!$A$2:$A$502,[1]SP500!$D$2:$D$502,"N")</f>
        <v>Y</v>
      </c>
      <c r="E123" s="51" t="str">
        <f>IFERROR(_xlfn.XLOOKUP(A123,[1]SP500!$A$2:$A$655,[1]SP500!$B$2:$B$655),"")</f>
        <v>XLV</v>
      </c>
      <c r="F123" s="290">
        <v>45775</v>
      </c>
      <c r="G123" s="51" t="str">
        <f t="shared" si="110"/>
        <v>AMC</v>
      </c>
      <c r="H123" s="51" t="str">
        <f t="shared" si="111"/>
        <v>s</v>
      </c>
      <c r="I123" s="344">
        <v>172.91</v>
      </c>
      <c r="J123" s="124">
        <v>168.4</v>
      </c>
      <c r="K123" s="55">
        <f t="shared" si="112"/>
        <v>-2.6082933317910999E-2</v>
      </c>
      <c r="L123" s="67">
        <f t="shared" si="113"/>
        <v>-27.059999999999945</v>
      </c>
      <c r="M123" s="57">
        <f t="shared" si="114"/>
        <v>0</v>
      </c>
      <c r="N123" s="102">
        <f t="shared" si="115"/>
        <v>-27.059999999999945</v>
      </c>
      <c r="O123" s="57">
        <f>IF(N123="",#N/A,SUM($N$4:N123))</f>
        <v>-297.26363589938785</v>
      </c>
      <c r="P123" s="65">
        <f t="shared" si="209"/>
        <v>-0.43471555529851669</v>
      </c>
      <c r="Q123" s="172">
        <f>IF($N123="",#N/A,SUM($P$4:P123))</f>
        <v>-1.5839313833536213</v>
      </c>
      <c r="R123" s="279">
        <f t="shared" si="116"/>
        <v>2.9038310362771549</v>
      </c>
      <c r="S123" s="51" t="str">
        <f t="shared" si="117"/>
        <v>SW</v>
      </c>
      <c r="T123" s="51" t="s">
        <v>2828</v>
      </c>
      <c r="U123" s="56">
        <f t="shared" si="118"/>
        <v>172.91</v>
      </c>
      <c r="V123" s="56" t="s">
        <v>4460</v>
      </c>
      <c r="W123" s="142">
        <v>6</v>
      </c>
      <c r="X123" s="145">
        <f t="shared" si="119"/>
        <v>1037.46</v>
      </c>
      <c r="Y123" s="140">
        <f t="shared" si="120"/>
        <v>6</v>
      </c>
      <c r="Z123" s="123">
        <v>168.4</v>
      </c>
      <c r="AA123" s="102">
        <f t="shared" si="121"/>
        <v>-27.059999999999945</v>
      </c>
      <c r="AB123" s="102">
        <f t="shared" si="122"/>
        <v>-6.1800000000000637</v>
      </c>
      <c r="AC123" s="124">
        <v>171.88</v>
      </c>
      <c r="AD123" s="155">
        <f t="shared" si="123"/>
        <v>-6.1800000000000637</v>
      </c>
      <c r="AE123" s="545">
        <f t="shared" si="124"/>
        <v>-9.9280936132478417E-2</v>
      </c>
      <c r="AF123" s="57">
        <f>IF($AC123="",#N/A,SUM(AD$4:AD123))</f>
        <v>-822.67041200241692</v>
      </c>
      <c r="AG123" s="102">
        <f t="shared" si="125"/>
        <v>20.879999999999882</v>
      </c>
      <c r="AH123" s="56" t="s">
        <v>2507</v>
      </c>
      <c r="AI123" s="65">
        <f t="shared" si="126"/>
        <v>-0.43471555529851669</v>
      </c>
      <c r="AJ123" s="350">
        <f>IF(AI123="",#N/A,SUM($AI$4:AI123))</f>
        <v>-4.4877624196307764</v>
      </c>
      <c r="AK123" s="57">
        <f t="shared" si="127"/>
        <v>-27.059999999999945</v>
      </c>
      <c r="AL123" s="349">
        <f>IF(AI123="",#N/A,IF(AH123="Skip",SUM($AK$4:AK123),SUM($AK$4:AK123)))</f>
        <v>-497.88740850718648</v>
      </c>
      <c r="AM123" s="65">
        <f t="shared" si="210"/>
        <v>-9.9280936132478417E-2</v>
      </c>
      <c r="AN123" s="209"/>
      <c r="AO123" s="65">
        <f t="shared" si="128"/>
        <v>-9.9280936132478417E-2</v>
      </c>
      <c r="AP123" s="65">
        <f>IF($AC123="",#N/A,SUM(AO$4:AO123))</f>
        <v>0.71488391145174113</v>
      </c>
      <c r="AQ123" s="65" t="str">
        <f t="shared" si="129"/>
        <v/>
      </c>
      <c r="AR123" s="65">
        <f>IF($AC123="",#N/A,SUM(AQ$4:AQ123))</f>
        <v>-2.7637371090917728</v>
      </c>
      <c r="AS123" s="65" t="str">
        <f t="shared" si="130"/>
        <v/>
      </c>
      <c r="AT123" s="65">
        <f>IF($AC123="",#N/A,SUM(AS$4:AS123))</f>
        <v>-9.6183443078994078</v>
      </c>
      <c r="AU123" s="57">
        <f t="shared" si="211"/>
        <v>-6.1800000000000637</v>
      </c>
      <c r="AV123" s="57">
        <f>IF($AC123="",#N/A,SUM(AU$4:AU123))</f>
        <v>-31.378793548749513</v>
      </c>
      <c r="AW123" s="57" t="str">
        <f t="shared" si="212"/>
        <v/>
      </c>
      <c r="AX123" s="57">
        <f>IF($AC123="",#N/A,SUM(AW$4:AW123))</f>
        <v>-173.34000000000015</v>
      </c>
      <c r="AY123" s="57" t="str">
        <f t="shared" si="213"/>
        <v/>
      </c>
      <c r="AZ123" s="57">
        <f>IF($AC123="",#N/A,SUM(AY$4:AY123))</f>
        <v>-617.95161845366727</v>
      </c>
      <c r="BA123" s="57">
        <f>IF(AD123="",#N/A,SUM($AD$4:AD123))</f>
        <v>-822.67041200241692</v>
      </c>
      <c r="BC123" s="51" t="str">
        <f t="shared" si="131"/>
        <v/>
      </c>
      <c r="BD123" s="51" t="str">
        <f t="shared" si="132"/>
        <v/>
      </c>
      <c r="BE123" s="51" t="str">
        <f t="shared" si="133"/>
        <v/>
      </c>
      <c r="BF123" s="51" t="str">
        <f t="shared" si="134"/>
        <v>Long</v>
      </c>
      <c r="BG123" s="51" t="str">
        <f t="shared" si="135"/>
        <v/>
      </c>
      <c r="BH123" s="51" t="str">
        <f t="shared" si="136"/>
        <v/>
      </c>
      <c r="BI123" s="51">
        <f t="shared" si="137"/>
        <v>1</v>
      </c>
      <c r="BK123" s="65">
        <f t="shared" si="217"/>
        <v>-5.3017153417414045E-2</v>
      </c>
      <c r="BL123" s="65">
        <f t="shared" si="216"/>
        <v>2.7254401333380179E-2</v>
      </c>
      <c r="BM123" s="65">
        <f>IFERROR(Q123/COUNTA($J$4:J123),#N/A)</f>
        <v>-1.319942819461351E-2</v>
      </c>
      <c r="BO123" s="489">
        <f>IF(J123="",#N/A,IF(S123="SW",(COUNTIFS(K$4:$K123,"&gt;0",S$4:$S123,"SW")/COUNTIF(S$4:$S123,"SW")),#N/A))</f>
        <v>0.48529411764705882</v>
      </c>
      <c r="BP123" s="489" t="e">
        <f>IF($J123="",#N/A,IF($S123="DWN",(COUNTIFS($K$4:$K123,"&lt;0",$S$4:$S123,"DWN")/COUNTIF($S$4:$S123,"DWN")),#N/A))</f>
        <v>#N/A</v>
      </c>
      <c r="BQ123" s="489" t="e">
        <f>IF($J123="",#N/A,IF($S123="UP",(COUNTIFS($K$4:$K123,"&gt;0",$S$4:$S123,"UP")/COUNTIF($S$4:$S123,"UP")),#N/A))</f>
        <v>#N/A</v>
      </c>
      <c r="BR123" s="489">
        <f>IF(J123="",#N/A,COUNTIF($K$4:K123,"&gt;0")/COUNT($J$4:J123))</f>
        <v>0.46666666666666667</v>
      </c>
      <c r="BS123" s="65" t="str">
        <f t="shared" si="138"/>
        <v/>
      </c>
      <c r="BT123" s="65">
        <f t="shared" si="139"/>
        <v>-0.43471555529851669</v>
      </c>
      <c r="BU123" s="65" t="str">
        <f t="shared" si="140"/>
        <v/>
      </c>
      <c r="BV123" s="65" t="str">
        <f t="shared" si="141"/>
        <v/>
      </c>
      <c r="BW123" s="128" t="str">
        <f t="shared" si="142"/>
        <v/>
      </c>
      <c r="BX123" s="128">
        <f>IF($J123="",#N/A,SUM($BW$4:BW123))</f>
        <v>-155.96500000000026</v>
      </c>
      <c r="BY123" s="131" t="str">
        <f t="shared" si="143"/>
        <v/>
      </c>
      <c r="BZ123" s="131">
        <f>IF($J123="",#N/A,SUM($BY$4:BY123))</f>
        <v>-121.62065961066673</v>
      </c>
      <c r="CA123" s="133">
        <f t="shared" si="144"/>
        <v>-27.059999999999945</v>
      </c>
      <c r="CB123" s="133">
        <f>IF($J123="",#N/A,SUM($CA$4:CA123))</f>
        <v>-19.677976288720856</v>
      </c>
      <c r="CC123" s="194" t="str">
        <f t="shared" si="145"/>
        <v/>
      </c>
      <c r="CD123" s="194">
        <f>IF($J123="",#N/A,SUM($CC$4:CC123))</f>
        <v>-2.4770844119990163</v>
      </c>
      <c r="CE123" s="195" t="str">
        <f t="shared" si="146"/>
        <v/>
      </c>
      <c r="CF123" s="195">
        <f>IF($J123="",#N/A,SUM($CE$4:CE123))</f>
        <v>-0.92694228116178978</v>
      </c>
      <c r="CG123" s="196">
        <f t="shared" si="147"/>
        <v>-0.43471555529851669</v>
      </c>
      <c r="CH123" s="196">
        <f>IF($J123="",#N/A,SUM($CG$4:CG123))</f>
        <v>1.8200953098071886</v>
      </c>
      <c r="CI123" s="200" t="str">
        <f t="shared" si="148"/>
        <v/>
      </c>
      <c r="CJ123" s="203">
        <f>IF($J123="",#N/A,SUM(CI$4:CI123))</f>
        <v>0</v>
      </c>
      <c r="CK123" s="204" t="str">
        <f t="shared" si="149"/>
        <v/>
      </c>
      <c r="CL123" s="204">
        <f>IF($J123="",#N/A,SUM(CK$4:CK123))</f>
        <v>1.8934431343190481</v>
      </c>
      <c r="CM123" s="205" t="str">
        <f t="shared" si="150"/>
        <v/>
      </c>
      <c r="CN123" s="205">
        <f>IF($J123="",#N/A,SUM(CM$4:CM123))</f>
        <v>2.5724959960693745</v>
      </c>
      <c r="CO123" s="205">
        <f>IF($J123="",#N/A,SUM(CM$4:CM123,CK$4:CK123,CI$4:CI123))</f>
        <v>4.4659391303884224</v>
      </c>
      <c r="CP123" s="200" t="str">
        <f t="shared" si="151"/>
        <v/>
      </c>
      <c r="CQ123" s="203">
        <f>IF($J123="",#N/A,SUM(CP$4:CP123))</f>
        <v>0</v>
      </c>
      <c r="CR123" s="204" t="str">
        <f t="shared" si="152"/>
        <v/>
      </c>
      <c r="CS123" s="204">
        <f>IF($J123="",#N/A,SUM(CR$4:CR123))</f>
        <v>0</v>
      </c>
      <c r="CT123" s="205" t="str">
        <f t="shared" si="153"/>
        <v/>
      </c>
      <c r="CU123" s="205">
        <f>IF($J123="",#N/A,SUM(CT$4:CT123))</f>
        <v>0</v>
      </c>
      <c r="CV123" s="205">
        <f>IF($J123="",#N/A,SUM(CT$4:CT123,CR$4:CR123,CP$4:CP123))</f>
        <v>0</v>
      </c>
      <c r="CW123" s="200" t="str">
        <f t="shared" si="154"/>
        <v/>
      </c>
      <c r="CX123" s="203">
        <f>IF($J123="",#N/A,SUM(CW$4:CW123))</f>
        <v>0</v>
      </c>
      <c r="CY123" s="204" t="str">
        <f t="shared" si="155"/>
        <v/>
      </c>
      <c r="CZ123" s="204">
        <f>IF($J123="",#N/A,SUM(CY$4:CY123))</f>
        <v>-1.9289529100071134</v>
      </c>
      <c r="DA123" s="205" t="str">
        <f t="shared" si="156"/>
        <v/>
      </c>
      <c r="DB123" s="205">
        <f>IF($J123="",#N/A,SUM(DA$4:DA123))</f>
        <v>-0.16932974967219971</v>
      </c>
      <c r="DC123" s="205">
        <f>IF($J123="",#N/A,SUM(DA$4:DA123,CY$4:CY123,CW$4:CW123))</f>
        <v>-2.0982826596793132</v>
      </c>
      <c r="DD123" s="200" t="str">
        <f t="shared" si="157"/>
        <v/>
      </c>
      <c r="DE123" s="203">
        <f>IF($J123="",#N/A,SUM(DD$4:DD123))</f>
        <v>0.4905246481018824</v>
      </c>
      <c r="DF123" s="204" t="str">
        <f t="shared" si="158"/>
        <v/>
      </c>
      <c r="DG123" s="204">
        <f>IF($J123="",#N/A,SUM(DF$4:DF123))</f>
        <v>0.77374072477919809</v>
      </c>
      <c r="DH123" s="205" t="str">
        <f t="shared" si="159"/>
        <v/>
      </c>
      <c r="DI123" s="205">
        <f>IF($J123="",#N/A,SUM(DH$4:DH123))</f>
        <v>-1.3154755601364099</v>
      </c>
      <c r="DJ123" s="205">
        <f>IF($J123="",#N/A,SUM(DH$4:DH123,DF$4:DF123,DD$4:DD123))</f>
        <v>-5.1210187255329387E-2</v>
      </c>
      <c r="DK123" s="200" t="str">
        <f t="shared" si="160"/>
        <v/>
      </c>
      <c r="DL123" s="203">
        <f>IF($J123="",#N/A,SUM(DK$4:DK123))</f>
        <v>-1.2097286851272664</v>
      </c>
      <c r="DM123" s="204" t="str">
        <f t="shared" si="161"/>
        <v/>
      </c>
      <c r="DN123" s="204">
        <f>IF($J123="",#N/A,SUM(DM$4:DM123))</f>
        <v>1.1910608267574658</v>
      </c>
      <c r="DO123" s="205" t="str">
        <f t="shared" si="162"/>
        <v/>
      </c>
      <c r="DP123" s="205">
        <f>IF($J123="",#N/A,SUM(DO$4:DO123))</f>
        <v>1.3495058802125319</v>
      </c>
      <c r="DQ123" s="205">
        <f>IF($J123="",#N/A,SUM(DO$4:DO123,DM$4:DM123,DK$4:DK123))</f>
        <v>1.3308380218427318</v>
      </c>
      <c r="DR123" s="200" t="str">
        <f t="shared" si="163"/>
        <v/>
      </c>
      <c r="DS123" s="203">
        <f>IF($J123="",#N/A,SUM(DR$4:DR123))</f>
        <v>-0.55950946427675097</v>
      </c>
      <c r="DT123" s="204" t="str">
        <f t="shared" si="164"/>
        <v/>
      </c>
      <c r="DU123" s="204">
        <f>IF($J123="",#N/A,SUM(DT$4:DT123))</f>
        <v>-2.8875364672150718</v>
      </c>
      <c r="DV123" s="205" t="str">
        <f t="shared" si="165"/>
        <v/>
      </c>
      <c r="DW123" s="205">
        <f>IF($J123="",#N/A,SUM(DV$4:DV123))</f>
        <v>-2.6814706788983136</v>
      </c>
      <c r="DX123" s="205">
        <f>IF($J123="",#N/A,SUM(DV$4:DV123,DT$4:DT123,DR$4:DR123))</f>
        <v>-6.1285166103901361</v>
      </c>
      <c r="DY123" s="200" t="str">
        <f t="shared" si="166"/>
        <v/>
      </c>
      <c r="DZ123" s="203">
        <f>IF($J123="",#N/A,SUM(DY$4:DY123))</f>
        <v>-1.2652059025281583</v>
      </c>
      <c r="EA123" s="204" t="str">
        <f t="shared" si="167"/>
        <v/>
      </c>
      <c r="EB123" s="204">
        <f>IF($J123="",#N/A,SUM(EA$4:EA123))</f>
        <v>-0.36153038830642437</v>
      </c>
      <c r="EC123" s="205" t="str">
        <f t="shared" si="168"/>
        <v/>
      </c>
      <c r="ED123" s="205">
        <f>IF($J123="",#N/A,SUM(EC$4:EC123))</f>
        <v>1.7103671484331777</v>
      </c>
      <c r="EE123" s="205">
        <f>IF($J123="",#N/A,SUM(EC$4:EC123,EA$4:EA123,DY$4:DY123))</f>
        <v>8.3630857598595065E-2</v>
      </c>
      <c r="EF123" s="200" t="str">
        <f t="shared" si="169"/>
        <v/>
      </c>
      <c r="EG123" s="203">
        <f>IF($J123="",#N/A,SUM(EF$4:EF123))</f>
        <v>0</v>
      </c>
      <c r="EH123" s="204" t="str">
        <f t="shared" si="170"/>
        <v/>
      </c>
      <c r="EI123" s="204">
        <f>IF($J123="",#N/A,SUM(EH$4:EH123))</f>
        <v>-2.6174111635897193</v>
      </c>
      <c r="EJ123" s="205">
        <f t="shared" si="171"/>
        <v>-0.43471555529851669</v>
      </c>
      <c r="EK123" s="205">
        <f>IF($J123="",#N/A,SUM(EJ$4:EJ123))</f>
        <v>2.2873594184148476</v>
      </c>
      <c r="EL123" s="205">
        <f>IF($J123="",#N/A,SUM(EJ$4:EJ123,EH$4:EH123,EF$4:EF123))</f>
        <v>-0.33005174517487113</v>
      </c>
      <c r="EM123" s="200" t="str">
        <f t="shared" si="172"/>
        <v/>
      </c>
      <c r="EN123" s="203">
        <f>IF($J123="",#N/A,SUM(EM$4:EM123))</f>
        <v>0</v>
      </c>
      <c r="EO123" s="204" t="str">
        <f t="shared" si="173"/>
        <v/>
      </c>
      <c r="EP123" s="204">
        <f>IF($J123="",#N/A,SUM(EO$4:EO123))</f>
        <v>2.0778005488303037</v>
      </c>
      <c r="EQ123" s="205" t="str">
        <f t="shared" si="174"/>
        <v/>
      </c>
      <c r="ER123" s="205">
        <f>IF($J123="",#N/A,SUM(EQ$4:EQ123))</f>
        <v>0.4926597949853756</v>
      </c>
      <c r="ES123" s="205">
        <f>IF($J123="",#N/A,SUM(EQ$4:EQ123,EO$4:EO123,EM$4:EM123))</f>
        <v>2.5704603438156792</v>
      </c>
      <c r="ET123" s="200" t="str">
        <f t="shared" si="175"/>
        <v/>
      </c>
      <c r="EU123" s="203">
        <f>IF($J123="",#N/A,SUM(ET$4:ET123))</f>
        <v>0</v>
      </c>
      <c r="EV123" s="204" t="str">
        <f t="shared" si="176"/>
        <v/>
      </c>
      <c r="EW123" s="204">
        <f>IF($J123="",#N/A,SUM(EV$4:EV123))</f>
        <v>-0.34599923252657666</v>
      </c>
      <c r="EX123" s="205" t="str">
        <f t="shared" si="177"/>
        <v/>
      </c>
      <c r="EY123" s="205">
        <f>IF($J123="",#N/A,SUM(EX$4:EX123))</f>
        <v>2.0960106423519864E-3</v>
      </c>
      <c r="EZ123" s="205">
        <f>IF($J123="",#N/A,SUM(EX$4:EX123,EV$4:EV123,ET$4:ET123))</f>
        <v>-0.34390322188422467</v>
      </c>
      <c r="FA123" s="200" t="str">
        <f t="shared" si="178"/>
        <v/>
      </c>
      <c r="FB123" s="203">
        <f>IF($J123="",#N/A,SUM(FA$4:FA123))</f>
        <v>0</v>
      </c>
      <c r="FC123" s="204" t="str">
        <f t="shared" si="179"/>
        <v/>
      </c>
      <c r="FD123" s="204">
        <f>IF($J123="",#N/A,SUM(FC$4:FC123))</f>
        <v>1.6839191319663924</v>
      </c>
      <c r="FE123" s="205" t="str">
        <f t="shared" si="180"/>
        <v/>
      </c>
      <c r="FF123" s="205">
        <f>IF($J123="",#N/A,SUM(FE$4:FE123))</f>
        <v>-0.28811149078748233</v>
      </c>
      <c r="FG123" s="205">
        <f>IF($J123="",#N/A,SUM(FE$4:FE123,FC$4:FC123,FA$4:FA123))</f>
        <v>1.3958076411789102</v>
      </c>
      <c r="FH123" s="200" t="str">
        <f t="shared" si="181"/>
        <v/>
      </c>
      <c r="FI123" s="203">
        <f>IF($J123="",#N/A,SUM(FH$4:FH123))</f>
        <v>0</v>
      </c>
      <c r="FJ123" s="204" t="str">
        <f t="shared" si="182"/>
        <v/>
      </c>
      <c r="FK123" s="204">
        <f>IF($J123="",#N/A,SUM(FJ$4:FJ123))</f>
        <v>0</v>
      </c>
      <c r="FL123" s="205" t="str">
        <f t="shared" si="183"/>
        <v/>
      </c>
      <c r="FM123" s="205">
        <f>IF($J123="",#N/A,SUM(FL$4:FL123))</f>
        <v>0</v>
      </c>
      <c r="FN123" s="205">
        <f>IF($J123="",#N/A,SUM(FL$4:FL123,FJ$4:FJ123,FH$4:FH123))</f>
        <v>0</v>
      </c>
      <c r="FO123" s="200" t="str">
        <f t="shared" si="184"/>
        <v/>
      </c>
      <c r="FP123" s="203">
        <f>IF($J123="",#N/A,SUM(FO$4:FO123))</f>
        <v>0</v>
      </c>
      <c r="FQ123" s="204" t="str">
        <f t="shared" si="185"/>
        <v/>
      </c>
      <c r="FR123" s="204">
        <f>IF($J123="",#N/A,SUM(FQ$4:FQ123))</f>
        <v>0</v>
      </c>
      <c r="FS123" s="205" t="str">
        <f t="shared" si="186"/>
        <v/>
      </c>
      <c r="FT123" s="205">
        <f>IF($J123="",#N/A,SUM(FS$4:FS123))</f>
        <v>0</v>
      </c>
      <c r="FU123" s="205">
        <f>IF($J123="",#N/A,SUM(FS$4:FS123,FQ$4:FQ123,FO$4:FO123))</f>
        <v>0</v>
      </c>
      <c r="FV123" s="200" t="str">
        <f t="shared" si="187"/>
        <v/>
      </c>
      <c r="FW123" s="203">
        <f>IF($J123="",#N/A,SUM(FV$4:FV123))</f>
        <v>6.6834991831277585E-2</v>
      </c>
      <c r="FX123" s="204" t="str">
        <f t="shared" si="188"/>
        <v/>
      </c>
      <c r="FY123" s="204">
        <f>IF($J123="",#N/A,SUM(FX$4:FX123))</f>
        <v>0</v>
      </c>
      <c r="FZ123" s="205" t="str">
        <f t="shared" si="189"/>
        <v/>
      </c>
      <c r="GA123" s="205">
        <f>IF($J123="",#N/A,SUM(FZ$4:FZ123))</f>
        <v>0.79683476826625288</v>
      </c>
      <c r="GB123" s="205">
        <f>IF($J123="",#N/A,SUM(FZ$4:FZ123,FX$4:FX123,FV$4:FV123))</f>
        <v>0.86366976009753049</v>
      </c>
      <c r="GC123" s="200" t="str">
        <f t="shared" si="190"/>
        <v/>
      </c>
      <c r="GD123" s="203">
        <f>IF($J123="",#N/A,SUM(GC$4:GC123))</f>
        <v>0</v>
      </c>
      <c r="GE123" s="204" t="str">
        <f t="shared" si="191"/>
        <v/>
      </c>
      <c r="GF123" s="204">
        <f>IF($J123="",#N/A,SUM(GE$4:GE123))</f>
        <v>0</v>
      </c>
      <c r="GG123" s="205" t="str">
        <f t="shared" si="192"/>
        <v/>
      </c>
      <c r="GH123" s="205">
        <f>IF($J123="",#N/A,SUM(GG$4:GG123))</f>
        <v>-2.9368362277223206</v>
      </c>
      <c r="GI123" s="205">
        <f>IF($J123="",#N/A,SUM(GG$4:GG123,GE$4:GE123,GC$4:GC123))</f>
        <v>-2.9368362277223206</v>
      </c>
      <c r="GJ123" s="200" t="str">
        <f t="shared" si="193"/>
        <v/>
      </c>
      <c r="GK123" s="203">
        <f>IF($J123="",#N/A,SUM(GJ$4:GJ123))</f>
        <v>0</v>
      </c>
      <c r="GL123" s="204" t="str">
        <f t="shared" si="194"/>
        <v/>
      </c>
      <c r="GM123" s="204">
        <f>IF($J123="",#N/A,SUM(GL$4:GL123))</f>
        <v>-0.4054764861692941</v>
      </c>
      <c r="GN123" s="205" t="str">
        <f t="shared" si="195"/>
        <v/>
      </c>
      <c r="GO123" s="205">
        <f>IF($J123="",#N/A,SUM(GN$4:GN123))</f>
        <v>0</v>
      </c>
      <c r="GP123" s="205">
        <f>IF($J123="",#N/A,SUM(GN$4:GN123,GL$4:GL123,GJ$4:GJ123))</f>
        <v>-0.4054764861692941</v>
      </c>
      <c r="GS123" s="54">
        <f t="shared" si="214"/>
        <v>-0.43471555529851669</v>
      </c>
      <c r="GT123" s="54">
        <f>IF(GS123="",NA(),SUM($GS$4:GS123))</f>
        <v>-2.0617822652464222</v>
      </c>
      <c r="GU123" s="54" t="str">
        <f t="shared" si="196"/>
        <v/>
      </c>
      <c r="GV123" s="54" t="e">
        <f>IF(GU123="",NA(),SUM($GU$4:GU123))</f>
        <v>#N/A</v>
      </c>
      <c r="GW123" s="54">
        <f t="shared" si="197"/>
        <v>-0.43471555529851669</v>
      </c>
      <c r="GX123" s="54">
        <f>IF(GW123="",NA(),SUM($GW$4:GW123))</f>
        <v>1.618106496879903</v>
      </c>
      <c r="GY123" s="54" t="str">
        <f t="shared" si="198"/>
        <v/>
      </c>
      <c r="GZ123" s="54" t="e">
        <f>IF(GY123="",NA(),SUM($GY$4:GY123))</f>
        <v>#N/A</v>
      </c>
      <c r="HA123" s="54" t="str">
        <f t="shared" si="199"/>
        <v/>
      </c>
      <c r="HB123" s="54" t="e">
        <f>IF(HA123="",NA(),SUM($HA$4:HA123))</f>
        <v>#N/A</v>
      </c>
      <c r="HC123" s="54" t="str">
        <f t="shared" si="200"/>
        <v/>
      </c>
      <c r="HD123" s="54" t="e">
        <f>IF(HC123="",NA(),SUM($HC$4:HC123))</f>
        <v>#N/A</v>
      </c>
      <c r="HE123" s="54" t="str">
        <f t="shared" si="201"/>
        <v/>
      </c>
      <c r="HF123" s="54" t="e">
        <f>IF(HE123="",NA(),SUM($HE$4:HE123))</f>
        <v>#N/A</v>
      </c>
      <c r="HG123" s="54" t="str">
        <f t="shared" si="202"/>
        <v/>
      </c>
      <c r="HH123" s="54" t="e">
        <f>IF(HG123="",NA(),SUM($HG$4:HG123))</f>
        <v>#N/A</v>
      </c>
      <c r="HI123" s="172" t="str">
        <f t="shared" si="215"/>
        <v/>
      </c>
      <c r="HJ123" s="172">
        <f>IF($J123="",#N/A,SUM(HI$4:$HI123))</f>
        <v>-3.4329654890683066</v>
      </c>
      <c r="HK123" s="54" t="str">
        <f t="shared" si="203"/>
        <v/>
      </c>
      <c r="HL123" s="54">
        <f>IF($J123="",#N/A,SUM($HK$4:HK123))</f>
        <v>-5.2584365376693087</v>
      </c>
      <c r="HM123" s="54" t="str">
        <f t="shared" si="204"/>
        <v/>
      </c>
      <c r="HN123" s="54">
        <f>IF($J123="",#N/A,SUM($HM$4:HM123))</f>
        <v>0.71812545963587882</v>
      </c>
      <c r="HO123" s="54" t="str">
        <f t="shared" si="205"/>
        <v/>
      </c>
      <c r="HP123" s="54">
        <f>IF($J123="",#N/A,SUM($HO$4:HO123))</f>
        <v>-1.004778156728636</v>
      </c>
      <c r="HQ123" s="54" t="str">
        <f t="shared" si="206"/>
        <v/>
      </c>
      <c r="HR123" s="54">
        <f>IF($J123="",#N/A,SUM($HQ$4:HQ123))</f>
        <v>-7.8137093743481518</v>
      </c>
      <c r="HS123" s="54">
        <f t="shared" si="207"/>
        <v>0.33543461916603828</v>
      </c>
      <c r="HT123" s="54">
        <f>IF($J123="",#N/A,SUM($HS$4:HS123))</f>
        <v>6.7084979759927093</v>
      </c>
      <c r="HU123" s="65">
        <f t="shared" si="208"/>
        <v>-9.9280936132478417E-2</v>
      </c>
      <c r="HV123" s="65">
        <f>IF($J123="",#N/A,SUM(HU$4:$HU123))</f>
        <v>-11.667197505539434</v>
      </c>
    </row>
    <row r="124" spans="1:230" x14ac:dyDescent="0.25">
      <c r="A124" s="51" t="s">
        <v>1448</v>
      </c>
      <c r="B124" s="52" t="s">
        <v>4539</v>
      </c>
      <c r="C124" s="229">
        <f t="shared" si="109"/>
        <v>2</v>
      </c>
      <c r="D124" s="219" t="str">
        <f>_xlfn.XLOOKUP(A124,[1]SP500!$A$2:$A$502,[1]SP500!$D$2:$D$502,"N")</f>
        <v>Y</v>
      </c>
      <c r="E124" s="51" t="str">
        <f>IFERROR(_xlfn.XLOOKUP(A124,[1]SP500!$A$2:$A$655,[1]SP500!$B$2:$B$655),"")</f>
        <v>XLB</v>
      </c>
      <c r="F124" s="290">
        <v>45775</v>
      </c>
      <c r="G124" s="51" t="str">
        <f t="shared" si="110"/>
        <v>AMC</v>
      </c>
      <c r="H124" s="51" t="str">
        <f t="shared" si="111"/>
        <v>s</v>
      </c>
      <c r="I124" s="344">
        <v>116.57</v>
      </c>
      <c r="J124" s="124">
        <v>115.11</v>
      </c>
      <c r="K124" s="55">
        <f t="shared" si="112"/>
        <v>-1.2524663292442256E-2</v>
      </c>
      <c r="L124" s="67">
        <f t="shared" si="113"/>
        <v>13.139999999999873</v>
      </c>
      <c r="M124" s="57">
        <f t="shared" si="114"/>
        <v>0</v>
      </c>
      <c r="N124" s="155">
        <f t="shared" si="115"/>
        <v>13.139999999999873</v>
      </c>
      <c r="O124" s="156">
        <f>IF(N124="",#N/A,SUM($N$4:N124))</f>
        <v>-284.12363589938798</v>
      </c>
      <c r="P124" s="65">
        <f t="shared" si="209"/>
        <v>0.20874438820736982</v>
      </c>
      <c r="Q124" s="172">
        <f>IF($N124="",#N/A,SUM($P$4:P124))</f>
        <v>-1.3751869951462514</v>
      </c>
      <c r="R124" s="279">
        <f t="shared" si="116"/>
        <v>2.9038310362771553</v>
      </c>
      <c r="S124" s="51" t="str">
        <f t="shared" si="117"/>
        <v>Dwn</v>
      </c>
      <c r="T124" s="51" t="s">
        <v>4462</v>
      </c>
      <c r="U124" s="56">
        <f t="shared" si="118"/>
        <v>116.57</v>
      </c>
      <c r="V124" s="56" t="s">
        <v>4458</v>
      </c>
      <c r="W124" s="142">
        <v>9</v>
      </c>
      <c r="X124" s="145">
        <f t="shared" si="119"/>
        <v>1049.1299999999999</v>
      </c>
      <c r="Y124" s="140">
        <f t="shared" si="120"/>
        <v>9</v>
      </c>
      <c r="Z124" s="123">
        <v>115.11</v>
      </c>
      <c r="AA124" s="102">
        <f t="shared" si="121"/>
        <v>13.139999999999873</v>
      </c>
      <c r="AB124" s="102">
        <f t="shared" si="122"/>
        <v>-19.800000000000182</v>
      </c>
      <c r="AC124" s="124">
        <v>118.77</v>
      </c>
      <c r="AD124" s="155">
        <f t="shared" si="123"/>
        <v>-19.800000000000182</v>
      </c>
      <c r="AE124" s="545">
        <f t="shared" si="124"/>
        <v>-0.31454633839467278</v>
      </c>
      <c r="AF124" s="57">
        <f>IF($AC124="",#N/A,SUM(AD$4:AD124))</f>
        <v>-842.47041200241711</v>
      </c>
      <c r="AG124" s="102">
        <f t="shared" si="125"/>
        <v>-32.940000000000055</v>
      </c>
      <c r="AH124" s="57" t="s">
        <v>2507</v>
      </c>
      <c r="AI124" s="65">
        <f t="shared" si="126"/>
        <v>0.20874438820736982</v>
      </c>
      <c r="AJ124" s="54">
        <f>IF(AI124="",#N/A,SUM($AI$4:AI124))</f>
        <v>-4.2790180314234068</v>
      </c>
      <c r="AK124" s="57">
        <f t="shared" si="127"/>
        <v>13.139999999999873</v>
      </c>
      <c r="AL124" s="58">
        <f>IF(AI124="",#N/A,IF(AH124="Skip",SUM($AK$4:AK124),SUM($AK$4:AK124)))</f>
        <v>-484.74740850718661</v>
      </c>
      <c r="AM124" s="65">
        <f t="shared" si="210"/>
        <v>-0.31454633839467278</v>
      </c>
      <c r="AN124" s="209"/>
      <c r="AO124" s="65" t="str">
        <f t="shared" si="128"/>
        <v/>
      </c>
      <c r="AP124" s="65">
        <f>IF($AC124="",#N/A,SUM(AO$4:AO124))</f>
        <v>0.71488391145174113</v>
      </c>
      <c r="AQ124" s="65" t="str">
        <f t="shared" si="129"/>
        <v/>
      </c>
      <c r="AR124" s="65">
        <f>IF($AC124="",#N/A,SUM(AQ$4:AQ124))</f>
        <v>-2.7637371090917728</v>
      </c>
      <c r="AS124" s="65">
        <f t="shared" si="130"/>
        <v>-0.31454633839467278</v>
      </c>
      <c r="AT124" s="65">
        <f>IF($AC124="",#N/A,SUM(AS$4:AS124))</f>
        <v>-9.93289064629408</v>
      </c>
      <c r="AU124" s="57" t="str">
        <f t="shared" si="211"/>
        <v/>
      </c>
      <c r="AV124" s="57">
        <f>IF($AC124="",#N/A,SUM(AU$4:AU124))</f>
        <v>-31.378793548749513</v>
      </c>
      <c r="AW124" s="57" t="str">
        <f t="shared" si="212"/>
        <v/>
      </c>
      <c r="AX124" s="57">
        <f>IF($AC124="",#N/A,SUM(AW$4:AW124))</f>
        <v>-173.34000000000015</v>
      </c>
      <c r="AY124" s="57">
        <f t="shared" si="213"/>
        <v>-19.800000000000182</v>
      </c>
      <c r="AZ124" s="57">
        <f>IF($AC124="",#N/A,SUM(AY$4:AY124))</f>
        <v>-637.75161845366745</v>
      </c>
      <c r="BA124" s="57">
        <f>IF(AD124="",#N/A,SUM($AD$4:AD124))</f>
        <v>-842.47041200241711</v>
      </c>
      <c r="BC124" s="51" t="str">
        <f t="shared" si="131"/>
        <v/>
      </c>
      <c r="BD124" s="51" t="str">
        <f t="shared" si="132"/>
        <v/>
      </c>
      <c r="BE124" s="51" t="str">
        <f t="shared" si="133"/>
        <v/>
      </c>
      <c r="BF124" s="51" t="str">
        <f t="shared" si="134"/>
        <v>Short</v>
      </c>
      <c r="BG124" s="51">
        <f t="shared" si="135"/>
        <v>1</v>
      </c>
      <c r="BH124" s="51" t="str">
        <f t="shared" si="136"/>
        <v/>
      </c>
      <c r="BI124" s="51" t="str">
        <f t="shared" si="137"/>
        <v/>
      </c>
      <c r="BK124" s="65">
        <f t="shared" si="217"/>
        <v>-3.7652076367731623E-2</v>
      </c>
      <c r="BL124" s="65">
        <f t="shared" si="216"/>
        <v>3.1808310138773235E-2</v>
      </c>
      <c r="BM124" s="65">
        <f>IFERROR(Q124/COUNTA($J$4:J124),#N/A)</f>
        <v>-1.1365181778068193E-2</v>
      </c>
      <c r="BO124" s="489" t="e">
        <f>IF(J124="",#N/A,IF(S124="SW",(COUNTIFS(K$4:$K124,"&gt;0",S$4:$S124,"SW")/COUNTIF(S$4:$S124,"SW")),#N/A))</f>
        <v>#N/A</v>
      </c>
      <c r="BP124" s="489">
        <f>IF($J124="",#N/A,IF($S124="DWN",(COUNTIFS($K$4:$K124,"&lt;0",$S$4:$S124,"DWN")/COUNTIF($S$4:$S124,"DWN")),#N/A))</f>
        <v>0.57446808510638303</v>
      </c>
      <c r="BQ124" s="489" t="e">
        <f>IF($J124="",#N/A,IF($S124="UP",(COUNTIFS($K$4:$K124,"&gt;0",$S$4:$S124,"UP")/COUNTIF($S$4:$S124,"UP")),#N/A))</f>
        <v>#N/A</v>
      </c>
      <c r="BR124" s="489">
        <f>IF(J124="",#N/A,COUNTIF($K$4:K124,"&gt;0")/COUNT($J$4:J124))</f>
        <v>0.46280991735537191</v>
      </c>
      <c r="BS124" s="65" t="str">
        <f t="shared" si="138"/>
        <v/>
      </c>
      <c r="BT124" s="65" t="str">
        <f t="shared" si="139"/>
        <v/>
      </c>
      <c r="BU124" s="65">
        <f t="shared" si="140"/>
        <v>0.20874438820736982</v>
      </c>
      <c r="BV124" s="65" t="str">
        <f t="shared" si="141"/>
        <v/>
      </c>
      <c r="BW124" s="151" t="str">
        <f t="shared" si="142"/>
        <v/>
      </c>
      <c r="BX124" s="151">
        <f>IF($J124="",#N/A,SUM($BW$4:BW124))</f>
        <v>-155.96500000000026</v>
      </c>
      <c r="BY124" s="152">
        <f t="shared" si="143"/>
        <v>13.139999999999873</v>
      </c>
      <c r="BZ124" s="152">
        <f>IF($J124="",#N/A,SUM($BY$4:BY124))</f>
        <v>-108.48065961066686</v>
      </c>
      <c r="CA124" s="153" t="str">
        <f t="shared" si="144"/>
        <v/>
      </c>
      <c r="CB124" s="154">
        <f>IF($J124="",#N/A,SUM($CA$4:CA124))</f>
        <v>-19.677976288720856</v>
      </c>
      <c r="CC124" s="191" t="str">
        <f t="shared" si="145"/>
        <v/>
      </c>
      <c r="CD124" s="191">
        <f>IF($J124="",#N/A,SUM($CC$4:CC124))</f>
        <v>-2.4770844119990163</v>
      </c>
      <c r="CE124" s="192">
        <f t="shared" si="146"/>
        <v>0.20874438820736982</v>
      </c>
      <c r="CF124" s="192">
        <f>IF($J124="",#N/A,SUM($CE$4:CE124))</f>
        <v>-0.71819789295441994</v>
      </c>
      <c r="CG124" s="193" t="str">
        <f t="shared" si="147"/>
        <v/>
      </c>
      <c r="CH124" s="193">
        <f>IF($J124="",#N/A,SUM($CG$4:CG124))</f>
        <v>1.8200953098071886</v>
      </c>
      <c r="CI124" s="200" t="str">
        <f t="shared" si="148"/>
        <v/>
      </c>
      <c r="CJ124" s="200">
        <f>IF($J124="",#N/A,SUM(CI$4:CI124))</f>
        <v>0</v>
      </c>
      <c r="CK124" s="201" t="str">
        <f t="shared" si="149"/>
        <v/>
      </c>
      <c r="CL124" s="201">
        <f>IF($J124="",#N/A,SUM(CK$4:CK124))</f>
        <v>1.8934431343190481</v>
      </c>
      <c r="CM124" s="202" t="str">
        <f t="shared" si="150"/>
        <v/>
      </c>
      <c r="CN124" s="202">
        <f>IF($J124="",#N/A,SUM(CM$4:CM124))</f>
        <v>2.5724959960693745</v>
      </c>
      <c r="CO124" s="202">
        <f>IF($J124="",#N/A,SUM(CM$4:CM124,CK$4:CK124,CI$4:CI124))</f>
        <v>4.4659391303884224</v>
      </c>
      <c r="CP124" s="200" t="str">
        <f t="shared" si="151"/>
        <v/>
      </c>
      <c r="CQ124" s="200">
        <f>IF($J124="",#N/A,SUM(CP$4:CP124))</f>
        <v>0</v>
      </c>
      <c r="CR124" s="201" t="str">
        <f t="shared" si="152"/>
        <v/>
      </c>
      <c r="CS124" s="201">
        <f>IF($J124="",#N/A,SUM(CR$4:CR124))</f>
        <v>0</v>
      </c>
      <c r="CT124" s="202" t="str">
        <f t="shared" si="153"/>
        <v/>
      </c>
      <c r="CU124" s="202">
        <f>IF($J124="",#N/A,SUM(CT$4:CT124))</f>
        <v>0</v>
      </c>
      <c r="CV124" s="202">
        <f>IF($J124="",#N/A,SUM(CT$4:CT124,CR$4:CR124,CP$4:CP124))</f>
        <v>0</v>
      </c>
      <c r="CW124" s="200" t="str">
        <f t="shared" si="154"/>
        <v/>
      </c>
      <c r="CX124" s="200">
        <f>IF($J124="",#N/A,SUM(CW$4:CW124))</f>
        <v>0</v>
      </c>
      <c r="CY124" s="201" t="str">
        <f t="shared" si="155"/>
        <v/>
      </c>
      <c r="CZ124" s="201">
        <f>IF($J124="",#N/A,SUM(CY$4:CY124))</f>
        <v>-1.9289529100071134</v>
      </c>
      <c r="DA124" s="202" t="str">
        <f t="shared" si="156"/>
        <v/>
      </c>
      <c r="DB124" s="202">
        <f>IF($J124="",#N/A,SUM(DA$4:DA124))</f>
        <v>-0.16932974967219971</v>
      </c>
      <c r="DC124" s="202">
        <f>IF($J124="",#N/A,SUM(DA$4:DA124,CY$4:CY124,CW$4:CW124))</f>
        <v>-2.0982826596793132</v>
      </c>
      <c r="DD124" s="200" t="str">
        <f t="shared" si="157"/>
        <v/>
      </c>
      <c r="DE124" s="200">
        <f>IF($J124="",#N/A,SUM(DD$4:DD124))</f>
        <v>0.4905246481018824</v>
      </c>
      <c r="DF124" s="201" t="str">
        <f t="shared" si="158"/>
        <v/>
      </c>
      <c r="DG124" s="201">
        <f>IF($J124="",#N/A,SUM(DF$4:DF124))</f>
        <v>0.77374072477919809</v>
      </c>
      <c r="DH124" s="202" t="str">
        <f t="shared" si="159"/>
        <v/>
      </c>
      <c r="DI124" s="202">
        <f>IF($J124="",#N/A,SUM(DH$4:DH124))</f>
        <v>-1.3154755601364099</v>
      </c>
      <c r="DJ124" s="202">
        <f>IF($J124="",#N/A,SUM(DH$4:DH124,DF$4:DF124,DD$4:DD124))</f>
        <v>-5.1210187255329387E-2</v>
      </c>
      <c r="DK124" s="200" t="str">
        <f t="shared" si="160"/>
        <v/>
      </c>
      <c r="DL124" s="200">
        <f>IF($J124="",#N/A,SUM(DK$4:DK124))</f>
        <v>-1.2097286851272664</v>
      </c>
      <c r="DM124" s="201" t="str">
        <f t="shared" si="161"/>
        <v/>
      </c>
      <c r="DN124" s="201">
        <f>IF($J124="",#N/A,SUM(DM$4:DM124))</f>
        <v>1.1910608267574658</v>
      </c>
      <c r="DO124" s="202" t="str">
        <f t="shared" si="162"/>
        <v/>
      </c>
      <c r="DP124" s="202">
        <f>IF($J124="",#N/A,SUM(DO$4:DO124))</f>
        <v>1.3495058802125319</v>
      </c>
      <c r="DQ124" s="202">
        <f>IF($J124="",#N/A,SUM(DO$4:DO124,DM$4:DM124,DK$4:DK124))</f>
        <v>1.3308380218427318</v>
      </c>
      <c r="DR124" s="200" t="str">
        <f t="shared" si="163"/>
        <v/>
      </c>
      <c r="DS124" s="200">
        <f>IF($J124="",#N/A,SUM(DR$4:DR124))</f>
        <v>-0.55950946427675097</v>
      </c>
      <c r="DT124" s="201" t="str">
        <f t="shared" si="164"/>
        <v/>
      </c>
      <c r="DU124" s="201">
        <f>IF($J124="",#N/A,SUM(DT$4:DT124))</f>
        <v>-2.8875364672150718</v>
      </c>
      <c r="DV124" s="202" t="str">
        <f t="shared" si="165"/>
        <v/>
      </c>
      <c r="DW124" s="202">
        <f>IF($J124="",#N/A,SUM(DV$4:DV124))</f>
        <v>-2.6814706788983136</v>
      </c>
      <c r="DX124" s="202">
        <f>IF($J124="",#N/A,SUM(DV$4:DV124,DT$4:DT124,DR$4:DR124))</f>
        <v>-6.1285166103901361</v>
      </c>
      <c r="DY124" s="200" t="str">
        <f t="shared" si="166"/>
        <v/>
      </c>
      <c r="DZ124" s="200">
        <f>IF($J124="",#N/A,SUM(DY$4:DY124))</f>
        <v>-1.2652059025281583</v>
      </c>
      <c r="EA124" s="201" t="str">
        <f t="shared" si="167"/>
        <v/>
      </c>
      <c r="EB124" s="201">
        <f>IF($J124="",#N/A,SUM(EA$4:EA124))</f>
        <v>-0.36153038830642437</v>
      </c>
      <c r="EC124" s="202" t="str">
        <f t="shared" si="168"/>
        <v/>
      </c>
      <c r="ED124" s="202">
        <f>IF($J124="",#N/A,SUM(EC$4:EC124))</f>
        <v>1.7103671484331777</v>
      </c>
      <c r="EE124" s="202">
        <f>IF($J124="",#N/A,SUM(EC$4:EC124,EA$4:EA124,DY$4:DY124))</f>
        <v>8.3630857598595065E-2</v>
      </c>
      <c r="EF124" s="200" t="str">
        <f t="shared" si="169"/>
        <v/>
      </c>
      <c r="EG124" s="200">
        <f>IF($J124="",#N/A,SUM(EF$4:EF124))</f>
        <v>0</v>
      </c>
      <c r="EH124" s="201" t="str">
        <f t="shared" si="170"/>
        <v/>
      </c>
      <c r="EI124" s="201">
        <f>IF($J124="",#N/A,SUM(EH$4:EH124))</f>
        <v>-2.6174111635897193</v>
      </c>
      <c r="EJ124" s="202" t="str">
        <f t="shared" si="171"/>
        <v/>
      </c>
      <c r="EK124" s="202">
        <f>IF($J124="",#N/A,SUM(EJ$4:EJ124))</f>
        <v>2.2873594184148476</v>
      </c>
      <c r="EL124" s="202">
        <f>IF($J124="",#N/A,SUM(EJ$4:EJ124,EH$4:EH124,EF$4:EF124))</f>
        <v>-0.33005174517487113</v>
      </c>
      <c r="EM124" s="200" t="str">
        <f t="shared" si="172"/>
        <v/>
      </c>
      <c r="EN124" s="200">
        <f>IF($J124="",#N/A,SUM(EM$4:EM124))</f>
        <v>0</v>
      </c>
      <c r="EO124" s="201">
        <f t="shared" si="173"/>
        <v>0.20874438820736982</v>
      </c>
      <c r="EP124" s="201">
        <f>IF($J124="",#N/A,SUM(EO$4:EO124))</f>
        <v>2.2865449370376734</v>
      </c>
      <c r="EQ124" s="202" t="str">
        <f t="shared" si="174"/>
        <v/>
      </c>
      <c r="ER124" s="202">
        <f>IF($J124="",#N/A,SUM(EQ$4:EQ124))</f>
        <v>0.4926597949853756</v>
      </c>
      <c r="ES124" s="202">
        <f>IF($J124="",#N/A,SUM(EQ$4:EQ124,EO$4:EO124,EM$4:EM124))</f>
        <v>2.7792047320230489</v>
      </c>
      <c r="ET124" s="200" t="str">
        <f t="shared" si="175"/>
        <v/>
      </c>
      <c r="EU124" s="200">
        <f>IF($J124="",#N/A,SUM(ET$4:ET124))</f>
        <v>0</v>
      </c>
      <c r="EV124" s="201" t="str">
        <f t="shared" si="176"/>
        <v/>
      </c>
      <c r="EW124" s="201">
        <f>IF($J124="",#N/A,SUM(EV$4:EV124))</f>
        <v>-0.34599923252657666</v>
      </c>
      <c r="EX124" s="202" t="str">
        <f t="shared" si="177"/>
        <v/>
      </c>
      <c r="EY124" s="202">
        <f>IF($J124="",#N/A,SUM(EX$4:EX124))</f>
        <v>2.0960106423519864E-3</v>
      </c>
      <c r="EZ124" s="202">
        <f>IF($J124="",#N/A,SUM(EX$4:EX124,EV$4:EV124,ET$4:ET124))</f>
        <v>-0.34390322188422467</v>
      </c>
      <c r="FA124" s="200" t="str">
        <f t="shared" si="178"/>
        <v/>
      </c>
      <c r="FB124" s="200">
        <f>IF($J124="",#N/A,SUM(FA$4:FA124))</f>
        <v>0</v>
      </c>
      <c r="FC124" s="201" t="str">
        <f t="shared" si="179"/>
        <v/>
      </c>
      <c r="FD124" s="201">
        <f>IF($J124="",#N/A,SUM(FC$4:FC124))</f>
        <v>1.6839191319663924</v>
      </c>
      <c r="FE124" s="202" t="str">
        <f t="shared" si="180"/>
        <v/>
      </c>
      <c r="FF124" s="202">
        <f>IF($J124="",#N/A,SUM(FE$4:FE124))</f>
        <v>-0.28811149078748233</v>
      </c>
      <c r="FG124" s="202">
        <f>IF($J124="",#N/A,SUM(FE$4:FE124,FC$4:FC124,FA$4:FA124))</f>
        <v>1.3958076411789102</v>
      </c>
      <c r="FH124" s="200" t="str">
        <f t="shared" si="181"/>
        <v/>
      </c>
      <c r="FI124" s="200">
        <f>IF($J124="",#N/A,SUM(FH$4:FH124))</f>
        <v>0</v>
      </c>
      <c r="FJ124" s="201" t="str">
        <f t="shared" si="182"/>
        <v/>
      </c>
      <c r="FK124" s="201">
        <f>IF($J124="",#N/A,SUM(FJ$4:FJ124))</f>
        <v>0</v>
      </c>
      <c r="FL124" s="202" t="str">
        <f t="shared" si="183"/>
        <v/>
      </c>
      <c r="FM124" s="202">
        <f>IF($J124="",#N/A,SUM(FL$4:FL124))</f>
        <v>0</v>
      </c>
      <c r="FN124" s="202">
        <f>IF($J124="",#N/A,SUM(FL$4:FL124,FJ$4:FJ124,FH$4:FH124))</f>
        <v>0</v>
      </c>
      <c r="FO124" s="200" t="str">
        <f t="shared" si="184"/>
        <v/>
      </c>
      <c r="FP124" s="200">
        <f>IF($J124="",#N/A,SUM(FO$4:FO124))</f>
        <v>0</v>
      </c>
      <c r="FQ124" s="201" t="str">
        <f t="shared" si="185"/>
        <v/>
      </c>
      <c r="FR124" s="201">
        <f>IF($J124="",#N/A,SUM(FQ$4:FQ124))</f>
        <v>0</v>
      </c>
      <c r="FS124" s="202" t="str">
        <f t="shared" si="186"/>
        <v/>
      </c>
      <c r="FT124" s="202">
        <f>IF($J124="",#N/A,SUM(FS$4:FS124))</f>
        <v>0</v>
      </c>
      <c r="FU124" s="202">
        <f>IF($J124="",#N/A,SUM(FS$4:FS124,FQ$4:FQ124,FO$4:FO124))</f>
        <v>0</v>
      </c>
      <c r="FV124" s="200" t="str">
        <f t="shared" si="187"/>
        <v/>
      </c>
      <c r="FW124" s="200">
        <f>IF($J124="",#N/A,SUM(FV$4:FV124))</f>
        <v>6.6834991831277585E-2</v>
      </c>
      <c r="FX124" s="201" t="str">
        <f t="shared" si="188"/>
        <v/>
      </c>
      <c r="FY124" s="201">
        <f>IF($J124="",#N/A,SUM(FX$4:FX124))</f>
        <v>0</v>
      </c>
      <c r="FZ124" s="202" t="str">
        <f t="shared" si="189"/>
        <v/>
      </c>
      <c r="GA124" s="202">
        <f>IF($J124="",#N/A,SUM(FZ$4:FZ124))</f>
        <v>0.79683476826625288</v>
      </c>
      <c r="GB124" s="202">
        <f>IF($J124="",#N/A,SUM(FZ$4:FZ124,FX$4:FX124,FV$4:FV124))</f>
        <v>0.86366976009753049</v>
      </c>
      <c r="GC124" s="200" t="str">
        <f t="shared" si="190"/>
        <v/>
      </c>
      <c r="GD124" s="200">
        <f>IF($J124="",#N/A,SUM(GC$4:GC124))</f>
        <v>0</v>
      </c>
      <c r="GE124" s="201" t="str">
        <f t="shared" si="191"/>
        <v/>
      </c>
      <c r="GF124" s="201">
        <f>IF($J124="",#N/A,SUM(GE$4:GE124))</f>
        <v>0</v>
      </c>
      <c r="GG124" s="202" t="str">
        <f t="shared" si="192"/>
        <v/>
      </c>
      <c r="GH124" s="202">
        <f>IF($J124="",#N/A,SUM(GG$4:GG124))</f>
        <v>-2.9368362277223206</v>
      </c>
      <c r="GI124" s="202">
        <f>IF($J124="",#N/A,SUM(GG$4:GG124,GE$4:GE124,GC$4:GC124))</f>
        <v>-2.9368362277223206</v>
      </c>
      <c r="GJ124" s="200" t="str">
        <f t="shared" si="193"/>
        <v/>
      </c>
      <c r="GK124" s="200">
        <f>IF($J124="",#N/A,SUM(GJ$4:GJ124))</f>
        <v>0</v>
      </c>
      <c r="GL124" s="201" t="str">
        <f t="shared" si="194"/>
        <v/>
      </c>
      <c r="GM124" s="201">
        <f>IF($J124="",#N/A,SUM(GL$4:GL124))</f>
        <v>-0.4054764861692941</v>
      </c>
      <c r="GN124" s="202" t="str">
        <f t="shared" si="195"/>
        <v/>
      </c>
      <c r="GO124" s="202">
        <f>IF($J124="",#N/A,SUM(GN$4:GN124))</f>
        <v>0</v>
      </c>
      <c r="GP124" s="202">
        <f>IF($J124="",#N/A,SUM(GN$4:GN124,GL$4:GL124,GJ$4:GJ124))</f>
        <v>-0.4054764861692941</v>
      </c>
      <c r="GS124" s="54">
        <f t="shared" si="214"/>
        <v>0.20874438820736982</v>
      </c>
      <c r="GT124" s="54">
        <f>IF(GS124="",NA(),SUM($GS$4:GS124))</f>
        <v>-1.8530378770390523</v>
      </c>
      <c r="GU124" s="54" t="str">
        <f t="shared" si="196"/>
        <v/>
      </c>
      <c r="GV124" s="54" t="e">
        <f>IF(GU124="",NA(),SUM($GU$4:GU124))</f>
        <v>#N/A</v>
      </c>
      <c r="GW124" s="54" t="str">
        <f t="shared" si="197"/>
        <v/>
      </c>
      <c r="GX124" s="54" t="e">
        <f>IF(GW124="",NA(),SUM($GW$4:GW124))</f>
        <v>#N/A</v>
      </c>
      <c r="GY124" s="54">
        <f t="shared" si="198"/>
        <v>0.20874438820736982</v>
      </c>
      <c r="GZ124" s="54">
        <f>IF(GY124="",NA(),SUM($GY$4:GY124))</f>
        <v>-0.99405996191993684</v>
      </c>
      <c r="HA124" s="54" t="str">
        <f t="shared" si="199"/>
        <v/>
      </c>
      <c r="HB124" s="54" t="e">
        <f>IF(HA124="",NA(),SUM($HA$4:HA124))</f>
        <v>#N/A</v>
      </c>
      <c r="HC124" s="54" t="str">
        <f t="shared" si="200"/>
        <v/>
      </c>
      <c r="HD124" s="54" t="e">
        <f>IF(HC124="",NA(),SUM($HC$4:HC124))</f>
        <v>#N/A</v>
      </c>
      <c r="HE124" s="54" t="str">
        <f t="shared" si="201"/>
        <v/>
      </c>
      <c r="HF124" s="54" t="e">
        <f>IF(HE124="",NA(),SUM($HE$4:HE124))</f>
        <v>#N/A</v>
      </c>
      <c r="HG124" s="54" t="str">
        <f t="shared" si="202"/>
        <v/>
      </c>
      <c r="HH124" s="54" t="e">
        <f>IF(HG124="",NA(),SUM($HG$4:HG124))</f>
        <v>#N/A</v>
      </c>
      <c r="HI124" s="172">
        <f t="shared" si="215"/>
        <v>-0.52329072660204257</v>
      </c>
      <c r="HJ124" s="172">
        <f>IF($J124="",#N/A,SUM(HI$4:$HI124))</f>
        <v>-3.9562562156703489</v>
      </c>
      <c r="HK124" s="54" t="str">
        <f t="shared" si="203"/>
        <v/>
      </c>
      <c r="HL124" s="54">
        <f>IF($J124="",#N/A,SUM($HK$4:HK124))</f>
        <v>-5.2584365376693087</v>
      </c>
      <c r="HM124" s="54" t="str">
        <f t="shared" si="204"/>
        <v/>
      </c>
      <c r="HN124" s="54">
        <f>IF($J124="",#N/A,SUM($HM$4:HM124))</f>
        <v>0.71812545963587882</v>
      </c>
      <c r="HO124" s="54" t="str">
        <f t="shared" si="205"/>
        <v/>
      </c>
      <c r="HP124" s="54">
        <f>IF($J124="",#N/A,SUM($HO$4:HO124))</f>
        <v>-1.004778156728636</v>
      </c>
      <c r="HQ124" s="54" t="str">
        <f t="shared" si="206"/>
        <v/>
      </c>
      <c r="HR124" s="54">
        <f>IF($J124="",#N/A,SUM($HQ$4:HQ124))</f>
        <v>-7.8137093743481518</v>
      </c>
      <c r="HS124" s="54" t="str">
        <f t="shared" si="207"/>
        <v/>
      </c>
      <c r="HT124" s="54">
        <f>IF($J124="",#N/A,SUM($HS$4:HS124))</f>
        <v>6.7084979759927093</v>
      </c>
      <c r="HU124" s="65">
        <f t="shared" si="208"/>
        <v>-0.31454633839467278</v>
      </c>
      <c r="HV124" s="65">
        <f>IF($J124="",#N/A,SUM(HU$4:$HU124))</f>
        <v>-11.981743843934106</v>
      </c>
    </row>
    <row r="125" spans="1:230" x14ac:dyDescent="0.25">
      <c r="A125" s="396" t="s">
        <v>1351</v>
      </c>
      <c r="B125" s="52" t="s">
        <v>4539</v>
      </c>
      <c r="C125" s="229">
        <f t="shared" si="109"/>
        <v>1</v>
      </c>
      <c r="D125" s="219" t="str">
        <f>_xlfn.XLOOKUP(A125,[1]SP500!$A$2:$A$502,[1]SP500!$D$2:$D$502,"N")</f>
        <v>Y</v>
      </c>
      <c r="E125" s="51" t="str">
        <f>IFERROR(_xlfn.XLOOKUP(A125,[1]SP500!$A$2:$A$655,[1]SP500!$B$2:$B$655),"")</f>
        <v>XLI</v>
      </c>
      <c r="F125" s="290">
        <v>45775</v>
      </c>
      <c r="G125" s="51" t="str">
        <f t="shared" si="110"/>
        <v>AMC</v>
      </c>
      <c r="H125" s="51" t="str">
        <f t="shared" si="111"/>
        <v>s</v>
      </c>
      <c r="I125" s="344">
        <v>229.08</v>
      </c>
      <c r="J125" s="123">
        <v>224</v>
      </c>
      <c r="K125" s="55">
        <f t="shared" si="112"/>
        <v>-2.2175659158372673E-2</v>
      </c>
      <c r="L125" s="67">
        <f t="shared" si="113"/>
        <v>-25.400000000000091</v>
      </c>
      <c r="M125" s="57">
        <f t="shared" si="114"/>
        <v>-9</v>
      </c>
      <c r="N125" s="102">
        <f t="shared" si="115"/>
        <v>-25.400000000000091</v>
      </c>
      <c r="O125" s="57">
        <f>IF(N125="",#N/A,SUM($N$4:N125))</f>
        <v>-309.52363589938807</v>
      </c>
      <c r="P125" s="65">
        <f t="shared" si="209"/>
        <v>-0.36959431930621167</v>
      </c>
      <c r="Q125" s="172">
        <f>IF($N125="",#N/A,SUM($P$4:P125))</f>
        <v>-1.7447813144524631</v>
      </c>
      <c r="R125" s="279">
        <f t="shared" si="116"/>
        <v>3.0347896533541592</v>
      </c>
      <c r="S125" s="51" t="str">
        <f t="shared" si="117"/>
        <v>Up</v>
      </c>
      <c r="T125" s="51" t="s">
        <v>4461</v>
      </c>
      <c r="U125" s="56">
        <f t="shared" si="118"/>
        <v>229.08</v>
      </c>
      <c r="V125" s="56" t="s">
        <v>4460</v>
      </c>
      <c r="W125" s="142">
        <v>5</v>
      </c>
      <c r="X125" s="145">
        <f t="shared" si="119"/>
        <v>1145.4000000000001</v>
      </c>
      <c r="Y125" s="140">
        <f t="shared" si="120"/>
        <v>5</v>
      </c>
      <c r="Z125" s="123">
        <v>222.2</v>
      </c>
      <c r="AA125" s="102">
        <f t="shared" si="121"/>
        <v>-34.400000000000091</v>
      </c>
      <c r="AB125" s="102">
        <f t="shared" si="122"/>
        <v>-1.4000000000000909</v>
      </c>
      <c r="AC125" s="124">
        <v>228.8</v>
      </c>
      <c r="AD125" s="155">
        <f t="shared" si="123"/>
        <v>-1.4000000000000909</v>
      </c>
      <c r="AE125" s="545">
        <f t="shared" si="124"/>
        <v>-2.0371340434201891E-2</v>
      </c>
      <c r="AF125" s="57">
        <f>IF($AC125="",#N/A,SUM(AD$4:AD125))</f>
        <v>-843.8704120024172</v>
      </c>
      <c r="AG125" s="102">
        <f t="shared" si="125"/>
        <v>24</v>
      </c>
      <c r="AH125" s="56" t="s">
        <v>2507</v>
      </c>
      <c r="AI125" s="65">
        <f t="shared" si="126"/>
        <v>-0.5005529363832153</v>
      </c>
      <c r="AJ125" s="54">
        <f>IF(AI125="",#N/A,SUM($AI$4:AI125))</f>
        <v>-4.7795709678066221</v>
      </c>
      <c r="AK125" s="57">
        <f t="shared" si="127"/>
        <v>-34.400000000000091</v>
      </c>
      <c r="AL125" s="349">
        <f>IF(AI125="",#N/A,IF(AH125="Skip",SUM($AK$4:AK125),SUM($AK$4:AK125)))</f>
        <v>-519.1474085071867</v>
      </c>
      <c r="AM125" s="65">
        <f t="shared" si="210"/>
        <v>-2.0371340434201891E-2</v>
      </c>
      <c r="AN125" s="209"/>
      <c r="AO125" s="65" t="str">
        <f t="shared" si="128"/>
        <v/>
      </c>
      <c r="AP125" s="65">
        <f>IF($AC125="",#N/A,SUM(AO$4:AO125))</f>
        <v>0.71488391145174113</v>
      </c>
      <c r="AQ125" s="65">
        <f t="shared" si="129"/>
        <v>-2.0371340434201891E-2</v>
      </c>
      <c r="AR125" s="65">
        <f>IF($AC125="",#N/A,SUM(AQ$4:AQ125))</f>
        <v>-2.7841084495259749</v>
      </c>
      <c r="AS125" s="65" t="str">
        <f t="shared" si="130"/>
        <v/>
      </c>
      <c r="AT125" s="65">
        <f>IF($AC125="",#N/A,SUM(AS$4:AS125))</f>
        <v>-9.93289064629408</v>
      </c>
      <c r="AU125" s="57" t="str">
        <f t="shared" si="211"/>
        <v/>
      </c>
      <c r="AV125" s="57">
        <f>IF($AC125="",#N/A,SUM(AU$4:AU125))</f>
        <v>-31.378793548749513</v>
      </c>
      <c r="AW125" s="57">
        <f t="shared" si="212"/>
        <v>-1.4000000000000909</v>
      </c>
      <c r="AX125" s="57">
        <f>IF($AC125="",#N/A,SUM(AW$4:AW125))</f>
        <v>-174.74000000000024</v>
      </c>
      <c r="AY125" s="57" t="str">
        <f t="shared" si="213"/>
        <v/>
      </c>
      <c r="AZ125" s="57">
        <f>IF($AC125="",#N/A,SUM(AY$4:AY125))</f>
        <v>-637.75161845366745</v>
      </c>
      <c r="BA125" s="57">
        <f>IF(AD125="",#N/A,SUM($AD$4:AD125))</f>
        <v>-843.8704120024172</v>
      </c>
      <c r="BC125" s="51" t="str">
        <f t="shared" si="131"/>
        <v/>
      </c>
      <c r="BD125" s="51" t="str">
        <f t="shared" si="132"/>
        <v/>
      </c>
      <c r="BE125" s="51" t="str">
        <f t="shared" si="133"/>
        <v/>
      </c>
      <c r="BF125" s="51" t="str">
        <f t="shared" si="134"/>
        <v>Long</v>
      </c>
      <c r="BG125" s="51" t="str">
        <f t="shared" si="135"/>
        <v/>
      </c>
      <c r="BH125" s="51">
        <f t="shared" si="136"/>
        <v>1</v>
      </c>
      <c r="BI125" s="51" t="str">
        <f t="shared" si="137"/>
        <v/>
      </c>
      <c r="BK125" s="65">
        <f t="shared" si="217"/>
        <v>-6.8060575081134264E-2</v>
      </c>
      <c r="BL125" s="65">
        <f t="shared" si="216"/>
        <v>8.9195851033198811E-3</v>
      </c>
      <c r="BM125" s="65">
        <f>IFERROR(Q125/COUNTA($J$4:J125),#N/A)</f>
        <v>-1.4301486184036583E-2</v>
      </c>
      <c r="BO125" s="489" t="e">
        <f>IF(J125="",#N/A,IF(S125="SW",(COUNTIFS(K$4:$K125,"&gt;0",S$4:$S125,"SW")/COUNTIF(S$4:$S125,"SW")),#N/A))</f>
        <v>#N/A</v>
      </c>
      <c r="BP125" s="489" t="e">
        <f>IF($J125="",#N/A,IF($S125="DWN",(COUNTIFS($K$4:$K125,"&lt;0",$S$4:$S125,"DWN")/COUNTIF($S$4:$S125,"DWN")),#N/A))</f>
        <v>#N/A</v>
      </c>
      <c r="BQ125" s="489">
        <f>IF($J125="",#N/A,IF($S125="UP",(COUNTIFS($K$4:$K125,"&gt;0",$S$4:$S125,"UP")/COUNTIF($S$4:$S125,"UP")),#N/A))</f>
        <v>0.42857142857142855</v>
      </c>
      <c r="BR125" s="489">
        <f>IF(J125="",#N/A,COUNTIF($K$4:K125,"&gt;0")/COUNT($J$4:J125))</f>
        <v>0.45901639344262296</v>
      </c>
      <c r="BS125" s="65" t="str">
        <f t="shared" si="138"/>
        <v/>
      </c>
      <c r="BT125" s="65">
        <f t="shared" si="139"/>
        <v>-0.36959431930621167</v>
      </c>
      <c r="BU125" s="65" t="str">
        <f t="shared" si="140"/>
        <v/>
      </c>
      <c r="BV125" s="65" t="str">
        <f t="shared" si="141"/>
        <v/>
      </c>
      <c r="BW125" s="128">
        <f t="shared" si="142"/>
        <v>-25.400000000000091</v>
      </c>
      <c r="BX125" s="128">
        <f>IF($J125="",#N/A,SUM($BW$4:BW125))</f>
        <v>-181.36500000000035</v>
      </c>
      <c r="BY125" s="131" t="str">
        <f t="shared" si="143"/>
        <v/>
      </c>
      <c r="BZ125" s="131">
        <f>IF($J125="",#N/A,SUM($BY$4:BY125))</f>
        <v>-108.48065961066686</v>
      </c>
      <c r="CA125" s="133" t="str">
        <f t="shared" si="144"/>
        <v/>
      </c>
      <c r="CB125" s="133">
        <f>IF($J125="",#N/A,SUM($CA$4:CA125))</f>
        <v>-19.677976288720856</v>
      </c>
      <c r="CC125" s="194">
        <f t="shared" si="145"/>
        <v>-0.36959431930621167</v>
      </c>
      <c r="CD125" s="194">
        <f>IF($J125="",#N/A,SUM($CC$4:CC125))</f>
        <v>-2.8466787313052277</v>
      </c>
      <c r="CE125" s="195" t="str">
        <f t="shared" si="146"/>
        <v/>
      </c>
      <c r="CF125" s="195">
        <f>IF($J125="",#N/A,SUM($CE$4:CE125))</f>
        <v>-0.71819789295441994</v>
      </c>
      <c r="CG125" s="196" t="str">
        <f t="shared" si="147"/>
        <v/>
      </c>
      <c r="CH125" s="193">
        <f>IF($J125="",#N/A,SUM($CG$4:CG125))</f>
        <v>1.8200953098071886</v>
      </c>
      <c r="CI125" s="200" t="str">
        <f t="shared" si="148"/>
        <v/>
      </c>
      <c r="CJ125" s="203">
        <f>IF($J125="",#N/A,SUM(CI$4:CI125))</f>
        <v>0</v>
      </c>
      <c r="CK125" s="204" t="str">
        <f t="shared" si="149"/>
        <v/>
      </c>
      <c r="CL125" s="204">
        <f>IF($J125="",#N/A,SUM(CK$4:CK125))</f>
        <v>1.8934431343190481</v>
      </c>
      <c r="CM125" s="205" t="str">
        <f t="shared" si="150"/>
        <v/>
      </c>
      <c r="CN125" s="205">
        <f>IF($J125="",#N/A,SUM(CM$4:CM125))</f>
        <v>2.5724959960693745</v>
      </c>
      <c r="CO125" s="205">
        <f>IF($J125="",#N/A,SUM(CM$4:CM125,CK$4:CK125,CI$4:CI125))</f>
        <v>4.4659391303884224</v>
      </c>
      <c r="CP125" s="200" t="str">
        <f t="shared" si="151"/>
        <v/>
      </c>
      <c r="CQ125" s="203">
        <f>IF($J125="",#N/A,SUM(CP$4:CP125))</f>
        <v>0</v>
      </c>
      <c r="CR125" s="204" t="str">
        <f t="shared" si="152"/>
        <v/>
      </c>
      <c r="CS125" s="204">
        <f>IF($J125="",#N/A,SUM(CR$4:CR125))</f>
        <v>0</v>
      </c>
      <c r="CT125" s="205" t="str">
        <f t="shared" si="153"/>
        <v/>
      </c>
      <c r="CU125" s="205">
        <f>IF($J125="",#N/A,SUM(CT$4:CT125))</f>
        <v>0</v>
      </c>
      <c r="CV125" s="205">
        <f>IF($J125="",#N/A,SUM(CT$4:CT125,CR$4:CR125,CP$4:CP125))</f>
        <v>0</v>
      </c>
      <c r="CW125" s="200" t="str">
        <f t="shared" si="154"/>
        <v/>
      </c>
      <c r="CX125" s="203">
        <f>IF($J125="",#N/A,SUM(CW$4:CW125))</f>
        <v>0</v>
      </c>
      <c r="CY125" s="204" t="str">
        <f t="shared" si="155"/>
        <v/>
      </c>
      <c r="CZ125" s="204">
        <f>IF($J125="",#N/A,SUM(CY$4:CY125))</f>
        <v>-1.9289529100071134</v>
      </c>
      <c r="DA125" s="205" t="str">
        <f t="shared" si="156"/>
        <v/>
      </c>
      <c r="DB125" s="205">
        <f>IF($J125="",#N/A,SUM(DA$4:DA125))</f>
        <v>-0.16932974967219971</v>
      </c>
      <c r="DC125" s="205">
        <f>IF($J125="",#N/A,SUM(DA$4:DA125,CY$4:CY125,CW$4:CW125))</f>
        <v>-2.0982826596793132</v>
      </c>
      <c r="DD125" s="200" t="str">
        <f t="shared" si="157"/>
        <v/>
      </c>
      <c r="DE125" s="203">
        <f>IF($J125="",#N/A,SUM(DD$4:DD125))</f>
        <v>0.4905246481018824</v>
      </c>
      <c r="DF125" s="204" t="str">
        <f t="shared" si="158"/>
        <v/>
      </c>
      <c r="DG125" s="204">
        <f>IF($J125="",#N/A,SUM(DF$4:DF125))</f>
        <v>0.77374072477919809</v>
      </c>
      <c r="DH125" s="205" t="str">
        <f t="shared" si="159"/>
        <v/>
      </c>
      <c r="DI125" s="205">
        <f>IF($J125="",#N/A,SUM(DH$4:DH125))</f>
        <v>-1.3154755601364099</v>
      </c>
      <c r="DJ125" s="205">
        <f>IF($J125="",#N/A,SUM(DH$4:DH125,DF$4:DF125,DD$4:DD125))</f>
        <v>-5.1210187255329387E-2</v>
      </c>
      <c r="DK125" s="200" t="str">
        <f t="shared" si="160"/>
        <v/>
      </c>
      <c r="DL125" s="203">
        <f>IF($J125="",#N/A,SUM(DK$4:DK125))</f>
        <v>-1.2097286851272664</v>
      </c>
      <c r="DM125" s="204" t="str">
        <f t="shared" si="161"/>
        <v/>
      </c>
      <c r="DN125" s="204">
        <f>IF($J125="",#N/A,SUM(DM$4:DM125))</f>
        <v>1.1910608267574658</v>
      </c>
      <c r="DO125" s="205" t="str">
        <f t="shared" si="162"/>
        <v/>
      </c>
      <c r="DP125" s="205">
        <f>IF($J125="",#N/A,SUM(DO$4:DO125))</f>
        <v>1.3495058802125319</v>
      </c>
      <c r="DQ125" s="205">
        <f>IF($J125="",#N/A,SUM(DO$4:DO125,DM$4:DM125,DK$4:DK125))</f>
        <v>1.3308380218427318</v>
      </c>
      <c r="DR125" s="200" t="str">
        <f t="shared" si="163"/>
        <v/>
      </c>
      <c r="DS125" s="203">
        <f>IF($J125="",#N/A,SUM(DR$4:DR125))</f>
        <v>-0.55950946427675097</v>
      </c>
      <c r="DT125" s="204" t="str">
        <f t="shared" si="164"/>
        <v/>
      </c>
      <c r="DU125" s="204">
        <f>IF($J125="",#N/A,SUM(DT$4:DT125))</f>
        <v>-2.8875364672150718</v>
      </c>
      <c r="DV125" s="205" t="str">
        <f t="shared" si="165"/>
        <v/>
      </c>
      <c r="DW125" s="205">
        <f>IF($J125="",#N/A,SUM(DV$4:DV125))</f>
        <v>-2.6814706788983136</v>
      </c>
      <c r="DX125" s="205">
        <f>IF($J125="",#N/A,SUM(DV$4:DV125,DT$4:DT125,DR$4:DR125))</f>
        <v>-6.1285166103901361</v>
      </c>
      <c r="DY125" s="200">
        <f t="shared" si="166"/>
        <v>-0.36959431930621167</v>
      </c>
      <c r="DZ125" s="203">
        <f>IF($J125="",#N/A,SUM(DY$4:DY125))</f>
        <v>-1.63480022183437</v>
      </c>
      <c r="EA125" s="204" t="str">
        <f t="shared" si="167"/>
        <v/>
      </c>
      <c r="EB125" s="204">
        <f>IF($J125="",#N/A,SUM(EA$4:EA125))</f>
        <v>-0.36153038830642437</v>
      </c>
      <c r="EC125" s="205" t="str">
        <f t="shared" si="168"/>
        <v/>
      </c>
      <c r="ED125" s="205">
        <f>IF($J125="",#N/A,SUM(EC$4:EC125))</f>
        <v>1.7103671484331777</v>
      </c>
      <c r="EE125" s="205">
        <f>IF($J125="",#N/A,SUM(EC$4:EC125,EA$4:EA125,DY$4:DY125))</f>
        <v>-0.28596346170761661</v>
      </c>
      <c r="EF125" s="200" t="str">
        <f t="shared" si="169"/>
        <v/>
      </c>
      <c r="EG125" s="203">
        <f>IF($J125="",#N/A,SUM(EF$4:EF125))</f>
        <v>0</v>
      </c>
      <c r="EH125" s="204" t="str">
        <f t="shared" si="170"/>
        <v/>
      </c>
      <c r="EI125" s="204">
        <f>IF($J125="",#N/A,SUM(EH$4:EH125))</f>
        <v>-2.6174111635897193</v>
      </c>
      <c r="EJ125" s="205" t="str">
        <f t="shared" si="171"/>
        <v/>
      </c>
      <c r="EK125" s="205">
        <f>IF($J125="",#N/A,SUM(EJ$4:EJ125))</f>
        <v>2.2873594184148476</v>
      </c>
      <c r="EL125" s="205">
        <f>IF($J125="",#N/A,SUM(EJ$4:EJ125,EH$4:EH125,EF$4:EF125))</f>
        <v>-0.33005174517487113</v>
      </c>
      <c r="EM125" s="200" t="str">
        <f t="shared" si="172"/>
        <v/>
      </c>
      <c r="EN125" s="203">
        <f>IF($J125="",#N/A,SUM(EM$4:EM125))</f>
        <v>0</v>
      </c>
      <c r="EO125" s="204" t="str">
        <f t="shared" si="173"/>
        <v/>
      </c>
      <c r="EP125" s="204">
        <f>IF($J125="",#N/A,SUM(EO$4:EO125))</f>
        <v>2.2865449370376734</v>
      </c>
      <c r="EQ125" s="205" t="str">
        <f t="shared" si="174"/>
        <v/>
      </c>
      <c r="ER125" s="205">
        <f>IF($J125="",#N/A,SUM(EQ$4:EQ125))</f>
        <v>0.4926597949853756</v>
      </c>
      <c r="ES125" s="205">
        <f>IF($J125="",#N/A,SUM(EQ$4:EQ125,EO$4:EO125,EM$4:EM125))</f>
        <v>2.7792047320230489</v>
      </c>
      <c r="ET125" s="200" t="str">
        <f t="shared" si="175"/>
        <v/>
      </c>
      <c r="EU125" s="203">
        <f>IF($J125="",#N/A,SUM(ET$4:ET125))</f>
        <v>0</v>
      </c>
      <c r="EV125" s="204" t="str">
        <f t="shared" si="176"/>
        <v/>
      </c>
      <c r="EW125" s="204">
        <f>IF($J125="",#N/A,SUM(EV$4:EV125))</f>
        <v>-0.34599923252657666</v>
      </c>
      <c r="EX125" s="205" t="str">
        <f t="shared" si="177"/>
        <v/>
      </c>
      <c r="EY125" s="205">
        <f>IF($J125="",#N/A,SUM(EX$4:EX125))</f>
        <v>2.0960106423519864E-3</v>
      </c>
      <c r="EZ125" s="205">
        <f>IF($J125="",#N/A,SUM(EX$4:EX125,EV$4:EV125,ET$4:ET125))</f>
        <v>-0.34390322188422467</v>
      </c>
      <c r="FA125" s="200" t="str">
        <f t="shared" si="178"/>
        <v/>
      </c>
      <c r="FB125" s="203">
        <f>IF($J125="",#N/A,SUM(FA$4:FA125))</f>
        <v>0</v>
      </c>
      <c r="FC125" s="204" t="str">
        <f t="shared" si="179"/>
        <v/>
      </c>
      <c r="FD125" s="204">
        <f>IF($J125="",#N/A,SUM(FC$4:FC125))</f>
        <v>1.6839191319663924</v>
      </c>
      <c r="FE125" s="205" t="str">
        <f t="shared" si="180"/>
        <v/>
      </c>
      <c r="FF125" s="205">
        <f>IF($J125="",#N/A,SUM(FE$4:FE125))</f>
        <v>-0.28811149078748233</v>
      </c>
      <c r="FG125" s="205">
        <f>IF($J125="",#N/A,SUM(FE$4:FE125,FC$4:FC125,FA$4:FA125))</f>
        <v>1.3958076411789102</v>
      </c>
      <c r="FH125" s="200" t="str">
        <f t="shared" si="181"/>
        <v/>
      </c>
      <c r="FI125" s="203">
        <f>IF($J125="",#N/A,SUM(FH$4:FH125))</f>
        <v>0</v>
      </c>
      <c r="FJ125" s="204" t="str">
        <f t="shared" si="182"/>
        <v/>
      </c>
      <c r="FK125" s="204">
        <f>IF($J125="",#N/A,SUM(FJ$4:FJ125))</f>
        <v>0</v>
      </c>
      <c r="FL125" s="205" t="str">
        <f t="shared" si="183"/>
        <v/>
      </c>
      <c r="FM125" s="205">
        <f>IF($J125="",#N/A,SUM(FL$4:FL125))</f>
        <v>0</v>
      </c>
      <c r="FN125" s="205">
        <f>IF($J125="",#N/A,SUM(FL$4:FL125,FJ$4:FJ125,FH$4:FH125))</f>
        <v>0</v>
      </c>
      <c r="FO125" s="200" t="str">
        <f t="shared" si="184"/>
        <v/>
      </c>
      <c r="FP125" s="203">
        <f>IF($J125="",#N/A,SUM(FO$4:FO125))</f>
        <v>0</v>
      </c>
      <c r="FQ125" s="204" t="str">
        <f t="shared" si="185"/>
        <v/>
      </c>
      <c r="FR125" s="204">
        <f>IF($J125="",#N/A,SUM(FQ$4:FQ125))</f>
        <v>0</v>
      </c>
      <c r="FS125" s="205" t="str">
        <f t="shared" si="186"/>
        <v/>
      </c>
      <c r="FT125" s="205">
        <f>IF($J125="",#N/A,SUM(FS$4:FS125))</f>
        <v>0</v>
      </c>
      <c r="FU125" s="205">
        <f>IF($J125="",#N/A,SUM(FS$4:FS125,FQ$4:FQ125,FO$4:FO125))</f>
        <v>0</v>
      </c>
      <c r="FV125" s="200" t="str">
        <f t="shared" si="187"/>
        <v/>
      </c>
      <c r="FW125" s="203">
        <f>IF($J125="",#N/A,SUM(FV$4:FV125))</f>
        <v>6.6834991831277585E-2</v>
      </c>
      <c r="FX125" s="204" t="str">
        <f t="shared" si="188"/>
        <v/>
      </c>
      <c r="FY125" s="204">
        <f>IF($J125="",#N/A,SUM(FX$4:FX125))</f>
        <v>0</v>
      </c>
      <c r="FZ125" s="205" t="str">
        <f t="shared" si="189"/>
        <v/>
      </c>
      <c r="GA125" s="205">
        <f>IF($J125="",#N/A,SUM(FZ$4:FZ125))</f>
        <v>0.79683476826625288</v>
      </c>
      <c r="GB125" s="205">
        <f>IF($J125="",#N/A,SUM(FZ$4:FZ125,FX$4:FX125,FV$4:FV125))</f>
        <v>0.86366976009753049</v>
      </c>
      <c r="GC125" s="200" t="str">
        <f t="shared" si="190"/>
        <v/>
      </c>
      <c r="GD125" s="203">
        <f>IF($J125="",#N/A,SUM(GC$4:GC125))</f>
        <v>0</v>
      </c>
      <c r="GE125" s="204" t="str">
        <f t="shared" si="191"/>
        <v/>
      </c>
      <c r="GF125" s="204">
        <f>IF($J125="",#N/A,SUM(GE$4:GE125))</f>
        <v>0</v>
      </c>
      <c r="GG125" s="205" t="str">
        <f t="shared" si="192"/>
        <v/>
      </c>
      <c r="GH125" s="205">
        <f>IF($J125="",#N/A,SUM(GG$4:GG125))</f>
        <v>-2.9368362277223206</v>
      </c>
      <c r="GI125" s="205">
        <f>IF($J125="",#N/A,SUM(GG$4:GG125,GE$4:GE125,GC$4:GC125))</f>
        <v>-2.9368362277223206</v>
      </c>
      <c r="GJ125" s="200" t="str">
        <f t="shared" si="193"/>
        <v/>
      </c>
      <c r="GK125" s="203">
        <f>IF($J125="",#N/A,SUM(GJ$4:GJ125))</f>
        <v>0</v>
      </c>
      <c r="GL125" s="204" t="str">
        <f t="shared" si="194"/>
        <v/>
      </c>
      <c r="GM125" s="204">
        <f>IF($J125="",#N/A,SUM(GL$4:GL125))</f>
        <v>-0.4054764861692941</v>
      </c>
      <c r="GN125" s="205" t="str">
        <f t="shared" si="195"/>
        <v/>
      </c>
      <c r="GO125" s="205">
        <f>IF($J125="",#N/A,SUM(GN$4:GN125))</f>
        <v>0</v>
      </c>
      <c r="GP125" s="205">
        <f>IF($J125="",#N/A,SUM(GN$4:GN125,GL$4:GL125,GJ$4:GJ125))</f>
        <v>-0.4054764861692941</v>
      </c>
      <c r="GS125" s="54">
        <f t="shared" si="214"/>
        <v>-0.36959431930621167</v>
      </c>
      <c r="GT125" s="54">
        <f>IF(GS125="",NA(),SUM($GS$4:GS125))</f>
        <v>-2.222632196345264</v>
      </c>
      <c r="GU125" s="54">
        <f t="shared" si="196"/>
        <v>-0.36959431930621167</v>
      </c>
      <c r="GV125" s="54">
        <f>IF(GU125="",NA(),SUM($GU$4:GU125))</f>
        <v>-2.8466787313052277</v>
      </c>
      <c r="GW125" s="54" t="str">
        <f t="shared" si="197"/>
        <v/>
      </c>
      <c r="GX125" s="54" t="e">
        <f>IF(GW125="",NA(),SUM($GW$4:GW125))</f>
        <v>#N/A</v>
      </c>
      <c r="GY125" s="54" t="str">
        <f t="shared" si="198"/>
        <v/>
      </c>
      <c r="GZ125" s="54" t="e">
        <f>IF(GY125="",NA(),SUM($GY$4:GY125))</f>
        <v>#N/A</v>
      </c>
      <c r="HA125" s="54" t="str">
        <f t="shared" si="199"/>
        <v/>
      </c>
      <c r="HB125" s="54" t="e">
        <f>IF(HA125="",NA(),SUM($HA$4:HA125))</f>
        <v>#N/A</v>
      </c>
      <c r="HC125" s="54" t="str">
        <f t="shared" si="200"/>
        <v/>
      </c>
      <c r="HD125" s="54" t="e">
        <f>IF(HC125="",NA(),SUM($HC$4:HC125))</f>
        <v>#N/A</v>
      </c>
      <c r="HE125" s="54" t="str">
        <f t="shared" si="201"/>
        <v/>
      </c>
      <c r="HF125" s="54" t="e">
        <f>IF(HE125="",NA(),SUM($HE$4:HE125))</f>
        <v>#N/A</v>
      </c>
      <c r="HG125" s="54" t="str">
        <f t="shared" si="202"/>
        <v/>
      </c>
      <c r="HH125" s="54" t="e">
        <f>IF(HG125="",NA(),SUM($HG$4:HG125))</f>
        <v>#N/A</v>
      </c>
      <c r="HI125" s="172" t="str">
        <f t="shared" si="215"/>
        <v/>
      </c>
      <c r="HJ125" s="172">
        <f>IF($J125="",#N/A,SUM(HI$4:$HI125))</f>
        <v>-3.9562562156703489</v>
      </c>
      <c r="HK125" s="54" t="str">
        <f t="shared" si="203"/>
        <v/>
      </c>
      <c r="HL125" s="54">
        <f>IF($J125="",#N/A,SUM($HK$4:HK125))</f>
        <v>-5.2584365376693087</v>
      </c>
      <c r="HM125" s="54" t="str">
        <f t="shared" si="204"/>
        <v/>
      </c>
      <c r="HN125" s="54">
        <f>IF($J125="",#N/A,SUM($HM$4:HM125))</f>
        <v>0.71812545963587882</v>
      </c>
      <c r="HO125" s="54">
        <f t="shared" si="205"/>
        <v>0.34922297887200976</v>
      </c>
      <c r="HP125" s="54">
        <f>IF($J125="",#N/A,SUM($HO$4:HO125))</f>
        <v>-0.6555551778566262</v>
      </c>
      <c r="HQ125" s="54" t="str">
        <f t="shared" si="206"/>
        <v/>
      </c>
      <c r="HR125" s="54">
        <f>IF($J125="",#N/A,SUM($HQ$4:HQ125))</f>
        <v>-7.8137093743481518</v>
      </c>
      <c r="HS125" s="54" t="str">
        <f t="shared" si="207"/>
        <v/>
      </c>
      <c r="HT125" s="54">
        <f>IF($J125="",#N/A,SUM($HS$4:HS125))</f>
        <v>6.7084979759927093</v>
      </c>
      <c r="HU125" s="65">
        <f t="shared" si="208"/>
        <v>-2.0371340434201891E-2</v>
      </c>
      <c r="HV125" s="65">
        <f>IF($J125="",#N/A,SUM(HU$4:$HU125))</f>
        <v>-12.002115184368309</v>
      </c>
    </row>
    <row r="126" spans="1:230" x14ac:dyDescent="0.25">
      <c r="A126" s="51" t="s">
        <v>1458</v>
      </c>
      <c r="B126" s="52" t="s">
        <v>4539</v>
      </c>
      <c r="C126" s="229">
        <f t="shared" si="109"/>
        <v>3</v>
      </c>
      <c r="D126" s="219" t="str">
        <f>_xlfn.XLOOKUP(A126,[1]SP500!$A$2:$A$502,[1]SP500!$D$2:$D$502,"N")</f>
        <v>Y</v>
      </c>
      <c r="E126" s="51" t="str">
        <f>IFERROR(_xlfn.XLOOKUP(A126,[1]SP500!$A$2:$A$655,[1]SP500!$B$2:$B$655),"")</f>
        <v>INS</v>
      </c>
      <c r="F126" s="290">
        <v>45775</v>
      </c>
      <c r="G126" s="51" t="str">
        <f t="shared" si="110"/>
        <v>AMC</v>
      </c>
      <c r="H126" s="51" t="str">
        <f t="shared" si="111"/>
        <v>s</v>
      </c>
      <c r="I126" s="344">
        <v>114.88</v>
      </c>
      <c r="J126" s="124">
        <v>107.68</v>
      </c>
      <c r="K126" s="55">
        <f t="shared" si="112"/>
        <v>-6.2674094707520792E-2</v>
      </c>
      <c r="L126" s="67">
        <f t="shared" si="113"/>
        <v>-71.999999999999773</v>
      </c>
      <c r="M126" s="57">
        <f t="shared" si="114"/>
        <v>0</v>
      </c>
      <c r="N126" s="155">
        <f t="shared" si="115"/>
        <v>-71.999999999999773</v>
      </c>
      <c r="O126" s="156">
        <f>IF(N126="",#N/A,SUM($N$4:N126))</f>
        <v>-381.52363589938784</v>
      </c>
      <c r="P126" s="65">
        <f t="shared" si="209"/>
        <v>-1.0445682451253449</v>
      </c>
      <c r="Q126" s="172">
        <f>IF($N126="",#N/A,SUM($P$4:P126))</f>
        <v>-2.7893495595778077</v>
      </c>
      <c r="R126" s="279">
        <f t="shared" si="116"/>
        <v>3.0347896533541592</v>
      </c>
      <c r="S126" s="51" t="str">
        <f t="shared" si="117"/>
        <v>SW</v>
      </c>
      <c r="T126" s="51" t="s">
        <v>2828</v>
      </c>
      <c r="U126" s="56">
        <f t="shared" si="118"/>
        <v>114.88</v>
      </c>
      <c r="V126" s="56" t="s">
        <v>4460</v>
      </c>
      <c r="W126" s="142">
        <v>10</v>
      </c>
      <c r="X126" s="145">
        <f t="shared" si="119"/>
        <v>1148.8</v>
      </c>
      <c r="Y126" s="140">
        <f t="shared" si="120"/>
        <v>10</v>
      </c>
      <c r="Z126" s="123">
        <v>107.68</v>
      </c>
      <c r="AA126" s="102">
        <f t="shared" si="121"/>
        <v>-71.999999999999773</v>
      </c>
      <c r="AB126" s="102">
        <f t="shared" si="122"/>
        <v>-68.900000000000091</v>
      </c>
      <c r="AC126" s="124">
        <v>107.99</v>
      </c>
      <c r="AD126" s="155">
        <f t="shared" si="123"/>
        <v>-68.900000000000091</v>
      </c>
      <c r="AE126" s="545">
        <f t="shared" si="124"/>
        <v>-0.99959377901578594</v>
      </c>
      <c r="AF126" s="57">
        <f>IF($AC126="",#N/A,SUM(AD$4:AD126))</f>
        <v>-912.77041200241729</v>
      </c>
      <c r="AG126" s="102">
        <f t="shared" si="125"/>
        <v>3.0999999999996817</v>
      </c>
      <c r="AH126" s="57" t="s">
        <v>2507</v>
      </c>
      <c r="AI126" s="65">
        <f t="shared" si="126"/>
        <v>-1.0445682451253449</v>
      </c>
      <c r="AJ126" s="54">
        <f>IF(AI126="",#N/A,SUM($AI$4:AI126))</f>
        <v>-5.8241392129319669</v>
      </c>
      <c r="AK126" s="57">
        <f t="shared" si="127"/>
        <v>-71.999999999999773</v>
      </c>
      <c r="AL126" s="58">
        <f>IF(AI126="",#N/A,IF(AH126="Skip",SUM($AK$4:AK126),SUM($AK$4:AK126)))</f>
        <v>-591.14740850718647</v>
      </c>
      <c r="AM126" s="65">
        <f t="shared" si="210"/>
        <v>-0.99959377901578594</v>
      </c>
      <c r="AN126" s="209"/>
      <c r="AO126" s="65">
        <f t="shared" si="128"/>
        <v>-0.99959377901578594</v>
      </c>
      <c r="AP126" s="65">
        <f>IF($AC126="",#N/A,SUM(AO$4:AO126))</f>
        <v>-0.28470986756404482</v>
      </c>
      <c r="AQ126" s="65" t="str">
        <f t="shared" si="129"/>
        <v/>
      </c>
      <c r="AR126" s="65">
        <f>IF($AC126="",#N/A,SUM(AQ$4:AQ126))</f>
        <v>-2.7841084495259749</v>
      </c>
      <c r="AS126" s="65" t="str">
        <f t="shared" si="130"/>
        <v/>
      </c>
      <c r="AT126" s="65">
        <f>IF($AC126="",#N/A,SUM(AS$4:AS126))</f>
        <v>-9.93289064629408</v>
      </c>
      <c r="AU126" s="57">
        <f t="shared" si="211"/>
        <v>-68.900000000000091</v>
      </c>
      <c r="AV126" s="57">
        <f>IF($AC126="",#N/A,SUM(AU$4:AU126))</f>
        <v>-100.2787935487496</v>
      </c>
      <c r="AW126" s="57" t="str">
        <f t="shared" si="212"/>
        <v/>
      </c>
      <c r="AX126" s="57">
        <f>IF($AC126="",#N/A,SUM(AW$4:AW126))</f>
        <v>-174.74000000000024</v>
      </c>
      <c r="AY126" s="57" t="str">
        <f t="shared" si="213"/>
        <v/>
      </c>
      <c r="AZ126" s="57">
        <f>IF($AC126="",#N/A,SUM(AY$4:AY126))</f>
        <v>-637.75161845366745</v>
      </c>
      <c r="BA126" s="57">
        <f>IF(AD126="",#N/A,SUM($AD$4:AD126))</f>
        <v>-912.77041200241729</v>
      </c>
      <c r="BC126" s="51" t="str">
        <f t="shared" si="131"/>
        <v/>
      </c>
      <c r="BD126" s="51" t="str">
        <f t="shared" si="132"/>
        <v/>
      </c>
      <c r="BE126" s="51" t="str">
        <f t="shared" si="133"/>
        <v/>
      </c>
      <c r="BF126" s="51" t="str">
        <f t="shared" si="134"/>
        <v>Long</v>
      </c>
      <c r="BG126" s="51" t="str">
        <f t="shared" si="135"/>
        <v/>
      </c>
      <c r="BH126" s="51" t="str">
        <f t="shared" si="136"/>
        <v/>
      </c>
      <c r="BI126" s="51">
        <f t="shared" si="137"/>
        <v>1</v>
      </c>
      <c r="BK126" s="65">
        <f t="shared" si="217"/>
        <v>-8.5106719217022966E-2</v>
      </c>
      <c r="BL126" s="65">
        <f t="shared" si="216"/>
        <v>-1.7856892096441649E-2</v>
      </c>
      <c r="BM126" s="65">
        <f>IFERROR(Q126/COUNTA($J$4:J126),#N/A)</f>
        <v>-2.2677638695754534E-2</v>
      </c>
      <c r="BO126" s="489">
        <f>IF(J126="",#N/A,IF(S126="SW",(COUNTIFS(K$4:$K126,"&gt;0",S$4:$S126,"SW")/COUNTIF(S$4:$S126,"SW")),#N/A))</f>
        <v>0.47826086956521741</v>
      </c>
      <c r="BP126" s="489" t="e">
        <f>IF($J126="",#N/A,IF($S126="DWN",(COUNTIFS($K$4:$K126,"&lt;0",$S$4:$S126,"DWN")/COUNTIF($S$4:$S126,"DWN")),#N/A))</f>
        <v>#N/A</v>
      </c>
      <c r="BQ126" s="489" t="e">
        <f>IF($J126="",#N/A,IF($S126="UP",(COUNTIFS($K$4:$K126,"&gt;0",$S$4:$S126,"UP")/COUNTIF($S$4:$S126,"UP")),#N/A))</f>
        <v>#N/A</v>
      </c>
      <c r="BR126" s="489">
        <f>IF(J126="",#N/A,COUNTIF($K$4:K126,"&gt;0")/COUNT($J$4:J126))</f>
        <v>0.45528455284552843</v>
      </c>
      <c r="BS126" s="65" t="str">
        <f t="shared" si="138"/>
        <v/>
      </c>
      <c r="BT126" s="65">
        <f t="shared" si="139"/>
        <v>-1.0445682451253449</v>
      </c>
      <c r="BU126" s="65" t="str">
        <f t="shared" si="140"/>
        <v/>
      </c>
      <c r="BV126" s="65" t="str">
        <f t="shared" si="141"/>
        <v/>
      </c>
      <c r="BW126" s="151" t="str">
        <f t="shared" si="142"/>
        <v/>
      </c>
      <c r="BX126" s="151">
        <f>IF($J126="",#N/A,SUM($BW$4:BW126))</f>
        <v>-181.36500000000035</v>
      </c>
      <c r="BY126" s="152" t="str">
        <f t="shared" si="143"/>
        <v/>
      </c>
      <c r="BZ126" s="152">
        <f>IF($J126="",#N/A,SUM($BY$4:BY126))</f>
        <v>-108.48065961066686</v>
      </c>
      <c r="CA126" s="153">
        <f t="shared" si="144"/>
        <v>-71.999999999999773</v>
      </c>
      <c r="CB126" s="154">
        <f>IF($J126="",#N/A,SUM($CA$4:CA126))</f>
        <v>-91.677976288720629</v>
      </c>
      <c r="CC126" s="191" t="str">
        <f t="shared" si="145"/>
        <v/>
      </c>
      <c r="CD126" s="191">
        <f>IF($J126="",#N/A,SUM($CC$4:CC126))</f>
        <v>-2.8466787313052277</v>
      </c>
      <c r="CE126" s="192" t="str">
        <f t="shared" si="146"/>
        <v/>
      </c>
      <c r="CF126" s="192">
        <f>IF($J126="",#N/A,SUM($CE$4:CE126))</f>
        <v>-0.71819789295441994</v>
      </c>
      <c r="CG126" s="193">
        <f t="shared" si="147"/>
        <v>-1.0445682451253449</v>
      </c>
      <c r="CH126" s="193">
        <f>IF($J126="",#N/A,SUM($CG$4:CG126))</f>
        <v>0.77552706468184374</v>
      </c>
      <c r="CI126" s="200" t="str">
        <f t="shared" si="148"/>
        <v/>
      </c>
      <c r="CJ126" s="200">
        <f>IF($J126="",#N/A,SUM(CI$4:CI126))</f>
        <v>0</v>
      </c>
      <c r="CK126" s="201" t="str">
        <f t="shared" si="149"/>
        <v/>
      </c>
      <c r="CL126" s="201">
        <f>IF($J126="",#N/A,SUM(CK$4:CK126))</f>
        <v>1.8934431343190481</v>
      </c>
      <c r="CM126" s="202" t="str">
        <f t="shared" si="150"/>
        <v/>
      </c>
      <c r="CN126" s="202">
        <f>IF($J126="",#N/A,SUM(CM$4:CM126))</f>
        <v>2.5724959960693745</v>
      </c>
      <c r="CO126" s="202">
        <f>IF($J126="",#N/A,SUM(CM$4:CM126,CK$4:CK126,CI$4:CI126))</f>
        <v>4.4659391303884224</v>
      </c>
      <c r="CP126" s="200" t="str">
        <f t="shared" si="151"/>
        <v/>
      </c>
      <c r="CQ126" s="200">
        <f>IF($J126="",#N/A,SUM(CP$4:CP126))</f>
        <v>0</v>
      </c>
      <c r="CR126" s="201" t="str">
        <f t="shared" si="152"/>
        <v/>
      </c>
      <c r="CS126" s="201">
        <f>IF($J126="",#N/A,SUM(CR$4:CR126))</f>
        <v>0</v>
      </c>
      <c r="CT126" s="202" t="str">
        <f t="shared" si="153"/>
        <v/>
      </c>
      <c r="CU126" s="202">
        <f>IF($J126="",#N/A,SUM(CT$4:CT126))</f>
        <v>0</v>
      </c>
      <c r="CV126" s="202">
        <f>IF($J126="",#N/A,SUM(CT$4:CT126,CR$4:CR126,CP$4:CP126))</f>
        <v>0</v>
      </c>
      <c r="CW126" s="200" t="str">
        <f t="shared" si="154"/>
        <v/>
      </c>
      <c r="CX126" s="200">
        <f>IF($J126="",#N/A,SUM(CW$4:CW126))</f>
        <v>0</v>
      </c>
      <c r="CY126" s="201" t="str">
        <f t="shared" si="155"/>
        <v/>
      </c>
      <c r="CZ126" s="201">
        <f>IF($J126="",#N/A,SUM(CY$4:CY126))</f>
        <v>-1.9289529100071134</v>
      </c>
      <c r="DA126" s="202" t="str">
        <f t="shared" si="156"/>
        <v/>
      </c>
      <c r="DB126" s="202">
        <f>IF($J126="",#N/A,SUM(DA$4:DA126))</f>
        <v>-0.16932974967219971</v>
      </c>
      <c r="DC126" s="202">
        <f>IF($J126="",#N/A,SUM(DA$4:DA126,CY$4:CY126,CW$4:CW126))</f>
        <v>-2.0982826596793132</v>
      </c>
      <c r="DD126" s="200" t="str">
        <f t="shared" si="157"/>
        <v/>
      </c>
      <c r="DE126" s="200">
        <f>IF($J126="",#N/A,SUM(DD$4:DD126))</f>
        <v>0.4905246481018824</v>
      </c>
      <c r="DF126" s="201" t="str">
        <f t="shared" si="158"/>
        <v/>
      </c>
      <c r="DG126" s="201">
        <f>IF($J126="",#N/A,SUM(DF$4:DF126))</f>
        <v>0.77374072477919809</v>
      </c>
      <c r="DH126" s="202" t="str">
        <f t="shared" si="159"/>
        <v/>
      </c>
      <c r="DI126" s="202">
        <f>IF($J126="",#N/A,SUM(DH$4:DH126))</f>
        <v>-1.3154755601364099</v>
      </c>
      <c r="DJ126" s="202">
        <f>IF($J126="",#N/A,SUM(DH$4:DH126,DF$4:DF126,DD$4:DD126))</f>
        <v>-5.1210187255329387E-2</v>
      </c>
      <c r="DK126" s="200" t="str">
        <f t="shared" si="160"/>
        <v/>
      </c>
      <c r="DL126" s="200">
        <f>IF($J126="",#N/A,SUM(DK$4:DK126))</f>
        <v>-1.2097286851272664</v>
      </c>
      <c r="DM126" s="201" t="str">
        <f t="shared" si="161"/>
        <v/>
      </c>
      <c r="DN126" s="201">
        <f>IF($J126="",#N/A,SUM(DM$4:DM126))</f>
        <v>1.1910608267574658</v>
      </c>
      <c r="DO126" s="202" t="str">
        <f t="shared" si="162"/>
        <v/>
      </c>
      <c r="DP126" s="202">
        <f>IF($J126="",#N/A,SUM(DO$4:DO126))</f>
        <v>1.3495058802125319</v>
      </c>
      <c r="DQ126" s="202">
        <f>IF($J126="",#N/A,SUM(DO$4:DO126,DM$4:DM126,DK$4:DK126))</f>
        <v>1.3308380218427318</v>
      </c>
      <c r="DR126" s="200" t="str">
        <f t="shared" si="163"/>
        <v/>
      </c>
      <c r="DS126" s="200">
        <f>IF($J126="",#N/A,SUM(DR$4:DR126))</f>
        <v>-0.55950946427675097</v>
      </c>
      <c r="DT126" s="201" t="str">
        <f t="shared" si="164"/>
        <v/>
      </c>
      <c r="DU126" s="201">
        <f>IF($J126="",#N/A,SUM(DT$4:DT126))</f>
        <v>-2.8875364672150718</v>
      </c>
      <c r="DV126" s="202" t="str">
        <f t="shared" si="165"/>
        <v/>
      </c>
      <c r="DW126" s="202">
        <f>IF($J126="",#N/A,SUM(DV$4:DV126))</f>
        <v>-2.6814706788983136</v>
      </c>
      <c r="DX126" s="202">
        <f>IF($J126="",#N/A,SUM(DV$4:DV126,DT$4:DT126,DR$4:DR126))</f>
        <v>-6.1285166103901361</v>
      </c>
      <c r="DY126" s="200" t="str">
        <f t="shared" si="166"/>
        <v/>
      </c>
      <c r="DZ126" s="200">
        <f>IF($J126="",#N/A,SUM(DY$4:DY126))</f>
        <v>-1.63480022183437</v>
      </c>
      <c r="EA126" s="201" t="str">
        <f t="shared" si="167"/>
        <v/>
      </c>
      <c r="EB126" s="201">
        <f>IF($J126="",#N/A,SUM(EA$4:EA126))</f>
        <v>-0.36153038830642437</v>
      </c>
      <c r="EC126" s="202" t="str">
        <f t="shared" si="168"/>
        <v/>
      </c>
      <c r="ED126" s="202">
        <f>IF($J126="",#N/A,SUM(EC$4:EC126))</f>
        <v>1.7103671484331777</v>
      </c>
      <c r="EE126" s="202">
        <f>IF($J126="",#N/A,SUM(EC$4:EC126,EA$4:EA126,DY$4:DY126))</f>
        <v>-0.28596346170761661</v>
      </c>
      <c r="EF126" s="200" t="str">
        <f t="shared" si="169"/>
        <v/>
      </c>
      <c r="EG126" s="200">
        <f>IF($J126="",#N/A,SUM(EF$4:EF126))</f>
        <v>0</v>
      </c>
      <c r="EH126" s="201" t="str">
        <f t="shared" si="170"/>
        <v/>
      </c>
      <c r="EI126" s="201">
        <f>IF($J126="",#N/A,SUM(EH$4:EH126))</f>
        <v>-2.6174111635897193</v>
      </c>
      <c r="EJ126" s="202" t="str">
        <f t="shared" si="171"/>
        <v/>
      </c>
      <c r="EK126" s="202">
        <f>IF($J126="",#N/A,SUM(EJ$4:EJ126))</f>
        <v>2.2873594184148476</v>
      </c>
      <c r="EL126" s="202">
        <f>IF($J126="",#N/A,SUM(EJ$4:EJ126,EH$4:EH126,EF$4:EF126))</f>
        <v>-0.33005174517487113</v>
      </c>
      <c r="EM126" s="200" t="str">
        <f t="shared" si="172"/>
        <v/>
      </c>
      <c r="EN126" s="200">
        <f>IF($J126="",#N/A,SUM(EM$4:EM126))</f>
        <v>0</v>
      </c>
      <c r="EO126" s="201" t="str">
        <f t="shared" si="173"/>
        <v/>
      </c>
      <c r="EP126" s="201">
        <f>IF($J126="",#N/A,SUM(EO$4:EO126))</f>
        <v>2.2865449370376734</v>
      </c>
      <c r="EQ126" s="202" t="str">
        <f t="shared" si="174"/>
        <v/>
      </c>
      <c r="ER126" s="202">
        <f>IF($J126="",#N/A,SUM(EQ$4:EQ126))</f>
        <v>0.4926597949853756</v>
      </c>
      <c r="ES126" s="202">
        <f>IF($J126="",#N/A,SUM(EQ$4:EQ126,EO$4:EO126,EM$4:EM126))</f>
        <v>2.7792047320230489</v>
      </c>
      <c r="ET126" s="200" t="str">
        <f t="shared" si="175"/>
        <v/>
      </c>
      <c r="EU126" s="200">
        <f>IF($J126="",#N/A,SUM(ET$4:ET126))</f>
        <v>0</v>
      </c>
      <c r="EV126" s="201" t="str">
        <f t="shared" si="176"/>
        <v/>
      </c>
      <c r="EW126" s="201">
        <f>IF($J126="",#N/A,SUM(EV$4:EV126))</f>
        <v>-0.34599923252657666</v>
      </c>
      <c r="EX126" s="202" t="str">
        <f t="shared" si="177"/>
        <v/>
      </c>
      <c r="EY126" s="202">
        <f>IF($J126="",#N/A,SUM(EX$4:EX126))</f>
        <v>2.0960106423519864E-3</v>
      </c>
      <c r="EZ126" s="202">
        <f>IF($J126="",#N/A,SUM(EX$4:EX126,EV$4:EV126,ET$4:ET126))</f>
        <v>-0.34390322188422467</v>
      </c>
      <c r="FA126" s="200" t="str">
        <f t="shared" si="178"/>
        <v/>
      </c>
      <c r="FB126" s="200">
        <f>IF($J126="",#N/A,SUM(FA$4:FA126))</f>
        <v>0</v>
      </c>
      <c r="FC126" s="201" t="str">
        <f t="shared" si="179"/>
        <v/>
      </c>
      <c r="FD126" s="201">
        <f>IF($J126="",#N/A,SUM(FC$4:FC126))</f>
        <v>1.6839191319663924</v>
      </c>
      <c r="FE126" s="202" t="str">
        <f t="shared" si="180"/>
        <v/>
      </c>
      <c r="FF126" s="202">
        <f>IF($J126="",#N/A,SUM(FE$4:FE126))</f>
        <v>-0.28811149078748233</v>
      </c>
      <c r="FG126" s="202">
        <f>IF($J126="",#N/A,SUM(FE$4:FE126,FC$4:FC126,FA$4:FA126))</f>
        <v>1.3958076411789102</v>
      </c>
      <c r="FH126" s="200" t="str">
        <f t="shared" si="181"/>
        <v/>
      </c>
      <c r="FI126" s="200">
        <f>IF($J126="",#N/A,SUM(FH$4:FH126))</f>
        <v>0</v>
      </c>
      <c r="FJ126" s="201" t="str">
        <f t="shared" si="182"/>
        <v/>
      </c>
      <c r="FK126" s="201">
        <f>IF($J126="",#N/A,SUM(FJ$4:FJ126))</f>
        <v>0</v>
      </c>
      <c r="FL126" s="202" t="str">
        <f t="shared" si="183"/>
        <v/>
      </c>
      <c r="FM126" s="202">
        <f>IF($J126="",#N/A,SUM(FL$4:FL126))</f>
        <v>0</v>
      </c>
      <c r="FN126" s="202">
        <f>IF($J126="",#N/A,SUM(FL$4:FL126,FJ$4:FJ126,FH$4:FH126))</f>
        <v>0</v>
      </c>
      <c r="FO126" s="200" t="str">
        <f t="shared" si="184"/>
        <v/>
      </c>
      <c r="FP126" s="200">
        <f>IF($J126="",#N/A,SUM(FO$4:FO126))</f>
        <v>0</v>
      </c>
      <c r="FQ126" s="201" t="str">
        <f t="shared" si="185"/>
        <v/>
      </c>
      <c r="FR126" s="201">
        <f>IF($J126="",#N/A,SUM(FQ$4:FQ126))</f>
        <v>0</v>
      </c>
      <c r="FS126" s="202" t="str">
        <f t="shared" si="186"/>
        <v/>
      </c>
      <c r="FT126" s="202">
        <f>IF($J126="",#N/A,SUM(FS$4:FS126))</f>
        <v>0</v>
      </c>
      <c r="FU126" s="202">
        <f>IF($J126="",#N/A,SUM(FS$4:FS126,FQ$4:FQ126,FO$4:FO126))</f>
        <v>0</v>
      </c>
      <c r="FV126" s="200" t="str">
        <f t="shared" si="187"/>
        <v/>
      </c>
      <c r="FW126" s="200">
        <f>IF($J126="",#N/A,SUM(FV$4:FV126))</f>
        <v>6.6834991831277585E-2</v>
      </c>
      <c r="FX126" s="201" t="str">
        <f t="shared" si="188"/>
        <v/>
      </c>
      <c r="FY126" s="201">
        <f>IF($J126="",#N/A,SUM(FX$4:FX126))</f>
        <v>0</v>
      </c>
      <c r="FZ126" s="202">
        <f t="shared" si="189"/>
        <v>-1.0445682451253449</v>
      </c>
      <c r="GA126" s="202">
        <f>IF($J126="",#N/A,SUM(FZ$4:FZ126))</f>
        <v>-0.24773347685909197</v>
      </c>
      <c r="GB126" s="202">
        <f>IF($J126="",#N/A,SUM(FZ$4:FZ126,FX$4:FX126,FV$4:FV126))</f>
        <v>-0.18089848502781439</v>
      </c>
      <c r="GC126" s="200" t="str">
        <f t="shared" si="190"/>
        <v/>
      </c>
      <c r="GD126" s="200">
        <f>IF($J126="",#N/A,SUM(GC$4:GC126))</f>
        <v>0</v>
      </c>
      <c r="GE126" s="201" t="str">
        <f t="shared" si="191"/>
        <v/>
      </c>
      <c r="GF126" s="201">
        <f>IF($J126="",#N/A,SUM(GE$4:GE126))</f>
        <v>0</v>
      </c>
      <c r="GG126" s="202" t="str">
        <f t="shared" si="192"/>
        <v/>
      </c>
      <c r="GH126" s="202">
        <f>IF($J126="",#N/A,SUM(GG$4:GG126))</f>
        <v>-2.9368362277223206</v>
      </c>
      <c r="GI126" s="202">
        <f>IF($J126="",#N/A,SUM(GG$4:GG126,GE$4:GE126,GC$4:GC126))</f>
        <v>-2.9368362277223206</v>
      </c>
      <c r="GJ126" s="200" t="str">
        <f t="shared" si="193"/>
        <v/>
      </c>
      <c r="GK126" s="200">
        <f>IF($J126="",#N/A,SUM(GJ$4:GJ126))</f>
        <v>0</v>
      </c>
      <c r="GL126" s="201" t="str">
        <f t="shared" si="194"/>
        <v/>
      </c>
      <c r="GM126" s="201">
        <f>IF($J126="",#N/A,SUM(GL$4:GL126))</f>
        <v>-0.4054764861692941</v>
      </c>
      <c r="GN126" s="202" t="str">
        <f t="shared" si="195"/>
        <v/>
      </c>
      <c r="GO126" s="202">
        <f>IF($J126="",#N/A,SUM(GN$4:GN126))</f>
        <v>0</v>
      </c>
      <c r="GP126" s="202">
        <f>IF($J126="",#N/A,SUM(GN$4:GN126,GL$4:GL126,GJ$4:GJ126))</f>
        <v>-0.4054764861692941</v>
      </c>
      <c r="GS126" s="54">
        <f t="shared" si="214"/>
        <v>-1.0445682451253449</v>
      </c>
      <c r="GT126" s="54">
        <f>IF(GS126="",NA(),SUM($GS$4:GS126))</f>
        <v>-3.2672004414706088</v>
      </c>
      <c r="GU126" s="54" t="str">
        <f t="shared" si="196"/>
        <v/>
      </c>
      <c r="GV126" s="54" t="e">
        <f>IF(GU126="",NA(),SUM($GU$4:GU126))</f>
        <v>#N/A</v>
      </c>
      <c r="GW126" s="54">
        <f t="shared" si="197"/>
        <v>-1.0445682451253449</v>
      </c>
      <c r="GX126" s="54">
        <f>IF(GW126="",NA(),SUM($GW$4:GW126))</f>
        <v>0.57353825175455819</v>
      </c>
      <c r="GY126" s="54" t="str">
        <f t="shared" si="198"/>
        <v/>
      </c>
      <c r="GZ126" s="54" t="e">
        <f>IF(GY126="",NA(),SUM($GY$4:GY126))</f>
        <v>#N/A</v>
      </c>
      <c r="HA126" s="54" t="str">
        <f t="shared" si="199"/>
        <v/>
      </c>
      <c r="HB126" s="54" t="e">
        <f>IF(HA126="",NA(),SUM($HA$4:HA126))</f>
        <v>#N/A</v>
      </c>
      <c r="HC126" s="54" t="str">
        <f t="shared" si="200"/>
        <v/>
      </c>
      <c r="HD126" s="54" t="e">
        <f>IF(HC126="",NA(),SUM($HC$4:HC126))</f>
        <v>#N/A</v>
      </c>
      <c r="HE126" s="54" t="str">
        <f t="shared" si="201"/>
        <v/>
      </c>
      <c r="HF126" s="54" t="e">
        <f>IF(HE126="",NA(),SUM($HE$4:HE126))</f>
        <v>#N/A</v>
      </c>
      <c r="HG126" s="54" t="str">
        <f t="shared" si="202"/>
        <v/>
      </c>
      <c r="HH126" s="54" t="e">
        <f>IF(HG126="",NA(),SUM($HG$4:HG126))</f>
        <v>#N/A</v>
      </c>
      <c r="HI126" s="172" t="str">
        <f t="shared" si="215"/>
        <v/>
      </c>
      <c r="HJ126" s="172">
        <f>IF($J126="",#N/A,SUM(HI$4:$HI126))</f>
        <v>-3.9562562156703489</v>
      </c>
      <c r="HK126" s="54" t="str">
        <f t="shared" si="203"/>
        <v/>
      </c>
      <c r="HL126" s="54">
        <f>IF($J126="",#N/A,SUM($HK$4:HK126))</f>
        <v>-5.2584365376693087</v>
      </c>
      <c r="HM126" s="54" t="str">
        <f t="shared" si="204"/>
        <v/>
      </c>
      <c r="HN126" s="54">
        <f>IF($J126="",#N/A,SUM($HM$4:HM126))</f>
        <v>0.71812545963587882</v>
      </c>
      <c r="HO126" s="54" t="str">
        <f t="shared" si="205"/>
        <v/>
      </c>
      <c r="HP126" s="54">
        <f>IF($J126="",#N/A,SUM($HO$4:HO126))</f>
        <v>-0.6555551778566262</v>
      </c>
      <c r="HQ126" s="54" t="str">
        <f t="shared" si="206"/>
        <v/>
      </c>
      <c r="HR126" s="54">
        <f>IF($J126="",#N/A,SUM($HQ$4:HQ126))</f>
        <v>-7.8137093743481518</v>
      </c>
      <c r="HS126" s="54">
        <f t="shared" si="207"/>
        <v>4.4974466109558908E-2</v>
      </c>
      <c r="HT126" s="54">
        <f>IF($J126="",#N/A,SUM($HS$4:HS126))</f>
        <v>6.753472442102268</v>
      </c>
      <c r="HU126" s="65">
        <f t="shared" si="208"/>
        <v>-0.99959377901578594</v>
      </c>
      <c r="HV126" s="65">
        <f>IF($J126="",#N/A,SUM(HU$4:$HU126))</f>
        <v>-13.001708963384095</v>
      </c>
    </row>
    <row r="127" spans="1:230" x14ac:dyDescent="0.25">
      <c r="A127" s="396" t="s">
        <v>1560</v>
      </c>
      <c r="B127" s="52" t="s">
        <v>4539</v>
      </c>
      <c r="C127" s="229">
        <f t="shared" si="109"/>
        <v>3</v>
      </c>
      <c r="D127" s="219" t="str">
        <f>_xlfn.XLOOKUP(A127,[1]SP500!$A$2:$A$502,[1]SP500!$D$2:$D$502,"N")</f>
        <v>Y</v>
      </c>
      <c r="E127" s="51" t="str">
        <f>IFERROR(_xlfn.XLOOKUP(A127,[1]SP500!$A$2:$A$655,[1]SP500!$B$2:$B$655),"")</f>
        <v>XLK</v>
      </c>
      <c r="F127" s="290">
        <v>45775</v>
      </c>
      <c r="G127" s="51" t="str">
        <f t="shared" si="110"/>
        <v>AMC</v>
      </c>
      <c r="H127" s="51" t="str">
        <f t="shared" si="111"/>
        <v>s</v>
      </c>
      <c r="I127" s="344">
        <v>265.07</v>
      </c>
      <c r="J127" s="124">
        <v>260.02999999999997</v>
      </c>
      <c r="K127" s="55">
        <f t="shared" si="112"/>
        <v>-1.9013845399328558E-2</v>
      </c>
      <c r="L127" s="67">
        <f t="shared" si="113"/>
        <v>-20.160000000000082</v>
      </c>
      <c r="M127" s="57">
        <f t="shared" si="114"/>
        <v>0</v>
      </c>
      <c r="N127" s="102">
        <f t="shared" si="115"/>
        <v>-20.160000000000082</v>
      </c>
      <c r="O127" s="57">
        <f>IF(N127="",#N/A,SUM($N$4:N127))</f>
        <v>-401.68363589938792</v>
      </c>
      <c r="P127" s="65">
        <f t="shared" si="209"/>
        <v>-0.3168974233221426</v>
      </c>
      <c r="Q127" s="172">
        <f>IF($N127="",#N/A,SUM($P$4:P127))</f>
        <v>-3.1062469828999504</v>
      </c>
      <c r="R127" s="279">
        <f t="shared" si="116"/>
        <v>3.0347896533541592</v>
      </c>
      <c r="S127" s="51" t="str">
        <f t="shared" si="117"/>
        <v>SW</v>
      </c>
      <c r="T127" s="51" t="s">
        <v>2828</v>
      </c>
      <c r="U127" s="56">
        <f t="shared" si="118"/>
        <v>265.07</v>
      </c>
      <c r="V127" s="56" t="s">
        <v>4460</v>
      </c>
      <c r="W127" s="142">
        <v>4</v>
      </c>
      <c r="X127" s="145">
        <f t="shared" si="119"/>
        <v>1060.28</v>
      </c>
      <c r="Y127" s="140">
        <f t="shared" si="120"/>
        <v>4</v>
      </c>
      <c r="Z127" s="123">
        <v>260.02999999999997</v>
      </c>
      <c r="AA127" s="102">
        <f t="shared" si="121"/>
        <v>-20.160000000000082</v>
      </c>
      <c r="AB127" s="102">
        <f t="shared" si="122"/>
        <v>-9.3999999999998636</v>
      </c>
      <c r="AC127" s="124">
        <v>262.72000000000003</v>
      </c>
      <c r="AD127" s="155">
        <f t="shared" si="123"/>
        <v>-9.3999999999998636</v>
      </c>
      <c r="AE127" s="545">
        <f t="shared" si="124"/>
        <v>-0.14775971127123438</v>
      </c>
      <c r="AF127" s="57">
        <f>IF($AC127="",#N/A,SUM(AD$4:AD127))</f>
        <v>-922.17041200241715</v>
      </c>
      <c r="AG127" s="102">
        <f t="shared" si="125"/>
        <v>10.760000000000218</v>
      </c>
      <c r="AH127" s="56" t="s">
        <v>2507</v>
      </c>
      <c r="AI127" s="65">
        <f t="shared" si="126"/>
        <v>-0.3168974233221426</v>
      </c>
      <c r="AJ127" s="54">
        <f>IF(AI127="",#N/A,SUM($AI$4:AI127))</f>
        <v>-6.1410366362541096</v>
      </c>
      <c r="AK127" s="57">
        <f t="shared" si="127"/>
        <v>-20.160000000000082</v>
      </c>
      <c r="AL127" s="349">
        <f>IF(AI127="",#N/A,IF(AH127="Skip",SUM($AK$4:AK127),SUM($AK$4:AK127)))</f>
        <v>-611.30740850718655</v>
      </c>
      <c r="AM127" s="65">
        <f t="shared" si="210"/>
        <v>-0.14775971127123438</v>
      </c>
      <c r="AN127" s="209"/>
      <c r="AO127" s="65">
        <f t="shared" si="128"/>
        <v>-0.14775971127123438</v>
      </c>
      <c r="AP127" s="65">
        <f>IF($AC127="",#N/A,SUM(AO$4:AO127))</f>
        <v>-0.4324695788352792</v>
      </c>
      <c r="AQ127" s="65" t="str">
        <f t="shared" si="129"/>
        <v/>
      </c>
      <c r="AR127" s="65">
        <f>IF($AC127="",#N/A,SUM(AQ$4:AQ127))</f>
        <v>-2.7841084495259749</v>
      </c>
      <c r="AS127" s="65" t="str">
        <f t="shared" si="130"/>
        <v/>
      </c>
      <c r="AT127" s="65">
        <f>IF($AC127="",#N/A,SUM(AS$4:AS127))</f>
        <v>-9.93289064629408</v>
      </c>
      <c r="AU127" s="57">
        <f t="shared" si="211"/>
        <v>-9.3999999999998636</v>
      </c>
      <c r="AV127" s="57">
        <f>IF($AC127="",#N/A,SUM(AU$4:AU127))</f>
        <v>-109.67879354874947</v>
      </c>
      <c r="AW127" s="57" t="str">
        <f t="shared" si="212"/>
        <v/>
      </c>
      <c r="AX127" s="57">
        <f>IF($AC127="",#N/A,SUM(AW$4:AW127))</f>
        <v>-174.74000000000024</v>
      </c>
      <c r="AY127" s="57" t="str">
        <f t="shared" si="213"/>
        <v/>
      </c>
      <c r="AZ127" s="57">
        <f>IF($AC127="",#N/A,SUM(AY$4:AY127))</f>
        <v>-637.75161845366745</v>
      </c>
      <c r="BA127" s="57">
        <f>IF(AD127="",#N/A,SUM($AD$4:AD127))</f>
        <v>-922.17041200241715</v>
      </c>
      <c r="BC127" s="51" t="str">
        <f t="shared" si="131"/>
        <v/>
      </c>
      <c r="BD127" s="51" t="str">
        <f t="shared" si="132"/>
        <v/>
      </c>
      <c r="BE127" s="51" t="str">
        <f t="shared" si="133"/>
        <v/>
      </c>
      <c r="BF127" s="51" t="str">
        <f t="shared" si="134"/>
        <v>Long</v>
      </c>
      <c r="BG127" s="51" t="str">
        <f t="shared" si="135"/>
        <v/>
      </c>
      <c r="BH127" s="51" t="str">
        <f t="shared" si="136"/>
        <v/>
      </c>
      <c r="BI127" s="51">
        <f t="shared" si="137"/>
        <v>1</v>
      </c>
      <c r="BK127" s="65">
        <f t="shared" si="217"/>
        <v>-0.10880395227052528</v>
      </c>
      <c r="BL127" s="65">
        <f t="shared" si="216"/>
        <v>-4.7396091891501154E-3</v>
      </c>
      <c r="BM127" s="65">
        <f>IFERROR(Q127/COUNTA($J$4:J127),#N/A)</f>
        <v>-2.5050378894354439E-2</v>
      </c>
      <c r="BO127" s="489">
        <f>IF(J127="",#N/A,IF(S127="SW",(COUNTIFS(K$4:$K127,"&gt;0",S$4:$S127,"SW")/COUNTIF(S$4:$S127,"SW")),#N/A))</f>
        <v>0.47142857142857142</v>
      </c>
      <c r="BP127" s="489" t="e">
        <f>IF($J127="",#N/A,IF($S127="DWN",(COUNTIFS($K$4:$K127,"&lt;0",$S$4:$S127,"DWN")/COUNTIF($S$4:$S127,"DWN")),#N/A))</f>
        <v>#N/A</v>
      </c>
      <c r="BQ127" s="489" t="e">
        <f>IF($J127="",#N/A,IF($S127="UP",(COUNTIFS($K$4:$K127,"&gt;0",$S$4:$S127,"UP")/COUNTIF($S$4:$S127,"UP")),#N/A))</f>
        <v>#N/A</v>
      </c>
      <c r="BR127" s="489">
        <f>IF(J127="",#N/A,COUNTIF($K$4:K127,"&gt;0")/COUNT($J$4:J127))</f>
        <v>0.45161290322580644</v>
      </c>
      <c r="BS127" s="65" t="str">
        <f t="shared" si="138"/>
        <v/>
      </c>
      <c r="BT127" s="65">
        <f t="shared" si="139"/>
        <v>-0.3168974233221426</v>
      </c>
      <c r="BU127" s="65" t="str">
        <f t="shared" si="140"/>
        <v/>
      </c>
      <c r="BV127" s="65" t="str">
        <f t="shared" si="141"/>
        <v/>
      </c>
      <c r="BW127" s="128" t="str">
        <f t="shared" si="142"/>
        <v/>
      </c>
      <c r="BX127" s="128">
        <f>IF($J127="",#N/A,SUM($BW$4:BW127))</f>
        <v>-181.36500000000035</v>
      </c>
      <c r="BY127" s="131" t="str">
        <f t="shared" si="143"/>
        <v/>
      </c>
      <c r="BZ127" s="131">
        <f>IF($J127="",#N/A,SUM($BY$4:BY127))</f>
        <v>-108.48065961066686</v>
      </c>
      <c r="CA127" s="133">
        <f t="shared" si="144"/>
        <v>-20.160000000000082</v>
      </c>
      <c r="CB127" s="133">
        <f>IF($J127="",#N/A,SUM($CA$4:CA127))</f>
        <v>-111.83797628872071</v>
      </c>
      <c r="CC127" s="194" t="str">
        <f t="shared" si="145"/>
        <v/>
      </c>
      <c r="CD127" s="194">
        <f>IF($J127="",#N/A,SUM($CC$4:CC127))</f>
        <v>-2.8466787313052277</v>
      </c>
      <c r="CE127" s="195" t="str">
        <f t="shared" si="146"/>
        <v/>
      </c>
      <c r="CF127" s="195">
        <f>IF($J127="",#N/A,SUM($CE$4:CE127))</f>
        <v>-0.71819789295441994</v>
      </c>
      <c r="CG127" s="196">
        <f t="shared" si="147"/>
        <v>-0.3168974233221426</v>
      </c>
      <c r="CH127" s="193">
        <f>IF($J127="",#N/A,SUM($CG$4:CG127))</f>
        <v>0.45862964135970113</v>
      </c>
      <c r="CI127" s="200" t="str">
        <f t="shared" si="148"/>
        <v/>
      </c>
      <c r="CJ127" s="203">
        <f>IF($J127="",#N/A,SUM(CI$4:CI127))</f>
        <v>0</v>
      </c>
      <c r="CK127" s="204" t="str">
        <f t="shared" si="149"/>
        <v/>
      </c>
      <c r="CL127" s="204">
        <f>IF($J127="",#N/A,SUM(CK$4:CK127))</f>
        <v>1.8934431343190481</v>
      </c>
      <c r="CM127" s="205">
        <f t="shared" si="150"/>
        <v>-0.3168974233221426</v>
      </c>
      <c r="CN127" s="205">
        <f>IF($J127="",#N/A,SUM(CM$4:CM127))</f>
        <v>2.2555985727472319</v>
      </c>
      <c r="CO127" s="205">
        <f>IF($J127="",#N/A,SUM(CM$4:CM127,CK$4:CK127,CI$4:CI127))</f>
        <v>4.1490417070662797</v>
      </c>
      <c r="CP127" s="200" t="str">
        <f t="shared" si="151"/>
        <v/>
      </c>
      <c r="CQ127" s="203">
        <f>IF($J127="",#N/A,SUM(CP$4:CP127))</f>
        <v>0</v>
      </c>
      <c r="CR127" s="204" t="str">
        <f t="shared" si="152"/>
        <v/>
      </c>
      <c r="CS127" s="204">
        <f>IF($J127="",#N/A,SUM(CR$4:CR127))</f>
        <v>0</v>
      </c>
      <c r="CT127" s="205" t="str">
        <f t="shared" si="153"/>
        <v/>
      </c>
      <c r="CU127" s="205">
        <f>IF($J127="",#N/A,SUM(CT$4:CT127))</f>
        <v>0</v>
      </c>
      <c r="CV127" s="205">
        <f>IF($J127="",#N/A,SUM(CT$4:CT127,CR$4:CR127,CP$4:CP127))</f>
        <v>0</v>
      </c>
      <c r="CW127" s="200" t="str">
        <f t="shared" si="154"/>
        <v/>
      </c>
      <c r="CX127" s="203">
        <f>IF($J127="",#N/A,SUM(CW$4:CW127))</f>
        <v>0</v>
      </c>
      <c r="CY127" s="204" t="str">
        <f t="shared" si="155"/>
        <v/>
      </c>
      <c r="CZ127" s="204">
        <f>IF($J127="",#N/A,SUM(CY$4:CY127))</f>
        <v>-1.9289529100071134</v>
      </c>
      <c r="DA127" s="205" t="str">
        <f t="shared" si="156"/>
        <v/>
      </c>
      <c r="DB127" s="205">
        <f>IF($J127="",#N/A,SUM(DA$4:DA127))</f>
        <v>-0.16932974967219971</v>
      </c>
      <c r="DC127" s="205">
        <f>IF($J127="",#N/A,SUM(DA$4:DA127,CY$4:CY127,CW$4:CW127))</f>
        <v>-2.0982826596793132</v>
      </c>
      <c r="DD127" s="200" t="str">
        <f t="shared" si="157"/>
        <v/>
      </c>
      <c r="DE127" s="203">
        <f>IF($J127="",#N/A,SUM(DD$4:DD127))</f>
        <v>0.4905246481018824</v>
      </c>
      <c r="DF127" s="204" t="str">
        <f t="shared" si="158"/>
        <v/>
      </c>
      <c r="DG127" s="204">
        <f>IF($J127="",#N/A,SUM(DF$4:DF127))</f>
        <v>0.77374072477919809</v>
      </c>
      <c r="DH127" s="205" t="str">
        <f t="shared" si="159"/>
        <v/>
      </c>
      <c r="DI127" s="205">
        <f>IF($J127="",#N/A,SUM(DH$4:DH127))</f>
        <v>-1.3154755601364099</v>
      </c>
      <c r="DJ127" s="205">
        <f>IF($J127="",#N/A,SUM(DH$4:DH127,DF$4:DF127,DD$4:DD127))</f>
        <v>-5.1210187255329387E-2</v>
      </c>
      <c r="DK127" s="200" t="str">
        <f t="shared" si="160"/>
        <v/>
      </c>
      <c r="DL127" s="203">
        <f>IF($J127="",#N/A,SUM(DK$4:DK127))</f>
        <v>-1.2097286851272664</v>
      </c>
      <c r="DM127" s="204" t="str">
        <f t="shared" si="161"/>
        <v/>
      </c>
      <c r="DN127" s="204">
        <f>IF($J127="",#N/A,SUM(DM$4:DM127))</f>
        <v>1.1910608267574658</v>
      </c>
      <c r="DO127" s="205" t="str">
        <f t="shared" si="162"/>
        <v/>
      </c>
      <c r="DP127" s="205">
        <f>IF($J127="",#N/A,SUM(DO$4:DO127))</f>
        <v>1.3495058802125319</v>
      </c>
      <c r="DQ127" s="205">
        <f>IF($J127="",#N/A,SUM(DO$4:DO127,DM$4:DM127,DK$4:DK127))</f>
        <v>1.3308380218427318</v>
      </c>
      <c r="DR127" s="200" t="str">
        <f t="shared" si="163"/>
        <v/>
      </c>
      <c r="DS127" s="203">
        <f>IF($J127="",#N/A,SUM(DR$4:DR127))</f>
        <v>-0.55950946427675097</v>
      </c>
      <c r="DT127" s="204" t="str">
        <f t="shared" si="164"/>
        <v/>
      </c>
      <c r="DU127" s="204">
        <f>IF($J127="",#N/A,SUM(DT$4:DT127))</f>
        <v>-2.8875364672150718</v>
      </c>
      <c r="DV127" s="205" t="str">
        <f t="shared" si="165"/>
        <v/>
      </c>
      <c r="DW127" s="205">
        <f>IF($J127="",#N/A,SUM(DV$4:DV127))</f>
        <v>-2.6814706788983136</v>
      </c>
      <c r="DX127" s="205">
        <f>IF($J127="",#N/A,SUM(DV$4:DV127,DT$4:DT127,DR$4:DR127))</f>
        <v>-6.1285166103901361</v>
      </c>
      <c r="DY127" s="200" t="str">
        <f t="shared" si="166"/>
        <v/>
      </c>
      <c r="DZ127" s="203">
        <f>IF($J127="",#N/A,SUM(DY$4:DY127))</f>
        <v>-1.63480022183437</v>
      </c>
      <c r="EA127" s="204" t="str">
        <f t="shared" si="167"/>
        <v/>
      </c>
      <c r="EB127" s="204">
        <f>IF($J127="",#N/A,SUM(EA$4:EA127))</f>
        <v>-0.36153038830642437</v>
      </c>
      <c r="EC127" s="205" t="str">
        <f t="shared" si="168"/>
        <v/>
      </c>
      <c r="ED127" s="205">
        <f>IF($J127="",#N/A,SUM(EC$4:EC127))</f>
        <v>1.7103671484331777</v>
      </c>
      <c r="EE127" s="205">
        <f>IF($J127="",#N/A,SUM(EC$4:EC127,EA$4:EA127,DY$4:DY127))</f>
        <v>-0.28596346170761661</v>
      </c>
      <c r="EF127" s="200" t="str">
        <f t="shared" si="169"/>
        <v/>
      </c>
      <c r="EG127" s="203">
        <f>IF($J127="",#N/A,SUM(EF$4:EF127))</f>
        <v>0</v>
      </c>
      <c r="EH127" s="204" t="str">
        <f t="shared" si="170"/>
        <v/>
      </c>
      <c r="EI127" s="204">
        <f>IF($J127="",#N/A,SUM(EH$4:EH127))</f>
        <v>-2.6174111635897193</v>
      </c>
      <c r="EJ127" s="205" t="str">
        <f t="shared" si="171"/>
        <v/>
      </c>
      <c r="EK127" s="205">
        <f>IF($J127="",#N/A,SUM(EJ$4:EJ127))</f>
        <v>2.2873594184148476</v>
      </c>
      <c r="EL127" s="205">
        <f>IF($J127="",#N/A,SUM(EJ$4:EJ127,EH$4:EH127,EF$4:EF127))</f>
        <v>-0.33005174517487113</v>
      </c>
      <c r="EM127" s="200" t="str">
        <f t="shared" si="172"/>
        <v/>
      </c>
      <c r="EN127" s="203">
        <f>IF($J127="",#N/A,SUM(EM$4:EM127))</f>
        <v>0</v>
      </c>
      <c r="EO127" s="204" t="str">
        <f t="shared" si="173"/>
        <v/>
      </c>
      <c r="EP127" s="204">
        <f>IF($J127="",#N/A,SUM(EO$4:EO127))</f>
        <v>2.2865449370376734</v>
      </c>
      <c r="EQ127" s="205" t="str">
        <f t="shared" si="174"/>
        <v/>
      </c>
      <c r="ER127" s="205">
        <f>IF($J127="",#N/A,SUM(EQ$4:EQ127))</f>
        <v>0.4926597949853756</v>
      </c>
      <c r="ES127" s="205">
        <f>IF($J127="",#N/A,SUM(EQ$4:EQ127,EO$4:EO127,EM$4:EM127))</f>
        <v>2.7792047320230489</v>
      </c>
      <c r="ET127" s="200" t="str">
        <f t="shared" si="175"/>
        <v/>
      </c>
      <c r="EU127" s="203">
        <f>IF($J127="",#N/A,SUM(ET$4:ET127))</f>
        <v>0</v>
      </c>
      <c r="EV127" s="204" t="str">
        <f t="shared" si="176"/>
        <v/>
      </c>
      <c r="EW127" s="204">
        <f>IF($J127="",#N/A,SUM(EV$4:EV127))</f>
        <v>-0.34599923252657666</v>
      </c>
      <c r="EX127" s="205" t="str">
        <f t="shared" si="177"/>
        <v/>
      </c>
      <c r="EY127" s="205">
        <f>IF($J127="",#N/A,SUM(EX$4:EX127))</f>
        <v>2.0960106423519864E-3</v>
      </c>
      <c r="EZ127" s="205">
        <f>IF($J127="",#N/A,SUM(EX$4:EX127,EV$4:EV127,ET$4:ET127))</f>
        <v>-0.34390322188422467</v>
      </c>
      <c r="FA127" s="200" t="str">
        <f t="shared" si="178"/>
        <v/>
      </c>
      <c r="FB127" s="203">
        <f>IF($J127="",#N/A,SUM(FA$4:FA127))</f>
        <v>0</v>
      </c>
      <c r="FC127" s="204" t="str">
        <f t="shared" si="179"/>
        <v/>
      </c>
      <c r="FD127" s="204">
        <f>IF($J127="",#N/A,SUM(FC$4:FC127))</f>
        <v>1.6839191319663924</v>
      </c>
      <c r="FE127" s="205" t="str">
        <f t="shared" si="180"/>
        <v/>
      </c>
      <c r="FF127" s="205">
        <f>IF($J127="",#N/A,SUM(FE$4:FE127))</f>
        <v>-0.28811149078748233</v>
      </c>
      <c r="FG127" s="205">
        <f>IF($J127="",#N/A,SUM(FE$4:FE127,FC$4:FC127,FA$4:FA127))</f>
        <v>1.3958076411789102</v>
      </c>
      <c r="FH127" s="200" t="str">
        <f t="shared" si="181"/>
        <v/>
      </c>
      <c r="FI127" s="203">
        <f>IF($J127="",#N/A,SUM(FH$4:FH127))</f>
        <v>0</v>
      </c>
      <c r="FJ127" s="204" t="str">
        <f t="shared" si="182"/>
        <v/>
      </c>
      <c r="FK127" s="204">
        <f>IF($J127="",#N/A,SUM(FJ$4:FJ127))</f>
        <v>0</v>
      </c>
      <c r="FL127" s="205" t="str">
        <f t="shared" si="183"/>
        <v/>
      </c>
      <c r="FM127" s="205">
        <f>IF($J127="",#N/A,SUM(FL$4:FL127))</f>
        <v>0</v>
      </c>
      <c r="FN127" s="205">
        <f>IF($J127="",#N/A,SUM(FL$4:FL127,FJ$4:FJ127,FH$4:FH127))</f>
        <v>0</v>
      </c>
      <c r="FO127" s="200" t="str">
        <f t="shared" si="184"/>
        <v/>
      </c>
      <c r="FP127" s="203">
        <f>IF($J127="",#N/A,SUM(FO$4:FO127))</f>
        <v>0</v>
      </c>
      <c r="FQ127" s="204" t="str">
        <f t="shared" si="185"/>
        <v/>
      </c>
      <c r="FR127" s="204">
        <f>IF($J127="",#N/A,SUM(FQ$4:FQ127))</f>
        <v>0</v>
      </c>
      <c r="FS127" s="205" t="str">
        <f t="shared" si="186"/>
        <v/>
      </c>
      <c r="FT127" s="205">
        <f>IF($J127="",#N/A,SUM(FS$4:FS127))</f>
        <v>0</v>
      </c>
      <c r="FU127" s="205">
        <f>IF($J127="",#N/A,SUM(FS$4:FS127,FQ$4:FQ127,FO$4:FO127))</f>
        <v>0</v>
      </c>
      <c r="FV127" s="200" t="str">
        <f t="shared" si="187"/>
        <v/>
      </c>
      <c r="FW127" s="203">
        <f>IF($J127="",#N/A,SUM(FV$4:FV127))</f>
        <v>6.6834991831277585E-2</v>
      </c>
      <c r="FX127" s="204" t="str">
        <f t="shared" si="188"/>
        <v/>
      </c>
      <c r="FY127" s="204">
        <f>IF($J127="",#N/A,SUM(FX$4:FX127))</f>
        <v>0</v>
      </c>
      <c r="FZ127" s="205" t="str">
        <f t="shared" si="189"/>
        <v/>
      </c>
      <c r="GA127" s="205">
        <f>IF($J127="",#N/A,SUM(FZ$4:FZ127))</f>
        <v>-0.24773347685909197</v>
      </c>
      <c r="GB127" s="205">
        <f>IF($J127="",#N/A,SUM(FZ$4:FZ127,FX$4:FX127,FV$4:FV127))</f>
        <v>-0.18089848502781439</v>
      </c>
      <c r="GC127" s="200" t="str">
        <f t="shared" si="190"/>
        <v/>
      </c>
      <c r="GD127" s="203">
        <f>IF($J127="",#N/A,SUM(GC$4:GC127))</f>
        <v>0</v>
      </c>
      <c r="GE127" s="204" t="str">
        <f t="shared" si="191"/>
        <v/>
      </c>
      <c r="GF127" s="204">
        <f>IF($J127="",#N/A,SUM(GE$4:GE127))</f>
        <v>0</v>
      </c>
      <c r="GG127" s="205" t="str">
        <f t="shared" si="192"/>
        <v/>
      </c>
      <c r="GH127" s="205">
        <f>IF($J127="",#N/A,SUM(GG$4:GG127))</f>
        <v>-2.9368362277223206</v>
      </c>
      <c r="GI127" s="205">
        <f>IF($J127="",#N/A,SUM(GG$4:GG127,GE$4:GE127,GC$4:GC127))</f>
        <v>-2.9368362277223206</v>
      </c>
      <c r="GJ127" s="200" t="str">
        <f t="shared" si="193"/>
        <v/>
      </c>
      <c r="GK127" s="203">
        <f>IF($J127="",#N/A,SUM(GJ$4:GJ127))</f>
        <v>0</v>
      </c>
      <c r="GL127" s="204" t="str">
        <f t="shared" si="194"/>
        <v/>
      </c>
      <c r="GM127" s="204">
        <f>IF($J127="",#N/A,SUM(GL$4:GL127))</f>
        <v>-0.4054764861692941</v>
      </c>
      <c r="GN127" s="205" t="str">
        <f t="shared" si="195"/>
        <v/>
      </c>
      <c r="GO127" s="205">
        <f>IF($J127="",#N/A,SUM(GN$4:GN127))</f>
        <v>0</v>
      </c>
      <c r="GP127" s="205">
        <f>IF($J127="",#N/A,SUM(GN$4:GN127,GL$4:GL127,GJ$4:GJ127))</f>
        <v>-0.4054764861692941</v>
      </c>
      <c r="GS127" s="54">
        <f t="shared" si="214"/>
        <v>-0.3168974233221426</v>
      </c>
      <c r="GT127" s="54">
        <f>IF(GS127="",NA(),SUM($GS$4:GS127))</f>
        <v>-3.5840978647927515</v>
      </c>
      <c r="GU127" s="54" t="str">
        <f t="shared" si="196"/>
        <v/>
      </c>
      <c r="GV127" s="54" t="e">
        <f>IF(GU127="",NA(),SUM($GU$4:GU127))</f>
        <v>#N/A</v>
      </c>
      <c r="GW127" s="54">
        <f t="shared" si="197"/>
        <v>-0.3168974233221426</v>
      </c>
      <c r="GX127" s="54">
        <f>IF(GW127="",NA(),SUM($GW$4:GW127))</f>
        <v>0.25664082843241559</v>
      </c>
      <c r="GY127" s="54" t="str">
        <f t="shared" si="198"/>
        <v/>
      </c>
      <c r="GZ127" s="54" t="e">
        <f>IF(GY127="",NA(),SUM($GY$4:GY127))</f>
        <v>#N/A</v>
      </c>
      <c r="HA127" s="54" t="str">
        <f t="shared" si="199"/>
        <v/>
      </c>
      <c r="HB127" s="54" t="e">
        <f>IF(HA127="",NA(),SUM($HA$4:HA127))</f>
        <v>#N/A</v>
      </c>
      <c r="HC127" s="54" t="str">
        <f t="shared" si="200"/>
        <v/>
      </c>
      <c r="HD127" s="54" t="e">
        <f>IF(HC127="",NA(),SUM($HC$4:HC127))</f>
        <v>#N/A</v>
      </c>
      <c r="HE127" s="54" t="str">
        <f t="shared" si="201"/>
        <v/>
      </c>
      <c r="HF127" s="54" t="e">
        <f>IF(HE127="",NA(),SUM($HE$4:HE127))</f>
        <v>#N/A</v>
      </c>
      <c r="HG127" s="54" t="str">
        <f t="shared" si="202"/>
        <v/>
      </c>
      <c r="HH127" s="54" t="e">
        <f>IF(HG127="",NA(),SUM($HG$4:HG127))</f>
        <v>#N/A</v>
      </c>
      <c r="HI127" s="172" t="str">
        <f t="shared" si="215"/>
        <v/>
      </c>
      <c r="HJ127" s="172">
        <f>IF($J127="",#N/A,SUM(HI$4:$HI127))</f>
        <v>-3.9562562156703489</v>
      </c>
      <c r="HK127" s="54" t="str">
        <f t="shared" si="203"/>
        <v/>
      </c>
      <c r="HL127" s="54">
        <f>IF($J127="",#N/A,SUM($HK$4:HK127))</f>
        <v>-5.2584365376693087</v>
      </c>
      <c r="HM127" s="54" t="str">
        <f t="shared" si="204"/>
        <v/>
      </c>
      <c r="HN127" s="54">
        <f>IF($J127="",#N/A,SUM($HM$4:HM127))</f>
        <v>0.71812545963587882</v>
      </c>
      <c r="HO127" s="54" t="str">
        <f t="shared" si="205"/>
        <v/>
      </c>
      <c r="HP127" s="54">
        <f>IF($J127="",#N/A,SUM($HO$4:HO127))</f>
        <v>-0.6555551778566262</v>
      </c>
      <c r="HQ127" s="54" t="str">
        <f t="shared" si="206"/>
        <v/>
      </c>
      <c r="HR127" s="54">
        <f>IF($J127="",#N/A,SUM($HQ$4:HQ127))</f>
        <v>-7.8137093743481518</v>
      </c>
      <c r="HS127" s="54">
        <f t="shared" si="207"/>
        <v>0.16913771205090822</v>
      </c>
      <c r="HT127" s="54">
        <f>IF($J127="",#N/A,SUM($HS$4:HS127))</f>
        <v>6.9226101541531762</v>
      </c>
      <c r="HU127" s="65">
        <f t="shared" si="208"/>
        <v>-0.14775971127123438</v>
      </c>
      <c r="HV127" s="65">
        <f>IF($J127="",#N/A,SUM(HU$4:$HU127))</f>
        <v>-13.14946867465533</v>
      </c>
    </row>
    <row r="128" spans="1:230" x14ac:dyDescent="0.25">
      <c r="A128" s="396" t="s">
        <v>120</v>
      </c>
      <c r="B128" s="52" t="s">
        <v>4539</v>
      </c>
      <c r="C128" s="229">
        <f t="shared" si="109"/>
        <v>2</v>
      </c>
      <c r="D128" s="219" t="str">
        <f>_xlfn.XLOOKUP(A128,[1]SP500!$A$2:$A$502,[1]SP500!$D$2:$D$502,"N")</f>
        <v>Y</v>
      </c>
      <c r="E128" s="51" t="str">
        <f>IFERROR(_xlfn.XLOOKUP(A128,[1]SP500!$A$2:$A$655,[1]SP500!$B$2:$B$655),"")</f>
        <v>SMH</v>
      </c>
      <c r="F128" s="290">
        <v>45775</v>
      </c>
      <c r="G128" s="51" t="str">
        <f t="shared" si="110"/>
        <v>AMC</v>
      </c>
      <c r="H128" s="51" t="str">
        <f t="shared" si="111"/>
        <v>o</v>
      </c>
      <c r="I128" s="344">
        <v>196.24</v>
      </c>
      <c r="J128" s="124">
        <v>181.51499999999999</v>
      </c>
      <c r="K128" s="55">
        <f t="shared" si="112"/>
        <v>-7.5035670607419599E-2</v>
      </c>
      <c r="L128" s="67">
        <f t="shared" si="113"/>
        <v>-73.625000000000114</v>
      </c>
      <c r="M128" s="57">
        <f t="shared" si="114"/>
        <v>-2.2250000000000227</v>
      </c>
      <c r="N128" s="102">
        <f t="shared" si="115"/>
        <v>73.625000000000114</v>
      </c>
      <c r="O128" s="57">
        <f>IF(N128="",#N/A,SUM($N$4:N128))</f>
        <v>-328.05863589938781</v>
      </c>
      <c r="P128" s="65">
        <f t="shared" si="209"/>
        <v>1.25059451012366</v>
      </c>
      <c r="Q128" s="172">
        <f>IF($N128="",#N/A,SUM($P$4:P128))</f>
        <v>-1.8556524727762904</v>
      </c>
      <c r="R128" s="279">
        <f t="shared" si="116"/>
        <v>5.5737725314626019</v>
      </c>
      <c r="S128" s="51" t="str">
        <f t="shared" si="117"/>
        <v>Dwn</v>
      </c>
      <c r="T128" s="51" t="s">
        <v>4462</v>
      </c>
      <c r="U128" s="56">
        <f t="shared" si="118"/>
        <v>196.24</v>
      </c>
      <c r="V128" s="56" t="s">
        <v>4460</v>
      </c>
      <c r="W128" s="142">
        <v>5</v>
      </c>
      <c r="X128" s="145">
        <f t="shared" si="119"/>
        <v>981.2</v>
      </c>
      <c r="Y128" s="140">
        <f t="shared" si="120"/>
        <v>5</v>
      </c>
      <c r="Z128" s="123">
        <v>181.07</v>
      </c>
      <c r="AA128" s="102">
        <f t="shared" si="121"/>
        <v>-75.850000000000136</v>
      </c>
      <c r="AB128" s="102">
        <f t="shared" si="122"/>
        <v>-68.100000000000023</v>
      </c>
      <c r="AC128" s="123">
        <v>182.62</v>
      </c>
      <c r="AD128" s="155">
        <f t="shared" si="123"/>
        <v>68.100000000000023</v>
      </c>
      <c r="AE128" s="545">
        <f t="shared" si="124"/>
        <v>1.1567468406033432</v>
      </c>
      <c r="AF128" s="57">
        <f>IF($AC128="",#N/A,SUM(AD$4:AD128))</f>
        <v>-854.07041200241713</v>
      </c>
      <c r="AG128" s="102">
        <f t="shared" si="125"/>
        <v>-5.5250000000000909</v>
      </c>
      <c r="AH128" s="56" t="s">
        <v>2507</v>
      </c>
      <c r="AI128" s="65">
        <f t="shared" si="126"/>
        <v>-1.288388367984783</v>
      </c>
      <c r="AJ128" s="54">
        <f>IF(AI128="",#N/A,SUM($AI$4:AI128))</f>
        <v>-7.4294250042388921</v>
      </c>
      <c r="AK128" s="57">
        <f t="shared" si="127"/>
        <v>-75.850000000000136</v>
      </c>
      <c r="AL128" s="349">
        <f>IF(AI128="",#N/A,IF(AH128="Skip",SUM($AK$4:AK128),SUM($AK$4:AK128)))</f>
        <v>-687.15740850718669</v>
      </c>
      <c r="AM128" s="65">
        <f t="shared" si="210"/>
        <v>1.1567468406033432</v>
      </c>
      <c r="AN128" s="209"/>
      <c r="AO128" s="65" t="str">
        <f t="shared" si="128"/>
        <v/>
      </c>
      <c r="AP128" s="65">
        <f>IF($AC128="",#N/A,SUM(AO$4:AO128))</f>
        <v>-0.4324695788352792</v>
      </c>
      <c r="AQ128" s="65" t="str">
        <f t="shared" si="129"/>
        <v/>
      </c>
      <c r="AR128" s="65">
        <f>IF($AC128="",#N/A,SUM(AQ$4:AQ128))</f>
        <v>-2.7841084495259749</v>
      </c>
      <c r="AS128" s="65">
        <f t="shared" si="130"/>
        <v>1.1567468406033432</v>
      </c>
      <c r="AT128" s="65">
        <f>IF($AC128="",#N/A,SUM(AS$4:AS128))</f>
        <v>-8.7761438056907366</v>
      </c>
      <c r="AU128" s="57" t="str">
        <f t="shared" si="211"/>
        <v/>
      </c>
      <c r="AV128" s="57">
        <f>IF($AC128="",#N/A,SUM(AU$4:AU128))</f>
        <v>-109.67879354874947</v>
      </c>
      <c r="AW128" s="57" t="str">
        <f t="shared" si="212"/>
        <v/>
      </c>
      <c r="AX128" s="57">
        <f>IF($AC128="",#N/A,SUM(AW$4:AW128))</f>
        <v>-174.74000000000024</v>
      </c>
      <c r="AY128" s="57">
        <f t="shared" si="213"/>
        <v>68.100000000000023</v>
      </c>
      <c r="AZ128" s="57">
        <f>IF($AC128="",#N/A,SUM(AY$4:AY128))</f>
        <v>-569.65161845366742</v>
      </c>
      <c r="BA128" s="57">
        <f>IF(AD128="",#N/A,SUM($AD$4:AD128))</f>
        <v>-854.07041200241713</v>
      </c>
      <c r="BC128" s="51" t="str">
        <f t="shared" si="131"/>
        <v/>
      </c>
      <c r="BD128" s="51" t="str">
        <f t="shared" si="132"/>
        <v/>
      </c>
      <c r="BE128" s="51" t="str">
        <f t="shared" si="133"/>
        <v/>
      </c>
      <c r="BF128" s="51" t="str">
        <f t="shared" si="134"/>
        <v>Short</v>
      </c>
      <c r="BG128" s="51">
        <f t="shared" si="135"/>
        <v>1</v>
      </c>
      <c r="BH128" s="51" t="str">
        <f t="shared" si="136"/>
        <v/>
      </c>
      <c r="BI128" s="51" t="str">
        <f t="shared" si="137"/>
        <v/>
      </c>
      <c r="BK128" s="65">
        <f t="shared" si="217"/>
        <v>-7.3652260821631316E-2</v>
      </c>
      <c r="BL128" s="65">
        <f t="shared" si="216"/>
        <v>9.5388555349408002E-2</v>
      </c>
      <c r="BM128" s="65">
        <f>IFERROR(Q128/COUNTA($J$4:J128),#N/A)</f>
        <v>-1.4845219782210324E-2</v>
      </c>
      <c r="BO128" s="489" t="e">
        <f>IF(J128="",#N/A,IF(S128="SW",(COUNTIFS(K$4:$K128,"&gt;0",S$4:$S128,"SW")/COUNTIF(S$4:$S128,"SW")),#N/A))</f>
        <v>#N/A</v>
      </c>
      <c r="BP128" s="489">
        <f>IF($J128="",#N/A,IF($S128="DWN",(COUNTIFS($K$4:$K128,"&lt;0",$S$4:$S128,"DWN")/COUNTIF($S$4:$S128,"DWN")),#N/A))</f>
        <v>0.58333333333333337</v>
      </c>
      <c r="BQ128" s="489" t="e">
        <f>IF($J128="",#N/A,IF($S128="UP",(COUNTIFS($K$4:$K128,"&gt;0",$S$4:$S128,"UP")/COUNTIF($S$4:$S128,"UP")),#N/A))</f>
        <v>#N/A</v>
      </c>
      <c r="BR128" s="489">
        <f>IF(J128="",#N/A,COUNTIF($K$4:K128,"&gt;0")/COUNT($J$4:J128))</f>
        <v>0.44800000000000001</v>
      </c>
      <c r="BS128" s="65" t="str">
        <f t="shared" si="138"/>
        <v/>
      </c>
      <c r="BT128" s="65">
        <f t="shared" si="139"/>
        <v>1.25059451012366</v>
      </c>
      <c r="BU128" s="65" t="str">
        <f t="shared" si="140"/>
        <v/>
      </c>
      <c r="BV128" s="65" t="str">
        <f t="shared" si="141"/>
        <v/>
      </c>
      <c r="BW128" s="128" t="str">
        <f t="shared" si="142"/>
        <v/>
      </c>
      <c r="BX128" s="128">
        <f>IF($J128="",#N/A,SUM($BW$4:BW128))</f>
        <v>-181.36500000000035</v>
      </c>
      <c r="BY128" s="131">
        <f t="shared" si="143"/>
        <v>73.625000000000114</v>
      </c>
      <c r="BZ128" s="131">
        <f>IF($J128="",#N/A,SUM($BY$4:BY128))</f>
        <v>-34.855659610666748</v>
      </c>
      <c r="CA128" s="133" t="str">
        <f t="shared" si="144"/>
        <v/>
      </c>
      <c r="CB128" s="133">
        <f>IF($J128="",#N/A,SUM($CA$4:CA128))</f>
        <v>-111.83797628872071</v>
      </c>
      <c r="CC128" s="194" t="str">
        <f t="shared" si="145"/>
        <v/>
      </c>
      <c r="CD128" s="194">
        <f>IF($J128="",#N/A,SUM($CC$4:CC128))</f>
        <v>-2.8466787313052277</v>
      </c>
      <c r="CE128" s="195">
        <f t="shared" si="146"/>
        <v>1.25059451012366</v>
      </c>
      <c r="CF128" s="195">
        <f>IF($J128="",#N/A,SUM($CE$4:CE128))</f>
        <v>0.53239661716924003</v>
      </c>
      <c r="CG128" s="196" t="str">
        <f t="shared" si="147"/>
        <v/>
      </c>
      <c r="CH128" s="193">
        <f>IF($J128="",#N/A,SUM($CG$4:CG128))</f>
        <v>0.45862964135970113</v>
      </c>
      <c r="CI128" s="200" t="str">
        <f t="shared" si="148"/>
        <v/>
      </c>
      <c r="CJ128" s="203">
        <f>IF($J128="",#N/A,SUM(CI$4:CI128))</f>
        <v>0</v>
      </c>
      <c r="CK128" s="204" t="str">
        <f t="shared" si="149"/>
        <v/>
      </c>
      <c r="CL128" s="204">
        <f>IF($J128="",#N/A,SUM(CK$4:CK128))</f>
        <v>1.8934431343190481</v>
      </c>
      <c r="CM128" s="205" t="str">
        <f t="shared" si="150"/>
        <v/>
      </c>
      <c r="CN128" s="205">
        <f>IF($J128="",#N/A,SUM(CM$4:CM128))</f>
        <v>2.2555985727472319</v>
      </c>
      <c r="CO128" s="205">
        <f>IF($J128="",#N/A,SUM(CM$4:CM128,CK$4:CK128,CI$4:CI128))</f>
        <v>4.1490417070662797</v>
      </c>
      <c r="CP128" s="200" t="str">
        <f t="shared" si="151"/>
        <v/>
      </c>
      <c r="CQ128" s="203">
        <f>IF($J128="",#N/A,SUM(CP$4:CP128))</f>
        <v>0</v>
      </c>
      <c r="CR128" s="204" t="str">
        <f t="shared" si="152"/>
        <v/>
      </c>
      <c r="CS128" s="204">
        <f>IF($J128="",#N/A,SUM(CR$4:CR128))</f>
        <v>0</v>
      </c>
      <c r="CT128" s="205" t="str">
        <f t="shared" si="153"/>
        <v/>
      </c>
      <c r="CU128" s="205">
        <f>IF($J128="",#N/A,SUM(CT$4:CT128))</f>
        <v>0</v>
      </c>
      <c r="CV128" s="205">
        <f>IF($J128="",#N/A,SUM(CT$4:CT128,CR$4:CR128,CP$4:CP128))</f>
        <v>0</v>
      </c>
      <c r="CW128" s="200" t="str">
        <f t="shared" si="154"/>
        <v/>
      </c>
      <c r="CX128" s="203">
        <f>IF($J128="",#N/A,SUM(CW$4:CW128))</f>
        <v>0</v>
      </c>
      <c r="CY128" s="204" t="str">
        <f t="shared" si="155"/>
        <v/>
      </c>
      <c r="CZ128" s="204">
        <f>IF($J128="",#N/A,SUM(CY$4:CY128))</f>
        <v>-1.9289529100071134</v>
      </c>
      <c r="DA128" s="205" t="str">
        <f t="shared" si="156"/>
        <v/>
      </c>
      <c r="DB128" s="205">
        <f>IF($J128="",#N/A,SUM(DA$4:DA128))</f>
        <v>-0.16932974967219971</v>
      </c>
      <c r="DC128" s="205">
        <f>IF($J128="",#N/A,SUM(DA$4:DA128,CY$4:CY128,CW$4:CW128))</f>
        <v>-2.0982826596793132</v>
      </c>
      <c r="DD128" s="200" t="str">
        <f t="shared" si="157"/>
        <v/>
      </c>
      <c r="DE128" s="203">
        <f>IF($J128="",#N/A,SUM(DD$4:DD128))</f>
        <v>0.4905246481018824</v>
      </c>
      <c r="DF128" s="204" t="str">
        <f t="shared" si="158"/>
        <v/>
      </c>
      <c r="DG128" s="204">
        <f>IF($J128="",#N/A,SUM(DF$4:DF128))</f>
        <v>0.77374072477919809</v>
      </c>
      <c r="DH128" s="205" t="str">
        <f t="shared" si="159"/>
        <v/>
      </c>
      <c r="DI128" s="205">
        <f>IF($J128="",#N/A,SUM(DH$4:DH128))</f>
        <v>-1.3154755601364099</v>
      </c>
      <c r="DJ128" s="205">
        <f>IF($J128="",#N/A,SUM(DH$4:DH128,DF$4:DF128,DD$4:DD128))</f>
        <v>-5.1210187255329387E-2</v>
      </c>
      <c r="DK128" s="200" t="str">
        <f t="shared" si="160"/>
        <v/>
      </c>
      <c r="DL128" s="203">
        <f>IF($J128="",#N/A,SUM(DK$4:DK128))</f>
        <v>-1.2097286851272664</v>
      </c>
      <c r="DM128" s="204" t="str">
        <f t="shared" si="161"/>
        <v/>
      </c>
      <c r="DN128" s="204">
        <f>IF($J128="",#N/A,SUM(DM$4:DM128))</f>
        <v>1.1910608267574658</v>
      </c>
      <c r="DO128" s="205" t="str">
        <f t="shared" si="162"/>
        <v/>
      </c>
      <c r="DP128" s="205">
        <f>IF($J128="",#N/A,SUM(DO$4:DO128))</f>
        <v>1.3495058802125319</v>
      </c>
      <c r="DQ128" s="205">
        <f>IF($J128="",#N/A,SUM(DO$4:DO128,DM$4:DM128,DK$4:DK128))</f>
        <v>1.3308380218427318</v>
      </c>
      <c r="DR128" s="200" t="str">
        <f t="shared" si="163"/>
        <v/>
      </c>
      <c r="DS128" s="203">
        <f>IF($J128="",#N/A,SUM(DR$4:DR128))</f>
        <v>-0.55950946427675097</v>
      </c>
      <c r="DT128" s="204" t="str">
        <f t="shared" si="164"/>
        <v/>
      </c>
      <c r="DU128" s="204">
        <f>IF($J128="",#N/A,SUM(DT$4:DT128))</f>
        <v>-2.8875364672150718</v>
      </c>
      <c r="DV128" s="205" t="str">
        <f t="shared" si="165"/>
        <v/>
      </c>
      <c r="DW128" s="205">
        <f>IF($J128="",#N/A,SUM(DV$4:DV128))</f>
        <v>-2.6814706788983136</v>
      </c>
      <c r="DX128" s="205">
        <f>IF($J128="",#N/A,SUM(DV$4:DV128,DT$4:DT128,DR$4:DR128))</f>
        <v>-6.1285166103901361</v>
      </c>
      <c r="DY128" s="200" t="str">
        <f t="shared" si="166"/>
        <v/>
      </c>
      <c r="DZ128" s="203">
        <f>IF($J128="",#N/A,SUM(DY$4:DY128))</f>
        <v>-1.63480022183437</v>
      </c>
      <c r="EA128" s="204" t="str">
        <f t="shared" si="167"/>
        <v/>
      </c>
      <c r="EB128" s="204">
        <f>IF($J128="",#N/A,SUM(EA$4:EA128))</f>
        <v>-0.36153038830642437</v>
      </c>
      <c r="EC128" s="205" t="str">
        <f t="shared" si="168"/>
        <v/>
      </c>
      <c r="ED128" s="205">
        <f>IF($J128="",#N/A,SUM(EC$4:EC128))</f>
        <v>1.7103671484331777</v>
      </c>
      <c r="EE128" s="205">
        <f>IF($J128="",#N/A,SUM(EC$4:EC128,EA$4:EA128,DY$4:DY128))</f>
        <v>-0.28596346170761661</v>
      </c>
      <c r="EF128" s="200" t="str">
        <f t="shared" si="169"/>
        <v/>
      </c>
      <c r="EG128" s="203">
        <f>IF($J128="",#N/A,SUM(EF$4:EF128))</f>
        <v>0</v>
      </c>
      <c r="EH128" s="204" t="str">
        <f t="shared" si="170"/>
        <v/>
      </c>
      <c r="EI128" s="204">
        <f>IF($J128="",#N/A,SUM(EH$4:EH128))</f>
        <v>-2.6174111635897193</v>
      </c>
      <c r="EJ128" s="205" t="str">
        <f t="shared" si="171"/>
        <v/>
      </c>
      <c r="EK128" s="205">
        <f>IF($J128="",#N/A,SUM(EJ$4:EJ128))</f>
        <v>2.2873594184148476</v>
      </c>
      <c r="EL128" s="205">
        <f>IF($J128="",#N/A,SUM(EJ$4:EJ128,EH$4:EH128,EF$4:EF128))</f>
        <v>-0.33005174517487113</v>
      </c>
      <c r="EM128" s="200" t="str">
        <f t="shared" si="172"/>
        <v/>
      </c>
      <c r="EN128" s="203">
        <f>IF($J128="",#N/A,SUM(EM$4:EM128))</f>
        <v>0</v>
      </c>
      <c r="EO128" s="204" t="str">
        <f t="shared" si="173"/>
        <v/>
      </c>
      <c r="EP128" s="204">
        <f>IF($J128="",#N/A,SUM(EO$4:EO128))</f>
        <v>2.2865449370376734</v>
      </c>
      <c r="EQ128" s="205" t="str">
        <f t="shared" si="174"/>
        <v/>
      </c>
      <c r="ER128" s="205">
        <f>IF($J128="",#N/A,SUM(EQ$4:EQ128))</f>
        <v>0.4926597949853756</v>
      </c>
      <c r="ES128" s="205">
        <f>IF($J128="",#N/A,SUM(EQ$4:EQ128,EO$4:EO128,EM$4:EM128))</f>
        <v>2.7792047320230489</v>
      </c>
      <c r="ET128" s="200" t="str">
        <f t="shared" si="175"/>
        <v/>
      </c>
      <c r="EU128" s="203">
        <f>IF($J128="",#N/A,SUM(ET$4:ET128))</f>
        <v>0</v>
      </c>
      <c r="EV128" s="204">
        <f t="shared" si="176"/>
        <v>1.25059451012366</v>
      </c>
      <c r="EW128" s="204">
        <f>IF($J128="",#N/A,SUM(EV$4:EV128))</f>
        <v>0.90459527759708336</v>
      </c>
      <c r="EX128" s="205" t="str">
        <f t="shared" si="177"/>
        <v/>
      </c>
      <c r="EY128" s="205">
        <f>IF($J128="",#N/A,SUM(EX$4:EX128))</f>
        <v>2.0960106423519864E-3</v>
      </c>
      <c r="EZ128" s="205">
        <f>IF($J128="",#N/A,SUM(EX$4:EX128,EV$4:EV128,ET$4:ET128))</f>
        <v>0.90669128823943534</v>
      </c>
      <c r="FA128" s="200" t="str">
        <f t="shared" si="178"/>
        <v/>
      </c>
      <c r="FB128" s="203">
        <f>IF($J128="",#N/A,SUM(FA$4:FA128))</f>
        <v>0</v>
      </c>
      <c r="FC128" s="204" t="str">
        <f t="shared" si="179"/>
        <v/>
      </c>
      <c r="FD128" s="204">
        <f>IF($J128="",#N/A,SUM(FC$4:FC128))</f>
        <v>1.6839191319663924</v>
      </c>
      <c r="FE128" s="205" t="str">
        <f t="shared" si="180"/>
        <v/>
      </c>
      <c r="FF128" s="205">
        <f>IF($J128="",#N/A,SUM(FE$4:FE128))</f>
        <v>-0.28811149078748233</v>
      </c>
      <c r="FG128" s="205">
        <f>IF($J128="",#N/A,SUM(FE$4:FE128,FC$4:FC128,FA$4:FA128))</f>
        <v>1.3958076411789102</v>
      </c>
      <c r="FH128" s="200" t="str">
        <f t="shared" si="181"/>
        <v/>
      </c>
      <c r="FI128" s="203">
        <f>IF($J128="",#N/A,SUM(FH$4:FH128))</f>
        <v>0</v>
      </c>
      <c r="FJ128" s="204" t="str">
        <f t="shared" si="182"/>
        <v/>
      </c>
      <c r="FK128" s="204">
        <f>IF($J128="",#N/A,SUM(FJ$4:FJ128))</f>
        <v>0</v>
      </c>
      <c r="FL128" s="205" t="str">
        <f t="shared" si="183"/>
        <v/>
      </c>
      <c r="FM128" s="205">
        <f>IF($J128="",#N/A,SUM(FL$4:FL128))</f>
        <v>0</v>
      </c>
      <c r="FN128" s="205">
        <f>IF($J128="",#N/A,SUM(FL$4:FL128,FJ$4:FJ128,FH$4:FH128))</f>
        <v>0</v>
      </c>
      <c r="FO128" s="200" t="str">
        <f t="shared" si="184"/>
        <v/>
      </c>
      <c r="FP128" s="203">
        <f>IF($J128="",#N/A,SUM(FO$4:FO128))</f>
        <v>0</v>
      </c>
      <c r="FQ128" s="204" t="str">
        <f t="shared" si="185"/>
        <v/>
      </c>
      <c r="FR128" s="204">
        <f>IF($J128="",#N/A,SUM(FQ$4:FQ128))</f>
        <v>0</v>
      </c>
      <c r="FS128" s="205" t="str">
        <f t="shared" si="186"/>
        <v/>
      </c>
      <c r="FT128" s="205">
        <f>IF($J128="",#N/A,SUM(FS$4:FS128))</f>
        <v>0</v>
      </c>
      <c r="FU128" s="205">
        <f>IF($J128="",#N/A,SUM(FS$4:FS128,FQ$4:FQ128,FO$4:FO128))</f>
        <v>0</v>
      </c>
      <c r="FV128" s="200" t="str">
        <f t="shared" si="187"/>
        <v/>
      </c>
      <c r="FW128" s="203">
        <f>IF($J128="",#N/A,SUM(FV$4:FV128))</f>
        <v>6.6834991831277585E-2</v>
      </c>
      <c r="FX128" s="204" t="str">
        <f t="shared" si="188"/>
        <v/>
      </c>
      <c r="FY128" s="204">
        <f>IF($J128="",#N/A,SUM(FX$4:FX128))</f>
        <v>0</v>
      </c>
      <c r="FZ128" s="205" t="str">
        <f t="shared" si="189"/>
        <v/>
      </c>
      <c r="GA128" s="205">
        <f>IF($J128="",#N/A,SUM(FZ$4:FZ128))</f>
        <v>-0.24773347685909197</v>
      </c>
      <c r="GB128" s="205">
        <f>IF($J128="",#N/A,SUM(FZ$4:FZ128,FX$4:FX128,FV$4:FV128))</f>
        <v>-0.18089848502781439</v>
      </c>
      <c r="GC128" s="200" t="str">
        <f t="shared" si="190"/>
        <v/>
      </c>
      <c r="GD128" s="203">
        <f>IF($J128="",#N/A,SUM(GC$4:GC128))</f>
        <v>0</v>
      </c>
      <c r="GE128" s="204" t="str">
        <f t="shared" si="191"/>
        <v/>
      </c>
      <c r="GF128" s="204">
        <f>IF($J128="",#N/A,SUM(GE$4:GE128))</f>
        <v>0</v>
      </c>
      <c r="GG128" s="205" t="str">
        <f t="shared" si="192"/>
        <v/>
      </c>
      <c r="GH128" s="205">
        <f>IF($J128="",#N/A,SUM(GG$4:GG128))</f>
        <v>-2.9368362277223206</v>
      </c>
      <c r="GI128" s="205">
        <f>IF($J128="",#N/A,SUM(GG$4:GG128,GE$4:GE128,GC$4:GC128))</f>
        <v>-2.9368362277223206</v>
      </c>
      <c r="GJ128" s="200" t="str">
        <f t="shared" si="193"/>
        <v/>
      </c>
      <c r="GK128" s="203">
        <f>IF($J128="",#N/A,SUM(GJ$4:GJ128))</f>
        <v>0</v>
      </c>
      <c r="GL128" s="204" t="str">
        <f t="shared" si="194"/>
        <v/>
      </c>
      <c r="GM128" s="204">
        <f>IF($J128="",#N/A,SUM(GL$4:GL128))</f>
        <v>-0.4054764861692941</v>
      </c>
      <c r="GN128" s="205" t="str">
        <f t="shared" si="195"/>
        <v/>
      </c>
      <c r="GO128" s="205">
        <f>IF($J128="",#N/A,SUM(GN$4:GN128))</f>
        <v>0</v>
      </c>
      <c r="GP128" s="205">
        <f>IF($J128="",#N/A,SUM(GN$4:GN128,GL$4:GL128,GJ$4:GJ128))</f>
        <v>-0.4054764861692941</v>
      </c>
      <c r="GS128" s="54">
        <f t="shared" si="214"/>
        <v>1.25059451012366</v>
      </c>
      <c r="GT128" s="54">
        <f>IF(GS128="",NA(),SUM($GS$4:GS128))</f>
        <v>-2.3335033546690918</v>
      </c>
      <c r="GU128" s="54" t="str">
        <f t="shared" si="196"/>
        <v/>
      </c>
      <c r="GV128" s="54" t="e">
        <f>IF(GU128="",NA(),SUM($GU$4:GU128))</f>
        <v>#N/A</v>
      </c>
      <c r="GW128" s="54" t="str">
        <f t="shared" si="197"/>
        <v/>
      </c>
      <c r="GX128" s="54" t="e">
        <f>IF(GW128="",NA(),SUM($GW$4:GW128))</f>
        <v>#N/A</v>
      </c>
      <c r="GY128" s="54">
        <f t="shared" si="198"/>
        <v>1.25059451012366</v>
      </c>
      <c r="GZ128" s="54">
        <f>IF(GY128="",NA(),SUM($GY$4:GY128))</f>
        <v>0.25653454820372312</v>
      </c>
      <c r="HA128" s="54" t="str">
        <f t="shared" si="199"/>
        <v/>
      </c>
      <c r="HB128" s="54" t="e">
        <f>IF(HA128="",NA(),SUM($HA$4:HA128))</f>
        <v>#N/A</v>
      </c>
      <c r="HC128" s="54" t="str">
        <f t="shared" si="200"/>
        <v/>
      </c>
      <c r="HD128" s="54" t="e">
        <f>IF(HC128="",NA(),SUM($HC$4:HC128))</f>
        <v>#N/A</v>
      </c>
      <c r="HE128" s="54" t="str">
        <f t="shared" si="201"/>
        <v/>
      </c>
      <c r="HF128" s="54" t="e">
        <f>IF(HE128="",NA(),SUM($HE$4:HE128))</f>
        <v>#N/A</v>
      </c>
      <c r="HG128" s="54" t="str">
        <f t="shared" si="202"/>
        <v/>
      </c>
      <c r="HH128" s="54" t="e">
        <f>IF(HG128="",NA(),SUM($HG$4:HG128))</f>
        <v>#N/A</v>
      </c>
      <c r="HI128" s="172">
        <f t="shared" si="215"/>
        <v>-9.3847669520316757E-2</v>
      </c>
      <c r="HJ128" s="172">
        <f>IF($J128="",#N/A,SUM(HI$4:$HI128))</f>
        <v>-4.0501038851906657</v>
      </c>
      <c r="HK128" s="54" t="str">
        <f t="shared" si="203"/>
        <v/>
      </c>
      <c r="HL128" s="54">
        <f>IF($J128="",#N/A,SUM($HK$4:HK128))</f>
        <v>-5.2584365376693087</v>
      </c>
      <c r="HM128" s="54" t="str">
        <f t="shared" si="204"/>
        <v/>
      </c>
      <c r="HN128" s="54">
        <f>IF($J128="",#N/A,SUM($HM$4:HM128))</f>
        <v>0.71812545963587882</v>
      </c>
      <c r="HO128" s="54" t="str">
        <f t="shared" si="205"/>
        <v/>
      </c>
      <c r="HP128" s="54">
        <f>IF($J128="",#N/A,SUM($HO$4:HO128))</f>
        <v>-0.6555551778566262</v>
      </c>
      <c r="HQ128" s="54" t="str">
        <f t="shared" si="206"/>
        <v/>
      </c>
      <c r="HR128" s="54">
        <f>IF($J128="",#N/A,SUM($HQ$4:HQ128))</f>
        <v>-7.8137093743481518</v>
      </c>
      <c r="HS128" s="54" t="str">
        <f t="shared" si="207"/>
        <v/>
      </c>
      <c r="HT128" s="54">
        <f>IF($J128="",#N/A,SUM($HS$4:HS128))</f>
        <v>6.9226101541531762</v>
      </c>
      <c r="HU128" s="65">
        <f t="shared" si="208"/>
        <v>1.1567468406033432</v>
      </c>
      <c r="HV128" s="65">
        <f>IF($J128="",#N/A,SUM(HU$4:$HU128))</f>
        <v>-11.992721834051986</v>
      </c>
    </row>
    <row r="129" spans="1:230" x14ac:dyDescent="0.25">
      <c r="A129" s="51" t="s">
        <v>1358</v>
      </c>
      <c r="B129" s="52" t="s">
        <v>4539</v>
      </c>
      <c r="C129" s="229">
        <f t="shared" si="109"/>
        <v>3</v>
      </c>
      <c r="D129" s="219" t="str">
        <f>_xlfn.XLOOKUP(A129,[1]SP500!$A$2:$A$502,[1]SP500!$D$2:$D$502,"N")</f>
        <v>Y</v>
      </c>
      <c r="E129" s="51" t="str">
        <f>IFERROR(_xlfn.XLOOKUP(A129,[1]SP500!$A$2:$A$655,[1]SP500!$B$2:$B$655),"")</f>
        <v>SMH</v>
      </c>
      <c r="F129" s="290">
        <v>45775</v>
      </c>
      <c r="G129" s="51" t="str">
        <f t="shared" si="110"/>
        <v>AMC</v>
      </c>
      <c r="H129" s="51" t="str">
        <f t="shared" si="111"/>
        <v>s</v>
      </c>
      <c r="I129" s="344">
        <v>285.74</v>
      </c>
      <c r="J129" s="124">
        <v>289.64</v>
      </c>
      <c r="K129" s="55">
        <f t="shared" si="112"/>
        <v>1.364877161055497E-2</v>
      </c>
      <c r="L129" s="67">
        <f t="shared" si="113"/>
        <v>15.599999999999909</v>
      </c>
      <c r="M129" s="57">
        <f t="shared" si="114"/>
        <v>9.4400000000000546</v>
      </c>
      <c r="N129" s="102">
        <f t="shared" si="115"/>
        <v>15.599999999999909</v>
      </c>
      <c r="O129" s="57">
        <f>IF(N129="",#N/A,SUM($N$4:N129))</f>
        <v>-312.4586358993879</v>
      </c>
      <c r="P129" s="65">
        <f t="shared" si="209"/>
        <v>0.22747952684258282</v>
      </c>
      <c r="Q129" s="172">
        <f>IF($N129="",#N/A,SUM($P$4:P129))</f>
        <v>-1.6281729459337075</v>
      </c>
      <c r="R129" s="279">
        <f t="shared" si="116"/>
        <v>5.4361182536809345</v>
      </c>
      <c r="S129" s="51" t="str">
        <f t="shared" si="117"/>
        <v>SW</v>
      </c>
      <c r="T129" s="51" t="s">
        <v>2828</v>
      </c>
      <c r="U129" s="56">
        <f t="shared" si="118"/>
        <v>285.74</v>
      </c>
      <c r="V129" s="56" t="s">
        <v>4460</v>
      </c>
      <c r="W129" s="142">
        <v>4</v>
      </c>
      <c r="X129" s="145">
        <f t="shared" si="119"/>
        <v>1142.96</v>
      </c>
      <c r="Y129" s="140">
        <f t="shared" si="120"/>
        <v>4</v>
      </c>
      <c r="Z129" s="123">
        <v>292</v>
      </c>
      <c r="AA129" s="102">
        <f t="shared" si="121"/>
        <v>25.039999999999964</v>
      </c>
      <c r="AB129" s="102">
        <f t="shared" si="122"/>
        <v>65.920000000000073</v>
      </c>
      <c r="AC129" s="124">
        <v>302.22000000000003</v>
      </c>
      <c r="AD129" s="155">
        <f t="shared" si="123"/>
        <v>65.920000000000073</v>
      </c>
      <c r="AE129" s="545">
        <f t="shared" si="124"/>
        <v>0.9612468211194336</v>
      </c>
      <c r="AF129" s="57">
        <f>IF($AC129="",#N/A,SUM(AD$4:AD129))</f>
        <v>-788.15041200241706</v>
      </c>
      <c r="AG129" s="102">
        <f t="shared" si="125"/>
        <v>50.320000000000164</v>
      </c>
      <c r="AH129" s="56" t="s">
        <v>2507</v>
      </c>
      <c r="AI129" s="65">
        <f t="shared" si="126"/>
        <v>0.36513380462424994</v>
      </c>
      <c r="AJ129" s="350">
        <f>IF(AI129="",#N/A,SUM($AI$4:AI129))</f>
        <v>-7.064291199614642</v>
      </c>
      <c r="AK129" s="57">
        <f t="shared" si="127"/>
        <v>25.039999999999964</v>
      </c>
      <c r="AL129" s="349">
        <f>IF(AI129="",#N/A,IF(AH129="Skip",SUM($AK$4:AK129),SUM($AK$4:AK129)))</f>
        <v>-662.11740850718672</v>
      </c>
      <c r="AM129" s="65">
        <f t="shared" si="210"/>
        <v>0.9612468211194336</v>
      </c>
      <c r="AN129" s="209"/>
      <c r="AO129" s="65">
        <f t="shared" si="128"/>
        <v>0.9612468211194336</v>
      </c>
      <c r="AP129" s="65">
        <f>IF($AC129="",#N/A,SUM(AO$4:AO129))</f>
        <v>0.52877724228415435</v>
      </c>
      <c r="AQ129" s="65" t="str">
        <f t="shared" si="129"/>
        <v/>
      </c>
      <c r="AR129" s="65">
        <f>IF($AC129="",#N/A,SUM(AQ$4:AQ129))</f>
        <v>-2.7841084495259749</v>
      </c>
      <c r="AS129" s="65" t="str">
        <f t="shared" si="130"/>
        <v/>
      </c>
      <c r="AT129" s="65">
        <f>IF($AC129="",#N/A,SUM(AS$4:AS129))</f>
        <v>-8.7761438056907366</v>
      </c>
      <c r="AU129" s="57">
        <f t="shared" si="211"/>
        <v>65.920000000000073</v>
      </c>
      <c r="AV129" s="57">
        <f>IF($AC129="",#N/A,SUM(AU$4:AU129))</f>
        <v>-43.758793548749395</v>
      </c>
      <c r="AW129" s="57" t="str">
        <f t="shared" si="212"/>
        <v/>
      </c>
      <c r="AX129" s="57">
        <f>IF($AC129="",#N/A,SUM(AW$4:AW129))</f>
        <v>-174.74000000000024</v>
      </c>
      <c r="AY129" s="57" t="str">
        <f t="shared" si="213"/>
        <v/>
      </c>
      <c r="AZ129" s="57">
        <f>IF($AC129="",#N/A,SUM(AY$4:AY129))</f>
        <v>-569.65161845366742</v>
      </c>
      <c r="BA129" s="57">
        <f>IF(AD129="",#N/A,SUM($AD$4:AD129))</f>
        <v>-788.15041200241706</v>
      </c>
      <c r="BC129" s="51" t="str">
        <f t="shared" si="131"/>
        <v/>
      </c>
      <c r="BD129" s="51" t="str">
        <f t="shared" si="132"/>
        <v/>
      </c>
      <c r="BE129" s="51">
        <f t="shared" si="133"/>
        <v>1</v>
      </c>
      <c r="BF129" s="51" t="str">
        <f t="shared" si="134"/>
        <v>Long</v>
      </c>
      <c r="BG129" s="51" t="str">
        <f t="shared" si="135"/>
        <v/>
      </c>
      <c r="BH129" s="51" t="str">
        <f t="shared" si="136"/>
        <v/>
      </c>
      <c r="BI129" s="51" t="str">
        <f t="shared" si="137"/>
        <v/>
      </c>
      <c r="BK129" s="65">
        <f t="shared" si="217"/>
        <v>-9.6444109653823343E-2</v>
      </c>
      <c r="BL129" s="65">
        <f t="shared" si="216"/>
        <v>0.12286416912179465</v>
      </c>
      <c r="BM129" s="65">
        <f>IFERROR(Q129/COUNTA($J$4:J129),#N/A)</f>
        <v>-1.2922007507410377E-2</v>
      </c>
      <c r="BO129" s="489">
        <f>IF(J129="",#N/A,IF(S129="SW",(COUNTIFS(K$4:$K129,"&gt;0",S$4:$S129,"SW")/COUNTIF(S$4:$S129,"SW")),#N/A))</f>
        <v>0.47887323943661969</v>
      </c>
      <c r="BP129" s="489" t="e">
        <f>IF($J129="",#N/A,IF($S129="DWN",(COUNTIFS($K$4:$K129,"&lt;0",$S$4:$S129,"DWN")/COUNTIF($S$4:$S129,"DWN")),#N/A))</f>
        <v>#N/A</v>
      </c>
      <c r="BQ129" s="489" t="e">
        <f>IF($J129="",#N/A,IF($S129="UP",(COUNTIFS($K$4:$K129,"&gt;0",$S$4:$S129,"UP")/COUNTIF($S$4:$S129,"UP")),#N/A))</f>
        <v>#N/A</v>
      </c>
      <c r="BR129" s="489">
        <f>IF(J129="",#N/A,COUNTIF($K$4:K129,"&gt;0")/COUNT($J$4:J129))</f>
        <v>0.45238095238095238</v>
      </c>
      <c r="BS129" s="65">
        <f t="shared" si="138"/>
        <v>0.22747952684258282</v>
      </c>
      <c r="BT129" s="65" t="str">
        <f t="shared" si="139"/>
        <v/>
      </c>
      <c r="BU129" s="65" t="str">
        <f t="shared" si="140"/>
        <v/>
      </c>
      <c r="BV129" s="65" t="str">
        <f t="shared" si="141"/>
        <v/>
      </c>
      <c r="BW129" s="128" t="str">
        <f t="shared" si="142"/>
        <v/>
      </c>
      <c r="BX129" s="128">
        <f>IF($J129="",#N/A,SUM($BW$4:BW129))</f>
        <v>-181.36500000000035</v>
      </c>
      <c r="BY129" s="131" t="str">
        <f t="shared" si="143"/>
        <v/>
      </c>
      <c r="BZ129" s="131">
        <f>IF($J129="",#N/A,SUM($BY$4:BY129))</f>
        <v>-34.855659610666748</v>
      </c>
      <c r="CA129" s="133">
        <f t="shared" si="144"/>
        <v>15.599999999999909</v>
      </c>
      <c r="CB129" s="133">
        <f>IF($J129="",#N/A,SUM($CA$4:CA129))</f>
        <v>-96.237976288720802</v>
      </c>
      <c r="CC129" s="194" t="str">
        <f t="shared" si="145"/>
        <v/>
      </c>
      <c r="CD129" s="194">
        <f>IF($J129="",#N/A,SUM($CC$4:CC129))</f>
        <v>-2.8466787313052277</v>
      </c>
      <c r="CE129" s="195" t="str">
        <f t="shared" si="146"/>
        <v/>
      </c>
      <c r="CF129" s="195">
        <f>IF($J129="",#N/A,SUM($CE$4:CE129))</f>
        <v>0.53239661716924003</v>
      </c>
      <c r="CG129" s="196">
        <f t="shared" si="147"/>
        <v>0.22747952684258282</v>
      </c>
      <c r="CH129" s="196">
        <f>IF($J129="",#N/A,SUM($CG$4:CG129))</f>
        <v>0.68610916820228396</v>
      </c>
      <c r="CI129" s="200" t="str">
        <f t="shared" si="148"/>
        <v/>
      </c>
      <c r="CJ129" s="203">
        <f>IF($J129="",#N/A,SUM(CI$4:CI129))</f>
        <v>0</v>
      </c>
      <c r="CK129" s="204" t="str">
        <f t="shared" si="149"/>
        <v/>
      </c>
      <c r="CL129" s="204">
        <f>IF($J129="",#N/A,SUM(CK$4:CK129))</f>
        <v>1.8934431343190481</v>
      </c>
      <c r="CM129" s="205" t="str">
        <f t="shared" si="150"/>
        <v/>
      </c>
      <c r="CN129" s="205">
        <f>IF($J129="",#N/A,SUM(CM$4:CM129))</f>
        <v>2.2555985727472319</v>
      </c>
      <c r="CO129" s="205">
        <f>IF($J129="",#N/A,SUM(CM$4:CM129,CK$4:CK129,CI$4:CI129))</f>
        <v>4.1490417070662797</v>
      </c>
      <c r="CP129" s="200" t="str">
        <f t="shared" si="151"/>
        <v/>
      </c>
      <c r="CQ129" s="203">
        <f>IF($J129="",#N/A,SUM(CP$4:CP129))</f>
        <v>0</v>
      </c>
      <c r="CR129" s="204" t="str">
        <f t="shared" si="152"/>
        <v/>
      </c>
      <c r="CS129" s="204">
        <f>IF($J129="",#N/A,SUM(CR$4:CR129))</f>
        <v>0</v>
      </c>
      <c r="CT129" s="205" t="str">
        <f t="shared" si="153"/>
        <v/>
      </c>
      <c r="CU129" s="205">
        <f>IF($J129="",#N/A,SUM(CT$4:CT129))</f>
        <v>0</v>
      </c>
      <c r="CV129" s="205">
        <f>IF($J129="",#N/A,SUM(CT$4:CT129,CR$4:CR129,CP$4:CP129))</f>
        <v>0</v>
      </c>
      <c r="CW129" s="200" t="str">
        <f t="shared" si="154"/>
        <v/>
      </c>
      <c r="CX129" s="203">
        <f>IF($J129="",#N/A,SUM(CW$4:CW129))</f>
        <v>0</v>
      </c>
      <c r="CY129" s="204" t="str">
        <f t="shared" si="155"/>
        <v/>
      </c>
      <c r="CZ129" s="204">
        <f>IF($J129="",#N/A,SUM(CY$4:CY129))</f>
        <v>-1.9289529100071134</v>
      </c>
      <c r="DA129" s="205" t="str">
        <f t="shared" si="156"/>
        <v/>
      </c>
      <c r="DB129" s="205">
        <f>IF($J129="",#N/A,SUM(DA$4:DA129))</f>
        <v>-0.16932974967219971</v>
      </c>
      <c r="DC129" s="205">
        <f>IF($J129="",#N/A,SUM(DA$4:DA129,CY$4:CY129,CW$4:CW129))</f>
        <v>-2.0982826596793132</v>
      </c>
      <c r="DD129" s="200" t="str">
        <f t="shared" si="157"/>
        <v/>
      </c>
      <c r="DE129" s="203">
        <f>IF($J129="",#N/A,SUM(DD$4:DD129))</f>
        <v>0.4905246481018824</v>
      </c>
      <c r="DF129" s="204" t="str">
        <f t="shared" si="158"/>
        <v/>
      </c>
      <c r="DG129" s="204">
        <f>IF($J129="",#N/A,SUM(DF$4:DF129))</f>
        <v>0.77374072477919809</v>
      </c>
      <c r="DH129" s="205" t="str">
        <f t="shared" si="159"/>
        <v/>
      </c>
      <c r="DI129" s="205">
        <f>IF($J129="",#N/A,SUM(DH$4:DH129))</f>
        <v>-1.3154755601364099</v>
      </c>
      <c r="DJ129" s="205">
        <f>IF($J129="",#N/A,SUM(DH$4:DH129,DF$4:DF129,DD$4:DD129))</f>
        <v>-5.1210187255329387E-2</v>
      </c>
      <c r="DK129" s="200" t="str">
        <f t="shared" si="160"/>
        <v/>
      </c>
      <c r="DL129" s="203">
        <f>IF($J129="",#N/A,SUM(DK$4:DK129))</f>
        <v>-1.2097286851272664</v>
      </c>
      <c r="DM129" s="204" t="str">
        <f t="shared" si="161"/>
        <v/>
      </c>
      <c r="DN129" s="204">
        <f>IF($J129="",#N/A,SUM(DM$4:DM129))</f>
        <v>1.1910608267574658</v>
      </c>
      <c r="DO129" s="205" t="str">
        <f t="shared" si="162"/>
        <v/>
      </c>
      <c r="DP129" s="205">
        <f>IF($J129="",#N/A,SUM(DO$4:DO129))</f>
        <v>1.3495058802125319</v>
      </c>
      <c r="DQ129" s="205">
        <f>IF($J129="",#N/A,SUM(DO$4:DO129,DM$4:DM129,DK$4:DK129))</f>
        <v>1.3308380218427318</v>
      </c>
      <c r="DR129" s="200" t="str">
        <f t="shared" si="163"/>
        <v/>
      </c>
      <c r="DS129" s="203">
        <f>IF($J129="",#N/A,SUM(DR$4:DR129))</f>
        <v>-0.55950946427675097</v>
      </c>
      <c r="DT129" s="204" t="str">
        <f t="shared" si="164"/>
        <v/>
      </c>
      <c r="DU129" s="204">
        <f>IF($J129="",#N/A,SUM(DT$4:DT129))</f>
        <v>-2.8875364672150718</v>
      </c>
      <c r="DV129" s="205" t="str">
        <f t="shared" si="165"/>
        <v/>
      </c>
      <c r="DW129" s="205">
        <f>IF($J129="",#N/A,SUM(DV$4:DV129))</f>
        <v>-2.6814706788983136</v>
      </c>
      <c r="DX129" s="205">
        <f>IF($J129="",#N/A,SUM(DV$4:DV129,DT$4:DT129,DR$4:DR129))</f>
        <v>-6.1285166103901361</v>
      </c>
      <c r="DY129" s="200" t="str">
        <f t="shared" si="166"/>
        <v/>
      </c>
      <c r="DZ129" s="203">
        <f>IF($J129="",#N/A,SUM(DY$4:DY129))</f>
        <v>-1.63480022183437</v>
      </c>
      <c r="EA129" s="204" t="str">
        <f t="shared" si="167"/>
        <v/>
      </c>
      <c r="EB129" s="204">
        <f>IF($J129="",#N/A,SUM(EA$4:EA129))</f>
        <v>-0.36153038830642437</v>
      </c>
      <c r="EC129" s="205" t="str">
        <f t="shared" si="168"/>
        <v/>
      </c>
      <c r="ED129" s="205">
        <f>IF($J129="",#N/A,SUM(EC$4:EC129))</f>
        <v>1.7103671484331777</v>
      </c>
      <c r="EE129" s="205">
        <f>IF($J129="",#N/A,SUM(EC$4:EC129,EA$4:EA129,DY$4:DY129))</f>
        <v>-0.28596346170761661</v>
      </c>
      <c r="EF129" s="200" t="str">
        <f t="shared" si="169"/>
        <v/>
      </c>
      <c r="EG129" s="203">
        <f>IF($J129="",#N/A,SUM(EF$4:EF129))</f>
        <v>0</v>
      </c>
      <c r="EH129" s="204" t="str">
        <f t="shared" si="170"/>
        <v/>
      </c>
      <c r="EI129" s="204">
        <f>IF($J129="",#N/A,SUM(EH$4:EH129))</f>
        <v>-2.6174111635897193</v>
      </c>
      <c r="EJ129" s="205" t="str">
        <f t="shared" si="171"/>
        <v/>
      </c>
      <c r="EK129" s="205">
        <f>IF($J129="",#N/A,SUM(EJ$4:EJ129))</f>
        <v>2.2873594184148476</v>
      </c>
      <c r="EL129" s="205">
        <f>IF($J129="",#N/A,SUM(EJ$4:EJ129,EH$4:EH129,EF$4:EF129))</f>
        <v>-0.33005174517487113</v>
      </c>
      <c r="EM129" s="200" t="str">
        <f t="shared" si="172"/>
        <v/>
      </c>
      <c r="EN129" s="203">
        <f>IF($J129="",#N/A,SUM(EM$4:EM129))</f>
        <v>0</v>
      </c>
      <c r="EO129" s="204" t="str">
        <f t="shared" si="173"/>
        <v/>
      </c>
      <c r="EP129" s="204">
        <f>IF($J129="",#N/A,SUM(EO$4:EO129))</f>
        <v>2.2865449370376734</v>
      </c>
      <c r="EQ129" s="205" t="str">
        <f t="shared" si="174"/>
        <v/>
      </c>
      <c r="ER129" s="205">
        <f>IF($J129="",#N/A,SUM(EQ$4:EQ129))</f>
        <v>0.4926597949853756</v>
      </c>
      <c r="ES129" s="205">
        <f>IF($J129="",#N/A,SUM(EQ$4:EQ129,EO$4:EO129,EM$4:EM129))</f>
        <v>2.7792047320230489</v>
      </c>
      <c r="ET129" s="200" t="str">
        <f t="shared" si="175"/>
        <v/>
      </c>
      <c r="EU129" s="203">
        <f>IF($J129="",#N/A,SUM(ET$4:ET129))</f>
        <v>0</v>
      </c>
      <c r="EV129" s="204" t="str">
        <f t="shared" si="176"/>
        <v/>
      </c>
      <c r="EW129" s="204">
        <f>IF($J129="",#N/A,SUM(EV$4:EV129))</f>
        <v>0.90459527759708336</v>
      </c>
      <c r="EX129" s="205">
        <f t="shared" si="177"/>
        <v>0.22747952684258282</v>
      </c>
      <c r="EY129" s="205">
        <f>IF($J129="",#N/A,SUM(EX$4:EX129))</f>
        <v>0.22957553748493481</v>
      </c>
      <c r="EZ129" s="205">
        <f>IF($J129="",#N/A,SUM(EX$4:EX129,EV$4:EV129,ET$4:ET129))</f>
        <v>1.134170815082018</v>
      </c>
      <c r="FA129" s="200" t="str">
        <f t="shared" si="178"/>
        <v/>
      </c>
      <c r="FB129" s="203">
        <f>IF($J129="",#N/A,SUM(FA$4:FA129))</f>
        <v>0</v>
      </c>
      <c r="FC129" s="204" t="str">
        <f t="shared" si="179"/>
        <v/>
      </c>
      <c r="FD129" s="204">
        <f>IF($J129="",#N/A,SUM(FC$4:FC129))</f>
        <v>1.6839191319663924</v>
      </c>
      <c r="FE129" s="205" t="str">
        <f t="shared" si="180"/>
        <v/>
      </c>
      <c r="FF129" s="205">
        <f>IF($J129="",#N/A,SUM(FE$4:FE129))</f>
        <v>-0.28811149078748233</v>
      </c>
      <c r="FG129" s="205">
        <f>IF($J129="",#N/A,SUM(FE$4:FE129,FC$4:FC129,FA$4:FA129))</f>
        <v>1.3958076411789102</v>
      </c>
      <c r="FH129" s="200" t="str">
        <f t="shared" si="181"/>
        <v/>
      </c>
      <c r="FI129" s="203">
        <f>IF($J129="",#N/A,SUM(FH$4:FH129))</f>
        <v>0</v>
      </c>
      <c r="FJ129" s="204" t="str">
        <f t="shared" si="182"/>
        <v/>
      </c>
      <c r="FK129" s="204">
        <f>IF($J129="",#N/A,SUM(FJ$4:FJ129))</f>
        <v>0</v>
      </c>
      <c r="FL129" s="205" t="str">
        <f t="shared" si="183"/>
        <v/>
      </c>
      <c r="FM129" s="205">
        <f>IF($J129="",#N/A,SUM(FL$4:FL129))</f>
        <v>0</v>
      </c>
      <c r="FN129" s="205">
        <f>IF($J129="",#N/A,SUM(FL$4:FL129,FJ$4:FJ129,FH$4:FH129))</f>
        <v>0</v>
      </c>
      <c r="FO129" s="200" t="str">
        <f t="shared" si="184"/>
        <v/>
      </c>
      <c r="FP129" s="203">
        <f>IF($J129="",#N/A,SUM(FO$4:FO129))</f>
        <v>0</v>
      </c>
      <c r="FQ129" s="204" t="str">
        <f t="shared" si="185"/>
        <v/>
      </c>
      <c r="FR129" s="204">
        <f>IF($J129="",#N/A,SUM(FQ$4:FQ129))</f>
        <v>0</v>
      </c>
      <c r="FS129" s="205" t="str">
        <f t="shared" si="186"/>
        <v/>
      </c>
      <c r="FT129" s="205">
        <f>IF($J129="",#N/A,SUM(FS$4:FS129))</f>
        <v>0</v>
      </c>
      <c r="FU129" s="205">
        <f>IF($J129="",#N/A,SUM(FS$4:FS129,FQ$4:FQ129,FO$4:FO129))</f>
        <v>0</v>
      </c>
      <c r="FV129" s="200" t="str">
        <f t="shared" si="187"/>
        <v/>
      </c>
      <c r="FW129" s="203">
        <f>IF($J129="",#N/A,SUM(FV$4:FV129))</f>
        <v>6.6834991831277585E-2</v>
      </c>
      <c r="FX129" s="204" t="str">
        <f t="shared" si="188"/>
        <v/>
      </c>
      <c r="FY129" s="204">
        <f>IF($J129="",#N/A,SUM(FX$4:FX129))</f>
        <v>0</v>
      </c>
      <c r="FZ129" s="205" t="str">
        <f t="shared" si="189"/>
        <v/>
      </c>
      <c r="GA129" s="205">
        <f>IF($J129="",#N/A,SUM(FZ$4:FZ129))</f>
        <v>-0.24773347685909197</v>
      </c>
      <c r="GB129" s="205">
        <f>IF($J129="",#N/A,SUM(FZ$4:FZ129,FX$4:FX129,FV$4:FV129))</f>
        <v>-0.18089848502781439</v>
      </c>
      <c r="GC129" s="200" t="str">
        <f t="shared" si="190"/>
        <v/>
      </c>
      <c r="GD129" s="203">
        <f>IF($J129="",#N/A,SUM(GC$4:GC129))</f>
        <v>0</v>
      </c>
      <c r="GE129" s="204" t="str">
        <f t="shared" si="191"/>
        <v/>
      </c>
      <c r="GF129" s="204">
        <f>IF($J129="",#N/A,SUM(GE$4:GE129))</f>
        <v>0</v>
      </c>
      <c r="GG129" s="205" t="str">
        <f t="shared" si="192"/>
        <v/>
      </c>
      <c r="GH129" s="205">
        <f>IF($J129="",#N/A,SUM(GG$4:GG129))</f>
        <v>-2.9368362277223206</v>
      </c>
      <c r="GI129" s="205">
        <f>IF($J129="",#N/A,SUM(GG$4:GG129,GE$4:GE129,GC$4:GC129))</f>
        <v>-2.9368362277223206</v>
      </c>
      <c r="GJ129" s="200" t="str">
        <f t="shared" si="193"/>
        <v/>
      </c>
      <c r="GK129" s="203">
        <f>IF($J129="",#N/A,SUM(GJ$4:GJ129))</f>
        <v>0</v>
      </c>
      <c r="GL129" s="204" t="str">
        <f t="shared" si="194"/>
        <v/>
      </c>
      <c r="GM129" s="204">
        <f>IF($J129="",#N/A,SUM(GL$4:GL129))</f>
        <v>-0.4054764861692941</v>
      </c>
      <c r="GN129" s="205" t="str">
        <f t="shared" si="195"/>
        <v/>
      </c>
      <c r="GO129" s="205">
        <f>IF($J129="",#N/A,SUM(GN$4:GN129))</f>
        <v>0</v>
      </c>
      <c r="GP129" s="205">
        <f>IF($J129="",#N/A,SUM(GN$4:GN129,GL$4:GL129,GJ$4:GJ129))</f>
        <v>-0.4054764861692941</v>
      </c>
      <c r="GS129" s="54">
        <f t="shared" si="214"/>
        <v>0.22747952684258282</v>
      </c>
      <c r="GT129" s="54">
        <f>IF(GS129="",NA(),SUM($GS$4:GS129))</f>
        <v>-2.1060238278265091</v>
      </c>
      <c r="GU129" s="54" t="str">
        <f t="shared" si="196"/>
        <v/>
      </c>
      <c r="GV129" s="54" t="e">
        <f>IF(GU129="",NA(),SUM($GU$4:GU129))</f>
        <v>#N/A</v>
      </c>
      <c r="GW129" s="54">
        <f t="shared" si="197"/>
        <v>0.22747952684258282</v>
      </c>
      <c r="GX129" s="54">
        <f>IF(GW129="",NA(),SUM($GW$4:GW129))</f>
        <v>0.48412035527499842</v>
      </c>
      <c r="GY129" s="54" t="str">
        <f t="shared" si="198"/>
        <v/>
      </c>
      <c r="GZ129" s="54" t="e">
        <f>IF(GY129="",NA(),SUM($GY$4:GY129))</f>
        <v>#N/A</v>
      </c>
      <c r="HA129" s="54" t="str">
        <f t="shared" si="199"/>
        <v/>
      </c>
      <c r="HB129" s="54" t="e">
        <f>IF(HA129="",NA(),SUM($HA$4:HA129))</f>
        <v>#N/A</v>
      </c>
      <c r="HC129" s="54" t="str">
        <f t="shared" si="200"/>
        <v/>
      </c>
      <c r="HD129" s="54" t="e">
        <f>IF(HC129="",NA(),SUM($HC$4:HC129))</f>
        <v>#N/A</v>
      </c>
      <c r="HE129" s="54" t="str">
        <f t="shared" si="201"/>
        <v/>
      </c>
      <c r="HF129" s="54" t="e">
        <f>IF(HE129="",NA(),SUM($HE$4:HE129))</f>
        <v>#N/A</v>
      </c>
      <c r="HG129" s="54" t="str">
        <f t="shared" si="202"/>
        <v/>
      </c>
      <c r="HH129" s="54" t="e">
        <f>IF(HG129="",NA(),SUM($HG$4:HG129))</f>
        <v>#N/A</v>
      </c>
      <c r="HI129" s="172" t="str">
        <f t="shared" si="215"/>
        <v/>
      </c>
      <c r="HJ129" s="172">
        <f>IF($J129="",#N/A,SUM(HI$4:$HI129))</f>
        <v>-4.0501038851906657</v>
      </c>
      <c r="HK129" s="54" t="str">
        <f t="shared" si="203"/>
        <v/>
      </c>
      <c r="HL129" s="54">
        <f>IF($J129="",#N/A,SUM($HK$4:HK129))</f>
        <v>-5.2584365376693087</v>
      </c>
      <c r="HM129" s="54" t="str">
        <f t="shared" si="204"/>
        <v/>
      </c>
      <c r="HN129" s="54">
        <f>IF($J129="",#N/A,SUM($HM$4:HM129))</f>
        <v>0.71812545963587882</v>
      </c>
      <c r="HO129" s="54" t="str">
        <f t="shared" si="205"/>
        <v/>
      </c>
      <c r="HP129" s="54">
        <f>IF($J129="",#N/A,SUM($HO$4:HO129))</f>
        <v>-0.6555551778566262</v>
      </c>
      <c r="HQ129" s="54">
        <f t="shared" si="206"/>
        <v>0.73376729427685072</v>
      </c>
      <c r="HR129" s="54">
        <f>IF($J129="",#N/A,SUM($HQ$4:HQ129))</f>
        <v>-7.0799420800713015</v>
      </c>
      <c r="HS129" s="54" t="str">
        <f t="shared" si="207"/>
        <v/>
      </c>
      <c r="HT129" s="54">
        <f>IF($J129="",#N/A,SUM($HS$4:HS129))</f>
        <v>6.9226101541531762</v>
      </c>
      <c r="HU129" s="65">
        <f t="shared" si="208"/>
        <v>0.9612468211194336</v>
      </c>
      <c r="HV129" s="65">
        <f>IF($J129="",#N/A,SUM(HU$4:$HU129))</f>
        <v>-11.031475012932553</v>
      </c>
    </row>
    <row r="130" spans="1:230" x14ac:dyDescent="0.25">
      <c r="A130" s="51" t="s">
        <v>1380</v>
      </c>
      <c r="B130" s="52" t="s">
        <v>4540</v>
      </c>
      <c r="C130" s="229">
        <f t="shared" si="109"/>
        <v>3</v>
      </c>
      <c r="D130" s="219" t="str">
        <f>_xlfn.XLOOKUP(A130,[1]SP500!$A$2:$A$502,[1]SP500!$D$2:$D$502,"N")</f>
        <v>Y</v>
      </c>
      <c r="E130" s="51" t="str">
        <f>IFERROR(_xlfn.XLOOKUP(A130,[1]SP500!$A$2:$A$655,[1]SP500!$B$2:$B$655),"")</f>
        <v>XLY</v>
      </c>
      <c r="F130" s="290">
        <v>45776</v>
      </c>
      <c r="G130" s="51" t="str">
        <f t="shared" si="110"/>
        <v>BMO</v>
      </c>
      <c r="H130" s="51" t="str">
        <f t="shared" si="111"/>
        <v>s</v>
      </c>
      <c r="I130" s="343">
        <v>216.31</v>
      </c>
      <c r="J130" s="124">
        <v>221.71</v>
      </c>
      <c r="K130" s="55">
        <f t="shared" si="112"/>
        <v>2.4964171790485903E-2</v>
      </c>
      <c r="L130" s="67">
        <f t="shared" si="113"/>
        <v>27</v>
      </c>
      <c r="M130" s="57">
        <f t="shared" si="114"/>
        <v>-1.6499999999998636</v>
      </c>
      <c r="N130" s="155">
        <f t="shared" si="115"/>
        <v>27</v>
      </c>
      <c r="O130" s="156">
        <f>IF(N130="",#N/A,SUM($N$4:N130))</f>
        <v>-285.4586358993879</v>
      </c>
      <c r="P130" s="65">
        <f t="shared" si="209"/>
        <v>0.41606952984143125</v>
      </c>
      <c r="Q130" s="172">
        <f>IF($N130="",#N/A,SUM($P$4:P130))</f>
        <v>-1.2121034160922763</v>
      </c>
      <c r="R130" s="279">
        <f t="shared" si="116"/>
        <v>5.4615447249490199</v>
      </c>
      <c r="S130" s="51" t="str">
        <f t="shared" si="117"/>
        <v>SW</v>
      </c>
      <c r="T130" s="51" t="s">
        <v>2828</v>
      </c>
      <c r="U130" s="56">
        <f t="shared" si="118"/>
        <v>216.31</v>
      </c>
      <c r="V130" s="56" t="s">
        <v>4460</v>
      </c>
      <c r="W130" s="142">
        <v>5</v>
      </c>
      <c r="X130" s="145">
        <f t="shared" si="119"/>
        <v>1081.55</v>
      </c>
      <c r="Y130" s="140">
        <f t="shared" si="120"/>
        <v>5</v>
      </c>
      <c r="Z130" s="123">
        <v>221.38</v>
      </c>
      <c r="AA130" s="102">
        <f t="shared" si="121"/>
        <v>25.350000000000136</v>
      </c>
      <c r="AB130" s="102">
        <f t="shared" si="122"/>
        <v>1.3500000000001364</v>
      </c>
      <c r="AC130" s="124">
        <v>216.58</v>
      </c>
      <c r="AD130" s="155">
        <f t="shared" si="123"/>
        <v>1.3500000000001364</v>
      </c>
      <c r="AE130" s="545">
        <f t="shared" si="124"/>
        <v>2.0803476492073664E-2</v>
      </c>
      <c r="AF130" s="57">
        <f>IF($AC130="",#N/A,SUM(AD$4:AD130))</f>
        <v>-786.80041200241692</v>
      </c>
      <c r="AG130" s="102">
        <f t="shared" si="125"/>
        <v>-25.649999999999864</v>
      </c>
      <c r="AH130" s="57" t="s">
        <v>2507</v>
      </c>
      <c r="AI130" s="65">
        <f t="shared" si="126"/>
        <v>0.39064305857334591</v>
      </c>
      <c r="AJ130" s="54">
        <f>IF(AI130="",#N/A,SUM($AI$4:AI130))</f>
        <v>-6.673648141041296</v>
      </c>
      <c r="AK130" s="57">
        <f t="shared" si="127"/>
        <v>25.350000000000136</v>
      </c>
      <c r="AL130" s="58">
        <f>IF(AI130="",#N/A,IF(AH130="Skip",SUM($AK$4:AK130),SUM($AK$4:AK130)))</f>
        <v>-636.76740850718659</v>
      </c>
      <c r="AM130" s="65">
        <f t="shared" si="210"/>
        <v>2.0803476492073664E-2</v>
      </c>
      <c r="AN130" s="211"/>
      <c r="AO130" s="65">
        <f t="shared" si="128"/>
        <v>2.0803476492073664E-2</v>
      </c>
      <c r="AP130" s="65">
        <f>IF($AC130="",#N/A,SUM(AO$4:AO130))</f>
        <v>0.54958071877622805</v>
      </c>
      <c r="AQ130" s="65" t="str">
        <f t="shared" si="129"/>
        <v/>
      </c>
      <c r="AR130" s="65">
        <f>IF($AC130="",#N/A,SUM(AQ$4:AQ130))</f>
        <v>-2.7841084495259749</v>
      </c>
      <c r="AS130" s="65" t="str">
        <f t="shared" si="130"/>
        <v/>
      </c>
      <c r="AT130" s="65">
        <f>IF($AC130="",#N/A,SUM(AS$4:AS130))</f>
        <v>-8.7761438056907366</v>
      </c>
      <c r="AU130" s="57">
        <f t="shared" si="211"/>
        <v>1.3500000000001364</v>
      </c>
      <c r="AV130" s="57">
        <f>IF($AC130="",#N/A,SUM(AU$4:AU130))</f>
        <v>-42.408793548749259</v>
      </c>
      <c r="AW130" s="57" t="str">
        <f t="shared" si="212"/>
        <v/>
      </c>
      <c r="AX130" s="57">
        <f>IF($AC130="",#N/A,SUM(AW$4:AW130))</f>
        <v>-174.74000000000024</v>
      </c>
      <c r="AY130" s="57" t="str">
        <f t="shared" si="213"/>
        <v/>
      </c>
      <c r="AZ130" s="57">
        <f>IF($AC130="",#N/A,SUM(AY$4:AY130))</f>
        <v>-569.65161845366742</v>
      </c>
      <c r="BA130" s="57">
        <f>IF(AD130="",#N/A,SUM($AD$4:AD130))</f>
        <v>-786.80041200241692</v>
      </c>
      <c r="BC130" s="51" t="str">
        <f t="shared" si="131"/>
        <v/>
      </c>
      <c r="BD130" s="51" t="str">
        <f t="shared" si="132"/>
        <v/>
      </c>
      <c r="BE130" s="51">
        <f t="shared" si="133"/>
        <v>1</v>
      </c>
      <c r="BF130" s="51" t="str">
        <f t="shared" si="134"/>
        <v>Long</v>
      </c>
      <c r="BG130" s="51" t="str">
        <f t="shared" si="135"/>
        <v/>
      </c>
      <c r="BH130" s="51" t="str">
        <f t="shared" si="136"/>
        <v/>
      </c>
      <c r="BI130" s="51" t="str">
        <f t="shared" si="137"/>
        <v/>
      </c>
      <c r="BK130" s="65">
        <f t="shared" si="217"/>
        <v>-8.2433163588492439E-2</v>
      </c>
      <c r="BL130" s="65">
        <f t="shared" si="216"/>
        <v>0.1402774494447879</v>
      </c>
      <c r="BM130" s="65">
        <f>IFERROR(Q130/COUNTA($J$4:J130),#N/A)</f>
        <v>-9.5441213865533562E-3</v>
      </c>
      <c r="BO130" s="489">
        <f>IF(J130="",#N/A,IF(S130="SW",(COUNTIFS(K$4:$K130,"&gt;0",S$4:$S130,"SW")/COUNTIF(S$4:$S130,"SW")),#N/A))</f>
        <v>0.4861111111111111</v>
      </c>
      <c r="BP130" s="489" t="e">
        <f>IF($J130="",#N/A,IF($S130="DWN",(COUNTIFS($K$4:$K130,"&lt;0",$S$4:$S130,"DWN")/COUNTIF($S$4:$S130,"DWN")),#N/A))</f>
        <v>#N/A</v>
      </c>
      <c r="BQ130" s="489" t="e">
        <f>IF($J130="",#N/A,IF($S130="UP",(COUNTIFS($K$4:$K130,"&gt;0",$S$4:$S130,"UP")/COUNTIF($S$4:$S130,"UP")),#N/A))</f>
        <v>#N/A</v>
      </c>
      <c r="BR130" s="489">
        <f>IF(J130="",#N/A,COUNTIF($K$4:K130,"&gt;0")/COUNT($J$4:J130))</f>
        <v>0.45669291338582679</v>
      </c>
      <c r="BS130" s="65">
        <f t="shared" si="138"/>
        <v>0.41606952984143125</v>
      </c>
      <c r="BT130" s="65" t="str">
        <f t="shared" si="139"/>
        <v/>
      </c>
      <c r="BU130" s="65" t="str">
        <f t="shared" si="140"/>
        <v/>
      </c>
      <c r="BV130" s="65" t="str">
        <f t="shared" si="141"/>
        <v/>
      </c>
      <c r="BW130" s="151" t="str">
        <f t="shared" si="142"/>
        <v/>
      </c>
      <c r="BX130" s="151">
        <f>IF($J130="",#N/A,SUM($BW$4:BW130))</f>
        <v>-181.36500000000035</v>
      </c>
      <c r="BY130" s="152" t="str">
        <f t="shared" si="143"/>
        <v/>
      </c>
      <c r="BZ130" s="152">
        <f>IF($J130="",#N/A,SUM($BY$4:BY130))</f>
        <v>-34.855659610666748</v>
      </c>
      <c r="CA130" s="153">
        <f t="shared" si="144"/>
        <v>27</v>
      </c>
      <c r="CB130" s="154">
        <f>IF($J130="",#N/A,SUM($CA$4:CA130))</f>
        <v>-69.237976288720802</v>
      </c>
      <c r="CC130" s="191" t="str">
        <f t="shared" si="145"/>
        <v/>
      </c>
      <c r="CD130" s="191">
        <f>IF($J130="",#N/A,SUM($CC$4:CC130))</f>
        <v>-2.8466787313052277</v>
      </c>
      <c r="CE130" s="192" t="str">
        <f t="shared" si="146"/>
        <v/>
      </c>
      <c r="CF130" s="192">
        <f>IF($J130="",#N/A,SUM($CE$4:CE130))</f>
        <v>0.53239661716924003</v>
      </c>
      <c r="CG130" s="193">
        <f t="shared" si="147"/>
        <v>0.41606952984143125</v>
      </c>
      <c r="CH130" s="193">
        <f>IF($J130="",#N/A,SUM($CG$4:CG130))</f>
        <v>1.1021786980437152</v>
      </c>
      <c r="CI130" s="200" t="str">
        <f t="shared" si="148"/>
        <v/>
      </c>
      <c r="CJ130" s="200">
        <f>IF($J130="",#N/A,SUM(CI$4:CI130))</f>
        <v>0</v>
      </c>
      <c r="CK130" s="201" t="str">
        <f t="shared" si="149"/>
        <v/>
      </c>
      <c r="CL130" s="201">
        <f>IF($J130="",#N/A,SUM(CK$4:CK130))</f>
        <v>1.8934431343190481</v>
      </c>
      <c r="CM130" s="202" t="str">
        <f t="shared" si="150"/>
        <v/>
      </c>
      <c r="CN130" s="202">
        <f>IF($J130="",#N/A,SUM(CM$4:CM130))</f>
        <v>2.2555985727472319</v>
      </c>
      <c r="CO130" s="202">
        <f>IF($J130="",#N/A,SUM(CM$4:CM130,CK$4:CK130,CI$4:CI130))</f>
        <v>4.1490417070662797</v>
      </c>
      <c r="CP130" s="200" t="str">
        <f t="shared" si="151"/>
        <v/>
      </c>
      <c r="CQ130" s="200">
        <f>IF($J130="",#N/A,SUM(CP$4:CP130))</f>
        <v>0</v>
      </c>
      <c r="CR130" s="201" t="str">
        <f t="shared" si="152"/>
        <v/>
      </c>
      <c r="CS130" s="201">
        <f>IF($J130="",#N/A,SUM(CR$4:CR130))</f>
        <v>0</v>
      </c>
      <c r="CT130" s="202" t="str">
        <f t="shared" si="153"/>
        <v/>
      </c>
      <c r="CU130" s="202">
        <f>IF($J130="",#N/A,SUM(CT$4:CT130))</f>
        <v>0</v>
      </c>
      <c r="CV130" s="202">
        <f>IF($J130="",#N/A,SUM(CT$4:CT130,CR$4:CR130,CP$4:CP130))</f>
        <v>0</v>
      </c>
      <c r="CW130" s="200" t="str">
        <f t="shared" si="154"/>
        <v/>
      </c>
      <c r="CX130" s="200">
        <f>IF($J130="",#N/A,SUM(CW$4:CW130))</f>
        <v>0</v>
      </c>
      <c r="CY130" s="201" t="str">
        <f t="shared" si="155"/>
        <v/>
      </c>
      <c r="CZ130" s="201">
        <f>IF($J130="",#N/A,SUM(CY$4:CY130))</f>
        <v>-1.9289529100071134</v>
      </c>
      <c r="DA130" s="202">
        <f t="shared" si="156"/>
        <v>0.41606952984143125</v>
      </c>
      <c r="DB130" s="202">
        <f>IF($J130="",#N/A,SUM(DA$4:DA130))</f>
        <v>0.24673978016923154</v>
      </c>
      <c r="DC130" s="202">
        <f>IF($J130="",#N/A,SUM(DA$4:DA130,CY$4:CY130,CW$4:CW130))</f>
        <v>-1.6822131298378817</v>
      </c>
      <c r="DD130" s="200" t="str">
        <f t="shared" si="157"/>
        <v/>
      </c>
      <c r="DE130" s="200">
        <f>IF($J130="",#N/A,SUM(DD$4:DD130))</f>
        <v>0.4905246481018824</v>
      </c>
      <c r="DF130" s="201" t="str">
        <f t="shared" si="158"/>
        <v/>
      </c>
      <c r="DG130" s="201">
        <f>IF($J130="",#N/A,SUM(DF$4:DF130))</f>
        <v>0.77374072477919809</v>
      </c>
      <c r="DH130" s="202" t="str">
        <f t="shared" si="159"/>
        <v/>
      </c>
      <c r="DI130" s="202">
        <f>IF($J130="",#N/A,SUM(DH$4:DH130))</f>
        <v>-1.3154755601364099</v>
      </c>
      <c r="DJ130" s="202">
        <f>IF($J130="",#N/A,SUM(DH$4:DH130,DF$4:DF130,DD$4:DD130))</f>
        <v>-5.1210187255329387E-2</v>
      </c>
      <c r="DK130" s="200" t="str">
        <f t="shared" si="160"/>
        <v/>
      </c>
      <c r="DL130" s="200">
        <f>IF($J130="",#N/A,SUM(DK$4:DK130))</f>
        <v>-1.2097286851272664</v>
      </c>
      <c r="DM130" s="201" t="str">
        <f t="shared" si="161"/>
        <v/>
      </c>
      <c r="DN130" s="201">
        <f>IF($J130="",#N/A,SUM(DM$4:DM130))</f>
        <v>1.1910608267574658</v>
      </c>
      <c r="DO130" s="202" t="str">
        <f t="shared" si="162"/>
        <v/>
      </c>
      <c r="DP130" s="202">
        <f>IF($J130="",#N/A,SUM(DO$4:DO130))</f>
        <v>1.3495058802125319</v>
      </c>
      <c r="DQ130" s="202">
        <f>IF($J130="",#N/A,SUM(DO$4:DO130,DM$4:DM130,DK$4:DK130))</f>
        <v>1.3308380218427318</v>
      </c>
      <c r="DR130" s="200" t="str">
        <f t="shared" si="163"/>
        <v/>
      </c>
      <c r="DS130" s="200">
        <f>IF($J130="",#N/A,SUM(DR$4:DR130))</f>
        <v>-0.55950946427675097</v>
      </c>
      <c r="DT130" s="201" t="str">
        <f t="shared" si="164"/>
        <v/>
      </c>
      <c r="DU130" s="201">
        <f>IF($J130="",#N/A,SUM(DT$4:DT130))</f>
        <v>-2.8875364672150718</v>
      </c>
      <c r="DV130" s="202" t="str">
        <f t="shared" si="165"/>
        <v/>
      </c>
      <c r="DW130" s="202">
        <f>IF($J130="",#N/A,SUM(DV$4:DV130))</f>
        <v>-2.6814706788983136</v>
      </c>
      <c r="DX130" s="202">
        <f>IF($J130="",#N/A,SUM(DV$4:DV130,DT$4:DT130,DR$4:DR130))</f>
        <v>-6.1285166103901361</v>
      </c>
      <c r="DY130" s="200" t="str">
        <f t="shared" si="166"/>
        <v/>
      </c>
      <c r="DZ130" s="200">
        <f>IF($J130="",#N/A,SUM(DY$4:DY130))</f>
        <v>-1.63480022183437</v>
      </c>
      <c r="EA130" s="201" t="str">
        <f t="shared" si="167"/>
        <v/>
      </c>
      <c r="EB130" s="201">
        <f>IF($J130="",#N/A,SUM(EA$4:EA130))</f>
        <v>-0.36153038830642437</v>
      </c>
      <c r="EC130" s="202" t="str">
        <f t="shared" si="168"/>
        <v/>
      </c>
      <c r="ED130" s="202">
        <f>IF($J130="",#N/A,SUM(EC$4:EC130))</f>
        <v>1.7103671484331777</v>
      </c>
      <c r="EE130" s="202">
        <f>IF($J130="",#N/A,SUM(EC$4:EC130,EA$4:EA130,DY$4:DY130))</f>
        <v>-0.28596346170761661</v>
      </c>
      <c r="EF130" s="200" t="str">
        <f t="shared" si="169"/>
        <v/>
      </c>
      <c r="EG130" s="200">
        <f>IF($J130="",#N/A,SUM(EF$4:EF130))</f>
        <v>0</v>
      </c>
      <c r="EH130" s="201" t="str">
        <f t="shared" si="170"/>
        <v/>
      </c>
      <c r="EI130" s="201">
        <f>IF($J130="",#N/A,SUM(EH$4:EH130))</f>
        <v>-2.6174111635897193</v>
      </c>
      <c r="EJ130" s="202" t="str">
        <f t="shared" si="171"/>
        <v/>
      </c>
      <c r="EK130" s="202">
        <f>IF($J130="",#N/A,SUM(EJ$4:EJ130))</f>
        <v>2.2873594184148476</v>
      </c>
      <c r="EL130" s="202">
        <f>IF($J130="",#N/A,SUM(EJ$4:EJ130,EH$4:EH130,EF$4:EF130))</f>
        <v>-0.33005174517487113</v>
      </c>
      <c r="EM130" s="200" t="str">
        <f t="shared" si="172"/>
        <v/>
      </c>
      <c r="EN130" s="200">
        <f>IF($J130="",#N/A,SUM(EM$4:EM130))</f>
        <v>0</v>
      </c>
      <c r="EO130" s="201" t="str">
        <f t="shared" si="173"/>
        <v/>
      </c>
      <c r="EP130" s="201">
        <f>IF($J130="",#N/A,SUM(EO$4:EO130))</f>
        <v>2.2865449370376734</v>
      </c>
      <c r="EQ130" s="202" t="str">
        <f t="shared" si="174"/>
        <v/>
      </c>
      <c r="ER130" s="202">
        <f>IF($J130="",#N/A,SUM(EQ$4:EQ130))</f>
        <v>0.4926597949853756</v>
      </c>
      <c r="ES130" s="202">
        <f>IF($J130="",#N/A,SUM(EQ$4:EQ130,EO$4:EO130,EM$4:EM130))</f>
        <v>2.7792047320230489</v>
      </c>
      <c r="ET130" s="200" t="str">
        <f t="shared" si="175"/>
        <v/>
      </c>
      <c r="EU130" s="200">
        <f>IF($J130="",#N/A,SUM(ET$4:ET130))</f>
        <v>0</v>
      </c>
      <c r="EV130" s="201" t="str">
        <f t="shared" si="176"/>
        <v/>
      </c>
      <c r="EW130" s="201">
        <f>IF($J130="",#N/A,SUM(EV$4:EV130))</f>
        <v>0.90459527759708336</v>
      </c>
      <c r="EX130" s="202" t="str">
        <f t="shared" si="177"/>
        <v/>
      </c>
      <c r="EY130" s="202">
        <f>IF($J130="",#N/A,SUM(EX$4:EX130))</f>
        <v>0.22957553748493481</v>
      </c>
      <c r="EZ130" s="202">
        <f>IF($J130="",#N/A,SUM(EX$4:EX130,EV$4:EV130,ET$4:ET130))</f>
        <v>1.134170815082018</v>
      </c>
      <c r="FA130" s="200" t="str">
        <f t="shared" si="178"/>
        <v/>
      </c>
      <c r="FB130" s="200">
        <f>IF($J130="",#N/A,SUM(FA$4:FA130))</f>
        <v>0</v>
      </c>
      <c r="FC130" s="201" t="str">
        <f t="shared" si="179"/>
        <v/>
      </c>
      <c r="FD130" s="201">
        <f>IF($J130="",#N/A,SUM(FC$4:FC130))</f>
        <v>1.6839191319663924</v>
      </c>
      <c r="FE130" s="202" t="str">
        <f t="shared" si="180"/>
        <v/>
      </c>
      <c r="FF130" s="202">
        <f>IF($J130="",#N/A,SUM(FE$4:FE130))</f>
        <v>-0.28811149078748233</v>
      </c>
      <c r="FG130" s="202">
        <f>IF($J130="",#N/A,SUM(FE$4:FE130,FC$4:FC130,FA$4:FA130))</f>
        <v>1.3958076411789102</v>
      </c>
      <c r="FH130" s="200" t="str">
        <f t="shared" si="181"/>
        <v/>
      </c>
      <c r="FI130" s="200">
        <f>IF($J130="",#N/A,SUM(FH$4:FH130))</f>
        <v>0</v>
      </c>
      <c r="FJ130" s="201" t="str">
        <f t="shared" si="182"/>
        <v/>
      </c>
      <c r="FK130" s="201">
        <f>IF($J130="",#N/A,SUM(FJ$4:FJ130))</f>
        <v>0</v>
      </c>
      <c r="FL130" s="202" t="str">
        <f t="shared" si="183"/>
        <v/>
      </c>
      <c r="FM130" s="202">
        <f>IF($J130="",#N/A,SUM(FL$4:FL130))</f>
        <v>0</v>
      </c>
      <c r="FN130" s="202">
        <f>IF($J130="",#N/A,SUM(FL$4:FL130,FJ$4:FJ130,FH$4:FH130))</f>
        <v>0</v>
      </c>
      <c r="FO130" s="200" t="str">
        <f t="shared" si="184"/>
        <v/>
      </c>
      <c r="FP130" s="200">
        <f>IF($J130="",#N/A,SUM(FO$4:FO130))</f>
        <v>0</v>
      </c>
      <c r="FQ130" s="201" t="str">
        <f t="shared" si="185"/>
        <v/>
      </c>
      <c r="FR130" s="201">
        <f>IF($J130="",#N/A,SUM(FQ$4:FQ130))</f>
        <v>0</v>
      </c>
      <c r="FS130" s="202" t="str">
        <f t="shared" si="186"/>
        <v/>
      </c>
      <c r="FT130" s="202">
        <f>IF($J130="",#N/A,SUM(FS$4:FS130))</f>
        <v>0</v>
      </c>
      <c r="FU130" s="202">
        <f>IF($J130="",#N/A,SUM(FS$4:FS130,FQ$4:FQ130,FO$4:FO130))</f>
        <v>0</v>
      </c>
      <c r="FV130" s="200" t="str">
        <f t="shared" si="187"/>
        <v/>
      </c>
      <c r="FW130" s="200">
        <f>IF($J130="",#N/A,SUM(FV$4:FV130))</f>
        <v>6.6834991831277585E-2</v>
      </c>
      <c r="FX130" s="201" t="str">
        <f t="shared" si="188"/>
        <v/>
      </c>
      <c r="FY130" s="201">
        <f>IF($J130="",#N/A,SUM(FX$4:FX130))</f>
        <v>0</v>
      </c>
      <c r="FZ130" s="202" t="str">
        <f t="shared" si="189"/>
        <v/>
      </c>
      <c r="GA130" s="202">
        <f>IF($J130="",#N/A,SUM(FZ$4:FZ130))</f>
        <v>-0.24773347685909197</v>
      </c>
      <c r="GB130" s="202">
        <f>IF($J130="",#N/A,SUM(FZ$4:FZ130,FX$4:FX130,FV$4:FV130))</f>
        <v>-0.18089848502781439</v>
      </c>
      <c r="GC130" s="200" t="str">
        <f t="shared" si="190"/>
        <v/>
      </c>
      <c r="GD130" s="200">
        <f>IF($J130="",#N/A,SUM(GC$4:GC130))</f>
        <v>0</v>
      </c>
      <c r="GE130" s="201" t="str">
        <f t="shared" si="191"/>
        <v/>
      </c>
      <c r="GF130" s="201">
        <f>IF($J130="",#N/A,SUM(GE$4:GE130))</f>
        <v>0</v>
      </c>
      <c r="GG130" s="202" t="str">
        <f t="shared" si="192"/>
        <v/>
      </c>
      <c r="GH130" s="202">
        <f>IF($J130="",#N/A,SUM(GG$4:GG130))</f>
        <v>-2.9368362277223206</v>
      </c>
      <c r="GI130" s="202">
        <f>IF($J130="",#N/A,SUM(GG$4:GG130,GE$4:GE130,GC$4:GC130))</f>
        <v>-2.9368362277223206</v>
      </c>
      <c r="GJ130" s="200" t="str">
        <f t="shared" si="193"/>
        <v/>
      </c>
      <c r="GK130" s="200">
        <f>IF($J130="",#N/A,SUM(GJ$4:GJ130))</f>
        <v>0</v>
      </c>
      <c r="GL130" s="201" t="str">
        <f t="shared" si="194"/>
        <v/>
      </c>
      <c r="GM130" s="201">
        <f>IF($J130="",#N/A,SUM(GL$4:GL130))</f>
        <v>-0.4054764861692941</v>
      </c>
      <c r="GN130" s="202" t="str">
        <f t="shared" si="195"/>
        <v/>
      </c>
      <c r="GO130" s="202">
        <f>IF($J130="",#N/A,SUM(GN$4:GN130))</f>
        <v>0</v>
      </c>
      <c r="GP130" s="202">
        <f>IF($J130="",#N/A,SUM(GN$4:GN130,GL$4:GL130,GJ$4:GJ130))</f>
        <v>-0.4054764861692941</v>
      </c>
      <c r="GS130" s="54">
        <f t="shared" si="214"/>
        <v>0.41606952984143125</v>
      </c>
      <c r="GT130" s="54">
        <f>IF(GS130="",NA(),SUM($GS$4:GS130))</f>
        <v>-1.6899542979850779</v>
      </c>
      <c r="GU130" s="54" t="str">
        <f t="shared" si="196"/>
        <v/>
      </c>
      <c r="GV130" s="54" t="e">
        <f>IF(GU130="",NA(),SUM($GU$4:GU130))</f>
        <v>#N/A</v>
      </c>
      <c r="GW130" s="54">
        <f t="shared" si="197"/>
        <v>0.41606952984143125</v>
      </c>
      <c r="GX130" s="54">
        <f>IF(GW130="",NA(),SUM($GW$4:GW130))</f>
        <v>0.90018988511642961</v>
      </c>
      <c r="GY130" s="54" t="str">
        <f t="shared" si="198"/>
        <v/>
      </c>
      <c r="GZ130" s="54" t="e">
        <f>IF(GY130="",NA(),SUM($GY$4:GY130))</f>
        <v>#N/A</v>
      </c>
      <c r="HA130" s="54" t="str">
        <f t="shared" si="199"/>
        <v/>
      </c>
      <c r="HB130" s="54" t="e">
        <f>IF(HA130="",NA(),SUM($HA$4:HA130))</f>
        <v>#N/A</v>
      </c>
      <c r="HC130" s="54" t="str">
        <f t="shared" si="200"/>
        <v/>
      </c>
      <c r="HD130" s="54" t="e">
        <f>IF(HC130="",NA(),SUM($HC$4:HC130))</f>
        <v>#N/A</v>
      </c>
      <c r="HE130" s="54" t="str">
        <f t="shared" si="201"/>
        <v/>
      </c>
      <c r="HF130" s="54" t="e">
        <f>IF(HE130="",NA(),SUM($HE$4:HE130))</f>
        <v>#N/A</v>
      </c>
      <c r="HG130" s="54" t="str">
        <f t="shared" si="202"/>
        <v/>
      </c>
      <c r="HH130" s="54" t="e">
        <f>IF(HG130="",NA(),SUM($HG$4:HG130))</f>
        <v>#N/A</v>
      </c>
      <c r="HI130" s="172" t="str">
        <f t="shared" si="215"/>
        <v/>
      </c>
      <c r="HJ130" s="172">
        <f>IF($J130="",#N/A,SUM(HI$4:$HI130))</f>
        <v>-4.0501038851906657</v>
      </c>
      <c r="HK130" s="54" t="str">
        <f t="shared" si="203"/>
        <v/>
      </c>
      <c r="HL130" s="54">
        <f>IF($J130="",#N/A,SUM($HK$4:HK130))</f>
        <v>-5.2584365376693087</v>
      </c>
      <c r="HM130" s="54" t="str">
        <f t="shared" si="204"/>
        <v/>
      </c>
      <c r="HN130" s="54">
        <f>IF($J130="",#N/A,SUM($HM$4:HM130))</f>
        <v>0.71812545963587882</v>
      </c>
      <c r="HO130" s="54" t="str">
        <f t="shared" si="205"/>
        <v/>
      </c>
      <c r="HP130" s="54">
        <f>IF($J130="",#N/A,SUM($HO$4:HO130))</f>
        <v>-0.6555551778566262</v>
      </c>
      <c r="HQ130" s="54">
        <f t="shared" si="206"/>
        <v>-0.3952660533493576</v>
      </c>
      <c r="HR130" s="54">
        <f>IF($J130="",#N/A,SUM($HQ$4:HQ130))</f>
        <v>-7.4752081334206588</v>
      </c>
      <c r="HS130" s="54" t="str">
        <f t="shared" si="207"/>
        <v/>
      </c>
      <c r="HT130" s="54">
        <f>IF($J130="",#N/A,SUM($HS$4:HS130))</f>
        <v>6.9226101541531762</v>
      </c>
      <c r="HU130" s="65">
        <f t="shared" si="208"/>
        <v>2.0803476492073664E-2</v>
      </c>
      <c r="HV130" s="65">
        <f>IF($J130="",#N/A,SUM(HU$4:$HU130))</f>
        <v>-11.01067153644048</v>
      </c>
    </row>
    <row r="131" spans="1:230" x14ac:dyDescent="0.25">
      <c r="A131" s="396" t="s">
        <v>1342</v>
      </c>
      <c r="B131" s="52" t="s">
        <v>4540</v>
      </c>
      <c r="C131" s="229">
        <f t="shared" si="109"/>
        <v>2</v>
      </c>
      <c r="D131" s="219" t="str">
        <f>_xlfn.XLOOKUP(A131,[1]SP500!$A$2:$A$502,[1]SP500!$D$2:$D$502,"N")</f>
        <v>Y</v>
      </c>
      <c r="E131" s="51" t="str">
        <f>IFERROR(_xlfn.XLOOKUP(A131,[1]SP500!$A$2:$A$655,[1]SP500!$B$2:$B$655),"")</f>
        <v>XLB</v>
      </c>
      <c r="F131" s="290">
        <v>45776</v>
      </c>
      <c r="G131" s="51" t="str">
        <f t="shared" si="110"/>
        <v>BMO</v>
      </c>
      <c r="H131" s="51" t="str">
        <f t="shared" si="111"/>
        <v>s</v>
      </c>
      <c r="I131" s="343">
        <v>332.2</v>
      </c>
      <c r="J131" s="124">
        <v>345.3</v>
      </c>
      <c r="K131" s="55">
        <f t="shared" si="112"/>
        <v>3.9434075857916986E-2</v>
      </c>
      <c r="L131" s="67">
        <f t="shared" si="113"/>
        <v>-39.300000000000182</v>
      </c>
      <c r="M131" s="57">
        <f t="shared" si="114"/>
        <v>0.90000000000009095</v>
      </c>
      <c r="N131" s="102">
        <f t="shared" si="115"/>
        <v>-39.300000000000182</v>
      </c>
      <c r="O131" s="57">
        <f>IF(N131="",#N/A,SUM($N$4:N131))</f>
        <v>-324.75863589938808</v>
      </c>
      <c r="P131" s="65">
        <f t="shared" si="209"/>
        <v>-0.6572345976319518</v>
      </c>
      <c r="Q131" s="172">
        <f>IF($N131="",#N/A,SUM($P$4:P131))</f>
        <v>-1.8693380137242281</v>
      </c>
      <c r="R131" s="279">
        <f t="shared" si="116"/>
        <v>5.446493550957447</v>
      </c>
      <c r="S131" s="51" t="str">
        <f t="shared" si="117"/>
        <v>Dwn</v>
      </c>
      <c r="T131" s="51" t="s">
        <v>4461</v>
      </c>
      <c r="U131" s="56">
        <f t="shared" si="118"/>
        <v>332.2</v>
      </c>
      <c r="V131" s="56" t="s">
        <v>4458</v>
      </c>
      <c r="W131" s="142">
        <v>3</v>
      </c>
      <c r="X131" s="145">
        <f t="shared" si="119"/>
        <v>996.59999999999991</v>
      </c>
      <c r="Y131" s="140">
        <f t="shared" si="120"/>
        <v>3</v>
      </c>
      <c r="Z131" s="123">
        <v>345</v>
      </c>
      <c r="AA131" s="102">
        <f t="shared" si="121"/>
        <v>-38.400000000000091</v>
      </c>
      <c r="AB131" s="102">
        <f t="shared" si="122"/>
        <v>-47.789999999999964</v>
      </c>
      <c r="AC131" s="124">
        <v>348.13</v>
      </c>
      <c r="AD131" s="155">
        <f t="shared" si="123"/>
        <v>-47.789999999999964</v>
      </c>
      <c r="AE131" s="545">
        <f t="shared" si="124"/>
        <v>-0.79921733895243774</v>
      </c>
      <c r="AF131" s="57">
        <f>IF($AC131="",#N/A,SUM(AD$4:AD131))</f>
        <v>-834.59041200241688</v>
      </c>
      <c r="AG131" s="102">
        <f t="shared" si="125"/>
        <v>-8.4899999999997817</v>
      </c>
      <c r="AH131" s="56" t="s">
        <v>2507</v>
      </c>
      <c r="AI131" s="65">
        <f t="shared" si="126"/>
        <v>-0.64218342364037884</v>
      </c>
      <c r="AJ131" s="54">
        <f>IF(AI131="",#N/A,SUM($AI$4:AI131))</f>
        <v>-7.3158315646816749</v>
      </c>
      <c r="AK131" s="57">
        <f t="shared" si="127"/>
        <v>-38.400000000000091</v>
      </c>
      <c r="AL131" s="349">
        <f>IF(AI131="",#N/A,IF(AH131="Skip",SUM($AK$4:AK131),SUM($AK$4:AK131)))</f>
        <v>-675.16740850718668</v>
      </c>
      <c r="AM131" s="65">
        <f t="shared" si="210"/>
        <v>-0.79921733895243774</v>
      </c>
      <c r="AN131" s="209"/>
      <c r="AO131" s="65" t="str">
        <f t="shared" si="128"/>
        <v/>
      </c>
      <c r="AP131" s="65">
        <f>IF($AC131="",#N/A,SUM(AO$4:AO131))</f>
        <v>0.54958071877622805</v>
      </c>
      <c r="AQ131" s="65" t="str">
        <f t="shared" si="129"/>
        <v/>
      </c>
      <c r="AR131" s="65">
        <f>IF($AC131="",#N/A,SUM(AQ$4:AQ131))</f>
        <v>-2.7841084495259749</v>
      </c>
      <c r="AS131" s="65">
        <f t="shared" si="130"/>
        <v>-0.79921733895243774</v>
      </c>
      <c r="AT131" s="65">
        <f>IF($AC131="",#N/A,SUM(AS$4:AS131))</f>
        <v>-9.5753611446431748</v>
      </c>
      <c r="AU131" s="57" t="str">
        <f t="shared" si="211"/>
        <v/>
      </c>
      <c r="AV131" s="57">
        <f>IF($AC131="",#N/A,SUM(AU$4:AU131))</f>
        <v>-42.408793548749259</v>
      </c>
      <c r="AW131" s="57" t="str">
        <f t="shared" si="212"/>
        <v/>
      </c>
      <c r="AX131" s="57">
        <f>IF($AC131="",#N/A,SUM(AW$4:AW131))</f>
        <v>-174.74000000000024</v>
      </c>
      <c r="AY131" s="57">
        <f t="shared" si="213"/>
        <v>-47.789999999999964</v>
      </c>
      <c r="AZ131" s="57">
        <f>IF($AC131="",#N/A,SUM(AY$4:AY131))</f>
        <v>-617.44161845366739</v>
      </c>
      <c r="BA131" s="57">
        <f>IF(AD131="",#N/A,SUM($AD$4:AD131))</f>
        <v>-834.59041200241688</v>
      </c>
      <c r="BC131" s="51" t="str">
        <f t="shared" si="131"/>
        <v/>
      </c>
      <c r="BD131" s="51">
        <f t="shared" si="132"/>
        <v>1</v>
      </c>
      <c r="BE131" s="51" t="str">
        <f t="shared" si="133"/>
        <v/>
      </c>
      <c r="BF131" s="51" t="str">
        <f t="shared" si="134"/>
        <v>Short</v>
      </c>
      <c r="BG131" s="51" t="str">
        <f t="shared" si="135"/>
        <v/>
      </c>
      <c r="BH131" s="51" t="str">
        <f t="shared" si="136"/>
        <v/>
      </c>
      <c r="BI131" s="51" t="str">
        <f t="shared" si="137"/>
        <v/>
      </c>
      <c r="BK131" s="65">
        <f t="shared" si="217"/>
        <v>-7.615332672683571E-2</v>
      </c>
      <c r="BL131" s="65">
        <f t="shared" si="216"/>
        <v>0.16237721294460047</v>
      </c>
      <c r="BM131" s="65">
        <f>IFERROR(Q131/COUNTA($J$4:J131),#N/A)</f>
        <v>-1.4604203232220532E-2</v>
      </c>
      <c r="BO131" s="489" t="e">
        <f>IF(J131="",#N/A,IF(S131="SW",(COUNTIFS(K$4:$K131,"&gt;0",S$4:$S131,"SW")/COUNTIF(S$4:$S131,"SW")),#N/A))</f>
        <v>#N/A</v>
      </c>
      <c r="BP131" s="489">
        <f>IF($J131="",#N/A,IF($S131="DWN",(COUNTIFS($K$4:$K131,"&lt;0",$S$4:$S131,"DWN")/COUNTIF($S$4:$S131,"DWN")),#N/A))</f>
        <v>0.5714285714285714</v>
      </c>
      <c r="BQ131" s="489" t="e">
        <f>IF($J131="",#N/A,IF($S131="UP",(COUNTIFS($K$4:$K131,"&gt;0",$S$4:$S131,"UP")/COUNTIF($S$4:$S131,"UP")),#N/A))</f>
        <v>#N/A</v>
      </c>
      <c r="BR131" s="489">
        <f>IF(J131="",#N/A,COUNTIF($K$4:K131,"&gt;0")/COUNT($J$4:J131))</f>
        <v>0.4609375</v>
      </c>
      <c r="BS131" s="65" t="str">
        <f t="shared" si="138"/>
        <v/>
      </c>
      <c r="BT131" s="65" t="str">
        <f t="shared" si="139"/>
        <v/>
      </c>
      <c r="BU131" s="65" t="str">
        <f t="shared" si="140"/>
        <v/>
      </c>
      <c r="BV131" s="65">
        <f t="shared" si="141"/>
        <v>-0.6572345976319518</v>
      </c>
      <c r="BW131" s="128" t="str">
        <f t="shared" si="142"/>
        <v/>
      </c>
      <c r="BX131" s="128">
        <f>IF($J131="",#N/A,SUM($BW$4:BW131))</f>
        <v>-181.36500000000035</v>
      </c>
      <c r="BY131" s="131">
        <f t="shared" si="143"/>
        <v>-39.300000000000182</v>
      </c>
      <c r="BZ131" s="131">
        <f>IF($J131="",#N/A,SUM($BY$4:BY131))</f>
        <v>-74.15565961066693</v>
      </c>
      <c r="CA131" s="133" t="str">
        <f t="shared" si="144"/>
        <v/>
      </c>
      <c r="CB131" s="133">
        <f>IF($J131="",#N/A,SUM($CA$4:CA131))</f>
        <v>-69.237976288720802</v>
      </c>
      <c r="CC131" s="194" t="str">
        <f t="shared" si="145"/>
        <v/>
      </c>
      <c r="CD131" s="194">
        <f>IF($J131="",#N/A,SUM($CC$4:CC131))</f>
        <v>-2.8466787313052277</v>
      </c>
      <c r="CE131" s="195">
        <f t="shared" si="146"/>
        <v>-0.6572345976319518</v>
      </c>
      <c r="CF131" s="195">
        <f>IF($J131="",#N/A,SUM($CE$4:CE131))</f>
        <v>-0.12483798046271177</v>
      </c>
      <c r="CG131" s="196" t="str">
        <f t="shared" si="147"/>
        <v/>
      </c>
      <c r="CH131" s="193">
        <f>IF($J131="",#N/A,SUM($CG$4:CG131))</f>
        <v>1.1021786980437152</v>
      </c>
      <c r="CI131" s="200" t="str">
        <f t="shared" si="148"/>
        <v/>
      </c>
      <c r="CJ131" s="203">
        <f>IF($J131="",#N/A,SUM(CI$4:CI131))</f>
        <v>0</v>
      </c>
      <c r="CK131" s="204" t="str">
        <f t="shared" si="149"/>
        <v/>
      </c>
      <c r="CL131" s="204">
        <f>IF($J131="",#N/A,SUM(CK$4:CK131))</f>
        <v>1.8934431343190481</v>
      </c>
      <c r="CM131" s="205" t="str">
        <f t="shared" si="150"/>
        <v/>
      </c>
      <c r="CN131" s="205">
        <f>IF($J131="",#N/A,SUM(CM$4:CM131))</f>
        <v>2.2555985727472319</v>
      </c>
      <c r="CO131" s="205">
        <f>IF($J131="",#N/A,SUM(CM$4:CM131,CK$4:CK131,CI$4:CI131))</f>
        <v>4.1490417070662797</v>
      </c>
      <c r="CP131" s="200" t="str">
        <f t="shared" si="151"/>
        <v/>
      </c>
      <c r="CQ131" s="203">
        <f>IF($J131="",#N/A,SUM(CP$4:CP131))</f>
        <v>0</v>
      </c>
      <c r="CR131" s="204" t="str">
        <f t="shared" si="152"/>
        <v/>
      </c>
      <c r="CS131" s="204">
        <f>IF($J131="",#N/A,SUM(CR$4:CR131))</f>
        <v>0</v>
      </c>
      <c r="CT131" s="205" t="str">
        <f t="shared" si="153"/>
        <v/>
      </c>
      <c r="CU131" s="205">
        <f>IF($J131="",#N/A,SUM(CT$4:CT131))</f>
        <v>0</v>
      </c>
      <c r="CV131" s="205">
        <f>IF($J131="",#N/A,SUM(CT$4:CT131,CR$4:CR131,CP$4:CP131))</f>
        <v>0</v>
      </c>
      <c r="CW131" s="200" t="str">
        <f t="shared" si="154"/>
        <v/>
      </c>
      <c r="CX131" s="203">
        <f>IF($J131="",#N/A,SUM(CW$4:CW131))</f>
        <v>0</v>
      </c>
      <c r="CY131" s="204" t="str">
        <f t="shared" si="155"/>
        <v/>
      </c>
      <c r="CZ131" s="204">
        <f>IF($J131="",#N/A,SUM(CY$4:CY131))</f>
        <v>-1.9289529100071134</v>
      </c>
      <c r="DA131" s="205" t="str">
        <f t="shared" si="156"/>
        <v/>
      </c>
      <c r="DB131" s="205">
        <f>IF($J131="",#N/A,SUM(DA$4:DA131))</f>
        <v>0.24673978016923154</v>
      </c>
      <c r="DC131" s="205">
        <f>IF($J131="",#N/A,SUM(DA$4:DA131,CY$4:CY131,CW$4:CW131))</f>
        <v>-1.6822131298378817</v>
      </c>
      <c r="DD131" s="200" t="str">
        <f t="shared" si="157"/>
        <v/>
      </c>
      <c r="DE131" s="203">
        <f>IF($J131="",#N/A,SUM(DD$4:DD131))</f>
        <v>0.4905246481018824</v>
      </c>
      <c r="DF131" s="204" t="str">
        <f t="shared" si="158"/>
        <v/>
      </c>
      <c r="DG131" s="204">
        <f>IF($J131="",#N/A,SUM(DF$4:DF131))</f>
        <v>0.77374072477919809</v>
      </c>
      <c r="DH131" s="205" t="str">
        <f t="shared" si="159"/>
        <v/>
      </c>
      <c r="DI131" s="205">
        <f>IF($J131="",#N/A,SUM(DH$4:DH131))</f>
        <v>-1.3154755601364099</v>
      </c>
      <c r="DJ131" s="205">
        <f>IF($J131="",#N/A,SUM(DH$4:DH131,DF$4:DF131,DD$4:DD131))</f>
        <v>-5.1210187255329387E-2</v>
      </c>
      <c r="DK131" s="200" t="str">
        <f t="shared" si="160"/>
        <v/>
      </c>
      <c r="DL131" s="203">
        <f>IF($J131="",#N/A,SUM(DK$4:DK131))</f>
        <v>-1.2097286851272664</v>
      </c>
      <c r="DM131" s="204" t="str">
        <f t="shared" si="161"/>
        <v/>
      </c>
      <c r="DN131" s="204">
        <f>IF($J131="",#N/A,SUM(DM$4:DM131))</f>
        <v>1.1910608267574658</v>
      </c>
      <c r="DO131" s="205" t="str">
        <f t="shared" si="162"/>
        <v/>
      </c>
      <c r="DP131" s="205">
        <f>IF($J131="",#N/A,SUM(DO$4:DO131))</f>
        <v>1.3495058802125319</v>
      </c>
      <c r="DQ131" s="205">
        <f>IF($J131="",#N/A,SUM(DO$4:DO131,DM$4:DM131,DK$4:DK131))</f>
        <v>1.3308380218427318</v>
      </c>
      <c r="DR131" s="200" t="str">
        <f t="shared" si="163"/>
        <v/>
      </c>
      <c r="DS131" s="203">
        <f>IF($J131="",#N/A,SUM(DR$4:DR131))</f>
        <v>-0.55950946427675097</v>
      </c>
      <c r="DT131" s="204" t="str">
        <f t="shared" si="164"/>
        <v/>
      </c>
      <c r="DU131" s="204">
        <f>IF($J131="",#N/A,SUM(DT$4:DT131))</f>
        <v>-2.8875364672150718</v>
      </c>
      <c r="DV131" s="205" t="str">
        <f t="shared" si="165"/>
        <v/>
      </c>
      <c r="DW131" s="205">
        <f>IF($J131="",#N/A,SUM(DV$4:DV131))</f>
        <v>-2.6814706788983136</v>
      </c>
      <c r="DX131" s="205">
        <f>IF($J131="",#N/A,SUM(DV$4:DV131,DT$4:DT131,DR$4:DR131))</f>
        <v>-6.1285166103901361</v>
      </c>
      <c r="DY131" s="200" t="str">
        <f t="shared" si="166"/>
        <v/>
      </c>
      <c r="DZ131" s="203">
        <f>IF($J131="",#N/A,SUM(DY$4:DY131))</f>
        <v>-1.63480022183437</v>
      </c>
      <c r="EA131" s="204" t="str">
        <f t="shared" si="167"/>
        <v/>
      </c>
      <c r="EB131" s="204">
        <f>IF($J131="",#N/A,SUM(EA$4:EA131))</f>
        <v>-0.36153038830642437</v>
      </c>
      <c r="EC131" s="205" t="str">
        <f t="shared" si="168"/>
        <v/>
      </c>
      <c r="ED131" s="205">
        <f>IF($J131="",#N/A,SUM(EC$4:EC131))</f>
        <v>1.7103671484331777</v>
      </c>
      <c r="EE131" s="205">
        <f>IF($J131="",#N/A,SUM(EC$4:EC131,EA$4:EA131,DY$4:DY131))</f>
        <v>-0.28596346170761661</v>
      </c>
      <c r="EF131" s="200" t="str">
        <f t="shared" si="169"/>
        <v/>
      </c>
      <c r="EG131" s="203">
        <f>IF($J131="",#N/A,SUM(EF$4:EF131))</f>
        <v>0</v>
      </c>
      <c r="EH131" s="204" t="str">
        <f t="shared" si="170"/>
        <v/>
      </c>
      <c r="EI131" s="204">
        <f>IF($J131="",#N/A,SUM(EH$4:EH131))</f>
        <v>-2.6174111635897193</v>
      </c>
      <c r="EJ131" s="205" t="str">
        <f t="shared" si="171"/>
        <v/>
      </c>
      <c r="EK131" s="205">
        <f>IF($J131="",#N/A,SUM(EJ$4:EJ131))</f>
        <v>2.2873594184148476</v>
      </c>
      <c r="EL131" s="205">
        <f>IF($J131="",#N/A,SUM(EJ$4:EJ131,EH$4:EH131,EF$4:EF131))</f>
        <v>-0.33005174517487113</v>
      </c>
      <c r="EM131" s="200" t="str">
        <f t="shared" si="172"/>
        <v/>
      </c>
      <c r="EN131" s="203">
        <f>IF($J131="",#N/A,SUM(EM$4:EM131))</f>
        <v>0</v>
      </c>
      <c r="EO131" s="204">
        <f t="shared" si="173"/>
        <v>-0.6572345976319518</v>
      </c>
      <c r="EP131" s="204">
        <f>IF($J131="",#N/A,SUM(EO$4:EO131))</f>
        <v>1.6293103394057216</v>
      </c>
      <c r="EQ131" s="205" t="str">
        <f t="shared" si="174"/>
        <v/>
      </c>
      <c r="ER131" s="205">
        <f>IF($J131="",#N/A,SUM(EQ$4:EQ131))</f>
        <v>0.4926597949853756</v>
      </c>
      <c r="ES131" s="205">
        <f>IF($J131="",#N/A,SUM(EQ$4:EQ131,EO$4:EO131,EM$4:EM131))</f>
        <v>2.1219701343910971</v>
      </c>
      <c r="ET131" s="200" t="str">
        <f t="shared" si="175"/>
        <v/>
      </c>
      <c r="EU131" s="203">
        <f>IF($J131="",#N/A,SUM(ET$4:ET131))</f>
        <v>0</v>
      </c>
      <c r="EV131" s="204" t="str">
        <f t="shared" si="176"/>
        <v/>
      </c>
      <c r="EW131" s="204">
        <f>IF($J131="",#N/A,SUM(EV$4:EV131))</f>
        <v>0.90459527759708336</v>
      </c>
      <c r="EX131" s="205" t="str">
        <f t="shared" si="177"/>
        <v/>
      </c>
      <c r="EY131" s="205">
        <f>IF($J131="",#N/A,SUM(EX$4:EX131))</f>
        <v>0.22957553748493481</v>
      </c>
      <c r="EZ131" s="205">
        <f>IF($J131="",#N/A,SUM(EX$4:EX131,EV$4:EV131,ET$4:ET131))</f>
        <v>1.134170815082018</v>
      </c>
      <c r="FA131" s="200" t="str">
        <f t="shared" si="178"/>
        <v/>
      </c>
      <c r="FB131" s="203">
        <f>IF($J131="",#N/A,SUM(FA$4:FA131))</f>
        <v>0</v>
      </c>
      <c r="FC131" s="204" t="str">
        <f t="shared" si="179"/>
        <v/>
      </c>
      <c r="FD131" s="204">
        <f>IF($J131="",#N/A,SUM(FC$4:FC131))</f>
        <v>1.6839191319663924</v>
      </c>
      <c r="FE131" s="205" t="str">
        <f t="shared" si="180"/>
        <v/>
      </c>
      <c r="FF131" s="205">
        <f>IF($J131="",#N/A,SUM(FE$4:FE131))</f>
        <v>-0.28811149078748233</v>
      </c>
      <c r="FG131" s="205">
        <f>IF($J131="",#N/A,SUM(FE$4:FE131,FC$4:FC131,FA$4:FA131))</f>
        <v>1.3958076411789102</v>
      </c>
      <c r="FH131" s="200" t="str">
        <f t="shared" si="181"/>
        <v/>
      </c>
      <c r="FI131" s="203">
        <f>IF($J131="",#N/A,SUM(FH$4:FH131))</f>
        <v>0</v>
      </c>
      <c r="FJ131" s="204" t="str">
        <f t="shared" si="182"/>
        <v/>
      </c>
      <c r="FK131" s="204">
        <f>IF($J131="",#N/A,SUM(FJ$4:FJ131))</f>
        <v>0</v>
      </c>
      <c r="FL131" s="205" t="str">
        <f t="shared" si="183"/>
        <v/>
      </c>
      <c r="FM131" s="205">
        <f>IF($J131="",#N/A,SUM(FL$4:FL131))</f>
        <v>0</v>
      </c>
      <c r="FN131" s="205">
        <f>IF($J131="",#N/A,SUM(FL$4:FL131,FJ$4:FJ131,FH$4:FH131))</f>
        <v>0</v>
      </c>
      <c r="FO131" s="200" t="str">
        <f t="shared" si="184"/>
        <v/>
      </c>
      <c r="FP131" s="203">
        <f>IF($J131="",#N/A,SUM(FO$4:FO131))</f>
        <v>0</v>
      </c>
      <c r="FQ131" s="204" t="str">
        <f t="shared" si="185"/>
        <v/>
      </c>
      <c r="FR131" s="204">
        <f>IF($J131="",#N/A,SUM(FQ$4:FQ131))</f>
        <v>0</v>
      </c>
      <c r="FS131" s="205" t="str">
        <f t="shared" si="186"/>
        <v/>
      </c>
      <c r="FT131" s="205">
        <f>IF($J131="",#N/A,SUM(FS$4:FS131))</f>
        <v>0</v>
      </c>
      <c r="FU131" s="205">
        <f>IF($J131="",#N/A,SUM(FS$4:FS131,FQ$4:FQ131,FO$4:FO131))</f>
        <v>0</v>
      </c>
      <c r="FV131" s="200" t="str">
        <f t="shared" si="187"/>
        <v/>
      </c>
      <c r="FW131" s="203">
        <f>IF($J131="",#N/A,SUM(FV$4:FV131))</f>
        <v>6.6834991831277585E-2</v>
      </c>
      <c r="FX131" s="204" t="str">
        <f t="shared" si="188"/>
        <v/>
      </c>
      <c r="FY131" s="204">
        <f>IF($J131="",#N/A,SUM(FX$4:FX131))</f>
        <v>0</v>
      </c>
      <c r="FZ131" s="205" t="str">
        <f t="shared" si="189"/>
        <v/>
      </c>
      <c r="GA131" s="205">
        <f>IF($J131="",#N/A,SUM(FZ$4:FZ131))</f>
        <v>-0.24773347685909197</v>
      </c>
      <c r="GB131" s="205">
        <f>IF($J131="",#N/A,SUM(FZ$4:FZ131,FX$4:FX131,FV$4:FV131))</f>
        <v>-0.18089848502781439</v>
      </c>
      <c r="GC131" s="200" t="str">
        <f t="shared" si="190"/>
        <v/>
      </c>
      <c r="GD131" s="203">
        <f>IF($J131="",#N/A,SUM(GC$4:GC131))</f>
        <v>0</v>
      </c>
      <c r="GE131" s="204" t="str">
        <f t="shared" si="191"/>
        <v/>
      </c>
      <c r="GF131" s="204">
        <f>IF($J131="",#N/A,SUM(GE$4:GE131))</f>
        <v>0</v>
      </c>
      <c r="GG131" s="205" t="str">
        <f t="shared" si="192"/>
        <v/>
      </c>
      <c r="GH131" s="205">
        <f>IF($J131="",#N/A,SUM(GG$4:GG131))</f>
        <v>-2.9368362277223206</v>
      </c>
      <c r="GI131" s="205">
        <f>IF($J131="",#N/A,SUM(GG$4:GG131,GE$4:GE131,GC$4:GC131))</f>
        <v>-2.9368362277223206</v>
      </c>
      <c r="GJ131" s="200" t="str">
        <f t="shared" si="193"/>
        <v/>
      </c>
      <c r="GK131" s="203">
        <f>IF($J131="",#N/A,SUM(GJ$4:GJ131))</f>
        <v>0</v>
      </c>
      <c r="GL131" s="204" t="str">
        <f t="shared" si="194"/>
        <v/>
      </c>
      <c r="GM131" s="204">
        <f>IF($J131="",#N/A,SUM(GL$4:GL131))</f>
        <v>-0.4054764861692941</v>
      </c>
      <c r="GN131" s="205" t="str">
        <f t="shared" si="195"/>
        <v/>
      </c>
      <c r="GO131" s="205">
        <f>IF($J131="",#N/A,SUM(GN$4:GN131))</f>
        <v>0</v>
      </c>
      <c r="GP131" s="205">
        <f>IF($J131="",#N/A,SUM(GN$4:GN131,GL$4:GL131,GJ$4:GJ131))</f>
        <v>-0.4054764861692941</v>
      </c>
      <c r="GS131" s="54">
        <f t="shared" si="214"/>
        <v>-0.6572345976319518</v>
      </c>
      <c r="GT131" s="54">
        <f>IF(GS131="",NA(),SUM($GS$4:GS131))</f>
        <v>-2.3471888956170295</v>
      </c>
      <c r="GU131" s="54" t="str">
        <f t="shared" si="196"/>
        <v/>
      </c>
      <c r="GV131" s="54" t="e">
        <f>IF(GU131="",NA(),SUM($GU$4:GU131))</f>
        <v>#N/A</v>
      </c>
      <c r="GW131" s="54" t="str">
        <f t="shared" si="197"/>
        <v/>
      </c>
      <c r="GX131" s="54" t="e">
        <f>IF(GW131="",NA(),SUM($GW$4:GW131))</f>
        <v>#N/A</v>
      </c>
      <c r="GY131" s="54">
        <f t="shared" si="198"/>
        <v>-0.6572345976319518</v>
      </c>
      <c r="GZ131" s="54">
        <f>IF(GY131="",NA(),SUM($GY$4:GY131))</f>
        <v>-0.40070004942822868</v>
      </c>
      <c r="HA131" s="54" t="str">
        <f t="shared" si="199"/>
        <v/>
      </c>
      <c r="HB131" s="54" t="e">
        <f>IF(HA131="",NA(),SUM($HA$4:HA131))</f>
        <v>#N/A</v>
      </c>
      <c r="HC131" s="54" t="str">
        <f t="shared" si="200"/>
        <v/>
      </c>
      <c r="HD131" s="54" t="e">
        <f>IF(HC131="",NA(),SUM($HC$4:HC131))</f>
        <v>#N/A</v>
      </c>
      <c r="HE131" s="54" t="str">
        <f t="shared" si="201"/>
        <v/>
      </c>
      <c r="HF131" s="54" t="e">
        <f>IF(HE131="",NA(),SUM($HE$4:HE131))</f>
        <v>#N/A</v>
      </c>
      <c r="HG131" s="54" t="str">
        <f t="shared" si="202"/>
        <v/>
      </c>
      <c r="HH131" s="54" t="e">
        <f>IF(HG131="",NA(),SUM($HG$4:HG131))</f>
        <v>#N/A</v>
      </c>
      <c r="HI131" s="172" t="str">
        <f t="shared" si="215"/>
        <v/>
      </c>
      <c r="HJ131" s="172">
        <f>IF($J131="",#N/A,SUM(HI$4:$HI131))</f>
        <v>-4.0501038851906657</v>
      </c>
      <c r="HK131" s="54">
        <f t="shared" si="203"/>
        <v>-0.14198274132048594</v>
      </c>
      <c r="HL131" s="54">
        <f>IF($J131="",#N/A,SUM($HK$4:HK131))</f>
        <v>-5.4004192789897942</v>
      </c>
      <c r="HM131" s="54" t="str">
        <f t="shared" si="204"/>
        <v/>
      </c>
      <c r="HN131" s="54">
        <f>IF($J131="",#N/A,SUM($HM$4:HM131))</f>
        <v>0.71812545963587882</v>
      </c>
      <c r="HO131" s="54" t="str">
        <f t="shared" si="205"/>
        <v/>
      </c>
      <c r="HP131" s="54">
        <f>IF($J131="",#N/A,SUM($HO$4:HO131))</f>
        <v>-0.6555551778566262</v>
      </c>
      <c r="HQ131" s="54" t="str">
        <f t="shared" si="206"/>
        <v/>
      </c>
      <c r="HR131" s="54">
        <f>IF($J131="",#N/A,SUM($HQ$4:HQ131))</f>
        <v>-7.4752081334206588</v>
      </c>
      <c r="HS131" s="54" t="str">
        <f t="shared" si="207"/>
        <v/>
      </c>
      <c r="HT131" s="54">
        <f>IF($J131="",#N/A,SUM($HS$4:HS131))</f>
        <v>6.9226101541531762</v>
      </c>
      <c r="HU131" s="65">
        <f t="shared" si="208"/>
        <v>-0.79921733895243774</v>
      </c>
      <c r="HV131" s="65">
        <f>IF($J131="",#N/A,SUM(HU$4:$HU131))</f>
        <v>-11.809888875392918</v>
      </c>
    </row>
    <row r="132" spans="1:230" x14ac:dyDescent="0.25">
      <c r="A132" s="51" t="s">
        <v>1387</v>
      </c>
      <c r="B132" s="52" t="s">
        <v>4540</v>
      </c>
      <c r="C132" s="229">
        <f t="shared" ref="C132:C195" si="218">IF(S132="Dwn",2,IF(S132="Up",1,IF(S132="SW",3,"x")))</f>
        <v>3</v>
      </c>
      <c r="D132" s="219" t="str">
        <f>_xlfn.XLOOKUP(A132,[1]SP500!$A$2:$A$502,[1]SP500!$D$2:$D$502,"N")</f>
        <v>Y</v>
      </c>
      <c r="E132" s="51" t="str">
        <f>IFERROR(_xlfn.XLOOKUP(A132,[1]SP500!$A$2:$A$655,[1]SP500!$B$2:$B$655),"")</f>
        <v>XLY</v>
      </c>
      <c r="F132" s="290">
        <v>45776</v>
      </c>
      <c r="G132" s="51" t="str">
        <f t="shared" ref="G132:G195" si="219">IF(ISNUMBER(FIND("After",B132,1)),"AMC",IF(ISNUMBER(FIND("Before",B132,1)),"BMO","err"))</f>
        <v>BMO</v>
      </c>
      <c r="H132" s="51" t="str">
        <f t="shared" ref="H132:H195" si="220">IF(AH132="Skip","sk",IF(OR(S132="",V132=""),"",IF(AND(S132="Dwn",V132="Short"),"s",IF(AND(S132="Up",V132="Long"),"s",IF(AND(S132="SW",V132="Long"),"s","o")))))</f>
        <v>s</v>
      </c>
      <c r="I132" s="343">
        <v>221.6</v>
      </c>
      <c r="J132" s="124">
        <v>224.6</v>
      </c>
      <c r="K132" s="55">
        <f t="shared" ref="K132:K195" si="221">IF(J132="","",(J132-I132)/I132)</f>
        <v>1.3537906137184115E-2</v>
      </c>
      <c r="L132" s="67">
        <f t="shared" ref="L132:L195" si="222">IF(OR($Y132="",J132=""),"",IF($V132="Long",(($J132*$Y132)-$X132),($X132-($J132*$Y132))))</f>
        <v>15</v>
      </c>
      <c r="M132" s="57">
        <f t="shared" ref="M132:M195" si="223">IF(L132="","",IF(AK132="",#N/A,IF(AH132="Open",AK132-L132,#N/A)))</f>
        <v>2</v>
      </c>
      <c r="N132" s="102">
        <f t="shared" ref="N132:N195" si="224">IF(OR($Y132="",L132=""),"",IF($BF132="Long",(($J132*$Y132)-$X132),($X132-($J132*$Y132))))</f>
        <v>15</v>
      </c>
      <c r="O132" s="57">
        <f>IF(N132="",#N/A,SUM($N$4:N132))</f>
        <v>-309.75863589938808</v>
      </c>
      <c r="P132" s="65">
        <f t="shared" si="209"/>
        <v>0.22563176895306858</v>
      </c>
      <c r="Q132" s="172">
        <f>IF($N132="",#N/A,SUM($P$4:P132))</f>
        <v>-1.6437062447711597</v>
      </c>
      <c r="R132" s="279">
        <f t="shared" ref="R132:R195" si="225">IF(AND(AH132="MOC",AC132=""),#N/A,IFERROR(Q132-AJ132,Q132-0))</f>
        <v>5.4164093150970372</v>
      </c>
      <c r="S132" s="51" t="str">
        <f t="shared" ref="S132:S195" si="226">IF(T132="Down","Dwn",IF(T132="Up","Up",IF(AND(T132="",K132=""),"",IF(AND(K132&lt;0,T132="Yes"),"Dwn",IF(AND(K132&gt;0,T132="Yes"),"Up",IF(AND(K132&lt;0,T132="No"),"Up",IF(AND(K132&gt;0,T132="No"),"Dwn",IF(T132="NA","SW","err"))))))))</f>
        <v>SW</v>
      </c>
      <c r="T132" s="51" t="s">
        <v>2828</v>
      </c>
      <c r="U132" s="56">
        <f t="shared" ref="U132:U195" si="227">I132</f>
        <v>221.6</v>
      </c>
      <c r="V132" s="56" t="s">
        <v>4460</v>
      </c>
      <c r="W132" s="142">
        <v>5</v>
      </c>
      <c r="X132" s="145">
        <f t="shared" ref="X132:X195" si="228">IF(W132="","",U132*W132)</f>
        <v>1108</v>
      </c>
      <c r="Y132" s="140">
        <f t="shared" ref="Y132:Y195" si="229">IF(W132="","",W132)</f>
        <v>5</v>
      </c>
      <c r="Z132" s="123">
        <v>225</v>
      </c>
      <c r="AA132" s="102">
        <f t="shared" ref="AA132:AA195" si="230">IF($Z132="","",IF($V132="Long",(($Z132*$Y132)-$X132),($X132-($Z132*$Y132))))</f>
        <v>17</v>
      </c>
      <c r="AB132" s="102">
        <f t="shared" ref="AB132:AB195" si="231">IF($AC132="","",IF($V132="Long",(($AC132*$Y132)-$X132),($X132-($AC132*$Y132))))</f>
        <v>24.049999999999955</v>
      </c>
      <c r="AC132" s="124">
        <v>226.41</v>
      </c>
      <c r="AD132" s="155">
        <f t="shared" ref="AD132:AD195" si="232">IF(AC132="","",IF(OR($Y132="",CV132=""),"",IF($BF132="Long",(($AC132*$Y132)-$X132),($X132-($AC132*$Y132)))))</f>
        <v>24.049999999999955</v>
      </c>
      <c r="AE132" s="545">
        <f t="shared" ref="AE132:AE195" si="233">IF(OR($Y132="",$AD132=""),"",IF($BF132="Long",(($AC132*$Y132)-$X132)/($X132*0.06),($X132-($AC132*$Y132))/($X132*0.06)))</f>
        <v>0.36176293622141925</v>
      </c>
      <c r="AF132" s="57">
        <f>IF($AC132="",#N/A,SUM(AD$4:AD132))</f>
        <v>-810.54041200241693</v>
      </c>
      <c r="AG132" s="102">
        <f t="shared" ref="AG132:AG195" si="234">IF(OR(AD132="",AC132=""),"",AD132-N132)</f>
        <v>9.0499999999999545</v>
      </c>
      <c r="AH132" s="56" t="s">
        <v>2507</v>
      </c>
      <c r="AI132" s="65">
        <f t="shared" ref="AI132:AI195" si="235">IF(AND(AH132="MOC",AC132=""),"",IF(Z132="","",IF(AH132="Skip",0,IF(AK132=0,0,AK132/(X132*0.06)))))</f>
        <v>0.25571600481347773</v>
      </c>
      <c r="AJ132" s="350">
        <f>IF(AI132="",#N/A,SUM($AI$4:AI132))</f>
        <v>-7.0601155598681968</v>
      </c>
      <c r="AK132" s="57">
        <f t="shared" ref="AK132:AK195" si="236">IF(AH132="","",IF(AH132="Skip","",IF(OR(AH132="open",AH132="Other"),AA132,IF(AH132="MOC",AB132,"Err"))))</f>
        <v>17</v>
      </c>
      <c r="AL132" s="349">
        <f>IF(AI132="",#N/A,IF(AH132="Skip",SUM($AK$4:AK132),SUM($AK$4:AK132)))</f>
        <v>-658.16740850718668</v>
      </c>
      <c r="AM132" s="65">
        <f t="shared" si="210"/>
        <v>0.36176293622141925</v>
      </c>
      <c r="AN132" s="209"/>
      <c r="AO132" s="65">
        <f t="shared" ref="AO132:AO195" si="237">IF(AND($S132="SW",$BF132="Long"),$HU132,"")</f>
        <v>0.36176293622141925</v>
      </c>
      <c r="AP132" s="65">
        <f>IF($AC132="",#N/A,SUM(AO$4:AO132))</f>
        <v>0.91134365499764725</v>
      </c>
      <c r="AQ132" s="65" t="str">
        <f t="shared" ref="AQ132:AQ195" si="238">IF(AND($S132="UP",$BF132="Long"),$HU132,"")</f>
        <v/>
      </c>
      <c r="AR132" s="65">
        <f>IF($AC132="",#N/A,SUM(AQ$4:AQ132))</f>
        <v>-2.7841084495259749</v>
      </c>
      <c r="AS132" s="65" t="str">
        <f t="shared" ref="AS132:AS195" si="239">IF(AND($S132="Dwn",$BF132="Short"),$HU132,"")</f>
        <v/>
      </c>
      <c r="AT132" s="65">
        <f>IF($AC132="",#N/A,SUM(AS$4:AS132))</f>
        <v>-9.5753611446431748</v>
      </c>
      <c r="AU132" s="57">
        <f t="shared" si="211"/>
        <v>24.049999999999955</v>
      </c>
      <c r="AV132" s="57">
        <f>IF($AC132="",#N/A,SUM(AU$4:AU132))</f>
        <v>-18.358793548749304</v>
      </c>
      <c r="AW132" s="57" t="str">
        <f t="shared" si="212"/>
        <v/>
      </c>
      <c r="AX132" s="57">
        <f>IF($AC132="",#N/A,SUM(AW$4:AW132))</f>
        <v>-174.74000000000024</v>
      </c>
      <c r="AY132" s="57" t="str">
        <f t="shared" si="213"/>
        <v/>
      </c>
      <c r="AZ132" s="57">
        <f>IF($AC132="",#N/A,SUM(AY$4:AY132))</f>
        <v>-617.44161845366739</v>
      </c>
      <c r="BA132" s="57">
        <f>IF(AD132="",#N/A,SUM($AD$4:AD132))</f>
        <v>-810.54041200241693</v>
      </c>
      <c r="BC132" s="51" t="str">
        <f t="shared" ref="BC132:BC195" si="240">IF(K132="","",IF(AND(K132&gt;0,T132="Yes"),1,""))</f>
        <v/>
      </c>
      <c r="BD132" s="51" t="str">
        <f t="shared" ref="BD132:BD195" si="241">IF(K132="","",IF(AND($K132&gt;0,$T132="No"),1,""))</f>
        <v/>
      </c>
      <c r="BE132" s="51">
        <f t="shared" ref="BE132:BE195" si="242">IF(K132="","",IF(AND($K132&gt;0,$T132="NA"),1,""))</f>
        <v>1</v>
      </c>
      <c r="BF132" s="51" t="str">
        <f t="shared" ref="BF132:BF195" si="243">IF(S132="Dwn","Short","Long")</f>
        <v>Long</v>
      </c>
      <c r="BG132" s="51" t="str">
        <f t="shared" ref="BG132:BG195" si="244">IF(K132="","",IF(AND($K132&lt;0,$T132="Yes"),1,""))</f>
        <v/>
      </c>
      <c r="BH132" s="51" t="str">
        <f t="shared" ref="BH132:BH195" si="245">IF(K132="","",IF(AND($K132&lt;0,$T132="No"),1,""))</f>
        <v/>
      </c>
      <c r="BI132" s="51" t="str">
        <f t="shared" ref="BI132:BI195" si="246">IF(K132="","",IF(AND($K132&lt;0,$T132="NA"),1,""))</f>
        <v/>
      </c>
      <c r="BK132" s="65">
        <f t="shared" si="217"/>
        <v>-7.0768090998734198E-2</v>
      </c>
      <c r="BL132" s="65">
        <f t="shared" si="216"/>
        <v>0.1724088574028238</v>
      </c>
      <c r="BM132" s="65">
        <f>IFERROR(Q132/COUNTA($J$4:J132),#N/A)</f>
        <v>-1.2741908874195036E-2</v>
      </c>
      <c r="BO132" s="489">
        <f>IF(J132="",#N/A,IF(S132="SW",(COUNTIFS(K$4:$K132,"&gt;0",S$4:$S132,"SW")/COUNTIF(S$4:$S132,"SW")),#N/A))</f>
        <v>0.49315068493150682</v>
      </c>
      <c r="BP132" s="489" t="e">
        <f>IF($J132="",#N/A,IF($S132="DWN",(COUNTIFS($K$4:$K132,"&lt;0",$S$4:$S132,"DWN")/COUNTIF($S$4:$S132,"DWN")),#N/A))</f>
        <v>#N/A</v>
      </c>
      <c r="BQ132" s="489" t="e">
        <f>IF($J132="",#N/A,IF($S132="UP",(COUNTIFS($K$4:$K132,"&gt;0",$S$4:$S132,"UP")/COUNTIF($S$4:$S132,"UP")),#N/A))</f>
        <v>#N/A</v>
      </c>
      <c r="BR132" s="489">
        <f>IF(J132="",#N/A,COUNTIF($K$4:K132,"&gt;0")/COUNT($J$4:J132))</f>
        <v>0.46511627906976744</v>
      </c>
      <c r="BS132" s="65">
        <f t="shared" ref="BS132:BS195" si="247">IF($AH132="Skip","",IF($J132="","",IF(AND($V132="Long",$L132&gt;0),$P132,"")))</f>
        <v>0.22563176895306858</v>
      </c>
      <c r="BT132" s="65" t="str">
        <f t="shared" ref="BT132:BT195" si="248">IF($AH132="Skip","",IF($J132="","",IF(AND($V132="Long",$L132&lt;0),$P132,"")))</f>
        <v/>
      </c>
      <c r="BU132" s="65" t="str">
        <f t="shared" ref="BU132:BU195" si="249">IF($AH132="Skip","",IF($J132="","",IF(AND($V132="Short",$L132&gt;0),$P132,"")))</f>
        <v/>
      </c>
      <c r="BV132" s="65" t="str">
        <f t="shared" ref="BV132:BV195" si="250">IF($AH132="Skip","",IF($J132="","",IF(AND($V132="Short",$L132&lt;0),$P132,"")))</f>
        <v/>
      </c>
      <c r="BW132" s="128" t="str">
        <f t="shared" ref="BW132:BW195" si="251">IF(AND($S132="Up",$BF132="Long"),$N132,"")</f>
        <v/>
      </c>
      <c r="BX132" s="128">
        <f>IF($J132="",#N/A,SUM($BW$4:BW132))</f>
        <v>-181.36500000000035</v>
      </c>
      <c r="BY132" s="131" t="str">
        <f t="shared" ref="BY132:BY195" si="252">IF(AND($S132="Dwn",$BF132="Short"),$N132,"")</f>
        <v/>
      </c>
      <c r="BZ132" s="131">
        <f>IF($J132="",#N/A,SUM($BY$4:BY132))</f>
        <v>-74.15565961066693</v>
      </c>
      <c r="CA132" s="133">
        <f t="shared" ref="CA132:CA195" si="253">IF(AND($S132="SW",$BF132="Long"),$N132,"")</f>
        <v>15</v>
      </c>
      <c r="CB132" s="133">
        <f>IF($J132="",#N/A,SUM($CA$4:CA132))</f>
        <v>-54.237976288720802</v>
      </c>
      <c r="CC132" s="194" t="str">
        <f t="shared" ref="CC132:CC195" si="254">IF(AND($S132="Up",$BF132="Long"),$P132,"")</f>
        <v/>
      </c>
      <c r="CD132" s="194">
        <f>IF($J132="",#N/A,SUM($CC$4:CC132))</f>
        <v>-2.8466787313052277</v>
      </c>
      <c r="CE132" s="195" t="str">
        <f t="shared" ref="CE132:CE195" si="255">IF(AND($S132="Dwn",$BF132="Short"),$P132,"")</f>
        <v/>
      </c>
      <c r="CF132" s="195">
        <f>IF($J132="",#N/A,SUM($CE$4:CE132))</f>
        <v>-0.12483798046271177</v>
      </c>
      <c r="CG132" s="196">
        <f t="shared" ref="CG132:CG195" si="256">IF(AND($S132="SW",$BF132="Long"),$P132,"")</f>
        <v>0.22563176895306858</v>
      </c>
      <c r="CH132" s="196">
        <f>IF($J132="",#N/A,SUM($CG$4:CG132))</f>
        <v>1.3278104669967838</v>
      </c>
      <c r="CI132" s="200" t="str">
        <f t="shared" ref="CI132:CI195" si="257">IF(AND($S132="Up",$BF132="Long",$E132=CI$2),$P132,"")</f>
        <v/>
      </c>
      <c r="CJ132" s="203">
        <f>IF($J132="",#N/A,SUM(CI$4:CI132))</f>
        <v>0</v>
      </c>
      <c r="CK132" s="204" t="str">
        <f t="shared" ref="CK132:CK195" si="258">IF(AND($S132="Dwn",$BF132="Short",$E132=CI$2),$P132,"")</f>
        <v/>
      </c>
      <c r="CL132" s="204">
        <f>IF($J132="",#N/A,SUM(CK$4:CK132))</f>
        <v>1.8934431343190481</v>
      </c>
      <c r="CM132" s="205" t="str">
        <f t="shared" ref="CM132:CM195" si="259">IF(AND($S132="SW",$BF132="Long",$E132=CI$2),$P132,"")</f>
        <v/>
      </c>
      <c r="CN132" s="205">
        <f>IF($J132="",#N/A,SUM(CM$4:CM132))</f>
        <v>2.2555985727472319</v>
      </c>
      <c r="CO132" s="205">
        <f>IF($J132="",#N/A,SUM(CM$4:CM132,CK$4:CK132,CI$4:CI132))</f>
        <v>4.1490417070662797</v>
      </c>
      <c r="CP132" s="200" t="str">
        <f t="shared" ref="CP132:CP195" si="260">IF(AND($S132="Up",$BF132="Long",$E132=CP$2),$P132,"")</f>
        <v/>
      </c>
      <c r="CQ132" s="203">
        <f>IF($J132="",#N/A,SUM(CP$4:CP132))</f>
        <v>0</v>
      </c>
      <c r="CR132" s="204" t="str">
        <f t="shared" ref="CR132:CR195" si="261">IF(AND($S132="Dwn",$BF132="Short",$E132=CP$2),$P132,"")</f>
        <v/>
      </c>
      <c r="CS132" s="204">
        <f>IF($J132="",#N/A,SUM(CR$4:CR132))</f>
        <v>0</v>
      </c>
      <c r="CT132" s="205" t="str">
        <f t="shared" ref="CT132:CT195" si="262">IF(AND($S132="SW",$BF132="Long",$E132=CP$2),$P132,"")</f>
        <v/>
      </c>
      <c r="CU132" s="205">
        <f>IF($J132="",#N/A,SUM(CT$4:CT132))</f>
        <v>0</v>
      </c>
      <c r="CV132" s="205">
        <f>IF($J132="",#N/A,SUM(CT$4:CT132,CR$4:CR132,CP$4:CP132))</f>
        <v>0</v>
      </c>
      <c r="CW132" s="200" t="str">
        <f t="shared" ref="CW132:CW195" si="263">IF(AND($S132="Up",$BF132="Long",$E132=CW$2),$P132,"")</f>
        <v/>
      </c>
      <c r="CX132" s="203">
        <f>IF($J132="",#N/A,SUM(CW$4:CW132))</f>
        <v>0</v>
      </c>
      <c r="CY132" s="204" t="str">
        <f t="shared" ref="CY132:CY195" si="264">IF(AND($S132="Dwn",$BF132="Short",$E132=CW$2),$P132,"")</f>
        <v/>
      </c>
      <c r="CZ132" s="204">
        <f>IF($J132="",#N/A,SUM(CY$4:CY132))</f>
        <v>-1.9289529100071134</v>
      </c>
      <c r="DA132" s="205">
        <f t="shared" ref="DA132:DA195" si="265">IF(AND($S132="SW",$BF132="Long",$E132=CW$2),$P132,"")</f>
        <v>0.22563176895306858</v>
      </c>
      <c r="DB132" s="205">
        <f>IF($J132="",#N/A,SUM(DA$4:DA132))</f>
        <v>0.47237154912230012</v>
      </c>
      <c r="DC132" s="205">
        <f>IF($J132="",#N/A,SUM(DA$4:DA132,CY$4:CY132,CW$4:CW132))</f>
        <v>-1.4565813608848133</v>
      </c>
      <c r="DD132" s="200" t="str">
        <f t="shared" ref="DD132:DD195" si="266">IF(AND($S132="Up",$BF132="Long",$E132=DD$2),$P132,"")</f>
        <v/>
      </c>
      <c r="DE132" s="203">
        <f>IF($J132="",#N/A,SUM(DD$4:DD132))</f>
        <v>0.4905246481018824</v>
      </c>
      <c r="DF132" s="204" t="str">
        <f t="shared" ref="DF132:DF195" si="267">IF(AND($S132="Dwn",$BF132="Short",$E132=DD$2),$P132,"")</f>
        <v/>
      </c>
      <c r="DG132" s="204">
        <f>IF($J132="",#N/A,SUM(DF$4:DF132))</f>
        <v>0.77374072477919809</v>
      </c>
      <c r="DH132" s="205" t="str">
        <f t="shared" ref="DH132:DH195" si="268">IF(AND($S132="SW",$BF132="Long",$E132=DD$2),$P132,"")</f>
        <v/>
      </c>
      <c r="DI132" s="205">
        <f>IF($J132="",#N/A,SUM(DH$4:DH132))</f>
        <v>-1.3154755601364099</v>
      </c>
      <c r="DJ132" s="205">
        <f>IF($J132="",#N/A,SUM(DH$4:DH132,DF$4:DF132,DD$4:DD132))</f>
        <v>-5.1210187255329387E-2</v>
      </c>
      <c r="DK132" s="200" t="str">
        <f t="shared" ref="DK132:DK195" si="269">IF(AND($S132="Up",$BF132="Long",$E132=DK$2),$P132,"")</f>
        <v/>
      </c>
      <c r="DL132" s="203">
        <f>IF($J132="",#N/A,SUM(DK$4:DK132))</f>
        <v>-1.2097286851272664</v>
      </c>
      <c r="DM132" s="204" t="str">
        <f t="shared" ref="DM132:DM195" si="270">IF(AND($S132="Dwn",$BF132="Short",$E132=DK$2),$P132,"")</f>
        <v/>
      </c>
      <c r="DN132" s="204">
        <f>IF($J132="",#N/A,SUM(DM$4:DM132))</f>
        <v>1.1910608267574658</v>
      </c>
      <c r="DO132" s="205" t="str">
        <f t="shared" ref="DO132:DO195" si="271">IF(AND($S132="SW",$BF132="Long",$E132=DK$2),$P132,"")</f>
        <v/>
      </c>
      <c r="DP132" s="205">
        <f>IF($J132="",#N/A,SUM(DO$4:DO132))</f>
        <v>1.3495058802125319</v>
      </c>
      <c r="DQ132" s="205">
        <f>IF($J132="",#N/A,SUM(DO$4:DO132,DM$4:DM132,DK$4:DK132))</f>
        <v>1.3308380218427318</v>
      </c>
      <c r="DR132" s="200" t="str">
        <f t="shared" ref="DR132:DR195" si="272">IF(AND($S132="Up",$BF132="Long",$E132=DR$2),$P132,"")</f>
        <v/>
      </c>
      <c r="DS132" s="203">
        <f>IF($J132="",#N/A,SUM(DR$4:DR132))</f>
        <v>-0.55950946427675097</v>
      </c>
      <c r="DT132" s="204" t="str">
        <f t="shared" ref="DT132:DT195" si="273">IF(AND($S132="Dwn",$BF132="Short",$E132=DR$2),$P132,"")</f>
        <v/>
      </c>
      <c r="DU132" s="204">
        <f>IF($J132="",#N/A,SUM(DT$4:DT132))</f>
        <v>-2.8875364672150718</v>
      </c>
      <c r="DV132" s="205" t="str">
        <f t="shared" ref="DV132:DV195" si="274">IF(AND($S132="SW",$BF132="Long",$E132=DR$2),$P132,"")</f>
        <v/>
      </c>
      <c r="DW132" s="205">
        <f>IF($J132="",#N/A,SUM(DV$4:DV132))</f>
        <v>-2.6814706788983136</v>
      </c>
      <c r="DX132" s="205">
        <f>IF($J132="",#N/A,SUM(DV$4:DV132,DT$4:DT132,DR$4:DR132))</f>
        <v>-6.1285166103901361</v>
      </c>
      <c r="DY132" s="200" t="str">
        <f t="shared" ref="DY132:DY195" si="275">IF(AND($S132="Up",$BF132="Long",$E132=DY$2),$P132,"")</f>
        <v/>
      </c>
      <c r="DZ132" s="203">
        <f>IF($J132="",#N/A,SUM(DY$4:DY132))</f>
        <v>-1.63480022183437</v>
      </c>
      <c r="EA132" s="204" t="str">
        <f t="shared" ref="EA132:EA195" si="276">IF(AND($S132="Dwn",$BF132="Short",$E132=DY$2),$P132,"")</f>
        <v/>
      </c>
      <c r="EB132" s="204">
        <f>IF($J132="",#N/A,SUM(EA$4:EA132))</f>
        <v>-0.36153038830642437</v>
      </c>
      <c r="EC132" s="205" t="str">
        <f t="shared" ref="EC132:EC195" si="277">IF(AND($S132="SW",$BF132="Long",$E132=DY$2),$P132,"")</f>
        <v/>
      </c>
      <c r="ED132" s="205">
        <f>IF($J132="",#N/A,SUM(EC$4:EC132))</f>
        <v>1.7103671484331777</v>
      </c>
      <c r="EE132" s="205">
        <f>IF($J132="",#N/A,SUM(EC$4:EC132,EA$4:EA132,DY$4:DY132))</f>
        <v>-0.28596346170761661</v>
      </c>
      <c r="EF132" s="200" t="str">
        <f t="shared" ref="EF132:EF195" si="278">IF(AND($S132="Up",$BF132="Long",$E132=EF$2),$P132,"")</f>
        <v/>
      </c>
      <c r="EG132" s="203">
        <f>IF($J132="",#N/A,SUM(EF$4:EF132))</f>
        <v>0</v>
      </c>
      <c r="EH132" s="204" t="str">
        <f t="shared" ref="EH132:EH195" si="279">IF(AND($S132="Dwn",$BF132="Short",$E132=EF$2),$P132,"")</f>
        <v/>
      </c>
      <c r="EI132" s="204">
        <f>IF($J132="",#N/A,SUM(EH$4:EH132))</f>
        <v>-2.6174111635897193</v>
      </c>
      <c r="EJ132" s="205" t="str">
        <f t="shared" ref="EJ132:EJ195" si="280">IF(AND($S132="SW",$BF132="Long",$E132=EF$2),$P132,"")</f>
        <v/>
      </c>
      <c r="EK132" s="205">
        <f>IF($J132="",#N/A,SUM(EJ$4:EJ132))</f>
        <v>2.2873594184148476</v>
      </c>
      <c r="EL132" s="205">
        <f>IF($J132="",#N/A,SUM(EJ$4:EJ132,EH$4:EH132,EF$4:EF132))</f>
        <v>-0.33005174517487113</v>
      </c>
      <c r="EM132" s="200" t="str">
        <f t="shared" ref="EM132:EM195" si="281">IF(AND($S132="Up",$BF132="Long",$E132=EM$2),$P132,"")</f>
        <v/>
      </c>
      <c r="EN132" s="203">
        <f>IF($J132="",#N/A,SUM(EM$4:EM132))</f>
        <v>0</v>
      </c>
      <c r="EO132" s="204" t="str">
        <f t="shared" ref="EO132:EO195" si="282">IF(AND($S132="Dwn",$BF132="Short",$E132=EM$2),$P132,"")</f>
        <v/>
      </c>
      <c r="EP132" s="204">
        <f>IF($J132="",#N/A,SUM(EO$4:EO132))</f>
        <v>1.6293103394057216</v>
      </c>
      <c r="EQ132" s="205" t="str">
        <f t="shared" ref="EQ132:EQ195" si="283">IF(AND($S132="SW",$BF132="Long",$E132=EM$2),$P132,"")</f>
        <v/>
      </c>
      <c r="ER132" s="205">
        <f>IF($J132="",#N/A,SUM(EQ$4:EQ132))</f>
        <v>0.4926597949853756</v>
      </c>
      <c r="ES132" s="205">
        <f>IF($J132="",#N/A,SUM(EQ$4:EQ132,EO$4:EO132,EM$4:EM132))</f>
        <v>2.1219701343910971</v>
      </c>
      <c r="ET132" s="200" t="str">
        <f t="shared" ref="ET132:ET195" si="284">IF(AND($S132="Up",$BF132="Long",$E132=ET$2),$P132,"")</f>
        <v/>
      </c>
      <c r="EU132" s="203">
        <f>IF($J132="",#N/A,SUM(ET$4:ET132))</f>
        <v>0</v>
      </c>
      <c r="EV132" s="204" t="str">
        <f t="shared" ref="EV132:EV195" si="285">IF(AND($S132="Dwn",$BF132="Short",$E132=ET$2),$P132,"")</f>
        <v/>
      </c>
      <c r="EW132" s="204">
        <f>IF($J132="",#N/A,SUM(EV$4:EV132))</f>
        <v>0.90459527759708336</v>
      </c>
      <c r="EX132" s="205" t="str">
        <f t="shared" ref="EX132:EX195" si="286">IF(AND($S132="SW",$BF132="Long",$E132=ET$2),$P132,"")</f>
        <v/>
      </c>
      <c r="EY132" s="205">
        <f>IF($J132="",#N/A,SUM(EX$4:EX132))</f>
        <v>0.22957553748493481</v>
      </c>
      <c r="EZ132" s="205">
        <f>IF($J132="",#N/A,SUM(EX$4:EX132,EV$4:EV132,ET$4:ET132))</f>
        <v>1.134170815082018</v>
      </c>
      <c r="FA132" s="200" t="str">
        <f t="shared" ref="FA132:FA195" si="287">IF(AND($S132="Up",$BF132="Long",$E132=FA$2),$P132,"")</f>
        <v/>
      </c>
      <c r="FB132" s="203">
        <f>IF($J132="",#N/A,SUM(FA$4:FA132))</f>
        <v>0</v>
      </c>
      <c r="FC132" s="204" t="str">
        <f t="shared" ref="FC132:FC195" si="288">IF(AND($S132="Dwn",$BF132="Short",$E132=FA$2),$P132,"")</f>
        <v/>
      </c>
      <c r="FD132" s="204">
        <f>IF($J132="",#N/A,SUM(FC$4:FC132))</f>
        <v>1.6839191319663924</v>
      </c>
      <c r="FE132" s="205" t="str">
        <f t="shared" ref="FE132:FE195" si="289">IF(AND($S132="SW",$BF132="Long",$E132=FA$2),$P132,"")</f>
        <v/>
      </c>
      <c r="FF132" s="205">
        <f>IF($J132="",#N/A,SUM(FE$4:FE132))</f>
        <v>-0.28811149078748233</v>
      </c>
      <c r="FG132" s="205">
        <f>IF($J132="",#N/A,SUM(FE$4:FE132,FC$4:FC132,FA$4:FA132))</f>
        <v>1.3958076411789102</v>
      </c>
      <c r="FH132" s="200" t="str">
        <f t="shared" ref="FH132:FH195" si="290">IF(AND($S132="Up",$BF132="Long",$E132=FH$2),$P132,"")</f>
        <v/>
      </c>
      <c r="FI132" s="203">
        <f>IF($J132="",#N/A,SUM(FH$4:FH132))</f>
        <v>0</v>
      </c>
      <c r="FJ132" s="204" t="str">
        <f t="shared" ref="FJ132:FJ195" si="291">IF(AND($S132="Dwn",$BF132="Short",$E132=FH$2),$P132,"")</f>
        <v/>
      </c>
      <c r="FK132" s="204">
        <f>IF($J132="",#N/A,SUM(FJ$4:FJ132))</f>
        <v>0</v>
      </c>
      <c r="FL132" s="205" t="str">
        <f t="shared" ref="FL132:FL195" si="292">IF(AND($S132="SW",$BF132="Long",$E132=FH$2),$P132,"")</f>
        <v/>
      </c>
      <c r="FM132" s="205">
        <f>IF($J132="",#N/A,SUM(FL$4:FL132))</f>
        <v>0</v>
      </c>
      <c r="FN132" s="205">
        <f>IF($J132="",#N/A,SUM(FL$4:FL132,FJ$4:FJ132,FH$4:FH132))</f>
        <v>0</v>
      </c>
      <c r="FO132" s="200" t="str">
        <f t="shared" ref="FO132:FO195" si="293">IF(AND($S132="Up",$BF132="Long",$E132=FO$2),$P132,"")</f>
        <v/>
      </c>
      <c r="FP132" s="203">
        <f>IF($J132="",#N/A,SUM(FO$4:FO132))</f>
        <v>0</v>
      </c>
      <c r="FQ132" s="204" t="str">
        <f t="shared" ref="FQ132:FQ195" si="294">IF(AND($S132="Dwn",$BF132="Short",$E132=FO$2),$P132,"")</f>
        <v/>
      </c>
      <c r="FR132" s="204">
        <f>IF($J132="",#N/A,SUM(FQ$4:FQ132))</f>
        <v>0</v>
      </c>
      <c r="FS132" s="205" t="str">
        <f t="shared" ref="FS132:FS195" si="295">IF(AND($S132="SW",$BF132="Long",$E132=FO$2),$P132,"")</f>
        <v/>
      </c>
      <c r="FT132" s="205">
        <f>IF($J132="",#N/A,SUM(FS$4:FS132))</f>
        <v>0</v>
      </c>
      <c r="FU132" s="205">
        <f>IF($J132="",#N/A,SUM(FS$4:FS132,FQ$4:FQ132,FO$4:FO132))</f>
        <v>0</v>
      </c>
      <c r="FV132" s="200" t="str">
        <f t="shared" ref="FV132:FV195" si="296">IF(AND($S132="Up",$BF132="Long",$E132=FV$2),$P132,"")</f>
        <v/>
      </c>
      <c r="FW132" s="203">
        <f>IF($J132="",#N/A,SUM(FV$4:FV132))</f>
        <v>6.6834991831277585E-2</v>
      </c>
      <c r="FX132" s="204" t="str">
        <f t="shared" ref="FX132:FX195" si="297">IF(AND($S132="Dwn",$BF132="Short",$E132=FV$2),$P132,"")</f>
        <v/>
      </c>
      <c r="FY132" s="204">
        <f>IF($J132="",#N/A,SUM(FX$4:FX132))</f>
        <v>0</v>
      </c>
      <c r="FZ132" s="205" t="str">
        <f t="shared" ref="FZ132:FZ195" si="298">IF(AND($S132="SW",$BF132="Long",$E132=FV$2),$P132,"")</f>
        <v/>
      </c>
      <c r="GA132" s="205">
        <f>IF($J132="",#N/A,SUM(FZ$4:FZ132))</f>
        <v>-0.24773347685909197</v>
      </c>
      <c r="GB132" s="205">
        <f>IF($J132="",#N/A,SUM(FZ$4:FZ132,FX$4:FX132,FV$4:FV132))</f>
        <v>-0.18089848502781439</v>
      </c>
      <c r="GC132" s="200" t="str">
        <f t="shared" ref="GC132:GC195" si="299">IF(AND($S132="Up",$BF132="Long",$E132=GC$2),$P132,"")</f>
        <v/>
      </c>
      <c r="GD132" s="203">
        <f>IF($J132="",#N/A,SUM(GC$4:GC132))</f>
        <v>0</v>
      </c>
      <c r="GE132" s="204" t="str">
        <f t="shared" ref="GE132:GE195" si="300">IF(AND($S132="Dwn",$BF132="Short",$E132=GC$2),$P132,"")</f>
        <v/>
      </c>
      <c r="GF132" s="204">
        <f>IF($J132="",#N/A,SUM(GE$4:GE132))</f>
        <v>0</v>
      </c>
      <c r="GG132" s="205" t="str">
        <f t="shared" ref="GG132:GG195" si="301">IF(AND($S132="SW",$BF132="Long",$E132=GC$2),$P132,"")</f>
        <v/>
      </c>
      <c r="GH132" s="205">
        <f>IF($J132="",#N/A,SUM(GG$4:GG132))</f>
        <v>-2.9368362277223206</v>
      </c>
      <c r="GI132" s="205">
        <f>IF($J132="",#N/A,SUM(GG$4:GG132,GE$4:GE132,GC$4:GC132))</f>
        <v>-2.9368362277223206</v>
      </c>
      <c r="GJ132" s="200" t="str">
        <f t="shared" ref="GJ132:GJ195" si="302">IF(AND($S132="Up",$BF132="Long",$E132=GJ$2),$P132,"")</f>
        <v/>
      </c>
      <c r="GK132" s="203">
        <f>IF($J132="",#N/A,SUM(GJ$4:GJ132))</f>
        <v>0</v>
      </c>
      <c r="GL132" s="204" t="str">
        <f t="shared" ref="GL132:GL195" si="303">IF(AND($S132="Dwn",$BF132="Short",$E132=GJ$2),$P132,"")</f>
        <v/>
      </c>
      <c r="GM132" s="204">
        <f>IF($J132="",#N/A,SUM(GL$4:GL132))</f>
        <v>-0.4054764861692941</v>
      </c>
      <c r="GN132" s="205" t="str">
        <f t="shared" ref="GN132:GN195" si="304">IF(AND($S132="SW",$BF132="Long",$E132=GJ$2),$P132,"")</f>
        <v/>
      </c>
      <c r="GO132" s="205">
        <f>IF($J132="",#N/A,SUM(GN$4:GN132))</f>
        <v>0</v>
      </c>
      <c r="GP132" s="205">
        <f>IF($J132="",#N/A,SUM(GN$4:GN132,GL$4:GL132,GJ$4:GJ132))</f>
        <v>-0.4054764861692941</v>
      </c>
      <c r="GS132" s="54">
        <f t="shared" si="214"/>
        <v>0.22563176895306858</v>
      </c>
      <c r="GT132" s="54">
        <f>IF(GS132="",NA(),SUM($GS$4:GS132))</f>
        <v>-2.1215571266639608</v>
      </c>
      <c r="GU132" s="54" t="str">
        <f t="shared" ref="GU132:GU195" si="305">IF(AND($S132="Up",$BF132="Long",$D132="Y"),$GS132,"")</f>
        <v/>
      </c>
      <c r="GV132" s="54" t="e">
        <f>IF(GU132="",NA(),SUM($GU$4:GU132))</f>
        <v>#N/A</v>
      </c>
      <c r="GW132" s="54">
        <f t="shared" ref="GW132:GW195" si="306">IF(AND($S132="SW",$BF132="Long",$D132="Y"),$GS132,"")</f>
        <v>0.22563176895306858</v>
      </c>
      <c r="GX132" s="54">
        <f>IF(GW132="",NA(),SUM($GW$4:GW132))</f>
        <v>1.1258216540694983</v>
      </c>
      <c r="GY132" s="54" t="str">
        <f t="shared" ref="GY132:GY195" si="307">IF(AND($S132="Dwn",$BF132="Short",$D132="Y"),$GS132,"")</f>
        <v/>
      </c>
      <c r="GZ132" s="54" t="e">
        <f>IF(GY132="",NA(),SUM($GY$4:GY132))</f>
        <v>#N/A</v>
      </c>
      <c r="HA132" s="54" t="str">
        <f t="shared" ref="HA132:HA195" si="308">IF($J132="","",IF($D132="N",$P132,""))</f>
        <v/>
      </c>
      <c r="HB132" s="54" t="e">
        <f>IF(HA132="",NA(),SUM($HA$4:HA132))</f>
        <v>#N/A</v>
      </c>
      <c r="HC132" s="54" t="str">
        <f t="shared" ref="HC132:HC195" si="309">IF(AND($S132="Up",$BF132="Long",$D132="N"),$HA132,"")</f>
        <v/>
      </c>
      <c r="HD132" s="54" t="e">
        <f>IF(HC132="",NA(),SUM($HC$4:HC132))</f>
        <v>#N/A</v>
      </c>
      <c r="HE132" s="54" t="str">
        <f t="shared" ref="HE132:HE195" si="310">IF(AND($S132="SW",$BF132="Long",$D132="N"),$HA132,"")</f>
        <v/>
      </c>
      <c r="HF132" s="54" t="e">
        <f>IF(HE132="",NA(),SUM($HE$4:HE132))</f>
        <v>#N/A</v>
      </c>
      <c r="HG132" s="54" t="str">
        <f t="shared" ref="HG132:HG195" si="311">IF(AND($S132="Dwn",$BF132="Short",$D132="N"),$HA132,"")</f>
        <v/>
      </c>
      <c r="HH132" s="54" t="e">
        <f>IF(HG132="",NA(),SUM($HG$4:HG132))</f>
        <v>#N/A</v>
      </c>
      <c r="HI132" s="172" t="str">
        <f t="shared" si="215"/>
        <v/>
      </c>
      <c r="HJ132" s="172">
        <f>IF($J132="",#N/A,SUM(HI$4:$HI132))</f>
        <v>-4.0501038851906657</v>
      </c>
      <c r="HK132" s="54" t="str">
        <f t="shared" ref="HK132:HK195" si="312">IF($AC132="","",IF(AND($S132="Dwn",$K132&gt;0),$HU132-$P132,""))</f>
        <v/>
      </c>
      <c r="HL132" s="54">
        <f>IF($J132="",#N/A,SUM($HK$4:HK132))</f>
        <v>-5.4004192789897942</v>
      </c>
      <c r="HM132" s="54" t="str">
        <f t="shared" ref="HM132:HM195" si="313">IF($AC132="","",IF(AND($S132="Up",$K132&gt;0),$HU132-$P132,""))</f>
        <v/>
      </c>
      <c r="HN132" s="54">
        <f>IF($J132="",#N/A,SUM($HM$4:HM132))</f>
        <v>0.71812545963587882</v>
      </c>
      <c r="HO132" s="54" t="str">
        <f t="shared" ref="HO132:HO195" si="314">IF($AC132="","",IF(AND($S132="Up",$K132&lt;0),$HU132-$P132,""))</f>
        <v/>
      </c>
      <c r="HP132" s="54">
        <f>IF($J132="",#N/A,SUM($HO$4:HO132))</f>
        <v>-0.6555551778566262</v>
      </c>
      <c r="HQ132" s="54">
        <f t="shared" ref="HQ132:HQ195" si="315">IF($AC132="","",IF(AND($S132="SW",$K132&gt;0),$HU132-$P132,""))</f>
        <v>0.13613116726835067</v>
      </c>
      <c r="HR132" s="54">
        <f>IF($J132="",#N/A,SUM($HQ$4:HQ132))</f>
        <v>-7.3390769661523079</v>
      </c>
      <c r="HS132" s="54" t="str">
        <f t="shared" ref="HS132:HS195" si="316">IF($AC132="","",IF(AND($S132="SW",$K132&lt;0),$HU132-$P132,""))</f>
        <v/>
      </c>
      <c r="HT132" s="54">
        <f>IF($J132="",#N/A,SUM($HS$4:HS132))</f>
        <v>6.9226101541531762</v>
      </c>
      <c r="HU132" s="65">
        <f t="shared" ref="HU132:HU195" si="317">IF(OR($Y132="",$AC132=""),"",IF($BF132="Long",(($AC132*$Y132)-$X132)/($X132*0.06),($X132-($AC132*$Y132))/($X132*0.06)))</f>
        <v>0.36176293622141925</v>
      </c>
      <c r="HV132" s="65">
        <f>IF($J132="",#N/A,SUM(HU$4:$HU132))</f>
        <v>-11.448125939171499</v>
      </c>
    </row>
    <row r="133" spans="1:230" x14ac:dyDescent="0.25">
      <c r="A133" s="51" t="s">
        <v>1585</v>
      </c>
      <c r="B133" s="52" t="s">
        <v>4540</v>
      </c>
      <c r="C133" s="229">
        <f t="shared" si="218"/>
        <v>2</v>
      </c>
      <c r="D133" s="219" t="str">
        <f>_xlfn.XLOOKUP(A133,[1]SP500!$A$2:$A$502,[1]SP500!$D$2:$D$502,"N")</f>
        <v>Y</v>
      </c>
      <c r="E133" s="51" t="str">
        <f>IFERROR(_xlfn.XLOOKUP(A133,[1]SP500!$A$2:$A$655,[1]SP500!$B$2:$B$655),"")</f>
        <v>XHB</v>
      </c>
      <c r="F133" s="290">
        <v>45776</v>
      </c>
      <c r="G133" s="51" t="str">
        <f t="shared" si="219"/>
        <v>BMO</v>
      </c>
      <c r="H133" s="51" t="str">
        <f t="shared" si="220"/>
        <v>s</v>
      </c>
      <c r="I133" s="343">
        <v>64.78</v>
      </c>
      <c r="J133" s="124">
        <v>66.319999999999993</v>
      </c>
      <c r="K133" s="55">
        <f t="shared" si="221"/>
        <v>2.3772769373263229E-2</v>
      </c>
      <c r="L133" s="67">
        <f t="shared" si="222"/>
        <v>-24.639999999999873</v>
      </c>
      <c r="M133" s="57">
        <f t="shared" si="223"/>
        <v>-6.5600000000001728</v>
      </c>
      <c r="N133" s="102">
        <f t="shared" si="224"/>
        <v>-24.639999999999873</v>
      </c>
      <c r="O133" s="57">
        <f>IF(N133="",#N/A,SUM($N$4:N133))</f>
        <v>-334.39863589938795</v>
      </c>
      <c r="P133" s="65">
        <f t="shared" ref="P133:P196" si="318">IF(OR($Y133="",L133=""),"",IF($BF133="Long",(($J133*$Y133)-$X133)/(X133*0.06),($X133-($J133*$Y133))/(X133*0.06)))</f>
        <v>-0.39621282288772047</v>
      </c>
      <c r="Q133" s="172">
        <f>IF($N133="",#N/A,SUM($P$4:P133))</f>
        <v>-2.0399190676588801</v>
      </c>
      <c r="R133" s="279">
        <f t="shared" si="225"/>
        <v>5.5218945471645497</v>
      </c>
      <c r="S133" s="51" t="str">
        <f t="shared" si="226"/>
        <v>Dwn</v>
      </c>
      <c r="T133" s="51" t="s">
        <v>4461</v>
      </c>
      <c r="U133" s="56">
        <f t="shared" si="227"/>
        <v>64.78</v>
      </c>
      <c r="V133" s="56" t="s">
        <v>4458</v>
      </c>
      <c r="W133" s="142">
        <v>16</v>
      </c>
      <c r="X133" s="145">
        <f t="shared" si="228"/>
        <v>1036.48</v>
      </c>
      <c r="Y133" s="140">
        <f t="shared" si="229"/>
        <v>16</v>
      </c>
      <c r="Z133" s="123">
        <v>66.73</v>
      </c>
      <c r="AA133" s="102">
        <f t="shared" si="230"/>
        <v>-31.200000000000045</v>
      </c>
      <c r="AB133" s="102">
        <f t="shared" si="231"/>
        <v>-35.839999999999918</v>
      </c>
      <c r="AC133" s="124">
        <v>67.02</v>
      </c>
      <c r="AD133" s="155">
        <f t="shared" si="232"/>
        <v>-35.839999999999918</v>
      </c>
      <c r="AE133" s="545">
        <f t="shared" si="233"/>
        <v>-0.57630956056395877</v>
      </c>
      <c r="AF133" s="57">
        <f>IF($AC133="",#N/A,SUM(AD$4:AD133))</f>
        <v>-846.38041200241685</v>
      </c>
      <c r="AG133" s="102">
        <f t="shared" si="234"/>
        <v>-11.200000000000045</v>
      </c>
      <c r="AH133" s="56" t="s">
        <v>2507</v>
      </c>
      <c r="AI133" s="65">
        <f t="shared" si="235"/>
        <v>-0.50169805495523379</v>
      </c>
      <c r="AJ133" s="54">
        <f>IF(AI133="",#N/A,SUM($AI$4:AI133))</f>
        <v>-7.5618136148234303</v>
      </c>
      <c r="AK133" s="57">
        <f t="shared" si="236"/>
        <v>-31.200000000000045</v>
      </c>
      <c r="AL133" s="349">
        <f>IF(AI133="",#N/A,IF(AH133="Skip",SUM($AK$4:AK133),SUM($AK$4:AK133)))</f>
        <v>-689.36740850718672</v>
      </c>
      <c r="AM133" s="65">
        <f t="shared" ref="AM133:AM196" si="319">IF(OR($Y133="",$L133=""),"",IF($BF133="Long",(($AC133*$Y133)-$X133)/($X133*0.06),($X133-($AC133*$Y133))/($X133*0.06)))</f>
        <v>-0.57630956056395877</v>
      </c>
      <c r="AN133" s="209"/>
      <c r="AO133" s="65" t="str">
        <f t="shared" si="237"/>
        <v/>
      </c>
      <c r="AP133" s="65">
        <f>IF($AC133="",#N/A,SUM(AO$4:AO133))</f>
        <v>0.91134365499764725</v>
      </c>
      <c r="AQ133" s="65" t="str">
        <f t="shared" si="238"/>
        <v/>
      </c>
      <c r="AR133" s="65">
        <f>IF($AC133="",#N/A,SUM(AQ$4:AQ133))</f>
        <v>-2.7841084495259749</v>
      </c>
      <c r="AS133" s="65">
        <f t="shared" si="239"/>
        <v>-0.57630956056395877</v>
      </c>
      <c r="AT133" s="65">
        <f>IF($AC133="",#N/A,SUM(AS$4:AS133))</f>
        <v>-10.151670705207133</v>
      </c>
      <c r="AU133" s="57" t="str">
        <f t="shared" si="211"/>
        <v/>
      </c>
      <c r="AV133" s="57">
        <f>IF($AC133="",#N/A,SUM(AU$4:AU133))</f>
        <v>-18.358793548749304</v>
      </c>
      <c r="AW133" s="57" t="str">
        <f t="shared" si="212"/>
        <v/>
      </c>
      <c r="AX133" s="57">
        <f>IF($AC133="",#N/A,SUM(AW$4:AW133))</f>
        <v>-174.74000000000024</v>
      </c>
      <c r="AY133" s="57">
        <f t="shared" si="213"/>
        <v>-35.839999999999918</v>
      </c>
      <c r="AZ133" s="57">
        <f>IF($AC133="",#N/A,SUM(AY$4:AY133))</f>
        <v>-653.28161845366731</v>
      </c>
      <c r="BA133" s="57">
        <f>IF(AD133="",#N/A,SUM($AD$4:AD133))</f>
        <v>-846.38041200241685</v>
      </c>
      <c r="BC133" s="51" t="str">
        <f t="shared" si="240"/>
        <v/>
      </c>
      <c r="BD133" s="51">
        <f t="shared" si="241"/>
        <v>1</v>
      </c>
      <c r="BE133" s="51" t="str">
        <f t="shared" si="242"/>
        <v/>
      </c>
      <c r="BF133" s="51" t="str">
        <f t="shared" si="243"/>
        <v>Short</v>
      </c>
      <c r="BG133" s="51" t="str">
        <f t="shared" si="244"/>
        <v/>
      </c>
      <c r="BH133" s="51" t="str">
        <f t="shared" si="245"/>
        <v/>
      </c>
      <c r="BI133" s="51" t="str">
        <f t="shared" si="246"/>
        <v/>
      </c>
      <c r="BK133" s="65">
        <f t="shared" si="217"/>
        <v>-8.1700277453754175E-2</v>
      </c>
      <c r="BL133" s="65">
        <f t="shared" si="216"/>
        <v>0.12616357801037034</v>
      </c>
      <c r="BM133" s="65">
        <f>IFERROR(Q133/COUNTA($J$4:J133),#N/A)</f>
        <v>-1.5691685135837539E-2</v>
      </c>
      <c r="BO133" s="489" t="e">
        <f>IF(J133="",#N/A,IF(S133="SW",(COUNTIFS(K$4:$K133,"&gt;0",S$4:$S133,"SW")/COUNTIF(S$4:$S133,"SW")),#N/A))</f>
        <v>#N/A</v>
      </c>
      <c r="BP133" s="489">
        <f>IF($J133="",#N/A,IF($S133="DWN",(COUNTIFS($K$4:$K133,"&lt;0",$S$4:$S133,"DWN")/COUNTIF($S$4:$S133,"DWN")),#N/A))</f>
        <v>0.56000000000000005</v>
      </c>
      <c r="BQ133" s="489" t="e">
        <f>IF($J133="",#N/A,IF($S133="UP",(COUNTIFS($K$4:$K133,"&gt;0",$S$4:$S133,"UP")/COUNTIF($S$4:$S133,"UP")),#N/A))</f>
        <v>#N/A</v>
      </c>
      <c r="BR133" s="489">
        <f>IF(J133="",#N/A,COUNTIF($K$4:K133,"&gt;0")/COUNT($J$4:J133))</f>
        <v>0.46923076923076923</v>
      </c>
      <c r="BS133" s="65" t="str">
        <f t="shared" si="247"/>
        <v/>
      </c>
      <c r="BT133" s="65" t="str">
        <f t="shared" si="248"/>
        <v/>
      </c>
      <c r="BU133" s="65" t="str">
        <f t="shared" si="249"/>
        <v/>
      </c>
      <c r="BV133" s="65">
        <f t="shared" si="250"/>
        <v>-0.39621282288772047</v>
      </c>
      <c r="BW133" s="128" t="str">
        <f t="shared" si="251"/>
        <v/>
      </c>
      <c r="BX133" s="128">
        <f>IF($J133="",#N/A,SUM($BW$4:BW133))</f>
        <v>-181.36500000000035</v>
      </c>
      <c r="BY133" s="131">
        <f t="shared" si="252"/>
        <v>-24.639999999999873</v>
      </c>
      <c r="BZ133" s="131">
        <f>IF($J133="",#N/A,SUM($BY$4:BY133))</f>
        <v>-98.795659610666803</v>
      </c>
      <c r="CA133" s="133" t="str">
        <f t="shared" si="253"/>
        <v/>
      </c>
      <c r="CB133" s="133">
        <f>IF($J133="",#N/A,SUM($CA$4:CA133))</f>
        <v>-54.237976288720802</v>
      </c>
      <c r="CC133" s="194" t="str">
        <f t="shared" si="254"/>
        <v/>
      </c>
      <c r="CD133" s="194">
        <f>IF($J133="",#N/A,SUM($CC$4:CC133))</f>
        <v>-2.8466787313052277</v>
      </c>
      <c r="CE133" s="195">
        <f t="shared" si="255"/>
        <v>-0.39621282288772047</v>
      </c>
      <c r="CF133" s="195">
        <f>IF($J133="",#N/A,SUM($CE$4:CE133))</f>
        <v>-0.52105080335043219</v>
      </c>
      <c r="CG133" s="196" t="str">
        <f t="shared" si="256"/>
        <v/>
      </c>
      <c r="CH133" s="193">
        <f>IF($J133="",#N/A,SUM($CG$4:CG133))</f>
        <v>1.3278104669967838</v>
      </c>
      <c r="CI133" s="200" t="str">
        <f t="shared" si="257"/>
        <v/>
      </c>
      <c r="CJ133" s="203">
        <f>IF($J133="",#N/A,SUM(CI$4:CI133))</f>
        <v>0</v>
      </c>
      <c r="CK133" s="204" t="str">
        <f t="shared" si="258"/>
        <v/>
      </c>
      <c r="CL133" s="204">
        <f>IF($J133="",#N/A,SUM(CK$4:CK133))</f>
        <v>1.8934431343190481</v>
      </c>
      <c r="CM133" s="205" t="str">
        <f t="shared" si="259"/>
        <v/>
      </c>
      <c r="CN133" s="205">
        <f>IF($J133="",#N/A,SUM(CM$4:CM133))</f>
        <v>2.2555985727472319</v>
      </c>
      <c r="CO133" s="205">
        <f>IF($J133="",#N/A,SUM(CM$4:CM133,CK$4:CK133,CI$4:CI133))</f>
        <v>4.1490417070662797</v>
      </c>
      <c r="CP133" s="200" t="str">
        <f t="shared" si="260"/>
        <v/>
      </c>
      <c r="CQ133" s="203">
        <f>IF($J133="",#N/A,SUM(CP$4:CP133))</f>
        <v>0</v>
      </c>
      <c r="CR133" s="204" t="str">
        <f t="shared" si="261"/>
        <v/>
      </c>
      <c r="CS133" s="204">
        <f>IF($J133="",#N/A,SUM(CR$4:CR133))</f>
        <v>0</v>
      </c>
      <c r="CT133" s="205" t="str">
        <f t="shared" si="262"/>
        <v/>
      </c>
      <c r="CU133" s="205">
        <f>IF($J133="",#N/A,SUM(CT$4:CT133))</f>
        <v>0</v>
      </c>
      <c r="CV133" s="205">
        <f>IF($J133="",#N/A,SUM(CT$4:CT133,CR$4:CR133,CP$4:CP133))</f>
        <v>0</v>
      </c>
      <c r="CW133" s="200" t="str">
        <f t="shared" si="263"/>
        <v/>
      </c>
      <c r="CX133" s="203">
        <f>IF($J133="",#N/A,SUM(CW$4:CW133))</f>
        <v>0</v>
      </c>
      <c r="CY133" s="204" t="str">
        <f t="shared" si="264"/>
        <v/>
      </c>
      <c r="CZ133" s="204">
        <f>IF($J133="",#N/A,SUM(CY$4:CY133))</f>
        <v>-1.9289529100071134</v>
      </c>
      <c r="DA133" s="205" t="str">
        <f t="shared" si="265"/>
        <v/>
      </c>
      <c r="DB133" s="205">
        <f>IF($J133="",#N/A,SUM(DA$4:DA133))</f>
        <v>0.47237154912230012</v>
      </c>
      <c r="DC133" s="205">
        <f>IF($J133="",#N/A,SUM(DA$4:DA133,CY$4:CY133,CW$4:CW133))</f>
        <v>-1.4565813608848133</v>
      </c>
      <c r="DD133" s="200" t="str">
        <f t="shared" si="266"/>
        <v/>
      </c>
      <c r="DE133" s="203">
        <f>IF($J133="",#N/A,SUM(DD$4:DD133))</f>
        <v>0.4905246481018824</v>
      </c>
      <c r="DF133" s="204" t="str">
        <f t="shared" si="267"/>
        <v/>
      </c>
      <c r="DG133" s="204">
        <f>IF($J133="",#N/A,SUM(DF$4:DF133))</f>
        <v>0.77374072477919809</v>
      </c>
      <c r="DH133" s="205" t="str">
        <f t="shared" si="268"/>
        <v/>
      </c>
      <c r="DI133" s="205">
        <f>IF($J133="",#N/A,SUM(DH$4:DH133))</f>
        <v>-1.3154755601364099</v>
      </c>
      <c r="DJ133" s="205">
        <f>IF($J133="",#N/A,SUM(DH$4:DH133,DF$4:DF133,DD$4:DD133))</f>
        <v>-5.1210187255329387E-2</v>
      </c>
      <c r="DK133" s="200" t="str">
        <f t="shared" si="269"/>
        <v/>
      </c>
      <c r="DL133" s="203">
        <f>IF($J133="",#N/A,SUM(DK$4:DK133))</f>
        <v>-1.2097286851272664</v>
      </c>
      <c r="DM133" s="204" t="str">
        <f t="shared" si="270"/>
        <v/>
      </c>
      <c r="DN133" s="204">
        <f>IF($J133="",#N/A,SUM(DM$4:DM133))</f>
        <v>1.1910608267574658</v>
      </c>
      <c r="DO133" s="205" t="str">
        <f t="shared" si="271"/>
        <v/>
      </c>
      <c r="DP133" s="205">
        <f>IF($J133="",#N/A,SUM(DO$4:DO133))</f>
        <v>1.3495058802125319</v>
      </c>
      <c r="DQ133" s="205">
        <f>IF($J133="",#N/A,SUM(DO$4:DO133,DM$4:DM133,DK$4:DK133))</f>
        <v>1.3308380218427318</v>
      </c>
      <c r="DR133" s="200" t="str">
        <f t="shared" si="272"/>
        <v/>
      </c>
      <c r="DS133" s="203">
        <f>IF($J133="",#N/A,SUM(DR$4:DR133))</f>
        <v>-0.55950946427675097</v>
      </c>
      <c r="DT133" s="204" t="str">
        <f t="shared" si="273"/>
        <v/>
      </c>
      <c r="DU133" s="204">
        <f>IF($J133="",#N/A,SUM(DT$4:DT133))</f>
        <v>-2.8875364672150718</v>
      </c>
      <c r="DV133" s="205" t="str">
        <f t="shared" si="274"/>
        <v/>
      </c>
      <c r="DW133" s="205">
        <f>IF($J133="",#N/A,SUM(DV$4:DV133))</f>
        <v>-2.6814706788983136</v>
      </c>
      <c r="DX133" s="205">
        <f>IF($J133="",#N/A,SUM(DV$4:DV133,DT$4:DT133,DR$4:DR133))</f>
        <v>-6.1285166103901361</v>
      </c>
      <c r="DY133" s="200" t="str">
        <f t="shared" si="275"/>
        <v/>
      </c>
      <c r="DZ133" s="203">
        <f>IF($J133="",#N/A,SUM(DY$4:DY133))</f>
        <v>-1.63480022183437</v>
      </c>
      <c r="EA133" s="204" t="str">
        <f t="shared" si="276"/>
        <v/>
      </c>
      <c r="EB133" s="204">
        <f>IF($J133="",#N/A,SUM(EA$4:EA133))</f>
        <v>-0.36153038830642437</v>
      </c>
      <c r="EC133" s="205" t="str">
        <f t="shared" si="277"/>
        <v/>
      </c>
      <c r="ED133" s="205">
        <f>IF($J133="",#N/A,SUM(EC$4:EC133))</f>
        <v>1.7103671484331777</v>
      </c>
      <c r="EE133" s="205">
        <f>IF($J133="",#N/A,SUM(EC$4:EC133,EA$4:EA133,DY$4:DY133))</f>
        <v>-0.28596346170761661</v>
      </c>
      <c r="EF133" s="200" t="str">
        <f t="shared" si="278"/>
        <v/>
      </c>
      <c r="EG133" s="203">
        <f>IF($J133="",#N/A,SUM(EF$4:EF133))</f>
        <v>0</v>
      </c>
      <c r="EH133" s="204" t="str">
        <f t="shared" si="279"/>
        <v/>
      </c>
      <c r="EI133" s="204">
        <f>IF($J133="",#N/A,SUM(EH$4:EH133))</f>
        <v>-2.6174111635897193</v>
      </c>
      <c r="EJ133" s="205" t="str">
        <f t="shared" si="280"/>
        <v/>
      </c>
      <c r="EK133" s="205">
        <f>IF($J133="",#N/A,SUM(EJ$4:EJ133))</f>
        <v>2.2873594184148476</v>
      </c>
      <c r="EL133" s="205">
        <f>IF($J133="",#N/A,SUM(EJ$4:EJ133,EH$4:EH133,EF$4:EF133))</f>
        <v>-0.33005174517487113</v>
      </c>
      <c r="EM133" s="200" t="str">
        <f t="shared" si="281"/>
        <v/>
      </c>
      <c r="EN133" s="203">
        <f>IF($J133="",#N/A,SUM(EM$4:EM133))</f>
        <v>0</v>
      </c>
      <c r="EO133" s="204" t="str">
        <f t="shared" si="282"/>
        <v/>
      </c>
      <c r="EP133" s="204">
        <f>IF($J133="",#N/A,SUM(EO$4:EO133))</f>
        <v>1.6293103394057216</v>
      </c>
      <c r="EQ133" s="205" t="str">
        <f t="shared" si="283"/>
        <v/>
      </c>
      <c r="ER133" s="205">
        <f>IF($J133="",#N/A,SUM(EQ$4:EQ133))</f>
        <v>0.4926597949853756</v>
      </c>
      <c r="ES133" s="205">
        <f>IF($J133="",#N/A,SUM(EQ$4:EQ133,EO$4:EO133,EM$4:EM133))</f>
        <v>2.1219701343910971</v>
      </c>
      <c r="ET133" s="200" t="str">
        <f t="shared" si="284"/>
        <v/>
      </c>
      <c r="EU133" s="203">
        <f>IF($J133="",#N/A,SUM(ET$4:ET133))</f>
        <v>0</v>
      </c>
      <c r="EV133" s="204" t="str">
        <f t="shared" si="285"/>
        <v/>
      </c>
      <c r="EW133" s="204">
        <f>IF($J133="",#N/A,SUM(EV$4:EV133))</f>
        <v>0.90459527759708336</v>
      </c>
      <c r="EX133" s="205" t="str">
        <f t="shared" si="286"/>
        <v/>
      </c>
      <c r="EY133" s="205">
        <f>IF($J133="",#N/A,SUM(EX$4:EX133))</f>
        <v>0.22957553748493481</v>
      </c>
      <c r="EZ133" s="205">
        <f>IF($J133="",#N/A,SUM(EX$4:EX133,EV$4:EV133,ET$4:ET133))</f>
        <v>1.134170815082018</v>
      </c>
      <c r="FA133" s="200" t="str">
        <f t="shared" si="287"/>
        <v/>
      </c>
      <c r="FB133" s="203">
        <f>IF($J133="",#N/A,SUM(FA$4:FA133))</f>
        <v>0</v>
      </c>
      <c r="FC133" s="204" t="str">
        <f t="shared" si="288"/>
        <v/>
      </c>
      <c r="FD133" s="204">
        <f>IF($J133="",#N/A,SUM(FC$4:FC133))</f>
        <v>1.6839191319663924</v>
      </c>
      <c r="FE133" s="205" t="str">
        <f t="shared" si="289"/>
        <v/>
      </c>
      <c r="FF133" s="205">
        <f>IF($J133="",#N/A,SUM(FE$4:FE133))</f>
        <v>-0.28811149078748233</v>
      </c>
      <c r="FG133" s="205">
        <f>IF($J133="",#N/A,SUM(FE$4:FE133,FC$4:FC133,FA$4:FA133))</f>
        <v>1.3958076411789102</v>
      </c>
      <c r="FH133" s="200" t="str">
        <f t="shared" si="290"/>
        <v/>
      </c>
      <c r="FI133" s="203">
        <f>IF($J133="",#N/A,SUM(FH$4:FH133))</f>
        <v>0</v>
      </c>
      <c r="FJ133" s="204" t="str">
        <f t="shared" si="291"/>
        <v/>
      </c>
      <c r="FK133" s="204">
        <f>IF($J133="",#N/A,SUM(FJ$4:FJ133))</f>
        <v>0</v>
      </c>
      <c r="FL133" s="205" t="str">
        <f t="shared" si="292"/>
        <v/>
      </c>
      <c r="FM133" s="205">
        <f>IF($J133="",#N/A,SUM(FL$4:FL133))</f>
        <v>0</v>
      </c>
      <c r="FN133" s="205">
        <f>IF($J133="",#N/A,SUM(FL$4:FL133,FJ$4:FJ133,FH$4:FH133))</f>
        <v>0</v>
      </c>
      <c r="FO133" s="200" t="str">
        <f t="shared" si="293"/>
        <v/>
      </c>
      <c r="FP133" s="203">
        <f>IF($J133="",#N/A,SUM(FO$4:FO133))</f>
        <v>0</v>
      </c>
      <c r="FQ133" s="204" t="str">
        <f t="shared" si="294"/>
        <v/>
      </c>
      <c r="FR133" s="204">
        <f>IF($J133="",#N/A,SUM(FQ$4:FQ133))</f>
        <v>0</v>
      </c>
      <c r="FS133" s="205" t="str">
        <f t="shared" si="295"/>
        <v/>
      </c>
      <c r="FT133" s="205">
        <f>IF($J133="",#N/A,SUM(FS$4:FS133))</f>
        <v>0</v>
      </c>
      <c r="FU133" s="205">
        <f>IF($J133="",#N/A,SUM(FS$4:FS133,FQ$4:FQ133,FO$4:FO133))</f>
        <v>0</v>
      </c>
      <c r="FV133" s="200" t="str">
        <f t="shared" si="296"/>
        <v/>
      </c>
      <c r="FW133" s="203">
        <f>IF($J133="",#N/A,SUM(FV$4:FV133))</f>
        <v>6.6834991831277585E-2</v>
      </c>
      <c r="FX133" s="204" t="str">
        <f t="shared" si="297"/>
        <v/>
      </c>
      <c r="FY133" s="204">
        <f>IF($J133="",#N/A,SUM(FX$4:FX133))</f>
        <v>0</v>
      </c>
      <c r="FZ133" s="205" t="str">
        <f t="shared" si="298"/>
        <v/>
      </c>
      <c r="GA133" s="205">
        <f>IF($J133="",#N/A,SUM(FZ$4:FZ133))</f>
        <v>-0.24773347685909197</v>
      </c>
      <c r="GB133" s="205">
        <f>IF($J133="",#N/A,SUM(FZ$4:FZ133,FX$4:FX133,FV$4:FV133))</f>
        <v>-0.18089848502781439</v>
      </c>
      <c r="GC133" s="200" t="str">
        <f t="shared" si="299"/>
        <v/>
      </c>
      <c r="GD133" s="203">
        <f>IF($J133="",#N/A,SUM(GC$4:GC133))</f>
        <v>0</v>
      </c>
      <c r="GE133" s="204" t="str">
        <f t="shared" si="300"/>
        <v/>
      </c>
      <c r="GF133" s="204">
        <f>IF($J133="",#N/A,SUM(GE$4:GE133))</f>
        <v>0</v>
      </c>
      <c r="GG133" s="205" t="str">
        <f t="shared" si="301"/>
        <v/>
      </c>
      <c r="GH133" s="205">
        <f>IF($J133="",#N/A,SUM(GG$4:GG133))</f>
        <v>-2.9368362277223206</v>
      </c>
      <c r="GI133" s="205">
        <f>IF($J133="",#N/A,SUM(GG$4:GG133,GE$4:GE133,GC$4:GC133))</f>
        <v>-2.9368362277223206</v>
      </c>
      <c r="GJ133" s="200" t="str">
        <f t="shared" si="302"/>
        <v/>
      </c>
      <c r="GK133" s="203">
        <f>IF($J133="",#N/A,SUM(GJ$4:GJ133))</f>
        <v>0</v>
      </c>
      <c r="GL133" s="204">
        <f t="shared" si="303"/>
        <v>-0.39621282288772047</v>
      </c>
      <c r="GM133" s="204">
        <f>IF($J133="",#N/A,SUM(GL$4:GL133))</f>
        <v>-0.80168930905701452</v>
      </c>
      <c r="GN133" s="205" t="str">
        <f t="shared" si="304"/>
        <v/>
      </c>
      <c r="GO133" s="205">
        <f>IF($J133="",#N/A,SUM(GN$4:GN133))</f>
        <v>0</v>
      </c>
      <c r="GP133" s="205">
        <f>IF($J133="",#N/A,SUM(GN$4:GN133,GL$4:GL133,GJ$4:GJ133))</f>
        <v>-0.80168930905701452</v>
      </c>
      <c r="GS133" s="54">
        <f t="shared" si="214"/>
        <v>-0.39621282288772047</v>
      </c>
      <c r="GT133" s="54">
        <f>IF(GS133="",NA(),SUM($GS$4:GS133))</f>
        <v>-2.5177699495516812</v>
      </c>
      <c r="GU133" s="54" t="str">
        <f t="shared" si="305"/>
        <v/>
      </c>
      <c r="GV133" s="54" t="e">
        <f>IF(GU133="",NA(),SUM($GU$4:GU133))</f>
        <v>#N/A</v>
      </c>
      <c r="GW133" s="54" t="str">
        <f t="shared" si="306"/>
        <v/>
      </c>
      <c r="GX133" s="54" t="e">
        <f>IF(GW133="",NA(),SUM($GW$4:GW133))</f>
        <v>#N/A</v>
      </c>
      <c r="GY133" s="54">
        <f t="shared" si="307"/>
        <v>-0.39621282288772047</v>
      </c>
      <c r="GZ133" s="54">
        <f>IF(GY133="",NA(),SUM($GY$4:GY133))</f>
        <v>-0.79691287231594909</v>
      </c>
      <c r="HA133" s="54" t="str">
        <f t="shared" si="308"/>
        <v/>
      </c>
      <c r="HB133" s="54" t="e">
        <f>IF(HA133="",NA(),SUM($HA$4:HA133))</f>
        <v>#N/A</v>
      </c>
      <c r="HC133" s="54" t="str">
        <f t="shared" si="309"/>
        <v/>
      </c>
      <c r="HD133" s="54" t="e">
        <f>IF(HC133="",NA(),SUM($HC$4:HC133))</f>
        <v>#N/A</v>
      </c>
      <c r="HE133" s="54" t="str">
        <f t="shared" si="310"/>
        <v/>
      </c>
      <c r="HF133" s="54" t="e">
        <f>IF(HE133="",NA(),SUM($HE$4:HE133))</f>
        <v>#N/A</v>
      </c>
      <c r="HG133" s="54" t="str">
        <f t="shared" si="311"/>
        <v/>
      </c>
      <c r="HH133" s="54" t="e">
        <f>IF(HG133="",NA(),SUM($HG$4:HG133))</f>
        <v>#N/A</v>
      </c>
      <c r="HI133" s="172" t="str">
        <f t="shared" si="215"/>
        <v/>
      </c>
      <c r="HJ133" s="172">
        <f>IF($J133="",#N/A,SUM(HI$4:$HI133))</f>
        <v>-4.0501038851906657</v>
      </c>
      <c r="HK133" s="54">
        <f t="shared" si="312"/>
        <v>-0.18009673767623829</v>
      </c>
      <c r="HL133" s="54">
        <f>IF($J133="",#N/A,SUM($HK$4:HK133))</f>
        <v>-5.5805160166660324</v>
      </c>
      <c r="HM133" s="54" t="str">
        <f t="shared" si="313"/>
        <v/>
      </c>
      <c r="HN133" s="54">
        <f>IF($J133="",#N/A,SUM($HM$4:HM133))</f>
        <v>0.71812545963587882</v>
      </c>
      <c r="HO133" s="54" t="str">
        <f t="shared" si="314"/>
        <v/>
      </c>
      <c r="HP133" s="54">
        <f>IF($J133="",#N/A,SUM($HO$4:HO133))</f>
        <v>-0.6555551778566262</v>
      </c>
      <c r="HQ133" s="54" t="str">
        <f t="shared" si="315"/>
        <v/>
      </c>
      <c r="HR133" s="54">
        <f>IF($J133="",#N/A,SUM($HQ$4:HQ133))</f>
        <v>-7.3390769661523079</v>
      </c>
      <c r="HS133" s="54" t="str">
        <f t="shared" si="316"/>
        <v/>
      </c>
      <c r="HT133" s="54">
        <f>IF($J133="",#N/A,SUM($HS$4:HS133))</f>
        <v>6.9226101541531762</v>
      </c>
      <c r="HU133" s="65">
        <f t="shared" si="317"/>
        <v>-0.57630956056395877</v>
      </c>
      <c r="HV133" s="65">
        <f>IF($J133="",#N/A,SUM(HU$4:$HU133))</f>
        <v>-12.024435499735457</v>
      </c>
    </row>
    <row r="134" spans="1:230" x14ac:dyDescent="0.25">
      <c r="A134" s="51" t="s">
        <v>1522</v>
      </c>
      <c r="B134" s="52" t="s">
        <v>4540</v>
      </c>
      <c r="C134" s="229">
        <f t="shared" si="218"/>
        <v>3</v>
      </c>
      <c r="D134" s="219" t="str">
        <f>_xlfn.XLOOKUP(A134,[1]SP500!$A$2:$A$502,[1]SP500!$D$2:$D$502,"N")</f>
        <v>Y</v>
      </c>
      <c r="E134" s="51" t="str">
        <f>IFERROR(_xlfn.XLOOKUP(A134,[1]SP500!$A$2:$A$655,[1]SP500!$B$2:$B$655),"")</f>
        <v>XLV</v>
      </c>
      <c r="F134" s="290">
        <v>45776</v>
      </c>
      <c r="G134" s="51" t="str">
        <f t="shared" si="219"/>
        <v>BMO</v>
      </c>
      <c r="H134" s="51" t="str">
        <f t="shared" si="220"/>
        <v>s</v>
      </c>
      <c r="I134" s="343">
        <v>229.6</v>
      </c>
      <c r="J134" s="124">
        <v>221.86</v>
      </c>
      <c r="K134" s="55">
        <f t="shared" si="221"/>
        <v>-3.3710801393728139E-2</v>
      </c>
      <c r="L134" s="67">
        <f t="shared" si="222"/>
        <v>-30.959999999999923</v>
      </c>
      <c r="M134" s="57">
        <f t="shared" si="223"/>
        <v>0</v>
      </c>
      <c r="N134" s="102">
        <f t="shared" si="224"/>
        <v>-30.959999999999923</v>
      </c>
      <c r="O134" s="57">
        <f>IF(N134="",#N/A,SUM($N$4:N134))</f>
        <v>-365.35863589938788</v>
      </c>
      <c r="P134" s="65">
        <f t="shared" si="318"/>
        <v>-0.56184668989546904</v>
      </c>
      <c r="Q134" s="172">
        <f>IF($N134="",#N/A,SUM($P$4:P134))</f>
        <v>-2.6017657575543494</v>
      </c>
      <c r="R134" s="279">
        <f t="shared" si="225"/>
        <v>5.5218945471645506</v>
      </c>
      <c r="S134" s="51" t="str">
        <f t="shared" si="226"/>
        <v>SW</v>
      </c>
      <c r="T134" s="51" t="s">
        <v>2828</v>
      </c>
      <c r="U134" s="56">
        <f t="shared" si="227"/>
        <v>229.6</v>
      </c>
      <c r="V134" s="56" t="s">
        <v>4460</v>
      </c>
      <c r="W134" s="142">
        <v>4</v>
      </c>
      <c r="X134" s="145">
        <f t="shared" si="228"/>
        <v>918.4</v>
      </c>
      <c r="Y134" s="140">
        <f t="shared" si="229"/>
        <v>4</v>
      </c>
      <c r="Z134" s="123">
        <v>221.86</v>
      </c>
      <c r="AA134" s="102">
        <f t="shared" si="230"/>
        <v>-30.959999999999923</v>
      </c>
      <c r="AB134" s="102">
        <f t="shared" si="231"/>
        <v>43.279999999999973</v>
      </c>
      <c r="AC134" s="124">
        <v>240.42</v>
      </c>
      <c r="AD134" s="155">
        <f t="shared" si="232"/>
        <v>43.279999999999973</v>
      </c>
      <c r="AE134" s="545">
        <f t="shared" si="233"/>
        <v>0.78542392566782759</v>
      </c>
      <c r="AF134" s="57">
        <f>IF($AC134="",#N/A,SUM(AD$4:AD134))</f>
        <v>-803.10041200241687</v>
      </c>
      <c r="AG134" s="102">
        <f t="shared" si="234"/>
        <v>74.239999999999895</v>
      </c>
      <c r="AH134" s="56" t="s">
        <v>2507</v>
      </c>
      <c r="AI134" s="65">
        <f t="shared" si="235"/>
        <v>-0.56184668989546904</v>
      </c>
      <c r="AJ134" s="350">
        <f>IF(AI134="",#N/A,SUM($AI$4:AI134))</f>
        <v>-8.1236603047189</v>
      </c>
      <c r="AK134" s="57">
        <f t="shared" si="236"/>
        <v>-30.959999999999923</v>
      </c>
      <c r="AL134" s="349">
        <f>IF(AI134="",#N/A,IF(AH134="Skip",SUM($AK$4:AK134),SUM($AK$4:AK134)))</f>
        <v>-720.32740850718665</v>
      </c>
      <c r="AM134" s="65">
        <f t="shared" si="319"/>
        <v>0.78542392566782759</v>
      </c>
      <c r="AN134" s="209"/>
      <c r="AO134" s="65">
        <f t="shared" si="237"/>
        <v>0.78542392566782759</v>
      </c>
      <c r="AP134" s="65">
        <f>IF($AC134="",#N/A,SUM(AO$4:AO134))</f>
        <v>1.6967675806654747</v>
      </c>
      <c r="AQ134" s="65" t="str">
        <f t="shared" si="238"/>
        <v/>
      </c>
      <c r="AR134" s="65">
        <f>IF($AC134="",#N/A,SUM(AQ$4:AQ134))</f>
        <v>-2.7841084495259749</v>
      </c>
      <c r="AS134" s="65" t="str">
        <f t="shared" si="239"/>
        <v/>
      </c>
      <c r="AT134" s="65">
        <f>IF($AC134="",#N/A,SUM(AS$4:AS134))</f>
        <v>-10.151670705207133</v>
      </c>
      <c r="AU134" s="57">
        <f t="shared" ref="AU134:AU197" si="320">IF(AND(S134="SW",BF134="Long"),$AD134,"")</f>
        <v>43.279999999999973</v>
      </c>
      <c r="AV134" s="57">
        <f>IF($AC134="",#N/A,SUM(AU$4:AU134))</f>
        <v>24.921206451250669</v>
      </c>
      <c r="AW134" s="57" t="str">
        <f t="shared" ref="AW134:AW197" si="321">IF(AND(S134="UP",BF134="Long"),$AD134,"")</f>
        <v/>
      </c>
      <c r="AX134" s="57">
        <f>IF($AC134="",#N/A,SUM(AW$4:AW134))</f>
        <v>-174.74000000000024</v>
      </c>
      <c r="AY134" s="57" t="str">
        <f t="shared" ref="AY134:AY197" si="322">IF(AND(S134="Dwn",BF134="Short"),$AD134,"")</f>
        <v/>
      </c>
      <c r="AZ134" s="57">
        <f>IF($AC134="",#N/A,SUM(AY$4:AY134))</f>
        <v>-653.28161845366731</v>
      </c>
      <c r="BA134" s="57">
        <f>IF(AD134="",#N/A,SUM($AD$4:AD134))</f>
        <v>-803.10041200241687</v>
      </c>
      <c r="BC134" s="51" t="str">
        <f t="shared" si="240"/>
        <v/>
      </c>
      <c r="BD134" s="51" t="str">
        <f t="shared" si="241"/>
        <v/>
      </c>
      <c r="BE134" s="51" t="str">
        <f t="shared" si="242"/>
        <v/>
      </c>
      <c r="BF134" s="51" t="str">
        <f t="shared" si="243"/>
        <v>Long</v>
      </c>
      <c r="BG134" s="51" t="str">
        <f t="shared" si="244"/>
        <v/>
      </c>
      <c r="BH134" s="51" t="str">
        <f t="shared" si="245"/>
        <v/>
      </c>
      <c r="BI134" s="51">
        <f t="shared" si="246"/>
        <v>1</v>
      </c>
      <c r="BK134" s="65">
        <f t="shared" si="217"/>
        <v>-7.5243957396048028E-2</v>
      </c>
      <c r="BL134" s="65">
        <f t="shared" si="216"/>
        <v>9.5853414241322307E-2</v>
      </c>
      <c r="BM134" s="65">
        <f>IFERROR(Q134/COUNTA($J$4:J134),#N/A)</f>
        <v>-1.9860807309575186E-2</v>
      </c>
      <c r="BO134" s="489">
        <f>IF(J134="",#N/A,IF(S134="SW",(COUNTIFS(K$4:$K134,"&gt;0",S$4:$S134,"SW")/COUNTIF(S$4:$S134,"SW")),#N/A))</f>
        <v>0.48648648648648651</v>
      </c>
      <c r="BP134" s="489" t="e">
        <f>IF($J134="",#N/A,IF($S134="DWN",(COUNTIFS($K$4:$K134,"&lt;0",$S$4:$S134,"DWN")/COUNTIF($S$4:$S134,"DWN")),#N/A))</f>
        <v>#N/A</v>
      </c>
      <c r="BQ134" s="489" t="e">
        <f>IF($J134="",#N/A,IF($S134="UP",(COUNTIFS($K$4:$K134,"&gt;0",$S$4:$S134,"UP")/COUNTIF($S$4:$S134,"UP")),#N/A))</f>
        <v>#N/A</v>
      </c>
      <c r="BR134" s="489">
        <f>IF(J134="",#N/A,COUNTIF($K$4:K134,"&gt;0")/COUNT($J$4:J134))</f>
        <v>0.46564885496183206</v>
      </c>
      <c r="BS134" s="65" t="str">
        <f t="shared" si="247"/>
        <v/>
      </c>
      <c r="BT134" s="65">
        <f t="shared" si="248"/>
        <v>-0.56184668989546904</v>
      </c>
      <c r="BU134" s="65" t="str">
        <f t="shared" si="249"/>
        <v/>
      </c>
      <c r="BV134" s="65" t="str">
        <f t="shared" si="250"/>
        <v/>
      </c>
      <c r="BW134" s="128" t="str">
        <f t="shared" si="251"/>
        <v/>
      </c>
      <c r="BX134" s="128">
        <f>IF($J134="",#N/A,SUM($BW$4:BW134))</f>
        <v>-181.36500000000035</v>
      </c>
      <c r="BY134" s="131" t="str">
        <f t="shared" si="252"/>
        <v/>
      </c>
      <c r="BZ134" s="131">
        <f>IF($J134="",#N/A,SUM($BY$4:BY134))</f>
        <v>-98.795659610666803</v>
      </c>
      <c r="CA134" s="133">
        <f t="shared" si="253"/>
        <v>-30.959999999999923</v>
      </c>
      <c r="CB134" s="133">
        <f>IF($J134="",#N/A,SUM($CA$4:CA134))</f>
        <v>-85.197976288720724</v>
      </c>
      <c r="CC134" s="194" t="str">
        <f t="shared" si="254"/>
        <v/>
      </c>
      <c r="CD134" s="194">
        <f>IF($J134="",#N/A,SUM($CC$4:CC134))</f>
        <v>-2.8466787313052277</v>
      </c>
      <c r="CE134" s="195" t="str">
        <f t="shared" si="255"/>
        <v/>
      </c>
      <c r="CF134" s="195">
        <f>IF($J134="",#N/A,SUM($CE$4:CE134))</f>
        <v>-0.52105080335043219</v>
      </c>
      <c r="CG134" s="196">
        <f t="shared" si="256"/>
        <v>-0.56184668989546904</v>
      </c>
      <c r="CH134" s="196">
        <f>IF($J134="",#N/A,SUM($CG$4:CG134))</f>
        <v>0.7659637771013148</v>
      </c>
      <c r="CI134" s="200" t="str">
        <f t="shared" si="257"/>
        <v/>
      </c>
      <c r="CJ134" s="203">
        <f>IF($J134="",#N/A,SUM(CI$4:CI134))</f>
        <v>0</v>
      </c>
      <c r="CK134" s="204" t="str">
        <f t="shared" si="258"/>
        <v/>
      </c>
      <c r="CL134" s="204">
        <f>IF($J134="",#N/A,SUM(CK$4:CK134))</f>
        <v>1.8934431343190481</v>
      </c>
      <c r="CM134" s="205" t="str">
        <f t="shared" si="259"/>
        <v/>
      </c>
      <c r="CN134" s="205">
        <f>IF($J134="",#N/A,SUM(CM$4:CM134))</f>
        <v>2.2555985727472319</v>
      </c>
      <c r="CO134" s="205">
        <f>IF($J134="",#N/A,SUM(CM$4:CM134,CK$4:CK134,CI$4:CI134))</f>
        <v>4.1490417070662797</v>
      </c>
      <c r="CP134" s="200" t="str">
        <f t="shared" si="260"/>
        <v/>
      </c>
      <c r="CQ134" s="203">
        <f>IF($J134="",#N/A,SUM(CP$4:CP134))</f>
        <v>0</v>
      </c>
      <c r="CR134" s="204" t="str">
        <f t="shared" si="261"/>
        <v/>
      </c>
      <c r="CS134" s="204">
        <f>IF($J134="",#N/A,SUM(CR$4:CR134))</f>
        <v>0</v>
      </c>
      <c r="CT134" s="205" t="str">
        <f t="shared" si="262"/>
        <v/>
      </c>
      <c r="CU134" s="205">
        <f>IF($J134="",#N/A,SUM(CT$4:CT134))</f>
        <v>0</v>
      </c>
      <c r="CV134" s="205">
        <f>IF($J134="",#N/A,SUM(CT$4:CT134,CR$4:CR134,CP$4:CP134))</f>
        <v>0</v>
      </c>
      <c r="CW134" s="200" t="str">
        <f t="shared" si="263"/>
        <v/>
      </c>
      <c r="CX134" s="203">
        <f>IF($J134="",#N/A,SUM(CW$4:CW134))</f>
        <v>0</v>
      </c>
      <c r="CY134" s="204" t="str">
        <f t="shared" si="264"/>
        <v/>
      </c>
      <c r="CZ134" s="204">
        <f>IF($J134="",#N/A,SUM(CY$4:CY134))</f>
        <v>-1.9289529100071134</v>
      </c>
      <c r="DA134" s="205" t="str">
        <f t="shared" si="265"/>
        <v/>
      </c>
      <c r="DB134" s="205">
        <f>IF($J134="",#N/A,SUM(DA$4:DA134))</f>
        <v>0.47237154912230012</v>
      </c>
      <c r="DC134" s="205">
        <f>IF($J134="",#N/A,SUM(DA$4:DA134,CY$4:CY134,CW$4:CW134))</f>
        <v>-1.4565813608848133</v>
      </c>
      <c r="DD134" s="200" t="str">
        <f t="shared" si="266"/>
        <v/>
      </c>
      <c r="DE134" s="203">
        <f>IF($J134="",#N/A,SUM(DD$4:DD134))</f>
        <v>0.4905246481018824</v>
      </c>
      <c r="DF134" s="204" t="str">
        <f t="shared" si="267"/>
        <v/>
      </c>
      <c r="DG134" s="204">
        <f>IF($J134="",#N/A,SUM(DF$4:DF134))</f>
        <v>0.77374072477919809</v>
      </c>
      <c r="DH134" s="205" t="str">
        <f t="shared" si="268"/>
        <v/>
      </c>
      <c r="DI134" s="205">
        <f>IF($J134="",#N/A,SUM(DH$4:DH134))</f>
        <v>-1.3154755601364099</v>
      </c>
      <c r="DJ134" s="205">
        <f>IF($J134="",#N/A,SUM(DH$4:DH134,DF$4:DF134,DD$4:DD134))</f>
        <v>-5.1210187255329387E-2</v>
      </c>
      <c r="DK134" s="200" t="str">
        <f t="shared" si="269"/>
        <v/>
      </c>
      <c r="DL134" s="203">
        <f>IF($J134="",#N/A,SUM(DK$4:DK134))</f>
        <v>-1.2097286851272664</v>
      </c>
      <c r="DM134" s="204" t="str">
        <f t="shared" si="270"/>
        <v/>
      </c>
      <c r="DN134" s="204">
        <f>IF($J134="",#N/A,SUM(DM$4:DM134))</f>
        <v>1.1910608267574658</v>
      </c>
      <c r="DO134" s="205" t="str">
        <f t="shared" si="271"/>
        <v/>
      </c>
      <c r="DP134" s="205">
        <f>IF($J134="",#N/A,SUM(DO$4:DO134))</f>
        <v>1.3495058802125319</v>
      </c>
      <c r="DQ134" s="205">
        <f>IF($J134="",#N/A,SUM(DO$4:DO134,DM$4:DM134,DK$4:DK134))</f>
        <v>1.3308380218427318</v>
      </c>
      <c r="DR134" s="200" t="str">
        <f t="shared" si="272"/>
        <v/>
      </c>
      <c r="DS134" s="203">
        <f>IF($J134="",#N/A,SUM(DR$4:DR134))</f>
        <v>-0.55950946427675097</v>
      </c>
      <c r="DT134" s="204" t="str">
        <f t="shared" si="273"/>
        <v/>
      </c>
      <c r="DU134" s="204">
        <f>IF($J134="",#N/A,SUM(DT$4:DT134))</f>
        <v>-2.8875364672150718</v>
      </c>
      <c r="DV134" s="205" t="str">
        <f t="shared" si="274"/>
        <v/>
      </c>
      <c r="DW134" s="205">
        <f>IF($J134="",#N/A,SUM(DV$4:DV134))</f>
        <v>-2.6814706788983136</v>
      </c>
      <c r="DX134" s="205">
        <f>IF($J134="",#N/A,SUM(DV$4:DV134,DT$4:DT134,DR$4:DR134))</f>
        <v>-6.1285166103901361</v>
      </c>
      <c r="DY134" s="200" t="str">
        <f t="shared" si="275"/>
        <v/>
      </c>
      <c r="DZ134" s="203">
        <f>IF($J134="",#N/A,SUM(DY$4:DY134))</f>
        <v>-1.63480022183437</v>
      </c>
      <c r="EA134" s="204" t="str">
        <f t="shared" si="276"/>
        <v/>
      </c>
      <c r="EB134" s="204">
        <f>IF($J134="",#N/A,SUM(EA$4:EA134))</f>
        <v>-0.36153038830642437</v>
      </c>
      <c r="EC134" s="205" t="str">
        <f t="shared" si="277"/>
        <v/>
      </c>
      <c r="ED134" s="205">
        <f>IF($J134="",#N/A,SUM(EC$4:EC134))</f>
        <v>1.7103671484331777</v>
      </c>
      <c r="EE134" s="205">
        <f>IF($J134="",#N/A,SUM(EC$4:EC134,EA$4:EA134,DY$4:DY134))</f>
        <v>-0.28596346170761661</v>
      </c>
      <c r="EF134" s="200" t="str">
        <f t="shared" si="278"/>
        <v/>
      </c>
      <c r="EG134" s="203">
        <f>IF($J134="",#N/A,SUM(EF$4:EF134))</f>
        <v>0</v>
      </c>
      <c r="EH134" s="204" t="str">
        <f t="shared" si="279"/>
        <v/>
      </c>
      <c r="EI134" s="204">
        <f>IF($J134="",#N/A,SUM(EH$4:EH134))</f>
        <v>-2.6174111635897193</v>
      </c>
      <c r="EJ134" s="205">
        <f t="shared" si="280"/>
        <v>-0.56184668989546904</v>
      </c>
      <c r="EK134" s="205">
        <f>IF($J134="",#N/A,SUM(EJ$4:EJ134))</f>
        <v>1.7255127285193785</v>
      </c>
      <c r="EL134" s="205">
        <f>IF($J134="",#N/A,SUM(EJ$4:EJ134,EH$4:EH134,EF$4:EF134))</f>
        <v>-0.89189843507034017</v>
      </c>
      <c r="EM134" s="200" t="str">
        <f t="shared" si="281"/>
        <v/>
      </c>
      <c r="EN134" s="203">
        <f>IF($J134="",#N/A,SUM(EM$4:EM134))</f>
        <v>0</v>
      </c>
      <c r="EO134" s="204" t="str">
        <f t="shared" si="282"/>
        <v/>
      </c>
      <c r="EP134" s="204">
        <f>IF($J134="",#N/A,SUM(EO$4:EO134))</f>
        <v>1.6293103394057216</v>
      </c>
      <c r="EQ134" s="205" t="str">
        <f t="shared" si="283"/>
        <v/>
      </c>
      <c r="ER134" s="205">
        <f>IF($J134="",#N/A,SUM(EQ$4:EQ134))</f>
        <v>0.4926597949853756</v>
      </c>
      <c r="ES134" s="205">
        <f>IF($J134="",#N/A,SUM(EQ$4:EQ134,EO$4:EO134,EM$4:EM134))</f>
        <v>2.1219701343910971</v>
      </c>
      <c r="ET134" s="200" t="str">
        <f t="shared" si="284"/>
        <v/>
      </c>
      <c r="EU134" s="203">
        <f>IF($J134="",#N/A,SUM(ET$4:ET134))</f>
        <v>0</v>
      </c>
      <c r="EV134" s="204" t="str">
        <f t="shared" si="285"/>
        <v/>
      </c>
      <c r="EW134" s="204">
        <f>IF($J134="",#N/A,SUM(EV$4:EV134))</f>
        <v>0.90459527759708336</v>
      </c>
      <c r="EX134" s="205" t="str">
        <f t="shared" si="286"/>
        <v/>
      </c>
      <c r="EY134" s="205">
        <f>IF($J134="",#N/A,SUM(EX$4:EX134))</f>
        <v>0.22957553748493481</v>
      </c>
      <c r="EZ134" s="205">
        <f>IF($J134="",#N/A,SUM(EX$4:EX134,EV$4:EV134,ET$4:ET134))</f>
        <v>1.134170815082018</v>
      </c>
      <c r="FA134" s="200" t="str">
        <f t="shared" si="287"/>
        <v/>
      </c>
      <c r="FB134" s="203">
        <f>IF($J134="",#N/A,SUM(FA$4:FA134))</f>
        <v>0</v>
      </c>
      <c r="FC134" s="204" t="str">
        <f t="shared" si="288"/>
        <v/>
      </c>
      <c r="FD134" s="204">
        <f>IF($J134="",#N/A,SUM(FC$4:FC134))</f>
        <v>1.6839191319663924</v>
      </c>
      <c r="FE134" s="205" t="str">
        <f t="shared" si="289"/>
        <v/>
      </c>
      <c r="FF134" s="205">
        <f>IF($J134="",#N/A,SUM(FE$4:FE134))</f>
        <v>-0.28811149078748233</v>
      </c>
      <c r="FG134" s="205">
        <f>IF($J134="",#N/A,SUM(FE$4:FE134,FC$4:FC134,FA$4:FA134))</f>
        <v>1.3958076411789102</v>
      </c>
      <c r="FH134" s="200" t="str">
        <f t="shared" si="290"/>
        <v/>
      </c>
      <c r="FI134" s="203">
        <f>IF($J134="",#N/A,SUM(FH$4:FH134))</f>
        <v>0</v>
      </c>
      <c r="FJ134" s="204" t="str">
        <f t="shared" si="291"/>
        <v/>
      </c>
      <c r="FK134" s="204">
        <f>IF($J134="",#N/A,SUM(FJ$4:FJ134))</f>
        <v>0</v>
      </c>
      <c r="FL134" s="205" t="str">
        <f t="shared" si="292"/>
        <v/>
      </c>
      <c r="FM134" s="205">
        <f>IF($J134="",#N/A,SUM(FL$4:FL134))</f>
        <v>0</v>
      </c>
      <c r="FN134" s="205">
        <f>IF($J134="",#N/A,SUM(FL$4:FL134,FJ$4:FJ134,FH$4:FH134))</f>
        <v>0</v>
      </c>
      <c r="FO134" s="200" t="str">
        <f t="shared" si="293"/>
        <v/>
      </c>
      <c r="FP134" s="203">
        <f>IF($J134="",#N/A,SUM(FO$4:FO134))</f>
        <v>0</v>
      </c>
      <c r="FQ134" s="204" t="str">
        <f t="shared" si="294"/>
        <v/>
      </c>
      <c r="FR134" s="204">
        <f>IF($J134="",#N/A,SUM(FQ$4:FQ134))</f>
        <v>0</v>
      </c>
      <c r="FS134" s="205" t="str">
        <f t="shared" si="295"/>
        <v/>
      </c>
      <c r="FT134" s="205">
        <f>IF($J134="",#N/A,SUM(FS$4:FS134))</f>
        <v>0</v>
      </c>
      <c r="FU134" s="205">
        <f>IF($J134="",#N/A,SUM(FS$4:FS134,FQ$4:FQ134,FO$4:FO134))</f>
        <v>0</v>
      </c>
      <c r="FV134" s="200" t="str">
        <f t="shared" si="296"/>
        <v/>
      </c>
      <c r="FW134" s="203">
        <f>IF($J134="",#N/A,SUM(FV$4:FV134))</f>
        <v>6.6834991831277585E-2</v>
      </c>
      <c r="FX134" s="204" t="str">
        <f t="shared" si="297"/>
        <v/>
      </c>
      <c r="FY134" s="204">
        <f>IF($J134="",#N/A,SUM(FX$4:FX134))</f>
        <v>0</v>
      </c>
      <c r="FZ134" s="205" t="str">
        <f t="shared" si="298"/>
        <v/>
      </c>
      <c r="GA134" s="205">
        <f>IF($J134="",#N/A,SUM(FZ$4:FZ134))</f>
        <v>-0.24773347685909197</v>
      </c>
      <c r="GB134" s="205">
        <f>IF($J134="",#N/A,SUM(FZ$4:FZ134,FX$4:FX134,FV$4:FV134))</f>
        <v>-0.18089848502781439</v>
      </c>
      <c r="GC134" s="200" t="str">
        <f t="shared" si="299"/>
        <v/>
      </c>
      <c r="GD134" s="203">
        <f>IF($J134="",#N/A,SUM(GC$4:GC134))</f>
        <v>0</v>
      </c>
      <c r="GE134" s="204" t="str">
        <f t="shared" si="300"/>
        <v/>
      </c>
      <c r="GF134" s="204">
        <f>IF($J134="",#N/A,SUM(GE$4:GE134))</f>
        <v>0</v>
      </c>
      <c r="GG134" s="205" t="str">
        <f t="shared" si="301"/>
        <v/>
      </c>
      <c r="GH134" s="205">
        <f>IF($J134="",#N/A,SUM(GG$4:GG134))</f>
        <v>-2.9368362277223206</v>
      </c>
      <c r="GI134" s="205">
        <f>IF($J134="",#N/A,SUM(GG$4:GG134,GE$4:GE134,GC$4:GC134))</f>
        <v>-2.9368362277223206</v>
      </c>
      <c r="GJ134" s="200" t="str">
        <f t="shared" si="302"/>
        <v/>
      </c>
      <c r="GK134" s="203">
        <f>IF($J134="",#N/A,SUM(GJ$4:GJ134))</f>
        <v>0</v>
      </c>
      <c r="GL134" s="204" t="str">
        <f t="shared" si="303"/>
        <v/>
      </c>
      <c r="GM134" s="204">
        <f>IF($J134="",#N/A,SUM(GL$4:GL134))</f>
        <v>-0.80168930905701452</v>
      </c>
      <c r="GN134" s="205" t="str">
        <f t="shared" si="304"/>
        <v/>
      </c>
      <c r="GO134" s="205">
        <f>IF($J134="",#N/A,SUM(GN$4:GN134))</f>
        <v>0</v>
      </c>
      <c r="GP134" s="205">
        <f>IF($J134="",#N/A,SUM(GN$4:GN134,GL$4:GL134,GJ$4:GJ134))</f>
        <v>-0.80168930905701452</v>
      </c>
      <c r="GS134" s="54">
        <f t="shared" ref="GS134:GS197" si="323">IF(J134="","",IF(D134="Y",P134,""))</f>
        <v>-0.56184668989546904</v>
      </c>
      <c r="GT134" s="54">
        <f>IF(GS134="",NA(),SUM($GS$4:GS134))</f>
        <v>-3.07961663944715</v>
      </c>
      <c r="GU134" s="54" t="str">
        <f t="shared" si="305"/>
        <v/>
      </c>
      <c r="GV134" s="54" t="e">
        <f>IF(GU134="",NA(),SUM($GU$4:GU134))</f>
        <v>#N/A</v>
      </c>
      <c r="GW134" s="54">
        <f t="shared" si="306"/>
        <v>-0.56184668989546904</v>
      </c>
      <c r="GX134" s="54">
        <f>IF(GW134="",NA(),SUM($GW$4:GW134))</f>
        <v>0.56397496417402926</v>
      </c>
      <c r="GY134" s="54" t="str">
        <f t="shared" si="307"/>
        <v/>
      </c>
      <c r="GZ134" s="54" t="e">
        <f>IF(GY134="",NA(),SUM($GY$4:GY134))</f>
        <v>#N/A</v>
      </c>
      <c r="HA134" s="54" t="str">
        <f t="shared" si="308"/>
        <v/>
      </c>
      <c r="HB134" s="54" t="e">
        <f>IF(HA134="",NA(),SUM($HA$4:HA134))</f>
        <v>#N/A</v>
      </c>
      <c r="HC134" s="54" t="str">
        <f t="shared" si="309"/>
        <v/>
      </c>
      <c r="HD134" s="54" t="e">
        <f>IF(HC134="",NA(),SUM($HC$4:HC134))</f>
        <v>#N/A</v>
      </c>
      <c r="HE134" s="54" t="str">
        <f t="shared" si="310"/>
        <v/>
      </c>
      <c r="HF134" s="54" t="e">
        <f>IF(HE134="",NA(),SUM($HE$4:HE134))</f>
        <v>#N/A</v>
      </c>
      <c r="HG134" s="54" t="str">
        <f t="shared" si="311"/>
        <v/>
      </c>
      <c r="HH134" s="54" t="e">
        <f>IF(HG134="",NA(),SUM($HG$4:HG134))</f>
        <v>#N/A</v>
      </c>
      <c r="HI134" s="172" t="str">
        <f t="shared" ref="HI134:HI197" si="324">IF($AC134="","",IF(AND($S134="Dwn",$K134&lt;0),$HU134-P134,""))</f>
        <v/>
      </c>
      <c r="HJ134" s="172">
        <f>IF($J134="",#N/A,SUM(HI$4:$HI134))</f>
        <v>-4.0501038851906657</v>
      </c>
      <c r="HK134" s="54" t="str">
        <f t="shared" si="312"/>
        <v/>
      </c>
      <c r="HL134" s="54">
        <f>IF($J134="",#N/A,SUM($HK$4:HK134))</f>
        <v>-5.5805160166660324</v>
      </c>
      <c r="HM134" s="54" t="str">
        <f t="shared" si="313"/>
        <v/>
      </c>
      <c r="HN134" s="54">
        <f>IF($J134="",#N/A,SUM($HM$4:HM134))</f>
        <v>0.71812545963587882</v>
      </c>
      <c r="HO134" s="54" t="str">
        <f t="shared" si="314"/>
        <v/>
      </c>
      <c r="HP134" s="54">
        <f>IF($J134="",#N/A,SUM($HO$4:HO134))</f>
        <v>-0.6555551778566262</v>
      </c>
      <c r="HQ134" s="54" t="str">
        <f t="shared" si="315"/>
        <v/>
      </c>
      <c r="HR134" s="54">
        <f>IF($J134="",#N/A,SUM($HQ$4:HQ134))</f>
        <v>-7.3390769661523079</v>
      </c>
      <c r="HS134" s="54">
        <f t="shared" si="316"/>
        <v>1.3472706155632967</v>
      </c>
      <c r="HT134" s="54">
        <f>IF($J134="",#N/A,SUM($HS$4:HS134))</f>
        <v>8.2698807697164725</v>
      </c>
      <c r="HU134" s="65">
        <f t="shared" si="317"/>
        <v>0.78542392566782759</v>
      </c>
      <c r="HV134" s="65">
        <f>IF($J134="",#N/A,SUM(HU$4:$HU134))</f>
        <v>-11.239011574067629</v>
      </c>
    </row>
    <row r="135" spans="1:230" x14ac:dyDescent="0.25">
      <c r="A135" s="51" t="s">
        <v>1311</v>
      </c>
      <c r="B135" s="52" t="s">
        <v>4540</v>
      </c>
      <c r="C135" s="229">
        <f t="shared" si="218"/>
        <v>2</v>
      </c>
      <c r="D135" s="219" t="str">
        <f>_xlfn.XLOOKUP(A135,[1]SP500!$A$2:$A$502,[1]SP500!$D$2:$D$502,"N")</f>
        <v>Y</v>
      </c>
      <c r="E135" s="51" t="str">
        <f>IFERROR(_xlfn.XLOOKUP(A135,[1]SP500!$A$2:$A$655,[1]SP500!$B$2:$B$655),"")</f>
        <v>XLF</v>
      </c>
      <c r="F135" s="290">
        <v>45776</v>
      </c>
      <c r="G135" s="51" t="str">
        <f t="shared" si="219"/>
        <v>BMO</v>
      </c>
      <c r="H135" s="51" t="str">
        <f t="shared" si="220"/>
        <v>s</v>
      </c>
      <c r="I135" s="343">
        <v>479.37</v>
      </c>
      <c r="J135" s="123">
        <v>486.44</v>
      </c>
      <c r="K135" s="55">
        <f t="shared" si="221"/>
        <v>1.474852410455388E-2</v>
      </c>
      <c r="L135" s="67">
        <f t="shared" si="222"/>
        <v>-14.139999999999986</v>
      </c>
      <c r="M135" s="57">
        <f t="shared" si="223"/>
        <v>0</v>
      </c>
      <c r="N135" s="102">
        <f t="shared" si="224"/>
        <v>-14.139999999999986</v>
      </c>
      <c r="O135" s="57">
        <f>IF(N135="",#N/A,SUM($N$4:N135))</f>
        <v>-379.49863589938786</v>
      </c>
      <c r="P135" s="65">
        <f t="shared" si="318"/>
        <v>-0.24580873507589798</v>
      </c>
      <c r="Q135" s="172">
        <f>IF($N135="",#N/A,SUM($P$4:P135))</f>
        <v>-2.8475744926302475</v>
      </c>
      <c r="R135" s="279">
        <f t="shared" si="225"/>
        <v>5.5218945471645497</v>
      </c>
      <c r="S135" s="51" t="str">
        <f t="shared" si="226"/>
        <v>Dwn</v>
      </c>
      <c r="T135" s="51" t="s">
        <v>4461</v>
      </c>
      <c r="U135" s="56">
        <f t="shared" si="227"/>
        <v>479.37</v>
      </c>
      <c r="V135" s="56" t="s">
        <v>4458</v>
      </c>
      <c r="W135" s="142">
        <v>2</v>
      </c>
      <c r="X135" s="145">
        <f t="shared" si="228"/>
        <v>958.74</v>
      </c>
      <c r="Y135" s="140">
        <f t="shared" si="229"/>
        <v>2</v>
      </c>
      <c r="Z135" s="123">
        <v>486.44</v>
      </c>
      <c r="AA135" s="102">
        <f t="shared" si="230"/>
        <v>-14.139999999999986</v>
      </c>
      <c r="AB135" s="102">
        <f t="shared" si="231"/>
        <v>-24.779999999999973</v>
      </c>
      <c r="AC135" s="123">
        <v>491.76</v>
      </c>
      <c r="AD135" s="155">
        <f t="shared" si="232"/>
        <v>-24.779999999999973</v>
      </c>
      <c r="AE135" s="545">
        <f t="shared" si="233"/>
        <v>-0.43077372384588059</v>
      </c>
      <c r="AF135" s="57">
        <f>IF($AC135="",#N/A,SUM(AD$4:AD135))</f>
        <v>-827.88041200241685</v>
      </c>
      <c r="AG135" s="102">
        <f t="shared" si="234"/>
        <v>-10.639999999999986</v>
      </c>
      <c r="AH135" s="56" t="s">
        <v>2507</v>
      </c>
      <c r="AI135" s="65">
        <f t="shared" si="235"/>
        <v>-0.24580873507589798</v>
      </c>
      <c r="AJ135" s="350">
        <f>IF(AI135="",#N/A,SUM($AI$4:AI135))</f>
        <v>-8.3694690397947973</v>
      </c>
      <c r="AK135" s="57">
        <f t="shared" si="236"/>
        <v>-14.139999999999986</v>
      </c>
      <c r="AL135" s="349">
        <f>IF(AI135="",#N/A,IF(AH135="Skip",SUM($AK$4:AK135),SUM($AK$4:AK135)))</f>
        <v>-734.46740850718663</v>
      </c>
      <c r="AM135" s="65">
        <f t="shared" si="319"/>
        <v>-0.43077372384588059</v>
      </c>
      <c r="AN135" s="209"/>
      <c r="AO135" s="65" t="str">
        <f t="shared" si="237"/>
        <v/>
      </c>
      <c r="AP135" s="65">
        <f>IF($AC135="",#N/A,SUM(AO$4:AO135))</f>
        <v>1.6967675806654747</v>
      </c>
      <c r="AQ135" s="65" t="str">
        <f t="shared" si="238"/>
        <v/>
      </c>
      <c r="AR135" s="65">
        <f>IF($AC135="",#N/A,SUM(AQ$4:AQ135))</f>
        <v>-2.7841084495259749</v>
      </c>
      <c r="AS135" s="65">
        <f t="shared" si="239"/>
        <v>-0.43077372384588059</v>
      </c>
      <c r="AT135" s="65">
        <f>IF($AC135="",#N/A,SUM(AS$4:AS135))</f>
        <v>-10.582444429053014</v>
      </c>
      <c r="AU135" s="57" t="str">
        <f t="shared" si="320"/>
        <v/>
      </c>
      <c r="AV135" s="57">
        <f>IF($AC135="",#N/A,SUM(AU$4:AU135))</f>
        <v>24.921206451250669</v>
      </c>
      <c r="AW135" s="57" t="str">
        <f t="shared" si="321"/>
        <v/>
      </c>
      <c r="AX135" s="57">
        <f>IF($AC135="",#N/A,SUM(AW$4:AW135))</f>
        <v>-174.74000000000024</v>
      </c>
      <c r="AY135" s="57">
        <f t="shared" si="322"/>
        <v>-24.779999999999973</v>
      </c>
      <c r="AZ135" s="57">
        <f>IF($AC135="",#N/A,SUM(AY$4:AY135))</f>
        <v>-678.06161845366728</v>
      </c>
      <c r="BA135" s="57">
        <f>IF(AD135="",#N/A,SUM($AD$4:AD135))</f>
        <v>-827.88041200241685</v>
      </c>
      <c r="BC135" s="51" t="str">
        <f t="shared" si="240"/>
        <v/>
      </c>
      <c r="BD135" s="51">
        <f t="shared" si="241"/>
        <v>1</v>
      </c>
      <c r="BE135" s="51" t="str">
        <f t="shared" si="242"/>
        <v/>
      </c>
      <c r="BF135" s="51" t="str">
        <f t="shared" si="243"/>
        <v>Short</v>
      </c>
      <c r="BG135" s="51" t="str">
        <f t="shared" si="244"/>
        <v/>
      </c>
      <c r="BH135" s="51" t="str">
        <f t="shared" si="245"/>
        <v/>
      </c>
      <c r="BI135" s="51" t="str">
        <f t="shared" si="246"/>
        <v/>
      </c>
      <c r="BK135" s="65">
        <f t="shared" si="217"/>
        <v>-6.5474083843407457E-2</v>
      </c>
      <c r="BL135" s="65">
        <f t="shared" si="216"/>
        <v>0.14062010315067971</v>
      </c>
      <c r="BM135" s="65">
        <f>IFERROR(Q135/COUNTA($J$4:J135),#N/A)</f>
        <v>-2.1572534035077633E-2</v>
      </c>
      <c r="BO135" s="489" t="e">
        <f>IF(J135="",#N/A,IF(S135="SW",(COUNTIFS(K$4:$K135,"&gt;0",S$4:$S135,"SW")/COUNTIF(S$4:$S135,"SW")),#N/A))</f>
        <v>#N/A</v>
      </c>
      <c r="BP135" s="489">
        <f>IF($J135="",#N/A,IF($S135="DWN",(COUNTIFS($K$4:$K135,"&lt;0",$S$4:$S135,"DWN")/COUNTIF($S$4:$S135,"DWN")),#N/A))</f>
        <v>0.5490196078431373</v>
      </c>
      <c r="BQ135" s="489" t="e">
        <f>IF($J135="",#N/A,IF($S135="UP",(COUNTIFS($K$4:$K135,"&gt;0",$S$4:$S135,"UP")/COUNTIF($S$4:$S135,"UP")),#N/A))</f>
        <v>#N/A</v>
      </c>
      <c r="BR135" s="489">
        <f>IF(J135="",#N/A,COUNTIF($K$4:K135,"&gt;0")/COUNT($J$4:J135))</f>
        <v>0.46969696969696972</v>
      </c>
      <c r="BS135" s="65" t="str">
        <f t="shared" si="247"/>
        <v/>
      </c>
      <c r="BT135" s="65" t="str">
        <f t="shared" si="248"/>
        <v/>
      </c>
      <c r="BU135" s="65" t="str">
        <f t="shared" si="249"/>
        <v/>
      </c>
      <c r="BV135" s="65">
        <f t="shared" si="250"/>
        <v>-0.24580873507589798</v>
      </c>
      <c r="BW135" s="128" t="str">
        <f t="shared" si="251"/>
        <v/>
      </c>
      <c r="BX135" s="128">
        <f>IF($J135="",#N/A,SUM($BW$4:BW135))</f>
        <v>-181.36500000000035</v>
      </c>
      <c r="BY135" s="131">
        <f t="shared" si="252"/>
        <v>-14.139999999999986</v>
      </c>
      <c r="BZ135" s="131">
        <f>IF($J135="",#N/A,SUM($BY$4:BY135))</f>
        <v>-112.93565961066679</v>
      </c>
      <c r="CA135" s="133" t="str">
        <f t="shared" si="253"/>
        <v/>
      </c>
      <c r="CB135" s="133">
        <f>IF($J135="",#N/A,SUM($CA$4:CA135))</f>
        <v>-85.197976288720724</v>
      </c>
      <c r="CC135" s="194" t="str">
        <f t="shared" si="254"/>
        <v/>
      </c>
      <c r="CD135" s="194">
        <f>IF($J135="",#N/A,SUM($CC$4:CC135))</f>
        <v>-2.8466787313052277</v>
      </c>
      <c r="CE135" s="195">
        <f t="shared" si="255"/>
        <v>-0.24580873507589798</v>
      </c>
      <c r="CF135" s="195">
        <f>IF($J135="",#N/A,SUM($CE$4:CE135))</f>
        <v>-0.76685953842633015</v>
      </c>
      <c r="CG135" s="196" t="str">
        <f t="shared" si="256"/>
        <v/>
      </c>
      <c r="CH135" s="196">
        <f>IF($J135="",#N/A,SUM($CG$4:CG135))</f>
        <v>0.7659637771013148</v>
      </c>
      <c r="CI135" s="200" t="str">
        <f t="shared" si="257"/>
        <v/>
      </c>
      <c r="CJ135" s="203">
        <f>IF($J135="",#N/A,SUM(CI$4:CI135))</f>
        <v>0</v>
      </c>
      <c r="CK135" s="204" t="str">
        <f t="shared" si="258"/>
        <v/>
      </c>
      <c r="CL135" s="204">
        <f>IF($J135="",#N/A,SUM(CK$4:CK135))</f>
        <v>1.8934431343190481</v>
      </c>
      <c r="CM135" s="205" t="str">
        <f t="shared" si="259"/>
        <v/>
      </c>
      <c r="CN135" s="205">
        <f>IF($J135="",#N/A,SUM(CM$4:CM135))</f>
        <v>2.2555985727472319</v>
      </c>
      <c r="CO135" s="205">
        <f>IF($J135="",#N/A,SUM(CM$4:CM135,CK$4:CK135,CI$4:CI135))</f>
        <v>4.1490417070662797</v>
      </c>
      <c r="CP135" s="200" t="str">
        <f t="shared" si="260"/>
        <v/>
      </c>
      <c r="CQ135" s="203">
        <f>IF($J135="",#N/A,SUM(CP$4:CP135))</f>
        <v>0</v>
      </c>
      <c r="CR135" s="204" t="str">
        <f t="shared" si="261"/>
        <v/>
      </c>
      <c r="CS135" s="204">
        <f>IF($J135="",#N/A,SUM(CR$4:CR135))</f>
        <v>0</v>
      </c>
      <c r="CT135" s="205" t="str">
        <f t="shared" si="262"/>
        <v/>
      </c>
      <c r="CU135" s="205">
        <f>IF($J135="",#N/A,SUM(CT$4:CT135))</f>
        <v>0</v>
      </c>
      <c r="CV135" s="205">
        <f>IF($J135="",#N/A,SUM(CT$4:CT135,CR$4:CR135,CP$4:CP135))</f>
        <v>0</v>
      </c>
      <c r="CW135" s="200" t="str">
        <f t="shared" si="263"/>
        <v/>
      </c>
      <c r="CX135" s="203">
        <f>IF($J135="",#N/A,SUM(CW$4:CW135))</f>
        <v>0</v>
      </c>
      <c r="CY135" s="204" t="str">
        <f t="shared" si="264"/>
        <v/>
      </c>
      <c r="CZ135" s="204">
        <f>IF($J135="",#N/A,SUM(CY$4:CY135))</f>
        <v>-1.9289529100071134</v>
      </c>
      <c r="DA135" s="205" t="str">
        <f t="shared" si="265"/>
        <v/>
      </c>
      <c r="DB135" s="205">
        <f>IF($J135="",#N/A,SUM(DA$4:DA135))</f>
        <v>0.47237154912230012</v>
      </c>
      <c r="DC135" s="205">
        <f>IF($J135="",#N/A,SUM(DA$4:DA135,CY$4:CY135,CW$4:CW135))</f>
        <v>-1.4565813608848133</v>
      </c>
      <c r="DD135" s="200" t="str">
        <f t="shared" si="266"/>
        <v/>
      </c>
      <c r="DE135" s="203">
        <f>IF($J135="",#N/A,SUM(DD$4:DD135))</f>
        <v>0.4905246481018824</v>
      </c>
      <c r="DF135" s="204" t="str">
        <f t="shared" si="267"/>
        <v/>
      </c>
      <c r="DG135" s="204">
        <f>IF($J135="",#N/A,SUM(DF$4:DF135))</f>
        <v>0.77374072477919809</v>
      </c>
      <c r="DH135" s="205" t="str">
        <f t="shared" si="268"/>
        <v/>
      </c>
      <c r="DI135" s="205">
        <f>IF($J135="",#N/A,SUM(DH$4:DH135))</f>
        <v>-1.3154755601364099</v>
      </c>
      <c r="DJ135" s="205">
        <f>IF($J135="",#N/A,SUM(DH$4:DH135,DF$4:DF135,DD$4:DD135))</f>
        <v>-5.1210187255329387E-2</v>
      </c>
      <c r="DK135" s="200" t="str">
        <f t="shared" si="269"/>
        <v/>
      </c>
      <c r="DL135" s="203">
        <f>IF($J135="",#N/A,SUM(DK$4:DK135))</f>
        <v>-1.2097286851272664</v>
      </c>
      <c r="DM135" s="204" t="str">
        <f t="shared" si="270"/>
        <v/>
      </c>
      <c r="DN135" s="204">
        <f>IF($J135="",#N/A,SUM(DM$4:DM135))</f>
        <v>1.1910608267574658</v>
      </c>
      <c r="DO135" s="205" t="str">
        <f t="shared" si="271"/>
        <v/>
      </c>
      <c r="DP135" s="205">
        <f>IF($J135="",#N/A,SUM(DO$4:DO135))</f>
        <v>1.3495058802125319</v>
      </c>
      <c r="DQ135" s="205">
        <f>IF($J135="",#N/A,SUM(DO$4:DO135,DM$4:DM135,DK$4:DK135))</f>
        <v>1.3308380218427318</v>
      </c>
      <c r="DR135" s="200" t="str">
        <f t="shared" si="272"/>
        <v/>
      </c>
      <c r="DS135" s="203">
        <f>IF($J135="",#N/A,SUM(DR$4:DR135))</f>
        <v>-0.55950946427675097</v>
      </c>
      <c r="DT135" s="204">
        <f t="shared" si="273"/>
        <v>-0.24580873507589798</v>
      </c>
      <c r="DU135" s="204">
        <f>IF($J135="",#N/A,SUM(DT$4:DT135))</f>
        <v>-3.13334520229097</v>
      </c>
      <c r="DV135" s="205" t="str">
        <f t="shared" si="274"/>
        <v/>
      </c>
      <c r="DW135" s="205">
        <f>IF($J135="",#N/A,SUM(DV$4:DV135))</f>
        <v>-2.6814706788983136</v>
      </c>
      <c r="DX135" s="205">
        <f>IF($J135="",#N/A,SUM(DV$4:DV135,DT$4:DT135,DR$4:DR135))</f>
        <v>-6.3743253454660342</v>
      </c>
      <c r="DY135" s="200" t="str">
        <f t="shared" si="275"/>
        <v/>
      </c>
      <c r="DZ135" s="203">
        <f>IF($J135="",#N/A,SUM(DY$4:DY135))</f>
        <v>-1.63480022183437</v>
      </c>
      <c r="EA135" s="204" t="str">
        <f t="shared" si="276"/>
        <v/>
      </c>
      <c r="EB135" s="204">
        <f>IF($J135="",#N/A,SUM(EA$4:EA135))</f>
        <v>-0.36153038830642437</v>
      </c>
      <c r="EC135" s="205" t="str">
        <f t="shared" si="277"/>
        <v/>
      </c>
      <c r="ED135" s="205">
        <f>IF($J135="",#N/A,SUM(EC$4:EC135))</f>
        <v>1.7103671484331777</v>
      </c>
      <c r="EE135" s="205">
        <f>IF($J135="",#N/A,SUM(EC$4:EC135,EA$4:EA135,DY$4:DY135))</f>
        <v>-0.28596346170761661</v>
      </c>
      <c r="EF135" s="200" t="str">
        <f t="shared" si="278"/>
        <v/>
      </c>
      <c r="EG135" s="203">
        <f>IF($J135="",#N/A,SUM(EF$4:EF135))</f>
        <v>0</v>
      </c>
      <c r="EH135" s="204" t="str">
        <f t="shared" si="279"/>
        <v/>
      </c>
      <c r="EI135" s="204">
        <f>IF($J135="",#N/A,SUM(EH$4:EH135))</f>
        <v>-2.6174111635897193</v>
      </c>
      <c r="EJ135" s="205" t="str">
        <f t="shared" si="280"/>
        <v/>
      </c>
      <c r="EK135" s="205">
        <f>IF($J135="",#N/A,SUM(EJ$4:EJ135))</f>
        <v>1.7255127285193785</v>
      </c>
      <c r="EL135" s="205">
        <f>IF($J135="",#N/A,SUM(EJ$4:EJ135,EH$4:EH135,EF$4:EF135))</f>
        <v>-0.89189843507034017</v>
      </c>
      <c r="EM135" s="200" t="str">
        <f t="shared" si="281"/>
        <v/>
      </c>
      <c r="EN135" s="203">
        <f>IF($J135="",#N/A,SUM(EM$4:EM135))</f>
        <v>0</v>
      </c>
      <c r="EO135" s="204" t="str">
        <f t="shared" si="282"/>
        <v/>
      </c>
      <c r="EP135" s="204">
        <f>IF($J135="",#N/A,SUM(EO$4:EO135))</f>
        <v>1.6293103394057216</v>
      </c>
      <c r="EQ135" s="205" t="str">
        <f t="shared" si="283"/>
        <v/>
      </c>
      <c r="ER135" s="205">
        <f>IF($J135="",#N/A,SUM(EQ$4:EQ135))</f>
        <v>0.4926597949853756</v>
      </c>
      <c r="ES135" s="205">
        <f>IF($J135="",#N/A,SUM(EQ$4:EQ135,EO$4:EO135,EM$4:EM135))</f>
        <v>2.1219701343910971</v>
      </c>
      <c r="ET135" s="200" t="str">
        <f t="shared" si="284"/>
        <v/>
      </c>
      <c r="EU135" s="203">
        <f>IF($J135="",#N/A,SUM(ET$4:ET135))</f>
        <v>0</v>
      </c>
      <c r="EV135" s="204" t="str">
        <f t="shared" si="285"/>
        <v/>
      </c>
      <c r="EW135" s="204">
        <f>IF($J135="",#N/A,SUM(EV$4:EV135))</f>
        <v>0.90459527759708336</v>
      </c>
      <c r="EX135" s="205" t="str">
        <f t="shared" si="286"/>
        <v/>
      </c>
      <c r="EY135" s="205">
        <f>IF($J135="",#N/A,SUM(EX$4:EX135))</f>
        <v>0.22957553748493481</v>
      </c>
      <c r="EZ135" s="205">
        <f>IF($J135="",#N/A,SUM(EX$4:EX135,EV$4:EV135,ET$4:ET135))</f>
        <v>1.134170815082018</v>
      </c>
      <c r="FA135" s="200" t="str">
        <f t="shared" si="287"/>
        <v/>
      </c>
      <c r="FB135" s="203">
        <f>IF($J135="",#N/A,SUM(FA$4:FA135))</f>
        <v>0</v>
      </c>
      <c r="FC135" s="204" t="str">
        <f t="shared" si="288"/>
        <v/>
      </c>
      <c r="FD135" s="204">
        <f>IF($J135="",#N/A,SUM(FC$4:FC135))</f>
        <v>1.6839191319663924</v>
      </c>
      <c r="FE135" s="205" t="str">
        <f t="shared" si="289"/>
        <v/>
      </c>
      <c r="FF135" s="205">
        <f>IF($J135="",#N/A,SUM(FE$4:FE135))</f>
        <v>-0.28811149078748233</v>
      </c>
      <c r="FG135" s="205">
        <f>IF($J135="",#N/A,SUM(FE$4:FE135,FC$4:FC135,FA$4:FA135))</f>
        <v>1.3958076411789102</v>
      </c>
      <c r="FH135" s="200" t="str">
        <f t="shared" si="290"/>
        <v/>
      </c>
      <c r="FI135" s="203">
        <f>IF($J135="",#N/A,SUM(FH$4:FH135))</f>
        <v>0</v>
      </c>
      <c r="FJ135" s="204" t="str">
        <f t="shared" si="291"/>
        <v/>
      </c>
      <c r="FK135" s="204">
        <f>IF($J135="",#N/A,SUM(FJ$4:FJ135))</f>
        <v>0</v>
      </c>
      <c r="FL135" s="205" t="str">
        <f t="shared" si="292"/>
        <v/>
      </c>
      <c r="FM135" s="205">
        <f>IF($J135="",#N/A,SUM(FL$4:FL135))</f>
        <v>0</v>
      </c>
      <c r="FN135" s="205">
        <f>IF($J135="",#N/A,SUM(FL$4:FL135,FJ$4:FJ135,FH$4:FH135))</f>
        <v>0</v>
      </c>
      <c r="FO135" s="200" t="str">
        <f t="shared" si="293"/>
        <v/>
      </c>
      <c r="FP135" s="203">
        <f>IF($J135="",#N/A,SUM(FO$4:FO135))</f>
        <v>0</v>
      </c>
      <c r="FQ135" s="204" t="str">
        <f t="shared" si="294"/>
        <v/>
      </c>
      <c r="FR135" s="204">
        <f>IF($J135="",#N/A,SUM(FQ$4:FQ135))</f>
        <v>0</v>
      </c>
      <c r="FS135" s="205" t="str">
        <f t="shared" si="295"/>
        <v/>
      </c>
      <c r="FT135" s="205">
        <f>IF($J135="",#N/A,SUM(FS$4:FS135))</f>
        <v>0</v>
      </c>
      <c r="FU135" s="205">
        <f>IF($J135="",#N/A,SUM(FS$4:FS135,FQ$4:FQ135,FO$4:FO135))</f>
        <v>0</v>
      </c>
      <c r="FV135" s="200" t="str">
        <f t="shared" si="296"/>
        <v/>
      </c>
      <c r="FW135" s="203">
        <f>IF($J135="",#N/A,SUM(FV$4:FV135))</f>
        <v>6.6834991831277585E-2</v>
      </c>
      <c r="FX135" s="204" t="str">
        <f t="shared" si="297"/>
        <v/>
      </c>
      <c r="FY135" s="204">
        <f>IF($J135="",#N/A,SUM(FX$4:FX135))</f>
        <v>0</v>
      </c>
      <c r="FZ135" s="205" t="str">
        <f t="shared" si="298"/>
        <v/>
      </c>
      <c r="GA135" s="205">
        <f>IF($J135="",#N/A,SUM(FZ$4:FZ135))</f>
        <v>-0.24773347685909197</v>
      </c>
      <c r="GB135" s="205">
        <f>IF($J135="",#N/A,SUM(FZ$4:FZ135,FX$4:FX135,FV$4:FV135))</f>
        <v>-0.18089848502781439</v>
      </c>
      <c r="GC135" s="200" t="str">
        <f t="shared" si="299"/>
        <v/>
      </c>
      <c r="GD135" s="203">
        <f>IF($J135="",#N/A,SUM(GC$4:GC135))</f>
        <v>0</v>
      </c>
      <c r="GE135" s="204" t="str">
        <f t="shared" si="300"/>
        <v/>
      </c>
      <c r="GF135" s="204">
        <f>IF($J135="",#N/A,SUM(GE$4:GE135))</f>
        <v>0</v>
      </c>
      <c r="GG135" s="205" t="str">
        <f t="shared" si="301"/>
        <v/>
      </c>
      <c r="GH135" s="205">
        <f>IF($J135="",#N/A,SUM(GG$4:GG135))</f>
        <v>-2.9368362277223206</v>
      </c>
      <c r="GI135" s="205">
        <f>IF($J135="",#N/A,SUM(GG$4:GG135,GE$4:GE135,GC$4:GC135))</f>
        <v>-2.9368362277223206</v>
      </c>
      <c r="GJ135" s="200" t="str">
        <f t="shared" si="302"/>
        <v/>
      </c>
      <c r="GK135" s="203">
        <f>IF($J135="",#N/A,SUM(GJ$4:GJ135))</f>
        <v>0</v>
      </c>
      <c r="GL135" s="204" t="str">
        <f t="shared" si="303"/>
        <v/>
      </c>
      <c r="GM135" s="204">
        <f>IF($J135="",#N/A,SUM(GL$4:GL135))</f>
        <v>-0.80168930905701452</v>
      </c>
      <c r="GN135" s="205" t="str">
        <f t="shared" si="304"/>
        <v/>
      </c>
      <c r="GO135" s="205">
        <f>IF($J135="",#N/A,SUM(GN$4:GN135))</f>
        <v>0</v>
      </c>
      <c r="GP135" s="205">
        <f>IF($J135="",#N/A,SUM(GN$4:GN135,GL$4:GL135,GJ$4:GJ135))</f>
        <v>-0.80168930905701452</v>
      </c>
      <c r="GS135" s="54">
        <f t="shared" si="323"/>
        <v>-0.24580873507589798</v>
      </c>
      <c r="GT135" s="54">
        <f>IF(GS135="",NA(),SUM($GS$4:GS135))</f>
        <v>-3.3254253745230482</v>
      </c>
      <c r="GU135" s="54" t="str">
        <f t="shared" si="305"/>
        <v/>
      </c>
      <c r="GV135" s="54" t="e">
        <f>IF(GU135="",NA(),SUM($GU$4:GU135))</f>
        <v>#N/A</v>
      </c>
      <c r="GW135" s="54" t="str">
        <f t="shared" si="306"/>
        <v/>
      </c>
      <c r="GX135" s="54" t="e">
        <f>IF(GW135="",NA(),SUM($GW$4:GW135))</f>
        <v>#N/A</v>
      </c>
      <c r="GY135" s="54">
        <f t="shared" si="307"/>
        <v>-0.24580873507589798</v>
      </c>
      <c r="GZ135" s="54">
        <f>IF(GY135="",NA(),SUM($GY$4:GY135))</f>
        <v>-1.042721607391847</v>
      </c>
      <c r="HA135" s="54" t="str">
        <f t="shared" si="308"/>
        <v/>
      </c>
      <c r="HB135" s="54" t="e">
        <f>IF(HA135="",NA(),SUM($HA$4:HA135))</f>
        <v>#N/A</v>
      </c>
      <c r="HC135" s="54" t="str">
        <f t="shared" si="309"/>
        <v/>
      </c>
      <c r="HD135" s="54" t="e">
        <f>IF(HC135="",NA(),SUM($HC$4:HC135))</f>
        <v>#N/A</v>
      </c>
      <c r="HE135" s="54" t="str">
        <f t="shared" si="310"/>
        <v/>
      </c>
      <c r="HF135" s="54" t="e">
        <f>IF(HE135="",NA(),SUM($HE$4:HE135))</f>
        <v>#N/A</v>
      </c>
      <c r="HG135" s="54" t="str">
        <f t="shared" si="311"/>
        <v/>
      </c>
      <c r="HH135" s="54" t="e">
        <f>IF(HG135="",NA(),SUM($HG$4:HG135))</f>
        <v>#N/A</v>
      </c>
      <c r="HI135" s="172" t="str">
        <f t="shared" si="324"/>
        <v/>
      </c>
      <c r="HJ135" s="172">
        <f>IF($J135="",#N/A,SUM(HI$4:$HI135))</f>
        <v>-4.0501038851906657</v>
      </c>
      <c r="HK135" s="54">
        <f t="shared" si="312"/>
        <v>-0.1849649887699826</v>
      </c>
      <c r="HL135" s="54">
        <f>IF($J135="",#N/A,SUM($HK$4:HK135))</f>
        <v>-5.7654810054360146</v>
      </c>
      <c r="HM135" s="54" t="str">
        <f t="shared" si="313"/>
        <v/>
      </c>
      <c r="HN135" s="54">
        <f>IF($J135="",#N/A,SUM($HM$4:HM135))</f>
        <v>0.71812545963587882</v>
      </c>
      <c r="HO135" s="54" t="str">
        <f t="shared" si="314"/>
        <v/>
      </c>
      <c r="HP135" s="54">
        <f>IF($J135="",#N/A,SUM($HO$4:HO135))</f>
        <v>-0.6555551778566262</v>
      </c>
      <c r="HQ135" s="54" t="str">
        <f t="shared" si="315"/>
        <v/>
      </c>
      <c r="HR135" s="54">
        <f>IF($J135="",#N/A,SUM($HQ$4:HQ135))</f>
        <v>-7.3390769661523079</v>
      </c>
      <c r="HS135" s="54" t="str">
        <f t="shared" si="316"/>
        <v/>
      </c>
      <c r="HT135" s="54">
        <f>IF($J135="",#N/A,SUM($HS$4:HS135))</f>
        <v>8.2698807697164725</v>
      </c>
      <c r="HU135" s="65">
        <f t="shared" si="317"/>
        <v>-0.43077372384588059</v>
      </c>
      <c r="HV135" s="65">
        <f>IF($J135="",#N/A,SUM(HU$4:$HU135))</f>
        <v>-11.66978529791351</v>
      </c>
    </row>
    <row r="136" spans="1:230" x14ac:dyDescent="0.25">
      <c r="A136" s="51" t="s">
        <v>1388</v>
      </c>
      <c r="B136" s="52" t="s">
        <v>4540</v>
      </c>
      <c r="C136" s="229">
        <f t="shared" si="218"/>
        <v>3</v>
      </c>
      <c r="D136" s="219" t="str">
        <f>_xlfn.XLOOKUP(A136,[1]SP500!$A$2:$A$502,[1]SP500!$D$2:$D$502,"N")</f>
        <v>Y</v>
      </c>
      <c r="E136" s="51" t="str">
        <f>IFERROR(_xlfn.XLOOKUP(A136,[1]SP500!$A$2:$A$655,[1]SP500!$B$2:$B$655),"")</f>
        <v>XLY</v>
      </c>
      <c r="F136" s="290">
        <v>45776</v>
      </c>
      <c r="G136" s="51" t="str">
        <f t="shared" si="219"/>
        <v>BMO</v>
      </c>
      <c r="H136" s="51" t="str">
        <f t="shared" si="220"/>
        <v>s</v>
      </c>
      <c r="I136" s="343">
        <v>47.24</v>
      </c>
      <c r="J136" s="124">
        <v>45.91</v>
      </c>
      <c r="K136" s="55">
        <f t="shared" si="221"/>
        <v>-2.8154106689246516E-2</v>
      </c>
      <c r="L136" s="67">
        <f t="shared" si="222"/>
        <v>-26.600000000000136</v>
      </c>
      <c r="M136" s="57">
        <f t="shared" si="223"/>
        <v>-4.1999999999999318</v>
      </c>
      <c r="N136" s="155">
        <f t="shared" si="224"/>
        <v>-26.600000000000136</v>
      </c>
      <c r="O136" s="156">
        <f>IF(N136="",#N/A,SUM($N$4:N136))</f>
        <v>-406.098635899388</v>
      </c>
      <c r="P136" s="65">
        <f t="shared" si="318"/>
        <v>-0.4692351114874424</v>
      </c>
      <c r="Q136" s="172">
        <f>IF($N136="",#N/A,SUM($P$4:P136))</f>
        <v>-3.3168096041176898</v>
      </c>
      <c r="R136" s="279">
        <f t="shared" si="225"/>
        <v>5.5959843016099331</v>
      </c>
      <c r="S136" s="51" t="str">
        <f t="shared" si="226"/>
        <v>SW</v>
      </c>
      <c r="T136" s="51" t="s">
        <v>2828</v>
      </c>
      <c r="U136" s="56">
        <f t="shared" si="227"/>
        <v>47.24</v>
      </c>
      <c r="V136" s="56" t="s">
        <v>4460</v>
      </c>
      <c r="W136" s="142">
        <v>20</v>
      </c>
      <c r="X136" s="145">
        <f t="shared" si="228"/>
        <v>944.80000000000007</v>
      </c>
      <c r="Y136" s="140">
        <f t="shared" si="229"/>
        <v>20</v>
      </c>
      <c r="Z136" s="123">
        <v>45.7</v>
      </c>
      <c r="AA136" s="102">
        <f t="shared" si="230"/>
        <v>-30.800000000000068</v>
      </c>
      <c r="AB136" s="102">
        <f t="shared" si="231"/>
        <v>-6.0000000000001137</v>
      </c>
      <c r="AC136" s="124">
        <v>46.94</v>
      </c>
      <c r="AD136" s="155">
        <f t="shared" si="232"/>
        <v>-6.0000000000001137</v>
      </c>
      <c r="AE136" s="545">
        <f t="shared" si="233"/>
        <v>-0.10584250635055238</v>
      </c>
      <c r="AF136" s="57">
        <f>IF($AC136="",#N/A,SUM(AD$4:AD136))</f>
        <v>-833.88041200241696</v>
      </c>
      <c r="AG136" s="102">
        <f t="shared" si="234"/>
        <v>20.600000000000023</v>
      </c>
      <c r="AH136" s="57" t="s">
        <v>2507</v>
      </c>
      <c r="AI136" s="65">
        <f t="shared" si="235"/>
        <v>-0.54332486593282647</v>
      </c>
      <c r="AJ136" s="54">
        <f>IF(AI136="",#N/A,SUM($AI$4:AI136))</f>
        <v>-8.9127939057276233</v>
      </c>
      <c r="AK136" s="57">
        <f t="shared" si="236"/>
        <v>-30.800000000000068</v>
      </c>
      <c r="AL136" s="58">
        <f>IF(AI136="",#N/A,IF(AH136="Skip",SUM($AK$4:AK136),SUM($AK$4:AK136)))</f>
        <v>-765.2674085071867</v>
      </c>
      <c r="AM136" s="65">
        <f t="shared" si="319"/>
        <v>-0.10584250635055238</v>
      </c>
      <c r="AN136" s="209"/>
      <c r="AO136" s="65">
        <f t="shared" si="237"/>
        <v>-0.10584250635055238</v>
      </c>
      <c r="AP136" s="65">
        <f>IF($AC136="",#N/A,SUM(AO$4:AO136))</f>
        <v>1.5909250743149224</v>
      </c>
      <c r="AQ136" s="65" t="str">
        <f t="shared" si="238"/>
        <v/>
      </c>
      <c r="AR136" s="65">
        <f>IF($AC136="",#N/A,SUM(AQ$4:AQ136))</f>
        <v>-2.7841084495259749</v>
      </c>
      <c r="AS136" s="65" t="str">
        <f t="shared" si="239"/>
        <v/>
      </c>
      <c r="AT136" s="65">
        <f>IF($AC136="",#N/A,SUM(AS$4:AS136))</f>
        <v>-10.582444429053014</v>
      </c>
      <c r="AU136" s="57">
        <f t="shared" si="320"/>
        <v>-6.0000000000001137</v>
      </c>
      <c r="AV136" s="57">
        <f>IF($AC136="",#N/A,SUM(AU$4:AU136))</f>
        <v>18.921206451250555</v>
      </c>
      <c r="AW136" s="57" t="str">
        <f t="shared" si="321"/>
        <v/>
      </c>
      <c r="AX136" s="57">
        <f>IF($AC136="",#N/A,SUM(AW$4:AW136))</f>
        <v>-174.74000000000024</v>
      </c>
      <c r="AY136" s="57" t="str">
        <f t="shared" si="322"/>
        <v/>
      </c>
      <c r="AZ136" s="57">
        <f>IF($AC136="",#N/A,SUM(AY$4:AY136))</f>
        <v>-678.06161845366728</v>
      </c>
      <c r="BA136" s="57">
        <f>IF(AD136="",#N/A,SUM($AD$4:AD136))</f>
        <v>-833.88041200241696</v>
      </c>
      <c r="BC136" s="51" t="str">
        <f t="shared" si="240"/>
        <v/>
      </c>
      <c r="BD136" s="51" t="str">
        <f t="shared" si="241"/>
        <v/>
      </c>
      <c r="BE136" s="51" t="str">
        <f t="shared" si="242"/>
        <v/>
      </c>
      <c r="BF136" s="51" t="str">
        <f t="shared" si="243"/>
        <v>Long</v>
      </c>
      <c r="BG136" s="51" t="str">
        <f t="shared" si="244"/>
        <v/>
      </c>
      <c r="BH136" s="51" t="str">
        <f t="shared" si="245"/>
        <v/>
      </c>
      <c r="BI136" s="51">
        <f t="shared" si="246"/>
        <v>1</v>
      </c>
      <c r="BK136" s="65">
        <f t="shared" si="217"/>
        <v>-6.349514970951993E-2</v>
      </c>
      <c r="BL136" s="65">
        <f t="shared" si="216"/>
        <v>9.8605926700512991E-2</v>
      </c>
      <c r="BM136" s="65">
        <f>IFERROR(Q136/COUNTA($J$4:J136),#N/A)</f>
        <v>-2.4938418076072857E-2</v>
      </c>
      <c r="BO136" s="489">
        <f>IF(J136="",#N/A,IF(S136="SW",(COUNTIFS(K$4:$K136,"&gt;0",S$4:$S136,"SW")/COUNTIF(S$4:$S136,"SW")),#N/A))</f>
        <v>0.48</v>
      </c>
      <c r="BP136" s="489" t="e">
        <f>IF($J136="",#N/A,IF($S136="DWN",(COUNTIFS($K$4:$K136,"&lt;0",$S$4:$S136,"DWN")/COUNTIF($S$4:$S136,"DWN")),#N/A))</f>
        <v>#N/A</v>
      </c>
      <c r="BQ136" s="489" t="e">
        <f>IF($J136="",#N/A,IF($S136="UP",(COUNTIFS($K$4:$K136,"&gt;0",$S$4:$S136,"UP")/COUNTIF($S$4:$S136,"UP")),#N/A))</f>
        <v>#N/A</v>
      </c>
      <c r="BR136" s="489">
        <f>IF(J136="",#N/A,COUNTIF($K$4:K136,"&gt;0")/COUNT($J$4:J136))</f>
        <v>0.46616541353383456</v>
      </c>
      <c r="BS136" s="65" t="str">
        <f t="shared" si="247"/>
        <v/>
      </c>
      <c r="BT136" s="65">
        <f t="shared" si="248"/>
        <v>-0.4692351114874424</v>
      </c>
      <c r="BU136" s="65" t="str">
        <f t="shared" si="249"/>
        <v/>
      </c>
      <c r="BV136" s="65" t="str">
        <f t="shared" si="250"/>
        <v/>
      </c>
      <c r="BW136" s="151" t="str">
        <f t="shared" si="251"/>
        <v/>
      </c>
      <c r="BX136" s="151">
        <f>IF($J136="",#N/A,SUM($BW$4:BW136))</f>
        <v>-181.36500000000035</v>
      </c>
      <c r="BY136" s="152" t="str">
        <f t="shared" si="252"/>
        <v/>
      </c>
      <c r="BZ136" s="152">
        <f>IF($J136="",#N/A,SUM($BY$4:BY136))</f>
        <v>-112.93565961066679</v>
      </c>
      <c r="CA136" s="153">
        <f t="shared" si="253"/>
        <v>-26.600000000000136</v>
      </c>
      <c r="CB136" s="154">
        <f>IF($J136="",#N/A,SUM($CA$4:CA136))</f>
        <v>-111.79797628872086</v>
      </c>
      <c r="CC136" s="191" t="str">
        <f t="shared" si="254"/>
        <v/>
      </c>
      <c r="CD136" s="191">
        <f>IF($J136="",#N/A,SUM($CC$4:CC136))</f>
        <v>-2.8466787313052277</v>
      </c>
      <c r="CE136" s="192" t="str">
        <f t="shared" si="255"/>
        <v/>
      </c>
      <c r="CF136" s="192">
        <f>IF($J136="",#N/A,SUM($CE$4:CE136))</f>
        <v>-0.76685953842633015</v>
      </c>
      <c r="CG136" s="193">
        <f t="shared" si="256"/>
        <v>-0.4692351114874424</v>
      </c>
      <c r="CH136" s="193">
        <f>IF($J136="",#N/A,SUM($CG$4:CG136))</f>
        <v>0.2967286656138724</v>
      </c>
      <c r="CI136" s="200" t="str">
        <f t="shared" si="257"/>
        <v/>
      </c>
      <c r="CJ136" s="200">
        <f>IF($J136="",#N/A,SUM(CI$4:CI136))</f>
        <v>0</v>
      </c>
      <c r="CK136" s="201" t="str">
        <f t="shared" si="258"/>
        <v/>
      </c>
      <c r="CL136" s="201">
        <f>IF($J136="",#N/A,SUM(CK$4:CK136))</f>
        <v>1.8934431343190481</v>
      </c>
      <c r="CM136" s="202" t="str">
        <f t="shared" si="259"/>
        <v/>
      </c>
      <c r="CN136" s="202">
        <f>IF($J136="",#N/A,SUM(CM$4:CM136))</f>
        <v>2.2555985727472319</v>
      </c>
      <c r="CO136" s="202">
        <f>IF($J136="",#N/A,SUM(CM$4:CM136,CK$4:CK136,CI$4:CI136))</f>
        <v>4.1490417070662797</v>
      </c>
      <c r="CP136" s="200" t="str">
        <f t="shared" si="260"/>
        <v/>
      </c>
      <c r="CQ136" s="200">
        <f>IF($J136="",#N/A,SUM(CP$4:CP136))</f>
        <v>0</v>
      </c>
      <c r="CR136" s="201" t="str">
        <f t="shared" si="261"/>
        <v/>
      </c>
      <c r="CS136" s="201">
        <f>IF($J136="",#N/A,SUM(CR$4:CR136))</f>
        <v>0</v>
      </c>
      <c r="CT136" s="202" t="str">
        <f t="shared" si="262"/>
        <v/>
      </c>
      <c r="CU136" s="202">
        <f>IF($J136="",#N/A,SUM(CT$4:CT136))</f>
        <v>0</v>
      </c>
      <c r="CV136" s="202">
        <f>IF($J136="",#N/A,SUM(CT$4:CT136,CR$4:CR136,CP$4:CP136))</f>
        <v>0</v>
      </c>
      <c r="CW136" s="200" t="str">
        <f t="shared" si="263"/>
        <v/>
      </c>
      <c r="CX136" s="200">
        <f>IF($J136="",#N/A,SUM(CW$4:CW136))</f>
        <v>0</v>
      </c>
      <c r="CY136" s="201" t="str">
        <f t="shared" si="264"/>
        <v/>
      </c>
      <c r="CZ136" s="201">
        <f>IF($J136="",#N/A,SUM(CY$4:CY136))</f>
        <v>-1.9289529100071134</v>
      </c>
      <c r="DA136" s="202">
        <f t="shared" si="265"/>
        <v>-0.4692351114874424</v>
      </c>
      <c r="DB136" s="202">
        <f>IF($J136="",#N/A,SUM(DA$4:DA136))</f>
        <v>3.1364376348577139E-3</v>
      </c>
      <c r="DC136" s="202">
        <f>IF($J136="",#N/A,SUM(DA$4:DA136,CY$4:CY136,CW$4:CW136))</f>
        <v>-1.9258164723722557</v>
      </c>
      <c r="DD136" s="200" t="str">
        <f t="shared" si="266"/>
        <v/>
      </c>
      <c r="DE136" s="200">
        <f>IF($J136="",#N/A,SUM(DD$4:DD136))</f>
        <v>0.4905246481018824</v>
      </c>
      <c r="DF136" s="201" t="str">
        <f t="shared" si="267"/>
        <v/>
      </c>
      <c r="DG136" s="201">
        <f>IF($J136="",#N/A,SUM(DF$4:DF136))</f>
        <v>0.77374072477919809</v>
      </c>
      <c r="DH136" s="202" t="str">
        <f t="shared" si="268"/>
        <v/>
      </c>
      <c r="DI136" s="202">
        <f>IF($J136="",#N/A,SUM(DH$4:DH136))</f>
        <v>-1.3154755601364099</v>
      </c>
      <c r="DJ136" s="202">
        <f>IF($J136="",#N/A,SUM(DH$4:DH136,DF$4:DF136,DD$4:DD136))</f>
        <v>-5.1210187255329387E-2</v>
      </c>
      <c r="DK136" s="200" t="str">
        <f t="shared" si="269"/>
        <v/>
      </c>
      <c r="DL136" s="200">
        <f>IF($J136="",#N/A,SUM(DK$4:DK136))</f>
        <v>-1.2097286851272664</v>
      </c>
      <c r="DM136" s="201" t="str">
        <f t="shared" si="270"/>
        <v/>
      </c>
      <c r="DN136" s="201">
        <f>IF($J136="",#N/A,SUM(DM$4:DM136))</f>
        <v>1.1910608267574658</v>
      </c>
      <c r="DO136" s="202" t="str">
        <f t="shared" si="271"/>
        <v/>
      </c>
      <c r="DP136" s="202">
        <f>IF($J136="",#N/A,SUM(DO$4:DO136))</f>
        <v>1.3495058802125319</v>
      </c>
      <c r="DQ136" s="202">
        <f>IF($J136="",#N/A,SUM(DO$4:DO136,DM$4:DM136,DK$4:DK136))</f>
        <v>1.3308380218427318</v>
      </c>
      <c r="DR136" s="200" t="str">
        <f t="shared" si="272"/>
        <v/>
      </c>
      <c r="DS136" s="200">
        <f>IF($J136="",#N/A,SUM(DR$4:DR136))</f>
        <v>-0.55950946427675097</v>
      </c>
      <c r="DT136" s="201" t="str">
        <f t="shared" si="273"/>
        <v/>
      </c>
      <c r="DU136" s="201">
        <f>IF($J136="",#N/A,SUM(DT$4:DT136))</f>
        <v>-3.13334520229097</v>
      </c>
      <c r="DV136" s="202" t="str">
        <f t="shared" si="274"/>
        <v/>
      </c>
      <c r="DW136" s="202">
        <f>IF($J136="",#N/A,SUM(DV$4:DV136))</f>
        <v>-2.6814706788983136</v>
      </c>
      <c r="DX136" s="202">
        <f>IF($J136="",#N/A,SUM(DV$4:DV136,DT$4:DT136,DR$4:DR136))</f>
        <v>-6.3743253454660342</v>
      </c>
      <c r="DY136" s="200" t="str">
        <f t="shared" si="275"/>
        <v/>
      </c>
      <c r="DZ136" s="200">
        <f>IF($J136="",#N/A,SUM(DY$4:DY136))</f>
        <v>-1.63480022183437</v>
      </c>
      <c r="EA136" s="201" t="str">
        <f t="shared" si="276"/>
        <v/>
      </c>
      <c r="EB136" s="201">
        <f>IF($J136="",#N/A,SUM(EA$4:EA136))</f>
        <v>-0.36153038830642437</v>
      </c>
      <c r="EC136" s="202" t="str">
        <f t="shared" si="277"/>
        <v/>
      </c>
      <c r="ED136" s="202">
        <f>IF($J136="",#N/A,SUM(EC$4:EC136))</f>
        <v>1.7103671484331777</v>
      </c>
      <c r="EE136" s="202">
        <f>IF($J136="",#N/A,SUM(EC$4:EC136,EA$4:EA136,DY$4:DY136))</f>
        <v>-0.28596346170761661</v>
      </c>
      <c r="EF136" s="200" t="str">
        <f t="shared" si="278"/>
        <v/>
      </c>
      <c r="EG136" s="200">
        <f>IF($J136="",#N/A,SUM(EF$4:EF136))</f>
        <v>0</v>
      </c>
      <c r="EH136" s="201" t="str">
        <f t="shared" si="279"/>
        <v/>
      </c>
      <c r="EI136" s="201">
        <f>IF($J136="",#N/A,SUM(EH$4:EH136))</f>
        <v>-2.6174111635897193</v>
      </c>
      <c r="EJ136" s="202" t="str">
        <f t="shared" si="280"/>
        <v/>
      </c>
      <c r="EK136" s="202">
        <f>IF($J136="",#N/A,SUM(EJ$4:EJ136))</f>
        <v>1.7255127285193785</v>
      </c>
      <c r="EL136" s="202">
        <f>IF($J136="",#N/A,SUM(EJ$4:EJ136,EH$4:EH136,EF$4:EF136))</f>
        <v>-0.89189843507034017</v>
      </c>
      <c r="EM136" s="200" t="str">
        <f t="shared" si="281"/>
        <v/>
      </c>
      <c r="EN136" s="200">
        <f>IF($J136="",#N/A,SUM(EM$4:EM136))</f>
        <v>0</v>
      </c>
      <c r="EO136" s="201" t="str">
        <f t="shared" si="282"/>
        <v/>
      </c>
      <c r="EP136" s="201">
        <f>IF($J136="",#N/A,SUM(EO$4:EO136))</f>
        <v>1.6293103394057216</v>
      </c>
      <c r="EQ136" s="202" t="str">
        <f t="shared" si="283"/>
        <v/>
      </c>
      <c r="ER136" s="202">
        <f>IF($J136="",#N/A,SUM(EQ$4:EQ136))</f>
        <v>0.4926597949853756</v>
      </c>
      <c r="ES136" s="202">
        <f>IF($J136="",#N/A,SUM(EQ$4:EQ136,EO$4:EO136,EM$4:EM136))</f>
        <v>2.1219701343910971</v>
      </c>
      <c r="ET136" s="200" t="str">
        <f t="shared" si="284"/>
        <v/>
      </c>
      <c r="EU136" s="200">
        <f>IF($J136="",#N/A,SUM(ET$4:ET136))</f>
        <v>0</v>
      </c>
      <c r="EV136" s="201" t="str">
        <f t="shared" si="285"/>
        <v/>
      </c>
      <c r="EW136" s="201">
        <f>IF($J136="",#N/A,SUM(EV$4:EV136))</f>
        <v>0.90459527759708336</v>
      </c>
      <c r="EX136" s="202" t="str">
        <f t="shared" si="286"/>
        <v/>
      </c>
      <c r="EY136" s="202">
        <f>IF($J136="",#N/A,SUM(EX$4:EX136))</f>
        <v>0.22957553748493481</v>
      </c>
      <c r="EZ136" s="202">
        <f>IF($J136="",#N/A,SUM(EX$4:EX136,EV$4:EV136,ET$4:ET136))</f>
        <v>1.134170815082018</v>
      </c>
      <c r="FA136" s="200" t="str">
        <f t="shared" si="287"/>
        <v/>
      </c>
      <c r="FB136" s="200">
        <f>IF($J136="",#N/A,SUM(FA$4:FA136))</f>
        <v>0</v>
      </c>
      <c r="FC136" s="201" t="str">
        <f t="shared" si="288"/>
        <v/>
      </c>
      <c r="FD136" s="201">
        <f>IF($J136="",#N/A,SUM(FC$4:FC136))</f>
        <v>1.6839191319663924</v>
      </c>
      <c r="FE136" s="202" t="str">
        <f t="shared" si="289"/>
        <v/>
      </c>
      <c r="FF136" s="202">
        <f>IF($J136="",#N/A,SUM(FE$4:FE136))</f>
        <v>-0.28811149078748233</v>
      </c>
      <c r="FG136" s="202">
        <f>IF($J136="",#N/A,SUM(FE$4:FE136,FC$4:FC136,FA$4:FA136))</f>
        <v>1.3958076411789102</v>
      </c>
      <c r="FH136" s="200" t="str">
        <f t="shared" si="290"/>
        <v/>
      </c>
      <c r="FI136" s="200">
        <f>IF($J136="",#N/A,SUM(FH$4:FH136))</f>
        <v>0</v>
      </c>
      <c r="FJ136" s="201" t="str">
        <f t="shared" si="291"/>
        <v/>
      </c>
      <c r="FK136" s="201">
        <f>IF($J136="",#N/A,SUM(FJ$4:FJ136))</f>
        <v>0</v>
      </c>
      <c r="FL136" s="202" t="str">
        <f t="shared" si="292"/>
        <v/>
      </c>
      <c r="FM136" s="202">
        <f>IF($J136="",#N/A,SUM(FL$4:FL136))</f>
        <v>0</v>
      </c>
      <c r="FN136" s="202">
        <f>IF($J136="",#N/A,SUM(FL$4:FL136,FJ$4:FJ136,FH$4:FH136))</f>
        <v>0</v>
      </c>
      <c r="FO136" s="200" t="str">
        <f t="shared" si="293"/>
        <v/>
      </c>
      <c r="FP136" s="200">
        <f>IF($J136="",#N/A,SUM(FO$4:FO136))</f>
        <v>0</v>
      </c>
      <c r="FQ136" s="201" t="str">
        <f t="shared" si="294"/>
        <v/>
      </c>
      <c r="FR136" s="201">
        <f>IF($J136="",#N/A,SUM(FQ$4:FQ136))</f>
        <v>0</v>
      </c>
      <c r="FS136" s="202" t="str">
        <f t="shared" si="295"/>
        <v/>
      </c>
      <c r="FT136" s="202">
        <f>IF($J136="",#N/A,SUM(FS$4:FS136))</f>
        <v>0</v>
      </c>
      <c r="FU136" s="202">
        <f>IF($J136="",#N/A,SUM(FS$4:FS136,FQ$4:FQ136,FO$4:FO136))</f>
        <v>0</v>
      </c>
      <c r="FV136" s="200" t="str">
        <f t="shared" si="296"/>
        <v/>
      </c>
      <c r="FW136" s="200">
        <f>IF($J136="",#N/A,SUM(FV$4:FV136))</f>
        <v>6.6834991831277585E-2</v>
      </c>
      <c r="FX136" s="201" t="str">
        <f t="shared" si="297"/>
        <v/>
      </c>
      <c r="FY136" s="201">
        <f>IF($J136="",#N/A,SUM(FX$4:FX136))</f>
        <v>0</v>
      </c>
      <c r="FZ136" s="202" t="str">
        <f t="shared" si="298"/>
        <v/>
      </c>
      <c r="GA136" s="202">
        <f>IF($J136="",#N/A,SUM(FZ$4:FZ136))</f>
        <v>-0.24773347685909197</v>
      </c>
      <c r="GB136" s="202">
        <f>IF($J136="",#N/A,SUM(FZ$4:FZ136,FX$4:FX136,FV$4:FV136))</f>
        <v>-0.18089848502781439</v>
      </c>
      <c r="GC136" s="200" t="str">
        <f t="shared" si="299"/>
        <v/>
      </c>
      <c r="GD136" s="200">
        <f>IF($J136="",#N/A,SUM(GC$4:GC136))</f>
        <v>0</v>
      </c>
      <c r="GE136" s="201" t="str">
        <f t="shared" si="300"/>
        <v/>
      </c>
      <c r="GF136" s="201">
        <f>IF($J136="",#N/A,SUM(GE$4:GE136))</f>
        <v>0</v>
      </c>
      <c r="GG136" s="202" t="str">
        <f t="shared" si="301"/>
        <v/>
      </c>
      <c r="GH136" s="202">
        <f>IF($J136="",#N/A,SUM(GG$4:GG136))</f>
        <v>-2.9368362277223206</v>
      </c>
      <c r="GI136" s="202">
        <f>IF($J136="",#N/A,SUM(GG$4:GG136,GE$4:GE136,GC$4:GC136))</f>
        <v>-2.9368362277223206</v>
      </c>
      <c r="GJ136" s="200" t="str">
        <f t="shared" si="302"/>
        <v/>
      </c>
      <c r="GK136" s="200">
        <f>IF($J136="",#N/A,SUM(GJ$4:GJ136))</f>
        <v>0</v>
      </c>
      <c r="GL136" s="201" t="str">
        <f t="shared" si="303"/>
        <v/>
      </c>
      <c r="GM136" s="201">
        <f>IF($J136="",#N/A,SUM(GL$4:GL136))</f>
        <v>-0.80168930905701452</v>
      </c>
      <c r="GN136" s="202" t="str">
        <f t="shared" si="304"/>
        <v/>
      </c>
      <c r="GO136" s="202">
        <f>IF($J136="",#N/A,SUM(GN$4:GN136))</f>
        <v>0</v>
      </c>
      <c r="GP136" s="202">
        <f>IF($J136="",#N/A,SUM(GN$4:GN136,GL$4:GL136,GJ$4:GJ136))</f>
        <v>-0.80168930905701452</v>
      </c>
      <c r="GS136" s="54">
        <f t="shared" si="323"/>
        <v>-0.4692351114874424</v>
      </c>
      <c r="GT136" s="54">
        <f>IF(GS136="",NA(),SUM($GS$4:GS136))</f>
        <v>-3.7946604860104904</v>
      </c>
      <c r="GU136" s="54" t="str">
        <f t="shared" si="305"/>
        <v/>
      </c>
      <c r="GV136" s="54" t="e">
        <f>IF(GU136="",NA(),SUM($GU$4:GU136))</f>
        <v>#N/A</v>
      </c>
      <c r="GW136" s="54">
        <f t="shared" si="306"/>
        <v>-0.4692351114874424</v>
      </c>
      <c r="GX136" s="54">
        <f>IF(GW136="",NA(),SUM($GW$4:GW136))</f>
        <v>9.4739852686586856E-2</v>
      </c>
      <c r="GY136" s="54" t="str">
        <f t="shared" si="307"/>
        <v/>
      </c>
      <c r="GZ136" s="54" t="e">
        <f>IF(GY136="",NA(),SUM($GY$4:GY136))</f>
        <v>#N/A</v>
      </c>
      <c r="HA136" s="54" t="str">
        <f t="shared" si="308"/>
        <v/>
      </c>
      <c r="HB136" s="54" t="e">
        <f>IF(HA136="",NA(),SUM($HA$4:HA136))</f>
        <v>#N/A</v>
      </c>
      <c r="HC136" s="54" t="str">
        <f t="shared" si="309"/>
        <v/>
      </c>
      <c r="HD136" s="54" t="e">
        <f>IF(HC136="",NA(),SUM($HC$4:HC136))</f>
        <v>#N/A</v>
      </c>
      <c r="HE136" s="54" t="str">
        <f t="shared" si="310"/>
        <v/>
      </c>
      <c r="HF136" s="54" t="e">
        <f>IF(HE136="",NA(),SUM($HE$4:HE136))</f>
        <v>#N/A</v>
      </c>
      <c r="HG136" s="54" t="str">
        <f t="shared" si="311"/>
        <v/>
      </c>
      <c r="HH136" s="54" t="e">
        <f>IF(HG136="",NA(),SUM($HG$4:HG136))</f>
        <v>#N/A</v>
      </c>
      <c r="HI136" s="172" t="str">
        <f t="shared" si="324"/>
        <v/>
      </c>
      <c r="HJ136" s="172">
        <f>IF($J136="",#N/A,SUM(HI$4:$HI136))</f>
        <v>-4.0501038851906657</v>
      </c>
      <c r="HK136" s="54" t="str">
        <f t="shared" si="312"/>
        <v/>
      </c>
      <c r="HL136" s="54">
        <f>IF($J136="",#N/A,SUM($HK$4:HK136))</f>
        <v>-5.7654810054360146</v>
      </c>
      <c r="HM136" s="54" t="str">
        <f t="shared" si="313"/>
        <v/>
      </c>
      <c r="HN136" s="54">
        <f>IF($J136="",#N/A,SUM($HM$4:HM136))</f>
        <v>0.71812545963587882</v>
      </c>
      <c r="HO136" s="54" t="str">
        <f t="shared" si="314"/>
        <v/>
      </c>
      <c r="HP136" s="54">
        <f>IF($J136="",#N/A,SUM($HO$4:HO136))</f>
        <v>-0.6555551778566262</v>
      </c>
      <c r="HQ136" s="54" t="str">
        <f t="shared" si="315"/>
        <v/>
      </c>
      <c r="HR136" s="54">
        <f>IF($J136="",#N/A,SUM($HQ$4:HQ136))</f>
        <v>-7.3390769661523079</v>
      </c>
      <c r="HS136" s="54">
        <f t="shared" si="316"/>
        <v>0.36339260513689003</v>
      </c>
      <c r="HT136" s="54">
        <f>IF($J136="",#N/A,SUM($HS$4:HS136))</f>
        <v>8.6332733748533617</v>
      </c>
      <c r="HU136" s="65">
        <f t="shared" si="317"/>
        <v>-0.10584250635055238</v>
      </c>
      <c r="HV136" s="65">
        <f>IF($J136="",#N/A,SUM(HU$4:$HU136))</f>
        <v>-11.775627804264062</v>
      </c>
    </row>
    <row r="137" spans="1:230" x14ac:dyDescent="0.25">
      <c r="A137" s="51" t="s">
        <v>1393</v>
      </c>
      <c r="B137" s="52" t="s">
        <v>4540</v>
      </c>
      <c r="C137" s="229">
        <f t="shared" si="218"/>
        <v>2</v>
      </c>
      <c r="D137" s="219" t="str">
        <f>_xlfn.XLOOKUP(A137,[1]SP500!$A$2:$A$502,[1]SP500!$D$2:$D$502,"N")</f>
        <v>Y</v>
      </c>
      <c r="E137" s="51" t="str">
        <f>IFERROR(_xlfn.XLOOKUP(A137,[1]SP500!$A$2:$A$655,[1]SP500!$B$2:$B$655),"")</f>
        <v>XLI</v>
      </c>
      <c r="F137" s="290">
        <v>45776</v>
      </c>
      <c r="G137" s="51" t="str">
        <f t="shared" si="219"/>
        <v>BMO</v>
      </c>
      <c r="H137" s="51" t="str">
        <f t="shared" si="220"/>
        <v>s</v>
      </c>
      <c r="I137" s="343">
        <v>92.04</v>
      </c>
      <c r="J137" s="124">
        <v>86.66</v>
      </c>
      <c r="K137" s="55">
        <f t="shared" si="221"/>
        <v>-5.8452846588439911E-2</v>
      </c>
      <c r="L137" s="67">
        <f t="shared" si="222"/>
        <v>53.800000000000182</v>
      </c>
      <c r="M137" s="57">
        <f t="shared" si="223"/>
        <v>0</v>
      </c>
      <c r="N137" s="155">
        <f t="shared" si="224"/>
        <v>53.800000000000182</v>
      </c>
      <c r="O137" s="156">
        <f>IF(N137="",#N/A,SUM($N$4:N137))</f>
        <v>-352.29863589938782</v>
      </c>
      <c r="P137" s="65">
        <f t="shared" si="318"/>
        <v>0.97421410980733336</v>
      </c>
      <c r="Q137" s="172">
        <f>IF($N137="",#N/A,SUM($P$4:P137))</f>
        <v>-2.3425954943103564</v>
      </c>
      <c r="R137" s="279">
        <f t="shared" si="225"/>
        <v>5.595984301609934</v>
      </c>
      <c r="S137" s="51" t="str">
        <f t="shared" si="226"/>
        <v>Dwn</v>
      </c>
      <c r="T137" s="51" t="s">
        <v>4462</v>
      </c>
      <c r="U137" s="56">
        <f t="shared" si="227"/>
        <v>92.04</v>
      </c>
      <c r="V137" s="56" t="s">
        <v>4458</v>
      </c>
      <c r="W137" s="142">
        <v>10</v>
      </c>
      <c r="X137" s="145">
        <f t="shared" si="228"/>
        <v>920.40000000000009</v>
      </c>
      <c r="Y137" s="140">
        <f t="shared" si="229"/>
        <v>10</v>
      </c>
      <c r="Z137" s="123">
        <v>86.66</v>
      </c>
      <c r="AA137" s="102">
        <f t="shared" si="230"/>
        <v>53.800000000000182</v>
      </c>
      <c r="AB137" s="102">
        <f t="shared" si="231"/>
        <v>17.5</v>
      </c>
      <c r="AC137" s="124">
        <v>90.29</v>
      </c>
      <c r="AD137" s="155">
        <f t="shared" si="232"/>
        <v>17.5</v>
      </c>
      <c r="AE137" s="545">
        <f t="shared" si="233"/>
        <v>0.31689120672171517</v>
      </c>
      <c r="AF137" s="57">
        <f>IF($AC137="",#N/A,SUM(AD$4:AD137))</f>
        <v>-816.38041200241696</v>
      </c>
      <c r="AG137" s="102">
        <f t="shared" si="234"/>
        <v>-36.300000000000182</v>
      </c>
      <c r="AH137" s="57" t="s">
        <v>2507</v>
      </c>
      <c r="AI137" s="65">
        <f t="shared" si="235"/>
        <v>0.97421410980733336</v>
      </c>
      <c r="AJ137" s="54">
        <f>IF(AI137="",#N/A,SUM($AI$4:AI137))</f>
        <v>-7.9385797959202904</v>
      </c>
      <c r="AK137" s="57">
        <f t="shared" si="236"/>
        <v>53.800000000000182</v>
      </c>
      <c r="AL137" s="58">
        <f>IF(AI137="",#N/A,IF(AH137="Skip",SUM($AK$4:AK137),SUM($AK$4:AK137)))</f>
        <v>-711.46740850718652</v>
      </c>
      <c r="AM137" s="65">
        <f t="shared" si="319"/>
        <v>0.31689120672171517</v>
      </c>
      <c r="AN137" s="209"/>
      <c r="AO137" s="65" t="str">
        <f t="shared" si="237"/>
        <v/>
      </c>
      <c r="AP137" s="65">
        <f>IF($AC137="",#N/A,SUM(AO$4:AO137))</f>
        <v>1.5909250743149224</v>
      </c>
      <c r="AQ137" s="65" t="str">
        <f t="shared" si="238"/>
        <v/>
      </c>
      <c r="AR137" s="65">
        <f>IF($AC137="",#N/A,SUM(AQ$4:AQ137))</f>
        <v>-2.7841084495259749</v>
      </c>
      <c r="AS137" s="65">
        <f t="shared" si="239"/>
        <v>0.31689120672171517</v>
      </c>
      <c r="AT137" s="65">
        <f>IF($AC137="",#N/A,SUM(AS$4:AS137))</f>
        <v>-10.265553222331299</v>
      </c>
      <c r="AU137" s="57" t="str">
        <f t="shared" si="320"/>
        <v/>
      </c>
      <c r="AV137" s="57">
        <f>IF($AC137="",#N/A,SUM(AU$4:AU137))</f>
        <v>18.921206451250555</v>
      </c>
      <c r="AW137" s="57" t="str">
        <f t="shared" si="321"/>
        <v/>
      </c>
      <c r="AX137" s="57">
        <f>IF($AC137="",#N/A,SUM(AW$4:AW137))</f>
        <v>-174.74000000000024</v>
      </c>
      <c r="AY137" s="57">
        <f t="shared" si="322"/>
        <v>17.5</v>
      </c>
      <c r="AZ137" s="57">
        <f>IF($AC137="",#N/A,SUM(AY$4:AY137))</f>
        <v>-660.56161845366728</v>
      </c>
      <c r="BA137" s="57">
        <f>IF(AD137="",#N/A,SUM($AD$4:AD137))</f>
        <v>-816.38041200241696</v>
      </c>
      <c r="BC137" s="51" t="str">
        <f t="shared" si="240"/>
        <v/>
      </c>
      <c r="BD137" s="51" t="str">
        <f t="shared" si="241"/>
        <v/>
      </c>
      <c r="BE137" s="51" t="str">
        <f t="shared" si="242"/>
        <v/>
      </c>
      <c r="BF137" s="51" t="str">
        <f t="shared" si="243"/>
        <v>Short</v>
      </c>
      <c r="BG137" s="51">
        <f t="shared" si="244"/>
        <v>1</v>
      </c>
      <c r="BH137" s="51" t="str">
        <f t="shared" si="245"/>
        <v/>
      </c>
      <c r="BI137" s="51" t="str">
        <f t="shared" si="246"/>
        <v/>
      </c>
      <c r="BK137" s="65">
        <f t="shared" si="217"/>
        <v>-7.0693659012129647E-3</v>
      </c>
      <c r="BL137" s="65">
        <f t="shared" si="216"/>
        <v>0.1593675512278353</v>
      </c>
      <c r="BM137" s="65">
        <f>IFERROR(Q137/COUNTA($J$4:J137),#N/A)</f>
        <v>-1.7482055927689227E-2</v>
      </c>
      <c r="BO137" s="489" t="e">
        <f>IF(J137="",#N/A,IF(S137="SW",(COUNTIFS(K$4:$K137,"&gt;0",S$4:$S137,"SW")/COUNTIF(S$4:$S137,"SW")),#N/A))</f>
        <v>#N/A</v>
      </c>
      <c r="BP137" s="489">
        <f>IF($J137="",#N/A,IF($S137="DWN",(COUNTIFS($K$4:$K137,"&lt;0",$S$4:$S137,"DWN")/COUNTIF($S$4:$S137,"DWN")),#N/A))</f>
        <v>0.55769230769230771</v>
      </c>
      <c r="BQ137" s="489" t="e">
        <f>IF($J137="",#N/A,IF($S137="UP",(COUNTIFS($K$4:$K137,"&gt;0",$S$4:$S137,"UP")/COUNTIF($S$4:$S137,"UP")),#N/A))</f>
        <v>#N/A</v>
      </c>
      <c r="BR137" s="489">
        <f>IF(J137="",#N/A,COUNTIF($K$4:K137,"&gt;0")/COUNT($J$4:J137))</f>
        <v>0.46268656716417911</v>
      </c>
      <c r="BS137" s="65" t="str">
        <f t="shared" si="247"/>
        <v/>
      </c>
      <c r="BT137" s="65" t="str">
        <f t="shared" si="248"/>
        <v/>
      </c>
      <c r="BU137" s="65">
        <f t="shared" si="249"/>
        <v>0.97421410980733336</v>
      </c>
      <c r="BV137" s="65" t="str">
        <f t="shared" si="250"/>
        <v/>
      </c>
      <c r="BW137" s="151" t="str">
        <f t="shared" si="251"/>
        <v/>
      </c>
      <c r="BX137" s="151">
        <f>IF($J137="",#N/A,SUM($BW$4:BW137))</f>
        <v>-181.36500000000035</v>
      </c>
      <c r="BY137" s="152">
        <f t="shared" si="252"/>
        <v>53.800000000000182</v>
      </c>
      <c r="BZ137" s="152">
        <f>IF($J137="",#N/A,SUM($BY$4:BY137))</f>
        <v>-59.135659610666607</v>
      </c>
      <c r="CA137" s="153" t="str">
        <f t="shared" si="253"/>
        <v/>
      </c>
      <c r="CB137" s="154">
        <f>IF($J137="",#N/A,SUM($CA$4:CA137))</f>
        <v>-111.79797628872086</v>
      </c>
      <c r="CC137" s="191" t="str">
        <f t="shared" si="254"/>
        <v/>
      </c>
      <c r="CD137" s="191">
        <f>IF($J137="",#N/A,SUM($CC$4:CC137))</f>
        <v>-2.8466787313052277</v>
      </c>
      <c r="CE137" s="192">
        <f t="shared" si="255"/>
        <v>0.97421410980733336</v>
      </c>
      <c r="CF137" s="192">
        <f>IF($J137="",#N/A,SUM($CE$4:CE137))</f>
        <v>0.20735457138100322</v>
      </c>
      <c r="CG137" s="193" t="str">
        <f t="shared" si="256"/>
        <v/>
      </c>
      <c r="CH137" s="193">
        <f>IF($J137="",#N/A,SUM($CG$4:CG137))</f>
        <v>0.2967286656138724</v>
      </c>
      <c r="CI137" s="200" t="str">
        <f t="shared" si="257"/>
        <v/>
      </c>
      <c r="CJ137" s="200">
        <f>IF($J137="",#N/A,SUM(CI$4:CI137))</f>
        <v>0</v>
      </c>
      <c r="CK137" s="201" t="str">
        <f t="shared" si="258"/>
        <v/>
      </c>
      <c r="CL137" s="201">
        <f>IF($J137="",#N/A,SUM(CK$4:CK137))</f>
        <v>1.8934431343190481</v>
      </c>
      <c r="CM137" s="202" t="str">
        <f t="shared" si="259"/>
        <v/>
      </c>
      <c r="CN137" s="202">
        <f>IF($J137="",#N/A,SUM(CM$4:CM137))</f>
        <v>2.2555985727472319</v>
      </c>
      <c r="CO137" s="202">
        <f>IF($J137="",#N/A,SUM(CM$4:CM137,CK$4:CK137,CI$4:CI137))</f>
        <v>4.1490417070662797</v>
      </c>
      <c r="CP137" s="200" t="str">
        <f t="shared" si="260"/>
        <v/>
      </c>
      <c r="CQ137" s="200">
        <f>IF($J137="",#N/A,SUM(CP$4:CP137))</f>
        <v>0</v>
      </c>
      <c r="CR137" s="201" t="str">
        <f t="shared" si="261"/>
        <v/>
      </c>
      <c r="CS137" s="201">
        <f>IF($J137="",#N/A,SUM(CR$4:CR137))</f>
        <v>0</v>
      </c>
      <c r="CT137" s="202" t="str">
        <f t="shared" si="262"/>
        <v/>
      </c>
      <c r="CU137" s="202">
        <f>IF($J137="",#N/A,SUM(CT$4:CT137))</f>
        <v>0</v>
      </c>
      <c r="CV137" s="202">
        <f>IF($J137="",#N/A,SUM(CT$4:CT137,CR$4:CR137,CP$4:CP137))</f>
        <v>0</v>
      </c>
      <c r="CW137" s="200" t="str">
        <f t="shared" si="263"/>
        <v/>
      </c>
      <c r="CX137" s="200">
        <f>IF($J137="",#N/A,SUM(CW$4:CW137))</f>
        <v>0</v>
      </c>
      <c r="CY137" s="201" t="str">
        <f t="shared" si="264"/>
        <v/>
      </c>
      <c r="CZ137" s="201">
        <f>IF($J137="",#N/A,SUM(CY$4:CY137))</f>
        <v>-1.9289529100071134</v>
      </c>
      <c r="DA137" s="202" t="str">
        <f t="shared" si="265"/>
        <v/>
      </c>
      <c r="DB137" s="202">
        <f>IF($J137="",#N/A,SUM(DA$4:DA137))</f>
        <v>3.1364376348577139E-3</v>
      </c>
      <c r="DC137" s="202">
        <f>IF($J137="",#N/A,SUM(DA$4:DA137,CY$4:CY137,CW$4:CW137))</f>
        <v>-1.9258164723722557</v>
      </c>
      <c r="DD137" s="200" t="str">
        <f t="shared" si="266"/>
        <v/>
      </c>
      <c r="DE137" s="200">
        <f>IF($J137="",#N/A,SUM(DD$4:DD137))</f>
        <v>0.4905246481018824</v>
      </c>
      <c r="DF137" s="201" t="str">
        <f t="shared" si="267"/>
        <v/>
      </c>
      <c r="DG137" s="201">
        <f>IF($J137="",#N/A,SUM(DF$4:DF137))</f>
        <v>0.77374072477919809</v>
      </c>
      <c r="DH137" s="202" t="str">
        <f t="shared" si="268"/>
        <v/>
      </c>
      <c r="DI137" s="202">
        <f>IF($J137="",#N/A,SUM(DH$4:DH137))</f>
        <v>-1.3154755601364099</v>
      </c>
      <c r="DJ137" s="202">
        <f>IF($J137="",#N/A,SUM(DH$4:DH137,DF$4:DF137,DD$4:DD137))</f>
        <v>-5.1210187255329387E-2</v>
      </c>
      <c r="DK137" s="200" t="str">
        <f t="shared" si="269"/>
        <v/>
      </c>
      <c r="DL137" s="200">
        <f>IF($J137="",#N/A,SUM(DK$4:DK137))</f>
        <v>-1.2097286851272664</v>
      </c>
      <c r="DM137" s="201" t="str">
        <f t="shared" si="270"/>
        <v/>
      </c>
      <c r="DN137" s="201">
        <f>IF($J137="",#N/A,SUM(DM$4:DM137))</f>
        <v>1.1910608267574658</v>
      </c>
      <c r="DO137" s="202" t="str">
        <f t="shared" si="271"/>
        <v/>
      </c>
      <c r="DP137" s="202">
        <f>IF($J137="",#N/A,SUM(DO$4:DO137))</f>
        <v>1.3495058802125319</v>
      </c>
      <c r="DQ137" s="202">
        <f>IF($J137="",#N/A,SUM(DO$4:DO137,DM$4:DM137,DK$4:DK137))</f>
        <v>1.3308380218427318</v>
      </c>
      <c r="DR137" s="200" t="str">
        <f t="shared" si="272"/>
        <v/>
      </c>
      <c r="DS137" s="200">
        <f>IF($J137="",#N/A,SUM(DR$4:DR137))</f>
        <v>-0.55950946427675097</v>
      </c>
      <c r="DT137" s="201" t="str">
        <f t="shared" si="273"/>
        <v/>
      </c>
      <c r="DU137" s="201">
        <f>IF($J137="",#N/A,SUM(DT$4:DT137))</f>
        <v>-3.13334520229097</v>
      </c>
      <c r="DV137" s="202" t="str">
        <f t="shared" si="274"/>
        <v/>
      </c>
      <c r="DW137" s="202">
        <f>IF($J137="",#N/A,SUM(DV$4:DV137))</f>
        <v>-2.6814706788983136</v>
      </c>
      <c r="DX137" s="202">
        <f>IF($J137="",#N/A,SUM(DV$4:DV137,DT$4:DT137,DR$4:DR137))</f>
        <v>-6.3743253454660342</v>
      </c>
      <c r="DY137" s="200" t="str">
        <f t="shared" si="275"/>
        <v/>
      </c>
      <c r="DZ137" s="200">
        <f>IF($J137="",#N/A,SUM(DY$4:DY137))</f>
        <v>-1.63480022183437</v>
      </c>
      <c r="EA137" s="201">
        <f t="shared" si="276"/>
        <v>0.97421410980733336</v>
      </c>
      <c r="EB137" s="201">
        <f>IF($J137="",#N/A,SUM(EA$4:EA137))</f>
        <v>0.612683721500909</v>
      </c>
      <c r="EC137" s="202" t="str">
        <f t="shared" si="277"/>
        <v/>
      </c>
      <c r="ED137" s="202">
        <f>IF($J137="",#N/A,SUM(EC$4:EC137))</f>
        <v>1.7103671484331777</v>
      </c>
      <c r="EE137" s="202">
        <f>IF($J137="",#N/A,SUM(EC$4:EC137,EA$4:EA137,DY$4:DY137))</f>
        <v>0.68825064809971681</v>
      </c>
      <c r="EF137" s="200" t="str">
        <f t="shared" si="278"/>
        <v/>
      </c>
      <c r="EG137" s="200">
        <f>IF($J137="",#N/A,SUM(EF$4:EF137))</f>
        <v>0</v>
      </c>
      <c r="EH137" s="201" t="str">
        <f t="shared" si="279"/>
        <v/>
      </c>
      <c r="EI137" s="201">
        <f>IF($J137="",#N/A,SUM(EH$4:EH137))</f>
        <v>-2.6174111635897193</v>
      </c>
      <c r="EJ137" s="202" t="str">
        <f t="shared" si="280"/>
        <v/>
      </c>
      <c r="EK137" s="202">
        <f>IF($J137="",#N/A,SUM(EJ$4:EJ137))</f>
        <v>1.7255127285193785</v>
      </c>
      <c r="EL137" s="202">
        <f>IF($J137="",#N/A,SUM(EJ$4:EJ137,EH$4:EH137,EF$4:EF137))</f>
        <v>-0.89189843507034017</v>
      </c>
      <c r="EM137" s="200" t="str">
        <f t="shared" si="281"/>
        <v/>
      </c>
      <c r="EN137" s="200">
        <f>IF($J137="",#N/A,SUM(EM$4:EM137))</f>
        <v>0</v>
      </c>
      <c r="EO137" s="201" t="str">
        <f t="shared" si="282"/>
        <v/>
      </c>
      <c r="EP137" s="201">
        <f>IF($J137="",#N/A,SUM(EO$4:EO137))</f>
        <v>1.6293103394057216</v>
      </c>
      <c r="EQ137" s="202" t="str">
        <f t="shared" si="283"/>
        <v/>
      </c>
      <c r="ER137" s="202">
        <f>IF($J137="",#N/A,SUM(EQ$4:EQ137))</f>
        <v>0.4926597949853756</v>
      </c>
      <c r="ES137" s="202">
        <f>IF($J137="",#N/A,SUM(EQ$4:EQ137,EO$4:EO137,EM$4:EM137))</f>
        <v>2.1219701343910971</v>
      </c>
      <c r="ET137" s="200" t="str">
        <f t="shared" si="284"/>
        <v/>
      </c>
      <c r="EU137" s="200">
        <f>IF($J137="",#N/A,SUM(ET$4:ET137))</f>
        <v>0</v>
      </c>
      <c r="EV137" s="201" t="str">
        <f t="shared" si="285"/>
        <v/>
      </c>
      <c r="EW137" s="201">
        <f>IF($J137="",#N/A,SUM(EV$4:EV137))</f>
        <v>0.90459527759708336</v>
      </c>
      <c r="EX137" s="202" t="str">
        <f t="shared" si="286"/>
        <v/>
      </c>
      <c r="EY137" s="202">
        <f>IF($J137="",#N/A,SUM(EX$4:EX137))</f>
        <v>0.22957553748493481</v>
      </c>
      <c r="EZ137" s="202">
        <f>IF($J137="",#N/A,SUM(EX$4:EX137,EV$4:EV137,ET$4:ET137))</f>
        <v>1.134170815082018</v>
      </c>
      <c r="FA137" s="200" t="str">
        <f t="shared" si="287"/>
        <v/>
      </c>
      <c r="FB137" s="200">
        <f>IF($J137="",#N/A,SUM(FA$4:FA137))</f>
        <v>0</v>
      </c>
      <c r="FC137" s="201" t="str">
        <f t="shared" si="288"/>
        <v/>
      </c>
      <c r="FD137" s="201">
        <f>IF($J137="",#N/A,SUM(FC$4:FC137))</f>
        <v>1.6839191319663924</v>
      </c>
      <c r="FE137" s="202" t="str">
        <f t="shared" si="289"/>
        <v/>
      </c>
      <c r="FF137" s="202">
        <f>IF($J137="",#N/A,SUM(FE$4:FE137))</f>
        <v>-0.28811149078748233</v>
      </c>
      <c r="FG137" s="202">
        <f>IF($J137="",#N/A,SUM(FE$4:FE137,FC$4:FC137,FA$4:FA137))</f>
        <v>1.3958076411789102</v>
      </c>
      <c r="FH137" s="200" t="str">
        <f t="shared" si="290"/>
        <v/>
      </c>
      <c r="FI137" s="200">
        <f>IF($J137="",#N/A,SUM(FH$4:FH137))</f>
        <v>0</v>
      </c>
      <c r="FJ137" s="201" t="str">
        <f t="shared" si="291"/>
        <v/>
      </c>
      <c r="FK137" s="201">
        <f>IF($J137="",#N/A,SUM(FJ$4:FJ137))</f>
        <v>0</v>
      </c>
      <c r="FL137" s="202" t="str">
        <f t="shared" si="292"/>
        <v/>
      </c>
      <c r="FM137" s="202">
        <f>IF($J137="",#N/A,SUM(FL$4:FL137))</f>
        <v>0</v>
      </c>
      <c r="FN137" s="202">
        <f>IF($J137="",#N/A,SUM(FL$4:FL137,FJ$4:FJ137,FH$4:FH137))</f>
        <v>0</v>
      </c>
      <c r="FO137" s="200" t="str">
        <f t="shared" si="293"/>
        <v/>
      </c>
      <c r="FP137" s="200">
        <f>IF($J137="",#N/A,SUM(FO$4:FO137))</f>
        <v>0</v>
      </c>
      <c r="FQ137" s="201" t="str">
        <f t="shared" si="294"/>
        <v/>
      </c>
      <c r="FR137" s="201">
        <f>IF($J137="",#N/A,SUM(FQ$4:FQ137))</f>
        <v>0</v>
      </c>
      <c r="FS137" s="202" t="str">
        <f t="shared" si="295"/>
        <v/>
      </c>
      <c r="FT137" s="202">
        <f>IF($J137="",#N/A,SUM(FS$4:FS137))</f>
        <v>0</v>
      </c>
      <c r="FU137" s="202">
        <f>IF($J137="",#N/A,SUM(FS$4:FS137,FQ$4:FQ137,FO$4:FO137))</f>
        <v>0</v>
      </c>
      <c r="FV137" s="200" t="str">
        <f t="shared" si="296"/>
        <v/>
      </c>
      <c r="FW137" s="200">
        <f>IF($J137="",#N/A,SUM(FV$4:FV137))</f>
        <v>6.6834991831277585E-2</v>
      </c>
      <c r="FX137" s="201" t="str">
        <f t="shared" si="297"/>
        <v/>
      </c>
      <c r="FY137" s="201">
        <f>IF($J137="",#N/A,SUM(FX$4:FX137))</f>
        <v>0</v>
      </c>
      <c r="FZ137" s="202" t="str">
        <f t="shared" si="298"/>
        <v/>
      </c>
      <c r="GA137" s="202">
        <f>IF($J137="",#N/A,SUM(FZ$4:FZ137))</f>
        <v>-0.24773347685909197</v>
      </c>
      <c r="GB137" s="202">
        <f>IF($J137="",#N/A,SUM(FZ$4:FZ137,FX$4:FX137,FV$4:FV137))</f>
        <v>-0.18089848502781439</v>
      </c>
      <c r="GC137" s="200" t="str">
        <f t="shared" si="299"/>
        <v/>
      </c>
      <c r="GD137" s="200">
        <f>IF($J137="",#N/A,SUM(GC$4:GC137))</f>
        <v>0</v>
      </c>
      <c r="GE137" s="201" t="str">
        <f t="shared" si="300"/>
        <v/>
      </c>
      <c r="GF137" s="201">
        <f>IF($J137="",#N/A,SUM(GE$4:GE137))</f>
        <v>0</v>
      </c>
      <c r="GG137" s="202" t="str">
        <f t="shared" si="301"/>
        <v/>
      </c>
      <c r="GH137" s="202">
        <f>IF($J137="",#N/A,SUM(GG$4:GG137))</f>
        <v>-2.9368362277223206</v>
      </c>
      <c r="GI137" s="202">
        <f>IF($J137="",#N/A,SUM(GG$4:GG137,GE$4:GE137,GC$4:GC137))</f>
        <v>-2.9368362277223206</v>
      </c>
      <c r="GJ137" s="200" t="str">
        <f t="shared" si="302"/>
        <v/>
      </c>
      <c r="GK137" s="200">
        <f>IF($J137="",#N/A,SUM(GJ$4:GJ137))</f>
        <v>0</v>
      </c>
      <c r="GL137" s="201" t="str">
        <f t="shared" si="303"/>
        <v/>
      </c>
      <c r="GM137" s="201">
        <f>IF($J137="",#N/A,SUM(GL$4:GL137))</f>
        <v>-0.80168930905701452</v>
      </c>
      <c r="GN137" s="202" t="str">
        <f t="shared" si="304"/>
        <v/>
      </c>
      <c r="GO137" s="202">
        <f>IF($J137="",#N/A,SUM(GN$4:GN137))</f>
        <v>0</v>
      </c>
      <c r="GP137" s="202">
        <f>IF($J137="",#N/A,SUM(GN$4:GN137,GL$4:GL137,GJ$4:GJ137))</f>
        <v>-0.80168930905701452</v>
      </c>
      <c r="GS137" s="54">
        <f t="shared" si="323"/>
        <v>0.97421410980733336</v>
      </c>
      <c r="GT137" s="54">
        <f>IF(GS137="",NA(),SUM($GS$4:GS137))</f>
        <v>-2.8204463762031571</v>
      </c>
      <c r="GU137" s="54" t="str">
        <f t="shared" si="305"/>
        <v/>
      </c>
      <c r="GV137" s="54" t="e">
        <f>IF(GU137="",NA(),SUM($GU$4:GU137))</f>
        <v>#N/A</v>
      </c>
      <c r="GW137" s="54" t="str">
        <f t="shared" si="306"/>
        <v/>
      </c>
      <c r="GX137" s="54" t="e">
        <f>IF(GW137="",NA(),SUM($GW$4:GW137))</f>
        <v>#N/A</v>
      </c>
      <c r="GY137" s="54">
        <f t="shared" si="307"/>
        <v>0.97421410980733336</v>
      </c>
      <c r="GZ137" s="54">
        <f>IF(GY137="",NA(),SUM($GY$4:GY137))</f>
        <v>-6.8507497584513688E-2</v>
      </c>
      <c r="HA137" s="54" t="str">
        <f t="shared" si="308"/>
        <v/>
      </c>
      <c r="HB137" s="54" t="e">
        <f>IF(HA137="",NA(),SUM($HA$4:HA137))</f>
        <v>#N/A</v>
      </c>
      <c r="HC137" s="54" t="str">
        <f t="shared" si="309"/>
        <v/>
      </c>
      <c r="HD137" s="54" t="e">
        <f>IF(HC137="",NA(),SUM($HC$4:HC137))</f>
        <v>#N/A</v>
      </c>
      <c r="HE137" s="54" t="str">
        <f t="shared" si="310"/>
        <v/>
      </c>
      <c r="HF137" s="54" t="e">
        <f>IF(HE137="",NA(),SUM($HE$4:HE137))</f>
        <v>#N/A</v>
      </c>
      <c r="HG137" s="54" t="str">
        <f t="shared" si="311"/>
        <v/>
      </c>
      <c r="HH137" s="54" t="e">
        <f>IF(HG137="",NA(),SUM($HG$4:HG137))</f>
        <v>#N/A</v>
      </c>
      <c r="HI137" s="172">
        <f t="shared" si="324"/>
        <v>-0.65732290308561825</v>
      </c>
      <c r="HJ137" s="172">
        <f>IF($J137="",#N/A,SUM(HI$4:$HI137))</f>
        <v>-4.7074267882762841</v>
      </c>
      <c r="HK137" s="54" t="str">
        <f t="shared" si="312"/>
        <v/>
      </c>
      <c r="HL137" s="54">
        <f>IF($J137="",#N/A,SUM($HK$4:HK137))</f>
        <v>-5.7654810054360146</v>
      </c>
      <c r="HM137" s="54" t="str">
        <f t="shared" si="313"/>
        <v/>
      </c>
      <c r="HN137" s="54">
        <f>IF($J137="",#N/A,SUM($HM$4:HM137))</f>
        <v>0.71812545963587882</v>
      </c>
      <c r="HO137" s="54" t="str">
        <f t="shared" si="314"/>
        <v/>
      </c>
      <c r="HP137" s="54">
        <f>IF($J137="",#N/A,SUM($HO$4:HO137))</f>
        <v>-0.6555551778566262</v>
      </c>
      <c r="HQ137" s="54" t="str">
        <f t="shared" si="315"/>
        <v/>
      </c>
      <c r="HR137" s="54">
        <f>IF($J137="",#N/A,SUM($HQ$4:HQ137))</f>
        <v>-7.3390769661523079</v>
      </c>
      <c r="HS137" s="54" t="str">
        <f t="shared" si="316"/>
        <v/>
      </c>
      <c r="HT137" s="54">
        <f>IF($J137="",#N/A,SUM($HS$4:HS137))</f>
        <v>8.6332733748533617</v>
      </c>
      <c r="HU137" s="65">
        <f t="shared" si="317"/>
        <v>0.31689120672171517</v>
      </c>
      <c r="HV137" s="65">
        <f>IF($J137="",#N/A,SUM(HU$4:$HU137))</f>
        <v>-11.458736597542346</v>
      </c>
    </row>
    <row r="138" spans="1:230" x14ac:dyDescent="0.25">
      <c r="A138" s="51" t="s">
        <v>1439</v>
      </c>
      <c r="B138" s="52" t="s">
        <v>4540</v>
      </c>
      <c r="C138" s="229">
        <f t="shared" si="218"/>
        <v>2</v>
      </c>
      <c r="D138" s="219" t="str">
        <f>_xlfn.XLOOKUP(A138,[1]SP500!$A$2:$A$502,[1]SP500!$D$2:$D$502,"N")</f>
        <v>Y</v>
      </c>
      <c r="E138" s="51" t="str">
        <f>IFERROR(_xlfn.XLOOKUP(A138,[1]SP500!$A$2:$A$655,[1]SP500!$B$2:$B$655),"")</f>
        <v>XLP</v>
      </c>
      <c r="F138" s="290">
        <v>45776</v>
      </c>
      <c r="G138" s="51" t="str">
        <f t="shared" si="219"/>
        <v>BMO</v>
      </c>
      <c r="H138" s="51" t="str">
        <f t="shared" si="220"/>
        <v>s</v>
      </c>
      <c r="I138" s="343">
        <v>70.42</v>
      </c>
      <c r="J138" s="124">
        <v>68.36</v>
      </c>
      <c r="K138" s="55">
        <f t="shared" si="221"/>
        <v>-2.9253053109911987E-2</v>
      </c>
      <c r="L138" s="67">
        <f t="shared" si="222"/>
        <v>28.840000000000032</v>
      </c>
      <c r="M138" s="57">
        <f t="shared" si="223"/>
        <v>0</v>
      </c>
      <c r="N138" s="155">
        <f t="shared" si="224"/>
        <v>28.840000000000032</v>
      </c>
      <c r="O138" s="156">
        <f>IF(N138="",#N/A,SUM($N$4:N138))</f>
        <v>-323.45863589938779</v>
      </c>
      <c r="P138" s="65">
        <f t="shared" si="318"/>
        <v>0.48755088516519984</v>
      </c>
      <c r="Q138" s="172">
        <f>IF($N138="",#N/A,SUM($P$4:P138))</f>
        <v>-1.8550446091451565</v>
      </c>
      <c r="R138" s="279">
        <f t="shared" si="225"/>
        <v>5.5959843016099349</v>
      </c>
      <c r="S138" s="51" t="str">
        <f t="shared" si="226"/>
        <v>Dwn</v>
      </c>
      <c r="T138" s="51" t="s">
        <v>4462</v>
      </c>
      <c r="U138" s="56">
        <f t="shared" si="227"/>
        <v>70.42</v>
      </c>
      <c r="V138" s="56" t="s">
        <v>4458</v>
      </c>
      <c r="W138" s="142">
        <v>14</v>
      </c>
      <c r="X138" s="145">
        <f t="shared" si="228"/>
        <v>985.88</v>
      </c>
      <c r="Y138" s="140">
        <f t="shared" si="229"/>
        <v>14</v>
      </c>
      <c r="Z138" s="123">
        <v>68.36</v>
      </c>
      <c r="AA138" s="102">
        <f t="shared" si="230"/>
        <v>28.840000000000032</v>
      </c>
      <c r="AB138" s="102">
        <f t="shared" si="231"/>
        <v>2.5200000000000955</v>
      </c>
      <c r="AC138" s="124">
        <v>70.239999999999995</v>
      </c>
      <c r="AD138" s="155">
        <f t="shared" si="232"/>
        <v>2.5200000000000955</v>
      </c>
      <c r="AE138" s="545">
        <f t="shared" si="233"/>
        <v>4.26015336552132E-2</v>
      </c>
      <c r="AF138" s="57">
        <f>IF($AC138="",#N/A,SUM(AD$4:AD138))</f>
        <v>-813.86041200241687</v>
      </c>
      <c r="AG138" s="102">
        <f t="shared" si="234"/>
        <v>-26.319999999999936</v>
      </c>
      <c r="AH138" s="57" t="s">
        <v>2507</v>
      </c>
      <c r="AI138" s="65">
        <f t="shared" si="235"/>
        <v>0.48755088516519984</v>
      </c>
      <c r="AJ138" s="54">
        <f>IF(AI138="",#N/A,SUM($AI$4:AI138))</f>
        <v>-7.4510289107550909</v>
      </c>
      <c r="AK138" s="57">
        <f t="shared" si="236"/>
        <v>28.840000000000032</v>
      </c>
      <c r="AL138" s="58">
        <f>IF(AI138="",#N/A,IF(AH138="Skip",SUM($AK$4:AK138),SUM($AK$4:AK138)))</f>
        <v>-682.62740850718649</v>
      </c>
      <c r="AM138" s="65">
        <f t="shared" si="319"/>
        <v>4.26015336552132E-2</v>
      </c>
      <c r="AN138" s="209"/>
      <c r="AO138" s="65" t="str">
        <f t="shared" si="237"/>
        <v/>
      </c>
      <c r="AP138" s="65">
        <f>IF($AC138="",#N/A,SUM(AO$4:AO138))</f>
        <v>1.5909250743149224</v>
      </c>
      <c r="AQ138" s="65" t="str">
        <f t="shared" si="238"/>
        <v/>
      </c>
      <c r="AR138" s="65">
        <f>IF($AC138="",#N/A,SUM(AQ$4:AQ138))</f>
        <v>-2.7841084495259749</v>
      </c>
      <c r="AS138" s="65">
        <f t="shared" si="239"/>
        <v>4.26015336552132E-2</v>
      </c>
      <c r="AT138" s="65">
        <f>IF($AC138="",#N/A,SUM(AS$4:AS138))</f>
        <v>-10.222951688676085</v>
      </c>
      <c r="AU138" s="57" t="str">
        <f t="shared" si="320"/>
        <v/>
      </c>
      <c r="AV138" s="57">
        <f>IF($AC138="",#N/A,SUM(AU$4:AU138))</f>
        <v>18.921206451250555</v>
      </c>
      <c r="AW138" s="57" t="str">
        <f t="shared" si="321"/>
        <v/>
      </c>
      <c r="AX138" s="57">
        <f>IF($AC138="",#N/A,SUM(AW$4:AW138))</f>
        <v>-174.74000000000024</v>
      </c>
      <c r="AY138" s="57">
        <f t="shared" si="322"/>
        <v>2.5200000000000955</v>
      </c>
      <c r="AZ138" s="57">
        <f>IF($AC138="",#N/A,SUM(AY$4:AY138))</f>
        <v>-658.04161845366718</v>
      </c>
      <c r="BA138" s="57">
        <f>IF(AD138="",#N/A,SUM($AD$4:AD138))</f>
        <v>-813.86041200241687</v>
      </c>
      <c r="BC138" s="51" t="str">
        <f t="shared" si="240"/>
        <v/>
      </c>
      <c r="BD138" s="51" t="str">
        <f t="shared" si="241"/>
        <v/>
      </c>
      <c r="BE138" s="51" t="str">
        <f t="shared" si="242"/>
        <v/>
      </c>
      <c r="BF138" s="51" t="str">
        <f t="shared" si="243"/>
        <v>Short</v>
      </c>
      <c r="BG138" s="51">
        <f t="shared" si="244"/>
        <v>1</v>
      </c>
      <c r="BH138" s="51" t="str">
        <f t="shared" si="245"/>
        <v/>
      </c>
      <c r="BI138" s="51" t="str">
        <f t="shared" si="246"/>
        <v/>
      </c>
      <c r="BK138" s="65">
        <f t="shared" si="217"/>
        <v>6.2811592379156079E-3</v>
      </c>
      <c r="BL138" s="65">
        <f t="shared" si="216"/>
        <v>0.16665468063196215</v>
      </c>
      <c r="BM138" s="65">
        <f>IFERROR(Q138/COUNTA($J$4:J138),#N/A)</f>
        <v>-1.3741071178853011E-2</v>
      </c>
      <c r="BO138" s="489" t="e">
        <f>IF(J138="",#N/A,IF(S138="SW",(COUNTIFS(K$4:$K138,"&gt;0",S$4:$S138,"SW")/COUNTIF(S$4:$S138,"SW")),#N/A))</f>
        <v>#N/A</v>
      </c>
      <c r="BP138" s="489">
        <f>IF($J138="",#N/A,IF($S138="DWN",(COUNTIFS($K$4:$K138,"&lt;0",$S$4:$S138,"DWN")/COUNTIF($S$4:$S138,"DWN")),#N/A))</f>
        <v>0.56603773584905659</v>
      </c>
      <c r="BQ138" s="489" t="e">
        <f>IF($J138="",#N/A,IF($S138="UP",(COUNTIFS($K$4:$K138,"&gt;0",$S$4:$S138,"UP")/COUNTIF($S$4:$S138,"UP")),#N/A))</f>
        <v>#N/A</v>
      </c>
      <c r="BR138" s="489">
        <f>IF(J138="",#N/A,COUNTIF($K$4:K138,"&gt;0")/COUNT($J$4:J138))</f>
        <v>0.45925925925925926</v>
      </c>
      <c r="BS138" s="65" t="str">
        <f t="shared" si="247"/>
        <v/>
      </c>
      <c r="BT138" s="65" t="str">
        <f t="shared" si="248"/>
        <v/>
      </c>
      <c r="BU138" s="65">
        <f t="shared" si="249"/>
        <v>0.48755088516519984</v>
      </c>
      <c r="BV138" s="65" t="str">
        <f t="shared" si="250"/>
        <v/>
      </c>
      <c r="BW138" s="151" t="str">
        <f t="shared" si="251"/>
        <v/>
      </c>
      <c r="BX138" s="151">
        <f>IF($J138="",#N/A,SUM($BW$4:BW138))</f>
        <v>-181.36500000000035</v>
      </c>
      <c r="BY138" s="152">
        <f t="shared" si="252"/>
        <v>28.840000000000032</v>
      </c>
      <c r="BZ138" s="152">
        <f>IF($J138="",#N/A,SUM($BY$4:BY138))</f>
        <v>-30.295659610666576</v>
      </c>
      <c r="CA138" s="153" t="str">
        <f t="shared" si="253"/>
        <v/>
      </c>
      <c r="CB138" s="154">
        <f>IF($J138="",#N/A,SUM($CA$4:CA138))</f>
        <v>-111.79797628872086</v>
      </c>
      <c r="CC138" s="191" t="str">
        <f t="shared" si="254"/>
        <v/>
      </c>
      <c r="CD138" s="191">
        <f>IF($J138="",#N/A,SUM($CC$4:CC138))</f>
        <v>-2.8466787313052277</v>
      </c>
      <c r="CE138" s="192">
        <f t="shared" si="255"/>
        <v>0.48755088516519984</v>
      </c>
      <c r="CF138" s="192">
        <f>IF($J138="",#N/A,SUM($CE$4:CE138))</f>
        <v>0.69490545654620306</v>
      </c>
      <c r="CG138" s="193" t="str">
        <f t="shared" si="256"/>
        <v/>
      </c>
      <c r="CH138" s="193">
        <f>IF($J138="",#N/A,SUM($CG$4:CG138))</f>
        <v>0.2967286656138724</v>
      </c>
      <c r="CI138" s="200" t="str">
        <f t="shared" si="257"/>
        <v/>
      </c>
      <c r="CJ138" s="200">
        <f>IF($J138="",#N/A,SUM(CI$4:CI138))</f>
        <v>0</v>
      </c>
      <c r="CK138" s="201" t="str">
        <f t="shared" si="258"/>
        <v/>
      </c>
      <c r="CL138" s="201">
        <f>IF($J138="",#N/A,SUM(CK$4:CK138))</f>
        <v>1.8934431343190481</v>
      </c>
      <c r="CM138" s="202" t="str">
        <f t="shared" si="259"/>
        <v/>
      </c>
      <c r="CN138" s="202">
        <f>IF($J138="",#N/A,SUM(CM$4:CM138))</f>
        <v>2.2555985727472319</v>
      </c>
      <c r="CO138" s="202">
        <f>IF($J138="",#N/A,SUM(CM$4:CM138,CK$4:CK138,CI$4:CI138))</f>
        <v>4.1490417070662797</v>
      </c>
      <c r="CP138" s="200" t="str">
        <f t="shared" si="260"/>
        <v/>
      </c>
      <c r="CQ138" s="200">
        <f>IF($J138="",#N/A,SUM(CP$4:CP138))</f>
        <v>0</v>
      </c>
      <c r="CR138" s="201" t="str">
        <f t="shared" si="261"/>
        <v/>
      </c>
      <c r="CS138" s="201">
        <f>IF($J138="",#N/A,SUM(CR$4:CR138))</f>
        <v>0</v>
      </c>
      <c r="CT138" s="202" t="str">
        <f t="shared" si="262"/>
        <v/>
      </c>
      <c r="CU138" s="202">
        <f>IF($J138="",#N/A,SUM(CT$4:CT138))</f>
        <v>0</v>
      </c>
      <c r="CV138" s="202">
        <f>IF($J138="",#N/A,SUM(CT$4:CT138,CR$4:CR138,CP$4:CP138))</f>
        <v>0</v>
      </c>
      <c r="CW138" s="200" t="str">
        <f t="shared" si="263"/>
        <v/>
      </c>
      <c r="CX138" s="200">
        <f>IF($J138="",#N/A,SUM(CW$4:CW138))</f>
        <v>0</v>
      </c>
      <c r="CY138" s="201" t="str">
        <f t="shared" si="264"/>
        <v/>
      </c>
      <c r="CZ138" s="201">
        <f>IF($J138="",#N/A,SUM(CY$4:CY138))</f>
        <v>-1.9289529100071134</v>
      </c>
      <c r="DA138" s="202" t="str">
        <f t="shared" si="265"/>
        <v/>
      </c>
      <c r="DB138" s="202">
        <f>IF($J138="",#N/A,SUM(DA$4:DA138))</f>
        <v>3.1364376348577139E-3</v>
      </c>
      <c r="DC138" s="202">
        <f>IF($J138="",#N/A,SUM(DA$4:DA138,CY$4:CY138,CW$4:CW138))</f>
        <v>-1.9258164723722557</v>
      </c>
      <c r="DD138" s="200" t="str">
        <f t="shared" si="266"/>
        <v/>
      </c>
      <c r="DE138" s="200">
        <f>IF($J138="",#N/A,SUM(DD$4:DD138))</f>
        <v>0.4905246481018824</v>
      </c>
      <c r="DF138" s="201">
        <f t="shared" si="267"/>
        <v>0.48755088516519984</v>
      </c>
      <c r="DG138" s="201">
        <f>IF($J138="",#N/A,SUM(DF$4:DF138))</f>
        <v>1.261291609944398</v>
      </c>
      <c r="DH138" s="202" t="str">
        <f t="shared" si="268"/>
        <v/>
      </c>
      <c r="DI138" s="202">
        <f>IF($J138="",#N/A,SUM(DH$4:DH138))</f>
        <v>-1.3154755601364099</v>
      </c>
      <c r="DJ138" s="202">
        <f>IF($J138="",#N/A,SUM(DH$4:DH138,DF$4:DF138,DD$4:DD138))</f>
        <v>0.43634069790987046</v>
      </c>
      <c r="DK138" s="200" t="str">
        <f t="shared" si="269"/>
        <v/>
      </c>
      <c r="DL138" s="200">
        <f>IF($J138="",#N/A,SUM(DK$4:DK138))</f>
        <v>-1.2097286851272664</v>
      </c>
      <c r="DM138" s="201" t="str">
        <f t="shared" si="270"/>
        <v/>
      </c>
      <c r="DN138" s="201">
        <f>IF($J138="",#N/A,SUM(DM$4:DM138))</f>
        <v>1.1910608267574658</v>
      </c>
      <c r="DO138" s="202" t="str">
        <f t="shared" si="271"/>
        <v/>
      </c>
      <c r="DP138" s="202">
        <f>IF($J138="",#N/A,SUM(DO$4:DO138))</f>
        <v>1.3495058802125319</v>
      </c>
      <c r="DQ138" s="202">
        <f>IF($J138="",#N/A,SUM(DO$4:DO138,DM$4:DM138,DK$4:DK138))</f>
        <v>1.3308380218427318</v>
      </c>
      <c r="DR138" s="200" t="str">
        <f t="shared" si="272"/>
        <v/>
      </c>
      <c r="DS138" s="200">
        <f>IF($J138="",#N/A,SUM(DR$4:DR138))</f>
        <v>-0.55950946427675097</v>
      </c>
      <c r="DT138" s="201" t="str">
        <f t="shared" si="273"/>
        <v/>
      </c>
      <c r="DU138" s="201">
        <f>IF($J138="",#N/A,SUM(DT$4:DT138))</f>
        <v>-3.13334520229097</v>
      </c>
      <c r="DV138" s="202" t="str">
        <f t="shared" si="274"/>
        <v/>
      </c>
      <c r="DW138" s="202">
        <f>IF($J138="",#N/A,SUM(DV$4:DV138))</f>
        <v>-2.6814706788983136</v>
      </c>
      <c r="DX138" s="202">
        <f>IF($J138="",#N/A,SUM(DV$4:DV138,DT$4:DT138,DR$4:DR138))</f>
        <v>-6.3743253454660342</v>
      </c>
      <c r="DY138" s="200" t="str">
        <f t="shared" si="275"/>
        <v/>
      </c>
      <c r="DZ138" s="200">
        <f>IF($J138="",#N/A,SUM(DY$4:DY138))</f>
        <v>-1.63480022183437</v>
      </c>
      <c r="EA138" s="201" t="str">
        <f t="shared" si="276"/>
        <v/>
      </c>
      <c r="EB138" s="201">
        <f>IF($J138="",#N/A,SUM(EA$4:EA138))</f>
        <v>0.612683721500909</v>
      </c>
      <c r="EC138" s="202" t="str">
        <f t="shared" si="277"/>
        <v/>
      </c>
      <c r="ED138" s="202">
        <f>IF($J138="",#N/A,SUM(EC$4:EC138))</f>
        <v>1.7103671484331777</v>
      </c>
      <c r="EE138" s="202">
        <f>IF($J138="",#N/A,SUM(EC$4:EC138,EA$4:EA138,DY$4:DY138))</f>
        <v>0.68825064809971681</v>
      </c>
      <c r="EF138" s="200" t="str">
        <f t="shared" si="278"/>
        <v/>
      </c>
      <c r="EG138" s="200">
        <f>IF($J138="",#N/A,SUM(EF$4:EF138))</f>
        <v>0</v>
      </c>
      <c r="EH138" s="201" t="str">
        <f t="shared" si="279"/>
        <v/>
      </c>
      <c r="EI138" s="201">
        <f>IF($J138="",#N/A,SUM(EH$4:EH138))</f>
        <v>-2.6174111635897193</v>
      </c>
      <c r="EJ138" s="202" t="str">
        <f t="shared" si="280"/>
        <v/>
      </c>
      <c r="EK138" s="202">
        <f>IF($J138="",#N/A,SUM(EJ$4:EJ138))</f>
        <v>1.7255127285193785</v>
      </c>
      <c r="EL138" s="202">
        <f>IF($J138="",#N/A,SUM(EJ$4:EJ138,EH$4:EH138,EF$4:EF138))</f>
        <v>-0.89189843507034017</v>
      </c>
      <c r="EM138" s="200" t="str">
        <f t="shared" si="281"/>
        <v/>
      </c>
      <c r="EN138" s="200">
        <f>IF($J138="",#N/A,SUM(EM$4:EM138))</f>
        <v>0</v>
      </c>
      <c r="EO138" s="201" t="str">
        <f t="shared" si="282"/>
        <v/>
      </c>
      <c r="EP138" s="201">
        <f>IF($J138="",#N/A,SUM(EO$4:EO138))</f>
        <v>1.6293103394057216</v>
      </c>
      <c r="EQ138" s="202" t="str">
        <f t="shared" si="283"/>
        <v/>
      </c>
      <c r="ER138" s="202">
        <f>IF($J138="",#N/A,SUM(EQ$4:EQ138))</f>
        <v>0.4926597949853756</v>
      </c>
      <c r="ES138" s="202">
        <f>IF($J138="",#N/A,SUM(EQ$4:EQ138,EO$4:EO138,EM$4:EM138))</f>
        <v>2.1219701343910971</v>
      </c>
      <c r="ET138" s="200" t="str">
        <f t="shared" si="284"/>
        <v/>
      </c>
      <c r="EU138" s="200">
        <f>IF($J138="",#N/A,SUM(ET$4:ET138))</f>
        <v>0</v>
      </c>
      <c r="EV138" s="201" t="str">
        <f t="shared" si="285"/>
        <v/>
      </c>
      <c r="EW138" s="201">
        <f>IF($J138="",#N/A,SUM(EV$4:EV138))</f>
        <v>0.90459527759708336</v>
      </c>
      <c r="EX138" s="202" t="str">
        <f t="shared" si="286"/>
        <v/>
      </c>
      <c r="EY138" s="202">
        <f>IF($J138="",#N/A,SUM(EX$4:EX138))</f>
        <v>0.22957553748493481</v>
      </c>
      <c r="EZ138" s="202">
        <f>IF($J138="",#N/A,SUM(EX$4:EX138,EV$4:EV138,ET$4:ET138))</f>
        <v>1.134170815082018</v>
      </c>
      <c r="FA138" s="200" t="str">
        <f t="shared" si="287"/>
        <v/>
      </c>
      <c r="FB138" s="200">
        <f>IF($J138="",#N/A,SUM(FA$4:FA138))</f>
        <v>0</v>
      </c>
      <c r="FC138" s="201" t="str">
        <f t="shared" si="288"/>
        <v/>
      </c>
      <c r="FD138" s="201">
        <f>IF($J138="",#N/A,SUM(FC$4:FC138))</f>
        <v>1.6839191319663924</v>
      </c>
      <c r="FE138" s="202" t="str">
        <f t="shared" si="289"/>
        <v/>
      </c>
      <c r="FF138" s="202">
        <f>IF($J138="",#N/A,SUM(FE$4:FE138))</f>
        <v>-0.28811149078748233</v>
      </c>
      <c r="FG138" s="202">
        <f>IF($J138="",#N/A,SUM(FE$4:FE138,FC$4:FC138,FA$4:FA138))</f>
        <v>1.3958076411789102</v>
      </c>
      <c r="FH138" s="200" t="str">
        <f t="shared" si="290"/>
        <v/>
      </c>
      <c r="FI138" s="200">
        <f>IF($J138="",#N/A,SUM(FH$4:FH138))</f>
        <v>0</v>
      </c>
      <c r="FJ138" s="201" t="str">
        <f t="shared" si="291"/>
        <v/>
      </c>
      <c r="FK138" s="201">
        <f>IF($J138="",#N/A,SUM(FJ$4:FJ138))</f>
        <v>0</v>
      </c>
      <c r="FL138" s="202" t="str">
        <f t="shared" si="292"/>
        <v/>
      </c>
      <c r="FM138" s="202">
        <f>IF($J138="",#N/A,SUM(FL$4:FL138))</f>
        <v>0</v>
      </c>
      <c r="FN138" s="202">
        <f>IF($J138="",#N/A,SUM(FL$4:FL138,FJ$4:FJ138,FH$4:FH138))</f>
        <v>0</v>
      </c>
      <c r="FO138" s="200" t="str">
        <f t="shared" si="293"/>
        <v/>
      </c>
      <c r="FP138" s="200">
        <f>IF($J138="",#N/A,SUM(FO$4:FO138))</f>
        <v>0</v>
      </c>
      <c r="FQ138" s="201" t="str">
        <f t="shared" si="294"/>
        <v/>
      </c>
      <c r="FR138" s="201">
        <f>IF($J138="",#N/A,SUM(FQ$4:FQ138))</f>
        <v>0</v>
      </c>
      <c r="FS138" s="202" t="str">
        <f t="shared" si="295"/>
        <v/>
      </c>
      <c r="FT138" s="202">
        <f>IF($J138="",#N/A,SUM(FS$4:FS138))</f>
        <v>0</v>
      </c>
      <c r="FU138" s="202">
        <f>IF($J138="",#N/A,SUM(FS$4:FS138,FQ$4:FQ138,FO$4:FO138))</f>
        <v>0</v>
      </c>
      <c r="FV138" s="200" t="str">
        <f t="shared" si="296"/>
        <v/>
      </c>
      <c r="FW138" s="200">
        <f>IF($J138="",#N/A,SUM(FV$4:FV138))</f>
        <v>6.6834991831277585E-2</v>
      </c>
      <c r="FX138" s="201" t="str">
        <f t="shared" si="297"/>
        <v/>
      </c>
      <c r="FY138" s="201">
        <f>IF($J138="",#N/A,SUM(FX$4:FX138))</f>
        <v>0</v>
      </c>
      <c r="FZ138" s="202" t="str">
        <f t="shared" si="298"/>
        <v/>
      </c>
      <c r="GA138" s="202">
        <f>IF($J138="",#N/A,SUM(FZ$4:FZ138))</f>
        <v>-0.24773347685909197</v>
      </c>
      <c r="GB138" s="202">
        <f>IF($J138="",#N/A,SUM(FZ$4:FZ138,FX$4:FX138,FV$4:FV138))</f>
        <v>-0.18089848502781439</v>
      </c>
      <c r="GC138" s="200" t="str">
        <f t="shared" si="299"/>
        <v/>
      </c>
      <c r="GD138" s="200">
        <f>IF($J138="",#N/A,SUM(GC$4:GC138))</f>
        <v>0</v>
      </c>
      <c r="GE138" s="201" t="str">
        <f t="shared" si="300"/>
        <v/>
      </c>
      <c r="GF138" s="201">
        <f>IF($J138="",#N/A,SUM(GE$4:GE138))</f>
        <v>0</v>
      </c>
      <c r="GG138" s="202" t="str">
        <f t="shared" si="301"/>
        <v/>
      </c>
      <c r="GH138" s="202">
        <f>IF($J138="",#N/A,SUM(GG$4:GG138))</f>
        <v>-2.9368362277223206</v>
      </c>
      <c r="GI138" s="202">
        <f>IF($J138="",#N/A,SUM(GG$4:GG138,GE$4:GE138,GC$4:GC138))</f>
        <v>-2.9368362277223206</v>
      </c>
      <c r="GJ138" s="200" t="str">
        <f t="shared" si="302"/>
        <v/>
      </c>
      <c r="GK138" s="200">
        <f>IF($J138="",#N/A,SUM(GJ$4:GJ138))</f>
        <v>0</v>
      </c>
      <c r="GL138" s="201" t="str">
        <f t="shared" si="303"/>
        <v/>
      </c>
      <c r="GM138" s="201">
        <f>IF($J138="",#N/A,SUM(GL$4:GL138))</f>
        <v>-0.80168930905701452</v>
      </c>
      <c r="GN138" s="202" t="str">
        <f t="shared" si="304"/>
        <v/>
      </c>
      <c r="GO138" s="202">
        <f>IF($J138="",#N/A,SUM(GN$4:GN138))</f>
        <v>0</v>
      </c>
      <c r="GP138" s="202">
        <f>IF($J138="",#N/A,SUM(GN$4:GN138,GL$4:GL138,GJ$4:GJ138))</f>
        <v>-0.80168930905701452</v>
      </c>
      <c r="GS138" s="54">
        <f t="shared" si="323"/>
        <v>0.48755088516519984</v>
      </c>
      <c r="GT138" s="54">
        <f>IF(GS138="",NA(),SUM($GS$4:GS138))</f>
        <v>-2.3328954910379571</v>
      </c>
      <c r="GU138" s="54" t="str">
        <f t="shared" si="305"/>
        <v/>
      </c>
      <c r="GV138" s="54" t="e">
        <f>IF(GU138="",NA(),SUM($GU$4:GU138))</f>
        <v>#N/A</v>
      </c>
      <c r="GW138" s="54" t="str">
        <f t="shared" si="306"/>
        <v/>
      </c>
      <c r="GX138" s="54" t="e">
        <f>IF(GW138="",NA(),SUM($GW$4:GW138))</f>
        <v>#N/A</v>
      </c>
      <c r="GY138" s="54">
        <f t="shared" si="307"/>
        <v>0.48755088516519984</v>
      </c>
      <c r="GZ138" s="54">
        <f>IF(GY138="",NA(),SUM($GY$4:GY138))</f>
        <v>0.41904338758068616</v>
      </c>
      <c r="HA138" s="54" t="str">
        <f t="shared" si="308"/>
        <v/>
      </c>
      <c r="HB138" s="54" t="e">
        <f>IF(HA138="",NA(),SUM($HA$4:HA138))</f>
        <v>#N/A</v>
      </c>
      <c r="HC138" s="54" t="str">
        <f t="shared" si="309"/>
        <v/>
      </c>
      <c r="HD138" s="54" t="e">
        <f>IF(HC138="",NA(),SUM($HC$4:HC138))</f>
        <v>#N/A</v>
      </c>
      <c r="HE138" s="54" t="str">
        <f t="shared" si="310"/>
        <v/>
      </c>
      <c r="HF138" s="54" t="e">
        <f>IF(HE138="",NA(),SUM($HE$4:HE138))</f>
        <v>#N/A</v>
      </c>
      <c r="HG138" s="54" t="str">
        <f t="shared" si="311"/>
        <v/>
      </c>
      <c r="HH138" s="54" t="e">
        <f>IF(HG138="",NA(),SUM($HG$4:HG138))</f>
        <v>#N/A</v>
      </c>
      <c r="HI138" s="172">
        <f t="shared" si="324"/>
        <v>-0.44494935150998666</v>
      </c>
      <c r="HJ138" s="172">
        <f>IF($J138="",#N/A,SUM(HI$4:$HI138))</f>
        <v>-5.1523761397862708</v>
      </c>
      <c r="HK138" s="54" t="str">
        <f t="shared" si="312"/>
        <v/>
      </c>
      <c r="HL138" s="54">
        <f>IF($J138="",#N/A,SUM($HK$4:HK138))</f>
        <v>-5.7654810054360146</v>
      </c>
      <c r="HM138" s="54" t="str">
        <f t="shared" si="313"/>
        <v/>
      </c>
      <c r="HN138" s="54">
        <f>IF($J138="",#N/A,SUM($HM$4:HM138))</f>
        <v>0.71812545963587882</v>
      </c>
      <c r="HO138" s="54" t="str">
        <f t="shared" si="314"/>
        <v/>
      </c>
      <c r="HP138" s="54">
        <f>IF($J138="",#N/A,SUM($HO$4:HO138))</f>
        <v>-0.6555551778566262</v>
      </c>
      <c r="HQ138" s="54" t="str">
        <f t="shared" si="315"/>
        <v/>
      </c>
      <c r="HR138" s="54">
        <f>IF($J138="",#N/A,SUM($HQ$4:HQ138))</f>
        <v>-7.3390769661523079</v>
      </c>
      <c r="HS138" s="54" t="str">
        <f t="shared" si="316"/>
        <v/>
      </c>
      <c r="HT138" s="54">
        <f>IF($J138="",#N/A,SUM($HS$4:HS138))</f>
        <v>8.6332733748533617</v>
      </c>
      <c r="HU138" s="65">
        <f t="shared" si="317"/>
        <v>4.26015336552132E-2</v>
      </c>
      <c r="HV138" s="65">
        <f>IF($J138="",#N/A,SUM(HU$4:$HU138))</f>
        <v>-11.416135063887133</v>
      </c>
    </row>
    <row r="139" spans="1:230" x14ac:dyDescent="0.25">
      <c r="A139" s="51" t="s">
        <v>1426</v>
      </c>
      <c r="B139" s="52" t="s">
        <v>4540</v>
      </c>
      <c r="C139" s="229">
        <f t="shared" si="218"/>
        <v>2</v>
      </c>
      <c r="D139" s="219" t="str">
        <f>_xlfn.XLOOKUP(A139,[1]SP500!$A$2:$A$502,[1]SP500!$D$2:$D$502,"N")</f>
        <v>Y</v>
      </c>
      <c r="E139" s="51" t="str">
        <f>IFERROR(_xlfn.XLOOKUP(A139,[1]SP500!$A$2:$A$655,[1]SP500!$B$2:$B$655),"")</f>
        <v>XLK</v>
      </c>
      <c r="F139" s="290">
        <v>45776</v>
      </c>
      <c r="G139" s="51" t="str">
        <f t="shared" si="219"/>
        <v>BMO</v>
      </c>
      <c r="H139" s="51" t="str">
        <f t="shared" si="220"/>
        <v>s</v>
      </c>
      <c r="I139" s="343">
        <v>44.1</v>
      </c>
      <c r="J139" s="123">
        <v>43.2</v>
      </c>
      <c r="K139" s="55">
        <f t="shared" si="221"/>
        <v>-2.040816326530609E-2</v>
      </c>
      <c r="L139" s="67">
        <f t="shared" si="222"/>
        <v>20.700000000000045</v>
      </c>
      <c r="M139" s="57">
        <f t="shared" si="223"/>
        <v>16.100000000000023</v>
      </c>
      <c r="N139" s="102">
        <f t="shared" si="224"/>
        <v>20.700000000000045</v>
      </c>
      <c r="O139" s="57">
        <f>IF(N139="",#N/A,SUM($N$4:N139))</f>
        <v>-302.75863589938774</v>
      </c>
      <c r="P139" s="65">
        <f t="shared" si="318"/>
        <v>0.34013605442176942</v>
      </c>
      <c r="Q139" s="172">
        <f>IF($N139="",#N/A,SUM($P$4:P139))</f>
        <v>-1.5149085547233869</v>
      </c>
      <c r="R139" s="279">
        <f t="shared" si="225"/>
        <v>5.3314340370596689</v>
      </c>
      <c r="S139" s="51" t="str">
        <f t="shared" si="226"/>
        <v>Dwn</v>
      </c>
      <c r="T139" s="51" t="s">
        <v>4462</v>
      </c>
      <c r="U139" s="56">
        <f t="shared" si="227"/>
        <v>44.1</v>
      </c>
      <c r="V139" s="56" t="s">
        <v>4458</v>
      </c>
      <c r="W139" s="142">
        <v>23</v>
      </c>
      <c r="X139" s="145">
        <f t="shared" si="228"/>
        <v>1014.3000000000001</v>
      </c>
      <c r="Y139" s="140">
        <f t="shared" si="229"/>
        <v>23</v>
      </c>
      <c r="Z139" s="123">
        <v>42.5</v>
      </c>
      <c r="AA139" s="102">
        <f t="shared" si="230"/>
        <v>36.800000000000068</v>
      </c>
      <c r="AB139" s="102">
        <f t="shared" si="231"/>
        <v>-8.2799999999999727</v>
      </c>
      <c r="AC139" s="124">
        <v>44.46</v>
      </c>
      <c r="AD139" s="155">
        <f t="shared" si="232"/>
        <v>-8.2799999999999727</v>
      </c>
      <c r="AE139" s="545">
        <f t="shared" si="233"/>
        <v>-0.13605442176870702</v>
      </c>
      <c r="AF139" s="57">
        <f>IF($AC139="",#N/A,SUM(AD$4:AD139))</f>
        <v>-822.14041200241684</v>
      </c>
      <c r="AG139" s="102">
        <f t="shared" si="234"/>
        <v>-28.980000000000018</v>
      </c>
      <c r="AH139" s="56" t="s">
        <v>2507</v>
      </c>
      <c r="AI139" s="65">
        <f t="shared" si="235"/>
        <v>0.60468631897203429</v>
      </c>
      <c r="AJ139" s="54">
        <f>IF(AI139="",#N/A,SUM($AI$4:AI139))</f>
        <v>-6.8463425917830563</v>
      </c>
      <c r="AK139" s="57">
        <f t="shared" si="236"/>
        <v>36.800000000000068</v>
      </c>
      <c r="AL139" s="349">
        <f>IF(AI139="",#N/A,IF(AH139="Skip",SUM($AK$4:AK139),SUM($AK$4:AK139)))</f>
        <v>-645.82740850718642</v>
      </c>
      <c r="AM139" s="65">
        <f t="shared" si="319"/>
        <v>-0.13605442176870702</v>
      </c>
      <c r="AN139" s="209"/>
      <c r="AO139" s="65" t="str">
        <f t="shared" si="237"/>
        <v/>
      </c>
      <c r="AP139" s="65">
        <f>IF($AC139="",#N/A,SUM(AO$4:AO139))</f>
        <v>1.5909250743149224</v>
      </c>
      <c r="AQ139" s="65" t="str">
        <f t="shared" si="238"/>
        <v/>
      </c>
      <c r="AR139" s="65">
        <f>IF($AC139="",#N/A,SUM(AQ$4:AQ139))</f>
        <v>-2.7841084495259749</v>
      </c>
      <c r="AS139" s="65">
        <f t="shared" si="239"/>
        <v>-0.13605442176870702</v>
      </c>
      <c r="AT139" s="65">
        <f>IF($AC139="",#N/A,SUM(AS$4:AS139))</f>
        <v>-10.359006110444792</v>
      </c>
      <c r="AU139" s="57" t="str">
        <f t="shared" si="320"/>
        <v/>
      </c>
      <c r="AV139" s="57">
        <f>IF($AC139="",#N/A,SUM(AU$4:AU139))</f>
        <v>18.921206451250555</v>
      </c>
      <c r="AW139" s="57" t="str">
        <f t="shared" si="321"/>
        <v/>
      </c>
      <c r="AX139" s="57">
        <f>IF($AC139="",#N/A,SUM(AW$4:AW139))</f>
        <v>-174.74000000000024</v>
      </c>
      <c r="AY139" s="57">
        <f t="shared" si="322"/>
        <v>-8.2799999999999727</v>
      </c>
      <c r="AZ139" s="57">
        <f>IF($AC139="",#N/A,SUM(AY$4:AY139))</f>
        <v>-666.32161845366716</v>
      </c>
      <c r="BA139" s="57">
        <f>IF(AD139="",#N/A,SUM($AD$4:AD139))</f>
        <v>-822.14041200241684</v>
      </c>
      <c r="BC139" s="51" t="str">
        <f t="shared" si="240"/>
        <v/>
      </c>
      <c r="BD139" s="51" t="str">
        <f t="shared" si="241"/>
        <v/>
      </c>
      <c r="BE139" s="51" t="str">
        <f t="shared" si="242"/>
        <v/>
      </c>
      <c r="BF139" s="51" t="str">
        <f t="shared" si="243"/>
        <v>Short</v>
      </c>
      <c r="BG139" s="51">
        <f t="shared" si="244"/>
        <v>1</v>
      </c>
      <c r="BH139" s="51" t="str">
        <f t="shared" si="245"/>
        <v/>
      </c>
      <c r="BI139" s="51" t="str">
        <f t="shared" si="246"/>
        <v/>
      </c>
      <c r="BK139" s="65">
        <f t="shared" si="217"/>
        <v>2.3602997766363858E-2</v>
      </c>
      <c r="BL139" s="65">
        <f t="shared" si="216"/>
        <v>0.17128123275247603</v>
      </c>
      <c r="BM139" s="65">
        <f>IFERROR(Q139/COUNTA($J$4:J139),#N/A)</f>
        <v>-1.113903349061314E-2</v>
      </c>
      <c r="BO139" s="489" t="e">
        <f>IF(J139="",#N/A,IF(S139="SW",(COUNTIFS(K$4:$K139,"&gt;0",S$4:$S139,"SW")/COUNTIF(S$4:$S139,"SW")),#N/A))</f>
        <v>#N/A</v>
      </c>
      <c r="BP139" s="489">
        <f>IF($J139="",#N/A,IF($S139="DWN",(COUNTIFS($K$4:$K139,"&lt;0",$S$4:$S139,"DWN")/COUNTIF($S$4:$S139,"DWN")),#N/A))</f>
        <v>0.57407407407407407</v>
      </c>
      <c r="BQ139" s="489" t="e">
        <f>IF($J139="",#N/A,IF($S139="UP",(COUNTIFS($K$4:$K139,"&gt;0",$S$4:$S139,"UP")/COUNTIF($S$4:$S139,"UP")),#N/A))</f>
        <v>#N/A</v>
      </c>
      <c r="BR139" s="489">
        <f>IF(J139="",#N/A,COUNTIF($K$4:K139,"&gt;0")/COUNT($J$4:J139))</f>
        <v>0.45588235294117646</v>
      </c>
      <c r="BS139" s="65" t="str">
        <f t="shared" si="247"/>
        <v/>
      </c>
      <c r="BT139" s="65" t="str">
        <f t="shared" si="248"/>
        <v/>
      </c>
      <c r="BU139" s="65">
        <f t="shared" si="249"/>
        <v>0.34013605442176942</v>
      </c>
      <c r="BV139" s="65" t="str">
        <f t="shared" si="250"/>
        <v/>
      </c>
      <c r="BW139" s="128" t="str">
        <f t="shared" si="251"/>
        <v/>
      </c>
      <c r="BX139" s="128">
        <f>IF($J139="",#N/A,SUM($BW$4:BW139))</f>
        <v>-181.36500000000035</v>
      </c>
      <c r="BY139" s="131">
        <f t="shared" si="252"/>
        <v>20.700000000000045</v>
      </c>
      <c r="BZ139" s="131">
        <f>IF($J139="",#N/A,SUM($BY$4:BY139))</f>
        <v>-9.5956596106665302</v>
      </c>
      <c r="CA139" s="133" t="str">
        <f t="shared" si="253"/>
        <v/>
      </c>
      <c r="CB139" s="133">
        <f>IF($J139="",#N/A,SUM($CA$4:CA139))</f>
        <v>-111.79797628872086</v>
      </c>
      <c r="CC139" s="194" t="str">
        <f t="shared" si="254"/>
        <v/>
      </c>
      <c r="CD139" s="194">
        <f>IF($J139="",#N/A,SUM($CC$4:CC139))</f>
        <v>-2.8466787313052277</v>
      </c>
      <c r="CE139" s="195">
        <f t="shared" si="255"/>
        <v>0.34013605442176942</v>
      </c>
      <c r="CF139" s="195">
        <f>IF($J139="",#N/A,SUM($CE$4:CE139))</f>
        <v>1.0350415109679725</v>
      </c>
      <c r="CG139" s="196" t="str">
        <f t="shared" si="256"/>
        <v/>
      </c>
      <c r="CH139" s="193">
        <f>IF($J139="",#N/A,SUM($CG$4:CG139))</f>
        <v>0.2967286656138724</v>
      </c>
      <c r="CI139" s="200" t="str">
        <f t="shared" si="257"/>
        <v/>
      </c>
      <c r="CJ139" s="203">
        <f>IF($J139="",#N/A,SUM(CI$4:CI139))</f>
        <v>0</v>
      </c>
      <c r="CK139" s="204">
        <f t="shared" si="258"/>
        <v>0.34013605442176942</v>
      </c>
      <c r="CL139" s="204">
        <f>IF($J139="",#N/A,SUM(CK$4:CK139))</f>
        <v>2.2335791887408174</v>
      </c>
      <c r="CM139" s="205" t="str">
        <f t="shared" si="259"/>
        <v/>
      </c>
      <c r="CN139" s="205">
        <f>IF($J139="",#N/A,SUM(CM$4:CM139))</f>
        <v>2.2555985727472319</v>
      </c>
      <c r="CO139" s="205">
        <f>IF($J139="",#N/A,SUM(CM$4:CM139,CK$4:CK139,CI$4:CI139))</f>
        <v>4.4891777614880493</v>
      </c>
      <c r="CP139" s="200" t="str">
        <f t="shared" si="260"/>
        <v/>
      </c>
      <c r="CQ139" s="203">
        <f>IF($J139="",#N/A,SUM(CP$4:CP139))</f>
        <v>0</v>
      </c>
      <c r="CR139" s="204" t="str">
        <f t="shared" si="261"/>
        <v/>
      </c>
      <c r="CS139" s="204">
        <f>IF($J139="",#N/A,SUM(CR$4:CR139))</f>
        <v>0</v>
      </c>
      <c r="CT139" s="205" t="str">
        <f t="shared" si="262"/>
        <v/>
      </c>
      <c r="CU139" s="205">
        <f>IF($J139="",#N/A,SUM(CT$4:CT139))</f>
        <v>0</v>
      </c>
      <c r="CV139" s="205">
        <f>IF($J139="",#N/A,SUM(CT$4:CT139,CR$4:CR139,CP$4:CP139))</f>
        <v>0</v>
      </c>
      <c r="CW139" s="200" t="str">
        <f t="shared" si="263"/>
        <v/>
      </c>
      <c r="CX139" s="203">
        <f>IF($J139="",#N/A,SUM(CW$4:CW139))</f>
        <v>0</v>
      </c>
      <c r="CY139" s="204" t="str">
        <f t="shared" si="264"/>
        <v/>
      </c>
      <c r="CZ139" s="204">
        <f>IF($J139="",#N/A,SUM(CY$4:CY139))</f>
        <v>-1.9289529100071134</v>
      </c>
      <c r="DA139" s="205" t="str">
        <f t="shared" si="265"/>
        <v/>
      </c>
      <c r="DB139" s="205">
        <f>IF($J139="",#N/A,SUM(DA$4:DA139))</f>
        <v>3.1364376348577139E-3</v>
      </c>
      <c r="DC139" s="205">
        <f>IF($J139="",#N/A,SUM(DA$4:DA139,CY$4:CY139,CW$4:CW139))</f>
        <v>-1.9258164723722557</v>
      </c>
      <c r="DD139" s="200" t="str">
        <f t="shared" si="266"/>
        <v/>
      </c>
      <c r="DE139" s="203">
        <f>IF($J139="",#N/A,SUM(DD$4:DD139))</f>
        <v>0.4905246481018824</v>
      </c>
      <c r="DF139" s="204" t="str">
        <f t="shared" si="267"/>
        <v/>
      </c>
      <c r="DG139" s="204">
        <f>IF($J139="",#N/A,SUM(DF$4:DF139))</f>
        <v>1.261291609944398</v>
      </c>
      <c r="DH139" s="205" t="str">
        <f t="shared" si="268"/>
        <v/>
      </c>
      <c r="DI139" s="205">
        <f>IF($J139="",#N/A,SUM(DH$4:DH139))</f>
        <v>-1.3154755601364099</v>
      </c>
      <c r="DJ139" s="205">
        <f>IF($J139="",#N/A,SUM(DH$4:DH139,DF$4:DF139,DD$4:DD139))</f>
        <v>0.43634069790987046</v>
      </c>
      <c r="DK139" s="200" t="str">
        <f t="shared" si="269"/>
        <v/>
      </c>
      <c r="DL139" s="203">
        <f>IF($J139="",#N/A,SUM(DK$4:DK139))</f>
        <v>-1.2097286851272664</v>
      </c>
      <c r="DM139" s="204" t="str">
        <f t="shared" si="270"/>
        <v/>
      </c>
      <c r="DN139" s="204">
        <f>IF($J139="",#N/A,SUM(DM$4:DM139))</f>
        <v>1.1910608267574658</v>
      </c>
      <c r="DO139" s="205" t="str">
        <f t="shared" si="271"/>
        <v/>
      </c>
      <c r="DP139" s="205">
        <f>IF($J139="",#N/A,SUM(DO$4:DO139))</f>
        <v>1.3495058802125319</v>
      </c>
      <c r="DQ139" s="205">
        <f>IF($J139="",#N/A,SUM(DO$4:DO139,DM$4:DM139,DK$4:DK139))</f>
        <v>1.3308380218427318</v>
      </c>
      <c r="DR139" s="200" t="str">
        <f t="shared" si="272"/>
        <v/>
      </c>
      <c r="DS139" s="203">
        <f>IF($J139="",#N/A,SUM(DR$4:DR139))</f>
        <v>-0.55950946427675097</v>
      </c>
      <c r="DT139" s="204" t="str">
        <f t="shared" si="273"/>
        <v/>
      </c>
      <c r="DU139" s="204">
        <f>IF($J139="",#N/A,SUM(DT$4:DT139))</f>
        <v>-3.13334520229097</v>
      </c>
      <c r="DV139" s="205" t="str">
        <f t="shared" si="274"/>
        <v/>
      </c>
      <c r="DW139" s="205">
        <f>IF($J139="",#N/A,SUM(DV$4:DV139))</f>
        <v>-2.6814706788983136</v>
      </c>
      <c r="DX139" s="205">
        <f>IF($J139="",#N/A,SUM(DV$4:DV139,DT$4:DT139,DR$4:DR139))</f>
        <v>-6.3743253454660342</v>
      </c>
      <c r="DY139" s="200" t="str">
        <f t="shared" si="275"/>
        <v/>
      </c>
      <c r="DZ139" s="203">
        <f>IF($J139="",#N/A,SUM(DY$4:DY139))</f>
        <v>-1.63480022183437</v>
      </c>
      <c r="EA139" s="204" t="str">
        <f t="shared" si="276"/>
        <v/>
      </c>
      <c r="EB139" s="204">
        <f>IF($J139="",#N/A,SUM(EA$4:EA139))</f>
        <v>0.612683721500909</v>
      </c>
      <c r="EC139" s="205" t="str">
        <f t="shared" si="277"/>
        <v/>
      </c>
      <c r="ED139" s="205">
        <f>IF($J139="",#N/A,SUM(EC$4:EC139))</f>
        <v>1.7103671484331777</v>
      </c>
      <c r="EE139" s="205">
        <f>IF($J139="",#N/A,SUM(EC$4:EC139,EA$4:EA139,DY$4:DY139))</f>
        <v>0.68825064809971681</v>
      </c>
      <c r="EF139" s="200" t="str">
        <f t="shared" si="278"/>
        <v/>
      </c>
      <c r="EG139" s="203">
        <f>IF($J139="",#N/A,SUM(EF$4:EF139))</f>
        <v>0</v>
      </c>
      <c r="EH139" s="204" t="str">
        <f t="shared" si="279"/>
        <v/>
      </c>
      <c r="EI139" s="204">
        <f>IF($J139="",#N/A,SUM(EH$4:EH139))</f>
        <v>-2.6174111635897193</v>
      </c>
      <c r="EJ139" s="205" t="str">
        <f t="shared" si="280"/>
        <v/>
      </c>
      <c r="EK139" s="205">
        <f>IF($J139="",#N/A,SUM(EJ$4:EJ139))</f>
        <v>1.7255127285193785</v>
      </c>
      <c r="EL139" s="205">
        <f>IF($J139="",#N/A,SUM(EJ$4:EJ139,EH$4:EH139,EF$4:EF139))</f>
        <v>-0.89189843507034017</v>
      </c>
      <c r="EM139" s="200" t="str">
        <f t="shared" si="281"/>
        <v/>
      </c>
      <c r="EN139" s="203">
        <f>IF($J139="",#N/A,SUM(EM$4:EM139))</f>
        <v>0</v>
      </c>
      <c r="EO139" s="204" t="str">
        <f t="shared" si="282"/>
        <v/>
      </c>
      <c r="EP139" s="204">
        <f>IF($J139="",#N/A,SUM(EO$4:EO139))</f>
        <v>1.6293103394057216</v>
      </c>
      <c r="EQ139" s="205" t="str">
        <f t="shared" si="283"/>
        <v/>
      </c>
      <c r="ER139" s="205">
        <f>IF($J139="",#N/A,SUM(EQ$4:EQ139))</f>
        <v>0.4926597949853756</v>
      </c>
      <c r="ES139" s="205">
        <f>IF($J139="",#N/A,SUM(EQ$4:EQ139,EO$4:EO139,EM$4:EM139))</f>
        <v>2.1219701343910971</v>
      </c>
      <c r="ET139" s="200" t="str">
        <f t="shared" si="284"/>
        <v/>
      </c>
      <c r="EU139" s="203">
        <f>IF($J139="",#N/A,SUM(ET$4:ET139))</f>
        <v>0</v>
      </c>
      <c r="EV139" s="204" t="str">
        <f t="shared" si="285"/>
        <v/>
      </c>
      <c r="EW139" s="204">
        <f>IF($J139="",#N/A,SUM(EV$4:EV139))</f>
        <v>0.90459527759708336</v>
      </c>
      <c r="EX139" s="205" t="str">
        <f t="shared" si="286"/>
        <v/>
      </c>
      <c r="EY139" s="205">
        <f>IF($J139="",#N/A,SUM(EX$4:EX139))</f>
        <v>0.22957553748493481</v>
      </c>
      <c r="EZ139" s="205">
        <f>IF($J139="",#N/A,SUM(EX$4:EX139,EV$4:EV139,ET$4:ET139))</f>
        <v>1.134170815082018</v>
      </c>
      <c r="FA139" s="200" t="str">
        <f t="shared" si="287"/>
        <v/>
      </c>
      <c r="FB139" s="203">
        <f>IF($J139="",#N/A,SUM(FA$4:FA139))</f>
        <v>0</v>
      </c>
      <c r="FC139" s="204" t="str">
        <f t="shared" si="288"/>
        <v/>
      </c>
      <c r="FD139" s="204">
        <f>IF($J139="",#N/A,SUM(FC$4:FC139))</f>
        <v>1.6839191319663924</v>
      </c>
      <c r="FE139" s="205" t="str">
        <f t="shared" si="289"/>
        <v/>
      </c>
      <c r="FF139" s="205">
        <f>IF($J139="",#N/A,SUM(FE$4:FE139))</f>
        <v>-0.28811149078748233</v>
      </c>
      <c r="FG139" s="205">
        <f>IF($J139="",#N/A,SUM(FE$4:FE139,FC$4:FC139,FA$4:FA139))</f>
        <v>1.3958076411789102</v>
      </c>
      <c r="FH139" s="200" t="str">
        <f t="shared" si="290"/>
        <v/>
      </c>
      <c r="FI139" s="203">
        <f>IF($J139="",#N/A,SUM(FH$4:FH139))</f>
        <v>0</v>
      </c>
      <c r="FJ139" s="204" t="str">
        <f t="shared" si="291"/>
        <v/>
      </c>
      <c r="FK139" s="204">
        <f>IF($J139="",#N/A,SUM(FJ$4:FJ139))</f>
        <v>0</v>
      </c>
      <c r="FL139" s="205" t="str">
        <f t="shared" si="292"/>
        <v/>
      </c>
      <c r="FM139" s="205">
        <f>IF($J139="",#N/A,SUM(FL$4:FL139))</f>
        <v>0</v>
      </c>
      <c r="FN139" s="205">
        <f>IF($J139="",#N/A,SUM(FL$4:FL139,FJ$4:FJ139,FH$4:FH139))</f>
        <v>0</v>
      </c>
      <c r="FO139" s="200" t="str">
        <f t="shared" si="293"/>
        <v/>
      </c>
      <c r="FP139" s="203">
        <f>IF($J139="",#N/A,SUM(FO$4:FO139))</f>
        <v>0</v>
      </c>
      <c r="FQ139" s="204" t="str">
        <f t="shared" si="294"/>
        <v/>
      </c>
      <c r="FR139" s="204">
        <f>IF($J139="",#N/A,SUM(FQ$4:FQ139))</f>
        <v>0</v>
      </c>
      <c r="FS139" s="205" t="str">
        <f t="shared" si="295"/>
        <v/>
      </c>
      <c r="FT139" s="205">
        <f>IF($J139="",#N/A,SUM(FS$4:FS139))</f>
        <v>0</v>
      </c>
      <c r="FU139" s="205">
        <f>IF($J139="",#N/A,SUM(FS$4:FS139,FQ$4:FQ139,FO$4:FO139))</f>
        <v>0</v>
      </c>
      <c r="FV139" s="200" t="str">
        <f t="shared" si="296"/>
        <v/>
      </c>
      <c r="FW139" s="203">
        <f>IF($J139="",#N/A,SUM(FV$4:FV139))</f>
        <v>6.6834991831277585E-2</v>
      </c>
      <c r="FX139" s="204" t="str">
        <f t="shared" si="297"/>
        <v/>
      </c>
      <c r="FY139" s="204">
        <f>IF($J139="",#N/A,SUM(FX$4:FX139))</f>
        <v>0</v>
      </c>
      <c r="FZ139" s="205" t="str">
        <f t="shared" si="298"/>
        <v/>
      </c>
      <c r="GA139" s="205">
        <f>IF($J139="",#N/A,SUM(FZ$4:FZ139))</f>
        <v>-0.24773347685909197</v>
      </c>
      <c r="GB139" s="205">
        <f>IF($J139="",#N/A,SUM(FZ$4:FZ139,FX$4:FX139,FV$4:FV139))</f>
        <v>-0.18089848502781439</v>
      </c>
      <c r="GC139" s="200" t="str">
        <f t="shared" si="299"/>
        <v/>
      </c>
      <c r="GD139" s="203">
        <f>IF($J139="",#N/A,SUM(GC$4:GC139))</f>
        <v>0</v>
      </c>
      <c r="GE139" s="204" t="str">
        <f t="shared" si="300"/>
        <v/>
      </c>
      <c r="GF139" s="204">
        <f>IF($J139="",#N/A,SUM(GE$4:GE139))</f>
        <v>0</v>
      </c>
      <c r="GG139" s="205" t="str">
        <f t="shared" si="301"/>
        <v/>
      </c>
      <c r="GH139" s="205">
        <f>IF($J139="",#N/A,SUM(GG$4:GG139))</f>
        <v>-2.9368362277223206</v>
      </c>
      <c r="GI139" s="205">
        <f>IF($J139="",#N/A,SUM(GG$4:GG139,GE$4:GE139,GC$4:GC139))</f>
        <v>-2.9368362277223206</v>
      </c>
      <c r="GJ139" s="200" t="str">
        <f t="shared" si="302"/>
        <v/>
      </c>
      <c r="GK139" s="203">
        <f>IF($J139="",#N/A,SUM(GJ$4:GJ139))</f>
        <v>0</v>
      </c>
      <c r="GL139" s="204" t="str">
        <f t="shared" si="303"/>
        <v/>
      </c>
      <c r="GM139" s="204">
        <f>IF($J139="",#N/A,SUM(GL$4:GL139))</f>
        <v>-0.80168930905701452</v>
      </c>
      <c r="GN139" s="205" t="str">
        <f t="shared" si="304"/>
        <v/>
      </c>
      <c r="GO139" s="205">
        <f>IF($J139="",#N/A,SUM(GN$4:GN139))</f>
        <v>0</v>
      </c>
      <c r="GP139" s="205">
        <f>IF($J139="",#N/A,SUM(GN$4:GN139,GL$4:GL139,GJ$4:GJ139))</f>
        <v>-0.80168930905701452</v>
      </c>
      <c r="GS139" s="54">
        <f t="shared" si="323"/>
        <v>0.34013605442176942</v>
      </c>
      <c r="GT139" s="54">
        <f>IF(GS139="",NA(),SUM($GS$4:GS139))</f>
        <v>-1.9927594366161876</v>
      </c>
      <c r="GU139" s="54" t="str">
        <f t="shared" si="305"/>
        <v/>
      </c>
      <c r="GV139" s="54" t="e">
        <f>IF(GU139="",NA(),SUM($GU$4:GU139))</f>
        <v>#N/A</v>
      </c>
      <c r="GW139" s="54" t="str">
        <f t="shared" si="306"/>
        <v/>
      </c>
      <c r="GX139" s="54" t="e">
        <f>IF(GW139="",NA(),SUM($GW$4:GW139))</f>
        <v>#N/A</v>
      </c>
      <c r="GY139" s="54">
        <f t="shared" si="307"/>
        <v>0.34013605442176942</v>
      </c>
      <c r="GZ139" s="54">
        <f>IF(GY139="",NA(),SUM($GY$4:GY139))</f>
        <v>0.75917944200245557</v>
      </c>
      <c r="HA139" s="54" t="str">
        <f t="shared" si="308"/>
        <v/>
      </c>
      <c r="HB139" s="54" t="e">
        <f>IF(HA139="",NA(),SUM($HA$4:HA139))</f>
        <v>#N/A</v>
      </c>
      <c r="HC139" s="54" t="str">
        <f t="shared" si="309"/>
        <v/>
      </c>
      <c r="HD139" s="54" t="e">
        <f>IF(HC139="",NA(),SUM($HC$4:HC139))</f>
        <v>#N/A</v>
      </c>
      <c r="HE139" s="54" t="str">
        <f t="shared" si="310"/>
        <v/>
      </c>
      <c r="HF139" s="54" t="e">
        <f>IF(HE139="",NA(),SUM($HE$4:HE139))</f>
        <v>#N/A</v>
      </c>
      <c r="HG139" s="54" t="str">
        <f t="shared" si="311"/>
        <v/>
      </c>
      <c r="HH139" s="54" t="e">
        <f>IF(HG139="",NA(),SUM($HG$4:HG139))</f>
        <v>#N/A</v>
      </c>
      <c r="HI139" s="172">
        <f t="shared" si="324"/>
        <v>-0.47619047619047644</v>
      </c>
      <c r="HJ139" s="172">
        <f>IF($J139="",#N/A,SUM(HI$4:$HI139))</f>
        <v>-5.6285666159767471</v>
      </c>
      <c r="HK139" s="54" t="str">
        <f t="shared" si="312"/>
        <v/>
      </c>
      <c r="HL139" s="54">
        <f>IF($J139="",#N/A,SUM($HK$4:HK139))</f>
        <v>-5.7654810054360146</v>
      </c>
      <c r="HM139" s="54" t="str">
        <f t="shared" si="313"/>
        <v/>
      </c>
      <c r="HN139" s="54">
        <f>IF($J139="",#N/A,SUM($HM$4:HM139))</f>
        <v>0.71812545963587882</v>
      </c>
      <c r="HO139" s="54" t="str">
        <f t="shared" si="314"/>
        <v/>
      </c>
      <c r="HP139" s="54">
        <f>IF($J139="",#N/A,SUM($HO$4:HO139))</f>
        <v>-0.6555551778566262</v>
      </c>
      <c r="HQ139" s="54" t="str">
        <f t="shared" si="315"/>
        <v/>
      </c>
      <c r="HR139" s="54">
        <f>IF($J139="",#N/A,SUM($HQ$4:HQ139))</f>
        <v>-7.3390769661523079</v>
      </c>
      <c r="HS139" s="54" t="str">
        <f t="shared" si="316"/>
        <v/>
      </c>
      <c r="HT139" s="54">
        <f>IF($J139="",#N/A,SUM($HS$4:HS139))</f>
        <v>8.6332733748533617</v>
      </c>
      <c r="HU139" s="65">
        <f t="shared" si="317"/>
        <v>-0.13605442176870702</v>
      </c>
      <c r="HV139" s="65">
        <f>IF($J139="",#N/A,SUM(HU$4:$HU139))</f>
        <v>-11.552189485655839</v>
      </c>
    </row>
    <row r="140" spans="1:230" x14ac:dyDescent="0.25">
      <c r="A140" s="51" t="s">
        <v>1330</v>
      </c>
      <c r="B140" s="52" t="s">
        <v>4540</v>
      </c>
      <c r="C140" s="229">
        <f t="shared" si="218"/>
        <v>2</v>
      </c>
      <c r="D140" s="219" t="str">
        <f>_xlfn.XLOOKUP(A140,[1]SP500!$A$2:$A$502,[1]SP500!$D$2:$D$502,"N")</f>
        <v>Y</v>
      </c>
      <c r="E140" s="51" t="str">
        <f>IFERROR(_xlfn.XLOOKUP(A140,[1]SP500!$A$2:$A$655,[1]SP500!$B$2:$B$655),"")</f>
        <v>XLI</v>
      </c>
      <c r="F140" s="290">
        <v>45776</v>
      </c>
      <c r="G140" s="51" t="str">
        <f t="shared" si="219"/>
        <v>BMO</v>
      </c>
      <c r="H140" s="51" t="str">
        <f t="shared" si="220"/>
        <v>s</v>
      </c>
      <c r="I140" s="343">
        <v>97.09</v>
      </c>
      <c r="J140" s="123">
        <v>96</v>
      </c>
      <c r="K140" s="55">
        <f t="shared" si="221"/>
        <v>-1.1226696879184296E-2</v>
      </c>
      <c r="L140" s="67">
        <f t="shared" si="222"/>
        <v>10.900000000000091</v>
      </c>
      <c r="M140" s="57">
        <f t="shared" si="223"/>
        <v>0</v>
      </c>
      <c r="N140" s="102">
        <f t="shared" si="224"/>
        <v>10.900000000000091</v>
      </c>
      <c r="O140" s="57">
        <f>IF(N140="",#N/A,SUM($N$4:N140))</f>
        <v>-291.85863589938765</v>
      </c>
      <c r="P140" s="65">
        <f t="shared" si="318"/>
        <v>0.18711161465307258</v>
      </c>
      <c r="Q140" s="172">
        <f>IF($N140="",#N/A,SUM($P$4:P140))</f>
        <v>-1.3277969400703142</v>
      </c>
      <c r="R140" s="279">
        <f t="shared" si="225"/>
        <v>5.3314340370596698</v>
      </c>
      <c r="S140" s="51" t="str">
        <f t="shared" si="226"/>
        <v>Dwn</v>
      </c>
      <c r="T140" s="51" t="s">
        <v>4462</v>
      </c>
      <c r="U140" s="56">
        <f t="shared" si="227"/>
        <v>97.09</v>
      </c>
      <c r="V140" s="56" t="s">
        <v>4458</v>
      </c>
      <c r="W140" s="142">
        <v>10</v>
      </c>
      <c r="X140" s="145">
        <f t="shared" si="228"/>
        <v>970.90000000000009</v>
      </c>
      <c r="Y140" s="140">
        <f t="shared" si="229"/>
        <v>10</v>
      </c>
      <c r="Z140" s="123">
        <v>96</v>
      </c>
      <c r="AA140" s="102">
        <f t="shared" si="230"/>
        <v>10.900000000000091</v>
      </c>
      <c r="AB140" s="102">
        <f t="shared" si="231"/>
        <v>3.6000000000000227</v>
      </c>
      <c r="AC140" s="124">
        <v>96.73</v>
      </c>
      <c r="AD140" s="155">
        <f t="shared" si="232"/>
        <v>3.6000000000000227</v>
      </c>
      <c r="AE140" s="545">
        <f t="shared" si="233"/>
        <v>6.1798331445051369E-2</v>
      </c>
      <c r="AF140" s="57">
        <f>IF($AC140="",#N/A,SUM(AD$4:AD140))</f>
        <v>-818.54041200241682</v>
      </c>
      <c r="AG140" s="102">
        <f t="shared" si="234"/>
        <v>-7.3000000000000682</v>
      </c>
      <c r="AH140" s="56" t="s">
        <v>2507</v>
      </c>
      <c r="AI140" s="65">
        <f t="shared" si="235"/>
        <v>0.18711161465307258</v>
      </c>
      <c r="AJ140" s="54">
        <f>IF(AI140="",#N/A,SUM($AI$4:AI140))</f>
        <v>-6.659230977129984</v>
      </c>
      <c r="AK140" s="57">
        <f t="shared" si="236"/>
        <v>10.900000000000091</v>
      </c>
      <c r="AL140" s="349">
        <f>IF(AI140="",#N/A,IF(AH140="Skip",SUM($AK$4:AK140),SUM($AK$4:AK140)))</f>
        <v>-634.92740850718633</v>
      </c>
      <c r="AM140" s="65">
        <f t="shared" si="319"/>
        <v>6.1798331445051369E-2</v>
      </c>
      <c r="AN140" s="209"/>
      <c r="AO140" s="65" t="str">
        <f t="shared" si="237"/>
        <v/>
      </c>
      <c r="AP140" s="65">
        <f>IF($AC140="",#N/A,SUM(AO$4:AO140))</f>
        <v>1.5909250743149224</v>
      </c>
      <c r="AQ140" s="65" t="str">
        <f t="shared" si="238"/>
        <v/>
      </c>
      <c r="AR140" s="65">
        <f>IF($AC140="",#N/A,SUM(AQ$4:AQ140))</f>
        <v>-2.7841084495259749</v>
      </c>
      <c r="AS140" s="65">
        <f t="shared" si="239"/>
        <v>6.1798331445051369E-2</v>
      </c>
      <c r="AT140" s="65">
        <f>IF($AC140="",#N/A,SUM(AS$4:AS140))</f>
        <v>-10.297207778999741</v>
      </c>
      <c r="AU140" s="57" t="str">
        <f t="shared" si="320"/>
        <v/>
      </c>
      <c r="AV140" s="57">
        <f>IF($AC140="",#N/A,SUM(AU$4:AU140))</f>
        <v>18.921206451250555</v>
      </c>
      <c r="AW140" s="57" t="str">
        <f t="shared" si="321"/>
        <v/>
      </c>
      <c r="AX140" s="57">
        <f>IF($AC140="",#N/A,SUM(AW$4:AW140))</f>
        <v>-174.74000000000024</v>
      </c>
      <c r="AY140" s="57">
        <f t="shared" si="322"/>
        <v>3.6000000000000227</v>
      </c>
      <c r="AZ140" s="57">
        <f>IF($AC140="",#N/A,SUM(AY$4:AY140))</f>
        <v>-662.72161845366713</v>
      </c>
      <c r="BA140" s="57">
        <f>IF(AD140="",#N/A,SUM($AD$4:AD140))</f>
        <v>-818.54041200241682</v>
      </c>
      <c r="BC140" s="51" t="str">
        <f t="shared" si="240"/>
        <v/>
      </c>
      <c r="BD140" s="51" t="str">
        <f t="shared" si="241"/>
        <v/>
      </c>
      <c r="BE140" s="51" t="str">
        <f t="shared" si="242"/>
        <v/>
      </c>
      <c r="BF140" s="51" t="str">
        <f t="shared" si="243"/>
        <v>Short</v>
      </c>
      <c r="BG140" s="51">
        <f t="shared" si="244"/>
        <v>1</v>
      </c>
      <c r="BH140" s="51" t="str">
        <f t="shared" si="245"/>
        <v/>
      </c>
      <c r="BI140" s="51" t="str">
        <f t="shared" si="246"/>
        <v/>
      </c>
      <c r="BK140" s="65">
        <f t="shared" si="217"/>
        <v>2.7143911422352493E-2</v>
      </c>
      <c r="BL140" s="65">
        <f t="shared" si="216"/>
        <v>0.16150394948899488</v>
      </c>
      <c r="BM140" s="65">
        <f>IFERROR(Q140/COUNTA($J$4:J140),#N/A)</f>
        <v>-9.6919484676665276E-3</v>
      </c>
      <c r="BO140" s="489" t="e">
        <f>IF(J140="",#N/A,IF(S140="SW",(COUNTIFS(K$4:$K140,"&gt;0",S$4:$S140,"SW")/COUNTIF(S$4:$S140,"SW")),#N/A))</f>
        <v>#N/A</v>
      </c>
      <c r="BP140" s="489">
        <f>IF($J140="",#N/A,IF($S140="DWN",(COUNTIFS($K$4:$K140,"&lt;0",$S$4:$S140,"DWN")/COUNTIF($S$4:$S140,"DWN")),#N/A))</f>
        <v>0.58181818181818179</v>
      </c>
      <c r="BQ140" s="489" t="e">
        <f>IF($J140="",#N/A,IF($S140="UP",(COUNTIFS($K$4:$K140,"&gt;0",$S$4:$S140,"UP")/COUNTIF($S$4:$S140,"UP")),#N/A))</f>
        <v>#N/A</v>
      </c>
      <c r="BR140" s="489">
        <f>IF(J140="",#N/A,COUNTIF($K$4:K140,"&gt;0")/COUNT($J$4:J140))</f>
        <v>0.45255474452554745</v>
      </c>
      <c r="BS140" s="65" t="str">
        <f t="shared" si="247"/>
        <v/>
      </c>
      <c r="BT140" s="65" t="str">
        <f t="shared" si="248"/>
        <v/>
      </c>
      <c r="BU140" s="65">
        <f t="shared" si="249"/>
        <v>0.18711161465307258</v>
      </c>
      <c r="BV140" s="65" t="str">
        <f t="shared" si="250"/>
        <v/>
      </c>
      <c r="BW140" s="128" t="str">
        <f t="shared" si="251"/>
        <v/>
      </c>
      <c r="BX140" s="128">
        <f>IF($J140="",#N/A,SUM($BW$4:BW140))</f>
        <v>-181.36500000000035</v>
      </c>
      <c r="BY140" s="131">
        <f t="shared" si="252"/>
        <v>10.900000000000091</v>
      </c>
      <c r="BZ140" s="131">
        <f>IF($J140="",#N/A,SUM($BY$4:BY140))</f>
        <v>1.3043403893335608</v>
      </c>
      <c r="CA140" s="133" t="str">
        <f t="shared" si="253"/>
        <v/>
      </c>
      <c r="CB140" s="133">
        <f>IF($J140="",#N/A,SUM($CA$4:CA140))</f>
        <v>-111.79797628872086</v>
      </c>
      <c r="CC140" s="194" t="str">
        <f t="shared" si="254"/>
        <v/>
      </c>
      <c r="CD140" s="194">
        <f>IF($J140="",#N/A,SUM($CC$4:CC140))</f>
        <v>-2.8466787313052277</v>
      </c>
      <c r="CE140" s="195">
        <f t="shared" si="255"/>
        <v>0.18711161465307258</v>
      </c>
      <c r="CF140" s="195">
        <f>IF($J140="",#N/A,SUM($CE$4:CE140))</f>
        <v>1.2221531256210452</v>
      </c>
      <c r="CG140" s="196" t="str">
        <f t="shared" si="256"/>
        <v/>
      </c>
      <c r="CH140" s="193">
        <f>IF($J140="",#N/A,SUM($CG$4:CG140))</f>
        <v>0.2967286656138724</v>
      </c>
      <c r="CI140" s="200" t="str">
        <f t="shared" si="257"/>
        <v/>
      </c>
      <c r="CJ140" s="203">
        <f>IF($J140="",#N/A,SUM(CI$4:CI140))</f>
        <v>0</v>
      </c>
      <c r="CK140" s="204" t="str">
        <f t="shared" si="258"/>
        <v/>
      </c>
      <c r="CL140" s="204">
        <f>IF($J140="",#N/A,SUM(CK$4:CK140))</f>
        <v>2.2335791887408174</v>
      </c>
      <c r="CM140" s="205" t="str">
        <f t="shared" si="259"/>
        <v/>
      </c>
      <c r="CN140" s="205">
        <f>IF($J140="",#N/A,SUM(CM$4:CM140))</f>
        <v>2.2555985727472319</v>
      </c>
      <c r="CO140" s="205">
        <f>IF($J140="",#N/A,SUM(CM$4:CM140,CK$4:CK140,CI$4:CI140))</f>
        <v>4.4891777614880493</v>
      </c>
      <c r="CP140" s="200" t="str">
        <f t="shared" si="260"/>
        <v/>
      </c>
      <c r="CQ140" s="203">
        <f>IF($J140="",#N/A,SUM(CP$4:CP140))</f>
        <v>0</v>
      </c>
      <c r="CR140" s="204" t="str">
        <f t="shared" si="261"/>
        <v/>
      </c>
      <c r="CS140" s="204">
        <f>IF($J140="",#N/A,SUM(CR$4:CR140))</f>
        <v>0</v>
      </c>
      <c r="CT140" s="205" t="str">
        <f t="shared" si="262"/>
        <v/>
      </c>
      <c r="CU140" s="205">
        <f>IF($J140="",#N/A,SUM(CT$4:CT140))</f>
        <v>0</v>
      </c>
      <c r="CV140" s="205">
        <f>IF($J140="",#N/A,SUM(CT$4:CT140,CR$4:CR140,CP$4:CP140))</f>
        <v>0</v>
      </c>
      <c r="CW140" s="200" t="str">
        <f t="shared" si="263"/>
        <v/>
      </c>
      <c r="CX140" s="203">
        <f>IF($J140="",#N/A,SUM(CW$4:CW140))</f>
        <v>0</v>
      </c>
      <c r="CY140" s="204" t="str">
        <f t="shared" si="264"/>
        <v/>
      </c>
      <c r="CZ140" s="204">
        <f>IF($J140="",#N/A,SUM(CY$4:CY140))</f>
        <v>-1.9289529100071134</v>
      </c>
      <c r="DA140" s="205" t="str">
        <f t="shared" si="265"/>
        <v/>
      </c>
      <c r="DB140" s="205">
        <f>IF($J140="",#N/A,SUM(DA$4:DA140))</f>
        <v>3.1364376348577139E-3</v>
      </c>
      <c r="DC140" s="205">
        <f>IF($J140="",#N/A,SUM(DA$4:DA140,CY$4:CY140,CW$4:CW140))</f>
        <v>-1.9258164723722557</v>
      </c>
      <c r="DD140" s="200" t="str">
        <f t="shared" si="266"/>
        <v/>
      </c>
      <c r="DE140" s="203">
        <f>IF($J140="",#N/A,SUM(DD$4:DD140))</f>
        <v>0.4905246481018824</v>
      </c>
      <c r="DF140" s="204" t="str">
        <f t="shared" si="267"/>
        <v/>
      </c>
      <c r="DG140" s="204">
        <f>IF($J140="",#N/A,SUM(DF$4:DF140))</f>
        <v>1.261291609944398</v>
      </c>
      <c r="DH140" s="205" t="str">
        <f t="shared" si="268"/>
        <v/>
      </c>
      <c r="DI140" s="205">
        <f>IF($J140="",#N/A,SUM(DH$4:DH140))</f>
        <v>-1.3154755601364099</v>
      </c>
      <c r="DJ140" s="205">
        <f>IF($J140="",#N/A,SUM(DH$4:DH140,DF$4:DF140,DD$4:DD140))</f>
        <v>0.43634069790987046</v>
      </c>
      <c r="DK140" s="200" t="str">
        <f t="shared" si="269"/>
        <v/>
      </c>
      <c r="DL140" s="203">
        <f>IF($J140="",#N/A,SUM(DK$4:DK140))</f>
        <v>-1.2097286851272664</v>
      </c>
      <c r="DM140" s="204" t="str">
        <f t="shared" si="270"/>
        <v/>
      </c>
      <c r="DN140" s="204">
        <f>IF($J140="",#N/A,SUM(DM$4:DM140))</f>
        <v>1.1910608267574658</v>
      </c>
      <c r="DO140" s="205" t="str">
        <f t="shared" si="271"/>
        <v/>
      </c>
      <c r="DP140" s="205">
        <f>IF($J140="",#N/A,SUM(DO$4:DO140))</f>
        <v>1.3495058802125319</v>
      </c>
      <c r="DQ140" s="205">
        <f>IF($J140="",#N/A,SUM(DO$4:DO140,DM$4:DM140,DK$4:DK140))</f>
        <v>1.3308380218427318</v>
      </c>
      <c r="DR140" s="200" t="str">
        <f t="shared" si="272"/>
        <v/>
      </c>
      <c r="DS140" s="203">
        <f>IF($J140="",#N/A,SUM(DR$4:DR140))</f>
        <v>-0.55950946427675097</v>
      </c>
      <c r="DT140" s="204" t="str">
        <f t="shared" si="273"/>
        <v/>
      </c>
      <c r="DU140" s="204">
        <f>IF($J140="",#N/A,SUM(DT$4:DT140))</f>
        <v>-3.13334520229097</v>
      </c>
      <c r="DV140" s="205" t="str">
        <f t="shared" si="274"/>
        <v/>
      </c>
      <c r="DW140" s="205">
        <f>IF($J140="",#N/A,SUM(DV$4:DV140))</f>
        <v>-2.6814706788983136</v>
      </c>
      <c r="DX140" s="205">
        <f>IF($J140="",#N/A,SUM(DV$4:DV140,DT$4:DT140,DR$4:DR140))</f>
        <v>-6.3743253454660342</v>
      </c>
      <c r="DY140" s="200" t="str">
        <f t="shared" si="275"/>
        <v/>
      </c>
      <c r="DZ140" s="203">
        <f>IF($J140="",#N/A,SUM(DY$4:DY140))</f>
        <v>-1.63480022183437</v>
      </c>
      <c r="EA140" s="204">
        <f t="shared" si="276"/>
        <v>0.18711161465307258</v>
      </c>
      <c r="EB140" s="204">
        <f>IF($J140="",#N/A,SUM(EA$4:EA140))</f>
        <v>0.79979533615398157</v>
      </c>
      <c r="EC140" s="205" t="str">
        <f t="shared" si="277"/>
        <v/>
      </c>
      <c r="ED140" s="205">
        <f>IF($J140="",#N/A,SUM(EC$4:EC140))</f>
        <v>1.7103671484331777</v>
      </c>
      <c r="EE140" s="205">
        <f>IF($J140="",#N/A,SUM(EC$4:EC140,EA$4:EA140,DY$4:DY140))</f>
        <v>0.8753622627527895</v>
      </c>
      <c r="EF140" s="200" t="str">
        <f t="shared" si="278"/>
        <v/>
      </c>
      <c r="EG140" s="203">
        <f>IF($J140="",#N/A,SUM(EF$4:EF140))</f>
        <v>0</v>
      </c>
      <c r="EH140" s="204" t="str">
        <f t="shared" si="279"/>
        <v/>
      </c>
      <c r="EI140" s="204">
        <f>IF($J140="",#N/A,SUM(EH$4:EH140))</f>
        <v>-2.6174111635897193</v>
      </c>
      <c r="EJ140" s="205" t="str">
        <f t="shared" si="280"/>
        <v/>
      </c>
      <c r="EK140" s="205">
        <f>IF($J140="",#N/A,SUM(EJ$4:EJ140))</f>
        <v>1.7255127285193785</v>
      </c>
      <c r="EL140" s="205">
        <f>IF($J140="",#N/A,SUM(EJ$4:EJ140,EH$4:EH140,EF$4:EF140))</f>
        <v>-0.89189843507034017</v>
      </c>
      <c r="EM140" s="200" t="str">
        <f t="shared" si="281"/>
        <v/>
      </c>
      <c r="EN140" s="203">
        <f>IF($J140="",#N/A,SUM(EM$4:EM140))</f>
        <v>0</v>
      </c>
      <c r="EO140" s="204" t="str">
        <f t="shared" si="282"/>
        <v/>
      </c>
      <c r="EP140" s="204">
        <f>IF($J140="",#N/A,SUM(EO$4:EO140))</f>
        <v>1.6293103394057216</v>
      </c>
      <c r="EQ140" s="205" t="str">
        <f t="shared" si="283"/>
        <v/>
      </c>
      <c r="ER140" s="205">
        <f>IF($J140="",#N/A,SUM(EQ$4:EQ140))</f>
        <v>0.4926597949853756</v>
      </c>
      <c r="ES140" s="205">
        <f>IF($J140="",#N/A,SUM(EQ$4:EQ140,EO$4:EO140,EM$4:EM140))</f>
        <v>2.1219701343910971</v>
      </c>
      <c r="ET140" s="200" t="str">
        <f t="shared" si="284"/>
        <v/>
      </c>
      <c r="EU140" s="203">
        <f>IF($J140="",#N/A,SUM(ET$4:ET140))</f>
        <v>0</v>
      </c>
      <c r="EV140" s="204" t="str">
        <f t="shared" si="285"/>
        <v/>
      </c>
      <c r="EW140" s="204">
        <f>IF($J140="",#N/A,SUM(EV$4:EV140))</f>
        <v>0.90459527759708336</v>
      </c>
      <c r="EX140" s="205" t="str">
        <f t="shared" si="286"/>
        <v/>
      </c>
      <c r="EY140" s="205">
        <f>IF($J140="",#N/A,SUM(EX$4:EX140))</f>
        <v>0.22957553748493481</v>
      </c>
      <c r="EZ140" s="205">
        <f>IF($J140="",#N/A,SUM(EX$4:EX140,EV$4:EV140,ET$4:ET140))</f>
        <v>1.134170815082018</v>
      </c>
      <c r="FA140" s="200" t="str">
        <f t="shared" si="287"/>
        <v/>
      </c>
      <c r="FB140" s="203">
        <f>IF($J140="",#N/A,SUM(FA$4:FA140))</f>
        <v>0</v>
      </c>
      <c r="FC140" s="204" t="str">
        <f t="shared" si="288"/>
        <v/>
      </c>
      <c r="FD140" s="204">
        <f>IF($J140="",#N/A,SUM(FC$4:FC140))</f>
        <v>1.6839191319663924</v>
      </c>
      <c r="FE140" s="205" t="str">
        <f t="shared" si="289"/>
        <v/>
      </c>
      <c r="FF140" s="205">
        <f>IF($J140="",#N/A,SUM(FE$4:FE140))</f>
        <v>-0.28811149078748233</v>
      </c>
      <c r="FG140" s="205">
        <f>IF($J140="",#N/A,SUM(FE$4:FE140,FC$4:FC140,FA$4:FA140))</f>
        <v>1.3958076411789102</v>
      </c>
      <c r="FH140" s="200" t="str">
        <f t="shared" si="290"/>
        <v/>
      </c>
      <c r="FI140" s="203">
        <f>IF($J140="",#N/A,SUM(FH$4:FH140))</f>
        <v>0</v>
      </c>
      <c r="FJ140" s="204" t="str">
        <f t="shared" si="291"/>
        <v/>
      </c>
      <c r="FK140" s="204">
        <f>IF($J140="",#N/A,SUM(FJ$4:FJ140))</f>
        <v>0</v>
      </c>
      <c r="FL140" s="205" t="str">
        <f t="shared" si="292"/>
        <v/>
      </c>
      <c r="FM140" s="205">
        <f>IF($J140="",#N/A,SUM(FL$4:FL140))</f>
        <v>0</v>
      </c>
      <c r="FN140" s="205">
        <f>IF($J140="",#N/A,SUM(FL$4:FL140,FJ$4:FJ140,FH$4:FH140))</f>
        <v>0</v>
      </c>
      <c r="FO140" s="200" t="str">
        <f t="shared" si="293"/>
        <v/>
      </c>
      <c r="FP140" s="203">
        <f>IF($J140="",#N/A,SUM(FO$4:FO140))</f>
        <v>0</v>
      </c>
      <c r="FQ140" s="204" t="str">
        <f t="shared" si="294"/>
        <v/>
      </c>
      <c r="FR140" s="204">
        <f>IF($J140="",#N/A,SUM(FQ$4:FQ140))</f>
        <v>0</v>
      </c>
      <c r="FS140" s="205" t="str">
        <f t="shared" si="295"/>
        <v/>
      </c>
      <c r="FT140" s="205">
        <f>IF($J140="",#N/A,SUM(FS$4:FS140))</f>
        <v>0</v>
      </c>
      <c r="FU140" s="205">
        <f>IF($J140="",#N/A,SUM(FS$4:FS140,FQ$4:FQ140,FO$4:FO140))</f>
        <v>0</v>
      </c>
      <c r="FV140" s="200" t="str">
        <f t="shared" si="296"/>
        <v/>
      </c>
      <c r="FW140" s="203">
        <f>IF($J140="",#N/A,SUM(FV$4:FV140))</f>
        <v>6.6834991831277585E-2</v>
      </c>
      <c r="FX140" s="204" t="str">
        <f t="shared" si="297"/>
        <v/>
      </c>
      <c r="FY140" s="204">
        <f>IF($J140="",#N/A,SUM(FX$4:FX140))</f>
        <v>0</v>
      </c>
      <c r="FZ140" s="205" t="str">
        <f t="shared" si="298"/>
        <v/>
      </c>
      <c r="GA140" s="205">
        <f>IF($J140="",#N/A,SUM(FZ$4:FZ140))</f>
        <v>-0.24773347685909197</v>
      </c>
      <c r="GB140" s="205">
        <f>IF($J140="",#N/A,SUM(FZ$4:FZ140,FX$4:FX140,FV$4:FV140))</f>
        <v>-0.18089848502781439</v>
      </c>
      <c r="GC140" s="200" t="str">
        <f t="shared" si="299"/>
        <v/>
      </c>
      <c r="GD140" s="203">
        <f>IF($J140="",#N/A,SUM(GC$4:GC140))</f>
        <v>0</v>
      </c>
      <c r="GE140" s="204" t="str">
        <f t="shared" si="300"/>
        <v/>
      </c>
      <c r="GF140" s="204">
        <f>IF($J140="",#N/A,SUM(GE$4:GE140))</f>
        <v>0</v>
      </c>
      <c r="GG140" s="205" t="str">
        <f t="shared" si="301"/>
        <v/>
      </c>
      <c r="GH140" s="205">
        <f>IF($J140="",#N/A,SUM(GG$4:GG140))</f>
        <v>-2.9368362277223206</v>
      </c>
      <c r="GI140" s="205">
        <f>IF($J140="",#N/A,SUM(GG$4:GG140,GE$4:GE140,GC$4:GC140))</f>
        <v>-2.9368362277223206</v>
      </c>
      <c r="GJ140" s="200" t="str">
        <f t="shared" si="302"/>
        <v/>
      </c>
      <c r="GK140" s="203">
        <f>IF($J140="",#N/A,SUM(GJ$4:GJ140))</f>
        <v>0</v>
      </c>
      <c r="GL140" s="204" t="str">
        <f t="shared" si="303"/>
        <v/>
      </c>
      <c r="GM140" s="204">
        <f>IF($J140="",#N/A,SUM(GL$4:GL140))</f>
        <v>-0.80168930905701452</v>
      </c>
      <c r="GN140" s="205" t="str">
        <f t="shared" si="304"/>
        <v/>
      </c>
      <c r="GO140" s="205">
        <f>IF($J140="",#N/A,SUM(GN$4:GN140))</f>
        <v>0</v>
      </c>
      <c r="GP140" s="205">
        <f>IF($J140="",#N/A,SUM(GN$4:GN140,GL$4:GL140,GJ$4:GJ140))</f>
        <v>-0.80168930905701452</v>
      </c>
      <c r="GS140" s="54">
        <f t="shared" si="323"/>
        <v>0.18711161465307258</v>
      </c>
      <c r="GT140" s="54">
        <f>IF(GS140="",NA(),SUM($GS$4:GS140))</f>
        <v>-1.8056478219631149</v>
      </c>
      <c r="GU140" s="54" t="str">
        <f t="shared" si="305"/>
        <v/>
      </c>
      <c r="GV140" s="54" t="e">
        <f>IF(GU140="",NA(),SUM($GU$4:GU140))</f>
        <v>#N/A</v>
      </c>
      <c r="GW140" s="54" t="str">
        <f t="shared" si="306"/>
        <v/>
      </c>
      <c r="GX140" s="54" t="e">
        <f>IF(GW140="",NA(),SUM($GW$4:GW140))</f>
        <v>#N/A</v>
      </c>
      <c r="GY140" s="54">
        <f t="shared" si="307"/>
        <v>0.18711161465307258</v>
      </c>
      <c r="GZ140" s="54">
        <f>IF(GY140="",NA(),SUM($GY$4:GY140))</f>
        <v>0.94629105665552815</v>
      </c>
      <c r="HA140" s="54" t="str">
        <f t="shared" si="308"/>
        <v/>
      </c>
      <c r="HB140" s="54" t="e">
        <f>IF(HA140="",NA(),SUM($HA$4:HA140))</f>
        <v>#N/A</v>
      </c>
      <c r="HC140" s="54" t="str">
        <f t="shared" si="309"/>
        <v/>
      </c>
      <c r="HD140" s="54" t="e">
        <f>IF(HC140="",NA(),SUM($HC$4:HC140))</f>
        <v>#N/A</v>
      </c>
      <c r="HE140" s="54" t="str">
        <f t="shared" si="310"/>
        <v/>
      </c>
      <c r="HF140" s="54" t="e">
        <f>IF(HE140="",NA(),SUM($HE$4:HE140))</f>
        <v>#N/A</v>
      </c>
      <c r="HG140" s="54" t="str">
        <f t="shared" si="311"/>
        <v/>
      </c>
      <c r="HH140" s="54" t="e">
        <f>IF(HG140="",NA(),SUM($HG$4:HG140))</f>
        <v>#N/A</v>
      </c>
      <c r="HI140" s="172">
        <f t="shared" si="324"/>
        <v>-0.12531328320802121</v>
      </c>
      <c r="HJ140" s="172">
        <f>IF($J140="",#N/A,SUM(HI$4:$HI140))</f>
        <v>-5.7538798991847679</v>
      </c>
      <c r="HK140" s="54" t="str">
        <f t="shared" si="312"/>
        <v/>
      </c>
      <c r="HL140" s="54">
        <f>IF($J140="",#N/A,SUM($HK$4:HK140))</f>
        <v>-5.7654810054360146</v>
      </c>
      <c r="HM140" s="54" t="str">
        <f t="shared" si="313"/>
        <v/>
      </c>
      <c r="HN140" s="54">
        <f>IF($J140="",#N/A,SUM($HM$4:HM140))</f>
        <v>0.71812545963587882</v>
      </c>
      <c r="HO140" s="54" t="str">
        <f t="shared" si="314"/>
        <v/>
      </c>
      <c r="HP140" s="54">
        <f>IF($J140="",#N/A,SUM($HO$4:HO140))</f>
        <v>-0.6555551778566262</v>
      </c>
      <c r="HQ140" s="54" t="str">
        <f t="shared" si="315"/>
        <v/>
      </c>
      <c r="HR140" s="54">
        <f>IF($J140="",#N/A,SUM($HQ$4:HQ140))</f>
        <v>-7.3390769661523079</v>
      </c>
      <c r="HS140" s="54" t="str">
        <f t="shared" si="316"/>
        <v/>
      </c>
      <c r="HT140" s="54">
        <f>IF($J140="",#N/A,SUM($HS$4:HS140))</f>
        <v>8.6332733748533617</v>
      </c>
      <c r="HU140" s="65">
        <f t="shared" si="317"/>
        <v>6.1798331445051369E-2</v>
      </c>
      <c r="HV140" s="65">
        <f>IF($J140="",#N/A,SUM(HU$4:$HU140))</f>
        <v>-11.490391154210789</v>
      </c>
    </row>
    <row r="141" spans="1:230" x14ac:dyDescent="0.25">
      <c r="A141" s="51" t="s">
        <v>1339</v>
      </c>
      <c r="B141" s="52" t="s">
        <v>4540</v>
      </c>
      <c r="C141" s="229">
        <f t="shared" si="218"/>
        <v>1</v>
      </c>
      <c r="D141" s="219" t="str">
        <f>_xlfn.XLOOKUP(A141,[1]SP500!$A$2:$A$502,[1]SP500!$D$2:$D$502,"N")</f>
        <v>Y</v>
      </c>
      <c r="E141" s="51" t="str">
        <f>IFERROR(_xlfn.XLOOKUP(A141,[1]SP500!$A$2:$A$655,[1]SP500!$B$2:$B$655),"")</f>
        <v>XLP</v>
      </c>
      <c r="F141" s="290">
        <v>45776</v>
      </c>
      <c r="G141" s="51" t="str">
        <f t="shared" si="219"/>
        <v>BMO</v>
      </c>
      <c r="H141" s="51" t="str">
        <f t="shared" si="220"/>
        <v>s</v>
      </c>
      <c r="I141" s="343">
        <v>58.19</v>
      </c>
      <c r="J141" s="123">
        <v>57</v>
      </c>
      <c r="K141" s="55">
        <f t="shared" si="221"/>
        <v>-2.0450249183708503E-2</v>
      </c>
      <c r="L141" s="67">
        <f t="shared" si="222"/>
        <v>-23.799999999999955</v>
      </c>
      <c r="M141" s="57">
        <f t="shared" si="223"/>
        <v>1</v>
      </c>
      <c r="N141" s="102">
        <f t="shared" si="224"/>
        <v>-23.799999999999955</v>
      </c>
      <c r="O141" s="57">
        <f>IF(N141="",#N/A,SUM($N$4:N141))</f>
        <v>-315.6586358993876</v>
      </c>
      <c r="P141" s="65">
        <f t="shared" si="318"/>
        <v>-0.34083748639514178</v>
      </c>
      <c r="Q141" s="172">
        <f>IF($N141="",#N/A,SUM($P$4:P141))</f>
        <v>-1.668634426465456</v>
      </c>
      <c r="R141" s="279">
        <f t="shared" si="225"/>
        <v>5.3171131342699578</v>
      </c>
      <c r="S141" s="51" t="str">
        <f t="shared" si="226"/>
        <v>Up</v>
      </c>
      <c r="T141" s="51" t="s">
        <v>4461</v>
      </c>
      <c r="U141" s="56">
        <f t="shared" si="227"/>
        <v>58.19</v>
      </c>
      <c r="V141" s="56" t="s">
        <v>4460</v>
      </c>
      <c r="W141" s="142">
        <v>20</v>
      </c>
      <c r="X141" s="145">
        <f t="shared" si="228"/>
        <v>1163.8</v>
      </c>
      <c r="Y141" s="140">
        <f t="shared" si="229"/>
        <v>20</v>
      </c>
      <c r="Z141" s="123">
        <v>57.05</v>
      </c>
      <c r="AA141" s="102">
        <f t="shared" si="230"/>
        <v>-22.799999999999955</v>
      </c>
      <c r="AB141" s="102">
        <f t="shared" si="231"/>
        <v>11.600000000000136</v>
      </c>
      <c r="AC141" s="124">
        <v>58.77</v>
      </c>
      <c r="AD141" s="155">
        <f t="shared" si="232"/>
        <v>11.600000000000136</v>
      </c>
      <c r="AE141" s="545">
        <f t="shared" si="233"/>
        <v>0.16612247236065961</v>
      </c>
      <c r="AF141" s="57">
        <f>IF($AC141="",#N/A,SUM(AD$4:AD141))</f>
        <v>-806.94041200241668</v>
      </c>
      <c r="AG141" s="102">
        <f t="shared" si="234"/>
        <v>35.400000000000091</v>
      </c>
      <c r="AH141" s="56" t="s">
        <v>2507</v>
      </c>
      <c r="AI141" s="65">
        <f t="shared" si="235"/>
        <v>-0.3265165836054299</v>
      </c>
      <c r="AJ141" s="54">
        <f>IF(AI141="",#N/A,SUM($AI$4:AI141))</f>
        <v>-6.9857475607354136</v>
      </c>
      <c r="AK141" s="57">
        <f t="shared" si="236"/>
        <v>-22.799999999999955</v>
      </c>
      <c r="AL141" s="349">
        <f>IF(AI141="",#N/A,IF(AH141="Skip",SUM($AK$4:AK141),SUM($AK$4:AK141)))</f>
        <v>-657.72740850718628</v>
      </c>
      <c r="AM141" s="65">
        <f t="shared" si="319"/>
        <v>0.16612247236065961</v>
      </c>
      <c r="AN141" s="209"/>
      <c r="AO141" s="65" t="str">
        <f t="shared" si="237"/>
        <v/>
      </c>
      <c r="AP141" s="65">
        <f>IF($AC141="",#N/A,SUM(AO$4:AO141))</f>
        <v>1.5909250743149224</v>
      </c>
      <c r="AQ141" s="65">
        <f t="shared" si="238"/>
        <v>0.16612247236065961</v>
      </c>
      <c r="AR141" s="65">
        <f>IF($AC141="",#N/A,SUM(AQ$4:AQ141))</f>
        <v>-2.6179859771653153</v>
      </c>
      <c r="AS141" s="65" t="str">
        <f t="shared" si="239"/>
        <v/>
      </c>
      <c r="AT141" s="65">
        <f>IF($AC141="",#N/A,SUM(AS$4:AS141))</f>
        <v>-10.297207778999741</v>
      </c>
      <c r="AU141" s="57" t="str">
        <f t="shared" si="320"/>
        <v/>
      </c>
      <c r="AV141" s="57">
        <f>IF($AC141="",#N/A,SUM(AU$4:AU141))</f>
        <v>18.921206451250555</v>
      </c>
      <c r="AW141" s="57">
        <f t="shared" si="321"/>
        <v>11.600000000000136</v>
      </c>
      <c r="AX141" s="57">
        <f>IF($AC141="",#N/A,SUM(AW$4:AW141))</f>
        <v>-163.1400000000001</v>
      </c>
      <c r="AY141" s="57" t="str">
        <f t="shared" si="322"/>
        <v/>
      </c>
      <c r="AZ141" s="57">
        <f>IF($AC141="",#N/A,SUM(AY$4:AY141))</f>
        <v>-662.72161845366713</v>
      </c>
      <c r="BA141" s="57">
        <f>IF(AD141="",#N/A,SUM($AD$4:AD141))</f>
        <v>-806.94041200241668</v>
      </c>
      <c r="BC141" s="51" t="str">
        <f t="shared" si="240"/>
        <v/>
      </c>
      <c r="BD141" s="51" t="str">
        <f t="shared" si="241"/>
        <v/>
      </c>
      <c r="BE141" s="51" t="str">
        <f t="shared" si="242"/>
        <v/>
      </c>
      <c r="BF141" s="51" t="str">
        <f t="shared" si="243"/>
        <v>Long</v>
      </c>
      <c r="BG141" s="51" t="str">
        <f t="shared" si="244"/>
        <v/>
      </c>
      <c r="BH141" s="51">
        <f t="shared" si="245"/>
        <v>1</v>
      </c>
      <c r="BI141" s="51" t="str">
        <f t="shared" si="246"/>
        <v/>
      </c>
      <c r="BK141" s="65">
        <f t="shared" si="217"/>
        <v>2.839977540598837E-3</v>
      </c>
      <c r="BL141" s="65">
        <f t="shared" si="216"/>
        <v>0.12292173350605058</v>
      </c>
      <c r="BM141" s="65">
        <f>IFERROR(Q141/COUNTA($J$4:J141),#N/A)</f>
        <v>-1.2091553814967073E-2</v>
      </c>
      <c r="BO141" s="489" t="e">
        <f>IF(J141="",#N/A,IF(S141="SW",(COUNTIFS(K$4:$K141,"&gt;0",S$4:$S141,"SW")/COUNTIF(S$4:$S141,"SW")),#N/A))</f>
        <v>#N/A</v>
      </c>
      <c r="BP141" s="489" t="e">
        <f>IF($J141="",#N/A,IF($S141="DWN",(COUNTIFS($K$4:$K141,"&lt;0",$S$4:$S141,"DWN")/COUNTIF($S$4:$S141,"DWN")),#N/A))</f>
        <v>#N/A</v>
      </c>
      <c r="BQ141" s="489">
        <f>IF($J141="",#N/A,IF($S141="UP",(COUNTIFS($K$4:$K141,"&gt;0",$S$4:$S141,"UP")/COUNTIF($S$4:$S141,"UP")),#N/A))</f>
        <v>0.375</v>
      </c>
      <c r="BR141" s="489">
        <f>IF(J141="",#N/A,COUNTIF($K$4:K141,"&gt;0")/COUNT($J$4:J141))</f>
        <v>0.44927536231884058</v>
      </c>
      <c r="BS141" s="65" t="str">
        <f t="shared" si="247"/>
        <v/>
      </c>
      <c r="BT141" s="65">
        <f t="shared" si="248"/>
        <v>-0.34083748639514178</v>
      </c>
      <c r="BU141" s="65" t="str">
        <f t="shared" si="249"/>
        <v/>
      </c>
      <c r="BV141" s="65" t="str">
        <f t="shared" si="250"/>
        <v/>
      </c>
      <c r="BW141" s="128">
        <f t="shared" si="251"/>
        <v>-23.799999999999955</v>
      </c>
      <c r="BX141" s="128">
        <f>IF($J141="",#N/A,SUM($BW$4:BW141))</f>
        <v>-205.1650000000003</v>
      </c>
      <c r="BY141" s="131" t="str">
        <f t="shared" si="252"/>
        <v/>
      </c>
      <c r="BZ141" s="131">
        <f>IF($J141="",#N/A,SUM($BY$4:BY141))</f>
        <v>1.3043403893335608</v>
      </c>
      <c r="CA141" s="133" t="str">
        <f t="shared" si="253"/>
        <v/>
      </c>
      <c r="CB141" s="133">
        <f>IF($J141="",#N/A,SUM($CA$4:CA141))</f>
        <v>-111.79797628872086</v>
      </c>
      <c r="CC141" s="194">
        <f t="shared" si="254"/>
        <v>-0.34083748639514178</v>
      </c>
      <c r="CD141" s="194">
        <f>IF($J141="",#N/A,SUM($CC$4:CC141))</f>
        <v>-3.1875162177003693</v>
      </c>
      <c r="CE141" s="195" t="str">
        <f t="shared" si="255"/>
        <v/>
      </c>
      <c r="CF141" s="195">
        <f>IF($J141="",#N/A,SUM($CE$4:CE141))</f>
        <v>1.2221531256210452</v>
      </c>
      <c r="CG141" s="196" t="str">
        <f t="shared" si="256"/>
        <v/>
      </c>
      <c r="CH141" s="193">
        <f>IF($J141="",#N/A,SUM($CG$4:CG141))</f>
        <v>0.2967286656138724</v>
      </c>
      <c r="CI141" s="200" t="str">
        <f t="shared" si="257"/>
        <v/>
      </c>
      <c r="CJ141" s="203">
        <f>IF($J141="",#N/A,SUM(CI$4:CI141))</f>
        <v>0</v>
      </c>
      <c r="CK141" s="204" t="str">
        <f t="shared" si="258"/>
        <v/>
      </c>
      <c r="CL141" s="204">
        <f>IF($J141="",#N/A,SUM(CK$4:CK141))</f>
        <v>2.2335791887408174</v>
      </c>
      <c r="CM141" s="205" t="str">
        <f t="shared" si="259"/>
        <v/>
      </c>
      <c r="CN141" s="205">
        <f>IF($J141="",#N/A,SUM(CM$4:CM141))</f>
        <v>2.2555985727472319</v>
      </c>
      <c r="CO141" s="205">
        <f>IF($J141="",#N/A,SUM(CM$4:CM141,CK$4:CK141,CI$4:CI141))</f>
        <v>4.4891777614880493</v>
      </c>
      <c r="CP141" s="200" t="str">
        <f t="shared" si="260"/>
        <v/>
      </c>
      <c r="CQ141" s="203">
        <f>IF($J141="",#N/A,SUM(CP$4:CP141))</f>
        <v>0</v>
      </c>
      <c r="CR141" s="204" t="str">
        <f t="shared" si="261"/>
        <v/>
      </c>
      <c r="CS141" s="204">
        <f>IF($J141="",#N/A,SUM(CR$4:CR141))</f>
        <v>0</v>
      </c>
      <c r="CT141" s="205" t="str">
        <f t="shared" si="262"/>
        <v/>
      </c>
      <c r="CU141" s="205">
        <f>IF($J141="",#N/A,SUM(CT$4:CT141))</f>
        <v>0</v>
      </c>
      <c r="CV141" s="205">
        <f>IF($J141="",#N/A,SUM(CT$4:CT141,CR$4:CR141,CP$4:CP141))</f>
        <v>0</v>
      </c>
      <c r="CW141" s="200" t="str">
        <f t="shared" si="263"/>
        <v/>
      </c>
      <c r="CX141" s="203">
        <f>IF($J141="",#N/A,SUM(CW$4:CW141))</f>
        <v>0</v>
      </c>
      <c r="CY141" s="204" t="str">
        <f t="shared" si="264"/>
        <v/>
      </c>
      <c r="CZ141" s="204">
        <f>IF($J141="",#N/A,SUM(CY$4:CY141))</f>
        <v>-1.9289529100071134</v>
      </c>
      <c r="DA141" s="205" t="str">
        <f t="shared" si="265"/>
        <v/>
      </c>
      <c r="DB141" s="205">
        <f>IF($J141="",#N/A,SUM(DA$4:DA141))</f>
        <v>3.1364376348577139E-3</v>
      </c>
      <c r="DC141" s="205">
        <f>IF($J141="",#N/A,SUM(DA$4:DA141,CY$4:CY141,CW$4:CW141))</f>
        <v>-1.9258164723722557</v>
      </c>
      <c r="DD141" s="200">
        <f t="shared" si="266"/>
        <v>-0.34083748639514178</v>
      </c>
      <c r="DE141" s="203">
        <f>IF($J141="",#N/A,SUM(DD$4:DD141))</f>
        <v>0.14968716170674062</v>
      </c>
      <c r="DF141" s="204" t="str">
        <f t="shared" si="267"/>
        <v/>
      </c>
      <c r="DG141" s="204">
        <f>IF($J141="",#N/A,SUM(DF$4:DF141))</f>
        <v>1.261291609944398</v>
      </c>
      <c r="DH141" s="205" t="str">
        <f t="shared" si="268"/>
        <v/>
      </c>
      <c r="DI141" s="205">
        <f>IF($J141="",#N/A,SUM(DH$4:DH141))</f>
        <v>-1.3154755601364099</v>
      </c>
      <c r="DJ141" s="205">
        <f>IF($J141="",#N/A,SUM(DH$4:DH141,DF$4:DF141,DD$4:DD141))</f>
        <v>9.5503211514728681E-2</v>
      </c>
      <c r="DK141" s="200" t="str">
        <f t="shared" si="269"/>
        <v/>
      </c>
      <c r="DL141" s="203">
        <f>IF($J141="",#N/A,SUM(DK$4:DK141))</f>
        <v>-1.2097286851272664</v>
      </c>
      <c r="DM141" s="204" t="str">
        <f t="shared" si="270"/>
        <v/>
      </c>
      <c r="DN141" s="204">
        <f>IF($J141="",#N/A,SUM(DM$4:DM141))</f>
        <v>1.1910608267574658</v>
      </c>
      <c r="DO141" s="205" t="str">
        <f t="shared" si="271"/>
        <v/>
      </c>
      <c r="DP141" s="205">
        <f>IF($J141="",#N/A,SUM(DO$4:DO141))</f>
        <v>1.3495058802125319</v>
      </c>
      <c r="DQ141" s="205">
        <f>IF($J141="",#N/A,SUM(DO$4:DO141,DM$4:DM141,DK$4:DK141))</f>
        <v>1.3308380218427318</v>
      </c>
      <c r="DR141" s="200" t="str">
        <f t="shared" si="272"/>
        <v/>
      </c>
      <c r="DS141" s="203">
        <f>IF($J141="",#N/A,SUM(DR$4:DR141))</f>
        <v>-0.55950946427675097</v>
      </c>
      <c r="DT141" s="204" t="str">
        <f t="shared" si="273"/>
        <v/>
      </c>
      <c r="DU141" s="204">
        <f>IF($J141="",#N/A,SUM(DT$4:DT141))</f>
        <v>-3.13334520229097</v>
      </c>
      <c r="DV141" s="205" t="str">
        <f t="shared" si="274"/>
        <v/>
      </c>
      <c r="DW141" s="205">
        <f>IF($J141="",#N/A,SUM(DV$4:DV141))</f>
        <v>-2.6814706788983136</v>
      </c>
      <c r="DX141" s="205">
        <f>IF($J141="",#N/A,SUM(DV$4:DV141,DT$4:DT141,DR$4:DR141))</f>
        <v>-6.3743253454660342</v>
      </c>
      <c r="DY141" s="200" t="str">
        <f t="shared" si="275"/>
        <v/>
      </c>
      <c r="DZ141" s="203">
        <f>IF($J141="",#N/A,SUM(DY$4:DY141))</f>
        <v>-1.63480022183437</v>
      </c>
      <c r="EA141" s="204" t="str">
        <f t="shared" si="276"/>
        <v/>
      </c>
      <c r="EB141" s="204">
        <f>IF($J141="",#N/A,SUM(EA$4:EA141))</f>
        <v>0.79979533615398157</v>
      </c>
      <c r="EC141" s="205" t="str">
        <f t="shared" si="277"/>
        <v/>
      </c>
      <c r="ED141" s="205">
        <f>IF($J141="",#N/A,SUM(EC$4:EC141))</f>
        <v>1.7103671484331777</v>
      </c>
      <c r="EE141" s="205">
        <f>IF($J141="",#N/A,SUM(EC$4:EC141,EA$4:EA141,DY$4:DY141))</f>
        <v>0.8753622627527895</v>
      </c>
      <c r="EF141" s="200" t="str">
        <f t="shared" si="278"/>
        <v/>
      </c>
      <c r="EG141" s="203">
        <f>IF($J141="",#N/A,SUM(EF$4:EF141))</f>
        <v>0</v>
      </c>
      <c r="EH141" s="204" t="str">
        <f t="shared" si="279"/>
        <v/>
      </c>
      <c r="EI141" s="204">
        <f>IF($J141="",#N/A,SUM(EH$4:EH141))</f>
        <v>-2.6174111635897193</v>
      </c>
      <c r="EJ141" s="205" t="str">
        <f t="shared" si="280"/>
        <v/>
      </c>
      <c r="EK141" s="205">
        <f>IF($J141="",#N/A,SUM(EJ$4:EJ141))</f>
        <v>1.7255127285193785</v>
      </c>
      <c r="EL141" s="205">
        <f>IF($J141="",#N/A,SUM(EJ$4:EJ141,EH$4:EH141,EF$4:EF141))</f>
        <v>-0.89189843507034017</v>
      </c>
      <c r="EM141" s="200" t="str">
        <f t="shared" si="281"/>
        <v/>
      </c>
      <c r="EN141" s="203">
        <f>IF($J141="",#N/A,SUM(EM$4:EM141))</f>
        <v>0</v>
      </c>
      <c r="EO141" s="204" t="str">
        <f t="shared" si="282"/>
        <v/>
      </c>
      <c r="EP141" s="204">
        <f>IF($J141="",#N/A,SUM(EO$4:EO141))</f>
        <v>1.6293103394057216</v>
      </c>
      <c r="EQ141" s="205" t="str">
        <f t="shared" si="283"/>
        <v/>
      </c>
      <c r="ER141" s="205">
        <f>IF($J141="",#N/A,SUM(EQ$4:EQ141))</f>
        <v>0.4926597949853756</v>
      </c>
      <c r="ES141" s="205">
        <f>IF($J141="",#N/A,SUM(EQ$4:EQ141,EO$4:EO141,EM$4:EM141))</f>
        <v>2.1219701343910971</v>
      </c>
      <c r="ET141" s="200" t="str">
        <f t="shared" si="284"/>
        <v/>
      </c>
      <c r="EU141" s="203">
        <f>IF($J141="",#N/A,SUM(ET$4:ET141))</f>
        <v>0</v>
      </c>
      <c r="EV141" s="204" t="str">
        <f t="shared" si="285"/>
        <v/>
      </c>
      <c r="EW141" s="204">
        <f>IF($J141="",#N/A,SUM(EV$4:EV141))</f>
        <v>0.90459527759708336</v>
      </c>
      <c r="EX141" s="205" t="str">
        <f t="shared" si="286"/>
        <v/>
      </c>
      <c r="EY141" s="205">
        <f>IF($J141="",#N/A,SUM(EX$4:EX141))</f>
        <v>0.22957553748493481</v>
      </c>
      <c r="EZ141" s="205">
        <f>IF($J141="",#N/A,SUM(EX$4:EX141,EV$4:EV141,ET$4:ET141))</f>
        <v>1.134170815082018</v>
      </c>
      <c r="FA141" s="200" t="str">
        <f t="shared" si="287"/>
        <v/>
      </c>
      <c r="FB141" s="203">
        <f>IF($J141="",#N/A,SUM(FA$4:FA141))</f>
        <v>0</v>
      </c>
      <c r="FC141" s="204" t="str">
        <f t="shared" si="288"/>
        <v/>
      </c>
      <c r="FD141" s="204">
        <f>IF($J141="",#N/A,SUM(FC$4:FC141))</f>
        <v>1.6839191319663924</v>
      </c>
      <c r="FE141" s="205" t="str">
        <f t="shared" si="289"/>
        <v/>
      </c>
      <c r="FF141" s="205">
        <f>IF($J141="",#N/A,SUM(FE$4:FE141))</f>
        <v>-0.28811149078748233</v>
      </c>
      <c r="FG141" s="205">
        <f>IF($J141="",#N/A,SUM(FE$4:FE141,FC$4:FC141,FA$4:FA141))</f>
        <v>1.3958076411789102</v>
      </c>
      <c r="FH141" s="200" t="str">
        <f t="shared" si="290"/>
        <v/>
      </c>
      <c r="FI141" s="203">
        <f>IF($J141="",#N/A,SUM(FH$4:FH141))</f>
        <v>0</v>
      </c>
      <c r="FJ141" s="204" t="str">
        <f t="shared" si="291"/>
        <v/>
      </c>
      <c r="FK141" s="204">
        <f>IF($J141="",#N/A,SUM(FJ$4:FJ141))</f>
        <v>0</v>
      </c>
      <c r="FL141" s="205" t="str">
        <f t="shared" si="292"/>
        <v/>
      </c>
      <c r="FM141" s="205">
        <f>IF($J141="",#N/A,SUM(FL$4:FL141))</f>
        <v>0</v>
      </c>
      <c r="FN141" s="205">
        <f>IF($J141="",#N/A,SUM(FL$4:FL141,FJ$4:FJ141,FH$4:FH141))</f>
        <v>0</v>
      </c>
      <c r="FO141" s="200" t="str">
        <f t="shared" si="293"/>
        <v/>
      </c>
      <c r="FP141" s="203">
        <f>IF($J141="",#N/A,SUM(FO$4:FO141))</f>
        <v>0</v>
      </c>
      <c r="FQ141" s="204" t="str">
        <f t="shared" si="294"/>
        <v/>
      </c>
      <c r="FR141" s="204">
        <f>IF($J141="",#N/A,SUM(FQ$4:FQ141))</f>
        <v>0</v>
      </c>
      <c r="FS141" s="205" t="str">
        <f t="shared" si="295"/>
        <v/>
      </c>
      <c r="FT141" s="205">
        <f>IF($J141="",#N/A,SUM(FS$4:FS141))</f>
        <v>0</v>
      </c>
      <c r="FU141" s="205">
        <f>IF($J141="",#N/A,SUM(FS$4:FS141,FQ$4:FQ141,FO$4:FO141))</f>
        <v>0</v>
      </c>
      <c r="FV141" s="200" t="str">
        <f t="shared" si="296"/>
        <v/>
      </c>
      <c r="FW141" s="203">
        <f>IF($J141="",#N/A,SUM(FV$4:FV141))</f>
        <v>6.6834991831277585E-2</v>
      </c>
      <c r="FX141" s="204" t="str">
        <f t="shared" si="297"/>
        <v/>
      </c>
      <c r="FY141" s="204">
        <f>IF($J141="",#N/A,SUM(FX$4:FX141))</f>
        <v>0</v>
      </c>
      <c r="FZ141" s="205" t="str">
        <f t="shared" si="298"/>
        <v/>
      </c>
      <c r="GA141" s="205">
        <f>IF($J141="",#N/A,SUM(FZ$4:FZ141))</f>
        <v>-0.24773347685909197</v>
      </c>
      <c r="GB141" s="205">
        <f>IF($J141="",#N/A,SUM(FZ$4:FZ141,FX$4:FX141,FV$4:FV141))</f>
        <v>-0.18089848502781439</v>
      </c>
      <c r="GC141" s="200" t="str">
        <f t="shared" si="299"/>
        <v/>
      </c>
      <c r="GD141" s="203">
        <f>IF($J141="",#N/A,SUM(GC$4:GC141))</f>
        <v>0</v>
      </c>
      <c r="GE141" s="204" t="str">
        <f t="shared" si="300"/>
        <v/>
      </c>
      <c r="GF141" s="204">
        <f>IF($J141="",#N/A,SUM(GE$4:GE141))</f>
        <v>0</v>
      </c>
      <c r="GG141" s="205" t="str">
        <f t="shared" si="301"/>
        <v/>
      </c>
      <c r="GH141" s="205">
        <f>IF($J141="",#N/A,SUM(GG$4:GG141))</f>
        <v>-2.9368362277223206</v>
      </c>
      <c r="GI141" s="205">
        <f>IF($J141="",#N/A,SUM(GG$4:GG141,GE$4:GE141,GC$4:GC141))</f>
        <v>-2.9368362277223206</v>
      </c>
      <c r="GJ141" s="200" t="str">
        <f t="shared" si="302"/>
        <v/>
      </c>
      <c r="GK141" s="203">
        <f>IF($J141="",#N/A,SUM(GJ$4:GJ141))</f>
        <v>0</v>
      </c>
      <c r="GL141" s="204" t="str">
        <f t="shared" si="303"/>
        <v/>
      </c>
      <c r="GM141" s="204">
        <f>IF($J141="",#N/A,SUM(GL$4:GL141))</f>
        <v>-0.80168930905701452</v>
      </c>
      <c r="GN141" s="205" t="str">
        <f t="shared" si="304"/>
        <v/>
      </c>
      <c r="GO141" s="205">
        <f>IF($J141="",#N/A,SUM(GN$4:GN141))</f>
        <v>0</v>
      </c>
      <c r="GP141" s="205">
        <f>IF($J141="",#N/A,SUM(GN$4:GN141,GL$4:GL141,GJ$4:GJ141))</f>
        <v>-0.80168930905701452</v>
      </c>
      <c r="GS141" s="54">
        <f t="shared" si="323"/>
        <v>-0.34083748639514178</v>
      </c>
      <c r="GT141" s="54">
        <f>IF(GS141="",NA(),SUM($GS$4:GS141))</f>
        <v>-2.1464853083582565</v>
      </c>
      <c r="GU141" s="54">
        <f t="shared" si="305"/>
        <v>-0.34083748639514178</v>
      </c>
      <c r="GV141" s="54">
        <f>IF(GU141="",NA(),SUM($GU$4:GU141))</f>
        <v>-3.1875162177003693</v>
      </c>
      <c r="GW141" s="54" t="str">
        <f t="shared" si="306"/>
        <v/>
      </c>
      <c r="GX141" s="54" t="e">
        <f>IF(GW141="",NA(),SUM($GW$4:GW141))</f>
        <v>#N/A</v>
      </c>
      <c r="GY141" s="54" t="str">
        <f t="shared" si="307"/>
        <v/>
      </c>
      <c r="GZ141" s="54" t="e">
        <f>IF(GY141="",NA(),SUM($GY$4:GY141))</f>
        <v>#N/A</v>
      </c>
      <c r="HA141" s="54" t="str">
        <f t="shared" si="308"/>
        <v/>
      </c>
      <c r="HB141" s="54" t="e">
        <f>IF(HA141="",NA(),SUM($HA$4:HA141))</f>
        <v>#N/A</v>
      </c>
      <c r="HC141" s="54" t="str">
        <f t="shared" si="309"/>
        <v/>
      </c>
      <c r="HD141" s="54" t="e">
        <f>IF(HC141="",NA(),SUM($HC$4:HC141))</f>
        <v>#N/A</v>
      </c>
      <c r="HE141" s="54" t="str">
        <f t="shared" si="310"/>
        <v/>
      </c>
      <c r="HF141" s="54" t="e">
        <f>IF(HE141="",NA(),SUM($HE$4:HE141))</f>
        <v>#N/A</v>
      </c>
      <c r="HG141" s="54" t="str">
        <f t="shared" si="311"/>
        <v/>
      </c>
      <c r="HH141" s="54" t="e">
        <f>IF(HG141="",NA(),SUM($HG$4:HG141))</f>
        <v>#N/A</v>
      </c>
      <c r="HI141" s="172" t="str">
        <f t="shared" si="324"/>
        <v/>
      </c>
      <c r="HJ141" s="172">
        <f>IF($J141="",#N/A,SUM(HI$4:$HI141))</f>
        <v>-5.7538798991847679</v>
      </c>
      <c r="HK141" s="54" t="str">
        <f t="shared" si="312"/>
        <v/>
      </c>
      <c r="HL141" s="54">
        <f>IF($J141="",#N/A,SUM($HK$4:HK141))</f>
        <v>-5.7654810054360146</v>
      </c>
      <c r="HM141" s="54" t="str">
        <f t="shared" si="313"/>
        <v/>
      </c>
      <c r="HN141" s="54">
        <f>IF($J141="",#N/A,SUM($HM$4:HM141))</f>
        <v>0.71812545963587882</v>
      </c>
      <c r="HO141" s="54">
        <f t="shared" si="314"/>
        <v>0.50695995875580135</v>
      </c>
      <c r="HP141" s="54">
        <f>IF($J141="",#N/A,SUM($HO$4:HO141))</f>
        <v>-0.14859521910082485</v>
      </c>
      <c r="HQ141" s="54" t="str">
        <f t="shared" si="315"/>
        <v/>
      </c>
      <c r="HR141" s="54">
        <f>IF($J141="",#N/A,SUM($HQ$4:HQ141))</f>
        <v>-7.3390769661523079</v>
      </c>
      <c r="HS141" s="54" t="str">
        <f t="shared" si="316"/>
        <v/>
      </c>
      <c r="HT141" s="54">
        <f>IF($J141="",#N/A,SUM($HS$4:HS141))</f>
        <v>8.6332733748533617</v>
      </c>
      <c r="HU141" s="65">
        <f t="shared" si="317"/>
        <v>0.16612247236065961</v>
      </c>
      <c r="HV141" s="65">
        <f>IF($J141="",#N/A,SUM(HU$4:$HU141))</f>
        <v>-11.324268681850128</v>
      </c>
    </row>
    <row r="142" spans="1:230" x14ac:dyDescent="0.25">
      <c r="A142" s="51" t="s">
        <v>1320</v>
      </c>
      <c r="B142" s="52" t="s">
        <v>4540</v>
      </c>
      <c r="C142" s="229">
        <f t="shared" si="218"/>
        <v>2</v>
      </c>
      <c r="D142" s="219" t="str">
        <f>_xlfn.XLOOKUP(A142,[1]SP500!$A$2:$A$502,[1]SP500!$D$2:$D$502,"N")</f>
        <v>Y</v>
      </c>
      <c r="E142" s="51" t="str">
        <f>IFERROR(_xlfn.XLOOKUP(A142,[1]SP500!$A$2:$A$655,[1]SP500!$B$2:$B$655),"")</f>
        <v>XLV</v>
      </c>
      <c r="F142" s="290">
        <v>45776</v>
      </c>
      <c r="G142" s="51" t="str">
        <f t="shared" si="219"/>
        <v>BMO</v>
      </c>
      <c r="H142" s="51" t="str">
        <f t="shared" si="220"/>
        <v>s</v>
      </c>
      <c r="I142" s="343">
        <v>23.05</v>
      </c>
      <c r="J142" s="123">
        <v>22.83</v>
      </c>
      <c r="K142" s="55">
        <f t="shared" si="221"/>
        <v>-9.5444685466378482E-3</v>
      </c>
      <c r="L142" s="67">
        <f t="shared" si="222"/>
        <v>9.4600000000000364</v>
      </c>
      <c r="M142" s="57">
        <f t="shared" si="223"/>
        <v>4.2999999999999545</v>
      </c>
      <c r="N142" s="102">
        <f t="shared" si="224"/>
        <v>9.4600000000000364</v>
      </c>
      <c r="O142" s="57">
        <f>IF(N142="",#N/A,SUM($N$4:N142))</f>
        <v>-306.19863589938757</v>
      </c>
      <c r="P142" s="65">
        <f t="shared" si="318"/>
        <v>0.15907447577729636</v>
      </c>
      <c r="Q142" s="172">
        <f>IF($N142="",#N/A,SUM($P$4:P142))</f>
        <v>-1.5095599506881596</v>
      </c>
      <c r="R142" s="279">
        <f t="shared" si="225"/>
        <v>5.2448065543711877</v>
      </c>
      <c r="S142" s="51" t="str">
        <f t="shared" si="226"/>
        <v>Dwn</v>
      </c>
      <c r="T142" s="51" t="s">
        <v>4462</v>
      </c>
      <c r="U142" s="56">
        <f t="shared" si="227"/>
        <v>23.05</v>
      </c>
      <c r="V142" s="56" t="s">
        <v>4458</v>
      </c>
      <c r="W142" s="142">
        <v>43</v>
      </c>
      <c r="X142" s="145">
        <f t="shared" si="228"/>
        <v>991.15</v>
      </c>
      <c r="Y142" s="140">
        <f t="shared" si="229"/>
        <v>43</v>
      </c>
      <c r="Z142" s="123">
        <v>22.73</v>
      </c>
      <c r="AA142" s="102">
        <f t="shared" si="230"/>
        <v>13.759999999999991</v>
      </c>
      <c r="AB142" s="102">
        <f t="shared" si="231"/>
        <v>-31.819999999999936</v>
      </c>
      <c r="AC142" s="124">
        <v>23.79</v>
      </c>
      <c r="AD142" s="155">
        <f t="shared" si="232"/>
        <v>-31.819999999999936</v>
      </c>
      <c r="AE142" s="545">
        <f t="shared" si="233"/>
        <v>-0.53506869125090284</v>
      </c>
      <c r="AF142" s="57">
        <f>IF($AC142="",#N/A,SUM(AD$4:AD142))</f>
        <v>-838.76041200241661</v>
      </c>
      <c r="AG142" s="102">
        <f t="shared" si="234"/>
        <v>-41.279999999999973</v>
      </c>
      <c r="AH142" s="56" t="s">
        <v>2507</v>
      </c>
      <c r="AI142" s="65">
        <f t="shared" si="235"/>
        <v>0.2313810556760664</v>
      </c>
      <c r="AJ142" s="54">
        <f>IF(AI142="",#N/A,SUM($AI$4:AI142))</f>
        <v>-6.7543665050593473</v>
      </c>
      <c r="AK142" s="57">
        <f t="shared" si="236"/>
        <v>13.759999999999991</v>
      </c>
      <c r="AL142" s="349">
        <f>IF(AI142="",#N/A,IF(AH142="Skip",SUM($AK$4:AK142),SUM($AK$4:AK142)))</f>
        <v>-643.96740850718629</v>
      </c>
      <c r="AM142" s="65">
        <f t="shared" si="319"/>
        <v>-0.53506869125090284</v>
      </c>
      <c r="AN142" s="209"/>
      <c r="AO142" s="65" t="str">
        <f t="shared" si="237"/>
        <v/>
      </c>
      <c r="AP142" s="65">
        <f>IF($AC142="",#N/A,SUM(AO$4:AO142))</f>
        <v>1.5909250743149224</v>
      </c>
      <c r="AQ142" s="65" t="str">
        <f t="shared" si="238"/>
        <v/>
      </c>
      <c r="AR142" s="65">
        <f>IF($AC142="",#N/A,SUM(AQ$4:AQ142))</f>
        <v>-2.6179859771653153</v>
      </c>
      <c r="AS142" s="65">
        <f t="shared" si="239"/>
        <v>-0.53506869125090284</v>
      </c>
      <c r="AT142" s="65">
        <f>IF($AC142="",#N/A,SUM(AS$4:AS142))</f>
        <v>-10.832276470250644</v>
      </c>
      <c r="AU142" s="57" t="str">
        <f t="shared" si="320"/>
        <v/>
      </c>
      <c r="AV142" s="57">
        <f>IF($AC142="",#N/A,SUM(AU$4:AU142))</f>
        <v>18.921206451250555</v>
      </c>
      <c r="AW142" s="57" t="str">
        <f t="shared" si="321"/>
        <v/>
      </c>
      <c r="AX142" s="57">
        <f>IF($AC142="",#N/A,SUM(AW$4:AW142))</f>
        <v>-163.1400000000001</v>
      </c>
      <c r="AY142" s="57">
        <f t="shared" si="322"/>
        <v>-31.819999999999936</v>
      </c>
      <c r="AZ142" s="57">
        <f>IF($AC142="",#N/A,SUM(AY$4:AY142))</f>
        <v>-694.54161845366707</v>
      </c>
      <c r="BA142" s="57">
        <f>IF(AD142="",#N/A,SUM($AD$4:AD142))</f>
        <v>-838.76041200241661</v>
      </c>
      <c r="BC142" s="51" t="str">
        <f t="shared" si="240"/>
        <v/>
      </c>
      <c r="BD142" s="51" t="str">
        <f t="shared" si="241"/>
        <v/>
      </c>
      <c r="BE142" s="51" t="str">
        <f t="shared" si="242"/>
        <v/>
      </c>
      <c r="BF142" s="51" t="str">
        <f t="shared" si="243"/>
        <v>Short</v>
      </c>
      <c r="BG142" s="51">
        <f t="shared" si="244"/>
        <v>1</v>
      </c>
      <c r="BH142" s="51" t="str">
        <f t="shared" si="245"/>
        <v/>
      </c>
      <c r="BI142" s="51" t="str">
        <f t="shared" si="246"/>
        <v/>
      </c>
      <c r="BK142" s="65">
        <f t="shared" si="217"/>
        <v>1.2370673405351145E-2</v>
      </c>
      <c r="BL142" s="65">
        <f t="shared" si="216"/>
        <v>0.10921998761804858</v>
      </c>
      <c r="BM142" s="65">
        <f>IFERROR(Q142/COUNTA($J$4:J142),#N/A)</f>
        <v>-1.0860143530130645E-2</v>
      </c>
      <c r="BO142" s="489" t="e">
        <f>IF(J142="",#N/A,IF(S142="SW",(COUNTIFS(K$4:$K142,"&gt;0",S$4:$S142,"SW")/COUNTIF(S$4:$S142,"SW")),#N/A))</f>
        <v>#N/A</v>
      </c>
      <c r="BP142" s="489">
        <f>IF($J142="",#N/A,IF($S142="DWN",(COUNTIFS($K$4:$K142,"&lt;0",$S$4:$S142,"DWN")/COUNTIF($S$4:$S142,"DWN")),#N/A))</f>
        <v>0.5892857142857143</v>
      </c>
      <c r="BQ142" s="489" t="e">
        <f>IF($J142="",#N/A,IF($S142="UP",(COUNTIFS($K$4:$K142,"&gt;0",$S$4:$S142,"UP")/COUNTIF($S$4:$S142,"UP")),#N/A))</f>
        <v>#N/A</v>
      </c>
      <c r="BR142" s="489">
        <f>IF(J142="",#N/A,COUNTIF($K$4:K142,"&gt;0")/COUNT($J$4:J142))</f>
        <v>0.4460431654676259</v>
      </c>
      <c r="BS142" s="65" t="str">
        <f t="shared" si="247"/>
        <v/>
      </c>
      <c r="BT142" s="65" t="str">
        <f t="shared" si="248"/>
        <v/>
      </c>
      <c r="BU142" s="65">
        <f t="shared" si="249"/>
        <v>0.15907447577729636</v>
      </c>
      <c r="BV142" s="65" t="str">
        <f t="shared" si="250"/>
        <v/>
      </c>
      <c r="BW142" s="128" t="str">
        <f t="shared" si="251"/>
        <v/>
      </c>
      <c r="BX142" s="128">
        <f>IF($J142="",#N/A,SUM($BW$4:BW142))</f>
        <v>-205.1650000000003</v>
      </c>
      <c r="BY142" s="131">
        <f t="shared" si="252"/>
        <v>9.4600000000000364</v>
      </c>
      <c r="BZ142" s="131">
        <f>IF($J142="",#N/A,SUM($BY$4:BY142))</f>
        <v>10.764340389333597</v>
      </c>
      <c r="CA142" s="133" t="str">
        <f t="shared" si="253"/>
        <v/>
      </c>
      <c r="CB142" s="133">
        <f>IF($J142="",#N/A,SUM($CA$4:CA142))</f>
        <v>-111.79797628872086</v>
      </c>
      <c r="CC142" s="194" t="str">
        <f t="shared" si="254"/>
        <v/>
      </c>
      <c r="CD142" s="194">
        <f>IF($J142="",#N/A,SUM($CC$4:CC142))</f>
        <v>-3.1875162177003693</v>
      </c>
      <c r="CE142" s="195">
        <f t="shared" si="255"/>
        <v>0.15907447577729636</v>
      </c>
      <c r="CF142" s="195">
        <f>IF($J142="",#N/A,SUM($CE$4:CE142))</f>
        <v>1.3812276013983416</v>
      </c>
      <c r="CG142" s="196" t="str">
        <f t="shared" si="256"/>
        <v/>
      </c>
      <c r="CH142" s="193">
        <f>IF($J142="",#N/A,SUM($CG$4:CG142))</f>
        <v>0.2967286656138724</v>
      </c>
      <c r="CI142" s="200" t="str">
        <f t="shared" si="257"/>
        <v/>
      </c>
      <c r="CJ142" s="203">
        <f>IF($J142="",#N/A,SUM(CI$4:CI142))</f>
        <v>0</v>
      </c>
      <c r="CK142" s="204" t="str">
        <f t="shared" si="258"/>
        <v/>
      </c>
      <c r="CL142" s="204">
        <f>IF($J142="",#N/A,SUM(CK$4:CK142))</f>
        <v>2.2335791887408174</v>
      </c>
      <c r="CM142" s="205" t="str">
        <f t="shared" si="259"/>
        <v/>
      </c>
      <c r="CN142" s="205">
        <f>IF($J142="",#N/A,SUM(CM$4:CM142))</f>
        <v>2.2555985727472319</v>
      </c>
      <c r="CO142" s="205">
        <f>IF($J142="",#N/A,SUM(CM$4:CM142,CK$4:CK142,CI$4:CI142))</f>
        <v>4.4891777614880493</v>
      </c>
      <c r="CP142" s="200" t="str">
        <f t="shared" si="260"/>
        <v/>
      </c>
      <c r="CQ142" s="203">
        <f>IF($J142="",#N/A,SUM(CP$4:CP142))</f>
        <v>0</v>
      </c>
      <c r="CR142" s="204" t="str">
        <f t="shared" si="261"/>
        <v/>
      </c>
      <c r="CS142" s="204">
        <f>IF($J142="",#N/A,SUM(CR$4:CR142))</f>
        <v>0</v>
      </c>
      <c r="CT142" s="205" t="str">
        <f t="shared" si="262"/>
        <v/>
      </c>
      <c r="CU142" s="205">
        <f>IF($J142="",#N/A,SUM(CT$4:CT142))</f>
        <v>0</v>
      </c>
      <c r="CV142" s="205">
        <f>IF($J142="",#N/A,SUM(CT$4:CT142,CR$4:CR142,CP$4:CP142))</f>
        <v>0</v>
      </c>
      <c r="CW142" s="200" t="str">
        <f t="shared" si="263"/>
        <v/>
      </c>
      <c r="CX142" s="203">
        <f>IF($J142="",#N/A,SUM(CW$4:CW142))</f>
        <v>0</v>
      </c>
      <c r="CY142" s="204" t="str">
        <f t="shared" si="264"/>
        <v/>
      </c>
      <c r="CZ142" s="204">
        <f>IF($J142="",#N/A,SUM(CY$4:CY142))</f>
        <v>-1.9289529100071134</v>
      </c>
      <c r="DA142" s="205" t="str">
        <f t="shared" si="265"/>
        <v/>
      </c>
      <c r="DB142" s="205">
        <f>IF($J142="",#N/A,SUM(DA$4:DA142))</f>
        <v>3.1364376348577139E-3</v>
      </c>
      <c r="DC142" s="205">
        <f>IF($J142="",#N/A,SUM(DA$4:DA142,CY$4:CY142,CW$4:CW142))</f>
        <v>-1.9258164723722557</v>
      </c>
      <c r="DD142" s="200" t="str">
        <f t="shared" si="266"/>
        <v/>
      </c>
      <c r="DE142" s="203">
        <f>IF($J142="",#N/A,SUM(DD$4:DD142))</f>
        <v>0.14968716170674062</v>
      </c>
      <c r="DF142" s="204" t="str">
        <f t="shared" si="267"/>
        <v/>
      </c>
      <c r="DG142" s="204">
        <f>IF($J142="",#N/A,SUM(DF$4:DF142))</f>
        <v>1.261291609944398</v>
      </c>
      <c r="DH142" s="205" t="str">
        <f t="shared" si="268"/>
        <v/>
      </c>
      <c r="DI142" s="205">
        <f>IF($J142="",#N/A,SUM(DH$4:DH142))</f>
        <v>-1.3154755601364099</v>
      </c>
      <c r="DJ142" s="205">
        <f>IF($J142="",#N/A,SUM(DH$4:DH142,DF$4:DF142,DD$4:DD142))</f>
        <v>9.5503211514728681E-2</v>
      </c>
      <c r="DK142" s="200" t="str">
        <f t="shared" si="269"/>
        <v/>
      </c>
      <c r="DL142" s="203">
        <f>IF($J142="",#N/A,SUM(DK$4:DK142))</f>
        <v>-1.2097286851272664</v>
      </c>
      <c r="DM142" s="204" t="str">
        <f t="shared" si="270"/>
        <v/>
      </c>
      <c r="DN142" s="204">
        <f>IF($J142="",#N/A,SUM(DM$4:DM142))</f>
        <v>1.1910608267574658</v>
      </c>
      <c r="DO142" s="205" t="str">
        <f t="shared" si="271"/>
        <v/>
      </c>
      <c r="DP142" s="205">
        <f>IF($J142="",#N/A,SUM(DO$4:DO142))</f>
        <v>1.3495058802125319</v>
      </c>
      <c r="DQ142" s="205">
        <f>IF($J142="",#N/A,SUM(DO$4:DO142,DM$4:DM142,DK$4:DK142))</f>
        <v>1.3308380218427318</v>
      </c>
      <c r="DR142" s="200" t="str">
        <f t="shared" si="272"/>
        <v/>
      </c>
      <c r="DS142" s="203">
        <f>IF($J142="",#N/A,SUM(DR$4:DR142))</f>
        <v>-0.55950946427675097</v>
      </c>
      <c r="DT142" s="204" t="str">
        <f t="shared" si="273"/>
        <v/>
      </c>
      <c r="DU142" s="204">
        <f>IF($J142="",#N/A,SUM(DT$4:DT142))</f>
        <v>-3.13334520229097</v>
      </c>
      <c r="DV142" s="205" t="str">
        <f t="shared" si="274"/>
        <v/>
      </c>
      <c r="DW142" s="205">
        <f>IF($J142="",#N/A,SUM(DV$4:DV142))</f>
        <v>-2.6814706788983136</v>
      </c>
      <c r="DX142" s="205">
        <f>IF($J142="",#N/A,SUM(DV$4:DV142,DT$4:DT142,DR$4:DR142))</f>
        <v>-6.3743253454660342</v>
      </c>
      <c r="DY142" s="200" t="str">
        <f t="shared" si="275"/>
        <v/>
      </c>
      <c r="DZ142" s="203">
        <f>IF($J142="",#N/A,SUM(DY$4:DY142))</f>
        <v>-1.63480022183437</v>
      </c>
      <c r="EA142" s="204" t="str">
        <f t="shared" si="276"/>
        <v/>
      </c>
      <c r="EB142" s="204">
        <f>IF($J142="",#N/A,SUM(EA$4:EA142))</f>
        <v>0.79979533615398157</v>
      </c>
      <c r="EC142" s="205" t="str">
        <f t="shared" si="277"/>
        <v/>
      </c>
      <c r="ED142" s="205">
        <f>IF($J142="",#N/A,SUM(EC$4:EC142))</f>
        <v>1.7103671484331777</v>
      </c>
      <c r="EE142" s="205">
        <f>IF($J142="",#N/A,SUM(EC$4:EC142,EA$4:EA142,DY$4:DY142))</f>
        <v>0.8753622627527895</v>
      </c>
      <c r="EF142" s="200" t="str">
        <f t="shared" si="278"/>
        <v/>
      </c>
      <c r="EG142" s="203">
        <f>IF($J142="",#N/A,SUM(EF$4:EF142))</f>
        <v>0</v>
      </c>
      <c r="EH142" s="204">
        <f t="shared" si="279"/>
        <v>0.15907447577729636</v>
      </c>
      <c r="EI142" s="204">
        <f>IF($J142="",#N/A,SUM(EH$4:EH142))</f>
        <v>-2.4583366878124231</v>
      </c>
      <c r="EJ142" s="205" t="str">
        <f t="shared" si="280"/>
        <v/>
      </c>
      <c r="EK142" s="205">
        <f>IF($J142="",#N/A,SUM(EJ$4:EJ142))</f>
        <v>1.7255127285193785</v>
      </c>
      <c r="EL142" s="205">
        <f>IF($J142="",#N/A,SUM(EJ$4:EJ142,EH$4:EH142,EF$4:EF142))</f>
        <v>-0.73282395929304378</v>
      </c>
      <c r="EM142" s="200" t="str">
        <f t="shared" si="281"/>
        <v/>
      </c>
      <c r="EN142" s="203">
        <f>IF($J142="",#N/A,SUM(EM$4:EM142))</f>
        <v>0</v>
      </c>
      <c r="EO142" s="204" t="str">
        <f t="shared" si="282"/>
        <v/>
      </c>
      <c r="EP142" s="204">
        <f>IF($J142="",#N/A,SUM(EO$4:EO142))</f>
        <v>1.6293103394057216</v>
      </c>
      <c r="EQ142" s="205" t="str">
        <f t="shared" si="283"/>
        <v/>
      </c>
      <c r="ER142" s="205">
        <f>IF($J142="",#N/A,SUM(EQ$4:EQ142))</f>
        <v>0.4926597949853756</v>
      </c>
      <c r="ES142" s="205">
        <f>IF($J142="",#N/A,SUM(EQ$4:EQ142,EO$4:EO142,EM$4:EM142))</f>
        <v>2.1219701343910971</v>
      </c>
      <c r="ET142" s="200" t="str">
        <f t="shared" si="284"/>
        <v/>
      </c>
      <c r="EU142" s="203">
        <f>IF($J142="",#N/A,SUM(ET$4:ET142))</f>
        <v>0</v>
      </c>
      <c r="EV142" s="204" t="str">
        <f t="shared" si="285"/>
        <v/>
      </c>
      <c r="EW142" s="204">
        <f>IF($J142="",#N/A,SUM(EV$4:EV142))</f>
        <v>0.90459527759708336</v>
      </c>
      <c r="EX142" s="205" t="str">
        <f t="shared" si="286"/>
        <v/>
      </c>
      <c r="EY142" s="205">
        <f>IF($J142="",#N/A,SUM(EX$4:EX142))</f>
        <v>0.22957553748493481</v>
      </c>
      <c r="EZ142" s="205">
        <f>IF($J142="",#N/A,SUM(EX$4:EX142,EV$4:EV142,ET$4:ET142))</f>
        <v>1.134170815082018</v>
      </c>
      <c r="FA142" s="200" t="str">
        <f t="shared" si="287"/>
        <v/>
      </c>
      <c r="FB142" s="203">
        <f>IF($J142="",#N/A,SUM(FA$4:FA142))</f>
        <v>0</v>
      </c>
      <c r="FC142" s="204" t="str">
        <f t="shared" si="288"/>
        <v/>
      </c>
      <c r="FD142" s="204">
        <f>IF($J142="",#N/A,SUM(FC$4:FC142))</f>
        <v>1.6839191319663924</v>
      </c>
      <c r="FE142" s="205" t="str">
        <f t="shared" si="289"/>
        <v/>
      </c>
      <c r="FF142" s="205">
        <f>IF($J142="",#N/A,SUM(FE$4:FE142))</f>
        <v>-0.28811149078748233</v>
      </c>
      <c r="FG142" s="205">
        <f>IF($J142="",#N/A,SUM(FE$4:FE142,FC$4:FC142,FA$4:FA142))</f>
        <v>1.3958076411789102</v>
      </c>
      <c r="FH142" s="200" t="str">
        <f t="shared" si="290"/>
        <v/>
      </c>
      <c r="FI142" s="203">
        <f>IF($J142="",#N/A,SUM(FH$4:FH142))</f>
        <v>0</v>
      </c>
      <c r="FJ142" s="204" t="str">
        <f t="shared" si="291"/>
        <v/>
      </c>
      <c r="FK142" s="204">
        <f>IF($J142="",#N/A,SUM(FJ$4:FJ142))</f>
        <v>0</v>
      </c>
      <c r="FL142" s="205" t="str">
        <f t="shared" si="292"/>
        <v/>
      </c>
      <c r="FM142" s="205">
        <f>IF($J142="",#N/A,SUM(FL$4:FL142))</f>
        <v>0</v>
      </c>
      <c r="FN142" s="205">
        <f>IF($J142="",#N/A,SUM(FL$4:FL142,FJ$4:FJ142,FH$4:FH142))</f>
        <v>0</v>
      </c>
      <c r="FO142" s="200" t="str">
        <f t="shared" si="293"/>
        <v/>
      </c>
      <c r="FP142" s="203">
        <f>IF($J142="",#N/A,SUM(FO$4:FO142))</f>
        <v>0</v>
      </c>
      <c r="FQ142" s="204" t="str">
        <f t="shared" si="294"/>
        <v/>
      </c>
      <c r="FR142" s="204">
        <f>IF($J142="",#N/A,SUM(FQ$4:FQ142))</f>
        <v>0</v>
      </c>
      <c r="FS142" s="205" t="str">
        <f t="shared" si="295"/>
        <v/>
      </c>
      <c r="FT142" s="205">
        <f>IF($J142="",#N/A,SUM(FS$4:FS142))</f>
        <v>0</v>
      </c>
      <c r="FU142" s="205">
        <f>IF($J142="",#N/A,SUM(FS$4:FS142,FQ$4:FQ142,FO$4:FO142))</f>
        <v>0</v>
      </c>
      <c r="FV142" s="200" t="str">
        <f t="shared" si="296"/>
        <v/>
      </c>
      <c r="FW142" s="203">
        <f>IF($J142="",#N/A,SUM(FV$4:FV142))</f>
        <v>6.6834991831277585E-2</v>
      </c>
      <c r="FX142" s="204" t="str">
        <f t="shared" si="297"/>
        <v/>
      </c>
      <c r="FY142" s="204">
        <f>IF($J142="",#N/A,SUM(FX$4:FX142))</f>
        <v>0</v>
      </c>
      <c r="FZ142" s="205" t="str">
        <f t="shared" si="298"/>
        <v/>
      </c>
      <c r="GA142" s="205">
        <f>IF($J142="",#N/A,SUM(FZ$4:FZ142))</f>
        <v>-0.24773347685909197</v>
      </c>
      <c r="GB142" s="205">
        <f>IF($J142="",#N/A,SUM(FZ$4:FZ142,FX$4:FX142,FV$4:FV142))</f>
        <v>-0.18089848502781439</v>
      </c>
      <c r="GC142" s="200" t="str">
        <f t="shared" si="299"/>
        <v/>
      </c>
      <c r="GD142" s="203">
        <f>IF($J142="",#N/A,SUM(GC$4:GC142))</f>
        <v>0</v>
      </c>
      <c r="GE142" s="204" t="str">
        <f t="shared" si="300"/>
        <v/>
      </c>
      <c r="GF142" s="204">
        <f>IF($J142="",#N/A,SUM(GE$4:GE142))</f>
        <v>0</v>
      </c>
      <c r="GG142" s="205" t="str">
        <f t="shared" si="301"/>
        <v/>
      </c>
      <c r="GH142" s="205">
        <f>IF($J142="",#N/A,SUM(GG$4:GG142))</f>
        <v>-2.9368362277223206</v>
      </c>
      <c r="GI142" s="205">
        <f>IF($J142="",#N/A,SUM(GG$4:GG142,GE$4:GE142,GC$4:GC142))</f>
        <v>-2.9368362277223206</v>
      </c>
      <c r="GJ142" s="200" t="str">
        <f t="shared" si="302"/>
        <v/>
      </c>
      <c r="GK142" s="203">
        <f>IF($J142="",#N/A,SUM(GJ$4:GJ142))</f>
        <v>0</v>
      </c>
      <c r="GL142" s="204" t="str">
        <f t="shared" si="303"/>
        <v/>
      </c>
      <c r="GM142" s="204">
        <f>IF($J142="",#N/A,SUM(GL$4:GL142))</f>
        <v>-0.80168930905701452</v>
      </c>
      <c r="GN142" s="205" t="str">
        <f t="shared" si="304"/>
        <v/>
      </c>
      <c r="GO142" s="205">
        <f>IF($J142="",#N/A,SUM(GN$4:GN142))</f>
        <v>0</v>
      </c>
      <c r="GP142" s="205">
        <f>IF($J142="",#N/A,SUM(GN$4:GN142,GL$4:GL142,GJ$4:GJ142))</f>
        <v>-0.80168930905701452</v>
      </c>
      <c r="GS142" s="54">
        <f t="shared" si="323"/>
        <v>0.15907447577729636</v>
      </c>
      <c r="GT142" s="54">
        <f>IF(GS142="",NA(),SUM($GS$4:GS142))</f>
        <v>-1.9874108325809601</v>
      </c>
      <c r="GU142" s="54" t="str">
        <f t="shared" si="305"/>
        <v/>
      </c>
      <c r="GV142" s="54" t="e">
        <f>IF(GU142="",NA(),SUM($GU$4:GU142))</f>
        <v>#N/A</v>
      </c>
      <c r="GW142" s="54" t="str">
        <f t="shared" si="306"/>
        <v/>
      </c>
      <c r="GX142" s="54" t="e">
        <f>IF(GW142="",NA(),SUM($GW$4:GW142))</f>
        <v>#N/A</v>
      </c>
      <c r="GY142" s="54">
        <f t="shared" si="307"/>
        <v>0.15907447577729636</v>
      </c>
      <c r="GZ142" s="54">
        <f>IF(GY142="",NA(),SUM($GY$4:GY142))</f>
        <v>1.1053655324328244</v>
      </c>
      <c r="HA142" s="54" t="str">
        <f t="shared" si="308"/>
        <v/>
      </c>
      <c r="HB142" s="54" t="e">
        <f>IF(HA142="",NA(),SUM($HA$4:HA142))</f>
        <v>#N/A</v>
      </c>
      <c r="HC142" s="54" t="str">
        <f t="shared" si="309"/>
        <v/>
      </c>
      <c r="HD142" s="54" t="e">
        <f>IF(HC142="",NA(),SUM($HC$4:HC142))</f>
        <v>#N/A</v>
      </c>
      <c r="HE142" s="54" t="str">
        <f t="shared" si="310"/>
        <v/>
      </c>
      <c r="HF142" s="54" t="e">
        <f>IF(HE142="",NA(),SUM($HE$4:HE142))</f>
        <v>#N/A</v>
      </c>
      <c r="HG142" s="54" t="str">
        <f t="shared" si="311"/>
        <v/>
      </c>
      <c r="HH142" s="54" t="e">
        <f>IF(HG142="",NA(),SUM($HG$4:HG142))</f>
        <v>#N/A</v>
      </c>
      <c r="HI142" s="172">
        <f t="shared" si="324"/>
        <v>-0.69414316702819923</v>
      </c>
      <c r="HJ142" s="172">
        <f>IF($J142="",#N/A,SUM(HI$4:$HI142))</f>
        <v>-6.4480230662129667</v>
      </c>
      <c r="HK142" s="54" t="str">
        <f t="shared" si="312"/>
        <v/>
      </c>
      <c r="HL142" s="54">
        <f>IF($J142="",#N/A,SUM($HK$4:HK142))</f>
        <v>-5.7654810054360146</v>
      </c>
      <c r="HM142" s="54" t="str">
        <f t="shared" si="313"/>
        <v/>
      </c>
      <c r="HN142" s="54">
        <f>IF($J142="",#N/A,SUM($HM$4:HM142))</f>
        <v>0.71812545963587882</v>
      </c>
      <c r="HO142" s="54" t="str">
        <f t="shared" si="314"/>
        <v/>
      </c>
      <c r="HP142" s="54">
        <f>IF($J142="",#N/A,SUM($HO$4:HO142))</f>
        <v>-0.14859521910082485</v>
      </c>
      <c r="HQ142" s="54" t="str">
        <f t="shared" si="315"/>
        <v/>
      </c>
      <c r="HR142" s="54">
        <f>IF($J142="",#N/A,SUM($HQ$4:HQ142))</f>
        <v>-7.3390769661523079</v>
      </c>
      <c r="HS142" s="54" t="str">
        <f t="shared" si="316"/>
        <v/>
      </c>
      <c r="HT142" s="54">
        <f>IF($J142="",#N/A,SUM($HS$4:HS142))</f>
        <v>8.6332733748533617</v>
      </c>
      <c r="HU142" s="65">
        <f t="shared" si="317"/>
        <v>-0.53506869125090284</v>
      </c>
      <c r="HV142" s="65">
        <f>IF($J142="",#N/A,SUM(HU$4:$HU142))</f>
        <v>-11.859337373101031</v>
      </c>
    </row>
    <row r="143" spans="1:230" x14ac:dyDescent="0.25">
      <c r="A143" s="51" t="s">
        <v>1558</v>
      </c>
      <c r="B143" s="52" t="s">
        <v>4540</v>
      </c>
      <c r="C143" s="229">
        <f t="shared" si="218"/>
        <v>2</v>
      </c>
      <c r="D143" s="219" t="str">
        <f>_xlfn.XLOOKUP(A143,[1]SP500!$A$2:$A$502,[1]SP500!$D$2:$D$502,"N")</f>
        <v>Y</v>
      </c>
      <c r="E143" s="51" t="str">
        <f>IFERROR(_xlfn.XLOOKUP(A143,[1]SP500!$A$2:$A$655,[1]SP500!$B$2:$B$655),"")</f>
        <v>XLB</v>
      </c>
      <c r="F143" s="290">
        <v>45776</v>
      </c>
      <c r="G143" s="51" t="str">
        <f t="shared" si="219"/>
        <v>BMO</v>
      </c>
      <c r="H143" s="51" t="str">
        <f t="shared" si="220"/>
        <v>s</v>
      </c>
      <c r="I143" s="343">
        <v>9.6300000000000008</v>
      </c>
      <c r="J143" s="124">
        <v>9.58</v>
      </c>
      <c r="K143" s="55">
        <f t="shared" si="221"/>
        <v>-5.1921079958463867E-3</v>
      </c>
      <c r="L143" s="67">
        <f t="shared" si="222"/>
        <v>5.2500000000001137</v>
      </c>
      <c r="M143" s="57">
        <f t="shared" si="223"/>
        <v>0</v>
      </c>
      <c r="N143" s="102">
        <f t="shared" si="224"/>
        <v>5.2500000000001137</v>
      </c>
      <c r="O143" s="57">
        <f>IF(N143="",#N/A,SUM($N$4:N143))</f>
        <v>-300.94863589938745</v>
      </c>
      <c r="P143" s="65">
        <f t="shared" si="318"/>
        <v>8.6535133264107097E-2</v>
      </c>
      <c r="Q143" s="172">
        <f>IF($N143="",#N/A,SUM($P$4:P143))</f>
        <v>-1.4230248174240525</v>
      </c>
      <c r="R143" s="279">
        <f t="shared" si="225"/>
        <v>5.2448065543711877</v>
      </c>
      <c r="S143" s="51" t="str">
        <f t="shared" si="226"/>
        <v>Dwn</v>
      </c>
      <c r="T143" s="51" t="s">
        <v>4462</v>
      </c>
      <c r="U143" s="56">
        <f t="shared" si="227"/>
        <v>9.6300000000000008</v>
      </c>
      <c r="V143" s="56" t="s">
        <v>4458</v>
      </c>
      <c r="W143" s="142">
        <v>105</v>
      </c>
      <c r="X143" s="145">
        <f t="shared" si="228"/>
        <v>1011.1500000000001</v>
      </c>
      <c r="Y143" s="140">
        <f t="shared" si="229"/>
        <v>105</v>
      </c>
      <c r="Z143" s="123">
        <v>9.58</v>
      </c>
      <c r="AA143" s="102">
        <f t="shared" si="230"/>
        <v>5.2500000000001137</v>
      </c>
      <c r="AB143" s="102">
        <f t="shared" si="231"/>
        <v>31.500000000000114</v>
      </c>
      <c r="AC143" s="124">
        <v>9.33</v>
      </c>
      <c r="AD143" s="155">
        <f t="shared" si="232"/>
        <v>31.500000000000114</v>
      </c>
      <c r="AE143" s="545">
        <f t="shared" si="233"/>
        <v>0.51921079958463323</v>
      </c>
      <c r="AF143" s="57">
        <f>IF($AC143="",#N/A,SUM(AD$4:AD143))</f>
        <v>-807.2604120024165</v>
      </c>
      <c r="AG143" s="102">
        <f t="shared" si="234"/>
        <v>26.25</v>
      </c>
      <c r="AH143" s="56" t="s">
        <v>2507</v>
      </c>
      <c r="AI143" s="65">
        <f t="shared" si="235"/>
        <v>8.6535133264107097E-2</v>
      </c>
      <c r="AJ143" s="54">
        <f>IF(AI143="",#N/A,SUM($AI$4:AI143))</f>
        <v>-6.6678313717952404</v>
      </c>
      <c r="AK143" s="57">
        <f t="shared" si="236"/>
        <v>5.2500000000001137</v>
      </c>
      <c r="AL143" s="349">
        <f>IF(AI143="",#N/A,IF(AH143="Skip",SUM($AK$4:AK143),SUM($AK$4:AK143)))</f>
        <v>-638.71740850718618</v>
      </c>
      <c r="AM143" s="65">
        <f t="shared" si="319"/>
        <v>0.51921079958463323</v>
      </c>
      <c r="AN143" s="209"/>
      <c r="AO143" s="65" t="str">
        <f t="shared" si="237"/>
        <v/>
      </c>
      <c r="AP143" s="65">
        <f>IF($AC143="",#N/A,SUM(AO$4:AO143))</f>
        <v>1.5909250743149224</v>
      </c>
      <c r="AQ143" s="65" t="str">
        <f t="shared" si="238"/>
        <v/>
      </c>
      <c r="AR143" s="65">
        <f>IF($AC143="",#N/A,SUM(AQ$4:AQ143))</f>
        <v>-2.6179859771653153</v>
      </c>
      <c r="AS143" s="65">
        <f t="shared" si="239"/>
        <v>0.51921079958463323</v>
      </c>
      <c r="AT143" s="65">
        <f>IF($AC143="",#N/A,SUM(AS$4:AS143))</f>
        <v>-10.313065670666012</v>
      </c>
      <c r="AU143" s="57" t="str">
        <f t="shared" si="320"/>
        <v/>
      </c>
      <c r="AV143" s="57">
        <f>IF($AC143="",#N/A,SUM(AU$4:AU143))</f>
        <v>18.921206451250555</v>
      </c>
      <c r="AW143" s="57" t="str">
        <f t="shared" si="321"/>
        <v/>
      </c>
      <c r="AX143" s="57">
        <f>IF($AC143="",#N/A,SUM(AW$4:AW143))</f>
        <v>-163.1400000000001</v>
      </c>
      <c r="AY143" s="57">
        <f t="shared" si="322"/>
        <v>31.500000000000114</v>
      </c>
      <c r="AZ143" s="57">
        <f>IF($AC143="",#N/A,SUM(AY$4:AY143))</f>
        <v>-663.04161845366696</v>
      </c>
      <c r="BA143" s="57">
        <f>IF(AD143="",#N/A,SUM($AD$4:AD143))</f>
        <v>-807.2604120024165</v>
      </c>
      <c r="BC143" s="51" t="str">
        <f t="shared" si="240"/>
        <v/>
      </c>
      <c r="BD143" s="51" t="str">
        <f t="shared" si="241"/>
        <v/>
      </c>
      <c r="BE143" s="51" t="str">
        <f t="shared" si="242"/>
        <v/>
      </c>
      <c r="BF143" s="51" t="str">
        <f t="shared" si="243"/>
        <v>Short</v>
      </c>
      <c r="BG143" s="51">
        <f t="shared" si="244"/>
        <v>1</v>
      </c>
      <c r="BH143" s="51" t="str">
        <f t="shared" si="245"/>
        <v/>
      </c>
      <c r="BI143" s="51" t="str">
        <f t="shared" si="246"/>
        <v/>
      </c>
      <c r="BK143" s="65">
        <f t="shared" si="217"/>
        <v>-9.9775331257693847E-3</v>
      </c>
      <c r="BL143" s="65">
        <f t="shared" si="216"/>
        <v>6.4629225432037141E-2</v>
      </c>
      <c r="BM143" s="65">
        <f>IFERROR(Q143/COUNTA($J$4:J143),#N/A)</f>
        <v>-1.0164462981600375E-2</v>
      </c>
      <c r="BO143" s="489" t="e">
        <f>IF(J143="",#N/A,IF(S143="SW",(COUNTIFS(K$4:$K143,"&gt;0",S$4:$S143,"SW")/COUNTIF(S$4:$S143,"SW")),#N/A))</f>
        <v>#N/A</v>
      </c>
      <c r="BP143" s="489">
        <f>IF($J143="",#N/A,IF($S143="DWN",(COUNTIFS($K$4:$K143,"&lt;0",$S$4:$S143,"DWN")/COUNTIF($S$4:$S143,"DWN")),#N/A))</f>
        <v>0.59649122807017541</v>
      </c>
      <c r="BQ143" s="489" t="e">
        <f>IF($J143="",#N/A,IF($S143="UP",(COUNTIFS($K$4:$K143,"&gt;0",$S$4:$S143,"UP")/COUNTIF($S$4:$S143,"UP")),#N/A))</f>
        <v>#N/A</v>
      </c>
      <c r="BR143" s="489">
        <f>IF(J143="",#N/A,COUNTIF($K$4:K143,"&gt;0")/COUNT($J$4:J143))</f>
        <v>0.44285714285714284</v>
      </c>
      <c r="BS143" s="65" t="str">
        <f t="shared" si="247"/>
        <v/>
      </c>
      <c r="BT143" s="65" t="str">
        <f t="shared" si="248"/>
        <v/>
      </c>
      <c r="BU143" s="65">
        <f t="shared" si="249"/>
        <v>8.6535133264107097E-2</v>
      </c>
      <c r="BV143" s="65" t="str">
        <f t="shared" si="250"/>
        <v/>
      </c>
      <c r="BW143" s="128" t="str">
        <f t="shared" si="251"/>
        <v/>
      </c>
      <c r="BX143" s="128">
        <f>IF($J143="",#N/A,SUM($BW$4:BW143))</f>
        <v>-205.1650000000003</v>
      </c>
      <c r="BY143" s="131">
        <f t="shared" si="252"/>
        <v>5.2500000000001137</v>
      </c>
      <c r="BZ143" s="131">
        <f>IF($J143="",#N/A,SUM($BY$4:BY143))</f>
        <v>16.014340389333711</v>
      </c>
      <c r="CA143" s="133" t="str">
        <f t="shared" si="253"/>
        <v/>
      </c>
      <c r="CB143" s="133">
        <f>IF($J143="",#N/A,SUM($CA$4:CA143))</f>
        <v>-111.79797628872086</v>
      </c>
      <c r="CC143" s="194" t="str">
        <f t="shared" si="254"/>
        <v/>
      </c>
      <c r="CD143" s="194">
        <f>IF($J143="",#N/A,SUM($CC$4:CC143))</f>
        <v>-3.1875162177003693</v>
      </c>
      <c r="CE143" s="195">
        <f t="shared" si="255"/>
        <v>8.6535133264107097E-2</v>
      </c>
      <c r="CF143" s="195">
        <f>IF($J143="",#N/A,SUM($CE$4:CE143))</f>
        <v>1.4677627346624487</v>
      </c>
      <c r="CG143" s="196" t="str">
        <f t="shared" si="256"/>
        <v/>
      </c>
      <c r="CH143" s="193">
        <f>IF($J143="",#N/A,SUM($CG$4:CG143))</f>
        <v>0.2967286656138724</v>
      </c>
      <c r="CI143" s="200" t="str">
        <f t="shared" si="257"/>
        <v/>
      </c>
      <c r="CJ143" s="203">
        <f>IF($J143="",#N/A,SUM(CI$4:CI143))</f>
        <v>0</v>
      </c>
      <c r="CK143" s="204" t="str">
        <f t="shared" si="258"/>
        <v/>
      </c>
      <c r="CL143" s="204">
        <f>IF($J143="",#N/A,SUM(CK$4:CK143))</f>
        <v>2.2335791887408174</v>
      </c>
      <c r="CM143" s="205" t="str">
        <f t="shared" si="259"/>
        <v/>
      </c>
      <c r="CN143" s="205">
        <f>IF($J143="",#N/A,SUM(CM$4:CM143))</f>
        <v>2.2555985727472319</v>
      </c>
      <c r="CO143" s="205">
        <f>IF($J143="",#N/A,SUM(CM$4:CM143,CK$4:CK143,CI$4:CI143))</f>
        <v>4.4891777614880493</v>
      </c>
      <c r="CP143" s="200" t="str">
        <f t="shared" si="260"/>
        <v/>
      </c>
      <c r="CQ143" s="203">
        <f>IF($J143="",#N/A,SUM(CP$4:CP143))</f>
        <v>0</v>
      </c>
      <c r="CR143" s="204" t="str">
        <f t="shared" si="261"/>
        <v/>
      </c>
      <c r="CS143" s="204">
        <f>IF($J143="",#N/A,SUM(CR$4:CR143))</f>
        <v>0</v>
      </c>
      <c r="CT143" s="205" t="str">
        <f t="shared" si="262"/>
        <v/>
      </c>
      <c r="CU143" s="205">
        <f>IF($J143="",#N/A,SUM(CT$4:CT143))</f>
        <v>0</v>
      </c>
      <c r="CV143" s="205">
        <f>IF($J143="",#N/A,SUM(CT$4:CT143,CR$4:CR143,CP$4:CP143))</f>
        <v>0</v>
      </c>
      <c r="CW143" s="200" t="str">
        <f t="shared" si="263"/>
        <v/>
      </c>
      <c r="CX143" s="203">
        <f>IF($J143="",#N/A,SUM(CW$4:CW143))</f>
        <v>0</v>
      </c>
      <c r="CY143" s="204" t="str">
        <f t="shared" si="264"/>
        <v/>
      </c>
      <c r="CZ143" s="204">
        <f>IF($J143="",#N/A,SUM(CY$4:CY143))</f>
        <v>-1.9289529100071134</v>
      </c>
      <c r="DA143" s="205" t="str">
        <f t="shared" si="265"/>
        <v/>
      </c>
      <c r="DB143" s="205">
        <f>IF($J143="",#N/A,SUM(DA$4:DA143))</f>
        <v>3.1364376348577139E-3</v>
      </c>
      <c r="DC143" s="205">
        <f>IF($J143="",#N/A,SUM(DA$4:DA143,CY$4:CY143,CW$4:CW143))</f>
        <v>-1.9258164723722557</v>
      </c>
      <c r="DD143" s="200" t="str">
        <f t="shared" si="266"/>
        <v/>
      </c>
      <c r="DE143" s="203">
        <f>IF($J143="",#N/A,SUM(DD$4:DD143))</f>
        <v>0.14968716170674062</v>
      </c>
      <c r="DF143" s="204" t="str">
        <f t="shared" si="267"/>
        <v/>
      </c>
      <c r="DG143" s="204">
        <f>IF($J143="",#N/A,SUM(DF$4:DF143))</f>
        <v>1.261291609944398</v>
      </c>
      <c r="DH143" s="205" t="str">
        <f t="shared" si="268"/>
        <v/>
      </c>
      <c r="DI143" s="205">
        <f>IF($J143="",#N/A,SUM(DH$4:DH143))</f>
        <v>-1.3154755601364099</v>
      </c>
      <c r="DJ143" s="205">
        <f>IF($J143="",#N/A,SUM(DH$4:DH143,DF$4:DF143,DD$4:DD143))</f>
        <v>9.5503211514728681E-2</v>
      </c>
      <c r="DK143" s="200" t="str">
        <f t="shared" si="269"/>
        <v/>
      </c>
      <c r="DL143" s="203">
        <f>IF($J143="",#N/A,SUM(DK$4:DK143))</f>
        <v>-1.2097286851272664</v>
      </c>
      <c r="DM143" s="204" t="str">
        <f t="shared" si="270"/>
        <v/>
      </c>
      <c r="DN143" s="204">
        <f>IF($J143="",#N/A,SUM(DM$4:DM143))</f>
        <v>1.1910608267574658</v>
      </c>
      <c r="DO143" s="205" t="str">
        <f t="shared" si="271"/>
        <v/>
      </c>
      <c r="DP143" s="205">
        <f>IF($J143="",#N/A,SUM(DO$4:DO143))</f>
        <v>1.3495058802125319</v>
      </c>
      <c r="DQ143" s="205">
        <f>IF($J143="",#N/A,SUM(DO$4:DO143,DM$4:DM143,DK$4:DK143))</f>
        <v>1.3308380218427318</v>
      </c>
      <c r="DR143" s="200" t="str">
        <f t="shared" si="272"/>
        <v/>
      </c>
      <c r="DS143" s="203">
        <f>IF($J143="",#N/A,SUM(DR$4:DR143))</f>
        <v>-0.55950946427675097</v>
      </c>
      <c r="DT143" s="204" t="str">
        <f t="shared" si="273"/>
        <v/>
      </c>
      <c r="DU143" s="204">
        <f>IF($J143="",#N/A,SUM(DT$4:DT143))</f>
        <v>-3.13334520229097</v>
      </c>
      <c r="DV143" s="205" t="str">
        <f t="shared" si="274"/>
        <v/>
      </c>
      <c r="DW143" s="205">
        <f>IF($J143="",#N/A,SUM(DV$4:DV143))</f>
        <v>-2.6814706788983136</v>
      </c>
      <c r="DX143" s="205">
        <f>IF($J143="",#N/A,SUM(DV$4:DV143,DT$4:DT143,DR$4:DR143))</f>
        <v>-6.3743253454660342</v>
      </c>
      <c r="DY143" s="200" t="str">
        <f t="shared" si="275"/>
        <v/>
      </c>
      <c r="DZ143" s="203">
        <f>IF($J143="",#N/A,SUM(DY$4:DY143))</f>
        <v>-1.63480022183437</v>
      </c>
      <c r="EA143" s="204" t="str">
        <f t="shared" si="276"/>
        <v/>
      </c>
      <c r="EB143" s="204">
        <f>IF($J143="",#N/A,SUM(EA$4:EA143))</f>
        <v>0.79979533615398157</v>
      </c>
      <c r="EC143" s="205" t="str">
        <f t="shared" si="277"/>
        <v/>
      </c>
      <c r="ED143" s="205">
        <f>IF($J143="",#N/A,SUM(EC$4:EC143))</f>
        <v>1.7103671484331777</v>
      </c>
      <c r="EE143" s="205">
        <f>IF($J143="",#N/A,SUM(EC$4:EC143,EA$4:EA143,DY$4:DY143))</f>
        <v>0.8753622627527895</v>
      </c>
      <c r="EF143" s="200" t="str">
        <f t="shared" si="278"/>
        <v/>
      </c>
      <c r="EG143" s="203">
        <f>IF($J143="",#N/A,SUM(EF$4:EF143))</f>
        <v>0</v>
      </c>
      <c r="EH143" s="204" t="str">
        <f t="shared" si="279"/>
        <v/>
      </c>
      <c r="EI143" s="204">
        <f>IF($J143="",#N/A,SUM(EH$4:EH143))</f>
        <v>-2.4583366878124231</v>
      </c>
      <c r="EJ143" s="205" t="str">
        <f t="shared" si="280"/>
        <v/>
      </c>
      <c r="EK143" s="205">
        <f>IF($J143="",#N/A,SUM(EJ$4:EJ143))</f>
        <v>1.7255127285193785</v>
      </c>
      <c r="EL143" s="205">
        <f>IF($J143="",#N/A,SUM(EJ$4:EJ143,EH$4:EH143,EF$4:EF143))</f>
        <v>-0.73282395929304378</v>
      </c>
      <c r="EM143" s="200" t="str">
        <f t="shared" si="281"/>
        <v/>
      </c>
      <c r="EN143" s="203">
        <f>IF($J143="",#N/A,SUM(EM$4:EM143))</f>
        <v>0</v>
      </c>
      <c r="EO143" s="204">
        <f t="shared" si="282"/>
        <v>8.6535133264107097E-2</v>
      </c>
      <c r="EP143" s="204">
        <f>IF($J143="",#N/A,SUM(EO$4:EO143))</f>
        <v>1.7158454726698287</v>
      </c>
      <c r="EQ143" s="205" t="str">
        <f t="shared" si="283"/>
        <v/>
      </c>
      <c r="ER143" s="205">
        <f>IF($J143="",#N/A,SUM(EQ$4:EQ143))</f>
        <v>0.4926597949853756</v>
      </c>
      <c r="ES143" s="205">
        <f>IF($J143="",#N/A,SUM(EQ$4:EQ143,EO$4:EO143,EM$4:EM143))</f>
        <v>2.2085052676552039</v>
      </c>
      <c r="ET143" s="200" t="str">
        <f t="shared" si="284"/>
        <v/>
      </c>
      <c r="EU143" s="203">
        <f>IF($J143="",#N/A,SUM(ET$4:ET143))</f>
        <v>0</v>
      </c>
      <c r="EV143" s="204" t="str">
        <f t="shared" si="285"/>
        <v/>
      </c>
      <c r="EW143" s="204">
        <f>IF($J143="",#N/A,SUM(EV$4:EV143))</f>
        <v>0.90459527759708336</v>
      </c>
      <c r="EX143" s="205" t="str">
        <f t="shared" si="286"/>
        <v/>
      </c>
      <c r="EY143" s="205">
        <f>IF($J143="",#N/A,SUM(EX$4:EX143))</f>
        <v>0.22957553748493481</v>
      </c>
      <c r="EZ143" s="205">
        <f>IF($J143="",#N/A,SUM(EX$4:EX143,EV$4:EV143,ET$4:ET143))</f>
        <v>1.134170815082018</v>
      </c>
      <c r="FA143" s="200" t="str">
        <f t="shared" si="287"/>
        <v/>
      </c>
      <c r="FB143" s="203">
        <f>IF($J143="",#N/A,SUM(FA$4:FA143))</f>
        <v>0</v>
      </c>
      <c r="FC143" s="204" t="str">
        <f t="shared" si="288"/>
        <v/>
      </c>
      <c r="FD143" s="204">
        <f>IF($J143="",#N/A,SUM(FC$4:FC143))</f>
        <v>1.6839191319663924</v>
      </c>
      <c r="FE143" s="205" t="str">
        <f t="shared" si="289"/>
        <v/>
      </c>
      <c r="FF143" s="205">
        <f>IF($J143="",#N/A,SUM(FE$4:FE143))</f>
        <v>-0.28811149078748233</v>
      </c>
      <c r="FG143" s="205">
        <f>IF($J143="",#N/A,SUM(FE$4:FE143,FC$4:FC143,FA$4:FA143))</f>
        <v>1.3958076411789102</v>
      </c>
      <c r="FH143" s="200" t="str">
        <f t="shared" si="290"/>
        <v/>
      </c>
      <c r="FI143" s="203">
        <f>IF($J143="",#N/A,SUM(FH$4:FH143))</f>
        <v>0</v>
      </c>
      <c r="FJ143" s="204" t="str">
        <f t="shared" si="291"/>
        <v/>
      </c>
      <c r="FK143" s="204">
        <f>IF($J143="",#N/A,SUM(FJ$4:FJ143))</f>
        <v>0</v>
      </c>
      <c r="FL143" s="205" t="str">
        <f t="shared" si="292"/>
        <v/>
      </c>
      <c r="FM143" s="205">
        <f>IF($J143="",#N/A,SUM(FL$4:FL143))</f>
        <v>0</v>
      </c>
      <c r="FN143" s="205">
        <f>IF($J143="",#N/A,SUM(FL$4:FL143,FJ$4:FJ143,FH$4:FH143))</f>
        <v>0</v>
      </c>
      <c r="FO143" s="200" t="str">
        <f t="shared" si="293"/>
        <v/>
      </c>
      <c r="FP143" s="203">
        <f>IF($J143="",#N/A,SUM(FO$4:FO143))</f>
        <v>0</v>
      </c>
      <c r="FQ143" s="204" t="str">
        <f t="shared" si="294"/>
        <v/>
      </c>
      <c r="FR143" s="204">
        <f>IF($J143="",#N/A,SUM(FQ$4:FQ143))</f>
        <v>0</v>
      </c>
      <c r="FS143" s="205" t="str">
        <f t="shared" si="295"/>
        <v/>
      </c>
      <c r="FT143" s="205">
        <f>IF($J143="",#N/A,SUM(FS$4:FS143))</f>
        <v>0</v>
      </c>
      <c r="FU143" s="205">
        <f>IF($J143="",#N/A,SUM(FS$4:FS143,FQ$4:FQ143,FO$4:FO143))</f>
        <v>0</v>
      </c>
      <c r="FV143" s="200" t="str">
        <f t="shared" si="296"/>
        <v/>
      </c>
      <c r="FW143" s="203">
        <f>IF($J143="",#N/A,SUM(FV$4:FV143))</f>
        <v>6.6834991831277585E-2</v>
      </c>
      <c r="FX143" s="204" t="str">
        <f t="shared" si="297"/>
        <v/>
      </c>
      <c r="FY143" s="204">
        <f>IF($J143="",#N/A,SUM(FX$4:FX143))</f>
        <v>0</v>
      </c>
      <c r="FZ143" s="205" t="str">
        <f t="shared" si="298"/>
        <v/>
      </c>
      <c r="GA143" s="205">
        <f>IF($J143="",#N/A,SUM(FZ$4:FZ143))</f>
        <v>-0.24773347685909197</v>
      </c>
      <c r="GB143" s="205">
        <f>IF($J143="",#N/A,SUM(FZ$4:FZ143,FX$4:FX143,FV$4:FV143))</f>
        <v>-0.18089848502781439</v>
      </c>
      <c r="GC143" s="200" t="str">
        <f t="shared" si="299"/>
        <v/>
      </c>
      <c r="GD143" s="203">
        <f>IF($J143="",#N/A,SUM(GC$4:GC143))</f>
        <v>0</v>
      </c>
      <c r="GE143" s="204" t="str">
        <f t="shared" si="300"/>
        <v/>
      </c>
      <c r="GF143" s="204">
        <f>IF($J143="",#N/A,SUM(GE$4:GE143))</f>
        <v>0</v>
      </c>
      <c r="GG143" s="205" t="str">
        <f t="shared" si="301"/>
        <v/>
      </c>
      <c r="GH143" s="205">
        <f>IF($J143="",#N/A,SUM(GG$4:GG143))</f>
        <v>-2.9368362277223206</v>
      </c>
      <c r="GI143" s="205">
        <f>IF($J143="",#N/A,SUM(GG$4:GG143,GE$4:GE143,GC$4:GC143))</f>
        <v>-2.9368362277223206</v>
      </c>
      <c r="GJ143" s="200" t="str">
        <f t="shared" si="302"/>
        <v/>
      </c>
      <c r="GK143" s="203">
        <f>IF($J143="",#N/A,SUM(GJ$4:GJ143))</f>
        <v>0</v>
      </c>
      <c r="GL143" s="204" t="str">
        <f t="shared" si="303"/>
        <v/>
      </c>
      <c r="GM143" s="204">
        <f>IF($J143="",#N/A,SUM(GL$4:GL143))</f>
        <v>-0.80168930905701452</v>
      </c>
      <c r="GN143" s="205" t="str">
        <f t="shared" si="304"/>
        <v/>
      </c>
      <c r="GO143" s="205">
        <f>IF($J143="",#N/A,SUM(GN$4:GN143))</f>
        <v>0</v>
      </c>
      <c r="GP143" s="205">
        <f>IF($J143="",#N/A,SUM(GN$4:GN143,GL$4:GL143,GJ$4:GJ143))</f>
        <v>-0.80168930905701452</v>
      </c>
      <c r="GS143" s="54">
        <f t="shared" si="323"/>
        <v>8.6535133264107097E-2</v>
      </c>
      <c r="GT143" s="54">
        <f>IF(GS143="",NA(),SUM($GS$4:GS143))</f>
        <v>-1.900875699316853</v>
      </c>
      <c r="GU143" s="54" t="str">
        <f t="shared" si="305"/>
        <v/>
      </c>
      <c r="GV143" s="54" t="e">
        <f>IF(GU143="",NA(),SUM($GU$4:GU143))</f>
        <v>#N/A</v>
      </c>
      <c r="GW143" s="54" t="str">
        <f t="shared" si="306"/>
        <v/>
      </c>
      <c r="GX143" s="54" t="e">
        <f>IF(GW143="",NA(),SUM($GW$4:GW143))</f>
        <v>#N/A</v>
      </c>
      <c r="GY143" s="54">
        <f t="shared" si="307"/>
        <v>8.6535133264107097E-2</v>
      </c>
      <c r="GZ143" s="54">
        <f>IF(GY143="",NA(),SUM($GY$4:GY143))</f>
        <v>1.1919006656969315</v>
      </c>
      <c r="HA143" s="54" t="str">
        <f t="shared" si="308"/>
        <v/>
      </c>
      <c r="HB143" s="54" t="e">
        <f>IF(HA143="",NA(),SUM($HA$4:HA143))</f>
        <v>#N/A</v>
      </c>
      <c r="HC143" s="54" t="str">
        <f t="shared" si="309"/>
        <v/>
      </c>
      <c r="HD143" s="54" t="e">
        <f>IF(HC143="",NA(),SUM($HC$4:HC143))</f>
        <v>#N/A</v>
      </c>
      <c r="HE143" s="54" t="str">
        <f t="shared" si="310"/>
        <v/>
      </c>
      <c r="HF143" s="54" t="e">
        <f>IF(HE143="",NA(),SUM($HE$4:HE143))</f>
        <v>#N/A</v>
      </c>
      <c r="HG143" s="54" t="str">
        <f t="shared" si="311"/>
        <v/>
      </c>
      <c r="HH143" s="54" t="e">
        <f>IF(HG143="",NA(),SUM($HG$4:HG143))</f>
        <v>#N/A</v>
      </c>
      <c r="HI143" s="172">
        <f t="shared" si="324"/>
        <v>0.43267566632052612</v>
      </c>
      <c r="HJ143" s="172">
        <f>IF($J143="",#N/A,SUM(HI$4:$HI143))</f>
        <v>-6.0153473998924403</v>
      </c>
      <c r="HK143" s="54" t="str">
        <f t="shared" si="312"/>
        <v/>
      </c>
      <c r="HL143" s="54">
        <f>IF($J143="",#N/A,SUM($HK$4:HK143))</f>
        <v>-5.7654810054360146</v>
      </c>
      <c r="HM143" s="54" t="str">
        <f t="shared" si="313"/>
        <v/>
      </c>
      <c r="HN143" s="54">
        <f>IF($J143="",#N/A,SUM($HM$4:HM143))</f>
        <v>0.71812545963587882</v>
      </c>
      <c r="HO143" s="54" t="str">
        <f t="shared" si="314"/>
        <v/>
      </c>
      <c r="HP143" s="54">
        <f>IF($J143="",#N/A,SUM($HO$4:HO143))</f>
        <v>-0.14859521910082485</v>
      </c>
      <c r="HQ143" s="54" t="str">
        <f t="shared" si="315"/>
        <v/>
      </c>
      <c r="HR143" s="54">
        <f>IF($J143="",#N/A,SUM($HQ$4:HQ143))</f>
        <v>-7.3390769661523079</v>
      </c>
      <c r="HS143" s="54" t="str">
        <f t="shared" si="316"/>
        <v/>
      </c>
      <c r="HT143" s="54">
        <f>IF($J143="",#N/A,SUM($HS$4:HS143))</f>
        <v>8.6332733748533617</v>
      </c>
      <c r="HU143" s="65">
        <f t="shared" si="317"/>
        <v>0.51921079958463323</v>
      </c>
      <c r="HV143" s="65">
        <f>IF($J143="",#N/A,SUM(HU$4:$HU143))</f>
        <v>-11.340126573516399</v>
      </c>
    </row>
    <row r="144" spans="1:230" x14ac:dyDescent="0.25">
      <c r="A144" s="51" t="s">
        <v>1282</v>
      </c>
      <c r="B144" s="52" t="s">
        <v>4540</v>
      </c>
      <c r="C144" s="229">
        <f t="shared" si="218"/>
        <v>3</v>
      </c>
      <c r="D144" s="219" t="str">
        <f>_xlfn.XLOOKUP(A144,[1]SP500!$A$2:$A$502,[1]SP500!$D$2:$D$502,"N")</f>
        <v>Y</v>
      </c>
      <c r="E144" s="51" t="str">
        <f>IFERROR(_xlfn.XLOOKUP(A144,[1]SP500!$A$2:$A$655,[1]SP500!$B$2:$B$655),"")</f>
        <v>XLP</v>
      </c>
      <c r="F144" s="290">
        <v>45776</v>
      </c>
      <c r="G144" s="51" t="str">
        <f t="shared" si="219"/>
        <v>BMO</v>
      </c>
      <c r="H144" s="51" t="str">
        <f t="shared" si="220"/>
        <v>s</v>
      </c>
      <c r="I144" s="343">
        <v>71.790000000000006</v>
      </c>
      <c r="J144" s="123">
        <v>71.19</v>
      </c>
      <c r="K144" s="55">
        <f t="shared" si="221"/>
        <v>-8.3577099874635533E-3</v>
      </c>
      <c r="L144" s="67">
        <f t="shared" si="222"/>
        <v>-8.4000000000000909</v>
      </c>
      <c r="M144" s="57">
        <f t="shared" si="223"/>
        <v>-1.6800000000000637</v>
      </c>
      <c r="N144" s="102">
        <f t="shared" si="224"/>
        <v>-8.4000000000000909</v>
      </c>
      <c r="O144" s="57">
        <f>IF(N144="",#N/A,SUM($N$4:N144))</f>
        <v>-309.34863589938755</v>
      </c>
      <c r="P144" s="65">
        <f t="shared" si="318"/>
        <v>-0.13929516645772541</v>
      </c>
      <c r="Q144" s="172">
        <f>IF($N144="",#N/A,SUM($P$4:P144))</f>
        <v>-1.5623199838817778</v>
      </c>
      <c r="R144" s="279">
        <f t="shared" si="225"/>
        <v>5.2726655876627344</v>
      </c>
      <c r="S144" s="51" t="str">
        <f t="shared" si="226"/>
        <v>SW</v>
      </c>
      <c r="T144" s="51" t="s">
        <v>2828</v>
      </c>
      <c r="U144" s="56">
        <f t="shared" si="227"/>
        <v>71.790000000000006</v>
      </c>
      <c r="V144" s="56" t="s">
        <v>4460</v>
      </c>
      <c r="W144" s="142">
        <v>14</v>
      </c>
      <c r="X144" s="145">
        <f t="shared" si="228"/>
        <v>1005.0600000000001</v>
      </c>
      <c r="Y144" s="140">
        <f t="shared" si="229"/>
        <v>14</v>
      </c>
      <c r="Z144" s="123">
        <v>71.069999999999993</v>
      </c>
      <c r="AA144" s="102">
        <f t="shared" si="230"/>
        <v>-10.080000000000155</v>
      </c>
      <c r="AB144" s="102">
        <f t="shared" si="231"/>
        <v>7.8399999999998045</v>
      </c>
      <c r="AC144" s="123">
        <v>72.349999999999994</v>
      </c>
      <c r="AD144" s="155">
        <f t="shared" si="232"/>
        <v>7.8399999999998045</v>
      </c>
      <c r="AE144" s="545">
        <f t="shared" si="233"/>
        <v>0.13000882202720573</v>
      </c>
      <c r="AF144" s="57">
        <f>IF($AC144="",#N/A,SUM(AD$4:AD144))</f>
        <v>-799.4204120024167</v>
      </c>
      <c r="AG144" s="102">
        <f t="shared" si="234"/>
        <v>16.239999999999895</v>
      </c>
      <c r="AH144" s="56" t="s">
        <v>2507</v>
      </c>
      <c r="AI144" s="65">
        <f t="shared" si="235"/>
        <v>-0.16715419974927126</v>
      </c>
      <c r="AJ144" s="350">
        <f>IF(AI144="",#N/A,SUM($AI$4:AI144))</f>
        <v>-6.8349855715445118</v>
      </c>
      <c r="AK144" s="57">
        <f t="shared" si="236"/>
        <v>-10.080000000000155</v>
      </c>
      <c r="AL144" s="349">
        <f>IF(AI144="",#N/A,IF(AH144="Skip",SUM($AK$4:AK144),SUM($AK$4:AK144)))</f>
        <v>-648.79740850718633</v>
      </c>
      <c r="AM144" s="65">
        <f t="shared" si="319"/>
        <v>0.13000882202720573</v>
      </c>
      <c r="AN144" s="209"/>
      <c r="AO144" s="65">
        <f t="shared" si="237"/>
        <v>0.13000882202720573</v>
      </c>
      <c r="AP144" s="65">
        <f>IF($AC144="",#N/A,SUM(AO$4:AO144))</f>
        <v>1.7209338963421281</v>
      </c>
      <c r="AQ144" s="65" t="str">
        <f t="shared" si="238"/>
        <v/>
      </c>
      <c r="AR144" s="65">
        <f>IF($AC144="",#N/A,SUM(AQ$4:AQ144))</f>
        <v>-2.6179859771653153</v>
      </c>
      <c r="AS144" s="65" t="str">
        <f t="shared" si="239"/>
        <v/>
      </c>
      <c r="AT144" s="65">
        <f>IF($AC144="",#N/A,SUM(AS$4:AS144))</f>
        <v>-10.313065670666012</v>
      </c>
      <c r="AU144" s="57">
        <f t="shared" si="320"/>
        <v>7.8399999999998045</v>
      </c>
      <c r="AV144" s="57">
        <f>IF($AC144="",#N/A,SUM(AU$4:AU144))</f>
        <v>26.761206451250359</v>
      </c>
      <c r="AW144" s="57" t="str">
        <f t="shared" si="321"/>
        <v/>
      </c>
      <c r="AX144" s="57">
        <f>IF($AC144="",#N/A,SUM(AW$4:AW144))</f>
        <v>-163.1400000000001</v>
      </c>
      <c r="AY144" s="57" t="str">
        <f t="shared" si="322"/>
        <v/>
      </c>
      <c r="AZ144" s="57">
        <f>IF($AC144="",#N/A,SUM(AY$4:AY144))</f>
        <v>-663.04161845366696</v>
      </c>
      <c r="BA144" s="57">
        <f>IF(AD144="",#N/A,SUM($AD$4:AD144))</f>
        <v>-799.4204120024167</v>
      </c>
      <c r="BC144" s="51" t="str">
        <f t="shared" si="240"/>
        <v/>
      </c>
      <c r="BD144" s="51" t="str">
        <f t="shared" si="241"/>
        <v/>
      </c>
      <c r="BE144" s="51" t="str">
        <f t="shared" si="242"/>
        <v/>
      </c>
      <c r="BF144" s="51" t="str">
        <f t="shared" si="243"/>
        <v>Long</v>
      </c>
      <c r="BG144" s="51" t="str">
        <f t="shared" si="244"/>
        <v/>
      </c>
      <c r="BH144" s="51" t="str">
        <f t="shared" si="245"/>
        <v/>
      </c>
      <c r="BI144" s="51">
        <f t="shared" si="246"/>
        <v>1</v>
      </c>
      <c r="BK144" s="65">
        <f t="shared" si="217"/>
        <v>-8.3966242278496542E-3</v>
      </c>
      <c r="BL144" s="65">
        <f t="shared" si="216"/>
        <v>3.9929430025486212E-2</v>
      </c>
      <c r="BM144" s="65">
        <f>IFERROR(Q144/COUNTA($J$4:J144),#N/A)</f>
        <v>-1.108028357362963E-2</v>
      </c>
      <c r="BO144" s="489">
        <f>IF(J144="",#N/A,IF(S144="SW",(COUNTIFS(K$4:$K144,"&gt;0",S$4:$S144,"SW")/COUNTIF(S$4:$S144,"SW")),#N/A))</f>
        <v>0.47368421052631576</v>
      </c>
      <c r="BP144" s="489" t="e">
        <f>IF($J144="",#N/A,IF($S144="DWN",(COUNTIFS($K$4:$K144,"&lt;0",$S$4:$S144,"DWN")/COUNTIF($S$4:$S144,"DWN")),#N/A))</f>
        <v>#N/A</v>
      </c>
      <c r="BQ144" s="489" t="e">
        <f>IF($J144="",#N/A,IF($S144="UP",(COUNTIFS($K$4:$K144,"&gt;0",$S$4:$S144,"UP")/COUNTIF($S$4:$S144,"UP")),#N/A))</f>
        <v>#N/A</v>
      </c>
      <c r="BR144" s="489">
        <f>IF(J144="",#N/A,COUNTIF($K$4:K144,"&gt;0")/COUNT($J$4:J144))</f>
        <v>0.43971631205673761</v>
      </c>
      <c r="BS144" s="65" t="str">
        <f t="shared" si="247"/>
        <v/>
      </c>
      <c r="BT144" s="65">
        <f t="shared" si="248"/>
        <v>-0.13929516645772541</v>
      </c>
      <c r="BU144" s="65" t="str">
        <f t="shared" si="249"/>
        <v/>
      </c>
      <c r="BV144" s="65" t="str">
        <f t="shared" si="250"/>
        <v/>
      </c>
      <c r="BW144" s="128" t="str">
        <f t="shared" si="251"/>
        <v/>
      </c>
      <c r="BX144" s="128">
        <f>IF($J144="",#N/A,SUM($BW$4:BW144))</f>
        <v>-205.1650000000003</v>
      </c>
      <c r="BY144" s="131" t="str">
        <f t="shared" si="252"/>
        <v/>
      </c>
      <c r="BZ144" s="131">
        <f>IF($J144="",#N/A,SUM($BY$4:BY144))</f>
        <v>16.014340389333711</v>
      </c>
      <c r="CA144" s="133">
        <f t="shared" si="253"/>
        <v>-8.4000000000000909</v>
      </c>
      <c r="CB144" s="133">
        <f>IF($J144="",#N/A,SUM($CA$4:CA144))</f>
        <v>-120.19797628872095</v>
      </c>
      <c r="CC144" s="194" t="str">
        <f t="shared" si="254"/>
        <v/>
      </c>
      <c r="CD144" s="194">
        <f>IF($J144="",#N/A,SUM($CC$4:CC144))</f>
        <v>-3.1875162177003693</v>
      </c>
      <c r="CE144" s="195" t="str">
        <f t="shared" si="255"/>
        <v/>
      </c>
      <c r="CF144" s="195">
        <f>IF($J144="",#N/A,SUM($CE$4:CE144))</f>
        <v>1.4677627346624487</v>
      </c>
      <c r="CG144" s="196">
        <f t="shared" si="256"/>
        <v>-0.13929516645772541</v>
      </c>
      <c r="CH144" s="196">
        <f>IF($J144="",#N/A,SUM($CG$4:CG144))</f>
        <v>0.15743349915614699</v>
      </c>
      <c r="CI144" s="200" t="str">
        <f t="shared" si="257"/>
        <v/>
      </c>
      <c r="CJ144" s="203">
        <f>IF($J144="",#N/A,SUM(CI$4:CI144))</f>
        <v>0</v>
      </c>
      <c r="CK144" s="204" t="str">
        <f t="shared" si="258"/>
        <v/>
      </c>
      <c r="CL144" s="204">
        <f>IF($J144="",#N/A,SUM(CK$4:CK144))</f>
        <v>2.2335791887408174</v>
      </c>
      <c r="CM144" s="205" t="str">
        <f t="shared" si="259"/>
        <v/>
      </c>
      <c r="CN144" s="205">
        <f>IF($J144="",#N/A,SUM(CM$4:CM144))</f>
        <v>2.2555985727472319</v>
      </c>
      <c r="CO144" s="205">
        <f>IF($J144="",#N/A,SUM(CM$4:CM144,CK$4:CK144,CI$4:CI144))</f>
        <v>4.4891777614880493</v>
      </c>
      <c r="CP144" s="200" t="str">
        <f t="shared" si="260"/>
        <v/>
      </c>
      <c r="CQ144" s="203">
        <f>IF($J144="",#N/A,SUM(CP$4:CP144))</f>
        <v>0</v>
      </c>
      <c r="CR144" s="204" t="str">
        <f t="shared" si="261"/>
        <v/>
      </c>
      <c r="CS144" s="204">
        <f>IF($J144="",#N/A,SUM(CR$4:CR144))</f>
        <v>0</v>
      </c>
      <c r="CT144" s="205" t="str">
        <f t="shared" si="262"/>
        <v/>
      </c>
      <c r="CU144" s="205">
        <f>IF($J144="",#N/A,SUM(CT$4:CT144))</f>
        <v>0</v>
      </c>
      <c r="CV144" s="205">
        <f>IF($J144="",#N/A,SUM(CT$4:CT144,CR$4:CR144,CP$4:CP144))</f>
        <v>0</v>
      </c>
      <c r="CW144" s="200" t="str">
        <f t="shared" si="263"/>
        <v/>
      </c>
      <c r="CX144" s="203">
        <f>IF($J144="",#N/A,SUM(CW$4:CW144))</f>
        <v>0</v>
      </c>
      <c r="CY144" s="204" t="str">
        <f t="shared" si="264"/>
        <v/>
      </c>
      <c r="CZ144" s="204">
        <f>IF($J144="",#N/A,SUM(CY$4:CY144))</f>
        <v>-1.9289529100071134</v>
      </c>
      <c r="DA144" s="205" t="str">
        <f t="shared" si="265"/>
        <v/>
      </c>
      <c r="DB144" s="205">
        <f>IF($J144="",#N/A,SUM(DA$4:DA144))</f>
        <v>3.1364376348577139E-3</v>
      </c>
      <c r="DC144" s="205">
        <f>IF($J144="",#N/A,SUM(DA$4:DA144,CY$4:CY144,CW$4:CW144))</f>
        <v>-1.9258164723722557</v>
      </c>
      <c r="DD144" s="200" t="str">
        <f t="shared" si="266"/>
        <v/>
      </c>
      <c r="DE144" s="203">
        <f>IF($J144="",#N/A,SUM(DD$4:DD144))</f>
        <v>0.14968716170674062</v>
      </c>
      <c r="DF144" s="204" t="str">
        <f t="shared" si="267"/>
        <v/>
      </c>
      <c r="DG144" s="204">
        <f>IF($J144="",#N/A,SUM(DF$4:DF144))</f>
        <v>1.261291609944398</v>
      </c>
      <c r="DH144" s="205">
        <f t="shared" si="268"/>
        <v>-0.13929516645772541</v>
      </c>
      <c r="DI144" s="205">
        <f>IF($J144="",#N/A,SUM(DH$4:DH144))</f>
        <v>-1.4547707265941352</v>
      </c>
      <c r="DJ144" s="205">
        <f>IF($J144="",#N/A,SUM(DH$4:DH144,DF$4:DF144,DD$4:DD144))</f>
        <v>-4.3791954942996647E-2</v>
      </c>
      <c r="DK144" s="200" t="str">
        <f t="shared" si="269"/>
        <v/>
      </c>
      <c r="DL144" s="203">
        <f>IF($J144="",#N/A,SUM(DK$4:DK144))</f>
        <v>-1.2097286851272664</v>
      </c>
      <c r="DM144" s="204" t="str">
        <f t="shared" si="270"/>
        <v/>
      </c>
      <c r="DN144" s="204">
        <f>IF($J144="",#N/A,SUM(DM$4:DM144))</f>
        <v>1.1910608267574658</v>
      </c>
      <c r="DO144" s="205" t="str">
        <f t="shared" si="271"/>
        <v/>
      </c>
      <c r="DP144" s="205">
        <f>IF($J144="",#N/A,SUM(DO$4:DO144))</f>
        <v>1.3495058802125319</v>
      </c>
      <c r="DQ144" s="205">
        <f>IF($J144="",#N/A,SUM(DO$4:DO144,DM$4:DM144,DK$4:DK144))</f>
        <v>1.3308380218427318</v>
      </c>
      <c r="DR144" s="200" t="str">
        <f t="shared" si="272"/>
        <v/>
      </c>
      <c r="DS144" s="203">
        <f>IF($J144="",#N/A,SUM(DR$4:DR144))</f>
        <v>-0.55950946427675097</v>
      </c>
      <c r="DT144" s="204" t="str">
        <f t="shared" si="273"/>
        <v/>
      </c>
      <c r="DU144" s="204">
        <f>IF($J144="",#N/A,SUM(DT$4:DT144))</f>
        <v>-3.13334520229097</v>
      </c>
      <c r="DV144" s="205" t="str">
        <f t="shared" si="274"/>
        <v/>
      </c>
      <c r="DW144" s="205">
        <f>IF($J144="",#N/A,SUM(DV$4:DV144))</f>
        <v>-2.6814706788983136</v>
      </c>
      <c r="DX144" s="205">
        <f>IF($J144="",#N/A,SUM(DV$4:DV144,DT$4:DT144,DR$4:DR144))</f>
        <v>-6.3743253454660342</v>
      </c>
      <c r="DY144" s="200" t="str">
        <f t="shared" si="275"/>
        <v/>
      </c>
      <c r="DZ144" s="203">
        <f>IF($J144="",#N/A,SUM(DY$4:DY144))</f>
        <v>-1.63480022183437</v>
      </c>
      <c r="EA144" s="204" t="str">
        <f t="shared" si="276"/>
        <v/>
      </c>
      <c r="EB144" s="204">
        <f>IF($J144="",#N/A,SUM(EA$4:EA144))</f>
        <v>0.79979533615398157</v>
      </c>
      <c r="EC144" s="205" t="str">
        <f t="shared" si="277"/>
        <v/>
      </c>
      <c r="ED144" s="205">
        <f>IF($J144="",#N/A,SUM(EC$4:EC144))</f>
        <v>1.7103671484331777</v>
      </c>
      <c r="EE144" s="205">
        <f>IF($J144="",#N/A,SUM(EC$4:EC144,EA$4:EA144,DY$4:DY144))</f>
        <v>0.8753622627527895</v>
      </c>
      <c r="EF144" s="200" t="str">
        <f t="shared" si="278"/>
        <v/>
      </c>
      <c r="EG144" s="203">
        <f>IF($J144="",#N/A,SUM(EF$4:EF144))</f>
        <v>0</v>
      </c>
      <c r="EH144" s="204" t="str">
        <f t="shared" si="279"/>
        <v/>
      </c>
      <c r="EI144" s="204">
        <f>IF($J144="",#N/A,SUM(EH$4:EH144))</f>
        <v>-2.4583366878124231</v>
      </c>
      <c r="EJ144" s="205" t="str">
        <f t="shared" si="280"/>
        <v/>
      </c>
      <c r="EK144" s="205">
        <f>IF($J144="",#N/A,SUM(EJ$4:EJ144))</f>
        <v>1.7255127285193785</v>
      </c>
      <c r="EL144" s="205">
        <f>IF($J144="",#N/A,SUM(EJ$4:EJ144,EH$4:EH144,EF$4:EF144))</f>
        <v>-0.73282395929304378</v>
      </c>
      <c r="EM144" s="200" t="str">
        <f t="shared" si="281"/>
        <v/>
      </c>
      <c r="EN144" s="203">
        <f>IF($J144="",#N/A,SUM(EM$4:EM144))</f>
        <v>0</v>
      </c>
      <c r="EO144" s="204" t="str">
        <f t="shared" si="282"/>
        <v/>
      </c>
      <c r="EP144" s="204">
        <f>IF($J144="",#N/A,SUM(EO$4:EO144))</f>
        <v>1.7158454726698287</v>
      </c>
      <c r="EQ144" s="205" t="str">
        <f t="shared" si="283"/>
        <v/>
      </c>
      <c r="ER144" s="205">
        <f>IF($J144="",#N/A,SUM(EQ$4:EQ144))</f>
        <v>0.4926597949853756</v>
      </c>
      <c r="ES144" s="205">
        <f>IF($J144="",#N/A,SUM(EQ$4:EQ144,EO$4:EO144,EM$4:EM144))</f>
        <v>2.2085052676552039</v>
      </c>
      <c r="ET144" s="200" t="str">
        <f t="shared" si="284"/>
        <v/>
      </c>
      <c r="EU144" s="203">
        <f>IF($J144="",#N/A,SUM(ET$4:ET144))</f>
        <v>0</v>
      </c>
      <c r="EV144" s="204" t="str">
        <f t="shared" si="285"/>
        <v/>
      </c>
      <c r="EW144" s="204">
        <f>IF($J144="",#N/A,SUM(EV$4:EV144))</f>
        <v>0.90459527759708336</v>
      </c>
      <c r="EX144" s="205" t="str">
        <f t="shared" si="286"/>
        <v/>
      </c>
      <c r="EY144" s="205">
        <f>IF($J144="",#N/A,SUM(EX$4:EX144))</f>
        <v>0.22957553748493481</v>
      </c>
      <c r="EZ144" s="205">
        <f>IF($J144="",#N/A,SUM(EX$4:EX144,EV$4:EV144,ET$4:ET144))</f>
        <v>1.134170815082018</v>
      </c>
      <c r="FA144" s="200" t="str">
        <f t="shared" si="287"/>
        <v/>
      </c>
      <c r="FB144" s="203">
        <f>IF($J144="",#N/A,SUM(FA$4:FA144))</f>
        <v>0</v>
      </c>
      <c r="FC144" s="204" t="str">
        <f t="shared" si="288"/>
        <v/>
      </c>
      <c r="FD144" s="204">
        <f>IF($J144="",#N/A,SUM(FC$4:FC144))</f>
        <v>1.6839191319663924</v>
      </c>
      <c r="FE144" s="205" t="str">
        <f t="shared" si="289"/>
        <v/>
      </c>
      <c r="FF144" s="205">
        <f>IF($J144="",#N/A,SUM(FE$4:FE144))</f>
        <v>-0.28811149078748233</v>
      </c>
      <c r="FG144" s="205">
        <f>IF($J144="",#N/A,SUM(FE$4:FE144,FC$4:FC144,FA$4:FA144))</f>
        <v>1.3958076411789102</v>
      </c>
      <c r="FH144" s="200" t="str">
        <f t="shared" si="290"/>
        <v/>
      </c>
      <c r="FI144" s="203">
        <f>IF($J144="",#N/A,SUM(FH$4:FH144))</f>
        <v>0</v>
      </c>
      <c r="FJ144" s="204" t="str">
        <f t="shared" si="291"/>
        <v/>
      </c>
      <c r="FK144" s="204">
        <f>IF($J144="",#N/A,SUM(FJ$4:FJ144))</f>
        <v>0</v>
      </c>
      <c r="FL144" s="205" t="str">
        <f t="shared" si="292"/>
        <v/>
      </c>
      <c r="FM144" s="205">
        <f>IF($J144="",#N/A,SUM(FL$4:FL144))</f>
        <v>0</v>
      </c>
      <c r="FN144" s="205">
        <f>IF($J144="",#N/A,SUM(FL$4:FL144,FJ$4:FJ144,FH$4:FH144))</f>
        <v>0</v>
      </c>
      <c r="FO144" s="200" t="str">
        <f t="shared" si="293"/>
        <v/>
      </c>
      <c r="FP144" s="203">
        <f>IF($J144="",#N/A,SUM(FO$4:FO144))</f>
        <v>0</v>
      </c>
      <c r="FQ144" s="204" t="str">
        <f t="shared" si="294"/>
        <v/>
      </c>
      <c r="FR144" s="204">
        <f>IF($J144="",#N/A,SUM(FQ$4:FQ144))</f>
        <v>0</v>
      </c>
      <c r="FS144" s="205" t="str">
        <f t="shared" si="295"/>
        <v/>
      </c>
      <c r="FT144" s="205">
        <f>IF($J144="",#N/A,SUM(FS$4:FS144))</f>
        <v>0</v>
      </c>
      <c r="FU144" s="205">
        <f>IF($J144="",#N/A,SUM(FS$4:FS144,FQ$4:FQ144,FO$4:FO144))</f>
        <v>0</v>
      </c>
      <c r="FV144" s="200" t="str">
        <f t="shared" si="296"/>
        <v/>
      </c>
      <c r="FW144" s="203">
        <f>IF($J144="",#N/A,SUM(FV$4:FV144))</f>
        <v>6.6834991831277585E-2</v>
      </c>
      <c r="FX144" s="204" t="str">
        <f t="shared" si="297"/>
        <v/>
      </c>
      <c r="FY144" s="204">
        <f>IF($J144="",#N/A,SUM(FX$4:FX144))</f>
        <v>0</v>
      </c>
      <c r="FZ144" s="205" t="str">
        <f t="shared" si="298"/>
        <v/>
      </c>
      <c r="GA144" s="205">
        <f>IF($J144="",#N/A,SUM(FZ$4:FZ144))</f>
        <v>-0.24773347685909197</v>
      </c>
      <c r="GB144" s="205">
        <f>IF($J144="",#N/A,SUM(FZ$4:FZ144,FX$4:FX144,FV$4:FV144))</f>
        <v>-0.18089848502781439</v>
      </c>
      <c r="GC144" s="200" t="str">
        <f t="shared" si="299"/>
        <v/>
      </c>
      <c r="GD144" s="203">
        <f>IF($J144="",#N/A,SUM(GC$4:GC144))</f>
        <v>0</v>
      </c>
      <c r="GE144" s="204" t="str">
        <f t="shared" si="300"/>
        <v/>
      </c>
      <c r="GF144" s="204">
        <f>IF($J144="",#N/A,SUM(GE$4:GE144))</f>
        <v>0</v>
      </c>
      <c r="GG144" s="205" t="str">
        <f t="shared" si="301"/>
        <v/>
      </c>
      <c r="GH144" s="205">
        <f>IF($J144="",#N/A,SUM(GG$4:GG144))</f>
        <v>-2.9368362277223206</v>
      </c>
      <c r="GI144" s="205">
        <f>IF($J144="",#N/A,SUM(GG$4:GG144,GE$4:GE144,GC$4:GC144))</f>
        <v>-2.9368362277223206</v>
      </c>
      <c r="GJ144" s="200" t="str">
        <f t="shared" si="302"/>
        <v/>
      </c>
      <c r="GK144" s="203">
        <f>IF($J144="",#N/A,SUM(GJ$4:GJ144))</f>
        <v>0</v>
      </c>
      <c r="GL144" s="204" t="str">
        <f t="shared" si="303"/>
        <v/>
      </c>
      <c r="GM144" s="204">
        <f>IF($J144="",#N/A,SUM(GL$4:GL144))</f>
        <v>-0.80168930905701452</v>
      </c>
      <c r="GN144" s="205" t="str">
        <f t="shared" si="304"/>
        <v/>
      </c>
      <c r="GO144" s="205">
        <f>IF($J144="",#N/A,SUM(GN$4:GN144))</f>
        <v>0</v>
      </c>
      <c r="GP144" s="205">
        <f>IF($J144="",#N/A,SUM(GN$4:GN144,GL$4:GL144,GJ$4:GJ144))</f>
        <v>-0.80168930905701452</v>
      </c>
      <c r="GS144" s="54">
        <f t="shared" si="323"/>
        <v>-0.13929516645772541</v>
      </c>
      <c r="GT144" s="54">
        <f>IF(GS144="",NA(),SUM($GS$4:GS144))</f>
        <v>-2.0401708657745785</v>
      </c>
      <c r="GU144" s="54" t="str">
        <f t="shared" si="305"/>
        <v/>
      </c>
      <c r="GV144" s="54" t="e">
        <f>IF(GU144="",NA(),SUM($GU$4:GU144))</f>
        <v>#N/A</v>
      </c>
      <c r="GW144" s="54">
        <f t="shared" si="306"/>
        <v>-0.13929516645772541</v>
      </c>
      <c r="GX144" s="54">
        <f>IF(GW144="",NA(),SUM($GW$4:GW144))</f>
        <v>-4.4555313771138555E-2</v>
      </c>
      <c r="GY144" s="54" t="str">
        <f t="shared" si="307"/>
        <v/>
      </c>
      <c r="GZ144" s="54" t="e">
        <f>IF(GY144="",NA(),SUM($GY$4:GY144))</f>
        <v>#N/A</v>
      </c>
      <c r="HA144" s="54" t="str">
        <f t="shared" si="308"/>
        <v/>
      </c>
      <c r="HB144" s="54" t="e">
        <f>IF(HA144="",NA(),SUM($HA$4:HA144))</f>
        <v>#N/A</v>
      </c>
      <c r="HC144" s="54" t="str">
        <f t="shared" si="309"/>
        <v/>
      </c>
      <c r="HD144" s="54" t="e">
        <f>IF(HC144="",NA(),SUM($HC$4:HC144))</f>
        <v>#N/A</v>
      </c>
      <c r="HE144" s="54" t="str">
        <f t="shared" si="310"/>
        <v/>
      </c>
      <c r="HF144" s="54" t="e">
        <f>IF(HE144="",NA(),SUM($HE$4:HE144))</f>
        <v>#N/A</v>
      </c>
      <c r="HG144" s="54" t="str">
        <f t="shared" si="311"/>
        <v/>
      </c>
      <c r="HH144" s="54" t="e">
        <f>IF(HG144="",NA(),SUM($HG$4:HG144))</f>
        <v>#N/A</v>
      </c>
      <c r="HI144" s="172" t="str">
        <f t="shared" si="324"/>
        <v/>
      </c>
      <c r="HJ144" s="172">
        <f>IF($J144="",#N/A,SUM(HI$4:$HI144))</f>
        <v>-6.0153473998924403</v>
      </c>
      <c r="HK144" s="54" t="str">
        <f t="shared" si="312"/>
        <v/>
      </c>
      <c r="HL144" s="54">
        <f>IF($J144="",#N/A,SUM($HK$4:HK144))</f>
        <v>-5.7654810054360146</v>
      </c>
      <c r="HM144" s="54" t="str">
        <f t="shared" si="313"/>
        <v/>
      </c>
      <c r="HN144" s="54">
        <f>IF($J144="",#N/A,SUM($HM$4:HM144))</f>
        <v>0.71812545963587882</v>
      </c>
      <c r="HO144" s="54" t="str">
        <f t="shared" si="314"/>
        <v/>
      </c>
      <c r="HP144" s="54">
        <f>IF($J144="",#N/A,SUM($HO$4:HO144))</f>
        <v>-0.14859521910082485</v>
      </c>
      <c r="HQ144" s="54" t="str">
        <f t="shared" si="315"/>
        <v/>
      </c>
      <c r="HR144" s="54">
        <f>IF($J144="",#N/A,SUM($HQ$4:HQ144))</f>
        <v>-7.3390769661523079</v>
      </c>
      <c r="HS144" s="54">
        <f t="shared" si="316"/>
        <v>0.26930398848493114</v>
      </c>
      <c r="HT144" s="54">
        <f>IF($J144="",#N/A,SUM($HS$4:HS144))</f>
        <v>8.9025773633382936</v>
      </c>
      <c r="HU144" s="65">
        <f t="shared" si="317"/>
        <v>0.13000882202720573</v>
      </c>
      <c r="HV144" s="65">
        <f>IF($J144="",#N/A,SUM(HU$4:$HU144))</f>
        <v>-11.210117751489193</v>
      </c>
    </row>
    <row r="145" spans="1:230" x14ac:dyDescent="0.25">
      <c r="A145" s="51" t="s">
        <v>1374</v>
      </c>
      <c r="B145" s="52" t="s">
        <v>4540</v>
      </c>
      <c r="C145" s="229">
        <f t="shared" si="218"/>
        <v>2</v>
      </c>
      <c r="D145" s="219" t="str">
        <f>_xlfn.XLOOKUP(A145,[1]SP500!$A$2:$A$502,[1]SP500!$D$2:$D$502,"N")</f>
        <v>Y</v>
      </c>
      <c r="E145" s="51" t="str">
        <f>IFERROR(_xlfn.XLOOKUP(A145,[1]SP500!$A$2:$A$655,[1]SP500!$B$2:$B$655),"")</f>
        <v>XLB</v>
      </c>
      <c r="F145" s="290">
        <v>45776</v>
      </c>
      <c r="G145" s="51" t="str">
        <f t="shared" si="219"/>
        <v>BMO</v>
      </c>
      <c r="H145" s="51" t="str">
        <f t="shared" si="220"/>
        <v>s</v>
      </c>
      <c r="I145" s="343">
        <v>239.03</v>
      </c>
      <c r="J145" s="123">
        <v>245.5</v>
      </c>
      <c r="K145" s="55">
        <f t="shared" si="221"/>
        <v>2.7067732083838843E-2</v>
      </c>
      <c r="L145" s="67">
        <f t="shared" si="222"/>
        <v>-25.879999999999995</v>
      </c>
      <c r="M145" s="57">
        <f t="shared" si="223"/>
        <v>2</v>
      </c>
      <c r="N145" s="147">
        <f t="shared" si="224"/>
        <v>-25.879999999999995</v>
      </c>
      <c r="O145" s="57">
        <f>IF(N145="",#N/A,SUM($N$4:N145))</f>
        <v>-335.22863589938754</v>
      </c>
      <c r="P145" s="65">
        <f t="shared" si="318"/>
        <v>-0.45112886806398078</v>
      </c>
      <c r="Q145" s="172">
        <f>IF($N145="",#N/A,SUM($P$4:P145))</f>
        <v>-2.0134488519457587</v>
      </c>
      <c r="R145" s="279">
        <f t="shared" si="225"/>
        <v>5.2378024603007569</v>
      </c>
      <c r="S145" s="51" t="str">
        <f t="shared" si="226"/>
        <v>Dwn</v>
      </c>
      <c r="T145" s="51" t="s">
        <v>4461</v>
      </c>
      <c r="U145" s="56">
        <f t="shared" si="227"/>
        <v>239.03</v>
      </c>
      <c r="V145" s="56" t="s">
        <v>4458</v>
      </c>
      <c r="W145" s="142">
        <v>4</v>
      </c>
      <c r="X145" s="145">
        <f t="shared" si="228"/>
        <v>956.12</v>
      </c>
      <c r="Y145" s="140">
        <f t="shared" si="229"/>
        <v>4</v>
      </c>
      <c r="Z145" s="123">
        <v>245</v>
      </c>
      <c r="AA145" s="102">
        <f t="shared" si="230"/>
        <v>-23.879999999999995</v>
      </c>
      <c r="AB145" s="102">
        <f t="shared" si="231"/>
        <v>-31.519999999999982</v>
      </c>
      <c r="AC145" s="123">
        <v>246.91</v>
      </c>
      <c r="AD145" s="155">
        <f t="shared" si="232"/>
        <v>-31.519999999999982</v>
      </c>
      <c r="AE145" s="545">
        <f t="shared" si="233"/>
        <v>-0.54944288722475532</v>
      </c>
      <c r="AF145" s="57">
        <f>IF($AC145="",#N/A,SUM(AD$4:AD145))</f>
        <v>-830.94041200241668</v>
      </c>
      <c r="AG145" s="102">
        <f t="shared" si="234"/>
        <v>-5.6399999999999864</v>
      </c>
      <c r="AH145" s="102" t="s">
        <v>2507</v>
      </c>
      <c r="AI145" s="65">
        <f t="shared" si="235"/>
        <v>-0.41626574070200389</v>
      </c>
      <c r="AJ145" s="350">
        <f>IF(AI145="",#N/A,SUM($AI$4:AI145))</f>
        <v>-7.2512513122465156</v>
      </c>
      <c r="AK145" s="144">
        <f t="shared" si="236"/>
        <v>-23.879999999999995</v>
      </c>
      <c r="AL145" s="349">
        <f>IF(AI145="",#N/A,IF(AH145="Skip",SUM($AK$4:AK145),SUM($AK$4:AK145)))</f>
        <v>-672.67740850718633</v>
      </c>
      <c r="AM145" s="65">
        <f t="shared" si="319"/>
        <v>-0.54944288722475532</v>
      </c>
      <c r="AN145" s="209"/>
      <c r="AO145" s="65" t="str">
        <f t="shared" si="237"/>
        <v/>
      </c>
      <c r="AP145" s="65">
        <f>IF($AC145="",#N/A,SUM(AO$4:AO145))</f>
        <v>1.7209338963421281</v>
      </c>
      <c r="AQ145" s="65" t="str">
        <f t="shared" si="238"/>
        <v/>
      </c>
      <c r="AR145" s="65">
        <f>IF($AC145="",#N/A,SUM(AQ$4:AQ145))</f>
        <v>-2.6179859771653153</v>
      </c>
      <c r="AS145" s="65">
        <f t="shared" si="239"/>
        <v>-0.54944288722475532</v>
      </c>
      <c r="AT145" s="65">
        <f>IF($AC145="",#N/A,SUM(AS$4:AS145))</f>
        <v>-10.862508557890767</v>
      </c>
      <c r="AU145" s="57" t="str">
        <f t="shared" si="320"/>
        <v/>
      </c>
      <c r="AV145" s="57">
        <f>IF($AC145="",#N/A,SUM(AU$4:AU145))</f>
        <v>26.761206451250359</v>
      </c>
      <c r="AW145" s="57" t="str">
        <f t="shared" si="321"/>
        <v/>
      </c>
      <c r="AX145" s="57">
        <f>IF($AC145="",#N/A,SUM(AW$4:AW145))</f>
        <v>-163.1400000000001</v>
      </c>
      <c r="AY145" s="57">
        <f t="shared" si="322"/>
        <v>-31.519999999999982</v>
      </c>
      <c r="AZ145" s="57">
        <f>IF($AC145="",#N/A,SUM(AY$4:AY145))</f>
        <v>-694.56161845366694</v>
      </c>
      <c r="BA145" s="57">
        <f>IF(AD145="",#N/A,SUM($AD$4:AD145))</f>
        <v>-830.94041200241668</v>
      </c>
      <c r="BC145" s="51" t="str">
        <f t="shared" si="240"/>
        <v/>
      </c>
      <c r="BD145" s="51">
        <f t="shared" si="241"/>
        <v>1</v>
      </c>
      <c r="BE145" s="51" t="str">
        <f t="shared" si="242"/>
        <v/>
      </c>
      <c r="BF145" s="51" t="str">
        <f t="shared" si="243"/>
        <v>Short</v>
      </c>
      <c r="BG145" s="51" t="str">
        <f t="shared" si="244"/>
        <v/>
      </c>
      <c r="BH145" s="51" t="str">
        <f t="shared" si="245"/>
        <v/>
      </c>
      <c r="BI145" s="51" t="str">
        <f t="shared" si="246"/>
        <v/>
      </c>
      <c r="BK145" s="65">
        <f t="shared" si="217"/>
        <v>-2.2936442968439611E-2</v>
      </c>
      <c r="BL145" s="65">
        <f t="shared" si="216"/>
        <v>6.3521480956729628E-3</v>
      </c>
      <c r="BM145" s="65">
        <f>IFERROR(Q145/COUNTA($J$4:J145),#N/A)</f>
        <v>-1.4179217267223654E-2</v>
      </c>
      <c r="BO145" s="489" t="e">
        <f>IF(J145="",#N/A,IF(S145="SW",(COUNTIFS(K$4:$K145,"&gt;0",S$4:$S145,"SW")/COUNTIF(S$4:$S145,"SW")),#N/A))</f>
        <v>#N/A</v>
      </c>
      <c r="BP145" s="489">
        <f>IF($J145="",#N/A,IF($S145="DWN",(COUNTIFS($K$4:$K145,"&lt;0",$S$4:$S145,"DWN")/COUNTIF($S$4:$S145,"DWN")),#N/A))</f>
        <v>0.58620689655172409</v>
      </c>
      <c r="BQ145" s="489" t="e">
        <f>IF($J145="",#N/A,IF($S145="UP",(COUNTIFS($K$4:$K145,"&gt;0",$S$4:$S145,"UP")/COUNTIF($S$4:$S145,"UP")),#N/A))</f>
        <v>#N/A</v>
      </c>
      <c r="BR145" s="489">
        <f>IF(J145="",#N/A,COUNTIF($K$4:K145,"&gt;0")/COUNT($J$4:J145))</f>
        <v>0.44366197183098594</v>
      </c>
      <c r="BS145" s="65" t="str">
        <f t="shared" si="247"/>
        <v/>
      </c>
      <c r="BT145" s="65" t="str">
        <f t="shared" si="248"/>
        <v/>
      </c>
      <c r="BU145" s="65" t="str">
        <f t="shared" si="249"/>
        <v/>
      </c>
      <c r="BV145" s="65">
        <f t="shared" si="250"/>
        <v>-0.45112886806398078</v>
      </c>
      <c r="BW145" s="127" t="str">
        <f t="shared" si="251"/>
        <v/>
      </c>
      <c r="BX145" s="127">
        <f>IF($J145="",#N/A,SUM($BW$4:BW145))</f>
        <v>-205.1650000000003</v>
      </c>
      <c r="BY145" s="130">
        <f t="shared" si="252"/>
        <v>-25.879999999999995</v>
      </c>
      <c r="BZ145" s="130">
        <f>IF($J145="",#N/A,SUM($BY$4:BY145))</f>
        <v>-9.8656596106662846</v>
      </c>
      <c r="CA145" s="132" t="str">
        <f t="shared" si="253"/>
        <v/>
      </c>
      <c r="CB145" s="132">
        <f>IF($J145="",#N/A,SUM($CA$4:CA145))</f>
        <v>-120.19797628872095</v>
      </c>
      <c r="CC145" s="197" t="str">
        <f t="shared" si="254"/>
        <v/>
      </c>
      <c r="CD145" s="197">
        <f>IF($J145="",#N/A,SUM($CC$4:CC145))</f>
        <v>-3.1875162177003693</v>
      </c>
      <c r="CE145" s="198">
        <f t="shared" si="255"/>
        <v>-0.45112886806398078</v>
      </c>
      <c r="CF145" s="198">
        <f>IF($J145="",#N/A,SUM($CE$4:CE145))</f>
        <v>1.0166338665984678</v>
      </c>
      <c r="CG145" s="199" t="str">
        <f t="shared" si="256"/>
        <v/>
      </c>
      <c r="CH145" s="199">
        <f>IF($J145="",#N/A,SUM($CG$4:CG145))</f>
        <v>0.15743349915614699</v>
      </c>
      <c r="CI145" s="200" t="str">
        <f t="shared" si="257"/>
        <v/>
      </c>
      <c r="CJ145" s="206">
        <f>IF($J145="",#N/A,SUM(CI$4:CI145))</f>
        <v>0</v>
      </c>
      <c r="CK145" s="207" t="str">
        <f t="shared" si="258"/>
        <v/>
      </c>
      <c r="CL145" s="207">
        <f>IF($J145="",#N/A,SUM(CK$4:CK145))</f>
        <v>2.2335791887408174</v>
      </c>
      <c r="CM145" s="208" t="str">
        <f t="shared" si="259"/>
        <v/>
      </c>
      <c r="CN145" s="208">
        <f>IF($J145="",#N/A,SUM(CM$4:CM145))</f>
        <v>2.2555985727472319</v>
      </c>
      <c r="CO145" s="208">
        <f>IF($J145="",#N/A,SUM(CM$4:CM145,CK$4:CK145,CI$4:CI145))</f>
        <v>4.4891777614880493</v>
      </c>
      <c r="CP145" s="200" t="str">
        <f t="shared" si="260"/>
        <v/>
      </c>
      <c r="CQ145" s="206">
        <f>IF($J145="",#N/A,SUM(CP$4:CP145))</f>
        <v>0</v>
      </c>
      <c r="CR145" s="207" t="str">
        <f t="shared" si="261"/>
        <v/>
      </c>
      <c r="CS145" s="207">
        <f>IF($J145="",#N/A,SUM(CR$4:CR145))</f>
        <v>0</v>
      </c>
      <c r="CT145" s="208" t="str">
        <f t="shared" si="262"/>
        <v/>
      </c>
      <c r="CU145" s="208">
        <f>IF($J145="",#N/A,SUM(CT$4:CT145))</f>
        <v>0</v>
      </c>
      <c r="CV145" s="208">
        <f>IF($J145="",#N/A,SUM(CT$4:CT145,CR$4:CR145,CP$4:CP145))</f>
        <v>0</v>
      </c>
      <c r="CW145" s="200" t="str">
        <f t="shared" si="263"/>
        <v/>
      </c>
      <c r="CX145" s="206">
        <f>IF($J145="",#N/A,SUM(CW$4:CW145))</f>
        <v>0</v>
      </c>
      <c r="CY145" s="207" t="str">
        <f t="shared" si="264"/>
        <v/>
      </c>
      <c r="CZ145" s="207">
        <f>IF($J145="",#N/A,SUM(CY$4:CY145))</f>
        <v>-1.9289529100071134</v>
      </c>
      <c r="DA145" s="208" t="str">
        <f t="shared" si="265"/>
        <v/>
      </c>
      <c r="DB145" s="208">
        <f>IF($J145="",#N/A,SUM(DA$4:DA145))</f>
        <v>3.1364376348577139E-3</v>
      </c>
      <c r="DC145" s="208">
        <f>IF($J145="",#N/A,SUM(DA$4:DA145,CY$4:CY145,CW$4:CW145))</f>
        <v>-1.9258164723722557</v>
      </c>
      <c r="DD145" s="200" t="str">
        <f t="shared" si="266"/>
        <v/>
      </c>
      <c r="DE145" s="206">
        <f>IF($J145="",#N/A,SUM(DD$4:DD145))</f>
        <v>0.14968716170674062</v>
      </c>
      <c r="DF145" s="207" t="str">
        <f t="shared" si="267"/>
        <v/>
      </c>
      <c r="DG145" s="207">
        <f>IF($J145="",#N/A,SUM(DF$4:DF145))</f>
        <v>1.261291609944398</v>
      </c>
      <c r="DH145" s="208" t="str">
        <f t="shared" si="268"/>
        <v/>
      </c>
      <c r="DI145" s="208">
        <f>IF($J145="",#N/A,SUM(DH$4:DH145))</f>
        <v>-1.4547707265941352</v>
      </c>
      <c r="DJ145" s="208">
        <f>IF($J145="",#N/A,SUM(DH$4:DH145,DF$4:DF145,DD$4:DD145))</f>
        <v>-4.3791954942996647E-2</v>
      </c>
      <c r="DK145" s="200" t="str">
        <f t="shared" si="269"/>
        <v/>
      </c>
      <c r="DL145" s="206">
        <f>IF($J145="",#N/A,SUM(DK$4:DK145))</f>
        <v>-1.2097286851272664</v>
      </c>
      <c r="DM145" s="207" t="str">
        <f t="shared" si="270"/>
        <v/>
      </c>
      <c r="DN145" s="207">
        <f>IF($J145="",#N/A,SUM(DM$4:DM145))</f>
        <v>1.1910608267574658</v>
      </c>
      <c r="DO145" s="208" t="str">
        <f t="shared" si="271"/>
        <v/>
      </c>
      <c r="DP145" s="208">
        <f>IF($J145="",#N/A,SUM(DO$4:DO145))</f>
        <v>1.3495058802125319</v>
      </c>
      <c r="DQ145" s="208">
        <f>IF($J145="",#N/A,SUM(DO$4:DO145,DM$4:DM145,DK$4:DK145))</f>
        <v>1.3308380218427318</v>
      </c>
      <c r="DR145" s="200" t="str">
        <f t="shared" si="272"/>
        <v/>
      </c>
      <c r="DS145" s="206">
        <f>IF($J145="",#N/A,SUM(DR$4:DR145))</f>
        <v>-0.55950946427675097</v>
      </c>
      <c r="DT145" s="207" t="str">
        <f t="shared" si="273"/>
        <v/>
      </c>
      <c r="DU145" s="207">
        <f>IF($J145="",#N/A,SUM(DT$4:DT145))</f>
        <v>-3.13334520229097</v>
      </c>
      <c r="DV145" s="208" t="str">
        <f t="shared" si="274"/>
        <v/>
      </c>
      <c r="DW145" s="208">
        <f>IF($J145="",#N/A,SUM(DV$4:DV145))</f>
        <v>-2.6814706788983136</v>
      </c>
      <c r="DX145" s="208">
        <f>IF($J145="",#N/A,SUM(DV$4:DV145,DT$4:DT145,DR$4:DR145))</f>
        <v>-6.3743253454660342</v>
      </c>
      <c r="DY145" s="200" t="str">
        <f t="shared" si="275"/>
        <v/>
      </c>
      <c r="DZ145" s="206">
        <f>IF($J145="",#N/A,SUM(DY$4:DY145))</f>
        <v>-1.63480022183437</v>
      </c>
      <c r="EA145" s="207" t="str">
        <f t="shared" si="276"/>
        <v/>
      </c>
      <c r="EB145" s="207">
        <f>IF($J145="",#N/A,SUM(EA$4:EA145))</f>
        <v>0.79979533615398157</v>
      </c>
      <c r="EC145" s="208" t="str">
        <f t="shared" si="277"/>
        <v/>
      </c>
      <c r="ED145" s="208">
        <f>IF($J145="",#N/A,SUM(EC$4:EC145))</f>
        <v>1.7103671484331777</v>
      </c>
      <c r="EE145" s="208">
        <f>IF($J145="",#N/A,SUM(EC$4:EC145,EA$4:EA145,DY$4:DY145))</f>
        <v>0.8753622627527895</v>
      </c>
      <c r="EF145" s="200" t="str">
        <f t="shared" si="278"/>
        <v/>
      </c>
      <c r="EG145" s="206">
        <f>IF($J145="",#N/A,SUM(EF$4:EF145))</f>
        <v>0</v>
      </c>
      <c r="EH145" s="207" t="str">
        <f t="shared" si="279"/>
        <v/>
      </c>
      <c r="EI145" s="207">
        <f>IF($J145="",#N/A,SUM(EH$4:EH145))</f>
        <v>-2.4583366878124231</v>
      </c>
      <c r="EJ145" s="208" t="str">
        <f t="shared" si="280"/>
        <v/>
      </c>
      <c r="EK145" s="208">
        <f>IF($J145="",#N/A,SUM(EJ$4:EJ145))</f>
        <v>1.7255127285193785</v>
      </c>
      <c r="EL145" s="208">
        <f>IF($J145="",#N/A,SUM(EJ$4:EJ145,EH$4:EH145,EF$4:EF145))</f>
        <v>-0.73282395929304378</v>
      </c>
      <c r="EM145" s="200" t="str">
        <f t="shared" si="281"/>
        <v/>
      </c>
      <c r="EN145" s="206">
        <f>IF($J145="",#N/A,SUM(EM$4:EM145))</f>
        <v>0</v>
      </c>
      <c r="EO145" s="207">
        <f t="shared" si="282"/>
        <v>-0.45112886806398078</v>
      </c>
      <c r="EP145" s="207">
        <f>IF($J145="",#N/A,SUM(EO$4:EO145))</f>
        <v>1.264716604605848</v>
      </c>
      <c r="EQ145" s="208" t="str">
        <f t="shared" si="283"/>
        <v/>
      </c>
      <c r="ER145" s="208">
        <f>IF($J145="",#N/A,SUM(EQ$4:EQ145))</f>
        <v>0.4926597949853756</v>
      </c>
      <c r="ES145" s="208">
        <f>IF($J145="",#N/A,SUM(EQ$4:EQ145,EO$4:EO145,EM$4:EM145))</f>
        <v>1.757376399591223</v>
      </c>
      <c r="ET145" s="200" t="str">
        <f t="shared" si="284"/>
        <v/>
      </c>
      <c r="EU145" s="206">
        <f>IF($J145="",#N/A,SUM(ET$4:ET145))</f>
        <v>0</v>
      </c>
      <c r="EV145" s="207" t="str">
        <f t="shared" si="285"/>
        <v/>
      </c>
      <c r="EW145" s="207">
        <f>IF($J145="",#N/A,SUM(EV$4:EV145))</f>
        <v>0.90459527759708336</v>
      </c>
      <c r="EX145" s="208" t="str">
        <f t="shared" si="286"/>
        <v/>
      </c>
      <c r="EY145" s="208">
        <f>IF($J145="",#N/A,SUM(EX$4:EX145))</f>
        <v>0.22957553748493481</v>
      </c>
      <c r="EZ145" s="208">
        <f>IF($J145="",#N/A,SUM(EX$4:EX145,EV$4:EV145,ET$4:ET145))</f>
        <v>1.134170815082018</v>
      </c>
      <c r="FA145" s="200" t="str">
        <f t="shared" si="287"/>
        <v/>
      </c>
      <c r="FB145" s="206">
        <f>IF($J145="",#N/A,SUM(FA$4:FA145))</f>
        <v>0</v>
      </c>
      <c r="FC145" s="207" t="str">
        <f t="shared" si="288"/>
        <v/>
      </c>
      <c r="FD145" s="207">
        <f>IF($J145="",#N/A,SUM(FC$4:FC145))</f>
        <v>1.6839191319663924</v>
      </c>
      <c r="FE145" s="208" t="str">
        <f t="shared" si="289"/>
        <v/>
      </c>
      <c r="FF145" s="208">
        <f>IF($J145="",#N/A,SUM(FE$4:FE145))</f>
        <v>-0.28811149078748233</v>
      </c>
      <c r="FG145" s="208">
        <f>IF($J145="",#N/A,SUM(FE$4:FE145,FC$4:FC145,FA$4:FA145))</f>
        <v>1.3958076411789102</v>
      </c>
      <c r="FH145" s="200" t="str">
        <f t="shared" si="290"/>
        <v/>
      </c>
      <c r="FI145" s="206">
        <f>IF($J145="",#N/A,SUM(FH$4:FH145))</f>
        <v>0</v>
      </c>
      <c r="FJ145" s="207" t="str">
        <f t="shared" si="291"/>
        <v/>
      </c>
      <c r="FK145" s="207">
        <f>IF($J145="",#N/A,SUM(FJ$4:FJ145))</f>
        <v>0</v>
      </c>
      <c r="FL145" s="208" t="str">
        <f t="shared" si="292"/>
        <v/>
      </c>
      <c r="FM145" s="208">
        <f>IF($J145="",#N/A,SUM(FL$4:FL145))</f>
        <v>0</v>
      </c>
      <c r="FN145" s="208">
        <f>IF($J145="",#N/A,SUM(FL$4:FL145,FJ$4:FJ145,FH$4:FH145))</f>
        <v>0</v>
      </c>
      <c r="FO145" s="200" t="str">
        <f t="shared" si="293"/>
        <v/>
      </c>
      <c r="FP145" s="206">
        <f>IF($J145="",#N/A,SUM(FO$4:FO145))</f>
        <v>0</v>
      </c>
      <c r="FQ145" s="207" t="str">
        <f t="shared" si="294"/>
        <v/>
      </c>
      <c r="FR145" s="207">
        <f>IF($J145="",#N/A,SUM(FQ$4:FQ145))</f>
        <v>0</v>
      </c>
      <c r="FS145" s="208" t="str">
        <f t="shared" si="295"/>
        <v/>
      </c>
      <c r="FT145" s="208">
        <f>IF($J145="",#N/A,SUM(FS$4:FS145))</f>
        <v>0</v>
      </c>
      <c r="FU145" s="208">
        <f>IF($J145="",#N/A,SUM(FS$4:FS145,FQ$4:FQ145,FO$4:FO145))</f>
        <v>0</v>
      </c>
      <c r="FV145" s="200" t="str">
        <f t="shared" si="296"/>
        <v/>
      </c>
      <c r="FW145" s="206">
        <f>IF($J145="",#N/A,SUM(FV$4:FV145))</f>
        <v>6.6834991831277585E-2</v>
      </c>
      <c r="FX145" s="207" t="str">
        <f t="shared" si="297"/>
        <v/>
      </c>
      <c r="FY145" s="207">
        <f>IF($J145="",#N/A,SUM(FX$4:FX145))</f>
        <v>0</v>
      </c>
      <c r="FZ145" s="208" t="str">
        <f t="shared" si="298"/>
        <v/>
      </c>
      <c r="GA145" s="208">
        <f>IF($J145="",#N/A,SUM(FZ$4:FZ145))</f>
        <v>-0.24773347685909197</v>
      </c>
      <c r="GB145" s="208">
        <f>IF($J145="",#N/A,SUM(FZ$4:FZ145,FX$4:FX145,FV$4:FV145))</f>
        <v>-0.18089848502781439</v>
      </c>
      <c r="GC145" s="200" t="str">
        <f t="shared" si="299"/>
        <v/>
      </c>
      <c r="GD145" s="206">
        <f>IF($J145="",#N/A,SUM(GC$4:GC145))</f>
        <v>0</v>
      </c>
      <c r="GE145" s="207" t="str">
        <f t="shared" si="300"/>
        <v/>
      </c>
      <c r="GF145" s="207">
        <f>IF($J145="",#N/A,SUM(GE$4:GE145))</f>
        <v>0</v>
      </c>
      <c r="GG145" s="208" t="str">
        <f t="shared" si="301"/>
        <v/>
      </c>
      <c r="GH145" s="208">
        <f>IF($J145="",#N/A,SUM(GG$4:GG145))</f>
        <v>-2.9368362277223206</v>
      </c>
      <c r="GI145" s="208">
        <f>IF($J145="",#N/A,SUM(GG$4:GG145,GE$4:GE145,GC$4:GC145))</f>
        <v>-2.9368362277223206</v>
      </c>
      <c r="GJ145" s="200" t="str">
        <f t="shared" si="302"/>
        <v/>
      </c>
      <c r="GK145" s="206">
        <f>IF($J145="",#N/A,SUM(GJ$4:GJ145))</f>
        <v>0</v>
      </c>
      <c r="GL145" s="207" t="str">
        <f t="shared" si="303"/>
        <v/>
      </c>
      <c r="GM145" s="207">
        <f>IF($J145="",#N/A,SUM(GL$4:GL145))</f>
        <v>-0.80168930905701452</v>
      </c>
      <c r="GN145" s="208" t="str">
        <f t="shared" si="304"/>
        <v/>
      </c>
      <c r="GO145" s="208">
        <f>IF($J145="",#N/A,SUM(GN$4:GN145))</f>
        <v>0</v>
      </c>
      <c r="GP145" s="208">
        <f>IF($J145="",#N/A,SUM(GN$4:GN145,GL$4:GL145,GJ$4:GJ145))</f>
        <v>-0.80168930905701452</v>
      </c>
      <c r="GS145" s="54">
        <f t="shared" si="323"/>
        <v>-0.45112886806398078</v>
      </c>
      <c r="GT145" s="54">
        <f>IF(GS145="",NA(),SUM($GS$4:GS145))</f>
        <v>-2.4912997338385594</v>
      </c>
      <c r="GU145" s="54" t="str">
        <f t="shared" si="305"/>
        <v/>
      </c>
      <c r="GV145" s="54" t="e">
        <f>IF(GU145="",NA(),SUM($GU$4:GU145))</f>
        <v>#N/A</v>
      </c>
      <c r="GW145" s="54" t="str">
        <f t="shared" si="306"/>
        <v/>
      </c>
      <c r="GX145" s="54" t="e">
        <f>IF(GW145="",NA(),SUM($GW$4:GW145))</f>
        <v>#N/A</v>
      </c>
      <c r="GY145" s="54">
        <f t="shared" si="307"/>
        <v>-0.45112886806398078</v>
      </c>
      <c r="GZ145" s="54">
        <f>IF(GY145="",NA(),SUM($GY$4:GY145))</f>
        <v>0.74077179763295076</v>
      </c>
      <c r="HA145" s="54" t="str">
        <f t="shared" si="308"/>
        <v/>
      </c>
      <c r="HB145" s="54" t="e">
        <f>IF(HA145="",NA(),SUM($HA$4:HA145))</f>
        <v>#N/A</v>
      </c>
      <c r="HC145" s="54" t="str">
        <f t="shared" si="309"/>
        <v/>
      </c>
      <c r="HD145" s="54" t="e">
        <f>IF(HC145="",NA(),SUM($HC$4:HC145))</f>
        <v>#N/A</v>
      </c>
      <c r="HE145" s="54" t="str">
        <f t="shared" si="310"/>
        <v/>
      </c>
      <c r="HF145" s="54" t="e">
        <f>IF(HE145="",NA(),SUM($HE$4:HE145))</f>
        <v>#N/A</v>
      </c>
      <c r="HG145" s="54" t="str">
        <f t="shared" si="311"/>
        <v/>
      </c>
      <c r="HH145" s="54" t="e">
        <f>IF(HG145="",NA(),SUM($HG$4:HG145))</f>
        <v>#N/A</v>
      </c>
      <c r="HI145" s="172" t="str">
        <f t="shared" si="324"/>
        <v/>
      </c>
      <c r="HJ145" s="172">
        <f>IF($J145="",#N/A,SUM(HI$4:$HI145))</f>
        <v>-6.0153473998924403</v>
      </c>
      <c r="HK145" s="54">
        <f t="shared" si="312"/>
        <v>-9.8314019160774535E-2</v>
      </c>
      <c r="HL145" s="54">
        <f>IF($J145="",#N/A,SUM($HK$4:HK145))</f>
        <v>-5.8637950245967891</v>
      </c>
      <c r="HM145" s="54" t="str">
        <f t="shared" si="313"/>
        <v/>
      </c>
      <c r="HN145" s="54">
        <f>IF($J145="",#N/A,SUM($HM$4:HM145))</f>
        <v>0.71812545963587882</v>
      </c>
      <c r="HO145" s="54" t="str">
        <f t="shared" si="314"/>
        <v/>
      </c>
      <c r="HP145" s="54">
        <f>IF($J145="",#N/A,SUM($HO$4:HO145))</f>
        <v>-0.14859521910082485</v>
      </c>
      <c r="HQ145" s="54" t="str">
        <f t="shared" si="315"/>
        <v/>
      </c>
      <c r="HR145" s="54">
        <f>IF($J145="",#N/A,SUM($HQ$4:HQ145))</f>
        <v>-7.3390769661523079</v>
      </c>
      <c r="HS145" s="54" t="str">
        <f t="shared" si="316"/>
        <v/>
      </c>
      <c r="HT145" s="54">
        <f>IF($J145="",#N/A,SUM($HS$4:HS145))</f>
        <v>8.9025773633382936</v>
      </c>
      <c r="HU145" s="65">
        <f t="shared" si="317"/>
        <v>-0.54944288722475532</v>
      </c>
      <c r="HV145" s="65">
        <f>IF($J145="",#N/A,SUM(HU$4:$HU145))</f>
        <v>-11.759560638713948</v>
      </c>
    </row>
    <row r="146" spans="1:230" x14ac:dyDescent="0.25">
      <c r="A146" s="51" t="s">
        <v>1523</v>
      </c>
      <c r="B146" s="52" t="s">
        <v>4540</v>
      </c>
      <c r="C146" s="229">
        <f t="shared" si="218"/>
        <v>2</v>
      </c>
      <c r="D146" s="219" t="str">
        <f>_xlfn.XLOOKUP(A146,[1]SP500!$A$2:$A$502,[1]SP500!$D$2:$D$502,"N")</f>
        <v>Y</v>
      </c>
      <c r="E146" s="51" t="str">
        <f>IFERROR(_xlfn.XLOOKUP(A146,[1]SP500!$A$2:$A$655,[1]SP500!$B$2:$B$655),"")</f>
        <v>XLK</v>
      </c>
      <c r="F146" s="290">
        <v>45776</v>
      </c>
      <c r="G146" s="51" t="str">
        <f t="shared" si="219"/>
        <v>BMO</v>
      </c>
      <c r="H146" s="51" t="str">
        <f t="shared" si="220"/>
        <v>s</v>
      </c>
      <c r="I146" s="343">
        <v>243.49</v>
      </c>
      <c r="J146" s="124">
        <v>262.11</v>
      </c>
      <c r="K146" s="55">
        <f t="shared" si="221"/>
        <v>7.6471312990266563E-2</v>
      </c>
      <c r="L146" s="67">
        <f t="shared" si="222"/>
        <v>-74.480000000000018</v>
      </c>
      <c r="M146" s="57">
        <f t="shared" si="223"/>
        <v>0</v>
      </c>
      <c r="N146" s="102">
        <f t="shared" si="224"/>
        <v>-74.480000000000018</v>
      </c>
      <c r="O146" s="57">
        <f>IF(N146="",#N/A,SUM($N$4:N146))</f>
        <v>-409.70863589938756</v>
      </c>
      <c r="P146" s="65">
        <f t="shared" si="318"/>
        <v>-1.2745218831711091</v>
      </c>
      <c r="Q146" s="172">
        <f>IF($N146="",#N/A,SUM($P$4:P146))</f>
        <v>-3.2879707351168679</v>
      </c>
      <c r="R146" s="279">
        <f t="shared" si="225"/>
        <v>5.237802460300756</v>
      </c>
      <c r="S146" s="51" t="str">
        <f t="shared" si="226"/>
        <v>Dwn</v>
      </c>
      <c r="T146" s="51" t="s">
        <v>4461</v>
      </c>
      <c r="U146" s="56">
        <f t="shared" si="227"/>
        <v>243.49</v>
      </c>
      <c r="V146" s="56" t="s">
        <v>4458</v>
      </c>
      <c r="W146" s="142">
        <v>4</v>
      </c>
      <c r="X146" s="145">
        <f t="shared" si="228"/>
        <v>973.96</v>
      </c>
      <c r="Y146" s="140">
        <f t="shared" si="229"/>
        <v>4</v>
      </c>
      <c r="Z146" s="123">
        <v>262.11</v>
      </c>
      <c r="AA146" s="102">
        <f t="shared" si="230"/>
        <v>-74.480000000000018</v>
      </c>
      <c r="AB146" s="102">
        <f t="shared" si="231"/>
        <v>-50.240000000000009</v>
      </c>
      <c r="AC146" s="124">
        <v>256.05</v>
      </c>
      <c r="AD146" s="155">
        <f t="shared" si="232"/>
        <v>-50.240000000000009</v>
      </c>
      <c r="AE146" s="545">
        <f t="shared" si="233"/>
        <v>-0.85972045395430352</v>
      </c>
      <c r="AF146" s="57">
        <f>IF($AC146="",#N/A,SUM(AD$4:AD146))</f>
        <v>-881.18041200241669</v>
      </c>
      <c r="AG146" s="102">
        <f t="shared" si="234"/>
        <v>24.240000000000009</v>
      </c>
      <c r="AH146" s="56" t="s">
        <v>2507</v>
      </c>
      <c r="AI146" s="65">
        <f t="shared" si="235"/>
        <v>-1.2745218831711091</v>
      </c>
      <c r="AJ146" s="350">
        <f>IF(AI146="",#N/A,SUM($AI$4:AI146))</f>
        <v>-8.5257731954176244</v>
      </c>
      <c r="AK146" s="57">
        <f t="shared" si="236"/>
        <v>-74.480000000000018</v>
      </c>
      <c r="AL146" s="349">
        <f>IF(AI146="",#N/A,IF(AH146="Skip",SUM($AK$4:AK146),SUM($AK$4:AK146)))</f>
        <v>-747.15740850718635</v>
      </c>
      <c r="AM146" s="65">
        <f t="shared" si="319"/>
        <v>-0.85972045395430352</v>
      </c>
      <c r="AN146" s="209"/>
      <c r="AO146" s="65" t="str">
        <f t="shared" si="237"/>
        <v/>
      </c>
      <c r="AP146" s="65">
        <f>IF($AC146="",#N/A,SUM(AO$4:AO146))</f>
        <v>1.7209338963421281</v>
      </c>
      <c r="AQ146" s="65" t="str">
        <f t="shared" si="238"/>
        <v/>
      </c>
      <c r="AR146" s="65">
        <f>IF($AC146="",#N/A,SUM(AQ$4:AQ146))</f>
        <v>-2.6179859771653153</v>
      </c>
      <c r="AS146" s="65">
        <f t="shared" si="239"/>
        <v>-0.85972045395430352</v>
      </c>
      <c r="AT146" s="65">
        <f>IF($AC146="",#N/A,SUM(AS$4:AS146))</f>
        <v>-11.722229011845069</v>
      </c>
      <c r="AU146" s="57" t="str">
        <f t="shared" si="320"/>
        <v/>
      </c>
      <c r="AV146" s="57">
        <f>IF($AC146="",#N/A,SUM(AU$4:AU146))</f>
        <v>26.761206451250359</v>
      </c>
      <c r="AW146" s="57" t="str">
        <f t="shared" si="321"/>
        <v/>
      </c>
      <c r="AX146" s="57">
        <f>IF($AC146="",#N/A,SUM(AW$4:AW146))</f>
        <v>-163.1400000000001</v>
      </c>
      <c r="AY146" s="57">
        <f t="shared" si="322"/>
        <v>-50.240000000000009</v>
      </c>
      <c r="AZ146" s="57">
        <f>IF($AC146="",#N/A,SUM(AY$4:AY146))</f>
        <v>-744.80161845366695</v>
      </c>
      <c r="BA146" s="57">
        <f>IF(AD146="",#N/A,SUM($AD$4:AD146))</f>
        <v>-881.18041200241669</v>
      </c>
      <c r="BC146" s="51" t="str">
        <f t="shared" si="240"/>
        <v/>
      </c>
      <c r="BD146" s="51">
        <f t="shared" si="241"/>
        <v>1</v>
      </c>
      <c r="BE146" s="51" t="str">
        <f t="shared" si="242"/>
        <v/>
      </c>
      <c r="BF146" s="51" t="str">
        <f t="shared" si="243"/>
        <v>Short</v>
      </c>
      <c r="BG146" s="51" t="str">
        <f t="shared" si="244"/>
        <v/>
      </c>
      <c r="BH146" s="51" t="str">
        <f t="shared" si="245"/>
        <v/>
      </c>
      <c r="BI146" s="51" t="str">
        <f t="shared" si="246"/>
        <v/>
      </c>
      <c r="BK146" s="65">
        <f t="shared" si="217"/>
        <v>-3.1270501219517063E-2</v>
      </c>
      <c r="BL146" s="65">
        <f t="shared" si="216"/>
        <v>-8.5550196282470528E-2</v>
      </c>
      <c r="BM146" s="65">
        <f>IFERROR(Q146/COUNTA($J$4:J146),#N/A)</f>
        <v>-2.2992802343474599E-2</v>
      </c>
      <c r="BO146" s="489" t="e">
        <f>IF(J146="",#N/A,IF(S146="SW",(COUNTIFS(K$4:$K146,"&gt;0",S$4:$S146,"SW")/COUNTIF(S$4:$S146,"SW")),#N/A))</f>
        <v>#N/A</v>
      </c>
      <c r="BP146" s="489">
        <f>IF($J146="",#N/A,IF($S146="DWN",(COUNTIFS($K$4:$K146,"&lt;0",$S$4:$S146,"DWN")/COUNTIF($S$4:$S146,"DWN")),#N/A))</f>
        <v>0.57627118644067798</v>
      </c>
      <c r="BQ146" s="489" t="e">
        <f>IF($J146="",#N/A,IF($S146="UP",(COUNTIFS($K$4:$K146,"&gt;0",$S$4:$S146,"UP")/COUNTIF($S$4:$S146,"UP")),#N/A))</f>
        <v>#N/A</v>
      </c>
      <c r="BR146" s="489">
        <f>IF(J146="",#N/A,COUNTIF($K$4:K146,"&gt;0")/COUNT($J$4:J146))</f>
        <v>0.44755244755244755</v>
      </c>
      <c r="BS146" s="65" t="str">
        <f t="shared" si="247"/>
        <v/>
      </c>
      <c r="BT146" s="65" t="str">
        <f t="shared" si="248"/>
        <v/>
      </c>
      <c r="BU146" s="65" t="str">
        <f t="shared" si="249"/>
        <v/>
      </c>
      <c r="BV146" s="65">
        <f t="shared" si="250"/>
        <v>-1.2745218831711091</v>
      </c>
      <c r="BW146" s="128" t="str">
        <f t="shared" si="251"/>
        <v/>
      </c>
      <c r="BX146" s="128">
        <f>IF($J146="",#N/A,SUM($BW$4:BW146))</f>
        <v>-205.1650000000003</v>
      </c>
      <c r="BY146" s="131">
        <f t="shared" si="252"/>
        <v>-74.480000000000018</v>
      </c>
      <c r="BZ146" s="131">
        <f>IF($J146="",#N/A,SUM($BY$4:BY146))</f>
        <v>-84.345659610666303</v>
      </c>
      <c r="CA146" s="133" t="str">
        <f t="shared" si="253"/>
        <v/>
      </c>
      <c r="CB146" s="133">
        <f>IF($J146="",#N/A,SUM($CA$4:CA146))</f>
        <v>-120.19797628872095</v>
      </c>
      <c r="CC146" s="194" t="str">
        <f t="shared" si="254"/>
        <v/>
      </c>
      <c r="CD146" s="194">
        <f>IF($J146="",#N/A,SUM($CC$4:CC146))</f>
        <v>-3.1875162177003693</v>
      </c>
      <c r="CE146" s="195">
        <f t="shared" si="255"/>
        <v>-1.2745218831711091</v>
      </c>
      <c r="CF146" s="195">
        <f>IF($J146="",#N/A,SUM($CE$4:CE146))</f>
        <v>-0.25788801657264138</v>
      </c>
      <c r="CG146" s="196" t="str">
        <f t="shared" si="256"/>
        <v/>
      </c>
      <c r="CH146" s="196">
        <f>IF($J146="",#N/A,SUM($CG$4:CG146))</f>
        <v>0.15743349915614699</v>
      </c>
      <c r="CI146" s="200" t="str">
        <f t="shared" si="257"/>
        <v/>
      </c>
      <c r="CJ146" s="203">
        <f>IF($J146="",#N/A,SUM(CI$4:CI146))</f>
        <v>0</v>
      </c>
      <c r="CK146" s="204">
        <f t="shared" si="258"/>
        <v>-1.2745218831711091</v>
      </c>
      <c r="CL146" s="204">
        <f>IF($J146="",#N/A,SUM(CK$4:CK146))</f>
        <v>0.95905730556970825</v>
      </c>
      <c r="CM146" s="205" t="str">
        <f t="shared" si="259"/>
        <v/>
      </c>
      <c r="CN146" s="205">
        <f>IF($J146="",#N/A,SUM(CM$4:CM146))</f>
        <v>2.2555985727472319</v>
      </c>
      <c r="CO146" s="205">
        <f>IF($J146="",#N/A,SUM(CM$4:CM146,CK$4:CK146,CI$4:CI146))</f>
        <v>3.2146558783169401</v>
      </c>
      <c r="CP146" s="200" t="str">
        <f t="shared" si="260"/>
        <v/>
      </c>
      <c r="CQ146" s="203">
        <f>IF($J146="",#N/A,SUM(CP$4:CP146))</f>
        <v>0</v>
      </c>
      <c r="CR146" s="204" t="str">
        <f t="shared" si="261"/>
        <v/>
      </c>
      <c r="CS146" s="204">
        <f>IF($J146="",#N/A,SUM(CR$4:CR146))</f>
        <v>0</v>
      </c>
      <c r="CT146" s="205" t="str">
        <f t="shared" si="262"/>
        <v/>
      </c>
      <c r="CU146" s="205">
        <f>IF($J146="",#N/A,SUM(CT$4:CT146))</f>
        <v>0</v>
      </c>
      <c r="CV146" s="205">
        <f>IF($J146="",#N/A,SUM(CT$4:CT146,CR$4:CR146,CP$4:CP146))</f>
        <v>0</v>
      </c>
      <c r="CW146" s="200" t="str">
        <f t="shared" si="263"/>
        <v/>
      </c>
      <c r="CX146" s="203">
        <f>IF($J146="",#N/A,SUM(CW$4:CW146))</f>
        <v>0</v>
      </c>
      <c r="CY146" s="204" t="str">
        <f t="shared" si="264"/>
        <v/>
      </c>
      <c r="CZ146" s="204">
        <f>IF($J146="",#N/A,SUM(CY$4:CY146))</f>
        <v>-1.9289529100071134</v>
      </c>
      <c r="DA146" s="205" t="str">
        <f t="shared" si="265"/>
        <v/>
      </c>
      <c r="DB146" s="205">
        <f>IF($J146="",#N/A,SUM(DA$4:DA146))</f>
        <v>3.1364376348577139E-3</v>
      </c>
      <c r="DC146" s="205">
        <f>IF($J146="",#N/A,SUM(DA$4:DA146,CY$4:CY146,CW$4:CW146))</f>
        <v>-1.9258164723722557</v>
      </c>
      <c r="DD146" s="200" t="str">
        <f t="shared" si="266"/>
        <v/>
      </c>
      <c r="DE146" s="203">
        <f>IF($J146="",#N/A,SUM(DD$4:DD146))</f>
        <v>0.14968716170674062</v>
      </c>
      <c r="DF146" s="204" t="str">
        <f t="shared" si="267"/>
        <v/>
      </c>
      <c r="DG146" s="204">
        <f>IF($J146="",#N/A,SUM(DF$4:DF146))</f>
        <v>1.261291609944398</v>
      </c>
      <c r="DH146" s="205" t="str">
        <f t="shared" si="268"/>
        <v/>
      </c>
      <c r="DI146" s="205">
        <f>IF($J146="",#N/A,SUM(DH$4:DH146))</f>
        <v>-1.4547707265941352</v>
      </c>
      <c r="DJ146" s="205">
        <f>IF($J146="",#N/A,SUM(DH$4:DH146,DF$4:DF146,DD$4:DD146))</f>
        <v>-4.3791954942996647E-2</v>
      </c>
      <c r="DK146" s="200" t="str">
        <f t="shared" si="269"/>
        <v/>
      </c>
      <c r="DL146" s="203">
        <f>IF($J146="",#N/A,SUM(DK$4:DK146))</f>
        <v>-1.2097286851272664</v>
      </c>
      <c r="DM146" s="204" t="str">
        <f t="shared" si="270"/>
        <v/>
      </c>
      <c r="DN146" s="204">
        <f>IF($J146="",#N/A,SUM(DM$4:DM146))</f>
        <v>1.1910608267574658</v>
      </c>
      <c r="DO146" s="205" t="str">
        <f t="shared" si="271"/>
        <v/>
      </c>
      <c r="DP146" s="205">
        <f>IF($J146="",#N/A,SUM(DO$4:DO146))</f>
        <v>1.3495058802125319</v>
      </c>
      <c r="DQ146" s="205">
        <f>IF($J146="",#N/A,SUM(DO$4:DO146,DM$4:DM146,DK$4:DK146))</f>
        <v>1.3308380218427318</v>
      </c>
      <c r="DR146" s="200" t="str">
        <f t="shared" si="272"/>
        <v/>
      </c>
      <c r="DS146" s="203">
        <f>IF($J146="",#N/A,SUM(DR$4:DR146))</f>
        <v>-0.55950946427675097</v>
      </c>
      <c r="DT146" s="204" t="str">
        <f t="shared" si="273"/>
        <v/>
      </c>
      <c r="DU146" s="204">
        <f>IF($J146="",#N/A,SUM(DT$4:DT146))</f>
        <v>-3.13334520229097</v>
      </c>
      <c r="DV146" s="205" t="str">
        <f t="shared" si="274"/>
        <v/>
      </c>
      <c r="DW146" s="205">
        <f>IF($J146="",#N/A,SUM(DV$4:DV146))</f>
        <v>-2.6814706788983136</v>
      </c>
      <c r="DX146" s="205">
        <f>IF($J146="",#N/A,SUM(DV$4:DV146,DT$4:DT146,DR$4:DR146))</f>
        <v>-6.3743253454660342</v>
      </c>
      <c r="DY146" s="200" t="str">
        <f t="shared" si="275"/>
        <v/>
      </c>
      <c r="DZ146" s="203">
        <f>IF($J146="",#N/A,SUM(DY$4:DY146))</f>
        <v>-1.63480022183437</v>
      </c>
      <c r="EA146" s="204" t="str">
        <f t="shared" si="276"/>
        <v/>
      </c>
      <c r="EB146" s="204">
        <f>IF($J146="",#N/A,SUM(EA$4:EA146))</f>
        <v>0.79979533615398157</v>
      </c>
      <c r="EC146" s="205" t="str">
        <f t="shared" si="277"/>
        <v/>
      </c>
      <c r="ED146" s="205">
        <f>IF($J146="",#N/A,SUM(EC$4:EC146))</f>
        <v>1.7103671484331777</v>
      </c>
      <c r="EE146" s="205">
        <f>IF($J146="",#N/A,SUM(EC$4:EC146,EA$4:EA146,DY$4:DY146))</f>
        <v>0.8753622627527895</v>
      </c>
      <c r="EF146" s="200" t="str">
        <f t="shared" si="278"/>
        <v/>
      </c>
      <c r="EG146" s="203">
        <f>IF($J146="",#N/A,SUM(EF$4:EF146))</f>
        <v>0</v>
      </c>
      <c r="EH146" s="204" t="str">
        <f t="shared" si="279"/>
        <v/>
      </c>
      <c r="EI146" s="204">
        <f>IF($J146="",#N/A,SUM(EH$4:EH146))</f>
        <v>-2.4583366878124231</v>
      </c>
      <c r="EJ146" s="205" t="str">
        <f t="shared" si="280"/>
        <v/>
      </c>
      <c r="EK146" s="205">
        <f>IF($J146="",#N/A,SUM(EJ$4:EJ146))</f>
        <v>1.7255127285193785</v>
      </c>
      <c r="EL146" s="205">
        <f>IF($J146="",#N/A,SUM(EJ$4:EJ146,EH$4:EH146,EF$4:EF146))</f>
        <v>-0.73282395929304378</v>
      </c>
      <c r="EM146" s="200" t="str">
        <f t="shared" si="281"/>
        <v/>
      </c>
      <c r="EN146" s="203">
        <f>IF($J146="",#N/A,SUM(EM$4:EM146))</f>
        <v>0</v>
      </c>
      <c r="EO146" s="204" t="str">
        <f t="shared" si="282"/>
        <v/>
      </c>
      <c r="EP146" s="204">
        <f>IF($J146="",#N/A,SUM(EO$4:EO146))</f>
        <v>1.264716604605848</v>
      </c>
      <c r="EQ146" s="205" t="str">
        <f t="shared" si="283"/>
        <v/>
      </c>
      <c r="ER146" s="205">
        <f>IF($J146="",#N/A,SUM(EQ$4:EQ146))</f>
        <v>0.4926597949853756</v>
      </c>
      <c r="ES146" s="205">
        <f>IF($J146="",#N/A,SUM(EQ$4:EQ146,EO$4:EO146,EM$4:EM146))</f>
        <v>1.757376399591223</v>
      </c>
      <c r="ET146" s="200" t="str">
        <f t="shared" si="284"/>
        <v/>
      </c>
      <c r="EU146" s="203">
        <f>IF($J146="",#N/A,SUM(ET$4:ET146))</f>
        <v>0</v>
      </c>
      <c r="EV146" s="204" t="str">
        <f t="shared" si="285"/>
        <v/>
      </c>
      <c r="EW146" s="204">
        <f>IF($J146="",#N/A,SUM(EV$4:EV146))</f>
        <v>0.90459527759708336</v>
      </c>
      <c r="EX146" s="205" t="str">
        <f t="shared" si="286"/>
        <v/>
      </c>
      <c r="EY146" s="205">
        <f>IF($J146="",#N/A,SUM(EX$4:EX146))</f>
        <v>0.22957553748493481</v>
      </c>
      <c r="EZ146" s="205">
        <f>IF($J146="",#N/A,SUM(EX$4:EX146,EV$4:EV146,ET$4:ET146))</f>
        <v>1.134170815082018</v>
      </c>
      <c r="FA146" s="200" t="str">
        <f t="shared" si="287"/>
        <v/>
      </c>
      <c r="FB146" s="203">
        <f>IF($J146="",#N/A,SUM(FA$4:FA146))</f>
        <v>0</v>
      </c>
      <c r="FC146" s="204" t="str">
        <f t="shared" si="288"/>
        <v/>
      </c>
      <c r="FD146" s="204">
        <f>IF($J146="",#N/A,SUM(FC$4:FC146))</f>
        <v>1.6839191319663924</v>
      </c>
      <c r="FE146" s="205" t="str">
        <f t="shared" si="289"/>
        <v/>
      </c>
      <c r="FF146" s="205">
        <f>IF($J146="",#N/A,SUM(FE$4:FE146))</f>
        <v>-0.28811149078748233</v>
      </c>
      <c r="FG146" s="205">
        <f>IF($J146="",#N/A,SUM(FE$4:FE146,FC$4:FC146,FA$4:FA146))</f>
        <v>1.3958076411789102</v>
      </c>
      <c r="FH146" s="200" t="str">
        <f t="shared" si="290"/>
        <v/>
      </c>
      <c r="FI146" s="203">
        <f>IF($J146="",#N/A,SUM(FH$4:FH146))</f>
        <v>0</v>
      </c>
      <c r="FJ146" s="204" t="str">
        <f t="shared" si="291"/>
        <v/>
      </c>
      <c r="FK146" s="204">
        <f>IF($J146="",#N/A,SUM(FJ$4:FJ146))</f>
        <v>0</v>
      </c>
      <c r="FL146" s="205" t="str">
        <f t="shared" si="292"/>
        <v/>
      </c>
      <c r="FM146" s="205">
        <f>IF($J146="",#N/A,SUM(FL$4:FL146))</f>
        <v>0</v>
      </c>
      <c r="FN146" s="205">
        <f>IF($J146="",#N/A,SUM(FL$4:FL146,FJ$4:FJ146,FH$4:FH146))</f>
        <v>0</v>
      </c>
      <c r="FO146" s="200" t="str">
        <f t="shared" si="293"/>
        <v/>
      </c>
      <c r="FP146" s="203">
        <f>IF($J146="",#N/A,SUM(FO$4:FO146))</f>
        <v>0</v>
      </c>
      <c r="FQ146" s="204" t="str">
        <f t="shared" si="294"/>
        <v/>
      </c>
      <c r="FR146" s="204">
        <f>IF($J146="",#N/A,SUM(FQ$4:FQ146))</f>
        <v>0</v>
      </c>
      <c r="FS146" s="205" t="str">
        <f t="shared" si="295"/>
        <v/>
      </c>
      <c r="FT146" s="205">
        <f>IF($J146="",#N/A,SUM(FS$4:FS146))</f>
        <v>0</v>
      </c>
      <c r="FU146" s="205">
        <f>IF($J146="",#N/A,SUM(FS$4:FS146,FQ$4:FQ146,FO$4:FO146))</f>
        <v>0</v>
      </c>
      <c r="FV146" s="200" t="str">
        <f t="shared" si="296"/>
        <v/>
      </c>
      <c r="FW146" s="203">
        <f>IF($J146="",#N/A,SUM(FV$4:FV146))</f>
        <v>6.6834991831277585E-2</v>
      </c>
      <c r="FX146" s="204" t="str">
        <f t="shared" si="297"/>
        <v/>
      </c>
      <c r="FY146" s="204">
        <f>IF($J146="",#N/A,SUM(FX$4:FX146))</f>
        <v>0</v>
      </c>
      <c r="FZ146" s="205" t="str">
        <f t="shared" si="298"/>
        <v/>
      </c>
      <c r="GA146" s="205">
        <f>IF($J146="",#N/A,SUM(FZ$4:FZ146))</f>
        <v>-0.24773347685909197</v>
      </c>
      <c r="GB146" s="205">
        <f>IF($J146="",#N/A,SUM(FZ$4:FZ146,FX$4:FX146,FV$4:FV146))</f>
        <v>-0.18089848502781439</v>
      </c>
      <c r="GC146" s="200" t="str">
        <f t="shared" si="299"/>
        <v/>
      </c>
      <c r="GD146" s="203">
        <f>IF($J146="",#N/A,SUM(GC$4:GC146))</f>
        <v>0</v>
      </c>
      <c r="GE146" s="204" t="str">
        <f t="shared" si="300"/>
        <v/>
      </c>
      <c r="GF146" s="204">
        <f>IF($J146="",#N/A,SUM(GE$4:GE146))</f>
        <v>0</v>
      </c>
      <c r="GG146" s="205" t="str">
        <f t="shared" si="301"/>
        <v/>
      </c>
      <c r="GH146" s="205">
        <f>IF($J146="",#N/A,SUM(GG$4:GG146))</f>
        <v>-2.9368362277223206</v>
      </c>
      <c r="GI146" s="205">
        <f>IF($J146="",#N/A,SUM(GG$4:GG146,GE$4:GE146,GC$4:GC146))</f>
        <v>-2.9368362277223206</v>
      </c>
      <c r="GJ146" s="200" t="str">
        <f t="shared" si="302"/>
        <v/>
      </c>
      <c r="GK146" s="203">
        <f>IF($J146="",#N/A,SUM(GJ$4:GJ146))</f>
        <v>0</v>
      </c>
      <c r="GL146" s="204" t="str">
        <f t="shared" si="303"/>
        <v/>
      </c>
      <c r="GM146" s="204">
        <f>IF($J146="",#N/A,SUM(GL$4:GL146))</f>
        <v>-0.80168930905701452</v>
      </c>
      <c r="GN146" s="205" t="str">
        <f t="shared" si="304"/>
        <v/>
      </c>
      <c r="GO146" s="205">
        <f>IF($J146="",#N/A,SUM(GN$4:GN146))</f>
        <v>0</v>
      </c>
      <c r="GP146" s="205">
        <f>IF($J146="",#N/A,SUM(GN$4:GN146,GL$4:GL146,GJ$4:GJ146))</f>
        <v>-0.80168930905701452</v>
      </c>
      <c r="GS146" s="54">
        <f t="shared" si="323"/>
        <v>-1.2745218831711091</v>
      </c>
      <c r="GT146" s="54">
        <f>IF(GS146="",NA(),SUM($GS$4:GS146))</f>
        <v>-3.7658216170096686</v>
      </c>
      <c r="GU146" s="54" t="str">
        <f t="shared" si="305"/>
        <v/>
      </c>
      <c r="GV146" s="54" t="e">
        <f>IF(GU146="",NA(),SUM($GU$4:GU146))</f>
        <v>#N/A</v>
      </c>
      <c r="GW146" s="54" t="str">
        <f t="shared" si="306"/>
        <v/>
      </c>
      <c r="GX146" s="54" t="e">
        <f>IF(GW146="",NA(),SUM($GW$4:GW146))</f>
        <v>#N/A</v>
      </c>
      <c r="GY146" s="54">
        <f t="shared" si="307"/>
        <v>-1.2745218831711091</v>
      </c>
      <c r="GZ146" s="54">
        <f>IF(GY146="",NA(),SUM($GY$4:GY146))</f>
        <v>-0.53375008553815839</v>
      </c>
      <c r="HA146" s="54" t="str">
        <f t="shared" si="308"/>
        <v/>
      </c>
      <c r="HB146" s="54" t="e">
        <f>IF(HA146="",NA(),SUM($HA$4:HA146))</f>
        <v>#N/A</v>
      </c>
      <c r="HC146" s="54" t="str">
        <f t="shared" si="309"/>
        <v/>
      </c>
      <c r="HD146" s="54" t="e">
        <f>IF(HC146="",NA(),SUM($HC$4:HC146))</f>
        <v>#N/A</v>
      </c>
      <c r="HE146" s="54" t="str">
        <f t="shared" si="310"/>
        <v/>
      </c>
      <c r="HF146" s="54" t="e">
        <f>IF(HE146="",NA(),SUM($HE$4:HE146))</f>
        <v>#N/A</v>
      </c>
      <c r="HG146" s="54" t="str">
        <f t="shared" si="311"/>
        <v/>
      </c>
      <c r="HH146" s="54" t="e">
        <f>IF(HG146="",NA(),SUM($HG$4:HG146))</f>
        <v>#N/A</v>
      </c>
      <c r="HI146" s="172" t="str">
        <f t="shared" si="324"/>
        <v/>
      </c>
      <c r="HJ146" s="172">
        <f>IF($J146="",#N/A,SUM(HI$4:$HI146))</f>
        <v>-6.0153473998924403</v>
      </c>
      <c r="HK146" s="54">
        <f t="shared" si="312"/>
        <v>0.41480142921680563</v>
      </c>
      <c r="HL146" s="54">
        <f>IF($J146="",#N/A,SUM($HK$4:HK146))</f>
        <v>-5.4489935953799833</v>
      </c>
      <c r="HM146" s="54" t="str">
        <f t="shared" si="313"/>
        <v/>
      </c>
      <c r="HN146" s="54">
        <f>IF($J146="",#N/A,SUM($HM$4:HM146))</f>
        <v>0.71812545963587882</v>
      </c>
      <c r="HO146" s="54" t="str">
        <f t="shared" si="314"/>
        <v/>
      </c>
      <c r="HP146" s="54">
        <f>IF($J146="",#N/A,SUM($HO$4:HO146))</f>
        <v>-0.14859521910082485</v>
      </c>
      <c r="HQ146" s="54" t="str">
        <f t="shared" si="315"/>
        <v/>
      </c>
      <c r="HR146" s="54">
        <f>IF($J146="",#N/A,SUM($HQ$4:HQ146))</f>
        <v>-7.3390769661523079</v>
      </c>
      <c r="HS146" s="54" t="str">
        <f t="shared" si="316"/>
        <v/>
      </c>
      <c r="HT146" s="54">
        <f>IF($J146="",#N/A,SUM($HS$4:HS146))</f>
        <v>8.9025773633382936</v>
      </c>
      <c r="HU146" s="65">
        <f t="shared" si="317"/>
        <v>-0.85972045395430352</v>
      </c>
      <c r="HV146" s="65">
        <f>IF($J146="",#N/A,SUM(HU$4:$HU146))</f>
        <v>-12.619281092668251</v>
      </c>
    </row>
    <row r="147" spans="1:230" x14ac:dyDescent="0.25">
      <c r="A147" s="51" t="s">
        <v>1356</v>
      </c>
      <c r="B147" s="52" t="s">
        <v>4540</v>
      </c>
      <c r="C147" s="229">
        <f t="shared" si="218"/>
        <v>2</v>
      </c>
      <c r="D147" s="219" t="str">
        <f>_xlfn.XLOOKUP(A147,[1]SP500!$A$2:$A$502,[1]SP500!$D$2:$D$502,"N")</f>
        <v>Y</v>
      </c>
      <c r="E147" s="51" t="str">
        <f>IFERROR(_xlfn.XLOOKUP(A147,[1]SP500!$A$2:$A$655,[1]SP500!$B$2:$B$655),"")</f>
        <v>XLF</v>
      </c>
      <c r="F147" s="290">
        <v>45776</v>
      </c>
      <c r="G147" s="51" t="str">
        <f t="shared" si="219"/>
        <v>BMO</v>
      </c>
      <c r="H147" s="51" t="str">
        <f t="shared" si="220"/>
        <v>s</v>
      </c>
      <c r="I147" s="343">
        <v>64.930000000000007</v>
      </c>
      <c r="J147" s="124">
        <v>66.37</v>
      </c>
      <c r="K147" s="55">
        <f t="shared" si="221"/>
        <v>2.217772986292927E-2</v>
      </c>
      <c r="L147" s="67">
        <f t="shared" si="222"/>
        <v>-23.039999999999964</v>
      </c>
      <c r="M147" s="57">
        <f t="shared" si="223"/>
        <v>0</v>
      </c>
      <c r="N147" s="102">
        <f t="shared" si="224"/>
        <v>-23.039999999999964</v>
      </c>
      <c r="O147" s="57">
        <f>IF(N147="",#N/A,SUM($N$4:N147))</f>
        <v>-432.74863589938752</v>
      </c>
      <c r="P147" s="65">
        <f t="shared" si="318"/>
        <v>-0.36962883104882122</v>
      </c>
      <c r="Q147" s="172">
        <f>IF($N147="",#N/A,SUM($P$4:P147))</f>
        <v>-3.6575995661656893</v>
      </c>
      <c r="R147" s="279">
        <f t="shared" si="225"/>
        <v>5.237802460300756</v>
      </c>
      <c r="S147" s="51" t="str">
        <f t="shared" si="226"/>
        <v>Dwn</v>
      </c>
      <c r="T147" s="51" t="s">
        <v>4461</v>
      </c>
      <c r="U147" s="56">
        <f t="shared" si="227"/>
        <v>64.930000000000007</v>
      </c>
      <c r="V147" s="56" t="s">
        <v>4458</v>
      </c>
      <c r="W147" s="142">
        <v>16</v>
      </c>
      <c r="X147" s="145">
        <f t="shared" si="228"/>
        <v>1038.8800000000001</v>
      </c>
      <c r="Y147" s="140">
        <f t="shared" si="229"/>
        <v>16</v>
      </c>
      <c r="Z147" s="123">
        <v>66.37</v>
      </c>
      <c r="AA147" s="102">
        <f t="shared" si="230"/>
        <v>-23.039999999999964</v>
      </c>
      <c r="AB147" s="102">
        <f t="shared" si="231"/>
        <v>-22.239999999999782</v>
      </c>
      <c r="AC147" s="124">
        <v>66.319999999999993</v>
      </c>
      <c r="AD147" s="155">
        <f t="shared" si="232"/>
        <v>-22.239999999999782</v>
      </c>
      <c r="AE147" s="545">
        <f t="shared" si="233"/>
        <v>-0.35679449663740087</v>
      </c>
      <c r="AF147" s="57">
        <f>IF($AC147="",#N/A,SUM(AD$4:AD147))</f>
        <v>-903.42041200241647</v>
      </c>
      <c r="AG147" s="102">
        <f t="shared" si="234"/>
        <v>0.8000000000001819</v>
      </c>
      <c r="AH147" s="56" t="s">
        <v>2507</v>
      </c>
      <c r="AI147" s="65">
        <f t="shared" si="235"/>
        <v>-0.36962883104882122</v>
      </c>
      <c r="AJ147" s="54">
        <f>IF(AI147="",#N/A,SUM($AI$4:AI147))</f>
        <v>-8.8954020264664457</v>
      </c>
      <c r="AK147" s="57">
        <f t="shared" si="236"/>
        <v>-23.039999999999964</v>
      </c>
      <c r="AL147" s="349">
        <f>IF(AI147="",#N/A,IF(AH147="Skip",SUM($AK$4:AK147),SUM($AK$4:AK147)))</f>
        <v>-770.19740850718631</v>
      </c>
      <c r="AM147" s="65">
        <f t="shared" si="319"/>
        <v>-0.35679449663740087</v>
      </c>
      <c r="AN147" s="209"/>
      <c r="AO147" s="65" t="str">
        <f t="shared" si="237"/>
        <v/>
      </c>
      <c r="AP147" s="65">
        <f>IF($AC147="",#N/A,SUM(AO$4:AO147))</f>
        <v>1.7209338963421281</v>
      </c>
      <c r="AQ147" s="65" t="str">
        <f t="shared" si="238"/>
        <v/>
      </c>
      <c r="AR147" s="65">
        <f>IF($AC147="",#N/A,SUM(AQ$4:AQ147))</f>
        <v>-2.6179859771653153</v>
      </c>
      <c r="AS147" s="65">
        <f t="shared" si="239"/>
        <v>-0.35679449663740087</v>
      </c>
      <c r="AT147" s="65">
        <f>IF($AC147="",#N/A,SUM(AS$4:AS147))</f>
        <v>-12.07902350848247</v>
      </c>
      <c r="AU147" s="57" t="str">
        <f t="shared" si="320"/>
        <v/>
      </c>
      <c r="AV147" s="57">
        <f>IF($AC147="",#N/A,SUM(AU$4:AU147))</f>
        <v>26.761206451250359</v>
      </c>
      <c r="AW147" s="57" t="str">
        <f t="shared" si="321"/>
        <v/>
      </c>
      <c r="AX147" s="57">
        <f>IF($AC147="",#N/A,SUM(AW$4:AW147))</f>
        <v>-163.1400000000001</v>
      </c>
      <c r="AY147" s="57">
        <f t="shared" si="322"/>
        <v>-22.239999999999782</v>
      </c>
      <c r="AZ147" s="57">
        <f>IF($AC147="",#N/A,SUM(AY$4:AY147))</f>
        <v>-767.04161845366673</v>
      </c>
      <c r="BA147" s="57">
        <f>IF(AD147="",#N/A,SUM($AD$4:AD147))</f>
        <v>-903.42041200241647</v>
      </c>
      <c r="BC147" s="51" t="str">
        <f t="shared" si="240"/>
        <v/>
      </c>
      <c r="BD147" s="51">
        <f t="shared" si="241"/>
        <v>1</v>
      </c>
      <c r="BE147" s="51" t="str">
        <f t="shared" si="242"/>
        <v/>
      </c>
      <c r="BF147" s="51" t="str">
        <f t="shared" si="243"/>
        <v>Short</v>
      </c>
      <c r="BG147" s="51" t="str">
        <f t="shared" si="244"/>
        <v/>
      </c>
      <c r="BH147" s="51" t="str">
        <f t="shared" si="245"/>
        <v/>
      </c>
      <c r="BI147" s="51" t="str">
        <f t="shared" si="246"/>
        <v/>
      </c>
      <c r="BK147" s="65">
        <f t="shared" si="217"/>
        <v>-2.5898825761543474E-2</v>
      </c>
      <c r="BL147" s="65">
        <f t="shared" si="216"/>
        <v>-8.2946727312482732E-2</v>
      </c>
      <c r="BM147" s="65">
        <f>IFERROR(Q147/COUNTA($J$4:J147),#N/A)</f>
        <v>-2.5399996987261732E-2</v>
      </c>
      <c r="BO147" s="489" t="e">
        <f>IF(J147="",#N/A,IF(S147="SW",(COUNTIFS(K$4:$K147,"&gt;0",S$4:$S147,"SW")/COUNTIF(S$4:$S147,"SW")),#N/A))</f>
        <v>#N/A</v>
      </c>
      <c r="BP147" s="489">
        <f>IF($J147="",#N/A,IF($S147="DWN",(COUNTIFS($K$4:$K147,"&lt;0",$S$4:$S147,"DWN")/COUNTIF($S$4:$S147,"DWN")),#N/A))</f>
        <v>0.56666666666666665</v>
      </c>
      <c r="BQ147" s="489" t="e">
        <f>IF($J147="",#N/A,IF($S147="UP",(COUNTIFS($K$4:$K147,"&gt;0",$S$4:$S147,"UP")/COUNTIF($S$4:$S147,"UP")),#N/A))</f>
        <v>#N/A</v>
      </c>
      <c r="BR147" s="489">
        <f>IF(J147="",#N/A,COUNTIF($K$4:K147,"&gt;0")/COUNT($J$4:J147))</f>
        <v>0.4513888888888889</v>
      </c>
      <c r="BS147" s="65" t="str">
        <f t="shared" si="247"/>
        <v/>
      </c>
      <c r="BT147" s="65" t="str">
        <f t="shared" si="248"/>
        <v/>
      </c>
      <c r="BU147" s="65" t="str">
        <f t="shared" si="249"/>
        <v/>
      </c>
      <c r="BV147" s="65">
        <f t="shared" si="250"/>
        <v>-0.36962883104882122</v>
      </c>
      <c r="BW147" s="128" t="str">
        <f t="shared" si="251"/>
        <v/>
      </c>
      <c r="BX147" s="128">
        <f>IF($J147="",#N/A,SUM($BW$4:BW147))</f>
        <v>-205.1650000000003</v>
      </c>
      <c r="BY147" s="131">
        <f t="shared" si="252"/>
        <v>-23.039999999999964</v>
      </c>
      <c r="BZ147" s="131">
        <f>IF($J147="",#N/A,SUM($BY$4:BY147))</f>
        <v>-107.38565961066627</v>
      </c>
      <c r="CA147" s="133" t="str">
        <f t="shared" si="253"/>
        <v/>
      </c>
      <c r="CB147" s="133">
        <f>IF($J147="",#N/A,SUM($CA$4:CA147))</f>
        <v>-120.19797628872095</v>
      </c>
      <c r="CC147" s="194" t="str">
        <f t="shared" si="254"/>
        <v/>
      </c>
      <c r="CD147" s="194">
        <f>IF($J147="",#N/A,SUM($CC$4:CC147))</f>
        <v>-3.1875162177003693</v>
      </c>
      <c r="CE147" s="195">
        <f t="shared" si="255"/>
        <v>-0.36962883104882122</v>
      </c>
      <c r="CF147" s="195">
        <f>IF($J147="",#N/A,SUM($CE$4:CE147))</f>
        <v>-0.62751684762146254</v>
      </c>
      <c r="CG147" s="196" t="str">
        <f t="shared" si="256"/>
        <v/>
      </c>
      <c r="CH147" s="193">
        <f>IF($J147="",#N/A,SUM($CG$4:CG147))</f>
        <v>0.15743349915614699</v>
      </c>
      <c r="CI147" s="200" t="str">
        <f t="shared" si="257"/>
        <v/>
      </c>
      <c r="CJ147" s="203">
        <f>IF($J147="",#N/A,SUM(CI$4:CI147))</f>
        <v>0</v>
      </c>
      <c r="CK147" s="204" t="str">
        <f t="shared" si="258"/>
        <v/>
      </c>
      <c r="CL147" s="204">
        <f>IF($J147="",#N/A,SUM(CK$4:CK147))</f>
        <v>0.95905730556970825</v>
      </c>
      <c r="CM147" s="205" t="str">
        <f t="shared" si="259"/>
        <v/>
      </c>
      <c r="CN147" s="205">
        <f>IF($J147="",#N/A,SUM(CM$4:CM147))</f>
        <v>2.2555985727472319</v>
      </c>
      <c r="CO147" s="205">
        <f>IF($J147="",#N/A,SUM(CM$4:CM147,CK$4:CK147,CI$4:CI147))</f>
        <v>3.2146558783169401</v>
      </c>
      <c r="CP147" s="200" t="str">
        <f t="shared" si="260"/>
        <v/>
      </c>
      <c r="CQ147" s="203">
        <f>IF($J147="",#N/A,SUM(CP$4:CP147))</f>
        <v>0</v>
      </c>
      <c r="CR147" s="204" t="str">
        <f t="shared" si="261"/>
        <v/>
      </c>
      <c r="CS147" s="204">
        <f>IF($J147="",#N/A,SUM(CR$4:CR147))</f>
        <v>0</v>
      </c>
      <c r="CT147" s="205" t="str">
        <f t="shared" si="262"/>
        <v/>
      </c>
      <c r="CU147" s="205">
        <f>IF($J147="",#N/A,SUM(CT$4:CT147))</f>
        <v>0</v>
      </c>
      <c r="CV147" s="205">
        <f>IF($J147="",#N/A,SUM(CT$4:CT147,CR$4:CR147,CP$4:CP147))</f>
        <v>0</v>
      </c>
      <c r="CW147" s="200" t="str">
        <f t="shared" si="263"/>
        <v/>
      </c>
      <c r="CX147" s="203">
        <f>IF($J147="",#N/A,SUM(CW$4:CW147))</f>
        <v>0</v>
      </c>
      <c r="CY147" s="204" t="str">
        <f t="shared" si="264"/>
        <v/>
      </c>
      <c r="CZ147" s="204">
        <f>IF($J147="",#N/A,SUM(CY$4:CY147))</f>
        <v>-1.9289529100071134</v>
      </c>
      <c r="DA147" s="205" t="str">
        <f t="shared" si="265"/>
        <v/>
      </c>
      <c r="DB147" s="205">
        <f>IF($J147="",#N/A,SUM(DA$4:DA147))</f>
        <v>3.1364376348577139E-3</v>
      </c>
      <c r="DC147" s="205">
        <f>IF($J147="",#N/A,SUM(DA$4:DA147,CY$4:CY147,CW$4:CW147))</f>
        <v>-1.9258164723722557</v>
      </c>
      <c r="DD147" s="200" t="str">
        <f t="shared" si="266"/>
        <v/>
      </c>
      <c r="DE147" s="203">
        <f>IF($J147="",#N/A,SUM(DD$4:DD147))</f>
        <v>0.14968716170674062</v>
      </c>
      <c r="DF147" s="204" t="str">
        <f t="shared" si="267"/>
        <v/>
      </c>
      <c r="DG147" s="204">
        <f>IF($J147="",#N/A,SUM(DF$4:DF147))</f>
        <v>1.261291609944398</v>
      </c>
      <c r="DH147" s="205" t="str">
        <f t="shared" si="268"/>
        <v/>
      </c>
      <c r="DI147" s="205">
        <f>IF($J147="",#N/A,SUM(DH$4:DH147))</f>
        <v>-1.4547707265941352</v>
      </c>
      <c r="DJ147" s="205">
        <f>IF($J147="",#N/A,SUM(DH$4:DH147,DF$4:DF147,DD$4:DD147))</f>
        <v>-4.3791954942996647E-2</v>
      </c>
      <c r="DK147" s="200" t="str">
        <f t="shared" si="269"/>
        <v/>
      </c>
      <c r="DL147" s="203">
        <f>IF($J147="",#N/A,SUM(DK$4:DK147))</f>
        <v>-1.2097286851272664</v>
      </c>
      <c r="DM147" s="204" t="str">
        <f t="shared" si="270"/>
        <v/>
      </c>
      <c r="DN147" s="204">
        <f>IF($J147="",#N/A,SUM(DM$4:DM147))</f>
        <v>1.1910608267574658</v>
      </c>
      <c r="DO147" s="205" t="str">
        <f t="shared" si="271"/>
        <v/>
      </c>
      <c r="DP147" s="205">
        <f>IF($J147="",#N/A,SUM(DO$4:DO147))</f>
        <v>1.3495058802125319</v>
      </c>
      <c r="DQ147" s="205">
        <f>IF($J147="",#N/A,SUM(DO$4:DO147,DM$4:DM147,DK$4:DK147))</f>
        <v>1.3308380218427318</v>
      </c>
      <c r="DR147" s="200" t="str">
        <f t="shared" si="272"/>
        <v/>
      </c>
      <c r="DS147" s="203">
        <f>IF($J147="",#N/A,SUM(DR$4:DR147))</f>
        <v>-0.55950946427675097</v>
      </c>
      <c r="DT147" s="204">
        <f t="shared" si="273"/>
        <v>-0.36962883104882122</v>
      </c>
      <c r="DU147" s="204">
        <f>IF($J147="",#N/A,SUM(DT$4:DT147))</f>
        <v>-3.5029740333397914</v>
      </c>
      <c r="DV147" s="205" t="str">
        <f t="shared" si="274"/>
        <v/>
      </c>
      <c r="DW147" s="205">
        <f>IF($J147="",#N/A,SUM(DV$4:DV147))</f>
        <v>-2.6814706788983136</v>
      </c>
      <c r="DX147" s="205">
        <f>IF($J147="",#N/A,SUM(DV$4:DV147,DT$4:DT147,DR$4:DR147))</f>
        <v>-6.7439541765148556</v>
      </c>
      <c r="DY147" s="200" t="str">
        <f t="shared" si="275"/>
        <v/>
      </c>
      <c r="DZ147" s="203">
        <f>IF($J147="",#N/A,SUM(DY$4:DY147))</f>
        <v>-1.63480022183437</v>
      </c>
      <c r="EA147" s="204" t="str">
        <f t="shared" si="276"/>
        <v/>
      </c>
      <c r="EB147" s="204">
        <f>IF($J147="",#N/A,SUM(EA$4:EA147))</f>
        <v>0.79979533615398157</v>
      </c>
      <c r="EC147" s="205" t="str">
        <f t="shared" si="277"/>
        <v/>
      </c>
      <c r="ED147" s="205">
        <f>IF($J147="",#N/A,SUM(EC$4:EC147))</f>
        <v>1.7103671484331777</v>
      </c>
      <c r="EE147" s="205">
        <f>IF($J147="",#N/A,SUM(EC$4:EC147,EA$4:EA147,DY$4:DY147))</f>
        <v>0.8753622627527895</v>
      </c>
      <c r="EF147" s="200" t="str">
        <f t="shared" si="278"/>
        <v/>
      </c>
      <c r="EG147" s="203">
        <f>IF($J147="",#N/A,SUM(EF$4:EF147))</f>
        <v>0</v>
      </c>
      <c r="EH147" s="204" t="str">
        <f t="shared" si="279"/>
        <v/>
      </c>
      <c r="EI147" s="204">
        <f>IF($J147="",#N/A,SUM(EH$4:EH147))</f>
        <v>-2.4583366878124231</v>
      </c>
      <c r="EJ147" s="205" t="str">
        <f t="shared" si="280"/>
        <v/>
      </c>
      <c r="EK147" s="205">
        <f>IF($J147="",#N/A,SUM(EJ$4:EJ147))</f>
        <v>1.7255127285193785</v>
      </c>
      <c r="EL147" s="205">
        <f>IF($J147="",#N/A,SUM(EJ$4:EJ147,EH$4:EH147,EF$4:EF147))</f>
        <v>-0.73282395929304378</v>
      </c>
      <c r="EM147" s="200" t="str">
        <f t="shared" si="281"/>
        <v/>
      </c>
      <c r="EN147" s="203">
        <f>IF($J147="",#N/A,SUM(EM$4:EM147))</f>
        <v>0</v>
      </c>
      <c r="EO147" s="204" t="str">
        <f t="shared" si="282"/>
        <v/>
      </c>
      <c r="EP147" s="204">
        <f>IF($J147="",#N/A,SUM(EO$4:EO147))</f>
        <v>1.264716604605848</v>
      </c>
      <c r="EQ147" s="205" t="str">
        <f t="shared" si="283"/>
        <v/>
      </c>
      <c r="ER147" s="205">
        <f>IF($J147="",#N/A,SUM(EQ$4:EQ147))</f>
        <v>0.4926597949853756</v>
      </c>
      <c r="ES147" s="205">
        <f>IF($J147="",#N/A,SUM(EQ$4:EQ147,EO$4:EO147,EM$4:EM147))</f>
        <v>1.757376399591223</v>
      </c>
      <c r="ET147" s="200" t="str">
        <f t="shared" si="284"/>
        <v/>
      </c>
      <c r="EU147" s="203">
        <f>IF($J147="",#N/A,SUM(ET$4:ET147))</f>
        <v>0</v>
      </c>
      <c r="EV147" s="204" t="str">
        <f t="shared" si="285"/>
        <v/>
      </c>
      <c r="EW147" s="204">
        <f>IF($J147="",#N/A,SUM(EV$4:EV147))</f>
        <v>0.90459527759708336</v>
      </c>
      <c r="EX147" s="205" t="str">
        <f t="shared" si="286"/>
        <v/>
      </c>
      <c r="EY147" s="205">
        <f>IF($J147="",#N/A,SUM(EX$4:EX147))</f>
        <v>0.22957553748493481</v>
      </c>
      <c r="EZ147" s="205">
        <f>IF($J147="",#N/A,SUM(EX$4:EX147,EV$4:EV147,ET$4:ET147))</f>
        <v>1.134170815082018</v>
      </c>
      <c r="FA147" s="200" t="str">
        <f t="shared" si="287"/>
        <v/>
      </c>
      <c r="FB147" s="203">
        <f>IF($J147="",#N/A,SUM(FA$4:FA147))</f>
        <v>0</v>
      </c>
      <c r="FC147" s="204" t="str">
        <f t="shared" si="288"/>
        <v/>
      </c>
      <c r="FD147" s="204">
        <f>IF($J147="",#N/A,SUM(FC$4:FC147))</f>
        <v>1.6839191319663924</v>
      </c>
      <c r="FE147" s="205" t="str">
        <f t="shared" si="289"/>
        <v/>
      </c>
      <c r="FF147" s="205">
        <f>IF($J147="",#N/A,SUM(FE$4:FE147))</f>
        <v>-0.28811149078748233</v>
      </c>
      <c r="FG147" s="205">
        <f>IF($J147="",#N/A,SUM(FE$4:FE147,FC$4:FC147,FA$4:FA147))</f>
        <v>1.3958076411789102</v>
      </c>
      <c r="FH147" s="200" t="str">
        <f t="shared" si="290"/>
        <v/>
      </c>
      <c r="FI147" s="203">
        <f>IF($J147="",#N/A,SUM(FH$4:FH147))</f>
        <v>0</v>
      </c>
      <c r="FJ147" s="204" t="str">
        <f t="shared" si="291"/>
        <v/>
      </c>
      <c r="FK147" s="204">
        <f>IF($J147="",#N/A,SUM(FJ$4:FJ147))</f>
        <v>0</v>
      </c>
      <c r="FL147" s="205" t="str">
        <f t="shared" si="292"/>
        <v/>
      </c>
      <c r="FM147" s="205">
        <f>IF($J147="",#N/A,SUM(FL$4:FL147))</f>
        <v>0</v>
      </c>
      <c r="FN147" s="205">
        <f>IF($J147="",#N/A,SUM(FL$4:FL147,FJ$4:FJ147,FH$4:FH147))</f>
        <v>0</v>
      </c>
      <c r="FO147" s="200" t="str">
        <f t="shared" si="293"/>
        <v/>
      </c>
      <c r="FP147" s="203">
        <f>IF($J147="",#N/A,SUM(FO$4:FO147))</f>
        <v>0</v>
      </c>
      <c r="FQ147" s="204" t="str">
        <f t="shared" si="294"/>
        <v/>
      </c>
      <c r="FR147" s="204">
        <f>IF($J147="",#N/A,SUM(FQ$4:FQ147))</f>
        <v>0</v>
      </c>
      <c r="FS147" s="205" t="str">
        <f t="shared" si="295"/>
        <v/>
      </c>
      <c r="FT147" s="205">
        <f>IF($J147="",#N/A,SUM(FS$4:FS147))</f>
        <v>0</v>
      </c>
      <c r="FU147" s="205">
        <f>IF($J147="",#N/A,SUM(FS$4:FS147,FQ$4:FQ147,FO$4:FO147))</f>
        <v>0</v>
      </c>
      <c r="FV147" s="200" t="str">
        <f t="shared" si="296"/>
        <v/>
      </c>
      <c r="FW147" s="203">
        <f>IF($J147="",#N/A,SUM(FV$4:FV147))</f>
        <v>6.6834991831277585E-2</v>
      </c>
      <c r="FX147" s="204" t="str">
        <f t="shared" si="297"/>
        <v/>
      </c>
      <c r="FY147" s="204">
        <f>IF($J147="",#N/A,SUM(FX$4:FX147))</f>
        <v>0</v>
      </c>
      <c r="FZ147" s="205" t="str">
        <f t="shared" si="298"/>
        <v/>
      </c>
      <c r="GA147" s="205">
        <f>IF($J147="",#N/A,SUM(FZ$4:FZ147))</f>
        <v>-0.24773347685909197</v>
      </c>
      <c r="GB147" s="205">
        <f>IF($J147="",#N/A,SUM(FZ$4:FZ147,FX$4:FX147,FV$4:FV147))</f>
        <v>-0.18089848502781439</v>
      </c>
      <c r="GC147" s="200" t="str">
        <f t="shared" si="299"/>
        <v/>
      </c>
      <c r="GD147" s="203">
        <f>IF($J147="",#N/A,SUM(GC$4:GC147))</f>
        <v>0</v>
      </c>
      <c r="GE147" s="204" t="str">
        <f t="shared" si="300"/>
        <v/>
      </c>
      <c r="GF147" s="204">
        <f>IF($J147="",#N/A,SUM(GE$4:GE147))</f>
        <v>0</v>
      </c>
      <c r="GG147" s="205" t="str">
        <f t="shared" si="301"/>
        <v/>
      </c>
      <c r="GH147" s="205">
        <f>IF($J147="",#N/A,SUM(GG$4:GG147))</f>
        <v>-2.9368362277223206</v>
      </c>
      <c r="GI147" s="205">
        <f>IF($J147="",#N/A,SUM(GG$4:GG147,GE$4:GE147,GC$4:GC147))</f>
        <v>-2.9368362277223206</v>
      </c>
      <c r="GJ147" s="200" t="str">
        <f t="shared" si="302"/>
        <v/>
      </c>
      <c r="GK147" s="203">
        <f>IF($J147="",#N/A,SUM(GJ$4:GJ147))</f>
        <v>0</v>
      </c>
      <c r="GL147" s="204" t="str">
        <f t="shared" si="303"/>
        <v/>
      </c>
      <c r="GM147" s="204">
        <f>IF($J147="",#N/A,SUM(GL$4:GL147))</f>
        <v>-0.80168930905701452</v>
      </c>
      <c r="GN147" s="205" t="str">
        <f t="shared" si="304"/>
        <v/>
      </c>
      <c r="GO147" s="205">
        <f>IF($J147="",#N/A,SUM(GN$4:GN147))</f>
        <v>0</v>
      </c>
      <c r="GP147" s="205">
        <f>IF($J147="",#N/A,SUM(GN$4:GN147,GL$4:GL147,GJ$4:GJ147))</f>
        <v>-0.80168930905701452</v>
      </c>
      <c r="GS147" s="54">
        <f t="shared" si="323"/>
        <v>-0.36962883104882122</v>
      </c>
      <c r="GT147" s="54">
        <f>IF(GS147="",NA(),SUM($GS$4:GS147))</f>
        <v>-4.1354504480584895</v>
      </c>
      <c r="GU147" s="54" t="str">
        <f t="shared" si="305"/>
        <v/>
      </c>
      <c r="GV147" s="54" t="e">
        <f>IF(GU147="",NA(),SUM($GU$4:GU147))</f>
        <v>#N/A</v>
      </c>
      <c r="GW147" s="54" t="str">
        <f t="shared" si="306"/>
        <v/>
      </c>
      <c r="GX147" s="54" t="e">
        <f>IF(GW147="",NA(),SUM($GW$4:GW147))</f>
        <v>#N/A</v>
      </c>
      <c r="GY147" s="54">
        <f t="shared" si="307"/>
        <v>-0.36962883104882122</v>
      </c>
      <c r="GZ147" s="54">
        <f>IF(GY147="",NA(),SUM($GY$4:GY147))</f>
        <v>-0.90337891658697966</v>
      </c>
      <c r="HA147" s="54" t="str">
        <f t="shared" si="308"/>
        <v/>
      </c>
      <c r="HB147" s="54" t="e">
        <f>IF(HA147="",NA(),SUM($HA$4:HA147))</f>
        <v>#N/A</v>
      </c>
      <c r="HC147" s="54" t="str">
        <f t="shared" si="309"/>
        <v/>
      </c>
      <c r="HD147" s="54" t="e">
        <f>IF(HC147="",NA(),SUM($HC$4:HC147))</f>
        <v>#N/A</v>
      </c>
      <c r="HE147" s="54" t="str">
        <f t="shared" si="310"/>
        <v/>
      </c>
      <c r="HF147" s="54" t="e">
        <f>IF(HE147="",NA(),SUM($HE$4:HE147))</f>
        <v>#N/A</v>
      </c>
      <c r="HG147" s="54" t="str">
        <f t="shared" si="311"/>
        <v/>
      </c>
      <c r="HH147" s="54" t="e">
        <f>IF(HG147="",NA(),SUM($HG$4:HG147))</f>
        <v>#N/A</v>
      </c>
      <c r="HI147" s="172" t="str">
        <f t="shared" si="324"/>
        <v/>
      </c>
      <c r="HJ147" s="172">
        <f>IF($J147="",#N/A,SUM(HI$4:$HI147))</f>
        <v>-6.0153473998924403</v>
      </c>
      <c r="HK147" s="54">
        <f t="shared" si="312"/>
        <v>1.2834334411420345E-2</v>
      </c>
      <c r="HL147" s="54">
        <f>IF($J147="",#N/A,SUM($HK$4:HK147))</f>
        <v>-5.4361592609685632</v>
      </c>
      <c r="HM147" s="54" t="str">
        <f t="shared" si="313"/>
        <v/>
      </c>
      <c r="HN147" s="54">
        <f>IF($J147="",#N/A,SUM($HM$4:HM147))</f>
        <v>0.71812545963587882</v>
      </c>
      <c r="HO147" s="54" t="str">
        <f t="shared" si="314"/>
        <v/>
      </c>
      <c r="HP147" s="54">
        <f>IF($J147="",#N/A,SUM($HO$4:HO147))</f>
        <v>-0.14859521910082485</v>
      </c>
      <c r="HQ147" s="54" t="str">
        <f t="shared" si="315"/>
        <v/>
      </c>
      <c r="HR147" s="54">
        <f>IF($J147="",#N/A,SUM($HQ$4:HQ147))</f>
        <v>-7.3390769661523079</v>
      </c>
      <c r="HS147" s="54" t="str">
        <f t="shared" si="316"/>
        <v/>
      </c>
      <c r="HT147" s="54">
        <f>IF($J147="",#N/A,SUM($HS$4:HS147))</f>
        <v>8.9025773633382936</v>
      </c>
      <c r="HU147" s="65">
        <f t="shared" si="317"/>
        <v>-0.35679449663740087</v>
      </c>
      <c r="HV147" s="65">
        <f>IF($J147="",#N/A,SUM(HU$4:$HU147))</f>
        <v>-12.976075589305651</v>
      </c>
    </row>
    <row r="148" spans="1:230" x14ac:dyDescent="0.25">
      <c r="A148" s="51" t="s">
        <v>1436</v>
      </c>
      <c r="B148" s="52" t="s">
        <v>4540</v>
      </c>
      <c r="C148" s="229">
        <f t="shared" si="218"/>
        <v>2</v>
      </c>
      <c r="D148" s="219" t="str">
        <f>_xlfn.XLOOKUP(A148,[1]SP500!$A$2:$A$502,[1]SP500!$D$2:$D$502,"N")</f>
        <v>N</v>
      </c>
      <c r="E148" s="51" t="str">
        <f>IFERROR(_xlfn.XLOOKUP(A148,[1]SP500!$A$2:$A$655,[1]SP500!$B$2:$B$655),"")</f>
        <v>XLP</v>
      </c>
      <c r="F148" s="290">
        <v>45776</v>
      </c>
      <c r="G148" s="51" t="str">
        <f t="shared" si="219"/>
        <v>BMO</v>
      </c>
      <c r="H148" s="51" t="str">
        <f t="shared" si="220"/>
        <v>s</v>
      </c>
      <c r="I148" s="343">
        <v>28.81</v>
      </c>
      <c r="J148" s="124">
        <v>28.895</v>
      </c>
      <c r="K148" s="55">
        <f t="shared" si="221"/>
        <v>2.9503644567858678E-3</v>
      </c>
      <c r="L148" s="67">
        <f t="shared" si="222"/>
        <v>-2.8899999999999864</v>
      </c>
      <c r="M148" s="57">
        <f t="shared" si="223"/>
        <v>0.16999999999995907</v>
      </c>
      <c r="N148" s="102">
        <f t="shared" si="224"/>
        <v>-2.8899999999999864</v>
      </c>
      <c r="O148" s="57">
        <f>IF(N148="",#N/A,SUM($N$4:N148))</f>
        <v>-435.63863589938751</v>
      </c>
      <c r="P148" s="65">
        <f t="shared" si="318"/>
        <v>-4.9172740946430406E-2</v>
      </c>
      <c r="Q148" s="172">
        <f>IF($N148="",#N/A,SUM($P$4:P148))</f>
        <v>-3.7067723071121197</v>
      </c>
      <c r="R148" s="279">
        <f t="shared" si="225"/>
        <v>5.2349099461274378</v>
      </c>
      <c r="S148" s="51" t="str">
        <f t="shared" si="226"/>
        <v>Dwn</v>
      </c>
      <c r="T148" s="51" t="s">
        <v>4461</v>
      </c>
      <c r="U148" s="56">
        <f t="shared" si="227"/>
        <v>28.81</v>
      </c>
      <c r="V148" s="56" t="s">
        <v>4458</v>
      </c>
      <c r="W148" s="142">
        <v>34</v>
      </c>
      <c r="X148" s="145">
        <f t="shared" si="228"/>
        <v>979.54</v>
      </c>
      <c r="Y148" s="140">
        <f t="shared" si="229"/>
        <v>34</v>
      </c>
      <c r="Z148" s="123">
        <v>28.89</v>
      </c>
      <c r="AA148" s="102">
        <f t="shared" si="230"/>
        <v>-2.7200000000000273</v>
      </c>
      <c r="AB148" s="102">
        <f t="shared" si="231"/>
        <v>-2.0400000000000773</v>
      </c>
      <c r="AC148" s="124">
        <v>28.87</v>
      </c>
      <c r="AD148" s="155">
        <f t="shared" si="232"/>
        <v>-2.0400000000000773</v>
      </c>
      <c r="AE148" s="545">
        <f t="shared" si="233"/>
        <v>-3.4710170079834707E-2</v>
      </c>
      <c r="AF148" s="57">
        <f>IF($AC148="",#N/A,SUM(AD$4:AD148))</f>
        <v>-905.46041200241655</v>
      </c>
      <c r="AG148" s="102">
        <f t="shared" si="234"/>
        <v>0.84999999999990905</v>
      </c>
      <c r="AH148" s="56" t="s">
        <v>2507</v>
      </c>
      <c r="AI148" s="65">
        <f t="shared" si="235"/>
        <v>-4.6280226773111652E-2</v>
      </c>
      <c r="AJ148" s="350">
        <f>IF(AI148="",#N/A,SUM($AI$4:AI148))</f>
        <v>-8.9416822532395575</v>
      </c>
      <c r="AK148" s="57">
        <f t="shared" si="236"/>
        <v>-2.7200000000000273</v>
      </c>
      <c r="AL148" s="349">
        <f>IF(AI148="",#N/A,IF(AH148="Skip",SUM($AK$4:AK148),SUM($AK$4:AK148)))</f>
        <v>-772.91740850718634</v>
      </c>
      <c r="AM148" s="65">
        <f t="shared" si="319"/>
        <v>-3.4710170079834707E-2</v>
      </c>
      <c r="AN148" s="209"/>
      <c r="AO148" s="65" t="str">
        <f t="shared" si="237"/>
        <v/>
      </c>
      <c r="AP148" s="65">
        <f>IF($AC148="",#N/A,SUM(AO$4:AO148))</f>
        <v>1.7209338963421281</v>
      </c>
      <c r="AQ148" s="65" t="str">
        <f t="shared" si="238"/>
        <v/>
      </c>
      <c r="AR148" s="65">
        <f>IF($AC148="",#N/A,SUM(AQ$4:AQ148))</f>
        <v>-2.6179859771653153</v>
      </c>
      <c r="AS148" s="65">
        <f t="shared" si="239"/>
        <v>-3.4710170079834707E-2</v>
      </c>
      <c r="AT148" s="65">
        <f>IF($AC148="",#N/A,SUM(AS$4:AS148))</f>
        <v>-12.113733678562305</v>
      </c>
      <c r="AU148" s="57" t="str">
        <f t="shared" si="320"/>
        <v/>
      </c>
      <c r="AV148" s="57">
        <f>IF($AC148="",#N/A,SUM(AU$4:AU148))</f>
        <v>26.761206451250359</v>
      </c>
      <c r="AW148" s="57" t="str">
        <f t="shared" si="321"/>
        <v/>
      </c>
      <c r="AX148" s="57">
        <f>IF($AC148="",#N/A,SUM(AW$4:AW148))</f>
        <v>-163.1400000000001</v>
      </c>
      <c r="AY148" s="57">
        <f t="shared" si="322"/>
        <v>-2.0400000000000773</v>
      </c>
      <c r="AZ148" s="57">
        <f>IF($AC148="",#N/A,SUM(AY$4:AY148))</f>
        <v>-769.08161845366681</v>
      </c>
      <c r="BA148" s="57">
        <f>IF(AD148="",#N/A,SUM($AD$4:AD148))</f>
        <v>-905.46041200241655</v>
      </c>
      <c r="BC148" s="51" t="str">
        <f t="shared" si="240"/>
        <v/>
      </c>
      <c r="BD148" s="51">
        <f t="shared" si="241"/>
        <v>1</v>
      </c>
      <c r="BE148" s="51" t="str">
        <f t="shared" si="242"/>
        <v/>
      </c>
      <c r="BF148" s="51" t="str">
        <f t="shared" si="243"/>
        <v>Short</v>
      </c>
      <c r="BG148" s="51" t="str">
        <f t="shared" si="244"/>
        <v/>
      </c>
      <c r="BH148" s="51" t="str">
        <f t="shared" si="245"/>
        <v/>
      </c>
      <c r="BI148" s="51" t="str">
        <f t="shared" si="246"/>
        <v/>
      </c>
      <c r="BK148" s="65">
        <f t="shared" si="217"/>
        <v>-2.8829617808479879E-2</v>
      </c>
      <c r="BL148" s="65">
        <f t="shared" si="216"/>
        <v>-9.3263412478634733E-2</v>
      </c>
      <c r="BM148" s="65">
        <f>IFERROR(Q148/COUNTA($J$4:J148),#N/A)</f>
        <v>-2.5563946945600824E-2</v>
      </c>
      <c r="BO148" s="489" t="e">
        <f>IF(J148="",#N/A,IF(S148="SW",(COUNTIFS(K$4:$K148,"&gt;0",S$4:$S148,"SW")/COUNTIF(S$4:$S148,"SW")),#N/A))</f>
        <v>#N/A</v>
      </c>
      <c r="BP148" s="489">
        <f>IF($J148="",#N/A,IF($S148="DWN",(COUNTIFS($K$4:$K148,"&lt;0",$S$4:$S148,"DWN")/COUNTIF($S$4:$S148,"DWN")),#N/A))</f>
        <v>0.55737704918032782</v>
      </c>
      <c r="BQ148" s="489" t="e">
        <f>IF($J148="",#N/A,IF($S148="UP",(COUNTIFS($K$4:$K148,"&gt;0",$S$4:$S148,"UP")/COUNTIF($S$4:$S148,"UP")),#N/A))</f>
        <v>#N/A</v>
      </c>
      <c r="BR148" s="489">
        <f>IF(J148="",#N/A,COUNTIF($K$4:K148,"&gt;0")/COUNT($J$4:J148))</f>
        <v>0.45517241379310347</v>
      </c>
      <c r="BS148" s="65" t="str">
        <f t="shared" si="247"/>
        <v/>
      </c>
      <c r="BT148" s="65" t="str">
        <f t="shared" si="248"/>
        <v/>
      </c>
      <c r="BU148" s="65" t="str">
        <f t="shared" si="249"/>
        <v/>
      </c>
      <c r="BV148" s="65">
        <f t="shared" si="250"/>
        <v>-4.9172740946430406E-2</v>
      </c>
      <c r="BW148" s="128" t="str">
        <f t="shared" si="251"/>
        <v/>
      </c>
      <c r="BX148" s="128">
        <f>IF($J148="",#N/A,SUM($BW$4:BW148))</f>
        <v>-205.1650000000003</v>
      </c>
      <c r="BY148" s="131">
        <f t="shared" si="252"/>
        <v>-2.8899999999999864</v>
      </c>
      <c r="BZ148" s="131">
        <f>IF($J148="",#N/A,SUM($BY$4:BY148))</f>
        <v>-110.27565961066625</v>
      </c>
      <c r="CA148" s="133" t="str">
        <f t="shared" si="253"/>
        <v/>
      </c>
      <c r="CB148" s="133">
        <f>IF($J148="",#N/A,SUM($CA$4:CA148))</f>
        <v>-120.19797628872095</v>
      </c>
      <c r="CC148" s="194" t="str">
        <f t="shared" si="254"/>
        <v/>
      </c>
      <c r="CD148" s="194">
        <f>IF($J148="",#N/A,SUM($CC$4:CC148))</f>
        <v>-3.1875162177003693</v>
      </c>
      <c r="CE148" s="195">
        <f t="shared" si="255"/>
        <v>-4.9172740946430406E-2</v>
      </c>
      <c r="CF148" s="195">
        <f>IF($J148="",#N/A,SUM($CE$4:CE148))</f>
        <v>-0.67668958856789296</v>
      </c>
      <c r="CG148" s="196" t="str">
        <f t="shared" si="256"/>
        <v/>
      </c>
      <c r="CH148" s="196">
        <f>IF($J148="",#N/A,SUM($CG$4:CG148))</f>
        <v>0.15743349915614699</v>
      </c>
      <c r="CI148" s="200" t="str">
        <f t="shared" si="257"/>
        <v/>
      </c>
      <c r="CJ148" s="203">
        <f>IF($J148="",#N/A,SUM(CI$4:CI148))</f>
        <v>0</v>
      </c>
      <c r="CK148" s="204" t="str">
        <f t="shared" si="258"/>
        <v/>
      </c>
      <c r="CL148" s="204">
        <f>IF($J148="",#N/A,SUM(CK$4:CK148))</f>
        <v>0.95905730556970825</v>
      </c>
      <c r="CM148" s="205" t="str">
        <f t="shared" si="259"/>
        <v/>
      </c>
      <c r="CN148" s="205">
        <f>IF($J148="",#N/A,SUM(CM$4:CM148))</f>
        <v>2.2555985727472319</v>
      </c>
      <c r="CO148" s="205">
        <f>IF($J148="",#N/A,SUM(CM$4:CM148,CK$4:CK148,CI$4:CI148))</f>
        <v>3.2146558783169401</v>
      </c>
      <c r="CP148" s="200" t="str">
        <f t="shared" si="260"/>
        <v/>
      </c>
      <c r="CQ148" s="203">
        <f>IF($J148="",#N/A,SUM(CP$4:CP148))</f>
        <v>0</v>
      </c>
      <c r="CR148" s="204" t="str">
        <f t="shared" si="261"/>
        <v/>
      </c>
      <c r="CS148" s="204">
        <f>IF($J148="",#N/A,SUM(CR$4:CR148))</f>
        <v>0</v>
      </c>
      <c r="CT148" s="205" t="str">
        <f t="shared" si="262"/>
        <v/>
      </c>
      <c r="CU148" s="205">
        <f>IF($J148="",#N/A,SUM(CT$4:CT148))</f>
        <v>0</v>
      </c>
      <c r="CV148" s="205">
        <f>IF($J148="",#N/A,SUM(CT$4:CT148,CR$4:CR148,CP$4:CP148))</f>
        <v>0</v>
      </c>
      <c r="CW148" s="200" t="str">
        <f t="shared" si="263"/>
        <v/>
      </c>
      <c r="CX148" s="203">
        <f>IF($J148="",#N/A,SUM(CW$4:CW148))</f>
        <v>0</v>
      </c>
      <c r="CY148" s="204" t="str">
        <f t="shared" si="264"/>
        <v/>
      </c>
      <c r="CZ148" s="204">
        <f>IF($J148="",#N/A,SUM(CY$4:CY148))</f>
        <v>-1.9289529100071134</v>
      </c>
      <c r="DA148" s="205" t="str">
        <f t="shared" si="265"/>
        <v/>
      </c>
      <c r="DB148" s="205">
        <f>IF($J148="",#N/A,SUM(DA$4:DA148))</f>
        <v>3.1364376348577139E-3</v>
      </c>
      <c r="DC148" s="205">
        <f>IF($J148="",#N/A,SUM(DA$4:DA148,CY$4:CY148,CW$4:CW148))</f>
        <v>-1.9258164723722557</v>
      </c>
      <c r="DD148" s="200" t="str">
        <f t="shared" si="266"/>
        <v/>
      </c>
      <c r="DE148" s="203">
        <f>IF($J148="",#N/A,SUM(DD$4:DD148))</f>
        <v>0.14968716170674062</v>
      </c>
      <c r="DF148" s="204">
        <f t="shared" si="267"/>
        <v>-4.9172740946430406E-2</v>
      </c>
      <c r="DG148" s="204">
        <f>IF($J148="",#N/A,SUM(DF$4:DF148))</f>
        <v>1.2121188689979676</v>
      </c>
      <c r="DH148" s="205" t="str">
        <f t="shared" si="268"/>
        <v/>
      </c>
      <c r="DI148" s="205">
        <f>IF($J148="",#N/A,SUM(DH$4:DH148))</f>
        <v>-1.4547707265941352</v>
      </c>
      <c r="DJ148" s="205">
        <f>IF($J148="",#N/A,SUM(DH$4:DH148,DF$4:DF148,DD$4:DD148))</f>
        <v>-9.2964695889427046E-2</v>
      </c>
      <c r="DK148" s="200" t="str">
        <f t="shared" si="269"/>
        <v/>
      </c>
      <c r="DL148" s="203">
        <f>IF($J148="",#N/A,SUM(DK$4:DK148))</f>
        <v>-1.2097286851272664</v>
      </c>
      <c r="DM148" s="204" t="str">
        <f t="shared" si="270"/>
        <v/>
      </c>
      <c r="DN148" s="204">
        <f>IF($J148="",#N/A,SUM(DM$4:DM148))</f>
        <v>1.1910608267574658</v>
      </c>
      <c r="DO148" s="205" t="str">
        <f t="shared" si="271"/>
        <v/>
      </c>
      <c r="DP148" s="205">
        <f>IF($J148="",#N/A,SUM(DO$4:DO148))</f>
        <v>1.3495058802125319</v>
      </c>
      <c r="DQ148" s="205">
        <f>IF($J148="",#N/A,SUM(DO$4:DO148,DM$4:DM148,DK$4:DK148))</f>
        <v>1.3308380218427318</v>
      </c>
      <c r="DR148" s="200" t="str">
        <f t="shared" si="272"/>
        <v/>
      </c>
      <c r="DS148" s="203">
        <f>IF($J148="",#N/A,SUM(DR$4:DR148))</f>
        <v>-0.55950946427675097</v>
      </c>
      <c r="DT148" s="204" t="str">
        <f t="shared" si="273"/>
        <v/>
      </c>
      <c r="DU148" s="204">
        <f>IF($J148="",#N/A,SUM(DT$4:DT148))</f>
        <v>-3.5029740333397914</v>
      </c>
      <c r="DV148" s="205" t="str">
        <f t="shared" si="274"/>
        <v/>
      </c>
      <c r="DW148" s="205">
        <f>IF($J148="",#N/A,SUM(DV$4:DV148))</f>
        <v>-2.6814706788983136</v>
      </c>
      <c r="DX148" s="205">
        <f>IF($J148="",#N/A,SUM(DV$4:DV148,DT$4:DT148,DR$4:DR148))</f>
        <v>-6.7439541765148556</v>
      </c>
      <c r="DY148" s="200" t="str">
        <f t="shared" si="275"/>
        <v/>
      </c>
      <c r="DZ148" s="203">
        <f>IF($J148="",#N/A,SUM(DY$4:DY148))</f>
        <v>-1.63480022183437</v>
      </c>
      <c r="EA148" s="204" t="str">
        <f t="shared" si="276"/>
        <v/>
      </c>
      <c r="EB148" s="204">
        <f>IF($J148="",#N/A,SUM(EA$4:EA148))</f>
        <v>0.79979533615398157</v>
      </c>
      <c r="EC148" s="205" t="str">
        <f t="shared" si="277"/>
        <v/>
      </c>
      <c r="ED148" s="205">
        <f>IF($J148="",#N/A,SUM(EC$4:EC148))</f>
        <v>1.7103671484331777</v>
      </c>
      <c r="EE148" s="205">
        <f>IF($J148="",#N/A,SUM(EC$4:EC148,EA$4:EA148,DY$4:DY148))</f>
        <v>0.8753622627527895</v>
      </c>
      <c r="EF148" s="200" t="str">
        <f t="shared" si="278"/>
        <v/>
      </c>
      <c r="EG148" s="203">
        <f>IF($J148="",#N/A,SUM(EF$4:EF148))</f>
        <v>0</v>
      </c>
      <c r="EH148" s="204" t="str">
        <f t="shared" si="279"/>
        <v/>
      </c>
      <c r="EI148" s="204">
        <f>IF($J148="",#N/A,SUM(EH$4:EH148))</f>
        <v>-2.4583366878124231</v>
      </c>
      <c r="EJ148" s="205" t="str">
        <f t="shared" si="280"/>
        <v/>
      </c>
      <c r="EK148" s="205">
        <f>IF($J148="",#N/A,SUM(EJ$4:EJ148))</f>
        <v>1.7255127285193785</v>
      </c>
      <c r="EL148" s="205">
        <f>IF($J148="",#N/A,SUM(EJ$4:EJ148,EH$4:EH148,EF$4:EF148))</f>
        <v>-0.73282395929304378</v>
      </c>
      <c r="EM148" s="200" t="str">
        <f t="shared" si="281"/>
        <v/>
      </c>
      <c r="EN148" s="203">
        <f>IF($J148="",#N/A,SUM(EM$4:EM148))</f>
        <v>0</v>
      </c>
      <c r="EO148" s="204" t="str">
        <f t="shared" si="282"/>
        <v/>
      </c>
      <c r="EP148" s="204">
        <f>IF($J148="",#N/A,SUM(EO$4:EO148))</f>
        <v>1.264716604605848</v>
      </c>
      <c r="EQ148" s="205" t="str">
        <f t="shared" si="283"/>
        <v/>
      </c>
      <c r="ER148" s="205">
        <f>IF($J148="",#N/A,SUM(EQ$4:EQ148))</f>
        <v>0.4926597949853756</v>
      </c>
      <c r="ES148" s="205">
        <f>IF($J148="",#N/A,SUM(EQ$4:EQ148,EO$4:EO148,EM$4:EM148))</f>
        <v>1.757376399591223</v>
      </c>
      <c r="ET148" s="200" t="str">
        <f t="shared" si="284"/>
        <v/>
      </c>
      <c r="EU148" s="203">
        <f>IF($J148="",#N/A,SUM(ET$4:ET148))</f>
        <v>0</v>
      </c>
      <c r="EV148" s="204" t="str">
        <f t="shared" si="285"/>
        <v/>
      </c>
      <c r="EW148" s="204">
        <f>IF($J148="",#N/A,SUM(EV$4:EV148))</f>
        <v>0.90459527759708336</v>
      </c>
      <c r="EX148" s="205" t="str">
        <f t="shared" si="286"/>
        <v/>
      </c>
      <c r="EY148" s="205">
        <f>IF($J148="",#N/A,SUM(EX$4:EX148))</f>
        <v>0.22957553748493481</v>
      </c>
      <c r="EZ148" s="205">
        <f>IF($J148="",#N/A,SUM(EX$4:EX148,EV$4:EV148,ET$4:ET148))</f>
        <v>1.134170815082018</v>
      </c>
      <c r="FA148" s="200" t="str">
        <f t="shared" si="287"/>
        <v/>
      </c>
      <c r="FB148" s="203">
        <f>IF($J148="",#N/A,SUM(FA$4:FA148))</f>
        <v>0</v>
      </c>
      <c r="FC148" s="204" t="str">
        <f t="shared" si="288"/>
        <v/>
      </c>
      <c r="FD148" s="204">
        <f>IF($J148="",#N/A,SUM(FC$4:FC148))</f>
        <v>1.6839191319663924</v>
      </c>
      <c r="FE148" s="205" t="str">
        <f t="shared" si="289"/>
        <v/>
      </c>
      <c r="FF148" s="205">
        <f>IF($J148="",#N/A,SUM(FE$4:FE148))</f>
        <v>-0.28811149078748233</v>
      </c>
      <c r="FG148" s="205">
        <f>IF($J148="",#N/A,SUM(FE$4:FE148,FC$4:FC148,FA$4:FA148))</f>
        <v>1.3958076411789102</v>
      </c>
      <c r="FH148" s="200" t="str">
        <f t="shared" si="290"/>
        <v/>
      </c>
      <c r="FI148" s="203">
        <f>IF($J148="",#N/A,SUM(FH$4:FH148))</f>
        <v>0</v>
      </c>
      <c r="FJ148" s="204" t="str">
        <f t="shared" si="291"/>
        <v/>
      </c>
      <c r="FK148" s="204">
        <f>IF($J148="",#N/A,SUM(FJ$4:FJ148))</f>
        <v>0</v>
      </c>
      <c r="FL148" s="205" t="str">
        <f t="shared" si="292"/>
        <v/>
      </c>
      <c r="FM148" s="205">
        <f>IF($J148="",#N/A,SUM(FL$4:FL148))</f>
        <v>0</v>
      </c>
      <c r="FN148" s="205">
        <f>IF($J148="",#N/A,SUM(FL$4:FL148,FJ$4:FJ148,FH$4:FH148))</f>
        <v>0</v>
      </c>
      <c r="FO148" s="200" t="str">
        <f t="shared" si="293"/>
        <v/>
      </c>
      <c r="FP148" s="203">
        <f>IF($J148="",#N/A,SUM(FO$4:FO148))</f>
        <v>0</v>
      </c>
      <c r="FQ148" s="204" t="str">
        <f t="shared" si="294"/>
        <v/>
      </c>
      <c r="FR148" s="204">
        <f>IF($J148="",#N/A,SUM(FQ$4:FQ148))</f>
        <v>0</v>
      </c>
      <c r="FS148" s="205" t="str">
        <f t="shared" si="295"/>
        <v/>
      </c>
      <c r="FT148" s="205">
        <f>IF($J148="",#N/A,SUM(FS$4:FS148))</f>
        <v>0</v>
      </c>
      <c r="FU148" s="205">
        <f>IF($J148="",#N/A,SUM(FS$4:FS148,FQ$4:FQ148,FO$4:FO148))</f>
        <v>0</v>
      </c>
      <c r="FV148" s="200" t="str">
        <f t="shared" si="296"/>
        <v/>
      </c>
      <c r="FW148" s="203">
        <f>IF($J148="",#N/A,SUM(FV$4:FV148))</f>
        <v>6.6834991831277585E-2</v>
      </c>
      <c r="FX148" s="204" t="str">
        <f t="shared" si="297"/>
        <v/>
      </c>
      <c r="FY148" s="204">
        <f>IF($J148="",#N/A,SUM(FX$4:FX148))</f>
        <v>0</v>
      </c>
      <c r="FZ148" s="205" t="str">
        <f t="shared" si="298"/>
        <v/>
      </c>
      <c r="GA148" s="205">
        <f>IF($J148="",#N/A,SUM(FZ$4:FZ148))</f>
        <v>-0.24773347685909197</v>
      </c>
      <c r="GB148" s="205">
        <f>IF($J148="",#N/A,SUM(FZ$4:FZ148,FX$4:FX148,FV$4:FV148))</f>
        <v>-0.18089848502781439</v>
      </c>
      <c r="GC148" s="200" t="str">
        <f t="shared" si="299"/>
        <v/>
      </c>
      <c r="GD148" s="203">
        <f>IF($J148="",#N/A,SUM(GC$4:GC148))</f>
        <v>0</v>
      </c>
      <c r="GE148" s="204" t="str">
        <f t="shared" si="300"/>
        <v/>
      </c>
      <c r="GF148" s="204">
        <f>IF($J148="",#N/A,SUM(GE$4:GE148))</f>
        <v>0</v>
      </c>
      <c r="GG148" s="205" t="str">
        <f t="shared" si="301"/>
        <v/>
      </c>
      <c r="GH148" s="205">
        <f>IF($J148="",#N/A,SUM(GG$4:GG148))</f>
        <v>-2.9368362277223206</v>
      </c>
      <c r="GI148" s="205">
        <f>IF($J148="",#N/A,SUM(GG$4:GG148,GE$4:GE148,GC$4:GC148))</f>
        <v>-2.9368362277223206</v>
      </c>
      <c r="GJ148" s="200" t="str">
        <f t="shared" si="302"/>
        <v/>
      </c>
      <c r="GK148" s="203">
        <f>IF($J148="",#N/A,SUM(GJ$4:GJ148))</f>
        <v>0</v>
      </c>
      <c r="GL148" s="204" t="str">
        <f t="shared" si="303"/>
        <v/>
      </c>
      <c r="GM148" s="204">
        <f>IF($J148="",#N/A,SUM(GL$4:GL148))</f>
        <v>-0.80168930905701452</v>
      </c>
      <c r="GN148" s="205" t="str">
        <f t="shared" si="304"/>
        <v/>
      </c>
      <c r="GO148" s="205">
        <f>IF($J148="",#N/A,SUM(GN$4:GN148))</f>
        <v>0</v>
      </c>
      <c r="GP148" s="205">
        <f>IF($J148="",#N/A,SUM(GN$4:GN148,GL$4:GL148,GJ$4:GJ148))</f>
        <v>-0.80168930905701452</v>
      </c>
      <c r="GS148" s="54" t="str">
        <f t="shared" si="323"/>
        <v/>
      </c>
      <c r="GT148" s="54" t="e">
        <f>IF(GS148="",NA(),SUM($GS$4:GS148))</f>
        <v>#N/A</v>
      </c>
      <c r="GU148" s="54" t="str">
        <f t="shared" si="305"/>
        <v/>
      </c>
      <c r="GV148" s="54" t="e">
        <f>IF(GU148="",NA(),SUM($GU$4:GU148))</f>
        <v>#N/A</v>
      </c>
      <c r="GW148" s="54" t="str">
        <f t="shared" si="306"/>
        <v/>
      </c>
      <c r="GX148" s="54" t="e">
        <f>IF(GW148="",NA(),SUM($GW$4:GW148))</f>
        <v>#N/A</v>
      </c>
      <c r="GY148" s="54" t="str">
        <f t="shared" si="307"/>
        <v/>
      </c>
      <c r="GZ148" s="54" t="e">
        <f>IF(GY148="",NA(),SUM($GY$4:GY148))</f>
        <v>#N/A</v>
      </c>
      <c r="HA148" s="54">
        <f t="shared" si="308"/>
        <v>-4.9172740946430406E-2</v>
      </c>
      <c r="HB148" s="54">
        <f>IF(HA148="",NA(),SUM($HA$4:HA148))</f>
        <v>0.4286781409463718</v>
      </c>
      <c r="HC148" s="54" t="str">
        <f t="shared" si="309"/>
        <v/>
      </c>
      <c r="HD148" s="54" t="e">
        <f>IF(HC148="",NA(),SUM($HC$4:HC148))</f>
        <v>#N/A</v>
      </c>
      <c r="HE148" s="54" t="str">
        <f t="shared" si="310"/>
        <v/>
      </c>
      <c r="HF148" s="54" t="e">
        <f>IF(HE148="",NA(),SUM($HE$4:HE148))</f>
        <v>#N/A</v>
      </c>
      <c r="HG148" s="54">
        <f t="shared" si="311"/>
        <v>-4.9172740946430406E-2</v>
      </c>
      <c r="HH148" s="54">
        <f>IF(HG148="",NA(),SUM($HG$4:HG148))</f>
        <v>0.22668932801908645</v>
      </c>
      <c r="HI148" s="172" t="str">
        <f t="shared" si="324"/>
        <v/>
      </c>
      <c r="HJ148" s="172">
        <f>IF($J148="",#N/A,SUM(HI$4:$HI148))</f>
        <v>-6.0153473998924403</v>
      </c>
      <c r="HK148" s="54">
        <f t="shared" si="312"/>
        <v>1.4462570866595699E-2</v>
      </c>
      <c r="HL148" s="54">
        <f>IF($J148="",#N/A,SUM($HK$4:HK148))</f>
        <v>-5.4216966901019674</v>
      </c>
      <c r="HM148" s="54" t="str">
        <f t="shared" si="313"/>
        <v/>
      </c>
      <c r="HN148" s="54">
        <f>IF($J148="",#N/A,SUM($HM$4:HM148))</f>
        <v>0.71812545963587882</v>
      </c>
      <c r="HO148" s="54" t="str">
        <f t="shared" si="314"/>
        <v/>
      </c>
      <c r="HP148" s="54">
        <f>IF($J148="",#N/A,SUM($HO$4:HO148))</f>
        <v>-0.14859521910082485</v>
      </c>
      <c r="HQ148" s="54" t="str">
        <f t="shared" si="315"/>
        <v/>
      </c>
      <c r="HR148" s="54">
        <f>IF($J148="",#N/A,SUM($HQ$4:HQ148))</f>
        <v>-7.3390769661523079</v>
      </c>
      <c r="HS148" s="54" t="str">
        <f t="shared" si="316"/>
        <v/>
      </c>
      <c r="HT148" s="54">
        <f>IF($J148="",#N/A,SUM($HS$4:HS148))</f>
        <v>8.9025773633382936</v>
      </c>
      <c r="HU148" s="65">
        <f t="shared" si="317"/>
        <v>-3.4710170079834707E-2</v>
      </c>
      <c r="HV148" s="65">
        <f>IF($J148="",#N/A,SUM(HU$4:$HU148))</f>
        <v>-13.010785759385486</v>
      </c>
    </row>
    <row r="149" spans="1:230" x14ac:dyDescent="0.25">
      <c r="A149" s="51" t="s">
        <v>1364</v>
      </c>
      <c r="B149" s="52" t="s">
        <v>4540</v>
      </c>
      <c r="C149" s="229">
        <f t="shared" si="218"/>
        <v>2</v>
      </c>
      <c r="D149" s="219" t="str">
        <f>_xlfn.XLOOKUP(A149,[1]SP500!$A$2:$A$502,[1]SP500!$D$2:$D$502,"N")</f>
        <v>Y</v>
      </c>
      <c r="E149" s="51" t="str">
        <f>IFERROR(_xlfn.XLOOKUP(A149,[1]SP500!$A$2:$A$655,[1]SP500!$B$2:$B$655),"")</f>
        <v>XLV</v>
      </c>
      <c r="F149" s="290">
        <v>45776</v>
      </c>
      <c r="G149" s="51" t="str">
        <f t="shared" si="219"/>
        <v>BMO</v>
      </c>
      <c r="H149" s="51" t="str">
        <f t="shared" si="220"/>
        <v>s</v>
      </c>
      <c r="I149" s="343">
        <v>610.86</v>
      </c>
      <c r="J149" s="123">
        <v>561.75</v>
      </c>
      <c r="K149" s="55">
        <f t="shared" si="221"/>
        <v>-8.039485315784306E-2</v>
      </c>
      <c r="L149" s="67">
        <f t="shared" si="222"/>
        <v>98.220000000000027</v>
      </c>
      <c r="M149" s="57">
        <f t="shared" si="223"/>
        <v>0</v>
      </c>
      <c r="N149" s="102">
        <f t="shared" si="224"/>
        <v>98.220000000000027</v>
      </c>
      <c r="O149" s="57">
        <f>IF(N149="",#N/A,SUM($N$4:N149))</f>
        <v>-337.41863589938748</v>
      </c>
      <c r="P149" s="65">
        <f t="shared" si="318"/>
        <v>1.3399142192973843</v>
      </c>
      <c r="Q149" s="172">
        <f>IF($N149="",#N/A,SUM($P$4:P149))</f>
        <v>-2.3668580878147356</v>
      </c>
      <c r="R149" s="279">
        <f t="shared" si="225"/>
        <v>5.2349099461274378</v>
      </c>
      <c r="S149" s="51" t="str">
        <f t="shared" si="226"/>
        <v>Dwn</v>
      </c>
      <c r="T149" s="51" t="s">
        <v>4462</v>
      </c>
      <c r="U149" s="56">
        <f t="shared" si="227"/>
        <v>610.86</v>
      </c>
      <c r="V149" s="56" t="s">
        <v>4458</v>
      </c>
      <c r="W149" s="142">
        <v>2</v>
      </c>
      <c r="X149" s="145">
        <f t="shared" si="228"/>
        <v>1221.72</v>
      </c>
      <c r="Y149" s="140">
        <f t="shared" si="229"/>
        <v>2</v>
      </c>
      <c r="Z149" s="123">
        <v>561.75</v>
      </c>
      <c r="AA149" s="102">
        <f t="shared" si="230"/>
        <v>98.220000000000027</v>
      </c>
      <c r="AB149" s="102">
        <f t="shared" si="231"/>
        <v>83.900000000000091</v>
      </c>
      <c r="AC149" s="124">
        <v>568.91</v>
      </c>
      <c r="AD149" s="155">
        <f t="shared" si="232"/>
        <v>83.900000000000091</v>
      </c>
      <c r="AE149" s="545">
        <f t="shared" si="233"/>
        <v>1.1445612197011874</v>
      </c>
      <c r="AF149" s="57">
        <f>IF($AC149="",#N/A,SUM(AD$4:AD149))</f>
        <v>-821.56041200241646</v>
      </c>
      <c r="AG149" s="102">
        <f t="shared" si="234"/>
        <v>-14.319999999999936</v>
      </c>
      <c r="AH149" s="56" t="s">
        <v>2507</v>
      </c>
      <c r="AI149" s="65">
        <f t="shared" si="235"/>
        <v>1.3399142192973843</v>
      </c>
      <c r="AJ149" s="54">
        <f>IF(AI149="",#N/A,SUM($AI$4:AI149))</f>
        <v>-7.6017680339421734</v>
      </c>
      <c r="AK149" s="57">
        <f t="shared" si="236"/>
        <v>98.220000000000027</v>
      </c>
      <c r="AL149" s="349">
        <f>IF(AI149="",#N/A,IF(AH149="Skip",SUM($AK$4:AK149),SUM($AK$4:AK149)))</f>
        <v>-674.69740850718631</v>
      </c>
      <c r="AM149" s="65">
        <f t="shared" si="319"/>
        <v>1.1445612197011874</v>
      </c>
      <c r="AN149" s="209"/>
      <c r="AO149" s="65" t="str">
        <f t="shared" si="237"/>
        <v/>
      </c>
      <c r="AP149" s="65">
        <f>IF($AC149="",#N/A,SUM(AO$4:AO149))</f>
        <v>1.7209338963421281</v>
      </c>
      <c r="AQ149" s="65" t="str">
        <f t="shared" si="238"/>
        <v/>
      </c>
      <c r="AR149" s="65">
        <f>IF($AC149="",#N/A,SUM(AQ$4:AQ149))</f>
        <v>-2.6179859771653153</v>
      </c>
      <c r="AS149" s="65">
        <f t="shared" si="239"/>
        <v>1.1445612197011874</v>
      </c>
      <c r="AT149" s="65">
        <f>IF($AC149="",#N/A,SUM(AS$4:AS149))</f>
        <v>-10.969172458861117</v>
      </c>
      <c r="AU149" s="57" t="str">
        <f t="shared" si="320"/>
        <v/>
      </c>
      <c r="AV149" s="57">
        <f>IF($AC149="",#N/A,SUM(AU$4:AU149))</f>
        <v>26.761206451250359</v>
      </c>
      <c r="AW149" s="57" t="str">
        <f t="shared" si="321"/>
        <v/>
      </c>
      <c r="AX149" s="57">
        <f>IF($AC149="",#N/A,SUM(AW$4:AW149))</f>
        <v>-163.1400000000001</v>
      </c>
      <c r="AY149" s="57">
        <f t="shared" si="322"/>
        <v>83.900000000000091</v>
      </c>
      <c r="AZ149" s="57">
        <f>IF($AC149="",#N/A,SUM(AY$4:AY149))</f>
        <v>-685.18161845366672</v>
      </c>
      <c r="BA149" s="57">
        <f>IF(AD149="",#N/A,SUM($AD$4:AD149))</f>
        <v>-821.56041200241646</v>
      </c>
      <c r="BC149" s="51" t="str">
        <f t="shared" si="240"/>
        <v/>
      </c>
      <c r="BD149" s="51" t="str">
        <f t="shared" si="241"/>
        <v/>
      </c>
      <c r="BE149" s="51" t="str">
        <f t="shared" si="242"/>
        <v/>
      </c>
      <c r="BF149" s="51" t="str">
        <f t="shared" si="243"/>
        <v>Short</v>
      </c>
      <c r="BG149" s="51">
        <f t="shared" si="244"/>
        <v>1</v>
      </c>
      <c r="BH149" s="51" t="str">
        <f t="shared" si="245"/>
        <v/>
      </c>
      <c r="BI149" s="51" t="str">
        <f t="shared" si="246"/>
        <v/>
      </c>
      <c r="BK149" s="65">
        <f t="shared" si="217"/>
        <v>-3.9292667839830649E-3</v>
      </c>
      <c r="BL149" s="65">
        <f t="shared" si="216"/>
        <v>-2.4883070934490902E-2</v>
      </c>
      <c r="BM149" s="65">
        <f>IFERROR(Q149/COUNTA($J$4:J149),#N/A)</f>
        <v>-1.6211356765854352E-2</v>
      </c>
      <c r="BO149" s="489" t="e">
        <f>IF(J149="",#N/A,IF(S149="SW",(COUNTIFS(K$4:$K149,"&gt;0",S$4:$S149,"SW")/COUNTIF(S$4:$S149,"SW")),#N/A))</f>
        <v>#N/A</v>
      </c>
      <c r="BP149" s="489">
        <f>IF($J149="",#N/A,IF($S149="DWN",(COUNTIFS($K$4:$K149,"&lt;0",$S$4:$S149,"DWN")/COUNTIF($S$4:$S149,"DWN")),#N/A))</f>
        <v>0.56451612903225812</v>
      </c>
      <c r="BQ149" s="489" t="e">
        <f>IF($J149="",#N/A,IF($S149="UP",(COUNTIFS($K$4:$K149,"&gt;0",$S$4:$S149,"UP")/COUNTIF($S$4:$S149,"UP")),#N/A))</f>
        <v>#N/A</v>
      </c>
      <c r="BR149" s="489">
        <f>IF(J149="",#N/A,COUNTIF($K$4:K149,"&gt;0")/COUNT($J$4:J149))</f>
        <v>0.45205479452054792</v>
      </c>
      <c r="BS149" s="65" t="str">
        <f t="shared" si="247"/>
        <v/>
      </c>
      <c r="BT149" s="65" t="str">
        <f t="shared" si="248"/>
        <v/>
      </c>
      <c r="BU149" s="65">
        <f t="shared" si="249"/>
        <v>1.3399142192973843</v>
      </c>
      <c r="BV149" s="65" t="str">
        <f t="shared" si="250"/>
        <v/>
      </c>
      <c r="BW149" s="128" t="str">
        <f t="shared" si="251"/>
        <v/>
      </c>
      <c r="BX149" s="128">
        <f>IF($J149="",#N/A,SUM($BW$4:BW149))</f>
        <v>-205.1650000000003</v>
      </c>
      <c r="BY149" s="131">
        <f t="shared" si="252"/>
        <v>98.220000000000027</v>
      </c>
      <c r="BZ149" s="131">
        <f>IF($J149="",#N/A,SUM($BY$4:BY149))</f>
        <v>-12.055659610666225</v>
      </c>
      <c r="CA149" s="133" t="str">
        <f t="shared" si="253"/>
        <v/>
      </c>
      <c r="CB149" s="133">
        <f>IF($J149="",#N/A,SUM($CA$4:CA149))</f>
        <v>-120.19797628872095</v>
      </c>
      <c r="CC149" s="194" t="str">
        <f t="shared" si="254"/>
        <v/>
      </c>
      <c r="CD149" s="194">
        <f>IF($J149="",#N/A,SUM($CC$4:CC149))</f>
        <v>-3.1875162177003693</v>
      </c>
      <c r="CE149" s="195">
        <f t="shared" si="255"/>
        <v>1.3399142192973843</v>
      </c>
      <c r="CF149" s="195">
        <f>IF($J149="",#N/A,SUM($CE$4:CE149))</f>
        <v>0.66322463072949134</v>
      </c>
      <c r="CG149" s="196" t="str">
        <f t="shared" si="256"/>
        <v/>
      </c>
      <c r="CH149" s="193">
        <f>IF($J149="",#N/A,SUM($CG$4:CG149))</f>
        <v>0.15743349915614699</v>
      </c>
      <c r="CI149" s="200" t="str">
        <f t="shared" si="257"/>
        <v/>
      </c>
      <c r="CJ149" s="203">
        <f>IF($J149="",#N/A,SUM(CI$4:CI149))</f>
        <v>0</v>
      </c>
      <c r="CK149" s="204" t="str">
        <f t="shared" si="258"/>
        <v/>
      </c>
      <c r="CL149" s="204">
        <f>IF($J149="",#N/A,SUM(CK$4:CK149))</f>
        <v>0.95905730556970825</v>
      </c>
      <c r="CM149" s="205" t="str">
        <f t="shared" si="259"/>
        <v/>
      </c>
      <c r="CN149" s="205">
        <f>IF($J149="",#N/A,SUM(CM$4:CM149))</f>
        <v>2.2555985727472319</v>
      </c>
      <c r="CO149" s="205">
        <f>IF($J149="",#N/A,SUM(CM$4:CM149,CK$4:CK149,CI$4:CI149))</f>
        <v>3.2146558783169401</v>
      </c>
      <c r="CP149" s="200" t="str">
        <f t="shared" si="260"/>
        <v/>
      </c>
      <c r="CQ149" s="203">
        <f>IF($J149="",#N/A,SUM(CP$4:CP149))</f>
        <v>0</v>
      </c>
      <c r="CR149" s="204" t="str">
        <f t="shared" si="261"/>
        <v/>
      </c>
      <c r="CS149" s="204">
        <f>IF($J149="",#N/A,SUM(CR$4:CR149))</f>
        <v>0</v>
      </c>
      <c r="CT149" s="205" t="str">
        <f t="shared" si="262"/>
        <v/>
      </c>
      <c r="CU149" s="205">
        <f>IF($J149="",#N/A,SUM(CT$4:CT149))</f>
        <v>0</v>
      </c>
      <c r="CV149" s="205">
        <f>IF($J149="",#N/A,SUM(CT$4:CT149,CR$4:CR149,CP$4:CP149))</f>
        <v>0</v>
      </c>
      <c r="CW149" s="200" t="str">
        <f t="shared" si="263"/>
        <v/>
      </c>
      <c r="CX149" s="203">
        <f>IF($J149="",#N/A,SUM(CW$4:CW149))</f>
        <v>0</v>
      </c>
      <c r="CY149" s="204" t="str">
        <f t="shared" si="264"/>
        <v/>
      </c>
      <c r="CZ149" s="204">
        <f>IF($J149="",#N/A,SUM(CY$4:CY149))</f>
        <v>-1.9289529100071134</v>
      </c>
      <c r="DA149" s="205" t="str">
        <f t="shared" si="265"/>
        <v/>
      </c>
      <c r="DB149" s="205">
        <f>IF($J149="",#N/A,SUM(DA$4:DA149))</f>
        <v>3.1364376348577139E-3</v>
      </c>
      <c r="DC149" s="205">
        <f>IF($J149="",#N/A,SUM(DA$4:DA149,CY$4:CY149,CW$4:CW149))</f>
        <v>-1.9258164723722557</v>
      </c>
      <c r="DD149" s="200" t="str">
        <f t="shared" si="266"/>
        <v/>
      </c>
      <c r="DE149" s="203">
        <f>IF($J149="",#N/A,SUM(DD$4:DD149))</f>
        <v>0.14968716170674062</v>
      </c>
      <c r="DF149" s="204" t="str">
        <f t="shared" si="267"/>
        <v/>
      </c>
      <c r="DG149" s="204">
        <f>IF($J149="",#N/A,SUM(DF$4:DF149))</f>
        <v>1.2121188689979676</v>
      </c>
      <c r="DH149" s="205" t="str">
        <f t="shared" si="268"/>
        <v/>
      </c>
      <c r="DI149" s="205">
        <f>IF($J149="",#N/A,SUM(DH$4:DH149))</f>
        <v>-1.4547707265941352</v>
      </c>
      <c r="DJ149" s="205">
        <f>IF($J149="",#N/A,SUM(DH$4:DH149,DF$4:DF149,DD$4:DD149))</f>
        <v>-9.2964695889427046E-2</v>
      </c>
      <c r="DK149" s="200" t="str">
        <f t="shared" si="269"/>
        <v/>
      </c>
      <c r="DL149" s="203">
        <f>IF($J149="",#N/A,SUM(DK$4:DK149))</f>
        <v>-1.2097286851272664</v>
      </c>
      <c r="DM149" s="204" t="str">
        <f t="shared" si="270"/>
        <v/>
      </c>
      <c r="DN149" s="204">
        <f>IF($J149="",#N/A,SUM(DM$4:DM149))</f>
        <v>1.1910608267574658</v>
      </c>
      <c r="DO149" s="205" t="str">
        <f t="shared" si="271"/>
        <v/>
      </c>
      <c r="DP149" s="205">
        <f>IF($J149="",#N/A,SUM(DO$4:DO149))</f>
        <v>1.3495058802125319</v>
      </c>
      <c r="DQ149" s="205">
        <f>IF($J149="",#N/A,SUM(DO$4:DO149,DM$4:DM149,DK$4:DK149))</f>
        <v>1.3308380218427318</v>
      </c>
      <c r="DR149" s="200" t="str">
        <f t="shared" si="272"/>
        <v/>
      </c>
      <c r="DS149" s="203">
        <f>IF($J149="",#N/A,SUM(DR$4:DR149))</f>
        <v>-0.55950946427675097</v>
      </c>
      <c r="DT149" s="204" t="str">
        <f t="shared" si="273"/>
        <v/>
      </c>
      <c r="DU149" s="204">
        <f>IF($J149="",#N/A,SUM(DT$4:DT149))</f>
        <v>-3.5029740333397914</v>
      </c>
      <c r="DV149" s="205" t="str">
        <f t="shared" si="274"/>
        <v/>
      </c>
      <c r="DW149" s="205">
        <f>IF($J149="",#N/A,SUM(DV$4:DV149))</f>
        <v>-2.6814706788983136</v>
      </c>
      <c r="DX149" s="205">
        <f>IF($J149="",#N/A,SUM(DV$4:DV149,DT$4:DT149,DR$4:DR149))</f>
        <v>-6.7439541765148556</v>
      </c>
      <c r="DY149" s="200" t="str">
        <f t="shared" si="275"/>
        <v/>
      </c>
      <c r="DZ149" s="203">
        <f>IF($J149="",#N/A,SUM(DY$4:DY149))</f>
        <v>-1.63480022183437</v>
      </c>
      <c r="EA149" s="204" t="str">
        <f t="shared" si="276"/>
        <v/>
      </c>
      <c r="EB149" s="204">
        <f>IF($J149="",#N/A,SUM(EA$4:EA149))</f>
        <v>0.79979533615398157</v>
      </c>
      <c r="EC149" s="205" t="str">
        <f t="shared" si="277"/>
        <v/>
      </c>
      <c r="ED149" s="205">
        <f>IF($J149="",#N/A,SUM(EC$4:EC149))</f>
        <v>1.7103671484331777</v>
      </c>
      <c r="EE149" s="205">
        <f>IF($J149="",#N/A,SUM(EC$4:EC149,EA$4:EA149,DY$4:DY149))</f>
        <v>0.8753622627527895</v>
      </c>
      <c r="EF149" s="200" t="str">
        <f t="shared" si="278"/>
        <v/>
      </c>
      <c r="EG149" s="203">
        <f>IF($J149="",#N/A,SUM(EF$4:EF149))</f>
        <v>0</v>
      </c>
      <c r="EH149" s="204">
        <f t="shared" si="279"/>
        <v>1.3399142192973843</v>
      </c>
      <c r="EI149" s="204">
        <f>IF($J149="",#N/A,SUM(EH$4:EH149))</f>
        <v>-1.1184224685150388</v>
      </c>
      <c r="EJ149" s="205" t="str">
        <f t="shared" si="280"/>
        <v/>
      </c>
      <c r="EK149" s="205">
        <f>IF($J149="",#N/A,SUM(EJ$4:EJ149))</f>
        <v>1.7255127285193785</v>
      </c>
      <c r="EL149" s="205">
        <f>IF($J149="",#N/A,SUM(EJ$4:EJ149,EH$4:EH149,EF$4:EF149))</f>
        <v>0.60709026000434052</v>
      </c>
      <c r="EM149" s="200" t="str">
        <f t="shared" si="281"/>
        <v/>
      </c>
      <c r="EN149" s="203">
        <f>IF($J149="",#N/A,SUM(EM$4:EM149))</f>
        <v>0</v>
      </c>
      <c r="EO149" s="204" t="str">
        <f t="shared" si="282"/>
        <v/>
      </c>
      <c r="EP149" s="204">
        <f>IF($J149="",#N/A,SUM(EO$4:EO149))</f>
        <v>1.264716604605848</v>
      </c>
      <c r="EQ149" s="205" t="str">
        <f t="shared" si="283"/>
        <v/>
      </c>
      <c r="ER149" s="205">
        <f>IF($J149="",#N/A,SUM(EQ$4:EQ149))</f>
        <v>0.4926597949853756</v>
      </c>
      <c r="ES149" s="205">
        <f>IF($J149="",#N/A,SUM(EQ$4:EQ149,EO$4:EO149,EM$4:EM149))</f>
        <v>1.757376399591223</v>
      </c>
      <c r="ET149" s="200" t="str">
        <f t="shared" si="284"/>
        <v/>
      </c>
      <c r="EU149" s="203">
        <f>IF($J149="",#N/A,SUM(ET$4:ET149))</f>
        <v>0</v>
      </c>
      <c r="EV149" s="204" t="str">
        <f t="shared" si="285"/>
        <v/>
      </c>
      <c r="EW149" s="204">
        <f>IF($J149="",#N/A,SUM(EV$4:EV149))</f>
        <v>0.90459527759708336</v>
      </c>
      <c r="EX149" s="205" t="str">
        <f t="shared" si="286"/>
        <v/>
      </c>
      <c r="EY149" s="205">
        <f>IF($J149="",#N/A,SUM(EX$4:EX149))</f>
        <v>0.22957553748493481</v>
      </c>
      <c r="EZ149" s="205">
        <f>IF($J149="",#N/A,SUM(EX$4:EX149,EV$4:EV149,ET$4:ET149))</f>
        <v>1.134170815082018</v>
      </c>
      <c r="FA149" s="200" t="str">
        <f t="shared" si="287"/>
        <v/>
      </c>
      <c r="FB149" s="203">
        <f>IF($J149="",#N/A,SUM(FA$4:FA149))</f>
        <v>0</v>
      </c>
      <c r="FC149" s="204" t="str">
        <f t="shared" si="288"/>
        <v/>
      </c>
      <c r="FD149" s="204">
        <f>IF($J149="",#N/A,SUM(FC$4:FC149))</f>
        <v>1.6839191319663924</v>
      </c>
      <c r="FE149" s="205" t="str">
        <f t="shared" si="289"/>
        <v/>
      </c>
      <c r="FF149" s="205">
        <f>IF($J149="",#N/A,SUM(FE$4:FE149))</f>
        <v>-0.28811149078748233</v>
      </c>
      <c r="FG149" s="205">
        <f>IF($J149="",#N/A,SUM(FE$4:FE149,FC$4:FC149,FA$4:FA149))</f>
        <v>1.3958076411789102</v>
      </c>
      <c r="FH149" s="200" t="str">
        <f t="shared" si="290"/>
        <v/>
      </c>
      <c r="FI149" s="203">
        <f>IF($J149="",#N/A,SUM(FH$4:FH149))</f>
        <v>0</v>
      </c>
      <c r="FJ149" s="204" t="str">
        <f t="shared" si="291"/>
        <v/>
      </c>
      <c r="FK149" s="204">
        <f>IF($J149="",#N/A,SUM(FJ$4:FJ149))</f>
        <v>0</v>
      </c>
      <c r="FL149" s="205" t="str">
        <f t="shared" si="292"/>
        <v/>
      </c>
      <c r="FM149" s="205">
        <f>IF($J149="",#N/A,SUM(FL$4:FL149))</f>
        <v>0</v>
      </c>
      <c r="FN149" s="205">
        <f>IF($J149="",#N/A,SUM(FL$4:FL149,FJ$4:FJ149,FH$4:FH149))</f>
        <v>0</v>
      </c>
      <c r="FO149" s="200" t="str">
        <f t="shared" si="293"/>
        <v/>
      </c>
      <c r="FP149" s="203">
        <f>IF($J149="",#N/A,SUM(FO$4:FO149))</f>
        <v>0</v>
      </c>
      <c r="FQ149" s="204" t="str">
        <f t="shared" si="294"/>
        <v/>
      </c>
      <c r="FR149" s="204">
        <f>IF($J149="",#N/A,SUM(FQ$4:FQ149))</f>
        <v>0</v>
      </c>
      <c r="FS149" s="205" t="str">
        <f t="shared" si="295"/>
        <v/>
      </c>
      <c r="FT149" s="205">
        <f>IF($J149="",#N/A,SUM(FS$4:FS149))</f>
        <v>0</v>
      </c>
      <c r="FU149" s="205">
        <f>IF($J149="",#N/A,SUM(FS$4:FS149,FQ$4:FQ149,FO$4:FO149))</f>
        <v>0</v>
      </c>
      <c r="FV149" s="200" t="str">
        <f t="shared" si="296"/>
        <v/>
      </c>
      <c r="FW149" s="203">
        <f>IF($J149="",#N/A,SUM(FV$4:FV149))</f>
        <v>6.6834991831277585E-2</v>
      </c>
      <c r="FX149" s="204" t="str">
        <f t="shared" si="297"/>
        <v/>
      </c>
      <c r="FY149" s="204">
        <f>IF($J149="",#N/A,SUM(FX$4:FX149))</f>
        <v>0</v>
      </c>
      <c r="FZ149" s="205" t="str">
        <f t="shared" si="298"/>
        <v/>
      </c>
      <c r="GA149" s="205">
        <f>IF($J149="",#N/A,SUM(FZ$4:FZ149))</f>
        <v>-0.24773347685909197</v>
      </c>
      <c r="GB149" s="205">
        <f>IF($J149="",#N/A,SUM(FZ$4:FZ149,FX$4:FX149,FV$4:FV149))</f>
        <v>-0.18089848502781439</v>
      </c>
      <c r="GC149" s="200" t="str">
        <f t="shared" si="299"/>
        <v/>
      </c>
      <c r="GD149" s="203">
        <f>IF($J149="",#N/A,SUM(GC$4:GC149))</f>
        <v>0</v>
      </c>
      <c r="GE149" s="204" t="str">
        <f t="shared" si="300"/>
        <v/>
      </c>
      <c r="GF149" s="204">
        <f>IF($J149="",#N/A,SUM(GE$4:GE149))</f>
        <v>0</v>
      </c>
      <c r="GG149" s="205" t="str">
        <f t="shared" si="301"/>
        <v/>
      </c>
      <c r="GH149" s="205">
        <f>IF($J149="",#N/A,SUM(GG$4:GG149))</f>
        <v>-2.9368362277223206</v>
      </c>
      <c r="GI149" s="205">
        <f>IF($J149="",#N/A,SUM(GG$4:GG149,GE$4:GE149,GC$4:GC149))</f>
        <v>-2.9368362277223206</v>
      </c>
      <c r="GJ149" s="200" t="str">
        <f t="shared" si="302"/>
        <v/>
      </c>
      <c r="GK149" s="203">
        <f>IF($J149="",#N/A,SUM(GJ$4:GJ149))</f>
        <v>0</v>
      </c>
      <c r="GL149" s="204" t="str">
        <f t="shared" si="303"/>
        <v/>
      </c>
      <c r="GM149" s="204">
        <f>IF($J149="",#N/A,SUM(GL$4:GL149))</f>
        <v>-0.80168930905701452</v>
      </c>
      <c r="GN149" s="205" t="str">
        <f t="shared" si="304"/>
        <v/>
      </c>
      <c r="GO149" s="205">
        <f>IF($J149="",#N/A,SUM(GN$4:GN149))</f>
        <v>0</v>
      </c>
      <c r="GP149" s="205">
        <f>IF($J149="",#N/A,SUM(GN$4:GN149,GL$4:GL149,GJ$4:GJ149))</f>
        <v>-0.80168930905701452</v>
      </c>
      <c r="GS149" s="54">
        <f t="shared" si="323"/>
        <v>1.3399142192973843</v>
      </c>
      <c r="GT149" s="54">
        <f>IF(GS149="",NA(),SUM($GS$4:GS149))</f>
        <v>-2.7955362287611054</v>
      </c>
      <c r="GU149" s="54" t="str">
        <f t="shared" si="305"/>
        <v/>
      </c>
      <c r="GV149" s="54" t="e">
        <f>IF(GU149="",NA(),SUM($GU$4:GU149))</f>
        <v>#N/A</v>
      </c>
      <c r="GW149" s="54" t="str">
        <f t="shared" si="306"/>
        <v/>
      </c>
      <c r="GX149" s="54" t="e">
        <f>IF(GW149="",NA(),SUM($GW$4:GW149))</f>
        <v>#N/A</v>
      </c>
      <c r="GY149" s="54">
        <f t="shared" si="307"/>
        <v>1.3399142192973843</v>
      </c>
      <c r="GZ149" s="54">
        <f>IF(GY149="",NA(),SUM($GY$4:GY149))</f>
        <v>0.43653530271040464</v>
      </c>
      <c r="HA149" s="54" t="str">
        <f t="shared" si="308"/>
        <v/>
      </c>
      <c r="HB149" s="54" t="e">
        <f>IF(HA149="",NA(),SUM($HA$4:HA149))</f>
        <v>#N/A</v>
      </c>
      <c r="HC149" s="54" t="str">
        <f t="shared" si="309"/>
        <v/>
      </c>
      <c r="HD149" s="54" t="e">
        <f>IF(HC149="",NA(),SUM($HC$4:HC149))</f>
        <v>#N/A</v>
      </c>
      <c r="HE149" s="54" t="str">
        <f t="shared" si="310"/>
        <v/>
      </c>
      <c r="HF149" s="54" t="e">
        <f>IF(HE149="",NA(),SUM($HE$4:HE149))</f>
        <v>#N/A</v>
      </c>
      <c r="HG149" s="54" t="str">
        <f t="shared" si="311"/>
        <v/>
      </c>
      <c r="HH149" s="54" t="e">
        <f>IF(HG149="",NA(),SUM($HG$4:HG149))</f>
        <v>#N/A</v>
      </c>
      <c r="HI149" s="172">
        <f t="shared" si="324"/>
        <v>-0.1953529995961969</v>
      </c>
      <c r="HJ149" s="172">
        <f>IF($J149="",#N/A,SUM(HI$4:$HI149))</f>
        <v>-6.2107003994886369</v>
      </c>
      <c r="HK149" s="54" t="str">
        <f t="shared" si="312"/>
        <v/>
      </c>
      <c r="HL149" s="54">
        <f>IF($J149="",#N/A,SUM($HK$4:HK149))</f>
        <v>-5.4216966901019674</v>
      </c>
      <c r="HM149" s="54" t="str">
        <f t="shared" si="313"/>
        <v/>
      </c>
      <c r="HN149" s="54">
        <f>IF($J149="",#N/A,SUM($HM$4:HM149))</f>
        <v>0.71812545963587882</v>
      </c>
      <c r="HO149" s="54" t="str">
        <f t="shared" si="314"/>
        <v/>
      </c>
      <c r="HP149" s="54">
        <f>IF($J149="",#N/A,SUM($HO$4:HO149))</f>
        <v>-0.14859521910082485</v>
      </c>
      <c r="HQ149" s="54" t="str">
        <f t="shared" si="315"/>
        <v/>
      </c>
      <c r="HR149" s="54">
        <f>IF($J149="",#N/A,SUM($HQ$4:HQ149))</f>
        <v>-7.3390769661523079</v>
      </c>
      <c r="HS149" s="54" t="str">
        <f t="shared" si="316"/>
        <v/>
      </c>
      <c r="HT149" s="54">
        <f>IF($J149="",#N/A,SUM($HS$4:HS149))</f>
        <v>8.9025773633382936</v>
      </c>
      <c r="HU149" s="65">
        <f t="shared" si="317"/>
        <v>1.1445612197011874</v>
      </c>
      <c r="HV149" s="65">
        <f>IF($J149="",#N/A,SUM(HU$4:$HU149))</f>
        <v>-11.8662245396843</v>
      </c>
    </row>
    <row r="150" spans="1:230" x14ac:dyDescent="0.25">
      <c r="A150" s="51" t="s">
        <v>1466</v>
      </c>
      <c r="B150" s="52" t="s">
        <v>4540</v>
      </c>
      <c r="C150" s="229">
        <f t="shared" si="218"/>
        <v>2</v>
      </c>
      <c r="D150" s="219" t="str">
        <f>_xlfn.XLOOKUP(A150,[1]SP500!$A$2:$A$502,[1]SP500!$D$2:$D$502,"N")</f>
        <v>Y</v>
      </c>
      <c r="E150" s="51" t="str">
        <f>IFERROR(_xlfn.XLOOKUP(A150,[1]SP500!$A$2:$A$655,[1]SP500!$B$2:$B$655),"")</f>
        <v>XLI</v>
      </c>
      <c r="F150" s="290">
        <v>45776</v>
      </c>
      <c r="G150" s="51" t="str">
        <f t="shared" si="219"/>
        <v>BMO</v>
      </c>
      <c r="H150" s="51" t="str">
        <f t="shared" si="220"/>
        <v>s</v>
      </c>
      <c r="I150" s="343">
        <v>115.92</v>
      </c>
      <c r="J150" s="123">
        <v>119</v>
      </c>
      <c r="K150" s="55">
        <f t="shared" si="221"/>
        <v>2.657004830917873E-2</v>
      </c>
      <c r="L150" s="67">
        <f t="shared" si="222"/>
        <v>-27.720000000000027</v>
      </c>
      <c r="M150" s="57">
        <f t="shared" si="223"/>
        <v>0</v>
      </c>
      <c r="N150" s="102">
        <f t="shared" si="224"/>
        <v>-27.720000000000027</v>
      </c>
      <c r="O150" s="57">
        <f>IF(N150="",#N/A,SUM($N$4:N150))</f>
        <v>-365.13863589938751</v>
      </c>
      <c r="P150" s="65">
        <f t="shared" si="318"/>
        <v>-0.44283413848631287</v>
      </c>
      <c r="Q150" s="172">
        <f>IF($N150="",#N/A,SUM($P$4:P150))</f>
        <v>-2.8096922263010486</v>
      </c>
      <c r="R150" s="279">
        <f t="shared" si="225"/>
        <v>5.2349099461274378</v>
      </c>
      <c r="S150" s="51" t="str">
        <f t="shared" si="226"/>
        <v>Dwn</v>
      </c>
      <c r="T150" s="51" t="s">
        <v>4461</v>
      </c>
      <c r="U150" s="56">
        <f t="shared" si="227"/>
        <v>115.92</v>
      </c>
      <c r="V150" s="56" t="s">
        <v>4458</v>
      </c>
      <c r="W150" s="142">
        <v>9</v>
      </c>
      <c r="X150" s="145">
        <f t="shared" si="228"/>
        <v>1043.28</v>
      </c>
      <c r="Y150" s="140">
        <f t="shared" si="229"/>
        <v>9</v>
      </c>
      <c r="Z150" s="123">
        <v>119</v>
      </c>
      <c r="AA150" s="102">
        <f t="shared" si="230"/>
        <v>-27.720000000000027</v>
      </c>
      <c r="AB150" s="102">
        <f t="shared" si="231"/>
        <v>-24.299999999999955</v>
      </c>
      <c r="AC150" s="124">
        <v>118.62</v>
      </c>
      <c r="AD150" s="155">
        <f t="shared" si="232"/>
        <v>-24.299999999999955</v>
      </c>
      <c r="AE150" s="545">
        <f t="shared" si="233"/>
        <v>-0.38819875776397444</v>
      </c>
      <c r="AF150" s="57">
        <f>IF($AC150="",#N/A,SUM(AD$4:AD150))</f>
        <v>-845.86041200241641</v>
      </c>
      <c r="AG150" s="102">
        <f t="shared" si="234"/>
        <v>3.4200000000000728</v>
      </c>
      <c r="AH150" s="56" t="s">
        <v>2507</v>
      </c>
      <c r="AI150" s="65">
        <f t="shared" si="235"/>
        <v>-0.44283413848631287</v>
      </c>
      <c r="AJ150" s="54">
        <f>IF(AI150="",#N/A,SUM($AI$4:AI150))</f>
        <v>-8.0446021724284869</v>
      </c>
      <c r="AK150" s="57">
        <f t="shared" si="236"/>
        <v>-27.720000000000027</v>
      </c>
      <c r="AL150" s="349">
        <f>IF(AI150="",#N/A,IF(AH150="Skip",SUM($AK$4:AK150),SUM($AK$4:AK150)))</f>
        <v>-702.41740850718634</v>
      </c>
      <c r="AM150" s="65">
        <f t="shared" si="319"/>
        <v>-0.38819875776397444</v>
      </c>
      <c r="AN150" s="209"/>
      <c r="AO150" s="65" t="str">
        <f t="shared" si="237"/>
        <v/>
      </c>
      <c r="AP150" s="65">
        <f>IF($AC150="",#N/A,SUM(AO$4:AO150))</f>
        <v>1.7209338963421281</v>
      </c>
      <c r="AQ150" s="65" t="str">
        <f t="shared" si="238"/>
        <v/>
      </c>
      <c r="AR150" s="65">
        <f>IF($AC150="",#N/A,SUM(AQ$4:AQ150))</f>
        <v>-2.6179859771653153</v>
      </c>
      <c r="AS150" s="65">
        <f t="shared" si="239"/>
        <v>-0.38819875776397444</v>
      </c>
      <c r="AT150" s="65">
        <f>IF($AC150="",#N/A,SUM(AS$4:AS150))</f>
        <v>-11.357371216625092</v>
      </c>
      <c r="AU150" s="57" t="str">
        <f t="shared" si="320"/>
        <v/>
      </c>
      <c r="AV150" s="57">
        <f>IF($AC150="",#N/A,SUM(AU$4:AU150))</f>
        <v>26.761206451250359</v>
      </c>
      <c r="AW150" s="57" t="str">
        <f t="shared" si="321"/>
        <v/>
      </c>
      <c r="AX150" s="57">
        <f>IF($AC150="",#N/A,SUM(AW$4:AW150))</f>
        <v>-163.1400000000001</v>
      </c>
      <c r="AY150" s="57">
        <f t="shared" si="322"/>
        <v>-24.299999999999955</v>
      </c>
      <c r="AZ150" s="57">
        <f>IF($AC150="",#N/A,SUM(AY$4:AY150))</f>
        <v>-709.48161845366667</v>
      </c>
      <c r="BA150" s="57">
        <f>IF(AD150="",#N/A,SUM($AD$4:AD150))</f>
        <v>-845.86041200241641</v>
      </c>
      <c r="BC150" s="51" t="str">
        <f t="shared" si="240"/>
        <v/>
      </c>
      <c r="BD150" s="51">
        <f t="shared" si="241"/>
        <v>1</v>
      </c>
      <c r="BE150" s="51" t="str">
        <f t="shared" si="242"/>
        <v/>
      </c>
      <c r="BF150" s="51" t="str">
        <f t="shared" si="243"/>
        <v>Short</v>
      </c>
      <c r="BG150" s="51" t="str">
        <f t="shared" si="244"/>
        <v/>
      </c>
      <c r="BH150" s="51" t="str">
        <f t="shared" si="245"/>
        <v/>
      </c>
      <c r="BI150" s="51" t="str">
        <f t="shared" si="246"/>
        <v/>
      </c>
      <c r="BK150" s="65">
        <f t="shared" si="217"/>
        <v>-1.683842568531177E-2</v>
      </c>
      <c r="BL150" s="65">
        <f t="shared" si="216"/>
        <v>-8.1370666892963681E-4</v>
      </c>
      <c r="BM150" s="65">
        <f>IFERROR(Q150/COUNTA($J$4:J150),#N/A)</f>
        <v>-1.9113552559871079E-2</v>
      </c>
      <c r="BO150" s="489" t="e">
        <f>IF(J150="",#N/A,IF(S150="SW",(COUNTIFS(K$4:$K150,"&gt;0",S$4:$S150,"SW")/COUNTIF(S$4:$S150,"SW")),#N/A))</f>
        <v>#N/A</v>
      </c>
      <c r="BP150" s="489">
        <f>IF($J150="",#N/A,IF($S150="DWN",(COUNTIFS($K$4:$K150,"&lt;0",$S$4:$S150,"DWN")/COUNTIF($S$4:$S150,"DWN")),#N/A))</f>
        <v>0.55555555555555558</v>
      </c>
      <c r="BQ150" s="489" t="e">
        <f>IF($J150="",#N/A,IF($S150="UP",(COUNTIFS($K$4:$K150,"&gt;0",$S$4:$S150,"UP")/COUNTIF($S$4:$S150,"UP")),#N/A))</f>
        <v>#N/A</v>
      </c>
      <c r="BR150" s="489">
        <f>IF(J150="",#N/A,COUNTIF($K$4:K150,"&gt;0")/COUNT($J$4:J150))</f>
        <v>0.45578231292517007</v>
      </c>
      <c r="BS150" s="65" t="str">
        <f t="shared" si="247"/>
        <v/>
      </c>
      <c r="BT150" s="65" t="str">
        <f t="shared" si="248"/>
        <v/>
      </c>
      <c r="BU150" s="65" t="str">
        <f t="shared" si="249"/>
        <v/>
      </c>
      <c r="BV150" s="65">
        <f t="shared" si="250"/>
        <v>-0.44283413848631287</v>
      </c>
      <c r="BW150" s="128" t="str">
        <f t="shared" si="251"/>
        <v/>
      </c>
      <c r="BX150" s="128">
        <f>IF($J150="",#N/A,SUM($BW$4:BW150))</f>
        <v>-205.1650000000003</v>
      </c>
      <c r="BY150" s="131">
        <f t="shared" si="252"/>
        <v>-27.720000000000027</v>
      </c>
      <c r="BZ150" s="131">
        <f>IF($J150="",#N/A,SUM($BY$4:BY150))</f>
        <v>-39.775659610666253</v>
      </c>
      <c r="CA150" s="133" t="str">
        <f t="shared" si="253"/>
        <v/>
      </c>
      <c r="CB150" s="133">
        <f>IF($J150="",#N/A,SUM($CA$4:CA150))</f>
        <v>-120.19797628872095</v>
      </c>
      <c r="CC150" s="194" t="str">
        <f t="shared" si="254"/>
        <v/>
      </c>
      <c r="CD150" s="194">
        <f>IF($J150="",#N/A,SUM($CC$4:CC150))</f>
        <v>-3.1875162177003693</v>
      </c>
      <c r="CE150" s="195">
        <f t="shared" si="255"/>
        <v>-0.44283413848631287</v>
      </c>
      <c r="CF150" s="195">
        <f>IF($J150="",#N/A,SUM($CE$4:CE150))</f>
        <v>0.22039049224317847</v>
      </c>
      <c r="CG150" s="196" t="str">
        <f t="shared" si="256"/>
        <v/>
      </c>
      <c r="CH150" s="193">
        <f>IF($J150="",#N/A,SUM($CG$4:CG150))</f>
        <v>0.15743349915614699</v>
      </c>
      <c r="CI150" s="200" t="str">
        <f t="shared" si="257"/>
        <v/>
      </c>
      <c r="CJ150" s="203">
        <f>IF($J150="",#N/A,SUM(CI$4:CI150))</f>
        <v>0</v>
      </c>
      <c r="CK150" s="204" t="str">
        <f t="shared" si="258"/>
        <v/>
      </c>
      <c r="CL150" s="204">
        <f>IF($J150="",#N/A,SUM(CK$4:CK150))</f>
        <v>0.95905730556970825</v>
      </c>
      <c r="CM150" s="205" t="str">
        <f t="shared" si="259"/>
        <v/>
      </c>
      <c r="CN150" s="205">
        <f>IF($J150="",#N/A,SUM(CM$4:CM150))</f>
        <v>2.2555985727472319</v>
      </c>
      <c r="CO150" s="205">
        <f>IF($J150="",#N/A,SUM(CM$4:CM150,CK$4:CK150,CI$4:CI150))</f>
        <v>3.2146558783169401</v>
      </c>
      <c r="CP150" s="200" t="str">
        <f t="shared" si="260"/>
        <v/>
      </c>
      <c r="CQ150" s="203">
        <f>IF($J150="",#N/A,SUM(CP$4:CP150))</f>
        <v>0</v>
      </c>
      <c r="CR150" s="204" t="str">
        <f t="shared" si="261"/>
        <v/>
      </c>
      <c r="CS150" s="204">
        <f>IF($J150="",#N/A,SUM(CR$4:CR150))</f>
        <v>0</v>
      </c>
      <c r="CT150" s="205" t="str">
        <f t="shared" si="262"/>
        <v/>
      </c>
      <c r="CU150" s="205">
        <f>IF($J150="",#N/A,SUM(CT$4:CT150))</f>
        <v>0</v>
      </c>
      <c r="CV150" s="205">
        <f>IF($J150="",#N/A,SUM(CT$4:CT150,CR$4:CR150,CP$4:CP150))</f>
        <v>0</v>
      </c>
      <c r="CW150" s="200" t="str">
        <f t="shared" si="263"/>
        <v/>
      </c>
      <c r="CX150" s="203">
        <f>IF($J150="",#N/A,SUM(CW$4:CW150))</f>
        <v>0</v>
      </c>
      <c r="CY150" s="204" t="str">
        <f t="shared" si="264"/>
        <v/>
      </c>
      <c r="CZ150" s="204">
        <f>IF($J150="",#N/A,SUM(CY$4:CY150))</f>
        <v>-1.9289529100071134</v>
      </c>
      <c r="DA150" s="205" t="str">
        <f t="shared" si="265"/>
        <v/>
      </c>
      <c r="DB150" s="205">
        <f>IF($J150="",#N/A,SUM(DA$4:DA150))</f>
        <v>3.1364376348577139E-3</v>
      </c>
      <c r="DC150" s="205">
        <f>IF($J150="",#N/A,SUM(DA$4:DA150,CY$4:CY150,CW$4:CW150))</f>
        <v>-1.9258164723722557</v>
      </c>
      <c r="DD150" s="200" t="str">
        <f t="shared" si="266"/>
        <v/>
      </c>
      <c r="DE150" s="203">
        <f>IF($J150="",#N/A,SUM(DD$4:DD150))</f>
        <v>0.14968716170674062</v>
      </c>
      <c r="DF150" s="204" t="str">
        <f t="shared" si="267"/>
        <v/>
      </c>
      <c r="DG150" s="204">
        <f>IF($J150="",#N/A,SUM(DF$4:DF150))</f>
        <v>1.2121188689979676</v>
      </c>
      <c r="DH150" s="205" t="str">
        <f t="shared" si="268"/>
        <v/>
      </c>
      <c r="DI150" s="205">
        <f>IF($J150="",#N/A,SUM(DH$4:DH150))</f>
        <v>-1.4547707265941352</v>
      </c>
      <c r="DJ150" s="205">
        <f>IF($J150="",#N/A,SUM(DH$4:DH150,DF$4:DF150,DD$4:DD150))</f>
        <v>-9.2964695889427046E-2</v>
      </c>
      <c r="DK150" s="200" t="str">
        <f t="shared" si="269"/>
        <v/>
      </c>
      <c r="DL150" s="203">
        <f>IF($J150="",#N/A,SUM(DK$4:DK150))</f>
        <v>-1.2097286851272664</v>
      </c>
      <c r="DM150" s="204" t="str">
        <f t="shared" si="270"/>
        <v/>
      </c>
      <c r="DN150" s="204">
        <f>IF($J150="",#N/A,SUM(DM$4:DM150))</f>
        <v>1.1910608267574658</v>
      </c>
      <c r="DO150" s="205" t="str">
        <f t="shared" si="271"/>
        <v/>
      </c>
      <c r="DP150" s="205">
        <f>IF($J150="",#N/A,SUM(DO$4:DO150))</f>
        <v>1.3495058802125319</v>
      </c>
      <c r="DQ150" s="205">
        <f>IF($J150="",#N/A,SUM(DO$4:DO150,DM$4:DM150,DK$4:DK150))</f>
        <v>1.3308380218427318</v>
      </c>
      <c r="DR150" s="200" t="str">
        <f t="shared" si="272"/>
        <v/>
      </c>
      <c r="DS150" s="203">
        <f>IF($J150="",#N/A,SUM(DR$4:DR150))</f>
        <v>-0.55950946427675097</v>
      </c>
      <c r="DT150" s="204" t="str">
        <f t="shared" si="273"/>
        <v/>
      </c>
      <c r="DU150" s="204">
        <f>IF($J150="",#N/A,SUM(DT$4:DT150))</f>
        <v>-3.5029740333397914</v>
      </c>
      <c r="DV150" s="205" t="str">
        <f t="shared" si="274"/>
        <v/>
      </c>
      <c r="DW150" s="205">
        <f>IF($J150="",#N/A,SUM(DV$4:DV150))</f>
        <v>-2.6814706788983136</v>
      </c>
      <c r="DX150" s="205">
        <f>IF($J150="",#N/A,SUM(DV$4:DV150,DT$4:DT150,DR$4:DR150))</f>
        <v>-6.7439541765148556</v>
      </c>
      <c r="DY150" s="200" t="str">
        <f t="shared" si="275"/>
        <v/>
      </c>
      <c r="DZ150" s="203">
        <f>IF($J150="",#N/A,SUM(DY$4:DY150))</f>
        <v>-1.63480022183437</v>
      </c>
      <c r="EA150" s="204">
        <f t="shared" si="276"/>
        <v>-0.44283413848631287</v>
      </c>
      <c r="EB150" s="204">
        <f>IF($J150="",#N/A,SUM(EA$4:EA150))</f>
        <v>0.35696119766766871</v>
      </c>
      <c r="EC150" s="205" t="str">
        <f t="shared" si="277"/>
        <v/>
      </c>
      <c r="ED150" s="205">
        <f>IF($J150="",#N/A,SUM(EC$4:EC150))</f>
        <v>1.7103671484331777</v>
      </c>
      <c r="EE150" s="205">
        <f>IF($J150="",#N/A,SUM(EC$4:EC150,EA$4:EA150,DY$4:DY150))</f>
        <v>0.43252812426647647</v>
      </c>
      <c r="EF150" s="200" t="str">
        <f t="shared" si="278"/>
        <v/>
      </c>
      <c r="EG150" s="203">
        <f>IF($J150="",#N/A,SUM(EF$4:EF150))</f>
        <v>0</v>
      </c>
      <c r="EH150" s="204" t="str">
        <f t="shared" si="279"/>
        <v/>
      </c>
      <c r="EI150" s="204">
        <f>IF($J150="",#N/A,SUM(EH$4:EH150))</f>
        <v>-1.1184224685150388</v>
      </c>
      <c r="EJ150" s="205" t="str">
        <f t="shared" si="280"/>
        <v/>
      </c>
      <c r="EK150" s="205">
        <f>IF($J150="",#N/A,SUM(EJ$4:EJ150))</f>
        <v>1.7255127285193785</v>
      </c>
      <c r="EL150" s="205">
        <f>IF($J150="",#N/A,SUM(EJ$4:EJ150,EH$4:EH150,EF$4:EF150))</f>
        <v>0.60709026000434052</v>
      </c>
      <c r="EM150" s="200" t="str">
        <f t="shared" si="281"/>
        <v/>
      </c>
      <c r="EN150" s="203">
        <f>IF($J150="",#N/A,SUM(EM$4:EM150))</f>
        <v>0</v>
      </c>
      <c r="EO150" s="204" t="str">
        <f t="shared" si="282"/>
        <v/>
      </c>
      <c r="EP150" s="204">
        <f>IF($J150="",#N/A,SUM(EO$4:EO150))</f>
        <v>1.264716604605848</v>
      </c>
      <c r="EQ150" s="205" t="str">
        <f t="shared" si="283"/>
        <v/>
      </c>
      <c r="ER150" s="205">
        <f>IF($J150="",#N/A,SUM(EQ$4:EQ150))</f>
        <v>0.4926597949853756</v>
      </c>
      <c r="ES150" s="205">
        <f>IF($J150="",#N/A,SUM(EQ$4:EQ150,EO$4:EO150,EM$4:EM150))</f>
        <v>1.757376399591223</v>
      </c>
      <c r="ET150" s="200" t="str">
        <f t="shared" si="284"/>
        <v/>
      </c>
      <c r="EU150" s="203">
        <f>IF($J150="",#N/A,SUM(ET$4:ET150))</f>
        <v>0</v>
      </c>
      <c r="EV150" s="204" t="str">
        <f t="shared" si="285"/>
        <v/>
      </c>
      <c r="EW150" s="204">
        <f>IF($J150="",#N/A,SUM(EV$4:EV150))</f>
        <v>0.90459527759708336</v>
      </c>
      <c r="EX150" s="205" t="str">
        <f t="shared" si="286"/>
        <v/>
      </c>
      <c r="EY150" s="205">
        <f>IF($J150="",#N/A,SUM(EX$4:EX150))</f>
        <v>0.22957553748493481</v>
      </c>
      <c r="EZ150" s="205">
        <f>IF($J150="",#N/A,SUM(EX$4:EX150,EV$4:EV150,ET$4:ET150))</f>
        <v>1.134170815082018</v>
      </c>
      <c r="FA150" s="200" t="str">
        <f t="shared" si="287"/>
        <v/>
      </c>
      <c r="FB150" s="203">
        <f>IF($J150="",#N/A,SUM(FA$4:FA150))</f>
        <v>0</v>
      </c>
      <c r="FC150" s="204" t="str">
        <f t="shared" si="288"/>
        <v/>
      </c>
      <c r="FD150" s="204">
        <f>IF($J150="",#N/A,SUM(FC$4:FC150))</f>
        <v>1.6839191319663924</v>
      </c>
      <c r="FE150" s="205" t="str">
        <f t="shared" si="289"/>
        <v/>
      </c>
      <c r="FF150" s="205">
        <f>IF($J150="",#N/A,SUM(FE$4:FE150))</f>
        <v>-0.28811149078748233</v>
      </c>
      <c r="FG150" s="205">
        <f>IF($J150="",#N/A,SUM(FE$4:FE150,FC$4:FC150,FA$4:FA150))</f>
        <v>1.3958076411789102</v>
      </c>
      <c r="FH150" s="200" t="str">
        <f t="shared" si="290"/>
        <v/>
      </c>
      <c r="FI150" s="203">
        <f>IF($J150="",#N/A,SUM(FH$4:FH150))</f>
        <v>0</v>
      </c>
      <c r="FJ150" s="204" t="str">
        <f t="shared" si="291"/>
        <v/>
      </c>
      <c r="FK150" s="204">
        <f>IF($J150="",#N/A,SUM(FJ$4:FJ150))</f>
        <v>0</v>
      </c>
      <c r="FL150" s="205" t="str">
        <f t="shared" si="292"/>
        <v/>
      </c>
      <c r="FM150" s="205">
        <f>IF($J150="",#N/A,SUM(FL$4:FL150))</f>
        <v>0</v>
      </c>
      <c r="FN150" s="205">
        <f>IF($J150="",#N/A,SUM(FL$4:FL150,FJ$4:FJ150,FH$4:FH150))</f>
        <v>0</v>
      </c>
      <c r="FO150" s="200" t="str">
        <f t="shared" si="293"/>
        <v/>
      </c>
      <c r="FP150" s="203">
        <f>IF($J150="",#N/A,SUM(FO$4:FO150))</f>
        <v>0</v>
      </c>
      <c r="FQ150" s="204" t="str">
        <f t="shared" si="294"/>
        <v/>
      </c>
      <c r="FR150" s="204">
        <f>IF($J150="",#N/A,SUM(FQ$4:FQ150))</f>
        <v>0</v>
      </c>
      <c r="FS150" s="205" t="str">
        <f t="shared" si="295"/>
        <v/>
      </c>
      <c r="FT150" s="205">
        <f>IF($J150="",#N/A,SUM(FS$4:FS150))</f>
        <v>0</v>
      </c>
      <c r="FU150" s="205">
        <f>IF($J150="",#N/A,SUM(FS$4:FS150,FQ$4:FQ150,FO$4:FO150))</f>
        <v>0</v>
      </c>
      <c r="FV150" s="200" t="str">
        <f t="shared" si="296"/>
        <v/>
      </c>
      <c r="FW150" s="203">
        <f>IF($J150="",#N/A,SUM(FV$4:FV150))</f>
        <v>6.6834991831277585E-2</v>
      </c>
      <c r="FX150" s="204" t="str">
        <f t="shared" si="297"/>
        <v/>
      </c>
      <c r="FY150" s="204">
        <f>IF($J150="",#N/A,SUM(FX$4:FX150))</f>
        <v>0</v>
      </c>
      <c r="FZ150" s="205" t="str">
        <f t="shared" si="298"/>
        <v/>
      </c>
      <c r="GA150" s="205">
        <f>IF($J150="",#N/A,SUM(FZ$4:FZ150))</f>
        <v>-0.24773347685909197</v>
      </c>
      <c r="GB150" s="205">
        <f>IF($J150="",#N/A,SUM(FZ$4:FZ150,FX$4:FX150,FV$4:FV150))</f>
        <v>-0.18089848502781439</v>
      </c>
      <c r="GC150" s="200" t="str">
        <f t="shared" si="299"/>
        <v/>
      </c>
      <c r="GD150" s="203">
        <f>IF($J150="",#N/A,SUM(GC$4:GC150))</f>
        <v>0</v>
      </c>
      <c r="GE150" s="204" t="str">
        <f t="shared" si="300"/>
        <v/>
      </c>
      <c r="GF150" s="204">
        <f>IF($J150="",#N/A,SUM(GE$4:GE150))</f>
        <v>0</v>
      </c>
      <c r="GG150" s="205" t="str">
        <f t="shared" si="301"/>
        <v/>
      </c>
      <c r="GH150" s="205">
        <f>IF($J150="",#N/A,SUM(GG$4:GG150))</f>
        <v>-2.9368362277223206</v>
      </c>
      <c r="GI150" s="205">
        <f>IF($J150="",#N/A,SUM(GG$4:GG150,GE$4:GE150,GC$4:GC150))</f>
        <v>-2.9368362277223206</v>
      </c>
      <c r="GJ150" s="200" t="str">
        <f t="shared" si="302"/>
        <v/>
      </c>
      <c r="GK150" s="203">
        <f>IF($J150="",#N/A,SUM(GJ$4:GJ150))</f>
        <v>0</v>
      </c>
      <c r="GL150" s="204" t="str">
        <f t="shared" si="303"/>
        <v/>
      </c>
      <c r="GM150" s="204">
        <f>IF($J150="",#N/A,SUM(GL$4:GL150))</f>
        <v>-0.80168930905701452</v>
      </c>
      <c r="GN150" s="205" t="str">
        <f t="shared" si="304"/>
        <v/>
      </c>
      <c r="GO150" s="205">
        <f>IF($J150="",#N/A,SUM(GN$4:GN150))</f>
        <v>0</v>
      </c>
      <c r="GP150" s="205">
        <f>IF($J150="",#N/A,SUM(GN$4:GN150,GL$4:GL150,GJ$4:GJ150))</f>
        <v>-0.80168930905701452</v>
      </c>
      <c r="GS150" s="54">
        <f t="shared" si="323"/>
        <v>-0.44283413848631287</v>
      </c>
      <c r="GT150" s="54">
        <f>IF(GS150="",NA(),SUM($GS$4:GS150))</f>
        <v>-3.2383703672474184</v>
      </c>
      <c r="GU150" s="54" t="str">
        <f t="shared" si="305"/>
        <v/>
      </c>
      <c r="GV150" s="54" t="e">
        <f>IF(GU150="",NA(),SUM($GU$4:GU150))</f>
        <v>#N/A</v>
      </c>
      <c r="GW150" s="54" t="str">
        <f t="shared" si="306"/>
        <v/>
      </c>
      <c r="GX150" s="54" t="e">
        <f>IF(GW150="",NA(),SUM($GW$4:GW150))</f>
        <v>#N/A</v>
      </c>
      <c r="GY150" s="54">
        <f t="shared" si="307"/>
        <v>-0.44283413848631287</v>
      </c>
      <c r="GZ150" s="54">
        <f>IF(GY150="",NA(),SUM($GY$4:GY150))</f>
        <v>-6.2988357759082292E-3</v>
      </c>
      <c r="HA150" s="54" t="str">
        <f t="shared" si="308"/>
        <v/>
      </c>
      <c r="HB150" s="54" t="e">
        <f>IF(HA150="",NA(),SUM($HA$4:HA150))</f>
        <v>#N/A</v>
      </c>
      <c r="HC150" s="54" t="str">
        <f t="shared" si="309"/>
        <v/>
      </c>
      <c r="HD150" s="54" t="e">
        <f>IF(HC150="",NA(),SUM($HC$4:HC150))</f>
        <v>#N/A</v>
      </c>
      <c r="HE150" s="54" t="str">
        <f t="shared" si="310"/>
        <v/>
      </c>
      <c r="HF150" s="54" t="e">
        <f>IF(HE150="",NA(),SUM($HE$4:HE150))</f>
        <v>#N/A</v>
      </c>
      <c r="HG150" s="54" t="str">
        <f t="shared" si="311"/>
        <v/>
      </c>
      <c r="HH150" s="54" t="e">
        <f>IF(HG150="",NA(),SUM($HG$4:HG150))</f>
        <v>#N/A</v>
      </c>
      <c r="HI150" s="172" t="str">
        <f t="shared" si="324"/>
        <v/>
      </c>
      <c r="HJ150" s="172">
        <f>IF($J150="",#N/A,SUM(HI$4:$HI150))</f>
        <v>-6.2107003994886369</v>
      </c>
      <c r="HK150" s="54">
        <f t="shared" si="312"/>
        <v>5.4635380722338422E-2</v>
      </c>
      <c r="HL150" s="54">
        <f>IF($J150="",#N/A,SUM($HK$4:HK150))</f>
        <v>-5.3670613093796291</v>
      </c>
      <c r="HM150" s="54" t="str">
        <f t="shared" si="313"/>
        <v/>
      </c>
      <c r="HN150" s="54">
        <f>IF($J150="",#N/A,SUM($HM$4:HM150))</f>
        <v>0.71812545963587882</v>
      </c>
      <c r="HO150" s="54" t="str">
        <f t="shared" si="314"/>
        <v/>
      </c>
      <c r="HP150" s="54">
        <f>IF($J150="",#N/A,SUM($HO$4:HO150))</f>
        <v>-0.14859521910082485</v>
      </c>
      <c r="HQ150" s="54" t="str">
        <f t="shared" si="315"/>
        <v/>
      </c>
      <c r="HR150" s="54">
        <f>IF($J150="",#N/A,SUM($HQ$4:HQ150))</f>
        <v>-7.3390769661523079</v>
      </c>
      <c r="HS150" s="54" t="str">
        <f t="shared" si="316"/>
        <v/>
      </c>
      <c r="HT150" s="54">
        <f>IF($J150="",#N/A,SUM($HS$4:HS150))</f>
        <v>8.9025773633382936</v>
      </c>
      <c r="HU150" s="65">
        <f t="shared" si="317"/>
        <v>-0.38819875776397444</v>
      </c>
      <c r="HV150" s="65">
        <f>IF($J150="",#N/A,SUM(HU$4:$HU150))</f>
        <v>-12.254423297448275</v>
      </c>
    </row>
    <row r="151" spans="1:230" x14ac:dyDescent="0.25">
      <c r="A151" s="51" t="s">
        <v>1314</v>
      </c>
      <c r="B151" s="52" t="s">
        <v>4540</v>
      </c>
      <c r="C151" s="229">
        <f t="shared" si="218"/>
        <v>2</v>
      </c>
      <c r="D151" s="219" t="str">
        <f>_xlfn.XLOOKUP(A151,[1]SP500!$A$2:$A$502,[1]SP500!$D$2:$D$502,"N")</f>
        <v>Y</v>
      </c>
      <c r="E151" s="51" t="str">
        <f>IFERROR(_xlfn.XLOOKUP(A151,[1]SP500!$A$2:$A$655,[1]SP500!$B$2:$B$655),"")</f>
        <v>XLI</v>
      </c>
      <c r="F151" s="290">
        <v>45776</v>
      </c>
      <c r="G151" s="51" t="str">
        <f t="shared" si="219"/>
        <v>BMO</v>
      </c>
      <c r="H151" s="51" t="str">
        <f t="shared" si="220"/>
        <v>s</v>
      </c>
      <c r="I151" s="343">
        <v>200.66</v>
      </c>
      <c r="J151" s="123">
        <v>207.45</v>
      </c>
      <c r="K151" s="55">
        <f t="shared" si="221"/>
        <v>3.383833349945177E-2</v>
      </c>
      <c r="L151" s="67">
        <f t="shared" si="222"/>
        <v>-33.950000000000045</v>
      </c>
      <c r="M151" s="57">
        <f t="shared" si="223"/>
        <v>0</v>
      </c>
      <c r="N151" s="102">
        <f t="shared" si="224"/>
        <v>-33.950000000000045</v>
      </c>
      <c r="O151" s="57">
        <f>IF(N151="",#N/A,SUM($N$4:N151))</f>
        <v>-399.08863589938755</v>
      </c>
      <c r="P151" s="65">
        <f t="shared" si="318"/>
        <v>-0.5639722249908643</v>
      </c>
      <c r="Q151" s="172">
        <f>IF($N151="",#N/A,SUM($P$4:P151))</f>
        <v>-3.3736644512919129</v>
      </c>
      <c r="R151" s="279">
        <f t="shared" si="225"/>
        <v>5.2349099461274387</v>
      </c>
      <c r="S151" s="51" t="str">
        <f t="shared" si="226"/>
        <v>Dwn</v>
      </c>
      <c r="T151" s="51" t="s">
        <v>4461</v>
      </c>
      <c r="U151" s="56">
        <f t="shared" si="227"/>
        <v>200.66</v>
      </c>
      <c r="V151" s="56" t="s">
        <v>4458</v>
      </c>
      <c r="W151" s="142">
        <v>5</v>
      </c>
      <c r="X151" s="145">
        <f t="shared" si="228"/>
        <v>1003.3</v>
      </c>
      <c r="Y151" s="274">
        <f t="shared" si="229"/>
        <v>5</v>
      </c>
      <c r="Z151" s="123">
        <v>207.45</v>
      </c>
      <c r="AA151" s="102">
        <f t="shared" si="230"/>
        <v>-33.950000000000045</v>
      </c>
      <c r="AB151" s="102">
        <f t="shared" si="231"/>
        <v>-54.150000000000091</v>
      </c>
      <c r="AC151" s="124">
        <v>211.49</v>
      </c>
      <c r="AD151" s="155">
        <f t="shared" si="232"/>
        <v>-54.150000000000091</v>
      </c>
      <c r="AE151" s="545">
        <f t="shared" si="233"/>
        <v>-0.89953154589853646</v>
      </c>
      <c r="AF151" s="57">
        <f>IF($AC151="",#N/A,SUM(AD$4:AD151))</f>
        <v>-900.0104120024165</v>
      </c>
      <c r="AG151" s="102">
        <f t="shared" si="234"/>
        <v>-20.200000000000045</v>
      </c>
      <c r="AH151" s="56" t="s">
        <v>2507</v>
      </c>
      <c r="AI151" s="65">
        <f t="shared" si="235"/>
        <v>-0.5639722249908643</v>
      </c>
      <c r="AJ151" s="350">
        <f>IF(AI151="",#N/A,SUM($AI$4:AI151))</f>
        <v>-8.6085743974193516</v>
      </c>
      <c r="AK151" s="57">
        <f t="shared" si="236"/>
        <v>-33.950000000000045</v>
      </c>
      <c r="AL151" s="349">
        <f>IF(AI151="",#N/A,IF(AH151="Skip",SUM($AK$4:AK151),SUM($AK$4:AK151)))</f>
        <v>-736.36740850718638</v>
      </c>
      <c r="AM151" s="65">
        <f t="shared" si="319"/>
        <v>-0.89953154589853646</v>
      </c>
      <c r="AN151" s="209"/>
      <c r="AO151" s="65" t="str">
        <f t="shared" si="237"/>
        <v/>
      </c>
      <c r="AP151" s="65">
        <f>IF($AC151="",#N/A,SUM(AO$4:AO151))</f>
        <v>1.7209338963421281</v>
      </c>
      <c r="AQ151" s="65" t="str">
        <f t="shared" si="238"/>
        <v/>
      </c>
      <c r="AR151" s="65">
        <f>IF($AC151="",#N/A,SUM(AQ$4:AQ151))</f>
        <v>-2.6179859771653153</v>
      </c>
      <c r="AS151" s="65">
        <f t="shared" si="239"/>
        <v>-0.89953154589853646</v>
      </c>
      <c r="AT151" s="65">
        <f>IF($AC151="",#N/A,SUM(AS$4:AS151))</f>
        <v>-12.256902762523628</v>
      </c>
      <c r="AU151" s="57" t="str">
        <f t="shared" si="320"/>
        <v/>
      </c>
      <c r="AV151" s="57">
        <f>IF($AC151="",#N/A,SUM(AU$4:AU151))</f>
        <v>26.761206451250359</v>
      </c>
      <c r="AW151" s="57" t="str">
        <f t="shared" si="321"/>
        <v/>
      </c>
      <c r="AX151" s="57">
        <f>IF($AC151="",#N/A,SUM(AW$4:AW151))</f>
        <v>-163.1400000000001</v>
      </c>
      <c r="AY151" s="57">
        <f t="shared" si="322"/>
        <v>-54.150000000000091</v>
      </c>
      <c r="AZ151" s="57">
        <f>IF($AC151="",#N/A,SUM(AY$4:AY151))</f>
        <v>-763.63161845366676</v>
      </c>
      <c r="BA151" s="57">
        <f>IF(AD151="",#N/A,SUM($AD$4:AD151))</f>
        <v>-900.0104120024165</v>
      </c>
      <c r="BC151" s="51" t="str">
        <f t="shared" si="240"/>
        <v/>
      </c>
      <c r="BD151" s="51">
        <f t="shared" si="241"/>
        <v>1</v>
      </c>
      <c r="BE151" s="51" t="str">
        <f t="shared" si="242"/>
        <v/>
      </c>
      <c r="BF151" s="51" t="str">
        <f t="shared" si="243"/>
        <v>Short</v>
      </c>
      <c r="BG151" s="51" t="str">
        <f t="shared" si="244"/>
        <v/>
      </c>
      <c r="BH151" s="51" t="str">
        <f t="shared" si="245"/>
        <v/>
      </c>
      <c r="BI151" s="51" t="str">
        <f t="shared" si="246"/>
        <v/>
      </c>
      <c r="BK151" s="65">
        <f t="shared" si="217"/>
        <v>-2.061474388250293E-2</v>
      </c>
      <c r="BL151" s="65">
        <f t="shared" si="216"/>
        <v>-1.0696698735678502E-2</v>
      </c>
      <c r="BM151" s="65">
        <f>IFERROR(Q151/COUNTA($J$4:J151),#N/A)</f>
        <v>-2.2795030076296709E-2</v>
      </c>
      <c r="BO151" s="489" t="e">
        <f>IF(J151="",#N/A,IF(S151="SW",(COUNTIFS(K$4:$K151,"&gt;0",S$4:$S151,"SW")/COUNTIF(S$4:$S151,"SW")),#N/A))</f>
        <v>#N/A</v>
      </c>
      <c r="BP151" s="489">
        <f>IF($J151="",#N/A,IF($S151="DWN",(COUNTIFS($K$4:$K151,"&lt;0",$S$4:$S151,"DWN")/COUNTIF($S$4:$S151,"DWN")),#N/A))</f>
        <v>0.546875</v>
      </c>
      <c r="BQ151" s="489" t="e">
        <f>IF($J151="",#N/A,IF($S151="UP",(COUNTIFS($K$4:$K151,"&gt;0",$S$4:$S151,"UP")/COUNTIF($S$4:$S151,"UP")),#N/A))</f>
        <v>#N/A</v>
      </c>
      <c r="BR151" s="489">
        <f>IF(J151="",#N/A,COUNTIF($K$4:K151,"&gt;0")/COUNT($J$4:J151))</f>
        <v>0.45945945945945948</v>
      </c>
      <c r="BS151" s="65" t="str">
        <f t="shared" si="247"/>
        <v/>
      </c>
      <c r="BT151" s="65" t="str">
        <f t="shared" si="248"/>
        <v/>
      </c>
      <c r="BU151" s="65" t="str">
        <f t="shared" si="249"/>
        <v/>
      </c>
      <c r="BV151" s="65">
        <f t="shared" si="250"/>
        <v>-0.5639722249908643</v>
      </c>
      <c r="BW151" s="128" t="str">
        <f t="shared" si="251"/>
        <v/>
      </c>
      <c r="BX151" s="128">
        <f>IF($J151="",#N/A,SUM($BW$4:BW151))</f>
        <v>-205.1650000000003</v>
      </c>
      <c r="BY151" s="131">
        <f t="shared" si="252"/>
        <v>-33.950000000000045</v>
      </c>
      <c r="BZ151" s="131">
        <f>IF($J151="",#N/A,SUM($BY$4:BY151))</f>
        <v>-73.725659610666298</v>
      </c>
      <c r="CA151" s="133" t="str">
        <f t="shared" si="253"/>
        <v/>
      </c>
      <c r="CB151" s="133">
        <f>IF($J151="",#N/A,SUM($CA$4:CA151))</f>
        <v>-120.19797628872095</v>
      </c>
      <c r="CC151" s="194" t="str">
        <f t="shared" si="254"/>
        <v/>
      </c>
      <c r="CD151" s="194">
        <f>IF($J151="",#N/A,SUM($CC$4:CC151))</f>
        <v>-3.1875162177003693</v>
      </c>
      <c r="CE151" s="195">
        <f t="shared" si="255"/>
        <v>-0.5639722249908643</v>
      </c>
      <c r="CF151" s="195">
        <f>IF($J151="",#N/A,SUM($CE$4:CE151))</f>
        <v>-0.34358173274768583</v>
      </c>
      <c r="CG151" s="196" t="str">
        <f t="shared" si="256"/>
        <v/>
      </c>
      <c r="CH151" s="196">
        <f>IF($J151="",#N/A,SUM($CG$4:CG151))</f>
        <v>0.15743349915614699</v>
      </c>
      <c r="CI151" s="200" t="str">
        <f t="shared" si="257"/>
        <v/>
      </c>
      <c r="CJ151" s="203">
        <f>IF($J151="",#N/A,SUM(CI$4:CI151))</f>
        <v>0</v>
      </c>
      <c r="CK151" s="204" t="str">
        <f t="shared" si="258"/>
        <v/>
      </c>
      <c r="CL151" s="204">
        <f>IF($J151="",#N/A,SUM(CK$4:CK151))</f>
        <v>0.95905730556970825</v>
      </c>
      <c r="CM151" s="205" t="str">
        <f t="shared" si="259"/>
        <v/>
      </c>
      <c r="CN151" s="205">
        <f>IF($J151="",#N/A,SUM(CM$4:CM151))</f>
        <v>2.2555985727472319</v>
      </c>
      <c r="CO151" s="205">
        <f>IF($J151="",#N/A,SUM(CM$4:CM151,CK$4:CK151,CI$4:CI151))</f>
        <v>3.2146558783169401</v>
      </c>
      <c r="CP151" s="200" t="str">
        <f t="shared" si="260"/>
        <v/>
      </c>
      <c r="CQ151" s="203">
        <f>IF($J151="",#N/A,SUM(CP$4:CP151))</f>
        <v>0</v>
      </c>
      <c r="CR151" s="204" t="str">
        <f t="shared" si="261"/>
        <v/>
      </c>
      <c r="CS151" s="204">
        <f>IF($J151="",#N/A,SUM(CR$4:CR151))</f>
        <v>0</v>
      </c>
      <c r="CT151" s="205" t="str">
        <f t="shared" si="262"/>
        <v/>
      </c>
      <c r="CU151" s="205">
        <f>IF($J151="",#N/A,SUM(CT$4:CT151))</f>
        <v>0</v>
      </c>
      <c r="CV151" s="205">
        <f>IF($J151="",#N/A,SUM(CT$4:CT151,CR$4:CR151,CP$4:CP151))</f>
        <v>0</v>
      </c>
      <c r="CW151" s="200" t="str">
        <f t="shared" si="263"/>
        <v/>
      </c>
      <c r="CX151" s="203">
        <f>IF($J151="",#N/A,SUM(CW$4:CW151))</f>
        <v>0</v>
      </c>
      <c r="CY151" s="204" t="str">
        <f t="shared" si="264"/>
        <v/>
      </c>
      <c r="CZ151" s="204">
        <f>IF($J151="",#N/A,SUM(CY$4:CY151))</f>
        <v>-1.9289529100071134</v>
      </c>
      <c r="DA151" s="205" t="str">
        <f t="shared" si="265"/>
        <v/>
      </c>
      <c r="DB151" s="205">
        <f>IF($J151="",#N/A,SUM(DA$4:DA151))</f>
        <v>3.1364376348577139E-3</v>
      </c>
      <c r="DC151" s="205">
        <f>IF($J151="",#N/A,SUM(DA$4:DA151,CY$4:CY151,CW$4:CW151))</f>
        <v>-1.9258164723722557</v>
      </c>
      <c r="DD151" s="200" t="str">
        <f t="shared" si="266"/>
        <v/>
      </c>
      <c r="DE151" s="203">
        <f>IF($J151="",#N/A,SUM(DD$4:DD151))</f>
        <v>0.14968716170674062</v>
      </c>
      <c r="DF151" s="204" t="str">
        <f t="shared" si="267"/>
        <v/>
      </c>
      <c r="DG151" s="204">
        <f>IF($J151="",#N/A,SUM(DF$4:DF151))</f>
        <v>1.2121188689979676</v>
      </c>
      <c r="DH151" s="205" t="str">
        <f t="shared" si="268"/>
        <v/>
      </c>
      <c r="DI151" s="205">
        <f>IF($J151="",#N/A,SUM(DH$4:DH151))</f>
        <v>-1.4547707265941352</v>
      </c>
      <c r="DJ151" s="205">
        <f>IF($J151="",#N/A,SUM(DH$4:DH151,DF$4:DF151,DD$4:DD151))</f>
        <v>-9.2964695889427046E-2</v>
      </c>
      <c r="DK151" s="200" t="str">
        <f t="shared" si="269"/>
        <v/>
      </c>
      <c r="DL151" s="203">
        <f>IF($J151="",#N/A,SUM(DK$4:DK151))</f>
        <v>-1.2097286851272664</v>
      </c>
      <c r="DM151" s="204" t="str">
        <f t="shared" si="270"/>
        <v/>
      </c>
      <c r="DN151" s="204">
        <f>IF($J151="",#N/A,SUM(DM$4:DM151))</f>
        <v>1.1910608267574658</v>
      </c>
      <c r="DO151" s="205" t="str">
        <f t="shared" si="271"/>
        <v/>
      </c>
      <c r="DP151" s="205">
        <f>IF($J151="",#N/A,SUM(DO$4:DO151))</f>
        <v>1.3495058802125319</v>
      </c>
      <c r="DQ151" s="205">
        <f>IF($J151="",#N/A,SUM(DO$4:DO151,DM$4:DM151,DK$4:DK151))</f>
        <v>1.3308380218427318</v>
      </c>
      <c r="DR151" s="200" t="str">
        <f t="shared" si="272"/>
        <v/>
      </c>
      <c r="DS151" s="203">
        <f>IF($J151="",#N/A,SUM(DR$4:DR151))</f>
        <v>-0.55950946427675097</v>
      </c>
      <c r="DT151" s="204" t="str">
        <f t="shared" si="273"/>
        <v/>
      </c>
      <c r="DU151" s="204">
        <f>IF($J151="",#N/A,SUM(DT$4:DT151))</f>
        <v>-3.5029740333397914</v>
      </c>
      <c r="DV151" s="205" t="str">
        <f t="shared" si="274"/>
        <v/>
      </c>
      <c r="DW151" s="205">
        <f>IF($J151="",#N/A,SUM(DV$4:DV151))</f>
        <v>-2.6814706788983136</v>
      </c>
      <c r="DX151" s="205">
        <f>IF($J151="",#N/A,SUM(DV$4:DV151,DT$4:DT151,DR$4:DR151))</f>
        <v>-6.7439541765148556</v>
      </c>
      <c r="DY151" s="200" t="str">
        <f t="shared" si="275"/>
        <v/>
      </c>
      <c r="DZ151" s="203">
        <f>IF($J151="",#N/A,SUM(DY$4:DY151))</f>
        <v>-1.63480022183437</v>
      </c>
      <c r="EA151" s="204">
        <f t="shared" si="276"/>
        <v>-0.5639722249908643</v>
      </c>
      <c r="EB151" s="204">
        <f>IF($J151="",#N/A,SUM(EA$4:EA151))</f>
        <v>-0.2070110273231956</v>
      </c>
      <c r="EC151" s="205" t="str">
        <f t="shared" si="277"/>
        <v/>
      </c>
      <c r="ED151" s="205">
        <f>IF($J151="",#N/A,SUM(EC$4:EC151))</f>
        <v>1.7103671484331777</v>
      </c>
      <c r="EE151" s="205">
        <f>IF($J151="",#N/A,SUM(EC$4:EC151,EA$4:EA151,DY$4:DY151))</f>
        <v>-0.13144410072438789</v>
      </c>
      <c r="EF151" s="200" t="str">
        <f t="shared" si="278"/>
        <v/>
      </c>
      <c r="EG151" s="203">
        <f>IF($J151="",#N/A,SUM(EF$4:EF151))</f>
        <v>0</v>
      </c>
      <c r="EH151" s="204" t="str">
        <f t="shared" si="279"/>
        <v/>
      </c>
      <c r="EI151" s="204">
        <f>IF($J151="",#N/A,SUM(EH$4:EH151))</f>
        <v>-1.1184224685150388</v>
      </c>
      <c r="EJ151" s="205" t="str">
        <f t="shared" si="280"/>
        <v/>
      </c>
      <c r="EK151" s="205">
        <f>IF($J151="",#N/A,SUM(EJ$4:EJ151))</f>
        <v>1.7255127285193785</v>
      </c>
      <c r="EL151" s="205">
        <f>IF($J151="",#N/A,SUM(EJ$4:EJ151,EH$4:EH151,EF$4:EF151))</f>
        <v>0.60709026000434052</v>
      </c>
      <c r="EM151" s="200" t="str">
        <f t="shared" si="281"/>
        <v/>
      </c>
      <c r="EN151" s="203">
        <f>IF($J151="",#N/A,SUM(EM$4:EM151))</f>
        <v>0</v>
      </c>
      <c r="EO151" s="204" t="str">
        <f t="shared" si="282"/>
        <v/>
      </c>
      <c r="EP151" s="204">
        <f>IF($J151="",#N/A,SUM(EO$4:EO151))</f>
        <v>1.264716604605848</v>
      </c>
      <c r="EQ151" s="205" t="str">
        <f t="shared" si="283"/>
        <v/>
      </c>
      <c r="ER151" s="205">
        <f>IF($J151="",#N/A,SUM(EQ$4:EQ151))</f>
        <v>0.4926597949853756</v>
      </c>
      <c r="ES151" s="205">
        <f>IF($J151="",#N/A,SUM(EQ$4:EQ151,EO$4:EO151,EM$4:EM151))</f>
        <v>1.757376399591223</v>
      </c>
      <c r="ET151" s="200" t="str">
        <f t="shared" si="284"/>
        <v/>
      </c>
      <c r="EU151" s="203">
        <f>IF($J151="",#N/A,SUM(ET$4:ET151))</f>
        <v>0</v>
      </c>
      <c r="EV151" s="204" t="str">
        <f t="shared" si="285"/>
        <v/>
      </c>
      <c r="EW151" s="204">
        <f>IF($J151="",#N/A,SUM(EV$4:EV151))</f>
        <v>0.90459527759708336</v>
      </c>
      <c r="EX151" s="205" t="str">
        <f t="shared" si="286"/>
        <v/>
      </c>
      <c r="EY151" s="205">
        <f>IF($J151="",#N/A,SUM(EX$4:EX151))</f>
        <v>0.22957553748493481</v>
      </c>
      <c r="EZ151" s="205">
        <f>IF($J151="",#N/A,SUM(EX$4:EX151,EV$4:EV151,ET$4:ET151))</f>
        <v>1.134170815082018</v>
      </c>
      <c r="FA151" s="200" t="str">
        <f t="shared" si="287"/>
        <v/>
      </c>
      <c r="FB151" s="203">
        <f>IF($J151="",#N/A,SUM(FA$4:FA151))</f>
        <v>0</v>
      </c>
      <c r="FC151" s="204" t="str">
        <f t="shared" si="288"/>
        <v/>
      </c>
      <c r="FD151" s="204">
        <f>IF($J151="",#N/A,SUM(FC$4:FC151))</f>
        <v>1.6839191319663924</v>
      </c>
      <c r="FE151" s="205" t="str">
        <f t="shared" si="289"/>
        <v/>
      </c>
      <c r="FF151" s="205">
        <f>IF($J151="",#N/A,SUM(FE$4:FE151))</f>
        <v>-0.28811149078748233</v>
      </c>
      <c r="FG151" s="205">
        <f>IF($J151="",#N/A,SUM(FE$4:FE151,FC$4:FC151,FA$4:FA151))</f>
        <v>1.3958076411789102</v>
      </c>
      <c r="FH151" s="200" t="str">
        <f t="shared" si="290"/>
        <v/>
      </c>
      <c r="FI151" s="203">
        <f>IF($J151="",#N/A,SUM(FH$4:FH151))</f>
        <v>0</v>
      </c>
      <c r="FJ151" s="204" t="str">
        <f t="shared" si="291"/>
        <v/>
      </c>
      <c r="FK151" s="204">
        <f>IF($J151="",#N/A,SUM(FJ$4:FJ151))</f>
        <v>0</v>
      </c>
      <c r="FL151" s="205" t="str">
        <f t="shared" si="292"/>
        <v/>
      </c>
      <c r="FM151" s="205">
        <f>IF($J151="",#N/A,SUM(FL$4:FL151))</f>
        <v>0</v>
      </c>
      <c r="FN151" s="205">
        <f>IF($J151="",#N/A,SUM(FL$4:FL151,FJ$4:FJ151,FH$4:FH151))</f>
        <v>0</v>
      </c>
      <c r="FO151" s="200" t="str">
        <f t="shared" si="293"/>
        <v/>
      </c>
      <c r="FP151" s="203">
        <f>IF($J151="",#N/A,SUM(FO$4:FO151))</f>
        <v>0</v>
      </c>
      <c r="FQ151" s="204" t="str">
        <f t="shared" si="294"/>
        <v/>
      </c>
      <c r="FR151" s="204">
        <f>IF($J151="",#N/A,SUM(FQ$4:FQ151))</f>
        <v>0</v>
      </c>
      <c r="FS151" s="205" t="str">
        <f t="shared" si="295"/>
        <v/>
      </c>
      <c r="FT151" s="205">
        <f>IF($J151="",#N/A,SUM(FS$4:FS151))</f>
        <v>0</v>
      </c>
      <c r="FU151" s="205">
        <f>IF($J151="",#N/A,SUM(FS$4:FS151,FQ$4:FQ151,FO$4:FO151))</f>
        <v>0</v>
      </c>
      <c r="FV151" s="200" t="str">
        <f t="shared" si="296"/>
        <v/>
      </c>
      <c r="FW151" s="203">
        <f>IF($J151="",#N/A,SUM(FV$4:FV151))</f>
        <v>6.6834991831277585E-2</v>
      </c>
      <c r="FX151" s="204" t="str">
        <f t="shared" si="297"/>
        <v/>
      </c>
      <c r="FY151" s="204">
        <f>IF($J151="",#N/A,SUM(FX$4:FX151))</f>
        <v>0</v>
      </c>
      <c r="FZ151" s="205" t="str">
        <f t="shared" si="298"/>
        <v/>
      </c>
      <c r="GA151" s="205">
        <f>IF($J151="",#N/A,SUM(FZ$4:FZ151))</f>
        <v>-0.24773347685909197</v>
      </c>
      <c r="GB151" s="205">
        <f>IF($J151="",#N/A,SUM(FZ$4:FZ151,FX$4:FX151,FV$4:FV151))</f>
        <v>-0.18089848502781439</v>
      </c>
      <c r="GC151" s="200" t="str">
        <f t="shared" si="299"/>
        <v/>
      </c>
      <c r="GD151" s="203">
        <f>IF($J151="",#N/A,SUM(GC$4:GC151))</f>
        <v>0</v>
      </c>
      <c r="GE151" s="204" t="str">
        <f t="shared" si="300"/>
        <v/>
      </c>
      <c r="GF151" s="204">
        <f>IF($J151="",#N/A,SUM(GE$4:GE151))</f>
        <v>0</v>
      </c>
      <c r="GG151" s="205" t="str">
        <f t="shared" si="301"/>
        <v/>
      </c>
      <c r="GH151" s="205">
        <f>IF($J151="",#N/A,SUM(GG$4:GG151))</f>
        <v>-2.9368362277223206</v>
      </c>
      <c r="GI151" s="205">
        <f>IF($J151="",#N/A,SUM(GG$4:GG151,GE$4:GE151,GC$4:GC151))</f>
        <v>-2.9368362277223206</v>
      </c>
      <c r="GJ151" s="200" t="str">
        <f t="shared" si="302"/>
        <v/>
      </c>
      <c r="GK151" s="203">
        <f>IF($J151="",#N/A,SUM(GJ$4:GJ151))</f>
        <v>0</v>
      </c>
      <c r="GL151" s="204" t="str">
        <f t="shared" si="303"/>
        <v/>
      </c>
      <c r="GM151" s="204">
        <f>IF($J151="",#N/A,SUM(GL$4:GL151))</f>
        <v>-0.80168930905701452</v>
      </c>
      <c r="GN151" s="205" t="str">
        <f t="shared" si="304"/>
        <v/>
      </c>
      <c r="GO151" s="205">
        <f>IF($J151="",#N/A,SUM(GN$4:GN151))</f>
        <v>0</v>
      </c>
      <c r="GP151" s="205">
        <f>IF($J151="",#N/A,SUM(GN$4:GN151,GL$4:GL151,GJ$4:GJ151))</f>
        <v>-0.80168930905701452</v>
      </c>
      <c r="GS151" s="54">
        <f t="shared" si="323"/>
        <v>-0.5639722249908643</v>
      </c>
      <c r="GT151" s="54">
        <f>IF(GS151="",NA(),SUM($GS$4:GS151))</f>
        <v>-3.8023425922382827</v>
      </c>
      <c r="GU151" s="54" t="str">
        <f t="shared" si="305"/>
        <v/>
      </c>
      <c r="GV151" s="54" t="e">
        <f>IF(GU151="",NA(),SUM($GU$4:GU151))</f>
        <v>#N/A</v>
      </c>
      <c r="GW151" s="54" t="str">
        <f t="shared" si="306"/>
        <v/>
      </c>
      <c r="GX151" s="54" t="e">
        <f>IF(GW151="",NA(),SUM($GW$4:GW151))</f>
        <v>#N/A</v>
      </c>
      <c r="GY151" s="54">
        <f t="shared" si="307"/>
        <v>-0.5639722249908643</v>
      </c>
      <c r="GZ151" s="54">
        <f>IF(GY151="",NA(),SUM($GY$4:GY151))</f>
        <v>-0.57027106076677248</v>
      </c>
      <c r="HA151" s="54" t="str">
        <f t="shared" si="308"/>
        <v/>
      </c>
      <c r="HB151" s="54" t="e">
        <f>IF(HA151="",NA(),SUM($HA$4:HA151))</f>
        <v>#N/A</v>
      </c>
      <c r="HC151" s="54" t="str">
        <f t="shared" si="309"/>
        <v/>
      </c>
      <c r="HD151" s="54" t="e">
        <f>IF(HC151="",NA(),SUM($HC$4:HC151))</f>
        <v>#N/A</v>
      </c>
      <c r="HE151" s="54" t="str">
        <f t="shared" si="310"/>
        <v/>
      </c>
      <c r="HF151" s="54" t="e">
        <f>IF(HE151="",NA(),SUM($HE$4:HE151))</f>
        <v>#N/A</v>
      </c>
      <c r="HG151" s="54" t="str">
        <f t="shared" si="311"/>
        <v/>
      </c>
      <c r="HH151" s="54" t="e">
        <f>IF(HG151="",NA(),SUM($HG$4:HG151))</f>
        <v>#N/A</v>
      </c>
      <c r="HI151" s="172" t="str">
        <f t="shared" si="324"/>
        <v/>
      </c>
      <c r="HJ151" s="172">
        <f>IF($J151="",#N/A,SUM(HI$4:$HI151))</f>
        <v>-6.2107003994886369</v>
      </c>
      <c r="HK151" s="54">
        <f t="shared" si="312"/>
        <v>-0.33555932090767215</v>
      </c>
      <c r="HL151" s="54">
        <f>IF($J151="",#N/A,SUM($HK$4:HK151))</f>
        <v>-5.702620630287301</v>
      </c>
      <c r="HM151" s="54" t="str">
        <f t="shared" si="313"/>
        <v/>
      </c>
      <c r="HN151" s="54">
        <f>IF($J151="",#N/A,SUM($HM$4:HM151))</f>
        <v>0.71812545963587882</v>
      </c>
      <c r="HO151" s="54" t="str">
        <f t="shared" si="314"/>
        <v/>
      </c>
      <c r="HP151" s="54">
        <f>IF($J151="",#N/A,SUM($HO$4:HO151))</f>
        <v>-0.14859521910082485</v>
      </c>
      <c r="HQ151" s="54" t="str">
        <f t="shared" si="315"/>
        <v/>
      </c>
      <c r="HR151" s="54">
        <f>IF($J151="",#N/A,SUM($HQ$4:HQ151))</f>
        <v>-7.3390769661523079</v>
      </c>
      <c r="HS151" s="54" t="str">
        <f t="shared" si="316"/>
        <v/>
      </c>
      <c r="HT151" s="54">
        <f>IF($J151="",#N/A,SUM($HS$4:HS151))</f>
        <v>8.9025773633382936</v>
      </c>
      <c r="HU151" s="65">
        <f t="shared" si="317"/>
        <v>-0.89953154589853646</v>
      </c>
      <c r="HV151" s="65">
        <f>IF($J151="",#N/A,SUM(HU$4:$HU151))</f>
        <v>-13.153954843346812</v>
      </c>
    </row>
    <row r="152" spans="1:230" ht="15.75" thickBot="1" x14ac:dyDescent="0.3">
      <c r="A152" s="292" t="s">
        <v>2740</v>
      </c>
      <c r="B152" s="293" t="s">
        <v>4540</v>
      </c>
      <c r="C152" s="294">
        <f t="shared" si="218"/>
        <v>3</v>
      </c>
      <c r="D152" s="295" t="str">
        <f>_xlfn.XLOOKUP(A152,[1]SP500!$A$2:$A$502,[1]SP500!$D$2:$D$502,"N")</f>
        <v>N</v>
      </c>
      <c r="E152" s="292" t="str">
        <f>IFERROR(_xlfn.XLOOKUP(A152,[1]SP500!$A$2:$A$655,[1]SP500!$B$2:$B$655),"")</f>
        <v>XLF</v>
      </c>
      <c r="F152" s="296">
        <v>45776</v>
      </c>
      <c r="G152" s="292" t="str">
        <f t="shared" si="219"/>
        <v>BMO</v>
      </c>
      <c r="H152" s="292" t="str">
        <f t="shared" si="220"/>
        <v>s</v>
      </c>
      <c r="I152" s="402">
        <v>13.2</v>
      </c>
      <c r="J152" s="297">
        <v>14.13</v>
      </c>
      <c r="K152" s="298">
        <f t="shared" si="221"/>
        <v>7.0454545454545575E-2</v>
      </c>
      <c r="L152" s="299">
        <f t="shared" si="222"/>
        <v>69.75</v>
      </c>
      <c r="M152" s="300">
        <f t="shared" si="223"/>
        <v>0</v>
      </c>
      <c r="N152" s="341">
        <f t="shared" si="224"/>
        <v>69.75</v>
      </c>
      <c r="O152" s="300">
        <f>IF(N152="",#N/A,SUM($N$4:N152))</f>
        <v>-329.33863589938755</v>
      </c>
      <c r="P152" s="305">
        <f t="shared" si="318"/>
        <v>1.1742424242424243</v>
      </c>
      <c r="Q152" s="304">
        <f>IF($N152="",#N/A,SUM($P$4:P152))</f>
        <v>-2.1994220270494886</v>
      </c>
      <c r="R152" s="307">
        <f t="shared" si="225"/>
        <v>5.2349099461274395</v>
      </c>
      <c r="S152" s="292" t="str">
        <f t="shared" si="226"/>
        <v>SW</v>
      </c>
      <c r="T152" s="292" t="s">
        <v>2828</v>
      </c>
      <c r="U152" s="308">
        <f t="shared" si="227"/>
        <v>13.2</v>
      </c>
      <c r="V152" s="308" t="s">
        <v>4460</v>
      </c>
      <c r="W152" s="310">
        <v>75</v>
      </c>
      <c r="X152" s="309">
        <f t="shared" si="228"/>
        <v>990</v>
      </c>
      <c r="Y152" s="310">
        <f t="shared" si="229"/>
        <v>75</v>
      </c>
      <c r="Z152" s="313">
        <v>14.13</v>
      </c>
      <c r="AA152" s="341">
        <f t="shared" si="230"/>
        <v>69.75</v>
      </c>
      <c r="AB152" s="341">
        <f t="shared" si="231"/>
        <v>5.25</v>
      </c>
      <c r="AC152" s="297">
        <v>13.27</v>
      </c>
      <c r="AD152" s="301">
        <f t="shared" si="232"/>
        <v>5.25</v>
      </c>
      <c r="AE152" s="546">
        <f t="shared" si="233"/>
        <v>8.8383838383838384E-2</v>
      </c>
      <c r="AF152" s="300">
        <f>IF($AC152="",#N/A,SUM(AD$4:AD152))</f>
        <v>-894.7604120024165</v>
      </c>
      <c r="AG152" s="341">
        <f t="shared" si="234"/>
        <v>-64.5</v>
      </c>
      <c r="AH152" s="308" t="s">
        <v>2507</v>
      </c>
      <c r="AI152" s="305">
        <f t="shared" si="235"/>
        <v>1.1742424242424243</v>
      </c>
      <c r="AJ152" s="360">
        <f>IF(AI152="",#N/A,SUM($AI$4:AI152))</f>
        <v>-7.4343319731769277</v>
      </c>
      <c r="AK152" s="300">
        <f t="shared" si="236"/>
        <v>69.75</v>
      </c>
      <c r="AL152" s="348">
        <f>IF(AI152="",#N/A,IF(AH152="Skip",SUM($AK$4:AK152),SUM($AK$4:AK152)))</f>
        <v>-666.61740850718638</v>
      </c>
      <c r="AM152" s="65">
        <f t="shared" si="319"/>
        <v>8.8383838383838384E-2</v>
      </c>
      <c r="AN152" s="209"/>
      <c r="AO152" s="305">
        <f t="shared" si="237"/>
        <v>8.8383838383838384E-2</v>
      </c>
      <c r="AP152" s="305">
        <f>IF($AC152="",#N/A,SUM(AO$4:AO152))</f>
        <v>1.8093177347259666</v>
      </c>
      <c r="AQ152" s="305" t="str">
        <f t="shared" si="238"/>
        <v/>
      </c>
      <c r="AR152" s="305">
        <f>IF($AC152="",#N/A,SUM(AQ$4:AQ152))</f>
        <v>-2.6179859771653153</v>
      </c>
      <c r="AS152" s="305" t="str">
        <f t="shared" si="239"/>
        <v/>
      </c>
      <c r="AT152" s="305">
        <f>IF($AC152="",#N/A,SUM(AS$4:AS152))</f>
        <v>-12.256902762523628</v>
      </c>
      <c r="AU152" s="300">
        <f t="shared" si="320"/>
        <v>5.25</v>
      </c>
      <c r="AV152" s="300">
        <f>IF($AC152="",#N/A,SUM(AU$4:AU152))</f>
        <v>32.011206451250359</v>
      </c>
      <c r="AW152" s="300" t="str">
        <f t="shared" si="321"/>
        <v/>
      </c>
      <c r="AX152" s="300">
        <f>IF($AC152="",#N/A,SUM(AW$4:AW152))</f>
        <v>-163.1400000000001</v>
      </c>
      <c r="AY152" s="300" t="str">
        <f t="shared" si="322"/>
        <v/>
      </c>
      <c r="AZ152" s="300">
        <f>IF($AC152="",#N/A,SUM(AY$4:AY152))</f>
        <v>-763.63161845366676</v>
      </c>
      <c r="BA152" s="300">
        <f>IF(AD152="",#N/A,SUM($AD$4:AD152))</f>
        <v>-894.7604120024165</v>
      </c>
      <c r="BC152" s="292" t="str">
        <f t="shared" si="240"/>
        <v/>
      </c>
      <c r="BD152" s="292" t="str">
        <f t="shared" si="241"/>
        <v/>
      </c>
      <c r="BE152" s="292">
        <f t="shared" si="242"/>
        <v>1</v>
      </c>
      <c r="BF152" s="292" t="str">
        <f t="shared" si="243"/>
        <v>Long</v>
      </c>
      <c r="BG152" s="292" t="str">
        <f t="shared" si="244"/>
        <v/>
      </c>
      <c r="BH152" s="292" t="str">
        <f t="shared" si="245"/>
        <v/>
      </c>
      <c r="BI152" s="292" t="str">
        <f t="shared" si="246"/>
        <v/>
      </c>
      <c r="BK152" s="65">
        <f t="shared" si="217"/>
        <v>1.5766694522434177E-2</v>
      </c>
      <c r="BL152" s="65">
        <f t="shared" si="216"/>
        <v>-1.3750782170927929E-2</v>
      </c>
      <c r="BM152" s="65">
        <f>IFERROR(Q152/COUNTA($J$4:J152),#N/A)</f>
        <v>-1.476122165805026E-2</v>
      </c>
      <c r="BO152" s="489">
        <f>IF(J152="",#N/A,IF(S152="SW",(COUNTIFS(K$4:$K152,"&gt;0",S$4:$S152,"SW")/COUNTIF(S$4:$S152,"SW")),#N/A))</f>
        <v>0.48051948051948051</v>
      </c>
      <c r="BP152" s="489" t="e">
        <f>IF($J152="",#N/A,IF($S152="DWN",(COUNTIFS($K$4:$K152,"&lt;0",$S$4:$S152,"DWN")/COUNTIF($S$4:$S152,"DWN")),#N/A))</f>
        <v>#N/A</v>
      </c>
      <c r="BQ152" s="489" t="e">
        <f>IF($J152="",#N/A,IF($S152="UP",(COUNTIFS($K$4:$K152,"&gt;0",$S$4:$S152,"UP")/COUNTIF($S$4:$S152,"UP")),#N/A))</f>
        <v>#N/A</v>
      </c>
      <c r="BR152" s="489">
        <f>IF(J152="",#N/A,COUNTIF($K$4:K152,"&gt;0")/COUNT($J$4:J152))</f>
        <v>0.46308724832214765</v>
      </c>
      <c r="BS152" s="65">
        <f t="shared" si="247"/>
        <v>1.1742424242424243</v>
      </c>
      <c r="BT152" s="65" t="str">
        <f t="shared" si="248"/>
        <v/>
      </c>
      <c r="BU152" s="65" t="str">
        <f t="shared" si="249"/>
        <v/>
      </c>
      <c r="BV152" s="65" t="str">
        <f t="shared" si="250"/>
        <v/>
      </c>
      <c r="BW152" s="128" t="str">
        <f t="shared" si="251"/>
        <v/>
      </c>
      <c r="BX152" s="128">
        <f>IF($J152="",#N/A,SUM($BW$4:BW152))</f>
        <v>-205.1650000000003</v>
      </c>
      <c r="BY152" s="131" t="str">
        <f t="shared" si="252"/>
        <v/>
      </c>
      <c r="BZ152" s="131">
        <f>IF($J152="",#N/A,SUM($BY$4:BY152))</f>
        <v>-73.725659610666298</v>
      </c>
      <c r="CA152" s="133">
        <f t="shared" si="253"/>
        <v>69.75</v>
      </c>
      <c r="CB152" s="133">
        <f>IF($J152="",#N/A,SUM($CA$4:CA152))</f>
        <v>-50.447976288720952</v>
      </c>
      <c r="CC152" s="194" t="str">
        <f t="shared" si="254"/>
        <v/>
      </c>
      <c r="CD152" s="194">
        <f>IF($J152="",#N/A,SUM($CC$4:CC152))</f>
        <v>-3.1875162177003693</v>
      </c>
      <c r="CE152" s="195" t="str">
        <f t="shared" si="255"/>
        <v/>
      </c>
      <c r="CF152" s="195">
        <f>IF($J152="",#N/A,SUM($CE$4:CE152))</f>
        <v>-0.34358173274768583</v>
      </c>
      <c r="CG152" s="196">
        <f t="shared" si="256"/>
        <v>1.1742424242424243</v>
      </c>
      <c r="CH152" s="196">
        <f>IF($J152="",#N/A,SUM($CG$4:CG152))</f>
        <v>1.3316759233985713</v>
      </c>
      <c r="CI152" s="200" t="str">
        <f t="shared" si="257"/>
        <v/>
      </c>
      <c r="CJ152" s="203">
        <f>IF($J152="",#N/A,SUM(CI$4:CI152))</f>
        <v>0</v>
      </c>
      <c r="CK152" s="204" t="str">
        <f t="shared" si="258"/>
        <v/>
      </c>
      <c r="CL152" s="204">
        <f>IF($J152="",#N/A,SUM(CK$4:CK152))</f>
        <v>0.95905730556970825</v>
      </c>
      <c r="CM152" s="205" t="str">
        <f t="shared" si="259"/>
        <v/>
      </c>
      <c r="CN152" s="205">
        <f>IF($J152="",#N/A,SUM(CM$4:CM152))</f>
        <v>2.2555985727472319</v>
      </c>
      <c r="CO152" s="205">
        <f>IF($J152="",#N/A,SUM(CM$4:CM152,CK$4:CK152,CI$4:CI152))</f>
        <v>3.2146558783169401</v>
      </c>
      <c r="CP152" s="200" t="str">
        <f t="shared" si="260"/>
        <v/>
      </c>
      <c r="CQ152" s="203">
        <f>IF($J152="",#N/A,SUM(CP$4:CP152))</f>
        <v>0</v>
      </c>
      <c r="CR152" s="204" t="str">
        <f t="shared" si="261"/>
        <v/>
      </c>
      <c r="CS152" s="204">
        <f>IF($J152="",#N/A,SUM(CR$4:CR152))</f>
        <v>0</v>
      </c>
      <c r="CT152" s="205" t="str">
        <f t="shared" si="262"/>
        <v/>
      </c>
      <c r="CU152" s="205">
        <f>IF($J152="",#N/A,SUM(CT$4:CT152))</f>
        <v>0</v>
      </c>
      <c r="CV152" s="205">
        <f>IF($J152="",#N/A,SUM(CT$4:CT152,CR$4:CR152,CP$4:CP152))</f>
        <v>0</v>
      </c>
      <c r="CW152" s="200" t="str">
        <f t="shared" si="263"/>
        <v/>
      </c>
      <c r="CX152" s="203">
        <f>IF($J152="",#N/A,SUM(CW$4:CW152))</f>
        <v>0</v>
      </c>
      <c r="CY152" s="204" t="str">
        <f t="shared" si="264"/>
        <v/>
      </c>
      <c r="CZ152" s="204">
        <f>IF($J152="",#N/A,SUM(CY$4:CY152))</f>
        <v>-1.9289529100071134</v>
      </c>
      <c r="DA152" s="205" t="str">
        <f t="shared" si="265"/>
        <v/>
      </c>
      <c r="DB152" s="205">
        <f>IF($J152="",#N/A,SUM(DA$4:DA152))</f>
        <v>3.1364376348577139E-3</v>
      </c>
      <c r="DC152" s="205">
        <f>IF($J152="",#N/A,SUM(DA$4:DA152,CY$4:CY152,CW$4:CW152))</f>
        <v>-1.9258164723722557</v>
      </c>
      <c r="DD152" s="200" t="str">
        <f t="shared" si="266"/>
        <v/>
      </c>
      <c r="DE152" s="203">
        <f>IF($J152="",#N/A,SUM(DD$4:DD152))</f>
        <v>0.14968716170674062</v>
      </c>
      <c r="DF152" s="204" t="str">
        <f t="shared" si="267"/>
        <v/>
      </c>
      <c r="DG152" s="204">
        <f>IF($J152="",#N/A,SUM(DF$4:DF152))</f>
        <v>1.2121188689979676</v>
      </c>
      <c r="DH152" s="205" t="str">
        <f t="shared" si="268"/>
        <v/>
      </c>
      <c r="DI152" s="205">
        <f>IF($J152="",#N/A,SUM(DH$4:DH152))</f>
        <v>-1.4547707265941352</v>
      </c>
      <c r="DJ152" s="205">
        <f>IF($J152="",#N/A,SUM(DH$4:DH152,DF$4:DF152,DD$4:DD152))</f>
        <v>-9.2964695889427046E-2</v>
      </c>
      <c r="DK152" s="200" t="str">
        <f t="shared" si="269"/>
        <v/>
      </c>
      <c r="DL152" s="203">
        <f>IF($J152="",#N/A,SUM(DK$4:DK152))</f>
        <v>-1.2097286851272664</v>
      </c>
      <c r="DM152" s="204" t="str">
        <f t="shared" si="270"/>
        <v/>
      </c>
      <c r="DN152" s="204">
        <f>IF($J152="",#N/A,SUM(DM$4:DM152))</f>
        <v>1.1910608267574658</v>
      </c>
      <c r="DO152" s="205" t="str">
        <f t="shared" si="271"/>
        <v/>
      </c>
      <c r="DP152" s="205">
        <f>IF($J152="",#N/A,SUM(DO$4:DO152))</f>
        <v>1.3495058802125319</v>
      </c>
      <c r="DQ152" s="205">
        <f>IF($J152="",#N/A,SUM(DO$4:DO152,DM$4:DM152,DK$4:DK152))</f>
        <v>1.3308380218427318</v>
      </c>
      <c r="DR152" s="200" t="str">
        <f t="shared" si="272"/>
        <v/>
      </c>
      <c r="DS152" s="203">
        <f>IF($J152="",#N/A,SUM(DR$4:DR152))</f>
        <v>-0.55950946427675097</v>
      </c>
      <c r="DT152" s="204" t="str">
        <f t="shared" si="273"/>
        <v/>
      </c>
      <c r="DU152" s="204">
        <f>IF($J152="",#N/A,SUM(DT$4:DT152))</f>
        <v>-3.5029740333397914</v>
      </c>
      <c r="DV152" s="205">
        <f t="shared" si="274"/>
        <v>1.1742424242424243</v>
      </c>
      <c r="DW152" s="205">
        <f>IF($J152="",#N/A,SUM(DV$4:DV152))</f>
        <v>-1.5072282546558893</v>
      </c>
      <c r="DX152" s="205">
        <f>IF($J152="",#N/A,SUM(DV$4:DV152,DT$4:DT152,DR$4:DR152))</f>
        <v>-5.5697117522724318</v>
      </c>
      <c r="DY152" s="200" t="str">
        <f t="shared" si="275"/>
        <v/>
      </c>
      <c r="DZ152" s="203">
        <f>IF($J152="",#N/A,SUM(DY$4:DY152))</f>
        <v>-1.63480022183437</v>
      </c>
      <c r="EA152" s="204" t="str">
        <f t="shared" si="276"/>
        <v/>
      </c>
      <c r="EB152" s="204">
        <f>IF($J152="",#N/A,SUM(EA$4:EA152))</f>
        <v>-0.2070110273231956</v>
      </c>
      <c r="EC152" s="205" t="str">
        <f t="shared" si="277"/>
        <v/>
      </c>
      <c r="ED152" s="205">
        <f>IF($J152="",#N/A,SUM(EC$4:EC152))</f>
        <v>1.7103671484331777</v>
      </c>
      <c r="EE152" s="205">
        <f>IF($J152="",#N/A,SUM(EC$4:EC152,EA$4:EA152,DY$4:DY152))</f>
        <v>-0.13144410072438789</v>
      </c>
      <c r="EF152" s="200" t="str">
        <f t="shared" si="278"/>
        <v/>
      </c>
      <c r="EG152" s="203">
        <f>IF($J152="",#N/A,SUM(EF$4:EF152))</f>
        <v>0</v>
      </c>
      <c r="EH152" s="204" t="str">
        <f t="shared" si="279"/>
        <v/>
      </c>
      <c r="EI152" s="204">
        <f>IF($J152="",#N/A,SUM(EH$4:EH152))</f>
        <v>-1.1184224685150388</v>
      </c>
      <c r="EJ152" s="205" t="str">
        <f t="shared" si="280"/>
        <v/>
      </c>
      <c r="EK152" s="205">
        <f>IF($J152="",#N/A,SUM(EJ$4:EJ152))</f>
        <v>1.7255127285193785</v>
      </c>
      <c r="EL152" s="205">
        <f>IF($J152="",#N/A,SUM(EJ$4:EJ152,EH$4:EH152,EF$4:EF152))</f>
        <v>0.60709026000434052</v>
      </c>
      <c r="EM152" s="200" t="str">
        <f t="shared" si="281"/>
        <v/>
      </c>
      <c r="EN152" s="203">
        <f>IF($J152="",#N/A,SUM(EM$4:EM152))</f>
        <v>0</v>
      </c>
      <c r="EO152" s="204" t="str">
        <f t="shared" si="282"/>
        <v/>
      </c>
      <c r="EP152" s="204">
        <f>IF($J152="",#N/A,SUM(EO$4:EO152))</f>
        <v>1.264716604605848</v>
      </c>
      <c r="EQ152" s="205" t="str">
        <f t="shared" si="283"/>
        <v/>
      </c>
      <c r="ER152" s="205">
        <f>IF($J152="",#N/A,SUM(EQ$4:EQ152))</f>
        <v>0.4926597949853756</v>
      </c>
      <c r="ES152" s="205">
        <f>IF($J152="",#N/A,SUM(EQ$4:EQ152,EO$4:EO152,EM$4:EM152))</f>
        <v>1.757376399591223</v>
      </c>
      <c r="ET152" s="200" t="str">
        <f t="shared" si="284"/>
        <v/>
      </c>
      <c r="EU152" s="203">
        <f>IF($J152="",#N/A,SUM(ET$4:ET152))</f>
        <v>0</v>
      </c>
      <c r="EV152" s="204" t="str">
        <f t="shared" si="285"/>
        <v/>
      </c>
      <c r="EW152" s="204">
        <f>IF($J152="",#N/A,SUM(EV$4:EV152))</f>
        <v>0.90459527759708336</v>
      </c>
      <c r="EX152" s="205" t="str">
        <f t="shared" si="286"/>
        <v/>
      </c>
      <c r="EY152" s="205">
        <f>IF($J152="",#N/A,SUM(EX$4:EX152))</f>
        <v>0.22957553748493481</v>
      </c>
      <c r="EZ152" s="205">
        <f>IF($J152="",#N/A,SUM(EX$4:EX152,EV$4:EV152,ET$4:ET152))</f>
        <v>1.134170815082018</v>
      </c>
      <c r="FA152" s="200" t="str">
        <f t="shared" si="287"/>
        <v/>
      </c>
      <c r="FB152" s="203">
        <f>IF($J152="",#N/A,SUM(FA$4:FA152))</f>
        <v>0</v>
      </c>
      <c r="FC152" s="204" t="str">
        <f t="shared" si="288"/>
        <v/>
      </c>
      <c r="FD152" s="204">
        <f>IF($J152="",#N/A,SUM(FC$4:FC152))</f>
        <v>1.6839191319663924</v>
      </c>
      <c r="FE152" s="205" t="str">
        <f t="shared" si="289"/>
        <v/>
      </c>
      <c r="FF152" s="205">
        <f>IF($J152="",#N/A,SUM(FE$4:FE152))</f>
        <v>-0.28811149078748233</v>
      </c>
      <c r="FG152" s="205">
        <f>IF($J152="",#N/A,SUM(FE$4:FE152,FC$4:FC152,FA$4:FA152))</f>
        <v>1.3958076411789102</v>
      </c>
      <c r="FH152" s="200" t="str">
        <f t="shared" si="290"/>
        <v/>
      </c>
      <c r="FI152" s="203">
        <f>IF($J152="",#N/A,SUM(FH$4:FH152))</f>
        <v>0</v>
      </c>
      <c r="FJ152" s="204" t="str">
        <f t="shared" si="291"/>
        <v/>
      </c>
      <c r="FK152" s="204">
        <f>IF($J152="",#N/A,SUM(FJ$4:FJ152))</f>
        <v>0</v>
      </c>
      <c r="FL152" s="205" t="str">
        <f t="shared" si="292"/>
        <v/>
      </c>
      <c r="FM152" s="205">
        <f>IF($J152="",#N/A,SUM(FL$4:FL152))</f>
        <v>0</v>
      </c>
      <c r="FN152" s="205">
        <f>IF($J152="",#N/A,SUM(FL$4:FL152,FJ$4:FJ152,FH$4:FH152))</f>
        <v>0</v>
      </c>
      <c r="FO152" s="200" t="str">
        <f t="shared" si="293"/>
        <v/>
      </c>
      <c r="FP152" s="203">
        <f>IF($J152="",#N/A,SUM(FO$4:FO152))</f>
        <v>0</v>
      </c>
      <c r="FQ152" s="204" t="str">
        <f t="shared" si="294"/>
        <v/>
      </c>
      <c r="FR152" s="204">
        <f>IF($J152="",#N/A,SUM(FQ$4:FQ152))</f>
        <v>0</v>
      </c>
      <c r="FS152" s="205" t="str">
        <f t="shared" si="295"/>
        <v/>
      </c>
      <c r="FT152" s="205">
        <f>IF($J152="",#N/A,SUM(FS$4:FS152))</f>
        <v>0</v>
      </c>
      <c r="FU152" s="205">
        <f>IF($J152="",#N/A,SUM(FS$4:FS152,FQ$4:FQ152,FO$4:FO152))</f>
        <v>0</v>
      </c>
      <c r="FV152" s="200" t="str">
        <f t="shared" si="296"/>
        <v/>
      </c>
      <c r="FW152" s="203">
        <f>IF($J152="",#N/A,SUM(FV$4:FV152))</f>
        <v>6.6834991831277585E-2</v>
      </c>
      <c r="FX152" s="204" t="str">
        <f t="shared" si="297"/>
        <v/>
      </c>
      <c r="FY152" s="204">
        <f>IF($J152="",#N/A,SUM(FX$4:FX152))</f>
        <v>0</v>
      </c>
      <c r="FZ152" s="205" t="str">
        <f t="shared" si="298"/>
        <v/>
      </c>
      <c r="GA152" s="205">
        <f>IF($J152="",#N/A,SUM(FZ$4:FZ152))</f>
        <v>-0.24773347685909197</v>
      </c>
      <c r="GB152" s="205">
        <f>IF($J152="",#N/A,SUM(FZ$4:FZ152,FX$4:FX152,FV$4:FV152))</f>
        <v>-0.18089848502781439</v>
      </c>
      <c r="GC152" s="200" t="str">
        <f t="shared" si="299"/>
        <v/>
      </c>
      <c r="GD152" s="203">
        <f>IF($J152="",#N/A,SUM(GC$4:GC152))</f>
        <v>0</v>
      </c>
      <c r="GE152" s="204" t="str">
        <f t="shared" si="300"/>
        <v/>
      </c>
      <c r="GF152" s="204">
        <f>IF($J152="",#N/A,SUM(GE$4:GE152))</f>
        <v>0</v>
      </c>
      <c r="GG152" s="205" t="str">
        <f t="shared" si="301"/>
        <v/>
      </c>
      <c r="GH152" s="205">
        <f>IF($J152="",#N/A,SUM(GG$4:GG152))</f>
        <v>-2.9368362277223206</v>
      </c>
      <c r="GI152" s="205">
        <f>IF($J152="",#N/A,SUM(GG$4:GG152,GE$4:GE152,GC$4:GC152))</f>
        <v>-2.9368362277223206</v>
      </c>
      <c r="GJ152" s="200" t="str">
        <f t="shared" si="302"/>
        <v/>
      </c>
      <c r="GK152" s="203">
        <f>IF($J152="",#N/A,SUM(GJ$4:GJ152))</f>
        <v>0</v>
      </c>
      <c r="GL152" s="204" t="str">
        <f t="shared" si="303"/>
        <v/>
      </c>
      <c r="GM152" s="204">
        <f>IF($J152="",#N/A,SUM(GL$4:GL152))</f>
        <v>-0.80168930905701452</v>
      </c>
      <c r="GN152" s="205" t="str">
        <f t="shared" si="304"/>
        <v/>
      </c>
      <c r="GO152" s="205">
        <f>IF($J152="",#N/A,SUM(GN$4:GN152))</f>
        <v>0</v>
      </c>
      <c r="GP152" s="205">
        <f>IF($J152="",#N/A,SUM(GN$4:GN152,GL$4:GL152,GJ$4:GJ152))</f>
        <v>-0.80168930905701452</v>
      </c>
      <c r="GS152" s="303" t="str">
        <f t="shared" si="323"/>
        <v/>
      </c>
      <c r="GT152" s="303" t="e">
        <f>IF(GS152="",NA(),SUM($GS$4:GS152))</f>
        <v>#N/A</v>
      </c>
      <c r="GU152" s="303" t="str">
        <f t="shared" si="305"/>
        <v/>
      </c>
      <c r="GV152" s="303" t="e">
        <f>IF(GU152="",NA(),SUM($GU$4:GU152))</f>
        <v>#N/A</v>
      </c>
      <c r="GW152" s="303" t="str">
        <f t="shared" si="306"/>
        <v/>
      </c>
      <c r="GX152" s="303" t="e">
        <f>IF(GW152="",NA(),SUM($GW$4:GW152))</f>
        <v>#N/A</v>
      </c>
      <c r="GY152" s="303" t="str">
        <f t="shared" si="307"/>
        <v/>
      </c>
      <c r="GZ152" s="303" t="e">
        <f>IF(GY152="",NA(),SUM($GY$4:GY152))</f>
        <v>#N/A</v>
      </c>
      <c r="HA152" s="303">
        <f t="shared" si="308"/>
        <v>1.1742424242424243</v>
      </c>
      <c r="HB152" s="303">
        <f>IF(HA152="",NA(),SUM($HA$4:HA152))</f>
        <v>1.6029205651887961</v>
      </c>
      <c r="HC152" s="303" t="str">
        <f t="shared" si="309"/>
        <v/>
      </c>
      <c r="HD152" s="303" t="e">
        <f>IF(HC152="",NA(),SUM($HC$4:HC152))</f>
        <v>#N/A</v>
      </c>
      <c r="HE152" s="303">
        <f t="shared" si="310"/>
        <v>1.1742424242424243</v>
      </c>
      <c r="HF152" s="303">
        <f>IF(HE152="",NA(),SUM($HE$4:HE152))</f>
        <v>1.3762312371697096</v>
      </c>
      <c r="HG152" s="303" t="str">
        <f t="shared" si="311"/>
        <v/>
      </c>
      <c r="HH152" s="303" t="e">
        <f>IF(HG152="",NA(),SUM($HG$4:HG152))</f>
        <v>#N/A</v>
      </c>
      <c r="HI152" s="304" t="str">
        <f t="shared" si="324"/>
        <v/>
      </c>
      <c r="HJ152" s="304">
        <f>IF($J152="",#N/A,SUM(HI$4:$HI152))</f>
        <v>-6.2107003994886369</v>
      </c>
      <c r="HK152" s="303" t="str">
        <f t="shared" si="312"/>
        <v/>
      </c>
      <c r="HL152" s="303">
        <f>IF($J152="",#N/A,SUM($HK$4:HK152))</f>
        <v>-5.702620630287301</v>
      </c>
      <c r="HM152" s="303" t="str">
        <f t="shared" si="313"/>
        <v/>
      </c>
      <c r="HN152" s="303">
        <f>IF($J152="",#N/A,SUM($HM$4:HM152))</f>
        <v>0.71812545963587882</v>
      </c>
      <c r="HO152" s="303" t="str">
        <f t="shared" si="314"/>
        <v/>
      </c>
      <c r="HP152" s="303">
        <f>IF($J152="",#N/A,SUM($HO$4:HO152))</f>
        <v>-0.14859521910082485</v>
      </c>
      <c r="HQ152" s="303">
        <f t="shared" si="315"/>
        <v>-1.0858585858585859</v>
      </c>
      <c r="HR152" s="303">
        <f>IF($J152="",#N/A,SUM($HQ$4:HQ152))</f>
        <v>-8.4249355520108935</v>
      </c>
      <c r="HS152" s="303" t="str">
        <f t="shared" si="316"/>
        <v/>
      </c>
      <c r="HT152" s="303">
        <f>IF($J152="",#N/A,SUM($HS$4:HS152))</f>
        <v>8.9025773633382936</v>
      </c>
      <c r="HU152" s="305">
        <f t="shared" si="317"/>
        <v>8.8383838383838384E-2</v>
      </c>
      <c r="HV152" s="305">
        <f>IF($J152="",#N/A,SUM(HU$4:$HU152))</f>
        <v>-13.065571004962973</v>
      </c>
    </row>
    <row r="153" spans="1:230" x14ac:dyDescent="0.25">
      <c r="A153" s="59" t="s">
        <v>1474</v>
      </c>
      <c r="B153" s="289" t="s">
        <v>4541</v>
      </c>
      <c r="C153" s="230">
        <f t="shared" si="218"/>
        <v>3</v>
      </c>
      <c r="D153" s="220" t="str">
        <f>_xlfn.XLOOKUP(A153,[1]SP500!$A$2:$A$502,[1]SP500!$D$2:$D$502,"N")</f>
        <v>Y</v>
      </c>
      <c r="E153" s="59" t="str">
        <f>IFERROR(_xlfn.XLOOKUP(A153,[1]SP500!$A$2:$A$655,[1]SP500!$B$2:$B$655),"")</f>
        <v>XLB</v>
      </c>
      <c r="F153" s="290">
        <v>45776</v>
      </c>
      <c r="G153" s="59" t="str">
        <f t="shared" si="219"/>
        <v>AMC</v>
      </c>
      <c r="H153" s="59" t="str">
        <f t="shared" si="220"/>
        <v>s</v>
      </c>
      <c r="I153" s="376">
        <v>103.81</v>
      </c>
      <c r="J153" s="278">
        <v>110.1</v>
      </c>
      <c r="K153" s="60">
        <f t="shared" si="221"/>
        <v>6.0591465176765169E-2</v>
      </c>
      <c r="L153" s="68">
        <f t="shared" si="222"/>
        <v>62.900000000000091</v>
      </c>
      <c r="M153" s="62">
        <f t="shared" si="223"/>
        <v>-4.4000000000000909</v>
      </c>
      <c r="N153" s="63">
        <f t="shared" si="224"/>
        <v>62.900000000000091</v>
      </c>
      <c r="O153" s="62">
        <f>IF(N153="",#N/A,SUM($N$4:N153))</f>
        <v>-266.43863589938746</v>
      </c>
      <c r="P153" s="64">
        <f t="shared" si="318"/>
        <v>1.009857752946089</v>
      </c>
      <c r="Q153" s="183">
        <f>IF($N153="",#N/A,SUM($P$4:P153))</f>
        <v>-1.1895642741033996</v>
      </c>
      <c r="R153" s="279">
        <f t="shared" si="225"/>
        <v>5.3055518239169919</v>
      </c>
      <c r="S153" s="59" t="str">
        <f t="shared" si="226"/>
        <v>SW</v>
      </c>
      <c r="T153" s="59" t="s">
        <v>2828</v>
      </c>
      <c r="U153" s="61">
        <f t="shared" si="227"/>
        <v>103.81</v>
      </c>
      <c r="V153" s="61" t="s">
        <v>4460</v>
      </c>
      <c r="W153" s="142">
        <v>10</v>
      </c>
      <c r="X153" s="146">
        <f t="shared" si="228"/>
        <v>1038.0999999999999</v>
      </c>
      <c r="Y153" s="142">
        <f t="shared" si="229"/>
        <v>10</v>
      </c>
      <c r="Z153" s="278">
        <v>109.66</v>
      </c>
      <c r="AA153" s="63">
        <f t="shared" si="230"/>
        <v>58.5</v>
      </c>
      <c r="AB153" s="63">
        <f t="shared" si="231"/>
        <v>50.5</v>
      </c>
      <c r="AC153" s="125">
        <v>108.86</v>
      </c>
      <c r="AD153" s="148">
        <f t="shared" si="232"/>
        <v>50.5</v>
      </c>
      <c r="AE153" s="544">
        <f t="shared" si="233"/>
        <v>0.81077609735735168</v>
      </c>
      <c r="AF153" s="62">
        <f>IF($AC153="",#N/A,SUM(AD$4:AD153))</f>
        <v>-844.2604120024165</v>
      </c>
      <c r="AG153" s="63">
        <f t="shared" si="234"/>
        <v>-12.400000000000091</v>
      </c>
      <c r="AH153" s="61" t="s">
        <v>2507</v>
      </c>
      <c r="AI153" s="64">
        <f t="shared" si="235"/>
        <v>0.93921587515653604</v>
      </c>
      <c r="AJ153" s="177">
        <f>IF(AI153="",#N/A,SUM($AI$4:AI153))</f>
        <v>-6.4951160980203912</v>
      </c>
      <c r="AK153" s="62">
        <f t="shared" si="236"/>
        <v>58.5</v>
      </c>
      <c r="AL153" s="351">
        <f>IF(AI153="",#N/A,IF(AH153="Skip",SUM($AK$4:AK153),SUM($AK$4:AK153)))</f>
        <v>-608.11740850718638</v>
      </c>
      <c r="AM153" s="65">
        <f t="shared" si="319"/>
        <v>0.81077609735735168</v>
      </c>
      <c r="AN153" s="209"/>
      <c r="AO153" s="64">
        <f t="shared" si="237"/>
        <v>0.81077609735735168</v>
      </c>
      <c r="AP153" s="64">
        <f>IF($AC153="",#N/A,SUM(AO$4:AO153))</f>
        <v>2.6200938320833185</v>
      </c>
      <c r="AQ153" s="64" t="str">
        <f t="shared" si="238"/>
        <v/>
      </c>
      <c r="AR153" s="64">
        <f>IF($AC153="",#N/A,SUM(AQ$4:AQ153))</f>
        <v>-2.6179859771653153</v>
      </c>
      <c r="AS153" s="64" t="str">
        <f t="shared" si="239"/>
        <v/>
      </c>
      <c r="AT153" s="64">
        <f>IF($AC153="",#N/A,SUM(AS$4:AS153))</f>
        <v>-12.256902762523628</v>
      </c>
      <c r="AU153" s="62">
        <f t="shared" si="320"/>
        <v>50.5</v>
      </c>
      <c r="AV153" s="62">
        <f>IF($AC153="",#N/A,SUM(AU$4:AU153))</f>
        <v>82.511206451250359</v>
      </c>
      <c r="AW153" s="62" t="str">
        <f t="shared" si="321"/>
        <v/>
      </c>
      <c r="AX153" s="62">
        <f>IF($AC153="",#N/A,SUM(AW$4:AW153))</f>
        <v>-163.1400000000001</v>
      </c>
      <c r="AY153" s="62" t="str">
        <f t="shared" si="322"/>
        <v/>
      </c>
      <c r="AZ153" s="62">
        <f>IF($AC153="",#N/A,SUM(AY$4:AY153))</f>
        <v>-763.63161845366676</v>
      </c>
      <c r="BA153" s="62">
        <f>IF(AD153="",#N/A,SUM($AD$4:AD153))</f>
        <v>-844.2604120024165</v>
      </c>
      <c r="BC153" s="59" t="str">
        <f t="shared" si="240"/>
        <v/>
      </c>
      <c r="BD153" s="59" t="str">
        <f t="shared" si="241"/>
        <v/>
      </c>
      <c r="BE153" s="59">
        <f t="shared" si="242"/>
        <v>1</v>
      </c>
      <c r="BF153" s="59" t="str">
        <f t="shared" si="243"/>
        <v>Long</v>
      </c>
      <c r="BG153" s="59" t="str">
        <f t="shared" si="244"/>
        <v/>
      </c>
      <c r="BH153" s="59" t="str">
        <f t="shared" si="245"/>
        <v/>
      </c>
      <c r="BI153" s="59" t="str">
        <f t="shared" si="246"/>
        <v/>
      </c>
      <c r="BK153" s="65">
        <f t="shared" si="217"/>
        <v>6.1016041648161823E-2</v>
      </c>
      <c r="BL153" s="65">
        <f t="shared" si="216"/>
        <v>1.7544346873212317E-2</v>
      </c>
      <c r="BM153" s="65">
        <f>IFERROR(Q153/COUNTA($J$4:J153),#N/A)</f>
        <v>-7.9304284940226646E-3</v>
      </c>
      <c r="BO153" s="489">
        <f>IF(J153="",#N/A,IF(S153="SW",(COUNTIFS(K$4:$K153,"&gt;0",S$4:$S153,"SW")/COUNTIF(S$4:$S153,"SW")),#N/A))</f>
        <v>0.48717948717948717</v>
      </c>
      <c r="BP153" s="489" t="e">
        <f>IF($J153="",#N/A,IF($S153="DWN",(COUNTIFS($K$4:$K153,"&lt;0",$S$4:$S153,"DWN")/COUNTIF($S$4:$S153,"DWN")),#N/A))</f>
        <v>#N/A</v>
      </c>
      <c r="BQ153" s="489" t="e">
        <f>IF($J153="",#N/A,IF($S153="UP",(COUNTIFS($K$4:$K153,"&gt;0",$S$4:$S153,"UP")/COUNTIF($S$4:$S153,"UP")),#N/A))</f>
        <v>#N/A</v>
      </c>
      <c r="BR153" s="489">
        <f>IF(J153="",#N/A,COUNTIF($K$4:K153,"&gt;0")/COUNT($J$4:J153))</f>
        <v>0.46666666666666667</v>
      </c>
      <c r="BS153" s="65">
        <f t="shared" si="247"/>
        <v>1.009857752946089</v>
      </c>
      <c r="BT153" s="65" t="str">
        <f t="shared" si="248"/>
        <v/>
      </c>
      <c r="BU153" s="65" t="str">
        <f t="shared" si="249"/>
        <v/>
      </c>
      <c r="BV153" s="65" t="str">
        <f t="shared" si="250"/>
        <v/>
      </c>
      <c r="BW153" s="128" t="str">
        <f t="shared" si="251"/>
        <v/>
      </c>
      <c r="BX153" s="128">
        <f>IF($J153="",#N/A,SUM($BW$4:BW153))</f>
        <v>-205.1650000000003</v>
      </c>
      <c r="BY153" s="131" t="str">
        <f t="shared" si="252"/>
        <v/>
      </c>
      <c r="BZ153" s="131">
        <f>IF($J153="",#N/A,SUM($BY$4:BY153))</f>
        <v>-73.725659610666298</v>
      </c>
      <c r="CA153" s="133">
        <f t="shared" si="253"/>
        <v>62.900000000000091</v>
      </c>
      <c r="CB153" s="133">
        <f>IF($J153="",#N/A,SUM($CA$4:CA153))</f>
        <v>12.452023711279139</v>
      </c>
      <c r="CC153" s="194" t="str">
        <f t="shared" si="254"/>
        <v/>
      </c>
      <c r="CD153" s="194">
        <f>IF($J153="",#N/A,SUM($CC$4:CC153))</f>
        <v>-3.1875162177003693</v>
      </c>
      <c r="CE153" s="195" t="str">
        <f t="shared" si="255"/>
        <v/>
      </c>
      <c r="CF153" s="195">
        <f>IF($J153="",#N/A,SUM($CE$4:CE153))</f>
        <v>-0.34358173274768583</v>
      </c>
      <c r="CG153" s="196">
        <f t="shared" si="256"/>
        <v>1.009857752946089</v>
      </c>
      <c r="CH153" s="193">
        <f>IF($J153="",#N/A,SUM($CG$4:CG153))</f>
        <v>2.3415336763446604</v>
      </c>
      <c r="CI153" s="200" t="str">
        <f t="shared" si="257"/>
        <v/>
      </c>
      <c r="CJ153" s="203">
        <f>IF($J153="",#N/A,SUM(CI$4:CI153))</f>
        <v>0</v>
      </c>
      <c r="CK153" s="204" t="str">
        <f t="shared" si="258"/>
        <v/>
      </c>
      <c r="CL153" s="204">
        <f>IF($J153="",#N/A,SUM(CK$4:CK153))</f>
        <v>0.95905730556970825</v>
      </c>
      <c r="CM153" s="205" t="str">
        <f t="shared" si="259"/>
        <v/>
      </c>
      <c r="CN153" s="205">
        <f>IF($J153="",#N/A,SUM(CM$4:CM153))</f>
        <v>2.2555985727472319</v>
      </c>
      <c r="CO153" s="205">
        <f>IF($J153="",#N/A,SUM(CM$4:CM153,CK$4:CK153,CI$4:CI153))</f>
        <v>3.2146558783169401</v>
      </c>
      <c r="CP153" s="200" t="str">
        <f t="shared" si="260"/>
        <v/>
      </c>
      <c r="CQ153" s="203">
        <f>IF($J153="",#N/A,SUM(CP$4:CP153))</f>
        <v>0</v>
      </c>
      <c r="CR153" s="204" t="str">
        <f t="shared" si="261"/>
        <v/>
      </c>
      <c r="CS153" s="204">
        <f>IF($J153="",#N/A,SUM(CR$4:CR153))</f>
        <v>0</v>
      </c>
      <c r="CT153" s="205" t="str">
        <f t="shared" si="262"/>
        <v/>
      </c>
      <c r="CU153" s="205">
        <f>IF($J153="",#N/A,SUM(CT$4:CT153))</f>
        <v>0</v>
      </c>
      <c r="CV153" s="205">
        <f>IF($J153="",#N/A,SUM(CT$4:CT153,CR$4:CR153,CP$4:CP153))</f>
        <v>0</v>
      </c>
      <c r="CW153" s="200" t="str">
        <f t="shared" si="263"/>
        <v/>
      </c>
      <c r="CX153" s="203">
        <f>IF($J153="",#N/A,SUM(CW$4:CW153))</f>
        <v>0</v>
      </c>
      <c r="CY153" s="204" t="str">
        <f t="shared" si="264"/>
        <v/>
      </c>
      <c r="CZ153" s="204">
        <f>IF($J153="",#N/A,SUM(CY$4:CY153))</f>
        <v>-1.9289529100071134</v>
      </c>
      <c r="DA153" s="205" t="str">
        <f t="shared" si="265"/>
        <v/>
      </c>
      <c r="DB153" s="205">
        <f>IF($J153="",#N/A,SUM(DA$4:DA153))</f>
        <v>3.1364376348577139E-3</v>
      </c>
      <c r="DC153" s="205">
        <f>IF($J153="",#N/A,SUM(DA$4:DA153,CY$4:CY153,CW$4:CW153))</f>
        <v>-1.9258164723722557</v>
      </c>
      <c r="DD153" s="200" t="str">
        <f t="shared" si="266"/>
        <v/>
      </c>
      <c r="DE153" s="203">
        <f>IF($J153="",#N/A,SUM(DD$4:DD153))</f>
        <v>0.14968716170674062</v>
      </c>
      <c r="DF153" s="204" t="str">
        <f t="shared" si="267"/>
        <v/>
      </c>
      <c r="DG153" s="204">
        <f>IF($J153="",#N/A,SUM(DF$4:DF153))</f>
        <v>1.2121188689979676</v>
      </c>
      <c r="DH153" s="205" t="str">
        <f t="shared" si="268"/>
        <v/>
      </c>
      <c r="DI153" s="205">
        <f>IF($J153="",#N/A,SUM(DH$4:DH153))</f>
        <v>-1.4547707265941352</v>
      </c>
      <c r="DJ153" s="205">
        <f>IF($J153="",#N/A,SUM(DH$4:DH153,DF$4:DF153,DD$4:DD153))</f>
        <v>-9.2964695889427046E-2</v>
      </c>
      <c r="DK153" s="200" t="str">
        <f t="shared" si="269"/>
        <v/>
      </c>
      <c r="DL153" s="203">
        <f>IF($J153="",#N/A,SUM(DK$4:DK153))</f>
        <v>-1.2097286851272664</v>
      </c>
      <c r="DM153" s="204" t="str">
        <f t="shared" si="270"/>
        <v/>
      </c>
      <c r="DN153" s="204">
        <f>IF($J153="",#N/A,SUM(DM$4:DM153))</f>
        <v>1.1910608267574658</v>
      </c>
      <c r="DO153" s="205" t="str">
        <f t="shared" si="271"/>
        <v/>
      </c>
      <c r="DP153" s="205">
        <f>IF($J153="",#N/A,SUM(DO$4:DO153))</f>
        <v>1.3495058802125319</v>
      </c>
      <c r="DQ153" s="205">
        <f>IF($J153="",#N/A,SUM(DO$4:DO153,DM$4:DM153,DK$4:DK153))</f>
        <v>1.3308380218427318</v>
      </c>
      <c r="DR153" s="200" t="str">
        <f t="shared" si="272"/>
        <v/>
      </c>
      <c r="DS153" s="203">
        <f>IF($J153="",#N/A,SUM(DR$4:DR153))</f>
        <v>-0.55950946427675097</v>
      </c>
      <c r="DT153" s="204" t="str">
        <f t="shared" si="273"/>
        <v/>
      </c>
      <c r="DU153" s="204">
        <f>IF($J153="",#N/A,SUM(DT$4:DT153))</f>
        <v>-3.5029740333397914</v>
      </c>
      <c r="DV153" s="205" t="str">
        <f t="shared" si="274"/>
        <v/>
      </c>
      <c r="DW153" s="205">
        <f>IF($J153="",#N/A,SUM(DV$4:DV153))</f>
        <v>-1.5072282546558893</v>
      </c>
      <c r="DX153" s="205">
        <f>IF($J153="",#N/A,SUM(DV$4:DV153,DT$4:DT153,DR$4:DR153))</f>
        <v>-5.5697117522724318</v>
      </c>
      <c r="DY153" s="200" t="str">
        <f t="shared" si="275"/>
        <v/>
      </c>
      <c r="DZ153" s="203">
        <f>IF($J153="",#N/A,SUM(DY$4:DY153))</f>
        <v>-1.63480022183437</v>
      </c>
      <c r="EA153" s="204" t="str">
        <f t="shared" si="276"/>
        <v/>
      </c>
      <c r="EB153" s="204">
        <f>IF($J153="",#N/A,SUM(EA$4:EA153))</f>
        <v>-0.2070110273231956</v>
      </c>
      <c r="EC153" s="205" t="str">
        <f t="shared" si="277"/>
        <v/>
      </c>
      <c r="ED153" s="205">
        <f>IF($J153="",#N/A,SUM(EC$4:EC153))</f>
        <v>1.7103671484331777</v>
      </c>
      <c r="EE153" s="205">
        <f>IF($J153="",#N/A,SUM(EC$4:EC153,EA$4:EA153,DY$4:DY153))</f>
        <v>-0.13144410072438789</v>
      </c>
      <c r="EF153" s="200" t="str">
        <f t="shared" si="278"/>
        <v/>
      </c>
      <c r="EG153" s="203">
        <f>IF($J153="",#N/A,SUM(EF$4:EF153))</f>
        <v>0</v>
      </c>
      <c r="EH153" s="204" t="str">
        <f t="shared" si="279"/>
        <v/>
      </c>
      <c r="EI153" s="204">
        <f>IF($J153="",#N/A,SUM(EH$4:EH153))</f>
        <v>-1.1184224685150388</v>
      </c>
      <c r="EJ153" s="205" t="str">
        <f t="shared" si="280"/>
        <v/>
      </c>
      <c r="EK153" s="205">
        <f>IF($J153="",#N/A,SUM(EJ$4:EJ153))</f>
        <v>1.7255127285193785</v>
      </c>
      <c r="EL153" s="205">
        <f>IF($J153="",#N/A,SUM(EJ$4:EJ153,EH$4:EH153,EF$4:EF153))</f>
        <v>0.60709026000434052</v>
      </c>
      <c r="EM153" s="200" t="str">
        <f t="shared" si="281"/>
        <v/>
      </c>
      <c r="EN153" s="203">
        <f>IF($J153="",#N/A,SUM(EM$4:EM153))</f>
        <v>0</v>
      </c>
      <c r="EO153" s="204" t="str">
        <f t="shared" si="282"/>
        <v/>
      </c>
      <c r="EP153" s="204">
        <f>IF($J153="",#N/A,SUM(EO$4:EO153))</f>
        <v>1.264716604605848</v>
      </c>
      <c r="EQ153" s="205">
        <f t="shared" si="283"/>
        <v>1.009857752946089</v>
      </c>
      <c r="ER153" s="205">
        <f>IF($J153="",#N/A,SUM(EQ$4:EQ153))</f>
        <v>1.5025175479314647</v>
      </c>
      <c r="ES153" s="205">
        <f>IF($J153="",#N/A,SUM(EQ$4:EQ153,EO$4:EO153,EM$4:EM153))</f>
        <v>2.7672341525373123</v>
      </c>
      <c r="ET153" s="200" t="str">
        <f t="shared" si="284"/>
        <v/>
      </c>
      <c r="EU153" s="203">
        <f>IF($J153="",#N/A,SUM(ET$4:ET153))</f>
        <v>0</v>
      </c>
      <c r="EV153" s="204" t="str">
        <f t="shared" si="285"/>
        <v/>
      </c>
      <c r="EW153" s="204">
        <f>IF($J153="",#N/A,SUM(EV$4:EV153))</f>
        <v>0.90459527759708336</v>
      </c>
      <c r="EX153" s="205" t="str">
        <f t="shared" si="286"/>
        <v/>
      </c>
      <c r="EY153" s="205">
        <f>IF($J153="",#N/A,SUM(EX$4:EX153))</f>
        <v>0.22957553748493481</v>
      </c>
      <c r="EZ153" s="205">
        <f>IF($J153="",#N/A,SUM(EX$4:EX153,EV$4:EV153,ET$4:ET153))</f>
        <v>1.134170815082018</v>
      </c>
      <c r="FA153" s="200" t="str">
        <f t="shared" si="287"/>
        <v/>
      </c>
      <c r="FB153" s="203">
        <f>IF($J153="",#N/A,SUM(FA$4:FA153))</f>
        <v>0</v>
      </c>
      <c r="FC153" s="204" t="str">
        <f t="shared" si="288"/>
        <v/>
      </c>
      <c r="FD153" s="204">
        <f>IF($J153="",#N/A,SUM(FC$4:FC153))</f>
        <v>1.6839191319663924</v>
      </c>
      <c r="FE153" s="205" t="str">
        <f t="shared" si="289"/>
        <v/>
      </c>
      <c r="FF153" s="205">
        <f>IF($J153="",#N/A,SUM(FE$4:FE153))</f>
        <v>-0.28811149078748233</v>
      </c>
      <c r="FG153" s="205">
        <f>IF($J153="",#N/A,SUM(FE$4:FE153,FC$4:FC153,FA$4:FA153))</f>
        <v>1.3958076411789102</v>
      </c>
      <c r="FH153" s="200" t="str">
        <f t="shared" si="290"/>
        <v/>
      </c>
      <c r="FI153" s="203">
        <f>IF($J153="",#N/A,SUM(FH$4:FH153))</f>
        <v>0</v>
      </c>
      <c r="FJ153" s="204" t="str">
        <f t="shared" si="291"/>
        <v/>
      </c>
      <c r="FK153" s="204">
        <f>IF($J153="",#N/A,SUM(FJ$4:FJ153))</f>
        <v>0</v>
      </c>
      <c r="FL153" s="205" t="str">
        <f t="shared" si="292"/>
        <v/>
      </c>
      <c r="FM153" s="205">
        <f>IF($J153="",#N/A,SUM(FL$4:FL153))</f>
        <v>0</v>
      </c>
      <c r="FN153" s="205">
        <f>IF($J153="",#N/A,SUM(FL$4:FL153,FJ$4:FJ153,FH$4:FH153))</f>
        <v>0</v>
      </c>
      <c r="FO153" s="200" t="str">
        <f t="shared" si="293"/>
        <v/>
      </c>
      <c r="FP153" s="203">
        <f>IF($J153="",#N/A,SUM(FO$4:FO153))</f>
        <v>0</v>
      </c>
      <c r="FQ153" s="204" t="str">
        <f t="shared" si="294"/>
        <v/>
      </c>
      <c r="FR153" s="204">
        <f>IF($J153="",#N/A,SUM(FQ$4:FQ153))</f>
        <v>0</v>
      </c>
      <c r="FS153" s="205" t="str">
        <f t="shared" si="295"/>
        <v/>
      </c>
      <c r="FT153" s="205">
        <f>IF($J153="",#N/A,SUM(FS$4:FS153))</f>
        <v>0</v>
      </c>
      <c r="FU153" s="205">
        <f>IF($J153="",#N/A,SUM(FS$4:FS153,FQ$4:FQ153,FO$4:FO153))</f>
        <v>0</v>
      </c>
      <c r="FV153" s="200" t="str">
        <f t="shared" si="296"/>
        <v/>
      </c>
      <c r="FW153" s="203">
        <f>IF($J153="",#N/A,SUM(FV$4:FV153))</f>
        <v>6.6834991831277585E-2</v>
      </c>
      <c r="FX153" s="204" t="str">
        <f t="shared" si="297"/>
        <v/>
      </c>
      <c r="FY153" s="204">
        <f>IF($J153="",#N/A,SUM(FX$4:FX153))</f>
        <v>0</v>
      </c>
      <c r="FZ153" s="205" t="str">
        <f t="shared" si="298"/>
        <v/>
      </c>
      <c r="GA153" s="205">
        <f>IF($J153="",#N/A,SUM(FZ$4:FZ153))</f>
        <v>-0.24773347685909197</v>
      </c>
      <c r="GB153" s="205">
        <f>IF($J153="",#N/A,SUM(FZ$4:FZ153,FX$4:FX153,FV$4:FV153))</f>
        <v>-0.18089848502781439</v>
      </c>
      <c r="GC153" s="200" t="str">
        <f t="shared" si="299"/>
        <v/>
      </c>
      <c r="GD153" s="203">
        <f>IF($J153="",#N/A,SUM(GC$4:GC153))</f>
        <v>0</v>
      </c>
      <c r="GE153" s="204" t="str">
        <f t="shared" si="300"/>
        <v/>
      </c>
      <c r="GF153" s="204">
        <f>IF($J153="",#N/A,SUM(GE$4:GE153))</f>
        <v>0</v>
      </c>
      <c r="GG153" s="205" t="str">
        <f t="shared" si="301"/>
        <v/>
      </c>
      <c r="GH153" s="205">
        <f>IF($J153="",#N/A,SUM(GG$4:GG153))</f>
        <v>-2.9368362277223206</v>
      </c>
      <c r="GI153" s="205">
        <f>IF($J153="",#N/A,SUM(GG$4:GG153,GE$4:GE153,GC$4:GC153))</f>
        <v>-2.9368362277223206</v>
      </c>
      <c r="GJ153" s="200" t="str">
        <f t="shared" si="302"/>
        <v/>
      </c>
      <c r="GK153" s="203">
        <f>IF($J153="",#N/A,SUM(GJ$4:GJ153))</f>
        <v>0</v>
      </c>
      <c r="GL153" s="204" t="str">
        <f t="shared" si="303"/>
        <v/>
      </c>
      <c r="GM153" s="204">
        <f>IF($J153="",#N/A,SUM(GL$4:GL153))</f>
        <v>-0.80168930905701452</v>
      </c>
      <c r="GN153" s="205" t="str">
        <f t="shared" si="304"/>
        <v/>
      </c>
      <c r="GO153" s="205">
        <f>IF($J153="",#N/A,SUM(GN$4:GN153))</f>
        <v>0</v>
      </c>
      <c r="GP153" s="205">
        <f>IF($J153="",#N/A,SUM(GN$4:GN153,GL$4:GL153,GJ$4:GJ153))</f>
        <v>-0.80168930905701452</v>
      </c>
      <c r="GS153" s="177">
        <f t="shared" si="323"/>
        <v>1.009857752946089</v>
      </c>
      <c r="GT153" s="177">
        <f>IF(GS153="",NA(),SUM($GS$4:GS153))</f>
        <v>-2.7924848392921939</v>
      </c>
      <c r="GU153" s="177" t="str">
        <f t="shared" si="305"/>
        <v/>
      </c>
      <c r="GV153" s="177" t="e">
        <f>IF(GU153="",NA(),SUM($GU$4:GU153))</f>
        <v>#N/A</v>
      </c>
      <c r="GW153" s="177">
        <f t="shared" si="306"/>
        <v>1.009857752946089</v>
      </c>
      <c r="GX153" s="177">
        <f>IF(GW153="",NA(),SUM($GW$4:GW153))</f>
        <v>0.96530243917495051</v>
      </c>
      <c r="GY153" s="177" t="str">
        <f t="shared" si="307"/>
        <v/>
      </c>
      <c r="GZ153" s="177" t="e">
        <f>IF(GY153="",NA(),SUM($GY$4:GY153))</f>
        <v>#N/A</v>
      </c>
      <c r="HA153" s="177" t="str">
        <f t="shared" si="308"/>
        <v/>
      </c>
      <c r="HB153" s="177" t="e">
        <f>IF(HA153="",NA(),SUM($HA$4:HA153))</f>
        <v>#N/A</v>
      </c>
      <c r="HC153" s="177" t="str">
        <f t="shared" si="309"/>
        <v/>
      </c>
      <c r="HD153" s="177" t="e">
        <f>IF(HC153="",NA(),SUM($HC$4:HC153))</f>
        <v>#N/A</v>
      </c>
      <c r="HE153" s="177" t="str">
        <f t="shared" si="310"/>
        <v/>
      </c>
      <c r="HF153" s="177" t="e">
        <f>IF(HE153="",NA(),SUM($HE$4:HE153))</f>
        <v>#N/A</v>
      </c>
      <c r="HG153" s="177" t="str">
        <f t="shared" si="311"/>
        <v/>
      </c>
      <c r="HH153" s="177" t="e">
        <f>IF(HG153="",NA(),SUM($HG$4:HG153))</f>
        <v>#N/A</v>
      </c>
      <c r="HI153" s="183" t="str">
        <f t="shared" si="324"/>
        <v/>
      </c>
      <c r="HJ153" s="183">
        <f>IF($J153="",#N/A,SUM(HI$4:$HI153))</f>
        <v>-6.2107003994886369</v>
      </c>
      <c r="HK153" s="177" t="str">
        <f t="shared" si="312"/>
        <v/>
      </c>
      <c r="HL153" s="177">
        <f>IF($J153="",#N/A,SUM($HK$4:HK153))</f>
        <v>-5.702620630287301</v>
      </c>
      <c r="HM153" s="177" t="str">
        <f t="shared" si="313"/>
        <v/>
      </c>
      <c r="HN153" s="177">
        <f>IF($J153="",#N/A,SUM($HM$4:HM153))</f>
        <v>0.71812545963587882</v>
      </c>
      <c r="HO153" s="177" t="str">
        <f t="shared" si="314"/>
        <v/>
      </c>
      <c r="HP153" s="177">
        <f>IF($J153="",#N/A,SUM($HO$4:HO153))</f>
        <v>-0.14859521910082485</v>
      </c>
      <c r="HQ153" s="177">
        <f t="shared" si="315"/>
        <v>-0.19908165558873736</v>
      </c>
      <c r="HR153" s="177">
        <f>IF($J153="",#N/A,SUM($HQ$4:HQ153))</f>
        <v>-8.6240172075996302</v>
      </c>
      <c r="HS153" s="177" t="str">
        <f t="shared" si="316"/>
        <v/>
      </c>
      <c r="HT153" s="177">
        <f>IF($J153="",#N/A,SUM($HS$4:HS153))</f>
        <v>8.9025773633382936</v>
      </c>
      <c r="HU153" s="64">
        <f t="shared" si="317"/>
        <v>0.81077609735735168</v>
      </c>
      <c r="HV153" s="64">
        <f>IF($J153="",#N/A,SUM(HU$4:$HU153))</f>
        <v>-12.254794907605621</v>
      </c>
    </row>
    <row r="154" spans="1:230" x14ac:dyDescent="0.25">
      <c r="A154" s="51" t="s">
        <v>1488</v>
      </c>
      <c r="B154" s="52" t="s">
        <v>4541</v>
      </c>
      <c r="C154" s="229">
        <f t="shared" si="218"/>
        <v>3</v>
      </c>
      <c r="D154" s="219" t="str">
        <f>_xlfn.XLOOKUP(A154,[1]SP500!$A$2:$A$502,[1]SP500!$D$2:$D$502,"N")</f>
        <v>Y</v>
      </c>
      <c r="E154" s="51" t="str">
        <f>IFERROR(_xlfn.XLOOKUP(A154,[1]SP500!$A$2:$A$655,[1]SP500!$B$2:$B$655),"")</f>
        <v>XLI</v>
      </c>
      <c r="F154" s="290">
        <v>45776</v>
      </c>
      <c r="G154" s="51" t="str">
        <f t="shared" si="219"/>
        <v>AMC</v>
      </c>
      <c r="H154" s="51" t="str">
        <f t="shared" si="220"/>
        <v>s</v>
      </c>
      <c r="I154" s="344">
        <v>93.09</v>
      </c>
      <c r="J154" s="124">
        <v>91.75</v>
      </c>
      <c r="K154" s="55">
        <f t="shared" si="221"/>
        <v>-1.4394671822967057E-2</v>
      </c>
      <c r="L154" s="67">
        <f t="shared" si="222"/>
        <v>-14.740000000000009</v>
      </c>
      <c r="M154" s="57">
        <f t="shared" si="223"/>
        <v>-12.32000000000005</v>
      </c>
      <c r="N154" s="102">
        <f t="shared" si="224"/>
        <v>-14.740000000000009</v>
      </c>
      <c r="O154" s="57">
        <f>IF(N154="",#N/A,SUM($N$4:N154))</f>
        <v>-281.17863589938747</v>
      </c>
      <c r="P154" s="65">
        <f t="shared" si="318"/>
        <v>-0.23991119704945049</v>
      </c>
      <c r="Q154" s="172">
        <f>IF($N154="",#N/A,SUM($P$4:P154))</f>
        <v>-1.4294754711528501</v>
      </c>
      <c r="R154" s="279">
        <f t="shared" si="225"/>
        <v>5.5060746154807125</v>
      </c>
      <c r="S154" s="51" t="str">
        <f t="shared" si="226"/>
        <v>SW</v>
      </c>
      <c r="T154" s="51" t="s">
        <v>2828</v>
      </c>
      <c r="U154" s="56">
        <f t="shared" si="227"/>
        <v>93.09</v>
      </c>
      <c r="V154" s="56" t="s">
        <v>4460</v>
      </c>
      <c r="W154" s="142">
        <v>11</v>
      </c>
      <c r="X154" s="145">
        <f t="shared" si="228"/>
        <v>1023.99</v>
      </c>
      <c r="Y154" s="140">
        <f t="shared" si="229"/>
        <v>11</v>
      </c>
      <c r="Z154" s="123">
        <v>90.63</v>
      </c>
      <c r="AA154" s="102">
        <f t="shared" si="230"/>
        <v>-27.060000000000059</v>
      </c>
      <c r="AB154" s="102">
        <f t="shared" si="231"/>
        <v>30.910000000000082</v>
      </c>
      <c r="AC154" s="124">
        <v>95.9</v>
      </c>
      <c r="AD154" s="155">
        <f t="shared" si="232"/>
        <v>30.910000000000082</v>
      </c>
      <c r="AE154" s="545">
        <f t="shared" si="233"/>
        <v>0.50309736097683377</v>
      </c>
      <c r="AF154" s="57">
        <f>IF($AC154="",#N/A,SUM(AD$4:AD154))</f>
        <v>-813.35041200241642</v>
      </c>
      <c r="AG154" s="102">
        <f t="shared" si="234"/>
        <v>45.650000000000091</v>
      </c>
      <c r="AH154" s="56" t="s">
        <v>2507</v>
      </c>
      <c r="AI154" s="65">
        <f t="shared" si="235"/>
        <v>-0.44043398861317101</v>
      </c>
      <c r="AJ154" s="54">
        <f>IF(AI154="",#N/A,SUM($AI$4:AI154))</f>
        <v>-6.9355500866335626</v>
      </c>
      <c r="AK154" s="57">
        <f t="shared" si="236"/>
        <v>-27.060000000000059</v>
      </c>
      <c r="AL154" s="349">
        <f>IF(AI154="",#N/A,IF(AH154="Skip",SUM($AK$4:AK154),SUM($AK$4:AK154)))</f>
        <v>-635.17740850718644</v>
      </c>
      <c r="AM154" s="65">
        <f t="shared" si="319"/>
        <v>0.50309736097683377</v>
      </c>
      <c r="AN154" s="209"/>
      <c r="AO154" s="65">
        <f t="shared" si="237"/>
        <v>0.50309736097683377</v>
      </c>
      <c r="AP154" s="65">
        <f>IF($AC154="",#N/A,SUM(AO$4:AO154))</f>
        <v>3.1231911930601521</v>
      </c>
      <c r="AQ154" s="65" t="str">
        <f t="shared" si="238"/>
        <v/>
      </c>
      <c r="AR154" s="65">
        <f>IF($AC154="",#N/A,SUM(AQ$4:AQ154))</f>
        <v>-2.6179859771653153</v>
      </c>
      <c r="AS154" s="65" t="str">
        <f t="shared" si="239"/>
        <v/>
      </c>
      <c r="AT154" s="65">
        <f>IF($AC154="",#N/A,SUM(AS$4:AS154))</f>
        <v>-12.256902762523628</v>
      </c>
      <c r="AU154" s="57">
        <f t="shared" si="320"/>
        <v>30.910000000000082</v>
      </c>
      <c r="AV154" s="57">
        <f>IF($AC154="",#N/A,SUM(AU$4:AU154))</f>
        <v>113.42120645125044</v>
      </c>
      <c r="AW154" s="57" t="str">
        <f t="shared" si="321"/>
        <v/>
      </c>
      <c r="AX154" s="57">
        <f>IF($AC154="",#N/A,SUM(AW$4:AW154))</f>
        <v>-163.1400000000001</v>
      </c>
      <c r="AY154" s="57" t="str">
        <f t="shared" si="322"/>
        <v/>
      </c>
      <c r="AZ154" s="57">
        <f>IF($AC154="",#N/A,SUM(AY$4:AY154))</f>
        <v>-763.63161845366676</v>
      </c>
      <c r="BA154" s="57">
        <f>IF(AD154="",#N/A,SUM($AD$4:AD154))</f>
        <v>-813.35041200241642</v>
      </c>
      <c r="BC154" s="51" t="str">
        <f t="shared" si="240"/>
        <v/>
      </c>
      <c r="BD154" s="51" t="str">
        <f t="shared" si="241"/>
        <v/>
      </c>
      <c r="BE154" s="51" t="str">
        <f t="shared" si="242"/>
        <v/>
      </c>
      <c r="BF154" s="51" t="str">
        <f t="shared" si="243"/>
        <v>Long</v>
      </c>
      <c r="BG154" s="51" t="str">
        <f t="shared" si="244"/>
        <v/>
      </c>
      <c r="BH154" s="51" t="str">
        <f t="shared" si="245"/>
        <v/>
      </c>
      <c r="BI154" s="51">
        <f t="shared" si="246"/>
        <v>1</v>
      </c>
      <c r="BK154" s="65">
        <f t="shared" si="217"/>
        <v>6.5406034056514475E-2</v>
      </c>
      <c r="BL154" s="65">
        <f t="shared" si="216"/>
        <v>-8.6948822024229509E-3</v>
      </c>
      <c r="BM154" s="65">
        <f>IFERROR(Q154/COUNTA($J$4:J154),#N/A)</f>
        <v>-9.4667249745221862E-3</v>
      </c>
      <c r="BO154" s="489">
        <f>IF(J154="",#N/A,IF(S154="SW",(COUNTIFS(K$4:$K154,"&gt;0",S$4:$S154,"SW")/COUNTIF(S$4:$S154,"SW")),#N/A))</f>
        <v>0.48101265822784811</v>
      </c>
      <c r="BP154" s="489" t="e">
        <f>IF($J154="",#N/A,IF($S154="DWN",(COUNTIFS($K$4:$K154,"&lt;0",$S$4:$S154,"DWN")/COUNTIF($S$4:$S154,"DWN")),#N/A))</f>
        <v>#N/A</v>
      </c>
      <c r="BQ154" s="489" t="e">
        <f>IF($J154="",#N/A,IF($S154="UP",(COUNTIFS($K$4:$K154,"&gt;0",$S$4:$S154,"UP")/COUNTIF($S$4:$S154,"UP")),#N/A))</f>
        <v>#N/A</v>
      </c>
      <c r="BR154" s="489">
        <f>IF(J154="",#N/A,COUNTIF($K$4:K154,"&gt;0")/COUNT($J$4:J154))</f>
        <v>0.46357615894039733</v>
      </c>
      <c r="BS154" s="65" t="str">
        <f t="shared" si="247"/>
        <v/>
      </c>
      <c r="BT154" s="65">
        <f t="shared" si="248"/>
        <v>-0.23991119704945049</v>
      </c>
      <c r="BU154" s="65" t="str">
        <f t="shared" si="249"/>
        <v/>
      </c>
      <c r="BV154" s="65" t="str">
        <f t="shared" si="250"/>
        <v/>
      </c>
      <c r="BW154" s="128" t="str">
        <f t="shared" si="251"/>
        <v/>
      </c>
      <c r="BX154" s="128">
        <f>IF($J154="",#N/A,SUM($BW$4:BW154))</f>
        <v>-205.1650000000003</v>
      </c>
      <c r="BY154" s="131" t="str">
        <f t="shared" si="252"/>
        <v/>
      </c>
      <c r="BZ154" s="131">
        <f>IF($J154="",#N/A,SUM($BY$4:BY154))</f>
        <v>-73.725659610666298</v>
      </c>
      <c r="CA154" s="133">
        <f t="shared" si="253"/>
        <v>-14.740000000000009</v>
      </c>
      <c r="CB154" s="133">
        <f>IF($J154="",#N/A,SUM($CA$4:CA154))</f>
        <v>-2.2879762887208699</v>
      </c>
      <c r="CC154" s="194" t="str">
        <f t="shared" si="254"/>
        <v/>
      </c>
      <c r="CD154" s="194">
        <f>IF($J154="",#N/A,SUM($CC$4:CC154))</f>
        <v>-3.1875162177003693</v>
      </c>
      <c r="CE154" s="195" t="str">
        <f t="shared" si="255"/>
        <v/>
      </c>
      <c r="CF154" s="195">
        <f>IF($J154="",#N/A,SUM($CE$4:CE154))</f>
        <v>-0.34358173274768583</v>
      </c>
      <c r="CG154" s="196">
        <f t="shared" si="256"/>
        <v>-0.23991119704945049</v>
      </c>
      <c r="CH154" s="193">
        <f>IF($J154="",#N/A,SUM($CG$4:CG154))</f>
        <v>2.1016224792952101</v>
      </c>
      <c r="CI154" s="200" t="str">
        <f t="shared" si="257"/>
        <v/>
      </c>
      <c r="CJ154" s="203">
        <f>IF($J154="",#N/A,SUM(CI$4:CI154))</f>
        <v>0</v>
      </c>
      <c r="CK154" s="204" t="str">
        <f t="shared" si="258"/>
        <v/>
      </c>
      <c r="CL154" s="204">
        <f>IF($J154="",#N/A,SUM(CK$4:CK154))</f>
        <v>0.95905730556970825</v>
      </c>
      <c r="CM154" s="205" t="str">
        <f t="shared" si="259"/>
        <v/>
      </c>
      <c r="CN154" s="205">
        <f>IF($J154="",#N/A,SUM(CM$4:CM154))</f>
        <v>2.2555985727472319</v>
      </c>
      <c r="CO154" s="205">
        <f>IF($J154="",#N/A,SUM(CM$4:CM154,CK$4:CK154,CI$4:CI154))</f>
        <v>3.2146558783169401</v>
      </c>
      <c r="CP154" s="200" t="str">
        <f t="shared" si="260"/>
        <v/>
      </c>
      <c r="CQ154" s="203">
        <f>IF($J154="",#N/A,SUM(CP$4:CP154))</f>
        <v>0</v>
      </c>
      <c r="CR154" s="204" t="str">
        <f t="shared" si="261"/>
        <v/>
      </c>
      <c r="CS154" s="204">
        <f>IF($J154="",#N/A,SUM(CR$4:CR154))</f>
        <v>0</v>
      </c>
      <c r="CT154" s="205" t="str">
        <f t="shared" si="262"/>
        <v/>
      </c>
      <c r="CU154" s="205">
        <f>IF($J154="",#N/A,SUM(CT$4:CT154))</f>
        <v>0</v>
      </c>
      <c r="CV154" s="205">
        <f>IF($J154="",#N/A,SUM(CT$4:CT154,CR$4:CR154,CP$4:CP154))</f>
        <v>0</v>
      </c>
      <c r="CW154" s="200" t="str">
        <f t="shared" si="263"/>
        <v/>
      </c>
      <c r="CX154" s="203">
        <f>IF($J154="",#N/A,SUM(CW$4:CW154))</f>
        <v>0</v>
      </c>
      <c r="CY154" s="204" t="str">
        <f t="shared" si="264"/>
        <v/>
      </c>
      <c r="CZ154" s="204">
        <f>IF($J154="",#N/A,SUM(CY$4:CY154))</f>
        <v>-1.9289529100071134</v>
      </c>
      <c r="DA154" s="205" t="str">
        <f t="shared" si="265"/>
        <v/>
      </c>
      <c r="DB154" s="205">
        <f>IF($J154="",#N/A,SUM(DA$4:DA154))</f>
        <v>3.1364376348577139E-3</v>
      </c>
      <c r="DC154" s="205">
        <f>IF($J154="",#N/A,SUM(DA$4:DA154,CY$4:CY154,CW$4:CW154))</f>
        <v>-1.9258164723722557</v>
      </c>
      <c r="DD154" s="200" t="str">
        <f t="shared" si="266"/>
        <v/>
      </c>
      <c r="DE154" s="203">
        <f>IF($J154="",#N/A,SUM(DD$4:DD154))</f>
        <v>0.14968716170674062</v>
      </c>
      <c r="DF154" s="204" t="str">
        <f t="shared" si="267"/>
        <v/>
      </c>
      <c r="DG154" s="204">
        <f>IF($J154="",#N/A,SUM(DF$4:DF154))</f>
        <v>1.2121188689979676</v>
      </c>
      <c r="DH154" s="205" t="str">
        <f t="shared" si="268"/>
        <v/>
      </c>
      <c r="DI154" s="205">
        <f>IF($J154="",#N/A,SUM(DH$4:DH154))</f>
        <v>-1.4547707265941352</v>
      </c>
      <c r="DJ154" s="205">
        <f>IF($J154="",#N/A,SUM(DH$4:DH154,DF$4:DF154,DD$4:DD154))</f>
        <v>-9.2964695889427046E-2</v>
      </c>
      <c r="DK154" s="200" t="str">
        <f t="shared" si="269"/>
        <v/>
      </c>
      <c r="DL154" s="203">
        <f>IF($J154="",#N/A,SUM(DK$4:DK154))</f>
        <v>-1.2097286851272664</v>
      </c>
      <c r="DM154" s="204" t="str">
        <f t="shared" si="270"/>
        <v/>
      </c>
      <c r="DN154" s="204">
        <f>IF($J154="",#N/A,SUM(DM$4:DM154))</f>
        <v>1.1910608267574658</v>
      </c>
      <c r="DO154" s="205" t="str">
        <f t="shared" si="271"/>
        <v/>
      </c>
      <c r="DP154" s="205">
        <f>IF($J154="",#N/A,SUM(DO$4:DO154))</f>
        <v>1.3495058802125319</v>
      </c>
      <c r="DQ154" s="205">
        <f>IF($J154="",#N/A,SUM(DO$4:DO154,DM$4:DM154,DK$4:DK154))</f>
        <v>1.3308380218427318</v>
      </c>
      <c r="DR154" s="200" t="str">
        <f t="shared" si="272"/>
        <v/>
      </c>
      <c r="DS154" s="203">
        <f>IF($J154="",#N/A,SUM(DR$4:DR154))</f>
        <v>-0.55950946427675097</v>
      </c>
      <c r="DT154" s="204" t="str">
        <f t="shared" si="273"/>
        <v/>
      </c>
      <c r="DU154" s="204">
        <f>IF($J154="",#N/A,SUM(DT$4:DT154))</f>
        <v>-3.5029740333397914</v>
      </c>
      <c r="DV154" s="205" t="str">
        <f t="shared" si="274"/>
        <v/>
      </c>
      <c r="DW154" s="205">
        <f>IF($J154="",#N/A,SUM(DV$4:DV154))</f>
        <v>-1.5072282546558893</v>
      </c>
      <c r="DX154" s="205">
        <f>IF($J154="",#N/A,SUM(DV$4:DV154,DT$4:DT154,DR$4:DR154))</f>
        <v>-5.5697117522724318</v>
      </c>
      <c r="DY154" s="200" t="str">
        <f t="shared" si="275"/>
        <v/>
      </c>
      <c r="DZ154" s="203">
        <f>IF($J154="",#N/A,SUM(DY$4:DY154))</f>
        <v>-1.63480022183437</v>
      </c>
      <c r="EA154" s="204" t="str">
        <f t="shared" si="276"/>
        <v/>
      </c>
      <c r="EB154" s="204">
        <f>IF($J154="",#N/A,SUM(EA$4:EA154))</f>
        <v>-0.2070110273231956</v>
      </c>
      <c r="EC154" s="205">
        <f t="shared" si="277"/>
        <v>-0.23991119704945049</v>
      </c>
      <c r="ED154" s="205">
        <f>IF($J154="",#N/A,SUM(EC$4:EC154))</f>
        <v>1.4704559513837272</v>
      </c>
      <c r="EE154" s="205">
        <f>IF($J154="",#N/A,SUM(EC$4:EC154,EA$4:EA154,DY$4:DY154))</f>
        <v>-0.37135529777383841</v>
      </c>
      <c r="EF154" s="200" t="str">
        <f t="shared" si="278"/>
        <v/>
      </c>
      <c r="EG154" s="203">
        <f>IF($J154="",#N/A,SUM(EF$4:EF154))</f>
        <v>0</v>
      </c>
      <c r="EH154" s="204" t="str">
        <f t="shared" si="279"/>
        <v/>
      </c>
      <c r="EI154" s="204">
        <f>IF($J154="",#N/A,SUM(EH$4:EH154))</f>
        <v>-1.1184224685150388</v>
      </c>
      <c r="EJ154" s="205" t="str">
        <f t="shared" si="280"/>
        <v/>
      </c>
      <c r="EK154" s="205">
        <f>IF($J154="",#N/A,SUM(EJ$4:EJ154))</f>
        <v>1.7255127285193785</v>
      </c>
      <c r="EL154" s="205">
        <f>IF($J154="",#N/A,SUM(EJ$4:EJ154,EH$4:EH154,EF$4:EF154))</f>
        <v>0.60709026000434052</v>
      </c>
      <c r="EM154" s="200" t="str">
        <f t="shared" si="281"/>
        <v/>
      </c>
      <c r="EN154" s="203">
        <f>IF($J154="",#N/A,SUM(EM$4:EM154))</f>
        <v>0</v>
      </c>
      <c r="EO154" s="204" t="str">
        <f t="shared" si="282"/>
        <v/>
      </c>
      <c r="EP154" s="204">
        <f>IF($J154="",#N/A,SUM(EO$4:EO154))</f>
        <v>1.264716604605848</v>
      </c>
      <c r="EQ154" s="205" t="str">
        <f t="shared" si="283"/>
        <v/>
      </c>
      <c r="ER154" s="205">
        <f>IF($J154="",#N/A,SUM(EQ$4:EQ154))</f>
        <v>1.5025175479314647</v>
      </c>
      <c r="ES154" s="205">
        <f>IF($J154="",#N/A,SUM(EQ$4:EQ154,EO$4:EO154,EM$4:EM154))</f>
        <v>2.7672341525373123</v>
      </c>
      <c r="ET154" s="200" t="str">
        <f t="shared" si="284"/>
        <v/>
      </c>
      <c r="EU154" s="203">
        <f>IF($J154="",#N/A,SUM(ET$4:ET154))</f>
        <v>0</v>
      </c>
      <c r="EV154" s="204" t="str">
        <f t="shared" si="285"/>
        <v/>
      </c>
      <c r="EW154" s="204">
        <f>IF($J154="",#N/A,SUM(EV$4:EV154))</f>
        <v>0.90459527759708336</v>
      </c>
      <c r="EX154" s="205" t="str">
        <f t="shared" si="286"/>
        <v/>
      </c>
      <c r="EY154" s="205">
        <f>IF($J154="",#N/A,SUM(EX$4:EX154))</f>
        <v>0.22957553748493481</v>
      </c>
      <c r="EZ154" s="205">
        <f>IF($J154="",#N/A,SUM(EX$4:EX154,EV$4:EV154,ET$4:ET154))</f>
        <v>1.134170815082018</v>
      </c>
      <c r="FA154" s="200" t="str">
        <f t="shared" si="287"/>
        <v/>
      </c>
      <c r="FB154" s="203">
        <f>IF($J154="",#N/A,SUM(FA$4:FA154))</f>
        <v>0</v>
      </c>
      <c r="FC154" s="204" t="str">
        <f t="shared" si="288"/>
        <v/>
      </c>
      <c r="FD154" s="204">
        <f>IF($J154="",#N/A,SUM(FC$4:FC154))</f>
        <v>1.6839191319663924</v>
      </c>
      <c r="FE154" s="205" t="str">
        <f t="shared" si="289"/>
        <v/>
      </c>
      <c r="FF154" s="205">
        <f>IF($J154="",#N/A,SUM(FE$4:FE154))</f>
        <v>-0.28811149078748233</v>
      </c>
      <c r="FG154" s="205">
        <f>IF($J154="",#N/A,SUM(FE$4:FE154,FC$4:FC154,FA$4:FA154))</f>
        <v>1.3958076411789102</v>
      </c>
      <c r="FH154" s="200" t="str">
        <f t="shared" si="290"/>
        <v/>
      </c>
      <c r="FI154" s="203">
        <f>IF($J154="",#N/A,SUM(FH$4:FH154))</f>
        <v>0</v>
      </c>
      <c r="FJ154" s="204" t="str">
        <f t="shared" si="291"/>
        <v/>
      </c>
      <c r="FK154" s="204">
        <f>IF($J154="",#N/A,SUM(FJ$4:FJ154))</f>
        <v>0</v>
      </c>
      <c r="FL154" s="205" t="str">
        <f t="shared" si="292"/>
        <v/>
      </c>
      <c r="FM154" s="205">
        <f>IF($J154="",#N/A,SUM(FL$4:FL154))</f>
        <v>0</v>
      </c>
      <c r="FN154" s="205">
        <f>IF($J154="",#N/A,SUM(FL$4:FL154,FJ$4:FJ154,FH$4:FH154))</f>
        <v>0</v>
      </c>
      <c r="FO154" s="200" t="str">
        <f t="shared" si="293"/>
        <v/>
      </c>
      <c r="FP154" s="203">
        <f>IF($J154="",#N/A,SUM(FO$4:FO154))</f>
        <v>0</v>
      </c>
      <c r="FQ154" s="204" t="str">
        <f t="shared" si="294"/>
        <v/>
      </c>
      <c r="FR154" s="204">
        <f>IF($J154="",#N/A,SUM(FQ$4:FQ154))</f>
        <v>0</v>
      </c>
      <c r="FS154" s="205" t="str">
        <f t="shared" si="295"/>
        <v/>
      </c>
      <c r="FT154" s="205">
        <f>IF($J154="",#N/A,SUM(FS$4:FS154))</f>
        <v>0</v>
      </c>
      <c r="FU154" s="205">
        <f>IF($J154="",#N/A,SUM(FS$4:FS154,FQ$4:FQ154,FO$4:FO154))</f>
        <v>0</v>
      </c>
      <c r="FV154" s="200" t="str">
        <f t="shared" si="296"/>
        <v/>
      </c>
      <c r="FW154" s="203">
        <f>IF($J154="",#N/A,SUM(FV$4:FV154))</f>
        <v>6.6834991831277585E-2</v>
      </c>
      <c r="FX154" s="204" t="str">
        <f t="shared" si="297"/>
        <v/>
      </c>
      <c r="FY154" s="204">
        <f>IF($J154="",#N/A,SUM(FX$4:FX154))</f>
        <v>0</v>
      </c>
      <c r="FZ154" s="205" t="str">
        <f t="shared" si="298"/>
        <v/>
      </c>
      <c r="GA154" s="205">
        <f>IF($J154="",#N/A,SUM(FZ$4:FZ154))</f>
        <v>-0.24773347685909197</v>
      </c>
      <c r="GB154" s="205">
        <f>IF($J154="",#N/A,SUM(FZ$4:FZ154,FX$4:FX154,FV$4:FV154))</f>
        <v>-0.18089848502781439</v>
      </c>
      <c r="GC154" s="200" t="str">
        <f t="shared" si="299"/>
        <v/>
      </c>
      <c r="GD154" s="203">
        <f>IF($J154="",#N/A,SUM(GC$4:GC154))</f>
        <v>0</v>
      </c>
      <c r="GE154" s="204" t="str">
        <f t="shared" si="300"/>
        <v/>
      </c>
      <c r="GF154" s="204">
        <f>IF($J154="",#N/A,SUM(GE$4:GE154))</f>
        <v>0</v>
      </c>
      <c r="GG154" s="205" t="str">
        <f t="shared" si="301"/>
        <v/>
      </c>
      <c r="GH154" s="205">
        <f>IF($J154="",#N/A,SUM(GG$4:GG154))</f>
        <v>-2.9368362277223206</v>
      </c>
      <c r="GI154" s="205">
        <f>IF($J154="",#N/A,SUM(GG$4:GG154,GE$4:GE154,GC$4:GC154))</f>
        <v>-2.9368362277223206</v>
      </c>
      <c r="GJ154" s="200" t="str">
        <f t="shared" si="302"/>
        <v/>
      </c>
      <c r="GK154" s="203">
        <f>IF($J154="",#N/A,SUM(GJ$4:GJ154))</f>
        <v>0</v>
      </c>
      <c r="GL154" s="204" t="str">
        <f t="shared" si="303"/>
        <v/>
      </c>
      <c r="GM154" s="204">
        <f>IF($J154="",#N/A,SUM(GL$4:GL154))</f>
        <v>-0.80168930905701452</v>
      </c>
      <c r="GN154" s="205" t="str">
        <f t="shared" si="304"/>
        <v/>
      </c>
      <c r="GO154" s="205">
        <f>IF($J154="",#N/A,SUM(GN$4:GN154))</f>
        <v>0</v>
      </c>
      <c r="GP154" s="205">
        <f>IF($J154="",#N/A,SUM(GN$4:GN154,GL$4:GL154,GJ$4:GJ154))</f>
        <v>-0.80168930905701452</v>
      </c>
      <c r="GS154" s="54">
        <f t="shared" si="323"/>
        <v>-0.23991119704945049</v>
      </c>
      <c r="GT154" s="54">
        <f>IF(GS154="",NA(),SUM($GS$4:GS154))</f>
        <v>-3.0323960363416442</v>
      </c>
      <c r="GU154" s="54" t="str">
        <f t="shared" si="305"/>
        <v/>
      </c>
      <c r="GV154" s="54" t="e">
        <f>IF(GU154="",NA(),SUM($GU$4:GU154))</f>
        <v>#N/A</v>
      </c>
      <c r="GW154" s="54">
        <f t="shared" si="306"/>
        <v>-0.23991119704945049</v>
      </c>
      <c r="GX154" s="54">
        <f>IF(GW154="",NA(),SUM($GW$4:GW154))</f>
        <v>0.72539124212549999</v>
      </c>
      <c r="GY154" s="54" t="str">
        <f t="shared" si="307"/>
        <v/>
      </c>
      <c r="GZ154" s="54" t="e">
        <f>IF(GY154="",NA(),SUM($GY$4:GY154))</f>
        <v>#N/A</v>
      </c>
      <c r="HA154" s="54" t="str">
        <f t="shared" si="308"/>
        <v/>
      </c>
      <c r="HB154" s="54" t="e">
        <f>IF(HA154="",NA(),SUM($HA$4:HA154))</f>
        <v>#N/A</v>
      </c>
      <c r="HC154" s="54" t="str">
        <f t="shared" si="309"/>
        <v/>
      </c>
      <c r="HD154" s="54" t="e">
        <f>IF(HC154="",NA(),SUM($HC$4:HC154))</f>
        <v>#N/A</v>
      </c>
      <c r="HE154" s="54" t="str">
        <f t="shared" si="310"/>
        <v/>
      </c>
      <c r="HF154" s="54" t="e">
        <f>IF(HE154="",NA(),SUM($HE$4:HE154))</f>
        <v>#N/A</v>
      </c>
      <c r="HG154" s="54" t="str">
        <f t="shared" si="311"/>
        <v/>
      </c>
      <c r="HH154" s="54" t="e">
        <f>IF(HG154="",NA(),SUM($HG$4:HG154))</f>
        <v>#N/A</v>
      </c>
      <c r="HI154" s="172" t="str">
        <f t="shared" si="324"/>
        <v/>
      </c>
      <c r="HJ154" s="172">
        <f>IF($J154="",#N/A,SUM(HI$4:$HI154))</f>
        <v>-6.2107003994886369</v>
      </c>
      <c r="HK154" s="54" t="str">
        <f t="shared" si="312"/>
        <v/>
      </c>
      <c r="HL154" s="54">
        <f>IF($J154="",#N/A,SUM($HK$4:HK154))</f>
        <v>-5.702620630287301</v>
      </c>
      <c r="HM154" s="54" t="str">
        <f t="shared" si="313"/>
        <v/>
      </c>
      <c r="HN154" s="54">
        <f>IF($J154="",#N/A,SUM($HM$4:HM154))</f>
        <v>0.71812545963587882</v>
      </c>
      <c r="HO154" s="54" t="str">
        <f t="shared" si="314"/>
        <v/>
      </c>
      <c r="HP154" s="54">
        <f>IF($J154="",#N/A,SUM($HO$4:HO154))</f>
        <v>-0.14859521910082485</v>
      </c>
      <c r="HQ154" s="54" t="str">
        <f t="shared" si="315"/>
        <v/>
      </c>
      <c r="HR154" s="54">
        <f>IF($J154="",#N/A,SUM($HQ$4:HQ154))</f>
        <v>-8.6240172075996302</v>
      </c>
      <c r="HS154" s="54">
        <f t="shared" si="316"/>
        <v>0.74300855802628429</v>
      </c>
      <c r="HT154" s="54">
        <f>IF($J154="",#N/A,SUM($HS$4:HS154))</f>
        <v>9.645585921364578</v>
      </c>
      <c r="HU154" s="65">
        <f t="shared" si="317"/>
        <v>0.50309736097683377</v>
      </c>
      <c r="HV154" s="65">
        <f>IF($J154="",#N/A,SUM(HU$4:$HU154))</f>
        <v>-11.751697546628787</v>
      </c>
    </row>
    <row r="155" spans="1:230" x14ac:dyDescent="0.25">
      <c r="A155" s="396" t="s">
        <v>1515</v>
      </c>
      <c r="B155" s="52" t="s">
        <v>4541</v>
      </c>
      <c r="C155" s="229">
        <f t="shared" si="218"/>
        <v>3</v>
      </c>
      <c r="D155" s="219" t="str">
        <f>_xlfn.XLOOKUP(A155,[1]SP500!$A$2:$A$502,[1]SP500!$D$2:$D$502,"N")</f>
        <v>Y</v>
      </c>
      <c r="E155" s="51" t="str">
        <f>IFERROR(_xlfn.XLOOKUP(A155,[1]SP500!$A$2:$A$655,[1]SP500!$B$2:$B$655),"")</f>
        <v>XLK</v>
      </c>
      <c r="F155" s="53">
        <v>45776</v>
      </c>
      <c r="G155" s="51" t="str">
        <f t="shared" si="219"/>
        <v>AMC</v>
      </c>
      <c r="H155" s="51" t="str">
        <f t="shared" si="220"/>
        <v>s</v>
      </c>
      <c r="I155" s="344">
        <v>81.599999999999994</v>
      </c>
      <c r="J155" s="123">
        <v>87.135000000000005</v>
      </c>
      <c r="K155" s="55">
        <f t="shared" si="221"/>
        <v>6.783088235294131E-2</v>
      </c>
      <c r="L155" s="67">
        <f t="shared" si="222"/>
        <v>71.955000000000155</v>
      </c>
      <c r="M155" s="57">
        <f t="shared" si="223"/>
        <v>4.6149999999997817</v>
      </c>
      <c r="N155" s="155">
        <f t="shared" si="224"/>
        <v>71.955000000000155</v>
      </c>
      <c r="O155" s="156">
        <f>IF(N155="",#N/A,SUM($N$4:N155))</f>
        <v>-209.22363589938732</v>
      </c>
      <c r="P155" s="65">
        <f t="shared" si="318"/>
        <v>1.1305147058823555</v>
      </c>
      <c r="Q155" s="172">
        <f>IF($N155="",#N/A,SUM($P$4:P155))</f>
        <v>-0.29896076527049464</v>
      </c>
      <c r="R155" s="359">
        <f t="shared" si="225"/>
        <v>5.4335664455460755</v>
      </c>
      <c r="S155" s="51" t="str">
        <f t="shared" si="226"/>
        <v>SW</v>
      </c>
      <c r="T155" s="51" t="s">
        <v>2828</v>
      </c>
      <c r="U155" s="56">
        <f t="shared" si="227"/>
        <v>81.599999999999994</v>
      </c>
      <c r="V155" s="56" t="s">
        <v>4460</v>
      </c>
      <c r="W155" s="140">
        <v>13</v>
      </c>
      <c r="X155" s="145">
        <f t="shared" si="228"/>
        <v>1060.8</v>
      </c>
      <c r="Y155" s="140">
        <f t="shared" si="229"/>
        <v>13</v>
      </c>
      <c r="Z155" s="123">
        <v>87.49</v>
      </c>
      <c r="AA155" s="102">
        <f t="shared" si="230"/>
        <v>76.569999999999936</v>
      </c>
      <c r="AB155" s="102">
        <f t="shared" si="231"/>
        <v>122.59000000000015</v>
      </c>
      <c r="AC155" s="124">
        <v>91.03</v>
      </c>
      <c r="AD155" s="155">
        <f t="shared" si="232"/>
        <v>122.59000000000015</v>
      </c>
      <c r="AE155" s="545">
        <f t="shared" si="233"/>
        <v>1.9260620915032705</v>
      </c>
      <c r="AF155" s="57">
        <f>IF($AC155="",#N/A,SUM(AD$4:AD155))</f>
        <v>-690.76041200241627</v>
      </c>
      <c r="AG155" s="102">
        <f t="shared" si="234"/>
        <v>50.634999999999991</v>
      </c>
      <c r="AH155" s="56" t="s">
        <v>2507</v>
      </c>
      <c r="AI155" s="65">
        <f t="shared" si="235"/>
        <v>1.2030228758169925</v>
      </c>
      <c r="AJ155" s="54">
        <f>IF(AI155="",#N/A,SUM($AI$4:AI155))</f>
        <v>-5.7325272108165706</v>
      </c>
      <c r="AK155" s="57">
        <f t="shared" si="236"/>
        <v>76.569999999999936</v>
      </c>
      <c r="AL155" s="58">
        <f>IF(AI155="",#N/A,IF(AH155="Skip",SUM($AK$4:AK155),SUM($AK$4:AK155)))</f>
        <v>-558.60740850718651</v>
      </c>
      <c r="AM155" s="65">
        <f t="shared" si="319"/>
        <v>1.9260620915032705</v>
      </c>
      <c r="AN155" s="209"/>
      <c r="AO155" s="65">
        <f t="shared" si="237"/>
        <v>1.9260620915032705</v>
      </c>
      <c r="AP155" s="65">
        <f>IF($AC155="",#N/A,SUM(AO$4:AO155))</f>
        <v>5.0492532845634228</v>
      </c>
      <c r="AQ155" s="65" t="str">
        <f t="shared" si="238"/>
        <v/>
      </c>
      <c r="AR155" s="65">
        <f>IF($AC155="",#N/A,SUM(AQ$4:AQ155))</f>
        <v>-2.6179859771653153</v>
      </c>
      <c r="AS155" s="65" t="str">
        <f t="shared" si="239"/>
        <v/>
      </c>
      <c r="AT155" s="65">
        <f>IF($AC155="",#N/A,SUM(AS$4:AS155))</f>
        <v>-12.256902762523628</v>
      </c>
      <c r="AU155" s="57">
        <f t="shared" si="320"/>
        <v>122.59000000000015</v>
      </c>
      <c r="AV155" s="57">
        <f>IF($AC155="",#N/A,SUM(AU$4:AU155))</f>
        <v>236.01120645125059</v>
      </c>
      <c r="AW155" s="57" t="str">
        <f t="shared" si="321"/>
        <v/>
      </c>
      <c r="AX155" s="57">
        <f>IF($AC155="",#N/A,SUM(AW$4:AW155))</f>
        <v>-163.1400000000001</v>
      </c>
      <c r="AY155" s="56" t="str">
        <f t="shared" si="322"/>
        <v/>
      </c>
      <c r="AZ155" s="57">
        <f>IF($AC155="",#N/A,SUM(AY$4:AY155))</f>
        <v>-763.63161845366676</v>
      </c>
      <c r="BA155" s="57">
        <f>IF(AD155="",#N/A,SUM($AD$4:AD155))</f>
        <v>-690.76041200241627</v>
      </c>
      <c r="BC155" s="51" t="str">
        <f t="shared" si="240"/>
        <v/>
      </c>
      <c r="BD155" s="51" t="str">
        <f t="shared" si="241"/>
        <v/>
      </c>
      <c r="BE155" s="51">
        <f t="shared" si="242"/>
        <v>1</v>
      </c>
      <c r="BF155" s="51" t="str">
        <f t="shared" si="243"/>
        <v>Long</v>
      </c>
      <c r="BG155" s="51" t="str">
        <f t="shared" si="244"/>
        <v/>
      </c>
      <c r="BH155" s="51" t="str">
        <f t="shared" si="245"/>
        <v/>
      </c>
      <c r="BI155" s="51" t="str">
        <f t="shared" si="246"/>
        <v/>
      </c>
      <c r="BK155" s="65">
        <f t="shared" si="217"/>
        <v>8.8401577738829576E-2</v>
      </c>
      <c r="BL155" s="65">
        <f t="shared" si="216"/>
        <v>6.281508993814934E-2</v>
      </c>
      <c r="BM155" s="65">
        <f>IFERROR(Q155/COUNTA($J$4:J155),#N/A)</f>
        <v>-1.9668471399374647E-3</v>
      </c>
      <c r="BO155" s="489">
        <f>IF(J155="",#N/A,IF(S155="SW",(COUNTIFS(K$4:$K155,"&gt;0",S$4:$S155,"SW")/COUNTIF(S$4:$S155,"SW")),#N/A))</f>
        <v>0.48749999999999999</v>
      </c>
      <c r="BP155" s="489" t="e">
        <f>IF($J155="",#N/A,IF($S155="DWN",(COUNTIFS($K$4:$K155,"&lt;0",$S$4:$S155,"DWN")/COUNTIF($S$4:$S155,"DWN")),#N/A))</f>
        <v>#N/A</v>
      </c>
      <c r="BQ155" s="489" t="e">
        <f>IF($J155="",#N/A,IF($S155="UP",(COUNTIFS($K$4:$K155,"&gt;0",$S$4:$S155,"UP")/COUNTIF($S$4:$S155,"UP")),#N/A))</f>
        <v>#N/A</v>
      </c>
      <c r="BR155" s="489">
        <f>IF(J155="",#N/A,COUNTIF($K$4:K155,"&gt;0")/COUNT($J$4:J155))</f>
        <v>0.46710526315789475</v>
      </c>
      <c r="BS155" s="65">
        <f t="shared" si="247"/>
        <v>1.1305147058823555</v>
      </c>
      <c r="BT155" s="65" t="str">
        <f t="shared" si="248"/>
        <v/>
      </c>
      <c r="BU155" s="65" t="str">
        <f t="shared" si="249"/>
        <v/>
      </c>
      <c r="BV155" s="65" t="str">
        <f t="shared" si="250"/>
        <v/>
      </c>
      <c r="BW155" s="151" t="str">
        <f t="shared" si="251"/>
        <v/>
      </c>
      <c r="BX155" s="151">
        <f>IF($J155="",#N/A,SUM($BW$4:BW155))</f>
        <v>-205.1650000000003</v>
      </c>
      <c r="BY155" s="152" t="str">
        <f t="shared" si="252"/>
        <v/>
      </c>
      <c r="BZ155" s="152">
        <f>IF($J155="",#N/A,SUM($BY$4:BY155))</f>
        <v>-73.725659610666298</v>
      </c>
      <c r="CA155" s="153">
        <f t="shared" si="253"/>
        <v>71.955000000000155</v>
      </c>
      <c r="CB155" s="154">
        <f>IF($J155="",#N/A,SUM($CA$4:CA155))</f>
        <v>69.667023711279285</v>
      </c>
      <c r="CC155" s="191" t="str">
        <f t="shared" si="254"/>
        <v/>
      </c>
      <c r="CD155" s="191">
        <f>IF($J155="",#N/A,SUM($CC$4:CC155))</f>
        <v>-3.1875162177003693</v>
      </c>
      <c r="CE155" s="192" t="str">
        <f t="shared" si="255"/>
        <v/>
      </c>
      <c r="CF155" s="192">
        <f>IF($J155="",#N/A,SUM($CE$4:CE155))</f>
        <v>-0.34358173274768583</v>
      </c>
      <c r="CG155" s="193">
        <f t="shared" si="256"/>
        <v>1.1305147058823555</v>
      </c>
      <c r="CH155" s="193">
        <f>IF($J155="",#N/A,SUM($CG$4:CG155))</f>
        <v>3.2321371851775655</v>
      </c>
      <c r="CI155" s="200" t="str">
        <f t="shared" si="257"/>
        <v/>
      </c>
      <c r="CJ155" s="200">
        <f>IF($J155="",#N/A,SUM(CI$4:CI155))</f>
        <v>0</v>
      </c>
      <c r="CK155" s="201" t="str">
        <f t="shared" si="258"/>
        <v/>
      </c>
      <c r="CL155" s="201">
        <f>IF($J155="",#N/A,SUM(CK$4:CK155))</f>
        <v>0.95905730556970825</v>
      </c>
      <c r="CM155" s="202">
        <f t="shared" si="259"/>
        <v>1.1305147058823555</v>
      </c>
      <c r="CN155" s="202">
        <f>IF($J155="",#N/A,SUM(CM$4:CM155))</f>
        <v>3.3861132786295873</v>
      </c>
      <c r="CO155" s="202">
        <f>IF($J155="",#N/A,SUM(CM$4:CM155,CK$4:CK155,CI$4:CI155))</f>
        <v>4.3451705841992965</v>
      </c>
      <c r="CP155" s="200" t="str">
        <f t="shared" si="260"/>
        <v/>
      </c>
      <c r="CQ155" s="200">
        <f>IF($J155="",#N/A,SUM(CP$4:CP155))</f>
        <v>0</v>
      </c>
      <c r="CR155" s="201" t="str">
        <f t="shared" si="261"/>
        <v/>
      </c>
      <c r="CS155" s="201">
        <f>IF($J155="",#N/A,SUM(CR$4:CR155))</f>
        <v>0</v>
      </c>
      <c r="CT155" s="202" t="str">
        <f t="shared" si="262"/>
        <v/>
      </c>
      <c r="CU155" s="202">
        <f>IF($J155="",#N/A,SUM(CT$4:CT155))</f>
        <v>0</v>
      </c>
      <c r="CV155" s="202">
        <f>IF($J155="",#N/A,SUM(CT$4:CT155,CR$4:CR155,CP$4:CP155))</f>
        <v>0</v>
      </c>
      <c r="CW155" s="200" t="str">
        <f t="shared" si="263"/>
        <v/>
      </c>
      <c r="CX155" s="200">
        <f>IF($J155="",#N/A,SUM(CW$4:CW155))</f>
        <v>0</v>
      </c>
      <c r="CY155" s="201" t="str">
        <f t="shared" si="264"/>
        <v/>
      </c>
      <c r="CZ155" s="201">
        <f>IF($J155="",#N/A,SUM(CY$4:CY155))</f>
        <v>-1.9289529100071134</v>
      </c>
      <c r="DA155" s="202" t="str">
        <f t="shared" si="265"/>
        <v/>
      </c>
      <c r="DB155" s="202">
        <f>IF($J155="",#N/A,SUM(DA$4:DA155))</f>
        <v>3.1364376348577139E-3</v>
      </c>
      <c r="DC155" s="202">
        <f>IF($J155="",#N/A,SUM(DA$4:DA155,CY$4:CY155,CW$4:CW155))</f>
        <v>-1.9258164723722557</v>
      </c>
      <c r="DD155" s="200" t="str">
        <f t="shared" si="266"/>
        <v/>
      </c>
      <c r="DE155" s="200">
        <f>IF($J155="",#N/A,SUM(DD$4:DD155))</f>
        <v>0.14968716170674062</v>
      </c>
      <c r="DF155" s="201" t="str">
        <f t="shared" si="267"/>
        <v/>
      </c>
      <c r="DG155" s="201">
        <f>IF($J155="",#N/A,SUM(DF$4:DF155))</f>
        <v>1.2121188689979676</v>
      </c>
      <c r="DH155" s="202" t="str">
        <f t="shared" si="268"/>
        <v/>
      </c>
      <c r="DI155" s="202">
        <f>IF($J155="",#N/A,SUM(DH$4:DH155))</f>
        <v>-1.4547707265941352</v>
      </c>
      <c r="DJ155" s="202">
        <f>IF($J155="",#N/A,SUM(DH$4:DH155,DF$4:DF155,DD$4:DD155))</f>
        <v>-9.2964695889427046E-2</v>
      </c>
      <c r="DK155" s="200" t="str">
        <f t="shared" si="269"/>
        <v/>
      </c>
      <c r="DL155" s="200">
        <f>IF($J155="",#N/A,SUM(DK$4:DK155))</f>
        <v>-1.2097286851272664</v>
      </c>
      <c r="DM155" s="201" t="str">
        <f t="shared" si="270"/>
        <v/>
      </c>
      <c r="DN155" s="201">
        <f>IF($J155="",#N/A,SUM(DM$4:DM155))</f>
        <v>1.1910608267574658</v>
      </c>
      <c r="DO155" s="202" t="str">
        <f t="shared" si="271"/>
        <v/>
      </c>
      <c r="DP155" s="202">
        <f>IF($J155="",#N/A,SUM(DO$4:DO155))</f>
        <v>1.3495058802125319</v>
      </c>
      <c r="DQ155" s="202">
        <f>IF($J155="",#N/A,SUM(DO$4:DO155,DM$4:DM155,DK$4:DK155))</f>
        <v>1.3308380218427318</v>
      </c>
      <c r="DR155" s="200" t="str">
        <f t="shared" si="272"/>
        <v/>
      </c>
      <c r="DS155" s="200">
        <f>IF($J155="",#N/A,SUM(DR$4:DR155))</f>
        <v>-0.55950946427675097</v>
      </c>
      <c r="DT155" s="201" t="str">
        <f t="shared" si="273"/>
        <v/>
      </c>
      <c r="DU155" s="201">
        <f>IF($J155="",#N/A,SUM(DT$4:DT155))</f>
        <v>-3.5029740333397914</v>
      </c>
      <c r="DV155" s="202" t="str">
        <f t="shared" si="274"/>
        <v/>
      </c>
      <c r="DW155" s="202">
        <f>IF($J155="",#N/A,SUM(DV$4:DV155))</f>
        <v>-1.5072282546558893</v>
      </c>
      <c r="DX155" s="202">
        <f>IF($J155="",#N/A,SUM(DV$4:DV155,DT$4:DT155,DR$4:DR155))</f>
        <v>-5.5697117522724318</v>
      </c>
      <c r="DY155" s="200" t="str">
        <f t="shared" si="275"/>
        <v/>
      </c>
      <c r="DZ155" s="200">
        <f>IF($J155="",#N/A,SUM(DY$4:DY155))</f>
        <v>-1.63480022183437</v>
      </c>
      <c r="EA155" s="201" t="str">
        <f t="shared" si="276"/>
        <v/>
      </c>
      <c r="EB155" s="201">
        <f>IF($J155="",#N/A,SUM(EA$4:EA155))</f>
        <v>-0.2070110273231956</v>
      </c>
      <c r="EC155" s="202" t="str">
        <f t="shared" si="277"/>
        <v/>
      </c>
      <c r="ED155" s="202">
        <f>IF($J155="",#N/A,SUM(EC$4:EC155))</f>
        <v>1.4704559513837272</v>
      </c>
      <c r="EE155" s="202">
        <f>IF($J155="",#N/A,SUM(EC$4:EC155,EA$4:EA155,DY$4:DY155))</f>
        <v>-0.37135529777383841</v>
      </c>
      <c r="EF155" s="200" t="str">
        <f t="shared" si="278"/>
        <v/>
      </c>
      <c r="EG155" s="200">
        <f>IF($J155="",#N/A,SUM(EF$4:EF155))</f>
        <v>0</v>
      </c>
      <c r="EH155" s="201" t="str">
        <f t="shared" si="279"/>
        <v/>
      </c>
      <c r="EI155" s="201">
        <f>IF($J155="",#N/A,SUM(EH$4:EH155))</f>
        <v>-1.1184224685150388</v>
      </c>
      <c r="EJ155" s="202" t="str">
        <f t="shared" si="280"/>
        <v/>
      </c>
      <c r="EK155" s="202">
        <f>IF($J155="",#N/A,SUM(EJ$4:EJ155))</f>
        <v>1.7255127285193785</v>
      </c>
      <c r="EL155" s="202">
        <f>IF($J155="",#N/A,SUM(EJ$4:EJ155,EH$4:EH155,EF$4:EF155))</f>
        <v>0.60709026000434052</v>
      </c>
      <c r="EM155" s="200" t="str">
        <f t="shared" si="281"/>
        <v/>
      </c>
      <c r="EN155" s="200">
        <f>IF($J155="",#N/A,SUM(EM$4:EM155))</f>
        <v>0</v>
      </c>
      <c r="EO155" s="201" t="str">
        <f t="shared" si="282"/>
        <v/>
      </c>
      <c r="EP155" s="201">
        <f>IF($J155="",#N/A,SUM(EO$4:EO155))</f>
        <v>1.264716604605848</v>
      </c>
      <c r="EQ155" s="202" t="str">
        <f t="shared" si="283"/>
        <v/>
      </c>
      <c r="ER155" s="202">
        <f>IF($J155="",#N/A,SUM(EQ$4:EQ155))</f>
        <v>1.5025175479314647</v>
      </c>
      <c r="ES155" s="202">
        <f>IF($J155="",#N/A,SUM(EQ$4:EQ155,EO$4:EO155,EM$4:EM155))</f>
        <v>2.7672341525373123</v>
      </c>
      <c r="ET155" s="200" t="str">
        <f t="shared" si="284"/>
        <v/>
      </c>
      <c r="EU155" s="200">
        <f>IF($J155="",#N/A,SUM(ET$4:ET155))</f>
        <v>0</v>
      </c>
      <c r="EV155" s="201" t="str">
        <f t="shared" si="285"/>
        <v/>
      </c>
      <c r="EW155" s="201">
        <f>IF($J155="",#N/A,SUM(EV$4:EV155))</f>
        <v>0.90459527759708336</v>
      </c>
      <c r="EX155" s="202" t="str">
        <f t="shared" si="286"/>
        <v/>
      </c>
      <c r="EY155" s="202">
        <f>IF($J155="",#N/A,SUM(EX$4:EX155))</f>
        <v>0.22957553748493481</v>
      </c>
      <c r="EZ155" s="202">
        <f>IF($J155="",#N/A,SUM(EX$4:EX155,EV$4:EV155,ET$4:ET155))</f>
        <v>1.134170815082018</v>
      </c>
      <c r="FA155" s="200" t="str">
        <f t="shared" si="287"/>
        <v/>
      </c>
      <c r="FB155" s="200">
        <f>IF($J155="",#N/A,SUM(FA$4:FA155))</f>
        <v>0</v>
      </c>
      <c r="FC155" s="201" t="str">
        <f t="shared" si="288"/>
        <v/>
      </c>
      <c r="FD155" s="201">
        <f>IF($J155="",#N/A,SUM(FC$4:FC155))</f>
        <v>1.6839191319663924</v>
      </c>
      <c r="FE155" s="202" t="str">
        <f t="shared" si="289"/>
        <v/>
      </c>
      <c r="FF155" s="202">
        <f>IF($J155="",#N/A,SUM(FE$4:FE155))</f>
        <v>-0.28811149078748233</v>
      </c>
      <c r="FG155" s="202">
        <f>IF($J155="",#N/A,SUM(FE$4:FE155,FC$4:FC155,FA$4:FA155))</f>
        <v>1.3958076411789102</v>
      </c>
      <c r="FH155" s="200" t="str">
        <f t="shared" si="290"/>
        <v/>
      </c>
      <c r="FI155" s="200">
        <f>IF($J155="",#N/A,SUM(FH$4:FH155))</f>
        <v>0</v>
      </c>
      <c r="FJ155" s="201" t="str">
        <f t="shared" si="291"/>
        <v/>
      </c>
      <c r="FK155" s="201">
        <f>IF($J155="",#N/A,SUM(FJ$4:FJ155))</f>
        <v>0</v>
      </c>
      <c r="FL155" s="202" t="str">
        <f t="shared" si="292"/>
        <v/>
      </c>
      <c r="FM155" s="202">
        <f>IF($J155="",#N/A,SUM(FL$4:FL155))</f>
        <v>0</v>
      </c>
      <c r="FN155" s="202">
        <f>IF($J155="",#N/A,SUM(FL$4:FL155,FJ$4:FJ155,FH$4:FH155))</f>
        <v>0</v>
      </c>
      <c r="FO155" s="200" t="str">
        <f t="shared" si="293"/>
        <v/>
      </c>
      <c r="FP155" s="200">
        <f>IF($J155="",#N/A,SUM(FO$4:FO155))</f>
        <v>0</v>
      </c>
      <c r="FQ155" s="201" t="str">
        <f t="shared" si="294"/>
        <v/>
      </c>
      <c r="FR155" s="201">
        <f>IF($J155="",#N/A,SUM(FQ$4:FQ155))</f>
        <v>0</v>
      </c>
      <c r="FS155" s="202" t="str">
        <f t="shared" si="295"/>
        <v/>
      </c>
      <c r="FT155" s="202">
        <f>IF($J155="",#N/A,SUM(FS$4:FS155))</f>
        <v>0</v>
      </c>
      <c r="FU155" s="202">
        <f>IF($J155="",#N/A,SUM(FS$4:FS155,FQ$4:FQ155,FO$4:FO155))</f>
        <v>0</v>
      </c>
      <c r="FV155" s="200" t="str">
        <f t="shared" si="296"/>
        <v/>
      </c>
      <c r="FW155" s="200">
        <f>IF($J155="",#N/A,SUM(FV$4:FV155))</f>
        <v>6.6834991831277585E-2</v>
      </c>
      <c r="FX155" s="201" t="str">
        <f t="shared" si="297"/>
        <v/>
      </c>
      <c r="FY155" s="201">
        <f>IF($J155="",#N/A,SUM(FX$4:FX155))</f>
        <v>0</v>
      </c>
      <c r="FZ155" s="202" t="str">
        <f t="shared" si="298"/>
        <v/>
      </c>
      <c r="GA155" s="202">
        <f>IF($J155="",#N/A,SUM(FZ$4:FZ155))</f>
        <v>-0.24773347685909197</v>
      </c>
      <c r="GB155" s="202">
        <f>IF($J155="",#N/A,SUM(FZ$4:FZ155,FX$4:FX155,FV$4:FV155))</f>
        <v>-0.18089848502781439</v>
      </c>
      <c r="GC155" s="200" t="str">
        <f t="shared" si="299"/>
        <v/>
      </c>
      <c r="GD155" s="200">
        <f>IF($J155="",#N/A,SUM(GC$4:GC155))</f>
        <v>0</v>
      </c>
      <c r="GE155" s="201" t="str">
        <f t="shared" si="300"/>
        <v/>
      </c>
      <c r="GF155" s="201">
        <f>IF($J155="",#N/A,SUM(GE$4:GE155))</f>
        <v>0</v>
      </c>
      <c r="GG155" s="202" t="str">
        <f t="shared" si="301"/>
        <v/>
      </c>
      <c r="GH155" s="202">
        <f>IF($J155="",#N/A,SUM(GG$4:GG155))</f>
        <v>-2.9368362277223206</v>
      </c>
      <c r="GI155" s="202">
        <f>IF($J155="",#N/A,SUM(GG$4:GG155,GE$4:GE155,GC$4:GC155))</f>
        <v>-2.9368362277223206</v>
      </c>
      <c r="GJ155" s="200" t="str">
        <f t="shared" si="302"/>
        <v/>
      </c>
      <c r="GK155" s="200">
        <f>IF($J155="",#N/A,SUM(GJ$4:GJ155))</f>
        <v>0</v>
      </c>
      <c r="GL155" s="201" t="str">
        <f t="shared" si="303"/>
        <v/>
      </c>
      <c r="GM155" s="201">
        <f>IF($J155="",#N/A,SUM(GL$4:GL155))</f>
        <v>-0.80168930905701452</v>
      </c>
      <c r="GN155" s="202" t="str">
        <f t="shared" si="304"/>
        <v/>
      </c>
      <c r="GO155" s="202">
        <f>IF($J155="",#N/A,SUM(GN$4:GN155))</f>
        <v>0</v>
      </c>
      <c r="GP155" s="202">
        <f>IF($J155="",#N/A,SUM(GN$4:GN155,GL$4:GL155,GJ$4:GJ155))</f>
        <v>-0.80168930905701452</v>
      </c>
      <c r="GS155" s="54">
        <f t="shared" si="323"/>
        <v>1.1305147058823555</v>
      </c>
      <c r="GT155" s="54">
        <f>IF(GS155="",NA(),SUM($GS$4:GS155))</f>
        <v>-1.9018813304592888</v>
      </c>
      <c r="GU155" s="54" t="str">
        <f t="shared" si="305"/>
        <v/>
      </c>
      <c r="GV155" s="54" t="e">
        <f>IF(GU155="",NA(),SUM($GU$4:GU155))</f>
        <v>#N/A</v>
      </c>
      <c r="GW155" s="54">
        <f t="shared" si="306"/>
        <v>1.1305147058823555</v>
      </c>
      <c r="GX155" s="54">
        <f>IF(GW155="",NA(),SUM($GW$4:GW155))</f>
        <v>1.8559059480078555</v>
      </c>
      <c r="GY155" s="54" t="str">
        <f t="shared" si="307"/>
        <v/>
      </c>
      <c r="GZ155" s="54" t="e">
        <f>IF(GY155="",NA(),SUM($GY$4:GY155))</f>
        <v>#N/A</v>
      </c>
      <c r="HA155" s="54" t="str">
        <f t="shared" si="308"/>
        <v/>
      </c>
      <c r="HB155" s="54" t="e">
        <f>IF(HA155="",NA(),SUM($HA$4:HA155))</f>
        <v>#N/A</v>
      </c>
      <c r="HC155" s="54" t="str">
        <f t="shared" si="309"/>
        <v/>
      </c>
      <c r="HD155" s="54" t="e">
        <f>IF(HC155="",NA(),SUM($HC$4:HC155))</f>
        <v>#N/A</v>
      </c>
      <c r="HE155" s="54" t="str">
        <f t="shared" si="310"/>
        <v/>
      </c>
      <c r="HF155" s="54" t="e">
        <f>IF(HE155="",NA(),SUM($HE$4:HE155))</f>
        <v>#N/A</v>
      </c>
      <c r="HG155" s="54" t="str">
        <f t="shared" si="311"/>
        <v/>
      </c>
      <c r="HH155" s="54" t="e">
        <f>IF(HG155="",NA(),SUM($HG$4:HG155))</f>
        <v>#N/A</v>
      </c>
      <c r="HI155" s="172" t="str">
        <f t="shared" si="324"/>
        <v/>
      </c>
      <c r="HJ155" s="172">
        <f>IF($J155="",#N/A,SUM(HI$4:$HI155))</f>
        <v>-6.2107003994886369</v>
      </c>
      <c r="HK155" s="54" t="str">
        <f t="shared" si="312"/>
        <v/>
      </c>
      <c r="HL155" s="54">
        <f>IF($J155="",#N/A,SUM($HK$4:HK155))</f>
        <v>-5.702620630287301</v>
      </c>
      <c r="HM155" s="54" t="str">
        <f t="shared" si="313"/>
        <v/>
      </c>
      <c r="HN155" s="54">
        <f>IF($J155="",#N/A,SUM($HM$4:HM155))</f>
        <v>0.71812545963587882</v>
      </c>
      <c r="HO155" s="54" t="str">
        <f t="shared" si="314"/>
        <v/>
      </c>
      <c r="HP155" s="54">
        <f>IF($J155="",#N/A,SUM($HO$4:HO155))</f>
        <v>-0.14859521910082485</v>
      </c>
      <c r="HQ155" s="54">
        <f t="shared" si="315"/>
        <v>0.79554738562091498</v>
      </c>
      <c r="HR155" s="54">
        <f>IF($J155="",#N/A,SUM($HQ$4:HQ155))</f>
        <v>-7.8284698219787154</v>
      </c>
      <c r="HS155" s="54" t="str">
        <f t="shared" si="316"/>
        <v/>
      </c>
      <c r="HT155" s="54">
        <f>IF($J155="",#N/A,SUM($HS$4:HS155))</f>
        <v>9.645585921364578</v>
      </c>
      <c r="HU155" s="65">
        <f t="shared" si="317"/>
        <v>1.9260620915032705</v>
      </c>
      <c r="HV155" s="65">
        <f>IF($J155="",#N/A,SUM(HU$4:$HU155))</f>
        <v>-9.8256354551255161</v>
      </c>
    </row>
    <row r="156" spans="1:230" x14ac:dyDescent="0.25">
      <c r="A156" s="59" t="s">
        <v>2509</v>
      </c>
      <c r="B156" s="289" t="s">
        <v>4541</v>
      </c>
      <c r="C156" s="230">
        <f t="shared" si="218"/>
        <v>2</v>
      </c>
      <c r="D156" s="220" t="str">
        <f>_xlfn.XLOOKUP(A156,[1]SP500!$A$2:$A$502,[1]SP500!$D$2:$D$502,"N")</f>
        <v>N</v>
      </c>
      <c r="E156" s="59" t="str">
        <f>IFERROR(_xlfn.XLOOKUP(A156,[1]SP500!$A$2:$A$655,[1]SP500!$B$2:$B$655),"")</f>
        <v>IGV</v>
      </c>
      <c r="F156" s="290">
        <v>45776</v>
      </c>
      <c r="G156" s="59" t="str">
        <f t="shared" si="219"/>
        <v>AMC</v>
      </c>
      <c r="H156" s="59" t="str">
        <f t="shared" si="220"/>
        <v>s</v>
      </c>
      <c r="I156" s="376">
        <v>9.09</v>
      </c>
      <c r="J156" s="125">
        <v>7.77</v>
      </c>
      <c r="K156" s="60">
        <f t="shared" si="221"/>
        <v>-0.14521452145214525</v>
      </c>
      <c r="L156" s="68">
        <f t="shared" si="222"/>
        <v>145.20000000000005</v>
      </c>
      <c r="M156" s="62">
        <f t="shared" si="223"/>
        <v>4.3999999999998636</v>
      </c>
      <c r="N156" s="63">
        <f t="shared" si="224"/>
        <v>145.20000000000005</v>
      </c>
      <c r="O156" s="62">
        <f>IF(N156="",#N/A,SUM($N$4:N156))</f>
        <v>-64.023635899387273</v>
      </c>
      <c r="P156" s="64">
        <f t="shared" si="318"/>
        <v>2.420242024202421</v>
      </c>
      <c r="Q156" s="183">
        <f>IF($N156="",#N/A,SUM($P$4:P156))</f>
        <v>2.1212812589319263</v>
      </c>
      <c r="R156" s="279">
        <f t="shared" si="225"/>
        <v>5.3602257781460043</v>
      </c>
      <c r="S156" s="59" t="str">
        <f t="shared" si="226"/>
        <v>Dwn</v>
      </c>
      <c r="T156" s="59" t="s">
        <v>4462</v>
      </c>
      <c r="U156" s="61">
        <f t="shared" si="227"/>
        <v>9.09</v>
      </c>
      <c r="V156" s="61" t="s">
        <v>4458</v>
      </c>
      <c r="W156" s="142">
        <v>110</v>
      </c>
      <c r="X156" s="146">
        <f t="shared" si="228"/>
        <v>999.9</v>
      </c>
      <c r="Y156" s="142">
        <f t="shared" si="229"/>
        <v>110</v>
      </c>
      <c r="Z156" s="278">
        <v>7.73</v>
      </c>
      <c r="AA156" s="63">
        <f t="shared" si="230"/>
        <v>149.59999999999991</v>
      </c>
      <c r="AB156" s="63">
        <f t="shared" si="231"/>
        <v>124.29999999999995</v>
      </c>
      <c r="AC156" s="125">
        <v>7.96</v>
      </c>
      <c r="AD156" s="148">
        <f t="shared" si="232"/>
        <v>124.29999999999995</v>
      </c>
      <c r="AE156" s="544">
        <f t="shared" si="233"/>
        <v>2.0718738540520709</v>
      </c>
      <c r="AF156" s="62">
        <f>IF($AC156="",#N/A,SUM(AD$4:AD156))</f>
        <v>-566.46041200241632</v>
      </c>
      <c r="AG156" s="63">
        <f t="shared" si="234"/>
        <v>-20.900000000000091</v>
      </c>
      <c r="AH156" s="61" t="s">
        <v>2507</v>
      </c>
      <c r="AI156" s="64">
        <f t="shared" si="235"/>
        <v>2.4935826916024921</v>
      </c>
      <c r="AJ156" s="383">
        <f>IF(AI156="",#N/A,SUM($AI$4:AI156))</f>
        <v>-3.2389445192140784</v>
      </c>
      <c r="AK156" s="62">
        <f t="shared" si="236"/>
        <v>149.59999999999991</v>
      </c>
      <c r="AL156" s="351">
        <f>IF(AI156="",#N/A,IF(AH156="Skip",SUM($AK$4:AK156),SUM($AK$4:AK156)))</f>
        <v>-409.0074085071866</v>
      </c>
      <c r="AM156" s="65">
        <f t="shared" si="319"/>
        <v>2.0718738540520709</v>
      </c>
      <c r="AN156" s="209"/>
      <c r="AO156" s="64" t="str">
        <f t="shared" si="237"/>
        <v/>
      </c>
      <c r="AP156" s="64">
        <f>IF($AC156="",#N/A,SUM(AO$4:AO156))</f>
        <v>5.0492532845634228</v>
      </c>
      <c r="AQ156" s="64" t="str">
        <f t="shared" si="238"/>
        <v/>
      </c>
      <c r="AR156" s="64">
        <f>IF($AC156="",#N/A,SUM(AQ$4:AQ156))</f>
        <v>-2.6179859771653153</v>
      </c>
      <c r="AS156" s="64">
        <f t="shared" si="239"/>
        <v>2.0718738540520709</v>
      </c>
      <c r="AT156" s="64">
        <f>IF($AC156="",#N/A,SUM(AS$4:AS156))</f>
        <v>-10.185028908471558</v>
      </c>
      <c r="AU156" s="62" t="str">
        <f t="shared" si="320"/>
        <v/>
      </c>
      <c r="AV156" s="62">
        <f>IF($AC156="",#N/A,SUM(AU$4:AU156))</f>
        <v>236.01120645125059</v>
      </c>
      <c r="AW156" s="62" t="str">
        <f t="shared" si="321"/>
        <v/>
      </c>
      <c r="AX156" s="62">
        <f>IF($AC156="",#N/A,SUM(AW$4:AW156))</f>
        <v>-163.1400000000001</v>
      </c>
      <c r="AY156" s="62">
        <f t="shared" si="322"/>
        <v>124.29999999999995</v>
      </c>
      <c r="AZ156" s="62">
        <f>IF($AC156="",#N/A,SUM(AY$4:AY156))</f>
        <v>-639.33161845366681</v>
      </c>
      <c r="BA156" s="62">
        <f>IF(AD156="",#N/A,SUM($AD$4:AD156))</f>
        <v>-566.46041200241632</v>
      </c>
      <c r="BC156" s="59" t="str">
        <f t="shared" si="240"/>
        <v/>
      </c>
      <c r="BD156" s="59" t="str">
        <f t="shared" si="241"/>
        <v/>
      </c>
      <c r="BE156" s="59" t="str">
        <f t="shared" si="242"/>
        <v/>
      </c>
      <c r="BF156" s="59" t="str">
        <f t="shared" si="243"/>
        <v>Short</v>
      </c>
      <c r="BG156" s="59">
        <f t="shared" si="244"/>
        <v>1</v>
      </c>
      <c r="BH156" s="59" t="str">
        <f t="shared" si="245"/>
        <v/>
      </c>
      <c r="BI156" s="59" t="str">
        <f t="shared" si="246"/>
        <v/>
      </c>
      <c r="BK156" s="65">
        <f t="shared" si="217"/>
        <v>0.1610009919254233</v>
      </c>
      <c r="BL156" s="65">
        <f t="shared" ref="BL156:BL219" si="325">IFERROR((Q156-Q132)/COUNTA(J132:J156),#N/A)</f>
        <v>0.15059950014812343</v>
      </c>
      <c r="BM156" s="65">
        <f>IFERROR(Q156/COUNTA($J$4:J156),#N/A)</f>
        <v>1.3864583391711937E-2</v>
      </c>
      <c r="BO156" s="489" t="e">
        <f>IF(J156="",#N/A,IF(S156="SW",(COUNTIFS(K$4:$K156,"&gt;0",S$4:$S156,"SW")/COUNTIF(S$4:$S156,"SW")),#N/A))</f>
        <v>#N/A</v>
      </c>
      <c r="BP156" s="489">
        <f>IF($J156="",#N/A,IF($S156="DWN",(COUNTIFS($K$4:$K156,"&lt;0",$S$4:$S156,"DWN")/COUNTIF($S$4:$S156,"DWN")),#N/A))</f>
        <v>0.55384615384615388</v>
      </c>
      <c r="BQ156" s="489" t="e">
        <f>IF($J156="",#N/A,IF($S156="UP",(COUNTIFS($K$4:$K156,"&gt;0",$S$4:$S156,"UP")/COUNTIF($S$4:$S156,"UP")),#N/A))</f>
        <v>#N/A</v>
      </c>
      <c r="BR156" s="489">
        <f>IF(J156="",#N/A,COUNTIF($K$4:K156,"&gt;0")/COUNT($J$4:J156))</f>
        <v>0.46405228758169936</v>
      </c>
      <c r="BS156" s="65" t="str">
        <f t="shared" si="247"/>
        <v/>
      </c>
      <c r="BT156" s="65" t="str">
        <f t="shared" si="248"/>
        <v/>
      </c>
      <c r="BU156" s="65">
        <f t="shared" si="249"/>
        <v>2.420242024202421</v>
      </c>
      <c r="BV156" s="65" t="str">
        <f t="shared" si="250"/>
        <v/>
      </c>
      <c r="BW156" s="128" t="str">
        <f t="shared" si="251"/>
        <v/>
      </c>
      <c r="BX156" s="128">
        <f>IF($J156="",#N/A,SUM($BW$4:BW156))</f>
        <v>-205.1650000000003</v>
      </c>
      <c r="BY156" s="131">
        <f t="shared" si="252"/>
        <v>145.20000000000005</v>
      </c>
      <c r="BZ156" s="131">
        <f>IF($J156="",#N/A,SUM($BY$4:BY156))</f>
        <v>71.474340389333747</v>
      </c>
      <c r="CA156" s="133" t="str">
        <f t="shared" si="253"/>
        <v/>
      </c>
      <c r="CB156" s="133">
        <f>IF($J156="",#N/A,SUM($CA$4:CA156))</f>
        <v>69.667023711279285</v>
      </c>
      <c r="CC156" s="194" t="str">
        <f t="shared" si="254"/>
        <v/>
      </c>
      <c r="CD156" s="194">
        <f>IF($J156="",#N/A,SUM($CC$4:CC156))</f>
        <v>-3.1875162177003693</v>
      </c>
      <c r="CE156" s="195">
        <f t="shared" si="255"/>
        <v>2.420242024202421</v>
      </c>
      <c r="CF156" s="195">
        <f>IF($J156="",#N/A,SUM($CE$4:CE156))</f>
        <v>2.076660291454735</v>
      </c>
      <c r="CG156" s="196" t="str">
        <f t="shared" si="256"/>
        <v/>
      </c>
      <c r="CH156" s="196">
        <f>IF($J156="",#N/A,SUM($CG$4:CG156))</f>
        <v>3.2321371851775655</v>
      </c>
      <c r="CI156" s="200" t="str">
        <f t="shared" si="257"/>
        <v/>
      </c>
      <c r="CJ156" s="203">
        <f>IF($J156="",#N/A,SUM(CI$4:CI156))</f>
        <v>0</v>
      </c>
      <c r="CK156" s="204" t="str">
        <f t="shared" si="258"/>
        <v/>
      </c>
      <c r="CL156" s="204">
        <f>IF($J156="",#N/A,SUM(CK$4:CK156))</f>
        <v>0.95905730556970825</v>
      </c>
      <c r="CM156" s="205" t="str">
        <f t="shared" si="259"/>
        <v/>
      </c>
      <c r="CN156" s="205">
        <f>IF($J156="",#N/A,SUM(CM$4:CM156))</f>
        <v>3.3861132786295873</v>
      </c>
      <c r="CO156" s="205">
        <f>IF($J156="",#N/A,SUM(CM$4:CM156,CK$4:CK156,CI$4:CI156))</f>
        <v>4.3451705841992965</v>
      </c>
      <c r="CP156" s="200" t="str">
        <f t="shared" si="260"/>
        <v/>
      </c>
      <c r="CQ156" s="203">
        <f>IF($J156="",#N/A,SUM(CP$4:CP156))</f>
        <v>0</v>
      </c>
      <c r="CR156" s="204">
        <f t="shared" si="261"/>
        <v>2.420242024202421</v>
      </c>
      <c r="CS156" s="204">
        <f>IF($J156="",#N/A,SUM(CR$4:CR156))</f>
        <v>2.420242024202421</v>
      </c>
      <c r="CT156" s="205" t="str">
        <f t="shared" si="262"/>
        <v/>
      </c>
      <c r="CU156" s="205">
        <f>IF($J156="",#N/A,SUM(CT$4:CT156))</f>
        <v>0</v>
      </c>
      <c r="CV156" s="205">
        <f>IF($J156="",#N/A,SUM(CT$4:CT156,CR$4:CR156,CP$4:CP156))</f>
        <v>2.420242024202421</v>
      </c>
      <c r="CW156" s="200" t="str">
        <f t="shared" si="263"/>
        <v/>
      </c>
      <c r="CX156" s="203">
        <f>IF($J156="",#N/A,SUM(CW$4:CW156))</f>
        <v>0</v>
      </c>
      <c r="CY156" s="204" t="str">
        <f t="shared" si="264"/>
        <v/>
      </c>
      <c r="CZ156" s="204">
        <f>IF($J156="",#N/A,SUM(CY$4:CY156))</f>
        <v>-1.9289529100071134</v>
      </c>
      <c r="DA156" s="205" t="str">
        <f t="shared" si="265"/>
        <v/>
      </c>
      <c r="DB156" s="205">
        <f>IF($J156="",#N/A,SUM(DA$4:DA156))</f>
        <v>3.1364376348577139E-3</v>
      </c>
      <c r="DC156" s="205">
        <f>IF($J156="",#N/A,SUM(DA$4:DA156,CY$4:CY156,CW$4:CW156))</f>
        <v>-1.9258164723722557</v>
      </c>
      <c r="DD156" s="200" t="str">
        <f t="shared" si="266"/>
        <v/>
      </c>
      <c r="DE156" s="203">
        <f>IF($J156="",#N/A,SUM(DD$4:DD156))</f>
        <v>0.14968716170674062</v>
      </c>
      <c r="DF156" s="204" t="str">
        <f t="shared" si="267"/>
        <v/>
      </c>
      <c r="DG156" s="204">
        <f>IF($J156="",#N/A,SUM(DF$4:DF156))</f>
        <v>1.2121188689979676</v>
      </c>
      <c r="DH156" s="205" t="str">
        <f t="shared" si="268"/>
        <v/>
      </c>
      <c r="DI156" s="205">
        <f>IF($J156="",#N/A,SUM(DH$4:DH156))</f>
        <v>-1.4547707265941352</v>
      </c>
      <c r="DJ156" s="205">
        <f>IF($J156="",#N/A,SUM(DH$4:DH156,DF$4:DF156,DD$4:DD156))</f>
        <v>-9.2964695889427046E-2</v>
      </c>
      <c r="DK156" s="200" t="str">
        <f t="shared" si="269"/>
        <v/>
      </c>
      <c r="DL156" s="203">
        <f>IF($J156="",#N/A,SUM(DK$4:DK156))</f>
        <v>-1.2097286851272664</v>
      </c>
      <c r="DM156" s="204" t="str">
        <f t="shared" si="270"/>
        <v/>
      </c>
      <c r="DN156" s="204">
        <f>IF($J156="",#N/A,SUM(DM$4:DM156))</f>
        <v>1.1910608267574658</v>
      </c>
      <c r="DO156" s="205" t="str">
        <f t="shared" si="271"/>
        <v/>
      </c>
      <c r="DP156" s="205">
        <f>IF($J156="",#N/A,SUM(DO$4:DO156))</f>
        <v>1.3495058802125319</v>
      </c>
      <c r="DQ156" s="205">
        <f>IF($J156="",#N/A,SUM(DO$4:DO156,DM$4:DM156,DK$4:DK156))</f>
        <v>1.3308380218427318</v>
      </c>
      <c r="DR156" s="200" t="str">
        <f t="shared" si="272"/>
        <v/>
      </c>
      <c r="DS156" s="203">
        <f>IF($J156="",#N/A,SUM(DR$4:DR156))</f>
        <v>-0.55950946427675097</v>
      </c>
      <c r="DT156" s="204" t="str">
        <f t="shared" si="273"/>
        <v/>
      </c>
      <c r="DU156" s="204">
        <f>IF($J156="",#N/A,SUM(DT$4:DT156))</f>
        <v>-3.5029740333397914</v>
      </c>
      <c r="DV156" s="205" t="str">
        <f t="shared" si="274"/>
        <v/>
      </c>
      <c r="DW156" s="205">
        <f>IF($J156="",#N/A,SUM(DV$4:DV156))</f>
        <v>-1.5072282546558893</v>
      </c>
      <c r="DX156" s="205">
        <f>IF($J156="",#N/A,SUM(DV$4:DV156,DT$4:DT156,DR$4:DR156))</f>
        <v>-5.5697117522724318</v>
      </c>
      <c r="DY156" s="200" t="str">
        <f t="shared" si="275"/>
        <v/>
      </c>
      <c r="DZ156" s="203">
        <f>IF($J156="",#N/A,SUM(DY$4:DY156))</f>
        <v>-1.63480022183437</v>
      </c>
      <c r="EA156" s="204" t="str">
        <f t="shared" si="276"/>
        <v/>
      </c>
      <c r="EB156" s="204">
        <f>IF($J156="",#N/A,SUM(EA$4:EA156))</f>
        <v>-0.2070110273231956</v>
      </c>
      <c r="EC156" s="205" t="str">
        <f t="shared" si="277"/>
        <v/>
      </c>
      <c r="ED156" s="205">
        <f>IF($J156="",#N/A,SUM(EC$4:EC156))</f>
        <v>1.4704559513837272</v>
      </c>
      <c r="EE156" s="205">
        <f>IF($J156="",#N/A,SUM(EC$4:EC156,EA$4:EA156,DY$4:DY156))</f>
        <v>-0.37135529777383841</v>
      </c>
      <c r="EF156" s="200" t="str">
        <f t="shared" si="278"/>
        <v/>
      </c>
      <c r="EG156" s="203">
        <f>IF($J156="",#N/A,SUM(EF$4:EF156))</f>
        <v>0</v>
      </c>
      <c r="EH156" s="204" t="str">
        <f t="shared" si="279"/>
        <v/>
      </c>
      <c r="EI156" s="204">
        <f>IF($J156="",#N/A,SUM(EH$4:EH156))</f>
        <v>-1.1184224685150388</v>
      </c>
      <c r="EJ156" s="205" t="str">
        <f t="shared" si="280"/>
        <v/>
      </c>
      <c r="EK156" s="205">
        <f>IF($J156="",#N/A,SUM(EJ$4:EJ156))</f>
        <v>1.7255127285193785</v>
      </c>
      <c r="EL156" s="205">
        <f>IF($J156="",#N/A,SUM(EJ$4:EJ156,EH$4:EH156,EF$4:EF156))</f>
        <v>0.60709026000434052</v>
      </c>
      <c r="EM156" s="200" t="str">
        <f t="shared" si="281"/>
        <v/>
      </c>
      <c r="EN156" s="203">
        <f>IF($J156="",#N/A,SUM(EM$4:EM156))</f>
        <v>0</v>
      </c>
      <c r="EO156" s="204" t="str">
        <f t="shared" si="282"/>
        <v/>
      </c>
      <c r="EP156" s="204">
        <f>IF($J156="",#N/A,SUM(EO$4:EO156))</f>
        <v>1.264716604605848</v>
      </c>
      <c r="EQ156" s="205" t="str">
        <f t="shared" si="283"/>
        <v/>
      </c>
      <c r="ER156" s="205">
        <f>IF($J156="",#N/A,SUM(EQ$4:EQ156))</f>
        <v>1.5025175479314647</v>
      </c>
      <c r="ES156" s="205">
        <f>IF($J156="",#N/A,SUM(EQ$4:EQ156,EO$4:EO156,EM$4:EM156))</f>
        <v>2.7672341525373123</v>
      </c>
      <c r="ET156" s="200" t="str">
        <f t="shared" si="284"/>
        <v/>
      </c>
      <c r="EU156" s="203">
        <f>IF($J156="",#N/A,SUM(ET$4:ET156))</f>
        <v>0</v>
      </c>
      <c r="EV156" s="204" t="str">
        <f t="shared" si="285"/>
        <v/>
      </c>
      <c r="EW156" s="204">
        <f>IF($J156="",#N/A,SUM(EV$4:EV156))</f>
        <v>0.90459527759708336</v>
      </c>
      <c r="EX156" s="205" t="str">
        <f t="shared" si="286"/>
        <v/>
      </c>
      <c r="EY156" s="205">
        <f>IF($J156="",#N/A,SUM(EX$4:EX156))</f>
        <v>0.22957553748493481</v>
      </c>
      <c r="EZ156" s="205">
        <f>IF($J156="",#N/A,SUM(EX$4:EX156,EV$4:EV156,ET$4:ET156))</f>
        <v>1.134170815082018</v>
      </c>
      <c r="FA156" s="200" t="str">
        <f t="shared" si="287"/>
        <v/>
      </c>
      <c r="FB156" s="203">
        <f>IF($J156="",#N/A,SUM(FA$4:FA156))</f>
        <v>0</v>
      </c>
      <c r="FC156" s="204" t="str">
        <f t="shared" si="288"/>
        <v/>
      </c>
      <c r="FD156" s="204">
        <f>IF($J156="",#N/A,SUM(FC$4:FC156))</f>
        <v>1.6839191319663924</v>
      </c>
      <c r="FE156" s="205" t="str">
        <f t="shared" si="289"/>
        <v/>
      </c>
      <c r="FF156" s="205">
        <f>IF($J156="",#N/A,SUM(FE$4:FE156))</f>
        <v>-0.28811149078748233</v>
      </c>
      <c r="FG156" s="205">
        <f>IF($J156="",#N/A,SUM(FE$4:FE156,FC$4:FC156,FA$4:FA156))</f>
        <v>1.3958076411789102</v>
      </c>
      <c r="FH156" s="200" t="str">
        <f t="shared" si="290"/>
        <v/>
      </c>
      <c r="FI156" s="203">
        <f>IF($J156="",#N/A,SUM(FH$4:FH156))</f>
        <v>0</v>
      </c>
      <c r="FJ156" s="204" t="str">
        <f t="shared" si="291"/>
        <v/>
      </c>
      <c r="FK156" s="204">
        <f>IF($J156="",#N/A,SUM(FJ$4:FJ156))</f>
        <v>0</v>
      </c>
      <c r="FL156" s="205" t="str">
        <f t="shared" si="292"/>
        <v/>
      </c>
      <c r="FM156" s="205">
        <f>IF($J156="",#N/A,SUM(FL$4:FL156))</f>
        <v>0</v>
      </c>
      <c r="FN156" s="205">
        <f>IF($J156="",#N/A,SUM(FL$4:FL156,FJ$4:FJ156,FH$4:FH156))</f>
        <v>0</v>
      </c>
      <c r="FO156" s="200" t="str">
        <f t="shared" si="293"/>
        <v/>
      </c>
      <c r="FP156" s="203">
        <f>IF($J156="",#N/A,SUM(FO$4:FO156))</f>
        <v>0</v>
      </c>
      <c r="FQ156" s="204" t="str">
        <f t="shared" si="294"/>
        <v/>
      </c>
      <c r="FR156" s="204">
        <f>IF($J156="",#N/A,SUM(FQ$4:FQ156))</f>
        <v>0</v>
      </c>
      <c r="FS156" s="205" t="str">
        <f t="shared" si="295"/>
        <v/>
      </c>
      <c r="FT156" s="205">
        <f>IF($J156="",#N/A,SUM(FS$4:FS156))</f>
        <v>0</v>
      </c>
      <c r="FU156" s="205">
        <f>IF($J156="",#N/A,SUM(FS$4:FS156,FQ$4:FQ156,FO$4:FO156))</f>
        <v>0</v>
      </c>
      <c r="FV156" s="200" t="str">
        <f t="shared" si="296"/>
        <v/>
      </c>
      <c r="FW156" s="203">
        <f>IF($J156="",#N/A,SUM(FV$4:FV156))</f>
        <v>6.6834991831277585E-2</v>
      </c>
      <c r="FX156" s="204" t="str">
        <f t="shared" si="297"/>
        <v/>
      </c>
      <c r="FY156" s="204">
        <f>IF($J156="",#N/A,SUM(FX$4:FX156))</f>
        <v>0</v>
      </c>
      <c r="FZ156" s="205" t="str">
        <f t="shared" si="298"/>
        <v/>
      </c>
      <c r="GA156" s="205">
        <f>IF($J156="",#N/A,SUM(FZ$4:FZ156))</f>
        <v>-0.24773347685909197</v>
      </c>
      <c r="GB156" s="205">
        <f>IF($J156="",#N/A,SUM(FZ$4:FZ156,FX$4:FX156,FV$4:FV156))</f>
        <v>-0.18089848502781439</v>
      </c>
      <c r="GC156" s="200" t="str">
        <f t="shared" si="299"/>
        <v/>
      </c>
      <c r="GD156" s="203">
        <f>IF($J156="",#N/A,SUM(GC$4:GC156))</f>
        <v>0</v>
      </c>
      <c r="GE156" s="204" t="str">
        <f t="shared" si="300"/>
        <v/>
      </c>
      <c r="GF156" s="204">
        <f>IF($J156="",#N/A,SUM(GE$4:GE156))</f>
        <v>0</v>
      </c>
      <c r="GG156" s="205" t="str">
        <f t="shared" si="301"/>
        <v/>
      </c>
      <c r="GH156" s="205">
        <f>IF($J156="",#N/A,SUM(GG$4:GG156))</f>
        <v>-2.9368362277223206</v>
      </c>
      <c r="GI156" s="205">
        <f>IF($J156="",#N/A,SUM(GG$4:GG156,GE$4:GE156,GC$4:GC156))</f>
        <v>-2.9368362277223206</v>
      </c>
      <c r="GJ156" s="200" t="str">
        <f t="shared" si="302"/>
        <v/>
      </c>
      <c r="GK156" s="203">
        <f>IF($J156="",#N/A,SUM(GJ$4:GJ156))</f>
        <v>0</v>
      </c>
      <c r="GL156" s="204" t="str">
        <f t="shared" si="303"/>
        <v/>
      </c>
      <c r="GM156" s="204">
        <f>IF($J156="",#N/A,SUM(GL$4:GL156))</f>
        <v>-0.80168930905701452</v>
      </c>
      <c r="GN156" s="205" t="str">
        <f t="shared" si="304"/>
        <v/>
      </c>
      <c r="GO156" s="205">
        <f>IF($J156="",#N/A,SUM(GN$4:GN156))</f>
        <v>0</v>
      </c>
      <c r="GP156" s="205">
        <f>IF($J156="",#N/A,SUM(GN$4:GN156,GL$4:GL156,GJ$4:GJ156))</f>
        <v>-0.80168930905701452</v>
      </c>
      <c r="GS156" s="177" t="str">
        <f t="shared" si="323"/>
        <v/>
      </c>
      <c r="GT156" s="177" t="e">
        <f>IF(GS156="",NA(),SUM($GS$4:GS156))</f>
        <v>#N/A</v>
      </c>
      <c r="GU156" s="177" t="str">
        <f t="shared" si="305"/>
        <v/>
      </c>
      <c r="GV156" s="177" t="e">
        <f>IF(GU156="",NA(),SUM($GU$4:GU156))</f>
        <v>#N/A</v>
      </c>
      <c r="GW156" s="177" t="str">
        <f t="shared" si="306"/>
        <v/>
      </c>
      <c r="GX156" s="177" t="e">
        <f>IF(GW156="",NA(),SUM($GW$4:GW156))</f>
        <v>#N/A</v>
      </c>
      <c r="GY156" s="177" t="str">
        <f t="shared" si="307"/>
        <v/>
      </c>
      <c r="GZ156" s="177" t="e">
        <f>IF(GY156="",NA(),SUM($GY$4:GY156))</f>
        <v>#N/A</v>
      </c>
      <c r="HA156" s="177">
        <f t="shared" si="308"/>
        <v>2.420242024202421</v>
      </c>
      <c r="HB156" s="177">
        <f>IF(HA156="",NA(),SUM($HA$4:HA156))</f>
        <v>4.0231625893912168</v>
      </c>
      <c r="HC156" s="177" t="str">
        <f t="shared" si="309"/>
        <v/>
      </c>
      <c r="HD156" s="177" t="e">
        <f>IF(HC156="",NA(),SUM($HC$4:HC156))</f>
        <v>#N/A</v>
      </c>
      <c r="HE156" s="177" t="str">
        <f t="shared" si="310"/>
        <v/>
      </c>
      <c r="HF156" s="177" t="e">
        <f>IF(HE156="",NA(),SUM($HE$4:HE156))</f>
        <v>#N/A</v>
      </c>
      <c r="HG156" s="177">
        <f t="shared" si="311"/>
        <v>2.420242024202421</v>
      </c>
      <c r="HH156" s="177">
        <f>IF(HG156="",NA(),SUM($HG$4:HG156))</f>
        <v>2.6469313522215074</v>
      </c>
      <c r="HI156" s="183">
        <f t="shared" si="324"/>
        <v>-0.34836817015035004</v>
      </c>
      <c r="HJ156" s="183">
        <f>IF($J156="",#N/A,SUM(HI$4:$HI156))</f>
        <v>-6.5590685696389865</v>
      </c>
      <c r="HK156" s="177" t="str">
        <f t="shared" si="312"/>
        <v/>
      </c>
      <c r="HL156" s="177">
        <f>IF($J156="",#N/A,SUM($HK$4:HK156))</f>
        <v>-5.702620630287301</v>
      </c>
      <c r="HM156" s="177" t="str">
        <f t="shared" si="313"/>
        <v/>
      </c>
      <c r="HN156" s="177">
        <f>IF($J156="",#N/A,SUM($HM$4:HM156))</f>
        <v>0.71812545963587882</v>
      </c>
      <c r="HO156" s="177" t="str">
        <f t="shared" si="314"/>
        <v/>
      </c>
      <c r="HP156" s="177">
        <f>IF($J156="",#N/A,SUM($HO$4:HO156))</f>
        <v>-0.14859521910082485</v>
      </c>
      <c r="HQ156" s="177" t="str">
        <f t="shared" si="315"/>
        <v/>
      </c>
      <c r="HR156" s="177">
        <f>IF($J156="",#N/A,SUM($HQ$4:HQ156))</f>
        <v>-7.8284698219787154</v>
      </c>
      <c r="HS156" s="177" t="str">
        <f t="shared" si="316"/>
        <v/>
      </c>
      <c r="HT156" s="177">
        <f>IF($J156="",#N/A,SUM($HS$4:HS156))</f>
        <v>9.645585921364578</v>
      </c>
      <c r="HU156" s="64">
        <f t="shared" si="317"/>
        <v>2.0718738540520709</v>
      </c>
      <c r="HV156" s="64">
        <f>IF($J156="",#N/A,SUM(HU$4:$HU156))</f>
        <v>-7.7537616010734451</v>
      </c>
    </row>
    <row r="157" spans="1:230" x14ac:dyDescent="0.25">
      <c r="A157" s="51" t="s">
        <v>1331</v>
      </c>
      <c r="B157" s="52" t="s">
        <v>4541</v>
      </c>
      <c r="C157" s="229">
        <f t="shared" si="218"/>
        <v>3</v>
      </c>
      <c r="D157" s="219" t="str">
        <f>_xlfn.XLOOKUP(A157,[1]SP500!$A$2:$A$502,[1]SP500!$D$2:$D$502,"N")</f>
        <v>Y</v>
      </c>
      <c r="E157" s="51" t="str">
        <f>IFERROR(_xlfn.XLOOKUP(A157,[1]SP500!$A$2:$A$655,[1]SP500!$B$2:$B$655),"")</f>
        <v>XLY</v>
      </c>
      <c r="F157" s="290">
        <v>45776</v>
      </c>
      <c r="G157" s="51" t="str">
        <f t="shared" si="219"/>
        <v>AMC</v>
      </c>
      <c r="H157" s="51" t="str">
        <f t="shared" si="220"/>
        <v>s</v>
      </c>
      <c r="I157" s="344">
        <v>84.85</v>
      </c>
      <c r="J157" s="124">
        <v>76.37</v>
      </c>
      <c r="K157" s="55">
        <f t="shared" si="221"/>
        <v>-9.9941072480848436E-2</v>
      </c>
      <c r="L157" s="67">
        <f t="shared" si="222"/>
        <v>-101.75999999999988</v>
      </c>
      <c r="M157" s="57">
        <f t="shared" si="223"/>
        <v>0.96000000000003638</v>
      </c>
      <c r="N157" s="102">
        <f t="shared" si="224"/>
        <v>-101.75999999999988</v>
      </c>
      <c r="O157" s="57">
        <f>IF(N157="",#N/A,SUM($N$4:N157))</f>
        <v>-165.78363589938715</v>
      </c>
      <c r="P157" s="65">
        <f t="shared" si="318"/>
        <v>-1.6656845413474741</v>
      </c>
      <c r="Q157" s="172">
        <f>IF($N157="",#N/A,SUM($P$4:P157))</f>
        <v>0.45559671758445219</v>
      </c>
      <c r="R157" s="279">
        <f t="shared" si="225"/>
        <v>5.3445117730389526</v>
      </c>
      <c r="S157" s="51" t="str">
        <f t="shared" si="226"/>
        <v>SW</v>
      </c>
      <c r="T157" s="51" t="s">
        <v>2828</v>
      </c>
      <c r="U157" s="56">
        <f t="shared" si="227"/>
        <v>84.85</v>
      </c>
      <c r="V157" s="56" t="s">
        <v>4460</v>
      </c>
      <c r="W157" s="142">
        <v>12</v>
      </c>
      <c r="X157" s="145">
        <f t="shared" si="228"/>
        <v>1018.1999999999999</v>
      </c>
      <c r="Y157" s="140">
        <f t="shared" si="229"/>
        <v>12</v>
      </c>
      <c r="Z157" s="123">
        <v>76.45</v>
      </c>
      <c r="AA157" s="102">
        <f t="shared" si="230"/>
        <v>-100.79999999999984</v>
      </c>
      <c r="AB157" s="102">
        <f t="shared" si="231"/>
        <v>-57.600000000000023</v>
      </c>
      <c r="AC157" s="124">
        <v>80.05</v>
      </c>
      <c r="AD157" s="155">
        <f t="shared" si="232"/>
        <v>-57.600000000000023</v>
      </c>
      <c r="AE157" s="545">
        <f t="shared" si="233"/>
        <v>-0.94284030642310013</v>
      </c>
      <c r="AF157" s="57">
        <f>IF($AC157="",#N/A,SUM(AD$4:AD157))</f>
        <v>-624.06041200241634</v>
      </c>
      <c r="AG157" s="102">
        <f t="shared" si="234"/>
        <v>44.159999999999854</v>
      </c>
      <c r="AH157" s="56" t="s">
        <v>2507</v>
      </c>
      <c r="AI157" s="65">
        <f t="shared" si="235"/>
        <v>-1.649970536240422</v>
      </c>
      <c r="AJ157" s="54">
        <f>IF(AI157="",#N/A,SUM($AI$4:AI157))</f>
        <v>-4.8889150554545004</v>
      </c>
      <c r="AK157" s="57">
        <f t="shared" si="236"/>
        <v>-100.79999999999984</v>
      </c>
      <c r="AL157" s="349">
        <f>IF(AI157="",#N/A,IF(AH157="Skip",SUM($AK$4:AK157),SUM($AK$4:AK157)))</f>
        <v>-509.80740850718644</v>
      </c>
      <c r="AM157" s="65">
        <f t="shared" si="319"/>
        <v>-0.94284030642310013</v>
      </c>
      <c r="AN157" s="209"/>
      <c r="AO157" s="65">
        <f t="shared" si="237"/>
        <v>-0.94284030642310013</v>
      </c>
      <c r="AP157" s="65">
        <f>IF($AC157="",#N/A,SUM(AO$4:AO157))</f>
        <v>4.1064129781403231</v>
      </c>
      <c r="AQ157" s="65" t="str">
        <f t="shared" si="238"/>
        <v/>
      </c>
      <c r="AR157" s="65">
        <f>IF($AC157="",#N/A,SUM(AQ$4:AQ157))</f>
        <v>-2.6179859771653153</v>
      </c>
      <c r="AS157" s="65" t="str">
        <f t="shared" si="239"/>
        <v/>
      </c>
      <c r="AT157" s="65">
        <f>IF($AC157="",#N/A,SUM(AS$4:AS157))</f>
        <v>-10.185028908471558</v>
      </c>
      <c r="AU157" s="57">
        <f t="shared" si="320"/>
        <v>-57.600000000000023</v>
      </c>
      <c r="AV157" s="57">
        <f>IF($AC157="",#N/A,SUM(AU$4:AU157))</f>
        <v>178.41120645125056</v>
      </c>
      <c r="AW157" s="57" t="str">
        <f t="shared" si="321"/>
        <v/>
      </c>
      <c r="AX157" s="57">
        <f>IF($AC157="",#N/A,SUM(AW$4:AW157))</f>
        <v>-163.1400000000001</v>
      </c>
      <c r="AY157" s="57" t="str">
        <f t="shared" si="322"/>
        <v/>
      </c>
      <c r="AZ157" s="57">
        <f>IF($AC157="",#N/A,SUM(AY$4:AY157))</f>
        <v>-639.33161845366681</v>
      </c>
      <c r="BA157" s="57">
        <f>IF(AD157="",#N/A,SUM($AD$4:AD157))</f>
        <v>-624.06041200241634</v>
      </c>
      <c r="BC157" s="51" t="str">
        <f t="shared" si="240"/>
        <v/>
      </c>
      <c r="BD157" s="51" t="str">
        <f t="shared" si="241"/>
        <v/>
      </c>
      <c r="BE157" s="51" t="str">
        <f t="shared" si="242"/>
        <v/>
      </c>
      <c r="BF157" s="51" t="str">
        <f t="shared" si="243"/>
        <v>Long</v>
      </c>
      <c r="BG157" s="51" t="str">
        <f t="shared" si="244"/>
        <v/>
      </c>
      <c r="BH157" s="51" t="str">
        <f t="shared" si="245"/>
        <v/>
      </c>
      <c r="BI157" s="51">
        <f t="shared" si="246"/>
        <v>1</v>
      </c>
      <c r="BK157" s="65">
        <f t="shared" si="217"/>
        <v>0.12819048794852414</v>
      </c>
      <c r="BL157" s="65">
        <f t="shared" si="325"/>
        <v>9.9820631409733296E-2</v>
      </c>
      <c r="BM157" s="65">
        <f>IFERROR(Q157/COUNTA($J$4:J157),#N/A)</f>
        <v>2.9584202440548842E-3</v>
      </c>
      <c r="BO157" s="489">
        <f>IF(J157="",#N/A,IF(S157="SW",(COUNTIFS(K$4:$K157,"&gt;0",S$4:$S157,"SW")/COUNTIF(S$4:$S157,"SW")),#N/A))</f>
        <v>0.48148148148148145</v>
      </c>
      <c r="BP157" s="489" t="e">
        <f>IF($J157="",#N/A,IF($S157="DWN",(COUNTIFS($K$4:$K157,"&lt;0",$S$4:$S157,"DWN")/COUNTIF($S$4:$S157,"DWN")),#N/A))</f>
        <v>#N/A</v>
      </c>
      <c r="BQ157" s="489" t="e">
        <f>IF($J157="",#N/A,IF($S157="UP",(COUNTIFS($K$4:$K157,"&gt;0",$S$4:$S157,"UP")/COUNTIF($S$4:$S157,"UP")),#N/A))</f>
        <v>#N/A</v>
      </c>
      <c r="BR157" s="489">
        <f>IF(J157="",#N/A,COUNTIF($K$4:K157,"&gt;0")/COUNT($J$4:J157))</f>
        <v>0.46103896103896103</v>
      </c>
      <c r="BS157" s="65" t="str">
        <f t="shared" si="247"/>
        <v/>
      </c>
      <c r="BT157" s="65">
        <f t="shared" si="248"/>
        <v>-1.6656845413474741</v>
      </c>
      <c r="BU157" s="65" t="str">
        <f t="shared" si="249"/>
        <v/>
      </c>
      <c r="BV157" s="65" t="str">
        <f t="shared" si="250"/>
        <v/>
      </c>
      <c r="BW157" s="128" t="str">
        <f t="shared" si="251"/>
        <v/>
      </c>
      <c r="BX157" s="128">
        <f>IF($J157="",#N/A,SUM($BW$4:BW157))</f>
        <v>-205.1650000000003</v>
      </c>
      <c r="BY157" s="131" t="str">
        <f t="shared" si="252"/>
        <v/>
      </c>
      <c r="BZ157" s="131">
        <f>IF($J157="",#N/A,SUM($BY$4:BY157))</f>
        <v>71.474340389333747</v>
      </c>
      <c r="CA157" s="133">
        <f t="shared" si="253"/>
        <v>-101.75999999999988</v>
      </c>
      <c r="CB157" s="133">
        <f>IF($J157="",#N/A,SUM($CA$4:CA157))</f>
        <v>-32.092976288720592</v>
      </c>
      <c r="CC157" s="194" t="str">
        <f t="shared" si="254"/>
        <v/>
      </c>
      <c r="CD157" s="194">
        <f>IF($J157="",#N/A,SUM($CC$4:CC157))</f>
        <v>-3.1875162177003693</v>
      </c>
      <c r="CE157" s="195" t="str">
        <f t="shared" si="255"/>
        <v/>
      </c>
      <c r="CF157" s="195">
        <f>IF($J157="",#N/A,SUM($CE$4:CE157))</f>
        <v>2.076660291454735</v>
      </c>
      <c r="CG157" s="196">
        <f t="shared" si="256"/>
        <v>-1.6656845413474741</v>
      </c>
      <c r="CH157" s="193">
        <f>IF($J157="",#N/A,SUM($CG$4:CG157))</f>
        <v>1.5664526438300914</v>
      </c>
      <c r="CI157" s="200" t="str">
        <f t="shared" si="257"/>
        <v/>
      </c>
      <c r="CJ157" s="203">
        <f>IF($J157="",#N/A,SUM(CI$4:CI157))</f>
        <v>0</v>
      </c>
      <c r="CK157" s="204" t="str">
        <f t="shared" si="258"/>
        <v/>
      </c>
      <c r="CL157" s="204">
        <f>IF($J157="",#N/A,SUM(CK$4:CK157))</f>
        <v>0.95905730556970825</v>
      </c>
      <c r="CM157" s="205" t="str">
        <f t="shared" si="259"/>
        <v/>
      </c>
      <c r="CN157" s="205">
        <f>IF($J157="",#N/A,SUM(CM$4:CM157))</f>
        <v>3.3861132786295873</v>
      </c>
      <c r="CO157" s="205">
        <f>IF($J157="",#N/A,SUM(CM$4:CM157,CK$4:CK157,CI$4:CI157))</f>
        <v>4.3451705841992965</v>
      </c>
      <c r="CP157" s="200" t="str">
        <f t="shared" si="260"/>
        <v/>
      </c>
      <c r="CQ157" s="203">
        <f>IF($J157="",#N/A,SUM(CP$4:CP157))</f>
        <v>0</v>
      </c>
      <c r="CR157" s="204" t="str">
        <f t="shared" si="261"/>
        <v/>
      </c>
      <c r="CS157" s="204">
        <f>IF($J157="",#N/A,SUM(CR$4:CR157))</f>
        <v>2.420242024202421</v>
      </c>
      <c r="CT157" s="205" t="str">
        <f t="shared" si="262"/>
        <v/>
      </c>
      <c r="CU157" s="205">
        <f>IF($J157="",#N/A,SUM(CT$4:CT157))</f>
        <v>0</v>
      </c>
      <c r="CV157" s="205">
        <f>IF($J157="",#N/A,SUM(CT$4:CT157,CR$4:CR157,CP$4:CP157))</f>
        <v>2.420242024202421</v>
      </c>
      <c r="CW157" s="200" t="str">
        <f t="shared" si="263"/>
        <v/>
      </c>
      <c r="CX157" s="203">
        <f>IF($J157="",#N/A,SUM(CW$4:CW157))</f>
        <v>0</v>
      </c>
      <c r="CY157" s="204" t="str">
        <f t="shared" si="264"/>
        <v/>
      </c>
      <c r="CZ157" s="204">
        <f>IF($J157="",#N/A,SUM(CY$4:CY157))</f>
        <v>-1.9289529100071134</v>
      </c>
      <c r="DA157" s="205">
        <f t="shared" si="265"/>
        <v>-1.6656845413474741</v>
      </c>
      <c r="DB157" s="205">
        <f>IF($J157="",#N/A,SUM(DA$4:DA157))</f>
        <v>-1.6625481037126164</v>
      </c>
      <c r="DC157" s="205">
        <f>IF($J157="",#N/A,SUM(DA$4:DA157,CY$4:CY157,CW$4:CW157))</f>
        <v>-3.5915010137197294</v>
      </c>
      <c r="DD157" s="200" t="str">
        <f t="shared" si="266"/>
        <v/>
      </c>
      <c r="DE157" s="203">
        <f>IF($J157="",#N/A,SUM(DD$4:DD157))</f>
        <v>0.14968716170674062</v>
      </c>
      <c r="DF157" s="204" t="str">
        <f t="shared" si="267"/>
        <v/>
      </c>
      <c r="DG157" s="204">
        <f>IF($J157="",#N/A,SUM(DF$4:DF157))</f>
        <v>1.2121188689979676</v>
      </c>
      <c r="DH157" s="205" t="str">
        <f t="shared" si="268"/>
        <v/>
      </c>
      <c r="DI157" s="205">
        <f>IF($J157="",#N/A,SUM(DH$4:DH157))</f>
        <v>-1.4547707265941352</v>
      </c>
      <c r="DJ157" s="205">
        <f>IF($J157="",#N/A,SUM(DH$4:DH157,DF$4:DF157,DD$4:DD157))</f>
        <v>-9.2964695889427046E-2</v>
      </c>
      <c r="DK157" s="200" t="str">
        <f t="shared" si="269"/>
        <v/>
      </c>
      <c r="DL157" s="203">
        <f>IF($J157="",#N/A,SUM(DK$4:DK157))</f>
        <v>-1.2097286851272664</v>
      </c>
      <c r="DM157" s="204" t="str">
        <f t="shared" si="270"/>
        <v/>
      </c>
      <c r="DN157" s="204">
        <f>IF($J157="",#N/A,SUM(DM$4:DM157))</f>
        <v>1.1910608267574658</v>
      </c>
      <c r="DO157" s="205" t="str">
        <f t="shared" si="271"/>
        <v/>
      </c>
      <c r="DP157" s="205">
        <f>IF($J157="",#N/A,SUM(DO$4:DO157))</f>
        <v>1.3495058802125319</v>
      </c>
      <c r="DQ157" s="205">
        <f>IF($J157="",#N/A,SUM(DO$4:DO157,DM$4:DM157,DK$4:DK157))</f>
        <v>1.3308380218427318</v>
      </c>
      <c r="DR157" s="200" t="str">
        <f t="shared" si="272"/>
        <v/>
      </c>
      <c r="DS157" s="203">
        <f>IF($J157="",#N/A,SUM(DR$4:DR157))</f>
        <v>-0.55950946427675097</v>
      </c>
      <c r="DT157" s="204" t="str">
        <f t="shared" si="273"/>
        <v/>
      </c>
      <c r="DU157" s="204">
        <f>IF($J157="",#N/A,SUM(DT$4:DT157))</f>
        <v>-3.5029740333397914</v>
      </c>
      <c r="DV157" s="205" t="str">
        <f t="shared" si="274"/>
        <v/>
      </c>
      <c r="DW157" s="205">
        <f>IF($J157="",#N/A,SUM(DV$4:DV157))</f>
        <v>-1.5072282546558893</v>
      </c>
      <c r="DX157" s="205">
        <f>IF($J157="",#N/A,SUM(DV$4:DV157,DT$4:DT157,DR$4:DR157))</f>
        <v>-5.5697117522724318</v>
      </c>
      <c r="DY157" s="200" t="str">
        <f t="shared" si="275"/>
        <v/>
      </c>
      <c r="DZ157" s="203">
        <f>IF($J157="",#N/A,SUM(DY$4:DY157))</f>
        <v>-1.63480022183437</v>
      </c>
      <c r="EA157" s="204" t="str">
        <f t="shared" si="276"/>
        <v/>
      </c>
      <c r="EB157" s="204">
        <f>IF($J157="",#N/A,SUM(EA$4:EA157))</f>
        <v>-0.2070110273231956</v>
      </c>
      <c r="EC157" s="205" t="str">
        <f t="shared" si="277"/>
        <v/>
      </c>
      <c r="ED157" s="205">
        <f>IF($J157="",#N/A,SUM(EC$4:EC157))</f>
        <v>1.4704559513837272</v>
      </c>
      <c r="EE157" s="205">
        <f>IF($J157="",#N/A,SUM(EC$4:EC157,EA$4:EA157,DY$4:DY157))</f>
        <v>-0.37135529777383841</v>
      </c>
      <c r="EF157" s="200" t="str">
        <f t="shared" si="278"/>
        <v/>
      </c>
      <c r="EG157" s="203">
        <f>IF($J157="",#N/A,SUM(EF$4:EF157))</f>
        <v>0</v>
      </c>
      <c r="EH157" s="204" t="str">
        <f t="shared" si="279"/>
        <v/>
      </c>
      <c r="EI157" s="204">
        <f>IF($J157="",#N/A,SUM(EH$4:EH157))</f>
        <v>-1.1184224685150388</v>
      </c>
      <c r="EJ157" s="205" t="str">
        <f t="shared" si="280"/>
        <v/>
      </c>
      <c r="EK157" s="205">
        <f>IF($J157="",#N/A,SUM(EJ$4:EJ157))</f>
        <v>1.7255127285193785</v>
      </c>
      <c r="EL157" s="205">
        <f>IF($J157="",#N/A,SUM(EJ$4:EJ157,EH$4:EH157,EF$4:EF157))</f>
        <v>0.60709026000434052</v>
      </c>
      <c r="EM157" s="200" t="str">
        <f t="shared" si="281"/>
        <v/>
      </c>
      <c r="EN157" s="203">
        <f>IF($J157="",#N/A,SUM(EM$4:EM157))</f>
        <v>0</v>
      </c>
      <c r="EO157" s="204" t="str">
        <f t="shared" si="282"/>
        <v/>
      </c>
      <c r="EP157" s="204">
        <f>IF($J157="",#N/A,SUM(EO$4:EO157))</f>
        <v>1.264716604605848</v>
      </c>
      <c r="EQ157" s="205" t="str">
        <f t="shared" si="283"/>
        <v/>
      </c>
      <c r="ER157" s="205">
        <f>IF($J157="",#N/A,SUM(EQ$4:EQ157))</f>
        <v>1.5025175479314647</v>
      </c>
      <c r="ES157" s="205">
        <f>IF($J157="",#N/A,SUM(EQ$4:EQ157,EO$4:EO157,EM$4:EM157))</f>
        <v>2.7672341525373123</v>
      </c>
      <c r="ET157" s="200" t="str">
        <f t="shared" si="284"/>
        <v/>
      </c>
      <c r="EU157" s="203">
        <f>IF($J157="",#N/A,SUM(ET$4:ET157))</f>
        <v>0</v>
      </c>
      <c r="EV157" s="204" t="str">
        <f t="shared" si="285"/>
        <v/>
      </c>
      <c r="EW157" s="204">
        <f>IF($J157="",#N/A,SUM(EV$4:EV157))</f>
        <v>0.90459527759708336</v>
      </c>
      <c r="EX157" s="205" t="str">
        <f t="shared" si="286"/>
        <v/>
      </c>
      <c r="EY157" s="205">
        <f>IF($J157="",#N/A,SUM(EX$4:EX157))</f>
        <v>0.22957553748493481</v>
      </c>
      <c r="EZ157" s="205">
        <f>IF($J157="",#N/A,SUM(EX$4:EX157,EV$4:EV157,ET$4:ET157))</f>
        <v>1.134170815082018</v>
      </c>
      <c r="FA157" s="200" t="str">
        <f t="shared" si="287"/>
        <v/>
      </c>
      <c r="FB157" s="203">
        <f>IF($J157="",#N/A,SUM(FA$4:FA157))</f>
        <v>0</v>
      </c>
      <c r="FC157" s="204" t="str">
        <f t="shared" si="288"/>
        <v/>
      </c>
      <c r="FD157" s="204">
        <f>IF($J157="",#N/A,SUM(FC$4:FC157))</f>
        <v>1.6839191319663924</v>
      </c>
      <c r="FE157" s="205" t="str">
        <f t="shared" si="289"/>
        <v/>
      </c>
      <c r="FF157" s="205">
        <f>IF($J157="",#N/A,SUM(FE$4:FE157))</f>
        <v>-0.28811149078748233</v>
      </c>
      <c r="FG157" s="205">
        <f>IF($J157="",#N/A,SUM(FE$4:FE157,FC$4:FC157,FA$4:FA157))</f>
        <v>1.3958076411789102</v>
      </c>
      <c r="FH157" s="200" t="str">
        <f t="shared" si="290"/>
        <v/>
      </c>
      <c r="FI157" s="203">
        <f>IF($J157="",#N/A,SUM(FH$4:FH157))</f>
        <v>0</v>
      </c>
      <c r="FJ157" s="204" t="str">
        <f t="shared" si="291"/>
        <v/>
      </c>
      <c r="FK157" s="204">
        <f>IF($J157="",#N/A,SUM(FJ$4:FJ157))</f>
        <v>0</v>
      </c>
      <c r="FL157" s="205" t="str">
        <f t="shared" si="292"/>
        <v/>
      </c>
      <c r="FM157" s="205">
        <f>IF($J157="",#N/A,SUM(FL$4:FL157))</f>
        <v>0</v>
      </c>
      <c r="FN157" s="205">
        <f>IF($J157="",#N/A,SUM(FL$4:FL157,FJ$4:FJ157,FH$4:FH157))</f>
        <v>0</v>
      </c>
      <c r="FO157" s="200" t="str">
        <f t="shared" si="293"/>
        <v/>
      </c>
      <c r="FP157" s="203">
        <f>IF($J157="",#N/A,SUM(FO$4:FO157))</f>
        <v>0</v>
      </c>
      <c r="FQ157" s="204" t="str">
        <f t="shared" si="294"/>
        <v/>
      </c>
      <c r="FR157" s="204">
        <f>IF($J157="",#N/A,SUM(FQ$4:FQ157))</f>
        <v>0</v>
      </c>
      <c r="FS157" s="205" t="str">
        <f t="shared" si="295"/>
        <v/>
      </c>
      <c r="FT157" s="205">
        <f>IF($J157="",#N/A,SUM(FS$4:FS157))</f>
        <v>0</v>
      </c>
      <c r="FU157" s="205">
        <f>IF($J157="",#N/A,SUM(FS$4:FS157,FQ$4:FQ157,FO$4:FO157))</f>
        <v>0</v>
      </c>
      <c r="FV157" s="200" t="str">
        <f t="shared" si="296"/>
        <v/>
      </c>
      <c r="FW157" s="203">
        <f>IF($J157="",#N/A,SUM(FV$4:FV157))</f>
        <v>6.6834991831277585E-2</v>
      </c>
      <c r="FX157" s="204" t="str">
        <f t="shared" si="297"/>
        <v/>
      </c>
      <c r="FY157" s="204">
        <f>IF($J157="",#N/A,SUM(FX$4:FX157))</f>
        <v>0</v>
      </c>
      <c r="FZ157" s="205" t="str">
        <f t="shared" si="298"/>
        <v/>
      </c>
      <c r="GA157" s="205">
        <f>IF($J157="",#N/A,SUM(FZ$4:FZ157))</f>
        <v>-0.24773347685909197</v>
      </c>
      <c r="GB157" s="205">
        <f>IF($J157="",#N/A,SUM(FZ$4:FZ157,FX$4:FX157,FV$4:FV157))</f>
        <v>-0.18089848502781439</v>
      </c>
      <c r="GC157" s="200" t="str">
        <f t="shared" si="299"/>
        <v/>
      </c>
      <c r="GD157" s="203">
        <f>IF($J157="",#N/A,SUM(GC$4:GC157))</f>
        <v>0</v>
      </c>
      <c r="GE157" s="204" t="str">
        <f t="shared" si="300"/>
        <v/>
      </c>
      <c r="GF157" s="204">
        <f>IF($J157="",#N/A,SUM(GE$4:GE157))</f>
        <v>0</v>
      </c>
      <c r="GG157" s="205" t="str">
        <f t="shared" si="301"/>
        <v/>
      </c>
      <c r="GH157" s="205">
        <f>IF($J157="",#N/A,SUM(GG$4:GG157))</f>
        <v>-2.9368362277223206</v>
      </c>
      <c r="GI157" s="205">
        <f>IF($J157="",#N/A,SUM(GG$4:GG157,GE$4:GE157,GC$4:GC157))</f>
        <v>-2.9368362277223206</v>
      </c>
      <c r="GJ157" s="200" t="str">
        <f t="shared" si="302"/>
        <v/>
      </c>
      <c r="GK157" s="203">
        <f>IF($J157="",#N/A,SUM(GJ$4:GJ157))</f>
        <v>0</v>
      </c>
      <c r="GL157" s="204" t="str">
        <f t="shared" si="303"/>
        <v/>
      </c>
      <c r="GM157" s="204">
        <f>IF($J157="",#N/A,SUM(GL$4:GL157))</f>
        <v>-0.80168930905701452</v>
      </c>
      <c r="GN157" s="205" t="str">
        <f t="shared" si="304"/>
        <v/>
      </c>
      <c r="GO157" s="205">
        <f>IF($J157="",#N/A,SUM(GN$4:GN157))</f>
        <v>0</v>
      </c>
      <c r="GP157" s="205">
        <f>IF($J157="",#N/A,SUM(GN$4:GN157,GL$4:GL157,GJ$4:GJ157))</f>
        <v>-0.80168930905701452</v>
      </c>
      <c r="GS157" s="54">
        <f t="shared" si="323"/>
        <v>-1.6656845413474741</v>
      </c>
      <c r="GT157" s="54">
        <f>IF(GS157="",NA(),SUM($GS$4:GS157))</f>
        <v>-3.5675658718067629</v>
      </c>
      <c r="GU157" s="54" t="str">
        <f t="shared" si="305"/>
        <v/>
      </c>
      <c r="GV157" s="54" t="e">
        <f>IF(GU157="",NA(),SUM($GU$4:GU157))</f>
        <v>#N/A</v>
      </c>
      <c r="GW157" s="54">
        <f t="shared" si="306"/>
        <v>-1.6656845413474741</v>
      </c>
      <c r="GX157" s="54">
        <f>IF(GW157="",NA(),SUM($GW$4:GW157))</f>
        <v>0.19022140666038134</v>
      </c>
      <c r="GY157" s="54" t="str">
        <f t="shared" si="307"/>
        <v/>
      </c>
      <c r="GZ157" s="54" t="e">
        <f>IF(GY157="",NA(),SUM($GY$4:GY157))</f>
        <v>#N/A</v>
      </c>
      <c r="HA157" s="54" t="str">
        <f t="shared" si="308"/>
        <v/>
      </c>
      <c r="HB157" s="54" t="e">
        <f>IF(HA157="",NA(),SUM($HA$4:HA157))</f>
        <v>#N/A</v>
      </c>
      <c r="HC157" s="54" t="str">
        <f t="shared" si="309"/>
        <v/>
      </c>
      <c r="HD157" s="54" t="e">
        <f>IF(HC157="",NA(),SUM($HC$4:HC157))</f>
        <v>#N/A</v>
      </c>
      <c r="HE157" s="54" t="str">
        <f t="shared" si="310"/>
        <v/>
      </c>
      <c r="HF157" s="54" t="e">
        <f>IF(HE157="",NA(),SUM($HE$4:HE157))</f>
        <v>#N/A</v>
      </c>
      <c r="HG157" s="54" t="str">
        <f t="shared" si="311"/>
        <v/>
      </c>
      <c r="HH157" s="54" t="e">
        <f>IF(HG157="",NA(),SUM($HG$4:HG157))</f>
        <v>#N/A</v>
      </c>
      <c r="HI157" s="172" t="str">
        <f t="shared" si="324"/>
        <v/>
      </c>
      <c r="HJ157" s="172">
        <f>IF($J157="",#N/A,SUM(HI$4:$HI157))</f>
        <v>-6.5590685696389865</v>
      </c>
      <c r="HK157" s="54" t="str">
        <f t="shared" si="312"/>
        <v/>
      </c>
      <c r="HL157" s="54">
        <f>IF($J157="",#N/A,SUM($HK$4:HK157))</f>
        <v>-5.702620630287301</v>
      </c>
      <c r="HM157" s="54" t="str">
        <f t="shared" si="313"/>
        <v/>
      </c>
      <c r="HN157" s="54">
        <f>IF($J157="",#N/A,SUM($HM$4:HM157))</f>
        <v>0.71812545963587882</v>
      </c>
      <c r="HO157" s="54" t="str">
        <f t="shared" si="314"/>
        <v/>
      </c>
      <c r="HP157" s="54">
        <f>IF($J157="",#N/A,SUM($HO$4:HO157))</f>
        <v>-0.14859521910082485</v>
      </c>
      <c r="HQ157" s="54" t="str">
        <f t="shared" si="315"/>
        <v/>
      </c>
      <c r="HR157" s="54">
        <f>IF($J157="",#N/A,SUM($HQ$4:HQ157))</f>
        <v>-7.8284698219787154</v>
      </c>
      <c r="HS157" s="54">
        <f t="shared" si="316"/>
        <v>0.722844234924374</v>
      </c>
      <c r="HT157" s="54">
        <f>IF($J157="",#N/A,SUM($HS$4:HS157))</f>
        <v>10.368430156288952</v>
      </c>
      <c r="HU157" s="65">
        <f t="shared" si="317"/>
        <v>-0.94284030642310013</v>
      </c>
      <c r="HV157" s="65">
        <f>IF($J157="",#N/A,SUM(HU$4:$HU157))</f>
        <v>-8.6966019074965448</v>
      </c>
    </row>
    <row r="158" spans="1:230" x14ac:dyDescent="0.25">
      <c r="A158" s="51" t="s">
        <v>1273</v>
      </c>
      <c r="B158" s="52" t="s">
        <v>4541</v>
      </c>
      <c r="C158" s="229">
        <f t="shared" si="218"/>
        <v>3</v>
      </c>
      <c r="D158" s="219" t="str">
        <f>_xlfn.XLOOKUP(A158,[1]SP500!$A$2:$A$502,[1]SP500!$D$2:$D$502,"N")</f>
        <v>Y</v>
      </c>
      <c r="E158" s="51" t="str">
        <f>IFERROR(_xlfn.XLOOKUP(A158,[1]SP500!$A$2:$A$655,[1]SP500!$B$2:$B$655),"")</f>
        <v>XLF</v>
      </c>
      <c r="F158" s="290">
        <v>45776</v>
      </c>
      <c r="G158" s="51" t="str">
        <f t="shared" si="219"/>
        <v>AMC</v>
      </c>
      <c r="H158" s="51" t="str">
        <f t="shared" si="220"/>
        <v>o</v>
      </c>
      <c r="I158" s="344">
        <v>341.52</v>
      </c>
      <c r="J158" s="124">
        <v>334.44</v>
      </c>
      <c r="K158" s="55">
        <f t="shared" si="221"/>
        <v>-2.0730850316233264E-2</v>
      </c>
      <c r="L158" s="67">
        <f t="shared" si="222"/>
        <v>21.240000000000009</v>
      </c>
      <c r="M158" s="57">
        <f t="shared" si="223"/>
        <v>-2.0100000000001046</v>
      </c>
      <c r="N158" s="102">
        <f t="shared" si="224"/>
        <v>-21.240000000000009</v>
      </c>
      <c r="O158" s="57">
        <f>IF(N158="",#N/A,SUM($N$4:N158))</f>
        <v>-187.02363589938716</v>
      </c>
      <c r="P158" s="65">
        <f t="shared" si="318"/>
        <v>-0.345514171937222</v>
      </c>
      <c r="Q158" s="172">
        <f>IF($N158="",#N/A,SUM($P$4:P158))</f>
        <v>0.11008254564723019</v>
      </c>
      <c r="R158" s="279">
        <f t="shared" si="225"/>
        <v>4.6861803917630889</v>
      </c>
      <c r="S158" s="51" t="str">
        <f t="shared" si="226"/>
        <v>SW</v>
      </c>
      <c r="T158" s="51" t="s">
        <v>2828</v>
      </c>
      <c r="U158" s="56">
        <f t="shared" si="227"/>
        <v>341.52</v>
      </c>
      <c r="V158" s="56" t="s">
        <v>4458</v>
      </c>
      <c r="W158" s="142">
        <v>3</v>
      </c>
      <c r="X158" s="145">
        <f t="shared" si="228"/>
        <v>1024.56</v>
      </c>
      <c r="Y158" s="140">
        <f t="shared" si="229"/>
        <v>3</v>
      </c>
      <c r="Z158" s="123">
        <v>335.11</v>
      </c>
      <c r="AA158" s="102">
        <f t="shared" si="230"/>
        <v>19.229999999999905</v>
      </c>
      <c r="AB158" s="102">
        <f t="shared" si="231"/>
        <v>-11.940000000000055</v>
      </c>
      <c r="AC158" s="124">
        <v>345.5</v>
      </c>
      <c r="AD158" s="155">
        <f t="shared" si="232"/>
        <v>11.940000000000055</v>
      </c>
      <c r="AE158" s="545">
        <f t="shared" si="233"/>
        <v>0.19422971812290243</v>
      </c>
      <c r="AF158" s="57">
        <f>IF($AC158="",#N/A,SUM(AD$4:AD158))</f>
        <v>-612.12041200241629</v>
      </c>
      <c r="AG158" s="102">
        <f t="shared" si="234"/>
        <v>33.180000000000064</v>
      </c>
      <c r="AH158" s="56" t="s">
        <v>2507</v>
      </c>
      <c r="AI158" s="65">
        <f t="shared" si="235"/>
        <v>0.31281720933864138</v>
      </c>
      <c r="AJ158" s="54">
        <f>IF(AI158="",#N/A,SUM($AI$4:AI158))</f>
        <v>-4.576097846115859</v>
      </c>
      <c r="AK158" s="57">
        <f t="shared" si="236"/>
        <v>19.229999999999905</v>
      </c>
      <c r="AL158" s="349">
        <f>IF(AI158="",#N/A,IF(AH158="Skip",SUM($AK$4:AK158),SUM($AK$4:AK158)))</f>
        <v>-490.57740850718653</v>
      </c>
      <c r="AM158" s="65">
        <f t="shared" si="319"/>
        <v>0.19422971812290243</v>
      </c>
      <c r="AN158" s="209"/>
      <c r="AO158" s="65">
        <f t="shared" si="237"/>
        <v>0.19422971812290243</v>
      </c>
      <c r="AP158" s="65">
        <f>IF($AC158="",#N/A,SUM(AO$4:AO158))</f>
        <v>4.3006426962632256</v>
      </c>
      <c r="AQ158" s="65" t="str">
        <f t="shared" si="238"/>
        <v/>
      </c>
      <c r="AR158" s="65">
        <f>IF($AC158="",#N/A,SUM(AQ$4:AQ158))</f>
        <v>-2.6179859771653153</v>
      </c>
      <c r="AS158" s="65" t="str">
        <f t="shared" si="239"/>
        <v/>
      </c>
      <c r="AT158" s="65">
        <f>IF($AC158="",#N/A,SUM(AS$4:AS158))</f>
        <v>-10.185028908471558</v>
      </c>
      <c r="AU158" s="57">
        <f t="shared" si="320"/>
        <v>11.940000000000055</v>
      </c>
      <c r="AV158" s="57">
        <f>IF($AC158="",#N/A,SUM(AU$4:AU158))</f>
        <v>190.35120645125062</v>
      </c>
      <c r="AW158" s="57" t="str">
        <f t="shared" si="321"/>
        <v/>
      </c>
      <c r="AX158" s="57">
        <f>IF($AC158="",#N/A,SUM(AW$4:AW158))</f>
        <v>-163.1400000000001</v>
      </c>
      <c r="AY158" s="57" t="str">
        <f t="shared" si="322"/>
        <v/>
      </c>
      <c r="AZ158" s="57">
        <f>IF($AC158="",#N/A,SUM(AY$4:AY158))</f>
        <v>-639.33161845366681</v>
      </c>
      <c r="BA158" s="57">
        <f>IF(AD158="",#N/A,SUM($AD$4:AD158))</f>
        <v>-612.12041200241629</v>
      </c>
      <c r="BC158" s="51" t="str">
        <f t="shared" si="240"/>
        <v/>
      </c>
      <c r="BD158" s="51" t="str">
        <f t="shared" si="241"/>
        <v/>
      </c>
      <c r="BE158" s="51" t="str">
        <f t="shared" si="242"/>
        <v/>
      </c>
      <c r="BF158" s="51" t="str">
        <f t="shared" si="243"/>
        <v>Long</v>
      </c>
      <c r="BG158" s="51" t="str">
        <f t="shared" si="244"/>
        <v/>
      </c>
      <c r="BH158" s="51" t="str">
        <f t="shared" si="245"/>
        <v/>
      </c>
      <c r="BI158" s="51">
        <f t="shared" si="246"/>
        <v>1</v>
      </c>
      <c r="BK158" s="65">
        <f t="shared" si="217"/>
        <v>0.10608182127130737</v>
      </c>
      <c r="BL158" s="65">
        <f t="shared" si="325"/>
        <v>0.10847393212806318</v>
      </c>
      <c r="BM158" s="65">
        <f>IFERROR(Q158/COUNTA($J$4:J158),#N/A)</f>
        <v>7.1020997191761416E-4</v>
      </c>
      <c r="BO158" s="489">
        <f>IF(J158="",#N/A,IF(S158="SW",(COUNTIFS(K$4:$K158,"&gt;0",S$4:$S158,"SW")/COUNTIF(S$4:$S158,"SW")),#N/A))</f>
        <v>0.47560975609756095</v>
      </c>
      <c r="BP158" s="489" t="e">
        <f>IF($J158="",#N/A,IF($S158="DWN",(COUNTIFS($K$4:$K158,"&lt;0",$S$4:$S158,"DWN")/COUNTIF($S$4:$S158,"DWN")),#N/A))</f>
        <v>#N/A</v>
      </c>
      <c r="BQ158" s="489" t="e">
        <f>IF($J158="",#N/A,IF($S158="UP",(COUNTIFS($K$4:$K158,"&gt;0",$S$4:$S158,"UP")/COUNTIF($S$4:$S158,"UP")),#N/A))</f>
        <v>#N/A</v>
      </c>
      <c r="BR158" s="489">
        <f>IF(J158="",#N/A,COUNTIF($K$4:K158,"&gt;0")/COUNT($J$4:J158))</f>
        <v>0.45806451612903226</v>
      </c>
      <c r="BS158" s="65" t="str">
        <f t="shared" si="247"/>
        <v/>
      </c>
      <c r="BT158" s="65" t="str">
        <f t="shared" si="248"/>
        <v/>
      </c>
      <c r="BU158" s="65">
        <f t="shared" si="249"/>
        <v>-0.345514171937222</v>
      </c>
      <c r="BV158" s="65" t="str">
        <f t="shared" si="250"/>
        <v/>
      </c>
      <c r="BW158" s="128" t="str">
        <f t="shared" si="251"/>
        <v/>
      </c>
      <c r="BX158" s="128">
        <f>IF($J158="",#N/A,SUM($BW$4:BW158))</f>
        <v>-205.1650000000003</v>
      </c>
      <c r="BY158" s="131" t="str">
        <f t="shared" si="252"/>
        <v/>
      </c>
      <c r="BZ158" s="131">
        <f>IF($J158="",#N/A,SUM($BY$4:BY158))</f>
        <v>71.474340389333747</v>
      </c>
      <c r="CA158" s="133">
        <f t="shared" si="253"/>
        <v>-21.240000000000009</v>
      </c>
      <c r="CB158" s="133">
        <f>IF($J158="",#N/A,SUM($CA$4:CA158))</f>
        <v>-53.332976288720602</v>
      </c>
      <c r="CC158" s="194" t="str">
        <f t="shared" si="254"/>
        <v/>
      </c>
      <c r="CD158" s="194">
        <f>IF($J158="",#N/A,SUM($CC$4:CC158))</f>
        <v>-3.1875162177003693</v>
      </c>
      <c r="CE158" s="195" t="str">
        <f t="shared" si="255"/>
        <v/>
      </c>
      <c r="CF158" s="195">
        <f>IF($J158="",#N/A,SUM($CE$4:CE158))</f>
        <v>2.076660291454735</v>
      </c>
      <c r="CG158" s="196">
        <f t="shared" si="256"/>
        <v>-0.345514171937222</v>
      </c>
      <c r="CH158" s="193">
        <f>IF($J158="",#N/A,SUM($CG$4:CG158))</f>
        <v>1.2209384718928695</v>
      </c>
      <c r="CI158" s="200" t="str">
        <f t="shared" si="257"/>
        <v/>
      </c>
      <c r="CJ158" s="203">
        <f>IF($J158="",#N/A,SUM(CI$4:CI158))</f>
        <v>0</v>
      </c>
      <c r="CK158" s="204" t="str">
        <f t="shared" si="258"/>
        <v/>
      </c>
      <c r="CL158" s="204">
        <f>IF($J158="",#N/A,SUM(CK$4:CK158))</f>
        <v>0.95905730556970825</v>
      </c>
      <c r="CM158" s="205" t="str">
        <f t="shared" si="259"/>
        <v/>
      </c>
      <c r="CN158" s="205">
        <f>IF($J158="",#N/A,SUM(CM$4:CM158))</f>
        <v>3.3861132786295873</v>
      </c>
      <c r="CO158" s="205">
        <f>IF($J158="",#N/A,SUM(CM$4:CM158,CK$4:CK158,CI$4:CI158))</f>
        <v>4.3451705841992965</v>
      </c>
      <c r="CP158" s="200" t="str">
        <f t="shared" si="260"/>
        <v/>
      </c>
      <c r="CQ158" s="203">
        <f>IF($J158="",#N/A,SUM(CP$4:CP158))</f>
        <v>0</v>
      </c>
      <c r="CR158" s="204" t="str">
        <f t="shared" si="261"/>
        <v/>
      </c>
      <c r="CS158" s="204">
        <f>IF($J158="",#N/A,SUM(CR$4:CR158))</f>
        <v>2.420242024202421</v>
      </c>
      <c r="CT158" s="205" t="str">
        <f t="shared" si="262"/>
        <v/>
      </c>
      <c r="CU158" s="205">
        <f>IF($J158="",#N/A,SUM(CT$4:CT158))</f>
        <v>0</v>
      </c>
      <c r="CV158" s="205">
        <f>IF($J158="",#N/A,SUM(CT$4:CT158,CR$4:CR158,CP$4:CP158))</f>
        <v>2.420242024202421</v>
      </c>
      <c r="CW158" s="200" t="str">
        <f t="shared" si="263"/>
        <v/>
      </c>
      <c r="CX158" s="203">
        <f>IF($J158="",#N/A,SUM(CW$4:CW158))</f>
        <v>0</v>
      </c>
      <c r="CY158" s="204" t="str">
        <f t="shared" si="264"/>
        <v/>
      </c>
      <c r="CZ158" s="204">
        <f>IF($J158="",#N/A,SUM(CY$4:CY158))</f>
        <v>-1.9289529100071134</v>
      </c>
      <c r="DA158" s="205" t="str">
        <f t="shared" si="265"/>
        <v/>
      </c>
      <c r="DB158" s="205">
        <f>IF($J158="",#N/A,SUM(DA$4:DA158))</f>
        <v>-1.6625481037126164</v>
      </c>
      <c r="DC158" s="205">
        <f>IF($J158="",#N/A,SUM(DA$4:DA158,CY$4:CY158,CW$4:CW158))</f>
        <v>-3.5915010137197294</v>
      </c>
      <c r="DD158" s="200" t="str">
        <f t="shared" si="266"/>
        <v/>
      </c>
      <c r="DE158" s="203">
        <f>IF($J158="",#N/A,SUM(DD$4:DD158))</f>
        <v>0.14968716170674062</v>
      </c>
      <c r="DF158" s="204" t="str">
        <f t="shared" si="267"/>
        <v/>
      </c>
      <c r="DG158" s="204">
        <f>IF($J158="",#N/A,SUM(DF$4:DF158))</f>
        <v>1.2121188689979676</v>
      </c>
      <c r="DH158" s="205" t="str">
        <f t="shared" si="268"/>
        <v/>
      </c>
      <c r="DI158" s="205">
        <f>IF($J158="",#N/A,SUM(DH$4:DH158))</f>
        <v>-1.4547707265941352</v>
      </c>
      <c r="DJ158" s="205">
        <f>IF($J158="",#N/A,SUM(DH$4:DH158,DF$4:DF158,DD$4:DD158))</f>
        <v>-9.2964695889427046E-2</v>
      </c>
      <c r="DK158" s="200" t="str">
        <f t="shared" si="269"/>
        <v/>
      </c>
      <c r="DL158" s="203">
        <f>IF($J158="",#N/A,SUM(DK$4:DK158))</f>
        <v>-1.2097286851272664</v>
      </c>
      <c r="DM158" s="204" t="str">
        <f t="shared" si="270"/>
        <v/>
      </c>
      <c r="DN158" s="204">
        <f>IF($J158="",#N/A,SUM(DM$4:DM158))</f>
        <v>1.1910608267574658</v>
      </c>
      <c r="DO158" s="205" t="str">
        <f t="shared" si="271"/>
        <v/>
      </c>
      <c r="DP158" s="205">
        <f>IF($J158="",#N/A,SUM(DO$4:DO158))</f>
        <v>1.3495058802125319</v>
      </c>
      <c r="DQ158" s="205">
        <f>IF($J158="",#N/A,SUM(DO$4:DO158,DM$4:DM158,DK$4:DK158))</f>
        <v>1.3308380218427318</v>
      </c>
      <c r="DR158" s="200" t="str">
        <f t="shared" si="272"/>
        <v/>
      </c>
      <c r="DS158" s="203">
        <f>IF($J158="",#N/A,SUM(DR$4:DR158))</f>
        <v>-0.55950946427675097</v>
      </c>
      <c r="DT158" s="204" t="str">
        <f t="shared" si="273"/>
        <v/>
      </c>
      <c r="DU158" s="204">
        <f>IF($J158="",#N/A,SUM(DT$4:DT158))</f>
        <v>-3.5029740333397914</v>
      </c>
      <c r="DV158" s="205">
        <f t="shared" si="274"/>
        <v>-0.345514171937222</v>
      </c>
      <c r="DW158" s="205">
        <f>IF($J158="",#N/A,SUM(DV$4:DV158))</f>
        <v>-1.8527424265931112</v>
      </c>
      <c r="DX158" s="205">
        <f>IF($J158="",#N/A,SUM(DV$4:DV158,DT$4:DT158,DR$4:DR158))</f>
        <v>-5.9152259242096532</v>
      </c>
      <c r="DY158" s="200" t="str">
        <f t="shared" si="275"/>
        <v/>
      </c>
      <c r="DZ158" s="203">
        <f>IF($J158="",#N/A,SUM(DY$4:DY158))</f>
        <v>-1.63480022183437</v>
      </c>
      <c r="EA158" s="204" t="str">
        <f t="shared" si="276"/>
        <v/>
      </c>
      <c r="EB158" s="204">
        <f>IF($J158="",#N/A,SUM(EA$4:EA158))</f>
        <v>-0.2070110273231956</v>
      </c>
      <c r="EC158" s="205" t="str">
        <f t="shared" si="277"/>
        <v/>
      </c>
      <c r="ED158" s="205">
        <f>IF($J158="",#N/A,SUM(EC$4:EC158))</f>
        <v>1.4704559513837272</v>
      </c>
      <c r="EE158" s="205">
        <f>IF($J158="",#N/A,SUM(EC$4:EC158,EA$4:EA158,DY$4:DY158))</f>
        <v>-0.37135529777383841</v>
      </c>
      <c r="EF158" s="200" t="str">
        <f t="shared" si="278"/>
        <v/>
      </c>
      <c r="EG158" s="203">
        <f>IF($J158="",#N/A,SUM(EF$4:EF158))</f>
        <v>0</v>
      </c>
      <c r="EH158" s="204" t="str">
        <f t="shared" si="279"/>
        <v/>
      </c>
      <c r="EI158" s="204">
        <f>IF($J158="",#N/A,SUM(EH$4:EH158))</f>
        <v>-1.1184224685150388</v>
      </c>
      <c r="EJ158" s="205" t="str">
        <f t="shared" si="280"/>
        <v/>
      </c>
      <c r="EK158" s="205">
        <f>IF($J158="",#N/A,SUM(EJ$4:EJ158))</f>
        <v>1.7255127285193785</v>
      </c>
      <c r="EL158" s="205">
        <f>IF($J158="",#N/A,SUM(EJ$4:EJ158,EH$4:EH158,EF$4:EF158))</f>
        <v>0.60709026000434052</v>
      </c>
      <c r="EM158" s="200" t="str">
        <f t="shared" si="281"/>
        <v/>
      </c>
      <c r="EN158" s="203">
        <f>IF($J158="",#N/A,SUM(EM$4:EM158))</f>
        <v>0</v>
      </c>
      <c r="EO158" s="204" t="str">
        <f t="shared" si="282"/>
        <v/>
      </c>
      <c r="EP158" s="204">
        <f>IF($J158="",#N/A,SUM(EO$4:EO158))</f>
        <v>1.264716604605848</v>
      </c>
      <c r="EQ158" s="205" t="str">
        <f t="shared" si="283"/>
        <v/>
      </c>
      <c r="ER158" s="205">
        <f>IF($J158="",#N/A,SUM(EQ$4:EQ158))</f>
        <v>1.5025175479314647</v>
      </c>
      <c r="ES158" s="205">
        <f>IF($J158="",#N/A,SUM(EQ$4:EQ158,EO$4:EO158,EM$4:EM158))</f>
        <v>2.7672341525373123</v>
      </c>
      <c r="ET158" s="200" t="str">
        <f t="shared" si="284"/>
        <v/>
      </c>
      <c r="EU158" s="203">
        <f>IF($J158="",#N/A,SUM(ET$4:ET158))</f>
        <v>0</v>
      </c>
      <c r="EV158" s="204" t="str">
        <f t="shared" si="285"/>
        <v/>
      </c>
      <c r="EW158" s="204">
        <f>IF($J158="",#N/A,SUM(EV$4:EV158))</f>
        <v>0.90459527759708336</v>
      </c>
      <c r="EX158" s="205" t="str">
        <f t="shared" si="286"/>
        <v/>
      </c>
      <c r="EY158" s="205">
        <f>IF($J158="",#N/A,SUM(EX$4:EX158))</f>
        <v>0.22957553748493481</v>
      </c>
      <c r="EZ158" s="205">
        <f>IF($J158="",#N/A,SUM(EX$4:EX158,EV$4:EV158,ET$4:ET158))</f>
        <v>1.134170815082018</v>
      </c>
      <c r="FA158" s="200" t="str">
        <f t="shared" si="287"/>
        <v/>
      </c>
      <c r="FB158" s="203">
        <f>IF($J158="",#N/A,SUM(FA$4:FA158))</f>
        <v>0</v>
      </c>
      <c r="FC158" s="204" t="str">
        <f t="shared" si="288"/>
        <v/>
      </c>
      <c r="FD158" s="204">
        <f>IF($J158="",#N/A,SUM(FC$4:FC158))</f>
        <v>1.6839191319663924</v>
      </c>
      <c r="FE158" s="205" t="str">
        <f t="shared" si="289"/>
        <v/>
      </c>
      <c r="FF158" s="205">
        <f>IF($J158="",#N/A,SUM(FE$4:FE158))</f>
        <v>-0.28811149078748233</v>
      </c>
      <c r="FG158" s="205">
        <f>IF($J158="",#N/A,SUM(FE$4:FE158,FC$4:FC158,FA$4:FA158))</f>
        <v>1.3958076411789102</v>
      </c>
      <c r="FH158" s="200" t="str">
        <f t="shared" si="290"/>
        <v/>
      </c>
      <c r="FI158" s="203">
        <f>IF($J158="",#N/A,SUM(FH$4:FH158))</f>
        <v>0</v>
      </c>
      <c r="FJ158" s="204" t="str">
        <f t="shared" si="291"/>
        <v/>
      </c>
      <c r="FK158" s="204">
        <f>IF($J158="",#N/A,SUM(FJ$4:FJ158))</f>
        <v>0</v>
      </c>
      <c r="FL158" s="205" t="str">
        <f t="shared" si="292"/>
        <v/>
      </c>
      <c r="FM158" s="205">
        <f>IF($J158="",#N/A,SUM(FL$4:FL158))</f>
        <v>0</v>
      </c>
      <c r="FN158" s="205">
        <f>IF($J158="",#N/A,SUM(FL$4:FL158,FJ$4:FJ158,FH$4:FH158))</f>
        <v>0</v>
      </c>
      <c r="FO158" s="200" t="str">
        <f t="shared" si="293"/>
        <v/>
      </c>
      <c r="FP158" s="203">
        <f>IF($J158="",#N/A,SUM(FO$4:FO158))</f>
        <v>0</v>
      </c>
      <c r="FQ158" s="204" t="str">
        <f t="shared" si="294"/>
        <v/>
      </c>
      <c r="FR158" s="204">
        <f>IF($J158="",#N/A,SUM(FQ$4:FQ158))</f>
        <v>0</v>
      </c>
      <c r="FS158" s="205" t="str">
        <f t="shared" si="295"/>
        <v/>
      </c>
      <c r="FT158" s="205">
        <f>IF($J158="",#N/A,SUM(FS$4:FS158))</f>
        <v>0</v>
      </c>
      <c r="FU158" s="205">
        <f>IF($J158="",#N/A,SUM(FS$4:FS158,FQ$4:FQ158,FO$4:FO158))</f>
        <v>0</v>
      </c>
      <c r="FV158" s="200" t="str">
        <f t="shared" si="296"/>
        <v/>
      </c>
      <c r="FW158" s="203">
        <f>IF($J158="",#N/A,SUM(FV$4:FV158))</f>
        <v>6.6834991831277585E-2</v>
      </c>
      <c r="FX158" s="204" t="str">
        <f t="shared" si="297"/>
        <v/>
      </c>
      <c r="FY158" s="204">
        <f>IF($J158="",#N/A,SUM(FX$4:FX158))</f>
        <v>0</v>
      </c>
      <c r="FZ158" s="205" t="str">
        <f t="shared" si="298"/>
        <v/>
      </c>
      <c r="GA158" s="205">
        <f>IF($J158="",#N/A,SUM(FZ$4:FZ158))</f>
        <v>-0.24773347685909197</v>
      </c>
      <c r="GB158" s="205">
        <f>IF($J158="",#N/A,SUM(FZ$4:FZ158,FX$4:FX158,FV$4:FV158))</f>
        <v>-0.18089848502781439</v>
      </c>
      <c r="GC158" s="200" t="str">
        <f t="shared" si="299"/>
        <v/>
      </c>
      <c r="GD158" s="203">
        <f>IF($J158="",#N/A,SUM(GC$4:GC158))</f>
        <v>0</v>
      </c>
      <c r="GE158" s="204" t="str">
        <f t="shared" si="300"/>
        <v/>
      </c>
      <c r="GF158" s="204">
        <f>IF($J158="",#N/A,SUM(GE$4:GE158))</f>
        <v>0</v>
      </c>
      <c r="GG158" s="205" t="str">
        <f t="shared" si="301"/>
        <v/>
      </c>
      <c r="GH158" s="205">
        <f>IF($J158="",#N/A,SUM(GG$4:GG158))</f>
        <v>-2.9368362277223206</v>
      </c>
      <c r="GI158" s="205">
        <f>IF($J158="",#N/A,SUM(GG$4:GG158,GE$4:GE158,GC$4:GC158))</f>
        <v>-2.9368362277223206</v>
      </c>
      <c r="GJ158" s="200" t="str">
        <f t="shared" si="302"/>
        <v/>
      </c>
      <c r="GK158" s="203">
        <f>IF($J158="",#N/A,SUM(GJ$4:GJ158))</f>
        <v>0</v>
      </c>
      <c r="GL158" s="204" t="str">
        <f t="shared" si="303"/>
        <v/>
      </c>
      <c r="GM158" s="204">
        <f>IF($J158="",#N/A,SUM(GL$4:GL158))</f>
        <v>-0.80168930905701452</v>
      </c>
      <c r="GN158" s="205" t="str">
        <f t="shared" si="304"/>
        <v/>
      </c>
      <c r="GO158" s="205">
        <f>IF($J158="",#N/A,SUM(GN$4:GN158))</f>
        <v>0</v>
      </c>
      <c r="GP158" s="205">
        <f>IF($J158="",#N/A,SUM(GN$4:GN158,GL$4:GL158,GJ$4:GJ158))</f>
        <v>-0.80168930905701452</v>
      </c>
      <c r="GS158" s="54">
        <f t="shared" si="323"/>
        <v>-0.345514171937222</v>
      </c>
      <c r="GT158" s="54">
        <f>IF(GS158="",NA(),SUM($GS$4:GS158))</f>
        <v>-3.9130800437439848</v>
      </c>
      <c r="GU158" s="54" t="str">
        <f t="shared" si="305"/>
        <v/>
      </c>
      <c r="GV158" s="54" t="e">
        <f>IF(GU158="",NA(),SUM($GU$4:GU158))</f>
        <v>#N/A</v>
      </c>
      <c r="GW158" s="54">
        <f t="shared" si="306"/>
        <v>-0.345514171937222</v>
      </c>
      <c r="GX158" s="54">
        <f>IF(GW158="",NA(),SUM($GW$4:GW158))</f>
        <v>-0.15529276527684066</v>
      </c>
      <c r="GY158" s="54" t="str">
        <f t="shared" si="307"/>
        <v/>
      </c>
      <c r="GZ158" s="54" t="e">
        <f>IF(GY158="",NA(),SUM($GY$4:GY158))</f>
        <v>#N/A</v>
      </c>
      <c r="HA158" s="54" t="str">
        <f t="shared" si="308"/>
        <v/>
      </c>
      <c r="HB158" s="54" t="e">
        <f>IF(HA158="",NA(),SUM($HA$4:HA158))</f>
        <v>#N/A</v>
      </c>
      <c r="HC158" s="54" t="str">
        <f t="shared" si="309"/>
        <v/>
      </c>
      <c r="HD158" s="54" t="e">
        <f>IF(HC158="",NA(),SUM($HC$4:HC158))</f>
        <v>#N/A</v>
      </c>
      <c r="HE158" s="54" t="str">
        <f t="shared" si="310"/>
        <v/>
      </c>
      <c r="HF158" s="54" t="e">
        <f>IF(HE158="",NA(),SUM($HE$4:HE158))</f>
        <v>#N/A</v>
      </c>
      <c r="HG158" s="54" t="str">
        <f t="shared" si="311"/>
        <v/>
      </c>
      <c r="HH158" s="54" t="e">
        <f>IF(HG158="",NA(),SUM($HG$4:HG158))</f>
        <v>#N/A</v>
      </c>
      <c r="HI158" s="172" t="str">
        <f t="shared" si="324"/>
        <v/>
      </c>
      <c r="HJ158" s="172">
        <f>IF($J158="",#N/A,SUM(HI$4:$HI158))</f>
        <v>-6.5590685696389865</v>
      </c>
      <c r="HK158" s="54" t="str">
        <f t="shared" si="312"/>
        <v/>
      </c>
      <c r="HL158" s="54">
        <f>IF($J158="",#N/A,SUM($HK$4:HK158))</f>
        <v>-5.702620630287301</v>
      </c>
      <c r="HM158" s="54" t="str">
        <f t="shared" si="313"/>
        <v/>
      </c>
      <c r="HN158" s="54">
        <f>IF($J158="",#N/A,SUM($HM$4:HM158))</f>
        <v>0.71812545963587882</v>
      </c>
      <c r="HO158" s="54" t="str">
        <f t="shared" si="314"/>
        <v/>
      </c>
      <c r="HP158" s="54">
        <f>IF($J158="",#N/A,SUM($HO$4:HO158))</f>
        <v>-0.14859521910082485</v>
      </c>
      <c r="HQ158" s="54" t="str">
        <f t="shared" si="315"/>
        <v/>
      </c>
      <c r="HR158" s="54">
        <f>IF($J158="",#N/A,SUM($HQ$4:HQ158))</f>
        <v>-7.8284698219787154</v>
      </c>
      <c r="HS158" s="54">
        <f t="shared" si="316"/>
        <v>0.53974389006012446</v>
      </c>
      <c r="HT158" s="54">
        <f>IF($J158="",#N/A,SUM($HS$4:HS158))</f>
        <v>10.908174046349076</v>
      </c>
      <c r="HU158" s="65">
        <f t="shared" si="317"/>
        <v>0.19422971812290243</v>
      </c>
      <c r="HV158" s="65">
        <f>IF($J158="",#N/A,SUM(HU$4:$HU158))</f>
        <v>-8.5023721893736433</v>
      </c>
    </row>
    <row r="159" spans="1:230" x14ac:dyDescent="0.25">
      <c r="A159" s="51" t="s">
        <v>1441</v>
      </c>
      <c r="B159" s="52" t="s">
        <v>4541</v>
      </c>
      <c r="C159" s="229">
        <f t="shared" si="218"/>
        <v>3</v>
      </c>
      <c r="D159" s="219" t="str">
        <f>_xlfn.XLOOKUP(A159,[1]SP500!$A$2:$A$502,[1]SP500!$D$2:$D$502,"N")</f>
        <v>Y</v>
      </c>
      <c r="E159" s="51" t="str">
        <f>IFERROR(_xlfn.XLOOKUP(A159,[1]SP500!$A$2:$A$655,[1]SP500!$B$2:$B$655),"")</f>
        <v>INS</v>
      </c>
      <c r="F159" s="290">
        <v>45776</v>
      </c>
      <c r="G159" s="51" t="str">
        <f t="shared" si="219"/>
        <v>AMC</v>
      </c>
      <c r="H159" s="51" t="str">
        <f t="shared" si="220"/>
        <v>s</v>
      </c>
      <c r="I159" s="344">
        <v>92.39</v>
      </c>
      <c r="J159" s="123">
        <v>88.41</v>
      </c>
      <c r="K159" s="55">
        <f t="shared" si="221"/>
        <v>-4.3078255222426712E-2</v>
      </c>
      <c r="L159" s="67">
        <f t="shared" si="222"/>
        <v>-43.779999999999973</v>
      </c>
      <c r="M159" s="57">
        <f t="shared" si="223"/>
        <v>0</v>
      </c>
      <c r="N159" s="102">
        <f t="shared" si="224"/>
        <v>-43.779999999999973</v>
      </c>
      <c r="O159" s="57">
        <f>IF(N159="",#N/A,SUM($N$4:N159))</f>
        <v>-230.80363589938713</v>
      </c>
      <c r="P159" s="65">
        <f t="shared" si="318"/>
        <v>-0.71797092037377741</v>
      </c>
      <c r="Q159" s="172">
        <f>IF($N159="",#N/A,SUM($P$4:P159))</f>
        <v>-0.60788837472654722</v>
      </c>
      <c r="R159" s="279">
        <f t="shared" si="225"/>
        <v>4.6861803917630889</v>
      </c>
      <c r="S159" s="51" t="str">
        <f t="shared" si="226"/>
        <v>SW</v>
      </c>
      <c r="T159" s="51" t="s">
        <v>2828</v>
      </c>
      <c r="U159" s="56">
        <f t="shared" si="227"/>
        <v>92.39</v>
      </c>
      <c r="V159" s="56" t="s">
        <v>4460</v>
      </c>
      <c r="W159" s="142">
        <v>11</v>
      </c>
      <c r="X159" s="145">
        <f t="shared" si="228"/>
        <v>1016.29</v>
      </c>
      <c r="Y159" s="140">
        <f t="shared" si="229"/>
        <v>11</v>
      </c>
      <c r="Z159" s="123">
        <v>88.41</v>
      </c>
      <c r="AA159" s="102">
        <f t="shared" si="230"/>
        <v>-43.779999999999973</v>
      </c>
      <c r="AB159" s="102">
        <f t="shared" si="231"/>
        <v>-18.809999999999945</v>
      </c>
      <c r="AC159" s="123">
        <v>90.68</v>
      </c>
      <c r="AD159" s="155">
        <f t="shared" si="232"/>
        <v>-18.809999999999945</v>
      </c>
      <c r="AE159" s="545">
        <f t="shared" si="233"/>
        <v>-0.30847494317566748</v>
      </c>
      <c r="AF159" s="57">
        <f>IF($AC159="",#N/A,SUM(AD$4:AD159))</f>
        <v>-630.93041200241623</v>
      </c>
      <c r="AG159" s="102">
        <f t="shared" si="234"/>
        <v>24.970000000000027</v>
      </c>
      <c r="AH159" s="56" t="s">
        <v>2507</v>
      </c>
      <c r="AI159" s="65">
        <f t="shared" si="235"/>
        <v>-0.71797092037377741</v>
      </c>
      <c r="AJ159" s="350">
        <f>IF(AI159="",#N/A,SUM($AI$4:AI159))</f>
        <v>-5.2940687664896364</v>
      </c>
      <c r="AK159" s="57">
        <f t="shared" si="236"/>
        <v>-43.779999999999973</v>
      </c>
      <c r="AL159" s="349">
        <f>IF(AI159="",#N/A,IF(AH159="Skip",SUM($AK$4:AK159),SUM($AK$4:AK159)))</f>
        <v>-534.35740850718651</v>
      </c>
      <c r="AM159" s="65">
        <f t="shared" si="319"/>
        <v>-0.30847494317566748</v>
      </c>
      <c r="AN159" s="209"/>
      <c r="AO159" s="65">
        <f t="shared" si="237"/>
        <v>-0.30847494317566748</v>
      </c>
      <c r="AP159" s="65">
        <f>IF($AC159="",#N/A,SUM(AO$4:AO159))</f>
        <v>3.9921677530875579</v>
      </c>
      <c r="AQ159" s="65" t="str">
        <f t="shared" si="238"/>
        <v/>
      </c>
      <c r="AR159" s="65">
        <f>IF($AC159="",#N/A,SUM(AQ$4:AQ159))</f>
        <v>-2.6179859771653153</v>
      </c>
      <c r="AS159" s="65" t="str">
        <f t="shared" si="239"/>
        <v/>
      </c>
      <c r="AT159" s="65">
        <f>IF($AC159="",#N/A,SUM(AS$4:AS159))</f>
        <v>-10.185028908471558</v>
      </c>
      <c r="AU159" s="57">
        <f t="shared" si="320"/>
        <v>-18.809999999999945</v>
      </c>
      <c r="AV159" s="57">
        <f>IF($AC159="",#N/A,SUM(AU$4:AU159))</f>
        <v>171.54120645125067</v>
      </c>
      <c r="AW159" s="57" t="str">
        <f t="shared" si="321"/>
        <v/>
      </c>
      <c r="AX159" s="57">
        <f>IF($AC159="",#N/A,SUM(AW$4:AW159))</f>
        <v>-163.1400000000001</v>
      </c>
      <c r="AY159" s="57" t="str">
        <f t="shared" si="322"/>
        <v/>
      </c>
      <c r="AZ159" s="57">
        <f>IF($AC159="",#N/A,SUM(AY$4:AY159))</f>
        <v>-639.33161845366681</v>
      </c>
      <c r="BA159" s="57">
        <f>IF(AD159="",#N/A,SUM($AD$4:AD159))</f>
        <v>-630.93041200241623</v>
      </c>
      <c r="BC159" s="51" t="str">
        <f t="shared" si="240"/>
        <v/>
      </c>
      <c r="BD159" s="51" t="str">
        <f t="shared" si="241"/>
        <v/>
      </c>
      <c r="BE159" s="51" t="str">
        <f t="shared" si="242"/>
        <v/>
      </c>
      <c r="BF159" s="51" t="str">
        <f t="shared" si="243"/>
        <v>Long</v>
      </c>
      <c r="BG159" s="51" t="str">
        <f t="shared" si="244"/>
        <v/>
      </c>
      <c r="BH159" s="51" t="str">
        <f t="shared" si="245"/>
        <v/>
      </c>
      <c r="BI159" s="51">
        <f t="shared" si="246"/>
        <v>1</v>
      </c>
      <c r="BK159" s="65">
        <f t="shared" si="217"/>
        <v>8.7804254777217192E-2</v>
      </c>
      <c r="BL159" s="65">
        <f t="shared" si="325"/>
        <v>8.9587444716148018E-2</v>
      </c>
      <c r="BM159" s="65">
        <f>IFERROR(Q159/COUNTA($J$4:J159),#N/A)</f>
        <v>-3.8967203508112002E-3</v>
      </c>
      <c r="BO159" s="489">
        <f>IF(J159="",#N/A,IF(S159="SW",(COUNTIFS(K$4:$K159,"&gt;0",S$4:$S159,"SW")/COUNTIF(S$4:$S159,"SW")),#N/A))</f>
        <v>0.46987951807228917</v>
      </c>
      <c r="BP159" s="489" t="e">
        <f>IF($J159="",#N/A,IF($S159="DWN",(COUNTIFS($K$4:$K159,"&lt;0",$S$4:$S159,"DWN")/COUNTIF($S$4:$S159,"DWN")),#N/A))</f>
        <v>#N/A</v>
      </c>
      <c r="BQ159" s="489" t="e">
        <f>IF($J159="",#N/A,IF($S159="UP",(COUNTIFS($K$4:$K159,"&gt;0",$S$4:$S159,"UP")/COUNTIF($S$4:$S159,"UP")),#N/A))</f>
        <v>#N/A</v>
      </c>
      <c r="BR159" s="489">
        <f>IF(J159="",#N/A,COUNTIF($K$4:K159,"&gt;0")/COUNT($J$4:J159))</f>
        <v>0.45512820512820512</v>
      </c>
      <c r="BS159" s="65" t="str">
        <f t="shared" si="247"/>
        <v/>
      </c>
      <c r="BT159" s="65">
        <f t="shared" si="248"/>
        <v>-0.71797092037377741</v>
      </c>
      <c r="BU159" s="65" t="str">
        <f t="shared" si="249"/>
        <v/>
      </c>
      <c r="BV159" s="65" t="str">
        <f t="shared" si="250"/>
        <v/>
      </c>
      <c r="BW159" s="128" t="str">
        <f t="shared" si="251"/>
        <v/>
      </c>
      <c r="BX159" s="128">
        <f>IF($J159="",#N/A,SUM($BW$4:BW159))</f>
        <v>-205.1650000000003</v>
      </c>
      <c r="BY159" s="131" t="str">
        <f t="shared" si="252"/>
        <v/>
      </c>
      <c r="BZ159" s="131">
        <f>IF($J159="",#N/A,SUM($BY$4:BY159))</f>
        <v>71.474340389333747</v>
      </c>
      <c r="CA159" s="133">
        <f t="shared" si="253"/>
        <v>-43.779999999999973</v>
      </c>
      <c r="CB159" s="133">
        <f>IF($J159="",#N/A,SUM($CA$4:CA159))</f>
        <v>-97.112976288720574</v>
      </c>
      <c r="CC159" s="194" t="str">
        <f t="shared" si="254"/>
        <v/>
      </c>
      <c r="CD159" s="194">
        <f>IF($J159="",#N/A,SUM($CC$4:CC159))</f>
        <v>-3.1875162177003693</v>
      </c>
      <c r="CE159" s="195" t="str">
        <f t="shared" si="255"/>
        <v/>
      </c>
      <c r="CF159" s="195">
        <f>IF($J159="",#N/A,SUM($CE$4:CE159))</f>
        <v>2.076660291454735</v>
      </c>
      <c r="CG159" s="196">
        <f t="shared" si="256"/>
        <v>-0.71797092037377741</v>
      </c>
      <c r="CH159" s="196">
        <f>IF($J159="",#N/A,SUM($CG$4:CG159))</f>
        <v>0.50296755151909212</v>
      </c>
      <c r="CI159" s="200" t="str">
        <f t="shared" si="257"/>
        <v/>
      </c>
      <c r="CJ159" s="203">
        <f>IF($J159="",#N/A,SUM(CI$4:CI159))</f>
        <v>0</v>
      </c>
      <c r="CK159" s="204" t="str">
        <f t="shared" si="258"/>
        <v/>
      </c>
      <c r="CL159" s="204">
        <f>IF($J159="",#N/A,SUM(CK$4:CK159))</f>
        <v>0.95905730556970825</v>
      </c>
      <c r="CM159" s="205" t="str">
        <f t="shared" si="259"/>
        <v/>
      </c>
      <c r="CN159" s="205">
        <f>IF($J159="",#N/A,SUM(CM$4:CM159))</f>
        <v>3.3861132786295873</v>
      </c>
      <c r="CO159" s="205">
        <f>IF($J159="",#N/A,SUM(CM$4:CM159,CK$4:CK159,CI$4:CI159))</f>
        <v>4.3451705841992965</v>
      </c>
      <c r="CP159" s="200" t="str">
        <f t="shared" si="260"/>
        <v/>
      </c>
      <c r="CQ159" s="203">
        <f>IF($J159="",#N/A,SUM(CP$4:CP159))</f>
        <v>0</v>
      </c>
      <c r="CR159" s="204" t="str">
        <f t="shared" si="261"/>
        <v/>
      </c>
      <c r="CS159" s="204">
        <f>IF($J159="",#N/A,SUM(CR$4:CR159))</f>
        <v>2.420242024202421</v>
      </c>
      <c r="CT159" s="205" t="str">
        <f t="shared" si="262"/>
        <v/>
      </c>
      <c r="CU159" s="205">
        <f>IF($J159="",#N/A,SUM(CT$4:CT159))</f>
        <v>0</v>
      </c>
      <c r="CV159" s="205">
        <f>IF($J159="",#N/A,SUM(CT$4:CT159,CR$4:CR159,CP$4:CP159))</f>
        <v>2.420242024202421</v>
      </c>
      <c r="CW159" s="200" t="str">
        <f t="shared" si="263"/>
        <v/>
      </c>
      <c r="CX159" s="203">
        <f>IF($J159="",#N/A,SUM(CW$4:CW159))</f>
        <v>0</v>
      </c>
      <c r="CY159" s="204" t="str">
        <f t="shared" si="264"/>
        <v/>
      </c>
      <c r="CZ159" s="204">
        <f>IF($J159="",#N/A,SUM(CY$4:CY159))</f>
        <v>-1.9289529100071134</v>
      </c>
      <c r="DA159" s="205" t="str">
        <f t="shared" si="265"/>
        <v/>
      </c>
      <c r="DB159" s="205">
        <f>IF($J159="",#N/A,SUM(DA$4:DA159))</f>
        <v>-1.6625481037126164</v>
      </c>
      <c r="DC159" s="205">
        <f>IF($J159="",#N/A,SUM(DA$4:DA159,CY$4:CY159,CW$4:CW159))</f>
        <v>-3.5915010137197294</v>
      </c>
      <c r="DD159" s="200" t="str">
        <f t="shared" si="266"/>
        <v/>
      </c>
      <c r="DE159" s="203">
        <f>IF($J159="",#N/A,SUM(DD$4:DD159))</f>
        <v>0.14968716170674062</v>
      </c>
      <c r="DF159" s="204" t="str">
        <f t="shared" si="267"/>
        <v/>
      </c>
      <c r="DG159" s="204">
        <f>IF($J159="",#N/A,SUM(DF$4:DF159))</f>
        <v>1.2121188689979676</v>
      </c>
      <c r="DH159" s="205" t="str">
        <f t="shared" si="268"/>
        <v/>
      </c>
      <c r="DI159" s="205">
        <f>IF($J159="",#N/A,SUM(DH$4:DH159))</f>
        <v>-1.4547707265941352</v>
      </c>
      <c r="DJ159" s="205">
        <f>IF($J159="",#N/A,SUM(DH$4:DH159,DF$4:DF159,DD$4:DD159))</f>
        <v>-9.2964695889427046E-2</v>
      </c>
      <c r="DK159" s="200" t="str">
        <f t="shared" si="269"/>
        <v/>
      </c>
      <c r="DL159" s="203">
        <f>IF($J159="",#N/A,SUM(DK$4:DK159))</f>
        <v>-1.2097286851272664</v>
      </c>
      <c r="DM159" s="204" t="str">
        <f t="shared" si="270"/>
        <v/>
      </c>
      <c r="DN159" s="204">
        <f>IF($J159="",#N/A,SUM(DM$4:DM159))</f>
        <v>1.1910608267574658</v>
      </c>
      <c r="DO159" s="205" t="str">
        <f t="shared" si="271"/>
        <v/>
      </c>
      <c r="DP159" s="205">
        <f>IF($J159="",#N/A,SUM(DO$4:DO159))</f>
        <v>1.3495058802125319</v>
      </c>
      <c r="DQ159" s="205">
        <f>IF($J159="",#N/A,SUM(DO$4:DO159,DM$4:DM159,DK$4:DK159))</f>
        <v>1.3308380218427318</v>
      </c>
      <c r="DR159" s="200" t="str">
        <f t="shared" si="272"/>
        <v/>
      </c>
      <c r="DS159" s="203">
        <f>IF($J159="",#N/A,SUM(DR$4:DR159))</f>
        <v>-0.55950946427675097</v>
      </c>
      <c r="DT159" s="204" t="str">
        <f t="shared" si="273"/>
        <v/>
      </c>
      <c r="DU159" s="204">
        <f>IF($J159="",#N/A,SUM(DT$4:DT159))</f>
        <v>-3.5029740333397914</v>
      </c>
      <c r="DV159" s="205" t="str">
        <f t="shared" si="274"/>
        <v/>
      </c>
      <c r="DW159" s="205">
        <f>IF($J159="",#N/A,SUM(DV$4:DV159))</f>
        <v>-1.8527424265931112</v>
      </c>
      <c r="DX159" s="205">
        <f>IF($J159="",#N/A,SUM(DV$4:DV159,DT$4:DT159,DR$4:DR159))</f>
        <v>-5.9152259242096532</v>
      </c>
      <c r="DY159" s="200" t="str">
        <f t="shared" si="275"/>
        <v/>
      </c>
      <c r="DZ159" s="203">
        <f>IF($J159="",#N/A,SUM(DY$4:DY159))</f>
        <v>-1.63480022183437</v>
      </c>
      <c r="EA159" s="204" t="str">
        <f t="shared" si="276"/>
        <v/>
      </c>
      <c r="EB159" s="204">
        <f>IF($J159="",#N/A,SUM(EA$4:EA159))</f>
        <v>-0.2070110273231956</v>
      </c>
      <c r="EC159" s="205" t="str">
        <f t="shared" si="277"/>
        <v/>
      </c>
      <c r="ED159" s="205">
        <f>IF($J159="",#N/A,SUM(EC$4:EC159))</f>
        <v>1.4704559513837272</v>
      </c>
      <c r="EE159" s="205">
        <f>IF($J159="",#N/A,SUM(EC$4:EC159,EA$4:EA159,DY$4:DY159))</f>
        <v>-0.37135529777383841</v>
      </c>
      <c r="EF159" s="200" t="str">
        <f t="shared" si="278"/>
        <v/>
      </c>
      <c r="EG159" s="203">
        <f>IF($J159="",#N/A,SUM(EF$4:EF159))</f>
        <v>0</v>
      </c>
      <c r="EH159" s="204" t="str">
        <f t="shared" si="279"/>
        <v/>
      </c>
      <c r="EI159" s="204">
        <f>IF($J159="",#N/A,SUM(EH$4:EH159))</f>
        <v>-1.1184224685150388</v>
      </c>
      <c r="EJ159" s="205" t="str">
        <f t="shared" si="280"/>
        <v/>
      </c>
      <c r="EK159" s="205">
        <f>IF($J159="",#N/A,SUM(EJ$4:EJ159))</f>
        <v>1.7255127285193785</v>
      </c>
      <c r="EL159" s="205">
        <f>IF($J159="",#N/A,SUM(EJ$4:EJ159,EH$4:EH159,EF$4:EF159))</f>
        <v>0.60709026000434052</v>
      </c>
      <c r="EM159" s="200" t="str">
        <f t="shared" si="281"/>
        <v/>
      </c>
      <c r="EN159" s="203">
        <f>IF($J159="",#N/A,SUM(EM$4:EM159))</f>
        <v>0</v>
      </c>
      <c r="EO159" s="204" t="str">
        <f t="shared" si="282"/>
        <v/>
      </c>
      <c r="EP159" s="204">
        <f>IF($J159="",#N/A,SUM(EO$4:EO159))</f>
        <v>1.264716604605848</v>
      </c>
      <c r="EQ159" s="205" t="str">
        <f t="shared" si="283"/>
        <v/>
      </c>
      <c r="ER159" s="205">
        <f>IF($J159="",#N/A,SUM(EQ$4:EQ159))</f>
        <v>1.5025175479314647</v>
      </c>
      <c r="ES159" s="205">
        <f>IF($J159="",#N/A,SUM(EQ$4:EQ159,EO$4:EO159,EM$4:EM159))</f>
        <v>2.7672341525373123</v>
      </c>
      <c r="ET159" s="200" t="str">
        <f t="shared" si="284"/>
        <v/>
      </c>
      <c r="EU159" s="203">
        <f>IF($J159="",#N/A,SUM(ET$4:ET159))</f>
        <v>0</v>
      </c>
      <c r="EV159" s="204" t="str">
        <f t="shared" si="285"/>
        <v/>
      </c>
      <c r="EW159" s="204">
        <f>IF($J159="",#N/A,SUM(EV$4:EV159))</f>
        <v>0.90459527759708336</v>
      </c>
      <c r="EX159" s="205" t="str">
        <f t="shared" si="286"/>
        <v/>
      </c>
      <c r="EY159" s="205">
        <f>IF($J159="",#N/A,SUM(EX$4:EX159))</f>
        <v>0.22957553748493481</v>
      </c>
      <c r="EZ159" s="205">
        <f>IF($J159="",#N/A,SUM(EX$4:EX159,EV$4:EV159,ET$4:ET159))</f>
        <v>1.134170815082018</v>
      </c>
      <c r="FA159" s="200" t="str">
        <f t="shared" si="287"/>
        <v/>
      </c>
      <c r="FB159" s="203">
        <f>IF($J159="",#N/A,SUM(FA$4:FA159))</f>
        <v>0</v>
      </c>
      <c r="FC159" s="204" t="str">
        <f t="shared" si="288"/>
        <v/>
      </c>
      <c r="FD159" s="204">
        <f>IF($J159="",#N/A,SUM(FC$4:FC159))</f>
        <v>1.6839191319663924</v>
      </c>
      <c r="FE159" s="205" t="str">
        <f t="shared" si="289"/>
        <v/>
      </c>
      <c r="FF159" s="205">
        <f>IF($J159="",#N/A,SUM(FE$4:FE159))</f>
        <v>-0.28811149078748233</v>
      </c>
      <c r="FG159" s="205">
        <f>IF($J159="",#N/A,SUM(FE$4:FE159,FC$4:FC159,FA$4:FA159))</f>
        <v>1.3958076411789102</v>
      </c>
      <c r="FH159" s="200" t="str">
        <f t="shared" si="290"/>
        <v/>
      </c>
      <c r="FI159" s="203">
        <f>IF($J159="",#N/A,SUM(FH$4:FH159))</f>
        <v>0</v>
      </c>
      <c r="FJ159" s="204" t="str">
        <f t="shared" si="291"/>
        <v/>
      </c>
      <c r="FK159" s="204">
        <f>IF($J159="",#N/A,SUM(FJ$4:FJ159))</f>
        <v>0</v>
      </c>
      <c r="FL159" s="205" t="str">
        <f t="shared" si="292"/>
        <v/>
      </c>
      <c r="FM159" s="205">
        <f>IF($J159="",#N/A,SUM(FL$4:FL159))</f>
        <v>0</v>
      </c>
      <c r="FN159" s="205">
        <f>IF($J159="",#N/A,SUM(FL$4:FL159,FJ$4:FJ159,FH$4:FH159))</f>
        <v>0</v>
      </c>
      <c r="FO159" s="200" t="str">
        <f t="shared" si="293"/>
        <v/>
      </c>
      <c r="FP159" s="203">
        <f>IF($J159="",#N/A,SUM(FO$4:FO159))</f>
        <v>0</v>
      </c>
      <c r="FQ159" s="204" t="str">
        <f t="shared" si="294"/>
        <v/>
      </c>
      <c r="FR159" s="204">
        <f>IF($J159="",#N/A,SUM(FQ$4:FQ159))</f>
        <v>0</v>
      </c>
      <c r="FS159" s="205" t="str">
        <f t="shared" si="295"/>
        <v/>
      </c>
      <c r="FT159" s="205">
        <f>IF($J159="",#N/A,SUM(FS$4:FS159))</f>
        <v>0</v>
      </c>
      <c r="FU159" s="205">
        <f>IF($J159="",#N/A,SUM(FS$4:FS159,FQ$4:FQ159,FO$4:FO159))</f>
        <v>0</v>
      </c>
      <c r="FV159" s="200" t="str">
        <f t="shared" si="296"/>
        <v/>
      </c>
      <c r="FW159" s="203">
        <f>IF($J159="",#N/A,SUM(FV$4:FV159))</f>
        <v>6.6834991831277585E-2</v>
      </c>
      <c r="FX159" s="204" t="str">
        <f t="shared" si="297"/>
        <v/>
      </c>
      <c r="FY159" s="204">
        <f>IF($J159="",#N/A,SUM(FX$4:FX159))</f>
        <v>0</v>
      </c>
      <c r="FZ159" s="205">
        <f t="shared" si="298"/>
        <v>-0.71797092037377741</v>
      </c>
      <c r="GA159" s="205">
        <f>IF($J159="",#N/A,SUM(FZ$4:FZ159))</f>
        <v>-0.96570439723286938</v>
      </c>
      <c r="GB159" s="205">
        <f>IF($J159="",#N/A,SUM(FZ$4:FZ159,FX$4:FX159,FV$4:FV159))</f>
        <v>-0.89886940540159177</v>
      </c>
      <c r="GC159" s="200" t="str">
        <f t="shared" si="299"/>
        <v/>
      </c>
      <c r="GD159" s="203">
        <f>IF($J159="",#N/A,SUM(GC$4:GC159))</f>
        <v>0</v>
      </c>
      <c r="GE159" s="204" t="str">
        <f t="shared" si="300"/>
        <v/>
      </c>
      <c r="GF159" s="204">
        <f>IF($J159="",#N/A,SUM(GE$4:GE159))</f>
        <v>0</v>
      </c>
      <c r="GG159" s="205" t="str">
        <f t="shared" si="301"/>
        <v/>
      </c>
      <c r="GH159" s="205">
        <f>IF($J159="",#N/A,SUM(GG$4:GG159))</f>
        <v>-2.9368362277223206</v>
      </c>
      <c r="GI159" s="205">
        <f>IF($J159="",#N/A,SUM(GG$4:GG159,GE$4:GE159,GC$4:GC159))</f>
        <v>-2.9368362277223206</v>
      </c>
      <c r="GJ159" s="200" t="str">
        <f t="shared" si="302"/>
        <v/>
      </c>
      <c r="GK159" s="203">
        <f>IF($J159="",#N/A,SUM(GJ$4:GJ159))</f>
        <v>0</v>
      </c>
      <c r="GL159" s="204" t="str">
        <f t="shared" si="303"/>
        <v/>
      </c>
      <c r="GM159" s="204">
        <f>IF($J159="",#N/A,SUM(GL$4:GL159))</f>
        <v>-0.80168930905701452</v>
      </c>
      <c r="GN159" s="205" t="str">
        <f t="shared" si="304"/>
        <v/>
      </c>
      <c r="GO159" s="205">
        <f>IF($J159="",#N/A,SUM(GN$4:GN159))</f>
        <v>0</v>
      </c>
      <c r="GP159" s="205">
        <f>IF($J159="",#N/A,SUM(GN$4:GN159,GL$4:GL159,GJ$4:GJ159))</f>
        <v>-0.80168930905701452</v>
      </c>
      <c r="GS159" s="54">
        <f t="shared" si="323"/>
        <v>-0.71797092037377741</v>
      </c>
      <c r="GT159" s="54">
        <f>IF(GS159="",NA(),SUM($GS$4:GS159))</f>
        <v>-4.6310509641177617</v>
      </c>
      <c r="GU159" s="54" t="str">
        <f t="shared" si="305"/>
        <v/>
      </c>
      <c r="GV159" s="54" t="e">
        <f>IF(GU159="",NA(),SUM($GU$4:GU159))</f>
        <v>#N/A</v>
      </c>
      <c r="GW159" s="54">
        <f t="shared" si="306"/>
        <v>-0.71797092037377741</v>
      </c>
      <c r="GX159" s="54">
        <f>IF(GW159="",NA(),SUM($GW$4:GW159))</f>
        <v>-0.87326368565061807</v>
      </c>
      <c r="GY159" s="54" t="str">
        <f t="shared" si="307"/>
        <v/>
      </c>
      <c r="GZ159" s="54" t="e">
        <f>IF(GY159="",NA(),SUM($GY$4:GY159))</f>
        <v>#N/A</v>
      </c>
      <c r="HA159" s="54" t="str">
        <f t="shared" si="308"/>
        <v/>
      </c>
      <c r="HB159" s="54" t="e">
        <f>IF(HA159="",NA(),SUM($HA$4:HA159))</f>
        <v>#N/A</v>
      </c>
      <c r="HC159" s="54" t="str">
        <f t="shared" si="309"/>
        <v/>
      </c>
      <c r="HD159" s="54" t="e">
        <f>IF(HC159="",NA(),SUM($HC$4:HC159))</f>
        <v>#N/A</v>
      </c>
      <c r="HE159" s="54" t="str">
        <f t="shared" si="310"/>
        <v/>
      </c>
      <c r="HF159" s="54" t="e">
        <f>IF(HE159="",NA(),SUM($HE$4:HE159))</f>
        <v>#N/A</v>
      </c>
      <c r="HG159" s="54" t="str">
        <f t="shared" si="311"/>
        <v/>
      </c>
      <c r="HH159" s="54" t="e">
        <f>IF(HG159="",NA(),SUM($HG$4:HG159))</f>
        <v>#N/A</v>
      </c>
      <c r="HI159" s="172" t="str">
        <f t="shared" si="324"/>
        <v/>
      </c>
      <c r="HJ159" s="172">
        <f>IF($J159="",#N/A,SUM(HI$4:$HI159))</f>
        <v>-6.5590685696389865</v>
      </c>
      <c r="HK159" s="54" t="str">
        <f t="shared" si="312"/>
        <v/>
      </c>
      <c r="HL159" s="54">
        <f>IF($J159="",#N/A,SUM($HK$4:HK159))</f>
        <v>-5.702620630287301</v>
      </c>
      <c r="HM159" s="54" t="str">
        <f t="shared" si="313"/>
        <v/>
      </c>
      <c r="HN159" s="54">
        <f>IF($J159="",#N/A,SUM($HM$4:HM159))</f>
        <v>0.71812545963587882</v>
      </c>
      <c r="HO159" s="54" t="str">
        <f t="shared" si="314"/>
        <v/>
      </c>
      <c r="HP159" s="54">
        <f>IF($J159="",#N/A,SUM($HO$4:HO159))</f>
        <v>-0.14859521910082485</v>
      </c>
      <c r="HQ159" s="54" t="str">
        <f t="shared" si="315"/>
        <v/>
      </c>
      <c r="HR159" s="54">
        <f>IF($J159="",#N/A,SUM($HQ$4:HQ159))</f>
        <v>-7.8284698219787154</v>
      </c>
      <c r="HS159" s="54">
        <f t="shared" si="316"/>
        <v>0.40949597719810993</v>
      </c>
      <c r="HT159" s="54">
        <f>IF($J159="",#N/A,SUM($HS$4:HS159))</f>
        <v>11.317670023547187</v>
      </c>
      <c r="HU159" s="65">
        <f t="shared" si="317"/>
        <v>-0.30847494317566748</v>
      </c>
      <c r="HV159" s="65">
        <f>IF($J159="",#N/A,SUM(HU$4:$HU159))</f>
        <v>-8.810847132549311</v>
      </c>
    </row>
    <row r="160" spans="1:230" x14ac:dyDescent="0.25">
      <c r="A160" s="51" t="s">
        <v>1525</v>
      </c>
      <c r="B160" s="52" t="s">
        <v>4541</v>
      </c>
      <c r="C160" s="229">
        <f t="shared" si="218"/>
        <v>2</v>
      </c>
      <c r="D160" s="219" t="str">
        <f>_xlfn.XLOOKUP(A160,[1]SP500!$A$2:$A$502,[1]SP500!$D$2:$D$502,"N")</f>
        <v>Y</v>
      </c>
      <c r="E160" s="51" t="str">
        <f>IFERROR(_xlfn.XLOOKUP(A160,[1]SP500!$A$2:$A$655,[1]SP500!$B$2:$B$655),"")</f>
        <v>XLK</v>
      </c>
      <c r="F160" s="290">
        <v>45776</v>
      </c>
      <c r="G160" s="51" t="str">
        <f t="shared" si="219"/>
        <v>AMC</v>
      </c>
      <c r="H160" s="51" t="str">
        <f t="shared" si="220"/>
        <v>s</v>
      </c>
      <c r="I160" s="344">
        <v>137.24</v>
      </c>
      <c r="J160" s="124">
        <v>120.755</v>
      </c>
      <c r="K160" s="55">
        <f t="shared" si="221"/>
        <v>-0.12011804138735072</v>
      </c>
      <c r="L160" s="67">
        <f t="shared" si="222"/>
        <v>131.88000000000011</v>
      </c>
      <c r="M160" s="57">
        <f t="shared" si="223"/>
        <v>-0.20000000000004547</v>
      </c>
      <c r="N160" s="102">
        <f t="shared" si="224"/>
        <v>131.88000000000011</v>
      </c>
      <c r="O160" s="57">
        <f>IF(N160="",#N/A,SUM($N$4:N160))</f>
        <v>-98.923635899387023</v>
      </c>
      <c r="P160" s="65">
        <f t="shared" si="318"/>
        <v>2.0019673564558453</v>
      </c>
      <c r="Q160" s="172">
        <f>IF($N160="",#N/A,SUM($P$4:P160))</f>
        <v>1.3940789817292982</v>
      </c>
      <c r="R160" s="279">
        <f t="shared" si="225"/>
        <v>4.6892164356764292</v>
      </c>
      <c r="S160" s="51" t="str">
        <f t="shared" si="226"/>
        <v>Dwn</v>
      </c>
      <c r="T160" s="51" t="s">
        <v>4462</v>
      </c>
      <c r="U160" s="56">
        <f t="shared" si="227"/>
        <v>137.24</v>
      </c>
      <c r="V160" s="56" t="s">
        <v>4458</v>
      </c>
      <c r="W160" s="142">
        <v>8</v>
      </c>
      <c r="X160" s="145">
        <f t="shared" si="228"/>
        <v>1097.92</v>
      </c>
      <c r="Y160" s="140">
        <f t="shared" si="229"/>
        <v>8</v>
      </c>
      <c r="Z160" s="123">
        <v>120.78</v>
      </c>
      <c r="AA160" s="102">
        <f t="shared" si="230"/>
        <v>131.68000000000006</v>
      </c>
      <c r="AB160" s="102">
        <f t="shared" si="231"/>
        <v>91.360000000000127</v>
      </c>
      <c r="AC160" s="124">
        <v>125.82</v>
      </c>
      <c r="AD160" s="155">
        <f t="shared" si="232"/>
        <v>91.360000000000127</v>
      </c>
      <c r="AE160" s="545">
        <f t="shared" si="233"/>
        <v>1.3868648596133313</v>
      </c>
      <c r="AF160" s="57">
        <f>IF($AC160="",#N/A,SUM(AD$4:AD160))</f>
        <v>-539.57041200241611</v>
      </c>
      <c r="AG160" s="102">
        <f t="shared" si="234"/>
        <v>-40.519999999999982</v>
      </c>
      <c r="AH160" s="56" t="s">
        <v>2507</v>
      </c>
      <c r="AI160" s="65">
        <f t="shared" si="235"/>
        <v>1.9989313125425054</v>
      </c>
      <c r="AJ160" s="350">
        <f>IF(AI160="",#N/A,SUM($AI$4:AI160))</f>
        <v>-3.295137453947131</v>
      </c>
      <c r="AK160" s="57">
        <f t="shared" si="236"/>
        <v>131.68000000000006</v>
      </c>
      <c r="AL160" s="349">
        <f>IF(AI160="",#N/A,IF(AH160="Skip",SUM($AK$4:AK160),SUM($AK$4:AK160)))</f>
        <v>-402.67740850718644</v>
      </c>
      <c r="AM160" s="65">
        <f t="shared" si="319"/>
        <v>1.3868648596133313</v>
      </c>
      <c r="AN160" s="209"/>
      <c r="AO160" s="65" t="str">
        <f t="shared" si="237"/>
        <v/>
      </c>
      <c r="AP160" s="65">
        <f>IF($AC160="",#N/A,SUM(AO$4:AO160))</f>
        <v>3.9921677530875579</v>
      </c>
      <c r="AQ160" s="65" t="str">
        <f t="shared" si="238"/>
        <v/>
      </c>
      <c r="AR160" s="65">
        <f>IF($AC160="",#N/A,SUM(AQ$4:AQ160))</f>
        <v>-2.6179859771653153</v>
      </c>
      <c r="AS160" s="65">
        <f t="shared" si="239"/>
        <v>1.3868648596133313</v>
      </c>
      <c r="AT160" s="65">
        <f>IF($AC160="",#N/A,SUM(AS$4:AS160))</f>
        <v>-8.7981640488582276</v>
      </c>
      <c r="AU160" s="57" t="str">
        <f t="shared" si="320"/>
        <v/>
      </c>
      <c r="AV160" s="57">
        <f>IF($AC160="",#N/A,SUM(AU$4:AU160))</f>
        <v>171.54120645125067</v>
      </c>
      <c r="AW160" s="57" t="str">
        <f t="shared" si="321"/>
        <v/>
      </c>
      <c r="AX160" s="57">
        <f>IF($AC160="",#N/A,SUM(AW$4:AW160))</f>
        <v>-163.1400000000001</v>
      </c>
      <c r="AY160" s="57">
        <f t="shared" si="322"/>
        <v>91.360000000000127</v>
      </c>
      <c r="AZ160" s="57">
        <f>IF($AC160="",#N/A,SUM(AY$4:AY160))</f>
        <v>-547.97161845366668</v>
      </c>
      <c r="BA160" s="57">
        <f>IF(AD160="",#N/A,SUM($AD$4:AD160))</f>
        <v>-539.57041200241611</v>
      </c>
      <c r="BC160" s="51" t="str">
        <f t="shared" si="240"/>
        <v/>
      </c>
      <c r="BD160" s="51" t="str">
        <f t="shared" si="241"/>
        <v/>
      </c>
      <c r="BE160" s="51" t="str">
        <f t="shared" si="242"/>
        <v/>
      </c>
      <c r="BF160" s="51" t="str">
        <f t="shared" si="243"/>
        <v>Short</v>
      </c>
      <c r="BG160" s="51">
        <f t="shared" si="244"/>
        <v>1</v>
      </c>
      <c r="BH160" s="51" t="str">
        <f t="shared" si="245"/>
        <v/>
      </c>
      <c r="BI160" s="51" t="str">
        <f t="shared" si="246"/>
        <v/>
      </c>
      <c r="BK160" s="65">
        <f t="shared" si="217"/>
        <v>0.15514312106253078</v>
      </c>
      <c r="BL160" s="65">
        <f t="shared" si="325"/>
        <v>0.1884355434338795</v>
      </c>
      <c r="BM160" s="65">
        <f>IFERROR(Q160/COUNTA($J$4:J160),#N/A)</f>
        <v>8.8794839600592236E-3</v>
      </c>
      <c r="BO160" s="489" t="e">
        <f>IF(J160="",#N/A,IF(S160="SW",(COUNTIFS(K$4:$K160,"&gt;0",S$4:$S160,"SW")/COUNTIF(S$4:$S160,"SW")),#N/A))</f>
        <v>#N/A</v>
      </c>
      <c r="BP160" s="489">
        <f>IF($J160="",#N/A,IF($S160="DWN",(COUNTIFS($K$4:$K160,"&lt;0",$S$4:$S160,"DWN")/COUNTIF($S$4:$S160,"DWN")),#N/A))</f>
        <v>0.56060606060606055</v>
      </c>
      <c r="BQ160" s="489" t="e">
        <f>IF($J160="",#N/A,IF($S160="UP",(COUNTIFS($K$4:$K160,"&gt;0",$S$4:$S160,"UP")/COUNTIF($S$4:$S160,"UP")),#N/A))</f>
        <v>#N/A</v>
      </c>
      <c r="BR160" s="489">
        <f>IF(J160="",#N/A,COUNTIF($K$4:K160,"&gt;0")/COUNT($J$4:J160))</f>
        <v>0.45222929936305734</v>
      </c>
      <c r="BS160" s="65" t="str">
        <f t="shared" si="247"/>
        <v/>
      </c>
      <c r="BT160" s="65" t="str">
        <f t="shared" si="248"/>
        <v/>
      </c>
      <c r="BU160" s="65">
        <f t="shared" si="249"/>
        <v>2.0019673564558453</v>
      </c>
      <c r="BV160" s="65" t="str">
        <f t="shared" si="250"/>
        <v/>
      </c>
      <c r="BW160" s="128" t="str">
        <f t="shared" si="251"/>
        <v/>
      </c>
      <c r="BX160" s="128">
        <f>IF($J160="",#N/A,SUM($BW$4:BW160))</f>
        <v>-205.1650000000003</v>
      </c>
      <c r="BY160" s="131">
        <f t="shared" si="252"/>
        <v>131.88000000000011</v>
      </c>
      <c r="BZ160" s="131">
        <f>IF($J160="",#N/A,SUM($BY$4:BY160))</f>
        <v>203.35434038933386</v>
      </c>
      <c r="CA160" s="133" t="str">
        <f t="shared" si="253"/>
        <v/>
      </c>
      <c r="CB160" s="133">
        <f>IF($J160="",#N/A,SUM($CA$4:CA160))</f>
        <v>-97.112976288720574</v>
      </c>
      <c r="CC160" s="194" t="str">
        <f t="shared" si="254"/>
        <v/>
      </c>
      <c r="CD160" s="194">
        <f>IF($J160="",#N/A,SUM($CC$4:CC160))</f>
        <v>-3.1875162177003693</v>
      </c>
      <c r="CE160" s="195">
        <f t="shared" si="255"/>
        <v>2.0019673564558453</v>
      </c>
      <c r="CF160" s="195">
        <f>IF($J160="",#N/A,SUM($CE$4:CE160))</f>
        <v>4.0786276479105803</v>
      </c>
      <c r="CG160" s="196" t="str">
        <f t="shared" si="256"/>
        <v/>
      </c>
      <c r="CH160" s="196">
        <f>IF($J160="",#N/A,SUM($CG$4:CG160))</f>
        <v>0.50296755151909212</v>
      </c>
      <c r="CI160" s="200" t="str">
        <f t="shared" si="257"/>
        <v/>
      </c>
      <c r="CJ160" s="203">
        <f>IF($J160="",#N/A,SUM(CI$4:CI160))</f>
        <v>0</v>
      </c>
      <c r="CK160" s="204">
        <f t="shared" si="258"/>
        <v>2.0019673564558453</v>
      </c>
      <c r="CL160" s="204">
        <f>IF($J160="",#N/A,SUM(CK$4:CK160))</f>
        <v>2.9610246620255536</v>
      </c>
      <c r="CM160" s="205" t="str">
        <f t="shared" si="259"/>
        <v/>
      </c>
      <c r="CN160" s="205">
        <f>IF($J160="",#N/A,SUM(CM$4:CM160))</f>
        <v>3.3861132786295873</v>
      </c>
      <c r="CO160" s="205">
        <f>IF($J160="",#N/A,SUM(CM$4:CM160,CK$4:CK160,CI$4:CI160))</f>
        <v>6.3471379406551414</v>
      </c>
      <c r="CP160" s="200" t="str">
        <f t="shared" si="260"/>
        <v/>
      </c>
      <c r="CQ160" s="203">
        <f>IF($J160="",#N/A,SUM(CP$4:CP160))</f>
        <v>0</v>
      </c>
      <c r="CR160" s="204" t="str">
        <f t="shared" si="261"/>
        <v/>
      </c>
      <c r="CS160" s="204">
        <f>IF($J160="",#N/A,SUM(CR$4:CR160))</f>
        <v>2.420242024202421</v>
      </c>
      <c r="CT160" s="205" t="str">
        <f t="shared" si="262"/>
        <v/>
      </c>
      <c r="CU160" s="205">
        <f>IF($J160="",#N/A,SUM(CT$4:CT160))</f>
        <v>0</v>
      </c>
      <c r="CV160" s="205">
        <f>IF($J160="",#N/A,SUM(CT$4:CT160,CR$4:CR160,CP$4:CP160))</f>
        <v>2.420242024202421</v>
      </c>
      <c r="CW160" s="200" t="str">
        <f t="shared" si="263"/>
        <v/>
      </c>
      <c r="CX160" s="203">
        <f>IF($J160="",#N/A,SUM(CW$4:CW160))</f>
        <v>0</v>
      </c>
      <c r="CY160" s="204" t="str">
        <f t="shared" si="264"/>
        <v/>
      </c>
      <c r="CZ160" s="204">
        <f>IF($J160="",#N/A,SUM(CY$4:CY160))</f>
        <v>-1.9289529100071134</v>
      </c>
      <c r="DA160" s="205" t="str">
        <f t="shared" si="265"/>
        <v/>
      </c>
      <c r="DB160" s="205">
        <f>IF($J160="",#N/A,SUM(DA$4:DA160))</f>
        <v>-1.6625481037126164</v>
      </c>
      <c r="DC160" s="205">
        <f>IF($J160="",#N/A,SUM(DA$4:DA160,CY$4:CY160,CW$4:CW160))</f>
        <v>-3.5915010137197294</v>
      </c>
      <c r="DD160" s="200" t="str">
        <f t="shared" si="266"/>
        <v/>
      </c>
      <c r="DE160" s="203">
        <f>IF($J160="",#N/A,SUM(DD$4:DD160))</f>
        <v>0.14968716170674062</v>
      </c>
      <c r="DF160" s="204" t="str">
        <f t="shared" si="267"/>
        <v/>
      </c>
      <c r="DG160" s="204">
        <f>IF($J160="",#N/A,SUM(DF$4:DF160))</f>
        <v>1.2121188689979676</v>
      </c>
      <c r="DH160" s="205" t="str">
        <f t="shared" si="268"/>
        <v/>
      </c>
      <c r="DI160" s="205">
        <f>IF($J160="",#N/A,SUM(DH$4:DH160))</f>
        <v>-1.4547707265941352</v>
      </c>
      <c r="DJ160" s="205">
        <f>IF($J160="",#N/A,SUM(DH$4:DH160,DF$4:DF160,DD$4:DD160))</f>
        <v>-9.2964695889427046E-2</v>
      </c>
      <c r="DK160" s="200" t="str">
        <f t="shared" si="269"/>
        <v/>
      </c>
      <c r="DL160" s="203">
        <f>IF($J160="",#N/A,SUM(DK$4:DK160))</f>
        <v>-1.2097286851272664</v>
      </c>
      <c r="DM160" s="204" t="str">
        <f t="shared" si="270"/>
        <v/>
      </c>
      <c r="DN160" s="204">
        <f>IF($J160="",#N/A,SUM(DM$4:DM160))</f>
        <v>1.1910608267574658</v>
      </c>
      <c r="DO160" s="205" t="str">
        <f t="shared" si="271"/>
        <v/>
      </c>
      <c r="DP160" s="205">
        <f>IF($J160="",#N/A,SUM(DO$4:DO160))</f>
        <v>1.3495058802125319</v>
      </c>
      <c r="DQ160" s="205">
        <f>IF($J160="",#N/A,SUM(DO$4:DO160,DM$4:DM160,DK$4:DK160))</f>
        <v>1.3308380218427318</v>
      </c>
      <c r="DR160" s="200" t="str">
        <f t="shared" si="272"/>
        <v/>
      </c>
      <c r="DS160" s="203">
        <f>IF($J160="",#N/A,SUM(DR$4:DR160))</f>
        <v>-0.55950946427675097</v>
      </c>
      <c r="DT160" s="204" t="str">
        <f t="shared" si="273"/>
        <v/>
      </c>
      <c r="DU160" s="204">
        <f>IF($J160="",#N/A,SUM(DT$4:DT160))</f>
        <v>-3.5029740333397914</v>
      </c>
      <c r="DV160" s="205" t="str">
        <f t="shared" si="274"/>
        <v/>
      </c>
      <c r="DW160" s="205">
        <f>IF($J160="",#N/A,SUM(DV$4:DV160))</f>
        <v>-1.8527424265931112</v>
      </c>
      <c r="DX160" s="205">
        <f>IF($J160="",#N/A,SUM(DV$4:DV160,DT$4:DT160,DR$4:DR160))</f>
        <v>-5.9152259242096532</v>
      </c>
      <c r="DY160" s="200" t="str">
        <f t="shared" si="275"/>
        <v/>
      </c>
      <c r="DZ160" s="203">
        <f>IF($J160="",#N/A,SUM(DY$4:DY160))</f>
        <v>-1.63480022183437</v>
      </c>
      <c r="EA160" s="204" t="str">
        <f t="shared" si="276"/>
        <v/>
      </c>
      <c r="EB160" s="204">
        <f>IF($J160="",#N/A,SUM(EA$4:EA160))</f>
        <v>-0.2070110273231956</v>
      </c>
      <c r="EC160" s="205" t="str">
        <f t="shared" si="277"/>
        <v/>
      </c>
      <c r="ED160" s="205">
        <f>IF($J160="",#N/A,SUM(EC$4:EC160))</f>
        <v>1.4704559513837272</v>
      </c>
      <c r="EE160" s="205">
        <f>IF($J160="",#N/A,SUM(EC$4:EC160,EA$4:EA160,DY$4:DY160))</f>
        <v>-0.37135529777383841</v>
      </c>
      <c r="EF160" s="200" t="str">
        <f t="shared" si="278"/>
        <v/>
      </c>
      <c r="EG160" s="203">
        <f>IF($J160="",#N/A,SUM(EF$4:EF160))</f>
        <v>0</v>
      </c>
      <c r="EH160" s="204" t="str">
        <f t="shared" si="279"/>
        <v/>
      </c>
      <c r="EI160" s="204">
        <f>IF($J160="",#N/A,SUM(EH$4:EH160))</f>
        <v>-1.1184224685150388</v>
      </c>
      <c r="EJ160" s="205" t="str">
        <f t="shared" si="280"/>
        <v/>
      </c>
      <c r="EK160" s="205">
        <f>IF($J160="",#N/A,SUM(EJ$4:EJ160))</f>
        <v>1.7255127285193785</v>
      </c>
      <c r="EL160" s="205">
        <f>IF($J160="",#N/A,SUM(EJ$4:EJ160,EH$4:EH160,EF$4:EF160))</f>
        <v>0.60709026000434052</v>
      </c>
      <c r="EM160" s="200" t="str">
        <f t="shared" si="281"/>
        <v/>
      </c>
      <c r="EN160" s="203">
        <f>IF($J160="",#N/A,SUM(EM$4:EM160))</f>
        <v>0</v>
      </c>
      <c r="EO160" s="204" t="str">
        <f t="shared" si="282"/>
        <v/>
      </c>
      <c r="EP160" s="204">
        <f>IF($J160="",#N/A,SUM(EO$4:EO160))</f>
        <v>1.264716604605848</v>
      </c>
      <c r="EQ160" s="205" t="str">
        <f t="shared" si="283"/>
        <v/>
      </c>
      <c r="ER160" s="205">
        <f>IF($J160="",#N/A,SUM(EQ$4:EQ160))</f>
        <v>1.5025175479314647</v>
      </c>
      <c r="ES160" s="205">
        <f>IF($J160="",#N/A,SUM(EQ$4:EQ160,EO$4:EO160,EM$4:EM160))</f>
        <v>2.7672341525373123</v>
      </c>
      <c r="ET160" s="200" t="str">
        <f t="shared" si="284"/>
        <v/>
      </c>
      <c r="EU160" s="203">
        <f>IF($J160="",#N/A,SUM(ET$4:ET160))</f>
        <v>0</v>
      </c>
      <c r="EV160" s="204" t="str">
        <f t="shared" si="285"/>
        <v/>
      </c>
      <c r="EW160" s="204">
        <f>IF($J160="",#N/A,SUM(EV$4:EV160))</f>
        <v>0.90459527759708336</v>
      </c>
      <c r="EX160" s="205" t="str">
        <f t="shared" si="286"/>
        <v/>
      </c>
      <c r="EY160" s="205">
        <f>IF($J160="",#N/A,SUM(EX$4:EX160))</f>
        <v>0.22957553748493481</v>
      </c>
      <c r="EZ160" s="205">
        <f>IF($J160="",#N/A,SUM(EX$4:EX160,EV$4:EV160,ET$4:ET160))</f>
        <v>1.134170815082018</v>
      </c>
      <c r="FA160" s="200" t="str">
        <f t="shared" si="287"/>
        <v/>
      </c>
      <c r="FB160" s="203">
        <f>IF($J160="",#N/A,SUM(FA$4:FA160))</f>
        <v>0</v>
      </c>
      <c r="FC160" s="204" t="str">
        <f t="shared" si="288"/>
        <v/>
      </c>
      <c r="FD160" s="204">
        <f>IF($J160="",#N/A,SUM(FC$4:FC160))</f>
        <v>1.6839191319663924</v>
      </c>
      <c r="FE160" s="205" t="str">
        <f t="shared" si="289"/>
        <v/>
      </c>
      <c r="FF160" s="205">
        <f>IF($J160="",#N/A,SUM(FE$4:FE160))</f>
        <v>-0.28811149078748233</v>
      </c>
      <c r="FG160" s="205">
        <f>IF($J160="",#N/A,SUM(FE$4:FE160,FC$4:FC160,FA$4:FA160))</f>
        <v>1.3958076411789102</v>
      </c>
      <c r="FH160" s="200" t="str">
        <f t="shared" si="290"/>
        <v/>
      </c>
      <c r="FI160" s="203">
        <f>IF($J160="",#N/A,SUM(FH$4:FH160))</f>
        <v>0</v>
      </c>
      <c r="FJ160" s="204" t="str">
        <f t="shared" si="291"/>
        <v/>
      </c>
      <c r="FK160" s="204">
        <f>IF($J160="",#N/A,SUM(FJ$4:FJ160))</f>
        <v>0</v>
      </c>
      <c r="FL160" s="205" t="str">
        <f t="shared" si="292"/>
        <v/>
      </c>
      <c r="FM160" s="205">
        <f>IF($J160="",#N/A,SUM(FL$4:FL160))</f>
        <v>0</v>
      </c>
      <c r="FN160" s="205">
        <f>IF($J160="",#N/A,SUM(FL$4:FL160,FJ$4:FJ160,FH$4:FH160))</f>
        <v>0</v>
      </c>
      <c r="FO160" s="200" t="str">
        <f t="shared" si="293"/>
        <v/>
      </c>
      <c r="FP160" s="203">
        <f>IF($J160="",#N/A,SUM(FO$4:FO160))</f>
        <v>0</v>
      </c>
      <c r="FQ160" s="204" t="str">
        <f t="shared" si="294"/>
        <v/>
      </c>
      <c r="FR160" s="204">
        <f>IF($J160="",#N/A,SUM(FQ$4:FQ160))</f>
        <v>0</v>
      </c>
      <c r="FS160" s="205" t="str">
        <f t="shared" si="295"/>
        <v/>
      </c>
      <c r="FT160" s="205">
        <f>IF($J160="",#N/A,SUM(FS$4:FS160))</f>
        <v>0</v>
      </c>
      <c r="FU160" s="205">
        <f>IF($J160="",#N/A,SUM(FS$4:FS160,FQ$4:FQ160,FO$4:FO160))</f>
        <v>0</v>
      </c>
      <c r="FV160" s="200" t="str">
        <f t="shared" si="296"/>
        <v/>
      </c>
      <c r="FW160" s="203">
        <f>IF($J160="",#N/A,SUM(FV$4:FV160))</f>
        <v>6.6834991831277585E-2</v>
      </c>
      <c r="FX160" s="204" t="str">
        <f t="shared" si="297"/>
        <v/>
      </c>
      <c r="FY160" s="204">
        <f>IF($J160="",#N/A,SUM(FX$4:FX160))</f>
        <v>0</v>
      </c>
      <c r="FZ160" s="205" t="str">
        <f t="shared" si="298"/>
        <v/>
      </c>
      <c r="GA160" s="205">
        <f>IF($J160="",#N/A,SUM(FZ$4:FZ160))</f>
        <v>-0.96570439723286938</v>
      </c>
      <c r="GB160" s="205">
        <f>IF($J160="",#N/A,SUM(FZ$4:FZ160,FX$4:FX160,FV$4:FV160))</f>
        <v>-0.89886940540159177</v>
      </c>
      <c r="GC160" s="200" t="str">
        <f t="shared" si="299"/>
        <v/>
      </c>
      <c r="GD160" s="203">
        <f>IF($J160="",#N/A,SUM(GC$4:GC160))</f>
        <v>0</v>
      </c>
      <c r="GE160" s="204" t="str">
        <f t="shared" si="300"/>
        <v/>
      </c>
      <c r="GF160" s="204">
        <f>IF($J160="",#N/A,SUM(GE$4:GE160))</f>
        <v>0</v>
      </c>
      <c r="GG160" s="205" t="str">
        <f t="shared" si="301"/>
        <v/>
      </c>
      <c r="GH160" s="205">
        <f>IF($J160="",#N/A,SUM(GG$4:GG160))</f>
        <v>-2.9368362277223206</v>
      </c>
      <c r="GI160" s="205">
        <f>IF($J160="",#N/A,SUM(GG$4:GG160,GE$4:GE160,GC$4:GC160))</f>
        <v>-2.9368362277223206</v>
      </c>
      <c r="GJ160" s="200" t="str">
        <f t="shared" si="302"/>
        <v/>
      </c>
      <c r="GK160" s="203">
        <f>IF($J160="",#N/A,SUM(GJ$4:GJ160))</f>
        <v>0</v>
      </c>
      <c r="GL160" s="204" t="str">
        <f t="shared" si="303"/>
        <v/>
      </c>
      <c r="GM160" s="204">
        <f>IF($J160="",#N/A,SUM(GL$4:GL160))</f>
        <v>-0.80168930905701452</v>
      </c>
      <c r="GN160" s="205" t="str">
        <f t="shared" si="304"/>
        <v/>
      </c>
      <c r="GO160" s="205">
        <f>IF($J160="",#N/A,SUM(GN$4:GN160))</f>
        <v>0</v>
      </c>
      <c r="GP160" s="205">
        <f>IF($J160="",#N/A,SUM(GN$4:GN160,GL$4:GL160,GJ$4:GJ160))</f>
        <v>-0.80168930905701452</v>
      </c>
      <c r="GS160" s="54">
        <f t="shared" si="323"/>
        <v>2.0019673564558453</v>
      </c>
      <c r="GT160" s="54">
        <f>IF(GS160="",NA(),SUM($GS$4:GS160))</f>
        <v>-2.6290836076619164</v>
      </c>
      <c r="GU160" s="54" t="str">
        <f t="shared" si="305"/>
        <v/>
      </c>
      <c r="GV160" s="54" t="e">
        <f>IF(GU160="",NA(),SUM($GU$4:GU160))</f>
        <v>#N/A</v>
      </c>
      <c r="GW160" s="54" t="str">
        <f t="shared" si="306"/>
        <v/>
      </c>
      <c r="GX160" s="54" t="e">
        <f>IF(GW160="",NA(),SUM($GW$4:GW160))</f>
        <v>#N/A</v>
      </c>
      <c r="GY160" s="54">
        <f t="shared" si="307"/>
        <v>2.0019673564558453</v>
      </c>
      <c r="GZ160" s="54">
        <f>IF(GY160="",NA(),SUM($GY$4:GY160))</f>
        <v>1.4316962956890729</v>
      </c>
      <c r="HA160" s="54" t="str">
        <f t="shared" si="308"/>
        <v/>
      </c>
      <c r="HB160" s="54" t="e">
        <f>IF(HA160="",NA(),SUM($HA$4:HA160))</f>
        <v>#N/A</v>
      </c>
      <c r="HC160" s="54" t="str">
        <f t="shared" si="309"/>
        <v/>
      </c>
      <c r="HD160" s="54" t="e">
        <f>IF(HC160="",NA(),SUM($HC$4:HC160))</f>
        <v>#N/A</v>
      </c>
      <c r="HE160" s="54" t="str">
        <f t="shared" si="310"/>
        <v/>
      </c>
      <c r="HF160" s="54" t="e">
        <f>IF(HE160="",NA(),SUM($HE$4:HE160))</f>
        <v>#N/A</v>
      </c>
      <c r="HG160" s="54" t="str">
        <f t="shared" si="311"/>
        <v/>
      </c>
      <c r="HH160" s="54" t="e">
        <f>IF(HG160="",NA(),SUM($HG$4:HG160))</f>
        <v>#N/A</v>
      </c>
      <c r="HI160" s="172">
        <f t="shared" si="324"/>
        <v>-0.61510249684251406</v>
      </c>
      <c r="HJ160" s="172">
        <f>IF($J160="",#N/A,SUM(HI$4:$HI160))</f>
        <v>-7.1741710664815006</v>
      </c>
      <c r="HK160" s="54" t="str">
        <f t="shared" si="312"/>
        <v/>
      </c>
      <c r="HL160" s="54">
        <f>IF($J160="",#N/A,SUM($HK$4:HK160))</f>
        <v>-5.702620630287301</v>
      </c>
      <c r="HM160" s="54" t="str">
        <f t="shared" si="313"/>
        <v/>
      </c>
      <c r="HN160" s="54">
        <f>IF($J160="",#N/A,SUM($HM$4:HM160))</f>
        <v>0.71812545963587882</v>
      </c>
      <c r="HO160" s="54" t="str">
        <f t="shared" si="314"/>
        <v/>
      </c>
      <c r="HP160" s="54">
        <f>IF($J160="",#N/A,SUM($HO$4:HO160))</f>
        <v>-0.14859521910082485</v>
      </c>
      <c r="HQ160" s="54" t="str">
        <f t="shared" si="315"/>
        <v/>
      </c>
      <c r="HR160" s="54">
        <f>IF($J160="",#N/A,SUM($HQ$4:HQ160))</f>
        <v>-7.8284698219787154</v>
      </c>
      <c r="HS160" s="54" t="str">
        <f t="shared" si="316"/>
        <v/>
      </c>
      <c r="HT160" s="54">
        <f>IF($J160="",#N/A,SUM($HS$4:HS160))</f>
        <v>11.317670023547187</v>
      </c>
      <c r="HU160" s="65">
        <f t="shared" si="317"/>
        <v>1.3868648596133313</v>
      </c>
      <c r="HV160" s="65">
        <f>IF($J160="",#N/A,SUM(HU$4:$HU160))</f>
        <v>-7.4239822729359801</v>
      </c>
    </row>
    <row r="161" spans="1:230" x14ac:dyDescent="0.25">
      <c r="A161" s="396" t="s">
        <v>428</v>
      </c>
      <c r="B161" s="52" t="s">
        <v>4541</v>
      </c>
      <c r="C161" s="229">
        <f t="shared" si="218"/>
        <v>3</v>
      </c>
      <c r="D161" s="219" t="str">
        <f>_xlfn.XLOOKUP(A161,[1]SP500!$A$2:$A$502,[1]SP500!$D$2:$D$502,"N")</f>
        <v>N</v>
      </c>
      <c r="E161" s="51" t="str">
        <f>IFERROR(_xlfn.XLOOKUP(A161,[1]SP500!$A$2:$A$655,[1]SP500!$B$2:$B$655),"")</f>
        <v>IGV</v>
      </c>
      <c r="F161" s="290">
        <v>45776</v>
      </c>
      <c r="G161" s="51" t="str">
        <f t="shared" si="219"/>
        <v>AMC</v>
      </c>
      <c r="H161" s="51" t="str">
        <f t="shared" si="220"/>
        <v>s</v>
      </c>
      <c r="I161" s="344">
        <v>14.34</v>
      </c>
      <c r="J161" s="124">
        <v>14.82</v>
      </c>
      <c r="K161" s="55">
        <f t="shared" si="221"/>
        <v>3.3472803347280367E-2</v>
      </c>
      <c r="L161" s="67">
        <f t="shared" si="222"/>
        <v>4.7999999999999829</v>
      </c>
      <c r="M161" s="57">
        <f t="shared" si="223"/>
        <v>1.3000000000000114</v>
      </c>
      <c r="N161" s="102">
        <f t="shared" si="224"/>
        <v>4.7999999999999829</v>
      </c>
      <c r="O161" s="57">
        <f>IF(N161="",#N/A,SUM($N$4:N161))</f>
        <v>-94.12363589938704</v>
      </c>
      <c r="P161" s="65">
        <f t="shared" si="318"/>
        <v>0.5578800557880037</v>
      </c>
      <c r="Q161" s="172">
        <f>IF($N161="",#N/A,SUM($P$4:P161))</f>
        <v>1.9519590375173019</v>
      </c>
      <c r="R161" s="279">
        <f t="shared" si="225"/>
        <v>4.538123920567176</v>
      </c>
      <c r="S161" s="51" t="str">
        <f t="shared" si="226"/>
        <v>SW</v>
      </c>
      <c r="T161" s="51" t="s">
        <v>2828</v>
      </c>
      <c r="U161" s="56">
        <f t="shared" si="227"/>
        <v>14.34</v>
      </c>
      <c r="V161" s="56" t="s">
        <v>4460</v>
      </c>
      <c r="W161" s="412">
        <v>10</v>
      </c>
      <c r="X161" s="145">
        <f t="shared" si="228"/>
        <v>143.4</v>
      </c>
      <c r="Y161" s="140">
        <f t="shared" si="229"/>
        <v>10</v>
      </c>
      <c r="Z161" s="123">
        <v>14.95</v>
      </c>
      <c r="AA161" s="102">
        <f t="shared" si="230"/>
        <v>6.0999999999999943</v>
      </c>
      <c r="AB161" s="102">
        <f t="shared" si="231"/>
        <v>4.2999999999999829</v>
      </c>
      <c r="AC161" s="124">
        <v>14.77</v>
      </c>
      <c r="AD161" s="155">
        <f t="shared" si="232"/>
        <v>4.2999999999999829</v>
      </c>
      <c r="AE161" s="545">
        <f t="shared" si="233"/>
        <v>0.49976754997675304</v>
      </c>
      <c r="AF161" s="57">
        <f>IF($AC161="",#N/A,SUM(AD$4:AD161))</f>
        <v>-535.27041200241615</v>
      </c>
      <c r="AG161" s="102">
        <f t="shared" si="234"/>
        <v>-0.5</v>
      </c>
      <c r="AH161" s="56" t="s">
        <v>2507</v>
      </c>
      <c r="AI161" s="65">
        <f t="shared" si="235"/>
        <v>0.70897257089725652</v>
      </c>
      <c r="AJ161" s="350">
        <f>IF(AI161="",#N/A,SUM($AI$4:AI161))</f>
        <v>-2.5861648830498742</v>
      </c>
      <c r="AK161" s="57">
        <f t="shared" si="236"/>
        <v>6.0999999999999943</v>
      </c>
      <c r="AL161" s="349">
        <f>IF(AI161="",#N/A,IF(AH161="Skip",SUM($AK$4:AK161),SUM($AK$4:AK161)))</f>
        <v>-396.57740850718642</v>
      </c>
      <c r="AM161" s="65">
        <f t="shared" si="319"/>
        <v>0.49976754997675304</v>
      </c>
      <c r="AN161" s="211"/>
      <c r="AO161" s="65">
        <f t="shared" si="237"/>
        <v>0.49976754997675304</v>
      </c>
      <c r="AP161" s="65">
        <f>IF($AC161="",#N/A,SUM(AO$4:AO161))</f>
        <v>4.4919353030643112</v>
      </c>
      <c r="AQ161" s="65" t="str">
        <f t="shared" si="238"/>
        <v/>
      </c>
      <c r="AR161" s="65">
        <f>IF($AC161="",#N/A,SUM(AQ$4:AQ161))</f>
        <v>-2.6179859771653153</v>
      </c>
      <c r="AS161" s="65" t="str">
        <f t="shared" si="239"/>
        <v/>
      </c>
      <c r="AT161" s="65">
        <f>IF($AC161="",#N/A,SUM(AS$4:AS161))</f>
        <v>-8.7981640488582276</v>
      </c>
      <c r="AU161" s="57">
        <f t="shared" si="320"/>
        <v>4.2999999999999829</v>
      </c>
      <c r="AV161" s="57">
        <f>IF($AC161="",#N/A,SUM(AU$4:AU161))</f>
        <v>175.84120645125066</v>
      </c>
      <c r="AW161" s="57" t="str">
        <f t="shared" si="321"/>
        <v/>
      </c>
      <c r="AX161" s="57">
        <f>IF($AC161="",#N/A,SUM(AW$4:AW161))</f>
        <v>-163.1400000000001</v>
      </c>
      <c r="AY161" s="57" t="str">
        <f t="shared" si="322"/>
        <v/>
      </c>
      <c r="AZ161" s="57">
        <f>IF($AC161="",#N/A,SUM(AY$4:AY161))</f>
        <v>-547.97161845366668</v>
      </c>
      <c r="BA161" s="57">
        <f>IF(AD161="",#N/A,SUM($AD$4:AD161))</f>
        <v>-535.27041200241615</v>
      </c>
      <c r="BC161" s="51" t="str">
        <f t="shared" si="240"/>
        <v/>
      </c>
      <c r="BD161" s="51" t="str">
        <f t="shared" si="241"/>
        <v/>
      </c>
      <c r="BE161" s="51">
        <f t="shared" si="242"/>
        <v>1</v>
      </c>
      <c r="BF161" s="51" t="str">
        <f t="shared" si="243"/>
        <v>Long</v>
      </c>
      <c r="BG161" s="51" t="str">
        <f t="shared" si="244"/>
        <v/>
      </c>
      <c r="BH161" s="51" t="str">
        <f t="shared" si="245"/>
        <v/>
      </c>
      <c r="BI161" s="51" t="str">
        <f t="shared" si="246"/>
        <v/>
      </c>
      <c r="BK161" s="65">
        <f t="shared" si="217"/>
        <v>0.15467833618295632</v>
      </c>
      <c r="BL161" s="65">
        <f t="shared" si="325"/>
        <v>0.17178218127310632</v>
      </c>
      <c r="BM161" s="65">
        <f>IFERROR(Q161/COUNTA($J$4:J161),#N/A)</f>
        <v>1.2354171123527227E-2</v>
      </c>
      <c r="BO161" s="489">
        <f>IF(J161="",#N/A,IF(S161="SW",(COUNTIFS(K$4:$K161,"&gt;0",S$4:$S161,"SW")/COUNTIF(S$4:$S161,"SW")),#N/A))</f>
        <v>0.47619047619047616</v>
      </c>
      <c r="BP161" s="489" t="e">
        <f>IF($J161="",#N/A,IF($S161="DWN",(COUNTIFS($K$4:$K161,"&lt;0",$S$4:$S161,"DWN")/COUNTIF($S$4:$S161,"DWN")),#N/A))</f>
        <v>#N/A</v>
      </c>
      <c r="BQ161" s="489" t="e">
        <f>IF($J161="",#N/A,IF($S161="UP",(COUNTIFS($K$4:$K161,"&gt;0",$S$4:$S161,"UP")/COUNTIF($S$4:$S161,"UP")),#N/A))</f>
        <v>#N/A</v>
      </c>
      <c r="BR161" s="489">
        <f>IF(J161="",#N/A,COUNTIF($K$4:K161,"&gt;0")/COUNT($J$4:J161))</f>
        <v>0.45569620253164556</v>
      </c>
      <c r="BS161" s="65">
        <f t="shared" si="247"/>
        <v>0.5578800557880037</v>
      </c>
      <c r="BT161" s="65" t="str">
        <f t="shared" si="248"/>
        <v/>
      </c>
      <c r="BU161" s="65" t="str">
        <f t="shared" si="249"/>
        <v/>
      </c>
      <c r="BV161" s="65" t="str">
        <f t="shared" si="250"/>
        <v/>
      </c>
      <c r="BW161" s="128" t="str">
        <f t="shared" si="251"/>
        <v/>
      </c>
      <c r="BX161" s="128">
        <f>IF($J161="",#N/A,SUM($BW$4:BW161))</f>
        <v>-205.1650000000003</v>
      </c>
      <c r="BY161" s="131" t="str">
        <f t="shared" si="252"/>
        <v/>
      </c>
      <c r="BZ161" s="131">
        <f>IF($J161="",#N/A,SUM($BY$4:BY161))</f>
        <v>203.35434038933386</v>
      </c>
      <c r="CA161" s="133">
        <f t="shared" si="253"/>
        <v>4.7999999999999829</v>
      </c>
      <c r="CB161" s="133">
        <f>IF($J161="",#N/A,SUM($CA$4:CA161))</f>
        <v>-92.312976288720591</v>
      </c>
      <c r="CC161" s="194" t="str">
        <f t="shared" si="254"/>
        <v/>
      </c>
      <c r="CD161" s="194">
        <f>IF($J161="",#N/A,SUM($CC$4:CC161))</f>
        <v>-3.1875162177003693</v>
      </c>
      <c r="CE161" s="195" t="str">
        <f t="shared" si="255"/>
        <v/>
      </c>
      <c r="CF161" s="195">
        <f>IF($J161="",#N/A,SUM($CE$4:CE161))</f>
        <v>4.0786276479105803</v>
      </c>
      <c r="CG161" s="196">
        <f t="shared" si="256"/>
        <v>0.5578800557880037</v>
      </c>
      <c r="CH161" s="196">
        <f>IF($J161="",#N/A,SUM($CG$4:CG161))</f>
        <v>1.0608476073070958</v>
      </c>
      <c r="CI161" s="200" t="str">
        <f t="shared" si="257"/>
        <v/>
      </c>
      <c r="CJ161" s="203">
        <f>IF($J161="",#N/A,SUM(CI$4:CI161))</f>
        <v>0</v>
      </c>
      <c r="CK161" s="204" t="str">
        <f t="shared" si="258"/>
        <v/>
      </c>
      <c r="CL161" s="204">
        <f>IF($J161="",#N/A,SUM(CK$4:CK161))</f>
        <v>2.9610246620255536</v>
      </c>
      <c r="CM161" s="205" t="str">
        <f t="shared" si="259"/>
        <v/>
      </c>
      <c r="CN161" s="205">
        <f>IF($J161="",#N/A,SUM(CM$4:CM161))</f>
        <v>3.3861132786295873</v>
      </c>
      <c r="CO161" s="205">
        <f>IF($J161="",#N/A,SUM(CM$4:CM161,CK$4:CK161,CI$4:CI161))</f>
        <v>6.3471379406551414</v>
      </c>
      <c r="CP161" s="200" t="str">
        <f t="shared" si="260"/>
        <v/>
      </c>
      <c r="CQ161" s="203">
        <f>IF($J161="",#N/A,SUM(CP$4:CP161))</f>
        <v>0</v>
      </c>
      <c r="CR161" s="204" t="str">
        <f t="shared" si="261"/>
        <v/>
      </c>
      <c r="CS161" s="204">
        <f>IF($J161="",#N/A,SUM(CR$4:CR161))</f>
        <v>2.420242024202421</v>
      </c>
      <c r="CT161" s="205">
        <f t="shared" si="262"/>
        <v>0.5578800557880037</v>
      </c>
      <c r="CU161" s="205">
        <f>IF($J161="",#N/A,SUM(CT$4:CT161))</f>
        <v>0.5578800557880037</v>
      </c>
      <c r="CV161" s="205">
        <f>IF($J161="",#N/A,SUM(CT$4:CT161,CR$4:CR161,CP$4:CP161))</f>
        <v>2.9781220799904249</v>
      </c>
      <c r="CW161" s="200" t="str">
        <f t="shared" si="263"/>
        <v/>
      </c>
      <c r="CX161" s="203">
        <f>IF($J161="",#N/A,SUM(CW$4:CW161))</f>
        <v>0</v>
      </c>
      <c r="CY161" s="204" t="str">
        <f t="shared" si="264"/>
        <v/>
      </c>
      <c r="CZ161" s="204">
        <f>IF($J161="",#N/A,SUM(CY$4:CY161))</f>
        <v>-1.9289529100071134</v>
      </c>
      <c r="DA161" s="205" t="str">
        <f t="shared" si="265"/>
        <v/>
      </c>
      <c r="DB161" s="205">
        <f>IF($J161="",#N/A,SUM(DA$4:DA161))</f>
        <v>-1.6625481037126164</v>
      </c>
      <c r="DC161" s="205">
        <f>IF($J161="",#N/A,SUM(DA$4:DA161,CY$4:CY161,CW$4:CW161))</f>
        <v>-3.5915010137197294</v>
      </c>
      <c r="DD161" s="200" t="str">
        <f t="shared" si="266"/>
        <v/>
      </c>
      <c r="DE161" s="203">
        <f>IF($J161="",#N/A,SUM(DD$4:DD161))</f>
        <v>0.14968716170674062</v>
      </c>
      <c r="DF161" s="204" t="str">
        <f t="shared" si="267"/>
        <v/>
      </c>
      <c r="DG161" s="204">
        <f>IF($J161="",#N/A,SUM(DF$4:DF161))</f>
        <v>1.2121188689979676</v>
      </c>
      <c r="DH161" s="205" t="str">
        <f t="shared" si="268"/>
        <v/>
      </c>
      <c r="DI161" s="205">
        <f>IF($J161="",#N/A,SUM(DH$4:DH161))</f>
        <v>-1.4547707265941352</v>
      </c>
      <c r="DJ161" s="205">
        <f>IF($J161="",#N/A,SUM(DH$4:DH161,DF$4:DF161,DD$4:DD161))</f>
        <v>-9.2964695889427046E-2</v>
      </c>
      <c r="DK161" s="200" t="str">
        <f t="shared" si="269"/>
        <v/>
      </c>
      <c r="DL161" s="203">
        <f>IF($J161="",#N/A,SUM(DK$4:DK161))</f>
        <v>-1.2097286851272664</v>
      </c>
      <c r="DM161" s="204" t="str">
        <f t="shared" si="270"/>
        <v/>
      </c>
      <c r="DN161" s="204">
        <f>IF($J161="",#N/A,SUM(DM$4:DM161))</f>
        <v>1.1910608267574658</v>
      </c>
      <c r="DO161" s="205" t="str">
        <f t="shared" si="271"/>
        <v/>
      </c>
      <c r="DP161" s="205">
        <f>IF($J161="",#N/A,SUM(DO$4:DO161))</f>
        <v>1.3495058802125319</v>
      </c>
      <c r="DQ161" s="205">
        <f>IF($J161="",#N/A,SUM(DO$4:DO161,DM$4:DM161,DK$4:DK161))</f>
        <v>1.3308380218427318</v>
      </c>
      <c r="DR161" s="200" t="str">
        <f t="shared" si="272"/>
        <v/>
      </c>
      <c r="DS161" s="203">
        <f>IF($J161="",#N/A,SUM(DR$4:DR161))</f>
        <v>-0.55950946427675097</v>
      </c>
      <c r="DT161" s="204" t="str">
        <f t="shared" si="273"/>
        <v/>
      </c>
      <c r="DU161" s="204">
        <f>IF($J161="",#N/A,SUM(DT$4:DT161))</f>
        <v>-3.5029740333397914</v>
      </c>
      <c r="DV161" s="205" t="str">
        <f t="shared" si="274"/>
        <v/>
      </c>
      <c r="DW161" s="205">
        <f>IF($J161="",#N/A,SUM(DV$4:DV161))</f>
        <v>-1.8527424265931112</v>
      </c>
      <c r="DX161" s="205">
        <f>IF($J161="",#N/A,SUM(DV$4:DV161,DT$4:DT161,DR$4:DR161))</f>
        <v>-5.9152259242096532</v>
      </c>
      <c r="DY161" s="200" t="str">
        <f t="shared" si="275"/>
        <v/>
      </c>
      <c r="DZ161" s="203">
        <f>IF($J161="",#N/A,SUM(DY$4:DY161))</f>
        <v>-1.63480022183437</v>
      </c>
      <c r="EA161" s="204" t="str">
        <f t="shared" si="276"/>
        <v/>
      </c>
      <c r="EB161" s="204">
        <f>IF($J161="",#N/A,SUM(EA$4:EA161))</f>
        <v>-0.2070110273231956</v>
      </c>
      <c r="EC161" s="205" t="str">
        <f t="shared" si="277"/>
        <v/>
      </c>
      <c r="ED161" s="205">
        <f>IF($J161="",#N/A,SUM(EC$4:EC161))</f>
        <v>1.4704559513837272</v>
      </c>
      <c r="EE161" s="205">
        <f>IF($J161="",#N/A,SUM(EC$4:EC161,EA$4:EA161,DY$4:DY161))</f>
        <v>-0.37135529777383841</v>
      </c>
      <c r="EF161" s="200" t="str">
        <f t="shared" si="278"/>
        <v/>
      </c>
      <c r="EG161" s="203">
        <f>IF($J161="",#N/A,SUM(EF$4:EF161))</f>
        <v>0</v>
      </c>
      <c r="EH161" s="204" t="str">
        <f t="shared" si="279"/>
        <v/>
      </c>
      <c r="EI161" s="204">
        <f>IF($J161="",#N/A,SUM(EH$4:EH161))</f>
        <v>-1.1184224685150388</v>
      </c>
      <c r="EJ161" s="205" t="str">
        <f t="shared" si="280"/>
        <v/>
      </c>
      <c r="EK161" s="205">
        <f>IF($J161="",#N/A,SUM(EJ$4:EJ161))</f>
        <v>1.7255127285193785</v>
      </c>
      <c r="EL161" s="205">
        <f>IF($J161="",#N/A,SUM(EJ$4:EJ161,EH$4:EH161,EF$4:EF161))</f>
        <v>0.60709026000434052</v>
      </c>
      <c r="EM161" s="200" t="str">
        <f t="shared" si="281"/>
        <v/>
      </c>
      <c r="EN161" s="203">
        <f>IF($J161="",#N/A,SUM(EM$4:EM161))</f>
        <v>0</v>
      </c>
      <c r="EO161" s="204" t="str">
        <f t="shared" si="282"/>
        <v/>
      </c>
      <c r="EP161" s="204">
        <f>IF($J161="",#N/A,SUM(EO$4:EO161))</f>
        <v>1.264716604605848</v>
      </c>
      <c r="EQ161" s="205" t="str">
        <f t="shared" si="283"/>
        <v/>
      </c>
      <c r="ER161" s="205">
        <f>IF($J161="",#N/A,SUM(EQ$4:EQ161))</f>
        <v>1.5025175479314647</v>
      </c>
      <c r="ES161" s="205">
        <f>IF($J161="",#N/A,SUM(EQ$4:EQ161,EO$4:EO161,EM$4:EM161))</f>
        <v>2.7672341525373123</v>
      </c>
      <c r="ET161" s="200" t="str">
        <f t="shared" si="284"/>
        <v/>
      </c>
      <c r="EU161" s="203">
        <f>IF($J161="",#N/A,SUM(ET$4:ET161))</f>
        <v>0</v>
      </c>
      <c r="EV161" s="204" t="str">
        <f t="shared" si="285"/>
        <v/>
      </c>
      <c r="EW161" s="204">
        <f>IF($J161="",#N/A,SUM(EV$4:EV161))</f>
        <v>0.90459527759708336</v>
      </c>
      <c r="EX161" s="205" t="str">
        <f t="shared" si="286"/>
        <v/>
      </c>
      <c r="EY161" s="205">
        <f>IF($J161="",#N/A,SUM(EX$4:EX161))</f>
        <v>0.22957553748493481</v>
      </c>
      <c r="EZ161" s="205">
        <f>IF($J161="",#N/A,SUM(EX$4:EX161,EV$4:EV161,ET$4:ET161))</f>
        <v>1.134170815082018</v>
      </c>
      <c r="FA161" s="200" t="str">
        <f t="shared" si="287"/>
        <v/>
      </c>
      <c r="FB161" s="203">
        <f>IF($J161="",#N/A,SUM(FA$4:FA161))</f>
        <v>0</v>
      </c>
      <c r="FC161" s="204" t="str">
        <f t="shared" si="288"/>
        <v/>
      </c>
      <c r="FD161" s="204">
        <f>IF($J161="",#N/A,SUM(FC$4:FC161))</f>
        <v>1.6839191319663924</v>
      </c>
      <c r="FE161" s="205" t="str">
        <f t="shared" si="289"/>
        <v/>
      </c>
      <c r="FF161" s="205">
        <f>IF($J161="",#N/A,SUM(FE$4:FE161))</f>
        <v>-0.28811149078748233</v>
      </c>
      <c r="FG161" s="205">
        <f>IF($J161="",#N/A,SUM(FE$4:FE161,FC$4:FC161,FA$4:FA161))</f>
        <v>1.3958076411789102</v>
      </c>
      <c r="FH161" s="200" t="str">
        <f t="shared" si="290"/>
        <v/>
      </c>
      <c r="FI161" s="203">
        <f>IF($J161="",#N/A,SUM(FH$4:FH161))</f>
        <v>0</v>
      </c>
      <c r="FJ161" s="204" t="str">
        <f t="shared" si="291"/>
        <v/>
      </c>
      <c r="FK161" s="204">
        <f>IF($J161="",#N/A,SUM(FJ$4:FJ161))</f>
        <v>0</v>
      </c>
      <c r="FL161" s="205" t="str">
        <f t="shared" si="292"/>
        <v/>
      </c>
      <c r="FM161" s="205">
        <f>IF($J161="",#N/A,SUM(FL$4:FL161))</f>
        <v>0</v>
      </c>
      <c r="FN161" s="205">
        <f>IF($J161="",#N/A,SUM(FL$4:FL161,FJ$4:FJ161,FH$4:FH161))</f>
        <v>0</v>
      </c>
      <c r="FO161" s="200" t="str">
        <f t="shared" si="293"/>
        <v/>
      </c>
      <c r="FP161" s="203">
        <f>IF($J161="",#N/A,SUM(FO$4:FO161))</f>
        <v>0</v>
      </c>
      <c r="FQ161" s="204" t="str">
        <f t="shared" si="294"/>
        <v/>
      </c>
      <c r="FR161" s="204">
        <f>IF($J161="",#N/A,SUM(FQ$4:FQ161))</f>
        <v>0</v>
      </c>
      <c r="FS161" s="205" t="str">
        <f t="shared" si="295"/>
        <v/>
      </c>
      <c r="FT161" s="205">
        <f>IF($J161="",#N/A,SUM(FS$4:FS161))</f>
        <v>0</v>
      </c>
      <c r="FU161" s="205">
        <f>IF($J161="",#N/A,SUM(FS$4:FS161,FQ$4:FQ161,FO$4:FO161))</f>
        <v>0</v>
      </c>
      <c r="FV161" s="200" t="str">
        <f t="shared" si="296"/>
        <v/>
      </c>
      <c r="FW161" s="203">
        <f>IF($J161="",#N/A,SUM(FV$4:FV161))</f>
        <v>6.6834991831277585E-2</v>
      </c>
      <c r="FX161" s="204" t="str">
        <f t="shared" si="297"/>
        <v/>
      </c>
      <c r="FY161" s="204">
        <f>IF($J161="",#N/A,SUM(FX$4:FX161))</f>
        <v>0</v>
      </c>
      <c r="FZ161" s="205" t="str">
        <f t="shared" si="298"/>
        <v/>
      </c>
      <c r="GA161" s="205">
        <f>IF($J161="",#N/A,SUM(FZ$4:FZ161))</f>
        <v>-0.96570439723286938</v>
      </c>
      <c r="GB161" s="205">
        <f>IF($J161="",#N/A,SUM(FZ$4:FZ161,FX$4:FX161,FV$4:FV161))</f>
        <v>-0.89886940540159177</v>
      </c>
      <c r="GC161" s="200" t="str">
        <f t="shared" si="299"/>
        <v/>
      </c>
      <c r="GD161" s="203">
        <f>IF($J161="",#N/A,SUM(GC$4:GC161))</f>
        <v>0</v>
      </c>
      <c r="GE161" s="204" t="str">
        <f t="shared" si="300"/>
        <v/>
      </c>
      <c r="GF161" s="204">
        <f>IF($J161="",#N/A,SUM(GE$4:GE161))</f>
        <v>0</v>
      </c>
      <c r="GG161" s="205" t="str">
        <f t="shared" si="301"/>
        <v/>
      </c>
      <c r="GH161" s="205">
        <f>IF($J161="",#N/A,SUM(GG$4:GG161))</f>
        <v>-2.9368362277223206</v>
      </c>
      <c r="GI161" s="205">
        <f>IF($J161="",#N/A,SUM(GG$4:GG161,GE$4:GE161,GC$4:GC161))</f>
        <v>-2.9368362277223206</v>
      </c>
      <c r="GJ161" s="200" t="str">
        <f t="shared" si="302"/>
        <v/>
      </c>
      <c r="GK161" s="203">
        <f>IF($J161="",#N/A,SUM(GJ$4:GJ161))</f>
        <v>0</v>
      </c>
      <c r="GL161" s="204" t="str">
        <f t="shared" si="303"/>
        <v/>
      </c>
      <c r="GM161" s="204">
        <f>IF($J161="",#N/A,SUM(GL$4:GL161))</f>
        <v>-0.80168930905701452</v>
      </c>
      <c r="GN161" s="205" t="str">
        <f t="shared" si="304"/>
        <v/>
      </c>
      <c r="GO161" s="205">
        <f>IF($J161="",#N/A,SUM(GN$4:GN161))</f>
        <v>0</v>
      </c>
      <c r="GP161" s="205">
        <f>IF($J161="",#N/A,SUM(GN$4:GN161,GL$4:GL161,GJ$4:GJ161))</f>
        <v>-0.80168930905701452</v>
      </c>
      <c r="GS161" s="54" t="str">
        <f t="shared" si="323"/>
        <v/>
      </c>
      <c r="GT161" s="54" t="e">
        <f>IF(GS161="",NA(),SUM($GS$4:GS161))</f>
        <v>#N/A</v>
      </c>
      <c r="GU161" s="54" t="str">
        <f t="shared" si="305"/>
        <v/>
      </c>
      <c r="GV161" s="54" t="e">
        <f>IF(GU161="",NA(),SUM($GU$4:GU161))</f>
        <v>#N/A</v>
      </c>
      <c r="GW161" s="54" t="str">
        <f t="shared" si="306"/>
        <v/>
      </c>
      <c r="GX161" s="54" t="e">
        <f>IF(GW161="",NA(),SUM($GW$4:GW161))</f>
        <v>#N/A</v>
      </c>
      <c r="GY161" s="54" t="str">
        <f t="shared" si="307"/>
        <v/>
      </c>
      <c r="GZ161" s="54" t="e">
        <f>IF(GY161="",NA(),SUM($GY$4:GY161))</f>
        <v>#N/A</v>
      </c>
      <c r="HA161" s="54">
        <f t="shared" si="308"/>
        <v>0.5578800557880037</v>
      </c>
      <c r="HB161" s="54">
        <f>IF(HA161="",NA(),SUM($HA$4:HA161))</f>
        <v>4.5810426451792203</v>
      </c>
      <c r="HC161" s="54" t="str">
        <f t="shared" si="309"/>
        <v/>
      </c>
      <c r="HD161" s="54" t="e">
        <f>IF(HC161="",NA(),SUM($HC$4:HC161))</f>
        <v>#N/A</v>
      </c>
      <c r="HE161" s="54">
        <f t="shared" si="310"/>
        <v>0.5578800557880037</v>
      </c>
      <c r="HF161" s="54">
        <f>IF(HE161="",NA(),SUM($HE$4:HE161))</f>
        <v>1.9341112929577133</v>
      </c>
      <c r="HG161" s="54" t="str">
        <f t="shared" si="311"/>
        <v/>
      </c>
      <c r="HH161" s="54" t="e">
        <f>IF(HG161="",NA(),SUM($HG$4:HG161))</f>
        <v>#N/A</v>
      </c>
      <c r="HI161" s="172" t="str">
        <f t="shared" si="324"/>
        <v/>
      </c>
      <c r="HJ161" s="172">
        <f>IF($J161="",#N/A,SUM(HI$4:$HI161))</f>
        <v>-7.1741710664815006</v>
      </c>
      <c r="HK161" s="54" t="str">
        <f t="shared" si="312"/>
        <v/>
      </c>
      <c r="HL161" s="54">
        <f>IF($J161="",#N/A,SUM($HK$4:HK161))</f>
        <v>-5.702620630287301</v>
      </c>
      <c r="HM161" s="54" t="str">
        <f t="shared" si="313"/>
        <v/>
      </c>
      <c r="HN161" s="54">
        <f>IF($J161="",#N/A,SUM($HM$4:HM161))</f>
        <v>0.71812545963587882</v>
      </c>
      <c r="HO161" s="54" t="str">
        <f t="shared" si="314"/>
        <v/>
      </c>
      <c r="HP161" s="54">
        <f>IF($J161="",#N/A,SUM($HO$4:HO161))</f>
        <v>-0.14859521910082485</v>
      </c>
      <c r="HQ161" s="54">
        <f t="shared" si="315"/>
        <v>-5.8112505811250659E-2</v>
      </c>
      <c r="HR161" s="54">
        <f>IF($J161="",#N/A,SUM($HQ$4:HQ161))</f>
        <v>-7.8865823277899665</v>
      </c>
      <c r="HS161" s="54" t="str">
        <f t="shared" si="316"/>
        <v/>
      </c>
      <c r="HT161" s="54">
        <f>IF($J161="",#N/A,SUM($HS$4:HS161))</f>
        <v>11.317670023547187</v>
      </c>
      <c r="HU161" s="65">
        <f t="shared" si="317"/>
        <v>0.49976754997675304</v>
      </c>
      <c r="HV161" s="65">
        <f>IF($J161="",#N/A,SUM(HU$4:$HU161))</f>
        <v>-6.9242147229592268</v>
      </c>
    </row>
    <row r="162" spans="1:230" x14ac:dyDescent="0.25">
      <c r="A162" s="51" t="s">
        <v>1594</v>
      </c>
      <c r="B162" s="52" t="s">
        <v>4541</v>
      </c>
      <c r="C162" s="229">
        <f t="shared" si="218"/>
        <v>3</v>
      </c>
      <c r="D162" s="219" t="str">
        <f>_xlfn.XLOOKUP(A162,[1]SP500!$A$2:$A$502,[1]SP500!$D$2:$D$502,"N")</f>
        <v>Y</v>
      </c>
      <c r="E162" s="51" t="str">
        <f>IFERROR(_xlfn.XLOOKUP(A162,[1]SP500!$A$2:$A$655,[1]SP500!$B$2:$B$655),"")</f>
        <v>XLY</v>
      </c>
      <c r="F162" s="290">
        <v>45776</v>
      </c>
      <c r="G162" s="51" t="str">
        <f t="shared" si="219"/>
        <v>AMC</v>
      </c>
      <c r="H162" s="51" t="str">
        <f t="shared" si="220"/>
        <v>s</v>
      </c>
      <c r="I162" s="344">
        <v>27.99</v>
      </c>
      <c r="J162" s="124">
        <v>28.72</v>
      </c>
      <c r="K162" s="55">
        <f t="shared" si="221"/>
        <v>2.6080743122543781E-2</v>
      </c>
      <c r="L162" s="67">
        <f t="shared" si="222"/>
        <v>27.009999999999991</v>
      </c>
      <c r="M162" s="57">
        <f t="shared" si="223"/>
        <v>0</v>
      </c>
      <c r="N162" s="102">
        <f t="shared" si="224"/>
        <v>27.009999999999991</v>
      </c>
      <c r="O162" s="57">
        <f>IF(N162="",#N/A,SUM($N$4:N162))</f>
        <v>-67.113635899387049</v>
      </c>
      <c r="P162" s="65">
        <f t="shared" si="318"/>
        <v>0.43467905204239599</v>
      </c>
      <c r="Q162" s="172">
        <f>IF($N162="",#N/A,SUM($P$4:P162))</f>
        <v>2.3866380895596979</v>
      </c>
      <c r="R162" s="279">
        <f t="shared" si="225"/>
        <v>4.538123920567176</v>
      </c>
      <c r="S162" s="51" t="str">
        <f t="shared" si="226"/>
        <v>SW</v>
      </c>
      <c r="T162" s="51" t="s">
        <v>2828</v>
      </c>
      <c r="U162" s="56">
        <f t="shared" si="227"/>
        <v>27.99</v>
      </c>
      <c r="V162" s="56" t="s">
        <v>4460</v>
      </c>
      <c r="W162" s="142">
        <v>37</v>
      </c>
      <c r="X162" s="145">
        <f t="shared" si="228"/>
        <v>1035.6299999999999</v>
      </c>
      <c r="Y162" s="140">
        <f t="shared" si="229"/>
        <v>37</v>
      </c>
      <c r="Z162" s="123">
        <v>28.72</v>
      </c>
      <c r="AA162" s="102">
        <f t="shared" si="230"/>
        <v>27.009999999999991</v>
      </c>
      <c r="AB162" s="102">
        <f t="shared" si="231"/>
        <v>-34.409999999999968</v>
      </c>
      <c r="AC162" s="124">
        <v>27.06</v>
      </c>
      <c r="AD162" s="155">
        <f t="shared" si="232"/>
        <v>-34.409999999999968</v>
      </c>
      <c r="AE162" s="545">
        <f t="shared" si="233"/>
        <v>-0.55376920328688772</v>
      </c>
      <c r="AF162" s="57">
        <f>IF($AC162="",#N/A,SUM(AD$4:AD162))</f>
        <v>-569.68041200241612</v>
      </c>
      <c r="AG162" s="102">
        <f t="shared" si="234"/>
        <v>-61.419999999999959</v>
      </c>
      <c r="AH162" s="56" t="s">
        <v>2507</v>
      </c>
      <c r="AI162" s="65">
        <f t="shared" si="235"/>
        <v>0.43467905204239599</v>
      </c>
      <c r="AJ162" s="350">
        <f>IF(AI162="",#N/A,SUM($AI$4:AI162))</f>
        <v>-2.151485831007478</v>
      </c>
      <c r="AK162" s="57">
        <f t="shared" si="236"/>
        <v>27.009999999999991</v>
      </c>
      <c r="AL162" s="349">
        <f>IF(AI162="",#N/A,IF(AH162="Skip",SUM($AK$4:AK162),SUM($AK$4:AK162)))</f>
        <v>-369.56740850718643</v>
      </c>
      <c r="AM162" s="65">
        <f t="shared" si="319"/>
        <v>-0.55376920328688772</v>
      </c>
      <c r="AN162" s="209"/>
      <c r="AO162" s="65">
        <f t="shared" si="237"/>
        <v>-0.55376920328688772</v>
      </c>
      <c r="AP162" s="65">
        <f>IF($AC162="",#N/A,SUM(AO$4:AO162))</f>
        <v>3.9381660997774235</v>
      </c>
      <c r="AQ162" s="65" t="str">
        <f t="shared" si="238"/>
        <v/>
      </c>
      <c r="AR162" s="65">
        <f>IF($AC162="",#N/A,SUM(AQ$4:AQ162))</f>
        <v>-2.6179859771653153</v>
      </c>
      <c r="AS162" s="65" t="str">
        <f t="shared" si="239"/>
        <v/>
      </c>
      <c r="AT162" s="65">
        <f>IF($AC162="",#N/A,SUM(AS$4:AS162))</f>
        <v>-8.7981640488582276</v>
      </c>
      <c r="AU162" s="57">
        <f t="shared" si="320"/>
        <v>-34.409999999999968</v>
      </c>
      <c r="AV162" s="57">
        <f>IF($AC162="",#N/A,SUM(AU$4:AU162))</f>
        <v>141.43120645125069</v>
      </c>
      <c r="AW162" s="57" t="str">
        <f t="shared" si="321"/>
        <v/>
      </c>
      <c r="AX162" s="57">
        <f>IF($AC162="",#N/A,SUM(AW$4:AW162))</f>
        <v>-163.1400000000001</v>
      </c>
      <c r="AY162" s="57" t="str">
        <f t="shared" si="322"/>
        <v/>
      </c>
      <c r="AZ162" s="57">
        <f>IF($AC162="",#N/A,SUM(AY$4:AY162))</f>
        <v>-547.97161845366668</v>
      </c>
      <c r="BA162" s="57">
        <f>IF(AD162="",#N/A,SUM($AD$4:AD162))</f>
        <v>-569.68041200241612</v>
      </c>
      <c r="BC162" s="51" t="str">
        <f t="shared" si="240"/>
        <v/>
      </c>
      <c r="BD162" s="51" t="str">
        <f t="shared" si="241"/>
        <v/>
      </c>
      <c r="BE162" s="51">
        <f t="shared" si="242"/>
        <v>1</v>
      </c>
      <c r="BF162" s="51" t="str">
        <f t="shared" si="243"/>
        <v>Long</v>
      </c>
      <c r="BG162" s="51" t="str">
        <f t="shared" si="244"/>
        <v/>
      </c>
      <c r="BH162" s="51" t="str">
        <f t="shared" si="245"/>
        <v/>
      </c>
      <c r="BI162" s="51" t="str">
        <f t="shared" si="246"/>
        <v/>
      </c>
      <c r="BK162" s="65">
        <f t="shared" si="217"/>
        <v>0.17426844729131871</v>
      </c>
      <c r="BL162" s="65">
        <f t="shared" si="325"/>
        <v>0.16966730794819418</v>
      </c>
      <c r="BM162" s="65">
        <f>IFERROR(Q162/COUNTA($J$4:J162),#N/A)</f>
        <v>1.5010302450060993E-2</v>
      </c>
      <c r="BO162" s="489">
        <f>IF(J162="",#N/A,IF(S162="SW",(COUNTIFS(K$4:$K162,"&gt;0",S$4:$S162,"SW")/COUNTIF(S$4:$S162,"SW")),#N/A))</f>
        <v>0.4823529411764706</v>
      </c>
      <c r="BP162" s="489" t="e">
        <f>IF($J162="",#N/A,IF($S162="DWN",(COUNTIFS($K$4:$K162,"&lt;0",$S$4:$S162,"DWN")/COUNTIF($S$4:$S162,"DWN")),#N/A))</f>
        <v>#N/A</v>
      </c>
      <c r="BQ162" s="489" t="e">
        <f>IF($J162="",#N/A,IF($S162="UP",(COUNTIFS($K$4:$K162,"&gt;0",$S$4:$S162,"UP")/COUNTIF($S$4:$S162,"UP")),#N/A))</f>
        <v>#N/A</v>
      </c>
      <c r="BR162" s="489">
        <f>IF(J162="",#N/A,COUNTIF($K$4:K162,"&gt;0")/COUNT($J$4:J162))</f>
        <v>0.45911949685534592</v>
      </c>
      <c r="BS162" s="65">
        <f t="shared" si="247"/>
        <v>0.43467905204239599</v>
      </c>
      <c r="BT162" s="65" t="str">
        <f t="shared" si="248"/>
        <v/>
      </c>
      <c r="BU162" s="65" t="str">
        <f t="shared" si="249"/>
        <v/>
      </c>
      <c r="BV162" s="65" t="str">
        <f t="shared" si="250"/>
        <v/>
      </c>
      <c r="BW162" s="128" t="str">
        <f t="shared" si="251"/>
        <v/>
      </c>
      <c r="BX162" s="128">
        <f>IF($J162="",#N/A,SUM($BW$4:BW162))</f>
        <v>-205.1650000000003</v>
      </c>
      <c r="BY162" s="131" t="str">
        <f t="shared" si="252"/>
        <v/>
      </c>
      <c r="BZ162" s="131">
        <f>IF($J162="",#N/A,SUM($BY$4:BY162))</f>
        <v>203.35434038933386</v>
      </c>
      <c r="CA162" s="133">
        <f t="shared" si="253"/>
        <v>27.009999999999991</v>
      </c>
      <c r="CB162" s="133">
        <f>IF($J162="",#N/A,SUM($CA$4:CA162))</f>
        <v>-65.3029762887206</v>
      </c>
      <c r="CC162" s="194" t="str">
        <f t="shared" si="254"/>
        <v/>
      </c>
      <c r="CD162" s="194">
        <f>IF($J162="",#N/A,SUM($CC$4:CC162))</f>
        <v>-3.1875162177003693</v>
      </c>
      <c r="CE162" s="195" t="str">
        <f t="shared" si="255"/>
        <v/>
      </c>
      <c r="CF162" s="195">
        <f>IF($J162="",#N/A,SUM($CE$4:CE162))</f>
        <v>4.0786276479105803</v>
      </c>
      <c r="CG162" s="196">
        <f t="shared" si="256"/>
        <v>0.43467905204239599</v>
      </c>
      <c r="CH162" s="196">
        <f>IF($J162="",#N/A,SUM($CG$4:CG162))</f>
        <v>1.4955266593494918</v>
      </c>
      <c r="CI162" s="200" t="str">
        <f t="shared" si="257"/>
        <v/>
      </c>
      <c r="CJ162" s="203">
        <f>IF($J162="",#N/A,SUM(CI$4:CI162))</f>
        <v>0</v>
      </c>
      <c r="CK162" s="204" t="str">
        <f t="shared" si="258"/>
        <v/>
      </c>
      <c r="CL162" s="204">
        <f>IF($J162="",#N/A,SUM(CK$4:CK162))</f>
        <v>2.9610246620255536</v>
      </c>
      <c r="CM162" s="205" t="str">
        <f t="shared" si="259"/>
        <v/>
      </c>
      <c r="CN162" s="205">
        <f>IF($J162="",#N/A,SUM(CM$4:CM162))</f>
        <v>3.3861132786295873</v>
      </c>
      <c r="CO162" s="205">
        <f>IF($J162="",#N/A,SUM(CM$4:CM162,CK$4:CK162,CI$4:CI162))</f>
        <v>6.3471379406551414</v>
      </c>
      <c r="CP162" s="200" t="str">
        <f t="shared" si="260"/>
        <v/>
      </c>
      <c r="CQ162" s="203">
        <f>IF($J162="",#N/A,SUM(CP$4:CP162))</f>
        <v>0</v>
      </c>
      <c r="CR162" s="204" t="str">
        <f t="shared" si="261"/>
        <v/>
      </c>
      <c r="CS162" s="204">
        <f>IF($J162="",#N/A,SUM(CR$4:CR162))</f>
        <v>2.420242024202421</v>
      </c>
      <c r="CT162" s="205" t="str">
        <f t="shared" si="262"/>
        <v/>
      </c>
      <c r="CU162" s="205">
        <f>IF($J162="",#N/A,SUM(CT$4:CT162))</f>
        <v>0.5578800557880037</v>
      </c>
      <c r="CV162" s="205">
        <f>IF($J162="",#N/A,SUM(CT$4:CT162,CR$4:CR162,CP$4:CP162))</f>
        <v>2.9781220799904249</v>
      </c>
      <c r="CW162" s="200" t="str">
        <f t="shared" si="263"/>
        <v/>
      </c>
      <c r="CX162" s="203">
        <f>IF($J162="",#N/A,SUM(CW$4:CW162))</f>
        <v>0</v>
      </c>
      <c r="CY162" s="204" t="str">
        <f t="shared" si="264"/>
        <v/>
      </c>
      <c r="CZ162" s="204">
        <f>IF($J162="",#N/A,SUM(CY$4:CY162))</f>
        <v>-1.9289529100071134</v>
      </c>
      <c r="DA162" s="205">
        <f t="shared" si="265"/>
        <v>0.43467905204239599</v>
      </c>
      <c r="DB162" s="205">
        <f>IF($J162="",#N/A,SUM(DA$4:DA162))</f>
        <v>-1.2278690516702204</v>
      </c>
      <c r="DC162" s="205">
        <f>IF($J162="",#N/A,SUM(DA$4:DA162,CY$4:CY162,CW$4:CW162))</f>
        <v>-3.1568219616773341</v>
      </c>
      <c r="DD162" s="200" t="str">
        <f t="shared" si="266"/>
        <v/>
      </c>
      <c r="DE162" s="203">
        <f>IF($J162="",#N/A,SUM(DD$4:DD162))</f>
        <v>0.14968716170674062</v>
      </c>
      <c r="DF162" s="204" t="str">
        <f t="shared" si="267"/>
        <v/>
      </c>
      <c r="DG162" s="204">
        <f>IF($J162="",#N/A,SUM(DF$4:DF162))</f>
        <v>1.2121188689979676</v>
      </c>
      <c r="DH162" s="205" t="str">
        <f t="shared" si="268"/>
        <v/>
      </c>
      <c r="DI162" s="205">
        <f>IF($J162="",#N/A,SUM(DH$4:DH162))</f>
        <v>-1.4547707265941352</v>
      </c>
      <c r="DJ162" s="205">
        <f>IF($J162="",#N/A,SUM(DH$4:DH162,DF$4:DF162,DD$4:DD162))</f>
        <v>-9.2964695889427046E-2</v>
      </c>
      <c r="DK162" s="200" t="str">
        <f t="shared" si="269"/>
        <v/>
      </c>
      <c r="DL162" s="203">
        <f>IF($J162="",#N/A,SUM(DK$4:DK162))</f>
        <v>-1.2097286851272664</v>
      </c>
      <c r="DM162" s="204" t="str">
        <f t="shared" si="270"/>
        <v/>
      </c>
      <c r="DN162" s="204">
        <f>IF($J162="",#N/A,SUM(DM$4:DM162))</f>
        <v>1.1910608267574658</v>
      </c>
      <c r="DO162" s="205" t="str">
        <f t="shared" si="271"/>
        <v/>
      </c>
      <c r="DP162" s="205">
        <f>IF($J162="",#N/A,SUM(DO$4:DO162))</f>
        <v>1.3495058802125319</v>
      </c>
      <c r="DQ162" s="205">
        <f>IF($J162="",#N/A,SUM(DO$4:DO162,DM$4:DM162,DK$4:DK162))</f>
        <v>1.3308380218427318</v>
      </c>
      <c r="DR162" s="200" t="str">
        <f t="shared" si="272"/>
        <v/>
      </c>
      <c r="DS162" s="203">
        <f>IF($J162="",#N/A,SUM(DR$4:DR162))</f>
        <v>-0.55950946427675097</v>
      </c>
      <c r="DT162" s="204" t="str">
        <f t="shared" si="273"/>
        <v/>
      </c>
      <c r="DU162" s="204">
        <f>IF($J162="",#N/A,SUM(DT$4:DT162))</f>
        <v>-3.5029740333397914</v>
      </c>
      <c r="DV162" s="205" t="str">
        <f t="shared" si="274"/>
        <v/>
      </c>
      <c r="DW162" s="205">
        <f>IF($J162="",#N/A,SUM(DV$4:DV162))</f>
        <v>-1.8527424265931112</v>
      </c>
      <c r="DX162" s="205">
        <f>IF($J162="",#N/A,SUM(DV$4:DV162,DT$4:DT162,DR$4:DR162))</f>
        <v>-5.9152259242096532</v>
      </c>
      <c r="DY162" s="200" t="str">
        <f t="shared" si="275"/>
        <v/>
      </c>
      <c r="DZ162" s="203">
        <f>IF($J162="",#N/A,SUM(DY$4:DY162))</f>
        <v>-1.63480022183437</v>
      </c>
      <c r="EA162" s="204" t="str">
        <f t="shared" si="276"/>
        <v/>
      </c>
      <c r="EB162" s="204">
        <f>IF($J162="",#N/A,SUM(EA$4:EA162))</f>
        <v>-0.2070110273231956</v>
      </c>
      <c r="EC162" s="205" t="str">
        <f t="shared" si="277"/>
        <v/>
      </c>
      <c r="ED162" s="205">
        <f>IF($J162="",#N/A,SUM(EC$4:EC162))</f>
        <v>1.4704559513837272</v>
      </c>
      <c r="EE162" s="205">
        <f>IF($J162="",#N/A,SUM(EC$4:EC162,EA$4:EA162,DY$4:DY162))</f>
        <v>-0.37135529777383841</v>
      </c>
      <c r="EF162" s="200" t="str">
        <f t="shared" si="278"/>
        <v/>
      </c>
      <c r="EG162" s="203">
        <f>IF($J162="",#N/A,SUM(EF$4:EF162))</f>
        <v>0</v>
      </c>
      <c r="EH162" s="204" t="str">
        <f t="shared" si="279"/>
        <v/>
      </c>
      <c r="EI162" s="204">
        <f>IF($J162="",#N/A,SUM(EH$4:EH162))</f>
        <v>-1.1184224685150388</v>
      </c>
      <c r="EJ162" s="205" t="str">
        <f t="shared" si="280"/>
        <v/>
      </c>
      <c r="EK162" s="205">
        <f>IF($J162="",#N/A,SUM(EJ$4:EJ162))</f>
        <v>1.7255127285193785</v>
      </c>
      <c r="EL162" s="205">
        <f>IF($J162="",#N/A,SUM(EJ$4:EJ162,EH$4:EH162,EF$4:EF162))</f>
        <v>0.60709026000434052</v>
      </c>
      <c r="EM162" s="200" t="str">
        <f t="shared" si="281"/>
        <v/>
      </c>
      <c r="EN162" s="203">
        <f>IF($J162="",#N/A,SUM(EM$4:EM162))</f>
        <v>0</v>
      </c>
      <c r="EO162" s="204" t="str">
        <f t="shared" si="282"/>
        <v/>
      </c>
      <c r="EP162" s="204">
        <f>IF($J162="",#N/A,SUM(EO$4:EO162))</f>
        <v>1.264716604605848</v>
      </c>
      <c r="EQ162" s="205" t="str">
        <f t="shared" si="283"/>
        <v/>
      </c>
      <c r="ER162" s="205">
        <f>IF($J162="",#N/A,SUM(EQ$4:EQ162))</f>
        <v>1.5025175479314647</v>
      </c>
      <c r="ES162" s="205">
        <f>IF($J162="",#N/A,SUM(EQ$4:EQ162,EO$4:EO162,EM$4:EM162))</f>
        <v>2.7672341525373123</v>
      </c>
      <c r="ET162" s="200" t="str">
        <f t="shared" si="284"/>
        <v/>
      </c>
      <c r="EU162" s="203">
        <f>IF($J162="",#N/A,SUM(ET$4:ET162))</f>
        <v>0</v>
      </c>
      <c r="EV162" s="204" t="str">
        <f t="shared" si="285"/>
        <v/>
      </c>
      <c r="EW162" s="204">
        <f>IF($J162="",#N/A,SUM(EV$4:EV162))</f>
        <v>0.90459527759708336</v>
      </c>
      <c r="EX162" s="205" t="str">
        <f t="shared" si="286"/>
        <v/>
      </c>
      <c r="EY162" s="205">
        <f>IF($J162="",#N/A,SUM(EX$4:EX162))</f>
        <v>0.22957553748493481</v>
      </c>
      <c r="EZ162" s="205">
        <f>IF($J162="",#N/A,SUM(EX$4:EX162,EV$4:EV162,ET$4:ET162))</f>
        <v>1.134170815082018</v>
      </c>
      <c r="FA162" s="200" t="str">
        <f t="shared" si="287"/>
        <v/>
      </c>
      <c r="FB162" s="203">
        <f>IF($J162="",#N/A,SUM(FA$4:FA162))</f>
        <v>0</v>
      </c>
      <c r="FC162" s="204" t="str">
        <f t="shared" si="288"/>
        <v/>
      </c>
      <c r="FD162" s="204">
        <f>IF($J162="",#N/A,SUM(FC$4:FC162))</f>
        <v>1.6839191319663924</v>
      </c>
      <c r="FE162" s="205" t="str">
        <f t="shared" si="289"/>
        <v/>
      </c>
      <c r="FF162" s="205">
        <f>IF($J162="",#N/A,SUM(FE$4:FE162))</f>
        <v>-0.28811149078748233</v>
      </c>
      <c r="FG162" s="205">
        <f>IF($J162="",#N/A,SUM(FE$4:FE162,FC$4:FC162,FA$4:FA162))</f>
        <v>1.3958076411789102</v>
      </c>
      <c r="FH162" s="200" t="str">
        <f t="shared" si="290"/>
        <v/>
      </c>
      <c r="FI162" s="203">
        <f>IF($J162="",#N/A,SUM(FH$4:FH162))</f>
        <v>0</v>
      </c>
      <c r="FJ162" s="204" t="str">
        <f t="shared" si="291"/>
        <v/>
      </c>
      <c r="FK162" s="204">
        <f>IF($J162="",#N/A,SUM(FJ$4:FJ162))</f>
        <v>0</v>
      </c>
      <c r="FL162" s="205" t="str">
        <f t="shared" si="292"/>
        <v/>
      </c>
      <c r="FM162" s="205">
        <f>IF($J162="",#N/A,SUM(FL$4:FL162))</f>
        <v>0</v>
      </c>
      <c r="FN162" s="205">
        <f>IF($J162="",#N/A,SUM(FL$4:FL162,FJ$4:FJ162,FH$4:FH162))</f>
        <v>0</v>
      </c>
      <c r="FO162" s="200" t="str">
        <f t="shared" si="293"/>
        <v/>
      </c>
      <c r="FP162" s="203">
        <f>IF($J162="",#N/A,SUM(FO$4:FO162))</f>
        <v>0</v>
      </c>
      <c r="FQ162" s="204" t="str">
        <f t="shared" si="294"/>
        <v/>
      </c>
      <c r="FR162" s="204">
        <f>IF($J162="",#N/A,SUM(FQ$4:FQ162))</f>
        <v>0</v>
      </c>
      <c r="FS162" s="205" t="str">
        <f t="shared" si="295"/>
        <v/>
      </c>
      <c r="FT162" s="205">
        <f>IF($J162="",#N/A,SUM(FS$4:FS162))</f>
        <v>0</v>
      </c>
      <c r="FU162" s="205">
        <f>IF($J162="",#N/A,SUM(FS$4:FS162,FQ$4:FQ162,FO$4:FO162))</f>
        <v>0</v>
      </c>
      <c r="FV162" s="200" t="str">
        <f t="shared" si="296"/>
        <v/>
      </c>
      <c r="FW162" s="203">
        <f>IF($J162="",#N/A,SUM(FV$4:FV162))</f>
        <v>6.6834991831277585E-2</v>
      </c>
      <c r="FX162" s="204" t="str">
        <f t="shared" si="297"/>
        <v/>
      </c>
      <c r="FY162" s="204">
        <f>IF($J162="",#N/A,SUM(FX$4:FX162))</f>
        <v>0</v>
      </c>
      <c r="FZ162" s="205" t="str">
        <f t="shared" si="298"/>
        <v/>
      </c>
      <c r="GA162" s="205">
        <f>IF($J162="",#N/A,SUM(FZ$4:FZ162))</f>
        <v>-0.96570439723286938</v>
      </c>
      <c r="GB162" s="205">
        <f>IF($J162="",#N/A,SUM(FZ$4:FZ162,FX$4:FX162,FV$4:FV162))</f>
        <v>-0.89886940540159177</v>
      </c>
      <c r="GC162" s="200" t="str">
        <f t="shared" si="299"/>
        <v/>
      </c>
      <c r="GD162" s="203">
        <f>IF($J162="",#N/A,SUM(GC$4:GC162))</f>
        <v>0</v>
      </c>
      <c r="GE162" s="204" t="str">
        <f t="shared" si="300"/>
        <v/>
      </c>
      <c r="GF162" s="204">
        <f>IF($J162="",#N/A,SUM(GE$4:GE162))</f>
        <v>0</v>
      </c>
      <c r="GG162" s="205" t="str">
        <f t="shared" si="301"/>
        <v/>
      </c>
      <c r="GH162" s="205">
        <f>IF($J162="",#N/A,SUM(GG$4:GG162))</f>
        <v>-2.9368362277223206</v>
      </c>
      <c r="GI162" s="205">
        <f>IF($J162="",#N/A,SUM(GG$4:GG162,GE$4:GE162,GC$4:GC162))</f>
        <v>-2.9368362277223206</v>
      </c>
      <c r="GJ162" s="200" t="str">
        <f t="shared" si="302"/>
        <v/>
      </c>
      <c r="GK162" s="203">
        <f>IF($J162="",#N/A,SUM(GJ$4:GJ162))</f>
        <v>0</v>
      </c>
      <c r="GL162" s="204" t="str">
        <f t="shared" si="303"/>
        <v/>
      </c>
      <c r="GM162" s="204">
        <f>IF($J162="",#N/A,SUM(GL$4:GL162))</f>
        <v>-0.80168930905701452</v>
      </c>
      <c r="GN162" s="205" t="str">
        <f t="shared" si="304"/>
        <v/>
      </c>
      <c r="GO162" s="205">
        <f>IF($J162="",#N/A,SUM(GN$4:GN162))</f>
        <v>0</v>
      </c>
      <c r="GP162" s="205">
        <f>IF($J162="",#N/A,SUM(GN$4:GN162,GL$4:GL162,GJ$4:GJ162))</f>
        <v>-0.80168930905701452</v>
      </c>
      <c r="GS162" s="54">
        <f t="shared" si="323"/>
        <v>0.43467905204239599</v>
      </c>
      <c r="GT162" s="54">
        <f>IF(GS162="",NA(),SUM($GS$4:GS162))</f>
        <v>-2.1944045556195206</v>
      </c>
      <c r="GU162" s="54" t="str">
        <f t="shared" si="305"/>
        <v/>
      </c>
      <c r="GV162" s="54" t="e">
        <f>IF(GU162="",NA(),SUM($GU$4:GU162))</f>
        <v>#N/A</v>
      </c>
      <c r="GW162" s="54">
        <f t="shared" si="306"/>
        <v>0.43467905204239599</v>
      </c>
      <c r="GX162" s="54">
        <f>IF(GW162="",NA(),SUM($GW$4:GW162))</f>
        <v>-0.43858463360822209</v>
      </c>
      <c r="GY162" s="54" t="str">
        <f t="shared" si="307"/>
        <v/>
      </c>
      <c r="GZ162" s="54" t="e">
        <f>IF(GY162="",NA(),SUM($GY$4:GY162))</f>
        <v>#N/A</v>
      </c>
      <c r="HA162" s="54" t="str">
        <f t="shared" si="308"/>
        <v/>
      </c>
      <c r="HB162" s="54" t="e">
        <f>IF(HA162="",NA(),SUM($HA$4:HA162))</f>
        <v>#N/A</v>
      </c>
      <c r="HC162" s="54" t="str">
        <f t="shared" si="309"/>
        <v/>
      </c>
      <c r="HD162" s="54" t="e">
        <f>IF(HC162="",NA(),SUM($HC$4:HC162))</f>
        <v>#N/A</v>
      </c>
      <c r="HE162" s="54" t="str">
        <f t="shared" si="310"/>
        <v/>
      </c>
      <c r="HF162" s="54" t="e">
        <f>IF(HE162="",NA(),SUM($HE$4:HE162))</f>
        <v>#N/A</v>
      </c>
      <c r="HG162" s="54" t="str">
        <f t="shared" si="311"/>
        <v/>
      </c>
      <c r="HH162" s="54" t="e">
        <f>IF(HG162="",NA(),SUM($HG$4:HG162))</f>
        <v>#N/A</v>
      </c>
      <c r="HI162" s="172" t="str">
        <f t="shared" si="324"/>
        <v/>
      </c>
      <c r="HJ162" s="172">
        <f>IF($J162="",#N/A,SUM(HI$4:$HI162))</f>
        <v>-7.1741710664815006</v>
      </c>
      <c r="HK162" s="54" t="str">
        <f t="shared" si="312"/>
        <v/>
      </c>
      <c r="HL162" s="54">
        <f>IF($J162="",#N/A,SUM($HK$4:HK162))</f>
        <v>-5.702620630287301</v>
      </c>
      <c r="HM162" s="54" t="str">
        <f t="shared" si="313"/>
        <v/>
      </c>
      <c r="HN162" s="54">
        <f>IF($J162="",#N/A,SUM($HM$4:HM162))</f>
        <v>0.71812545963587882</v>
      </c>
      <c r="HO162" s="54" t="str">
        <f t="shared" si="314"/>
        <v/>
      </c>
      <c r="HP162" s="54">
        <f>IF($J162="",#N/A,SUM($HO$4:HO162))</f>
        <v>-0.14859521910082485</v>
      </c>
      <c r="HQ162" s="54">
        <f t="shared" si="315"/>
        <v>-0.98844825532928371</v>
      </c>
      <c r="HR162" s="54">
        <f>IF($J162="",#N/A,SUM($HQ$4:HQ162))</f>
        <v>-8.8750305831192495</v>
      </c>
      <c r="HS162" s="54" t="str">
        <f t="shared" si="316"/>
        <v/>
      </c>
      <c r="HT162" s="54">
        <f>IF($J162="",#N/A,SUM($HS$4:HS162))</f>
        <v>11.317670023547187</v>
      </c>
      <c r="HU162" s="65">
        <f t="shared" si="317"/>
        <v>-0.55376920328688772</v>
      </c>
      <c r="HV162" s="65">
        <f>IF($J162="",#N/A,SUM(HU$4:$HU162))</f>
        <v>-7.4779839262461145</v>
      </c>
    </row>
    <row r="163" spans="1:230" x14ac:dyDescent="0.25">
      <c r="A163" s="396" t="s">
        <v>1680</v>
      </c>
      <c r="B163" s="52" t="s">
        <v>4541</v>
      </c>
      <c r="C163" s="229">
        <f t="shared" si="218"/>
        <v>3</v>
      </c>
      <c r="D163" s="219" t="str">
        <f>_xlfn.XLOOKUP(A163,[1]SP500!$A$2:$A$502,[1]SP500!$D$2:$D$502,"N")</f>
        <v>N</v>
      </c>
      <c r="E163" s="51" t="str">
        <f>IFERROR(_xlfn.XLOOKUP(A163,[1]SP500!$A$2:$A$655,[1]SP500!$B$2:$B$655),"")</f>
        <v>IGV</v>
      </c>
      <c r="F163" s="290">
        <v>45776</v>
      </c>
      <c r="G163" s="51" t="str">
        <f t="shared" si="219"/>
        <v>AMC</v>
      </c>
      <c r="H163" s="51" t="str">
        <f t="shared" si="220"/>
        <v>s</v>
      </c>
      <c r="I163" s="344">
        <v>33.68</v>
      </c>
      <c r="J163" s="124">
        <v>29.125</v>
      </c>
      <c r="K163" s="55">
        <f t="shared" si="221"/>
        <v>-0.13524346793349168</v>
      </c>
      <c r="L163" s="67">
        <f t="shared" si="222"/>
        <v>-136.64999999999998</v>
      </c>
      <c r="M163" s="57">
        <f t="shared" si="223"/>
        <v>7.0499999999999545</v>
      </c>
      <c r="N163" s="102">
        <f t="shared" si="224"/>
        <v>-136.64999999999998</v>
      </c>
      <c r="O163" s="57">
        <f>IF(N163="",#N/A,SUM($N$4:N163))</f>
        <v>-203.76363589938703</v>
      </c>
      <c r="P163" s="65">
        <f t="shared" si="318"/>
        <v>-2.254057798891528</v>
      </c>
      <c r="Q163" s="172">
        <f>IF($N163="",#N/A,SUM($P$4:P163))</f>
        <v>0.1325802906681699</v>
      </c>
      <c r="R163" s="279">
        <f t="shared" si="225"/>
        <v>4.4218333425782603</v>
      </c>
      <c r="S163" s="51" t="str">
        <f t="shared" si="226"/>
        <v>SW</v>
      </c>
      <c r="T163" s="51" t="s">
        <v>2828</v>
      </c>
      <c r="U163" s="56">
        <f t="shared" si="227"/>
        <v>33.68</v>
      </c>
      <c r="V163" s="56" t="s">
        <v>4460</v>
      </c>
      <c r="W163" s="142">
        <v>30</v>
      </c>
      <c r="X163" s="145">
        <f t="shared" si="228"/>
        <v>1010.4</v>
      </c>
      <c r="Y163" s="140">
        <f t="shared" si="229"/>
        <v>30</v>
      </c>
      <c r="Z163" s="123">
        <v>29.36</v>
      </c>
      <c r="AA163" s="102">
        <f t="shared" si="230"/>
        <v>-129.60000000000002</v>
      </c>
      <c r="AB163" s="102">
        <f t="shared" si="231"/>
        <v>-93.299999999999955</v>
      </c>
      <c r="AC163" s="124">
        <v>30.57</v>
      </c>
      <c r="AD163" s="155">
        <f t="shared" si="232"/>
        <v>-93.299999999999955</v>
      </c>
      <c r="AE163" s="545">
        <f t="shared" si="233"/>
        <v>-1.5389944576405377</v>
      </c>
      <c r="AF163" s="57">
        <f>IF($AC163="",#N/A,SUM(AD$4:AD163))</f>
        <v>-662.98041200241607</v>
      </c>
      <c r="AG163" s="102">
        <f t="shared" si="234"/>
        <v>43.350000000000023</v>
      </c>
      <c r="AH163" s="102" t="s">
        <v>2507</v>
      </c>
      <c r="AI163" s="65">
        <f t="shared" si="235"/>
        <v>-2.1377672209026133</v>
      </c>
      <c r="AJ163" s="350">
        <f>IF(AI163="",#N/A,SUM($AI$4:AI163))</f>
        <v>-4.2892530519100909</v>
      </c>
      <c r="AK163" s="57">
        <f t="shared" si="236"/>
        <v>-129.60000000000002</v>
      </c>
      <c r="AL163" s="349">
        <f>IF(AI163="",#N/A,IF(AH163="Skip",SUM($AK$4:AK163),SUM($AK$4:AK163)))</f>
        <v>-499.16740850718645</v>
      </c>
      <c r="AM163" s="65">
        <f t="shared" si="319"/>
        <v>-1.5389944576405377</v>
      </c>
      <c r="AN163" s="209"/>
      <c r="AO163" s="65">
        <f t="shared" si="237"/>
        <v>-1.5389944576405377</v>
      </c>
      <c r="AP163" s="65">
        <f>IF($AC163="",#N/A,SUM(AO$4:AO163))</f>
        <v>2.3991716421368858</v>
      </c>
      <c r="AQ163" s="65" t="str">
        <f t="shared" si="238"/>
        <v/>
      </c>
      <c r="AR163" s="65">
        <f>IF($AC163="",#N/A,SUM(AQ$4:AQ163))</f>
        <v>-2.6179859771653153</v>
      </c>
      <c r="AS163" s="65" t="str">
        <f t="shared" si="239"/>
        <v/>
      </c>
      <c r="AT163" s="65">
        <f>IF($AC163="",#N/A,SUM(AS$4:AS163))</f>
        <v>-8.7981640488582276</v>
      </c>
      <c r="AU163" s="57">
        <f t="shared" si="320"/>
        <v>-93.299999999999955</v>
      </c>
      <c r="AV163" s="57">
        <f>IF($AC163="",#N/A,SUM(AU$4:AU163))</f>
        <v>48.131206451250733</v>
      </c>
      <c r="AW163" s="57" t="str">
        <f t="shared" si="321"/>
        <v/>
      </c>
      <c r="AX163" s="57">
        <f>IF($AC163="",#N/A,SUM(AW$4:AW163))</f>
        <v>-163.1400000000001</v>
      </c>
      <c r="AY163" s="57" t="str">
        <f t="shared" si="322"/>
        <v/>
      </c>
      <c r="AZ163" s="57">
        <f>IF($AC163="",#N/A,SUM(AY$4:AY163))</f>
        <v>-547.97161845366668</v>
      </c>
      <c r="BA163" s="57">
        <f>IF(AD163="",#N/A,SUM($AD$4:AD163))</f>
        <v>-662.98041200241607</v>
      </c>
      <c r="BC163" s="51" t="str">
        <f t="shared" si="240"/>
        <v/>
      </c>
      <c r="BD163" s="51" t="str">
        <f t="shared" si="241"/>
        <v/>
      </c>
      <c r="BE163" s="51" t="str">
        <f t="shared" si="242"/>
        <v/>
      </c>
      <c r="BF163" s="51" t="str">
        <f t="shared" si="243"/>
        <v>Long</v>
      </c>
      <c r="BG163" s="51" t="str">
        <f t="shared" si="244"/>
        <v/>
      </c>
      <c r="BH163" s="51" t="str">
        <f t="shared" si="245"/>
        <v/>
      </c>
      <c r="BI163" s="51">
        <f t="shared" si="246"/>
        <v>1</v>
      </c>
      <c r="BK163" s="65">
        <f t="shared" si="217"/>
        <v>0.1230798383122476</v>
      </c>
      <c r="BL163" s="65">
        <f t="shared" si="325"/>
        <v>6.5899553815662273E-2</v>
      </c>
      <c r="BM163" s="65">
        <f>IFERROR(Q163/COUNTA($J$4:J163),#N/A)</f>
        <v>8.286268166760619E-4</v>
      </c>
      <c r="BO163" s="489">
        <f>IF(J163="",#N/A,IF(S163="SW",(COUNTIFS(K$4:$K163,"&gt;0",S$4:$S163,"SW")/COUNTIF(S$4:$S163,"SW")),#N/A))</f>
        <v>0.47674418604651164</v>
      </c>
      <c r="BP163" s="489" t="e">
        <f>IF($J163="",#N/A,IF($S163="DWN",(COUNTIFS($K$4:$K163,"&lt;0",$S$4:$S163,"DWN")/COUNTIF($S$4:$S163,"DWN")),#N/A))</f>
        <v>#N/A</v>
      </c>
      <c r="BQ163" s="489" t="e">
        <f>IF($J163="",#N/A,IF($S163="UP",(COUNTIFS($K$4:$K163,"&gt;0",$S$4:$S163,"UP")/COUNTIF($S$4:$S163,"UP")),#N/A))</f>
        <v>#N/A</v>
      </c>
      <c r="BR163" s="489">
        <f>IF(J163="",#N/A,COUNTIF($K$4:K163,"&gt;0")/COUNT($J$4:J163))</f>
        <v>0.45624999999999999</v>
      </c>
      <c r="BS163" s="65" t="str">
        <f t="shared" si="247"/>
        <v/>
      </c>
      <c r="BT163" s="65">
        <f t="shared" si="248"/>
        <v>-2.254057798891528</v>
      </c>
      <c r="BU163" s="65" t="str">
        <f t="shared" si="249"/>
        <v/>
      </c>
      <c r="BV163" s="65" t="str">
        <f t="shared" si="250"/>
        <v/>
      </c>
      <c r="BW163" s="128" t="str">
        <f t="shared" si="251"/>
        <v/>
      </c>
      <c r="BX163" s="128">
        <f>IF($J163="",#N/A,SUM($BW$4:BW163))</f>
        <v>-205.1650000000003</v>
      </c>
      <c r="BY163" s="131" t="str">
        <f t="shared" si="252"/>
        <v/>
      </c>
      <c r="BZ163" s="131">
        <f>IF($J163="",#N/A,SUM($BY$4:BY163))</f>
        <v>203.35434038933386</v>
      </c>
      <c r="CA163" s="133">
        <f t="shared" si="253"/>
        <v>-136.64999999999998</v>
      </c>
      <c r="CB163" s="133">
        <f>IF($J163="",#N/A,SUM($CA$4:CA163))</f>
        <v>-201.95297628872058</v>
      </c>
      <c r="CC163" s="194" t="str">
        <f t="shared" si="254"/>
        <v/>
      </c>
      <c r="CD163" s="194">
        <f>IF($J163="",#N/A,SUM($CC$4:CC163))</f>
        <v>-3.1875162177003693</v>
      </c>
      <c r="CE163" s="195" t="str">
        <f t="shared" si="255"/>
        <v/>
      </c>
      <c r="CF163" s="195">
        <f>IF($J163="",#N/A,SUM($CE$4:CE163))</f>
        <v>4.0786276479105803</v>
      </c>
      <c r="CG163" s="196">
        <f t="shared" si="256"/>
        <v>-2.254057798891528</v>
      </c>
      <c r="CH163" s="196">
        <f>IF($J163="",#N/A,SUM($CG$4:CG163))</f>
        <v>-0.75853113954203621</v>
      </c>
      <c r="CI163" s="200" t="str">
        <f t="shared" si="257"/>
        <v/>
      </c>
      <c r="CJ163" s="203">
        <f>IF($J163="",#N/A,SUM(CI$4:CI163))</f>
        <v>0</v>
      </c>
      <c r="CK163" s="204" t="str">
        <f t="shared" si="258"/>
        <v/>
      </c>
      <c r="CL163" s="204">
        <f>IF($J163="",#N/A,SUM(CK$4:CK163))</f>
        <v>2.9610246620255536</v>
      </c>
      <c r="CM163" s="205" t="str">
        <f t="shared" si="259"/>
        <v/>
      </c>
      <c r="CN163" s="205">
        <f>IF($J163="",#N/A,SUM(CM$4:CM163))</f>
        <v>3.3861132786295873</v>
      </c>
      <c r="CO163" s="205">
        <f>IF($J163="",#N/A,SUM(CM$4:CM163,CK$4:CK163,CI$4:CI163))</f>
        <v>6.3471379406551414</v>
      </c>
      <c r="CP163" s="200" t="str">
        <f t="shared" si="260"/>
        <v/>
      </c>
      <c r="CQ163" s="203">
        <f>IF($J163="",#N/A,SUM(CP$4:CP163))</f>
        <v>0</v>
      </c>
      <c r="CR163" s="204" t="str">
        <f t="shared" si="261"/>
        <v/>
      </c>
      <c r="CS163" s="204">
        <f>IF($J163="",#N/A,SUM(CR$4:CR163))</f>
        <v>2.420242024202421</v>
      </c>
      <c r="CT163" s="205">
        <f t="shared" si="262"/>
        <v>-2.254057798891528</v>
      </c>
      <c r="CU163" s="205">
        <f>IF($J163="",#N/A,SUM(CT$4:CT163))</f>
        <v>-1.6961777431035243</v>
      </c>
      <c r="CV163" s="205">
        <f>IF($J163="",#N/A,SUM(CT$4:CT163,CR$4:CR163,CP$4:CP163))</f>
        <v>0.72406428109889664</v>
      </c>
      <c r="CW163" s="200" t="str">
        <f t="shared" si="263"/>
        <v/>
      </c>
      <c r="CX163" s="203">
        <f>IF($J163="",#N/A,SUM(CW$4:CW163))</f>
        <v>0</v>
      </c>
      <c r="CY163" s="204" t="str">
        <f t="shared" si="264"/>
        <v/>
      </c>
      <c r="CZ163" s="204">
        <f>IF($J163="",#N/A,SUM(CY$4:CY163))</f>
        <v>-1.9289529100071134</v>
      </c>
      <c r="DA163" s="205" t="str">
        <f t="shared" si="265"/>
        <v/>
      </c>
      <c r="DB163" s="205">
        <f>IF($J163="",#N/A,SUM(DA$4:DA163))</f>
        <v>-1.2278690516702204</v>
      </c>
      <c r="DC163" s="205">
        <f>IF($J163="",#N/A,SUM(DA$4:DA163,CY$4:CY163,CW$4:CW163))</f>
        <v>-3.1568219616773341</v>
      </c>
      <c r="DD163" s="200" t="str">
        <f t="shared" si="266"/>
        <v/>
      </c>
      <c r="DE163" s="203">
        <f>IF($J163="",#N/A,SUM(DD$4:DD163))</f>
        <v>0.14968716170674062</v>
      </c>
      <c r="DF163" s="204" t="str">
        <f t="shared" si="267"/>
        <v/>
      </c>
      <c r="DG163" s="204">
        <f>IF($J163="",#N/A,SUM(DF$4:DF163))</f>
        <v>1.2121188689979676</v>
      </c>
      <c r="DH163" s="205" t="str">
        <f t="shared" si="268"/>
        <v/>
      </c>
      <c r="DI163" s="205">
        <f>IF($J163="",#N/A,SUM(DH$4:DH163))</f>
        <v>-1.4547707265941352</v>
      </c>
      <c r="DJ163" s="205">
        <f>IF($J163="",#N/A,SUM(DH$4:DH163,DF$4:DF163,DD$4:DD163))</f>
        <v>-9.2964695889427046E-2</v>
      </c>
      <c r="DK163" s="200" t="str">
        <f t="shared" si="269"/>
        <v/>
      </c>
      <c r="DL163" s="203">
        <f>IF($J163="",#N/A,SUM(DK$4:DK163))</f>
        <v>-1.2097286851272664</v>
      </c>
      <c r="DM163" s="204" t="str">
        <f t="shared" si="270"/>
        <v/>
      </c>
      <c r="DN163" s="204">
        <f>IF($J163="",#N/A,SUM(DM$4:DM163))</f>
        <v>1.1910608267574658</v>
      </c>
      <c r="DO163" s="205" t="str">
        <f t="shared" si="271"/>
        <v/>
      </c>
      <c r="DP163" s="205">
        <f>IF($J163="",#N/A,SUM(DO$4:DO163))</f>
        <v>1.3495058802125319</v>
      </c>
      <c r="DQ163" s="205">
        <f>IF($J163="",#N/A,SUM(DO$4:DO163,DM$4:DM163,DK$4:DK163))</f>
        <v>1.3308380218427318</v>
      </c>
      <c r="DR163" s="200" t="str">
        <f t="shared" si="272"/>
        <v/>
      </c>
      <c r="DS163" s="203">
        <f>IF($J163="",#N/A,SUM(DR$4:DR163))</f>
        <v>-0.55950946427675097</v>
      </c>
      <c r="DT163" s="204" t="str">
        <f t="shared" si="273"/>
        <v/>
      </c>
      <c r="DU163" s="204">
        <f>IF($J163="",#N/A,SUM(DT$4:DT163))</f>
        <v>-3.5029740333397914</v>
      </c>
      <c r="DV163" s="205" t="str">
        <f t="shared" si="274"/>
        <v/>
      </c>
      <c r="DW163" s="205">
        <f>IF($J163="",#N/A,SUM(DV$4:DV163))</f>
        <v>-1.8527424265931112</v>
      </c>
      <c r="DX163" s="205">
        <f>IF($J163="",#N/A,SUM(DV$4:DV163,DT$4:DT163,DR$4:DR163))</f>
        <v>-5.9152259242096532</v>
      </c>
      <c r="DY163" s="200" t="str">
        <f t="shared" si="275"/>
        <v/>
      </c>
      <c r="DZ163" s="203">
        <f>IF($J163="",#N/A,SUM(DY$4:DY163))</f>
        <v>-1.63480022183437</v>
      </c>
      <c r="EA163" s="204" t="str">
        <f t="shared" si="276"/>
        <v/>
      </c>
      <c r="EB163" s="204">
        <f>IF($J163="",#N/A,SUM(EA$4:EA163))</f>
        <v>-0.2070110273231956</v>
      </c>
      <c r="EC163" s="205" t="str">
        <f t="shared" si="277"/>
        <v/>
      </c>
      <c r="ED163" s="205">
        <f>IF($J163="",#N/A,SUM(EC$4:EC163))</f>
        <v>1.4704559513837272</v>
      </c>
      <c r="EE163" s="205">
        <f>IF($J163="",#N/A,SUM(EC$4:EC163,EA$4:EA163,DY$4:DY163))</f>
        <v>-0.37135529777383841</v>
      </c>
      <c r="EF163" s="200" t="str">
        <f t="shared" si="278"/>
        <v/>
      </c>
      <c r="EG163" s="203">
        <f>IF($J163="",#N/A,SUM(EF$4:EF163))</f>
        <v>0</v>
      </c>
      <c r="EH163" s="204" t="str">
        <f t="shared" si="279"/>
        <v/>
      </c>
      <c r="EI163" s="204">
        <f>IF($J163="",#N/A,SUM(EH$4:EH163))</f>
        <v>-1.1184224685150388</v>
      </c>
      <c r="EJ163" s="205" t="str">
        <f t="shared" si="280"/>
        <v/>
      </c>
      <c r="EK163" s="205">
        <f>IF($J163="",#N/A,SUM(EJ$4:EJ163))</f>
        <v>1.7255127285193785</v>
      </c>
      <c r="EL163" s="205">
        <f>IF($J163="",#N/A,SUM(EJ$4:EJ163,EH$4:EH163,EF$4:EF163))</f>
        <v>0.60709026000434052</v>
      </c>
      <c r="EM163" s="200" t="str">
        <f t="shared" si="281"/>
        <v/>
      </c>
      <c r="EN163" s="203">
        <f>IF($J163="",#N/A,SUM(EM$4:EM163))</f>
        <v>0</v>
      </c>
      <c r="EO163" s="204" t="str">
        <f t="shared" si="282"/>
        <v/>
      </c>
      <c r="EP163" s="204">
        <f>IF($J163="",#N/A,SUM(EO$4:EO163))</f>
        <v>1.264716604605848</v>
      </c>
      <c r="EQ163" s="205" t="str">
        <f t="shared" si="283"/>
        <v/>
      </c>
      <c r="ER163" s="205">
        <f>IF($J163="",#N/A,SUM(EQ$4:EQ163))</f>
        <v>1.5025175479314647</v>
      </c>
      <c r="ES163" s="205">
        <f>IF($J163="",#N/A,SUM(EQ$4:EQ163,EO$4:EO163,EM$4:EM163))</f>
        <v>2.7672341525373123</v>
      </c>
      <c r="ET163" s="200" t="str">
        <f t="shared" si="284"/>
        <v/>
      </c>
      <c r="EU163" s="203">
        <f>IF($J163="",#N/A,SUM(ET$4:ET163))</f>
        <v>0</v>
      </c>
      <c r="EV163" s="204" t="str">
        <f t="shared" si="285"/>
        <v/>
      </c>
      <c r="EW163" s="204">
        <f>IF($J163="",#N/A,SUM(EV$4:EV163))</f>
        <v>0.90459527759708336</v>
      </c>
      <c r="EX163" s="205" t="str">
        <f t="shared" si="286"/>
        <v/>
      </c>
      <c r="EY163" s="205">
        <f>IF($J163="",#N/A,SUM(EX$4:EX163))</f>
        <v>0.22957553748493481</v>
      </c>
      <c r="EZ163" s="205">
        <f>IF($J163="",#N/A,SUM(EX$4:EX163,EV$4:EV163,ET$4:ET163))</f>
        <v>1.134170815082018</v>
      </c>
      <c r="FA163" s="200" t="str">
        <f t="shared" si="287"/>
        <v/>
      </c>
      <c r="FB163" s="203">
        <f>IF($J163="",#N/A,SUM(FA$4:FA163))</f>
        <v>0</v>
      </c>
      <c r="FC163" s="204" t="str">
        <f t="shared" si="288"/>
        <v/>
      </c>
      <c r="FD163" s="204">
        <f>IF($J163="",#N/A,SUM(FC$4:FC163))</f>
        <v>1.6839191319663924</v>
      </c>
      <c r="FE163" s="205" t="str">
        <f t="shared" si="289"/>
        <v/>
      </c>
      <c r="FF163" s="205">
        <f>IF($J163="",#N/A,SUM(FE$4:FE163))</f>
        <v>-0.28811149078748233</v>
      </c>
      <c r="FG163" s="205">
        <f>IF($J163="",#N/A,SUM(FE$4:FE163,FC$4:FC163,FA$4:FA163))</f>
        <v>1.3958076411789102</v>
      </c>
      <c r="FH163" s="200" t="str">
        <f t="shared" si="290"/>
        <v/>
      </c>
      <c r="FI163" s="203">
        <f>IF($J163="",#N/A,SUM(FH$4:FH163))</f>
        <v>0</v>
      </c>
      <c r="FJ163" s="204" t="str">
        <f t="shared" si="291"/>
        <v/>
      </c>
      <c r="FK163" s="204">
        <f>IF($J163="",#N/A,SUM(FJ$4:FJ163))</f>
        <v>0</v>
      </c>
      <c r="FL163" s="205" t="str">
        <f t="shared" si="292"/>
        <v/>
      </c>
      <c r="FM163" s="205">
        <f>IF($J163="",#N/A,SUM(FL$4:FL163))</f>
        <v>0</v>
      </c>
      <c r="FN163" s="205">
        <f>IF($J163="",#N/A,SUM(FL$4:FL163,FJ$4:FJ163,FH$4:FH163))</f>
        <v>0</v>
      </c>
      <c r="FO163" s="200" t="str">
        <f t="shared" si="293"/>
        <v/>
      </c>
      <c r="FP163" s="203">
        <f>IF($J163="",#N/A,SUM(FO$4:FO163))</f>
        <v>0</v>
      </c>
      <c r="FQ163" s="204" t="str">
        <f t="shared" si="294"/>
        <v/>
      </c>
      <c r="FR163" s="204">
        <f>IF($J163="",#N/A,SUM(FQ$4:FQ163))</f>
        <v>0</v>
      </c>
      <c r="FS163" s="205" t="str">
        <f t="shared" si="295"/>
        <v/>
      </c>
      <c r="FT163" s="205">
        <f>IF($J163="",#N/A,SUM(FS$4:FS163))</f>
        <v>0</v>
      </c>
      <c r="FU163" s="205">
        <f>IF($J163="",#N/A,SUM(FS$4:FS163,FQ$4:FQ163,FO$4:FO163))</f>
        <v>0</v>
      </c>
      <c r="FV163" s="200" t="str">
        <f t="shared" si="296"/>
        <v/>
      </c>
      <c r="FW163" s="203">
        <f>IF($J163="",#N/A,SUM(FV$4:FV163))</f>
        <v>6.6834991831277585E-2</v>
      </c>
      <c r="FX163" s="204" t="str">
        <f t="shared" si="297"/>
        <v/>
      </c>
      <c r="FY163" s="204">
        <f>IF($J163="",#N/A,SUM(FX$4:FX163))</f>
        <v>0</v>
      </c>
      <c r="FZ163" s="205" t="str">
        <f t="shared" si="298"/>
        <v/>
      </c>
      <c r="GA163" s="205">
        <f>IF($J163="",#N/A,SUM(FZ$4:FZ163))</f>
        <v>-0.96570439723286938</v>
      </c>
      <c r="GB163" s="205">
        <f>IF($J163="",#N/A,SUM(FZ$4:FZ163,FX$4:FX163,FV$4:FV163))</f>
        <v>-0.89886940540159177</v>
      </c>
      <c r="GC163" s="200" t="str">
        <f t="shared" si="299"/>
        <v/>
      </c>
      <c r="GD163" s="203">
        <f>IF($J163="",#N/A,SUM(GC$4:GC163))</f>
        <v>0</v>
      </c>
      <c r="GE163" s="204" t="str">
        <f t="shared" si="300"/>
        <v/>
      </c>
      <c r="GF163" s="204">
        <f>IF($J163="",#N/A,SUM(GE$4:GE163))</f>
        <v>0</v>
      </c>
      <c r="GG163" s="205" t="str">
        <f t="shared" si="301"/>
        <v/>
      </c>
      <c r="GH163" s="205">
        <f>IF($J163="",#N/A,SUM(GG$4:GG163))</f>
        <v>-2.9368362277223206</v>
      </c>
      <c r="GI163" s="205">
        <f>IF($J163="",#N/A,SUM(GG$4:GG163,GE$4:GE163,GC$4:GC163))</f>
        <v>-2.9368362277223206</v>
      </c>
      <c r="GJ163" s="200" t="str">
        <f t="shared" si="302"/>
        <v/>
      </c>
      <c r="GK163" s="203">
        <f>IF($J163="",#N/A,SUM(GJ$4:GJ163))</f>
        <v>0</v>
      </c>
      <c r="GL163" s="204" t="str">
        <f t="shared" si="303"/>
        <v/>
      </c>
      <c r="GM163" s="204">
        <f>IF($J163="",#N/A,SUM(GL$4:GL163))</f>
        <v>-0.80168930905701452</v>
      </c>
      <c r="GN163" s="205" t="str">
        <f t="shared" si="304"/>
        <v/>
      </c>
      <c r="GO163" s="205">
        <f>IF($J163="",#N/A,SUM(GN$4:GN163))</f>
        <v>0</v>
      </c>
      <c r="GP163" s="205">
        <f>IF($J163="",#N/A,SUM(GN$4:GN163,GL$4:GL163,GJ$4:GJ163))</f>
        <v>-0.80168930905701452</v>
      </c>
      <c r="GS163" s="54" t="str">
        <f t="shared" si="323"/>
        <v/>
      </c>
      <c r="GT163" s="54" t="e">
        <f>IF(GS163="",NA(),SUM($GS$4:GS163))</f>
        <v>#N/A</v>
      </c>
      <c r="GU163" s="54" t="str">
        <f t="shared" si="305"/>
        <v/>
      </c>
      <c r="GV163" s="54" t="e">
        <f>IF(GU163="",NA(),SUM($GU$4:GU163))</f>
        <v>#N/A</v>
      </c>
      <c r="GW163" s="54" t="str">
        <f t="shared" si="306"/>
        <v/>
      </c>
      <c r="GX163" s="54" t="e">
        <f>IF(GW163="",NA(),SUM($GW$4:GW163))</f>
        <v>#N/A</v>
      </c>
      <c r="GY163" s="54" t="str">
        <f t="shared" si="307"/>
        <v/>
      </c>
      <c r="GZ163" s="54" t="e">
        <f>IF(GY163="",NA(),SUM($GY$4:GY163))</f>
        <v>#N/A</v>
      </c>
      <c r="HA163" s="54">
        <f t="shared" si="308"/>
        <v>-2.254057798891528</v>
      </c>
      <c r="HB163" s="54">
        <f>IF(HA163="",NA(),SUM($HA$4:HA163))</f>
        <v>2.3269848462876923</v>
      </c>
      <c r="HC163" s="54" t="str">
        <f t="shared" si="309"/>
        <v/>
      </c>
      <c r="HD163" s="54" t="e">
        <f>IF(HC163="",NA(),SUM($HC$4:HC163))</f>
        <v>#N/A</v>
      </c>
      <c r="HE163" s="54">
        <f t="shared" si="310"/>
        <v>-2.254057798891528</v>
      </c>
      <c r="HF163" s="54">
        <f>IF(HE163="",NA(),SUM($HE$4:HE163))</f>
        <v>-0.31994650593381468</v>
      </c>
      <c r="HG163" s="54" t="str">
        <f t="shared" si="311"/>
        <v/>
      </c>
      <c r="HH163" s="54" t="e">
        <f>IF(HG163="",NA(),SUM($HG$4:HG163))</f>
        <v>#N/A</v>
      </c>
      <c r="HI163" s="172" t="str">
        <f t="shared" si="324"/>
        <v/>
      </c>
      <c r="HJ163" s="172">
        <f>IF($J163="",#N/A,SUM(HI$4:$HI163))</f>
        <v>-7.1741710664815006</v>
      </c>
      <c r="HK163" s="54" t="str">
        <f t="shared" si="312"/>
        <v/>
      </c>
      <c r="HL163" s="54">
        <f>IF($J163="",#N/A,SUM($HK$4:HK163))</f>
        <v>-5.702620630287301</v>
      </c>
      <c r="HM163" s="54" t="str">
        <f t="shared" si="313"/>
        <v/>
      </c>
      <c r="HN163" s="54">
        <f>IF($J163="",#N/A,SUM($HM$4:HM163))</f>
        <v>0.71812545963587882</v>
      </c>
      <c r="HO163" s="54" t="str">
        <f t="shared" si="314"/>
        <v/>
      </c>
      <c r="HP163" s="54">
        <f>IF($J163="",#N/A,SUM($HO$4:HO163))</f>
        <v>-0.14859521910082485</v>
      </c>
      <c r="HQ163" s="54" t="str">
        <f t="shared" si="315"/>
        <v/>
      </c>
      <c r="HR163" s="54">
        <f>IF($J163="",#N/A,SUM($HQ$4:HQ163))</f>
        <v>-8.8750305831192495</v>
      </c>
      <c r="HS163" s="54">
        <f t="shared" si="316"/>
        <v>0.71506334125099036</v>
      </c>
      <c r="HT163" s="54">
        <f>IF($J163="",#N/A,SUM($HS$4:HS163))</f>
        <v>12.032733364798178</v>
      </c>
      <c r="HU163" s="65">
        <f t="shared" si="317"/>
        <v>-1.5389944576405377</v>
      </c>
      <c r="HV163" s="65">
        <f>IF($J163="",#N/A,SUM(HU$4:$HU163))</f>
        <v>-9.0169783838866522</v>
      </c>
    </row>
    <row r="164" spans="1:230" x14ac:dyDescent="0.25">
      <c r="A164" s="51" t="s">
        <v>1352</v>
      </c>
      <c r="B164" s="52" t="s">
        <v>4541</v>
      </c>
      <c r="C164" s="229">
        <f t="shared" si="218"/>
        <v>3</v>
      </c>
      <c r="D164" s="219" t="str">
        <f>_xlfn.XLOOKUP(A164,[1]SP500!$A$2:$A$502,[1]SP500!$D$2:$D$502,"N")</f>
        <v>Y</v>
      </c>
      <c r="E164" s="51" t="str">
        <f>IFERROR(_xlfn.XLOOKUP(A164,[1]SP500!$A$2:$A$655,[1]SP500!$B$2:$B$655),"")</f>
        <v>XLP</v>
      </c>
      <c r="F164" s="290">
        <v>45776</v>
      </c>
      <c r="G164" s="51" t="str">
        <f t="shared" si="219"/>
        <v>AMC</v>
      </c>
      <c r="H164" s="51" t="str">
        <f t="shared" si="220"/>
        <v>s</v>
      </c>
      <c r="I164" s="344">
        <v>65.650000000000006</v>
      </c>
      <c r="J164" s="124">
        <v>68.069999999999993</v>
      </c>
      <c r="K164" s="55">
        <f t="shared" si="221"/>
        <v>3.6862147753236665E-2</v>
      </c>
      <c r="L164" s="67">
        <f t="shared" si="222"/>
        <v>36.299999999999841</v>
      </c>
      <c r="M164" s="57">
        <f t="shared" si="223"/>
        <v>0</v>
      </c>
      <c r="N164" s="102">
        <f t="shared" si="224"/>
        <v>36.299999999999841</v>
      </c>
      <c r="O164" s="57">
        <f>IF(N164="",#N/A,SUM($N$4:N164))</f>
        <v>-167.46363589938719</v>
      </c>
      <c r="P164" s="65">
        <f t="shared" si="318"/>
        <v>0.6143691292206116</v>
      </c>
      <c r="Q164" s="172">
        <f>IF($N164="",#N/A,SUM($P$4:P164))</f>
        <v>0.7469494198887815</v>
      </c>
      <c r="R164" s="279">
        <f t="shared" si="225"/>
        <v>4.4218333425782612</v>
      </c>
      <c r="S164" s="51" t="str">
        <f t="shared" si="226"/>
        <v>SW</v>
      </c>
      <c r="T164" s="51" t="s">
        <v>2828</v>
      </c>
      <c r="U164" s="56">
        <f t="shared" si="227"/>
        <v>65.650000000000006</v>
      </c>
      <c r="V164" s="56" t="s">
        <v>4460</v>
      </c>
      <c r="W164" s="142">
        <v>15</v>
      </c>
      <c r="X164" s="145">
        <f t="shared" si="228"/>
        <v>984.75000000000011</v>
      </c>
      <c r="Y164" s="140">
        <f t="shared" si="229"/>
        <v>15</v>
      </c>
      <c r="Z164" s="123">
        <v>68.069999999999993</v>
      </c>
      <c r="AA164" s="102">
        <f t="shared" si="230"/>
        <v>36.299999999999841</v>
      </c>
      <c r="AB164" s="102">
        <f t="shared" si="231"/>
        <v>37.199999999999818</v>
      </c>
      <c r="AC164" s="124">
        <v>68.13</v>
      </c>
      <c r="AD164" s="155">
        <f t="shared" si="232"/>
        <v>37.199999999999818</v>
      </c>
      <c r="AE164" s="545">
        <f t="shared" si="233"/>
        <v>0.62960142168062638</v>
      </c>
      <c r="AF164" s="57">
        <f>IF($AC164="",#N/A,SUM(AD$4:AD164))</f>
        <v>-625.78041200241626</v>
      </c>
      <c r="AG164" s="102">
        <f t="shared" si="234"/>
        <v>0.89999999999997726</v>
      </c>
      <c r="AH164" s="56" t="s">
        <v>2507</v>
      </c>
      <c r="AI164" s="65">
        <f t="shared" si="235"/>
        <v>0.6143691292206116</v>
      </c>
      <c r="AJ164" s="54">
        <f>IF(AI164="",#N/A,SUM($AI$4:AI164))</f>
        <v>-3.6748839226894794</v>
      </c>
      <c r="AK164" s="57">
        <f t="shared" si="236"/>
        <v>36.299999999999841</v>
      </c>
      <c r="AL164" s="349">
        <f>IF(AI164="",#N/A,IF(AH164="Skip",SUM($AK$4:AK164),SUM($AK$4:AK164)))</f>
        <v>-462.86740850718661</v>
      </c>
      <c r="AM164" s="65">
        <f t="shared" si="319"/>
        <v>0.62960142168062638</v>
      </c>
      <c r="AN164" s="209"/>
      <c r="AO164" s="65">
        <f t="shared" si="237"/>
        <v>0.62960142168062638</v>
      </c>
      <c r="AP164" s="65">
        <f>IF($AC164="",#N/A,SUM(AO$4:AO164))</f>
        <v>3.0287730638175123</v>
      </c>
      <c r="AQ164" s="65" t="str">
        <f t="shared" si="238"/>
        <v/>
      </c>
      <c r="AR164" s="65">
        <f>IF($AC164="",#N/A,SUM(AQ$4:AQ164))</f>
        <v>-2.6179859771653153</v>
      </c>
      <c r="AS164" s="65" t="str">
        <f t="shared" si="239"/>
        <v/>
      </c>
      <c r="AT164" s="65">
        <f>IF($AC164="",#N/A,SUM(AS$4:AS164))</f>
        <v>-8.7981640488582276</v>
      </c>
      <c r="AU164" s="57">
        <f t="shared" si="320"/>
        <v>37.199999999999818</v>
      </c>
      <c r="AV164" s="57">
        <f>IF($AC164="",#N/A,SUM(AU$4:AU164))</f>
        <v>85.331206451250551</v>
      </c>
      <c r="AW164" s="57" t="str">
        <f t="shared" si="321"/>
        <v/>
      </c>
      <c r="AX164" s="57">
        <f>IF($AC164="",#N/A,SUM(AW$4:AW164))</f>
        <v>-163.1400000000001</v>
      </c>
      <c r="AY164" s="57" t="str">
        <f t="shared" si="322"/>
        <v/>
      </c>
      <c r="AZ164" s="57">
        <f>IF($AC164="",#N/A,SUM(AY$4:AY164))</f>
        <v>-547.97161845366668</v>
      </c>
      <c r="BA164" s="57">
        <f>IF(AD164="",#N/A,SUM($AD$4:AD164))</f>
        <v>-625.78041200241626</v>
      </c>
      <c r="BC164" s="51" t="str">
        <f t="shared" si="240"/>
        <v/>
      </c>
      <c r="BD164" s="51" t="str">
        <f t="shared" si="241"/>
        <v/>
      </c>
      <c r="BE164" s="51">
        <f t="shared" si="242"/>
        <v>1</v>
      </c>
      <c r="BF164" s="51" t="str">
        <f t="shared" si="243"/>
        <v>Long</v>
      </c>
      <c r="BG164" s="51" t="str">
        <f t="shared" si="244"/>
        <v/>
      </c>
      <c r="BH164" s="51" t="str">
        <f t="shared" si="245"/>
        <v/>
      </c>
      <c r="BI164" s="51" t="str">
        <f t="shared" si="246"/>
        <v/>
      </c>
      <c r="BK164" s="65">
        <f t="shared" si="217"/>
        <v>0.1308777758684814</v>
      </c>
      <c r="BL164" s="65">
        <f t="shared" si="325"/>
        <v>8.298985439836383E-2</v>
      </c>
      <c r="BM164" s="65">
        <f>IFERROR(Q164/COUNTA($J$4:J164),#N/A)</f>
        <v>4.6394373906135499E-3</v>
      </c>
      <c r="BO164" s="489">
        <f>IF(J164="",#N/A,IF(S164="SW",(COUNTIFS(K$4:$K164,"&gt;0",S$4:$S164,"SW")/COUNTIF(S$4:$S164,"SW")),#N/A))</f>
        <v>0.48275862068965519</v>
      </c>
      <c r="BP164" s="489" t="e">
        <f>IF($J164="",#N/A,IF($S164="DWN",(COUNTIFS($K$4:$K164,"&lt;0",$S$4:$S164,"DWN")/COUNTIF($S$4:$S164,"DWN")),#N/A))</f>
        <v>#N/A</v>
      </c>
      <c r="BQ164" s="489" t="e">
        <f>IF($J164="",#N/A,IF($S164="UP",(COUNTIFS($K$4:$K164,"&gt;0",$S$4:$S164,"UP")/COUNTIF($S$4:$S164,"UP")),#N/A))</f>
        <v>#N/A</v>
      </c>
      <c r="BR164" s="489">
        <f>IF(J164="",#N/A,COUNTIF($K$4:K164,"&gt;0")/COUNT($J$4:J164))</f>
        <v>0.45962732919254656</v>
      </c>
      <c r="BS164" s="65">
        <f t="shared" si="247"/>
        <v>0.6143691292206116</v>
      </c>
      <c r="BT164" s="65" t="str">
        <f t="shared" si="248"/>
        <v/>
      </c>
      <c r="BU164" s="65" t="str">
        <f t="shared" si="249"/>
        <v/>
      </c>
      <c r="BV164" s="65" t="str">
        <f t="shared" si="250"/>
        <v/>
      </c>
      <c r="BW164" s="128" t="str">
        <f t="shared" si="251"/>
        <v/>
      </c>
      <c r="BX164" s="128">
        <f>IF($J164="",#N/A,SUM($BW$4:BW164))</f>
        <v>-205.1650000000003</v>
      </c>
      <c r="BY164" s="131" t="str">
        <f t="shared" si="252"/>
        <v/>
      </c>
      <c r="BZ164" s="131">
        <f>IF($J164="",#N/A,SUM($BY$4:BY164))</f>
        <v>203.35434038933386</v>
      </c>
      <c r="CA164" s="133">
        <f t="shared" si="253"/>
        <v>36.299999999999841</v>
      </c>
      <c r="CB164" s="133">
        <f>IF($J164="",#N/A,SUM($CA$4:CA164))</f>
        <v>-165.65297628872074</v>
      </c>
      <c r="CC164" s="194" t="str">
        <f t="shared" si="254"/>
        <v/>
      </c>
      <c r="CD164" s="194">
        <f>IF($J164="",#N/A,SUM($CC$4:CC164))</f>
        <v>-3.1875162177003693</v>
      </c>
      <c r="CE164" s="195" t="str">
        <f t="shared" si="255"/>
        <v/>
      </c>
      <c r="CF164" s="195">
        <f>IF($J164="",#N/A,SUM($CE$4:CE164))</f>
        <v>4.0786276479105803</v>
      </c>
      <c r="CG164" s="196">
        <f t="shared" si="256"/>
        <v>0.6143691292206116</v>
      </c>
      <c r="CH164" s="193">
        <f>IF($J164="",#N/A,SUM($CG$4:CG164))</f>
        <v>-0.14416201032142462</v>
      </c>
      <c r="CI164" s="200" t="str">
        <f t="shared" si="257"/>
        <v/>
      </c>
      <c r="CJ164" s="203">
        <f>IF($J164="",#N/A,SUM(CI$4:CI164))</f>
        <v>0</v>
      </c>
      <c r="CK164" s="204" t="str">
        <f t="shared" si="258"/>
        <v/>
      </c>
      <c r="CL164" s="204">
        <f>IF($J164="",#N/A,SUM(CK$4:CK164))</f>
        <v>2.9610246620255536</v>
      </c>
      <c r="CM164" s="205" t="str">
        <f t="shared" si="259"/>
        <v/>
      </c>
      <c r="CN164" s="205">
        <f>IF($J164="",#N/A,SUM(CM$4:CM164))</f>
        <v>3.3861132786295873</v>
      </c>
      <c r="CO164" s="205">
        <f>IF($J164="",#N/A,SUM(CM$4:CM164,CK$4:CK164,CI$4:CI164))</f>
        <v>6.3471379406551414</v>
      </c>
      <c r="CP164" s="200" t="str">
        <f t="shared" si="260"/>
        <v/>
      </c>
      <c r="CQ164" s="203">
        <f>IF($J164="",#N/A,SUM(CP$4:CP164))</f>
        <v>0</v>
      </c>
      <c r="CR164" s="204" t="str">
        <f t="shared" si="261"/>
        <v/>
      </c>
      <c r="CS164" s="204">
        <f>IF($J164="",#N/A,SUM(CR$4:CR164))</f>
        <v>2.420242024202421</v>
      </c>
      <c r="CT164" s="205" t="str">
        <f t="shared" si="262"/>
        <v/>
      </c>
      <c r="CU164" s="205">
        <f>IF($J164="",#N/A,SUM(CT$4:CT164))</f>
        <v>-1.6961777431035243</v>
      </c>
      <c r="CV164" s="205">
        <f>IF($J164="",#N/A,SUM(CT$4:CT164,CR$4:CR164,CP$4:CP164))</f>
        <v>0.72406428109889664</v>
      </c>
      <c r="CW164" s="200" t="str">
        <f t="shared" si="263"/>
        <v/>
      </c>
      <c r="CX164" s="203">
        <f>IF($J164="",#N/A,SUM(CW$4:CW164))</f>
        <v>0</v>
      </c>
      <c r="CY164" s="204" t="str">
        <f t="shared" si="264"/>
        <v/>
      </c>
      <c r="CZ164" s="204">
        <f>IF($J164="",#N/A,SUM(CY$4:CY164))</f>
        <v>-1.9289529100071134</v>
      </c>
      <c r="DA164" s="205" t="str">
        <f t="shared" si="265"/>
        <v/>
      </c>
      <c r="DB164" s="205">
        <f>IF($J164="",#N/A,SUM(DA$4:DA164))</f>
        <v>-1.2278690516702204</v>
      </c>
      <c r="DC164" s="205">
        <f>IF($J164="",#N/A,SUM(DA$4:DA164,CY$4:CY164,CW$4:CW164))</f>
        <v>-3.1568219616773341</v>
      </c>
      <c r="DD164" s="200" t="str">
        <f t="shared" si="266"/>
        <v/>
      </c>
      <c r="DE164" s="203">
        <f>IF($J164="",#N/A,SUM(DD$4:DD164))</f>
        <v>0.14968716170674062</v>
      </c>
      <c r="DF164" s="204" t="str">
        <f t="shared" si="267"/>
        <v/>
      </c>
      <c r="DG164" s="204">
        <f>IF($J164="",#N/A,SUM(DF$4:DF164))</f>
        <v>1.2121188689979676</v>
      </c>
      <c r="DH164" s="205">
        <f t="shared" si="268"/>
        <v>0.6143691292206116</v>
      </c>
      <c r="DI164" s="205">
        <f>IF($J164="",#N/A,SUM(DH$4:DH164))</f>
        <v>-0.8404015973735236</v>
      </c>
      <c r="DJ164" s="205">
        <f>IF($J164="",#N/A,SUM(DH$4:DH164,DF$4:DF164,DD$4:DD164))</f>
        <v>0.52140443333118447</v>
      </c>
      <c r="DK164" s="200" t="str">
        <f t="shared" si="269"/>
        <v/>
      </c>
      <c r="DL164" s="203">
        <f>IF($J164="",#N/A,SUM(DK$4:DK164))</f>
        <v>-1.2097286851272664</v>
      </c>
      <c r="DM164" s="204" t="str">
        <f t="shared" si="270"/>
        <v/>
      </c>
      <c r="DN164" s="204">
        <f>IF($J164="",#N/A,SUM(DM$4:DM164))</f>
        <v>1.1910608267574658</v>
      </c>
      <c r="DO164" s="205" t="str">
        <f t="shared" si="271"/>
        <v/>
      </c>
      <c r="DP164" s="205">
        <f>IF($J164="",#N/A,SUM(DO$4:DO164))</f>
        <v>1.3495058802125319</v>
      </c>
      <c r="DQ164" s="205">
        <f>IF($J164="",#N/A,SUM(DO$4:DO164,DM$4:DM164,DK$4:DK164))</f>
        <v>1.3308380218427318</v>
      </c>
      <c r="DR164" s="200" t="str">
        <f t="shared" si="272"/>
        <v/>
      </c>
      <c r="DS164" s="203">
        <f>IF($J164="",#N/A,SUM(DR$4:DR164))</f>
        <v>-0.55950946427675097</v>
      </c>
      <c r="DT164" s="204" t="str">
        <f t="shared" si="273"/>
        <v/>
      </c>
      <c r="DU164" s="204">
        <f>IF($J164="",#N/A,SUM(DT$4:DT164))</f>
        <v>-3.5029740333397914</v>
      </c>
      <c r="DV164" s="205" t="str">
        <f t="shared" si="274"/>
        <v/>
      </c>
      <c r="DW164" s="205">
        <f>IF($J164="",#N/A,SUM(DV$4:DV164))</f>
        <v>-1.8527424265931112</v>
      </c>
      <c r="DX164" s="205">
        <f>IF($J164="",#N/A,SUM(DV$4:DV164,DT$4:DT164,DR$4:DR164))</f>
        <v>-5.9152259242096532</v>
      </c>
      <c r="DY164" s="200" t="str">
        <f t="shared" si="275"/>
        <v/>
      </c>
      <c r="DZ164" s="203">
        <f>IF($J164="",#N/A,SUM(DY$4:DY164))</f>
        <v>-1.63480022183437</v>
      </c>
      <c r="EA164" s="204" t="str">
        <f t="shared" si="276"/>
        <v/>
      </c>
      <c r="EB164" s="204">
        <f>IF($J164="",#N/A,SUM(EA$4:EA164))</f>
        <v>-0.2070110273231956</v>
      </c>
      <c r="EC164" s="205" t="str">
        <f t="shared" si="277"/>
        <v/>
      </c>
      <c r="ED164" s="205">
        <f>IF($J164="",#N/A,SUM(EC$4:EC164))</f>
        <v>1.4704559513837272</v>
      </c>
      <c r="EE164" s="205">
        <f>IF($J164="",#N/A,SUM(EC$4:EC164,EA$4:EA164,DY$4:DY164))</f>
        <v>-0.37135529777383841</v>
      </c>
      <c r="EF164" s="200" t="str">
        <f t="shared" si="278"/>
        <v/>
      </c>
      <c r="EG164" s="203">
        <f>IF($J164="",#N/A,SUM(EF$4:EF164))</f>
        <v>0</v>
      </c>
      <c r="EH164" s="204" t="str">
        <f t="shared" si="279"/>
        <v/>
      </c>
      <c r="EI164" s="204">
        <f>IF($J164="",#N/A,SUM(EH$4:EH164))</f>
        <v>-1.1184224685150388</v>
      </c>
      <c r="EJ164" s="205" t="str">
        <f t="shared" si="280"/>
        <v/>
      </c>
      <c r="EK164" s="205">
        <f>IF($J164="",#N/A,SUM(EJ$4:EJ164))</f>
        <v>1.7255127285193785</v>
      </c>
      <c r="EL164" s="205">
        <f>IF($J164="",#N/A,SUM(EJ$4:EJ164,EH$4:EH164,EF$4:EF164))</f>
        <v>0.60709026000434052</v>
      </c>
      <c r="EM164" s="200" t="str">
        <f t="shared" si="281"/>
        <v/>
      </c>
      <c r="EN164" s="203">
        <f>IF($J164="",#N/A,SUM(EM$4:EM164))</f>
        <v>0</v>
      </c>
      <c r="EO164" s="204" t="str">
        <f t="shared" si="282"/>
        <v/>
      </c>
      <c r="EP164" s="204">
        <f>IF($J164="",#N/A,SUM(EO$4:EO164))</f>
        <v>1.264716604605848</v>
      </c>
      <c r="EQ164" s="205" t="str">
        <f t="shared" si="283"/>
        <v/>
      </c>
      <c r="ER164" s="205">
        <f>IF($J164="",#N/A,SUM(EQ$4:EQ164))</f>
        <v>1.5025175479314647</v>
      </c>
      <c r="ES164" s="205">
        <f>IF($J164="",#N/A,SUM(EQ$4:EQ164,EO$4:EO164,EM$4:EM164))</f>
        <v>2.7672341525373123</v>
      </c>
      <c r="ET164" s="200" t="str">
        <f t="shared" si="284"/>
        <v/>
      </c>
      <c r="EU164" s="203">
        <f>IF($J164="",#N/A,SUM(ET$4:ET164))</f>
        <v>0</v>
      </c>
      <c r="EV164" s="204" t="str">
        <f t="shared" si="285"/>
        <v/>
      </c>
      <c r="EW164" s="204">
        <f>IF($J164="",#N/A,SUM(EV$4:EV164))</f>
        <v>0.90459527759708336</v>
      </c>
      <c r="EX164" s="205" t="str">
        <f t="shared" si="286"/>
        <v/>
      </c>
      <c r="EY164" s="205">
        <f>IF($J164="",#N/A,SUM(EX$4:EX164))</f>
        <v>0.22957553748493481</v>
      </c>
      <c r="EZ164" s="205">
        <f>IF($J164="",#N/A,SUM(EX$4:EX164,EV$4:EV164,ET$4:ET164))</f>
        <v>1.134170815082018</v>
      </c>
      <c r="FA164" s="200" t="str">
        <f t="shared" si="287"/>
        <v/>
      </c>
      <c r="FB164" s="203">
        <f>IF($J164="",#N/A,SUM(FA$4:FA164))</f>
        <v>0</v>
      </c>
      <c r="FC164" s="204" t="str">
        <f t="shared" si="288"/>
        <v/>
      </c>
      <c r="FD164" s="204">
        <f>IF($J164="",#N/A,SUM(FC$4:FC164))</f>
        <v>1.6839191319663924</v>
      </c>
      <c r="FE164" s="205" t="str">
        <f t="shared" si="289"/>
        <v/>
      </c>
      <c r="FF164" s="205">
        <f>IF($J164="",#N/A,SUM(FE$4:FE164))</f>
        <v>-0.28811149078748233</v>
      </c>
      <c r="FG164" s="205">
        <f>IF($J164="",#N/A,SUM(FE$4:FE164,FC$4:FC164,FA$4:FA164))</f>
        <v>1.3958076411789102</v>
      </c>
      <c r="FH164" s="200" t="str">
        <f t="shared" si="290"/>
        <v/>
      </c>
      <c r="FI164" s="203">
        <f>IF($J164="",#N/A,SUM(FH$4:FH164))</f>
        <v>0</v>
      </c>
      <c r="FJ164" s="204" t="str">
        <f t="shared" si="291"/>
        <v/>
      </c>
      <c r="FK164" s="204">
        <f>IF($J164="",#N/A,SUM(FJ$4:FJ164))</f>
        <v>0</v>
      </c>
      <c r="FL164" s="205" t="str">
        <f t="shared" si="292"/>
        <v/>
      </c>
      <c r="FM164" s="205">
        <f>IF($J164="",#N/A,SUM(FL$4:FL164))</f>
        <v>0</v>
      </c>
      <c r="FN164" s="205">
        <f>IF($J164="",#N/A,SUM(FL$4:FL164,FJ$4:FJ164,FH$4:FH164))</f>
        <v>0</v>
      </c>
      <c r="FO164" s="200" t="str">
        <f t="shared" si="293"/>
        <v/>
      </c>
      <c r="FP164" s="203">
        <f>IF($J164="",#N/A,SUM(FO$4:FO164))</f>
        <v>0</v>
      </c>
      <c r="FQ164" s="204" t="str">
        <f t="shared" si="294"/>
        <v/>
      </c>
      <c r="FR164" s="204">
        <f>IF($J164="",#N/A,SUM(FQ$4:FQ164))</f>
        <v>0</v>
      </c>
      <c r="FS164" s="205" t="str">
        <f t="shared" si="295"/>
        <v/>
      </c>
      <c r="FT164" s="205">
        <f>IF($J164="",#N/A,SUM(FS$4:FS164))</f>
        <v>0</v>
      </c>
      <c r="FU164" s="205">
        <f>IF($J164="",#N/A,SUM(FS$4:FS164,FQ$4:FQ164,FO$4:FO164))</f>
        <v>0</v>
      </c>
      <c r="FV164" s="200" t="str">
        <f t="shared" si="296"/>
        <v/>
      </c>
      <c r="FW164" s="203">
        <f>IF($J164="",#N/A,SUM(FV$4:FV164))</f>
        <v>6.6834991831277585E-2</v>
      </c>
      <c r="FX164" s="204" t="str">
        <f t="shared" si="297"/>
        <v/>
      </c>
      <c r="FY164" s="204">
        <f>IF($J164="",#N/A,SUM(FX$4:FX164))</f>
        <v>0</v>
      </c>
      <c r="FZ164" s="205" t="str">
        <f t="shared" si="298"/>
        <v/>
      </c>
      <c r="GA164" s="205">
        <f>IF($J164="",#N/A,SUM(FZ$4:FZ164))</f>
        <v>-0.96570439723286938</v>
      </c>
      <c r="GB164" s="205">
        <f>IF($J164="",#N/A,SUM(FZ$4:FZ164,FX$4:FX164,FV$4:FV164))</f>
        <v>-0.89886940540159177</v>
      </c>
      <c r="GC164" s="200" t="str">
        <f t="shared" si="299"/>
        <v/>
      </c>
      <c r="GD164" s="203">
        <f>IF($J164="",#N/A,SUM(GC$4:GC164))</f>
        <v>0</v>
      </c>
      <c r="GE164" s="204" t="str">
        <f t="shared" si="300"/>
        <v/>
      </c>
      <c r="GF164" s="204">
        <f>IF($J164="",#N/A,SUM(GE$4:GE164))</f>
        <v>0</v>
      </c>
      <c r="GG164" s="205" t="str">
        <f t="shared" si="301"/>
        <v/>
      </c>
      <c r="GH164" s="205">
        <f>IF($J164="",#N/A,SUM(GG$4:GG164))</f>
        <v>-2.9368362277223206</v>
      </c>
      <c r="GI164" s="205">
        <f>IF($J164="",#N/A,SUM(GG$4:GG164,GE$4:GE164,GC$4:GC164))</f>
        <v>-2.9368362277223206</v>
      </c>
      <c r="GJ164" s="200" t="str">
        <f t="shared" si="302"/>
        <v/>
      </c>
      <c r="GK164" s="203">
        <f>IF($J164="",#N/A,SUM(GJ$4:GJ164))</f>
        <v>0</v>
      </c>
      <c r="GL164" s="204" t="str">
        <f t="shared" si="303"/>
        <v/>
      </c>
      <c r="GM164" s="204">
        <f>IF($J164="",#N/A,SUM(GL$4:GL164))</f>
        <v>-0.80168930905701452</v>
      </c>
      <c r="GN164" s="205" t="str">
        <f t="shared" si="304"/>
        <v/>
      </c>
      <c r="GO164" s="205">
        <f>IF($J164="",#N/A,SUM(GN$4:GN164))</f>
        <v>0</v>
      </c>
      <c r="GP164" s="205">
        <f>IF($J164="",#N/A,SUM(GN$4:GN164,GL$4:GL164,GJ$4:GJ164))</f>
        <v>-0.80168930905701452</v>
      </c>
      <c r="GS164" s="54">
        <f t="shared" si="323"/>
        <v>0.6143691292206116</v>
      </c>
      <c r="GT164" s="54">
        <f>IF(GS164="",NA(),SUM($GS$4:GS164))</f>
        <v>-1.5800354263989091</v>
      </c>
      <c r="GU164" s="54" t="str">
        <f t="shared" si="305"/>
        <v/>
      </c>
      <c r="GV164" s="54" t="e">
        <f>IF(GU164="",NA(),SUM($GU$4:GU164))</f>
        <v>#N/A</v>
      </c>
      <c r="GW164" s="54">
        <f t="shared" si="306"/>
        <v>0.6143691292206116</v>
      </c>
      <c r="GX164" s="54">
        <f>IF(GW164="",NA(),SUM($GW$4:GW164))</f>
        <v>0.17578449561238951</v>
      </c>
      <c r="GY164" s="54" t="str">
        <f t="shared" si="307"/>
        <v/>
      </c>
      <c r="GZ164" s="54" t="e">
        <f>IF(GY164="",NA(),SUM($GY$4:GY164))</f>
        <v>#N/A</v>
      </c>
      <c r="HA164" s="54" t="str">
        <f t="shared" si="308"/>
        <v/>
      </c>
      <c r="HB164" s="54" t="e">
        <f>IF(HA164="",NA(),SUM($HA$4:HA164))</f>
        <v>#N/A</v>
      </c>
      <c r="HC164" s="54" t="str">
        <f t="shared" si="309"/>
        <v/>
      </c>
      <c r="HD164" s="54" t="e">
        <f>IF(HC164="",NA(),SUM($HC$4:HC164))</f>
        <v>#N/A</v>
      </c>
      <c r="HE164" s="54" t="str">
        <f t="shared" si="310"/>
        <v/>
      </c>
      <c r="HF164" s="54" t="e">
        <f>IF(HE164="",NA(),SUM($HE$4:HE164))</f>
        <v>#N/A</v>
      </c>
      <c r="HG164" s="54" t="str">
        <f t="shared" si="311"/>
        <v/>
      </c>
      <c r="HH164" s="54" t="e">
        <f>IF(HG164="",NA(),SUM($HG$4:HG164))</f>
        <v>#N/A</v>
      </c>
      <c r="HI164" s="172" t="str">
        <f t="shared" si="324"/>
        <v/>
      </c>
      <c r="HJ164" s="172">
        <f>IF($J164="",#N/A,SUM(HI$4:$HI164))</f>
        <v>-7.1741710664815006</v>
      </c>
      <c r="HK164" s="54" t="str">
        <f t="shared" si="312"/>
        <v/>
      </c>
      <c r="HL164" s="54">
        <f>IF($J164="",#N/A,SUM($HK$4:HK164))</f>
        <v>-5.702620630287301</v>
      </c>
      <c r="HM164" s="54" t="str">
        <f t="shared" si="313"/>
        <v/>
      </c>
      <c r="HN164" s="54">
        <f>IF($J164="",#N/A,SUM($HM$4:HM164))</f>
        <v>0.71812545963587882</v>
      </c>
      <c r="HO164" s="54" t="str">
        <f t="shared" si="314"/>
        <v/>
      </c>
      <c r="HP164" s="54">
        <f>IF($J164="",#N/A,SUM($HO$4:HO164))</f>
        <v>-0.14859521910082485</v>
      </c>
      <c r="HQ164" s="54">
        <f t="shared" si="315"/>
        <v>1.5232292460014785E-2</v>
      </c>
      <c r="HR164" s="54">
        <f>IF($J164="",#N/A,SUM($HQ$4:HQ164))</f>
        <v>-8.859798290659235</v>
      </c>
      <c r="HS164" s="54" t="str">
        <f t="shared" si="316"/>
        <v/>
      </c>
      <c r="HT164" s="54">
        <f>IF($J164="",#N/A,SUM($HS$4:HS164))</f>
        <v>12.032733364798178</v>
      </c>
      <c r="HU164" s="65">
        <f t="shared" si="317"/>
        <v>0.62960142168062638</v>
      </c>
      <c r="HV164" s="65">
        <f>IF($J164="",#N/A,SUM(HU$4:$HU164))</f>
        <v>-8.3873769622060266</v>
      </c>
    </row>
    <row r="165" spans="1:230" x14ac:dyDescent="0.25">
      <c r="A165" s="51" t="s">
        <v>1434</v>
      </c>
      <c r="B165" s="52" t="s">
        <v>4542</v>
      </c>
      <c r="C165" s="229">
        <f t="shared" si="218"/>
        <v>3</v>
      </c>
      <c r="D165" s="219" t="str">
        <f>_xlfn.XLOOKUP(A165,[1]SP500!$A$2:$A$502,[1]SP500!$D$2:$D$502,"N")</f>
        <v>Y</v>
      </c>
      <c r="E165" s="51" t="str">
        <f>IFERROR(_xlfn.XLOOKUP(A165,[1]SP500!$A$2:$A$655,[1]SP500!$B$2:$B$655),"")</f>
        <v>XLV</v>
      </c>
      <c r="F165" s="290">
        <v>45777</v>
      </c>
      <c r="G165" s="51" t="str">
        <f t="shared" si="219"/>
        <v>BMO</v>
      </c>
      <c r="H165" s="51" t="str">
        <f t="shared" si="220"/>
        <v>s</v>
      </c>
      <c r="I165" s="344">
        <v>68.09</v>
      </c>
      <c r="J165" s="123">
        <v>72.5</v>
      </c>
      <c r="K165" s="55">
        <f t="shared" si="221"/>
        <v>6.4767219856072797E-2</v>
      </c>
      <c r="L165" s="67">
        <f t="shared" si="222"/>
        <v>66.149999999999977</v>
      </c>
      <c r="M165" s="57">
        <f t="shared" si="223"/>
        <v>0</v>
      </c>
      <c r="N165" s="102">
        <f t="shared" si="224"/>
        <v>66.149999999999977</v>
      </c>
      <c r="O165" s="57">
        <f>IF(N165="",#N/A,SUM($N$4:N165))</f>
        <v>-101.31363589938721</v>
      </c>
      <c r="P165" s="65">
        <f t="shared" si="318"/>
        <v>1.0794536642678805</v>
      </c>
      <c r="Q165" s="172">
        <f>IF($N165="",#N/A,SUM($P$4:P165))</f>
        <v>1.8264030841566621</v>
      </c>
      <c r="R165" s="279">
        <f t="shared" si="225"/>
        <v>4.4218333425782612</v>
      </c>
      <c r="S165" s="51" t="str">
        <f t="shared" si="226"/>
        <v>SW</v>
      </c>
      <c r="T165" s="51" t="s">
        <v>2828</v>
      </c>
      <c r="U165" s="56">
        <f t="shared" si="227"/>
        <v>68.09</v>
      </c>
      <c r="V165" s="56" t="s">
        <v>4460</v>
      </c>
      <c r="W165" s="142">
        <v>15</v>
      </c>
      <c r="X165" s="145">
        <f t="shared" si="228"/>
        <v>1021.35</v>
      </c>
      <c r="Y165" s="140">
        <f t="shared" si="229"/>
        <v>15</v>
      </c>
      <c r="Z165" s="123">
        <v>72.5</v>
      </c>
      <c r="AA165" s="102">
        <f t="shared" si="230"/>
        <v>66.149999999999977</v>
      </c>
      <c r="AB165" s="102">
        <f t="shared" si="231"/>
        <v>33.600000000000023</v>
      </c>
      <c r="AC165" s="124">
        <v>70.33</v>
      </c>
      <c r="AD165" s="155">
        <f t="shared" si="232"/>
        <v>33.600000000000023</v>
      </c>
      <c r="AE165" s="545">
        <f t="shared" si="233"/>
        <v>0.54829392470749538</v>
      </c>
      <c r="AF165" s="57">
        <f>IF($AC165="",#N/A,SUM(AD$4:AD165))</f>
        <v>-592.18041200241623</v>
      </c>
      <c r="AG165" s="102">
        <f t="shared" si="234"/>
        <v>-32.549999999999955</v>
      </c>
      <c r="AH165" s="56" t="s">
        <v>2507</v>
      </c>
      <c r="AI165" s="65">
        <f t="shared" si="235"/>
        <v>1.0794536642678805</v>
      </c>
      <c r="AJ165" s="350">
        <f>IF(AI165="",#N/A,SUM($AI$4:AI165))</f>
        <v>-2.5954302584215991</v>
      </c>
      <c r="AK165" s="57">
        <f t="shared" si="236"/>
        <v>66.149999999999977</v>
      </c>
      <c r="AL165" s="349">
        <f>IF(AI165="",#N/A,IF(AH165="Skip",SUM($AK$4:AK165),SUM($AK$4:AK165)))</f>
        <v>-396.71740850718663</v>
      </c>
      <c r="AM165" s="65">
        <f t="shared" si="319"/>
        <v>0.54829392470749538</v>
      </c>
      <c r="AN165" s="209"/>
      <c r="AO165" s="65">
        <f t="shared" si="237"/>
        <v>0.54829392470749538</v>
      </c>
      <c r="AP165" s="65">
        <f>IF($AC165="",#N/A,SUM(AO$4:AO165))</f>
        <v>3.5770669885250079</v>
      </c>
      <c r="AQ165" s="65" t="str">
        <f t="shared" si="238"/>
        <v/>
      </c>
      <c r="AR165" s="65">
        <f>IF($AC165="",#N/A,SUM(AQ$4:AQ165))</f>
        <v>-2.6179859771653153</v>
      </c>
      <c r="AS165" s="65" t="str">
        <f t="shared" si="239"/>
        <v/>
      </c>
      <c r="AT165" s="65">
        <f>IF($AC165="",#N/A,SUM(AS$4:AS165))</f>
        <v>-8.7981640488582276</v>
      </c>
      <c r="AU165" s="57">
        <f t="shared" si="320"/>
        <v>33.600000000000023</v>
      </c>
      <c r="AV165" s="57">
        <f>IF($AC165="",#N/A,SUM(AU$4:AU165))</f>
        <v>118.93120645125057</v>
      </c>
      <c r="AW165" s="57" t="str">
        <f t="shared" si="321"/>
        <v/>
      </c>
      <c r="AX165" s="57">
        <f>IF($AC165="",#N/A,SUM(AW$4:AW165))</f>
        <v>-163.1400000000001</v>
      </c>
      <c r="AY165" s="57" t="str">
        <f t="shared" si="322"/>
        <v/>
      </c>
      <c r="AZ165" s="57">
        <f>IF($AC165="",#N/A,SUM(AY$4:AY165))</f>
        <v>-547.97161845366668</v>
      </c>
      <c r="BA165" s="57">
        <f>IF(AD165="",#N/A,SUM($AD$4:AD165))</f>
        <v>-592.18041200241623</v>
      </c>
      <c r="BC165" s="51" t="str">
        <f t="shared" si="240"/>
        <v/>
      </c>
      <c r="BD165" s="51" t="str">
        <f t="shared" si="241"/>
        <v/>
      </c>
      <c r="BE165" s="51">
        <f t="shared" si="242"/>
        <v>1</v>
      </c>
      <c r="BF165" s="51" t="str">
        <f t="shared" si="243"/>
        <v>Long</v>
      </c>
      <c r="BG165" s="51" t="str">
        <f t="shared" si="244"/>
        <v/>
      </c>
      <c r="BH165" s="51" t="str">
        <f t="shared" si="245"/>
        <v/>
      </c>
      <c r="BI165" s="51" t="str">
        <f t="shared" si="246"/>
        <v/>
      </c>
      <c r="BK165" s="65">
        <f t="shared" si="217"/>
        <v>0.14383597522903696</v>
      </c>
      <c r="BL165" s="65">
        <f t="shared" si="325"/>
        <v>0.13980150042488471</v>
      </c>
      <c r="BM165" s="65">
        <f>IFERROR(Q165/COUNTA($J$4:J165),#N/A)</f>
        <v>1.1274093112078162E-2</v>
      </c>
      <c r="BO165" s="489">
        <f>IF(J165="",#N/A,IF(S165="SW",(COUNTIFS(K$4:$K165,"&gt;0",S$4:$S165,"SW")/COUNTIF(S$4:$S165,"SW")),#N/A))</f>
        <v>0.48863636363636365</v>
      </c>
      <c r="BP165" s="489" t="e">
        <f>IF($J165="",#N/A,IF($S165="DWN",(COUNTIFS($K$4:$K165,"&lt;0",$S$4:$S165,"DWN")/COUNTIF($S$4:$S165,"DWN")),#N/A))</f>
        <v>#N/A</v>
      </c>
      <c r="BQ165" s="489" t="e">
        <f>IF($J165="",#N/A,IF($S165="UP",(COUNTIFS($K$4:$K165,"&gt;0",$S$4:$S165,"UP")/COUNTIF($S$4:$S165,"UP")),#N/A))</f>
        <v>#N/A</v>
      </c>
      <c r="BR165" s="489">
        <f>IF(J165="",#N/A,COUNTIF($K$4:K165,"&gt;0")/COUNT($J$4:J165))</f>
        <v>0.46296296296296297</v>
      </c>
      <c r="BS165" s="65">
        <f t="shared" si="247"/>
        <v>1.0794536642678805</v>
      </c>
      <c r="BT165" s="65" t="str">
        <f t="shared" si="248"/>
        <v/>
      </c>
      <c r="BU165" s="65" t="str">
        <f t="shared" si="249"/>
        <v/>
      </c>
      <c r="BV165" s="65" t="str">
        <f t="shared" si="250"/>
        <v/>
      </c>
      <c r="BW165" s="128" t="str">
        <f t="shared" si="251"/>
        <v/>
      </c>
      <c r="BX165" s="128">
        <f>IF($J165="",#N/A,SUM($BW$4:BW165))</f>
        <v>-205.1650000000003</v>
      </c>
      <c r="BY165" s="131" t="str">
        <f t="shared" si="252"/>
        <v/>
      </c>
      <c r="BZ165" s="131">
        <f>IF($J165="",#N/A,SUM($BY$4:BY165))</f>
        <v>203.35434038933386</v>
      </c>
      <c r="CA165" s="133">
        <f t="shared" si="253"/>
        <v>66.149999999999977</v>
      </c>
      <c r="CB165" s="133">
        <f>IF($J165="",#N/A,SUM($CA$4:CA165))</f>
        <v>-99.50297628872076</v>
      </c>
      <c r="CC165" s="194" t="str">
        <f t="shared" si="254"/>
        <v/>
      </c>
      <c r="CD165" s="194">
        <f>IF($J165="",#N/A,SUM($CC$4:CC165))</f>
        <v>-3.1875162177003693</v>
      </c>
      <c r="CE165" s="195" t="str">
        <f t="shared" si="255"/>
        <v/>
      </c>
      <c r="CF165" s="195">
        <f>IF($J165="",#N/A,SUM($CE$4:CE165))</f>
        <v>4.0786276479105803</v>
      </c>
      <c r="CG165" s="196">
        <f t="shared" si="256"/>
        <v>1.0794536642678805</v>
      </c>
      <c r="CH165" s="196">
        <f>IF($J165="",#N/A,SUM($CG$4:CG165))</f>
        <v>0.93529165394645586</v>
      </c>
      <c r="CI165" s="200" t="str">
        <f t="shared" si="257"/>
        <v/>
      </c>
      <c r="CJ165" s="203">
        <f>IF($J165="",#N/A,SUM(CI$4:CI165))</f>
        <v>0</v>
      </c>
      <c r="CK165" s="204" t="str">
        <f t="shared" si="258"/>
        <v/>
      </c>
      <c r="CL165" s="204">
        <f>IF($J165="",#N/A,SUM(CK$4:CK165))</f>
        <v>2.9610246620255536</v>
      </c>
      <c r="CM165" s="205" t="str">
        <f t="shared" si="259"/>
        <v/>
      </c>
      <c r="CN165" s="205">
        <f>IF($J165="",#N/A,SUM(CM$4:CM165))</f>
        <v>3.3861132786295873</v>
      </c>
      <c r="CO165" s="205">
        <f>IF($J165="",#N/A,SUM(CM$4:CM165,CK$4:CK165,CI$4:CI165))</f>
        <v>6.3471379406551414</v>
      </c>
      <c r="CP165" s="200" t="str">
        <f t="shared" si="260"/>
        <v/>
      </c>
      <c r="CQ165" s="203">
        <f>IF($J165="",#N/A,SUM(CP$4:CP165))</f>
        <v>0</v>
      </c>
      <c r="CR165" s="204" t="str">
        <f t="shared" si="261"/>
        <v/>
      </c>
      <c r="CS165" s="204">
        <f>IF($J165="",#N/A,SUM(CR$4:CR165))</f>
        <v>2.420242024202421</v>
      </c>
      <c r="CT165" s="205" t="str">
        <f t="shared" si="262"/>
        <v/>
      </c>
      <c r="CU165" s="205">
        <f>IF($J165="",#N/A,SUM(CT$4:CT165))</f>
        <v>-1.6961777431035243</v>
      </c>
      <c r="CV165" s="205">
        <f>IF($J165="",#N/A,SUM(CT$4:CT165,CR$4:CR165,CP$4:CP165))</f>
        <v>0.72406428109889664</v>
      </c>
      <c r="CW165" s="200" t="str">
        <f t="shared" si="263"/>
        <v/>
      </c>
      <c r="CX165" s="203">
        <f>IF($J165="",#N/A,SUM(CW$4:CW165))</f>
        <v>0</v>
      </c>
      <c r="CY165" s="204" t="str">
        <f t="shared" si="264"/>
        <v/>
      </c>
      <c r="CZ165" s="204">
        <f>IF($J165="",#N/A,SUM(CY$4:CY165))</f>
        <v>-1.9289529100071134</v>
      </c>
      <c r="DA165" s="205" t="str">
        <f t="shared" si="265"/>
        <v/>
      </c>
      <c r="DB165" s="205">
        <f>IF($J165="",#N/A,SUM(DA$4:DA165))</f>
        <v>-1.2278690516702204</v>
      </c>
      <c r="DC165" s="205">
        <f>IF($J165="",#N/A,SUM(DA$4:DA165,CY$4:CY165,CW$4:CW165))</f>
        <v>-3.1568219616773341</v>
      </c>
      <c r="DD165" s="200" t="str">
        <f t="shared" si="266"/>
        <v/>
      </c>
      <c r="DE165" s="203">
        <f>IF($J165="",#N/A,SUM(DD$4:DD165))</f>
        <v>0.14968716170674062</v>
      </c>
      <c r="DF165" s="204" t="str">
        <f t="shared" si="267"/>
        <v/>
      </c>
      <c r="DG165" s="204">
        <f>IF($J165="",#N/A,SUM(DF$4:DF165))</f>
        <v>1.2121188689979676</v>
      </c>
      <c r="DH165" s="205" t="str">
        <f t="shared" si="268"/>
        <v/>
      </c>
      <c r="DI165" s="205">
        <f>IF($J165="",#N/A,SUM(DH$4:DH165))</f>
        <v>-0.8404015973735236</v>
      </c>
      <c r="DJ165" s="205">
        <f>IF($J165="",#N/A,SUM(DH$4:DH165,DF$4:DF165,DD$4:DD165))</f>
        <v>0.52140443333118447</v>
      </c>
      <c r="DK165" s="200" t="str">
        <f t="shared" si="269"/>
        <v/>
      </c>
      <c r="DL165" s="203">
        <f>IF($J165="",#N/A,SUM(DK$4:DK165))</f>
        <v>-1.2097286851272664</v>
      </c>
      <c r="DM165" s="204" t="str">
        <f t="shared" si="270"/>
        <v/>
      </c>
      <c r="DN165" s="204">
        <f>IF($J165="",#N/A,SUM(DM$4:DM165))</f>
        <v>1.1910608267574658</v>
      </c>
      <c r="DO165" s="205" t="str">
        <f t="shared" si="271"/>
        <v/>
      </c>
      <c r="DP165" s="205">
        <f>IF($J165="",#N/A,SUM(DO$4:DO165))</f>
        <v>1.3495058802125319</v>
      </c>
      <c r="DQ165" s="205">
        <f>IF($J165="",#N/A,SUM(DO$4:DO165,DM$4:DM165,DK$4:DK165))</f>
        <v>1.3308380218427318</v>
      </c>
      <c r="DR165" s="200" t="str">
        <f t="shared" si="272"/>
        <v/>
      </c>
      <c r="DS165" s="203">
        <f>IF($J165="",#N/A,SUM(DR$4:DR165))</f>
        <v>-0.55950946427675097</v>
      </c>
      <c r="DT165" s="204" t="str">
        <f t="shared" si="273"/>
        <v/>
      </c>
      <c r="DU165" s="204">
        <f>IF($J165="",#N/A,SUM(DT$4:DT165))</f>
        <v>-3.5029740333397914</v>
      </c>
      <c r="DV165" s="205" t="str">
        <f t="shared" si="274"/>
        <v/>
      </c>
      <c r="DW165" s="205">
        <f>IF($J165="",#N/A,SUM(DV$4:DV165))</f>
        <v>-1.8527424265931112</v>
      </c>
      <c r="DX165" s="205">
        <f>IF($J165="",#N/A,SUM(DV$4:DV165,DT$4:DT165,DR$4:DR165))</f>
        <v>-5.9152259242096532</v>
      </c>
      <c r="DY165" s="200" t="str">
        <f t="shared" si="275"/>
        <v/>
      </c>
      <c r="DZ165" s="203">
        <f>IF($J165="",#N/A,SUM(DY$4:DY165))</f>
        <v>-1.63480022183437</v>
      </c>
      <c r="EA165" s="204" t="str">
        <f t="shared" si="276"/>
        <v/>
      </c>
      <c r="EB165" s="204">
        <f>IF($J165="",#N/A,SUM(EA$4:EA165))</f>
        <v>-0.2070110273231956</v>
      </c>
      <c r="EC165" s="205" t="str">
        <f t="shared" si="277"/>
        <v/>
      </c>
      <c r="ED165" s="205">
        <f>IF($J165="",#N/A,SUM(EC$4:EC165))</f>
        <v>1.4704559513837272</v>
      </c>
      <c r="EE165" s="205">
        <f>IF($J165="",#N/A,SUM(EC$4:EC165,EA$4:EA165,DY$4:DY165))</f>
        <v>-0.37135529777383841</v>
      </c>
      <c r="EF165" s="200" t="str">
        <f t="shared" si="278"/>
        <v/>
      </c>
      <c r="EG165" s="203">
        <f>IF($J165="",#N/A,SUM(EF$4:EF165))</f>
        <v>0</v>
      </c>
      <c r="EH165" s="204" t="str">
        <f t="shared" si="279"/>
        <v/>
      </c>
      <c r="EI165" s="204">
        <f>IF($J165="",#N/A,SUM(EH$4:EH165))</f>
        <v>-1.1184224685150388</v>
      </c>
      <c r="EJ165" s="205">
        <f t="shared" si="280"/>
        <v>1.0794536642678805</v>
      </c>
      <c r="EK165" s="205">
        <f>IF($J165="",#N/A,SUM(EJ$4:EJ165))</f>
        <v>2.804966392787259</v>
      </c>
      <c r="EL165" s="205">
        <f>IF($J165="",#N/A,SUM(EJ$4:EJ165,EH$4:EH165,EF$4:EF165))</f>
        <v>1.6865439242722209</v>
      </c>
      <c r="EM165" s="200" t="str">
        <f t="shared" si="281"/>
        <v/>
      </c>
      <c r="EN165" s="203">
        <f>IF($J165="",#N/A,SUM(EM$4:EM165))</f>
        <v>0</v>
      </c>
      <c r="EO165" s="204" t="str">
        <f t="shared" si="282"/>
        <v/>
      </c>
      <c r="EP165" s="204">
        <f>IF($J165="",#N/A,SUM(EO$4:EO165))</f>
        <v>1.264716604605848</v>
      </c>
      <c r="EQ165" s="205" t="str">
        <f t="shared" si="283"/>
        <v/>
      </c>
      <c r="ER165" s="205">
        <f>IF($J165="",#N/A,SUM(EQ$4:EQ165))</f>
        <v>1.5025175479314647</v>
      </c>
      <c r="ES165" s="205">
        <f>IF($J165="",#N/A,SUM(EQ$4:EQ165,EO$4:EO165,EM$4:EM165))</f>
        <v>2.7672341525373123</v>
      </c>
      <c r="ET165" s="200" t="str">
        <f t="shared" si="284"/>
        <v/>
      </c>
      <c r="EU165" s="203">
        <f>IF($J165="",#N/A,SUM(ET$4:ET165))</f>
        <v>0</v>
      </c>
      <c r="EV165" s="204" t="str">
        <f t="shared" si="285"/>
        <v/>
      </c>
      <c r="EW165" s="204">
        <f>IF($J165="",#N/A,SUM(EV$4:EV165))</f>
        <v>0.90459527759708336</v>
      </c>
      <c r="EX165" s="205" t="str">
        <f t="shared" si="286"/>
        <v/>
      </c>
      <c r="EY165" s="205">
        <f>IF($J165="",#N/A,SUM(EX$4:EX165))</f>
        <v>0.22957553748493481</v>
      </c>
      <c r="EZ165" s="205">
        <f>IF($J165="",#N/A,SUM(EX$4:EX165,EV$4:EV165,ET$4:ET165))</f>
        <v>1.134170815082018</v>
      </c>
      <c r="FA165" s="200" t="str">
        <f t="shared" si="287"/>
        <v/>
      </c>
      <c r="FB165" s="203">
        <f>IF($J165="",#N/A,SUM(FA$4:FA165))</f>
        <v>0</v>
      </c>
      <c r="FC165" s="204" t="str">
        <f t="shared" si="288"/>
        <v/>
      </c>
      <c r="FD165" s="204">
        <f>IF($J165="",#N/A,SUM(FC$4:FC165))</f>
        <v>1.6839191319663924</v>
      </c>
      <c r="FE165" s="205" t="str">
        <f t="shared" si="289"/>
        <v/>
      </c>
      <c r="FF165" s="205">
        <f>IF($J165="",#N/A,SUM(FE$4:FE165))</f>
        <v>-0.28811149078748233</v>
      </c>
      <c r="FG165" s="205">
        <f>IF($J165="",#N/A,SUM(FE$4:FE165,FC$4:FC165,FA$4:FA165))</f>
        <v>1.3958076411789102</v>
      </c>
      <c r="FH165" s="200" t="str">
        <f t="shared" si="290"/>
        <v/>
      </c>
      <c r="FI165" s="203">
        <f>IF($J165="",#N/A,SUM(FH$4:FH165))</f>
        <v>0</v>
      </c>
      <c r="FJ165" s="204" t="str">
        <f t="shared" si="291"/>
        <v/>
      </c>
      <c r="FK165" s="204">
        <f>IF($J165="",#N/A,SUM(FJ$4:FJ165))</f>
        <v>0</v>
      </c>
      <c r="FL165" s="205" t="str">
        <f t="shared" si="292"/>
        <v/>
      </c>
      <c r="FM165" s="205">
        <f>IF($J165="",#N/A,SUM(FL$4:FL165))</f>
        <v>0</v>
      </c>
      <c r="FN165" s="205">
        <f>IF($J165="",#N/A,SUM(FL$4:FL165,FJ$4:FJ165,FH$4:FH165))</f>
        <v>0</v>
      </c>
      <c r="FO165" s="200" t="str">
        <f t="shared" si="293"/>
        <v/>
      </c>
      <c r="FP165" s="203">
        <f>IF($J165="",#N/A,SUM(FO$4:FO165))</f>
        <v>0</v>
      </c>
      <c r="FQ165" s="204" t="str">
        <f t="shared" si="294"/>
        <v/>
      </c>
      <c r="FR165" s="204">
        <f>IF($J165="",#N/A,SUM(FQ$4:FQ165))</f>
        <v>0</v>
      </c>
      <c r="FS165" s="205" t="str">
        <f t="shared" si="295"/>
        <v/>
      </c>
      <c r="FT165" s="205">
        <f>IF($J165="",#N/A,SUM(FS$4:FS165))</f>
        <v>0</v>
      </c>
      <c r="FU165" s="205">
        <f>IF($J165="",#N/A,SUM(FS$4:FS165,FQ$4:FQ165,FO$4:FO165))</f>
        <v>0</v>
      </c>
      <c r="FV165" s="200" t="str">
        <f t="shared" si="296"/>
        <v/>
      </c>
      <c r="FW165" s="203">
        <f>IF($J165="",#N/A,SUM(FV$4:FV165))</f>
        <v>6.6834991831277585E-2</v>
      </c>
      <c r="FX165" s="204" t="str">
        <f t="shared" si="297"/>
        <v/>
      </c>
      <c r="FY165" s="204">
        <f>IF($J165="",#N/A,SUM(FX$4:FX165))</f>
        <v>0</v>
      </c>
      <c r="FZ165" s="205" t="str">
        <f t="shared" si="298"/>
        <v/>
      </c>
      <c r="GA165" s="205">
        <f>IF($J165="",#N/A,SUM(FZ$4:FZ165))</f>
        <v>-0.96570439723286938</v>
      </c>
      <c r="GB165" s="205">
        <f>IF($J165="",#N/A,SUM(FZ$4:FZ165,FX$4:FX165,FV$4:FV165))</f>
        <v>-0.89886940540159177</v>
      </c>
      <c r="GC165" s="200" t="str">
        <f t="shared" si="299"/>
        <v/>
      </c>
      <c r="GD165" s="203">
        <f>IF($J165="",#N/A,SUM(GC$4:GC165))</f>
        <v>0</v>
      </c>
      <c r="GE165" s="204" t="str">
        <f t="shared" si="300"/>
        <v/>
      </c>
      <c r="GF165" s="204">
        <f>IF($J165="",#N/A,SUM(GE$4:GE165))</f>
        <v>0</v>
      </c>
      <c r="GG165" s="205" t="str">
        <f t="shared" si="301"/>
        <v/>
      </c>
      <c r="GH165" s="205">
        <f>IF($J165="",#N/A,SUM(GG$4:GG165))</f>
        <v>-2.9368362277223206</v>
      </c>
      <c r="GI165" s="205">
        <f>IF($J165="",#N/A,SUM(GG$4:GG165,GE$4:GE165,GC$4:GC165))</f>
        <v>-2.9368362277223206</v>
      </c>
      <c r="GJ165" s="200" t="str">
        <f t="shared" si="302"/>
        <v/>
      </c>
      <c r="GK165" s="203">
        <f>IF($J165="",#N/A,SUM(GJ$4:GJ165))</f>
        <v>0</v>
      </c>
      <c r="GL165" s="204" t="str">
        <f t="shared" si="303"/>
        <v/>
      </c>
      <c r="GM165" s="204">
        <f>IF($J165="",#N/A,SUM(GL$4:GL165))</f>
        <v>-0.80168930905701452</v>
      </c>
      <c r="GN165" s="205" t="str">
        <f t="shared" si="304"/>
        <v/>
      </c>
      <c r="GO165" s="205">
        <f>IF($J165="",#N/A,SUM(GN$4:GN165))</f>
        <v>0</v>
      </c>
      <c r="GP165" s="205">
        <f>IF($J165="",#N/A,SUM(GN$4:GN165,GL$4:GL165,GJ$4:GJ165))</f>
        <v>-0.80168930905701452</v>
      </c>
      <c r="GS165" s="54">
        <f t="shared" si="323"/>
        <v>1.0794536642678805</v>
      </c>
      <c r="GT165" s="54">
        <f>IF(GS165="",NA(),SUM($GS$4:GS165))</f>
        <v>-0.50058176213102867</v>
      </c>
      <c r="GU165" s="54" t="str">
        <f t="shared" si="305"/>
        <v/>
      </c>
      <c r="GV165" s="54" t="e">
        <f>IF(GU165="",NA(),SUM($GU$4:GU165))</f>
        <v>#N/A</v>
      </c>
      <c r="GW165" s="54">
        <f t="shared" si="306"/>
        <v>1.0794536642678805</v>
      </c>
      <c r="GX165" s="54">
        <f>IF(GW165="",NA(),SUM($GW$4:GW165))</f>
        <v>1.25523815988027</v>
      </c>
      <c r="GY165" s="54" t="str">
        <f t="shared" si="307"/>
        <v/>
      </c>
      <c r="GZ165" s="54" t="e">
        <f>IF(GY165="",NA(),SUM($GY$4:GY165))</f>
        <v>#N/A</v>
      </c>
      <c r="HA165" s="54" t="str">
        <f t="shared" si="308"/>
        <v/>
      </c>
      <c r="HB165" s="54" t="e">
        <f>IF(HA165="",NA(),SUM($HA$4:HA165))</f>
        <v>#N/A</v>
      </c>
      <c r="HC165" s="54" t="str">
        <f t="shared" si="309"/>
        <v/>
      </c>
      <c r="HD165" s="54" t="e">
        <f>IF(HC165="",NA(),SUM($HC$4:HC165))</f>
        <v>#N/A</v>
      </c>
      <c r="HE165" s="54" t="str">
        <f t="shared" si="310"/>
        <v/>
      </c>
      <c r="HF165" s="54" t="e">
        <f>IF(HE165="",NA(),SUM($HE$4:HE165))</f>
        <v>#N/A</v>
      </c>
      <c r="HG165" s="54" t="str">
        <f t="shared" si="311"/>
        <v/>
      </c>
      <c r="HH165" s="54" t="e">
        <f>IF(HG165="",NA(),SUM($HG$4:HG165))</f>
        <v>#N/A</v>
      </c>
      <c r="HI165" s="172" t="str">
        <f t="shared" si="324"/>
        <v/>
      </c>
      <c r="HJ165" s="172">
        <f>IF($J165="",#N/A,SUM(HI$4:$HI165))</f>
        <v>-7.1741710664815006</v>
      </c>
      <c r="HK165" s="54" t="str">
        <f t="shared" si="312"/>
        <v/>
      </c>
      <c r="HL165" s="54">
        <f>IF($J165="",#N/A,SUM($HK$4:HK165))</f>
        <v>-5.702620630287301</v>
      </c>
      <c r="HM165" s="54" t="str">
        <f t="shared" si="313"/>
        <v/>
      </c>
      <c r="HN165" s="54">
        <f>IF($J165="",#N/A,SUM($HM$4:HM165))</f>
        <v>0.71812545963587882</v>
      </c>
      <c r="HO165" s="54" t="str">
        <f t="shared" si="314"/>
        <v/>
      </c>
      <c r="HP165" s="54">
        <f>IF($J165="",#N/A,SUM($HO$4:HO165))</f>
        <v>-0.14859521910082485</v>
      </c>
      <c r="HQ165" s="54">
        <f t="shared" si="315"/>
        <v>-0.53115973956038509</v>
      </c>
      <c r="HR165" s="54">
        <f>IF($J165="",#N/A,SUM($HQ$4:HQ165))</f>
        <v>-9.3909580302196201</v>
      </c>
      <c r="HS165" s="54" t="str">
        <f t="shared" si="316"/>
        <v/>
      </c>
      <c r="HT165" s="54">
        <f>IF($J165="",#N/A,SUM($HS$4:HS165))</f>
        <v>12.032733364798178</v>
      </c>
      <c r="HU165" s="65">
        <f t="shared" si="317"/>
        <v>0.54829392470749538</v>
      </c>
      <c r="HV165" s="65">
        <f>IF($J165="",#N/A,SUM(HU$4:$HU165))</f>
        <v>-7.839083037498531</v>
      </c>
    </row>
    <row r="166" spans="1:230" x14ac:dyDescent="0.25">
      <c r="A166" s="51" t="s">
        <v>1412</v>
      </c>
      <c r="B166" s="52" t="s">
        <v>4542</v>
      </c>
      <c r="C166" s="229">
        <f t="shared" si="218"/>
        <v>2</v>
      </c>
      <c r="D166" s="219" t="str">
        <f>_xlfn.XLOOKUP(A166,[1]SP500!$A$2:$A$502,[1]SP500!$D$2:$D$502,"N")</f>
        <v>N</v>
      </c>
      <c r="E166" s="51" t="str">
        <f>IFERROR(_xlfn.XLOOKUP(A166,[1]SP500!$A$2:$A$655,[1]SP500!$B$2:$B$655),"")</f>
        <v/>
      </c>
      <c r="F166" s="290">
        <v>45777</v>
      </c>
      <c r="G166" s="51" t="str">
        <f t="shared" si="219"/>
        <v>BMO</v>
      </c>
      <c r="H166" s="51" t="str">
        <f t="shared" si="220"/>
        <v>s</v>
      </c>
      <c r="I166" s="344">
        <v>132.54</v>
      </c>
      <c r="J166" s="124">
        <v>129.94</v>
      </c>
      <c r="K166" s="55">
        <f t="shared" si="221"/>
        <v>-1.9616719480911381E-2</v>
      </c>
      <c r="L166" s="67">
        <f t="shared" si="222"/>
        <v>20.799999999999955</v>
      </c>
      <c r="M166" s="57">
        <f t="shared" si="223"/>
        <v>0</v>
      </c>
      <c r="N166" s="102">
        <f t="shared" si="224"/>
        <v>20.799999999999955</v>
      </c>
      <c r="O166" s="57">
        <f>IF(N166="",#N/A,SUM($N$4:N166))</f>
        <v>-80.513635899387253</v>
      </c>
      <c r="P166" s="65">
        <f t="shared" si="318"/>
        <v>0.32694532468185639</v>
      </c>
      <c r="Q166" s="172">
        <f>IF($N166="",#N/A,SUM($P$4:P166))</f>
        <v>2.1533484088385184</v>
      </c>
      <c r="R166" s="279">
        <f t="shared" si="225"/>
        <v>4.4218333425782612</v>
      </c>
      <c r="S166" s="51" t="str">
        <f t="shared" si="226"/>
        <v>Dwn</v>
      </c>
      <c r="T166" s="51" t="s">
        <v>4462</v>
      </c>
      <c r="U166" s="56">
        <f t="shared" si="227"/>
        <v>132.54</v>
      </c>
      <c r="V166" s="56" t="s">
        <v>4458</v>
      </c>
      <c r="W166" s="142">
        <v>8</v>
      </c>
      <c r="X166" s="145">
        <f t="shared" si="228"/>
        <v>1060.32</v>
      </c>
      <c r="Y166" s="140">
        <f t="shared" si="229"/>
        <v>8</v>
      </c>
      <c r="Z166" s="123">
        <v>129.94</v>
      </c>
      <c r="AA166" s="102">
        <f t="shared" si="230"/>
        <v>20.799999999999955</v>
      </c>
      <c r="AB166" s="102">
        <f t="shared" si="231"/>
        <v>27.919999999999845</v>
      </c>
      <c r="AC166" s="124">
        <v>129.05000000000001</v>
      </c>
      <c r="AD166" s="155">
        <f t="shared" si="232"/>
        <v>27.919999999999845</v>
      </c>
      <c r="AE166" s="545">
        <f t="shared" si="233"/>
        <v>0.43886122428449037</v>
      </c>
      <c r="AF166" s="57">
        <f>IF($AC166="",#N/A,SUM(AD$4:AD166))</f>
        <v>-564.26041200241639</v>
      </c>
      <c r="AG166" s="102">
        <f t="shared" si="234"/>
        <v>7.1199999999998909</v>
      </c>
      <c r="AH166" s="56" t="s">
        <v>2507</v>
      </c>
      <c r="AI166" s="65">
        <f t="shared" si="235"/>
        <v>0.32694532468185639</v>
      </c>
      <c r="AJ166" s="54">
        <f>IF(AI166="",#N/A,SUM($AI$4:AI166))</f>
        <v>-2.2684849337397428</v>
      </c>
      <c r="AK166" s="57">
        <f t="shared" si="236"/>
        <v>20.799999999999955</v>
      </c>
      <c r="AL166" s="349">
        <f>IF(AI166="",#N/A,IF(AH166="Skip",SUM($AK$4:AK166),SUM($AK$4:AK166)))</f>
        <v>-375.91740850718668</v>
      </c>
      <c r="AM166" s="65">
        <f t="shared" si="319"/>
        <v>0.43886122428449037</v>
      </c>
      <c r="AN166" s="211"/>
      <c r="AO166" s="65" t="str">
        <f t="shared" si="237"/>
        <v/>
      </c>
      <c r="AP166" s="65">
        <f>IF($AC166="",#N/A,SUM(AO$4:AO166))</f>
        <v>3.5770669885250079</v>
      </c>
      <c r="AQ166" s="65" t="str">
        <f t="shared" si="238"/>
        <v/>
      </c>
      <c r="AR166" s="65">
        <f>IF($AC166="",#N/A,SUM(AQ$4:AQ166))</f>
        <v>-2.6179859771653153</v>
      </c>
      <c r="AS166" s="65">
        <f t="shared" si="239"/>
        <v>0.43886122428449037</v>
      </c>
      <c r="AT166" s="65">
        <f>IF($AC166="",#N/A,SUM(AS$4:AS166))</f>
        <v>-8.3593028245737369</v>
      </c>
      <c r="AU166" s="57" t="str">
        <f t="shared" si="320"/>
        <v/>
      </c>
      <c r="AV166" s="57">
        <f>IF($AC166="",#N/A,SUM(AU$4:AU166))</f>
        <v>118.93120645125057</v>
      </c>
      <c r="AW166" s="57" t="str">
        <f t="shared" si="321"/>
        <v/>
      </c>
      <c r="AX166" s="57">
        <f>IF($AC166="",#N/A,SUM(AW$4:AW166))</f>
        <v>-163.1400000000001</v>
      </c>
      <c r="AY166" s="57">
        <f t="shared" si="322"/>
        <v>27.919999999999845</v>
      </c>
      <c r="AZ166" s="57">
        <f>IF($AC166="",#N/A,SUM(AY$4:AY166))</f>
        <v>-520.05161845366683</v>
      </c>
      <c r="BA166" s="57">
        <f>IF(AD166="",#N/A,SUM($AD$4:AD166))</f>
        <v>-564.26041200241639</v>
      </c>
      <c r="BC166" s="51" t="str">
        <f t="shared" si="240"/>
        <v/>
      </c>
      <c r="BD166" s="51" t="str">
        <f t="shared" si="241"/>
        <v/>
      </c>
      <c r="BE166" s="51" t="str">
        <f t="shared" si="242"/>
        <v/>
      </c>
      <c r="BF166" s="51" t="str">
        <f t="shared" si="243"/>
        <v>Short</v>
      </c>
      <c r="BG166" s="51">
        <f t="shared" si="244"/>
        <v>1</v>
      </c>
      <c r="BH166" s="51" t="str">
        <f t="shared" si="245"/>
        <v/>
      </c>
      <c r="BI166" s="51" t="str">
        <f t="shared" si="246"/>
        <v/>
      </c>
      <c r="BK166" s="65">
        <f t="shared" si="217"/>
        <v>0.13790052345910478</v>
      </c>
      <c r="BL166" s="65">
        <f t="shared" si="325"/>
        <v>0.14651633438106712</v>
      </c>
      <c r="BM166" s="65">
        <f>IFERROR(Q166/COUNTA($J$4:J166),#N/A)</f>
        <v>1.3210726434592137E-2</v>
      </c>
      <c r="BO166" s="489" t="e">
        <f>IF(J166="",#N/A,IF(S166="SW",(COUNTIFS(K$4:$K166,"&gt;0",S$4:$S166,"SW")/COUNTIF(S$4:$S166,"SW")),#N/A))</f>
        <v>#N/A</v>
      </c>
      <c r="BP166" s="489">
        <f>IF($J166="",#N/A,IF($S166="DWN",(COUNTIFS($K$4:$K166,"&lt;0",$S$4:$S166,"DWN")/COUNTIF($S$4:$S166,"DWN")),#N/A))</f>
        <v>0.56716417910447758</v>
      </c>
      <c r="BQ166" s="489" t="e">
        <f>IF($J166="",#N/A,IF($S166="UP",(COUNTIFS($K$4:$K166,"&gt;0",$S$4:$S166,"UP")/COUNTIF($S$4:$S166,"UP")),#N/A))</f>
        <v>#N/A</v>
      </c>
      <c r="BR166" s="489">
        <f>IF(J166="",#N/A,COUNTIF($K$4:K166,"&gt;0")/COUNT($J$4:J166))</f>
        <v>0.46012269938650308</v>
      </c>
      <c r="BS166" s="65" t="str">
        <f t="shared" si="247"/>
        <v/>
      </c>
      <c r="BT166" s="65" t="str">
        <f t="shared" si="248"/>
        <v/>
      </c>
      <c r="BU166" s="65">
        <f t="shared" si="249"/>
        <v>0.32694532468185639</v>
      </c>
      <c r="BV166" s="65" t="str">
        <f t="shared" si="250"/>
        <v/>
      </c>
      <c r="BW166" s="128" t="str">
        <f t="shared" si="251"/>
        <v/>
      </c>
      <c r="BX166" s="128">
        <f>IF($J166="",#N/A,SUM($BW$4:BW166))</f>
        <v>-205.1650000000003</v>
      </c>
      <c r="BY166" s="131">
        <f t="shared" si="252"/>
        <v>20.799999999999955</v>
      </c>
      <c r="BZ166" s="131">
        <f>IF($J166="",#N/A,SUM($BY$4:BY166))</f>
        <v>224.15434038933381</v>
      </c>
      <c r="CA166" s="133" t="str">
        <f t="shared" si="253"/>
        <v/>
      </c>
      <c r="CB166" s="133">
        <f>IF($J166="",#N/A,SUM($CA$4:CA166))</f>
        <v>-99.50297628872076</v>
      </c>
      <c r="CC166" s="194" t="str">
        <f t="shared" si="254"/>
        <v/>
      </c>
      <c r="CD166" s="194">
        <f>IF($J166="",#N/A,SUM($CC$4:CC166))</f>
        <v>-3.1875162177003693</v>
      </c>
      <c r="CE166" s="195">
        <f t="shared" si="255"/>
        <v>0.32694532468185639</v>
      </c>
      <c r="CF166" s="195">
        <f>IF($J166="",#N/A,SUM($CE$4:CE166))</f>
        <v>4.4055729725924371</v>
      </c>
      <c r="CG166" s="196" t="str">
        <f t="shared" si="256"/>
        <v/>
      </c>
      <c r="CH166" s="193">
        <f>IF($J166="",#N/A,SUM($CG$4:CG166))</f>
        <v>0.93529165394645586</v>
      </c>
      <c r="CI166" s="200" t="str">
        <f t="shared" si="257"/>
        <v/>
      </c>
      <c r="CJ166" s="203">
        <f>IF($J166="",#N/A,SUM(CI$4:CI166))</f>
        <v>0</v>
      </c>
      <c r="CK166" s="204" t="str">
        <f t="shared" si="258"/>
        <v/>
      </c>
      <c r="CL166" s="204">
        <f>IF($J166="",#N/A,SUM(CK$4:CK166))</f>
        <v>2.9610246620255536</v>
      </c>
      <c r="CM166" s="205" t="str">
        <f t="shared" si="259"/>
        <v/>
      </c>
      <c r="CN166" s="205">
        <f>IF($J166="",#N/A,SUM(CM$4:CM166))</f>
        <v>3.3861132786295873</v>
      </c>
      <c r="CO166" s="205">
        <f>IF($J166="",#N/A,SUM(CM$4:CM166,CK$4:CK166,CI$4:CI166))</f>
        <v>6.3471379406551414</v>
      </c>
      <c r="CP166" s="200" t="str">
        <f t="shared" si="260"/>
        <v/>
      </c>
      <c r="CQ166" s="203">
        <f>IF($J166="",#N/A,SUM(CP$4:CP166))</f>
        <v>0</v>
      </c>
      <c r="CR166" s="204" t="str">
        <f t="shared" si="261"/>
        <v/>
      </c>
      <c r="CS166" s="204">
        <f>IF($J166="",#N/A,SUM(CR$4:CR166))</f>
        <v>2.420242024202421</v>
      </c>
      <c r="CT166" s="205" t="str">
        <f t="shared" si="262"/>
        <v/>
      </c>
      <c r="CU166" s="205">
        <f>IF($J166="",#N/A,SUM(CT$4:CT166))</f>
        <v>-1.6961777431035243</v>
      </c>
      <c r="CV166" s="205">
        <f>IF($J166="",#N/A,SUM(CT$4:CT166,CR$4:CR166,CP$4:CP166))</f>
        <v>0.72406428109889664</v>
      </c>
      <c r="CW166" s="200" t="str">
        <f t="shared" si="263"/>
        <v/>
      </c>
      <c r="CX166" s="203">
        <f>IF($J166="",#N/A,SUM(CW$4:CW166))</f>
        <v>0</v>
      </c>
      <c r="CY166" s="204" t="str">
        <f t="shared" si="264"/>
        <v/>
      </c>
      <c r="CZ166" s="204">
        <f>IF($J166="",#N/A,SUM(CY$4:CY166))</f>
        <v>-1.9289529100071134</v>
      </c>
      <c r="DA166" s="205" t="str">
        <f t="shared" si="265"/>
        <v/>
      </c>
      <c r="DB166" s="205">
        <f>IF($J166="",#N/A,SUM(DA$4:DA166))</f>
        <v>-1.2278690516702204</v>
      </c>
      <c r="DC166" s="205">
        <f>IF($J166="",#N/A,SUM(DA$4:DA166,CY$4:CY166,CW$4:CW166))</f>
        <v>-3.1568219616773341</v>
      </c>
      <c r="DD166" s="200" t="str">
        <f t="shared" si="266"/>
        <v/>
      </c>
      <c r="DE166" s="203">
        <f>IF($J166="",#N/A,SUM(DD$4:DD166))</f>
        <v>0.14968716170674062</v>
      </c>
      <c r="DF166" s="204" t="str">
        <f t="shared" si="267"/>
        <v/>
      </c>
      <c r="DG166" s="204">
        <f>IF($J166="",#N/A,SUM(DF$4:DF166))</f>
        <v>1.2121188689979676</v>
      </c>
      <c r="DH166" s="205" t="str">
        <f t="shared" si="268"/>
        <v/>
      </c>
      <c r="DI166" s="205">
        <f>IF($J166="",#N/A,SUM(DH$4:DH166))</f>
        <v>-0.8404015973735236</v>
      </c>
      <c r="DJ166" s="205">
        <f>IF($J166="",#N/A,SUM(DH$4:DH166,DF$4:DF166,DD$4:DD166))</f>
        <v>0.52140443333118447</v>
      </c>
      <c r="DK166" s="200" t="str">
        <f t="shared" si="269"/>
        <v/>
      </c>
      <c r="DL166" s="203">
        <f>IF($J166="",#N/A,SUM(DK$4:DK166))</f>
        <v>-1.2097286851272664</v>
      </c>
      <c r="DM166" s="204" t="str">
        <f t="shared" si="270"/>
        <v/>
      </c>
      <c r="DN166" s="204">
        <f>IF($J166="",#N/A,SUM(DM$4:DM166))</f>
        <v>1.1910608267574658</v>
      </c>
      <c r="DO166" s="205" t="str">
        <f t="shared" si="271"/>
        <v/>
      </c>
      <c r="DP166" s="205">
        <f>IF($J166="",#N/A,SUM(DO$4:DO166))</f>
        <v>1.3495058802125319</v>
      </c>
      <c r="DQ166" s="205">
        <f>IF($J166="",#N/A,SUM(DO$4:DO166,DM$4:DM166,DK$4:DK166))</f>
        <v>1.3308380218427318</v>
      </c>
      <c r="DR166" s="200" t="str">
        <f t="shared" si="272"/>
        <v/>
      </c>
      <c r="DS166" s="203">
        <f>IF($J166="",#N/A,SUM(DR$4:DR166))</f>
        <v>-0.55950946427675097</v>
      </c>
      <c r="DT166" s="204" t="str">
        <f t="shared" si="273"/>
        <v/>
      </c>
      <c r="DU166" s="204">
        <f>IF($J166="",#N/A,SUM(DT$4:DT166))</f>
        <v>-3.5029740333397914</v>
      </c>
      <c r="DV166" s="205" t="str">
        <f t="shared" si="274"/>
        <v/>
      </c>
      <c r="DW166" s="205">
        <f>IF($J166="",#N/A,SUM(DV$4:DV166))</f>
        <v>-1.8527424265931112</v>
      </c>
      <c r="DX166" s="205">
        <f>IF($J166="",#N/A,SUM(DV$4:DV166,DT$4:DT166,DR$4:DR166))</f>
        <v>-5.9152259242096532</v>
      </c>
      <c r="DY166" s="200" t="str">
        <f t="shared" si="275"/>
        <v/>
      </c>
      <c r="DZ166" s="203">
        <f>IF($J166="",#N/A,SUM(DY$4:DY166))</f>
        <v>-1.63480022183437</v>
      </c>
      <c r="EA166" s="204" t="str">
        <f t="shared" si="276"/>
        <v/>
      </c>
      <c r="EB166" s="204">
        <f>IF($J166="",#N/A,SUM(EA$4:EA166))</f>
        <v>-0.2070110273231956</v>
      </c>
      <c r="EC166" s="205" t="str">
        <f t="shared" si="277"/>
        <v/>
      </c>
      <c r="ED166" s="205">
        <f>IF($J166="",#N/A,SUM(EC$4:EC166))</f>
        <v>1.4704559513837272</v>
      </c>
      <c r="EE166" s="205">
        <f>IF($J166="",#N/A,SUM(EC$4:EC166,EA$4:EA166,DY$4:DY166))</f>
        <v>-0.37135529777383841</v>
      </c>
      <c r="EF166" s="200" t="str">
        <f t="shared" si="278"/>
        <v/>
      </c>
      <c r="EG166" s="203">
        <f>IF($J166="",#N/A,SUM(EF$4:EF166))</f>
        <v>0</v>
      </c>
      <c r="EH166" s="204" t="str">
        <f t="shared" si="279"/>
        <v/>
      </c>
      <c r="EI166" s="204">
        <f>IF($J166="",#N/A,SUM(EH$4:EH166))</f>
        <v>-1.1184224685150388</v>
      </c>
      <c r="EJ166" s="205" t="str">
        <f t="shared" si="280"/>
        <v/>
      </c>
      <c r="EK166" s="205">
        <f>IF($J166="",#N/A,SUM(EJ$4:EJ166))</f>
        <v>2.804966392787259</v>
      </c>
      <c r="EL166" s="205">
        <f>IF($J166="",#N/A,SUM(EJ$4:EJ166,EH$4:EH166,EF$4:EF166))</f>
        <v>1.6865439242722209</v>
      </c>
      <c r="EM166" s="200" t="str">
        <f t="shared" si="281"/>
        <v/>
      </c>
      <c r="EN166" s="203">
        <f>IF($J166="",#N/A,SUM(EM$4:EM166))</f>
        <v>0</v>
      </c>
      <c r="EO166" s="204" t="str">
        <f t="shared" si="282"/>
        <v/>
      </c>
      <c r="EP166" s="204">
        <f>IF($J166="",#N/A,SUM(EO$4:EO166))</f>
        <v>1.264716604605848</v>
      </c>
      <c r="EQ166" s="205" t="str">
        <f t="shared" si="283"/>
        <v/>
      </c>
      <c r="ER166" s="205">
        <f>IF($J166="",#N/A,SUM(EQ$4:EQ166))</f>
        <v>1.5025175479314647</v>
      </c>
      <c r="ES166" s="205">
        <f>IF($J166="",#N/A,SUM(EQ$4:EQ166,EO$4:EO166,EM$4:EM166))</f>
        <v>2.7672341525373123</v>
      </c>
      <c r="ET166" s="200" t="str">
        <f t="shared" si="284"/>
        <v/>
      </c>
      <c r="EU166" s="203">
        <f>IF($J166="",#N/A,SUM(ET$4:ET166))</f>
        <v>0</v>
      </c>
      <c r="EV166" s="204" t="str">
        <f t="shared" si="285"/>
        <v/>
      </c>
      <c r="EW166" s="204">
        <f>IF($J166="",#N/A,SUM(EV$4:EV166))</f>
        <v>0.90459527759708336</v>
      </c>
      <c r="EX166" s="205" t="str">
        <f t="shared" si="286"/>
        <v/>
      </c>
      <c r="EY166" s="205">
        <f>IF($J166="",#N/A,SUM(EX$4:EX166))</f>
        <v>0.22957553748493481</v>
      </c>
      <c r="EZ166" s="205">
        <f>IF($J166="",#N/A,SUM(EX$4:EX166,EV$4:EV166,ET$4:ET166))</f>
        <v>1.134170815082018</v>
      </c>
      <c r="FA166" s="200" t="str">
        <f t="shared" si="287"/>
        <v/>
      </c>
      <c r="FB166" s="203">
        <f>IF($J166="",#N/A,SUM(FA$4:FA166))</f>
        <v>0</v>
      </c>
      <c r="FC166" s="204" t="str">
        <f t="shared" si="288"/>
        <v/>
      </c>
      <c r="FD166" s="204">
        <f>IF($J166="",#N/A,SUM(FC$4:FC166))</f>
        <v>1.6839191319663924</v>
      </c>
      <c r="FE166" s="205" t="str">
        <f t="shared" si="289"/>
        <v/>
      </c>
      <c r="FF166" s="205">
        <f>IF($J166="",#N/A,SUM(FE$4:FE166))</f>
        <v>-0.28811149078748233</v>
      </c>
      <c r="FG166" s="205">
        <f>IF($J166="",#N/A,SUM(FE$4:FE166,FC$4:FC166,FA$4:FA166))</f>
        <v>1.3958076411789102</v>
      </c>
      <c r="FH166" s="200" t="str">
        <f t="shared" si="290"/>
        <v/>
      </c>
      <c r="FI166" s="203">
        <f>IF($J166="",#N/A,SUM(FH$4:FH166))</f>
        <v>0</v>
      </c>
      <c r="FJ166" s="204" t="str">
        <f t="shared" si="291"/>
        <v/>
      </c>
      <c r="FK166" s="204">
        <f>IF($J166="",#N/A,SUM(FJ$4:FJ166))</f>
        <v>0</v>
      </c>
      <c r="FL166" s="205" t="str">
        <f t="shared" si="292"/>
        <v/>
      </c>
      <c r="FM166" s="205">
        <f>IF($J166="",#N/A,SUM(FL$4:FL166))</f>
        <v>0</v>
      </c>
      <c r="FN166" s="205">
        <f>IF($J166="",#N/A,SUM(FL$4:FL166,FJ$4:FJ166,FH$4:FH166))</f>
        <v>0</v>
      </c>
      <c r="FO166" s="200" t="str">
        <f t="shared" si="293"/>
        <v/>
      </c>
      <c r="FP166" s="203">
        <f>IF($J166="",#N/A,SUM(FO$4:FO166))</f>
        <v>0</v>
      </c>
      <c r="FQ166" s="204" t="str">
        <f t="shared" si="294"/>
        <v/>
      </c>
      <c r="FR166" s="204">
        <f>IF($J166="",#N/A,SUM(FQ$4:FQ166))</f>
        <v>0</v>
      </c>
      <c r="FS166" s="205" t="str">
        <f t="shared" si="295"/>
        <v/>
      </c>
      <c r="FT166" s="205">
        <f>IF($J166="",#N/A,SUM(FS$4:FS166))</f>
        <v>0</v>
      </c>
      <c r="FU166" s="205">
        <f>IF($J166="",#N/A,SUM(FS$4:FS166,FQ$4:FQ166,FO$4:FO166))</f>
        <v>0</v>
      </c>
      <c r="FV166" s="200" t="str">
        <f t="shared" si="296"/>
        <v/>
      </c>
      <c r="FW166" s="203">
        <f>IF($J166="",#N/A,SUM(FV$4:FV166))</f>
        <v>6.6834991831277585E-2</v>
      </c>
      <c r="FX166" s="204" t="str">
        <f t="shared" si="297"/>
        <v/>
      </c>
      <c r="FY166" s="204">
        <f>IF($J166="",#N/A,SUM(FX$4:FX166))</f>
        <v>0</v>
      </c>
      <c r="FZ166" s="205" t="str">
        <f t="shared" si="298"/>
        <v/>
      </c>
      <c r="GA166" s="205">
        <f>IF($J166="",#N/A,SUM(FZ$4:FZ166))</f>
        <v>-0.96570439723286938</v>
      </c>
      <c r="GB166" s="205">
        <f>IF($J166="",#N/A,SUM(FZ$4:FZ166,FX$4:FX166,FV$4:FV166))</f>
        <v>-0.89886940540159177</v>
      </c>
      <c r="GC166" s="200" t="str">
        <f t="shared" si="299"/>
        <v/>
      </c>
      <c r="GD166" s="203">
        <f>IF($J166="",#N/A,SUM(GC$4:GC166))</f>
        <v>0</v>
      </c>
      <c r="GE166" s="204" t="str">
        <f t="shared" si="300"/>
        <v/>
      </c>
      <c r="GF166" s="204">
        <f>IF($J166="",#N/A,SUM(GE$4:GE166))</f>
        <v>0</v>
      </c>
      <c r="GG166" s="205" t="str">
        <f t="shared" si="301"/>
        <v/>
      </c>
      <c r="GH166" s="205">
        <f>IF($J166="",#N/A,SUM(GG$4:GG166))</f>
        <v>-2.9368362277223206</v>
      </c>
      <c r="GI166" s="205">
        <f>IF($J166="",#N/A,SUM(GG$4:GG166,GE$4:GE166,GC$4:GC166))</f>
        <v>-2.9368362277223206</v>
      </c>
      <c r="GJ166" s="200" t="str">
        <f t="shared" si="302"/>
        <v/>
      </c>
      <c r="GK166" s="203">
        <f>IF($J166="",#N/A,SUM(GJ$4:GJ166))</f>
        <v>0</v>
      </c>
      <c r="GL166" s="204" t="str">
        <f t="shared" si="303"/>
        <v/>
      </c>
      <c r="GM166" s="204">
        <f>IF($J166="",#N/A,SUM(GL$4:GL166))</f>
        <v>-0.80168930905701452</v>
      </c>
      <c r="GN166" s="205" t="str">
        <f t="shared" si="304"/>
        <v/>
      </c>
      <c r="GO166" s="205">
        <f>IF($J166="",#N/A,SUM(GN$4:GN166))</f>
        <v>0</v>
      </c>
      <c r="GP166" s="205">
        <f>IF($J166="",#N/A,SUM(GN$4:GN166,GL$4:GL166,GJ$4:GJ166))</f>
        <v>-0.80168930905701452</v>
      </c>
      <c r="GS166" s="54" t="str">
        <f t="shared" si="323"/>
        <v/>
      </c>
      <c r="GT166" s="54" t="e">
        <f>IF(GS166="",NA(),SUM($GS$4:GS166))</f>
        <v>#N/A</v>
      </c>
      <c r="GU166" s="54" t="str">
        <f t="shared" si="305"/>
        <v/>
      </c>
      <c r="GV166" s="54" t="e">
        <f>IF(GU166="",NA(),SUM($GU$4:GU166))</f>
        <v>#N/A</v>
      </c>
      <c r="GW166" s="54" t="str">
        <f t="shared" si="306"/>
        <v/>
      </c>
      <c r="GX166" s="54" t="e">
        <f>IF(GW166="",NA(),SUM($GW$4:GW166))</f>
        <v>#N/A</v>
      </c>
      <c r="GY166" s="54" t="str">
        <f t="shared" si="307"/>
        <v/>
      </c>
      <c r="GZ166" s="54" t="e">
        <f>IF(GY166="",NA(),SUM($GY$4:GY166))</f>
        <v>#N/A</v>
      </c>
      <c r="HA166" s="54">
        <f t="shared" si="308"/>
        <v>0.32694532468185639</v>
      </c>
      <c r="HB166" s="54">
        <f>IF(HA166="",NA(),SUM($HA$4:HA166))</f>
        <v>2.6539301709695486</v>
      </c>
      <c r="HC166" s="54" t="str">
        <f t="shared" si="309"/>
        <v/>
      </c>
      <c r="HD166" s="54" t="e">
        <f>IF(HC166="",NA(),SUM($HC$4:HC166))</f>
        <v>#N/A</v>
      </c>
      <c r="HE166" s="54" t="str">
        <f t="shared" si="310"/>
        <v/>
      </c>
      <c r="HF166" s="54" t="e">
        <f>IF(HE166="",NA(),SUM($HE$4:HE166))</f>
        <v>#N/A</v>
      </c>
      <c r="HG166" s="54">
        <f t="shared" si="311"/>
        <v>0.32694532468185639</v>
      </c>
      <c r="HH166" s="54">
        <f>IF(HG166="",NA(),SUM($HG$4:HG166))</f>
        <v>2.9738766769033638</v>
      </c>
      <c r="HI166" s="172">
        <f t="shared" si="324"/>
        <v>0.11191589960263398</v>
      </c>
      <c r="HJ166" s="172">
        <f>IF($J166="",#N/A,SUM(HI$4:$HI166))</f>
        <v>-7.0622551668788667</v>
      </c>
      <c r="HK166" s="54" t="str">
        <f t="shared" si="312"/>
        <v/>
      </c>
      <c r="HL166" s="54">
        <f>IF($J166="",#N/A,SUM($HK$4:HK166))</f>
        <v>-5.702620630287301</v>
      </c>
      <c r="HM166" s="54" t="str">
        <f t="shared" si="313"/>
        <v/>
      </c>
      <c r="HN166" s="54">
        <f>IF($J166="",#N/A,SUM($HM$4:HM166))</f>
        <v>0.71812545963587882</v>
      </c>
      <c r="HO166" s="54" t="str">
        <f t="shared" si="314"/>
        <v/>
      </c>
      <c r="HP166" s="54">
        <f>IF($J166="",#N/A,SUM($HO$4:HO166))</f>
        <v>-0.14859521910082485</v>
      </c>
      <c r="HQ166" s="54" t="str">
        <f t="shared" si="315"/>
        <v/>
      </c>
      <c r="HR166" s="54">
        <f>IF($J166="",#N/A,SUM($HQ$4:HQ166))</f>
        <v>-9.3909580302196201</v>
      </c>
      <c r="HS166" s="54" t="str">
        <f t="shared" si="316"/>
        <v/>
      </c>
      <c r="HT166" s="54">
        <f>IF($J166="",#N/A,SUM($HS$4:HS166))</f>
        <v>12.032733364798178</v>
      </c>
      <c r="HU166" s="65">
        <f t="shared" si="317"/>
        <v>0.43886122428449037</v>
      </c>
      <c r="HV166" s="65">
        <f>IF($J166="",#N/A,SUM(HU$4:$HU166))</f>
        <v>-7.4002218132140403</v>
      </c>
    </row>
    <row r="167" spans="1:230" x14ac:dyDescent="0.25">
      <c r="A167" s="396" t="s">
        <v>1506</v>
      </c>
      <c r="B167" s="52" t="s">
        <v>4542</v>
      </c>
      <c r="C167" s="229">
        <f t="shared" si="218"/>
        <v>2</v>
      </c>
      <c r="D167" s="219" t="str">
        <f>_xlfn.XLOOKUP(A167,[1]SP500!$A$2:$A$502,[1]SP500!$D$2:$D$502,"N")</f>
        <v>Y</v>
      </c>
      <c r="E167" s="51" t="str">
        <f>IFERROR(_xlfn.XLOOKUP(A167,[1]SP500!$A$2:$A$655,[1]SP500!$B$2:$B$655),"")</f>
        <v>XLK</v>
      </c>
      <c r="F167" s="290">
        <v>45777</v>
      </c>
      <c r="G167" s="51" t="str">
        <f t="shared" si="219"/>
        <v>BMO</v>
      </c>
      <c r="H167" s="51" t="str">
        <f t="shared" si="220"/>
        <v>s</v>
      </c>
      <c r="I167" s="344">
        <v>40.619999999999997</v>
      </c>
      <c r="J167" s="124">
        <v>42.98</v>
      </c>
      <c r="K167" s="55">
        <f t="shared" si="221"/>
        <v>5.8099458394879358E-2</v>
      </c>
      <c r="L167" s="67">
        <f t="shared" si="222"/>
        <v>-59.000000000000114</v>
      </c>
      <c r="M167" s="57">
        <f t="shared" si="223"/>
        <v>1.25</v>
      </c>
      <c r="N167" s="102">
        <f t="shared" si="224"/>
        <v>-59.000000000000114</v>
      </c>
      <c r="O167" s="57">
        <f>IF(N167="",#N/A,SUM($N$4:N167))</f>
        <v>-139.51363589938737</v>
      </c>
      <c r="P167" s="65">
        <f t="shared" si="318"/>
        <v>-0.96832430658132485</v>
      </c>
      <c r="Q167" s="172">
        <f>IF($N167="",#N/A,SUM($P$4:P167))</f>
        <v>1.1850241022571937</v>
      </c>
      <c r="R167" s="279">
        <f t="shared" si="225"/>
        <v>4.4013179970998433</v>
      </c>
      <c r="S167" s="51" t="str">
        <f t="shared" si="226"/>
        <v>Dwn</v>
      </c>
      <c r="T167" s="51" t="s">
        <v>4461</v>
      </c>
      <c r="U167" s="56">
        <f t="shared" si="227"/>
        <v>40.619999999999997</v>
      </c>
      <c r="V167" s="56" t="s">
        <v>4458</v>
      </c>
      <c r="W167" s="142">
        <v>25</v>
      </c>
      <c r="X167" s="145">
        <f t="shared" si="228"/>
        <v>1015.4999999999999</v>
      </c>
      <c r="Y167" s="140">
        <f t="shared" si="229"/>
        <v>25</v>
      </c>
      <c r="Z167" s="123">
        <v>42.93</v>
      </c>
      <c r="AA167" s="102">
        <f t="shared" si="230"/>
        <v>-57.750000000000114</v>
      </c>
      <c r="AB167" s="102">
        <f t="shared" si="231"/>
        <v>-81.000000000000114</v>
      </c>
      <c r="AC167" s="124">
        <v>43.86</v>
      </c>
      <c r="AD167" s="155">
        <f t="shared" si="232"/>
        <v>-81.000000000000114</v>
      </c>
      <c r="AE167" s="545">
        <f t="shared" si="233"/>
        <v>-1.329394387001479</v>
      </c>
      <c r="AF167" s="57">
        <f>IF($AC167="",#N/A,SUM(AD$4:AD167))</f>
        <v>-645.2604120024165</v>
      </c>
      <c r="AG167" s="102">
        <f t="shared" si="234"/>
        <v>-22</v>
      </c>
      <c r="AH167" s="56" t="s">
        <v>2507</v>
      </c>
      <c r="AI167" s="65">
        <f t="shared" si="235"/>
        <v>-0.94780896110290691</v>
      </c>
      <c r="AJ167" s="54">
        <f>IF(AI167="",#N/A,SUM($AI$4:AI167))</f>
        <v>-3.2162938948426496</v>
      </c>
      <c r="AK167" s="57">
        <f t="shared" si="236"/>
        <v>-57.750000000000114</v>
      </c>
      <c r="AL167" s="349">
        <f>IF(AI167="",#N/A,IF(AH167="Skip",SUM($AK$4:AK167),SUM($AK$4:AK167)))</f>
        <v>-433.66740850718679</v>
      </c>
      <c r="AM167" s="65">
        <f t="shared" si="319"/>
        <v>-1.329394387001479</v>
      </c>
      <c r="AN167" s="209"/>
      <c r="AO167" s="65" t="str">
        <f t="shared" si="237"/>
        <v/>
      </c>
      <c r="AP167" s="65">
        <f>IF($AC167="",#N/A,SUM(AO$4:AO167))</f>
        <v>3.5770669885250079</v>
      </c>
      <c r="AQ167" s="65" t="str">
        <f t="shared" si="238"/>
        <v/>
      </c>
      <c r="AR167" s="65">
        <f>IF($AC167="",#N/A,SUM(AQ$4:AQ167))</f>
        <v>-2.6179859771653153</v>
      </c>
      <c r="AS167" s="65">
        <f t="shared" si="239"/>
        <v>-1.329394387001479</v>
      </c>
      <c r="AT167" s="65">
        <f>IF($AC167="",#N/A,SUM(AS$4:AS167))</f>
        <v>-9.6886972115752155</v>
      </c>
      <c r="AU167" s="57" t="str">
        <f t="shared" si="320"/>
        <v/>
      </c>
      <c r="AV167" s="57">
        <f>IF($AC167="",#N/A,SUM(AU$4:AU167))</f>
        <v>118.93120645125057</v>
      </c>
      <c r="AW167" s="57" t="str">
        <f t="shared" si="321"/>
        <v/>
      </c>
      <c r="AX167" s="57">
        <f>IF($AC167="",#N/A,SUM(AW$4:AW167))</f>
        <v>-163.1400000000001</v>
      </c>
      <c r="AY167" s="57">
        <f t="shared" si="322"/>
        <v>-81.000000000000114</v>
      </c>
      <c r="AZ167" s="57">
        <f>IF($AC167="",#N/A,SUM(AY$4:AY167))</f>
        <v>-601.05161845366695</v>
      </c>
      <c r="BA167" s="57">
        <f>IF(AD167="",#N/A,SUM($AD$4:AD167))</f>
        <v>-645.2604120024165</v>
      </c>
      <c r="BC167" s="51" t="str">
        <f t="shared" si="240"/>
        <v/>
      </c>
      <c r="BD167" s="51">
        <f t="shared" si="241"/>
        <v>1</v>
      </c>
      <c r="BE167" s="51" t="str">
        <f t="shared" si="242"/>
        <v/>
      </c>
      <c r="BF167" s="51" t="str">
        <f t="shared" si="243"/>
        <v>Short</v>
      </c>
      <c r="BG167" s="51" t="str">
        <f t="shared" si="244"/>
        <v/>
      </c>
      <c r="BH167" s="51" t="str">
        <f t="shared" si="245"/>
        <v/>
      </c>
      <c r="BI167" s="51" t="str">
        <f t="shared" si="246"/>
        <v/>
      </c>
      <c r="BK167" s="65">
        <f t="shared" si="217"/>
        <v>0.10850167486793136</v>
      </c>
      <c r="BL167" s="65">
        <f t="shared" si="325"/>
        <v>0.10432195678724984</v>
      </c>
      <c r="BM167" s="65">
        <f>IFERROR(Q167/COUNTA($J$4:J167),#N/A)</f>
        <v>7.2257567210804495E-3</v>
      </c>
      <c r="BO167" s="489" t="e">
        <f>IF(J167="",#N/A,IF(S167="SW",(COUNTIFS(K$4:$K167,"&gt;0",S$4:$S167,"SW")/COUNTIF(S$4:$S167,"SW")),#N/A))</f>
        <v>#N/A</v>
      </c>
      <c r="BP167" s="489">
        <f>IF($J167="",#N/A,IF($S167="DWN",(COUNTIFS($K$4:$K167,"&lt;0",$S$4:$S167,"DWN")/COUNTIF($S$4:$S167,"DWN")),#N/A))</f>
        <v>0.55882352941176472</v>
      </c>
      <c r="BQ167" s="489" t="e">
        <f>IF($J167="",#N/A,IF($S167="UP",(COUNTIFS($K$4:$K167,"&gt;0",$S$4:$S167,"UP")/COUNTIF($S$4:$S167,"UP")),#N/A))</f>
        <v>#N/A</v>
      </c>
      <c r="BR167" s="489">
        <f>IF(J167="",#N/A,COUNTIF($K$4:K167,"&gt;0")/COUNT($J$4:J167))</f>
        <v>0.46341463414634149</v>
      </c>
      <c r="BS167" s="65" t="str">
        <f t="shared" si="247"/>
        <v/>
      </c>
      <c r="BT167" s="65" t="str">
        <f t="shared" si="248"/>
        <v/>
      </c>
      <c r="BU167" s="65" t="str">
        <f t="shared" si="249"/>
        <v/>
      </c>
      <c r="BV167" s="65">
        <f t="shared" si="250"/>
        <v>-0.96832430658132485</v>
      </c>
      <c r="BW167" s="128" t="str">
        <f t="shared" si="251"/>
        <v/>
      </c>
      <c r="BX167" s="128">
        <f>IF($J167="",#N/A,SUM($BW$4:BW167))</f>
        <v>-205.1650000000003</v>
      </c>
      <c r="BY167" s="131">
        <f t="shared" si="252"/>
        <v>-59.000000000000114</v>
      </c>
      <c r="BZ167" s="131">
        <f>IF($J167="",#N/A,SUM($BY$4:BY167))</f>
        <v>165.1543403893337</v>
      </c>
      <c r="CA167" s="133" t="str">
        <f t="shared" si="253"/>
        <v/>
      </c>
      <c r="CB167" s="133">
        <f>IF($J167="",#N/A,SUM($CA$4:CA167))</f>
        <v>-99.50297628872076</v>
      </c>
      <c r="CC167" s="194" t="str">
        <f t="shared" si="254"/>
        <v/>
      </c>
      <c r="CD167" s="194">
        <f>IF($J167="",#N/A,SUM($CC$4:CC167))</f>
        <v>-3.1875162177003693</v>
      </c>
      <c r="CE167" s="195">
        <f t="shared" si="255"/>
        <v>-0.96832430658132485</v>
      </c>
      <c r="CF167" s="195">
        <f>IF($J167="",#N/A,SUM($CE$4:CE167))</f>
        <v>3.4372486660111123</v>
      </c>
      <c r="CG167" s="196" t="str">
        <f t="shared" si="256"/>
        <v/>
      </c>
      <c r="CH167" s="193">
        <f>IF($J167="",#N/A,SUM($CG$4:CG167))</f>
        <v>0.93529165394645586</v>
      </c>
      <c r="CI167" s="200" t="str">
        <f t="shared" si="257"/>
        <v/>
      </c>
      <c r="CJ167" s="203">
        <f>IF($J167="",#N/A,SUM(CI$4:CI167))</f>
        <v>0</v>
      </c>
      <c r="CK167" s="204">
        <f t="shared" si="258"/>
        <v>-0.96832430658132485</v>
      </c>
      <c r="CL167" s="204">
        <f>IF($J167="",#N/A,SUM(CK$4:CK167))</f>
        <v>1.9927003554442289</v>
      </c>
      <c r="CM167" s="205" t="str">
        <f t="shared" si="259"/>
        <v/>
      </c>
      <c r="CN167" s="205">
        <f>IF($J167="",#N/A,SUM(CM$4:CM167))</f>
        <v>3.3861132786295873</v>
      </c>
      <c r="CO167" s="205">
        <f>IF($J167="",#N/A,SUM(CM$4:CM167,CK$4:CK167,CI$4:CI167))</f>
        <v>5.3788136340738166</v>
      </c>
      <c r="CP167" s="200" t="str">
        <f t="shared" si="260"/>
        <v/>
      </c>
      <c r="CQ167" s="203">
        <f>IF($J167="",#N/A,SUM(CP$4:CP167))</f>
        <v>0</v>
      </c>
      <c r="CR167" s="204" t="str">
        <f t="shared" si="261"/>
        <v/>
      </c>
      <c r="CS167" s="204">
        <f>IF($J167="",#N/A,SUM(CR$4:CR167))</f>
        <v>2.420242024202421</v>
      </c>
      <c r="CT167" s="205" t="str">
        <f t="shared" si="262"/>
        <v/>
      </c>
      <c r="CU167" s="205">
        <f>IF($J167="",#N/A,SUM(CT$4:CT167))</f>
        <v>-1.6961777431035243</v>
      </c>
      <c r="CV167" s="205">
        <f>IF($J167="",#N/A,SUM(CT$4:CT167,CR$4:CR167,CP$4:CP167))</f>
        <v>0.72406428109889664</v>
      </c>
      <c r="CW167" s="200" t="str">
        <f t="shared" si="263"/>
        <v/>
      </c>
      <c r="CX167" s="203">
        <f>IF($J167="",#N/A,SUM(CW$4:CW167))</f>
        <v>0</v>
      </c>
      <c r="CY167" s="204" t="str">
        <f t="shared" si="264"/>
        <v/>
      </c>
      <c r="CZ167" s="204">
        <f>IF($J167="",#N/A,SUM(CY$4:CY167))</f>
        <v>-1.9289529100071134</v>
      </c>
      <c r="DA167" s="205" t="str">
        <f t="shared" si="265"/>
        <v/>
      </c>
      <c r="DB167" s="205">
        <f>IF($J167="",#N/A,SUM(DA$4:DA167))</f>
        <v>-1.2278690516702204</v>
      </c>
      <c r="DC167" s="205">
        <f>IF($J167="",#N/A,SUM(DA$4:DA167,CY$4:CY167,CW$4:CW167))</f>
        <v>-3.1568219616773341</v>
      </c>
      <c r="DD167" s="200" t="str">
        <f t="shared" si="266"/>
        <v/>
      </c>
      <c r="DE167" s="203">
        <f>IF($J167="",#N/A,SUM(DD$4:DD167))</f>
        <v>0.14968716170674062</v>
      </c>
      <c r="DF167" s="204" t="str">
        <f t="shared" si="267"/>
        <v/>
      </c>
      <c r="DG167" s="204">
        <f>IF($J167="",#N/A,SUM(DF$4:DF167))</f>
        <v>1.2121188689979676</v>
      </c>
      <c r="DH167" s="205" t="str">
        <f t="shared" si="268"/>
        <v/>
      </c>
      <c r="DI167" s="205">
        <f>IF($J167="",#N/A,SUM(DH$4:DH167))</f>
        <v>-0.8404015973735236</v>
      </c>
      <c r="DJ167" s="205">
        <f>IF($J167="",#N/A,SUM(DH$4:DH167,DF$4:DF167,DD$4:DD167))</f>
        <v>0.52140443333118447</v>
      </c>
      <c r="DK167" s="200" t="str">
        <f t="shared" si="269"/>
        <v/>
      </c>
      <c r="DL167" s="203">
        <f>IF($J167="",#N/A,SUM(DK$4:DK167))</f>
        <v>-1.2097286851272664</v>
      </c>
      <c r="DM167" s="204" t="str">
        <f t="shared" si="270"/>
        <v/>
      </c>
      <c r="DN167" s="204">
        <f>IF($J167="",#N/A,SUM(DM$4:DM167))</f>
        <v>1.1910608267574658</v>
      </c>
      <c r="DO167" s="205" t="str">
        <f t="shared" si="271"/>
        <v/>
      </c>
      <c r="DP167" s="205">
        <f>IF($J167="",#N/A,SUM(DO$4:DO167))</f>
        <v>1.3495058802125319</v>
      </c>
      <c r="DQ167" s="205">
        <f>IF($J167="",#N/A,SUM(DO$4:DO167,DM$4:DM167,DK$4:DK167))</f>
        <v>1.3308380218427318</v>
      </c>
      <c r="DR167" s="200" t="str">
        <f t="shared" si="272"/>
        <v/>
      </c>
      <c r="DS167" s="203">
        <f>IF($J167="",#N/A,SUM(DR$4:DR167))</f>
        <v>-0.55950946427675097</v>
      </c>
      <c r="DT167" s="204" t="str">
        <f t="shared" si="273"/>
        <v/>
      </c>
      <c r="DU167" s="204">
        <f>IF($J167="",#N/A,SUM(DT$4:DT167))</f>
        <v>-3.5029740333397914</v>
      </c>
      <c r="DV167" s="205" t="str">
        <f t="shared" si="274"/>
        <v/>
      </c>
      <c r="DW167" s="205">
        <f>IF($J167="",#N/A,SUM(DV$4:DV167))</f>
        <v>-1.8527424265931112</v>
      </c>
      <c r="DX167" s="205">
        <f>IF($J167="",#N/A,SUM(DV$4:DV167,DT$4:DT167,DR$4:DR167))</f>
        <v>-5.9152259242096532</v>
      </c>
      <c r="DY167" s="200" t="str">
        <f t="shared" si="275"/>
        <v/>
      </c>
      <c r="DZ167" s="203">
        <f>IF($J167="",#N/A,SUM(DY$4:DY167))</f>
        <v>-1.63480022183437</v>
      </c>
      <c r="EA167" s="204" t="str">
        <f t="shared" si="276"/>
        <v/>
      </c>
      <c r="EB167" s="204">
        <f>IF($J167="",#N/A,SUM(EA$4:EA167))</f>
        <v>-0.2070110273231956</v>
      </c>
      <c r="EC167" s="205" t="str">
        <f t="shared" si="277"/>
        <v/>
      </c>
      <c r="ED167" s="205">
        <f>IF($J167="",#N/A,SUM(EC$4:EC167))</f>
        <v>1.4704559513837272</v>
      </c>
      <c r="EE167" s="205">
        <f>IF($J167="",#N/A,SUM(EC$4:EC167,EA$4:EA167,DY$4:DY167))</f>
        <v>-0.37135529777383841</v>
      </c>
      <c r="EF167" s="200" t="str">
        <f t="shared" si="278"/>
        <v/>
      </c>
      <c r="EG167" s="203">
        <f>IF($J167="",#N/A,SUM(EF$4:EF167))</f>
        <v>0</v>
      </c>
      <c r="EH167" s="204" t="str">
        <f t="shared" si="279"/>
        <v/>
      </c>
      <c r="EI167" s="204">
        <f>IF($J167="",#N/A,SUM(EH$4:EH167))</f>
        <v>-1.1184224685150388</v>
      </c>
      <c r="EJ167" s="205" t="str">
        <f t="shared" si="280"/>
        <v/>
      </c>
      <c r="EK167" s="205">
        <f>IF($J167="",#N/A,SUM(EJ$4:EJ167))</f>
        <v>2.804966392787259</v>
      </c>
      <c r="EL167" s="205">
        <f>IF($J167="",#N/A,SUM(EJ$4:EJ167,EH$4:EH167,EF$4:EF167))</f>
        <v>1.6865439242722209</v>
      </c>
      <c r="EM167" s="200" t="str">
        <f t="shared" si="281"/>
        <v/>
      </c>
      <c r="EN167" s="203">
        <f>IF($J167="",#N/A,SUM(EM$4:EM167))</f>
        <v>0</v>
      </c>
      <c r="EO167" s="204" t="str">
        <f t="shared" si="282"/>
        <v/>
      </c>
      <c r="EP167" s="204">
        <f>IF($J167="",#N/A,SUM(EO$4:EO167))</f>
        <v>1.264716604605848</v>
      </c>
      <c r="EQ167" s="205" t="str">
        <f t="shared" si="283"/>
        <v/>
      </c>
      <c r="ER167" s="205">
        <f>IF($J167="",#N/A,SUM(EQ$4:EQ167))</f>
        <v>1.5025175479314647</v>
      </c>
      <c r="ES167" s="205">
        <f>IF($J167="",#N/A,SUM(EQ$4:EQ167,EO$4:EO167,EM$4:EM167))</f>
        <v>2.7672341525373123</v>
      </c>
      <c r="ET167" s="200" t="str">
        <f t="shared" si="284"/>
        <v/>
      </c>
      <c r="EU167" s="203">
        <f>IF($J167="",#N/A,SUM(ET$4:ET167))</f>
        <v>0</v>
      </c>
      <c r="EV167" s="204" t="str">
        <f t="shared" si="285"/>
        <v/>
      </c>
      <c r="EW167" s="204">
        <f>IF($J167="",#N/A,SUM(EV$4:EV167))</f>
        <v>0.90459527759708336</v>
      </c>
      <c r="EX167" s="205" t="str">
        <f t="shared" si="286"/>
        <v/>
      </c>
      <c r="EY167" s="205">
        <f>IF($J167="",#N/A,SUM(EX$4:EX167))</f>
        <v>0.22957553748493481</v>
      </c>
      <c r="EZ167" s="205">
        <f>IF($J167="",#N/A,SUM(EX$4:EX167,EV$4:EV167,ET$4:ET167))</f>
        <v>1.134170815082018</v>
      </c>
      <c r="FA167" s="200" t="str">
        <f t="shared" si="287"/>
        <v/>
      </c>
      <c r="FB167" s="203">
        <f>IF($J167="",#N/A,SUM(FA$4:FA167))</f>
        <v>0</v>
      </c>
      <c r="FC167" s="204" t="str">
        <f t="shared" si="288"/>
        <v/>
      </c>
      <c r="FD167" s="204">
        <f>IF($J167="",#N/A,SUM(FC$4:FC167))</f>
        <v>1.6839191319663924</v>
      </c>
      <c r="FE167" s="205" t="str">
        <f t="shared" si="289"/>
        <v/>
      </c>
      <c r="FF167" s="205">
        <f>IF($J167="",#N/A,SUM(FE$4:FE167))</f>
        <v>-0.28811149078748233</v>
      </c>
      <c r="FG167" s="205">
        <f>IF($J167="",#N/A,SUM(FE$4:FE167,FC$4:FC167,FA$4:FA167))</f>
        <v>1.3958076411789102</v>
      </c>
      <c r="FH167" s="200" t="str">
        <f t="shared" si="290"/>
        <v/>
      </c>
      <c r="FI167" s="203">
        <f>IF($J167="",#N/A,SUM(FH$4:FH167))</f>
        <v>0</v>
      </c>
      <c r="FJ167" s="204" t="str">
        <f t="shared" si="291"/>
        <v/>
      </c>
      <c r="FK167" s="204">
        <f>IF($J167="",#N/A,SUM(FJ$4:FJ167))</f>
        <v>0</v>
      </c>
      <c r="FL167" s="205" t="str">
        <f t="shared" si="292"/>
        <v/>
      </c>
      <c r="FM167" s="205">
        <f>IF($J167="",#N/A,SUM(FL$4:FL167))</f>
        <v>0</v>
      </c>
      <c r="FN167" s="205">
        <f>IF($J167="",#N/A,SUM(FL$4:FL167,FJ$4:FJ167,FH$4:FH167))</f>
        <v>0</v>
      </c>
      <c r="FO167" s="200" t="str">
        <f t="shared" si="293"/>
        <v/>
      </c>
      <c r="FP167" s="203">
        <f>IF($J167="",#N/A,SUM(FO$4:FO167))</f>
        <v>0</v>
      </c>
      <c r="FQ167" s="204" t="str">
        <f t="shared" si="294"/>
        <v/>
      </c>
      <c r="FR167" s="204">
        <f>IF($J167="",#N/A,SUM(FQ$4:FQ167))</f>
        <v>0</v>
      </c>
      <c r="FS167" s="205" t="str">
        <f t="shared" si="295"/>
        <v/>
      </c>
      <c r="FT167" s="205">
        <f>IF($J167="",#N/A,SUM(FS$4:FS167))</f>
        <v>0</v>
      </c>
      <c r="FU167" s="205">
        <f>IF($J167="",#N/A,SUM(FS$4:FS167,FQ$4:FQ167,FO$4:FO167))</f>
        <v>0</v>
      </c>
      <c r="FV167" s="200" t="str">
        <f t="shared" si="296"/>
        <v/>
      </c>
      <c r="FW167" s="203">
        <f>IF($J167="",#N/A,SUM(FV$4:FV167))</f>
        <v>6.6834991831277585E-2</v>
      </c>
      <c r="FX167" s="204" t="str">
        <f t="shared" si="297"/>
        <v/>
      </c>
      <c r="FY167" s="204">
        <f>IF($J167="",#N/A,SUM(FX$4:FX167))</f>
        <v>0</v>
      </c>
      <c r="FZ167" s="205" t="str">
        <f t="shared" si="298"/>
        <v/>
      </c>
      <c r="GA167" s="205">
        <f>IF($J167="",#N/A,SUM(FZ$4:FZ167))</f>
        <v>-0.96570439723286938</v>
      </c>
      <c r="GB167" s="205">
        <f>IF($J167="",#N/A,SUM(FZ$4:FZ167,FX$4:FX167,FV$4:FV167))</f>
        <v>-0.89886940540159177</v>
      </c>
      <c r="GC167" s="200" t="str">
        <f t="shared" si="299"/>
        <v/>
      </c>
      <c r="GD167" s="203">
        <f>IF($J167="",#N/A,SUM(GC$4:GC167))</f>
        <v>0</v>
      </c>
      <c r="GE167" s="204" t="str">
        <f t="shared" si="300"/>
        <v/>
      </c>
      <c r="GF167" s="204">
        <f>IF($J167="",#N/A,SUM(GE$4:GE167))</f>
        <v>0</v>
      </c>
      <c r="GG167" s="205" t="str">
        <f t="shared" si="301"/>
        <v/>
      </c>
      <c r="GH167" s="205">
        <f>IF($J167="",#N/A,SUM(GG$4:GG167))</f>
        <v>-2.9368362277223206</v>
      </c>
      <c r="GI167" s="205">
        <f>IF($J167="",#N/A,SUM(GG$4:GG167,GE$4:GE167,GC$4:GC167))</f>
        <v>-2.9368362277223206</v>
      </c>
      <c r="GJ167" s="200" t="str">
        <f t="shared" si="302"/>
        <v/>
      </c>
      <c r="GK167" s="203">
        <f>IF($J167="",#N/A,SUM(GJ$4:GJ167))</f>
        <v>0</v>
      </c>
      <c r="GL167" s="204" t="str">
        <f t="shared" si="303"/>
        <v/>
      </c>
      <c r="GM167" s="204">
        <f>IF($J167="",#N/A,SUM(GL$4:GL167))</f>
        <v>-0.80168930905701452</v>
      </c>
      <c r="GN167" s="205" t="str">
        <f t="shared" si="304"/>
        <v/>
      </c>
      <c r="GO167" s="205">
        <f>IF($J167="",#N/A,SUM(GN$4:GN167))</f>
        <v>0</v>
      </c>
      <c r="GP167" s="205">
        <f>IF($J167="",#N/A,SUM(GN$4:GN167,GL$4:GL167,GJ$4:GJ167))</f>
        <v>-0.80168930905701452</v>
      </c>
      <c r="GS167" s="54">
        <f t="shared" si="323"/>
        <v>-0.96832430658132485</v>
      </c>
      <c r="GT167" s="54">
        <f>IF(GS167="",NA(),SUM($GS$4:GS167))</f>
        <v>-1.4689060687123536</v>
      </c>
      <c r="GU167" s="54" t="str">
        <f t="shared" si="305"/>
        <v/>
      </c>
      <c r="GV167" s="54" t="e">
        <f>IF(GU167="",NA(),SUM($GU$4:GU167))</f>
        <v>#N/A</v>
      </c>
      <c r="GW167" s="54" t="str">
        <f t="shared" si="306"/>
        <v/>
      </c>
      <c r="GX167" s="54" t="e">
        <f>IF(GW167="",NA(),SUM($GW$4:GW167))</f>
        <v>#N/A</v>
      </c>
      <c r="GY167" s="54">
        <f t="shared" si="307"/>
        <v>-0.96832430658132485</v>
      </c>
      <c r="GZ167" s="54">
        <f>IF(GY167="",NA(),SUM($GY$4:GY167))</f>
        <v>0.46337198910774802</v>
      </c>
      <c r="HA167" s="54" t="str">
        <f t="shared" si="308"/>
        <v/>
      </c>
      <c r="HB167" s="54" t="e">
        <f>IF(HA167="",NA(),SUM($HA$4:HA167))</f>
        <v>#N/A</v>
      </c>
      <c r="HC167" s="54" t="str">
        <f t="shared" si="309"/>
        <v/>
      </c>
      <c r="HD167" s="54" t="e">
        <f>IF(HC167="",NA(),SUM($HC$4:HC167))</f>
        <v>#N/A</v>
      </c>
      <c r="HE167" s="54" t="str">
        <f t="shared" si="310"/>
        <v/>
      </c>
      <c r="HF167" s="54" t="e">
        <f>IF(HE167="",NA(),SUM($HE$4:HE167))</f>
        <v>#N/A</v>
      </c>
      <c r="HG167" s="54" t="str">
        <f t="shared" si="311"/>
        <v/>
      </c>
      <c r="HH167" s="54" t="e">
        <f>IF(HG167="",NA(),SUM($HG$4:HG167))</f>
        <v>#N/A</v>
      </c>
      <c r="HI167" s="172" t="str">
        <f t="shared" si="324"/>
        <v/>
      </c>
      <c r="HJ167" s="172">
        <f>IF($J167="",#N/A,SUM(HI$4:$HI167))</f>
        <v>-7.0622551668788667</v>
      </c>
      <c r="HK167" s="54">
        <f t="shared" si="312"/>
        <v>-0.3610700804201542</v>
      </c>
      <c r="HL167" s="54">
        <f>IF($J167="",#N/A,SUM($HK$4:HK167))</f>
        <v>-6.0636907107074549</v>
      </c>
      <c r="HM167" s="54" t="str">
        <f t="shared" si="313"/>
        <v/>
      </c>
      <c r="HN167" s="54">
        <f>IF($J167="",#N/A,SUM($HM$4:HM167))</f>
        <v>0.71812545963587882</v>
      </c>
      <c r="HO167" s="54" t="str">
        <f t="shared" si="314"/>
        <v/>
      </c>
      <c r="HP167" s="54">
        <f>IF($J167="",#N/A,SUM($HO$4:HO167))</f>
        <v>-0.14859521910082485</v>
      </c>
      <c r="HQ167" s="54" t="str">
        <f t="shared" si="315"/>
        <v/>
      </c>
      <c r="HR167" s="54">
        <f>IF($J167="",#N/A,SUM($HQ$4:HQ167))</f>
        <v>-9.3909580302196201</v>
      </c>
      <c r="HS167" s="54" t="str">
        <f t="shared" si="316"/>
        <v/>
      </c>
      <c r="HT167" s="54">
        <f>IF($J167="",#N/A,SUM($HS$4:HS167))</f>
        <v>12.032733364798178</v>
      </c>
      <c r="HU167" s="65">
        <f t="shared" si="317"/>
        <v>-1.329394387001479</v>
      </c>
      <c r="HV167" s="65">
        <f>IF($J167="",#N/A,SUM(HU$4:$HU167))</f>
        <v>-8.7296162002155189</v>
      </c>
    </row>
    <row r="168" spans="1:230" x14ac:dyDescent="0.25">
      <c r="A168" s="51" t="s">
        <v>1301</v>
      </c>
      <c r="B168" s="52" t="s">
        <v>4542</v>
      </c>
      <c r="C168" s="229">
        <f t="shared" si="218"/>
        <v>3</v>
      </c>
      <c r="D168" s="219" t="str">
        <f>_xlfn.XLOOKUP(A168,[1]SP500!$A$2:$A$502,[1]SP500!$D$2:$D$502,"N")</f>
        <v>Y</v>
      </c>
      <c r="E168" s="51" t="str">
        <f>IFERROR(_xlfn.XLOOKUP(A168,[1]SP500!$A$2:$A$655,[1]SP500!$B$2:$B$655),"")</f>
        <v>XLI</v>
      </c>
      <c r="F168" s="290">
        <v>45777</v>
      </c>
      <c r="G168" s="51" t="str">
        <f t="shared" si="219"/>
        <v>BMO</v>
      </c>
      <c r="H168" s="51" t="str">
        <f t="shared" si="220"/>
        <v>s</v>
      </c>
      <c r="I168" s="344">
        <v>307.39999999999998</v>
      </c>
      <c r="J168" s="124">
        <v>315.20999999999998</v>
      </c>
      <c r="K168" s="55">
        <f t="shared" si="221"/>
        <v>2.5406636304489274E-2</v>
      </c>
      <c r="L168" s="67">
        <f t="shared" si="222"/>
        <v>31.240000000000009</v>
      </c>
      <c r="M168" s="57">
        <f t="shared" si="223"/>
        <v>-0.4399999999998272</v>
      </c>
      <c r="N168" s="102">
        <f t="shared" si="224"/>
        <v>31.240000000000009</v>
      </c>
      <c r="O168" s="57">
        <f>IF(N168="",#N/A,SUM($N$4:N168))</f>
        <v>-108.27363589938736</v>
      </c>
      <c r="P168" s="65">
        <f t="shared" si="318"/>
        <v>0.42344393840815459</v>
      </c>
      <c r="Q168" s="172">
        <f>IF($N168="",#N/A,SUM($P$4:P168))</f>
        <v>1.6084680406653482</v>
      </c>
      <c r="R168" s="279">
        <f t="shared" si="225"/>
        <v>4.4072819962323502</v>
      </c>
      <c r="S168" s="51" t="str">
        <f t="shared" si="226"/>
        <v>SW</v>
      </c>
      <c r="T168" s="51" t="s">
        <v>2828</v>
      </c>
      <c r="U168" s="56">
        <f t="shared" si="227"/>
        <v>307.39999999999998</v>
      </c>
      <c r="V168" s="56" t="s">
        <v>4460</v>
      </c>
      <c r="W168" s="142">
        <v>4</v>
      </c>
      <c r="X168" s="145">
        <f t="shared" si="228"/>
        <v>1229.5999999999999</v>
      </c>
      <c r="Y168" s="140">
        <f t="shared" si="229"/>
        <v>4</v>
      </c>
      <c r="Z168" s="123">
        <v>315.10000000000002</v>
      </c>
      <c r="AA168" s="102">
        <f t="shared" si="230"/>
        <v>30.800000000000182</v>
      </c>
      <c r="AB168" s="102">
        <f t="shared" si="231"/>
        <v>7.4800000000000182</v>
      </c>
      <c r="AC168" s="124">
        <v>309.27</v>
      </c>
      <c r="AD168" s="155">
        <f t="shared" si="232"/>
        <v>7.4800000000000182</v>
      </c>
      <c r="AE168" s="545">
        <f t="shared" si="233"/>
        <v>0.10138798525265694</v>
      </c>
      <c r="AF168" s="57">
        <f>IF($AC168="",#N/A,SUM(AD$4:AD168))</f>
        <v>-637.78041200241648</v>
      </c>
      <c r="AG168" s="102">
        <f t="shared" si="234"/>
        <v>-23.759999999999991</v>
      </c>
      <c r="AH168" s="56" t="s">
        <v>2507</v>
      </c>
      <c r="AI168" s="65">
        <f t="shared" si="235"/>
        <v>0.41747993927564769</v>
      </c>
      <c r="AJ168" s="54">
        <f>IF(AI168="",#N/A,SUM($AI$4:AI168))</f>
        <v>-2.798813955567002</v>
      </c>
      <c r="AK168" s="57">
        <f t="shared" si="236"/>
        <v>30.800000000000182</v>
      </c>
      <c r="AL168" s="349">
        <f>IF(AI168="",#N/A,IF(AH168="Skip",SUM($AK$4:AK168),SUM($AK$4:AK168)))</f>
        <v>-402.86740850718661</v>
      </c>
      <c r="AM168" s="65">
        <f t="shared" si="319"/>
        <v>0.10138798525265694</v>
      </c>
      <c r="AN168" s="209"/>
      <c r="AO168" s="65">
        <f t="shared" si="237"/>
        <v>0.10138798525265694</v>
      </c>
      <c r="AP168" s="65">
        <f>IF($AC168="",#N/A,SUM(AO$4:AO168))</f>
        <v>3.6784549737776651</v>
      </c>
      <c r="AQ168" s="65" t="str">
        <f t="shared" si="238"/>
        <v/>
      </c>
      <c r="AR168" s="65">
        <f>IF($AC168="",#N/A,SUM(AQ$4:AQ168))</f>
        <v>-2.6179859771653153</v>
      </c>
      <c r="AS168" s="65" t="str">
        <f t="shared" si="239"/>
        <v/>
      </c>
      <c r="AT168" s="65">
        <f>IF($AC168="",#N/A,SUM(AS$4:AS168))</f>
        <v>-9.6886972115752155</v>
      </c>
      <c r="AU168" s="57">
        <f t="shared" si="320"/>
        <v>7.4800000000000182</v>
      </c>
      <c r="AV168" s="57">
        <f>IF($AC168="",#N/A,SUM(AU$4:AU168))</f>
        <v>126.41120645125059</v>
      </c>
      <c r="AW168" s="57" t="str">
        <f t="shared" si="321"/>
        <v/>
      </c>
      <c r="AX168" s="57">
        <f>IF($AC168="",#N/A,SUM(AW$4:AW168))</f>
        <v>-163.1400000000001</v>
      </c>
      <c r="AY168" s="57" t="str">
        <f t="shared" si="322"/>
        <v/>
      </c>
      <c r="AZ168" s="57">
        <f>IF($AC168="",#N/A,SUM(AY$4:AY168))</f>
        <v>-601.05161845366695</v>
      </c>
      <c r="BA168" s="57">
        <f>IF(AD168="",#N/A,SUM($AD$4:AD168))</f>
        <v>-637.78041200241648</v>
      </c>
      <c r="BC168" s="51" t="str">
        <f t="shared" si="240"/>
        <v/>
      </c>
      <c r="BD168" s="51" t="str">
        <f t="shared" si="241"/>
        <v/>
      </c>
      <c r="BE168" s="51">
        <f t="shared" si="242"/>
        <v>1</v>
      </c>
      <c r="BF168" s="51" t="str">
        <f t="shared" si="243"/>
        <v>Long</v>
      </c>
      <c r="BG168" s="51" t="str">
        <f t="shared" si="244"/>
        <v/>
      </c>
      <c r="BH168" s="51" t="str">
        <f t="shared" si="245"/>
        <v/>
      </c>
      <c r="BI168" s="51" t="str">
        <f t="shared" si="246"/>
        <v/>
      </c>
      <c r="BK168" s="65">
        <f t="shared" si="217"/>
        <v>9.2944469877806593E-2</v>
      </c>
      <c r="BL168" s="65">
        <f t="shared" si="325"/>
        <v>0.12683152098188505</v>
      </c>
      <c r="BM168" s="65">
        <f>IFERROR(Q168/COUNTA($J$4:J168),#N/A)</f>
        <v>9.7482911555475654E-3</v>
      </c>
      <c r="BO168" s="489">
        <f>IF(J168="",#N/A,IF(S168="SW",(COUNTIFS(K$4:$K168,"&gt;0",S$4:$S168,"SW")/COUNTIF(S$4:$S168,"SW")),#N/A))</f>
        <v>0.4943820224719101</v>
      </c>
      <c r="BP168" s="489" t="e">
        <f>IF($J168="",#N/A,IF($S168="DWN",(COUNTIFS($K$4:$K168,"&lt;0",$S$4:$S168,"DWN")/COUNTIF($S$4:$S168,"DWN")),#N/A))</f>
        <v>#N/A</v>
      </c>
      <c r="BQ168" s="489" t="e">
        <f>IF($J168="",#N/A,IF($S168="UP",(COUNTIFS($K$4:$K168,"&gt;0",$S$4:$S168,"UP")/COUNTIF($S$4:$S168,"UP")),#N/A))</f>
        <v>#N/A</v>
      </c>
      <c r="BR168" s="489">
        <f>IF(J168="",#N/A,COUNTIF($K$4:K168,"&gt;0")/COUNT($J$4:J168))</f>
        <v>0.46666666666666667</v>
      </c>
      <c r="BS168" s="65">
        <f t="shared" si="247"/>
        <v>0.42344393840815459</v>
      </c>
      <c r="BT168" s="65" t="str">
        <f t="shared" si="248"/>
        <v/>
      </c>
      <c r="BU168" s="65" t="str">
        <f t="shared" si="249"/>
        <v/>
      </c>
      <c r="BV168" s="65" t="str">
        <f t="shared" si="250"/>
        <v/>
      </c>
      <c r="BW168" s="128" t="str">
        <f t="shared" si="251"/>
        <v/>
      </c>
      <c r="BX168" s="128">
        <f>IF($J168="",#N/A,SUM($BW$4:BW168))</f>
        <v>-205.1650000000003</v>
      </c>
      <c r="BY168" s="131" t="str">
        <f t="shared" si="252"/>
        <v/>
      </c>
      <c r="BZ168" s="131">
        <f>IF($J168="",#N/A,SUM($BY$4:BY168))</f>
        <v>165.1543403893337</v>
      </c>
      <c r="CA168" s="133">
        <f t="shared" si="253"/>
        <v>31.240000000000009</v>
      </c>
      <c r="CB168" s="133">
        <f>IF($J168="",#N/A,SUM($CA$4:CA168))</f>
        <v>-68.262976288720751</v>
      </c>
      <c r="CC168" s="194" t="str">
        <f t="shared" si="254"/>
        <v/>
      </c>
      <c r="CD168" s="194">
        <f>IF($J168="",#N/A,SUM($CC$4:CC168))</f>
        <v>-3.1875162177003693</v>
      </c>
      <c r="CE168" s="195" t="str">
        <f t="shared" si="255"/>
        <v/>
      </c>
      <c r="CF168" s="195">
        <f>IF($J168="",#N/A,SUM($CE$4:CE168))</f>
        <v>3.4372486660111123</v>
      </c>
      <c r="CG168" s="196">
        <f t="shared" si="256"/>
        <v>0.42344393840815459</v>
      </c>
      <c r="CH168" s="193">
        <f>IF($J168="",#N/A,SUM($CG$4:CG168))</f>
        <v>1.3587355923546105</v>
      </c>
      <c r="CI168" s="200" t="str">
        <f t="shared" si="257"/>
        <v/>
      </c>
      <c r="CJ168" s="203">
        <f>IF($J168="",#N/A,SUM(CI$4:CI168))</f>
        <v>0</v>
      </c>
      <c r="CK168" s="204" t="str">
        <f t="shared" si="258"/>
        <v/>
      </c>
      <c r="CL168" s="204">
        <f>IF($J168="",#N/A,SUM(CK$4:CK168))</f>
        <v>1.9927003554442289</v>
      </c>
      <c r="CM168" s="205" t="str">
        <f t="shared" si="259"/>
        <v/>
      </c>
      <c r="CN168" s="205">
        <f>IF($J168="",#N/A,SUM(CM$4:CM168))</f>
        <v>3.3861132786295873</v>
      </c>
      <c r="CO168" s="205">
        <f>IF($J168="",#N/A,SUM(CM$4:CM168,CK$4:CK168,CI$4:CI168))</f>
        <v>5.3788136340738166</v>
      </c>
      <c r="CP168" s="200" t="str">
        <f t="shared" si="260"/>
        <v/>
      </c>
      <c r="CQ168" s="203">
        <f>IF($J168="",#N/A,SUM(CP$4:CP168))</f>
        <v>0</v>
      </c>
      <c r="CR168" s="204" t="str">
        <f t="shared" si="261"/>
        <v/>
      </c>
      <c r="CS168" s="204">
        <f>IF($J168="",#N/A,SUM(CR$4:CR168))</f>
        <v>2.420242024202421</v>
      </c>
      <c r="CT168" s="205" t="str">
        <f t="shared" si="262"/>
        <v/>
      </c>
      <c r="CU168" s="205">
        <f>IF($J168="",#N/A,SUM(CT$4:CT168))</f>
        <v>-1.6961777431035243</v>
      </c>
      <c r="CV168" s="205">
        <f>IF($J168="",#N/A,SUM(CT$4:CT168,CR$4:CR168,CP$4:CP168))</f>
        <v>0.72406428109889664</v>
      </c>
      <c r="CW168" s="200" t="str">
        <f t="shared" si="263"/>
        <v/>
      </c>
      <c r="CX168" s="203">
        <f>IF($J168="",#N/A,SUM(CW$4:CW168))</f>
        <v>0</v>
      </c>
      <c r="CY168" s="204" t="str">
        <f t="shared" si="264"/>
        <v/>
      </c>
      <c r="CZ168" s="204">
        <f>IF($J168="",#N/A,SUM(CY$4:CY168))</f>
        <v>-1.9289529100071134</v>
      </c>
      <c r="DA168" s="205" t="str">
        <f t="shared" si="265"/>
        <v/>
      </c>
      <c r="DB168" s="205">
        <f>IF($J168="",#N/A,SUM(DA$4:DA168))</f>
        <v>-1.2278690516702204</v>
      </c>
      <c r="DC168" s="205">
        <f>IF($J168="",#N/A,SUM(DA$4:DA168,CY$4:CY168,CW$4:CW168))</f>
        <v>-3.1568219616773341</v>
      </c>
      <c r="DD168" s="200" t="str">
        <f t="shared" si="266"/>
        <v/>
      </c>
      <c r="DE168" s="203">
        <f>IF($J168="",#N/A,SUM(DD$4:DD168))</f>
        <v>0.14968716170674062</v>
      </c>
      <c r="DF168" s="204" t="str">
        <f t="shared" si="267"/>
        <v/>
      </c>
      <c r="DG168" s="204">
        <f>IF($J168="",#N/A,SUM(DF$4:DF168))</f>
        <v>1.2121188689979676</v>
      </c>
      <c r="DH168" s="205" t="str">
        <f t="shared" si="268"/>
        <v/>
      </c>
      <c r="DI168" s="205">
        <f>IF($J168="",#N/A,SUM(DH$4:DH168))</f>
        <v>-0.8404015973735236</v>
      </c>
      <c r="DJ168" s="205">
        <f>IF($J168="",#N/A,SUM(DH$4:DH168,DF$4:DF168,DD$4:DD168))</f>
        <v>0.52140443333118447</v>
      </c>
      <c r="DK168" s="200" t="str">
        <f t="shared" si="269"/>
        <v/>
      </c>
      <c r="DL168" s="203">
        <f>IF($J168="",#N/A,SUM(DK$4:DK168))</f>
        <v>-1.2097286851272664</v>
      </c>
      <c r="DM168" s="204" t="str">
        <f t="shared" si="270"/>
        <v/>
      </c>
      <c r="DN168" s="204">
        <f>IF($J168="",#N/A,SUM(DM$4:DM168))</f>
        <v>1.1910608267574658</v>
      </c>
      <c r="DO168" s="205" t="str">
        <f t="shared" si="271"/>
        <v/>
      </c>
      <c r="DP168" s="205">
        <f>IF($J168="",#N/A,SUM(DO$4:DO168))</f>
        <v>1.3495058802125319</v>
      </c>
      <c r="DQ168" s="205">
        <f>IF($J168="",#N/A,SUM(DO$4:DO168,DM$4:DM168,DK$4:DK168))</f>
        <v>1.3308380218427318</v>
      </c>
      <c r="DR168" s="200" t="str">
        <f t="shared" si="272"/>
        <v/>
      </c>
      <c r="DS168" s="203">
        <f>IF($J168="",#N/A,SUM(DR$4:DR168))</f>
        <v>-0.55950946427675097</v>
      </c>
      <c r="DT168" s="204" t="str">
        <f t="shared" si="273"/>
        <v/>
      </c>
      <c r="DU168" s="204">
        <f>IF($J168="",#N/A,SUM(DT$4:DT168))</f>
        <v>-3.5029740333397914</v>
      </c>
      <c r="DV168" s="205" t="str">
        <f t="shared" si="274"/>
        <v/>
      </c>
      <c r="DW168" s="205">
        <f>IF($J168="",#N/A,SUM(DV$4:DV168))</f>
        <v>-1.8527424265931112</v>
      </c>
      <c r="DX168" s="205">
        <f>IF($J168="",#N/A,SUM(DV$4:DV168,DT$4:DT168,DR$4:DR168))</f>
        <v>-5.9152259242096532</v>
      </c>
      <c r="DY168" s="200" t="str">
        <f t="shared" si="275"/>
        <v/>
      </c>
      <c r="DZ168" s="203">
        <f>IF($J168="",#N/A,SUM(DY$4:DY168))</f>
        <v>-1.63480022183437</v>
      </c>
      <c r="EA168" s="204" t="str">
        <f t="shared" si="276"/>
        <v/>
      </c>
      <c r="EB168" s="204">
        <f>IF($J168="",#N/A,SUM(EA$4:EA168))</f>
        <v>-0.2070110273231956</v>
      </c>
      <c r="EC168" s="205">
        <f t="shared" si="277"/>
        <v>0.42344393840815459</v>
      </c>
      <c r="ED168" s="205">
        <f>IF($J168="",#N/A,SUM(EC$4:EC168))</f>
        <v>1.8938998897918817</v>
      </c>
      <c r="EE168" s="205">
        <f>IF($J168="",#N/A,SUM(EC$4:EC168,EA$4:EA168,DY$4:DY168))</f>
        <v>5.2088640634315897E-2</v>
      </c>
      <c r="EF168" s="200" t="str">
        <f t="shared" si="278"/>
        <v/>
      </c>
      <c r="EG168" s="203">
        <f>IF($J168="",#N/A,SUM(EF$4:EF168))</f>
        <v>0</v>
      </c>
      <c r="EH168" s="204" t="str">
        <f t="shared" si="279"/>
        <v/>
      </c>
      <c r="EI168" s="204">
        <f>IF($J168="",#N/A,SUM(EH$4:EH168))</f>
        <v>-1.1184224685150388</v>
      </c>
      <c r="EJ168" s="205" t="str">
        <f t="shared" si="280"/>
        <v/>
      </c>
      <c r="EK168" s="205">
        <f>IF($J168="",#N/A,SUM(EJ$4:EJ168))</f>
        <v>2.804966392787259</v>
      </c>
      <c r="EL168" s="205">
        <f>IF($J168="",#N/A,SUM(EJ$4:EJ168,EH$4:EH168,EF$4:EF168))</f>
        <v>1.6865439242722209</v>
      </c>
      <c r="EM168" s="200" t="str">
        <f t="shared" si="281"/>
        <v/>
      </c>
      <c r="EN168" s="203">
        <f>IF($J168="",#N/A,SUM(EM$4:EM168))</f>
        <v>0</v>
      </c>
      <c r="EO168" s="204" t="str">
        <f t="shared" si="282"/>
        <v/>
      </c>
      <c r="EP168" s="204">
        <f>IF($J168="",#N/A,SUM(EO$4:EO168))</f>
        <v>1.264716604605848</v>
      </c>
      <c r="EQ168" s="205" t="str">
        <f t="shared" si="283"/>
        <v/>
      </c>
      <c r="ER168" s="205">
        <f>IF($J168="",#N/A,SUM(EQ$4:EQ168))</f>
        <v>1.5025175479314647</v>
      </c>
      <c r="ES168" s="205">
        <f>IF($J168="",#N/A,SUM(EQ$4:EQ168,EO$4:EO168,EM$4:EM168))</f>
        <v>2.7672341525373123</v>
      </c>
      <c r="ET168" s="200" t="str">
        <f t="shared" si="284"/>
        <v/>
      </c>
      <c r="EU168" s="203">
        <f>IF($J168="",#N/A,SUM(ET$4:ET168))</f>
        <v>0</v>
      </c>
      <c r="EV168" s="204" t="str">
        <f t="shared" si="285"/>
        <v/>
      </c>
      <c r="EW168" s="204">
        <f>IF($J168="",#N/A,SUM(EV$4:EV168))</f>
        <v>0.90459527759708336</v>
      </c>
      <c r="EX168" s="205" t="str">
        <f t="shared" si="286"/>
        <v/>
      </c>
      <c r="EY168" s="205">
        <f>IF($J168="",#N/A,SUM(EX$4:EX168))</f>
        <v>0.22957553748493481</v>
      </c>
      <c r="EZ168" s="205">
        <f>IF($J168="",#N/A,SUM(EX$4:EX168,EV$4:EV168,ET$4:ET168))</f>
        <v>1.134170815082018</v>
      </c>
      <c r="FA168" s="200" t="str">
        <f t="shared" si="287"/>
        <v/>
      </c>
      <c r="FB168" s="203">
        <f>IF($J168="",#N/A,SUM(FA$4:FA168))</f>
        <v>0</v>
      </c>
      <c r="FC168" s="204" t="str">
        <f t="shared" si="288"/>
        <v/>
      </c>
      <c r="FD168" s="204">
        <f>IF($J168="",#N/A,SUM(FC$4:FC168))</f>
        <v>1.6839191319663924</v>
      </c>
      <c r="FE168" s="205" t="str">
        <f t="shared" si="289"/>
        <v/>
      </c>
      <c r="FF168" s="205">
        <f>IF($J168="",#N/A,SUM(FE$4:FE168))</f>
        <v>-0.28811149078748233</v>
      </c>
      <c r="FG168" s="205">
        <f>IF($J168="",#N/A,SUM(FE$4:FE168,FC$4:FC168,FA$4:FA168))</f>
        <v>1.3958076411789102</v>
      </c>
      <c r="FH168" s="200" t="str">
        <f t="shared" si="290"/>
        <v/>
      </c>
      <c r="FI168" s="203">
        <f>IF($J168="",#N/A,SUM(FH$4:FH168))</f>
        <v>0</v>
      </c>
      <c r="FJ168" s="204" t="str">
        <f t="shared" si="291"/>
        <v/>
      </c>
      <c r="FK168" s="204">
        <f>IF($J168="",#N/A,SUM(FJ$4:FJ168))</f>
        <v>0</v>
      </c>
      <c r="FL168" s="205" t="str">
        <f t="shared" si="292"/>
        <v/>
      </c>
      <c r="FM168" s="205">
        <f>IF($J168="",#N/A,SUM(FL$4:FL168))</f>
        <v>0</v>
      </c>
      <c r="FN168" s="205">
        <f>IF($J168="",#N/A,SUM(FL$4:FL168,FJ$4:FJ168,FH$4:FH168))</f>
        <v>0</v>
      </c>
      <c r="FO168" s="200" t="str">
        <f t="shared" si="293"/>
        <v/>
      </c>
      <c r="FP168" s="203">
        <f>IF($J168="",#N/A,SUM(FO$4:FO168))</f>
        <v>0</v>
      </c>
      <c r="FQ168" s="204" t="str">
        <f t="shared" si="294"/>
        <v/>
      </c>
      <c r="FR168" s="204">
        <f>IF($J168="",#N/A,SUM(FQ$4:FQ168))</f>
        <v>0</v>
      </c>
      <c r="FS168" s="205" t="str">
        <f t="shared" si="295"/>
        <v/>
      </c>
      <c r="FT168" s="205">
        <f>IF($J168="",#N/A,SUM(FS$4:FS168))</f>
        <v>0</v>
      </c>
      <c r="FU168" s="205">
        <f>IF($J168="",#N/A,SUM(FS$4:FS168,FQ$4:FQ168,FO$4:FO168))</f>
        <v>0</v>
      </c>
      <c r="FV168" s="200" t="str">
        <f t="shared" si="296"/>
        <v/>
      </c>
      <c r="FW168" s="203">
        <f>IF($J168="",#N/A,SUM(FV$4:FV168))</f>
        <v>6.6834991831277585E-2</v>
      </c>
      <c r="FX168" s="204" t="str">
        <f t="shared" si="297"/>
        <v/>
      </c>
      <c r="FY168" s="204">
        <f>IF($J168="",#N/A,SUM(FX$4:FX168))</f>
        <v>0</v>
      </c>
      <c r="FZ168" s="205" t="str">
        <f t="shared" si="298"/>
        <v/>
      </c>
      <c r="GA168" s="205">
        <f>IF($J168="",#N/A,SUM(FZ$4:FZ168))</f>
        <v>-0.96570439723286938</v>
      </c>
      <c r="GB168" s="205">
        <f>IF($J168="",#N/A,SUM(FZ$4:FZ168,FX$4:FX168,FV$4:FV168))</f>
        <v>-0.89886940540159177</v>
      </c>
      <c r="GC168" s="200" t="str">
        <f t="shared" si="299"/>
        <v/>
      </c>
      <c r="GD168" s="203">
        <f>IF($J168="",#N/A,SUM(GC$4:GC168))</f>
        <v>0</v>
      </c>
      <c r="GE168" s="204" t="str">
        <f t="shared" si="300"/>
        <v/>
      </c>
      <c r="GF168" s="204">
        <f>IF($J168="",#N/A,SUM(GE$4:GE168))</f>
        <v>0</v>
      </c>
      <c r="GG168" s="205" t="str">
        <f t="shared" si="301"/>
        <v/>
      </c>
      <c r="GH168" s="205">
        <f>IF($J168="",#N/A,SUM(GG$4:GG168))</f>
        <v>-2.9368362277223206</v>
      </c>
      <c r="GI168" s="205">
        <f>IF($J168="",#N/A,SUM(GG$4:GG168,GE$4:GE168,GC$4:GC168))</f>
        <v>-2.9368362277223206</v>
      </c>
      <c r="GJ168" s="200" t="str">
        <f t="shared" si="302"/>
        <v/>
      </c>
      <c r="GK168" s="203">
        <f>IF($J168="",#N/A,SUM(GJ$4:GJ168))</f>
        <v>0</v>
      </c>
      <c r="GL168" s="204" t="str">
        <f t="shared" si="303"/>
        <v/>
      </c>
      <c r="GM168" s="204">
        <f>IF($J168="",#N/A,SUM(GL$4:GL168))</f>
        <v>-0.80168930905701452</v>
      </c>
      <c r="GN168" s="205" t="str">
        <f t="shared" si="304"/>
        <v/>
      </c>
      <c r="GO168" s="205">
        <f>IF($J168="",#N/A,SUM(GN$4:GN168))</f>
        <v>0</v>
      </c>
      <c r="GP168" s="205">
        <f>IF($J168="",#N/A,SUM(GN$4:GN168,GL$4:GL168,GJ$4:GJ168))</f>
        <v>-0.80168930905701452</v>
      </c>
      <c r="GS168" s="54">
        <f t="shared" si="323"/>
        <v>0.42344393840815459</v>
      </c>
      <c r="GT168" s="54">
        <f>IF(GS168="",NA(),SUM($GS$4:GS168))</f>
        <v>-1.0454621303041991</v>
      </c>
      <c r="GU168" s="54" t="str">
        <f t="shared" si="305"/>
        <v/>
      </c>
      <c r="GV168" s="54" t="e">
        <f>IF(GU168="",NA(),SUM($GU$4:GU168))</f>
        <v>#N/A</v>
      </c>
      <c r="GW168" s="54">
        <f t="shared" si="306"/>
        <v>0.42344393840815459</v>
      </c>
      <c r="GX168" s="54">
        <f>IF(GW168="",NA(),SUM($GW$4:GW168))</f>
        <v>1.6786820982884245</v>
      </c>
      <c r="GY168" s="54" t="str">
        <f t="shared" si="307"/>
        <v/>
      </c>
      <c r="GZ168" s="54" t="e">
        <f>IF(GY168="",NA(),SUM($GY$4:GY168))</f>
        <v>#N/A</v>
      </c>
      <c r="HA168" s="54" t="str">
        <f t="shared" si="308"/>
        <v/>
      </c>
      <c r="HB168" s="54" t="e">
        <f>IF(HA168="",NA(),SUM($HA$4:HA168))</f>
        <v>#N/A</v>
      </c>
      <c r="HC168" s="54" t="str">
        <f t="shared" si="309"/>
        <v/>
      </c>
      <c r="HD168" s="54" t="e">
        <f>IF(HC168="",NA(),SUM($HC$4:HC168))</f>
        <v>#N/A</v>
      </c>
      <c r="HE168" s="54" t="str">
        <f t="shared" si="310"/>
        <v/>
      </c>
      <c r="HF168" s="54" t="e">
        <f>IF(HE168="",NA(),SUM($HE$4:HE168))</f>
        <v>#N/A</v>
      </c>
      <c r="HG168" s="54" t="str">
        <f t="shared" si="311"/>
        <v/>
      </c>
      <c r="HH168" s="54" t="e">
        <f>IF(HG168="",NA(),SUM($HG$4:HG168))</f>
        <v>#N/A</v>
      </c>
      <c r="HI168" s="172" t="str">
        <f t="shared" si="324"/>
        <v/>
      </c>
      <c r="HJ168" s="172">
        <f>IF($J168="",#N/A,SUM(HI$4:$HI168))</f>
        <v>-7.0622551668788667</v>
      </c>
      <c r="HK168" s="54" t="str">
        <f t="shared" si="312"/>
        <v/>
      </c>
      <c r="HL168" s="54">
        <f>IF($J168="",#N/A,SUM($HK$4:HK168))</f>
        <v>-6.0636907107074549</v>
      </c>
      <c r="HM168" s="54" t="str">
        <f t="shared" si="313"/>
        <v/>
      </c>
      <c r="HN168" s="54">
        <f>IF($J168="",#N/A,SUM($HM$4:HM168))</f>
        <v>0.71812545963587882</v>
      </c>
      <c r="HO168" s="54" t="str">
        <f t="shared" si="314"/>
        <v/>
      </c>
      <c r="HP168" s="54">
        <f>IF($J168="",#N/A,SUM($HO$4:HO168))</f>
        <v>-0.14859521910082485</v>
      </c>
      <c r="HQ168" s="54">
        <f t="shared" si="315"/>
        <v>-0.32205595315549762</v>
      </c>
      <c r="HR168" s="54">
        <f>IF($J168="",#N/A,SUM($HQ$4:HQ168))</f>
        <v>-9.7130139833751183</v>
      </c>
      <c r="HS168" s="54" t="str">
        <f t="shared" si="316"/>
        <v/>
      </c>
      <c r="HT168" s="54">
        <f>IF($J168="",#N/A,SUM($HS$4:HS168))</f>
        <v>12.032733364798178</v>
      </c>
      <c r="HU168" s="65">
        <f t="shared" si="317"/>
        <v>0.10138798525265694</v>
      </c>
      <c r="HV168" s="65">
        <f>IF($J168="",#N/A,SUM(HU$4:$HU168))</f>
        <v>-8.6282282149628617</v>
      </c>
    </row>
    <row r="169" spans="1:230" x14ac:dyDescent="0.25">
      <c r="A169" s="51" t="s">
        <v>1344</v>
      </c>
      <c r="B169" s="52" t="s">
        <v>4542</v>
      </c>
      <c r="C169" s="229">
        <f t="shared" si="218"/>
        <v>3</v>
      </c>
      <c r="D169" s="219" t="str">
        <f>_xlfn.XLOOKUP(A169,[1]SP500!$A$2:$A$502,[1]SP500!$D$2:$D$502,"N")</f>
        <v>Y</v>
      </c>
      <c r="E169" s="51" t="str">
        <f>IFERROR(_xlfn.XLOOKUP(A169,[1]SP500!$A$2:$A$655,[1]SP500!$B$2:$B$655),"")</f>
        <v>XLI</v>
      </c>
      <c r="F169" s="290">
        <v>45777</v>
      </c>
      <c r="G169" s="51" t="str">
        <f t="shared" si="219"/>
        <v>BMO</v>
      </c>
      <c r="H169" s="51" t="str">
        <f t="shared" si="220"/>
        <v>s</v>
      </c>
      <c r="I169" s="344">
        <v>353.44</v>
      </c>
      <c r="J169" s="124">
        <v>374.01</v>
      </c>
      <c r="K169" s="71">
        <f t="shared" si="221"/>
        <v>5.8199411498415551E-2</v>
      </c>
      <c r="L169" s="67">
        <f t="shared" si="222"/>
        <v>61.710000000000036</v>
      </c>
      <c r="M169" s="57">
        <f t="shared" si="223"/>
        <v>17.970000000000027</v>
      </c>
      <c r="N169" s="147">
        <f t="shared" si="224"/>
        <v>61.710000000000036</v>
      </c>
      <c r="O169" s="57">
        <f>IF(N169="",#N/A,SUM($N$4:N169))</f>
        <v>-46.563635899387322</v>
      </c>
      <c r="P169" s="65">
        <f t="shared" si="318"/>
        <v>0.96999019164026024</v>
      </c>
      <c r="Q169" s="172">
        <f>IF($N169="",#N/A,SUM($P$4:P169))</f>
        <v>2.5784582323056084</v>
      </c>
      <c r="R169" s="279">
        <f t="shared" si="225"/>
        <v>4.1248200979374952</v>
      </c>
      <c r="S169" s="51" t="str">
        <f t="shared" si="226"/>
        <v>SW</v>
      </c>
      <c r="T169" s="51" t="s">
        <v>2828</v>
      </c>
      <c r="U169" s="56">
        <f t="shared" si="227"/>
        <v>353.44</v>
      </c>
      <c r="V169" s="56" t="s">
        <v>4460</v>
      </c>
      <c r="W169" s="142">
        <v>3</v>
      </c>
      <c r="X169" s="145">
        <f t="shared" si="228"/>
        <v>1060.32</v>
      </c>
      <c r="Y169" s="140">
        <f t="shared" si="229"/>
        <v>3</v>
      </c>
      <c r="Z169" s="123">
        <v>380</v>
      </c>
      <c r="AA169" s="102">
        <f t="shared" si="230"/>
        <v>79.680000000000064</v>
      </c>
      <c r="AB169" s="102">
        <f t="shared" si="231"/>
        <v>89.610000000000127</v>
      </c>
      <c r="AC169" s="124">
        <v>383.31</v>
      </c>
      <c r="AD169" s="155">
        <f t="shared" si="232"/>
        <v>89.610000000000127</v>
      </c>
      <c r="AE169" s="545">
        <f t="shared" si="233"/>
        <v>1.4085370454202526</v>
      </c>
      <c r="AF169" s="57">
        <f>IF($AC169="",#N/A,SUM(AD$4:AD169))</f>
        <v>-548.17041200241636</v>
      </c>
      <c r="AG169" s="102">
        <f t="shared" si="234"/>
        <v>27.900000000000091</v>
      </c>
      <c r="AH169" s="102" t="s">
        <v>2507</v>
      </c>
      <c r="AI169" s="65">
        <f t="shared" si="235"/>
        <v>1.252452089935115</v>
      </c>
      <c r="AJ169" s="54">
        <f>IF(AI169="",#N/A,SUM($AI$4:AI169))</f>
        <v>-1.5463618656318869</v>
      </c>
      <c r="AK169" s="144">
        <f t="shared" si="236"/>
        <v>79.680000000000064</v>
      </c>
      <c r="AL169" s="349">
        <f>IF(AI169="",#N/A,IF(AH169="Skip",SUM($AK$4:AK169),SUM($AK$4:AK169)))</f>
        <v>-323.18740850718655</v>
      </c>
      <c r="AM169" s="65">
        <f t="shared" si="319"/>
        <v>1.4085370454202526</v>
      </c>
      <c r="AN169" s="209"/>
      <c r="AO169" s="65">
        <f t="shared" si="237"/>
        <v>1.4085370454202526</v>
      </c>
      <c r="AP169" s="65">
        <f>IF($AC169="",#N/A,SUM(AO$4:AO169))</f>
        <v>5.0869920191979174</v>
      </c>
      <c r="AQ169" s="65" t="str">
        <f t="shared" si="238"/>
        <v/>
      </c>
      <c r="AR169" s="65">
        <f>IF($AC169="",#N/A,SUM(AQ$4:AQ169))</f>
        <v>-2.6179859771653153</v>
      </c>
      <c r="AS169" s="65" t="str">
        <f t="shared" si="239"/>
        <v/>
      </c>
      <c r="AT169" s="65">
        <f>IF($AC169="",#N/A,SUM(AS$4:AS169))</f>
        <v>-9.6886972115752155</v>
      </c>
      <c r="AU169" s="57">
        <f t="shared" si="320"/>
        <v>89.610000000000127</v>
      </c>
      <c r="AV169" s="57">
        <f>IF($AC169="",#N/A,SUM(AU$4:AU169))</f>
        <v>216.02120645125072</v>
      </c>
      <c r="AW169" s="57" t="str">
        <f t="shared" si="321"/>
        <v/>
      </c>
      <c r="AX169" s="57">
        <f>IF($AC169="",#N/A,SUM(AW$4:AW169))</f>
        <v>-163.1400000000001</v>
      </c>
      <c r="AY169" s="57" t="str">
        <f t="shared" si="322"/>
        <v/>
      </c>
      <c r="AZ169" s="57">
        <f>IF($AC169="",#N/A,SUM(AY$4:AY169))</f>
        <v>-601.05161845366695</v>
      </c>
      <c r="BA169" s="57">
        <f>IF(AD169="",#N/A,SUM($AD$4:AD169))</f>
        <v>-548.17041200241636</v>
      </c>
      <c r="BC169" s="51" t="str">
        <f t="shared" si="240"/>
        <v/>
      </c>
      <c r="BD169" s="51" t="str">
        <f t="shared" si="241"/>
        <v/>
      </c>
      <c r="BE169" s="51">
        <f t="shared" si="242"/>
        <v>1</v>
      </c>
      <c r="BF169" s="51" t="str">
        <f t="shared" si="243"/>
        <v>Long</v>
      </c>
      <c r="BG169" s="51" t="str">
        <f t="shared" si="244"/>
        <v/>
      </c>
      <c r="BH169" s="51" t="str">
        <f t="shared" si="245"/>
        <v/>
      </c>
      <c r="BI169" s="51" t="str">
        <f t="shared" si="246"/>
        <v/>
      </c>
      <c r="BK169" s="65">
        <f t="shared" si="217"/>
        <v>0.10278027933649084</v>
      </c>
      <c r="BL169" s="65">
        <f t="shared" si="325"/>
        <v>0.1836762833700547</v>
      </c>
      <c r="BM169" s="65">
        <f>IFERROR(Q169/COUNTA($J$4:J169),#N/A)</f>
        <v>1.5532880917503666E-2</v>
      </c>
      <c r="BO169" s="489">
        <f>IF(J169="",#N/A,IF(S169="SW",(COUNTIFS(K$4:$K169,"&gt;0",S$4:$S169,"SW")/COUNTIF(S$4:$S169,"SW")),#N/A))</f>
        <v>0.5</v>
      </c>
      <c r="BP169" s="489" t="e">
        <f>IF($J169="",#N/A,IF($S169="DWN",(COUNTIFS($K$4:$K169,"&lt;0",$S$4:$S169,"DWN")/COUNTIF($S$4:$S169,"DWN")),#N/A))</f>
        <v>#N/A</v>
      </c>
      <c r="BQ169" s="489" t="e">
        <f>IF($J169="",#N/A,IF($S169="UP",(COUNTIFS($K$4:$K169,"&gt;0",$S$4:$S169,"UP")/COUNTIF($S$4:$S169,"UP")),#N/A))</f>
        <v>#N/A</v>
      </c>
      <c r="BR169" s="489">
        <f>IF(J169="",#N/A,COUNTIF($K$4:K169,"&gt;0")/COUNT($J$4:J169))</f>
        <v>0.46987951807228917</v>
      </c>
      <c r="BS169" s="65">
        <f t="shared" si="247"/>
        <v>0.96999019164026024</v>
      </c>
      <c r="BT169" s="65" t="str">
        <f t="shared" si="248"/>
        <v/>
      </c>
      <c r="BU169" s="65" t="str">
        <f t="shared" si="249"/>
        <v/>
      </c>
      <c r="BV169" s="65" t="str">
        <f t="shared" si="250"/>
        <v/>
      </c>
      <c r="BW169" s="127" t="str">
        <f t="shared" si="251"/>
        <v/>
      </c>
      <c r="BX169" s="127">
        <f>IF($J169="",#N/A,SUM($BW$4:BW169))</f>
        <v>-205.1650000000003</v>
      </c>
      <c r="BY169" s="130" t="str">
        <f t="shared" si="252"/>
        <v/>
      </c>
      <c r="BZ169" s="130">
        <f>IF($J169="",#N/A,SUM($BY$4:BY169))</f>
        <v>165.1543403893337</v>
      </c>
      <c r="CA169" s="132">
        <f t="shared" si="253"/>
        <v>61.710000000000036</v>
      </c>
      <c r="CB169" s="132">
        <f>IF($J169="",#N/A,SUM($CA$4:CA169))</f>
        <v>-6.5529762887207141</v>
      </c>
      <c r="CC169" s="197" t="str">
        <f t="shared" si="254"/>
        <v/>
      </c>
      <c r="CD169" s="197">
        <f>IF($J169="",#N/A,SUM($CC$4:CC169))</f>
        <v>-3.1875162177003693</v>
      </c>
      <c r="CE169" s="198" t="str">
        <f t="shared" si="255"/>
        <v/>
      </c>
      <c r="CF169" s="198">
        <f>IF($J169="",#N/A,SUM($CE$4:CE169))</f>
        <v>3.4372486660111123</v>
      </c>
      <c r="CG169" s="199">
        <f t="shared" si="256"/>
        <v>0.96999019164026024</v>
      </c>
      <c r="CH169" s="193">
        <f>IF($J169="",#N/A,SUM($CG$4:CG169))</f>
        <v>2.3287257839948707</v>
      </c>
      <c r="CI169" s="200" t="str">
        <f t="shared" si="257"/>
        <v/>
      </c>
      <c r="CJ169" s="206">
        <f>IF($J169="",#N/A,SUM(CI$4:CI169))</f>
        <v>0</v>
      </c>
      <c r="CK169" s="207" t="str">
        <f t="shared" si="258"/>
        <v/>
      </c>
      <c r="CL169" s="207">
        <f>IF($J169="",#N/A,SUM(CK$4:CK169))</f>
        <v>1.9927003554442289</v>
      </c>
      <c r="CM169" s="208" t="str">
        <f t="shared" si="259"/>
        <v/>
      </c>
      <c r="CN169" s="208">
        <f>IF($J169="",#N/A,SUM(CM$4:CM169))</f>
        <v>3.3861132786295873</v>
      </c>
      <c r="CO169" s="208">
        <f>IF($J169="",#N/A,SUM(CM$4:CM169,CK$4:CK169,CI$4:CI169))</f>
        <v>5.3788136340738166</v>
      </c>
      <c r="CP169" s="200" t="str">
        <f t="shared" si="260"/>
        <v/>
      </c>
      <c r="CQ169" s="206">
        <f>IF($J169="",#N/A,SUM(CP$4:CP169))</f>
        <v>0</v>
      </c>
      <c r="CR169" s="207" t="str">
        <f t="shared" si="261"/>
        <v/>
      </c>
      <c r="CS169" s="207">
        <f>IF($J169="",#N/A,SUM(CR$4:CR169))</f>
        <v>2.420242024202421</v>
      </c>
      <c r="CT169" s="208" t="str">
        <f t="shared" si="262"/>
        <v/>
      </c>
      <c r="CU169" s="208">
        <f>IF($J169="",#N/A,SUM(CT$4:CT169))</f>
        <v>-1.6961777431035243</v>
      </c>
      <c r="CV169" s="208">
        <f>IF($J169="",#N/A,SUM(CT$4:CT169,CR$4:CR169,CP$4:CP169))</f>
        <v>0.72406428109889664</v>
      </c>
      <c r="CW169" s="200" t="str">
        <f t="shared" si="263"/>
        <v/>
      </c>
      <c r="CX169" s="206">
        <f>IF($J169="",#N/A,SUM(CW$4:CW169))</f>
        <v>0</v>
      </c>
      <c r="CY169" s="207" t="str">
        <f t="shared" si="264"/>
        <v/>
      </c>
      <c r="CZ169" s="207">
        <f>IF($J169="",#N/A,SUM(CY$4:CY169))</f>
        <v>-1.9289529100071134</v>
      </c>
      <c r="DA169" s="208" t="str">
        <f t="shared" si="265"/>
        <v/>
      </c>
      <c r="DB169" s="208">
        <f>IF($J169="",#N/A,SUM(DA$4:DA169))</f>
        <v>-1.2278690516702204</v>
      </c>
      <c r="DC169" s="208">
        <f>IF($J169="",#N/A,SUM(DA$4:DA169,CY$4:CY169,CW$4:CW169))</f>
        <v>-3.1568219616773341</v>
      </c>
      <c r="DD169" s="200" t="str">
        <f t="shared" si="266"/>
        <v/>
      </c>
      <c r="DE169" s="206">
        <f>IF($J169="",#N/A,SUM(DD$4:DD169))</f>
        <v>0.14968716170674062</v>
      </c>
      <c r="DF169" s="207" t="str">
        <f t="shared" si="267"/>
        <v/>
      </c>
      <c r="DG169" s="207">
        <f>IF($J169="",#N/A,SUM(DF$4:DF169))</f>
        <v>1.2121188689979676</v>
      </c>
      <c r="DH169" s="208" t="str">
        <f t="shared" si="268"/>
        <v/>
      </c>
      <c r="DI169" s="208">
        <f>IF($J169="",#N/A,SUM(DH$4:DH169))</f>
        <v>-0.8404015973735236</v>
      </c>
      <c r="DJ169" s="208">
        <f>IF($J169="",#N/A,SUM(DH$4:DH169,DF$4:DF169,DD$4:DD169))</f>
        <v>0.52140443333118447</v>
      </c>
      <c r="DK169" s="200" t="str">
        <f t="shared" si="269"/>
        <v/>
      </c>
      <c r="DL169" s="206">
        <f>IF($J169="",#N/A,SUM(DK$4:DK169))</f>
        <v>-1.2097286851272664</v>
      </c>
      <c r="DM169" s="207" t="str">
        <f t="shared" si="270"/>
        <v/>
      </c>
      <c r="DN169" s="207">
        <f>IF($J169="",#N/A,SUM(DM$4:DM169))</f>
        <v>1.1910608267574658</v>
      </c>
      <c r="DO169" s="208" t="str">
        <f t="shared" si="271"/>
        <v/>
      </c>
      <c r="DP169" s="208">
        <f>IF($J169="",#N/A,SUM(DO$4:DO169))</f>
        <v>1.3495058802125319</v>
      </c>
      <c r="DQ169" s="208">
        <f>IF($J169="",#N/A,SUM(DO$4:DO169,DM$4:DM169,DK$4:DK169))</f>
        <v>1.3308380218427318</v>
      </c>
      <c r="DR169" s="200" t="str">
        <f t="shared" si="272"/>
        <v/>
      </c>
      <c r="DS169" s="206">
        <f>IF($J169="",#N/A,SUM(DR$4:DR169))</f>
        <v>-0.55950946427675097</v>
      </c>
      <c r="DT169" s="207" t="str">
        <f t="shared" si="273"/>
        <v/>
      </c>
      <c r="DU169" s="207">
        <f>IF($J169="",#N/A,SUM(DT$4:DT169))</f>
        <v>-3.5029740333397914</v>
      </c>
      <c r="DV169" s="208" t="str">
        <f t="shared" si="274"/>
        <v/>
      </c>
      <c r="DW169" s="208">
        <f>IF($J169="",#N/A,SUM(DV$4:DV169))</f>
        <v>-1.8527424265931112</v>
      </c>
      <c r="DX169" s="208">
        <f>IF($J169="",#N/A,SUM(DV$4:DV169,DT$4:DT169,DR$4:DR169))</f>
        <v>-5.9152259242096532</v>
      </c>
      <c r="DY169" s="200" t="str">
        <f t="shared" si="275"/>
        <v/>
      </c>
      <c r="DZ169" s="206">
        <f>IF($J169="",#N/A,SUM(DY$4:DY169))</f>
        <v>-1.63480022183437</v>
      </c>
      <c r="EA169" s="207" t="str">
        <f t="shared" si="276"/>
        <v/>
      </c>
      <c r="EB169" s="207">
        <f>IF($J169="",#N/A,SUM(EA$4:EA169))</f>
        <v>-0.2070110273231956</v>
      </c>
      <c r="EC169" s="208">
        <f t="shared" si="277"/>
        <v>0.96999019164026024</v>
      </c>
      <c r="ED169" s="208">
        <f>IF($J169="",#N/A,SUM(EC$4:EC169))</f>
        <v>2.863890081432142</v>
      </c>
      <c r="EE169" s="208">
        <f>IF($J169="",#N/A,SUM(EC$4:EC169,EA$4:EA169,DY$4:DY169))</f>
        <v>1.0220788322745762</v>
      </c>
      <c r="EF169" s="200" t="str">
        <f t="shared" si="278"/>
        <v/>
      </c>
      <c r="EG169" s="206">
        <f>IF($J169="",#N/A,SUM(EF$4:EF169))</f>
        <v>0</v>
      </c>
      <c r="EH169" s="207" t="str">
        <f t="shared" si="279"/>
        <v/>
      </c>
      <c r="EI169" s="207">
        <f>IF($J169="",#N/A,SUM(EH$4:EH169))</f>
        <v>-1.1184224685150388</v>
      </c>
      <c r="EJ169" s="208" t="str">
        <f t="shared" si="280"/>
        <v/>
      </c>
      <c r="EK169" s="208">
        <f>IF($J169="",#N/A,SUM(EJ$4:EJ169))</f>
        <v>2.804966392787259</v>
      </c>
      <c r="EL169" s="208">
        <f>IF($J169="",#N/A,SUM(EJ$4:EJ169,EH$4:EH169,EF$4:EF169))</f>
        <v>1.6865439242722209</v>
      </c>
      <c r="EM169" s="200" t="str">
        <f t="shared" si="281"/>
        <v/>
      </c>
      <c r="EN169" s="206">
        <f>IF($J169="",#N/A,SUM(EM$4:EM169))</f>
        <v>0</v>
      </c>
      <c r="EO169" s="207" t="str">
        <f t="shared" si="282"/>
        <v/>
      </c>
      <c r="EP169" s="207">
        <f>IF($J169="",#N/A,SUM(EO$4:EO169))</f>
        <v>1.264716604605848</v>
      </c>
      <c r="EQ169" s="208" t="str">
        <f t="shared" si="283"/>
        <v/>
      </c>
      <c r="ER169" s="208">
        <f>IF($J169="",#N/A,SUM(EQ$4:EQ169))</f>
        <v>1.5025175479314647</v>
      </c>
      <c r="ES169" s="208">
        <f>IF($J169="",#N/A,SUM(EQ$4:EQ169,EO$4:EO169,EM$4:EM169))</f>
        <v>2.7672341525373123</v>
      </c>
      <c r="ET169" s="200" t="str">
        <f t="shared" si="284"/>
        <v/>
      </c>
      <c r="EU169" s="206">
        <f>IF($J169="",#N/A,SUM(ET$4:ET169))</f>
        <v>0</v>
      </c>
      <c r="EV169" s="207" t="str">
        <f t="shared" si="285"/>
        <v/>
      </c>
      <c r="EW169" s="207">
        <f>IF($J169="",#N/A,SUM(EV$4:EV169))</f>
        <v>0.90459527759708336</v>
      </c>
      <c r="EX169" s="208" t="str">
        <f t="shared" si="286"/>
        <v/>
      </c>
      <c r="EY169" s="208">
        <f>IF($J169="",#N/A,SUM(EX$4:EX169))</f>
        <v>0.22957553748493481</v>
      </c>
      <c r="EZ169" s="208">
        <f>IF($J169="",#N/A,SUM(EX$4:EX169,EV$4:EV169,ET$4:ET169))</f>
        <v>1.134170815082018</v>
      </c>
      <c r="FA169" s="200" t="str">
        <f t="shared" si="287"/>
        <v/>
      </c>
      <c r="FB169" s="206">
        <f>IF($J169="",#N/A,SUM(FA$4:FA169))</f>
        <v>0</v>
      </c>
      <c r="FC169" s="207" t="str">
        <f t="shared" si="288"/>
        <v/>
      </c>
      <c r="FD169" s="207">
        <f>IF($J169="",#N/A,SUM(FC$4:FC169))</f>
        <v>1.6839191319663924</v>
      </c>
      <c r="FE169" s="208" t="str">
        <f t="shared" si="289"/>
        <v/>
      </c>
      <c r="FF169" s="208">
        <f>IF($J169="",#N/A,SUM(FE$4:FE169))</f>
        <v>-0.28811149078748233</v>
      </c>
      <c r="FG169" s="208">
        <f>IF($J169="",#N/A,SUM(FE$4:FE169,FC$4:FC169,FA$4:FA169))</f>
        <v>1.3958076411789102</v>
      </c>
      <c r="FH169" s="200" t="str">
        <f t="shared" si="290"/>
        <v/>
      </c>
      <c r="FI169" s="206">
        <f>IF($J169="",#N/A,SUM(FH$4:FH169))</f>
        <v>0</v>
      </c>
      <c r="FJ169" s="207" t="str">
        <f t="shared" si="291"/>
        <v/>
      </c>
      <c r="FK169" s="207">
        <f>IF($J169="",#N/A,SUM(FJ$4:FJ169))</f>
        <v>0</v>
      </c>
      <c r="FL169" s="208" t="str">
        <f t="shared" si="292"/>
        <v/>
      </c>
      <c r="FM169" s="208">
        <f>IF($J169="",#N/A,SUM(FL$4:FL169))</f>
        <v>0</v>
      </c>
      <c r="FN169" s="208">
        <f>IF($J169="",#N/A,SUM(FL$4:FL169,FJ$4:FJ169,FH$4:FH169))</f>
        <v>0</v>
      </c>
      <c r="FO169" s="200" t="str">
        <f t="shared" si="293"/>
        <v/>
      </c>
      <c r="FP169" s="206">
        <f>IF($J169="",#N/A,SUM(FO$4:FO169))</f>
        <v>0</v>
      </c>
      <c r="FQ169" s="207" t="str">
        <f t="shared" si="294"/>
        <v/>
      </c>
      <c r="FR169" s="207">
        <f>IF($J169="",#N/A,SUM(FQ$4:FQ169))</f>
        <v>0</v>
      </c>
      <c r="FS169" s="208" t="str">
        <f t="shared" si="295"/>
        <v/>
      </c>
      <c r="FT169" s="208">
        <f>IF($J169="",#N/A,SUM(FS$4:FS169))</f>
        <v>0</v>
      </c>
      <c r="FU169" s="208">
        <f>IF($J169="",#N/A,SUM(FS$4:FS169,FQ$4:FQ169,FO$4:FO169))</f>
        <v>0</v>
      </c>
      <c r="FV169" s="200" t="str">
        <f t="shared" si="296"/>
        <v/>
      </c>
      <c r="FW169" s="206">
        <f>IF($J169="",#N/A,SUM(FV$4:FV169))</f>
        <v>6.6834991831277585E-2</v>
      </c>
      <c r="FX169" s="207" t="str">
        <f t="shared" si="297"/>
        <v/>
      </c>
      <c r="FY169" s="207">
        <f>IF($J169="",#N/A,SUM(FX$4:FX169))</f>
        <v>0</v>
      </c>
      <c r="FZ169" s="208" t="str">
        <f t="shared" si="298"/>
        <v/>
      </c>
      <c r="GA169" s="208">
        <f>IF($J169="",#N/A,SUM(FZ$4:FZ169))</f>
        <v>-0.96570439723286938</v>
      </c>
      <c r="GB169" s="208">
        <f>IF($J169="",#N/A,SUM(FZ$4:FZ169,FX$4:FX169,FV$4:FV169))</f>
        <v>-0.89886940540159177</v>
      </c>
      <c r="GC169" s="200" t="str">
        <f t="shared" si="299"/>
        <v/>
      </c>
      <c r="GD169" s="206">
        <f>IF($J169="",#N/A,SUM(GC$4:GC169))</f>
        <v>0</v>
      </c>
      <c r="GE169" s="207" t="str">
        <f t="shared" si="300"/>
        <v/>
      </c>
      <c r="GF169" s="207">
        <f>IF($J169="",#N/A,SUM(GE$4:GE169))</f>
        <v>0</v>
      </c>
      <c r="GG169" s="208" t="str">
        <f t="shared" si="301"/>
        <v/>
      </c>
      <c r="GH169" s="208">
        <f>IF($J169="",#N/A,SUM(GG$4:GG169))</f>
        <v>-2.9368362277223206</v>
      </c>
      <c r="GI169" s="208">
        <f>IF($J169="",#N/A,SUM(GG$4:GG169,GE$4:GE169,GC$4:GC169))</f>
        <v>-2.9368362277223206</v>
      </c>
      <c r="GJ169" s="200" t="str">
        <f t="shared" si="302"/>
        <v/>
      </c>
      <c r="GK169" s="206">
        <f>IF($J169="",#N/A,SUM(GJ$4:GJ169))</f>
        <v>0</v>
      </c>
      <c r="GL169" s="207" t="str">
        <f t="shared" si="303"/>
        <v/>
      </c>
      <c r="GM169" s="207">
        <f>IF($J169="",#N/A,SUM(GL$4:GL169))</f>
        <v>-0.80168930905701452</v>
      </c>
      <c r="GN169" s="208" t="str">
        <f t="shared" si="304"/>
        <v/>
      </c>
      <c r="GO169" s="208">
        <f>IF($J169="",#N/A,SUM(GN$4:GN169))</f>
        <v>0</v>
      </c>
      <c r="GP169" s="208">
        <f>IF($J169="",#N/A,SUM(GN$4:GN169,GL$4:GL169,GJ$4:GJ169))</f>
        <v>-0.80168930905701452</v>
      </c>
      <c r="GS169" s="54">
        <f t="shared" si="323"/>
        <v>0.96999019164026024</v>
      </c>
      <c r="GT169" s="54">
        <f>IF(GS169="",NA(),SUM($GS$4:GS169))</f>
        <v>-7.5471938663938865E-2</v>
      </c>
      <c r="GU169" s="54" t="str">
        <f t="shared" si="305"/>
        <v/>
      </c>
      <c r="GV169" s="54" t="e">
        <f>IF(GU169="",NA(),SUM($GU$4:GU169))</f>
        <v>#N/A</v>
      </c>
      <c r="GW169" s="54">
        <f t="shared" si="306"/>
        <v>0.96999019164026024</v>
      </c>
      <c r="GX169" s="54">
        <f>IF(GW169="",NA(),SUM($GW$4:GW169))</f>
        <v>2.648672289928685</v>
      </c>
      <c r="GY169" s="54" t="str">
        <f t="shared" si="307"/>
        <v/>
      </c>
      <c r="GZ169" s="54" t="e">
        <f>IF(GY169="",NA(),SUM($GY$4:GY169))</f>
        <v>#N/A</v>
      </c>
      <c r="HA169" s="54" t="str">
        <f t="shared" si="308"/>
        <v/>
      </c>
      <c r="HB169" s="54" t="e">
        <f>IF(HA169="",NA(),SUM($HA$4:HA169))</f>
        <v>#N/A</v>
      </c>
      <c r="HC169" s="54" t="str">
        <f t="shared" si="309"/>
        <v/>
      </c>
      <c r="HD169" s="54" t="e">
        <f>IF(HC169="",NA(),SUM($HC$4:HC169))</f>
        <v>#N/A</v>
      </c>
      <c r="HE169" s="54" t="str">
        <f t="shared" si="310"/>
        <v/>
      </c>
      <c r="HF169" s="54" t="e">
        <f>IF(HE169="",NA(),SUM($HE$4:HE169))</f>
        <v>#N/A</v>
      </c>
      <c r="HG169" s="54" t="str">
        <f t="shared" si="311"/>
        <v/>
      </c>
      <c r="HH169" s="54" t="e">
        <f>IF(HG169="",NA(),SUM($HG$4:HG169))</f>
        <v>#N/A</v>
      </c>
      <c r="HI169" s="172" t="str">
        <f t="shared" si="324"/>
        <v/>
      </c>
      <c r="HJ169" s="172">
        <f>IF($J169="",#N/A,SUM(HI$4:$HI169))</f>
        <v>-7.0622551668788667</v>
      </c>
      <c r="HK169" s="54" t="str">
        <f t="shared" si="312"/>
        <v/>
      </c>
      <c r="HL169" s="54">
        <f>IF($J169="",#N/A,SUM($HK$4:HK169))</f>
        <v>-6.0636907107074549</v>
      </c>
      <c r="HM169" s="54" t="str">
        <f t="shared" si="313"/>
        <v/>
      </c>
      <c r="HN169" s="54">
        <f>IF($J169="",#N/A,SUM($HM$4:HM169))</f>
        <v>0.71812545963587882</v>
      </c>
      <c r="HO169" s="54" t="str">
        <f t="shared" si="314"/>
        <v/>
      </c>
      <c r="HP169" s="54">
        <f>IF($J169="",#N/A,SUM($HO$4:HO169))</f>
        <v>-0.14859521910082485</v>
      </c>
      <c r="HQ169" s="54">
        <f t="shared" si="315"/>
        <v>0.43854685377999236</v>
      </c>
      <c r="HR169" s="54">
        <f>IF($J169="",#N/A,SUM($HQ$4:HQ169))</f>
        <v>-9.2744671295951253</v>
      </c>
      <c r="HS169" s="54" t="str">
        <f t="shared" si="316"/>
        <v/>
      </c>
      <c r="HT169" s="54">
        <f>IF($J169="",#N/A,SUM($HS$4:HS169))</f>
        <v>12.032733364798178</v>
      </c>
      <c r="HU169" s="65">
        <f t="shared" si="317"/>
        <v>1.4085370454202526</v>
      </c>
      <c r="HV169" s="65">
        <f>IF($J169="",#N/A,SUM(HU$4:$HU169))</f>
        <v>-7.2196911695426094</v>
      </c>
    </row>
    <row r="170" spans="1:230" x14ac:dyDescent="0.25">
      <c r="A170" s="396" t="s">
        <v>1366</v>
      </c>
      <c r="B170" s="52" t="s">
        <v>4542</v>
      </c>
      <c r="C170" s="229">
        <f t="shared" si="218"/>
        <v>3</v>
      </c>
      <c r="D170" s="219" t="str">
        <f>_xlfn.XLOOKUP(A170,[1]SP500!$A$2:$A$502,[1]SP500!$D$2:$D$502,"N")</f>
        <v>Y</v>
      </c>
      <c r="E170" s="51" t="str">
        <f>IFERROR(_xlfn.XLOOKUP(A170,[1]SP500!$A$2:$A$655,[1]SP500!$B$2:$B$655),"")</f>
        <v>XLI</v>
      </c>
      <c r="F170" s="290">
        <v>45777</v>
      </c>
      <c r="G170" s="51" t="str">
        <f t="shared" si="219"/>
        <v>BMO</v>
      </c>
      <c r="H170" s="51" t="str">
        <f t="shared" si="220"/>
        <v>s</v>
      </c>
      <c r="I170" s="344">
        <v>241.75</v>
      </c>
      <c r="J170" s="124">
        <v>239.88</v>
      </c>
      <c r="K170" s="55">
        <f t="shared" si="221"/>
        <v>-7.7352637021716837E-3</v>
      </c>
      <c r="L170" s="67">
        <f t="shared" si="222"/>
        <v>-7.4800000000000182</v>
      </c>
      <c r="M170" s="57">
        <f t="shared" si="223"/>
        <v>0</v>
      </c>
      <c r="N170" s="102">
        <f t="shared" si="224"/>
        <v>-7.4800000000000182</v>
      </c>
      <c r="O170" s="57">
        <f>IF(N170="",#N/A,SUM($N$4:N170))</f>
        <v>-54.04363589938734</v>
      </c>
      <c r="P170" s="65">
        <f t="shared" si="318"/>
        <v>-0.12892106170286141</v>
      </c>
      <c r="Q170" s="172">
        <f>IF($N170="",#N/A,SUM($P$4:P170))</f>
        <v>2.4495371706027469</v>
      </c>
      <c r="R170" s="279">
        <f t="shared" si="225"/>
        <v>4.1248200979374952</v>
      </c>
      <c r="S170" s="51" t="str">
        <f t="shared" si="226"/>
        <v>SW</v>
      </c>
      <c r="T170" s="51" t="s">
        <v>2828</v>
      </c>
      <c r="U170" s="56">
        <f t="shared" si="227"/>
        <v>241.75</v>
      </c>
      <c r="V170" s="56" t="s">
        <v>4460</v>
      </c>
      <c r="W170" s="142">
        <v>4</v>
      </c>
      <c r="X170" s="145">
        <f t="shared" si="228"/>
        <v>967</v>
      </c>
      <c r="Y170" s="140">
        <f t="shared" si="229"/>
        <v>4</v>
      </c>
      <c r="Z170" s="123">
        <v>239.88</v>
      </c>
      <c r="AA170" s="102">
        <f t="shared" si="230"/>
        <v>-7.4800000000000182</v>
      </c>
      <c r="AB170" s="102">
        <f t="shared" si="231"/>
        <v>-7.3600000000000136</v>
      </c>
      <c r="AC170" s="124">
        <v>239.91</v>
      </c>
      <c r="AD170" s="155">
        <f t="shared" si="232"/>
        <v>-7.3600000000000136</v>
      </c>
      <c r="AE170" s="545">
        <f t="shared" si="233"/>
        <v>-0.12685280937607746</v>
      </c>
      <c r="AF170" s="57">
        <f>IF($AC170="",#N/A,SUM(AD$4:AD170))</f>
        <v>-555.53041200241637</v>
      </c>
      <c r="AG170" s="102">
        <f t="shared" si="234"/>
        <v>0.12000000000000455</v>
      </c>
      <c r="AH170" s="56" t="s">
        <v>2507</v>
      </c>
      <c r="AI170" s="65">
        <f t="shared" si="235"/>
        <v>-0.12892106170286141</v>
      </c>
      <c r="AJ170" s="65">
        <f>IF(AI170="",#N/A,SUM($AI$4:AI170))</f>
        <v>-1.6752829273347483</v>
      </c>
      <c r="AK170" s="57">
        <f t="shared" si="236"/>
        <v>-7.4800000000000182</v>
      </c>
      <c r="AL170" s="349">
        <f>IF(AI170="",#N/A,IF(AH170="Skip",SUM($AK$4:AK170),SUM($AK$4:AK170)))</f>
        <v>-330.66740850718656</v>
      </c>
      <c r="AM170" s="65">
        <f t="shared" si="319"/>
        <v>-0.12685280937607746</v>
      </c>
      <c r="AN170" s="209"/>
      <c r="AO170" s="65">
        <f t="shared" si="237"/>
        <v>-0.12685280937607746</v>
      </c>
      <c r="AP170" s="65">
        <f>IF($AC170="",#N/A,SUM(AO$4:AO170))</f>
        <v>4.9601392098218398</v>
      </c>
      <c r="AQ170" s="65" t="str">
        <f t="shared" si="238"/>
        <v/>
      </c>
      <c r="AR170" s="65">
        <f>IF($AC170="",#N/A,SUM(AQ$4:AQ170))</f>
        <v>-2.6179859771653153</v>
      </c>
      <c r="AS170" s="65" t="str">
        <f t="shared" si="239"/>
        <v/>
      </c>
      <c r="AT170" s="65">
        <f>IF($AC170="",#N/A,SUM(AS$4:AS170))</f>
        <v>-9.6886972115752155</v>
      </c>
      <c r="AU170" s="57">
        <f t="shared" si="320"/>
        <v>-7.3600000000000136</v>
      </c>
      <c r="AV170" s="57">
        <f>IF($AC170="",#N/A,SUM(AU$4:AU170))</f>
        <v>208.66120645125071</v>
      </c>
      <c r="AW170" s="57" t="str">
        <f t="shared" si="321"/>
        <v/>
      </c>
      <c r="AX170" s="57">
        <f>IF($AC170="",#N/A,SUM(AW$4:AW170))</f>
        <v>-163.1400000000001</v>
      </c>
      <c r="AY170" s="57" t="str">
        <f t="shared" si="322"/>
        <v/>
      </c>
      <c r="AZ170" s="57">
        <f>IF($AC170="",#N/A,SUM(AY$4:AY170))</f>
        <v>-601.05161845366695</v>
      </c>
      <c r="BA170" s="57">
        <f>IF(AD170="",#N/A,SUM($AD$4:AD170))</f>
        <v>-555.53041200241637</v>
      </c>
      <c r="BC170" s="51" t="str">
        <f t="shared" si="240"/>
        <v/>
      </c>
      <c r="BD170" s="51" t="str">
        <f t="shared" si="241"/>
        <v/>
      </c>
      <c r="BE170" s="51" t="str">
        <f t="shared" si="242"/>
        <v/>
      </c>
      <c r="BF170" s="51" t="str">
        <f t="shared" si="243"/>
        <v>Long</v>
      </c>
      <c r="BG170" s="51" t="str">
        <f t="shared" si="244"/>
        <v/>
      </c>
      <c r="BH170" s="51" t="str">
        <f t="shared" si="245"/>
        <v/>
      </c>
      <c r="BI170" s="51">
        <f t="shared" si="246"/>
        <v>1</v>
      </c>
      <c r="BK170" s="65">
        <f t="shared" si="217"/>
        <v>9.2435794498806595E-2</v>
      </c>
      <c r="BL170" s="65">
        <f t="shared" si="325"/>
        <v>0.22950031622878458</v>
      </c>
      <c r="BM170" s="65">
        <f>IFERROR(Q170/COUNTA($J$4:J170),#N/A)</f>
        <v>1.4667887249118244E-2</v>
      </c>
      <c r="BO170" s="489">
        <f>IF(J170="",#N/A,IF(S170="SW",(COUNTIFS(K$4:$K170,"&gt;0",S$4:$S170,"SW")/COUNTIF(S$4:$S170,"SW")),#N/A))</f>
        <v>0.49450549450549453</v>
      </c>
      <c r="BP170" s="489" t="e">
        <f>IF($J170="",#N/A,IF($S170="DWN",(COUNTIFS($K$4:$K170,"&lt;0",$S$4:$S170,"DWN")/COUNTIF($S$4:$S170,"DWN")),#N/A))</f>
        <v>#N/A</v>
      </c>
      <c r="BQ170" s="489" t="e">
        <f>IF($J170="",#N/A,IF($S170="UP",(COUNTIFS($K$4:$K170,"&gt;0",$S$4:$S170,"UP")/COUNTIF($S$4:$S170,"UP")),#N/A))</f>
        <v>#N/A</v>
      </c>
      <c r="BR170" s="489">
        <f>IF(J170="",#N/A,COUNTIF($K$4:K170,"&gt;0")/COUNT($J$4:J170))</f>
        <v>0.46706586826347307</v>
      </c>
      <c r="BS170" s="65" t="str">
        <f t="shared" si="247"/>
        <v/>
      </c>
      <c r="BT170" s="65">
        <f t="shared" si="248"/>
        <v>-0.12892106170286141</v>
      </c>
      <c r="BU170" s="65" t="str">
        <f t="shared" si="249"/>
        <v/>
      </c>
      <c r="BV170" s="65" t="str">
        <f t="shared" si="250"/>
        <v/>
      </c>
      <c r="BW170" s="128" t="str">
        <f t="shared" si="251"/>
        <v/>
      </c>
      <c r="BX170" s="128">
        <f>IF($J170="",#N/A,SUM($BW$4:BW170))</f>
        <v>-205.1650000000003</v>
      </c>
      <c r="BY170" s="131" t="str">
        <f t="shared" si="252"/>
        <v/>
      </c>
      <c r="BZ170" s="131">
        <f>IF($J170="",#N/A,SUM($BY$4:BY170))</f>
        <v>165.1543403893337</v>
      </c>
      <c r="CA170" s="133">
        <f t="shared" si="253"/>
        <v>-7.4800000000000182</v>
      </c>
      <c r="CB170" s="133">
        <f>IF($J170="",#N/A,SUM($CA$4:CA170))</f>
        <v>-14.032976288720732</v>
      </c>
      <c r="CC170" s="194" t="str">
        <f t="shared" si="254"/>
        <v/>
      </c>
      <c r="CD170" s="194">
        <f>IF($J170="",#N/A,SUM($CC$4:CC170))</f>
        <v>-3.1875162177003693</v>
      </c>
      <c r="CE170" s="195" t="str">
        <f t="shared" si="255"/>
        <v/>
      </c>
      <c r="CF170" s="195">
        <f>IF($J170="",#N/A,SUM($CE$4:CE170))</f>
        <v>3.4372486660111123</v>
      </c>
      <c r="CG170" s="196">
        <f t="shared" si="256"/>
        <v>-0.12892106170286141</v>
      </c>
      <c r="CH170" s="196">
        <f>IF($J170="",#N/A,SUM($CG$4:CG170))</f>
        <v>2.1998047222920092</v>
      </c>
      <c r="CI170" s="200" t="str">
        <f t="shared" si="257"/>
        <v/>
      </c>
      <c r="CJ170" s="203">
        <f>IF($J170="",#N/A,SUM(CI$4:CI170))</f>
        <v>0</v>
      </c>
      <c r="CK170" s="204" t="str">
        <f t="shared" si="258"/>
        <v/>
      </c>
      <c r="CL170" s="204">
        <f>IF($J170="",#N/A,SUM(CK$4:CK170))</f>
        <v>1.9927003554442289</v>
      </c>
      <c r="CM170" s="205" t="str">
        <f t="shared" si="259"/>
        <v/>
      </c>
      <c r="CN170" s="205">
        <f>IF($J170="",#N/A,SUM(CM$4:CM170))</f>
        <v>3.3861132786295873</v>
      </c>
      <c r="CO170" s="205">
        <f>IF($J170="",#N/A,SUM(CM$4:CM170,CK$4:CK170,CI$4:CI170))</f>
        <v>5.3788136340738166</v>
      </c>
      <c r="CP170" s="200" t="str">
        <f t="shared" si="260"/>
        <v/>
      </c>
      <c r="CQ170" s="203">
        <f>IF($J170="",#N/A,SUM(CP$4:CP170))</f>
        <v>0</v>
      </c>
      <c r="CR170" s="204" t="str">
        <f t="shared" si="261"/>
        <v/>
      </c>
      <c r="CS170" s="204">
        <f>IF($J170="",#N/A,SUM(CR$4:CR170))</f>
        <v>2.420242024202421</v>
      </c>
      <c r="CT170" s="205" t="str">
        <f t="shared" si="262"/>
        <v/>
      </c>
      <c r="CU170" s="205">
        <f>IF($J170="",#N/A,SUM(CT$4:CT170))</f>
        <v>-1.6961777431035243</v>
      </c>
      <c r="CV170" s="205">
        <f>IF($J170="",#N/A,SUM(CT$4:CT170,CR$4:CR170,CP$4:CP170))</f>
        <v>0.72406428109889664</v>
      </c>
      <c r="CW170" s="200" t="str">
        <f t="shared" si="263"/>
        <v/>
      </c>
      <c r="CX170" s="203">
        <f>IF($J170="",#N/A,SUM(CW$4:CW170))</f>
        <v>0</v>
      </c>
      <c r="CY170" s="204" t="str">
        <f t="shared" si="264"/>
        <v/>
      </c>
      <c r="CZ170" s="204">
        <f>IF($J170="",#N/A,SUM(CY$4:CY170))</f>
        <v>-1.9289529100071134</v>
      </c>
      <c r="DA170" s="205" t="str">
        <f t="shared" si="265"/>
        <v/>
      </c>
      <c r="DB170" s="205">
        <f>IF($J170="",#N/A,SUM(DA$4:DA170))</f>
        <v>-1.2278690516702204</v>
      </c>
      <c r="DC170" s="205">
        <f>IF($J170="",#N/A,SUM(DA$4:DA170,CY$4:CY170,CW$4:CW170))</f>
        <v>-3.1568219616773341</v>
      </c>
      <c r="DD170" s="200" t="str">
        <f t="shared" si="266"/>
        <v/>
      </c>
      <c r="DE170" s="203">
        <f>IF($J170="",#N/A,SUM(DD$4:DD170))</f>
        <v>0.14968716170674062</v>
      </c>
      <c r="DF170" s="204" t="str">
        <f t="shared" si="267"/>
        <v/>
      </c>
      <c r="DG170" s="204">
        <f>IF($J170="",#N/A,SUM(DF$4:DF170))</f>
        <v>1.2121188689979676</v>
      </c>
      <c r="DH170" s="205" t="str">
        <f t="shared" si="268"/>
        <v/>
      </c>
      <c r="DI170" s="205">
        <f>IF($J170="",#N/A,SUM(DH$4:DH170))</f>
        <v>-0.8404015973735236</v>
      </c>
      <c r="DJ170" s="205">
        <f>IF($J170="",#N/A,SUM(DH$4:DH170,DF$4:DF170,DD$4:DD170))</f>
        <v>0.52140443333118447</v>
      </c>
      <c r="DK170" s="200" t="str">
        <f t="shared" si="269"/>
        <v/>
      </c>
      <c r="DL170" s="203">
        <f>IF($J170="",#N/A,SUM(DK$4:DK170))</f>
        <v>-1.2097286851272664</v>
      </c>
      <c r="DM170" s="204" t="str">
        <f t="shared" si="270"/>
        <v/>
      </c>
      <c r="DN170" s="204">
        <f>IF($J170="",#N/A,SUM(DM$4:DM170))</f>
        <v>1.1910608267574658</v>
      </c>
      <c r="DO170" s="205" t="str">
        <f t="shared" si="271"/>
        <v/>
      </c>
      <c r="DP170" s="205">
        <f>IF($J170="",#N/A,SUM(DO$4:DO170))</f>
        <v>1.3495058802125319</v>
      </c>
      <c r="DQ170" s="205">
        <f>IF($J170="",#N/A,SUM(DO$4:DO170,DM$4:DM170,DK$4:DK170))</f>
        <v>1.3308380218427318</v>
      </c>
      <c r="DR170" s="200" t="str">
        <f t="shared" si="272"/>
        <v/>
      </c>
      <c r="DS170" s="203">
        <f>IF($J170="",#N/A,SUM(DR$4:DR170))</f>
        <v>-0.55950946427675097</v>
      </c>
      <c r="DT170" s="204" t="str">
        <f t="shared" si="273"/>
        <v/>
      </c>
      <c r="DU170" s="204">
        <f>IF($J170="",#N/A,SUM(DT$4:DT170))</f>
        <v>-3.5029740333397914</v>
      </c>
      <c r="DV170" s="205" t="str">
        <f t="shared" si="274"/>
        <v/>
      </c>
      <c r="DW170" s="205">
        <f>IF($J170="",#N/A,SUM(DV$4:DV170))</f>
        <v>-1.8527424265931112</v>
      </c>
      <c r="DX170" s="205">
        <f>IF($J170="",#N/A,SUM(DV$4:DV170,DT$4:DT170,DR$4:DR170))</f>
        <v>-5.9152259242096532</v>
      </c>
      <c r="DY170" s="200" t="str">
        <f t="shared" si="275"/>
        <v/>
      </c>
      <c r="DZ170" s="203">
        <f>IF($J170="",#N/A,SUM(DY$4:DY170))</f>
        <v>-1.63480022183437</v>
      </c>
      <c r="EA170" s="204" t="str">
        <f t="shared" si="276"/>
        <v/>
      </c>
      <c r="EB170" s="204">
        <f>IF($J170="",#N/A,SUM(EA$4:EA170))</f>
        <v>-0.2070110273231956</v>
      </c>
      <c r="EC170" s="205">
        <f t="shared" si="277"/>
        <v>-0.12892106170286141</v>
      </c>
      <c r="ED170" s="205">
        <f>IF($J170="",#N/A,SUM(EC$4:EC170))</f>
        <v>2.7349690197292804</v>
      </c>
      <c r="EE170" s="205">
        <f>IF($J170="",#N/A,SUM(EC$4:EC170,EA$4:EA170,DY$4:DY170))</f>
        <v>0.89315777057171464</v>
      </c>
      <c r="EF170" s="200" t="str">
        <f t="shared" si="278"/>
        <v/>
      </c>
      <c r="EG170" s="203">
        <f>IF($J170="",#N/A,SUM(EF$4:EF170))</f>
        <v>0</v>
      </c>
      <c r="EH170" s="204" t="str">
        <f t="shared" si="279"/>
        <v/>
      </c>
      <c r="EI170" s="204">
        <f>IF($J170="",#N/A,SUM(EH$4:EH170))</f>
        <v>-1.1184224685150388</v>
      </c>
      <c r="EJ170" s="205" t="str">
        <f t="shared" si="280"/>
        <v/>
      </c>
      <c r="EK170" s="205">
        <f>IF($J170="",#N/A,SUM(EJ$4:EJ170))</f>
        <v>2.804966392787259</v>
      </c>
      <c r="EL170" s="205">
        <f>IF($J170="",#N/A,SUM(EJ$4:EJ170,EH$4:EH170,EF$4:EF170))</f>
        <v>1.6865439242722209</v>
      </c>
      <c r="EM170" s="200" t="str">
        <f t="shared" si="281"/>
        <v/>
      </c>
      <c r="EN170" s="203">
        <f>IF($J170="",#N/A,SUM(EM$4:EM170))</f>
        <v>0</v>
      </c>
      <c r="EO170" s="204" t="str">
        <f t="shared" si="282"/>
        <v/>
      </c>
      <c r="EP170" s="204">
        <f>IF($J170="",#N/A,SUM(EO$4:EO170))</f>
        <v>1.264716604605848</v>
      </c>
      <c r="EQ170" s="205" t="str">
        <f t="shared" si="283"/>
        <v/>
      </c>
      <c r="ER170" s="205">
        <f>IF($J170="",#N/A,SUM(EQ$4:EQ170))</f>
        <v>1.5025175479314647</v>
      </c>
      <c r="ES170" s="205">
        <f>IF($J170="",#N/A,SUM(EQ$4:EQ170,EO$4:EO170,EM$4:EM170))</f>
        <v>2.7672341525373123</v>
      </c>
      <c r="ET170" s="200" t="str">
        <f t="shared" si="284"/>
        <v/>
      </c>
      <c r="EU170" s="203">
        <f>IF($J170="",#N/A,SUM(ET$4:ET170))</f>
        <v>0</v>
      </c>
      <c r="EV170" s="204" t="str">
        <f t="shared" si="285"/>
        <v/>
      </c>
      <c r="EW170" s="204">
        <f>IF($J170="",#N/A,SUM(EV$4:EV170))</f>
        <v>0.90459527759708336</v>
      </c>
      <c r="EX170" s="205" t="str">
        <f t="shared" si="286"/>
        <v/>
      </c>
      <c r="EY170" s="205">
        <f>IF($J170="",#N/A,SUM(EX$4:EX170))</f>
        <v>0.22957553748493481</v>
      </c>
      <c r="EZ170" s="205">
        <f>IF($J170="",#N/A,SUM(EX$4:EX170,EV$4:EV170,ET$4:ET170))</f>
        <v>1.134170815082018</v>
      </c>
      <c r="FA170" s="200" t="str">
        <f t="shared" si="287"/>
        <v/>
      </c>
      <c r="FB170" s="203">
        <f>IF($J170="",#N/A,SUM(FA$4:FA170))</f>
        <v>0</v>
      </c>
      <c r="FC170" s="204" t="str">
        <f t="shared" si="288"/>
        <v/>
      </c>
      <c r="FD170" s="204">
        <f>IF($J170="",#N/A,SUM(FC$4:FC170))</f>
        <v>1.6839191319663924</v>
      </c>
      <c r="FE170" s="205" t="str">
        <f t="shared" si="289"/>
        <v/>
      </c>
      <c r="FF170" s="205">
        <f>IF($J170="",#N/A,SUM(FE$4:FE170))</f>
        <v>-0.28811149078748233</v>
      </c>
      <c r="FG170" s="205">
        <f>IF($J170="",#N/A,SUM(FE$4:FE170,FC$4:FC170,FA$4:FA170))</f>
        <v>1.3958076411789102</v>
      </c>
      <c r="FH170" s="200" t="str">
        <f t="shared" si="290"/>
        <v/>
      </c>
      <c r="FI170" s="203">
        <f>IF($J170="",#N/A,SUM(FH$4:FH170))</f>
        <v>0</v>
      </c>
      <c r="FJ170" s="204" t="str">
        <f t="shared" si="291"/>
        <v/>
      </c>
      <c r="FK170" s="204">
        <f>IF($J170="",#N/A,SUM(FJ$4:FJ170))</f>
        <v>0</v>
      </c>
      <c r="FL170" s="205" t="str">
        <f t="shared" si="292"/>
        <v/>
      </c>
      <c r="FM170" s="205">
        <f>IF($J170="",#N/A,SUM(FL$4:FL170))</f>
        <v>0</v>
      </c>
      <c r="FN170" s="205">
        <f>IF($J170="",#N/A,SUM(FL$4:FL170,FJ$4:FJ170,FH$4:FH170))</f>
        <v>0</v>
      </c>
      <c r="FO170" s="200" t="str">
        <f t="shared" si="293"/>
        <v/>
      </c>
      <c r="FP170" s="203">
        <f>IF($J170="",#N/A,SUM(FO$4:FO170))</f>
        <v>0</v>
      </c>
      <c r="FQ170" s="204" t="str">
        <f t="shared" si="294"/>
        <v/>
      </c>
      <c r="FR170" s="204">
        <f>IF($J170="",#N/A,SUM(FQ$4:FQ170))</f>
        <v>0</v>
      </c>
      <c r="FS170" s="205" t="str">
        <f t="shared" si="295"/>
        <v/>
      </c>
      <c r="FT170" s="205">
        <f>IF($J170="",#N/A,SUM(FS$4:FS170))</f>
        <v>0</v>
      </c>
      <c r="FU170" s="205">
        <f>IF($J170="",#N/A,SUM(FS$4:FS170,FQ$4:FQ170,FO$4:FO170))</f>
        <v>0</v>
      </c>
      <c r="FV170" s="200" t="str">
        <f t="shared" si="296"/>
        <v/>
      </c>
      <c r="FW170" s="203">
        <f>IF($J170="",#N/A,SUM(FV$4:FV170))</f>
        <v>6.6834991831277585E-2</v>
      </c>
      <c r="FX170" s="204" t="str">
        <f t="shared" si="297"/>
        <v/>
      </c>
      <c r="FY170" s="204">
        <f>IF($J170="",#N/A,SUM(FX$4:FX170))</f>
        <v>0</v>
      </c>
      <c r="FZ170" s="205" t="str">
        <f t="shared" si="298"/>
        <v/>
      </c>
      <c r="GA170" s="205">
        <f>IF($J170="",#N/A,SUM(FZ$4:FZ170))</f>
        <v>-0.96570439723286938</v>
      </c>
      <c r="GB170" s="205">
        <f>IF($J170="",#N/A,SUM(FZ$4:FZ170,FX$4:FX170,FV$4:FV170))</f>
        <v>-0.89886940540159177</v>
      </c>
      <c r="GC170" s="200" t="str">
        <f t="shared" si="299"/>
        <v/>
      </c>
      <c r="GD170" s="203">
        <f>IF($J170="",#N/A,SUM(GC$4:GC170))</f>
        <v>0</v>
      </c>
      <c r="GE170" s="204" t="str">
        <f t="shared" si="300"/>
        <v/>
      </c>
      <c r="GF170" s="204">
        <f>IF($J170="",#N/A,SUM(GE$4:GE170))</f>
        <v>0</v>
      </c>
      <c r="GG170" s="205" t="str">
        <f t="shared" si="301"/>
        <v/>
      </c>
      <c r="GH170" s="205">
        <f>IF($J170="",#N/A,SUM(GG$4:GG170))</f>
        <v>-2.9368362277223206</v>
      </c>
      <c r="GI170" s="205">
        <f>IF($J170="",#N/A,SUM(GG$4:GG170,GE$4:GE170,GC$4:GC170))</f>
        <v>-2.9368362277223206</v>
      </c>
      <c r="GJ170" s="200" t="str">
        <f t="shared" si="302"/>
        <v/>
      </c>
      <c r="GK170" s="203">
        <f>IF($J170="",#N/A,SUM(GJ$4:GJ170))</f>
        <v>0</v>
      </c>
      <c r="GL170" s="204" t="str">
        <f t="shared" si="303"/>
        <v/>
      </c>
      <c r="GM170" s="204">
        <f>IF($J170="",#N/A,SUM(GL$4:GL170))</f>
        <v>-0.80168930905701452</v>
      </c>
      <c r="GN170" s="205" t="str">
        <f t="shared" si="304"/>
        <v/>
      </c>
      <c r="GO170" s="205">
        <f>IF($J170="",#N/A,SUM(GN$4:GN170))</f>
        <v>0</v>
      </c>
      <c r="GP170" s="205">
        <f>IF($J170="",#N/A,SUM(GN$4:GN170,GL$4:GL170,GJ$4:GJ170))</f>
        <v>-0.80168930905701452</v>
      </c>
      <c r="GS170" s="54">
        <f t="shared" si="323"/>
        <v>-0.12892106170286141</v>
      </c>
      <c r="GT170" s="54">
        <f>IF(GS170="",NA(),SUM($GS$4:GS170))</f>
        <v>-0.20439300036680028</v>
      </c>
      <c r="GU170" s="54" t="str">
        <f t="shared" si="305"/>
        <v/>
      </c>
      <c r="GV170" s="54" t="e">
        <f>IF(GU170="",NA(),SUM($GU$4:GU170))</f>
        <v>#N/A</v>
      </c>
      <c r="GW170" s="54">
        <f t="shared" si="306"/>
        <v>-0.12892106170286141</v>
      </c>
      <c r="GX170" s="54">
        <f>IF(GW170="",NA(),SUM($GW$4:GW170))</f>
        <v>2.5197512282258234</v>
      </c>
      <c r="GY170" s="54" t="str">
        <f t="shared" si="307"/>
        <v/>
      </c>
      <c r="GZ170" s="54" t="e">
        <f>IF(GY170="",NA(),SUM($GY$4:GY170))</f>
        <v>#N/A</v>
      </c>
      <c r="HA170" s="54" t="str">
        <f t="shared" si="308"/>
        <v/>
      </c>
      <c r="HB170" s="54" t="e">
        <f>IF(HA170="",NA(),SUM($HA$4:HA170))</f>
        <v>#N/A</v>
      </c>
      <c r="HC170" s="54" t="str">
        <f t="shared" si="309"/>
        <v/>
      </c>
      <c r="HD170" s="54" t="e">
        <f>IF(HC170="",NA(),SUM($HC$4:HC170))</f>
        <v>#N/A</v>
      </c>
      <c r="HE170" s="54" t="str">
        <f t="shared" si="310"/>
        <v/>
      </c>
      <c r="HF170" s="54" t="e">
        <f>IF(HE170="",NA(),SUM($HE$4:HE170))</f>
        <v>#N/A</v>
      </c>
      <c r="HG170" s="54" t="str">
        <f t="shared" si="311"/>
        <v/>
      </c>
      <c r="HH170" s="54" t="e">
        <f>IF(HG170="",NA(),SUM($HG$4:HG170))</f>
        <v>#N/A</v>
      </c>
      <c r="HI170" s="172" t="str">
        <f t="shared" si="324"/>
        <v/>
      </c>
      <c r="HJ170" s="172">
        <f>IF($J170="",#N/A,SUM(HI$4:$HI170))</f>
        <v>-7.0622551668788667</v>
      </c>
      <c r="HK170" s="54" t="str">
        <f t="shared" si="312"/>
        <v/>
      </c>
      <c r="HL170" s="54">
        <f>IF($J170="",#N/A,SUM($HK$4:HK170))</f>
        <v>-6.0636907107074549</v>
      </c>
      <c r="HM170" s="54" t="str">
        <f t="shared" si="313"/>
        <v/>
      </c>
      <c r="HN170" s="54">
        <f>IF($J170="",#N/A,SUM($HM$4:HM170))</f>
        <v>0.71812545963587882</v>
      </c>
      <c r="HO170" s="54" t="str">
        <f t="shared" si="314"/>
        <v/>
      </c>
      <c r="HP170" s="54">
        <f>IF($J170="",#N/A,SUM($HO$4:HO170))</f>
        <v>-0.14859521910082485</v>
      </c>
      <c r="HQ170" s="54" t="str">
        <f t="shared" si="315"/>
        <v/>
      </c>
      <c r="HR170" s="54">
        <f>IF($J170="",#N/A,SUM($HQ$4:HQ170))</f>
        <v>-9.2744671295951253</v>
      </c>
      <c r="HS170" s="54">
        <f t="shared" si="316"/>
        <v>2.0682523267839537E-3</v>
      </c>
      <c r="HT170" s="54">
        <f>IF($J170="",#N/A,SUM($HS$4:HS170))</f>
        <v>12.034801617124963</v>
      </c>
      <c r="HU170" s="65">
        <f t="shared" si="317"/>
        <v>-0.12685280937607746</v>
      </c>
      <c r="HV170" s="65">
        <f>IF($J170="",#N/A,SUM(HU$4:$HU170))</f>
        <v>-7.346543978918687</v>
      </c>
    </row>
    <row r="171" spans="1:230" x14ac:dyDescent="0.25">
      <c r="A171" s="51" t="s">
        <v>1327</v>
      </c>
      <c r="B171" s="52" t="s">
        <v>4542</v>
      </c>
      <c r="C171" s="229">
        <f t="shared" si="218"/>
        <v>3</v>
      </c>
      <c r="D171" s="219" t="str">
        <f>_xlfn.XLOOKUP(A171,[1]SP500!$A$2:$A$502,[1]SP500!$D$2:$D$502,"N")</f>
        <v>Y</v>
      </c>
      <c r="E171" s="51" t="str">
        <f>IFERROR(_xlfn.XLOOKUP(A171,[1]SP500!$A$2:$A$655,[1]SP500!$B$2:$B$655),"")</f>
        <v>XLI</v>
      </c>
      <c r="F171" s="290">
        <v>45777</v>
      </c>
      <c r="G171" s="51" t="str">
        <f t="shared" si="219"/>
        <v>BMO</v>
      </c>
      <c r="H171" s="51" t="str">
        <f t="shared" si="220"/>
        <v>s</v>
      </c>
      <c r="I171" s="344">
        <v>295.77</v>
      </c>
      <c r="J171" s="124">
        <v>290.74</v>
      </c>
      <c r="K171" s="55">
        <f t="shared" si="221"/>
        <v>-1.7006457720525992E-2</v>
      </c>
      <c r="L171" s="67">
        <f t="shared" si="222"/>
        <v>-20.119999999999891</v>
      </c>
      <c r="M171" s="57">
        <f t="shared" si="223"/>
        <v>0</v>
      </c>
      <c r="N171" s="102">
        <f t="shared" si="224"/>
        <v>-20.119999999999891</v>
      </c>
      <c r="O171" s="57">
        <f>IF(N171="",#N/A,SUM($N$4:N171))</f>
        <v>-74.163635899387231</v>
      </c>
      <c r="P171" s="65">
        <f t="shared" si="318"/>
        <v>-0.28344096200876656</v>
      </c>
      <c r="Q171" s="172">
        <f>IF($N171="",#N/A,SUM($P$4:P171))</f>
        <v>2.1660962085939803</v>
      </c>
      <c r="R171" s="279">
        <f t="shared" si="225"/>
        <v>4.1248200979374952</v>
      </c>
      <c r="S171" s="51" t="str">
        <f t="shared" si="226"/>
        <v>SW</v>
      </c>
      <c r="T171" s="51" t="s">
        <v>2828</v>
      </c>
      <c r="U171" s="56">
        <f t="shared" si="227"/>
        <v>295.77</v>
      </c>
      <c r="V171" s="56" t="s">
        <v>4460</v>
      </c>
      <c r="W171" s="142">
        <v>4</v>
      </c>
      <c r="X171" s="145">
        <f t="shared" si="228"/>
        <v>1183.08</v>
      </c>
      <c r="Y171" s="140">
        <f t="shared" si="229"/>
        <v>4</v>
      </c>
      <c r="Z171" s="123">
        <v>290.74</v>
      </c>
      <c r="AA171" s="102">
        <f t="shared" si="230"/>
        <v>-20.119999999999891</v>
      </c>
      <c r="AB171" s="102">
        <f t="shared" si="231"/>
        <v>19.320000000000164</v>
      </c>
      <c r="AC171" s="123">
        <v>300.60000000000002</v>
      </c>
      <c r="AD171" s="155">
        <f t="shared" si="232"/>
        <v>19.320000000000164</v>
      </c>
      <c r="AE171" s="545">
        <f t="shared" si="233"/>
        <v>0.27217094363864047</v>
      </c>
      <c r="AF171" s="57">
        <f>IF($AC171="",#N/A,SUM(AD$4:AD171))</f>
        <v>-536.21041200241621</v>
      </c>
      <c r="AG171" s="102">
        <f t="shared" si="234"/>
        <v>39.440000000000055</v>
      </c>
      <c r="AH171" s="56" t="s">
        <v>2507</v>
      </c>
      <c r="AI171" s="65">
        <f t="shared" si="235"/>
        <v>-0.28344096200876656</v>
      </c>
      <c r="AJ171" s="54">
        <f>IF(AI171="",#N/A,SUM($AI$4:AI171))</f>
        <v>-1.9587238893435148</v>
      </c>
      <c r="AK171" s="57">
        <f t="shared" si="236"/>
        <v>-20.119999999999891</v>
      </c>
      <c r="AL171" s="349">
        <f>IF(AI171="",#N/A,IF(AH171="Skip",SUM($AK$4:AK171),SUM($AK$4:AK171)))</f>
        <v>-350.78740850718646</v>
      </c>
      <c r="AM171" s="65">
        <f t="shared" si="319"/>
        <v>0.27217094363864047</v>
      </c>
      <c r="AN171" s="209"/>
      <c r="AO171" s="65">
        <f t="shared" si="237"/>
        <v>0.27217094363864047</v>
      </c>
      <c r="AP171" s="65">
        <f>IF($AC171="",#N/A,SUM(AO$4:AO171))</f>
        <v>5.2323101534604799</v>
      </c>
      <c r="AQ171" s="65" t="str">
        <f t="shared" si="238"/>
        <v/>
      </c>
      <c r="AR171" s="65">
        <f>IF($AC171="",#N/A,SUM(AQ$4:AQ171))</f>
        <v>-2.6179859771653153</v>
      </c>
      <c r="AS171" s="65" t="str">
        <f t="shared" si="239"/>
        <v/>
      </c>
      <c r="AT171" s="65">
        <f>IF($AC171="",#N/A,SUM(AS$4:AS171))</f>
        <v>-9.6886972115752155</v>
      </c>
      <c r="AU171" s="57">
        <f t="shared" si="320"/>
        <v>19.320000000000164</v>
      </c>
      <c r="AV171" s="57">
        <f>IF($AC171="",#N/A,SUM(AU$4:AU171))</f>
        <v>227.98120645125087</v>
      </c>
      <c r="AW171" s="57" t="str">
        <f t="shared" si="321"/>
        <v/>
      </c>
      <c r="AX171" s="57">
        <f>IF($AC171="",#N/A,SUM(AW$4:AW171))</f>
        <v>-163.1400000000001</v>
      </c>
      <c r="AY171" s="57" t="str">
        <f t="shared" si="322"/>
        <v/>
      </c>
      <c r="AZ171" s="57">
        <f>IF($AC171="",#N/A,SUM(AY$4:AY171))</f>
        <v>-601.05161845366695</v>
      </c>
      <c r="BA171" s="57">
        <f>IF(AD171="",#N/A,SUM($AD$4:AD171))</f>
        <v>-536.21041200241621</v>
      </c>
      <c r="BC171" s="51" t="str">
        <f t="shared" si="240"/>
        <v/>
      </c>
      <c r="BD171" s="51" t="str">
        <f t="shared" si="241"/>
        <v/>
      </c>
      <c r="BE171" s="51" t="str">
        <f t="shared" si="242"/>
        <v/>
      </c>
      <c r="BF171" s="51" t="str">
        <f t="shared" si="243"/>
        <v>Long</v>
      </c>
      <c r="BG171" s="51" t="str">
        <f t="shared" si="244"/>
        <v/>
      </c>
      <c r="BH171" s="51" t="str">
        <f t="shared" si="245"/>
        <v/>
      </c>
      <c r="BI171" s="51">
        <f t="shared" si="246"/>
        <v>1</v>
      </c>
      <c r="BK171" s="65">
        <f t="shared" si="217"/>
        <v>6.6306240732981706E-2</v>
      </c>
      <c r="BL171" s="65">
        <f t="shared" si="325"/>
        <v>0.23294783099038679</v>
      </c>
      <c r="BM171" s="65">
        <f>IFERROR(Q171/COUNTA($J$4:J171),#N/A)</f>
        <v>1.2893429813059406E-2</v>
      </c>
      <c r="BO171" s="489">
        <f>IF(J171="",#N/A,IF(S171="SW",(COUNTIFS(K$4:$K171,"&gt;0",S$4:$S171,"SW")/COUNTIF(S$4:$S171,"SW")),#N/A))</f>
        <v>0.4891304347826087</v>
      </c>
      <c r="BP171" s="489" t="e">
        <f>IF($J171="",#N/A,IF($S171="DWN",(COUNTIFS($K$4:$K171,"&lt;0",$S$4:$S171,"DWN")/COUNTIF($S$4:$S171,"DWN")),#N/A))</f>
        <v>#N/A</v>
      </c>
      <c r="BQ171" s="489" t="e">
        <f>IF($J171="",#N/A,IF($S171="UP",(COUNTIFS($K$4:$K171,"&gt;0",$S$4:$S171,"UP")/COUNTIF($S$4:$S171,"UP")),#N/A))</f>
        <v>#N/A</v>
      </c>
      <c r="BR171" s="489">
        <f>IF(J171="",#N/A,COUNTIF($K$4:K171,"&gt;0")/COUNT($J$4:J171))</f>
        <v>0.4642857142857143</v>
      </c>
      <c r="BS171" s="65" t="str">
        <f t="shared" si="247"/>
        <v/>
      </c>
      <c r="BT171" s="65">
        <f t="shared" si="248"/>
        <v>-0.28344096200876656</v>
      </c>
      <c r="BU171" s="65" t="str">
        <f t="shared" si="249"/>
        <v/>
      </c>
      <c r="BV171" s="65" t="str">
        <f t="shared" si="250"/>
        <v/>
      </c>
      <c r="BW171" s="128" t="str">
        <f t="shared" si="251"/>
        <v/>
      </c>
      <c r="BX171" s="128">
        <f>IF($J171="",#N/A,SUM($BW$4:BW171))</f>
        <v>-205.1650000000003</v>
      </c>
      <c r="BY171" s="131" t="str">
        <f t="shared" si="252"/>
        <v/>
      </c>
      <c r="BZ171" s="131">
        <f>IF($J171="",#N/A,SUM($BY$4:BY171))</f>
        <v>165.1543403893337</v>
      </c>
      <c r="CA171" s="133">
        <f t="shared" si="253"/>
        <v>-20.119999999999891</v>
      </c>
      <c r="CB171" s="133">
        <f>IF($J171="",#N/A,SUM($CA$4:CA171))</f>
        <v>-34.152976288720623</v>
      </c>
      <c r="CC171" s="194" t="str">
        <f t="shared" si="254"/>
        <v/>
      </c>
      <c r="CD171" s="194">
        <f>IF($J171="",#N/A,SUM($CC$4:CC171))</f>
        <v>-3.1875162177003693</v>
      </c>
      <c r="CE171" s="195" t="str">
        <f t="shared" si="255"/>
        <v/>
      </c>
      <c r="CF171" s="195">
        <f>IF($J171="",#N/A,SUM($CE$4:CE171))</f>
        <v>3.4372486660111123</v>
      </c>
      <c r="CG171" s="196">
        <f t="shared" si="256"/>
        <v>-0.28344096200876656</v>
      </c>
      <c r="CH171" s="193">
        <f>IF($J171="",#N/A,SUM($CG$4:CG171))</f>
        <v>1.9163637602832426</v>
      </c>
      <c r="CI171" s="200" t="str">
        <f t="shared" si="257"/>
        <v/>
      </c>
      <c r="CJ171" s="203">
        <f>IF($J171="",#N/A,SUM(CI$4:CI171))</f>
        <v>0</v>
      </c>
      <c r="CK171" s="204" t="str">
        <f t="shared" si="258"/>
        <v/>
      </c>
      <c r="CL171" s="204">
        <f>IF($J171="",#N/A,SUM(CK$4:CK171))</f>
        <v>1.9927003554442289</v>
      </c>
      <c r="CM171" s="205" t="str">
        <f t="shared" si="259"/>
        <v/>
      </c>
      <c r="CN171" s="205">
        <f>IF($J171="",#N/A,SUM(CM$4:CM171))</f>
        <v>3.3861132786295873</v>
      </c>
      <c r="CO171" s="205">
        <f>IF($J171="",#N/A,SUM(CM$4:CM171,CK$4:CK171,CI$4:CI171))</f>
        <v>5.3788136340738166</v>
      </c>
      <c r="CP171" s="200" t="str">
        <f t="shared" si="260"/>
        <v/>
      </c>
      <c r="CQ171" s="203">
        <f>IF($J171="",#N/A,SUM(CP$4:CP171))</f>
        <v>0</v>
      </c>
      <c r="CR171" s="204" t="str">
        <f t="shared" si="261"/>
        <v/>
      </c>
      <c r="CS171" s="204">
        <f>IF($J171="",#N/A,SUM(CR$4:CR171))</f>
        <v>2.420242024202421</v>
      </c>
      <c r="CT171" s="205" t="str">
        <f t="shared" si="262"/>
        <v/>
      </c>
      <c r="CU171" s="205">
        <f>IF($J171="",#N/A,SUM(CT$4:CT171))</f>
        <v>-1.6961777431035243</v>
      </c>
      <c r="CV171" s="205">
        <f>IF($J171="",#N/A,SUM(CT$4:CT171,CR$4:CR171,CP$4:CP171))</f>
        <v>0.72406428109889664</v>
      </c>
      <c r="CW171" s="200" t="str">
        <f t="shared" si="263"/>
        <v/>
      </c>
      <c r="CX171" s="203">
        <f>IF($J171="",#N/A,SUM(CW$4:CW171))</f>
        <v>0</v>
      </c>
      <c r="CY171" s="204" t="str">
        <f t="shared" si="264"/>
        <v/>
      </c>
      <c r="CZ171" s="204">
        <f>IF($J171="",#N/A,SUM(CY$4:CY171))</f>
        <v>-1.9289529100071134</v>
      </c>
      <c r="DA171" s="205" t="str">
        <f t="shared" si="265"/>
        <v/>
      </c>
      <c r="DB171" s="205">
        <f>IF($J171="",#N/A,SUM(DA$4:DA171))</f>
        <v>-1.2278690516702204</v>
      </c>
      <c r="DC171" s="205">
        <f>IF($J171="",#N/A,SUM(DA$4:DA171,CY$4:CY171,CW$4:CW171))</f>
        <v>-3.1568219616773341</v>
      </c>
      <c r="DD171" s="200" t="str">
        <f t="shared" si="266"/>
        <v/>
      </c>
      <c r="DE171" s="203">
        <f>IF($J171="",#N/A,SUM(DD$4:DD171))</f>
        <v>0.14968716170674062</v>
      </c>
      <c r="DF171" s="204" t="str">
        <f t="shared" si="267"/>
        <v/>
      </c>
      <c r="DG171" s="204">
        <f>IF($J171="",#N/A,SUM(DF$4:DF171))</f>
        <v>1.2121188689979676</v>
      </c>
      <c r="DH171" s="205" t="str">
        <f t="shared" si="268"/>
        <v/>
      </c>
      <c r="DI171" s="205">
        <f>IF($J171="",#N/A,SUM(DH$4:DH171))</f>
        <v>-0.8404015973735236</v>
      </c>
      <c r="DJ171" s="205">
        <f>IF($J171="",#N/A,SUM(DH$4:DH171,DF$4:DF171,DD$4:DD171))</f>
        <v>0.52140443333118447</v>
      </c>
      <c r="DK171" s="200" t="str">
        <f t="shared" si="269"/>
        <v/>
      </c>
      <c r="DL171" s="203">
        <f>IF($J171="",#N/A,SUM(DK$4:DK171))</f>
        <v>-1.2097286851272664</v>
      </c>
      <c r="DM171" s="204" t="str">
        <f t="shared" si="270"/>
        <v/>
      </c>
      <c r="DN171" s="204">
        <f>IF($J171="",#N/A,SUM(DM$4:DM171))</f>
        <v>1.1910608267574658</v>
      </c>
      <c r="DO171" s="205" t="str">
        <f t="shared" si="271"/>
        <v/>
      </c>
      <c r="DP171" s="205">
        <f>IF($J171="",#N/A,SUM(DO$4:DO171))</f>
        <v>1.3495058802125319</v>
      </c>
      <c r="DQ171" s="205">
        <f>IF($J171="",#N/A,SUM(DO$4:DO171,DM$4:DM171,DK$4:DK171))</f>
        <v>1.3308380218427318</v>
      </c>
      <c r="DR171" s="200" t="str">
        <f t="shared" si="272"/>
        <v/>
      </c>
      <c r="DS171" s="203">
        <f>IF($J171="",#N/A,SUM(DR$4:DR171))</f>
        <v>-0.55950946427675097</v>
      </c>
      <c r="DT171" s="204" t="str">
        <f t="shared" si="273"/>
        <v/>
      </c>
      <c r="DU171" s="204">
        <f>IF($J171="",#N/A,SUM(DT$4:DT171))</f>
        <v>-3.5029740333397914</v>
      </c>
      <c r="DV171" s="205" t="str">
        <f t="shared" si="274"/>
        <v/>
      </c>
      <c r="DW171" s="205">
        <f>IF($J171="",#N/A,SUM(DV$4:DV171))</f>
        <v>-1.8527424265931112</v>
      </c>
      <c r="DX171" s="205">
        <f>IF($J171="",#N/A,SUM(DV$4:DV171,DT$4:DT171,DR$4:DR171))</f>
        <v>-5.9152259242096532</v>
      </c>
      <c r="DY171" s="200" t="str">
        <f t="shared" si="275"/>
        <v/>
      </c>
      <c r="DZ171" s="203">
        <f>IF($J171="",#N/A,SUM(DY$4:DY171))</f>
        <v>-1.63480022183437</v>
      </c>
      <c r="EA171" s="204" t="str">
        <f t="shared" si="276"/>
        <v/>
      </c>
      <c r="EB171" s="204">
        <f>IF($J171="",#N/A,SUM(EA$4:EA171))</f>
        <v>-0.2070110273231956</v>
      </c>
      <c r="EC171" s="205">
        <f t="shared" si="277"/>
        <v>-0.28344096200876656</v>
      </c>
      <c r="ED171" s="205">
        <f>IF($J171="",#N/A,SUM(EC$4:EC171))</f>
        <v>2.4515280577205139</v>
      </c>
      <c r="EE171" s="205">
        <f>IF($J171="",#N/A,SUM(EC$4:EC171,EA$4:EA171,DY$4:DY171))</f>
        <v>0.60971680856294808</v>
      </c>
      <c r="EF171" s="200" t="str">
        <f t="shared" si="278"/>
        <v/>
      </c>
      <c r="EG171" s="203">
        <f>IF($J171="",#N/A,SUM(EF$4:EF171))</f>
        <v>0</v>
      </c>
      <c r="EH171" s="204" t="str">
        <f t="shared" si="279"/>
        <v/>
      </c>
      <c r="EI171" s="204">
        <f>IF($J171="",#N/A,SUM(EH$4:EH171))</f>
        <v>-1.1184224685150388</v>
      </c>
      <c r="EJ171" s="205" t="str">
        <f t="shared" si="280"/>
        <v/>
      </c>
      <c r="EK171" s="205">
        <f>IF($J171="",#N/A,SUM(EJ$4:EJ171))</f>
        <v>2.804966392787259</v>
      </c>
      <c r="EL171" s="205">
        <f>IF($J171="",#N/A,SUM(EJ$4:EJ171,EH$4:EH171,EF$4:EF171))</f>
        <v>1.6865439242722209</v>
      </c>
      <c r="EM171" s="200" t="str">
        <f t="shared" si="281"/>
        <v/>
      </c>
      <c r="EN171" s="203">
        <f>IF($J171="",#N/A,SUM(EM$4:EM171))</f>
        <v>0</v>
      </c>
      <c r="EO171" s="204" t="str">
        <f t="shared" si="282"/>
        <v/>
      </c>
      <c r="EP171" s="204">
        <f>IF($J171="",#N/A,SUM(EO$4:EO171))</f>
        <v>1.264716604605848</v>
      </c>
      <c r="EQ171" s="205" t="str">
        <f t="shared" si="283"/>
        <v/>
      </c>
      <c r="ER171" s="205">
        <f>IF($J171="",#N/A,SUM(EQ$4:EQ171))</f>
        <v>1.5025175479314647</v>
      </c>
      <c r="ES171" s="205">
        <f>IF($J171="",#N/A,SUM(EQ$4:EQ171,EO$4:EO171,EM$4:EM171))</f>
        <v>2.7672341525373123</v>
      </c>
      <c r="ET171" s="200" t="str">
        <f t="shared" si="284"/>
        <v/>
      </c>
      <c r="EU171" s="203">
        <f>IF($J171="",#N/A,SUM(ET$4:ET171))</f>
        <v>0</v>
      </c>
      <c r="EV171" s="204" t="str">
        <f t="shared" si="285"/>
        <v/>
      </c>
      <c r="EW171" s="204">
        <f>IF($J171="",#N/A,SUM(EV$4:EV171))</f>
        <v>0.90459527759708336</v>
      </c>
      <c r="EX171" s="205" t="str">
        <f t="shared" si="286"/>
        <v/>
      </c>
      <c r="EY171" s="205">
        <f>IF($J171="",#N/A,SUM(EX$4:EX171))</f>
        <v>0.22957553748493481</v>
      </c>
      <c r="EZ171" s="205">
        <f>IF($J171="",#N/A,SUM(EX$4:EX171,EV$4:EV171,ET$4:ET171))</f>
        <v>1.134170815082018</v>
      </c>
      <c r="FA171" s="200" t="str">
        <f t="shared" si="287"/>
        <v/>
      </c>
      <c r="FB171" s="203">
        <f>IF($J171="",#N/A,SUM(FA$4:FA171))</f>
        <v>0</v>
      </c>
      <c r="FC171" s="204" t="str">
        <f t="shared" si="288"/>
        <v/>
      </c>
      <c r="FD171" s="204">
        <f>IF($J171="",#N/A,SUM(FC$4:FC171))</f>
        <v>1.6839191319663924</v>
      </c>
      <c r="FE171" s="205" t="str">
        <f t="shared" si="289"/>
        <v/>
      </c>
      <c r="FF171" s="205">
        <f>IF($J171="",#N/A,SUM(FE$4:FE171))</f>
        <v>-0.28811149078748233</v>
      </c>
      <c r="FG171" s="205">
        <f>IF($J171="",#N/A,SUM(FE$4:FE171,FC$4:FC171,FA$4:FA171))</f>
        <v>1.3958076411789102</v>
      </c>
      <c r="FH171" s="200" t="str">
        <f t="shared" si="290"/>
        <v/>
      </c>
      <c r="FI171" s="203">
        <f>IF($J171="",#N/A,SUM(FH$4:FH171))</f>
        <v>0</v>
      </c>
      <c r="FJ171" s="204" t="str">
        <f t="shared" si="291"/>
        <v/>
      </c>
      <c r="FK171" s="204">
        <f>IF($J171="",#N/A,SUM(FJ$4:FJ171))</f>
        <v>0</v>
      </c>
      <c r="FL171" s="205" t="str">
        <f t="shared" si="292"/>
        <v/>
      </c>
      <c r="FM171" s="205">
        <f>IF($J171="",#N/A,SUM(FL$4:FL171))</f>
        <v>0</v>
      </c>
      <c r="FN171" s="205">
        <f>IF($J171="",#N/A,SUM(FL$4:FL171,FJ$4:FJ171,FH$4:FH171))</f>
        <v>0</v>
      </c>
      <c r="FO171" s="200" t="str">
        <f t="shared" si="293"/>
        <v/>
      </c>
      <c r="FP171" s="203">
        <f>IF($J171="",#N/A,SUM(FO$4:FO171))</f>
        <v>0</v>
      </c>
      <c r="FQ171" s="204" t="str">
        <f t="shared" si="294"/>
        <v/>
      </c>
      <c r="FR171" s="204">
        <f>IF($J171="",#N/A,SUM(FQ$4:FQ171))</f>
        <v>0</v>
      </c>
      <c r="FS171" s="205" t="str">
        <f t="shared" si="295"/>
        <v/>
      </c>
      <c r="FT171" s="205">
        <f>IF($J171="",#N/A,SUM(FS$4:FS171))</f>
        <v>0</v>
      </c>
      <c r="FU171" s="205">
        <f>IF($J171="",#N/A,SUM(FS$4:FS171,FQ$4:FQ171,FO$4:FO171))</f>
        <v>0</v>
      </c>
      <c r="FV171" s="200" t="str">
        <f t="shared" si="296"/>
        <v/>
      </c>
      <c r="FW171" s="203">
        <f>IF($J171="",#N/A,SUM(FV$4:FV171))</f>
        <v>6.6834991831277585E-2</v>
      </c>
      <c r="FX171" s="204" t="str">
        <f t="shared" si="297"/>
        <v/>
      </c>
      <c r="FY171" s="204">
        <f>IF($J171="",#N/A,SUM(FX$4:FX171))</f>
        <v>0</v>
      </c>
      <c r="FZ171" s="205" t="str">
        <f t="shared" si="298"/>
        <v/>
      </c>
      <c r="GA171" s="205">
        <f>IF($J171="",#N/A,SUM(FZ$4:FZ171))</f>
        <v>-0.96570439723286938</v>
      </c>
      <c r="GB171" s="205">
        <f>IF($J171="",#N/A,SUM(FZ$4:FZ171,FX$4:FX171,FV$4:FV171))</f>
        <v>-0.89886940540159177</v>
      </c>
      <c r="GC171" s="200" t="str">
        <f t="shared" si="299"/>
        <v/>
      </c>
      <c r="GD171" s="203">
        <f>IF($J171="",#N/A,SUM(GC$4:GC171))</f>
        <v>0</v>
      </c>
      <c r="GE171" s="204" t="str">
        <f t="shared" si="300"/>
        <v/>
      </c>
      <c r="GF171" s="204">
        <f>IF($J171="",#N/A,SUM(GE$4:GE171))</f>
        <v>0</v>
      </c>
      <c r="GG171" s="205" t="str">
        <f t="shared" si="301"/>
        <v/>
      </c>
      <c r="GH171" s="205">
        <f>IF($J171="",#N/A,SUM(GG$4:GG171))</f>
        <v>-2.9368362277223206</v>
      </c>
      <c r="GI171" s="205">
        <f>IF($J171="",#N/A,SUM(GG$4:GG171,GE$4:GE171,GC$4:GC171))</f>
        <v>-2.9368362277223206</v>
      </c>
      <c r="GJ171" s="200" t="str">
        <f t="shared" si="302"/>
        <v/>
      </c>
      <c r="GK171" s="203">
        <f>IF($J171="",#N/A,SUM(GJ$4:GJ171))</f>
        <v>0</v>
      </c>
      <c r="GL171" s="204" t="str">
        <f t="shared" si="303"/>
        <v/>
      </c>
      <c r="GM171" s="204">
        <f>IF($J171="",#N/A,SUM(GL$4:GL171))</f>
        <v>-0.80168930905701452</v>
      </c>
      <c r="GN171" s="205" t="str">
        <f t="shared" si="304"/>
        <v/>
      </c>
      <c r="GO171" s="205">
        <f>IF($J171="",#N/A,SUM(GN$4:GN171))</f>
        <v>0</v>
      </c>
      <c r="GP171" s="205">
        <f>IF($J171="",#N/A,SUM(GN$4:GN171,GL$4:GL171,GJ$4:GJ171))</f>
        <v>-0.80168930905701452</v>
      </c>
      <c r="GS171" s="54">
        <f t="shared" si="323"/>
        <v>-0.28344096200876656</v>
      </c>
      <c r="GT171" s="54">
        <f>IF(GS171="",NA(),SUM($GS$4:GS171))</f>
        <v>-0.48783396237556687</v>
      </c>
      <c r="GU171" s="54" t="str">
        <f t="shared" si="305"/>
        <v/>
      </c>
      <c r="GV171" s="54" t="e">
        <f>IF(GU171="",NA(),SUM($GU$4:GU171))</f>
        <v>#N/A</v>
      </c>
      <c r="GW171" s="54">
        <f t="shared" si="306"/>
        <v>-0.28344096200876656</v>
      </c>
      <c r="GX171" s="54">
        <f>IF(GW171="",NA(),SUM($GW$4:GW171))</f>
        <v>2.2363102662170569</v>
      </c>
      <c r="GY171" s="54" t="str">
        <f t="shared" si="307"/>
        <v/>
      </c>
      <c r="GZ171" s="54" t="e">
        <f>IF(GY171="",NA(),SUM($GY$4:GY171))</f>
        <v>#N/A</v>
      </c>
      <c r="HA171" s="54" t="str">
        <f t="shared" si="308"/>
        <v/>
      </c>
      <c r="HB171" s="54" t="e">
        <f>IF(HA171="",NA(),SUM($HA$4:HA171))</f>
        <v>#N/A</v>
      </c>
      <c r="HC171" s="54" t="str">
        <f t="shared" si="309"/>
        <v/>
      </c>
      <c r="HD171" s="54" t="e">
        <f>IF(HC171="",NA(),SUM($HC$4:HC171))</f>
        <v>#N/A</v>
      </c>
      <c r="HE171" s="54" t="str">
        <f t="shared" si="310"/>
        <v/>
      </c>
      <c r="HF171" s="54" t="e">
        <f>IF(HE171="",NA(),SUM($HE$4:HE171))</f>
        <v>#N/A</v>
      </c>
      <c r="HG171" s="54" t="str">
        <f t="shared" si="311"/>
        <v/>
      </c>
      <c r="HH171" s="54" t="e">
        <f>IF(HG171="",NA(),SUM($HG$4:HG171))</f>
        <v>#N/A</v>
      </c>
      <c r="HI171" s="172" t="str">
        <f t="shared" si="324"/>
        <v/>
      </c>
      <c r="HJ171" s="172">
        <f>IF($J171="",#N/A,SUM(HI$4:$HI171))</f>
        <v>-7.0622551668788667</v>
      </c>
      <c r="HK171" s="54" t="str">
        <f t="shared" si="312"/>
        <v/>
      </c>
      <c r="HL171" s="54">
        <f>IF($J171="",#N/A,SUM($HK$4:HK171))</f>
        <v>-6.0636907107074549</v>
      </c>
      <c r="HM171" s="54" t="str">
        <f t="shared" si="313"/>
        <v/>
      </c>
      <c r="HN171" s="54">
        <f>IF($J171="",#N/A,SUM($HM$4:HM171))</f>
        <v>0.71812545963587882</v>
      </c>
      <c r="HO171" s="54" t="str">
        <f t="shared" si="314"/>
        <v/>
      </c>
      <c r="HP171" s="54">
        <f>IF($J171="",#N/A,SUM($HO$4:HO171))</f>
        <v>-0.14859521910082485</v>
      </c>
      <c r="HQ171" s="54" t="str">
        <f t="shared" si="315"/>
        <v/>
      </c>
      <c r="HR171" s="54">
        <f>IF($J171="",#N/A,SUM($HQ$4:HQ171))</f>
        <v>-9.2744671295951253</v>
      </c>
      <c r="HS171" s="54">
        <f t="shared" si="316"/>
        <v>0.55561190564740703</v>
      </c>
      <c r="HT171" s="54">
        <f>IF($J171="",#N/A,SUM($HS$4:HS171))</f>
        <v>12.590413522772369</v>
      </c>
      <c r="HU171" s="65">
        <f t="shared" si="317"/>
        <v>0.27217094363864047</v>
      </c>
      <c r="HV171" s="65">
        <f>IF($J171="",#N/A,SUM(HU$4:$HU171))</f>
        <v>-7.0743730352800469</v>
      </c>
    </row>
    <row r="172" spans="1:230" x14ac:dyDescent="0.25">
      <c r="A172" s="51" t="s">
        <v>1519</v>
      </c>
      <c r="B172" s="52" t="s">
        <v>4542</v>
      </c>
      <c r="C172" s="229">
        <f t="shared" si="218"/>
        <v>2</v>
      </c>
      <c r="D172" s="219" t="str">
        <f>_xlfn.XLOOKUP(A172,[1]SP500!$A$2:$A$502,[1]SP500!$D$2:$D$502,"N")</f>
        <v>Y</v>
      </c>
      <c r="E172" s="51" t="str">
        <f>IFERROR(_xlfn.XLOOKUP(A172,[1]SP500!$A$2:$A$655,[1]SP500!$B$2:$B$655),"")</f>
        <v>XLB</v>
      </c>
      <c r="F172" s="290">
        <v>45777</v>
      </c>
      <c r="G172" s="51" t="str">
        <f t="shared" si="219"/>
        <v>BMO</v>
      </c>
      <c r="H172" s="51" t="str">
        <f t="shared" si="220"/>
        <v>s</v>
      </c>
      <c r="I172" s="344">
        <v>47.63</v>
      </c>
      <c r="J172" s="124">
        <v>44.06</v>
      </c>
      <c r="K172" s="55">
        <f t="shared" si="221"/>
        <v>-7.495276086500105E-2</v>
      </c>
      <c r="L172" s="67">
        <f t="shared" si="222"/>
        <v>74.970000000000027</v>
      </c>
      <c r="M172" s="57">
        <f t="shared" si="223"/>
        <v>-3.9900000000000091</v>
      </c>
      <c r="N172" s="102">
        <f t="shared" si="224"/>
        <v>74.970000000000027</v>
      </c>
      <c r="O172" s="57">
        <f>IF(N172="",#N/A,SUM($N$4:N172))</f>
        <v>0.80636410061279662</v>
      </c>
      <c r="P172" s="65">
        <f t="shared" si="318"/>
        <v>1.2492126810833513</v>
      </c>
      <c r="Q172" s="172">
        <f>IF($N172="",#N/A,SUM($P$4:P172))</f>
        <v>3.4153088896773314</v>
      </c>
      <c r="R172" s="279">
        <f t="shared" si="225"/>
        <v>4.1913048064545357</v>
      </c>
      <c r="S172" s="51" t="str">
        <f t="shared" si="226"/>
        <v>Dwn</v>
      </c>
      <c r="T172" s="51" t="s">
        <v>4462</v>
      </c>
      <c r="U172" s="56">
        <f t="shared" si="227"/>
        <v>47.63</v>
      </c>
      <c r="V172" s="56" t="s">
        <v>4458</v>
      </c>
      <c r="W172" s="142">
        <v>21</v>
      </c>
      <c r="X172" s="145">
        <f t="shared" si="228"/>
        <v>1000.23</v>
      </c>
      <c r="Y172" s="140">
        <f t="shared" si="229"/>
        <v>21</v>
      </c>
      <c r="Z172" s="123">
        <v>44.25</v>
      </c>
      <c r="AA172" s="102">
        <f t="shared" si="230"/>
        <v>70.980000000000018</v>
      </c>
      <c r="AB172" s="102">
        <f t="shared" si="231"/>
        <v>40.950000000000045</v>
      </c>
      <c r="AC172" s="124">
        <v>45.68</v>
      </c>
      <c r="AD172" s="155">
        <f t="shared" si="232"/>
        <v>40.950000000000045</v>
      </c>
      <c r="AE172" s="545">
        <f t="shared" si="233"/>
        <v>0.68234306109594878</v>
      </c>
      <c r="AF172" s="57">
        <f>IF($AC172="",#N/A,SUM(AD$4:AD172))</f>
        <v>-495.26041200241616</v>
      </c>
      <c r="AG172" s="102">
        <f t="shared" si="234"/>
        <v>-34.019999999999982</v>
      </c>
      <c r="AH172" s="56" t="s">
        <v>2507</v>
      </c>
      <c r="AI172" s="65">
        <f t="shared" si="235"/>
        <v>1.18272797256631</v>
      </c>
      <c r="AJ172" s="54">
        <f>IF(AI172="",#N/A,SUM($AI$4:AI172))</f>
        <v>-0.77599591677720481</v>
      </c>
      <c r="AK172" s="57">
        <f t="shared" si="236"/>
        <v>70.980000000000018</v>
      </c>
      <c r="AL172" s="349">
        <f>IF(AI172="",#N/A,IF(AH172="Skip",SUM($AK$4:AK172),SUM($AK$4:AK172)))</f>
        <v>-279.80740850718644</v>
      </c>
      <c r="AM172" s="65">
        <f t="shared" si="319"/>
        <v>0.68234306109594878</v>
      </c>
      <c r="AN172" s="209"/>
      <c r="AO172" s="65" t="str">
        <f t="shared" si="237"/>
        <v/>
      </c>
      <c r="AP172" s="65">
        <f>IF($AC172="",#N/A,SUM(AO$4:AO172))</f>
        <v>5.2323101534604799</v>
      </c>
      <c r="AQ172" s="65" t="str">
        <f t="shared" si="238"/>
        <v/>
      </c>
      <c r="AR172" s="65">
        <f>IF($AC172="",#N/A,SUM(AQ$4:AQ172))</f>
        <v>-2.6179859771653153</v>
      </c>
      <c r="AS172" s="65">
        <f t="shared" si="239"/>
        <v>0.68234306109594878</v>
      </c>
      <c r="AT172" s="65">
        <f>IF($AC172="",#N/A,SUM(AS$4:AS172))</f>
        <v>-9.0063541504792664</v>
      </c>
      <c r="AU172" s="57" t="str">
        <f t="shared" si="320"/>
        <v/>
      </c>
      <c r="AV172" s="57">
        <f>IF($AC172="",#N/A,SUM(AU$4:AU172))</f>
        <v>227.98120645125087</v>
      </c>
      <c r="AW172" s="57" t="str">
        <f t="shared" si="321"/>
        <v/>
      </c>
      <c r="AX172" s="57">
        <f>IF($AC172="",#N/A,SUM(AW$4:AW172))</f>
        <v>-163.1400000000001</v>
      </c>
      <c r="AY172" s="57">
        <f t="shared" si="322"/>
        <v>40.950000000000045</v>
      </c>
      <c r="AZ172" s="57">
        <f>IF($AC172="",#N/A,SUM(AY$4:AY172))</f>
        <v>-560.1016184536669</v>
      </c>
      <c r="BA172" s="57">
        <f>IF(AD172="",#N/A,SUM($AD$4:AD172))</f>
        <v>-495.26041200241616</v>
      </c>
      <c r="BC172" s="51" t="str">
        <f t="shared" si="240"/>
        <v/>
      </c>
      <c r="BD172" s="51" t="str">
        <f t="shared" si="241"/>
        <v/>
      </c>
      <c r="BE172" s="51" t="str">
        <f t="shared" si="242"/>
        <v/>
      </c>
      <c r="BF172" s="51" t="str">
        <f t="shared" si="243"/>
        <v>Short</v>
      </c>
      <c r="BG172" s="51">
        <f t="shared" si="244"/>
        <v>1</v>
      </c>
      <c r="BH172" s="51" t="str">
        <f t="shared" si="245"/>
        <v/>
      </c>
      <c r="BI172" s="51" t="str">
        <f t="shared" si="246"/>
        <v/>
      </c>
      <c r="BK172" s="65">
        <f t="shared" si="217"/>
        <v>9.9984805460619053E-2</v>
      </c>
      <c r="BL172" s="65">
        <f t="shared" si="325"/>
        <v>0.28488324787157804</v>
      </c>
      <c r="BM172" s="65">
        <f>IFERROR(Q172/COUNTA($J$4:J172),#N/A)</f>
        <v>2.0208928341285983E-2</v>
      </c>
      <c r="BO172" s="489" t="e">
        <f>IF(J172="",#N/A,IF(S172="SW",(COUNTIFS(K$4:$K172,"&gt;0",S$4:$S172,"SW")/COUNTIF(S$4:$S172,"SW")),#N/A))</f>
        <v>#N/A</v>
      </c>
      <c r="BP172" s="489">
        <f>IF($J172="",#N/A,IF($S172="DWN",(COUNTIFS($K$4:$K172,"&lt;0",$S$4:$S172,"DWN")/COUNTIF($S$4:$S172,"DWN")),#N/A))</f>
        <v>0.56521739130434778</v>
      </c>
      <c r="BQ172" s="489" t="e">
        <f>IF($J172="",#N/A,IF($S172="UP",(COUNTIFS($K$4:$K172,"&gt;0",$S$4:$S172,"UP")/COUNTIF($S$4:$S172,"UP")),#N/A))</f>
        <v>#N/A</v>
      </c>
      <c r="BR172" s="489">
        <f>IF(J172="",#N/A,COUNTIF($K$4:K172,"&gt;0")/COUNT($J$4:J172))</f>
        <v>0.46153846153846156</v>
      </c>
      <c r="BS172" s="65" t="str">
        <f t="shared" si="247"/>
        <v/>
      </c>
      <c r="BT172" s="65" t="str">
        <f t="shared" si="248"/>
        <v/>
      </c>
      <c r="BU172" s="65">
        <f t="shared" si="249"/>
        <v>1.2492126810833513</v>
      </c>
      <c r="BV172" s="65" t="str">
        <f t="shared" si="250"/>
        <v/>
      </c>
      <c r="BW172" s="128" t="str">
        <f t="shared" si="251"/>
        <v/>
      </c>
      <c r="BX172" s="128">
        <f>IF($J172="",#N/A,SUM($BW$4:BW172))</f>
        <v>-205.1650000000003</v>
      </c>
      <c r="BY172" s="131">
        <f t="shared" si="252"/>
        <v>74.970000000000027</v>
      </c>
      <c r="BZ172" s="131">
        <f>IF($J172="",#N/A,SUM($BY$4:BY172))</f>
        <v>240.12434038933372</v>
      </c>
      <c r="CA172" s="133" t="str">
        <f t="shared" si="253"/>
        <v/>
      </c>
      <c r="CB172" s="133">
        <f>IF($J172="",#N/A,SUM($CA$4:CA172))</f>
        <v>-34.152976288720623</v>
      </c>
      <c r="CC172" s="194" t="str">
        <f t="shared" si="254"/>
        <v/>
      </c>
      <c r="CD172" s="194">
        <f>IF($J172="",#N/A,SUM($CC$4:CC172))</f>
        <v>-3.1875162177003693</v>
      </c>
      <c r="CE172" s="195">
        <f t="shared" si="255"/>
        <v>1.2492126810833513</v>
      </c>
      <c r="CF172" s="195">
        <f>IF($J172="",#N/A,SUM($CE$4:CE172))</f>
        <v>4.6864613470944638</v>
      </c>
      <c r="CG172" s="196" t="str">
        <f t="shared" si="256"/>
        <v/>
      </c>
      <c r="CH172" s="193">
        <f>IF($J172="",#N/A,SUM($CG$4:CG172))</f>
        <v>1.9163637602832426</v>
      </c>
      <c r="CI172" s="200" t="str">
        <f t="shared" si="257"/>
        <v/>
      </c>
      <c r="CJ172" s="203">
        <f>IF($J172="",#N/A,SUM(CI$4:CI172))</f>
        <v>0</v>
      </c>
      <c r="CK172" s="204" t="str">
        <f t="shared" si="258"/>
        <v/>
      </c>
      <c r="CL172" s="204">
        <f>IF($J172="",#N/A,SUM(CK$4:CK172))</f>
        <v>1.9927003554442289</v>
      </c>
      <c r="CM172" s="205" t="str">
        <f t="shared" si="259"/>
        <v/>
      </c>
      <c r="CN172" s="205">
        <f>IF($J172="",#N/A,SUM(CM$4:CM172))</f>
        <v>3.3861132786295873</v>
      </c>
      <c r="CO172" s="205">
        <f>IF($J172="",#N/A,SUM(CM$4:CM172,CK$4:CK172,CI$4:CI172))</f>
        <v>5.3788136340738166</v>
      </c>
      <c r="CP172" s="200" t="str">
        <f t="shared" si="260"/>
        <v/>
      </c>
      <c r="CQ172" s="203">
        <f>IF($J172="",#N/A,SUM(CP$4:CP172))</f>
        <v>0</v>
      </c>
      <c r="CR172" s="204" t="str">
        <f t="shared" si="261"/>
        <v/>
      </c>
      <c r="CS172" s="204">
        <f>IF($J172="",#N/A,SUM(CR$4:CR172))</f>
        <v>2.420242024202421</v>
      </c>
      <c r="CT172" s="205" t="str">
        <f t="shared" si="262"/>
        <v/>
      </c>
      <c r="CU172" s="205">
        <f>IF($J172="",#N/A,SUM(CT$4:CT172))</f>
        <v>-1.6961777431035243</v>
      </c>
      <c r="CV172" s="205">
        <f>IF($J172="",#N/A,SUM(CT$4:CT172,CR$4:CR172,CP$4:CP172))</f>
        <v>0.72406428109889664</v>
      </c>
      <c r="CW172" s="200" t="str">
        <f t="shared" si="263"/>
        <v/>
      </c>
      <c r="CX172" s="203">
        <f>IF($J172="",#N/A,SUM(CW$4:CW172))</f>
        <v>0</v>
      </c>
      <c r="CY172" s="204" t="str">
        <f t="shared" si="264"/>
        <v/>
      </c>
      <c r="CZ172" s="204">
        <f>IF($J172="",#N/A,SUM(CY$4:CY172))</f>
        <v>-1.9289529100071134</v>
      </c>
      <c r="DA172" s="205" t="str">
        <f t="shared" si="265"/>
        <v/>
      </c>
      <c r="DB172" s="205">
        <f>IF($J172="",#N/A,SUM(DA$4:DA172))</f>
        <v>-1.2278690516702204</v>
      </c>
      <c r="DC172" s="205">
        <f>IF($J172="",#N/A,SUM(DA$4:DA172,CY$4:CY172,CW$4:CW172))</f>
        <v>-3.1568219616773341</v>
      </c>
      <c r="DD172" s="200" t="str">
        <f t="shared" si="266"/>
        <v/>
      </c>
      <c r="DE172" s="203">
        <f>IF($J172="",#N/A,SUM(DD$4:DD172))</f>
        <v>0.14968716170674062</v>
      </c>
      <c r="DF172" s="204" t="str">
        <f t="shared" si="267"/>
        <v/>
      </c>
      <c r="DG172" s="204">
        <f>IF($J172="",#N/A,SUM(DF$4:DF172))</f>
        <v>1.2121188689979676</v>
      </c>
      <c r="DH172" s="205" t="str">
        <f t="shared" si="268"/>
        <v/>
      </c>
      <c r="DI172" s="205">
        <f>IF($J172="",#N/A,SUM(DH$4:DH172))</f>
        <v>-0.8404015973735236</v>
      </c>
      <c r="DJ172" s="205">
        <f>IF($J172="",#N/A,SUM(DH$4:DH172,DF$4:DF172,DD$4:DD172))</f>
        <v>0.52140443333118447</v>
      </c>
      <c r="DK172" s="200" t="str">
        <f t="shared" si="269"/>
        <v/>
      </c>
      <c r="DL172" s="203">
        <f>IF($J172="",#N/A,SUM(DK$4:DK172))</f>
        <v>-1.2097286851272664</v>
      </c>
      <c r="DM172" s="204" t="str">
        <f t="shared" si="270"/>
        <v/>
      </c>
      <c r="DN172" s="204">
        <f>IF($J172="",#N/A,SUM(DM$4:DM172))</f>
        <v>1.1910608267574658</v>
      </c>
      <c r="DO172" s="205" t="str">
        <f t="shared" si="271"/>
        <v/>
      </c>
      <c r="DP172" s="205">
        <f>IF($J172="",#N/A,SUM(DO$4:DO172))</f>
        <v>1.3495058802125319</v>
      </c>
      <c r="DQ172" s="205">
        <f>IF($J172="",#N/A,SUM(DO$4:DO172,DM$4:DM172,DK$4:DK172))</f>
        <v>1.3308380218427318</v>
      </c>
      <c r="DR172" s="200" t="str">
        <f t="shared" si="272"/>
        <v/>
      </c>
      <c r="DS172" s="203">
        <f>IF($J172="",#N/A,SUM(DR$4:DR172))</f>
        <v>-0.55950946427675097</v>
      </c>
      <c r="DT172" s="204" t="str">
        <f t="shared" si="273"/>
        <v/>
      </c>
      <c r="DU172" s="204">
        <f>IF($J172="",#N/A,SUM(DT$4:DT172))</f>
        <v>-3.5029740333397914</v>
      </c>
      <c r="DV172" s="205" t="str">
        <f t="shared" si="274"/>
        <v/>
      </c>
      <c r="DW172" s="205">
        <f>IF($J172="",#N/A,SUM(DV$4:DV172))</f>
        <v>-1.8527424265931112</v>
      </c>
      <c r="DX172" s="205">
        <f>IF($J172="",#N/A,SUM(DV$4:DV172,DT$4:DT172,DR$4:DR172))</f>
        <v>-5.9152259242096532</v>
      </c>
      <c r="DY172" s="200" t="str">
        <f t="shared" si="275"/>
        <v/>
      </c>
      <c r="DZ172" s="203">
        <f>IF($J172="",#N/A,SUM(DY$4:DY172))</f>
        <v>-1.63480022183437</v>
      </c>
      <c r="EA172" s="204" t="str">
        <f t="shared" si="276"/>
        <v/>
      </c>
      <c r="EB172" s="204">
        <f>IF($J172="",#N/A,SUM(EA$4:EA172))</f>
        <v>-0.2070110273231956</v>
      </c>
      <c r="EC172" s="205" t="str">
        <f t="shared" si="277"/>
        <v/>
      </c>
      <c r="ED172" s="205">
        <f>IF($J172="",#N/A,SUM(EC$4:EC172))</f>
        <v>2.4515280577205139</v>
      </c>
      <c r="EE172" s="205">
        <f>IF($J172="",#N/A,SUM(EC$4:EC172,EA$4:EA172,DY$4:DY172))</f>
        <v>0.60971680856294808</v>
      </c>
      <c r="EF172" s="200" t="str">
        <f t="shared" si="278"/>
        <v/>
      </c>
      <c r="EG172" s="203">
        <f>IF($J172="",#N/A,SUM(EF$4:EF172))</f>
        <v>0</v>
      </c>
      <c r="EH172" s="204" t="str">
        <f t="shared" si="279"/>
        <v/>
      </c>
      <c r="EI172" s="204">
        <f>IF($J172="",#N/A,SUM(EH$4:EH172))</f>
        <v>-1.1184224685150388</v>
      </c>
      <c r="EJ172" s="205" t="str">
        <f t="shared" si="280"/>
        <v/>
      </c>
      <c r="EK172" s="205">
        <f>IF($J172="",#N/A,SUM(EJ$4:EJ172))</f>
        <v>2.804966392787259</v>
      </c>
      <c r="EL172" s="205">
        <f>IF($J172="",#N/A,SUM(EJ$4:EJ172,EH$4:EH172,EF$4:EF172))</f>
        <v>1.6865439242722209</v>
      </c>
      <c r="EM172" s="200" t="str">
        <f t="shared" si="281"/>
        <v/>
      </c>
      <c r="EN172" s="203">
        <f>IF($J172="",#N/A,SUM(EM$4:EM172))</f>
        <v>0</v>
      </c>
      <c r="EO172" s="204">
        <f t="shared" si="282"/>
        <v>1.2492126810833513</v>
      </c>
      <c r="EP172" s="204">
        <f>IF($J172="",#N/A,SUM(EO$4:EO172))</f>
        <v>2.5139292856891995</v>
      </c>
      <c r="EQ172" s="205" t="str">
        <f t="shared" si="283"/>
        <v/>
      </c>
      <c r="ER172" s="205">
        <f>IF($J172="",#N/A,SUM(EQ$4:EQ172))</f>
        <v>1.5025175479314647</v>
      </c>
      <c r="ES172" s="205">
        <f>IF($J172="",#N/A,SUM(EQ$4:EQ172,EO$4:EO172,EM$4:EM172))</f>
        <v>4.0164468336206633</v>
      </c>
      <c r="ET172" s="200" t="str">
        <f t="shared" si="284"/>
        <v/>
      </c>
      <c r="EU172" s="203">
        <f>IF($J172="",#N/A,SUM(ET$4:ET172))</f>
        <v>0</v>
      </c>
      <c r="EV172" s="204" t="str">
        <f t="shared" si="285"/>
        <v/>
      </c>
      <c r="EW172" s="204">
        <f>IF($J172="",#N/A,SUM(EV$4:EV172))</f>
        <v>0.90459527759708336</v>
      </c>
      <c r="EX172" s="205" t="str">
        <f t="shared" si="286"/>
        <v/>
      </c>
      <c r="EY172" s="205">
        <f>IF($J172="",#N/A,SUM(EX$4:EX172))</f>
        <v>0.22957553748493481</v>
      </c>
      <c r="EZ172" s="205">
        <f>IF($J172="",#N/A,SUM(EX$4:EX172,EV$4:EV172,ET$4:ET172))</f>
        <v>1.134170815082018</v>
      </c>
      <c r="FA172" s="200" t="str">
        <f t="shared" si="287"/>
        <v/>
      </c>
      <c r="FB172" s="203">
        <f>IF($J172="",#N/A,SUM(FA$4:FA172))</f>
        <v>0</v>
      </c>
      <c r="FC172" s="204" t="str">
        <f t="shared" si="288"/>
        <v/>
      </c>
      <c r="FD172" s="204">
        <f>IF($J172="",#N/A,SUM(FC$4:FC172))</f>
        <v>1.6839191319663924</v>
      </c>
      <c r="FE172" s="205" t="str">
        <f t="shared" si="289"/>
        <v/>
      </c>
      <c r="FF172" s="205">
        <f>IF($J172="",#N/A,SUM(FE$4:FE172))</f>
        <v>-0.28811149078748233</v>
      </c>
      <c r="FG172" s="205">
        <f>IF($J172="",#N/A,SUM(FE$4:FE172,FC$4:FC172,FA$4:FA172))</f>
        <v>1.3958076411789102</v>
      </c>
      <c r="FH172" s="200" t="str">
        <f t="shared" si="290"/>
        <v/>
      </c>
      <c r="FI172" s="203">
        <f>IF($J172="",#N/A,SUM(FH$4:FH172))</f>
        <v>0</v>
      </c>
      <c r="FJ172" s="204" t="str">
        <f t="shared" si="291"/>
        <v/>
      </c>
      <c r="FK172" s="204">
        <f>IF($J172="",#N/A,SUM(FJ$4:FJ172))</f>
        <v>0</v>
      </c>
      <c r="FL172" s="205" t="str">
        <f t="shared" si="292"/>
        <v/>
      </c>
      <c r="FM172" s="205">
        <f>IF($J172="",#N/A,SUM(FL$4:FL172))</f>
        <v>0</v>
      </c>
      <c r="FN172" s="205">
        <f>IF($J172="",#N/A,SUM(FL$4:FL172,FJ$4:FJ172,FH$4:FH172))</f>
        <v>0</v>
      </c>
      <c r="FO172" s="200" t="str">
        <f t="shared" si="293"/>
        <v/>
      </c>
      <c r="FP172" s="203">
        <f>IF($J172="",#N/A,SUM(FO$4:FO172))</f>
        <v>0</v>
      </c>
      <c r="FQ172" s="204" t="str">
        <f t="shared" si="294"/>
        <v/>
      </c>
      <c r="FR172" s="204">
        <f>IF($J172="",#N/A,SUM(FQ$4:FQ172))</f>
        <v>0</v>
      </c>
      <c r="FS172" s="205" t="str">
        <f t="shared" si="295"/>
        <v/>
      </c>
      <c r="FT172" s="205">
        <f>IF($J172="",#N/A,SUM(FS$4:FS172))</f>
        <v>0</v>
      </c>
      <c r="FU172" s="205">
        <f>IF($J172="",#N/A,SUM(FS$4:FS172,FQ$4:FQ172,FO$4:FO172))</f>
        <v>0</v>
      </c>
      <c r="FV172" s="200" t="str">
        <f t="shared" si="296"/>
        <v/>
      </c>
      <c r="FW172" s="203">
        <f>IF($J172="",#N/A,SUM(FV$4:FV172))</f>
        <v>6.6834991831277585E-2</v>
      </c>
      <c r="FX172" s="204" t="str">
        <f t="shared" si="297"/>
        <v/>
      </c>
      <c r="FY172" s="204">
        <f>IF($J172="",#N/A,SUM(FX$4:FX172))</f>
        <v>0</v>
      </c>
      <c r="FZ172" s="205" t="str">
        <f t="shared" si="298"/>
        <v/>
      </c>
      <c r="GA172" s="205">
        <f>IF($J172="",#N/A,SUM(FZ$4:FZ172))</f>
        <v>-0.96570439723286938</v>
      </c>
      <c r="GB172" s="205">
        <f>IF($J172="",#N/A,SUM(FZ$4:FZ172,FX$4:FX172,FV$4:FV172))</f>
        <v>-0.89886940540159177</v>
      </c>
      <c r="GC172" s="200" t="str">
        <f t="shared" si="299"/>
        <v/>
      </c>
      <c r="GD172" s="203">
        <f>IF($J172="",#N/A,SUM(GC$4:GC172))</f>
        <v>0</v>
      </c>
      <c r="GE172" s="204" t="str">
        <f t="shared" si="300"/>
        <v/>
      </c>
      <c r="GF172" s="204">
        <f>IF($J172="",#N/A,SUM(GE$4:GE172))</f>
        <v>0</v>
      </c>
      <c r="GG172" s="205" t="str">
        <f t="shared" si="301"/>
        <v/>
      </c>
      <c r="GH172" s="205">
        <f>IF($J172="",#N/A,SUM(GG$4:GG172))</f>
        <v>-2.9368362277223206</v>
      </c>
      <c r="GI172" s="205">
        <f>IF($J172="",#N/A,SUM(GG$4:GG172,GE$4:GE172,GC$4:GC172))</f>
        <v>-2.9368362277223206</v>
      </c>
      <c r="GJ172" s="200" t="str">
        <f t="shared" si="302"/>
        <v/>
      </c>
      <c r="GK172" s="203">
        <f>IF($J172="",#N/A,SUM(GJ$4:GJ172))</f>
        <v>0</v>
      </c>
      <c r="GL172" s="204" t="str">
        <f t="shared" si="303"/>
        <v/>
      </c>
      <c r="GM172" s="204">
        <f>IF($J172="",#N/A,SUM(GL$4:GL172))</f>
        <v>-0.80168930905701452</v>
      </c>
      <c r="GN172" s="205" t="str">
        <f t="shared" si="304"/>
        <v/>
      </c>
      <c r="GO172" s="205">
        <f>IF($J172="",#N/A,SUM(GN$4:GN172))</f>
        <v>0</v>
      </c>
      <c r="GP172" s="205">
        <f>IF($J172="",#N/A,SUM(GN$4:GN172,GL$4:GL172,GJ$4:GJ172))</f>
        <v>-0.80168930905701452</v>
      </c>
      <c r="GS172" s="54">
        <f t="shared" si="323"/>
        <v>1.2492126810833513</v>
      </c>
      <c r="GT172" s="54">
        <f>IF(GS172="",NA(),SUM($GS$4:GS172))</f>
        <v>0.7613787187077844</v>
      </c>
      <c r="GU172" s="54" t="str">
        <f t="shared" si="305"/>
        <v/>
      </c>
      <c r="GV172" s="54" t="e">
        <f>IF(GU172="",NA(),SUM($GU$4:GU172))</f>
        <v>#N/A</v>
      </c>
      <c r="GW172" s="54" t="str">
        <f t="shared" si="306"/>
        <v/>
      </c>
      <c r="GX172" s="54" t="e">
        <f>IF(GW172="",NA(),SUM($GW$4:GW172))</f>
        <v>#N/A</v>
      </c>
      <c r="GY172" s="54">
        <f t="shared" si="307"/>
        <v>1.2492126810833513</v>
      </c>
      <c r="GZ172" s="54">
        <f>IF(GY172="",NA(),SUM($GY$4:GY172))</f>
        <v>1.7125846701910992</v>
      </c>
      <c r="HA172" s="54" t="str">
        <f t="shared" si="308"/>
        <v/>
      </c>
      <c r="HB172" s="54" t="e">
        <f>IF(HA172="",NA(),SUM($HA$4:HA172))</f>
        <v>#N/A</v>
      </c>
      <c r="HC172" s="54" t="str">
        <f t="shared" si="309"/>
        <v/>
      </c>
      <c r="HD172" s="54" t="e">
        <f>IF(HC172="",NA(),SUM($HC$4:HC172))</f>
        <v>#N/A</v>
      </c>
      <c r="HE172" s="54" t="str">
        <f t="shared" si="310"/>
        <v/>
      </c>
      <c r="HF172" s="54" t="e">
        <f>IF(HE172="",NA(),SUM($HE$4:HE172))</f>
        <v>#N/A</v>
      </c>
      <c r="HG172" s="54" t="str">
        <f t="shared" si="311"/>
        <v/>
      </c>
      <c r="HH172" s="54" t="e">
        <f>IF(HG172="",NA(),SUM($HG$4:HG172))</f>
        <v>#N/A</v>
      </c>
      <c r="HI172" s="172">
        <f t="shared" si="324"/>
        <v>-0.56686961998740248</v>
      </c>
      <c r="HJ172" s="172">
        <f>IF($J172="",#N/A,SUM(HI$4:$HI172))</f>
        <v>-7.629124786866269</v>
      </c>
      <c r="HK172" s="54" t="str">
        <f t="shared" si="312"/>
        <v/>
      </c>
      <c r="HL172" s="54">
        <f>IF($J172="",#N/A,SUM($HK$4:HK172))</f>
        <v>-6.0636907107074549</v>
      </c>
      <c r="HM172" s="54" t="str">
        <f t="shared" si="313"/>
        <v/>
      </c>
      <c r="HN172" s="54">
        <f>IF($J172="",#N/A,SUM($HM$4:HM172))</f>
        <v>0.71812545963587882</v>
      </c>
      <c r="HO172" s="54" t="str">
        <f t="shared" si="314"/>
        <v/>
      </c>
      <c r="HP172" s="54">
        <f>IF($J172="",#N/A,SUM($HO$4:HO172))</f>
        <v>-0.14859521910082485</v>
      </c>
      <c r="HQ172" s="54" t="str">
        <f t="shared" si="315"/>
        <v/>
      </c>
      <c r="HR172" s="54">
        <f>IF($J172="",#N/A,SUM($HQ$4:HQ172))</f>
        <v>-9.2744671295951253</v>
      </c>
      <c r="HS172" s="54" t="str">
        <f t="shared" si="316"/>
        <v/>
      </c>
      <c r="HT172" s="54">
        <f>IF($J172="",#N/A,SUM($HS$4:HS172))</f>
        <v>12.590413522772369</v>
      </c>
      <c r="HU172" s="65">
        <f t="shared" si="317"/>
        <v>0.68234306109594878</v>
      </c>
      <c r="HV172" s="65">
        <f>IF($J172="",#N/A,SUM(HU$4:$HU172))</f>
        <v>-6.3920299741840978</v>
      </c>
    </row>
    <row r="173" spans="1:230" x14ac:dyDescent="0.25">
      <c r="A173" s="51" t="s">
        <v>185</v>
      </c>
      <c r="B173" s="52" t="s">
        <v>4542</v>
      </c>
      <c r="C173" s="229">
        <f t="shared" si="218"/>
        <v>3</v>
      </c>
      <c r="D173" s="219" t="str">
        <f>_xlfn.XLOOKUP(A173,[1]SP500!$A$2:$A$502,[1]SP500!$D$2:$D$502,"N")</f>
        <v>Y</v>
      </c>
      <c r="E173" s="51" t="str">
        <f>IFERROR(_xlfn.XLOOKUP(A173,[1]SP500!$A$2:$A$655,[1]SP500!$B$2:$B$655),"")</f>
        <v>XLY</v>
      </c>
      <c r="F173" s="290">
        <v>45777</v>
      </c>
      <c r="G173" s="51" t="str">
        <f t="shared" si="219"/>
        <v>BMO</v>
      </c>
      <c r="H173" s="51" t="str">
        <f t="shared" si="220"/>
        <v>s</v>
      </c>
      <c r="I173" s="344">
        <v>147.69</v>
      </c>
      <c r="J173" s="124">
        <v>147.49</v>
      </c>
      <c r="K173" s="55">
        <f t="shared" si="221"/>
        <v>-1.3541878258513686E-3</v>
      </c>
      <c r="L173" s="67">
        <f t="shared" si="222"/>
        <v>-1.3999999999998636</v>
      </c>
      <c r="M173" s="57">
        <f t="shared" si="223"/>
        <v>17.639999999999873</v>
      </c>
      <c r="N173" s="102">
        <f t="shared" si="224"/>
        <v>-1.3999999999998636</v>
      </c>
      <c r="O173" s="57">
        <f>IF(N173="",#N/A,SUM($N$4:N173))</f>
        <v>-0.59363589938706696</v>
      </c>
      <c r="P173" s="65">
        <f t="shared" si="318"/>
        <v>-2.2569797097521896E-2</v>
      </c>
      <c r="Q173" s="172">
        <f>IF($N173="",#N/A,SUM($P$4:P173))</f>
        <v>3.3927390925798093</v>
      </c>
      <c r="R173" s="279">
        <f t="shared" si="225"/>
        <v>3.9069253630257346</v>
      </c>
      <c r="S173" s="51" t="str">
        <f t="shared" si="226"/>
        <v>SW</v>
      </c>
      <c r="T173" s="51" t="s">
        <v>2828</v>
      </c>
      <c r="U173" s="56">
        <f t="shared" si="227"/>
        <v>147.69</v>
      </c>
      <c r="V173" s="56" t="s">
        <v>4460</v>
      </c>
      <c r="W173" s="142">
        <v>7</v>
      </c>
      <c r="X173" s="145">
        <f t="shared" si="228"/>
        <v>1033.83</v>
      </c>
      <c r="Y173" s="140">
        <f t="shared" si="229"/>
        <v>7</v>
      </c>
      <c r="Z173" s="123">
        <v>150.01</v>
      </c>
      <c r="AA173" s="102">
        <f t="shared" si="230"/>
        <v>16.240000000000009</v>
      </c>
      <c r="AB173" s="102">
        <f t="shared" si="231"/>
        <v>19.25</v>
      </c>
      <c r="AC173" s="124">
        <v>150.44</v>
      </c>
      <c r="AD173" s="155">
        <f t="shared" si="232"/>
        <v>19.25</v>
      </c>
      <c r="AE173" s="545">
        <f t="shared" si="233"/>
        <v>0.31033471009095631</v>
      </c>
      <c r="AF173" s="57">
        <f>IF($AC173="",#N/A,SUM(AD$4:AD173))</f>
        <v>-476.01041200241616</v>
      </c>
      <c r="AG173" s="102">
        <f t="shared" si="234"/>
        <v>20.649999999999864</v>
      </c>
      <c r="AH173" s="56" t="s">
        <v>2507</v>
      </c>
      <c r="AI173" s="65">
        <f t="shared" si="235"/>
        <v>0.26180964633127968</v>
      </c>
      <c r="AJ173" s="350">
        <f>IF(AI173="",#N/A,SUM($AI$4:AI173))</f>
        <v>-0.51418627044592513</v>
      </c>
      <c r="AK173" s="57">
        <f t="shared" si="236"/>
        <v>16.240000000000009</v>
      </c>
      <c r="AL173" s="349">
        <f>IF(AI173="",#N/A,IF(AH173="Skip",SUM($AK$4:AK173),SUM($AK$4:AK173)))</f>
        <v>-263.56740850718643</v>
      </c>
      <c r="AM173" s="65">
        <f t="shared" si="319"/>
        <v>0.31033471009095631</v>
      </c>
      <c r="AN173" s="209"/>
      <c r="AO173" s="65">
        <f t="shared" si="237"/>
        <v>0.31033471009095631</v>
      </c>
      <c r="AP173" s="65">
        <f>IF($AC173="",#N/A,SUM(AO$4:AO173))</f>
        <v>5.5426448635514358</v>
      </c>
      <c r="AQ173" s="65" t="str">
        <f t="shared" si="238"/>
        <v/>
      </c>
      <c r="AR173" s="65">
        <f>IF($AC173="",#N/A,SUM(AQ$4:AQ173))</f>
        <v>-2.6179859771653153</v>
      </c>
      <c r="AS173" s="65" t="str">
        <f t="shared" si="239"/>
        <v/>
      </c>
      <c r="AT173" s="65">
        <f>IF($AC173="",#N/A,SUM(AS$4:AS173))</f>
        <v>-9.0063541504792664</v>
      </c>
      <c r="AU173" s="57">
        <f t="shared" si="320"/>
        <v>19.25</v>
      </c>
      <c r="AV173" s="57">
        <f>IF($AC173="",#N/A,SUM(AU$4:AU173))</f>
        <v>247.23120645125087</v>
      </c>
      <c r="AW173" s="57" t="str">
        <f t="shared" si="321"/>
        <v/>
      </c>
      <c r="AX173" s="57">
        <f>IF($AC173="",#N/A,SUM(AW$4:AW173))</f>
        <v>-163.1400000000001</v>
      </c>
      <c r="AY173" s="57" t="str">
        <f t="shared" si="322"/>
        <v/>
      </c>
      <c r="AZ173" s="57">
        <f>IF($AC173="",#N/A,SUM(AY$4:AY173))</f>
        <v>-560.1016184536669</v>
      </c>
      <c r="BA173" s="57">
        <f>IF(AD173="",#N/A,SUM($AD$4:AD173))</f>
        <v>-476.01041200241616</v>
      </c>
      <c r="BC173" s="51" t="str">
        <f t="shared" si="240"/>
        <v/>
      </c>
      <c r="BD173" s="51" t="str">
        <f t="shared" si="241"/>
        <v/>
      </c>
      <c r="BE173" s="51" t="str">
        <f t="shared" si="242"/>
        <v/>
      </c>
      <c r="BF173" s="51" t="str">
        <f t="shared" si="243"/>
        <v>Long</v>
      </c>
      <c r="BG173" s="51" t="str">
        <f t="shared" si="244"/>
        <v/>
      </c>
      <c r="BH173" s="51" t="str">
        <f t="shared" si="245"/>
        <v/>
      </c>
      <c r="BI173" s="51">
        <f t="shared" si="246"/>
        <v>1</v>
      </c>
      <c r="BK173" s="65">
        <f t="shared" si="217"/>
        <v>9.5358521754521211E-2</v>
      </c>
      <c r="BL173" s="65">
        <f t="shared" si="325"/>
        <v>0.23038388721578179</v>
      </c>
      <c r="BM173" s="65">
        <f>IFERROR(Q173/COUNTA($J$4:J173),#N/A)</f>
        <v>1.9957288779881233E-2</v>
      </c>
      <c r="BO173" s="489">
        <f>IF(J173="",#N/A,IF(S173="SW",(COUNTIFS(K$4:$K173,"&gt;0",S$4:$S173,"SW")/COUNTIF(S$4:$S173,"SW")),#N/A))</f>
        <v>0.4838709677419355</v>
      </c>
      <c r="BP173" s="489" t="e">
        <f>IF($J173="",#N/A,IF($S173="DWN",(COUNTIFS($K$4:$K173,"&lt;0",$S$4:$S173,"DWN")/COUNTIF($S$4:$S173,"DWN")),#N/A))</f>
        <v>#N/A</v>
      </c>
      <c r="BQ173" s="489" t="e">
        <f>IF($J173="",#N/A,IF($S173="UP",(COUNTIFS($K$4:$K173,"&gt;0",$S$4:$S173,"UP")/COUNTIF($S$4:$S173,"UP")),#N/A))</f>
        <v>#N/A</v>
      </c>
      <c r="BR173" s="489">
        <f>IF(J173="",#N/A,COUNTIF($K$4:K173,"&gt;0")/COUNT($J$4:J173))</f>
        <v>0.45882352941176469</v>
      </c>
      <c r="BS173" s="65" t="str">
        <f t="shared" si="247"/>
        <v/>
      </c>
      <c r="BT173" s="65">
        <f t="shared" si="248"/>
        <v>-2.2569797097521896E-2</v>
      </c>
      <c r="BU173" s="65" t="str">
        <f t="shared" si="249"/>
        <v/>
      </c>
      <c r="BV173" s="65" t="str">
        <f t="shared" si="250"/>
        <v/>
      </c>
      <c r="BW173" s="128" t="str">
        <f t="shared" si="251"/>
        <v/>
      </c>
      <c r="BX173" s="128">
        <f>IF($J173="",#N/A,SUM($BW$4:BW173))</f>
        <v>-205.1650000000003</v>
      </c>
      <c r="BY173" s="131" t="str">
        <f t="shared" si="252"/>
        <v/>
      </c>
      <c r="BZ173" s="131">
        <f>IF($J173="",#N/A,SUM($BY$4:BY173))</f>
        <v>240.12434038933372</v>
      </c>
      <c r="CA173" s="133">
        <f t="shared" si="253"/>
        <v>-1.3999999999998636</v>
      </c>
      <c r="CB173" s="133">
        <f>IF($J173="",#N/A,SUM($CA$4:CA173))</f>
        <v>-35.552976288720487</v>
      </c>
      <c r="CC173" s="194" t="str">
        <f t="shared" si="254"/>
        <v/>
      </c>
      <c r="CD173" s="194">
        <f>IF($J173="",#N/A,SUM($CC$4:CC173))</f>
        <v>-3.1875162177003693</v>
      </c>
      <c r="CE173" s="195" t="str">
        <f t="shared" si="255"/>
        <v/>
      </c>
      <c r="CF173" s="195">
        <f>IF($J173="",#N/A,SUM($CE$4:CE173))</f>
        <v>4.6864613470944638</v>
      </c>
      <c r="CG173" s="196">
        <f t="shared" si="256"/>
        <v>-2.2569797097521896E-2</v>
      </c>
      <c r="CH173" s="196">
        <f>IF($J173="",#N/A,SUM($CG$4:CG173))</f>
        <v>1.8937939631857208</v>
      </c>
      <c r="CI173" s="200" t="str">
        <f t="shared" si="257"/>
        <v/>
      </c>
      <c r="CJ173" s="203">
        <f>IF($J173="",#N/A,SUM(CI$4:CI173))</f>
        <v>0</v>
      </c>
      <c r="CK173" s="204" t="str">
        <f t="shared" si="258"/>
        <v/>
      </c>
      <c r="CL173" s="204">
        <f>IF($J173="",#N/A,SUM(CK$4:CK173))</f>
        <v>1.9927003554442289</v>
      </c>
      <c r="CM173" s="205" t="str">
        <f t="shared" si="259"/>
        <v/>
      </c>
      <c r="CN173" s="205">
        <f>IF($J173="",#N/A,SUM(CM$4:CM173))</f>
        <v>3.3861132786295873</v>
      </c>
      <c r="CO173" s="205">
        <f>IF($J173="",#N/A,SUM(CM$4:CM173,CK$4:CK173,CI$4:CI173))</f>
        <v>5.3788136340738166</v>
      </c>
      <c r="CP173" s="200" t="str">
        <f t="shared" si="260"/>
        <v/>
      </c>
      <c r="CQ173" s="203">
        <f>IF($J173="",#N/A,SUM(CP$4:CP173))</f>
        <v>0</v>
      </c>
      <c r="CR173" s="204" t="str">
        <f t="shared" si="261"/>
        <v/>
      </c>
      <c r="CS173" s="204">
        <f>IF($J173="",#N/A,SUM(CR$4:CR173))</f>
        <v>2.420242024202421</v>
      </c>
      <c r="CT173" s="205" t="str">
        <f t="shared" si="262"/>
        <v/>
      </c>
      <c r="CU173" s="205">
        <f>IF($J173="",#N/A,SUM(CT$4:CT173))</f>
        <v>-1.6961777431035243</v>
      </c>
      <c r="CV173" s="205">
        <f>IF($J173="",#N/A,SUM(CT$4:CT173,CR$4:CR173,CP$4:CP173))</f>
        <v>0.72406428109889664</v>
      </c>
      <c r="CW173" s="200" t="str">
        <f t="shared" si="263"/>
        <v/>
      </c>
      <c r="CX173" s="203">
        <f>IF($J173="",#N/A,SUM(CW$4:CW173))</f>
        <v>0</v>
      </c>
      <c r="CY173" s="204" t="str">
        <f t="shared" si="264"/>
        <v/>
      </c>
      <c r="CZ173" s="204">
        <f>IF($J173="",#N/A,SUM(CY$4:CY173))</f>
        <v>-1.9289529100071134</v>
      </c>
      <c r="DA173" s="205">
        <f t="shared" si="265"/>
        <v>-2.2569797097521896E-2</v>
      </c>
      <c r="DB173" s="205">
        <f>IF($J173="",#N/A,SUM(DA$4:DA173))</f>
        <v>-1.2504388487677423</v>
      </c>
      <c r="DC173" s="205">
        <f>IF($J173="",#N/A,SUM(DA$4:DA173,CY$4:CY173,CW$4:CW173))</f>
        <v>-3.1793917587748557</v>
      </c>
      <c r="DD173" s="200" t="str">
        <f t="shared" si="266"/>
        <v/>
      </c>
      <c r="DE173" s="203">
        <f>IF($J173="",#N/A,SUM(DD$4:DD173))</f>
        <v>0.14968716170674062</v>
      </c>
      <c r="DF173" s="204" t="str">
        <f t="shared" si="267"/>
        <v/>
      </c>
      <c r="DG173" s="204">
        <f>IF($J173="",#N/A,SUM(DF$4:DF173))</f>
        <v>1.2121188689979676</v>
      </c>
      <c r="DH173" s="205" t="str">
        <f t="shared" si="268"/>
        <v/>
      </c>
      <c r="DI173" s="205">
        <f>IF($J173="",#N/A,SUM(DH$4:DH173))</f>
        <v>-0.8404015973735236</v>
      </c>
      <c r="DJ173" s="205">
        <f>IF($J173="",#N/A,SUM(DH$4:DH173,DF$4:DF173,DD$4:DD173))</f>
        <v>0.52140443333118447</v>
      </c>
      <c r="DK173" s="200" t="str">
        <f t="shared" si="269"/>
        <v/>
      </c>
      <c r="DL173" s="203">
        <f>IF($J173="",#N/A,SUM(DK$4:DK173))</f>
        <v>-1.2097286851272664</v>
      </c>
      <c r="DM173" s="204" t="str">
        <f t="shared" si="270"/>
        <v/>
      </c>
      <c r="DN173" s="204">
        <f>IF($J173="",#N/A,SUM(DM$4:DM173))</f>
        <v>1.1910608267574658</v>
      </c>
      <c r="DO173" s="205" t="str">
        <f t="shared" si="271"/>
        <v/>
      </c>
      <c r="DP173" s="205">
        <f>IF($J173="",#N/A,SUM(DO$4:DO173))</f>
        <v>1.3495058802125319</v>
      </c>
      <c r="DQ173" s="205">
        <f>IF($J173="",#N/A,SUM(DO$4:DO173,DM$4:DM173,DK$4:DK173))</f>
        <v>1.3308380218427318</v>
      </c>
      <c r="DR173" s="200" t="str">
        <f t="shared" si="272"/>
        <v/>
      </c>
      <c r="DS173" s="203">
        <f>IF($J173="",#N/A,SUM(DR$4:DR173))</f>
        <v>-0.55950946427675097</v>
      </c>
      <c r="DT173" s="204" t="str">
        <f t="shared" si="273"/>
        <v/>
      </c>
      <c r="DU173" s="204">
        <f>IF($J173="",#N/A,SUM(DT$4:DT173))</f>
        <v>-3.5029740333397914</v>
      </c>
      <c r="DV173" s="205" t="str">
        <f t="shared" si="274"/>
        <v/>
      </c>
      <c r="DW173" s="205">
        <f>IF($J173="",#N/A,SUM(DV$4:DV173))</f>
        <v>-1.8527424265931112</v>
      </c>
      <c r="DX173" s="205">
        <f>IF($J173="",#N/A,SUM(DV$4:DV173,DT$4:DT173,DR$4:DR173))</f>
        <v>-5.9152259242096532</v>
      </c>
      <c r="DY173" s="200" t="str">
        <f t="shared" si="275"/>
        <v/>
      </c>
      <c r="DZ173" s="203">
        <f>IF($J173="",#N/A,SUM(DY$4:DY173))</f>
        <v>-1.63480022183437</v>
      </c>
      <c r="EA173" s="204" t="str">
        <f t="shared" si="276"/>
        <v/>
      </c>
      <c r="EB173" s="204">
        <f>IF($J173="",#N/A,SUM(EA$4:EA173))</f>
        <v>-0.2070110273231956</v>
      </c>
      <c r="EC173" s="205" t="str">
        <f t="shared" si="277"/>
        <v/>
      </c>
      <c r="ED173" s="205">
        <f>IF($J173="",#N/A,SUM(EC$4:EC173))</f>
        <v>2.4515280577205139</v>
      </c>
      <c r="EE173" s="205">
        <f>IF($J173="",#N/A,SUM(EC$4:EC173,EA$4:EA173,DY$4:DY173))</f>
        <v>0.60971680856294808</v>
      </c>
      <c r="EF173" s="200" t="str">
        <f t="shared" si="278"/>
        <v/>
      </c>
      <c r="EG173" s="203">
        <f>IF($J173="",#N/A,SUM(EF$4:EF173))</f>
        <v>0</v>
      </c>
      <c r="EH173" s="204" t="str">
        <f t="shared" si="279"/>
        <v/>
      </c>
      <c r="EI173" s="204">
        <f>IF($J173="",#N/A,SUM(EH$4:EH173))</f>
        <v>-1.1184224685150388</v>
      </c>
      <c r="EJ173" s="205" t="str">
        <f t="shared" si="280"/>
        <v/>
      </c>
      <c r="EK173" s="205">
        <f>IF($J173="",#N/A,SUM(EJ$4:EJ173))</f>
        <v>2.804966392787259</v>
      </c>
      <c r="EL173" s="205">
        <f>IF($J173="",#N/A,SUM(EJ$4:EJ173,EH$4:EH173,EF$4:EF173))</f>
        <v>1.6865439242722209</v>
      </c>
      <c r="EM173" s="200" t="str">
        <f t="shared" si="281"/>
        <v/>
      </c>
      <c r="EN173" s="203">
        <f>IF($J173="",#N/A,SUM(EM$4:EM173))</f>
        <v>0</v>
      </c>
      <c r="EO173" s="204" t="str">
        <f t="shared" si="282"/>
        <v/>
      </c>
      <c r="EP173" s="204">
        <f>IF($J173="",#N/A,SUM(EO$4:EO173))</f>
        <v>2.5139292856891995</v>
      </c>
      <c r="EQ173" s="205" t="str">
        <f t="shared" si="283"/>
        <v/>
      </c>
      <c r="ER173" s="205">
        <f>IF($J173="",#N/A,SUM(EQ$4:EQ173))</f>
        <v>1.5025175479314647</v>
      </c>
      <c r="ES173" s="205">
        <f>IF($J173="",#N/A,SUM(EQ$4:EQ173,EO$4:EO173,EM$4:EM173))</f>
        <v>4.0164468336206633</v>
      </c>
      <c r="ET173" s="200" t="str">
        <f t="shared" si="284"/>
        <v/>
      </c>
      <c r="EU173" s="203">
        <f>IF($J173="",#N/A,SUM(ET$4:ET173))</f>
        <v>0</v>
      </c>
      <c r="EV173" s="204" t="str">
        <f t="shared" si="285"/>
        <v/>
      </c>
      <c r="EW173" s="204">
        <f>IF($J173="",#N/A,SUM(EV$4:EV173))</f>
        <v>0.90459527759708336</v>
      </c>
      <c r="EX173" s="205" t="str">
        <f t="shared" si="286"/>
        <v/>
      </c>
      <c r="EY173" s="205">
        <f>IF($J173="",#N/A,SUM(EX$4:EX173))</f>
        <v>0.22957553748493481</v>
      </c>
      <c r="EZ173" s="205">
        <f>IF($J173="",#N/A,SUM(EX$4:EX173,EV$4:EV173,ET$4:ET173))</f>
        <v>1.134170815082018</v>
      </c>
      <c r="FA173" s="200" t="str">
        <f t="shared" si="287"/>
        <v/>
      </c>
      <c r="FB173" s="203">
        <f>IF($J173="",#N/A,SUM(FA$4:FA173))</f>
        <v>0</v>
      </c>
      <c r="FC173" s="204" t="str">
        <f t="shared" si="288"/>
        <v/>
      </c>
      <c r="FD173" s="204">
        <f>IF($J173="",#N/A,SUM(FC$4:FC173))</f>
        <v>1.6839191319663924</v>
      </c>
      <c r="FE173" s="205" t="str">
        <f t="shared" si="289"/>
        <v/>
      </c>
      <c r="FF173" s="205">
        <f>IF($J173="",#N/A,SUM(FE$4:FE173))</f>
        <v>-0.28811149078748233</v>
      </c>
      <c r="FG173" s="205">
        <f>IF($J173="",#N/A,SUM(FE$4:FE173,FC$4:FC173,FA$4:FA173))</f>
        <v>1.3958076411789102</v>
      </c>
      <c r="FH173" s="200" t="str">
        <f t="shared" si="290"/>
        <v/>
      </c>
      <c r="FI173" s="203">
        <f>IF($J173="",#N/A,SUM(FH$4:FH173))</f>
        <v>0</v>
      </c>
      <c r="FJ173" s="204" t="str">
        <f t="shared" si="291"/>
        <v/>
      </c>
      <c r="FK173" s="204">
        <f>IF($J173="",#N/A,SUM(FJ$4:FJ173))</f>
        <v>0</v>
      </c>
      <c r="FL173" s="205" t="str">
        <f t="shared" si="292"/>
        <v/>
      </c>
      <c r="FM173" s="205">
        <f>IF($J173="",#N/A,SUM(FL$4:FL173))</f>
        <v>0</v>
      </c>
      <c r="FN173" s="205">
        <f>IF($J173="",#N/A,SUM(FL$4:FL173,FJ$4:FJ173,FH$4:FH173))</f>
        <v>0</v>
      </c>
      <c r="FO173" s="200" t="str">
        <f t="shared" si="293"/>
        <v/>
      </c>
      <c r="FP173" s="203">
        <f>IF($J173="",#N/A,SUM(FO$4:FO173))</f>
        <v>0</v>
      </c>
      <c r="FQ173" s="204" t="str">
        <f t="shared" si="294"/>
        <v/>
      </c>
      <c r="FR173" s="204">
        <f>IF($J173="",#N/A,SUM(FQ$4:FQ173))</f>
        <v>0</v>
      </c>
      <c r="FS173" s="205" t="str">
        <f t="shared" si="295"/>
        <v/>
      </c>
      <c r="FT173" s="205">
        <f>IF($J173="",#N/A,SUM(FS$4:FS173))</f>
        <v>0</v>
      </c>
      <c r="FU173" s="205">
        <f>IF($J173="",#N/A,SUM(FS$4:FS173,FQ$4:FQ173,FO$4:FO173))</f>
        <v>0</v>
      </c>
      <c r="FV173" s="200" t="str">
        <f t="shared" si="296"/>
        <v/>
      </c>
      <c r="FW173" s="203">
        <f>IF($J173="",#N/A,SUM(FV$4:FV173))</f>
        <v>6.6834991831277585E-2</v>
      </c>
      <c r="FX173" s="204" t="str">
        <f t="shared" si="297"/>
        <v/>
      </c>
      <c r="FY173" s="204">
        <f>IF($J173="",#N/A,SUM(FX$4:FX173))</f>
        <v>0</v>
      </c>
      <c r="FZ173" s="205" t="str">
        <f t="shared" si="298"/>
        <v/>
      </c>
      <c r="GA173" s="205">
        <f>IF($J173="",#N/A,SUM(FZ$4:FZ173))</f>
        <v>-0.96570439723286938</v>
      </c>
      <c r="GB173" s="205">
        <f>IF($J173="",#N/A,SUM(FZ$4:FZ173,FX$4:FX173,FV$4:FV173))</f>
        <v>-0.89886940540159177</v>
      </c>
      <c r="GC173" s="200" t="str">
        <f t="shared" si="299"/>
        <v/>
      </c>
      <c r="GD173" s="203">
        <f>IF($J173="",#N/A,SUM(GC$4:GC173))</f>
        <v>0</v>
      </c>
      <c r="GE173" s="204" t="str">
        <f t="shared" si="300"/>
        <v/>
      </c>
      <c r="GF173" s="204">
        <f>IF($J173="",#N/A,SUM(GE$4:GE173))</f>
        <v>0</v>
      </c>
      <c r="GG173" s="205" t="str">
        <f t="shared" si="301"/>
        <v/>
      </c>
      <c r="GH173" s="205">
        <f>IF($J173="",#N/A,SUM(GG$4:GG173))</f>
        <v>-2.9368362277223206</v>
      </c>
      <c r="GI173" s="205">
        <f>IF($J173="",#N/A,SUM(GG$4:GG173,GE$4:GE173,GC$4:GC173))</f>
        <v>-2.9368362277223206</v>
      </c>
      <c r="GJ173" s="200" t="str">
        <f t="shared" si="302"/>
        <v/>
      </c>
      <c r="GK173" s="203">
        <f>IF($J173="",#N/A,SUM(GJ$4:GJ173))</f>
        <v>0</v>
      </c>
      <c r="GL173" s="204" t="str">
        <f t="shared" si="303"/>
        <v/>
      </c>
      <c r="GM173" s="204">
        <f>IF($J173="",#N/A,SUM(GL$4:GL173))</f>
        <v>-0.80168930905701452</v>
      </c>
      <c r="GN173" s="205" t="str">
        <f t="shared" si="304"/>
        <v/>
      </c>
      <c r="GO173" s="205">
        <f>IF($J173="",#N/A,SUM(GN$4:GN173))</f>
        <v>0</v>
      </c>
      <c r="GP173" s="205">
        <f>IF($J173="",#N/A,SUM(GN$4:GN173,GL$4:GL173,GJ$4:GJ173))</f>
        <v>-0.80168930905701452</v>
      </c>
      <c r="GS173" s="54">
        <f t="shared" si="323"/>
        <v>-2.2569797097521896E-2</v>
      </c>
      <c r="GT173" s="54">
        <f>IF(GS173="",NA(),SUM($GS$4:GS173))</f>
        <v>0.73880892161026246</v>
      </c>
      <c r="GU173" s="54" t="str">
        <f t="shared" si="305"/>
        <v/>
      </c>
      <c r="GV173" s="54" t="e">
        <f>IF(GU173="",NA(),SUM($GU$4:GU173))</f>
        <v>#N/A</v>
      </c>
      <c r="GW173" s="54">
        <f t="shared" si="306"/>
        <v>-2.2569797097521896E-2</v>
      </c>
      <c r="GX173" s="54">
        <f>IF(GW173="",NA(),SUM($GW$4:GW173))</f>
        <v>2.2137404691195348</v>
      </c>
      <c r="GY173" s="54" t="str">
        <f t="shared" si="307"/>
        <v/>
      </c>
      <c r="GZ173" s="54" t="e">
        <f>IF(GY173="",NA(),SUM($GY$4:GY173))</f>
        <v>#N/A</v>
      </c>
      <c r="HA173" s="54" t="str">
        <f t="shared" si="308"/>
        <v/>
      </c>
      <c r="HB173" s="54" t="e">
        <f>IF(HA173="",NA(),SUM($HA$4:HA173))</f>
        <v>#N/A</v>
      </c>
      <c r="HC173" s="54" t="str">
        <f t="shared" si="309"/>
        <v/>
      </c>
      <c r="HD173" s="54" t="e">
        <f>IF(HC173="",NA(),SUM($HC$4:HC173))</f>
        <v>#N/A</v>
      </c>
      <c r="HE173" s="54" t="str">
        <f t="shared" si="310"/>
        <v/>
      </c>
      <c r="HF173" s="54" t="e">
        <f>IF(HE173="",NA(),SUM($HE$4:HE173))</f>
        <v>#N/A</v>
      </c>
      <c r="HG173" s="54" t="str">
        <f t="shared" si="311"/>
        <v/>
      </c>
      <c r="HH173" s="54" t="e">
        <f>IF(HG173="",NA(),SUM($HG$4:HG173))</f>
        <v>#N/A</v>
      </c>
      <c r="HI173" s="172" t="str">
        <f t="shared" si="324"/>
        <v/>
      </c>
      <c r="HJ173" s="172">
        <f>IF($J173="",#N/A,SUM(HI$4:$HI173))</f>
        <v>-7.629124786866269</v>
      </c>
      <c r="HK173" s="54" t="str">
        <f t="shared" si="312"/>
        <v/>
      </c>
      <c r="HL173" s="54">
        <f>IF($J173="",#N/A,SUM($HK$4:HK173))</f>
        <v>-6.0636907107074549</v>
      </c>
      <c r="HM173" s="54" t="str">
        <f t="shared" si="313"/>
        <v/>
      </c>
      <c r="HN173" s="54">
        <f>IF($J173="",#N/A,SUM($HM$4:HM173))</f>
        <v>0.71812545963587882</v>
      </c>
      <c r="HO173" s="54" t="str">
        <f t="shared" si="314"/>
        <v/>
      </c>
      <c r="HP173" s="54">
        <f>IF($J173="",#N/A,SUM($HO$4:HO173))</f>
        <v>-0.14859521910082485</v>
      </c>
      <c r="HQ173" s="54" t="str">
        <f t="shared" si="315"/>
        <v/>
      </c>
      <c r="HR173" s="54">
        <f>IF($J173="",#N/A,SUM($HQ$4:HQ173))</f>
        <v>-9.2744671295951253</v>
      </c>
      <c r="HS173" s="54">
        <f t="shared" si="316"/>
        <v>0.33290450718847819</v>
      </c>
      <c r="HT173" s="54">
        <f>IF($J173="",#N/A,SUM($HS$4:HS173))</f>
        <v>12.923318029960848</v>
      </c>
      <c r="HU173" s="65">
        <f t="shared" si="317"/>
        <v>0.31033471009095631</v>
      </c>
      <c r="HV173" s="65">
        <f>IF($J173="",#N/A,SUM(HU$4:$HU173))</f>
        <v>-6.0816952640931419</v>
      </c>
    </row>
    <row r="174" spans="1:230" x14ac:dyDescent="0.25">
      <c r="A174" s="51" t="s">
        <v>1583</v>
      </c>
      <c r="B174" s="52" t="s">
        <v>4542</v>
      </c>
      <c r="C174" s="229">
        <f t="shared" si="218"/>
        <v>2</v>
      </c>
      <c r="D174" s="219" t="str">
        <f>_xlfn.XLOOKUP(A174,[1]SP500!$A$2:$A$502,[1]SP500!$D$2:$D$502,"N")</f>
        <v>Y</v>
      </c>
      <c r="E174" s="51" t="str">
        <f>IFERROR(_xlfn.XLOOKUP(A174,[1]SP500!$A$2:$A$655,[1]SP500!$B$2:$B$655),"")</f>
        <v>XLI</v>
      </c>
      <c r="F174" s="290">
        <v>45777</v>
      </c>
      <c r="G174" s="51" t="str">
        <f t="shared" si="219"/>
        <v>BMO</v>
      </c>
      <c r="H174" s="51" t="str">
        <f t="shared" si="220"/>
        <v>s</v>
      </c>
      <c r="I174" s="344">
        <v>113.24</v>
      </c>
      <c r="J174" s="124">
        <v>110.05</v>
      </c>
      <c r="K174" s="55">
        <f t="shared" si="221"/>
        <v>-2.8170257859413617E-2</v>
      </c>
      <c r="L174" s="67">
        <f t="shared" si="222"/>
        <v>28.710000000000036</v>
      </c>
      <c r="M174" s="57">
        <f t="shared" si="223"/>
        <v>0</v>
      </c>
      <c r="N174" s="102">
        <f t="shared" si="224"/>
        <v>28.710000000000036</v>
      </c>
      <c r="O174" s="57">
        <f>IF(N174="",#N/A,SUM($N$4:N174))</f>
        <v>28.116364100612969</v>
      </c>
      <c r="P174" s="65">
        <f t="shared" si="318"/>
        <v>0.46950429765689455</v>
      </c>
      <c r="Q174" s="172">
        <f>IF($N174="",#N/A,SUM($P$4:P174))</f>
        <v>3.8622433902367037</v>
      </c>
      <c r="R174" s="279">
        <f t="shared" si="225"/>
        <v>3.9069253630257341</v>
      </c>
      <c r="S174" s="51" t="str">
        <f t="shared" si="226"/>
        <v>Dwn</v>
      </c>
      <c r="T174" s="51" t="s">
        <v>4462</v>
      </c>
      <c r="U174" s="56">
        <f t="shared" si="227"/>
        <v>113.24</v>
      </c>
      <c r="V174" s="56" t="s">
        <v>4458</v>
      </c>
      <c r="W174" s="142">
        <v>9</v>
      </c>
      <c r="X174" s="145">
        <f t="shared" si="228"/>
        <v>1019.16</v>
      </c>
      <c r="Y174" s="140">
        <f t="shared" si="229"/>
        <v>9</v>
      </c>
      <c r="Z174" s="123">
        <v>110.05</v>
      </c>
      <c r="AA174" s="102">
        <f t="shared" si="230"/>
        <v>28.710000000000036</v>
      </c>
      <c r="AB174" s="102">
        <f t="shared" si="231"/>
        <v>-10.260000000000105</v>
      </c>
      <c r="AC174" s="124">
        <v>114.38</v>
      </c>
      <c r="AD174" s="155">
        <f t="shared" si="232"/>
        <v>-10.260000000000105</v>
      </c>
      <c r="AE174" s="545">
        <f t="shared" si="233"/>
        <v>-0.16778523489933059</v>
      </c>
      <c r="AF174" s="57">
        <f>IF($AC174="",#N/A,SUM(AD$4:AD174))</f>
        <v>-486.27041200241626</v>
      </c>
      <c r="AG174" s="102">
        <f t="shared" si="234"/>
        <v>-38.970000000000141</v>
      </c>
      <c r="AH174" s="56" t="s">
        <v>2507</v>
      </c>
      <c r="AI174" s="65">
        <f t="shared" si="235"/>
        <v>0.46950429765689455</v>
      </c>
      <c r="AJ174" s="350">
        <f>IF(AI174="",#N/A,SUM($AI$4:AI174))</f>
        <v>-4.4681972789030577E-2</v>
      </c>
      <c r="AK174" s="57">
        <f t="shared" si="236"/>
        <v>28.710000000000036</v>
      </c>
      <c r="AL174" s="349">
        <f>IF(AI174="",#N/A,IF(AH174="Skip",SUM($AK$4:AK174),SUM($AK$4:AK174)))</f>
        <v>-234.85740850718639</v>
      </c>
      <c r="AM174" s="65">
        <f t="shared" si="319"/>
        <v>-0.16778523489933059</v>
      </c>
      <c r="AN174" s="209"/>
      <c r="AO174" s="65" t="str">
        <f t="shared" si="237"/>
        <v/>
      </c>
      <c r="AP174" s="65">
        <f>IF($AC174="",#N/A,SUM(AO$4:AO174))</f>
        <v>5.5426448635514358</v>
      </c>
      <c r="AQ174" s="65" t="str">
        <f t="shared" si="238"/>
        <v/>
      </c>
      <c r="AR174" s="65">
        <f>IF($AC174="",#N/A,SUM(AQ$4:AQ174))</f>
        <v>-2.6179859771653153</v>
      </c>
      <c r="AS174" s="65">
        <f t="shared" si="239"/>
        <v>-0.16778523489933059</v>
      </c>
      <c r="AT174" s="65">
        <f>IF($AC174="",#N/A,SUM(AS$4:AS174))</f>
        <v>-9.1741393853785969</v>
      </c>
      <c r="AU174" s="57" t="str">
        <f t="shared" si="320"/>
        <v/>
      </c>
      <c r="AV174" s="57">
        <f>IF($AC174="",#N/A,SUM(AU$4:AU174))</f>
        <v>247.23120645125087</v>
      </c>
      <c r="AW174" s="57" t="str">
        <f t="shared" si="321"/>
        <v/>
      </c>
      <c r="AX174" s="57">
        <f>IF($AC174="",#N/A,SUM(AW$4:AW174))</f>
        <v>-163.1400000000001</v>
      </c>
      <c r="AY174" s="57">
        <f t="shared" si="322"/>
        <v>-10.260000000000105</v>
      </c>
      <c r="AZ174" s="57">
        <f>IF($AC174="",#N/A,SUM(AY$4:AY174))</f>
        <v>-570.36161845366701</v>
      </c>
      <c r="BA174" s="57">
        <f>IF(AD174="",#N/A,SUM($AD$4:AD174))</f>
        <v>-486.27041200241626</v>
      </c>
      <c r="BC174" s="51" t="str">
        <f t="shared" si="240"/>
        <v/>
      </c>
      <c r="BD174" s="51" t="str">
        <f t="shared" si="241"/>
        <v/>
      </c>
      <c r="BE174" s="51" t="str">
        <f t="shared" si="242"/>
        <v/>
      </c>
      <c r="BF174" s="51" t="str">
        <f t="shared" si="243"/>
        <v>Short</v>
      </c>
      <c r="BG174" s="51">
        <f t="shared" si="244"/>
        <v>1</v>
      </c>
      <c r="BH174" s="51" t="str">
        <f t="shared" si="245"/>
        <v/>
      </c>
      <c r="BI174" s="51" t="str">
        <f t="shared" si="246"/>
        <v/>
      </c>
      <c r="BK174" s="65">
        <f t="shared" si="217"/>
        <v>0.11214049409378334</v>
      </c>
      <c r="BL174" s="65">
        <f t="shared" si="325"/>
        <v>0.2668774246615101</v>
      </c>
      <c r="BM174" s="65">
        <f>IFERROR(Q174/COUNTA($J$4:J174),#N/A)</f>
        <v>2.2586218656354993E-2</v>
      </c>
      <c r="BO174" s="489" t="e">
        <f>IF(J174="",#N/A,IF(S174="SW",(COUNTIFS(K$4:$K174,"&gt;0",S$4:$S174,"SW")/COUNTIF(S$4:$S174,"SW")),#N/A))</f>
        <v>#N/A</v>
      </c>
      <c r="BP174" s="489">
        <f>IF($J174="",#N/A,IF($S174="DWN",(COUNTIFS($K$4:$K174,"&lt;0",$S$4:$S174,"DWN")/COUNTIF($S$4:$S174,"DWN")),#N/A))</f>
        <v>0.5714285714285714</v>
      </c>
      <c r="BQ174" s="489" t="e">
        <f>IF($J174="",#N/A,IF($S174="UP",(COUNTIFS($K$4:$K174,"&gt;0",$S$4:$S174,"UP")/COUNTIF($S$4:$S174,"UP")),#N/A))</f>
        <v>#N/A</v>
      </c>
      <c r="BR174" s="489">
        <f>IF(J174="",#N/A,COUNTIF($K$4:K174,"&gt;0")/COUNT($J$4:J174))</f>
        <v>0.45614035087719296</v>
      </c>
      <c r="BS174" s="65" t="str">
        <f t="shared" si="247"/>
        <v/>
      </c>
      <c r="BT174" s="65" t="str">
        <f t="shared" si="248"/>
        <v/>
      </c>
      <c r="BU174" s="65">
        <f t="shared" si="249"/>
        <v>0.46950429765689455</v>
      </c>
      <c r="BV174" s="65" t="str">
        <f t="shared" si="250"/>
        <v/>
      </c>
      <c r="BW174" s="128" t="str">
        <f t="shared" si="251"/>
        <v/>
      </c>
      <c r="BX174" s="128">
        <f>IF($J174="",#N/A,SUM($BW$4:BW174))</f>
        <v>-205.1650000000003</v>
      </c>
      <c r="BY174" s="131">
        <f t="shared" si="252"/>
        <v>28.710000000000036</v>
      </c>
      <c r="BZ174" s="131">
        <f>IF($J174="",#N/A,SUM($BY$4:BY174))</f>
        <v>268.83434038933376</v>
      </c>
      <c r="CA174" s="133" t="str">
        <f t="shared" si="253"/>
        <v/>
      </c>
      <c r="CB174" s="133">
        <f>IF($J174="",#N/A,SUM($CA$4:CA174))</f>
        <v>-35.552976288720487</v>
      </c>
      <c r="CC174" s="194" t="str">
        <f t="shared" si="254"/>
        <v/>
      </c>
      <c r="CD174" s="194">
        <f>IF($J174="",#N/A,SUM($CC$4:CC174))</f>
        <v>-3.1875162177003693</v>
      </c>
      <c r="CE174" s="195">
        <f t="shared" si="255"/>
        <v>0.46950429765689455</v>
      </c>
      <c r="CF174" s="195">
        <f>IF($J174="",#N/A,SUM($CE$4:CE174))</f>
        <v>5.1559656447513582</v>
      </c>
      <c r="CG174" s="196" t="str">
        <f t="shared" si="256"/>
        <v/>
      </c>
      <c r="CH174" s="196">
        <f>IF($J174="",#N/A,SUM($CG$4:CG174))</f>
        <v>1.8937939631857208</v>
      </c>
      <c r="CI174" s="200" t="str">
        <f t="shared" si="257"/>
        <v/>
      </c>
      <c r="CJ174" s="203">
        <f>IF($J174="",#N/A,SUM(CI$4:CI174))</f>
        <v>0</v>
      </c>
      <c r="CK174" s="204" t="str">
        <f t="shared" si="258"/>
        <v/>
      </c>
      <c r="CL174" s="204">
        <f>IF($J174="",#N/A,SUM(CK$4:CK174))</f>
        <v>1.9927003554442289</v>
      </c>
      <c r="CM174" s="205" t="str">
        <f t="shared" si="259"/>
        <v/>
      </c>
      <c r="CN174" s="205">
        <f>IF($J174="",#N/A,SUM(CM$4:CM174))</f>
        <v>3.3861132786295873</v>
      </c>
      <c r="CO174" s="205">
        <f>IF($J174="",#N/A,SUM(CM$4:CM174,CK$4:CK174,CI$4:CI174))</f>
        <v>5.3788136340738166</v>
      </c>
      <c r="CP174" s="200" t="str">
        <f t="shared" si="260"/>
        <v/>
      </c>
      <c r="CQ174" s="203">
        <f>IF($J174="",#N/A,SUM(CP$4:CP174))</f>
        <v>0</v>
      </c>
      <c r="CR174" s="204" t="str">
        <f t="shared" si="261"/>
        <v/>
      </c>
      <c r="CS174" s="204">
        <f>IF($J174="",#N/A,SUM(CR$4:CR174))</f>
        <v>2.420242024202421</v>
      </c>
      <c r="CT174" s="205" t="str">
        <f t="shared" si="262"/>
        <v/>
      </c>
      <c r="CU174" s="205">
        <f>IF($J174="",#N/A,SUM(CT$4:CT174))</f>
        <v>-1.6961777431035243</v>
      </c>
      <c r="CV174" s="205">
        <f>IF($J174="",#N/A,SUM(CT$4:CT174,CR$4:CR174,CP$4:CP174))</f>
        <v>0.72406428109889664</v>
      </c>
      <c r="CW174" s="200" t="str">
        <f t="shared" si="263"/>
        <v/>
      </c>
      <c r="CX174" s="203">
        <f>IF($J174="",#N/A,SUM(CW$4:CW174))</f>
        <v>0</v>
      </c>
      <c r="CY174" s="204" t="str">
        <f t="shared" si="264"/>
        <v/>
      </c>
      <c r="CZ174" s="204">
        <f>IF($J174="",#N/A,SUM(CY$4:CY174))</f>
        <v>-1.9289529100071134</v>
      </c>
      <c r="DA174" s="205" t="str">
        <f t="shared" si="265"/>
        <v/>
      </c>
      <c r="DB174" s="205">
        <f>IF($J174="",#N/A,SUM(DA$4:DA174))</f>
        <v>-1.2504388487677423</v>
      </c>
      <c r="DC174" s="205">
        <f>IF($J174="",#N/A,SUM(DA$4:DA174,CY$4:CY174,CW$4:CW174))</f>
        <v>-3.1793917587748557</v>
      </c>
      <c r="DD174" s="200" t="str">
        <f t="shared" si="266"/>
        <v/>
      </c>
      <c r="DE174" s="203">
        <f>IF($J174="",#N/A,SUM(DD$4:DD174))</f>
        <v>0.14968716170674062</v>
      </c>
      <c r="DF174" s="204" t="str">
        <f t="shared" si="267"/>
        <v/>
      </c>
      <c r="DG174" s="204">
        <f>IF($J174="",#N/A,SUM(DF$4:DF174))</f>
        <v>1.2121188689979676</v>
      </c>
      <c r="DH174" s="205" t="str">
        <f t="shared" si="268"/>
        <v/>
      </c>
      <c r="DI174" s="205">
        <f>IF($J174="",#N/A,SUM(DH$4:DH174))</f>
        <v>-0.8404015973735236</v>
      </c>
      <c r="DJ174" s="205">
        <f>IF($J174="",#N/A,SUM(DH$4:DH174,DF$4:DF174,DD$4:DD174))</f>
        <v>0.52140443333118447</v>
      </c>
      <c r="DK174" s="200" t="str">
        <f t="shared" si="269"/>
        <v/>
      </c>
      <c r="DL174" s="203">
        <f>IF($J174="",#N/A,SUM(DK$4:DK174))</f>
        <v>-1.2097286851272664</v>
      </c>
      <c r="DM174" s="204" t="str">
        <f t="shared" si="270"/>
        <v/>
      </c>
      <c r="DN174" s="204">
        <f>IF($J174="",#N/A,SUM(DM$4:DM174))</f>
        <v>1.1910608267574658</v>
      </c>
      <c r="DO174" s="205" t="str">
        <f t="shared" si="271"/>
        <v/>
      </c>
      <c r="DP174" s="205">
        <f>IF($J174="",#N/A,SUM(DO$4:DO174))</f>
        <v>1.3495058802125319</v>
      </c>
      <c r="DQ174" s="205">
        <f>IF($J174="",#N/A,SUM(DO$4:DO174,DM$4:DM174,DK$4:DK174))</f>
        <v>1.3308380218427318</v>
      </c>
      <c r="DR174" s="200" t="str">
        <f t="shared" si="272"/>
        <v/>
      </c>
      <c r="DS174" s="203">
        <f>IF($J174="",#N/A,SUM(DR$4:DR174))</f>
        <v>-0.55950946427675097</v>
      </c>
      <c r="DT174" s="204" t="str">
        <f t="shared" si="273"/>
        <v/>
      </c>
      <c r="DU174" s="204">
        <f>IF($J174="",#N/A,SUM(DT$4:DT174))</f>
        <v>-3.5029740333397914</v>
      </c>
      <c r="DV174" s="205" t="str">
        <f t="shared" si="274"/>
        <v/>
      </c>
      <c r="DW174" s="205">
        <f>IF($J174="",#N/A,SUM(DV$4:DV174))</f>
        <v>-1.8527424265931112</v>
      </c>
      <c r="DX174" s="205">
        <f>IF($J174="",#N/A,SUM(DV$4:DV174,DT$4:DT174,DR$4:DR174))</f>
        <v>-5.9152259242096532</v>
      </c>
      <c r="DY174" s="200" t="str">
        <f t="shared" si="275"/>
        <v/>
      </c>
      <c r="DZ174" s="203">
        <f>IF($J174="",#N/A,SUM(DY$4:DY174))</f>
        <v>-1.63480022183437</v>
      </c>
      <c r="EA174" s="204">
        <f t="shared" si="276"/>
        <v>0.46950429765689455</v>
      </c>
      <c r="EB174" s="204">
        <f>IF($J174="",#N/A,SUM(EA$4:EA174))</f>
        <v>0.26249327033369896</v>
      </c>
      <c r="EC174" s="205" t="str">
        <f t="shared" si="277"/>
        <v/>
      </c>
      <c r="ED174" s="205">
        <f>IF($J174="",#N/A,SUM(EC$4:EC174))</f>
        <v>2.4515280577205139</v>
      </c>
      <c r="EE174" s="205">
        <f>IF($J174="",#N/A,SUM(EC$4:EC174,EA$4:EA174,DY$4:DY174))</f>
        <v>1.0792211062198425</v>
      </c>
      <c r="EF174" s="200" t="str">
        <f t="shared" si="278"/>
        <v/>
      </c>
      <c r="EG174" s="203">
        <f>IF($J174="",#N/A,SUM(EF$4:EF174))</f>
        <v>0</v>
      </c>
      <c r="EH174" s="204" t="str">
        <f t="shared" si="279"/>
        <v/>
      </c>
      <c r="EI174" s="204">
        <f>IF($J174="",#N/A,SUM(EH$4:EH174))</f>
        <v>-1.1184224685150388</v>
      </c>
      <c r="EJ174" s="205" t="str">
        <f t="shared" si="280"/>
        <v/>
      </c>
      <c r="EK174" s="205">
        <f>IF($J174="",#N/A,SUM(EJ$4:EJ174))</f>
        <v>2.804966392787259</v>
      </c>
      <c r="EL174" s="205">
        <f>IF($J174="",#N/A,SUM(EJ$4:EJ174,EH$4:EH174,EF$4:EF174))</f>
        <v>1.6865439242722209</v>
      </c>
      <c r="EM174" s="200" t="str">
        <f t="shared" si="281"/>
        <v/>
      </c>
      <c r="EN174" s="203">
        <f>IF($J174="",#N/A,SUM(EM$4:EM174))</f>
        <v>0</v>
      </c>
      <c r="EO174" s="204" t="str">
        <f t="shared" si="282"/>
        <v/>
      </c>
      <c r="EP174" s="204">
        <f>IF($J174="",#N/A,SUM(EO$4:EO174))</f>
        <v>2.5139292856891995</v>
      </c>
      <c r="EQ174" s="205" t="str">
        <f t="shared" si="283"/>
        <v/>
      </c>
      <c r="ER174" s="205">
        <f>IF($J174="",#N/A,SUM(EQ$4:EQ174))</f>
        <v>1.5025175479314647</v>
      </c>
      <c r="ES174" s="205">
        <f>IF($J174="",#N/A,SUM(EQ$4:EQ174,EO$4:EO174,EM$4:EM174))</f>
        <v>4.0164468336206633</v>
      </c>
      <c r="ET174" s="200" t="str">
        <f t="shared" si="284"/>
        <v/>
      </c>
      <c r="EU174" s="203">
        <f>IF($J174="",#N/A,SUM(ET$4:ET174))</f>
        <v>0</v>
      </c>
      <c r="EV174" s="204" t="str">
        <f t="shared" si="285"/>
        <v/>
      </c>
      <c r="EW174" s="204">
        <f>IF($J174="",#N/A,SUM(EV$4:EV174))</f>
        <v>0.90459527759708336</v>
      </c>
      <c r="EX174" s="205" t="str">
        <f t="shared" si="286"/>
        <v/>
      </c>
      <c r="EY174" s="205">
        <f>IF($J174="",#N/A,SUM(EX$4:EX174))</f>
        <v>0.22957553748493481</v>
      </c>
      <c r="EZ174" s="205">
        <f>IF($J174="",#N/A,SUM(EX$4:EX174,EV$4:EV174,ET$4:ET174))</f>
        <v>1.134170815082018</v>
      </c>
      <c r="FA174" s="200" t="str">
        <f t="shared" si="287"/>
        <v/>
      </c>
      <c r="FB174" s="203">
        <f>IF($J174="",#N/A,SUM(FA$4:FA174))</f>
        <v>0</v>
      </c>
      <c r="FC174" s="204" t="str">
        <f t="shared" si="288"/>
        <v/>
      </c>
      <c r="FD174" s="204">
        <f>IF($J174="",#N/A,SUM(FC$4:FC174))</f>
        <v>1.6839191319663924</v>
      </c>
      <c r="FE174" s="205" t="str">
        <f t="shared" si="289"/>
        <v/>
      </c>
      <c r="FF174" s="205">
        <f>IF($J174="",#N/A,SUM(FE$4:FE174))</f>
        <v>-0.28811149078748233</v>
      </c>
      <c r="FG174" s="205">
        <f>IF($J174="",#N/A,SUM(FE$4:FE174,FC$4:FC174,FA$4:FA174))</f>
        <v>1.3958076411789102</v>
      </c>
      <c r="FH174" s="200" t="str">
        <f t="shared" si="290"/>
        <v/>
      </c>
      <c r="FI174" s="203">
        <f>IF($J174="",#N/A,SUM(FH$4:FH174))</f>
        <v>0</v>
      </c>
      <c r="FJ174" s="204" t="str">
        <f t="shared" si="291"/>
        <v/>
      </c>
      <c r="FK174" s="204">
        <f>IF($J174="",#N/A,SUM(FJ$4:FJ174))</f>
        <v>0</v>
      </c>
      <c r="FL174" s="205" t="str">
        <f t="shared" si="292"/>
        <v/>
      </c>
      <c r="FM174" s="205">
        <f>IF($J174="",#N/A,SUM(FL$4:FL174))</f>
        <v>0</v>
      </c>
      <c r="FN174" s="205">
        <f>IF($J174="",#N/A,SUM(FL$4:FL174,FJ$4:FJ174,FH$4:FH174))</f>
        <v>0</v>
      </c>
      <c r="FO174" s="200" t="str">
        <f t="shared" si="293"/>
        <v/>
      </c>
      <c r="FP174" s="203">
        <f>IF($J174="",#N/A,SUM(FO$4:FO174))</f>
        <v>0</v>
      </c>
      <c r="FQ174" s="204" t="str">
        <f t="shared" si="294"/>
        <v/>
      </c>
      <c r="FR174" s="204">
        <f>IF($J174="",#N/A,SUM(FQ$4:FQ174))</f>
        <v>0</v>
      </c>
      <c r="FS174" s="205" t="str">
        <f t="shared" si="295"/>
        <v/>
      </c>
      <c r="FT174" s="205">
        <f>IF($J174="",#N/A,SUM(FS$4:FS174))</f>
        <v>0</v>
      </c>
      <c r="FU174" s="205">
        <f>IF($J174="",#N/A,SUM(FS$4:FS174,FQ$4:FQ174,FO$4:FO174))</f>
        <v>0</v>
      </c>
      <c r="FV174" s="200" t="str">
        <f t="shared" si="296"/>
        <v/>
      </c>
      <c r="FW174" s="203">
        <f>IF($J174="",#N/A,SUM(FV$4:FV174))</f>
        <v>6.6834991831277585E-2</v>
      </c>
      <c r="FX174" s="204" t="str">
        <f t="shared" si="297"/>
        <v/>
      </c>
      <c r="FY174" s="204">
        <f>IF($J174="",#N/A,SUM(FX$4:FX174))</f>
        <v>0</v>
      </c>
      <c r="FZ174" s="205" t="str">
        <f t="shared" si="298"/>
        <v/>
      </c>
      <c r="GA174" s="205">
        <f>IF($J174="",#N/A,SUM(FZ$4:FZ174))</f>
        <v>-0.96570439723286938</v>
      </c>
      <c r="GB174" s="205">
        <f>IF($J174="",#N/A,SUM(FZ$4:FZ174,FX$4:FX174,FV$4:FV174))</f>
        <v>-0.89886940540159177</v>
      </c>
      <c r="GC174" s="200" t="str">
        <f t="shared" si="299"/>
        <v/>
      </c>
      <c r="GD174" s="203">
        <f>IF($J174="",#N/A,SUM(GC$4:GC174))</f>
        <v>0</v>
      </c>
      <c r="GE174" s="204" t="str">
        <f t="shared" si="300"/>
        <v/>
      </c>
      <c r="GF174" s="204">
        <f>IF($J174="",#N/A,SUM(GE$4:GE174))</f>
        <v>0</v>
      </c>
      <c r="GG174" s="205" t="str">
        <f t="shared" si="301"/>
        <v/>
      </c>
      <c r="GH174" s="205">
        <f>IF($J174="",#N/A,SUM(GG$4:GG174))</f>
        <v>-2.9368362277223206</v>
      </c>
      <c r="GI174" s="205">
        <f>IF($J174="",#N/A,SUM(GG$4:GG174,GE$4:GE174,GC$4:GC174))</f>
        <v>-2.9368362277223206</v>
      </c>
      <c r="GJ174" s="200" t="str">
        <f t="shared" si="302"/>
        <v/>
      </c>
      <c r="GK174" s="203">
        <f>IF($J174="",#N/A,SUM(GJ$4:GJ174))</f>
        <v>0</v>
      </c>
      <c r="GL174" s="204" t="str">
        <f t="shared" si="303"/>
        <v/>
      </c>
      <c r="GM174" s="204">
        <f>IF($J174="",#N/A,SUM(GL$4:GL174))</f>
        <v>-0.80168930905701452</v>
      </c>
      <c r="GN174" s="205" t="str">
        <f t="shared" si="304"/>
        <v/>
      </c>
      <c r="GO174" s="205">
        <f>IF($J174="",#N/A,SUM(GN$4:GN174))</f>
        <v>0</v>
      </c>
      <c r="GP174" s="205">
        <f>IF($J174="",#N/A,SUM(GN$4:GN174,GL$4:GL174,GJ$4:GJ174))</f>
        <v>-0.80168930905701452</v>
      </c>
      <c r="GS174" s="54">
        <f t="shared" si="323"/>
        <v>0.46950429765689455</v>
      </c>
      <c r="GT174" s="54">
        <f>IF(GS174="",NA(),SUM($GS$4:GS174))</f>
        <v>1.2083132192671571</v>
      </c>
      <c r="GU174" s="54" t="str">
        <f t="shared" si="305"/>
        <v/>
      </c>
      <c r="GV174" s="54" t="e">
        <f>IF(GU174="",NA(),SUM($GU$4:GU174))</f>
        <v>#N/A</v>
      </c>
      <c r="GW174" s="54" t="str">
        <f t="shared" si="306"/>
        <v/>
      </c>
      <c r="GX174" s="54" t="e">
        <f>IF(GW174="",NA(),SUM($GW$4:GW174))</f>
        <v>#N/A</v>
      </c>
      <c r="GY174" s="54">
        <f t="shared" si="307"/>
        <v>0.46950429765689455</v>
      </c>
      <c r="GZ174" s="54">
        <f>IF(GY174="",NA(),SUM($GY$4:GY174))</f>
        <v>2.1820889678479936</v>
      </c>
      <c r="HA174" s="54" t="str">
        <f t="shared" si="308"/>
        <v/>
      </c>
      <c r="HB174" s="54" t="e">
        <f>IF(HA174="",NA(),SUM($HA$4:HA174))</f>
        <v>#N/A</v>
      </c>
      <c r="HC174" s="54" t="str">
        <f t="shared" si="309"/>
        <v/>
      </c>
      <c r="HD174" s="54" t="e">
        <f>IF(HC174="",NA(),SUM($HC$4:HC174))</f>
        <v>#N/A</v>
      </c>
      <c r="HE174" s="54" t="str">
        <f t="shared" si="310"/>
        <v/>
      </c>
      <c r="HF174" s="54" t="e">
        <f>IF(HE174="",NA(),SUM($HE$4:HE174))</f>
        <v>#N/A</v>
      </c>
      <c r="HG174" s="54" t="str">
        <f t="shared" si="311"/>
        <v/>
      </c>
      <c r="HH174" s="54" t="e">
        <f>IF(HG174="",NA(),SUM($HG$4:HG174))</f>
        <v>#N/A</v>
      </c>
      <c r="HI174" s="172">
        <f t="shared" si="324"/>
        <v>-0.63728953255622511</v>
      </c>
      <c r="HJ174" s="172">
        <f>IF($J174="",#N/A,SUM(HI$4:$HI174))</f>
        <v>-8.2664143194224948</v>
      </c>
      <c r="HK174" s="54" t="str">
        <f t="shared" si="312"/>
        <v/>
      </c>
      <c r="HL174" s="54">
        <f>IF($J174="",#N/A,SUM($HK$4:HK174))</f>
        <v>-6.0636907107074549</v>
      </c>
      <c r="HM174" s="54" t="str">
        <f t="shared" si="313"/>
        <v/>
      </c>
      <c r="HN174" s="54">
        <f>IF($J174="",#N/A,SUM($HM$4:HM174))</f>
        <v>0.71812545963587882</v>
      </c>
      <c r="HO174" s="54" t="str">
        <f t="shared" si="314"/>
        <v/>
      </c>
      <c r="HP174" s="54">
        <f>IF($J174="",#N/A,SUM($HO$4:HO174))</f>
        <v>-0.14859521910082485</v>
      </c>
      <c r="HQ174" s="54" t="str">
        <f t="shared" si="315"/>
        <v/>
      </c>
      <c r="HR174" s="54">
        <f>IF($J174="",#N/A,SUM($HQ$4:HQ174))</f>
        <v>-9.2744671295951253</v>
      </c>
      <c r="HS174" s="54" t="str">
        <f t="shared" si="316"/>
        <v/>
      </c>
      <c r="HT174" s="54">
        <f>IF($J174="",#N/A,SUM($HS$4:HS174))</f>
        <v>12.923318029960848</v>
      </c>
      <c r="HU174" s="65">
        <f t="shared" si="317"/>
        <v>-0.16778523489933059</v>
      </c>
      <c r="HV174" s="65">
        <f>IF($J174="",#N/A,SUM(HU$4:$HU174))</f>
        <v>-6.2494804989924724</v>
      </c>
    </row>
    <row r="175" spans="1:230" x14ac:dyDescent="0.25">
      <c r="A175" s="51" t="s">
        <v>1431</v>
      </c>
      <c r="B175" s="52" t="s">
        <v>4542</v>
      </c>
      <c r="C175" s="229">
        <f t="shared" si="218"/>
        <v>3</v>
      </c>
      <c r="D175" s="219" t="str">
        <f>_xlfn.XLOOKUP(A175,[1]SP500!$A$2:$A$502,[1]SP500!$D$2:$D$502,"N")</f>
        <v>Y</v>
      </c>
      <c r="E175" s="51" t="str">
        <f>IFERROR(_xlfn.XLOOKUP(A175,[1]SP500!$A$2:$A$655,[1]SP500!$B$2:$B$655),"")</f>
        <v>XLY</v>
      </c>
      <c r="F175" s="290">
        <v>45777</v>
      </c>
      <c r="G175" s="51" t="str">
        <f t="shared" si="219"/>
        <v>BMO</v>
      </c>
      <c r="H175" s="51" t="str">
        <f t="shared" si="220"/>
        <v>s</v>
      </c>
      <c r="I175" s="343">
        <v>204.1</v>
      </c>
      <c r="J175" s="124">
        <v>185.98</v>
      </c>
      <c r="K175" s="55">
        <f t="shared" si="221"/>
        <v>-8.8780009799118098E-2</v>
      </c>
      <c r="L175" s="67">
        <f t="shared" si="222"/>
        <v>-90.600000000000023</v>
      </c>
      <c r="M175" s="57">
        <f t="shared" si="223"/>
        <v>-28.399999999999977</v>
      </c>
      <c r="N175" s="102">
        <f t="shared" si="224"/>
        <v>-90.600000000000023</v>
      </c>
      <c r="O175" s="57">
        <f>IF(N175="",#N/A,SUM($N$4:N175))</f>
        <v>-62.483635899387053</v>
      </c>
      <c r="P175" s="65">
        <f t="shared" si="318"/>
        <v>-1.4796668299853017</v>
      </c>
      <c r="Q175" s="172">
        <f>IF($N175="",#N/A,SUM($P$4:P175))</f>
        <v>2.382576560251402</v>
      </c>
      <c r="R175" s="279">
        <f t="shared" si="225"/>
        <v>4.3707502854493825</v>
      </c>
      <c r="S175" s="51" t="str">
        <f t="shared" si="226"/>
        <v>SW</v>
      </c>
      <c r="T175" s="51" t="s">
        <v>2828</v>
      </c>
      <c r="U175" s="56">
        <f t="shared" si="227"/>
        <v>204.1</v>
      </c>
      <c r="V175" s="56" t="s">
        <v>4460</v>
      </c>
      <c r="W175" s="142">
        <v>5</v>
      </c>
      <c r="X175" s="145">
        <f t="shared" si="228"/>
        <v>1020.5</v>
      </c>
      <c r="Y175" s="140">
        <f t="shared" si="229"/>
        <v>5</v>
      </c>
      <c r="Z175" s="123">
        <v>180.3</v>
      </c>
      <c r="AA175" s="102">
        <f t="shared" si="230"/>
        <v>-119</v>
      </c>
      <c r="AB175" s="102">
        <f t="shared" si="231"/>
        <v>-86.149999999999977</v>
      </c>
      <c r="AC175" s="124">
        <v>186.87</v>
      </c>
      <c r="AD175" s="155">
        <f t="shared" si="232"/>
        <v>-86.149999999999977</v>
      </c>
      <c r="AE175" s="545">
        <f t="shared" si="233"/>
        <v>-1.4069900375632858</v>
      </c>
      <c r="AF175" s="57">
        <f>IF($AC175="",#N/A,SUM(AD$4:AD175))</f>
        <v>-572.42041200241624</v>
      </c>
      <c r="AG175" s="102">
        <f t="shared" si="234"/>
        <v>4.4500000000000455</v>
      </c>
      <c r="AH175" s="56" t="s">
        <v>2507</v>
      </c>
      <c r="AI175" s="65">
        <f t="shared" si="235"/>
        <v>-1.9434917524089499</v>
      </c>
      <c r="AJ175" s="350">
        <f>IF(AI175="",#N/A,SUM($AI$4:AI175))</f>
        <v>-1.9881737251979805</v>
      </c>
      <c r="AK175" s="57">
        <f t="shared" si="236"/>
        <v>-119</v>
      </c>
      <c r="AL175" s="349">
        <f>IF(AI175="",#N/A,IF(AH175="Skip",SUM($AK$4:AK175),SUM($AK$4:AK175)))</f>
        <v>-353.85740850718639</v>
      </c>
      <c r="AM175" s="65">
        <f t="shared" si="319"/>
        <v>-1.4069900375632858</v>
      </c>
      <c r="AN175" s="209"/>
      <c r="AO175" s="65">
        <f t="shared" si="237"/>
        <v>-1.4069900375632858</v>
      </c>
      <c r="AP175" s="65">
        <f>IF($AC175="",#N/A,SUM(AO$4:AO175))</f>
        <v>4.1356548259881496</v>
      </c>
      <c r="AQ175" s="65" t="str">
        <f t="shared" si="238"/>
        <v/>
      </c>
      <c r="AR175" s="65">
        <f>IF($AC175="",#N/A,SUM(AQ$4:AQ175))</f>
        <v>-2.6179859771653153</v>
      </c>
      <c r="AS175" s="65" t="str">
        <f t="shared" si="239"/>
        <v/>
      </c>
      <c r="AT175" s="65">
        <f>IF($AC175="",#N/A,SUM(AS$4:AS175))</f>
        <v>-9.1741393853785969</v>
      </c>
      <c r="AU175" s="57">
        <f t="shared" si="320"/>
        <v>-86.149999999999977</v>
      </c>
      <c r="AV175" s="57">
        <f>IF($AC175="",#N/A,SUM(AU$4:AU175))</f>
        <v>161.08120645125089</v>
      </c>
      <c r="AW175" s="57" t="str">
        <f t="shared" si="321"/>
        <v/>
      </c>
      <c r="AX175" s="57">
        <f>IF($AC175="",#N/A,SUM(AW$4:AW175))</f>
        <v>-163.1400000000001</v>
      </c>
      <c r="AY175" s="57" t="str">
        <f t="shared" si="322"/>
        <v/>
      </c>
      <c r="AZ175" s="57">
        <f>IF($AC175="",#N/A,SUM(AY$4:AY175))</f>
        <v>-570.36161845366701</v>
      </c>
      <c r="BA175" s="57">
        <f>IF(AD175="",#N/A,SUM($AD$4:AD175))</f>
        <v>-572.42041200241624</v>
      </c>
      <c r="BC175" s="51" t="str">
        <f t="shared" si="240"/>
        <v/>
      </c>
      <c r="BD175" s="51" t="str">
        <f t="shared" si="241"/>
        <v/>
      </c>
      <c r="BE175" s="51" t="str">
        <f t="shared" si="242"/>
        <v/>
      </c>
      <c r="BF175" s="51" t="str">
        <f t="shared" si="243"/>
        <v>Long</v>
      </c>
      <c r="BG175" s="51" t="str">
        <f t="shared" si="244"/>
        <v/>
      </c>
      <c r="BH175" s="51" t="str">
        <f t="shared" si="245"/>
        <v/>
      </c>
      <c r="BI175" s="51">
        <f t="shared" si="246"/>
        <v>1</v>
      </c>
      <c r="BK175" s="65">
        <f t="shared" si="217"/>
        <v>0.10343852239658419</v>
      </c>
      <c r="BL175" s="65">
        <f t="shared" si="325"/>
        <v>0.2302496404617326</v>
      </c>
      <c r="BM175" s="65">
        <f>IFERROR(Q175/COUNTA($J$4:J175),#N/A)</f>
        <v>1.385218930378722E-2</v>
      </c>
      <c r="BO175" s="489">
        <f>IF(J175="",#N/A,IF(S175="SW",(COUNTIFS(K$4:$K175,"&gt;0",S$4:$S175,"SW")/COUNTIF(S$4:$S175,"SW")),#N/A))</f>
        <v>0.47872340425531917</v>
      </c>
      <c r="BP175" s="489" t="e">
        <f>IF($J175="",#N/A,IF($S175="DWN",(COUNTIFS($K$4:$K175,"&lt;0",$S$4:$S175,"DWN")/COUNTIF($S$4:$S175,"DWN")),#N/A))</f>
        <v>#N/A</v>
      </c>
      <c r="BQ175" s="489" t="e">
        <f>IF($J175="",#N/A,IF($S175="UP",(COUNTIFS($K$4:$K175,"&gt;0",$S$4:$S175,"UP")/COUNTIF($S$4:$S175,"UP")),#N/A))</f>
        <v>#N/A</v>
      </c>
      <c r="BR175" s="489">
        <f>IF(J175="",#N/A,COUNTIF($K$4:K175,"&gt;0")/COUNT($J$4:J175))</f>
        <v>0.45348837209302323</v>
      </c>
      <c r="BS175" s="65" t="str">
        <f t="shared" si="247"/>
        <v/>
      </c>
      <c r="BT175" s="65">
        <f t="shared" si="248"/>
        <v>-1.4796668299853017</v>
      </c>
      <c r="BU175" s="65" t="str">
        <f t="shared" si="249"/>
        <v/>
      </c>
      <c r="BV175" s="65" t="str">
        <f t="shared" si="250"/>
        <v/>
      </c>
      <c r="BW175" s="128" t="str">
        <f t="shared" si="251"/>
        <v/>
      </c>
      <c r="BX175" s="128">
        <f>IF($J175="",#N/A,SUM($BW$4:BW175))</f>
        <v>-205.1650000000003</v>
      </c>
      <c r="BY175" s="131" t="str">
        <f t="shared" si="252"/>
        <v/>
      </c>
      <c r="BZ175" s="131">
        <f>IF($J175="",#N/A,SUM($BY$4:BY175))</f>
        <v>268.83434038933376</v>
      </c>
      <c r="CA175" s="133">
        <f t="shared" si="253"/>
        <v>-90.600000000000023</v>
      </c>
      <c r="CB175" s="133">
        <f>IF($J175="",#N/A,SUM($CA$4:CA175))</f>
        <v>-126.15297628872051</v>
      </c>
      <c r="CC175" s="194" t="str">
        <f t="shared" si="254"/>
        <v/>
      </c>
      <c r="CD175" s="194">
        <f>IF($J175="",#N/A,SUM($CC$4:CC175))</f>
        <v>-3.1875162177003693</v>
      </c>
      <c r="CE175" s="195" t="str">
        <f t="shared" si="255"/>
        <v/>
      </c>
      <c r="CF175" s="195">
        <f>IF($J175="",#N/A,SUM($CE$4:CE175))</f>
        <v>5.1559656447513582</v>
      </c>
      <c r="CG175" s="196">
        <f t="shared" si="256"/>
        <v>-1.4796668299853017</v>
      </c>
      <c r="CH175" s="196">
        <f>IF($J175="",#N/A,SUM($CG$4:CG175))</f>
        <v>0.41412713320041905</v>
      </c>
      <c r="CI175" s="200" t="str">
        <f t="shared" si="257"/>
        <v/>
      </c>
      <c r="CJ175" s="203">
        <f>IF($J175="",#N/A,SUM(CI$4:CI175))</f>
        <v>0</v>
      </c>
      <c r="CK175" s="204" t="str">
        <f t="shared" si="258"/>
        <v/>
      </c>
      <c r="CL175" s="204">
        <f>IF($J175="",#N/A,SUM(CK$4:CK175))</f>
        <v>1.9927003554442289</v>
      </c>
      <c r="CM175" s="205" t="str">
        <f t="shared" si="259"/>
        <v/>
      </c>
      <c r="CN175" s="205">
        <f>IF($J175="",#N/A,SUM(CM$4:CM175))</f>
        <v>3.3861132786295873</v>
      </c>
      <c r="CO175" s="205">
        <f>IF($J175="",#N/A,SUM(CM$4:CM175,CK$4:CK175,CI$4:CI175))</f>
        <v>5.3788136340738166</v>
      </c>
      <c r="CP175" s="200" t="str">
        <f t="shared" si="260"/>
        <v/>
      </c>
      <c r="CQ175" s="203">
        <f>IF($J175="",#N/A,SUM(CP$4:CP175))</f>
        <v>0</v>
      </c>
      <c r="CR175" s="204" t="str">
        <f t="shared" si="261"/>
        <v/>
      </c>
      <c r="CS175" s="204">
        <f>IF($J175="",#N/A,SUM(CR$4:CR175))</f>
        <v>2.420242024202421</v>
      </c>
      <c r="CT175" s="205" t="str">
        <f t="shared" si="262"/>
        <v/>
      </c>
      <c r="CU175" s="205">
        <f>IF($J175="",#N/A,SUM(CT$4:CT175))</f>
        <v>-1.6961777431035243</v>
      </c>
      <c r="CV175" s="205">
        <f>IF($J175="",#N/A,SUM(CT$4:CT175,CR$4:CR175,CP$4:CP175))</f>
        <v>0.72406428109889664</v>
      </c>
      <c r="CW175" s="200" t="str">
        <f t="shared" si="263"/>
        <v/>
      </c>
      <c r="CX175" s="203">
        <f>IF($J175="",#N/A,SUM(CW$4:CW175))</f>
        <v>0</v>
      </c>
      <c r="CY175" s="204" t="str">
        <f t="shared" si="264"/>
        <v/>
      </c>
      <c r="CZ175" s="204">
        <f>IF($J175="",#N/A,SUM(CY$4:CY175))</f>
        <v>-1.9289529100071134</v>
      </c>
      <c r="DA175" s="205">
        <f t="shared" si="265"/>
        <v>-1.4796668299853017</v>
      </c>
      <c r="DB175" s="205">
        <f>IF($J175="",#N/A,SUM(DA$4:DA175))</f>
        <v>-2.730105678753044</v>
      </c>
      <c r="DC175" s="205">
        <f>IF($J175="",#N/A,SUM(DA$4:DA175,CY$4:CY175,CW$4:CW175))</f>
        <v>-4.659058588760157</v>
      </c>
      <c r="DD175" s="200" t="str">
        <f t="shared" si="266"/>
        <v/>
      </c>
      <c r="DE175" s="203">
        <f>IF($J175="",#N/A,SUM(DD$4:DD175))</f>
        <v>0.14968716170674062</v>
      </c>
      <c r="DF175" s="204" t="str">
        <f t="shared" si="267"/>
        <v/>
      </c>
      <c r="DG175" s="204">
        <f>IF($J175="",#N/A,SUM(DF$4:DF175))</f>
        <v>1.2121188689979676</v>
      </c>
      <c r="DH175" s="205" t="str">
        <f t="shared" si="268"/>
        <v/>
      </c>
      <c r="DI175" s="205">
        <f>IF($J175="",#N/A,SUM(DH$4:DH175))</f>
        <v>-0.8404015973735236</v>
      </c>
      <c r="DJ175" s="205">
        <f>IF($J175="",#N/A,SUM(DH$4:DH175,DF$4:DF175,DD$4:DD175))</f>
        <v>0.52140443333118447</v>
      </c>
      <c r="DK175" s="200" t="str">
        <f t="shared" si="269"/>
        <v/>
      </c>
      <c r="DL175" s="203">
        <f>IF($J175="",#N/A,SUM(DK$4:DK175))</f>
        <v>-1.2097286851272664</v>
      </c>
      <c r="DM175" s="204" t="str">
        <f t="shared" si="270"/>
        <v/>
      </c>
      <c r="DN175" s="204">
        <f>IF($J175="",#N/A,SUM(DM$4:DM175))</f>
        <v>1.1910608267574658</v>
      </c>
      <c r="DO175" s="205" t="str">
        <f t="shared" si="271"/>
        <v/>
      </c>
      <c r="DP175" s="205">
        <f>IF($J175="",#N/A,SUM(DO$4:DO175))</f>
        <v>1.3495058802125319</v>
      </c>
      <c r="DQ175" s="205">
        <f>IF($J175="",#N/A,SUM(DO$4:DO175,DM$4:DM175,DK$4:DK175))</f>
        <v>1.3308380218427318</v>
      </c>
      <c r="DR175" s="200" t="str">
        <f t="shared" si="272"/>
        <v/>
      </c>
      <c r="DS175" s="203">
        <f>IF($J175="",#N/A,SUM(DR$4:DR175))</f>
        <v>-0.55950946427675097</v>
      </c>
      <c r="DT175" s="204" t="str">
        <f t="shared" si="273"/>
        <v/>
      </c>
      <c r="DU175" s="204">
        <f>IF($J175="",#N/A,SUM(DT$4:DT175))</f>
        <v>-3.5029740333397914</v>
      </c>
      <c r="DV175" s="205" t="str">
        <f t="shared" si="274"/>
        <v/>
      </c>
      <c r="DW175" s="205">
        <f>IF($J175="",#N/A,SUM(DV$4:DV175))</f>
        <v>-1.8527424265931112</v>
      </c>
      <c r="DX175" s="205">
        <f>IF($J175="",#N/A,SUM(DV$4:DV175,DT$4:DT175,DR$4:DR175))</f>
        <v>-5.9152259242096532</v>
      </c>
      <c r="DY175" s="200" t="str">
        <f t="shared" si="275"/>
        <v/>
      </c>
      <c r="DZ175" s="203">
        <f>IF($J175="",#N/A,SUM(DY$4:DY175))</f>
        <v>-1.63480022183437</v>
      </c>
      <c r="EA175" s="204" t="str">
        <f t="shared" si="276"/>
        <v/>
      </c>
      <c r="EB175" s="204">
        <f>IF($J175="",#N/A,SUM(EA$4:EA175))</f>
        <v>0.26249327033369896</v>
      </c>
      <c r="EC175" s="205" t="str">
        <f t="shared" si="277"/>
        <v/>
      </c>
      <c r="ED175" s="205">
        <f>IF($J175="",#N/A,SUM(EC$4:EC175))</f>
        <v>2.4515280577205139</v>
      </c>
      <c r="EE175" s="205">
        <f>IF($J175="",#N/A,SUM(EC$4:EC175,EA$4:EA175,DY$4:DY175))</f>
        <v>1.0792211062198425</v>
      </c>
      <c r="EF175" s="200" t="str">
        <f t="shared" si="278"/>
        <v/>
      </c>
      <c r="EG175" s="203">
        <f>IF($J175="",#N/A,SUM(EF$4:EF175))</f>
        <v>0</v>
      </c>
      <c r="EH175" s="204" t="str">
        <f t="shared" si="279"/>
        <v/>
      </c>
      <c r="EI175" s="204">
        <f>IF($J175="",#N/A,SUM(EH$4:EH175))</f>
        <v>-1.1184224685150388</v>
      </c>
      <c r="EJ175" s="205" t="str">
        <f t="shared" si="280"/>
        <v/>
      </c>
      <c r="EK175" s="205">
        <f>IF($J175="",#N/A,SUM(EJ$4:EJ175))</f>
        <v>2.804966392787259</v>
      </c>
      <c r="EL175" s="205">
        <f>IF($J175="",#N/A,SUM(EJ$4:EJ175,EH$4:EH175,EF$4:EF175))</f>
        <v>1.6865439242722209</v>
      </c>
      <c r="EM175" s="200" t="str">
        <f t="shared" si="281"/>
        <v/>
      </c>
      <c r="EN175" s="203">
        <f>IF($J175="",#N/A,SUM(EM$4:EM175))</f>
        <v>0</v>
      </c>
      <c r="EO175" s="204" t="str">
        <f t="shared" si="282"/>
        <v/>
      </c>
      <c r="EP175" s="204">
        <f>IF($J175="",#N/A,SUM(EO$4:EO175))</f>
        <v>2.5139292856891995</v>
      </c>
      <c r="EQ175" s="205" t="str">
        <f t="shared" si="283"/>
        <v/>
      </c>
      <c r="ER175" s="205">
        <f>IF($J175="",#N/A,SUM(EQ$4:EQ175))</f>
        <v>1.5025175479314647</v>
      </c>
      <c r="ES175" s="205">
        <f>IF($J175="",#N/A,SUM(EQ$4:EQ175,EO$4:EO175,EM$4:EM175))</f>
        <v>4.0164468336206633</v>
      </c>
      <c r="ET175" s="200" t="str">
        <f t="shared" si="284"/>
        <v/>
      </c>
      <c r="EU175" s="203">
        <f>IF($J175="",#N/A,SUM(ET$4:ET175))</f>
        <v>0</v>
      </c>
      <c r="EV175" s="204" t="str">
        <f t="shared" si="285"/>
        <v/>
      </c>
      <c r="EW175" s="204">
        <f>IF($J175="",#N/A,SUM(EV$4:EV175))</f>
        <v>0.90459527759708336</v>
      </c>
      <c r="EX175" s="205" t="str">
        <f t="shared" si="286"/>
        <v/>
      </c>
      <c r="EY175" s="205">
        <f>IF($J175="",#N/A,SUM(EX$4:EX175))</f>
        <v>0.22957553748493481</v>
      </c>
      <c r="EZ175" s="205">
        <f>IF($J175="",#N/A,SUM(EX$4:EX175,EV$4:EV175,ET$4:ET175))</f>
        <v>1.134170815082018</v>
      </c>
      <c r="FA175" s="200" t="str">
        <f t="shared" si="287"/>
        <v/>
      </c>
      <c r="FB175" s="203">
        <f>IF($J175="",#N/A,SUM(FA$4:FA175))</f>
        <v>0</v>
      </c>
      <c r="FC175" s="204" t="str">
        <f t="shared" si="288"/>
        <v/>
      </c>
      <c r="FD175" s="204">
        <f>IF($J175="",#N/A,SUM(FC$4:FC175))</f>
        <v>1.6839191319663924</v>
      </c>
      <c r="FE175" s="205" t="str">
        <f t="shared" si="289"/>
        <v/>
      </c>
      <c r="FF175" s="205">
        <f>IF($J175="",#N/A,SUM(FE$4:FE175))</f>
        <v>-0.28811149078748233</v>
      </c>
      <c r="FG175" s="205">
        <f>IF($J175="",#N/A,SUM(FE$4:FE175,FC$4:FC175,FA$4:FA175))</f>
        <v>1.3958076411789102</v>
      </c>
      <c r="FH175" s="200" t="str">
        <f t="shared" si="290"/>
        <v/>
      </c>
      <c r="FI175" s="203">
        <f>IF($J175="",#N/A,SUM(FH$4:FH175))</f>
        <v>0</v>
      </c>
      <c r="FJ175" s="204" t="str">
        <f t="shared" si="291"/>
        <v/>
      </c>
      <c r="FK175" s="204">
        <f>IF($J175="",#N/A,SUM(FJ$4:FJ175))</f>
        <v>0</v>
      </c>
      <c r="FL175" s="205" t="str">
        <f t="shared" si="292"/>
        <v/>
      </c>
      <c r="FM175" s="205">
        <f>IF($J175="",#N/A,SUM(FL$4:FL175))</f>
        <v>0</v>
      </c>
      <c r="FN175" s="205">
        <f>IF($J175="",#N/A,SUM(FL$4:FL175,FJ$4:FJ175,FH$4:FH175))</f>
        <v>0</v>
      </c>
      <c r="FO175" s="200" t="str">
        <f t="shared" si="293"/>
        <v/>
      </c>
      <c r="FP175" s="203">
        <f>IF($J175="",#N/A,SUM(FO$4:FO175))</f>
        <v>0</v>
      </c>
      <c r="FQ175" s="204" t="str">
        <f t="shared" si="294"/>
        <v/>
      </c>
      <c r="FR175" s="204">
        <f>IF($J175="",#N/A,SUM(FQ$4:FQ175))</f>
        <v>0</v>
      </c>
      <c r="FS175" s="205" t="str">
        <f t="shared" si="295"/>
        <v/>
      </c>
      <c r="FT175" s="205">
        <f>IF($J175="",#N/A,SUM(FS$4:FS175))</f>
        <v>0</v>
      </c>
      <c r="FU175" s="205">
        <f>IF($J175="",#N/A,SUM(FS$4:FS175,FQ$4:FQ175,FO$4:FO175))</f>
        <v>0</v>
      </c>
      <c r="FV175" s="200" t="str">
        <f t="shared" si="296"/>
        <v/>
      </c>
      <c r="FW175" s="203">
        <f>IF($J175="",#N/A,SUM(FV$4:FV175))</f>
        <v>6.6834991831277585E-2</v>
      </c>
      <c r="FX175" s="204" t="str">
        <f t="shared" si="297"/>
        <v/>
      </c>
      <c r="FY175" s="204">
        <f>IF($J175="",#N/A,SUM(FX$4:FX175))</f>
        <v>0</v>
      </c>
      <c r="FZ175" s="205" t="str">
        <f t="shared" si="298"/>
        <v/>
      </c>
      <c r="GA175" s="205">
        <f>IF($J175="",#N/A,SUM(FZ$4:FZ175))</f>
        <v>-0.96570439723286938</v>
      </c>
      <c r="GB175" s="205">
        <f>IF($J175="",#N/A,SUM(FZ$4:FZ175,FX$4:FX175,FV$4:FV175))</f>
        <v>-0.89886940540159177</v>
      </c>
      <c r="GC175" s="200" t="str">
        <f t="shared" si="299"/>
        <v/>
      </c>
      <c r="GD175" s="203">
        <f>IF($J175="",#N/A,SUM(GC$4:GC175))</f>
        <v>0</v>
      </c>
      <c r="GE175" s="204" t="str">
        <f t="shared" si="300"/>
        <v/>
      </c>
      <c r="GF175" s="204">
        <f>IF($J175="",#N/A,SUM(GE$4:GE175))</f>
        <v>0</v>
      </c>
      <c r="GG175" s="205" t="str">
        <f t="shared" si="301"/>
        <v/>
      </c>
      <c r="GH175" s="205">
        <f>IF($J175="",#N/A,SUM(GG$4:GG175))</f>
        <v>-2.9368362277223206</v>
      </c>
      <c r="GI175" s="205">
        <f>IF($J175="",#N/A,SUM(GG$4:GG175,GE$4:GE175,GC$4:GC175))</f>
        <v>-2.9368362277223206</v>
      </c>
      <c r="GJ175" s="200" t="str">
        <f t="shared" si="302"/>
        <v/>
      </c>
      <c r="GK175" s="203">
        <f>IF($J175="",#N/A,SUM(GJ$4:GJ175))</f>
        <v>0</v>
      </c>
      <c r="GL175" s="204" t="str">
        <f t="shared" si="303"/>
        <v/>
      </c>
      <c r="GM175" s="204">
        <f>IF($J175="",#N/A,SUM(GL$4:GL175))</f>
        <v>-0.80168930905701452</v>
      </c>
      <c r="GN175" s="205" t="str">
        <f t="shared" si="304"/>
        <v/>
      </c>
      <c r="GO175" s="205">
        <f>IF($J175="",#N/A,SUM(GN$4:GN175))</f>
        <v>0</v>
      </c>
      <c r="GP175" s="205">
        <f>IF($J175="",#N/A,SUM(GN$4:GN175,GL$4:GL175,GJ$4:GJ175))</f>
        <v>-0.80168930905701452</v>
      </c>
      <c r="GS175" s="54">
        <f t="shared" si="323"/>
        <v>-1.4796668299853017</v>
      </c>
      <c r="GT175" s="54">
        <f>IF(GS175="",NA(),SUM($GS$4:GS175))</f>
        <v>-0.27135361071814468</v>
      </c>
      <c r="GU175" s="54" t="str">
        <f t="shared" si="305"/>
        <v/>
      </c>
      <c r="GV175" s="54" t="e">
        <f>IF(GU175="",NA(),SUM($GU$4:GU175))</f>
        <v>#N/A</v>
      </c>
      <c r="GW175" s="54">
        <f t="shared" si="306"/>
        <v>-1.4796668299853017</v>
      </c>
      <c r="GX175" s="54">
        <f>IF(GW175="",NA(),SUM($GW$4:GW175))</f>
        <v>0.73407363913423307</v>
      </c>
      <c r="GY175" s="54" t="str">
        <f t="shared" si="307"/>
        <v/>
      </c>
      <c r="GZ175" s="54" t="e">
        <f>IF(GY175="",NA(),SUM($GY$4:GY175))</f>
        <v>#N/A</v>
      </c>
      <c r="HA175" s="54" t="str">
        <f t="shared" si="308"/>
        <v/>
      </c>
      <c r="HB175" s="54" t="e">
        <f>IF(HA175="",NA(),SUM($HA$4:HA175))</f>
        <v>#N/A</v>
      </c>
      <c r="HC175" s="54" t="str">
        <f t="shared" si="309"/>
        <v/>
      </c>
      <c r="HD175" s="54" t="e">
        <f>IF(HC175="",NA(),SUM($HC$4:HC175))</f>
        <v>#N/A</v>
      </c>
      <c r="HE175" s="54" t="str">
        <f t="shared" si="310"/>
        <v/>
      </c>
      <c r="HF175" s="54" t="e">
        <f>IF(HE175="",NA(),SUM($HE$4:HE175))</f>
        <v>#N/A</v>
      </c>
      <c r="HG175" s="54" t="str">
        <f t="shared" si="311"/>
        <v/>
      </c>
      <c r="HH175" s="54" t="e">
        <f>IF(HG175="",NA(),SUM($HG$4:HG175))</f>
        <v>#N/A</v>
      </c>
      <c r="HI175" s="172" t="str">
        <f t="shared" si="324"/>
        <v/>
      </c>
      <c r="HJ175" s="172">
        <f>IF($J175="",#N/A,SUM(HI$4:$HI175))</f>
        <v>-8.2664143194224948</v>
      </c>
      <c r="HK175" s="54" t="str">
        <f t="shared" si="312"/>
        <v/>
      </c>
      <c r="HL175" s="54">
        <f>IF($J175="",#N/A,SUM($HK$4:HK175))</f>
        <v>-6.0636907107074549</v>
      </c>
      <c r="HM175" s="54" t="str">
        <f t="shared" si="313"/>
        <v/>
      </c>
      <c r="HN175" s="54">
        <f>IF($J175="",#N/A,SUM($HM$4:HM175))</f>
        <v>0.71812545963587882</v>
      </c>
      <c r="HO175" s="54" t="str">
        <f t="shared" si="314"/>
        <v/>
      </c>
      <c r="HP175" s="54">
        <f>IF($J175="",#N/A,SUM($HO$4:HO175))</f>
        <v>-0.14859521910082485</v>
      </c>
      <c r="HQ175" s="54" t="str">
        <f t="shared" si="315"/>
        <v/>
      </c>
      <c r="HR175" s="54">
        <f>IF($J175="",#N/A,SUM($HQ$4:HQ175))</f>
        <v>-9.2744671295951253</v>
      </c>
      <c r="HS175" s="54">
        <f t="shared" si="316"/>
        <v>7.2676792422015968E-2</v>
      </c>
      <c r="HT175" s="54">
        <f>IF($J175="",#N/A,SUM($HS$4:HS175))</f>
        <v>12.995994822382864</v>
      </c>
      <c r="HU175" s="65">
        <f t="shared" si="317"/>
        <v>-1.4069900375632858</v>
      </c>
      <c r="HV175" s="65">
        <f>IF($J175="",#N/A,SUM(HU$4:$HU175))</f>
        <v>-7.6564705365557586</v>
      </c>
    </row>
    <row r="176" spans="1:230" x14ac:dyDescent="0.25">
      <c r="A176" s="51" t="s">
        <v>1566</v>
      </c>
      <c r="B176" s="52" t="s">
        <v>4542</v>
      </c>
      <c r="C176" s="229">
        <f t="shared" si="218"/>
        <v>2</v>
      </c>
      <c r="D176" s="219" t="str">
        <f>_xlfn.XLOOKUP(A176,[1]SP500!$A$2:$A$502,[1]SP500!$D$2:$D$502,"N")</f>
        <v>Y</v>
      </c>
      <c r="E176" s="51" t="str">
        <f>IFERROR(_xlfn.XLOOKUP(A176,[1]SP500!$A$2:$A$655,[1]SP500!$B$2:$B$655),"")</f>
        <v>XLI</v>
      </c>
      <c r="F176" s="290">
        <v>45777</v>
      </c>
      <c r="G176" s="51" t="str">
        <f t="shared" si="219"/>
        <v>BMO</v>
      </c>
      <c r="H176" s="51" t="str">
        <f t="shared" si="220"/>
        <v>s</v>
      </c>
      <c r="I176" s="344">
        <v>61.26</v>
      </c>
      <c r="J176" s="123">
        <v>61.28</v>
      </c>
      <c r="K176" s="55">
        <f t="shared" si="221"/>
        <v>3.2647730982701808E-4</v>
      </c>
      <c r="L176" s="67">
        <f t="shared" si="222"/>
        <v>-0.32000000000005002</v>
      </c>
      <c r="M176" s="57">
        <f t="shared" si="223"/>
        <v>0</v>
      </c>
      <c r="N176" s="102">
        <f t="shared" si="224"/>
        <v>-0.32000000000005002</v>
      </c>
      <c r="O176" s="57">
        <f>IF(N176="",#N/A,SUM($N$4:N176))</f>
        <v>-62.803635899387103</v>
      </c>
      <c r="P176" s="65">
        <f t="shared" si="318"/>
        <v>-5.4412884971169681E-3</v>
      </c>
      <c r="Q176" s="172">
        <f>IF($N176="",#N/A,SUM($P$4:P176))</f>
        <v>2.3771352717542849</v>
      </c>
      <c r="R176" s="279">
        <f t="shared" si="225"/>
        <v>4.3707502854493825</v>
      </c>
      <c r="S176" s="51" t="str">
        <f t="shared" si="226"/>
        <v>Dwn</v>
      </c>
      <c r="T176" s="51" t="s">
        <v>4461</v>
      </c>
      <c r="U176" s="56">
        <f t="shared" si="227"/>
        <v>61.26</v>
      </c>
      <c r="V176" s="56" t="s">
        <v>4458</v>
      </c>
      <c r="W176" s="142">
        <v>16</v>
      </c>
      <c r="X176" s="145">
        <f t="shared" si="228"/>
        <v>980.16</v>
      </c>
      <c r="Y176" s="140">
        <f t="shared" si="229"/>
        <v>16</v>
      </c>
      <c r="Z176" s="123">
        <v>61.28</v>
      </c>
      <c r="AA176" s="102">
        <f t="shared" si="230"/>
        <v>-0.32000000000005002</v>
      </c>
      <c r="AB176" s="102">
        <f t="shared" si="231"/>
        <v>19.839999999999918</v>
      </c>
      <c r="AC176" s="124">
        <v>60.02</v>
      </c>
      <c r="AD176" s="155">
        <f t="shared" si="232"/>
        <v>19.839999999999918</v>
      </c>
      <c r="AE176" s="545">
        <f t="shared" si="233"/>
        <v>0.33735988682119789</v>
      </c>
      <c r="AF176" s="57">
        <f>IF($AC176="",#N/A,SUM(AD$4:AD176))</f>
        <v>-552.58041200241632</v>
      </c>
      <c r="AG176" s="102">
        <f t="shared" si="234"/>
        <v>20.159999999999968</v>
      </c>
      <c r="AH176" s="56" t="s">
        <v>2507</v>
      </c>
      <c r="AI176" s="65">
        <f t="shared" si="235"/>
        <v>-5.4412884971169681E-3</v>
      </c>
      <c r="AJ176" s="65">
        <f>IF(AI176="",#N/A,SUM($AI$4:AI176))</f>
        <v>-1.9936150136950974</v>
      </c>
      <c r="AK176" s="57">
        <f t="shared" si="236"/>
        <v>-0.32000000000005002</v>
      </c>
      <c r="AL176" s="349">
        <f>IF(AI176="",#N/A,IF(AH176="Skip",SUM($AK$4:AK176),SUM($AK$4:AK176)))</f>
        <v>-354.17740850718644</v>
      </c>
      <c r="AM176" s="65">
        <f t="shared" si="319"/>
        <v>0.33735988682119789</v>
      </c>
      <c r="AN176" s="210"/>
      <c r="AO176" s="65" t="str">
        <f t="shared" si="237"/>
        <v/>
      </c>
      <c r="AP176" s="65">
        <f>IF($AC176="",#N/A,SUM(AO$4:AO176))</f>
        <v>4.1356548259881496</v>
      </c>
      <c r="AQ176" s="65" t="str">
        <f t="shared" si="238"/>
        <v/>
      </c>
      <c r="AR176" s="65">
        <f>IF($AC176="",#N/A,SUM(AQ$4:AQ176))</f>
        <v>-2.6179859771653153</v>
      </c>
      <c r="AS176" s="65">
        <f t="shared" si="239"/>
        <v>0.33735988682119789</v>
      </c>
      <c r="AT176" s="65">
        <f>IF($AC176="",#N/A,SUM(AS$4:AS176))</f>
        <v>-8.8367794985573997</v>
      </c>
      <c r="AU176" s="57" t="str">
        <f t="shared" si="320"/>
        <v/>
      </c>
      <c r="AV176" s="57">
        <f>IF($AC176="",#N/A,SUM(AU$4:AU176))</f>
        <v>161.08120645125089</v>
      </c>
      <c r="AW176" s="57" t="str">
        <f t="shared" si="321"/>
        <v/>
      </c>
      <c r="AX176" s="57">
        <f>IF($AC176="",#N/A,SUM(AW$4:AW176))</f>
        <v>-163.1400000000001</v>
      </c>
      <c r="AY176" s="57">
        <f t="shared" si="322"/>
        <v>19.839999999999918</v>
      </c>
      <c r="AZ176" s="57">
        <f>IF($AC176="",#N/A,SUM(AY$4:AY176))</f>
        <v>-550.52161845366709</v>
      </c>
      <c r="BA176" s="57">
        <f>IF(AD176="",#N/A,SUM($AD$4:AD176))</f>
        <v>-552.58041200241632</v>
      </c>
      <c r="BC176" s="51" t="str">
        <f t="shared" si="240"/>
        <v/>
      </c>
      <c r="BD176" s="51">
        <f t="shared" si="241"/>
        <v>1</v>
      </c>
      <c r="BE176" s="51" t="str">
        <f t="shared" si="242"/>
        <v/>
      </c>
      <c r="BF176" s="51" t="str">
        <f t="shared" si="243"/>
        <v>Short</v>
      </c>
      <c r="BG176" s="51" t="str">
        <f t="shared" si="244"/>
        <v/>
      </c>
      <c r="BH176" s="51" t="str">
        <f t="shared" si="245"/>
        <v/>
      </c>
      <c r="BI176" s="51" t="str">
        <f t="shared" si="246"/>
        <v/>
      </c>
      <c r="BK176" s="65">
        <f t="shared" si="217"/>
        <v>0.1096676450930847</v>
      </c>
      <c r="BL176" s="65">
        <f t="shared" si="325"/>
        <v>0.18306229195215096</v>
      </c>
      <c r="BM176" s="65">
        <f>IFERROR(Q176/COUNTA($J$4:J176),#N/A)</f>
        <v>1.374066631071841E-2</v>
      </c>
      <c r="BO176" s="489" t="e">
        <f>IF(J176="",#N/A,IF(S176="SW",(COUNTIFS(K$4:$K176,"&gt;0",S$4:$S176,"SW")/COUNTIF(S$4:$S176,"SW")),#N/A))</f>
        <v>#N/A</v>
      </c>
      <c r="BP176" s="489">
        <f>IF($J176="",#N/A,IF($S176="DWN",(COUNTIFS($K$4:$K176,"&lt;0",$S$4:$S176,"DWN")/COUNTIF($S$4:$S176,"DWN")),#N/A))</f>
        <v>0.56338028169014087</v>
      </c>
      <c r="BQ176" s="489" t="e">
        <f>IF($J176="",#N/A,IF($S176="UP",(COUNTIFS($K$4:$K176,"&gt;0",$S$4:$S176,"UP")/COUNTIF($S$4:$S176,"UP")),#N/A))</f>
        <v>#N/A</v>
      </c>
      <c r="BR176" s="489">
        <f>IF(J176="",#N/A,COUNTIF($K$4:K176,"&gt;0")/COUNT($J$4:J176))</f>
        <v>0.45664739884393063</v>
      </c>
      <c r="BS176" s="65" t="str">
        <f t="shared" si="247"/>
        <v/>
      </c>
      <c r="BT176" s="65" t="str">
        <f t="shared" si="248"/>
        <v/>
      </c>
      <c r="BU176" s="65" t="str">
        <f t="shared" si="249"/>
        <v/>
      </c>
      <c r="BV176" s="65">
        <f t="shared" si="250"/>
        <v>-5.4412884971169681E-3</v>
      </c>
      <c r="BW176" s="128" t="str">
        <f t="shared" si="251"/>
        <v/>
      </c>
      <c r="BX176" s="128">
        <f>IF($J176="",#N/A,SUM($BW$4:BW176))</f>
        <v>-205.1650000000003</v>
      </c>
      <c r="BY176" s="131">
        <f t="shared" si="252"/>
        <v>-0.32000000000005002</v>
      </c>
      <c r="BZ176" s="131">
        <f>IF($J176="",#N/A,SUM($BY$4:BY176))</f>
        <v>268.51434038933371</v>
      </c>
      <c r="CA176" s="133" t="str">
        <f t="shared" si="253"/>
        <v/>
      </c>
      <c r="CB176" s="133">
        <f>IF($J176="",#N/A,SUM($CA$4:CA176))</f>
        <v>-126.15297628872051</v>
      </c>
      <c r="CC176" s="194" t="str">
        <f t="shared" si="254"/>
        <v/>
      </c>
      <c r="CD176" s="194">
        <f>IF($J176="",#N/A,SUM($CC$4:CC176))</f>
        <v>-3.1875162177003693</v>
      </c>
      <c r="CE176" s="195">
        <f t="shared" si="255"/>
        <v>-5.4412884971169681E-3</v>
      </c>
      <c r="CF176" s="195">
        <f>IF($J176="",#N/A,SUM($CE$4:CE176))</f>
        <v>5.1505243562542411</v>
      </c>
      <c r="CG176" s="196" t="str">
        <f t="shared" si="256"/>
        <v/>
      </c>
      <c r="CH176" s="196">
        <f>IF($J176="",#N/A,SUM($CG$4:CG176))</f>
        <v>0.41412713320041905</v>
      </c>
      <c r="CI176" s="200" t="str">
        <f t="shared" si="257"/>
        <v/>
      </c>
      <c r="CJ176" s="203">
        <f>IF($J176="",#N/A,SUM(CI$4:CI176))</f>
        <v>0</v>
      </c>
      <c r="CK176" s="204" t="str">
        <f t="shared" si="258"/>
        <v/>
      </c>
      <c r="CL176" s="204">
        <f>IF($J176="",#N/A,SUM(CK$4:CK176))</f>
        <v>1.9927003554442289</v>
      </c>
      <c r="CM176" s="205" t="str">
        <f t="shared" si="259"/>
        <v/>
      </c>
      <c r="CN176" s="205">
        <f>IF($J176="",#N/A,SUM(CM$4:CM176))</f>
        <v>3.3861132786295873</v>
      </c>
      <c r="CO176" s="205">
        <f>IF($J176="",#N/A,SUM(CM$4:CM176,CK$4:CK176,CI$4:CI176))</f>
        <v>5.3788136340738166</v>
      </c>
      <c r="CP176" s="200" t="str">
        <f t="shared" si="260"/>
        <v/>
      </c>
      <c r="CQ176" s="203">
        <f>IF($J176="",#N/A,SUM(CP$4:CP176))</f>
        <v>0</v>
      </c>
      <c r="CR176" s="204" t="str">
        <f t="shared" si="261"/>
        <v/>
      </c>
      <c r="CS176" s="204">
        <f>IF($J176="",#N/A,SUM(CR$4:CR176))</f>
        <v>2.420242024202421</v>
      </c>
      <c r="CT176" s="205" t="str">
        <f t="shared" si="262"/>
        <v/>
      </c>
      <c r="CU176" s="205">
        <f>IF($J176="",#N/A,SUM(CT$4:CT176))</f>
        <v>-1.6961777431035243</v>
      </c>
      <c r="CV176" s="205">
        <f>IF($J176="",#N/A,SUM(CT$4:CT176,CR$4:CR176,CP$4:CP176))</f>
        <v>0.72406428109889664</v>
      </c>
      <c r="CW176" s="200" t="str">
        <f t="shared" si="263"/>
        <v/>
      </c>
      <c r="CX176" s="203">
        <f>IF($J176="",#N/A,SUM(CW$4:CW176))</f>
        <v>0</v>
      </c>
      <c r="CY176" s="204" t="str">
        <f t="shared" si="264"/>
        <v/>
      </c>
      <c r="CZ176" s="204">
        <f>IF($J176="",#N/A,SUM(CY$4:CY176))</f>
        <v>-1.9289529100071134</v>
      </c>
      <c r="DA176" s="205" t="str">
        <f t="shared" si="265"/>
        <v/>
      </c>
      <c r="DB176" s="205">
        <f>IF($J176="",#N/A,SUM(DA$4:DA176))</f>
        <v>-2.730105678753044</v>
      </c>
      <c r="DC176" s="205">
        <f>IF($J176="",#N/A,SUM(DA$4:DA176,CY$4:CY176,CW$4:CW176))</f>
        <v>-4.659058588760157</v>
      </c>
      <c r="DD176" s="200" t="str">
        <f t="shared" si="266"/>
        <v/>
      </c>
      <c r="DE176" s="203">
        <f>IF($J176="",#N/A,SUM(DD$4:DD176))</f>
        <v>0.14968716170674062</v>
      </c>
      <c r="DF176" s="204" t="str">
        <f t="shared" si="267"/>
        <v/>
      </c>
      <c r="DG176" s="204">
        <f>IF($J176="",#N/A,SUM(DF$4:DF176))</f>
        <v>1.2121188689979676</v>
      </c>
      <c r="DH176" s="205" t="str">
        <f t="shared" si="268"/>
        <v/>
      </c>
      <c r="DI176" s="205">
        <f>IF($J176="",#N/A,SUM(DH$4:DH176))</f>
        <v>-0.8404015973735236</v>
      </c>
      <c r="DJ176" s="205">
        <f>IF($J176="",#N/A,SUM(DH$4:DH176,DF$4:DF176,DD$4:DD176))</f>
        <v>0.52140443333118447</v>
      </c>
      <c r="DK176" s="200" t="str">
        <f t="shared" si="269"/>
        <v/>
      </c>
      <c r="DL176" s="203">
        <f>IF($J176="",#N/A,SUM(DK$4:DK176))</f>
        <v>-1.2097286851272664</v>
      </c>
      <c r="DM176" s="204" t="str">
        <f t="shared" si="270"/>
        <v/>
      </c>
      <c r="DN176" s="204">
        <f>IF($J176="",#N/A,SUM(DM$4:DM176))</f>
        <v>1.1910608267574658</v>
      </c>
      <c r="DO176" s="205" t="str">
        <f t="shared" si="271"/>
        <v/>
      </c>
      <c r="DP176" s="205">
        <f>IF($J176="",#N/A,SUM(DO$4:DO176))</f>
        <v>1.3495058802125319</v>
      </c>
      <c r="DQ176" s="205">
        <f>IF($J176="",#N/A,SUM(DO$4:DO176,DM$4:DM176,DK$4:DK176))</f>
        <v>1.3308380218427318</v>
      </c>
      <c r="DR176" s="200" t="str">
        <f t="shared" si="272"/>
        <v/>
      </c>
      <c r="DS176" s="203">
        <f>IF($J176="",#N/A,SUM(DR$4:DR176))</f>
        <v>-0.55950946427675097</v>
      </c>
      <c r="DT176" s="204" t="str">
        <f t="shared" si="273"/>
        <v/>
      </c>
      <c r="DU176" s="204">
        <f>IF($J176="",#N/A,SUM(DT$4:DT176))</f>
        <v>-3.5029740333397914</v>
      </c>
      <c r="DV176" s="205" t="str">
        <f t="shared" si="274"/>
        <v/>
      </c>
      <c r="DW176" s="205">
        <f>IF($J176="",#N/A,SUM(DV$4:DV176))</f>
        <v>-1.8527424265931112</v>
      </c>
      <c r="DX176" s="205">
        <f>IF($J176="",#N/A,SUM(DV$4:DV176,DT$4:DT176,DR$4:DR176))</f>
        <v>-5.9152259242096532</v>
      </c>
      <c r="DY176" s="200" t="str">
        <f t="shared" si="275"/>
        <v/>
      </c>
      <c r="DZ176" s="203">
        <f>IF($J176="",#N/A,SUM(DY$4:DY176))</f>
        <v>-1.63480022183437</v>
      </c>
      <c r="EA176" s="204">
        <f t="shared" si="276"/>
        <v>-5.4412884971169681E-3</v>
      </c>
      <c r="EB176" s="204">
        <f>IF($J176="",#N/A,SUM(EA$4:EA176))</f>
        <v>0.25705198183658201</v>
      </c>
      <c r="EC176" s="205" t="str">
        <f t="shared" si="277"/>
        <v/>
      </c>
      <c r="ED176" s="205">
        <f>IF($J176="",#N/A,SUM(EC$4:EC176))</f>
        <v>2.4515280577205139</v>
      </c>
      <c r="EE176" s="205">
        <f>IF($J176="",#N/A,SUM(EC$4:EC176,EA$4:EA176,DY$4:DY176))</f>
        <v>1.0737798177227253</v>
      </c>
      <c r="EF176" s="200" t="str">
        <f t="shared" si="278"/>
        <v/>
      </c>
      <c r="EG176" s="203">
        <f>IF($J176="",#N/A,SUM(EF$4:EF176))</f>
        <v>0</v>
      </c>
      <c r="EH176" s="204" t="str">
        <f t="shared" si="279"/>
        <v/>
      </c>
      <c r="EI176" s="204">
        <f>IF($J176="",#N/A,SUM(EH$4:EH176))</f>
        <v>-1.1184224685150388</v>
      </c>
      <c r="EJ176" s="205" t="str">
        <f t="shared" si="280"/>
        <v/>
      </c>
      <c r="EK176" s="205">
        <f>IF($J176="",#N/A,SUM(EJ$4:EJ176))</f>
        <v>2.804966392787259</v>
      </c>
      <c r="EL176" s="205">
        <f>IF($J176="",#N/A,SUM(EJ$4:EJ176,EH$4:EH176,EF$4:EF176))</f>
        <v>1.6865439242722209</v>
      </c>
      <c r="EM176" s="200" t="str">
        <f t="shared" si="281"/>
        <v/>
      </c>
      <c r="EN176" s="203">
        <f>IF($J176="",#N/A,SUM(EM$4:EM176))</f>
        <v>0</v>
      </c>
      <c r="EO176" s="204" t="str">
        <f t="shared" si="282"/>
        <v/>
      </c>
      <c r="EP176" s="204">
        <f>IF($J176="",#N/A,SUM(EO$4:EO176))</f>
        <v>2.5139292856891995</v>
      </c>
      <c r="EQ176" s="205" t="str">
        <f t="shared" si="283"/>
        <v/>
      </c>
      <c r="ER176" s="205">
        <f>IF($J176="",#N/A,SUM(EQ$4:EQ176))</f>
        <v>1.5025175479314647</v>
      </c>
      <c r="ES176" s="205">
        <f>IF($J176="",#N/A,SUM(EQ$4:EQ176,EO$4:EO176,EM$4:EM176))</f>
        <v>4.0164468336206633</v>
      </c>
      <c r="ET176" s="200" t="str">
        <f t="shared" si="284"/>
        <v/>
      </c>
      <c r="EU176" s="203">
        <f>IF($J176="",#N/A,SUM(ET$4:ET176))</f>
        <v>0</v>
      </c>
      <c r="EV176" s="204" t="str">
        <f t="shared" si="285"/>
        <v/>
      </c>
      <c r="EW176" s="204">
        <f>IF($J176="",#N/A,SUM(EV$4:EV176))</f>
        <v>0.90459527759708336</v>
      </c>
      <c r="EX176" s="205" t="str">
        <f t="shared" si="286"/>
        <v/>
      </c>
      <c r="EY176" s="205">
        <f>IF($J176="",#N/A,SUM(EX$4:EX176))</f>
        <v>0.22957553748493481</v>
      </c>
      <c r="EZ176" s="205">
        <f>IF($J176="",#N/A,SUM(EX$4:EX176,EV$4:EV176,ET$4:ET176))</f>
        <v>1.134170815082018</v>
      </c>
      <c r="FA176" s="200" t="str">
        <f t="shared" si="287"/>
        <v/>
      </c>
      <c r="FB176" s="203">
        <f>IF($J176="",#N/A,SUM(FA$4:FA176))</f>
        <v>0</v>
      </c>
      <c r="FC176" s="204" t="str">
        <f t="shared" si="288"/>
        <v/>
      </c>
      <c r="FD176" s="204">
        <f>IF($J176="",#N/A,SUM(FC$4:FC176))</f>
        <v>1.6839191319663924</v>
      </c>
      <c r="FE176" s="205" t="str">
        <f t="shared" si="289"/>
        <v/>
      </c>
      <c r="FF176" s="205">
        <f>IF($J176="",#N/A,SUM(FE$4:FE176))</f>
        <v>-0.28811149078748233</v>
      </c>
      <c r="FG176" s="205">
        <f>IF($J176="",#N/A,SUM(FE$4:FE176,FC$4:FC176,FA$4:FA176))</f>
        <v>1.3958076411789102</v>
      </c>
      <c r="FH176" s="200" t="str">
        <f t="shared" si="290"/>
        <v/>
      </c>
      <c r="FI176" s="203">
        <f>IF($J176="",#N/A,SUM(FH$4:FH176))</f>
        <v>0</v>
      </c>
      <c r="FJ176" s="204" t="str">
        <f t="shared" si="291"/>
        <v/>
      </c>
      <c r="FK176" s="204">
        <f>IF($J176="",#N/A,SUM(FJ$4:FJ176))</f>
        <v>0</v>
      </c>
      <c r="FL176" s="205" t="str">
        <f t="shared" si="292"/>
        <v/>
      </c>
      <c r="FM176" s="205">
        <f>IF($J176="",#N/A,SUM(FL$4:FL176))</f>
        <v>0</v>
      </c>
      <c r="FN176" s="205">
        <f>IF($J176="",#N/A,SUM(FL$4:FL176,FJ$4:FJ176,FH$4:FH176))</f>
        <v>0</v>
      </c>
      <c r="FO176" s="200" t="str">
        <f t="shared" si="293"/>
        <v/>
      </c>
      <c r="FP176" s="203">
        <f>IF($J176="",#N/A,SUM(FO$4:FO176))</f>
        <v>0</v>
      </c>
      <c r="FQ176" s="204" t="str">
        <f t="shared" si="294"/>
        <v/>
      </c>
      <c r="FR176" s="204">
        <f>IF($J176="",#N/A,SUM(FQ$4:FQ176))</f>
        <v>0</v>
      </c>
      <c r="FS176" s="205" t="str">
        <f t="shared" si="295"/>
        <v/>
      </c>
      <c r="FT176" s="205">
        <f>IF($J176="",#N/A,SUM(FS$4:FS176))</f>
        <v>0</v>
      </c>
      <c r="FU176" s="205">
        <f>IF($J176="",#N/A,SUM(FS$4:FS176,FQ$4:FQ176,FO$4:FO176))</f>
        <v>0</v>
      </c>
      <c r="FV176" s="200" t="str">
        <f t="shared" si="296"/>
        <v/>
      </c>
      <c r="FW176" s="203">
        <f>IF($J176="",#N/A,SUM(FV$4:FV176))</f>
        <v>6.6834991831277585E-2</v>
      </c>
      <c r="FX176" s="204" t="str">
        <f t="shared" si="297"/>
        <v/>
      </c>
      <c r="FY176" s="204">
        <f>IF($J176="",#N/A,SUM(FX$4:FX176))</f>
        <v>0</v>
      </c>
      <c r="FZ176" s="205" t="str">
        <f t="shared" si="298"/>
        <v/>
      </c>
      <c r="GA176" s="205">
        <f>IF($J176="",#N/A,SUM(FZ$4:FZ176))</f>
        <v>-0.96570439723286938</v>
      </c>
      <c r="GB176" s="205">
        <f>IF($J176="",#N/A,SUM(FZ$4:FZ176,FX$4:FX176,FV$4:FV176))</f>
        <v>-0.89886940540159177</v>
      </c>
      <c r="GC176" s="200" t="str">
        <f t="shared" si="299"/>
        <v/>
      </c>
      <c r="GD176" s="203">
        <f>IF($J176="",#N/A,SUM(GC$4:GC176))</f>
        <v>0</v>
      </c>
      <c r="GE176" s="204" t="str">
        <f t="shared" si="300"/>
        <v/>
      </c>
      <c r="GF176" s="204">
        <f>IF($J176="",#N/A,SUM(GE$4:GE176))</f>
        <v>0</v>
      </c>
      <c r="GG176" s="205" t="str">
        <f t="shared" si="301"/>
        <v/>
      </c>
      <c r="GH176" s="205">
        <f>IF($J176="",#N/A,SUM(GG$4:GG176))</f>
        <v>-2.9368362277223206</v>
      </c>
      <c r="GI176" s="205">
        <f>IF($J176="",#N/A,SUM(GG$4:GG176,GE$4:GE176,GC$4:GC176))</f>
        <v>-2.9368362277223206</v>
      </c>
      <c r="GJ176" s="200" t="str">
        <f t="shared" si="302"/>
        <v/>
      </c>
      <c r="GK176" s="203">
        <f>IF($J176="",#N/A,SUM(GJ$4:GJ176))</f>
        <v>0</v>
      </c>
      <c r="GL176" s="204" t="str">
        <f t="shared" si="303"/>
        <v/>
      </c>
      <c r="GM176" s="204">
        <f>IF($J176="",#N/A,SUM(GL$4:GL176))</f>
        <v>-0.80168930905701452</v>
      </c>
      <c r="GN176" s="205" t="str">
        <f t="shared" si="304"/>
        <v/>
      </c>
      <c r="GO176" s="205">
        <f>IF($J176="",#N/A,SUM(GN$4:GN176))</f>
        <v>0</v>
      </c>
      <c r="GP176" s="205">
        <f>IF($J176="",#N/A,SUM(GN$4:GN176,GL$4:GL176,GJ$4:GJ176))</f>
        <v>-0.80168930905701452</v>
      </c>
      <c r="GS176" s="54">
        <f t="shared" si="323"/>
        <v>-5.4412884971169681E-3</v>
      </c>
      <c r="GT176" s="54">
        <f>IF(GS176="",NA(),SUM($GS$4:GS176))</f>
        <v>-0.27679489921526162</v>
      </c>
      <c r="GU176" s="54" t="str">
        <f t="shared" si="305"/>
        <v/>
      </c>
      <c r="GV176" s="54" t="e">
        <f>IF(GU176="",NA(),SUM($GU$4:GU176))</f>
        <v>#N/A</v>
      </c>
      <c r="GW176" s="54" t="str">
        <f t="shared" si="306"/>
        <v/>
      </c>
      <c r="GX176" s="54" t="e">
        <f>IF(GW176="",NA(),SUM($GW$4:GW176))</f>
        <v>#N/A</v>
      </c>
      <c r="GY176" s="54">
        <f t="shared" si="307"/>
        <v>-5.4412884971169681E-3</v>
      </c>
      <c r="GZ176" s="54">
        <f>IF(GY176="",NA(),SUM($GY$4:GY176))</f>
        <v>2.1766476793508764</v>
      </c>
      <c r="HA176" s="54" t="str">
        <f t="shared" si="308"/>
        <v/>
      </c>
      <c r="HB176" s="54" t="e">
        <f>IF(HA176="",NA(),SUM($HA$4:HA176))</f>
        <v>#N/A</v>
      </c>
      <c r="HC176" s="54" t="str">
        <f t="shared" si="309"/>
        <v/>
      </c>
      <c r="HD176" s="54" t="e">
        <f>IF(HC176="",NA(),SUM($HC$4:HC176))</f>
        <v>#N/A</v>
      </c>
      <c r="HE176" s="54" t="str">
        <f t="shared" si="310"/>
        <v/>
      </c>
      <c r="HF176" s="54" t="e">
        <f>IF(HE176="",NA(),SUM($HE$4:HE176))</f>
        <v>#N/A</v>
      </c>
      <c r="HG176" s="54" t="str">
        <f t="shared" si="311"/>
        <v/>
      </c>
      <c r="HH176" s="54" t="e">
        <f>IF(HG176="",NA(),SUM($HG$4:HG176))</f>
        <v>#N/A</v>
      </c>
      <c r="HI176" s="172" t="str">
        <f t="shared" si="324"/>
        <v/>
      </c>
      <c r="HJ176" s="172">
        <f>IF($J176="",#N/A,SUM(HI$4:$HI176))</f>
        <v>-8.2664143194224948</v>
      </c>
      <c r="HK176" s="54">
        <f t="shared" si="312"/>
        <v>0.34280117531831483</v>
      </c>
      <c r="HL176" s="54">
        <f>IF($J176="",#N/A,SUM($HK$4:HK176))</f>
        <v>-5.7208895353891398</v>
      </c>
      <c r="HM176" s="54" t="str">
        <f t="shared" si="313"/>
        <v/>
      </c>
      <c r="HN176" s="54">
        <f>IF($J176="",#N/A,SUM($HM$4:HM176))</f>
        <v>0.71812545963587882</v>
      </c>
      <c r="HO176" s="54" t="str">
        <f t="shared" si="314"/>
        <v/>
      </c>
      <c r="HP176" s="54">
        <f>IF($J176="",#N/A,SUM($HO$4:HO176))</f>
        <v>-0.14859521910082485</v>
      </c>
      <c r="HQ176" s="54" t="str">
        <f t="shared" si="315"/>
        <v/>
      </c>
      <c r="HR176" s="54">
        <f>IF($J176="",#N/A,SUM($HQ$4:HQ176))</f>
        <v>-9.2744671295951253</v>
      </c>
      <c r="HS176" s="54" t="str">
        <f t="shared" si="316"/>
        <v/>
      </c>
      <c r="HT176" s="54">
        <f>IF($J176="",#N/A,SUM($HS$4:HS176))</f>
        <v>12.995994822382864</v>
      </c>
      <c r="HU176" s="65">
        <f t="shared" si="317"/>
        <v>0.33735988682119789</v>
      </c>
      <c r="HV176" s="65">
        <f>IF($J176="",#N/A,SUM(HU$4:$HU176))</f>
        <v>-7.3191106497345606</v>
      </c>
    </row>
    <row r="177" spans="1:230" x14ac:dyDescent="0.25">
      <c r="A177" s="413" t="s">
        <v>1437</v>
      </c>
      <c r="B177" s="52" t="s">
        <v>4542</v>
      </c>
      <c r="C177" s="276">
        <f t="shared" si="218"/>
        <v>3</v>
      </c>
      <c r="D177" s="277" t="str">
        <f>_xlfn.XLOOKUP(A177,[1]SP500!$A$2:$A$502,[1]SP500!$D$2:$D$502,"N")</f>
        <v>Y</v>
      </c>
      <c r="E177" s="275" t="str">
        <f>IFERROR(_xlfn.XLOOKUP(A177,[1]SP500!$A$2:$A$655,[1]SP500!$B$2:$B$655),"")</f>
        <v>XLB</v>
      </c>
      <c r="F177" s="290">
        <v>45777</v>
      </c>
      <c r="G177" s="51" t="str">
        <f t="shared" si="219"/>
        <v>BMO</v>
      </c>
      <c r="H177" s="51" t="str">
        <f t="shared" si="220"/>
        <v>s</v>
      </c>
      <c r="I177" s="344">
        <v>245.35</v>
      </c>
      <c r="J177" s="123">
        <v>253</v>
      </c>
      <c r="K177" s="55">
        <f t="shared" si="221"/>
        <v>3.1179947014469151E-2</v>
      </c>
      <c r="L177" s="67">
        <f t="shared" si="222"/>
        <v>30.600000000000023</v>
      </c>
      <c r="M177" s="57">
        <f t="shared" si="223"/>
        <v>0</v>
      </c>
      <c r="N177" s="102">
        <f t="shared" si="224"/>
        <v>30.600000000000023</v>
      </c>
      <c r="O177" s="57">
        <f>IF(N177="",#N/A,SUM($N$4:N177))</f>
        <v>-32.203635899387081</v>
      </c>
      <c r="P177" s="65">
        <f t="shared" si="318"/>
        <v>0.5196657835744859</v>
      </c>
      <c r="Q177" s="172">
        <f>IF($N177="",#N/A,SUM($P$4:P177))</f>
        <v>2.8968010553287709</v>
      </c>
      <c r="R177" s="279">
        <f t="shared" si="225"/>
        <v>4.3707502854493825</v>
      </c>
      <c r="S177" s="51" t="str">
        <f t="shared" si="226"/>
        <v>SW</v>
      </c>
      <c r="T177" s="51" t="s">
        <v>2828</v>
      </c>
      <c r="U177" s="56">
        <f t="shared" si="227"/>
        <v>245.35</v>
      </c>
      <c r="V177" s="56" t="s">
        <v>4460</v>
      </c>
      <c r="W177" s="142">
        <v>4</v>
      </c>
      <c r="X177" s="145">
        <f t="shared" si="228"/>
        <v>981.4</v>
      </c>
      <c r="Y177" s="140">
        <f t="shared" si="229"/>
        <v>4</v>
      </c>
      <c r="Z177" s="123">
        <v>253</v>
      </c>
      <c r="AA177" s="102">
        <f t="shared" si="230"/>
        <v>30.600000000000023</v>
      </c>
      <c r="AB177" s="102">
        <f t="shared" si="231"/>
        <v>67.919999999999959</v>
      </c>
      <c r="AC177" s="124">
        <v>262.33</v>
      </c>
      <c r="AD177" s="155">
        <f t="shared" si="232"/>
        <v>67.919999999999959</v>
      </c>
      <c r="AE177" s="545">
        <f t="shared" si="233"/>
        <v>1.1534542490319946</v>
      </c>
      <c r="AF177" s="57">
        <f>IF($AC177="",#N/A,SUM(AD$4:AD177))</f>
        <v>-484.66041200241636</v>
      </c>
      <c r="AG177" s="102">
        <f t="shared" si="234"/>
        <v>37.319999999999936</v>
      </c>
      <c r="AH177" s="56" t="s">
        <v>2507</v>
      </c>
      <c r="AI177" s="65">
        <f t="shared" si="235"/>
        <v>0.5196657835744859</v>
      </c>
      <c r="AJ177" s="350">
        <f>IF(AI177="",#N/A,SUM($AI$4:AI177))</f>
        <v>-1.4739492301206116</v>
      </c>
      <c r="AK177" s="57">
        <f t="shared" si="236"/>
        <v>30.600000000000023</v>
      </c>
      <c r="AL177" s="349">
        <f>IF(AI177="",#N/A,IF(AH177="Skip",SUM($AK$4:AK177),SUM($AK$4:AK177)))</f>
        <v>-323.57740850718642</v>
      </c>
      <c r="AM177" s="65">
        <f t="shared" si="319"/>
        <v>1.1534542490319946</v>
      </c>
      <c r="AN177" s="210"/>
      <c r="AO177" s="65">
        <f t="shared" si="237"/>
        <v>1.1534542490319946</v>
      </c>
      <c r="AP177" s="65">
        <f>IF($AC177="",#N/A,SUM(AO$4:AO177))</f>
        <v>5.2891090750201446</v>
      </c>
      <c r="AQ177" s="65" t="str">
        <f t="shared" si="238"/>
        <v/>
      </c>
      <c r="AR177" s="65">
        <f>IF($AC177="",#N/A,SUM(AQ$4:AQ177))</f>
        <v>-2.6179859771653153</v>
      </c>
      <c r="AS177" s="65" t="str">
        <f t="shared" si="239"/>
        <v/>
      </c>
      <c r="AT177" s="65">
        <f>IF($AC177="",#N/A,SUM(AS$4:AS177))</f>
        <v>-8.8367794985573997</v>
      </c>
      <c r="AU177" s="57">
        <f t="shared" si="320"/>
        <v>67.919999999999959</v>
      </c>
      <c r="AV177" s="57">
        <f>IF($AC177="",#N/A,SUM(AU$4:AU177))</f>
        <v>229.00120645125085</v>
      </c>
      <c r="AW177" s="57" t="str">
        <f t="shared" si="321"/>
        <v/>
      </c>
      <c r="AX177" s="57">
        <f>IF($AC177="",#N/A,SUM(AW$4:AW177))</f>
        <v>-163.1400000000001</v>
      </c>
      <c r="AY177" s="57" t="str">
        <f t="shared" si="322"/>
        <v/>
      </c>
      <c r="AZ177" s="57">
        <f>IF($AC177="",#N/A,SUM(AY$4:AY177))</f>
        <v>-550.52161845366709</v>
      </c>
      <c r="BA177" s="57">
        <f>IF(AD177="",#N/A,SUM($AD$4:AD177))</f>
        <v>-484.66041200241636</v>
      </c>
      <c r="BC177" s="51" t="str">
        <f t="shared" si="240"/>
        <v/>
      </c>
      <c r="BD177" s="51" t="str">
        <f t="shared" si="241"/>
        <v/>
      </c>
      <c r="BE177" s="51">
        <f t="shared" si="242"/>
        <v>1</v>
      </c>
      <c r="BF177" s="51" t="str">
        <f t="shared" si="243"/>
        <v>Long</v>
      </c>
      <c r="BG177" s="51" t="str">
        <f t="shared" si="244"/>
        <v/>
      </c>
      <c r="BH177" s="51" t="str">
        <f t="shared" si="245"/>
        <v/>
      </c>
      <c r="BI177" s="51" t="str">
        <f t="shared" si="246"/>
        <v/>
      </c>
      <c r="BK177" s="65">
        <f t="shared" si="217"/>
        <v>9.5049070562101226E-2</v>
      </c>
      <c r="BL177" s="65">
        <f t="shared" si="325"/>
        <v>0.16345461317728682</v>
      </c>
      <c r="BM177" s="65">
        <f>IFERROR(Q177/COUNTA($J$4:J177),#N/A)</f>
        <v>1.6648281927176843E-2</v>
      </c>
      <c r="BO177" s="489">
        <f>IF(J177="",#N/A,IF(S177="SW",(COUNTIFS(K$4:$K177,"&gt;0",S$4:$S177,"SW")/COUNTIF(S$4:$S177,"SW")),#N/A))</f>
        <v>0.48421052631578948</v>
      </c>
      <c r="BP177" s="489" t="e">
        <f>IF($J177="",#N/A,IF($S177="DWN",(COUNTIFS($K$4:$K177,"&lt;0",$S$4:$S177,"DWN")/COUNTIF($S$4:$S177,"DWN")),#N/A))</f>
        <v>#N/A</v>
      </c>
      <c r="BQ177" s="489" t="e">
        <f>IF($J177="",#N/A,IF($S177="UP",(COUNTIFS($K$4:$K177,"&gt;0",$S$4:$S177,"UP")/COUNTIF($S$4:$S177,"UP")),#N/A))</f>
        <v>#N/A</v>
      </c>
      <c r="BR177" s="489">
        <f>IF(J177="",#N/A,COUNTIF($K$4:K177,"&gt;0")/COUNT($J$4:J177))</f>
        <v>0.45977011494252873</v>
      </c>
      <c r="BS177" s="65">
        <f t="shared" si="247"/>
        <v>0.5196657835744859</v>
      </c>
      <c r="BT177" s="65" t="str">
        <f t="shared" si="248"/>
        <v/>
      </c>
      <c r="BU177" s="65" t="str">
        <f t="shared" si="249"/>
        <v/>
      </c>
      <c r="BV177" s="65" t="str">
        <f t="shared" si="250"/>
        <v/>
      </c>
      <c r="BW177" s="128" t="str">
        <f t="shared" si="251"/>
        <v/>
      </c>
      <c r="BX177" s="128">
        <f>IF($J177="",#N/A,SUM($BW$4:BW177))</f>
        <v>-205.1650000000003</v>
      </c>
      <c r="BY177" s="131" t="str">
        <f t="shared" si="252"/>
        <v/>
      </c>
      <c r="BZ177" s="131">
        <f>IF($J177="",#N/A,SUM($BY$4:BY177))</f>
        <v>268.51434038933371</v>
      </c>
      <c r="CA177" s="133">
        <f t="shared" si="253"/>
        <v>30.600000000000023</v>
      </c>
      <c r="CB177" s="133">
        <f>IF($J177="",#N/A,SUM($CA$4:CA177))</f>
        <v>-95.552976288720487</v>
      </c>
      <c r="CC177" s="194" t="str">
        <f t="shared" si="254"/>
        <v/>
      </c>
      <c r="CD177" s="194">
        <f>IF($J177="",#N/A,SUM($CC$4:CC177))</f>
        <v>-3.1875162177003693</v>
      </c>
      <c r="CE177" s="195" t="str">
        <f t="shared" si="255"/>
        <v/>
      </c>
      <c r="CF177" s="195">
        <f>IF($J177="",#N/A,SUM($CE$4:CE177))</f>
        <v>5.1505243562542411</v>
      </c>
      <c r="CG177" s="196">
        <f t="shared" si="256"/>
        <v>0.5196657835744859</v>
      </c>
      <c r="CH177" s="196">
        <f>IF($J177="",#N/A,SUM($CG$4:CG177))</f>
        <v>0.93379291677490495</v>
      </c>
      <c r="CI177" s="200" t="str">
        <f t="shared" si="257"/>
        <v/>
      </c>
      <c r="CJ177" s="203">
        <f>IF($J177="",#N/A,SUM(CI$4:CI177))</f>
        <v>0</v>
      </c>
      <c r="CK177" s="204" t="str">
        <f t="shared" si="258"/>
        <v/>
      </c>
      <c r="CL177" s="204">
        <f>IF($J177="",#N/A,SUM(CK$4:CK177))</f>
        <v>1.9927003554442289</v>
      </c>
      <c r="CM177" s="205" t="str">
        <f t="shared" si="259"/>
        <v/>
      </c>
      <c r="CN177" s="205">
        <f>IF($J177="",#N/A,SUM(CM$4:CM177))</f>
        <v>3.3861132786295873</v>
      </c>
      <c r="CO177" s="205">
        <f>IF($J177="",#N/A,SUM(CM$4:CM177,CK$4:CK177,CI$4:CI177))</f>
        <v>5.3788136340738166</v>
      </c>
      <c r="CP177" s="200" t="str">
        <f t="shared" si="260"/>
        <v/>
      </c>
      <c r="CQ177" s="203">
        <f>IF($J177="",#N/A,SUM(CP$4:CP177))</f>
        <v>0</v>
      </c>
      <c r="CR177" s="204" t="str">
        <f t="shared" si="261"/>
        <v/>
      </c>
      <c r="CS177" s="204">
        <f>IF($J177="",#N/A,SUM(CR$4:CR177))</f>
        <v>2.420242024202421</v>
      </c>
      <c r="CT177" s="205" t="str">
        <f t="shared" si="262"/>
        <v/>
      </c>
      <c r="CU177" s="205">
        <f>IF($J177="",#N/A,SUM(CT$4:CT177))</f>
        <v>-1.6961777431035243</v>
      </c>
      <c r="CV177" s="205">
        <f>IF($J177="",#N/A,SUM(CT$4:CT177,CR$4:CR177,CP$4:CP177))</f>
        <v>0.72406428109889664</v>
      </c>
      <c r="CW177" s="200" t="str">
        <f t="shared" si="263"/>
        <v/>
      </c>
      <c r="CX177" s="203">
        <f>IF($J177="",#N/A,SUM(CW$4:CW177))</f>
        <v>0</v>
      </c>
      <c r="CY177" s="204" t="str">
        <f t="shared" si="264"/>
        <v/>
      </c>
      <c r="CZ177" s="204">
        <f>IF($J177="",#N/A,SUM(CY$4:CY177))</f>
        <v>-1.9289529100071134</v>
      </c>
      <c r="DA177" s="205" t="str">
        <f t="shared" si="265"/>
        <v/>
      </c>
      <c r="DB177" s="205">
        <f>IF($J177="",#N/A,SUM(DA$4:DA177))</f>
        <v>-2.730105678753044</v>
      </c>
      <c r="DC177" s="205">
        <f>IF($J177="",#N/A,SUM(DA$4:DA177,CY$4:CY177,CW$4:CW177))</f>
        <v>-4.659058588760157</v>
      </c>
      <c r="DD177" s="200" t="str">
        <f t="shared" si="266"/>
        <v/>
      </c>
      <c r="DE177" s="203">
        <f>IF($J177="",#N/A,SUM(DD$4:DD177))</f>
        <v>0.14968716170674062</v>
      </c>
      <c r="DF177" s="204" t="str">
        <f t="shared" si="267"/>
        <v/>
      </c>
      <c r="DG177" s="204">
        <f>IF($J177="",#N/A,SUM(DF$4:DF177))</f>
        <v>1.2121188689979676</v>
      </c>
      <c r="DH177" s="205" t="str">
        <f t="shared" si="268"/>
        <v/>
      </c>
      <c r="DI177" s="205">
        <f>IF($J177="",#N/A,SUM(DH$4:DH177))</f>
        <v>-0.8404015973735236</v>
      </c>
      <c r="DJ177" s="205">
        <f>IF($J177="",#N/A,SUM(DH$4:DH177,DF$4:DF177,DD$4:DD177))</f>
        <v>0.52140443333118447</v>
      </c>
      <c r="DK177" s="200" t="str">
        <f t="shared" si="269"/>
        <v/>
      </c>
      <c r="DL177" s="203">
        <f>IF($J177="",#N/A,SUM(DK$4:DK177))</f>
        <v>-1.2097286851272664</v>
      </c>
      <c r="DM177" s="204" t="str">
        <f t="shared" si="270"/>
        <v/>
      </c>
      <c r="DN177" s="204">
        <f>IF($J177="",#N/A,SUM(DM$4:DM177))</f>
        <v>1.1910608267574658</v>
      </c>
      <c r="DO177" s="205" t="str">
        <f t="shared" si="271"/>
        <v/>
      </c>
      <c r="DP177" s="205">
        <f>IF($J177="",#N/A,SUM(DO$4:DO177))</f>
        <v>1.3495058802125319</v>
      </c>
      <c r="DQ177" s="205">
        <f>IF($J177="",#N/A,SUM(DO$4:DO177,DM$4:DM177,DK$4:DK177))</f>
        <v>1.3308380218427318</v>
      </c>
      <c r="DR177" s="200" t="str">
        <f t="shared" si="272"/>
        <v/>
      </c>
      <c r="DS177" s="203">
        <f>IF($J177="",#N/A,SUM(DR$4:DR177))</f>
        <v>-0.55950946427675097</v>
      </c>
      <c r="DT177" s="204" t="str">
        <f t="shared" si="273"/>
        <v/>
      </c>
      <c r="DU177" s="204">
        <f>IF($J177="",#N/A,SUM(DT$4:DT177))</f>
        <v>-3.5029740333397914</v>
      </c>
      <c r="DV177" s="205" t="str">
        <f t="shared" si="274"/>
        <v/>
      </c>
      <c r="DW177" s="205">
        <f>IF($J177="",#N/A,SUM(DV$4:DV177))</f>
        <v>-1.8527424265931112</v>
      </c>
      <c r="DX177" s="205">
        <f>IF($J177="",#N/A,SUM(DV$4:DV177,DT$4:DT177,DR$4:DR177))</f>
        <v>-5.9152259242096532</v>
      </c>
      <c r="DY177" s="200" t="str">
        <f t="shared" si="275"/>
        <v/>
      </c>
      <c r="DZ177" s="203">
        <f>IF($J177="",#N/A,SUM(DY$4:DY177))</f>
        <v>-1.63480022183437</v>
      </c>
      <c r="EA177" s="204" t="str">
        <f t="shared" si="276"/>
        <v/>
      </c>
      <c r="EB177" s="204">
        <f>IF($J177="",#N/A,SUM(EA$4:EA177))</f>
        <v>0.25705198183658201</v>
      </c>
      <c r="EC177" s="205" t="str">
        <f t="shared" si="277"/>
        <v/>
      </c>
      <c r="ED177" s="205">
        <f>IF($J177="",#N/A,SUM(EC$4:EC177))</f>
        <v>2.4515280577205139</v>
      </c>
      <c r="EE177" s="205">
        <f>IF($J177="",#N/A,SUM(EC$4:EC177,EA$4:EA177,DY$4:DY177))</f>
        <v>1.0737798177227253</v>
      </c>
      <c r="EF177" s="200" t="str">
        <f t="shared" si="278"/>
        <v/>
      </c>
      <c r="EG177" s="203">
        <f>IF($J177="",#N/A,SUM(EF$4:EF177))</f>
        <v>0</v>
      </c>
      <c r="EH177" s="204" t="str">
        <f t="shared" si="279"/>
        <v/>
      </c>
      <c r="EI177" s="204">
        <f>IF($J177="",#N/A,SUM(EH$4:EH177))</f>
        <v>-1.1184224685150388</v>
      </c>
      <c r="EJ177" s="205" t="str">
        <f t="shared" si="280"/>
        <v/>
      </c>
      <c r="EK177" s="205">
        <f>IF($J177="",#N/A,SUM(EJ$4:EJ177))</f>
        <v>2.804966392787259</v>
      </c>
      <c r="EL177" s="205">
        <f>IF($J177="",#N/A,SUM(EJ$4:EJ177,EH$4:EH177,EF$4:EF177))</f>
        <v>1.6865439242722209</v>
      </c>
      <c r="EM177" s="200" t="str">
        <f t="shared" si="281"/>
        <v/>
      </c>
      <c r="EN177" s="203">
        <f>IF($J177="",#N/A,SUM(EM$4:EM177))</f>
        <v>0</v>
      </c>
      <c r="EO177" s="204" t="str">
        <f t="shared" si="282"/>
        <v/>
      </c>
      <c r="EP177" s="204">
        <f>IF($J177="",#N/A,SUM(EO$4:EO177))</f>
        <v>2.5139292856891995</v>
      </c>
      <c r="EQ177" s="205">
        <f t="shared" si="283"/>
        <v>0.5196657835744859</v>
      </c>
      <c r="ER177" s="205">
        <f>IF($J177="",#N/A,SUM(EQ$4:EQ177))</f>
        <v>2.0221833315059508</v>
      </c>
      <c r="ES177" s="205">
        <f>IF($J177="",#N/A,SUM(EQ$4:EQ177,EO$4:EO177,EM$4:EM177))</f>
        <v>4.5361126171951494</v>
      </c>
      <c r="ET177" s="200" t="str">
        <f t="shared" si="284"/>
        <v/>
      </c>
      <c r="EU177" s="203">
        <f>IF($J177="",#N/A,SUM(ET$4:ET177))</f>
        <v>0</v>
      </c>
      <c r="EV177" s="204" t="str">
        <f t="shared" si="285"/>
        <v/>
      </c>
      <c r="EW177" s="204">
        <f>IF($J177="",#N/A,SUM(EV$4:EV177))</f>
        <v>0.90459527759708336</v>
      </c>
      <c r="EX177" s="205" t="str">
        <f t="shared" si="286"/>
        <v/>
      </c>
      <c r="EY177" s="205">
        <f>IF($J177="",#N/A,SUM(EX$4:EX177))</f>
        <v>0.22957553748493481</v>
      </c>
      <c r="EZ177" s="205">
        <f>IF($J177="",#N/A,SUM(EX$4:EX177,EV$4:EV177,ET$4:ET177))</f>
        <v>1.134170815082018</v>
      </c>
      <c r="FA177" s="200" t="str">
        <f t="shared" si="287"/>
        <v/>
      </c>
      <c r="FB177" s="203">
        <f>IF($J177="",#N/A,SUM(FA$4:FA177))</f>
        <v>0</v>
      </c>
      <c r="FC177" s="204" t="str">
        <f t="shared" si="288"/>
        <v/>
      </c>
      <c r="FD177" s="204">
        <f>IF($J177="",#N/A,SUM(FC$4:FC177))</f>
        <v>1.6839191319663924</v>
      </c>
      <c r="FE177" s="205" t="str">
        <f t="shared" si="289"/>
        <v/>
      </c>
      <c r="FF177" s="205">
        <f>IF($J177="",#N/A,SUM(FE$4:FE177))</f>
        <v>-0.28811149078748233</v>
      </c>
      <c r="FG177" s="205">
        <f>IF($J177="",#N/A,SUM(FE$4:FE177,FC$4:FC177,FA$4:FA177))</f>
        <v>1.3958076411789102</v>
      </c>
      <c r="FH177" s="200" t="str">
        <f t="shared" si="290"/>
        <v/>
      </c>
      <c r="FI177" s="203">
        <f>IF($J177="",#N/A,SUM(FH$4:FH177))</f>
        <v>0</v>
      </c>
      <c r="FJ177" s="204" t="str">
        <f t="shared" si="291"/>
        <v/>
      </c>
      <c r="FK177" s="204">
        <f>IF($J177="",#N/A,SUM(FJ$4:FJ177))</f>
        <v>0</v>
      </c>
      <c r="FL177" s="205" t="str">
        <f t="shared" si="292"/>
        <v/>
      </c>
      <c r="FM177" s="205">
        <f>IF($J177="",#N/A,SUM(FL$4:FL177))</f>
        <v>0</v>
      </c>
      <c r="FN177" s="205">
        <f>IF($J177="",#N/A,SUM(FL$4:FL177,FJ$4:FJ177,FH$4:FH177))</f>
        <v>0</v>
      </c>
      <c r="FO177" s="200" t="str">
        <f t="shared" si="293"/>
        <v/>
      </c>
      <c r="FP177" s="203">
        <f>IF($J177="",#N/A,SUM(FO$4:FO177))</f>
        <v>0</v>
      </c>
      <c r="FQ177" s="204" t="str">
        <f t="shared" si="294"/>
        <v/>
      </c>
      <c r="FR177" s="204">
        <f>IF($J177="",#N/A,SUM(FQ$4:FQ177))</f>
        <v>0</v>
      </c>
      <c r="FS177" s="205" t="str">
        <f t="shared" si="295"/>
        <v/>
      </c>
      <c r="FT177" s="205">
        <f>IF($J177="",#N/A,SUM(FS$4:FS177))</f>
        <v>0</v>
      </c>
      <c r="FU177" s="205">
        <f>IF($J177="",#N/A,SUM(FS$4:FS177,FQ$4:FQ177,FO$4:FO177))</f>
        <v>0</v>
      </c>
      <c r="FV177" s="200" t="str">
        <f t="shared" si="296"/>
        <v/>
      </c>
      <c r="FW177" s="203">
        <f>IF($J177="",#N/A,SUM(FV$4:FV177))</f>
        <v>6.6834991831277585E-2</v>
      </c>
      <c r="FX177" s="204" t="str">
        <f t="shared" si="297"/>
        <v/>
      </c>
      <c r="FY177" s="204">
        <f>IF($J177="",#N/A,SUM(FX$4:FX177))</f>
        <v>0</v>
      </c>
      <c r="FZ177" s="205" t="str">
        <f t="shared" si="298"/>
        <v/>
      </c>
      <c r="GA177" s="205">
        <f>IF($J177="",#N/A,SUM(FZ$4:FZ177))</f>
        <v>-0.96570439723286938</v>
      </c>
      <c r="GB177" s="205">
        <f>IF($J177="",#N/A,SUM(FZ$4:FZ177,FX$4:FX177,FV$4:FV177))</f>
        <v>-0.89886940540159177</v>
      </c>
      <c r="GC177" s="200" t="str">
        <f t="shared" si="299"/>
        <v/>
      </c>
      <c r="GD177" s="203">
        <f>IF($J177="",#N/A,SUM(GC$4:GC177))</f>
        <v>0</v>
      </c>
      <c r="GE177" s="204" t="str">
        <f t="shared" si="300"/>
        <v/>
      </c>
      <c r="GF177" s="204">
        <f>IF($J177="",#N/A,SUM(GE$4:GE177))</f>
        <v>0</v>
      </c>
      <c r="GG177" s="205" t="str">
        <f t="shared" si="301"/>
        <v/>
      </c>
      <c r="GH177" s="205">
        <f>IF($J177="",#N/A,SUM(GG$4:GG177))</f>
        <v>-2.9368362277223206</v>
      </c>
      <c r="GI177" s="205">
        <f>IF($J177="",#N/A,SUM(GG$4:GG177,GE$4:GE177,GC$4:GC177))</f>
        <v>-2.9368362277223206</v>
      </c>
      <c r="GJ177" s="200" t="str">
        <f t="shared" si="302"/>
        <v/>
      </c>
      <c r="GK177" s="203">
        <f>IF($J177="",#N/A,SUM(GJ$4:GJ177))</f>
        <v>0</v>
      </c>
      <c r="GL177" s="204" t="str">
        <f t="shared" si="303"/>
        <v/>
      </c>
      <c r="GM177" s="204">
        <f>IF($J177="",#N/A,SUM(GL$4:GL177))</f>
        <v>-0.80168930905701452</v>
      </c>
      <c r="GN177" s="205" t="str">
        <f t="shared" si="304"/>
        <v/>
      </c>
      <c r="GO177" s="205">
        <f>IF($J177="",#N/A,SUM(GN$4:GN177))</f>
        <v>0</v>
      </c>
      <c r="GP177" s="205">
        <f>IF($J177="",#N/A,SUM(GN$4:GN177,GL$4:GL177,GJ$4:GJ177))</f>
        <v>-0.80168930905701452</v>
      </c>
      <c r="GS177" s="54">
        <f t="shared" si="323"/>
        <v>0.5196657835744859</v>
      </c>
      <c r="GT177" s="54">
        <f>IF(GS177="",NA(),SUM($GS$4:GS177))</f>
        <v>0.24287088435922427</v>
      </c>
      <c r="GU177" s="54" t="str">
        <f t="shared" si="305"/>
        <v/>
      </c>
      <c r="GV177" s="54" t="e">
        <f>IF(GU177="",NA(),SUM($GU$4:GU177))</f>
        <v>#N/A</v>
      </c>
      <c r="GW177" s="54">
        <f t="shared" si="306"/>
        <v>0.5196657835744859</v>
      </c>
      <c r="GX177" s="54">
        <f>IF(GW177="",NA(),SUM($GW$4:GW177))</f>
        <v>1.2537394227087191</v>
      </c>
      <c r="GY177" s="54" t="str">
        <f t="shared" si="307"/>
        <v/>
      </c>
      <c r="GZ177" s="54" t="e">
        <f>IF(GY177="",NA(),SUM($GY$4:GY177))</f>
        <v>#N/A</v>
      </c>
      <c r="HA177" s="54" t="str">
        <f t="shared" si="308"/>
        <v/>
      </c>
      <c r="HB177" s="54" t="e">
        <f>IF(HA177="",NA(),SUM($HA$4:HA177))</f>
        <v>#N/A</v>
      </c>
      <c r="HC177" s="54" t="str">
        <f t="shared" si="309"/>
        <v/>
      </c>
      <c r="HD177" s="54" t="e">
        <f>IF(HC177="",NA(),SUM($HC$4:HC177))</f>
        <v>#N/A</v>
      </c>
      <c r="HE177" s="54" t="str">
        <f t="shared" si="310"/>
        <v/>
      </c>
      <c r="HF177" s="54" t="e">
        <f>IF(HE177="",NA(),SUM($HE$4:HE177))</f>
        <v>#N/A</v>
      </c>
      <c r="HG177" s="54" t="str">
        <f t="shared" si="311"/>
        <v/>
      </c>
      <c r="HH177" s="54" t="e">
        <f>IF(HG177="",NA(),SUM($HG$4:HG177))</f>
        <v>#N/A</v>
      </c>
      <c r="HI177" s="172" t="str">
        <f t="shared" si="324"/>
        <v/>
      </c>
      <c r="HJ177" s="172">
        <f>IF($J177="",#N/A,SUM(HI$4:$HI177))</f>
        <v>-8.2664143194224948</v>
      </c>
      <c r="HK177" s="54" t="str">
        <f t="shared" si="312"/>
        <v/>
      </c>
      <c r="HL177" s="54">
        <f>IF($J177="",#N/A,SUM($HK$4:HK177))</f>
        <v>-5.7208895353891398</v>
      </c>
      <c r="HM177" s="54" t="str">
        <f t="shared" si="313"/>
        <v/>
      </c>
      <c r="HN177" s="54">
        <f>IF($J177="",#N/A,SUM($HM$4:HM177))</f>
        <v>0.71812545963587882</v>
      </c>
      <c r="HO177" s="54" t="str">
        <f t="shared" si="314"/>
        <v/>
      </c>
      <c r="HP177" s="54">
        <f>IF($J177="",#N/A,SUM($HO$4:HO177))</f>
        <v>-0.14859521910082485</v>
      </c>
      <c r="HQ177" s="54">
        <f t="shared" si="315"/>
        <v>0.63378846545750867</v>
      </c>
      <c r="HR177" s="54">
        <f>IF($J177="",#N/A,SUM($HQ$4:HQ177))</f>
        <v>-8.6406786641376172</v>
      </c>
      <c r="HS177" s="54" t="str">
        <f t="shared" si="316"/>
        <v/>
      </c>
      <c r="HT177" s="54">
        <f>IF($J177="",#N/A,SUM($HS$4:HS177))</f>
        <v>12.995994822382864</v>
      </c>
      <c r="HU177" s="65">
        <f t="shared" si="317"/>
        <v>1.1534542490319946</v>
      </c>
      <c r="HV177" s="65">
        <f>IF($J177="",#N/A,SUM(HU$4:$HU177))</f>
        <v>-6.1656564007025665</v>
      </c>
    </row>
    <row r="178" spans="1:230" ht="15.75" thickBot="1" x14ac:dyDescent="0.3">
      <c r="A178" s="292" t="s">
        <v>1579</v>
      </c>
      <c r="B178" s="293" t="s">
        <v>4542</v>
      </c>
      <c r="C178" s="294">
        <f t="shared" si="218"/>
        <v>2</v>
      </c>
      <c r="D178" s="295" t="str">
        <f>_xlfn.XLOOKUP(A178,[1]SP500!$A$2:$A$502,[1]SP500!$D$2:$D$502,"N")</f>
        <v>Y</v>
      </c>
      <c r="E178" s="292" t="str">
        <f>IFERROR(_xlfn.XLOOKUP(A178,[1]SP500!$A$2:$A$655,[1]SP500!$B$2:$B$655),"")</f>
        <v>XLY</v>
      </c>
      <c r="F178" s="296">
        <v>45777</v>
      </c>
      <c r="G178" s="292" t="str">
        <f t="shared" si="219"/>
        <v>BMO</v>
      </c>
      <c r="H178" s="292" t="str">
        <f t="shared" si="220"/>
        <v>s</v>
      </c>
      <c r="I178" s="345">
        <v>17.38</v>
      </c>
      <c r="J178" s="297">
        <v>15.64</v>
      </c>
      <c r="K178" s="298">
        <f t="shared" si="221"/>
        <v>-0.10011507479861902</v>
      </c>
      <c r="L178" s="299">
        <f t="shared" si="222"/>
        <v>104.39999999999986</v>
      </c>
      <c r="M178" s="300">
        <f t="shared" si="223"/>
        <v>8.4000000000000909</v>
      </c>
      <c r="N178" s="341">
        <f t="shared" si="224"/>
        <v>104.39999999999986</v>
      </c>
      <c r="O178" s="300">
        <f>IF(N178="",#N/A,SUM($N$4:N178))</f>
        <v>72.196364100612783</v>
      </c>
      <c r="P178" s="305">
        <f t="shared" si="318"/>
        <v>1.668584579976983</v>
      </c>
      <c r="Q178" s="304">
        <f>IF($N178="",#N/A,SUM($P$4:P178))</f>
        <v>4.5653856353057538</v>
      </c>
      <c r="R178" s="307">
        <f t="shared" si="225"/>
        <v>4.2364963537270945</v>
      </c>
      <c r="S178" s="292" t="str">
        <f t="shared" si="226"/>
        <v>Dwn</v>
      </c>
      <c r="T178" s="292" t="s">
        <v>4462</v>
      </c>
      <c r="U178" s="308">
        <f t="shared" si="227"/>
        <v>17.38</v>
      </c>
      <c r="V178" s="308" t="s">
        <v>4458</v>
      </c>
      <c r="W178" s="310">
        <v>60</v>
      </c>
      <c r="X178" s="309">
        <f t="shared" si="228"/>
        <v>1042.8</v>
      </c>
      <c r="Y178" s="310">
        <f t="shared" si="229"/>
        <v>60</v>
      </c>
      <c r="Z178" s="313">
        <v>15.5</v>
      </c>
      <c r="AA178" s="341">
        <f t="shared" si="230"/>
        <v>112.79999999999995</v>
      </c>
      <c r="AB178" s="341">
        <f t="shared" si="231"/>
        <v>80.999999999999886</v>
      </c>
      <c r="AC178" s="297">
        <v>16.03</v>
      </c>
      <c r="AD178" s="301">
        <f t="shared" si="232"/>
        <v>80.999999999999886</v>
      </c>
      <c r="AE178" s="546">
        <f t="shared" si="233"/>
        <v>1.2945914844649005</v>
      </c>
      <c r="AF178" s="300">
        <f>IF($AC178="",#N/A,SUM(AD$4:AD178))</f>
        <v>-403.66041200241648</v>
      </c>
      <c r="AG178" s="341">
        <f t="shared" si="234"/>
        <v>-23.399999999999977</v>
      </c>
      <c r="AH178" s="308" t="s">
        <v>2507</v>
      </c>
      <c r="AI178" s="305">
        <f t="shared" si="235"/>
        <v>1.8028385116992705</v>
      </c>
      <c r="AJ178" s="360">
        <f>IF(AI178="",#N/A,SUM($AI$4:AI178))</f>
        <v>0.32888928157865882</v>
      </c>
      <c r="AK178" s="300">
        <f t="shared" si="236"/>
        <v>112.79999999999995</v>
      </c>
      <c r="AL178" s="348">
        <f>IF(AI178="",#N/A,IF(AH178="Skip",SUM($AK$4:AK178),SUM($AK$4:AK178)))</f>
        <v>-210.77740850718646</v>
      </c>
      <c r="AM178" s="65">
        <f t="shared" si="319"/>
        <v>1.2945914844649005</v>
      </c>
      <c r="AN178" s="210"/>
      <c r="AO178" s="305" t="str">
        <f t="shared" si="237"/>
        <v/>
      </c>
      <c r="AP178" s="305">
        <f>IF($AC178="",#N/A,SUM(AO$4:AO178))</f>
        <v>5.2891090750201446</v>
      </c>
      <c r="AQ178" s="305" t="str">
        <f t="shared" si="238"/>
        <v/>
      </c>
      <c r="AR178" s="305">
        <f>IF($AC178="",#N/A,SUM(AQ$4:AQ178))</f>
        <v>-2.6179859771653153</v>
      </c>
      <c r="AS178" s="305">
        <f t="shared" si="239"/>
        <v>1.2945914844649005</v>
      </c>
      <c r="AT178" s="305">
        <f>IF($AC178="",#N/A,SUM(AS$4:AS178))</f>
        <v>-7.5421880140924991</v>
      </c>
      <c r="AU178" s="300" t="str">
        <f t="shared" si="320"/>
        <v/>
      </c>
      <c r="AV178" s="300">
        <f>IF($AC178="",#N/A,SUM(AU$4:AU178))</f>
        <v>229.00120645125085</v>
      </c>
      <c r="AW178" s="300" t="str">
        <f t="shared" si="321"/>
        <v/>
      </c>
      <c r="AX178" s="300">
        <f>IF($AC178="",#N/A,SUM(AW$4:AW178))</f>
        <v>-163.1400000000001</v>
      </c>
      <c r="AY178" s="300">
        <f t="shared" si="322"/>
        <v>80.999999999999886</v>
      </c>
      <c r="AZ178" s="300">
        <f>IF($AC178="",#N/A,SUM(AY$4:AY178))</f>
        <v>-469.5216184536672</v>
      </c>
      <c r="BA178" s="300">
        <f>IF(AD178="",#N/A,SUM($AD$4:AD178))</f>
        <v>-403.66041200241648</v>
      </c>
      <c r="BC178" s="292" t="str">
        <f t="shared" si="240"/>
        <v/>
      </c>
      <c r="BD178" s="292" t="str">
        <f t="shared" si="241"/>
        <v/>
      </c>
      <c r="BE178" s="292" t="str">
        <f t="shared" si="242"/>
        <v/>
      </c>
      <c r="BF178" s="292" t="str">
        <f t="shared" si="243"/>
        <v>Short</v>
      </c>
      <c r="BG178" s="292">
        <f t="shared" si="244"/>
        <v>1</v>
      </c>
      <c r="BH178" s="292" t="str">
        <f t="shared" si="245"/>
        <v/>
      </c>
      <c r="BI178" s="292" t="str">
        <f t="shared" si="246"/>
        <v/>
      </c>
      <c r="BK178" s="65">
        <f t="shared" si="217"/>
        <v>0.12387117162478922</v>
      </c>
      <c r="BL178" s="65">
        <f t="shared" si="325"/>
        <v>0.23979444425834415</v>
      </c>
      <c r="BM178" s="65">
        <f>IFERROR(Q178/COUNTA($J$4:J178),#N/A)</f>
        <v>2.608791791603288E-2</v>
      </c>
      <c r="BO178" s="489" t="e">
        <f>IF(J178="",#N/A,IF(S178="SW",(COUNTIFS(K$4:$K178,"&gt;0",S$4:$S178,"SW")/COUNTIF(S$4:$S178,"SW")),#N/A))</f>
        <v>#N/A</v>
      </c>
      <c r="BP178" s="489">
        <f>IF($J178="",#N/A,IF($S178="DWN",(COUNTIFS($K$4:$K178,"&lt;0",$S$4:$S178,"DWN")/COUNTIF($S$4:$S178,"DWN")),#N/A))</f>
        <v>0.56944444444444442</v>
      </c>
      <c r="BQ178" s="489" t="e">
        <f>IF($J178="",#N/A,IF($S178="UP",(COUNTIFS($K$4:$K178,"&gt;0",$S$4:$S178,"UP")/COUNTIF($S$4:$S178,"UP")),#N/A))</f>
        <v>#N/A</v>
      </c>
      <c r="BR178" s="489">
        <f>IF(J178="",#N/A,COUNTIF($K$4:K178,"&gt;0")/COUNT($J$4:J178))</f>
        <v>0.45714285714285713</v>
      </c>
      <c r="BS178" s="65" t="str">
        <f t="shared" si="247"/>
        <v/>
      </c>
      <c r="BT178" s="65" t="str">
        <f t="shared" si="248"/>
        <v/>
      </c>
      <c r="BU178" s="65">
        <f t="shared" si="249"/>
        <v>1.668584579976983</v>
      </c>
      <c r="BV178" s="65" t="str">
        <f t="shared" si="250"/>
        <v/>
      </c>
      <c r="BW178" s="128" t="str">
        <f t="shared" si="251"/>
        <v/>
      </c>
      <c r="BX178" s="128">
        <f>IF($J178="",#N/A,SUM($BW$4:BW178))</f>
        <v>-205.1650000000003</v>
      </c>
      <c r="BY178" s="131">
        <f t="shared" si="252"/>
        <v>104.39999999999986</v>
      </c>
      <c r="BZ178" s="131">
        <f>IF($J178="",#N/A,SUM($BY$4:BY178))</f>
        <v>372.91434038933357</v>
      </c>
      <c r="CA178" s="133" t="str">
        <f t="shared" si="253"/>
        <v/>
      </c>
      <c r="CB178" s="133">
        <f>IF($J178="",#N/A,SUM($CA$4:CA178))</f>
        <v>-95.552976288720487</v>
      </c>
      <c r="CC178" s="194" t="str">
        <f t="shared" si="254"/>
        <v/>
      </c>
      <c r="CD178" s="194">
        <f>IF($J178="",#N/A,SUM($CC$4:CC178))</f>
        <v>-3.1875162177003693</v>
      </c>
      <c r="CE178" s="195">
        <f t="shared" si="255"/>
        <v>1.668584579976983</v>
      </c>
      <c r="CF178" s="195">
        <f>IF($J178="",#N/A,SUM($CE$4:CE178))</f>
        <v>6.819108936231224</v>
      </c>
      <c r="CG178" s="196" t="str">
        <f t="shared" si="256"/>
        <v/>
      </c>
      <c r="CH178" s="196">
        <f>IF($J178="",#N/A,SUM($CG$4:CG178))</f>
        <v>0.93379291677490495</v>
      </c>
      <c r="CI178" s="200" t="str">
        <f t="shared" si="257"/>
        <v/>
      </c>
      <c r="CJ178" s="203">
        <f>IF($J178="",#N/A,SUM(CI$4:CI178))</f>
        <v>0</v>
      </c>
      <c r="CK178" s="204" t="str">
        <f t="shared" si="258"/>
        <v/>
      </c>
      <c r="CL178" s="204">
        <f>IF($J178="",#N/A,SUM(CK$4:CK178))</f>
        <v>1.9927003554442289</v>
      </c>
      <c r="CM178" s="205" t="str">
        <f t="shared" si="259"/>
        <v/>
      </c>
      <c r="CN178" s="205">
        <f>IF($J178="",#N/A,SUM(CM$4:CM178))</f>
        <v>3.3861132786295873</v>
      </c>
      <c r="CO178" s="205">
        <f>IF($J178="",#N/A,SUM(CM$4:CM178,CK$4:CK178,CI$4:CI178))</f>
        <v>5.3788136340738166</v>
      </c>
      <c r="CP178" s="200" t="str">
        <f t="shared" si="260"/>
        <v/>
      </c>
      <c r="CQ178" s="203">
        <f>IF($J178="",#N/A,SUM(CP$4:CP178))</f>
        <v>0</v>
      </c>
      <c r="CR178" s="204" t="str">
        <f t="shared" si="261"/>
        <v/>
      </c>
      <c r="CS178" s="204">
        <f>IF($J178="",#N/A,SUM(CR$4:CR178))</f>
        <v>2.420242024202421</v>
      </c>
      <c r="CT178" s="205" t="str">
        <f t="shared" si="262"/>
        <v/>
      </c>
      <c r="CU178" s="205">
        <f>IF($J178="",#N/A,SUM(CT$4:CT178))</f>
        <v>-1.6961777431035243</v>
      </c>
      <c r="CV178" s="205">
        <f>IF($J178="",#N/A,SUM(CT$4:CT178,CR$4:CR178,CP$4:CP178))</f>
        <v>0.72406428109889664</v>
      </c>
      <c r="CW178" s="200" t="str">
        <f t="shared" si="263"/>
        <v/>
      </c>
      <c r="CX178" s="203">
        <f>IF($J178="",#N/A,SUM(CW$4:CW178))</f>
        <v>0</v>
      </c>
      <c r="CY178" s="204">
        <f t="shared" si="264"/>
        <v>1.668584579976983</v>
      </c>
      <c r="CZ178" s="204">
        <f>IF($J178="",#N/A,SUM(CY$4:CY178))</f>
        <v>-0.26036833003013049</v>
      </c>
      <c r="DA178" s="205" t="str">
        <f t="shared" si="265"/>
        <v/>
      </c>
      <c r="DB178" s="205">
        <f>IF($J178="",#N/A,SUM(DA$4:DA178))</f>
        <v>-2.730105678753044</v>
      </c>
      <c r="DC178" s="205">
        <f>IF($J178="",#N/A,SUM(DA$4:DA178,CY$4:CY178,CW$4:CW178))</f>
        <v>-2.990474008783174</v>
      </c>
      <c r="DD178" s="200" t="str">
        <f t="shared" si="266"/>
        <v/>
      </c>
      <c r="DE178" s="203">
        <f>IF($J178="",#N/A,SUM(DD$4:DD178))</f>
        <v>0.14968716170674062</v>
      </c>
      <c r="DF178" s="204" t="str">
        <f t="shared" si="267"/>
        <v/>
      </c>
      <c r="DG178" s="204">
        <f>IF($J178="",#N/A,SUM(DF$4:DF178))</f>
        <v>1.2121188689979676</v>
      </c>
      <c r="DH178" s="205" t="str">
        <f t="shared" si="268"/>
        <v/>
      </c>
      <c r="DI178" s="205">
        <f>IF($J178="",#N/A,SUM(DH$4:DH178))</f>
        <v>-0.8404015973735236</v>
      </c>
      <c r="DJ178" s="205">
        <f>IF($J178="",#N/A,SUM(DH$4:DH178,DF$4:DF178,DD$4:DD178))</f>
        <v>0.52140443333118447</v>
      </c>
      <c r="DK178" s="200" t="str">
        <f t="shared" si="269"/>
        <v/>
      </c>
      <c r="DL178" s="203">
        <f>IF($J178="",#N/A,SUM(DK$4:DK178))</f>
        <v>-1.2097286851272664</v>
      </c>
      <c r="DM178" s="204" t="str">
        <f t="shared" si="270"/>
        <v/>
      </c>
      <c r="DN178" s="204">
        <f>IF($J178="",#N/A,SUM(DM$4:DM178))</f>
        <v>1.1910608267574658</v>
      </c>
      <c r="DO178" s="205" t="str">
        <f t="shared" si="271"/>
        <v/>
      </c>
      <c r="DP178" s="205">
        <f>IF($J178="",#N/A,SUM(DO$4:DO178))</f>
        <v>1.3495058802125319</v>
      </c>
      <c r="DQ178" s="205">
        <f>IF($J178="",#N/A,SUM(DO$4:DO178,DM$4:DM178,DK$4:DK178))</f>
        <v>1.3308380218427318</v>
      </c>
      <c r="DR178" s="200" t="str">
        <f t="shared" si="272"/>
        <v/>
      </c>
      <c r="DS178" s="203">
        <f>IF($J178="",#N/A,SUM(DR$4:DR178))</f>
        <v>-0.55950946427675097</v>
      </c>
      <c r="DT178" s="204" t="str">
        <f t="shared" si="273"/>
        <v/>
      </c>
      <c r="DU178" s="204">
        <f>IF($J178="",#N/A,SUM(DT$4:DT178))</f>
        <v>-3.5029740333397914</v>
      </c>
      <c r="DV178" s="205" t="str">
        <f t="shared" si="274"/>
        <v/>
      </c>
      <c r="DW178" s="205">
        <f>IF($J178="",#N/A,SUM(DV$4:DV178))</f>
        <v>-1.8527424265931112</v>
      </c>
      <c r="DX178" s="205">
        <f>IF($J178="",#N/A,SUM(DV$4:DV178,DT$4:DT178,DR$4:DR178))</f>
        <v>-5.9152259242096532</v>
      </c>
      <c r="DY178" s="200" t="str">
        <f t="shared" si="275"/>
        <v/>
      </c>
      <c r="DZ178" s="203">
        <f>IF($J178="",#N/A,SUM(DY$4:DY178))</f>
        <v>-1.63480022183437</v>
      </c>
      <c r="EA178" s="204" t="str">
        <f t="shared" si="276"/>
        <v/>
      </c>
      <c r="EB178" s="204">
        <f>IF($J178="",#N/A,SUM(EA$4:EA178))</f>
        <v>0.25705198183658201</v>
      </c>
      <c r="EC178" s="205" t="str">
        <f t="shared" si="277"/>
        <v/>
      </c>
      <c r="ED178" s="205">
        <f>IF($J178="",#N/A,SUM(EC$4:EC178))</f>
        <v>2.4515280577205139</v>
      </c>
      <c r="EE178" s="205">
        <f>IF($J178="",#N/A,SUM(EC$4:EC178,EA$4:EA178,DY$4:DY178))</f>
        <v>1.0737798177227253</v>
      </c>
      <c r="EF178" s="200" t="str">
        <f t="shared" si="278"/>
        <v/>
      </c>
      <c r="EG178" s="203">
        <f>IF($J178="",#N/A,SUM(EF$4:EF178))</f>
        <v>0</v>
      </c>
      <c r="EH178" s="204" t="str">
        <f t="shared" si="279"/>
        <v/>
      </c>
      <c r="EI178" s="204">
        <f>IF($J178="",#N/A,SUM(EH$4:EH178))</f>
        <v>-1.1184224685150388</v>
      </c>
      <c r="EJ178" s="205" t="str">
        <f t="shared" si="280"/>
        <v/>
      </c>
      <c r="EK178" s="205">
        <f>IF($J178="",#N/A,SUM(EJ$4:EJ178))</f>
        <v>2.804966392787259</v>
      </c>
      <c r="EL178" s="205">
        <f>IF($J178="",#N/A,SUM(EJ$4:EJ178,EH$4:EH178,EF$4:EF178))</f>
        <v>1.6865439242722209</v>
      </c>
      <c r="EM178" s="200" t="str">
        <f t="shared" si="281"/>
        <v/>
      </c>
      <c r="EN178" s="203">
        <f>IF($J178="",#N/A,SUM(EM$4:EM178))</f>
        <v>0</v>
      </c>
      <c r="EO178" s="204" t="str">
        <f t="shared" si="282"/>
        <v/>
      </c>
      <c r="EP178" s="204">
        <f>IF($J178="",#N/A,SUM(EO$4:EO178))</f>
        <v>2.5139292856891995</v>
      </c>
      <c r="EQ178" s="205" t="str">
        <f t="shared" si="283"/>
        <v/>
      </c>
      <c r="ER178" s="205">
        <f>IF($J178="",#N/A,SUM(EQ$4:EQ178))</f>
        <v>2.0221833315059508</v>
      </c>
      <c r="ES178" s="205">
        <f>IF($J178="",#N/A,SUM(EQ$4:EQ178,EO$4:EO178,EM$4:EM178))</f>
        <v>4.5361126171951494</v>
      </c>
      <c r="ET178" s="200" t="str">
        <f t="shared" si="284"/>
        <v/>
      </c>
      <c r="EU178" s="203">
        <f>IF($J178="",#N/A,SUM(ET$4:ET178))</f>
        <v>0</v>
      </c>
      <c r="EV178" s="204" t="str">
        <f t="shared" si="285"/>
        <v/>
      </c>
      <c r="EW178" s="204">
        <f>IF($J178="",#N/A,SUM(EV$4:EV178))</f>
        <v>0.90459527759708336</v>
      </c>
      <c r="EX178" s="205" t="str">
        <f t="shared" si="286"/>
        <v/>
      </c>
      <c r="EY178" s="205">
        <f>IF($J178="",#N/A,SUM(EX$4:EX178))</f>
        <v>0.22957553748493481</v>
      </c>
      <c r="EZ178" s="205">
        <f>IF($J178="",#N/A,SUM(EX$4:EX178,EV$4:EV178,ET$4:ET178))</f>
        <v>1.134170815082018</v>
      </c>
      <c r="FA178" s="200" t="str">
        <f t="shared" si="287"/>
        <v/>
      </c>
      <c r="FB178" s="203">
        <f>IF($J178="",#N/A,SUM(FA$4:FA178))</f>
        <v>0</v>
      </c>
      <c r="FC178" s="204" t="str">
        <f t="shared" si="288"/>
        <v/>
      </c>
      <c r="FD178" s="204">
        <f>IF($J178="",#N/A,SUM(FC$4:FC178))</f>
        <v>1.6839191319663924</v>
      </c>
      <c r="FE178" s="205" t="str">
        <f t="shared" si="289"/>
        <v/>
      </c>
      <c r="FF178" s="205">
        <f>IF($J178="",#N/A,SUM(FE$4:FE178))</f>
        <v>-0.28811149078748233</v>
      </c>
      <c r="FG178" s="205">
        <f>IF($J178="",#N/A,SUM(FE$4:FE178,FC$4:FC178,FA$4:FA178))</f>
        <v>1.3958076411789102</v>
      </c>
      <c r="FH178" s="200" t="str">
        <f t="shared" si="290"/>
        <v/>
      </c>
      <c r="FI178" s="203">
        <f>IF($J178="",#N/A,SUM(FH$4:FH178))</f>
        <v>0</v>
      </c>
      <c r="FJ178" s="204" t="str">
        <f t="shared" si="291"/>
        <v/>
      </c>
      <c r="FK178" s="204">
        <f>IF($J178="",#N/A,SUM(FJ$4:FJ178))</f>
        <v>0</v>
      </c>
      <c r="FL178" s="205" t="str">
        <f t="shared" si="292"/>
        <v/>
      </c>
      <c r="FM178" s="205">
        <f>IF($J178="",#N/A,SUM(FL$4:FL178))</f>
        <v>0</v>
      </c>
      <c r="FN178" s="205">
        <f>IF($J178="",#N/A,SUM(FL$4:FL178,FJ$4:FJ178,FH$4:FH178))</f>
        <v>0</v>
      </c>
      <c r="FO178" s="200" t="str">
        <f t="shared" si="293"/>
        <v/>
      </c>
      <c r="FP178" s="203">
        <f>IF($J178="",#N/A,SUM(FO$4:FO178))</f>
        <v>0</v>
      </c>
      <c r="FQ178" s="204" t="str">
        <f t="shared" si="294"/>
        <v/>
      </c>
      <c r="FR178" s="204">
        <f>IF($J178="",#N/A,SUM(FQ$4:FQ178))</f>
        <v>0</v>
      </c>
      <c r="FS178" s="205" t="str">
        <f t="shared" si="295"/>
        <v/>
      </c>
      <c r="FT178" s="205">
        <f>IF($J178="",#N/A,SUM(FS$4:FS178))</f>
        <v>0</v>
      </c>
      <c r="FU178" s="205">
        <f>IF($J178="",#N/A,SUM(FS$4:FS178,FQ$4:FQ178,FO$4:FO178))</f>
        <v>0</v>
      </c>
      <c r="FV178" s="200" t="str">
        <f t="shared" si="296"/>
        <v/>
      </c>
      <c r="FW178" s="203">
        <f>IF($J178="",#N/A,SUM(FV$4:FV178))</f>
        <v>6.6834991831277585E-2</v>
      </c>
      <c r="FX178" s="204" t="str">
        <f t="shared" si="297"/>
        <v/>
      </c>
      <c r="FY178" s="204">
        <f>IF($J178="",#N/A,SUM(FX$4:FX178))</f>
        <v>0</v>
      </c>
      <c r="FZ178" s="205" t="str">
        <f t="shared" si="298"/>
        <v/>
      </c>
      <c r="GA178" s="205">
        <f>IF($J178="",#N/A,SUM(FZ$4:FZ178))</f>
        <v>-0.96570439723286938</v>
      </c>
      <c r="GB178" s="205">
        <f>IF($J178="",#N/A,SUM(FZ$4:FZ178,FX$4:FX178,FV$4:FV178))</f>
        <v>-0.89886940540159177</v>
      </c>
      <c r="GC178" s="200" t="str">
        <f t="shared" si="299"/>
        <v/>
      </c>
      <c r="GD178" s="203">
        <f>IF($J178="",#N/A,SUM(GC$4:GC178))</f>
        <v>0</v>
      </c>
      <c r="GE178" s="204" t="str">
        <f t="shared" si="300"/>
        <v/>
      </c>
      <c r="GF178" s="204">
        <f>IF($J178="",#N/A,SUM(GE$4:GE178))</f>
        <v>0</v>
      </c>
      <c r="GG178" s="205" t="str">
        <f t="shared" si="301"/>
        <v/>
      </c>
      <c r="GH178" s="205">
        <f>IF($J178="",#N/A,SUM(GG$4:GG178))</f>
        <v>-2.9368362277223206</v>
      </c>
      <c r="GI178" s="205">
        <f>IF($J178="",#N/A,SUM(GG$4:GG178,GE$4:GE178,GC$4:GC178))</f>
        <v>-2.9368362277223206</v>
      </c>
      <c r="GJ178" s="200" t="str">
        <f t="shared" si="302"/>
        <v/>
      </c>
      <c r="GK178" s="203">
        <f>IF($J178="",#N/A,SUM(GJ$4:GJ178))</f>
        <v>0</v>
      </c>
      <c r="GL178" s="204" t="str">
        <f t="shared" si="303"/>
        <v/>
      </c>
      <c r="GM178" s="204">
        <f>IF($J178="",#N/A,SUM(GL$4:GL178))</f>
        <v>-0.80168930905701452</v>
      </c>
      <c r="GN178" s="205" t="str">
        <f t="shared" si="304"/>
        <v/>
      </c>
      <c r="GO178" s="205">
        <f>IF($J178="",#N/A,SUM(GN$4:GN178))</f>
        <v>0</v>
      </c>
      <c r="GP178" s="205">
        <f>IF($J178="",#N/A,SUM(GN$4:GN178,GL$4:GL178,GJ$4:GJ178))</f>
        <v>-0.80168930905701452</v>
      </c>
      <c r="GS178" s="303">
        <f t="shared" si="323"/>
        <v>1.668584579976983</v>
      </c>
      <c r="GT178" s="303">
        <f>IF(GS178="",NA(),SUM($GS$4:GS178))</f>
        <v>1.9114554643362072</v>
      </c>
      <c r="GU178" s="303" t="str">
        <f t="shared" si="305"/>
        <v/>
      </c>
      <c r="GV178" s="303" t="e">
        <f>IF(GU178="",NA(),SUM($GU$4:GU178))</f>
        <v>#N/A</v>
      </c>
      <c r="GW178" s="303" t="str">
        <f t="shared" si="306"/>
        <v/>
      </c>
      <c r="GX178" s="303" t="e">
        <f>IF(GW178="",NA(),SUM($GW$4:GW178))</f>
        <v>#N/A</v>
      </c>
      <c r="GY178" s="303">
        <f t="shared" si="307"/>
        <v>1.668584579976983</v>
      </c>
      <c r="GZ178" s="303">
        <f>IF(GY178="",NA(),SUM($GY$4:GY178))</f>
        <v>3.8452322593278594</v>
      </c>
      <c r="HA178" s="303" t="str">
        <f t="shared" si="308"/>
        <v/>
      </c>
      <c r="HB178" s="303" t="e">
        <f>IF(HA178="",NA(),SUM($HA$4:HA178))</f>
        <v>#N/A</v>
      </c>
      <c r="HC178" s="303" t="str">
        <f t="shared" si="309"/>
        <v/>
      </c>
      <c r="HD178" s="303" t="e">
        <f>IF(HC178="",NA(),SUM($HC$4:HC178))</f>
        <v>#N/A</v>
      </c>
      <c r="HE178" s="303" t="str">
        <f t="shared" si="310"/>
        <v/>
      </c>
      <c r="HF178" s="303" t="e">
        <f>IF(HE178="",NA(),SUM($HE$4:HE178))</f>
        <v>#N/A</v>
      </c>
      <c r="HG178" s="303" t="str">
        <f t="shared" si="311"/>
        <v/>
      </c>
      <c r="HH178" s="303" t="e">
        <f>IF(HG178="",NA(),SUM($HG$4:HG178))</f>
        <v>#N/A</v>
      </c>
      <c r="HI178" s="304">
        <f t="shared" si="324"/>
        <v>-0.37399309551208249</v>
      </c>
      <c r="HJ178" s="304">
        <f>IF($J178="",#N/A,SUM(HI$4:$HI178))</f>
        <v>-8.6404074149345771</v>
      </c>
      <c r="HK178" s="303" t="str">
        <f t="shared" si="312"/>
        <v/>
      </c>
      <c r="HL178" s="303">
        <f>IF($J178="",#N/A,SUM($HK$4:HK178))</f>
        <v>-5.7208895353891398</v>
      </c>
      <c r="HM178" s="303" t="str">
        <f t="shared" si="313"/>
        <v/>
      </c>
      <c r="HN178" s="303">
        <f>IF($J178="",#N/A,SUM($HM$4:HM178))</f>
        <v>0.71812545963587882</v>
      </c>
      <c r="HO178" s="303" t="str">
        <f t="shared" si="314"/>
        <v/>
      </c>
      <c r="HP178" s="303">
        <f>IF($J178="",#N/A,SUM($HO$4:HO178))</f>
        <v>-0.14859521910082485</v>
      </c>
      <c r="HQ178" s="303" t="str">
        <f t="shared" si="315"/>
        <v/>
      </c>
      <c r="HR178" s="303">
        <f>IF($J178="",#N/A,SUM($HQ$4:HQ178))</f>
        <v>-8.6406786641376172</v>
      </c>
      <c r="HS178" s="303" t="str">
        <f t="shared" si="316"/>
        <v/>
      </c>
      <c r="HT178" s="303">
        <f>IF($J178="",#N/A,SUM($HS$4:HS178))</f>
        <v>12.995994822382864</v>
      </c>
      <c r="HU178" s="305">
        <f t="shared" si="317"/>
        <v>1.2945914844649005</v>
      </c>
      <c r="HV178" s="305">
        <f>IF($J178="",#N/A,SUM(HU$4:$HU178))</f>
        <v>-4.8710649162376658</v>
      </c>
    </row>
    <row r="179" spans="1:230" x14ac:dyDescent="0.25">
      <c r="A179" s="59" t="s">
        <v>1264</v>
      </c>
      <c r="B179" s="289" t="s">
        <v>4543</v>
      </c>
      <c r="C179" s="230">
        <f t="shared" si="218"/>
        <v>3</v>
      </c>
      <c r="D179" s="220" t="str">
        <f>_xlfn.XLOOKUP(A179,[1]SP500!$A$2:$A$502,[1]SP500!$D$2:$D$502,"N")</f>
        <v>Y</v>
      </c>
      <c r="E179" s="59" t="str">
        <f>IFERROR(_xlfn.XLOOKUP(A179,[1]SP500!$A$2:$A$655,[1]SP500!$B$2:$B$655),"")</f>
        <v>XLK</v>
      </c>
      <c r="F179" s="290">
        <v>45777</v>
      </c>
      <c r="G179" s="59" t="str">
        <f t="shared" si="219"/>
        <v>AMC</v>
      </c>
      <c r="H179" s="59" t="str">
        <f t="shared" si="220"/>
        <v>s</v>
      </c>
      <c r="I179" s="342">
        <v>395.26</v>
      </c>
      <c r="J179" s="125">
        <v>431.11</v>
      </c>
      <c r="K179" s="60">
        <f t="shared" si="221"/>
        <v>9.0699792541618238E-2</v>
      </c>
      <c r="L179" s="68">
        <f t="shared" si="222"/>
        <v>107.54999999999995</v>
      </c>
      <c r="M179" s="62" t="e">
        <f t="shared" si="223"/>
        <v>#N/A</v>
      </c>
      <c r="N179" s="63">
        <f t="shared" si="224"/>
        <v>107.54999999999995</v>
      </c>
      <c r="O179" s="62">
        <f>IF(N179="",#N/A,SUM($N$4:N179))</f>
        <v>179.74636410061274</v>
      </c>
      <c r="P179" s="64">
        <f t="shared" si="318"/>
        <v>1.511663209026969</v>
      </c>
      <c r="Q179" s="183">
        <f>IF($N179="",#N/A,SUM($P$4:P179))</f>
        <v>6.0770488443327224</v>
      </c>
      <c r="R179" s="279">
        <f t="shared" si="225"/>
        <v>4.758515615310186</v>
      </c>
      <c r="S179" s="59" t="str">
        <f t="shared" si="226"/>
        <v>SW</v>
      </c>
      <c r="T179" s="59" t="s">
        <v>2828</v>
      </c>
      <c r="U179" s="61">
        <f t="shared" si="227"/>
        <v>395.26</v>
      </c>
      <c r="V179" s="61" t="s">
        <v>4460</v>
      </c>
      <c r="W179" s="142">
        <v>3</v>
      </c>
      <c r="X179" s="146">
        <f t="shared" si="228"/>
        <v>1185.78</v>
      </c>
      <c r="Y179" s="142">
        <f t="shared" si="229"/>
        <v>3</v>
      </c>
      <c r="Z179" s="278">
        <v>418.73</v>
      </c>
      <c r="AA179" s="63">
        <f t="shared" si="230"/>
        <v>70.410000000000082</v>
      </c>
      <c r="AB179" s="63">
        <f t="shared" si="231"/>
        <v>90.419999999999845</v>
      </c>
      <c r="AC179" s="125">
        <v>425.4</v>
      </c>
      <c r="AD179" s="148">
        <f t="shared" si="232"/>
        <v>90.419999999999845</v>
      </c>
      <c r="AE179" s="544">
        <f t="shared" si="233"/>
        <v>1.2708934203646522</v>
      </c>
      <c r="AF179" s="62">
        <f>IF($AC179="",#N/A,SUM(AD$4:AD179))</f>
        <v>-313.24041200241663</v>
      </c>
      <c r="AG179" s="63">
        <f t="shared" si="234"/>
        <v>-17.130000000000109</v>
      </c>
      <c r="AH179" s="61" t="s">
        <v>4471</v>
      </c>
      <c r="AI179" s="64">
        <f t="shared" si="235"/>
        <v>0.98964394744387774</v>
      </c>
      <c r="AJ179" s="177">
        <f>IF(AI179="",#N/A,SUM($AI$4:AI179))</f>
        <v>1.3185332290225364</v>
      </c>
      <c r="AK179" s="62">
        <f t="shared" si="236"/>
        <v>70.410000000000082</v>
      </c>
      <c r="AL179" s="351">
        <f>IF(AI179="",#N/A,IF(AH179="Skip",SUM($AK$4:AK179),SUM($AK$4:AK179)))</f>
        <v>-140.36740850718638</v>
      </c>
      <c r="AM179" s="65">
        <f t="shared" si="319"/>
        <v>1.2708934203646522</v>
      </c>
      <c r="AN179" s="209"/>
      <c r="AO179" s="64">
        <f t="shared" si="237"/>
        <v>1.2708934203646522</v>
      </c>
      <c r="AP179" s="64">
        <f>IF($AC179="",#N/A,SUM(AO$4:AO179))</f>
        <v>6.5600024953847971</v>
      </c>
      <c r="AQ179" s="64" t="str">
        <f t="shared" si="238"/>
        <v/>
      </c>
      <c r="AR179" s="64">
        <f>IF($AC179="",#N/A,SUM(AQ$4:AQ179))</f>
        <v>-2.6179859771653153</v>
      </c>
      <c r="AS179" s="64" t="str">
        <f t="shared" si="239"/>
        <v/>
      </c>
      <c r="AT179" s="64">
        <f>IF($AC179="",#N/A,SUM(AS$4:AS179))</f>
        <v>-7.5421880140924991</v>
      </c>
      <c r="AU179" s="62">
        <f t="shared" si="320"/>
        <v>90.419999999999845</v>
      </c>
      <c r="AV179" s="62">
        <f>IF($AC179="",#N/A,SUM(AU$4:AU179))</f>
        <v>319.42120645125067</v>
      </c>
      <c r="AW179" s="62" t="str">
        <f t="shared" si="321"/>
        <v/>
      </c>
      <c r="AX179" s="62">
        <f>IF($AC179="",#N/A,SUM(AW$4:AW179))</f>
        <v>-163.1400000000001</v>
      </c>
      <c r="AY179" s="62" t="str">
        <f t="shared" si="322"/>
        <v/>
      </c>
      <c r="AZ179" s="62">
        <f>IF($AC179="",#N/A,SUM(AY$4:AY179))</f>
        <v>-469.5216184536672</v>
      </c>
      <c r="BA179" s="62">
        <f>IF(AD179="",#N/A,SUM($AD$4:AD179))</f>
        <v>-313.24041200241663</v>
      </c>
      <c r="BC179" s="59" t="str">
        <f t="shared" si="240"/>
        <v/>
      </c>
      <c r="BD179" s="59" t="str">
        <f t="shared" si="241"/>
        <v/>
      </c>
      <c r="BE179" s="59">
        <f t="shared" si="242"/>
        <v>1</v>
      </c>
      <c r="BF179" s="59" t="str">
        <f t="shared" si="243"/>
        <v>Long</v>
      </c>
      <c r="BG179" s="59" t="str">
        <f t="shared" si="244"/>
        <v/>
      </c>
      <c r="BH179" s="59" t="str">
        <f t="shared" si="245"/>
        <v/>
      </c>
      <c r="BI179" s="59" t="str">
        <f t="shared" si="246"/>
        <v/>
      </c>
      <c r="BK179" s="65">
        <f t="shared" si="217"/>
        <v>0.14578304520849997</v>
      </c>
      <c r="BL179" s="65">
        <f t="shared" si="325"/>
        <v>0.25504038438412868</v>
      </c>
      <c r="BM179" s="65">
        <f>IFERROR(Q179/COUNTA($J$4:J179),#N/A)</f>
        <v>3.4528686615526834E-2</v>
      </c>
      <c r="BO179" s="489">
        <f>IF(J179="",#N/A,IF(S179="SW",(COUNTIFS(K$4:$K179,"&gt;0",S$4:$S179,"SW")/COUNTIF(S$4:$S179,"SW")),#N/A))</f>
        <v>0.48958333333333331</v>
      </c>
      <c r="BP179" s="489" t="e">
        <f>IF($J179="",#N/A,IF($S179="DWN",(COUNTIFS($K$4:$K179,"&lt;0",$S$4:$S179,"DWN")/COUNTIF($S$4:$S179,"DWN")),#N/A))</f>
        <v>#N/A</v>
      </c>
      <c r="BQ179" s="489" t="e">
        <f>IF($J179="",#N/A,IF($S179="UP",(COUNTIFS($K$4:$K179,"&gt;0",$S$4:$S179,"UP")/COUNTIF($S$4:$S179,"UP")),#N/A))</f>
        <v>#N/A</v>
      </c>
      <c r="BR179" s="489">
        <f>IF(J179="",#N/A,COUNTIF($K$4:K179,"&gt;0")/COUNT($J$4:J179))</f>
        <v>0.46022727272727271</v>
      </c>
      <c r="BS179" s="65">
        <f t="shared" si="247"/>
        <v>1.511663209026969</v>
      </c>
      <c r="BT179" s="65" t="str">
        <f t="shared" si="248"/>
        <v/>
      </c>
      <c r="BU179" s="65" t="str">
        <f t="shared" si="249"/>
        <v/>
      </c>
      <c r="BV179" s="65" t="str">
        <f t="shared" si="250"/>
        <v/>
      </c>
      <c r="BW179" s="128" t="str">
        <f t="shared" si="251"/>
        <v/>
      </c>
      <c r="BX179" s="128">
        <f>IF($J179="",#N/A,SUM($BW$4:BW179))</f>
        <v>-205.1650000000003</v>
      </c>
      <c r="BY179" s="131" t="str">
        <f t="shared" si="252"/>
        <v/>
      </c>
      <c r="BZ179" s="131">
        <f>IF($J179="",#N/A,SUM($BY$4:BY179))</f>
        <v>372.91434038933357</v>
      </c>
      <c r="CA179" s="133">
        <f t="shared" si="253"/>
        <v>107.54999999999995</v>
      </c>
      <c r="CB179" s="133">
        <f>IF($J179="",#N/A,SUM($CA$4:CA179))</f>
        <v>11.997023711279468</v>
      </c>
      <c r="CC179" s="194" t="str">
        <f t="shared" si="254"/>
        <v/>
      </c>
      <c r="CD179" s="194">
        <f>IF($J179="",#N/A,SUM($CC$4:CC179))</f>
        <v>-3.1875162177003693</v>
      </c>
      <c r="CE179" s="195" t="str">
        <f t="shared" si="255"/>
        <v/>
      </c>
      <c r="CF179" s="195">
        <f>IF($J179="",#N/A,SUM($CE$4:CE179))</f>
        <v>6.819108936231224</v>
      </c>
      <c r="CG179" s="196">
        <f t="shared" si="256"/>
        <v>1.511663209026969</v>
      </c>
      <c r="CH179" s="193">
        <f>IF($J179="",#N/A,SUM($CG$4:CG179))</f>
        <v>2.4454561258018739</v>
      </c>
      <c r="CI179" s="200" t="str">
        <f t="shared" si="257"/>
        <v/>
      </c>
      <c r="CJ179" s="203">
        <f>IF($J179="",#N/A,SUM(CI$4:CI179))</f>
        <v>0</v>
      </c>
      <c r="CK179" s="204" t="str">
        <f t="shared" si="258"/>
        <v/>
      </c>
      <c r="CL179" s="204">
        <f>IF($J179="",#N/A,SUM(CK$4:CK179))</f>
        <v>1.9927003554442289</v>
      </c>
      <c r="CM179" s="205">
        <f t="shared" si="259"/>
        <v>1.511663209026969</v>
      </c>
      <c r="CN179" s="205">
        <f>IF($J179="",#N/A,SUM(CM$4:CM179))</f>
        <v>4.8977764876565564</v>
      </c>
      <c r="CO179" s="205">
        <f>IF($J179="",#N/A,SUM(CM$4:CM179,CK$4:CK179,CI$4:CI179))</f>
        <v>6.8904768431007852</v>
      </c>
      <c r="CP179" s="200" t="str">
        <f t="shared" si="260"/>
        <v/>
      </c>
      <c r="CQ179" s="203">
        <f>IF($J179="",#N/A,SUM(CP$4:CP179))</f>
        <v>0</v>
      </c>
      <c r="CR179" s="204" t="str">
        <f t="shared" si="261"/>
        <v/>
      </c>
      <c r="CS179" s="204">
        <f>IF($J179="",#N/A,SUM(CR$4:CR179))</f>
        <v>2.420242024202421</v>
      </c>
      <c r="CT179" s="205" t="str">
        <f t="shared" si="262"/>
        <v/>
      </c>
      <c r="CU179" s="205">
        <f>IF($J179="",#N/A,SUM(CT$4:CT179))</f>
        <v>-1.6961777431035243</v>
      </c>
      <c r="CV179" s="205">
        <f>IF($J179="",#N/A,SUM(CT$4:CT179,CR$4:CR179,CP$4:CP179))</f>
        <v>0.72406428109889664</v>
      </c>
      <c r="CW179" s="200" t="str">
        <f t="shared" si="263"/>
        <v/>
      </c>
      <c r="CX179" s="203">
        <f>IF($J179="",#N/A,SUM(CW$4:CW179))</f>
        <v>0</v>
      </c>
      <c r="CY179" s="204" t="str">
        <f t="shared" si="264"/>
        <v/>
      </c>
      <c r="CZ179" s="204">
        <f>IF($J179="",#N/A,SUM(CY$4:CY179))</f>
        <v>-0.26036833003013049</v>
      </c>
      <c r="DA179" s="205" t="str">
        <f t="shared" si="265"/>
        <v/>
      </c>
      <c r="DB179" s="205">
        <f>IF($J179="",#N/A,SUM(DA$4:DA179))</f>
        <v>-2.730105678753044</v>
      </c>
      <c r="DC179" s="205">
        <f>IF($J179="",#N/A,SUM(DA$4:DA179,CY$4:CY179,CW$4:CW179))</f>
        <v>-2.990474008783174</v>
      </c>
      <c r="DD179" s="200" t="str">
        <f t="shared" si="266"/>
        <v/>
      </c>
      <c r="DE179" s="203">
        <f>IF($J179="",#N/A,SUM(DD$4:DD179))</f>
        <v>0.14968716170674062</v>
      </c>
      <c r="DF179" s="204" t="str">
        <f t="shared" si="267"/>
        <v/>
      </c>
      <c r="DG179" s="204">
        <f>IF($J179="",#N/A,SUM(DF$4:DF179))</f>
        <v>1.2121188689979676</v>
      </c>
      <c r="DH179" s="205" t="str">
        <f t="shared" si="268"/>
        <v/>
      </c>
      <c r="DI179" s="205">
        <f>IF($J179="",#N/A,SUM(DH$4:DH179))</f>
        <v>-0.8404015973735236</v>
      </c>
      <c r="DJ179" s="205">
        <f>IF($J179="",#N/A,SUM(DH$4:DH179,DF$4:DF179,DD$4:DD179))</f>
        <v>0.52140443333118447</v>
      </c>
      <c r="DK179" s="200" t="str">
        <f t="shared" si="269"/>
        <v/>
      </c>
      <c r="DL179" s="203">
        <f>IF($J179="",#N/A,SUM(DK$4:DK179))</f>
        <v>-1.2097286851272664</v>
      </c>
      <c r="DM179" s="204" t="str">
        <f t="shared" si="270"/>
        <v/>
      </c>
      <c r="DN179" s="204">
        <f>IF($J179="",#N/A,SUM(DM$4:DM179))</f>
        <v>1.1910608267574658</v>
      </c>
      <c r="DO179" s="205" t="str">
        <f t="shared" si="271"/>
        <v/>
      </c>
      <c r="DP179" s="205">
        <f>IF($J179="",#N/A,SUM(DO$4:DO179))</f>
        <v>1.3495058802125319</v>
      </c>
      <c r="DQ179" s="205">
        <f>IF($J179="",#N/A,SUM(DO$4:DO179,DM$4:DM179,DK$4:DK179))</f>
        <v>1.3308380218427318</v>
      </c>
      <c r="DR179" s="200" t="str">
        <f t="shared" si="272"/>
        <v/>
      </c>
      <c r="DS179" s="203">
        <f>IF($J179="",#N/A,SUM(DR$4:DR179))</f>
        <v>-0.55950946427675097</v>
      </c>
      <c r="DT179" s="204" t="str">
        <f t="shared" si="273"/>
        <v/>
      </c>
      <c r="DU179" s="204">
        <f>IF($J179="",#N/A,SUM(DT$4:DT179))</f>
        <v>-3.5029740333397914</v>
      </c>
      <c r="DV179" s="205" t="str">
        <f t="shared" si="274"/>
        <v/>
      </c>
      <c r="DW179" s="205">
        <f>IF($J179="",#N/A,SUM(DV$4:DV179))</f>
        <v>-1.8527424265931112</v>
      </c>
      <c r="DX179" s="205">
        <f>IF($J179="",#N/A,SUM(DV$4:DV179,DT$4:DT179,DR$4:DR179))</f>
        <v>-5.9152259242096532</v>
      </c>
      <c r="DY179" s="200" t="str">
        <f t="shared" si="275"/>
        <v/>
      </c>
      <c r="DZ179" s="203">
        <f>IF($J179="",#N/A,SUM(DY$4:DY179))</f>
        <v>-1.63480022183437</v>
      </c>
      <c r="EA179" s="204" t="str">
        <f t="shared" si="276"/>
        <v/>
      </c>
      <c r="EB179" s="204">
        <f>IF($J179="",#N/A,SUM(EA$4:EA179))</f>
        <v>0.25705198183658201</v>
      </c>
      <c r="EC179" s="205" t="str">
        <f t="shared" si="277"/>
        <v/>
      </c>
      <c r="ED179" s="205">
        <f>IF($J179="",#N/A,SUM(EC$4:EC179))</f>
        <v>2.4515280577205139</v>
      </c>
      <c r="EE179" s="205">
        <f>IF($J179="",#N/A,SUM(EC$4:EC179,EA$4:EA179,DY$4:DY179))</f>
        <v>1.0737798177227253</v>
      </c>
      <c r="EF179" s="200" t="str">
        <f t="shared" si="278"/>
        <v/>
      </c>
      <c r="EG179" s="203">
        <f>IF($J179="",#N/A,SUM(EF$4:EF179))</f>
        <v>0</v>
      </c>
      <c r="EH179" s="204" t="str">
        <f t="shared" si="279"/>
        <v/>
      </c>
      <c r="EI179" s="204">
        <f>IF($J179="",#N/A,SUM(EH$4:EH179))</f>
        <v>-1.1184224685150388</v>
      </c>
      <c r="EJ179" s="205" t="str">
        <f t="shared" si="280"/>
        <v/>
      </c>
      <c r="EK179" s="205">
        <f>IF($J179="",#N/A,SUM(EJ$4:EJ179))</f>
        <v>2.804966392787259</v>
      </c>
      <c r="EL179" s="205">
        <f>IF($J179="",#N/A,SUM(EJ$4:EJ179,EH$4:EH179,EF$4:EF179))</f>
        <v>1.6865439242722209</v>
      </c>
      <c r="EM179" s="200" t="str">
        <f t="shared" si="281"/>
        <v/>
      </c>
      <c r="EN179" s="203">
        <f>IF($J179="",#N/A,SUM(EM$4:EM179))</f>
        <v>0</v>
      </c>
      <c r="EO179" s="204" t="str">
        <f t="shared" si="282"/>
        <v/>
      </c>
      <c r="EP179" s="204">
        <f>IF($J179="",#N/A,SUM(EO$4:EO179))</f>
        <v>2.5139292856891995</v>
      </c>
      <c r="EQ179" s="205" t="str">
        <f t="shared" si="283"/>
        <v/>
      </c>
      <c r="ER179" s="205">
        <f>IF($J179="",#N/A,SUM(EQ$4:EQ179))</f>
        <v>2.0221833315059508</v>
      </c>
      <c r="ES179" s="205">
        <f>IF($J179="",#N/A,SUM(EQ$4:EQ179,EO$4:EO179,EM$4:EM179))</f>
        <v>4.5361126171951494</v>
      </c>
      <c r="ET179" s="200" t="str">
        <f t="shared" si="284"/>
        <v/>
      </c>
      <c r="EU179" s="203">
        <f>IF($J179="",#N/A,SUM(ET$4:ET179))</f>
        <v>0</v>
      </c>
      <c r="EV179" s="204" t="str">
        <f t="shared" si="285"/>
        <v/>
      </c>
      <c r="EW179" s="204">
        <f>IF($J179="",#N/A,SUM(EV$4:EV179))</f>
        <v>0.90459527759708336</v>
      </c>
      <c r="EX179" s="205" t="str">
        <f t="shared" si="286"/>
        <v/>
      </c>
      <c r="EY179" s="205">
        <f>IF($J179="",#N/A,SUM(EX$4:EX179))</f>
        <v>0.22957553748493481</v>
      </c>
      <c r="EZ179" s="205">
        <f>IF($J179="",#N/A,SUM(EX$4:EX179,EV$4:EV179,ET$4:ET179))</f>
        <v>1.134170815082018</v>
      </c>
      <c r="FA179" s="200" t="str">
        <f t="shared" si="287"/>
        <v/>
      </c>
      <c r="FB179" s="203">
        <f>IF($J179="",#N/A,SUM(FA$4:FA179))</f>
        <v>0</v>
      </c>
      <c r="FC179" s="204" t="str">
        <f t="shared" si="288"/>
        <v/>
      </c>
      <c r="FD179" s="204">
        <f>IF($J179="",#N/A,SUM(FC$4:FC179))</f>
        <v>1.6839191319663924</v>
      </c>
      <c r="FE179" s="205" t="str">
        <f t="shared" si="289"/>
        <v/>
      </c>
      <c r="FF179" s="205">
        <f>IF($J179="",#N/A,SUM(FE$4:FE179))</f>
        <v>-0.28811149078748233</v>
      </c>
      <c r="FG179" s="205">
        <f>IF($J179="",#N/A,SUM(FE$4:FE179,FC$4:FC179,FA$4:FA179))</f>
        <v>1.3958076411789102</v>
      </c>
      <c r="FH179" s="200" t="str">
        <f t="shared" si="290"/>
        <v/>
      </c>
      <c r="FI179" s="203">
        <f>IF($J179="",#N/A,SUM(FH$4:FH179))</f>
        <v>0</v>
      </c>
      <c r="FJ179" s="204" t="str">
        <f t="shared" si="291"/>
        <v/>
      </c>
      <c r="FK179" s="204">
        <f>IF($J179="",#N/A,SUM(FJ$4:FJ179))</f>
        <v>0</v>
      </c>
      <c r="FL179" s="205" t="str">
        <f t="shared" si="292"/>
        <v/>
      </c>
      <c r="FM179" s="205">
        <f>IF($J179="",#N/A,SUM(FL$4:FL179))</f>
        <v>0</v>
      </c>
      <c r="FN179" s="205">
        <f>IF($J179="",#N/A,SUM(FL$4:FL179,FJ$4:FJ179,FH$4:FH179))</f>
        <v>0</v>
      </c>
      <c r="FO179" s="200" t="str">
        <f t="shared" si="293"/>
        <v/>
      </c>
      <c r="FP179" s="203">
        <f>IF($J179="",#N/A,SUM(FO$4:FO179))</f>
        <v>0</v>
      </c>
      <c r="FQ179" s="204" t="str">
        <f t="shared" si="294"/>
        <v/>
      </c>
      <c r="FR179" s="204">
        <f>IF($J179="",#N/A,SUM(FQ$4:FQ179))</f>
        <v>0</v>
      </c>
      <c r="FS179" s="205" t="str">
        <f t="shared" si="295"/>
        <v/>
      </c>
      <c r="FT179" s="205">
        <f>IF($J179="",#N/A,SUM(FS$4:FS179))</f>
        <v>0</v>
      </c>
      <c r="FU179" s="205">
        <f>IF($J179="",#N/A,SUM(FS$4:FS179,FQ$4:FQ179,FO$4:FO179))</f>
        <v>0</v>
      </c>
      <c r="FV179" s="200" t="str">
        <f t="shared" si="296"/>
        <v/>
      </c>
      <c r="FW179" s="203">
        <f>IF($J179="",#N/A,SUM(FV$4:FV179))</f>
        <v>6.6834991831277585E-2</v>
      </c>
      <c r="FX179" s="204" t="str">
        <f t="shared" si="297"/>
        <v/>
      </c>
      <c r="FY179" s="204">
        <f>IF($J179="",#N/A,SUM(FX$4:FX179))</f>
        <v>0</v>
      </c>
      <c r="FZ179" s="205" t="str">
        <f t="shared" si="298"/>
        <v/>
      </c>
      <c r="GA179" s="205">
        <f>IF($J179="",#N/A,SUM(FZ$4:FZ179))</f>
        <v>-0.96570439723286938</v>
      </c>
      <c r="GB179" s="205">
        <f>IF($J179="",#N/A,SUM(FZ$4:FZ179,FX$4:FX179,FV$4:FV179))</f>
        <v>-0.89886940540159177</v>
      </c>
      <c r="GC179" s="200" t="str">
        <f t="shared" si="299"/>
        <v/>
      </c>
      <c r="GD179" s="203">
        <f>IF($J179="",#N/A,SUM(GC$4:GC179))</f>
        <v>0</v>
      </c>
      <c r="GE179" s="204" t="str">
        <f t="shared" si="300"/>
        <v/>
      </c>
      <c r="GF179" s="204">
        <f>IF($J179="",#N/A,SUM(GE$4:GE179))</f>
        <v>0</v>
      </c>
      <c r="GG179" s="205" t="str">
        <f t="shared" si="301"/>
        <v/>
      </c>
      <c r="GH179" s="205">
        <f>IF($J179="",#N/A,SUM(GG$4:GG179))</f>
        <v>-2.9368362277223206</v>
      </c>
      <c r="GI179" s="205">
        <f>IF($J179="",#N/A,SUM(GG$4:GG179,GE$4:GE179,GC$4:GC179))</f>
        <v>-2.9368362277223206</v>
      </c>
      <c r="GJ179" s="200" t="str">
        <f t="shared" si="302"/>
        <v/>
      </c>
      <c r="GK179" s="203">
        <f>IF($J179="",#N/A,SUM(GJ$4:GJ179))</f>
        <v>0</v>
      </c>
      <c r="GL179" s="204" t="str">
        <f t="shared" si="303"/>
        <v/>
      </c>
      <c r="GM179" s="204">
        <f>IF($J179="",#N/A,SUM(GL$4:GL179))</f>
        <v>-0.80168930905701452</v>
      </c>
      <c r="GN179" s="205" t="str">
        <f t="shared" si="304"/>
        <v/>
      </c>
      <c r="GO179" s="205">
        <f>IF($J179="",#N/A,SUM(GN$4:GN179))</f>
        <v>0</v>
      </c>
      <c r="GP179" s="205">
        <f>IF($J179="",#N/A,SUM(GN$4:GN179,GL$4:GL179,GJ$4:GJ179))</f>
        <v>-0.80168930905701452</v>
      </c>
      <c r="GS179" s="177">
        <f t="shared" si="323"/>
        <v>1.511663209026969</v>
      </c>
      <c r="GT179" s="177">
        <f>IF(GS179="",NA(),SUM($GS$4:GS179))</f>
        <v>3.4231186733631764</v>
      </c>
      <c r="GU179" s="177" t="str">
        <f t="shared" si="305"/>
        <v/>
      </c>
      <c r="GV179" s="177" t="e">
        <f>IF(GU179="",NA(),SUM($GU$4:GU179))</f>
        <v>#N/A</v>
      </c>
      <c r="GW179" s="177">
        <f t="shared" si="306"/>
        <v>1.511663209026969</v>
      </c>
      <c r="GX179" s="177">
        <f>IF(GW179="",NA(),SUM($GW$4:GW179))</f>
        <v>2.7654026317356881</v>
      </c>
      <c r="GY179" s="177" t="str">
        <f t="shared" si="307"/>
        <v/>
      </c>
      <c r="GZ179" s="177" t="e">
        <f>IF(GY179="",NA(),SUM($GY$4:GY179))</f>
        <v>#N/A</v>
      </c>
      <c r="HA179" s="177" t="str">
        <f t="shared" si="308"/>
        <v/>
      </c>
      <c r="HB179" s="177" t="e">
        <f>IF(HA179="",NA(),SUM($HA$4:HA179))</f>
        <v>#N/A</v>
      </c>
      <c r="HC179" s="177" t="str">
        <f t="shared" si="309"/>
        <v/>
      </c>
      <c r="HD179" s="177" t="e">
        <f>IF(HC179="",NA(),SUM($HC$4:HC179))</f>
        <v>#N/A</v>
      </c>
      <c r="HE179" s="177" t="str">
        <f t="shared" si="310"/>
        <v/>
      </c>
      <c r="HF179" s="177" t="e">
        <f>IF(HE179="",NA(),SUM($HE$4:HE179))</f>
        <v>#N/A</v>
      </c>
      <c r="HG179" s="177" t="str">
        <f t="shared" si="311"/>
        <v/>
      </c>
      <c r="HH179" s="177" t="e">
        <f>IF(HG179="",NA(),SUM($HG$4:HG179))</f>
        <v>#N/A</v>
      </c>
      <c r="HI179" s="183" t="str">
        <f t="shared" si="324"/>
        <v/>
      </c>
      <c r="HJ179" s="183">
        <f>IF($J179="",#N/A,SUM(HI$4:$HI179))</f>
        <v>-8.6404074149345771</v>
      </c>
      <c r="HK179" s="177" t="str">
        <f t="shared" si="312"/>
        <v/>
      </c>
      <c r="HL179" s="177">
        <f>IF($J179="",#N/A,SUM($HK$4:HK179))</f>
        <v>-5.7208895353891398</v>
      </c>
      <c r="HM179" s="177" t="str">
        <f t="shared" si="313"/>
        <v/>
      </c>
      <c r="HN179" s="177">
        <f>IF($J179="",#N/A,SUM($HM$4:HM179))</f>
        <v>0.71812545963587882</v>
      </c>
      <c r="HO179" s="177" t="str">
        <f t="shared" si="314"/>
        <v/>
      </c>
      <c r="HP179" s="177">
        <f>IF($J179="",#N/A,SUM($HO$4:HO179))</f>
        <v>-0.14859521910082485</v>
      </c>
      <c r="HQ179" s="177">
        <f t="shared" si="315"/>
        <v>-0.2407697886623168</v>
      </c>
      <c r="HR179" s="177">
        <f>IF($J179="",#N/A,SUM($HQ$4:HQ179))</f>
        <v>-8.8814484527999333</v>
      </c>
      <c r="HS179" s="177" t="str">
        <f t="shared" si="316"/>
        <v/>
      </c>
      <c r="HT179" s="177">
        <f>IF($J179="",#N/A,SUM($HS$4:HS179))</f>
        <v>12.995994822382864</v>
      </c>
      <c r="HU179" s="64">
        <f t="shared" si="317"/>
        <v>1.2708934203646522</v>
      </c>
      <c r="HV179" s="64">
        <f>IF($J179="",#N/A,SUM(HU$4:$HU179))</f>
        <v>-3.6001714958730133</v>
      </c>
    </row>
    <row r="180" spans="1:230" x14ac:dyDescent="0.25">
      <c r="A180" s="51" t="s">
        <v>1416</v>
      </c>
      <c r="B180" s="52" t="s">
        <v>4543</v>
      </c>
      <c r="C180" s="229">
        <f t="shared" si="218"/>
        <v>2</v>
      </c>
      <c r="D180" s="219" t="str">
        <f>_xlfn.XLOOKUP(A180,[1]SP500!$A$2:$A$502,[1]SP500!$D$2:$D$502,"N")</f>
        <v>Y</v>
      </c>
      <c r="E180" s="76" t="str">
        <f>IFERROR(_xlfn.XLOOKUP(A180,[1]SP500!$A$2:$A$655,[1]SP500!$B$2:$B$655),"")</f>
        <v>INS</v>
      </c>
      <c r="F180" s="290">
        <v>45777</v>
      </c>
      <c r="G180" s="51" t="str">
        <f t="shared" si="219"/>
        <v>AMC</v>
      </c>
      <c r="H180" s="51" t="str">
        <f t="shared" si="220"/>
        <v>s</v>
      </c>
      <c r="I180" s="344">
        <v>102.71</v>
      </c>
      <c r="J180" s="124">
        <v>102.36</v>
      </c>
      <c r="K180" s="55">
        <f t="shared" si="221"/>
        <v>-3.4076526141563076E-3</v>
      </c>
      <c r="L180" s="67">
        <f t="shared" si="222"/>
        <v>3.8499999999999091</v>
      </c>
      <c r="M180" s="57">
        <f t="shared" si="223"/>
        <v>0</v>
      </c>
      <c r="N180" s="102">
        <f t="shared" si="224"/>
        <v>3.8499999999999091</v>
      </c>
      <c r="O180" s="57">
        <f>IF(N180="",#N/A,SUM($N$4:N180))</f>
        <v>183.59636410061265</v>
      </c>
      <c r="P180" s="65">
        <f t="shared" si="318"/>
        <v>5.6794210235938045E-2</v>
      </c>
      <c r="Q180" s="172">
        <f>IF($N180="",#N/A,SUM($P$4:P180))</f>
        <v>6.1338430545686604</v>
      </c>
      <c r="R180" s="279">
        <f t="shared" si="225"/>
        <v>4.758515615310186</v>
      </c>
      <c r="S180" s="51" t="str">
        <f t="shared" si="226"/>
        <v>Dwn</v>
      </c>
      <c r="T180" s="51" t="s">
        <v>4462</v>
      </c>
      <c r="U180" s="56">
        <f t="shared" si="227"/>
        <v>102.71</v>
      </c>
      <c r="V180" s="56" t="s">
        <v>4458</v>
      </c>
      <c r="W180" s="142">
        <v>11</v>
      </c>
      <c r="X180" s="145">
        <f t="shared" si="228"/>
        <v>1129.81</v>
      </c>
      <c r="Y180" s="140">
        <f t="shared" si="229"/>
        <v>11</v>
      </c>
      <c r="Z180" s="123">
        <v>102.36</v>
      </c>
      <c r="AA180" s="102">
        <f t="shared" si="230"/>
        <v>3.8499999999999091</v>
      </c>
      <c r="AB180" s="102">
        <f t="shared" si="231"/>
        <v>10.779999999999973</v>
      </c>
      <c r="AC180" s="124">
        <v>101.73</v>
      </c>
      <c r="AD180" s="155">
        <f t="shared" si="232"/>
        <v>10.779999999999973</v>
      </c>
      <c r="AE180" s="545">
        <f t="shared" si="233"/>
        <v>0.15902378866062988</v>
      </c>
      <c r="AF180" s="57">
        <f>IF($AC180="",#N/A,SUM(AD$4:AD180))</f>
        <v>-302.46041200241666</v>
      </c>
      <c r="AG180" s="102">
        <f t="shared" si="234"/>
        <v>6.9300000000000637</v>
      </c>
      <c r="AH180" s="56" t="s">
        <v>2507</v>
      </c>
      <c r="AI180" s="65">
        <f t="shared" si="235"/>
        <v>5.6794210235938045E-2</v>
      </c>
      <c r="AJ180" s="54">
        <f>IF(AI180="",#N/A,SUM($AI$4:AI180))</f>
        <v>1.3753274392584744</v>
      </c>
      <c r="AK180" s="57">
        <f t="shared" si="236"/>
        <v>3.8499999999999091</v>
      </c>
      <c r="AL180" s="349">
        <f>IF(AI180="",#N/A,IF(AH180="Skip",SUM($AK$4:AK180),SUM($AK$4:AK180)))</f>
        <v>-136.51740850718647</v>
      </c>
      <c r="AM180" s="65">
        <f t="shared" si="319"/>
        <v>0.15902378866062988</v>
      </c>
      <c r="AN180" s="209"/>
      <c r="AO180" s="65" t="str">
        <f t="shared" si="237"/>
        <v/>
      </c>
      <c r="AP180" s="65">
        <f>IF($AC180="",#N/A,SUM(AO$4:AO180))</f>
        <v>6.5600024953847971</v>
      </c>
      <c r="AQ180" s="65" t="str">
        <f t="shared" si="238"/>
        <v/>
      </c>
      <c r="AR180" s="65">
        <f>IF($AC180="",#N/A,SUM(AQ$4:AQ180))</f>
        <v>-2.6179859771653153</v>
      </c>
      <c r="AS180" s="65">
        <f t="shared" si="239"/>
        <v>0.15902378866062988</v>
      </c>
      <c r="AT180" s="65">
        <f>IF($AC180="",#N/A,SUM(AS$4:AS180))</f>
        <v>-7.3831642254318695</v>
      </c>
      <c r="AU180" s="57" t="str">
        <f t="shared" si="320"/>
        <v/>
      </c>
      <c r="AV180" s="57">
        <f>IF($AC180="",#N/A,SUM(AU$4:AU180))</f>
        <v>319.42120645125067</v>
      </c>
      <c r="AW180" s="57" t="str">
        <f t="shared" si="321"/>
        <v/>
      </c>
      <c r="AX180" s="57">
        <f>IF($AC180="",#N/A,SUM(AW$4:AW180))</f>
        <v>-163.1400000000001</v>
      </c>
      <c r="AY180" s="57">
        <f t="shared" si="322"/>
        <v>10.779999999999973</v>
      </c>
      <c r="AZ180" s="57">
        <f>IF($AC180="",#N/A,SUM(AY$4:AY180))</f>
        <v>-458.74161845366723</v>
      </c>
      <c r="BA180" s="57">
        <f>IF(AD180="",#N/A,SUM($AD$4:AD180))</f>
        <v>-302.46041200241666</v>
      </c>
      <c r="BC180" s="51" t="str">
        <f t="shared" si="240"/>
        <v/>
      </c>
      <c r="BD180" s="51" t="str">
        <f t="shared" si="241"/>
        <v/>
      </c>
      <c r="BE180" s="51" t="str">
        <f t="shared" si="242"/>
        <v/>
      </c>
      <c r="BF180" s="51" t="str">
        <f t="shared" si="243"/>
        <v>Short</v>
      </c>
      <c r="BG180" s="51">
        <f t="shared" si="244"/>
        <v>1</v>
      </c>
      <c r="BH180" s="51" t="str">
        <f t="shared" si="245"/>
        <v/>
      </c>
      <c r="BI180" s="51" t="str">
        <f t="shared" si="246"/>
        <v/>
      </c>
      <c r="BK180" s="65">
        <f t="shared" si="217"/>
        <v>0.16006362136585778</v>
      </c>
      <c r="BL180" s="65">
        <f t="shared" si="325"/>
        <v>0.16050247182546937</v>
      </c>
      <c r="BM180" s="65">
        <f>IFERROR(Q180/COUNTA($J$4:J180),#N/A)</f>
        <v>3.4654480534286214E-2</v>
      </c>
      <c r="BO180" s="489" t="e">
        <f>IF(J180="",#N/A,IF(S180="SW",(COUNTIFS(K$4:$K180,"&gt;0",S$4:$S180,"SW")/COUNTIF(S$4:$S180,"SW")),#N/A))</f>
        <v>#N/A</v>
      </c>
      <c r="BP180" s="489">
        <f>IF($J180="",#N/A,IF($S180="DWN",(COUNTIFS($K$4:$K180,"&lt;0",$S$4:$S180,"DWN")/COUNTIF($S$4:$S180,"DWN")),#N/A))</f>
        <v>0.57534246575342463</v>
      </c>
      <c r="BQ180" s="489" t="e">
        <f>IF($J180="",#N/A,IF($S180="UP",(COUNTIFS($K$4:$K180,"&gt;0",$S$4:$S180,"UP")/COUNTIF($S$4:$S180,"UP")),#N/A))</f>
        <v>#N/A</v>
      </c>
      <c r="BR180" s="489">
        <f>IF(J180="",#N/A,COUNTIF($K$4:K180,"&gt;0")/COUNT($J$4:J180))</f>
        <v>0.4576271186440678</v>
      </c>
      <c r="BS180" s="65" t="str">
        <f t="shared" si="247"/>
        <v/>
      </c>
      <c r="BT180" s="65" t="str">
        <f t="shared" si="248"/>
        <v/>
      </c>
      <c r="BU180" s="65">
        <f t="shared" si="249"/>
        <v>5.6794210235938045E-2</v>
      </c>
      <c r="BV180" s="65" t="str">
        <f t="shared" si="250"/>
        <v/>
      </c>
      <c r="BW180" s="128" t="str">
        <f t="shared" si="251"/>
        <v/>
      </c>
      <c r="BX180" s="128">
        <f>IF($J180="",#N/A,SUM($BW$4:BW180))</f>
        <v>-205.1650000000003</v>
      </c>
      <c r="BY180" s="131">
        <f t="shared" si="252"/>
        <v>3.8499999999999091</v>
      </c>
      <c r="BZ180" s="131">
        <f>IF($J180="",#N/A,SUM($BY$4:BY180))</f>
        <v>376.76434038933348</v>
      </c>
      <c r="CA180" s="133" t="str">
        <f t="shared" si="253"/>
        <v/>
      </c>
      <c r="CB180" s="133">
        <f>IF($J180="",#N/A,SUM($CA$4:CA180))</f>
        <v>11.997023711279468</v>
      </c>
      <c r="CC180" s="194" t="str">
        <f t="shared" si="254"/>
        <v/>
      </c>
      <c r="CD180" s="194">
        <f>IF($J180="",#N/A,SUM($CC$4:CC180))</f>
        <v>-3.1875162177003693</v>
      </c>
      <c r="CE180" s="195">
        <f t="shared" si="255"/>
        <v>5.6794210235938045E-2</v>
      </c>
      <c r="CF180" s="195">
        <f>IF($J180="",#N/A,SUM($CE$4:CE180))</f>
        <v>6.8759031464671621</v>
      </c>
      <c r="CG180" s="196" t="str">
        <f t="shared" si="256"/>
        <v/>
      </c>
      <c r="CH180" s="193">
        <f>IF($J180="",#N/A,SUM($CG$4:CG180))</f>
        <v>2.4454561258018739</v>
      </c>
      <c r="CI180" s="200" t="str">
        <f t="shared" si="257"/>
        <v/>
      </c>
      <c r="CJ180" s="203">
        <f>IF($J180="",#N/A,SUM(CI$4:CI180))</f>
        <v>0</v>
      </c>
      <c r="CK180" s="204" t="str">
        <f t="shared" si="258"/>
        <v/>
      </c>
      <c r="CL180" s="204">
        <f>IF($J180="",#N/A,SUM(CK$4:CK180))</f>
        <v>1.9927003554442289</v>
      </c>
      <c r="CM180" s="205" t="str">
        <f t="shared" si="259"/>
        <v/>
      </c>
      <c r="CN180" s="205">
        <f>IF($J180="",#N/A,SUM(CM$4:CM180))</f>
        <v>4.8977764876565564</v>
      </c>
      <c r="CO180" s="205">
        <f>IF($J180="",#N/A,SUM(CM$4:CM180,CK$4:CK180,CI$4:CI180))</f>
        <v>6.8904768431007852</v>
      </c>
      <c r="CP180" s="200" t="str">
        <f t="shared" si="260"/>
        <v/>
      </c>
      <c r="CQ180" s="203">
        <f>IF($J180="",#N/A,SUM(CP$4:CP180))</f>
        <v>0</v>
      </c>
      <c r="CR180" s="204" t="str">
        <f t="shared" si="261"/>
        <v/>
      </c>
      <c r="CS180" s="204">
        <f>IF($J180="",#N/A,SUM(CR$4:CR180))</f>
        <v>2.420242024202421</v>
      </c>
      <c r="CT180" s="205" t="str">
        <f t="shared" si="262"/>
        <v/>
      </c>
      <c r="CU180" s="205">
        <f>IF($J180="",#N/A,SUM(CT$4:CT180))</f>
        <v>-1.6961777431035243</v>
      </c>
      <c r="CV180" s="205">
        <f>IF($J180="",#N/A,SUM(CT$4:CT180,CR$4:CR180,CP$4:CP180))</f>
        <v>0.72406428109889664</v>
      </c>
      <c r="CW180" s="200" t="str">
        <f t="shared" si="263"/>
        <v/>
      </c>
      <c r="CX180" s="203">
        <f>IF($J180="",#N/A,SUM(CW$4:CW180))</f>
        <v>0</v>
      </c>
      <c r="CY180" s="204" t="str">
        <f t="shared" si="264"/>
        <v/>
      </c>
      <c r="CZ180" s="204">
        <f>IF($J180="",#N/A,SUM(CY$4:CY180))</f>
        <v>-0.26036833003013049</v>
      </c>
      <c r="DA180" s="205" t="str">
        <f t="shared" si="265"/>
        <v/>
      </c>
      <c r="DB180" s="205">
        <f>IF($J180="",#N/A,SUM(DA$4:DA180))</f>
        <v>-2.730105678753044</v>
      </c>
      <c r="DC180" s="205">
        <f>IF($J180="",#N/A,SUM(DA$4:DA180,CY$4:CY180,CW$4:CW180))</f>
        <v>-2.990474008783174</v>
      </c>
      <c r="DD180" s="200" t="str">
        <f t="shared" si="266"/>
        <v/>
      </c>
      <c r="DE180" s="203">
        <f>IF($J180="",#N/A,SUM(DD$4:DD180))</f>
        <v>0.14968716170674062</v>
      </c>
      <c r="DF180" s="204" t="str">
        <f t="shared" si="267"/>
        <v/>
      </c>
      <c r="DG180" s="204">
        <f>IF($J180="",#N/A,SUM(DF$4:DF180))</f>
        <v>1.2121188689979676</v>
      </c>
      <c r="DH180" s="205" t="str">
        <f t="shared" si="268"/>
        <v/>
      </c>
      <c r="DI180" s="205">
        <f>IF($J180="",#N/A,SUM(DH$4:DH180))</f>
        <v>-0.8404015973735236</v>
      </c>
      <c r="DJ180" s="205">
        <f>IF($J180="",#N/A,SUM(DH$4:DH180,DF$4:DF180,DD$4:DD180))</f>
        <v>0.52140443333118447</v>
      </c>
      <c r="DK180" s="200" t="str">
        <f t="shared" si="269"/>
        <v/>
      </c>
      <c r="DL180" s="203">
        <f>IF($J180="",#N/A,SUM(DK$4:DK180))</f>
        <v>-1.2097286851272664</v>
      </c>
      <c r="DM180" s="204" t="str">
        <f t="shared" si="270"/>
        <v/>
      </c>
      <c r="DN180" s="204">
        <f>IF($J180="",#N/A,SUM(DM$4:DM180))</f>
        <v>1.1910608267574658</v>
      </c>
      <c r="DO180" s="205" t="str">
        <f t="shared" si="271"/>
        <v/>
      </c>
      <c r="DP180" s="205">
        <f>IF($J180="",#N/A,SUM(DO$4:DO180))</f>
        <v>1.3495058802125319</v>
      </c>
      <c r="DQ180" s="205">
        <f>IF($J180="",#N/A,SUM(DO$4:DO180,DM$4:DM180,DK$4:DK180))</f>
        <v>1.3308380218427318</v>
      </c>
      <c r="DR180" s="200" t="str">
        <f t="shared" si="272"/>
        <v/>
      </c>
      <c r="DS180" s="203">
        <f>IF($J180="",#N/A,SUM(DR$4:DR180))</f>
        <v>-0.55950946427675097</v>
      </c>
      <c r="DT180" s="204" t="str">
        <f t="shared" si="273"/>
        <v/>
      </c>
      <c r="DU180" s="204">
        <f>IF($J180="",#N/A,SUM(DT$4:DT180))</f>
        <v>-3.5029740333397914</v>
      </c>
      <c r="DV180" s="205" t="str">
        <f t="shared" si="274"/>
        <v/>
      </c>
      <c r="DW180" s="205">
        <f>IF($J180="",#N/A,SUM(DV$4:DV180))</f>
        <v>-1.8527424265931112</v>
      </c>
      <c r="DX180" s="205">
        <f>IF($J180="",#N/A,SUM(DV$4:DV180,DT$4:DT180,DR$4:DR180))</f>
        <v>-5.9152259242096532</v>
      </c>
      <c r="DY180" s="200" t="str">
        <f t="shared" si="275"/>
        <v/>
      </c>
      <c r="DZ180" s="203">
        <f>IF($J180="",#N/A,SUM(DY$4:DY180))</f>
        <v>-1.63480022183437</v>
      </c>
      <c r="EA180" s="204" t="str">
        <f t="shared" si="276"/>
        <v/>
      </c>
      <c r="EB180" s="204">
        <f>IF($J180="",#N/A,SUM(EA$4:EA180))</f>
        <v>0.25705198183658201</v>
      </c>
      <c r="EC180" s="205" t="str">
        <f t="shared" si="277"/>
        <v/>
      </c>
      <c r="ED180" s="205">
        <f>IF($J180="",#N/A,SUM(EC$4:EC180))</f>
        <v>2.4515280577205139</v>
      </c>
      <c r="EE180" s="205">
        <f>IF($J180="",#N/A,SUM(EC$4:EC180,EA$4:EA180,DY$4:DY180))</f>
        <v>1.0737798177227253</v>
      </c>
      <c r="EF180" s="200" t="str">
        <f t="shared" si="278"/>
        <v/>
      </c>
      <c r="EG180" s="203">
        <f>IF($J180="",#N/A,SUM(EF$4:EF180))</f>
        <v>0</v>
      </c>
      <c r="EH180" s="204" t="str">
        <f t="shared" si="279"/>
        <v/>
      </c>
      <c r="EI180" s="204">
        <f>IF($J180="",#N/A,SUM(EH$4:EH180))</f>
        <v>-1.1184224685150388</v>
      </c>
      <c r="EJ180" s="205" t="str">
        <f t="shared" si="280"/>
        <v/>
      </c>
      <c r="EK180" s="205">
        <f>IF($J180="",#N/A,SUM(EJ$4:EJ180))</f>
        <v>2.804966392787259</v>
      </c>
      <c r="EL180" s="205">
        <f>IF($J180="",#N/A,SUM(EJ$4:EJ180,EH$4:EH180,EF$4:EF180))</f>
        <v>1.6865439242722209</v>
      </c>
      <c r="EM180" s="200" t="str">
        <f t="shared" si="281"/>
        <v/>
      </c>
      <c r="EN180" s="203">
        <f>IF($J180="",#N/A,SUM(EM$4:EM180))</f>
        <v>0</v>
      </c>
      <c r="EO180" s="204" t="str">
        <f t="shared" si="282"/>
        <v/>
      </c>
      <c r="EP180" s="204">
        <f>IF($J180="",#N/A,SUM(EO$4:EO180))</f>
        <v>2.5139292856891995</v>
      </c>
      <c r="EQ180" s="205" t="str">
        <f t="shared" si="283"/>
        <v/>
      </c>
      <c r="ER180" s="205">
        <f>IF($J180="",#N/A,SUM(EQ$4:EQ180))</f>
        <v>2.0221833315059508</v>
      </c>
      <c r="ES180" s="205">
        <f>IF($J180="",#N/A,SUM(EQ$4:EQ180,EO$4:EO180,EM$4:EM180))</f>
        <v>4.5361126171951494</v>
      </c>
      <c r="ET180" s="200" t="str">
        <f t="shared" si="284"/>
        <v/>
      </c>
      <c r="EU180" s="203">
        <f>IF($J180="",#N/A,SUM(ET$4:ET180))</f>
        <v>0</v>
      </c>
      <c r="EV180" s="204" t="str">
        <f t="shared" si="285"/>
        <v/>
      </c>
      <c r="EW180" s="204">
        <f>IF($J180="",#N/A,SUM(EV$4:EV180))</f>
        <v>0.90459527759708336</v>
      </c>
      <c r="EX180" s="205" t="str">
        <f t="shared" si="286"/>
        <v/>
      </c>
      <c r="EY180" s="205">
        <f>IF($J180="",#N/A,SUM(EX$4:EX180))</f>
        <v>0.22957553748493481</v>
      </c>
      <c r="EZ180" s="205">
        <f>IF($J180="",#N/A,SUM(EX$4:EX180,EV$4:EV180,ET$4:ET180))</f>
        <v>1.134170815082018</v>
      </c>
      <c r="FA180" s="200" t="str">
        <f t="shared" si="287"/>
        <v/>
      </c>
      <c r="FB180" s="203">
        <f>IF($J180="",#N/A,SUM(FA$4:FA180))</f>
        <v>0</v>
      </c>
      <c r="FC180" s="204" t="str">
        <f t="shared" si="288"/>
        <v/>
      </c>
      <c r="FD180" s="204">
        <f>IF($J180="",#N/A,SUM(FC$4:FC180))</f>
        <v>1.6839191319663924</v>
      </c>
      <c r="FE180" s="205" t="str">
        <f t="shared" si="289"/>
        <v/>
      </c>
      <c r="FF180" s="205">
        <f>IF($J180="",#N/A,SUM(FE$4:FE180))</f>
        <v>-0.28811149078748233</v>
      </c>
      <c r="FG180" s="205">
        <f>IF($J180="",#N/A,SUM(FE$4:FE180,FC$4:FC180,FA$4:FA180))</f>
        <v>1.3958076411789102</v>
      </c>
      <c r="FH180" s="200" t="str">
        <f t="shared" si="290"/>
        <v/>
      </c>
      <c r="FI180" s="203">
        <f>IF($J180="",#N/A,SUM(FH$4:FH180))</f>
        <v>0</v>
      </c>
      <c r="FJ180" s="204" t="str">
        <f t="shared" si="291"/>
        <v/>
      </c>
      <c r="FK180" s="204">
        <f>IF($J180="",#N/A,SUM(FJ$4:FJ180))</f>
        <v>0</v>
      </c>
      <c r="FL180" s="205" t="str">
        <f t="shared" si="292"/>
        <v/>
      </c>
      <c r="FM180" s="205">
        <f>IF($J180="",#N/A,SUM(FL$4:FL180))</f>
        <v>0</v>
      </c>
      <c r="FN180" s="205">
        <f>IF($J180="",#N/A,SUM(FL$4:FL180,FJ$4:FJ180,FH$4:FH180))</f>
        <v>0</v>
      </c>
      <c r="FO180" s="200" t="str">
        <f t="shared" si="293"/>
        <v/>
      </c>
      <c r="FP180" s="203">
        <f>IF($J180="",#N/A,SUM(FO$4:FO180))</f>
        <v>0</v>
      </c>
      <c r="FQ180" s="204" t="str">
        <f t="shared" si="294"/>
        <v/>
      </c>
      <c r="FR180" s="204">
        <f>IF($J180="",#N/A,SUM(FQ$4:FQ180))</f>
        <v>0</v>
      </c>
      <c r="FS180" s="205" t="str">
        <f t="shared" si="295"/>
        <v/>
      </c>
      <c r="FT180" s="205">
        <f>IF($J180="",#N/A,SUM(FS$4:FS180))</f>
        <v>0</v>
      </c>
      <c r="FU180" s="205">
        <f>IF($J180="",#N/A,SUM(FS$4:FS180,FQ$4:FQ180,FO$4:FO180))</f>
        <v>0</v>
      </c>
      <c r="FV180" s="200" t="str">
        <f t="shared" si="296"/>
        <v/>
      </c>
      <c r="FW180" s="203">
        <f>IF($J180="",#N/A,SUM(FV$4:FV180))</f>
        <v>6.6834991831277585E-2</v>
      </c>
      <c r="FX180" s="204">
        <f t="shared" si="297"/>
        <v>5.6794210235938045E-2</v>
      </c>
      <c r="FY180" s="204">
        <f>IF($J180="",#N/A,SUM(FX$4:FX180))</f>
        <v>5.6794210235938045E-2</v>
      </c>
      <c r="FZ180" s="205" t="str">
        <f t="shared" si="298"/>
        <v/>
      </c>
      <c r="GA180" s="205">
        <f>IF($J180="",#N/A,SUM(FZ$4:FZ180))</f>
        <v>-0.96570439723286938</v>
      </c>
      <c r="GB180" s="205">
        <f>IF($J180="",#N/A,SUM(FZ$4:FZ180,FX$4:FX180,FV$4:FV180))</f>
        <v>-0.84207519516565377</v>
      </c>
      <c r="GC180" s="200" t="str">
        <f t="shared" si="299"/>
        <v/>
      </c>
      <c r="GD180" s="203">
        <f>IF($J180="",#N/A,SUM(GC$4:GC180))</f>
        <v>0</v>
      </c>
      <c r="GE180" s="204" t="str">
        <f t="shared" si="300"/>
        <v/>
      </c>
      <c r="GF180" s="204">
        <f>IF($J180="",#N/A,SUM(GE$4:GE180))</f>
        <v>0</v>
      </c>
      <c r="GG180" s="205" t="str">
        <f t="shared" si="301"/>
        <v/>
      </c>
      <c r="GH180" s="205">
        <f>IF($J180="",#N/A,SUM(GG$4:GG180))</f>
        <v>-2.9368362277223206</v>
      </c>
      <c r="GI180" s="205">
        <f>IF($J180="",#N/A,SUM(GG$4:GG180,GE$4:GE180,GC$4:GC180))</f>
        <v>-2.9368362277223206</v>
      </c>
      <c r="GJ180" s="200" t="str">
        <f t="shared" si="302"/>
        <v/>
      </c>
      <c r="GK180" s="203">
        <f>IF($J180="",#N/A,SUM(GJ$4:GJ180))</f>
        <v>0</v>
      </c>
      <c r="GL180" s="204" t="str">
        <f t="shared" si="303"/>
        <v/>
      </c>
      <c r="GM180" s="204">
        <f>IF($J180="",#N/A,SUM(GL$4:GL180))</f>
        <v>-0.80168930905701452</v>
      </c>
      <c r="GN180" s="205" t="str">
        <f t="shared" si="304"/>
        <v/>
      </c>
      <c r="GO180" s="205">
        <f>IF($J180="",#N/A,SUM(GN$4:GN180))</f>
        <v>0</v>
      </c>
      <c r="GP180" s="205">
        <f>IF($J180="",#N/A,SUM(GN$4:GN180,GL$4:GL180,GJ$4:GJ180))</f>
        <v>-0.80168930905701452</v>
      </c>
      <c r="GS180" s="54">
        <f t="shared" si="323"/>
        <v>5.6794210235938045E-2</v>
      </c>
      <c r="GT180" s="54">
        <f>IF(GS180="",NA(),SUM($GS$4:GS180))</f>
        <v>3.4799128835991144</v>
      </c>
      <c r="GU180" s="54" t="str">
        <f t="shared" si="305"/>
        <v/>
      </c>
      <c r="GV180" s="54" t="e">
        <f>IF(GU180="",NA(),SUM($GU$4:GU180))</f>
        <v>#N/A</v>
      </c>
      <c r="GW180" s="54" t="str">
        <f t="shared" si="306"/>
        <v/>
      </c>
      <c r="GX180" s="54" t="e">
        <f>IF(GW180="",NA(),SUM($GW$4:GW180))</f>
        <v>#N/A</v>
      </c>
      <c r="GY180" s="54">
        <f t="shared" si="307"/>
        <v>5.6794210235938045E-2</v>
      </c>
      <c r="GZ180" s="54">
        <f>IF(GY180="",NA(),SUM($GY$4:GY180))</f>
        <v>3.9020264695637974</v>
      </c>
      <c r="HA180" s="54" t="str">
        <f t="shared" si="308"/>
        <v/>
      </c>
      <c r="HB180" s="54" t="e">
        <f>IF(HA180="",NA(),SUM($HA$4:HA180))</f>
        <v>#N/A</v>
      </c>
      <c r="HC180" s="54" t="str">
        <f t="shared" si="309"/>
        <v/>
      </c>
      <c r="HD180" s="54" t="e">
        <f>IF(HC180="",NA(),SUM($HC$4:HC180))</f>
        <v>#N/A</v>
      </c>
      <c r="HE180" s="54" t="str">
        <f t="shared" si="310"/>
        <v/>
      </c>
      <c r="HF180" s="54" t="e">
        <f>IF(HE180="",NA(),SUM($HE$4:HE180))</f>
        <v>#N/A</v>
      </c>
      <c r="HG180" s="54" t="str">
        <f t="shared" si="311"/>
        <v/>
      </c>
      <c r="HH180" s="54" t="e">
        <f>IF(HG180="",NA(),SUM($HG$4:HG180))</f>
        <v>#N/A</v>
      </c>
      <c r="HI180" s="172">
        <f t="shared" si="324"/>
        <v>0.10222957842469184</v>
      </c>
      <c r="HJ180" s="172">
        <f>IF($J180="",#N/A,SUM(HI$4:$HI180))</f>
        <v>-8.5381778365098846</v>
      </c>
      <c r="HK180" s="54" t="str">
        <f t="shared" si="312"/>
        <v/>
      </c>
      <c r="HL180" s="54">
        <f>IF($J180="",#N/A,SUM($HK$4:HK180))</f>
        <v>-5.7208895353891398</v>
      </c>
      <c r="HM180" s="54" t="str">
        <f t="shared" si="313"/>
        <v/>
      </c>
      <c r="HN180" s="54">
        <f>IF($J180="",#N/A,SUM($HM$4:HM180))</f>
        <v>0.71812545963587882</v>
      </c>
      <c r="HO180" s="54" t="str">
        <f t="shared" si="314"/>
        <v/>
      </c>
      <c r="HP180" s="54">
        <f>IF($J180="",#N/A,SUM($HO$4:HO180))</f>
        <v>-0.14859521910082485</v>
      </c>
      <c r="HQ180" s="54" t="str">
        <f t="shared" si="315"/>
        <v/>
      </c>
      <c r="HR180" s="54">
        <f>IF($J180="",#N/A,SUM($HQ$4:HQ180))</f>
        <v>-8.8814484527999333</v>
      </c>
      <c r="HS180" s="54" t="str">
        <f t="shared" si="316"/>
        <v/>
      </c>
      <c r="HT180" s="54">
        <f>IF($J180="",#N/A,SUM($HS$4:HS180))</f>
        <v>12.995994822382864</v>
      </c>
      <c r="HU180" s="65">
        <f t="shared" si="317"/>
        <v>0.15902378866062988</v>
      </c>
      <c r="HV180" s="65">
        <f>IF($J180="",#N/A,SUM(HU$4:$HU180))</f>
        <v>-3.4411477072123833</v>
      </c>
    </row>
    <row r="181" spans="1:230" x14ac:dyDescent="0.25">
      <c r="A181" s="51" t="s">
        <v>1268</v>
      </c>
      <c r="B181" s="52" t="s">
        <v>4543</v>
      </c>
      <c r="C181" s="229">
        <f t="shared" si="218"/>
        <v>3</v>
      </c>
      <c r="D181" s="219" t="str">
        <f>_xlfn.XLOOKUP(A181,[1]SP500!$A$2:$A$502,[1]SP500!$D$2:$D$502,"N")</f>
        <v>Y</v>
      </c>
      <c r="E181" s="51" t="str">
        <f>IFERROR(_xlfn.XLOOKUP(A181,[1]SP500!$A$2:$A$655,[1]SP500!$B$2:$B$655),"")</f>
        <v>XLC</v>
      </c>
      <c r="F181" s="53">
        <v>45777</v>
      </c>
      <c r="G181" s="51" t="str">
        <f t="shared" si="219"/>
        <v>AMC</v>
      </c>
      <c r="H181" s="51" t="str">
        <f t="shared" si="220"/>
        <v>s</v>
      </c>
      <c r="I181" s="343">
        <v>549</v>
      </c>
      <c r="J181" s="124">
        <v>592.07500000000005</v>
      </c>
      <c r="K181" s="71">
        <f t="shared" si="221"/>
        <v>7.8460837887067481E-2</v>
      </c>
      <c r="L181" s="67">
        <f t="shared" si="222"/>
        <v>86.150000000000091</v>
      </c>
      <c r="M181" s="57">
        <f t="shared" si="223"/>
        <v>1.0099999999999909</v>
      </c>
      <c r="N181" s="102">
        <f t="shared" si="224"/>
        <v>86.150000000000091</v>
      </c>
      <c r="O181" s="57">
        <f>IF(N181="",#N/A,SUM($N$4:N181))</f>
        <v>269.74636410061271</v>
      </c>
      <c r="P181" s="65">
        <f t="shared" si="318"/>
        <v>1.3076806314511247</v>
      </c>
      <c r="Q181" s="172">
        <f>IF($N181="",#N/A,SUM($P$4:P181))</f>
        <v>7.4415236860197851</v>
      </c>
      <c r="R181" s="359">
        <f t="shared" si="225"/>
        <v>4.7431847106350187</v>
      </c>
      <c r="S181" s="51" t="str">
        <f t="shared" si="226"/>
        <v>SW</v>
      </c>
      <c r="T181" s="51" t="s">
        <v>2828</v>
      </c>
      <c r="U181" s="56">
        <f t="shared" si="227"/>
        <v>549</v>
      </c>
      <c r="V181" s="56" t="s">
        <v>4460</v>
      </c>
      <c r="W181" s="142">
        <v>2</v>
      </c>
      <c r="X181" s="145">
        <f t="shared" si="228"/>
        <v>1098</v>
      </c>
      <c r="Y181" s="140">
        <f t="shared" si="229"/>
        <v>2</v>
      </c>
      <c r="Z181" s="123">
        <v>592.58000000000004</v>
      </c>
      <c r="AA181" s="102">
        <f t="shared" si="230"/>
        <v>87.160000000000082</v>
      </c>
      <c r="AB181" s="102">
        <f t="shared" si="231"/>
        <v>46.420000000000073</v>
      </c>
      <c r="AC181" s="124">
        <v>572.21</v>
      </c>
      <c r="AD181" s="155">
        <f t="shared" si="232"/>
        <v>46.420000000000073</v>
      </c>
      <c r="AE181" s="545">
        <f t="shared" si="233"/>
        <v>0.70461445051609106</v>
      </c>
      <c r="AF181" s="57">
        <f>IF($AC181="",#N/A,SUM(AD$4:AD181))</f>
        <v>-256.04041200241659</v>
      </c>
      <c r="AG181" s="102">
        <f t="shared" si="234"/>
        <v>-39.730000000000018</v>
      </c>
      <c r="AH181" s="102" t="s">
        <v>2507</v>
      </c>
      <c r="AI181" s="65">
        <f t="shared" si="235"/>
        <v>1.3230115361262915</v>
      </c>
      <c r="AJ181" s="54">
        <f>IF(AI181="",#N/A,SUM($AI$4:AI181))</f>
        <v>2.698338975384766</v>
      </c>
      <c r="AK181" s="144">
        <f t="shared" si="236"/>
        <v>87.160000000000082</v>
      </c>
      <c r="AL181" s="349">
        <f>IF(AI181="",#N/A,IF(AH181="Skip",SUM($AK$4:AK181),SUM($AK$4:AK181)))</f>
        <v>-49.357408507186392</v>
      </c>
      <c r="AM181" s="65">
        <f t="shared" si="319"/>
        <v>0.70461445051609106</v>
      </c>
      <c r="AN181" s="211"/>
      <c r="AO181" s="65">
        <f t="shared" si="237"/>
        <v>0.70461445051609106</v>
      </c>
      <c r="AP181" s="65">
        <f>IF($AC181="",#N/A,SUM(AO$4:AO181))</f>
        <v>7.2646169459008885</v>
      </c>
      <c r="AQ181" s="65" t="str">
        <f t="shared" si="238"/>
        <v/>
      </c>
      <c r="AR181" s="65">
        <f>IF($AC181="",#N/A,SUM(AQ$4:AQ181))</f>
        <v>-2.6179859771653153</v>
      </c>
      <c r="AS181" s="65" t="str">
        <f t="shared" si="239"/>
        <v/>
      </c>
      <c r="AT181" s="65">
        <f>IF($AC181="",#N/A,SUM(AS$4:AS181))</f>
        <v>-7.3831642254318695</v>
      </c>
      <c r="AU181" s="57">
        <f t="shared" si="320"/>
        <v>46.420000000000073</v>
      </c>
      <c r="AV181" s="57">
        <f>IF($AC181="",#N/A,SUM(AU$4:AU181))</f>
        <v>365.84120645125074</v>
      </c>
      <c r="AW181" s="57" t="str">
        <f t="shared" si="321"/>
        <v/>
      </c>
      <c r="AX181" s="57">
        <f>IF($AC181="",#N/A,SUM(AW$4:AW181))</f>
        <v>-163.1400000000001</v>
      </c>
      <c r="AY181" s="57" t="str">
        <f t="shared" si="322"/>
        <v/>
      </c>
      <c r="AZ181" s="57">
        <f>IF($AC181="",#N/A,SUM(AY$4:AY181))</f>
        <v>-458.74161845366723</v>
      </c>
      <c r="BA181" s="57">
        <f>IF(AD181="",#N/A,SUM($AD$4:AD181))</f>
        <v>-256.04041200241659</v>
      </c>
      <c r="BC181" s="72" t="str">
        <f t="shared" si="240"/>
        <v/>
      </c>
      <c r="BD181" s="72" t="str">
        <f t="shared" si="241"/>
        <v/>
      </c>
      <c r="BE181" s="72">
        <f t="shared" si="242"/>
        <v>1</v>
      </c>
      <c r="BF181" s="51" t="str">
        <f t="shared" si="243"/>
        <v>Long</v>
      </c>
      <c r="BG181" s="72" t="str">
        <f t="shared" si="244"/>
        <v/>
      </c>
      <c r="BH181" s="72" t="str">
        <f t="shared" si="245"/>
        <v/>
      </c>
      <c r="BI181" s="72" t="str">
        <f t="shared" si="246"/>
        <v/>
      </c>
      <c r="BK181" s="65">
        <f t="shared" ref="BK181:BK244" si="326">IFERROR(($Q181-$Q132)/COUNTA($J132:$J181),#N/A)</f>
        <v>0.18170459861581889</v>
      </c>
      <c r="BL181" s="65">
        <f t="shared" si="325"/>
        <v>0.2794370787374133</v>
      </c>
      <c r="BM181" s="65">
        <f>IFERROR(Q181/COUNTA($J$4:J181),#N/A)</f>
        <v>4.180631284280778E-2</v>
      </c>
      <c r="BO181" s="489">
        <f>IF(J181="",#N/A,IF(S181="SW",(COUNTIFS(K$4:$K181,"&gt;0",S$4:$S181,"SW")/COUNTIF(S$4:$S181,"SW")),#N/A))</f>
        <v>0.49484536082474229</v>
      </c>
      <c r="BP181" s="489" t="e">
        <f>IF($J181="",#N/A,IF($S181="DWN",(COUNTIFS($K$4:$K181,"&lt;0",$S$4:$S181,"DWN")/COUNTIF($S$4:$S181,"DWN")),#N/A))</f>
        <v>#N/A</v>
      </c>
      <c r="BQ181" s="489" t="e">
        <f>IF($J181="",#N/A,IF($S181="UP",(COUNTIFS($K$4:$K181,"&gt;0",$S$4:$S181,"UP")/COUNTIF($S$4:$S181,"UP")),#N/A))</f>
        <v>#N/A</v>
      </c>
      <c r="BR181" s="489">
        <f>IF(J181="",#N/A,COUNTIF($K$4:K181,"&gt;0")/COUNT($J$4:J181))</f>
        <v>0.4606741573033708</v>
      </c>
      <c r="BS181" s="65">
        <f t="shared" si="247"/>
        <v>1.3076806314511247</v>
      </c>
      <c r="BT181" s="65" t="str">
        <f t="shared" si="248"/>
        <v/>
      </c>
      <c r="BU181" s="65" t="str">
        <f t="shared" si="249"/>
        <v/>
      </c>
      <c r="BV181" s="65" t="str">
        <f t="shared" si="250"/>
        <v/>
      </c>
      <c r="BW181" s="128" t="str">
        <f t="shared" si="251"/>
        <v/>
      </c>
      <c r="BX181" s="128">
        <f>IF($J181="",#N/A,SUM($BW$4:BW181))</f>
        <v>-205.1650000000003</v>
      </c>
      <c r="BY181" s="131" t="str">
        <f t="shared" si="252"/>
        <v/>
      </c>
      <c r="BZ181" s="131">
        <f>IF($J181="",#N/A,SUM($BY$4:BY181))</f>
        <v>376.76434038933348</v>
      </c>
      <c r="CA181" s="133">
        <f t="shared" si="253"/>
        <v>86.150000000000091</v>
      </c>
      <c r="CB181" s="133">
        <f>IF($J181="",#N/A,SUM($CA$4:CA181))</f>
        <v>98.147023711279559</v>
      </c>
      <c r="CC181" s="194" t="str">
        <f t="shared" si="254"/>
        <v/>
      </c>
      <c r="CD181" s="194">
        <f>IF($J181="",#N/A,SUM($CC$4:CC181))</f>
        <v>-3.1875162177003693</v>
      </c>
      <c r="CE181" s="195" t="str">
        <f t="shared" si="255"/>
        <v/>
      </c>
      <c r="CF181" s="195">
        <f>IF($J181="",#N/A,SUM($CE$4:CE181))</f>
        <v>6.8759031464671621</v>
      </c>
      <c r="CG181" s="196">
        <f t="shared" si="256"/>
        <v>1.3076806314511247</v>
      </c>
      <c r="CH181" s="193">
        <f>IF($J181="",#N/A,SUM($CG$4:CG181))</f>
        <v>3.7531367572529986</v>
      </c>
      <c r="CI181" s="200" t="str">
        <f t="shared" si="257"/>
        <v/>
      </c>
      <c r="CJ181" s="203">
        <f>IF($J181="",#N/A,SUM(CI$4:CI181))</f>
        <v>0</v>
      </c>
      <c r="CK181" s="204" t="str">
        <f t="shared" si="258"/>
        <v/>
      </c>
      <c r="CL181" s="204">
        <f>IF($J181="",#N/A,SUM(CK$4:CK181))</f>
        <v>1.9927003554442289</v>
      </c>
      <c r="CM181" s="205" t="str">
        <f t="shared" si="259"/>
        <v/>
      </c>
      <c r="CN181" s="205">
        <f>IF($J181="",#N/A,SUM(CM$4:CM181))</f>
        <v>4.8977764876565564</v>
      </c>
      <c r="CO181" s="205">
        <f>IF($J181="",#N/A,SUM(CM$4:CM181,CK$4:CK181,CI$4:CI181))</f>
        <v>6.8904768431007852</v>
      </c>
      <c r="CP181" s="200" t="str">
        <f t="shared" si="260"/>
        <v/>
      </c>
      <c r="CQ181" s="203">
        <f>IF($J181="",#N/A,SUM(CP$4:CP181))</f>
        <v>0</v>
      </c>
      <c r="CR181" s="204" t="str">
        <f t="shared" si="261"/>
        <v/>
      </c>
      <c r="CS181" s="204">
        <f>IF($J181="",#N/A,SUM(CR$4:CR181))</f>
        <v>2.420242024202421</v>
      </c>
      <c r="CT181" s="205" t="str">
        <f t="shared" si="262"/>
        <v/>
      </c>
      <c r="CU181" s="205">
        <f>IF($J181="",#N/A,SUM(CT$4:CT181))</f>
        <v>-1.6961777431035243</v>
      </c>
      <c r="CV181" s="205">
        <f>IF($J181="",#N/A,SUM(CT$4:CT181,CR$4:CR181,CP$4:CP181))</f>
        <v>0.72406428109889664</v>
      </c>
      <c r="CW181" s="200" t="str">
        <f t="shared" si="263"/>
        <v/>
      </c>
      <c r="CX181" s="203">
        <f>IF($J181="",#N/A,SUM(CW$4:CW181))</f>
        <v>0</v>
      </c>
      <c r="CY181" s="204" t="str">
        <f t="shared" si="264"/>
        <v/>
      </c>
      <c r="CZ181" s="204">
        <f>IF($J181="",#N/A,SUM(CY$4:CY181))</f>
        <v>-0.26036833003013049</v>
      </c>
      <c r="DA181" s="205" t="str">
        <f t="shared" si="265"/>
        <v/>
      </c>
      <c r="DB181" s="205">
        <f>IF($J181="",#N/A,SUM(DA$4:DA181))</f>
        <v>-2.730105678753044</v>
      </c>
      <c r="DC181" s="205">
        <f>IF($J181="",#N/A,SUM(DA$4:DA181,CY$4:CY181,CW$4:CW181))</f>
        <v>-2.990474008783174</v>
      </c>
      <c r="DD181" s="200" t="str">
        <f t="shared" si="266"/>
        <v/>
      </c>
      <c r="DE181" s="203">
        <f>IF($J181="",#N/A,SUM(DD$4:DD181))</f>
        <v>0.14968716170674062</v>
      </c>
      <c r="DF181" s="204" t="str">
        <f t="shared" si="267"/>
        <v/>
      </c>
      <c r="DG181" s="204">
        <f>IF($J181="",#N/A,SUM(DF$4:DF181))</f>
        <v>1.2121188689979676</v>
      </c>
      <c r="DH181" s="205" t="str">
        <f t="shared" si="268"/>
        <v/>
      </c>
      <c r="DI181" s="205">
        <f>IF($J181="",#N/A,SUM(DH$4:DH181))</f>
        <v>-0.8404015973735236</v>
      </c>
      <c r="DJ181" s="205">
        <f>IF($J181="",#N/A,SUM(DH$4:DH181,DF$4:DF181,DD$4:DD181))</f>
        <v>0.52140443333118447</v>
      </c>
      <c r="DK181" s="200" t="str">
        <f t="shared" si="269"/>
        <v/>
      </c>
      <c r="DL181" s="203">
        <f>IF($J181="",#N/A,SUM(DK$4:DK181))</f>
        <v>-1.2097286851272664</v>
      </c>
      <c r="DM181" s="204" t="str">
        <f t="shared" si="270"/>
        <v/>
      </c>
      <c r="DN181" s="204">
        <f>IF($J181="",#N/A,SUM(DM$4:DM181))</f>
        <v>1.1910608267574658</v>
      </c>
      <c r="DO181" s="205">
        <f t="shared" si="271"/>
        <v>1.3076806314511247</v>
      </c>
      <c r="DP181" s="205">
        <f>IF($J181="",#N/A,SUM(DO$4:DO181))</f>
        <v>2.6571865116636566</v>
      </c>
      <c r="DQ181" s="205">
        <f>IF($J181="",#N/A,SUM(DO$4:DO181,DM$4:DM181,DK$4:DK181))</f>
        <v>2.6385186532938567</v>
      </c>
      <c r="DR181" s="200" t="str">
        <f t="shared" si="272"/>
        <v/>
      </c>
      <c r="DS181" s="203">
        <f>IF($J181="",#N/A,SUM(DR$4:DR181))</f>
        <v>-0.55950946427675097</v>
      </c>
      <c r="DT181" s="204" t="str">
        <f t="shared" si="273"/>
        <v/>
      </c>
      <c r="DU181" s="204">
        <f>IF($J181="",#N/A,SUM(DT$4:DT181))</f>
        <v>-3.5029740333397914</v>
      </c>
      <c r="DV181" s="205" t="str">
        <f t="shared" si="274"/>
        <v/>
      </c>
      <c r="DW181" s="205">
        <f>IF($J181="",#N/A,SUM(DV$4:DV181))</f>
        <v>-1.8527424265931112</v>
      </c>
      <c r="DX181" s="205">
        <f>IF($J181="",#N/A,SUM(DV$4:DV181,DT$4:DT181,DR$4:DR181))</f>
        <v>-5.9152259242096532</v>
      </c>
      <c r="DY181" s="200" t="str">
        <f t="shared" si="275"/>
        <v/>
      </c>
      <c r="DZ181" s="203">
        <f>IF($J181="",#N/A,SUM(DY$4:DY181))</f>
        <v>-1.63480022183437</v>
      </c>
      <c r="EA181" s="204" t="str">
        <f t="shared" si="276"/>
        <v/>
      </c>
      <c r="EB181" s="204">
        <f>IF($J181="",#N/A,SUM(EA$4:EA181))</f>
        <v>0.25705198183658201</v>
      </c>
      <c r="EC181" s="205" t="str">
        <f t="shared" si="277"/>
        <v/>
      </c>
      <c r="ED181" s="205">
        <f>IF($J181="",#N/A,SUM(EC$4:EC181))</f>
        <v>2.4515280577205139</v>
      </c>
      <c r="EE181" s="205">
        <f>IF($J181="",#N/A,SUM(EC$4:EC181,EA$4:EA181,DY$4:DY181))</f>
        <v>1.0737798177227253</v>
      </c>
      <c r="EF181" s="200" t="str">
        <f t="shared" si="278"/>
        <v/>
      </c>
      <c r="EG181" s="203">
        <f>IF($J181="",#N/A,SUM(EF$4:EF181))</f>
        <v>0</v>
      </c>
      <c r="EH181" s="204" t="str">
        <f t="shared" si="279"/>
        <v/>
      </c>
      <c r="EI181" s="204">
        <f>IF($J181="",#N/A,SUM(EH$4:EH181))</f>
        <v>-1.1184224685150388</v>
      </c>
      <c r="EJ181" s="205" t="str">
        <f t="shared" si="280"/>
        <v/>
      </c>
      <c r="EK181" s="205">
        <f>IF($J181="",#N/A,SUM(EJ$4:EJ181))</f>
        <v>2.804966392787259</v>
      </c>
      <c r="EL181" s="205">
        <f>IF($J181="",#N/A,SUM(EJ$4:EJ181,EH$4:EH181,EF$4:EF181))</f>
        <v>1.6865439242722209</v>
      </c>
      <c r="EM181" s="200" t="str">
        <f t="shared" si="281"/>
        <v/>
      </c>
      <c r="EN181" s="203">
        <f>IF($J181="",#N/A,SUM(EM$4:EM181))</f>
        <v>0</v>
      </c>
      <c r="EO181" s="204" t="str">
        <f t="shared" si="282"/>
        <v/>
      </c>
      <c r="EP181" s="204">
        <f>IF($J181="",#N/A,SUM(EO$4:EO181))</f>
        <v>2.5139292856891995</v>
      </c>
      <c r="EQ181" s="205" t="str">
        <f t="shared" si="283"/>
        <v/>
      </c>
      <c r="ER181" s="205">
        <f>IF($J181="",#N/A,SUM(EQ$4:EQ181))</f>
        <v>2.0221833315059508</v>
      </c>
      <c r="ES181" s="205">
        <f>IF($J181="",#N/A,SUM(EQ$4:EQ181,EO$4:EO181,EM$4:EM181))</f>
        <v>4.5361126171951494</v>
      </c>
      <c r="ET181" s="200" t="str">
        <f t="shared" si="284"/>
        <v/>
      </c>
      <c r="EU181" s="203">
        <f>IF($J181="",#N/A,SUM(ET$4:ET181))</f>
        <v>0</v>
      </c>
      <c r="EV181" s="204" t="str">
        <f t="shared" si="285"/>
        <v/>
      </c>
      <c r="EW181" s="204">
        <f>IF($J181="",#N/A,SUM(EV$4:EV181))</f>
        <v>0.90459527759708336</v>
      </c>
      <c r="EX181" s="205" t="str">
        <f t="shared" si="286"/>
        <v/>
      </c>
      <c r="EY181" s="205">
        <f>IF($J181="",#N/A,SUM(EX$4:EX181))</f>
        <v>0.22957553748493481</v>
      </c>
      <c r="EZ181" s="205">
        <f>IF($J181="",#N/A,SUM(EX$4:EX181,EV$4:EV181,ET$4:ET181))</f>
        <v>1.134170815082018</v>
      </c>
      <c r="FA181" s="200" t="str">
        <f t="shared" si="287"/>
        <v/>
      </c>
      <c r="FB181" s="203">
        <f>IF($J181="",#N/A,SUM(FA$4:FA181))</f>
        <v>0</v>
      </c>
      <c r="FC181" s="204" t="str">
        <f t="shared" si="288"/>
        <v/>
      </c>
      <c r="FD181" s="204">
        <f>IF($J181="",#N/A,SUM(FC$4:FC181))</f>
        <v>1.6839191319663924</v>
      </c>
      <c r="FE181" s="205" t="str">
        <f t="shared" si="289"/>
        <v/>
      </c>
      <c r="FF181" s="205">
        <f>IF($J181="",#N/A,SUM(FE$4:FE181))</f>
        <v>-0.28811149078748233</v>
      </c>
      <c r="FG181" s="205">
        <f>IF($J181="",#N/A,SUM(FE$4:FE181,FC$4:FC181,FA$4:FA181))</f>
        <v>1.3958076411789102</v>
      </c>
      <c r="FH181" s="200" t="str">
        <f t="shared" si="290"/>
        <v/>
      </c>
      <c r="FI181" s="203">
        <f>IF($J181="",#N/A,SUM(FH$4:FH181))</f>
        <v>0</v>
      </c>
      <c r="FJ181" s="204" t="str">
        <f t="shared" si="291"/>
        <v/>
      </c>
      <c r="FK181" s="204">
        <f>IF($J181="",#N/A,SUM(FJ$4:FJ181))</f>
        <v>0</v>
      </c>
      <c r="FL181" s="205" t="str">
        <f t="shared" si="292"/>
        <v/>
      </c>
      <c r="FM181" s="205">
        <f>IF($J181="",#N/A,SUM(FL$4:FL181))</f>
        <v>0</v>
      </c>
      <c r="FN181" s="205">
        <f>IF($J181="",#N/A,SUM(FL$4:FL181,FJ$4:FJ181,FH$4:FH181))</f>
        <v>0</v>
      </c>
      <c r="FO181" s="200" t="str">
        <f t="shared" si="293"/>
        <v/>
      </c>
      <c r="FP181" s="203">
        <f>IF($J181="",#N/A,SUM(FO$4:FO181))</f>
        <v>0</v>
      </c>
      <c r="FQ181" s="204" t="str">
        <f t="shared" si="294"/>
        <v/>
      </c>
      <c r="FR181" s="204">
        <f>IF($J181="",#N/A,SUM(FQ$4:FQ181))</f>
        <v>0</v>
      </c>
      <c r="FS181" s="205" t="str">
        <f t="shared" si="295"/>
        <v/>
      </c>
      <c r="FT181" s="205">
        <f>IF($J181="",#N/A,SUM(FS$4:FS181))</f>
        <v>0</v>
      </c>
      <c r="FU181" s="205">
        <f>IF($J181="",#N/A,SUM(FS$4:FS181,FQ$4:FQ181,FO$4:FO181))</f>
        <v>0</v>
      </c>
      <c r="FV181" s="200" t="str">
        <f t="shared" si="296"/>
        <v/>
      </c>
      <c r="FW181" s="203">
        <f>IF($J181="",#N/A,SUM(FV$4:FV181))</f>
        <v>6.6834991831277585E-2</v>
      </c>
      <c r="FX181" s="204" t="str">
        <f t="shared" si="297"/>
        <v/>
      </c>
      <c r="FY181" s="204">
        <f>IF($J181="",#N/A,SUM(FX$4:FX181))</f>
        <v>5.6794210235938045E-2</v>
      </c>
      <c r="FZ181" s="205" t="str">
        <f t="shared" si="298"/>
        <v/>
      </c>
      <c r="GA181" s="205">
        <f>IF($J181="",#N/A,SUM(FZ$4:FZ181))</f>
        <v>-0.96570439723286938</v>
      </c>
      <c r="GB181" s="205">
        <f>IF($J181="",#N/A,SUM(FZ$4:FZ181,FX$4:FX181,FV$4:FV181))</f>
        <v>-0.84207519516565377</v>
      </c>
      <c r="GC181" s="200" t="str">
        <f t="shared" si="299"/>
        <v/>
      </c>
      <c r="GD181" s="203">
        <f>IF($J181="",#N/A,SUM(GC$4:GC181))</f>
        <v>0</v>
      </c>
      <c r="GE181" s="204" t="str">
        <f t="shared" si="300"/>
        <v/>
      </c>
      <c r="GF181" s="204">
        <f>IF($J181="",#N/A,SUM(GE$4:GE181))</f>
        <v>0</v>
      </c>
      <c r="GG181" s="205" t="str">
        <f t="shared" si="301"/>
        <v/>
      </c>
      <c r="GH181" s="205">
        <f>IF($J181="",#N/A,SUM(GG$4:GG181))</f>
        <v>-2.9368362277223206</v>
      </c>
      <c r="GI181" s="205">
        <f>IF($J181="",#N/A,SUM(GG$4:GG181,GE$4:GE181,GC$4:GC181))</f>
        <v>-2.9368362277223206</v>
      </c>
      <c r="GJ181" s="200" t="str">
        <f t="shared" si="302"/>
        <v/>
      </c>
      <c r="GK181" s="203">
        <f>IF($J181="",#N/A,SUM(GJ$4:GJ181))</f>
        <v>0</v>
      </c>
      <c r="GL181" s="204" t="str">
        <f t="shared" si="303"/>
        <v/>
      </c>
      <c r="GM181" s="204">
        <f>IF($J181="",#N/A,SUM(GL$4:GL181))</f>
        <v>-0.80168930905701452</v>
      </c>
      <c r="GN181" s="205" t="str">
        <f t="shared" si="304"/>
        <v/>
      </c>
      <c r="GO181" s="205">
        <f>IF($J181="",#N/A,SUM(GN$4:GN181))</f>
        <v>0</v>
      </c>
      <c r="GP181" s="205">
        <f>IF($J181="",#N/A,SUM(GN$4:GN181,GL$4:GL181,GJ$4:GJ181))</f>
        <v>-0.80168930905701452</v>
      </c>
      <c r="GS181" s="54">
        <f t="shared" si="323"/>
        <v>1.3076806314511247</v>
      </c>
      <c r="GT181" s="54">
        <f>IF(GS181="",NA(),SUM($GS$4:GS181))</f>
        <v>4.7875935150502391</v>
      </c>
      <c r="GU181" s="54" t="str">
        <f t="shared" si="305"/>
        <v/>
      </c>
      <c r="GV181" s="54" t="e">
        <f>IF(GU181="",NA(),SUM($GU$4:GU181))</f>
        <v>#N/A</v>
      </c>
      <c r="GW181" s="54">
        <f t="shared" si="306"/>
        <v>1.3076806314511247</v>
      </c>
      <c r="GX181" s="54">
        <f>IF(GW181="",NA(),SUM($GW$4:GW181))</f>
        <v>4.0730832631868132</v>
      </c>
      <c r="GY181" s="54" t="str">
        <f t="shared" si="307"/>
        <v/>
      </c>
      <c r="GZ181" s="54" t="e">
        <f>IF(GY181="",NA(),SUM($GY$4:GY181))</f>
        <v>#N/A</v>
      </c>
      <c r="HA181" s="54" t="str">
        <f t="shared" si="308"/>
        <v/>
      </c>
      <c r="HB181" s="54" t="e">
        <f>IF(HA181="",NA(),SUM($HA$4:HA181))</f>
        <v>#N/A</v>
      </c>
      <c r="HC181" s="54" t="str">
        <f t="shared" si="309"/>
        <v/>
      </c>
      <c r="HD181" s="54" t="e">
        <f>IF(HC181="",NA(),SUM($HC$4:HC181))</f>
        <v>#N/A</v>
      </c>
      <c r="HE181" s="54" t="str">
        <f t="shared" si="310"/>
        <v/>
      </c>
      <c r="HF181" s="54" t="e">
        <f>IF(HE181="",NA(),SUM($HE$4:HE181))</f>
        <v>#N/A</v>
      </c>
      <c r="HG181" s="54" t="str">
        <f t="shared" si="311"/>
        <v/>
      </c>
      <c r="HH181" s="54" t="e">
        <f>IF(HG181="",NA(),SUM($HG$4:HG181))</f>
        <v>#N/A</v>
      </c>
      <c r="HI181" s="172" t="str">
        <f t="shared" si="324"/>
        <v/>
      </c>
      <c r="HJ181" s="172">
        <f>IF($J181="",#N/A,SUM(HI$4:$HI181))</f>
        <v>-8.5381778365098846</v>
      </c>
      <c r="HK181" s="54" t="str">
        <f t="shared" si="312"/>
        <v/>
      </c>
      <c r="HL181" s="54">
        <f>IF($J181="",#N/A,SUM($HK$4:HK181))</f>
        <v>-5.7208895353891398</v>
      </c>
      <c r="HM181" s="54" t="str">
        <f t="shared" si="313"/>
        <v/>
      </c>
      <c r="HN181" s="54">
        <f>IF($J181="",#N/A,SUM($HM$4:HM181))</f>
        <v>0.71812545963587882</v>
      </c>
      <c r="HO181" s="54" t="str">
        <f t="shared" si="314"/>
        <v/>
      </c>
      <c r="HP181" s="54">
        <f>IF($J181="",#N/A,SUM($HO$4:HO181))</f>
        <v>-0.14859521910082485</v>
      </c>
      <c r="HQ181" s="54">
        <f t="shared" si="315"/>
        <v>-0.60306618093503361</v>
      </c>
      <c r="HR181" s="54">
        <f>IF($J181="",#N/A,SUM($HQ$4:HQ181))</f>
        <v>-9.4845146337349675</v>
      </c>
      <c r="HS181" s="54" t="str">
        <f t="shared" si="316"/>
        <v/>
      </c>
      <c r="HT181" s="54">
        <f>IF($J181="",#N/A,SUM($HS$4:HS181))</f>
        <v>12.995994822382864</v>
      </c>
      <c r="HU181" s="65">
        <f t="shared" si="317"/>
        <v>0.70461445051609106</v>
      </c>
      <c r="HV181" s="65">
        <f>IF($J181="",#N/A,SUM(HU$4:$HU181))</f>
        <v>-2.7365332566962923</v>
      </c>
    </row>
    <row r="182" spans="1:230" x14ac:dyDescent="0.25">
      <c r="A182" s="59" t="s">
        <v>1570</v>
      </c>
      <c r="B182" s="289" t="s">
        <v>4543</v>
      </c>
      <c r="C182" s="230">
        <f t="shared" si="218"/>
        <v>2</v>
      </c>
      <c r="D182" s="220" t="str">
        <f>_xlfn.XLOOKUP(A182,[1]SP500!$A$2:$A$502,[1]SP500!$D$2:$D$502,"N")</f>
        <v>Y</v>
      </c>
      <c r="E182" s="59" t="str">
        <f>IFERROR(_xlfn.XLOOKUP(A182,[1]SP500!$A$2:$A$655,[1]SP500!$B$2:$B$655),"")</f>
        <v>XLI</v>
      </c>
      <c r="F182" s="290">
        <v>45777</v>
      </c>
      <c r="G182" s="59" t="str">
        <f t="shared" si="219"/>
        <v>AMC</v>
      </c>
      <c r="H182" s="59" t="str">
        <f t="shared" si="220"/>
        <v>s</v>
      </c>
      <c r="I182" s="376">
        <v>89.22</v>
      </c>
      <c r="J182" s="278">
        <v>87.61</v>
      </c>
      <c r="K182" s="60">
        <f t="shared" si="221"/>
        <v>-1.8045281327056708E-2</v>
      </c>
      <c r="L182" s="68">
        <f t="shared" si="222"/>
        <v>20.929999999999836</v>
      </c>
      <c r="M182" s="62">
        <f t="shared" si="223"/>
        <v>6.1749999999999545</v>
      </c>
      <c r="N182" s="63">
        <f t="shared" si="224"/>
        <v>20.929999999999836</v>
      </c>
      <c r="O182" s="62">
        <f>IF(N182="",#N/A,SUM($N$4:N182))</f>
        <v>290.67636410061255</v>
      </c>
      <c r="P182" s="64">
        <f t="shared" si="318"/>
        <v>0.30075468878427625</v>
      </c>
      <c r="Q182" s="183">
        <f>IF($N182="",#N/A,SUM($P$4:P182))</f>
        <v>7.7422783748040613</v>
      </c>
      <c r="R182" s="279">
        <f t="shared" si="225"/>
        <v>4.6544527372359319</v>
      </c>
      <c r="S182" s="59" t="str">
        <f t="shared" si="226"/>
        <v>Dwn</v>
      </c>
      <c r="T182" s="59" t="s">
        <v>4462</v>
      </c>
      <c r="U182" s="61">
        <f t="shared" si="227"/>
        <v>89.22</v>
      </c>
      <c r="V182" s="61" t="s">
        <v>4458</v>
      </c>
      <c r="W182" s="142">
        <v>13</v>
      </c>
      <c r="X182" s="146">
        <f t="shared" si="228"/>
        <v>1159.8599999999999</v>
      </c>
      <c r="Y182" s="142">
        <f t="shared" si="229"/>
        <v>13</v>
      </c>
      <c r="Z182" s="278">
        <v>87.135000000000005</v>
      </c>
      <c r="AA182" s="63">
        <f t="shared" si="230"/>
        <v>27.104999999999791</v>
      </c>
      <c r="AB182" s="63">
        <f t="shared" si="231"/>
        <v>-13.7800000000002</v>
      </c>
      <c r="AC182" s="125">
        <v>90.28</v>
      </c>
      <c r="AD182" s="148">
        <f t="shared" si="232"/>
        <v>-13.7800000000002</v>
      </c>
      <c r="AE182" s="544">
        <f t="shared" si="233"/>
        <v>-0.19801240379586332</v>
      </c>
      <c r="AF182" s="62">
        <f>IF($AC182="",#N/A,SUM(AD$4:AD182))</f>
        <v>-269.82041200241679</v>
      </c>
      <c r="AG182" s="63">
        <f t="shared" si="234"/>
        <v>-34.710000000000036</v>
      </c>
      <c r="AH182" s="61" t="s">
        <v>2507</v>
      </c>
      <c r="AI182" s="64">
        <f t="shared" si="235"/>
        <v>0.38948666218336403</v>
      </c>
      <c r="AJ182" s="177">
        <f>IF(AI182="",#N/A,SUM($AI$4:AI182))</f>
        <v>3.0878256375681299</v>
      </c>
      <c r="AK182" s="62">
        <f t="shared" si="236"/>
        <v>27.104999999999791</v>
      </c>
      <c r="AL182" s="351">
        <f>IF(AI182="",#N/A,IF(AH182="Skip",SUM($AK$4:AK182),SUM($AK$4:AK182)))</f>
        <v>-22.252408507186601</v>
      </c>
      <c r="AM182" s="65">
        <f t="shared" si="319"/>
        <v>-0.19801240379586332</v>
      </c>
      <c r="AN182" s="209"/>
      <c r="AO182" s="64" t="str">
        <f t="shared" si="237"/>
        <v/>
      </c>
      <c r="AP182" s="64">
        <f>IF($AC182="",#N/A,SUM(AO$4:AO182))</f>
        <v>7.2646169459008885</v>
      </c>
      <c r="AQ182" s="64" t="str">
        <f t="shared" si="238"/>
        <v/>
      </c>
      <c r="AR182" s="64">
        <f>IF($AC182="",#N/A,SUM(AQ$4:AQ182))</f>
        <v>-2.6179859771653153</v>
      </c>
      <c r="AS182" s="64">
        <f t="shared" si="239"/>
        <v>-0.19801240379586332</v>
      </c>
      <c r="AT182" s="64">
        <f>IF($AC182="",#N/A,SUM(AS$4:AS182))</f>
        <v>-7.5811766292277332</v>
      </c>
      <c r="AU182" s="62" t="str">
        <f t="shared" si="320"/>
        <v/>
      </c>
      <c r="AV182" s="62">
        <f>IF($AC182="",#N/A,SUM(AU$4:AU182))</f>
        <v>365.84120645125074</v>
      </c>
      <c r="AW182" s="62" t="str">
        <f t="shared" si="321"/>
        <v/>
      </c>
      <c r="AX182" s="62">
        <f>IF($AC182="",#N/A,SUM(AW$4:AW182))</f>
        <v>-163.1400000000001</v>
      </c>
      <c r="AY182" s="62">
        <f t="shared" si="322"/>
        <v>-13.7800000000002</v>
      </c>
      <c r="AZ182" s="62">
        <f>IF($AC182="",#N/A,SUM(AY$4:AY182))</f>
        <v>-472.52161845366743</v>
      </c>
      <c r="BA182" s="62">
        <f>IF(AD182="",#N/A,SUM($AD$4:AD182))</f>
        <v>-269.82041200241679</v>
      </c>
      <c r="BC182" s="59" t="str">
        <f t="shared" si="240"/>
        <v/>
      </c>
      <c r="BD182" s="59" t="str">
        <f t="shared" si="241"/>
        <v/>
      </c>
      <c r="BE182" s="59" t="str">
        <f t="shared" si="242"/>
        <v/>
      </c>
      <c r="BF182" s="59" t="str">
        <f t="shared" si="243"/>
        <v>Short</v>
      </c>
      <c r="BG182" s="59">
        <f t="shared" si="244"/>
        <v>1</v>
      </c>
      <c r="BH182" s="59" t="str">
        <f t="shared" si="245"/>
        <v/>
      </c>
      <c r="BI182" s="59" t="str">
        <f t="shared" si="246"/>
        <v/>
      </c>
      <c r="BK182" s="65">
        <f t="shared" si="326"/>
        <v>0.19564394884925881</v>
      </c>
      <c r="BL182" s="65">
        <f t="shared" si="325"/>
        <v>0.30528783316627328</v>
      </c>
      <c r="BM182" s="65">
        <f>IFERROR(Q182/COUNTA($J$4:J182),#N/A)</f>
        <v>4.325295181454783E-2</v>
      </c>
      <c r="BO182" s="489" t="e">
        <f>IF(J182="",#N/A,IF(S182="SW",(COUNTIFS(K$4:$K182,"&gt;0",S$4:$S182,"SW")/COUNTIF(S$4:$S182,"SW")),#N/A))</f>
        <v>#N/A</v>
      </c>
      <c r="BP182" s="489">
        <f>IF($J182="",#N/A,IF($S182="DWN",(COUNTIFS($K$4:$K182,"&lt;0",$S$4:$S182,"DWN")/COUNTIF($S$4:$S182,"DWN")),#N/A))</f>
        <v>0.58108108108108103</v>
      </c>
      <c r="BQ182" s="489" t="e">
        <f>IF($J182="",#N/A,IF($S182="UP",(COUNTIFS($K$4:$K182,"&gt;0",$S$4:$S182,"UP")/COUNTIF($S$4:$S182,"UP")),#N/A))</f>
        <v>#N/A</v>
      </c>
      <c r="BR182" s="489">
        <f>IF(J182="",#N/A,COUNTIF($K$4:K182,"&gt;0")/COUNT($J$4:J182))</f>
        <v>0.45810055865921789</v>
      </c>
      <c r="BS182" s="65" t="str">
        <f t="shared" si="247"/>
        <v/>
      </c>
      <c r="BT182" s="65" t="str">
        <f t="shared" si="248"/>
        <v/>
      </c>
      <c r="BU182" s="65">
        <f t="shared" si="249"/>
        <v>0.30075468878427625</v>
      </c>
      <c r="BV182" s="65" t="str">
        <f t="shared" si="250"/>
        <v/>
      </c>
      <c r="BW182" s="128" t="str">
        <f t="shared" si="251"/>
        <v/>
      </c>
      <c r="BX182" s="128">
        <f>IF($J182="",#N/A,SUM($BW$4:BW182))</f>
        <v>-205.1650000000003</v>
      </c>
      <c r="BY182" s="131">
        <f t="shared" si="252"/>
        <v>20.929999999999836</v>
      </c>
      <c r="BZ182" s="131">
        <f>IF($J182="",#N/A,SUM($BY$4:BY182))</f>
        <v>397.69434038933332</v>
      </c>
      <c r="CA182" s="133" t="str">
        <f t="shared" si="253"/>
        <v/>
      </c>
      <c r="CB182" s="133">
        <f>IF($J182="",#N/A,SUM($CA$4:CA182))</f>
        <v>98.147023711279559</v>
      </c>
      <c r="CC182" s="194" t="str">
        <f t="shared" si="254"/>
        <v/>
      </c>
      <c r="CD182" s="194">
        <f>IF($J182="",#N/A,SUM($CC$4:CC182))</f>
        <v>-3.1875162177003693</v>
      </c>
      <c r="CE182" s="195">
        <f t="shared" si="255"/>
        <v>0.30075468878427625</v>
      </c>
      <c r="CF182" s="195">
        <f>IF($J182="",#N/A,SUM($CE$4:CE182))</f>
        <v>7.1766578352514383</v>
      </c>
      <c r="CG182" s="196" t="str">
        <f t="shared" si="256"/>
        <v/>
      </c>
      <c r="CH182" s="193">
        <f>IF($J182="",#N/A,SUM($CG$4:CG182))</f>
        <v>3.7531367572529986</v>
      </c>
      <c r="CI182" s="200" t="str">
        <f t="shared" si="257"/>
        <v/>
      </c>
      <c r="CJ182" s="203">
        <f>IF($J182="",#N/A,SUM(CI$4:CI182))</f>
        <v>0</v>
      </c>
      <c r="CK182" s="204" t="str">
        <f t="shared" si="258"/>
        <v/>
      </c>
      <c r="CL182" s="204">
        <f>IF($J182="",#N/A,SUM(CK$4:CK182))</f>
        <v>1.9927003554442289</v>
      </c>
      <c r="CM182" s="205" t="str">
        <f t="shared" si="259"/>
        <v/>
      </c>
      <c r="CN182" s="205">
        <f>IF($J182="",#N/A,SUM(CM$4:CM182))</f>
        <v>4.8977764876565564</v>
      </c>
      <c r="CO182" s="205">
        <f>IF($J182="",#N/A,SUM(CM$4:CM182,CK$4:CK182,CI$4:CI182))</f>
        <v>6.8904768431007852</v>
      </c>
      <c r="CP182" s="200" t="str">
        <f t="shared" si="260"/>
        <v/>
      </c>
      <c r="CQ182" s="203">
        <f>IF($J182="",#N/A,SUM(CP$4:CP182))</f>
        <v>0</v>
      </c>
      <c r="CR182" s="204" t="str">
        <f t="shared" si="261"/>
        <v/>
      </c>
      <c r="CS182" s="204">
        <f>IF($J182="",#N/A,SUM(CR$4:CR182))</f>
        <v>2.420242024202421</v>
      </c>
      <c r="CT182" s="205" t="str">
        <f t="shared" si="262"/>
        <v/>
      </c>
      <c r="CU182" s="205">
        <f>IF($J182="",#N/A,SUM(CT$4:CT182))</f>
        <v>-1.6961777431035243</v>
      </c>
      <c r="CV182" s="205">
        <f>IF($J182="",#N/A,SUM(CT$4:CT182,CR$4:CR182,CP$4:CP182))</f>
        <v>0.72406428109889664</v>
      </c>
      <c r="CW182" s="200" t="str">
        <f t="shared" si="263"/>
        <v/>
      </c>
      <c r="CX182" s="203">
        <f>IF($J182="",#N/A,SUM(CW$4:CW182))</f>
        <v>0</v>
      </c>
      <c r="CY182" s="204" t="str">
        <f t="shared" si="264"/>
        <v/>
      </c>
      <c r="CZ182" s="204">
        <f>IF($J182="",#N/A,SUM(CY$4:CY182))</f>
        <v>-0.26036833003013049</v>
      </c>
      <c r="DA182" s="205" t="str">
        <f t="shared" si="265"/>
        <v/>
      </c>
      <c r="DB182" s="205">
        <f>IF($J182="",#N/A,SUM(DA$4:DA182))</f>
        <v>-2.730105678753044</v>
      </c>
      <c r="DC182" s="205">
        <f>IF($J182="",#N/A,SUM(DA$4:DA182,CY$4:CY182,CW$4:CW182))</f>
        <v>-2.990474008783174</v>
      </c>
      <c r="DD182" s="200" t="str">
        <f t="shared" si="266"/>
        <v/>
      </c>
      <c r="DE182" s="203">
        <f>IF($J182="",#N/A,SUM(DD$4:DD182))</f>
        <v>0.14968716170674062</v>
      </c>
      <c r="DF182" s="204" t="str">
        <f t="shared" si="267"/>
        <v/>
      </c>
      <c r="DG182" s="204">
        <f>IF($J182="",#N/A,SUM(DF$4:DF182))</f>
        <v>1.2121188689979676</v>
      </c>
      <c r="DH182" s="205" t="str">
        <f t="shared" si="268"/>
        <v/>
      </c>
      <c r="DI182" s="205">
        <f>IF($J182="",#N/A,SUM(DH$4:DH182))</f>
        <v>-0.8404015973735236</v>
      </c>
      <c r="DJ182" s="205">
        <f>IF($J182="",#N/A,SUM(DH$4:DH182,DF$4:DF182,DD$4:DD182))</f>
        <v>0.52140443333118447</v>
      </c>
      <c r="DK182" s="200" t="str">
        <f t="shared" si="269"/>
        <v/>
      </c>
      <c r="DL182" s="203">
        <f>IF($J182="",#N/A,SUM(DK$4:DK182))</f>
        <v>-1.2097286851272664</v>
      </c>
      <c r="DM182" s="204" t="str">
        <f t="shared" si="270"/>
        <v/>
      </c>
      <c r="DN182" s="204">
        <f>IF($J182="",#N/A,SUM(DM$4:DM182))</f>
        <v>1.1910608267574658</v>
      </c>
      <c r="DO182" s="205" t="str">
        <f t="shared" si="271"/>
        <v/>
      </c>
      <c r="DP182" s="205">
        <f>IF($J182="",#N/A,SUM(DO$4:DO182))</f>
        <v>2.6571865116636566</v>
      </c>
      <c r="DQ182" s="205">
        <f>IF($J182="",#N/A,SUM(DO$4:DO182,DM$4:DM182,DK$4:DK182))</f>
        <v>2.6385186532938567</v>
      </c>
      <c r="DR182" s="200" t="str">
        <f t="shared" si="272"/>
        <v/>
      </c>
      <c r="DS182" s="203">
        <f>IF($J182="",#N/A,SUM(DR$4:DR182))</f>
        <v>-0.55950946427675097</v>
      </c>
      <c r="DT182" s="204" t="str">
        <f t="shared" si="273"/>
        <v/>
      </c>
      <c r="DU182" s="204">
        <f>IF($J182="",#N/A,SUM(DT$4:DT182))</f>
        <v>-3.5029740333397914</v>
      </c>
      <c r="DV182" s="205" t="str">
        <f t="shared" si="274"/>
        <v/>
      </c>
      <c r="DW182" s="205">
        <f>IF($J182="",#N/A,SUM(DV$4:DV182))</f>
        <v>-1.8527424265931112</v>
      </c>
      <c r="DX182" s="205">
        <f>IF($J182="",#N/A,SUM(DV$4:DV182,DT$4:DT182,DR$4:DR182))</f>
        <v>-5.9152259242096532</v>
      </c>
      <c r="DY182" s="200" t="str">
        <f t="shared" si="275"/>
        <v/>
      </c>
      <c r="DZ182" s="203">
        <f>IF($J182="",#N/A,SUM(DY$4:DY182))</f>
        <v>-1.63480022183437</v>
      </c>
      <c r="EA182" s="204">
        <f t="shared" si="276"/>
        <v>0.30075468878427625</v>
      </c>
      <c r="EB182" s="204">
        <f>IF($J182="",#N/A,SUM(EA$4:EA182))</f>
        <v>0.5578066706208582</v>
      </c>
      <c r="EC182" s="205" t="str">
        <f t="shared" si="277"/>
        <v/>
      </c>
      <c r="ED182" s="205">
        <f>IF($J182="",#N/A,SUM(EC$4:EC182))</f>
        <v>2.4515280577205139</v>
      </c>
      <c r="EE182" s="205">
        <f>IF($J182="",#N/A,SUM(EC$4:EC182,EA$4:EA182,DY$4:DY182))</f>
        <v>1.3745345065070016</v>
      </c>
      <c r="EF182" s="200" t="str">
        <f t="shared" si="278"/>
        <v/>
      </c>
      <c r="EG182" s="203">
        <f>IF($J182="",#N/A,SUM(EF$4:EF182))</f>
        <v>0</v>
      </c>
      <c r="EH182" s="204" t="str">
        <f t="shared" si="279"/>
        <v/>
      </c>
      <c r="EI182" s="204">
        <f>IF($J182="",#N/A,SUM(EH$4:EH182))</f>
        <v>-1.1184224685150388</v>
      </c>
      <c r="EJ182" s="205" t="str">
        <f t="shared" si="280"/>
        <v/>
      </c>
      <c r="EK182" s="205">
        <f>IF($J182="",#N/A,SUM(EJ$4:EJ182))</f>
        <v>2.804966392787259</v>
      </c>
      <c r="EL182" s="205">
        <f>IF($J182="",#N/A,SUM(EJ$4:EJ182,EH$4:EH182,EF$4:EF182))</f>
        <v>1.6865439242722209</v>
      </c>
      <c r="EM182" s="200" t="str">
        <f t="shared" si="281"/>
        <v/>
      </c>
      <c r="EN182" s="203">
        <f>IF($J182="",#N/A,SUM(EM$4:EM182))</f>
        <v>0</v>
      </c>
      <c r="EO182" s="204" t="str">
        <f t="shared" si="282"/>
        <v/>
      </c>
      <c r="EP182" s="204">
        <f>IF($J182="",#N/A,SUM(EO$4:EO182))</f>
        <v>2.5139292856891995</v>
      </c>
      <c r="EQ182" s="205" t="str">
        <f t="shared" si="283"/>
        <v/>
      </c>
      <c r="ER182" s="205">
        <f>IF($J182="",#N/A,SUM(EQ$4:EQ182))</f>
        <v>2.0221833315059508</v>
      </c>
      <c r="ES182" s="205">
        <f>IF($J182="",#N/A,SUM(EQ$4:EQ182,EO$4:EO182,EM$4:EM182))</f>
        <v>4.5361126171951494</v>
      </c>
      <c r="ET182" s="200" t="str">
        <f t="shared" si="284"/>
        <v/>
      </c>
      <c r="EU182" s="203">
        <f>IF($J182="",#N/A,SUM(ET$4:ET182))</f>
        <v>0</v>
      </c>
      <c r="EV182" s="204" t="str">
        <f t="shared" si="285"/>
        <v/>
      </c>
      <c r="EW182" s="204">
        <f>IF($J182="",#N/A,SUM(EV$4:EV182))</f>
        <v>0.90459527759708336</v>
      </c>
      <c r="EX182" s="205" t="str">
        <f t="shared" si="286"/>
        <v/>
      </c>
      <c r="EY182" s="205">
        <f>IF($J182="",#N/A,SUM(EX$4:EX182))</f>
        <v>0.22957553748493481</v>
      </c>
      <c r="EZ182" s="205">
        <f>IF($J182="",#N/A,SUM(EX$4:EX182,EV$4:EV182,ET$4:ET182))</f>
        <v>1.134170815082018</v>
      </c>
      <c r="FA182" s="200" t="str">
        <f t="shared" si="287"/>
        <v/>
      </c>
      <c r="FB182" s="203">
        <f>IF($J182="",#N/A,SUM(FA$4:FA182))</f>
        <v>0</v>
      </c>
      <c r="FC182" s="204" t="str">
        <f t="shared" si="288"/>
        <v/>
      </c>
      <c r="FD182" s="204">
        <f>IF($J182="",#N/A,SUM(FC$4:FC182))</f>
        <v>1.6839191319663924</v>
      </c>
      <c r="FE182" s="205" t="str">
        <f t="shared" si="289"/>
        <v/>
      </c>
      <c r="FF182" s="205">
        <f>IF($J182="",#N/A,SUM(FE$4:FE182))</f>
        <v>-0.28811149078748233</v>
      </c>
      <c r="FG182" s="205">
        <f>IF($J182="",#N/A,SUM(FE$4:FE182,FC$4:FC182,FA$4:FA182))</f>
        <v>1.3958076411789102</v>
      </c>
      <c r="FH182" s="200" t="str">
        <f t="shared" si="290"/>
        <v/>
      </c>
      <c r="FI182" s="203">
        <f>IF($J182="",#N/A,SUM(FH$4:FH182))</f>
        <v>0</v>
      </c>
      <c r="FJ182" s="204" t="str">
        <f t="shared" si="291"/>
        <v/>
      </c>
      <c r="FK182" s="204">
        <f>IF($J182="",#N/A,SUM(FJ$4:FJ182))</f>
        <v>0</v>
      </c>
      <c r="FL182" s="205" t="str">
        <f t="shared" si="292"/>
        <v/>
      </c>
      <c r="FM182" s="205">
        <f>IF($J182="",#N/A,SUM(FL$4:FL182))</f>
        <v>0</v>
      </c>
      <c r="FN182" s="205">
        <f>IF($J182="",#N/A,SUM(FL$4:FL182,FJ$4:FJ182,FH$4:FH182))</f>
        <v>0</v>
      </c>
      <c r="FO182" s="200" t="str">
        <f t="shared" si="293"/>
        <v/>
      </c>
      <c r="FP182" s="203">
        <f>IF($J182="",#N/A,SUM(FO$4:FO182))</f>
        <v>0</v>
      </c>
      <c r="FQ182" s="204" t="str">
        <f t="shared" si="294"/>
        <v/>
      </c>
      <c r="FR182" s="204">
        <f>IF($J182="",#N/A,SUM(FQ$4:FQ182))</f>
        <v>0</v>
      </c>
      <c r="FS182" s="205" t="str">
        <f t="shared" si="295"/>
        <v/>
      </c>
      <c r="FT182" s="205">
        <f>IF($J182="",#N/A,SUM(FS$4:FS182))</f>
        <v>0</v>
      </c>
      <c r="FU182" s="205">
        <f>IF($J182="",#N/A,SUM(FS$4:FS182,FQ$4:FQ182,FO$4:FO182))</f>
        <v>0</v>
      </c>
      <c r="FV182" s="200" t="str">
        <f t="shared" si="296"/>
        <v/>
      </c>
      <c r="FW182" s="203">
        <f>IF($J182="",#N/A,SUM(FV$4:FV182))</f>
        <v>6.6834991831277585E-2</v>
      </c>
      <c r="FX182" s="204" t="str">
        <f t="shared" si="297"/>
        <v/>
      </c>
      <c r="FY182" s="204">
        <f>IF($J182="",#N/A,SUM(FX$4:FX182))</f>
        <v>5.6794210235938045E-2</v>
      </c>
      <c r="FZ182" s="205" t="str">
        <f t="shared" si="298"/>
        <v/>
      </c>
      <c r="GA182" s="205">
        <f>IF($J182="",#N/A,SUM(FZ$4:FZ182))</f>
        <v>-0.96570439723286938</v>
      </c>
      <c r="GB182" s="205">
        <f>IF($J182="",#N/A,SUM(FZ$4:FZ182,FX$4:FX182,FV$4:FV182))</f>
        <v>-0.84207519516565377</v>
      </c>
      <c r="GC182" s="200" t="str">
        <f t="shared" si="299"/>
        <v/>
      </c>
      <c r="GD182" s="203">
        <f>IF($J182="",#N/A,SUM(GC$4:GC182))</f>
        <v>0</v>
      </c>
      <c r="GE182" s="204" t="str">
        <f t="shared" si="300"/>
        <v/>
      </c>
      <c r="GF182" s="204">
        <f>IF($J182="",#N/A,SUM(GE$4:GE182))</f>
        <v>0</v>
      </c>
      <c r="GG182" s="205" t="str">
        <f t="shared" si="301"/>
        <v/>
      </c>
      <c r="GH182" s="205">
        <f>IF($J182="",#N/A,SUM(GG$4:GG182))</f>
        <v>-2.9368362277223206</v>
      </c>
      <c r="GI182" s="205">
        <f>IF($J182="",#N/A,SUM(GG$4:GG182,GE$4:GE182,GC$4:GC182))</f>
        <v>-2.9368362277223206</v>
      </c>
      <c r="GJ182" s="200" t="str">
        <f t="shared" si="302"/>
        <v/>
      </c>
      <c r="GK182" s="203">
        <f>IF($J182="",#N/A,SUM(GJ$4:GJ182))</f>
        <v>0</v>
      </c>
      <c r="GL182" s="204" t="str">
        <f t="shared" si="303"/>
        <v/>
      </c>
      <c r="GM182" s="204">
        <f>IF($J182="",#N/A,SUM(GL$4:GL182))</f>
        <v>-0.80168930905701452</v>
      </c>
      <c r="GN182" s="205" t="str">
        <f t="shared" si="304"/>
        <v/>
      </c>
      <c r="GO182" s="205">
        <f>IF($J182="",#N/A,SUM(GN$4:GN182))</f>
        <v>0</v>
      </c>
      <c r="GP182" s="205">
        <f>IF($J182="",#N/A,SUM(GN$4:GN182,GL$4:GL182,GJ$4:GJ182))</f>
        <v>-0.80168930905701452</v>
      </c>
      <c r="GS182" s="177">
        <f t="shared" si="323"/>
        <v>0.30075468878427625</v>
      </c>
      <c r="GT182" s="177">
        <f>IF(GS182="",NA(),SUM($GS$4:GS182))</f>
        <v>5.0883482038345154</v>
      </c>
      <c r="GU182" s="177" t="str">
        <f t="shared" si="305"/>
        <v/>
      </c>
      <c r="GV182" s="177" t="e">
        <f>IF(GU182="",NA(),SUM($GU$4:GU182))</f>
        <v>#N/A</v>
      </c>
      <c r="GW182" s="177" t="str">
        <f t="shared" si="306"/>
        <v/>
      </c>
      <c r="GX182" s="177" t="e">
        <f>IF(GW182="",NA(),SUM($GW$4:GW182))</f>
        <v>#N/A</v>
      </c>
      <c r="GY182" s="177">
        <f t="shared" si="307"/>
        <v>0.30075468878427625</v>
      </c>
      <c r="GZ182" s="177">
        <f>IF(GY182="",NA(),SUM($GY$4:GY182))</f>
        <v>4.2027811583480741</v>
      </c>
      <c r="HA182" s="177" t="str">
        <f t="shared" si="308"/>
        <v/>
      </c>
      <c r="HB182" s="177" t="e">
        <f>IF(HA182="",NA(),SUM($HA$4:HA182))</f>
        <v>#N/A</v>
      </c>
      <c r="HC182" s="177" t="str">
        <f t="shared" si="309"/>
        <v/>
      </c>
      <c r="HD182" s="177" t="e">
        <f>IF(HC182="",NA(),SUM($HC$4:HC182))</f>
        <v>#N/A</v>
      </c>
      <c r="HE182" s="177" t="str">
        <f t="shared" si="310"/>
        <v/>
      </c>
      <c r="HF182" s="177" t="e">
        <f>IF(HE182="",NA(),SUM($HE$4:HE182))</f>
        <v>#N/A</v>
      </c>
      <c r="HG182" s="177" t="str">
        <f t="shared" si="311"/>
        <v/>
      </c>
      <c r="HH182" s="177" t="e">
        <f>IF(HG182="",NA(),SUM($HG$4:HG182))</f>
        <v>#N/A</v>
      </c>
      <c r="HI182" s="183">
        <f t="shared" si="324"/>
        <v>-0.49876709258013957</v>
      </c>
      <c r="HJ182" s="183">
        <f>IF($J182="",#N/A,SUM(HI$4:$HI182))</f>
        <v>-9.0369449290900246</v>
      </c>
      <c r="HK182" s="177" t="str">
        <f t="shared" si="312"/>
        <v/>
      </c>
      <c r="HL182" s="177">
        <f>IF($J182="",#N/A,SUM($HK$4:HK182))</f>
        <v>-5.7208895353891398</v>
      </c>
      <c r="HM182" s="177" t="str">
        <f t="shared" si="313"/>
        <v/>
      </c>
      <c r="HN182" s="177">
        <f>IF($J182="",#N/A,SUM($HM$4:HM182))</f>
        <v>0.71812545963587882</v>
      </c>
      <c r="HO182" s="177" t="str">
        <f t="shared" si="314"/>
        <v/>
      </c>
      <c r="HP182" s="177">
        <f>IF($J182="",#N/A,SUM($HO$4:HO182))</f>
        <v>-0.14859521910082485</v>
      </c>
      <c r="HQ182" s="177" t="str">
        <f t="shared" si="315"/>
        <v/>
      </c>
      <c r="HR182" s="177">
        <f>IF($J182="",#N/A,SUM($HQ$4:HQ182))</f>
        <v>-9.4845146337349675</v>
      </c>
      <c r="HS182" s="177" t="str">
        <f t="shared" si="316"/>
        <v/>
      </c>
      <c r="HT182" s="177">
        <f>IF($J182="",#N/A,SUM($HS$4:HS182))</f>
        <v>12.995994822382864</v>
      </c>
      <c r="HU182" s="64">
        <f t="shared" si="317"/>
        <v>-0.19801240379586332</v>
      </c>
      <c r="HV182" s="64">
        <f>IF($J182="",#N/A,SUM(HU$4:$HU182))</f>
        <v>-2.9345456604921556</v>
      </c>
    </row>
    <row r="183" spans="1:230" x14ac:dyDescent="0.25">
      <c r="A183" s="396" t="s">
        <v>1599</v>
      </c>
      <c r="B183" s="52" t="s">
        <v>4543</v>
      </c>
      <c r="C183" s="229">
        <f t="shared" si="218"/>
        <v>2</v>
      </c>
      <c r="D183" s="219" t="str">
        <f>_xlfn.XLOOKUP(A183,[1]SP500!$A$2:$A$502,[1]SP500!$D$2:$D$502,"N")</f>
        <v>N</v>
      </c>
      <c r="E183" s="51" t="str">
        <f>IFERROR(_xlfn.XLOOKUP(A183,[1]SP500!$A$2:$A$655,[1]SP500!$B$2:$B$655),"")</f>
        <v>XLB</v>
      </c>
      <c r="F183" s="290">
        <v>45777</v>
      </c>
      <c r="G183" s="51" t="str">
        <f t="shared" si="219"/>
        <v>AMC</v>
      </c>
      <c r="H183" s="51" t="str">
        <f t="shared" si="220"/>
        <v>s</v>
      </c>
      <c r="I183" s="344">
        <v>41.92</v>
      </c>
      <c r="J183" s="124">
        <v>40.58</v>
      </c>
      <c r="K183" s="55">
        <f t="shared" si="221"/>
        <v>-3.1965648854961913E-2</v>
      </c>
      <c r="L183" s="67">
        <f t="shared" si="222"/>
        <v>36.180000000000291</v>
      </c>
      <c r="M183" s="57">
        <f t="shared" si="223"/>
        <v>39.689999999999827</v>
      </c>
      <c r="N183" s="102">
        <f t="shared" si="224"/>
        <v>36.180000000000291</v>
      </c>
      <c r="O183" s="57">
        <f>IF(N183="",#N/A,SUM($N$4:N183))</f>
        <v>326.85636410061284</v>
      </c>
      <c r="P183" s="65">
        <f t="shared" si="318"/>
        <v>0.53276081424936805</v>
      </c>
      <c r="Q183" s="172">
        <f>IF($N183="",#N/A,SUM($P$4:P183))</f>
        <v>8.2750391890534303</v>
      </c>
      <c r="R183" s="279">
        <f t="shared" si="225"/>
        <v>4.070006172350439</v>
      </c>
      <c r="S183" s="51" t="str">
        <f t="shared" si="226"/>
        <v>Dwn</v>
      </c>
      <c r="T183" s="51" t="s">
        <v>4462</v>
      </c>
      <c r="U183" s="56">
        <f t="shared" si="227"/>
        <v>41.92</v>
      </c>
      <c r="V183" s="56" t="s">
        <v>4458</v>
      </c>
      <c r="W183" s="142">
        <v>27</v>
      </c>
      <c r="X183" s="145">
        <f t="shared" si="228"/>
        <v>1131.8400000000001</v>
      </c>
      <c r="Y183" s="140">
        <f t="shared" si="229"/>
        <v>27</v>
      </c>
      <c r="Z183" s="123">
        <v>39.11</v>
      </c>
      <c r="AA183" s="102">
        <f t="shared" si="230"/>
        <v>75.870000000000118</v>
      </c>
      <c r="AB183" s="102">
        <f t="shared" si="231"/>
        <v>93.690000000000055</v>
      </c>
      <c r="AC183" s="124">
        <v>38.450000000000003</v>
      </c>
      <c r="AD183" s="155">
        <f t="shared" si="232"/>
        <v>93.690000000000055</v>
      </c>
      <c r="AE183" s="545">
        <f t="shared" si="233"/>
        <v>1.3796119592875324</v>
      </c>
      <c r="AF183" s="57">
        <f>IF($AC183="",#N/A,SUM(AD$4:AD183))</f>
        <v>-176.13041200241673</v>
      </c>
      <c r="AG183" s="102">
        <f t="shared" si="234"/>
        <v>57.509999999999764</v>
      </c>
      <c r="AH183" s="56" t="s">
        <v>2507</v>
      </c>
      <c r="AI183" s="65">
        <f t="shared" si="235"/>
        <v>1.1172073791348616</v>
      </c>
      <c r="AJ183" s="65">
        <f>IF(AI183="",#N/A,SUM($AI$4:AI183))</f>
        <v>4.2050330167029912</v>
      </c>
      <c r="AK183" s="57">
        <f t="shared" si="236"/>
        <v>75.870000000000118</v>
      </c>
      <c r="AL183" s="349">
        <f>IF(AI183="",#N/A,IF(AH183="Skip",SUM($AK$4:AK183),SUM($AK$4:AK183)))</f>
        <v>53.617591492813517</v>
      </c>
      <c r="AM183" s="65">
        <f t="shared" si="319"/>
        <v>1.3796119592875324</v>
      </c>
      <c r="AN183" s="209"/>
      <c r="AO183" s="65" t="str">
        <f t="shared" si="237"/>
        <v/>
      </c>
      <c r="AP183" s="65">
        <f>IF($AC183="",#N/A,SUM(AO$4:AO183))</f>
        <v>7.2646169459008885</v>
      </c>
      <c r="AQ183" s="65" t="str">
        <f t="shared" si="238"/>
        <v/>
      </c>
      <c r="AR183" s="65">
        <f>IF($AC183="",#N/A,SUM(AQ$4:AQ183))</f>
        <v>-2.6179859771653153</v>
      </c>
      <c r="AS183" s="65">
        <f t="shared" si="239"/>
        <v>1.3796119592875324</v>
      </c>
      <c r="AT183" s="65">
        <f>IF($AC183="",#N/A,SUM(AS$4:AS183))</f>
        <v>-6.2015646699402005</v>
      </c>
      <c r="AU183" s="57" t="str">
        <f t="shared" si="320"/>
        <v/>
      </c>
      <c r="AV183" s="57">
        <f>IF($AC183="",#N/A,SUM(AU$4:AU183))</f>
        <v>365.84120645125074</v>
      </c>
      <c r="AW183" s="57" t="str">
        <f t="shared" si="321"/>
        <v/>
      </c>
      <c r="AX183" s="57">
        <f>IF($AC183="",#N/A,SUM(AW$4:AW183))</f>
        <v>-163.1400000000001</v>
      </c>
      <c r="AY183" s="57">
        <f t="shared" si="322"/>
        <v>93.690000000000055</v>
      </c>
      <c r="AZ183" s="57">
        <f>IF($AC183="",#N/A,SUM(AY$4:AY183))</f>
        <v>-378.83161845366737</v>
      </c>
      <c r="BA183" s="57">
        <f>IF(AD183="",#N/A,SUM($AD$4:AD183))</f>
        <v>-176.13041200241673</v>
      </c>
      <c r="BC183" s="51" t="str">
        <f t="shared" si="240"/>
        <v/>
      </c>
      <c r="BD183" s="51" t="str">
        <f t="shared" si="241"/>
        <v/>
      </c>
      <c r="BE183" s="51" t="str">
        <f t="shared" si="242"/>
        <v/>
      </c>
      <c r="BF183" s="51" t="str">
        <f t="shared" si="243"/>
        <v>Short</v>
      </c>
      <c r="BG183" s="51">
        <f t="shared" si="244"/>
        <v>1</v>
      </c>
      <c r="BH183" s="51" t="str">
        <f t="shared" si="245"/>
        <v/>
      </c>
      <c r="BI183" s="51" t="str">
        <f t="shared" si="246"/>
        <v/>
      </c>
      <c r="BK183" s="65">
        <f t="shared" si="326"/>
        <v>0.21753609893215561</v>
      </c>
      <c r="BL183" s="65">
        <f t="shared" si="325"/>
        <v>0.35531710255119914</v>
      </c>
      <c r="BM183" s="65">
        <f>IFERROR(Q183/COUNTA($J$4:J183),#N/A)</f>
        <v>4.5972439939185726E-2</v>
      </c>
      <c r="BO183" s="489" t="e">
        <f>IF(J183="",#N/A,IF(S183="SW",(COUNTIFS(K$4:$K183,"&gt;0",S$4:$S183,"SW")/COUNTIF(S$4:$S183,"SW")),#N/A))</f>
        <v>#N/A</v>
      </c>
      <c r="BP183" s="489">
        <f>IF($J183="",#N/A,IF($S183="DWN",(COUNTIFS($K$4:$K183,"&lt;0",$S$4:$S183,"DWN")/COUNTIF($S$4:$S183,"DWN")),#N/A))</f>
        <v>0.58666666666666667</v>
      </c>
      <c r="BQ183" s="489" t="e">
        <f>IF($J183="",#N/A,IF($S183="UP",(COUNTIFS($K$4:$K183,"&gt;0",$S$4:$S183,"UP")/COUNTIF($S$4:$S183,"UP")),#N/A))</f>
        <v>#N/A</v>
      </c>
      <c r="BR183" s="489">
        <f>IF(J183="",#N/A,COUNTIF($K$4:K183,"&gt;0")/COUNT($J$4:J183))</f>
        <v>0.45555555555555555</v>
      </c>
      <c r="BS183" s="65" t="str">
        <f t="shared" si="247"/>
        <v/>
      </c>
      <c r="BT183" s="65" t="str">
        <f t="shared" si="248"/>
        <v/>
      </c>
      <c r="BU183" s="65">
        <f t="shared" si="249"/>
        <v>0.53276081424936805</v>
      </c>
      <c r="BV183" s="65" t="str">
        <f t="shared" si="250"/>
        <v/>
      </c>
      <c r="BW183" s="128" t="str">
        <f t="shared" si="251"/>
        <v/>
      </c>
      <c r="BX183" s="128">
        <f>IF($J183="",#N/A,SUM($BW$4:BW183))</f>
        <v>-205.1650000000003</v>
      </c>
      <c r="BY183" s="131">
        <f t="shared" si="252"/>
        <v>36.180000000000291</v>
      </c>
      <c r="BZ183" s="131">
        <f>IF($J183="",#N/A,SUM($BY$4:BY183))</f>
        <v>433.87434038933361</v>
      </c>
      <c r="CA183" s="133" t="str">
        <f t="shared" si="253"/>
        <v/>
      </c>
      <c r="CB183" s="133">
        <f>IF($J183="",#N/A,SUM($CA$4:CA183))</f>
        <v>98.147023711279559</v>
      </c>
      <c r="CC183" s="194" t="str">
        <f t="shared" si="254"/>
        <v/>
      </c>
      <c r="CD183" s="194">
        <f>IF($J183="",#N/A,SUM($CC$4:CC183))</f>
        <v>-3.1875162177003693</v>
      </c>
      <c r="CE183" s="195">
        <f t="shared" si="255"/>
        <v>0.53276081424936805</v>
      </c>
      <c r="CF183" s="195">
        <f>IF($J183="",#N/A,SUM($CE$4:CE183))</f>
        <v>7.7094186495008064</v>
      </c>
      <c r="CG183" s="196" t="str">
        <f t="shared" si="256"/>
        <v/>
      </c>
      <c r="CH183" s="196">
        <f>IF($J183="",#N/A,SUM($CG$4:CG183))</f>
        <v>3.7531367572529986</v>
      </c>
      <c r="CI183" s="200" t="str">
        <f t="shared" si="257"/>
        <v/>
      </c>
      <c r="CJ183" s="203">
        <f>IF($J183="",#N/A,SUM(CI$4:CI183))</f>
        <v>0</v>
      </c>
      <c r="CK183" s="204" t="str">
        <f t="shared" si="258"/>
        <v/>
      </c>
      <c r="CL183" s="204">
        <f>IF($J183="",#N/A,SUM(CK$4:CK183))</f>
        <v>1.9927003554442289</v>
      </c>
      <c r="CM183" s="205" t="str">
        <f t="shared" si="259"/>
        <v/>
      </c>
      <c r="CN183" s="205">
        <f>IF($J183="",#N/A,SUM(CM$4:CM183))</f>
        <v>4.8977764876565564</v>
      </c>
      <c r="CO183" s="205">
        <f>IF($J183="",#N/A,SUM(CM$4:CM183,CK$4:CK183,CI$4:CI183))</f>
        <v>6.8904768431007852</v>
      </c>
      <c r="CP183" s="200" t="str">
        <f t="shared" si="260"/>
        <v/>
      </c>
      <c r="CQ183" s="203">
        <f>IF($J183="",#N/A,SUM(CP$4:CP183))</f>
        <v>0</v>
      </c>
      <c r="CR183" s="204" t="str">
        <f t="shared" si="261"/>
        <v/>
      </c>
      <c r="CS183" s="204">
        <f>IF($J183="",#N/A,SUM(CR$4:CR183))</f>
        <v>2.420242024202421</v>
      </c>
      <c r="CT183" s="205" t="str">
        <f t="shared" si="262"/>
        <v/>
      </c>
      <c r="CU183" s="205">
        <f>IF($J183="",#N/A,SUM(CT$4:CT183))</f>
        <v>-1.6961777431035243</v>
      </c>
      <c r="CV183" s="205">
        <f>IF($J183="",#N/A,SUM(CT$4:CT183,CR$4:CR183,CP$4:CP183))</f>
        <v>0.72406428109889664</v>
      </c>
      <c r="CW183" s="200" t="str">
        <f t="shared" si="263"/>
        <v/>
      </c>
      <c r="CX183" s="203">
        <f>IF($J183="",#N/A,SUM(CW$4:CW183))</f>
        <v>0</v>
      </c>
      <c r="CY183" s="204" t="str">
        <f t="shared" si="264"/>
        <v/>
      </c>
      <c r="CZ183" s="204">
        <f>IF($J183="",#N/A,SUM(CY$4:CY183))</f>
        <v>-0.26036833003013049</v>
      </c>
      <c r="DA183" s="205" t="str">
        <f t="shared" si="265"/>
        <v/>
      </c>
      <c r="DB183" s="205">
        <f>IF($J183="",#N/A,SUM(DA$4:DA183))</f>
        <v>-2.730105678753044</v>
      </c>
      <c r="DC183" s="205">
        <f>IF($J183="",#N/A,SUM(DA$4:DA183,CY$4:CY183,CW$4:CW183))</f>
        <v>-2.990474008783174</v>
      </c>
      <c r="DD183" s="200" t="str">
        <f t="shared" si="266"/>
        <v/>
      </c>
      <c r="DE183" s="203">
        <f>IF($J183="",#N/A,SUM(DD$4:DD183))</f>
        <v>0.14968716170674062</v>
      </c>
      <c r="DF183" s="204" t="str">
        <f t="shared" si="267"/>
        <v/>
      </c>
      <c r="DG183" s="204">
        <f>IF($J183="",#N/A,SUM(DF$4:DF183))</f>
        <v>1.2121188689979676</v>
      </c>
      <c r="DH183" s="205" t="str">
        <f t="shared" si="268"/>
        <v/>
      </c>
      <c r="DI183" s="205">
        <f>IF($J183="",#N/A,SUM(DH$4:DH183))</f>
        <v>-0.8404015973735236</v>
      </c>
      <c r="DJ183" s="205">
        <f>IF($J183="",#N/A,SUM(DH$4:DH183,DF$4:DF183,DD$4:DD183))</f>
        <v>0.52140443333118447</v>
      </c>
      <c r="DK183" s="200" t="str">
        <f t="shared" si="269"/>
        <v/>
      </c>
      <c r="DL183" s="203">
        <f>IF($J183="",#N/A,SUM(DK$4:DK183))</f>
        <v>-1.2097286851272664</v>
      </c>
      <c r="DM183" s="204" t="str">
        <f t="shared" si="270"/>
        <v/>
      </c>
      <c r="DN183" s="204">
        <f>IF($J183="",#N/A,SUM(DM$4:DM183))</f>
        <v>1.1910608267574658</v>
      </c>
      <c r="DO183" s="205" t="str">
        <f t="shared" si="271"/>
        <v/>
      </c>
      <c r="DP183" s="205">
        <f>IF($J183="",#N/A,SUM(DO$4:DO183))</f>
        <v>2.6571865116636566</v>
      </c>
      <c r="DQ183" s="205">
        <f>IF($J183="",#N/A,SUM(DO$4:DO183,DM$4:DM183,DK$4:DK183))</f>
        <v>2.6385186532938567</v>
      </c>
      <c r="DR183" s="200" t="str">
        <f t="shared" si="272"/>
        <v/>
      </c>
      <c r="DS183" s="203">
        <f>IF($J183="",#N/A,SUM(DR$4:DR183))</f>
        <v>-0.55950946427675097</v>
      </c>
      <c r="DT183" s="204" t="str">
        <f t="shared" si="273"/>
        <v/>
      </c>
      <c r="DU183" s="204">
        <f>IF($J183="",#N/A,SUM(DT$4:DT183))</f>
        <v>-3.5029740333397914</v>
      </c>
      <c r="DV183" s="205" t="str">
        <f t="shared" si="274"/>
        <v/>
      </c>
      <c r="DW183" s="205">
        <f>IF($J183="",#N/A,SUM(DV$4:DV183))</f>
        <v>-1.8527424265931112</v>
      </c>
      <c r="DX183" s="205">
        <f>IF($J183="",#N/A,SUM(DV$4:DV183,DT$4:DT183,DR$4:DR183))</f>
        <v>-5.9152259242096532</v>
      </c>
      <c r="DY183" s="200" t="str">
        <f t="shared" si="275"/>
        <v/>
      </c>
      <c r="DZ183" s="203">
        <f>IF($J183="",#N/A,SUM(DY$4:DY183))</f>
        <v>-1.63480022183437</v>
      </c>
      <c r="EA183" s="204" t="str">
        <f t="shared" si="276"/>
        <v/>
      </c>
      <c r="EB183" s="204">
        <f>IF($J183="",#N/A,SUM(EA$4:EA183))</f>
        <v>0.5578066706208582</v>
      </c>
      <c r="EC183" s="205" t="str">
        <f t="shared" si="277"/>
        <v/>
      </c>
      <c r="ED183" s="205">
        <f>IF($J183="",#N/A,SUM(EC$4:EC183))</f>
        <v>2.4515280577205139</v>
      </c>
      <c r="EE183" s="205">
        <f>IF($J183="",#N/A,SUM(EC$4:EC183,EA$4:EA183,DY$4:DY183))</f>
        <v>1.3745345065070016</v>
      </c>
      <c r="EF183" s="200" t="str">
        <f t="shared" si="278"/>
        <v/>
      </c>
      <c r="EG183" s="203">
        <f>IF($J183="",#N/A,SUM(EF$4:EF183))</f>
        <v>0</v>
      </c>
      <c r="EH183" s="204" t="str">
        <f t="shared" si="279"/>
        <v/>
      </c>
      <c r="EI183" s="204">
        <f>IF($J183="",#N/A,SUM(EH$4:EH183))</f>
        <v>-1.1184224685150388</v>
      </c>
      <c r="EJ183" s="205" t="str">
        <f t="shared" si="280"/>
        <v/>
      </c>
      <c r="EK183" s="205">
        <f>IF($J183="",#N/A,SUM(EJ$4:EJ183))</f>
        <v>2.804966392787259</v>
      </c>
      <c r="EL183" s="205">
        <f>IF($J183="",#N/A,SUM(EJ$4:EJ183,EH$4:EH183,EF$4:EF183))</f>
        <v>1.6865439242722209</v>
      </c>
      <c r="EM183" s="200" t="str">
        <f t="shared" si="281"/>
        <v/>
      </c>
      <c r="EN183" s="203">
        <f>IF($J183="",#N/A,SUM(EM$4:EM183))</f>
        <v>0</v>
      </c>
      <c r="EO183" s="204">
        <f t="shared" si="282"/>
        <v>0.53276081424936805</v>
      </c>
      <c r="EP183" s="204">
        <f>IF($J183="",#N/A,SUM(EO$4:EO183))</f>
        <v>3.0466900999385675</v>
      </c>
      <c r="EQ183" s="205" t="str">
        <f t="shared" si="283"/>
        <v/>
      </c>
      <c r="ER183" s="205">
        <f>IF($J183="",#N/A,SUM(EQ$4:EQ183))</f>
        <v>2.0221833315059508</v>
      </c>
      <c r="ES183" s="205">
        <f>IF($J183="",#N/A,SUM(EQ$4:EQ183,EO$4:EO183,EM$4:EM183))</f>
        <v>5.0688734314445174</v>
      </c>
      <c r="ET183" s="200" t="str">
        <f t="shared" si="284"/>
        <v/>
      </c>
      <c r="EU183" s="203">
        <f>IF($J183="",#N/A,SUM(ET$4:ET183))</f>
        <v>0</v>
      </c>
      <c r="EV183" s="204" t="str">
        <f t="shared" si="285"/>
        <v/>
      </c>
      <c r="EW183" s="204">
        <f>IF($J183="",#N/A,SUM(EV$4:EV183))</f>
        <v>0.90459527759708336</v>
      </c>
      <c r="EX183" s="205" t="str">
        <f t="shared" si="286"/>
        <v/>
      </c>
      <c r="EY183" s="205">
        <f>IF($J183="",#N/A,SUM(EX$4:EX183))</f>
        <v>0.22957553748493481</v>
      </c>
      <c r="EZ183" s="205">
        <f>IF($J183="",#N/A,SUM(EX$4:EX183,EV$4:EV183,ET$4:ET183))</f>
        <v>1.134170815082018</v>
      </c>
      <c r="FA183" s="200" t="str">
        <f t="shared" si="287"/>
        <v/>
      </c>
      <c r="FB183" s="203">
        <f>IF($J183="",#N/A,SUM(FA$4:FA183))</f>
        <v>0</v>
      </c>
      <c r="FC183" s="204" t="str">
        <f t="shared" si="288"/>
        <v/>
      </c>
      <c r="FD183" s="204">
        <f>IF($J183="",#N/A,SUM(FC$4:FC183))</f>
        <v>1.6839191319663924</v>
      </c>
      <c r="FE183" s="205" t="str">
        <f t="shared" si="289"/>
        <v/>
      </c>
      <c r="FF183" s="205">
        <f>IF($J183="",#N/A,SUM(FE$4:FE183))</f>
        <v>-0.28811149078748233</v>
      </c>
      <c r="FG183" s="205">
        <f>IF($J183="",#N/A,SUM(FE$4:FE183,FC$4:FC183,FA$4:FA183))</f>
        <v>1.3958076411789102</v>
      </c>
      <c r="FH183" s="200" t="str">
        <f t="shared" si="290"/>
        <v/>
      </c>
      <c r="FI183" s="203">
        <f>IF($J183="",#N/A,SUM(FH$4:FH183))</f>
        <v>0</v>
      </c>
      <c r="FJ183" s="204" t="str">
        <f t="shared" si="291"/>
        <v/>
      </c>
      <c r="FK183" s="204">
        <f>IF($J183="",#N/A,SUM(FJ$4:FJ183))</f>
        <v>0</v>
      </c>
      <c r="FL183" s="205" t="str">
        <f t="shared" si="292"/>
        <v/>
      </c>
      <c r="FM183" s="205">
        <f>IF($J183="",#N/A,SUM(FL$4:FL183))</f>
        <v>0</v>
      </c>
      <c r="FN183" s="205">
        <f>IF($J183="",#N/A,SUM(FL$4:FL183,FJ$4:FJ183,FH$4:FH183))</f>
        <v>0</v>
      </c>
      <c r="FO183" s="200" t="str">
        <f t="shared" si="293"/>
        <v/>
      </c>
      <c r="FP183" s="203">
        <f>IF($J183="",#N/A,SUM(FO$4:FO183))</f>
        <v>0</v>
      </c>
      <c r="FQ183" s="204" t="str">
        <f t="shared" si="294"/>
        <v/>
      </c>
      <c r="FR183" s="204">
        <f>IF($J183="",#N/A,SUM(FQ$4:FQ183))</f>
        <v>0</v>
      </c>
      <c r="FS183" s="205" t="str">
        <f t="shared" si="295"/>
        <v/>
      </c>
      <c r="FT183" s="205">
        <f>IF($J183="",#N/A,SUM(FS$4:FS183))</f>
        <v>0</v>
      </c>
      <c r="FU183" s="205">
        <f>IF($J183="",#N/A,SUM(FS$4:FS183,FQ$4:FQ183,FO$4:FO183))</f>
        <v>0</v>
      </c>
      <c r="FV183" s="200" t="str">
        <f t="shared" si="296"/>
        <v/>
      </c>
      <c r="FW183" s="203">
        <f>IF($J183="",#N/A,SUM(FV$4:FV183))</f>
        <v>6.6834991831277585E-2</v>
      </c>
      <c r="FX183" s="204" t="str">
        <f t="shared" si="297"/>
        <v/>
      </c>
      <c r="FY183" s="204">
        <f>IF($J183="",#N/A,SUM(FX$4:FX183))</f>
        <v>5.6794210235938045E-2</v>
      </c>
      <c r="FZ183" s="205" t="str">
        <f t="shared" si="298"/>
        <v/>
      </c>
      <c r="GA183" s="205">
        <f>IF($J183="",#N/A,SUM(FZ$4:FZ183))</f>
        <v>-0.96570439723286938</v>
      </c>
      <c r="GB183" s="205">
        <f>IF($J183="",#N/A,SUM(FZ$4:FZ183,FX$4:FX183,FV$4:FV183))</f>
        <v>-0.84207519516565377</v>
      </c>
      <c r="GC183" s="200" t="str">
        <f t="shared" si="299"/>
        <v/>
      </c>
      <c r="GD183" s="203">
        <f>IF($J183="",#N/A,SUM(GC$4:GC183))</f>
        <v>0</v>
      </c>
      <c r="GE183" s="204" t="str">
        <f t="shared" si="300"/>
        <v/>
      </c>
      <c r="GF183" s="204">
        <f>IF($J183="",#N/A,SUM(GE$4:GE183))</f>
        <v>0</v>
      </c>
      <c r="GG183" s="205" t="str">
        <f t="shared" si="301"/>
        <v/>
      </c>
      <c r="GH183" s="205">
        <f>IF($J183="",#N/A,SUM(GG$4:GG183))</f>
        <v>-2.9368362277223206</v>
      </c>
      <c r="GI183" s="205">
        <f>IF($J183="",#N/A,SUM(GG$4:GG183,GE$4:GE183,GC$4:GC183))</f>
        <v>-2.9368362277223206</v>
      </c>
      <c r="GJ183" s="200" t="str">
        <f t="shared" si="302"/>
        <v/>
      </c>
      <c r="GK183" s="203">
        <f>IF($J183="",#N/A,SUM(GJ$4:GJ183))</f>
        <v>0</v>
      </c>
      <c r="GL183" s="204" t="str">
        <f t="shared" si="303"/>
        <v/>
      </c>
      <c r="GM183" s="204">
        <f>IF($J183="",#N/A,SUM(GL$4:GL183))</f>
        <v>-0.80168930905701452</v>
      </c>
      <c r="GN183" s="205" t="str">
        <f t="shared" si="304"/>
        <v/>
      </c>
      <c r="GO183" s="205">
        <f>IF($J183="",#N/A,SUM(GN$4:GN183))</f>
        <v>0</v>
      </c>
      <c r="GP183" s="205">
        <f>IF($J183="",#N/A,SUM(GN$4:GN183,GL$4:GL183,GJ$4:GJ183))</f>
        <v>-0.80168930905701452</v>
      </c>
      <c r="GS183" s="54" t="str">
        <f t="shared" si="323"/>
        <v/>
      </c>
      <c r="GT183" s="54" t="e">
        <f>IF(GS183="",NA(),SUM($GS$4:GS183))</f>
        <v>#N/A</v>
      </c>
      <c r="GU183" s="54" t="str">
        <f t="shared" si="305"/>
        <v/>
      </c>
      <c r="GV183" s="54" t="e">
        <f>IF(GU183="",NA(),SUM($GU$4:GU183))</f>
        <v>#N/A</v>
      </c>
      <c r="GW183" s="54" t="str">
        <f t="shared" si="306"/>
        <v/>
      </c>
      <c r="GX183" s="54" t="e">
        <f>IF(GW183="",NA(),SUM($GW$4:GW183))</f>
        <v>#N/A</v>
      </c>
      <c r="GY183" s="54" t="str">
        <f t="shared" si="307"/>
        <v/>
      </c>
      <c r="GZ183" s="54" t="e">
        <f>IF(GY183="",NA(),SUM($GY$4:GY183))</f>
        <v>#N/A</v>
      </c>
      <c r="HA183" s="54">
        <f t="shared" si="308"/>
        <v>0.53276081424936805</v>
      </c>
      <c r="HB183" s="54">
        <f>IF(HA183="",NA(),SUM($HA$4:HA183))</f>
        <v>3.1866909852189167</v>
      </c>
      <c r="HC183" s="54" t="str">
        <f t="shared" si="309"/>
        <v/>
      </c>
      <c r="HD183" s="54" t="e">
        <f>IF(HC183="",NA(),SUM($HC$4:HC183))</f>
        <v>#N/A</v>
      </c>
      <c r="HE183" s="54" t="str">
        <f t="shared" si="310"/>
        <v/>
      </c>
      <c r="HF183" s="54" t="e">
        <f>IF(HE183="",NA(),SUM($HE$4:HE183))</f>
        <v>#N/A</v>
      </c>
      <c r="HG183" s="54">
        <f t="shared" si="311"/>
        <v>0.53276081424936805</v>
      </c>
      <c r="HH183" s="54">
        <f>IF(HG183="",NA(),SUM($HG$4:HG183))</f>
        <v>3.5066374911527318</v>
      </c>
      <c r="HI183" s="172">
        <f t="shared" si="324"/>
        <v>0.84685114503816439</v>
      </c>
      <c r="HJ183" s="172">
        <f>IF($J183="",#N/A,SUM(HI$4:$HI183))</f>
        <v>-8.1900937840518608</v>
      </c>
      <c r="HK183" s="54" t="str">
        <f t="shared" si="312"/>
        <v/>
      </c>
      <c r="HL183" s="54">
        <f>IF($J183="",#N/A,SUM($HK$4:HK183))</f>
        <v>-5.7208895353891398</v>
      </c>
      <c r="HM183" s="54" t="str">
        <f t="shared" si="313"/>
        <v/>
      </c>
      <c r="HN183" s="54">
        <f>IF($J183="",#N/A,SUM($HM$4:HM183))</f>
        <v>0.71812545963587882</v>
      </c>
      <c r="HO183" s="54" t="str">
        <f t="shared" si="314"/>
        <v/>
      </c>
      <c r="HP183" s="54">
        <f>IF($J183="",#N/A,SUM($HO$4:HO183))</f>
        <v>-0.14859521910082485</v>
      </c>
      <c r="HQ183" s="54" t="str">
        <f t="shared" si="315"/>
        <v/>
      </c>
      <c r="HR183" s="54">
        <f>IF($J183="",#N/A,SUM($HQ$4:HQ183))</f>
        <v>-9.4845146337349675</v>
      </c>
      <c r="HS183" s="54" t="str">
        <f t="shared" si="316"/>
        <v/>
      </c>
      <c r="HT183" s="54">
        <f>IF($J183="",#N/A,SUM($HS$4:HS183))</f>
        <v>12.995994822382864</v>
      </c>
      <c r="HU183" s="65">
        <f t="shared" si="317"/>
        <v>1.3796119592875324</v>
      </c>
      <c r="HV183" s="65">
        <f>IF($J183="",#N/A,SUM(HU$4:$HU183))</f>
        <v>-1.5549337012046232</v>
      </c>
    </row>
    <row r="184" spans="1:230" x14ac:dyDescent="0.25">
      <c r="A184" s="51" t="s">
        <v>1385</v>
      </c>
      <c r="B184" s="52" t="s">
        <v>4543</v>
      </c>
      <c r="C184" s="229">
        <f t="shared" si="218"/>
        <v>3</v>
      </c>
      <c r="D184" s="219" t="str">
        <f>_xlfn.XLOOKUP(A184,[1]SP500!$A$2:$A$502,[1]SP500!$D$2:$D$502,"N")</f>
        <v>Y</v>
      </c>
      <c r="E184" s="76" t="str">
        <f>IFERROR(_xlfn.XLOOKUP(A184,[1]SP500!$A$2:$A$655,[1]SP500!$B$2:$B$655),"")</f>
        <v>INS</v>
      </c>
      <c r="F184" s="290">
        <v>45777</v>
      </c>
      <c r="G184" s="51" t="str">
        <f t="shared" si="219"/>
        <v>AMC</v>
      </c>
      <c r="H184" s="51" t="str">
        <f t="shared" si="220"/>
        <v>s</v>
      </c>
      <c r="I184" s="344">
        <v>108.68</v>
      </c>
      <c r="J184" s="124">
        <v>105.5</v>
      </c>
      <c r="K184" s="55">
        <f t="shared" si="221"/>
        <v>-2.9260213470739847E-2</v>
      </c>
      <c r="L184" s="67">
        <f t="shared" si="222"/>
        <v>-31.800000000000182</v>
      </c>
      <c r="M184" s="57">
        <f t="shared" si="223"/>
        <v>-12.5</v>
      </c>
      <c r="N184" s="102">
        <f t="shared" si="224"/>
        <v>-31.800000000000182</v>
      </c>
      <c r="O184" s="57">
        <f>IF(N184="",#N/A,SUM($N$4:N184))</f>
        <v>295.05636410061265</v>
      </c>
      <c r="P184" s="65">
        <f t="shared" si="318"/>
        <v>-0.4876702245123325</v>
      </c>
      <c r="Q184" s="172">
        <f>IF($N184="",#N/A,SUM($P$4:P184))</f>
        <v>7.7873689645410975</v>
      </c>
      <c r="R184" s="279">
        <f t="shared" si="225"/>
        <v>4.261700442992078</v>
      </c>
      <c r="S184" s="51" t="str">
        <f t="shared" si="226"/>
        <v>SW</v>
      </c>
      <c r="T184" s="51" t="s">
        <v>2828</v>
      </c>
      <c r="U184" s="56">
        <f t="shared" si="227"/>
        <v>108.68</v>
      </c>
      <c r="V184" s="56" t="s">
        <v>4460</v>
      </c>
      <c r="W184" s="142">
        <v>10</v>
      </c>
      <c r="X184" s="145">
        <f t="shared" si="228"/>
        <v>1086.8000000000002</v>
      </c>
      <c r="Y184" s="140">
        <f t="shared" si="229"/>
        <v>10</v>
      </c>
      <c r="Z184" s="123">
        <v>104.25</v>
      </c>
      <c r="AA184" s="102">
        <f t="shared" si="230"/>
        <v>-44.300000000000182</v>
      </c>
      <c r="AB184" s="102">
        <f t="shared" si="231"/>
        <v>-51.600000000000136</v>
      </c>
      <c r="AC184" s="124">
        <v>103.52</v>
      </c>
      <c r="AD184" s="155">
        <f t="shared" si="232"/>
        <v>-51.600000000000136</v>
      </c>
      <c r="AE184" s="545">
        <f t="shared" si="233"/>
        <v>-0.79131394920868803</v>
      </c>
      <c r="AF184" s="57">
        <f>IF($AC184="",#N/A,SUM(AD$4:AD184))</f>
        <v>-227.73041200241687</v>
      </c>
      <c r="AG184" s="102">
        <f t="shared" si="234"/>
        <v>-19.799999999999955</v>
      </c>
      <c r="AH184" s="56" t="s">
        <v>2507</v>
      </c>
      <c r="AI184" s="65">
        <f t="shared" si="235"/>
        <v>-0.67936449515397146</v>
      </c>
      <c r="AJ184" s="350">
        <f>IF(AI184="",#N/A,SUM($AI$4:AI184))</f>
        <v>3.5256685215490196</v>
      </c>
      <c r="AK184" s="57">
        <f t="shared" si="236"/>
        <v>-44.300000000000182</v>
      </c>
      <c r="AL184" s="349">
        <f>IF(AI184="",#N/A,IF(AH184="Skip",SUM($AK$4:AK184),SUM($AK$4:AK184)))</f>
        <v>9.3175914928133352</v>
      </c>
      <c r="AM184" s="65">
        <f t="shared" si="319"/>
        <v>-0.79131394920868803</v>
      </c>
      <c r="AN184" s="209"/>
      <c r="AO184" s="65">
        <f t="shared" si="237"/>
        <v>-0.79131394920868803</v>
      </c>
      <c r="AP184" s="65">
        <f>IF($AC184="",#N/A,SUM(AO$4:AO184))</f>
        <v>6.4733029966922002</v>
      </c>
      <c r="AQ184" s="65" t="str">
        <f t="shared" si="238"/>
        <v/>
      </c>
      <c r="AR184" s="65">
        <f>IF($AC184="",#N/A,SUM(AQ$4:AQ184))</f>
        <v>-2.6179859771653153</v>
      </c>
      <c r="AS184" s="65" t="str">
        <f t="shared" si="239"/>
        <v/>
      </c>
      <c r="AT184" s="65">
        <f>IF($AC184="",#N/A,SUM(AS$4:AS184))</f>
        <v>-6.2015646699402005</v>
      </c>
      <c r="AU184" s="57">
        <f t="shared" si="320"/>
        <v>-51.600000000000136</v>
      </c>
      <c r="AV184" s="57">
        <f>IF($AC184="",#N/A,SUM(AU$4:AU184))</f>
        <v>314.2412064512506</v>
      </c>
      <c r="AW184" s="57" t="str">
        <f t="shared" si="321"/>
        <v/>
      </c>
      <c r="AX184" s="57">
        <f>IF($AC184="",#N/A,SUM(AW$4:AW184))</f>
        <v>-163.1400000000001</v>
      </c>
      <c r="AY184" s="57" t="str">
        <f t="shared" si="322"/>
        <v/>
      </c>
      <c r="AZ184" s="57">
        <f>IF($AC184="",#N/A,SUM(AY$4:AY184))</f>
        <v>-378.83161845366737</v>
      </c>
      <c r="BA184" s="57">
        <f>IF(AD184="",#N/A,SUM($AD$4:AD184))</f>
        <v>-227.73041200241687</v>
      </c>
      <c r="BC184" s="51" t="str">
        <f t="shared" si="240"/>
        <v/>
      </c>
      <c r="BD184" s="51" t="str">
        <f t="shared" si="241"/>
        <v/>
      </c>
      <c r="BE184" s="51" t="str">
        <f t="shared" si="242"/>
        <v/>
      </c>
      <c r="BF184" s="51" t="str">
        <f t="shared" si="243"/>
        <v>Long</v>
      </c>
      <c r="BG184" s="51" t="str">
        <f t="shared" si="244"/>
        <v/>
      </c>
      <c r="BH184" s="51" t="str">
        <f t="shared" si="245"/>
        <v/>
      </c>
      <c r="BI184" s="51">
        <f t="shared" si="246"/>
        <v>1</v>
      </c>
      <c r="BK184" s="65">
        <f t="shared" si="326"/>
        <v>0.21269886914342692</v>
      </c>
      <c r="BL184" s="65">
        <f t="shared" si="325"/>
        <v>0.25573159931247197</v>
      </c>
      <c r="BM184" s="65">
        <f>IFERROR(Q184/COUNTA($J$4:J184),#N/A)</f>
        <v>4.3024137925641422E-2</v>
      </c>
      <c r="BO184" s="489">
        <f>IF(J184="",#N/A,IF(S184="SW",(COUNTIFS(K$4:$K184,"&gt;0",S$4:$S184,"SW")/COUNTIF(S$4:$S184,"SW")),#N/A))</f>
        <v>0.48979591836734693</v>
      </c>
      <c r="BP184" s="489" t="e">
        <f>IF($J184="",#N/A,IF($S184="DWN",(COUNTIFS($K$4:$K184,"&lt;0",$S$4:$S184,"DWN")/COUNTIF($S$4:$S184,"DWN")),#N/A))</f>
        <v>#N/A</v>
      </c>
      <c r="BQ184" s="489" t="e">
        <f>IF($J184="",#N/A,IF($S184="UP",(COUNTIFS($K$4:$K184,"&gt;0",$S$4:$S184,"UP")/COUNTIF($S$4:$S184,"UP")),#N/A))</f>
        <v>#N/A</v>
      </c>
      <c r="BR184" s="489">
        <f>IF(J184="",#N/A,COUNTIF($K$4:K184,"&gt;0")/COUNT($J$4:J184))</f>
        <v>0.45303867403314918</v>
      </c>
      <c r="BS184" s="65" t="str">
        <f t="shared" si="247"/>
        <v/>
      </c>
      <c r="BT184" s="65">
        <f t="shared" si="248"/>
        <v>-0.4876702245123325</v>
      </c>
      <c r="BU184" s="65" t="str">
        <f t="shared" si="249"/>
        <v/>
      </c>
      <c r="BV184" s="65" t="str">
        <f t="shared" si="250"/>
        <v/>
      </c>
      <c r="BW184" s="128" t="str">
        <f t="shared" si="251"/>
        <v/>
      </c>
      <c r="BX184" s="128">
        <f>IF($J184="",#N/A,SUM($BW$4:BW184))</f>
        <v>-205.1650000000003</v>
      </c>
      <c r="BY184" s="131" t="str">
        <f t="shared" si="252"/>
        <v/>
      </c>
      <c r="BZ184" s="131">
        <f>IF($J184="",#N/A,SUM($BY$4:BY184))</f>
        <v>433.87434038933361</v>
      </c>
      <c r="CA184" s="133">
        <f t="shared" si="253"/>
        <v>-31.800000000000182</v>
      </c>
      <c r="CB184" s="133">
        <f>IF($J184="",#N/A,SUM($CA$4:CA184))</f>
        <v>66.347023711279377</v>
      </c>
      <c r="CC184" s="194" t="str">
        <f t="shared" si="254"/>
        <v/>
      </c>
      <c r="CD184" s="194">
        <f>IF($J184="",#N/A,SUM($CC$4:CC184))</f>
        <v>-3.1875162177003693</v>
      </c>
      <c r="CE184" s="195" t="str">
        <f t="shared" si="255"/>
        <v/>
      </c>
      <c r="CF184" s="195">
        <f>IF($J184="",#N/A,SUM($CE$4:CE184))</f>
        <v>7.7094186495008064</v>
      </c>
      <c r="CG184" s="196">
        <f t="shared" si="256"/>
        <v>-0.4876702245123325</v>
      </c>
      <c r="CH184" s="196">
        <f>IF($J184="",#N/A,SUM($CG$4:CG184))</f>
        <v>3.2654665327406662</v>
      </c>
      <c r="CI184" s="200" t="str">
        <f t="shared" si="257"/>
        <v/>
      </c>
      <c r="CJ184" s="203">
        <f>IF($J184="",#N/A,SUM(CI$4:CI184))</f>
        <v>0</v>
      </c>
      <c r="CK184" s="204" t="str">
        <f t="shared" si="258"/>
        <v/>
      </c>
      <c r="CL184" s="204">
        <f>IF($J184="",#N/A,SUM(CK$4:CK184))</f>
        <v>1.9927003554442289</v>
      </c>
      <c r="CM184" s="205" t="str">
        <f t="shared" si="259"/>
        <v/>
      </c>
      <c r="CN184" s="205">
        <f>IF($J184="",#N/A,SUM(CM$4:CM184))</f>
        <v>4.8977764876565564</v>
      </c>
      <c r="CO184" s="205">
        <f>IF($J184="",#N/A,SUM(CM$4:CM184,CK$4:CK184,CI$4:CI184))</f>
        <v>6.8904768431007852</v>
      </c>
      <c r="CP184" s="200" t="str">
        <f t="shared" si="260"/>
        <v/>
      </c>
      <c r="CQ184" s="203">
        <f>IF($J184="",#N/A,SUM(CP$4:CP184))</f>
        <v>0</v>
      </c>
      <c r="CR184" s="204" t="str">
        <f t="shared" si="261"/>
        <v/>
      </c>
      <c r="CS184" s="204">
        <f>IF($J184="",#N/A,SUM(CR$4:CR184))</f>
        <v>2.420242024202421</v>
      </c>
      <c r="CT184" s="205" t="str">
        <f t="shared" si="262"/>
        <v/>
      </c>
      <c r="CU184" s="205">
        <f>IF($J184="",#N/A,SUM(CT$4:CT184))</f>
        <v>-1.6961777431035243</v>
      </c>
      <c r="CV184" s="205">
        <f>IF($J184="",#N/A,SUM(CT$4:CT184,CR$4:CR184,CP$4:CP184))</f>
        <v>0.72406428109889664</v>
      </c>
      <c r="CW184" s="200" t="str">
        <f t="shared" si="263"/>
        <v/>
      </c>
      <c r="CX184" s="203">
        <f>IF($J184="",#N/A,SUM(CW$4:CW184))</f>
        <v>0</v>
      </c>
      <c r="CY184" s="204" t="str">
        <f t="shared" si="264"/>
        <v/>
      </c>
      <c r="CZ184" s="204">
        <f>IF($J184="",#N/A,SUM(CY$4:CY184))</f>
        <v>-0.26036833003013049</v>
      </c>
      <c r="DA184" s="205" t="str">
        <f t="shared" si="265"/>
        <v/>
      </c>
      <c r="DB184" s="205">
        <f>IF($J184="",#N/A,SUM(DA$4:DA184))</f>
        <v>-2.730105678753044</v>
      </c>
      <c r="DC184" s="205">
        <f>IF($J184="",#N/A,SUM(DA$4:DA184,CY$4:CY184,CW$4:CW184))</f>
        <v>-2.990474008783174</v>
      </c>
      <c r="DD184" s="200" t="str">
        <f t="shared" si="266"/>
        <v/>
      </c>
      <c r="DE184" s="203">
        <f>IF($J184="",#N/A,SUM(DD$4:DD184))</f>
        <v>0.14968716170674062</v>
      </c>
      <c r="DF184" s="204" t="str">
        <f t="shared" si="267"/>
        <v/>
      </c>
      <c r="DG184" s="204">
        <f>IF($J184="",#N/A,SUM(DF$4:DF184))</f>
        <v>1.2121188689979676</v>
      </c>
      <c r="DH184" s="205" t="str">
        <f t="shared" si="268"/>
        <v/>
      </c>
      <c r="DI184" s="205">
        <f>IF($J184="",#N/A,SUM(DH$4:DH184))</f>
        <v>-0.8404015973735236</v>
      </c>
      <c r="DJ184" s="205">
        <f>IF($J184="",#N/A,SUM(DH$4:DH184,DF$4:DF184,DD$4:DD184))</f>
        <v>0.52140443333118447</v>
      </c>
      <c r="DK184" s="200" t="str">
        <f t="shared" si="269"/>
        <v/>
      </c>
      <c r="DL184" s="203">
        <f>IF($J184="",#N/A,SUM(DK$4:DK184))</f>
        <v>-1.2097286851272664</v>
      </c>
      <c r="DM184" s="204" t="str">
        <f t="shared" si="270"/>
        <v/>
      </c>
      <c r="DN184" s="204">
        <f>IF($J184="",#N/A,SUM(DM$4:DM184))</f>
        <v>1.1910608267574658</v>
      </c>
      <c r="DO184" s="205" t="str">
        <f t="shared" si="271"/>
        <v/>
      </c>
      <c r="DP184" s="205">
        <f>IF($J184="",#N/A,SUM(DO$4:DO184))</f>
        <v>2.6571865116636566</v>
      </c>
      <c r="DQ184" s="205">
        <f>IF($J184="",#N/A,SUM(DO$4:DO184,DM$4:DM184,DK$4:DK184))</f>
        <v>2.6385186532938567</v>
      </c>
      <c r="DR184" s="200" t="str">
        <f t="shared" si="272"/>
        <v/>
      </c>
      <c r="DS184" s="203">
        <f>IF($J184="",#N/A,SUM(DR$4:DR184))</f>
        <v>-0.55950946427675097</v>
      </c>
      <c r="DT184" s="204" t="str">
        <f t="shared" si="273"/>
        <v/>
      </c>
      <c r="DU184" s="204">
        <f>IF($J184="",#N/A,SUM(DT$4:DT184))</f>
        <v>-3.5029740333397914</v>
      </c>
      <c r="DV184" s="205" t="str">
        <f t="shared" si="274"/>
        <v/>
      </c>
      <c r="DW184" s="205">
        <f>IF($J184="",#N/A,SUM(DV$4:DV184))</f>
        <v>-1.8527424265931112</v>
      </c>
      <c r="DX184" s="205">
        <f>IF($J184="",#N/A,SUM(DV$4:DV184,DT$4:DT184,DR$4:DR184))</f>
        <v>-5.9152259242096532</v>
      </c>
      <c r="DY184" s="200" t="str">
        <f t="shared" si="275"/>
        <v/>
      </c>
      <c r="DZ184" s="203">
        <f>IF($J184="",#N/A,SUM(DY$4:DY184))</f>
        <v>-1.63480022183437</v>
      </c>
      <c r="EA184" s="204" t="str">
        <f t="shared" si="276"/>
        <v/>
      </c>
      <c r="EB184" s="204">
        <f>IF($J184="",#N/A,SUM(EA$4:EA184))</f>
        <v>0.5578066706208582</v>
      </c>
      <c r="EC184" s="205" t="str">
        <f t="shared" si="277"/>
        <v/>
      </c>
      <c r="ED184" s="205">
        <f>IF($J184="",#N/A,SUM(EC$4:EC184))</f>
        <v>2.4515280577205139</v>
      </c>
      <c r="EE184" s="205">
        <f>IF($J184="",#N/A,SUM(EC$4:EC184,EA$4:EA184,DY$4:DY184))</f>
        <v>1.3745345065070016</v>
      </c>
      <c r="EF184" s="200" t="str">
        <f t="shared" si="278"/>
        <v/>
      </c>
      <c r="EG184" s="203">
        <f>IF($J184="",#N/A,SUM(EF$4:EF184))</f>
        <v>0</v>
      </c>
      <c r="EH184" s="204" t="str">
        <f t="shared" si="279"/>
        <v/>
      </c>
      <c r="EI184" s="204">
        <f>IF($J184="",#N/A,SUM(EH$4:EH184))</f>
        <v>-1.1184224685150388</v>
      </c>
      <c r="EJ184" s="205" t="str">
        <f t="shared" si="280"/>
        <v/>
      </c>
      <c r="EK184" s="205">
        <f>IF($J184="",#N/A,SUM(EJ$4:EJ184))</f>
        <v>2.804966392787259</v>
      </c>
      <c r="EL184" s="205">
        <f>IF($J184="",#N/A,SUM(EJ$4:EJ184,EH$4:EH184,EF$4:EF184))</f>
        <v>1.6865439242722209</v>
      </c>
      <c r="EM184" s="200" t="str">
        <f t="shared" si="281"/>
        <v/>
      </c>
      <c r="EN184" s="203">
        <f>IF($J184="",#N/A,SUM(EM$4:EM184))</f>
        <v>0</v>
      </c>
      <c r="EO184" s="204" t="str">
        <f t="shared" si="282"/>
        <v/>
      </c>
      <c r="EP184" s="204">
        <f>IF($J184="",#N/A,SUM(EO$4:EO184))</f>
        <v>3.0466900999385675</v>
      </c>
      <c r="EQ184" s="205" t="str">
        <f t="shared" si="283"/>
        <v/>
      </c>
      <c r="ER184" s="205">
        <f>IF($J184="",#N/A,SUM(EQ$4:EQ184))</f>
        <v>2.0221833315059508</v>
      </c>
      <c r="ES184" s="205">
        <f>IF($J184="",#N/A,SUM(EQ$4:EQ184,EO$4:EO184,EM$4:EM184))</f>
        <v>5.0688734314445174</v>
      </c>
      <c r="ET184" s="200" t="str">
        <f t="shared" si="284"/>
        <v/>
      </c>
      <c r="EU184" s="203">
        <f>IF($J184="",#N/A,SUM(ET$4:ET184))</f>
        <v>0</v>
      </c>
      <c r="EV184" s="204" t="str">
        <f t="shared" si="285"/>
        <v/>
      </c>
      <c r="EW184" s="204">
        <f>IF($J184="",#N/A,SUM(EV$4:EV184))</f>
        <v>0.90459527759708336</v>
      </c>
      <c r="EX184" s="205" t="str">
        <f t="shared" si="286"/>
        <v/>
      </c>
      <c r="EY184" s="205">
        <f>IF($J184="",#N/A,SUM(EX$4:EX184))</f>
        <v>0.22957553748493481</v>
      </c>
      <c r="EZ184" s="205">
        <f>IF($J184="",#N/A,SUM(EX$4:EX184,EV$4:EV184,ET$4:ET184))</f>
        <v>1.134170815082018</v>
      </c>
      <c r="FA184" s="200" t="str">
        <f t="shared" si="287"/>
        <v/>
      </c>
      <c r="FB184" s="203">
        <f>IF($J184="",#N/A,SUM(FA$4:FA184))</f>
        <v>0</v>
      </c>
      <c r="FC184" s="204" t="str">
        <f t="shared" si="288"/>
        <v/>
      </c>
      <c r="FD184" s="204">
        <f>IF($J184="",#N/A,SUM(FC$4:FC184))</f>
        <v>1.6839191319663924</v>
      </c>
      <c r="FE184" s="205" t="str">
        <f t="shared" si="289"/>
        <v/>
      </c>
      <c r="FF184" s="205">
        <f>IF($J184="",#N/A,SUM(FE$4:FE184))</f>
        <v>-0.28811149078748233</v>
      </c>
      <c r="FG184" s="205">
        <f>IF($J184="",#N/A,SUM(FE$4:FE184,FC$4:FC184,FA$4:FA184))</f>
        <v>1.3958076411789102</v>
      </c>
      <c r="FH184" s="200" t="str">
        <f t="shared" si="290"/>
        <v/>
      </c>
      <c r="FI184" s="203">
        <f>IF($J184="",#N/A,SUM(FH$4:FH184))</f>
        <v>0</v>
      </c>
      <c r="FJ184" s="204" t="str">
        <f t="shared" si="291"/>
        <v/>
      </c>
      <c r="FK184" s="204">
        <f>IF($J184="",#N/A,SUM(FJ$4:FJ184))</f>
        <v>0</v>
      </c>
      <c r="FL184" s="205" t="str">
        <f t="shared" si="292"/>
        <v/>
      </c>
      <c r="FM184" s="205">
        <f>IF($J184="",#N/A,SUM(FL$4:FL184))</f>
        <v>0</v>
      </c>
      <c r="FN184" s="205">
        <f>IF($J184="",#N/A,SUM(FL$4:FL184,FJ$4:FJ184,FH$4:FH184))</f>
        <v>0</v>
      </c>
      <c r="FO184" s="200" t="str">
        <f t="shared" si="293"/>
        <v/>
      </c>
      <c r="FP184" s="203">
        <f>IF($J184="",#N/A,SUM(FO$4:FO184))</f>
        <v>0</v>
      </c>
      <c r="FQ184" s="204" t="str">
        <f t="shared" si="294"/>
        <v/>
      </c>
      <c r="FR184" s="204">
        <f>IF($J184="",#N/A,SUM(FQ$4:FQ184))</f>
        <v>0</v>
      </c>
      <c r="FS184" s="205" t="str">
        <f t="shared" si="295"/>
        <v/>
      </c>
      <c r="FT184" s="205">
        <f>IF($J184="",#N/A,SUM(FS$4:FS184))</f>
        <v>0</v>
      </c>
      <c r="FU184" s="205">
        <f>IF($J184="",#N/A,SUM(FS$4:FS184,FQ$4:FQ184,FO$4:FO184))</f>
        <v>0</v>
      </c>
      <c r="FV184" s="200" t="str">
        <f t="shared" si="296"/>
        <v/>
      </c>
      <c r="FW184" s="203">
        <f>IF($J184="",#N/A,SUM(FV$4:FV184))</f>
        <v>6.6834991831277585E-2</v>
      </c>
      <c r="FX184" s="204" t="str">
        <f t="shared" si="297"/>
        <v/>
      </c>
      <c r="FY184" s="204">
        <f>IF($J184="",#N/A,SUM(FX$4:FX184))</f>
        <v>5.6794210235938045E-2</v>
      </c>
      <c r="FZ184" s="205">
        <f t="shared" si="298"/>
        <v>-0.4876702245123325</v>
      </c>
      <c r="GA184" s="205">
        <f>IF($J184="",#N/A,SUM(FZ$4:FZ184))</f>
        <v>-1.4533746217452019</v>
      </c>
      <c r="GB184" s="205">
        <f>IF($J184="",#N/A,SUM(FZ$4:FZ184,FX$4:FX184,FV$4:FV184))</f>
        <v>-1.3297454196779863</v>
      </c>
      <c r="GC184" s="200" t="str">
        <f t="shared" si="299"/>
        <v/>
      </c>
      <c r="GD184" s="203">
        <f>IF($J184="",#N/A,SUM(GC$4:GC184))</f>
        <v>0</v>
      </c>
      <c r="GE184" s="204" t="str">
        <f t="shared" si="300"/>
        <v/>
      </c>
      <c r="GF184" s="204">
        <f>IF($J184="",#N/A,SUM(GE$4:GE184))</f>
        <v>0</v>
      </c>
      <c r="GG184" s="205" t="str">
        <f t="shared" si="301"/>
        <v/>
      </c>
      <c r="GH184" s="205">
        <f>IF($J184="",#N/A,SUM(GG$4:GG184))</f>
        <v>-2.9368362277223206</v>
      </c>
      <c r="GI184" s="205">
        <f>IF($J184="",#N/A,SUM(GG$4:GG184,GE$4:GE184,GC$4:GC184))</f>
        <v>-2.9368362277223206</v>
      </c>
      <c r="GJ184" s="200" t="str">
        <f t="shared" si="302"/>
        <v/>
      </c>
      <c r="GK184" s="203">
        <f>IF($J184="",#N/A,SUM(GJ$4:GJ184))</f>
        <v>0</v>
      </c>
      <c r="GL184" s="204" t="str">
        <f t="shared" si="303"/>
        <v/>
      </c>
      <c r="GM184" s="204">
        <f>IF($J184="",#N/A,SUM(GL$4:GL184))</f>
        <v>-0.80168930905701452</v>
      </c>
      <c r="GN184" s="205" t="str">
        <f t="shared" si="304"/>
        <v/>
      </c>
      <c r="GO184" s="205">
        <f>IF($J184="",#N/A,SUM(GN$4:GN184))</f>
        <v>0</v>
      </c>
      <c r="GP184" s="205">
        <f>IF($J184="",#N/A,SUM(GN$4:GN184,GL$4:GL184,GJ$4:GJ184))</f>
        <v>-0.80168930905701452</v>
      </c>
      <c r="GS184" s="54">
        <f t="shared" si="323"/>
        <v>-0.4876702245123325</v>
      </c>
      <c r="GT184" s="54">
        <f>IF(GS184="",NA(),SUM($GS$4:GS184))</f>
        <v>4.6006779793221826</v>
      </c>
      <c r="GU184" s="54" t="str">
        <f t="shared" si="305"/>
        <v/>
      </c>
      <c r="GV184" s="54" t="e">
        <f>IF(GU184="",NA(),SUM($GU$4:GU184))</f>
        <v>#N/A</v>
      </c>
      <c r="GW184" s="54">
        <f t="shared" si="306"/>
        <v>-0.4876702245123325</v>
      </c>
      <c r="GX184" s="54">
        <f>IF(GW184="",NA(),SUM($GW$4:GW184))</f>
        <v>3.5854130386744809</v>
      </c>
      <c r="GY184" s="54" t="str">
        <f t="shared" si="307"/>
        <v/>
      </c>
      <c r="GZ184" s="54" t="e">
        <f>IF(GY184="",NA(),SUM($GY$4:GY184))</f>
        <v>#N/A</v>
      </c>
      <c r="HA184" s="54" t="str">
        <f t="shared" si="308"/>
        <v/>
      </c>
      <c r="HB184" s="54" t="e">
        <f>IF(HA184="",NA(),SUM($HA$4:HA184))</f>
        <v>#N/A</v>
      </c>
      <c r="HC184" s="54" t="str">
        <f t="shared" si="309"/>
        <v/>
      </c>
      <c r="HD184" s="54" t="e">
        <f>IF(HC184="",NA(),SUM($HC$4:HC184))</f>
        <v>#N/A</v>
      </c>
      <c r="HE184" s="54" t="str">
        <f t="shared" si="310"/>
        <v/>
      </c>
      <c r="HF184" s="54" t="e">
        <f>IF(HE184="",NA(),SUM($HE$4:HE184))</f>
        <v>#N/A</v>
      </c>
      <c r="HG184" s="54" t="str">
        <f t="shared" si="311"/>
        <v/>
      </c>
      <c r="HH184" s="54" t="e">
        <f>IF(HG184="",NA(),SUM($HG$4:HG184))</f>
        <v>#N/A</v>
      </c>
      <c r="HI184" s="172" t="str">
        <f t="shared" si="324"/>
        <v/>
      </c>
      <c r="HJ184" s="172">
        <f>IF($J184="",#N/A,SUM(HI$4:$HI184))</f>
        <v>-8.1900937840518608</v>
      </c>
      <c r="HK184" s="54" t="str">
        <f t="shared" si="312"/>
        <v/>
      </c>
      <c r="HL184" s="54">
        <f>IF($J184="",#N/A,SUM($HK$4:HK184))</f>
        <v>-5.7208895353891398</v>
      </c>
      <c r="HM184" s="54" t="str">
        <f t="shared" si="313"/>
        <v/>
      </c>
      <c r="HN184" s="54">
        <f>IF($J184="",#N/A,SUM($HM$4:HM184))</f>
        <v>0.71812545963587882</v>
      </c>
      <c r="HO184" s="54" t="str">
        <f t="shared" si="314"/>
        <v/>
      </c>
      <c r="HP184" s="54">
        <f>IF($J184="",#N/A,SUM($HO$4:HO184))</f>
        <v>-0.14859521910082485</v>
      </c>
      <c r="HQ184" s="54" t="str">
        <f t="shared" si="315"/>
        <v/>
      </c>
      <c r="HR184" s="54">
        <f>IF($J184="",#N/A,SUM($HQ$4:HQ184))</f>
        <v>-9.4845146337349675</v>
      </c>
      <c r="HS184" s="54">
        <f t="shared" si="316"/>
        <v>-0.30364372469635553</v>
      </c>
      <c r="HT184" s="54">
        <f>IF($J184="",#N/A,SUM($HS$4:HS184))</f>
        <v>12.692351097686508</v>
      </c>
      <c r="HU184" s="65">
        <f t="shared" si="317"/>
        <v>-0.79131394920868803</v>
      </c>
      <c r="HV184" s="65">
        <f>IF($J184="",#N/A,SUM(HU$4:$HU184))</f>
        <v>-2.3462476504133112</v>
      </c>
    </row>
    <row r="185" spans="1:230" x14ac:dyDescent="0.25">
      <c r="A185" s="51" t="s">
        <v>1401</v>
      </c>
      <c r="B185" s="52" t="s">
        <v>4543</v>
      </c>
      <c r="C185" s="229">
        <f t="shared" si="218"/>
        <v>3</v>
      </c>
      <c r="D185" s="219" t="str">
        <f>_xlfn.XLOOKUP(A185,[1]SP500!$A$2:$A$502,[1]SP500!$D$2:$D$502,"N")</f>
        <v>Y</v>
      </c>
      <c r="E185" s="76" t="str">
        <f>IFERROR(_xlfn.XLOOKUP(A185,[1]SP500!$A$2:$A$655,[1]SP500!$B$2:$B$655),"")</f>
        <v>INS</v>
      </c>
      <c r="F185" s="290">
        <v>45777</v>
      </c>
      <c r="G185" s="51" t="str">
        <f t="shared" si="219"/>
        <v>AMC</v>
      </c>
      <c r="H185" s="51" t="str">
        <f t="shared" si="220"/>
        <v>s</v>
      </c>
      <c r="I185" s="344">
        <v>198.39</v>
      </c>
      <c r="J185" s="123">
        <v>194.69</v>
      </c>
      <c r="K185" s="55">
        <f t="shared" si="221"/>
        <v>-1.8650133575280958E-2</v>
      </c>
      <c r="L185" s="67">
        <f t="shared" si="222"/>
        <v>-22.200000000000045</v>
      </c>
      <c r="M185" s="57">
        <f t="shared" si="223"/>
        <v>0</v>
      </c>
      <c r="N185" s="102">
        <f t="shared" si="224"/>
        <v>-22.200000000000045</v>
      </c>
      <c r="O185" s="57">
        <f>IF(N185="",#N/A,SUM($N$4:N185))</f>
        <v>272.85636410061261</v>
      </c>
      <c r="P185" s="65">
        <f t="shared" si="318"/>
        <v>-0.31083555958801756</v>
      </c>
      <c r="Q185" s="172">
        <f>IF($N185="",#N/A,SUM($P$4:P185))</f>
        <v>7.4765334049530798</v>
      </c>
      <c r="R185" s="279">
        <f t="shared" si="225"/>
        <v>4.261700442992078</v>
      </c>
      <c r="S185" s="51" t="str">
        <f t="shared" si="226"/>
        <v>SW</v>
      </c>
      <c r="T185" s="51" t="s">
        <v>2828</v>
      </c>
      <c r="U185" s="56">
        <f t="shared" si="227"/>
        <v>198.39</v>
      </c>
      <c r="V185" s="56" t="s">
        <v>4460</v>
      </c>
      <c r="W185" s="142">
        <v>6</v>
      </c>
      <c r="X185" s="145">
        <f t="shared" si="228"/>
        <v>1190.3399999999999</v>
      </c>
      <c r="Y185" s="140">
        <f t="shared" si="229"/>
        <v>6</v>
      </c>
      <c r="Z185" s="123">
        <v>194.69</v>
      </c>
      <c r="AA185" s="102">
        <f t="shared" si="230"/>
        <v>-22.200000000000045</v>
      </c>
      <c r="AB185" s="102">
        <f t="shared" si="231"/>
        <v>-6.8999999999998636</v>
      </c>
      <c r="AC185" s="124">
        <v>197.24</v>
      </c>
      <c r="AD185" s="155">
        <f t="shared" si="232"/>
        <v>-6.8999999999998636</v>
      </c>
      <c r="AE185" s="545">
        <f t="shared" si="233"/>
        <v>-9.6611052304381731E-2</v>
      </c>
      <c r="AF185" s="57">
        <f>IF($AC185="",#N/A,SUM(AD$4:AD185))</f>
        <v>-234.63041200241673</v>
      </c>
      <c r="AG185" s="102">
        <f t="shared" si="234"/>
        <v>15.300000000000182</v>
      </c>
      <c r="AH185" s="56" t="s">
        <v>2507</v>
      </c>
      <c r="AI185" s="65">
        <f t="shared" si="235"/>
        <v>-0.31083555958801756</v>
      </c>
      <c r="AJ185" s="350">
        <f>IF(AI185="",#N/A,SUM($AI$4:AI185))</f>
        <v>3.2148329619610019</v>
      </c>
      <c r="AK185" s="57">
        <f t="shared" si="236"/>
        <v>-22.200000000000045</v>
      </c>
      <c r="AL185" s="349">
        <f>IF(AI185="",#N/A,IF(AH185="Skip",SUM($AK$4:AK185),SUM($AK$4:AK185)))</f>
        <v>-12.88240850718671</v>
      </c>
      <c r="AM185" s="65">
        <f t="shared" si="319"/>
        <v>-9.6611052304381731E-2</v>
      </c>
      <c r="AN185" s="209"/>
      <c r="AO185" s="65">
        <f t="shared" si="237"/>
        <v>-9.6611052304381731E-2</v>
      </c>
      <c r="AP185" s="65">
        <f>IF($AC185="",#N/A,SUM(AO$4:AO185))</f>
        <v>6.3766919443878187</v>
      </c>
      <c r="AQ185" s="65" t="str">
        <f t="shared" si="238"/>
        <v/>
      </c>
      <c r="AR185" s="65">
        <f>IF($AC185="",#N/A,SUM(AQ$4:AQ185))</f>
        <v>-2.6179859771653153</v>
      </c>
      <c r="AS185" s="65" t="str">
        <f t="shared" si="239"/>
        <v/>
      </c>
      <c r="AT185" s="65">
        <f>IF($AC185="",#N/A,SUM(AS$4:AS185))</f>
        <v>-6.2015646699402005</v>
      </c>
      <c r="AU185" s="57">
        <f t="shared" si="320"/>
        <v>-6.8999999999998636</v>
      </c>
      <c r="AV185" s="57">
        <f>IF($AC185="",#N/A,SUM(AU$4:AU185))</f>
        <v>307.34120645125074</v>
      </c>
      <c r="AW185" s="57" t="str">
        <f t="shared" si="321"/>
        <v/>
      </c>
      <c r="AX185" s="57">
        <f>IF($AC185="",#N/A,SUM(AW$4:AW185))</f>
        <v>-163.1400000000001</v>
      </c>
      <c r="AY185" s="57" t="str">
        <f t="shared" si="322"/>
        <v/>
      </c>
      <c r="AZ185" s="57">
        <f>IF($AC185="",#N/A,SUM(AY$4:AY185))</f>
        <v>-378.83161845366737</v>
      </c>
      <c r="BA185" s="57">
        <f>IF(AD185="",#N/A,SUM($AD$4:AD185))</f>
        <v>-234.63041200241673</v>
      </c>
      <c r="BC185" s="51" t="str">
        <f t="shared" si="240"/>
        <v/>
      </c>
      <c r="BD185" s="51" t="str">
        <f t="shared" si="241"/>
        <v/>
      </c>
      <c r="BE185" s="51" t="str">
        <f t="shared" si="242"/>
        <v/>
      </c>
      <c r="BF185" s="51" t="str">
        <f t="shared" si="243"/>
        <v>Long</v>
      </c>
      <c r="BG185" s="51" t="str">
        <f t="shared" si="244"/>
        <v/>
      </c>
      <c r="BH185" s="51" t="str">
        <f t="shared" si="245"/>
        <v/>
      </c>
      <c r="BI185" s="51">
        <f t="shared" si="246"/>
        <v>1</v>
      </c>
      <c r="BK185" s="65">
        <f t="shared" si="326"/>
        <v>0.21586686018141538</v>
      </c>
      <c r="BL185" s="65">
        <f t="shared" si="325"/>
        <v>0.22098297469743111</v>
      </c>
      <c r="BM185" s="65">
        <f>IFERROR(Q185/COUNTA($J$4:J185),#N/A)</f>
        <v>4.1079853873368571E-2</v>
      </c>
      <c r="BO185" s="489">
        <f>IF(J185="",#N/A,IF(S185="SW",(COUNTIFS(K$4:$K185,"&gt;0",S$4:$S185,"SW")/COUNTIF(S$4:$S185,"SW")),#N/A))</f>
        <v>0.48484848484848486</v>
      </c>
      <c r="BP185" s="489" t="e">
        <f>IF($J185="",#N/A,IF($S185="DWN",(COUNTIFS($K$4:$K185,"&lt;0",$S$4:$S185,"DWN")/COUNTIF($S$4:$S185,"DWN")),#N/A))</f>
        <v>#N/A</v>
      </c>
      <c r="BQ185" s="489" t="e">
        <f>IF($J185="",#N/A,IF($S185="UP",(COUNTIFS($K$4:$K185,"&gt;0",$S$4:$S185,"UP")/COUNTIF($S$4:$S185,"UP")),#N/A))</f>
        <v>#N/A</v>
      </c>
      <c r="BR185" s="489">
        <f>IF(J185="",#N/A,COUNTIF($K$4:K185,"&gt;0")/COUNT($J$4:J185))</f>
        <v>0.45054945054945056</v>
      </c>
      <c r="BS185" s="65" t="str">
        <f t="shared" si="247"/>
        <v/>
      </c>
      <c r="BT185" s="65">
        <f t="shared" si="248"/>
        <v>-0.31083555958801756</v>
      </c>
      <c r="BU185" s="65" t="str">
        <f t="shared" si="249"/>
        <v/>
      </c>
      <c r="BV185" s="65" t="str">
        <f t="shared" si="250"/>
        <v/>
      </c>
      <c r="BW185" s="128" t="str">
        <f t="shared" si="251"/>
        <v/>
      </c>
      <c r="BX185" s="128">
        <f>IF($J185="",#N/A,SUM($BW$4:BW185))</f>
        <v>-205.1650000000003</v>
      </c>
      <c r="BY185" s="131" t="str">
        <f t="shared" si="252"/>
        <v/>
      </c>
      <c r="BZ185" s="131">
        <f>IF($J185="",#N/A,SUM($BY$4:BY185))</f>
        <v>433.87434038933361</v>
      </c>
      <c r="CA185" s="133">
        <f t="shared" si="253"/>
        <v>-22.200000000000045</v>
      </c>
      <c r="CB185" s="133">
        <f>IF($J185="",#N/A,SUM($CA$4:CA185))</f>
        <v>44.147023711279331</v>
      </c>
      <c r="CC185" s="194" t="str">
        <f t="shared" si="254"/>
        <v/>
      </c>
      <c r="CD185" s="194">
        <f>IF($J185="",#N/A,SUM($CC$4:CC185))</f>
        <v>-3.1875162177003693</v>
      </c>
      <c r="CE185" s="195" t="str">
        <f t="shared" si="255"/>
        <v/>
      </c>
      <c r="CF185" s="195">
        <f>IF($J185="",#N/A,SUM($CE$4:CE185))</f>
        <v>7.7094186495008064</v>
      </c>
      <c r="CG185" s="196">
        <f t="shared" si="256"/>
        <v>-0.31083555958801756</v>
      </c>
      <c r="CH185" s="196">
        <f>IF($J185="",#N/A,SUM($CG$4:CG185))</f>
        <v>2.9546309731526486</v>
      </c>
      <c r="CI185" s="200" t="str">
        <f t="shared" si="257"/>
        <v/>
      </c>
      <c r="CJ185" s="203">
        <f>IF($J185="",#N/A,SUM(CI$4:CI185))</f>
        <v>0</v>
      </c>
      <c r="CK185" s="204" t="str">
        <f t="shared" si="258"/>
        <v/>
      </c>
      <c r="CL185" s="204">
        <f>IF($J185="",#N/A,SUM(CK$4:CK185))</f>
        <v>1.9927003554442289</v>
      </c>
      <c r="CM185" s="205" t="str">
        <f t="shared" si="259"/>
        <v/>
      </c>
      <c r="CN185" s="205">
        <f>IF($J185="",#N/A,SUM(CM$4:CM185))</f>
        <v>4.8977764876565564</v>
      </c>
      <c r="CO185" s="205">
        <f>IF($J185="",#N/A,SUM(CM$4:CM185,CK$4:CK185,CI$4:CI185))</f>
        <v>6.8904768431007852</v>
      </c>
      <c r="CP185" s="200" t="str">
        <f t="shared" si="260"/>
        <v/>
      </c>
      <c r="CQ185" s="203">
        <f>IF($J185="",#N/A,SUM(CP$4:CP185))</f>
        <v>0</v>
      </c>
      <c r="CR185" s="204" t="str">
        <f t="shared" si="261"/>
        <v/>
      </c>
      <c r="CS185" s="204">
        <f>IF($J185="",#N/A,SUM(CR$4:CR185))</f>
        <v>2.420242024202421</v>
      </c>
      <c r="CT185" s="205" t="str">
        <f t="shared" si="262"/>
        <v/>
      </c>
      <c r="CU185" s="205">
        <f>IF($J185="",#N/A,SUM(CT$4:CT185))</f>
        <v>-1.6961777431035243</v>
      </c>
      <c r="CV185" s="205">
        <f>IF($J185="",#N/A,SUM(CT$4:CT185,CR$4:CR185,CP$4:CP185))</f>
        <v>0.72406428109889664</v>
      </c>
      <c r="CW185" s="200" t="str">
        <f t="shared" si="263"/>
        <v/>
      </c>
      <c r="CX185" s="203">
        <f>IF($J185="",#N/A,SUM(CW$4:CW185))</f>
        <v>0</v>
      </c>
      <c r="CY185" s="204" t="str">
        <f t="shared" si="264"/>
        <v/>
      </c>
      <c r="CZ185" s="204">
        <f>IF($J185="",#N/A,SUM(CY$4:CY185))</f>
        <v>-0.26036833003013049</v>
      </c>
      <c r="DA185" s="205" t="str">
        <f t="shared" si="265"/>
        <v/>
      </c>
      <c r="DB185" s="205">
        <f>IF($J185="",#N/A,SUM(DA$4:DA185))</f>
        <v>-2.730105678753044</v>
      </c>
      <c r="DC185" s="205">
        <f>IF($J185="",#N/A,SUM(DA$4:DA185,CY$4:CY185,CW$4:CW185))</f>
        <v>-2.990474008783174</v>
      </c>
      <c r="DD185" s="200" t="str">
        <f t="shared" si="266"/>
        <v/>
      </c>
      <c r="DE185" s="203">
        <f>IF($J185="",#N/A,SUM(DD$4:DD185))</f>
        <v>0.14968716170674062</v>
      </c>
      <c r="DF185" s="204" t="str">
        <f t="shared" si="267"/>
        <v/>
      </c>
      <c r="DG185" s="204">
        <f>IF($J185="",#N/A,SUM(DF$4:DF185))</f>
        <v>1.2121188689979676</v>
      </c>
      <c r="DH185" s="205" t="str">
        <f t="shared" si="268"/>
        <v/>
      </c>
      <c r="DI185" s="205">
        <f>IF($J185="",#N/A,SUM(DH$4:DH185))</f>
        <v>-0.8404015973735236</v>
      </c>
      <c r="DJ185" s="205">
        <f>IF($J185="",#N/A,SUM(DH$4:DH185,DF$4:DF185,DD$4:DD185))</f>
        <v>0.52140443333118447</v>
      </c>
      <c r="DK185" s="200" t="str">
        <f t="shared" si="269"/>
        <v/>
      </c>
      <c r="DL185" s="203">
        <f>IF($J185="",#N/A,SUM(DK$4:DK185))</f>
        <v>-1.2097286851272664</v>
      </c>
      <c r="DM185" s="204" t="str">
        <f t="shared" si="270"/>
        <v/>
      </c>
      <c r="DN185" s="204">
        <f>IF($J185="",#N/A,SUM(DM$4:DM185))</f>
        <v>1.1910608267574658</v>
      </c>
      <c r="DO185" s="205" t="str">
        <f t="shared" si="271"/>
        <v/>
      </c>
      <c r="DP185" s="205">
        <f>IF($J185="",#N/A,SUM(DO$4:DO185))</f>
        <v>2.6571865116636566</v>
      </c>
      <c r="DQ185" s="205">
        <f>IF($J185="",#N/A,SUM(DO$4:DO185,DM$4:DM185,DK$4:DK185))</f>
        <v>2.6385186532938567</v>
      </c>
      <c r="DR185" s="200" t="str">
        <f t="shared" si="272"/>
        <v/>
      </c>
      <c r="DS185" s="203">
        <f>IF($J185="",#N/A,SUM(DR$4:DR185))</f>
        <v>-0.55950946427675097</v>
      </c>
      <c r="DT185" s="204" t="str">
        <f t="shared" si="273"/>
        <v/>
      </c>
      <c r="DU185" s="204">
        <f>IF($J185="",#N/A,SUM(DT$4:DT185))</f>
        <v>-3.5029740333397914</v>
      </c>
      <c r="DV185" s="205" t="str">
        <f t="shared" si="274"/>
        <v/>
      </c>
      <c r="DW185" s="205">
        <f>IF($J185="",#N/A,SUM(DV$4:DV185))</f>
        <v>-1.8527424265931112</v>
      </c>
      <c r="DX185" s="205">
        <f>IF($J185="",#N/A,SUM(DV$4:DV185,DT$4:DT185,DR$4:DR185))</f>
        <v>-5.9152259242096532</v>
      </c>
      <c r="DY185" s="200" t="str">
        <f t="shared" si="275"/>
        <v/>
      </c>
      <c r="DZ185" s="203">
        <f>IF($J185="",#N/A,SUM(DY$4:DY185))</f>
        <v>-1.63480022183437</v>
      </c>
      <c r="EA185" s="204" t="str">
        <f t="shared" si="276"/>
        <v/>
      </c>
      <c r="EB185" s="204">
        <f>IF($J185="",#N/A,SUM(EA$4:EA185))</f>
        <v>0.5578066706208582</v>
      </c>
      <c r="EC185" s="205" t="str">
        <f t="shared" si="277"/>
        <v/>
      </c>
      <c r="ED185" s="205">
        <f>IF($J185="",#N/A,SUM(EC$4:EC185))</f>
        <v>2.4515280577205139</v>
      </c>
      <c r="EE185" s="205">
        <f>IF($J185="",#N/A,SUM(EC$4:EC185,EA$4:EA185,DY$4:DY185))</f>
        <v>1.3745345065070016</v>
      </c>
      <c r="EF185" s="200" t="str">
        <f t="shared" si="278"/>
        <v/>
      </c>
      <c r="EG185" s="203">
        <f>IF($J185="",#N/A,SUM(EF$4:EF185))</f>
        <v>0</v>
      </c>
      <c r="EH185" s="204" t="str">
        <f t="shared" si="279"/>
        <v/>
      </c>
      <c r="EI185" s="204">
        <f>IF($J185="",#N/A,SUM(EH$4:EH185))</f>
        <v>-1.1184224685150388</v>
      </c>
      <c r="EJ185" s="205" t="str">
        <f t="shared" si="280"/>
        <v/>
      </c>
      <c r="EK185" s="205">
        <f>IF($J185="",#N/A,SUM(EJ$4:EJ185))</f>
        <v>2.804966392787259</v>
      </c>
      <c r="EL185" s="205">
        <f>IF($J185="",#N/A,SUM(EJ$4:EJ185,EH$4:EH185,EF$4:EF185))</f>
        <v>1.6865439242722209</v>
      </c>
      <c r="EM185" s="200" t="str">
        <f t="shared" si="281"/>
        <v/>
      </c>
      <c r="EN185" s="203">
        <f>IF($J185="",#N/A,SUM(EM$4:EM185))</f>
        <v>0</v>
      </c>
      <c r="EO185" s="204" t="str">
        <f t="shared" si="282"/>
        <v/>
      </c>
      <c r="EP185" s="204">
        <f>IF($J185="",#N/A,SUM(EO$4:EO185))</f>
        <v>3.0466900999385675</v>
      </c>
      <c r="EQ185" s="205" t="str">
        <f t="shared" si="283"/>
        <v/>
      </c>
      <c r="ER185" s="205">
        <f>IF($J185="",#N/A,SUM(EQ$4:EQ185))</f>
        <v>2.0221833315059508</v>
      </c>
      <c r="ES185" s="205">
        <f>IF($J185="",#N/A,SUM(EQ$4:EQ185,EO$4:EO185,EM$4:EM185))</f>
        <v>5.0688734314445174</v>
      </c>
      <c r="ET185" s="200" t="str">
        <f t="shared" si="284"/>
        <v/>
      </c>
      <c r="EU185" s="203">
        <f>IF($J185="",#N/A,SUM(ET$4:ET185))</f>
        <v>0</v>
      </c>
      <c r="EV185" s="204" t="str">
        <f t="shared" si="285"/>
        <v/>
      </c>
      <c r="EW185" s="204">
        <f>IF($J185="",#N/A,SUM(EV$4:EV185))</f>
        <v>0.90459527759708336</v>
      </c>
      <c r="EX185" s="205" t="str">
        <f t="shared" si="286"/>
        <v/>
      </c>
      <c r="EY185" s="205">
        <f>IF($J185="",#N/A,SUM(EX$4:EX185))</f>
        <v>0.22957553748493481</v>
      </c>
      <c r="EZ185" s="205">
        <f>IF($J185="",#N/A,SUM(EX$4:EX185,EV$4:EV185,ET$4:ET185))</f>
        <v>1.134170815082018</v>
      </c>
      <c r="FA185" s="200" t="str">
        <f t="shared" si="287"/>
        <v/>
      </c>
      <c r="FB185" s="203">
        <f>IF($J185="",#N/A,SUM(FA$4:FA185))</f>
        <v>0</v>
      </c>
      <c r="FC185" s="204" t="str">
        <f t="shared" si="288"/>
        <v/>
      </c>
      <c r="FD185" s="204">
        <f>IF($J185="",#N/A,SUM(FC$4:FC185))</f>
        <v>1.6839191319663924</v>
      </c>
      <c r="FE185" s="205" t="str">
        <f t="shared" si="289"/>
        <v/>
      </c>
      <c r="FF185" s="205">
        <f>IF($J185="",#N/A,SUM(FE$4:FE185))</f>
        <v>-0.28811149078748233</v>
      </c>
      <c r="FG185" s="205">
        <f>IF($J185="",#N/A,SUM(FE$4:FE185,FC$4:FC185,FA$4:FA185))</f>
        <v>1.3958076411789102</v>
      </c>
      <c r="FH185" s="200" t="str">
        <f t="shared" si="290"/>
        <v/>
      </c>
      <c r="FI185" s="203">
        <f>IF($J185="",#N/A,SUM(FH$4:FH185))</f>
        <v>0</v>
      </c>
      <c r="FJ185" s="204" t="str">
        <f t="shared" si="291"/>
        <v/>
      </c>
      <c r="FK185" s="204">
        <f>IF($J185="",#N/A,SUM(FJ$4:FJ185))</f>
        <v>0</v>
      </c>
      <c r="FL185" s="205" t="str">
        <f t="shared" si="292"/>
        <v/>
      </c>
      <c r="FM185" s="205">
        <f>IF($J185="",#N/A,SUM(FL$4:FL185))</f>
        <v>0</v>
      </c>
      <c r="FN185" s="205">
        <f>IF($J185="",#N/A,SUM(FL$4:FL185,FJ$4:FJ185,FH$4:FH185))</f>
        <v>0</v>
      </c>
      <c r="FO185" s="200" t="str">
        <f t="shared" si="293"/>
        <v/>
      </c>
      <c r="FP185" s="203">
        <f>IF($J185="",#N/A,SUM(FO$4:FO185))</f>
        <v>0</v>
      </c>
      <c r="FQ185" s="204" t="str">
        <f t="shared" si="294"/>
        <v/>
      </c>
      <c r="FR185" s="204">
        <f>IF($J185="",#N/A,SUM(FQ$4:FQ185))</f>
        <v>0</v>
      </c>
      <c r="FS185" s="205" t="str">
        <f t="shared" si="295"/>
        <v/>
      </c>
      <c r="FT185" s="205">
        <f>IF($J185="",#N/A,SUM(FS$4:FS185))</f>
        <v>0</v>
      </c>
      <c r="FU185" s="205">
        <f>IF($J185="",#N/A,SUM(FS$4:FS185,FQ$4:FQ185,FO$4:FO185))</f>
        <v>0</v>
      </c>
      <c r="FV185" s="200" t="str">
        <f t="shared" si="296"/>
        <v/>
      </c>
      <c r="FW185" s="203">
        <f>IF($J185="",#N/A,SUM(FV$4:FV185))</f>
        <v>6.6834991831277585E-2</v>
      </c>
      <c r="FX185" s="204" t="str">
        <f t="shared" si="297"/>
        <v/>
      </c>
      <c r="FY185" s="204">
        <f>IF($J185="",#N/A,SUM(FX$4:FX185))</f>
        <v>5.6794210235938045E-2</v>
      </c>
      <c r="FZ185" s="205">
        <f t="shared" si="298"/>
        <v>-0.31083555958801756</v>
      </c>
      <c r="GA185" s="205">
        <f>IF($J185="",#N/A,SUM(FZ$4:FZ185))</f>
        <v>-1.7642101813332194</v>
      </c>
      <c r="GB185" s="205">
        <f>IF($J185="",#N/A,SUM(FZ$4:FZ185,FX$4:FX185,FV$4:FV185))</f>
        <v>-1.6405809792660038</v>
      </c>
      <c r="GC185" s="200" t="str">
        <f t="shared" si="299"/>
        <v/>
      </c>
      <c r="GD185" s="203">
        <f>IF($J185="",#N/A,SUM(GC$4:GC185))</f>
        <v>0</v>
      </c>
      <c r="GE185" s="204" t="str">
        <f t="shared" si="300"/>
        <v/>
      </c>
      <c r="GF185" s="204">
        <f>IF($J185="",#N/A,SUM(GE$4:GE185))</f>
        <v>0</v>
      </c>
      <c r="GG185" s="205" t="str">
        <f t="shared" si="301"/>
        <v/>
      </c>
      <c r="GH185" s="205">
        <f>IF($J185="",#N/A,SUM(GG$4:GG185))</f>
        <v>-2.9368362277223206</v>
      </c>
      <c r="GI185" s="205">
        <f>IF($J185="",#N/A,SUM(GG$4:GG185,GE$4:GE185,GC$4:GC185))</f>
        <v>-2.9368362277223206</v>
      </c>
      <c r="GJ185" s="200" t="str">
        <f t="shared" si="302"/>
        <v/>
      </c>
      <c r="GK185" s="203">
        <f>IF($J185="",#N/A,SUM(GJ$4:GJ185))</f>
        <v>0</v>
      </c>
      <c r="GL185" s="204" t="str">
        <f t="shared" si="303"/>
        <v/>
      </c>
      <c r="GM185" s="204">
        <f>IF($J185="",#N/A,SUM(GL$4:GL185))</f>
        <v>-0.80168930905701452</v>
      </c>
      <c r="GN185" s="205" t="str">
        <f t="shared" si="304"/>
        <v/>
      </c>
      <c r="GO185" s="205">
        <f>IF($J185="",#N/A,SUM(GN$4:GN185))</f>
        <v>0</v>
      </c>
      <c r="GP185" s="205">
        <f>IF($J185="",#N/A,SUM(GN$4:GN185,GL$4:GL185,GJ$4:GJ185))</f>
        <v>-0.80168930905701452</v>
      </c>
      <c r="GS185" s="54">
        <f t="shared" si="323"/>
        <v>-0.31083555958801756</v>
      </c>
      <c r="GT185" s="54">
        <f>IF(GS185="",NA(),SUM($GS$4:GS185))</f>
        <v>4.2898424197341649</v>
      </c>
      <c r="GU185" s="54" t="str">
        <f t="shared" si="305"/>
        <v/>
      </c>
      <c r="GV185" s="54" t="e">
        <f>IF(GU185="",NA(),SUM($GU$4:GU185))</f>
        <v>#N/A</v>
      </c>
      <c r="GW185" s="54">
        <f t="shared" si="306"/>
        <v>-0.31083555958801756</v>
      </c>
      <c r="GX185" s="54">
        <f>IF(GW185="",NA(),SUM($GW$4:GW185))</f>
        <v>3.2745774790864632</v>
      </c>
      <c r="GY185" s="54" t="str">
        <f t="shared" si="307"/>
        <v/>
      </c>
      <c r="GZ185" s="54" t="e">
        <f>IF(GY185="",NA(),SUM($GY$4:GY185))</f>
        <v>#N/A</v>
      </c>
      <c r="HA185" s="54" t="str">
        <f t="shared" si="308"/>
        <v/>
      </c>
      <c r="HB185" s="54" t="e">
        <f>IF(HA185="",NA(),SUM($HA$4:HA185))</f>
        <v>#N/A</v>
      </c>
      <c r="HC185" s="54" t="str">
        <f t="shared" si="309"/>
        <v/>
      </c>
      <c r="HD185" s="54" t="e">
        <f>IF(HC185="",NA(),SUM($HC$4:HC185))</f>
        <v>#N/A</v>
      </c>
      <c r="HE185" s="54" t="str">
        <f t="shared" si="310"/>
        <v/>
      </c>
      <c r="HF185" s="54" t="e">
        <f>IF(HE185="",NA(),SUM($HE$4:HE185))</f>
        <v>#N/A</v>
      </c>
      <c r="HG185" s="54" t="str">
        <f t="shared" si="311"/>
        <v/>
      </c>
      <c r="HH185" s="54" t="e">
        <f>IF(HG185="",NA(),SUM($HG$4:HG185))</f>
        <v>#N/A</v>
      </c>
      <c r="HI185" s="172" t="str">
        <f t="shared" si="324"/>
        <v/>
      </c>
      <c r="HJ185" s="172">
        <f>IF($J185="",#N/A,SUM(HI$4:$HI185))</f>
        <v>-8.1900937840518608</v>
      </c>
      <c r="HK185" s="54" t="str">
        <f t="shared" si="312"/>
        <v/>
      </c>
      <c r="HL185" s="54">
        <f>IF($J185="",#N/A,SUM($HK$4:HK185))</f>
        <v>-5.7208895353891398</v>
      </c>
      <c r="HM185" s="54" t="str">
        <f t="shared" si="313"/>
        <v/>
      </c>
      <c r="HN185" s="54">
        <f>IF($J185="",#N/A,SUM($HM$4:HM185))</f>
        <v>0.71812545963587882</v>
      </c>
      <c r="HO185" s="54" t="str">
        <f t="shared" si="314"/>
        <v/>
      </c>
      <c r="HP185" s="54">
        <f>IF($J185="",#N/A,SUM($HO$4:HO185))</f>
        <v>-0.14859521910082485</v>
      </c>
      <c r="HQ185" s="54" t="str">
        <f t="shared" si="315"/>
        <v/>
      </c>
      <c r="HR185" s="54">
        <f>IF($J185="",#N/A,SUM($HQ$4:HQ185))</f>
        <v>-9.4845146337349675</v>
      </c>
      <c r="HS185" s="54">
        <f t="shared" si="316"/>
        <v>0.21422450728363585</v>
      </c>
      <c r="HT185" s="54">
        <f>IF($J185="",#N/A,SUM($HS$4:HS185))</f>
        <v>12.906575604970143</v>
      </c>
      <c r="HU185" s="65">
        <f t="shared" si="317"/>
        <v>-9.6611052304381731E-2</v>
      </c>
      <c r="HV185" s="65">
        <f>IF($J185="",#N/A,SUM(HU$4:$HU185))</f>
        <v>-2.4428587027176931</v>
      </c>
    </row>
    <row r="186" spans="1:230" x14ac:dyDescent="0.25">
      <c r="A186" s="396" t="s">
        <v>1435</v>
      </c>
      <c r="B186" s="52" t="s">
        <v>4543</v>
      </c>
      <c r="C186" s="229">
        <f t="shared" si="218"/>
        <v>3</v>
      </c>
      <c r="D186" s="219" t="str">
        <f>_xlfn.XLOOKUP(A186,[1]SP500!$A$2:$A$502,[1]SP500!$D$2:$D$502,"N")</f>
        <v>Y</v>
      </c>
      <c r="E186" s="51" t="str">
        <f>IFERROR(_xlfn.XLOOKUP(A186,[1]SP500!$A$2:$A$655,[1]SP500!$B$2:$B$655),"")</f>
        <v>XLK</v>
      </c>
      <c r="F186" s="290">
        <v>45777</v>
      </c>
      <c r="G186" s="51" t="str">
        <f t="shared" si="219"/>
        <v>AMC</v>
      </c>
      <c r="H186" s="51" t="str">
        <f t="shared" si="220"/>
        <v>s</v>
      </c>
      <c r="I186" s="343">
        <v>73.569999999999993</v>
      </c>
      <c r="J186" s="124">
        <v>76.709999999999994</v>
      </c>
      <c r="K186" s="55">
        <f t="shared" si="221"/>
        <v>4.2680440396900922E-2</v>
      </c>
      <c r="L186" s="67">
        <f t="shared" si="222"/>
        <v>47.099999999999909</v>
      </c>
      <c r="M186" s="57">
        <f t="shared" si="223"/>
        <v>0.15000000000009095</v>
      </c>
      <c r="N186" s="102">
        <f t="shared" si="224"/>
        <v>47.099999999999909</v>
      </c>
      <c r="O186" s="57">
        <f>IF(N186="",#N/A,SUM($N$4:N186))</f>
        <v>319.95636410061252</v>
      </c>
      <c r="P186" s="65">
        <f t="shared" si="318"/>
        <v>0.71134067328168049</v>
      </c>
      <c r="Q186" s="172">
        <f>IF($N186="",#N/A,SUM($P$4:P186))</f>
        <v>8.1878740782347599</v>
      </c>
      <c r="R186" s="279">
        <f t="shared" si="225"/>
        <v>4.2594350268351278</v>
      </c>
      <c r="S186" s="51" t="str">
        <f t="shared" si="226"/>
        <v>SW</v>
      </c>
      <c r="T186" s="51" t="s">
        <v>2828</v>
      </c>
      <c r="U186" s="56">
        <f t="shared" si="227"/>
        <v>73.569999999999993</v>
      </c>
      <c r="V186" s="56" t="s">
        <v>4460</v>
      </c>
      <c r="W186" s="142">
        <v>15</v>
      </c>
      <c r="X186" s="145">
        <f t="shared" si="228"/>
        <v>1103.55</v>
      </c>
      <c r="Y186" s="140">
        <f t="shared" si="229"/>
        <v>15</v>
      </c>
      <c r="Z186" s="123">
        <v>76.72</v>
      </c>
      <c r="AA186" s="102">
        <f t="shared" si="230"/>
        <v>47.25</v>
      </c>
      <c r="AB186" s="102">
        <f t="shared" si="231"/>
        <v>24.900000000000091</v>
      </c>
      <c r="AC186" s="124">
        <v>75.23</v>
      </c>
      <c r="AD186" s="155">
        <f t="shared" si="232"/>
        <v>24.900000000000091</v>
      </c>
      <c r="AE186" s="545">
        <f t="shared" si="233"/>
        <v>0.37605908205337463</v>
      </c>
      <c r="AF186" s="57">
        <f>IF($AC186="",#N/A,SUM(AD$4:AD186))</f>
        <v>-209.73041200241664</v>
      </c>
      <c r="AG186" s="102">
        <f t="shared" si="234"/>
        <v>-22.199999999999818</v>
      </c>
      <c r="AH186" s="56" t="s">
        <v>2507</v>
      </c>
      <c r="AI186" s="65">
        <f t="shared" si="235"/>
        <v>0.71360608943862991</v>
      </c>
      <c r="AJ186" s="350">
        <f>IF(AI186="",#N/A,SUM($AI$4:AI186))</f>
        <v>3.9284390513996317</v>
      </c>
      <c r="AK186" s="57">
        <f t="shared" si="236"/>
        <v>47.25</v>
      </c>
      <c r="AL186" s="349">
        <f>IF(AI186="",#N/A,IF(AH186="Skip",SUM($AK$4:AK186),SUM($AK$4:AK186)))</f>
        <v>34.36759149281329</v>
      </c>
      <c r="AM186" s="65">
        <f t="shared" si="319"/>
        <v>0.37605908205337463</v>
      </c>
      <c r="AN186" s="209"/>
      <c r="AO186" s="65">
        <f t="shared" si="237"/>
        <v>0.37605908205337463</v>
      </c>
      <c r="AP186" s="65">
        <f>IF($AC186="",#N/A,SUM(AO$4:AO186))</f>
        <v>6.7527510264411932</v>
      </c>
      <c r="AQ186" s="65" t="str">
        <f t="shared" si="238"/>
        <v/>
      </c>
      <c r="AR186" s="65">
        <f>IF($AC186="",#N/A,SUM(AQ$4:AQ186))</f>
        <v>-2.6179859771653153</v>
      </c>
      <c r="AS186" s="65" t="str">
        <f t="shared" si="239"/>
        <v/>
      </c>
      <c r="AT186" s="65">
        <f>IF($AC186="",#N/A,SUM(AS$4:AS186))</f>
        <v>-6.2015646699402005</v>
      </c>
      <c r="AU186" s="57">
        <f t="shared" si="320"/>
        <v>24.900000000000091</v>
      </c>
      <c r="AV186" s="57">
        <f>IF($AC186="",#N/A,SUM(AU$4:AU186))</f>
        <v>332.24120645125083</v>
      </c>
      <c r="AW186" s="57" t="str">
        <f t="shared" si="321"/>
        <v/>
      </c>
      <c r="AX186" s="57">
        <f>IF($AC186="",#N/A,SUM(AW$4:AW186))</f>
        <v>-163.1400000000001</v>
      </c>
      <c r="AY186" s="57" t="str">
        <f t="shared" si="322"/>
        <v/>
      </c>
      <c r="AZ186" s="57">
        <f>IF($AC186="",#N/A,SUM(AY$4:AY186))</f>
        <v>-378.83161845366737</v>
      </c>
      <c r="BA186" s="57">
        <f>IF(AD186="",#N/A,SUM($AD$4:AD186))</f>
        <v>-209.73041200241664</v>
      </c>
      <c r="BC186" s="51" t="str">
        <f t="shared" si="240"/>
        <v/>
      </c>
      <c r="BD186" s="51" t="str">
        <f t="shared" si="241"/>
        <v/>
      </c>
      <c r="BE186" s="51">
        <f t="shared" si="242"/>
        <v>1</v>
      </c>
      <c r="BF186" s="51" t="str">
        <f t="shared" si="243"/>
        <v>Long</v>
      </c>
      <c r="BG186" s="51" t="str">
        <f t="shared" si="244"/>
        <v/>
      </c>
      <c r="BH186" s="51" t="str">
        <f t="shared" si="245"/>
        <v/>
      </c>
      <c r="BI186" s="51" t="str">
        <f t="shared" si="246"/>
        <v/>
      </c>
      <c r="BK186" s="65">
        <f t="shared" si="326"/>
        <v>0.21060939145090229</v>
      </c>
      <c r="BL186" s="65">
        <f t="shared" si="325"/>
        <v>0.23204943954700247</v>
      </c>
      <c r="BM186" s="65">
        <f>IFERROR(Q186/COUNTA($J$4:J186),#N/A)</f>
        <v>4.4742481301829291E-2</v>
      </c>
      <c r="BO186" s="489">
        <f>IF(J186="",#N/A,IF(S186="SW",(COUNTIFS(K$4:$K186,"&gt;0",S$4:$S186,"SW")/COUNTIF(S$4:$S186,"SW")),#N/A))</f>
        <v>0.49</v>
      </c>
      <c r="BP186" s="489" t="e">
        <f>IF($J186="",#N/A,IF($S186="DWN",(COUNTIFS($K$4:$K186,"&lt;0",$S$4:$S186,"DWN")/COUNTIF($S$4:$S186,"DWN")),#N/A))</f>
        <v>#N/A</v>
      </c>
      <c r="BQ186" s="489" t="e">
        <f>IF($J186="",#N/A,IF($S186="UP",(COUNTIFS($K$4:$K186,"&gt;0",$S$4:$S186,"UP")/COUNTIF($S$4:$S186,"UP")),#N/A))</f>
        <v>#N/A</v>
      </c>
      <c r="BR186" s="489">
        <f>IF(J186="",#N/A,COUNTIF($K$4:K186,"&gt;0")/COUNT($J$4:J186))</f>
        <v>0.45355191256830601</v>
      </c>
      <c r="BS186" s="65">
        <f t="shared" si="247"/>
        <v>0.71134067328168049</v>
      </c>
      <c r="BT186" s="65" t="str">
        <f t="shared" si="248"/>
        <v/>
      </c>
      <c r="BU186" s="65" t="str">
        <f t="shared" si="249"/>
        <v/>
      </c>
      <c r="BV186" s="65" t="str">
        <f t="shared" si="250"/>
        <v/>
      </c>
      <c r="BW186" s="128" t="str">
        <f t="shared" si="251"/>
        <v/>
      </c>
      <c r="BX186" s="128">
        <f>IF($J186="",#N/A,SUM($BW$4:BW186))</f>
        <v>-205.1650000000003</v>
      </c>
      <c r="BY186" s="131" t="str">
        <f t="shared" si="252"/>
        <v/>
      </c>
      <c r="BZ186" s="131">
        <f>IF($J186="",#N/A,SUM($BY$4:BY186))</f>
        <v>433.87434038933361</v>
      </c>
      <c r="CA186" s="133">
        <f t="shared" si="253"/>
        <v>47.099999999999909</v>
      </c>
      <c r="CB186" s="133">
        <f>IF($J186="",#N/A,SUM($CA$4:CA186))</f>
        <v>91.24702371127924</v>
      </c>
      <c r="CC186" s="194" t="str">
        <f t="shared" si="254"/>
        <v/>
      </c>
      <c r="CD186" s="194">
        <f>IF($J186="",#N/A,SUM($CC$4:CC186))</f>
        <v>-3.1875162177003693</v>
      </c>
      <c r="CE186" s="195" t="str">
        <f t="shared" si="255"/>
        <v/>
      </c>
      <c r="CF186" s="195">
        <f>IF($J186="",#N/A,SUM($CE$4:CE186))</f>
        <v>7.7094186495008064</v>
      </c>
      <c r="CG186" s="196">
        <f t="shared" si="256"/>
        <v>0.71134067328168049</v>
      </c>
      <c r="CH186" s="196">
        <f>IF($J186="",#N/A,SUM($CG$4:CG186))</f>
        <v>3.665971646434329</v>
      </c>
      <c r="CI186" s="200" t="str">
        <f t="shared" si="257"/>
        <v/>
      </c>
      <c r="CJ186" s="203">
        <f>IF($J186="",#N/A,SUM(CI$4:CI186))</f>
        <v>0</v>
      </c>
      <c r="CK186" s="204" t="str">
        <f t="shared" si="258"/>
        <v/>
      </c>
      <c r="CL186" s="204">
        <f>IF($J186="",#N/A,SUM(CK$4:CK186))</f>
        <v>1.9927003554442289</v>
      </c>
      <c r="CM186" s="205">
        <f t="shared" si="259"/>
        <v>0.71134067328168049</v>
      </c>
      <c r="CN186" s="205">
        <f>IF($J186="",#N/A,SUM(CM$4:CM186))</f>
        <v>5.6091171609382364</v>
      </c>
      <c r="CO186" s="205">
        <f>IF($J186="",#N/A,SUM(CM$4:CM186,CK$4:CK186,CI$4:CI186))</f>
        <v>7.6018175163824644</v>
      </c>
      <c r="CP186" s="200" t="str">
        <f t="shared" si="260"/>
        <v/>
      </c>
      <c r="CQ186" s="203">
        <f>IF($J186="",#N/A,SUM(CP$4:CP186))</f>
        <v>0</v>
      </c>
      <c r="CR186" s="204" t="str">
        <f t="shared" si="261"/>
        <v/>
      </c>
      <c r="CS186" s="204">
        <f>IF($J186="",#N/A,SUM(CR$4:CR186))</f>
        <v>2.420242024202421</v>
      </c>
      <c r="CT186" s="205" t="str">
        <f t="shared" si="262"/>
        <v/>
      </c>
      <c r="CU186" s="205">
        <f>IF($J186="",#N/A,SUM(CT$4:CT186))</f>
        <v>-1.6961777431035243</v>
      </c>
      <c r="CV186" s="205">
        <f>IF($J186="",#N/A,SUM(CT$4:CT186,CR$4:CR186,CP$4:CP186))</f>
        <v>0.72406428109889664</v>
      </c>
      <c r="CW186" s="200" t="str">
        <f t="shared" si="263"/>
        <v/>
      </c>
      <c r="CX186" s="203">
        <f>IF($J186="",#N/A,SUM(CW$4:CW186))</f>
        <v>0</v>
      </c>
      <c r="CY186" s="204" t="str">
        <f t="shared" si="264"/>
        <v/>
      </c>
      <c r="CZ186" s="204">
        <f>IF($J186="",#N/A,SUM(CY$4:CY186))</f>
        <v>-0.26036833003013049</v>
      </c>
      <c r="DA186" s="205" t="str">
        <f t="shared" si="265"/>
        <v/>
      </c>
      <c r="DB186" s="205">
        <f>IF($J186="",#N/A,SUM(DA$4:DA186))</f>
        <v>-2.730105678753044</v>
      </c>
      <c r="DC186" s="205">
        <f>IF($J186="",#N/A,SUM(DA$4:DA186,CY$4:CY186,CW$4:CW186))</f>
        <v>-2.990474008783174</v>
      </c>
      <c r="DD186" s="200" t="str">
        <f t="shared" si="266"/>
        <v/>
      </c>
      <c r="DE186" s="203">
        <f>IF($J186="",#N/A,SUM(DD$4:DD186))</f>
        <v>0.14968716170674062</v>
      </c>
      <c r="DF186" s="204" t="str">
        <f t="shared" si="267"/>
        <v/>
      </c>
      <c r="DG186" s="204">
        <f>IF($J186="",#N/A,SUM(DF$4:DF186))</f>
        <v>1.2121188689979676</v>
      </c>
      <c r="DH186" s="205" t="str">
        <f t="shared" si="268"/>
        <v/>
      </c>
      <c r="DI186" s="205">
        <f>IF($J186="",#N/A,SUM(DH$4:DH186))</f>
        <v>-0.8404015973735236</v>
      </c>
      <c r="DJ186" s="205">
        <f>IF($J186="",#N/A,SUM(DH$4:DH186,DF$4:DF186,DD$4:DD186))</f>
        <v>0.52140443333118447</v>
      </c>
      <c r="DK186" s="200" t="str">
        <f t="shared" si="269"/>
        <v/>
      </c>
      <c r="DL186" s="203">
        <f>IF($J186="",#N/A,SUM(DK$4:DK186))</f>
        <v>-1.2097286851272664</v>
      </c>
      <c r="DM186" s="204" t="str">
        <f t="shared" si="270"/>
        <v/>
      </c>
      <c r="DN186" s="204">
        <f>IF($J186="",#N/A,SUM(DM$4:DM186))</f>
        <v>1.1910608267574658</v>
      </c>
      <c r="DO186" s="205" t="str">
        <f t="shared" si="271"/>
        <v/>
      </c>
      <c r="DP186" s="205">
        <f>IF($J186="",#N/A,SUM(DO$4:DO186))</f>
        <v>2.6571865116636566</v>
      </c>
      <c r="DQ186" s="205">
        <f>IF($J186="",#N/A,SUM(DO$4:DO186,DM$4:DM186,DK$4:DK186))</f>
        <v>2.6385186532938567</v>
      </c>
      <c r="DR186" s="200" t="str">
        <f t="shared" si="272"/>
        <v/>
      </c>
      <c r="DS186" s="203">
        <f>IF($J186="",#N/A,SUM(DR$4:DR186))</f>
        <v>-0.55950946427675097</v>
      </c>
      <c r="DT186" s="204" t="str">
        <f t="shared" si="273"/>
        <v/>
      </c>
      <c r="DU186" s="204">
        <f>IF($J186="",#N/A,SUM(DT$4:DT186))</f>
        <v>-3.5029740333397914</v>
      </c>
      <c r="DV186" s="205" t="str">
        <f t="shared" si="274"/>
        <v/>
      </c>
      <c r="DW186" s="205">
        <f>IF($J186="",#N/A,SUM(DV$4:DV186))</f>
        <v>-1.8527424265931112</v>
      </c>
      <c r="DX186" s="205">
        <f>IF($J186="",#N/A,SUM(DV$4:DV186,DT$4:DT186,DR$4:DR186))</f>
        <v>-5.9152259242096532</v>
      </c>
      <c r="DY186" s="200" t="str">
        <f t="shared" si="275"/>
        <v/>
      </c>
      <c r="DZ186" s="203">
        <f>IF($J186="",#N/A,SUM(DY$4:DY186))</f>
        <v>-1.63480022183437</v>
      </c>
      <c r="EA186" s="204" t="str">
        <f t="shared" si="276"/>
        <v/>
      </c>
      <c r="EB186" s="204">
        <f>IF($J186="",#N/A,SUM(EA$4:EA186))</f>
        <v>0.5578066706208582</v>
      </c>
      <c r="EC186" s="205" t="str">
        <f t="shared" si="277"/>
        <v/>
      </c>
      <c r="ED186" s="205">
        <f>IF($J186="",#N/A,SUM(EC$4:EC186))</f>
        <v>2.4515280577205139</v>
      </c>
      <c r="EE186" s="205">
        <f>IF($J186="",#N/A,SUM(EC$4:EC186,EA$4:EA186,DY$4:DY186))</f>
        <v>1.3745345065070016</v>
      </c>
      <c r="EF186" s="200" t="str">
        <f t="shared" si="278"/>
        <v/>
      </c>
      <c r="EG186" s="203">
        <f>IF($J186="",#N/A,SUM(EF$4:EF186))</f>
        <v>0</v>
      </c>
      <c r="EH186" s="204" t="str">
        <f t="shared" si="279"/>
        <v/>
      </c>
      <c r="EI186" s="204">
        <f>IF($J186="",#N/A,SUM(EH$4:EH186))</f>
        <v>-1.1184224685150388</v>
      </c>
      <c r="EJ186" s="205" t="str">
        <f t="shared" si="280"/>
        <v/>
      </c>
      <c r="EK186" s="205">
        <f>IF($J186="",#N/A,SUM(EJ$4:EJ186))</f>
        <v>2.804966392787259</v>
      </c>
      <c r="EL186" s="205">
        <f>IF($J186="",#N/A,SUM(EJ$4:EJ186,EH$4:EH186,EF$4:EF186))</f>
        <v>1.6865439242722209</v>
      </c>
      <c r="EM186" s="200" t="str">
        <f t="shared" si="281"/>
        <v/>
      </c>
      <c r="EN186" s="203">
        <f>IF($J186="",#N/A,SUM(EM$4:EM186))</f>
        <v>0</v>
      </c>
      <c r="EO186" s="204" t="str">
        <f t="shared" si="282"/>
        <v/>
      </c>
      <c r="EP186" s="204">
        <f>IF($J186="",#N/A,SUM(EO$4:EO186))</f>
        <v>3.0466900999385675</v>
      </c>
      <c r="EQ186" s="205" t="str">
        <f t="shared" si="283"/>
        <v/>
      </c>
      <c r="ER186" s="205">
        <f>IF($J186="",#N/A,SUM(EQ$4:EQ186))</f>
        <v>2.0221833315059508</v>
      </c>
      <c r="ES186" s="205">
        <f>IF($J186="",#N/A,SUM(EQ$4:EQ186,EO$4:EO186,EM$4:EM186))</f>
        <v>5.0688734314445174</v>
      </c>
      <c r="ET186" s="200" t="str">
        <f t="shared" si="284"/>
        <v/>
      </c>
      <c r="EU186" s="203">
        <f>IF($J186="",#N/A,SUM(ET$4:ET186))</f>
        <v>0</v>
      </c>
      <c r="EV186" s="204" t="str">
        <f t="shared" si="285"/>
        <v/>
      </c>
      <c r="EW186" s="204">
        <f>IF($J186="",#N/A,SUM(EV$4:EV186))</f>
        <v>0.90459527759708336</v>
      </c>
      <c r="EX186" s="205" t="str">
        <f t="shared" si="286"/>
        <v/>
      </c>
      <c r="EY186" s="205">
        <f>IF($J186="",#N/A,SUM(EX$4:EX186))</f>
        <v>0.22957553748493481</v>
      </c>
      <c r="EZ186" s="205">
        <f>IF($J186="",#N/A,SUM(EX$4:EX186,EV$4:EV186,ET$4:ET186))</f>
        <v>1.134170815082018</v>
      </c>
      <c r="FA186" s="200" t="str">
        <f t="shared" si="287"/>
        <v/>
      </c>
      <c r="FB186" s="203">
        <f>IF($J186="",#N/A,SUM(FA$4:FA186))</f>
        <v>0</v>
      </c>
      <c r="FC186" s="204" t="str">
        <f t="shared" si="288"/>
        <v/>
      </c>
      <c r="FD186" s="204">
        <f>IF($J186="",#N/A,SUM(FC$4:FC186))</f>
        <v>1.6839191319663924</v>
      </c>
      <c r="FE186" s="205" t="str">
        <f t="shared" si="289"/>
        <v/>
      </c>
      <c r="FF186" s="205">
        <f>IF($J186="",#N/A,SUM(FE$4:FE186))</f>
        <v>-0.28811149078748233</v>
      </c>
      <c r="FG186" s="205">
        <f>IF($J186="",#N/A,SUM(FE$4:FE186,FC$4:FC186,FA$4:FA186))</f>
        <v>1.3958076411789102</v>
      </c>
      <c r="FH186" s="200" t="str">
        <f t="shared" si="290"/>
        <v/>
      </c>
      <c r="FI186" s="203">
        <f>IF($J186="",#N/A,SUM(FH$4:FH186))</f>
        <v>0</v>
      </c>
      <c r="FJ186" s="204" t="str">
        <f t="shared" si="291"/>
        <v/>
      </c>
      <c r="FK186" s="204">
        <f>IF($J186="",#N/A,SUM(FJ$4:FJ186))</f>
        <v>0</v>
      </c>
      <c r="FL186" s="205" t="str">
        <f t="shared" si="292"/>
        <v/>
      </c>
      <c r="FM186" s="205">
        <f>IF($J186="",#N/A,SUM(FL$4:FL186))</f>
        <v>0</v>
      </c>
      <c r="FN186" s="205">
        <f>IF($J186="",#N/A,SUM(FL$4:FL186,FJ$4:FJ186,FH$4:FH186))</f>
        <v>0</v>
      </c>
      <c r="FO186" s="200" t="str">
        <f t="shared" si="293"/>
        <v/>
      </c>
      <c r="FP186" s="203">
        <f>IF($J186="",#N/A,SUM(FO$4:FO186))</f>
        <v>0</v>
      </c>
      <c r="FQ186" s="204" t="str">
        <f t="shared" si="294"/>
        <v/>
      </c>
      <c r="FR186" s="204">
        <f>IF($J186="",#N/A,SUM(FQ$4:FQ186))</f>
        <v>0</v>
      </c>
      <c r="FS186" s="205" t="str">
        <f t="shared" si="295"/>
        <v/>
      </c>
      <c r="FT186" s="205">
        <f>IF($J186="",#N/A,SUM(FS$4:FS186))</f>
        <v>0</v>
      </c>
      <c r="FU186" s="205">
        <f>IF($J186="",#N/A,SUM(FS$4:FS186,FQ$4:FQ186,FO$4:FO186))</f>
        <v>0</v>
      </c>
      <c r="FV186" s="200" t="str">
        <f t="shared" si="296"/>
        <v/>
      </c>
      <c r="FW186" s="203">
        <f>IF($J186="",#N/A,SUM(FV$4:FV186))</f>
        <v>6.6834991831277585E-2</v>
      </c>
      <c r="FX186" s="204" t="str">
        <f t="shared" si="297"/>
        <v/>
      </c>
      <c r="FY186" s="204">
        <f>IF($J186="",#N/A,SUM(FX$4:FX186))</f>
        <v>5.6794210235938045E-2</v>
      </c>
      <c r="FZ186" s="205" t="str">
        <f t="shared" si="298"/>
        <v/>
      </c>
      <c r="GA186" s="205">
        <f>IF($J186="",#N/A,SUM(FZ$4:FZ186))</f>
        <v>-1.7642101813332194</v>
      </c>
      <c r="GB186" s="205">
        <f>IF($J186="",#N/A,SUM(FZ$4:FZ186,FX$4:FX186,FV$4:FV186))</f>
        <v>-1.6405809792660038</v>
      </c>
      <c r="GC186" s="200" t="str">
        <f t="shared" si="299"/>
        <v/>
      </c>
      <c r="GD186" s="203">
        <f>IF($J186="",#N/A,SUM(GC$4:GC186))</f>
        <v>0</v>
      </c>
      <c r="GE186" s="204" t="str">
        <f t="shared" si="300"/>
        <v/>
      </c>
      <c r="GF186" s="204">
        <f>IF($J186="",#N/A,SUM(GE$4:GE186))</f>
        <v>0</v>
      </c>
      <c r="GG186" s="205" t="str">
        <f t="shared" si="301"/>
        <v/>
      </c>
      <c r="GH186" s="205">
        <f>IF($J186="",#N/A,SUM(GG$4:GG186))</f>
        <v>-2.9368362277223206</v>
      </c>
      <c r="GI186" s="205">
        <f>IF($J186="",#N/A,SUM(GG$4:GG186,GE$4:GE186,GC$4:GC186))</f>
        <v>-2.9368362277223206</v>
      </c>
      <c r="GJ186" s="200" t="str">
        <f t="shared" si="302"/>
        <v/>
      </c>
      <c r="GK186" s="203">
        <f>IF($J186="",#N/A,SUM(GJ$4:GJ186))</f>
        <v>0</v>
      </c>
      <c r="GL186" s="204" t="str">
        <f t="shared" si="303"/>
        <v/>
      </c>
      <c r="GM186" s="204">
        <f>IF($J186="",#N/A,SUM(GL$4:GL186))</f>
        <v>-0.80168930905701452</v>
      </c>
      <c r="GN186" s="205" t="str">
        <f t="shared" si="304"/>
        <v/>
      </c>
      <c r="GO186" s="205">
        <f>IF($J186="",#N/A,SUM(GN$4:GN186))</f>
        <v>0</v>
      </c>
      <c r="GP186" s="205">
        <f>IF($J186="",#N/A,SUM(GN$4:GN186,GL$4:GL186,GJ$4:GJ186))</f>
        <v>-0.80168930905701452</v>
      </c>
      <c r="GS186" s="54">
        <f t="shared" si="323"/>
        <v>0.71134067328168049</v>
      </c>
      <c r="GT186" s="54">
        <f>IF(GS186="",NA(),SUM($GS$4:GS186))</f>
        <v>5.001183093015845</v>
      </c>
      <c r="GU186" s="54" t="str">
        <f t="shared" si="305"/>
        <v/>
      </c>
      <c r="GV186" s="54" t="e">
        <f>IF(GU186="",NA(),SUM($GU$4:GU186))</f>
        <v>#N/A</v>
      </c>
      <c r="GW186" s="54">
        <f t="shared" si="306"/>
        <v>0.71134067328168049</v>
      </c>
      <c r="GX186" s="54">
        <f>IF(GW186="",NA(),SUM($GW$4:GW186))</f>
        <v>3.9859181523681437</v>
      </c>
      <c r="GY186" s="54" t="str">
        <f t="shared" si="307"/>
        <v/>
      </c>
      <c r="GZ186" s="54" t="e">
        <f>IF(GY186="",NA(),SUM($GY$4:GY186))</f>
        <v>#N/A</v>
      </c>
      <c r="HA186" s="54" t="str">
        <f t="shared" si="308"/>
        <v/>
      </c>
      <c r="HB186" s="54" t="e">
        <f>IF(HA186="",NA(),SUM($HA$4:HA186))</f>
        <v>#N/A</v>
      </c>
      <c r="HC186" s="54" t="str">
        <f t="shared" si="309"/>
        <v/>
      </c>
      <c r="HD186" s="54" t="e">
        <f>IF(HC186="",NA(),SUM($HC$4:HC186))</f>
        <v>#N/A</v>
      </c>
      <c r="HE186" s="54" t="str">
        <f t="shared" si="310"/>
        <v/>
      </c>
      <c r="HF186" s="54" t="e">
        <f>IF(HE186="",NA(),SUM($HE$4:HE186))</f>
        <v>#N/A</v>
      </c>
      <c r="HG186" s="54" t="str">
        <f t="shared" si="311"/>
        <v/>
      </c>
      <c r="HH186" s="54" t="e">
        <f>IF(HG186="",NA(),SUM($HG$4:HG186))</f>
        <v>#N/A</v>
      </c>
      <c r="HI186" s="172" t="str">
        <f t="shared" si="324"/>
        <v/>
      </c>
      <c r="HJ186" s="172">
        <f>IF($J186="",#N/A,SUM(HI$4:$HI186))</f>
        <v>-8.1900937840518608</v>
      </c>
      <c r="HK186" s="54" t="str">
        <f t="shared" si="312"/>
        <v/>
      </c>
      <c r="HL186" s="54">
        <f>IF($J186="",#N/A,SUM($HK$4:HK186))</f>
        <v>-5.7208895353891398</v>
      </c>
      <c r="HM186" s="54" t="str">
        <f t="shared" si="313"/>
        <v/>
      </c>
      <c r="HN186" s="54">
        <f>IF($J186="",#N/A,SUM($HM$4:HM186))</f>
        <v>0.71812545963587882</v>
      </c>
      <c r="HO186" s="54" t="str">
        <f t="shared" si="314"/>
        <v/>
      </c>
      <c r="HP186" s="54">
        <f>IF($J186="",#N/A,SUM($HO$4:HO186))</f>
        <v>-0.14859521910082485</v>
      </c>
      <c r="HQ186" s="54">
        <f t="shared" si="315"/>
        <v>-0.33528159122830586</v>
      </c>
      <c r="HR186" s="54">
        <f>IF($J186="",#N/A,SUM($HQ$4:HQ186))</f>
        <v>-9.8197962249632731</v>
      </c>
      <c r="HS186" s="54" t="str">
        <f t="shared" si="316"/>
        <v/>
      </c>
      <c r="HT186" s="54">
        <f>IF($J186="",#N/A,SUM($HS$4:HS186))</f>
        <v>12.906575604970143</v>
      </c>
      <c r="HU186" s="65">
        <f t="shared" si="317"/>
        <v>0.37605908205337463</v>
      </c>
      <c r="HV186" s="65">
        <f>IF($J186="",#N/A,SUM(HU$4:$HU186))</f>
        <v>-2.0667996206643187</v>
      </c>
    </row>
    <row r="187" spans="1:230" x14ac:dyDescent="0.25">
      <c r="A187" s="51" t="s">
        <v>345</v>
      </c>
      <c r="B187" s="52" t="s">
        <v>4543</v>
      </c>
      <c r="C187" s="229">
        <f t="shared" si="218"/>
        <v>3</v>
      </c>
      <c r="D187" s="219" t="str">
        <f>_xlfn.XLOOKUP(A187,[1]SP500!$A$2:$A$502,[1]SP500!$D$2:$D$502,"N")</f>
        <v>Y</v>
      </c>
      <c r="E187" s="51" t="str">
        <f>IFERROR(_xlfn.XLOOKUP(A187,[1]SP500!$A$2:$A$655,[1]SP500!$B$2:$B$655),"")</f>
        <v>IGV</v>
      </c>
      <c r="F187" s="290">
        <v>45777</v>
      </c>
      <c r="G187" s="51" t="str">
        <f t="shared" si="219"/>
        <v>AMC</v>
      </c>
      <c r="H187" s="51" t="str">
        <f t="shared" si="220"/>
        <v>o</v>
      </c>
      <c r="I187" s="344">
        <v>154.97</v>
      </c>
      <c r="J187" s="124">
        <v>160.20500000000001</v>
      </c>
      <c r="K187" s="55">
        <f t="shared" si="221"/>
        <v>3.3780731754533222E-2</v>
      </c>
      <c r="L187" s="67">
        <f t="shared" si="222"/>
        <v>-26.175000000000068</v>
      </c>
      <c r="M187" s="57">
        <f t="shared" si="223"/>
        <v>6.7250000000000227</v>
      </c>
      <c r="N187" s="102">
        <f t="shared" si="224"/>
        <v>26.175000000000068</v>
      </c>
      <c r="O187" s="57">
        <f>IF(N187="",#N/A,SUM($N$4:N187))</f>
        <v>346.13136410061259</v>
      </c>
      <c r="P187" s="65">
        <f t="shared" si="318"/>
        <v>0.56301219590888707</v>
      </c>
      <c r="Q187" s="172">
        <f>IF($N187="",#N/A,SUM($P$4:P187))</f>
        <v>8.7508862741436477</v>
      </c>
      <c r="R187" s="279">
        <f t="shared" si="225"/>
        <v>5.240807765644794</v>
      </c>
      <c r="S187" s="51" t="str">
        <f t="shared" si="226"/>
        <v>SW</v>
      </c>
      <c r="T187" s="51" t="s">
        <v>2828</v>
      </c>
      <c r="U187" s="56">
        <f t="shared" si="227"/>
        <v>154.97</v>
      </c>
      <c r="V187" s="56" t="s">
        <v>4458</v>
      </c>
      <c r="W187" s="142">
        <v>5</v>
      </c>
      <c r="X187" s="145">
        <f t="shared" si="228"/>
        <v>774.85</v>
      </c>
      <c r="Y187" s="140">
        <f t="shared" si="229"/>
        <v>5</v>
      </c>
      <c r="Z187" s="123">
        <v>158.86000000000001</v>
      </c>
      <c r="AA187" s="102">
        <f t="shared" si="230"/>
        <v>-19.450000000000045</v>
      </c>
      <c r="AB187" s="102">
        <f t="shared" si="231"/>
        <v>-6.8500000000000227</v>
      </c>
      <c r="AC187" s="124">
        <v>156.34</v>
      </c>
      <c r="AD187" s="155">
        <f t="shared" si="232"/>
        <v>6.8500000000000227</v>
      </c>
      <c r="AE187" s="545">
        <f t="shared" si="233"/>
        <v>0.14734034544320454</v>
      </c>
      <c r="AF187" s="57">
        <f>IF($AC187="",#N/A,SUM(AD$4:AD187))</f>
        <v>-202.88041200241662</v>
      </c>
      <c r="AG187" s="102">
        <f t="shared" si="234"/>
        <v>-19.325000000000045</v>
      </c>
      <c r="AH187" s="56" t="s">
        <v>2507</v>
      </c>
      <c r="AI187" s="65">
        <f t="shared" si="235"/>
        <v>-0.41836054290077745</v>
      </c>
      <c r="AJ187" s="350">
        <f>IF(AI187="",#N/A,SUM($AI$4:AI187))</f>
        <v>3.5100785084988542</v>
      </c>
      <c r="AK187" s="57">
        <f t="shared" si="236"/>
        <v>-19.450000000000045</v>
      </c>
      <c r="AL187" s="349">
        <f>IF(AI187="",#N/A,IF(AH187="Skip",SUM($AK$4:AK187),SUM($AK$4:AK187)))</f>
        <v>14.917591492813244</v>
      </c>
      <c r="AM187" s="65">
        <f t="shared" si="319"/>
        <v>0.14734034544320454</v>
      </c>
      <c r="AN187" s="209"/>
      <c r="AO187" s="65">
        <f t="shared" si="237"/>
        <v>0.14734034544320454</v>
      </c>
      <c r="AP187" s="65">
        <f>IF($AC187="",#N/A,SUM(AO$4:AO187))</f>
        <v>6.9000913718843977</v>
      </c>
      <c r="AQ187" s="65" t="str">
        <f t="shared" si="238"/>
        <v/>
      </c>
      <c r="AR187" s="65">
        <f>IF($AC187="",#N/A,SUM(AQ$4:AQ187))</f>
        <v>-2.6179859771653153</v>
      </c>
      <c r="AS187" s="65" t="str">
        <f t="shared" si="239"/>
        <v/>
      </c>
      <c r="AT187" s="65">
        <f>IF($AC187="",#N/A,SUM(AS$4:AS187))</f>
        <v>-6.2015646699402005</v>
      </c>
      <c r="AU187" s="57">
        <f t="shared" si="320"/>
        <v>6.8500000000000227</v>
      </c>
      <c r="AV187" s="57">
        <f>IF($AC187="",#N/A,SUM(AU$4:AU187))</f>
        <v>339.09120645125086</v>
      </c>
      <c r="AW187" s="57" t="str">
        <f t="shared" si="321"/>
        <v/>
      </c>
      <c r="AX187" s="57">
        <f>IF($AC187="",#N/A,SUM(AW$4:AW187))</f>
        <v>-163.1400000000001</v>
      </c>
      <c r="AY187" s="57" t="str">
        <f t="shared" si="322"/>
        <v/>
      </c>
      <c r="AZ187" s="57">
        <f>IF($AC187="",#N/A,SUM(AY$4:AY187))</f>
        <v>-378.83161845366737</v>
      </c>
      <c r="BA187" s="57">
        <f>IF(AD187="",#N/A,SUM($AD$4:AD187))</f>
        <v>-202.88041200241662</v>
      </c>
      <c r="BC187" s="51" t="str">
        <f t="shared" si="240"/>
        <v/>
      </c>
      <c r="BD187" s="51" t="str">
        <f t="shared" si="241"/>
        <v/>
      </c>
      <c r="BE187" s="51">
        <f t="shared" si="242"/>
        <v>1</v>
      </c>
      <c r="BF187" s="51" t="str">
        <f t="shared" si="243"/>
        <v>Long</v>
      </c>
      <c r="BG187" s="51" t="str">
        <f t="shared" si="244"/>
        <v/>
      </c>
      <c r="BH187" s="51" t="str">
        <f t="shared" si="245"/>
        <v/>
      </c>
      <c r="BI187" s="51" t="str">
        <f t="shared" si="246"/>
        <v/>
      </c>
      <c r="BK187" s="65">
        <f t="shared" si="326"/>
        <v>0.21211861766577608</v>
      </c>
      <c r="BL187" s="65">
        <f t="shared" si="325"/>
        <v>0.34473223933901914</v>
      </c>
      <c r="BM187" s="65">
        <f>IFERROR(Q187/COUNTA($J$4:J187),#N/A)</f>
        <v>4.7559164533389389E-2</v>
      </c>
      <c r="BO187" s="489">
        <f>IF(J187="",#N/A,IF(S187="SW",(COUNTIFS(K$4:$K187,"&gt;0",S$4:$S187,"SW")/COUNTIF(S$4:$S187,"SW")),#N/A))</f>
        <v>0.49504950495049505</v>
      </c>
      <c r="BP187" s="489" t="e">
        <f>IF($J187="",#N/A,IF($S187="DWN",(COUNTIFS($K$4:$K187,"&lt;0",$S$4:$S187,"DWN")/COUNTIF($S$4:$S187,"DWN")),#N/A))</f>
        <v>#N/A</v>
      </c>
      <c r="BQ187" s="489" t="e">
        <f>IF($J187="",#N/A,IF($S187="UP",(COUNTIFS($K$4:$K187,"&gt;0",$S$4:$S187,"UP")/COUNTIF($S$4:$S187,"UP")),#N/A))</f>
        <v>#N/A</v>
      </c>
      <c r="BR187" s="489">
        <f>IF(J187="",#N/A,COUNTIF($K$4:K187,"&gt;0")/COUNT($J$4:J187))</f>
        <v>0.45652173913043476</v>
      </c>
      <c r="BS187" s="65" t="str">
        <f t="shared" si="247"/>
        <v/>
      </c>
      <c r="BT187" s="65" t="str">
        <f t="shared" si="248"/>
        <v/>
      </c>
      <c r="BU187" s="65" t="str">
        <f t="shared" si="249"/>
        <v/>
      </c>
      <c r="BV187" s="65">
        <f t="shared" si="250"/>
        <v>0.56301219590888707</v>
      </c>
      <c r="BW187" s="128" t="str">
        <f t="shared" si="251"/>
        <v/>
      </c>
      <c r="BX187" s="128">
        <f>IF($J187="",#N/A,SUM($BW$4:BW187))</f>
        <v>-205.1650000000003</v>
      </c>
      <c r="BY187" s="131" t="str">
        <f t="shared" si="252"/>
        <v/>
      </c>
      <c r="BZ187" s="131">
        <f>IF($J187="",#N/A,SUM($BY$4:BY187))</f>
        <v>433.87434038933361</v>
      </c>
      <c r="CA187" s="133">
        <f t="shared" si="253"/>
        <v>26.175000000000068</v>
      </c>
      <c r="CB187" s="133">
        <f>IF($J187="",#N/A,SUM($CA$4:CA187))</f>
        <v>117.42202371127931</v>
      </c>
      <c r="CC187" s="194" t="str">
        <f t="shared" si="254"/>
        <v/>
      </c>
      <c r="CD187" s="194">
        <f>IF($J187="",#N/A,SUM($CC$4:CC187))</f>
        <v>-3.1875162177003693</v>
      </c>
      <c r="CE187" s="195" t="str">
        <f t="shared" si="255"/>
        <v/>
      </c>
      <c r="CF187" s="195">
        <f>IF($J187="",#N/A,SUM($CE$4:CE187))</f>
        <v>7.7094186495008064</v>
      </c>
      <c r="CG187" s="196">
        <f t="shared" si="256"/>
        <v>0.56301219590888707</v>
      </c>
      <c r="CH187" s="196">
        <f>IF($J187="",#N/A,SUM($CG$4:CG187))</f>
        <v>4.228983842343216</v>
      </c>
      <c r="CI187" s="200" t="str">
        <f t="shared" si="257"/>
        <v/>
      </c>
      <c r="CJ187" s="203">
        <f>IF($J187="",#N/A,SUM(CI$4:CI187))</f>
        <v>0</v>
      </c>
      <c r="CK187" s="204" t="str">
        <f t="shared" si="258"/>
        <v/>
      </c>
      <c r="CL187" s="204">
        <f>IF($J187="",#N/A,SUM(CK$4:CK187))</f>
        <v>1.9927003554442289</v>
      </c>
      <c r="CM187" s="205" t="str">
        <f t="shared" si="259"/>
        <v/>
      </c>
      <c r="CN187" s="205">
        <f>IF($J187="",#N/A,SUM(CM$4:CM187))</f>
        <v>5.6091171609382364</v>
      </c>
      <c r="CO187" s="205">
        <f>IF($J187="",#N/A,SUM(CM$4:CM187,CK$4:CK187,CI$4:CI187))</f>
        <v>7.6018175163824644</v>
      </c>
      <c r="CP187" s="200" t="str">
        <f t="shared" si="260"/>
        <v/>
      </c>
      <c r="CQ187" s="203">
        <f>IF($J187="",#N/A,SUM(CP$4:CP187))</f>
        <v>0</v>
      </c>
      <c r="CR187" s="204" t="str">
        <f t="shared" si="261"/>
        <v/>
      </c>
      <c r="CS187" s="204">
        <f>IF($J187="",#N/A,SUM(CR$4:CR187))</f>
        <v>2.420242024202421</v>
      </c>
      <c r="CT187" s="205">
        <f t="shared" si="262"/>
        <v>0.56301219590888707</v>
      </c>
      <c r="CU187" s="205">
        <f>IF($J187="",#N/A,SUM(CT$4:CT187))</f>
        <v>-1.1331655471946371</v>
      </c>
      <c r="CV187" s="205">
        <f>IF($J187="",#N/A,SUM(CT$4:CT187,CR$4:CR187,CP$4:CP187))</f>
        <v>1.2870764770077838</v>
      </c>
      <c r="CW187" s="200" t="str">
        <f t="shared" si="263"/>
        <v/>
      </c>
      <c r="CX187" s="203">
        <f>IF($J187="",#N/A,SUM(CW$4:CW187))</f>
        <v>0</v>
      </c>
      <c r="CY187" s="204" t="str">
        <f t="shared" si="264"/>
        <v/>
      </c>
      <c r="CZ187" s="204">
        <f>IF($J187="",#N/A,SUM(CY$4:CY187))</f>
        <v>-0.26036833003013049</v>
      </c>
      <c r="DA187" s="205" t="str">
        <f t="shared" si="265"/>
        <v/>
      </c>
      <c r="DB187" s="205">
        <f>IF($J187="",#N/A,SUM(DA$4:DA187))</f>
        <v>-2.730105678753044</v>
      </c>
      <c r="DC187" s="205">
        <f>IF($J187="",#N/A,SUM(DA$4:DA187,CY$4:CY187,CW$4:CW187))</f>
        <v>-2.990474008783174</v>
      </c>
      <c r="DD187" s="200" t="str">
        <f t="shared" si="266"/>
        <v/>
      </c>
      <c r="DE187" s="203">
        <f>IF($J187="",#N/A,SUM(DD$4:DD187))</f>
        <v>0.14968716170674062</v>
      </c>
      <c r="DF187" s="204" t="str">
        <f t="shared" si="267"/>
        <v/>
      </c>
      <c r="DG187" s="204">
        <f>IF($J187="",#N/A,SUM(DF$4:DF187))</f>
        <v>1.2121188689979676</v>
      </c>
      <c r="DH187" s="205" t="str">
        <f t="shared" si="268"/>
        <v/>
      </c>
      <c r="DI187" s="205">
        <f>IF($J187="",#N/A,SUM(DH$4:DH187))</f>
        <v>-0.8404015973735236</v>
      </c>
      <c r="DJ187" s="205">
        <f>IF($J187="",#N/A,SUM(DH$4:DH187,DF$4:DF187,DD$4:DD187))</f>
        <v>0.52140443333118447</v>
      </c>
      <c r="DK187" s="200" t="str">
        <f t="shared" si="269"/>
        <v/>
      </c>
      <c r="DL187" s="203">
        <f>IF($J187="",#N/A,SUM(DK$4:DK187))</f>
        <v>-1.2097286851272664</v>
      </c>
      <c r="DM187" s="204" t="str">
        <f t="shared" si="270"/>
        <v/>
      </c>
      <c r="DN187" s="204">
        <f>IF($J187="",#N/A,SUM(DM$4:DM187))</f>
        <v>1.1910608267574658</v>
      </c>
      <c r="DO187" s="205" t="str">
        <f t="shared" si="271"/>
        <v/>
      </c>
      <c r="DP187" s="205">
        <f>IF($J187="",#N/A,SUM(DO$4:DO187))</f>
        <v>2.6571865116636566</v>
      </c>
      <c r="DQ187" s="205">
        <f>IF($J187="",#N/A,SUM(DO$4:DO187,DM$4:DM187,DK$4:DK187))</f>
        <v>2.6385186532938567</v>
      </c>
      <c r="DR187" s="200" t="str">
        <f t="shared" si="272"/>
        <v/>
      </c>
      <c r="DS187" s="203">
        <f>IF($J187="",#N/A,SUM(DR$4:DR187))</f>
        <v>-0.55950946427675097</v>
      </c>
      <c r="DT187" s="204" t="str">
        <f t="shared" si="273"/>
        <v/>
      </c>
      <c r="DU187" s="204">
        <f>IF($J187="",#N/A,SUM(DT$4:DT187))</f>
        <v>-3.5029740333397914</v>
      </c>
      <c r="DV187" s="205" t="str">
        <f t="shared" si="274"/>
        <v/>
      </c>
      <c r="DW187" s="205">
        <f>IF($J187="",#N/A,SUM(DV$4:DV187))</f>
        <v>-1.8527424265931112</v>
      </c>
      <c r="DX187" s="205">
        <f>IF($J187="",#N/A,SUM(DV$4:DV187,DT$4:DT187,DR$4:DR187))</f>
        <v>-5.9152259242096532</v>
      </c>
      <c r="DY187" s="200" t="str">
        <f t="shared" si="275"/>
        <v/>
      </c>
      <c r="DZ187" s="203">
        <f>IF($J187="",#N/A,SUM(DY$4:DY187))</f>
        <v>-1.63480022183437</v>
      </c>
      <c r="EA187" s="204" t="str">
        <f t="shared" si="276"/>
        <v/>
      </c>
      <c r="EB187" s="204">
        <f>IF($J187="",#N/A,SUM(EA$4:EA187))</f>
        <v>0.5578066706208582</v>
      </c>
      <c r="EC187" s="205" t="str">
        <f t="shared" si="277"/>
        <v/>
      </c>
      <c r="ED187" s="205">
        <f>IF($J187="",#N/A,SUM(EC$4:EC187))</f>
        <v>2.4515280577205139</v>
      </c>
      <c r="EE187" s="205">
        <f>IF($J187="",#N/A,SUM(EC$4:EC187,EA$4:EA187,DY$4:DY187))</f>
        <v>1.3745345065070016</v>
      </c>
      <c r="EF187" s="200" t="str">
        <f t="shared" si="278"/>
        <v/>
      </c>
      <c r="EG187" s="203">
        <f>IF($J187="",#N/A,SUM(EF$4:EF187))</f>
        <v>0</v>
      </c>
      <c r="EH187" s="204" t="str">
        <f t="shared" si="279"/>
        <v/>
      </c>
      <c r="EI187" s="204">
        <f>IF($J187="",#N/A,SUM(EH$4:EH187))</f>
        <v>-1.1184224685150388</v>
      </c>
      <c r="EJ187" s="205" t="str">
        <f t="shared" si="280"/>
        <v/>
      </c>
      <c r="EK187" s="205">
        <f>IF($J187="",#N/A,SUM(EJ$4:EJ187))</f>
        <v>2.804966392787259</v>
      </c>
      <c r="EL187" s="205">
        <f>IF($J187="",#N/A,SUM(EJ$4:EJ187,EH$4:EH187,EF$4:EF187))</f>
        <v>1.6865439242722209</v>
      </c>
      <c r="EM187" s="200" t="str">
        <f t="shared" si="281"/>
        <v/>
      </c>
      <c r="EN187" s="203">
        <f>IF($J187="",#N/A,SUM(EM$4:EM187))</f>
        <v>0</v>
      </c>
      <c r="EO187" s="204" t="str">
        <f t="shared" si="282"/>
        <v/>
      </c>
      <c r="EP187" s="204">
        <f>IF($J187="",#N/A,SUM(EO$4:EO187))</f>
        <v>3.0466900999385675</v>
      </c>
      <c r="EQ187" s="205" t="str">
        <f t="shared" si="283"/>
        <v/>
      </c>
      <c r="ER187" s="205">
        <f>IF($J187="",#N/A,SUM(EQ$4:EQ187))</f>
        <v>2.0221833315059508</v>
      </c>
      <c r="ES187" s="205">
        <f>IF($J187="",#N/A,SUM(EQ$4:EQ187,EO$4:EO187,EM$4:EM187))</f>
        <v>5.0688734314445174</v>
      </c>
      <c r="ET187" s="200" t="str">
        <f t="shared" si="284"/>
        <v/>
      </c>
      <c r="EU187" s="203">
        <f>IF($J187="",#N/A,SUM(ET$4:ET187))</f>
        <v>0</v>
      </c>
      <c r="EV187" s="204" t="str">
        <f t="shared" si="285"/>
        <v/>
      </c>
      <c r="EW187" s="204">
        <f>IF($J187="",#N/A,SUM(EV$4:EV187))</f>
        <v>0.90459527759708336</v>
      </c>
      <c r="EX187" s="205" t="str">
        <f t="shared" si="286"/>
        <v/>
      </c>
      <c r="EY187" s="205">
        <f>IF($J187="",#N/A,SUM(EX$4:EX187))</f>
        <v>0.22957553748493481</v>
      </c>
      <c r="EZ187" s="205">
        <f>IF($J187="",#N/A,SUM(EX$4:EX187,EV$4:EV187,ET$4:ET187))</f>
        <v>1.134170815082018</v>
      </c>
      <c r="FA187" s="200" t="str">
        <f t="shared" si="287"/>
        <v/>
      </c>
      <c r="FB187" s="203">
        <f>IF($J187="",#N/A,SUM(FA$4:FA187))</f>
        <v>0</v>
      </c>
      <c r="FC187" s="204" t="str">
        <f t="shared" si="288"/>
        <v/>
      </c>
      <c r="FD187" s="204">
        <f>IF($J187="",#N/A,SUM(FC$4:FC187))</f>
        <v>1.6839191319663924</v>
      </c>
      <c r="FE187" s="205" t="str">
        <f t="shared" si="289"/>
        <v/>
      </c>
      <c r="FF187" s="205">
        <f>IF($J187="",#N/A,SUM(FE$4:FE187))</f>
        <v>-0.28811149078748233</v>
      </c>
      <c r="FG187" s="205">
        <f>IF($J187="",#N/A,SUM(FE$4:FE187,FC$4:FC187,FA$4:FA187))</f>
        <v>1.3958076411789102</v>
      </c>
      <c r="FH187" s="200" t="str">
        <f t="shared" si="290"/>
        <v/>
      </c>
      <c r="FI187" s="203">
        <f>IF($J187="",#N/A,SUM(FH$4:FH187))</f>
        <v>0</v>
      </c>
      <c r="FJ187" s="204" t="str">
        <f t="shared" si="291"/>
        <v/>
      </c>
      <c r="FK187" s="204">
        <f>IF($J187="",#N/A,SUM(FJ$4:FJ187))</f>
        <v>0</v>
      </c>
      <c r="FL187" s="205" t="str">
        <f t="shared" si="292"/>
        <v/>
      </c>
      <c r="FM187" s="205">
        <f>IF($J187="",#N/A,SUM(FL$4:FL187))</f>
        <v>0</v>
      </c>
      <c r="FN187" s="205">
        <f>IF($J187="",#N/A,SUM(FL$4:FL187,FJ$4:FJ187,FH$4:FH187))</f>
        <v>0</v>
      </c>
      <c r="FO187" s="200" t="str">
        <f t="shared" si="293"/>
        <v/>
      </c>
      <c r="FP187" s="203">
        <f>IF($J187="",#N/A,SUM(FO$4:FO187))</f>
        <v>0</v>
      </c>
      <c r="FQ187" s="204" t="str">
        <f t="shared" si="294"/>
        <v/>
      </c>
      <c r="FR187" s="204">
        <f>IF($J187="",#N/A,SUM(FQ$4:FQ187))</f>
        <v>0</v>
      </c>
      <c r="FS187" s="205" t="str">
        <f t="shared" si="295"/>
        <v/>
      </c>
      <c r="FT187" s="205">
        <f>IF($J187="",#N/A,SUM(FS$4:FS187))</f>
        <v>0</v>
      </c>
      <c r="FU187" s="205">
        <f>IF($J187="",#N/A,SUM(FS$4:FS187,FQ$4:FQ187,FO$4:FO187))</f>
        <v>0</v>
      </c>
      <c r="FV187" s="200" t="str">
        <f t="shared" si="296"/>
        <v/>
      </c>
      <c r="FW187" s="203">
        <f>IF($J187="",#N/A,SUM(FV$4:FV187))</f>
        <v>6.6834991831277585E-2</v>
      </c>
      <c r="FX187" s="204" t="str">
        <f t="shared" si="297"/>
        <v/>
      </c>
      <c r="FY187" s="204">
        <f>IF($J187="",#N/A,SUM(FX$4:FX187))</f>
        <v>5.6794210235938045E-2</v>
      </c>
      <c r="FZ187" s="205" t="str">
        <f t="shared" si="298"/>
        <v/>
      </c>
      <c r="GA187" s="205">
        <f>IF($J187="",#N/A,SUM(FZ$4:FZ187))</f>
        <v>-1.7642101813332194</v>
      </c>
      <c r="GB187" s="205">
        <f>IF($J187="",#N/A,SUM(FZ$4:FZ187,FX$4:FX187,FV$4:FV187))</f>
        <v>-1.6405809792660038</v>
      </c>
      <c r="GC187" s="200" t="str">
        <f t="shared" si="299"/>
        <v/>
      </c>
      <c r="GD187" s="203">
        <f>IF($J187="",#N/A,SUM(GC$4:GC187))</f>
        <v>0</v>
      </c>
      <c r="GE187" s="204" t="str">
        <f t="shared" si="300"/>
        <v/>
      </c>
      <c r="GF187" s="204">
        <f>IF($J187="",#N/A,SUM(GE$4:GE187))</f>
        <v>0</v>
      </c>
      <c r="GG187" s="205" t="str">
        <f t="shared" si="301"/>
        <v/>
      </c>
      <c r="GH187" s="205">
        <f>IF($J187="",#N/A,SUM(GG$4:GG187))</f>
        <v>-2.9368362277223206</v>
      </c>
      <c r="GI187" s="205">
        <f>IF($J187="",#N/A,SUM(GG$4:GG187,GE$4:GE187,GC$4:GC187))</f>
        <v>-2.9368362277223206</v>
      </c>
      <c r="GJ187" s="200" t="str">
        <f t="shared" si="302"/>
        <v/>
      </c>
      <c r="GK187" s="203">
        <f>IF($J187="",#N/A,SUM(GJ$4:GJ187))</f>
        <v>0</v>
      </c>
      <c r="GL187" s="204" t="str">
        <f t="shared" si="303"/>
        <v/>
      </c>
      <c r="GM187" s="204">
        <f>IF($J187="",#N/A,SUM(GL$4:GL187))</f>
        <v>-0.80168930905701452</v>
      </c>
      <c r="GN187" s="205" t="str">
        <f t="shared" si="304"/>
        <v/>
      </c>
      <c r="GO187" s="205">
        <f>IF($J187="",#N/A,SUM(GN$4:GN187))</f>
        <v>0</v>
      </c>
      <c r="GP187" s="205">
        <f>IF($J187="",#N/A,SUM(GN$4:GN187,GL$4:GL187,GJ$4:GJ187))</f>
        <v>-0.80168930905701452</v>
      </c>
      <c r="GS187" s="54">
        <f t="shared" si="323"/>
        <v>0.56301219590888707</v>
      </c>
      <c r="GT187" s="54">
        <f>IF(GS187="",NA(),SUM($GS$4:GS187))</f>
        <v>5.5641952889247319</v>
      </c>
      <c r="GU187" s="54" t="str">
        <f t="shared" si="305"/>
        <v/>
      </c>
      <c r="GV187" s="54" t="e">
        <f>IF(GU187="",NA(),SUM($GU$4:GU187))</f>
        <v>#N/A</v>
      </c>
      <c r="GW187" s="54">
        <f t="shared" si="306"/>
        <v>0.56301219590888707</v>
      </c>
      <c r="GX187" s="54">
        <f>IF(GW187="",NA(),SUM($GW$4:GW187))</f>
        <v>4.5489303482770307</v>
      </c>
      <c r="GY187" s="54" t="str">
        <f t="shared" si="307"/>
        <v/>
      </c>
      <c r="GZ187" s="54" t="e">
        <f>IF(GY187="",NA(),SUM($GY$4:GY187))</f>
        <v>#N/A</v>
      </c>
      <c r="HA187" s="54" t="str">
        <f t="shared" si="308"/>
        <v/>
      </c>
      <c r="HB187" s="54" t="e">
        <f>IF(HA187="",NA(),SUM($HA$4:HA187))</f>
        <v>#N/A</v>
      </c>
      <c r="HC187" s="54" t="str">
        <f t="shared" si="309"/>
        <v/>
      </c>
      <c r="HD187" s="54" t="e">
        <f>IF(HC187="",NA(),SUM($HC$4:HC187))</f>
        <v>#N/A</v>
      </c>
      <c r="HE187" s="54" t="str">
        <f t="shared" si="310"/>
        <v/>
      </c>
      <c r="HF187" s="54" t="e">
        <f>IF(HE187="",NA(),SUM($HE$4:HE187))</f>
        <v>#N/A</v>
      </c>
      <c r="HG187" s="54" t="str">
        <f t="shared" si="311"/>
        <v/>
      </c>
      <c r="HH187" s="54" t="e">
        <f>IF(HG187="",NA(),SUM($HG$4:HG187))</f>
        <v>#N/A</v>
      </c>
      <c r="HI187" s="172" t="str">
        <f t="shared" si="324"/>
        <v/>
      </c>
      <c r="HJ187" s="172">
        <f>IF($J187="",#N/A,SUM(HI$4:$HI187))</f>
        <v>-8.1900937840518608</v>
      </c>
      <c r="HK187" s="54" t="str">
        <f t="shared" si="312"/>
        <v/>
      </c>
      <c r="HL187" s="54">
        <f>IF($J187="",#N/A,SUM($HK$4:HK187))</f>
        <v>-5.7208895353891398</v>
      </c>
      <c r="HM187" s="54" t="str">
        <f t="shared" si="313"/>
        <v/>
      </c>
      <c r="HN187" s="54">
        <f>IF($J187="",#N/A,SUM($HM$4:HM187))</f>
        <v>0.71812545963587882</v>
      </c>
      <c r="HO187" s="54" t="str">
        <f t="shared" si="314"/>
        <v/>
      </c>
      <c r="HP187" s="54">
        <f>IF($J187="",#N/A,SUM($HO$4:HO187))</f>
        <v>-0.14859521910082485</v>
      </c>
      <c r="HQ187" s="54">
        <f t="shared" si="315"/>
        <v>-0.41567185046568256</v>
      </c>
      <c r="HR187" s="54">
        <f>IF($J187="",#N/A,SUM($HQ$4:HQ187))</f>
        <v>-10.235468075428956</v>
      </c>
      <c r="HS187" s="54" t="str">
        <f t="shared" si="316"/>
        <v/>
      </c>
      <c r="HT187" s="54">
        <f>IF($J187="",#N/A,SUM($HS$4:HS187))</f>
        <v>12.906575604970143</v>
      </c>
      <c r="HU187" s="65">
        <f t="shared" si="317"/>
        <v>0.14734034544320454</v>
      </c>
      <c r="HV187" s="65">
        <f>IF($J187="",#N/A,SUM(HU$4:$HU187))</f>
        <v>-1.9194592752211141</v>
      </c>
    </row>
    <row r="188" spans="1:230" x14ac:dyDescent="0.25">
      <c r="A188" s="396" t="s">
        <v>1548</v>
      </c>
      <c r="B188" s="52" t="s">
        <v>4543</v>
      </c>
      <c r="C188" s="229">
        <f t="shared" si="218"/>
        <v>2</v>
      </c>
      <c r="D188" s="219" t="str">
        <f>_xlfn.XLOOKUP(A188,[1]SP500!$A$2:$A$502,[1]SP500!$D$2:$D$502,"N")</f>
        <v>Y</v>
      </c>
      <c r="E188" s="51" t="str">
        <f>IFERROR(_xlfn.XLOOKUP(A188,[1]SP500!$A$2:$A$655,[1]SP500!$B$2:$B$655),"")</f>
        <v>XLV</v>
      </c>
      <c r="F188" s="290">
        <v>45777</v>
      </c>
      <c r="G188" s="51" t="str">
        <f t="shared" si="219"/>
        <v>AMC</v>
      </c>
      <c r="H188" s="51" t="str">
        <f t="shared" si="220"/>
        <v>s</v>
      </c>
      <c r="I188" s="344">
        <v>173.3</v>
      </c>
      <c r="J188" s="124">
        <v>190</v>
      </c>
      <c r="K188" s="55">
        <f t="shared" si="221"/>
        <v>9.6364685516445392E-2</v>
      </c>
      <c r="L188" s="67">
        <f t="shared" si="222"/>
        <v>-100.19999999999982</v>
      </c>
      <c r="M188" s="57">
        <f t="shared" si="223"/>
        <v>0</v>
      </c>
      <c r="N188" s="102">
        <f t="shared" si="224"/>
        <v>-100.19999999999982</v>
      </c>
      <c r="O188" s="57">
        <f>IF(N188="",#N/A,SUM($N$4:N188))</f>
        <v>245.93136410061277</v>
      </c>
      <c r="P188" s="65">
        <f t="shared" si="318"/>
        <v>-1.6060780919407547</v>
      </c>
      <c r="Q188" s="172">
        <f>IF($N188="",#N/A,SUM($P$4:P188))</f>
        <v>7.144808182202893</v>
      </c>
      <c r="R188" s="279">
        <f t="shared" si="225"/>
        <v>5.240807765644794</v>
      </c>
      <c r="S188" s="51" t="str">
        <f t="shared" si="226"/>
        <v>Dwn</v>
      </c>
      <c r="T188" s="51" t="s">
        <v>4461</v>
      </c>
      <c r="U188" s="56">
        <f t="shared" si="227"/>
        <v>173.3</v>
      </c>
      <c r="V188" s="56" t="s">
        <v>4458</v>
      </c>
      <c r="W188" s="142">
        <v>6</v>
      </c>
      <c r="X188" s="145">
        <f t="shared" si="228"/>
        <v>1039.8000000000002</v>
      </c>
      <c r="Y188" s="140">
        <f t="shared" si="229"/>
        <v>6</v>
      </c>
      <c r="Z188" s="123">
        <v>190</v>
      </c>
      <c r="AA188" s="102">
        <f t="shared" si="230"/>
        <v>-100.19999999999982</v>
      </c>
      <c r="AB188" s="102">
        <f t="shared" si="231"/>
        <v>-20.639999999999873</v>
      </c>
      <c r="AC188" s="124">
        <v>176.74</v>
      </c>
      <c r="AD188" s="155">
        <f t="shared" si="232"/>
        <v>-20.639999999999873</v>
      </c>
      <c r="AE188" s="545">
        <f t="shared" si="233"/>
        <v>-0.33083285247162708</v>
      </c>
      <c r="AF188" s="57">
        <f>IF($AC188="",#N/A,SUM(AD$4:AD188))</f>
        <v>-223.52041200241649</v>
      </c>
      <c r="AG188" s="102">
        <f t="shared" si="234"/>
        <v>79.559999999999945</v>
      </c>
      <c r="AH188" s="56" t="s">
        <v>2507</v>
      </c>
      <c r="AI188" s="65">
        <f t="shared" si="235"/>
        <v>-1.6060780919407547</v>
      </c>
      <c r="AJ188" s="350">
        <f>IF(AI188="",#N/A,SUM($AI$4:AI188))</f>
        <v>1.9040004165580995</v>
      </c>
      <c r="AK188" s="57">
        <f t="shared" si="236"/>
        <v>-100.19999999999982</v>
      </c>
      <c r="AL188" s="349">
        <f>IF(AI188="",#N/A,IF(AH188="Skip",SUM($AK$4:AK188),SUM($AK$4:AK188)))</f>
        <v>-85.282408507186574</v>
      </c>
      <c r="AM188" s="65">
        <f t="shared" si="319"/>
        <v>-0.33083285247162708</v>
      </c>
      <c r="AN188" s="209"/>
      <c r="AO188" s="65" t="str">
        <f t="shared" si="237"/>
        <v/>
      </c>
      <c r="AP188" s="65">
        <f>IF($AC188="",#N/A,SUM(AO$4:AO188))</f>
        <v>6.9000913718843977</v>
      </c>
      <c r="AQ188" s="65" t="str">
        <f t="shared" si="238"/>
        <v/>
      </c>
      <c r="AR188" s="65">
        <f>IF($AC188="",#N/A,SUM(AQ$4:AQ188))</f>
        <v>-2.6179859771653153</v>
      </c>
      <c r="AS188" s="65">
        <f t="shared" si="239"/>
        <v>-0.33083285247162708</v>
      </c>
      <c r="AT188" s="65">
        <f>IF($AC188="",#N/A,SUM(AS$4:AS188))</f>
        <v>-6.5323975224118271</v>
      </c>
      <c r="AU188" s="57" t="str">
        <f t="shared" si="320"/>
        <v/>
      </c>
      <c r="AV188" s="57">
        <f>IF($AC188="",#N/A,SUM(AU$4:AU188))</f>
        <v>339.09120645125086</v>
      </c>
      <c r="AW188" s="57" t="str">
        <f t="shared" si="321"/>
        <v/>
      </c>
      <c r="AX188" s="57">
        <f>IF($AC188="",#N/A,SUM(AW$4:AW188))</f>
        <v>-163.1400000000001</v>
      </c>
      <c r="AY188" s="57">
        <f t="shared" si="322"/>
        <v>-20.639999999999873</v>
      </c>
      <c r="AZ188" s="57">
        <f>IF($AC188="",#N/A,SUM(AY$4:AY188))</f>
        <v>-399.47161845366725</v>
      </c>
      <c r="BA188" s="57">
        <f>IF(AD188="",#N/A,SUM($AD$4:AD188))</f>
        <v>-223.52041200241649</v>
      </c>
      <c r="BC188" s="51" t="str">
        <f t="shared" si="240"/>
        <v/>
      </c>
      <c r="BD188" s="51">
        <f t="shared" si="241"/>
        <v>1</v>
      </c>
      <c r="BE188" s="51" t="str">
        <f t="shared" si="242"/>
        <v/>
      </c>
      <c r="BF188" s="51" t="str">
        <f t="shared" si="243"/>
        <v>Short</v>
      </c>
      <c r="BG188" s="51" t="str">
        <f t="shared" si="244"/>
        <v/>
      </c>
      <c r="BH188" s="51" t="str">
        <f t="shared" si="245"/>
        <v/>
      </c>
      <c r="BI188" s="51" t="str">
        <f t="shared" si="246"/>
        <v/>
      </c>
      <c r="BK188" s="65">
        <f t="shared" si="326"/>
        <v>0.17319433473852558</v>
      </c>
      <c r="BL188" s="65">
        <f t="shared" si="325"/>
        <v>0.25591435049256445</v>
      </c>
      <c r="BM188" s="65">
        <f>IFERROR(Q188/COUNTA($J$4:J188),#N/A)</f>
        <v>3.8620584768664284E-2</v>
      </c>
      <c r="BO188" s="489" t="e">
        <f>IF(J188="",#N/A,IF(S188="SW",(COUNTIFS(K$4:$K188,"&gt;0",S$4:$S188,"SW")/COUNTIF(S$4:$S188,"SW")),#N/A))</f>
        <v>#N/A</v>
      </c>
      <c r="BP188" s="489">
        <f>IF($J188="",#N/A,IF($S188="DWN",(COUNTIFS($K$4:$K188,"&lt;0",$S$4:$S188,"DWN")/COUNTIF($S$4:$S188,"DWN")),#N/A))</f>
        <v>0.57894736842105265</v>
      </c>
      <c r="BQ188" s="489" t="e">
        <f>IF($J188="",#N/A,IF($S188="UP",(COUNTIFS($K$4:$K188,"&gt;0",$S$4:$S188,"UP")/COUNTIF($S$4:$S188,"UP")),#N/A))</f>
        <v>#N/A</v>
      </c>
      <c r="BR188" s="489">
        <f>IF(J188="",#N/A,COUNTIF($K$4:K188,"&gt;0")/COUNT($J$4:J188))</f>
        <v>0.45945945945945948</v>
      </c>
      <c r="BS188" s="65" t="str">
        <f t="shared" si="247"/>
        <v/>
      </c>
      <c r="BT188" s="65" t="str">
        <f t="shared" si="248"/>
        <v/>
      </c>
      <c r="BU188" s="65" t="str">
        <f t="shared" si="249"/>
        <v/>
      </c>
      <c r="BV188" s="65">
        <f t="shared" si="250"/>
        <v>-1.6060780919407547</v>
      </c>
      <c r="BW188" s="128" t="str">
        <f t="shared" si="251"/>
        <v/>
      </c>
      <c r="BX188" s="128">
        <f>IF($J188="",#N/A,SUM($BW$4:BW188))</f>
        <v>-205.1650000000003</v>
      </c>
      <c r="BY188" s="131">
        <f t="shared" si="252"/>
        <v>-100.19999999999982</v>
      </c>
      <c r="BZ188" s="131">
        <f>IF($J188="",#N/A,SUM($BY$4:BY188))</f>
        <v>333.67434038933379</v>
      </c>
      <c r="CA188" s="133" t="str">
        <f t="shared" si="253"/>
        <v/>
      </c>
      <c r="CB188" s="133">
        <f>IF($J188="",#N/A,SUM($CA$4:CA188))</f>
        <v>117.42202371127931</v>
      </c>
      <c r="CC188" s="194" t="str">
        <f t="shared" si="254"/>
        <v/>
      </c>
      <c r="CD188" s="194">
        <f>IF($J188="",#N/A,SUM($CC$4:CC188))</f>
        <v>-3.1875162177003693</v>
      </c>
      <c r="CE188" s="195">
        <f t="shared" si="255"/>
        <v>-1.6060780919407547</v>
      </c>
      <c r="CF188" s="195">
        <f>IF($J188="",#N/A,SUM($CE$4:CE188))</f>
        <v>6.1033405575600517</v>
      </c>
      <c r="CG188" s="196" t="str">
        <f t="shared" si="256"/>
        <v/>
      </c>
      <c r="CH188" s="196">
        <f>IF($J188="",#N/A,SUM($CG$4:CG188))</f>
        <v>4.228983842343216</v>
      </c>
      <c r="CI188" s="200" t="str">
        <f t="shared" si="257"/>
        <v/>
      </c>
      <c r="CJ188" s="203">
        <f>IF($J188="",#N/A,SUM(CI$4:CI188))</f>
        <v>0</v>
      </c>
      <c r="CK188" s="204" t="str">
        <f t="shared" si="258"/>
        <v/>
      </c>
      <c r="CL188" s="204">
        <f>IF($J188="",#N/A,SUM(CK$4:CK188))</f>
        <v>1.9927003554442289</v>
      </c>
      <c r="CM188" s="205" t="str">
        <f t="shared" si="259"/>
        <v/>
      </c>
      <c r="CN188" s="205">
        <f>IF($J188="",#N/A,SUM(CM$4:CM188))</f>
        <v>5.6091171609382364</v>
      </c>
      <c r="CO188" s="205">
        <f>IF($J188="",#N/A,SUM(CM$4:CM188,CK$4:CK188,CI$4:CI188))</f>
        <v>7.6018175163824644</v>
      </c>
      <c r="CP188" s="200" t="str">
        <f t="shared" si="260"/>
        <v/>
      </c>
      <c r="CQ188" s="203">
        <f>IF($J188="",#N/A,SUM(CP$4:CP188))</f>
        <v>0</v>
      </c>
      <c r="CR188" s="204" t="str">
        <f t="shared" si="261"/>
        <v/>
      </c>
      <c r="CS188" s="204">
        <f>IF($J188="",#N/A,SUM(CR$4:CR188))</f>
        <v>2.420242024202421</v>
      </c>
      <c r="CT188" s="205" t="str">
        <f t="shared" si="262"/>
        <v/>
      </c>
      <c r="CU188" s="205">
        <f>IF($J188="",#N/A,SUM(CT$4:CT188))</f>
        <v>-1.1331655471946371</v>
      </c>
      <c r="CV188" s="205">
        <f>IF($J188="",#N/A,SUM(CT$4:CT188,CR$4:CR188,CP$4:CP188))</f>
        <v>1.2870764770077838</v>
      </c>
      <c r="CW188" s="200" t="str">
        <f t="shared" si="263"/>
        <v/>
      </c>
      <c r="CX188" s="203">
        <f>IF($J188="",#N/A,SUM(CW$4:CW188))</f>
        <v>0</v>
      </c>
      <c r="CY188" s="204" t="str">
        <f t="shared" si="264"/>
        <v/>
      </c>
      <c r="CZ188" s="204">
        <f>IF($J188="",#N/A,SUM(CY$4:CY188))</f>
        <v>-0.26036833003013049</v>
      </c>
      <c r="DA188" s="205" t="str">
        <f t="shared" si="265"/>
        <v/>
      </c>
      <c r="DB188" s="205">
        <f>IF($J188="",#N/A,SUM(DA$4:DA188))</f>
        <v>-2.730105678753044</v>
      </c>
      <c r="DC188" s="205">
        <f>IF($J188="",#N/A,SUM(DA$4:DA188,CY$4:CY188,CW$4:CW188))</f>
        <v>-2.990474008783174</v>
      </c>
      <c r="DD188" s="200" t="str">
        <f t="shared" si="266"/>
        <v/>
      </c>
      <c r="DE188" s="203">
        <f>IF($J188="",#N/A,SUM(DD$4:DD188))</f>
        <v>0.14968716170674062</v>
      </c>
      <c r="DF188" s="204" t="str">
        <f t="shared" si="267"/>
        <v/>
      </c>
      <c r="DG188" s="204">
        <f>IF($J188="",#N/A,SUM(DF$4:DF188))</f>
        <v>1.2121188689979676</v>
      </c>
      <c r="DH188" s="205" t="str">
        <f t="shared" si="268"/>
        <v/>
      </c>
      <c r="DI188" s="205">
        <f>IF($J188="",#N/A,SUM(DH$4:DH188))</f>
        <v>-0.8404015973735236</v>
      </c>
      <c r="DJ188" s="205">
        <f>IF($J188="",#N/A,SUM(DH$4:DH188,DF$4:DF188,DD$4:DD188))</f>
        <v>0.52140443333118447</v>
      </c>
      <c r="DK188" s="200" t="str">
        <f t="shared" si="269"/>
        <v/>
      </c>
      <c r="DL188" s="203">
        <f>IF($J188="",#N/A,SUM(DK$4:DK188))</f>
        <v>-1.2097286851272664</v>
      </c>
      <c r="DM188" s="204" t="str">
        <f t="shared" si="270"/>
        <v/>
      </c>
      <c r="DN188" s="204">
        <f>IF($J188="",#N/A,SUM(DM$4:DM188))</f>
        <v>1.1910608267574658</v>
      </c>
      <c r="DO188" s="205" t="str">
        <f t="shared" si="271"/>
        <v/>
      </c>
      <c r="DP188" s="205">
        <f>IF($J188="",#N/A,SUM(DO$4:DO188))</f>
        <v>2.6571865116636566</v>
      </c>
      <c r="DQ188" s="205">
        <f>IF($J188="",#N/A,SUM(DO$4:DO188,DM$4:DM188,DK$4:DK188))</f>
        <v>2.6385186532938567</v>
      </c>
      <c r="DR188" s="200" t="str">
        <f t="shared" si="272"/>
        <v/>
      </c>
      <c r="DS188" s="203">
        <f>IF($J188="",#N/A,SUM(DR$4:DR188))</f>
        <v>-0.55950946427675097</v>
      </c>
      <c r="DT188" s="204" t="str">
        <f t="shared" si="273"/>
        <v/>
      </c>
      <c r="DU188" s="204">
        <f>IF($J188="",#N/A,SUM(DT$4:DT188))</f>
        <v>-3.5029740333397914</v>
      </c>
      <c r="DV188" s="205" t="str">
        <f t="shared" si="274"/>
        <v/>
      </c>
      <c r="DW188" s="205">
        <f>IF($J188="",#N/A,SUM(DV$4:DV188))</f>
        <v>-1.8527424265931112</v>
      </c>
      <c r="DX188" s="205">
        <f>IF($J188="",#N/A,SUM(DV$4:DV188,DT$4:DT188,DR$4:DR188))</f>
        <v>-5.9152259242096532</v>
      </c>
      <c r="DY188" s="200" t="str">
        <f t="shared" si="275"/>
        <v/>
      </c>
      <c r="DZ188" s="203">
        <f>IF($J188="",#N/A,SUM(DY$4:DY188))</f>
        <v>-1.63480022183437</v>
      </c>
      <c r="EA188" s="204" t="str">
        <f t="shared" si="276"/>
        <v/>
      </c>
      <c r="EB188" s="204">
        <f>IF($J188="",#N/A,SUM(EA$4:EA188))</f>
        <v>0.5578066706208582</v>
      </c>
      <c r="EC188" s="205" t="str">
        <f t="shared" si="277"/>
        <v/>
      </c>
      <c r="ED188" s="205">
        <f>IF($J188="",#N/A,SUM(EC$4:EC188))</f>
        <v>2.4515280577205139</v>
      </c>
      <c r="EE188" s="205">
        <f>IF($J188="",#N/A,SUM(EC$4:EC188,EA$4:EA188,DY$4:DY188))</f>
        <v>1.3745345065070016</v>
      </c>
      <c r="EF188" s="200" t="str">
        <f t="shared" si="278"/>
        <v/>
      </c>
      <c r="EG188" s="203">
        <f>IF($J188="",#N/A,SUM(EF$4:EF188))</f>
        <v>0</v>
      </c>
      <c r="EH188" s="204">
        <f t="shared" si="279"/>
        <v>-1.6060780919407547</v>
      </c>
      <c r="EI188" s="204">
        <f>IF($J188="",#N/A,SUM(EH$4:EH188))</f>
        <v>-2.7245005604557937</v>
      </c>
      <c r="EJ188" s="205" t="str">
        <f t="shared" si="280"/>
        <v/>
      </c>
      <c r="EK188" s="205">
        <f>IF($J188="",#N/A,SUM(EJ$4:EJ188))</f>
        <v>2.804966392787259</v>
      </c>
      <c r="EL188" s="205">
        <f>IF($J188="",#N/A,SUM(EJ$4:EJ188,EH$4:EH188,EF$4:EF188))</f>
        <v>8.0465832331466203E-2</v>
      </c>
      <c r="EM188" s="200" t="str">
        <f t="shared" si="281"/>
        <v/>
      </c>
      <c r="EN188" s="203">
        <f>IF($J188="",#N/A,SUM(EM$4:EM188))</f>
        <v>0</v>
      </c>
      <c r="EO188" s="204" t="str">
        <f t="shared" si="282"/>
        <v/>
      </c>
      <c r="EP188" s="204">
        <f>IF($J188="",#N/A,SUM(EO$4:EO188))</f>
        <v>3.0466900999385675</v>
      </c>
      <c r="EQ188" s="205" t="str">
        <f t="shared" si="283"/>
        <v/>
      </c>
      <c r="ER188" s="205">
        <f>IF($J188="",#N/A,SUM(EQ$4:EQ188))</f>
        <v>2.0221833315059508</v>
      </c>
      <c r="ES188" s="205">
        <f>IF($J188="",#N/A,SUM(EQ$4:EQ188,EO$4:EO188,EM$4:EM188))</f>
        <v>5.0688734314445174</v>
      </c>
      <c r="ET188" s="200" t="str">
        <f t="shared" si="284"/>
        <v/>
      </c>
      <c r="EU188" s="203">
        <f>IF($J188="",#N/A,SUM(ET$4:ET188))</f>
        <v>0</v>
      </c>
      <c r="EV188" s="204" t="str">
        <f t="shared" si="285"/>
        <v/>
      </c>
      <c r="EW188" s="204">
        <f>IF($J188="",#N/A,SUM(EV$4:EV188))</f>
        <v>0.90459527759708336</v>
      </c>
      <c r="EX188" s="205" t="str">
        <f t="shared" si="286"/>
        <v/>
      </c>
      <c r="EY188" s="205">
        <f>IF($J188="",#N/A,SUM(EX$4:EX188))</f>
        <v>0.22957553748493481</v>
      </c>
      <c r="EZ188" s="205">
        <f>IF($J188="",#N/A,SUM(EX$4:EX188,EV$4:EV188,ET$4:ET188))</f>
        <v>1.134170815082018</v>
      </c>
      <c r="FA188" s="200" t="str">
        <f t="shared" si="287"/>
        <v/>
      </c>
      <c r="FB188" s="203">
        <f>IF($J188="",#N/A,SUM(FA$4:FA188))</f>
        <v>0</v>
      </c>
      <c r="FC188" s="204" t="str">
        <f t="shared" si="288"/>
        <v/>
      </c>
      <c r="FD188" s="204">
        <f>IF($J188="",#N/A,SUM(FC$4:FC188))</f>
        <v>1.6839191319663924</v>
      </c>
      <c r="FE188" s="205" t="str">
        <f t="shared" si="289"/>
        <v/>
      </c>
      <c r="FF188" s="205">
        <f>IF($J188="",#N/A,SUM(FE$4:FE188))</f>
        <v>-0.28811149078748233</v>
      </c>
      <c r="FG188" s="205">
        <f>IF($J188="",#N/A,SUM(FE$4:FE188,FC$4:FC188,FA$4:FA188))</f>
        <v>1.3958076411789102</v>
      </c>
      <c r="FH188" s="200" t="str">
        <f t="shared" si="290"/>
        <v/>
      </c>
      <c r="FI188" s="203">
        <f>IF($J188="",#N/A,SUM(FH$4:FH188))</f>
        <v>0</v>
      </c>
      <c r="FJ188" s="204" t="str">
        <f t="shared" si="291"/>
        <v/>
      </c>
      <c r="FK188" s="204">
        <f>IF($J188="",#N/A,SUM(FJ$4:FJ188))</f>
        <v>0</v>
      </c>
      <c r="FL188" s="205" t="str">
        <f t="shared" si="292"/>
        <v/>
      </c>
      <c r="FM188" s="205">
        <f>IF($J188="",#N/A,SUM(FL$4:FL188))</f>
        <v>0</v>
      </c>
      <c r="FN188" s="205">
        <f>IF($J188="",#N/A,SUM(FL$4:FL188,FJ$4:FJ188,FH$4:FH188))</f>
        <v>0</v>
      </c>
      <c r="FO188" s="200" t="str">
        <f t="shared" si="293"/>
        <v/>
      </c>
      <c r="FP188" s="203">
        <f>IF($J188="",#N/A,SUM(FO$4:FO188))</f>
        <v>0</v>
      </c>
      <c r="FQ188" s="204" t="str">
        <f t="shared" si="294"/>
        <v/>
      </c>
      <c r="FR188" s="204">
        <f>IF($J188="",#N/A,SUM(FQ$4:FQ188))</f>
        <v>0</v>
      </c>
      <c r="FS188" s="205" t="str">
        <f t="shared" si="295"/>
        <v/>
      </c>
      <c r="FT188" s="205">
        <f>IF($J188="",#N/A,SUM(FS$4:FS188))</f>
        <v>0</v>
      </c>
      <c r="FU188" s="205">
        <f>IF($J188="",#N/A,SUM(FS$4:FS188,FQ$4:FQ188,FO$4:FO188))</f>
        <v>0</v>
      </c>
      <c r="FV188" s="200" t="str">
        <f t="shared" si="296"/>
        <v/>
      </c>
      <c r="FW188" s="203">
        <f>IF($J188="",#N/A,SUM(FV$4:FV188))</f>
        <v>6.6834991831277585E-2</v>
      </c>
      <c r="FX188" s="204" t="str">
        <f t="shared" si="297"/>
        <v/>
      </c>
      <c r="FY188" s="204">
        <f>IF($J188="",#N/A,SUM(FX$4:FX188))</f>
        <v>5.6794210235938045E-2</v>
      </c>
      <c r="FZ188" s="205" t="str">
        <f t="shared" si="298"/>
        <v/>
      </c>
      <c r="GA188" s="205">
        <f>IF($J188="",#N/A,SUM(FZ$4:FZ188))</f>
        <v>-1.7642101813332194</v>
      </c>
      <c r="GB188" s="205">
        <f>IF($J188="",#N/A,SUM(FZ$4:FZ188,FX$4:FX188,FV$4:FV188))</f>
        <v>-1.6405809792660038</v>
      </c>
      <c r="GC188" s="200" t="str">
        <f t="shared" si="299"/>
        <v/>
      </c>
      <c r="GD188" s="203">
        <f>IF($J188="",#N/A,SUM(GC$4:GC188))</f>
        <v>0</v>
      </c>
      <c r="GE188" s="204" t="str">
        <f t="shared" si="300"/>
        <v/>
      </c>
      <c r="GF188" s="204">
        <f>IF($J188="",#N/A,SUM(GE$4:GE188))</f>
        <v>0</v>
      </c>
      <c r="GG188" s="205" t="str">
        <f t="shared" si="301"/>
        <v/>
      </c>
      <c r="GH188" s="205">
        <f>IF($J188="",#N/A,SUM(GG$4:GG188))</f>
        <v>-2.9368362277223206</v>
      </c>
      <c r="GI188" s="205">
        <f>IF($J188="",#N/A,SUM(GG$4:GG188,GE$4:GE188,GC$4:GC188))</f>
        <v>-2.9368362277223206</v>
      </c>
      <c r="GJ188" s="200" t="str">
        <f t="shared" si="302"/>
        <v/>
      </c>
      <c r="GK188" s="203">
        <f>IF($J188="",#N/A,SUM(GJ$4:GJ188))</f>
        <v>0</v>
      </c>
      <c r="GL188" s="204" t="str">
        <f t="shared" si="303"/>
        <v/>
      </c>
      <c r="GM188" s="204">
        <f>IF($J188="",#N/A,SUM(GL$4:GL188))</f>
        <v>-0.80168930905701452</v>
      </c>
      <c r="GN188" s="205" t="str">
        <f t="shared" si="304"/>
        <v/>
      </c>
      <c r="GO188" s="205">
        <f>IF($J188="",#N/A,SUM(GN$4:GN188))</f>
        <v>0</v>
      </c>
      <c r="GP188" s="205">
        <f>IF($J188="",#N/A,SUM(GN$4:GN188,GL$4:GL188,GJ$4:GJ188))</f>
        <v>-0.80168930905701452</v>
      </c>
      <c r="GS188" s="54">
        <f t="shared" si="323"/>
        <v>-1.6060780919407547</v>
      </c>
      <c r="GT188" s="54">
        <f>IF(GS188="",NA(),SUM($GS$4:GS188))</f>
        <v>3.9581171969839772</v>
      </c>
      <c r="GU188" s="54" t="str">
        <f t="shared" si="305"/>
        <v/>
      </c>
      <c r="GV188" s="54" t="e">
        <f>IF(GU188="",NA(),SUM($GU$4:GU188))</f>
        <v>#N/A</v>
      </c>
      <c r="GW188" s="54" t="str">
        <f t="shared" si="306"/>
        <v/>
      </c>
      <c r="GX188" s="54" t="e">
        <f>IF(GW188="",NA(),SUM($GW$4:GW188))</f>
        <v>#N/A</v>
      </c>
      <c r="GY188" s="54">
        <f t="shared" si="307"/>
        <v>-1.6060780919407547</v>
      </c>
      <c r="GZ188" s="54">
        <f>IF(GY188="",NA(),SUM($GY$4:GY188))</f>
        <v>2.5967030664073194</v>
      </c>
      <c r="HA188" s="54" t="str">
        <f t="shared" si="308"/>
        <v/>
      </c>
      <c r="HB188" s="54" t="e">
        <f>IF(HA188="",NA(),SUM($HA$4:HA188))</f>
        <v>#N/A</v>
      </c>
      <c r="HC188" s="54" t="str">
        <f t="shared" si="309"/>
        <v/>
      </c>
      <c r="HD188" s="54" t="e">
        <f>IF(HC188="",NA(),SUM($HC$4:HC188))</f>
        <v>#N/A</v>
      </c>
      <c r="HE188" s="54" t="str">
        <f t="shared" si="310"/>
        <v/>
      </c>
      <c r="HF188" s="54" t="e">
        <f>IF(HE188="",NA(),SUM($HE$4:HE188))</f>
        <v>#N/A</v>
      </c>
      <c r="HG188" s="54" t="str">
        <f t="shared" si="311"/>
        <v/>
      </c>
      <c r="HH188" s="54" t="e">
        <f>IF(HG188="",NA(),SUM($HG$4:HG188))</f>
        <v>#N/A</v>
      </c>
      <c r="HI188" s="172" t="str">
        <f t="shared" si="324"/>
        <v/>
      </c>
      <c r="HJ188" s="172">
        <f>IF($J188="",#N/A,SUM(HI$4:$HI188))</f>
        <v>-8.1900937840518608</v>
      </c>
      <c r="HK188" s="54">
        <f t="shared" si="312"/>
        <v>1.2752452394691276</v>
      </c>
      <c r="HL188" s="54">
        <f>IF($J188="",#N/A,SUM($HK$4:HK188))</f>
        <v>-4.4456442959200118</v>
      </c>
      <c r="HM188" s="54" t="str">
        <f t="shared" si="313"/>
        <v/>
      </c>
      <c r="HN188" s="54">
        <f>IF($J188="",#N/A,SUM($HM$4:HM188))</f>
        <v>0.71812545963587882</v>
      </c>
      <c r="HO188" s="54" t="str">
        <f t="shared" si="314"/>
        <v/>
      </c>
      <c r="HP188" s="54">
        <f>IF($J188="",#N/A,SUM($HO$4:HO188))</f>
        <v>-0.14859521910082485</v>
      </c>
      <c r="HQ188" s="54" t="str">
        <f t="shared" si="315"/>
        <v/>
      </c>
      <c r="HR188" s="54">
        <f>IF($J188="",#N/A,SUM($HQ$4:HQ188))</f>
        <v>-10.235468075428956</v>
      </c>
      <c r="HS188" s="54" t="str">
        <f t="shared" si="316"/>
        <v/>
      </c>
      <c r="HT188" s="54">
        <f>IF($J188="",#N/A,SUM($HS$4:HS188))</f>
        <v>12.906575604970143</v>
      </c>
      <c r="HU188" s="65">
        <f t="shared" si="317"/>
        <v>-0.33083285247162708</v>
      </c>
      <c r="HV188" s="65">
        <f>IF($J188="",#N/A,SUM(HU$4:$HU188))</f>
        <v>-2.2502921276927412</v>
      </c>
    </row>
    <row r="189" spans="1:230" x14ac:dyDescent="0.25">
      <c r="A189" s="51" t="s">
        <v>1580</v>
      </c>
      <c r="B189" s="52" t="s">
        <v>4543</v>
      </c>
      <c r="C189" s="229">
        <f t="shared" si="218"/>
        <v>2</v>
      </c>
      <c r="D189" s="219" t="str">
        <f>_xlfn.XLOOKUP(A189,[1]SP500!$A$2:$A$502,[1]SP500!$D$2:$D$502,"N")</f>
        <v>Y</v>
      </c>
      <c r="E189" s="51" t="str">
        <f>IFERROR(_xlfn.XLOOKUP(A189,[1]SP500!$A$2:$A$655,[1]SP500!$B$2:$B$655),"")</f>
        <v>XLY</v>
      </c>
      <c r="F189" s="290">
        <v>45777</v>
      </c>
      <c r="G189" s="51" t="str">
        <f t="shared" si="219"/>
        <v>AMC</v>
      </c>
      <c r="H189" s="51" t="str">
        <f t="shared" si="220"/>
        <v>s</v>
      </c>
      <c r="I189" s="344">
        <v>31.46</v>
      </c>
      <c r="J189" s="124">
        <v>33.04</v>
      </c>
      <c r="K189" s="55">
        <f t="shared" si="221"/>
        <v>5.022250476795926E-2</v>
      </c>
      <c r="L189" s="67">
        <f t="shared" si="222"/>
        <v>-55.299999999999727</v>
      </c>
      <c r="M189" s="57">
        <f t="shared" si="223"/>
        <v>-5.6000000000001364</v>
      </c>
      <c r="N189" s="102">
        <f t="shared" si="224"/>
        <v>-55.299999999999727</v>
      </c>
      <c r="O189" s="57">
        <f>IF(N189="",#N/A,SUM($N$4:N189))</f>
        <v>190.63136410061304</v>
      </c>
      <c r="P189" s="65">
        <f t="shared" si="318"/>
        <v>-0.83704174613265103</v>
      </c>
      <c r="Q189" s="172">
        <f>IF($N189="",#N/A,SUM($P$4:P189))</f>
        <v>6.3077664360702421</v>
      </c>
      <c r="R189" s="279">
        <f t="shared" si="225"/>
        <v>5.3255714867721533</v>
      </c>
      <c r="S189" s="51" t="str">
        <f t="shared" si="226"/>
        <v>Dwn</v>
      </c>
      <c r="T189" s="51" t="s">
        <v>4461</v>
      </c>
      <c r="U189" s="56">
        <f t="shared" si="227"/>
        <v>31.46</v>
      </c>
      <c r="V189" s="56" t="s">
        <v>4458</v>
      </c>
      <c r="W189" s="142">
        <v>35</v>
      </c>
      <c r="X189" s="145">
        <f t="shared" si="228"/>
        <v>1101.1000000000001</v>
      </c>
      <c r="Y189" s="140">
        <f t="shared" si="229"/>
        <v>35</v>
      </c>
      <c r="Z189" s="123">
        <v>33.200000000000003</v>
      </c>
      <c r="AA189" s="102">
        <f t="shared" si="230"/>
        <v>-60.899999999999864</v>
      </c>
      <c r="AB189" s="102">
        <f t="shared" si="231"/>
        <v>21.000000000000227</v>
      </c>
      <c r="AC189" s="124">
        <v>30.86</v>
      </c>
      <c r="AD189" s="155">
        <f t="shared" si="232"/>
        <v>21.000000000000227</v>
      </c>
      <c r="AE189" s="545">
        <f t="shared" si="233"/>
        <v>0.317863954227594</v>
      </c>
      <c r="AF189" s="57">
        <f>IF($AC189="",#N/A,SUM(AD$4:AD189))</f>
        <v>-202.52041200241626</v>
      </c>
      <c r="AG189" s="102">
        <f t="shared" si="234"/>
        <v>76.299999999999955</v>
      </c>
      <c r="AH189" s="56" t="s">
        <v>2507</v>
      </c>
      <c r="AI189" s="65">
        <f t="shared" si="235"/>
        <v>-0.92180546726001067</v>
      </c>
      <c r="AJ189" s="350">
        <f>IF(AI189="",#N/A,SUM($AI$4:AI189))</f>
        <v>0.98219494929808882</v>
      </c>
      <c r="AK189" s="57">
        <f t="shared" si="236"/>
        <v>-60.899999999999864</v>
      </c>
      <c r="AL189" s="349">
        <f>IF(AI189="",#N/A,IF(AH189="Skip",SUM($AK$4:AK189),SUM($AK$4:AK189)))</f>
        <v>-146.18240850718644</v>
      </c>
      <c r="AM189" s="65">
        <f t="shared" si="319"/>
        <v>0.317863954227594</v>
      </c>
      <c r="AN189" s="209"/>
      <c r="AO189" s="65" t="str">
        <f t="shared" si="237"/>
        <v/>
      </c>
      <c r="AP189" s="65">
        <f>IF($AC189="",#N/A,SUM(AO$4:AO189))</f>
        <v>6.9000913718843977</v>
      </c>
      <c r="AQ189" s="65" t="str">
        <f t="shared" si="238"/>
        <v/>
      </c>
      <c r="AR189" s="65">
        <f>IF($AC189="",#N/A,SUM(AQ$4:AQ189))</f>
        <v>-2.6179859771653153</v>
      </c>
      <c r="AS189" s="65">
        <f t="shared" si="239"/>
        <v>0.317863954227594</v>
      </c>
      <c r="AT189" s="65">
        <f>IF($AC189="",#N/A,SUM(AS$4:AS189))</f>
        <v>-6.2145335681842333</v>
      </c>
      <c r="AU189" s="57" t="str">
        <f t="shared" si="320"/>
        <v/>
      </c>
      <c r="AV189" s="57">
        <f>IF($AC189="",#N/A,SUM(AU$4:AU189))</f>
        <v>339.09120645125086</v>
      </c>
      <c r="AW189" s="57" t="str">
        <f t="shared" si="321"/>
        <v/>
      </c>
      <c r="AX189" s="57">
        <f>IF($AC189="",#N/A,SUM(AW$4:AW189))</f>
        <v>-163.1400000000001</v>
      </c>
      <c r="AY189" s="57">
        <f t="shared" si="322"/>
        <v>21.000000000000227</v>
      </c>
      <c r="AZ189" s="57">
        <f>IF($AC189="",#N/A,SUM(AY$4:AY189))</f>
        <v>-378.47161845366702</v>
      </c>
      <c r="BA189" s="57">
        <f>IF(AD189="",#N/A,SUM($AD$4:AD189))</f>
        <v>-202.52041200241626</v>
      </c>
      <c r="BC189" s="51" t="str">
        <f t="shared" si="240"/>
        <v/>
      </c>
      <c r="BD189" s="51">
        <f t="shared" si="241"/>
        <v>1</v>
      </c>
      <c r="BE189" s="51" t="str">
        <f t="shared" si="242"/>
        <v/>
      </c>
      <c r="BF189" s="51" t="str">
        <f t="shared" si="243"/>
        <v>Short</v>
      </c>
      <c r="BG189" s="51" t="str">
        <f t="shared" si="244"/>
        <v/>
      </c>
      <c r="BH189" s="51" t="str">
        <f t="shared" si="245"/>
        <v/>
      </c>
      <c r="BI189" s="51" t="str">
        <f t="shared" si="246"/>
        <v/>
      </c>
      <c r="BK189" s="65">
        <f t="shared" si="326"/>
        <v>0.15271126752281114</v>
      </c>
      <c r="BL189" s="65">
        <f t="shared" si="325"/>
        <v>0.17925453407654321</v>
      </c>
      <c r="BM189" s="65">
        <f>IFERROR(Q189/COUNTA($J$4:J189),#N/A)</f>
        <v>3.3912722774571191E-2</v>
      </c>
      <c r="BO189" s="489" t="e">
        <f>IF(J189="",#N/A,IF(S189="SW",(COUNTIFS(K$4:$K189,"&gt;0",S$4:$S189,"SW")/COUNTIF(S$4:$S189,"SW")),#N/A))</f>
        <v>#N/A</v>
      </c>
      <c r="BP189" s="489">
        <f>IF($J189="",#N/A,IF($S189="DWN",(COUNTIFS($K$4:$K189,"&lt;0",$S$4:$S189,"DWN")/COUNTIF($S$4:$S189,"DWN")),#N/A))</f>
        <v>0.5714285714285714</v>
      </c>
      <c r="BQ189" s="489" t="e">
        <f>IF($J189="",#N/A,IF($S189="UP",(COUNTIFS($K$4:$K189,"&gt;0",$S$4:$S189,"UP")/COUNTIF($S$4:$S189,"UP")),#N/A))</f>
        <v>#N/A</v>
      </c>
      <c r="BR189" s="489">
        <f>IF(J189="",#N/A,COUNTIF($K$4:K189,"&gt;0")/COUNT($J$4:J189))</f>
        <v>0.46236559139784944</v>
      </c>
      <c r="BS189" s="65" t="str">
        <f t="shared" si="247"/>
        <v/>
      </c>
      <c r="BT189" s="65" t="str">
        <f t="shared" si="248"/>
        <v/>
      </c>
      <c r="BU189" s="65" t="str">
        <f t="shared" si="249"/>
        <v/>
      </c>
      <c r="BV189" s="65">
        <f t="shared" si="250"/>
        <v>-0.83704174613265103</v>
      </c>
      <c r="BW189" s="128" t="str">
        <f t="shared" si="251"/>
        <v/>
      </c>
      <c r="BX189" s="128">
        <f>IF($J189="",#N/A,SUM($BW$4:BW189))</f>
        <v>-205.1650000000003</v>
      </c>
      <c r="BY189" s="131">
        <f t="shared" si="252"/>
        <v>-55.299999999999727</v>
      </c>
      <c r="BZ189" s="131">
        <f>IF($J189="",#N/A,SUM($BY$4:BY189))</f>
        <v>278.37434038933407</v>
      </c>
      <c r="CA189" s="133" t="str">
        <f t="shared" si="253"/>
        <v/>
      </c>
      <c r="CB189" s="133">
        <f>IF($J189="",#N/A,SUM($CA$4:CA189))</f>
        <v>117.42202371127931</v>
      </c>
      <c r="CC189" s="194" t="str">
        <f t="shared" si="254"/>
        <v/>
      </c>
      <c r="CD189" s="194">
        <f>IF($J189="",#N/A,SUM($CC$4:CC189))</f>
        <v>-3.1875162177003693</v>
      </c>
      <c r="CE189" s="195">
        <f t="shared" si="255"/>
        <v>-0.83704174613265103</v>
      </c>
      <c r="CF189" s="195">
        <f>IF($J189="",#N/A,SUM($CE$4:CE189))</f>
        <v>5.2662988114274008</v>
      </c>
      <c r="CG189" s="196" t="str">
        <f t="shared" si="256"/>
        <v/>
      </c>
      <c r="CH189" s="196">
        <f>IF($J189="",#N/A,SUM($CG$4:CG189))</f>
        <v>4.228983842343216</v>
      </c>
      <c r="CI189" s="200" t="str">
        <f t="shared" si="257"/>
        <v/>
      </c>
      <c r="CJ189" s="203">
        <f>IF($J189="",#N/A,SUM(CI$4:CI189))</f>
        <v>0</v>
      </c>
      <c r="CK189" s="204" t="str">
        <f t="shared" si="258"/>
        <v/>
      </c>
      <c r="CL189" s="204">
        <f>IF($J189="",#N/A,SUM(CK$4:CK189))</f>
        <v>1.9927003554442289</v>
      </c>
      <c r="CM189" s="205" t="str">
        <f t="shared" si="259"/>
        <v/>
      </c>
      <c r="CN189" s="205">
        <f>IF($J189="",#N/A,SUM(CM$4:CM189))</f>
        <v>5.6091171609382364</v>
      </c>
      <c r="CO189" s="205">
        <f>IF($J189="",#N/A,SUM(CM$4:CM189,CK$4:CK189,CI$4:CI189))</f>
        <v>7.6018175163824644</v>
      </c>
      <c r="CP189" s="200" t="str">
        <f t="shared" si="260"/>
        <v/>
      </c>
      <c r="CQ189" s="203">
        <f>IF($J189="",#N/A,SUM(CP$4:CP189))</f>
        <v>0</v>
      </c>
      <c r="CR189" s="204" t="str">
        <f t="shared" si="261"/>
        <v/>
      </c>
      <c r="CS189" s="204">
        <f>IF($J189="",#N/A,SUM(CR$4:CR189))</f>
        <v>2.420242024202421</v>
      </c>
      <c r="CT189" s="205" t="str">
        <f t="shared" si="262"/>
        <v/>
      </c>
      <c r="CU189" s="205">
        <f>IF($J189="",#N/A,SUM(CT$4:CT189))</f>
        <v>-1.1331655471946371</v>
      </c>
      <c r="CV189" s="205">
        <f>IF($J189="",#N/A,SUM(CT$4:CT189,CR$4:CR189,CP$4:CP189))</f>
        <v>1.2870764770077838</v>
      </c>
      <c r="CW189" s="200" t="str">
        <f t="shared" si="263"/>
        <v/>
      </c>
      <c r="CX189" s="203">
        <f>IF($J189="",#N/A,SUM(CW$4:CW189))</f>
        <v>0</v>
      </c>
      <c r="CY189" s="204">
        <f t="shared" si="264"/>
        <v>-0.83704174613265103</v>
      </c>
      <c r="CZ189" s="204">
        <f>IF($J189="",#N/A,SUM(CY$4:CY189))</f>
        <v>-1.0974100761627814</v>
      </c>
      <c r="DA189" s="205" t="str">
        <f t="shared" si="265"/>
        <v/>
      </c>
      <c r="DB189" s="205">
        <f>IF($J189="",#N/A,SUM(DA$4:DA189))</f>
        <v>-2.730105678753044</v>
      </c>
      <c r="DC189" s="205">
        <f>IF($J189="",#N/A,SUM(DA$4:DA189,CY$4:CY189,CW$4:CW189))</f>
        <v>-3.827515754915825</v>
      </c>
      <c r="DD189" s="200" t="str">
        <f t="shared" si="266"/>
        <v/>
      </c>
      <c r="DE189" s="203">
        <f>IF($J189="",#N/A,SUM(DD$4:DD189))</f>
        <v>0.14968716170674062</v>
      </c>
      <c r="DF189" s="204" t="str">
        <f t="shared" si="267"/>
        <v/>
      </c>
      <c r="DG189" s="204">
        <f>IF($J189="",#N/A,SUM(DF$4:DF189))</f>
        <v>1.2121188689979676</v>
      </c>
      <c r="DH189" s="205" t="str">
        <f t="shared" si="268"/>
        <v/>
      </c>
      <c r="DI189" s="205">
        <f>IF($J189="",#N/A,SUM(DH$4:DH189))</f>
        <v>-0.8404015973735236</v>
      </c>
      <c r="DJ189" s="205">
        <f>IF($J189="",#N/A,SUM(DH$4:DH189,DF$4:DF189,DD$4:DD189))</f>
        <v>0.52140443333118447</v>
      </c>
      <c r="DK189" s="200" t="str">
        <f t="shared" si="269"/>
        <v/>
      </c>
      <c r="DL189" s="203">
        <f>IF($J189="",#N/A,SUM(DK$4:DK189))</f>
        <v>-1.2097286851272664</v>
      </c>
      <c r="DM189" s="204" t="str">
        <f t="shared" si="270"/>
        <v/>
      </c>
      <c r="DN189" s="204">
        <f>IF($J189="",#N/A,SUM(DM$4:DM189))</f>
        <v>1.1910608267574658</v>
      </c>
      <c r="DO189" s="205" t="str">
        <f t="shared" si="271"/>
        <v/>
      </c>
      <c r="DP189" s="205">
        <f>IF($J189="",#N/A,SUM(DO$4:DO189))</f>
        <v>2.6571865116636566</v>
      </c>
      <c r="DQ189" s="205">
        <f>IF($J189="",#N/A,SUM(DO$4:DO189,DM$4:DM189,DK$4:DK189))</f>
        <v>2.6385186532938567</v>
      </c>
      <c r="DR189" s="200" t="str">
        <f t="shared" si="272"/>
        <v/>
      </c>
      <c r="DS189" s="203">
        <f>IF($J189="",#N/A,SUM(DR$4:DR189))</f>
        <v>-0.55950946427675097</v>
      </c>
      <c r="DT189" s="204" t="str">
        <f t="shared" si="273"/>
        <v/>
      </c>
      <c r="DU189" s="204">
        <f>IF($J189="",#N/A,SUM(DT$4:DT189))</f>
        <v>-3.5029740333397914</v>
      </c>
      <c r="DV189" s="205" t="str">
        <f t="shared" si="274"/>
        <v/>
      </c>
      <c r="DW189" s="205">
        <f>IF($J189="",#N/A,SUM(DV$4:DV189))</f>
        <v>-1.8527424265931112</v>
      </c>
      <c r="DX189" s="205">
        <f>IF($J189="",#N/A,SUM(DV$4:DV189,DT$4:DT189,DR$4:DR189))</f>
        <v>-5.9152259242096532</v>
      </c>
      <c r="DY189" s="200" t="str">
        <f t="shared" si="275"/>
        <v/>
      </c>
      <c r="DZ189" s="203">
        <f>IF($J189="",#N/A,SUM(DY$4:DY189))</f>
        <v>-1.63480022183437</v>
      </c>
      <c r="EA189" s="204" t="str">
        <f t="shared" si="276"/>
        <v/>
      </c>
      <c r="EB189" s="204">
        <f>IF($J189="",#N/A,SUM(EA$4:EA189))</f>
        <v>0.5578066706208582</v>
      </c>
      <c r="EC189" s="205" t="str">
        <f t="shared" si="277"/>
        <v/>
      </c>
      <c r="ED189" s="205">
        <f>IF($J189="",#N/A,SUM(EC$4:EC189))</f>
        <v>2.4515280577205139</v>
      </c>
      <c r="EE189" s="205">
        <f>IF($J189="",#N/A,SUM(EC$4:EC189,EA$4:EA189,DY$4:DY189))</f>
        <v>1.3745345065070016</v>
      </c>
      <c r="EF189" s="200" t="str">
        <f t="shared" si="278"/>
        <v/>
      </c>
      <c r="EG189" s="203">
        <f>IF($J189="",#N/A,SUM(EF$4:EF189))</f>
        <v>0</v>
      </c>
      <c r="EH189" s="204" t="str">
        <f t="shared" si="279"/>
        <v/>
      </c>
      <c r="EI189" s="204">
        <f>IF($J189="",#N/A,SUM(EH$4:EH189))</f>
        <v>-2.7245005604557937</v>
      </c>
      <c r="EJ189" s="205" t="str">
        <f t="shared" si="280"/>
        <v/>
      </c>
      <c r="EK189" s="205">
        <f>IF($J189="",#N/A,SUM(EJ$4:EJ189))</f>
        <v>2.804966392787259</v>
      </c>
      <c r="EL189" s="205">
        <f>IF($J189="",#N/A,SUM(EJ$4:EJ189,EH$4:EH189,EF$4:EF189))</f>
        <v>8.0465832331466203E-2</v>
      </c>
      <c r="EM189" s="200" t="str">
        <f t="shared" si="281"/>
        <v/>
      </c>
      <c r="EN189" s="203">
        <f>IF($J189="",#N/A,SUM(EM$4:EM189))</f>
        <v>0</v>
      </c>
      <c r="EO189" s="204" t="str">
        <f t="shared" si="282"/>
        <v/>
      </c>
      <c r="EP189" s="204">
        <f>IF($J189="",#N/A,SUM(EO$4:EO189))</f>
        <v>3.0466900999385675</v>
      </c>
      <c r="EQ189" s="205" t="str">
        <f t="shared" si="283"/>
        <v/>
      </c>
      <c r="ER189" s="205">
        <f>IF($J189="",#N/A,SUM(EQ$4:EQ189))</f>
        <v>2.0221833315059508</v>
      </c>
      <c r="ES189" s="205">
        <f>IF($J189="",#N/A,SUM(EQ$4:EQ189,EO$4:EO189,EM$4:EM189))</f>
        <v>5.0688734314445174</v>
      </c>
      <c r="ET189" s="200" t="str">
        <f t="shared" si="284"/>
        <v/>
      </c>
      <c r="EU189" s="203">
        <f>IF($J189="",#N/A,SUM(ET$4:ET189))</f>
        <v>0</v>
      </c>
      <c r="EV189" s="204" t="str">
        <f t="shared" si="285"/>
        <v/>
      </c>
      <c r="EW189" s="204">
        <f>IF($J189="",#N/A,SUM(EV$4:EV189))</f>
        <v>0.90459527759708336</v>
      </c>
      <c r="EX189" s="205" t="str">
        <f t="shared" si="286"/>
        <v/>
      </c>
      <c r="EY189" s="205">
        <f>IF($J189="",#N/A,SUM(EX$4:EX189))</f>
        <v>0.22957553748493481</v>
      </c>
      <c r="EZ189" s="205">
        <f>IF($J189="",#N/A,SUM(EX$4:EX189,EV$4:EV189,ET$4:ET189))</f>
        <v>1.134170815082018</v>
      </c>
      <c r="FA189" s="200" t="str">
        <f t="shared" si="287"/>
        <v/>
      </c>
      <c r="FB189" s="203">
        <f>IF($J189="",#N/A,SUM(FA$4:FA189))</f>
        <v>0</v>
      </c>
      <c r="FC189" s="204" t="str">
        <f t="shared" si="288"/>
        <v/>
      </c>
      <c r="FD189" s="204">
        <f>IF($J189="",#N/A,SUM(FC$4:FC189))</f>
        <v>1.6839191319663924</v>
      </c>
      <c r="FE189" s="205" t="str">
        <f t="shared" si="289"/>
        <v/>
      </c>
      <c r="FF189" s="205">
        <f>IF($J189="",#N/A,SUM(FE$4:FE189))</f>
        <v>-0.28811149078748233</v>
      </c>
      <c r="FG189" s="205">
        <f>IF($J189="",#N/A,SUM(FE$4:FE189,FC$4:FC189,FA$4:FA189))</f>
        <v>1.3958076411789102</v>
      </c>
      <c r="FH189" s="200" t="str">
        <f t="shared" si="290"/>
        <v/>
      </c>
      <c r="FI189" s="203">
        <f>IF($J189="",#N/A,SUM(FH$4:FH189))</f>
        <v>0</v>
      </c>
      <c r="FJ189" s="204" t="str">
        <f t="shared" si="291"/>
        <v/>
      </c>
      <c r="FK189" s="204">
        <f>IF($J189="",#N/A,SUM(FJ$4:FJ189))</f>
        <v>0</v>
      </c>
      <c r="FL189" s="205" t="str">
        <f t="shared" si="292"/>
        <v/>
      </c>
      <c r="FM189" s="205">
        <f>IF($J189="",#N/A,SUM(FL$4:FL189))</f>
        <v>0</v>
      </c>
      <c r="FN189" s="205">
        <f>IF($J189="",#N/A,SUM(FL$4:FL189,FJ$4:FJ189,FH$4:FH189))</f>
        <v>0</v>
      </c>
      <c r="FO189" s="200" t="str">
        <f t="shared" si="293"/>
        <v/>
      </c>
      <c r="FP189" s="203">
        <f>IF($J189="",#N/A,SUM(FO$4:FO189))</f>
        <v>0</v>
      </c>
      <c r="FQ189" s="204" t="str">
        <f t="shared" si="294"/>
        <v/>
      </c>
      <c r="FR189" s="204">
        <f>IF($J189="",#N/A,SUM(FQ$4:FQ189))</f>
        <v>0</v>
      </c>
      <c r="FS189" s="205" t="str">
        <f t="shared" si="295"/>
        <v/>
      </c>
      <c r="FT189" s="205">
        <f>IF($J189="",#N/A,SUM(FS$4:FS189))</f>
        <v>0</v>
      </c>
      <c r="FU189" s="205">
        <f>IF($J189="",#N/A,SUM(FS$4:FS189,FQ$4:FQ189,FO$4:FO189))</f>
        <v>0</v>
      </c>
      <c r="FV189" s="200" t="str">
        <f t="shared" si="296"/>
        <v/>
      </c>
      <c r="FW189" s="203">
        <f>IF($J189="",#N/A,SUM(FV$4:FV189))</f>
        <v>6.6834991831277585E-2</v>
      </c>
      <c r="FX189" s="204" t="str">
        <f t="shared" si="297"/>
        <v/>
      </c>
      <c r="FY189" s="204">
        <f>IF($J189="",#N/A,SUM(FX$4:FX189))</f>
        <v>5.6794210235938045E-2</v>
      </c>
      <c r="FZ189" s="205" t="str">
        <f t="shared" si="298"/>
        <v/>
      </c>
      <c r="GA189" s="205">
        <f>IF($J189="",#N/A,SUM(FZ$4:FZ189))</f>
        <v>-1.7642101813332194</v>
      </c>
      <c r="GB189" s="205">
        <f>IF($J189="",#N/A,SUM(FZ$4:FZ189,FX$4:FX189,FV$4:FV189))</f>
        <v>-1.6405809792660038</v>
      </c>
      <c r="GC189" s="200" t="str">
        <f t="shared" si="299"/>
        <v/>
      </c>
      <c r="GD189" s="203">
        <f>IF($J189="",#N/A,SUM(GC$4:GC189))</f>
        <v>0</v>
      </c>
      <c r="GE189" s="204" t="str">
        <f t="shared" si="300"/>
        <v/>
      </c>
      <c r="GF189" s="204">
        <f>IF($J189="",#N/A,SUM(GE$4:GE189))</f>
        <v>0</v>
      </c>
      <c r="GG189" s="205" t="str">
        <f t="shared" si="301"/>
        <v/>
      </c>
      <c r="GH189" s="205">
        <f>IF($J189="",#N/A,SUM(GG$4:GG189))</f>
        <v>-2.9368362277223206</v>
      </c>
      <c r="GI189" s="205">
        <f>IF($J189="",#N/A,SUM(GG$4:GG189,GE$4:GE189,GC$4:GC189))</f>
        <v>-2.9368362277223206</v>
      </c>
      <c r="GJ189" s="200" t="str">
        <f t="shared" si="302"/>
        <v/>
      </c>
      <c r="GK189" s="203">
        <f>IF($J189="",#N/A,SUM(GJ$4:GJ189))</f>
        <v>0</v>
      </c>
      <c r="GL189" s="204" t="str">
        <f t="shared" si="303"/>
        <v/>
      </c>
      <c r="GM189" s="204">
        <f>IF($J189="",#N/A,SUM(GL$4:GL189))</f>
        <v>-0.80168930905701452</v>
      </c>
      <c r="GN189" s="205" t="str">
        <f t="shared" si="304"/>
        <v/>
      </c>
      <c r="GO189" s="205">
        <f>IF($J189="",#N/A,SUM(GN$4:GN189))</f>
        <v>0</v>
      </c>
      <c r="GP189" s="205">
        <f>IF($J189="",#N/A,SUM(GN$4:GN189,GL$4:GL189,GJ$4:GJ189))</f>
        <v>-0.80168930905701452</v>
      </c>
      <c r="GS189" s="54">
        <f t="shared" si="323"/>
        <v>-0.83704174613265103</v>
      </c>
      <c r="GT189" s="54">
        <f>IF(GS189="",NA(),SUM($GS$4:GS189))</f>
        <v>3.1210754508513263</v>
      </c>
      <c r="GU189" s="54" t="str">
        <f t="shared" si="305"/>
        <v/>
      </c>
      <c r="GV189" s="54" t="e">
        <f>IF(GU189="",NA(),SUM($GU$4:GU189))</f>
        <v>#N/A</v>
      </c>
      <c r="GW189" s="54" t="str">
        <f t="shared" si="306"/>
        <v/>
      </c>
      <c r="GX189" s="54" t="e">
        <f>IF(GW189="",NA(),SUM($GW$4:GW189))</f>
        <v>#N/A</v>
      </c>
      <c r="GY189" s="54">
        <f t="shared" si="307"/>
        <v>-0.83704174613265103</v>
      </c>
      <c r="GZ189" s="54">
        <f>IF(GY189="",NA(),SUM($GY$4:GY189))</f>
        <v>1.7596613202746685</v>
      </c>
      <c r="HA189" s="54" t="str">
        <f t="shared" si="308"/>
        <v/>
      </c>
      <c r="HB189" s="54" t="e">
        <f>IF(HA189="",NA(),SUM($HA$4:HA189))</f>
        <v>#N/A</v>
      </c>
      <c r="HC189" s="54" t="str">
        <f t="shared" si="309"/>
        <v/>
      </c>
      <c r="HD189" s="54" t="e">
        <f>IF(HC189="",NA(),SUM($HC$4:HC189))</f>
        <v>#N/A</v>
      </c>
      <c r="HE189" s="54" t="str">
        <f t="shared" si="310"/>
        <v/>
      </c>
      <c r="HF189" s="54" t="e">
        <f>IF(HE189="",NA(),SUM($HE$4:HE189))</f>
        <v>#N/A</v>
      </c>
      <c r="HG189" s="54" t="str">
        <f t="shared" si="311"/>
        <v/>
      </c>
      <c r="HH189" s="54" t="e">
        <f>IF(HG189="",NA(),SUM($HG$4:HG189))</f>
        <v>#N/A</v>
      </c>
      <c r="HI189" s="172" t="str">
        <f t="shared" si="324"/>
        <v/>
      </c>
      <c r="HJ189" s="172">
        <f>IF($J189="",#N/A,SUM(HI$4:$HI189))</f>
        <v>-8.1900937840518608</v>
      </c>
      <c r="HK189" s="54">
        <f t="shared" si="312"/>
        <v>1.154905700360245</v>
      </c>
      <c r="HL189" s="54">
        <f>IF($J189="",#N/A,SUM($HK$4:HK189))</f>
        <v>-3.290738595559767</v>
      </c>
      <c r="HM189" s="54" t="str">
        <f t="shared" si="313"/>
        <v/>
      </c>
      <c r="HN189" s="54">
        <f>IF($J189="",#N/A,SUM($HM$4:HM189))</f>
        <v>0.71812545963587882</v>
      </c>
      <c r="HO189" s="54" t="str">
        <f t="shared" si="314"/>
        <v/>
      </c>
      <c r="HP189" s="54">
        <f>IF($J189="",#N/A,SUM($HO$4:HO189))</f>
        <v>-0.14859521910082485</v>
      </c>
      <c r="HQ189" s="54" t="str">
        <f t="shared" si="315"/>
        <v/>
      </c>
      <c r="HR189" s="54">
        <f>IF($J189="",#N/A,SUM($HQ$4:HQ189))</f>
        <v>-10.235468075428956</v>
      </c>
      <c r="HS189" s="54" t="str">
        <f t="shared" si="316"/>
        <v/>
      </c>
      <c r="HT189" s="54">
        <f>IF($J189="",#N/A,SUM($HS$4:HS189))</f>
        <v>12.906575604970143</v>
      </c>
      <c r="HU189" s="65">
        <f t="shared" si="317"/>
        <v>0.317863954227594</v>
      </c>
      <c r="HV189" s="65">
        <f>IF($J189="",#N/A,SUM(HU$4:$HU189))</f>
        <v>-1.9324281734651472</v>
      </c>
    </row>
    <row r="190" spans="1:230" x14ac:dyDescent="0.25">
      <c r="A190" s="396" t="s">
        <v>441</v>
      </c>
      <c r="B190" s="52" t="s">
        <v>4543</v>
      </c>
      <c r="C190" s="229">
        <f t="shared" si="218"/>
        <v>2</v>
      </c>
      <c r="D190" s="219" t="str">
        <f>_xlfn.XLOOKUP(A190,[1]SP500!$A$2:$A$502,[1]SP500!$D$2:$D$502,"N")</f>
        <v>N</v>
      </c>
      <c r="E190" s="51" t="str">
        <f>IFERROR(_xlfn.XLOOKUP(A190,[1]SP500!$A$2:$A$655,[1]SP500!$B$2:$B$655),"")</f>
        <v>IGV</v>
      </c>
      <c r="F190" s="290">
        <v>45777</v>
      </c>
      <c r="G190" s="51" t="str">
        <f t="shared" si="219"/>
        <v>AMC</v>
      </c>
      <c r="H190" s="51" t="str">
        <f t="shared" si="220"/>
        <v>s</v>
      </c>
      <c r="I190" s="344">
        <v>22.74</v>
      </c>
      <c r="J190" s="124">
        <v>22.87</v>
      </c>
      <c r="K190" s="55">
        <f t="shared" si="221"/>
        <v>5.7167985927881514E-3</v>
      </c>
      <c r="L190" s="67">
        <f t="shared" si="222"/>
        <v>-6.5</v>
      </c>
      <c r="M190" s="57">
        <f t="shared" si="223"/>
        <v>6</v>
      </c>
      <c r="N190" s="102">
        <f t="shared" si="224"/>
        <v>-6.5</v>
      </c>
      <c r="O190" s="57">
        <f>IF(N190="",#N/A,SUM($N$4:N190))</f>
        <v>184.13136410061304</v>
      </c>
      <c r="P190" s="65">
        <f t="shared" si="318"/>
        <v>-9.5279976546467318E-2</v>
      </c>
      <c r="Q190" s="172">
        <f>IF($N190="",#N/A,SUM($P$4:P190))</f>
        <v>6.2124864595237748</v>
      </c>
      <c r="R190" s="279">
        <f t="shared" si="225"/>
        <v>5.237620739190799</v>
      </c>
      <c r="S190" s="51" t="str">
        <f t="shared" si="226"/>
        <v>Dwn</v>
      </c>
      <c r="T190" s="51" t="s">
        <v>4461</v>
      </c>
      <c r="U190" s="56">
        <f t="shared" si="227"/>
        <v>22.74</v>
      </c>
      <c r="V190" s="56" t="s">
        <v>4458</v>
      </c>
      <c r="W190" s="142">
        <v>50</v>
      </c>
      <c r="X190" s="145">
        <f t="shared" si="228"/>
        <v>1137</v>
      </c>
      <c r="Y190" s="140">
        <f t="shared" si="229"/>
        <v>50</v>
      </c>
      <c r="Z190" s="123">
        <v>22.75</v>
      </c>
      <c r="AA190" s="102">
        <f t="shared" si="230"/>
        <v>-0.5</v>
      </c>
      <c r="AB190" s="102">
        <f t="shared" si="231"/>
        <v>-8.5</v>
      </c>
      <c r="AC190" s="124">
        <v>22.91</v>
      </c>
      <c r="AD190" s="155">
        <f t="shared" si="232"/>
        <v>-8.5</v>
      </c>
      <c r="AE190" s="545">
        <f t="shared" si="233"/>
        <v>-0.12459689240691879</v>
      </c>
      <c r="AF190" s="57">
        <f>IF($AC190="",#N/A,SUM(AD$4:AD190))</f>
        <v>-211.02041200241626</v>
      </c>
      <c r="AG190" s="102">
        <f t="shared" si="234"/>
        <v>-2</v>
      </c>
      <c r="AH190" s="56" t="s">
        <v>2507</v>
      </c>
      <c r="AI190" s="65">
        <f t="shared" si="235"/>
        <v>-7.32922896511287E-3</v>
      </c>
      <c r="AJ190" s="350">
        <f>IF(AI190="",#N/A,SUM($AI$4:AI190))</f>
        <v>0.97486572033297592</v>
      </c>
      <c r="AK190" s="57">
        <f t="shared" si="236"/>
        <v>-0.5</v>
      </c>
      <c r="AL190" s="349">
        <f>IF(AI190="",#N/A,IF(AH190="Skip",SUM($AK$4:AK190),SUM($AK$4:AK190)))</f>
        <v>-146.68240850718644</v>
      </c>
      <c r="AM190" s="65">
        <f t="shared" si="319"/>
        <v>-0.12459689240691879</v>
      </c>
      <c r="AN190" s="209"/>
      <c r="AO190" s="65" t="str">
        <f t="shared" si="237"/>
        <v/>
      </c>
      <c r="AP190" s="65">
        <f>IF($AC190="",#N/A,SUM(AO$4:AO190))</f>
        <v>6.9000913718843977</v>
      </c>
      <c r="AQ190" s="65" t="str">
        <f t="shared" si="238"/>
        <v/>
      </c>
      <c r="AR190" s="65">
        <f>IF($AC190="",#N/A,SUM(AQ$4:AQ190))</f>
        <v>-2.6179859771653153</v>
      </c>
      <c r="AS190" s="65">
        <f t="shared" si="239"/>
        <v>-0.12459689240691879</v>
      </c>
      <c r="AT190" s="65">
        <f>IF($AC190="",#N/A,SUM(AS$4:AS190))</f>
        <v>-6.3391304605911518</v>
      </c>
      <c r="AU190" s="57" t="str">
        <f t="shared" si="320"/>
        <v/>
      </c>
      <c r="AV190" s="57">
        <f>IF($AC190="",#N/A,SUM(AU$4:AU190))</f>
        <v>339.09120645125086</v>
      </c>
      <c r="AW190" s="57" t="str">
        <f t="shared" si="321"/>
        <v/>
      </c>
      <c r="AX190" s="57">
        <f>IF($AC190="",#N/A,SUM(AW$4:AW190))</f>
        <v>-163.1400000000001</v>
      </c>
      <c r="AY190" s="57">
        <f t="shared" si="322"/>
        <v>-8.5</v>
      </c>
      <c r="AZ190" s="57">
        <f>IF($AC190="",#N/A,SUM(AY$4:AY190))</f>
        <v>-386.97161845366702</v>
      </c>
      <c r="BA190" s="57">
        <f>IF(AD190="",#N/A,SUM($AD$4:AD190))</f>
        <v>-211.02041200241626</v>
      </c>
      <c r="BC190" s="51" t="str">
        <f t="shared" si="240"/>
        <v/>
      </c>
      <c r="BD190" s="51">
        <f t="shared" si="241"/>
        <v>1</v>
      </c>
      <c r="BE190" s="51" t="str">
        <f t="shared" si="242"/>
        <v/>
      </c>
      <c r="BF190" s="51" t="str">
        <f t="shared" si="243"/>
        <v>Short</v>
      </c>
      <c r="BG190" s="51" t="str">
        <f t="shared" si="244"/>
        <v/>
      </c>
      <c r="BH190" s="51" t="str">
        <f t="shared" si="245"/>
        <v/>
      </c>
      <c r="BI190" s="51" t="str">
        <f t="shared" si="246"/>
        <v/>
      </c>
      <c r="BK190" s="65">
        <f t="shared" si="326"/>
        <v>0.15762241771978461</v>
      </c>
      <c r="BL190" s="65">
        <f t="shared" si="325"/>
        <v>0.16236552202741023</v>
      </c>
      <c r="BM190" s="65">
        <f>IFERROR(Q190/COUNTA($J$4:J190),#N/A)</f>
        <v>3.3221852724726067E-2</v>
      </c>
      <c r="BO190" s="489" t="e">
        <f>IF(J190="",#N/A,IF(S190="SW",(COUNTIFS(K$4:$K190,"&gt;0",S$4:$S190,"SW")/COUNTIF(S$4:$S190,"SW")),#N/A))</f>
        <v>#N/A</v>
      </c>
      <c r="BP190" s="489">
        <f>IF($J190="",#N/A,IF($S190="DWN",(COUNTIFS($K$4:$K190,"&lt;0",$S$4:$S190,"DWN")/COUNTIF($S$4:$S190,"DWN")),#N/A))</f>
        <v>0.5641025641025641</v>
      </c>
      <c r="BQ190" s="489" t="e">
        <f>IF($J190="",#N/A,IF($S190="UP",(COUNTIFS($K$4:$K190,"&gt;0",$S$4:$S190,"UP")/COUNTIF($S$4:$S190,"UP")),#N/A))</f>
        <v>#N/A</v>
      </c>
      <c r="BR190" s="489">
        <f>IF(J190="",#N/A,COUNTIF($K$4:K190,"&gt;0")/COUNT($J$4:J190))</f>
        <v>0.46524064171122997</v>
      </c>
      <c r="BS190" s="65" t="str">
        <f t="shared" si="247"/>
        <v/>
      </c>
      <c r="BT190" s="65" t="str">
        <f t="shared" si="248"/>
        <v/>
      </c>
      <c r="BU190" s="65" t="str">
        <f t="shared" si="249"/>
        <v/>
      </c>
      <c r="BV190" s="65">
        <f t="shared" si="250"/>
        <v>-9.5279976546467318E-2</v>
      </c>
      <c r="BW190" s="128" t="str">
        <f t="shared" si="251"/>
        <v/>
      </c>
      <c r="BX190" s="128">
        <f>IF($J190="",#N/A,SUM($BW$4:BW190))</f>
        <v>-205.1650000000003</v>
      </c>
      <c r="BY190" s="131">
        <f t="shared" si="252"/>
        <v>-6.5</v>
      </c>
      <c r="BZ190" s="131">
        <f>IF($J190="",#N/A,SUM($BY$4:BY190))</f>
        <v>271.87434038933407</v>
      </c>
      <c r="CA190" s="133" t="str">
        <f t="shared" si="253"/>
        <v/>
      </c>
      <c r="CB190" s="133">
        <f>IF($J190="",#N/A,SUM($CA$4:CA190))</f>
        <v>117.42202371127931</v>
      </c>
      <c r="CC190" s="194" t="str">
        <f t="shared" si="254"/>
        <v/>
      </c>
      <c r="CD190" s="194">
        <f>IF($J190="",#N/A,SUM($CC$4:CC190))</f>
        <v>-3.1875162177003693</v>
      </c>
      <c r="CE190" s="195">
        <f t="shared" si="255"/>
        <v>-9.5279976546467318E-2</v>
      </c>
      <c r="CF190" s="195">
        <f>IF($J190="",#N/A,SUM($CE$4:CE190))</f>
        <v>5.1710188348809334</v>
      </c>
      <c r="CG190" s="196" t="str">
        <f t="shared" si="256"/>
        <v/>
      </c>
      <c r="CH190" s="196">
        <f>IF($J190="",#N/A,SUM($CG$4:CG190))</f>
        <v>4.228983842343216</v>
      </c>
      <c r="CI190" s="200" t="str">
        <f t="shared" si="257"/>
        <v/>
      </c>
      <c r="CJ190" s="203">
        <f>IF($J190="",#N/A,SUM(CI$4:CI190))</f>
        <v>0</v>
      </c>
      <c r="CK190" s="204" t="str">
        <f t="shared" si="258"/>
        <v/>
      </c>
      <c r="CL190" s="204">
        <f>IF($J190="",#N/A,SUM(CK$4:CK190))</f>
        <v>1.9927003554442289</v>
      </c>
      <c r="CM190" s="205" t="str">
        <f t="shared" si="259"/>
        <v/>
      </c>
      <c r="CN190" s="205">
        <f>IF($J190="",#N/A,SUM(CM$4:CM190))</f>
        <v>5.6091171609382364</v>
      </c>
      <c r="CO190" s="205">
        <f>IF($J190="",#N/A,SUM(CM$4:CM190,CK$4:CK190,CI$4:CI190))</f>
        <v>7.6018175163824644</v>
      </c>
      <c r="CP190" s="200" t="str">
        <f t="shared" si="260"/>
        <v/>
      </c>
      <c r="CQ190" s="203">
        <f>IF($J190="",#N/A,SUM(CP$4:CP190))</f>
        <v>0</v>
      </c>
      <c r="CR190" s="204">
        <f t="shared" si="261"/>
        <v>-9.5279976546467318E-2</v>
      </c>
      <c r="CS190" s="204">
        <f>IF($J190="",#N/A,SUM(CR$4:CR190))</f>
        <v>2.3249620476559536</v>
      </c>
      <c r="CT190" s="205" t="str">
        <f t="shared" si="262"/>
        <v/>
      </c>
      <c r="CU190" s="205">
        <f>IF($J190="",#N/A,SUM(CT$4:CT190))</f>
        <v>-1.1331655471946371</v>
      </c>
      <c r="CV190" s="205">
        <f>IF($J190="",#N/A,SUM(CT$4:CT190,CR$4:CR190,CP$4:CP190))</f>
        <v>1.1917965004613165</v>
      </c>
      <c r="CW190" s="200" t="str">
        <f t="shared" si="263"/>
        <v/>
      </c>
      <c r="CX190" s="203">
        <f>IF($J190="",#N/A,SUM(CW$4:CW190))</f>
        <v>0</v>
      </c>
      <c r="CY190" s="204" t="str">
        <f t="shared" si="264"/>
        <v/>
      </c>
      <c r="CZ190" s="204">
        <f>IF($J190="",#N/A,SUM(CY$4:CY190))</f>
        <v>-1.0974100761627814</v>
      </c>
      <c r="DA190" s="205" t="str">
        <f t="shared" si="265"/>
        <v/>
      </c>
      <c r="DB190" s="205">
        <f>IF($J190="",#N/A,SUM(DA$4:DA190))</f>
        <v>-2.730105678753044</v>
      </c>
      <c r="DC190" s="205">
        <f>IF($J190="",#N/A,SUM(DA$4:DA190,CY$4:CY190,CW$4:CW190))</f>
        <v>-3.827515754915825</v>
      </c>
      <c r="DD190" s="200" t="str">
        <f t="shared" si="266"/>
        <v/>
      </c>
      <c r="DE190" s="203">
        <f>IF($J190="",#N/A,SUM(DD$4:DD190))</f>
        <v>0.14968716170674062</v>
      </c>
      <c r="DF190" s="204" t="str">
        <f t="shared" si="267"/>
        <v/>
      </c>
      <c r="DG190" s="204">
        <f>IF($J190="",#N/A,SUM(DF$4:DF190))</f>
        <v>1.2121188689979676</v>
      </c>
      <c r="DH190" s="205" t="str">
        <f t="shared" si="268"/>
        <v/>
      </c>
      <c r="DI190" s="205">
        <f>IF($J190="",#N/A,SUM(DH$4:DH190))</f>
        <v>-0.8404015973735236</v>
      </c>
      <c r="DJ190" s="205">
        <f>IF($J190="",#N/A,SUM(DH$4:DH190,DF$4:DF190,DD$4:DD190))</f>
        <v>0.52140443333118447</v>
      </c>
      <c r="DK190" s="200" t="str">
        <f t="shared" si="269"/>
        <v/>
      </c>
      <c r="DL190" s="203">
        <f>IF($J190="",#N/A,SUM(DK$4:DK190))</f>
        <v>-1.2097286851272664</v>
      </c>
      <c r="DM190" s="204" t="str">
        <f t="shared" si="270"/>
        <v/>
      </c>
      <c r="DN190" s="204">
        <f>IF($J190="",#N/A,SUM(DM$4:DM190))</f>
        <v>1.1910608267574658</v>
      </c>
      <c r="DO190" s="205" t="str">
        <f t="shared" si="271"/>
        <v/>
      </c>
      <c r="DP190" s="205">
        <f>IF($J190="",#N/A,SUM(DO$4:DO190))</f>
        <v>2.6571865116636566</v>
      </c>
      <c r="DQ190" s="205">
        <f>IF($J190="",#N/A,SUM(DO$4:DO190,DM$4:DM190,DK$4:DK190))</f>
        <v>2.6385186532938567</v>
      </c>
      <c r="DR190" s="200" t="str">
        <f t="shared" si="272"/>
        <v/>
      </c>
      <c r="DS190" s="203">
        <f>IF($J190="",#N/A,SUM(DR$4:DR190))</f>
        <v>-0.55950946427675097</v>
      </c>
      <c r="DT190" s="204" t="str">
        <f t="shared" si="273"/>
        <v/>
      </c>
      <c r="DU190" s="204">
        <f>IF($J190="",#N/A,SUM(DT$4:DT190))</f>
        <v>-3.5029740333397914</v>
      </c>
      <c r="DV190" s="205" t="str">
        <f t="shared" si="274"/>
        <v/>
      </c>
      <c r="DW190" s="205">
        <f>IF($J190="",#N/A,SUM(DV$4:DV190))</f>
        <v>-1.8527424265931112</v>
      </c>
      <c r="DX190" s="205">
        <f>IF($J190="",#N/A,SUM(DV$4:DV190,DT$4:DT190,DR$4:DR190))</f>
        <v>-5.9152259242096532</v>
      </c>
      <c r="DY190" s="200" t="str">
        <f t="shared" si="275"/>
        <v/>
      </c>
      <c r="DZ190" s="203">
        <f>IF($J190="",#N/A,SUM(DY$4:DY190))</f>
        <v>-1.63480022183437</v>
      </c>
      <c r="EA190" s="204" t="str">
        <f t="shared" si="276"/>
        <v/>
      </c>
      <c r="EB190" s="204">
        <f>IF($J190="",#N/A,SUM(EA$4:EA190))</f>
        <v>0.5578066706208582</v>
      </c>
      <c r="EC190" s="205" t="str">
        <f t="shared" si="277"/>
        <v/>
      </c>
      <c r="ED190" s="205">
        <f>IF($J190="",#N/A,SUM(EC$4:EC190))</f>
        <v>2.4515280577205139</v>
      </c>
      <c r="EE190" s="205">
        <f>IF($J190="",#N/A,SUM(EC$4:EC190,EA$4:EA190,DY$4:DY190))</f>
        <v>1.3745345065070016</v>
      </c>
      <c r="EF190" s="200" t="str">
        <f t="shared" si="278"/>
        <v/>
      </c>
      <c r="EG190" s="203">
        <f>IF($J190="",#N/A,SUM(EF$4:EF190))</f>
        <v>0</v>
      </c>
      <c r="EH190" s="204" t="str">
        <f t="shared" si="279"/>
        <v/>
      </c>
      <c r="EI190" s="204">
        <f>IF($J190="",#N/A,SUM(EH$4:EH190))</f>
        <v>-2.7245005604557937</v>
      </c>
      <c r="EJ190" s="205" t="str">
        <f t="shared" si="280"/>
        <v/>
      </c>
      <c r="EK190" s="205">
        <f>IF($J190="",#N/A,SUM(EJ$4:EJ190))</f>
        <v>2.804966392787259</v>
      </c>
      <c r="EL190" s="205">
        <f>IF($J190="",#N/A,SUM(EJ$4:EJ190,EH$4:EH190,EF$4:EF190))</f>
        <v>8.0465832331466203E-2</v>
      </c>
      <c r="EM190" s="200" t="str">
        <f t="shared" si="281"/>
        <v/>
      </c>
      <c r="EN190" s="203">
        <f>IF($J190="",#N/A,SUM(EM$4:EM190))</f>
        <v>0</v>
      </c>
      <c r="EO190" s="204" t="str">
        <f t="shared" si="282"/>
        <v/>
      </c>
      <c r="EP190" s="204">
        <f>IF($J190="",#N/A,SUM(EO$4:EO190))</f>
        <v>3.0466900999385675</v>
      </c>
      <c r="EQ190" s="205" t="str">
        <f t="shared" si="283"/>
        <v/>
      </c>
      <c r="ER190" s="205">
        <f>IF($J190="",#N/A,SUM(EQ$4:EQ190))</f>
        <v>2.0221833315059508</v>
      </c>
      <c r="ES190" s="205">
        <f>IF($J190="",#N/A,SUM(EQ$4:EQ190,EO$4:EO190,EM$4:EM190))</f>
        <v>5.0688734314445174</v>
      </c>
      <c r="ET190" s="200" t="str">
        <f t="shared" si="284"/>
        <v/>
      </c>
      <c r="EU190" s="203">
        <f>IF($J190="",#N/A,SUM(ET$4:ET190))</f>
        <v>0</v>
      </c>
      <c r="EV190" s="204" t="str">
        <f t="shared" si="285"/>
        <v/>
      </c>
      <c r="EW190" s="204">
        <f>IF($J190="",#N/A,SUM(EV$4:EV190))</f>
        <v>0.90459527759708336</v>
      </c>
      <c r="EX190" s="205" t="str">
        <f t="shared" si="286"/>
        <v/>
      </c>
      <c r="EY190" s="205">
        <f>IF($J190="",#N/A,SUM(EX$4:EX190))</f>
        <v>0.22957553748493481</v>
      </c>
      <c r="EZ190" s="205">
        <f>IF($J190="",#N/A,SUM(EX$4:EX190,EV$4:EV190,ET$4:ET190))</f>
        <v>1.134170815082018</v>
      </c>
      <c r="FA190" s="200" t="str">
        <f t="shared" si="287"/>
        <v/>
      </c>
      <c r="FB190" s="203">
        <f>IF($J190="",#N/A,SUM(FA$4:FA190))</f>
        <v>0</v>
      </c>
      <c r="FC190" s="204" t="str">
        <f t="shared" si="288"/>
        <v/>
      </c>
      <c r="FD190" s="204">
        <f>IF($J190="",#N/A,SUM(FC$4:FC190))</f>
        <v>1.6839191319663924</v>
      </c>
      <c r="FE190" s="205" t="str">
        <f t="shared" si="289"/>
        <v/>
      </c>
      <c r="FF190" s="205">
        <f>IF($J190="",#N/A,SUM(FE$4:FE190))</f>
        <v>-0.28811149078748233</v>
      </c>
      <c r="FG190" s="205">
        <f>IF($J190="",#N/A,SUM(FE$4:FE190,FC$4:FC190,FA$4:FA190))</f>
        <v>1.3958076411789102</v>
      </c>
      <c r="FH190" s="200" t="str">
        <f t="shared" si="290"/>
        <v/>
      </c>
      <c r="FI190" s="203">
        <f>IF($J190="",#N/A,SUM(FH$4:FH190))</f>
        <v>0</v>
      </c>
      <c r="FJ190" s="204" t="str">
        <f t="shared" si="291"/>
        <v/>
      </c>
      <c r="FK190" s="204">
        <f>IF($J190="",#N/A,SUM(FJ$4:FJ190))</f>
        <v>0</v>
      </c>
      <c r="FL190" s="205" t="str">
        <f t="shared" si="292"/>
        <v/>
      </c>
      <c r="FM190" s="205">
        <f>IF($J190="",#N/A,SUM(FL$4:FL190))</f>
        <v>0</v>
      </c>
      <c r="FN190" s="205">
        <f>IF($J190="",#N/A,SUM(FL$4:FL190,FJ$4:FJ190,FH$4:FH190))</f>
        <v>0</v>
      </c>
      <c r="FO190" s="200" t="str">
        <f t="shared" si="293"/>
        <v/>
      </c>
      <c r="FP190" s="203">
        <f>IF($J190="",#N/A,SUM(FO$4:FO190))</f>
        <v>0</v>
      </c>
      <c r="FQ190" s="204" t="str">
        <f t="shared" si="294"/>
        <v/>
      </c>
      <c r="FR190" s="204">
        <f>IF($J190="",#N/A,SUM(FQ$4:FQ190))</f>
        <v>0</v>
      </c>
      <c r="FS190" s="205" t="str">
        <f t="shared" si="295"/>
        <v/>
      </c>
      <c r="FT190" s="205">
        <f>IF($J190="",#N/A,SUM(FS$4:FS190))</f>
        <v>0</v>
      </c>
      <c r="FU190" s="205">
        <f>IF($J190="",#N/A,SUM(FS$4:FS190,FQ$4:FQ190,FO$4:FO190))</f>
        <v>0</v>
      </c>
      <c r="FV190" s="200" t="str">
        <f t="shared" si="296"/>
        <v/>
      </c>
      <c r="FW190" s="203">
        <f>IF($J190="",#N/A,SUM(FV$4:FV190))</f>
        <v>6.6834991831277585E-2</v>
      </c>
      <c r="FX190" s="204" t="str">
        <f t="shared" si="297"/>
        <v/>
      </c>
      <c r="FY190" s="204">
        <f>IF($J190="",#N/A,SUM(FX$4:FX190))</f>
        <v>5.6794210235938045E-2</v>
      </c>
      <c r="FZ190" s="205" t="str">
        <f t="shared" si="298"/>
        <v/>
      </c>
      <c r="GA190" s="205">
        <f>IF($J190="",#N/A,SUM(FZ$4:FZ190))</f>
        <v>-1.7642101813332194</v>
      </c>
      <c r="GB190" s="205">
        <f>IF($J190="",#N/A,SUM(FZ$4:FZ190,FX$4:FX190,FV$4:FV190))</f>
        <v>-1.6405809792660038</v>
      </c>
      <c r="GC190" s="200" t="str">
        <f t="shared" si="299"/>
        <v/>
      </c>
      <c r="GD190" s="203">
        <f>IF($J190="",#N/A,SUM(GC$4:GC190))</f>
        <v>0</v>
      </c>
      <c r="GE190" s="204" t="str">
        <f t="shared" si="300"/>
        <v/>
      </c>
      <c r="GF190" s="204">
        <f>IF($J190="",#N/A,SUM(GE$4:GE190))</f>
        <v>0</v>
      </c>
      <c r="GG190" s="205" t="str">
        <f t="shared" si="301"/>
        <v/>
      </c>
      <c r="GH190" s="205">
        <f>IF($J190="",#N/A,SUM(GG$4:GG190))</f>
        <v>-2.9368362277223206</v>
      </c>
      <c r="GI190" s="205">
        <f>IF($J190="",#N/A,SUM(GG$4:GG190,GE$4:GE190,GC$4:GC190))</f>
        <v>-2.9368362277223206</v>
      </c>
      <c r="GJ190" s="200" t="str">
        <f t="shared" si="302"/>
        <v/>
      </c>
      <c r="GK190" s="203">
        <f>IF($J190="",#N/A,SUM(GJ$4:GJ190))</f>
        <v>0</v>
      </c>
      <c r="GL190" s="204" t="str">
        <f t="shared" si="303"/>
        <v/>
      </c>
      <c r="GM190" s="204">
        <f>IF($J190="",#N/A,SUM(GL$4:GL190))</f>
        <v>-0.80168930905701452</v>
      </c>
      <c r="GN190" s="205" t="str">
        <f t="shared" si="304"/>
        <v/>
      </c>
      <c r="GO190" s="205">
        <f>IF($J190="",#N/A,SUM(GN$4:GN190))</f>
        <v>0</v>
      </c>
      <c r="GP190" s="205">
        <f>IF($J190="",#N/A,SUM(GN$4:GN190,GL$4:GL190,GJ$4:GJ190))</f>
        <v>-0.80168930905701452</v>
      </c>
      <c r="GS190" s="54" t="str">
        <f t="shared" si="323"/>
        <v/>
      </c>
      <c r="GT190" s="54" t="e">
        <f>IF(GS190="",NA(),SUM($GS$4:GS190))</f>
        <v>#N/A</v>
      </c>
      <c r="GU190" s="54" t="str">
        <f t="shared" si="305"/>
        <v/>
      </c>
      <c r="GV190" s="54" t="e">
        <f>IF(GU190="",NA(),SUM($GU$4:GU190))</f>
        <v>#N/A</v>
      </c>
      <c r="GW190" s="54" t="str">
        <f t="shared" si="306"/>
        <v/>
      </c>
      <c r="GX190" s="54" t="e">
        <f>IF(GW190="",NA(),SUM($GW$4:GW190))</f>
        <v>#N/A</v>
      </c>
      <c r="GY190" s="54" t="str">
        <f t="shared" si="307"/>
        <v/>
      </c>
      <c r="GZ190" s="54" t="e">
        <f>IF(GY190="",NA(),SUM($GY$4:GY190))</f>
        <v>#N/A</v>
      </c>
      <c r="HA190" s="54">
        <f t="shared" si="308"/>
        <v>-9.5279976546467318E-2</v>
      </c>
      <c r="HB190" s="54">
        <f>IF(HA190="",NA(),SUM($HA$4:HA190))</f>
        <v>3.0914110086724493</v>
      </c>
      <c r="HC190" s="54" t="str">
        <f t="shared" si="309"/>
        <v/>
      </c>
      <c r="HD190" s="54" t="e">
        <f>IF(HC190="",NA(),SUM($HC$4:HC190))</f>
        <v>#N/A</v>
      </c>
      <c r="HE190" s="54" t="str">
        <f t="shared" si="310"/>
        <v/>
      </c>
      <c r="HF190" s="54" t="e">
        <f>IF(HE190="",NA(),SUM($HE$4:HE190))</f>
        <v>#N/A</v>
      </c>
      <c r="HG190" s="54">
        <f t="shared" si="311"/>
        <v>-9.5279976546467318E-2</v>
      </c>
      <c r="HH190" s="54">
        <f>IF(HG190="",NA(),SUM($HG$4:HG190))</f>
        <v>3.4113575146062645</v>
      </c>
      <c r="HI190" s="172" t="str">
        <f t="shared" si="324"/>
        <v/>
      </c>
      <c r="HJ190" s="172">
        <f>IF($J190="",#N/A,SUM(HI$4:$HI190))</f>
        <v>-8.1900937840518608</v>
      </c>
      <c r="HK190" s="54">
        <f t="shared" si="312"/>
        <v>-2.9316915860451473E-2</v>
      </c>
      <c r="HL190" s="54">
        <f>IF($J190="",#N/A,SUM($HK$4:HK190))</f>
        <v>-3.3200555114202186</v>
      </c>
      <c r="HM190" s="54" t="str">
        <f t="shared" si="313"/>
        <v/>
      </c>
      <c r="HN190" s="54">
        <f>IF($J190="",#N/A,SUM($HM$4:HM190))</f>
        <v>0.71812545963587882</v>
      </c>
      <c r="HO190" s="54" t="str">
        <f t="shared" si="314"/>
        <v/>
      </c>
      <c r="HP190" s="54">
        <f>IF($J190="",#N/A,SUM($HO$4:HO190))</f>
        <v>-0.14859521910082485</v>
      </c>
      <c r="HQ190" s="54" t="str">
        <f t="shared" si="315"/>
        <v/>
      </c>
      <c r="HR190" s="54">
        <f>IF($J190="",#N/A,SUM($HQ$4:HQ190))</f>
        <v>-10.235468075428956</v>
      </c>
      <c r="HS190" s="54" t="str">
        <f t="shared" si="316"/>
        <v/>
      </c>
      <c r="HT190" s="54">
        <f>IF($J190="",#N/A,SUM($HS$4:HS190))</f>
        <v>12.906575604970143</v>
      </c>
      <c r="HU190" s="65">
        <f t="shared" si="317"/>
        <v>-0.12459689240691879</v>
      </c>
      <c r="HV190" s="65">
        <f>IF($J190="",#N/A,SUM(HU$4:$HU190))</f>
        <v>-2.0570250658720659</v>
      </c>
    </row>
    <row r="191" spans="1:230" x14ac:dyDescent="0.25">
      <c r="A191" s="51" t="s">
        <v>1469</v>
      </c>
      <c r="B191" s="52" t="s">
        <v>4543</v>
      </c>
      <c r="C191" s="229">
        <f t="shared" si="218"/>
        <v>3</v>
      </c>
      <c r="D191" s="219" t="str">
        <f>_xlfn.XLOOKUP(A191,[1]SP500!$A$2:$A$502,[1]SP500!$D$2:$D$502,"N")</f>
        <v>Y</v>
      </c>
      <c r="E191" s="51" t="str">
        <f>IFERROR(_xlfn.XLOOKUP(A191,[1]SP500!$A$2:$A$655,[1]SP500!$B$2:$B$655),"")</f>
        <v>XLY</v>
      </c>
      <c r="F191" s="290">
        <v>45777</v>
      </c>
      <c r="G191" s="51" t="str">
        <f t="shared" si="219"/>
        <v>AMC</v>
      </c>
      <c r="H191" s="51" t="str">
        <f t="shared" si="220"/>
        <v>s</v>
      </c>
      <c r="I191" s="344">
        <v>68.16</v>
      </c>
      <c r="J191" s="124">
        <v>70.05</v>
      </c>
      <c r="K191" s="55">
        <f t="shared" si="221"/>
        <v>2.7728873239436628E-2</v>
      </c>
      <c r="L191" s="67">
        <f t="shared" si="222"/>
        <v>30.240000000000009</v>
      </c>
      <c r="M191" s="57">
        <f t="shared" si="223"/>
        <v>-0.79999999999995453</v>
      </c>
      <c r="N191" s="102">
        <f t="shared" si="224"/>
        <v>30.240000000000009</v>
      </c>
      <c r="O191" s="57">
        <f>IF(N191="",#N/A,SUM($N$4:N191))</f>
        <v>214.37136410061305</v>
      </c>
      <c r="P191" s="65">
        <f t="shared" si="318"/>
        <v>0.4621478873239438</v>
      </c>
      <c r="Q191" s="172">
        <f>IF($N191="",#N/A,SUM($P$4:P191))</f>
        <v>6.6746343468477187</v>
      </c>
      <c r="R191" s="279">
        <f t="shared" si="225"/>
        <v>5.2498468737760877</v>
      </c>
      <c r="S191" s="51" t="str">
        <f t="shared" si="226"/>
        <v>SW</v>
      </c>
      <c r="T191" s="51" t="s">
        <v>2828</v>
      </c>
      <c r="U191" s="56">
        <f t="shared" si="227"/>
        <v>68.16</v>
      </c>
      <c r="V191" s="56" t="s">
        <v>4460</v>
      </c>
      <c r="W191" s="142">
        <v>16</v>
      </c>
      <c r="X191" s="145">
        <f t="shared" si="228"/>
        <v>1090.56</v>
      </c>
      <c r="Y191" s="140">
        <f t="shared" si="229"/>
        <v>16</v>
      </c>
      <c r="Z191" s="123">
        <v>70</v>
      </c>
      <c r="AA191" s="102">
        <f t="shared" si="230"/>
        <v>29.440000000000055</v>
      </c>
      <c r="AB191" s="102">
        <f t="shared" si="231"/>
        <v>-7.8399999999999181</v>
      </c>
      <c r="AC191" s="124">
        <v>67.67</v>
      </c>
      <c r="AD191" s="155">
        <f t="shared" si="232"/>
        <v>-7.8399999999999181</v>
      </c>
      <c r="AE191" s="545">
        <f t="shared" si="233"/>
        <v>-0.11981611893583599</v>
      </c>
      <c r="AF191" s="57">
        <f>IF($AC191="",#N/A,SUM(AD$4:AD191))</f>
        <v>-218.86041200241618</v>
      </c>
      <c r="AG191" s="102">
        <f t="shared" si="234"/>
        <v>-38.079999999999927</v>
      </c>
      <c r="AH191" s="56" t="s">
        <v>2507</v>
      </c>
      <c r="AI191" s="65">
        <f t="shared" si="235"/>
        <v>0.44992175273865498</v>
      </c>
      <c r="AJ191" s="350">
        <f>IF(AI191="",#N/A,SUM($AI$4:AI191))</f>
        <v>1.424787473071631</v>
      </c>
      <c r="AK191" s="57">
        <f t="shared" si="236"/>
        <v>29.440000000000055</v>
      </c>
      <c r="AL191" s="349">
        <f>IF(AI191="",#N/A,IF(AH191="Skip",SUM($AK$4:AK191),SUM($AK$4:AK191)))</f>
        <v>-117.24240850718638</v>
      </c>
      <c r="AM191" s="65">
        <f t="shared" si="319"/>
        <v>-0.11981611893583599</v>
      </c>
      <c r="AN191" s="209"/>
      <c r="AO191" s="65">
        <f t="shared" si="237"/>
        <v>-0.11981611893583599</v>
      </c>
      <c r="AP191" s="65">
        <f>IF($AC191="",#N/A,SUM(AO$4:AO191))</f>
        <v>6.7802752529485613</v>
      </c>
      <c r="AQ191" s="65" t="str">
        <f t="shared" si="238"/>
        <v/>
      </c>
      <c r="AR191" s="65">
        <f>IF($AC191="",#N/A,SUM(AQ$4:AQ191))</f>
        <v>-2.6179859771653153</v>
      </c>
      <c r="AS191" s="65" t="str">
        <f t="shared" si="239"/>
        <v/>
      </c>
      <c r="AT191" s="65">
        <f>IF($AC191="",#N/A,SUM(AS$4:AS191))</f>
        <v>-6.3391304605911518</v>
      </c>
      <c r="AU191" s="57">
        <f t="shared" si="320"/>
        <v>-7.8399999999999181</v>
      </c>
      <c r="AV191" s="57">
        <f>IF($AC191="",#N/A,SUM(AU$4:AU191))</f>
        <v>331.25120645125094</v>
      </c>
      <c r="AW191" s="57" t="str">
        <f t="shared" si="321"/>
        <v/>
      </c>
      <c r="AX191" s="57">
        <f>IF($AC191="",#N/A,SUM(AW$4:AW191))</f>
        <v>-163.1400000000001</v>
      </c>
      <c r="AY191" s="57" t="str">
        <f t="shared" si="322"/>
        <v/>
      </c>
      <c r="AZ191" s="57">
        <f>IF($AC191="",#N/A,SUM(AY$4:AY191))</f>
        <v>-386.97161845366702</v>
      </c>
      <c r="BA191" s="57">
        <f>IF(AD191="",#N/A,SUM($AD$4:AD191))</f>
        <v>-218.86041200241618</v>
      </c>
      <c r="BC191" s="51" t="str">
        <f t="shared" si="240"/>
        <v/>
      </c>
      <c r="BD191" s="51" t="str">
        <f t="shared" si="241"/>
        <v/>
      </c>
      <c r="BE191" s="51">
        <f t="shared" si="242"/>
        <v>1</v>
      </c>
      <c r="BF191" s="51" t="str">
        <f t="shared" si="243"/>
        <v>Long</v>
      </c>
      <c r="BG191" s="51" t="str">
        <f t="shared" si="244"/>
        <v/>
      </c>
      <c r="BH191" s="51" t="str">
        <f t="shared" si="245"/>
        <v/>
      </c>
      <c r="BI191" s="51" t="str">
        <f t="shared" si="246"/>
        <v/>
      </c>
      <c r="BK191" s="65">
        <f t="shared" si="326"/>
        <v>0.16368388595071756</v>
      </c>
      <c r="BL191" s="65">
        <f t="shared" si="325"/>
        <v>0.21958440978362098</v>
      </c>
      <c r="BM191" s="65">
        <f>IFERROR(Q191/COUNTA($J$4:J191),#N/A)</f>
        <v>3.5503374185360204E-2</v>
      </c>
      <c r="BO191" s="489">
        <f>IF(J191="",#N/A,IF(S191="SW",(COUNTIFS(K$4:$K191,"&gt;0",S$4:$S191,"SW")/COUNTIF(S$4:$S191,"SW")),#N/A))</f>
        <v>0.5</v>
      </c>
      <c r="BP191" s="489" t="e">
        <f>IF($J191="",#N/A,IF($S191="DWN",(COUNTIFS($K$4:$K191,"&lt;0",$S$4:$S191,"DWN")/COUNTIF($S$4:$S191,"DWN")),#N/A))</f>
        <v>#N/A</v>
      </c>
      <c r="BQ191" s="489" t="e">
        <f>IF($J191="",#N/A,IF($S191="UP",(COUNTIFS($K$4:$K191,"&gt;0",$S$4:$S191,"UP")/COUNTIF($S$4:$S191,"UP")),#N/A))</f>
        <v>#N/A</v>
      </c>
      <c r="BR191" s="489">
        <f>IF(J191="",#N/A,COUNTIF($K$4:K191,"&gt;0")/COUNT($J$4:J191))</f>
        <v>0.46808510638297873</v>
      </c>
      <c r="BS191" s="65">
        <f t="shared" si="247"/>
        <v>0.4621478873239438</v>
      </c>
      <c r="BT191" s="65" t="str">
        <f t="shared" si="248"/>
        <v/>
      </c>
      <c r="BU191" s="65" t="str">
        <f t="shared" si="249"/>
        <v/>
      </c>
      <c r="BV191" s="65" t="str">
        <f t="shared" si="250"/>
        <v/>
      </c>
      <c r="BW191" s="128" t="str">
        <f t="shared" si="251"/>
        <v/>
      </c>
      <c r="BX191" s="128">
        <f>IF($J191="",#N/A,SUM($BW$4:BW191))</f>
        <v>-205.1650000000003</v>
      </c>
      <c r="BY191" s="131" t="str">
        <f t="shared" si="252"/>
        <v/>
      </c>
      <c r="BZ191" s="131">
        <f>IF($J191="",#N/A,SUM($BY$4:BY191))</f>
        <v>271.87434038933407</v>
      </c>
      <c r="CA191" s="133">
        <f t="shared" si="253"/>
        <v>30.240000000000009</v>
      </c>
      <c r="CB191" s="133">
        <f>IF($J191="",#N/A,SUM($CA$4:CA191))</f>
        <v>147.66202371127932</v>
      </c>
      <c r="CC191" s="194" t="str">
        <f t="shared" si="254"/>
        <v/>
      </c>
      <c r="CD191" s="194">
        <f>IF($J191="",#N/A,SUM($CC$4:CC191))</f>
        <v>-3.1875162177003693</v>
      </c>
      <c r="CE191" s="195" t="str">
        <f t="shared" si="255"/>
        <v/>
      </c>
      <c r="CF191" s="195">
        <f>IF($J191="",#N/A,SUM($CE$4:CE191))</f>
        <v>5.1710188348809334</v>
      </c>
      <c r="CG191" s="196">
        <f t="shared" si="256"/>
        <v>0.4621478873239438</v>
      </c>
      <c r="CH191" s="196">
        <f>IF($J191="",#N/A,SUM($CG$4:CG191))</f>
        <v>4.69113172966716</v>
      </c>
      <c r="CI191" s="200" t="str">
        <f t="shared" si="257"/>
        <v/>
      </c>
      <c r="CJ191" s="203">
        <f>IF($J191="",#N/A,SUM(CI$4:CI191))</f>
        <v>0</v>
      </c>
      <c r="CK191" s="204" t="str">
        <f t="shared" si="258"/>
        <v/>
      </c>
      <c r="CL191" s="204">
        <f>IF($J191="",#N/A,SUM(CK$4:CK191))</f>
        <v>1.9927003554442289</v>
      </c>
      <c r="CM191" s="205" t="str">
        <f t="shared" si="259"/>
        <v/>
      </c>
      <c r="CN191" s="205">
        <f>IF($J191="",#N/A,SUM(CM$4:CM191))</f>
        <v>5.6091171609382364</v>
      </c>
      <c r="CO191" s="205">
        <f>IF($J191="",#N/A,SUM(CM$4:CM191,CK$4:CK191,CI$4:CI191))</f>
        <v>7.6018175163824644</v>
      </c>
      <c r="CP191" s="200" t="str">
        <f t="shared" si="260"/>
        <v/>
      </c>
      <c r="CQ191" s="203">
        <f>IF($J191="",#N/A,SUM(CP$4:CP191))</f>
        <v>0</v>
      </c>
      <c r="CR191" s="204" t="str">
        <f t="shared" si="261"/>
        <v/>
      </c>
      <c r="CS191" s="204">
        <f>IF($J191="",#N/A,SUM(CR$4:CR191))</f>
        <v>2.3249620476559536</v>
      </c>
      <c r="CT191" s="205" t="str">
        <f t="shared" si="262"/>
        <v/>
      </c>
      <c r="CU191" s="205">
        <f>IF($J191="",#N/A,SUM(CT$4:CT191))</f>
        <v>-1.1331655471946371</v>
      </c>
      <c r="CV191" s="205">
        <f>IF($J191="",#N/A,SUM(CT$4:CT191,CR$4:CR191,CP$4:CP191))</f>
        <v>1.1917965004613165</v>
      </c>
      <c r="CW191" s="200" t="str">
        <f t="shared" si="263"/>
        <v/>
      </c>
      <c r="CX191" s="203">
        <f>IF($J191="",#N/A,SUM(CW$4:CW191))</f>
        <v>0</v>
      </c>
      <c r="CY191" s="204" t="str">
        <f t="shared" si="264"/>
        <v/>
      </c>
      <c r="CZ191" s="204">
        <f>IF($J191="",#N/A,SUM(CY$4:CY191))</f>
        <v>-1.0974100761627814</v>
      </c>
      <c r="DA191" s="205">
        <f t="shared" si="265"/>
        <v>0.4621478873239438</v>
      </c>
      <c r="DB191" s="205">
        <f>IF($J191="",#N/A,SUM(DA$4:DA191))</f>
        <v>-2.2679577914291</v>
      </c>
      <c r="DC191" s="205">
        <f>IF($J191="",#N/A,SUM(DA$4:DA191,CY$4:CY191,CW$4:CW191))</f>
        <v>-3.365367867591881</v>
      </c>
      <c r="DD191" s="200" t="str">
        <f t="shared" si="266"/>
        <v/>
      </c>
      <c r="DE191" s="203">
        <f>IF($J191="",#N/A,SUM(DD$4:DD191))</f>
        <v>0.14968716170674062</v>
      </c>
      <c r="DF191" s="204" t="str">
        <f t="shared" si="267"/>
        <v/>
      </c>
      <c r="DG191" s="204">
        <f>IF($J191="",#N/A,SUM(DF$4:DF191))</f>
        <v>1.2121188689979676</v>
      </c>
      <c r="DH191" s="205" t="str">
        <f t="shared" si="268"/>
        <v/>
      </c>
      <c r="DI191" s="205">
        <f>IF($J191="",#N/A,SUM(DH$4:DH191))</f>
        <v>-0.8404015973735236</v>
      </c>
      <c r="DJ191" s="205">
        <f>IF($J191="",#N/A,SUM(DH$4:DH191,DF$4:DF191,DD$4:DD191))</f>
        <v>0.52140443333118447</v>
      </c>
      <c r="DK191" s="200" t="str">
        <f t="shared" si="269"/>
        <v/>
      </c>
      <c r="DL191" s="203">
        <f>IF($J191="",#N/A,SUM(DK$4:DK191))</f>
        <v>-1.2097286851272664</v>
      </c>
      <c r="DM191" s="204" t="str">
        <f t="shared" si="270"/>
        <v/>
      </c>
      <c r="DN191" s="204">
        <f>IF($J191="",#N/A,SUM(DM$4:DM191))</f>
        <v>1.1910608267574658</v>
      </c>
      <c r="DO191" s="205" t="str">
        <f t="shared" si="271"/>
        <v/>
      </c>
      <c r="DP191" s="205">
        <f>IF($J191="",#N/A,SUM(DO$4:DO191))</f>
        <v>2.6571865116636566</v>
      </c>
      <c r="DQ191" s="205">
        <f>IF($J191="",#N/A,SUM(DO$4:DO191,DM$4:DM191,DK$4:DK191))</f>
        <v>2.6385186532938567</v>
      </c>
      <c r="DR191" s="200" t="str">
        <f t="shared" si="272"/>
        <v/>
      </c>
      <c r="DS191" s="203">
        <f>IF($J191="",#N/A,SUM(DR$4:DR191))</f>
        <v>-0.55950946427675097</v>
      </c>
      <c r="DT191" s="204" t="str">
        <f t="shared" si="273"/>
        <v/>
      </c>
      <c r="DU191" s="204">
        <f>IF($J191="",#N/A,SUM(DT$4:DT191))</f>
        <v>-3.5029740333397914</v>
      </c>
      <c r="DV191" s="205" t="str">
        <f t="shared" si="274"/>
        <v/>
      </c>
      <c r="DW191" s="205">
        <f>IF($J191="",#N/A,SUM(DV$4:DV191))</f>
        <v>-1.8527424265931112</v>
      </c>
      <c r="DX191" s="205">
        <f>IF($J191="",#N/A,SUM(DV$4:DV191,DT$4:DT191,DR$4:DR191))</f>
        <v>-5.9152259242096532</v>
      </c>
      <c r="DY191" s="200" t="str">
        <f t="shared" si="275"/>
        <v/>
      </c>
      <c r="DZ191" s="203">
        <f>IF($J191="",#N/A,SUM(DY$4:DY191))</f>
        <v>-1.63480022183437</v>
      </c>
      <c r="EA191" s="204" t="str">
        <f t="shared" si="276"/>
        <v/>
      </c>
      <c r="EB191" s="204">
        <f>IF($J191="",#N/A,SUM(EA$4:EA191))</f>
        <v>0.5578066706208582</v>
      </c>
      <c r="EC191" s="205" t="str">
        <f t="shared" si="277"/>
        <v/>
      </c>
      <c r="ED191" s="205">
        <f>IF($J191="",#N/A,SUM(EC$4:EC191))</f>
        <v>2.4515280577205139</v>
      </c>
      <c r="EE191" s="205">
        <f>IF($J191="",#N/A,SUM(EC$4:EC191,EA$4:EA191,DY$4:DY191))</f>
        <v>1.3745345065070016</v>
      </c>
      <c r="EF191" s="200" t="str">
        <f t="shared" si="278"/>
        <v/>
      </c>
      <c r="EG191" s="203">
        <f>IF($J191="",#N/A,SUM(EF$4:EF191))</f>
        <v>0</v>
      </c>
      <c r="EH191" s="204" t="str">
        <f t="shared" si="279"/>
        <v/>
      </c>
      <c r="EI191" s="204">
        <f>IF($J191="",#N/A,SUM(EH$4:EH191))</f>
        <v>-2.7245005604557937</v>
      </c>
      <c r="EJ191" s="205" t="str">
        <f t="shared" si="280"/>
        <v/>
      </c>
      <c r="EK191" s="205">
        <f>IF($J191="",#N/A,SUM(EJ$4:EJ191))</f>
        <v>2.804966392787259</v>
      </c>
      <c r="EL191" s="205">
        <f>IF($J191="",#N/A,SUM(EJ$4:EJ191,EH$4:EH191,EF$4:EF191))</f>
        <v>8.0465832331466203E-2</v>
      </c>
      <c r="EM191" s="200" t="str">
        <f t="shared" si="281"/>
        <v/>
      </c>
      <c r="EN191" s="203">
        <f>IF($J191="",#N/A,SUM(EM$4:EM191))</f>
        <v>0</v>
      </c>
      <c r="EO191" s="204" t="str">
        <f t="shared" si="282"/>
        <v/>
      </c>
      <c r="EP191" s="204">
        <f>IF($J191="",#N/A,SUM(EO$4:EO191))</f>
        <v>3.0466900999385675</v>
      </c>
      <c r="EQ191" s="205" t="str">
        <f t="shared" si="283"/>
        <v/>
      </c>
      <c r="ER191" s="205">
        <f>IF($J191="",#N/A,SUM(EQ$4:EQ191))</f>
        <v>2.0221833315059508</v>
      </c>
      <c r="ES191" s="205">
        <f>IF($J191="",#N/A,SUM(EQ$4:EQ191,EO$4:EO191,EM$4:EM191))</f>
        <v>5.0688734314445174</v>
      </c>
      <c r="ET191" s="200" t="str">
        <f t="shared" si="284"/>
        <v/>
      </c>
      <c r="EU191" s="203">
        <f>IF($J191="",#N/A,SUM(ET$4:ET191))</f>
        <v>0</v>
      </c>
      <c r="EV191" s="204" t="str">
        <f t="shared" si="285"/>
        <v/>
      </c>
      <c r="EW191" s="204">
        <f>IF($J191="",#N/A,SUM(EV$4:EV191))</f>
        <v>0.90459527759708336</v>
      </c>
      <c r="EX191" s="205" t="str">
        <f t="shared" si="286"/>
        <v/>
      </c>
      <c r="EY191" s="205">
        <f>IF($J191="",#N/A,SUM(EX$4:EX191))</f>
        <v>0.22957553748493481</v>
      </c>
      <c r="EZ191" s="205">
        <f>IF($J191="",#N/A,SUM(EX$4:EX191,EV$4:EV191,ET$4:ET191))</f>
        <v>1.134170815082018</v>
      </c>
      <c r="FA191" s="200" t="str">
        <f t="shared" si="287"/>
        <v/>
      </c>
      <c r="FB191" s="203">
        <f>IF($J191="",#N/A,SUM(FA$4:FA191))</f>
        <v>0</v>
      </c>
      <c r="FC191" s="204" t="str">
        <f t="shared" si="288"/>
        <v/>
      </c>
      <c r="FD191" s="204">
        <f>IF($J191="",#N/A,SUM(FC$4:FC191))</f>
        <v>1.6839191319663924</v>
      </c>
      <c r="FE191" s="205" t="str">
        <f t="shared" si="289"/>
        <v/>
      </c>
      <c r="FF191" s="205">
        <f>IF($J191="",#N/A,SUM(FE$4:FE191))</f>
        <v>-0.28811149078748233</v>
      </c>
      <c r="FG191" s="205">
        <f>IF($J191="",#N/A,SUM(FE$4:FE191,FC$4:FC191,FA$4:FA191))</f>
        <v>1.3958076411789102</v>
      </c>
      <c r="FH191" s="200" t="str">
        <f t="shared" si="290"/>
        <v/>
      </c>
      <c r="FI191" s="203">
        <f>IF($J191="",#N/A,SUM(FH$4:FH191))</f>
        <v>0</v>
      </c>
      <c r="FJ191" s="204" t="str">
        <f t="shared" si="291"/>
        <v/>
      </c>
      <c r="FK191" s="204">
        <f>IF($J191="",#N/A,SUM(FJ$4:FJ191))</f>
        <v>0</v>
      </c>
      <c r="FL191" s="205" t="str">
        <f t="shared" si="292"/>
        <v/>
      </c>
      <c r="FM191" s="205">
        <f>IF($J191="",#N/A,SUM(FL$4:FL191))</f>
        <v>0</v>
      </c>
      <c r="FN191" s="205">
        <f>IF($J191="",#N/A,SUM(FL$4:FL191,FJ$4:FJ191,FH$4:FH191))</f>
        <v>0</v>
      </c>
      <c r="FO191" s="200" t="str">
        <f t="shared" si="293"/>
        <v/>
      </c>
      <c r="FP191" s="203">
        <f>IF($J191="",#N/A,SUM(FO$4:FO191))</f>
        <v>0</v>
      </c>
      <c r="FQ191" s="204" t="str">
        <f t="shared" si="294"/>
        <v/>
      </c>
      <c r="FR191" s="204">
        <f>IF($J191="",#N/A,SUM(FQ$4:FQ191))</f>
        <v>0</v>
      </c>
      <c r="FS191" s="205" t="str">
        <f t="shared" si="295"/>
        <v/>
      </c>
      <c r="FT191" s="205">
        <f>IF($J191="",#N/A,SUM(FS$4:FS191))</f>
        <v>0</v>
      </c>
      <c r="FU191" s="205">
        <f>IF($J191="",#N/A,SUM(FS$4:FS191,FQ$4:FQ191,FO$4:FO191))</f>
        <v>0</v>
      </c>
      <c r="FV191" s="200" t="str">
        <f t="shared" si="296"/>
        <v/>
      </c>
      <c r="FW191" s="203">
        <f>IF($J191="",#N/A,SUM(FV$4:FV191))</f>
        <v>6.6834991831277585E-2</v>
      </c>
      <c r="FX191" s="204" t="str">
        <f t="shared" si="297"/>
        <v/>
      </c>
      <c r="FY191" s="204">
        <f>IF($J191="",#N/A,SUM(FX$4:FX191))</f>
        <v>5.6794210235938045E-2</v>
      </c>
      <c r="FZ191" s="205" t="str">
        <f t="shared" si="298"/>
        <v/>
      </c>
      <c r="GA191" s="205">
        <f>IF($J191="",#N/A,SUM(FZ$4:FZ191))</f>
        <v>-1.7642101813332194</v>
      </c>
      <c r="GB191" s="205">
        <f>IF($J191="",#N/A,SUM(FZ$4:FZ191,FX$4:FX191,FV$4:FV191))</f>
        <v>-1.6405809792660038</v>
      </c>
      <c r="GC191" s="200" t="str">
        <f t="shared" si="299"/>
        <v/>
      </c>
      <c r="GD191" s="203">
        <f>IF($J191="",#N/A,SUM(GC$4:GC191))</f>
        <v>0</v>
      </c>
      <c r="GE191" s="204" t="str">
        <f t="shared" si="300"/>
        <v/>
      </c>
      <c r="GF191" s="204">
        <f>IF($J191="",#N/A,SUM(GE$4:GE191))</f>
        <v>0</v>
      </c>
      <c r="GG191" s="205" t="str">
        <f t="shared" si="301"/>
        <v/>
      </c>
      <c r="GH191" s="205">
        <f>IF($J191="",#N/A,SUM(GG$4:GG191))</f>
        <v>-2.9368362277223206</v>
      </c>
      <c r="GI191" s="205">
        <f>IF($J191="",#N/A,SUM(GG$4:GG191,GE$4:GE191,GC$4:GC191))</f>
        <v>-2.9368362277223206</v>
      </c>
      <c r="GJ191" s="200" t="str">
        <f t="shared" si="302"/>
        <v/>
      </c>
      <c r="GK191" s="203">
        <f>IF($J191="",#N/A,SUM(GJ$4:GJ191))</f>
        <v>0</v>
      </c>
      <c r="GL191" s="204" t="str">
        <f t="shared" si="303"/>
        <v/>
      </c>
      <c r="GM191" s="204">
        <f>IF($J191="",#N/A,SUM(GL$4:GL191))</f>
        <v>-0.80168930905701452</v>
      </c>
      <c r="GN191" s="205" t="str">
        <f t="shared" si="304"/>
        <v/>
      </c>
      <c r="GO191" s="205">
        <f>IF($J191="",#N/A,SUM(GN$4:GN191))</f>
        <v>0</v>
      </c>
      <c r="GP191" s="205">
        <f>IF($J191="",#N/A,SUM(GN$4:GN191,GL$4:GL191,GJ$4:GJ191))</f>
        <v>-0.80168930905701452</v>
      </c>
      <c r="GS191" s="54">
        <f t="shared" si="323"/>
        <v>0.4621478873239438</v>
      </c>
      <c r="GT191" s="54">
        <f>IF(GS191="",NA(),SUM($GS$4:GS191))</f>
        <v>3.5832233381752703</v>
      </c>
      <c r="GU191" s="54" t="str">
        <f t="shared" si="305"/>
        <v/>
      </c>
      <c r="GV191" s="54" t="e">
        <f>IF(GU191="",NA(),SUM($GU$4:GU191))</f>
        <v>#N/A</v>
      </c>
      <c r="GW191" s="54">
        <f t="shared" si="306"/>
        <v>0.4621478873239438</v>
      </c>
      <c r="GX191" s="54">
        <f>IF(GW191="",NA(),SUM($GW$4:GW191))</f>
        <v>5.0110782356009747</v>
      </c>
      <c r="GY191" s="54" t="str">
        <f t="shared" si="307"/>
        <v/>
      </c>
      <c r="GZ191" s="54" t="e">
        <f>IF(GY191="",NA(),SUM($GY$4:GY191))</f>
        <v>#N/A</v>
      </c>
      <c r="HA191" s="54" t="str">
        <f t="shared" si="308"/>
        <v/>
      </c>
      <c r="HB191" s="54" t="e">
        <f>IF(HA191="",NA(),SUM($HA$4:HA191))</f>
        <v>#N/A</v>
      </c>
      <c r="HC191" s="54" t="str">
        <f t="shared" si="309"/>
        <v/>
      </c>
      <c r="HD191" s="54" t="e">
        <f>IF(HC191="",NA(),SUM($HC$4:HC191))</f>
        <v>#N/A</v>
      </c>
      <c r="HE191" s="54" t="str">
        <f t="shared" si="310"/>
        <v/>
      </c>
      <c r="HF191" s="54" t="e">
        <f>IF(HE191="",NA(),SUM($HE$4:HE191))</f>
        <v>#N/A</v>
      </c>
      <c r="HG191" s="54" t="str">
        <f t="shared" si="311"/>
        <v/>
      </c>
      <c r="HH191" s="54" t="e">
        <f>IF(HG191="",NA(),SUM($HG$4:HG191))</f>
        <v>#N/A</v>
      </c>
      <c r="HI191" s="172" t="str">
        <f t="shared" si="324"/>
        <v/>
      </c>
      <c r="HJ191" s="172">
        <f>IF($J191="",#N/A,SUM(HI$4:$HI191))</f>
        <v>-8.1900937840518608</v>
      </c>
      <c r="HK191" s="54" t="str">
        <f t="shared" si="312"/>
        <v/>
      </c>
      <c r="HL191" s="54">
        <f>IF($J191="",#N/A,SUM($HK$4:HK191))</f>
        <v>-3.3200555114202186</v>
      </c>
      <c r="HM191" s="54" t="str">
        <f t="shared" si="313"/>
        <v/>
      </c>
      <c r="HN191" s="54">
        <f>IF($J191="",#N/A,SUM($HM$4:HM191))</f>
        <v>0.71812545963587882</v>
      </c>
      <c r="HO191" s="54" t="str">
        <f t="shared" si="314"/>
        <v/>
      </c>
      <c r="HP191" s="54">
        <f>IF($J191="",#N/A,SUM($HO$4:HO191))</f>
        <v>-0.14859521910082485</v>
      </c>
      <c r="HQ191" s="54">
        <f t="shared" si="315"/>
        <v>-0.58196400625977973</v>
      </c>
      <c r="HR191" s="54">
        <f>IF($J191="",#N/A,SUM($HQ$4:HQ191))</f>
        <v>-10.817432081688736</v>
      </c>
      <c r="HS191" s="54" t="str">
        <f t="shared" si="316"/>
        <v/>
      </c>
      <c r="HT191" s="54">
        <f>IF($J191="",#N/A,SUM($HS$4:HS191))</f>
        <v>12.906575604970143</v>
      </c>
      <c r="HU191" s="65">
        <f t="shared" si="317"/>
        <v>-0.11981611893583599</v>
      </c>
      <c r="HV191" s="65">
        <f>IF($J191="",#N/A,SUM(HU$4:$HU191))</f>
        <v>-2.1768411848079019</v>
      </c>
    </row>
    <row r="192" spans="1:230" x14ac:dyDescent="0.25">
      <c r="A192" s="51" t="s">
        <v>333</v>
      </c>
      <c r="B192" s="52" t="s">
        <v>4543</v>
      </c>
      <c r="C192" s="229">
        <f t="shared" si="218"/>
        <v>2</v>
      </c>
      <c r="D192" s="219" t="str">
        <f>_xlfn.XLOOKUP(A192,[1]SP500!$A$2:$A$502,[1]SP500!$D$2:$D$502,"N")</f>
        <v>Y</v>
      </c>
      <c r="E192" s="51" t="str">
        <f>IFERROR(_xlfn.XLOOKUP(A192,[1]SP500!$A$2:$A$655,[1]SP500!$B$2:$B$655),"")</f>
        <v>SMH</v>
      </c>
      <c r="F192" s="290">
        <v>45777</v>
      </c>
      <c r="G192" s="51" t="str">
        <f t="shared" si="219"/>
        <v>AMC</v>
      </c>
      <c r="H192" s="51" t="str">
        <f t="shared" si="220"/>
        <v>s</v>
      </c>
      <c r="I192" s="344">
        <v>148.46</v>
      </c>
      <c r="J192" s="124">
        <v>138.79</v>
      </c>
      <c r="K192" s="55">
        <f t="shared" si="221"/>
        <v>-6.5135390004041602E-2</v>
      </c>
      <c r="L192" s="67">
        <f t="shared" si="222"/>
        <v>77.360000000000127</v>
      </c>
      <c r="M192" s="57" t="e">
        <f t="shared" si="223"/>
        <v>#N/A</v>
      </c>
      <c r="N192" s="102">
        <f t="shared" si="224"/>
        <v>77.360000000000127</v>
      </c>
      <c r="O192" s="57">
        <f>IF(N192="",#N/A,SUM($N$4:N192))</f>
        <v>291.73136410061318</v>
      </c>
      <c r="P192" s="65">
        <f t="shared" si="318"/>
        <v>1.0855898334006933</v>
      </c>
      <c r="Q192" s="172">
        <f>IF($N192="",#N/A,SUM($P$4:P192))</f>
        <v>7.7602241802484118</v>
      </c>
      <c r="R192" s="279">
        <f t="shared" si="225"/>
        <v>5.4081386695459912</v>
      </c>
      <c r="S192" s="51" t="str">
        <f t="shared" si="226"/>
        <v>Dwn</v>
      </c>
      <c r="T192" s="51" t="s">
        <v>4462</v>
      </c>
      <c r="U192" s="56">
        <f t="shared" si="227"/>
        <v>148.46</v>
      </c>
      <c r="V192" s="56" t="s">
        <v>4458</v>
      </c>
      <c r="W192" s="142">
        <v>8</v>
      </c>
      <c r="X192" s="145">
        <f t="shared" si="228"/>
        <v>1187.68</v>
      </c>
      <c r="Y192" s="140">
        <f t="shared" si="229"/>
        <v>8</v>
      </c>
      <c r="Z192" s="123">
        <v>140.19999999999999</v>
      </c>
      <c r="AA192" s="102">
        <f t="shared" si="230"/>
        <v>66.080000000000155</v>
      </c>
      <c r="AB192" s="102">
        <f t="shared" si="231"/>
        <v>106</v>
      </c>
      <c r="AC192" s="124">
        <v>135.21</v>
      </c>
      <c r="AD192" s="155">
        <f t="shared" si="232"/>
        <v>106</v>
      </c>
      <c r="AE192" s="545">
        <f t="shared" si="233"/>
        <v>1.487493825497328</v>
      </c>
      <c r="AF192" s="57">
        <f>IF($AC192="",#N/A,SUM(AD$4:AD192))</f>
        <v>-112.86041200241618</v>
      </c>
      <c r="AG192" s="102">
        <f t="shared" si="234"/>
        <v>28.639999999999873</v>
      </c>
      <c r="AH192" s="56" t="s">
        <v>4471</v>
      </c>
      <c r="AI192" s="65">
        <f t="shared" si="235"/>
        <v>0.92729803763078933</v>
      </c>
      <c r="AJ192" s="350">
        <f>IF(AI192="",#N/A,SUM($AI$4:AI192))</f>
        <v>2.3520855107024206</v>
      </c>
      <c r="AK192" s="57">
        <f t="shared" si="236"/>
        <v>66.080000000000155</v>
      </c>
      <c r="AL192" s="349">
        <f>IF(AI192="",#N/A,IF(AH192="Skip",SUM($AK$4:AK192),SUM($AK$4:AK192)))</f>
        <v>-51.162408507186228</v>
      </c>
      <c r="AM192" s="65">
        <f t="shared" si="319"/>
        <v>1.487493825497328</v>
      </c>
      <c r="AN192" s="211"/>
      <c r="AO192" s="65" t="str">
        <f t="shared" si="237"/>
        <v/>
      </c>
      <c r="AP192" s="65">
        <f>IF($AC192="",#N/A,SUM(AO$4:AO192))</f>
        <v>6.7802752529485613</v>
      </c>
      <c r="AQ192" s="65" t="str">
        <f t="shared" si="238"/>
        <v/>
      </c>
      <c r="AR192" s="65">
        <f>IF($AC192="",#N/A,SUM(AQ$4:AQ192))</f>
        <v>-2.6179859771653153</v>
      </c>
      <c r="AS192" s="65">
        <f t="shared" si="239"/>
        <v>1.487493825497328</v>
      </c>
      <c r="AT192" s="65">
        <f>IF($AC192="",#N/A,SUM(AS$4:AS192))</f>
        <v>-4.8516366350938238</v>
      </c>
      <c r="AU192" s="57" t="str">
        <f t="shared" si="320"/>
        <v/>
      </c>
      <c r="AV192" s="57">
        <f>IF($AC192="",#N/A,SUM(AU$4:AU192))</f>
        <v>331.25120645125094</v>
      </c>
      <c r="AW192" s="57" t="str">
        <f t="shared" si="321"/>
        <v/>
      </c>
      <c r="AX192" s="57">
        <f>IF($AC192="",#N/A,SUM(AW$4:AW192))</f>
        <v>-163.1400000000001</v>
      </c>
      <c r="AY192" s="57">
        <f t="shared" si="322"/>
        <v>106</v>
      </c>
      <c r="AZ192" s="57">
        <f>IF($AC192="",#N/A,SUM(AY$4:AY192))</f>
        <v>-280.97161845366702</v>
      </c>
      <c r="BA192" s="57">
        <f>IF(AD192="",#N/A,SUM($AD$4:AD192))</f>
        <v>-112.86041200241618</v>
      </c>
      <c r="BC192" s="51" t="str">
        <f t="shared" si="240"/>
        <v/>
      </c>
      <c r="BD192" s="51" t="str">
        <f t="shared" si="241"/>
        <v/>
      </c>
      <c r="BE192" s="51" t="str">
        <f t="shared" si="242"/>
        <v/>
      </c>
      <c r="BF192" s="51" t="str">
        <f t="shared" si="243"/>
        <v>Short</v>
      </c>
      <c r="BG192" s="51">
        <f t="shared" si="244"/>
        <v>1</v>
      </c>
      <c r="BH192" s="51" t="str">
        <f t="shared" si="245"/>
        <v/>
      </c>
      <c r="BI192" s="51" t="str">
        <f t="shared" si="246"/>
        <v/>
      </c>
      <c r="BK192" s="65">
        <f t="shared" si="326"/>
        <v>0.1836649799534493</v>
      </c>
      <c r="BL192" s="65">
        <f t="shared" si="325"/>
        <v>0.24607024558332255</v>
      </c>
      <c r="BM192" s="65">
        <f>IFERROR(Q192/COUNTA($J$4:J192),#N/A)</f>
        <v>4.1059387197081541E-2</v>
      </c>
      <c r="BO192" s="489" t="e">
        <f>IF(J192="",#N/A,IF(S192="SW",(COUNTIFS(K$4:$K192,"&gt;0",S$4:$S192,"SW")/COUNTIF(S$4:$S192,"SW")),#N/A))</f>
        <v>#N/A</v>
      </c>
      <c r="BP192" s="489">
        <f>IF($J192="",#N/A,IF($S192="DWN",(COUNTIFS($K$4:$K192,"&lt;0",$S$4:$S192,"DWN")/COUNTIF($S$4:$S192,"DWN")),#N/A))</f>
        <v>0.569620253164557</v>
      </c>
      <c r="BQ192" s="489" t="e">
        <f>IF($J192="",#N/A,IF($S192="UP",(COUNTIFS($K$4:$K192,"&gt;0",$S$4:$S192,"UP")/COUNTIF($S$4:$S192,"UP")),#N/A))</f>
        <v>#N/A</v>
      </c>
      <c r="BR192" s="489">
        <f>IF(J192="",#N/A,COUNTIF($K$4:K192,"&gt;0")/COUNT($J$4:J192))</f>
        <v>0.46560846560846558</v>
      </c>
      <c r="BS192" s="65" t="str">
        <f t="shared" si="247"/>
        <v/>
      </c>
      <c r="BT192" s="65" t="str">
        <f t="shared" si="248"/>
        <v/>
      </c>
      <c r="BU192" s="65">
        <f t="shared" si="249"/>
        <v>1.0855898334006933</v>
      </c>
      <c r="BV192" s="65" t="str">
        <f t="shared" si="250"/>
        <v/>
      </c>
      <c r="BW192" s="128" t="str">
        <f t="shared" si="251"/>
        <v/>
      </c>
      <c r="BX192" s="128">
        <f>IF($J192="",#N/A,SUM($BW$4:BW192))</f>
        <v>-205.1650000000003</v>
      </c>
      <c r="BY192" s="131">
        <f t="shared" si="252"/>
        <v>77.360000000000127</v>
      </c>
      <c r="BZ192" s="131">
        <f>IF($J192="",#N/A,SUM($BY$4:BY192))</f>
        <v>349.23434038933419</v>
      </c>
      <c r="CA192" s="133" t="str">
        <f t="shared" si="253"/>
        <v/>
      </c>
      <c r="CB192" s="133">
        <f>IF($J192="",#N/A,SUM($CA$4:CA192))</f>
        <v>147.66202371127932</v>
      </c>
      <c r="CC192" s="194" t="str">
        <f t="shared" si="254"/>
        <v/>
      </c>
      <c r="CD192" s="194">
        <f>IF($J192="",#N/A,SUM($CC$4:CC192))</f>
        <v>-3.1875162177003693</v>
      </c>
      <c r="CE192" s="195">
        <f t="shared" si="255"/>
        <v>1.0855898334006933</v>
      </c>
      <c r="CF192" s="195">
        <f>IF($J192="",#N/A,SUM($CE$4:CE192))</f>
        <v>6.2566086682816264</v>
      </c>
      <c r="CG192" s="196" t="str">
        <f t="shared" si="256"/>
        <v/>
      </c>
      <c r="CH192" s="196">
        <f>IF($J192="",#N/A,SUM($CG$4:CG192))</f>
        <v>4.69113172966716</v>
      </c>
      <c r="CI192" s="200" t="str">
        <f t="shared" si="257"/>
        <v/>
      </c>
      <c r="CJ192" s="203">
        <f>IF($J192="",#N/A,SUM(CI$4:CI192))</f>
        <v>0</v>
      </c>
      <c r="CK192" s="204" t="str">
        <f t="shared" si="258"/>
        <v/>
      </c>
      <c r="CL192" s="204">
        <f>IF($J192="",#N/A,SUM(CK$4:CK192))</f>
        <v>1.9927003554442289</v>
      </c>
      <c r="CM192" s="205" t="str">
        <f t="shared" si="259"/>
        <v/>
      </c>
      <c r="CN192" s="205">
        <f>IF($J192="",#N/A,SUM(CM$4:CM192))</f>
        <v>5.6091171609382364</v>
      </c>
      <c r="CO192" s="205">
        <f>IF($J192="",#N/A,SUM(CM$4:CM192,CK$4:CK192,CI$4:CI192))</f>
        <v>7.6018175163824644</v>
      </c>
      <c r="CP192" s="200" t="str">
        <f t="shared" si="260"/>
        <v/>
      </c>
      <c r="CQ192" s="203">
        <f>IF($J192="",#N/A,SUM(CP$4:CP192))</f>
        <v>0</v>
      </c>
      <c r="CR192" s="204" t="str">
        <f t="shared" si="261"/>
        <v/>
      </c>
      <c r="CS192" s="204">
        <f>IF($J192="",#N/A,SUM(CR$4:CR192))</f>
        <v>2.3249620476559536</v>
      </c>
      <c r="CT192" s="205" t="str">
        <f t="shared" si="262"/>
        <v/>
      </c>
      <c r="CU192" s="205">
        <f>IF($J192="",#N/A,SUM(CT$4:CT192))</f>
        <v>-1.1331655471946371</v>
      </c>
      <c r="CV192" s="205">
        <f>IF($J192="",#N/A,SUM(CT$4:CT192,CR$4:CR192,CP$4:CP192))</f>
        <v>1.1917965004613165</v>
      </c>
      <c r="CW192" s="200" t="str">
        <f t="shared" si="263"/>
        <v/>
      </c>
      <c r="CX192" s="203">
        <f>IF($J192="",#N/A,SUM(CW$4:CW192))</f>
        <v>0</v>
      </c>
      <c r="CY192" s="204" t="str">
        <f t="shared" si="264"/>
        <v/>
      </c>
      <c r="CZ192" s="204">
        <f>IF($J192="",#N/A,SUM(CY$4:CY192))</f>
        <v>-1.0974100761627814</v>
      </c>
      <c r="DA192" s="205" t="str">
        <f t="shared" si="265"/>
        <v/>
      </c>
      <c r="DB192" s="205">
        <f>IF($J192="",#N/A,SUM(DA$4:DA192))</f>
        <v>-2.2679577914291</v>
      </c>
      <c r="DC192" s="205">
        <f>IF($J192="",#N/A,SUM(DA$4:DA192,CY$4:CY192,CW$4:CW192))</f>
        <v>-3.365367867591881</v>
      </c>
      <c r="DD192" s="200" t="str">
        <f t="shared" si="266"/>
        <v/>
      </c>
      <c r="DE192" s="203">
        <f>IF($J192="",#N/A,SUM(DD$4:DD192))</f>
        <v>0.14968716170674062</v>
      </c>
      <c r="DF192" s="204" t="str">
        <f t="shared" si="267"/>
        <v/>
      </c>
      <c r="DG192" s="204">
        <f>IF($J192="",#N/A,SUM(DF$4:DF192))</f>
        <v>1.2121188689979676</v>
      </c>
      <c r="DH192" s="205" t="str">
        <f t="shared" si="268"/>
        <v/>
      </c>
      <c r="DI192" s="205">
        <f>IF($J192="",#N/A,SUM(DH$4:DH192))</f>
        <v>-0.8404015973735236</v>
      </c>
      <c r="DJ192" s="205">
        <f>IF($J192="",#N/A,SUM(DH$4:DH192,DF$4:DF192,DD$4:DD192))</f>
        <v>0.52140443333118447</v>
      </c>
      <c r="DK192" s="200" t="str">
        <f t="shared" si="269"/>
        <v/>
      </c>
      <c r="DL192" s="203">
        <f>IF($J192="",#N/A,SUM(DK$4:DK192))</f>
        <v>-1.2097286851272664</v>
      </c>
      <c r="DM192" s="204" t="str">
        <f t="shared" si="270"/>
        <v/>
      </c>
      <c r="DN192" s="204">
        <f>IF($J192="",#N/A,SUM(DM$4:DM192))</f>
        <v>1.1910608267574658</v>
      </c>
      <c r="DO192" s="205" t="str">
        <f t="shared" si="271"/>
        <v/>
      </c>
      <c r="DP192" s="205">
        <f>IF($J192="",#N/A,SUM(DO$4:DO192))</f>
        <v>2.6571865116636566</v>
      </c>
      <c r="DQ192" s="205">
        <f>IF($J192="",#N/A,SUM(DO$4:DO192,DM$4:DM192,DK$4:DK192))</f>
        <v>2.6385186532938567</v>
      </c>
      <c r="DR192" s="200" t="str">
        <f t="shared" si="272"/>
        <v/>
      </c>
      <c r="DS192" s="203">
        <f>IF($J192="",#N/A,SUM(DR$4:DR192))</f>
        <v>-0.55950946427675097</v>
      </c>
      <c r="DT192" s="204" t="str">
        <f t="shared" si="273"/>
        <v/>
      </c>
      <c r="DU192" s="204">
        <f>IF($J192="",#N/A,SUM(DT$4:DT192))</f>
        <v>-3.5029740333397914</v>
      </c>
      <c r="DV192" s="205" t="str">
        <f t="shared" si="274"/>
        <v/>
      </c>
      <c r="DW192" s="205">
        <f>IF($J192="",#N/A,SUM(DV$4:DV192))</f>
        <v>-1.8527424265931112</v>
      </c>
      <c r="DX192" s="205">
        <f>IF($J192="",#N/A,SUM(DV$4:DV192,DT$4:DT192,DR$4:DR192))</f>
        <v>-5.9152259242096532</v>
      </c>
      <c r="DY192" s="200" t="str">
        <f t="shared" si="275"/>
        <v/>
      </c>
      <c r="DZ192" s="203">
        <f>IF($J192="",#N/A,SUM(DY$4:DY192))</f>
        <v>-1.63480022183437</v>
      </c>
      <c r="EA192" s="204" t="str">
        <f t="shared" si="276"/>
        <v/>
      </c>
      <c r="EB192" s="204">
        <f>IF($J192="",#N/A,SUM(EA$4:EA192))</f>
        <v>0.5578066706208582</v>
      </c>
      <c r="EC192" s="205" t="str">
        <f t="shared" si="277"/>
        <v/>
      </c>
      <c r="ED192" s="205">
        <f>IF($J192="",#N/A,SUM(EC$4:EC192))</f>
        <v>2.4515280577205139</v>
      </c>
      <c r="EE192" s="205">
        <f>IF($J192="",#N/A,SUM(EC$4:EC192,EA$4:EA192,DY$4:DY192))</f>
        <v>1.3745345065070016</v>
      </c>
      <c r="EF192" s="200" t="str">
        <f t="shared" si="278"/>
        <v/>
      </c>
      <c r="EG192" s="203">
        <f>IF($J192="",#N/A,SUM(EF$4:EF192))</f>
        <v>0</v>
      </c>
      <c r="EH192" s="204" t="str">
        <f t="shared" si="279"/>
        <v/>
      </c>
      <c r="EI192" s="204">
        <f>IF($J192="",#N/A,SUM(EH$4:EH192))</f>
        <v>-2.7245005604557937</v>
      </c>
      <c r="EJ192" s="205" t="str">
        <f t="shared" si="280"/>
        <v/>
      </c>
      <c r="EK192" s="205">
        <f>IF($J192="",#N/A,SUM(EJ$4:EJ192))</f>
        <v>2.804966392787259</v>
      </c>
      <c r="EL192" s="205">
        <f>IF($J192="",#N/A,SUM(EJ$4:EJ192,EH$4:EH192,EF$4:EF192))</f>
        <v>8.0465832331466203E-2</v>
      </c>
      <c r="EM192" s="200" t="str">
        <f t="shared" si="281"/>
        <v/>
      </c>
      <c r="EN192" s="203">
        <f>IF($J192="",#N/A,SUM(EM$4:EM192))</f>
        <v>0</v>
      </c>
      <c r="EO192" s="204" t="str">
        <f t="shared" si="282"/>
        <v/>
      </c>
      <c r="EP192" s="204">
        <f>IF($J192="",#N/A,SUM(EO$4:EO192))</f>
        <v>3.0466900999385675</v>
      </c>
      <c r="EQ192" s="205" t="str">
        <f t="shared" si="283"/>
        <v/>
      </c>
      <c r="ER192" s="205">
        <f>IF($J192="",#N/A,SUM(EQ$4:EQ192))</f>
        <v>2.0221833315059508</v>
      </c>
      <c r="ES192" s="205">
        <f>IF($J192="",#N/A,SUM(EQ$4:EQ192,EO$4:EO192,EM$4:EM192))</f>
        <v>5.0688734314445174</v>
      </c>
      <c r="ET192" s="200" t="str">
        <f t="shared" si="284"/>
        <v/>
      </c>
      <c r="EU192" s="203">
        <f>IF($J192="",#N/A,SUM(ET$4:ET192))</f>
        <v>0</v>
      </c>
      <c r="EV192" s="204">
        <f t="shared" si="285"/>
        <v>1.0855898334006933</v>
      </c>
      <c r="EW192" s="204">
        <f>IF($J192="",#N/A,SUM(EV$4:EV192))</f>
        <v>1.9901851109977766</v>
      </c>
      <c r="EX192" s="205" t="str">
        <f t="shared" si="286"/>
        <v/>
      </c>
      <c r="EY192" s="205">
        <f>IF($J192="",#N/A,SUM(EX$4:EX192))</f>
        <v>0.22957553748493481</v>
      </c>
      <c r="EZ192" s="205">
        <f>IF($J192="",#N/A,SUM(EX$4:EX192,EV$4:EV192,ET$4:ET192))</f>
        <v>2.219760648482711</v>
      </c>
      <c r="FA192" s="200" t="str">
        <f t="shared" si="287"/>
        <v/>
      </c>
      <c r="FB192" s="203">
        <f>IF($J192="",#N/A,SUM(FA$4:FA192))</f>
        <v>0</v>
      </c>
      <c r="FC192" s="204" t="str">
        <f t="shared" si="288"/>
        <v/>
      </c>
      <c r="FD192" s="204">
        <f>IF($J192="",#N/A,SUM(FC$4:FC192))</f>
        <v>1.6839191319663924</v>
      </c>
      <c r="FE192" s="205" t="str">
        <f t="shared" si="289"/>
        <v/>
      </c>
      <c r="FF192" s="205">
        <f>IF($J192="",#N/A,SUM(FE$4:FE192))</f>
        <v>-0.28811149078748233</v>
      </c>
      <c r="FG192" s="205">
        <f>IF($J192="",#N/A,SUM(FE$4:FE192,FC$4:FC192,FA$4:FA192))</f>
        <v>1.3958076411789102</v>
      </c>
      <c r="FH192" s="200" t="str">
        <f t="shared" si="290"/>
        <v/>
      </c>
      <c r="FI192" s="203">
        <f>IF($J192="",#N/A,SUM(FH$4:FH192))</f>
        <v>0</v>
      </c>
      <c r="FJ192" s="204" t="str">
        <f t="shared" si="291"/>
        <v/>
      </c>
      <c r="FK192" s="204">
        <f>IF($J192="",#N/A,SUM(FJ$4:FJ192))</f>
        <v>0</v>
      </c>
      <c r="FL192" s="205" t="str">
        <f t="shared" si="292"/>
        <v/>
      </c>
      <c r="FM192" s="205">
        <f>IF($J192="",#N/A,SUM(FL$4:FL192))</f>
        <v>0</v>
      </c>
      <c r="FN192" s="205">
        <f>IF($J192="",#N/A,SUM(FL$4:FL192,FJ$4:FJ192,FH$4:FH192))</f>
        <v>0</v>
      </c>
      <c r="FO192" s="200" t="str">
        <f t="shared" si="293"/>
        <v/>
      </c>
      <c r="FP192" s="203">
        <f>IF($J192="",#N/A,SUM(FO$4:FO192))</f>
        <v>0</v>
      </c>
      <c r="FQ192" s="204" t="str">
        <f t="shared" si="294"/>
        <v/>
      </c>
      <c r="FR192" s="204">
        <f>IF($J192="",#N/A,SUM(FQ$4:FQ192))</f>
        <v>0</v>
      </c>
      <c r="FS192" s="205" t="str">
        <f t="shared" si="295"/>
        <v/>
      </c>
      <c r="FT192" s="205">
        <f>IF($J192="",#N/A,SUM(FS$4:FS192))</f>
        <v>0</v>
      </c>
      <c r="FU192" s="205">
        <f>IF($J192="",#N/A,SUM(FS$4:FS192,FQ$4:FQ192,FO$4:FO192))</f>
        <v>0</v>
      </c>
      <c r="FV192" s="200" t="str">
        <f t="shared" si="296"/>
        <v/>
      </c>
      <c r="FW192" s="203">
        <f>IF($J192="",#N/A,SUM(FV$4:FV192))</f>
        <v>6.6834991831277585E-2</v>
      </c>
      <c r="FX192" s="204" t="str">
        <f t="shared" si="297"/>
        <v/>
      </c>
      <c r="FY192" s="204">
        <f>IF($J192="",#N/A,SUM(FX$4:FX192))</f>
        <v>5.6794210235938045E-2</v>
      </c>
      <c r="FZ192" s="205" t="str">
        <f t="shared" si="298"/>
        <v/>
      </c>
      <c r="GA192" s="205">
        <f>IF($J192="",#N/A,SUM(FZ$4:FZ192))</f>
        <v>-1.7642101813332194</v>
      </c>
      <c r="GB192" s="205">
        <f>IF($J192="",#N/A,SUM(FZ$4:FZ192,FX$4:FX192,FV$4:FV192))</f>
        <v>-1.6405809792660038</v>
      </c>
      <c r="GC192" s="200" t="str">
        <f t="shared" si="299"/>
        <v/>
      </c>
      <c r="GD192" s="203">
        <f>IF($J192="",#N/A,SUM(GC$4:GC192))</f>
        <v>0</v>
      </c>
      <c r="GE192" s="204" t="str">
        <f t="shared" si="300"/>
        <v/>
      </c>
      <c r="GF192" s="204">
        <f>IF($J192="",#N/A,SUM(GE$4:GE192))</f>
        <v>0</v>
      </c>
      <c r="GG192" s="205" t="str">
        <f t="shared" si="301"/>
        <v/>
      </c>
      <c r="GH192" s="205">
        <f>IF($J192="",#N/A,SUM(GG$4:GG192))</f>
        <v>-2.9368362277223206</v>
      </c>
      <c r="GI192" s="205">
        <f>IF($J192="",#N/A,SUM(GG$4:GG192,GE$4:GE192,GC$4:GC192))</f>
        <v>-2.9368362277223206</v>
      </c>
      <c r="GJ192" s="200" t="str">
        <f t="shared" si="302"/>
        <v/>
      </c>
      <c r="GK192" s="203">
        <f>IF($J192="",#N/A,SUM(GJ$4:GJ192))</f>
        <v>0</v>
      </c>
      <c r="GL192" s="204" t="str">
        <f t="shared" si="303"/>
        <v/>
      </c>
      <c r="GM192" s="204">
        <f>IF($J192="",#N/A,SUM(GL$4:GL192))</f>
        <v>-0.80168930905701452</v>
      </c>
      <c r="GN192" s="205" t="str">
        <f t="shared" si="304"/>
        <v/>
      </c>
      <c r="GO192" s="205">
        <f>IF($J192="",#N/A,SUM(GN$4:GN192))</f>
        <v>0</v>
      </c>
      <c r="GP192" s="205">
        <f>IF($J192="",#N/A,SUM(GN$4:GN192,GL$4:GL192,GJ$4:GJ192))</f>
        <v>-0.80168930905701452</v>
      </c>
      <c r="GS192" s="54">
        <f t="shared" si="323"/>
        <v>1.0855898334006933</v>
      </c>
      <c r="GT192" s="54">
        <f>IF(GS192="",NA(),SUM($GS$4:GS192))</f>
        <v>4.6688131715759633</v>
      </c>
      <c r="GU192" s="54" t="str">
        <f t="shared" si="305"/>
        <v/>
      </c>
      <c r="GV192" s="54" t="e">
        <f>IF(GU192="",NA(),SUM($GU$4:GU192))</f>
        <v>#N/A</v>
      </c>
      <c r="GW192" s="54" t="str">
        <f t="shared" si="306"/>
        <v/>
      </c>
      <c r="GX192" s="54" t="e">
        <f>IF(GW192="",NA(),SUM($GW$4:GW192))</f>
        <v>#N/A</v>
      </c>
      <c r="GY192" s="54">
        <f t="shared" si="307"/>
        <v>1.0855898334006933</v>
      </c>
      <c r="GZ192" s="54">
        <f>IF(GY192="",NA(),SUM($GY$4:GY192))</f>
        <v>2.8452511536753615</v>
      </c>
      <c r="HA192" s="54" t="str">
        <f t="shared" si="308"/>
        <v/>
      </c>
      <c r="HB192" s="54" t="e">
        <f>IF(HA192="",NA(),SUM($HA$4:HA192))</f>
        <v>#N/A</v>
      </c>
      <c r="HC192" s="54" t="str">
        <f t="shared" si="309"/>
        <v/>
      </c>
      <c r="HD192" s="54" t="e">
        <f>IF(HC192="",NA(),SUM($HC$4:HC192))</f>
        <v>#N/A</v>
      </c>
      <c r="HE192" s="54" t="str">
        <f t="shared" si="310"/>
        <v/>
      </c>
      <c r="HF192" s="54" t="e">
        <f>IF(HE192="",NA(),SUM($HE$4:HE192))</f>
        <v>#N/A</v>
      </c>
      <c r="HG192" s="54" t="str">
        <f t="shared" si="311"/>
        <v/>
      </c>
      <c r="HH192" s="54" t="e">
        <f>IF(HG192="",NA(),SUM($HG$4:HG192))</f>
        <v>#N/A</v>
      </c>
      <c r="HI192" s="172">
        <f t="shared" si="324"/>
        <v>0.40190399209663474</v>
      </c>
      <c r="HJ192" s="172">
        <f>IF($J192="",#N/A,SUM(HI$4:$HI192))</f>
        <v>-7.7881897919552259</v>
      </c>
      <c r="HK192" s="54" t="str">
        <f t="shared" si="312"/>
        <v/>
      </c>
      <c r="HL192" s="54">
        <f>IF($J192="",#N/A,SUM($HK$4:HK192))</f>
        <v>-3.3200555114202186</v>
      </c>
      <c r="HM192" s="54" t="str">
        <f t="shared" si="313"/>
        <v/>
      </c>
      <c r="HN192" s="54">
        <f>IF($J192="",#N/A,SUM($HM$4:HM192))</f>
        <v>0.71812545963587882</v>
      </c>
      <c r="HO192" s="54" t="str">
        <f t="shared" si="314"/>
        <v/>
      </c>
      <c r="HP192" s="54">
        <f>IF($J192="",#N/A,SUM($HO$4:HO192))</f>
        <v>-0.14859521910082485</v>
      </c>
      <c r="HQ192" s="54" t="str">
        <f t="shared" si="315"/>
        <v/>
      </c>
      <c r="HR192" s="54">
        <f>IF($J192="",#N/A,SUM($HQ$4:HQ192))</f>
        <v>-10.817432081688736</v>
      </c>
      <c r="HS192" s="54" t="str">
        <f t="shared" si="316"/>
        <v/>
      </c>
      <c r="HT192" s="54">
        <f>IF($J192="",#N/A,SUM($HS$4:HS192))</f>
        <v>12.906575604970143</v>
      </c>
      <c r="HU192" s="65">
        <f t="shared" si="317"/>
        <v>1.487493825497328</v>
      </c>
      <c r="HV192" s="65">
        <f>IF($J192="",#N/A,SUM(HU$4:$HU192))</f>
        <v>-0.68934735931057389</v>
      </c>
    </row>
    <row r="193" spans="1:230" x14ac:dyDescent="0.25">
      <c r="A193" s="51" t="s">
        <v>1395</v>
      </c>
      <c r="B193" s="52" t="s">
        <v>4543</v>
      </c>
      <c r="C193" s="229">
        <f t="shared" si="218"/>
        <v>2</v>
      </c>
      <c r="D193" s="219" t="str">
        <f>_xlfn.XLOOKUP(A193,[1]SP500!$A$2:$A$502,[1]SP500!$D$2:$D$502,"N")</f>
        <v>Y</v>
      </c>
      <c r="E193" s="76" t="str">
        <f>IFERROR(_xlfn.XLOOKUP(A193,[1]SP500!$A$2:$A$655,[1]SP500!$B$2:$B$655),"")</f>
        <v>INS</v>
      </c>
      <c r="F193" s="290">
        <v>45777</v>
      </c>
      <c r="G193" s="51" t="str">
        <f t="shared" si="219"/>
        <v>AMC</v>
      </c>
      <c r="H193" s="51" t="str">
        <f t="shared" si="220"/>
        <v>s</v>
      </c>
      <c r="I193" s="343">
        <v>75.37</v>
      </c>
      <c r="J193" s="124">
        <v>76.355000000000004</v>
      </c>
      <c r="K193" s="55">
        <f t="shared" si="221"/>
        <v>1.3068860289239741E-2</v>
      </c>
      <c r="L193" s="67">
        <f t="shared" si="222"/>
        <v>-14.774999999999864</v>
      </c>
      <c r="M193" s="57">
        <f t="shared" si="223"/>
        <v>10.125</v>
      </c>
      <c r="N193" s="102">
        <f t="shared" si="224"/>
        <v>-14.774999999999864</v>
      </c>
      <c r="O193" s="57">
        <f>IF(N193="",#N/A,SUM($N$4:N193))</f>
        <v>276.95636410061331</v>
      </c>
      <c r="P193" s="65">
        <f t="shared" si="318"/>
        <v>-0.21781433815399379</v>
      </c>
      <c r="Q193" s="172">
        <f>IF($N193="",#N/A,SUM($P$4:P193))</f>
        <v>7.5424098420944183</v>
      </c>
      <c r="R193" s="279">
        <f t="shared" si="225"/>
        <v>5.2588750368008679</v>
      </c>
      <c r="S193" s="51" t="str">
        <f t="shared" si="226"/>
        <v>Dwn</v>
      </c>
      <c r="T193" s="51" t="s">
        <v>4461</v>
      </c>
      <c r="U193" s="56">
        <f t="shared" si="227"/>
        <v>75.37</v>
      </c>
      <c r="V193" s="56" t="s">
        <v>4458</v>
      </c>
      <c r="W193" s="142">
        <v>15</v>
      </c>
      <c r="X193" s="145">
        <f t="shared" si="228"/>
        <v>1130.5500000000002</v>
      </c>
      <c r="Y193" s="140">
        <f t="shared" si="229"/>
        <v>15</v>
      </c>
      <c r="Z193" s="123">
        <v>75.680000000000007</v>
      </c>
      <c r="AA193" s="102">
        <f t="shared" si="230"/>
        <v>-4.6499999999998636</v>
      </c>
      <c r="AB193" s="102">
        <f t="shared" si="231"/>
        <v>-5.9999999999997726</v>
      </c>
      <c r="AC193" s="124">
        <v>75.77</v>
      </c>
      <c r="AD193" s="155">
        <f t="shared" si="232"/>
        <v>-5.9999999999997726</v>
      </c>
      <c r="AE193" s="545">
        <f t="shared" si="233"/>
        <v>-8.8452523108218287E-2</v>
      </c>
      <c r="AF193" s="57">
        <f>IF($AC193="",#N/A,SUM(AD$4:AD193))</f>
        <v>-118.86041200241596</v>
      </c>
      <c r="AG193" s="102">
        <f t="shared" si="234"/>
        <v>8.7750000000000909</v>
      </c>
      <c r="AH193" s="56" t="s">
        <v>2507</v>
      </c>
      <c r="AI193" s="65">
        <f t="shared" si="235"/>
        <v>-6.8550705408869761E-2</v>
      </c>
      <c r="AJ193" s="350">
        <f>IF(AI193="",#N/A,SUM($AI$4:AI193))</f>
        <v>2.2835348052935509</v>
      </c>
      <c r="AK193" s="57">
        <f t="shared" si="236"/>
        <v>-4.6499999999998636</v>
      </c>
      <c r="AL193" s="349">
        <f>IF(AI193="",#N/A,IF(AH193="Skip",SUM($AK$4:AK193),SUM($AK$4:AK193)))</f>
        <v>-55.812408507186092</v>
      </c>
      <c r="AM193" s="65">
        <f t="shared" si="319"/>
        <v>-8.8452523108218287E-2</v>
      </c>
      <c r="AN193" s="209"/>
      <c r="AO193" s="65" t="str">
        <f t="shared" si="237"/>
        <v/>
      </c>
      <c r="AP193" s="65">
        <f>IF($AC193="",#N/A,SUM(AO$4:AO193))</f>
        <v>6.7802752529485613</v>
      </c>
      <c r="AQ193" s="65" t="str">
        <f t="shared" si="238"/>
        <v/>
      </c>
      <c r="AR193" s="65">
        <f>IF($AC193="",#N/A,SUM(AQ$4:AQ193))</f>
        <v>-2.6179859771653153</v>
      </c>
      <c r="AS193" s="65">
        <f t="shared" si="239"/>
        <v>-8.8452523108218287E-2</v>
      </c>
      <c r="AT193" s="65">
        <f>IF($AC193="",#N/A,SUM(AS$4:AS193))</f>
        <v>-4.9400891582020421</v>
      </c>
      <c r="AU193" s="57" t="str">
        <f t="shared" si="320"/>
        <v/>
      </c>
      <c r="AV193" s="57">
        <f>IF($AC193="",#N/A,SUM(AU$4:AU193))</f>
        <v>331.25120645125094</v>
      </c>
      <c r="AW193" s="57" t="str">
        <f t="shared" si="321"/>
        <v/>
      </c>
      <c r="AX193" s="57">
        <f>IF($AC193="",#N/A,SUM(AW$4:AW193))</f>
        <v>-163.1400000000001</v>
      </c>
      <c r="AY193" s="57">
        <f t="shared" si="322"/>
        <v>-5.9999999999997726</v>
      </c>
      <c r="AZ193" s="57">
        <f>IF($AC193="",#N/A,SUM(AY$4:AY193))</f>
        <v>-286.97161845366679</v>
      </c>
      <c r="BA193" s="57">
        <f>IF(AD193="",#N/A,SUM($AD$4:AD193))</f>
        <v>-118.86041200241596</v>
      </c>
      <c r="BC193" s="51" t="str">
        <f t="shared" si="240"/>
        <v/>
      </c>
      <c r="BD193" s="51">
        <f t="shared" si="241"/>
        <v>1</v>
      </c>
      <c r="BE193" s="51" t="str">
        <f t="shared" si="242"/>
        <v/>
      </c>
      <c r="BF193" s="51" t="str">
        <f t="shared" si="243"/>
        <v>Short</v>
      </c>
      <c r="BG193" s="51" t="str">
        <f t="shared" si="244"/>
        <v/>
      </c>
      <c r="BH193" s="51" t="str">
        <f t="shared" si="245"/>
        <v/>
      </c>
      <c r="BI193" s="51" t="str">
        <f t="shared" si="246"/>
        <v/>
      </c>
      <c r="BK193" s="65">
        <f t="shared" si="326"/>
        <v>0.18209459651952392</v>
      </c>
      <c r="BL193" s="65">
        <f t="shared" si="325"/>
        <v>0.19855806439155238</v>
      </c>
      <c r="BM193" s="65">
        <f>IFERROR(Q193/COUNTA($J$4:J193),#N/A)</f>
        <v>3.9696893905760096E-2</v>
      </c>
      <c r="BO193" s="489" t="e">
        <f>IF(J193="",#N/A,IF(S193="SW",(COUNTIFS(K$4:$K193,"&gt;0",S$4:$S193,"SW")/COUNTIF(S$4:$S193,"SW")),#N/A))</f>
        <v>#N/A</v>
      </c>
      <c r="BP193" s="489">
        <f>IF($J193="",#N/A,IF($S193="DWN",(COUNTIFS($K$4:$K193,"&lt;0",$S$4:$S193,"DWN")/COUNTIF($S$4:$S193,"DWN")),#N/A))</f>
        <v>0.5625</v>
      </c>
      <c r="BQ193" s="489" t="e">
        <f>IF($J193="",#N/A,IF($S193="UP",(COUNTIFS($K$4:$K193,"&gt;0",$S$4:$S193,"UP")/COUNTIF($S$4:$S193,"UP")),#N/A))</f>
        <v>#N/A</v>
      </c>
      <c r="BR193" s="489">
        <f>IF(J193="",#N/A,COUNTIF($K$4:K193,"&gt;0")/COUNT($J$4:J193))</f>
        <v>0.46842105263157896</v>
      </c>
      <c r="BS193" s="65" t="str">
        <f t="shared" si="247"/>
        <v/>
      </c>
      <c r="BT193" s="65" t="str">
        <f t="shared" si="248"/>
        <v/>
      </c>
      <c r="BU193" s="65" t="str">
        <f t="shared" si="249"/>
        <v/>
      </c>
      <c r="BV193" s="65">
        <f t="shared" si="250"/>
        <v>-0.21781433815399379</v>
      </c>
      <c r="BW193" s="128" t="str">
        <f t="shared" si="251"/>
        <v/>
      </c>
      <c r="BX193" s="128">
        <f>IF($J193="",#N/A,SUM($BW$4:BW193))</f>
        <v>-205.1650000000003</v>
      </c>
      <c r="BY193" s="131">
        <f t="shared" si="252"/>
        <v>-14.774999999999864</v>
      </c>
      <c r="BZ193" s="131">
        <f>IF($J193="",#N/A,SUM($BY$4:BY193))</f>
        <v>334.45934038933433</v>
      </c>
      <c r="CA193" s="133" t="str">
        <f t="shared" si="253"/>
        <v/>
      </c>
      <c r="CB193" s="133">
        <f>IF($J193="",#N/A,SUM($CA$4:CA193))</f>
        <v>147.66202371127932</v>
      </c>
      <c r="CC193" s="194" t="str">
        <f t="shared" si="254"/>
        <v/>
      </c>
      <c r="CD193" s="194">
        <f>IF($J193="",#N/A,SUM($CC$4:CC193))</f>
        <v>-3.1875162177003693</v>
      </c>
      <c r="CE193" s="195">
        <f t="shared" si="255"/>
        <v>-0.21781433815399379</v>
      </c>
      <c r="CF193" s="195">
        <f>IF($J193="",#N/A,SUM($CE$4:CE193))</f>
        <v>6.038794330127633</v>
      </c>
      <c r="CG193" s="196" t="str">
        <f t="shared" si="256"/>
        <v/>
      </c>
      <c r="CH193" s="196">
        <f>IF($J193="",#N/A,SUM($CG$4:CG193))</f>
        <v>4.69113172966716</v>
      </c>
      <c r="CI193" s="200" t="str">
        <f t="shared" si="257"/>
        <v/>
      </c>
      <c r="CJ193" s="203">
        <f>IF($J193="",#N/A,SUM(CI$4:CI193))</f>
        <v>0</v>
      </c>
      <c r="CK193" s="204" t="str">
        <f t="shared" si="258"/>
        <v/>
      </c>
      <c r="CL193" s="204">
        <f>IF($J193="",#N/A,SUM(CK$4:CK193))</f>
        <v>1.9927003554442289</v>
      </c>
      <c r="CM193" s="205" t="str">
        <f t="shared" si="259"/>
        <v/>
      </c>
      <c r="CN193" s="205">
        <f>IF($J193="",#N/A,SUM(CM$4:CM193))</f>
        <v>5.6091171609382364</v>
      </c>
      <c r="CO193" s="205">
        <f>IF($J193="",#N/A,SUM(CM$4:CM193,CK$4:CK193,CI$4:CI193))</f>
        <v>7.6018175163824644</v>
      </c>
      <c r="CP193" s="200" t="str">
        <f t="shared" si="260"/>
        <v/>
      </c>
      <c r="CQ193" s="203">
        <f>IF($J193="",#N/A,SUM(CP$4:CP193))</f>
        <v>0</v>
      </c>
      <c r="CR193" s="204" t="str">
        <f t="shared" si="261"/>
        <v/>
      </c>
      <c r="CS193" s="204">
        <f>IF($J193="",#N/A,SUM(CR$4:CR193))</f>
        <v>2.3249620476559536</v>
      </c>
      <c r="CT193" s="205" t="str">
        <f t="shared" si="262"/>
        <v/>
      </c>
      <c r="CU193" s="205">
        <f>IF($J193="",#N/A,SUM(CT$4:CT193))</f>
        <v>-1.1331655471946371</v>
      </c>
      <c r="CV193" s="205">
        <f>IF($J193="",#N/A,SUM(CT$4:CT193,CR$4:CR193,CP$4:CP193))</f>
        <v>1.1917965004613165</v>
      </c>
      <c r="CW193" s="200" t="str">
        <f t="shared" si="263"/>
        <v/>
      </c>
      <c r="CX193" s="203">
        <f>IF($J193="",#N/A,SUM(CW$4:CW193))</f>
        <v>0</v>
      </c>
      <c r="CY193" s="204" t="str">
        <f t="shared" si="264"/>
        <v/>
      </c>
      <c r="CZ193" s="204">
        <f>IF($J193="",#N/A,SUM(CY$4:CY193))</f>
        <v>-1.0974100761627814</v>
      </c>
      <c r="DA193" s="205" t="str">
        <f t="shared" si="265"/>
        <v/>
      </c>
      <c r="DB193" s="205">
        <f>IF($J193="",#N/A,SUM(DA$4:DA193))</f>
        <v>-2.2679577914291</v>
      </c>
      <c r="DC193" s="205">
        <f>IF($J193="",#N/A,SUM(DA$4:DA193,CY$4:CY193,CW$4:CW193))</f>
        <v>-3.365367867591881</v>
      </c>
      <c r="DD193" s="200" t="str">
        <f t="shared" si="266"/>
        <v/>
      </c>
      <c r="DE193" s="203">
        <f>IF($J193="",#N/A,SUM(DD$4:DD193))</f>
        <v>0.14968716170674062</v>
      </c>
      <c r="DF193" s="204" t="str">
        <f t="shared" si="267"/>
        <v/>
      </c>
      <c r="DG193" s="204">
        <f>IF($J193="",#N/A,SUM(DF$4:DF193))</f>
        <v>1.2121188689979676</v>
      </c>
      <c r="DH193" s="205" t="str">
        <f t="shared" si="268"/>
        <v/>
      </c>
      <c r="DI193" s="205">
        <f>IF($J193="",#N/A,SUM(DH$4:DH193))</f>
        <v>-0.8404015973735236</v>
      </c>
      <c r="DJ193" s="205">
        <f>IF($J193="",#N/A,SUM(DH$4:DH193,DF$4:DF193,DD$4:DD193))</f>
        <v>0.52140443333118447</v>
      </c>
      <c r="DK193" s="200" t="str">
        <f t="shared" si="269"/>
        <v/>
      </c>
      <c r="DL193" s="203">
        <f>IF($J193="",#N/A,SUM(DK$4:DK193))</f>
        <v>-1.2097286851272664</v>
      </c>
      <c r="DM193" s="204" t="str">
        <f t="shared" si="270"/>
        <v/>
      </c>
      <c r="DN193" s="204">
        <f>IF($J193="",#N/A,SUM(DM$4:DM193))</f>
        <v>1.1910608267574658</v>
      </c>
      <c r="DO193" s="205" t="str">
        <f t="shared" si="271"/>
        <v/>
      </c>
      <c r="DP193" s="205">
        <f>IF($J193="",#N/A,SUM(DO$4:DO193))</f>
        <v>2.6571865116636566</v>
      </c>
      <c r="DQ193" s="205">
        <f>IF($J193="",#N/A,SUM(DO$4:DO193,DM$4:DM193,DK$4:DK193))</f>
        <v>2.6385186532938567</v>
      </c>
      <c r="DR193" s="200" t="str">
        <f t="shared" si="272"/>
        <v/>
      </c>
      <c r="DS193" s="203">
        <f>IF($J193="",#N/A,SUM(DR$4:DR193))</f>
        <v>-0.55950946427675097</v>
      </c>
      <c r="DT193" s="204" t="str">
        <f t="shared" si="273"/>
        <v/>
      </c>
      <c r="DU193" s="204">
        <f>IF($J193="",#N/A,SUM(DT$4:DT193))</f>
        <v>-3.5029740333397914</v>
      </c>
      <c r="DV193" s="205" t="str">
        <f t="shared" si="274"/>
        <v/>
      </c>
      <c r="DW193" s="205">
        <f>IF($J193="",#N/A,SUM(DV$4:DV193))</f>
        <v>-1.8527424265931112</v>
      </c>
      <c r="DX193" s="205">
        <f>IF($J193="",#N/A,SUM(DV$4:DV193,DT$4:DT193,DR$4:DR193))</f>
        <v>-5.9152259242096532</v>
      </c>
      <c r="DY193" s="200" t="str">
        <f t="shared" si="275"/>
        <v/>
      </c>
      <c r="DZ193" s="203">
        <f>IF($J193="",#N/A,SUM(DY$4:DY193))</f>
        <v>-1.63480022183437</v>
      </c>
      <c r="EA193" s="204" t="str">
        <f t="shared" si="276"/>
        <v/>
      </c>
      <c r="EB193" s="204">
        <f>IF($J193="",#N/A,SUM(EA$4:EA193))</f>
        <v>0.5578066706208582</v>
      </c>
      <c r="EC193" s="205" t="str">
        <f t="shared" si="277"/>
        <v/>
      </c>
      <c r="ED193" s="205">
        <f>IF($J193="",#N/A,SUM(EC$4:EC193))</f>
        <v>2.4515280577205139</v>
      </c>
      <c r="EE193" s="205">
        <f>IF($J193="",#N/A,SUM(EC$4:EC193,EA$4:EA193,DY$4:DY193))</f>
        <v>1.3745345065070016</v>
      </c>
      <c r="EF193" s="200" t="str">
        <f t="shared" si="278"/>
        <v/>
      </c>
      <c r="EG193" s="203">
        <f>IF($J193="",#N/A,SUM(EF$4:EF193))</f>
        <v>0</v>
      </c>
      <c r="EH193" s="204" t="str">
        <f t="shared" si="279"/>
        <v/>
      </c>
      <c r="EI193" s="204">
        <f>IF($J193="",#N/A,SUM(EH$4:EH193))</f>
        <v>-2.7245005604557937</v>
      </c>
      <c r="EJ193" s="205" t="str">
        <f t="shared" si="280"/>
        <v/>
      </c>
      <c r="EK193" s="205">
        <f>IF($J193="",#N/A,SUM(EJ$4:EJ193))</f>
        <v>2.804966392787259</v>
      </c>
      <c r="EL193" s="205">
        <f>IF($J193="",#N/A,SUM(EJ$4:EJ193,EH$4:EH193,EF$4:EF193))</f>
        <v>8.0465832331466203E-2</v>
      </c>
      <c r="EM193" s="200" t="str">
        <f t="shared" si="281"/>
        <v/>
      </c>
      <c r="EN193" s="203">
        <f>IF($J193="",#N/A,SUM(EM$4:EM193))</f>
        <v>0</v>
      </c>
      <c r="EO193" s="204" t="str">
        <f t="shared" si="282"/>
        <v/>
      </c>
      <c r="EP193" s="204">
        <f>IF($J193="",#N/A,SUM(EO$4:EO193))</f>
        <v>3.0466900999385675</v>
      </c>
      <c r="EQ193" s="205" t="str">
        <f t="shared" si="283"/>
        <v/>
      </c>
      <c r="ER193" s="205">
        <f>IF($J193="",#N/A,SUM(EQ$4:EQ193))</f>
        <v>2.0221833315059508</v>
      </c>
      <c r="ES193" s="205">
        <f>IF($J193="",#N/A,SUM(EQ$4:EQ193,EO$4:EO193,EM$4:EM193))</f>
        <v>5.0688734314445174</v>
      </c>
      <c r="ET193" s="200" t="str">
        <f t="shared" si="284"/>
        <v/>
      </c>
      <c r="EU193" s="203">
        <f>IF($J193="",#N/A,SUM(ET$4:ET193))</f>
        <v>0</v>
      </c>
      <c r="EV193" s="204" t="str">
        <f t="shared" si="285"/>
        <v/>
      </c>
      <c r="EW193" s="204">
        <f>IF($J193="",#N/A,SUM(EV$4:EV193))</f>
        <v>1.9901851109977766</v>
      </c>
      <c r="EX193" s="205" t="str">
        <f t="shared" si="286"/>
        <v/>
      </c>
      <c r="EY193" s="205">
        <f>IF($J193="",#N/A,SUM(EX$4:EX193))</f>
        <v>0.22957553748493481</v>
      </c>
      <c r="EZ193" s="205">
        <f>IF($J193="",#N/A,SUM(EX$4:EX193,EV$4:EV193,ET$4:ET193))</f>
        <v>2.219760648482711</v>
      </c>
      <c r="FA193" s="200" t="str">
        <f t="shared" si="287"/>
        <v/>
      </c>
      <c r="FB193" s="203">
        <f>IF($J193="",#N/A,SUM(FA$4:FA193))</f>
        <v>0</v>
      </c>
      <c r="FC193" s="204" t="str">
        <f t="shared" si="288"/>
        <v/>
      </c>
      <c r="FD193" s="204">
        <f>IF($J193="",#N/A,SUM(FC$4:FC193))</f>
        <v>1.6839191319663924</v>
      </c>
      <c r="FE193" s="205" t="str">
        <f t="shared" si="289"/>
        <v/>
      </c>
      <c r="FF193" s="205">
        <f>IF($J193="",#N/A,SUM(FE$4:FE193))</f>
        <v>-0.28811149078748233</v>
      </c>
      <c r="FG193" s="205">
        <f>IF($J193="",#N/A,SUM(FE$4:FE193,FC$4:FC193,FA$4:FA193))</f>
        <v>1.3958076411789102</v>
      </c>
      <c r="FH193" s="200" t="str">
        <f t="shared" si="290"/>
        <v/>
      </c>
      <c r="FI193" s="203">
        <f>IF($J193="",#N/A,SUM(FH$4:FH193))</f>
        <v>0</v>
      </c>
      <c r="FJ193" s="204" t="str">
        <f t="shared" si="291"/>
        <v/>
      </c>
      <c r="FK193" s="204">
        <f>IF($J193="",#N/A,SUM(FJ$4:FJ193))</f>
        <v>0</v>
      </c>
      <c r="FL193" s="205" t="str">
        <f t="shared" si="292"/>
        <v/>
      </c>
      <c r="FM193" s="205">
        <f>IF($J193="",#N/A,SUM(FL$4:FL193))</f>
        <v>0</v>
      </c>
      <c r="FN193" s="205">
        <f>IF($J193="",#N/A,SUM(FL$4:FL193,FJ$4:FJ193,FH$4:FH193))</f>
        <v>0</v>
      </c>
      <c r="FO193" s="200" t="str">
        <f t="shared" si="293"/>
        <v/>
      </c>
      <c r="FP193" s="203">
        <f>IF($J193="",#N/A,SUM(FO$4:FO193))</f>
        <v>0</v>
      </c>
      <c r="FQ193" s="204" t="str">
        <f t="shared" si="294"/>
        <v/>
      </c>
      <c r="FR193" s="204">
        <f>IF($J193="",#N/A,SUM(FQ$4:FQ193))</f>
        <v>0</v>
      </c>
      <c r="FS193" s="205" t="str">
        <f t="shared" si="295"/>
        <v/>
      </c>
      <c r="FT193" s="205">
        <f>IF($J193="",#N/A,SUM(FS$4:FS193))</f>
        <v>0</v>
      </c>
      <c r="FU193" s="205">
        <f>IF($J193="",#N/A,SUM(FS$4:FS193,FQ$4:FQ193,FO$4:FO193))</f>
        <v>0</v>
      </c>
      <c r="FV193" s="200" t="str">
        <f t="shared" si="296"/>
        <v/>
      </c>
      <c r="FW193" s="203">
        <f>IF($J193="",#N/A,SUM(FV$4:FV193))</f>
        <v>6.6834991831277585E-2</v>
      </c>
      <c r="FX193" s="204">
        <f t="shared" si="297"/>
        <v>-0.21781433815399379</v>
      </c>
      <c r="FY193" s="204">
        <f>IF($J193="",#N/A,SUM(FX$4:FX193))</f>
        <v>-0.16102012791805576</v>
      </c>
      <c r="FZ193" s="205" t="str">
        <f t="shared" si="298"/>
        <v/>
      </c>
      <c r="GA193" s="205">
        <f>IF($J193="",#N/A,SUM(FZ$4:FZ193))</f>
        <v>-1.7642101813332194</v>
      </c>
      <c r="GB193" s="205">
        <f>IF($J193="",#N/A,SUM(FZ$4:FZ193,FX$4:FX193,FV$4:FV193))</f>
        <v>-1.8583953174199976</v>
      </c>
      <c r="GC193" s="200" t="str">
        <f t="shared" si="299"/>
        <v/>
      </c>
      <c r="GD193" s="203">
        <f>IF($J193="",#N/A,SUM(GC$4:GC193))</f>
        <v>0</v>
      </c>
      <c r="GE193" s="204" t="str">
        <f t="shared" si="300"/>
        <v/>
      </c>
      <c r="GF193" s="204">
        <f>IF($J193="",#N/A,SUM(GE$4:GE193))</f>
        <v>0</v>
      </c>
      <c r="GG193" s="205" t="str">
        <f t="shared" si="301"/>
        <v/>
      </c>
      <c r="GH193" s="205">
        <f>IF($J193="",#N/A,SUM(GG$4:GG193))</f>
        <v>-2.9368362277223206</v>
      </c>
      <c r="GI193" s="205">
        <f>IF($J193="",#N/A,SUM(GG$4:GG193,GE$4:GE193,GC$4:GC193))</f>
        <v>-2.9368362277223206</v>
      </c>
      <c r="GJ193" s="200" t="str">
        <f t="shared" si="302"/>
        <v/>
      </c>
      <c r="GK193" s="203">
        <f>IF($J193="",#N/A,SUM(GJ$4:GJ193))</f>
        <v>0</v>
      </c>
      <c r="GL193" s="204" t="str">
        <f t="shared" si="303"/>
        <v/>
      </c>
      <c r="GM193" s="204">
        <f>IF($J193="",#N/A,SUM(GL$4:GL193))</f>
        <v>-0.80168930905701452</v>
      </c>
      <c r="GN193" s="205" t="str">
        <f t="shared" si="304"/>
        <v/>
      </c>
      <c r="GO193" s="205">
        <f>IF($J193="",#N/A,SUM(GN$4:GN193))</f>
        <v>0</v>
      </c>
      <c r="GP193" s="205">
        <f>IF($J193="",#N/A,SUM(GN$4:GN193,GL$4:GL193,GJ$4:GJ193))</f>
        <v>-0.80168930905701452</v>
      </c>
      <c r="GS193" s="54">
        <f t="shared" si="323"/>
        <v>-0.21781433815399379</v>
      </c>
      <c r="GT193" s="54">
        <f>IF(GS193="",NA(),SUM($GS$4:GS193))</f>
        <v>4.4509988334219699</v>
      </c>
      <c r="GU193" s="54" t="str">
        <f t="shared" si="305"/>
        <v/>
      </c>
      <c r="GV193" s="54" t="e">
        <f>IF(GU193="",NA(),SUM($GU$4:GU193))</f>
        <v>#N/A</v>
      </c>
      <c r="GW193" s="54" t="str">
        <f t="shared" si="306"/>
        <v/>
      </c>
      <c r="GX193" s="54" t="e">
        <f>IF(GW193="",NA(),SUM($GW$4:GW193))</f>
        <v>#N/A</v>
      </c>
      <c r="GY193" s="54">
        <f t="shared" si="307"/>
        <v>-0.21781433815399379</v>
      </c>
      <c r="GZ193" s="54">
        <f>IF(GY193="",NA(),SUM($GY$4:GY193))</f>
        <v>2.6274368155213677</v>
      </c>
      <c r="HA193" s="54" t="str">
        <f t="shared" si="308"/>
        <v/>
      </c>
      <c r="HB193" s="54" t="e">
        <f>IF(HA193="",NA(),SUM($HA$4:HA193))</f>
        <v>#N/A</v>
      </c>
      <c r="HC193" s="54" t="str">
        <f t="shared" si="309"/>
        <v/>
      </c>
      <c r="HD193" s="54" t="e">
        <f>IF(HC193="",NA(),SUM($HC$4:HC193))</f>
        <v>#N/A</v>
      </c>
      <c r="HE193" s="54" t="str">
        <f t="shared" si="310"/>
        <v/>
      </c>
      <c r="HF193" s="54" t="e">
        <f>IF(HE193="",NA(),SUM($HE$4:HE193))</f>
        <v>#N/A</v>
      </c>
      <c r="HG193" s="54" t="str">
        <f t="shared" si="311"/>
        <v/>
      </c>
      <c r="HH193" s="54" t="e">
        <f>IF(HG193="",NA(),SUM($HG$4:HG193))</f>
        <v>#N/A</v>
      </c>
      <c r="HI193" s="172" t="str">
        <f t="shared" si="324"/>
        <v/>
      </c>
      <c r="HJ193" s="172">
        <f>IF($J193="",#N/A,SUM(HI$4:$HI193))</f>
        <v>-7.7881897919552259</v>
      </c>
      <c r="HK193" s="54">
        <f t="shared" si="312"/>
        <v>0.12936181504577549</v>
      </c>
      <c r="HL193" s="54">
        <f>IF($J193="",#N/A,SUM($HK$4:HK193))</f>
        <v>-3.190693696374443</v>
      </c>
      <c r="HM193" s="54" t="str">
        <f t="shared" si="313"/>
        <v/>
      </c>
      <c r="HN193" s="54">
        <f>IF($J193="",#N/A,SUM($HM$4:HM193))</f>
        <v>0.71812545963587882</v>
      </c>
      <c r="HO193" s="54" t="str">
        <f t="shared" si="314"/>
        <v/>
      </c>
      <c r="HP193" s="54">
        <f>IF($J193="",#N/A,SUM($HO$4:HO193))</f>
        <v>-0.14859521910082485</v>
      </c>
      <c r="HQ193" s="54" t="str">
        <f t="shared" si="315"/>
        <v/>
      </c>
      <c r="HR193" s="54">
        <f>IF($J193="",#N/A,SUM($HQ$4:HQ193))</f>
        <v>-10.817432081688736</v>
      </c>
      <c r="HS193" s="54" t="str">
        <f t="shared" si="316"/>
        <v/>
      </c>
      <c r="HT193" s="54">
        <f>IF($J193="",#N/A,SUM($HS$4:HS193))</f>
        <v>12.906575604970143</v>
      </c>
      <c r="HU193" s="65">
        <f t="shared" si="317"/>
        <v>-8.8452523108218287E-2</v>
      </c>
      <c r="HV193" s="65">
        <f>IF($J193="",#N/A,SUM(HU$4:$HU193))</f>
        <v>-0.77779988241879217</v>
      </c>
    </row>
    <row r="194" spans="1:230" x14ac:dyDescent="0.25">
      <c r="A194" s="275" t="s">
        <v>2556</v>
      </c>
      <c r="B194" s="52" t="s">
        <v>4543</v>
      </c>
      <c r="C194" s="276">
        <f t="shared" si="218"/>
        <v>3</v>
      </c>
      <c r="D194" s="277" t="str">
        <f>_xlfn.XLOOKUP(A194,[1]SP500!$A$2:$A$502,[1]SP500!$D$2:$D$502,"N")</f>
        <v>N</v>
      </c>
      <c r="E194" s="275" t="str">
        <f>IFERROR(_xlfn.XLOOKUP(A194,[1]SP500!$A$2:$A$655,[1]SP500!$B$2:$B$655),"")</f>
        <v>XLF</v>
      </c>
      <c r="F194" s="290">
        <v>45777</v>
      </c>
      <c r="G194" s="51" t="str">
        <f t="shared" si="219"/>
        <v>AMC</v>
      </c>
      <c r="H194" s="51" t="str">
        <f t="shared" si="220"/>
        <v>s</v>
      </c>
      <c r="I194" s="344">
        <v>49.11</v>
      </c>
      <c r="J194" s="124">
        <v>51.125</v>
      </c>
      <c r="K194" s="55">
        <f t="shared" si="221"/>
        <v>4.1030340052942385E-2</v>
      </c>
      <c r="L194" s="67">
        <f t="shared" si="222"/>
        <v>48.360000000000127</v>
      </c>
      <c r="M194" s="57">
        <f t="shared" si="223"/>
        <v>1.0799999999999272</v>
      </c>
      <c r="N194" s="102">
        <f t="shared" si="224"/>
        <v>48.360000000000127</v>
      </c>
      <c r="O194" s="57">
        <f>IF(N194="",#N/A,SUM($N$4:N194))</f>
        <v>325.31636410061344</v>
      </c>
      <c r="P194" s="65">
        <f t="shared" si="318"/>
        <v>0.68383900088237481</v>
      </c>
      <c r="Q194" s="172">
        <f>IF($N194="",#N/A,SUM($P$4:P194))</f>
        <v>8.2262488429767924</v>
      </c>
      <c r="R194" s="279">
        <f t="shared" si="225"/>
        <v>5.2436031980714848</v>
      </c>
      <c r="S194" s="51" t="str">
        <f t="shared" si="226"/>
        <v>SW</v>
      </c>
      <c r="T194" s="51" t="s">
        <v>2828</v>
      </c>
      <c r="U194" s="56">
        <f t="shared" si="227"/>
        <v>49.11</v>
      </c>
      <c r="V194" s="56" t="s">
        <v>4460</v>
      </c>
      <c r="W194" s="142">
        <v>24</v>
      </c>
      <c r="X194" s="145">
        <f t="shared" si="228"/>
        <v>1178.6399999999999</v>
      </c>
      <c r="Y194" s="140">
        <f t="shared" si="229"/>
        <v>24</v>
      </c>
      <c r="Z194" s="123">
        <v>51.17</v>
      </c>
      <c r="AA194" s="102">
        <f t="shared" si="230"/>
        <v>49.440000000000055</v>
      </c>
      <c r="AB194" s="102">
        <f t="shared" si="231"/>
        <v>-59.759999999999991</v>
      </c>
      <c r="AC194" s="123">
        <v>46.62</v>
      </c>
      <c r="AD194" s="155">
        <f t="shared" si="232"/>
        <v>-59.759999999999991</v>
      </c>
      <c r="AE194" s="545">
        <f t="shared" si="233"/>
        <v>-0.84504174302586033</v>
      </c>
      <c r="AF194" s="57">
        <f>IF($AC194="",#N/A,SUM(AD$4:AD194))</f>
        <v>-178.62041200241595</v>
      </c>
      <c r="AG194" s="102">
        <f t="shared" si="234"/>
        <v>-108.12000000000012</v>
      </c>
      <c r="AH194" s="56" t="s">
        <v>2507</v>
      </c>
      <c r="AI194" s="65">
        <f t="shared" si="235"/>
        <v>0.6991108396117568</v>
      </c>
      <c r="AJ194" s="350">
        <f>IF(AI194="",#N/A,SUM($AI$4:AI194))</f>
        <v>2.9826456449053076</v>
      </c>
      <c r="AK194" s="57">
        <f t="shared" si="236"/>
        <v>49.440000000000055</v>
      </c>
      <c r="AL194" s="349">
        <f>IF(AI194="",#N/A,IF(AH194="Skip",SUM($AK$4:AK194),SUM($AK$4:AK194)))</f>
        <v>-6.3724085071860372</v>
      </c>
      <c r="AM194" s="65">
        <f t="shared" si="319"/>
        <v>-0.84504174302586033</v>
      </c>
      <c r="AN194" s="209"/>
      <c r="AO194" s="65">
        <f t="shared" si="237"/>
        <v>-0.84504174302586033</v>
      </c>
      <c r="AP194" s="65">
        <f>IF($AC194="",#N/A,SUM(AO$4:AO194))</f>
        <v>5.9352335099227007</v>
      </c>
      <c r="AQ194" s="65" t="str">
        <f t="shared" si="238"/>
        <v/>
      </c>
      <c r="AR194" s="65">
        <f>IF($AC194="",#N/A,SUM(AQ$4:AQ194))</f>
        <v>-2.6179859771653153</v>
      </c>
      <c r="AS194" s="65" t="str">
        <f t="shared" si="239"/>
        <v/>
      </c>
      <c r="AT194" s="65">
        <f>IF($AC194="",#N/A,SUM(AS$4:AS194))</f>
        <v>-4.9400891582020421</v>
      </c>
      <c r="AU194" s="57">
        <f t="shared" si="320"/>
        <v>-59.759999999999991</v>
      </c>
      <c r="AV194" s="57">
        <f>IF($AC194="",#N/A,SUM(AU$4:AU194))</f>
        <v>271.49120645125095</v>
      </c>
      <c r="AW194" s="57" t="str">
        <f t="shared" si="321"/>
        <v/>
      </c>
      <c r="AX194" s="57">
        <f>IF($AC194="",#N/A,SUM(AW$4:AW194))</f>
        <v>-163.1400000000001</v>
      </c>
      <c r="AY194" s="57" t="str">
        <f t="shared" si="322"/>
        <v/>
      </c>
      <c r="AZ194" s="57">
        <f>IF($AC194="",#N/A,SUM(AY$4:AY194))</f>
        <v>-286.97161845366679</v>
      </c>
      <c r="BA194" s="57">
        <f>IF(AD194="",#N/A,SUM($AD$4:AD194))</f>
        <v>-178.62041200241595</v>
      </c>
      <c r="BC194" s="51" t="str">
        <f t="shared" si="240"/>
        <v/>
      </c>
      <c r="BD194" s="51" t="str">
        <f t="shared" si="241"/>
        <v/>
      </c>
      <c r="BE194" s="51">
        <f t="shared" si="242"/>
        <v>1</v>
      </c>
      <c r="BF194" s="51" t="str">
        <f t="shared" si="243"/>
        <v>Long</v>
      </c>
      <c r="BG194" s="51" t="str">
        <f t="shared" si="244"/>
        <v/>
      </c>
      <c r="BH194" s="51" t="str">
        <f t="shared" si="245"/>
        <v/>
      </c>
      <c r="BI194" s="51" t="str">
        <f t="shared" si="246"/>
        <v/>
      </c>
      <c r="BK194" s="65">
        <f t="shared" si="326"/>
        <v>0.20479395389845101</v>
      </c>
      <c r="BL194" s="65">
        <f t="shared" si="325"/>
        <v>0.2310684668949618</v>
      </c>
      <c r="BM194" s="65">
        <f>IFERROR(Q194/COUNTA($J$4:J194),#N/A)</f>
        <v>4.306936567003556E-2</v>
      </c>
      <c r="BO194" s="489">
        <f>IF(J194="",#N/A,IF(S194="SW",(COUNTIFS(K$4:$K194,"&gt;0",S$4:$S194,"SW")/COUNTIF(S$4:$S194,"SW")),#N/A))</f>
        <v>0.50485436893203883</v>
      </c>
      <c r="BP194" s="489" t="e">
        <f>IF($J194="",#N/A,IF($S194="DWN",(COUNTIFS($K$4:$K194,"&lt;0",$S$4:$S194,"DWN")/COUNTIF($S$4:$S194,"DWN")),#N/A))</f>
        <v>#N/A</v>
      </c>
      <c r="BQ194" s="489" t="e">
        <f>IF($J194="",#N/A,IF($S194="UP",(COUNTIFS($K$4:$K194,"&gt;0",$S$4:$S194,"UP")/COUNTIF($S$4:$S194,"UP")),#N/A))</f>
        <v>#N/A</v>
      </c>
      <c r="BR194" s="489">
        <f>IF(J194="",#N/A,COUNTIF($K$4:K194,"&gt;0")/COUNT($J$4:J194))</f>
        <v>0.47120418848167539</v>
      </c>
      <c r="BS194" s="65">
        <f t="shared" si="247"/>
        <v>0.68383900088237481</v>
      </c>
      <c r="BT194" s="65" t="str">
        <f t="shared" si="248"/>
        <v/>
      </c>
      <c r="BU194" s="65" t="str">
        <f t="shared" si="249"/>
        <v/>
      </c>
      <c r="BV194" s="65" t="str">
        <f t="shared" si="250"/>
        <v/>
      </c>
      <c r="BW194" s="128" t="str">
        <f t="shared" si="251"/>
        <v/>
      </c>
      <c r="BX194" s="128">
        <f>IF($J194="",#N/A,SUM($BW$4:BW194))</f>
        <v>-205.1650000000003</v>
      </c>
      <c r="BY194" s="131" t="str">
        <f t="shared" si="252"/>
        <v/>
      </c>
      <c r="BZ194" s="131">
        <f>IF($J194="",#N/A,SUM($BY$4:BY194))</f>
        <v>334.45934038933433</v>
      </c>
      <c r="CA194" s="133">
        <f t="shared" si="253"/>
        <v>48.360000000000127</v>
      </c>
      <c r="CB194" s="133">
        <f>IF($J194="",#N/A,SUM($CA$4:CA194))</f>
        <v>196.02202371127945</v>
      </c>
      <c r="CC194" s="194" t="str">
        <f t="shared" si="254"/>
        <v/>
      </c>
      <c r="CD194" s="194">
        <f>IF($J194="",#N/A,SUM($CC$4:CC194))</f>
        <v>-3.1875162177003693</v>
      </c>
      <c r="CE194" s="195" t="str">
        <f t="shared" si="255"/>
        <v/>
      </c>
      <c r="CF194" s="195">
        <f>IF($J194="",#N/A,SUM($CE$4:CE194))</f>
        <v>6.038794330127633</v>
      </c>
      <c r="CG194" s="196">
        <f t="shared" si="256"/>
        <v>0.68383900088237481</v>
      </c>
      <c r="CH194" s="196">
        <f>IF($J194="",#N/A,SUM($CG$4:CG194))</f>
        <v>5.3749707305495349</v>
      </c>
      <c r="CI194" s="200" t="str">
        <f t="shared" si="257"/>
        <v/>
      </c>
      <c r="CJ194" s="203">
        <f>IF($J194="",#N/A,SUM(CI$4:CI194))</f>
        <v>0</v>
      </c>
      <c r="CK194" s="204" t="str">
        <f t="shared" si="258"/>
        <v/>
      </c>
      <c r="CL194" s="204">
        <f>IF($J194="",#N/A,SUM(CK$4:CK194))</f>
        <v>1.9927003554442289</v>
      </c>
      <c r="CM194" s="205" t="str">
        <f t="shared" si="259"/>
        <v/>
      </c>
      <c r="CN194" s="205">
        <f>IF($J194="",#N/A,SUM(CM$4:CM194))</f>
        <v>5.6091171609382364</v>
      </c>
      <c r="CO194" s="205">
        <f>IF($J194="",#N/A,SUM(CM$4:CM194,CK$4:CK194,CI$4:CI194))</f>
        <v>7.6018175163824644</v>
      </c>
      <c r="CP194" s="200" t="str">
        <f t="shared" si="260"/>
        <v/>
      </c>
      <c r="CQ194" s="203">
        <f>IF($J194="",#N/A,SUM(CP$4:CP194))</f>
        <v>0</v>
      </c>
      <c r="CR194" s="204" t="str">
        <f t="shared" si="261"/>
        <v/>
      </c>
      <c r="CS194" s="204">
        <f>IF($J194="",#N/A,SUM(CR$4:CR194))</f>
        <v>2.3249620476559536</v>
      </c>
      <c r="CT194" s="205" t="str">
        <f t="shared" si="262"/>
        <v/>
      </c>
      <c r="CU194" s="205">
        <f>IF($J194="",#N/A,SUM(CT$4:CT194))</f>
        <v>-1.1331655471946371</v>
      </c>
      <c r="CV194" s="205">
        <f>IF($J194="",#N/A,SUM(CT$4:CT194,CR$4:CR194,CP$4:CP194))</f>
        <v>1.1917965004613165</v>
      </c>
      <c r="CW194" s="200" t="str">
        <f t="shared" si="263"/>
        <v/>
      </c>
      <c r="CX194" s="203">
        <f>IF($J194="",#N/A,SUM(CW$4:CW194))</f>
        <v>0</v>
      </c>
      <c r="CY194" s="204" t="str">
        <f t="shared" si="264"/>
        <v/>
      </c>
      <c r="CZ194" s="204">
        <f>IF($J194="",#N/A,SUM(CY$4:CY194))</f>
        <v>-1.0974100761627814</v>
      </c>
      <c r="DA194" s="205" t="str">
        <f t="shared" si="265"/>
        <v/>
      </c>
      <c r="DB194" s="205">
        <f>IF($J194="",#N/A,SUM(DA$4:DA194))</f>
        <v>-2.2679577914291</v>
      </c>
      <c r="DC194" s="205">
        <f>IF($J194="",#N/A,SUM(DA$4:DA194,CY$4:CY194,CW$4:CW194))</f>
        <v>-3.365367867591881</v>
      </c>
      <c r="DD194" s="200" t="str">
        <f t="shared" si="266"/>
        <v/>
      </c>
      <c r="DE194" s="203">
        <f>IF($J194="",#N/A,SUM(DD$4:DD194))</f>
        <v>0.14968716170674062</v>
      </c>
      <c r="DF194" s="204" t="str">
        <f t="shared" si="267"/>
        <v/>
      </c>
      <c r="DG194" s="204">
        <f>IF($J194="",#N/A,SUM(DF$4:DF194))</f>
        <v>1.2121188689979676</v>
      </c>
      <c r="DH194" s="205" t="str">
        <f t="shared" si="268"/>
        <v/>
      </c>
      <c r="DI194" s="205">
        <f>IF($J194="",#N/A,SUM(DH$4:DH194))</f>
        <v>-0.8404015973735236</v>
      </c>
      <c r="DJ194" s="205">
        <f>IF($J194="",#N/A,SUM(DH$4:DH194,DF$4:DF194,DD$4:DD194))</f>
        <v>0.52140443333118447</v>
      </c>
      <c r="DK194" s="200" t="str">
        <f t="shared" si="269"/>
        <v/>
      </c>
      <c r="DL194" s="203">
        <f>IF($J194="",#N/A,SUM(DK$4:DK194))</f>
        <v>-1.2097286851272664</v>
      </c>
      <c r="DM194" s="204" t="str">
        <f t="shared" si="270"/>
        <v/>
      </c>
      <c r="DN194" s="204">
        <f>IF($J194="",#N/A,SUM(DM$4:DM194))</f>
        <v>1.1910608267574658</v>
      </c>
      <c r="DO194" s="205" t="str">
        <f t="shared" si="271"/>
        <v/>
      </c>
      <c r="DP194" s="205">
        <f>IF($J194="",#N/A,SUM(DO$4:DO194))</f>
        <v>2.6571865116636566</v>
      </c>
      <c r="DQ194" s="205">
        <f>IF($J194="",#N/A,SUM(DO$4:DO194,DM$4:DM194,DK$4:DK194))</f>
        <v>2.6385186532938567</v>
      </c>
      <c r="DR194" s="200" t="str">
        <f t="shared" si="272"/>
        <v/>
      </c>
      <c r="DS194" s="203">
        <f>IF($J194="",#N/A,SUM(DR$4:DR194))</f>
        <v>-0.55950946427675097</v>
      </c>
      <c r="DT194" s="204" t="str">
        <f t="shared" si="273"/>
        <v/>
      </c>
      <c r="DU194" s="204">
        <f>IF($J194="",#N/A,SUM(DT$4:DT194))</f>
        <v>-3.5029740333397914</v>
      </c>
      <c r="DV194" s="205">
        <f t="shared" si="274"/>
        <v>0.68383900088237481</v>
      </c>
      <c r="DW194" s="205">
        <f>IF($J194="",#N/A,SUM(DV$4:DV194))</f>
        <v>-1.1689034257107362</v>
      </c>
      <c r="DX194" s="205">
        <f>IF($J194="",#N/A,SUM(DV$4:DV194,DT$4:DT194,DR$4:DR194))</f>
        <v>-5.2313869233272783</v>
      </c>
      <c r="DY194" s="200" t="str">
        <f t="shared" si="275"/>
        <v/>
      </c>
      <c r="DZ194" s="203">
        <f>IF($J194="",#N/A,SUM(DY$4:DY194))</f>
        <v>-1.63480022183437</v>
      </c>
      <c r="EA194" s="204" t="str">
        <f t="shared" si="276"/>
        <v/>
      </c>
      <c r="EB194" s="204">
        <f>IF($J194="",#N/A,SUM(EA$4:EA194))</f>
        <v>0.5578066706208582</v>
      </c>
      <c r="EC194" s="205" t="str">
        <f t="shared" si="277"/>
        <v/>
      </c>
      <c r="ED194" s="205">
        <f>IF($J194="",#N/A,SUM(EC$4:EC194))</f>
        <v>2.4515280577205139</v>
      </c>
      <c r="EE194" s="205">
        <f>IF($J194="",#N/A,SUM(EC$4:EC194,EA$4:EA194,DY$4:DY194))</f>
        <v>1.3745345065070016</v>
      </c>
      <c r="EF194" s="200" t="str">
        <f t="shared" si="278"/>
        <v/>
      </c>
      <c r="EG194" s="203">
        <f>IF($J194="",#N/A,SUM(EF$4:EF194))</f>
        <v>0</v>
      </c>
      <c r="EH194" s="204" t="str">
        <f t="shared" si="279"/>
        <v/>
      </c>
      <c r="EI194" s="204">
        <f>IF($J194="",#N/A,SUM(EH$4:EH194))</f>
        <v>-2.7245005604557937</v>
      </c>
      <c r="EJ194" s="205" t="str">
        <f t="shared" si="280"/>
        <v/>
      </c>
      <c r="EK194" s="205">
        <f>IF($J194="",#N/A,SUM(EJ$4:EJ194))</f>
        <v>2.804966392787259</v>
      </c>
      <c r="EL194" s="205">
        <f>IF($J194="",#N/A,SUM(EJ$4:EJ194,EH$4:EH194,EF$4:EF194))</f>
        <v>8.0465832331466203E-2</v>
      </c>
      <c r="EM194" s="200" t="str">
        <f t="shared" si="281"/>
        <v/>
      </c>
      <c r="EN194" s="203">
        <f>IF($J194="",#N/A,SUM(EM$4:EM194))</f>
        <v>0</v>
      </c>
      <c r="EO194" s="204" t="str">
        <f t="shared" si="282"/>
        <v/>
      </c>
      <c r="EP194" s="204">
        <f>IF($J194="",#N/A,SUM(EO$4:EO194))</f>
        <v>3.0466900999385675</v>
      </c>
      <c r="EQ194" s="205" t="str">
        <f t="shared" si="283"/>
        <v/>
      </c>
      <c r="ER194" s="205">
        <f>IF($J194="",#N/A,SUM(EQ$4:EQ194))</f>
        <v>2.0221833315059508</v>
      </c>
      <c r="ES194" s="205">
        <f>IF($J194="",#N/A,SUM(EQ$4:EQ194,EO$4:EO194,EM$4:EM194))</f>
        <v>5.0688734314445174</v>
      </c>
      <c r="ET194" s="200" t="str">
        <f t="shared" si="284"/>
        <v/>
      </c>
      <c r="EU194" s="203">
        <f>IF($J194="",#N/A,SUM(ET$4:ET194))</f>
        <v>0</v>
      </c>
      <c r="EV194" s="204" t="str">
        <f t="shared" si="285"/>
        <v/>
      </c>
      <c r="EW194" s="204">
        <f>IF($J194="",#N/A,SUM(EV$4:EV194))</f>
        <v>1.9901851109977766</v>
      </c>
      <c r="EX194" s="205" t="str">
        <f t="shared" si="286"/>
        <v/>
      </c>
      <c r="EY194" s="205">
        <f>IF($J194="",#N/A,SUM(EX$4:EX194))</f>
        <v>0.22957553748493481</v>
      </c>
      <c r="EZ194" s="205">
        <f>IF($J194="",#N/A,SUM(EX$4:EX194,EV$4:EV194,ET$4:ET194))</f>
        <v>2.219760648482711</v>
      </c>
      <c r="FA194" s="200" t="str">
        <f t="shared" si="287"/>
        <v/>
      </c>
      <c r="FB194" s="203">
        <f>IF($J194="",#N/A,SUM(FA$4:FA194))</f>
        <v>0</v>
      </c>
      <c r="FC194" s="204" t="str">
        <f t="shared" si="288"/>
        <v/>
      </c>
      <c r="FD194" s="204">
        <f>IF($J194="",#N/A,SUM(FC$4:FC194))</f>
        <v>1.6839191319663924</v>
      </c>
      <c r="FE194" s="205" t="str">
        <f t="shared" si="289"/>
        <v/>
      </c>
      <c r="FF194" s="205">
        <f>IF($J194="",#N/A,SUM(FE$4:FE194))</f>
        <v>-0.28811149078748233</v>
      </c>
      <c r="FG194" s="205">
        <f>IF($J194="",#N/A,SUM(FE$4:FE194,FC$4:FC194,FA$4:FA194))</f>
        <v>1.3958076411789102</v>
      </c>
      <c r="FH194" s="200" t="str">
        <f t="shared" si="290"/>
        <v/>
      </c>
      <c r="FI194" s="203">
        <f>IF($J194="",#N/A,SUM(FH$4:FH194))</f>
        <v>0</v>
      </c>
      <c r="FJ194" s="204" t="str">
        <f t="shared" si="291"/>
        <v/>
      </c>
      <c r="FK194" s="204">
        <f>IF($J194="",#N/A,SUM(FJ$4:FJ194))</f>
        <v>0</v>
      </c>
      <c r="FL194" s="205" t="str">
        <f t="shared" si="292"/>
        <v/>
      </c>
      <c r="FM194" s="205">
        <f>IF($J194="",#N/A,SUM(FL$4:FL194))</f>
        <v>0</v>
      </c>
      <c r="FN194" s="205">
        <f>IF($J194="",#N/A,SUM(FL$4:FL194,FJ$4:FJ194,FH$4:FH194))</f>
        <v>0</v>
      </c>
      <c r="FO194" s="200" t="str">
        <f t="shared" si="293"/>
        <v/>
      </c>
      <c r="FP194" s="203">
        <f>IF($J194="",#N/A,SUM(FO$4:FO194))</f>
        <v>0</v>
      </c>
      <c r="FQ194" s="204" t="str">
        <f t="shared" si="294"/>
        <v/>
      </c>
      <c r="FR194" s="204">
        <f>IF($J194="",#N/A,SUM(FQ$4:FQ194))</f>
        <v>0</v>
      </c>
      <c r="FS194" s="205" t="str">
        <f t="shared" si="295"/>
        <v/>
      </c>
      <c r="FT194" s="205">
        <f>IF($J194="",#N/A,SUM(FS$4:FS194))</f>
        <v>0</v>
      </c>
      <c r="FU194" s="205">
        <f>IF($J194="",#N/A,SUM(FS$4:FS194,FQ$4:FQ194,FO$4:FO194))</f>
        <v>0</v>
      </c>
      <c r="FV194" s="200" t="str">
        <f t="shared" si="296"/>
        <v/>
      </c>
      <c r="FW194" s="203">
        <f>IF($J194="",#N/A,SUM(FV$4:FV194))</f>
        <v>6.6834991831277585E-2</v>
      </c>
      <c r="FX194" s="204" t="str">
        <f t="shared" si="297"/>
        <v/>
      </c>
      <c r="FY194" s="204">
        <f>IF($J194="",#N/A,SUM(FX$4:FX194))</f>
        <v>-0.16102012791805576</v>
      </c>
      <c r="FZ194" s="205" t="str">
        <f t="shared" si="298"/>
        <v/>
      </c>
      <c r="GA194" s="205">
        <f>IF($J194="",#N/A,SUM(FZ$4:FZ194))</f>
        <v>-1.7642101813332194</v>
      </c>
      <c r="GB194" s="205">
        <f>IF($J194="",#N/A,SUM(FZ$4:FZ194,FX$4:FX194,FV$4:FV194))</f>
        <v>-1.8583953174199976</v>
      </c>
      <c r="GC194" s="200" t="str">
        <f t="shared" si="299"/>
        <v/>
      </c>
      <c r="GD194" s="203">
        <f>IF($J194="",#N/A,SUM(GC$4:GC194))</f>
        <v>0</v>
      </c>
      <c r="GE194" s="204" t="str">
        <f t="shared" si="300"/>
        <v/>
      </c>
      <c r="GF194" s="204">
        <f>IF($J194="",#N/A,SUM(GE$4:GE194))</f>
        <v>0</v>
      </c>
      <c r="GG194" s="205" t="str">
        <f t="shared" si="301"/>
        <v/>
      </c>
      <c r="GH194" s="205">
        <f>IF($J194="",#N/A,SUM(GG$4:GG194))</f>
        <v>-2.9368362277223206</v>
      </c>
      <c r="GI194" s="205">
        <f>IF($J194="",#N/A,SUM(GG$4:GG194,GE$4:GE194,GC$4:GC194))</f>
        <v>-2.9368362277223206</v>
      </c>
      <c r="GJ194" s="200" t="str">
        <f t="shared" si="302"/>
        <v/>
      </c>
      <c r="GK194" s="203">
        <f>IF($J194="",#N/A,SUM(GJ$4:GJ194))</f>
        <v>0</v>
      </c>
      <c r="GL194" s="204" t="str">
        <f t="shared" si="303"/>
        <v/>
      </c>
      <c r="GM194" s="204">
        <f>IF($J194="",#N/A,SUM(GL$4:GL194))</f>
        <v>-0.80168930905701452</v>
      </c>
      <c r="GN194" s="205" t="str">
        <f t="shared" si="304"/>
        <v/>
      </c>
      <c r="GO194" s="205">
        <f>IF($J194="",#N/A,SUM(GN$4:GN194))</f>
        <v>0</v>
      </c>
      <c r="GP194" s="205">
        <f>IF($J194="",#N/A,SUM(GN$4:GN194,GL$4:GL194,GJ$4:GJ194))</f>
        <v>-0.80168930905701452</v>
      </c>
      <c r="GS194" s="54" t="str">
        <f t="shared" si="323"/>
        <v/>
      </c>
      <c r="GT194" s="54" t="e">
        <f>IF(GS194="",NA(),SUM($GS$4:GS194))</f>
        <v>#N/A</v>
      </c>
      <c r="GU194" s="54" t="str">
        <f t="shared" si="305"/>
        <v/>
      </c>
      <c r="GV194" s="54" t="e">
        <f>IF(GU194="",NA(),SUM($GU$4:GU194))</f>
        <v>#N/A</v>
      </c>
      <c r="GW194" s="54" t="str">
        <f t="shared" si="306"/>
        <v/>
      </c>
      <c r="GX194" s="54" t="e">
        <f>IF(GW194="",NA(),SUM($GW$4:GW194))</f>
        <v>#N/A</v>
      </c>
      <c r="GY194" s="54" t="str">
        <f t="shared" si="307"/>
        <v/>
      </c>
      <c r="GZ194" s="54" t="e">
        <f>IF(GY194="",NA(),SUM($GY$4:GY194))</f>
        <v>#N/A</v>
      </c>
      <c r="HA194" s="54">
        <f t="shared" si="308"/>
        <v>0.68383900088237481</v>
      </c>
      <c r="HB194" s="54">
        <f>IF(HA194="",NA(),SUM($HA$4:HA194))</f>
        <v>3.7752500095548243</v>
      </c>
      <c r="HC194" s="54" t="str">
        <f t="shared" si="309"/>
        <v/>
      </c>
      <c r="HD194" s="54" t="e">
        <f>IF(HC194="",NA(),SUM($HC$4:HC194))</f>
        <v>#N/A</v>
      </c>
      <c r="HE194" s="54">
        <f t="shared" si="310"/>
        <v>0.68383900088237481</v>
      </c>
      <c r="HF194" s="54">
        <f>IF(HE194="",NA(),SUM($HE$4:HE194))</f>
        <v>0.36389249494856013</v>
      </c>
      <c r="HG194" s="54" t="str">
        <f t="shared" si="311"/>
        <v/>
      </c>
      <c r="HH194" s="54" t="e">
        <f>IF(HG194="",NA(),SUM($HG$4:HG194))</f>
        <v>#N/A</v>
      </c>
      <c r="HI194" s="172" t="str">
        <f t="shared" si="324"/>
        <v/>
      </c>
      <c r="HJ194" s="172">
        <f>IF($J194="",#N/A,SUM(HI$4:$HI194))</f>
        <v>-7.7881897919552259</v>
      </c>
      <c r="HK194" s="54" t="str">
        <f t="shared" si="312"/>
        <v/>
      </c>
      <c r="HL194" s="54">
        <f>IF($J194="",#N/A,SUM($HK$4:HK194))</f>
        <v>-3.190693696374443</v>
      </c>
      <c r="HM194" s="54" t="str">
        <f t="shared" si="313"/>
        <v/>
      </c>
      <c r="HN194" s="54">
        <f>IF($J194="",#N/A,SUM($HM$4:HM194))</f>
        <v>0.71812545963587882</v>
      </c>
      <c r="HO194" s="54" t="str">
        <f t="shared" si="314"/>
        <v/>
      </c>
      <c r="HP194" s="54">
        <f>IF($J194="",#N/A,SUM($HO$4:HO194))</f>
        <v>-0.14859521910082485</v>
      </c>
      <c r="HQ194" s="54">
        <f t="shared" si="315"/>
        <v>-1.528880743908235</v>
      </c>
      <c r="HR194" s="54">
        <f>IF($J194="",#N/A,SUM($HQ$4:HQ194))</f>
        <v>-12.346312825596971</v>
      </c>
      <c r="HS194" s="54" t="str">
        <f t="shared" si="316"/>
        <v/>
      </c>
      <c r="HT194" s="54">
        <f>IF($J194="",#N/A,SUM($HS$4:HS194))</f>
        <v>12.906575604970143</v>
      </c>
      <c r="HU194" s="65">
        <f t="shared" si="317"/>
        <v>-0.84504174302586033</v>
      </c>
      <c r="HV194" s="65">
        <f>IF($J194="",#N/A,SUM(HU$4:$HU194))</f>
        <v>-1.6228416254446525</v>
      </c>
    </row>
    <row r="195" spans="1:230" x14ac:dyDescent="0.25">
      <c r="A195" s="396" t="s">
        <v>437</v>
      </c>
      <c r="B195" s="52" t="s">
        <v>4543</v>
      </c>
      <c r="C195" s="229">
        <f t="shared" si="218"/>
        <v>2</v>
      </c>
      <c r="D195" s="219" t="str">
        <f>_xlfn.XLOOKUP(A195,[1]SP500!$A$2:$A$502,[1]SP500!$D$2:$D$502,"N")</f>
        <v>Y</v>
      </c>
      <c r="E195" s="51" t="str">
        <f>IFERROR(_xlfn.XLOOKUP(A195,[1]SP500!$A$2:$A$655,[1]SP500!$B$2:$B$655),"")</f>
        <v>XLB</v>
      </c>
      <c r="F195" s="290">
        <v>45777</v>
      </c>
      <c r="G195" s="51" t="str">
        <f t="shared" si="219"/>
        <v>AMC</v>
      </c>
      <c r="H195" s="51" t="str">
        <f t="shared" si="220"/>
        <v>s</v>
      </c>
      <c r="I195" s="344">
        <v>58.55</v>
      </c>
      <c r="J195" s="124">
        <v>61.37</v>
      </c>
      <c r="K195" s="55">
        <f t="shared" si="221"/>
        <v>4.8163962425277547E-2</v>
      </c>
      <c r="L195" s="67">
        <f t="shared" si="222"/>
        <v>-56.399999999999864</v>
      </c>
      <c r="M195" s="57">
        <f t="shared" si="223"/>
        <v>0</v>
      </c>
      <c r="N195" s="102">
        <f t="shared" si="224"/>
        <v>-56.399999999999864</v>
      </c>
      <c r="O195" s="57">
        <f>IF(N195="",#N/A,SUM($N$4:N195))</f>
        <v>268.91636410061358</v>
      </c>
      <c r="P195" s="65">
        <f t="shared" si="318"/>
        <v>-0.80273270708795719</v>
      </c>
      <c r="Q195" s="172">
        <f>IF($N195="",#N/A,SUM($P$4:P195))</f>
        <v>7.4235161358888355</v>
      </c>
      <c r="R195" s="279">
        <f t="shared" si="225"/>
        <v>5.2436031980714848</v>
      </c>
      <c r="S195" s="51" t="str">
        <f t="shared" si="226"/>
        <v>Dwn</v>
      </c>
      <c r="T195" s="51" t="s">
        <v>4461</v>
      </c>
      <c r="U195" s="56">
        <f t="shared" si="227"/>
        <v>58.55</v>
      </c>
      <c r="V195" s="56" t="s">
        <v>4458</v>
      </c>
      <c r="W195" s="142">
        <v>20</v>
      </c>
      <c r="X195" s="145">
        <f t="shared" si="228"/>
        <v>1171</v>
      </c>
      <c r="Y195" s="140">
        <f t="shared" si="229"/>
        <v>20</v>
      </c>
      <c r="Z195" s="123">
        <v>61.37</v>
      </c>
      <c r="AA195" s="102">
        <f t="shared" si="230"/>
        <v>-56.399999999999864</v>
      </c>
      <c r="AB195" s="102">
        <f t="shared" si="231"/>
        <v>-15.400000000000091</v>
      </c>
      <c r="AC195" s="124">
        <v>59.32</v>
      </c>
      <c r="AD195" s="155">
        <f t="shared" si="232"/>
        <v>-15.400000000000091</v>
      </c>
      <c r="AE195" s="545">
        <f t="shared" si="233"/>
        <v>-0.21918588101338021</v>
      </c>
      <c r="AF195" s="57">
        <f>IF($AC195="",#N/A,SUM(AD$4:AD195))</f>
        <v>-194.02041200241604</v>
      </c>
      <c r="AG195" s="102">
        <f t="shared" si="234"/>
        <v>40.999999999999773</v>
      </c>
      <c r="AH195" s="56" t="s">
        <v>2507</v>
      </c>
      <c r="AI195" s="65">
        <f t="shared" si="235"/>
        <v>-0.80273270708795719</v>
      </c>
      <c r="AJ195" s="350">
        <f>IF(AI195="",#N/A,SUM($AI$4:AI195))</f>
        <v>2.1799129378173503</v>
      </c>
      <c r="AK195" s="57">
        <f t="shared" si="236"/>
        <v>-56.399999999999864</v>
      </c>
      <c r="AL195" s="349">
        <f>IF(AI195="",#N/A,IF(AH195="Skip",SUM($AK$4:AK195),SUM($AK$4:AK195)))</f>
        <v>-62.772408507185901</v>
      </c>
      <c r="AM195" s="65">
        <f t="shared" si="319"/>
        <v>-0.21918588101338021</v>
      </c>
      <c r="AN195" s="209"/>
      <c r="AO195" s="65" t="str">
        <f t="shared" si="237"/>
        <v/>
      </c>
      <c r="AP195" s="65">
        <f>IF($AC195="",#N/A,SUM(AO$4:AO195))</f>
        <v>5.9352335099227007</v>
      </c>
      <c r="AQ195" s="65" t="str">
        <f t="shared" si="238"/>
        <v/>
      </c>
      <c r="AR195" s="65">
        <f>IF($AC195="",#N/A,SUM(AQ$4:AQ195))</f>
        <v>-2.6179859771653153</v>
      </c>
      <c r="AS195" s="65">
        <f t="shared" si="239"/>
        <v>-0.21918588101338021</v>
      </c>
      <c r="AT195" s="65">
        <f>IF($AC195="",#N/A,SUM(AS$4:AS195))</f>
        <v>-5.1592750392154221</v>
      </c>
      <c r="AU195" s="57" t="str">
        <f t="shared" si="320"/>
        <v/>
      </c>
      <c r="AV195" s="57">
        <f>IF($AC195="",#N/A,SUM(AU$4:AU195))</f>
        <v>271.49120645125095</v>
      </c>
      <c r="AW195" s="57" t="str">
        <f t="shared" si="321"/>
        <v/>
      </c>
      <c r="AX195" s="57">
        <f>IF($AC195="",#N/A,SUM(AW$4:AW195))</f>
        <v>-163.1400000000001</v>
      </c>
      <c r="AY195" s="57">
        <f t="shared" si="322"/>
        <v>-15.400000000000091</v>
      </c>
      <c r="AZ195" s="57">
        <f>IF($AC195="",#N/A,SUM(AY$4:AY195))</f>
        <v>-302.37161845366688</v>
      </c>
      <c r="BA195" s="57">
        <f>IF(AD195="",#N/A,SUM($AD$4:AD195))</f>
        <v>-194.02041200241604</v>
      </c>
      <c r="BC195" s="51" t="str">
        <f t="shared" si="240"/>
        <v/>
      </c>
      <c r="BD195" s="51">
        <f t="shared" si="241"/>
        <v>1</v>
      </c>
      <c r="BE195" s="51" t="str">
        <f t="shared" si="242"/>
        <v/>
      </c>
      <c r="BF195" s="51" t="str">
        <f t="shared" si="243"/>
        <v>Short</v>
      </c>
      <c r="BG195" s="51" t="str">
        <f t="shared" si="244"/>
        <v/>
      </c>
      <c r="BH195" s="51" t="str">
        <f t="shared" si="245"/>
        <v/>
      </c>
      <c r="BI195" s="51" t="str">
        <f t="shared" si="246"/>
        <v/>
      </c>
      <c r="BK195" s="65">
        <f t="shared" si="326"/>
        <v>0.21422973742011409</v>
      </c>
      <c r="BL195" s="65">
        <f t="shared" si="325"/>
        <v>0.21029679709179419</v>
      </c>
      <c r="BM195" s="65">
        <f>IFERROR(Q195/COUNTA($J$4:J195),#N/A)</f>
        <v>3.8664146541087685E-2</v>
      </c>
      <c r="BO195" s="489" t="e">
        <f>IF(J195="",#N/A,IF(S195="SW",(COUNTIFS(K$4:$K195,"&gt;0",S$4:$S195,"SW")/COUNTIF(S$4:$S195,"SW")),#N/A))</f>
        <v>#N/A</v>
      </c>
      <c r="BP195" s="489">
        <f>IF($J195="",#N/A,IF($S195="DWN",(COUNTIFS($K$4:$K195,"&lt;0",$S$4:$S195,"DWN")/COUNTIF($S$4:$S195,"DWN")),#N/A))</f>
        <v>0.55555555555555558</v>
      </c>
      <c r="BQ195" s="489" t="e">
        <f>IF($J195="",#N/A,IF($S195="UP",(COUNTIFS($K$4:$K195,"&gt;0",$S$4:$S195,"UP")/COUNTIF($S$4:$S195,"UP")),#N/A))</f>
        <v>#N/A</v>
      </c>
      <c r="BR195" s="489">
        <f>IF(J195="",#N/A,COUNTIF($K$4:K195,"&gt;0")/COUNT($J$4:J195))</f>
        <v>0.47395833333333331</v>
      </c>
      <c r="BS195" s="65" t="str">
        <f t="shared" si="247"/>
        <v/>
      </c>
      <c r="BT195" s="65" t="str">
        <f t="shared" si="248"/>
        <v/>
      </c>
      <c r="BU195" s="65" t="str">
        <f t="shared" si="249"/>
        <v/>
      </c>
      <c r="BV195" s="65">
        <f t="shared" si="250"/>
        <v>-0.80273270708795719</v>
      </c>
      <c r="BW195" s="128" t="str">
        <f t="shared" si="251"/>
        <v/>
      </c>
      <c r="BX195" s="128">
        <f>IF($J195="",#N/A,SUM($BW$4:BW195))</f>
        <v>-205.1650000000003</v>
      </c>
      <c r="BY195" s="131">
        <f t="shared" si="252"/>
        <v>-56.399999999999864</v>
      </c>
      <c r="BZ195" s="131">
        <f>IF($J195="",#N/A,SUM($BY$4:BY195))</f>
        <v>278.05934038933447</v>
      </c>
      <c r="CA195" s="133" t="str">
        <f t="shared" si="253"/>
        <v/>
      </c>
      <c r="CB195" s="133">
        <f>IF($J195="",#N/A,SUM($CA$4:CA195))</f>
        <v>196.02202371127945</v>
      </c>
      <c r="CC195" s="194" t="str">
        <f t="shared" si="254"/>
        <v/>
      </c>
      <c r="CD195" s="194">
        <f>IF($J195="",#N/A,SUM($CC$4:CC195))</f>
        <v>-3.1875162177003693</v>
      </c>
      <c r="CE195" s="195">
        <f t="shared" si="255"/>
        <v>-0.80273270708795719</v>
      </c>
      <c r="CF195" s="195">
        <f>IF($J195="",#N/A,SUM($CE$4:CE195))</f>
        <v>5.2360616230396761</v>
      </c>
      <c r="CG195" s="196" t="str">
        <f t="shared" si="256"/>
        <v/>
      </c>
      <c r="CH195" s="196">
        <f>IF($J195="",#N/A,SUM($CG$4:CG195))</f>
        <v>5.3749707305495349</v>
      </c>
      <c r="CI195" s="200" t="str">
        <f t="shared" si="257"/>
        <v/>
      </c>
      <c r="CJ195" s="203">
        <f>IF($J195="",#N/A,SUM(CI$4:CI195))</f>
        <v>0</v>
      </c>
      <c r="CK195" s="204" t="str">
        <f t="shared" si="258"/>
        <v/>
      </c>
      <c r="CL195" s="204">
        <f>IF($J195="",#N/A,SUM(CK$4:CK195))</f>
        <v>1.9927003554442289</v>
      </c>
      <c r="CM195" s="205" t="str">
        <f t="shared" si="259"/>
        <v/>
      </c>
      <c r="CN195" s="205">
        <f>IF($J195="",#N/A,SUM(CM$4:CM195))</f>
        <v>5.6091171609382364</v>
      </c>
      <c r="CO195" s="205">
        <f>IF($J195="",#N/A,SUM(CM$4:CM195,CK$4:CK195,CI$4:CI195))</f>
        <v>7.6018175163824644</v>
      </c>
      <c r="CP195" s="200" t="str">
        <f t="shared" si="260"/>
        <v/>
      </c>
      <c r="CQ195" s="203">
        <f>IF($J195="",#N/A,SUM(CP$4:CP195))</f>
        <v>0</v>
      </c>
      <c r="CR195" s="204" t="str">
        <f t="shared" si="261"/>
        <v/>
      </c>
      <c r="CS195" s="204">
        <f>IF($J195="",#N/A,SUM(CR$4:CR195))</f>
        <v>2.3249620476559536</v>
      </c>
      <c r="CT195" s="205" t="str">
        <f t="shared" si="262"/>
        <v/>
      </c>
      <c r="CU195" s="205">
        <f>IF($J195="",#N/A,SUM(CT$4:CT195))</f>
        <v>-1.1331655471946371</v>
      </c>
      <c r="CV195" s="205">
        <f>IF($J195="",#N/A,SUM(CT$4:CT195,CR$4:CR195,CP$4:CP195))</f>
        <v>1.1917965004613165</v>
      </c>
      <c r="CW195" s="200" t="str">
        <f t="shared" si="263"/>
        <v/>
      </c>
      <c r="CX195" s="203">
        <f>IF($J195="",#N/A,SUM(CW$4:CW195))</f>
        <v>0</v>
      </c>
      <c r="CY195" s="204" t="str">
        <f t="shared" si="264"/>
        <v/>
      </c>
      <c r="CZ195" s="204">
        <f>IF($J195="",#N/A,SUM(CY$4:CY195))</f>
        <v>-1.0974100761627814</v>
      </c>
      <c r="DA195" s="205" t="str">
        <f t="shared" si="265"/>
        <v/>
      </c>
      <c r="DB195" s="205">
        <f>IF($J195="",#N/A,SUM(DA$4:DA195))</f>
        <v>-2.2679577914291</v>
      </c>
      <c r="DC195" s="205">
        <f>IF($J195="",#N/A,SUM(DA$4:DA195,CY$4:CY195,CW$4:CW195))</f>
        <v>-3.365367867591881</v>
      </c>
      <c r="DD195" s="200" t="str">
        <f t="shared" si="266"/>
        <v/>
      </c>
      <c r="DE195" s="203">
        <f>IF($J195="",#N/A,SUM(DD$4:DD195))</f>
        <v>0.14968716170674062</v>
      </c>
      <c r="DF195" s="204" t="str">
        <f t="shared" si="267"/>
        <v/>
      </c>
      <c r="DG195" s="204">
        <f>IF($J195="",#N/A,SUM(DF$4:DF195))</f>
        <v>1.2121188689979676</v>
      </c>
      <c r="DH195" s="205" t="str">
        <f t="shared" si="268"/>
        <v/>
      </c>
      <c r="DI195" s="205">
        <f>IF($J195="",#N/A,SUM(DH$4:DH195))</f>
        <v>-0.8404015973735236</v>
      </c>
      <c r="DJ195" s="205">
        <f>IF($J195="",#N/A,SUM(DH$4:DH195,DF$4:DF195,DD$4:DD195))</f>
        <v>0.52140443333118447</v>
      </c>
      <c r="DK195" s="200" t="str">
        <f t="shared" si="269"/>
        <v/>
      </c>
      <c r="DL195" s="203">
        <f>IF($J195="",#N/A,SUM(DK$4:DK195))</f>
        <v>-1.2097286851272664</v>
      </c>
      <c r="DM195" s="204" t="str">
        <f t="shared" si="270"/>
        <v/>
      </c>
      <c r="DN195" s="204">
        <f>IF($J195="",#N/A,SUM(DM$4:DM195))</f>
        <v>1.1910608267574658</v>
      </c>
      <c r="DO195" s="205" t="str">
        <f t="shared" si="271"/>
        <v/>
      </c>
      <c r="DP195" s="205">
        <f>IF($J195="",#N/A,SUM(DO$4:DO195))</f>
        <v>2.6571865116636566</v>
      </c>
      <c r="DQ195" s="205">
        <f>IF($J195="",#N/A,SUM(DO$4:DO195,DM$4:DM195,DK$4:DK195))</f>
        <v>2.6385186532938567</v>
      </c>
      <c r="DR195" s="200" t="str">
        <f t="shared" si="272"/>
        <v/>
      </c>
      <c r="DS195" s="203">
        <f>IF($J195="",#N/A,SUM(DR$4:DR195))</f>
        <v>-0.55950946427675097</v>
      </c>
      <c r="DT195" s="204" t="str">
        <f t="shared" si="273"/>
        <v/>
      </c>
      <c r="DU195" s="204">
        <f>IF($J195="",#N/A,SUM(DT$4:DT195))</f>
        <v>-3.5029740333397914</v>
      </c>
      <c r="DV195" s="205" t="str">
        <f t="shared" si="274"/>
        <v/>
      </c>
      <c r="DW195" s="205">
        <f>IF($J195="",#N/A,SUM(DV$4:DV195))</f>
        <v>-1.1689034257107362</v>
      </c>
      <c r="DX195" s="205">
        <f>IF($J195="",#N/A,SUM(DV$4:DV195,DT$4:DT195,DR$4:DR195))</f>
        <v>-5.2313869233272783</v>
      </c>
      <c r="DY195" s="200" t="str">
        <f t="shared" si="275"/>
        <v/>
      </c>
      <c r="DZ195" s="203">
        <f>IF($J195="",#N/A,SUM(DY$4:DY195))</f>
        <v>-1.63480022183437</v>
      </c>
      <c r="EA195" s="204" t="str">
        <f t="shared" si="276"/>
        <v/>
      </c>
      <c r="EB195" s="204">
        <f>IF($J195="",#N/A,SUM(EA$4:EA195))</f>
        <v>0.5578066706208582</v>
      </c>
      <c r="EC195" s="205" t="str">
        <f t="shared" si="277"/>
        <v/>
      </c>
      <c r="ED195" s="205">
        <f>IF($J195="",#N/A,SUM(EC$4:EC195))</f>
        <v>2.4515280577205139</v>
      </c>
      <c r="EE195" s="205">
        <f>IF($J195="",#N/A,SUM(EC$4:EC195,EA$4:EA195,DY$4:DY195))</f>
        <v>1.3745345065070016</v>
      </c>
      <c r="EF195" s="200" t="str">
        <f t="shared" si="278"/>
        <v/>
      </c>
      <c r="EG195" s="203">
        <f>IF($J195="",#N/A,SUM(EF$4:EF195))</f>
        <v>0</v>
      </c>
      <c r="EH195" s="204" t="str">
        <f t="shared" si="279"/>
        <v/>
      </c>
      <c r="EI195" s="204">
        <f>IF($J195="",#N/A,SUM(EH$4:EH195))</f>
        <v>-2.7245005604557937</v>
      </c>
      <c r="EJ195" s="205" t="str">
        <f t="shared" si="280"/>
        <v/>
      </c>
      <c r="EK195" s="205">
        <f>IF($J195="",#N/A,SUM(EJ$4:EJ195))</f>
        <v>2.804966392787259</v>
      </c>
      <c r="EL195" s="205">
        <f>IF($J195="",#N/A,SUM(EJ$4:EJ195,EH$4:EH195,EF$4:EF195))</f>
        <v>8.0465832331466203E-2</v>
      </c>
      <c r="EM195" s="200" t="str">
        <f t="shared" si="281"/>
        <v/>
      </c>
      <c r="EN195" s="203">
        <f>IF($J195="",#N/A,SUM(EM$4:EM195))</f>
        <v>0</v>
      </c>
      <c r="EO195" s="204">
        <f t="shared" si="282"/>
        <v>-0.80273270708795719</v>
      </c>
      <c r="EP195" s="204">
        <f>IF($J195="",#N/A,SUM(EO$4:EO195))</f>
        <v>2.2439573928506102</v>
      </c>
      <c r="EQ195" s="205" t="str">
        <f t="shared" si="283"/>
        <v/>
      </c>
      <c r="ER195" s="205">
        <f>IF($J195="",#N/A,SUM(EQ$4:EQ195))</f>
        <v>2.0221833315059508</v>
      </c>
      <c r="ES195" s="205">
        <f>IF($J195="",#N/A,SUM(EQ$4:EQ195,EO$4:EO195,EM$4:EM195))</f>
        <v>4.2661407243565606</v>
      </c>
      <c r="ET195" s="200" t="str">
        <f t="shared" si="284"/>
        <v/>
      </c>
      <c r="EU195" s="203">
        <f>IF($J195="",#N/A,SUM(ET$4:ET195))</f>
        <v>0</v>
      </c>
      <c r="EV195" s="204" t="str">
        <f t="shared" si="285"/>
        <v/>
      </c>
      <c r="EW195" s="204">
        <f>IF($J195="",#N/A,SUM(EV$4:EV195))</f>
        <v>1.9901851109977766</v>
      </c>
      <c r="EX195" s="205" t="str">
        <f t="shared" si="286"/>
        <v/>
      </c>
      <c r="EY195" s="205">
        <f>IF($J195="",#N/A,SUM(EX$4:EX195))</f>
        <v>0.22957553748493481</v>
      </c>
      <c r="EZ195" s="205">
        <f>IF($J195="",#N/A,SUM(EX$4:EX195,EV$4:EV195,ET$4:ET195))</f>
        <v>2.219760648482711</v>
      </c>
      <c r="FA195" s="200" t="str">
        <f t="shared" si="287"/>
        <v/>
      </c>
      <c r="FB195" s="203">
        <f>IF($J195="",#N/A,SUM(FA$4:FA195))</f>
        <v>0</v>
      </c>
      <c r="FC195" s="204" t="str">
        <f t="shared" si="288"/>
        <v/>
      </c>
      <c r="FD195" s="204">
        <f>IF($J195="",#N/A,SUM(FC$4:FC195))</f>
        <v>1.6839191319663924</v>
      </c>
      <c r="FE195" s="205" t="str">
        <f t="shared" si="289"/>
        <v/>
      </c>
      <c r="FF195" s="205">
        <f>IF($J195="",#N/A,SUM(FE$4:FE195))</f>
        <v>-0.28811149078748233</v>
      </c>
      <c r="FG195" s="205">
        <f>IF($J195="",#N/A,SUM(FE$4:FE195,FC$4:FC195,FA$4:FA195))</f>
        <v>1.3958076411789102</v>
      </c>
      <c r="FH195" s="200" t="str">
        <f t="shared" si="290"/>
        <v/>
      </c>
      <c r="FI195" s="203">
        <f>IF($J195="",#N/A,SUM(FH$4:FH195))</f>
        <v>0</v>
      </c>
      <c r="FJ195" s="204" t="str">
        <f t="shared" si="291"/>
        <v/>
      </c>
      <c r="FK195" s="204">
        <f>IF($J195="",#N/A,SUM(FJ$4:FJ195))</f>
        <v>0</v>
      </c>
      <c r="FL195" s="205" t="str">
        <f t="shared" si="292"/>
        <v/>
      </c>
      <c r="FM195" s="205">
        <f>IF($J195="",#N/A,SUM(FL$4:FL195))</f>
        <v>0</v>
      </c>
      <c r="FN195" s="205">
        <f>IF($J195="",#N/A,SUM(FL$4:FL195,FJ$4:FJ195,FH$4:FH195))</f>
        <v>0</v>
      </c>
      <c r="FO195" s="200" t="str">
        <f t="shared" si="293"/>
        <v/>
      </c>
      <c r="FP195" s="203">
        <f>IF($J195="",#N/A,SUM(FO$4:FO195))</f>
        <v>0</v>
      </c>
      <c r="FQ195" s="204" t="str">
        <f t="shared" si="294"/>
        <v/>
      </c>
      <c r="FR195" s="204">
        <f>IF($J195="",#N/A,SUM(FQ$4:FQ195))</f>
        <v>0</v>
      </c>
      <c r="FS195" s="205" t="str">
        <f t="shared" si="295"/>
        <v/>
      </c>
      <c r="FT195" s="205">
        <f>IF($J195="",#N/A,SUM(FS$4:FS195))</f>
        <v>0</v>
      </c>
      <c r="FU195" s="205">
        <f>IF($J195="",#N/A,SUM(FS$4:FS195,FQ$4:FQ195,FO$4:FO195))</f>
        <v>0</v>
      </c>
      <c r="FV195" s="200" t="str">
        <f t="shared" si="296"/>
        <v/>
      </c>
      <c r="FW195" s="203">
        <f>IF($J195="",#N/A,SUM(FV$4:FV195))</f>
        <v>6.6834991831277585E-2</v>
      </c>
      <c r="FX195" s="204" t="str">
        <f t="shared" si="297"/>
        <v/>
      </c>
      <c r="FY195" s="204">
        <f>IF($J195="",#N/A,SUM(FX$4:FX195))</f>
        <v>-0.16102012791805576</v>
      </c>
      <c r="FZ195" s="205" t="str">
        <f t="shared" si="298"/>
        <v/>
      </c>
      <c r="GA195" s="205">
        <f>IF($J195="",#N/A,SUM(FZ$4:FZ195))</f>
        <v>-1.7642101813332194</v>
      </c>
      <c r="GB195" s="205">
        <f>IF($J195="",#N/A,SUM(FZ$4:FZ195,FX$4:FX195,FV$4:FV195))</f>
        <v>-1.8583953174199976</v>
      </c>
      <c r="GC195" s="200" t="str">
        <f t="shared" si="299"/>
        <v/>
      </c>
      <c r="GD195" s="203">
        <f>IF($J195="",#N/A,SUM(GC$4:GC195))</f>
        <v>0</v>
      </c>
      <c r="GE195" s="204" t="str">
        <f t="shared" si="300"/>
        <v/>
      </c>
      <c r="GF195" s="204">
        <f>IF($J195="",#N/A,SUM(GE$4:GE195))</f>
        <v>0</v>
      </c>
      <c r="GG195" s="205" t="str">
        <f t="shared" si="301"/>
        <v/>
      </c>
      <c r="GH195" s="205">
        <f>IF($J195="",#N/A,SUM(GG$4:GG195))</f>
        <v>-2.9368362277223206</v>
      </c>
      <c r="GI195" s="205">
        <f>IF($J195="",#N/A,SUM(GG$4:GG195,GE$4:GE195,GC$4:GC195))</f>
        <v>-2.9368362277223206</v>
      </c>
      <c r="GJ195" s="200" t="str">
        <f t="shared" si="302"/>
        <v/>
      </c>
      <c r="GK195" s="203">
        <f>IF($J195="",#N/A,SUM(GJ$4:GJ195))</f>
        <v>0</v>
      </c>
      <c r="GL195" s="204" t="str">
        <f t="shared" si="303"/>
        <v/>
      </c>
      <c r="GM195" s="204">
        <f>IF($J195="",#N/A,SUM(GL$4:GL195))</f>
        <v>-0.80168930905701452</v>
      </c>
      <c r="GN195" s="205" t="str">
        <f t="shared" si="304"/>
        <v/>
      </c>
      <c r="GO195" s="205">
        <f>IF($J195="",#N/A,SUM(GN$4:GN195))</f>
        <v>0</v>
      </c>
      <c r="GP195" s="205">
        <f>IF($J195="",#N/A,SUM(GN$4:GN195,GL$4:GL195,GJ$4:GJ195))</f>
        <v>-0.80168930905701452</v>
      </c>
      <c r="GS195" s="54">
        <f t="shared" si="323"/>
        <v>-0.80273270708795719</v>
      </c>
      <c r="GT195" s="54">
        <f>IF(GS195="",NA(),SUM($GS$4:GS195))</f>
        <v>3.6482661263340126</v>
      </c>
      <c r="GU195" s="54" t="str">
        <f t="shared" si="305"/>
        <v/>
      </c>
      <c r="GV195" s="54" t="e">
        <f>IF(GU195="",NA(),SUM($GU$4:GU195))</f>
        <v>#N/A</v>
      </c>
      <c r="GW195" s="54" t="str">
        <f t="shared" si="306"/>
        <v/>
      </c>
      <c r="GX195" s="54" t="e">
        <f>IF(GW195="",NA(),SUM($GW$4:GW195))</f>
        <v>#N/A</v>
      </c>
      <c r="GY195" s="54">
        <f t="shared" si="307"/>
        <v>-0.80273270708795719</v>
      </c>
      <c r="GZ195" s="54">
        <f>IF(GY195="",NA(),SUM($GY$4:GY195))</f>
        <v>1.8247041084334104</v>
      </c>
      <c r="HA195" s="54" t="str">
        <f t="shared" si="308"/>
        <v/>
      </c>
      <c r="HB195" s="54" t="e">
        <f>IF(HA195="",NA(),SUM($HA$4:HA195))</f>
        <v>#N/A</v>
      </c>
      <c r="HC195" s="54" t="str">
        <f t="shared" si="309"/>
        <v/>
      </c>
      <c r="HD195" s="54" t="e">
        <f>IF(HC195="",NA(),SUM($HC$4:HC195))</f>
        <v>#N/A</v>
      </c>
      <c r="HE195" s="54" t="str">
        <f t="shared" si="310"/>
        <v/>
      </c>
      <c r="HF195" s="54" t="e">
        <f>IF(HE195="",NA(),SUM($HE$4:HE195))</f>
        <v>#N/A</v>
      </c>
      <c r="HG195" s="54" t="str">
        <f t="shared" si="311"/>
        <v/>
      </c>
      <c r="HH195" s="54" t="e">
        <f>IF(HG195="",NA(),SUM($HG$4:HG195))</f>
        <v>#N/A</v>
      </c>
      <c r="HI195" s="172" t="str">
        <f t="shared" si="324"/>
        <v/>
      </c>
      <c r="HJ195" s="172">
        <f>IF($J195="",#N/A,SUM(HI$4:$HI195))</f>
        <v>-7.7881897919552259</v>
      </c>
      <c r="HK195" s="54">
        <f t="shared" si="312"/>
        <v>0.58354682607457697</v>
      </c>
      <c r="HL195" s="54">
        <f>IF($J195="",#N/A,SUM($HK$4:HK195))</f>
        <v>-2.6071468702998661</v>
      </c>
      <c r="HM195" s="54" t="str">
        <f t="shared" si="313"/>
        <v/>
      </c>
      <c r="HN195" s="54">
        <f>IF($J195="",#N/A,SUM($HM$4:HM195))</f>
        <v>0.71812545963587882</v>
      </c>
      <c r="HO195" s="54" t="str">
        <f t="shared" si="314"/>
        <v/>
      </c>
      <c r="HP195" s="54">
        <f>IF($J195="",#N/A,SUM($HO$4:HO195))</f>
        <v>-0.14859521910082485</v>
      </c>
      <c r="HQ195" s="54" t="str">
        <f t="shared" si="315"/>
        <v/>
      </c>
      <c r="HR195" s="54">
        <f>IF($J195="",#N/A,SUM($HQ$4:HQ195))</f>
        <v>-12.346312825596971</v>
      </c>
      <c r="HS195" s="54" t="str">
        <f t="shared" si="316"/>
        <v/>
      </c>
      <c r="HT195" s="54">
        <f>IF($J195="",#N/A,SUM($HS$4:HS195))</f>
        <v>12.906575604970143</v>
      </c>
      <c r="HU195" s="65">
        <f t="shared" si="317"/>
        <v>-0.21918588101338021</v>
      </c>
      <c r="HV195" s="65">
        <f>IF($J195="",#N/A,SUM(HU$4:$HU195))</f>
        <v>-1.8420275064580327</v>
      </c>
    </row>
    <row r="196" spans="1:230" x14ac:dyDescent="0.25">
      <c r="A196" s="51" t="s">
        <v>1359</v>
      </c>
      <c r="B196" s="52" t="s">
        <v>4543</v>
      </c>
      <c r="C196" s="229">
        <f t="shared" ref="C196:C259" si="327">IF(S196="Dwn",2,IF(S196="Up",1,IF(S196="SW",3,"x")))</f>
        <v>3</v>
      </c>
      <c r="D196" s="219" t="str">
        <f>_xlfn.XLOOKUP(A196,[1]SP500!$A$2:$A$502,[1]SP500!$D$2:$D$502,"N")</f>
        <v>Y</v>
      </c>
      <c r="E196" s="51" t="str">
        <f>IFERROR(_xlfn.XLOOKUP(A196,[1]SP500!$A$2:$A$655,[1]SP500!$B$2:$B$655),"")</f>
        <v>SMH</v>
      </c>
      <c r="F196" s="290">
        <v>45777</v>
      </c>
      <c r="G196" s="51" t="str">
        <f t="shared" ref="G196:G259" si="328">IF(ISNUMBER(FIND("After",B196,1)),"AMC",IF(ISNUMBER(FIND("Before",B196,1)),"BMO","err"))</f>
        <v>AMC</v>
      </c>
      <c r="H196" s="51" t="str">
        <f t="shared" ref="H196:H259" si="329">IF(AH196="Skip","sk",IF(OR(S196="",V196=""),"",IF(AND(S196="Dwn",V196="Short"),"s",IF(AND(S196="Up",V196="Long"),"s",IF(AND(S196="SW",V196="Long"),"s","o")))))</f>
        <v>s</v>
      </c>
      <c r="I196" s="344">
        <v>702.69</v>
      </c>
      <c r="J196" s="124">
        <v>689.2</v>
      </c>
      <c r="K196" s="55">
        <f t="shared" ref="K196:K259" si="330">IF(J196="","",(J196-I196)/I196)</f>
        <v>-1.9197654726835458E-2</v>
      </c>
      <c r="L196" s="67">
        <f t="shared" ref="L196:L259" si="331">IF(OR($Y196="",J196=""),"",IF($V196="Long",(($J196*$Y196)-$X196),($X196-($J196*$Y196))))</f>
        <v>-26.980000000000018</v>
      </c>
      <c r="M196" s="57">
        <f t="shared" ref="M196:M259" si="332">IF(L196="","",IF(AK196="",#N/A,IF(AH196="Open",AK196-L196,#N/A)))</f>
        <v>0</v>
      </c>
      <c r="N196" s="102">
        <f t="shared" ref="N196:N259" si="333">IF(OR($Y196="",L196=""),"",IF($BF196="Long",(($J196*$Y196)-$X196),($X196-($J196*$Y196))))</f>
        <v>-26.980000000000018</v>
      </c>
      <c r="O196" s="57">
        <f>IF(N196="",#N/A,SUM($N$4:N196))</f>
        <v>241.93636410061356</v>
      </c>
      <c r="P196" s="65">
        <f t="shared" si="318"/>
        <v>-0.3199609121139243</v>
      </c>
      <c r="Q196" s="172">
        <f>IF($N196="",#N/A,SUM($P$4:P196))</f>
        <v>7.1035552237749116</v>
      </c>
      <c r="R196" s="279">
        <f t="shared" ref="R196:R259" si="334">IF(AND(AH196="MOC",AC196=""),#N/A,IFERROR(Q196-AJ196,Q196-0))</f>
        <v>5.2436031980714857</v>
      </c>
      <c r="S196" s="51" t="str">
        <f t="shared" ref="S196:S259" si="335">IF(T196="Down","Dwn",IF(T196="Up","Up",IF(AND(T196="",K196=""),"",IF(AND(K196&lt;0,T196="Yes"),"Dwn",IF(AND(K196&gt;0,T196="Yes"),"Up",IF(AND(K196&lt;0,T196="No"),"Up",IF(AND(K196&gt;0,T196="No"),"Dwn",IF(T196="NA","SW","err"))))))))</f>
        <v>SW</v>
      </c>
      <c r="T196" s="51" t="s">
        <v>2828</v>
      </c>
      <c r="U196" s="56">
        <f t="shared" ref="U196:U259" si="336">I196</f>
        <v>702.69</v>
      </c>
      <c r="V196" s="56" t="s">
        <v>4460</v>
      </c>
      <c r="W196" s="142">
        <v>2</v>
      </c>
      <c r="X196" s="145">
        <f t="shared" ref="X196:X259" si="337">IF(W196="","",U196*W196)</f>
        <v>1405.38</v>
      </c>
      <c r="Y196" s="140">
        <f t="shared" ref="Y196:Y259" si="338">IF(W196="","",W196)</f>
        <v>2</v>
      </c>
      <c r="Z196" s="123">
        <v>689.2</v>
      </c>
      <c r="AA196" s="102">
        <f t="shared" ref="AA196:AA259" si="339">IF($Z196="","",IF($V196="Long",(($Z196*$Y196)-$X196),($X196-($Z196*$Y196))))</f>
        <v>-26.980000000000018</v>
      </c>
      <c r="AB196" s="102">
        <f t="shared" ref="AB196:AB259" si="340">IF($AC196="","",IF($V196="Long",(($AC196*$Y196)-$X196),($X196-($AC196*$Y196))))</f>
        <v>-52.760000000000218</v>
      </c>
      <c r="AC196" s="124">
        <v>676.31</v>
      </c>
      <c r="AD196" s="155">
        <f t="shared" ref="AD196:AD259" si="341">IF(AC196="","",IF(OR($Y196="",CV196=""),"",IF($BF196="Long",(($AC196*$Y196)-$X196),($X196-($AC196*$Y196)))))</f>
        <v>-52.760000000000218</v>
      </c>
      <c r="AE196" s="545">
        <f t="shared" ref="AE196:AE259" si="342">IF(OR($Y196="",$AD196=""),"",IF($BF196="Long",(($AC196*$Y196)-$X196)/($X196*0.06),($X196-($AC196*$Y196))/($X196*0.06)))</f>
        <v>-0.62569079774391057</v>
      </c>
      <c r="AF196" s="57">
        <f>IF($AC196="",#N/A,SUM(AD$4:AD196))</f>
        <v>-246.78041200241626</v>
      </c>
      <c r="AG196" s="102">
        <f t="shared" ref="AG196:AG259" si="343">IF(OR(AD196="",AC196=""),"",AD196-N196)</f>
        <v>-25.7800000000002</v>
      </c>
      <c r="AH196" s="56" t="s">
        <v>2507</v>
      </c>
      <c r="AI196" s="65">
        <f t="shared" ref="AI196:AI259" si="344">IF(AND(AH196="MOC",AC196=""),"",IF(Z196="","",IF(AH196="Skip",0,IF(AK196=0,0,AK196/(X196*0.06)))))</f>
        <v>-0.3199609121139243</v>
      </c>
      <c r="AJ196" s="54">
        <f>IF(AI196="",#N/A,SUM($AI$4:AI196))</f>
        <v>1.8599520257034259</v>
      </c>
      <c r="AK196" s="57">
        <f t="shared" ref="AK196:AK259" si="345">IF(AH196="","",IF(AH196="Skip","",IF(OR(AH196="open",AH196="Other"),AA196,IF(AH196="MOC",AB196,"Err"))))</f>
        <v>-26.980000000000018</v>
      </c>
      <c r="AL196" s="349">
        <f>IF(AI196="",#N/A,IF(AH196="Skip",SUM($AK$4:AK196),SUM($AK$4:AK196)))</f>
        <v>-89.752408507185919</v>
      </c>
      <c r="AM196" s="65">
        <f t="shared" si="319"/>
        <v>-0.62569079774391057</v>
      </c>
      <c r="AN196" s="209"/>
      <c r="AO196" s="65">
        <f t="shared" ref="AO196:AO259" si="346">IF(AND($S196="SW",$BF196="Long"),$HU196,"")</f>
        <v>-0.62569079774391057</v>
      </c>
      <c r="AP196" s="65">
        <f>IF($AC196="",#N/A,SUM(AO$4:AO196))</f>
        <v>5.3095427121787901</v>
      </c>
      <c r="AQ196" s="65" t="str">
        <f t="shared" ref="AQ196:AQ259" si="347">IF(AND($S196="UP",$BF196="Long"),$HU196,"")</f>
        <v/>
      </c>
      <c r="AR196" s="65">
        <f>IF($AC196="",#N/A,SUM(AQ$4:AQ196))</f>
        <v>-2.6179859771653153</v>
      </c>
      <c r="AS196" s="65" t="str">
        <f t="shared" ref="AS196:AS259" si="348">IF(AND($S196="Dwn",$BF196="Short"),$HU196,"")</f>
        <v/>
      </c>
      <c r="AT196" s="65">
        <f>IF($AC196="",#N/A,SUM(AS$4:AS196))</f>
        <v>-5.1592750392154221</v>
      </c>
      <c r="AU196" s="57">
        <f t="shared" si="320"/>
        <v>-52.760000000000218</v>
      </c>
      <c r="AV196" s="57">
        <f>IF($AC196="",#N/A,SUM(AU$4:AU196))</f>
        <v>218.73120645125073</v>
      </c>
      <c r="AW196" s="57" t="str">
        <f t="shared" si="321"/>
        <v/>
      </c>
      <c r="AX196" s="57">
        <f>IF($AC196="",#N/A,SUM(AW$4:AW196))</f>
        <v>-163.1400000000001</v>
      </c>
      <c r="AY196" s="57" t="str">
        <f t="shared" si="322"/>
        <v/>
      </c>
      <c r="AZ196" s="57">
        <f>IF($AC196="",#N/A,SUM(AY$4:AY196))</f>
        <v>-302.37161845366688</v>
      </c>
      <c r="BA196" s="57">
        <f>IF(AD196="",#N/A,SUM($AD$4:AD196))</f>
        <v>-246.78041200241626</v>
      </c>
      <c r="BC196" s="51" t="str">
        <f t="shared" ref="BC196:BC259" si="349">IF(K196="","",IF(AND(K196&gt;0,T196="Yes"),1,""))</f>
        <v/>
      </c>
      <c r="BD196" s="51" t="str">
        <f t="shared" ref="BD196:BD259" si="350">IF(K196="","",IF(AND($K196&gt;0,$T196="No"),1,""))</f>
        <v/>
      </c>
      <c r="BE196" s="51" t="str">
        <f t="shared" ref="BE196:BE259" si="351">IF(K196="","",IF(AND($K196&gt;0,$T196="NA"),1,""))</f>
        <v/>
      </c>
      <c r="BF196" s="51" t="str">
        <f t="shared" ref="BF196:BF259" si="352">IF(S196="Dwn","Short","Long")</f>
        <v>Long</v>
      </c>
      <c r="BG196" s="51" t="str">
        <f t="shared" ref="BG196:BG259" si="353">IF(K196="","",IF(AND($K196&lt;0,$T196="Yes"),1,""))</f>
        <v/>
      </c>
      <c r="BH196" s="51" t="str">
        <f t="shared" ref="BH196:BH259" si="354">IF(K196="","",IF(AND($K196&lt;0,$T196="No"),1,""))</f>
        <v/>
      </c>
      <c r="BI196" s="51">
        <f t="shared" ref="BI196:BI259" si="355">IF(K196="","",IF(AND($K196&lt;0,$T196="NA"),1,""))</f>
        <v>1</v>
      </c>
      <c r="BK196" s="65">
        <f t="shared" si="326"/>
        <v>0.21522309579881202</v>
      </c>
      <c r="BL196" s="65">
        <f t="shared" si="325"/>
        <v>0.1475298533639032</v>
      </c>
      <c r="BM196" s="65">
        <f>IFERROR(Q196/COUNTA($J$4:J196),#N/A)</f>
        <v>3.6805985615414052E-2</v>
      </c>
      <c r="BO196" s="489">
        <f>IF(J196="",#N/A,IF(S196="SW",(COUNTIFS(K$4:$K196,"&gt;0",S$4:$S196,"SW")/COUNTIF(S$4:$S196,"SW")),#N/A))</f>
        <v>0.5</v>
      </c>
      <c r="BP196" s="489" t="e">
        <f>IF($J196="",#N/A,IF($S196="DWN",(COUNTIFS($K$4:$K196,"&lt;0",$S$4:$S196,"DWN")/COUNTIF($S$4:$S196,"DWN")),#N/A))</f>
        <v>#N/A</v>
      </c>
      <c r="BQ196" s="489" t="e">
        <f>IF($J196="",#N/A,IF($S196="UP",(COUNTIFS($K$4:$K196,"&gt;0",$S$4:$S196,"UP")/COUNTIF($S$4:$S196,"UP")),#N/A))</f>
        <v>#N/A</v>
      </c>
      <c r="BR196" s="489">
        <f>IF(J196="",#N/A,COUNTIF($K$4:K196,"&gt;0")/COUNT($J$4:J196))</f>
        <v>0.47150259067357514</v>
      </c>
      <c r="BS196" s="65" t="str">
        <f t="shared" ref="BS196:BS259" si="356">IF($AH196="Skip","",IF($J196="","",IF(AND($V196="Long",$L196&gt;0),$P196,"")))</f>
        <v/>
      </c>
      <c r="BT196" s="65">
        <f t="shared" ref="BT196:BT259" si="357">IF($AH196="Skip","",IF($J196="","",IF(AND($V196="Long",$L196&lt;0),$P196,"")))</f>
        <v>-0.3199609121139243</v>
      </c>
      <c r="BU196" s="65" t="str">
        <f t="shared" ref="BU196:BU259" si="358">IF($AH196="Skip","",IF($J196="","",IF(AND($V196="Short",$L196&gt;0),$P196,"")))</f>
        <v/>
      </c>
      <c r="BV196" s="65" t="str">
        <f t="shared" ref="BV196:BV259" si="359">IF($AH196="Skip","",IF($J196="","",IF(AND($V196="Short",$L196&lt;0),$P196,"")))</f>
        <v/>
      </c>
      <c r="BW196" s="128" t="str">
        <f t="shared" ref="BW196:BW259" si="360">IF(AND($S196="Up",$BF196="Long"),$N196,"")</f>
        <v/>
      </c>
      <c r="BX196" s="128">
        <f>IF($J196="",#N/A,SUM($BW$4:BW196))</f>
        <v>-205.1650000000003</v>
      </c>
      <c r="BY196" s="131" t="str">
        <f t="shared" ref="BY196:BY259" si="361">IF(AND($S196="Dwn",$BF196="Short"),$N196,"")</f>
        <v/>
      </c>
      <c r="BZ196" s="131">
        <f>IF($J196="",#N/A,SUM($BY$4:BY196))</f>
        <v>278.05934038933447</v>
      </c>
      <c r="CA196" s="133">
        <f t="shared" ref="CA196:CA259" si="362">IF(AND($S196="SW",$BF196="Long"),$N196,"")</f>
        <v>-26.980000000000018</v>
      </c>
      <c r="CB196" s="133">
        <f>IF($J196="",#N/A,SUM($CA$4:CA196))</f>
        <v>169.04202371127943</v>
      </c>
      <c r="CC196" s="194" t="str">
        <f t="shared" ref="CC196:CC259" si="363">IF(AND($S196="Up",$BF196="Long"),$P196,"")</f>
        <v/>
      </c>
      <c r="CD196" s="194">
        <f>IF($J196="",#N/A,SUM($CC$4:CC196))</f>
        <v>-3.1875162177003693</v>
      </c>
      <c r="CE196" s="195" t="str">
        <f t="shared" ref="CE196:CE259" si="364">IF(AND($S196="Dwn",$BF196="Short"),$P196,"")</f>
        <v/>
      </c>
      <c r="CF196" s="195">
        <f>IF($J196="",#N/A,SUM($CE$4:CE196))</f>
        <v>5.2360616230396761</v>
      </c>
      <c r="CG196" s="196">
        <f t="shared" ref="CG196:CG259" si="365">IF(AND($S196="SW",$BF196="Long"),$P196,"")</f>
        <v>-0.3199609121139243</v>
      </c>
      <c r="CH196" s="193">
        <f>IF($J196="",#N/A,SUM($CG$4:CG196))</f>
        <v>5.0550098184356109</v>
      </c>
      <c r="CI196" s="200" t="str">
        <f t="shared" ref="CI196:CI259" si="366">IF(AND($S196="Up",$BF196="Long",$E196=CI$2),$P196,"")</f>
        <v/>
      </c>
      <c r="CJ196" s="203">
        <f>IF($J196="",#N/A,SUM(CI$4:CI196))</f>
        <v>0</v>
      </c>
      <c r="CK196" s="204" t="str">
        <f t="shared" ref="CK196:CK259" si="367">IF(AND($S196="Dwn",$BF196="Short",$E196=CI$2),$P196,"")</f>
        <v/>
      </c>
      <c r="CL196" s="204">
        <f>IF($J196="",#N/A,SUM(CK$4:CK196))</f>
        <v>1.9927003554442289</v>
      </c>
      <c r="CM196" s="205" t="str">
        <f t="shared" ref="CM196:CM259" si="368">IF(AND($S196="SW",$BF196="Long",$E196=CI$2),$P196,"")</f>
        <v/>
      </c>
      <c r="CN196" s="205">
        <f>IF($J196="",#N/A,SUM(CM$4:CM196))</f>
        <v>5.6091171609382364</v>
      </c>
      <c r="CO196" s="205">
        <f>IF($J196="",#N/A,SUM(CM$4:CM196,CK$4:CK196,CI$4:CI196))</f>
        <v>7.6018175163824644</v>
      </c>
      <c r="CP196" s="200" t="str">
        <f t="shared" ref="CP196:CP259" si="369">IF(AND($S196="Up",$BF196="Long",$E196=CP$2),$P196,"")</f>
        <v/>
      </c>
      <c r="CQ196" s="203">
        <f>IF($J196="",#N/A,SUM(CP$4:CP196))</f>
        <v>0</v>
      </c>
      <c r="CR196" s="204" t="str">
        <f t="shared" ref="CR196:CR259" si="370">IF(AND($S196="Dwn",$BF196="Short",$E196=CP$2),$P196,"")</f>
        <v/>
      </c>
      <c r="CS196" s="204">
        <f>IF($J196="",#N/A,SUM(CR$4:CR196))</f>
        <v>2.3249620476559536</v>
      </c>
      <c r="CT196" s="205" t="str">
        <f t="shared" ref="CT196:CT259" si="371">IF(AND($S196="SW",$BF196="Long",$E196=CP$2),$P196,"")</f>
        <v/>
      </c>
      <c r="CU196" s="205">
        <f>IF($J196="",#N/A,SUM(CT$4:CT196))</f>
        <v>-1.1331655471946371</v>
      </c>
      <c r="CV196" s="205">
        <f>IF($J196="",#N/A,SUM(CT$4:CT196,CR$4:CR196,CP$4:CP196))</f>
        <v>1.1917965004613165</v>
      </c>
      <c r="CW196" s="200" t="str">
        <f t="shared" ref="CW196:CW259" si="372">IF(AND($S196="Up",$BF196="Long",$E196=CW$2),$P196,"")</f>
        <v/>
      </c>
      <c r="CX196" s="203">
        <f>IF($J196="",#N/A,SUM(CW$4:CW196))</f>
        <v>0</v>
      </c>
      <c r="CY196" s="204" t="str">
        <f t="shared" ref="CY196:CY259" si="373">IF(AND($S196="Dwn",$BF196="Short",$E196=CW$2),$P196,"")</f>
        <v/>
      </c>
      <c r="CZ196" s="204">
        <f>IF($J196="",#N/A,SUM(CY$4:CY196))</f>
        <v>-1.0974100761627814</v>
      </c>
      <c r="DA196" s="205" t="str">
        <f t="shared" ref="DA196:DA259" si="374">IF(AND($S196="SW",$BF196="Long",$E196=CW$2),$P196,"")</f>
        <v/>
      </c>
      <c r="DB196" s="205">
        <f>IF($J196="",#N/A,SUM(DA$4:DA196))</f>
        <v>-2.2679577914291</v>
      </c>
      <c r="DC196" s="205">
        <f>IF($J196="",#N/A,SUM(DA$4:DA196,CY$4:CY196,CW$4:CW196))</f>
        <v>-3.365367867591881</v>
      </c>
      <c r="DD196" s="200" t="str">
        <f t="shared" ref="DD196:DD259" si="375">IF(AND($S196="Up",$BF196="Long",$E196=DD$2),$P196,"")</f>
        <v/>
      </c>
      <c r="DE196" s="203">
        <f>IF($J196="",#N/A,SUM(DD$4:DD196))</f>
        <v>0.14968716170674062</v>
      </c>
      <c r="DF196" s="204" t="str">
        <f t="shared" ref="DF196:DF259" si="376">IF(AND($S196="Dwn",$BF196="Short",$E196=DD$2),$P196,"")</f>
        <v/>
      </c>
      <c r="DG196" s="204">
        <f>IF($J196="",#N/A,SUM(DF$4:DF196))</f>
        <v>1.2121188689979676</v>
      </c>
      <c r="DH196" s="205" t="str">
        <f t="shared" ref="DH196:DH259" si="377">IF(AND($S196="SW",$BF196="Long",$E196=DD$2),$P196,"")</f>
        <v/>
      </c>
      <c r="DI196" s="205">
        <f>IF($J196="",#N/A,SUM(DH$4:DH196))</f>
        <v>-0.8404015973735236</v>
      </c>
      <c r="DJ196" s="205">
        <f>IF($J196="",#N/A,SUM(DH$4:DH196,DF$4:DF196,DD$4:DD196))</f>
        <v>0.52140443333118447</v>
      </c>
      <c r="DK196" s="200" t="str">
        <f t="shared" ref="DK196:DK259" si="378">IF(AND($S196="Up",$BF196="Long",$E196=DK$2),$P196,"")</f>
        <v/>
      </c>
      <c r="DL196" s="203">
        <f>IF($J196="",#N/A,SUM(DK$4:DK196))</f>
        <v>-1.2097286851272664</v>
      </c>
      <c r="DM196" s="204" t="str">
        <f t="shared" ref="DM196:DM259" si="379">IF(AND($S196="Dwn",$BF196="Short",$E196=DK$2),$P196,"")</f>
        <v/>
      </c>
      <c r="DN196" s="204">
        <f>IF($J196="",#N/A,SUM(DM$4:DM196))</f>
        <v>1.1910608267574658</v>
      </c>
      <c r="DO196" s="205" t="str">
        <f t="shared" ref="DO196:DO259" si="380">IF(AND($S196="SW",$BF196="Long",$E196=DK$2),$P196,"")</f>
        <v/>
      </c>
      <c r="DP196" s="205">
        <f>IF($J196="",#N/A,SUM(DO$4:DO196))</f>
        <v>2.6571865116636566</v>
      </c>
      <c r="DQ196" s="205">
        <f>IF($J196="",#N/A,SUM(DO$4:DO196,DM$4:DM196,DK$4:DK196))</f>
        <v>2.6385186532938567</v>
      </c>
      <c r="DR196" s="200" t="str">
        <f t="shared" ref="DR196:DR259" si="381">IF(AND($S196="Up",$BF196="Long",$E196=DR$2),$P196,"")</f>
        <v/>
      </c>
      <c r="DS196" s="203">
        <f>IF($J196="",#N/A,SUM(DR$4:DR196))</f>
        <v>-0.55950946427675097</v>
      </c>
      <c r="DT196" s="204" t="str">
        <f t="shared" ref="DT196:DT259" si="382">IF(AND($S196="Dwn",$BF196="Short",$E196=DR$2),$P196,"")</f>
        <v/>
      </c>
      <c r="DU196" s="204">
        <f>IF($J196="",#N/A,SUM(DT$4:DT196))</f>
        <v>-3.5029740333397914</v>
      </c>
      <c r="DV196" s="205" t="str">
        <f t="shared" ref="DV196:DV259" si="383">IF(AND($S196="SW",$BF196="Long",$E196=DR$2),$P196,"")</f>
        <v/>
      </c>
      <c r="DW196" s="205">
        <f>IF($J196="",#N/A,SUM(DV$4:DV196))</f>
        <v>-1.1689034257107362</v>
      </c>
      <c r="DX196" s="205">
        <f>IF($J196="",#N/A,SUM(DV$4:DV196,DT$4:DT196,DR$4:DR196))</f>
        <v>-5.2313869233272783</v>
      </c>
      <c r="DY196" s="200" t="str">
        <f t="shared" ref="DY196:DY259" si="384">IF(AND($S196="Up",$BF196="Long",$E196=DY$2),$P196,"")</f>
        <v/>
      </c>
      <c r="DZ196" s="203">
        <f>IF($J196="",#N/A,SUM(DY$4:DY196))</f>
        <v>-1.63480022183437</v>
      </c>
      <c r="EA196" s="204" t="str">
        <f t="shared" ref="EA196:EA259" si="385">IF(AND($S196="Dwn",$BF196="Short",$E196=DY$2),$P196,"")</f>
        <v/>
      </c>
      <c r="EB196" s="204">
        <f>IF($J196="",#N/A,SUM(EA$4:EA196))</f>
        <v>0.5578066706208582</v>
      </c>
      <c r="EC196" s="205" t="str">
        <f t="shared" ref="EC196:EC259" si="386">IF(AND($S196="SW",$BF196="Long",$E196=DY$2),$P196,"")</f>
        <v/>
      </c>
      <c r="ED196" s="205">
        <f>IF($J196="",#N/A,SUM(EC$4:EC196))</f>
        <v>2.4515280577205139</v>
      </c>
      <c r="EE196" s="205">
        <f>IF($J196="",#N/A,SUM(EC$4:EC196,EA$4:EA196,DY$4:DY196))</f>
        <v>1.3745345065070016</v>
      </c>
      <c r="EF196" s="200" t="str">
        <f t="shared" ref="EF196:EF259" si="387">IF(AND($S196="Up",$BF196="Long",$E196=EF$2),$P196,"")</f>
        <v/>
      </c>
      <c r="EG196" s="203">
        <f>IF($J196="",#N/A,SUM(EF$4:EF196))</f>
        <v>0</v>
      </c>
      <c r="EH196" s="204" t="str">
        <f t="shared" ref="EH196:EH259" si="388">IF(AND($S196="Dwn",$BF196="Short",$E196=EF$2),$P196,"")</f>
        <v/>
      </c>
      <c r="EI196" s="204">
        <f>IF($J196="",#N/A,SUM(EH$4:EH196))</f>
        <v>-2.7245005604557937</v>
      </c>
      <c r="EJ196" s="205" t="str">
        <f t="shared" ref="EJ196:EJ259" si="389">IF(AND($S196="SW",$BF196="Long",$E196=EF$2),$P196,"")</f>
        <v/>
      </c>
      <c r="EK196" s="205">
        <f>IF($J196="",#N/A,SUM(EJ$4:EJ196))</f>
        <v>2.804966392787259</v>
      </c>
      <c r="EL196" s="205">
        <f>IF($J196="",#N/A,SUM(EJ$4:EJ196,EH$4:EH196,EF$4:EF196))</f>
        <v>8.0465832331466203E-2</v>
      </c>
      <c r="EM196" s="200" t="str">
        <f t="shared" ref="EM196:EM259" si="390">IF(AND($S196="Up",$BF196="Long",$E196=EM$2),$P196,"")</f>
        <v/>
      </c>
      <c r="EN196" s="203">
        <f>IF($J196="",#N/A,SUM(EM$4:EM196))</f>
        <v>0</v>
      </c>
      <c r="EO196" s="204" t="str">
        <f t="shared" ref="EO196:EO259" si="391">IF(AND($S196="Dwn",$BF196="Short",$E196=EM$2),$P196,"")</f>
        <v/>
      </c>
      <c r="EP196" s="204">
        <f>IF($J196="",#N/A,SUM(EO$4:EO196))</f>
        <v>2.2439573928506102</v>
      </c>
      <c r="EQ196" s="205" t="str">
        <f t="shared" ref="EQ196:EQ259" si="392">IF(AND($S196="SW",$BF196="Long",$E196=EM$2),$P196,"")</f>
        <v/>
      </c>
      <c r="ER196" s="205">
        <f>IF($J196="",#N/A,SUM(EQ$4:EQ196))</f>
        <v>2.0221833315059508</v>
      </c>
      <c r="ES196" s="205">
        <f>IF($J196="",#N/A,SUM(EQ$4:EQ196,EO$4:EO196,EM$4:EM196))</f>
        <v>4.2661407243565606</v>
      </c>
      <c r="ET196" s="200" t="str">
        <f t="shared" ref="ET196:ET259" si="393">IF(AND($S196="Up",$BF196="Long",$E196=ET$2),$P196,"")</f>
        <v/>
      </c>
      <c r="EU196" s="203">
        <f>IF($J196="",#N/A,SUM(ET$4:ET196))</f>
        <v>0</v>
      </c>
      <c r="EV196" s="204" t="str">
        <f t="shared" ref="EV196:EV259" si="394">IF(AND($S196="Dwn",$BF196="Short",$E196=ET$2),$P196,"")</f>
        <v/>
      </c>
      <c r="EW196" s="204">
        <f>IF($J196="",#N/A,SUM(EV$4:EV196))</f>
        <v>1.9901851109977766</v>
      </c>
      <c r="EX196" s="205">
        <f t="shared" ref="EX196:EX259" si="395">IF(AND($S196="SW",$BF196="Long",$E196=ET$2),$P196,"")</f>
        <v>-0.3199609121139243</v>
      </c>
      <c r="EY196" s="205">
        <f>IF($J196="",#N/A,SUM(EX$4:EX196))</f>
        <v>-9.038537462898949E-2</v>
      </c>
      <c r="EZ196" s="205">
        <f>IF($J196="",#N/A,SUM(EX$4:EX196,EV$4:EV196,ET$4:ET196))</f>
        <v>1.8997997363687871</v>
      </c>
      <c r="FA196" s="200" t="str">
        <f t="shared" ref="FA196:FA259" si="396">IF(AND($S196="Up",$BF196="Long",$E196=FA$2),$P196,"")</f>
        <v/>
      </c>
      <c r="FB196" s="203">
        <f>IF($J196="",#N/A,SUM(FA$4:FA196))</f>
        <v>0</v>
      </c>
      <c r="FC196" s="204" t="str">
        <f t="shared" ref="FC196:FC259" si="397">IF(AND($S196="Dwn",$BF196="Short",$E196=FA$2),$P196,"")</f>
        <v/>
      </c>
      <c r="FD196" s="204">
        <f>IF($J196="",#N/A,SUM(FC$4:FC196))</f>
        <v>1.6839191319663924</v>
      </c>
      <c r="FE196" s="205" t="str">
        <f t="shared" ref="FE196:FE259" si="398">IF(AND($S196="SW",$BF196="Long",$E196=FA$2),$P196,"")</f>
        <v/>
      </c>
      <c r="FF196" s="205">
        <f>IF($J196="",#N/A,SUM(FE$4:FE196))</f>
        <v>-0.28811149078748233</v>
      </c>
      <c r="FG196" s="205">
        <f>IF($J196="",#N/A,SUM(FE$4:FE196,FC$4:FC196,FA$4:FA196))</f>
        <v>1.3958076411789102</v>
      </c>
      <c r="FH196" s="200" t="str">
        <f t="shared" ref="FH196:FH259" si="399">IF(AND($S196="Up",$BF196="Long",$E196=FH$2),$P196,"")</f>
        <v/>
      </c>
      <c r="FI196" s="203">
        <f>IF($J196="",#N/A,SUM(FH$4:FH196))</f>
        <v>0</v>
      </c>
      <c r="FJ196" s="204" t="str">
        <f t="shared" ref="FJ196:FJ259" si="400">IF(AND($S196="Dwn",$BF196="Short",$E196=FH$2),$P196,"")</f>
        <v/>
      </c>
      <c r="FK196" s="204">
        <f>IF($J196="",#N/A,SUM(FJ$4:FJ196))</f>
        <v>0</v>
      </c>
      <c r="FL196" s="205" t="str">
        <f t="shared" ref="FL196:FL259" si="401">IF(AND($S196="SW",$BF196="Long",$E196=FH$2),$P196,"")</f>
        <v/>
      </c>
      <c r="FM196" s="205">
        <f>IF($J196="",#N/A,SUM(FL$4:FL196))</f>
        <v>0</v>
      </c>
      <c r="FN196" s="205">
        <f>IF($J196="",#N/A,SUM(FL$4:FL196,FJ$4:FJ196,FH$4:FH196))</f>
        <v>0</v>
      </c>
      <c r="FO196" s="200" t="str">
        <f t="shared" ref="FO196:FO259" si="402">IF(AND($S196="Up",$BF196="Long",$E196=FO$2),$P196,"")</f>
        <v/>
      </c>
      <c r="FP196" s="203">
        <f>IF($J196="",#N/A,SUM(FO$4:FO196))</f>
        <v>0</v>
      </c>
      <c r="FQ196" s="204" t="str">
        <f t="shared" ref="FQ196:FQ259" si="403">IF(AND($S196="Dwn",$BF196="Short",$E196=FO$2),$P196,"")</f>
        <v/>
      </c>
      <c r="FR196" s="204">
        <f>IF($J196="",#N/A,SUM(FQ$4:FQ196))</f>
        <v>0</v>
      </c>
      <c r="FS196" s="205" t="str">
        <f t="shared" ref="FS196:FS259" si="404">IF(AND($S196="SW",$BF196="Long",$E196=FO$2),$P196,"")</f>
        <v/>
      </c>
      <c r="FT196" s="205">
        <f>IF($J196="",#N/A,SUM(FS$4:FS196))</f>
        <v>0</v>
      </c>
      <c r="FU196" s="205">
        <f>IF($J196="",#N/A,SUM(FS$4:FS196,FQ$4:FQ196,FO$4:FO196))</f>
        <v>0</v>
      </c>
      <c r="FV196" s="200" t="str">
        <f t="shared" ref="FV196:FV259" si="405">IF(AND($S196="Up",$BF196="Long",$E196=FV$2),$P196,"")</f>
        <v/>
      </c>
      <c r="FW196" s="203">
        <f>IF($J196="",#N/A,SUM(FV$4:FV196))</f>
        <v>6.6834991831277585E-2</v>
      </c>
      <c r="FX196" s="204" t="str">
        <f t="shared" ref="FX196:FX259" si="406">IF(AND($S196="Dwn",$BF196="Short",$E196=FV$2),$P196,"")</f>
        <v/>
      </c>
      <c r="FY196" s="204">
        <f>IF($J196="",#N/A,SUM(FX$4:FX196))</f>
        <v>-0.16102012791805576</v>
      </c>
      <c r="FZ196" s="205" t="str">
        <f t="shared" ref="FZ196:FZ259" si="407">IF(AND($S196="SW",$BF196="Long",$E196=FV$2),$P196,"")</f>
        <v/>
      </c>
      <c r="GA196" s="205">
        <f>IF($J196="",#N/A,SUM(FZ$4:FZ196))</f>
        <v>-1.7642101813332194</v>
      </c>
      <c r="GB196" s="205">
        <f>IF($J196="",#N/A,SUM(FZ$4:FZ196,FX$4:FX196,FV$4:FV196))</f>
        <v>-1.8583953174199976</v>
      </c>
      <c r="GC196" s="200" t="str">
        <f t="shared" ref="GC196:GC259" si="408">IF(AND($S196="Up",$BF196="Long",$E196=GC$2),$P196,"")</f>
        <v/>
      </c>
      <c r="GD196" s="203">
        <f>IF($J196="",#N/A,SUM(GC$4:GC196))</f>
        <v>0</v>
      </c>
      <c r="GE196" s="204" t="str">
        <f t="shared" ref="GE196:GE259" si="409">IF(AND($S196="Dwn",$BF196="Short",$E196=GC$2),$P196,"")</f>
        <v/>
      </c>
      <c r="GF196" s="204">
        <f>IF($J196="",#N/A,SUM(GE$4:GE196))</f>
        <v>0</v>
      </c>
      <c r="GG196" s="205" t="str">
        <f t="shared" ref="GG196:GG259" si="410">IF(AND($S196="SW",$BF196="Long",$E196=GC$2),$P196,"")</f>
        <v/>
      </c>
      <c r="GH196" s="205">
        <f>IF($J196="",#N/A,SUM(GG$4:GG196))</f>
        <v>-2.9368362277223206</v>
      </c>
      <c r="GI196" s="205">
        <f>IF($J196="",#N/A,SUM(GG$4:GG196,GE$4:GE196,GC$4:GC196))</f>
        <v>-2.9368362277223206</v>
      </c>
      <c r="GJ196" s="200" t="str">
        <f t="shared" ref="GJ196:GJ259" si="411">IF(AND($S196="Up",$BF196="Long",$E196=GJ$2),$P196,"")</f>
        <v/>
      </c>
      <c r="GK196" s="203">
        <f>IF($J196="",#N/A,SUM(GJ$4:GJ196))</f>
        <v>0</v>
      </c>
      <c r="GL196" s="204" t="str">
        <f t="shared" ref="GL196:GL259" si="412">IF(AND($S196="Dwn",$BF196="Short",$E196=GJ$2),$P196,"")</f>
        <v/>
      </c>
      <c r="GM196" s="204">
        <f>IF($J196="",#N/A,SUM(GL$4:GL196))</f>
        <v>-0.80168930905701452</v>
      </c>
      <c r="GN196" s="205" t="str">
        <f t="shared" ref="GN196:GN259" si="413">IF(AND($S196="SW",$BF196="Long",$E196=GJ$2),$P196,"")</f>
        <v/>
      </c>
      <c r="GO196" s="205">
        <f>IF($J196="",#N/A,SUM(GN$4:GN196))</f>
        <v>0</v>
      </c>
      <c r="GP196" s="205">
        <f>IF($J196="",#N/A,SUM(GN$4:GN196,GL$4:GL196,GJ$4:GJ196))</f>
        <v>-0.80168930905701452</v>
      </c>
      <c r="GS196" s="54">
        <f t="shared" si="323"/>
        <v>-0.3199609121139243</v>
      </c>
      <c r="GT196" s="54">
        <f>IF(GS196="",NA(),SUM($GS$4:GS196))</f>
        <v>3.3283052142200882</v>
      </c>
      <c r="GU196" s="54" t="str">
        <f t="shared" ref="GU196:GU259" si="414">IF(AND($S196="Up",$BF196="Long",$D196="Y"),$GS196,"")</f>
        <v/>
      </c>
      <c r="GV196" s="54" t="e">
        <f>IF(GU196="",NA(),SUM($GU$4:GU196))</f>
        <v>#N/A</v>
      </c>
      <c r="GW196" s="54">
        <f t="shared" ref="GW196:GW259" si="415">IF(AND($S196="SW",$BF196="Long",$D196="Y"),$GS196,"")</f>
        <v>-0.3199609121139243</v>
      </c>
      <c r="GX196" s="54">
        <f>IF(GW196="",NA(),SUM($GW$4:GW196))</f>
        <v>4.6911173234870507</v>
      </c>
      <c r="GY196" s="54" t="str">
        <f t="shared" ref="GY196:GY259" si="416">IF(AND($S196="Dwn",$BF196="Short",$D196="Y"),$GS196,"")</f>
        <v/>
      </c>
      <c r="GZ196" s="54" t="e">
        <f>IF(GY196="",NA(),SUM($GY$4:GY196))</f>
        <v>#N/A</v>
      </c>
      <c r="HA196" s="54" t="str">
        <f t="shared" ref="HA196:HA259" si="417">IF($J196="","",IF($D196="N",$P196,""))</f>
        <v/>
      </c>
      <c r="HB196" s="54" t="e">
        <f>IF(HA196="",NA(),SUM($HA$4:HA196))</f>
        <v>#N/A</v>
      </c>
      <c r="HC196" s="54" t="str">
        <f t="shared" ref="HC196:HC259" si="418">IF(AND($S196="Up",$BF196="Long",$D196="N"),$HA196,"")</f>
        <v/>
      </c>
      <c r="HD196" s="54" t="e">
        <f>IF(HC196="",NA(),SUM($HC$4:HC196))</f>
        <v>#N/A</v>
      </c>
      <c r="HE196" s="54" t="str">
        <f t="shared" ref="HE196:HE259" si="419">IF(AND($S196="SW",$BF196="Long",$D196="N"),$HA196,"")</f>
        <v/>
      </c>
      <c r="HF196" s="54" t="e">
        <f>IF(HE196="",NA(),SUM($HE$4:HE196))</f>
        <v>#N/A</v>
      </c>
      <c r="HG196" s="54" t="str">
        <f t="shared" ref="HG196:HG259" si="420">IF(AND($S196="Dwn",$BF196="Short",$D196="N"),$HA196,"")</f>
        <v/>
      </c>
      <c r="HH196" s="54" t="e">
        <f>IF(HG196="",NA(),SUM($HG$4:HG196))</f>
        <v>#N/A</v>
      </c>
      <c r="HI196" s="172" t="str">
        <f t="shared" si="324"/>
        <v/>
      </c>
      <c r="HJ196" s="172">
        <f>IF($J196="",#N/A,SUM(HI$4:$HI196))</f>
        <v>-7.7881897919552259</v>
      </c>
      <c r="HK196" s="54" t="str">
        <f t="shared" ref="HK196:HK259" si="421">IF($AC196="","",IF(AND($S196="Dwn",$K196&gt;0),$HU196-$P196,""))</f>
        <v/>
      </c>
      <c r="HL196" s="54">
        <f>IF($J196="",#N/A,SUM($HK$4:HK196))</f>
        <v>-2.6071468702998661</v>
      </c>
      <c r="HM196" s="54" t="str">
        <f t="shared" ref="HM196:HM259" si="422">IF($AC196="","",IF(AND($S196="Up",$K196&gt;0),$HU196-$P196,""))</f>
        <v/>
      </c>
      <c r="HN196" s="54">
        <f>IF($J196="",#N/A,SUM($HM$4:HM196))</f>
        <v>0.71812545963587882</v>
      </c>
      <c r="HO196" s="54" t="str">
        <f t="shared" ref="HO196:HO259" si="423">IF($AC196="","",IF(AND($S196="Up",$K196&lt;0),$HU196-$P196,""))</f>
        <v/>
      </c>
      <c r="HP196" s="54">
        <f>IF($J196="",#N/A,SUM($HO$4:HO196))</f>
        <v>-0.14859521910082485</v>
      </c>
      <c r="HQ196" s="54" t="str">
        <f t="shared" ref="HQ196:HQ259" si="424">IF($AC196="","",IF(AND($S196="SW",$K196&gt;0),$HU196-$P196,""))</f>
        <v/>
      </c>
      <c r="HR196" s="54">
        <f>IF($J196="",#N/A,SUM($HQ$4:HQ196))</f>
        <v>-12.346312825596971</v>
      </c>
      <c r="HS196" s="54">
        <f t="shared" ref="HS196:HS259" si="425">IF($AC196="","",IF(AND($S196="SW",$K196&lt;0),$HU196-$P196,""))</f>
        <v>-0.30572988562998626</v>
      </c>
      <c r="HT196" s="54">
        <f>IF($J196="",#N/A,SUM($HS$4:HS196))</f>
        <v>12.600845719340157</v>
      </c>
      <c r="HU196" s="65">
        <f t="shared" ref="HU196:HU259" si="426">IF(OR($Y196="",$AC196=""),"",IF($BF196="Long",(($AC196*$Y196)-$X196)/($X196*0.06),($X196-($AC196*$Y196))/($X196*0.06)))</f>
        <v>-0.62569079774391057</v>
      </c>
      <c r="HV196" s="65">
        <f>IF($J196="",#N/A,SUM(HU$4:$HU196))</f>
        <v>-2.4677183042019433</v>
      </c>
    </row>
    <row r="197" spans="1:230" x14ac:dyDescent="0.25">
      <c r="A197" s="51" t="s">
        <v>2552</v>
      </c>
      <c r="B197" s="52" t="s">
        <v>4543</v>
      </c>
      <c r="C197" s="229">
        <f t="shared" si="327"/>
        <v>2</v>
      </c>
      <c r="D197" s="219" t="str">
        <f>_xlfn.XLOOKUP(A197,[1]SP500!$A$2:$A$502,[1]SP500!$D$2:$D$502,"N")</f>
        <v>N</v>
      </c>
      <c r="E197" s="51" t="str">
        <f>IFERROR(_xlfn.XLOOKUP(A197,[1]SP500!$A$2:$A$655,[1]SP500!$B$2:$B$655),"")</f>
        <v>IGV</v>
      </c>
      <c r="F197" s="53">
        <v>45777</v>
      </c>
      <c r="G197" s="51" t="str">
        <f t="shared" si="328"/>
        <v>AMC</v>
      </c>
      <c r="H197" s="51" t="str">
        <f t="shared" si="329"/>
        <v>s</v>
      </c>
      <c r="I197" s="343">
        <v>23.81</v>
      </c>
      <c r="J197" s="123">
        <v>20.99</v>
      </c>
      <c r="K197" s="55">
        <f t="shared" si="330"/>
        <v>-0.11843763124737507</v>
      </c>
      <c r="L197" s="67">
        <f t="shared" si="331"/>
        <v>129.72000000000003</v>
      </c>
      <c r="M197" s="57">
        <f t="shared" si="332"/>
        <v>0</v>
      </c>
      <c r="N197" s="102">
        <f t="shared" si="333"/>
        <v>129.72000000000003</v>
      </c>
      <c r="O197" s="57">
        <f>IF(N197="",#N/A,SUM($N$4:N197))</f>
        <v>371.65636410061359</v>
      </c>
      <c r="P197" s="65">
        <f t="shared" ref="P197:P260" si="427">IF(OR($Y197="",L197=""),"",IF($BF197="Long",(($J197*$Y197)-$X197)/(X197*0.06),($X197-($J197*$Y197))/(X197*0.06)))</f>
        <v>1.9739605207895847</v>
      </c>
      <c r="Q197" s="172">
        <f>IF($N197="",#N/A,SUM($P$4:P197))</f>
        <v>9.0775157445644972</v>
      </c>
      <c r="R197" s="359">
        <f t="shared" si="334"/>
        <v>5.2436031980714866</v>
      </c>
      <c r="S197" s="51" t="str">
        <f t="shared" si="335"/>
        <v>Dwn</v>
      </c>
      <c r="T197" s="51" t="s">
        <v>4462</v>
      </c>
      <c r="U197" s="56">
        <f t="shared" si="336"/>
        <v>23.81</v>
      </c>
      <c r="V197" s="56" t="s">
        <v>4458</v>
      </c>
      <c r="W197" s="142">
        <v>46</v>
      </c>
      <c r="X197" s="145">
        <f t="shared" si="337"/>
        <v>1095.26</v>
      </c>
      <c r="Y197" s="140">
        <f t="shared" si="338"/>
        <v>46</v>
      </c>
      <c r="Z197" s="123">
        <v>20.99</v>
      </c>
      <c r="AA197" s="102">
        <f t="shared" si="339"/>
        <v>129.72000000000003</v>
      </c>
      <c r="AB197" s="102">
        <f t="shared" si="340"/>
        <v>201.01999999999998</v>
      </c>
      <c r="AC197" s="124">
        <v>19.440000000000001</v>
      </c>
      <c r="AD197" s="155">
        <f t="shared" si="341"/>
        <v>201.01999999999998</v>
      </c>
      <c r="AE197" s="545">
        <f t="shared" si="342"/>
        <v>3.0589388212235753</v>
      </c>
      <c r="AF197" s="57">
        <f>IF($AC197="",#N/A,SUM(AD$4:AD197))</f>
        <v>-45.760412002416274</v>
      </c>
      <c r="AG197" s="102">
        <f t="shared" si="343"/>
        <v>71.299999999999955</v>
      </c>
      <c r="AH197" s="56" t="s">
        <v>2507</v>
      </c>
      <c r="AI197" s="65">
        <f t="shared" si="344"/>
        <v>1.9739605207895847</v>
      </c>
      <c r="AJ197" s="108">
        <f>IF(AI197="",#N/A,SUM($AI$4:AI197))</f>
        <v>3.8339125464930106</v>
      </c>
      <c r="AK197" s="57">
        <f t="shared" si="345"/>
        <v>129.72000000000003</v>
      </c>
      <c r="AL197" s="66">
        <f>IF(AI197="",#N/A,IF(AH197="Skip",SUM($AK$4:AK197),SUM($AK$4:AK197)))</f>
        <v>39.967591492814108</v>
      </c>
      <c r="AM197" s="65">
        <f t="shared" ref="AM197:AM260" si="428">IF(OR($Y197="",$L197=""),"",IF($BF197="Long",(($AC197*$Y197)-$X197)/($X197*0.06),($X197-($AC197*$Y197))/($X197*0.06)))</f>
        <v>3.0589388212235753</v>
      </c>
      <c r="AN197" s="209"/>
      <c r="AO197" s="65" t="str">
        <f t="shared" si="346"/>
        <v/>
      </c>
      <c r="AP197" s="65">
        <f>IF($AC197="",#N/A,SUM(AO$4:AO197))</f>
        <v>5.3095427121787901</v>
      </c>
      <c r="AQ197" s="65" t="str">
        <f t="shared" si="347"/>
        <v/>
      </c>
      <c r="AR197" s="65">
        <f>IF($AC197="",#N/A,SUM(AQ$4:AQ197))</f>
        <v>-2.6179859771653153</v>
      </c>
      <c r="AS197" s="65">
        <f t="shared" si="348"/>
        <v>3.0589388212235753</v>
      </c>
      <c r="AT197" s="65">
        <f>IF($AC197="",#N/A,SUM(AS$4:AS197))</f>
        <v>-2.1003362179918468</v>
      </c>
      <c r="AU197" s="57" t="str">
        <f t="shared" si="320"/>
        <v/>
      </c>
      <c r="AV197" s="57">
        <f>IF($AC197="",#N/A,SUM(AU$4:AU197))</f>
        <v>218.73120645125073</v>
      </c>
      <c r="AW197" s="57" t="str">
        <f t="shared" si="321"/>
        <v/>
      </c>
      <c r="AX197" s="57">
        <f>IF($AC197="",#N/A,SUM(AW$4:AW197))</f>
        <v>-163.1400000000001</v>
      </c>
      <c r="AY197" s="57">
        <f t="shared" si="322"/>
        <v>201.01999999999998</v>
      </c>
      <c r="AZ197" s="57">
        <f>IF($AC197="",#N/A,SUM(AY$4:AY197))</f>
        <v>-101.3516184536669</v>
      </c>
      <c r="BA197" s="57">
        <f>IF(AD197="",#N/A,SUM($AD$4:AD197))</f>
        <v>-45.760412002416274</v>
      </c>
      <c r="BC197" s="51" t="str">
        <f t="shared" si="349"/>
        <v/>
      </c>
      <c r="BD197" s="51" t="str">
        <f t="shared" si="350"/>
        <v/>
      </c>
      <c r="BE197" s="51" t="str">
        <f t="shared" si="351"/>
        <v/>
      </c>
      <c r="BF197" s="51" t="str">
        <f t="shared" si="352"/>
        <v>Short</v>
      </c>
      <c r="BG197" s="51">
        <f t="shared" si="353"/>
        <v>1</v>
      </c>
      <c r="BH197" s="51" t="str">
        <f t="shared" si="354"/>
        <v/>
      </c>
      <c r="BI197" s="51" t="str">
        <f t="shared" si="355"/>
        <v/>
      </c>
      <c r="BK197" s="65">
        <f t="shared" si="326"/>
        <v>0.25568576103353235</v>
      </c>
      <c r="BL197" s="65">
        <f t="shared" si="325"/>
        <v>0.22739106607938753</v>
      </c>
      <c r="BM197" s="65">
        <f>IFERROR(Q197/COUNTA($J$4:J197),#N/A)</f>
        <v>4.6791318270951017E-2</v>
      </c>
      <c r="BO197" s="489" t="e">
        <f>IF(J197="",#N/A,IF(S197="SW",(COUNTIFS(K$4:$K197,"&gt;0",S$4:$S197,"SW")/COUNTIF(S$4:$S197,"SW")),#N/A))</f>
        <v>#N/A</v>
      </c>
      <c r="BP197" s="489">
        <f>IF($J197="",#N/A,IF($S197="DWN",(COUNTIFS($K$4:$K197,"&lt;0",$S$4:$S197,"DWN")/COUNTIF($S$4:$S197,"DWN")),#N/A))</f>
        <v>0.56097560975609762</v>
      </c>
      <c r="BQ197" s="489" t="e">
        <f>IF($J197="",#N/A,IF($S197="UP",(COUNTIFS($K$4:$K197,"&gt;0",$S$4:$S197,"UP")/COUNTIF($S$4:$S197,"UP")),#N/A))</f>
        <v>#N/A</v>
      </c>
      <c r="BR197" s="489">
        <f>IF(J197="",#N/A,COUNTIF($K$4:K197,"&gt;0")/COUNT($J$4:J197))</f>
        <v>0.46907216494845361</v>
      </c>
      <c r="BS197" s="65" t="str">
        <f t="shared" si="356"/>
        <v/>
      </c>
      <c r="BT197" s="65" t="str">
        <f t="shared" si="357"/>
        <v/>
      </c>
      <c r="BU197" s="65">
        <f t="shared" si="358"/>
        <v>1.9739605207895847</v>
      </c>
      <c r="BV197" s="65" t="str">
        <f t="shared" si="359"/>
        <v/>
      </c>
      <c r="BW197" s="128" t="str">
        <f t="shared" si="360"/>
        <v/>
      </c>
      <c r="BX197" s="128">
        <f>IF($J197="",#N/A,SUM($BW$4:BW197))</f>
        <v>-205.1650000000003</v>
      </c>
      <c r="BY197" s="131">
        <f t="shared" si="361"/>
        <v>129.72000000000003</v>
      </c>
      <c r="BZ197" s="131">
        <f>IF($J197="",#N/A,SUM($BY$4:BY197))</f>
        <v>407.77934038933449</v>
      </c>
      <c r="CA197" s="133" t="str">
        <f t="shared" si="362"/>
        <v/>
      </c>
      <c r="CB197" s="133">
        <f>IF($J197="",#N/A,SUM($CA$4:CA197))</f>
        <v>169.04202371127943</v>
      </c>
      <c r="CC197" s="194" t="str">
        <f t="shared" si="363"/>
        <v/>
      </c>
      <c r="CD197" s="194">
        <f>IF($J197="",#N/A,SUM($CC$4:CC197))</f>
        <v>-3.1875162177003693</v>
      </c>
      <c r="CE197" s="195">
        <f t="shared" si="364"/>
        <v>1.9739605207895847</v>
      </c>
      <c r="CF197" s="195">
        <f>IF($J197="",#N/A,SUM($CE$4:CE197))</f>
        <v>7.2100221438292609</v>
      </c>
      <c r="CG197" s="196" t="str">
        <f t="shared" si="365"/>
        <v/>
      </c>
      <c r="CH197" s="196">
        <f>IF($J197="",#N/A,SUM($CG$4:CG197))</f>
        <v>5.0550098184356109</v>
      </c>
      <c r="CI197" s="200" t="str">
        <f t="shared" si="366"/>
        <v/>
      </c>
      <c r="CJ197" s="203">
        <f>IF($J197="",#N/A,SUM(CI$4:CI197))</f>
        <v>0</v>
      </c>
      <c r="CK197" s="204" t="str">
        <f t="shared" si="367"/>
        <v/>
      </c>
      <c r="CL197" s="204">
        <f>IF($J197="",#N/A,SUM(CK$4:CK197))</f>
        <v>1.9927003554442289</v>
      </c>
      <c r="CM197" s="205" t="str">
        <f t="shared" si="368"/>
        <v/>
      </c>
      <c r="CN197" s="205">
        <f>IF($J197="",#N/A,SUM(CM$4:CM197))</f>
        <v>5.6091171609382364</v>
      </c>
      <c r="CO197" s="205">
        <f>IF($J197="",#N/A,SUM(CM$4:CM197,CK$4:CK197,CI$4:CI197))</f>
        <v>7.6018175163824644</v>
      </c>
      <c r="CP197" s="200" t="str">
        <f t="shared" si="369"/>
        <v/>
      </c>
      <c r="CQ197" s="203">
        <f>IF($J197="",#N/A,SUM(CP$4:CP197))</f>
        <v>0</v>
      </c>
      <c r="CR197" s="204">
        <f t="shared" si="370"/>
        <v>1.9739605207895847</v>
      </c>
      <c r="CS197" s="204">
        <f>IF($J197="",#N/A,SUM(CR$4:CR197))</f>
        <v>4.2989225684455388</v>
      </c>
      <c r="CT197" s="205" t="str">
        <f t="shared" si="371"/>
        <v/>
      </c>
      <c r="CU197" s="205">
        <f>IF($J197="",#N/A,SUM(CT$4:CT197))</f>
        <v>-1.1331655471946371</v>
      </c>
      <c r="CV197" s="205">
        <f>IF($J197="",#N/A,SUM(CT$4:CT197,CR$4:CR197,CP$4:CP197))</f>
        <v>3.1657570212509012</v>
      </c>
      <c r="CW197" s="200" t="str">
        <f t="shared" si="372"/>
        <v/>
      </c>
      <c r="CX197" s="203">
        <f>IF($J197="",#N/A,SUM(CW$4:CW197))</f>
        <v>0</v>
      </c>
      <c r="CY197" s="204" t="str">
        <f t="shared" si="373"/>
        <v/>
      </c>
      <c r="CZ197" s="204">
        <f>IF($J197="",#N/A,SUM(CY$4:CY197))</f>
        <v>-1.0974100761627814</v>
      </c>
      <c r="DA197" s="205" t="str">
        <f t="shared" si="374"/>
        <v/>
      </c>
      <c r="DB197" s="205">
        <f>IF($J197="",#N/A,SUM(DA$4:DA197))</f>
        <v>-2.2679577914291</v>
      </c>
      <c r="DC197" s="205">
        <f>IF($J197="",#N/A,SUM(DA$4:DA197,CY$4:CY197,CW$4:CW197))</f>
        <v>-3.365367867591881</v>
      </c>
      <c r="DD197" s="200" t="str">
        <f t="shared" si="375"/>
        <v/>
      </c>
      <c r="DE197" s="203">
        <f>IF($J197="",#N/A,SUM(DD$4:DD197))</f>
        <v>0.14968716170674062</v>
      </c>
      <c r="DF197" s="204" t="str">
        <f t="shared" si="376"/>
        <v/>
      </c>
      <c r="DG197" s="204">
        <f>IF($J197="",#N/A,SUM(DF$4:DF197))</f>
        <v>1.2121188689979676</v>
      </c>
      <c r="DH197" s="205" t="str">
        <f t="shared" si="377"/>
        <v/>
      </c>
      <c r="DI197" s="205">
        <f>IF($J197="",#N/A,SUM(DH$4:DH197))</f>
        <v>-0.8404015973735236</v>
      </c>
      <c r="DJ197" s="205">
        <f>IF($J197="",#N/A,SUM(DH$4:DH197,DF$4:DF197,DD$4:DD197))</f>
        <v>0.52140443333118447</v>
      </c>
      <c r="DK197" s="200" t="str">
        <f t="shared" si="378"/>
        <v/>
      </c>
      <c r="DL197" s="203">
        <f>IF($J197="",#N/A,SUM(DK$4:DK197))</f>
        <v>-1.2097286851272664</v>
      </c>
      <c r="DM197" s="204" t="str">
        <f t="shared" si="379"/>
        <v/>
      </c>
      <c r="DN197" s="204">
        <f>IF($J197="",#N/A,SUM(DM$4:DM197))</f>
        <v>1.1910608267574658</v>
      </c>
      <c r="DO197" s="205" t="str">
        <f t="shared" si="380"/>
        <v/>
      </c>
      <c r="DP197" s="205">
        <f>IF($J197="",#N/A,SUM(DO$4:DO197))</f>
        <v>2.6571865116636566</v>
      </c>
      <c r="DQ197" s="205">
        <f>IF($J197="",#N/A,SUM(DO$4:DO197,DM$4:DM197,DK$4:DK197))</f>
        <v>2.6385186532938567</v>
      </c>
      <c r="DR197" s="200" t="str">
        <f t="shared" si="381"/>
        <v/>
      </c>
      <c r="DS197" s="203">
        <f>IF($J197="",#N/A,SUM(DR$4:DR197))</f>
        <v>-0.55950946427675097</v>
      </c>
      <c r="DT197" s="204" t="str">
        <f t="shared" si="382"/>
        <v/>
      </c>
      <c r="DU197" s="204">
        <f>IF($J197="",#N/A,SUM(DT$4:DT197))</f>
        <v>-3.5029740333397914</v>
      </c>
      <c r="DV197" s="205" t="str">
        <f t="shared" si="383"/>
        <v/>
      </c>
      <c r="DW197" s="205">
        <f>IF($J197="",#N/A,SUM(DV$4:DV197))</f>
        <v>-1.1689034257107362</v>
      </c>
      <c r="DX197" s="205">
        <f>IF($J197="",#N/A,SUM(DV$4:DV197,DT$4:DT197,DR$4:DR197))</f>
        <v>-5.2313869233272783</v>
      </c>
      <c r="DY197" s="200" t="str">
        <f t="shared" si="384"/>
        <v/>
      </c>
      <c r="DZ197" s="203">
        <f>IF($J197="",#N/A,SUM(DY$4:DY197))</f>
        <v>-1.63480022183437</v>
      </c>
      <c r="EA197" s="204" t="str">
        <f t="shared" si="385"/>
        <v/>
      </c>
      <c r="EB197" s="204">
        <f>IF($J197="",#N/A,SUM(EA$4:EA197))</f>
        <v>0.5578066706208582</v>
      </c>
      <c r="EC197" s="205" t="str">
        <f t="shared" si="386"/>
        <v/>
      </c>
      <c r="ED197" s="205">
        <f>IF($J197="",#N/A,SUM(EC$4:EC197))</f>
        <v>2.4515280577205139</v>
      </c>
      <c r="EE197" s="205">
        <f>IF($J197="",#N/A,SUM(EC$4:EC197,EA$4:EA197,DY$4:DY197))</f>
        <v>1.3745345065070016</v>
      </c>
      <c r="EF197" s="200" t="str">
        <f t="shared" si="387"/>
        <v/>
      </c>
      <c r="EG197" s="203">
        <f>IF($J197="",#N/A,SUM(EF$4:EF197))</f>
        <v>0</v>
      </c>
      <c r="EH197" s="204" t="str">
        <f t="shared" si="388"/>
        <v/>
      </c>
      <c r="EI197" s="204">
        <f>IF($J197="",#N/A,SUM(EH$4:EH197))</f>
        <v>-2.7245005604557937</v>
      </c>
      <c r="EJ197" s="205" t="str">
        <f t="shared" si="389"/>
        <v/>
      </c>
      <c r="EK197" s="205">
        <f>IF($J197="",#N/A,SUM(EJ$4:EJ197))</f>
        <v>2.804966392787259</v>
      </c>
      <c r="EL197" s="205">
        <f>IF($J197="",#N/A,SUM(EJ$4:EJ197,EH$4:EH197,EF$4:EF197))</f>
        <v>8.0465832331466203E-2</v>
      </c>
      <c r="EM197" s="200" t="str">
        <f t="shared" si="390"/>
        <v/>
      </c>
      <c r="EN197" s="203">
        <f>IF($J197="",#N/A,SUM(EM$4:EM197))</f>
        <v>0</v>
      </c>
      <c r="EO197" s="204" t="str">
        <f t="shared" si="391"/>
        <v/>
      </c>
      <c r="EP197" s="204">
        <f>IF($J197="",#N/A,SUM(EO$4:EO197))</f>
        <v>2.2439573928506102</v>
      </c>
      <c r="EQ197" s="205" t="str">
        <f t="shared" si="392"/>
        <v/>
      </c>
      <c r="ER197" s="205">
        <f>IF($J197="",#N/A,SUM(EQ$4:EQ197))</f>
        <v>2.0221833315059508</v>
      </c>
      <c r="ES197" s="205">
        <f>IF($J197="",#N/A,SUM(EQ$4:EQ197,EO$4:EO197,EM$4:EM197))</f>
        <v>4.2661407243565606</v>
      </c>
      <c r="ET197" s="200" t="str">
        <f t="shared" si="393"/>
        <v/>
      </c>
      <c r="EU197" s="203">
        <f>IF($J197="",#N/A,SUM(ET$4:ET197))</f>
        <v>0</v>
      </c>
      <c r="EV197" s="204" t="str">
        <f t="shared" si="394"/>
        <v/>
      </c>
      <c r="EW197" s="204">
        <f>IF($J197="",#N/A,SUM(EV$4:EV197))</f>
        <v>1.9901851109977766</v>
      </c>
      <c r="EX197" s="205" t="str">
        <f t="shared" si="395"/>
        <v/>
      </c>
      <c r="EY197" s="205">
        <f>IF($J197="",#N/A,SUM(EX$4:EX197))</f>
        <v>-9.038537462898949E-2</v>
      </c>
      <c r="EZ197" s="205">
        <f>IF($J197="",#N/A,SUM(EX$4:EX197,EV$4:EV197,ET$4:ET197))</f>
        <v>1.8997997363687871</v>
      </c>
      <c r="FA197" s="200" t="str">
        <f t="shared" si="396"/>
        <v/>
      </c>
      <c r="FB197" s="203">
        <f>IF($J197="",#N/A,SUM(FA$4:FA197))</f>
        <v>0</v>
      </c>
      <c r="FC197" s="204" t="str">
        <f t="shared" si="397"/>
        <v/>
      </c>
      <c r="FD197" s="204">
        <f>IF($J197="",#N/A,SUM(FC$4:FC197))</f>
        <v>1.6839191319663924</v>
      </c>
      <c r="FE197" s="205" t="str">
        <f t="shared" si="398"/>
        <v/>
      </c>
      <c r="FF197" s="205">
        <f>IF($J197="",#N/A,SUM(FE$4:FE197))</f>
        <v>-0.28811149078748233</v>
      </c>
      <c r="FG197" s="205">
        <f>IF($J197="",#N/A,SUM(FE$4:FE197,FC$4:FC197,FA$4:FA197))</f>
        <v>1.3958076411789102</v>
      </c>
      <c r="FH197" s="200" t="str">
        <f t="shared" si="399"/>
        <v/>
      </c>
      <c r="FI197" s="203">
        <f>IF($J197="",#N/A,SUM(FH$4:FH197))</f>
        <v>0</v>
      </c>
      <c r="FJ197" s="204" t="str">
        <f t="shared" si="400"/>
        <v/>
      </c>
      <c r="FK197" s="204">
        <f>IF($J197="",#N/A,SUM(FJ$4:FJ197))</f>
        <v>0</v>
      </c>
      <c r="FL197" s="205" t="str">
        <f t="shared" si="401"/>
        <v/>
      </c>
      <c r="FM197" s="205">
        <f>IF($J197="",#N/A,SUM(FL$4:FL197))</f>
        <v>0</v>
      </c>
      <c r="FN197" s="205">
        <f>IF($J197="",#N/A,SUM(FL$4:FL197,FJ$4:FJ197,FH$4:FH197))</f>
        <v>0</v>
      </c>
      <c r="FO197" s="200" t="str">
        <f t="shared" si="402"/>
        <v/>
      </c>
      <c r="FP197" s="203">
        <f>IF($J197="",#N/A,SUM(FO$4:FO197))</f>
        <v>0</v>
      </c>
      <c r="FQ197" s="204" t="str">
        <f t="shared" si="403"/>
        <v/>
      </c>
      <c r="FR197" s="204">
        <f>IF($J197="",#N/A,SUM(FQ$4:FQ197))</f>
        <v>0</v>
      </c>
      <c r="FS197" s="205" t="str">
        <f t="shared" si="404"/>
        <v/>
      </c>
      <c r="FT197" s="205">
        <f>IF($J197="",#N/A,SUM(FS$4:FS197))</f>
        <v>0</v>
      </c>
      <c r="FU197" s="205">
        <f>IF($J197="",#N/A,SUM(FS$4:FS197,FQ$4:FQ197,FO$4:FO197))</f>
        <v>0</v>
      </c>
      <c r="FV197" s="200" t="str">
        <f t="shared" si="405"/>
        <v/>
      </c>
      <c r="FW197" s="203">
        <f>IF($J197="",#N/A,SUM(FV$4:FV197))</f>
        <v>6.6834991831277585E-2</v>
      </c>
      <c r="FX197" s="204" t="str">
        <f t="shared" si="406"/>
        <v/>
      </c>
      <c r="FY197" s="204">
        <f>IF($J197="",#N/A,SUM(FX$4:FX197))</f>
        <v>-0.16102012791805576</v>
      </c>
      <c r="FZ197" s="205" t="str">
        <f t="shared" si="407"/>
        <v/>
      </c>
      <c r="GA197" s="205">
        <f>IF($J197="",#N/A,SUM(FZ$4:FZ197))</f>
        <v>-1.7642101813332194</v>
      </c>
      <c r="GB197" s="205">
        <f>IF($J197="",#N/A,SUM(FZ$4:FZ197,FX$4:FX197,FV$4:FV197))</f>
        <v>-1.8583953174199976</v>
      </c>
      <c r="GC197" s="200" t="str">
        <f t="shared" si="408"/>
        <v/>
      </c>
      <c r="GD197" s="203">
        <f>IF($J197="",#N/A,SUM(GC$4:GC197))</f>
        <v>0</v>
      </c>
      <c r="GE197" s="204" t="str">
        <f t="shared" si="409"/>
        <v/>
      </c>
      <c r="GF197" s="204">
        <f>IF($J197="",#N/A,SUM(GE$4:GE197))</f>
        <v>0</v>
      </c>
      <c r="GG197" s="205" t="str">
        <f t="shared" si="410"/>
        <v/>
      </c>
      <c r="GH197" s="205">
        <f>IF($J197="",#N/A,SUM(GG$4:GG197))</f>
        <v>-2.9368362277223206</v>
      </c>
      <c r="GI197" s="205">
        <f>IF($J197="",#N/A,SUM(GG$4:GG197,GE$4:GE197,GC$4:GC197))</f>
        <v>-2.9368362277223206</v>
      </c>
      <c r="GJ197" s="200" t="str">
        <f t="shared" si="411"/>
        <v/>
      </c>
      <c r="GK197" s="203">
        <f>IF($J197="",#N/A,SUM(GJ$4:GJ197))</f>
        <v>0</v>
      </c>
      <c r="GL197" s="204" t="str">
        <f t="shared" si="412"/>
        <v/>
      </c>
      <c r="GM197" s="204">
        <f>IF($J197="",#N/A,SUM(GL$4:GL197))</f>
        <v>-0.80168930905701452</v>
      </c>
      <c r="GN197" s="205" t="str">
        <f t="shared" si="413"/>
        <v/>
      </c>
      <c r="GO197" s="205">
        <f>IF($J197="",#N/A,SUM(GN$4:GN197))</f>
        <v>0</v>
      </c>
      <c r="GP197" s="205">
        <f>IF($J197="",#N/A,SUM(GN$4:GN197,GL$4:GL197,GJ$4:GJ197))</f>
        <v>-0.80168930905701452</v>
      </c>
      <c r="GS197" s="54" t="str">
        <f t="shared" si="323"/>
        <v/>
      </c>
      <c r="GT197" s="54" t="e">
        <f>IF(GS197="",NA(),SUM($GS$4:GS197))</f>
        <v>#N/A</v>
      </c>
      <c r="GU197" s="54" t="str">
        <f t="shared" si="414"/>
        <v/>
      </c>
      <c r="GV197" s="54" t="e">
        <f>IF(GU197="",NA(),SUM($GU$4:GU197))</f>
        <v>#N/A</v>
      </c>
      <c r="GW197" s="54" t="str">
        <f t="shared" si="415"/>
        <v/>
      </c>
      <c r="GX197" s="54" t="e">
        <f>IF(GW197="",NA(),SUM($GW$4:GW197))</f>
        <v>#N/A</v>
      </c>
      <c r="GY197" s="54" t="str">
        <f t="shared" si="416"/>
        <v/>
      </c>
      <c r="GZ197" s="54" t="e">
        <f>IF(GY197="",NA(),SUM($GY$4:GY197))</f>
        <v>#N/A</v>
      </c>
      <c r="HA197" s="54">
        <f t="shared" si="417"/>
        <v>1.9739605207895847</v>
      </c>
      <c r="HB197" s="54">
        <f>IF(HA197="",NA(),SUM($HA$4:HA197))</f>
        <v>5.749210530344409</v>
      </c>
      <c r="HC197" s="54" t="str">
        <f t="shared" si="418"/>
        <v/>
      </c>
      <c r="HD197" s="54" t="e">
        <f>IF(HC197="",NA(),SUM($HC$4:HC197))</f>
        <v>#N/A</v>
      </c>
      <c r="HE197" s="54" t="str">
        <f t="shared" si="419"/>
        <v/>
      </c>
      <c r="HF197" s="54" t="e">
        <f>IF(HE197="",NA(),SUM($HE$4:HE197))</f>
        <v>#N/A</v>
      </c>
      <c r="HG197" s="54">
        <f t="shared" si="420"/>
        <v>1.9739605207895847</v>
      </c>
      <c r="HH197" s="54">
        <f>IF(HG197="",NA(),SUM($HG$4:HG197))</f>
        <v>5.3853180353958496</v>
      </c>
      <c r="HI197" s="172">
        <f t="shared" si="324"/>
        <v>1.0849783004339906</v>
      </c>
      <c r="HJ197" s="172">
        <f>IF($J197="",#N/A,SUM(HI$4:$HI197))</f>
        <v>-6.7032114915212357</v>
      </c>
      <c r="HK197" s="54" t="str">
        <f t="shared" si="421"/>
        <v/>
      </c>
      <c r="HL197" s="54">
        <f>IF($J197="",#N/A,SUM($HK$4:HK197))</f>
        <v>-2.6071468702998661</v>
      </c>
      <c r="HM197" s="54" t="str">
        <f t="shared" si="422"/>
        <v/>
      </c>
      <c r="HN197" s="54">
        <f>IF($J197="",#N/A,SUM($HM$4:HM197))</f>
        <v>0.71812545963587882</v>
      </c>
      <c r="HO197" s="54" t="str">
        <f t="shared" si="423"/>
        <v/>
      </c>
      <c r="HP197" s="54">
        <f>IF($J197="",#N/A,SUM($HO$4:HO197))</f>
        <v>-0.14859521910082485</v>
      </c>
      <c r="HQ197" s="54" t="str">
        <f t="shared" si="424"/>
        <v/>
      </c>
      <c r="HR197" s="54">
        <f>IF($J197="",#N/A,SUM($HQ$4:HQ197))</f>
        <v>-12.346312825596971</v>
      </c>
      <c r="HS197" s="54" t="str">
        <f t="shared" si="425"/>
        <v/>
      </c>
      <c r="HT197" s="54">
        <f>IF($J197="",#N/A,SUM($HS$4:HS197))</f>
        <v>12.600845719340157</v>
      </c>
      <c r="HU197" s="65">
        <f t="shared" si="426"/>
        <v>3.0589388212235753</v>
      </c>
      <c r="HV197" s="65">
        <f>IF($J197="",#N/A,SUM(HU$4:$HU197))</f>
        <v>0.59122051702163203</v>
      </c>
    </row>
    <row r="198" spans="1:230" x14ac:dyDescent="0.25">
      <c r="A198" s="59" t="s">
        <v>1544</v>
      </c>
      <c r="B198" s="289" t="s">
        <v>4544</v>
      </c>
      <c r="C198" s="230">
        <f t="shared" si="327"/>
        <v>2</v>
      </c>
      <c r="D198" s="220" t="str">
        <f>_xlfn.XLOOKUP(A198,[1]SP500!$A$2:$A$502,[1]SP500!$D$2:$D$502,"N")</f>
        <v>Y</v>
      </c>
      <c r="E198" s="59" t="str">
        <f>IFERROR(_xlfn.XLOOKUP(A198,[1]SP500!$A$2:$A$655,[1]SP500!$B$2:$B$655),"")</f>
        <v>XLI</v>
      </c>
      <c r="F198" s="290">
        <v>45778</v>
      </c>
      <c r="G198" s="59" t="str">
        <f t="shared" si="328"/>
        <v>BMO</v>
      </c>
      <c r="H198" s="59" t="str">
        <f t="shared" si="329"/>
        <v>s</v>
      </c>
      <c r="I198" s="376">
        <v>173.97</v>
      </c>
      <c r="J198" s="125">
        <v>184</v>
      </c>
      <c r="K198" s="60">
        <f t="shared" si="330"/>
        <v>5.7653618439960919E-2</v>
      </c>
      <c r="L198" s="68">
        <f t="shared" si="331"/>
        <v>-70.210000000000036</v>
      </c>
      <c r="M198" s="62">
        <f t="shared" si="332"/>
        <v>0</v>
      </c>
      <c r="N198" s="63">
        <f t="shared" si="333"/>
        <v>-70.210000000000036</v>
      </c>
      <c r="O198" s="62">
        <f>IF(N198="",#N/A,SUM($N$4:N198))</f>
        <v>301.44636410061355</v>
      </c>
      <c r="P198" s="64">
        <f t="shared" si="427"/>
        <v>-0.96089364066601579</v>
      </c>
      <c r="Q198" s="183">
        <f>IF($N198="",#N/A,SUM($P$4:P198))</f>
        <v>8.1166221038984823</v>
      </c>
      <c r="R198" s="279">
        <f t="shared" si="334"/>
        <v>5.2436031980714874</v>
      </c>
      <c r="S198" s="59" t="str">
        <f t="shared" si="335"/>
        <v>Dwn</v>
      </c>
      <c r="T198" s="59" t="s">
        <v>4461</v>
      </c>
      <c r="U198" s="61">
        <f t="shared" si="336"/>
        <v>173.97</v>
      </c>
      <c r="V198" s="61" t="s">
        <v>4458</v>
      </c>
      <c r="W198" s="142">
        <v>7</v>
      </c>
      <c r="X198" s="146">
        <f t="shared" si="337"/>
        <v>1217.79</v>
      </c>
      <c r="Y198" s="142">
        <f t="shared" si="338"/>
        <v>7</v>
      </c>
      <c r="Z198" s="278">
        <v>184</v>
      </c>
      <c r="AA198" s="63">
        <f t="shared" si="339"/>
        <v>-70.210000000000036</v>
      </c>
      <c r="AB198" s="63">
        <f t="shared" si="340"/>
        <v>-8.9600000000000364</v>
      </c>
      <c r="AC198" s="125">
        <v>175.25</v>
      </c>
      <c r="AD198" s="148">
        <f t="shared" si="341"/>
        <v>-8.9600000000000364</v>
      </c>
      <c r="AE198" s="544">
        <f t="shared" si="342"/>
        <v>-0.12262650648579308</v>
      </c>
      <c r="AF198" s="62">
        <f>IF($AC198="",#N/A,SUM(AD$4:AD198))</f>
        <v>-54.72041200241631</v>
      </c>
      <c r="AG198" s="63">
        <f t="shared" si="343"/>
        <v>61.25</v>
      </c>
      <c r="AH198" s="61" t="s">
        <v>2507</v>
      </c>
      <c r="AI198" s="64">
        <f t="shared" si="344"/>
        <v>-0.96089364066601579</v>
      </c>
      <c r="AJ198" s="177">
        <f>IF(AI198="",#N/A,SUM($AI$4:AI198))</f>
        <v>2.8730189058269948</v>
      </c>
      <c r="AK198" s="62">
        <f t="shared" si="345"/>
        <v>-70.210000000000036</v>
      </c>
      <c r="AL198" s="351">
        <f>IF(AI198="",#N/A,IF(AH198="Skip",SUM($AK$4:AK198),SUM($AK$4:AK198)))</f>
        <v>-30.242408507185928</v>
      </c>
      <c r="AM198" s="65">
        <f t="shared" si="428"/>
        <v>-0.12262650648579308</v>
      </c>
      <c r="AN198" s="209"/>
      <c r="AO198" s="64" t="str">
        <f t="shared" si="346"/>
        <v/>
      </c>
      <c r="AP198" s="64">
        <f>IF($AC198="",#N/A,SUM(AO$4:AO198))</f>
        <v>5.3095427121787901</v>
      </c>
      <c r="AQ198" s="64" t="str">
        <f t="shared" si="347"/>
        <v/>
      </c>
      <c r="AR198" s="64">
        <f>IF($AC198="",#N/A,SUM(AQ$4:AQ198))</f>
        <v>-2.6179859771653153</v>
      </c>
      <c r="AS198" s="64">
        <f t="shared" si="348"/>
        <v>-0.12262650648579308</v>
      </c>
      <c r="AT198" s="64">
        <f>IF($AC198="",#N/A,SUM(AS$4:AS198))</f>
        <v>-2.22296272447764</v>
      </c>
      <c r="AU198" s="62" t="str">
        <f t="shared" ref="AU198:AU261" si="429">IF(AND(S198="SW",BF198="Long"),$AD198,"")</f>
        <v/>
      </c>
      <c r="AV198" s="62">
        <f>IF($AC198="",#N/A,SUM(AU$4:AU198))</f>
        <v>218.73120645125073</v>
      </c>
      <c r="AW198" s="62" t="str">
        <f t="shared" ref="AW198:AW261" si="430">IF(AND(S198="UP",BF198="Long"),$AD198,"")</f>
        <v/>
      </c>
      <c r="AX198" s="62">
        <f>IF($AC198="",#N/A,SUM(AW$4:AW198))</f>
        <v>-163.1400000000001</v>
      </c>
      <c r="AY198" s="62">
        <f t="shared" ref="AY198:AY261" si="431">IF(AND(S198="Dwn",BF198="Short"),$AD198,"")</f>
        <v>-8.9600000000000364</v>
      </c>
      <c r="AZ198" s="62">
        <f>IF($AC198="",#N/A,SUM(AY$4:AY198))</f>
        <v>-110.31161845366694</v>
      </c>
      <c r="BA198" s="62">
        <f>IF(AD198="",#N/A,SUM($AD$4:AD198))</f>
        <v>-54.72041200241631</v>
      </c>
      <c r="BC198" s="59" t="str">
        <f t="shared" si="349"/>
        <v/>
      </c>
      <c r="BD198" s="59">
        <f t="shared" si="350"/>
        <v>1</v>
      </c>
      <c r="BE198" s="59" t="str">
        <f t="shared" si="351"/>
        <v/>
      </c>
      <c r="BF198" s="59" t="str">
        <f t="shared" si="352"/>
        <v>Short</v>
      </c>
      <c r="BG198" s="59" t="str">
        <f t="shared" si="353"/>
        <v/>
      </c>
      <c r="BH198" s="59" t="str">
        <f t="shared" si="354"/>
        <v/>
      </c>
      <c r="BI198" s="59" t="str">
        <f t="shared" si="355"/>
        <v/>
      </c>
      <c r="BK198" s="65">
        <f t="shared" si="326"/>
        <v>0.20966960383426436</v>
      </c>
      <c r="BL198" s="65">
        <f t="shared" si="325"/>
        <v>0.17017514854647114</v>
      </c>
      <c r="BM198" s="65">
        <f>IFERROR(Q198/COUNTA($J$4:J198),#N/A)</f>
        <v>4.1623703096915293E-2</v>
      </c>
      <c r="BO198" s="489" t="e">
        <f>IF(J198="",#N/A,IF(S198="SW",(COUNTIFS(K$4:$K198,"&gt;0",S$4:$S198,"SW")/COUNTIF(S$4:$S198,"SW")),#N/A))</f>
        <v>#N/A</v>
      </c>
      <c r="BP198" s="489">
        <f>IF($J198="",#N/A,IF($S198="DWN",(COUNTIFS($K$4:$K198,"&lt;0",$S$4:$S198,"DWN")/COUNTIF($S$4:$S198,"DWN")),#N/A))</f>
        <v>0.55421686746987953</v>
      </c>
      <c r="BQ198" s="489" t="e">
        <f>IF($J198="",#N/A,IF($S198="UP",(COUNTIFS($K$4:$K198,"&gt;0",$S$4:$S198,"UP")/COUNTIF($S$4:$S198,"UP")),#N/A))</f>
        <v>#N/A</v>
      </c>
      <c r="BR198" s="489">
        <f>IF(J198="",#N/A,COUNTIF($K$4:K198,"&gt;0")/COUNT($J$4:J198))</f>
        <v>0.47179487179487178</v>
      </c>
      <c r="BS198" s="65" t="str">
        <f t="shared" si="356"/>
        <v/>
      </c>
      <c r="BT198" s="65" t="str">
        <f t="shared" si="357"/>
        <v/>
      </c>
      <c r="BU198" s="65" t="str">
        <f t="shared" si="358"/>
        <v/>
      </c>
      <c r="BV198" s="65">
        <f t="shared" si="359"/>
        <v>-0.96089364066601579</v>
      </c>
      <c r="BW198" s="128" t="str">
        <f t="shared" si="360"/>
        <v/>
      </c>
      <c r="BX198" s="128">
        <f>IF($J198="",#N/A,SUM($BW$4:BW198))</f>
        <v>-205.1650000000003</v>
      </c>
      <c r="BY198" s="131">
        <f t="shared" si="361"/>
        <v>-70.210000000000036</v>
      </c>
      <c r="BZ198" s="131">
        <f>IF($J198="",#N/A,SUM($BY$4:BY198))</f>
        <v>337.56934038933446</v>
      </c>
      <c r="CA198" s="133" t="str">
        <f t="shared" si="362"/>
        <v/>
      </c>
      <c r="CB198" s="133">
        <f>IF($J198="",#N/A,SUM($CA$4:CA198))</f>
        <v>169.04202371127943</v>
      </c>
      <c r="CC198" s="194" t="str">
        <f t="shared" si="363"/>
        <v/>
      </c>
      <c r="CD198" s="194">
        <f>IF($J198="",#N/A,SUM($CC$4:CC198))</f>
        <v>-3.1875162177003693</v>
      </c>
      <c r="CE198" s="195">
        <f t="shared" si="364"/>
        <v>-0.96089364066601579</v>
      </c>
      <c r="CF198" s="195">
        <f>IF($J198="",#N/A,SUM($CE$4:CE198))</f>
        <v>6.2491285031632451</v>
      </c>
      <c r="CG198" s="196" t="str">
        <f t="shared" si="365"/>
        <v/>
      </c>
      <c r="CH198" s="193">
        <f>IF($J198="",#N/A,SUM($CG$4:CG198))</f>
        <v>5.0550098184356109</v>
      </c>
      <c r="CI198" s="200" t="str">
        <f t="shared" si="366"/>
        <v/>
      </c>
      <c r="CJ198" s="203">
        <f>IF($J198="",#N/A,SUM(CI$4:CI198))</f>
        <v>0</v>
      </c>
      <c r="CK198" s="204" t="str">
        <f t="shared" si="367"/>
        <v/>
      </c>
      <c r="CL198" s="204">
        <f>IF($J198="",#N/A,SUM(CK$4:CK198))</f>
        <v>1.9927003554442289</v>
      </c>
      <c r="CM198" s="205" t="str">
        <f t="shared" si="368"/>
        <v/>
      </c>
      <c r="CN198" s="205">
        <f>IF($J198="",#N/A,SUM(CM$4:CM198))</f>
        <v>5.6091171609382364</v>
      </c>
      <c r="CO198" s="205">
        <f>IF($J198="",#N/A,SUM(CM$4:CM198,CK$4:CK198,CI$4:CI198))</f>
        <v>7.6018175163824644</v>
      </c>
      <c r="CP198" s="200" t="str">
        <f t="shared" si="369"/>
        <v/>
      </c>
      <c r="CQ198" s="203">
        <f>IF($J198="",#N/A,SUM(CP$4:CP198))</f>
        <v>0</v>
      </c>
      <c r="CR198" s="204" t="str">
        <f t="shared" si="370"/>
        <v/>
      </c>
      <c r="CS198" s="204">
        <f>IF($J198="",#N/A,SUM(CR$4:CR198))</f>
        <v>4.2989225684455388</v>
      </c>
      <c r="CT198" s="205" t="str">
        <f t="shared" si="371"/>
        <v/>
      </c>
      <c r="CU198" s="205">
        <f>IF($J198="",#N/A,SUM(CT$4:CT198))</f>
        <v>-1.1331655471946371</v>
      </c>
      <c r="CV198" s="205">
        <f>IF($J198="",#N/A,SUM(CT$4:CT198,CR$4:CR198,CP$4:CP198))</f>
        <v>3.1657570212509012</v>
      </c>
      <c r="CW198" s="200" t="str">
        <f t="shared" si="372"/>
        <v/>
      </c>
      <c r="CX198" s="203">
        <f>IF($J198="",#N/A,SUM(CW$4:CW198))</f>
        <v>0</v>
      </c>
      <c r="CY198" s="204" t="str">
        <f t="shared" si="373"/>
        <v/>
      </c>
      <c r="CZ198" s="204">
        <f>IF($J198="",#N/A,SUM(CY$4:CY198))</f>
        <v>-1.0974100761627814</v>
      </c>
      <c r="DA198" s="205" t="str">
        <f t="shared" si="374"/>
        <v/>
      </c>
      <c r="DB198" s="205">
        <f>IF($J198="",#N/A,SUM(DA$4:DA198))</f>
        <v>-2.2679577914291</v>
      </c>
      <c r="DC198" s="205">
        <f>IF($J198="",#N/A,SUM(DA$4:DA198,CY$4:CY198,CW$4:CW198))</f>
        <v>-3.365367867591881</v>
      </c>
      <c r="DD198" s="200" t="str">
        <f t="shared" si="375"/>
        <v/>
      </c>
      <c r="DE198" s="203">
        <f>IF($J198="",#N/A,SUM(DD$4:DD198))</f>
        <v>0.14968716170674062</v>
      </c>
      <c r="DF198" s="204" t="str">
        <f t="shared" si="376"/>
        <v/>
      </c>
      <c r="DG198" s="204">
        <f>IF($J198="",#N/A,SUM(DF$4:DF198))</f>
        <v>1.2121188689979676</v>
      </c>
      <c r="DH198" s="205" t="str">
        <f t="shared" si="377"/>
        <v/>
      </c>
      <c r="DI198" s="205">
        <f>IF($J198="",#N/A,SUM(DH$4:DH198))</f>
        <v>-0.8404015973735236</v>
      </c>
      <c r="DJ198" s="205">
        <f>IF($J198="",#N/A,SUM(DH$4:DH198,DF$4:DF198,DD$4:DD198))</f>
        <v>0.52140443333118447</v>
      </c>
      <c r="DK198" s="200" t="str">
        <f t="shared" si="378"/>
        <v/>
      </c>
      <c r="DL198" s="203">
        <f>IF($J198="",#N/A,SUM(DK$4:DK198))</f>
        <v>-1.2097286851272664</v>
      </c>
      <c r="DM198" s="204" t="str">
        <f t="shared" si="379"/>
        <v/>
      </c>
      <c r="DN198" s="204">
        <f>IF($J198="",#N/A,SUM(DM$4:DM198))</f>
        <v>1.1910608267574658</v>
      </c>
      <c r="DO198" s="205" t="str">
        <f t="shared" si="380"/>
        <v/>
      </c>
      <c r="DP198" s="205">
        <f>IF($J198="",#N/A,SUM(DO$4:DO198))</f>
        <v>2.6571865116636566</v>
      </c>
      <c r="DQ198" s="205">
        <f>IF($J198="",#N/A,SUM(DO$4:DO198,DM$4:DM198,DK$4:DK198))</f>
        <v>2.6385186532938567</v>
      </c>
      <c r="DR198" s="200" t="str">
        <f t="shared" si="381"/>
        <v/>
      </c>
      <c r="DS198" s="203">
        <f>IF($J198="",#N/A,SUM(DR$4:DR198))</f>
        <v>-0.55950946427675097</v>
      </c>
      <c r="DT198" s="204" t="str">
        <f t="shared" si="382"/>
        <v/>
      </c>
      <c r="DU198" s="204">
        <f>IF($J198="",#N/A,SUM(DT$4:DT198))</f>
        <v>-3.5029740333397914</v>
      </c>
      <c r="DV198" s="205" t="str">
        <f t="shared" si="383"/>
        <v/>
      </c>
      <c r="DW198" s="205">
        <f>IF($J198="",#N/A,SUM(DV$4:DV198))</f>
        <v>-1.1689034257107362</v>
      </c>
      <c r="DX198" s="205">
        <f>IF($J198="",#N/A,SUM(DV$4:DV198,DT$4:DT198,DR$4:DR198))</f>
        <v>-5.2313869233272783</v>
      </c>
      <c r="DY198" s="200" t="str">
        <f t="shared" si="384"/>
        <v/>
      </c>
      <c r="DZ198" s="203">
        <f>IF($J198="",#N/A,SUM(DY$4:DY198))</f>
        <v>-1.63480022183437</v>
      </c>
      <c r="EA198" s="204">
        <f t="shared" si="385"/>
        <v>-0.96089364066601579</v>
      </c>
      <c r="EB198" s="204">
        <f>IF($J198="",#N/A,SUM(EA$4:EA198))</f>
        <v>-0.40308697004515759</v>
      </c>
      <c r="EC198" s="205" t="str">
        <f t="shared" si="386"/>
        <v/>
      </c>
      <c r="ED198" s="205">
        <f>IF($J198="",#N/A,SUM(EC$4:EC198))</f>
        <v>2.4515280577205139</v>
      </c>
      <c r="EE198" s="205">
        <f>IF($J198="",#N/A,SUM(EC$4:EC198,EA$4:EA198,DY$4:DY198))</f>
        <v>0.41364086584098581</v>
      </c>
      <c r="EF198" s="200" t="str">
        <f t="shared" si="387"/>
        <v/>
      </c>
      <c r="EG198" s="203">
        <f>IF($J198="",#N/A,SUM(EF$4:EF198))</f>
        <v>0</v>
      </c>
      <c r="EH198" s="204" t="str">
        <f t="shared" si="388"/>
        <v/>
      </c>
      <c r="EI198" s="204">
        <f>IF($J198="",#N/A,SUM(EH$4:EH198))</f>
        <v>-2.7245005604557937</v>
      </c>
      <c r="EJ198" s="205" t="str">
        <f t="shared" si="389"/>
        <v/>
      </c>
      <c r="EK198" s="205">
        <f>IF($J198="",#N/A,SUM(EJ$4:EJ198))</f>
        <v>2.804966392787259</v>
      </c>
      <c r="EL198" s="205">
        <f>IF($J198="",#N/A,SUM(EJ$4:EJ198,EH$4:EH198,EF$4:EF198))</f>
        <v>8.0465832331466203E-2</v>
      </c>
      <c r="EM198" s="200" t="str">
        <f t="shared" si="390"/>
        <v/>
      </c>
      <c r="EN198" s="203">
        <f>IF($J198="",#N/A,SUM(EM$4:EM198))</f>
        <v>0</v>
      </c>
      <c r="EO198" s="204" t="str">
        <f t="shared" si="391"/>
        <v/>
      </c>
      <c r="EP198" s="204">
        <f>IF($J198="",#N/A,SUM(EO$4:EO198))</f>
        <v>2.2439573928506102</v>
      </c>
      <c r="EQ198" s="205" t="str">
        <f t="shared" si="392"/>
        <v/>
      </c>
      <c r="ER198" s="205">
        <f>IF($J198="",#N/A,SUM(EQ$4:EQ198))</f>
        <v>2.0221833315059508</v>
      </c>
      <c r="ES198" s="205">
        <f>IF($J198="",#N/A,SUM(EQ$4:EQ198,EO$4:EO198,EM$4:EM198))</f>
        <v>4.2661407243565606</v>
      </c>
      <c r="ET198" s="200" t="str">
        <f t="shared" si="393"/>
        <v/>
      </c>
      <c r="EU198" s="203">
        <f>IF($J198="",#N/A,SUM(ET$4:ET198))</f>
        <v>0</v>
      </c>
      <c r="EV198" s="204" t="str">
        <f t="shared" si="394"/>
        <v/>
      </c>
      <c r="EW198" s="204">
        <f>IF($J198="",#N/A,SUM(EV$4:EV198))</f>
        <v>1.9901851109977766</v>
      </c>
      <c r="EX198" s="205" t="str">
        <f t="shared" si="395"/>
        <v/>
      </c>
      <c r="EY198" s="205">
        <f>IF($J198="",#N/A,SUM(EX$4:EX198))</f>
        <v>-9.038537462898949E-2</v>
      </c>
      <c r="EZ198" s="205">
        <f>IF($J198="",#N/A,SUM(EX$4:EX198,EV$4:EV198,ET$4:ET198))</f>
        <v>1.8997997363687871</v>
      </c>
      <c r="FA198" s="200" t="str">
        <f t="shared" si="396"/>
        <v/>
      </c>
      <c r="FB198" s="203">
        <f>IF($J198="",#N/A,SUM(FA$4:FA198))</f>
        <v>0</v>
      </c>
      <c r="FC198" s="204" t="str">
        <f t="shared" si="397"/>
        <v/>
      </c>
      <c r="FD198" s="204">
        <f>IF($J198="",#N/A,SUM(FC$4:FC198))</f>
        <v>1.6839191319663924</v>
      </c>
      <c r="FE198" s="205" t="str">
        <f t="shared" si="398"/>
        <v/>
      </c>
      <c r="FF198" s="205">
        <f>IF($J198="",#N/A,SUM(FE$4:FE198))</f>
        <v>-0.28811149078748233</v>
      </c>
      <c r="FG198" s="205">
        <f>IF($J198="",#N/A,SUM(FE$4:FE198,FC$4:FC198,FA$4:FA198))</f>
        <v>1.3958076411789102</v>
      </c>
      <c r="FH198" s="200" t="str">
        <f t="shared" si="399"/>
        <v/>
      </c>
      <c r="FI198" s="203">
        <f>IF($J198="",#N/A,SUM(FH$4:FH198))</f>
        <v>0</v>
      </c>
      <c r="FJ198" s="204" t="str">
        <f t="shared" si="400"/>
        <v/>
      </c>
      <c r="FK198" s="204">
        <f>IF($J198="",#N/A,SUM(FJ$4:FJ198))</f>
        <v>0</v>
      </c>
      <c r="FL198" s="205" t="str">
        <f t="shared" si="401"/>
        <v/>
      </c>
      <c r="FM198" s="205">
        <f>IF($J198="",#N/A,SUM(FL$4:FL198))</f>
        <v>0</v>
      </c>
      <c r="FN198" s="205">
        <f>IF($J198="",#N/A,SUM(FL$4:FL198,FJ$4:FJ198,FH$4:FH198))</f>
        <v>0</v>
      </c>
      <c r="FO198" s="200" t="str">
        <f t="shared" si="402"/>
        <v/>
      </c>
      <c r="FP198" s="203">
        <f>IF($J198="",#N/A,SUM(FO$4:FO198))</f>
        <v>0</v>
      </c>
      <c r="FQ198" s="204" t="str">
        <f t="shared" si="403"/>
        <v/>
      </c>
      <c r="FR198" s="204">
        <f>IF($J198="",#N/A,SUM(FQ$4:FQ198))</f>
        <v>0</v>
      </c>
      <c r="FS198" s="205" t="str">
        <f t="shared" si="404"/>
        <v/>
      </c>
      <c r="FT198" s="205">
        <f>IF($J198="",#N/A,SUM(FS$4:FS198))</f>
        <v>0</v>
      </c>
      <c r="FU198" s="205">
        <f>IF($J198="",#N/A,SUM(FS$4:FS198,FQ$4:FQ198,FO$4:FO198))</f>
        <v>0</v>
      </c>
      <c r="FV198" s="200" t="str">
        <f t="shared" si="405"/>
        <v/>
      </c>
      <c r="FW198" s="203">
        <f>IF($J198="",#N/A,SUM(FV$4:FV198))</f>
        <v>6.6834991831277585E-2</v>
      </c>
      <c r="FX198" s="204" t="str">
        <f t="shared" si="406"/>
        <v/>
      </c>
      <c r="FY198" s="204">
        <f>IF($J198="",#N/A,SUM(FX$4:FX198))</f>
        <v>-0.16102012791805576</v>
      </c>
      <c r="FZ198" s="205" t="str">
        <f t="shared" si="407"/>
        <v/>
      </c>
      <c r="GA198" s="205">
        <f>IF($J198="",#N/A,SUM(FZ$4:FZ198))</f>
        <v>-1.7642101813332194</v>
      </c>
      <c r="GB198" s="205">
        <f>IF($J198="",#N/A,SUM(FZ$4:FZ198,FX$4:FX198,FV$4:FV198))</f>
        <v>-1.8583953174199976</v>
      </c>
      <c r="GC198" s="200" t="str">
        <f t="shared" si="408"/>
        <v/>
      </c>
      <c r="GD198" s="203">
        <f>IF($J198="",#N/A,SUM(GC$4:GC198))</f>
        <v>0</v>
      </c>
      <c r="GE198" s="204" t="str">
        <f t="shared" si="409"/>
        <v/>
      </c>
      <c r="GF198" s="204">
        <f>IF($J198="",#N/A,SUM(GE$4:GE198))</f>
        <v>0</v>
      </c>
      <c r="GG198" s="205" t="str">
        <f t="shared" si="410"/>
        <v/>
      </c>
      <c r="GH198" s="205">
        <f>IF($J198="",#N/A,SUM(GG$4:GG198))</f>
        <v>-2.9368362277223206</v>
      </c>
      <c r="GI198" s="205">
        <f>IF($J198="",#N/A,SUM(GG$4:GG198,GE$4:GE198,GC$4:GC198))</f>
        <v>-2.9368362277223206</v>
      </c>
      <c r="GJ198" s="200" t="str">
        <f t="shared" si="411"/>
        <v/>
      </c>
      <c r="GK198" s="203">
        <f>IF($J198="",#N/A,SUM(GJ$4:GJ198))</f>
        <v>0</v>
      </c>
      <c r="GL198" s="204" t="str">
        <f t="shared" si="412"/>
        <v/>
      </c>
      <c r="GM198" s="204">
        <f>IF($J198="",#N/A,SUM(GL$4:GL198))</f>
        <v>-0.80168930905701452</v>
      </c>
      <c r="GN198" s="205" t="str">
        <f t="shared" si="413"/>
        <v/>
      </c>
      <c r="GO198" s="205">
        <f>IF($J198="",#N/A,SUM(GN$4:GN198))</f>
        <v>0</v>
      </c>
      <c r="GP198" s="205">
        <f>IF($J198="",#N/A,SUM(GN$4:GN198,GL$4:GL198,GJ$4:GJ198))</f>
        <v>-0.80168930905701452</v>
      </c>
      <c r="GS198" s="177">
        <f t="shared" ref="GS198:GS261" si="432">IF(J198="","",IF(D198="Y",P198,""))</f>
        <v>-0.96089364066601579</v>
      </c>
      <c r="GT198" s="177">
        <f>IF(GS198="",NA(),SUM($GS$4:GS198))</f>
        <v>2.3674115735540724</v>
      </c>
      <c r="GU198" s="177" t="str">
        <f t="shared" si="414"/>
        <v/>
      </c>
      <c r="GV198" s="177" t="e">
        <f>IF(GU198="",NA(),SUM($GU$4:GU198))</f>
        <v>#N/A</v>
      </c>
      <c r="GW198" s="177" t="str">
        <f t="shared" si="415"/>
        <v/>
      </c>
      <c r="GX198" s="177" t="e">
        <f>IF(GW198="",NA(),SUM($GW$4:GW198))</f>
        <v>#N/A</v>
      </c>
      <c r="GY198" s="177">
        <f t="shared" si="416"/>
        <v>-0.96089364066601579</v>
      </c>
      <c r="GZ198" s="177">
        <f>IF(GY198="",NA(),SUM($GY$4:GY198))</f>
        <v>0.86381046776739456</v>
      </c>
      <c r="HA198" s="177" t="str">
        <f t="shared" si="417"/>
        <v/>
      </c>
      <c r="HB198" s="177" t="e">
        <f>IF(HA198="",NA(),SUM($HA$4:HA198))</f>
        <v>#N/A</v>
      </c>
      <c r="HC198" s="177" t="str">
        <f t="shared" si="418"/>
        <v/>
      </c>
      <c r="HD198" s="177" t="e">
        <f>IF(HC198="",NA(),SUM($HC$4:HC198))</f>
        <v>#N/A</v>
      </c>
      <c r="HE198" s="177" t="str">
        <f t="shared" si="419"/>
        <v/>
      </c>
      <c r="HF198" s="177" t="e">
        <f>IF(HE198="",NA(),SUM($HE$4:HE198))</f>
        <v>#N/A</v>
      </c>
      <c r="HG198" s="177" t="str">
        <f t="shared" si="420"/>
        <v/>
      </c>
      <c r="HH198" s="177" t="e">
        <f>IF(HG198="",NA(),SUM($HG$4:HG198))</f>
        <v>#N/A</v>
      </c>
      <c r="HI198" s="183" t="str">
        <f t="shared" ref="HI198:HI261" si="433">IF($AC198="","",IF(AND($S198="Dwn",$K198&lt;0),$HU198-P198,""))</f>
        <v/>
      </c>
      <c r="HJ198" s="183">
        <f>IF($J198="",#N/A,SUM(HI$4:$HI198))</f>
        <v>-6.7032114915212357</v>
      </c>
      <c r="HK198" s="177">
        <f t="shared" si="421"/>
        <v>0.83826713418022269</v>
      </c>
      <c r="HL198" s="177">
        <f>IF($J198="",#N/A,SUM($HK$4:HK198))</f>
        <v>-1.7688797361196436</v>
      </c>
      <c r="HM198" s="177" t="str">
        <f t="shared" si="422"/>
        <v/>
      </c>
      <c r="HN198" s="177">
        <f>IF($J198="",#N/A,SUM($HM$4:HM198))</f>
        <v>0.71812545963587882</v>
      </c>
      <c r="HO198" s="177" t="str">
        <f t="shared" si="423"/>
        <v/>
      </c>
      <c r="HP198" s="177">
        <f>IF($J198="",#N/A,SUM($HO$4:HO198))</f>
        <v>-0.14859521910082485</v>
      </c>
      <c r="HQ198" s="177" t="str">
        <f t="shared" si="424"/>
        <v/>
      </c>
      <c r="HR198" s="177">
        <f>IF($J198="",#N/A,SUM($HQ$4:HQ198))</f>
        <v>-12.346312825596971</v>
      </c>
      <c r="HS198" s="177" t="str">
        <f t="shared" si="425"/>
        <v/>
      </c>
      <c r="HT198" s="177">
        <f>IF($J198="",#N/A,SUM($HS$4:HS198))</f>
        <v>12.600845719340157</v>
      </c>
      <c r="HU198" s="64">
        <f t="shared" si="426"/>
        <v>-0.12262650648579308</v>
      </c>
      <c r="HV198" s="64">
        <f>IF($J198="",#N/A,SUM(HU$4:$HU198))</f>
        <v>0.46859401053583893</v>
      </c>
    </row>
    <row r="199" spans="1:230" x14ac:dyDescent="0.25">
      <c r="A199" s="51" t="s">
        <v>1494</v>
      </c>
      <c r="B199" s="52" t="s">
        <v>4544</v>
      </c>
      <c r="C199" s="229">
        <f t="shared" si="327"/>
        <v>3</v>
      </c>
      <c r="D199" s="219" t="str">
        <f>_xlfn.XLOOKUP(A199,[1]SP500!$A$2:$A$502,[1]SP500!$D$2:$D$502,"N")</f>
        <v>Y</v>
      </c>
      <c r="E199" s="51" t="str">
        <f>IFERROR(_xlfn.XLOOKUP(A199,[1]SP500!$A$2:$A$655,[1]SP500!$B$2:$B$655),"")</f>
        <v>XLI</v>
      </c>
      <c r="F199" s="290">
        <v>45778</v>
      </c>
      <c r="G199" s="51" t="str">
        <f t="shared" si="328"/>
        <v>BMO</v>
      </c>
      <c r="H199" s="51" t="str">
        <f t="shared" si="329"/>
        <v>s</v>
      </c>
      <c r="I199" s="344">
        <v>363.18</v>
      </c>
      <c r="J199" s="124">
        <v>365.93</v>
      </c>
      <c r="K199" s="55">
        <f t="shared" si="330"/>
        <v>7.5720028635938097E-3</v>
      </c>
      <c r="L199" s="67">
        <f t="shared" si="331"/>
        <v>8.25</v>
      </c>
      <c r="M199" s="57">
        <f t="shared" si="332"/>
        <v>0</v>
      </c>
      <c r="N199" s="102">
        <f t="shared" si="333"/>
        <v>8.25</v>
      </c>
      <c r="O199" s="57">
        <f>IF(N199="",#N/A,SUM($N$4:N199))</f>
        <v>309.69636410061355</v>
      </c>
      <c r="P199" s="65">
        <f t="shared" si="427"/>
        <v>0.12620004772656351</v>
      </c>
      <c r="Q199" s="172">
        <f>IF($N199="",#N/A,SUM($P$4:P199))</f>
        <v>8.2428221516250453</v>
      </c>
      <c r="R199" s="279">
        <f t="shared" si="334"/>
        <v>5.2436031980714866</v>
      </c>
      <c r="S199" s="51" t="str">
        <f t="shared" si="335"/>
        <v>SW</v>
      </c>
      <c r="T199" s="51" t="s">
        <v>2828</v>
      </c>
      <c r="U199" s="56">
        <f t="shared" si="336"/>
        <v>363.18</v>
      </c>
      <c r="V199" s="56" t="s">
        <v>4460</v>
      </c>
      <c r="W199" s="142">
        <v>3</v>
      </c>
      <c r="X199" s="145">
        <f t="shared" si="337"/>
        <v>1089.54</v>
      </c>
      <c r="Y199" s="140">
        <f t="shared" si="338"/>
        <v>3</v>
      </c>
      <c r="Z199" s="123">
        <v>365.93</v>
      </c>
      <c r="AA199" s="102">
        <f t="shared" si="339"/>
        <v>8.25</v>
      </c>
      <c r="AB199" s="102">
        <f t="shared" si="340"/>
        <v>-60.179999999999836</v>
      </c>
      <c r="AC199" s="124">
        <v>343.12</v>
      </c>
      <c r="AD199" s="155">
        <f t="shared" si="341"/>
        <v>-60.179999999999836</v>
      </c>
      <c r="AE199" s="545">
        <f t="shared" si="342"/>
        <v>-0.92057198450722078</v>
      </c>
      <c r="AF199" s="57">
        <f>IF($AC199="",#N/A,SUM(AD$4:AD199))</f>
        <v>-114.90041200241615</v>
      </c>
      <c r="AG199" s="102">
        <f t="shared" si="343"/>
        <v>-68.429999999999836</v>
      </c>
      <c r="AH199" s="56" t="s">
        <v>2507</v>
      </c>
      <c r="AI199" s="65">
        <f t="shared" si="344"/>
        <v>0.12620004772656351</v>
      </c>
      <c r="AJ199" s="54">
        <f>IF(AI199="",#N/A,SUM($AI$4:AI199))</f>
        <v>2.9992189535535583</v>
      </c>
      <c r="AK199" s="57">
        <f t="shared" si="345"/>
        <v>8.25</v>
      </c>
      <c r="AL199" s="349">
        <f>IF(AI199="",#N/A,IF(AH199="Skip",SUM($AK$4:AK199),SUM($AK$4:AK199)))</f>
        <v>-21.992408507185928</v>
      </c>
      <c r="AM199" s="65">
        <f t="shared" si="428"/>
        <v>-0.92057198450722078</v>
      </c>
      <c r="AN199" s="209"/>
      <c r="AO199" s="65">
        <f t="shared" si="346"/>
        <v>-0.92057198450722078</v>
      </c>
      <c r="AP199" s="65">
        <f>IF($AC199="",#N/A,SUM(AO$4:AO199))</f>
        <v>4.3889707276715697</v>
      </c>
      <c r="AQ199" s="65" t="str">
        <f t="shared" si="347"/>
        <v/>
      </c>
      <c r="AR199" s="65">
        <f>IF($AC199="",#N/A,SUM(AQ$4:AQ199))</f>
        <v>-2.6179859771653153</v>
      </c>
      <c r="AS199" s="65" t="str">
        <f t="shared" si="348"/>
        <v/>
      </c>
      <c r="AT199" s="65">
        <f>IF($AC199="",#N/A,SUM(AS$4:AS199))</f>
        <v>-2.22296272447764</v>
      </c>
      <c r="AU199" s="57">
        <f t="shared" si="429"/>
        <v>-60.179999999999836</v>
      </c>
      <c r="AV199" s="57">
        <f>IF($AC199="",#N/A,SUM(AU$4:AU199))</f>
        <v>158.55120645125089</v>
      </c>
      <c r="AW199" s="57" t="str">
        <f t="shared" si="430"/>
        <v/>
      </c>
      <c r="AX199" s="57">
        <f>IF($AC199="",#N/A,SUM(AW$4:AW199))</f>
        <v>-163.1400000000001</v>
      </c>
      <c r="AY199" s="57" t="str">
        <f t="shared" si="431"/>
        <v/>
      </c>
      <c r="AZ199" s="57">
        <f>IF($AC199="",#N/A,SUM(AY$4:AY199))</f>
        <v>-110.31161845366694</v>
      </c>
      <c r="BA199" s="57">
        <f>IF(AD199="",#N/A,SUM($AD$4:AD199))</f>
        <v>-114.90041200241615</v>
      </c>
      <c r="BC199" s="51" t="str">
        <f t="shared" si="349"/>
        <v/>
      </c>
      <c r="BD199" s="51" t="str">
        <f t="shared" si="350"/>
        <v/>
      </c>
      <c r="BE199" s="51">
        <f t="shared" si="351"/>
        <v>1</v>
      </c>
      <c r="BF199" s="51" t="str">
        <f t="shared" si="352"/>
        <v>Long</v>
      </c>
      <c r="BG199" s="51" t="str">
        <f t="shared" si="353"/>
        <v/>
      </c>
      <c r="BH199" s="51" t="str">
        <f t="shared" si="354"/>
        <v/>
      </c>
      <c r="BI199" s="51" t="str">
        <f t="shared" si="355"/>
        <v/>
      </c>
      <c r="BK199" s="65">
        <f t="shared" si="326"/>
        <v>0.22105028755852188</v>
      </c>
      <c r="BL199" s="65">
        <f t="shared" si="325"/>
        <v>0.23440982365494573</v>
      </c>
      <c r="BM199" s="65">
        <f>IFERROR(Q199/COUNTA($J$4:J199),#N/A)</f>
        <v>4.2055215059311458E-2</v>
      </c>
      <c r="BO199" s="489">
        <f>IF(J199="",#N/A,IF(S199="SW",(COUNTIFS(K$4:$K199,"&gt;0",S$4:$S199,"SW")/COUNTIF(S$4:$S199,"SW")),#N/A))</f>
        <v>0.50476190476190474</v>
      </c>
      <c r="BP199" s="489" t="e">
        <f>IF($J199="",#N/A,IF($S199="DWN",(COUNTIFS($K$4:$K199,"&lt;0",$S$4:$S199,"DWN")/COUNTIF($S$4:$S199,"DWN")),#N/A))</f>
        <v>#N/A</v>
      </c>
      <c r="BQ199" s="489" t="e">
        <f>IF($J199="",#N/A,IF($S199="UP",(COUNTIFS($K$4:$K199,"&gt;0",$S$4:$S199,"UP")/COUNTIF($S$4:$S199,"UP")),#N/A))</f>
        <v>#N/A</v>
      </c>
      <c r="BR199" s="489">
        <f>IF(J199="",#N/A,COUNTIF($K$4:K199,"&gt;0")/COUNT($J$4:J199))</f>
        <v>0.47448979591836737</v>
      </c>
      <c r="BS199" s="65">
        <f t="shared" si="356"/>
        <v>0.12620004772656351</v>
      </c>
      <c r="BT199" s="65" t="str">
        <f t="shared" si="357"/>
        <v/>
      </c>
      <c r="BU199" s="65" t="str">
        <f t="shared" si="358"/>
        <v/>
      </c>
      <c r="BV199" s="65" t="str">
        <f t="shared" si="359"/>
        <v/>
      </c>
      <c r="BW199" s="128" t="str">
        <f t="shared" si="360"/>
        <v/>
      </c>
      <c r="BX199" s="128">
        <f>IF($J199="",#N/A,SUM($BW$4:BW199))</f>
        <v>-205.1650000000003</v>
      </c>
      <c r="BY199" s="131" t="str">
        <f t="shared" si="361"/>
        <v/>
      </c>
      <c r="BZ199" s="131">
        <f>IF($J199="",#N/A,SUM($BY$4:BY199))</f>
        <v>337.56934038933446</v>
      </c>
      <c r="CA199" s="133">
        <f t="shared" si="362"/>
        <v>8.25</v>
      </c>
      <c r="CB199" s="133">
        <f>IF($J199="",#N/A,SUM($CA$4:CA199))</f>
        <v>177.29202371127943</v>
      </c>
      <c r="CC199" s="194" t="str">
        <f t="shared" si="363"/>
        <v/>
      </c>
      <c r="CD199" s="194">
        <f>IF($J199="",#N/A,SUM($CC$4:CC199))</f>
        <v>-3.1875162177003693</v>
      </c>
      <c r="CE199" s="195" t="str">
        <f t="shared" si="364"/>
        <v/>
      </c>
      <c r="CF199" s="195">
        <f>IF($J199="",#N/A,SUM($CE$4:CE199))</f>
        <v>6.2491285031632451</v>
      </c>
      <c r="CG199" s="196">
        <f t="shared" si="365"/>
        <v>0.12620004772656351</v>
      </c>
      <c r="CH199" s="193">
        <f>IF($J199="",#N/A,SUM($CG$4:CG199))</f>
        <v>5.1812098661621748</v>
      </c>
      <c r="CI199" s="200" t="str">
        <f t="shared" si="366"/>
        <v/>
      </c>
      <c r="CJ199" s="203">
        <f>IF($J199="",#N/A,SUM(CI$4:CI199))</f>
        <v>0</v>
      </c>
      <c r="CK199" s="204" t="str">
        <f t="shared" si="367"/>
        <v/>
      </c>
      <c r="CL199" s="204">
        <f>IF($J199="",#N/A,SUM(CK$4:CK199))</f>
        <v>1.9927003554442289</v>
      </c>
      <c r="CM199" s="205" t="str">
        <f t="shared" si="368"/>
        <v/>
      </c>
      <c r="CN199" s="205">
        <f>IF($J199="",#N/A,SUM(CM$4:CM199))</f>
        <v>5.6091171609382364</v>
      </c>
      <c r="CO199" s="205">
        <f>IF($J199="",#N/A,SUM(CM$4:CM199,CK$4:CK199,CI$4:CI199))</f>
        <v>7.6018175163824644</v>
      </c>
      <c r="CP199" s="200" t="str">
        <f t="shared" si="369"/>
        <v/>
      </c>
      <c r="CQ199" s="203">
        <f>IF($J199="",#N/A,SUM(CP$4:CP199))</f>
        <v>0</v>
      </c>
      <c r="CR199" s="204" t="str">
        <f t="shared" si="370"/>
        <v/>
      </c>
      <c r="CS199" s="204">
        <f>IF($J199="",#N/A,SUM(CR$4:CR199))</f>
        <v>4.2989225684455388</v>
      </c>
      <c r="CT199" s="205" t="str">
        <f t="shared" si="371"/>
        <v/>
      </c>
      <c r="CU199" s="205">
        <f>IF($J199="",#N/A,SUM(CT$4:CT199))</f>
        <v>-1.1331655471946371</v>
      </c>
      <c r="CV199" s="205">
        <f>IF($J199="",#N/A,SUM(CT$4:CT199,CR$4:CR199,CP$4:CP199))</f>
        <v>3.1657570212509012</v>
      </c>
      <c r="CW199" s="200" t="str">
        <f t="shared" si="372"/>
        <v/>
      </c>
      <c r="CX199" s="203">
        <f>IF($J199="",#N/A,SUM(CW$4:CW199))</f>
        <v>0</v>
      </c>
      <c r="CY199" s="204" t="str">
        <f t="shared" si="373"/>
        <v/>
      </c>
      <c r="CZ199" s="204">
        <f>IF($J199="",#N/A,SUM(CY$4:CY199))</f>
        <v>-1.0974100761627814</v>
      </c>
      <c r="DA199" s="205" t="str">
        <f t="shared" si="374"/>
        <v/>
      </c>
      <c r="DB199" s="205">
        <f>IF($J199="",#N/A,SUM(DA$4:DA199))</f>
        <v>-2.2679577914291</v>
      </c>
      <c r="DC199" s="205">
        <f>IF($J199="",#N/A,SUM(DA$4:DA199,CY$4:CY199,CW$4:CW199))</f>
        <v>-3.365367867591881</v>
      </c>
      <c r="DD199" s="200" t="str">
        <f t="shared" si="375"/>
        <v/>
      </c>
      <c r="DE199" s="203">
        <f>IF($J199="",#N/A,SUM(DD$4:DD199))</f>
        <v>0.14968716170674062</v>
      </c>
      <c r="DF199" s="204" t="str">
        <f t="shared" si="376"/>
        <v/>
      </c>
      <c r="DG199" s="204">
        <f>IF($J199="",#N/A,SUM(DF$4:DF199))</f>
        <v>1.2121188689979676</v>
      </c>
      <c r="DH199" s="205" t="str">
        <f t="shared" si="377"/>
        <v/>
      </c>
      <c r="DI199" s="205">
        <f>IF($J199="",#N/A,SUM(DH$4:DH199))</f>
        <v>-0.8404015973735236</v>
      </c>
      <c r="DJ199" s="205">
        <f>IF($J199="",#N/A,SUM(DH$4:DH199,DF$4:DF199,DD$4:DD199))</f>
        <v>0.52140443333118447</v>
      </c>
      <c r="DK199" s="200" t="str">
        <f t="shared" si="378"/>
        <v/>
      </c>
      <c r="DL199" s="203">
        <f>IF($J199="",#N/A,SUM(DK$4:DK199))</f>
        <v>-1.2097286851272664</v>
      </c>
      <c r="DM199" s="204" t="str">
        <f t="shared" si="379"/>
        <v/>
      </c>
      <c r="DN199" s="204">
        <f>IF($J199="",#N/A,SUM(DM$4:DM199))</f>
        <v>1.1910608267574658</v>
      </c>
      <c r="DO199" s="205" t="str">
        <f t="shared" si="380"/>
        <v/>
      </c>
      <c r="DP199" s="205">
        <f>IF($J199="",#N/A,SUM(DO$4:DO199))</f>
        <v>2.6571865116636566</v>
      </c>
      <c r="DQ199" s="205">
        <f>IF($J199="",#N/A,SUM(DO$4:DO199,DM$4:DM199,DK$4:DK199))</f>
        <v>2.6385186532938567</v>
      </c>
      <c r="DR199" s="200" t="str">
        <f t="shared" si="381"/>
        <v/>
      </c>
      <c r="DS199" s="203">
        <f>IF($J199="",#N/A,SUM(DR$4:DR199))</f>
        <v>-0.55950946427675097</v>
      </c>
      <c r="DT199" s="204" t="str">
        <f t="shared" si="382"/>
        <v/>
      </c>
      <c r="DU199" s="204">
        <f>IF($J199="",#N/A,SUM(DT$4:DT199))</f>
        <v>-3.5029740333397914</v>
      </c>
      <c r="DV199" s="205" t="str">
        <f t="shared" si="383"/>
        <v/>
      </c>
      <c r="DW199" s="205">
        <f>IF($J199="",#N/A,SUM(DV$4:DV199))</f>
        <v>-1.1689034257107362</v>
      </c>
      <c r="DX199" s="205">
        <f>IF($J199="",#N/A,SUM(DV$4:DV199,DT$4:DT199,DR$4:DR199))</f>
        <v>-5.2313869233272783</v>
      </c>
      <c r="DY199" s="200" t="str">
        <f t="shared" si="384"/>
        <v/>
      </c>
      <c r="DZ199" s="203">
        <f>IF($J199="",#N/A,SUM(DY$4:DY199))</f>
        <v>-1.63480022183437</v>
      </c>
      <c r="EA199" s="204" t="str">
        <f t="shared" si="385"/>
        <v/>
      </c>
      <c r="EB199" s="204">
        <f>IF($J199="",#N/A,SUM(EA$4:EA199))</f>
        <v>-0.40308697004515759</v>
      </c>
      <c r="EC199" s="205">
        <f t="shared" si="386"/>
        <v>0.12620004772656351</v>
      </c>
      <c r="ED199" s="205">
        <f>IF($J199="",#N/A,SUM(EC$4:EC199))</f>
        <v>2.5777281054470773</v>
      </c>
      <c r="EE199" s="205">
        <f>IF($J199="",#N/A,SUM(EC$4:EC199,EA$4:EA199,DY$4:DY199))</f>
        <v>0.53984091356754926</v>
      </c>
      <c r="EF199" s="200" t="str">
        <f t="shared" si="387"/>
        <v/>
      </c>
      <c r="EG199" s="203">
        <f>IF($J199="",#N/A,SUM(EF$4:EF199))</f>
        <v>0</v>
      </c>
      <c r="EH199" s="204" t="str">
        <f t="shared" si="388"/>
        <v/>
      </c>
      <c r="EI199" s="204">
        <f>IF($J199="",#N/A,SUM(EH$4:EH199))</f>
        <v>-2.7245005604557937</v>
      </c>
      <c r="EJ199" s="205" t="str">
        <f t="shared" si="389"/>
        <v/>
      </c>
      <c r="EK199" s="205">
        <f>IF($J199="",#N/A,SUM(EJ$4:EJ199))</f>
        <v>2.804966392787259</v>
      </c>
      <c r="EL199" s="205">
        <f>IF($J199="",#N/A,SUM(EJ$4:EJ199,EH$4:EH199,EF$4:EF199))</f>
        <v>8.0465832331466203E-2</v>
      </c>
      <c r="EM199" s="200" t="str">
        <f t="shared" si="390"/>
        <v/>
      </c>
      <c r="EN199" s="203">
        <f>IF($J199="",#N/A,SUM(EM$4:EM199))</f>
        <v>0</v>
      </c>
      <c r="EO199" s="204" t="str">
        <f t="shared" si="391"/>
        <v/>
      </c>
      <c r="EP199" s="204">
        <f>IF($J199="",#N/A,SUM(EO$4:EO199))</f>
        <v>2.2439573928506102</v>
      </c>
      <c r="EQ199" s="205" t="str">
        <f t="shared" si="392"/>
        <v/>
      </c>
      <c r="ER199" s="205">
        <f>IF($J199="",#N/A,SUM(EQ$4:EQ199))</f>
        <v>2.0221833315059508</v>
      </c>
      <c r="ES199" s="205">
        <f>IF($J199="",#N/A,SUM(EQ$4:EQ199,EO$4:EO199,EM$4:EM199))</f>
        <v>4.2661407243565606</v>
      </c>
      <c r="ET199" s="200" t="str">
        <f t="shared" si="393"/>
        <v/>
      </c>
      <c r="EU199" s="203">
        <f>IF($J199="",#N/A,SUM(ET$4:ET199))</f>
        <v>0</v>
      </c>
      <c r="EV199" s="204" t="str">
        <f t="shared" si="394"/>
        <v/>
      </c>
      <c r="EW199" s="204">
        <f>IF($J199="",#N/A,SUM(EV$4:EV199))</f>
        <v>1.9901851109977766</v>
      </c>
      <c r="EX199" s="205" t="str">
        <f t="shared" si="395"/>
        <v/>
      </c>
      <c r="EY199" s="205">
        <f>IF($J199="",#N/A,SUM(EX$4:EX199))</f>
        <v>-9.038537462898949E-2</v>
      </c>
      <c r="EZ199" s="205">
        <f>IF($J199="",#N/A,SUM(EX$4:EX199,EV$4:EV199,ET$4:ET199))</f>
        <v>1.8997997363687871</v>
      </c>
      <c r="FA199" s="200" t="str">
        <f t="shared" si="396"/>
        <v/>
      </c>
      <c r="FB199" s="203">
        <f>IF($J199="",#N/A,SUM(FA$4:FA199))</f>
        <v>0</v>
      </c>
      <c r="FC199" s="204" t="str">
        <f t="shared" si="397"/>
        <v/>
      </c>
      <c r="FD199" s="204">
        <f>IF($J199="",#N/A,SUM(FC$4:FC199))</f>
        <v>1.6839191319663924</v>
      </c>
      <c r="FE199" s="205" t="str">
        <f t="shared" si="398"/>
        <v/>
      </c>
      <c r="FF199" s="205">
        <f>IF($J199="",#N/A,SUM(FE$4:FE199))</f>
        <v>-0.28811149078748233</v>
      </c>
      <c r="FG199" s="205">
        <f>IF($J199="",#N/A,SUM(FE$4:FE199,FC$4:FC199,FA$4:FA199))</f>
        <v>1.3958076411789102</v>
      </c>
      <c r="FH199" s="200" t="str">
        <f t="shared" si="399"/>
        <v/>
      </c>
      <c r="FI199" s="203">
        <f>IF($J199="",#N/A,SUM(FH$4:FH199))</f>
        <v>0</v>
      </c>
      <c r="FJ199" s="204" t="str">
        <f t="shared" si="400"/>
        <v/>
      </c>
      <c r="FK199" s="204">
        <f>IF($J199="",#N/A,SUM(FJ$4:FJ199))</f>
        <v>0</v>
      </c>
      <c r="FL199" s="205" t="str">
        <f t="shared" si="401"/>
        <v/>
      </c>
      <c r="FM199" s="205">
        <f>IF($J199="",#N/A,SUM(FL$4:FL199))</f>
        <v>0</v>
      </c>
      <c r="FN199" s="205">
        <f>IF($J199="",#N/A,SUM(FL$4:FL199,FJ$4:FJ199,FH$4:FH199))</f>
        <v>0</v>
      </c>
      <c r="FO199" s="200" t="str">
        <f t="shared" si="402"/>
        <v/>
      </c>
      <c r="FP199" s="203">
        <f>IF($J199="",#N/A,SUM(FO$4:FO199))</f>
        <v>0</v>
      </c>
      <c r="FQ199" s="204" t="str">
        <f t="shared" si="403"/>
        <v/>
      </c>
      <c r="FR199" s="204">
        <f>IF($J199="",#N/A,SUM(FQ$4:FQ199))</f>
        <v>0</v>
      </c>
      <c r="FS199" s="205" t="str">
        <f t="shared" si="404"/>
        <v/>
      </c>
      <c r="FT199" s="205">
        <f>IF($J199="",#N/A,SUM(FS$4:FS199))</f>
        <v>0</v>
      </c>
      <c r="FU199" s="205">
        <f>IF($J199="",#N/A,SUM(FS$4:FS199,FQ$4:FQ199,FO$4:FO199))</f>
        <v>0</v>
      </c>
      <c r="FV199" s="200" t="str">
        <f t="shared" si="405"/>
        <v/>
      </c>
      <c r="FW199" s="203">
        <f>IF($J199="",#N/A,SUM(FV$4:FV199))</f>
        <v>6.6834991831277585E-2</v>
      </c>
      <c r="FX199" s="204" t="str">
        <f t="shared" si="406"/>
        <v/>
      </c>
      <c r="FY199" s="204">
        <f>IF($J199="",#N/A,SUM(FX$4:FX199))</f>
        <v>-0.16102012791805576</v>
      </c>
      <c r="FZ199" s="205" t="str">
        <f t="shared" si="407"/>
        <v/>
      </c>
      <c r="GA199" s="205">
        <f>IF($J199="",#N/A,SUM(FZ$4:FZ199))</f>
        <v>-1.7642101813332194</v>
      </c>
      <c r="GB199" s="205">
        <f>IF($J199="",#N/A,SUM(FZ$4:FZ199,FX$4:FX199,FV$4:FV199))</f>
        <v>-1.8583953174199976</v>
      </c>
      <c r="GC199" s="200" t="str">
        <f t="shared" si="408"/>
        <v/>
      </c>
      <c r="GD199" s="203">
        <f>IF($J199="",#N/A,SUM(GC$4:GC199))</f>
        <v>0</v>
      </c>
      <c r="GE199" s="204" t="str">
        <f t="shared" si="409"/>
        <v/>
      </c>
      <c r="GF199" s="204">
        <f>IF($J199="",#N/A,SUM(GE$4:GE199))</f>
        <v>0</v>
      </c>
      <c r="GG199" s="205" t="str">
        <f t="shared" si="410"/>
        <v/>
      </c>
      <c r="GH199" s="205">
        <f>IF($J199="",#N/A,SUM(GG$4:GG199))</f>
        <v>-2.9368362277223206</v>
      </c>
      <c r="GI199" s="205">
        <f>IF($J199="",#N/A,SUM(GG$4:GG199,GE$4:GE199,GC$4:GC199))</f>
        <v>-2.9368362277223206</v>
      </c>
      <c r="GJ199" s="200" t="str">
        <f t="shared" si="411"/>
        <v/>
      </c>
      <c r="GK199" s="203">
        <f>IF($J199="",#N/A,SUM(GJ$4:GJ199))</f>
        <v>0</v>
      </c>
      <c r="GL199" s="204" t="str">
        <f t="shared" si="412"/>
        <v/>
      </c>
      <c r="GM199" s="204">
        <f>IF($J199="",#N/A,SUM(GL$4:GL199))</f>
        <v>-0.80168930905701452</v>
      </c>
      <c r="GN199" s="205" t="str">
        <f t="shared" si="413"/>
        <v/>
      </c>
      <c r="GO199" s="205">
        <f>IF($J199="",#N/A,SUM(GN$4:GN199))</f>
        <v>0</v>
      </c>
      <c r="GP199" s="205">
        <f>IF($J199="",#N/A,SUM(GN$4:GN199,GL$4:GL199,GJ$4:GJ199))</f>
        <v>-0.80168930905701452</v>
      </c>
      <c r="GS199" s="54">
        <f t="shared" si="432"/>
        <v>0.12620004772656351</v>
      </c>
      <c r="GT199" s="54">
        <f>IF(GS199="",NA(),SUM($GS$4:GS199))</f>
        <v>2.4936116212806358</v>
      </c>
      <c r="GU199" s="54" t="str">
        <f t="shared" si="414"/>
        <v/>
      </c>
      <c r="GV199" s="54" t="e">
        <f>IF(GU199="",NA(),SUM($GU$4:GU199))</f>
        <v>#N/A</v>
      </c>
      <c r="GW199" s="54">
        <f t="shared" si="415"/>
        <v>0.12620004772656351</v>
      </c>
      <c r="GX199" s="54">
        <f>IF(GW199="",NA(),SUM($GW$4:GW199))</f>
        <v>4.8173173712136146</v>
      </c>
      <c r="GY199" s="54" t="str">
        <f t="shared" si="416"/>
        <v/>
      </c>
      <c r="GZ199" s="54" t="e">
        <f>IF(GY199="",NA(),SUM($GY$4:GY199))</f>
        <v>#N/A</v>
      </c>
      <c r="HA199" s="54" t="str">
        <f t="shared" si="417"/>
        <v/>
      </c>
      <c r="HB199" s="54" t="e">
        <f>IF(HA199="",NA(),SUM($HA$4:HA199))</f>
        <v>#N/A</v>
      </c>
      <c r="HC199" s="54" t="str">
        <f t="shared" si="418"/>
        <v/>
      </c>
      <c r="HD199" s="54" t="e">
        <f>IF(HC199="",NA(),SUM($HC$4:HC199))</f>
        <v>#N/A</v>
      </c>
      <c r="HE199" s="54" t="str">
        <f t="shared" si="419"/>
        <v/>
      </c>
      <c r="HF199" s="54" t="e">
        <f>IF(HE199="",NA(),SUM($HE$4:HE199))</f>
        <v>#N/A</v>
      </c>
      <c r="HG199" s="54" t="str">
        <f t="shared" si="420"/>
        <v/>
      </c>
      <c r="HH199" s="54" t="e">
        <f>IF(HG199="",NA(),SUM($HG$4:HG199))</f>
        <v>#N/A</v>
      </c>
      <c r="HI199" s="172" t="str">
        <f t="shared" si="433"/>
        <v/>
      </c>
      <c r="HJ199" s="172">
        <f>IF($J199="",#N/A,SUM(HI$4:$HI199))</f>
        <v>-6.7032114915212357</v>
      </c>
      <c r="HK199" s="54" t="str">
        <f t="shared" si="421"/>
        <v/>
      </c>
      <c r="HL199" s="54">
        <f>IF($J199="",#N/A,SUM($HK$4:HK199))</f>
        <v>-1.7688797361196436</v>
      </c>
      <c r="HM199" s="54" t="str">
        <f t="shared" si="422"/>
        <v/>
      </c>
      <c r="HN199" s="54">
        <f>IF($J199="",#N/A,SUM($HM$4:HM199))</f>
        <v>0.71812545963587882</v>
      </c>
      <c r="HO199" s="54" t="str">
        <f t="shared" si="423"/>
        <v/>
      </c>
      <c r="HP199" s="54">
        <f>IF($J199="",#N/A,SUM($HO$4:HO199))</f>
        <v>-0.14859521910082485</v>
      </c>
      <c r="HQ199" s="54">
        <f t="shared" si="424"/>
        <v>-1.0467720322337843</v>
      </c>
      <c r="HR199" s="54">
        <f>IF($J199="",#N/A,SUM($HQ$4:HQ199))</f>
        <v>-13.393084857830756</v>
      </c>
      <c r="HS199" s="54" t="str">
        <f t="shared" si="425"/>
        <v/>
      </c>
      <c r="HT199" s="54">
        <f>IF($J199="",#N/A,SUM($HS$4:HS199))</f>
        <v>12.600845719340157</v>
      </c>
      <c r="HU199" s="65">
        <f t="shared" si="426"/>
        <v>-0.92057198450722078</v>
      </c>
      <c r="HV199" s="65">
        <f>IF($J199="",#N/A,SUM(HU$4:$HU199))</f>
        <v>-0.45197797397138184</v>
      </c>
    </row>
    <row r="200" spans="1:230" x14ac:dyDescent="0.25">
      <c r="A200" s="51" t="s">
        <v>1275</v>
      </c>
      <c r="B200" s="52" t="s">
        <v>4544</v>
      </c>
      <c r="C200" s="229">
        <f t="shared" si="327"/>
        <v>3</v>
      </c>
      <c r="D200" s="219" t="str">
        <f>_xlfn.XLOOKUP(A200,[1]SP500!$A$2:$A$502,[1]SP500!$D$2:$D$502,"N")</f>
        <v>Y</v>
      </c>
      <c r="E200" s="51" t="str">
        <f>IFERROR(_xlfn.XLOOKUP(A200,[1]SP500!$A$2:$A$655,[1]SP500!$B$2:$B$655),"")</f>
        <v>XLF</v>
      </c>
      <c r="F200" s="290">
        <v>45778</v>
      </c>
      <c r="G200" s="51" t="str">
        <f t="shared" si="328"/>
        <v>BMO</v>
      </c>
      <c r="H200" s="51" t="str">
        <f t="shared" si="329"/>
        <v>o</v>
      </c>
      <c r="I200" s="344">
        <v>548.05999999999995</v>
      </c>
      <c r="J200" s="123">
        <v>550</v>
      </c>
      <c r="K200" s="55">
        <f t="shared" si="330"/>
        <v>3.5397584206109819E-3</v>
      </c>
      <c r="L200" s="67">
        <f t="shared" si="331"/>
        <v>-3.8800000000001091</v>
      </c>
      <c r="M200" s="57">
        <f t="shared" si="332"/>
        <v>0</v>
      </c>
      <c r="N200" s="102">
        <f t="shared" si="333"/>
        <v>3.8800000000001091</v>
      </c>
      <c r="O200" s="57">
        <f>IF(N200="",#N/A,SUM($N$4:N200))</f>
        <v>313.57636410061366</v>
      </c>
      <c r="P200" s="65">
        <f t="shared" si="427"/>
        <v>5.8995973676849701E-2</v>
      </c>
      <c r="Q200" s="172">
        <f>IF($N200="",#N/A,SUM($P$4:P200))</f>
        <v>8.3018181253018941</v>
      </c>
      <c r="R200" s="279">
        <f t="shared" si="334"/>
        <v>5.361595145425186</v>
      </c>
      <c r="S200" s="51" t="str">
        <f t="shared" si="335"/>
        <v>SW</v>
      </c>
      <c r="T200" s="51" t="s">
        <v>2828</v>
      </c>
      <c r="U200" s="56">
        <f t="shared" si="336"/>
        <v>548.05999999999995</v>
      </c>
      <c r="V200" s="56" t="s">
        <v>4458</v>
      </c>
      <c r="W200" s="142">
        <v>2</v>
      </c>
      <c r="X200" s="145">
        <f t="shared" si="337"/>
        <v>1096.1199999999999</v>
      </c>
      <c r="Y200" s="140">
        <f t="shared" si="338"/>
        <v>2</v>
      </c>
      <c r="Z200" s="123">
        <v>550</v>
      </c>
      <c r="AA200" s="102">
        <f t="shared" si="339"/>
        <v>-3.8800000000001091</v>
      </c>
      <c r="AB200" s="102">
        <f t="shared" si="340"/>
        <v>2.8599999999999</v>
      </c>
      <c r="AC200" s="124">
        <v>546.63</v>
      </c>
      <c r="AD200" s="155">
        <f t="shared" si="341"/>
        <v>-2.8599999999999</v>
      </c>
      <c r="AE200" s="545">
        <f t="shared" si="342"/>
        <v>-4.3486722864891622E-2</v>
      </c>
      <c r="AF200" s="57">
        <f>IF($AC200="",#N/A,SUM(AD$4:AD200))</f>
        <v>-117.76041200241605</v>
      </c>
      <c r="AG200" s="102">
        <f t="shared" si="343"/>
        <v>-6.7400000000000091</v>
      </c>
      <c r="AH200" s="56" t="s">
        <v>2507</v>
      </c>
      <c r="AI200" s="65">
        <f t="shared" si="344"/>
        <v>-5.8995973676849701E-2</v>
      </c>
      <c r="AJ200" s="54">
        <f>IF(AI200="",#N/A,SUM($AI$4:AI200))</f>
        <v>2.9402229798767086</v>
      </c>
      <c r="AK200" s="57">
        <f t="shared" si="345"/>
        <v>-3.8800000000001091</v>
      </c>
      <c r="AL200" s="349">
        <f>IF(AI200="",#N/A,IF(AH200="Skip",SUM($AK$4:AK200),SUM($AK$4:AK200)))</f>
        <v>-25.872408507186037</v>
      </c>
      <c r="AM200" s="65">
        <f t="shared" si="428"/>
        <v>-4.3486722864891622E-2</v>
      </c>
      <c r="AN200" s="209"/>
      <c r="AO200" s="65">
        <f t="shared" si="346"/>
        <v>-4.3486722864891622E-2</v>
      </c>
      <c r="AP200" s="65">
        <f>IF($AC200="",#N/A,SUM(AO$4:AO200))</f>
        <v>4.3454840048066785</v>
      </c>
      <c r="AQ200" s="65" t="str">
        <f t="shared" si="347"/>
        <v/>
      </c>
      <c r="AR200" s="65">
        <f>IF($AC200="",#N/A,SUM(AQ$4:AQ200))</f>
        <v>-2.6179859771653153</v>
      </c>
      <c r="AS200" s="65" t="str">
        <f t="shared" si="348"/>
        <v/>
      </c>
      <c r="AT200" s="65">
        <f>IF($AC200="",#N/A,SUM(AS$4:AS200))</f>
        <v>-2.22296272447764</v>
      </c>
      <c r="AU200" s="57">
        <f t="shared" si="429"/>
        <v>-2.8599999999999</v>
      </c>
      <c r="AV200" s="57">
        <f>IF($AC200="",#N/A,SUM(AU$4:AU200))</f>
        <v>155.69120645125099</v>
      </c>
      <c r="AW200" s="57" t="str">
        <f t="shared" si="430"/>
        <v/>
      </c>
      <c r="AX200" s="57">
        <f>IF($AC200="",#N/A,SUM(AW$4:AW200))</f>
        <v>-163.1400000000001</v>
      </c>
      <c r="AY200" s="57" t="str">
        <f t="shared" si="431"/>
        <v/>
      </c>
      <c r="AZ200" s="57">
        <f>IF($AC200="",#N/A,SUM(AY$4:AY200))</f>
        <v>-110.31161845366694</v>
      </c>
      <c r="BA200" s="57">
        <f>IF(AD200="",#N/A,SUM($AD$4:AD200))</f>
        <v>-117.76041200241605</v>
      </c>
      <c r="BC200" s="51" t="str">
        <f t="shared" si="349"/>
        <v/>
      </c>
      <c r="BD200" s="51" t="str">
        <f t="shared" si="350"/>
        <v/>
      </c>
      <c r="BE200" s="51">
        <f t="shared" si="351"/>
        <v>1</v>
      </c>
      <c r="BF200" s="51" t="str">
        <f t="shared" si="352"/>
        <v>Long</v>
      </c>
      <c r="BG200" s="51" t="str">
        <f t="shared" si="353"/>
        <v/>
      </c>
      <c r="BH200" s="51" t="str">
        <f t="shared" si="354"/>
        <v/>
      </c>
      <c r="BI200" s="51" t="str">
        <f t="shared" si="355"/>
        <v/>
      </c>
      <c r="BK200" s="65">
        <f t="shared" si="326"/>
        <v>0.23350965153187617</v>
      </c>
      <c r="BL200" s="65">
        <f t="shared" si="325"/>
        <v>0.23698731414190438</v>
      </c>
      <c r="BM200" s="65">
        <f>IFERROR(Q200/COUNTA($J$4:J200),#N/A)</f>
        <v>4.2141208757877635E-2</v>
      </c>
      <c r="BO200" s="489">
        <f>IF(J200="",#N/A,IF(S200="SW",(COUNTIFS(K$4:$K200,"&gt;0",S$4:$S200,"SW")/COUNTIF(S$4:$S200,"SW")),#N/A))</f>
        <v>0.50943396226415094</v>
      </c>
      <c r="BP200" s="489" t="e">
        <f>IF($J200="",#N/A,IF($S200="DWN",(COUNTIFS($K$4:$K200,"&lt;0",$S$4:$S200,"DWN")/COUNTIF($S$4:$S200,"DWN")),#N/A))</f>
        <v>#N/A</v>
      </c>
      <c r="BQ200" s="489" t="e">
        <f>IF($J200="",#N/A,IF($S200="UP",(COUNTIFS($K$4:$K200,"&gt;0",$S$4:$S200,"UP")/COUNTIF($S$4:$S200,"UP")),#N/A))</f>
        <v>#N/A</v>
      </c>
      <c r="BR200" s="489">
        <f>IF(J200="",#N/A,COUNTIF($K$4:K200,"&gt;0")/COUNT($J$4:J200))</f>
        <v>0.47715736040609136</v>
      </c>
      <c r="BS200" s="65" t="str">
        <f t="shared" si="356"/>
        <v/>
      </c>
      <c r="BT200" s="65" t="str">
        <f t="shared" si="357"/>
        <v/>
      </c>
      <c r="BU200" s="65" t="str">
        <f t="shared" si="358"/>
        <v/>
      </c>
      <c r="BV200" s="65">
        <f t="shared" si="359"/>
        <v>5.8995973676849701E-2</v>
      </c>
      <c r="BW200" s="128" t="str">
        <f t="shared" si="360"/>
        <v/>
      </c>
      <c r="BX200" s="128">
        <f>IF($J200="",#N/A,SUM($BW$4:BW200))</f>
        <v>-205.1650000000003</v>
      </c>
      <c r="BY200" s="131" t="str">
        <f t="shared" si="361"/>
        <v/>
      </c>
      <c r="BZ200" s="131">
        <f>IF($J200="",#N/A,SUM($BY$4:BY200))</f>
        <v>337.56934038933446</v>
      </c>
      <c r="CA200" s="133">
        <f t="shared" si="362"/>
        <v>3.8800000000001091</v>
      </c>
      <c r="CB200" s="133">
        <f>IF($J200="",#N/A,SUM($CA$4:CA200))</f>
        <v>181.17202371127954</v>
      </c>
      <c r="CC200" s="194" t="str">
        <f t="shared" si="363"/>
        <v/>
      </c>
      <c r="CD200" s="194">
        <f>IF($J200="",#N/A,SUM($CC$4:CC200))</f>
        <v>-3.1875162177003693</v>
      </c>
      <c r="CE200" s="195" t="str">
        <f t="shared" si="364"/>
        <v/>
      </c>
      <c r="CF200" s="195">
        <f>IF($J200="",#N/A,SUM($CE$4:CE200))</f>
        <v>6.2491285031632451</v>
      </c>
      <c r="CG200" s="196">
        <f t="shared" si="365"/>
        <v>5.8995973676849701E-2</v>
      </c>
      <c r="CH200" s="193">
        <f>IF($J200="",#N/A,SUM($CG$4:CG200))</f>
        <v>5.2402058398390245</v>
      </c>
      <c r="CI200" s="200" t="str">
        <f t="shared" si="366"/>
        <v/>
      </c>
      <c r="CJ200" s="203">
        <f>IF($J200="",#N/A,SUM(CI$4:CI200))</f>
        <v>0</v>
      </c>
      <c r="CK200" s="204" t="str">
        <f t="shared" si="367"/>
        <v/>
      </c>
      <c r="CL200" s="204">
        <f>IF($J200="",#N/A,SUM(CK$4:CK200))</f>
        <v>1.9927003554442289</v>
      </c>
      <c r="CM200" s="205" t="str">
        <f t="shared" si="368"/>
        <v/>
      </c>
      <c r="CN200" s="205">
        <f>IF($J200="",#N/A,SUM(CM$4:CM200))</f>
        <v>5.6091171609382364</v>
      </c>
      <c r="CO200" s="205">
        <f>IF($J200="",#N/A,SUM(CM$4:CM200,CK$4:CK200,CI$4:CI200))</f>
        <v>7.6018175163824644</v>
      </c>
      <c r="CP200" s="200" t="str">
        <f t="shared" si="369"/>
        <v/>
      </c>
      <c r="CQ200" s="203">
        <f>IF($J200="",#N/A,SUM(CP$4:CP200))</f>
        <v>0</v>
      </c>
      <c r="CR200" s="204" t="str">
        <f t="shared" si="370"/>
        <v/>
      </c>
      <c r="CS200" s="204">
        <f>IF($J200="",#N/A,SUM(CR$4:CR200))</f>
        <v>4.2989225684455388</v>
      </c>
      <c r="CT200" s="205" t="str">
        <f t="shared" si="371"/>
        <v/>
      </c>
      <c r="CU200" s="205">
        <f>IF($J200="",#N/A,SUM(CT$4:CT200))</f>
        <v>-1.1331655471946371</v>
      </c>
      <c r="CV200" s="205">
        <f>IF($J200="",#N/A,SUM(CT$4:CT200,CR$4:CR200,CP$4:CP200))</f>
        <v>3.1657570212509012</v>
      </c>
      <c r="CW200" s="200" t="str">
        <f t="shared" si="372"/>
        <v/>
      </c>
      <c r="CX200" s="203">
        <f>IF($J200="",#N/A,SUM(CW$4:CW200))</f>
        <v>0</v>
      </c>
      <c r="CY200" s="204" t="str">
        <f t="shared" si="373"/>
        <v/>
      </c>
      <c r="CZ200" s="204">
        <f>IF($J200="",#N/A,SUM(CY$4:CY200))</f>
        <v>-1.0974100761627814</v>
      </c>
      <c r="DA200" s="205" t="str">
        <f t="shared" si="374"/>
        <v/>
      </c>
      <c r="DB200" s="205">
        <f>IF($J200="",#N/A,SUM(DA$4:DA200))</f>
        <v>-2.2679577914291</v>
      </c>
      <c r="DC200" s="205">
        <f>IF($J200="",#N/A,SUM(DA$4:DA200,CY$4:CY200,CW$4:CW200))</f>
        <v>-3.365367867591881</v>
      </c>
      <c r="DD200" s="200" t="str">
        <f t="shared" si="375"/>
        <v/>
      </c>
      <c r="DE200" s="203">
        <f>IF($J200="",#N/A,SUM(DD$4:DD200))</f>
        <v>0.14968716170674062</v>
      </c>
      <c r="DF200" s="204" t="str">
        <f t="shared" si="376"/>
        <v/>
      </c>
      <c r="DG200" s="204">
        <f>IF($J200="",#N/A,SUM(DF$4:DF200))</f>
        <v>1.2121188689979676</v>
      </c>
      <c r="DH200" s="205" t="str">
        <f t="shared" si="377"/>
        <v/>
      </c>
      <c r="DI200" s="205">
        <f>IF($J200="",#N/A,SUM(DH$4:DH200))</f>
        <v>-0.8404015973735236</v>
      </c>
      <c r="DJ200" s="205">
        <f>IF($J200="",#N/A,SUM(DH$4:DH200,DF$4:DF200,DD$4:DD200))</f>
        <v>0.52140443333118447</v>
      </c>
      <c r="DK200" s="200" t="str">
        <f t="shared" si="378"/>
        <v/>
      </c>
      <c r="DL200" s="203">
        <f>IF($J200="",#N/A,SUM(DK$4:DK200))</f>
        <v>-1.2097286851272664</v>
      </c>
      <c r="DM200" s="204" t="str">
        <f t="shared" si="379"/>
        <v/>
      </c>
      <c r="DN200" s="204">
        <f>IF($J200="",#N/A,SUM(DM$4:DM200))</f>
        <v>1.1910608267574658</v>
      </c>
      <c r="DO200" s="205" t="str">
        <f t="shared" si="380"/>
        <v/>
      </c>
      <c r="DP200" s="205">
        <f>IF($J200="",#N/A,SUM(DO$4:DO200))</f>
        <v>2.6571865116636566</v>
      </c>
      <c r="DQ200" s="205">
        <f>IF($J200="",#N/A,SUM(DO$4:DO200,DM$4:DM200,DK$4:DK200))</f>
        <v>2.6385186532938567</v>
      </c>
      <c r="DR200" s="200" t="str">
        <f t="shared" si="381"/>
        <v/>
      </c>
      <c r="DS200" s="203">
        <f>IF($J200="",#N/A,SUM(DR$4:DR200))</f>
        <v>-0.55950946427675097</v>
      </c>
      <c r="DT200" s="204" t="str">
        <f t="shared" si="382"/>
        <v/>
      </c>
      <c r="DU200" s="204">
        <f>IF($J200="",#N/A,SUM(DT$4:DT200))</f>
        <v>-3.5029740333397914</v>
      </c>
      <c r="DV200" s="205">
        <f t="shared" si="383"/>
        <v>5.8995973676849701E-2</v>
      </c>
      <c r="DW200" s="205">
        <f>IF($J200="",#N/A,SUM(DV$4:DV200))</f>
        <v>-1.1099074520338865</v>
      </c>
      <c r="DX200" s="205">
        <f>IF($J200="",#N/A,SUM(DV$4:DV200,DT$4:DT200,DR$4:DR200))</f>
        <v>-5.1723909496504286</v>
      </c>
      <c r="DY200" s="200" t="str">
        <f t="shared" si="384"/>
        <v/>
      </c>
      <c r="DZ200" s="203">
        <f>IF($J200="",#N/A,SUM(DY$4:DY200))</f>
        <v>-1.63480022183437</v>
      </c>
      <c r="EA200" s="204" t="str">
        <f t="shared" si="385"/>
        <v/>
      </c>
      <c r="EB200" s="204">
        <f>IF($J200="",#N/A,SUM(EA$4:EA200))</f>
        <v>-0.40308697004515759</v>
      </c>
      <c r="EC200" s="205" t="str">
        <f t="shared" si="386"/>
        <v/>
      </c>
      <c r="ED200" s="205">
        <f>IF($J200="",#N/A,SUM(EC$4:EC200))</f>
        <v>2.5777281054470773</v>
      </c>
      <c r="EE200" s="205">
        <f>IF($J200="",#N/A,SUM(EC$4:EC200,EA$4:EA200,DY$4:DY200))</f>
        <v>0.53984091356754926</v>
      </c>
      <c r="EF200" s="200" t="str">
        <f t="shared" si="387"/>
        <v/>
      </c>
      <c r="EG200" s="203">
        <f>IF($J200="",#N/A,SUM(EF$4:EF200))</f>
        <v>0</v>
      </c>
      <c r="EH200" s="204" t="str">
        <f t="shared" si="388"/>
        <v/>
      </c>
      <c r="EI200" s="204">
        <f>IF($J200="",#N/A,SUM(EH$4:EH200))</f>
        <v>-2.7245005604557937</v>
      </c>
      <c r="EJ200" s="205" t="str">
        <f t="shared" si="389"/>
        <v/>
      </c>
      <c r="EK200" s="205">
        <f>IF($J200="",#N/A,SUM(EJ$4:EJ200))</f>
        <v>2.804966392787259</v>
      </c>
      <c r="EL200" s="205">
        <f>IF($J200="",#N/A,SUM(EJ$4:EJ200,EH$4:EH200,EF$4:EF200))</f>
        <v>8.0465832331466203E-2</v>
      </c>
      <c r="EM200" s="200" t="str">
        <f t="shared" si="390"/>
        <v/>
      </c>
      <c r="EN200" s="203">
        <f>IF($J200="",#N/A,SUM(EM$4:EM200))</f>
        <v>0</v>
      </c>
      <c r="EO200" s="204" t="str">
        <f t="shared" si="391"/>
        <v/>
      </c>
      <c r="EP200" s="204">
        <f>IF($J200="",#N/A,SUM(EO$4:EO200))</f>
        <v>2.2439573928506102</v>
      </c>
      <c r="EQ200" s="205" t="str">
        <f t="shared" si="392"/>
        <v/>
      </c>
      <c r="ER200" s="205">
        <f>IF($J200="",#N/A,SUM(EQ$4:EQ200))</f>
        <v>2.0221833315059508</v>
      </c>
      <c r="ES200" s="205">
        <f>IF($J200="",#N/A,SUM(EQ$4:EQ200,EO$4:EO200,EM$4:EM200))</f>
        <v>4.2661407243565606</v>
      </c>
      <c r="ET200" s="200" t="str">
        <f t="shared" si="393"/>
        <v/>
      </c>
      <c r="EU200" s="203">
        <f>IF($J200="",#N/A,SUM(ET$4:ET200))</f>
        <v>0</v>
      </c>
      <c r="EV200" s="204" t="str">
        <f t="shared" si="394"/>
        <v/>
      </c>
      <c r="EW200" s="204">
        <f>IF($J200="",#N/A,SUM(EV$4:EV200))</f>
        <v>1.9901851109977766</v>
      </c>
      <c r="EX200" s="205" t="str">
        <f t="shared" si="395"/>
        <v/>
      </c>
      <c r="EY200" s="205">
        <f>IF($J200="",#N/A,SUM(EX$4:EX200))</f>
        <v>-9.038537462898949E-2</v>
      </c>
      <c r="EZ200" s="205">
        <f>IF($J200="",#N/A,SUM(EX$4:EX200,EV$4:EV200,ET$4:ET200))</f>
        <v>1.8997997363687871</v>
      </c>
      <c r="FA200" s="200" t="str">
        <f t="shared" si="396"/>
        <v/>
      </c>
      <c r="FB200" s="203">
        <f>IF($J200="",#N/A,SUM(FA$4:FA200))</f>
        <v>0</v>
      </c>
      <c r="FC200" s="204" t="str">
        <f t="shared" si="397"/>
        <v/>
      </c>
      <c r="FD200" s="204">
        <f>IF($J200="",#N/A,SUM(FC$4:FC200))</f>
        <v>1.6839191319663924</v>
      </c>
      <c r="FE200" s="205" t="str">
        <f t="shared" si="398"/>
        <v/>
      </c>
      <c r="FF200" s="205">
        <f>IF($J200="",#N/A,SUM(FE$4:FE200))</f>
        <v>-0.28811149078748233</v>
      </c>
      <c r="FG200" s="205">
        <f>IF($J200="",#N/A,SUM(FE$4:FE200,FC$4:FC200,FA$4:FA200))</f>
        <v>1.3958076411789102</v>
      </c>
      <c r="FH200" s="200" t="str">
        <f t="shared" si="399"/>
        <v/>
      </c>
      <c r="FI200" s="203">
        <f>IF($J200="",#N/A,SUM(FH$4:FH200))</f>
        <v>0</v>
      </c>
      <c r="FJ200" s="204" t="str">
        <f t="shared" si="400"/>
        <v/>
      </c>
      <c r="FK200" s="204">
        <f>IF($J200="",#N/A,SUM(FJ$4:FJ200))</f>
        <v>0</v>
      </c>
      <c r="FL200" s="205" t="str">
        <f t="shared" si="401"/>
        <v/>
      </c>
      <c r="FM200" s="205">
        <f>IF($J200="",#N/A,SUM(FL$4:FL200))</f>
        <v>0</v>
      </c>
      <c r="FN200" s="205">
        <f>IF($J200="",#N/A,SUM(FL$4:FL200,FJ$4:FJ200,FH$4:FH200))</f>
        <v>0</v>
      </c>
      <c r="FO200" s="200" t="str">
        <f t="shared" si="402"/>
        <v/>
      </c>
      <c r="FP200" s="203">
        <f>IF($J200="",#N/A,SUM(FO$4:FO200))</f>
        <v>0</v>
      </c>
      <c r="FQ200" s="204" t="str">
        <f t="shared" si="403"/>
        <v/>
      </c>
      <c r="FR200" s="204">
        <f>IF($J200="",#N/A,SUM(FQ$4:FQ200))</f>
        <v>0</v>
      </c>
      <c r="FS200" s="205" t="str">
        <f t="shared" si="404"/>
        <v/>
      </c>
      <c r="FT200" s="205">
        <f>IF($J200="",#N/A,SUM(FS$4:FS200))</f>
        <v>0</v>
      </c>
      <c r="FU200" s="205">
        <f>IF($J200="",#N/A,SUM(FS$4:FS200,FQ$4:FQ200,FO$4:FO200))</f>
        <v>0</v>
      </c>
      <c r="FV200" s="200" t="str">
        <f t="shared" si="405"/>
        <v/>
      </c>
      <c r="FW200" s="203">
        <f>IF($J200="",#N/A,SUM(FV$4:FV200))</f>
        <v>6.6834991831277585E-2</v>
      </c>
      <c r="FX200" s="204" t="str">
        <f t="shared" si="406"/>
        <v/>
      </c>
      <c r="FY200" s="204">
        <f>IF($J200="",#N/A,SUM(FX$4:FX200))</f>
        <v>-0.16102012791805576</v>
      </c>
      <c r="FZ200" s="205" t="str">
        <f t="shared" si="407"/>
        <v/>
      </c>
      <c r="GA200" s="205">
        <f>IF($J200="",#N/A,SUM(FZ$4:FZ200))</f>
        <v>-1.7642101813332194</v>
      </c>
      <c r="GB200" s="205">
        <f>IF($J200="",#N/A,SUM(FZ$4:FZ200,FX$4:FX200,FV$4:FV200))</f>
        <v>-1.8583953174199976</v>
      </c>
      <c r="GC200" s="200" t="str">
        <f t="shared" si="408"/>
        <v/>
      </c>
      <c r="GD200" s="203">
        <f>IF($J200="",#N/A,SUM(GC$4:GC200))</f>
        <v>0</v>
      </c>
      <c r="GE200" s="204" t="str">
        <f t="shared" si="409"/>
        <v/>
      </c>
      <c r="GF200" s="204">
        <f>IF($J200="",#N/A,SUM(GE$4:GE200))</f>
        <v>0</v>
      </c>
      <c r="GG200" s="205" t="str">
        <f t="shared" si="410"/>
        <v/>
      </c>
      <c r="GH200" s="205">
        <f>IF($J200="",#N/A,SUM(GG$4:GG200))</f>
        <v>-2.9368362277223206</v>
      </c>
      <c r="GI200" s="205">
        <f>IF($J200="",#N/A,SUM(GG$4:GG200,GE$4:GE200,GC$4:GC200))</f>
        <v>-2.9368362277223206</v>
      </c>
      <c r="GJ200" s="200" t="str">
        <f t="shared" si="411"/>
        <v/>
      </c>
      <c r="GK200" s="203">
        <f>IF($J200="",#N/A,SUM(GJ$4:GJ200))</f>
        <v>0</v>
      </c>
      <c r="GL200" s="204" t="str">
        <f t="shared" si="412"/>
        <v/>
      </c>
      <c r="GM200" s="204">
        <f>IF($J200="",#N/A,SUM(GL$4:GL200))</f>
        <v>-0.80168930905701452</v>
      </c>
      <c r="GN200" s="205" t="str">
        <f t="shared" si="413"/>
        <v/>
      </c>
      <c r="GO200" s="205">
        <f>IF($J200="",#N/A,SUM(GN$4:GN200))</f>
        <v>0</v>
      </c>
      <c r="GP200" s="205">
        <f>IF($J200="",#N/A,SUM(GN$4:GN200,GL$4:GL200,GJ$4:GJ200))</f>
        <v>-0.80168930905701452</v>
      </c>
      <c r="GS200" s="54">
        <f t="shared" si="432"/>
        <v>5.8995973676849701E-2</v>
      </c>
      <c r="GT200" s="54">
        <f>IF(GS200="",NA(),SUM($GS$4:GS200))</f>
        <v>2.5526075949574856</v>
      </c>
      <c r="GU200" s="54" t="str">
        <f t="shared" si="414"/>
        <v/>
      </c>
      <c r="GV200" s="54" t="e">
        <f>IF(GU200="",NA(),SUM($GU$4:GU200))</f>
        <v>#N/A</v>
      </c>
      <c r="GW200" s="54">
        <f t="shared" si="415"/>
        <v>5.8995973676849701E-2</v>
      </c>
      <c r="GX200" s="54">
        <f>IF(GW200="",NA(),SUM($GW$4:GW200))</f>
        <v>4.8763133448904643</v>
      </c>
      <c r="GY200" s="54" t="str">
        <f t="shared" si="416"/>
        <v/>
      </c>
      <c r="GZ200" s="54" t="e">
        <f>IF(GY200="",NA(),SUM($GY$4:GY200))</f>
        <v>#N/A</v>
      </c>
      <c r="HA200" s="54" t="str">
        <f t="shared" si="417"/>
        <v/>
      </c>
      <c r="HB200" s="54" t="e">
        <f>IF(HA200="",NA(),SUM($HA$4:HA200))</f>
        <v>#N/A</v>
      </c>
      <c r="HC200" s="54" t="str">
        <f t="shared" si="418"/>
        <v/>
      </c>
      <c r="HD200" s="54" t="e">
        <f>IF(HC200="",NA(),SUM($HC$4:HC200))</f>
        <v>#N/A</v>
      </c>
      <c r="HE200" s="54" t="str">
        <f t="shared" si="419"/>
        <v/>
      </c>
      <c r="HF200" s="54" t="e">
        <f>IF(HE200="",NA(),SUM($HE$4:HE200))</f>
        <v>#N/A</v>
      </c>
      <c r="HG200" s="54" t="str">
        <f t="shared" si="420"/>
        <v/>
      </c>
      <c r="HH200" s="54" t="e">
        <f>IF(HG200="",NA(),SUM($HG$4:HG200))</f>
        <v>#N/A</v>
      </c>
      <c r="HI200" s="172" t="str">
        <f t="shared" si="433"/>
        <v/>
      </c>
      <c r="HJ200" s="172">
        <f>IF($J200="",#N/A,SUM(HI$4:$HI200))</f>
        <v>-6.7032114915212357</v>
      </c>
      <c r="HK200" s="54" t="str">
        <f t="shared" si="421"/>
        <v/>
      </c>
      <c r="HL200" s="54">
        <f>IF($J200="",#N/A,SUM($HK$4:HK200))</f>
        <v>-1.7688797361196436</v>
      </c>
      <c r="HM200" s="54" t="str">
        <f t="shared" si="422"/>
        <v/>
      </c>
      <c r="HN200" s="54">
        <f>IF($J200="",#N/A,SUM($HM$4:HM200))</f>
        <v>0.71812545963587882</v>
      </c>
      <c r="HO200" s="54" t="str">
        <f t="shared" si="423"/>
        <v/>
      </c>
      <c r="HP200" s="54">
        <f>IF($J200="",#N/A,SUM($HO$4:HO200))</f>
        <v>-0.14859521910082485</v>
      </c>
      <c r="HQ200" s="54">
        <f t="shared" si="424"/>
        <v>-0.10248269654174133</v>
      </c>
      <c r="HR200" s="54">
        <f>IF($J200="",#N/A,SUM($HQ$4:HQ200))</f>
        <v>-13.495567554372498</v>
      </c>
      <c r="HS200" s="54" t="str">
        <f t="shared" si="425"/>
        <v/>
      </c>
      <c r="HT200" s="54">
        <f>IF($J200="",#N/A,SUM($HS$4:HS200))</f>
        <v>12.600845719340157</v>
      </c>
      <c r="HU200" s="65">
        <f t="shared" si="426"/>
        <v>-4.3486722864891622E-2</v>
      </c>
      <c r="HV200" s="65">
        <f>IF($J200="",#N/A,SUM(HU$4:$HU200))</f>
        <v>-0.49546469683627348</v>
      </c>
    </row>
    <row r="201" spans="1:230" x14ac:dyDescent="0.25">
      <c r="A201" s="51" t="s">
        <v>1472</v>
      </c>
      <c r="B201" s="52" t="s">
        <v>4544</v>
      </c>
      <c r="C201" s="229">
        <f t="shared" si="327"/>
        <v>2</v>
      </c>
      <c r="D201" s="219" t="str">
        <f>_xlfn.XLOOKUP(A201,[1]SP500!$A$2:$A$502,[1]SP500!$D$2:$D$502,"N")</f>
        <v>Y</v>
      </c>
      <c r="E201" s="51" t="str">
        <f>IFERROR(_xlfn.XLOOKUP(A201,[1]SP500!$A$2:$A$655,[1]SP500!$B$2:$B$655),"")</f>
        <v>XLB</v>
      </c>
      <c r="F201" s="290">
        <v>45778</v>
      </c>
      <c r="G201" s="51" t="str">
        <f t="shared" si="328"/>
        <v>BMO</v>
      </c>
      <c r="H201" s="51" t="str">
        <f t="shared" si="329"/>
        <v>s</v>
      </c>
      <c r="I201" s="344">
        <v>42.02</v>
      </c>
      <c r="J201" s="124">
        <v>41.44</v>
      </c>
      <c r="K201" s="55">
        <f t="shared" si="330"/>
        <v>-1.3802950975725972E-2</v>
      </c>
      <c r="L201" s="67">
        <f t="shared" si="331"/>
        <v>15.079999999999927</v>
      </c>
      <c r="M201" s="57">
        <f t="shared" si="332"/>
        <v>-1.0399999999999636</v>
      </c>
      <c r="N201" s="102">
        <f t="shared" si="333"/>
        <v>15.079999999999927</v>
      </c>
      <c r="O201" s="57">
        <f>IF(N201="",#N/A,SUM($N$4:N201))</f>
        <v>328.65636410061359</v>
      </c>
      <c r="P201" s="65">
        <f t="shared" si="427"/>
        <v>0.230049182928763</v>
      </c>
      <c r="Q201" s="172">
        <f>IF($N201="",#N/A,SUM($P$4:P201))</f>
        <v>8.5318673082306571</v>
      </c>
      <c r="R201" s="279">
        <f t="shared" si="334"/>
        <v>5.3774606063168235</v>
      </c>
      <c r="S201" s="51" t="str">
        <f t="shared" si="335"/>
        <v>Dwn</v>
      </c>
      <c r="T201" s="51" t="s">
        <v>4462</v>
      </c>
      <c r="U201" s="56">
        <f t="shared" si="336"/>
        <v>42.02</v>
      </c>
      <c r="V201" s="56" t="s">
        <v>4458</v>
      </c>
      <c r="W201" s="142">
        <v>26</v>
      </c>
      <c r="X201" s="145">
        <f t="shared" si="337"/>
        <v>1092.52</v>
      </c>
      <c r="Y201" s="140">
        <f t="shared" si="338"/>
        <v>26</v>
      </c>
      <c r="Z201" s="123">
        <v>41.48</v>
      </c>
      <c r="AA201" s="102">
        <f t="shared" si="339"/>
        <v>14.039999999999964</v>
      </c>
      <c r="AB201" s="102">
        <f t="shared" si="340"/>
        <v>40.299999999999955</v>
      </c>
      <c r="AC201" s="124">
        <v>40.47</v>
      </c>
      <c r="AD201" s="155">
        <f t="shared" si="341"/>
        <v>40.299999999999955</v>
      </c>
      <c r="AE201" s="545">
        <f t="shared" si="342"/>
        <v>0.61478660955100684</v>
      </c>
      <c r="AF201" s="57">
        <f>IF($AC201="",#N/A,SUM(AD$4:AD201))</f>
        <v>-77.460412002416092</v>
      </c>
      <c r="AG201" s="102">
        <f t="shared" si="343"/>
        <v>25.220000000000027</v>
      </c>
      <c r="AH201" s="56" t="s">
        <v>2507</v>
      </c>
      <c r="AI201" s="65">
        <f t="shared" si="344"/>
        <v>0.21418372203712463</v>
      </c>
      <c r="AJ201" s="350">
        <f>IF(AI201="",#N/A,SUM($AI$4:AI201))</f>
        <v>3.1544067019138331</v>
      </c>
      <c r="AK201" s="57">
        <f t="shared" si="345"/>
        <v>14.039999999999964</v>
      </c>
      <c r="AL201" s="349">
        <f>IF(AI201="",#N/A,IF(AH201="Skip",SUM($AK$4:AK201),SUM($AK$4:AK201)))</f>
        <v>-11.832408507186074</v>
      </c>
      <c r="AM201" s="65">
        <f t="shared" si="428"/>
        <v>0.61478660955100684</v>
      </c>
      <c r="AN201" s="209"/>
      <c r="AO201" s="65" t="str">
        <f t="shared" si="346"/>
        <v/>
      </c>
      <c r="AP201" s="65">
        <f>IF($AC201="",#N/A,SUM(AO$4:AO201))</f>
        <v>4.3454840048066785</v>
      </c>
      <c r="AQ201" s="65" t="str">
        <f t="shared" si="347"/>
        <v/>
      </c>
      <c r="AR201" s="65">
        <f>IF($AC201="",#N/A,SUM(AQ$4:AQ201))</f>
        <v>-2.6179859771653153</v>
      </c>
      <c r="AS201" s="65">
        <f t="shared" si="348"/>
        <v>0.61478660955100684</v>
      </c>
      <c r="AT201" s="65">
        <f>IF($AC201="",#N/A,SUM(AS$4:AS201))</f>
        <v>-1.6081761149266331</v>
      </c>
      <c r="AU201" s="57" t="str">
        <f t="shared" si="429"/>
        <v/>
      </c>
      <c r="AV201" s="57">
        <f>IF($AC201="",#N/A,SUM(AU$4:AU201))</f>
        <v>155.69120645125099</v>
      </c>
      <c r="AW201" s="57" t="str">
        <f t="shared" si="430"/>
        <v/>
      </c>
      <c r="AX201" s="57">
        <f>IF($AC201="",#N/A,SUM(AW$4:AW201))</f>
        <v>-163.1400000000001</v>
      </c>
      <c r="AY201" s="57">
        <f t="shared" si="431"/>
        <v>40.299999999999955</v>
      </c>
      <c r="AZ201" s="57">
        <f>IF($AC201="",#N/A,SUM(AY$4:AY201))</f>
        <v>-70.011618453666983</v>
      </c>
      <c r="BA201" s="57">
        <f>IF(AD201="",#N/A,SUM($AD$4:AD201))</f>
        <v>-77.460412002416092</v>
      </c>
      <c r="BC201" s="51" t="str">
        <f t="shared" si="349"/>
        <v/>
      </c>
      <c r="BD201" s="51" t="str">
        <f t="shared" si="350"/>
        <v/>
      </c>
      <c r="BE201" s="51" t="str">
        <f t="shared" si="351"/>
        <v/>
      </c>
      <c r="BF201" s="51" t="str">
        <f t="shared" si="352"/>
        <v>Short</v>
      </c>
      <c r="BG201" s="51">
        <f t="shared" si="353"/>
        <v>1</v>
      </c>
      <c r="BH201" s="51" t="str">
        <f t="shared" si="354"/>
        <v/>
      </c>
      <c r="BI201" s="51" t="str">
        <f t="shared" si="355"/>
        <v/>
      </c>
      <c r="BK201" s="65">
        <f t="shared" si="326"/>
        <v>0.21462578670560289</v>
      </c>
      <c r="BL201" s="65">
        <f t="shared" si="325"/>
        <v>0.22540265011607544</v>
      </c>
      <c r="BM201" s="65">
        <f>IFERROR(Q201/COUNTA($J$4:J201),#N/A)</f>
        <v>4.3090238930457866E-2</v>
      </c>
      <c r="BO201" s="489" t="e">
        <f>IF(J201="",#N/A,IF(S201="SW",(COUNTIFS(K$4:$K201,"&gt;0",S$4:$S201,"SW")/COUNTIF(S$4:$S201,"SW")),#N/A))</f>
        <v>#N/A</v>
      </c>
      <c r="BP201" s="489">
        <f>IF($J201="",#N/A,IF($S201="DWN",(COUNTIFS($K$4:$K201,"&lt;0",$S$4:$S201,"DWN")/COUNTIF($S$4:$S201,"DWN")),#N/A))</f>
        <v>0.55952380952380953</v>
      </c>
      <c r="BQ201" s="489" t="e">
        <f>IF($J201="",#N/A,IF($S201="UP",(COUNTIFS($K$4:$K201,"&gt;0",$S$4:$S201,"UP")/COUNTIF($S$4:$S201,"UP")),#N/A))</f>
        <v>#N/A</v>
      </c>
      <c r="BR201" s="489">
        <f>IF(J201="",#N/A,COUNTIF($K$4:K201,"&gt;0")/COUNT($J$4:J201))</f>
        <v>0.47474747474747475</v>
      </c>
      <c r="BS201" s="65" t="str">
        <f t="shared" si="356"/>
        <v/>
      </c>
      <c r="BT201" s="65" t="str">
        <f t="shared" si="357"/>
        <v/>
      </c>
      <c r="BU201" s="65">
        <f t="shared" si="358"/>
        <v>0.230049182928763</v>
      </c>
      <c r="BV201" s="65" t="str">
        <f t="shared" si="359"/>
        <v/>
      </c>
      <c r="BW201" s="128" t="str">
        <f t="shared" si="360"/>
        <v/>
      </c>
      <c r="BX201" s="128">
        <f>IF($J201="",#N/A,SUM($BW$4:BW201))</f>
        <v>-205.1650000000003</v>
      </c>
      <c r="BY201" s="131">
        <f t="shared" si="361"/>
        <v>15.079999999999927</v>
      </c>
      <c r="BZ201" s="131">
        <f>IF($J201="",#N/A,SUM($BY$4:BY201))</f>
        <v>352.64934038933438</v>
      </c>
      <c r="CA201" s="133" t="str">
        <f t="shared" si="362"/>
        <v/>
      </c>
      <c r="CB201" s="133">
        <f>IF($J201="",#N/A,SUM($CA$4:CA201))</f>
        <v>181.17202371127954</v>
      </c>
      <c r="CC201" s="194" t="str">
        <f t="shared" si="363"/>
        <v/>
      </c>
      <c r="CD201" s="194">
        <f>IF($J201="",#N/A,SUM($CC$4:CC201))</f>
        <v>-3.1875162177003693</v>
      </c>
      <c r="CE201" s="195">
        <f t="shared" si="364"/>
        <v>0.230049182928763</v>
      </c>
      <c r="CF201" s="195">
        <f>IF($J201="",#N/A,SUM($CE$4:CE201))</f>
        <v>6.4791776860920081</v>
      </c>
      <c r="CG201" s="196" t="str">
        <f t="shared" si="365"/>
        <v/>
      </c>
      <c r="CH201" s="196">
        <f>IF($J201="",#N/A,SUM($CG$4:CG201))</f>
        <v>5.2402058398390245</v>
      </c>
      <c r="CI201" s="200" t="str">
        <f t="shared" si="366"/>
        <v/>
      </c>
      <c r="CJ201" s="203">
        <f>IF($J201="",#N/A,SUM(CI$4:CI201))</f>
        <v>0</v>
      </c>
      <c r="CK201" s="204" t="str">
        <f t="shared" si="367"/>
        <v/>
      </c>
      <c r="CL201" s="204">
        <f>IF($J201="",#N/A,SUM(CK$4:CK201))</f>
        <v>1.9927003554442289</v>
      </c>
      <c r="CM201" s="205" t="str">
        <f t="shared" si="368"/>
        <v/>
      </c>
      <c r="CN201" s="205">
        <f>IF($J201="",#N/A,SUM(CM$4:CM201))</f>
        <v>5.6091171609382364</v>
      </c>
      <c r="CO201" s="205">
        <f>IF($J201="",#N/A,SUM(CM$4:CM201,CK$4:CK201,CI$4:CI201))</f>
        <v>7.6018175163824644</v>
      </c>
      <c r="CP201" s="200" t="str">
        <f t="shared" si="369"/>
        <v/>
      </c>
      <c r="CQ201" s="203">
        <f>IF($J201="",#N/A,SUM(CP$4:CP201))</f>
        <v>0</v>
      </c>
      <c r="CR201" s="204" t="str">
        <f t="shared" si="370"/>
        <v/>
      </c>
      <c r="CS201" s="204">
        <f>IF($J201="",#N/A,SUM(CR$4:CR201))</f>
        <v>4.2989225684455388</v>
      </c>
      <c r="CT201" s="205" t="str">
        <f t="shared" si="371"/>
        <v/>
      </c>
      <c r="CU201" s="205">
        <f>IF($J201="",#N/A,SUM(CT$4:CT201))</f>
        <v>-1.1331655471946371</v>
      </c>
      <c r="CV201" s="205">
        <f>IF($J201="",#N/A,SUM(CT$4:CT201,CR$4:CR201,CP$4:CP201))</f>
        <v>3.1657570212509012</v>
      </c>
      <c r="CW201" s="200" t="str">
        <f t="shared" si="372"/>
        <v/>
      </c>
      <c r="CX201" s="203">
        <f>IF($J201="",#N/A,SUM(CW$4:CW201))</f>
        <v>0</v>
      </c>
      <c r="CY201" s="204" t="str">
        <f t="shared" si="373"/>
        <v/>
      </c>
      <c r="CZ201" s="204">
        <f>IF($J201="",#N/A,SUM(CY$4:CY201))</f>
        <v>-1.0974100761627814</v>
      </c>
      <c r="DA201" s="205" t="str">
        <f t="shared" si="374"/>
        <v/>
      </c>
      <c r="DB201" s="205">
        <f>IF($J201="",#N/A,SUM(DA$4:DA201))</f>
        <v>-2.2679577914291</v>
      </c>
      <c r="DC201" s="205">
        <f>IF($J201="",#N/A,SUM(DA$4:DA201,CY$4:CY201,CW$4:CW201))</f>
        <v>-3.365367867591881</v>
      </c>
      <c r="DD201" s="200" t="str">
        <f t="shared" si="375"/>
        <v/>
      </c>
      <c r="DE201" s="203">
        <f>IF($J201="",#N/A,SUM(DD$4:DD201))</f>
        <v>0.14968716170674062</v>
      </c>
      <c r="DF201" s="204" t="str">
        <f t="shared" si="376"/>
        <v/>
      </c>
      <c r="DG201" s="204">
        <f>IF($J201="",#N/A,SUM(DF$4:DF201))</f>
        <v>1.2121188689979676</v>
      </c>
      <c r="DH201" s="205" t="str">
        <f t="shared" si="377"/>
        <v/>
      </c>
      <c r="DI201" s="205">
        <f>IF($J201="",#N/A,SUM(DH$4:DH201))</f>
        <v>-0.8404015973735236</v>
      </c>
      <c r="DJ201" s="205">
        <f>IF($J201="",#N/A,SUM(DH$4:DH201,DF$4:DF201,DD$4:DD201))</f>
        <v>0.52140443333118447</v>
      </c>
      <c r="DK201" s="200" t="str">
        <f t="shared" si="378"/>
        <v/>
      </c>
      <c r="DL201" s="203">
        <f>IF($J201="",#N/A,SUM(DK$4:DK201))</f>
        <v>-1.2097286851272664</v>
      </c>
      <c r="DM201" s="204" t="str">
        <f t="shared" si="379"/>
        <v/>
      </c>
      <c r="DN201" s="204">
        <f>IF($J201="",#N/A,SUM(DM$4:DM201))</f>
        <v>1.1910608267574658</v>
      </c>
      <c r="DO201" s="205" t="str">
        <f t="shared" si="380"/>
        <v/>
      </c>
      <c r="DP201" s="205">
        <f>IF($J201="",#N/A,SUM(DO$4:DO201))</f>
        <v>2.6571865116636566</v>
      </c>
      <c r="DQ201" s="205">
        <f>IF($J201="",#N/A,SUM(DO$4:DO201,DM$4:DM201,DK$4:DK201))</f>
        <v>2.6385186532938567</v>
      </c>
      <c r="DR201" s="200" t="str">
        <f t="shared" si="381"/>
        <v/>
      </c>
      <c r="DS201" s="203">
        <f>IF($J201="",#N/A,SUM(DR$4:DR201))</f>
        <v>-0.55950946427675097</v>
      </c>
      <c r="DT201" s="204" t="str">
        <f t="shared" si="382"/>
        <v/>
      </c>
      <c r="DU201" s="204">
        <f>IF($J201="",#N/A,SUM(DT$4:DT201))</f>
        <v>-3.5029740333397914</v>
      </c>
      <c r="DV201" s="205" t="str">
        <f t="shared" si="383"/>
        <v/>
      </c>
      <c r="DW201" s="205">
        <f>IF($J201="",#N/A,SUM(DV$4:DV201))</f>
        <v>-1.1099074520338865</v>
      </c>
      <c r="DX201" s="205">
        <f>IF($J201="",#N/A,SUM(DV$4:DV201,DT$4:DT201,DR$4:DR201))</f>
        <v>-5.1723909496504286</v>
      </c>
      <c r="DY201" s="200" t="str">
        <f t="shared" si="384"/>
        <v/>
      </c>
      <c r="DZ201" s="203">
        <f>IF($J201="",#N/A,SUM(DY$4:DY201))</f>
        <v>-1.63480022183437</v>
      </c>
      <c r="EA201" s="204" t="str">
        <f t="shared" si="385"/>
        <v/>
      </c>
      <c r="EB201" s="204">
        <f>IF($J201="",#N/A,SUM(EA$4:EA201))</f>
        <v>-0.40308697004515759</v>
      </c>
      <c r="EC201" s="205" t="str">
        <f t="shared" si="386"/>
        <v/>
      </c>
      <c r="ED201" s="205">
        <f>IF($J201="",#N/A,SUM(EC$4:EC201))</f>
        <v>2.5777281054470773</v>
      </c>
      <c r="EE201" s="205">
        <f>IF($J201="",#N/A,SUM(EC$4:EC201,EA$4:EA201,DY$4:DY201))</f>
        <v>0.53984091356754926</v>
      </c>
      <c r="EF201" s="200" t="str">
        <f t="shared" si="387"/>
        <v/>
      </c>
      <c r="EG201" s="203">
        <f>IF($J201="",#N/A,SUM(EF$4:EF201))</f>
        <v>0</v>
      </c>
      <c r="EH201" s="204" t="str">
        <f t="shared" si="388"/>
        <v/>
      </c>
      <c r="EI201" s="204">
        <f>IF($J201="",#N/A,SUM(EH$4:EH201))</f>
        <v>-2.7245005604557937</v>
      </c>
      <c r="EJ201" s="205" t="str">
        <f t="shared" si="389"/>
        <v/>
      </c>
      <c r="EK201" s="205">
        <f>IF($J201="",#N/A,SUM(EJ$4:EJ201))</f>
        <v>2.804966392787259</v>
      </c>
      <c r="EL201" s="205">
        <f>IF($J201="",#N/A,SUM(EJ$4:EJ201,EH$4:EH201,EF$4:EF201))</f>
        <v>8.0465832331466203E-2</v>
      </c>
      <c r="EM201" s="200" t="str">
        <f t="shared" si="390"/>
        <v/>
      </c>
      <c r="EN201" s="203">
        <f>IF($J201="",#N/A,SUM(EM$4:EM201))</f>
        <v>0</v>
      </c>
      <c r="EO201" s="204">
        <f t="shared" si="391"/>
        <v>0.230049182928763</v>
      </c>
      <c r="EP201" s="204">
        <f>IF($J201="",#N/A,SUM(EO$4:EO201))</f>
        <v>2.4740065757793732</v>
      </c>
      <c r="EQ201" s="205" t="str">
        <f t="shared" si="392"/>
        <v/>
      </c>
      <c r="ER201" s="205">
        <f>IF($J201="",#N/A,SUM(EQ$4:EQ201))</f>
        <v>2.0221833315059508</v>
      </c>
      <c r="ES201" s="205">
        <f>IF($J201="",#N/A,SUM(EQ$4:EQ201,EO$4:EO201,EM$4:EM201))</f>
        <v>4.4961899072853235</v>
      </c>
      <c r="ET201" s="200" t="str">
        <f t="shared" si="393"/>
        <v/>
      </c>
      <c r="EU201" s="203">
        <f>IF($J201="",#N/A,SUM(ET$4:ET201))</f>
        <v>0</v>
      </c>
      <c r="EV201" s="204" t="str">
        <f t="shared" si="394"/>
        <v/>
      </c>
      <c r="EW201" s="204">
        <f>IF($J201="",#N/A,SUM(EV$4:EV201))</f>
        <v>1.9901851109977766</v>
      </c>
      <c r="EX201" s="205" t="str">
        <f t="shared" si="395"/>
        <v/>
      </c>
      <c r="EY201" s="205">
        <f>IF($J201="",#N/A,SUM(EX$4:EX201))</f>
        <v>-9.038537462898949E-2</v>
      </c>
      <c r="EZ201" s="205">
        <f>IF($J201="",#N/A,SUM(EX$4:EX201,EV$4:EV201,ET$4:ET201))</f>
        <v>1.8997997363687871</v>
      </c>
      <c r="FA201" s="200" t="str">
        <f t="shared" si="396"/>
        <v/>
      </c>
      <c r="FB201" s="203">
        <f>IF($J201="",#N/A,SUM(FA$4:FA201))</f>
        <v>0</v>
      </c>
      <c r="FC201" s="204" t="str">
        <f t="shared" si="397"/>
        <v/>
      </c>
      <c r="FD201" s="204">
        <f>IF($J201="",#N/A,SUM(FC$4:FC201))</f>
        <v>1.6839191319663924</v>
      </c>
      <c r="FE201" s="205" t="str">
        <f t="shared" si="398"/>
        <v/>
      </c>
      <c r="FF201" s="205">
        <f>IF($J201="",#N/A,SUM(FE$4:FE201))</f>
        <v>-0.28811149078748233</v>
      </c>
      <c r="FG201" s="205">
        <f>IF($J201="",#N/A,SUM(FE$4:FE201,FC$4:FC201,FA$4:FA201))</f>
        <v>1.3958076411789102</v>
      </c>
      <c r="FH201" s="200" t="str">
        <f t="shared" si="399"/>
        <v/>
      </c>
      <c r="FI201" s="203">
        <f>IF($J201="",#N/A,SUM(FH$4:FH201))</f>
        <v>0</v>
      </c>
      <c r="FJ201" s="204" t="str">
        <f t="shared" si="400"/>
        <v/>
      </c>
      <c r="FK201" s="204">
        <f>IF($J201="",#N/A,SUM(FJ$4:FJ201))</f>
        <v>0</v>
      </c>
      <c r="FL201" s="205" t="str">
        <f t="shared" si="401"/>
        <v/>
      </c>
      <c r="FM201" s="205">
        <f>IF($J201="",#N/A,SUM(FL$4:FL201))</f>
        <v>0</v>
      </c>
      <c r="FN201" s="205">
        <f>IF($J201="",#N/A,SUM(FL$4:FL201,FJ$4:FJ201,FH$4:FH201))</f>
        <v>0</v>
      </c>
      <c r="FO201" s="200" t="str">
        <f t="shared" si="402"/>
        <v/>
      </c>
      <c r="FP201" s="203">
        <f>IF($J201="",#N/A,SUM(FO$4:FO201))</f>
        <v>0</v>
      </c>
      <c r="FQ201" s="204" t="str">
        <f t="shared" si="403"/>
        <v/>
      </c>
      <c r="FR201" s="204">
        <f>IF($J201="",#N/A,SUM(FQ$4:FQ201))</f>
        <v>0</v>
      </c>
      <c r="FS201" s="205" t="str">
        <f t="shared" si="404"/>
        <v/>
      </c>
      <c r="FT201" s="205">
        <f>IF($J201="",#N/A,SUM(FS$4:FS201))</f>
        <v>0</v>
      </c>
      <c r="FU201" s="205">
        <f>IF($J201="",#N/A,SUM(FS$4:FS201,FQ$4:FQ201,FO$4:FO201))</f>
        <v>0</v>
      </c>
      <c r="FV201" s="200" t="str">
        <f t="shared" si="405"/>
        <v/>
      </c>
      <c r="FW201" s="203">
        <f>IF($J201="",#N/A,SUM(FV$4:FV201))</f>
        <v>6.6834991831277585E-2</v>
      </c>
      <c r="FX201" s="204" t="str">
        <f t="shared" si="406"/>
        <v/>
      </c>
      <c r="FY201" s="204">
        <f>IF($J201="",#N/A,SUM(FX$4:FX201))</f>
        <v>-0.16102012791805576</v>
      </c>
      <c r="FZ201" s="205" t="str">
        <f t="shared" si="407"/>
        <v/>
      </c>
      <c r="GA201" s="205">
        <f>IF($J201="",#N/A,SUM(FZ$4:FZ201))</f>
        <v>-1.7642101813332194</v>
      </c>
      <c r="GB201" s="205">
        <f>IF($J201="",#N/A,SUM(FZ$4:FZ201,FX$4:FX201,FV$4:FV201))</f>
        <v>-1.8583953174199976</v>
      </c>
      <c r="GC201" s="200" t="str">
        <f t="shared" si="408"/>
        <v/>
      </c>
      <c r="GD201" s="203">
        <f>IF($J201="",#N/A,SUM(GC$4:GC201))</f>
        <v>0</v>
      </c>
      <c r="GE201" s="204" t="str">
        <f t="shared" si="409"/>
        <v/>
      </c>
      <c r="GF201" s="204">
        <f>IF($J201="",#N/A,SUM(GE$4:GE201))</f>
        <v>0</v>
      </c>
      <c r="GG201" s="205" t="str">
        <f t="shared" si="410"/>
        <v/>
      </c>
      <c r="GH201" s="205">
        <f>IF($J201="",#N/A,SUM(GG$4:GG201))</f>
        <v>-2.9368362277223206</v>
      </c>
      <c r="GI201" s="205">
        <f>IF($J201="",#N/A,SUM(GG$4:GG201,GE$4:GE201,GC$4:GC201))</f>
        <v>-2.9368362277223206</v>
      </c>
      <c r="GJ201" s="200" t="str">
        <f t="shared" si="411"/>
        <v/>
      </c>
      <c r="GK201" s="203">
        <f>IF($J201="",#N/A,SUM(GJ$4:GJ201))</f>
        <v>0</v>
      </c>
      <c r="GL201" s="204" t="str">
        <f t="shared" si="412"/>
        <v/>
      </c>
      <c r="GM201" s="204">
        <f>IF($J201="",#N/A,SUM(GL$4:GL201))</f>
        <v>-0.80168930905701452</v>
      </c>
      <c r="GN201" s="205" t="str">
        <f t="shared" si="413"/>
        <v/>
      </c>
      <c r="GO201" s="205">
        <f>IF($J201="",#N/A,SUM(GN$4:GN201))</f>
        <v>0</v>
      </c>
      <c r="GP201" s="205">
        <f>IF($J201="",#N/A,SUM(GN$4:GN201,GL$4:GL201,GJ$4:GJ201))</f>
        <v>-0.80168930905701452</v>
      </c>
      <c r="GS201" s="54">
        <f t="shared" si="432"/>
        <v>0.230049182928763</v>
      </c>
      <c r="GT201" s="54">
        <f>IF(GS201="",NA(),SUM($GS$4:GS201))</f>
        <v>2.7826567778862485</v>
      </c>
      <c r="GU201" s="54" t="str">
        <f t="shared" si="414"/>
        <v/>
      </c>
      <c r="GV201" s="54" t="e">
        <f>IF(GU201="",NA(),SUM($GU$4:GU201))</f>
        <v>#N/A</v>
      </c>
      <c r="GW201" s="54" t="str">
        <f t="shared" si="415"/>
        <v/>
      </c>
      <c r="GX201" s="54" t="e">
        <f>IF(GW201="",NA(),SUM($GW$4:GW201))</f>
        <v>#N/A</v>
      </c>
      <c r="GY201" s="54">
        <f t="shared" si="416"/>
        <v>0.230049182928763</v>
      </c>
      <c r="GZ201" s="54">
        <f>IF(GY201="",NA(),SUM($GY$4:GY201))</f>
        <v>1.0938596506961575</v>
      </c>
      <c r="HA201" s="54" t="str">
        <f t="shared" si="417"/>
        <v/>
      </c>
      <c r="HB201" s="54" t="e">
        <f>IF(HA201="",NA(),SUM($HA$4:HA201))</f>
        <v>#N/A</v>
      </c>
      <c r="HC201" s="54" t="str">
        <f t="shared" si="418"/>
        <v/>
      </c>
      <c r="HD201" s="54" t="e">
        <f>IF(HC201="",NA(),SUM($HC$4:HC201))</f>
        <v>#N/A</v>
      </c>
      <c r="HE201" s="54" t="str">
        <f t="shared" si="419"/>
        <v/>
      </c>
      <c r="HF201" s="54" t="e">
        <f>IF(HE201="",NA(),SUM($HE$4:HE201))</f>
        <v>#N/A</v>
      </c>
      <c r="HG201" s="54" t="str">
        <f t="shared" si="420"/>
        <v/>
      </c>
      <c r="HH201" s="54" t="e">
        <f>IF(HG201="",NA(),SUM($HG$4:HG201))</f>
        <v>#N/A</v>
      </c>
      <c r="HI201" s="172">
        <f t="shared" si="433"/>
        <v>0.38473742662224386</v>
      </c>
      <c r="HJ201" s="172">
        <f>IF($J201="",#N/A,SUM(HI$4:$HI201))</f>
        <v>-6.3184740648989921</v>
      </c>
      <c r="HK201" s="54" t="str">
        <f t="shared" si="421"/>
        <v/>
      </c>
      <c r="HL201" s="54">
        <f>IF($J201="",#N/A,SUM($HK$4:HK201))</f>
        <v>-1.7688797361196436</v>
      </c>
      <c r="HM201" s="54" t="str">
        <f t="shared" si="422"/>
        <v/>
      </c>
      <c r="HN201" s="54">
        <f>IF($J201="",#N/A,SUM($HM$4:HM201))</f>
        <v>0.71812545963587882</v>
      </c>
      <c r="HO201" s="54" t="str">
        <f t="shared" si="423"/>
        <v/>
      </c>
      <c r="HP201" s="54">
        <f>IF($J201="",#N/A,SUM($HO$4:HO201))</f>
        <v>-0.14859521910082485</v>
      </c>
      <c r="HQ201" s="54" t="str">
        <f t="shared" si="424"/>
        <v/>
      </c>
      <c r="HR201" s="54">
        <f>IF($J201="",#N/A,SUM($HQ$4:HQ201))</f>
        <v>-13.495567554372498</v>
      </c>
      <c r="HS201" s="54" t="str">
        <f t="shared" si="425"/>
        <v/>
      </c>
      <c r="HT201" s="54">
        <f>IF($J201="",#N/A,SUM($HS$4:HS201))</f>
        <v>12.600845719340157</v>
      </c>
      <c r="HU201" s="65">
        <f t="shared" si="426"/>
        <v>0.61478660955100684</v>
      </c>
      <c r="HV201" s="65">
        <f>IF($J201="",#N/A,SUM(HU$4:$HU201))</f>
        <v>0.11932191271473336</v>
      </c>
    </row>
    <row r="202" spans="1:230" x14ac:dyDescent="0.25">
      <c r="A202" s="51" t="s">
        <v>1502</v>
      </c>
      <c r="B202" s="52" t="s">
        <v>4544</v>
      </c>
      <c r="C202" s="229">
        <f t="shared" si="327"/>
        <v>2</v>
      </c>
      <c r="D202" s="219" t="str">
        <f>_xlfn.XLOOKUP(A202,[1]SP500!$A$2:$A$502,[1]SP500!$D$2:$D$502,"N")</f>
        <v>Y</v>
      </c>
      <c r="E202" s="51" t="str">
        <f>IFERROR(_xlfn.XLOOKUP(A202,[1]SP500!$A$2:$A$655,[1]SP500!$B$2:$B$655),"")</f>
        <v>XLV</v>
      </c>
      <c r="F202" s="290">
        <v>45778</v>
      </c>
      <c r="G202" s="51" t="str">
        <f t="shared" si="328"/>
        <v>BMO</v>
      </c>
      <c r="H202" s="51" t="str">
        <f t="shared" si="329"/>
        <v>s</v>
      </c>
      <c r="I202" s="344">
        <v>121.08</v>
      </c>
      <c r="J202" s="124">
        <v>120.37</v>
      </c>
      <c r="K202" s="55">
        <f t="shared" si="330"/>
        <v>-5.8638916418896079E-3</v>
      </c>
      <c r="L202" s="67">
        <f t="shared" si="331"/>
        <v>6.3900000000001</v>
      </c>
      <c r="M202" s="57">
        <f t="shared" si="332"/>
        <v>0</v>
      </c>
      <c r="N202" s="102">
        <f t="shared" si="333"/>
        <v>6.3900000000001</v>
      </c>
      <c r="O202" s="57">
        <f>IF(N202="",#N/A,SUM($N$4:N202))</f>
        <v>335.04636410061369</v>
      </c>
      <c r="P202" s="65">
        <f t="shared" si="427"/>
        <v>9.7731527364829193E-2</v>
      </c>
      <c r="Q202" s="172">
        <f>IF($N202="",#N/A,SUM($P$4:P202))</f>
        <v>8.6295988355954858</v>
      </c>
      <c r="R202" s="279">
        <f t="shared" si="334"/>
        <v>5.3774606063168235</v>
      </c>
      <c r="S202" s="51" t="str">
        <f t="shared" si="335"/>
        <v>Dwn</v>
      </c>
      <c r="T202" s="51" t="s">
        <v>4462</v>
      </c>
      <c r="U202" s="56">
        <f t="shared" si="336"/>
        <v>121.08</v>
      </c>
      <c r="V202" s="56" t="s">
        <v>4458</v>
      </c>
      <c r="W202" s="142">
        <v>9</v>
      </c>
      <c r="X202" s="145">
        <f t="shared" si="337"/>
        <v>1089.72</v>
      </c>
      <c r="Y202" s="140">
        <f t="shared" si="338"/>
        <v>9</v>
      </c>
      <c r="Z202" s="123">
        <v>120.37</v>
      </c>
      <c r="AA202" s="102">
        <f t="shared" si="339"/>
        <v>6.3900000000001</v>
      </c>
      <c r="AB202" s="102">
        <f t="shared" si="340"/>
        <v>1.3499999999999091</v>
      </c>
      <c r="AC202" s="124">
        <v>120.93</v>
      </c>
      <c r="AD202" s="155">
        <f t="shared" si="341"/>
        <v>1.3499999999999091</v>
      </c>
      <c r="AE202" s="545">
        <f t="shared" si="342"/>
        <v>2.0647505781300226E-2</v>
      </c>
      <c r="AF202" s="57">
        <f>IF($AC202="",#N/A,SUM(AD$4:AD202))</f>
        <v>-76.110412002416183</v>
      </c>
      <c r="AG202" s="102">
        <f t="shared" si="343"/>
        <v>-5.040000000000191</v>
      </c>
      <c r="AH202" s="56" t="s">
        <v>2507</v>
      </c>
      <c r="AI202" s="65">
        <f t="shared" si="344"/>
        <v>9.7731527364829193E-2</v>
      </c>
      <c r="AJ202" s="350">
        <f>IF(AI202="",#N/A,SUM($AI$4:AI202))</f>
        <v>3.2521382292786623</v>
      </c>
      <c r="AK202" s="57">
        <f t="shared" si="345"/>
        <v>6.3900000000001</v>
      </c>
      <c r="AL202" s="349">
        <f>IF(AI202="",#N/A,IF(AH202="Skip",SUM($AK$4:AK202),SUM($AK$4:AK202)))</f>
        <v>-5.4424085071859736</v>
      </c>
      <c r="AM202" s="65">
        <f t="shared" si="428"/>
        <v>2.0647505781300226E-2</v>
      </c>
      <c r="AN202" s="209"/>
      <c r="AO202" s="65" t="str">
        <f t="shared" si="346"/>
        <v/>
      </c>
      <c r="AP202" s="65">
        <f>IF($AC202="",#N/A,SUM(AO$4:AO202))</f>
        <v>4.3454840048066785</v>
      </c>
      <c r="AQ202" s="65" t="str">
        <f t="shared" si="347"/>
        <v/>
      </c>
      <c r="AR202" s="65">
        <f>IF($AC202="",#N/A,SUM(AQ$4:AQ202))</f>
        <v>-2.6179859771653153</v>
      </c>
      <c r="AS202" s="65">
        <f t="shared" si="348"/>
        <v>2.0647505781300226E-2</v>
      </c>
      <c r="AT202" s="65">
        <f>IF($AC202="",#N/A,SUM(AS$4:AS202))</f>
        <v>-1.5875286091453329</v>
      </c>
      <c r="AU202" s="57" t="str">
        <f t="shared" si="429"/>
        <v/>
      </c>
      <c r="AV202" s="57">
        <f>IF($AC202="",#N/A,SUM(AU$4:AU202))</f>
        <v>155.69120645125099</v>
      </c>
      <c r="AW202" s="57" t="str">
        <f t="shared" si="430"/>
        <v/>
      </c>
      <c r="AX202" s="57">
        <f>IF($AC202="",#N/A,SUM(AW$4:AW202))</f>
        <v>-163.1400000000001</v>
      </c>
      <c r="AY202" s="57">
        <f t="shared" si="431"/>
        <v>1.3499999999999091</v>
      </c>
      <c r="AZ202" s="57">
        <f>IF($AC202="",#N/A,SUM(AY$4:AY202))</f>
        <v>-68.661618453667074</v>
      </c>
      <c r="BA202" s="57">
        <f>IF(AD202="",#N/A,SUM($AD$4:AD202))</f>
        <v>-76.110412002416183</v>
      </c>
      <c r="BC202" s="51" t="str">
        <f t="shared" si="349"/>
        <v/>
      </c>
      <c r="BD202" s="51" t="str">
        <f t="shared" si="350"/>
        <v/>
      </c>
      <c r="BE202" s="51" t="str">
        <f t="shared" si="351"/>
        <v/>
      </c>
      <c r="BF202" s="51" t="str">
        <f t="shared" si="352"/>
        <v>Short</v>
      </c>
      <c r="BG202" s="51">
        <f t="shared" si="353"/>
        <v>1</v>
      </c>
      <c r="BH202" s="51" t="str">
        <f t="shared" si="354"/>
        <v/>
      </c>
      <c r="BI202" s="51" t="str">
        <f t="shared" si="355"/>
        <v/>
      </c>
      <c r="BK202" s="65">
        <f t="shared" si="326"/>
        <v>0.19638326219397773</v>
      </c>
      <c r="BL202" s="65">
        <f t="shared" si="325"/>
        <v>0.16256852801158928</v>
      </c>
      <c r="BM202" s="65">
        <f>IFERROR(Q202/COUNTA($J$4:J202),#N/A)</f>
        <v>4.3364818269324049E-2</v>
      </c>
      <c r="BO202" s="489" t="e">
        <f>IF(J202="",#N/A,IF(S202="SW",(COUNTIFS(K$4:$K202,"&gt;0",S$4:$S202,"SW")/COUNTIF(S$4:$S202,"SW")),#N/A))</f>
        <v>#N/A</v>
      </c>
      <c r="BP202" s="489">
        <f>IF($J202="",#N/A,IF($S202="DWN",(COUNTIFS($K$4:$K202,"&lt;0",$S$4:$S202,"DWN")/COUNTIF($S$4:$S202,"DWN")),#N/A))</f>
        <v>0.56470588235294117</v>
      </c>
      <c r="BQ202" s="489" t="e">
        <f>IF($J202="",#N/A,IF($S202="UP",(COUNTIFS($K$4:$K202,"&gt;0",$S$4:$S202,"UP")/COUNTIF($S$4:$S202,"UP")),#N/A))</f>
        <v>#N/A</v>
      </c>
      <c r="BR202" s="489">
        <f>IF(J202="",#N/A,COUNTIF($K$4:K202,"&gt;0")/COUNT($J$4:J202))</f>
        <v>0.47236180904522612</v>
      </c>
      <c r="BS202" s="65" t="str">
        <f t="shared" si="356"/>
        <v/>
      </c>
      <c r="BT202" s="65" t="str">
        <f t="shared" si="357"/>
        <v/>
      </c>
      <c r="BU202" s="65">
        <f t="shared" si="358"/>
        <v>9.7731527364829193E-2</v>
      </c>
      <c r="BV202" s="65" t="str">
        <f t="shared" si="359"/>
        <v/>
      </c>
      <c r="BW202" s="128" t="str">
        <f t="shared" si="360"/>
        <v/>
      </c>
      <c r="BX202" s="128">
        <f>IF($J202="",#N/A,SUM($BW$4:BW202))</f>
        <v>-205.1650000000003</v>
      </c>
      <c r="BY202" s="131">
        <f t="shared" si="361"/>
        <v>6.3900000000001</v>
      </c>
      <c r="BZ202" s="131">
        <f>IF($J202="",#N/A,SUM($BY$4:BY202))</f>
        <v>359.03934038933448</v>
      </c>
      <c r="CA202" s="133" t="str">
        <f t="shared" si="362"/>
        <v/>
      </c>
      <c r="CB202" s="133">
        <f>IF($J202="",#N/A,SUM($CA$4:CA202))</f>
        <v>181.17202371127954</v>
      </c>
      <c r="CC202" s="194" t="str">
        <f t="shared" si="363"/>
        <v/>
      </c>
      <c r="CD202" s="194">
        <f>IF($J202="",#N/A,SUM($CC$4:CC202))</f>
        <v>-3.1875162177003693</v>
      </c>
      <c r="CE202" s="195">
        <f t="shared" si="364"/>
        <v>9.7731527364829193E-2</v>
      </c>
      <c r="CF202" s="195">
        <f>IF($J202="",#N/A,SUM($CE$4:CE202))</f>
        <v>6.5769092134568377</v>
      </c>
      <c r="CG202" s="196" t="str">
        <f t="shared" si="365"/>
        <v/>
      </c>
      <c r="CH202" s="196">
        <f>IF($J202="",#N/A,SUM($CG$4:CG202))</f>
        <v>5.2402058398390245</v>
      </c>
      <c r="CI202" s="200" t="str">
        <f t="shared" si="366"/>
        <v/>
      </c>
      <c r="CJ202" s="203">
        <f>IF($J202="",#N/A,SUM(CI$4:CI202))</f>
        <v>0</v>
      </c>
      <c r="CK202" s="204" t="str">
        <f t="shared" si="367"/>
        <v/>
      </c>
      <c r="CL202" s="204">
        <f>IF($J202="",#N/A,SUM(CK$4:CK202))</f>
        <v>1.9927003554442289</v>
      </c>
      <c r="CM202" s="205" t="str">
        <f t="shared" si="368"/>
        <v/>
      </c>
      <c r="CN202" s="205">
        <f>IF($J202="",#N/A,SUM(CM$4:CM202))</f>
        <v>5.6091171609382364</v>
      </c>
      <c r="CO202" s="205">
        <f>IF($J202="",#N/A,SUM(CM$4:CM202,CK$4:CK202,CI$4:CI202))</f>
        <v>7.6018175163824644</v>
      </c>
      <c r="CP202" s="200" t="str">
        <f t="shared" si="369"/>
        <v/>
      </c>
      <c r="CQ202" s="203">
        <f>IF($J202="",#N/A,SUM(CP$4:CP202))</f>
        <v>0</v>
      </c>
      <c r="CR202" s="204" t="str">
        <f t="shared" si="370"/>
        <v/>
      </c>
      <c r="CS202" s="204">
        <f>IF($J202="",#N/A,SUM(CR$4:CR202))</f>
        <v>4.2989225684455388</v>
      </c>
      <c r="CT202" s="205" t="str">
        <f t="shared" si="371"/>
        <v/>
      </c>
      <c r="CU202" s="205">
        <f>IF($J202="",#N/A,SUM(CT$4:CT202))</f>
        <v>-1.1331655471946371</v>
      </c>
      <c r="CV202" s="205">
        <f>IF($J202="",#N/A,SUM(CT$4:CT202,CR$4:CR202,CP$4:CP202))</f>
        <v>3.1657570212509012</v>
      </c>
      <c r="CW202" s="200" t="str">
        <f t="shared" si="372"/>
        <v/>
      </c>
      <c r="CX202" s="203">
        <f>IF($J202="",#N/A,SUM(CW$4:CW202))</f>
        <v>0</v>
      </c>
      <c r="CY202" s="204" t="str">
        <f t="shared" si="373"/>
        <v/>
      </c>
      <c r="CZ202" s="204">
        <f>IF($J202="",#N/A,SUM(CY$4:CY202))</f>
        <v>-1.0974100761627814</v>
      </c>
      <c r="DA202" s="205" t="str">
        <f t="shared" si="374"/>
        <v/>
      </c>
      <c r="DB202" s="205">
        <f>IF($J202="",#N/A,SUM(DA$4:DA202))</f>
        <v>-2.2679577914291</v>
      </c>
      <c r="DC202" s="205">
        <f>IF($J202="",#N/A,SUM(DA$4:DA202,CY$4:CY202,CW$4:CW202))</f>
        <v>-3.365367867591881</v>
      </c>
      <c r="DD202" s="200" t="str">
        <f t="shared" si="375"/>
        <v/>
      </c>
      <c r="DE202" s="203">
        <f>IF($J202="",#N/A,SUM(DD$4:DD202))</f>
        <v>0.14968716170674062</v>
      </c>
      <c r="DF202" s="204" t="str">
        <f t="shared" si="376"/>
        <v/>
      </c>
      <c r="DG202" s="204">
        <f>IF($J202="",#N/A,SUM(DF$4:DF202))</f>
        <v>1.2121188689979676</v>
      </c>
      <c r="DH202" s="205" t="str">
        <f t="shared" si="377"/>
        <v/>
      </c>
      <c r="DI202" s="205">
        <f>IF($J202="",#N/A,SUM(DH$4:DH202))</f>
        <v>-0.8404015973735236</v>
      </c>
      <c r="DJ202" s="205">
        <f>IF($J202="",#N/A,SUM(DH$4:DH202,DF$4:DF202,DD$4:DD202))</f>
        <v>0.52140443333118447</v>
      </c>
      <c r="DK202" s="200" t="str">
        <f t="shared" si="378"/>
        <v/>
      </c>
      <c r="DL202" s="203">
        <f>IF($J202="",#N/A,SUM(DK$4:DK202))</f>
        <v>-1.2097286851272664</v>
      </c>
      <c r="DM202" s="204" t="str">
        <f t="shared" si="379"/>
        <v/>
      </c>
      <c r="DN202" s="204">
        <f>IF($J202="",#N/A,SUM(DM$4:DM202))</f>
        <v>1.1910608267574658</v>
      </c>
      <c r="DO202" s="205" t="str">
        <f t="shared" si="380"/>
        <v/>
      </c>
      <c r="DP202" s="205">
        <f>IF($J202="",#N/A,SUM(DO$4:DO202))</f>
        <v>2.6571865116636566</v>
      </c>
      <c r="DQ202" s="205">
        <f>IF($J202="",#N/A,SUM(DO$4:DO202,DM$4:DM202,DK$4:DK202))</f>
        <v>2.6385186532938567</v>
      </c>
      <c r="DR202" s="200" t="str">
        <f t="shared" si="381"/>
        <v/>
      </c>
      <c r="DS202" s="203">
        <f>IF($J202="",#N/A,SUM(DR$4:DR202))</f>
        <v>-0.55950946427675097</v>
      </c>
      <c r="DT202" s="204" t="str">
        <f t="shared" si="382"/>
        <v/>
      </c>
      <c r="DU202" s="204">
        <f>IF($J202="",#N/A,SUM(DT$4:DT202))</f>
        <v>-3.5029740333397914</v>
      </c>
      <c r="DV202" s="205" t="str">
        <f t="shared" si="383"/>
        <v/>
      </c>
      <c r="DW202" s="205">
        <f>IF($J202="",#N/A,SUM(DV$4:DV202))</f>
        <v>-1.1099074520338865</v>
      </c>
      <c r="DX202" s="205">
        <f>IF($J202="",#N/A,SUM(DV$4:DV202,DT$4:DT202,DR$4:DR202))</f>
        <v>-5.1723909496504286</v>
      </c>
      <c r="DY202" s="200" t="str">
        <f t="shared" si="384"/>
        <v/>
      </c>
      <c r="DZ202" s="203">
        <f>IF($J202="",#N/A,SUM(DY$4:DY202))</f>
        <v>-1.63480022183437</v>
      </c>
      <c r="EA202" s="204" t="str">
        <f t="shared" si="385"/>
        <v/>
      </c>
      <c r="EB202" s="204">
        <f>IF($J202="",#N/A,SUM(EA$4:EA202))</f>
        <v>-0.40308697004515759</v>
      </c>
      <c r="EC202" s="205" t="str">
        <f t="shared" si="386"/>
        <v/>
      </c>
      <c r="ED202" s="205">
        <f>IF($J202="",#N/A,SUM(EC$4:EC202))</f>
        <v>2.5777281054470773</v>
      </c>
      <c r="EE202" s="205">
        <f>IF($J202="",#N/A,SUM(EC$4:EC202,EA$4:EA202,DY$4:DY202))</f>
        <v>0.53984091356754926</v>
      </c>
      <c r="EF202" s="200" t="str">
        <f t="shared" si="387"/>
        <v/>
      </c>
      <c r="EG202" s="203">
        <f>IF($J202="",#N/A,SUM(EF$4:EF202))</f>
        <v>0</v>
      </c>
      <c r="EH202" s="204">
        <f t="shared" si="388"/>
        <v>9.7731527364829193E-2</v>
      </c>
      <c r="EI202" s="204">
        <f>IF($J202="",#N/A,SUM(EH$4:EH202))</f>
        <v>-2.6267690330909645</v>
      </c>
      <c r="EJ202" s="205" t="str">
        <f t="shared" si="389"/>
        <v/>
      </c>
      <c r="EK202" s="205">
        <f>IF($J202="",#N/A,SUM(EJ$4:EJ202))</f>
        <v>2.804966392787259</v>
      </c>
      <c r="EL202" s="205">
        <f>IF($J202="",#N/A,SUM(EJ$4:EJ202,EH$4:EH202,EF$4:EF202))</f>
        <v>0.17819735969629541</v>
      </c>
      <c r="EM202" s="200" t="str">
        <f t="shared" si="390"/>
        <v/>
      </c>
      <c r="EN202" s="203">
        <f>IF($J202="",#N/A,SUM(EM$4:EM202))</f>
        <v>0</v>
      </c>
      <c r="EO202" s="204" t="str">
        <f t="shared" si="391"/>
        <v/>
      </c>
      <c r="EP202" s="204">
        <f>IF($J202="",#N/A,SUM(EO$4:EO202))</f>
        <v>2.4740065757793732</v>
      </c>
      <c r="EQ202" s="205" t="str">
        <f t="shared" si="392"/>
        <v/>
      </c>
      <c r="ER202" s="205">
        <f>IF($J202="",#N/A,SUM(EQ$4:EQ202))</f>
        <v>2.0221833315059508</v>
      </c>
      <c r="ES202" s="205">
        <f>IF($J202="",#N/A,SUM(EQ$4:EQ202,EO$4:EO202,EM$4:EM202))</f>
        <v>4.4961899072853235</v>
      </c>
      <c r="ET202" s="200" t="str">
        <f t="shared" si="393"/>
        <v/>
      </c>
      <c r="EU202" s="203">
        <f>IF($J202="",#N/A,SUM(ET$4:ET202))</f>
        <v>0</v>
      </c>
      <c r="EV202" s="204" t="str">
        <f t="shared" si="394"/>
        <v/>
      </c>
      <c r="EW202" s="204">
        <f>IF($J202="",#N/A,SUM(EV$4:EV202))</f>
        <v>1.9901851109977766</v>
      </c>
      <c r="EX202" s="205" t="str">
        <f t="shared" si="395"/>
        <v/>
      </c>
      <c r="EY202" s="205">
        <f>IF($J202="",#N/A,SUM(EX$4:EX202))</f>
        <v>-9.038537462898949E-2</v>
      </c>
      <c r="EZ202" s="205">
        <f>IF($J202="",#N/A,SUM(EX$4:EX202,EV$4:EV202,ET$4:ET202))</f>
        <v>1.8997997363687871</v>
      </c>
      <c r="FA202" s="200" t="str">
        <f t="shared" si="396"/>
        <v/>
      </c>
      <c r="FB202" s="203">
        <f>IF($J202="",#N/A,SUM(FA$4:FA202))</f>
        <v>0</v>
      </c>
      <c r="FC202" s="204" t="str">
        <f t="shared" si="397"/>
        <v/>
      </c>
      <c r="FD202" s="204">
        <f>IF($J202="",#N/A,SUM(FC$4:FC202))</f>
        <v>1.6839191319663924</v>
      </c>
      <c r="FE202" s="205" t="str">
        <f t="shared" si="398"/>
        <v/>
      </c>
      <c r="FF202" s="205">
        <f>IF($J202="",#N/A,SUM(FE$4:FE202))</f>
        <v>-0.28811149078748233</v>
      </c>
      <c r="FG202" s="205">
        <f>IF($J202="",#N/A,SUM(FE$4:FE202,FC$4:FC202,FA$4:FA202))</f>
        <v>1.3958076411789102</v>
      </c>
      <c r="FH202" s="200" t="str">
        <f t="shared" si="399"/>
        <v/>
      </c>
      <c r="FI202" s="203">
        <f>IF($J202="",#N/A,SUM(FH$4:FH202))</f>
        <v>0</v>
      </c>
      <c r="FJ202" s="204" t="str">
        <f t="shared" si="400"/>
        <v/>
      </c>
      <c r="FK202" s="204">
        <f>IF($J202="",#N/A,SUM(FJ$4:FJ202))</f>
        <v>0</v>
      </c>
      <c r="FL202" s="205" t="str">
        <f t="shared" si="401"/>
        <v/>
      </c>
      <c r="FM202" s="205">
        <f>IF($J202="",#N/A,SUM(FL$4:FL202))</f>
        <v>0</v>
      </c>
      <c r="FN202" s="205">
        <f>IF($J202="",#N/A,SUM(FL$4:FL202,FJ$4:FJ202,FH$4:FH202))</f>
        <v>0</v>
      </c>
      <c r="FO202" s="200" t="str">
        <f t="shared" si="402"/>
        <v/>
      </c>
      <c r="FP202" s="203">
        <f>IF($J202="",#N/A,SUM(FO$4:FO202))</f>
        <v>0</v>
      </c>
      <c r="FQ202" s="204" t="str">
        <f t="shared" si="403"/>
        <v/>
      </c>
      <c r="FR202" s="204">
        <f>IF($J202="",#N/A,SUM(FQ$4:FQ202))</f>
        <v>0</v>
      </c>
      <c r="FS202" s="205" t="str">
        <f t="shared" si="404"/>
        <v/>
      </c>
      <c r="FT202" s="205">
        <f>IF($J202="",#N/A,SUM(FS$4:FS202))</f>
        <v>0</v>
      </c>
      <c r="FU202" s="205">
        <f>IF($J202="",#N/A,SUM(FS$4:FS202,FQ$4:FQ202,FO$4:FO202))</f>
        <v>0</v>
      </c>
      <c r="FV202" s="200" t="str">
        <f t="shared" si="405"/>
        <v/>
      </c>
      <c r="FW202" s="203">
        <f>IF($J202="",#N/A,SUM(FV$4:FV202))</f>
        <v>6.6834991831277585E-2</v>
      </c>
      <c r="FX202" s="204" t="str">
        <f t="shared" si="406"/>
        <v/>
      </c>
      <c r="FY202" s="204">
        <f>IF($J202="",#N/A,SUM(FX$4:FX202))</f>
        <v>-0.16102012791805576</v>
      </c>
      <c r="FZ202" s="205" t="str">
        <f t="shared" si="407"/>
        <v/>
      </c>
      <c r="GA202" s="205">
        <f>IF($J202="",#N/A,SUM(FZ$4:FZ202))</f>
        <v>-1.7642101813332194</v>
      </c>
      <c r="GB202" s="205">
        <f>IF($J202="",#N/A,SUM(FZ$4:FZ202,FX$4:FX202,FV$4:FV202))</f>
        <v>-1.8583953174199976</v>
      </c>
      <c r="GC202" s="200" t="str">
        <f t="shared" si="408"/>
        <v/>
      </c>
      <c r="GD202" s="203">
        <f>IF($J202="",#N/A,SUM(GC$4:GC202))</f>
        <v>0</v>
      </c>
      <c r="GE202" s="204" t="str">
        <f t="shared" si="409"/>
        <v/>
      </c>
      <c r="GF202" s="204">
        <f>IF($J202="",#N/A,SUM(GE$4:GE202))</f>
        <v>0</v>
      </c>
      <c r="GG202" s="205" t="str">
        <f t="shared" si="410"/>
        <v/>
      </c>
      <c r="GH202" s="205">
        <f>IF($J202="",#N/A,SUM(GG$4:GG202))</f>
        <v>-2.9368362277223206</v>
      </c>
      <c r="GI202" s="205">
        <f>IF($J202="",#N/A,SUM(GG$4:GG202,GE$4:GE202,GC$4:GC202))</f>
        <v>-2.9368362277223206</v>
      </c>
      <c r="GJ202" s="200" t="str">
        <f t="shared" si="411"/>
        <v/>
      </c>
      <c r="GK202" s="203">
        <f>IF($J202="",#N/A,SUM(GJ$4:GJ202))</f>
        <v>0</v>
      </c>
      <c r="GL202" s="204" t="str">
        <f t="shared" si="412"/>
        <v/>
      </c>
      <c r="GM202" s="204">
        <f>IF($J202="",#N/A,SUM(GL$4:GL202))</f>
        <v>-0.80168930905701452</v>
      </c>
      <c r="GN202" s="205" t="str">
        <f t="shared" si="413"/>
        <v/>
      </c>
      <c r="GO202" s="205">
        <f>IF($J202="",#N/A,SUM(GN$4:GN202))</f>
        <v>0</v>
      </c>
      <c r="GP202" s="205">
        <f>IF($J202="",#N/A,SUM(GN$4:GN202,GL$4:GL202,GJ$4:GJ202))</f>
        <v>-0.80168930905701452</v>
      </c>
      <c r="GS202" s="54">
        <f t="shared" si="432"/>
        <v>9.7731527364829193E-2</v>
      </c>
      <c r="GT202" s="54">
        <f>IF(GS202="",NA(),SUM($GS$4:GS202))</f>
        <v>2.8803883052510777</v>
      </c>
      <c r="GU202" s="54" t="str">
        <f t="shared" si="414"/>
        <v/>
      </c>
      <c r="GV202" s="54" t="e">
        <f>IF(GU202="",NA(),SUM($GU$4:GU202))</f>
        <v>#N/A</v>
      </c>
      <c r="GW202" s="54" t="str">
        <f t="shared" si="415"/>
        <v/>
      </c>
      <c r="GX202" s="54" t="e">
        <f>IF(GW202="",NA(),SUM($GW$4:GW202))</f>
        <v>#N/A</v>
      </c>
      <c r="GY202" s="54">
        <f t="shared" si="416"/>
        <v>9.7731527364829193E-2</v>
      </c>
      <c r="GZ202" s="54">
        <f>IF(GY202="",NA(),SUM($GY$4:GY202))</f>
        <v>1.1915911780609867</v>
      </c>
      <c r="HA202" s="54" t="str">
        <f t="shared" si="417"/>
        <v/>
      </c>
      <c r="HB202" s="54" t="e">
        <f>IF(HA202="",NA(),SUM($HA$4:HA202))</f>
        <v>#N/A</v>
      </c>
      <c r="HC202" s="54" t="str">
        <f t="shared" si="418"/>
        <v/>
      </c>
      <c r="HD202" s="54" t="e">
        <f>IF(HC202="",NA(),SUM($HC$4:HC202))</f>
        <v>#N/A</v>
      </c>
      <c r="HE202" s="54" t="str">
        <f t="shared" si="419"/>
        <v/>
      </c>
      <c r="HF202" s="54" t="e">
        <f>IF(HE202="",NA(),SUM($HE$4:HE202))</f>
        <v>#N/A</v>
      </c>
      <c r="HG202" s="54" t="str">
        <f t="shared" si="420"/>
        <v/>
      </c>
      <c r="HH202" s="54" t="e">
        <f>IF(HG202="",NA(),SUM($HG$4:HG202))</f>
        <v>#N/A</v>
      </c>
      <c r="HI202" s="172">
        <f t="shared" si="433"/>
        <v>-7.7084021583528964E-2</v>
      </c>
      <c r="HJ202" s="172">
        <f>IF($J202="",#N/A,SUM(HI$4:$HI202))</f>
        <v>-6.395558086482521</v>
      </c>
      <c r="HK202" s="54" t="str">
        <f t="shared" si="421"/>
        <v/>
      </c>
      <c r="HL202" s="54">
        <f>IF($J202="",#N/A,SUM($HK$4:HK202))</f>
        <v>-1.7688797361196436</v>
      </c>
      <c r="HM202" s="54" t="str">
        <f t="shared" si="422"/>
        <v/>
      </c>
      <c r="HN202" s="54">
        <f>IF($J202="",#N/A,SUM($HM$4:HM202))</f>
        <v>0.71812545963587882</v>
      </c>
      <c r="HO202" s="54" t="str">
        <f t="shared" si="423"/>
        <v/>
      </c>
      <c r="HP202" s="54">
        <f>IF($J202="",#N/A,SUM($HO$4:HO202))</f>
        <v>-0.14859521910082485</v>
      </c>
      <c r="HQ202" s="54" t="str">
        <f t="shared" si="424"/>
        <v/>
      </c>
      <c r="HR202" s="54">
        <f>IF($J202="",#N/A,SUM($HQ$4:HQ202))</f>
        <v>-13.495567554372498</v>
      </c>
      <c r="HS202" s="54" t="str">
        <f t="shared" si="425"/>
        <v/>
      </c>
      <c r="HT202" s="54">
        <f>IF($J202="",#N/A,SUM($HS$4:HS202))</f>
        <v>12.600845719340157</v>
      </c>
      <c r="HU202" s="65">
        <f t="shared" si="426"/>
        <v>2.0647505781300226E-2</v>
      </c>
      <c r="HV202" s="65">
        <f>IF($J202="",#N/A,SUM(HU$4:$HU202))</f>
        <v>0.13996941849603359</v>
      </c>
    </row>
    <row r="203" spans="1:230" x14ac:dyDescent="0.25">
      <c r="A203" s="51" t="s">
        <v>542</v>
      </c>
      <c r="B203" s="52" t="s">
        <v>4544</v>
      </c>
      <c r="C203" s="229">
        <f t="shared" si="327"/>
        <v>2</v>
      </c>
      <c r="D203" s="219" t="str">
        <f>_xlfn.XLOOKUP(A203,[1]SP500!$A$2:$A$502,[1]SP500!$D$2:$D$502,"N")</f>
        <v>Y</v>
      </c>
      <c r="E203" s="51" t="str">
        <f>IFERROR(_xlfn.XLOOKUP(A203,[1]SP500!$A$2:$A$655,[1]SP500!$B$2:$B$655),"")</f>
        <v>XLB</v>
      </c>
      <c r="F203" s="290">
        <v>45778</v>
      </c>
      <c r="G203" s="51" t="str">
        <f t="shared" si="328"/>
        <v>BMO</v>
      </c>
      <c r="H203" s="51" t="str">
        <f t="shared" si="329"/>
        <v>s</v>
      </c>
      <c r="I203" s="344">
        <v>271.08999999999997</v>
      </c>
      <c r="J203" s="124">
        <v>258.62</v>
      </c>
      <c r="K203" s="55">
        <f t="shared" si="330"/>
        <v>-4.5999483566343174E-2</v>
      </c>
      <c r="L203" s="67">
        <f t="shared" si="331"/>
        <v>49.879999999999882</v>
      </c>
      <c r="M203" s="57">
        <f t="shared" si="332"/>
        <v>2.8800000000001091</v>
      </c>
      <c r="N203" s="102">
        <f t="shared" si="333"/>
        <v>49.879999999999882</v>
      </c>
      <c r="O203" s="57">
        <f>IF(N203="",#N/A,SUM($N$4:N203))</f>
        <v>384.92636410061357</v>
      </c>
      <c r="P203" s="65">
        <f t="shared" si="427"/>
        <v>0.76665805943905285</v>
      </c>
      <c r="Q203" s="172">
        <f>IF($N203="",#N/A,SUM($P$4:P203))</f>
        <v>9.3962568950345382</v>
      </c>
      <c r="R203" s="279">
        <f t="shared" si="334"/>
        <v>5.333194864312321</v>
      </c>
      <c r="S203" s="51" t="str">
        <f t="shared" si="335"/>
        <v>Dwn</v>
      </c>
      <c r="T203" s="51" t="s">
        <v>4462</v>
      </c>
      <c r="U203" s="56">
        <f t="shared" si="336"/>
        <v>271.08999999999997</v>
      </c>
      <c r="V203" s="56" t="s">
        <v>4458</v>
      </c>
      <c r="W203" s="142">
        <v>4</v>
      </c>
      <c r="X203" s="145">
        <f t="shared" si="337"/>
        <v>1084.3599999999999</v>
      </c>
      <c r="Y203" s="140">
        <f t="shared" si="338"/>
        <v>4</v>
      </c>
      <c r="Z203" s="123">
        <v>257.89999999999998</v>
      </c>
      <c r="AA203" s="102">
        <f t="shared" si="339"/>
        <v>52.759999999999991</v>
      </c>
      <c r="AB203" s="102">
        <f t="shared" si="340"/>
        <v>-4.2800000000002001</v>
      </c>
      <c r="AC203" s="124">
        <v>272.16000000000003</v>
      </c>
      <c r="AD203" s="155">
        <f t="shared" si="341"/>
        <v>-4.2800000000002001</v>
      </c>
      <c r="AE203" s="545">
        <f t="shared" si="342"/>
        <v>-6.578381103446887E-2</v>
      </c>
      <c r="AF203" s="57">
        <f>IF($AC203="",#N/A,SUM(AD$4:AD203))</f>
        <v>-80.390412002416383</v>
      </c>
      <c r="AG203" s="102">
        <f t="shared" si="343"/>
        <v>-54.160000000000082</v>
      </c>
      <c r="AH203" s="56" t="s">
        <v>2507</v>
      </c>
      <c r="AI203" s="65">
        <f t="shared" si="344"/>
        <v>0.81092380144355491</v>
      </c>
      <c r="AJ203" s="350">
        <f>IF(AI203="",#N/A,SUM($AI$4:AI203))</f>
        <v>4.0630620307222172</v>
      </c>
      <c r="AK203" s="57">
        <f t="shared" si="345"/>
        <v>52.759999999999991</v>
      </c>
      <c r="AL203" s="349">
        <f>IF(AI203="",#N/A,IF(AH203="Skip",SUM($AK$4:AK203),SUM($AK$4:AK203)))</f>
        <v>47.317591492814017</v>
      </c>
      <c r="AM203" s="65">
        <f t="shared" si="428"/>
        <v>-6.578381103446887E-2</v>
      </c>
      <c r="AN203" s="209"/>
      <c r="AO203" s="65" t="str">
        <f t="shared" si="346"/>
        <v/>
      </c>
      <c r="AP203" s="65">
        <f>IF($AC203="",#N/A,SUM(AO$4:AO203))</f>
        <v>4.3454840048066785</v>
      </c>
      <c r="AQ203" s="65" t="str">
        <f t="shared" si="347"/>
        <v/>
      </c>
      <c r="AR203" s="65">
        <f>IF($AC203="",#N/A,SUM(AQ$4:AQ203))</f>
        <v>-2.6179859771653153</v>
      </c>
      <c r="AS203" s="65">
        <f t="shared" si="348"/>
        <v>-6.578381103446887E-2</v>
      </c>
      <c r="AT203" s="65">
        <f>IF($AC203="",#N/A,SUM(AS$4:AS203))</f>
        <v>-1.6533124201798017</v>
      </c>
      <c r="AU203" s="57" t="str">
        <f t="shared" si="429"/>
        <v/>
      </c>
      <c r="AV203" s="57">
        <f>IF($AC203="",#N/A,SUM(AU$4:AU203))</f>
        <v>155.69120645125099</v>
      </c>
      <c r="AW203" s="57" t="str">
        <f t="shared" si="430"/>
        <v/>
      </c>
      <c r="AX203" s="57">
        <f>IF($AC203="",#N/A,SUM(AW$4:AW203))</f>
        <v>-163.1400000000001</v>
      </c>
      <c r="AY203" s="57">
        <f t="shared" si="431"/>
        <v>-4.2800000000002001</v>
      </c>
      <c r="AZ203" s="57">
        <f>IF($AC203="",#N/A,SUM(AY$4:AY203))</f>
        <v>-72.941618453667274</v>
      </c>
      <c r="BA203" s="57">
        <f>IF(AD203="",#N/A,SUM($AD$4:AD203))</f>
        <v>-80.390412002416383</v>
      </c>
      <c r="BC203" s="51" t="str">
        <f t="shared" si="349"/>
        <v/>
      </c>
      <c r="BD203" s="51" t="str">
        <f t="shared" si="350"/>
        <v/>
      </c>
      <c r="BE203" s="51" t="str">
        <f t="shared" si="351"/>
        <v/>
      </c>
      <c r="BF203" s="51" t="str">
        <f t="shared" si="352"/>
        <v>Short</v>
      </c>
      <c r="BG203" s="51">
        <f t="shared" si="353"/>
        <v>1</v>
      </c>
      <c r="BH203" s="51" t="str">
        <f t="shared" si="354"/>
        <v/>
      </c>
      <c r="BI203" s="51" t="str">
        <f t="shared" si="355"/>
        <v/>
      </c>
      <c r="BK203" s="65">
        <f t="shared" si="326"/>
        <v>0.21651464732374776</v>
      </c>
      <c r="BL203" s="65">
        <f t="shared" si="325"/>
        <v>0.13276832202807262</v>
      </c>
      <c r="BM203" s="65">
        <f>IFERROR(Q203/COUNTA($J$4:J203),#N/A)</f>
        <v>4.6981284475172691E-2</v>
      </c>
      <c r="BO203" s="489" t="e">
        <f>IF(J203="",#N/A,IF(S203="SW",(COUNTIFS(K$4:$K203,"&gt;0",S$4:$S203,"SW")/COUNTIF(S$4:$S203,"SW")),#N/A))</f>
        <v>#N/A</v>
      </c>
      <c r="BP203" s="489">
        <f>IF($J203="",#N/A,IF($S203="DWN",(COUNTIFS($K$4:$K203,"&lt;0",$S$4:$S203,"DWN")/COUNTIF($S$4:$S203,"DWN")),#N/A))</f>
        <v>0.56976744186046513</v>
      </c>
      <c r="BQ203" s="489" t="e">
        <f>IF($J203="",#N/A,IF($S203="UP",(COUNTIFS($K$4:$K203,"&gt;0",$S$4:$S203,"UP")/COUNTIF($S$4:$S203,"UP")),#N/A))</f>
        <v>#N/A</v>
      </c>
      <c r="BR203" s="489">
        <f>IF(J203="",#N/A,COUNTIF($K$4:K203,"&gt;0")/COUNT($J$4:J203))</f>
        <v>0.47</v>
      </c>
      <c r="BS203" s="65" t="str">
        <f t="shared" si="356"/>
        <v/>
      </c>
      <c r="BT203" s="65" t="str">
        <f t="shared" si="357"/>
        <v/>
      </c>
      <c r="BU203" s="65">
        <f t="shared" si="358"/>
        <v>0.76665805943905285</v>
      </c>
      <c r="BV203" s="65" t="str">
        <f t="shared" si="359"/>
        <v/>
      </c>
      <c r="BW203" s="128" t="str">
        <f t="shared" si="360"/>
        <v/>
      </c>
      <c r="BX203" s="128">
        <f>IF($J203="",#N/A,SUM($BW$4:BW203))</f>
        <v>-205.1650000000003</v>
      </c>
      <c r="BY203" s="131">
        <f t="shared" si="361"/>
        <v>49.879999999999882</v>
      </c>
      <c r="BZ203" s="131">
        <f>IF($J203="",#N/A,SUM($BY$4:BY203))</f>
        <v>408.91934038933437</v>
      </c>
      <c r="CA203" s="133" t="str">
        <f t="shared" si="362"/>
        <v/>
      </c>
      <c r="CB203" s="133">
        <f>IF($J203="",#N/A,SUM($CA$4:CA203))</f>
        <v>181.17202371127954</v>
      </c>
      <c r="CC203" s="194" t="str">
        <f t="shared" si="363"/>
        <v/>
      </c>
      <c r="CD203" s="194">
        <f>IF($J203="",#N/A,SUM($CC$4:CC203))</f>
        <v>-3.1875162177003693</v>
      </c>
      <c r="CE203" s="195">
        <f t="shared" si="364"/>
        <v>0.76665805943905285</v>
      </c>
      <c r="CF203" s="195">
        <f>IF($J203="",#N/A,SUM($CE$4:CE203))</f>
        <v>7.343567272895891</v>
      </c>
      <c r="CG203" s="196" t="str">
        <f t="shared" si="365"/>
        <v/>
      </c>
      <c r="CH203" s="196">
        <f>IF($J203="",#N/A,SUM($CG$4:CG203))</f>
        <v>5.2402058398390245</v>
      </c>
      <c r="CI203" s="200" t="str">
        <f t="shared" si="366"/>
        <v/>
      </c>
      <c r="CJ203" s="203">
        <f>IF($J203="",#N/A,SUM(CI$4:CI203))</f>
        <v>0</v>
      </c>
      <c r="CK203" s="204" t="str">
        <f t="shared" si="367"/>
        <v/>
      </c>
      <c r="CL203" s="204">
        <f>IF($J203="",#N/A,SUM(CK$4:CK203))</f>
        <v>1.9927003554442289</v>
      </c>
      <c r="CM203" s="205" t="str">
        <f t="shared" si="368"/>
        <v/>
      </c>
      <c r="CN203" s="205">
        <f>IF($J203="",#N/A,SUM(CM$4:CM203))</f>
        <v>5.6091171609382364</v>
      </c>
      <c r="CO203" s="205">
        <f>IF($J203="",#N/A,SUM(CM$4:CM203,CK$4:CK203,CI$4:CI203))</f>
        <v>7.6018175163824644</v>
      </c>
      <c r="CP203" s="200" t="str">
        <f t="shared" si="369"/>
        <v/>
      </c>
      <c r="CQ203" s="203">
        <f>IF($J203="",#N/A,SUM(CP$4:CP203))</f>
        <v>0</v>
      </c>
      <c r="CR203" s="204" t="str">
        <f t="shared" si="370"/>
        <v/>
      </c>
      <c r="CS203" s="204">
        <f>IF($J203="",#N/A,SUM(CR$4:CR203))</f>
        <v>4.2989225684455388</v>
      </c>
      <c r="CT203" s="205" t="str">
        <f t="shared" si="371"/>
        <v/>
      </c>
      <c r="CU203" s="205">
        <f>IF($J203="",#N/A,SUM(CT$4:CT203))</f>
        <v>-1.1331655471946371</v>
      </c>
      <c r="CV203" s="205">
        <f>IF($J203="",#N/A,SUM(CT$4:CT203,CR$4:CR203,CP$4:CP203))</f>
        <v>3.1657570212509012</v>
      </c>
      <c r="CW203" s="200" t="str">
        <f t="shared" si="372"/>
        <v/>
      </c>
      <c r="CX203" s="203">
        <f>IF($J203="",#N/A,SUM(CW$4:CW203))</f>
        <v>0</v>
      </c>
      <c r="CY203" s="204" t="str">
        <f t="shared" si="373"/>
        <v/>
      </c>
      <c r="CZ203" s="204">
        <f>IF($J203="",#N/A,SUM(CY$4:CY203))</f>
        <v>-1.0974100761627814</v>
      </c>
      <c r="DA203" s="205" t="str">
        <f t="shared" si="374"/>
        <v/>
      </c>
      <c r="DB203" s="205">
        <f>IF($J203="",#N/A,SUM(DA$4:DA203))</f>
        <v>-2.2679577914291</v>
      </c>
      <c r="DC203" s="205">
        <f>IF($J203="",#N/A,SUM(DA$4:DA203,CY$4:CY203,CW$4:CW203))</f>
        <v>-3.365367867591881</v>
      </c>
      <c r="DD203" s="200" t="str">
        <f t="shared" si="375"/>
        <v/>
      </c>
      <c r="DE203" s="203">
        <f>IF($J203="",#N/A,SUM(DD$4:DD203))</f>
        <v>0.14968716170674062</v>
      </c>
      <c r="DF203" s="204" t="str">
        <f t="shared" si="376"/>
        <v/>
      </c>
      <c r="DG203" s="204">
        <f>IF($J203="",#N/A,SUM(DF$4:DF203))</f>
        <v>1.2121188689979676</v>
      </c>
      <c r="DH203" s="205" t="str">
        <f t="shared" si="377"/>
        <v/>
      </c>
      <c r="DI203" s="205">
        <f>IF($J203="",#N/A,SUM(DH$4:DH203))</f>
        <v>-0.8404015973735236</v>
      </c>
      <c r="DJ203" s="205">
        <f>IF($J203="",#N/A,SUM(DH$4:DH203,DF$4:DF203,DD$4:DD203))</f>
        <v>0.52140443333118447</v>
      </c>
      <c r="DK203" s="200" t="str">
        <f t="shared" si="378"/>
        <v/>
      </c>
      <c r="DL203" s="203">
        <f>IF($J203="",#N/A,SUM(DK$4:DK203))</f>
        <v>-1.2097286851272664</v>
      </c>
      <c r="DM203" s="204" t="str">
        <f t="shared" si="379"/>
        <v/>
      </c>
      <c r="DN203" s="204">
        <f>IF($J203="",#N/A,SUM(DM$4:DM203))</f>
        <v>1.1910608267574658</v>
      </c>
      <c r="DO203" s="205" t="str">
        <f t="shared" si="380"/>
        <v/>
      </c>
      <c r="DP203" s="205">
        <f>IF($J203="",#N/A,SUM(DO$4:DO203))</f>
        <v>2.6571865116636566</v>
      </c>
      <c r="DQ203" s="205">
        <f>IF($J203="",#N/A,SUM(DO$4:DO203,DM$4:DM203,DK$4:DK203))</f>
        <v>2.6385186532938567</v>
      </c>
      <c r="DR203" s="200" t="str">
        <f t="shared" si="381"/>
        <v/>
      </c>
      <c r="DS203" s="203">
        <f>IF($J203="",#N/A,SUM(DR$4:DR203))</f>
        <v>-0.55950946427675097</v>
      </c>
      <c r="DT203" s="204" t="str">
        <f t="shared" si="382"/>
        <v/>
      </c>
      <c r="DU203" s="204">
        <f>IF($J203="",#N/A,SUM(DT$4:DT203))</f>
        <v>-3.5029740333397914</v>
      </c>
      <c r="DV203" s="205" t="str">
        <f t="shared" si="383"/>
        <v/>
      </c>
      <c r="DW203" s="205">
        <f>IF($J203="",#N/A,SUM(DV$4:DV203))</f>
        <v>-1.1099074520338865</v>
      </c>
      <c r="DX203" s="205">
        <f>IF($J203="",#N/A,SUM(DV$4:DV203,DT$4:DT203,DR$4:DR203))</f>
        <v>-5.1723909496504286</v>
      </c>
      <c r="DY203" s="200" t="str">
        <f t="shared" si="384"/>
        <v/>
      </c>
      <c r="DZ203" s="203">
        <f>IF($J203="",#N/A,SUM(DY$4:DY203))</f>
        <v>-1.63480022183437</v>
      </c>
      <c r="EA203" s="204" t="str">
        <f t="shared" si="385"/>
        <v/>
      </c>
      <c r="EB203" s="204">
        <f>IF($J203="",#N/A,SUM(EA$4:EA203))</f>
        <v>-0.40308697004515759</v>
      </c>
      <c r="EC203" s="205" t="str">
        <f t="shared" si="386"/>
        <v/>
      </c>
      <c r="ED203" s="205">
        <f>IF($J203="",#N/A,SUM(EC$4:EC203))</f>
        <v>2.5777281054470773</v>
      </c>
      <c r="EE203" s="205">
        <f>IF($J203="",#N/A,SUM(EC$4:EC203,EA$4:EA203,DY$4:DY203))</f>
        <v>0.53984091356754926</v>
      </c>
      <c r="EF203" s="200" t="str">
        <f t="shared" si="387"/>
        <v/>
      </c>
      <c r="EG203" s="203">
        <f>IF($J203="",#N/A,SUM(EF$4:EF203))</f>
        <v>0</v>
      </c>
      <c r="EH203" s="204" t="str">
        <f t="shared" si="388"/>
        <v/>
      </c>
      <c r="EI203" s="204">
        <f>IF($J203="",#N/A,SUM(EH$4:EH203))</f>
        <v>-2.6267690330909645</v>
      </c>
      <c r="EJ203" s="205" t="str">
        <f t="shared" si="389"/>
        <v/>
      </c>
      <c r="EK203" s="205">
        <f>IF($J203="",#N/A,SUM(EJ$4:EJ203))</f>
        <v>2.804966392787259</v>
      </c>
      <c r="EL203" s="205">
        <f>IF($J203="",#N/A,SUM(EJ$4:EJ203,EH$4:EH203,EF$4:EF203))</f>
        <v>0.17819735969629541</v>
      </c>
      <c r="EM203" s="200" t="str">
        <f t="shared" si="390"/>
        <v/>
      </c>
      <c r="EN203" s="203">
        <f>IF($J203="",#N/A,SUM(EM$4:EM203))</f>
        <v>0</v>
      </c>
      <c r="EO203" s="204">
        <f t="shared" si="391"/>
        <v>0.76665805943905285</v>
      </c>
      <c r="EP203" s="204">
        <f>IF($J203="",#N/A,SUM(EO$4:EO203))</f>
        <v>3.2406646352184261</v>
      </c>
      <c r="EQ203" s="205" t="str">
        <f t="shared" si="392"/>
        <v/>
      </c>
      <c r="ER203" s="205">
        <f>IF($J203="",#N/A,SUM(EQ$4:EQ203))</f>
        <v>2.0221833315059508</v>
      </c>
      <c r="ES203" s="205">
        <f>IF($J203="",#N/A,SUM(EQ$4:EQ203,EO$4:EO203,EM$4:EM203))</f>
        <v>5.2628479667243759</v>
      </c>
      <c r="ET203" s="200" t="str">
        <f t="shared" si="393"/>
        <v/>
      </c>
      <c r="EU203" s="203">
        <f>IF($J203="",#N/A,SUM(ET$4:ET203))</f>
        <v>0</v>
      </c>
      <c r="EV203" s="204" t="str">
        <f t="shared" si="394"/>
        <v/>
      </c>
      <c r="EW203" s="204">
        <f>IF($J203="",#N/A,SUM(EV$4:EV203))</f>
        <v>1.9901851109977766</v>
      </c>
      <c r="EX203" s="205" t="str">
        <f t="shared" si="395"/>
        <v/>
      </c>
      <c r="EY203" s="205">
        <f>IF($J203="",#N/A,SUM(EX$4:EX203))</f>
        <v>-9.038537462898949E-2</v>
      </c>
      <c r="EZ203" s="205">
        <f>IF($J203="",#N/A,SUM(EX$4:EX203,EV$4:EV203,ET$4:ET203))</f>
        <v>1.8997997363687871</v>
      </c>
      <c r="FA203" s="200" t="str">
        <f t="shared" si="396"/>
        <v/>
      </c>
      <c r="FB203" s="203">
        <f>IF($J203="",#N/A,SUM(FA$4:FA203))</f>
        <v>0</v>
      </c>
      <c r="FC203" s="204" t="str">
        <f t="shared" si="397"/>
        <v/>
      </c>
      <c r="FD203" s="204">
        <f>IF($J203="",#N/A,SUM(FC$4:FC203))</f>
        <v>1.6839191319663924</v>
      </c>
      <c r="FE203" s="205" t="str">
        <f t="shared" si="398"/>
        <v/>
      </c>
      <c r="FF203" s="205">
        <f>IF($J203="",#N/A,SUM(FE$4:FE203))</f>
        <v>-0.28811149078748233</v>
      </c>
      <c r="FG203" s="205">
        <f>IF($J203="",#N/A,SUM(FE$4:FE203,FC$4:FC203,FA$4:FA203))</f>
        <v>1.3958076411789102</v>
      </c>
      <c r="FH203" s="200" t="str">
        <f t="shared" si="399"/>
        <v/>
      </c>
      <c r="FI203" s="203">
        <f>IF($J203="",#N/A,SUM(FH$4:FH203))</f>
        <v>0</v>
      </c>
      <c r="FJ203" s="204" t="str">
        <f t="shared" si="400"/>
        <v/>
      </c>
      <c r="FK203" s="204">
        <f>IF($J203="",#N/A,SUM(FJ$4:FJ203))</f>
        <v>0</v>
      </c>
      <c r="FL203" s="205" t="str">
        <f t="shared" si="401"/>
        <v/>
      </c>
      <c r="FM203" s="205">
        <f>IF($J203="",#N/A,SUM(FL$4:FL203))</f>
        <v>0</v>
      </c>
      <c r="FN203" s="205">
        <f>IF($J203="",#N/A,SUM(FL$4:FL203,FJ$4:FJ203,FH$4:FH203))</f>
        <v>0</v>
      </c>
      <c r="FO203" s="200" t="str">
        <f t="shared" si="402"/>
        <v/>
      </c>
      <c r="FP203" s="203">
        <f>IF($J203="",#N/A,SUM(FO$4:FO203))</f>
        <v>0</v>
      </c>
      <c r="FQ203" s="204" t="str">
        <f t="shared" si="403"/>
        <v/>
      </c>
      <c r="FR203" s="204">
        <f>IF($J203="",#N/A,SUM(FQ$4:FQ203))</f>
        <v>0</v>
      </c>
      <c r="FS203" s="205" t="str">
        <f t="shared" si="404"/>
        <v/>
      </c>
      <c r="FT203" s="205">
        <f>IF($J203="",#N/A,SUM(FS$4:FS203))</f>
        <v>0</v>
      </c>
      <c r="FU203" s="205">
        <f>IF($J203="",#N/A,SUM(FS$4:FS203,FQ$4:FQ203,FO$4:FO203))</f>
        <v>0</v>
      </c>
      <c r="FV203" s="200" t="str">
        <f t="shared" si="405"/>
        <v/>
      </c>
      <c r="FW203" s="203">
        <f>IF($J203="",#N/A,SUM(FV$4:FV203))</f>
        <v>6.6834991831277585E-2</v>
      </c>
      <c r="FX203" s="204" t="str">
        <f t="shared" si="406"/>
        <v/>
      </c>
      <c r="FY203" s="204">
        <f>IF($J203="",#N/A,SUM(FX$4:FX203))</f>
        <v>-0.16102012791805576</v>
      </c>
      <c r="FZ203" s="205" t="str">
        <f t="shared" si="407"/>
        <v/>
      </c>
      <c r="GA203" s="205">
        <f>IF($J203="",#N/A,SUM(FZ$4:FZ203))</f>
        <v>-1.7642101813332194</v>
      </c>
      <c r="GB203" s="205">
        <f>IF($J203="",#N/A,SUM(FZ$4:FZ203,FX$4:FX203,FV$4:FV203))</f>
        <v>-1.8583953174199976</v>
      </c>
      <c r="GC203" s="200" t="str">
        <f t="shared" si="408"/>
        <v/>
      </c>
      <c r="GD203" s="203">
        <f>IF($J203="",#N/A,SUM(GC$4:GC203))</f>
        <v>0</v>
      </c>
      <c r="GE203" s="204" t="str">
        <f t="shared" si="409"/>
        <v/>
      </c>
      <c r="GF203" s="204">
        <f>IF($J203="",#N/A,SUM(GE$4:GE203))</f>
        <v>0</v>
      </c>
      <c r="GG203" s="205" t="str">
        <f t="shared" si="410"/>
        <v/>
      </c>
      <c r="GH203" s="205">
        <f>IF($J203="",#N/A,SUM(GG$4:GG203))</f>
        <v>-2.9368362277223206</v>
      </c>
      <c r="GI203" s="205">
        <f>IF($J203="",#N/A,SUM(GG$4:GG203,GE$4:GE203,GC$4:GC203))</f>
        <v>-2.9368362277223206</v>
      </c>
      <c r="GJ203" s="200" t="str">
        <f t="shared" si="411"/>
        <v/>
      </c>
      <c r="GK203" s="203">
        <f>IF($J203="",#N/A,SUM(GJ$4:GJ203))</f>
        <v>0</v>
      </c>
      <c r="GL203" s="204" t="str">
        <f t="shared" si="412"/>
        <v/>
      </c>
      <c r="GM203" s="204">
        <f>IF($J203="",#N/A,SUM(GL$4:GL203))</f>
        <v>-0.80168930905701452</v>
      </c>
      <c r="GN203" s="205" t="str">
        <f t="shared" si="413"/>
        <v/>
      </c>
      <c r="GO203" s="205">
        <f>IF($J203="",#N/A,SUM(GN$4:GN203))</f>
        <v>0</v>
      </c>
      <c r="GP203" s="205">
        <f>IF($J203="",#N/A,SUM(GN$4:GN203,GL$4:GL203,GJ$4:GJ203))</f>
        <v>-0.80168930905701452</v>
      </c>
      <c r="GS203" s="54">
        <f t="shared" si="432"/>
        <v>0.76665805943905285</v>
      </c>
      <c r="GT203" s="54">
        <f>IF(GS203="",NA(),SUM($GS$4:GS203))</f>
        <v>3.6470463646901305</v>
      </c>
      <c r="GU203" s="54" t="str">
        <f t="shared" si="414"/>
        <v/>
      </c>
      <c r="GV203" s="54" t="e">
        <f>IF(GU203="",NA(),SUM($GU$4:GU203))</f>
        <v>#N/A</v>
      </c>
      <c r="GW203" s="54" t="str">
        <f t="shared" si="415"/>
        <v/>
      </c>
      <c r="GX203" s="54" t="e">
        <f>IF(GW203="",NA(),SUM($GW$4:GW203))</f>
        <v>#N/A</v>
      </c>
      <c r="GY203" s="54">
        <f t="shared" si="416"/>
        <v>0.76665805943905285</v>
      </c>
      <c r="GZ203" s="54">
        <f>IF(GY203="",NA(),SUM($GY$4:GY203))</f>
        <v>1.9582492375000395</v>
      </c>
      <c r="HA203" s="54" t="str">
        <f t="shared" si="417"/>
        <v/>
      </c>
      <c r="HB203" s="54" t="e">
        <f>IF(HA203="",NA(),SUM($HA$4:HA203))</f>
        <v>#N/A</v>
      </c>
      <c r="HC203" s="54" t="str">
        <f t="shared" si="418"/>
        <v/>
      </c>
      <c r="HD203" s="54" t="e">
        <f>IF(HC203="",NA(),SUM($HC$4:HC203))</f>
        <v>#N/A</v>
      </c>
      <c r="HE203" s="54" t="str">
        <f t="shared" si="419"/>
        <v/>
      </c>
      <c r="HF203" s="54" t="e">
        <f>IF(HE203="",NA(),SUM($HE$4:HE203))</f>
        <v>#N/A</v>
      </c>
      <c r="HG203" s="54" t="str">
        <f t="shared" si="420"/>
        <v/>
      </c>
      <c r="HH203" s="54" t="e">
        <f>IF(HG203="",NA(),SUM($HG$4:HG203))</f>
        <v>#N/A</v>
      </c>
      <c r="HI203" s="172">
        <f t="shared" si="433"/>
        <v>-0.83244187047352169</v>
      </c>
      <c r="HJ203" s="172">
        <f>IF($J203="",#N/A,SUM(HI$4:$HI203))</f>
        <v>-7.2279999569560429</v>
      </c>
      <c r="HK203" s="54" t="str">
        <f t="shared" si="421"/>
        <v/>
      </c>
      <c r="HL203" s="54">
        <f>IF($J203="",#N/A,SUM($HK$4:HK203))</f>
        <v>-1.7688797361196436</v>
      </c>
      <c r="HM203" s="54" t="str">
        <f t="shared" si="422"/>
        <v/>
      </c>
      <c r="HN203" s="54">
        <f>IF($J203="",#N/A,SUM($HM$4:HM203))</f>
        <v>0.71812545963587882</v>
      </c>
      <c r="HO203" s="54" t="str">
        <f t="shared" si="423"/>
        <v/>
      </c>
      <c r="HP203" s="54">
        <f>IF($J203="",#N/A,SUM($HO$4:HO203))</f>
        <v>-0.14859521910082485</v>
      </c>
      <c r="HQ203" s="54" t="str">
        <f t="shared" si="424"/>
        <v/>
      </c>
      <c r="HR203" s="54">
        <f>IF($J203="",#N/A,SUM($HQ$4:HQ203))</f>
        <v>-13.495567554372498</v>
      </c>
      <c r="HS203" s="54" t="str">
        <f t="shared" si="425"/>
        <v/>
      </c>
      <c r="HT203" s="54">
        <f>IF($J203="",#N/A,SUM($HS$4:HS203))</f>
        <v>12.600845719340157</v>
      </c>
      <c r="HU203" s="65">
        <f t="shared" si="426"/>
        <v>-6.578381103446887E-2</v>
      </c>
      <c r="HV203" s="65">
        <f>IF($J203="",#N/A,SUM(HU$4:$HU203))</f>
        <v>7.4185607461564718E-2</v>
      </c>
    </row>
    <row r="204" spans="1:230" x14ac:dyDescent="0.25">
      <c r="A204" s="51" t="s">
        <v>1292</v>
      </c>
      <c r="B204" s="52" t="s">
        <v>4544</v>
      </c>
      <c r="C204" s="229">
        <f t="shared" si="327"/>
        <v>1</v>
      </c>
      <c r="D204" s="219" t="str">
        <f>_xlfn.XLOOKUP(A204,[1]SP500!$A$2:$A$502,[1]SP500!$D$2:$D$502,"N")</f>
        <v>Y</v>
      </c>
      <c r="E204" s="51" t="str">
        <f>IFERROR(_xlfn.XLOOKUP(A204,[1]SP500!$A$2:$A$655,[1]SP500!$B$2:$B$655),"")</f>
        <v>XLY</v>
      </c>
      <c r="F204" s="290">
        <v>45778</v>
      </c>
      <c r="G204" s="51" t="str">
        <f t="shared" si="328"/>
        <v>BMO</v>
      </c>
      <c r="H204" s="51" t="str">
        <f t="shared" si="329"/>
        <v>s</v>
      </c>
      <c r="I204" s="344">
        <v>319.64999999999998</v>
      </c>
      <c r="J204" s="124">
        <v>313.15499999999997</v>
      </c>
      <c r="K204" s="55">
        <f t="shared" si="330"/>
        <v>-2.0319099014547176E-2</v>
      </c>
      <c r="L204" s="67">
        <f t="shared" si="331"/>
        <v>-19.485000000000014</v>
      </c>
      <c r="M204" s="57">
        <f t="shared" si="332"/>
        <v>1.9650000000001455</v>
      </c>
      <c r="N204" s="102">
        <f t="shared" si="333"/>
        <v>-19.485000000000014</v>
      </c>
      <c r="O204" s="57">
        <f>IF(N204="",#N/A,SUM($N$4:N204))</f>
        <v>365.44136410061355</v>
      </c>
      <c r="P204" s="65">
        <f t="shared" si="427"/>
        <v>-0.33865165024245297</v>
      </c>
      <c r="Q204" s="172">
        <f>IF($N204="",#N/A,SUM($P$4:P204))</f>
        <v>9.0576052447920858</v>
      </c>
      <c r="R204" s="279">
        <f t="shared" si="334"/>
        <v>5.2990429272978758</v>
      </c>
      <c r="S204" s="51" t="str">
        <f t="shared" si="335"/>
        <v>Up</v>
      </c>
      <c r="T204" s="51" t="s">
        <v>4461</v>
      </c>
      <c r="U204" s="56">
        <f t="shared" si="336"/>
        <v>319.64999999999998</v>
      </c>
      <c r="V204" s="56" t="s">
        <v>4460</v>
      </c>
      <c r="W204" s="142">
        <v>3</v>
      </c>
      <c r="X204" s="145">
        <f t="shared" si="337"/>
        <v>958.94999999999993</v>
      </c>
      <c r="Y204" s="140">
        <f t="shared" si="338"/>
        <v>3</v>
      </c>
      <c r="Z204" s="123">
        <v>313.81</v>
      </c>
      <c r="AA204" s="102">
        <f t="shared" si="339"/>
        <v>-17.519999999999868</v>
      </c>
      <c r="AB204" s="102">
        <f t="shared" si="340"/>
        <v>-18.029999999999973</v>
      </c>
      <c r="AC204" s="124">
        <v>313.64</v>
      </c>
      <c r="AD204" s="155">
        <f t="shared" si="341"/>
        <v>-18.029999999999973</v>
      </c>
      <c r="AE204" s="545">
        <f t="shared" si="342"/>
        <v>-0.31336357474320831</v>
      </c>
      <c r="AF204" s="57">
        <f>IF($AC204="",#N/A,SUM(AD$4:AD204))</f>
        <v>-98.420412002416356</v>
      </c>
      <c r="AG204" s="102">
        <f t="shared" si="343"/>
        <v>1.4550000000000409</v>
      </c>
      <c r="AH204" s="56" t="s">
        <v>2507</v>
      </c>
      <c r="AI204" s="65">
        <f t="shared" si="344"/>
        <v>-0.30449971322800756</v>
      </c>
      <c r="AJ204" s="350">
        <f>IF(AI204="",#N/A,SUM($AI$4:AI204))</f>
        <v>3.7585623174942095</v>
      </c>
      <c r="AK204" s="57">
        <f t="shared" si="345"/>
        <v>-17.519999999999868</v>
      </c>
      <c r="AL204" s="349">
        <f>IF(AI204="",#N/A,IF(AH204="Skip",SUM($AK$4:AK204),SUM($AK$4:AK204)))</f>
        <v>29.797591492814149</v>
      </c>
      <c r="AM204" s="65">
        <f t="shared" si="428"/>
        <v>-0.31336357474320831</v>
      </c>
      <c r="AN204" s="209"/>
      <c r="AO204" s="65" t="str">
        <f t="shared" si="346"/>
        <v/>
      </c>
      <c r="AP204" s="65">
        <f>IF($AC204="",#N/A,SUM(AO$4:AO204))</f>
        <v>4.3454840048066785</v>
      </c>
      <c r="AQ204" s="65">
        <f t="shared" si="347"/>
        <v>-0.31336357474320831</v>
      </c>
      <c r="AR204" s="65">
        <f>IF($AC204="",#N/A,SUM(AQ$4:AQ204))</f>
        <v>-2.9313495519085238</v>
      </c>
      <c r="AS204" s="65" t="str">
        <f t="shared" si="348"/>
        <v/>
      </c>
      <c r="AT204" s="65">
        <f>IF($AC204="",#N/A,SUM(AS$4:AS204))</f>
        <v>-1.6533124201798017</v>
      </c>
      <c r="AU204" s="57" t="str">
        <f t="shared" si="429"/>
        <v/>
      </c>
      <c r="AV204" s="57">
        <f>IF($AC204="",#N/A,SUM(AU$4:AU204))</f>
        <v>155.69120645125099</v>
      </c>
      <c r="AW204" s="57">
        <f t="shared" si="430"/>
        <v>-18.029999999999973</v>
      </c>
      <c r="AX204" s="57">
        <f>IF($AC204="",#N/A,SUM(AW$4:AW204))</f>
        <v>-181.17000000000007</v>
      </c>
      <c r="AY204" s="57" t="str">
        <f t="shared" si="431"/>
        <v/>
      </c>
      <c r="AZ204" s="57">
        <f>IF($AC204="",#N/A,SUM(AY$4:AY204))</f>
        <v>-72.941618453667274</v>
      </c>
      <c r="BA204" s="57">
        <f>IF(AD204="",#N/A,SUM($AD$4:AD204))</f>
        <v>-98.420412002416356</v>
      </c>
      <c r="BC204" s="51" t="str">
        <f t="shared" si="349"/>
        <v/>
      </c>
      <c r="BD204" s="51" t="str">
        <f t="shared" si="350"/>
        <v/>
      </c>
      <c r="BE204" s="51" t="str">
        <f t="shared" si="351"/>
        <v/>
      </c>
      <c r="BF204" s="51" t="str">
        <f t="shared" si="352"/>
        <v>Long</v>
      </c>
      <c r="BG204" s="51" t="str">
        <f t="shared" si="353"/>
        <v/>
      </c>
      <c r="BH204" s="51">
        <f t="shared" si="354"/>
        <v>1</v>
      </c>
      <c r="BI204" s="51" t="str">
        <f t="shared" si="355"/>
        <v/>
      </c>
      <c r="BK204" s="65">
        <f t="shared" si="326"/>
        <v>0.18713132020125162</v>
      </c>
      <c r="BL204" s="65">
        <f t="shared" si="325"/>
        <v>0.11695048760893702</v>
      </c>
      <c r="BM204" s="65">
        <f>IFERROR(Q204/COUNTA($J$4:J204),#N/A)</f>
        <v>4.5062712660657145E-2</v>
      </c>
      <c r="BO204" s="489" t="e">
        <f>IF(J204="",#N/A,IF(S204="SW",(COUNTIFS(K$4:$K204,"&gt;0",S$4:$S204,"SW")/COUNTIF(S$4:$S204,"SW")),#N/A))</f>
        <v>#N/A</v>
      </c>
      <c r="BP204" s="489" t="e">
        <f>IF($J204="",#N/A,IF($S204="DWN",(COUNTIFS($K$4:$K204,"&lt;0",$S$4:$S204,"DWN")/COUNTIF($S$4:$S204,"DWN")),#N/A))</f>
        <v>#N/A</v>
      </c>
      <c r="BQ204" s="489">
        <f>IF($J204="",#N/A,IF($S204="UP",(COUNTIFS($K$4:$K204,"&gt;0",$S$4:$S204,"UP")/COUNTIF($S$4:$S204,"UP")),#N/A))</f>
        <v>0.33333333333333331</v>
      </c>
      <c r="BR204" s="489">
        <f>IF(J204="",#N/A,COUNTIF($K$4:K204,"&gt;0")/COUNT($J$4:J204))</f>
        <v>0.46766169154228854</v>
      </c>
      <c r="BS204" s="65" t="str">
        <f t="shared" si="356"/>
        <v/>
      </c>
      <c r="BT204" s="65">
        <f t="shared" si="357"/>
        <v>-0.33865165024245297</v>
      </c>
      <c r="BU204" s="65" t="str">
        <f t="shared" si="358"/>
        <v/>
      </c>
      <c r="BV204" s="65" t="str">
        <f t="shared" si="359"/>
        <v/>
      </c>
      <c r="BW204" s="128">
        <f t="shared" si="360"/>
        <v>-19.485000000000014</v>
      </c>
      <c r="BX204" s="128">
        <f>IF($J204="",#N/A,SUM($BW$4:BW204))</f>
        <v>-224.65000000000032</v>
      </c>
      <c r="BY204" s="131" t="str">
        <f t="shared" si="361"/>
        <v/>
      </c>
      <c r="BZ204" s="131">
        <f>IF($J204="",#N/A,SUM($BY$4:BY204))</f>
        <v>408.91934038933437</v>
      </c>
      <c r="CA204" s="133" t="str">
        <f t="shared" si="362"/>
        <v/>
      </c>
      <c r="CB204" s="133">
        <f>IF($J204="",#N/A,SUM($CA$4:CA204))</f>
        <v>181.17202371127954</v>
      </c>
      <c r="CC204" s="194">
        <f t="shared" si="363"/>
        <v>-0.33865165024245297</v>
      </c>
      <c r="CD204" s="194">
        <f>IF($J204="",#N/A,SUM($CC$4:CC204))</f>
        <v>-3.5261678679428221</v>
      </c>
      <c r="CE204" s="195" t="str">
        <f t="shared" si="364"/>
        <v/>
      </c>
      <c r="CF204" s="195">
        <f>IF($J204="",#N/A,SUM($CE$4:CE204))</f>
        <v>7.343567272895891</v>
      </c>
      <c r="CG204" s="196" t="str">
        <f t="shared" si="365"/>
        <v/>
      </c>
      <c r="CH204" s="196">
        <f>IF($J204="",#N/A,SUM($CG$4:CG204))</f>
        <v>5.2402058398390245</v>
      </c>
      <c r="CI204" s="200" t="str">
        <f t="shared" si="366"/>
        <v/>
      </c>
      <c r="CJ204" s="203">
        <f>IF($J204="",#N/A,SUM(CI$4:CI204))</f>
        <v>0</v>
      </c>
      <c r="CK204" s="204" t="str">
        <f t="shared" si="367"/>
        <v/>
      </c>
      <c r="CL204" s="204">
        <f>IF($J204="",#N/A,SUM(CK$4:CK204))</f>
        <v>1.9927003554442289</v>
      </c>
      <c r="CM204" s="205" t="str">
        <f t="shared" si="368"/>
        <v/>
      </c>
      <c r="CN204" s="205">
        <f>IF($J204="",#N/A,SUM(CM$4:CM204))</f>
        <v>5.6091171609382364</v>
      </c>
      <c r="CO204" s="205">
        <f>IF($J204="",#N/A,SUM(CM$4:CM204,CK$4:CK204,CI$4:CI204))</f>
        <v>7.6018175163824644</v>
      </c>
      <c r="CP204" s="200" t="str">
        <f t="shared" si="369"/>
        <v/>
      </c>
      <c r="CQ204" s="203">
        <f>IF($J204="",#N/A,SUM(CP$4:CP204))</f>
        <v>0</v>
      </c>
      <c r="CR204" s="204" t="str">
        <f t="shared" si="370"/>
        <v/>
      </c>
      <c r="CS204" s="204">
        <f>IF($J204="",#N/A,SUM(CR$4:CR204))</f>
        <v>4.2989225684455388</v>
      </c>
      <c r="CT204" s="205" t="str">
        <f t="shared" si="371"/>
        <v/>
      </c>
      <c r="CU204" s="205">
        <f>IF($J204="",#N/A,SUM(CT$4:CT204))</f>
        <v>-1.1331655471946371</v>
      </c>
      <c r="CV204" s="205">
        <f>IF($J204="",#N/A,SUM(CT$4:CT204,CR$4:CR204,CP$4:CP204))</f>
        <v>3.1657570212509012</v>
      </c>
      <c r="CW204" s="200">
        <f t="shared" si="372"/>
        <v>-0.33865165024245297</v>
      </c>
      <c r="CX204" s="203">
        <f>IF($J204="",#N/A,SUM(CW$4:CW204))</f>
        <v>-0.33865165024245297</v>
      </c>
      <c r="CY204" s="204" t="str">
        <f t="shared" si="373"/>
        <v/>
      </c>
      <c r="CZ204" s="204">
        <f>IF($J204="",#N/A,SUM(CY$4:CY204))</f>
        <v>-1.0974100761627814</v>
      </c>
      <c r="DA204" s="205" t="str">
        <f t="shared" si="374"/>
        <v/>
      </c>
      <c r="DB204" s="205">
        <f>IF($J204="",#N/A,SUM(DA$4:DA204))</f>
        <v>-2.2679577914291</v>
      </c>
      <c r="DC204" s="205">
        <f>IF($J204="",#N/A,SUM(DA$4:DA204,CY$4:CY204,CW$4:CW204))</f>
        <v>-3.7040195178343338</v>
      </c>
      <c r="DD204" s="200" t="str">
        <f t="shared" si="375"/>
        <v/>
      </c>
      <c r="DE204" s="203">
        <f>IF($J204="",#N/A,SUM(DD$4:DD204))</f>
        <v>0.14968716170674062</v>
      </c>
      <c r="DF204" s="204" t="str">
        <f t="shared" si="376"/>
        <v/>
      </c>
      <c r="DG204" s="204">
        <f>IF($J204="",#N/A,SUM(DF$4:DF204))</f>
        <v>1.2121188689979676</v>
      </c>
      <c r="DH204" s="205" t="str">
        <f t="shared" si="377"/>
        <v/>
      </c>
      <c r="DI204" s="205">
        <f>IF($J204="",#N/A,SUM(DH$4:DH204))</f>
        <v>-0.8404015973735236</v>
      </c>
      <c r="DJ204" s="205">
        <f>IF($J204="",#N/A,SUM(DH$4:DH204,DF$4:DF204,DD$4:DD204))</f>
        <v>0.52140443333118447</v>
      </c>
      <c r="DK204" s="200" t="str">
        <f t="shared" si="378"/>
        <v/>
      </c>
      <c r="DL204" s="203">
        <f>IF($J204="",#N/A,SUM(DK$4:DK204))</f>
        <v>-1.2097286851272664</v>
      </c>
      <c r="DM204" s="204" t="str">
        <f t="shared" si="379"/>
        <v/>
      </c>
      <c r="DN204" s="204">
        <f>IF($J204="",#N/A,SUM(DM$4:DM204))</f>
        <v>1.1910608267574658</v>
      </c>
      <c r="DO204" s="205" t="str">
        <f t="shared" si="380"/>
        <v/>
      </c>
      <c r="DP204" s="205">
        <f>IF($J204="",#N/A,SUM(DO$4:DO204))</f>
        <v>2.6571865116636566</v>
      </c>
      <c r="DQ204" s="205">
        <f>IF($J204="",#N/A,SUM(DO$4:DO204,DM$4:DM204,DK$4:DK204))</f>
        <v>2.6385186532938567</v>
      </c>
      <c r="DR204" s="200" t="str">
        <f t="shared" si="381"/>
        <v/>
      </c>
      <c r="DS204" s="203">
        <f>IF($J204="",#N/A,SUM(DR$4:DR204))</f>
        <v>-0.55950946427675097</v>
      </c>
      <c r="DT204" s="204" t="str">
        <f t="shared" si="382"/>
        <v/>
      </c>
      <c r="DU204" s="204">
        <f>IF($J204="",#N/A,SUM(DT$4:DT204))</f>
        <v>-3.5029740333397914</v>
      </c>
      <c r="DV204" s="205" t="str">
        <f t="shared" si="383"/>
        <v/>
      </c>
      <c r="DW204" s="205">
        <f>IF($J204="",#N/A,SUM(DV$4:DV204))</f>
        <v>-1.1099074520338865</v>
      </c>
      <c r="DX204" s="205">
        <f>IF($J204="",#N/A,SUM(DV$4:DV204,DT$4:DT204,DR$4:DR204))</f>
        <v>-5.1723909496504286</v>
      </c>
      <c r="DY204" s="200" t="str">
        <f t="shared" si="384"/>
        <v/>
      </c>
      <c r="DZ204" s="203">
        <f>IF($J204="",#N/A,SUM(DY$4:DY204))</f>
        <v>-1.63480022183437</v>
      </c>
      <c r="EA204" s="204" t="str">
        <f t="shared" si="385"/>
        <v/>
      </c>
      <c r="EB204" s="204">
        <f>IF($J204="",#N/A,SUM(EA$4:EA204))</f>
        <v>-0.40308697004515759</v>
      </c>
      <c r="EC204" s="205" t="str">
        <f t="shared" si="386"/>
        <v/>
      </c>
      <c r="ED204" s="205">
        <f>IF($J204="",#N/A,SUM(EC$4:EC204))</f>
        <v>2.5777281054470773</v>
      </c>
      <c r="EE204" s="205">
        <f>IF($J204="",#N/A,SUM(EC$4:EC204,EA$4:EA204,DY$4:DY204))</f>
        <v>0.53984091356754926</v>
      </c>
      <c r="EF204" s="200" t="str">
        <f t="shared" si="387"/>
        <v/>
      </c>
      <c r="EG204" s="203">
        <f>IF($J204="",#N/A,SUM(EF$4:EF204))</f>
        <v>0</v>
      </c>
      <c r="EH204" s="204" t="str">
        <f t="shared" si="388"/>
        <v/>
      </c>
      <c r="EI204" s="204">
        <f>IF($J204="",#N/A,SUM(EH$4:EH204))</f>
        <v>-2.6267690330909645</v>
      </c>
      <c r="EJ204" s="205" t="str">
        <f t="shared" si="389"/>
        <v/>
      </c>
      <c r="EK204" s="205">
        <f>IF($J204="",#N/A,SUM(EJ$4:EJ204))</f>
        <v>2.804966392787259</v>
      </c>
      <c r="EL204" s="205">
        <f>IF($J204="",#N/A,SUM(EJ$4:EJ204,EH$4:EH204,EF$4:EF204))</f>
        <v>0.17819735969629541</v>
      </c>
      <c r="EM204" s="200" t="str">
        <f t="shared" si="390"/>
        <v/>
      </c>
      <c r="EN204" s="203">
        <f>IF($J204="",#N/A,SUM(EM$4:EM204))</f>
        <v>0</v>
      </c>
      <c r="EO204" s="204" t="str">
        <f t="shared" si="391"/>
        <v/>
      </c>
      <c r="EP204" s="204">
        <f>IF($J204="",#N/A,SUM(EO$4:EO204))</f>
        <v>3.2406646352184261</v>
      </c>
      <c r="EQ204" s="205" t="str">
        <f t="shared" si="392"/>
        <v/>
      </c>
      <c r="ER204" s="205">
        <f>IF($J204="",#N/A,SUM(EQ$4:EQ204))</f>
        <v>2.0221833315059508</v>
      </c>
      <c r="ES204" s="205">
        <f>IF($J204="",#N/A,SUM(EQ$4:EQ204,EO$4:EO204,EM$4:EM204))</f>
        <v>5.2628479667243759</v>
      </c>
      <c r="ET204" s="200" t="str">
        <f t="shared" si="393"/>
        <v/>
      </c>
      <c r="EU204" s="203">
        <f>IF($J204="",#N/A,SUM(ET$4:ET204))</f>
        <v>0</v>
      </c>
      <c r="EV204" s="204" t="str">
        <f t="shared" si="394"/>
        <v/>
      </c>
      <c r="EW204" s="204">
        <f>IF($J204="",#N/A,SUM(EV$4:EV204))</f>
        <v>1.9901851109977766</v>
      </c>
      <c r="EX204" s="205" t="str">
        <f t="shared" si="395"/>
        <v/>
      </c>
      <c r="EY204" s="205">
        <f>IF($J204="",#N/A,SUM(EX$4:EX204))</f>
        <v>-9.038537462898949E-2</v>
      </c>
      <c r="EZ204" s="205">
        <f>IF($J204="",#N/A,SUM(EX$4:EX204,EV$4:EV204,ET$4:ET204))</f>
        <v>1.8997997363687871</v>
      </c>
      <c r="FA204" s="200" t="str">
        <f t="shared" si="396"/>
        <v/>
      </c>
      <c r="FB204" s="203">
        <f>IF($J204="",#N/A,SUM(FA$4:FA204))</f>
        <v>0</v>
      </c>
      <c r="FC204" s="204" t="str">
        <f t="shared" si="397"/>
        <v/>
      </c>
      <c r="FD204" s="204">
        <f>IF($J204="",#N/A,SUM(FC$4:FC204))</f>
        <v>1.6839191319663924</v>
      </c>
      <c r="FE204" s="205" t="str">
        <f t="shared" si="398"/>
        <v/>
      </c>
      <c r="FF204" s="205">
        <f>IF($J204="",#N/A,SUM(FE$4:FE204))</f>
        <v>-0.28811149078748233</v>
      </c>
      <c r="FG204" s="205">
        <f>IF($J204="",#N/A,SUM(FE$4:FE204,FC$4:FC204,FA$4:FA204))</f>
        <v>1.3958076411789102</v>
      </c>
      <c r="FH204" s="200" t="str">
        <f t="shared" si="399"/>
        <v/>
      </c>
      <c r="FI204" s="203">
        <f>IF($J204="",#N/A,SUM(FH$4:FH204))</f>
        <v>0</v>
      </c>
      <c r="FJ204" s="204" t="str">
        <f t="shared" si="400"/>
        <v/>
      </c>
      <c r="FK204" s="204">
        <f>IF($J204="",#N/A,SUM(FJ$4:FJ204))</f>
        <v>0</v>
      </c>
      <c r="FL204" s="205" t="str">
        <f t="shared" si="401"/>
        <v/>
      </c>
      <c r="FM204" s="205">
        <f>IF($J204="",#N/A,SUM(FL$4:FL204))</f>
        <v>0</v>
      </c>
      <c r="FN204" s="205">
        <f>IF($J204="",#N/A,SUM(FL$4:FL204,FJ$4:FJ204,FH$4:FH204))</f>
        <v>0</v>
      </c>
      <c r="FO204" s="200" t="str">
        <f t="shared" si="402"/>
        <v/>
      </c>
      <c r="FP204" s="203">
        <f>IF($J204="",#N/A,SUM(FO$4:FO204))</f>
        <v>0</v>
      </c>
      <c r="FQ204" s="204" t="str">
        <f t="shared" si="403"/>
        <v/>
      </c>
      <c r="FR204" s="204">
        <f>IF($J204="",#N/A,SUM(FQ$4:FQ204))</f>
        <v>0</v>
      </c>
      <c r="FS204" s="205" t="str">
        <f t="shared" si="404"/>
        <v/>
      </c>
      <c r="FT204" s="205">
        <f>IF($J204="",#N/A,SUM(FS$4:FS204))</f>
        <v>0</v>
      </c>
      <c r="FU204" s="205">
        <f>IF($J204="",#N/A,SUM(FS$4:FS204,FQ$4:FQ204,FO$4:FO204))</f>
        <v>0</v>
      </c>
      <c r="FV204" s="200" t="str">
        <f t="shared" si="405"/>
        <v/>
      </c>
      <c r="FW204" s="203">
        <f>IF($J204="",#N/A,SUM(FV$4:FV204))</f>
        <v>6.6834991831277585E-2</v>
      </c>
      <c r="FX204" s="204" t="str">
        <f t="shared" si="406"/>
        <v/>
      </c>
      <c r="FY204" s="204">
        <f>IF($J204="",#N/A,SUM(FX$4:FX204))</f>
        <v>-0.16102012791805576</v>
      </c>
      <c r="FZ204" s="205" t="str">
        <f t="shared" si="407"/>
        <v/>
      </c>
      <c r="GA204" s="205">
        <f>IF($J204="",#N/A,SUM(FZ$4:FZ204))</f>
        <v>-1.7642101813332194</v>
      </c>
      <c r="GB204" s="205">
        <f>IF($J204="",#N/A,SUM(FZ$4:FZ204,FX$4:FX204,FV$4:FV204))</f>
        <v>-1.8583953174199976</v>
      </c>
      <c r="GC204" s="200" t="str">
        <f t="shared" si="408"/>
        <v/>
      </c>
      <c r="GD204" s="203">
        <f>IF($J204="",#N/A,SUM(GC$4:GC204))</f>
        <v>0</v>
      </c>
      <c r="GE204" s="204" t="str">
        <f t="shared" si="409"/>
        <v/>
      </c>
      <c r="GF204" s="204">
        <f>IF($J204="",#N/A,SUM(GE$4:GE204))</f>
        <v>0</v>
      </c>
      <c r="GG204" s="205" t="str">
        <f t="shared" si="410"/>
        <v/>
      </c>
      <c r="GH204" s="205">
        <f>IF($J204="",#N/A,SUM(GG$4:GG204))</f>
        <v>-2.9368362277223206</v>
      </c>
      <c r="GI204" s="205">
        <f>IF($J204="",#N/A,SUM(GG$4:GG204,GE$4:GE204,GC$4:GC204))</f>
        <v>-2.9368362277223206</v>
      </c>
      <c r="GJ204" s="200" t="str">
        <f t="shared" si="411"/>
        <v/>
      </c>
      <c r="GK204" s="203">
        <f>IF($J204="",#N/A,SUM(GJ$4:GJ204))</f>
        <v>0</v>
      </c>
      <c r="GL204" s="204" t="str">
        <f t="shared" si="412"/>
        <v/>
      </c>
      <c r="GM204" s="204">
        <f>IF($J204="",#N/A,SUM(GL$4:GL204))</f>
        <v>-0.80168930905701452</v>
      </c>
      <c r="GN204" s="205" t="str">
        <f t="shared" si="413"/>
        <v/>
      </c>
      <c r="GO204" s="205">
        <f>IF($J204="",#N/A,SUM(GN$4:GN204))</f>
        <v>0</v>
      </c>
      <c r="GP204" s="205">
        <f>IF($J204="",#N/A,SUM(GN$4:GN204,GL$4:GL204,GJ$4:GJ204))</f>
        <v>-0.80168930905701452</v>
      </c>
      <c r="GS204" s="54">
        <f t="shared" si="432"/>
        <v>-0.33865165024245297</v>
      </c>
      <c r="GT204" s="54">
        <f>IF(GS204="",NA(),SUM($GS$4:GS204))</f>
        <v>3.3083947144476777</v>
      </c>
      <c r="GU204" s="54">
        <f t="shared" si="414"/>
        <v>-0.33865165024245297</v>
      </c>
      <c r="GV204" s="54">
        <f>IF(GU204="",NA(),SUM($GU$4:GU204))</f>
        <v>-3.5261678679428221</v>
      </c>
      <c r="GW204" s="54" t="str">
        <f t="shared" si="415"/>
        <v/>
      </c>
      <c r="GX204" s="54" t="e">
        <f>IF(GW204="",NA(),SUM($GW$4:GW204))</f>
        <v>#N/A</v>
      </c>
      <c r="GY204" s="54" t="str">
        <f t="shared" si="416"/>
        <v/>
      </c>
      <c r="GZ204" s="54" t="e">
        <f>IF(GY204="",NA(),SUM($GY$4:GY204))</f>
        <v>#N/A</v>
      </c>
      <c r="HA204" s="54" t="str">
        <f t="shared" si="417"/>
        <v/>
      </c>
      <c r="HB204" s="54" t="e">
        <f>IF(HA204="",NA(),SUM($HA$4:HA204))</f>
        <v>#N/A</v>
      </c>
      <c r="HC204" s="54" t="str">
        <f t="shared" si="418"/>
        <v/>
      </c>
      <c r="HD204" s="54" t="e">
        <f>IF(HC204="",NA(),SUM($HC$4:HC204))</f>
        <v>#N/A</v>
      </c>
      <c r="HE204" s="54" t="str">
        <f t="shared" si="419"/>
        <v/>
      </c>
      <c r="HF204" s="54" t="e">
        <f>IF(HE204="",NA(),SUM($HE$4:HE204))</f>
        <v>#N/A</v>
      </c>
      <c r="HG204" s="54" t="str">
        <f t="shared" si="420"/>
        <v/>
      </c>
      <c r="HH204" s="54" t="e">
        <f>IF(HG204="",NA(),SUM($HG$4:HG204))</f>
        <v>#N/A</v>
      </c>
      <c r="HI204" s="172" t="str">
        <f t="shared" si="433"/>
        <v/>
      </c>
      <c r="HJ204" s="172">
        <f>IF($J204="",#N/A,SUM(HI$4:$HI204))</f>
        <v>-7.2279999569560429</v>
      </c>
      <c r="HK204" s="54" t="str">
        <f t="shared" si="421"/>
        <v/>
      </c>
      <c r="HL204" s="54">
        <f>IF($J204="",#N/A,SUM($HK$4:HK204))</f>
        <v>-1.7688797361196436</v>
      </c>
      <c r="HM204" s="54" t="str">
        <f t="shared" si="422"/>
        <v/>
      </c>
      <c r="HN204" s="54">
        <f>IF($J204="",#N/A,SUM($HM$4:HM204))</f>
        <v>0.71812545963587882</v>
      </c>
      <c r="HO204" s="54">
        <f t="shared" si="423"/>
        <v>2.5288075499244667E-2</v>
      </c>
      <c r="HP204" s="54">
        <f>IF($J204="",#N/A,SUM($HO$4:HO204))</f>
        <v>-0.12330714360158018</v>
      </c>
      <c r="HQ204" s="54" t="str">
        <f t="shared" si="424"/>
        <v/>
      </c>
      <c r="HR204" s="54">
        <f>IF($J204="",#N/A,SUM($HQ$4:HQ204))</f>
        <v>-13.495567554372498</v>
      </c>
      <c r="HS204" s="54" t="str">
        <f t="shared" si="425"/>
        <v/>
      </c>
      <c r="HT204" s="54">
        <f>IF($J204="",#N/A,SUM($HS$4:HS204))</f>
        <v>12.600845719340157</v>
      </c>
      <c r="HU204" s="65">
        <f t="shared" si="426"/>
        <v>-0.31336357474320831</v>
      </c>
      <c r="HV204" s="65">
        <f>IF($J204="",#N/A,SUM(HU$4:$HU204))</f>
        <v>-0.23917796728164359</v>
      </c>
    </row>
    <row r="205" spans="1:230" x14ac:dyDescent="0.25">
      <c r="A205" s="51" t="s">
        <v>1486</v>
      </c>
      <c r="B205" s="52" t="s">
        <v>4544</v>
      </c>
      <c r="C205" s="229">
        <f t="shared" si="327"/>
        <v>2</v>
      </c>
      <c r="D205" s="219" t="str">
        <f>_xlfn.XLOOKUP(A205,[1]SP500!$A$2:$A$502,[1]SP500!$D$2:$D$502,"N")</f>
        <v>Y</v>
      </c>
      <c r="E205" s="51" t="str">
        <f>IFERROR(_xlfn.XLOOKUP(A205,[1]SP500!$A$2:$A$655,[1]SP500!$B$2:$B$655),"")</f>
        <v>XLI</v>
      </c>
      <c r="F205" s="290">
        <v>45778</v>
      </c>
      <c r="G205" s="51" t="str">
        <f t="shared" si="328"/>
        <v>BMO</v>
      </c>
      <c r="H205" s="51" t="str">
        <f t="shared" si="329"/>
        <v>s</v>
      </c>
      <c r="I205" s="344">
        <v>69.69</v>
      </c>
      <c r="J205" s="123">
        <v>65.28</v>
      </c>
      <c r="K205" s="55">
        <f t="shared" si="330"/>
        <v>-6.3280241067584966E-2</v>
      </c>
      <c r="L205" s="67">
        <f t="shared" si="331"/>
        <v>70.559999999999945</v>
      </c>
      <c r="M205" s="57">
        <f t="shared" si="332"/>
        <v>0</v>
      </c>
      <c r="N205" s="102">
        <f t="shared" si="333"/>
        <v>70.559999999999945</v>
      </c>
      <c r="O205" s="57">
        <f>IF(N205="",#N/A,SUM($N$4:N205))</f>
        <v>436.0013641006135</v>
      </c>
      <c r="P205" s="65">
        <f t="shared" si="427"/>
        <v>1.0546706844597495</v>
      </c>
      <c r="Q205" s="172">
        <f>IF($N205="",#N/A,SUM($P$4:P205))</f>
        <v>10.112275929251835</v>
      </c>
      <c r="R205" s="279">
        <f t="shared" si="334"/>
        <v>5.2990429272978758</v>
      </c>
      <c r="S205" s="51" t="str">
        <f t="shared" si="335"/>
        <v>Dwn</v>
      </c>
      <c r="T205" s="51" t="s">
        <v>4462</v>
      </c>
      <c r="U205" s="56">
        <f t="shared" si="336"/>
        <v>69.69</v>
      </c>
      <c r="V205" s="56" t="s">
        <v>4458</v>
      </c>
      <c r="W205" s="142">
        <v>16</v>
      </c>
      <c r="X205" s="145">
        <f t="shared" si="337"/>
        <v>1115.04</v>
      </c>
      <c r="Y205" s="140">
        <f t="shared" si="338"/>
        <v>16</v>
      </c>
      <c r="Z205" s="123">
        <v>65.28</v>
      </c>
      <c r="AA205" s="102">
        <f t="shared" si="339"/>
        <v>70.559999999999945</v>
      </c>
      <c r="AB205" s="102">
        <f t="shared" si="340"/>
        <v>46.559999999999945</v>
      </c>
      <c r="AC205" s="124">
        <v>66.78</v>
      </c>
      <c r="AD205" s="155">
        <f t="shared" si="341"/>
        <v>46.559999999999945</v>
      </c>
      <c r="AE205" s="545">
        <f t="shared" si="342"/>
        <v>0.69593915913330384</v>
      </c>
      <c r="AF205" s="57">
        <f>IF($AC205="",#N/A,SUM(AD$4:AD205))</f>
        <v>-51.86041200241641</v>
      </c>
      <c r="AG205" s="102">
        <f t="shared" si="343"/>
        <v>-24</v>
      </c>
      <c r="AH205" s="56" t="s">
        <v>2507</v>
      </c>
      <c r="AI205" s="65">
        <f t="shared" si="344"/>
        <v>1.0546706844597495</v>
      </c>
      <c r="AJ205" s="350">
        <f>IF(AI205="",#N/A,SUM($AI$4:AI205))</f>
        <v>4.8132330019539591</v>
      </c>
      <c r="AK205" s="57">
        <f t="shared" si="345"/>
        <v>70.559999999999945</v>
      </c>
      <c r="AL205" s="349">
        <f>IF(AI205="",#N/A,IF(AH205="Skip",SUM($AK$4:AK205),SUM($AK$4:AK205)))</f>
        <v>100.35759149281409</v>
      </c>
      <c r="AM205" s="65">
        <f t="shared" si="428"/>
        <v>0.69593915913330384</v>
      </c>
      <c r="AN205" s="209"/>
      <c r="AO205" s="65" t="str">
        <f t="shared" si="346"/>
        <v/>
      </c>
      <c r="AP205" s="65">
        <f>IF($AC205="",#N/A,SUM(AO$4:AO205))</f>
        <v>4.3454840048066785</v>
      </c>
      <c r="AQ205" s="65" t="str">
        <f t="shared" si="347"/>
        <v/>
      </c>
      <c r="AR205" s="65">
        <f>IF($AC205="",#N/A,SUM(AQ$4:AQ205))</f>
        <v>-2.9313495519085238</v>
      </c>
      <c r="AS205" s="65">
        <f t="shared" si="348"/>
        <v>0.69593915913330384</v>
      </c>
      <c r="AT205" s="65">
        <f>IF($AC205="",#N/A,SUM(AS$4:AS205))</f>
        <v>-0.95737326104649789</v>
      </c>
      <c r="AU205" s="57" t="str">
        <f t="shared" si="429"/>
        <v/>
      </c>
      <c r="AV205" s="57">
        <f>IF($AC205="",#N/A,SUM(AU$4:AU205))</f>
        <v>155.69120645125099</v>
      </c>
      <c r="AW205" s="57" t="str">
        <f t="shared" si="430"/>
        <v/>
      </c>
      <c r="AX205" s="57">
        <f>IF($AC205="",#N/A,SUM(AW$4:AW205))</f>
        <v>-181.17000000000007</v>
      </c>
      <c r="AY205" s="57">
        <f t="shared" si="431"/>
        <v>46.559999999999945</v>
      </c>
      <c r="AZ205" s="57">
        <f>IF($AC205="",#N/A,SUM(AY$4:AY205))</f>
        <v>-26.381618453667329</v>
      </c>
      <c r="BA205" s="57">
        <f>IF(AD205="",#N/A,SUM($AD$4:AD205))</f>
        <v>-51.86041200241641</v>
      </c>
      <c r="BC205" s="51" t="str">
        <f t="shared" si="349"/>
        <v/>
      </c>
      <c r="BD205" s="51" t="str">
        <f t="shared" si="350"/>
        <v/>
      </c>
      <c r="BE205" s="51" t="str">
        <f t="shared" si="351"/>
        <v/>
      </c>
      <c r="BF205" s="51" t="str">
        <f t="shared" si="352"/>
        <v>Short</v>
      </c>
      <c r="BG205" s="51">
        <f t="shared" si="353"/>
        <v>1</v>
      </c>
      <c r="BH205" s="51" t="str">
        <f t="shared" si="354"/>
        <v/>
      </c>
      <c r="BI205" s="51" t="str">
        <f t="shared" si="355"/>
        <v/>
      </c>
      <c r="BK205" s="65">
        <f t="shared" si="326"/>
        <v>0.15981989340639818</v>
      </c>
      <c r="BL205" s="65">
        <f t="shared" si="325"/>
        <v>0.106830089729282</v>
      </c>
      <c r="BM205" s="65">
        <f>IFERROR(Q205/COUNTA($J$4:J205),#N/A)</f>
        <v>5.0060771926989281E-2</v>
      </c>
      <c r="BO205" s="489" t="e">
        <f>IF(J205="",#N/A,IF(S205="SW",(COUNTIFS(K$4:$K205,"&gt;0",S$4:$S205,"SW")/COUNTIF(S$4:$S205,"SW")),#N/A))</f>
        <v>#N/A</v>
      </c>
      <c r="BP205" s="489">
        <f>IF($J205="",#N/A,IF($S205="DWN",(COUNTIFS($K$4:$K205,"&lt;0",$S$4:$S205,"DWN")/COUNTIF($S$4:$S205,"DWN")),#N/A))</f>
        <v>0.57471264367816088</v>
      </c>
      <c r="BQ205" s="489" t="e">
        <f>IF($J205="",#N/A,IF($S205="UP",(COUNTIFS($K$4:$K205,"&gt;0",$S$4:$S205,"UP")/COUNTIF($S$4:$S205,"UP")),#N/A))</f>
        <v>#N/A</v>
      </c>
      <c r="BR205" s="489">
        <f>IF(J205="",#N/A,COUNTIF($K$4:K205,"&gt;0")/COUNT($J$4:J205))</f>
        <v>0.46534653465346537</v>
      </c>
      <c r="BS205" s="65" t="str">
        <f t="shared" si="356"/>
        <v/>
      </c>
      <c r="BT205" s="65" t="str">
        <f t="shared" si="357"/>
        <v/>
      </c>
      <c r="BU205" s="65">
        <f t="shared" si="358"/>
        <v>1.0546706844597495</v>
      </c>
      <c r="BV205" s="65" t="str">
        <f t="shared" si="359"/>
        <v/>
      </c>
      <c r="BW205" s="128" t="str">
        <f t="shared" si="360"/>
        <v/>
      </c>
      <c r="BX205" s="128">
        <f>IF($J205="",#N/A,SUM($BW$4:BW205))</f>
        <v>-224.65000000000032</v>
      </c>
      <c r="BY205" s="131">
        <f t="shared" si="361"/>
        <v>70.559999999999945</v>
      </c>
      <c r="BZ205" s="131">
        <f>IF($J205="",#N/A,SUM($BY$4:BY205))</f>
        <v>479.47934038933431</v>
      </c>
      <c r="CA205" s="133" t="str">
        <f t="shared" si="362"/>
        <v/>
      </c>
      <c r="CB205" s="133">
        <f>IF($J205="",#N/A,SUM($CA$4:CA205))</f>
        <v>181.17202371127954</v>
      </c>
      <c r="CC205" s="194" t="str">
        <f t="shared" si="363"/>
        <v/>
      </c>
      <c r="CD205" s="194">
        <f>IF($J205="",#N/A,SUM($CC$4:CC205))</f>
        <v>-3.5261678679428221</v>
      </c>
      <c r="CE205" s="195">
        <f t="shared" si="364"/>
        <v>1.0546706844597495</v>
      </c>
      <c r="CF205" s="195">
        <f>IF($J205="",#N/A,SUM($CE$4:CE205))</f>
        <v>8.39823795735564</v>
      </c>
      <c r="CG205" s="196" t="str">
        <f t="shared" si="365"/>
        <v/>
      </c>
      <c r="CH205" s="196">
        <f>IF($J205="",#N/A,SUM($CG$4:CG205))</f>
        <v>5.2402058398390245</v>
      </c>
      <c r="CI205" s="200" t="str">
        <f t="shared" si="366"/>
        <v/>
      </c>
      <c r="CJ205" s="203">
        <f>IF($J205="",#N/A,SUM(CI$4:CI205))</f>
        <v>0</v>
      </c>
      <c r="CK205" s="204" t="str">
        <f t="shared" si="367"/>
        <v/>
      </c>
      <c r="CL205" s="204">
        <f>IF($J205="",#N/A,SUM(CK$4:CK205))</f>
        <v>1.9927003554442289</v>
      </c>
      <c r="CM205" s="205" t="str">
        <f t="shared" si="368"/>
        <v/>
      </c>
      <c r="CN205" s="205">
        <f>IF($J205="",#N/A,SUM(CM$4:CM205))</f>
        <v>5.6091171609382364</v>
      </c>
      <c r="CO205" s="205">
        <f>IF($J205="",#N/A,SUM(CM$4:CM205,CK$4:CK205,CI$4:CI205))</f>
        <v>7.6018175163824644</v>
      </c>
      <c r="CP205" s="200" t="str">
        <f t="shared" si="369"/>
        <v/>
      </c>
      <c r="CQ205" s="203">
        <f>IF($J205="",#N/A,SUM(CP$4:CP205))</f>
        <v>0</v>
      </c>
      <c r="CR205" s="204" t="str">
        <f t="shared" si="370"/>
        <v/>
      </c>
      <c r="CS205" s="204">
        <f>IF($J205="",#N/A,SUM(CR$4:CR205))</f>
        <v>4.2989225684455388</v>
      </c>
      <c r="CT205" s="205" t="str">
        <f t="shared" si="371"/>
        <v/>
      </c>
      <c r="CU205" s="205">
        <f>IF($J205="",#N/A,SUM(CT$4:CT205))</f>
        <v>-1.1331655471946371</v>
      </c>
      <c r="CV205" s="205">
        <f>IF($J205="",#N/A,SUM(CT$4:CT205,CR$4:CR205,CP$4:CP205))</f>
        <v>3.1657570212509012</v>
      </c>
      <c r="CW205" s="200" t="str">
        <f t="shared" si="372"/>
        <v/>
      </c>
      <c r="CX205" s="203">
        <f>IF($J205="",#N/A,SUM(CW$4:CW205))</f>
        <v>-0.33865165024245297</v>
      </c>
      <c r="CY205" s="204" t="str">
        <f t="shared" si="373"/>
        <v/>
      </c>
      <c r="CZ205" s="204">
        <f>IF($J205="",#N/A,SUM(CY$4:CY205))</f>
        <v>-1.0974100761627814</v>
      </c>
      <c r="DA205" s="205" t="str">
        <f t="shared" si="374"/>
        <v/>
      </c>
      <c r="DB205" s="205">
        <f>IF($J205="",#N/A,SUM(DA$4:DA205))</f>
        <v>-2.2679577914291</v>
      </c>
      <c r="DC205" s="205">
        <f>IF($J205="",#N/A,SUM(DA$4:DA205,CY$4:CY205,CW$4:CW205))</f>
        <v>-3.7040195178343338</v>
      </c>
      <c r="DD205" s="200" t="str">
        <f t="shared" si="375"/>
        <v/>
      </c>
      <c r="DE205" s="203">
        <f>IF($J205="",#N/A,SUM(DD$4:DD205))</f>
        <v>0.14968716170674062</v>
      </c>
      <c r="DF205" s="204" t="str">
        <f t="shared" si="376"/>
        <v/>
      </c>
      <c r="DG205" s="204">
        <f>IF($J205="",#N/A,SUM(DF$4:DF205))</f>
        <v>1.2121188689979676</v>
      </c>
      <c r="DH205" s="205" t="str">
        <f t="shared" si="377"/>
        <v/>
      </c>
      <c r="DI205" s="205">
        <f>IF($J205="",#N/A,SUM(DH$4:DH205))</f>
        <v>-0.8404015973735236</v>
      </c>
      <c r="DJ205" s="205">
        <f>IF($J205="",#N/A,SUM(DH$4:DH205,DF$4:DF205,DD$4:DD205))</f>
        <v>0.52140443333118447</v>
      </c>
      <c r="DK205" s="200" t="str">
        <f t="shared" si="378"/>
        <v/>
      </c>
      <c r="DL205" s="203">
        <f>IF($J205="",#N/A,SUM(DK$4:DK205))</f>
        <v>-1.2097286851272664</v>
      </c>
      <c r="DM205" s="204" t="str">
        <f t="shared" si="379"/>
        <v/>
      </c>
      <c r="DN205" s="204">
        <f>IF($J205="",#N/A,SUM(DM$4:DM205))</f>
        <v>1.1910608267574658</v>
      </c>
      <c r="DO205" s="205" t="str">
        <f t="shared" si="380"/>
        <v/>
      </c>
      <c r="DP205" s="205">
        <f>IF($J205="",#N/A,SUM(DO$4:DO205))</f>
        <v>2.6571865116636566</v>
      </c>
      <c r="DQ205" s="205">
        <f>IF($J205="",#N/A,SUM(DO$4:DO205,DM$4:DM205,DK$4:DK205))</f>
        <v>2.6385186532938567</v>
      </c>
      <c r="DR205" s="200" t="str">
        <f t="shared" si="381"/>
        <v/>
      </c>
      <c r="DS205" s="203">
        <f>IF($J205="",#N/A,SUM(DR$4:DR205))</f>
        <v>-0.55950946427675097</v>
      </c>
      <c r="DT205" s="204" t="str">
        <f t="shared" si="382"/>
        <v/>
      </c>
      <c r="DU205" s="204">
        <f>IF($J205="",#N/A,SUM(DT$4:DT205))</f>
        <v>-3.5029740333397914</v>
      </c>
      <c r="DV205" s="205" t="str">
        <f t="shared" si="383"/>
        <v/>
      </c>
      <c r="DW205" s="205">
        <f>IF($J205="",#N/A,SUM(DV$4:DV205))</f>
        <v>-1.1099074520338865</v>
      </c>
      <c r="DX205" s="205">
        <f>IF($J205="",#N/A,SUM(DV$4:DV205,DT$4:DT205,DR$4:DR205))</f>
        <v>-5.1723909496504286</v>
      </c>
      <c r="DY205" s="200" t="str">
        <f t="shared" si="384"/>
        <v/>
      </c>
      <c r="DZ205" s="203">
        <f>IF($J205="",#N/A,SUM(DY$4:DY205))</f>
        <v>-1.63480022183437</v>
      </c>
      <c r="EA205" s="204">
        <f t="shared" si="385"/>
        <v>1.0546706844597495</v>
      </c>
      <c r="EB205" s="204">
        <f>IF($J205="",#N/A,SUM(EA$4:EA205))</f>
        <v>0.65158371441459195</v>
      </c>
      <c r="EC205" s="205" t="str">
        <f t="shared" si="386"/>
        <v/>
      </c>
      <c r="ED205" s="205">
        <f>IF($J205="",#N/A,SUM(EC$4:EC205))</f>
        <v>2.5777281054470773</v>
      </c>
      <c r="EE205" s="205">
        <f>IF($J205="",#N/A,SUM(EC$4:EC205,EA$4:EA205,DY$4:DY205))</f>
        <v>1.5945115980272988</v>
      </c>
      <c r="EF205" s="200" t="str">
        <f t="shared" si="387"/>
        <v/>
      </c>
      <c r="EG205" s="203">
        <f>IF($J205="",#N/A,SUM(EF$4:EF205))</f>
        <v>0</v>
      </c>
      <c r="EH205" s="204" t="str">
        <f t="shared" si="388"/>
        <v/>
      </c>
      <c r="EI205" s="204">
        <f>IF($J205="",#N/A,SUM(EH$4:EH205))</f>
        <v>-2.6267690330909645</v>
      </c>
      <c r="EJ205" s="205" t="str">
        <f t="shared" si="389"/>
        <v/>
      </c>
      <c r="EK205" s="205">
        <f>IF($J205="",#N/A,SUM(EJ$4:EJ205))</f>
        <v>2.804966392787259</v>
      </c>
      <c r="EL205" s="205">
        <f>IF($J205="",#N/A,SUM(EJ$4:EJ205,EH$4:EH205,EF$4:EF205))</f>
        <v>0.17819735969629541</v>
      </c>
      <c r="EM205" s="200" t="str">
        <f t="shared" si="390"/>
        <v/>
      </c>
      <c r="EN205" s="203">
        <f>IF($J205="",#N/A,SUM(EM$4:EM205))</f>
        <v>0</v>
      </c>
      <c r="EO205" s="204" t="str">
        <f t="shared" si="391"/>
        <v/>
      </c>
      <c r="EP205" s="204">
        <f>IF($J205="",#N/A,SUM(EO$4:EO205))</f>
        <v>3.2406646352184261</v>
      </c>
      <c r="EQ205" s="205" t="str">
        <f t="shared" si="392"/>
        <v/>
      </c>
      <c r="ER205" s="205">
        <f>IF($J205="",#N/A,SUM(EQ$4:EQ205))</f>
        <v>2.0221833315059508</v>
      </c>
      <c r="ES205" s="205">
        <f>IF($J205="",#N/A,SUM(EQ$4:EQ205,EO$4:EO205,EM$4:EM205))</f>
        <v>5.2628479667243759</v>
      </c>
      <c r="ET205" s="200" t="str">
        <f t="shared" si="393"/>
        <v/>
      </c>
      <c r="EU205" s="203">
        <f>IF($J205="",#N/A,SUM(ET$4:ET205))</f>
        <v>0</v>
      </c>
      <c r="EV205" s="204" t="str">
        <f t="shared" si="394"/>
        <v/>
      </c>
      <c r="EW205" s="204">
        <f>IF($J205="",#N/A,SUM(EV$4:EV205))</f>
        <v>1.9901851109977766</v>
      </c>
      <c r="EX205" s="205" t="str">
        <f t="shared" si="395"/>
        <v/>
      </c>
      <c r="EY205" s="205">
        <f>IF($J205="",#N/A,SUM(EX$4:EX205))</f>
        <v>-9.038537462898949E-2</v>
      </c>
      <c r="EZ205" s="205">
        <f>IF($J205="",#N/A,SUM(EX$4:EX205,EV$4:EV205,ET$4:ET205))</f>
        <v>1.8997997363687871</v>
      </c>
      <c r="FA205" s="200" t="str">
        <f t="shared" si="396"/>
        <v/>
      </c>
      <c r="FB205" s="203">
        <f>IF($J205="",#N/A,SUM(FA$4:FA205))</f>
        <v>0</v>
      </c>
      <c r="FC205" s="204" t="str">
        <f t="shared" si="397"/>
        <v/>
      </c>
      <c r="FD205" s="204">
        <f>IF($J205="",#N/A,SUM(FC$4:FC205))</f>
        <v>1.6839191319663924</v>
      </c>
      <c r="FE205" s="205" t="str">
        <f t="shared" si="398"/>
        <v/>
      </c>
      <c r="FF205" s="205">
        <f>IF($J205="",#N/A,SUM(FE$4:FE205))</f>
        <v>-0.28811149078748233</v>
      </c>
      <c r="FG205" s="205">
        <f>IF($J205="",#N/A,SUM(FE$4:FE205,FC$4:FC205,FA$4:FA205))</f>
        <v>1.3958076411789102</v>
      </c>
      <c r="FH205" s="200" t="str">
        <f t="shared" si="399"/>
        <v/>
      </c>
      <c r="FI205" s="203">
        <f>IF($J205="",#N/A,SUM(FH$4:FH205))</f>
        <v>0</v>
      </c>
      <c r="FJ205" s="204" t="str">
        <f t="shared" si="400"/>
        <v/>
      </c>
      <c r="FK205" s="204">
        <f>IF($J205="",#N/A,SUM(FJ$4:FJ205))</f>
        <v>0</v>
      </c>
      <c r="FL205" s="205" t="str">
        <f t="shared" si="401"/>
        <v/>
      </c>
      <c r="FM205" s="205">
        <f>IF($J205="",#N/A,SUM(FL$4:FL205))</f>
        <v>0</v>
      </c>
      <c r="FN205" s="205">
        <f>IF($J205="",#N/A,SUM(FL$4:FL205,FJ$4:FJ205,FH$4:FH205))</f>
        <v>0</v>
      </c>
      <c r="FO205" s="200" t="str">
        <f t="shared" si="402"/>
        <v/>
      </c>
      <c r="FP205" s="203">
        <f>IF($J205="",#N/A,SUM(FO$4:FO205))</f>
        <v>0</v>
      </c>
      <c r="FQ205" s="204" t="str">
        <f t="shared" si="403"/>
        <v/>
      </c>
      <c r="FR205" s="204">
        <f>IF($J205="",#N/A,SUM(FQ$4:FQ205))</f>
        <v>0</v>
      </c>
      <c r="FS205" s="205" t="str">
        <f t="shared" si="404"/>
        <v/>
      </c>
      <c r="FT205" s="205">
        <f>IF($J205="",#N/A,SUM(FS$4:FS205))</f>
        <v>0</v>
      </c>
      <c r="FU205" s="205">
        <f>IF($J205="",#N/A,SUM(FS$4:FS205,FQ$4:FQ205,FO$4:FO205))</f>
        <v>0</v>
      </c>
      <c r="FV205" s="200" t="str">
        <f t="shared" si="405"/>
        <v/>
      </c>
      <c r="FW205" s="203">
        <f>IF($J205="",#N/A,SUM(FV$4:FV205))</f>
        <v>6.6834991831277585E-2</v>
      </c>
      <c r="FX205" s="204" t="str">
        <f t="shared" si="406"/>
        <v/>
      </c>
      <c r="FY205" s="204">
        <f>IF($J205="",#N/A,SUM(FX$4:FX205))</f>
        <v>-0.16102012791805576</v>
      </c>
      <c r="FZ205" s="205" t="str">
        <f t="shared" si="407"/>
        <v/>
      </c>
      <c r="GA205" s="205">
        <f>IF($J205="",#N/A,SUM(FZ$4:FZ205))</f>
        <v>-1.7642101813332194</v>
      </c>
      <c r="GB205" s="205">
        <f>IF($J205="",#N/A,SUM(FZ$4:FZ205,FX$4:FX205,FV$4:FV205))</f>
        <v>-1.8583953174199976</v>
      </c>
      <c r="GC205" s="200" t="str">
        <f t="shared" si="408"/>
        <v/>
      </c>
      <c r="GD205" s="203">
        <f>IF($J205="",#N/A,SUM(GC$4:GC205))</f>
        <v>0</v>
      </c>
      <c r="GE205" s="204" t="str">
        <f t="shared" si="409"/>
        <v/>
      </c>
      <c r="GF205" s="204">
        <f>IF($J205="",#N/A,SUM(GE$4:GE205))</f>
        <v>0</v>
      </c>
      <c r="GG205" s="205" t="str">
        <f t="shared" si="410"/>
        <v/>
      </c>
      <c r="GH205" s="205">
        <f>IF($J205="",#N/A,SUM(GG$4:GG205))</f>
        <v>-2.9368362277223206</v>
      </c>
      <c r="GI205" s="205">
        <f>IF($J205="",#N/A,SUM(GG$4:GG205,GE$4:GE205,GC$4:GC205))</f>
        <v>-2.9368362277223206</v>
      </c>
      <c r="GJ205" s="200" t="str">
        <f t="shared" si="411"/>
        <v/>
      </c>
      <c r="GK205" s="203">
        <f>IF($J205="",#N/A,SUM(GJ$4:GJ205))</f>
        <v>0</v>
      </c>
      <c r="GL205" s="204" t="str">
        <f t="shared" si="412"/>
        <v/>
      </c>
      <c r="GM205" s="204">
        <f>IF($J205="",#N/A,SUM(GL$4:GL205))</f>
        <v>-0.80168930905701452</v>
      </c>
      <c r="GN205" s="205" t="str">
        <f t="shared" si="413"/>
        <v/>
      </c>
      <c r="GO205" s="205">
        <f>IF($J205="",#N/A,SUM(GN$4:GN205))</f>
        <v>0</v>
      </c>
      <c r="GP205" s="205">
        <f>IF($J205="",#N/A,SUM(GN$4:GN205,GL$4:GL205,GJ$4:GJ205))</f>
        <v>-0.80168930905701452</v>
      </c>
      <c r="GS205" s="54">
        <f t="shared" si="432"/>
        <v>1.0546706844597495</v>
      </c>
      <c r="GT205" s="54">
        <f>IF(GS205="",NA(),SUM($GS$4:GS205))</f>
        <v>4.3630653989074268</v>
      </c>
      <c r="GU205" s="54" t="str">
        <f t="shared" si="414"/>
        <v/>
      </c>
      <c r="GV205" s="54" t="e">
        <f>IF(GU205="",NA(),SUM($GU$4:GU205))</f>
        <v>#N/A</v>
      </c>
      <c r="GW205" s="54" t="str">
        <f t="shared" si="415"/>
        <v/>
      </c>
      <c r="GX205" s="54" t="e">
        <f>IF(GW205="",NA(),SUM($GW$4:GW205))</f>
        <v>#N/A</v>
      </c>
      <c r="GY205" s="54">
        <f t="shared" si="416"/>
        <v>1.0546706844597495</v>
      </c>
      <c r="GZ205" s="54">
        <f>IF(GY205="",NA(),SUM($GY$4:GY205))</f>
        <v>3.0129199219597891</v>
      </c>
      <c r="HA205" s="54" t="str">
        <f t="shared" si="417"/>
        <v/>
      </c>
      <c r="HB205" s="54" t="e">
        <f>IF(HA205="",NA(),SUM($HA$4:HA205))</f>
        <v>#N/A</v>
      </c>
      <c r="HC205" s="54" t="str">
        <f t="shared" si="418"/>
        <v/>
      </c>
      <c r="HD205" s="54" t="e">
        <f>IF(HC205="",NA(),SUM($HC$4:HC205))</f>
        <v>#N/A</v>
      </c>
      <c r="HE205" s="54" t="str">
        <f t="shared" si="419"/>
        <v/>
      </c>
      <c r="HF205" s="54" t="e">
        <f>IF(HE205="",NA(),SUM($HE$4:HE205))</f>
        <v>#N/A</v>
      </c>
      <c r="HG205" s="54" t="str">
        <f t="shared" si="420"/>
        <v/>
      </c>
      <c r="HH205" s="54" t="e">
        <f>IF(HG205="",NA(),SUM($HG$4:HG205))</f>
        <v>#N/A</v>
      </c>
      <c r="HI205" s="172">
        <f t="shared" si="433"/>
        <v>-0.3587315253264457</v>
      </c>
      <c r="HJ205" s="172">
        <f>IF($J205="",#N/A,SUM(HI$4:$HI205))</f>
        <v>-7.5867314822824889</v>
      </c>
      <c r="HK205" s="54" t="str">
        <f t="shared" si="421"/>
        <v/>
      </c>
      <c r="HL205" s="54">
        <f>IF($J205="",#N/A,SUM($HK$4:HK205))</f>
        <v>-1.7688797361196436</v>
      </c>
      <c r="HM205" s="54" t="str">
        <f t="shared" si="422"/>
        <v/>
      </c>
      <c r="HN205" s="54">
        <f>IF($J205="",#N/A,SUM($HM$4:HM205))</f>
        <v>0.71812545963587882</v>
      </c>
      <c r="HO205" s="54" t="str">
        <f t="shared" si="423"/>
        <v/>
      </c>
      <c r="HP205" s="54">
        <f>IF($J205="",#N/A,SUM($HO$4:HO205))</f>
        <v>-0.12330714360158018</v>
      </c>
      <c r="HQ205" s="54" t="str">
        <f t="shared" si="424"/>
        <v/>
      </c>
      <c r="HR205" s="54">
        <f>IF($J205="",#N/A,SUM($HQ$4:HQ205))</f>
        <v>-13.495567554372498</v>
      </c>
      <c r="HS205" s="54" t="str">
        <f t="shared" si="425"/>
        <v/>
      </c>
      <c r="HT205" s="54">
        <f>IF($J205="",#N/A,SUM($HS$4:HS205))</f>
        <v>12.600845719340157</v>
      </c>
      <c r="HU205" s="65">
        <f t="shared" si="426"/>
        <v>0.69593915913330384</v>
      </c>
      <c r="HV205" s="65">
        <f>IF($J205="",#N/A,SUM(HU$4:$HU205))</f>
        <v>0.45676119185166025</v>
      </c>
    </row>
    <row r="206" spans="1:230" x14ac:dyDescent="0.25">
      <c r="A206" s="51" t="s">
        <v>1348</v>
      </c>
      <c r="B206" s="52" t="s">
        <v>4544</v>
      </c>
      <c r="C206" s="229">
        <f t="shared" si="327"/>
        <v>3</v>
      </c>
      <c r="D206" s="219" t="str">
        <f>_xlfn.XLOOKUP(A206,[1]SP500!$A$2:$A$502,[1]SP500!$D$2:$D$502,"N")</f>
        <v>Y</v>
      </c>
      <c r="E206" s="51" t="str">
        <f>IFERROR(_xlfn.XLOOKUP(A206,[1]SP500!$A$2:$A$655,[1]SP500!$B$2:$B$655),"")</f>
        <v>XLI</v>
      </c>
      <c r="F206" s="290">
        <v>45778</v>
      </c>
      <c r="G206" s="51" t="str">
        <f t="shared" si="328"/>
        <v>BMO</v>
      </c>
      <c r="H206" s="51" t="str">
        <f t="shared" si="329"/>
        <v>s</v>
      </c>
      <c r="I206" s="344">
        <v>605.05999999999995</v>
      </c>
      <c r="J206" s="124">
        <v>614.42999999999995</v>
      </c>
      <c r="K206" s="71">
        <f t="shared" si="330"/>
        <v>1.5486067497438279E-2</v>
      </c>
      <c r="L206" s="67">
        <f t="shared" si="331"/>
        <v>18.740000000000009</v>
      </c>
      <c r="M206" s="57">
        <f t="shared" si="332"/>
        <v>0</v>
      </c>
      <c r="N206" s="147">
        <f t="shared" si="333"/>
        <v>18.740000000000009</v>
      </c>
      <c r="O206" s="57">
        <f>IF(N206="",#N/A,SUM($N$4:N206))</f>
        <v>454.74136410061351</v>
      </c>
      <c r="P206" s="65">
        <f t="shared" si="427"/>
        <v>0.25810112495730464</v>
      </c>
      <c r="Q206" s="172">
        <f>IF($N206="",#N/A,SUM($P$4:P206))</f>
        <v>10.37037705420914</v>
      </c>
      <c r="R206" s="279">
        <f t="shared" si="334"/>
        <v>5.2990429272978758</v>
      </c>
      <c r="S206" s="51" t="str">
        <f t="shared" si="335"/>
        <v>SW</v>
      </c>
      <c r="T206" s="51" t="s">
        <v>2828</v>
      </c>
      <c r="U206" s="56">
        <f t="shared" si="336"/>
        <v>605.05999999999995</v>
      </c>
      <c r="V206" s="56" t="s">
        <v>4460</v>
      </c>
      <c r="W206" s="142">
        <v>2</v>
      </c>
      <c r="X206" s="145">
        <f t="shared" si="337"/>
        <v>1210.1199999999999</v>
      </c>
      <c r="Y206" s="140">
        <f t="shared" si="338"/>
        <v>2</v>
      </c>
      <c r="Z206" s="123">
        <v>614.42999999999995</v>
      </c>
      <c r="AA206" s="102">
        <f t="shared" si="339"/>
        <v>18.740000000000009</v>
      </c>
      <c r="AB206" s="102">
        <f t="shared" si="340"/>
        <v>10.120000000000118</v>
      </c>
      <c r="AC206" s="124">
        <v>610.12</v>
      </c>
      <c r="AD206" s="155">
        <f t="shared" si="341"/>
        <v>10.120000000000118</v>
      </c>
      <c r="AE206" s="545">
        <f t="shared" si="342"/>
        <v>0.13938011657246277</v>
      </c>
      <c r="AF206" s="57">
        <f>IF($AC206="",#N/A,SUM(AD$4:AD206))</f>
        <v>-41.740412002416292</v>
      </c>
      <c r="AG206" s="102">
        <f t="shared" si="343"/>
        <v>-8.6199999999998909</v>
      </c>
      <c r="AH206" s="102" t="s">
        <v>2507</v>
      </c>
      <c r="AI206" s="65">
        <f t="shared" si="344"/>
        <v>0.25810112495730464</v>
      </c>
      <c r="AJ206" s="54">
        <f>IF(AI206="",#N/A,SUM($AI$4:AI206))</f>
        <v>5.071334126911264</v>
      </c>
      <c r="AK206" s="144">
        <f t="shared" si="345"/>
        <v>18.740000000000009</v>
      </c>
      <c r="AL206" s="349">
        <f>IF(AI206="",#N/A,IF(AH206="Skip",SUM($AK$4:AK206),SUM($AK$4:AK206)))</f>
        <v>119.0975914928141</v>
      </c>
      <c r="AM206" s="65">
        <f t="shared" si="428"/>
        <v>0.13938011657246277</v>
      </c>
      <c r="AN206" s="211"/>
      <c r="AO206" s="65">
        <f t="shared" si="346"/>
        <v>0.13938011657246277</v>
      </c>
      <c r="AP206" s="65">
        <f>IF($AC206="",#N/A,SUM(AO$4:AO206))</f>
        <v>4.4848641213791414</v>
      </c>
      <c r="AQ206" s="65" t="str">
        <f t="shared" si="347"/>
        <v/>
      </c>
      <c r="AR206" s="65">
        <f>IF($AC206="",#N/A,SUM(AQ$4:AQ206))</f>
        <v>-2.9313495519085238</v>
      </c>
      <c r="AS206" s="65" t="str">
        <f t="shared" si="348"/>
        <v/>
      </c>
      <c r="AT206" s="65">
        <f>IF($AC206="",#N/A,SUM(AS$4:AS206))</f>
        <v>-0.95737326104649789</v>
      </c>
      <c r="AU206" s="57">
        <f t="shared" si="429"/>
        <v>10.120000000000118</v>
      </c>
      <c r="AV206" s="57">
        <f>IF($AC206="",#N/A,SUM(AU$4:AU206))</f>
        <v>165.81120645125111</v>
      </c>
      <c r="AW206" s="57" t="str">
        <f t="shared" si="430"/>
        <v/>
      </c>
      <c r="AX206" s="57">
        <f>IF($AC206="",#N/A,SUM(AW$4:AW206))</f>
        <v>-181.17000000000007</v>
      </c>
      <c r="AY206" s="57" t="str">
        <f t="shared" si="431"/>
        <v/>
      </c>
      <c r="AZ206" s="57">
        <f>IF($AC206="",#N/A,SUM(AY$4:AY206))</f>
        <v>-26.381618453667329</v>
      </c>
      <c r="BA206" s="57">
        <f>IF(AD206="",#N/A,SUM($AD$4:AD206))</f>
        <v>-41.740412002416292</v>
      </c>
      <c r="BC206" s="51" t="str">
        <f t="shared" si="349"/>
        <v/>
      </c>
      <c r="BD206" s="51" t="str">
        <f t="shared" si="350"/>
        <v/>
      </c>
      <c r="BE206" s="51">
        <f t="shared" si="351"/>
        <v>1</v>
      </c>
      <c r="BF206" s="51" t="str">
        <f t="shared" si="352"/>
        <v>Long</v>
      </c>
      <c r="BG206" s="51" t="str">
        <f t="shared" si="353"/>
        <v/>
      </c>
      <c r="BH206" s="51" t="str">
        <f t="shared" si="354"/>
        <v/>
      </c>
      <c r="BI206" s="51" t="str">
        <f t="shared" si="355"/>
        <v/>
      </c>
      <c r="BK206" s="65">
        <f t="shared" si="326"/>
        <v>0.19829560673249375</v>
      </c>
      <c r="BL206" s="65">
        <f t="shared" si="325"/>
        <v>0.10512394717620314</v>
      </c>
      <c r="BM206" s="65">
        <f>IFERROR(Q206/COUNTA($J$4:J206),#N/A)</f>
        <v>5.1085601252261775E-2</v>
      </c>
      <c r="BO206" s="489">
        <f>IF(J206="",#N/A,IF(S206="SW",(COUNTIFS(K$4:$K206,"&gt;0",S$4:$S206,"SW")/COUNTIF(S$4:$S206,"SW")),#N/A))</f>
        <v>0.51401869158878499</v>
      </c>
      <c r="BP206" s="489" t="e">
        <f>IF($J206="",#N/A,IF($S206="DWN",(COUNTIFS($K$4:$K206,"&lt;0",$S$4:$S206,"DWN")/COUNTIF($S$4:$S206,"DWN")),#N/A))</f>
        <v>#N/A</v>
      </c>
      <c r="BQ206" s="489" t="e">
        <f>IF($J206="",#N/A,IF($S206="UP",(COUNTIFS($K$4:$K206,"&gt;0",$S$4:$S206,"UP")/COUNTIF($S$4:$S206,"UP")),#N/A))</f>
        <v>#N/A</v>
      </c>
      <c r="BR206" s="489">
        <f>IF(J206="",#N/A,COUNTIF($K$4:K206,"&gt;0")/COUNT($J$4:J206))</f>
        <v>0.46798029556650245</v>
      </c>
      <c r="BS206" s="65">
        <f t="shared" si="356"/>
        <v>0.25810112495730464</v>
      </c>
      <c r="BT206" s="65" t="str">
        <f t="shared" si="357"/>
        <v/>
      </c>
      <c r="BU206" s="65" t="str">
        <f t="shared" si="358"/>
        <v/>
      </c>
      <c r="BV206" s="65" t="str">
        <f t="shared" si="359"/>
        <v/>
      </c>
      <c r="BW206" s="127" t="str">
        <f t="shared" si="360"/>
        <v/>
      </c>
      <c r="BX206" s="127">
        <f>IF($J206="",#N/A,SUM($BW$4:BW206))</f>
        <v>-224.65000000000032</v>
      </c>
      <c r="BY206" s="130" t="str">
        <f t="shared" si="361"/>
        <v/>
      </c>
      <c r="BZ206" s="130">
        <f>IF($J206="",#N/A,SUM($BY$4:BY206))</f>
        <v>479.47934038933431</v>
      </c>
      <c r="CA206" s="132">
        <f t="shared" si="362"/>
        <v>18.740000000000009</v>
      </c>
      <c r="CB206" s="132">
        <f>IF($J206="",#N/A,SUM($CA$4:CA206))</f>
        <v>199.91202371127955</v>
      </c>
      <c r="CC206" s="197" t="str">
        <f t="shared" si="363"/>
        <v/>
      </c>
      <c r="CD206" s="197">
        <f>IF($J206="",#N/A,SUM($CC$4:CC206))</f>
        <v>-3.5261678679428221</v>
      </c>
      <c r="CE206" s="198" t="str">
        <f t="shared" si="364"/>
        <v/>
      </c>
      <c r="CF206" s="198">
        <f>IF($J206="",#N/A,SUM($CE$4:CE206))</f>
        <v>8.39823795735564</v>
      </c>
      <c r="CG206" s="199">
        <f t="shared" si="365"/>
        <v>0.25810112495730464</v>
      </c>
      <c r="CH206" s="193">
        <f>IF($J206="",#N/A,SUM($CG$4:CG206))</f>
        <v>5.4983069647963294</v>
      </c>
      <c r="CI206" s="200" t="str">
        <f t="shared" si="366"/>
        <v/>
      </c>
      <c r="CJ206" s="206">
        <f>IF($J206="",#N/A,SUM(CI$4:CI206))</f>
        <v>0</v>
      </c>
      <c r="CK206" s="207" t="str">
        <f t="shared" si="367"/>
        <v/>
      </c>
      <c r="CL206" s="207">
        <f>IF($J206="",#N/A,SUM(CK$4:CK206))</f>
        <v>1.9927003554442289</v>
      </c>
      <c r="CM206" s="208" t="str">
        <f t="shared" si="368"/>
        <v/>
      </c>
      <c r="CN206" s="208">
        <f>IF($J206="",#N/A,SUM(CM$4:CM206))</f>
        <v>5.6091171609382364</v>
      </c>
      <c r="CO206" s="208">
        <f>IF($J206="",#N/A,SUM(CM$4:CM206,CK$4:CK206,CI$4:CI206))</f>
        <v>7.6018175163824644</v>
      </c>
      <c r="CP206" s="200" t="str">
        <f t="shared" si="369"/>
        <v/>
      </c>
      <c r="CQ206" s="206">
        <f>IF($J206="",#N/A,SUM(CP$4:CP206))</f>
        <v>0</v>
      </c>
      <c r="CR206" s="207" t="str">
        <f t="shared" si="370"/>
        <v/>
      </c>
      <c r="CS206" s="207">
        <f>IF($J206="",#N/A,SUM(CR$4:CR206))</f>
        <v>4.2989225684455388</v>
      </c>
      <c r="CT206" s="208" t="str">
        <f t="shared" si="371"/>
        <v/>
      </c>
      <c r="CU206" s="208">
        <f>IF($J206="",#N/A,SUM(CT$4:CT206))</f>
        <v>-1.1331655471946371</v>
      </c>
      <c r="CV206" s="208">
        <f>IF($J206="",#N/A,SUM(CT$4:CT206,CR$4:CR206,CP$4:CP206))</f>
        <v>3.1657570212509012</v>
      </c>
      <c r="CW206" s="200" t="str">
        <f t="shared" si="372"/>
        <v/>
      </c>
      <c r="CX206" s="206">
        <f>IF($J206="",#N/A,SUM(CW$4:CW206))</f>
        <v>-0.33865165024245297</v>
      </c>
      <c r="CY206" s="207" t="str">
        <f t="shared" si="373"/>
        <v/>
      </c>
      <c r="CZ206" s="207">
        <f>IF($J206="",#N/A,SUM(CY$4:CY206))</f>
        <v>-1.0974100761627814</v>
      </c>
      <c r="DA206" s="208" t="str">
        <f t="shared" si="374"/>
        <v/>
      </c>
      <c r="DB206" s="208">
        <f>IF($J206="",#N/A,SUM(DA$4:DA206))</f>
        <v>-2.2679577914291</v>
      </c>
      <c r="DC206" s="208">
        <f>IF($J206="",#N/A,SUM(DA$4:DA206,CY$4:CY206,CW$4:CW206))</f>
        <v>-3.7040195178343338</v>
      </c>
      <c r="DD206" s="200" t="str">
        <f t="shared" si="375"/>
        <v/>
      </c>
      <c r="DE206" s="206">
        <f>IF($J206="",#N/A,SUM(DD$4:DD206))</f>
        <v>0.14968716170674062</v>
      </c>
      <c r="DF206" s="207" t="str">
        <f t="shared" si="376"/>
        <v/>
      </c>
      <c r="DG206" s="207">
        <f>IF($J206="",#N/A,SUM(DF$4:DF206))</f>
        <v>1.2121188689979676</v>
      </c>
      <c r="DH206" s="208" t="str">
        <f t="shared" si="377"/>
        <v/>
      </c>
      <c r="DI206" s="208">
        <f>IF($J206="",#N/A,SUM(DH$4:DH206))</f>
        <v>-0.8404015973735236</v>
      </c>
      <c r="DJ206" s="208">
        <f>IF($J206="",#N/A,SUM(DH$4:DH206,DF$4:DF206,DD$4:DD206))</f>
        <v>0.52140443333118447</v>
      </c>
      <c r="DK206" s="200" t="str">
        <f t="shared" si="378"/>
        <v/>
      </c>
      <c r="DL206" s="206">
        <f>IF($J206="",#N/A,SUM(DK$4:DK206))</f>
        <v>-1.2097286851272664</v>
      </c>
      <c r="DM206" s="207" t="str">
        <f t="shared" si="379"/>
        <v/>
      </c>
      <c r="DN206" s="207">
        <f>IF($J206="",#N/A,SUM(DM$4:DM206))</f>
        <v>1.1910608267574658</v>
      </c>
      <c r="DO206" s="208" t="str">
        <f t="shared" si="380"/>
        <v/>
      </c>
      <c r="DP206" s="208">
        <f>IF($J206="",#N/A,SUM(DO$4:DO206))</f>
        <v>2.6571865116636566</v>
      </c>
      <c r="DQ206" s="208">
        <f>IF($J206="",#N/A,SUM(DO$4:DO206,DM$4:DM206,DK$4:DK206))</f>
        <v>2.6385186532938567</v>
      </c>
      <c r="DR206" s="200" t="str">
        <f t="shared" si="381"/>
        <v/>
      </c>
      <c r="DS206" s="206">
        <f>IF($J206="",#N/A,SUM(DR$4:DR206))</f>
        <v>-0.55950946427675097</v>
      </c>
      <c r="DT206" s="207" t="str">
        <f t="shared" si="382"/>
        <v/>
      </c>
      <c r="DU206" s="207">
        <f>IF($J206="",#N/A,SUM(DT$4:DT206))</f>
        <v>-3.5029740333397914</v>
      </c>
      <c r="DV206" s="208" t="str">
        <f t="shared" si="383"/>
        <v/>
      </c>
      <c r="DW206" s="208">
        <f>IF($J206="",#N/A,SUM(DV$4:DV206))</f>
        <v>-1.1099074520338865</v>
      </c>
      <c r="DX206" s="208">
        <f>IF($J206="",#N/A,SUM(DV$4:DV206,DT$4:DT206,DR$4:DR206))</f>
        <v>-5.1723909496504286</v>
      </c>
      <c r="DY206" s="200" t="str">
        <f t="shared" si="384"/>
        <v/>
      </c>
      <c r="DZ206" s="206">
        <f>IF($J206="",#N/A,SUM(DY$4:DY206))</f>
        <v>-1.63480022183437</v>
      </c>
      <c r="EA206" s="207" t="str">
        <f t="shared" si="385"/>
        <v/>
      </c>
      <c r="EB206" s="207">
        <f>IF($J206="",#N/A,SUM(EA$4:EA206))</f>
        <v>0.65158371441459195</v>
      </c>
      <c r="EC206" s="208">
        <f t="shared" si="386"/>
        <v>0.25810112495730464</v>
      </c>
      <c r="ED206" s="208">
        <f>IF($J206="",#N/A,SUM(EC$4:EC206))</f>
        <v>2.8358292304043822</v>
      </c>
      <c r="EE206" s="208">
        <f>IF($J206="",#N/A,SUM(EC$4:EC206,EA$4:EA206,DY$4:DY206))</f>
        <v>1.8526127229846032</v>
      </c>
      <c r="EF206" s="200" t="str">
        <f t="shared" si="387"/>
        <v/>
      </c>
      <c r="EG206" s="206">
        <f>IF($J206="",#N/A,SUM(EF$4:EF206))</f>
        <v>0</v>
      </c>
      <c r="EH206" s="207" t="str">
        <f t="shared" si="388"/>
        <v/>
      </c>
      <c r="EI206" s="207">
        <f>IF($J206="",#N/A,SUM(EH$4:EH206))</f>
        <v>-2.6267690330909645</v>
      </c>
      <c r="EJ206" s="208" t="str">
        <f t="shared" si="389"/>
        <v/>
      </c>
      <c r="EK206" s="208">
        <f>IF($J206="",#N/A,SUM(EJ$4:EJ206))</f>
        <v>2.804966392787259</v>
      </c>
      <c r="EL206" s="208">
        <f>IF($J206="",#N/A,SUM(EJ$4:EJ206,EH$4:EH206,EF$4:EF206))</f>
        <v>0.17819735969629541</v>
      </c>
      <c r="EM206" s="200" t="str">
        <f t="shared" si="390"/>
        <v/>
      </c>
      <c r="EN206" s="206">
        <f>IF($J206="",#N/A,SUM(EM$4:EM206))</f>
        <v>0</v>
      </c>
      <c r="EO206" s="207" t="str">
        <f t="shared" si="391"/>
        <v/>
      </c>
      <c r="EP206" s="207">
        <f>IF($J206="",#N/A,SUM(EO$4:EO206))</f>
        <v>3.2406646352184261</v>
      </c>
      <c r="EQ206" s="208" t="str">
        <f t="shared" si="392"/>
        <v/>
      </c>
      <c r="ER206" s="208">
        <f>IF($J206="",#N/A,SUM(EQ$4:EQ206))</f>
        <v>2.0221833315059508</v>
      </c>
      <c r="ES206" s="208">
        <f>IF($J206="",#N/A,SUM(EQ$4:EQ206,EO$4:EO206,EM$4:EM206))</f>
        <v>5.2628479667243759</v>
      </c>
      <c r="ET206" s="200" t="str">
        <f t="shared" si="393"/>
        <v/>
      </c>
      <c r="EU206" s="206">
        <f>IF($J206="",#N/A,SUM(ET$4:ET206))</f>
        <v>0</v>
      </c>
      <c r="EV206" s="207" t="str">
        <f t="shared" si="394"/>
        <v/>
      </c>
      <c r="EW206" s="207">
        <f>IF($J206="",#N/A,SUM(EV$4:EV206))</f>
        <v>1.9901851109977766</v>
      </c>
      <c r="EX206" s="208" t="str">
        <f t="shared" si="395"/>
        <v/>
      </c>
      <c r="EY206" s="208">
        <f>IF($J206="",#N/A,SUM(EX$4:EX206))</f>
        <v>-9.038537462898949E-2</v>
      </c>
      <c r="EZ206" s="208">
        <f>IF($J206="",#N/A,SUM(EX$4:EX206,EV$4:EV206,ET$4:ET206))</f>
        <v>1.8997997363687871</v>
      </c>
      <c r="FA206" s="200" t="str">
        <f t="shared" si="396"/>
        <v/>
      </c>
      <c r="FB206" s="206">
        <f>IF($J206="",#N/A,SUM(FA$4:FA206))</f>
        <v>0</v>
      </c>
      <c r="FC206" s="207" t="str">
        <f t="shared" si="397"/>
        <v/>
      </c>
      <c r="FD206" s="207">
        <f>IF($J206="",#N/A,SUM(FC$4:FC206))</f>
        <v>1.6839191319663924</v>
      </c>
      <c r="FE206" s="208" t="str">
        <f t="shared" si="398"/>
        <v/>
      </c>
      <c r="FF206" s="208">
        <f>IF($J206="",#N/A,SUM(FE$4:FE206))</f>
        <v>-0.28811149078748233</v>
      </c>
      <c r="FG206" s="208">
        <f>IF($J206="",#N/A,SUM(FE$4:FE206,FC$4:FC206,FA$4:FA206))</f>
        <v>1.3958076411789102</v>
      </c>
      <c r="FH206" s="200" t="str">
        <f t="shared" si="399"/>
        <v/>
      </c>
      <c r="FI206" s="206">
        <f>IF($J206="",#N/A,SUM(FH$4:FH206))</f>
        <v>0</v>
      </c>
      <c r="FJ206" s="207" t="str">
        <f t="shared" si="400"/>
        <v/>
      </c>
      <c r="FK206" s="207">
        <f>IF($J206="",#N/A,SUM(FJ$4:FJ206))</f>
        <v>0</v>
      </c>
      <c r="FL206" s="208" t="str">
        <f t="shared" si="401"/>
        <v/>
      </c>
      <c r="FM206" s="208">
        <f>IF($J206="",#N/A,SUM(FL$4:FL206))</f>
        <v>0</v>
      </c>
      <c r="FN206" s="208">
        <f>IF($J206="",#N/A,SUM(FL$4:FL206,FJ$4:FJ206,FH$4:FH206))</f>
        <v>0</v>
      </c>
      <c r="FO206" s="200" t="str">
        <f t="shared" si="402"/>
        <v/>
      </c>
      <c r="FP206" s="206">
        <f>IF($J206="",#N/A,SUM(FO$4:FO206))</f>
        <v>0</v>
      </c>
      <c r="FQ206" s="207" t="str">
        <f t="shared" si="403"/>
        <v/>
      </c>
      <c r="FR206" s="207">
        <f>IF($J206="",#N/A,SUM(FQ$4:FQ206))</f>
        <v>0</v>
      </c>
      <c r="FS206" s="208" t="str">
        <f t="shared" si="404"/>
        <v/>
      </c>
      <c r="FT206" s="208">
        <f>IF($J206="",#N/A,SUM(FS$4:FS206))</f>
        <v>0</v>
      </c>
      <c r="FU206" s="208">
        <f>IF($J206="",#N/A,SUM(FS$4:FS206,FQ$4:FQ206,FO$4:FO206))</f>
        <v>0</v>
      </c>
      <c r="FV206" s="200" t="str">
        <f t="shared" si="405"/>
        <v/>
      </c>
      <c r="FW206" s="206">
        <f>IF($J206="",#N/A,SUM(FV$4:FV206))</f>
        <v>6.6834991831277585E-2</v>
      </c>
      <c r="FX206" s="207" t="str">
        <f t="shared" si="406"/>
        <v/>
      </c>
      <c r="FY206" s="207">
        <f>IF($J206="",#N/A,SUM(FX$4:FX206))</f>
        <v>-0.16102012791805576</v>
      </c>
      <c r="FZ206" s="208" t="str">
        <f t="shared" si="407"/>
        <v/>
      </c>
      <c r="GA206" s="208">
        <f>IF($J206="",#N/A,SUM(FZ$4:FZ206))</f>
        <v>-1.7642101813332194</v>
      </c>
      <c r="GB206" s="208">
        <f>IF($J206="",#N/A,SUM(FZ$4:FZ206,FX$4:FX206,FV$4:FV206))</f>
        <v>-1.8583953174199976</v>
      </c>
      <c r="GC206" s="200" t="str">
        <f t="shared" si="408"/>
        <v/>
      </c>
      <c r="GD206" s="206">
        <f>IF($J206="",#N/A,SUM(GC$4:GC206))</f>
        <v>0</v>
      </c>
      <c r="GE206" s="207" t="str">
        <f t="shared" si="409"/>
        <v/>
      </c>
      <c r="GF206" s="207">
        <f>IF($J206="",#N/A,SUM(GE$4:GE206))</f>
        <v>0</v>
      </c>
      <c r="GG206" s="208" t="str">
        <f t="shared" si="410"/>
        <v/>
      </c>
      <c r="GH206" s="208">
        <f>IF($J206="",#N/A,SUM(GG$4:GG206))</f>
        <v>-2.9368362277223206</v>
      </c>
      <c r="GI206" s="208">
        <f>IF($J206="",#N/A,SUM(GG$4:GG206,GE$4:GE206,GC$4:GC206))</f>
        <v>-2.9368362277223206</v>
      </c>
      <c r="GJ206" s="200" t="str">
        <f t="shared" si="411"/>
        <v/>
      </c>
      <c r="GK206" s="206">
        <f>IF($J206="",#N/A,SUM(GJ$4:GJ206))</f>
        <v>0</v>
      </c>
      <c r="GL206" s="207" t="str">
        <f t="shared" si="412"/>
        <v/>
      </c>
      <c r="GM206" s="207">
        <f>IF($J206="",#N/A,SUM(GL$4:GL206))</f>
        <v>-0.80168930905701452</v>
      </c>
      <c r="GN206" s="208" t="str">
        <f t="shared" si="413"/>
        <v/>
      </c>
      <c r="GO206" s="208">
        <f>IF($J206="",#N/A,SUM(GN$4:GN206))</f>
        <v>0</v>
      </c>
      <c r="GP206" s="208">
        <f>IF($J206="",#N/A,SUM(GN$4:GN206,GL$4:GL206,GJ$4:GJ206))</f>
        <v>-0.80168930905701452</v>
      </c>
      <c r="GS206" s="54">
        <f t="shared" si="432"/>
        <v>0.25810112495730464</v>
      </c>
      <c r="GT206" s="54">
        <f>IF(GS206="",NA(),SUM($GS$4:GS206))</f>
        <v>4.6211665238647317</v>
      </c>
      <c r="GU206" s="54" t="str">
        <f t="shared" si="414"/>
        <v/>
      </c>
      <c r="GV206" s="54" t="e">
        <f>IF(GU206="",NA(),SUM($GU$4:GU206))</f>
        <v>#N/A</v>
      </c>
      <c r="GW206" s="54">
        <f t="shared" si="415"/>
        <v>0.25810112495730464</v>
      </c>
      <c r="GX206" s="54">
        <f>IF(GW206="",NA(),SUM($GW$4:GW206))</f>
        <v>5.1344144698477692</v>
      </c>
      <c r="GY206" s="54" t="str">
        <f t="shared" si="416"/>
        <v/>
      </c>
      <c r="GZ206" s="54" t="e">
        <f>IF(GY206="",NA(),SUM($GY$4:GY206))</f>
        <v>#N/A</v>
      </c>
      <c r="HA206" s="54" t="str">
        <f t="shared" si="417"/>
        <v/>
      </c>
      <c r="HB206" s="54" t="e">
        <f>IF(HA206="",NA(),SUM($HA$4:HA206))</f>
        <v>#N/A</v>
      </c>
      <c r="HC206" s="54" t="str">
        <f t="shared" si="418"/>
        <v/>
      </c>
      <c r="HD206" s="54" t="e">
        <f>IF(HC206="",NA(),SUM($HC$4:HC206))</f>
        <v>#N/A</v>
      </c>
      <c r="HE206" s="54" t="str">
        <f t="shared" si="419"/>
        <v/>
      </c>
      <c r="HF206" s="54" t="e">
        <f>IF(HE206="",NA(),SUM($HE$4:HE206))</f>
        <v>#N/A</v>
      </c>
      <c r="HG206" s="54" t="str">
        <f t="shared" si="420"/>
        <v/>
      </c>
      <c r="HH206" s="54" t="e">
        <f>IF(HG206="",NA(),SUM($HG$4:HG206))</f>
        <v>#N/A</v>
      </c>
      <c r="HI206" s="172" t="str">
        <f t="shared" si="433"/>
        <v/>
      </c>
      <c r="HJ206" s="172">
        <f>IF($J206="",#N/A,SUM(HI$4:$HI206))</f>
        <v>-7.5867314822824889</v>
      </c>
      <c r="HK206" s="54" t="str">
        <f t="shared" si="421"/>
        <v/>
      </c>
      <c r="HL206" s="54">
        <f>IF($J206="",#N/A,SUM($HK$4:HK206))</f>
        <v>-1.7688797361196436</v>
      </c>
      <c r="HM206" s="54" t="str">
        <f t="shared" si="422"/>
        <v/>
      </c>
      <c r="HN206" s="54">
        <f>IF($J206="",#N/A,SUM($HM$4:HM206))</f>
        <v>0.71812545963587882</v>
      </c>
      <c r="HO206" s="54" t="str">
        <f t="shared" si="423"/>
        <v/>
      </c>
      <c r="HP206" s="54">
        <f>IF($J206="",#N/A,SUM($HO$4:HO206))</f>
        <v>-0.12330714360158018</v>
      </c>
      <c r="HQ206" s="54">
        <f t="shared" si="424"/>
        <v>-0.11872100838484187</v>
      </c>
      <c r="HR206" s="54">
        <f>IF($J206="",#N/A,SUM($HQ$4:HQ206))</f>
        <v>-13.61428856275734</v>
      </c>
      <c r="HS206" s="54" t="str">
        <f t="shared" si="425"/>
        <v/>
      </c>
      <c r="HT206" s="54">
        <f>IF($J206="",#N/A,SUM($HS$4:HS206))</f>
        <v>12.600845719340157</v>
      </c>
      <c r="HU206" s="65">
        <f t="shared" si="426"/>
        <v>0.13938011657246277</v>
      </c>
      <c r="HV206" s="65">
        <f>IF($J206="",#N/A,SUM(HU$4:$HU206))</f>
        <v>0.59614130842412305</v>
      </c>
    </row>
    <row r="207" spans="1:230" x14ac:dyDescent="0.25">
      <c r="A207" s="51" t="s">
        <v>16</v>
      </c>
      <c r="B207" s="52" t="s">
        <v>4544</v>
      </c>
      <c r="C207" s="229">
        <f t="shared" si="327"/>
        <v>1</v>
      </c>
      <c r="D207" s="219" t="str">
        <f>_xlfn.XLOOKUP(A207,[1]SP500!$A$2:$A$502,[1]SP500!$D$2:$D$502,"N")</f>
        <v>Y</v>
      </c>
      <c r="E207" s="51" t="str">
        <f>IFERROR(_xlfn.XLOOKUP(A207,[1]SP500!$A$2:$A$655,[1]SP500!$B$2:$B$655),"")</f>
        <v>XLV</v>
      </c>
      <c r="F207" s="290">
        <v>45778</v>
      </c>
      <c r="G207" s="51" t="str">
        <f t="shared" si="328"/>
        <v>BMO</v>
      </c>
      <c r="H207" s="51" t="str">
        <f t="shared" si="329"/>
        <v>s</v>
      </c>
      <c r="I207" s="344">
        <v>141.29</v>
      </c>
      <c r="J207" s="124">
        <v>140.01</v>
      </c>
      <c r="K207" s="71">
        <f t="shared" si="330"/>
        <v>-9.0593814141128257E-3</v>
      </c>
      <c r="L207" s="67">
        <f t="shared" si="331"/>
        <v>-8.9600000000000364</v>
      </c>
      <c r="M207" s="57">
        <f t="shared" si="332"/>
        <v>-23.099999999999909</v>
      </c>
      <c r="N207" s="147">
        <f t="shared" si="333"/>
        <v>-8.9600000000000364</v>
      </c>
      <c r="O207" s="57">
        <f>IF(N207="",#N/A,SUM($N$4:N207))</f>
        <v>445.78136410061347</v>
      </c>
      <c r="P207" s="65">
        <f t="shared" si="427"/>
        <v>-0.15098969023521425</v>
      </c>
      <c r="Q207" s="172">
        <f>IF($N207="",#N/A,SUM($P$4:P207))</f>
        <v>10.219387363973926</v>
      </c>
      <c r="R207" s="279">
        <f t="shared" si="334"/>
        <v>5.6883132224355348</v>
      </c>
      <c r="S207" s="51" t="str">
        <f t="shared" si="335"/>
        <v>Up</v>
      </c>
      <c r="T207" s="51" t="s">
        <v>4461</v>
      </c>
      <c r="U207" s="56">
        <f t="shared" si="336"/>
        <v>141.29</v>
      </c>
      <c r="V207" s="56" t="s">
        <v>4460</v>
      </c>
      <c r="W207" s="142">
        <v>7</v>
      </c>
      <c r="X207" s="145">
        <f t="shared" si="337"/>
        <v>989.03</v>
      </c>
      <c r="Y207" s="140">
        <f t="shared" si="338"/>
        <v>7</v>
      </c>
      <c r="Z207" s="123">
        <v>136.71</v>
      </c>
      <c r="AA207" s="102">
        <f t="shared" si="339"/>
        <v>-32.059999999999945</v>
      </c>
      <c r="AB207" s="102">
        <f t="shared" si="340"/>
        <v>29.680000000000064</v>
      </c>
      <c r="AC207" s="124">
        <v>145.53</v>
      </c>
      <c r="AD207" s="155">
        <f t="shared" si="341"/>
        <v>29.680000000000064</v>
      </c>
      <c r="AE207" s="545">
        <f t="shared" si="342"/>
        <v>0.5001533489041462</v>
      </c>
      <c r="AF207" s="57">
        <f>IF($AC207="",#N/A,SUM(AD$4:AD207))</f>
        <v>-12.060412002416228</v>
      </c>
      <c r="AG207" s="102">
        <f t="shared" si="343"/>
        <v>38.6400000000001</v>
      </c>
      <c r="AH207" s="102" t="s">
        <v>2507</v>
      </c>
      <c r="AI207" s="65">
        <f t="shared" si="344"/>
        <v>-0.5402599853728729</v>
      </c>
      <c r="AJ207" s="54">
        <f>IF(AI207="",#N/A,SUM($AI$4:AI207))</f>
        <v>4.5310741415383911</v>
      </c>
      <c r="AK207" s="144">
        <f t="shared" si="345"/>
        <v>-32.059999999999945</v>
      </c>
      <c r="AL207" s="349">
        <f>IF(AI207="",#N/A,IF(AH207="Skip",SUM($AK$4:AK207),SUM($AK$4:AK207)))</f>
        <v>87.037591492814158</v>
      </c>
      <c r="AM207" s="65">
        <f t="shared" si="428"/>
        <v>0.5001533489041462</v>
      </c>
      <c r="AN207" s="210"/>
      <c r="AO207" s="65" t="str">
        <f t="shared" si="346"/>
        <v/>
      </c>
      <c r="AP207" s="65">
        <f>IF($AC207="",#N/A,SUM(AO$4:AO207))</f>
        <v>4.4848641213791414</v>
      </c>
      <c r="AQ207" s="65">
        <f t="shared" si="347"/>
        <v>0.5001533489041462</v>
      </c>
      <c r="AR207" s="65">
        <f>IF($AC207="",#N/A,SUM(AQ$4:AQ207))</f>
        <v>-2.4311962030043777</v>
      </c>
      <c r="AS207" s="65" t="str">
        <f t="shared" si="348"/>
        <v/>
      </c>
      <c r="AT207" s="65">
        <f>IF($AC207="",#N/A,SUM(AS$4:AS207))</f>
        <v>-0.95737326104649789</v>
      </c>
      <c r="AU207" s="57" t="str">
        <f t="shared" si="429"/>
        <v/>
      </c>
      <c r="AV207" s="57">
        <f>IF($AC207="",#N/A,SUM(AU$4:AU207))</f>
        <v>165.81120645125111</v>
      </c>
      <c r="AW207" s="57">
        <f t="shared" si="430"/>
        <v>29.680000000000064</v>
      </c>
      <c r="AX207" s="57">
        <f>IF($AC207="",#N/A,SUM(AW$4:AW207))</f>
        <v>-151.49</v>
      </c>
      <c r="AY207" s="57" t="str">
        <f t="shared" si="431"/>
        <v/>
      </c>
      <c r="AZ207" s="57">
        <f>IF($AC207="",#N/A,SUM(AY$4:AY207))</f>
        <v>-26.381618453667329</v>
      </c>
      <c r="BA207" s="57">
        <f>IF(AD207="",#N/A,SUM($AD$4:AD207))</f>
        <v>-12.060412002416228</v>
      </c>
      <c r="BC207" s="51" t="str">
        <f t="shared" si="349"/>
        <v/>
      </c>
      <c r="BD207" s="51" t="str">
        <f t="shared" si="350"/>
        <v/>
      </c>
      <c r="BE207" s="51" t="str">
        <f t="shared" si="351"/>
        <v/>
      </c>
      <c r="BF207" s="51" t="str">
        <f t="shared" si="352"/>
        <v>Long</v>
      </c>
      <c r="BG207" s="51" t="str">
        <f t="shared" si="353"/>
        <v/>
      </c>
      <c r="BH207" s="51">
        <f t="shared" si="354"/>
        <v>1</v>
      </c>
      <c r="BI207" s="51" t="str">
        <f t="shared" si="355"/>
        <v/>
      </c>
      <c r="BK207" s="65">
        <f t="shared" si="326"/>
        <v>0.2021860963665339</v>
      </c>
      <c r="BL207" s="65">
        <f t="shared" si="325"/>
        <v>7.7773926996819828E-2</v>
      </c>
      <c r="BM207" s="65">
        <f>IFERROR(Q207/COUNTA($J$4:J207),#N/A)</f>
        <v>5.0095036097911404E-2</v>
      </c>
      <c r="BO207" s="489" t="e">
        <f>IF(J207="",#N/A,IF(S207="SW",(COUNTIFS(K$4:$K207,"&gt;0",S$4:$S207,"SW")/COUNTIF(S$4:$S207,"SW")),#N/A))</f>
        <v>#N/A</v>
      </c>
      <c r="BP207" s="489" t="e">
        <f>IF($J207="",#N/A,IF($S207="DWN",(COUNTIFS($K$4:$K207,"&lt;0",$S$4:$S207,"DWN")/COUNTIF($S$4:$S207,"DWN")),#N/A))</f>
        <v>#N/A</v>
      </c>
      <c r="BQ207" s="489">
        <f>IF($J207="",#N/A,IF($S207="UP",(COUNTIFS($K$4:$K207,"&gt;0",$S$4:$S207,"UP")/COUNTIF($S$4:$S207,"UP")),#N/A))</f>
        <v>0.3</v>
      </c>
      <c r="BR207" s="489">
        <f>IF(J207="",#N/A,COUNTIF($K$4:K207,"&gt;0")/COUNT($J$4:J207))</f>
        <v>0.46568627450980393</v>
      </c>
      <c r="BS207" s="65" t="str">
        <f t="shared" si="356"/>
        <v/>
      </c>
      <c r="BT207" s="65">
        <f t="shared" si="357"/>
        <v>-0.15098969023521425</v>
      </c>
      <c r="BU207" s="65" t="str">
        <f t="shared" si="358"/>
        <v/>
      </c>
      <c r="BV207" s="65" t="str">
        <f t="shared" si="359"/>
        <v/>
      </c>
      <c r="BW207" s="127">
        <f t="shared" si="360"/>
        <v>-8.9600000000000364</v>
      </c>
      <c r="BX207" s="127">
        <f>IF($J207="",#N/A,SUM($BW$4:BW207))</f>
        <v>-233.61000000000035</v>
      </c>
      <c r="BY207" s="130" t="str">
        <f t="shared" si="361"/>
        <v/>
      </c>
      <c r="BZ207" s="130">
        <f>IF($J207="",#N/A,SUM($BY$4:BY207))</f>
        <v>479.47934038933431</v>
      </c>
      <c r="CA207" s="132" t="str">
        <f t="shared" si="362"/>
        <v/>
      </c>
      <c r="CB207" s="132">
        <f>IF($J207="",#N/A,SUM($CA$4:CA207))</f>
        <v>199.91202371127955</v>
      </c>
      <c r="CC207" s="197">
        <f t="shared" si="363"/>
        <v>-0.15098969023521425</v>
      </c>
      <c r="CD207" s="197">
        <f>IF($J207="",#N/A,SUM($CC$4:CC207))</f>
        <v>-3.6771575581780365</v>
      </c>
      <c r="CE207" s="198" t="str">
        <f t="shared" si="364"/>
        <v/>
      </c>
      <c r="CF207" s="198">
        <f>IF($J207="",#N/A,SUM($CE$4:CE207))</f>
        <v>8.39823795735564</v>
      </c>
      <c r="CG207" s="199" t="str">
        <f t="shared" si="365"/>
        <v/>
      </c>
      <c r="CH207" s="193">
        <f>IF($J207="",#N/A,SUM($CG$4:CG207))</f>
        <v>5.4983069647963294</v>
      </c>
      <c r="CI207" s="200" t="str">
        <f t="shared" si="366"/>
        <v/>
      </c>
      <c r="CJ207" s="206">
        <f>IF($J207="",#N/A,SUM(CI$4:CI207))</f>
        <v>0</v>
      </c>
      <c r="CK207" s="207" t="str">
        <f t="shared" si="367"/>
        <v/>
      </c>
      <c r="CL207" s="207">
        <f>IF($J207="",#N/A,SUM(CK$4:CK207))</f>
        <v>1.9927003554442289</v>
      </c>
      <c r="CM207" s="208" t="str">
        <f t="shared" si="368"/>
        <v/>
      </c>
      <c r="CN207" s="208">
        <f>IF($J207="",#N/A,SUM(CM$4:CM207))</f>
        <v>5.6091171609382364</v>
      </c>
      <c r="CO207" s="208">
        <f>IF($J207="",#N/A,SUM(CM$4:CM207,CK$4:CK207,CI$4:CI207))</f>
        <v>7.6018175163824644</v>
      </c>
      <c r="CP207" s="200" t="str">
        <f t="shared" si="369"/>
        <v/>
      </c>
      <c r="CQ207" s="206">
        <f>IF($J207="",#N/A,SUM(CP$4:CP207))</f>
        <v>0</v>
      </c>
      <c r="CR207" s="207" t="str">
        <f t="shared" si="370"/>
        <v/>
      </c>
      <c r="CS207" s="207">
        <f>IF($J207="",#N/A,SUM(CR$4:CR207))</f>
        <v>4.2989225684455388</v>
      </c>
      <c r="CT207" s="208" t="str">
        <f t="shared" si="371"/>
        <v/>
      </c>
      <c r="CU207" s="208">
        <f>IF($J207="",#N/A,SUM(CT$4:CT207))</f>
        <v>-1.1331655471946371</v>
      </c>
      <c r="CV207" s="208">
        <f>IF($J207="",#N/A,SUM(CT$4:CT207,CR$4:CR207,CP$4:CP207))</f>
        <v>3.1657570212509012</v>
      </c>
      <c r="CW207" s="200" t="str">
        <f t="shared" si="372"/>
        <v/>
      </c>
      <c r="CX207" s="206">
        <f>IF($J207="",#N/A,SUM(CW$4:CW207))</f>
        <v>-0.33865165024245297</v>
      </c>
      <c r="CY207" s="207" t="str">
        <f t="shared" si="373"/>
        <v/>
      </c>
      <c r="CZ207" s="207">
        <f>IF($J207="",#N/A,SUM(CY$4:CY207))</f>
        <v>-1.0974100761627814</v>
      </c>
      <c r="DA207" s="208" t="str">
        <f t="shared" si="374"/>
        <v/>
      </c>
      <c r="DB207" s="208">
        <f>IF($J207="",#N/A,SUM(DA$4:DA207))</f>
        <v>-2.2679577914291</v>
      </c>
      <c r="DC207" s="208">
        <f>IF($J207="",#N/A,SUM(DA$4:DA207,CY$4:CY207,CW$4:CW207))</f>
        <v>-3.7040195178343338</v>
      </c>
      <c r="DD207" s="200" t="str">
        <f t="shared" si="375"/>
        <v/>
      </c>
      <c r="DE207" s="206">
        <f>IF($J207="",#N/A,SUM(DD$4:DD207))</f>
        <v>0.14968716170674062</v>
      </c>
      <c r="DF207" s="207" t="str">
        <f t="shared" si="376"/>
        <v/>
      </c>
      <c r="DG207" s="207">
        <f>IF($J207="",#N/A,SUM(DF$4:DF207))</f>
        <v>1.2121188689979676</v>
      </c>
      <c r="DH207" s="208" t="str">
        <f t="shared" si="377"/>
        <v/>
      </c>
      <c r="DI207" s="208">
        <f>IF($J207="",#N/A,SUM(DH$4:DH207))</f>
        <v>-0.8404015973735236</v>
      </c>
      <c r="DJ207" s="208">
        <f>IF($J207="",#N/A,SUM(DH$4:DH207,DF$4:DF207,DD$4:DD207))</f>
        <v>0.52140443333118447</v>
      </c>
      <c r="DK207" s="200" t="str">
        <f t="shared" si="378"/>
        <v/>
      </c>
      <c r="DL207" s="206">
        <f>IF($J207="",#N/A,SUM(DK$4:DK207))</f>
        <v>-1.2097286851272664</v>
      </c>
      <c r="DM207" s="207" t="str">
        <f t="shared" si="379"/>
        <v/>
      </c>
      <c r="DN207" s="207">
        <f>IF($J207="",#N/A,SUM(DM$4:DM207))</f>
        <v>1.1910608267574658</v>
      </c>
      <c r="DO207" s="208" t="str">
        <f t="shared" si="380"/>
        <v/>
      </c>
      <c r="DP207" s="208">
        <f>IF($J207="",#N/A,SUM(DO$4:DO207))</f>
        <v>2.6571865116636566</v>
      </c>
      <c r="DQ207" s="208">
        <f>IF($J207="",#N/A,SUM(DO$4:DO207,DM$4:DM207,DK$4:DK207))</f>
        <v>2.6385186532938567</v>
      </c>
      <c r="DR207" s="200" t="str">
        <f t="shared" si="381"/>
        <v/>
      </c>
      <c r="DS207" s="206">
        <f>IF($J207="",#N/A,SUM(DR$4:DR207))</f>
        <v>-0.55950946427675097</v>
      </c>
      <c r="DT207" s="207" t="str">
        <f t="shared" si="382"/>
        <v/>
      </c>
      <c r="DU207" s="207">
        <f>IF($J207="",#N/A,SUM(DT$4:DT207))</f>
        <v>-3.5029740333397914</v>
      </c>
      <c r="DV207" s="208" t="str">
        <f t="shared" si="383"/>
        <v/>
      </c>
      <c r="DW207" s="208">
        <f>IF($J207="",#N/A,SUM(DV$4:DV207))</f>
        <v>-1.1099074520338865</v>
      </c>
      <c r="DX207" s="208">
        <f>IF($J207="",#N/A,SUM(DV$4:DV207,DT$4:DT207,DR$4:DR207))</f>
        <v>-5.1723909496504286</v>
      </c>
      <c r="DY207" s="200" t="str">
        <f t="shared" si="384"/>
        <v/>
      </c>
      <c r="DZ207" s="206">
        <f>IF($J207="",#N/A,SUM(DY$4:DY207))</f>
        <v>-1.63480022183437</v>
      </c>
      <c r="EA207" s="207" t="str">
        <f t="shared" si="385"/>
        <v/>
      </c>
      <c r="EB207" s="207">
        <f>IF($J207="",#N/A,SUM(EA$4:EA207))</f>
        <v>0.65158371441459195</v>
      </c>
      <c r="EC207" s="208" t="str">
        <f t="shared" si="386"/>
        <v/>
      </c>
      <c r="ED207" s="208">
        <f>IF($J207="",#N/A,SUM(EC$4:EC207))</f>
        <v>2.8358292304043822</v>
      </c>
      <c r="EE207" s="208">
        <f>IF($J207="",#N/A,SUM(EC$4:EC207,EA$4:EA207,DY$4:DY207))</f>
        <v>1.8526127229846032</v>
      </c>
      <c r="EF207" s="200">
        <f t="shared" si="387"/>
        <v>-0.15098969023521425</v>
      </c>
      <c r="EG207" s="206">
        <f>IF($J207="",#N/A,SUM(EF$4:EF207))</f>
        <v>-0.15098969023521425</v>
      </c>
      <c r="EH207" s="207" t="str">
        <f t="shared" si="388"/>
        <v/>
      </c>
      <c r="EI207" s="207">
        <f>IF($J207="",#N/A,SUM(EH$4:EH207))</f>
        <v>-2.6267690330909645</v>
      </c>
      <c r="EJ207" s="208" t="str">
        <f t="shared" si="389"/>
        <v/>
      </c>
      <c r="EK207" s="208">
        <f>IF($J207="",#N/A,SUM(EJ$4:EJ207))</f>
        <v>2.804966392787259</v>
      </c>
      <c r="EL207" s="208">
        <f>IF($J207="",#N/A,SUM(EJ$4:EJ207,EH$4:EH207,EF$4:EF207))</f>
        <v>2.7207669461081163E-2</v>
      </c>
      <c r="EM207" s="200" t="str">
        <f t="shared" si="390"/>
        <v/>
      </c>
      <c r="EN207" s="206">
        <f>IF($J207="",#N/A,SUM(EM$4:EM207))</f>
        <v>0</v>
      </c>
      <c r="EO207" s="207" t="str">
        <f t="shared" si="391"/>
        <v/>
      </c>
      <c r="EP207" s="207">
        <f>IF($J207="",#N/A,SUM(EO$4:EO207))</f>
        <v>3.2406646352184261</v>
      </c>
      <c r="EQ207" s="208" t="str">
        <f t="shared" si="392"/>
        <v/>
      </c>
      <c r="ER207" s="208">
        <f>IF($J207="",#N/A,SUM(EQ$4:EQ207))</f>
        <v>2.0221833315059508</v>
      </c>
      <c r="ES207" s="208">
        <f>IF($J207="",#N/A,SUM(EQ$4:EQ207,EO$4:EO207,EM$4:EM207))</f>
        <v>5.2628479667243759</v>
      </c>
      <c r="ET207" s="200" t="str">
        <f t="shared" si="393"/>
        <v/>
      </c>
      <c r="EU207" s="206">
        <f>IF($J207="",#N/A,SUM(ET$4:ET207))</f>
        <v>0</v>
      </c>
      <c r="EV207" s="207" t="str">
        <f t="shared" si="394"/>
        <v/>
      </c>
      <c r="EW207" s="207">
        <f>IF($J207="",#N/A,SUM(EV$4:EV207))</f>
        <v>1.9901851109977766</v>
      </c>
      <c r="EX207" s="208" t="str">
        <f t="shared" si="395"/>
        <v/>
      </c>
      <c r="EY207" s="208">
        <f>IF($J207="",#N/A,SUM(EX$4:EX207))</f>
        <v>-9.038537462898949E-2</v>
      </c>
      <c r="EZ207" s="208">
        <f>IF($J207="",#N/A,SUM(EX$4:EX207,EV$4:EV207,ET$4:ET207))</f>
        <v>1.8997997363687871</v>
      </c>
      <c r="FA207" s="200" t="str">
        <f t="shared" si="396"/>
        <v/>
      </c>
      <c r="FB207" s="206">
        <f>IF($J207="",#N/A,SUM(FA$4:FA207))</f>
        <v>0</v>
      </c>
      <c r="FC207" s="207" t="str">
        <f t="shared" si="397"/>
        <v/>
      </c>
      <c r="FD207" s="207">
        <f>IF($J207="",#N/A,SUM(FC$4:FC207))</f>
        <v>1.6839191319663924</v>
      </c>
      <c r="FE207" s="208" t="str">
        <f t="shared" si="398"/>
        <v/>
      </c>
      <c r="FF207" s="208">
        <f>IF($J207="",#N/A,SUM(FE$4:FE207))</f>
        <v>-0.28811149078748233</v>
      </c>
      <c r="FG207" s="208">
        <f>IF($J207="",#N/A,SUM(FE$4:FE207,FC$4:FC207,FA$4:FA207))</f>
        <v>1.3958076411789102</v>
      </c>
      <c r="FH207" s="200" t="str">
        <f t="shared" si="399"/>
        <v/>
      </c>
      <c r="FI207" s="206">
        <f>IF($J207="",#N/A,SUM(FH$4:FH207))</f>
        <v>0</v>
      </c>
      <c r="FJ207" s="207" t="str">
        <f t="shared" si="400"/>
        <v/>
      </c>
      <c r="FK207" s="207">
        <f>IF($J207="",#N/A,SUM(FJ$4:FJ207))</f>
        <v>0</v>
      </c>
      <c r="FL207" s="208" t="str">
        <f t="shared" si="401"/>
        <v/>
      </c>
      <c r="FM207" s="208">
        <f>IF($J207="",#N/A,SUM(FL$4:FL207))</f>
        <v>0</v>
      </c>
      <c r="FN207" s="208">
        <f>IF($J207="",#N/A,SUM(FL$4:FL207,FJ$4:FJ207,FH$4:FH207))</f>
        <v>0</v>
      </c>
      <c r="FO207" s="200" t="str">
        <f t="shared" si="402"/>
        <v/>
      </c>
      <c r="FP207" s="206">
        <f>IF($J207="",#N/A,SUM(FO$4:FO207))</f>
        <v>0</v>
      </c>
      <c r="FQ207" s="207" t="str">
        <f t="shared" si="403"/>
        <v/>
      </c>
      <c r="FR207" s="207">
        <f>IF($J207="",#N/A,SUM(FQ$4:FQ207))</f>
        <v>0</v>
      </c>
      <c r="FS207" s="208" t="str">
        <f t="shared" si="404"/>
        <v/>
      </c>
      <c r="FT207" s="208">
        <f>IF($J207="",#N/A,SUM(FS$4:FS207))</f>
        <v>0</v>
      </c>
      <c r="FU207" s="208">
        <f>IF($J207="",#N/A,SUM(FS$4:FS207,FQ$4:FQ207,FO$4:FO207))</f>
        <v>0</v>
      </c>
      <c r="FV207" s="200" t="str">
        <f t="shared" si="405"/>
        <v/>
      </c>
      <c r="FW207" s="206">
        <f>IF($J207="",#N/A,SUM(FV$4:FV207))</f>
        <v>6.6834991831277585E-2</v>
      </c>
      <c r="FX207" s="207" t="str">
        <f t="shared" si="406"/>
        <v/>
      </c>
      <c r="FY207" s="207">
        <f>IF($J207="",#N/A,SUM(FX$4:FX207))</f>
        <v>-0.16102012791805576</v>
      </c>
      <c r="FZ207" s="208" t="str">
        <f t="shared" si="407"/>
        <v/>
      </c>
      <c r="GA207" s="208">
        <f>IF($J207="",#N/A,SUM(FZ$4:FZ207))</f>
        <v>-1.7642101813332194</v>
      </c>
      <c r="GB207" s="208">
        <f>IF($J207="",#N/A,SUM(FZ$4:FZ207,FX$4:FX207,FV$4:FV207))</f>
        <v>-1.8583953174199976</v>
      </c>
      <c r="GC207" s="200" t="str">
        <f t="shared" si="408"/>
        <v/>
      </c>
      <c r="GD207" s="206">
        <f>IF($J207="",#N/A,SUM(GC$4:GC207))</f>
        <v>0</v>
      </c>
      <c r="GE207" s="207" t="str">
        <f t="shared" si="409"/>
        <v/>
      </c>
      <c r="GF207" s="207">
        <f>IF($J207="",#N/A,SUM(GE$4:GE207))</f>
        <v>0</v>
      </c>
      <c r="GG207" s="208" t="str">
        <f t="shared" si="410"/>
        <v/>
      </c>
      <c r="GH207" s="208">
        <f>IF($J207="",#N/A,SUM(GG$4:GG207))</f>
        <v>-2.9368362277223206</v>
      </c>
      <c r="GI207" s="208">
        <f>IF($J207="",#N/A,SUM(GG$4:GG207,GE$4:GE207,GC$4:GC207))</f>
        <v>-2.9368362277223206</v>
      </c>
      <c r="GJ207" s="200" t="str">
        <f t="shared" si="411"/>
        <v/>
      </c>
      <c r="GK207" s="206">
        <f>IF($J207="",#N/A,SUM(GJ$4:GJ207))</f>
        <v>0</v>
      </c>
      <c r="GL207" s="207" t="str">
        <f t="shared" si="412"/>
        <v/>
      </c>
      <c r="GM207" s="207">
        <f>IF($J207="",#N/A,SUM(GL$4:GL207))</f>
        <v>-0.80168930905701452</v>
      </c>
      <c r="GN207" s="208" t="str">
        <f t="shared" si="413"/>
        <v/>
      </c>
      <c r="GO207" s="208">
        <f>IF($J207="",#N/A,SUM(GN$4:GN207))</f>
        <v>0</v>
      </c>
      <c r="GP207" s="208">
        <f>IF($J207="",#N/A,SUM(GN$4:GN207,GL$4:GL207,GJ$4:GJ207))</f>
        <v>-0.80168930905701452</v>
      </c>
      <c r="GS207" s="54">
        <f t="shared" si="432"/>
        <v>-0.15098969023521425</v>
      </c>
      <c r="GT207" s="54">
        <f>IF(GS207="",NA(),SUM($GS$4:GS207))</f>
        <v>4.4701768336295178</v>
      </c>
      <c r="GU207" s="54">
        <f t="shared" si="414"/>
        <v>-0.15098969023521425</v>
      </c>
      <c r="GV207" s="54">
        <f>IF(GU207="",NA(),SUM($GU$4:GU207))</f>
        <v>-3.6771575581780365</v>
      </c>
      <c r="GW207" s="54" t="str">
        <f t="shared" si="415"/>
        <v/>
      </c>
      <c r="GX207" s="54" t="e">
        <f>IF(GW207="",NA(),SUM($GW$4:GW207))</f>
        <v>#N/A</v>
      </c>
      <c r="GY207" s="54" t="str">
        <f t="shared" si="416"/>
        <v/>
      </c>
      <c r="GZ207" s="54" t="e">
        <f>IF(GY207="",NA(),SUM($GY$4:GY207))</f>
        <v>#N/A</v>
      </c>
      <c r="HA207" s="54" t="str">
        <f t="shared" si="417"/>
        <v/>
      </c>
      <c r="HB207" s="54" t="e">
        <f>IF(HA207="",NA(),SUM($HA$4:HA207))</f>
        <v>#N/A</v>
      </c>
      <c r="HC207" s="54" t="str">
        <f t="shared" si="418"/>
        <v/>
      </c>
      <c r="HD207" s="54" t="e">
        <f>IF(HC207="",NA(),SUM($HC$4:HC207))</f>
        <v>#N/A</v>
      </c>
      <c r="HE207" s="54" t="str">
        <f t="shared" si="419"/>
        <v/>
      </c>
      <c r="HF207" s="54" t="e">
        <f>IF(HE207="",NA(),SUM($HE$4:HE207))</f>
        <v>#N/A</v>
      </c>
      <c r="HG207" s="54" t="str">
        <f t="shared" si="420"/>
        <v/>
      </c>
      <c r="HH207" s="54" t="e">
        <f>IF(HG207="",NA(),SUM($HG$4:HG207))</f>
        <v>#N/A</v>
      </c>
      <c r="HI207" s="172" t="str">
        <f t="shared" si="433"/>
        <v/>
      </c>
      <c r="HJ207" s="172">
        <f>IF($J207="",#N/A,SUM(HI$4:$HI207))</f>
        <v>-7.5867314822824889</v>
      </c>
      <c r="HK207" s="54" t="str">
        <f t="shared" si="421"/>
        <v/>
      </c>
      <c r="HL207" s="54">
        <f>IF($J207="",#N/A,SUM($HK$4:HK207))</f>
        <v>-1.7688797361196436</v>
      </c>
      <c r="HM207" s="54" t="str">
        <f t="shared" si="422"/>
        <v/>
      </c>
      <c r="HN207" s="54">
        <f>IF($J207="",#N/A,SUM($HM$4:HM207))</f>
        <v>0.71812545963587882</v>
      </c>
      <c r="HO207" s="54">
        <f t="shared" si="423"/>
        <v>0.65114303913936045</v>
      </c>
      <c r="HP207" s="54">
        <f>IF($J207="",#N/A,SUM($HO$4:HO207))</f>
        <v>0.52783589553778021</v>
      </c>
      <c r="HQ207" s="54" t="str">
        <f t="shared" si="424"/>
        <v/>
      </c>
      <c r="HR207" s="54">
        <f>IF($J207="",#N/A,SUM($HQ$4:HQ207))</f>
        <v>-13.61428856275734</v>
      </c>
      <c r="HS207" s="54" t="str">
        <f t="shared" si="425"/>
        <v/>
      </c>
      <c r="HT207" s="54">
        <f>IF($J207="",#N/A,SUM($HS$4:HS207))</f>
        <v>12.600845719340157</v>
      </c>
      <c r="HU207" s="65">
        <f t="shared" si="426"/>
        <v>0.5001533489041462</v>
      </c>
      <c r="HV207" s="65">
        <f>IF($J207="",#N/A,SUM(HU$4:$HU207))</f>
        <v>1.0962946573282693</v>
      </c>
    </row>
    <row r="208" spans="1:230" x14ac:dyDescent="0.25">
      <c r="A208" s="51" t="s">
        <v>1394</v>
      </c>
      <c r="B208" s="52" t="s">
        <v>4544</v>
      </c>
      <c r="C208" s="229">
        <f t="shared" si="327"/>
        <v>3</v>
      </c>
      <c r="D208" s="219" t="str">
        <f>_xlfn.XLOOKUP(A208,[1]SP500!$A$2:$A$502,[1]SP500!$D$2:$D$502,"N")</f>
        <v>Y</v>
      </c>
      <c r="E208" s="51" t="str">
        <f>IFERROR(_xlfn.XLOOKUP(A208,[1]SP500!$A$2:$A$655,[1]SP500!$B$2:$B$655),"")</f>
        <v>XLI</v>
      </c>
      <c r="F208" s="290">
        <v>45778</v>
      </c>
      <c r="G208" s="51" t="str">
        <f t="shared" si="328"/>
        <v>BMO</v>
      </c>
      <c r="H208" s="51" t="str">
        <f t="shared" si="329"/>
        <v>s</v>
      </c>
      <c r="I208" s="344">
        <v>1024.31</v>
      </c>
      <c r="J208" s="124">
        <v>1045.72</v>
      </c>
      <c r="K208" s="55">
        <f t="shared" si="330"/>
        <v>2.0901875408811867E-2</v>
      </c>
      <c r="L208" s="67">
        <f t="shared" si="331"/>
        <v>21.410000000000082</v>
      </c>
      <c r="M208" s="57">
        <f t="shared" si="332"/>
        <v>-19.75</v>
      </c>
      <c r="N208" s="147">
        <f t="shared" si="333"/>
        <v>21.410000000000082</v>
      </c>
      <c r="O208" s="57">
        <f>IF(N208="",#N/A,SUM($N$4:N208))</f>
        <v>467.19136410061355</v>
      </c>
      <c r="P208" s="65">
        <f t="shared" si="427"/>
        <v>0.34836459014686444</v>
      </c>
      <c r="Q208" s="172">
        <f>IF($N208="",#N/A,SUM($P$4:P208))</f>
        <v>10.567751954120791</v>
      </c>
      <c r="R208" s="279">
        <f t="shared" si="334"/>
        <v>6.0096677602870319</v>
      </c>
      <c r="S208" s="51" t="str">
        <f t="shared" si="335"/>
        <v>SW</v>
      </c>
      <c r="T208" s="51" t="s">
        <v>2828</v>
      </c>
      <c r="U208" s="56">
        <f t="shared" si="336"/>
        <v>1024.31</v>
      </c>
      <c r="V208" s="56" t="s">
        <v>4460</v>
      </c>
      <c r="W208" s="142">
        <v>1</v>
      </c>
      <c r="X208" s="145">
        <f t="shared" si="337"/>
        <v>1024.31</v>
      </c>
      <c r="Y208" s="140">
        <f t="shared" si="338"/>
        <v>1</v>
      </c>
      <c r="Z208" s="123">
        <v>1025.97</v>
      </c>
      <c r="AA208" s="102">
        <f t="shared" si="339"/>
        <v>1.6600000000000819</v>
      </c>
      <c r="AB208" s="102">
        <f t="shared" si="340"/>
        <v>29.120000000000118</v>
      </c>
      <c r="AC208" s="124">
        <v>1053.43</v>
      </c>
      <c r="AD208" s="155">
        <f t="shared" si="341"/>
        <v>29.120000000000118</v>
      </c>
      <c r="AE208" s="545">
        <f t="shared" si="342"/>
        <v>0.47381489327775317</v>
      </c>
      <c r="AF208" s="57">
        <f>IF($AC208="",#N/A,SUM(AD$4:AD208))</f>
        <v>17.05958799758389</v>
      </c>
      <c r="AG208" s="102">
        <f t="shared" si="343"/>
        <v>7.7100000000000364</v>
      </c>
      <c r="AH208" s="102" t="s">
        <v>2507</v>
      </c>
      <c r="AI208" s="65">
        <f t="shared" si="344"/>
        <v>2.7010052295367643E-2</v>
      </c>
      <c r="AJ208" s="54">
        <f>IF(AI208="",#N/A,SUM($AI$4:AI208))</f>
        <v>4.5580841938337588</v>
      </c>
      <c r="AK208" s="144">
        <f t="shared" si="345"/>
        <v>1.6600000000000819</v>
      </c>
      <c r="AL208" s="349">
        <f>IF(AI208="",#N/A,IF(AH208="Skip",SUM($AK$4:AK208),SUM($AK$4:AK208)))</f>
        <v>88.69759149281424</v>
      </c>
      <c r="AM208" s="65">
        <f t="shared" si="428"/>
        <v>0.47381489327775317</v>
      </c>
      <c r="AN208" s="210"/>
      <c r="AO208" s="65">
        <f t="shared" si="346"/>
        <v>0.47381489327775317</v>
      </c>
      <c r="AP208" s="65">
        <f>IF($AC208="",#N/A,SUM(AO$4:AO208))</f>
        <v>4.9586790146568944</v>
      </c>
      <c r="AQ208" s="65" t="str">
        <f t="shared" si="347"/>
        <v/>
      </c>
      <c r="AR208" s="65">
        <f>IF($AC208="",#N/A,SUM(AQ$4:AQ208))</f>
        <v>-2.4311962030043777</v>
      </c>
      <c r="AS208" s="65" t="str">
        <f t="shared" si="348"/>
        <v/>
      </c>
      <c r="AT208" s="65">
        <f>IF($AC208="",#N/A,SUM(AS$4:AS208))</f>
        <v>-0.95737326104649789</v>
      </c>
      <c r="AU208" s="57">
        <f t="shared" si="429"/>
        <v>29.120000000000118</v>
      </c>
      <c r="AV208" s="57">
        <f>IF($AC208="",#N/A,SUM(AU$4:AU208))</f>
        <v>194.93120645125123</v>
      </c>
      <c r="AW208" s="57" t="str">
        <f t="shared" si="430"/>
        <v/>
      </c>
      <c r="AX208" s="57">
        <f>IF($AC208="",#N/A,SUM(AW$4:AW208))</f>
        <v>-151.49</v>
      </c>
      <c r="AY208" s="57" t="str">
        <f t="shared" si="431"/>
        <v/>
      </c>
      <c r="AZ208" s="57">
        <f>IF($AC208="",#N/A,SUM(AY$4:AY208))</f>
        <v>-26.381618453667329</v>
      </c>
      <c r="BA208" s="57">
        <f>IF(AD208="",#N/A,SUM($AD$4:AD208))</f>
        <v>17.05958799758389</v>
      </c>
      <c r="BC208" s="51" t="str">
        <f t="shared" si="349"/>
        <v/>
      </c>
      <c r="BD208" s="51" t="str">
        <f t="shared" si="350"/>
        <v/>
      </c>
      <c r="BE208" s="51">
        <f t="shared" si="351"/>
        <v>1</v>
      </c>
      <c r="BF208" s="51" t="str">
        <f t="shared" si="352"/>
        <v>Long</v>
      </c>
      <c r="BG208" s="51" t="str">
        <f t="shared" si="353"/>
        <v/>
      </c>
      <c r="BH208" s="51" t="str">
        <f t="shared" si="354"/>
        <v/>
      </c>
      <c r="BI208" s="51" t="str">
        <f t="shared" si="355"/>
        <v/>
      </c>
      <c r="BK208" s="65">
        <f t="shared" si="326"/>
        <v>0.22351280657694678</v>
      </c>
      <c r="BL208" s="65">
        <f t="shared" si="325"/>
        <v>0.11121531958318773</v>
      </c>
      <c r="BM208" s="65">
        <f>IFERROR(Q208/COUNTA($J$4:J208),#N/A)</f>
        <v>5.1550009532296541E-2</v>
      </c>
      <c r="BO208" s="489">
        <f>IF(J208="",#N/A,IF(S208="SW",(COUNTIFS(K$4:$K208,"&gt;0",S$4:$S208,"SW")/COUNTIF(S$4:$S208,"SW")),#N/A))</f>
        <v>0.51851851851851849</v>
      </c>
      <c r="BP208" s="489" t="e">
        <f>IF($J208="",#N/A,IF($S208="DWN",(COUNTIFS($K$4:$K208,"&lt;0",$S$4:$S208,"DWN")/COUNTIF($S$4:$S208,"DWN")),#N/A))</f>
        <v>#N/A</v>
      </c>
      <c r="BQ208" s="489" t="e">
        <f>IF($J208="",#N/A,IF($S208="UP",(COUNTIFS($K$4:$K208,"&gt;0",$S$4:$S208,"UP")/COUNTIF($S$4:$S208,"UP")),#N/A))</f>
        <v>#N/A</v>
      </c>
      <c r="BR208" s="489">
        <f>IF(J208="",#N/A,COUNTIF($K$4:K208,"&gt;0")/COUNT($J$4:J208))</f>
        <v>0.4682926829268293</v>
      </c>
      <c r="BS208" s="65">
        <f t="shared" si="356"/>
        <v>0.34836459014686444</v>
      </c>
      <c r="BT208" s="65" t="str">
        <f t="shared" si="357"/>
        <v/>
      </c>
      <c r="BU208" s="65" t="str">
        <f t="shared" si="358"/>
        <v/>
      </c>
      <c r="BV208" s="65" t="str">
        <f t="shared" si="359"/>
        <v/>
      </c>
      <c r="BW208" s="127" t="str">
        <f t="shared" si="360"/>
        <v/>
      </c>
      <c r="BX208" s="127">
        <f>IF($J208="",#N/A,SUM($BW$4:BW208))</f>
        <v>-233.61000000000035</v>
      </c>
      <c r="BY208" s="130" t="str">
        <f t="shared" si="361"/>
        <v/>
      </c>
      <c r="BZ208" s="130">
        <f>IF($J208="",#N/A,SUM($BY$4:BY208))</f>
        <v>479.47934038933431</v>
      </c>
      <c r="CA208" s="132">
        <f t="shared" si="362"/>
        <v>21.410000000000082</v>
      </c>
      <c r="CB208" s="132">
        <f>IF($J208="",#N/A,SUM($CA$4:CA208))</f>
        <v>221.32202371127963</v>
      </c>
      <c r="CC208" s="197" t="str">
        <f t="shared" si="363"/>
        <v/>
      </c>
      <c r="CD208" s="197">
        <f>IF($J208="",#N/A,SUM($CC$4:CC208))</f>
        <v>-3.6771575581780365</v>
      </c>
      <c r="CE208" s="198" t="str">
        <f t="shared" si="364"/>
        <v/>
      </c>
      <c r="CF208" s="198">
        <f>IF($J208="",#N/A,SUM($CE$4:CE208))</f>
        <v>8.39823795735564</v>
      </c>
      <c r="CG208" s="199">
        <f t="shared" si="365"/>
        <v>0.34836459014686444</v>
      </c>
      <c r="CH208" s="193">
        <f>IF($J208="",#N/A,SUM($CG$4:CG208))</f>
        <v>5.8466715549431942</v>
      </c>
      <c r="CI208" s="200" t="str">
        <f t="shared" si="366"/>
        <v/>
      </c>
      <c r="CJ208" s="206">
        <f>IF($J208="",#N/A,SUM(CI$4:CI208))</f>
        <v>0</v>
      </c>
      <c r="CK208" s="207" t="str">
        <f t="shared" si="367"/>
        <v/>
      </c>
      <c r="CL208" s="207">
        <f>IF($J208="",#N/A,SUM(CK$4:CK208))</f>
        <v>1.9927003554442289</v>
      </c>
      <c r="CM208" s="208" t="str">
        <f t="shared" si="368"/>
        <v/>
      </c>
      <c r="CN208" s="208">
        <f>IF($J208="",#N/A,SUM(CM$4:CM208))</f>
        <v>5.6091171609382364</v>
      </c>
      <c r="CO208" s="208">
        <f>IF($J208="",#N/A,SUM(CM$4:CM208,CK$4:CK208,CI$4:CI208))</f>
        <v>7.6018175163824644</v>
      </c>
      <c r="CP208" s="200" t="str">
        <f t="shared" si="369"/>
        <v/>
      </c>
      <c r="CQ208" s="206">
        <f>IF($J208="",#N/A,SUM(CP$4:CP208))</f>
        <v>0</v>
      </c>
      <c r="CR208" s="207" t="str">
        <f t="shared" si="370"/>
        <v/>
      </c>
      <c r="CS208" s="207">
        <f>IF($J208="",#N/A,SUM(CR$4:CR208))</f>
        <v>4.2989225684455388</v>
      </c>
      <c r="CT208" s="208" t="str">
        <f t="shared" si="371"/>
        <v/>
      </c>
      <c r="CU208" s="208">
        <f>IF($J208="",#N/A,SUM(CT$4:CT208))</f>
        <v>-1.1331655471946371</v>
      </c>
      <c r="CV208" s="208">
        <f>IF($J208="",#N/A,SUM(CT$4:CT208,CR$4:CR208,CP$4:CP208))</f>
        <v>3.1657570212509012</v>
      </c>
      <c r="CW208" s="200" t="str">
        <f t="shared" si="372"/>
        <v/>
      </c>
      <c r="CX208" s="206">
        <f>IF($J208="",#N/A,SUM(CW$4:CW208))</f>
        <v>-0.33865165024245297</v>
      </c>
      <c r="CY208" s="207" t="str">
        <f t="shared" si="373"/>
        <v/>
      </c>
      <c r="CZ208" s="207">
        <f>IF($J208="",#N/A,SUM(CY$4:CY208))</f>
        <v>-1.0974100761627814</v>
      </c>
      <c r="DA208" s="208" t="str">
        <f t="shared" si="374"/>
        <v/>
      </c>
      <c r="DB208" s="208">
        <f>IF($J208="",#N/A,SUM(DA$4:DA208))</f>
        <v>-2.2679577914291</v>
      </c>
      <c r="DC208" s="208">
        <f>IF($J208="",#N/A,SUM(DA$4:DA208,CY$4:CY208,CW$4:CW208))</f>
        <v>-3.7040195178343338</v>
      </c>
      <c r="DD208" s="200" t="str">
        <f t="shared" si="375"/>
        <v/>
      </c>
      <c r="DE208" s="206">
        <f>IF($J208="",#N/A,SUM(DD$4:DD208))</f>
        <v>0.14968716170674062</v>
      </c>
      <c r="DF208" s="207" t="str">
        <f t="shared" si="376"/>
        <v/>
      </c>
      <c r="DG208" s="207">
        <f>IF($J208="",#N/A,SUM(DF$4:DF208))</f>
        <v>1.2121188689979676</v>
      </c>
      <c r="DH208" s="208" t="str">
        <f t="shared" si="377"/>
        <v/>
      </c>
      <c r="DI208" s="208">
        <f>IF($J208="",#N/A,SUM(DH$4:DH208))</f>
        <v>-0.8404015973735236</v>
      </c>
      <c r="DJ208" s="208">
        <f>IF($J208="",#N/A,SUM(DH$4:DH208,DF$4:DF208,DD$4:DD208))</f>
        <v>0.52140443333118447</v>
      </c>
      <c r="DK208" s="200" t="str">
        <f t="shared" si="378"/>
        <v/>
      </c>
      <c r="DL208" s="206">
        <f>IF($J208="",#N/A,SUM(DK$4:DK208))</f>
        <v>-1.2097286851272664</v>
      </c>
      <c r="DM208" s="207" t="str">
        <f t="shared" si="379"/>
        <v/>
      </c>
      <c r="DN208" s="207">
        <f>IF($J208="",#N/A,SUM(DM$4:DM208))</f>
        <v>1.1910608267574658</v>
      </c>
      <c r="DO208" s="208" t="str">
        <f t="shared" si="380"/>
        <v/>
      </c>
      <c r="DP208" s="208">
        <f>IF($J208="",#N/A,SUM(DO$4:DO208))</f>
        <v>2.6571865116636566</v>
      </c>
      <c r="DQ208" s="208">
        <f>IF($J208="",#N/A,SUM(DO$4:DO208,DM$4:DM208,DK$4:DK208))</f>
        <v>2.6385186532938567</v>
      </c>
      <c r="DR208" s="200" t="str">
        <f t="shared" si="381"/>
        <v/>
      </c>
      <c r="DS208" s="206">
        <f>IF($J208="",#N/A,SUM(DR$4:DR208))</f>
        <v>-0.55950946427675097</v>
      </c>
      <c r="DT208" s="207" t="str">
        <f t="shared" si="382"/>
        <v/>
      </c>
      <c r="DU208" s="207">
        <f>IF($J208="",#N/A,SUM(DT$4:DT208))</f>
        <v>-3.5029740333397914</v>
      </c>
      <c r="DV208" s="208" t="str">
        <f t="shared" si="383"/>
        <v/>
      </c>
      <c r="DW208" s="208">
        <f>IF($J208="",#N/A,SUM(DV$4:DV208))</f>
        <v>-1.1099074520338865</v>
      </c>
      <c r="DX208" s="208">
        <f>IF($J208="",#N/A,SUM(DV$4:DV208,DT$4:DT208,DR$4:DR208))</f>
        <v>-5.1723909496504286</v>
      </c>
      <c r="DY208" s="200" t="str">
        <f t="shared" si="384"/>
        <v/>
      </c>
      <c r="DZ208" s="206">
        <f>IF($J208="",#N/A,SUM(DY$4:DY208))</f>
        <v>-1.63480022183437</v>
      </c>
      <c r="EA208" s="207" t="str">
        <f t="shared" si="385"/>
        <v/>
      </c>
      <c r="EB208" s="207">
        <f>IF($J208="",#N/A,SUM(EA$4:EA208))</f>
        <v>0.65158371441459195</v>
      </c>
      <c r="EC208" s="208">
        <f t="shared" si="386"/>
        <v>0.34836459014686444</v>
      </c>
      <c r="ED208" s="208">
        <f>IF($J208="",#N/A,SUM(EC$4:EC208))</f>
        <v>3.1841938205512466</v>
      </c>
      <c r="EE208" s="208">
        <f>IF($J208="",#N/A,SUM(EC$4:EC208,EA$4:EA208,DY$4:DY208))</f>
        <v>2.2009773131314674</v>
      </c>
      <c r="EF208" s="200" t="str">
        <f t="shared" si="387"/>
        <v/>
      </c>
      <c r="EG208" s="206">
        <f>IF($J208="",#N/A,SUM(EF$4:EF208))</f>
        <v>-0.15098969023521425</v>
      </c>
      <c r="EH208" s="207" t="str">
        <f t="shared" si="388"/>
        <v/>
      </c>
      <c r="EI208" s="207">
        <f>IF($J208="",#N/A,SUM(EH$4:EH208))</f>
        <v>-2.6267690330909645</v>
      </c>
      <c r="EJ208" s="208" t="str">
        <f t="shared" si="389"/>
        <v/>
      </c>
      <c r="EK208" s="208">
        <f>IF($J208="",#N/A,SUM(EJ$4:EJ208))</f>
        <v>2.804966392787259</v>
      </c>
      <c r="EL208" s="208">
        <f>IF($J208="",#N/A,SUM(EJ$4:EJ208,EH$4:EH208,EF$4:EF208))</f>
        <v>2.7207669461081163E-2</v>
      </c>
      <c r="EM208" s="200" t="str">
        <f t="shared" si="390"/>
        <v/>
      </c>
      <c r="EN208" s="206">
        <f>IF($J208="",#N/A,SUM(EM$4:EM208))</f>
        <v>0</v>
      </c>
      <c r="EO208" s="207" t="str">
        <f t="shared" si="391"/>
        <v/>
      </c>
      <c r="EP208" s="207">
        <f>IF($J208="",#N/A,SUM(EO$4:EO208))</f>
        <v>3.2406646352184261</v>
      </c>
      <c r="EQ208" s="208" t="str">
        <f t="shared" si="392"/>
        <v/>
      </c>
      <c r="ER208" s="208">
        <f>IF($J208="",#N/A,SUM(EQ$4:EQ208))</f>
        <v>2.0221833315059508</v>
      </c>
      <c r="ES208" s="208">
        <f>IF($J208="",#N/A,SUM(EQ$4:EQ208,EO$4:EO208,EM$4:EM208))</f>
        <v>5.2628479667243759</v>
      </c>
      <c r="ET208" s="200" t="str">
        <f t="shared" si="393"/>
        <v/>
      </c>
      <c r="EU208" s="206">
        <f>IF($J208="",#N/A,SUM(ET$4:ET208))</f>
        <v>0</v>
      </c>
      <c r="EV208" s="207" t="str">
        <f t="shared" si="394"/>
        <v/>
      </c>
      <c r="EW208" s="207">
        <f>IF($J208="",#N/A,SUM(EV$4:EV208))</f>
        <v>1.9901851109977766</v>
      </c>
      <c r="EX208" s="208" t="str">
        <f t="shared" si="395"/>
        <v/>
      </c>
      <c r="EY208" s="208">
        <f>IF($J208="",#N/A,SUM(EX$4:EX208))</f>
        <v>-9.038537462898949E-2</v>
      </c>
      <c r="EZ208" s="208">
        <f>IF($J208="",#N/A,SUM(EX$4:EX208,EV$4:EV208,ET$4:ET208))</f>
        <v>1.8997997363687871</v>
      </c>
      <c r="FA208" s="200" t="str">
        <f t="shared" si="396"/>
        <v/>
      </c>
      <c r="FB208" s="206">
        <f>IF($J208="",#N/A,SUM(FA$4:FA208))</f>
        <v>0</v>
      </c>
      <c r="FC208" s="207" t="str">
        <f t="shared" si="397"/>
        <v/>
      </c>
      <c r="FD208" s="207">
        <f>IF($J208="",#N/A,SUM(FC$4:FC208))</f>
        <v>1.6839191319663924</v>
      </c>
      <c r="FE208" s="208" t="str">
        <f t="shared" si="398"/>
        <v/>
      </c>
      <c r="FF208" s="208">
        <f>IF($J208="",#N/A,SUM(FE$4:FE208))</f>
        <v>-0.28811149078748233</v>
      </c>
      <c r="FG208" s="208">
        <f>IF($J208="",#N/A,SUM(FE$4:FE208,FC$4:FC208,FA$4:FA208))</f>
        <v>1.3958076411789102</v>
      </c>
      <c r="FH208" s="200" t="str">
        <f t="shared" si="399"/>
        <v/>
      </c>
      <c r="FI208" s="206">
        <f>IF($J208="",#N/A,SUM(FH$4:FH208))</f>
        <v>0</v>
      </c>
      <c r="FJ208" s="207" t="str">
        <f t="shared" si="400"/>
        <v/>
      </c>
      <c r="FK208" s="207">
        <f>IF($J208="",#N/A,SUM(FJ$4:FJ208))</f>
        <v>0</v>
      </c>
      <c r="FL208" s="208" t="str">
        <f t="shared" si="401"/>
        <v/>
      </c>
      <c r="FM208" s="208">
        <f>IF($J208="",#N/A,SUM(FL$4:FL208))</f>
        <v>0</v>
      </c>
      <c r="FN208" s="208">
        <f>IF($J208="",#N/A,SUM(FL$4:FL208,FJ$4:FJ208,FH$4:FH208))</f>
        <v>0</v>
      </c>
      <c r="FO208" s="200" t="str">
        <f t="shared" si="402"/>
        <v/>
      </c>
      <c r="FP208" s="206">
        <f>IF($J208="",#N/A,SUM(FO$4:FO208))</f>
        <v>0</v>
      </c>
      <c r="FQ208" s="207" t="str">
        <f t="shared" si="403"/>
        <v/>
      </c>
      <c r="FR208" s="207">
        <f>IF($J208="",#N/A,SUM(FQ$4:FQ208))</f>
        <v>0</v>
      </c>
      <c r="FS208" s="208" t="str">
        <f t="shared" si="404"/>
        <v/>
      </c>
      <c r="FT208" s="208">
        <f>IF($J208="",#N/A,SUM(FS$4:FS208))</f>
        <v>0</v>
      </c>
      <c r="FU208" s="208">
        <f>IF($J208="",#N/A,SUM(FS$4:FS208,FQ$4:FQ208,FO$4:FO208))</f>
        <v>0</v>
      </c>
      <c r="FV208" s="200" t="str">
        <f t="shared" si="405"/>
        <v/>
      </c>
      <c r="FW208" s="206">
        <f>IF($J208="",#N/A,SUM(FV$4:FV208))</f>
        <v>6.6834991831277585E-2</v>
      </c>
      <c r="FX208" s="207" t="str">
        <f t="shared" si="406"/>
        <v/>
      </c>
      <c r="FY208" s="207">
        <f>IF($J208="",#N/A,SUM(FX$4:FX208))</f>
        <v>-0.16102012791805576</v>
      </c>
      <c r="FZ208" s="208" t="str">
        <f t="shared" si="407"/>
        <v/>
      </c>
      <c r="GA208" s="208">
        <f>IF($J208="",#N/A,SUM(FZ$4:FZ208))</f>
        <v>-1.7642101813332194</v>
      </c>
      <c r="GB208" s="208">
        <f>IF($J208="",#N/A,SUM(FZ$4:FZ208,FX$4:FX208,FV$4:FV208))</f>
        <v>-1.8583953174199976</v>
      </c>
      <c r="GC208" s="200" t="str">
        <f t="shared" si="408"/>
        <v/>
      </c>
      <c r="GD208" s="206">
        <f>IF($J208="",#N/A,SUM(GC$4:GC208))</f>
        <v>0</v>
      </c>
      <c r="GE208" s="207" t="str">
        <f t="shared" si="409"/>
        <v/>
      </c>
      <c r="GF208" s="207">
        <f>IF($J208="",#N/A,SUM(GE$4:GE208))</f>
        <v>0</v>
      </c>
      <c r="GG208" s="208" t="str">
        <f t="shared" si="410"/>
        <v/>
      </c>
      <c r="GH208" s="208">
        <f>IF($J208="",#N/A,SUM(GG$4:GG208))</f>
        <v>-2.9368362277223206</v>
      </c>
      <c r="GI208" s="208">
        <f>IF($J208="",#N/A,SUM(GG$4:GG208,GE$4:GE208,GC$4:GC208))</f>
        <v>-2.9368362277223206</v>
      </c>
      <c r="GJ208" s="200" t="str">
        <f t="shared" si="411"/>
        <v/>
      </c>
      <c r="GK208" s="206">
        <f>IF($J208="",#N/A,SUM(GJ$4:GJ208))</f>
        <v>0</v>
      </c>
      <c r="GL208" s="207" t="str">
        <f t="shared" si="412"/>
        <v/>
      </c>
      <c r="GM208" s="207">
        <f>IF($J208="",#N/A,SUM(GL$4:GL208))</f>
        <v>-0.80168930905701452</v>
      </c>
      <c r="GN208" s="208" t="str">
        <f t="shared" si="413"/>
        <v/>
      </c>
      <c r="GO208" s="208">
        <f>IF($J208="",#N/A,SUM(GN$4:GN208))</f>
        <v>0</v>
      </c>
      <c r="GP208" s="208">
        <f>IF($J208="",#N/A,SUM(GN$4:GN208,GL$4:GL208,GJ$4:GJ208))</f>
        <v>-0.80168930905701452</v>
      </c>
      <c r="GS208" s="54">
        <f t="shared" si="432"/>
        <v>0.34836459014686444</v>
      </c>
      <c r="GT208" s="54">
        <f>IF(GS208="",NA(),SUM($GS$4:GS208))</f>
        <v>4.8185414237763826</v>
      </c>
      <c r="GU208" s="54" t="str">
        <f t="shared" si="414"/>
        <v/>
      </c>
      <c r="GV208" s="54" t="e">
        <f>IF(GU208="",NA(),SUM($GU$4:GU208))</f>
        <v>#N/A</v>
      </c>
      <c r="GW208" s="54">
        <f t="shared" si="415"/>
        <v>0.34836459014686444</v>
      </c>
      <c r="GX208" s="54">
        <f>IF(GW208="",NA(),SUM($GW$4:GW208))</f>
        <v>5.482779059994634</v>
      </c>
      <c r="GY208" s="54" t="str">
        <f t="shared" si="416"/>
        <v/>
      </c>
      <c r="GZ208" s="54" t="e">
        <f>IF(GY208="",NA(),SUM($GY$4:GY208))</f>
        <v>#N/A</v>
      </c>
      <c r="HA208" s="54" t="str">
        <f t="shared" si="417"/>
        <v/>
      </c>
      <c r="HB208" s="54" t="e">
        <f>IF(HA208="",NA(),SUM($HA$4:HA208))</f>
        <v>#N/A</v>
      </c>
      <c r="HC208" s="54" t="str">
        <f t="shared" si="418"/>
        <v/>
      </c>
      <c r="HD208" s="54" t="e">
        <f>IF(HC208="",NA(),SUM($HC$4:HC208))</f>
        <v>#N/A</v>
      </c>
      <c r="HE208" s="54" t="str">
        <f t="shared" si="419"/>
        <v/>
      </c>
      <c r="HF208" s="54" t="e">
        <f>IF(HE208="",NA(),SUM($HE$4:HE208))</f>
        <v>#N/A</v>
      </c>
      <c r="HG208" s="54" t="str">
        <f t="shared" si="420"/>
        <v/>
      </c>
      <c r="HH208" s="54" t="e">
        <f>IF(HG208="",NA(),SUM($HG$4:HG208))</f>
        <v>#N/A</v>
      </c>
      <c r="HI208" s="172" t="str">
        <f t="shared" si="433"/>
        <v/>
      </c>
      <c r="HJ208" s="172">
        <f>IF($J208="",#N/A,SUM(HI$4:$HI208))</f>
        <v>-7.5867314822824889</v>
      </c>
      <c r="HK208" s="54" t="str">
        <f t="shared" si="421"/>
        <v/>
      </c>
      <c r="HL208" s="54">
        <f>IF($J208="",#N/A,SUM($HK$4:HK208))</f>
        <v>-1.7688797361196436</v>
      </c>
      <c r="HM208" s="54" t="str">
        <f t="shared" si="422"/>
        <v/>
      </c>
      <c r="HN208" s="54">
        <f>IF($J208="",#N/A,SUM($HM$4:HM208))</f>
        <v>0.71812545963587882</v>
      </c>
      <c r="HO208" s="54" t="str">
        <f t="shared" si="423"/>
        <v/>
      </c>
      <c r="HP208" s="54">
        <f>IF($J208="",#N/A,SUM($HO$4:HO208))</f>
        <v>0.52783589553778021</v>
      </c>
      <c r="HQ208" s="54">
        <f t="shared" si="424"/>
        <v>0.12545030313088873</v>
      </c>
      <c r="HR208" s="54">
        <f>IF($J208="",#N/A,SUM($HQ$4:HQ208))</f>
        <v>-13.488838259626451</v>
      </c>
      <c r="HS208" s="54" t="str">
        <f t="shared" si="425"/>
        <v/>
      </c>
      <c r="HT208" s="54">
        <f>IF($J208="",#N/A,SUM($HS$4:HS208))</f>
        <v>12.600845719340157</v>
      </c>
      <c r="HU208" s="65">
        <f t="shared" si="426"/>
        <v>0.47381489327775317</v>
      </c>
      <c r="HV208" s="65">
        <f>IF($J208="",#N/A,SUM(HU$4:$HU208))</f>
        <v>1.5701095506060225</v>
      </c>
    </row>
    <row r="209" spans="1:230" x14ac:dyDescent="0.25">
      <c r="A209" s="51" t="s">
        <v>18</v>
      </c>
      <c r="B209" s="52" t="s">
        <v>4544</v>
      </c>
      <c r="C209" s="229">
        <f t="shared" si="327"/>
        <v>3</v>
      </c>
      <c r="D209" s="219" t="str">
        <f>_xlfn.XLOOKUP(A209,[1]SP500!$A$2:$A$502,[1]SP500!$D$2:$D$502,"N")</f>
        <v>Y</v>
      </c>
      <c r="E209" s="51" t="str">
        <f>IFERROR(_xlfn.XLOOKUP(A209,[1]SP500!$A$2:$A$655,[1]SP500!$B$2:$B$655),"")</f>
        <v>XLP</v>
      </c>
      <c r="F209" s="290">
        <v>45778</v>
      </c>
      <c r="G209" s="51" t="str">
        <f t="shared" si="328"/>
        <v>BMO</v>
      </c>
      <c r="H209" s="51" t="str">
        <f t="shared" si="329"/>
        <v>s</v>
      </c>
      <c r="I209" s="344">
        <v>99.34</v>
      </c>
      <c r="J209" s="123">
        <v>92.984999999999999</v>
      </c>
      <c r="K209" s="55">
        <f t="shared" si="330"/>
        <v>-6.3972216629756426E-2</v>
      </c>
      <c r="L209" s="67">
        <f t="shared" si="331"/>
        <v>-69.904999999999973</v>
      </c>
      <c r="M209" s="57">
        <f t="shared" si="332"/>
        <v>8.4149999999999636</v>
      </c>
      <c r="N209" s="102">
        <f t="shared" si="333"/>
        <v>-69.904999999999973</v>
      </c>
      <c r="O209" s="57">
        <f>IF(N209="",#N/A,SUM($N$4:N209))</f>
        <v>397.28636410061358</v>
      </c>
      <c r="P209" s="65">
        <f t="shared" si="427"/>
        <v>-1.0662036104959396</v>
      </c>
      <c r="Q209" s="172">
        <f>IF($N209="",#N/A,SUM($P$4:P209))</f>
        <v>9.5015483436248509</v>
      </c>
      <c r="R209" s="279">
        <f t="shared" si="334"/>
        <v>5.8813206694877564</v>
      </c>
      <c r="S209" s="51" t="str">
        <f t="shared" si="335"/>
        <v>SW</v>
      </c>
      <c r="T209" s="51" t="s">
        <v>2828</v>
      </c>
      <c r="U209" s="56">
        <f t="shared" si="336"/>
        <v>99.34</v>
      </c>
      <c r="V209" s="56" t="s">
        <v>4460</v>
      </c>
      <c r="W209" s="142">
        <v>11</v>
      </c>
      <c r="X209" s="145">
        <f t="shared" si="337"/>
        <v>1092.74</v>
      </c>
      <c r="Y209" s="140">
        <f t="shared" si="338"/>
        <v>11</v>
      </c>
      <c r="Z209" s="123">
        <v>93.75</v>
      </c>
      <c r="AA209" s="102">
        <f t="shared" si="339"/>
        <v>-61.490000000000009</v>
      </c>
      <c r="AB209" s="102">
        <f t="shared" si="340"/>
        <v>-76.560000000000059</v>
      </c>
      <c r="AC209" s="124">
        <v>92.38</v>
      </c>
      <c r="AD209" s="155">
        <f t="shared" si="341"/>
        <v>-76.560000000000059</v>
      </c>
      <c r="AE209" s="545">
        <f t="shared" si="342"/>
        <v>-1.1677068653110541</v>
      </c>
      <c r="AF209" s="57">
        <f>IF($AC209="",#N/A,SUM(AD$4:AD209))</f>
        <v>-59.500412002416169</v>
      </c>
      <c r="AG209" s="102">
        <f t="shared" si="343"/>
        <v>-6.6550000000000864</v>
      </c>
      <c r="AH209" s="56" t="s">
        <v>2507</v>
      </c>
      <c r="AI209" s="65">
        <f t="shared" si="344"/>
        <v>-0.93785651969666495</v>
      </c>
      <c r="AJ209" s="54">
        <f>IF(AI209="",#N/A,SUM($AI$4:AI209))</f>
        <v>3.620227674137094</v>
      </c>
      <c r="AK209" s="57">
        <f t="shared" si="345"/>
        <v>-61.490000000000009</v>
      </c>
      <c r="AL209" s="349">
        <f>IF(AI209="",#N/A,IF(AH209="Skip",SUM($AK$4:AK209),SUM($AK$4:AK209)))</f>
        <v>27.207591492814231</v>
      </c>
      <c r="AM209" s="65">
        <f t="shared" si="428"/>
        <v>-1.1677068653110541</v>
      </c>
      <c r="AN209" s="211"/>
      <c r="AO209" s="65">
        <f t="shared" si="346"/>
        <v>-1.1677068653110541</v>
      </c>
      <c r="AP209" s="65">
        <f>IF($AC209="",#N/A,SUM(AO$4:AO209))</f>
        <v>3.7909721493458406</v>
      </c>
      <c r="AQ209" s="65" t="str">
        <f t="shared" si="347"/>
        <v/>
      </c>
      <c r="AR209" s="65">
        <f>IF($AC209="",#N/A,SUM(AQ$4:AQ209))</f>
        <v>-2.4311962030043777</v>
      </c>
      <c r="AS209" s="65" t="str">
        <f t="shared" si="348"/>
        <v/>
      </c>
      <c r="AT209" s="65">
        <f>IF($AC209="",#N/A,SUM(AS$4:AS209))</f>
        <v>-0.95737326104649789</v>
      </c>
      <c r="AU209" s="57">
        <f t="shared" si="429"/>
        <v>-76.560000000000059</v>
      </c>
      <c r="AV209" s="57">
        <f>IF($AC209="",#N/A,SUM(AU$4:AU209))</f>
        <v>118.37120645125117</v>
      </c>
      <c r="AW209" s="57" t="str">
        <f t="shared" si="430"/>
        <v/>
      </c>
      <c r="AX209" s="57">
        <f>IF($AC209="",#N/A,SUM(AW$4:AW209))</f>
        <v>-151.49</v>
      </c>
      <c r="AY209" s="57" t="str">
        <f t="shared" si="431"/>
        <v/>
      </c>
      <c r="AZ209" s="57">
        <f>IF($AC209="",#N/A,SUM(AY$4:AY209))</f>
        <v>-26.381618453667329</v>
      </c>
      <c r="BA209" s="57">
        <f>IF(AD209="",#N/A,SUM($AD$4:AD209))</f>
        <v>-59.500412002416169</v>
      </c>
      <c r="BC209" s="51" t="str">
        <f t="shared" si="349"/>
        <v/>
      </c>
      <c r="BD209" s="51" t="str">
        <f t="shared" si="350"/>
        <v/>
      </c>
      <c r="BE209" s="51" t="str">
        <f t="shared" si="351"/>
        <v/>
      </c>
      <c r="BF209" s="51" t="str">
        <f t="shared" si="352"/>
        <v>Long</v>
      </c>
      <c r="BG209" s="51" t="str">
        <f t="shared" si="353"/>
        <v/>
      </c>
      <c r="BH209" s="51" t="str">
        <f t="shared" si="354"/>
        <v/>
      </c>
      <c r="BI209" s="51">
        <f t="shared" si="355"/>
        <v>1</v>
      </c>
      <c r="BK209" s="65">
        <f t="shared" si="326"/>
        <v>0.16214938723791106</v>
      </c>
      <c r="BL209" s="65">
        <f t="shared" si="325"/>
        <v>8.1000597546870848E-2</v>
      </c>
      <c r="BM209" s="65">
        <f>IFERROR(Q209/COUNTA($J$4:J209),#N/A)</f>
        <v>4.6124021085557527E-2</v>
      </c>
      <c r="BO209" s="489">
        <f>IF(J209="",#N/A,IF(S209="SW",(COUNTIFS(K$4:$K209,"&gt;0",S$4:$S209,"SW")/COUNTIF(S$4:$S209,"SW")),#N/A))</f>
        <v>0.51376146788990829</v>
      </c>
      <c r="BP209" s="489" t="e">
        <f>IF($J209="",#N/A,IF($S209="DWN",(COUNTIFS($K$4:$K209,"&lt;0",$S$4:$S209,"DWN")/COUNTIF($S$4:$S209,"DWN")),#N/A))</f>
        <v>#N/A</v>
      </c>
      <c r="BQ209" s="489" t="e">
        <f>IF($J209="",#N/A,IF($S209="UP",(COUNTIFS($K$4:$K209,"&gt;0",$S$4:$S209,"UP")/COUNTIF($S$4:$S209,"UP")),#N/A))</f>
        <v>#N/A</v>
      </c>
      <c r="BR209" s="489">
        <f>IF(J209="",#N/A,COUNTIF($K$4:K209,"&gt;0")/COUNT($J$4:J209))</f>
        <v>0.46601941747572817</v>
      </c>
      <c r="BS209" s="65" t="str">
        <f t="shared" si="356"/>
        <v/>
      </c>
      <c r="BT209" s="65">
        <f t="shared" si="357"/>
        <v>-1.0662036104959396</v>
      </c>
      <c r="BU209" s="65" t="str">
        <f t="shared" si="358"/>
        <v/>
      </c>
      <c r="BV209" s="65" t="str">
        <f t="shared" si="359"/>
        <v/>
      </c>
      <c r="BW209" s="128" t="str">
        <f t="shared" si="360"/>
        <v/>
      </c>
      <c r="BX209" s="128">
        <f>IF($J209="",#N/A,SUM($BW$4:BW209))</f>
        <v>-233.61000000000035</v>
      </c>
      <c r="BY209" s="131" t="str">
        <f t="shared" si="361"/>
        <v/>
      </c>
      <c r="BZ209" s="131">
        <f>IF($J209="",#N/A,SUM($BY$4:BY209))</f>
        <v>479.47934038933431</v>
      </c>
      <c r="CA209" s="133">
        <f t="shared" si="362"/>
        <v>-69.904999999999973</v>
      </c>
      <c r="CB209" s="133">
        <f>IF($J209="",#N/A,SUM($CA$4:CA209))</f>
        <v>151.41702371127965</v>
      </c>
      <c r="CC209" s="194" t="str">
        <f t="shared" si="363"/>
        <v/>
      </c>
      <c r="CD209" s="194">
        <f>IF($J209="",#N/A,SUM($CC$4:CC209))</f>
        <v>-3.6771575581780365</v>
      </c>
      <c r="CE209" s="195" t="str">
        <f t="shared" si="364"/>
        <v/>
      </c>
      <c r="CF209" s="195">
        <f>IF($J209="",#N/A,SUM($CE$4:CE209))</f>
        <v>8.39823795735564</v>
      </c>
      <c r="CG209" s="196">
        <f t="shared" si="365"/>
        <v>-1.0662036104959396</v>
      </c>
      <c r="CH209" s="193">
        <f>IF($J209="",#N/A,SUM($CG$4:CG209))</f>
        <v>4.7804679444472544</v>
      </c>
      <c r="CI209" s="200" t="str">
        <f t="shared" si="366"/>
        <v/>
      </c>
      <c r="CJ209" s="203">
        <f>IF($J209="",#N/A,SUM(CI$4:CI209))</f>
        <v>0</v>
      </c>
      <c r="CK209" s="204" t="str">
        <f t="shared" si="367"/>
        <v/>
      </c>
      <c r="CL209" s="204">
        <f>IF($J209="",#N/A,SUM(CK$4:CK209))</f>
        <v>1.9927003554442289</v>
      </c>
      <c r="CM209" s="205" t="str">
        <f t="shared" si="368"/>
        <v/>
      </c>
      <c r="CN209" s="205">
        <f>IF($J209="",#N/A,SUM(CM$4:CM209))</f>
        <v>5.6091171609382364</v>
      </c>
      <c r="CO209" s="205">
        <f>IF($J209="",#N/A,SUM(CM$4:CM209,CK$4:CK209,CI$4:CI209))</f>
        <v>7.6018175163824644</v>
      </c>
      <c r="CP209" s="200" t="str">
        <f t="shared" si="369"/>
        <v/>
      </c>
      <c r="CQ209" s="203">
        <f>IF($J209="",#N/A,SUM(CP$4:CP209))</f>
        <v>0</v>
      </c>
      <c r="CR209" s="204" t="str">
        <f t="shared" si="370"/>
        <v/>
      </c>
      <c r="CS209" s="204">
        <f>IF($J209="",#N/A,SUM(CR$4:CR209))</f>
        <v>4.2989225684455388</v>
      </c>
      <c r="CT209" s="205" t="str">
        <f t="shared" si="371"/>
        <v/>
      </c>
      <c r="CU209" s="205">
        <f>IF($J209="",#N/A,SUM(CT$4:CT209))</f>
        <v>-1.1331655471946371</v>
      </c>
      <c r="CV209" s="205">
        <f>IF($J209="",#N/A,SUM(CT$4:CT209,CR$4:CR209,CP$4:CP209))</f>
        <v>3.1657570212509012</v>
      </c>
      <c r="CW209" s="200" t="str">
        <f t="shared" si="372"/>
        <v/>
      </c>
      <c r="CX209" s="203">
        <f>IF($J209="",#N/A,SUM(CW$4:CW209))</f>
        <v>-0.33865165024245297</v>
      </c>
      <c r="CY209" s="204" t="str">
        <f t="shared" si="373"/>
        <v/>
      </c>
      <c r="CZ209" s="204">
        <f>IF($J209="",#N/A,SUM(CY$4:CY209))</f>
        <v>-1.0974100761627814</v>
      </c>
      <c r="DA209" s="205" t="str">
        <f t="shared" si="374"/>
        <v/>
      </c>
      <c r="DB209" s="205">
        <f>IF($J209="",#N/A,SUM(DA$4:DA209))</f>
        <v>-2.2679577914291</v>
      </c>
      <c r="DC209" s="205">
        <f>IF($J209="",#N/A,SUM(DA$4:DA209,CY$4:CY209,CW$4:CW209))</f>
        <v>-3.7040195178343338</v>
      </c>
      <c r="DD209" s="200" t="str">
        <f t="shared" si="375"/>
        <v/>
      </c>
      <c r="DE209" s="203">
        <f>IF($J209="",#N/A,SUM(DD$4:DD209))</f>
        <v>0.14968716170674062</v>
      </c>
      <c r="DF209" s="204" t="str">
        <f t="shared" si="376"/>
        <v/>
      </c>
      <c r="DG209" s="204">
        <f>IF($J209="",#N/A,SUM(DF$4:DF209))</f>
        <v>1.2121188689979676</v>
      </c>
      <c r="DH209" s="205">
        <f t="shared" si="377"/>
        <v>-1.0662036104959396</v>
      </c>
      <c r="DI209" s="205">
        <f>IF($J209="",#N/A,SUM(DH$4:DH209))</f>
        <v>-1.9066052078694633</v>
      </c>
      <c r="DJ209" s="205">
        <f>IF($J209="",#N/A,SUM(DH$4:DH209,DF$4:DF209,DD$4:DD209))</f>
        <v>-0.5447991771647549</v>
      </c>
      <c r="DK209" s="200" t="str">
        <f t="shared" si="378"/>
        <v/>
      </c>
      <c r="DL209" s="203">
        <f>IF($J209="",#N/A,SUM(DK$4:DK209))</f>
        <v>-1.2097286851272664</v>
      </c>
      <c r="DM209" s="204" t="str">
        <f t="shared" si="379"/>
        <v/>
      </c>
      <c r="DN209" s="204">
        <f>IF($J209="",#N/A,SUM(DM$4:DM209))</f>
        <v>1.1910608267574658</v>
      </c>
      <c r="DO209" s="205" t="str">
        <f t="shared" si="380"/>
        <v/>
      </c>
      <c r="DP209" s="205">
        <f>IF($J209="",#N/A,SUM(DO$4:DO209))</f>
        <v>2.6571865116636566</v>
      </c>
      <c r="DQ209" s="205">
        <f>IF($J209="",#N/A,SUM(DO$4:DO209,DM$4:DM209,DK$4:DK209))</f>
        <v>2.6385186532938567</v>
      </c>
      <c r="DR209" s="200" t="str">
        <f t="shared" si="381"/>
        <v/>
      </c>
      <c r="DS209" s="203">
        <f>IF($J209="",#N/A,SUM(DR$4:DR209))</f>
        <v>-0.55950946427675097</v>
      </c>
      <c r="DT209" s="204" t="str">
        <f t="shared" si="382"/>
        <v/>
      </c>
      <c r="DU209" s="204">
        <f>IF($J209="",#N/A,SUM(DT$4:DT209))</f>
        <v>-3.5029740333397914</v>
      </c>
      <c r="DV209" s="205" t="str">
        <f t="shared" si="383"/>
        <v/>
      </c>
      <c r="DW209" s="205">
        <f>IF($J209="",#N/A,SUM(DV$4:DV209))</f>
        <v>-1.1099074520338865</v>
      </c>
      <c r="DX209" s="205">
        <f>IF($J209="",#N/A,SUM(DV$4:DV209,DT$4:DT209,DR$4:DR209))</f>
        <v>-5.1723909496504286</v>
      </c>
      <c r="DY209" s="200" t="str">
        <f t="shared" si="384"/>
        <v/>
      </c>
      <c r="DZ209" s="203">
        <f>IF($J209="",#N/A,SUM(DY$4:DY209))</f>
        <v>-1.63480022183437</v>
      </c>
      <c r="EA209" s="204" t="str">
        <f t="shared" si="385"/>
        <v/>
      </c>
      <c r="EB209" s="204">
        <f>IF($J209="",#N/A,SUM(EA$4:EA209))</f>
        <v>0.65158371441459195</v>
      </c>
      <c r="EC209" s="205" t="str">
        <f t="shared" si="386"/>
        <v/>
      </c>
      <c r="ED209" s="205">
        <f>IF($J209="",#N/A,SUM(EC$4:EC209))</f>
        <v>3.1841938205512466</v>
      </c>
      <c r="EE209" s="205">
        <f>IF($J209="",#N/A,SUM(EC$4:EC209,EA$4:EA209,DY$4:DY209))</f>
        <v>2.2009773131314674</v>
      </c>
      <c r="EF209" s="200" t="str">
        <f t="shared" si="387"/>
        <v/>
      </c>
      <c r="EG209" s="203">
        <f>IF($J209="",#N/A,SUM(EF$4:EF209))</f>
        <v>-0.15098969023521425</v>
      </c>
      <c r="EH209" s="204" t="str">
        <f t="shared" si="388"/>
        <v/>
      </c>
      <c r="EI209" s="204">
        <f>IF($J209="",#N/A,SUM(EH$4:EH209))</f>
        <v>-2.6267690330909645</v>
      </c>
      <c r="EJ209" s="205" t="str">
        <f t="shared" si="389"/>
        <v/>
      </c>
      <c r="EK209" s="205">
        <f>IF($J209="",#N/A,SUM(EJ$4:EJ209))</f>
        <v>2.804966392787259</v>
      </c>
      <c r="EL209" s="205">
        <f>IF($J209="",#N/A,SUM(EJ$4:EJ209,EH$4:EH209,EF$4:EF209))</f>
        <v>2.7207669461081163E-2</v>
      </c>
      <c r="EM209" s="200" t="str">
        <f t="shared" si="390"/>
        <v/>
      </c>
      <c r="EN209" s="203">
        <f>IF($J209="",#N/A,SUM(EM$4:EM209))</f>
        <v>0</v>
      </c>
      <c r="EO209" s="204" t="str">
        <f t="shared" si="391"/>
        <v/>
      </c>
      <c r="EP209" s="204">
        <f>IF($J209="",#N/A,SUM(EO$4:EO209))</f>
        <v>3.2406646352184261</v>
      </c>
      <c r="EQ209" s="205" t="str">
        <f t="shared" si="392"/>
        <v/>
      </c>
      <c r="ER209" s="205">
        <f>IF($J209="",#N/A,SUM(EQ$4:EQ209))</f>
        <v>2.0221833315059508</v>
      </c>
      <c r="ES209" s="205">
        <f>IF($J209="",#N/A,SUM(EQ$4:EQ209,EO$4:EO209,EM$4:EM209))</f>
        <v>5.2628479667243759</v>
      </c>
      <c r="ET209" s="200" t="str">
        <f t="shared" si="393"/>
        <v/>
      </c>
      <c r="EU209" s="203">
        <f>IF($J209="",#N/A,SUM(ET$4:ET209))</f>
        <v>0</v>
      </c>
      <c r="EV209" s="204" t="str">
        <f t="shared" si="394"/>
        <v/>
      </c>
      <c r="EW209" s="204">
        <f>IF($J209="",#N/A,SUM(EV$4:EV209))</f>
        <v>1.9901851109977766</v>
      </c>
      <c r="EX209" s="205" t="str">
        <f t="shared" si="395"/>
        <v/>
      </c>
      <c r="EY209" s="205">
        <f>IF($J209="",#N/A,SUM(EX$4:EX209))</f>
        <v>-9.038537462898949E-2</v>
      </c>
      <c r="EZ209" s="205">
        <f>IF($J209="",#N/A,SUM(EX$4:EX209,EV$4:EV209,ET$4:ET209))</f>
        <v>1.8997997363687871</v>
      </c>
      <c r="FA209" s="200" t="str">
        <f t="shared" si="396"/>
        <v/>
      </c>
      <c r="FB209" s="203">
        <f>IF($J209="",#N/A,SUM(FA$4:FA209))</f>
        <v>0</v>
      </c>
      <c r="FC209" s="204" t="str">
        <f t="shared" si="397"/>
        <v/>
      </c>
      <c r="FD209" s="204">
        <f>IF($J209="",#N/A,SUM(FC$4:FC209))</f>
        <v>1.6839191319663924</v>
      </c>
      <c r="FE209" s="205" t="str">
        <f t="shared" si="398"/>
        <v/>
      </c>
      <c r="FF209" s="205">
        <f>IF($J209="",#N/A,SUM(FE$4:FE209))</f>
        <v>-0.28811149078748233</v>
      </c>
      <c r="FG209" s="205">
        <f>IF($J209="",#N/A,SUM(FE$4:FE209,FC$4:FC209,FA$4:FA209))</f>
        <v>1.3958076411789102</v>
      </c>
      <c r="FH209" s="200" t="str">
        <f t="shared" si="399"/>
        <v/>
      </c>
      <c r="FI209" s="203">
        <f>IF($J209="",#N/A,SUM(FH$4:FH209))</f>
        <v>0</v>
      </c>
      <c r="FJ209" s="204" t="str">
        <f t="shared" si="400"/>
        <v/>
      </c>
      <c r="FK209" s="204">
        <f>IF($J209="",#N/A,SUM(FJ$4:FJ209))</f>
        <v>0</v>
      </c>
      <c r="FL209" s="205" t="str">
        <f t="shared" si="401"/>
        <v/>
      </c>
      <c r="FM209" s="205">
        <f>IF($J209="",#N/A,SUM(FL$4:FL209))</f>
        <v>0</v>
      </c>
      <c r="FN209" s="205">
        <f>IF($J209="",#N/A,SUM(FL$4:FL209,FJ$4:FJ209,FH$4:FH209))</f>
        <v>0</v>
      </c>
      <c r="FO209" s="200" t="str">
        <f t="shared" si="402"/>
        <v/>
      </c>
      <c r="FP209" s="203">
        <f>IF($J209="",#N/A,SUM(FO$4:FO209))</f>
        <v>0</v>
      </c>
      <c r="FQ209" s="204" t="str">
        <f t="shared" si="403"/>
        <v/>
      </c>
      <c r="FR209" s="204">
        <f>IF($J209="",#N/A,SUM(FQ$4:FQ209))</f>
        <v>0</v>
      </c>
      <c r="FS209" s="205" t="str">
        <f t="shared" si="404"/>
        <v/>
      </c>
      <c r="FT209" s="205">
        <f>IF($J209="",#N/A,SUM(FS$4:FS209))</f>
        <v>0</v>
      </c>
      <c r="FU209" s="205">
        <f>IF($J209="",#N/A,SUM(FS$4:FS209,FQ$4:FQ209,FO$4:FO209))</f>
        <v>0</v>
      </c>
      <c r="FV209" s="200" t="str">
        <f t="shared" si="405"/>
        <v/>
      </c>
      <c r="FW209" s="203">
        <f>IF($J209="",#N/A,SUM(FV$4:FV209))</f>
        <v>6.6834991831277585E-2</v>
      </c>
      <c r="FX209" s="204" t="str">
        <f t="shared" si="406"/>
        <v/>
      </c>
      <c r="FY209" s="204">
        <f>IF($J209="",#N/A,SUM(FX$4:FX209))</f>
        <v>-0.16102012791805576</v>
      </c>
      <c r="FZ209" s="205" t="str">
        <f t="shared" si="407"/>
        <v/>
      </c>
      <c r="GA209" s="205">
        <f>IF($J209="",#N/A,SUM(FZ$4:FZ209))</f>
        <v>-1.7642101813332194</v>
      </c>
      <c r="GB209" s="205">
        <f>IF($J209="",#N/A,SUM(FZ$4:FZ209,FX$4:FX209,FV$4:FV209))</f>
        <v>-1.8583953174199976</v>
      </c>
      <c r="GC209" s="200" t="str">
        <f t="shared" si="408"/>
        <v/>
      </c>
      <c r="GD209" s="203">
        <f>IF($J209="",#N/A,SUM(GC$4:GC209))</f>
        <v>0</v>
      </c>
      <c r="GE209" s="204" t="str">
        <f t="shared" si="409"/>
        <v/>
      </c>
      <c r="GF209" s="204">
        <f>IF($J209="",#N/A,SUM(GE$4:GE209))</f>
        <v>0</v>
      </c>
      <c r="GG209" s="205" t="str">
        <f t="shared" si="410"/>
        <v/>
      </c>
      <c r="GH209" s="205">
        <f>IF($J209="",#N/A,SUM(GG$4:GG209))</f>
        <v>-2.9368362277223206</v>
      </c>
      <c r="GI209" s="205">
        <f>IF($J209="",#N/A,SUM(GG$4:GG209,GE$4:GE209,GC$4:GC209))</f>
        <v>-2.9368362277223206</v>
      </c>
      <c r="GJ209" s="200" t="str">
        <f t="shared" si="411"/>
        <v/>
      </c>
      <c r="GK209" s="203">
        <f>IF($J209="",#N/A,SUM(GJ$4:GJ209))</f>
        <v>0</v>
      </c>
      <c r="GL209" s="204" t="str">
        <f t="shared" si="412"/>
        <v/>
      </c>
      <c r="GM209" s="204">
        <f>IF($J209="",#N/A,SUM(GL$4:GL209))</f>
        <v>-0.80168930905701452</v>
      </c>
      <c r="GN209" s="205" t="str">
        <f t="shared" si="413"/>
        <v/>
      </c>
      <c r="GO209" s="205">
        <f>IF($J209="",#N/A,SUM(GN$4:GN209))</f>
        <v>0</v>
      </c>
      <c r="GP209" s="205">
        <f>IF($J209="",#N/A,SUM(GN$4:GN209,GL$4:GL209,GJ$4:GJ209))</f>
        <v>-0.80168930905701452</v>
      </c>
      <c r="GS209" s="54">
        <f t="shared" si="432"/>
        <v>-1.0662036104959396</v>
      </c>
      <c r="GT209" s="54">
        <f>IF(GS209="",NA(),SUM($GS$4:GS209))</f>
        <v>3.7523378132804428</v>
      </c>
      <c r="GU209" s="54" t="str">
        <f t="shared" si="414"/>
        <v/>
      </c>
      <c r="GV209" s="54" t="e">
        <f>IF(GU209="",NA(),SUM($GU$4:GU209))</f>
        <v>#N/A</v>
      </c>
      <c r="GW209" s="54">
        <f t="shared" si="415"/>
        <v>-1.0662036104959396</v>
      </c>
      <c r="GX209" s="54">
        <f>IF(GW209="",NA(),SUM($GW$4:GW209))</f>
        <v>4.4165754494986942</v>
      </c>
      <c r="GY209" s="54" t="str">
        <f t="shared" si="416"/>
        <v/>
      </c>
      <c r="GZ209" s="54" t="e">
        <f>IF(GY209="",NA(),SUM($GY$4:GY209))</f>
        <v>#N/A</v>
      </c>
      <c r="HA209" s="54" t="str">
        <f t="shared" si="417"/>
        <v/>
      </c>
      <c r="HB209" s="54" t="e">
        <f>IF(HA209="",NA(),SUM($HA$4:HA209))</f>
        <v>#N/A</v>
      </c>
      <c r="HC209" s="54" t="str">
        <f t="shared" si="418"/>
        <v/>
      </c>
      <c r="HD209" s="54" t="e">
        <f>IF(HC209="",NA(),SUM($HC$4:HC209))</f>
        <v>#N/A</v>
      </c>
      <c r="HE209" s="54" t="str">
        <f t="shared" si="419"/>
        <v/>
      </c>
      <c r="HF209" s="54" t="e">
        <f>IF(HE209="",NA(),SUM($HE$4:HE209))</f>
        <v>#N/A</v>
      </c>
      <c r="HG209" s="54" t="str">
        <f t="shared" si="420"/>
        <v/>
      </c>
      <c r="HH209" s="54" t="e">
        <f>IF(HG209="",NA(),SUM($HG$4:HG209))</f>
        <v>#N/A</v>
      </c>
      <c r="HI209" s="172" t="str">
        <f t="shared" si="433"/>
        <v/>
      </c>
      <c r="HJ209" s="172">
        <f>IF($J209="",#N/A,SUM(HI$4:$HI209))</f>
        <v>-7.5867314822824889</v>
      </c>
      <c r="HK209" s="54" t="str">
        <f t="shared" si="421"/>
        <v/>
      </c>
      <c r="HL209" s="54">
        <f>IF($J209="",#N/A,SUM($HK$4:HK209))</f>
        <v>-1.7688797361196436</v>
      </c>
      <c r="HM209" s="54" t="str">
        <f t="shared" si="422"/>
        <v/>
      </c>
      <c r="HN209" s="54">
        <f>IF($J209="",#N/A,SUM($HM$4:HM209))</f>
        <v>0.71812545963587882</v>
      </c>
      <c r="HO209" s="54" t="str">
        <f t="shared" si="423"/>
        <v/>
      </c>
      <c r="HP209" s="54">
        <f>IF($J209="",#N/A,SUM($HO$4:HO209))</f>
        <v>0.52783589553778021</v>
      </c>
      <c r="HQ209" s="54" t="str">
        <f t="shared" si="424"/>
        <v/>
      </c>
      <c r="HR209" s="54">
        <f>IF($J209="",#N/A,SUM($HQ$4:HQ209))</f>
        <v>-13.488838259626451</v>
      </c>
      <c r="HS209" s="54">
        <f t="shared" si="425"/>
        <v>-0.10150325481511446</v>
      </c>
      <c r="HT209" s="54">
        <f>IF($J209="",#N/A,SUM($HS$4:HS209))</f>
        <v>12.499342464525043</v>
      </c>
      <c r="HU209" s="65">
        <f t="shared" si="426"/>
        <v>-1.1677068653110541</v>
      </c>
      <c r="HV209" s="65">
        <f>IF($J209="",#N/A,SUM(HU$4:$HU209))</f>
        <v>0.40240268529496848</v>
      </c>
    </row>
    <row r="210" spans="1:230" x14ac:dyDescent="0.25">
      <c r="A210" s="51" t="s">
        <v>1451</v>
      </c>
      <c r="B210" s="52" t="s">
        <v>4544</v>
      </c>
      <c r="C210" s="229">
        <f t="shared" si="327"/>
        <v>3</v>
      </c>
      <c r="D210" s="219" t="str">
        <f>_xlfn.XLOOKUP(A210,[1]SP500!$A$2:$A$502,[1]SP500!$D$2:$D$502,"N")</f>
        <v>Y</v>
      </c>
      <c r="E210" s="51" t="str">
        <f>IFERROR(_xlfn.XLOOKUP(A210,[1]SP500!$A$2:$A$655,[1]SP500!$B$2:$B$655),"")</f>
        <v>XLV</v>
      </c>
      <c r="F210" s="290">
        <v>45778</v>
      </c>
      <c r="G210" s="51" t="str">
        <f t="shared" si="328"/>
        <v>BMO</v>
      </c>
      <c r="H210" s="51" t="str">
        <f t="shared" si="329"/>
        <v>s</v>
      </c>
      <c r="I210" s="344">
        <v>432.65</v>
      </c>
      <c r="J210" s="123">
        <v>468.18</v>
      </c>
      <c r="K210" s="55">
        <f t="shared" si="330"/>
        <v>8.2121807465618937E-2</v>
      </c>
      <c r="L210" s="67">
        <f t="shared" si="331"/>
        <v>71.060000000000059</v>
      </c>
      <c r="M210" s="57">
        <f t="shared" si="332"/>
        <v>5.1999999999999318</v>
      </c>
      <c r="N210" s="102">
        <f t="shared" si="333"/>
        <v>71.060000000000059</v>
      </c>
      <c r="O210" s="57">
        <f>IF(N210="",#N/A,SUM($N$4:N210))</f>
        <v>468.34636410061364</v>
      </c>
      <c r="P210" s="65">
        <f t="shared" si="427"/>
        <v>1.3686967910936489</v>
      </c>
      <c r="Q210" s="172">
        <f>IF($N210="",#N/A,SUM($P$4:P210))</f>
        <v>10.8702451347185</v>
      </c>
      <c r="R210" s="279">
        <f t="shared" si="334"/>
        <v>5.7811627281186766</v>
      </c>
      <c r="S210" s="51" t="str">
        <f t="shared" si="335"/>
        <v>SW</v>
      </c>
      <c r="T210" s="51" t="s">
        <v>2828</v>
      </c>
      <c r="U210" s="56">
        <f t="shared" si="336"/>
        <v>432.65</v>
      </c>
      <c r="V210" s="56" t="s">
        <v>4460</v>
      </c>
      <c r="W210" s="142">
        <v>2</v>
      </c>
      <c r="X210" s="145">
        <f t="shared" si="337"/>
        <v>865.3</v>
      </c>
      <c r="Y210" s="140">
        <f t="shared" si="338"/>
        <v>2</v>
      </c>
      <c r="Z210" s="123">
        <v>470.78</v>
      </c>
      <c r="AA210" s="102">
        <f t="shared" si="339"/>
        <v>76.259999999999991</v>
      </c>
      <c r="AB210" s="102">
        <f t="shared" si="340"/>
        <v>77.460000000000036</v>
      </c>
      <c r="AC210" s="124">
        <v>471.38</v>
      </c>
      <c r="AD210" s="155">
        <f t="shared" si="341"/>
        <v>77.460000000000036</v>
      </c>
      <c r="AE210" s="545">
        <f t="shared" si="342"/>
        <v>1.4919681035479033</v>
      </c>
      <c r="AF210" s="57">
        <f>IF($AC210="",#N/A,SUM(AD$4:AD210))</f>
        <v>17.959587997583867</v>
      </c>
      <c r="AG210" s="102">
        <f t="shared" si="343"/>
        <v>6.3999999999999773</v>
      </c>
      <c r="AH210" s="56" t="s">
        <v>2507</v>
      </c>
      <c r="AI210" s="65">
        <f t="shared" si="344"/>
        <v>1.4688547324627297</v>
      </c>
      <c r="AJ210" s="54">
        <f>IF(AI210="",#N/A,SUM($AI$4:AI210))</f>
        <v>5.0890824065998235</v>
      </c>
      <c r="AK210" s="57">
        <f t="shared" si="345"/>
        <v>76.259999999999991</v>
      </c>
      <c r="AL210" s="349">
        <f>IF(AI210="",#N/A,IF(AH210="Skip",SUM($AK$4:AK210),SUM($AK$4:AK210)))</f>
        <v>103.46759149281422</v>
      </c>
      <c r="AM210" s="65">
        <f t="shared" si="428"/>
        <v>1.4919681035479033</v>
      </c>
      <c r="AN210" s="209"/>
      <c r="AO210" s="65">
        <f t="shared" si="346"/>
        <v>1.4919681035479033</v>
      </c>
      <c r="AP210" s="65">
        <f>IF($AC210="",#N/A,SUM(AO$4:AO210))</f>
        <v>5.2829402528937441</v>
      </c>
      <c r="AQ210" s="65" t="str">
        <f t="shared" si="347"/>
        <v/>
      </c>
      <c r="AR210" s="65">
        <f>IF($AC210="",#N/A,SUM(AQ$4:AQ210))</f>
        <v>-2.4311962030043777</v>
      </c>
      <c r="AS210" s="65" t="str">
        <f t="shared" si="348"/>
        <v/>
      </c>
      <c r="AT210" s="65">
        <f>IF($AC210="",#N/A,SUM(AS$4:AS210))</f>
        <v>-0.95737326104649789</v>
      </c>
      <c r="AU210" s="57">
        <f t="shared" si="429"/>
        <v>77.460000000000036</v>
      </c>
      <c r="AV210" s="57">
        <f>IF($AC210="",#N/A,SUM(AU$4:AU210))</f>
        <v>195.83120645125121</v>
      </c>
      <c r="AW210" s="57" t="str">
        <f t="shared" si="430"/>
        <v/>
      </c>
      <c r="AX210" s="57">
        <f>IF($AC210="",#N/A,SUM(AW$4:AW210))</f>
        <v>-151.49</v>
      </c>
      <c r="AY210" s="57" t="str">
        <f t="shared" si="431"/>
        <v/>
      </c>
      <c r="AZ210" s="57">
        <f>IF($AC210="",#N/A,SUM(AY$4:AY210))</f>
        <v>-26.381618453667329</v>
      </c>
      <c r="BA210" s="57">
        <f>IF(AD210="",#N/A,SUM($AD$4:AD210))</f>
        <v>17.959587997583867</v>
      </c>
      <c r="BC210" s="51" t="str">
        <f t="shared" si="349"/>
        <v/>
      </c>
      <c r="BD210" s="51" t="str">
        <f t="shared" si="350"/>
        <v/>
      </c>
      <c r="BE210" s="51">
        <f t="shared" si="351"/>
        <v>1</v>
      </c>
      <c r="BF210" s="51" t="str">
        <f t="shared" si="352"/>
        <v>Long</v>
      </c>
      <c r="BG210" s="51" t="str">
        <f t="shared" si="353"/>
        <v/>
      </c>
      <c r="BH210" s="51" t="str">
        <f t="shared" si="354"/>
        <v/>
      </c>
      <c r="BI210" s="51" t="str">
        <f t="shared" si="355"/>
        <v/>
      </c>
      <c r="BK210" s="65">
        <f t="shared" si="326"/>
        <v>0.17836572194402397</v>
      </c>
      <c r="BL210" s="65">
        <f t="shared" si="325"/>
        <v>0.10729484225934961</v>
      </c>
      <c r="BM210" s="65">
        <f>IFERROR(Q210/COUNTA($J$4:J210),#N/A)</f>
        <v>5.2513261520379224E-2</v>
      </c>
      <c r="BO210" s="489">
        <f>IF(J210="",#N/A,IF(S210="SW",(COUNTIFS(K$4:$K210,"&gt;0",S$4:$S210,"SW")/COUNTIF(S$4:$S210,"SW")),#N/A))</f>
        <v>0.51818181818181819</v>
      </c>
      <c r="BP210" s="489" t="e">
        <f>IF($J210="",#N/A,IF($S210="DWN",(COUNTIFS($K$4:$K210,"&lt;0",$S$4:$S210,"DWN")/COUNTIF($S$4:$S210,"DWN")),#N/A))</f>
        <v>#N/A</v>
      </c>
      <c r="BQ210" s="489" t="e">
        <f>IF($J210="",#N/A,IF($S210="UP",(COUNTIFS($K$4:$K210,"&gt;0",$S$4:$S210,"UP")/COUNTIF($S$4:$S210,"UP")),#N/A))</f>
        <v>#N/A</v>
      </c>
      <c r="BR210" s="489">
        <f>IF(J210="",#N/A,COUNTIF($K$4:K210,"&gt;0")/COUNT($J$4:J210))</f>
        <v>0.46859903381642515</v>
      </c>
      <c r="BS210" s="65">
        <f t="shared" si="356"/>
        <v>1.3686967910936489</v>
      </c>
      <c r="BT210" s="65" t="str">
        <f t="shared" si="357"/>
        <v/>
      </c>
      <c r="BU210" s="65" t="str">
        <f t="shared" si="358"/>
        <v/>
      </c>
      <c r="BV210" s="65" t="str">
        <f t="shared" si="359"/>
        <v/>
      </c>
      <c r="BW210" s="128" t="str">
        <f t="shared" si="360"/>
        <v/>
      </c>
      <c r="BX210" s="128">
        <f>IF($J210="",#N/A,SUM($BW$4:BW210))</f>
        <v>-233.61000000000035</v>
      </c>
      <c r="BY210" s="131" t="str">
        <f t="shared" si="361"/>
        <v/>
      </c>
      <c r="BZ210" s="131">
        <f>IF($J210="",#N/A,SUM($BY$4:BY210))</f>
        <v>479.47934038933431</v>
      </c>
      <c r="CA210" s="133">
        <f t="shared" si="362"/>
        <v>71.060000000000059</v>
      </c>
      <c r="CB210" s="133">
        <f>IF($J210="",#N/A,SUM($CA$4:CA210))</f>
        <v>222.47702371127971</v>
      </c>
      <c r="CC210" s="194" t="str">
        <f t="shared" si="363"/>
        <v/>
      </c>
      <c r="CD210" s="194">
        <f>IF($J210="",#N/A,SUM($CC$4:CC210))</f>
        <v>-3.6771575581780365</v>
      </c>
      <c r="CE210" s="195" t="str">
        <f t="shared" si="364"/>
        <v/>
      </c>
      <c r="CF210" s="195">
        <f>IF($J210="",#N/A,SUM($CE$4:CE210))</f>
        <v>8.39823795735564</v>
      </c>
      <c r="CG210" s="196">
        <f t="shared" si="365"/>
        <v>1.3686967910936489</v>
      </c>
      <c r="CH210" s="193">
        <f>IF($J210="",#N/A,SUM($CG$4:CG210))</f>
        <v>6.1491647355409036</v>
      </c>
      <c r="CI210" s="200" t="str">
        <f t="shared" si="366"/>
        <v/>
      </c>
      <c r="CJ210" s="203">
        <f>IF($J210="",#N/A,SUM(CI$4:CI210))</f>
        <v>0</v>
      </c>
      <c r="CK210" s="204" t="str">
        <f t="shared" si="367"/>
        <v/>
      </c>
      <c r="CL210" s="204">
        <f>IF($J210="",#N/A,SUM(CK$4:CK210))</f>
        <v>1.9927003554442289</v>
      </c>
      <c r="CM210" s="205" t="str">
        <f t="shared" si="368"/>
        <v/>
      </c>
      <c r="CN210" s="205">
        <f>IF($J210="",#N/A,SUM(CM$4:CM210))</f>
        <v>5.6091171609382364</v>
      </c>
      <c r="CO210" s="205">
        <f>IF($J210="",#N/A,SUM(CM$4:CM210,CK$4:CK210,CI$4:CI210))</f>
        <v>7.6018175163824644</v>
      </c>
      <c r="CP210" s="200" t="str">
        <f t="shared" si="369"/>
        <v/>
      </c>
      <c r="CQ210" s="203">
        <f>IF($J210="",#N/A,SUM(CP$4:CP210))</f>
        <v>0</v>
      </c>
      <c r="CR210" s="204" t="str">
        <f t="shared" si="370"/>
        <v/>
      </c>
      <c r="CS210" s="204">
        <f>IF($J210="",#N/A,SUM(CR$4:CR210))</f>
        <v>4.2989225684455388</v>
      </c>
      <c r="CT210" s="205" t="str">
        <f t="shared" si="371"/>
        <v/>
      </c>
      <c r="CU210" s="205">
        <f>IF($J210="",#N/A,SUM(CT$4:CT210))</f>
        <v>-1.1331655471946371</v>
      </c>
      <c r="CV210" s="205">
        <f>IF($J210="",#N/A,SUM(CT$4:CT210,CR$4:CR210,CP$4:CP210))</f>
        <v>3.1657570212509012</v>
      </c>
      <c r="CW210" s="200" t="str">
        <f t="shared" si="372"/>
        <v/>
      </c>
      <c r="CX210" s="203">
        <f>IF($J210="",#N/A,SUM(CW$4:CW210))</f>
        <v>-0.33865165024245297</v>
      </c>
      <c r="CY210" s="204" t="str">
        <f t="shared" si="373"/>
        <v/>
      </c>
      <c r="CZ210" s="204">
        <f>IF($J210="",#N/A,SUM(CY$4:CY210))</f>
        <v>-1.0974100761627814</v>
      </c>
      <c r="DA210" s="205" t="str">
        <f t="shared" si="374"/>
        <v/>
      </c>
      <c r="DB210" s="205">
        <f>IF($J210="",#N/A,SUM(DA$4:DA210))</f>
        <v>-2.2679577914291</v>
      </c>
      <c r="DC210" s="205">
        <f>IF($J210="",#N/A,SUM(DA$4:DA210,CY$4:CY210,CW$4:CW210))</f>
        <v>-3.7040195178343338</v>
      </c>
      <c r="DD210" s="200" t="str">
        <f t="shared" si="375"/>
        <v/>
      </c>
      <c r="DE210" s="203">
        <f>IF($J210="",#N/A,SUM(DD$4:DD210))</f>
        <v>0.14968716170674062</v>
      </c>
      <c r="DF210" s="204" t="str">
        <f t="shared" si="376"/>
        <v/>
      </c>
      <c r="DG210" s="204">
        <f>IF($J210="",#N/A,SUM(DF$4:DF210))</f>
        <v>1.2121188689979676</v>
      </c>
      <c r="DH210" s="205" t="str">
        <f t="shared" si="377"/>
        <v/>
      </c>
      <c r="DI210" s="205">
        <f>IF($J210="",#N/A,SUM(DH$4:DH210))</f>
        <v>-1.9066052078694633</v>
      </c>
      <c r="DJ210" s="205">
        <f>IF($J210="",#N/A,SUM(DH$4:DH210,DF$4:DF210,DD$4:DD210))</f>
        <v>-0.5447991771647549</v>
      </c>
      <c r="DK210" s="200" t="str">
        <f t="shared" si="378"/>
        <v/>
      </c>
      <c r="DL210" s="203">
        <f>IF($J210="",#N/A,SUM(DK$4:DK210))</f>
        <v>-1.2097286851272664</v>
      </c>
      <c r="DM210" s="204" t="str">
        <f t="shared" si="379"/>
        <v/>
      </c>
      <c r="DN210" s="204">
        <f>IF($J210="",#N/A,SUM(DM$4:DM210))</f>
        <v>1.1910608267574658</v>
      </c>
      <c r="DO210" s="205" t="str">
        <f t="shared" si="380"/>
        <v/>
      </c>
      <c r="DP210" s="205">
        <f>IF($J210="",#N/A,SUM(DO$4:DO210))</f>
        <v>2.6571865116636566</v>
      </c>
      <c r="DQ210" s="205">
        <f>IF($J210="",#N/A,SUM(DO$4:DO210,DM$4:DM210,DK$4:DK210))</f>
        <v>2.6385186532938567</v>
      </c>
      <c r="DR210" s="200" t="str">
        <f t="shared" si="381"/>
        <v/>
      </c>
      <c r="DS210" s="203">
        <f>IF($J210="",#N/A,SUM(DR$4:DR210))</f>
        <v>-0.55950946427675097</v>
      </c>
      <c r="DT210" s="204" t="str">
        <f t="shared" si="382"/>
        <v/>
      </c>
      <c r="DU210" s="204">
        <f>IF($J210="",#N/A,SUM(DT$4:DT210))</f>
        <v>-3.5029740333397914</v>
      </c>
      <c r="DV210" s="205" t="str">
        <f t="shared" si="383"/>
        <v/>
      </c>
      <c r="DW210" s="205">
        <f>IF($J210="",#N/A,SUM(DV$4:DV210))</f>
        <v>-1.1099074520338865</v>
      </c>
      <c r="DX210" s="205">
        <f>IF($J210="",#N/A,SUM(DV$4:DV210,DT$4:DT210,DR$4:DR210))</f>
        <v>-5.1723909496504286</v>
      </c>
      <c r="DY210" s="200" t="str">
        <f t="shared" si="384"/>
        <v/>
      </c>
      <c r="DZ210" s="203">
        <f>IF($J210="",#N/A,SUM(DY$4:DY210))</f>
        <v>-1.63480022183437</v>
      </c>
      <c r="EA210" s="204" t="str">
        <f t="shared" si="385"/>
        <v/>
      </c>
      <c r="EB210" s="204">
        <f>IF($J210="",#N/A,SUM(EA$4:EA210))</f>
        <v>0.65158371441459195</v>
      </c>
      <c r="EC210" s="205" t="str">
        <f t="shared" si="386"/>
        <v/>
      </c>
      <c r="ED210" s="205">
        <f>IF($J210="",#N/A,SUM(EC$4:EC210))</f>
        <v>3.1841938205512466</v>
      </c>
      <c r="EE210" s="205">
        <f>IF($J210="",#N/A,SUM(EC$4:EC210,EA$4:EA210,DY$4:DY210))</f>
        <v>2.2009773131314674</v>
      </c>
      <c r="EF210" s="200" t="str">
        <f t="shared" si="387"/>
        <v/>
      </c>
      <c r="EG210" s="203">
        <f>IF($J210="",#N/A,SUM(EF$4:EF210))</f>
        <v>-0.15098969023521425</v>
      </c>
      <c r="EH210" s="204" t="str">
        <f t="shared" si="388"/>
        <v/>
      </c>
      <c r="EI210" s="204">
        <f>IF($J210="",#N/A,SUM(EH$4:EH210))</f>
        <v>-2.6267690330909645</v>
      </c>
      <c r="EJ210" s="205">
        <f t="shared" si="389"/>
        <v>1.3686967910936489</v>
      </c>
      <c r="EK210" s="205">
        <f>IF($J210="",#N/A,SUM(EJ$4:EJ210))</f>
        <v>4.1736631838809082</v>
      </c>
      <c r="EL210" s="205">
        <f>IF($J210="",#N/A,SUM(EJ$4:EJ210,EH$4:EH210,EF$4:EF210))</f>
        <v>1.3959044605547302</v>
      </c>
      <c r="EM210" s="200" t="str">
        <f t="shared" si="390"/>
        <v/>
      </c>
      <c r="EN210" s="203">
        <f>IF($J210="",#N/A,SUM(EM$4:EM210))</f>
        <v>0</v>
      </c>
      <c r="EO210" s="204" t="str">
        <f t="shared" si="391"/>
        <v/>
      </c>
      <c r="EP210" s="204">
        <f>IF($J210="",#N/A,SUM(EO$4:EO210))</f>
        <v>3.2406646352184261</v>
      </c>
      <c r="EQ210" s="205" t="str">
        <f t="shared" si="392"/>
        <v/>
      </c>
      <c r="ER210" s="205">
        <f>IF($J210="",#N/A,SUM(EQ$4:EQ210))</f>
        <v>2.0221833315059508</v>
      </c>
      <c r="ES210" s="205">
        <f>IF($J210="",#N/A,SUM(EQ$4:EQ210,EO$4:EO210,EM$4:EM210))</f>
        <v>5.2628479667243759</v>
      </c>
      <c r="ET210" s="200" t="str">
        <f t="shared" si="393"/>
        <v/>
      </c>
      <c r="EU210" s="203">
        <f>IF($J210="",#N/A,SUM(ET$4:ET210))</f>
        <v>0</v>
      </c>
      <c r="EV210" s="204" t="str">
        <f t="shared" si="394"/>
        <v/>
      </c>
      <c r="EW210" s="204">
        <f>IF($J210="",#N/A,SUM(EV$4:EV210))</f>
        <v>1.9901851109977766</v>
      </c>
      <c r="EX210" s="205" t="str">
        <f t="shared" si="395"/>
        <v/>
      </c>
      <c r="EY210" s="205">
        <f>IF($J210="",#N/A,SUM(EX$4:EX210))</f>
        <v>-9.038537462898949E-2</v>
      </c>
      <c r="EZ210" s="205">
        <f>IF($J210="",#N/A,SUM(EX$4:EX210,EV$4:EV210,ET$4:ET210))</f>
        <v>1.8997997363687871</v>
      </c>
      <c r="FA210" s="200" t="str">
        <f t="shared" si="396"/>
        <v/>
      </c>
      <c r="FB210" s="203">
        <f>IF($J210="",#N/A,SUM(FA$4:FA210))</f>
        <v>0</v>
      </c>
      <c r="FC210" s="204" t="str">
        <f t="shared" si="397"/>
        <v/>
      </c>
      <c r="FD210" s="204">
        <f>IF($J210="",#N/A,SUM(FC$4:FC210))</f>
        <v>1.6839191319663924</v>
      </c>
      <c r="FE210" s="205" t="str">
        <f t="shared" si="398"/>
        <v/>
      </c>
      <c r="FF210" s="205">
        <f>IF($J210="",#N/A,SUM(FE$4:FE210))</f>
        <v>-0.28811149078748233</v>
      </c>
      <c r="FG210" s="205">
        <f>IF($J210="",#N/A,SUM(FE$4:FE210,FC$4:FC210,FA$4:FA210))</f>
        <v>1.3958076411789102</v>
      </c>
      <c r="FH210" s="200" t="str">
        <f t="shared" si="399"/>
        <v/>
      </c>
      <c r="FI210" s="203">
        <f>IF($J210="",#N/A,SUM(FH$4:FH210))</f>
        <v>0</v>
      </c>
      <c r="FJ210" s="204" t="str">
        <f t="shared" si="400"/>
        <v/>
      </c>
      <c r="FK210" s="204">
        <f>IF($J210="",#N/A,SUM(FJ$4:FJ210))</f>
        <v>0</v>
      </c>
      <c r="FL210" s="205" t="str">
        <f t="shared" si="401"/>
        <v/>
      </c>
      <c r="FM210" s="205">
        <f>IF($J210="",#N/A,SUM(FL$4:FL210))</f>
        <v>0</v>
      </c>
      <c r="FN210" s="205">
        <f>IF($J210="",#N/A,SUM(FL$4:FL210,FJ$4:FJ210,FH$4:FH210))</f>
        <v>0</v>
      </c>
      <c r="FO210" s="200" t="str">
        <f t="shared" si="402"/>
        <v/>
      </c>
      <c r="FP210" s="203">
        <f>IF($J210="",#N/A,SUM(FO$4:FO210))</f>
        <v>0</v>
      </c>
      <c r="FQ210" s="204" t="str">
        <f t="shared" si="403"/>
        <v/>
      </c>
      <c r="FR210" s="204">
        <f>IF($J210="",#N/A,SUM(FQ$4:FQ210))</f>
        <v>0</v>
      </c>
      <c r="FS210" s="205" t="str">
        <f t="shared" si="404"/>
        <v/>
      </c>
      <c r="FT210" s="205">
        <f>IF($J210="",#N/A,SUM(FS$4:FS210))</f>
        <v>0</v>
      </c>
      <c r="FU210" s="205">
        <f>IF($J210="",#N/A,SUM(FS$4:FS210,FQ$4:FQ210,FO$4:FO210))</f>
        <v>0</v>
      </c>
      <c r="FV210" s="200" t="str">
        <f t="shared" si="405"/>
        <v/>
      </c>
      <c r="FW210" s="203">
        <f>IF($J210="",#N/A,SUM(FV$4:FV210))</f>
        <v>6.6834991831277585E-2</v>
      </c>
      <c r="FX210" s="204" t="str">
        <f t="shared" si="406"/>
        <v/>
      </c>
      <c r="FY210" s="204">
        <f>IF($J210="",#N/A,SUM(FX$4:FX210))</f>
        <v>-0.16102012791805576</v>
      </c>
      <c r="FZ210" s="205" t="str">
        <f t="shared" si="407"/>
        <v/>
      </c>
      <c r="GA210" s="205">
        <f>IF($J210="",#N/A,SUM(FZ$4:FZ210))</f>
        <v>-1.7642101813332194</v>
      </c>
      <c r="GB210" s="205">
        <f>IF($J210="",#N/A,SUM(FZ$4:FZ210,FX$4:FX210,FV$4:FV210))</f>
        <v>-1.8583953174199976</v>
      </c>
      <c r="GC210" s="200" t="str">
        <f t="shared" si="408"/>
        <v/>
      </c>
      <c r="GD210" s="203">
        <f>IF($J210="",#N/A,SUM(GC$4:GC210))</f>
        <v>0</v>
      </c>
      <c r="GE210" s="204" t="str">
        <f t="shared" si="409"/>
        <v/>
      </c>
      <c r="GF210" s="204">
        <f>IF($J210="",#N/A,SUM(GE$4:GE210))</f>
        <v>0</v>
      </c>
      <c r="GG210" s="205" t="str">
        <f t="shared" si="410"/>
        <v/>
      </c>
      <c r="GH210" s="205">
        <f>IF($J210="",#N/A,SUM(GG$4:GG210))</f>
        <v>-2.9368362277223206</v>
      </c>
      <c r="GI210" s="205">
        <f>IF($J210="",#N/A,SUM(GG$4:GG210,GE$4:GE210,GC$4:GC210))</f>
        <v>-2.9368362277223206</v>
      </c>
      <c r="GJ210" s="200" t="str">
        <f t="shared" si="411"/>
        <v/>
      </c>
      <c r="GK210" s="203">
        <f>IF($J210="",#N/A,SUM(GJ$4:GJ210))</f>
        <v>0</v>
      </c>
      <c r="GL210" s="204" t="str">
        <f t="shared" si="412"/>
        <v/>
      </c>
      <c r="GM210" s="204">
        <f>IF($J210="",#N/A,SUM(GL$4:GL210))</f>
        <v>-0.80168930905701452</v>
      </c>
      <c r="GN210" s="205" t="str">
        <f t="shared" si="413"/>
        <v/>
      </c>
      <c r="GO210" s="205">
        <f>IF($J210="",#N/A,SUM(GN$4:GN210))</f>
        <v>0</v>
      </c>
      <c r="GP210" s="205">
        <f>IF($J210="",#N/A,SUM(GN$4:GN210,GL$4:GL210,GJ$4:GJ210))</f>
        <v>-0.80168930905701452</v>
      </c>
      <c r="GS210" s="54">
        <f t="shared" si="432"/>
        <v>1.3686967910936489</v>
      </c>
      <c r="GT210" s="54">
        <f>IF(GS210="",NA(),SUM($GS$4:GS210))</f>
        <v>5.121034604374092</v>
      </c>
      <c r="GU210" s="54" t="str">
        <f t="shared" si="414"/>
        <v/>
      </c>
      <c r="GV210" s="54" t="e">
        <f>IF(GU210="",NA(),SUM($GU$4:GU210))</f>
        <v>#N/A</v>
      </c>
      <c r="GW210" s="54">
        <f t="shared" si="415"/>
        <v>1.3686967910936489</v>
      </c>
      <c r="GX210" s="54">
        <f>IF(GW210="",NA(),SUM($GW$4:GW210))</f>
        <v>5.7852722405923434</v>
      </c>
      <c r="GY210" s="54" t="str">
        <f t="shared" si="416"/>
        <v/>
      </c>
      <c r="GZ210" s="54" t="e">
        <f>IF(GY210="",NA(),SUM($GY$4:GY210))</f>
        <v>#N/A</v>
      </c>
      <c r="HA210" s="54" t="str">
        <f t="shared" si="417"/>
        <v/>
      </c>
      <c r="HB210" s="54" t="e">
        <f>IF(HA210="",NA(),SUM($HA$4:HA210))</f>
        <v>#N/A</v>
      </c>
      <c r="HC210" s="54" t="str">
        <f t="shared" si="418"/>
        <v/>
      </c>
      <c r="HD210" s="54" t="e">
        <f>IF(HC210="",NA(),SUM($HC$4:HC210))</f>
        <v>#N/A</v>
      </c>
      <c r="HE210" s="54" t="str">
        <f t="shared" si="419"/>
        <v/>
      </c>
      <c r="HF210" s="54" t="e">
        <f>IF(HE210="",NA(),SUM($HE$4:HE210))</f>
        <v>#N/A</v>
      </c>
      <c r="HG210" s="54" t="str">
        <f t="shared" si="420"/>
        <v/>
      </c>
      <c r="HH210" s="54" t="e">
        <f>IF(HG210="",NA(),SUM($HG$4:HG210))</f>
        <v>#N/A</v>
      </c>
      <c r="HI210" s="172" t="str">
        <f t="shared" si="433"/>
        <v/>
      </c>
      <c r="HJ210" s="172">
        <f>IF($J210="",#N/A,SUM(HI$4:$HI210))</f>
        <v>-7.5867314822824889</v>
      </c>
      <c r="HK210" s="54" t="str">
        <f t="shared" si="421"/>
        <v/>
      </c>
      <c r="HL210" s="54">
        <f>IF($J210="",#N/A,SUM($HK$4:HK210))</f>
        <v>-1.7688797361196436</v>
      </c>
      <c r="HM210" s="54" t="str">
        <f t="shared" si="422"/>
        <v/>
      </c>
      <c r="HN210" s="54">
        <f>IF($J210="",#N/A,SUM($HM$4:HM210))</f>
        <v>0.71812545963587882</v>
      </c>
      <c r="HO210" s="54" t="str">
        <f t="shared" si="423"/>
        <v/>
      </c>
      <c r="HP210" s="54">
        <f>IF($J210="",#N/A,SUM($HO$4:HO210))</f>
        <v>0.52783589553778021</v>
      </c>
      <c r="HQ210" s="54">
        <f t="shared" si="424"/>
        <v>0.12327131245425438</v>
      </c>
      <c r="HR210" s="54">
        <f>IF($J210="",#N/A,SUM($HQ$4:HQ210))</f>
        <v>-13.365566947172198</v>
      </c>
      <c r="HS210" s="54" t="str">
        <f t="shared" si="425"/>
        <v/>
      </c>
      <c r="HT210" s="54">
        <f>IF($J210="",#N/A,SUM($HS$4:HS210))</f>
        <v>12.499342464525043</v>
      </c>
      <c r="HU210" s="65">
        <f t="shared" si="426"/>
        <v>1.4919681035479033</v>
      </c>
      <c r="HV210" s="65">
        <f>IF($J210="",#N/A,SUM(HU$4:$HU210))</f>
        <v>1.8943707888428718</v>
      </c>
    </row>
    <row r="211" spans="1:230" x14ac:dyDescent="0.25">
      <c r="A211" s="51" t="s">
        <v>1321</v>
      </c>
      <c r="B211" s="52" t="s">
        <v>4544</v>
      </c>
      <c r="C211" s="229">
        <f t="shared" si="327"/>
        <v>2</v>
      </c>
      <c r="D211" s="219" t="str">
        <f>_xlfn.XLOOKUP(A211,[1]SP500!$A$2:$A$502,[1]SP500!$D$2:$D$502,"N")</f>
        <v>Y</v>
      </c>
      <c r="E211" s="51" t="str">
        <f>IFERROR(_xlfn.XLOOKUP(A211,[1]SP500!$A$2:$A$655,[1]SP500!$B$2:$B$655),"")</f>
        <v>XLF</v>
      </c>
      <c r="F211" s="290">
        <v>45778</v>
      </c>
      <c r="G211" s="51" t="str">
        <f t="shared" si="328"/>
        <v>BMO</v>
      </c>
      <c r="H211" s="51" t="str">
        <f t="shared" si="329"/>
        <v>s</v>
      </c>
      <c r="I211" s="344">
        <v>114.27</v>
      </c>
      <c r="J211" s="124">
        <v>115.56</v>
      </c>
      <c r="K211" s="55">
        <f t="shared" si="330"/>
        <v>1.1289052244683699E-2</v>
      </c>
      <c r="L211" s="67">
        <f t="shared" si="331"/>
        <v>-11.6099999999999</v>
      </c>
      <c r="M211" s="57">
        <f t="shared" si="332"/>
        <v>6.75</v>
      </c>
      <c r="N211" s="102">
        <f t="shared" si="333"/>
        <v>-11.6099999999999</v>
      </c>
      <c r="O211" s="57">
        <f>IF(N211="",#N/A,SUM($N$4:N211))</f>
        <v>456.73636410061374</v>
      </c>
      <c r="P211" s="65">
        <f t="shared" si="427"/>
        <v>-0.18815087074472578</v>
      </c>
      <c r="Q211" s="172">
        <f>IF($N211="",#N/A,SUM($P$4:P211))</f>
        <v>10.682094263973774</v>
      </c>
      <c r="R211" s="279">
        <f t="shared" si="334"/>
        <v>5.671772686988021</v>
      </c>
      <c r="S211" s="51" t="str">
        <f t="shared" si="335"/>
        <v>Dwn</v>
      </c>
      <c r="T211" s="51" t="s">
        <v>4461</v>
      </c>
      <c r="U211" s="56">
        <f t="shared" si="336"/>
        <v>114.27</v>
      </c>
      <c r="V211" s="56" t="s">
        <v>4458</v>
      </c>
      <c r="W211" s="142">
        <v>9</v>
      </c>
      <c r="X211" s="145">
        <f t="shared" si="337"/>
        <v>1028.43</v>
      </c>
      <c r="Y211" s="140">
        <f t="shared" si="338"/>
        <v>9</v>
      </c>
      <c r="Z211" s="123">
        <v>114.81</v>
      </c>
      <c r="AA211" s="102">
        <f t="shared" si="339"/>
        <v>-4.8599999999999</v>
      </c>
      <c r="AB211" s="102">
        <f t="shared" si="340"/>
        <v>-1.9799999999997908</v>
      </c>
      <c r="AC211" s="124">
        <v>114.49</v>
      </c>
      <c r="AD211" s="155">
        <f t="shared" si="341"/>
        <v>-1.9799999999997908</v>
      </c>
      <c r="AE211" s="545">
        <f t="shared" si="342"/>
        <v>-3.2087745398322209E-2</v>
      </c>
      <c r="AF211" s="57">
        <f>IF($AC211="",#N/A,SUM(AD$4:AD211))</f>
        <v>15.979587997584076</v>
      </c>
      <c r="AG211" s="102">
        <f t="shared" si="343"/>
        <v>9.6300000000001091</v>
      </c>
      <c r="AH211" s="56" t="s">
        <v>2507</v>
      </c>
      <c r="AI211" s="65">
        <f t="shared" si="344"/>
        <v>-7.8760829614070313E-2</v>
      </c>
      <c r="AJ211" s="54">
        <f>IF(AI211="",#N/A,SUM($AI$4:AI211))</f>
        <v>5.0103215769857528</v>
      </c>
      <c r="AK211" s="57">
        <f t="shared" si="345"/>
        <v>-4.8599999999999</v>
      </c>
      <c r="AL211" s="349">
        <f>IF(AI211="",#N/A,IF(AH211="Skip",SUM($AK$4:AK211),SUM($AK$4:AK211)))</f>
        <v>98.607591492814322</v>
      </c>
      <c r="AM211" s="65">
        <f t="shared" si="428"/>
        <v>-3.2087745398322209E-2</v>
      </c>
      <c r="AN211" s="209"/>
      <c r="AO211" s="65" t="str">
        <f t="shared" si="346"/>
        <v/>
      </c>
      <c r="AP211" s="65">
        <f>IF($AC211="",#N/A,SUM(AO$4:AO211))</f>
        <v>5.2829402528937441</v>
      </c>
      <c r="AQ211" s="65" t="str">
        <f t="shared" si="347"/>
        <v/>
      </c>
      <c r="AR211" s="65">
        <f>IF($AC211="",#N/A,SUM(AQ$4:AQ211))</f>
        <v>-2.4311962030043777</v>
      </c>
      <c r="AS211" s="65">
        <f t="shared" si="348"/>
        <v>-3.2087745398322209E-2</v>
      </c>
      <c r="AT211" s="65">
        <f>IF($AC211="",#N/A,SUM(AS$4:AS211))</f>
        <v>-0.98946100644482016</v>
      </c>
      <c r="AU211" s="57" t="str">
        <f t="shared" si="429"/>
        <v/>
      </c>
      <c r="AV211" s="57">
        <f>IF($AC211="",#N/A,SUM(AU$4:AU211))</f>
        <v>195.83120645125121</v>
      </c>
      <c r="AW211" s="57" t="str">
        <f t="shared" si="430"/>
        <v/>
      </c>
      <c r="AX211" s="57">
        <f>IF($AC211="",#N/A,SUM(AW$4:AW211))</f>
        <v>-151.49</v>
      </c>
      <c r="AY211" s="57">
        <f t="shared" si="431"/>
        <v>-1.9799999999997908</v>
      </c>
      <c r="AZ211" s="57">
        <f>IF($AC211="",#N/A,SUM(AY$4:AY211))</f>
        <v>-28.36161845366712</v>
      </c>
      <c r="BA211" s="57">
        <f>IF(AD211="",#N/A,SUM($AD$4:AD211))</f>
        <v>15.979587997584076</v>
      </c>
      <c r="BC211" s="51" t="str">
        <f t="shared" si="349"/>
        <v/>
      </c>
      <c r="BD211" s="51">
        <f t="shared" si="350"/>
        <v>1</v>
      </c>
      <c r="BE211" s="51" t="str">
        <f t="shared" si="351"/>
        <v/>
      </c>
      <c r="BF211" s="51" t="str">
        <f t="shared" si="352"/>
        <v>Short</v>
      </c>
      <c r="BG211" s="51" t="str">
        <f t="shared" si="353"/>
        <v/>
      </c>
      <c r="BH211" s="51" t="str">
        <f t="shared" si="354"/>
        <v/>
      </c>
      <c r="BI211" s="51" t="str">
        <f t="shared" si="355"/>
        <v/>
      </c>
      <c r="BK211" s="65">
        <f t="shared" si="326"/>
        <v>0.16590912348828152</v>
      </c>
      <c r="BL211" s="65">
        <f t="shared" si="325"/>
        <v>7.7248319593205036E-2</v>
      </c>
      <c r="BM211" s="65">
        <f>IFERROR(Q211/COUNTA($J$4:J211),#N/A)</f>
        <v>5.1356222422950834E-2</v>
      </c>
      <c r="BO211" s="489" t="e">
        <f>IF(J211="",#N/A,IF(S211="SW",(COUNTIFS(K$4:$K211,"&gt;0",S$4:$S211,"SW")/COUNTIF(S$4:$S211,"SW")),#N/A))</f>
        <v>#N/A</v>
      </c>
      <c r="BP211" s="489">
        <f>IF($J211="",#N/A,IF($S211="DWN",(COUNTIFS($K$4:$K211,"&lt;0",$S$4:$S211,"DWN")/COUNTIF($S$4:$S211,"DWN")),#N/A))</f>
        <v>0.56818181818181823</v>
      </c>
      <c r="BQ211" s="489" t="e">
        <f>IF($J211="",#N/A,IF($S211="UP",(COUNTIFS($K$4:$K211,"&gt;0",$S$4:$S211,"UP")/COUNTIF($S$4:$S211,"UP")),#N/A))</f>
        <v>#N/A</v>
      </c>
      <c r="BR211" s="489">
        <f>IF(J211="",#N/A,COUNTIF($K$4:K211,"&gt;0")/COUNT($J$4:J211))</f>
        <v>0.47115384615384615</v>
      </c>
      <c r="BS211" s="65" t="str">
        <f t="shared" si="356"/>
        <v/>
      </c>
      <c r="BT211" s="65" t="str">
        <f t="shared" si="357"/>
        <v/>
      </c>
      <c r="BU211" s="65" t="str">
        <f t="shared" si="358"/>
        <v/>
      </c>
      <c r="BV211" s="65">
        <f t="shared" si="359"/>
        <v>-0.18815087074472578</v>
      </c>
      <c r="BW211" s="128" t="str">
        <f t="shared" si="360"/>
        <v/>
      </c>
      <c r="BX211" s="128">
        <f>IF($J211="",#N/A,SUM($BW$4:BW211))</f>
        <v>-233.61000000000035</v>
      </c>
      <c r="BY211" s="131">
        <f t="shared" si="361"/>
        <v>-11.6099999999999</v>
      </c>
      <c r="BZ211" s="131">
        <f>IF($J211="",#N/A,SUM($BY$4:BY211))</f>
        <v>467.86934038933441</v>
      </c>
      <c r="CA211" s="133" t="str">
        <f t="shared" si="362"/>
        <v/>
      </c>
      <c r="CB211" s="133">
        <f>IF($J211="",#N/A,SUM($CA$4:CA211))</f>
        <v>222.47702371127971</v>
      </c>
      <c r="CC211" s="194" t="str">
        <f t="shared" si="363"/>
        <v/>
      </c>
      <c r="CD211" s="194">
        <f>IF($J211="",#N/A,SUM($CC$4:CC211))</f>
        <v>-3.6771575581780365</v>
      </c>
      <c r="CE211" s="195">
        <f t="shared" si="364"/>
        <v>-0.18815087074472578</v>
      </c>
      <c r="CF211" s="195">
        <f>IF($J211="",#N/A,SUM($CE$4:CE211))</f>
        <v>8.2100870866109137</v>
      </c>
      <c r="CG211" s="196" t="str">
        <f t="shared" si="365"/>
        <v/>
      </c>
      <c r="CH211" s="193">
        <f>IF($J211="",#N/A,SUM($CG$4:CG211))</f>
        <v>6.1491647355409036</v>
      </c>
      <c r="CI211" s="200" t="str">
        <f t="shared" si="366"/>
        <v/>
      </c>
      <c r="CJ211" s="203">
        <f>IF($J211="",#N/A,SUM(CI$4:CI211))</f>
        <v>0</v>
      </c>
      <c r="CK211" s="204" t="str">
        <f t="shared" si="367"/>
        <v/>
      </c>
      <c r="CL211" s="204">
        <f>IF($J211="",#N/A,SUM(CK$4:CK211))</f>
        <v>1.9927003554442289</v>
      </c>
      <c r="CM211" s="205" t="str">
        <f t="shared" si="368"/>
        <v/>
      </c>
      <c r="CN211" s="205">
        <f>IF($J211="",#N/A,SUM(CM$4:CM211))</f>
        <v>5.6091171609382364</v>
      </c>
      <c r="CO211" s="205">
        <f>IF($J211="",#N/A,SUM(CM$4:CM211,CK$4:CK211,CI$4:CI211))</f>
        <v>7.6018175163824644</v>
      </c>
      <c r="CP211" s="200" t="str">
        <f t="shared" si="369"/>
        <v/>
      </c>
      <c r="CQ211" s="203">
        <f>IF($J211="",#N/A,SUM(CP$4:CP211))</f>
        <v>0</v>
      </c>
      <c r="CR211" s="204" t="str">
        <f t="shared" si="370"/>
        <v/>
      </c>
      <c r="CS211" s="204">
        <f>IF($J211="",#N/A,SUM(CR$4:CR211))</f>
        <v>4.2989225684455388</v>
      </c>
      <c r="CT211" s="205" t="str">
        <f t="shared" si="371"/>
        <v/>
      </c>
      <c r="CU211" s="205">
        <f>IF($J211="",#N/A,SUM(CT$4:CT211))</f>
        <v>-1.1331655471946371</v>
      </c>
      <c r="CV211" s="205">
        <f>IF($J211="",#N/A,SUM(CT$4:CT211,CR$4:CR211,CP$4:CP211))</f>
        <v>3.1657570212509012</v>
      </c>
      <c r="CW211" s="200" t="str">
        <f t="shared" si="372"/>
        <v/>
      </c>
      <c r="CX211" s="203">
        <f>IF($J211="",#N/A,SUM(CW$4:CW211))</f>
        <v>-0.33865165024245297</v>
      </c>
      <c r="CY211" s="204" t="str">
        <f t="shared" si="373"/>
        <v/>
      </c>
      <c r="CZ211" s="204">
        <f>IF($J211="",#N/A,SUM(CY$4:CY211))</f>
        <v>-1.0974100761627814</v>
      </c>
      <c r="DA211" s="205" t="str">
        <f t="shared" si="374"/>
        <v/>
      </c>
      <c r="DB211" s="205">
        <f>IF($J211="",#N/A,SUM(DA$4:DA211))</f>
        <v>-2.2679577914291</v>
      </c>
      <c r="DC211" s="205">
        <f>IF($J211="",#N/A,SUM(DA$4:DA211,CY$4:CY211,CW$4:CW211))</f>
        <v>-3.7040195178343338</v>
      </c>
      <c r="DD211" s="200" t="str">
        <f t="shared" si="375"/>
        <v/>
      </c>
      <c r="DE211" s="203">
        <f>IF($J211="",#N/A,SUM(DD$4:DD211))</f>
        <v>0.14968716170674062</v>
      </c>
      <c r="DF211" s="204" t="str">
        <f t="shared" si="376"/>
        <v/>
      </c>
      <c r="DG211" s="204">
        <f>IF($J211="",#N/A,SUM(DF$4:DF211))</f>
        <v>1.2121188689979676</v>
      </c>
      <c r="DH211" s="205" t="str">
        <f t="shared" si="377"/>
        <v/>
      </c>
      <c r="DI211" s="205">
        <f>IF($J211="",#N/A,SUM(DH$4:DH211))</f>
        <v>-1.9066052078694633</v>
      </c>
      <c r="DJ211" s="205">
        <f>IF($J211="",#N/A,SUM(DH$4:DH211,DF$4:DF211,DD$4:DD211))</f>
        <v>-0.5447991771647549</v>
      </c>
      <c r="DK211" s="200" t="str">
        <f t="shared" si="378"/>
        <v/>
      </c>
      <c r="DL211" s="203">
        <f>IF($J211="",#N/A,SUM(DK$4:DK211))</f>
        <v>-1.2097286851272664</v>
      </c>
      <c r="DM211" s="204" t="str">
        <f t="shared" si="379"/>
        <v/>
      </c>
      <c r="DN211" s="204">
        <f>IF($J211="",#N/A,SUM(DM$4:DM211))</f>
        <v>1.1910608267574658</v>
      </c>
      <c r="DO211" s="205" t="str">
        <f t="shared" si="380"/>
        <v/>
      </c>
      <c r="DP211" s="205">
        <f>IF($J211="",#N/A,SUM(DO$4:DO211))</f>
        <v>2.6571865116636566</v>
      </c>
      <c r="DQ211" s="205">
        <f>IF($J211="",#N/A,SUM(DO$4:DO211,DM$4:DM211,DK$4:DK211))</f>
        <v>2.6385186532938567</v>
      </c>
      <c r="DR211" s="200" t="str">
        <f t="shared" si="381"/>
        <v/>
      </c>
      <c r="DS211" s="203">
        <f>IF($J211="",#N/A,SUM(DR$4:DR211))</f>
        <v>-0.55950946427675097</v>
      </c>
      <c r="DT211" s="204">
        <f t="shared" si="382"/>
        <v>-0.18815087074472578</v>
      </c>
      <c r="DU211" s="204">
        <f>IF($J211="",#N/A,SUM(DT$4:DT211))</f>
        <v>-3.6911249040845173</v>
      </c>
      <c r="DV211" s="205" t="str">
        <f t="shared" si="383"/>
        <v/>
      </c>
      <c r="DW211" s="205">
        <f>IF($J211="",#N/A,SUM(DV$4:DV211))</f>
        <v>-1.1099074520338865</v>
      </c>
      <c r="DX211" s="205">
        <f>IF($J211="",#N/A,SUM(DV$4:DV211,DT$4:DT211,DR$4:DR211))</f>
        <v>-5.360541820395154</v>
      </c>
      <c r="DY211" s="200" t="str">
        <f t="shared" si="384"/>
        <v/>
      </c>
      <c r="DZ211" s="203">
        <f>IF($J211="",#N/A,SUM(DY$4:DY211))</f>
        <v>-1.63480022183437</v>
      </c>
      <c r="EA211" s="204" t="str">
        <f t="shared" si="385"/>
        <v/>
      </c>
      <c r="EB211" s="204">
        <f>IF($J211="",#N/A,SUM(EA$4:EA211))</f>
        <v>0.65158371441459195</v>
      </c>
      <c r="EC211" s="205" t="str">
        <f t="shared" si="386"/>
        <v/>
      </c>
      <c r="ED211" s="205">
        <f>IF($J211="",#N/A,SUM(EC$4:EC211))</f>
        <v>3.1841938205512466</v>
      </c>
      <c r="EE211" s="205">
        <f>IF($J211="",#N/A,SUM(EC$4:EC211,EA$4:EA211,DY$4:DY211))</f>
        <v>2.2009773131314674</v>
      </c>
      <c r="EF211" s="200" t="str">
        <f t="shared" si="387"/>
        <v/>
      </c>
      <c r="EG211" s="203">
        <f>IF($J211="",#N/A,SUM(EF$4:EF211))</f>
        <v>-0.15098969023521425</v>
      </c>
      <c r="EH211" s="204" t="str">
        <f t="shared" si="388"/>
        <v/>
      </c>
      <c r="EI211" s="204">
        <f>IF($J211="",#N/A,SUM(EH$4:EH211))</f>
        <v>-2.6267690330909645</v>
      </c>
      <c r="EJ211" s="205" t="str">
        <f t="shared" si="389"/>
        <v/>
      </c>
      <c r="EK211" s="205">
        <f>IF($J211="",#N/A,SUM(EJ$4:EJ211))</f>
        <v>4.1736631838809082</v>
      </c>
      <c r="EL211" s="205">
        <f>IF($J211="",#N/A,SUM(EJ$4:EJ211,EH$4:EH211,EF$4:EF211))</f>
        <v>1.3959044605547302</v>
      </c>
      <c r="EM211" s="200" t="str">
        <f t="shared" si="390"/>
        <v/>
      </c>
      <c r="EN211" s="203">
        <f>IF($J211="",#N/A,SUM(EM$4:EM211))</f>
        <v>0</v>
      </c>
      <c r="EO211" s="204" t="str">
        <f t="shared" si="391"/>
        <v/>
      </c>
      <c r="EP211" s="204">
        <f>IF($J211="",#N/A,SUM(EO$4:EO211))</f>
        <v>3.2406646352184261</v>
      </c>
      <c r="EQ211" s="205" t="str">
        <f t="shared" si="392"/>
        <v/>
      </c>
      <c r="ER211" s="205">
        <f>IF($J211="",#N/A,SUM(EQ$4:EQ211))</f>
        <v>2.0221833315059508</v>
      </c>
      <c r="ES211" s="205">
        <f>IF($J211="",#N/A,SUM(EQ$4:EQ211,EO$4:EO211,EM$4:EM211))</f>
        <v>5.2628479667243759</v>
      </c>
      <c r="ET211" s="200" t="str">
        <f t="shared" si="393"/>
        <v/>
      </c>
      <c r="EU211" s="203">
        <f>IF($J211="",#N/A,SUM(ET$4:ET211))</f>
        <v>0</v>
      </c>
      <c r="EV211" s="204" t="str">
        <f t="shared" si="394"/>
        <v/>
      </c>
      <c r="EW211" s="204">
        <f>IF($J211="",#N/A,SUM(EV$4:EV211))</f>
        <v>1.9901851109977766</v>
      </c>
      <c r="EX211" s="205" t="str">
        <f t="shared" si="395"/>
        <v/>
      </c>
      <c r="EY211" s="205">
        <f>IF($J211="",#N/A,SUM(EX$4:EX211))</f>
        <v>-9.038537462898949E-2</v>
      </c>
      <c r="EZ211" s="205">
        <f>IF($J211="",#N/A,SUM(EX$4:EX211,EV$4:EV211,ET$4:ET211))</f>
        <v>1.8997997363687871</v>
      </c>
      <c r="FA211" s="200" t="str">
        <f t="shared" si="396"/>
        <v/>
      </c>
      <c r="FB211" s="203">
        <f>IF($J211="",#N/A,SUM(FA$4:FA211))</f>
        <v>0</v>
      </c>
      <c r="FC211" s="204" t="str">
        <f t="shared" si="397"/>
        <v/>
      </c>
      <c r="FD211" s="204">
        <f>IF($J211="",#N/A,SUM(FC$4:FC211))</f>
        <v>1.6839191319663924</v>
      </c>
      <c r="FE211" s="205" t="str">
        <f t="shared" si="398"/>
        <v/>
      </c>
      <c r="FF211" s="205">
        <f>IF($J211="",#N/A,SUM(FE$4:FE211))</f>
        <v>-0.28811149078748233</v>
      </c>
      <c r="FG211" s="205">
        <f>IF($J211="",#N/A,SUM(FE$4:FE211,FC$4:FC211,FA$4:FA211))</f>
        <v>1.3958076411789102</v>
      </c>
      <c r="FH211" s="200" t="str">
        <f t="shared" si="399"/>
        <v/>
      </c>
      <c r="FI211" s="203">
        <f>IF($J211="",#N/A,SUM(FH$4:FH211))</f>
        <v>0</v>
      </c>
      <c r="FJ211" s="204" t="str">
        <f t="shared" si="400"/>
        <v/>
      </c>
      <c r="FK211" s="204">
        <f>IF($J211="",#N/A,SUM(FJ$4:FJ211))</f>
        <v>0</v>
      </c>
      <c r="FL211" s="205" t="str">
        <f t="shared" si="401"/>
        <v/>
      </c>
      <c r="FM211" s="205">
        <f>IF($J211="",#N/A,SUM(FL$4:FL211))</f>
        <v>0</v>
      </c>
      <c r="FN211" s="205">
        <f>IF($J211="",#N/A,SUM(FL$4:FL211,FJ$4:FJ211,FH$4:FH211))</f>
        <v>0</v>
      </c>
      <c r="FO211" s="200" t="str">
        <f t="shared" si="402"/>
        <v/>
      </c>
      <c r="FP211" s="203">
        <f>IF($J211="",#N/A,SUM(FO$4:FO211))</f>
        <v>0</v>
      </c>
      <c r="FQ211" s="204" t="str">
        <f t="shared" si="403"/>
        <v/>
      </c>
      <c r="FR211" s="204">
        <f>IF($J211="",#N/A,SUM(FQ$4:FQ211))</f>
        <v>0</v>
      </c>
      <c r="FS211" s="205" t="str">
        <f t="shared" si="404"/>
        <v/>
      </c>
      <c r="FT211" s="205">
        <f>IF($J211="",#N/A,SUM(FS$4:FS211))</f>
        <v>0</v>
      </c>
      <c r="FU211" s="205">
        <f>IF($J211="",#N/A,SUM(FS$4:FS211,FQ$4:FQ211,FO$4:FO211))</f>
        <v>0</v>
      </c>
      <c r="FV211" s="200" t="str">
        <f t="shared" si="405"/>
        <v/>
      </c>
      <c r="FW211" s="203">
        <f>IF($J211="",#N/A,SUM(FV$4:FV211))</f>
        <v>6.6834991831277585E-2</v>
      </c>
      <c r="FX211" s="204" t="str">
        <f t="shared" si="406"/>
        <v/>
      </c>
      <c r="FY211" s="204">
        <f>IF($J211="",#N/A,SUM(FX$4:FX211))</f>
        <v>-0.16102012791805576</v>
      </c>
      <c r="FZ211" s="205" t="str">
        <f t="shared" si="407"/>
        <v/>
      </c>
      <c r="GA211" s="205">
        <f>IF($J211="",#N/A,SUM(FZ$4:FZ211))</f>
        <v>-1.7642101813332194</v>
      </c>
      <c r="GB211" s="205">
        <f>IF($J211="",#N/A,SUM(FZ$4:FZ211,FX$4:FX211,FV$4:FV211))</f>
        <v>-1.8583953174199976</v>
      </c>
      <c r="GC211" s="200" t="str">
        <f t="shared" si="408"/>
        <v/>
      </c>
      <c r="GD211" s="203">
        <f>IF($J211="",#N/A,SUM(GC$4:GC211))</f>
        <v>0</v>
      </c>
      <c r="GE211" s="204" t="str">
        <f t="shared" si="409"/>
        <v/>
      </c>
      <c r="GF211" s="204">
        <f>IF($J211="",#N/A,SUM(GE$4:GE211))</f>
        <v>0</v>
      </c>
      <c r="GG211" s="205" t="str">
        <f t="shared" si="410"/>
        <v/>
      </c>
      <c r="GH211" s="205">
        <f>IF($J211="",#N/A,SUM(GG$4:GG211))</f>
        <v>-2.9368362277223206</v>
      </c>
      <c r="GI211" s="205">
        <f>IF($J211="",#N/A,SUM(GG$4:GG211,GE$4:GE211,GC$4:GC211))</f>
        <v>-2.9368362277223206</v>
      </c>
      <c r="GJ211" s="200" t="str">
        <f t="shared" si="411"/>
        <v/>
      </c>
      <c r="GK211" s="203">
        <f>IF($J211="",#N/A,SUM(GJ$4:GJ211))</f>
        <v>0</v>
      </c>
      <c r="GL211" s="204" t="str">
        <f t="shared" si="412"/>
        <v/>
      </c>
      <c r="GM211" s="204">
        <f>IF($J211="",#N/A,SUM(GL$4:GL211))</f>
        <v>-0.80168930905701452</v>
      </c>
      <c r="GN211" s="205" t="str">
        <f t="shared" si="413"/>
        <v/>
      </c>
      <c r="GO211" s="205">
        <f>IF($J211="",#N/A,SUM(GN$4:GN211))</f>
        <v>0</v>
      </c>
      <c r="GP211" s="205">
        <f>IF($J211="",#N/A,SUM(GN$4:GN211,GL$4:GL211,GJ$4:GJ211))</f>
        <v>-0.80168930905701452</v>
      </c>
      <c r="GS211" s="54">
        <f t="shared" si="432"/>
        <v>-0.18815087074472578</v>
      </c>
      <c r="GT211" s="54">
        <f>IF(GS211="",NA(),SUM($GS$4:GS211))</f>
        <v>4.9328837336293665</v>
      </c>
      <c r="GU211" s="54" t="str">
        <f t="shared" si="414"/>
        <v/>
      </c>
      <c r="GV211" s="54" t="e">
        <f>IF(GU211="",NA(),SUM($GU$4:GU211))</f>
        <v>#N/A</v>
      </c>
      <c r="GW211" s="54" t="str">
        <f t="shared" si="415"/>
        <v/>
      </c>
      <c r="GX211" s="54" t="e">
        <f>IF(GW211="",NA(),SUM($GW$4:GW211))</f>
        <v>#N/A</v>
      </c>
      <c r="GY211" s="54">
        <f t="shared" si="416"/>
        <v>-0.18815087074472578</v>
      </c>
      <c r="GZ211" s="54">
        <f>IF(GY211="",NA(),SUM($GY$4:GY211))</f>
        <v>2.8247690512150632</v>
      </c>
      <c r="HA211" s="54" t="str">
        <f t="shared" si="417"/>
        <v/>
      </c>
      <c r="HB211" s="54" t="e">
        <f>IF(HA211="",NA(),SUM($HA$4:HA211))</f>
        <v>#N/A</v>
      </c>
      <c r="HC211" s="54" t="str">
        <f t="shared" si="418"/>
        <v/>
      </c>
      <c r="HD211" s="54" t="e">
        <f>IF(HC211="",NA(),SUM($HC$4:HC211))</f>
        <v>#N/A</v>
      </c>
      <c r="HE211" s="54" t="str">
        <f t="shared" si="419"/>
        <v/>
      </c>
      <c r="HF211" s="54" t="e">
        <f>IF(HE211="",NA(),SUM($HE$4:HE211))</f>
        <v>#N/A</v>
      </c>
      <c r="HG211" s="54" t="str">
        <f t="shared" si="420"/>
        <v/>
      </c>
      <c r="HH211" s="54" t="e">
        <f>IF(HG211="",NA(),SUM($HG$4:HG211))</f>
        <v>#N/A</v>
      </c>
      <c r="HI211" s="172" t="str">
        <f t="shared" si="433"/>
        <v/>
      </c>
      <c r="HJ211" s="172">
        <f>IF($J211="",#N/A,SUM(HI$4:$HI211))</f>
        <v>-7.5867314822824889</v>
      </c>
      <c r="HK211" s="54">
        <f t="shared" si="421"/>
        <v>0.15606312534640357</v>
      </c>
      <c r="HL211" s="54">
        <f>IF($J211="",#N/A,SUM($HK$4:HK211))</f>
        <v>-1.61281661077324</v>
      </c>
      <c r="HM211" s="54" t="str">
        <f t="shared" si="422"/>
        <v/>
      </c>
      <c r="HN211" s="54">
        <f>IF($J211="",#N/A,SUM($HM$4:HM211))</f>
        <v>0.71812545963587882</v>
      </c>
      <c r="HO211" s="54" t="str">
        <f t="shared" si="423"/>
        <v/>
      </c>
      <c r="HP211" s="54">
        <f>IF($J211="",#N/A,SUM($HO$4:HO211))</f>
        <v>0.52783589553778021</v>
      </c>
      <c r="HQ211" s="54" t="str">
        <f t="shared" si="424"/>
        <v/>
      </c>
      <c r="HR211" s="54">
        <f>IF($J211="",#N/A,SUM($HQ$4:HQ211))</f>
        <v>-13.365566947172198</v>
      </c>
      <c r="HS211" s="54" t="str">
        <f t="shared" si="425"/>
        <v/>
      </c>
      <c r="HT211" s="54">
        <f>IF($J211="",#N/A,SUM($HS$4:HS211))</f>
        <v>12.499342464525043</v>
      </c>
      <c r="HU211" s="65">
        <f t="shared" si="426"/>
        <v>-3.2087745398322209E-2</v>
      </c>
      <c r="HV211" s="65">
        <f>IF($J211="",#N/A,SUM(HU$4:$HU211))</f>
        <v>1.8622830434445496</v>
      </c>
    </row>
    <row r="212" spans="1:230" x14ac:dyDescent="0.25">
      <c r="A212" s="51" t="s">
        <v>1414</v>
      </c>
      <c r="B212" s="52" t="s">
        <v>4544</v>
      </c>
      <c r="C212" s="229">
        <f t="shared" si="327"/>
        <v>3</v>
      </c>
      <c r="D212" s="219" t="str">
        <f>_xlfn.XLOOKUP(A212,[1]SP500!$A$2:$A$502,[1]SP500!$D$2:$D$502,"N")</f>
        <v>Y</v>
      </c>
      <c r="E212" s="51" t="str">
        <f>IFERROR(_xlfn.XLOOKUP(A212,[1]SP500!$A$2:$A$655,[1]SP500!$B$2:$B$655),"")</f>
        <v>XLI</v>
      </c>
      <c r="F212" s="290">
        <v>45778</v>
      </c>
      <c r="G212" s="51" t="str">
        <f t="shared" si="328"/>
        <v>BMO</v>
      </c>
      <c r="H212" s="51" t="str">
        <f t="shared" si="329"/>
        <v>s</v>
      </c>
      <c r="I212" s="344">
        <v>169.58</v>
      </c>
      <c r="J212" s="123">
        <v>167.92</v>
      </c>
      <c r="K212" s="55">
        <f t="shared" si="330"/>
        <v>-9.7888901993161033E-3</v>
      </c>
      <c r="L212" s="67">
        <f t="shared" si="331"/>
        <v>-9.9600000000000364</v>
      </c>
      <c r="M212" s="57">
        <f t="shared" si="332"/>
        <v>0</v>
      </c>
      <c r="N212" s="102">
        <f t="shared" si="333"/>
        <v>-9.9600000000000364</v>
      </c>
      <c r="O212" s="57">
        <f>IF(N212="",#N/A,SUM($N$4:N212))</f>
        <v>446.7763641006137</v>
      </c>
      <c r="P212" s="65">
        <f t="shared" si="427"/>
        <v>-0.16314816998859988</v>
      </c>
      <c r="Q212" s="172">
        <f>IF($N212="",#N/A,SUM($P$4:P212))</f>
        <v>10.518946093985173</v>
      </c>
      <c r="R212" s="279">
        <f t="shared" si="334"/>
        <v>5.6717726869880201</v>
      </c>
      <c r="S212" s="51" t="str">
        <f t="shared" si="335"/>
        <v>SW</v>
      </c>
      <c r="T212" s="51" t="s">
        <v>2828</v>
      </c>
      <c r="U212" s="56">
        <f t="shared" si="336"/>
        <v>169.58</v>
      </c>
      <c r="V212" s="56" t="s">
        <v>4460</v>
      </c>
      <c r="W212" s="142">
        <v>6</v>
      </c>
      <c r="X212" s="145">
        <f t="shared" si="337"/>
        <v>1017.48</v>
      </c>
      <c r="Y212" s="140">
        <f t="shared" si="338"/>
        <v>6</v>
      </c>
      <c r="Z212" s="123">
        <v>167.92</v>
      </c>
      <c r="AA212" s="102">
        <f t="shared" si="339"/>
        <v>-9.9600000000000364</v>
      </c>
      <c r="AB212" s="102">
        <f t="shared" si="340"/>
        <v>-13.920000000000073</v>
      </c>
      <c r="AC212" s="124">
        <v>167.26</v>
      </c>
      <c r="AD212" s="155">
        <f t="shared" si="341"/>
        <v>-13.920000000000073</v>
      </c>
      <c r="AE212" s="545">
        <f t="shared" si="342"/>
        <v>-0.22801430986358573</v>
      </c>
      <c r="AF212" s="57">
        <f>IF($AC212="",#N/A,SUM(AD$4:AD212))</f>
        <v>2.0595879975840035</v>
      </c>
      <c r="AG212" s="102">
        <f t="shared" si="343"/>
        <v>-3.9600000000000364</v>
      </c>
      <c r="AH212" s="56" t="s">
        <v>2507</v>
      </c>
      <c r="AI212" s="65">
        <f t="shared" si="344"/>
        <v>-0.16314816998859988</v>
      </c>
      <c r="AJ212" s="54">
        <f>IF(AI212="",#N/A,SUM($AI$4:AI212))</f>
        <v>4.847173406997153</v>
      </c>
      <c r="AK212" s="57">
        <f t="shared" si="345"/>
        <v>-9.9600000000000364</v>
      </c>
      <c r="AL212" s="349">
        <f>IF(AI212="",#N/A,IF(AH212="Skip",SUM($AK$4:AK212),SUM($AK$4:AK212)))</f>
        <v>88.647591492814286</v>
      </c>
      <c r="AM212" s="65">
        <f t="shared" si="428"/>
        <v>-0.22801430986358573</v>
      </c>
      <c r="AN212" s="209"/>
      <c r="AO212" s="65">
        <f t="shared" si="346"/>
        <v>-0.22801430986358573</v>
      </c>
      <c r="AP212" s="65">
        <f>IF($AC212="",#N/A,SUM(AO$4:AO212))</f>
        <v>5.0549259430301587</v>
      </c>
      <c r="AQ212" s="65" t="str">
        <f t="shared" si="347"/>
        <v/>
      </c>
      <c r="AR212" s="65">
        <f>IF($AC212="",#N/A,SUM(AQ$4:AQ212))</f>
        <v>-2.4311962030043777</v>
      </c>
      <c r="AS212" s="65" t="str">
        <f t="shared" si="348"/>
        <v/>
      </c>
      <c r="AT212" s="65">
        <f>IF($AC212="",#N/A,SUM(AS$4:AS212))</f>
        <v>-0.98946100644482016</v>
      </c>
      <c r="AU212" s="57">
        <f t="shared" si="429"/>
        <v>-13.920000000000073</v>
      </c>
      <c r="AV212" s="57">
        <f>IF($AC212="",#N/A,SUM(AU$4:AU212))</f>
        <v>181.91120645125113</v>
      </c>
      <c r="AW212" s="57" t="str">
        <f t="shared" si="430"/>
        <v/>
      </c>
      <c r="AX212" s="57">
        <f>IF($AC212="",#N/A,SUM(AW$4:AW212))</f>
        <v>-151.49</v>
      </c>
      <c r="AY212" s="57" t="str">
        <f t="shared" si="431"/>
        <v/>
      </c>
      <c r="AZ212" s="57">
        <f>IF($AC212="",#N/A,SUM(AY$4:AY212))</f>
        <v>-28.36161845366712</v>
      </c>
      <c r="BA212" s="57">
        <f>IF(AD212="",#N/A,SUM($AD$4:AD212))</f>
        <v>2.0595879975840035</v>
      </c>
      <c r="BC212" s="51" t="str">
        <f t="shared" si="349"/>
        <v/>
      </c>
      <c r="BD212" s="51" t="str">
        <f t="shared" si="350"/>
        <v/>
      </c>
      <c r="BE212" s="51" t="str">
        <f t="shared" si="351"/>
        <v/>
      </c>
      <c r="BF212" s="51" t="str">
        <f t="shared" si="352"/>
        <v>Long</v>
      </c>
      <c r="BG212" s="51" t="str">
        <f t="shared" si="353"/>
        <v/>
      </c>
      <c r="BH212" s="51" t="str">
        <f t="shared" si="354"/>
        <v/>
      </c>
      <c r="BI212" s="51">
        <f t="shared" si="355"/>
        <v>1</v>
      </c>
      <c r="BK212" s="65">
        <f t="shared" si="326"/>
        <v>0.20772731606634007</v>
      </c>
      <c r="BL212" s="65">
        <f t="shared" si="325"/>
        <v>0.13496551647129121</v>
      </c>
      <c r="BM212" s="65">
        <f>IFERROR(Q212/COUNTA($J$4:J212),#N/A)</f>
        <v>5.0329885617153937E-2</v>
      </c>
      <c r="BO212" s="489">
        <f>IF(J212="",#N/A,IF(S212="SW",(COUNTIFS(K$4:$K212,"&gt;0",S$4:$S212,"SW")/COUNTIF(S$4:$S212,"SW")),#N/A))</f>
        <v>0.51351351351351349</v>
      </c>
      <c r="BP212" s="489" t="e">
        <f>IF($J212="",#N/A,IF($S212="DWN",(COUNTIFS($K$4:$K212,"&lt;0",$S$4:$S212,"DWN")/COUNTIF($S$4:$S212,"DWN")),#N/A))</f>
        <v>#N/A</v>
      </c>
      <c r="BQ212" s="489" t="e">
        <f>IF($J212="",#N/A,IF($S212="UP",(COUNTIFS($K$4:$K212,"&gt;0",$S$4:$S212,"UP")/COUNTIF($S$4:$S212,"UP")),#N/A))</f>
        <v>#N/A</v>
      </c>
      <c r="BR212" s="489">
        <f>IF(J212="",#N/A,COUNTIF($K$4:K212,"&gt;0")/COUNT($J$4:J212))</f>
        <v>0.46889952153110048</v>
      </c>
      <c r="BS212" s="65" t="str">
        <f t="shared" si="356"/>
        <v/>
      </c>
      <c r="BT212" s="65">
        <f t="shared" si="357"/>
        <v>-0.16314816998859988</v>
      </c>
      <c r="BU212" s="65" t="str">
        <f t="shared" si="358"/>
        <v/>
      </c>
      <c r="BV212" s="65" t="str">
        <f t="shared" si="359"/>
        <v/>
      </c>
      <c r="BW212" s="128" t="str">
        <f t="shared" si="360"/>
        <v/>
      </c>
      <c r="BX212" s="128">
        <f>IF($J212="",#N/A,SUM($BW$4:BW212))</f>
        <v>-233.61000000000035</v>
      </c>
      <c r="BY212" s="131" t="str">
        <f t="shared" si="361"/>
        <v/>
      </c>
      <c r="BZ212" s="131">
        <f>IF($J212="",#N/A,SUM($BY$4:BY212))</f>
        <v>467.86934038933441</v>
      </c>
      <c r="CA212" s="133">
        <f t="shared" si="362"/>
        <v>-9.9600000000000364</v>
      </c>
      <c r="CB212" s="133">
        <f>IF($J212="",#N/A,SUM($CA$4:CA212))</f>
        <v>212.51702371127968</v>
      </c>
      <c r="CC212" s="194" t="str">
        <f t="shared" si="363"/>
        <v/>
      </c>
      <c r="CD212" s="194">
        <f>IF($J212="",#N/A,SUM($CC$4:CC212))</f>
        <v>-3.6771575581780365</v>
      </c>
      <c r="CE212" s="195" t="str">
        <f t="shared" si="364"/>
        <v/>
      </c>
      <c r="CF212" s="195">
        <f>IF($J212="",#N/A,SUM($CE$4:CE212))</f>
        <v>8.2100870866109137</v>
      </c>
      <c r="CG212" s="196">
        <f t="shared" si="365"/>
        <v>-0.16314816998859988</v>
      </c>
      <c r="CH212" s="193">
        <f>IF($J212="",#N/A,SUM($CG$4:CG212))</f>
        <v>5.9860165655523039</v>
      </c>
      <c r="CI212" s="200" t="str">
        <f t="shared" si="366"/>
        <v/>
      </c>
      <c r="CJ212" s="203">
        <f>IF($J212="",#N/A,SUM(CI$4:CI212))</f>
        <v>0</v>
      </c>
      <c r="CK212" s="204" t="str">
        <f t="shared" si="367"/>
        <v/>
      </c>
      <c r="CL212" s="204">
        <f>IF($J212="",#N/A,SUM(CK$4:CK212))</f>
        <v>1.9927003554442289</v>
      </c>
      <c r="CM212" s="205" t="str">
        <f t="shared" si="368"/>
        <v/>
      </c>
      <c r="CN212" s="205">
        <f>IF($J212="",#N/A,SUM(CM$4:CM212))</f>
        <v>5.6091171609382364</v>
      </c>
      <c r="CO212" s="205">
        <f>IF($J212="",#N/A,SUM(CM$4:CM212,CK$4:CK212,CI$4:CI212))</f>
        <v>7.6018175163824644</v>
      </c>
      <c r="CP212" s="200" t="str">
        <f t="shared" si="369"/>
        <v/>
      </c>
      <c r="CQ212" s="203">
        <f>IF($J212="",#N/A,SUM(CP$4:CP212))</f>
        <v>0</v>
      </c>
      <c r="CR212" s="204" t="str">
        <f t="shared" si="370"/>
        <v/>
      </c>
      <c r="CS212" s="204">
        <f>IF($J212="",#N/A,SUM(CR$4:CR212))</f>
        <v>4.2989225684455388</v>
      </c>
      <c r="CT212" s="205" t="str">
        <f t="shared" si="371"/>
        <v/>
      </c>
      <c r="CU212" s="205">
        <f>IF($J212="",#N/A,SUM(CT$4:CT212))</f>
        <v>-1.1331655471946371</v>
      </c>
      <c r="CV212" s="205">
        <f>IF($J212="",#N/A,SUM(CT$4:CT212,CR$4:CR212,CP$4:CP212))</f>
        <v>3.1657570212509012</v>
      </c>
      <c r="CW212" s="200" t="str">
        <f t="shared" si="372"/>
        <v/>
      </c>
      <c r="CX212" s="203">
        <f>IF($J212="",#N/A,SUM(CW$4:CW212))</f>
        <v>-0.33865165024245297</v>
      </c>
      <c r="CY212" s="204" t="str">
        <f t="shared" si="373"/>
        <v/>
      </c>
      <c r="CZ212" s="204">
        <f>IF($J212="",#N/A,SUM(CY$4:CY212))</f>
        <v>-1.0974100761627814</v>
      </c>
      <c r="DA212" s="205" t="str">
        <f t="shared" si="374"/>
        <v/>
      </c>
      <c r="DB212" s="205">
        <f>IF($J212="",#N/A,SUM(DA$4:DA212))</f>
        <v>-2.2679577914291</v>
      </c>
      <c r="DC212" s="205">
        <f>IF($J212="",#N/A,SUM(DA$4:DA212,CY$4:CY212,CW$4:CW212))</f>
        <v>-3.7040195178343338</v>
      </c>
      <c r="DD212" s="200" t="str">
        <f t="shared" si="375"/>
        <v/>
      </c>
      <c r="DE212" s="203">
        <f>IF($J212="",#N/A,SUM(DD$4:DD212))</f>
        <v>0.14968716170674062</v>
      </c>
      <c r="DF212" s="204" t="str">
        <f t="shared" si="376"/>
        <v/>
      </c>
      <c r="DG212" s="204">
        <f>IF($J212="",#N/A,SUM(DF$4:DF212))</f>
        <v>1.2121188689979676</v>
      </c>
      <c r="DH212" s="205" t="str">
        <f t="shared" si="377"/>
        <v/>
      </c>
      <c r="DI212" s="205">
        <f>IF($J212="",#N/A,SUM(DH$4:DH212))</f>
        <v>-1.9066052078694633</v>
      </c>
      <c r="DJ212" s="205">
        <f>IF($J212="",#N/A,SUM(DH$4:DH212,DF$4:DF212,DD$4:DD212))</f>
        <v>-0.5447991771647549</v>
      </c>
      <c r="DK212" s="200" t="str">
        <f t="shared" si="378"/>
        <v/>
      </c>
      <c r="DL212" s="203">
        <f>IF($J212="",#N/A,SUM(DK$4:DK212))</f>
        <v>-1.2097286851272664</v>
      </c>
      <c r="DM212" s="204" t="str">
        <f t="shared" si="379"/>
        <v/>
      </c>
      <c r="DN212" s="204">
        <f>IF($J212="",#N/A,SUM(DM$4:DM212))</f>
        <v>1.1910608267574658</v>
      </c>
      <c r="DO212" s="205" t="str">
        <f t="shared" si="380"/>
        <v/>
      </c>
      <c r="DP212" s="205">
        <f>IF($J212="",#N/A,SUM(DO$4:DO212))</f>
        <v>2.6571865116636566</v>
      </c>
      <c r="DQ212" s="205">
        <f>IF($J212="",#N/A,SUM(DO$4:DO212,DM$4:DM212,DK$4:DK212))</f>
        <v>2.6385186532938567</v>
      </c>
      <c r="DR212" s="200" t="str">
        <f t="shared" si="381"/>
        <v/>
      </c>
      <c r="DS212" s="203">
        <f>IF($J212="",#N/A,SUM(DR$4:DR212))</f>
        <v>-0.55950946427675097</v>
      </c>
      <c r="DT212" s="204" t="str">
        <f t="shared" si="382"/>
        <v/>
      </c>
      <c r="DU212" s="204">
        <f>IF($J212="",#N/A,SUM(DT$4:DT212))</f>
        <v>-3.6911249040845173</v>
      </c>
      <c r="DV212" s="205" t="str">
        <f t="shared" si="383"/>
        <v/>
      </c>
      <c r="DW212" s="205">
        <f>IF($J212="",#N/A,SUM(DV$4:DV212))</f>
        <v>-1.1099074520338865</v>
      </c>
      <c r="DX212" s="205">
        <f>IF($J212="",#N/A,SUM(DV$4:DV212,DT$4:DT212,DR$4:DR212))</f>
        <v>-5.360541820395154</v>
      </c>
      <c r="DY212" s="200" t="str">
        <f t="shared" si="384"/>
        <v/>
      </c>
      <c r="DZ212" s="203">
        <f>IF($J212="",#N/A,SUM(DY$4:DY212))</f>
        <v>-1.63480022183437</v>
      </c>
      <c r="EA212" s="204" t="str">
        <f t="shared" si="385"/>
        <v/>
      </c>
      <c r="EB212" s="204">
        <f>IF($J212="",#N/A,SUM(EA$4:EA212))</f>
        <v>0.65158371441459195</v>
      </c>
      <c r="EC212" s="205">
        <f t="shared" si="386"/>
        <v>-0.16314816998859988</v>
      </c>
      <c r="ED212" s="205">
        <f>IF($J212="",#N/A,SUM(EC$4:EC212))</f>
        <v>3.0210456505626468</v>
      </c>
      <c r="EE212" s="205">
        <f>IF($J212="",#N/A,SUM(EC$4:EC212,EA$4:EA212,DY$4:DY212))</f>
        <v>2.0378291431428677</v>
      </c>
      <c r="EF212" s="200" t="str">
        <f t="shared" si="387"/>
        <v/>
      </c>
      <c r="EG212" s="203">
        <f>IF($J212="",#N/A,SUM(EF$4:EF212))</f>
        <v>-0.15098969023521425</v>
      </c>
      <c r="EH212" s="204" t="str">
        <f t="shared" si="388"/>
        <v/>
      </c>
      <c r="EI212" s="204">
        <f>IF($J212="",#N/A,SUM(EH$4:EH212))</f>
        <v>-2.6267690330909645</v>
      </c>
      <c r="EJ212" s="205" t="str">
        <f t="shared" si="389"/>
        <v/>
      </c>
      <c r="EK212" s="205">
        <f>IF($J212="",#N/A,SUM(EJ$4:EJ212))</f>
        <v>4.1736631838809082</v>
      </c>
      <c r="EL212" s="205">
        <f>IF($J212="",#N/A,SUM(EJ$4:EJ212,EH$4:EH212,EF$4:EF212))</f>
        <v>1.3959044605547302</v>
      </c>
      <c r="EM212" s="200" t="str">
        <f t="shared" si="390"/>
        <v/>
      </c>
      <c r="EN212" s="203">
        <f>IF($J212="",#N/A,SUM(EM$4:EM212))</f>
        <v>0</v>
      </c>
      <c r="EO212" s="204" t="str">
        <f t="shared" si="391"/>
        <v/>
      </c>
      <c r="EP212" s="204">
        <f>IF($J212="",#N/A,SUM(EO$4:EO212))</f>
        <v>3.2406646352184261</v>
      </c>
      <c r="EQ212" s="205" t="str">
        <f t="shared" si="392"/>
        <v/>
      </c>
      <c r="ER212" s="205">
        <f>IF($J212="",#N/A,SUM(EQ$4:EQ212))</f>
        <v>2.0221833315059508</v>
      </c>
      <c r="ES212" s="205">
        <f>IF($J212="",#N/A,SUM(EQ$4:EQ212,EO$4:EO212,EM$4:EM212))</f>
        <v>5.2628479667243759</v>
      </c>
      <c r="ET212" s="200" t="str">
        <f t="shared" si="393"/>
        <v/>
      </c>
      <c r="EU212" s="203">
        <f>IF($J212="",#N/A,SUM(ET$4:ET212))</f>
        <v>0</v>
      </c>
      <c r="EV212" s="204" t="str">
        <f t="shared" si="394"/>
        <v/>
      </c>
      <c r="EW212" s="204">
        <f>IF($J212="",#N/A,SUM(EV$4:EV212))</f>
        <v>1.9901851109977766</v>
      </c>
      <c r="EX212" s="205" t="str">
        <f t="shared" si="395"/>
        <v/>
      </c>
      <c r="EY212" s="205">
        <f>IF($J212="",#N/A,SUM(EX$4:EX212))</f>
        <v>-9.038537462898949E-2</v>
      </c>
      <c r="EZ212" s="205">
        <f>IF($J212="",#N/A,SUM(EX$4:EX212,EV$4:EV212,ET$4:ET212))</f>
        <v>1.8997997363687871</v>
      </c>
      <c r="FA212" s="200" t="str">
        <f t="shared" si="396"/>
        <v/>
      </c>
      <c r="FB212" s="203">
        <f>IF($J212="",#N/A,SUM(FA$4:FA212))</f>
        <v>0</v>
      </c>
      <c r="FC212" s="204" t="str">
        <f t="shared" si="397"/>
        <v/>
      </c>
      <c r="FD212" s="204">
        <f>IF($J212="",#N/A,SUM(FC$4:FC212))</f>
        <v>1.6839191319663924</v>
      </c>
      <c r="FE212" s="205" t="str">
        <f t="shared" si="398"/>
        <v/>
      </c>
      <c r="FF212" s="205">
        <f>IF($J212="",#N/A,SUM(FE$4:FE212))</f>
        <v>-0.28811149078748233</v>
      </c>
      <c r="FG212" s="205">
        <f>IF($J212="",#N/A,SUM(FE$4:FE212,FC$4:FC212,FA$4:FA212))</f>
        <v>1.3958076411789102</v>
      </c>
      <c r="FH212" s="200" t="str">
        <f t="shared" si="399"/>
        <v/>
      </c>
      <c r="FI212" s="203">
        <f>IF($J212="",#N/A,SUM(FH$4:FH212))</f>
        <v>0</v>
      </c>
      <c r="FJ212" s="204" t="str">
        <f t="shared" si="400"/>
        <v/>
      </c>
      <c r="FK212" s="204">
        <f>IF($J212="",#N/A,SUM(FJ$4:FJ212))</f>
        <v>0</v>
      </c>
      <c r="FL212" s="205" t="str">
        <f t="shared" si="401"/>
        <v/>
      </c>
      <c r="FM212" s="205">
        <f>IF($J212="",#N/A,SUM(FL$4:FL212))</f>
        <v>0</v>
      </c>
      <c r="FN212" s="205">
        <f>IF($J212="",#N/A,SUM(FL$4:FL212,FJ$4:FJ212,FH$4:FH212))</f>
        <v>0</v>
      </c>
      <c r="FO212" s="200" t="str">
        <f t="shared" si="402"/>
        <v/>
      </c>
      <c r="FP212" s="203">
        <f>IF($J212="",#N/A,SUM(FO$4:FO212))</f>
        <v>0</v>
      </c>
      <c r="FQ212" s="204" t="str">
        <f t="shared" si="403"/>
        <v/>
      </c>
      <c r="FR212" s="204">
        <f>IF($J212="",#N/A,SUM(FQ$4:FQ212))</f>
        <v>0</v>
      </c>
      <c r="FS212" s="205" t="str">
        <f t="shared" si="404"/>
        <v/>
      </c>
      <c r="FT212" s="205">
        <f>IF($J212="",#N/A,SUM(FS$4:FS212))</f>
        <v>0</v>
      </c>
      <c r="FU212" s="205">
        <f>IF($J212="",#N/A,SUM(FS$4:FS212,FQ$4:FQ212,FO$4:FO212))</f>
        <v>0</v>
      </c>
      <c r="FV212" s="200" t="str">
        <f t="shared" si="405"/>
        <v/>
      </c>
      <c r="FW212" s="203">
        <f>IF($J212="",#N/A,SUM(FV$4:FV212))</f>
        <v>6.6834991831277585E-2</v>
      </c>
      <c r="FX212" s="204" t="str">
        <f t="shared" si="406"/>
        <v/>
      </c>
      <c r="FY212" s="204">
        <f>IF($J212="",#N/A,SUM(FX$4:FX212))</f>
        <v>-0.16102012791805576</v>
      </c>
      <c r="FZ212" s="205" t="str">
        <f t="shared" si="407"/>
        <v/>
      </c>
      <c r="GA212" s="205">
        <f>IF($J212="",#N/A,SUM(FZ$4:FZ212))</f>
        <v>-1.7642101813332194</v>
      </c>
      <c r="GB212" s="205">
        <f>IF($J212="",#N/A,SUM(FZ$4:FZ212,FX$4:FX212,FV$4:FV212))</f>
        <v>-1.8583953174199976</v>
      </c>
      <c r="GC212" s="200" t="str">
        <f t="shared" si="408"/>
        <v/>
      </c>
      <c r="GD212" s="203">
        <f>IF($J212="",#N/A,SUM(GC$4:GC212))</f>
        <v>0</v>
      </c>
      <c r="GE212" s="204" t="str">
        <f t="shared" si="409"/>
        <v/>
      </c>
      <c r="GF212" s="204">
        <f>IF($J212="",#N/A,SUM(GE$4:GE212))</f>
        <v>0</v>
      </c>
      <c r="GG212" s="205" t="str">
        <f t="shared" si="410"/>
        <v/>
      </c>
      <c r="GH212" s="205">
        <f>IF($J212="",#N/A,SUM(GG$4:GG212))</f>
        <v>-2.9368362277223206</v>
      </c>
      <c r="GI212" s="205">
        <f>IF($J212="",#N/A,SUM(GG$4:GG212,GE$4:GE212,GC$4:GC212))</f>
        <v>-2.9368362277223206</v>
      </c>
      <c r="GJ212" s="200" t="str">
        <f t="shared" si="411"/>
        <v/>
      </c>
      <c r="GK212" s="203">
        <f>IF($J212="",#N/A,SUM(GJ$4:GJ212))</f>
        <v>0</v>
      </c>
      <c r="GL212" s="204" t="str">
        <f t="shared" si="412"/>
        <v/>
      </c>
      <c r="GM212" s="204">
        <f>IF($J212="",#N/A,SUM(GL$4:GL212))</f>
        <v>-0.80168930905701452</v>
      </c>
      <c r="GN212" s="205" t="str">
        <f t="shared" si="413"/>
        <v/>
      </c>
      <c r="GO212" s="205">
        <f>IF($J212="",#N/A,SUM(GN$4:GN212))</f>
        <v>0</v>
      </c>
      <c r="GP212" s="205">
        <f>IF($J212="",#N/A,SUM(GN$4:GN212,GL$4:GL212,GJ$4:GJ212))</f>
        <v>-0.80168930905701452</v>
      </c>
      <c r="GS212" s="54">
        <f t="shared" si="432"/>
        <v>-0.16314816998859988</v>
      </c>
      <c r="GT212" s="54">
        <f>IF(GS212="",NA(),SUM($GS$4:GS212))</f>
        <v>4.7697355636407668</v>
      </c>
      <c r="GU212" s="54" t="str">
        <f t="shared" si="414"/>
        <v/>
      </c>
      <c r="GV212" s="54" t="e">
        <f>IF(GU212="",NA(),SUM($GU$4:GU212))</f>
        <v>#N/A</v>
      </c>
      <c r="GW212" s="54">
        <f t="shared" si="415"/>
        <v>-0.16314816998859988</v>
      </c>
      <c r="GX212" s="54">
        <f>IF(GW212="",NA(),SUM($GW$4:GW212))</f>
        <v>5.6221240706037436</v>
      </c>
      <c r="GY212" s="54" t="str">
        <f t="shared" si="416"/>
        <v/>
      </c>
      <c r="GZ212" s="54" t="e">
        <f>IF(GY212="",NA(),SUM($GY$4:GY212))</f>
        <v>#N/A</v>
      </c>
      <c r="HA212" s="54" t="str">
        <f t="shared" si="417"/>
        <v/>
      </c>
      <c r="HB212" s="54" t="e">
        <f>IF(HA212="",NA(),SUM($HA$4:HA212))</f>
        <v>#N/A</v>
      </c>
      <c r="HC212" s="54" t="str">
        <f t="shared" si="418"/>
        <v/>
      </c>
      <c r="HD212" s="54" t="e">
        <f>IF(HC212="",NA(),SUM($HC$4:HC212))</f>
        <v>#N/A</v>
      </c>
      <c r="HE212" s="54" t="str">
        <f t="shared" si="419"/>
        <v/>
      </c>
      <c r="HF212" s="54" t="e">
        <f>IF(HE212="",NA(),SUM($HE$4:HE212))</f>
        <v>#N/A</v>
      </c>
      <c r="HG212" s="54" t="str">
        <f t="shared" si="420"/>
        <v/>
      </c>
      <c r="HH212" s="54" t="e">
        <f>IF(HG212="",NA(),SUM($HG$4:HG212))</f>
        <v>#N/A</v>
      </c>
      <c r="HI212" s="172" t="str">
        <f t="shared" si="433"/>
        <v/>
      </c>
      <c r="HJ212" s="172">
        <f>IF($J212="",#N/A,SUM(HI$4:$HI212))</f>
        <v>-7.5867314822824889</v>
      </c>
      <c r="HK212" s="54" t="str">
        <f t="shared" si="421"/>
        <v/>
      </c>
      <c r="HL212" s="54">
        <f>IF($J212="",#N/A,SUM($HK$4:HK212))</f>
        <v>-1.61281661077324</v>
      </c>
      <c r="HM212" s="54" t="str">
        <f t="shared" si="422"/>
        <v/>
      </c>
      <c r="HN212" s="54">
        <f>IF($J212="",#N/A,SUM($HM$4:HM212))</f>
        <v>0.71812545963587882</v>
      </c>
      <c r="HO212" s="54" t="str">
        <f t="shared" si="423"/>
        <v/>
      </c>
      <c r="HP212" s="54">
        <f>IF($J212="",#N/A,SUM($HO$4:HO212))</f>
        <v>0.52783589553778021</v>
      </c>
      <c r="HQ212" s="54" t="str">
        <f t="shared" si="424"/>
        <v/>
      </c>
      <c r="HR212" s="54">
        <f>IF($J212="",#N/A,SUM($HQ$4:HQ212))</f>
        <v>-13.365566947172198</v>
      </c>
      <c r="HS212" s="54">
        <f t="shared" si="425"/>
        <v>-6.4866139874985851E-2</v>
      </c>
      <c r="HT212" s="54">
        <f>IF($J212="",#N/A,SUM($HS$4:HS212))</f>
        <v>12.434476324650056</v>
      </c>
      <c r="HU212" s="65">
        <f t="shared" si="426"/>
        <v>-0.22801430986358573</v>
      </c>
      <c r="HV212" s="65">
        <f>IF($J212="",#N/A,SUM(HU$4:$HU212))</f>
        <v>1.634268733580964</v>
      </c>
    </row>
    <row r="213" spans="1:230" x14ac:dyDescent="0.25">
      <c r="A213" s="51" t="s">
        <v>1499</v>
      </c>
      <c r="B213" s="52" t="s">
        <v>4544</v>
      </c>
      <c r="C213" s="229">
        <f t="shared" si="327"/>
        <v>2</v>
      </c>
      <c r="D213" s="219" t="str">
        <f>_xlfn.XLOOKUP(A213,[1]SP500!$A$2:$A$502,[1]SP500!$D$2:$D$502,"N")</f>
        <v>Y</v>
      </c>
      <c r="E213" s="51" t="str">
        <f>IFERROR(_xlfn.XLOOKUP(A213,[1]SP500!$A$2:$A$655,[1]SP500!$B$2:$B$655),"")</f>
        <v>XLP</v>
      </c>
      <c r="F213" s="290">
        <v>45778</v>
      </c>
      <c r="G213" s="51" t="str">
        <f t="shared" si="328"/>
        <v>BMO</v>
      </c>
      <c r="H213" s="51" t="str">
        <f t="shared" si="329"/>
        <v>s</v>
      </c>
      <c r="I213" s="344">
        <v>59.96</v>
      </c>
      <c r="J213" s="124">
        <v>59.15</v>
      </c>
      <c r="K213" s="55">
        <f t="shared" si="330"/>
        <v>-1.3509006004002707E-2</v>
      </c>
      <c r="L213" s="67">
        <f t="shared" si="331"/>
        <v>16.200000000000045</v>
      </c>
      <c r="M213" s="57">
        <f t="shared" si="332"/>
        <v>0</v>
      </c>
      <c r="N213" s="102">
        <f t="shared" si="333"/>
        <v>16.200000000000045</v>
      </c>
      <c r="O213" s="57">
        <f>IF(N213="",#N/A,SUM($N$4:N213))</f>
        <v>462.97636410061375</v>
      </c>
      <c r="P213" s="65">
        <f t="shared" si="427"/>
        <v>0.22515010006671177</v>
      </c>
      <c r="Q213" s="172">
        <f>IF($N213="",#N/A,SUM($P$4:P213))</f>
        <v>10.744096194051885</v>
      </c>
      <c r="R213" s="279">
        <f t="shared" si="334"/>
        <v>5.6717726869880201</v>
      </c>
      <c r="S213" s="51" t="str">
        <f t="shared" si="335"/>
        <v>Dwn</v>
      </c>
      <c r="T213" s="51" t="s">
        <v>4462</v>
      </c>
      <c r="U213" s="56">
        <f t="shared" si="336"/>
        <v>59.96</v>
      </c>
      <c r="V213" s="56" t="s">
        <v>4458</v>
      </c>
      <c r="W213" s="142">
        <v>20</v>
      </c>
      <c r="X213" s="145">
        <f t="shared" si="337"/>
        <v>1199.2</v>
      </c>
      <c r="Y213" s="140">
        <f t="shared" si="338"/>
        <v>20</v>
      </c>
      <c r="Z213" s="123">
        <v>59.15</v>
      </c>
      <c r="AA213" s="102">
        <f t="shared" si="339"/>
        <v>16.200000000000045</v>
      </c>
      <c r="AB213" s="102">
        <f t="shared" si="340"/>
        <v>21.400000000000091</v>
      </c>
      <c r="AC213" s="124">
        <v>58.89</v>
      </c>
      <c r="AD213" s="155">
        <f t="shared" si="341"/>
        <v>21.400000000000091</v>
      </c>
      <c r="AE213" s="545">
        <f t="shared" si="342"/>
        <v>0.29742050255726166</v>
      </c>
      <c r="AF213" s="57">
        <f>IF($AC213="",#N/A,SUM(AD$4:AD213))</f>
        <v>23.459587997584094</v>
      </c>
      <c r="AG213" s="102">
        <f t="shared" si="343"/>
        <v>5.2000000000000455</v>
      </c>
      <c r="AH213" s="56" t="s">
        <v>2507</v>
      </c>
      <c r="AI213" s="65">
        <f t="shared" si="344"/>
        <v>0.22515010006671177</v>
      </c>
      <c r="AJ213" s="54">
        <f>IF(AI213="",#N/A,SUM($AI$4:AI213))</f>
        <v>5.0723235070638646</v>
      </c>
      <c r="AK213" s="57">
        <f t="shared" si="345"/>
        <v>16.200000000000045</v>
      </c>
      <c r="AL213" s="349">
        <f>IF(AI213="",#N/A,IF(AH213="Skip",SUM($AK$4:AK213),SUM($AK$4:AK213)))</f>
        <v>104.84759149281433</v>
      </c>
      <c r="AM213" s="65">
        <f t="shared" si="428"/>
        <v>0.29742050255726166</v>
      </c>
      <c r="AN213" s="211"/>
      <c r="AO213" s="65" t="str">
        <f t="shared" si="346"/>
        <v/>
      </c>
      <c r="AP213" s="65">
        <f>IF($AC213="",#N/A,SUM(AO$4:AO213))</f>
        <v>5.0549259430301587</v>
      </c>
      <c r="AQ213" s="65" t="str">
        <f t="shared" si="347"/>
        <v/>
      </c>
      <c r="AR213" s="65">
        <f>IF($AC213="",#N/A,SUM(AQ$4:AQ213))</f>
        <v>-2.4311962030043777</v>
      </c>
      <c r="AS213" s="65">
        <f t="shared" si="348"/>
        <v>0.29742050255726166</v>
      </c>
      <c r="AT213" s="65">
        <f>IF($AC213="",#N/A,SUM(AS$4:AS213))</f>
        <v>-0.69204050388755856</v>
      </c>
      <c r="AU213" s="57" t="str">
        <f t="shared" si="429"/>
        <v/>
      </c>
      <c r="AV213" s="57">
        <f>IF($AC213="",#N/A,SUM(AU$4:AU213))</f>
        <v>181.91120645125113</v>
      </c>
      <c r="AW213" s="57" t="str">
        <f t="shared" si="430"/>
        <v/>
      </c>
      <c r="AX213" s="57">
        <f>IF($AC213="",#N/A,SUM(AW$4:AW213))</f>
        <v>-151.49</v>
      </c>
      <c r="AY213" s="57">
        <f t="shared" si="431"/>
        <v>21.400000000000091</v>
      </c>
      <c r="AZ213" s="57">
        <f>IF($AC213="",#N/A,SUM(AY$4:AY213))</f>
        <v>-6.9616184536670289</v>
      </c>
      <c r="BA213" s="57">
        <f>IF(AD213="",#N/A,SUM($AD$4:AD213))</f>
        <v>23.459587997584094</v>
      </c>
      <c r="BC213" s="51" t="str">
        <f t="shared" si="349"/>
        <v/>
      </c>
      <c r="BD213" s="51" t="str">
        <f t="shared" si="350"/>
        <v/>
      </c>
      <c r="BE213" s="51" t="str">
        <f t="shared" si="351"/>
        <v/>
      </c>
      <c r="BF213" s="51" t="str">
        <f t="shared" si="352"/>
        <v>Short</v>
      </c>
      <c r="BG213" s="51">
        <f t="shared" si="353"/>
        <v>1</v>
      </c>
      <c r="BH213" s="51" t="str">
        <f t="shared" si="354"/>
        <v/>
      </c>
      <c r="BI213" s="51" t="str">
        <f t="shared" si="355"/>
        <v/>
      </c>
      <c r="BK213" s="65">
        <f t="shared" si="326"/>
        <v>0.19994293548326206</v>
      </c>
      <c r="BL213" s="65">
        <f t="shared" si="325"/>
        <v>0.17745319031926571</v>
      </c>
      <c r="BM213" s="65">
        <f>IFERROR(Q213/COUNTA($J$4:J213),#N/A)</f>
        <v>5.1162362828818496E-2</v>
      </c>
      <c r="BO213" s="489" t="e">
        <f>IF(J213="",#N/A,IF(S213="SW",(COUNTIFS(K$4:$K213,"&gt;0",S$4:$S213,"SW")/COUNTIF(S$4:$S213,"SW")),#N/A))</f>
        <v>#N/A</v>
      </c>
      <c r="BP213" s="489">
        <f>IF($J213="",#N/A,IF($S213="DWN",(COUNTIFS($K$4:$K213,"&lt;0",$S$4:$S213,"DWN")/COUNTIF($S$4:$S213,"DWN")),#N/A))</f>
        <v>0.5730337078651685</v>
      </c>
      <c r="BQ213" s="489" t="e">
        <f>IF($J213="",#N/A,IF($S213="UP",(COUNTIFS($K$4:$K213,"&gt;0",$S$4:$S213,"UP")/COUNTIF($S$4:$S213,"UP")),#N/A))</f>
        <v>#N/A</v>
      </c>
      <c r="BR213" s="489">
        <f>IF(J213="",#N/A,COUNTIF($K$4:K213,"&gt;0")/COUNT($J$4:J213))</f>
        <v>0.46666666666666667</v>
      </c>
      <c r="BS213" s="65" t="str">
        <f t="shared" si="356"/>
        <v/>
      </c>
      <c r="BT213" s="65" t="str">
        <f t="shared" si="357"/>
        <v/>
      </c>
      <c r="BU213" s="65">
        <f t="shared" si="358"/>
        <v>0.22515010006671177</v>
      </c>
      <c r="BV213" s="65" t="str">
        <f t="shared" si="359"/>
        <v/>
      </c>
      <c r="BW213" s="128" t="str">
        <f t="shared" si="360"/>
        <v/>
      </c>
      <c r="BX213" s="128">
        <f>IF($J213="",#N/A,SUM($BW$4:BW213))</f>
        <v>-233.61000000000035</v>
      </c>
      <c r="BY213" s="131">
        <f t="shared" si="361"/>
        <v>16.200000000000045</v>
      </c>
      <c r="BZ213" s="131">
        <f>IF($J213="",#N/A,SUM($BY$4:BY213))</f>
        <v>484.06934038933446</v>
      </c>
      <c r="CA213" s="133" t="str">
        <f t="shared" si="362"/>
        <v/>
      </c>
      <c r="CB213" s="133">
        <f>IF($J213="",#N/A,SUM($CA$4:CA213))</f>
        <v>212.51702371127968</v>
      </c>
      <c r="CC213" s="194" t="str">
        <f t="shared" si="363"/>
        <v/>
      </c>
      <c r="CD213" s="194">
        <f>IF($J213="",#N/A,SUM($CC$4:CC213))</f>
        <v>-3.6771575581780365</v>
      </c>
      <c r="CE213" s="195">
        <f t="shared" si="364"/>
        <v>0.22515010006671177</v>
      </c>
      <c r="CF213" s="195">
        <f>IF($J213="",#N/A,SUM($CE$4:CE213))</f>
        <v>8.4352371866776252</v>
      </c>
      <c r="CG213" s="196" t="str">
        <f t="shared" si="365"/>
        <v/>
      </c>
      <c r="CH213" s="193">
        <f>IF($J213="",#N/A,SUM($CG$4:CG213))</f>
        <v>5.9860165655523039</v>
      </c>
      <c r="CI213" s="200" t="str">
        <f t="shared" si="366"/>
        <v/>
      </c>
      <c r="CJ213" s="203">
        <f>IF($J213="",#N/A,SUM(CI$4:CI213))</f>
        <v>0</v>
      </c>
      <c r="CK213" s="204" t="str">
        <f t="shared" si="367"/>
        <v/>
      </c>
      <c r="CL213" s="204">
        <f>IF($J213="",#N/A,SUM(CK$4:CK213))</f>
        <v>1.9927003554442289</v>
      </c>
      <c r="CM213" s="205" t="str">
        <f t="shared" si="368"/>
        <v/>
      </c>
      <c r="CN213" s="205">
        <f>IF($J213="",#N/A,SUM(CM$4:CM213))</f>
        <v>5.6091171609382364</v>
      </c>
      <c r="CO213" s="205">
        <f>IF($J213="",#N/A,SUM(CM$4:CM213,CK$4:CK213,CI$4:CI213))</f>
        <v>7.6018175163824644</v>
      </c>
      <c r="CP213" s="200" t="str">
        <f t="shared" si="369"/>
        <v/>
      </c>
      <c r="CQ213" s="203">
        <f>IF($J213="",#N/A,SUM(CP$4:CP213))</f>
        <v>0</v>
      </c>
      <c r="CR213" s="204" t="str">
        <f t="shared" si="370"/>
        <v/>
      </c>
      <c r="CS213" s="204">
        <f>IF($J213="",#N/A,SUM(CR$4:CR213))</f>
        <v>4.2989225684455388</v>
      </c>
      <c r="CT213" s="205" t="str">
        <f t="shared" si="371"/>
        <v/>
      </c>
      <c r="CU213" s="205">
        <f>IF($J213="",#N/A,SUM(CT$4:CT213))</f>
        <v>-1.1331655471946371</v>
      </c>
      <c r="CV213" s="205">
        <f>IF($J213="",#N/A,SUM(CT$4:CT213,CR$4:CR213,CP$4:CP213))</f>
        <v>3.1657570212509012</v>
      </c>
      <c r="CW213" s="200" t="str">
        <f t="shared" si="372"/>
        <v/>
      </c>
      <c r="CX213" s="203">
        <f>IF($J213="",#N/A,SUM(CW$4:CW213))</f>
        <v>-0.33865165024245297</v>
      </c>
      <c r="CY213" s="204" t="str">
        <f t="shared" si="373"/>
        <v/>
      </c>
      <c r="CZ213" s="204">
        <f>IF($J213="",#N/A,SUM(CY$4:CY213))</f>
        <v>-1.0974100761627814</v>
      </c>
      <c r="DA213" s="205" t="str">
        <f t="shared" si="374"/>
        <v/>
      </c>
      <c r="DB213" s="205">
        <f>IF($J213="",#N/A,SUM(DA$4:DA213))</f>
        <v>-2.2679577914291</v>
      </c>
      <c r="DC213" s="205">
        <f>IF($J213="",#N/A,SUM(DA$4:DA213,CY$4:CY213,CW$4:CW213))</f>
        <v>-3.7040195178343338</v>
      </c>
      <c r="DD213" s="200" t="str">
        <f t="shared" si="375"/>
        <v/>
      </c>
      <c r="DE213" s="203">
        <f>IF($J213="",#N/A,SUM(DD$4:DD213))</f>
        <v>0.14968716170674062</v>
      </c>
      <c r="DF213" s="204">
        <f t="shared" si="376"/>
        <v>0.22515010006671177</v>
      </c>
      <c r="DG213" s="204">
        <f>IF($J213="",#N/A,SUM(DF$4:DF213))</f>
        <v>1.4372689690646794</v>
      </c>
      <c r="DH213" s="205" t="str">
        <f t="shared" si="377"/>
        <v/>
      </c>
      <c r="DI213" s="205">
        <f>IF($J213="",#N/A,SUM(DH$4:DH213))</f>
        <v>-1.9066052078694633</v>
      </c>
      <c r="DJ213" s="205">
        <f>IF($J213="",#N/A,SUM(DH$4:DH213,DF$4:DF213,DD$4:DD213))</f>
        <v>-0.31964907709804319</v>
      </c>
      <c r="DK213" s="200" t="str">
        <f t="shared" si="378"/>
        <v/>
      </c>
      <c r="DL213" s="203">
        <f>IF($J213="",#N/A,SUM(DK$4:DK213))</f>
        <v>-1.2097286851272664</v>
      </c>
      <c r="DM213" s="204" t="str">
        <f t="shared" si="379"/>
        <v/>
      </c>
      <c r="DN213" s="204">
        <f>IF($J213="",#N/A,SUM(DM$4:DM213))</f>
        <v>1.1910608267574658</v>
      </c>
      <c r="DO213" s="205" t="str">
        <f t="shared" si="380"/>
        <v/>
      </c>
      <c r="DP213" s="205">
        <f>IF($J213="",#N/A,SUM(DO$4:DO213))</f>
        <v>2.6571865116636566</v>
      </c>
      <c r="DQ213" s="205">
        <f>IF($J213="",#N/A,SUM(DO$4:DO213,DM$4:DM213,DK$4:DK213))</f>
        <v>2.6385186532938567</v>
      </c>
      <c r="DR213" s="200" t="str">
        <f t="shared" si="381"/>
        <v/>
      </c>
      <c r="DS213" s="203">
        <f>IF($J213="",#N/A,SUM(DR$4:DR213))</f>
        <v>-0.55950946427675097</v>
      </c>
      <c r="DT213" s="204" t="str">
        <f t="shared" si="382"/>
        <v/>
      </c>
      <c r="DU213" s="204">
        <f>IF($J213="",#N/A,SUM(DT$4:DT213))</f>
        <v>-3.6911249040845173</v>
      </c>
      <c r="DV213" s="205" t="str">
        <f t="shared" si="383"/>
        <v/>
      </c>
      <c r="DW213" s="205">
        <f>IF($J213="",#N/A,SUM(DV$4:DV213))</f>
        <v>-1.1099074520338865</v>
      </c>
      <c r="DX213" s="205">
        <f>IF($J213="",#N/A,SUM(DV$4:DV213,DT$4:DT213,DR$4:DR213))</f>
        <v>-5.360541820395154</v>
      </c>
      <c r="DY213" s="200" t="str">
        <f t="shared" si="384"/>
        <v/>
      </c>
      <c r="DZ213" s="203">
        <f>IF($J213="",#N/A,SUM(DY$4:DY213))</f>
        <v>-1.63480022183437</v>
      </c>
      <c r="EA213" s="204" t="str">
        <f t="shared" si="385"/>
        <v/>
      </c>
      <c r="EB213" s="204">
        <f>IF($J213="",#N/A,SUM(EA$4:EA213))</f>
        <v>0.65158371441459195</v>
      </c>
      <c r="EC213" s="205" t="str">
        <f t="shared" si="386"/>
        <v/>
      </c>
      <c r="ED213" s="205">
        <f>IF($J213="",#N/A,SUM(EC$4:EC213))</f>
        <v>3.0210456505626468</v>
      </c>
      <c r="EE213" s="205">
        <f>IF($J213="",#N/A,SUM(EC$4:EC213,EA$4:EA213,DY$4:DY213))</f>
        <v>2.0378291431428677</v>
      </c>
      <c r="EF213" s="200" t="str">
        <f t="shared" si="387"/>
        <v/>
      </c>
      <c r="EG213" s="203">
        <f>IF($J213="",#N/A,SUM(EF$4:EF213))</f>
        <v>-0.15098969023521425</v>
      </c>
      <c r="EH213" s="204" t="str">
        <f t="shared" si="388"/>
        <v/>
      </c>
      <c r="EI213" s="204">
        <f>IF($J213="",#N/A,SUM(EH$4:EH213))</f>
        <v>-2.6267690330909645</v>
      </c>
      <c r="EJ213" s="205" t="str">
        <f t="shared" si="389"/>
        <v/>
      </c>
      <c r="EK213" s="205">
        <f>IF($J213="",#N/A,SUM(EJ$4:EJ213))</f>
        <v>4.1736631838809082</v>
      </c>
      <c r="EL213" s="205">
        <f>IF($J213="",#N/A,SUM(EJ$4:EJ213,EH$4:EH213,EF$4:EF213))</f>
        <v>1.3959044605547302</v>
      </c>
      <c r="EM213" s="200" t="str">
        <f t="shared" si="390"/>
        <v/>
      </c>
      <c r="EN213" s="203">
        <f>IF($J213="",#N/A,SUM(EM$4:EM213))</f>
        <v>0</v>
      </c>
      <c r="EO213" s="204" t="str">
        <f t="shared" si="391"/>
        <v/>
      </c>
      <c r="EP213" s="204">
        <f>IF($J213="",#N/A,SUM(EO$4:EO213))</f>
        <v>3.2406646352184261</v>
      </c>
      <c r="EQ213" s="205" t="str">
        <f t="shared" si="392"/>
        <v/>
      </c>
      <c r="ER213" s="205">
        <f>IF($J213="",#N/A,SUM(EQ$4:EQ213))</f>
        <v>2.0221833315059508</v>
      </c>
      <c r="ES213" s="205">
        <f>IF($J213="",#N/A,SUM(EQ$4:EQ213,EO$4:EO213,EM$4:EM213))</f>
        <v>5.2628479667243759</v>
      </c>
      <c r="ET213" s="200" t="str">
        <f t="shared" si="393"/>
        <v/>
      </c>
      <c r="EU213" s="203">
        <f>IF($J213="",#N/A,SUM(ET$4:ET213))</f>
        <v>0</v>
      </c>
      <c r="EV213" s="204" t="str">
        <f t="shared" si="394"/>
        <v/>
      </c>
      <c r="EW213" s="204">
        <f>IF($J213="",#N/A,SUM(EV$4:EV213))</f>
        <v>1.9901851109977766</v>
      </c>
      <c r="EX213" s="205" t="str">
        <f t="shared" si="395"/>
        <v/>
      </c>
      <c r="EY213" s="205">
        <f>IF($J213="",#N/A,SUM(EX$4:EX213))</f>
        <v>-9.038537462898949E-2</v>
      </c>
      <c r="EZ213" s="205">
        <f>IF($J213="",#N/A,SUM(EX$4:EX213,EV$4:EV213,ET$4:ET213))</f>
        <v>1.8997997363687871</v>
      </c>
      <c r="FA213" s="200" t="str">
        <f t="shared" si="396"/>
        <v/>
      </c>
      <c r="FB213" s="203">
        <f>IF($J213="",#N/A,SUM(FA$4:FA213))</f>
        <v>0</v>
      </c>
      <c r="FC213" s="204" t="str">
        <f t="shared" si="397"/>
        <v/>
      </c>
      <c r="FD213" s="204">
        <f>IF($J213="",#N/A,SUM(FC$4:FC213))</f>
        <v>1.6839191319663924</v>
      </c>
      <c r="FE213" s="205" t="str">
        <f t="shared" si="398"/>
        <v/>
      </c>
      <c r="FF213" s="205">
        <f>IF($J213="",#N/A,SUM(FE$4:FE213))</f>
        <v>-0.28811149078748233</v>
      </c>
      <c r="FG213" s="205">
        <f>IF($J213="",#N/A,SUM(FE$4:FE213,FC$4:FC213,FA$4:FA213))</f>
        <v>1.3958076411789102</v>
      </c>
      <c r="FH213" s="200" t="str">
        <f t="shared" si="399"/>
        <v/>
      </c>
      <c r="FI213" s="203">
        <f>IF($J213="",#N/A,SUM(FH$4:FH213))</f>
        <v>0</v>
      </c>
      <c r="FJ213" s="204" t="str">
        <f t="shared" si="400"/>
        <v/>
      </c>
      <c r="FK213" s="204">
        <f>IF($J213="",#N/A,SUM(FJ$4:FJ213))</f>
        <v>0</v>
      </c>
      <c r="FL213" s="205" t="str">
        <f t="shared" si="401"/>
        <v/>
      </c>
      <c r="FM213" s="205">
        <f>IF($J213="",#N/A,SUM(FL$4:FL213))</f>
        <v>0</v>
      </c>
      <c r="FN213" s="205">
        <f>IF($J213="",#N/A,SUM(FL$4:FL213,FJ$4:FJ213,FH$4:FH213))</f>
        <v>0</v>
      </c>
      <c r="FO213" s="200" t="str">
        <f t="shared" si="402"/>
        <v/>
      </c>
      <c r="FP213" s="203">
        <f>IF($J213="",#N/A,SUM(FO$4:FO213))</f>
        <v>0</v>
      </c>
      <c r="FQ213" s="204" t="str">
        <f t="shared" si="403"/>
        <v/>
      </c>
      <c r="FR213" s="204">
        <f>IF($J213="",#N/A,SUM(FQ$4:FQ213))</f>
        <v>0</v>
      </c>
      <c r="FS213" s="205" t="str">
        <f t="shared" si="404"/>
        <v/>
      </c>
      <c r="FT213" s="205">
        <f>IF($J213="",#N/A,SUM(FS$4:FS213))</f>
        <v>0</v>
      </c>
      <c r="FU213" s="205">
        <f>IF($J213="",#N/A,SUM(FS$4:FS213,FQ$4:FQ213,FO$4:FO213))</f>
        <v>0</v>
      </c>
      <c r="FV213" s="200" t="str">
        <f t="shared" si="405"/>
        <v/>
      </c>
      <c r="FW213" s="203">
        <f>IF($J213="",#N/A,SUM(FV$4:FV213))</f>
        <v>6.6834991831277585E-2</v>
      </c>
      <c r="FX213" s="204" t="str">
        <f t="shared" si="406"/>
        <v/>
      </c>
      <c r="FY213" s="204">
        <f>IF($J213="",#N/A,SUM(FX$4:FX213))</f>
        <v>-0.16102012791805576</v>
      </c>
      <c r="FZ213" s="205" t="str">
        <f t="shared" si="407"/>
        <v/>
      </c>
      <c r="GA213" s="205">
        <f>IF($J213="",#N/A,SUM(FZ$4:FZ213))</f>
        <v>-1.7642101813332194</v>
      </c>
      <c r="GB213" s="205">
        <f>IF($J213="",#N/A,SUM(FZ$4:FZ213,FX$4:FX213,FV$4:FV213))</f>
        <v>-1.8583953174199976</v>
      </c>
      <c r="GC213" s="200" t="str">
        <f t="shared" si="408"/>
        <v/>
      </c>
      <c r="GD213" s="203">
        <f>IF($J213="",#N/A,SUM(GC$4:GC213))</f>
        <v>0</v>
      </c>
      <c r="GE213" s="204" t="str">
        <f t="shared" si="409"/>
        <v/>
      </c>
      <c r="GF213" s="204">
        <f>IF($J213="",#N/A,SUM(GE$4:GE213))</f>
        <v>0</v>
      </c>
      <c r="GG213" s="205" t="str">
        <f t="shared" si="410"/>
        <v/>
      </c>
      <c r="GH213" s="205">
        <f>IF($J213="",#N/A,SUM(GG$4:GG213))</f>
        <v>-2.9368362277223206</v>
      </c>
      <c r="GI213" s="205">
        <f>IF($J213="",#N/A,SUM(GG$4:GG213,GE$4:GE213,GC$4:GC213))</f>
        <v>-2.9368362277223206</v>
      </c>
      <c r="GJ213" s="200" t="str">
        <f t="shared" si="411"/>
        <v/>
      </c>
      <c r="GK213" s="203">
        <f>IF($J213="",#N/A,SUM(GJ$4:GJ213))</f>
        <v>0</v>
      </c>
      <c r="GL213" s="204" t="str">
        <f t="shared" si="412"/>
        <v/>
      </c>
      <c r="GM213" s="204">
        <f>IF($J213="",#N/A,SUM(GL$4:GL213))</f>
        <v>-0.80168930905701452</v>
      </c>
      <c r="GN213" s="205" t="str">
        <f t="shared" si="413"/>
        <v/>
      </c>
      <c r="GO213" s="205">
        <f>IF($J213="",#N/A,SUM(GN$4:GN213))</f>
        <v>0</v>
      </c>
      <c r="GP213" s="205">
        <f>IF($J213="",#N/A,SUM(GN$4:GN213,GL$4:GL213,GJ$4:GJ213))</f>
        <v>-0.80168930905701452</v>
      </c>
      <c r="GS213" s="54">
        <f t="shared" si="432"/>
        <v>0.22515010006671177</v>
      </c>
      <c r="GT213" s="54">
        <f>IF(GS213="",NA(),SUM($GS$4:GS213))</f>
        <v>4.9948856637074783</v>
      </c>
      <c r="GU213" s="54" t="str">
        <f t="shared" si="414"/>
        <v/>
      </c>
      <c r="GV213" s="54" t="e">
        <f>IF(GU213="",NA(),SUM($GU$4:GU213))</f>
        <v>#N/A</v>
      </c>
      <c r="GW213" s="54" t="str">
        <f t="shared" si="415"/>
        <v/>
      </c>
      <c r="GX213" s="54" t="e">
        <f>IF(GW213="",NA(),SUM($GW$4:GW213))</f>
        <v>#N/A</v>
      </c>
      <c r="GY213" s="54">
        <f t="shared" si="416"/>
        <v>0.22515010006671177</v>
      </c>
      <c r="GZ213" s="54">
        <f>IF(GY213="",NA(),SUM($GY$4:GY213))</f>
        <v>3.0499191512817747</v>
      </c>
      <c r="HA213" s="54" t="str">
        <f t="shared" si="417"/>
        <v/>
      </c>
      <c r="HB213" s="54" t="e">
        <f>IF(HA213="",NA(),SUM($HA$4:HA213))</f>
        <v>#N/A</v>
      </c>
      <c r="HC213" s="54" t="str">
        <f t="shared" si="418"/>
        <v/>
      </c>
      <c r="HD213" s="54" t="e">
        <f>IF(HC213="",NA(),SUM($HC$4:HC213))</f>
        <v>#N/A</v>
      </c>
      <c r="HE213" s="54" t="str">
        <f t="shared" si="419"/>
        <v/>
      </c>
      <c r="HF213" s="54" t="e">
        <f>IF(HE213="",NA(),SUM($HE$4:HE213))</f>
        <v>#N/A</v>
      </c>
      <c r="HG213" s="54" t="str">
        <f t="shared" si="420"/>
        <v/>
      </c>
      <c r="HH213" s="54" t="e">
        <f>IF(HG213="",NA(),SUM($HG$4:HG213))</f>
        <v>#N/A</v>
      </c>
      <c r="HI213" s="172">
        <f t="shared" si="433"/>
        <v>7.227040249054989E-2</v>
      </c>
      <c r="HJ213" s="172">
        <f>IF($J213="",#N/A,SUM(HI$4:$HI213))</f>
        <v>-7.5144610797919391</v>
      </c>
      <c r="HK213" s="54" t="str">
        <f t="shared" si="421"/>
        <v/>
      </c>
      <c r="HL213" s="54">
        <f>IF($J213="",#N/A,SUM($HK$4:HK213))</f>
        <v>-1.61281661077324</v>
      </c>
      <c r="HM213" s="54" t="str">
        <f t="shared" si="422"/>
        <v/>
      </c>
      <c r="HN213" s="54">
        <f>IF($J213="",#N/A,SUM($HM$4:HM213))</f>
        <v>0.71812545963587882</v>
      </c>
      <c r="HO213" s="54" t="str">
        <f t="shared" si="423"/>
        <v/>
      </c>
      <c r="HP213" s="54">
        <f>IF($J213="",#N/A,SUM($HO$4:HO213))</f>
        <v>0.52783589553778021</v>
      </c>
      <c r="HQ213" s="54" t="str">
        <f t="shared" si="424"/>
        <v/>
      </c>
      <c r="HR213" s="54">
        <f>IF($J213="",#N/A,SUM($HQ$4:HQ213))</f>
        <v>-13.365566947172198</v>
      </c>
      <c r="HS213" s="54" t="str">
        <f t="shared" si="425"/>
        <v/>
      </c>
      <c r="HT213" s="54">
        <f>IF($J213="",#N/A,SUM($HS$4:HS213))</f>
        <v>12.434476324650056</v>
      </c>
      <c r="HU213" s="65">
        <f t="shared" si="426"/>
        <v>0.29742050255726166</v>
      </c>
      <c r="HV213" s="65">
        <f>IF($J213="",#N/A,SUM(HU$4:$HU213))</f>
        <v>1.9316892361382256</v>
      </c>
    </row>
    <row r="214" spans="1:230" x14ac:dyDescent="0.25">
      <c r="A214" s="51" t="s">
        <v>1272</v>
      </c>
      <c r="B214" s="52" t="s">
        <v>4544</v>
      </c>
      <c r="C214" s="229">
        <f t="shared" si="327"/>
        <v>3</v>
      </c>
      <c r="D214" s="219" t="str">
        <f>_xlfn.XLOOKUP(A214,[1]SP500!$A$2:$A$502,[1]SP500!$D$2:$D$502,"N")</f>
        <v>Y</v>
      </c>
      <c r="E214" s="51" t="str">
        <f>IFERROR(_xlfn.XLOOKUP(A214,[1]SP500!$A$2:$A$655,[1]SP500!$B$2:$B$655),"")</f>
        <v>XLV</v>
      </c>
      <c r="F214" s="290">
        <v>45778</v>
      </c>
      <c r="G214" s="51" t="str">
        <f t="shared" si="328"/>
        <v>BMO</v>
      </c>
      <c r="H214" s="51" t="str">
        <f t="shared" si="329"/>
        <v>o</v>
      </c>
      <c r="I214" s="344">
        <v>898.95</v>
      </c>
      <c r="J214" s="123">
        <v>844</v>
      </c>
      <c r="K214" s="55">
        <f t="shared" si="330"/>
        <v>-6.1126870237499353E-2</v>
      </c>
      <c r="L214" s="67">
        <f t="shared" si="331"/>
        <v>54.950000000000045</v>
      </c>
      <c r="M214" s="57">
        <f t="shared" si="332"/>
        <v>-9.9999999999909051E-3</v>
      </c>
      <c r="N214" s="147">
        <f t="shared" si="333"/>
        <v>-54.950000000000045</v>
      </c>
      <c r="O214" s="57">
        <f>IF(N214="",#N/A,SUM($N$4:N214))</f>
        <v>408.0263641006137</v>
      </c>
      <c r="P214" s="65">
        <f t="shared" si="427"/>
        <v>-1.0187811706249894</v>
      </c>
      <c r="Q214" s="172">
        <f>IF($N214="",#N/A,SUM($P$4:P214))</f>
        <v>9.7253150234268944</v>
      </c>
      <c r="R214" s="279">
        <f t="shared" si="334"/>
        <v>3.6343957472249606</v>
      </c>
      <c r="S214" s="51" t="str">
        <f t="shared" si="335"/>
        <v>SW</v>
      </c>
      <c r="T214" s="51" t="s">
        <v>2828</v>
      </c>
      <c r="U214" s="56">
        <f t="shared" si="336"/>
        <v>898.95</v>
      </c>
      <c r="V214" s="56" t="s">
        <v>4458</v>
      </c>
      <c r="W214" s="142">
        <v>1</v>
      </c>
      <c r="X214" s="145">
        <f t="shared" si="337"/>
        <v>898.95</v>
      </c>
      <c r="Y214" s="140">
        <f t="shared" si="338"/>
        <v>1</v>
      </c>
      <c r="Z214" s="123">
        <v>844.01</v>
      </c>
      <c r="AA214" s="102">
        <f t="shared" si="339"/>
        <v>54.940000000000055</v>
      </c>
      <c r="AB214" s="102">
        <f t="shared" si="340"/>
        <v>104.85000000000002</v>
      </c>
      <c r="AC214" s="124">
        <v>794.1</v>
      </c>
      <c r="AD214" s="155">
        <f t="shared" si="341"/>
        <v>-104.85000000000002</v>
      </c>
      <c r="AE214" s="545">
        <f t="shared" si="342"/>
        <v>-1.943934590355415</v>
      </c>
      <c r="AF214" s="57">
        <f>IF($AC214="",#N/A,SUM(AD$4:AD214))</f>
        <v>-81.390412002415928</v>
      </c>
      <c r="AG214" s="102">
        <f t="shared" si="343"/>
        <v>-49.899999999999977</v>
      </c>
      <c r="AH214" s="102" t="s">
        <v>2507</v>
      </c>
      <c r="AI214" s="65">
        <f t="shared" si="344"/>
        <v>1.0185957691380696</v>
      </c>
      <c r="AJ214" s="350">
        <f>IF(AI214="",#N/A,SUM($AI$4:AI214))</f>
        <v>6.0909192762019337</v>
      </c>
      <c r="AK214" s="144">
        <f t="shared" si="345"/>
        <v>54.940000000000055</v>
      </c>
      <c r="AL214" s="349">
        <f>IF(AI214="",#N/A,IF(AH214="Skip",SUM($AK$4:AK214),SUM($AK$4:AK214)))</f>
        <v>159.78759149281439</v>
      </c>
      <c r="AM214" s="65">
        <f t="shared" si="428"/>
        <v>-1.943934590355415</v>
      </c>
      <c r="AN214" s="209"/>
      <c r="AO214" s="65">
        <f t="shared" si="346"/>
        <v>-1.943934590355415</v>
      </c>
      <c r="AP214" s="65">
        <f>IF($AC214="",#N/A,SUM(AO$4:AO214))</f>
        <v>3.1109913526747439</v>
      </c>
      <c r="AQ214" s="65" t="str">
        <f t="shared" si="347"/>
        <v/>
      </c>
      <c r="AR214" s="65">
        <f>IF($AC214="",#N/A,SUM(AQ$4:AQ214))</f>
        <v>-2.4311962030043777</v>
      </c>
      <c r="AS214" s="65" t="str">
        <f t="shared" si="348"/>
        <v/>
      </c>
      <c r="AT214" s="65">
        <f>IF($AC214="",#N/A,SUM(AS$4:AS214))</f>
        <v>-0.69204050388755856</v>
      </c>
      <c r="AU214" s="57">
        <f t="shared" si="429"/>
        <v>-104.85000000000002</v>
      </c>
      <c r="AV214" s="57">
        <f>IF($AC214="",#N/A,SUM(AU$4:AU214))</f>
        <v>77.06120645125111</v>
      </c>
      <c r="AW214" s="57" t="str">
        <f t="shared" si="430"/>
        <v/>
      </c>
      <c r="AX214" s="57">
        <f>IF($AC214="",#N/A,SUM(AW$4:AW214))</f>
        <v>-151.49</v>
      </c>
      <c r="AY214" s="57" t="str">
        <f t="shared" si="431"/>
        <v/>
      </c>
      <c r="AZ214" s="57">
        <f>IF($AC214="",#N/A,SUM(AY$4:AY214))</f>
        <v>-6.9616184536670289</v>
      </c>
      <c r="BA214" s="57">
        <f>IF(AD214="",#N/A,SUM($AD$4:AD214))</f>
        <v>-81.390412002415928</v>
      </c>
      <c r="BC214" s="51" t="str">
        <f t="shared" si="349"/>
        <v/>
      </c>
      <c r="BD214" s="51" t="str">
        <f t="shared" si="350"/>
        <v/>
      </c>
      <c r="BE214" s="51" t="str">
        <f t="shared" si="351"/>
        <v/>
      </c>
      <c r="BF214" s="51" t="str">
        <f t="shared" si="352"/>
        <v>Long</v>
      </c>
      <c r="BG214" s="51" t="str">
        <f t="shared" si="353"/>
        <v/>
      </c>
      <c r="BH214" s="51" t="str">
        <f t="shared" si="354"/>
        <v/>
      </c>
      <c r="BI214" s="51">
        <f t="shared" si="355"/>
        <v>1</v>
      </c>
      <c r="BK214" s="65">
        <f t="shared" si="326"/>
        <v>0.15797823878540465</v>
      </c>
      <c r="BL214" s="65">
        <f t="shared" si="325"/>
        <v>0.14051314255612479</v>
      </c>
      <c r="BM214" s="65">
        <f>IFERROR(Q214/COUNTA($J$4:J214),#N/A)</f>
        <v>4.6091540395388125E-2</v>
      </c>
      <c r="BO214" s="489">
        <f>IF(J214="",#N/A,IF(S214="SW",(COUNTIFS(K$4:$K214,"&gt;0",S$4:$S214,"SW")/COUNTIF(S$4:$S214,"SW")),#N/A))</f>
        <v>0.5089285714285714</v>
      </c>
      <c r="BP214" s="489" t="e">
        <f>IF($J214="",#N/A,IF($S214="DWN",(COUNTIFS($K$4:$K214,"&lt;0",$S$4:$S214,"DWN")/COUNTIF($S$4:$S214,"DWN")),#N/A))</f>
        <v>#N/A</v>
      </c>
      <c r="BQ214" s="489" t="e">
        <f>IF($J214="",#N/A,IF($S214="UP",(COUNTIFS($K$4:$K214,"&gt;0",$S$4:$S214,"UP")/COUNTIF($S$4:$S214,"UP")),#N/A))</f>
        <v>#N/A</v>
      </c>
      <c r="BR214" s="489">
        <f>IF(J214="",#N/A,COUNTIF($K$4:K214,"&gt;0")/COUNT($J$4:J214))</f>
        <v>0.46445497630331756</v>
      </c>
      <c r="BS214" s="65" t="str">
        <f t="shared" si="356"/>
        <v/>
      </c>
      <c r="BT214" s="65" t="str">
        <f t="shared" si="357"/>
        <v/>
      </c>
      <c r="BU214" s="65">
        <f t="shared" si="358"/>
        <v>-1.0187811706249894</v>
      </c>
      <c r="BV214" s="65" t="str">
        <f t="shared" si="359"/>
        <v/>
      </c>
      <c r="BW214" s="127" t="str">
        <f t="shared" si="360"/>
        <v/>
      </c>
      <c r="BX214" s="127">
        <f>IF($J214="",#N/A,SUM($BW$4:BW214))</f>
        <v>-233.61000000000035</v>
      </c>
      <c r="BY214" s="130" t="str">
        <f t="shared" si="361"/>
        <v/>
      </c>
      <c r="BZ214" s="130">
        <f>IF($J214="",#N/A,SUM($BY$4:BY214))</f>
        <v>484.06934038933446</v>
      </c>
      <c r="CA214" s="132">
        <f t="shared" si="362"/>
        <v>-54.950000000000045</v>
      </c>
      <c r="CB214" s="132">
        <f>IF($J214="",#N/A,SUM($CA$4:CA214))</f>
        <v>157.56702371127963</v>
      </c>
      <c r="CC214" s="197" t="str">
        <f t="shared" si="363"/>
        <v/>
      </c>
      <c r="CD214" s="197">
        <f>IF($J214="",#N/A,SUM($CC$4:CC214))</f>
        <v>-3.6771575581780365</v>
      </c>
      <c r="CE214" s="198" t="str">
        <f t="shared" si="364"/>
        <v/>
      </c>
      <c r="CF214" s="198">
        <f>IF($J214="",#N/A,SUM($CE$4:CE214))</f>
        <v>8.4352371866776252</v>
      </c>
      <c r="CG214" s="199">
        <f t="shared" si="365"/>
        <v>-1.0187811706249894</v>
      </c>
      <c r="CH214" s="199">
        <f>IF($J214="",#N/A,SUM($CG$4:CG214))</f>
        <v>4.9672353949273145</v>
      </c>
      <c r="CI214" s="200" t="str">
        <f t="shared" si="366"/>
        <v/>
      </c>
      <c r="CJ214" s="206">
        <f>IF($J214="",#N/A,SUM(CI$4:CI214))</f>
        <v>0</v>
      </c>
      <c r="CK214" s="207" t="str">
        <f t="shared" si="367"/>
        <v/>
      </c>
      <c r="CL214" s="207">
        <f>IF($J214="",#N/A,SUM(CK$4:CK214))</f>
        <v>1.9927003554442289</v>
      </c>
      <c r="CM214" s="208" t="str">
        <f t="shared" si="368"/>
        <v/>
      </c>
      <c r="CN214" s="208">
        <f>IF($J214="",#N/A,SUM(CM$4:CM214))</f>
        <v>5.6091171609382364</v>
      </c>
      <c r="CO214" s="208">
        <f>IF($J214="",#N/A,SUM(CM$4:CM214,CK$4:CK214,CI$4:CI214))</f>
        <v>7.6018175163824644</v>
      </c>
      <c r="CP214" s="200" t="str">
        <f t="shared" si="369"/>
        <v/>
      </c>
      <c r="CQ214" s="206">
        <f>IF($J214="",#N/A,SUM(CP$4:CP214))</f>
        <v>0</v>
      </c>
      <c r="CR214" s="207" t="str">
        <f t="shared" si="370"/>
        <v/>
      </c>
      <c r="CS214" s="207">
        <f>IF($J214="",#N/A,SUM(CR$4:CR214))</f>
        <v>4.2989225684455388</v>
      </c>
      <c r="CT214" s="208" t="str">
        <f t="shared" si="371"/>
        <v/>
      </c>
      <c r="CU214" s="208">
        <f>IF($J214="",#N/A,SUM(CT$4:CT214))</f>
        <v>-1.1331655471946371</v>
      </c>
      <c r="CV214" s="208">
        <f>IF($J214="",#N/A,SUM(CT$4:CT214,CR$4:CR214,CP$4:CP214))</f>
        <v>3.1657570212509012</v>
      </c>
      <c r="CW214" s="200" t="str">
        <f t="shared" si="372"/>
        <v/>
      </c>
      <c r="CX214" s="206">
        <f>IF($J214="",#N/A,SUM(CW$4:CW214))</f>
        <v>-0.33865165024245297</v>
      </c>
      <c r="CY214" s="207" t="str">
        <f t="shared" si="373"/>
        <v/>
      </c>
      <c r="CZ214" s="207">
        <f>IF($J214="",#N/A,SUM(CY$4:CY214))</f>
        <v>-1.0974100761627814</v>
      </c>
      <c r="DA214" s="208" t="str">
        <f t="shared" si="374"/>
        <v/>
      </c>
      <c r="DB214" s="208">
        <f>IF($J214="",#N/A,SUM(DA$4:DA214))</f>
        <v>-2.2679577914291</v>
      </c>
      <c r="DC214" s="208">
        <f>IF($J214="",#N/A,SUM(DA$4:DA214,CY$4:CY214,CW$4:CW214))</f>
        <v>-3.7040195178343338</v>
      </c>
      <c r="DD214" s="200" t="str">
        <f t="shared" si="375"/>
        <v/>
      </c>
      <c r="DE214" s="206">
        <f>IF($J214="",#N/A,SUM(DD$4:DD214))</f>
        <v>0.14968716170674062</v>
      </c>
      <c r="DF214" s="207" t="str">
        <f t="shared" si="376"/>
        <v/>
      </c>
      <c r="DG214" s="207">
        <f>IF($J214="",#N/A,SUM(DF$4:DF214))</f>
        <v>1.4372689690646794</v>
      </c>
      <c r="DH214" s="208" t="str">
        <f t="shared" si="377"/>
        <v/>
      </c>
      <c r="DI214" s="208">
        <f>IF($J214="",#N/A,SUM(DH$4:DH214))</f>
        <v>-1.9066052078694633</v>
      </c>
      <c r="DJ214" s="208">
        <f>IF($J214="",#N/A,SUM(DH$4:DH214,DF$4:DF214,DD$4:DD214))</f>
        <v>-0.31964907709804319</v>
      </c>
      <c r="DK214" s="200" t="str">
        <f t="shared" si="378"/>
        <v/>
      </c>
      <c r="DL214" s="206">
        <f>IF($J214="",#N/A,SUM(DK$4:DK214))</f>
        <v>-1.2097286851272664</v>
      </c>
      <c r="DM214" s="207" t="str">
        <f t="shared" si="379"/>
        <v/>
      </c>
      <c r="DN214" s="207">
        <f>IF($J214="",#N/A,SUM(DM$4:DM214))</f>
        <v>1.1910608267574658</v>
      </c>
      <c r="DO214" s="208" t="str">
        <f t="shared" si="380"/>
        <v/>
      </c>
      <c r="DP214" s="208">
        <f>IF($J214="",#N/A,SUM(DO$4:DO214))</f>
        <v>2.6571865116636566</v>
      </c>
      <c r="DQ214" s="208">
        <f>IF($J214="",#N/A,SUM(DO$4:DO214,DM$4:DM214,DK$4:DK214))</f>
        <v>2.6385186532938567</v>
      </c>
      <c r="DR214" s="200" t="str">
        <f t="shared" si="381"/>
        <v/>
      </c>
      <c r="DS214" s="206">
        <f>IF($J214="",#N/A,SUM(DR$4:DR214))</f>
        <v>-0.55950946427675097</v>
      </c>
      <c r="DT214" s="207" t="str">
        <f t="shared" si="382"/>
        <v/>
      </c>
      <c r="DU214" s="207">
        <f>IF($J214="",#N/A,SUM(DT$4:DT214))</f>
        <v>-3.6911249040845173</v>
      </c>
      <c r="DV214" s="208" t="str">
        <f t="shared" si="383"/>
        <v/>
      </c>
      <c r="DW214" s="208">
        <f>IF($J214="",#N/A,SUM(DV$4:DV214))</f>
        <v>-1.1099074520338865</v>
      </c>
      <c r="DX214" s="208">
        <f>IF($J214="",#N/A,SUM(DV$4:DV214,DT$4:DT214,DR$4:DR214))</f>
        <v>-5.360541820395154</v>
      </c>
      <c r="DY214" s="200" t="str">
        <f t="shared" si="384"/>
        <v/>
      </c>
      <c r="DZ214" s="206">
        <f>IF($J214="",#N/A,SUM(DY$4:DY214))</f>
        <v>-1.63480022183437</v>
      </c>
      <c r="EA214" s="207" t="str">
        <f t="shared" si="385"/>
        <v/>
      </c>
      <c r="EB214" s="207">
        <f>IF($J214="",#N/A,SUM(EA$4:EA214))</f>
        <v>0.65158371441459195</v>
      </c>
      <c r="EC214" s="208" t="str">
        <f t="shared" si="386"/>
        <v/>
      </c>
      <c r="ED214" s="208">
        <f>IF($J214="",#N/A,SUM(EC$4:EC214))</f>
        <v>3.0210456505626468</v>
      </c>
      <c r="EE214" s="208">
        <f>IF($J214="",#N/A,SUM(EC$4:EC214,EA$4:EA214,DY$4:DY214))</f>
        <v>2.0378291431428677</v>
      </c>
      <c r="EF214" s="200" t="str">
        <f t="shared" si="387"/>
        <v/>
      </c>
      <c r="EG214" s="206">
        <f>IF($J214="",#N/A,SUM(EF$4:EF214))</f>
        <v>-0.15098969023521425</v>
      </c>
      <c r="EH214" s="207" t="str">
        <f t="shared" si="388"/>
        <v/>
      </c>
      <c r="EI214" s="207">
        <f>IF($J214="",#N/A,SUM(EH$4:EH214))</f>
        <v>-2.6267690330909645</v>
      </c>
      <c r="EJ214" s="208">
        <f t="shared" si="389"/>
        <v>-1.0187811706249894</v>
      </c>
      <c r="EK214" s="208">
        <f>IF($J214="",#N/A,SUM(EJ$4:EJ214))</f>
        <v>3.1548820132559188</v>
      </c>
      <c r="EL214" s="208">
        <f>IF($J214="",#N/A,SUM(EJ$4:EJ214,EH$4:EH214,EF$4:EF214))</f>
        <v>0.37712328992974087</v>
      </c>
      <c r="EM214" s="200" t="str">
        <f t="shared" si="390"/>
        <v/>
      </c>
      <c r="EN214" s="206">
        <f>IF($J214="",#N/A,SUM(EM$4:EM214))</f>
        <v>0</v>
      </c>
      <c r="EO214" s="207" t="str">
        <f t="shared" si="391"/>
        <v/>
      </c>
      <c r="EP214" s="207">
        <f>IF($J214="",#N/A,SUM(EO$4:EO214))</f>
        <v>3.2406646352184261</v>
      </c>
      <c r="EQ214" s="208" t="str">
        <f t="shared" si="392"/>
        <v/>
      </c>
      <c r="ER214" s="208">
        <f>IF($J214="",#N/A,SUM(EQ$4:EQ214))</f>
        <v>2.0221833315059508</v>
      </c>
      <c r="ES214" s="208">
        <f>IF($J214="",#N/A,SUM(EQ$4:EQ214,EO$4:EO214,EM$4:EM214))</f>
        <v>5.2628479667243759</v>
      </c>
      <c r="ET214" s="200" t="str">
        <f t="shared" si="393"/>
        <v/>
      </c>
      <c r="EU214" s="206">
        <f>IF($J214="",#N/A,SUM(ET$4:ET214))</f>
        <v>0</v>
      </c>
      <c r="EV214" s="207" t="str">
        <f t="shared" si="394"/>
        <v/>
      </c>
      <c r="EW214" s="207">
        <f>IF($J214="",#N/A,SUM(EV$4:EV214))</f>
        <v>1.9901851109977766</v>
      </c>
      <c r="EX214" s="208" t="str">
        <f t="shared" si="395"/>
        <v/>
      </c>
      <c r="EY214" s="208">
        <f>IF($J214="",#N/A,SUM(EX$4:EX214))</f>
        <v>-9.038537462898949E-2</v>
      </c>
      <c r="EZ214" s="208">
        <f>IF($J214="",#N/A,SUM(EX$4:EX214,EV$4:EV214,ET$4:ET214))</f>
        <v>1.8997997363687871</v>
      </c>
      <c r="FA214" s="200" t="str">
        <f t="shared" si="396"/>
        <v/>
      </c>
      <c r="FB214" s="206">
        <f>IF($J214="",#N/A,SUM(FA$4:FA214))</f>
        <v>0</v>
      </c>
      <c r="FC214" s="207" t="str">
        <f t="shared" si="397"/>
        <v/>
      </c>
      <c r="FD214" s="207">
        <f>IF($J214="",#N/A,SUM(FC$4:FC214))</f>
        <v>1.6839191319663924</v>
      </c>
      <c r="FE214" s="208" t="str">
        <f t="shared" si="398"/>
        <v/>
      </c>
      <c r="FF214" s="208">
        <f>IF($J214="",#N/A,SUM(FE$4:FE214))</f>
        <v>-0.28811149078748233</v>
      </c>
      <c r="FG214" s="208">
        <f>IF($J214="",#N/A,SUM(FE$4:FE214,FC$4:FC214,FA$4:FA214))</f>
        <v>1.3958076411789102</v>
      </c>
      <c r="FH214" s="200" t="str">
        <f t="shared" si="399"/>
        <v/>
      </c>
      <c r="FI214" s="206">
        <f>IF($J214="",#N/A,SUM(FH$4:FH214))</f>
        <v>0</v>
      </c>
      <c r="FJ214" s="207" t="str">
        <f t="shared" si="400"/>
        <v/>
      </c>
      <c r="FK214" s="207">
        <f>IF($J214="",#N/A,SUM(FJ$4:FJ214))</f>
        <v>0</v>
      </c>
      <c r="FL214" s="208" t="str">
        <f t="shared" si="401"/>
        <v/>
      </c>
      <c r="FM214" s="208">
        <f>IF($J214="",#N/A,SUM(FL$4:FL214))</f>
        <v>0</v>
      </c>
      <c r="FN214" s="208">
        <f>IF($J214="",#N/A,SUM(FL$4:FL214,FJ$4:FJ214,FH$4:FH214))</f>
        <v>0</v>
      </c>
      <c r="FO214" s="200" t="str">
        <f t="shared" si="402"/>
        <v/>
      </c>
      <c r="FP214" s="206">
        <f>IF($J214="",#N/A,SUM(FO$4:FO214))</f>
        <v>0</v>
      </c>
      <c r="FQ214" s="207" t="str">
        <f t="shared" si="403"/>
        <v/>
      </c>
      <c r="FR214" s="207">
        <f>IF($J214="",#N/A,SUM(FQ$4:FQ214))</f>
        <v>0</v>
      </c>
      <c r="FS214" s="208" t="str">
        <f t="shared" si="404"/>
        <v/>
      </c>
      <c r="FT214" s="208">
        <f>IF($J214="",#N/A,SUM(FS$4:FS214))</f>
        <v>0</v>
      </c>
      <c r="FU214" s="208">
        <f>IF($J214="",#N/A,SUM(FS$4:FS214,FQ$4:FQ214,FO$4:FO214))</f>
        <v>0</v>
      </c>
      <c r="FV214" s="200" t="str">
        <f t="shared" si="405"/>
        <v/>
      </c>
      <c r="FW214" s="206">
        <f>IF($J214="",#N/A,SUM(FV$4:FV214))</f>
        <v>6.6834991831277585E-2</v>
      </c>
      <c r="FX214" s="207" t="str">
        <f t="shared" si="406"/>
        <v/>
      </c>
      <c r="FY214" s="207">
        <f>IF($J214="",#N/A,SUM(FX$4:FX214))</f>
        <v>-0.16102012791805576</v>
      </c>
      <c r="FZ214" s="208" t="str">
        <f t="shared" si="407"/>
        <v/>
      </c>
      <c r="GA214" s="208">
        <f>IF($J214="",#N/A,SUM(FZ$4:FZ214))</f>
        <v>-1.7642101813332194</v>
      </c>
      <c r="GB214" s="208">
        <f>IF($J214="",#N/A,SUM(FZ$4:FZ214,FX$4:FX214,FV$4:FV214))</f>
        <v>-1.8583953174199976</v>
      </c>
      <c r="GC214" s="200" t="str">
        <f t="shared" si="408"/>
        <v/>
      </c>
      <c r="GD214" s="206">
        <f>IF($J214="",#N/A,SUM(GC$4:GC214))</f>
        <v>0</v>
      </c>
      <c r="GE214" s="207" t="str">
        <f t="shared" si="409"/>
        <v/>
      </c>
      <c r="GF214" s="207">
        <f>IF($J214="",#N/A,SUM(GE$4:GE214))</f>
        <v>0</v>
      </c>
      <c r="GG214" s="208" t="str">
        <f t="shared" si="410"/>
        <v/>
      </c>
      <c r="GH214" s="208">
        <f>IF($J214="",#N/A,SUM(GG$4:GG214))</f>
        <v>-2.9368362277223206</v>
      </c>
      <c r="GI214" s="208">
        <f>IF($J214="",#N/A,SUM(GG$4:GG214,GE$4:GE214,GC$4:GC214))</f>
        <v>-2.9368362277223206</v>
      </c>
      <c r="GJ214" s="200" t="str">
        <f t="shared" si="411"/>
        <v/>
      </c>
      <c r="GK214" s="206">
        <f>IF($J214="",#N/A,SUM(GJ$4:GJ214))</f>
        <v>0</v>
      </c>
      <c r="GL214" s="207" t="str">
        <f t="shared" si="412"/>
        <v/>
      </c>
      <c r="GM214" s="207">
        <f>IF($J214="",#N/A,SUM(GL$4:GL214))</f>
        <v>-0.80168930905701452</v>
      </c>
      <c r="GN214" s="208" t="str">
        <f t="shared" si="413"/>
        <v/>
      </c>
      <c r="GO214" s="208">
        <f>IF($J214="",#N/A,SUM(GN$4:GN214))</f>
        <v>0</v>
      </c>
      <c r="GP214" s="208">
        <f>IF($J214="",#N/A,SUM(GN$4:GN214,GL$4:GL214,GJ$4:GJ214))</f>
        <v>-0.80168930905701452</v>
      </c>
      <c r="GS214" s="54">
        <f t="shared" si="432"/>
        <v>-1.0187811706249894</v>
      </c>
      <c r="GT214" s="54">
        <f>IF(GS214="",NA(),SUM($GS$4:GS214))</f>
        <v>3.9761044930824889</v>
      </c>
      <c r="GU214" s="54" t="str">
        <f t="shared" si="414"/>
        <v/>
      </c>
      <c r="GV214" s="54" t="e">
        <f>IF(GU214="",NA(),SUM($GU$4:GU214))</f>
        <v>#N/A</v>
      </c>
      <c r="GW214" s="54">
        <f t="shared" si="415"/>
        <v>-1.0187811706249894</v>
      </c>
      <c r="GX214" s="54">
        <f>IF(GW214="",NA(),SUM($GW$4:GW214))</f>
        <v>4.6033428999787542</v>
      </c>
      <c r="GY214" s="54" t="str">
        <f t="shared" si="416"/>
        <v/>
      </c>
      <c r="GZ214" s="54" t="e">
        <f>IF(GY214="",NA(),SUM($GY$4:GY214))</f>
        <v>#N/A</v>
      </c>
      <c r="HA214" s="54" t="str">
        <f t="shared" si="417"/>
        <v/>
      </c>
      <c r="HB214" s="54" t="e">
        <f>IF(HA214="",NA(),SUM($HA$4:HA214))</f>
        <v>#N/A</v>
      </c>
      <c r="HC214" s="54" t="str">
        <f t="shared" si="418"/>
        <v/>
      </c>
      <c r="HD214" s="54" t="e">
        <f>IF(HC214="",NA(),SUM($HC$4:HC214))</f>
        <v>#N/A</v>
      </c>
      <c r="HE214" s="54" t="str">
        <f t="shared" si="419"/>
        <v/>
      </c>
      <c r="HF214" s="54" t="e">
        <f>IF(HE214="",NA(),SUM($HE$4:HE214))</f>
        <v>#N/A</v>
      </c>
      <c r="HG214" s="54" t="str">
        <f t="shared" si="420"/>
        <v/>
      </c>
      <c r="HH214" s="54" t="e">
        <f>IF(HG214="",NA(),SUM($HG$4:HG214))</f>
        <v>#N/A</v>
      </c>
      <c r="HI214" s="172" t="str">
        <f t="shared" si="433"/>
        <v/>
      </c>
      <c r="HJ214" s="172">
        <f>IF($J214="",#N/A,SUM(HI$4:$HI214))</f>
        <v>-7.5144610797919391</v>
      </c>
      <c r="HK214" s="54" t="str">
        <f t="shared" si="421"/>
        <v/>
      </c>
      <c r="HL214" s="54">
        <f>IF($J214="",#N/A,SUM($HK$4:HK214))</f>
        <v>-1.61281661077324</v>
      </c>
      <c r="HM214" s="54" t="str">
        <f t="shared" si="422"/>
        <v/>
      </c>
      <c r="HN214" s="54">
        <f>IF($J214="",#N/A,SUM($HM$4:HM214))</f>
        <v>0.71812545963587882</v>
      </c>
      <c r="HO214" s="54" t="str">
        <f t="shared" si="423"/>
        <v/>
      </c>
      <c r="HP214" s="54">
        <f>IF($J214="",#N/A,SUM($HO$4:HO214))</f>
        <v>0.52783589553778021</v>
      </c>
      <c r="HQ214" s="54" t="str">
        <f t="shared" si="424"/>
        <v/>
      </c>
      <c r="HR214" s="54">
        <f>IF($J214="",#N/A,SUM($HQ$4:HQ214))</f>
        <v>-13.365566947172198</v>
      </c>
      <c r="HS214" s="54">
        <f t="shared" si="425"/>
        <v>-0.92515341973042564</v>
      </c>
      <c r="HT214" s="54">
        <f>IF($J214="",#N/A,SUM($HS$4:HS214))</f>
        <v>11.50932290491963</v>
      </c>
      <c r="HU214" s="65">
        <f t="shared" si="426"/>
        <v>-1.943934590355415</v>
      </c>
      <c r="HV214" s="65">
        <f>IF($J214="",#N/A,SUM(HU$4:$HU214))</f>
        <v>-1.2245354217189419E-2</v>
      </c>
    </row>
    <row r="215" spans="1:230" x14ac:dyDescent="0.25">
      <c r="A215" s="51" t="s">
        <v>1289</v>
      </c>
      <c r="B215" s="52" t="s">
        <v>4544</v>
      </c>
      <c r="C215" s="229">
        <f t="shared" si="327"/>
        <v>3</v>
      </c>
      <c r="D215" s="219" t="str">
        <f>_xlfn.XLOOKUP(A215,[1]SP500!$A$2:$A$502,[1]SP500!$D$2:$D$502,"N")</f>
        <v>Y</v>
      </c>
      <c r="E215" s="51" t="str">
        <f>IFERROR(_xlfn.XLOOKUP(A215,[1]SP500!$A$2:$A$655,[1]SP500!$B$2:$B$655),"")</f>
        <v>XLB</v>
      </c>
      <c r="F215" s="290">
        <v>45778</v>
      </c>
      <c r="G215" s="51" t="str">
        <f t="shared" si="328"/>
        <v>BMO</v>
      </c>
      <c r="H215" s="51" t="str">
        <f t="shared" si="329"/>
        <v>s</v>
      </c>
      <c r="I215" s="344">
        <v>453.23</v>
      </c>
      <c r="J215" s="124">
        <v>437.44</v>
      </c>
      <c r="K215" s="55">
        <f t="shared" si="330"/>
        <v>-3.4838823555369283E-2</v>
      </c>
      <c r="L215" s="67">
        <f t="shared" si="331"/>
        <v>-31.580000000000041</v>
      </c>
      <c r="M215" s="57">
        <f t="shared" si="332"/>
        <v>-0.25999999999999091</v>
      </c>
      <c r="N215" s="102">
        <f t="shared" si="333"/>
        <v>-31.580000000000041</v>
      </c>
      <c r="O215" s="57">
        <f>IF(N215="",#N/A,SUM($N$4:N215))</f>
        <v>376.44636410061366</v>
      </c>
      <c r="P215" s="65">
        <f t="shared" si="427"/>
        <v>-0.58064705925615478</v>
      </c>
      <c r="Q215" s="172">
        <f>IF($N215="",#N/A,SUM($P$4:P215))</f>
        <v>9.1446679641707398</v>
      </c>
      <c r="R215" s="279">
        <f t="shared" si="334"/>
        <v>3.6391762486627881</v>
      </c>
      <c r="S215" s="51" t="str">
        <f t="shared" si="335"/>
        <v>SW</v>
      </c>
      <c r="T215" s="51" t="s">
        <v>2828</v>
      </c>
      <c r="U215" s="56">
        <f t="shared" si="336"/>
        <v>453.23</v>
      </c>
      <c r="V215" s="56" t="s">
        <v>4460</v>
      </c>
      <c r="W215" s="142">
        <v>2</v>
      </c>
      <c r="X215" s="145">
        <f t="shared" si="337"/>
        <v>906.46</v>
      </c>
      <c r="Y215" s="140">
        <f t="shared" si="338"/>
        <v>2</v>
      </c>
      <c r="Z215" s="123">
        <v>437.31</v>
      </c>
      <c r="AA215" s="102">
        <f t="shared" si="339"/>
        <v>-31.840000000000032</v>
      </c>
      <c r="AB215" s="102">
        <f t="shared" si="340"/>
        <v>-10.360000000000014</v>
      </c>
      <c r="AC215" s="124">
        <v>448.05</v>
      </c>
      <c r="AD215" s="155">
        <f t="shared" si="341"/>
        <v>-10.360000000000014</v>
      </c>
      <c r="AE215" s="545">
        <f t="shared" si="342"/>
        <v>-0.19048459575344406</v>
      </c>
      <c r="AF215" s="57">
        <f>IF($AC215="",#N/A,SUM(AD$4:AD215))</f>
        <v>-91.750412002415942</v>
      </c>
      <c r="AG215" s="102">
        <f t="shared" si="343"/>
        <v>21.220000000000027</v>
      </c>
      <c r="AH215" s="56" t="s">
        <v>2507</v>
      </c>
      <c r="AI215" s="65">
        <f t="shared" si="344"/>
        <v>-0.58542756069398227</v>
      </c>
      <c r="AJ215" s="350">
        <f>IF(AI215="",#N/A,SUM($AI$4:AI215))</f>
        <v>5.5054917155079517</v>
      </c>
      <c r="AK215" s="57">
        <f t="shared" si="345"/>
        <v>-31.840000000000032</v>
      </c>
      <c r="AL215" s="349">
        <f>IF(AI215="",#N/A,IF(AH215="Skip",SUM($AK$4:AK215),SUM($AK$4:AK215)))</f>
        <v>127.94759149281435</v>
      </c>
      <c r="AM215" s="65">
        <f t="shared" si="428"/>
        <v>-0.19048459575344406</v>
      </c>
      <c r="AN215" s="209"/>
      <c r="AO215" s="65">
        <f t="shared" si="346"/>
        <v>-0.19048459575344406</v>
      </c>
      <c r="AP215" s="65">
        <f>IF($AC215="",#N/A,SUM(AO$4:AO215))</f>
        <v>2.9205067569212999</v>
      </c>
      <c r="AQ215" s="65" t="str">
        <f t="shared" si="347"/>
        <v/>
      </c>
      <c r="AR215" s="65">
        <f>IF($AC215="",#N/A,SUM(AQ$4:AQ215))</f>
        <v>-2.4311962030043777</v>
      </c>
      <c r="AS215" s="65" t="str">
        <f t="shared" si="348"/>
        <v/>
      </c>
      <c r="AT215" s="65">
        <f>IF($AC215="",#N/A,SUM(AS$4:AS215))</f>
        <v>-0.69204050388755856</v>
      </c>
      <c r="AU215" s="57">
        <f t="shared" si="429"/>
        <v>-10.360000000000014</v>
      </c>
      <c r="AV215" s="57">
        <f>IF($AC215="",#N/A,SUM(AU$4:AU215))</f>
        <v>66.701206451251096</v>
      </c>
      <c r="AW215" s="57" t="str">
        <f t="shared" si="430"/>
        <v/>
      </c>
      <c r="AX215" s="57">
        <f>IF($AC215="",#N/A,SUM(AW$4:AW215))</f>
        <v>-151.49</v>
      </c>
      <c r="AY215" s="57" t="str">
        <f t="shared" si="431"/>
        <v/>
      </c>
      <c r="AZ215" s="57">
        <f>IF($AC215="",#N/A,SUM(AY$4:AY215))</f>
        <v>-6.9616184536670289</v>
      </c>
      <c r="BA215" s="57">
        <f>IF(AD215="",#N/A,SUM($AD$4:AD215))</f>
        <v>-91.750412002415942</v>
      </c>
      <c r="BC215" s="51" t="str">
        <f t="shared" si="349"/>
        <v/>
      </c>
      <c r="BD215" s="51" t="str">
        <f t="shared" si="350"/>
        <v/>
      </c>
      <c r="BE215" s="51" t="str">
        <f t="shared" si="351"/>
        <v/>
      </c>
      <c r="BF215" s="51" t="str">
        <f t="shared" si="352"/>
        <v>Long</v>
      </c>
      <c r="BG215" s="51" t="str">
        <f t="shared" si="353"/>
        <v/>
      </c>
      <c r="BH215" s="51" t="str">
        <f t="shared" si="354"/>
        <v/>
      </c>
      <c r="BI215" s="51">
        <f t="shared" si="355"/>
        <v>1</v>
      </c>
      <c r="BK215" s="65">
        <f t="shared" si="326"/>
        <v>0.13982639110664444</v>
      </c>
      <c r="BL215" s="65">
        <f t="shared" si="325"/>
        <v>9.8801344692920845E-2</v>
      </c>
      <c r="BM215" s="65">
        <f>IFERROR(Q215/COUNTA($J$4:J215),#N/A)</f>
        <v>4.3135226246088398E-2</v>
      </c>
      <c r="BO215" s="489">
        <f>IF(J215="",#N/A,IF(S215="SW",(COUNTIFS(K$4:$K215,"&gt;0",S$4:$S215,"SW")/COUNTIF(S$4:$S215,"SW")),#N/A))</f>
        <v>0.50442477876106195</v>
      </c>
      <c r="BP215" s="489" t="e">
        <f>IF($J215="",#N/A,IF($S215="DWN",(COUNTIFS($K$4:$K215,"&lt;0",$S$4:$S215,"DWN")/COUNTIF($S$4:$S215,"DWN")),#N/A))</f>
        <v>#N/A</v>
      </c>
      <c r="BQ215" s="489" t="e">
        <f>IF($J215="",#N/A,IF($S215="UP",(COUNTIFS($K$4:$K215,"&gt;0",$S$4:$S215,"UP")/COUNTIF($S$4:$S215,"UP")),#N/A))</f>
        <v>#N/A</v>
      </c>
      <c r="BR215" s="489">
        <f>IF(J215="",#N/A,COUNTIF($K$4:K215,"&gt;0")/COUNT($J$4:J215))</f>
        <v>0.46226415094339623</v>
      </c>
      <c r="BS215" s="65" t="str">
        <f t="shared" si="356"/>
        <v/>
      </c>
      <c r="BT215" s="65">
        <f t="shared" si="357"/>
        <v>-0.58064705925615478</v>
      </c>
      <c r="BU215" s="65" t="str">
        <f t="shared" si="358"/>
        <v/>
      </c>
      <c r="BV215" s="65" t="str">
        <f t="shared" si="359"/>
        <v/>
      </c>
      <c r="BW215" s="128" t="str">
        <f t="shared" si="360"/>
        <v/>
      </c>
      <c r="BX215" s="128">
        <f>IF($J215="",#N/A,SUM($BW$4:BW215))</f>
        <v>-233.61000000000035</v>
      </c>
      <c r="BY215" s="131" t="str">
        <f t="shared" si="361"/>
        <v/>
      </c>
      <c r="BZ215" s="131">
        <f>IF($J215="",#N/A,SUM($BY$4:BY215))</f>
        <v>484.06934038933446</v>
      </c>
      <c r="CA215" s="133">
        <f t="shared" si="362"/>
        <v>-31.580000000000041</v>
      </c>
      <c r="CB215" s="133">
        <f>IF($J215="",#N/A,SUM($CA$4:CA215))</f>
        <v>125.98702371127959</v>
      </c>
      <c r="CC215" s="194" t="str">
        <f t="shared" si="363"/>
        <v/>
      </c>
      <c r="CD215" s="194">
        <f>IF($J215="",#N/A,SUM($CC$4:CC215))</f>
        <v>-3.6771575581780365</v>
      </c>
      <c r="CE215" s="195" t="str">
        <f t="shared" si="364"/>
        <v/>
      </c>
      <c r="CF215" s="195">
        <f>IF($J215="",#N/A,SUM($CE$4:CE215))</f>
        <v>8.4352371866776252</v>
      </c>
      <c r="CG215" s="196">
        <f t="shared" si="365"/>
        <v>-0.58064705925615478</v>
      </c>
      <c r="CH215" s="196">
        <f>IF($J215="",#N/A,SUM($CG$4:CG215))</f>
        <v>4.3865883356711599</v>
      </c>
      <c r="CI215" s="200" t="str">
        <f t="shared" si="366"/>
        <v/>
      </c>
      <c r="CJ215" s="203">
        <f>IF($J215="",#N/A,SUM(CI$4:CI215))</f>
        <v>0</v>
      </c>
      <c r="CK215" s="204" t="str">
        <f t="shared" si="367"/>
        <v/>
      </c>
      <c r="CL215" s="204">
        <f>IF($J215="",#N/A,SUM(CK$4:CK215))</f>
        <v>1.9927003554442289</v>
      </c>
      <c r="CM215" s="205" t="str">
        <f t="shared" si="368"/>
        <v/>
      </c>
      <c r="CN215" s="205">
        <f>IF($J215="",#N/A,SUM(CM$4:CM215))</f>
        <v>5.6091171609382364</v>
      </c>
      <c r="CO215" s="205">
        <f>IF($J215="",#N/A,SUM(CM$4:CM215,CK$4:CK215,CI$4:CI215))</f>
        <v>7.6018175163824644</v>
      </c>
      <c r="CP215" s="200" t="str">
        <f t="shared" si="369"/>
        <v/>
      </c>
      <c r="CQ215" s="203">
        <f>IF($J215="",#N/A,SUM(CP$4:CP215))</f>
        <v>0</v>
      </c>
      <c r="CR215" s="204" t="str">
        <f t="shared" si="370"/>
        <v/>
      </c>
      <c r="CS215" s="204">
        <f>IF($J215="",#N/A,SUM(CR$4:CR215))</f>
        <v>4.2989225684455388</v>
      </c>
      <c r="CT215" s="205" t="str">
        <f t="shared" si="371"/>
        <v/>
      </c>
      <c r="CU215" s="205">
        <f>IF($J215="",#N/A,SUM(CT$4:CT215))</f>
        <v>-1.1331655471946371</v>
      </c>
      <c r="CV215" s="205">
        <f>IF($J215="",#N/A,SUM(CT$4:CT215,CR$4:CR215,CP$4:CP215))</f>
        <v>3.1657570212509012</v>
      </c>
      <c r="CW215" s="200" t="str">
        <f t="shared" si="372"/>
        <v/>
      </c>
      <c r="CX215" s="203">
        <f>IF($J215="",#N/A,SUM(CW$4:CW215))</f>
        <v>-0.33865165024245297</v>
      </c>
      <c r="CY215" s="204" t="str">
        <f t="shared" si="373"/>
        <v/>
      </c>
      <c r="CZ215" s="204">
        <f>IF($J215="",#N/A,SUM(CY$4:CY215))</f>
        <v>-1.0974100761627814</v>
      </c>
      <c r="DA215" s="205" t="str">
        <f t="shared" si="374"/>
        <v/>
      </c>
      <c r="DB215" s="205">
        <f>IF($J215="",#N/A,SUM(DA$4:DA215))</f>
        <v>-2.2679577914291</v>
      </c>
      <c r="DC215" s="205">
        <f>IF($J215="",#N/A,SUM(DA$4:DA215,CY$4:CY215,CW$4:CW215))</f>
        <v>-3.7040195178343338</v>
      </c>
      <c r="DD215" s="200" t="str">
        <f t="shared" si="375"/>
        <v/>
      </c>
      <c r="DE215" s="203">
        <f>IF($J215="",#N/A,SUM(DD$4:DD215))</f>
        <v>0.14968716170674062</v>
      </c>
      <c r="DF215" s="204" t="str">
        <f t="shared" si="376"/>
        <v/>
      </c>
      <c r="DG215" s="204">
        <f>IF($J215="",#N/A,SUM(DF$4:DF215))</f>
        <v>1.4372689690646794</v>
      </c>
      <c r="DH215" s="205" t="str">
        <f t="shared" si="377"/>
        <v/>
      </c>
      <c r="DI215" s="205">
        <f>IF($J215="",#N/A,SUM(DH$4:DH215))</f>
        <v>-1.9066052078694633</v>
      </c>
      <c r="DJ215" s="205">
        <f>IF($J215="",#N/A,SUM(DH$4:DH215,DF$4:DF215,DD$4:DD215))</f>
        <v>-0.31964907709804319</v>
      </c>
      <c r="DK215" s="200" t="str">
        <f t="shared" si="378"/>
        <v/>
      </c>
      <c r="DL215" s="203">
        <f>IF($J215="",#N/A,SUM(DK$4:DK215))</f>
        <v>-1.2097286851272664</v>
      </c>
      <c r="DM215" s="204" t="str">
        <f t="shared" si="379"/>
        <v/>
      </c>
      <c r="DN215" s="204">
        <f>IF($J215="",#N/A,SUM(DM$4:DM215))</f>
        <v>1.1910608267574658</v>
      </c>
      <c r="DO215" s="205" t="str">
        <f t="shared" si="380"/>
        <v/>
      </c>
      <c r="DP215" s="205">
        <f>IF($J215="",#N/A,SUM(DO$4:DO215))</f>
        <v>2.6571865116636566</v>
      </c>
      <c r="DQ215" s="205">
        <f>IF($J215="",#N/A,SUM(DO$4:DO215,DM$4:DM215,DK$4:DK215))</f>
        <v>2.6385186532938567</v>
      </c>
      <c r="DR215" s="200" t="str">
        <f t="shared" si="381"/>
        <v/>
      </c>
      <c r="DS215" s="203">
        <f>IF($J215="",#N/A,SUM(DR$4:DR215))</f>
        <v>-0.55950946427675097</v>
      </c>
      <c r="DT215" s="204" t="str">
        <f t="shared" si="382"/>
        <v/>
      </c>
      <c r="DU215" s="204">
        <f>IF($J215="",#N/A,SUM(DT$4:DT215))</f>
        <v>-3.6911249040845173</v>
      </c>
      <c r="DV215" s="205" t="str">
        <f t="shared" si="383"/>
        <v/>
      </c>
      <c r="DW215" s="205">
        <f>IF($J215="",#N/A,SUM(DV$4:DV215))</f>
        <v>-1.1099074520338865</v>
      </c>
      <c r="DX215" s="205">
        <f>IF($J215="",#N/A,SUM(DV$4:DV215,DT$4:DT215,DR$4:DR215))</f>
        <v>-5.360541820395154</v>
      </c>
      <c r="DY215" s="200" t="str">
        <f t="shared" si="384"/>
        <v/>
      </c>
      <c r="DZ215" s="203">
        <f>IF($J215="",#N/A,SUM(DY$4:DY215))</f>
        <v>-1.63480022183437</v>
      </c>
      <c r="EA215" s="204" t="str">
        <f t="shared" si="385"/>
        <v/>
      </c>
      <c r="EB215" s="204">
        <f>IF($J215="",#N/A,SUM(EA$4:EA215))</f>
        <v>0.65158371441459195</v>
      </c>
      <c r="EC215" s="205" t="str">
        <f t="shared" si="386"/>
        <v/>
      </c>
      <c r="ED215" s="205">
        <f>IF($J215="",#N/A,SUM(EC$4:EC215))</f>
        <v>3.0210456505626468</v>
      </c>
      <c r="EE215" s="205">
        <f>IF($J215="",#N/A,SUM(EC$4:EC215,EA$4:EA215,DY$4:DY215))</f>
        <v>2.0378291431428677</v>
      </c>
      <c r="EF215" s="200" t="str">
        <f t="shared" si="387"/>
        <v/>
      </c>
      <c r="EG215" s="203">
        <f>IF($J215="",#N/A,SUM(EF$4:EF215))</f>
        <v>-0.15098969023521425</v>
      </c>
      <c r="EH215" s="204" t="str">
        <f t="shared" si="388"/>
        <v/>
      </c>
      <c r="EI215" s="204">
        <f>IF($J215="",#N/A,SUM(EH$4:EH215))</f>
        <v>-2.6267690330909645</v>
      </c>
      <c r="EJ215" s="205" t="str">
        <f t="shared" si="389"/>
        <v/>
      </c>
      <c r="EK215" s="205">
        <f>IF($J215="",#N/A,SUM(EJ$4:EJ215))</f>
        <v>3.1548820132559188</v>
      </c>
      <c r="EL215" s="205">
        <f>IF($J215="",#N/A,SUM(EJ$4:EJ215,EH$4:EH215,EF$4:EF215))</f>
        <v>0.37712328992974087</v>
      </c>
      <c r="EM215" s="200" t="str">
        <f t="shared" si="390"/>
        <v/>
      </c>
      <c r="EN215" s="203">
        <f>IF($J215="",#N/A,SUM(EM$4:EM215))</f>
        <v>0</v>
      </c>
      <c r="EO215" s="204" t="str">
        <f t="shared" si="391"/>
        <v/>
      </c>
      <c r="EP215" s="204">
        <f>IF($J215="",#N/A,SUM(EO$4:EO215))</f>
        <v>3.2406646352184261</v>
      </c>
      <c r="EQ215" s="205">
        <f t="shared" si="392"/>
        <v>-0.58064705925615478</v>
      </c>
      <c r="ER215" s="205">
        <f>IF($J215="",#N/A,SUM(EQ$4:EQ215))</f>
        <v>1.441536272249796</v>
      </c>
      <c r="ES215" s="205">
        <f>IF($J215="",#N/A,SUM(EQ$4:EQ215,EO$4:EO215,EM$4:EM215))</f>
        <v>4.6822009074682214</v>
      </c>
      <c r="ET215" s="200" t="str">
        <f t="shared" si="393"/>
        <v/>
      </c>
      <c r="EU215" s="203">
        <f>IF($J215="",#N/A,SUM(ET$4:ET215))</f>
        <v>0</v>
      </c>
      <c r="EV215" s="204" t="str">
        <f t="shared" si="394"/>
        <v/>
      </c>
      <c r="EW215" s="204">
        <f>IF($J215="",#N/A,SUM(EV$4:EV215))</f>
        <v>1.9901851109977766</v>
      </c>
      <c r="EX215" s="205" t="str">
        <f t="shared" si="395"/>
        <v/>
      </c>
      <c r="EY215" s="205">
        <f>IF($J215="",#N/A,SUM(EX$4:EX215))</f>
        <v>-9.038537462898949E-2</v>
      </c>
      <c r="EZ215" s="205">
        <f>IF($J215="",#N/A,SUM(EX$4:EX215,EV$4:EV215,ET$4:ET215))</f>
        <v>1.8997997363687871</v>
      </c>
      <c r="FA215" s="200" t="str">
        <f t="shared" si="396"/>
        <v/>
      </c>
      <c r="FB215" s="203">
        <f>IF($J215="",#N/A,SUM(FA$4:FA215))</f>
        <v>0</v>
      </c>
      <c r="FC215" s="204" t="str">
        <f t="shared" si="397"/>
        <v/>
      </c>
      <c r="FD215" s="204">
        <f>IF($J215="",#N/A,SUM(FC$4:FC215))</f>
        <v>1.6839191319663924</v>
      </c>
      <c r="FE215" s="205" t="str">
        <f t="shared" si="398"/>
        <v/>
      </c>
      <c r="FF215" s="205">
        <f>IF($J215="",#N/A,SUM(FE$4:FE215))</f>
        <v>-0.28811149078748233</v>
      </c>
      <c r="FG215" s="205">
        <f>IF($J215="",#N/A,SUM(FE$4:FE215,FC$4:FC215,FA$4:FA215))</f>
        <v>1.3958076411789102</v>
      </c>
      <c r="FH215" s="200" t="str">
        <f t="shared" si="399"/>
        <v/>
      </c>
      <c r="FI215" s="203">
        <f>IF($J215="",#N/A,SUM(FH$4:FH215))</f>
        <v>0</v>
      </c>
      <c r="FJ215" s="204" t="str">
        <f t="shared" si="400"/>
        <v/>
      </c>
      <c r="FK215" s="204">
        <f>IF($J215="",#N/A,SUM(FJ$4:FJ215))</f>
        <v>0</v>
      </c>
      <c r="FL215" s="205" t="str">
        <f t="shared" si="401"/>
        <v/>
      </c>
      <c r="FM215" s="205">
        <f>IF($J215="",#N/A,SUM(FL$4:FL215))</f>
        <v>0</v>
      </c>
      <c r="FN215" s="205">
        <f>IF($J215="",#N/A,SUM(FL$4:FL215,FJ$4:FJ215,FH$4:FH215))</f>
        <v>0</v>
      </c>
      <c r="FO215" s="200" t="str">
        <f t="shared" si="402"/>
        <v/>
      </c>
      <c r="FP215" s="203">
        <f>IF($J215="",#N/A,SUM(FO$4:FO215))</f>
        <v>0</v>
      </c>
      <c r="FQ215" s="204" t="str">
        <f t="shared" si="403"/>
        <v/>
      </c>
      <c r="FR215" s="204">
        <f>IF($J215="",#N/A,SUM(FQ$4:FQ215))</f>
        <v>0</v>
      </c>
      <c r="FS215" s="205" t="str">
        <f t="shared" si="404"/>
        <v/>
      </c>
      <c r="FT215" s="205">
        <f>IF($J215="",#N/A,SUM(FS$4:FS215))</f>
        <v>0</v>
      </c>
      <c r="FU215" s="205">
        <f>IF($J215="",#N/A,SUM(FS$4:FS215,FQ$4:FQ215,FO$4:FO215))</f>
        <v>0</v>
      </c>
      <c r="FV215" s="200" t="str">
        <f t="shared" si="405"/>
        <v/>
      </c>
      <c r="FW215" s="203">
        <f>IF($J215="",#N/A,SUM(FV$4:FV215))</f>
        <v>6.6834991831277585E-2</v>
      </c>
      <c r="FX215" s="204" t="str">
        <f t="shared" si="406"/>
        <v/>
      </c>
      <c r="FY215" s="204">
        <f>IF($J215="",#N/A,SUM(FX$4:FX215))</f>
        <v>-0.16102012791805576</v>
      </c>
      <c r="FZ215" s="205" t="str">
        <f t="shared" si="407"/>
        <v/>
      </c>
      <c r="GA215" s="205">
        <f>IF($J215="",#N/A,SUM(FZ$4:FZ215))</f>
        <v>-1.7642101813332194</v>
      </c>
      <c r="GB215" s="205">
        <f>IF($J215="",#N/A,SUM(FZ$4:FZ215,FX$4:FX215,FV$4:FV215))</f>
        <v>-1.8583953174199976</v>
      </c>
      <c r="GC215" s="200" t="str">
        <f t="shared" si="408"/>
        <v/>
      </c>
      <c r="GD215" s="203">
        <f>IF($J215="",#N/A,SUM(GC$4:GC215))</f>
        <v>0</v>
      </c>
      <c r="GE215" s="204" t="str">
        <f t="shared" si="409"/>
        <v/>
      </c>
      <c r="GF215" s="204">
        <f>IF($J215="",#N/A,SUM(GE$4:GE215))</f>
        <v>0</v>
      </c>
      <c r="GG215" s="205" t="str">
        <f t="shared" si="410"/>
        <v/>
      </c>
      <c r="GH215" s="205">
        <f>IF($J215="",#N/A,SUM(GG$4:GG215))</f>
        <v>-2.9368362277223206</v>
      </c>
      <c r="GI215" s="205">
        <f>IF($J215="",#N/A,SUM(GG$4:GG215,GE$4:GE215,GC$4:GC215))</f>
        <v>-2.9368362277223206</v>
      </c>
      <c r="GJ215" s="200" t="str">
        <f t="shared" si="411"/>
        <v/>
      </c>
      <c r="GK215" s="203">
        <f>IF($J215="",#N/A,SUM(GJ$4:GJ215))</f>
        <v>0</v>
      </c>
      <c r="GL215" s="204" t="str">
        <f t="shared" si="412"/>
        <v/>
      </c>
      <c r="GM215" s="204">
        <f>IF($J215="",#N/A,SUM(GL$4:GL215))</f>
        <v>-0.80168930905701452</v>
      </c>
      <c r="GN215" s="205" t="str">
        <f t="shared" si="413"/>
        <v/>
      </c>
      <c r="GO215" s="205">
        <f>IF($J215="",#N/A,SUM(GN$4:GN215))</f>
        <v>0</v>
      </c>
      <c r="GP215" s="205">
        <f>IF($J215="",#N/A,SUM(GN$4:GN215,GL$4:GL215,GJ$4:GJ215))</f>
        <v>-0.80168930905701452</v>
      </c>
      <c r="GS215" s="54">
        <f t="shared" si="432"/>
        <v>-0.58064705925615478</v>
      </c>
      <c r="GT215" s="54">
        <f>IF(GS215="",NA(),SUM($GS$4:GS215))</f>
        <v>3.3954574338263344</v>
      </c>
      <c r="GU215" s="54" t="str">
        <f t="shared" si="414"/>
        <v/>
      </c>
      <c r="GV215" s="54" t="e">
        <f>IF(GU215="",NA(),SUM($GU$4:GU215))</f>
        <v>#N/A</v>
      </c>
      <c r="GW215" s="54">
        <f t="shared" si="415"/>
        <v>-0.58064705925615478</v>
      </c>
      <c r="GX215" s="54">
        <f>IF(GW215="",NA(),SUM($GW$4:GW215))</f>
        <v>4.0226958407225997</v>
      </c>
      <c r="GY215" s="54" t="str">
        <f t="shared" si="416"/>
        <v/>
      </c>
      <c r="GZ215" s="54" t="e">
        <f>IF(GY215="",NA(),SUM($GY$4:GY215))</f>
        <v>#N/A</v>
      </c>
      <c r="HA215" s="54" t="str">
        <f t="shared" si="417"/>
        <v/>
      </c>
      <c r="HB215" s="54" t="e">
        <f>IF(HA215="",NA(),SUM($HA$4:HA215))</f>
        <v>#N/A</v>
      </c>
      <c r="HC215" s="54" t="str">
        <f t="shared" si="418"/>
        <v/>
      </c>
      <c r="HD215" s="54" t="e">
        <f>IF(HC215="",NA(),SUM($HC$4:HC215))</f>
        <v>#N/A</v>
      </c>
      <c r="HE215" s="54" t="str">
        <f t="shared" si="419"/>
        <v/>
      </c>
      <c r="HF215" s="54" t="e">
        <f>IF(HE215="",NA(),SUM($HE$4:HE215))</f>
        <v>#N/A</v>
      </c>
      <c r="HG215" s="54" t="str">
        <f t="shared" si="420"/>
        <v/>
      </c>
      <c r="HH215" s="54" t="e">
        <f>IF(HG215="",NA(),SUM($HG$4:HG215))</f>
        <v>#N/A</v>
      </c>
      <c r="HI215" s="172" t="str">
        <f t="shared" si="433"/>
        <v/>
      </c>
      <c r="HJ215" s="172">
        <f>IF($J215="",#N/A,SUM(HI$4:$HI215))</f>
        <v>-7.5144610797919391</v>
      </c>
      <c r="HK215" s="54" t="str">
        <f t="shared" si="421"/>
        <v/>
      </c>
      <c r="HL215" s="54">
        <f>IF($J215="",#N/A,SUM($HK$4:HK215))</f>
        <v>-1.61281661077324</v>
      </c>
      <c r="HM215" s="54" t="str">
        <f t="shared" si="422"/>
        <v/>
      </c>
      <c r="HN215" s="54">
        <f>IF($J215="",#N/A,SUM($HM$4:HM215))</f>
        <v>0.71812545963587882</v>
      </c>
      <c r="HO215" s="54" t="str">
        <f t="shared" si="423"/>
        <v/>
      </c>
      <c r="HP215" s="54">
        <f>IF($J215="",#N/A,SUM($HO$4:HO215))</f>
        <v>0.52783589553778021</v>
      </c>
      <c r="HQ215" s="54" t="str">
        <f t="shared" si="424"/>
        <v/>
      </c>
      <c r="HR215" s="54">
        <f>IF($J215="",#N/A,SUM($HQ$4:HQ215))</f>
        <v>-13.365566947172198</v>
      </c>
      <c r="HS215" s="54">
        <f t="shared" si="425"/>
        <v>0.39016246350271072</v>
      </c>
      <c r="HT215" s="54">
        <f>IF($J215="",#N/A,SUM($HS$4:HS215))</f>
        <v>11.89948536842234</v>
      </c>
      <c r="HU215" s="65">
        <f t="shared" si="426"/>
        <v>-0.19048459575344406</v>
      </c>
      <c r="HV215" s="65">
        <f>IF($J215="",#N/A,SUM(HU$4:$HU215))</f>
        <v>-0.20272994997063348</v>
      </c>
    </row>
    <row r="216" spans="1:230" x14ac:dyDescent="0.25">
      <c r="A216" s="51" t="s">
        <v>1347</v>
      </c>
      <c r="B216" s="52" t="s">
        <v>4544</v>
      </c>
      <c r="C216" s="229">
        <f t="shared" si="327"/>
        <v>3</v>
      </c>
      <c r="D216" s="219" t="str">
        <f>_xlfn.XLOOKUP(A216,[1]SP500!$A$2:$A$502,[1]SP500!$D$2:$D$502,"N")</f>
        <v>Y</v>
      </c>
      <c r="E216" s="51" t="str">
        <f>IFERROR(_xlfn.XLOOKUP(A216,[1]SP500!$A$2:$A$655,[1]SP500!$B$2:$B$655),"")</f>
        <v>XLF</v>
      </c>
      <c r="F216" s="290">
        <v>45778</v>
      </c>
      <c r="G216" s="51" t="str">
        <f t="shared" si="328"/>
        <v>BMO</v>
      </c>
      <c r="H216" s="51" t="str">
        <f t="shared" si="329"/>
        <v>sk</v>
      </c>
      <c r="I216" s="343">
        <v>167.97</v>
      </c>
      <c r="J216" s="124">
        <v>166.24</v>
      </c>
      <c r="K216" s="55">
        <f t="shared" si="330"/>
        <v>-1.0299458236589806E-2</v>
      </c>
      <c r="L216" s="67">
        <f t="shared" si="331"/>
        <v>-11.157712091444864</v>
      </c>
      <c r="M216" s="57" t="e">
        <f t="shared" si="332"/>
        <v>#N/A</v>
      </c>
      <c r="N216" s="102">
        <f t="shared" si="333"/>
        <v>-11.157712091444864</v>
      </c>
      <c r="O216" s="57">
        <f>IF(N216="",#N/A,SUM($N$4:N216))</f>
        <v>365.2886520091688</v>
      </c>
      <c r="P216" s="65">
        <f t="shared" si="427"/>
        <v>-0.17165763727649724</v>
      </c>
      <c r="Q216" s="172">
        <f>IF($N216="",#N/A,SUM($P$4:P216))</f>
        <v>8.9730103268942418</v>
      </c>
      <c r="R216" s="279">
        <f t="shared" si="334"/>
        <v>3.4675186113862901</v>
      </c>
      <c r="S216" s="51" t="str">
        <f t="shared" si="335"/>
        <v>SW</v>
      </c>
      <c r="T216" s="51" t="s">
        <v>2828</v>
      </c>
      <c r="U216" s="56">
        <f t="shared" si="336"/>
        <v>167.97</v>
      </c>
      <c r="V216" s="56" t="s">
        <v>4460</v>
      </c>
      <c r="W216" s="340">
        <f>IF(I216="","",1083.33/I216)</f>
        <v>6.4495445615288443</v>
      </c>
      <c r="X216" s="145">
        <f t="shared" si="337"/>
        <v>1083.33</v>
      </c>
      <c r="Y216" s="416">
        <f t="shared" si="338"/>
        <v>6.4495445615288443</v>
      </c>
      <c r="Z216" s="538">
        <f>J216</f>
        <v>166.24</v>
      </c>
      <c r="AA216" s="102">
        <f t="shared" si="339"/>
        <v>-11.157712091444864</v>
      </c>
      <c r="AB216" s="102">
        <f t="shared" si="340"/>
        <v>18.510192891587849</v>
      </c>
      <c r="AC216" s="124">
        <v>170.84</v>
      </c>
      <c r="AD216" s="155">
        <f t="shared" si="341"/>
        <v>18.510192891587849</v>
      </c>
      <c r="AE216" s="545">
        <f t="shared" si="342"/>
        <v>0.28477307455696554</v>
      </c>
      <c r="AF216" s="57">
        <f>IF($AC216="",#N/A,SUM(AD$4:AD216))</f>
        <v>-73.240219110828093</v>
      </c>
      <c r="AG216" s="102">
        <f t="shared" si="343"/>
        <v>29.667904983032713</v>
      </c>
      <c r="AH216" s="56" t="s">
        <v>4464</v>
      </c>
      <c r="AI216" s="65">
        <f t="shared" si="344"/>
        <v>0</v>
      </c>
      <c r="AJ216" s="350">
        <f>IF(AI216="",#N/A,SUM($AI$4:AI216))</f>
        <v>5.5054917155079517</v>
      </c>
      <c r="AK216" s="57" t="str">
        <f t="shared" si="345"/>
        <v/>
      </c>
      <c r="AL216" s="349">
        <f>IF(AI216="",#N/A,IF(AH216="Skip",SUM($AK$4:AK216),SUM($AK$4:AK216)))</f>
        <v>127.94759149281435</v>
      </c>
      <c r="AM216" s="65">
        <f t="shared" si="428"/>
        <v>0.28477307455696554</v>
      </c>
      <c r="AN216" s="209"/>
      <c r="AO216" s="65">
        <f t="shared" si="346"/>
        <v>0.28477307455696554</v>
      </c>
      <c r="AP216" s="65">
        <f>IF($AC216="",#N/A,SUM(AO$4:AO216))</f>
        <v>3.2052798314782653</v>
      </c>
      <c r="AQ216" s="65" t="str">
        <f t="shared" si="347"/>
        <v/>
      </c>
      <c r="AR216" s="65">
        <f>IF($AC216="",#N/A,SUM(AQ$4:AQ216))</f>
        <v>-2.4311962030043777</v>
      </c>
      <c r="AS216" s="65" t="str">
        <f t="shared" si="348"/>
        <v/>
      </c>
      <c r="AT216" s="65">
        <f>IF($AC216="",#N/A,SUM(AS$4:AS216))</f>
        <v>-0.69204050388755856</v>
      </c>
      <c r="AU216" s="57">
        <f t="shared" si="429"/>
        <v>18.510192891587849</v>
      </c>
      <c r="AV216" s="57">
        <f>IF($AC216="",#N/A,SUM(AU$4:AU216))</f>
        <v>85.211399342838945</v>
      </c>
      <c r="AW216" s="57" t="str">
        <f t="shared" si="430"/>
        <v/>
      </c>
      <c r="AX216" s="57">
        <f>IF($AC216="",#N/A,SUM(AW$4:AW216))</f>
        <v>-151.49</v>
      </c>
      <c r="AY216" s="57" t="str">
        <f t="shared" si="431"/>
        <v/>
      </c>
      <c r="AZ216" s="57">
        <f>IF($AC216="",#N/A,SUM(AY$4:AY216))</f>
        <v>-6.9616184536670289</v>
      </c>
      <c r="BA216" s="57">
        <f>IF(AD216="",#N/A,SUM($AD$4:AD216))</f>
        <v>-73.240219110828093</v>
      </c>
      <c r="BC216" s="51" t="str">
        <f t="shared" si="349"/>
        <v/>
      </c>
      <c r="BD216" s="51" t="str">
        <f t="shared" si="350"/>
        <v/>
      </c>
      <c r="BE216" s="51" t="str">
        <f t="shared" si="351"/>
        <v/>
      </c>
      <c r="BF216" s="51" t="str">
        <f t="shared" si="352"/>
        <v>Long</v>
      </c>
      <c r="BG216" s="51" t="str">
        <f t="shared" si="353"/>
        <v/>
      </c>
      <c r="BH216" s="51" t="str">
        <f t="shared" si="354"/>
        <v/>
      </c>
      <c r="BI216" s="51">
        <f t="shared" si="355"/>
        <v>1</v>
      </c>
      <c r="BK216" s="65">
        <f t="shared" si="326"/>
        <v>0.15575972449274098</v>
      </c>
      <c r="BL216" s="65">
        <f t="shared" si="325"/>
        <v>4.8511445865833204E-2</v>
      </c>
      <c r="BM216" s="65">
        <f>IFERROR(Q216/COUNTA($J$4:J216),#N/A)</f>
        <v>4.2126809046451837E-2</v>
      </c>
      <c r="BO216" s="489">
        <f>IF(J216="",#N/A,IF(S216="SW",(COUNTIFS(K$4:$K216,"&gt;0",S$4:$S216,"SW")/COUNTIF(S$4:$S216,"SW")),#N/A))</f>
        <v>0.5</v>
      </c>
      <c r="BP216" s="489" t="e">
        <f>IF($J216="",#N/A,IF($S216="DWN",(COUNTIFS($K$4:$K216,"&lt;0",$S$4:$S216,"DWN")/COUNTIF($S$4:$S216,"DWN")),#N/A))</f>
        <v>#N/A</v>
      </c>
      <c r="BQ216" s="489" t="e">
        <f>IF($J216="",#N/A,IF($S216="UP",(COUNTIFS($K$4:$K216,"&gt;0",$S$4:$S216,"UP")/COUNTIF($S$4:$S216,"UP")),#N/A))</f>
        <v>#N/A</v>
      </c>
      <c r="BR216" s="489">
        <f>IF(J216="",#N/A,COUNTIF($K$4:K216,"&gt;0")/COUNT($J$4:J216))</f>
        <v>0.460093896713615</v>
      </c>
      <c r="BS216" s="65" t="str">
        <f t="shared" si="356"/>
        <v/>
      </c>
      <c r="BT216" s="65" t="str">
        <f t="shared" si="357"/>
        <v/>
      </c>
      <c r="BU216" s="65" t="str">
        <f t="shared" si="358"/>
        <v/>
      </c>
      <c r="BV216" s="65" t="str">
        <f t="shared" si="359"/>
        <v/>
      </c>
      <c r="BW216" s="128" t="str">
        <f t="shared" si="360"/>
        <v/>
      </c>
      <c r="BX216" s="128">
        <f>IF($J216="",#N/A,SUM($BW$4:BW216))</f>
        <v>-233.61000000000035</v>
      </c>
      <c r="BY216" s="131" t="str">
        <f t="shared" si="361"/>
        <v/>
      </c>
      <c r="BZ216" s="131">
        <f>IF($J216="",#N/A,SUM($BY$4:BY216))</f>
        <v>484.06934038933446</v>
      </c>
      <c r="CA216" s="133">
        <f t="shared" si="362"/>
        <v>-11.157712091444864</v>
      </c>
      <c r="CB216" s="133">
        <f>IF($J216="",#N/A,SUM($CA$4:CA216))</f>
        <v>114.82931161983473</v>
      </c>
      <c r="CC216" s="194" t="str">
        <f t="shared" si="363"/>
        <v/>
      </c>
      <c r="CD216" s="194">
        <f>IF($J216="",#N/A,SUM($CC$4:CC216))</f>
        <v>-3.6771575581780365</v>
      </c>
      <c r="CE216" s="195" t="str">
        <f t="shared" si="364"/>
        <v/>
      </c>
      <c r="CF216" s="195">
        <f>IF($J216="",#N/A,SUM($CE$4:CE216))</f>
        <v>8.4352371866776252</v>
      </c>
      <c r="CG216" s="196">
        <f t="shared" si="365"/>
        <v>-0.17165763727649724</v>
      </c>
      <c r="CH216" s="196">
        <f>IF($J216="",#N/A,SUM($CG$4:CG216))</f>
        <v>4.2149306983946628</v>
      </c>
      <c r="CI216" s="200" t="str">
        <f t="shared" si="366"/>
        <v/>
      </c>
      <c r="CJ216" s="203">
        <f>IF($J216="",#N/A,SUM(CI$4:CI216))</f>
        <v>0</v>
      </c>
      <c r="CK216" s="204" t="str">
        <f t="shared" si="367"/>
        <v/>
      </c>
      <c r="CL216" s="204">
        <f>IF($J216="",#N/A,SUM(CK$4:CK216))</f>
        <v>1.9927003554442289</v>
      </c>
      <c r="CM216" s="205" t="str">
        <f t="shared" si="368"/>
        <v/>
      </c>
      <c r="CN216" s="205">
        <f>IF($J216="",#N/A,SUM(CM$4:CM216))</f>
        <v>5.6091171609382364</v>
      </c>
      <c r="CO216" s="205">
        <f>IF($J216="",#N/A,SUM(CM$4:CM216,CK$4:CK216,CI$4:CI216))</f>
        <v>7.6018175163824644</v>
      </c>
      <c r="CP216" s="200" t="str">
        <f t="shared" si="369"/>
        <v/>
      </c>
      <c r="CQ216" s="203">
        <f>IF($J216="",#N/A,SUM(CP$4:CP216))</f>
        <v>0</v>
      </c>
      <c r="CR216" s="204" t="str">
        <f t="shared" si="370"/>
        <v/>
      </c>
      <c r="CS216" s="204">
        <f>IF($J216="",#N/A,SUM(CR$4:CR216))</f>
        <v>4.2989225684455388</v>
      </c>
      <c r="CT216" s="205" t="str">
        <f t="shared" si="371"/>
        <v/>
      </c>
      <c r="CU216" s="205">
        <f>IF($J216="",#N/A,SUM(CT$4:CT216))</f>
        <v>-1.1331655471946371</v>
      </c>
      <c r="CV216" s="205">
        <f>IF($J216="",#N/A,SUM(CT$4:CT216,CR$4:CR216,CP$4:CP216))</f>
        <v>3.1657570212509012</v>
      </c>
      <c r="CW216" s="200" t="str">
        <f t="shared" si="372"/>
        <v/>
      </c>
      <c r="CX216" s="203">
        <f>IF($J216="",#N/A,SUM(CW$4:CW216))</f>
        <v>-0.33865165024245297</v>
      </c>
      <c r="CY216" s="204" t="str">
        <f t="shared" si="373"/>
        <v/>
      </c>
      <c r="CZ216" s="204">
        <f>IF($J216="",#N/A,SUM(CY$4:CY216))</f>
        <v>-1.0974100761627814</v>
      </c>
      <c r="DA216" s="205" t="str">
        <f t="shared" si="374"/>
        <v/>
      </c>
      <c r="DB216" s="205">
        <f>IF($J216="",#N/A,SUM(DA$4:DA216))</f>
        <v>-2.2679577914291</v>
      </c>
      <c r="DC216" s="205">
        <f>IF($J216="",#N/A,SUM(DA$4:DA216,CY$4:CY216,CW$4:CW216))</f>
        <v>-3.7040195178343338</v>
      </c>
      <c r="DD216" s="200" t="str">
        <f t="shared" si="375"/>
        <v/>
      </c>
      <c r="DE216" s="203">
        <f>IF($J216="",#N/A,SUM(DD$4:DD216))</f>
        <v>0.14968716170674062</v>
      </c>
      <c r="DF216" s="204" t="str">
        <f t="shared" si="376"/>
        <v/>
      </c>
      <c r="DG216" s="204">
        <f>IF($J216="",#N/A,SUM(DF$4:DF216))</f>
        <v>1.4372689690646794</v>
      </c>
      <c r="DH216" s="205" t="str">
        <f t="shared" si="377"/>
        <v/>
      </c>
      <c r="DI216" s="205">
        <f>IF($J216="",#N/A,SUM(DH$4:DH216))</f>
        <v>-1.9066052078694633</v>
      </c>
      <c r="DJ216" s="205">
        <f>IF($J216="",#N/A,SUM(DH$4:DH216,DF$4:DF216,DD$4:DD216))</f>
        <v>-0.31964907709804319</v>
      </c>
      <c r="DK216" s="200" t="str">
        <f t="shared" si="378"/>
        <v/>
      </c>
      <c r="DL216" s="203">
        <f>IF($J216="",#N/A,SUM(DK$4:DK216))</f>
        <v>-1.2097286851272664</v>
      </c>
      <c r="DM216" s="204" t="str">
        <f t="shared" si="379"/>
        <v/>
      </c>
      <c r="DN216" s="204">
        <f>IF($J216="",#N/A,SUM(DM$4:DM216))</f>
        <v>1.1910608267574658</v>
      </c>
      <c r="DO216" s="205" t="str">
        <f t="shared" si="380"/>
        <v/>
      </c>
      <c r="DP216" s="205">
        <f>IF($J216="",#N/A,SUM(DO$4:DO216))</f>
        <v>2.6571865116636566</v>
      </c>
      <c r="DQ216" s="205">
        <f>IF($J216="",#N/A,SUM(DO$4:DO216,DM$4:DM216,DK$4:DK216))</f>
        <v>2.6385186532938567</v>
      </c>
      <c r="DR216" s="200" t="str">
        <f t="shared" si="381"/>
        <v/>
      </c>
      <c r="DS216" s="203">
        <f>IF($J216="",#N/A,SUM(DR$4:DR216))</f>
        <v>-0.55950946427675097</v>
      </c>
      <c r="DT216" s="204" t="str">
        <f t="shared" si="382"/>
        <v/>
      </c>
      <c r="DU216" s="204">
        <f>IF($J216="",#N/A,SUM(DT$4:DT216))</f>
        <v>-3.6911249040845173</v>
      </c>
      <c r="DV216" s="205">
        <f t="shared" si="383"/>
        <v>-0.17165763727649724</v>
      </c>
      <c r="DW216" s="205">
        <f>IF($J216="",#N/A,SUM(DV$4:DV216))</f>
        <v>-1.2815650893103838</v>
      </c>
      <c r="DX216" s="205">
        <f>IF($J216="",#N/A,SUM(DV$4:DV216,DT$4:DT216,DR$4:DR216))</f>
        <v>-5.532199457671652</v>
      </c>
      <c r="DY216" s="200" t="str">
        <f t="shared" si="384"/>
        <v/>
      </c>
      <c r="DZ216" s="203">
        <f>IF($J216="",#N/A,SUM(DY$4:DY216))</f>
        <v>-1.63480022183437</v>
      </c>
      <c r="EA216" s="204" t="str">
        <f t="shared" si="385"/>
        <v/>
      </c>
      <c r="EB216" s="204">
        <f>IF($J216="",#N/A,SUM(EA$4:EA216))</f>
        <v>0.65158371441459195</v>
      </c>
      <c r="EC216" s="205" t="str">
        <f t="shared" si="386"/>
        <v/>
      </c>
      <c r="ED216" s="205">
        <f>IF($J216="",#N/A,SUM(EC$4:EC216))</f>
        <v>3.0210456505626468</v>
      </c>
      <c r="EE216" s="205">
        <f>IF($J216="",#N/A,SUM(EC$4:EC216,EA$4:EA216,DY$4:DY216))</f>
        <v>2.0378291431428677</v>
      </c>
      <c r="EF216" s="200" t="str">
        <f t="shared" si="387"/>
        <v/>
      </c>
      <c r="EG216" s="203">
        <f>IF($J216="",#N/A,SUM(EF$4:EF216))</f>
        <v>-0.15098969023521425</v>
      </c>
      <c r="EH216" s="204" t="str">
        <f t="shared" si="388"/>
        <v/>
      </c>
      <c r="EI216" s="204">
        <f>IF($J216="",#N/A,SUM(EH$4:EH216))</f>
        <v>-2.6267690330909645</v>
      </c>
      <c r="EJ216" s="205" t="str">
        <f t="shared" si="389"/>
        <v/>
      </c>
      <c r="EK216" s="205">
        <f>IF($J216="",#N/A,SUM(EJ$4:EJ216))</f>
        <v>3.1548820132559188</v>
      </c>
      <c r="EL216" s="205">
        <f>IF($J216="",#N/A,SUM(EJ$4:EJ216,EH$4:EH216,EF$4:EF216))</f>
        <v>0.37712328992974087</v>
      </c>
      <c r="EM216" s="200" t="str">
        <f t="shared" si="390"/>
        <v/>
      </c>
      <c r="EN216" s="203">
        <f>IF($J216="",#N/A,SUM(EM$4:EM216))</f>
        <v>0</v>
      </c>
      <c r="EO216" s="204" t="str">
        <f t="shared" si="391"/>
        <v/>
      </c>
      <c r="EP216" s="204">
        <f>IF($J216="",#N/A,SUM(EO$4:EO216))</f>
        <v>3.2406646352184261</v>
      </c>
      <c r="EQ216" s="205" t="str">
        <f t="shared" si="392"/>
        <v/>
      </c>
      <c r="ER216" s="205">
        <f>IF($J216="",#N/A,SUM(EQ$4:EQ216))</f>
        <v>1.441536272249796</v>
      </c>
      <c r="ES216" s="205">
        <f>IF($J216="",#N/A,SUM(EQ$4:EQ216,EO$4:EO216,EM$4:EM216))</f>
        <v>4.6822009074682214</v>
      </c>
      <c r="ET216" s="200" t="str">
        <f t="shared" si="393"/>
        <v/>
      </c>
      <c r="EU216" s="203">
        <f>IF($J216="",#N/A,SUM(ET$4:ET216))</f>
        <v>0</v>
      </c>
      <c r="EV216" s="204" t="str">
        <f t="shared" si="394"/>
        <v/>
      </c>
      <c r="EW216" s="204">
        <f>IF($J216="",#N/A,SUM(EV$4:EV216))</f>
        <v>1.9901851109977766</v>
      </c>
      <c r="EX216" s="205" t="str">
        <f t="shared" si="395"/>
        <v/>
      </c>
      <c r="EY216" s="205">
        <f>IF($J216="",#N/A,SUM(EX$4:EX216))</f>
        <v>-9.038537462898949E-2</v>
      </c>
      <c r="EZ216" s="205">
        <f>IF($J216="",#N/A,SUM(EX$4:EX216,EV$4:EV216,ET$4:ET216))</f>
        <v>1.8997997363687871</v>
      </c>
      <c r="FA216" s="200" t="str">
        <f t="shared" si="396"/>
        <v/>
      </c>
      <c r="FB216" s="203">
        <f>IF($J216="",#N/A,SUM(FA$4:FA216))</f>
        <v>0</v>
      </c>
      <c r="FC216" s="204" t="str">
        <f t="shared" si="397"/>
        <v/>
      </c>
      <c r="FD216" s="204">
        <f>IF($J216="",#N/A,SUM(FC$4:FC216))</f>
        <v>1.6839191319663924</v>
      </c>
      <c r="FE216" s="205" t="str">
        <f t="shared" si="398"/>
        <v/>
      </c>
      <c r="FF216" s="205">
        <f>IF($J216="",#N/A,SUM(FE$4:FE216))</f>
        <v>-0.28811149078748233</v>
      </c>
      <c r="FG216" s="205">
        <f>IF($J216="",#N/A,SUM(FE$4:FE216,FC$4:FC216,FA$4:FA216))</f>
        <v>1.3958076411789102</v>
      </c>
      <c r="FH216" s="200" t="str">
        <f t="shared" si="399"/>
        <v/>
      </c>
      <c r="FI216" s="203">
        <f>IF($J216="",#N/A,SUM(FH$4:FH216))</f>
        <v>0</v>
      </c>
      <c r="FJ216" s="204" t="str">
        <f t="shared" si="400"/>
        <v/>
      </c>
      <c r="FK216" s="204">
        <f>IF($J216="",#N/A,SUM(FJ$4:FJ216))</f>
        <v>0</v>
      </c>
      <c r="FL216" s="205" t="str">
        <f t="shared" si="401"/>
        <v/>
      </c>
      <c r="FM216" s="205">
        <f>IF($J216="",#N/A,SUM(FL$4:FL216))</f>
        <v>0</v>
      </c>
      <c r="FN216" s="205">
        <f>IF($J216="",#N/A,SUM(FL$4:FL216,FJ$4:FJ216,FH$4:FH216))</f>
        <v>0</v>
      </c>
      <c r="FO216" s="200" t="str">
        <f t="shared" si="402"/>
        <v/>
      </c>
      <c r="FP216" s="203">
        <f>IF($J216="",#N/A,SUM(FO$4:FO216))</f>
        <v>0</v>
      </c>
      <c r="FQ216" s="204" t="str">
        <f t="shared" si="403"/>
        <v/>
      </c>
      <c r="FR216" s="204">
        <f>IF($J216="",#N/A,SUM(FQ$4:FQ216))</f>
        <v>0</v>
      </c>
      <c r="FS216" s="205" t="str">
        <f t="shared" si="404"/>
        <v/>
      </c>
      <c r="FT216" s="205">
        <f>IF($J216="",#N/A,SUM(FS$4:FS216))</f>
        <v>0</v>
      </c>
      <c r="FU216" s="205">
        <f>IF($J216="",#N/A,SUM(FS$4:FS216,FQ$4:FQ216,FO$4:FO216))</f>
        <v>0</v>
      </c>
      <c r="FV216" s="200" t="str">
        <f t="shared" si="405"/>
        <v/>
      </c>
      <c r="FW216" s="203">
        <f>IF($J216="",#N/A,SUM(FV$4:FV216))</f>
        <v>6.6834991831277585E-2</v>
      </c>
      <c r="FX216" s="204" t="str">
        <f t="shared" si="406"/>
        <v/>
      </c>
      <c r="FY216" s="204">
        <f>IF($J216="",#N/A,SUM(FX$4:FX216))</f>
        <v>-0.16102012791805576</v>
      </c>
      <c r="FZ216" s="205" t="str">
        <f t="shared" si="407"/>
        <v/>
      </c>
      <c r="GA216" s="205">
        <f>IF($J216="",#N/A,SUM(FZ$4:FZ216))</f>
        <v>-1.7642101813332194</v>
      </c>
      <c r="GB216" s="205">
        <f>IF($J216="",#N/A,SUM(FZ$4:FZ216,FX$4:FX216,FV$4:FV216))</f>
        <v>-1.8583953174199976</v>
      </c>
      <c r="GC216" s="200" t="str">
        <f t="shared" si="408"/>
        <v/>
      </c>
      <c r="GD216" s="203">
        <f>IF($J216="",#N/A,SUM(GC$4:GC216))</f>
        <v>0</v>
      </c>
      <c r="GE216" s="204" t="str">
        <f t="shared" si="409"/>
        <v/>
      </c>
      <c r="GF216" s="204">
        <f>IF($J216="",#N/A,SUM(GE$4:GE216))</f>
        <v>0</v>
      </c>
      <c r="GG216" s="205" t="str">
        <f t="shared" si="410"/>
        <v/>
      </c>
      <c r="GH216" s="205">
        <f>IF($J216="",#N/A,SUM(GG$4:GG216))</f>
        <v>-2.9368362277223206</v>
      </c>
      <c r="GI216" s="205">
        <f>IF($J216="",#N/A,SUM(GG$4:GG216,GE$4:GE216,GC$4:GC216))</f>
        <v>-2.9368362277223206</v>
      </c>
      <c r="GJ216" s="200" t="str">
        <f t="shared" si="411"/>
        <v/>
      </c>
      <c r="GK216" s="203">
        <f>IF($J216="",#N/A,SUM(GJ$4:GJ216))</f>
        <v>0</v>
      </c>
      <c r="GL216" s="204" t="str">
        <f t="shared" si="412"/>
        <v/>
      </c>
      <c r="GM216" s="204">
        <f>IF($J216="",#N/A,SUM(GL$4:GL216))</f>
        <v>-0.80168930905701452</v>
      </c>
      <c r="GN216" s="205" t="str">
        <f t="shared" si="413"/>
        <v/>
      </c>
      <c r="GO216" s="205">
        <f>IF($J216="",#N/A,SUM(GN$4:GN216))</f>
        <v>0</v>
      </c>
      <c r="GP216" s="205">
        <f>IF($J216="",#N/A,SUM(GN$4:GN216,GL$4:GL216,GJ$4:GJ216))</f>
        <v>-0.80168930905701452</v>
      </c>
      <c r="GS216" s="54">
        <f t="shared" si="432"/>
        <v>-0.17165763727649724</v>
      </c>
      <c r="GT216" s="54">
        <f>IF(GS216="",NA(),SUM($GS$4:GS216))</f>
        <v>3.2237997965498373</v>
      </c>
      <c r="GU216" s="54" t="str">
        <f t="shared" si="414"/>
        <v/>
      </c>
      <c r="GV216" s="54" t="e">
        <f>IF(GU216="",NA(),SUM($GU$4:GU216))</f>
        <v>#N/A</v>
      </c>
      <c r="GW216" s="54">
        <f t="shared" si="415"/>
        <v>-0.17165763727649724</v>
      </c>
      <c r="GX216" s="54">
        <f>IF(GW216="",NA(),SUM($GW$4:GW216))</f>
        <v>3.8510382034461026</v>
      </c>
      <c r="GY216" s="54" t="str">
        <f t="shared" si="416"/>
        <v/>
      </c>
      <c r="GZ216" s="54" t="e">
        <f>IF(GY216="",NA(),SUM($GY$4:GY216))</f>
        <v>#N/A</v>
      </c>
      <c r="HA216" s="54" t="str">
        <f t="shared" si="417"/>
        <v/>
      </c>
      <c r="HB216" s="54" t="e">
        <f>IF(HA216="",NA(),SUM($HA$4:HA216))</f>
        <v>#N/A</v>
      </c>
      <c r="HC216" s="54" t="str">
        <f t="shared" si="418"/>
        <v/>
      </c>
      <c r="HD216" s="54" t="e">
        <f>IF(HC216="",NA(),SUM($HC$4:HC216))</f>
        <v>#N/A</v>
      </c>
      <c r="HE216" s="54" t="str">
        <f t="shared" si="419"/>
        <v/>
      </c>
      <c r="HF216" s="54" t="e">
        <f>IF(HE216="",NA(),SUM($HE$4:HE216))</f>
        <v>#N/A</v>
      </c>
      <c r="HG216" s="54" t="str">
        <f t="shared" si="420"/>
        <v/>
      </c>
      <c r="HH216" s="54" t="e">
        <f>IF(HG216="",NA(),SUM($HG$4:HG216))</f>
        <v>#N/A</v>
      </c>
      <c r="HI216" s="172" t="str">
        <f t="shared" si="433"/>
        <v/>
      </c>
      <c r="HJ216" s="172">
        <f>IF($J216="",#N/A,SUM(HI$4:$HI216))</f>
        <v>-7.5144610797919391</v>
      </c>
      <c r="HK216" s="54" t="str">
        <f t="shared" si="421"/>
        <v/>
      </c>
      <c r="HL216" s="54">
        <f>IF($J216="",#N/A,SUM($HK$4:HK216))</f>
        <v>-1.61281661077324</v>
      </c>
      <c r="HM216" s="54" t="str">
        <f t="shared" si="422"/>
        <v/>
      </c>
      <c r="HN216" s="54">
        <f>IF($J216="",#N/A,SUM($HM$4:HM216))</f>
        <v>0.71812545963587882</v>
      </c>
      <c r="HO216" s="54" t="str">
        <f t="shared" si="423"/>
        <v/>
      </c>
      <c r="HP216" s="54">
        <f>IF($J216="",#N/A,SUM($HO$4:HO216))</f>
        <v>0.52783589553778021</v>
      </c>
      <c r="HQ216" s="54" t="str">
        <f t="shared" si="424"/>
        <v/>
      </c>
      <c r="HR216" s="54">
        <f>IF($J216="",#N/A,SUM($HQ$4:HQ216))</f>
        <v>-13.365566947172198</v>
      </c>
      <c r="HS216" s="54">
        <f t="shared" si="425"/>
        <v>0.45643071183346279</v>
      </c>
      <c r="HT216" s="54">
        <f>IF($J216="",#N/A,SUM($HS$4:HS216))</f>
        <v>12.355916080255803</v>
      </c>
      <c r="HU216" s="65">
        <f t="shared" si="426"/>
        <v>0.28477307455696554</v>
      </c>
      <c r="HV216" s="65">
        <f>IF($J216="",#N/A,SUM(HU$4:$HU216))</f>
        <v>8.2043124586332061E-2</v>
      </c>
    </row>
    <row r="217" spans="1:230" x14ac:dyDescent="0.25">
      <c r="A217" s="51" t="s">
        <v>573</v>
      </c>
      <c r="B217" s="52" t="s">
        <v>4544</v>
      </c>
      <c r="C217" s="229">
        <f t="shared" si="327"/>
        <v>2</v>
      </c>
      <c r="D217" s="219" t="str">
        <f>_xlfn.XLOOKUP(A217,[1]SP500!$A$2:$A$502,[1]SP500!$D$2:$D$502,"N")</f>
        <v>Y</v>
      </c>
      <c r="E217" s="51" t="str">
        <f>IFERROR(_xlfn.XLOOKUP(A217,[1]SP500!$A$2:$A$655,[1]SP500!$B$2:$B$655),"")</f>
        <v>XLP</v>
      </c>
      <c r="F217" s="290">
        <v>45778</v>
      </c>
      <c r="G217" s="51" t="str">
        <f t="shared" si="328"/>
        <v>BMO</v>
      </c>
      <c r="H217" s="51" t="str">
        <f t="shared" si="329"/>
        <v>s</v>
      </c>
      <c r="I217" s="344">
        <v>167.19</v>
      </c>
      <c r="J217" s="124">
        <v>166.31</v>
      </c>
      <c r="K217" s="55">
        <f t="shared" si="330"/>
        <v>-5.2634726957353634E-3</v>
      </c>
      <c r="L217" s="67">
        <f t="shared" si="331"/>
        <v>6.1599999999998545</v>
      </c>
      <c r="M217" s="57">
        <f t="shared" si="332"/>
        <v>0</v>
      </c>
      <c r="N217" s="147">
        <f t="shared" si="333"/>
        <v>6.1599999999998545</v>
      </c>
      <c r="O217" s="57">
        <f>IF(N217="",#N/A,SUM($N$4:N217))</f>
        <v>371.44865200916865</v>
      </c>
      <c r="P217" s="65">
        <f t="shared" si="427"/>
        <v>8.7724544928921122E-2</v>
      </c>
      <c r="Q217" s="172">
        <f>IF($N217="",#N/A,SUM($P$4:P217))</f>
        <v>9.0607348718231631</v>
      </c>
      <c r="R217" s="279">
        <f t="shared" si="334"/>
        <v>3.4675186113862901</v>
      </c>
      <c r="S217" s="51" t="str">
        <f t="shared" si="335"/>
        <v>Dwn</v>
      </c>
      <c r="T217" s="51" t="s">
        <v>4462</v>
      </c>
      <c r="U217" s="56">
        <f t="shared" si="336"/>
        <v>167.19</v>
      </c>
      <c r="V217" s="56" t="s">
        <v>4458</v>
      </c>
      <c r="W217" s="142">
        <v>7</v>
      </c>
      <c r="X217" s="145">
        <f t="shared" si="337"/>
        <v>1170.33</v>
      </c>
      <c r="Y217" s="140">
        <f t="shared" si="338"/>
        <v>7</v>
      </c>
      <c r="Z217" s="123">
        <v>166.31</v>
      </c>
      <c r="AA217" s="102">
        <f t="shared" si="339"/>
        <v>6.1599999999998545</v>
      </c>
      <c r="AB217" s="102">
        <f t="shared" si="340"/>
        <v>43.329999999999927</v>
      </c>
      <c r="AC217" s="124">
        <v>161</v>
      </c>
      <c r="AD217" s="155">
        <f t="shared" si="341"/>
        <v>43.329999999999927</v>
      </c>
      <c r="AE217" s="545">
        <f t="shared" si="342"/>
        <v>0.61706242398867461</v>
      </c>
      <c r="AF217" s="57">
        <f>IF($AC217="",#N/A,SUM(AD$4:AD217))</f>
        <v>-29.910219110828166</v>
      </c>
      <c r="AG217" s="102">
        <f t="shared" si="343"/>
        <v>37.170000000000073</v>
      </c>
      <c r="AH217" s="102" t="s">
        <v>2507</v>
      </c>
      <c r="AI217" s="65">
        <f t="shared" si="344"/>
        <v>8.7724544928921122E-2</v>
      </c>
      <c r="AJ217" s="350">
        <f>IF(AI217="",#N/A,SUM($AI$4:AI217))</f>
        <v>5.5932162604368729</v>
      </c>
      <c r="AK217" s="144">
        <f t="shared" si="345"/>
        <v>6.1599999999998545</v>
      </c>
      <c r="AL217" s="349">
        <f>IF(AI217="",#N/A,IF(AH217="Skip",SUM($AK$4:AK217),SUM($AK$4:AK217)))</f>
        <v>134.10759149281421</v>
      </c>
      <c r="AM217" s="65">
        <f t="shared" si="428"/>
        <v>0.61706242398867461</v>
      </c>
      <c r="AN217" s="209"/>
      <c r="AO217" s="65" t="str">
        <f t="shared" si="346"/>
        <v/>
      </c>
      <c r="AP217" s="65">
        <f>IF($AC217="",#N/A,SUM(AO$4:AO217))</f>
        <v>3.2052798314782653</v>
      </c>
      <c r="AQ217" s="65" t="str">
        <f t="shared" si="347"/>
        <v/>
      </c>
      <c r="AR217" s="65">
        <f>IF($AC217="",#N/A,SUM(AQ$4:AQ217))</f>
        <v>-2.4311962030043777</v>
      </c>
      <c r="AS217" s="65">
        <f t="shared" si="348"/>
        <v>0.61706242398867461</v>
      </c>
      <c r="AT217" s="65">
        <f>IF($AC217="",#N/A,SUM(AS$4:AS217))</f>
        <v>-7.4978079898883943E-2</v>
      </c>
      <c r="AU217" s="57" t="str">
        <f t="shared" si="429"/>
        <v/>
      </c>
      <c r="AV217" s="57">
        <f>IF($AC217="",#N/A,SUM(AU$4:AU217))</f>
        <v>85.211399342838945</v>
      </c>
      <c r="AW217" s="57" t="str">
        <f t="shared" si="430"/>
        <v/>
      </c>
      <c r="AX217" s="57">
        <f>IF($AC217="",#N/A,SUM(AW$4:AW217))</f>
        <v>-151.49</v>
      </c>
      <c r="AY217" s="57">
        <f t="shared" si="431"/>
        <v>43.329999999999927</v>
      </c>
      <c r="AZ217" s="57">
        <f>IF($AC217="",#N/A,SUM(AY$4:AY217))</f>
        <v>36.368381546332898</v>
      </c>
      <c r="BA217" s="57">
        <f>IF(AD217="",#N/A,SUM($AD$4:AD217))</f>
        <v>-29.910219110828166</v>
      </c>
      <c r="BC217" s="51" t="str">
        <f t="shared" si="349"/>
        <v/>
      </c>
      <c r="BD217" s="51" t="str">
        <f t="shared" si="350"/>
        <v/>
      </c>
      <c r="BE217" s="51" t="str">
        <f t="shared" si="351"/>
        <v/>
      </c>
      <c r="BF217" s="51" t="str">
        <f t="shared" si="352"/>
        <v>Short</v>
      </c>
      <c r="BG217" s="51">
        <f t="shared" si="353"/>
        <v>1</v>
      </c>
      <c r="BH217" s="51" t="str">
        <f t="shared" si="354"/>
        <v/>
      </c>
      <c r="BI217" s="51" t="str">
        <f t="shared" si="355"/>
        <v/>
      </c>
      <c r="BK217" s="65">
        <f t="shared" si="326"/>
        <v>0.14904533662315628</v>
      </c>
      <c r="BL217" s="65">
        <f t="shared" si="325"/>
        <v>6.0733001189149788E-2</v>
      </c>
      <c r="BM217" s="65">
        <f>IFERROR(Q217/COUNTA($J$4:J217),#N/A)</f>
        <v>4.233988257861291E-2</v>
      </c>
      <c r="BO217" s="489" t="e">
        <f>IF(J217="",#N/A,IF(S217="SW",(COUNTIFS(K$4:$K217,"&gt;0",S$4:$S217,"SW")/COUNTIF(S$4:$S217,"SW")),#N/A))</f>
        <v>#N/A</v>
      </c>
      <c r="BP217" s="489">
        <f>IF($J217="",#N/A,IF($S217="DWN",(COUNTIFS($K$4:$K217,"&lt;0",$S$4:$S217,"DWN")/COUNTIF($S$4:$S217,"DWN")),#N/A))</f>
        <v>0.57777777777777772</v>
      </c>
      <c r="BQ217" s="489" t="e">
        <f>IF($J217="",#N/A,IF($S217="UP",(COUNTIFS($K$4:$K217,"&gt;0",$S$4:$S217,"UP")/COUNTIF($S$4:$S217,"UP")),#N/A))</f>
        <v>#N/A</v>
      </c>
      <c r="BR217" s="489">
        <f>IF(J217="",#N/A,COUNTIF($K$4:K217,"&gt;0")/COUNT($J$4:J217))</f>
        <v>0.45794392523364486</v>
      </c>
      <c r="BS217" s="65" t="str">
        <f t="shared" si="356"/>
        <v/>
      </c>
      <c r="BT217" s="65" t="str">
        <f t="shared" si="357"/>
        <v/>
      </c>
      <c r="BU217" s="65">
        <f t="shared" si="358"/>
        <v>8.7724544928921122E-2</v>
      </c>
      <c r="BV217" s="65" t="str">
        <f t="shared" si="359"/>
        <v/>
      </c>
      <c r="BW217" s="127" t="str">
        <f t="shared" si="360"/>
        <v/>
      </c>
      <c r="BX217" s="127">
        <f>IF($J217="",#N/A,SUM($BW$4:BW217))</f>
        <v>-233.61000000000035</v>
      </c>
      <c r="BY217" s="130">
        <f t="shared" si="361"/>
        <v>6.1599999999998545</v>
      </c>
      <c r="BZ217" s="130">
        <f>IF($J217="",#N/A,SUM($BY$4:BY217))</f>
        <v>490.22934038933431</v>
      </c>
      <c r="CA217" s="132" t="str">
        <f t="shared" si="362"/>
        <v/>
      </c>
      <c r="CB217" s="132">
        <f>IF($J217="",#N/A,SUM($CA$4:CA217))</f>
        <v>114.82931161983473</v>
      </c>
      <c r="CC217" s="197" t="str">
        <f t="shared" si="363"/>
        <v/>
      </c>
      <c r="CD217" s="197">
        <f>IF($J217="",#N/A,SUM($CC$4:CC217))</f>
        <v>-3.6771575581780365</v>
      </c>
      <c r="CE217" s="198">
        <f t="shared" si="364"/>
        <v>8.7724544928921122E-2</v>
      </c>
      <c r="CF217" s="198">
        <f>IF($J217="",#N/A,SUM($CE$4:CE217))</f>
        <v>8.5229617316065465</v>
      </c>
      <c r="CG217" s="199" t="str">
        <f t="shared" si="365"/>
        <v/>
      </c>
      <c r="CH217" s="199">
        <f>IF($J217="",#N/A,SUM($CG$4:CG217))</f>
        <v>4.2149306983946628</v>
      </c>
      <c r="CI217" s="200" t="str">
        <f t="shared" si="366"/>
        <v/>
      </c>
      <c r="CJ217" s="206">
        <f>IF($J217="",#N/A,SUM(CI$4:CI217))</f>
        <v>0</v>
      </c>
      <c r="CK217" s="207" t="str">
        <f t="shared" si="367"/>
        <v/>
      </c>
      <c r="CL217" s="207">
        <f>IF($J217="",#N/A,SUM(CK$4:CK217))</f>
        <v>1.9927003554442289</v>
      </c>
      <c r="CM217" s="208" t="str">
        <f t="shared" si="368"/>
        <v/>
      </c>
      <c r="CN217" s="208">
        <f>IF($J217="",#N/A,SUM(CM$4:CM217))</f>
        <v>5.6091171609382364</v>
      </c>
      <c r="CO217" s="208">
        <f>IF($J217="",#N/A,SUM(CM$4:CM217,CK$4:CK217,CI$4:CI217))</f>
        <v>7.6018175163824644</v>
      </c>
      <c r="CP217" s="200" t="str">
        <f t="shared" si="369"/>
        <v/>
      </c>
      <c r="CQ217" s="206">
        <f>IF($J217="",#N/A,SUM(CP$4:CP217))</f>
        <v>0</v>
      </c>
      <c r="CR217" s="207" t="str">
        <f t="shared" si="370"/>
        <v/>
      </c>
      <c r="CS217" s="207">
        <f>IF($J217="",#N/A,SUM(CR$4:CR217))</f>
        <v>4.2989225684455388</v>
      </c>
      <c r="CT217" s="208" t="str">
        <f t="shared" si="371"/>
        <v/>
      </c>
      <c r="CU217" s="208">
        <f>IF($J217="",#N/A,SUM(CT$4:CT217))</f>
        <v>-1.1331655471946371</v>
      </c>
      <c r="CV217" s="208">
        <f>IF($J217="",#N/A,SUM(CT$4:CT217,CR$4:CR217,CP$4:CP217))</f>
        <v>3.1657570212509012</v>
      </c>
      <c r="CW217" s="200" t="str">
        <f t="shared" si="372"/>
        <v/>
      </c>
      <c r="CX217" s="206">
        <f>IF($J217="",#N/A,SUM(CW$4:CW217))</f>
        <v>-0.33865165024245297</v>
      </c>
      <c r="CY217" s="207" t="str">
        <f t="shared" si="373"/>
        <v/>
      </c>
      <c r="CZ217" s="207">
        <f>IF($J217="",#N/A,SUM(CY$4:CY217))</f>
        <v>-1.0974100761627814</v>
      </c>
      <c r="DA217" s="208" t="str">
        <f t="shared" si="374"/>
        <v/>
      </c>
      <c r="DB217" s="208">
        <f>IF($J217="",#N/A,SUM(DA$4:DA217))</f>
        <v>-2.2679577914291</v>
      </c>
      <c r="DC217" s="208">
        <f>IF($J217="",#N/A,SUM(DA$4:DA217,CY$4:CY217,CW$4:CW217))</f>
        <v>-3.7040195178343338</v>
      </c>
      <c r="DD217" s="200" t="str">
        <f t="shared" si="375"/>
        <v/>
      </c>
      <c r="DE217" s="206">
        <f>IF($J217="",#N/A,SUM(DD$4:DD217))</f>
        <v>0.14968716170674062</v>
      </c>
      <c r="DF217" s="207">
        <f t="shared" si="376"/>
        <v>8.7724544928921122E-2</v>
      </c>
      <c r="DG217" s="207">
        <f>IF($J217="",#N/A,SUM(DF$4:DF217))</f>
        <v>1.5249935139936004</v>
      </c>
      <c r="DH217" s="208" t="str">
        <f t="shared" si="377"/>
        <v/>
      </c>
      <c r="DI217" s="208">
        <f>IF($J217="",#N/A,SUM(DH$4:DH217))</f>
        <v>-1.9066052078694633</v>
      </c>
      <c r="DJ217" s="208">
        <f>IF($J217="",#N/A,SUM(DH$4:DH217,DF$4:DF217,DD$4:DD217))</f>
        <v>-0.23192453216912207</v>
      </c>
      <c r="DK217" s="200" t="str">
        <f t="shared" si="378"/>
        <v/>
      </c>
      <c r="DL217" s="206">
        <f>IF($J217="",#N/A,SUM(DK$4:DK217))</f>
        <v>-1.2097286851272664</v>
      </c>
      <c r="DM217" s="207" t="str">
        <f t="shared" si="379"/>
        <v/>
      </c>
      <c r="DN217" s="207">
        <f>IF($J217="",#N/A,SUM(DM$4:DM217))</f>
        <v>1.1910608267574658</v>
      </c>
      <c r="DO217" s="208" t="str">
        <f t="shared" si="380"/>
        <v/>
      </c>
      <c r="DP217" s="208">
        <f>IF($J217="",#N/A,SUM(DO$4:DO217))</f>
        <v>2.6571865116636566</v>
      </c>
      <c r="DQ217" s="208">
        <f>IF($J217="",#N/A,SUM(DO$4:DO217,DM$4:DM217,DK$4:DK217))</f>
        <v>2.6385186532938567</v>
      </c>
      <c r="DR217" s="200" t="str">
        <f t="shared" si="381"/>
        <v/>
      </c>
      <c r="DS217" s="206">
        <f>IF($J217="",#N/A,SUM(DR$4:DR217))</f>
        <v>-0.55950946427675097</v>
      </c>
      <c r="DT217" s="207" t="str">
        <f t="shared" si="382"/>
        <v/>
      </c>
      <c r="DU217" s="207">
        <f>IF($J217="",#N/A,SUM(DT$4:DT217))</f>
        <v>-3.6911249040845173</v>
      </c>
      <c r="DV217" s="208" t="str">
        <f t="shared" si="383"/>
        <v/>
      </c>
      <c r="DW217" s="208">
        <f>IF($J217="",#N/A,SUM(DV$4:DV217))</f>
        <v>-1.2815650893103838</v>
      </c>
      <c r="DX217" s="208">
        <f>IF($J217="",#N/A,SUM(DV$4:DV217,DT$4:DT217,DR$4:DR217))</f>
        <v>-5.532199457671652</v>
      </c>
      <c r="DY217" s="200" t="str">
        <f t="shared" si="384"/>
        <v/>
      </c>
      <c r="DZ217" s="206">
        <f>IF($J217="",#N/A,SUM(DY$4:DY217))</f>
        <v>-1.63480022183437</v>
      </c>
      <c r="EA217" s="207" t="str">
        <f t="shared" si="385"/>
        <v/>
      </c>
      <c r="EB217" s="207">
        <f>IF($J217="",#N/A,SUM(EA$4:EA217))</f>
        <v>0.65158371441459195</v>
      </c>
      <c r="EC217" s="208" t="str">
        <f t="shared" si="386"/>
        <v/>
      </c>
      <c r="ED217" s="208">
        <f>IF($J217="",#N/A,SUM(EC$4:EC217))</f>
        <v>3.0210456505626468</v>
      </c>
      <c r="EE217" s="208">
        <f>IF($J217="",#N/A,SUM(EC$4:EC217,EA$4:EA217,DY$4:DY217))</f>
        <v>2.0378291431428677</v>
      </c>
      <c r="EF217" s="200" t="str">
        <f t="shared" si="387"/>
        <v/>
      </c>
      <c r="EG217" s="206">
        <f>IF($J217="",#N/A,SUM(EF$4:EF217))</f>
        <v>-0.15098969023521425</v>
      </c>
      <c r="EH217" s="207" t="str">
        <f t="shared" si="388"/>
        <v/>
      </c>
      <c r="EI217" s="207">
        <f>IF($J217="",#N/A,SUM(EH$4:EH217))</f>
        <v>-2.6267690330909645</v>
      </c>
      <c r="EJ217" s="208" t="str">
        <f t="shared" si="389"/>
        <v/>
      </c>
      <c r="EK217" s="208">
        <f>IF($J217="",#N/A,SUM(EJ$4:EJ217))</f>
        <v>3.1548820132559188</v>
      </c>
      <c r="EL217" s="208">
        <f>IF($J217="",#N/A,SUM(EJ$4:EJ217,EH$4:EH217,EF$4:EF217))</f>
        <v>0.37712328992974087</v>
      </c>
      <c r="EM217" s="200" t="str">
        <f t="shared" si="390"/>
        <v/>
      </c>
      <c r="EN217" s="206">
        <f>IF($J217="",#N/A,SUM(EM$4:EM217))</f>
        <v>0</v>
      </c>
      <c r="EO217" s="207" t="str">
        <f t="shared" si="391"/>
        <v/>
      </c>
      <c r="EP217" s="207">
        <f>IF($J217="",#N/A,SUM(EO$4:EO217))</f>
        <v>3.2406646352184261</v>
      </c>
      <c r="EQ217" s="208" t="str">
        <f t="shared" si="392"/>
        <v/>
      </c>
      <c r="ER217" s="208">
        <f>IF($J217="",#N/A,SUM(EQ$4:EQ217))</f>
        <v>1.441536272249796</v>
      </c>
      <c r="ES217" s="208">
        <f>IF($J217="",#N/A,SUM(EQ$4:EQ217,EO$4:EO217,EM$4:EM217))</f>
        <v>4.6822009074682214</v>
      </c>
      <c r="ET217" s="200" t="str">
        <f t="shared" si="393"/>
        <v/>
      </c>
      <c r="EU217" s="206">
        <f>IF($J217="",#N/A,SUM(ET$4:ET217))</f>
        <v>0</v>
      </c>
      <c r="EV217" s="207" t="str">
        <f t="shared" si="394"/>
        <v/>
      </c>
      <c r="EW217" s="207">
        <f>IF($J217="",#N/A,SUM(EV$4:EV217))</f>
        <v>1.9901851109977766</v>
      </c>
      <c r="EX217" s="208" t="str">
        <f t="shared" si="395"/>
        <v/>
      </c>
      <c r="EY217" s="208">
        <f>IF($J217="",#N/A,SUM(EX$4:EX217))</f>
        <v>-9.038537462898949E-2</v>
      </c>
      <c r="EZ217" s="208">
        <f>IF($J217="",#N/A,SUM(EX$4:EX217,EV$4:EV217,ET$4:ET217))</f>
        <v>1.8997997363687871</v>
      </c>
      <c r="FA217" s="200" t="str">
        <f t="shared" si="396"/>
        <v/>
      </c>
      <c r="FB217" s="206">
        <f>IF($J217="",#N/A,SUM(FA$4:FA217))</f>
        <v>0</v>
      </c>
      <c r="FC217" s="207" t="str">
        <f t="shared" si="397"/>
        <v/>
      </c>
      <c r="FD217" s="207">
        <f>IF($J217="",#N/A,SUM(FC$4:FC217))</f>
        <v>1.6839191319663924</v>
      </c>
      <c r="FE217" s="208" t="str">
        <f t="shared" si="398"/>
        <v/>
      </c>
      <c r="FF217" s="208">
        <f>IF($J217="",#N/A,SUM(FE$4:FE217))</f>
        <v>-0.28811149078748233</v>
      </c>
      <c r="FG217" s="208">
        <f>IF($J217="",#N/A,SUM(FE$4:FE217,FC$4:FC217,FA$4:FA217))</f>
        <v>1.3958076411789102</v>
      </c>
      <c r="FH217" s="200" t="str">
        <f t="shared" si="399"/>
        <v/>
      </c>
      <c r="FI217" s="206">
        <f>IF($J217="",#N/A,SUM(FH$4:FH217))</f>
        <v>0</v>
      </c>
      <c r="FJ217" s="207" t="str">
        <f t="shared" si="400"/>
        <v/>
      </c>
      <c r="FK217" s="207">
        <f>IF($J217="",#N/A,SUM(FJ$4:FJ217))</f>
        <v>0</v>
      </c>
      <c r="FL217" s="208" t="str">
        <f t="shared" si="401"/>
        <v/>
      </c>
      <c r="FM217" s="208">
        <f>IF($J217="",#N/A,SUM(FL$4:FL217))</f>
        <v>0</v>
      </c>
      <c r="FN217" s="208">
        <f>IF($J217="",#N/A,SUM(FL$4:FL217,FJ$4:FJ217,FH$4:FH217))</f>
        <v>0</v>
      </c>
      <c r="FO217" s="200" t="str">
        <f t="shared" si="402"/>
        <v/>
      </c>
      <c r="FP217" s="206">
        <f>IF($J217="",#N/A,SUM(FO$4:FO217))</f>
        <v>0</v>
      </c>
      <c r="FQ217" s="207" t="str">
        <f t="shared" si="403"/>
        <v/>
      </c>
      <c r="FR217" s="207">
        <f>IF($J217="",#N/A,SUM(FQ$4:FQ217))</f>
        <v>0</v>
      </c>
      <c r="FS217" s="208" t="str">
        <f t="shared" si="404"/>
        <v/>
      </c>
      <c r="FT217" s="208">
        <f>IF($J217="",#N/A,SUM(FS$4:FS217))</f>
        <v>0</v>
      </c>
      <c r="FU217" s="208">
        <f>IF($J217="",#N/A,SUM(FS$4:FS217,FQ$4:FQ217,FO$4:FO217))</f>
        <v>0</v>
      </c>
      <c r="FV217" s="200" t="str">
        <f t="shared" si="405"/>
        <v/>
      </c>
      <c r="FW217" s="206">
        <f>IF($J217="",#N/A,SUM(FV$4:FV217))</f>
        <v>6.6834991831277585E-2</v>
      </c>
      <c r="FX217" s="207" t="str">
        <f t="shared" si="406"/>
        <v/>
      </c>
      <c r="FY217" s="207">
        <f>IF($J217="",#N/A,SUM(FX$4:FX217))</f>
        <v>-0.16102012791805576</v>
      </c>
      <c r="FZ217" s="208" t="str">
        <f t="shared" si="407"/>
        <v/>
      </c>
      <c r="GA217" s="208">
        <f>IF($J217="",#N/A,SUM(FZ$4:FZ217))</f>
        <v>-1.7642101813332194</v>
      </c>
      <c r="GB217" s="208">
        <f>IF($J217="",#N/A,SUM(FZ$4:FZ217,FX$4:FX217,FV$4:FV217))</f>
        <v>-1.8583953174199976</v>
      </c>
      <c r="GC217" s="200" t="str">
        <f t="shared" si="408"/>
        <v/>
      </c>
      <c r="GD217" s="206">
        <f>IF($J217="",#N/A,SUM(GC$4:GC217))</f>
        <v>0</v>
      </c>
      <c r="GE217" s="207" t="str">
        <f t="shared" si="409"/>
        <v/>
      </c>
      <c r="GF217" s="207">
        <f>IF($J217="",#N/A,SUM(GE$4:GE217))</f>
        <v>0</v>
      </c>
      <c r="GG217" s="208" t="str">
        <f t="shared" si="410"/>
        <v/>
      </c>
      <c r="GH217" s="208">
        <f>IF($J217="",#N/A,SUM(GG$4:GG217))</f>
        <v>-2.9368362277223206</v>
      </c>
      <c r="GI217" s="208">
        <f>IF($J217="",#N/A,SUM(GG$4:GG217,GE$4:GE217,GC$4:GC217))</f>
        <v>-2.9368362277223206</v>
      </c>
      <c r="GJ217" s="200" t="str">
        <f t="shared" si="411"/>
        <v/>
      </c>
      <c r="GK217" s="206">
        <f>IF($J217="",#N/A,SUM(GJ$4:GJ217))</f>
        <v>0</v>
      </c>
      <c r="GL217" s="207" t="str">
        <f t="shared" si="412"/>
        <v/>
      </c>
      <c r="GM217" s="207">
        <f>IF($J217="",#N/A,SUM(GL$4:GL217))</f>
        <v>-0.80168930905701452</v>
      </c>
      <c r="GN217" s="208" t="str">
        <f t="shared" si="413"/>
        <v/>
      </c>
      <c r="GO217" s="208">
        <f>IF($J217="",#N/A,SUM(GN$4:GN217))</f>
        <v>0</v>
      </c>
      <c r="GP217" s="208">
        <f>IF($J217="",#N/A,SUM(GN$4:GN217,GL$4:GL217,GJ$4:GJ217))</f>
        <v>-0.80168930905701452</v>
      </c>
      <c r="GS217" s="54">
        <f t="shared" si="432"/>
        <v>8.7724544928921122E-2</v>
      </c>
      <c r="GT217" s="54">
        <f>IF(GS217="",NA(),SUM($GS$4:GS217))</f>
        <v>3.3115243414787585</v>
      </c>
      <c r="GU217" s="54" t="str">
        <f t="shared" si="414"/>
        <v/>
      </c>
      <c r="GV217" s="54" t="e">
        <f>IF(GU217="",NA(),SUM($GU$4:GU217))</f>
        <v>#N/A</v>
      </c>
      <c r="GW217" s="54" t="str">
        <f t="shared" si="415"/>
        <v/>
      </c>
      <c r="GX217" s="54" t="e">
        <f>IF(GW217="",NA(),SUM($GW$4:GW217))</f>
        <v>#N/A</v>
      </c>
      <c r="GY217" s="54">
        <f t="shared" si="416"/>
        <v>8.7724544928921122E-2</v>
      </c>
      <c r="GZ217" s="54">
        <f>IF(GY217="",NA(),SUM($GY$4:GY217))</f>
        <v>3.1376436962106959</v>
      </c>
      <c r="HA217" s="54" t="str">
        <f t="shared" si="417"/>
        <v/>
      </c>
      <c r="HB217" s="54" t="e">
        <f>IF(HA217="",NA(),SUM($HA$4:HA217))</f>
        <v>#N/A</v>
      </c>
      <c r="HC217" s="54" t="str">
        <f t="shared" si="418"/>
        <v/>
      </c>
      <c r="HD217" s="54" t="e">
        <f>IF(HC217="",NA(),SUM($HC$4:HC217))</f>
        <v>#N/A</v>
      </c>
      <c r="HE217" s="54" t="str">
        <f t="shared" si="419"/>
        <v/>
      </c>
      <c r="HF217" s="54" t="e">
        <f>IF(HE217="",NA(),SUM($HE$4:HE217))</f>
        <v>#N/A</v>
      </c>
      <c r="HG217" s="54" t="str">
        <f t="shared" si="420"/>
        <v/>
      </c>
      <c r="HH217" s="54" t="e">
        <f>IF(HG217="",NA(),SUM($HG$4:HG217))</f>
        <v>#N/A</v>
      </c>
      <c r="HI217" s="172">
        <f t="shared" si="433"/>
        <v>0.52933787905975349</v>
      </c>
      <c r="HJ217" s="172">
        <f>IF($J217="",#N/A,SUM(HI$4:$HI217))</f>
        <v>-6.9851232007321853</v>
      </c>
      <c r="HK217" s="54" t="str">
        <f t="shared" si="421"/>
        <v/>
      </c>
      <c r="HL217" s="54">
        <f>IF($J217="",#N/A,SUM($HK$4:HK217))</f>
        <v>-1.61281661077324</v>
      </c>
      <c r="HM217" s="54" t="str">
        <f t="shared" si="422"/>
        <v/>
      </c>
      <c r="HN217" s="54">
        <f>IF($J217="",#N/A,SUM($HM$4:HM217))</f>
        <v>0.71812545963587882</v>
      </c>
      <c r="HO217" s="54" t="str">
        <f t="shared" si="423"/>
        <v/>
      </c>
      <c r="HP217" s="54">
        <f>IF($J217="",#N/A,SUM($HO$4:HO217))</f>
        <v>0.52783589553778021</v>
      </c>
      <c r="HQ217" s="54" t="str">
        <f t="shared" si="424"/>
        <v/>
      </c>
      <c r="HR217" s="54">
        <f>IF($J217="",#N/A,SUM($HQ$4:HQ217))</f>
        <v>-13.365566947172198</v>
      </c>
      <c r="HS217" s="54" t="str">
        <f t="shared" si="425"/>
        <v/>
      </c>
      <c r="HT217" s="54">
        <f>IF($J217="",#N/A,SUM($HS$4:HS217))</f>
        <v>12.355916080255803</v>
      </c>
      <c r="HU217" s="65">
        <f t="shared" si="426"/>
        <v>0.61706242398867461</v>
      </c>
      <c r="HV217" s="65">
        <f>IF($J217="",#N/A,SUM(HU$4:$HU217))</f>
        <v>0.69910554857500662</v>
      </c>
    </row>
    <row r="218" spans="1:230" x14ac:dyDescent="0.25">
      <c r="A218" s="51" t="s">
        <v>1571</v>
      </c>
      <c r="B218" s="52" t="s">
        <v>4544</v>
      </c>
      <c r="C218" s="229">
        <f t="shared" si="327"/>
        <v>2</v>
      </c>
      <c r="D218" s="219" t="str">
        <f>_xlfn.XLOOKUP(A218,[1]SP500!$A$2:$A$502,[1]SP500!$D$2:$D$502,"N")</f>
        <v>Y</v>
      </c>
      <c r="E218" s="51" t="str">
        <f>IFERROR(_xlfn.XLOOKUP(A218,[1]SP500!$A$2:$A$655,[1]SP500!$B$2:$B$655),"")</f>
        <v>XLY</v>
      </c>
      <c r="F218" s="290">
        <v>45778</v>
      </c>
      <c r="G218" s="51" t="str">
        <f t="shared" si="328"/>
        <v>BMO</v>
      </c>
      <c r="H218" s="51" t="str">
        <f t="shared" si="329"/>
        <v>s</v>
      </c>
      <c r="I218" s="344">
        <v>57.06</v>
      </c>
      <c r="J218" s="124">
        <v>55.2</v>
      </c>
      <c r="K218" s="55">
        <f t="shared" si="330"/>
        <v>-3.2597266035751832E-2</v>
      </c>
      <c r="L218" s="67">
        <f t="shared" si="331"/>
        <v>37.200000000000045</v>
      </c>
      <c r="M218" s="57">
        <f t="shared" si="332"/>
        <v>0</v>
      </c>
      <c r="N218" s="147">
        <f t="shared" si="333"/>
        <v>37.200000000000045</v>
      </c>
      <c r="O218" s="57">
        <f>IF(N218="",#N/A,SUM($N$4:N218))</f>
        <v>408.6486520091687</v>
      </c>
      <c r="P218" s="65">
        <f t="shared" si="427"/>
        <v>0.54328776726253136</v>
      </c>
      <c r="Q218" s="172">
        <f>IF($N218="",#N/A,SUM($P$4:P218))</f>
        <v>9.6040226390856951</v>
      </c>
      <c r="R218" s="279">
        <f t="shared" si="334"/>
        <v>3.467518611386291</v>
      </c>
      <c r="S218" s="51" t="str">
        <f t="shared" si="335"/>
        <v>Dwn</v>
      </c>
      <c r="T218" s="51" t="s">
        <v>4462</v>
      </c>
      <c r="U218" s="56">
        <f t="shared" si="336"/>
        <v>57.06</v>
      </c>
      <c r="V218" s="56" t="s">
        <v>4458</v>
      </c>
      <c r="W218" s="142">
        <v>20</v>
      </c>
      <c r="X218" s="145">
        <f t="shared" si="337"/>
        <v>1141.2</v>
      </c>
      <c r="Y218" s="140">
        <f t="shared" si="338"/>
        <v>20</v>
      </c>
      <c r="Z218" s="123">
        <v>55.2</v>
      </c>
      <c r="AA218" s="102">
        <f t="shared" si="339"/>
        <v>37.200000000000045</v>
      </c>
      <c r="AB218" s="102">
        <f t="shared" si="340"/>
        <v>2</v>
      </c>
      <c r="AC218" s="124">
        <v>56.96</v>
      </c>
      <c r="AD218" s="155">
        <f t="shared" si="341"/>
        <v>2</v>
      </c>
      <c r="AE218" s="545">
        <f t="shared" si="342"/>
        <v>2.9209019745297351E-2</v>
      </c>
      <c r="AF218" s="57">
        <f>IF($AC218="",#N/A,SUM(AD$4:AD218))</f>
        <v>-27.910219110828166</v>
      </c>
      <c r="AG218" s="102">
        <f t="shared" si="343"/>
        <v>-35.200000000000045</v>
      </c>
      <c r="AH218" s="102" t="s">
        <v>2507</v>
      </c>
      <c r="AI218" s="65">
        <f t="shared" si="344"/>
        <v>0.54328776726253136</v>
      </c>
      <c r="AJ218" s="350">
        <f>IF(AI218="",#N/A,SUM($AI$4:AI218))</f>
        <v>6.1365040276994041</v>
      </c>
      <c r="AK218" s="144">
        <f t="shared" si="345"/>
        <v>37.200000000000045</v>
      </c>
      <c r="AL218" s="349">
        <f>IF(AI218="",#N/A,IF(AH218="Skip",SUM($AK$4:AK218),SUM($AK$4:AK218)))</f>
        <v>171.30759149281425</v>
      </c>
      <c r="AM218" s="65">
        <f t="shared" si="428"/>
        <v>2.9209019745297351E-2</v>
      </c>
      <c r="AN218" s="209"/>
      <c r="AO218" s="65" t="str">
        <f t="shared" si="346"/>
        <v/>
      </c>
      <c r="AP218" s="65">
        <f>IF($AC218="",#N/A,SUM(AO$4:AO218))</f>
        <v>3.2052798314782653</v>
      </c>
      <c r="AQ218" s="65" t="str">
        <f t="shared" si="347"/>
        <v/>
      </c>
      <c r="AR218" s="65">
        <f>IF($AC218="",#N/A,SUM(AQ$4:AQ218))</f>
        <v>-2.4311962030043777</v>
      </c>
      <c r="AS218" s="65">
        <f t="shared" si="348"/>
        <v>2.9209019745297351E-2</v>
      </c>
      <c r="AT218" s="65">
        <f>IF($AC218="",#N/A,SUM(AS$4:AS218))</f>
        <v>-4.5769060153586588E-2</v>
      </c>
      <c r="AU218" s="57" t="str">
        <f t="shared" si="429"/>
        <v/>
      </c>
      <c r="AV218" s="57">
        <f>IF($AC218="",#N/A,SUM(AU$4:AU218))</f>
        <v>85.211399342838945</v>
      </c>
      <c r="AW218" s="57" t="str">
        <f t="shared" si="430"/>
        <v/>
      </c>
      <c r="AX218" s="57">
        <f>IF($AC218="",#N/A,SUM(AW$4:AW218))</f>
        <v>-151.49</v>
      </c>
      <c r="AY218" s="57">
        <f t="shared" si="431"/>
        <v>2</v>
      </c>
      <c r="AZ218" s="57">
        <f>IF($AC218="",#N/A,SUM(AY$4:AY218))</f>
        <v>38.368381546332898</v>
      </c>
      <c r="BA218" s="57">
        <f>IF(AD218="",#N/A,SUM($AD$4:AD218))</f>
        <v>-27.910219110828166</v>
      </c>
      <c r="BC218" s="51" t="str">
        <f t="shared" si="349"/>
        <v/>
      </c>
      <c r="BD218" s="51" t="str">
        <f t="shared" si="350"/>
        <v/>
      </c>
      <c r="BE218" s="51" t="str">
        <f t="shared" si="351"/>
        <v/>
      </c>
      <c r="BF218" s="51" t="str">
        <f t="shared" si="352"/>
        <v>Short</v>
      </c>
      <c r="BG218" s="51">
        <f t="shared" si="353"/>
        <v>1</v>
      </c>
      <c r="BH218" s="51" t="str">
        <f t="shared" si="354"/>
        <v/>
      </c>
      <c r="BI218" s="51" t="str">
        <f t="shared" si="355"/>
        <v/>
      </c>
      <c r="BK218" s="65">
        <f t="shared" si="326"/>
        <v>0.14051128813560174</v>
      </c>
      <c r="BL218" s="65">
        <f t="shared" si="325"/>
        <v>5.5110951844356111E-2</v>
      </c>
      <c r="BM218" s="65">
        <f>IFERROR(Q218/COUNTA($J$4:J218),#N/A)</f>
        <v>4.4669872739933468E-2</v>
      </c>
      <c r="BO218" s="489" t="e">
        <f>IF(J218="",#N/A,IF(S218="SW",(COUNTIFS(K$4:$K218,"&gt;0",S$4:$S218,"SW")/COUNTIF(S$4:$S218,"SW")),#N/A))</f>
        <v>#N/A</v>
      </c>
      <c r="BP218" s="489">
        <f>IF($J218="",#N/A,IF($S218="DWN",(COUNTIFS($K$4:$K218,"&lt;0",$S$4:$S218,"DWN")/COUNTIF($S$4:$S218,"DWN")),#N/A))</f>
        <v>0.58241758241758246</v>
      </c>
      <c r="BQ218" s="489" t="e">
        <f>IF($J218="",#N/A,IF($S218="UP",(COUNTIFS($K$4:$K218,"&gt;0",$S$4:$S218,"UP")/COUNTIF($S$4:$S218,"UP")),#N/A))</f>
        <v>#N/A</v>
      </c>
      <c r="BR218" s="489">
        <f>IF(J218="",#N/A,COUNTIF($K$4:K218,"&gt;0")/COUNT($J$4:J218))</f>
        <v>0.45581395348837211</v>
      </c>
      <c r="BS218" s="65" t="str">
        <f t="shared" si="356"/>
        <v/>
      </c>
      <c r="BT218" s="65" t="str">
        <f t="shared" si="357"/>
        <v/>
      </c>
      <c r="BU218" s="65">
        <f t="shared" si="358"/>
        <v>0.54328776726253136</v>
      </c>
      <c r="BV218" s="65" t="str">
        <f t="shared" si="359"/>
        <v/>
      </c>
      <c r="BW218" s="127" t="str">
        <f t="shared" si="360"/>
        <v/>
      </c>
      <c r="BX218" s="127">
        <f>IF($J218="",#N/A,SUM($BW$4:BW218))</f>
        <v>-233.61000000000035</v>
      </c>
      <c r="BY218" s="130">
        <f t="shared" si="361"/>
        <v>37.200000000000045</v>
      </c>
      <c r="BZ218" s="130">
        <f>IF($J218="",#N/A,SUM($BY$4:BY218))</f>
        <v>527.42934038933436</v>
      </c>
      <c r="CA218" s="132" t="str">
        <f t="shared" si="362"/>
        <v/>
      </c>
      <c r="CB218" s="132">
        <f>IF($J218="",#N/A,SUM($CA$4:CA218))</f>
        <v>114.82931161983473</v>
      </c>
      <c r="CC218" s="197" t="str">
        <f t="shared" si="363"/>
        <v/>
      </c>
      <c r="CD218" s="197">
        <f>IF($J218="",#N/A,SUM($CC$4:CC218))</f>
        <v>-3.6771575581780365</v>
      </c>
      <c r="CE218" s="198">
        <f t="shared" si="364"/>
        <v>0.54328776726253136</v>
      </c>
      <c r="CF218" s="198">
        <f>IF($J218="",#N/A,SUM($CE$4:CE218))</f>
        <v>9.0662494988690785</v>
      </c>
      <c r="CG218" s="199" t="str">
        <f t="shared" si="365"/>
        <v/>
      </c>
      <c r="CH218" s="199">
        <f>IF($J218="",#N/A,SUM($CG$4:CG218))</f>
        <v>4.2149306983946628</v>
      </c>
      <c r="CI218" s="200" t="str">
        <f t="shared" si="366"/>
        <v/>
      </c>
      <c r="CJ218" s="206">
        <f>IF($J218="",#N/A,SUM(CI$4:CI218))</f>
        <v>0</v>
      </c>
      <c r="CK218" s="207" t="str">
        <f t="shared" si="367"/>
        <v/>
      </c>
      <c r="CL218" s="207">
        <f>IF($J218="",#N/A,SUM(CK$4:CK218))</f>
        <v>1.9927003554442289</v>
      </c>
      <c r="CM218" s="208" t="str">
        <f t="shared" si="368"/>
        <v/>
      </c>
      <c r="CN218" s="208">
        <f>IF($J218="",#N/A,SUM(CM$4:CM218))</f>
        <v>5.6091171609382364</v>
      </c>
      <c r="CO218" s="208">
        <f>IF($J218="",#N/A,SUM(CM$4:CM218,CK$4:CK218,CI$4:CI218))</f>
        <v>7.6018175163824644</v>
      </c>
      <c r="CP218" s="200" t="str">
        <f t="shared" si="369"/>
        <v/>
      </c>
      <c r="CQ218" s="206">
        <f>IF($J218="",#N/A,SUM(CP$4:CP218))</f>
        <v>0</v>
      </c>
      <c r="CR218" s="207" t="str">
        <f t="shared" si="370"/>
        <v/>
      </c>
      <c r="CS218" s="207">
        <f>IF($J218="",#N/A,SUM(CR$4:CR218))</f>
        <v>4.2989225684455388</v>
      </c>
      <c r="CT218" s="208" t="str">
        <f t="shared" si="371"/>
        <v/>
      </c>
      <c r="CU218" s="208">
        <f>IF($J218="",#N/A,SUM(CT$4:CT218))</f>
        <v>-1.1331655471946371</v>
      </c>
      <c r="CV218" s="208">
        <f>IF($J218="",#N/A,SUM(CT$4:CT218,CR$4:CR218,CP$4:CP218))</f>
        <v>3.1657570212509012</v>
      </c>
      <c r="CW218" s="200" t="str">
        <f t="shared" si="372"/>
        <v/>
      </c>
      <c r="CX218" s="206">
        <f>IF($J218="",#N/A,SUM(CW$4:CW218))</f>
        <v>-0.33865165024245297</v>
      </c>
      <c r="CY218" s="207">
        <f t="shared" si="373"/>
        <v>0.54328776726253136</v>
      </c>
      <c r="CZ218" s="207">
        <f>IF($J218="",#N/A,SUM(CY$4:CY218))</f>
        <v>-0.55412230890025005</v>
      </c>
      <c r="DA218" s="208" t="str">
        <f t="shared" si="374"/>
        <v/>
      </c>
      <c r="DB218" s="208">
        <f>IF($J218="",#N/A,SUM(DA$4:DA218))</f>
        <v>-2.2679577914291</v>
      </c>
      <c r="DC218" s="208">
        <f>IF($J218="",#N/A,SUM(DA$4:DA218,CY$4:CY218,CW$4:CW218))</f>
        <v>-3.1607317505718027</v>
      </c>
      <c r="DD218" s="200" t="str">
        <f t="shared" si="375"/>
        <v/>
      </c>
      <c r="DE218" s="206">
        <f>IF($J218="",#N/A,SUM(DD$4:DD218))</f>
        <v>0.14968716170674062</v>
      </c>
      <c r="DF218" s="207" t="str">
        <f t="shared" si="376"/>
        <v/>
      </c>
      <c r="DG218" s="207">
        <f>IF($J218="",#N/A,SUM(DF$4:DF218))</f>
        <v>1.5249935139936004</v>
      </c>
      <c r="DH218" s="208" t="str">
        <f t="shared" si="377"/>
        <v/>
      </c>
      <c r="DI218" s="208">
        <f>IF($J218="",#N/A,SUM(DH$4:DH218))</f>
        <v>-1.9066052078694633</v>
      </c>
      <c r="DJ218" s="208">
        <f>IF($J218="",#N/A,SUM(DH$4:DH218,DF$4:DF218,DD$4:DD218))</f>
        <v>-0.23192453216912207</v>
      </c>
      <c r="DK218" s="200" t="str">
        <f t="shared" si="378"/>
        <v/>
      </c>
      <c r="DL218" s="206">
        <f>IF($J218="",#N/A,SUM(DK$4:DK218))</f>
        <v>-1.2097286851272664</v>
      </c>
      <c r="DM218" s="207" t="str">
        <f t="shared" si="379"/>
        <v/>
      </c>
      <c r="DN218" s="207">
        <f>IF($J218="",#N/A,SUM(DM$4:DM218))</f>
        <v>1.1910608267574658</v>
      </c>
      <c r="DO218" s="208" t="str">
        <f t="shared" si="380"/>
        <v/>
      </c>
      <c r="DP218" s="208">
        <f>IF($J218="",#N/A,SUM(DO$4:DO218))</f>
        <v>2.6571865116636566</v>
      </c>
      <c r="DQ218" s="208">
        <f>IF($J218="",#N/A,SUM(DO$4:DO218,DM$4:DM218,DK$4:DK218))</f>
        <v>2.6385186532938567</v>
      </c>
      <c r="DR218" s="200" t="str">
        <f t="shared" si="381"/>
        <v/>
      </c>
      <c r="DS218" s="206">
        <f>IF($J218="",#N/A,SUM(DR$4:DR218))</f>
        <v>-0.55950946427675097</v>
      </c>
      <c r="DT218" s="207" t="str">
        <f t="shared" si="382"/>
        <v/>
      </c>
      <c r="DU218" s="207">
        <f>IF($J218="",#N/A,SUM(DT$4:DT218))</f>
        <v>-3.6911249040845173</v>
      </c>
      <c r="DV218" s="208" t="str">
        <f t="shared" si="383"/>
        <v/>
      </c>
      <c r="DW218" s="208">
        <f>IF($J218="",#N/A,SUM(DV$4:DV218))</f>
        <v>-1.2815650893103838</v>
      </c>
      <c r="DX218" s="208">
        <f>IF($J218="",#N/A,SUM(DV$4:DV218,DT$4:DT218,DR$4:DR218))</f>
        <v>-5.532199457671652</v>
      </c>
      <c r="DY218" s="200" t="str">
        <f t="shared" si="384"/>
        <v/>
      </c>
      <c r="DZ218" s="206">
        <f>IF($J218="",#N/A,SUM(DY$4:DY218))</f>
        <v>-1.63480022183437</v>
      </c>
      <c r="EA218" s="207" t="str">
        <f t="shared" si="385"/>
        <v/>
      </c>
      <c r="EB218" s="207">
        <f>IF($J218="",#N/A,SUM(EA$4:EA218))</f>
        <v>0.65158371441459195</v>
      </c>
      <c r="EC218" s="208" t="str">
        <f t="shared" si="386"/>
        <v/>
      </c>
      <c r="ED218" s="208">
        <f>IF($J218="",#N/A,SUM(EC$4:EC218))</f>
        <v>3.0210456505626468</v>
      </c>
      <c r="EE218" s="208">
        <f>IF($J218="",#N/A,SUM(EC$4:EC218,EA$4:EA218,DY$4:DY218))</f>
        <v>2.0378291431428677</v>
      </c>
      <c r="EF218" s="200" t="str">
        <f t="shared" si="387"/>
        <v/>
      </c>
      <c r="EG218" s="206">
        <f>IF($J218="",#N/A,SUM(EF$4:EF218))</f>
        <v>-0.15098969023521425</v>
      </c>
      <c r="EH218" s="207" t="str">
        <f t="shared" si="388"/>
        <v/>
      </c>
      <c r="EI218" s="207">
        <f>IF($J218="",#N/A,SUM(EH$4:EH218))</f>
        <v>-2.6267690330909645</v>
      </c>
      <c r="EJ218" s="208" t="str">
        <f t="shared" si="389"/>
        <v/>
      </c>
      <c r="EK218" s="208">
        <f>IF($J218="",#N/A,SUM(EJ$4:EJ218))</f>
        <v>3.1548820132559188</v>
      </c>
      <c r="EL218" s="208">
        <f>IF($J218="",#N/A,SUM(EJ$4:EJ218,EH$4:EH218,EF$4:EF218))</f>
        <v>0.37712328992974087</v>
      </c>
      <c r="EM218" s="200" t="str">
        <f t="shared" si="390"/>
        <v/>
      </c>
      <c r="EN218" s="206">
        <f>IF($J218="",#N/A,SUM(EM$4:EM218))</f>
        <v>0</v>
      </c>
      <c r="EO218" s="207" t="str">
        <f t="shared" si="391"/>
        <v/>
      </c>
      <c r="EP218" s="207">
        <f>IF($J218="",#N/A,SUM(EO$4:EO218))</f>
        <v>3.2406646352184261</v>
      </c>
      <c r="EQ218" s="208" t="str">
        <f t="shared" si="392"/>
        <v/>
      </c>
      <c r="ER218" s="208">
        <f>IF($J218="",#N/A,SUM(EQ$4:EQ218))</f>
        <v>1.441536272249796</v>
      </c>
      <c r="ES218" s="208">
        <f>IF($J218="",#N/A,SUM(EQ$4:EQ218,EO$4:EO218,EM$4:EM218))</f>
        <v>4.6822009074682214</v>
      </c>
      <c r="ET218" s="200" t="str">
        <f t="shared" si="393"/>
        <v/>
      </c>
      <c r="EU218" s="206">
        <f>IF($J218="",#N/A,SUM(ET$4:ET218))</f>
        <v>0</v>
      </c>
      <c r="EV218" s="207" t="str">
        <f t="shared" si="394"/>
        <v/>
      </c>
      <c r="EW218" s="207">
        <f>IF($J218="",#N/A,SUM(EV$4:EV218))</f>
        <v>1.9901851109977766</v>
      </c>
      <c r="EX218" s="208" t="str">
        <f t="shared" si="395"/>
        <v/>
      </c>
      <c r="EY218" s="208">
        <f>IF($J218="",#N/A,SUM(EX$4:EX218))</f>
        <v>-9.038537462898949E-2</v>
      </c>
      <c r="EZ218" s="208">
        <f>IF($J218="",#N/A,SUM(EX$4:EX218,EV$4:EV218,ET$4:ET218))</f>
        <v>1.8997997363687871</v>
      </c>
      <c r="FA218" s="200" t="str">
        <f t="shared" si="396"/>
        <v/>
      </c>
      <c r="FB218" s="206">
        <f>IF($J218="",#N/A,SUM(FA$4:FA218))</f>
        <v>0</v>
      </c>
      <c r="FC218" s="207" t="str">
        <f t="shared" si="397"/>
        <v/>
      </c>
      <c r="FD218" s="207">
        <f>IF($J218="",#N/A,SUM(FC$4:FC218))</f>
        <v>1.6839191319663924</v>
      </c>
      <c r="FE218" s="208" t="str">
        <f t="shared" si="398"/>
        <v/>
      </c>
      <c r="FF218" s="208">
        <f>IF($J218="",#N/A,SUM(FE$4:FE218))</f>
        <v>-0.28811149078748233</v>
      </c>
      <c r="FG218" s="208">
        <f>IF($J218="",#N/A,SUM(FE$4:FE218,FC$4:FC218,FA$4:FA218))</f>
        <v>1.3958076411789102</v>
      </c>
      <c r="FH218" s="200" t="str">
        <f t="shared" si="399"/>
        <v/>
      </c>
      <c r="FI218" s="206">
        <f>IF($J218="",#N/A,SUM(FH$4:FH218))</f>
        <v>0</v>
      </c>
      <c r="FJ218" s="207" t="str">
        <f t="shared" si="400"/>
        <v/>
      </c>
      <c r="FK218" s="207">
        <f>IF($J218="",#N/A,SUM(FJ$4:FJ218))</f>
        <v>0</v>
      </c>
      <c r="FL218" s="208" t="str">
        <f t="shared" si="401"/>
        <v/>
      </c>
      <c r="FM218" s="208">
        <f>IF($J218="",#N/A,SUM(FL$4:FL218))</f>
        <v>0</v>
      </c>
      <c r="FN218" s="208">
        <f>IF($J218="",#N/A,SUM(FL$4:FL218,FJ$4:FJ218,FH$4:FH218))</f>
        <v>0</v>
      </c>
      <c r="FO218" s="200" t="str">
        <f t="shared" si="402"/>
        <v/>
      </c>
      <c r="FP218" s="206">
        <f>IF($J218="",#N/A,SUM(FO$4:FO218))</f>
        <v>0</v>
      </c>
      <c r="FQ218" s="207" t="str">
        <f t="shared" si="403"/>
        <v/>
      </c>
      <c r="FR218" s="207">
        <f>IF($J218="",#N/A,SUM(FQ$4:FQ218))</f>
        <v>0</v>
      </c>
      <c r="FS218" s="208" t="str">
        <f t="shared" si="404"/>
        <v/>
      </c>
      <c r="FT218" s="208">
        <f>IF($J218="",#N/A,SUM(FS$4:FS218))</f>
        <v>0</v>
      </c>
      <c r="FU218" s="208">
        <f>IF($J218="",#N/A,SUM(FS$4:FS218,FQ$4:FQ218,FO$4:FO218))</f>
        <v>0</v>
      </c>
      <c r="FV218" s="200" t="str">
        <f t="shared" si="405"/>
        <v/>
      </c>
      <c r="FW218" s="206">
        <f>IF($J218="",#N/A,SUM(FV$4:FV218))</f>
        <v>6.6834991831277585E-2</v>
      </c>
      <c r="FX218" s="207" t="str">
        <f t="shared" si="406"/>
        <v/>
      </c>
      <c r="FY218" s="207">
        <f>IF($J218="",#N/A,SUM(FX$4:FX218))</f>
        <v>-0.16102012791805576</v>
      </c>
      <c r="FZ218" s="208" t="str">
        <f t="shared" si="407"/>
        <v/>
      </c>
      <c r="GA218" s="208">
        <f>IF($J218="",#N/A,SUM(FZ$4:FZ218))</f>
        <v>-1.7642101813332194</v>
      </c>
      <c r="GB218" s="208">
        <f>IF($J218="",#N/A,SUM(FZ$4:FZ218,FX$4:FX218,FV$4:FV218))</f>
        <v>-1.8583953174199976</v>
      </c>
      <c r="GC218" s="200" t="str">
        <f t="shared" si="408"/>
        <v/>
      </c>
      <c r="GD218" s="206">
        <f>IF($J218="",#N/A,SUM(GC$4:GC218))</f>
        <v>0</v>
      </c>
      <c r="GE218" s="207" t="str">
        <f t="shared" si="409"/>
        <v/>
      </c>
      <c r="GF218" s="207">
        <f>IF($J218="",#N/A,SUM(GE$4:GE218))</f>
        <v>0</v>
      </c>
      <c r="GG218" s="208" t="str">
        <f t="shared" si="410"/>
        <v/>
      </c>
      <c r="GH218" s="208">
        <f>IF($J218="",#N/A,SUM(GG$4:GG218))</f>
        <v>-2.9368362277223206</v>
      </c>
      <c r="GI218" s="208">
        <f>IF($J218="",#N/A,SUM(GG$4:GG218,GE$4:GE218,GC$4:GC218))</f>
        <v>-2.9368362277223206</v>
      </c>
      <c r="GJ218" s="200" t="str">
        <f t="shared" si="411"/>
        <v/>
      </c>
      <c r="GK218" s="206">
        <f>IF($J218="",#N/A,SUM(GJ$4:GJ218))</f>
        <v>0</v>
      </c>
      <c r="GL218" s="207" t="str">
        <f t="shared" si="412"/>
        <v/>
      </c>
      <c r="GM218" s="207">
        <f>IF($J218="",#N/A,SUM(GL$4:GL218))</f>
        <v>-0.80168930905701452</v>
      </c>
      <c r="GN218" s="208" t="str">
        <f t="shared" si="413"/>
        <v/>
      </c>
      <c r="GO218" s="208">
        <f>IF($J218="",#N/A,SUM(GN$4:GN218))</f>
        <v>0</v>
      </c>
      <c r="GP218" s="208">
        <f>IF($J218="",#N/A,SUM(GN$4:GN218,GL$4:GL218,GJ$4:GJ218))</f>
        <v>-0.80168930905701452</v>
      </c>
      <c r="GS218" s="54">
        <f t="shared" si="432"/>
        <v>0.54328776726253136</v>
      </c>
      <c r="GT218" s="54">
        <f>IF(GS218="",NA(),SUM($GS$4:GS218))</f>
        <v>3.8548121087412897</v>
      </c>
      <c r="GU218" s="54" t="str">
        <f t="shared" si="414"/>
        <v/>
      </c>
      <c r="GV218" s="54" t="e">
        <f>IF(GU218="",NA(),SUM($GU$4:GU218))</f>
        <v>#N/A</v>
      </c>
      <c r="GW218" s="54" t="str">
        <f t="shared" si="415"/>
        <v/>
      </c>
      <c r="GX218" s="54" t="e">
        <f>IF(GW218="",NA(),SUM($GW$4:GW218))</f>
        <v>#N/A</v>
      </c>
      <c r="GY218" s="54">
        <f t="shared" si="416"/>
        <v>0.54328776726253136</v>
      </c>
      <c r="GZ218" s="54">
        <f>IF(GY218="",NA(),SUM($GY$4:GY218))</f>
        <v>3.6809314634732271</v>
      </c>
      <c r="HA218" s="54" t="str">
        <f t="shared" si="417"/>
        <v/>
      </c>
      <c r="HB218" s="54" t="e">
        <f>IF(HA218="",NA(),SUM($HA$4:HA218))</f>
        <v>#N/A</v>
      </c>
      <c r="HC218" s="54" t="str">
        <f t="shared" si="418"/>
        <v/>
      </c>
      <c r="HD218" s="54" t="e">
        <f>IF(HC218="",NA(),SUM($HC$4:HC218))</f>
        <v>#N/A</v>
      </c>
      <c r="HE218" s="54" t="str">
        <f t="shared" si="419"/>
        <v/>
      </c>
      <c r="HF218" s="54" t="e">
        <f>IF(HE218="",NA(),SUM($HE$4:HE218))</f>
        <v>#N/A</v>
      </c>
      <c r="HG218" s="54" t="str">
        <f t="shared" si="420"/>
        <v/>
      </c>
      <c r="HH218" s="54" t="e">
        <f>IF(HG218="",NA(),SUM($HG$4:HG218))</f>
        <v>#N/A</v>
      </c>
      <c r="HI218" s="172">
        <f t="shared" si="433"/>
        <v>-0.51407874751723404</v>
      </c>
      <c r="HJ218" s="172">
        <f>IF($J218="",#N/A,SUM(HI$4:$HI218))</f>
        <v>-7.4992019482494197</v>
      </c>
      <c r="HK218" s="54" t="str">
        <f t="shared" si="421"/>
        <v/>
      </c>
      <c r="HL218" s="54">
        <f>IF($J218="",#N/A,SUM($HK$4:HK218))</f>
        <v>-1.61281661077324</v>
      </c>
      <c r="HM218" s="54" t="str">
        <f t="shared" si="422"/>
        <v/>
      </c>
      <c r="HN218" s="54">
        <f>IF($J218="",#N/A,SUM($HM$4:HM218))</f>
        <v>0.71812545963587882</v>
      </c>
      <c r="HO218" s="54" t="str">
        <f t="shared" si="423"/>
        <v/>
      </c>
      <c r="HP218" s="54">
        <f>IF($J218="",#N/A,SUM($HO$4:HO218))</f>
        <v>0.52783589553778021</v>
      </c>
      <c r="HQ218" s="54" t="str">
        <f t="shared" si="424"/>
        <v/>
      </c>
      <c r="HR218" s="54">
        <f>IF($J218="",#N/A,SUM($HQ$4:HQ218))</f>
        <v>-13.365566947172198</v>
      </c>
      <c r="HS218" s="54" t="str">
        <f t="shared" si="425"/>
        <v/>
      </c>
      <c r="HT218" s="54">
        <f>IF($J218="",#N/A,SUM($HS$4:HS218))</f>
        <v>12.355916080255803</v>
      </c>
      <c r="HU218" s="65">
        <f t="shared" si="426"/>
        <v>2.9209019745297351E-2</v>
      </c>
      <c r="HV218" s="65">
        <f>IF($J218="",#N/A,SUM(HU$4:$HU218))</f>
        <v>0.72831456832030395</v>
      </c>
    </row>
    <row r="219" spans="1:230" x14ac:dyDescent="0.25">
      <c r="A219" s="51" t="s">
        <v>1376</v>
      </c>
      <c r="B219" s="52" t="s">
        <v>4544</v>
      </c>
      <c r="C219" s="229">
        <f t="shared" si="327"/>
        <v>2</v>
      </c>
      <c r="D219" s="219" t="str">
        <f>_xlfn.XLOOKUP(A219,[1]SP500!$A$2:$A$502,[1]SP500!$D$2:$D$502,"N")</f>
        <v>Y</v>
      </c>
      <c r="E219" s="51" t="str">
        <f>IFERROR(_xlfn.XLOOKUP(A219,[1]SP500!$A$2:$A$655,[1]SP500!$B$2:$B$655),"")</f>
        <v>XHB</v>
      </c>
      <c r="F219" s="290">
        <v>45778</v>
      </c>
      <c r="G219" s="51" t="str">
        <f t="shared" si="328"/>
        <v>BMO</v>
      </c>
      <c r="H219" s="51" t="str">
        <f t="shared" si="329"/>
        <v>s</v>
      </c>
      <c r="I219" s="344">
        <v>62.54</v>
      </c>
      <c r="J219" s="123">
        <v>67.72</v>
      </c>
      <c r="K219" s="55">
        <f t="shared" si="330"/>
        <v>8.2826990725935398E-2</v>
      </c>
      <c r="L219" s="67">
        <f t="shared" si="331"/>
        <v>-93.240000000000009</v>
      </c>
      <c r="M219" s="57">
        <f t="shared" si="332"/>
        <v>0</v>
      </c>
      <c r="N219" s="102">
        <f t="shared" si="333"/>
        <v>-93.240000000000009</v>
      </c>
      <c r="O219" s="57">
        <f>IF(N219="",#N/A,SUM($N$4:N219))</f>
        <v>315.40865200916869</v>
      </c>
      <c r="P219" s="65">
        <f t="shared" si="427"/>
        <v>-1.3804498454322569</v>
      </c>
      <c r="Q219" s="172">
        <f>IF($N219="",#N/A,SUM($P$4:P219))</f>
        <v>8.2235727936534389</v>
      </c>
      <c r="R219" s="279">
        <f t="shared" si="334"/>
        <v>3.4675186113862919</v>
      </c>
      <c r="S219" s="51" t="str">
        <f t="shared" si="335"/>
        <v>Dwn</v>
      </c>
      <c r="T219" s="51" t="s">
        <v>4461</v>
      </c>
      <c r="U219" s="56">
        <f t="shared" si="336"/>
        <v>62.54</v>
      </c>
      <c r="V219" s="56" t="s">
        <v>4458</v>
      </c>
      <c r="W219" s="142">
        <v>18</v>
      </c>
      <c r="X219" s="145">
        <f t="shared" si="337"/>
        <v>1125.72</v>
      </c>
      <c r="Y219" s="140">
        <f t="shared" si="338"/>
        <v>18</v>
      </c>
      <c r="Z219" s="123">
        <v>67.72</v>
      </c>
      <c r="AA219" s="102">
        <f t="shared" si="339"/>
        <v>-93.240000000000009</v>
      </c>
      <c r="AB219" s="102">
        <f t="shared" si="340"/>
        <v>-130.67999999999984</v>
      </c>
      <c r="AC219" s="123">
        <v>69.8</v>
      </c>
      <c r="AD219" s="155">
        <f t="shared" si="341"/>
        <v>-130.67999999999984</v>
      </c>
      <c r="AE219" s="545">
        <f t="shared" si="342"/>
        <v>-1.9347617524784115</v>
      </c>
      <c r="AF219" s="57">
        <f>IF($AC219="",#N/A,SUM(AD$4:AD219))</f>
        <v>-158.590219110828</v>
      </c>
      <c r="AG219" s="102">
        <f t="shared" si="343"/>
        <v>-37.439999999999827</v>
      </c>
      <c r="AH219" s="56" t="s">
        <v>2507</v>
      </c>
      <c r="AI219" s="65">
        <f t="shared" si="344"/>
        <v>-1.3804498454322569</v>
      </c>
      <c r="AJ219" s="350">
        <f>IF(AI219="",#N/A,SUM($AI$4:AI219))</f>
        <v>4.7560541822671469</v>
      </c>
      <c r="AK219" s="57">
        <f t="shared" si="345"/>
        <v>-93.240000000000009</v>
      </c>
      <c r="AL219" s="349">
        <f>IF(AI219="",#N/A,IF(AH219="Skip",SUM($AK$4:AK219),SUM($AK$4:AK219)))</f>
        <v>78.067591492814245</v>
      </c>
      <c r="AM219" s="65">
        <f t="shared" si="428"/>
        <v>-1.9347617524784115</v>
      </c>
      <c r="AN219" s="209"/>
      <c r="AO219" s="65" t="str">
        <f t="shared" si="346"/>
        <v/>
      </c>
      <c r="AP219" s="65">
        <f>IF($AC219="",#N/A,SUM(AO$4:AO219))</f>
        <v>3.2052798314782653</v>
      </c>
      <c r="AQ219" s="65" t="str">
        <f t="shared" si="347"/>
        <v/>
      </c>
      <c r="AR219" s="65">
        <f>IF($AC219="",#N/A,SUM(AQ$4:AQ219))</f>
        <v>-2.4311962030043777</v>
      </c>
      <c r="AS219" s="65">
        <f t="shared" si="348"/>
        <v>-1.9347617524784115</v>
      </c>
      <c r="AT219" s="65">
        <f>IF($AC219="",#N/A,SUM(AS$4:AS219))</f>
        <v>-1.980530812631998</v>
      </c>
      <c r="AU219" s="57" t="str">
        <f t="shared" si="429"/>
        <v/>
      </c>
      <c r="AV219" s="57">
        <f>IF($AC219="",#N/A,SUM(AU$4:AU219))</f>
        <v>85.211399342838945</v>
      </c>
      <c r="AW219" s="57" t="str">
        <f t="shared" si="430"/>
        <v/>
      </c>
      <c r="AX219" s="57">
        <f>IF($AC219="",#N/A,SUM(AW$4:AW219))</f>
        <v>-151.49</v>
      </c>
      <c r="AY219" s="57">
        <f t="shared" si="431"/>
        <v>-130.67999999999984</v>
      </c>
      <c r="AZ219" s="57">
        <f>IF($AC219="",#N/A,SUM(AY$4:AY219))</f>
        <v>-92.311618453666938</v>
      </c>
      <c r="BA219" s="57">
        <f>IF(AD219="",#N/A,SUM($AD$4:AD219))</f>
        <v>-158.590219110828</v>
      </c>
      <c r="BC219" s="51" t="str">
        <f t="shared" si="349"/>
        <v/>
      </c>
      <c r="BD219" s="51">
        <f t="shared" si="350"/>
        <v>1</v>
      </c>
      <c r="BE219" s="51" t="str">
        <f t="shared" si="351"/>
        <v/>
      </c>
      <c r="BF219" s="51" t="str">
        <f t="shared" si="352"/>
        <v>Short</v>
      </c>
      <c r="BG219" s="51" t="str">
        <f t="shared" si="353"/>
        <v/>
      </c>
      <c r="BH219" s="51" t="str">
        <f t="shared" si="354"/>
        <v/>
      </c>
      <c r="BI219" s="51" t="str">
        <f t="shared" si="355"/>
        <v/>
      </c>
      <c r="BK219" s="65">
        <f t="shared" si="326"/>
        <v>0.11548071246101382</v>
      </c>
      <c r="BL219" s="65">
        <f t="shared" si="325"/>
        <v>3.2002266310584136E-2</v>
      </c>
      <c r="BM219" s="65">
        <f>IFERROR(Q219/COUNTA($J$4:J219),#N/A)</f>
        <v>3.8072096266914067E-2</v>
      </c>
      <c r="BO219" s="489" t="e">
        <f>IF(J219="",#N/A,IF(S219="SW",(COUNTIFS(K$4:$K219,"&gt;0",S$4:$S219,"SW")/COUNTIF(S$4:$S219,"SW")),#N/A))</f>
        <v>#N/A</v>
      </c>
      <c r="BP219" s="489">
        <f>IF($J219="",#N/A,IF($S219="DWN",(COUNTIFS($K$4:$K219,"&lt;0",$S$4:$S219,"DWN")/COUNTIF($S$4:$S219,"DWN")),#N/A))</f>
        <v>0.57608695652173914</v>
      </c>
      <c r="BQ219" s="489" t="e">
        <f>IF($J219="",#N/A,IF($S219="UP",(COUNTIFS($K$4:$K219,"&gt;0",$S$4:$S219,"UP")/COUNTIF($S$4:$S219,"UP")),#N/A))</f>
        <v>#N/A</v>
      </c>
      <c r="BR219" s="489">
        <f>IF(J219="",#N/A,COUNTIF($K$4:K219,"&gt;0")/COUNT($J$4:J219))</f>
        <v>0.45833333333333331</v>
      </c>
      <c r="BS219" s="65" t="str">
        <f t="shared" si="356"/>
        <v/>
      </c>
      <c r="BT219" s="65" t="str">
        <f t="shared" si="357"/>
        <v/>
      </c>
      <c r="BU219" s="65" t="str">
        <f t="shared" si="358"/>
        <v/>
      </c>
      <c r="BV219" s="65">
        <f t="shared" si="359"/>
        <v>-1.3804498454322569</v>
      </c>
      <c r="BW219" s="128" t="str">
        <f t="shared" si="360"/>
        <v/>
      </c>
      <c r="BX219" s="128">
        <f>IF($J219="",#N/A,SUM($BW$4:BW219))</f>
        <v>-233.61000000000035</v>
      </c>
      <c r="BY219" s="131">
        <f t="shared" si="361"/>
        <v>-93.240000000000009</v>
      </c>
      <c r="BZ219" s="131">
        <f>IF($J219="",#N/A,SUM($BY$4:BY219))</f>
        <v>434.18934038933435</v>
      </c>
      <c r="CA219" s="133" t="str">
        <f t="shared" si="362"/>
        <v/>
      </c>
      <c r="CB219" s="133">
        <f>IF($J219="",#N/A,SUM($CA$4:CA219))</f>
        <v>114.82931161983473</v>
      </c>
      <c r="CC219" s="194" t="str">
        <f t="shared" si="363"/>
        <v/>
      </c>
      <c r="CD219" s="194">
        <f>IF($J219="",#N/A,SUM($CC$4:CC219))</f>
        <v>-3.6771575581780365</v>
      </c>
      <c r="CE219" s="195">
        <f t="shared" si="364"/>
        <v>-1.3804498454322569</v>
      </c>
      <c r="CF219" s="195">
        <f>IF($J219="",#N/A,SUM($CE$4:CE219))</f>
        <v>7.6857996534368214</v>
      </c>
      <c r="CG219" s="196" t="str">
        <f t="shared" si="365"/>
        <v/>
      </c>
      <c r="CH219" s="196">
        <f>IF($J219="",#N/A,SUM($CG$4:CG219))</f>
        <v>4.2149306983946628</v>
      </c>
      <c r="CI219" s="200" t="str">
        <f t="shared" si="366"/>
        <v/>
      </c>
      <c r="CJ219" s="203">
        <f>IF($J219="",#N/A,SUM(CI$4:CI219))</f>
        <v>0</v>
      </c>
      <c r="CK219" s="204" t="str">
        <f t="shared" si="367"/>
        <v/>
      </c>
      <c r="CL219" s="204">
        <f>IF($J219="",#N/A,SUM(CK$4:CK219))</f>
        <v>1.9927003554442289</v>
      </c>
      <c r="CM219" s="205" t="str">
        <f t="shared" si="368"/>
        <v/>
      </c>
      <c r="CN219" s="205">
        <f>IF($J219="",#N/A,SUM(CM$4:CM219))</f>
        <v>5.6091171609382364</v>
      </c>
      <c r="CO219" s="205">
        <f>IF($J219="",#N/A,SUM(CM$4:CM219,CK$4:CK219,CI$4:CI219))</f>
        <v>7.6018175163824644</v>
      </c>
      <c r="CP219" s="200" t="str">
        <f t="shared" si="369"/>
        <v/>
      </c>
      <c r="CQ219" s="203">
        <f>IF($J219="",#N/A,SUM(CP$4:CP219))</f>
        <v>0</v>
      </c>
      <c r="CR219" s="204" t="str">
        <f t="shared" si="370"/>
        <v/>
      </c>
      <c r="CS219" s="204">
        <f>IF($J219="",#N/A,SUM(CR$4:CR219))</f>
        <v>4.2989225684455388</v>
      </c>
      <c r="CT219" s="205" t="str">
        <f t="shared" si="371"/>
        <v/>
      </c>
      <c r="CU219" s="205">
        <f>IF($J219="",#N/A,SUM(CT$4:CT219))</f>
        <v>-1.1331655471946371</v>
      </c>
      <c r="CV219" s="205">
        <f>IF($J219="",#N/A,SUM(CT$4:CT219,CR$4:CR219,CP$4:CP219))</f>
        <v>3.1657570212509012</v>
      </c>
      <c r="CW219" s="200" t="str">
        <f t="shared" si="372"/>
        <v/>
      </c>
      <c r="CX219" s="203">
        <f>IF($J219="",#N/A,SUM(CW$4:CW219))</f>
        <v>-0.33865165024245297</v>
      </c>
      <c r="CY219" s="204" t="str">
        <f t="shared" si="373"/>
        <v/>
      </c>
      <c r="CZ219" s="204">
        <f>IF($J219="",#N/A,SUM(CY$4:CY219))</f>
        <v>-0.55412230890025005</v>
      </c>
      <c r="DA219" s="205" t="str">
        <f t="shared" si="374"/>
        <v/>
      </c>
      <c r="DB219" s="205">
        <f>IF($J219="",#N/A,SUM(DA$4:DA219))</f>
        <v>-2.2679577914291</v>
      </c>
      <c r="DC219" s="205">
        <f>IF($J219="",#N/A,SUM(DA$4:DA219,CY$4:CY219,CW$4:CW219))</f>
        <v>-3.1607317505718027</v>
      </c>
      <c r="DD219" s="200" t="str">
        <f t="shared" si="375"/>
        <v/>
      </c>
      <c r="DE219" s="203">
        <f>IF($J219="",#N/A,SUM(DD$4:DD219))</f>
        <v>0.14968716170674062</v>
      </c>
      <c r="DF219" s="204" t="str">
        <f t="shared" si="376"/>
        <v/>
      </c>
      <c r="DG219" s="204">
        <f>IF($J219="",#N/A,SUM(DF$4:DF219))</f>
        <v>1.5249935139936004</v>
      </c>
      <c r="DH219" s="205" t="str">
        <f t="shared" si="377"/>
        <v/>
      </c>
      <c r="DI219" s="205">
        <f>IF($J219="",#N/A,SUM(DH$4:DH219))</f>
        <v>-1.9066052078694633</v>
      </c>
      <c r="DJ219" s="205">
        <f>IF($J219="",#N/A,SUM(DH$4:DH219,DF$4:DF219,DD$4:DD219))</f>
        <v>-0.23192453216912207</v>
      </c>
      <c r="DK219" s="200" t="str">
        <f t="shared" si="378"/>
        <v/>
      </c>
      <c r="DL219" s="203">
        <f>IF($J219="",#N/A,SUM(DK$4:DK219))</f>
        <v>-1.2097286851272664</v>
      </c>
      <c r="DM219" s="204" t="str">
        <f t="shared" si="379"/>
        <v/>
      </c>
      <c r="DN219" s="204">
        <f>IF($J219="",#N/A,SUM(DM$4:DM219))</f>
        <v>1.1910608267574658</v>
      </c>
      <c r="DO219" s="205" t="str">
        <f t="shared" si="380"/>
        <v/>
      </c>
      <c r="DP219" s="205">
        <f>IF($J219="",#N/A,SUM(DO$4:DO219))</f>
        <v>2.6571865116636566</v>
      </c>
      <c r="DQ219" s="205">
        <f>IF($J219="",#N/A,SUM(DO$4:DO219,DM$4:DM219,DK$4:DK219))</f>
        <v>2.6385186532938567</v>
      </c>
      <c r="DR219" s="200" t="str">
        <f t="shared" si="381"/>
        <v/>
      </c>
      <c r="DS219" s="203">
        <f>IF($J219="",#N/A,SUM(DR$4:DR219))</f>
        <v>-0.55950946427675097</v>
      </c>
      <c r="DT219" s="204" t="str">
        <f t="shared" si="382"/>
        <v/>
      </c>
      <c r="DU219" s="204">
        <f>IF($J219="",#N/A,SUM(DT$4:DT219))</f>
        <v>-3.6911249040845173</v>
      </c>
      <c r="DV219" s="205" t="str">
        <f t="shared" si="383"/>
        <v/>
      </c>
      <c r="DW219" s="205">
        <f>IF($J219="",#N/A,SUM(DV$4:DV219))</f>
        <v>-1.2815650893103838</v>
      </c>
      <c r="DX219" s="205">
        <f>IF($J219="",#N/A,SUM(DV$4:DV219,DT$4:DT219,DR$4:DR219))</f>
        <v>-5.532199457671652</v>
      </c>
      <c r="DY219" s="200" t="str">
        <f t="shared" si="384"/>
        <v/>
      </c>
      <c r="DZ219" s="203">
        <f>IF($J219="",#N/A,SUM(DY$4:DY219))</f>
        <v>-1.63480022183437</v>
      </c>
      <c r="EA219" s="204" t="str">
        <f t="shared" si="385"/>
        <v/>
      </c>
      <c r="EB219" s="204">
        <f>IF($J219="",#N/A,SUM(EA$4:EA219))</f>
        <v>0.65158371441459195</v>
      </c>
      <c r="EC219" s="205" t="str">
        <f t="shared" si="386"/>
        <v/>
      </c>
      <c r="ED219" s="205">
        <f>IF($J219="",#N/A,SUM(EC$4:EC219))</f>
        <v>3.0210456505626468</v>
      </c>
      <c r="EE219" s="205">
        <f>IF($J219="",#N/A,SUM(EC$4:EC219,EA$4:EA219,DY$4:DY219))</f>
        <v>2.0378291431428677</v>
      </c>
      <c r="EF219" s="200" t="str">
        <f t="shared" si="387"/>
        <v/>
      </c>
      <c r="EG219" s="203">
        <f>IF($J219="",#N/A,SUM(EF$4:EF219))</f>
        <v>-0.15098969023521425</v>
      </c>
      <c r="EH219" s="204" t="str">
        <f t="shared" si="388"/>
        <v/>
      </c>
      <c r="EI219" s="204">
        <f>IF($J219="",#N/A,SUM(EH$4:EH219))</f>
        <v>-2.6267690330909645</v>
      </c>
      <c r="EJ219" s="205" t="str">
        <f t="shared" si="389"/>
        <v/>
      </c>
      <c r="EK219" s="205">
        <f>IF($J219="",#N/A,SUM(EJ$4:EJ219))</f>
        <v>3.1548820132559188</v>
      </c>
      <c r="EL219" s="205">
        <f>IF($J219="",#N/A,SUM(EJ$4:EJ219,EH$4:EH219,EF$4:EF219))</f>
        <v>0.37712328992974087</v>
      </c>
      <c r="EM219" s="200" t="str">
        <f t="shared" si="390"/>
        <v/>
      </c>
      <c r="EN219" s="203">
        <f>IF($J219="",#N/A,SUM(EM$4:EM219))</f>
        <v>0</v>
      </c>
      <c r="EO219" s="204" t="str">
        <f t="shared" si="391"/>
        <v/>
      </c>
      <c r="EP219" s="204">
        <f>IF($J219="",#N/A,SUM(EO$4:EO219))</f>
        <v>3.2406646352184261</v>
      </c>
      <c r="EQ219" s="205" t="str">
        <f t="shared" si="392"/>
        <v/>
      </c>
      <c r="ER219" s="205">
        <f>IF($J219="",#N/A,SUM(EQ$4:EQ219))</f>
        <v>1.441536272249796</v>
      </c>
      <c r="ES219" s="205">
        <f>IF($J219="",#N/A,SUM(EQ$4:EQ219,EO$4:EO219,EM$4:EM219))</f>
        <v>4.6822009074682214</v>
      </c>
      <c r="ET219" s="200" t="str">
        <f t="shared" si="393"/>
        <v/>
      </c>
      <c r="EU219" s="203">
        <f>IF($J219="",#N/A,SUM(ET$4:ET219))</f>
        <v>0</v>
      </c>
      <c r="EV219" s="204" t="str">
        <f t="shared" si="394"/>
        <v/>
      </c>
      <c r="EW219" s="204">
        <f>IF($J219="",#N/A,SUM(EV$4:EV219))</f>
        <v>1.9901851109977766</v>
      </c>
      <c r="EX219" s="205" t="str">
        <f t="shared" si="395"/>
        <v/>
      </c>
      <c r="EY219" s="205">
        <f>IF($J219="",#N/A,SUM(EX$4:EX219))</f>
        <v>-9.038537462898949E-2</v>
      </c>
      <c r="EZ219" s="205">
        <f>IF($J219="",#N/A,SUM(EX$4:EX219,EV$4:EV219,ET$4:ET219))</f>
        <v>1.8997997363687871</v>
      </c>
      <c r="FA219" s="200" t="str">
        <f t="shared" si="396"/>
        <v/>
      </c>
      <c r="FB219" s="203">
        <f>IF($J219="",#N/A,SUM(FA$4:FA219))</f>
        <v>0</v>
      </c>
      <c r="FC219" s="204" t="str">
        <f t="shared" si="397"/>
        <v/>
      </c>
      <c r="FD219" s="204">
        <f>IF($J219="",#N/A,SUM(FC$4:FC219))</f>
        <v>1.6839191319663924</v>
      </c>
      <c r="FE219" s="205" t="str">
        <f t="shared" si="398"/>
        <v/>
      </c>
      <c r="FF219" s="205">
        <f>IF($J219="",#N/A,SUM(FE$4:FE219))</f>
        <v>-0.28811149078748233</v>
      </c>
      <c r="FG219" s="205">
        <f>IF($J219="",#N/A,SUM(FE$4:FE219,FC$4:FC219,FA$4:FA219))</f>
        <v>1.3958076411789102</v>
      </c>
      <c r="FH219" s="200" t="str">
        <f t="shared" si="399"/>
        <v/>
      </c>
      <c r="FI219" s="203">
        <f>IF($J219="",#N/A,SUM(FH$4:FH219))</f>
        <v>0</v>
      </c>
      <c r="FJ219" s="204" t="str">
        <f t="shared" si="400"/>
        <v/>
      </c>
      <c r="FK219" s="204">
        <f>IF($J219="",#N/A,SUM(FJ$4:FJ219))</f>
        <v>0</v>
      </c>
      <c r="FL219" s="205" t="str">
        <f t="shared" si="401"/>
        <v/>
      </c>
      <c r="FM219" s="205">
        <f>IF($J219="",#N/A,SUM(FL$4:FL219))</f>
        <v>0</v>
      </c>
      <c r="FN219" s="205">
        <f>IF($J219="",#N/A,SUM(FL$4:FL219,FJ$4:FJ219,FH$4:FH219))</f>
        <v>0</v>
      </c>
      <c r="FO219" s="200" t="str">
        <f t="shared" si="402"/>
        <v/>
      </c>
      <c r="FP219" s="203">
        <f>IF($J219="",#N/A,SUM(FO$4:FO219))</f>
        <v>0</v>
      </c>
      <c r="FQ219" s="204" t="str">
        <f t="shared" si="403"/>
        <v/>
      </c>
      <c r="FR219" s="204">
        <f>IF($J219="",#N/A,SUM(FQ$4:FQ219))</f>
        <v>0</v>
      </c>
      <c r="FS219" s="205" t="str">
        <f t="shared" si="404"/>
        <v/>
      </c>
      <c r="FT219" s="205">
        <f>IF($J219="",#N/A,SUM(FS$4:FS219))</f>
        <v>0</v>
      </c>
      <c r="FU219" s="205">
        <f>IF($J219="",#N/A,SUM(FS$4:FS219,FQ$4:FQ219,FO$4:FO219))</f>
        <v>0</v>
      </c>
      <c r="FV219" s="200" t="str">
        <f t="shared" si="405"/>
        <v/>
      </c>
      <c r="FW219" s="203">
        <f>IF($J219="",#N/A,SUM(FV$4:FV219))</f>
        <v>6.6834991831277585E-2</v>
      </c>
      <c r="FX219" s="204" t="str">
        <f t="shared" si="406"/>
        <v/>
      </c>
      <c r="FY219" s="204">
        <f>IF($J219="",#N/A,SUM(FX$4:FX219))</f>
        <v>-0.16102012791805576</v>
      </c>
      <c r="FZ219" s="205" t="str">
        <f t="shared" si="407"/>
        <v/>
      </c>
      <c r="GA219" s="205">
        <f>IF($J219="",#N/A,SUM(FZ$4:FZ219))</f>
        <v>-1.7642101813332194</v>
      </c>
      <c r="GB219" s="205">
        <f>IF($J219="",#N/A,SUM(FZ$4:FZ219,FX$4:FX219,FV$4:FV219))</f>
        <v>-1.8583953174199976</v>
      </c>
      <c r="GC219" s="200" t="str">
        <f t="shared" si="408"/>
        <v/>
      </c>
      <c r="GD219" s="203">
        <f>IF($J219="",#N/A,SUM(GC$4:GC219))</f>
        <v>0</v>
      </c>
      <c r="GE219" s="204" t="str">
        <f t="shared" si="409"/>
        <v/>
      </c>
      <c r="GF219" s="204">
        <f>IF($J219="",#N/A,SUM(GE$4:GE219))</f>
        <v>0</v>
      </c>
      <c r="GG219" s="205" t="str">
        <f t="shared" si="410"/>
        <v/>
      </c>
      <c r="GH219" s="205">
        <f>IF($J219="",#N/A,SUM(GG$4:GG219))</f>
        <v>-2.9368362277223206</v>
      </c>
      <c r="GI219" s="205">
        <f>IF($J219="",#N/A,SUM(GG$4:GG219,GE$4:GE219,GC$4:GC219))</f>
        <v>-2.9368362277223206</v>
      </c>
      <c r="GJ219" s="200" t="str">
        <f t="shared" si="411"/>
        <v/>
      </c>
      <c r="GK219" s="203">
        <f>IF($J219="",#N/A,SUM(GJ$4:GJ219))</f>
        <v>0</v>
      </c>
      <c r="GL219" s="204">
        <f t="shared" si="412"/>
        <v>-1.3804498454322569</v>
      </c>
      <c r="GM219" s="204">
        <f>IF($J219="",#N/A,SUM(GL$4:GL219))</f>
        <v>-2.1821391544892714</v>
      </c>
      <c r="GN219" s="205" t="str">
        <f t="shared" si="413"/>
        <v/>
      </c>
      <c r="GO219" s="205">
        <f>IF($J219="",#N/A,SUM(GN$4:GN219))</f>
        <v>0</v>
      </c>
      <c r="GP219" s="205">
        <f>IF($J219="",#N/A,SUM(GN$4:GN219,GL$4:GL219,GJ$4:GJ219))</f>
        <v>-2.1821391544892714</v>
      </c>
      <c r="GS219" s="54">
        <f t="shared" si="432"/>
        <v>-1.3804498454322569</v>
      </c>
      <c r="GT219" s="54">
        <f>IF(GS219="",NA(),SUM($GS$4:GS219))</f>
        <v>2.4743622633090325</v>
      </c>
      <c r="GU219" s="54" t="str">
        <f t="shared" si="414"/>
        <v/>
      </c>
      <c r="GV219" s="54" t="e">
        <f>IF(GU219="",NA(),SUM($GU$4:GU219))</f>
        <v>#N/A</v>
      </c>
      <c r="GW219" s="54" t="str">
        <f t="shared" si="415"/>
        <v/>
      </c>
      <c r="GX219" s="54" t="e">
        <f>IF(GW219="",NA(),SUM($GW$4:GW219))</f>
        <v>#N/A</v>
      </c>
      <c r="GY219" s="54">
        <f t="shared" si="416"/>
        <v>-1.3804498454322569</v>
      </c>
      <c r="GZ219" s="54">
        <f>IF(GY219="",NA(),SUM($GY$4:GY219))</f>
        <v>2.30048161804097</v>
      </c>
      <c r="HA219" s="54" t="str">
        <f t="shared" si="417"/>
        <v/>
      </c>
      <c r="HB219" s="54" t="e">
        <f>IF(HA219="",NA(),SUM($HA$4:HA219))</f>
        <v>#N/A</v>
      </c>
      <c r="HC219" s="54" t="str">
        <f t="shared" si="418"/>
        <v/>
      </c>
      <c r="HD219" s="54" t="e">
        <f>IF(HC219="",NA(),SUM($HC$4:HC219))</f>
        <v>#N/A</v>
      </c>
      <c r="HE219" s="54" t="str">
        <f t="shared" si="419"/>
        <v/>
      </c>
      <c r="HF219" s="54" t="e">
        <f>IF(HE219="",NA(),SUM($HE$4:HE219))</f>
        <v>#N/A</v>
      </c>
      <c r="HG219" s="54" t="str">
        <f t="shared" si="420"/>
        <v/>
      </c>
      <c r="HH219" s="54" t="e">
        <f>IF(HG219="",NA(),SUM($HG$4:HG219))</f>
        <v>#N/A</v>
      </c>
      <c r="HI219" s="172" t="str">
        <f t="shared" si="433"/>
        <v/>
      </c>
      <c r="HJ219" s="172">
        <f>IF($J219="",#N/A,SUM(HI$4:$HI219))</f>
        <v>-7.4992019482494197</v>
      </c>
      <c r="HK219" s="54">
        <f t="shared" si="421"/>
        <v>-0.55431190704615463</v>
      </c>
      <c r="HL219" s="54">
        <f>IF($J219="",#N/A,SUM($HK$4:HK219))</f>
        <v>-2.1671285178193944</v>
      </c>
      <c r="HM219" s="54" t="str">
        <f t="shared" si="422"/>
        <v/>
      </c>
      <c r="HN219" s="54">
        <f>IF($J219="",#N/A,SUM($HM$4:HM219))</f>
        <v>0.71812545963587882</v>
      </c>
      <c r="HO219" s="54" t="str">
        <f t="shared" si="423"/>
        <v/>
      </c>
      <c r="HP219" s="54">
        <f>IF($J219="",#N/A,SUM($HO$4:HO219))</f>
        <v>0.52783589553778021</v>
      </c>
      <c r="HQ219" s="54" t="str">
        <f t="shared" si="424"/>
        <v/>
      </c>
      <c r="HR219" s="54">
        <f>IF($J219="",#N/A,SUM($HQ$4:HQ219))</f>
        <v>-13.365566947172198</v>
      </c>
      <c r="HS219" s="54" t="str">
        <f t="shared" si="425"/>
        <v/>
      </c>
      <c r="HT219" s="54">
        <f>IF($J219="",#N/A,SUM($HS$4:HS219))</f>
        <v>12.355916080255803</v>
      </c>
      <c r="HU219" s="65">
        <f t="shared" si="426"/>
        <v>-1.9347617524784115</v>
      </c>
      <c r="HV219" s="65">
        <f>IF($J219="",#N/A,SUM(HU$4:$HU219))</f>
        <v>-1.2064471841581077</v>
      </c>
    </row>
    <row r="220" spans="1:230" x14ac:dyDescent="0.25">
      <c r="A220" s="51" t="s">
        <v>277</v>
      </c>
      <c r="B220" s="52" t="s">
        <v>4544</v>
      </c>
      <c r="C220" s="229">
        <f t="shared" si="327"/>
        <v>3</v>
      </c>
      <c r="D220" s="219" t="str">
        <f>_xlfn.XLOOKUP(A220,[1]SP500!$A$2:$A$502,[1]SP500!$D$2:$D$502,"N")</f>
        <v>Y</v>
      </c>
      <c r="E220" s="51" t="str">
        <f>IFERROR(_xlfn.XLOOKUP(A220,[1]SP500!$A$2:$A$655,[1]SP500!$B$2:$B$655),"")</f>
        <v>XLV</v>
      </c>
      <c r="F220" s="290">
        <v>45778</v>
      </c>
      <c r="G220" s="51" t="str">
        <f t="shared" si="328"/>
        <v>BMO</v>
      </c>
      <c r="H220" s="51" t="str">
        <f t="shared" si="329"/>
        <v>s</v>
      </c>
      <c r="I220" s="343">
        <v>66.709999999999994</v>
      </c>
      <c r="J220" s="124">
        <v>72.5</v>
      </c>
      <c r="K220" s="55">
        <f t="shared" si="330"/>
        <v>8.6793584170289415E-2</v>
      </c>
      <c r="L220" s="67">
        <f t="shared" si="331"/>
        <v>92.6400000000001</v>
      </c>
      <c r="M220" s="57">
        <f t="shared" si="332"/>
        <v>-4</v>
      </c>
      <c r="N220" s="102">
        <f t="shared" si="333"/>
        <v>92.6400000000001</v>
      </c>
      <c r="O220" s="57">
        <f>IF(N220="",#N/A,SUM($N$4:N220))</f>
        <v>408.04865200916879</v>
      </c>
      <c r="P220" s="65">
        <f t="shared" si="427"/>
        <v>1.4465597361714904</v>
      </c>
      <c r="Q220" s="172">
        <f>IF($N220="",#N/A,SUM($P$4:P220))</f>
        <v>9.6701325298249294</v>
      </c>
      <c r="R220" s="279">
        <f t="shared" si="334"/>
        <v>3.5299780127753895</v>
      </c>
      <c r="S220" s="51" t="str">
        <f t="shared" si="335"/>
        <v>SW</v>
      </c>
      <c r="T220" s="51" t="s">
        <v>2828</v>
      </c>
      <c r="U220" s="56">
        <f t="shared" si="336"/>
        <v>66.709999999999994</v>
      </c>
      <c r="V220" s="56" t="s">
        <v>4460</v>
      </c>
      <c r="W220" s="142">
        <v>16</v>
      </c>
      <c r="X220" s="145">
        <f t="shared" si="337"/>
        <v>1067.3599999999999</v>
      </c>
      <c r="Y220" s="140">
        <f t="shared" si="338"/>
        <v>16</v>
      </c>
      <c r="Z220" s="123">
        <v>72.25</v>
      </c>
      <c r="AA220" s="102">
        <f t="shared" si="339"/>
        <v>88.6400000000001</v>
      </c>
      <c r="AB220" s="102">
        <f t="shared" si="340"/>
        <v>43.840000000000146</v>
      </c>
      <c r="AC220" s="124">
        <v>69.45</v>
      </c>
      <c r="AD220" s="155">
        <f t="shared" si="341"/>
        <v>43.840000000000146</v>
      </c>
      <c r="AE220" s="545">
        <f t="shared" si="342"/>
        <v>0.68455503922450645</v>
      </c>
      <c r="AF220" s="57">
        <f>IF($AC220="",#N/A,SUM(AD$4:AD220))</f>
        <v>-114.75021911082786</v>
      </c>
      <c r="AG220" s="102">
        <f t="shared" si="343"/>
        <v>-48.799999999999955</v>
      </c>
      <c r="AH220" s="56" t="s">
        <v>2507</v>
      </c>
      <c r="AI220" s="65">
        <f t="shared" si="344"/>
        <v>1.3841003347823932</v>
      </c>
      <c r="AJ220" s="350">
        <f>IF(AI220="",#N/A,SUM($AI$4:AI220))</f>
        <v>6.14015451704954</v>
      </c>
      <c r="AK220" s="57">
        <f t="shared" si="345"/>
        <v>88.6400000000001</v>
      </c>
      <c r="AL220" s="349">
        <f>IF(AI220="",#N/A,IF(AH220="Skip",SUM($AK$4:AK220),SUM($AK$4:AK220)))</f>
        <v>166.70759149281434</v>
      </c>
      <c r="AM220" s="65">
        <f t="shared" si="428"/>
        <v>0.68455503922450645</v>
      </c>
      <c r="AN220" s="209"/>
      <c r="AO220" s="65">
        <f t="shared" si="346"/>
        <v>0.68455503922450645</v>
      </c>
      <c r="AP220" s="65">
        <f>IF($AC220="",#N/A,SUM(AO$4:AO220))</f>
        <v>3.8898348707027717</v>
      </c>
      <c r="AQ220" s="65" t="str">
        <f t="shared" si="347"/>
        <v/>
      </c>
      <c r="AR220" s="65">
        <f>IF($AC220="",#N/A,SUM(AQ$4:AQ220))</f>
        <v>-2.4311962030043777</v>
      </c>
      <c r="AS220" s="65" t="str">
        <f t="shared" si="348"/>
        <v/>
      </c>
      <c r="AT220" s="65">
        <f>IF($AC220="",#N/A,SUM(AS$4:AS220))</f>
        <v>-1.980530812631998</v>
      </c>
      <c r="AU220" s="57">
        <f t="shared" si="429"/>
        <v>43.840000000000146</v>
      </c>
      <c r="AV220" s="57">
        <f>IF($AC220="",#N/A,SUM(AU$4:AU220))</f>
        <v>129.05139934283909</v>
      </c>
      <c r="AW220" s="57" t="str">
        <f t="shared" si="430"/>
        <v/>
      </c>
      <c r="AX220" s="57">
        <f>IF($AC220="",#N/A,SUM(AW$4:AW220))</f>
        <v>-151.49</v>
      </c>
      <c r="AY220" s="57" t="str">
        <f t="shared" si="431"/>
        <v/>
      </c>
      <c r="AZ220" s="57">
        <f>IF($AC220="",#N/A,SUM(AY$4:AY220))</f>
        <v>-92.311618453666938</v>
      </c>
      <c r="BA220" s="57">
        <f>IF(AD220="",#N/A,SUM($AD$4:AD220))</f>
        <v>-114.75021911082786</v>
      </c>
      <c r="BC220" s="51" t="str">
        <f t="shared" si="349"/>
        <v/>
      </c>
      <c r="BD220" s="51" t="str">
        <f t="shared" si="350"/>
        <v/>
      </c>
      <c r="BE220" s="51">
        <f t="shared" si="351"/>
        <v>1</v>
      </c>
      <c r="BF220" s="51" t="str">
        <f t="shared" si="352"/>
        <v>Long</v>
      </c>
      <c r="BG220" s="51" t="str">
        <f t="shared" si="353"/>
        <v/>
      </c>
      <c r="BH220" s="51" t="str">
        <f t="shared" si="354"/>
        <v/>
      </c>
      <c r="BI220" s="51" t="str">
        <f t="shared" si="355"/>
        <v/>
      </c>
      <c r="BK220" s="65">
        <f t="shared" si="326"/>
        <v>0.15008072642461898</v>
      </c>
      <c r="BL220" s="65">
        <f t="shared" ref="BL220:BL283" si="434">IFERROR((Q220-Q196)/COUNTA(J196:J220),#N/A)</f>
        <v>0.10266309224200071</v>
      </c>
      <c r="BM220" s="65">
        <f>IFERROR(Q220/COUNTA($J$4:J220),#N/A)</f>
        <v>4.4562822718087231E-2</v>
      </c>
      <c r="BO220" s="489">
        <f>IF(J220="",#N/A,IF(S220="SW",(COUNTIFS(K$4:$K220,"&gt;0",S$4:$S220,"SW")/COUNTIF(S$4:$S220,"SW")),#N/A))</f>
        <v>0.5043478260869565</v>
      </c>
      <c r="BP220" s="489" t="e">
        <f>IF($J220="",#N/A,IF($S220="DWN",(COUNTIFS($K$4:$K220,"&lt;0",$S$4:$S220,"DWN")/COUNTIF($S$4:$S220,"DWN")),#N/A))</f>
        <v>#N/A</v>
      </c>
      <c r="BQ220" s="489" t="e">
        <f>IF($J220="",#N/A,IF($S220="UP",(COUNTIFS($K$4:$K220,"&gt;0",$S$4:$S220,"UP")/COUNTIF($S$4:$S220,"UP")),#N/A))</f>
        <v>#N/A</v>
      </c>
      <c r="BR220" s="489">
        <f>IF(J220="",#N/A,COUNTIF($K$4:K220,"&gt;0")/COUNT($J$4:J220))</f>
        <v>0.46082949308755761</v>
      </c>
      <c r="BS220" s="65">
        <f t="shared" si="356"/>
        <v>1.4465597361714904</v>
      </c>
      <c r="BT220" s="65" t="str">
        <f t="shared" si="357"/>
        <v/>
      </c>
      <c r="BU220" s="65" t="str">
        <f t="shared" si="358"/>
        <v/>
      </c>
      <c r="BV220" s="65" t="str">
        <f t="shared" si="359"/>
        <v/>
      </c>
      <c r="BW220" s="128" t="str">
        <f t="shared" si="360"/>
        <v/>
      </c>
      <c r="BX220" s="128">
        <f>IF($J220="",#N/A,SUM($BW$4:BW220))</f>
        <v>-233.61000000000035</v>
      </c>
      <c r="BY220" s="131" t="str">
        <f t="shared" si="361"/>
        <v/>
      </c>
      <c r="BZ220" s="131">
        <f>IF($J220="",#N/A,SUM($BY$4:BY220))</f>
        <v>434.18934038933435</v>
      </c>
      <c r="CA220" s="133">
        <f t="shared" si="362"/>
        <v>92.6400000000001</v>
      </c>
      <c r="CB220" s="133">
        <f>IF($J220="",#N/A,SUM($CA$4:CA220))</f>
        <v>207.46931161983483</v>
      </c>
      <c r="CC220" s="194" t="str">
        <f t="shared" si="363"/>
        <v/>
      </c>
      <c r="CD220" s="194">
        <f>IF($J220="",#N/A,SUM($CC$4:CC220))</f>
        <v>-3.6771575581780365</v>
      </c>
      <c r="CE220" s="195" t="str">
        <f t="shared" si="364"/>
        <v/>
      </c>
      <c r="CF220" s="195">
        <f>IF($J220="",#N/A,SUM($CE$4:CE220))</f>
        <v>7.6857996534368214</v>
      </c>
      <c r="CG220" s="196">
        <f t="shared" si="365"/>
        <v>1.4465597361714904</v>
      </c>
      <c r="CH220" s="196">
        <f>IF($J220="",#N/A,SUM($CG$4:CG220))</f>
        <v>5.6614904345661534</v>
      </c>
      <c r="CI220" s="200" t="str">
        <f t="shared" si="366"/>
        <v/>
      </c>
      <c r="CJ220" s="203">
        <f>IF($J220="",#N/A,SUM(CI$4:CI220))</f>
        <v>0</v>
      </c>
      <c r="CK220" s="204" t="str">
        <f t="shared" si="367"/>
        <v/>
      </c>
      <c r="CL220" s="204">
        <f>IF($J220="",#N/A,SUM(CK$4:CK220))</f>
        <v>1.9927003554442289</v>
      </c>
      <c r="CM220" s="205" t="str">
        <f t="shared" si="368"/>
        <v/>
      </c>
      <c r="CN220" s="205">
        <f>IF($J220="",#N/A,SUM(CM$4:CM220))</f>
        <v>5.6091171609382364</v>
      </c>
      <c r="CO220" s="205">
        <f>IF($J220="",#N/A,SUM(CM$4:CM220,CK$4:CK220,CI$4:CI220))</f>
        <v>7.6018175163824644</v>
      </c>
      <c r="CP220" s="200" t="str">
        <f t="shared" si="369"/>
        <v/>
      </c>
      <c r="CQ220" s="203">
        <f>IF($J220="",#N/A,SUM(CP$4:CP220))</f>
        <v>0</v>
      </c>
      <c r="CR220" s="204" t="str">
        <f t="shared" si="370"/>
        <v/>
      </c>
      <c r="CS220" s="204">
        <f>IF($J220="",#N/A,SUM(CR$4:CR220))</f>
        <v>4.2989225684455388</v>
      </c>
      <c r="CT220" s="205" t="str">
        <f t="shared" si="371"/>
        <v/>
      </c>
      <c r="CU220" s="205">
        <f>IF($J220="",#N/A,SUM(CT$4:CT220))</f>
        <v>-1.1331655471946371</v>
      </c>
      <c r="CV220" s="205">
        <f>IF($J220="",#N/A,SUM(CT$4:CT220,CR$4:CR220,CP$4:CP220))</f>
        <v>3.1657570212509012</v>
      </c>
      <c r="CW220" s="200" t="str">
        <f t="shared" si="372"/>
        <v/>
      </c>
      <c r="CX220" s="203">
        <f>IF($J220="",#N/A,SUM(CW$4:CW220))</f>
        <v>-0.33865165024245297</v>
      </c>
      <c r="CY220" s="204" t="str">
        <f t="shared" si="373"/>
        <v/>
      </c>
      <c r="CZ220" s="204">
        <f>IF($J220="",#N/A,SUM(CY$4:CY220))</f>
        <v>-0.55412230890025005</v>
      </c>
      <c r="DA220" s="205" t="str">
        <f t="shared" si="374"/>
        <v/>
      </c>
      <c r="DB220" s="205">
        <f>IF($J220="",#N/A,SUM(DA$4:DA220))</f>
        <v>-2.2679577914291</v>
      </c>
      <c r="DC220" s="205">
        <f>IF($J220="",#N/A,SUM(DA$4:DA220,CY$4:CY220,CW$4:CW220))</f>
        <v>-3.1607317505718027</v>
      </c>
      <c r="DD220" s="200" t="str">
        <f t="shared" si="375"/>
        <v/>
      </c>
      <c r="DE220" s="203">
        <f>IF($J220="",#N/A,SUM(DD$4:DD220))</f>
        <v>0.14968716170674062</v>
      </c>
      <c r="DF220" s="204" t="str">
        <f t="shared" si="376"/>
        <v/>
      </c>
      <c r="DG220" s="204">
        <f>IF($J220="",#N/A,SUM(DF$4:DF220))</f>
        <v>1.5249935139936004</v>
      </c>
      <c r="DH220" s="205" t="str">
        <f t="shared" si="377"/>
        <v/>
      </c>
      <c r="DI220" s="205">
        <f>IF($J220="",#N/A,SUM(DH$4:DH220))</f>
        <v>-1.9066052078694633</v>
      </c>
      <c r="DJ220" s="205">
        <f>IF($J220="",#N/A,SUM(DH$4:DH220,DF$4:DF220,DD$4:DD220))</f>
        <v>-0.23192453216912207</v>
      </c>
      <c r="DK220" s="200" t="str">
        <f t="shared" si="378"/>
        <v/>
      </c>
      <c r="DL220" s="203">
        <f>IF($J220="",#N/A,SUM(DK$4:DK220))</f>
        <v>-1.2097286851272664</v>
      </c>
      <c r="DM220" s="204" t="str">
        <f t="shared" si="379"/>
        <v/>
      </c>
      <c r="DN220" s="204">
        <f>IF($J220="",#N/A,SUM(DM$4:DM220))</f>
        <v>1.1910608267574658</v>
      </c>
      <c r="DO220" s="205" t="str">
        <f t="shared" si="380"/>
        <v/>
      </c>
      <c r="DP220" s="205">
        <f>IF($J220="",#N/A,SUM(DO$4:DO220))</f>
        <v>2.6571865116636566</v>
      </c>
      <c r="DQ220" s="205">
        <f>IF($J220="",#N/A,SUM(DO$4:DO220,DM$4:DM220,DK$4:DK220))</f>
        <v>2.6385186532938567</v>
      </c>
      <c r="DR220" s="200" t="str">
        <f t="shared" si="381"/>
        <v/>
      </c>
      <c r="DS220" s="203">
        <f>IF($J220="",#N/A,SUM(DR$4:DR220))</f>
        <v>-0.55950946427675097</v>
      </c>
      <c r="DT220" s="204" t="str">
        <f t="shared" si="382"/>
        <v/>
      </c>
      <c r="DU220" s="204">
        <f>IF($J220="",#N/A,SUM(DT$4:DT220))</f>
        <v>-3.6911249040845173</v>
      </c>
      <c r="DV220" s="205" t="str">
        <f t="shared" si="383"/>
        <v/>
      </c>
      <c r="DW220" s="205">
        <f>IF($J220="",#N/A,SUM(DV$4:DV220))</f>
        <v>-1.2815650893103838</v>
      </c>
      <c r="DX220" s="205">
        <f>IF($J220="",#N/A,SUM(DV$4:DV220,DT$4:DT220,DR$4:DR220))</f>
        <v>-5.532199457671652</v>
      </c>
      <c r="DY220" s="200" t="str">
        <f t="shared" si="384"/>
        <v/>
      </c>
      <c r="DZ220" s="203">
        <f>IF($J220="",#N/A,SUM(DY$4:DY220))</f>
        <v>-1.63480022183437</v>
      </c>
      <c r="EA220" s="204" t="str">
        <f t="shared" si="385"/>
        <v/>
      </c>
      <c r="EB220" s="204">
        <f>IF($J220="",#N/A,SUM(EA$4:EA220))</f>
        <v>0.65158371441459195</v>
      </c>
      <c r="EC220" s="205" t="str">
        <f t="shared" si="386"/>
        <v/>
      </c>
      <c r="ED220" s="205">
        <f>IF($J220="",#N/A,SUM(EC$4:EC220))</f>
        <v>3.0210456505626468</v>
      </c>
      <c r="EE220" s="205">
        <f>IF($J220="",#N/A,SUM(EC$4:EC220,EA$4:EA220,DY$4:DY220))</f>
        <v>2.0378291431428677</v>
      </c>
      <c r="EF220" s="200" t="str">
        <f t="shared" si="387"/>
        <v/>
      </c>
      <c r="EG220" s="203">
        <f>IF($J220="",#N/A,SUM(EF$4:EF220))</f>
        <v>-0.15098969023521425</v>
      </c>
      <c r="EH220" s="204" t="str">
        <f t="shared" si="388"/>
        <v/>
      </c>
      <c r="EI220" s="204">
        <f>IF($J220="",#N/A,SUM(EH$4:EH220))</f>
        <v>-2.6267690330909645</v>
      </c>
      <c r="EJ220" s="205">
        <f t="shared" si="389"/>
        <v>1.4465597361714904</v>
      </c>
      <c r="EK220" s="205">
        <f>IF($J220="",#N/A,SUM(EJ$4:EJ220))</f>
        <v>4.6014417494274094</v>
      </c>
      <c r="EL220" s="205">
        <f>IF($J220="",#N/A,SUM(EJ$4:EJ220,EH$4:EH220,EF$4:EF220))</f>
        <v>1.8236830261012313</v>
      </c>
      <c r="EM220" s="200" t="str">
        <f t="shared" si="390"/>
        <v/>
      </c>
      <c r="EN220" s="203">
        <f>IF($J220="",#N/A,SUM(EM$4:EM220))</f>
        <v>0</v>
      </c>
      <c r="EO220" s="204" t="str">
        <f t="shared" si="391"/>
        <v/>
      </c>
      <c r="EP220" s="204">
        <f>IF($J220="",#N/A,SUM(EO$4:EO220))</f>
        <v>3.2406646352184261</v>
      </c>
      <c r="EQ220" s="205" t="str">
        <f t="shared" si="392"/>
        <v/>
      </c>
      <c r="ER220" s="205">
        <f>IF($J220="",#N/A,SUM(EQ$4:EQ220))</f>
        <v>1.441536272249796</v>
      </c>
      <c r="ES220" s="205">
        <f>IF($J220="",#N/A,SUM(EQ$4:EQ220,EO$4:EO220,EM$4:EM220))</f>
        <v>4.6822009074682214</v>
      </c>
      <c r="ET220" s="200" t="str">
        <f t="shared" si="393"/>
        <v/>
      </c>
      <c r="EU220" s="203">
        <f>IF($J220="",#N/A,SUM(ET$4:ET220))</f>
        <v>0</v>
      </c>
      <c r="EV220" s="204" t="str">
        <f t="shared" si="394"/>
        <v/>
      </c>
      <c r="EW220" s="204">
        <f>IF($J220="",#N/A,SUM(EV$4:EV220))</f>
        <v>1.9901851109977766</v>
      </c>
      <c r="EX220" s="205" t="str">
        <f t="shared" si="395"/>
        <v/>
      </c>
      <c r="EY220" s="205">
        <f>IF($J220="",#N/A,SUM(EX$4:EX220))</f>
        <v>-9.038537462898949E-2</v>
      </c>
      <c r="EZ220" s="205">
        <f>IF($J220="",#N/A,SUM(EX$4:EX220,EV$4:EV220,ET$4:ET220))</f>
        <v>1.8997997363687871</v>
      </c>
      <c r="FA220" s="200" t="str">
        <f t="shared" si="396"/>
        <v/>
      </c>
      <c r="FB220" s="203">
        <f>IF($J220="",#N/A,SUM(FA$4:FA220))</f>
        <v>0</v>
      </c>
      <c r="FC220" s="204" t="str">
        <f t="shared" si="397"/>
        <v/>
      </c>
      <c r="FD220" s="204">
        <f>IF($J220="",#N/A,SUM(FC$4:FC220))</f>
        <v>1.6839191319663924</v>
      </c>
      <c r="FE220" s="205" t="str">
        <f t="shared" si="398"/>
        <v/>
      </c>
      <c r="FF220" s="205">
        <f>IF($J220="",#N/A,SUM(FE$4:FE220))</f>
        <v>-0.28811149078748233</v>
      </c>
      <c r="FG220" s="205">
        <f>IF($J220="",#N/A,SUM(FE$4:FE220,FC$4:FC220,FA$4:FA220))</f>
        <v>1.3958076411789102</v>
      </c>
      <c r="FH220" s="200" t="str">
        <f t="shared" si="399"/>
        <v/>
      </c>
      <c r="FI220" s="203">
        <f>IF($J220="",#N/A,SUM(FH$4:FH220))</f>
        <v>0</v>
      </c>
      <c r="FJ220" s="204" t="str">
        <f t="shared" si="400"/>
        <v/>
      </c>
      <c r="FK220" s="204">
        <f>IF($J220="",#N/A,SUM(FJ$4:FJ220))</f>
        <v>0</v>
      </c>
      <c r="FL220" s="205" t="str">
        <f t="shared" si="401"/>
        <v/>
      </c>
      <c r="FM220" s="205">
        <f>IF($J220="",#N/A,SUM(FL$4:FL220))</f>
        <v>0</v>
      </c>
      <c r="FN220" s="205">
        <f>IF($J220="",#N/A,SUM(FL$4:FL220,FJ$4:FJ220,FH$4:FH220))</f>
        <v>0</v>
      </c>
      <c r="FO220" s="200" t="str">
        <f t="shared" si="402"/>
        <v/>
      </c>
      <c r="FP220" s="203">
        <f>IF($J220="",#N/A,SUM(FO$4:FO220))</f>
        <v>0</v>
      </c>
      <c r="FQ220" s="204" t="str">
        <f t="shared" si="403"/>
        <v/>
      </c>
      <c r="FR220" s="204">
        <f>IF($J220="",#N/A,SUM(FQ$4:FQ220))</f>
        <v>0</v>
      </c>
      <c r="FS220" s="205" t="str">
        <f t="shared" si="404"/>
        <v/>
      </c>
      <c r="FT220" s="205">
        <f>IF($J220="",#N/A,SUM(FS$4:FS220))</f>
        <v>0</v>
      </c>
      <c r="FU220" s="205">
        <f>IF($J220="",#N/A,SUM(FS$4:FS220,FQ$4:FQ220,FO$4:FO220))</f>
        <v>0</v>
      </c>
      <c r="FV220" s="200" t="str">
        <f t="shared" si="405"/>
        <v/>
      </c>
      <c r="FW220" s="203">
        <f>IF($J220="",#N/A,SUM(FV$4:FV220))</f>
        <v>6.6834991831277585E-2</v>
      </c>
      <c r="FX220" s="204" t="str">
        <f t="shared" si="406"/>
        <v/>
      </c>
      <c r="FY220" s="204">
        <f>IF($J220="",#N/A,SUM(FX$4:FX220))</f>
        <v>-0.16102012791805576</v>
      </c>
      <c r="FZ220" s="205" t="str">
        <f t="shared" si="407"/>
        <v/>
      </c>
      <c r="GA220" s="205">
        <f>IF($J220="",#N/A,SUM(FZ$4:FZ220))</f>
        <v>-1.7642101813332194</v>
      </c>
      <c r="GB220" s="205">
        <f>IF($J220="",#N/A,SUM(FZ$4:FZ220,FX$4:FX220,FV$4:FV220))</f>
        <v>-1.8583953174199976</v>
      </c>
      <c r="GC220" s="200" t="str">
        <f t="shared" si="408"/>
        <v/>
      </c>
      <c r="GD220" s="203">
        <f>IF($J220="",#N/A,SUM(GC$4:GC220))</f>
        <v>0</v>
      </c>
      <c r="GE220" s="204" t="str">
        <f t="shared" si="409"/>
        <v/>
      </c>
      <c r="GF220" s="204">
        <f>IF($J220="",#N/A,SUM(GE$4:GE220))</f>
        <v>0</v>
      </c>
      <c r="GG220" s="205" t="str">
        <f t="shared" si="410"/>
        <v/>
      </c>
      <c r="GH220" s="205">
        <f>IF($J220="",#N/A,SUM(GG$4:GG220))</f>
        <v>-2.9368362277223206</v>
      </c>
      <c r="GI220" s="205">
        <f>IF($J220="",#N/A,SUM(GG$4:GG220,GE$4:GE220,GC$4:GC220))</f>
        <v>-2.9368362277223206</v>
      </c>
      <c r="GJ220" s="200" t="str">
        <f t="shared" si="411"/>
        <v/>
      </c>
      <c r="GK220" s="203">
        <f>IF($J220="",#N/A,SUM(GJ$4:GJ220))</f>
        <v>0</v>
      </c>
      <c r="GL220" s="204" t="str">
        <f t="shared" si="412"/>
        <v/>
      </c>
      <c r="GM220" s="204">
        <f>IF($J220="",#N/A,SUM(GL$4:GL220))</f>
        <v>-2.1821391544892714</v>
      </c>
      <c r="GN220" s="205" t="str">
        <f t="shared" si="413"/>
        <v/>
      </c>
      <c r="GO220" s="205">
        <f>IF($J220="",#N/A,SUM(GN$4:GN220))</f>
        <v>0</v>
      </c>
      <c r="GP220" s="205">
        <f>IF($J220="",#N/A,SUM(GN$4:GN220,GL$4:GL220,GJ$4:GJ220))</f>
        <v>-2.1821391544892714</v>
      </c>
      <c r="GS220" s="54">
        <f t="shared" si="432"/>
        <v>1.4465597361714904</v>
      </c>
      <c r="GT220" s="54">
        <f>IF(GS220="",NA(),SUM($GS$4:GS220))</f>
        <v>3.9209219994805231</v>
      </c>
      <c r="GU220" s="54" t="str">
        <f t="shared" si="414"/>
        <v/>
      </c>
      <c r="GV220" s="54" t="e">
        <f>IF(GU220="",NA(),SUM($GU$4:GU220))</f>
        <v>#N/A</v>
      </c>
      <c r="GW220" s="54">
        <f t="shared" si="415"/>
        <v>1.4465597361714904</v>
      </c>
      <c r="GX220" s="54">
        <f>IF(GW220="",NA(),SUM($GW$4:GW220))</f>
        <v>5.2975979396175932</v>
      </c>
      <c r="GY220" s="54" t="str">
        <f t="shared" si="416"/>
        <v/>
      </c>
      <c r="GZ220" s="54" t="e">
        <f>IF(GY220="",NA(),SUM($GY$4:GY220))</f>
        <v>#N/A</v>
      </c>
      <c r="HA220" s="54" t="str">
        <f t="shared" si="417"/>
        <v/>
      </c>
      <c r="HB220" s="54" t="e">
        <f>IF(HA220="",NA(),SUM($HA$4:HA220))</f>
        <v>#N/A</v>
      </c>
      <c r="HC220" s="54" t="str">
        <f t="shared" si="418"/>
        <v/>
      </c>
      <c r="HD220" s="54" t="e">
        <f>IF(HC220="",NA(),SUM($HC$4:HC220))</f>
        <v>#N/A</v>
      </c>
      <c r="HE220" s="54" t="str">
        <f t="shared" si="419"/>
        <v/>
      </c>
      <c r="HF220" s="54" t="e">
        <f>IF(HE220="",NA(),SUM($HE$4:HE220))</f>
        <v>#N/A</v>
      </c>
      <c r="HG220" s="54" t="str">
        <f t="shared" si="420"/>
        <v/>
      </c>
      <c r="HH220" s="54" t="e">
        <f>IF(HG220="",NA(),SUM($HG$4:HG220))</f>
        <v>#N/A</v>
      </c>
      <c r="HI220" s="172" t="str">
        <f t="shared" si="433"/>
        <v/>
      </c>
      <c r="HJ220" s="172">
        <f>IF($J220="",#N/A,SUM(HI$4:$HI220))</f>
        <v>-7.4992019482494197</v>
      </c>
      <c r="HK220" s="54" t="str">
        <f t="shared" si="421"/>
        <v/>
      </c>
      <c r="HL220" s="54">
        <f>IF($J220="",#N/A,SUM($HK$4:HK220))</f>
        <v>-2.1671285178193944</v>
      </c>
      <c r="HM220" s="54" t="str">
        <f t="shared" si="422"/>
        <v/>
      </c>
      <c r="HN220" s="54">
        <f>IF($J220="",#N/A,SUM($HM$4:HM220))</f>
        <v>0.71812545963587882</v>
      </c>
      <c r="HO220" s="54" t="str">
        <f t="shared" si="423"/>
        <v/>
      </c>
      <c r="HP220" s="54">
        <f>IF($J220="",#N/A,SUM($HO$4:HO220))</f>
        <v>0.52783589553778021</v>
      </c>
      <c r="HQ220" s="54">
        <f t="shared" si="424"/>
        <v>-0.76200469694698392</v>
      </c>
      <c r="HR220" s="54">
        <f>IF($J220="",#N/A,SUM($HQ$4:HQ220))</f>
        <v>-14.127571644119183</v>
      </c>
      <c r="HS220" s="54" t="str">
        <f t="shared" si="425"/>
        <v/>
      </c>
      <c r="HT220" s="54">
        <f>IF($J220="",#N/A,SUM($HS$4:HS220))</f>
        <v>12.355916080255803</v>
      </c>
      <c r="HU220" s="65">
        <f t="shared" si="426"/>
        <v>0.68455503922450645</v>
      </c>
      <c r="HV220" s="65">
        <f>IF($J220="",#N/A,SUM(HU$4:$HU220))</f>
        <v>-0.52189214493360125</v>
      </c>
    </row>
    <row r="221" spans="1:230" x14ac:dyDescent="0.25">
      <c r="A221" s="51" t="s">
        <v>298</v>
      </c>
      <c r="B221" s="52" t="s">
        <v>4544</v>
      </c>
      <c r="C221" s="229">
        <f t="shared" si="327"/>
        <v>1</v>
      </c>
      <c r="D221" s="219" t="str">
        <f>_xlfn.XLOOKUP(A221,[1]SP500!$A$2:$A$502,[1]SP500!$D$2:$D$502,"N")</f>
        <v>Y</v>
      </c>
      <c r="E221" s="51" t="str">
        <f>IFERROR(_xlfn.XLOOKUP(A221,[1]SP500!$A$2:$A$655,[1]SP500!$B$2:$B$655),"")</f>
        <v>XLI</v>
      </c>
      <c r="F221" s="290">
        <v>45778</v>
      </c>
      <c r="G221" s="51" t="str">
        <f t="shared" si="328"/>
        <v>BMO</v>
      </c>
      <c r="H221" s="51" t="str">
        <f t="shared" si="329"/>
        <v>s</v>
      </c>
      <c r="I221" s="344">
        <v>138.58000000000001</v>
      </c>
      <c r="J221" s="124">
        <v>146.46</v>
      </c>
      <c r="K221" s="55">
        <f t="shared" si="330"/>
        <v>5.6862462115745381E-2</v>
      </c>
      <c r="L221" s="67">
        <f t="shared" si="331"/>
        <v>55.159999999999968</v>
      </c>
      <c r="M221" s="57">
        <f t="shared" si="332"/>
        <v>0</v>
      </c>
      <c r="N221" s="102">
        <f t="shared" si="333"/>
        <v>55.159999999999968</v>
      </c>
      <c r="O221" s="57">
        <f>IF(N221="",#N/A,SUM($N$4:N221))</f>
        <v>463.20865200916876</v>
      </c>
      <c r="P221" s="65">
        <f t="shared" si="427"/>
        <v>0.94770770192908971</v>
      </c>
      <c r="Q221" s="172">
        <f>IF($N221="",#N/A,SUM($P$4:P221))</f>
        <v>10.61784023175402</v>
      </c>
      <c r="R221" s="279">
        <f t="shared" si="334"/>
        <v>3.5299780127753904</v>
      </c>
      <c r="S221" s="51" t="str">
        <f t="shared" si="335"/>
        <v>Up</v>
      </c>
      <c r="T221" s="51" t="s">
        <v>4462</v>
      </c>
      <c r="U221" s="56">
        <f t="shared" si="336"/>
        <v>138.58000000000001</v>
      </c>
      <c r="V221" s="56" t="s">
        <v>4460</v>
      </c>
      <c r="W221" s="142">
        <v>7</v>
      </c>
      <c r="X221" s="145">
        <f t="shared" si="337"/>
        <v>970.06000000000006</v>
      </c>
      <c r="Y221" s="140">
        <f t="shared" si="338"/>
        <v>7</v>
      </c>
      <c r="Z221" s="123">
        <v>146.46</v>
      </c>
      <c r="AA221" s="102">
        <f t="shared" si="339"/>
        <v>55.159999999999968</v>
      </c>
      <c r="AB221" s="102">
        <f t="shared" si="340"/>
        <v>66.149999999999977</v>
      </c>
      <c r="AC221" s="124">
        <v>148.03</v>
      </c>
      <c r="AD221" s="155">
        <f t="shared" si="341"/>
        <v>66.149999999999977</v>
      </c>
      <c r="AE221" s="545">
        <f t="shared" si="342"/>
        <v>1.1365276374657234</v>
      </c>
      <c r="AF221" s="57">
        <f>IF($AC221="",#N/A,SUM(AD$4:AD221))</f>
        <v>-48.600219110827879</v>
      </c>
      <c r="AG221" s="102">
        <f t="shared" si="343"/>
        <v>10.990000000000009</v>
      </c>
      <c r="AH221" s="56" t="s">
        <v>2507</v>
      </c>
      <c r="AI221" s="65">
        <f t="shared" si="344"/>
        <v>0.94770770192908971</v>
      </c>
      <c r="AJ221" s="350">
        <f>IF(AI221="",#N/A,SUM($AI$4:AI221))</f>
        <v>7.0878622189786293</v>
      </c>
      <c r="AK221" s="57">
        <f t="shared" si="345"/>
        <v>55.159999999999968</v>
      </c>
      <c r="AL221" s="349">
        <f>IF(AI221="",#N/A,IF(AH221="Skip",SUM($AK$4:AK221),SUM($AK$4:AK221)))</f>
        <v>221.86759149281431</v>
      </c>
      <c r="AM221" s="65">
        <f t="shared" si="428"/>
        <v>1.1365276374657234</v>
      </c>
      <c r="AN221" s="211"/>
      <c r="AO221" s="65" t="str">
        <f t="shared" si="346"/>
        <v/>
      </c>
      <c r="AP221" s="65">
        <f>IF($AC221="",#N/A,SUM(AO$4:AO221))</f>
        <v>3.8898348707027717</v>
      </c>
      <c r="AQ221" s="65">
        <f t="shared" si="347"/>
        <v>1.1365276374657234</v>
      </c>
      <c r="AR221" s="65">
        <f>IF($AC221="",#N/A,SUM(AQ$4:AQ221))</f>
        <v>-1.2946685655386543</v>
      </c>
      <c r="AS221" s="65" t="str">
        <f t="shared" si="348"/>
        <v/>
      </c>
      <c r="AT221" s="65">
        <f>IF($AC221="",#N/A,SUM(AS$4:AS221))</f>
        <v>-1.980530812631998</v>
      </c>
      <c r="AU221" s="57" t="str">
        <f t="shared" si="429"/>
        <v/>
      </c>
      <c r="AV221" s="57">
        <f>IF($AC221="",#N/A,SUM(AU$4:AU221))</f>
        <v>129.05139934283909</v>
      </c>
      <c r="AW221" s="57">
        <f t="shared" si="430"/>
        <v>66.149999999999977</v>
      </c>
      <c r="AX221" s="57">
        <f>IF($AC221="",#N/A,SUM(AW$4:AW221))</f>
        <v>-85.340000000000032</v>
      </c>
      <c r="AY221" s="57" t="str">
        <f t="shared" si="431"/>
        <v/>
      </c>
      <c r="AZ221" s="57">
        <f>IF($AC221="",#N/A,SUM(AY$4:AY221))</f>
        <v>-92.311618453666938</v>
      </c>
      <c r="BA221" s="57">
        <f>IF(AD221="",#N/A,SUM($AD$4:AD221))</f>
        <v>-48.600219110827879</v>
      </c>
      <c r="BC221" s="51">
        <f t="shared" si="349"/>
        <v>1</v>
      </c>
      <c r="BD221" s="51" t="str">
        <f t="shared" si="350"/>
        <v/>
      </c>
      <c r="BE221" s="51" t="str">
        <f t="shared" si="351"/>
        <v/>
      </c>
      <c r="BF221" s="51" t="str">
        <f t="shared" si="352"/>
        <v>Long</v>
      </c>
      <c r="BG221" s="51" t="str">
        <f t="shared" si="353"/>
        <v/>
      </c>
      <c r="BH221" s="51" t="str">
        <f t="shared" si="354"/>
        <v/>
      </c>
      <c r="BI221" s="51" t="str">
        <f t="shared" si="355"/>
        <v/>
      </c>
      <c r="BK221" s="65">
        <f t="shared" si="326"/>
        <v>0.14405062684153377</v>
      </c>
      <c r="BL221" s="65">
        <f t="shared" si="434"/>
        <v>6.1612979487580904E-2</v>
      </c>
      <c r="BM221" s="65">
        <f>IFERROR(Q221/COUNTA($J$4:J221),#N/A)</f>
        <v>4.8705689136486326E-2</v>
      </c>
      <c r="BO221" s="489" t="e">
        <f>IF(J221="",#N/A,IF(S221="SW",(COUNTIFS(K$4:$K221,"&gt;0",S$4:$S221,"SW")/COUNTIF(S$4:$S221,"SW")),#N/A))</f>
        <v>#N/A</v>
      </c>
      <c r="BP221" s="489" t="e">
        <f>IF($J221="",#N/A,IF($S221="DWN",(COUNTIFS($K$4:$K221,"&lt;0",$S$4:$S221,"DWN")/COUNTIF($S$4:$S221,"DWN")),#N/A))</f>
        <v>#N/A</v>
      </c>
      <c r="BQ221" s="489">
        <f>IF($J221="",#N/A,IF($S221="UP",(COUNTIFS($K$4:$K221,"&gt;0",$S$4:$S221,"UP")/COUNTIF($S$4:$S221,"UP")),#N/A))</f>
        <v>0.36363636363636365</v>
      </c>
      <c r="BR221" s="489">
        <f>IF(J221="",#N/A,COUNTIF($K$4:K221,"&gt;0")/COUNT($J$4:J221))</f>
        <v>0.46330275229357798</v>
      </c>
      <c r="BS221" s="65">
        <f t="shared" si="356"/>
        <v>0.94770770192908971</v>
      </c>
      <c r="BT221" s="65" t="str">
        <f t="shared" si="357"/>
        <v/>
      </c>
      <c r="BU221" s="65" t="str">
        <f t="shared" si="358"/>
        <v/>
      </c>
      <c r="BV221" s="65" t="str">
        <f t="shared" si="359"/>
        <v/>
      </c>
      <c r="BW221" s="128">
        <f t="shared" si="360"/>
        <v>55.159999999999968</v>
      </c>
      <c r="BX221" s="128">
        <f>IF($J221="",#N/A,SUM($BW$4:BW221))</f>
        <v>-178.45000000000039</v>
      </c>
      <c r="BY221" s="131" t="str">
        <f t="shared" si="361"/>
        <v/>
      </c>
      <c r="BZ221" s="131">
        <f>IF($J221="",#N/A,SUM($BY$4:BY221))</f>
        <v>434.18934038933435</v>
      </c>
      <c r="CA221" s="133" t="str">
        <f t="shared" si="362"/>
        <v/>
      </c>
      <c r="CB221" s="133">
        <f>IF($J221="",#N/A,SUM($CA$4:CA221))</f>
        <v>207.46931161983483</v>
      </c>
      <c r="CC221" s="194">
        <f t="shared" si="363"/>
        <v>0.94770770192908971</v>
      </c>
      <c r="CD221" s="194">
        <f>IF($J221="",#N/A,SUM($CC$4:CC221))</f>
        <v>-2.7294498562489466</v>
      </c>
      <c r="CE221" s="195" t="str">
        <f t="shared" si="364"/>
        <v/>
      </c>
      <c r="CF221" s="195">
        <f>IF($J221="",#N/A,SUM($CE$4:CE221))</f>
        <v>7.6857996534368214</v>
      </c>
      <c r="CG221" s="196" t="str">
        <f t="shared" si="365"/>
        <v/>
      </c>
      <c r="CH221" s="196">
        <f>IF($J221="",#N/A,SUM($CG$4:CG221))</f>
        <v>5.6614904345661534</v>
      </c>
      <c r="CI221" s="200" t="str">
        <f t="shared" si="366"/>
        <v/>
      </c>
      <c r="CJ221" s="203">
        <f>IF($J221="",#N/A,SUM(CI$4:CI221))</f>
        <v>0</v>
      </c>
      <c r="CK221" s="204" t="str">
        <f t="shared" si="367"/>
        <v/>
      </c>
      <c r="CL221" s="204">
        <f>IF($J221="",#N/A,SUM(CK$4:CK221))</f>
        <v>1.9927003554442289</v>
      </c>
      <c r="CM221" s="205" t="str">
        <f t="shared" si="368"/>
        <v/>
      </c>
      <c r="CN221" s="205">
        <f>IF($J221="",#N/A,SUM(CM$4:CM221))</f>
        <v>5.6091171609382364</v>
      </c>
      <c r="CO221" s="205">
        <f>IF($J221="",#N/A,SUM(CM$4:CM221,CK$4:CK221,CI$4:CI221))</f>
        <v>7.6018175163824644</v>
      </c>
      <c r="CP221" s="200" t="str">
        <f t="shared" si="369"/>
        <v/>
      </c>
      <c r="CQ221" s="203">
        <f>IF($J221="",#N/A,SUM(CP$4:CP221))</f>
        <v>0</v>
      </c>
      <c r="CR221" s="204" t="str">
        <f t="shared" si="370"/>
        <v/>
      </c>
      <c r="CS221" s="204">
        <f>IF($J221="",#N/A,SUM(CR$4:CR221))</f>
        <v>4.2989225684455388</v>
      </c>
      <c r="CT221" s="205" t="str">
        <f t="shared" si="371"/>
        <v/>
      </c>
      <c r="CU221" s="205">
        <f>IF($J221="",#N/A,SUM(CT$4:CT221))</f>
        <v>-1.1331655471946371</v>
      </c>
      <c r="CV221" s="205">
        <f>IF($J221="",#N/A,SUM(CT$4:CT221,CR$4:CR221,CP$4:CP221))</f>
        <v>3.1657570212509012</v>
      </c>
      <c r="CW221" s="200" t="str">
        <f t="shared" si="372"/>
        <v/>
      </c>
      <c r="CX221" s="203">
        <f>IF($J221="",#N/A,SUM(CW$4:CW221))</f>
        <v>-0.33865165024245297</v>
      </c>
      <c r="CY221" s="204" t="str">
        <f t="shared" si="373"/>
        <v/>
      </c>
      <c r="CZ221" s="204">
        <f>IF($J221="",#N/A,SUM(CY$4:CY221))</f>
        <v>-0.55412230890025005</v>
      </c>
      <c r="DA221" s="205" t="str">
        <f t="shared" si="374"/>
        <v/>
      </c>
      <c r="DB221" s="205">
        <f>IF($J221="",#N/A,SUM(DA$4:DA221))</f>
        <v>-2.2679577914291</v>
      </c>
      <c r="DC221" s="205">
        <f>IF($J221="",#N/A,SUM(DA$4:DA221,CY$4:CY221,CW$4:CW221))</f>
        <v>-3.1607317505718027</v>
      </c>
      <c r="DD221" s="200" t="str">
        <f t="shared" si="375"/>
        <v/>
      </c>
      <c r="DE221" s="203">
        <f>IF($J221="",#N/A,SUM(DD$4:DD221))</f>
        <v>0.14968716170674062</v>
      </c>
      <c r="DF221" s="204" t="str">
        <f t="shared" si="376"/>
        <v/>
      </c>
      <c r="DG221" s="204">
        <f>IF($J221="",#N/A,SUM(DF$4:DF221))</f>
        <v>1.5249935139936004</v>
      </c>
      <c r="DH221" s="205" t="str">
        <f t="shared" si="377"/>
        <v/>
      </c>
      <c r="DI221" s="205">
        <f>IF($J221="",#N/A,SUM(DH$4:DH221))</f>
        <v>-1.9066052078694633</v>
      </c>
      <c r="DJ221" s="205">
        <f>IF($J221="",#N/A,SUM(DH$4:DH221,DF$4:DF221,DD$4:DD221))</f>
        <v>-0.23192453216912207</v>
      </c>
      <c r="DK221" s="200" t="str">
        <f t="shared" si="378"/>
        <v/>
      </c>
      <c r="DL221" s="203">
        <f>IF($J221="",#N/A,SUM(DK$4:DK221))</f>
        <v>-1.2097286851272664</v>
      </c>
      <c r="DM221" s="204" t="str">
        <f t="shared" si="379"/>
        <v/>
      </c>
      <c r="DN221" s="204">
        <f>IF($J221="",#N/A,SUM(DM$4:DM221))</f>
        <v>1.1910608267574658</v>
      </c>
      <c r="DO221" s="205" t="str">
        <f t="shared" si="380"/>
        <v/>
      </c>
      <c r="DP221" s="205">
        <f>IF($J221="",#N/A,SUM(DO$4:DO221))</f>
        <v>2.6571865116636566</v>
      </c>
      <c r="DQ221" s="205">
        <f>IF($J221="",#N/A,SUM(DO$4:DO221,DM$4:DM221,DK$4:DK221))</f>
        <v>2.6385186532938567</v>
      </c>
      <c r="DR221" s="200" t="str">
        <f t="shared" si="381"/>
        <v/>
      </c>
      <c r="DS221" s="203">
        <f>IF($J221="",#N/A,SUM(DR$4:DR221))</f>
        <v>-0.55950946427675097</v>
      </c>
      <c r="DT221" s="204" t="str">
        <f t="shared" si="382"/>
        <v/>
      </c>
      <c r="DU221" s="204">
        <f>IF($J221="",#N/A,SUM(DT$4:DT221))</f>
        <v>-3.6911249040845173</v>
      </c>
      <c r="DV221" s="205" t="str">
        <f t="shared" si="383"/>
        <v/>
      </c>
      <c r="DW221" s="205">
        <f>IF($J221="",#N/A,SUM(DV$4:DV221))</f>
        <v>-1.2815650893103838</v>
      </c>
      <c r="DX221" s="205">
        <f>IF($J221="",#N/A,SUM(DV$4:DV221,DT$4:DT221,DR$4:DR221))</f>
        <v>-5.532199457671652</v>
      </c>
      <c r="DY221" s="200">
        <f t="shared" si="384"/>
        <v>0.94770770192908971</v>
      </c>
      <c r="DZ221" s="203">
        <f>IF($J221="",#N/A,SUM(DY$4:DY221))</f>
        <v>-0.68709251990528031</v>
      </c>
      <c r="EA221" s="204" t="str">
        <f t="shared" si="385"/>
        <v/>
      </c>
      <c r="EB221" s="204">
        <f>IF($J221="",#N/A,SUM(EA$4:EA221))</f>
        <v>0.65158371441459195</v>
      </c>
      <c r="EC221" s="205" t="str">
        <f t="shared" si="386"/>
        <v/>
      </c>
      <c r="ED221" s="205">
        <f>IF($J221="",#N/A,SUM(EC$4:EC221))</f>
        <v>3.0210456505626468</v>
      </c>
      <c r="EE221" s="205">
        <f>IF($J221="",#N/A,SUM(EC$4:EC221,EA$4:EA221,DY$4:DY221))</f>
        <v>2.9855368450719575</v>
      </c>
      <c r="EF221" s="200" t="str">
        <f t="shared" si="387"/>
        <v/>
      </c>
      <c r="EG221" s="203">
        <f>IF($J221="",#N/A,SUM(EF$4:EF221))</f>
        <v>-0.15098969023521425</v>
      </c>
      <c r="EH221" s="204" t="str">
        <f t="shared" si="388"/>
        <v/>
      </c>
      <c r="EI221" s="204">
        <f>IF($J221="",#N/A,SUM(EH$4:EH221))</f>
        <v>-2.6267690330909645</v>
      </c>
      <c r="EJ221" s="205" t="str">
        <f t="shared" si="389"/>
        <v/>
      </c>
      <c r="EK221" s="205">
        <f>IF($J221="",#N/A,SUM(EJ$4:EJ221))</f>
        <v>4.6014417494274094</v>
      </c>
      <c r="EL221" s="205">
        <f>IF($J221="",#N/A,SUM(EJ$4:EJ221,EH$4:EH221,EF$4:EF221))</f>
        <v>1.8236830261012313</v>
      </c>
      <c r="EM221" s="200" t="str">
        <f t="shared" si="390"/>
        <v/>
      </c>
      <c r="EN221" s="203">
        <f>IF($J221="",#N/A,SUM(EM$4:EM221))</f>
        <v>0</v>
      </c>
      <c r="EO221" s="204" t="str">
        <f t="shared" si="391"/>
        <v/>
      </c>
      <c r="EP221" s="204">
        <f>IF($J221="",#N/A,SUM(EO$4:EO221))</f>
        <v>3.2406646352184261</v>
      </c>
      <c r="EQ221" s="205" t="str">
        <f t="shared" si="392"/>
        <v/>
      </c>
      <c r="ER221" s="205">
        <f>IF($J221="",#N/A,SUM(EQ$4:EQ221))</f>
        <v>1.441536272249796</v>
      </c>
      <c r="ES221" s="205">
        <f>IF($J221="",#N/A,SUM(EQ$4:EQ221,EO$4:EO221,EM$4:EM221))</f>
        <v>4.6822009074682214</v>
      </c>
      <c r="ET221" s="200" t="str">
        <f t="shared" si="393"/>
        <v/>
      </c>
      <c r="EU221" s="203">
        <f>IF($J221="",#N/A,SUM(ET$4:ET221))</f>
        <v>0</v>
      </c>
      <c r="EV221" s="204" t="str">
        <f t="shared" si="394"/>
        <v/>
      </c>
      <c r="EW221" s="204">
        <f>IF($J221="",#N/A,SUM(EV$4:EV221))</f>
        <v>1.9901851109977766</v>
      </c>
      <c r="EX221" s="205" t="str">
        <f t="shared" si="395"/>
        <v/>
      </c>
      <c r="EY221" s="205">
        <f>IF($J221="",#N/A,SUM(EX$4:EX221))</f>
        <v>-9.038537462898949E-2</v>
      </c>
      <c r="EZ221" s="205">
        <f>IF($J221="",#N/A,SUM(EX$4:EX221,EV$4:EV221,ET$4:ET221))</f>
        <v>1.8997997363687871</v>
      </c>
      <c r="FA221" s="200" t="str">
        <f t="shared" si="396"/>
        <v/>
      </c>
      <c r="FB221" s="203">
        <f>IF($J221="",#N/A,SUM(FA$4:FA221))</f>
        <v>0</v>
      </c>
      <c r="FC221" s="204" t="str">
        <f t="shared" si="397"/>
        <v/>
      </c>
      <c r="FD221" s="204">
        <f>IF($J221="",#N/A,SUM(FC$4:FC221))</f>
        <v>1.6839191319663924</v>
      </c>
      <c r="FE221" s="205" t="str">
        <f t="shared" si="398"/>
        <v/>
      </c>
      <c r="FF221" s="205">
        <f>IF($J221="",#N/A,SUM(FE$4:FE221))</f>
        <v>-0.28811149078748233</v>
      </c>
      <c r="FG221" s="205">
        <f>IF($J221="",#N/A,SUM(FE$4:FE221,FC$4:FC221,FA$4:FA221))</f>
        <v>1.3958076411789102</v>
      </c>
      <c r="FH221" s="200" t="str">
        <f t="shared" si="399"/>
        <v/>
      </c>
      <c r="FI221" s="203">
        <f>IF($J221="",#N/A,SUM(FH$4:FH221))</f>
        <v>0</v>
      </c>
      <c r="FJ221" s="204" t="str">
        <f t="shared" si="400"/>
        <v/>
      </c>
      <c r="FK221" s="204">
        <f>IF($J221="",#N/A,SUM(FJ$4:FJ221))</f>
        <v>0</v>
      </c>
      <c r="FL221" s="205" t="str">
        <f t="shared" si="401"/>
        <v/>
      </c>
      <c r="FM221" s="205">
        <f>IF($J221="",#N/A,SUM(FL$4:FL221))</f>
        <v>0</v>
      </c>
      <c r="FN221" s="205">
        <f>IF($J221="",#N/A,SUM(FL$4:FL221,FJ$4:FJ221,FH$4:FH221))</f>
        <v>0</v>
      </c>
      <c r="FO221" s="200" t="str">
        <f t="shared" si="402"/>
        <v/>
      </c>
      <c r="FP221" s="203">
        <f>IF($J221="",#N/A,SUM(FO$4:FO221))</f>
        <v>0</v>
      </c>
      <c r="FQ221" s="204" t="str">
        <f t="shared" si="403"/>
        <v/>
      </c>
      <c r="FR221" s="204">
        <f>IF($J221="",#N/A,SUM(FQ$4:FQ221))</f>
        <v>0</v>
      </c>
      <c r="FS221" s="205" t="str">
        <f t="shared" si="404"/>
        <v/>
      </c>
      <c r="FT221" s="205">
        <f>IF($J221="",#N/A,SUM(FS$4:FS221))</f>
        <v>0</v>
      </c>
      <c r="FU221" s="205">
        <f>IF($J221="",#N/A,SUM(FS$4:FS221,FQ$4:FQ221,FO$4:FO221))</f>
        <v>0</v>
      </c>
      <c r="FV221" s="200" t="str">
        <f t="shared" si="405"/>
        <v/>
      </c>
      <c r="FW221" s="203">
        <f>IF($J221="",#N/A,SUM(FV$4:FV221))</f>
        <v>6.6834991831277585E-2</v>
      </c>
      <c r="FX221" s="204" t="str">
        <f t="shared" si="406"/>
        <v/>
      </c>
      <c r="FY221" s="204">
        <f>IF($J221="",#N/A,SUM(FX$4:FX221))</f>
        <v>-0.16102012791805576</v>
      </c>
      <c r="FZ221" s="205" t="str">
        <f t="shared" si="407"/>
        <v/>
      </c>
      <c r="GA221" s="205">
        <f>IF($J221="",#N/A,SUM(FZ$4:FZ221))</f>
        <v>-1.7642101813332194</v>
      </c>
      <c r="GB221" s="205">
        <f>IF($J221="",#N/A,SUM(FZ$4:FZ221,FX$4:FX221,FV$4:FV221))</f>
        <v>-1.8583953174199976</v>
      </c>
      <c r="GC221" s="200" t="str">
        <f t="shared" si="408"/>
        <v/>
      </c>
      <c r="GD221" s="203">
        <f>IF($J221="",#N/A,SUM(GC$4:GC221))</f>
        <v>0</v>
      </c>
      <c r="GE221" s="204" t="str">
        <f t="shared" si="409"/>
        <v/>
      </c>
      <c r="GF221" s="204">
        <f>IF($J221="",#N/A,SUM(GE$4:GE221))</f>
        <v>0</v>
      </c>
      <c r="GG221" s="205" t="str">
        <f t="shared" si="410"/>
        <v/>
      </c>
      <c r="GH221" s="205">
        <f>IF($J221="",#N/A,SUM(GG$4:GG221))</f>
        <v>-2.9368362277223206</v>
      </c>
      <c r="GI221" s="205">
        <f>IF($J221="",#N/A,SUM(GG$4:GG221,GE$4:GE221,GC$4:GC221))</f>
        <v>-2.9368362277223206</v>
      </c>
      <c r="GJ221" s="200" t="str">
        <f t="shared" si="411"/>
        <v/>
      </c>
      <c r="GK221" s="203">
        <f>IF($J221="",#N/A,SUM(GJ$4:GJ221))</f>
        <v>0</v>
      </c>
      <c r="GL221" s="204" t="str">
        <f t="shared" si="412"/>
        <v/>
      </c>
      <c r="GM221" s="204">
        <f>IF($J221="",#N/A,SUM(GL$4:GL221))</f>
        <v>-2.1821391544892714</v>
      </c>
      <c r="GN221" s="205" t="str">
        <f t="shared" si="413"/>
        <v/>
      </c>
      <c r="GO221" s="205">
        <f>IF($J221="",#N/A,SUM(GN$4:GN221))</f>
        <v>0</v>
      </c>
      <c r="GP221" s="205">
        <f>IF($J221="",#N/A,SUM(GN$4:GN221,GL$4:GL221,GJ$4:GJ221))</f>
        <v>-2.1821391544892714</v>
      </c>
      <c r="GS221" s="54">
        <f t="shared" si="432"/>
        <v>0.94770770192908971</v>
      </c>
      <c r="GT221" s="54">
        <f>IF(GS221="",NA(),SUM($GS$4:GS221))</f>
        <v>4.8686297014096125</v>
      </c>
      <c r="GU221" s="54">
        <f t="shared" si="414"/>
        <v>0.94770770192908971</v>
      </c>
      <c r="GV221" s="54">
        <f>IF(GU221="",NA(),SUM($GU$4:GU221))</f>
        <v>-2.7294498562489466</v>
      </c>
      <c r="GW221" s="54" t="str">
        <f t="shared" si="415"/>
        <v/>
      </c>
      <c r="GX221" s="54" t="e">
        <f>IF(GW221="",NA(),SUM($GW$4:GW221))</f>
        <v>#N/A</v>
      </c>
      <c r="GY221" s="54" t="str">
        <f t="shared" si="416"/>
        <v/>
      </c>
      <c r="GZ221" s="54" t="e">
        <f>IF(GY221="",NA(),SUM($GY$4:GY221))</f>
        <v>#N/A</v>
      </c>
      <c r="HA221" s="54" t="str">
        <f t="shared" si="417"/>
        <v/>
      </c>
      <c r="HB221" s="54" t="e">
        <f>IF(HA221="",NA(),SUM($HA$4:HA221))</f>
        <v>#N/A</v>
      </c>
      <c r="HC221" s="54" t="str">
        <f t="shared" si="418"/>
        <v/>
      </c>
      <c r="HD221" s="54" t="e">
        <f>IF(HC221="",NA(),SUM($HC$4:HC221))</f>
        <v>#N/A</v>
      </c>
      <c r="HE221" s="54" t="str">
        <f t="shared" si="419"/>
        <v/>
      </c>
      <c r="HF221" s="54" t="e">
        <f>IF(HE221="",NA(),SUM($HE$4:HE221))</f>
        <v>#N/A</v>
      </c>
      <c r="HG221" s="54" t="str">
        <f t="shared" si="420"/>
        <v/>
      </c>
      <c r="HH221" s="54" t="e">
        <f>IF(HG221="",NA(),SUM($HG$4:HG221))</f>
        <v>#N/A</v>
      </c>
      <c r="HI221" s="172" t="str">
        <f t="shared" si="433"/>
        <v/>
      </c>
      <c r="HJ221" s="172">
        <f>IF($J221="",#N/A,SUM(HI$4:$HI221))</f>
        <v>-7.4992019482494197</v>
      </c>
      <c r="HK221" s="54" t="str">
        <f t="shared" si="421"/>
        <v/>
      </c>
      <c r="HL221" s="54">
        <f>IF($J221="",#N/A,SUM($HK$4:HK221))</f>
        <v>-2.1671285178193944</v>
      </c>
      <c r="HM221" s="54">
        <f t="shared" si="422"/>
        <v>0.18881993553663368</v>
      </c>
      <c r="HN221" s="54">
        <f>IF($J221="",#N/A,SUM($HM$4:HM221))</f>
        <v>0.90694539517251249</v>
      </c>
      <c r="HO221" s="54" t="str">
        <f t="shared" si="423"/>
        <v/>
      </c>
      <c r="HP221" s="54">
        <f>IF($J221="",#N/A,SUM($HO$4:HO221))</f>
        <v>0.52783589553778021</v>
      </c>
      <c r="HQ221" s="54" t="str">
        <f t="shared" si="424"/>
        <v/>
      </c>
      <c r="HR221" s="54">
        <f>IF($J221="",#N/A,SUM($HQ$4:HQ221))</f>
        <v>-14.127571644119183</v>
      </c>
      <c r="HS221" s="54" t="str">
        <f t="shared" si="425"/>
        <v/>
      </c>
      <c r="HT221" s="54">
        <f>IF($J221="",#N/A,SUM($HS$4:HS221))</f>
        <v>12.355916080255803</v>
      </c>
      <c r="HU221" s="65">
        <f t="shared" si="426"/>
        <v>1.1365276374657234</v>
      </c>
      <c r="HV221" s="65">
        <f>IF($J221="",#N/A,SUM(HU$4:$HU221))</f>
        <v>0.61463549253212213</v>
      </c>
    </row>
    <row r="222" spans="1:230" x14ac:dyDescent="0.25">
      <c r="A222" s="51" t="s">
        <v>850</v>
      </c>
      <c r="B222" s="52" t="s">
        <v>4544</v>
      </c>
      <c r="C222" s="229">
        <f t="shared" si="327"/>
        <v>2</v>
      </c>
      <c r="D222" s="219" t="str">
        <f>_xlfn.XLOOKUP(A222,[1]SP500!$A$2:$A$502,[1]SP500!$D$2:$D$502,"N")</f>
        <v>Y</v>
      </c>
      <c r="E222" s="51" t="str">
        <f>IFERROR(_xlfn.XLOOKUP(A222,[1]SP500!$A$2:$A$655,[1]SP500!$B$2:$B$655),"")</f>
        <v>XLV</v>
      </c>
      <c r="F222" s="290">
        <v>45778</v>
      </c>
      <c r="G222" s="51" t="str">
        <f t="shared" si="328"/>
        <v>BMO</v>
      </c>
      <c r="H222" s="51" t="str">
        <f t="shared" si="329"/>
        <v>s</v>
      </c>
      <c r="I222" s="344">
        <v>31.17</v>
      </c>
      <c r="J222" s="124">
        <v>32.15</v>
      </c>
      <c r="K222" s="55">
        <f t="shared" si="330"/>
        <v>3.1440487648379749E-2</v>
      </c>
      <c r="L222" s="67">
        <f t="shared" si="331"/>
        <v>-34.299999999999955</v>
      </c>
      <c r="M222" s="57">
        <f t="shared" si="332"/>
        <v>0</v>
      </c>
      <c r="N222" s="102">
        <f t="shared" si="333"/>
        <v>-34.299999999999955</v>
      </c>
      <c r="O222" s="57">
        <f>IF(N222="",#N/A,SUM($N$4:N222))</f>
        <v>428.9086520091688</v>
      </c>
      <c r="P222" s="65">
        <f t="shared" si="427"/>
        <v>-0.52400812747299685</v>
      </c>
      <c r="Q222" s="172">
        <f>IF($N222="",#N/A,SUM($P$4:P222))</f>
        <v>10.093832104281024</v>
      </c>
      <c r="R222" s="279">
        <f t="shared" si="334"/>
        <v>3.5299780127753912</v>
      </c>
      <c r="S222" s="51" t="str">
        <f t="shared" si="335"/>
        <v>Dwn</v>
      </c>
      <c r="T222" s="51" t="s">
        <v>4461</v>
      </c>
      <c r="U222" s="56">
        <f t="shared" si="336"/>
        <v>31.17</v>
      </c>
      <c r="V222" s="56" t="s">
        <v>4458</v>
      </c>
      <c r="W222" s="142">
        <v>35</v>
      </c>
      <c r="X222" s="145">
        <f t="shared" si="337"/>
        <v>1090.95</v>
      </c>
      <c r="Y222" s="140">
        <f t="shared" si="338"/>
        <v>35</v>
      </c>
      <c r="Z222" s="123">
        <v>32.15</v>
      </c>
      <c r="AA222" s="102">
        <f t="shared" si="339"/>
        <v>-34.299999999999955</v>
      </c>
      <c r="AB222" s="102">
        <f t="shared" si="340"/>
        <v>17.5</v>
      </c>
      <c r="AC222" s="124">
        <v>30.67</v>
      </c>
      <c r="AD222" s="155">
        <f t="shared" si="341"/>
        <v>17.5</v>
      </c>
      <c r="AE222" s="545">
        <f t="shared" si="342"/>
        <v>0.26735108544540692</v>
      </c>
      <c r="AF222" s="57">
        <f>IF($AC222="",#N/A,SUM(AD$4:AD222))</f>
        <v>-31.100219110827879</v>
      </c>
      <c r="AG222" s="102">
        <f t="shared" si="343"/>
        <v>51.799999999999955</v>
      </c>
      <c r="AH222" s="56" t="s">
        <v>2507</v>
      </c>
      <c r="AI222" s="65">
        <f t="shared" si="344"/>
        <v>-0.52400812747299685</v>
      </c>
      <c r="AJ222" s="350">
        <f>IF(AI222="",#N/A,SUM($AI$4:AI222))</f>
        <v>6.5638540915056325</v>
      </c>
      <c r="AK222" s="57">
        <f t="shared" si="345"/>
        <v>-34.299999999999955</v>
      </c>
      <c r="AL222" s="349">
        <f>IF(AI222="",#N/A,IF(AH222="Skip",SUM($AK$4:AK222),SUM($AK$4:AK222)))</f>
        <v>187.56759149281436</v>
      </c>
      <c r="AM222" s="65">
        <f t="shared" si="428"/>
        <v>0.26735108544540692</v>
      </c>
      <c r="AN222" s="209"/>
      <c r="AO222" s="65" t="str">
        <f t="shared" si="346"/>
        <v/>
      </c>
      <c r="AP222" s="65">
        <f>IF($AC222="",#N/A,SUM(AO$4:AO222))</f>
        <v>3.8898348707027717</v>
      </c>
      <c r="AQ222" s="65" t="str">
        <f t="shared" si="347"/>
        <v/>
      </c>
      <c r="AR222" s="65">
        <f>IF($AC222="",#N/A,SUM(AQ$4:AQ222))</f>
        <v>-1.2946685655386543</v>
      </c>
      <c r="AS222" s="65">
        <f t="shared" si="348"/>
        <v>0.26735108544540692</v>
      </c>
      <c r="AT222" s="65">
        <f>IF($AC222="",#N/A,SUM(AS$4:AS222))</f>
        <v>-1.7131797271865912</v>
      </c>
      <c r="AU222" s="57" t="str">
        <f t="shared" si="429"/>
        <v/>
      </c>
      <c r="AV222" s="57">
        <f>IF($AC222="",#N/A,SUM(AU$4:AU222))</f>
        <v>129.05139934283909</v>
      </c>
      <c r="AW222" s="57" t="str">
        <f t="shared" si="430"/>
        <v/>
      </c>
      <c r="AX222" s="57">
        <f>IF($AC222="",#N/A,SUM(AW$4:AW222))</f>
        <v>-85.340000000000032</v>
      </c>
      <c r="AY222" s="57">
        <f t="shared" si="431"/>
        <v>17.5</v>
      </c>
      <c r="AZ222" s="57">
        <f>IF($AC222="",#N/A,SUM(AY$4:AY222))</f>
        <v>-74.811618453666938</v>
      </c>
      <c r="BA222" s="57">
        <f>IF(AD222="",#N/A,SUM($AD$4:AD222))</f>
        <v>-31.100219110827879</v>
      </c>
      <c r="BC222" s="51" t="str">
        <f t="shared" si="349"/>
        <v/>
      </c>
      <c r="BD222" s="51">
        <f t="shared" si="350"/>
        <v>1</v>
      </c>
      <c r="BE222" s="51" t="str">
        <f t="shared" si="351"/>
        <v/>
      </c>
      <c r="BF222" s="51" t="str">
        <f t="shared" si="352"/>
        <v>Short</v>
      </c>
      <c r="BG222" s="51" t="str">
        <f t="shared" si="353"/>
        <v/>
      </c>
      <c r="BH222" s="51" t="str">
        <f t="shared" si="354"/>
        <v/>
      </c>
      <c r="BI222" s="51" t="str">
        <f t="shared" si="355"/>
        <v/>
      </c>
      <c r="BK222" s="65">
        <f t="shared" si="326"/>
        <v>0.13402186023402429</v>
      </c>
      <c r="BL222" s="65">
        <f t="shared" si="434"/>
        <v>7.9088400015301652E-2</v>
      </c>
      <c r="BM222" s="65">
        <f>IFERROR(Q222/COUNTA($J$4:J222),#N/A)</f>
        <v>4.6090557553794625E-2</v>
      </c>
      <c r="BO222" s="489" t="e">
        <f>IF(J222="",#N/A,IF(S222="SW",(COUNTIFS(K$4:$K222,"&gt;0",S$4:$S222,"SW")/COUNTIF(S$4:$S222,"SW")),#N/A))</f>
        <v>#N/A</v>
      </c>
      <c r="BP222" s="489">
        <f>IF($J222="",#N/A,IF($S222="DWN",(COUNTIFS($K$4:$K222,"&lt;0",$S$4:$S222,"DWN")/COUNTIF($S$4:$S222,"DWN")),#N/A))</f>
        <v>0.56989247311827962</v>
      </c>
      <c r="BQ222" s="489" t="e">
        <f>IF($J222="",#N/A,IF($S222="UP",(COUNTIFS($K$4:$K222,"&gt;0",$S$4:$S222,"UP")/COUNTIF($S$4:$S222,"UP")),#N/A))</f>
        <v>#N/A</v>
      </c>
      <c r="BR222" s="489">
        <f>IF(J222="",#N/A,COUNTIF($K$4:K222,"&gt;0")/COUNT($J$4:J222))</f>
        <v>0.46575342465753422</v>
      </c>
      <c r="BS222" s="65" t="str">
        <f t="shared" si="356"/>
        <v/>
      </c>
      <c r="BT222" s="65" t="str">
        <f t="shared" si="357"/>
        <v/>
      </c>
      <c r="BU222" s="65" t="str">
        <f t="shared" si="358"/>
        <v/>
      </c>
      <c r="BV222" s="65">
        <f t="shared" si="359"/>
        <v>-0.52400812747299685</v>
      </c>
      <c r="BW222" s="128" t="str">
        <f t="shared" si="360"/>
        <v/>
      </c>
      <c r="BX222" s="128">
        <f>IF($J222="",#N/A,SUM($BW$4:BW222))</f>
        <v>-178.45000000000039</v>
      </c>
      <c r="BY222" s="131">
        <f t="shared" si="361"/>
        <v>-34.299999999999955</v>
      </c>
      <c r="BZ222" s="131">
        <f>IF($J222="",#N/A,SUM($BY$4:BY222))</f>
        <v>399.88934038933439</v>
      </c>
      <c r="CA222" s="133" t="str">
        <f t="shared" si="362"/>
        <v/>
      </c>
      <c r="CB222" s="133">
        <f>IF($J222="",#N/A,SUM($CA$4:CA222))</f>
        <v>207.46931161983483</v>
      </c>
      <c r="CC222" s="194" t="str">
        <f t="shared" si="363"/>
        <v/>
      </c>
      <c r="CD222" s="194">
        <f>IF($J222="",#N/A,SUM($CC$4:CC222))</f>
        <v>-2.7294498562489466</v>
      </c>
      <c r="CE222" s="195">
        <f t="shared" si="364"/>
        <v>-0.52400812747299685</v>
      </c>
      <c r="CF222" s="195">
        <f>IF($J222="",#N/A,SUM($CE$4:CE222))</f>
        <v>7.1617915259638245</v>
      </c>
      <c r="CG222" s="196" t="str">
        <f t="shared" si="365"/>
        <v/>
      </c>
      <c r="CH222" s="196">
        <f>IF($J222="",#N/A,SUM($CG$4:CG222))</f>
        <v>5.6614904345661534</v>
      </c>
      <c r="CI222" s="200" t="str">
        <f t="shared" si="366"/>
        <v/>
      </c>
      <c r="CJ222" s="203">
        <f>IF($J222="",#N/A,SUM(CI$4:CI222))</f>
        <v>0</v>
      </c>
      <c r="CK222" s="204" t="str">
        <f t="shared" si="367"/>
        <v/>
      </c>
      <c r="CL222" s="204">
        <f>IF($J222="",#N/A,SUM(CK$4:CK222))</f>
        <v>1.9927003554442289</v>
      </c>
      <c r="CM222" s="205" t="str">
        <f t="shared" si="368"/>
        <v/>
      </c>
      <c r="CN222" s="205">
        <f>IF($J222="",#N/A,SUM(CM$4:CM222))</f>
        <v>5.6091171609382364</v>
      </c>
      <c r="CO222" s="205">
        <f>IF($J222="",#N/A,SUM(CM$4:CM222,CK$4:CK222,CI$4:CI222))</f>
        <v>7.6018175163824644</v>
      </c>
      <c r="CP222" s="200" t="str">
        <f t="shared" si="369"/>
        <v/>
      </c>
      <c r="CQ222" s="203">
        <f>IF($J222="",#N/A,SUM(CP$4:CP222))</f>
        <v>0</v>
      </c>
      <c r="CR222" s="204" t="str">
        <f t="shared" si="370"/>
        <v/>
      </c>
      <c r="CS222" s="204">
        <f>IF($J222="",#N/A,SUM(CR$4:CR222))</f>
        <v>4.2989225684455388</v>
      </c>
      <c r="CT222" s="205" t="str">
        <f t="shared" si="371"/>
        <v/>
      </c>
      <c r="CU222" s="205">
        <f>IF($J222="",#N/A,SUM(CT$4:CT222))</f>
        <v>-1.1331655471946371</v>
      </c>
      <c r="CV222" s="205">
        <f>IF($J222="",#N/A,SUM(CT$4:CT222,CR$4:CR222,CP$4:CP222))</f>
        <v>3.1657570212509012</v>
      </c>
      <c r="CW222" s="200" t="str">
        <f t="shared" si="372"/>
        <v/>
      </c>
      <c r="CX222" s="203">
        <f>IF($J222="",#N/A,SUM(CW$4:CW222))</f>
        <v>-0.33865165024245297</v>
      </c>
      <c r="CY222" s="204" t="str">
        <f t="shared" si="373"/>
        <v/>
      </c>
      <c r="CZ222" s="204">
        <f>IF($J222="",#N/A,SUM(CY$4:CY222))</f>
        <v>-0.55412230890025005</v>
      </c>
      <c r="DA222" s="205" t="str">
        <f t="shared" si="374"/>
        <v/>
      </c>
      <c r="DB222" s="205">
        <f>IF($J222="",#N/A,SUM(DA$4:DA222))</f>
        <v>-2.2679577914291</v>
      </c>
      <c r="DC222" s="205">
        <f>IF($J222="",#N/A,SUM(DA$4:DA222,CY$4:CY222,CW$4:CW222))</f>
        <v>-3.1607317505718027</v>
      </c>
      <c r="DD222" s="200" t="str">
        <f t="shared" si="375"/>
        <v/>
      </c>
      <c r="DE222" s="203">
        <f>IF($J222="",#N/A,SUM(DD$4:DD222))</f>
        <v>0.14968716170674062</v>
      </c>
      <c r="DF222" s="204" t="str">
        <f t="shared" si="376"/>
        <v/>
      </c>
      <c r="DG222" s="204">
        <f>IF($J222="",#N/A,SUM(DF$4:DF222))</f>
        <v>1.5249935139936004</v>
      </c>
      <c r="DH222" s="205" t="str">
        <f t="shared" si="377"/>
        <v/>
      </c>
      <c r="DI222" s="205">
        <f>IF($J222="",#N/A,SUM(DH$4:DH222))</f>
        <v>-1.9066052078694633</v>
      </c>
      <c r="DJ222" s="205">
        <f>IF($J222="",#N/A,SUM(DH$4:DH222,DF$4:DF222,DD$4:DD222))</f>
        <v>-0.23192453216912207</v>
      </c>
      <c r="DK222" s="200" t="str">
        <f t="shared" si="378"/>
        <v/>
      </c>
      <c r="DL222" s="203">
        <f>IF($J222="",#N/A,SUM(DK$4:DK222))</f>
        <v>-1.2097286851272664</v>
      </c>
      <c r="DM222" s="204" t="str">
        <f t="shared" si="379"/>
        <v/>
      </c>
      <c r="DN222" s="204">
        <f>IF($J222="",#N/A,SUM(DM$4:DM222))</f>
        <v>1.1910608267574658</v>
      </c>
      <c r="DO222" s="205" t="str">
        <f t="shared" si="380"/>
        <v/>
      </c>
      <c r="DP222" s="205">
        <f>IF($J222="",#N/A,SUM(DO$4:DO222))</f>
        <v>2.6571865116636566</v>
      </c>
      <c r="DQ222" s="205">
        <f>IF($J222="",#N/A,SUM(DO$4:DO222,DM$4:DM222,DK$4:DK222))</f>
        <v>2.6385186532938567</v>
      </c>
      <c r="DR222" s="200" t="str">
        <f t="shared" si="381"/>
        <v/>
      </c>
      <c r="DS222" s="203">
        <f>IF($J222="",#N/A,SUM(DR$4:DR222))</f>
        <v>-0.55950946427675097</v>
      </c>
      <c r="DT222" s="204" t="str">
        <f t="shared" si="382"/>
        <v/>
      </c>
      <c r="DU222" s="204">
        <f>IF($J222="",#N/A,SUM(DT$4:DT222))</f>
        <v>-3.6911249040845173</v>
      </c>
      <c r="DV222" s="205" t="str">
        <f t="shared" si="383"/>
        <v/>
      </c>
      <c r="DW222" s="205">
        <f>IF($J222="",#N/A,SUM(DV$4:DV222))</f>
        <v>-1.2815650893103838</v>
      </c>
      <c r="DX222" s="205">
        <f>IF($J222="",#N/A,SUM(DV$4:DV222,DT$4:DT222,DR$4:DR222))</f>
        <v>-5.532199457671652</v>
      </c>
      <c r="DY222" s="200" t="str">
        <f t="shared" si="384"/>
        <v/>
      </c>
      <c r="DZ222" s="203">
        <f>IF($J222="",#N/A,SUM(DY$4:DY222))</f>
        <v>-0.68709251990528031</v>
      </c>
      <c r="EA222" s="204" t="str">
        <f t="shared" si="385"/>
        <v/>
      </c>
      <c r="EB222" s="204">
        <f>IF($J222="",#N/A,SUM(EA$4:EA222))</f>
        <v>0.65158371441459195</v>
      </c>
      <c r="EC222" s="205" t="str">
        <f t="shared" si="386"/>
        <v/>
      </c>
      <c r="ED222" s="205">
        <f>IF($J222="",#N/A,SUM(EC$4:EC222))</f>
        <v>3.0210456505626468</v>
      </c>
      <c r="EE222" s="205">
        <f>IF($J222="",#N/A,SUM(EC$4:EC222,EA$4:EA222,DY$4:DY222))</f>
        <v>2.9855368450719575</v>
      </c>
      <c r="EF222" s="200" t="str">
        <f t="shared" si="387"/>
        <v/>
      </c>
      <c r="EG222" s="203">
        <f>IF($J222="",#N/A,SUM(EF$4:EF222))</f>
        <v>-0.15098969023521425</v>
      </c>
      <c r="EH222" s="204">
        <f t="shared" si="388"/>
        <v>-0.52400812747299685</v>
      </c>
      <c r="EI222" s="204">
        <f>IF($J222="",#N/A,SUM(EH$4:EH222))</f>
        <v>-3.1507771605639614</v>
      </c>
      <c r="EJ222" s="205" t="str">
        <f t="shared" si="389"/>
        <v/>
      </c>
      <c r="EK222" s="205">
        <f>IF($J222="",#N/A,SUM(EJ$4:EJ222))</f>
        <v>4.6014417494274094</v>
      </c>
      <c r="EL222" s="205">
        <f>IF($J222="",#N/A,SUM(EJ$4:EJ222,EH$4:EH222,EF$4:EF222))</f>
        <v>1.2996748986282345</v>
      </c>
      <c r="EM222" s="200" t="str">
        <f t="shared" si="390"/>
        <v/>
      </c>
      <c r="EN222" s="203">
        <f>IF($J222="",#N/A,SUM(EM$4:EM222))</f>
        <v>0</v>
      </c>
      <c r="EO222" s="204" t="str">
        <f t="shared" si="391"/>
        <v/>
      </c>
      <c r="EP222" s="204">
        <f>IF($J222="",#N/A,SUM(EO$4:EO222))</f>
        <v>3.2406646352184261</v>
      </c>
      <c r="EQ222" s="205" t="str">
        <f t="shared" si="392"/>
        <v/>
      </c>
      <c r="ER222" s="205">
        <f>IF($J222="",#N/A,SUM(EQ$4:EQ222))</f>
        <v>1.441536272249796</v>
      </c>
      <c r="ES222" s="205">
        <f>IF($J222="",#N/A,SUM(EQ$4:EQ222,EO$4:EO222,EM$4:EM222))</f>
        <v>4.6822009074682214</v>
      </c>
      <c r="ET222" s="200" t="str">
        <f t="shared" si="393"/>
        <v/>
      </c>
      <c r="EU222" s="203">
        <f>IF($J222="",#N/A,SUM(ET$4:ET222))</f>
        <v>0</v>
      </c>
      <c r="EV222" s="204" t="str">
        <f t="shared" si="394"/>
        <v/>
      </c>
      <c r="EW222" s="204">
        <f>IF($J222="",#N/A,SUM(EV$4:EV222))</f>
        <v>1.9901851109977766</v>
      </c>
      <c r="EX222" s="205" t="str">
        <f t="shared" si="395"/>
        <v/>
      </c>
      <c r="EY222" s="205">
        <f>IF($J222="",#N/A,SUM(EX$4:EX222))</f>
        <v>-9.038537462898949E-2</v>
      </c>
      <c r="EZ222" s="205">
        <f>IF($J222="",#N/A,SUM(EX$4:EX222,EV$4:EV222,ET$4:ET222))</f>
        <v>1.8997997363687871</v>
      </c>
      <c r="FA222" s="200" t="str">
        <f t="shared" si="396"/>
        <v/>
      </c>
      <c r="FB222" s="203">
        <f>IF($J222="",#N/A,SUM(FA$4:FA222))</f>
        <v>0</v>
      </c>
      <c r="FC222" s="204" t="str">
        <f t="shared" si="397"/>
        <v/>
      </c>
      <c r="FD222" s="204">
        <f>IF($J222="",#N/A,SUM(FC$4:FC222))</f>
        <v>1.6839191319663924</v>
      </c>
      <c r="FE222" s="205" t="str">
        <f t="shared" si="398"/>
        <v/>
      </c>
      <c r="FF222" s="205">
        <f>IF($J222="",#N/A,SUM(FE$4:FE222))</f>
        <v>-0.28811149078748233</v>
      </c>
      <c r="FG222" s="205">
        <f>IF($J222="",#N/A,SUM(FE$4:FE222,FC$4:FC222,FA$4:FA222))</f>
        <v>1.3958076411789102</v>
      </c>
      <c r="FH222" s="200" t="str">
        <f t="shared" si="399"/>
        <v/>
      </c>
      <c r="FI222" s="203">
        <f>IF($J222="",#N/A,SUM(FH$4:FH222))</f>
        <v>0</v>
      </c>
      <c r="FJ222" s="204" t="str">
        <f t="shared" si="400"/>
        <v/>
      </c>
      <c r="FK222" s="204">
        <f>IF($J222="",#N/A,SUM(FJ$4:FJ222))</f>
        <v>0</v>
      </c>
      <c r="FL222" s="205" t="str">
        <f t="shared" si="401"/>
        <v/>
      </c>
      <c r="FM222" s="205">
        <f>IF($J222="",#N/A,SUM(FL$4:FL222))</f>
        <v>0</v>
      </c>
      <c r="FN222" s="205">
        <f>IF($J222="",#N/A,SUM(FL$4:FL222,FJ$4:FJ222,FH$4:FH222))</f>
        <v>0</v>
      </c>
      <c r="FO222" s="200" t="str">
        <f t="shared" si="402"/>
        <v/>
      </c>
      <c r="FP222" s="203">
        <f>IF($J222="",#N/A,SUM(FO$4:FO222))</f>
        <v>0</v>
      </c>
      <c r="FQ222" s="204" t="str">
        <f t="shared" si="403"/>
        <v/>
      </c>
      <c r="FR222" s="204">
        <f>IF($J222="",#N/A,SUM(FQ$4:FQ222))</f>
        <v>0</v>
      </c>
      <c r="FS222" s="205" t="str">
        <f t="shared" si="404"/>
        <v/>
      </c>
      <c r="FT222" s="205">
        <f>IF($J222="",#N/A,SUM(FS$4:FS222))</f>
        <v>0</v>
      </c>
      <c r="FU222" s="205">
        <f>IF($J222="",#N/A,SUM(FS$4:FS222,FQ$4:FQ222,FO$4:FO222))</f>
        <v>0</v>
      </c>
      <c r="FV222" s="200" t="str">
        <f t="shared" si="405"/>
        <v/>
      </c>
      <c r="FW222" s="203">
        <f>IF($J222="",#N/A,SUM(FV$4:FV222))</f>
        <v>6.6834991831277585E-2</v>
      </c>
      <c r="FX222" s="204" t="str">
        <f t="shared" si="406"/>
        <v/>
      </c>
      <c r="FY222" s="204">
        <f>IF($J222="",#N/A,SUM(FX$4:FX222))</f>
        <v>-0.16102012791805576</v>
      </c>
      <c r="FZ222" s="205" t="str">
        <f t="shared" si="407"/>
        <v/>
      </c>
      <c r="GA222" s="205">
        <f>IF($J222="",#N/A,SUM(FZ$4:FZ222))</f>
        <v>-1.7642101813332194</v>
      </c>
      <c r="GB222" s="205">
        <f>IF($J222="",#N/A,SUM(FZ$4:FZ222,FX$4:FX222,FV$4:FV222))</f>
        <v>-1.8583953174199976</v>
      </c>
      <c r="GC222" s="200" t="str">
        <f t="shared" si="408"/>
        <v/>
      </c>
      <c r="GD222" s="203">
        <f>IF($J222="",#N/A,SUM(GC$4:GC222))</f>
        <v>0</v>
      </c>
      <c r="GE222" s="204" t="str">
        <f t="shared" si="409"/>
        <v/>
      </c>
      <c r="GF222" s="204">
        <f>IF($J222="",#N/A,SUM(GE$4:GE222))</f>
        <v>0</v>
      </c>
      <c r="GG222" s="205" t="str">
        <f t="shared" si="410"/>
        <v/>
      </c>
      <c r="GH222" s="205">
        <f>IF($J222="",#N/A,SUM(GG$4:GG222))</f>
        <v>-2.9368362277223206</v>
      </c>
      <c r="GI222" s="205">
        <f>IF($J222="",#N/A,SUM(GG$4:GG222,GE$4:GE222,GC$4:GC222))</f>
        <v>-2.9368362277223206</v>
      </c>
      <c r="GJ222" s="200" t="str">
        <f t="shared" si="411"/>
        <v/>
      </c>
      <c r="GK222" s="203">
        <f>IF($J222="",#N/A,SUM(GJ$4:GJ222))</f>
        <v>0</v>
      </c>
      <c r="GL222" s="204" t="str">
        <f t="shared" si="412"/>
        <v/>
      </c>
      <c r="GM222" s="204">
        <f>IF($J222="",#N/A,SUM(GL$4:GL222))</f>
        <v>-2.1821391544892714</v>
      </c>
      <c r="GN222" s="205" t="str">
        <f t="shared" si="413"/>
        <v/>
      </c>
      <c r="GO222" s="205">
        <f>IF($J222="",#N/A,SUM(GN$4:GN222))</f>
        <v>0</v>
      </c>
      <c r="GP222" s="205">
        <f>IF($J222="",#N/A,SUM(GN$4:GN222,GL$4:GL222,GJ$4:GJ222))</f>
        <v>-2.1821391544892714</v>
      </c>
      <c r="GS222" s="54">
        <f t="shared" si="432"/>
        <v>-0.52400812747299685</v>
      </c>
      <c r="GT222" s="54">
        <f>IF(GS222="",NA(),SUM($GS$4:GS222))</f>
        <v>4.3446215739366156</v>
      </c>
      <c r="GU222" s="54" t="str">
        <f t="shared" si="414"/>
        <v/>
      </c>
      <c r="GV222" s="54" t="e">
        <f>IF(GU222="",NA(),SUM($GU$4:GU222))</f>
        <v>#N/A</v>
      </c>
      <c r="GW222" s="54" t="str">
        <f t="shared" si="415"/>
        <v/>
      </c>
      <c r="GX222" s="54" t="e">
        <f>IF(GW222="",NA(),SUM($GW$4:GW222))</f>
        <v>#N/A</v>
      </c>
      <c r="GY222" s="54">
        <f t="shared" si="416"/>
        <v>-0.52400812747299685</v>
      </c>
      <c r="GZ222" s="54">
        <f>IF(GY222="",NA(),SUM($GY$4:GY222))</f>
        <v>1.7764734905679731</v>
      </c>
      <c r="HA222" s="54" t="str">
        <f t="shared" si="417"/>
        <v/>
      </c>
      <c r="HB222" s="54" t="e">
        <f>IF(HA222="",NA(),SUM($HA$4:HA222))</f>
        <v>#N/A</v>
      </c>
      <c r="HC222" s="54" t="str">
        <f t="shared" si="418"/>
        <v/>
      </c>
      <c r="HD222" s="54" t="e">
        <f>IF(HC222="",NA(),SUM($HC$4:HC222))</f>
        <v>#N/A</v>
      </c>
      <c r="HE222" s="54" t="str">
        <f t="shared" si="419"/>
        <v/>
      </c>
      <c r="HF222" s="54" t="e">
        <f>IF(HE222="",NA(),SUM($HE$4:HE222))</f>
        <v>#N/A</v>
      </c>
      <c r="HG222" s="54" t="str">
        <f t="shared" si="420"/>
        <v/>
      </c>
      <c r="HH222" s="54" t="e">
        <f>IF(HG222="",NA(),SUM($HG$4:HG222))</f>
        <v>#N/A</v>
      </c>
      <c r="HI222" s="172" t="str">
        <f t="shared" si="433"/>
        <v/>
      </c>
      <c r="HJ222" s="172">
        <f>IF($J222="",#N/A,SUM(HI$4:$HI222))</f>
        <v>-7.4992019482494197</v>
      </c>
      <c r="HK222" s="54">
        <f t="shared" si="421"/>
        <v>0.79135921291840372</v>
      </c>
      <c r="HL222" s="54">
        <f>IF($J222="",#N/A,SUM($HK$4:HK222))</f>
        <v>-1.3757693049009907</v>
      </c>
      <c r="HM222" s="54" t="str">
        <f t="shared" si="422"/>
        <v/>
      </c>
      <c r="HN222" s="54">
        <f>IF($J222="",#N/A,SUM($HM$4:HM222))</f>
        <v>0.90694539517251249</v>
      </c>
      <c r="HO222" s="54" t="str">
        <f t="shared" si="423"/>
        <v/>
      </c>
      <c r="HP222" s="54">
        <f>IF($J222="",#N/A,SUM($HO$4:HO222))</f>
        <v>0.52783589553778021</v>
      </c>
      <c r="HQ222" s="54" t="str">
        <f t="shared" si="424"/>
        <v/>
      </c>
      <c r="HR222" s="54">
        <f>IF($J222="",#N/A,SUM($HQ$4:HQ222))</f>
        <v>-14.127571644119183</v>
      </c>
      <c r="HS222" s="54" t="str">
        <f t="shared" si="425"/>
        <v/>
      </c>
      <c r="HT222" s="54">
        <f>IF($J222="",#N/A,SUM($HS$4:HS222))</f>
        <v>12.355916080255803</v>
      </c>
      <c r="HU222" s="65">
        <f t="shared" si="426"/>
        <v>0.26735108544540692</v>
      </c>
      <c r="HV222" s="65">
        <f>IF($J222="",#N/A,SUM(HU$4:$HU222))</f>
        <v>0.88198657797752911</v>
      </c>
    </row>
    <row r="223" spans="1:230" x14ac:dyDescent="0.25">
      <c r="A223" s="51" t="s">
        <v>1403</v>
      </c>
      <c r="B223" s="52" t="s">
        <v>4544</v>
      </c>
      <c r="C223" s="229">
        <f t="shared" si="327"/>
        <v>3</v>
      </c>
      <c r="D223" s="219" t="str">
        <f>_xlfn.XLOOKUP(A223,[1]SP500!$A$2:$A$502,[1]SP500!$D$2:$D$502,"N")</f>
        <v>Y</v>
      </c>
      <c r="E223" s="51" t="str">
        <f>IFERROR(_xlfn.XLOOKUP(A223,[1]SP500!$A$2:$A$655,[1]SP500!$B$2:$B$655),"")</f>
        <v>XLI</v>
      </c>
      <c r="F223" s="290">
        <v>45778</v>
      </c>
      <c r="G223" s="51" t="str">
        <f t="shared" si="328"/>
        <v>BMO</v>
      </c>
      <c r="H223" s="51" t="str">
        <f t="shared" si="329"/>
        <v>s</v>
      </c>
      <c r="I223" s="344">
        <v>292.69</v>
      </c>
      <c r="J223" s="124">
        <v>320.20999999999998</v>
      </c>
      <c r="K223" s="55">
        <f t="shared" si="330"/>
        <v>9.4024394410468351E-2</v>
      </c>
      <c r="L223" s="67">
        <f t="shared" si="331"/>
        <v>110.07999999999993</v>
      </c>
      <c r="M223" s="57">
        <f t="shared" si="332"/>
        <v>9.7200000000000273</v>
      </c>
      <c r="N223" s="102">
        <f t="shared" si="333"/>
        <v>110.07999999999993</v>
      </c>
      <c r="O223" s="57">
        <f>IF(N223="",#N/A,SUM($N$4:N223))</f>
        <v>538.98865200916873</v>
      </c>
      <c r="P223" s="65">
        <f t="shared" si="427"/>
        <v>1.5670732401744727</v>
      </c>
      <c r="Q223" s="172">
        <f>IF($N223="",#N/A,SUM($P$4:P223))</f>
        <v>11.660905344455497</v>
      </c>
      <c r="R223" s="279">
        <f t="shared" si="334"/>
        <v>3.3916063567570784</v>
      </c>
      <c r="S223" s="51" t="str">
        <f t="shared" si="335"/>
        <v>SW</v>
      </c>
      <c r="T223" s="51" t="s">
        <v>2828</v>
      </c>
      <c r="U223" s="56">
        <f t="shared" si="336"/>
        <v>292.69</v>
      </c>
      <c r="V223" s="56" t="s">
        <v>4460</v>
      </c>
      <c r="W223" s="142">
        <v>4</v>
      </c>
      <c r="X223" s="145">
        <f t="shared" si="337"/>
        <v>1170.76</v>
      </c>
      <c r="Y223" s="140">
        <f t="shared" si="338"/>
        <v>4</v>
      </c>
      <c r="Z223" s="123">
        <v>322.64</v>
      </c>
      <c r="AA223" s="102">
        <f t="shared" si="339"/>
        <v>119.79999999999995</v>
      </c>
      <c r="AB223" s="102">
        <f t="shared" si="340"/>
        <v>116.96000000000004</v>
      </c>
      <c r="AC223" s="124">
        <v>321.93</v>
      </c>
      <c r="AD223" s="155">
        <f t="shared" si="341"/>
        <v>116.96000000000004</v>
      </c>
      <c r="AE223" s="545">
        <f t="shared" si="342"/>
        <v>1.6650153176853788</v>
      </c>
      <c r="AF223" s="57">
        <f>IF($AC223="",#N/A,SUM(AD$4:AD223))</f>
        <v>85.859780889172157</v>
      </c>
      <c r="AG223" s="102">
        <f t="shared" si="343"/>
        <v>6.8800000000001091</v>
      </c>
      <c r="AH223" s="56" t="s">
        <v>2507</v>
      </c>
      <c r="AI223" s="65">
        <f t="shared" si="344"/>
        <v>1.7054448961927859</v>
      </c>
      <c r="AJ223" s="350">
        <f>IF(AI223="",#N/A,SUM($AI$4:AI223))</f>
        <v>8.2692989876984182</v>
      </c>
      <c r="AK223" s="57">
        <f t="shared" si="345"/>
        <v>119.79999999999995</v>
      </c>
      <c r="AL223" s="349">
        <f>IF(AI223="",#N/A,IF(AH223="Skip",SUM($AK$4:AK223),SUM($AK$4:AK223)))</f>
        <v>307.36759149281431</v>
      </c>
      <c r="AM223" s="65">
        <f t="shared" si="428"/>
        <v>1.6650153176853788</v>
      </c>
      <c r="AN223" s="209"/>
      <c r="AO223" s="65">
        <f t="shared" si="346"/>
        <v>1.6650153176853788</v>
      </c>
      <c r="AP223" s="65">
        <f>IF($AC223="",#N/A,SUM(AO$4:AO223))</f>
        <v>5.5548501883881505</v>
      </c>
      <c r="AQ223" s="65" t="str">
        <f t="shared" si="347"/>
        <v/>
      </c>
      <c r="AR223" s="65">
        <f>IF($AC223="",#N/A,SUM(AQ$4:AQ223))</f>
        <v>-1.2946685655386543</v>
      </c>
      <c r="AS223" s="65" t="str">
        <f t="shared" si="348"/>
        <v/>
      </c>
      <c r="AT223" s="65">
        <f>IF($AC223="",#N/A,SUM(AS$4:AS223))</f>
        <v>-1.7131797271865912</v>
      </c>
      <c r="AU223" s="57">
        <f t="shared" si="429"/>
        <v>116.96000000000004</v>
      </c>
      <c r="AV223" s="57">
        <f>IF($AC223="",#N/A,SUM(AU$4:AU223))</f>
        <v>246.01139934283913</v>
      </c>
      <c r="AW223" s="57" t="str">
        <f t="shared" si="430"/>
        <v/>
      </c>
      <c r="AX223" s="57">
        <f>IF($AC223="",#N/A,SUM(AW$4:AW223))</f>
        <v>-85.340000000000032</v>
      </c>
      <c r="AY223" s="57" t="str">
        <f t="shared" si="431"/>
        <v/>
      </c>
      <c r="AZ223" s="57">
        <f>IF($AC223="",#N/A,SUM(AY$4:AY223))</f>
        <v>-74.811618453666938</v>
      </c>
      <c r="BA223" s="57">
        <f>IF(AD223="",#N/A,SUM($AD$4:AD223))</f>
        <v>85.859780889172157</v>
      </c>
      <c r="BC223" s="51" t="str">
        <f t="shared" si="349"/>
        <v/>
      </c>
      <c r="BD223" s="51" t="str">
        <f t="shared" si="350"/>
        <v/>
      </c>
      <c r="BE223" s="51">
        <f t="shared" si="351"/>
        <v>1</v>
      </c>
      <c r="BF223" s="51" t="str">
        <f t="shared" si="352"/>
        <v>Long</v>
      </c>
      <c r="BG223" s="51" t="str">
        <f t="shared" si="353"/>
        <v/>
      </c>
      <c r="BH223" s="51" t="str">
        <f t="shared" si="354"/>
        <v/>
      </c>
      <c r="BI223" s="51" t="str">
        <f t="shared" si="355"/>
        <v/>
      </c>
      <c r="BK223" s="65">
        <f t="shared" si="326"/>
        <v>0.15597323908437585</v>
      </c>
      <c r="BL223" s="65">
        <f t="shared" si="434"/>
        <v>0.13672332771321805</v>
      </c>
      <c r="BM223" s="65">
        <f>IFERROR(Q223/COUNTA($J$4:J223),#N/A)</f>
        <v>5.3004115202070441E-2</v>
      </c>
      <c r="BO223" s="489">
        <f>IF(J223="",#N/A,IF(S223="SW",(COUNTIFS(K$4:$K223,"&gt;0",S$4:$S223,"SW")/COUNTIF(S$4:$S223,"SW")),#N/A))</f>
        <v>0.50862068965517238</v>
      </c>
      <c r="BP223" s="489" t="e">
        <f>IF($J223="",#N/A,IF($S223="DWN",(COUNTIFS($K$4:$K223,"&lt;0",$S$4:$S223,"DWN")/COUNTIF($S$4:$S223,"DWN")),#N/A))</f>
        <v>#N/A</v>
      </c>
      <c r="BQ223" s="489" t="e">
        <f>IF($J223="",#N/A,IF($S223="UP",(COUNTIFS($K$4:$K223,"&gt;0",$S$4:$S223,"UP")/COUNTIF($S$4:$S223,"UP")),#N/A))</f>
        <v>#N/A</v>
      </c>
      <c r="BR223" s="489">
        <f>IF(J223="",#N/A,COUNTIF($K$4:K223,"&gt;0")/COUNT($J$4:J223))</f>
        <v>0.4681818181818182</v>
      </c>
      <c r="BS223" s="65">
        <f t="shared" si="356"/>
        <v>1.5670732401744727</v>
      </c>
      <c r="BT223" s="65" t="str">
        <f t="shared" si="357"/>
        <v/>
      </c>
      <c r="BU223" s="65" t="str">
        <f t="shared" si="358"/>
        <v/>
      </c>
      <c r="BV223" s="65" t="str">
        <f t="shared" si="359"/>
        <v/>
      </c>
      <c r="BW223" s="128" t="str">
        <f t="shared" si="360"/>
        <v/>
      </c>
      <c r="BX223" s="128">
        <f>IF($J223="",#N/A,SUM($BW$4:BW223))</f>
        <v>-178.45000000000039</v>
      </c>
      <c r="BY223" s="131" t="str">
        <f t="shared" si="361"/>
        <v/>
      </c>
      <c r="BZ223" s="131">
        <f>IF($J223="",#N/A,SUM($BY$4:BY223))</f>
        <v>399.88934038933439</v>
      </c>
      <c r="CA223" s="133">
        <f t="shared" si="362"/>
        <v>110.07999999999993</v>
      </c>
      <c r="CB223" s="133">
        <f>IF($J223="",#N/A,SUM($CA$4:CA223))</f>
        <v>317.54931161983473</v>
      </c>
      <c r="CC223" s="194" t="str">
        <f t="shared" si="363"/>
        <v/>
      </c>
      <c r="CD223" s="194">
        <f>IF($J223="",#N/A,SUM($CC$4:CC223))</f>
        <v>-2.7294498562489466</v>
      </c>
      <c r="CE223" s="195" t="str">
        <f t="shared" si="364"/>
        <v/>
      </c>
      <c r="CF223" s="195">
        <f>IF($J223="",#N/A,SUM($CE$4:CE223))</f>
        <v>7.1617915259638245</v>
      </c>
      <c r="CG223" s="196">
        <f t="shared" si="365"/>
        <v>1.5670732401744727</v>
      </c>
      <c r="CH223" s="196">
        <f>IF($J223="",#N/A,SUM($CG$4:CG223))</f>
        <v>7.2285636747406263</v>
      </c>
      <c r="CI223" s="200" t="str">
        <f t="shared" si="366"/>
        <v/>
      </c>
      <c r="CJ223" s="203">
        <f>IF($J223="",#N/A,SUM(CI$4:CI223))</f>
        <v>0</v>
      </c>
      <c r="CK223" s="204" t="str">
        <f t="shared" si="367"/>
        <v/>
      </c>
      <c r="CL223" s="204">
        <f>IF($J223="",#N/A,SUM(CK$4:CK223))</f>
        <v>1.9927003554442289</v>
      </c>
      <c r="CM223" s="205" t="str">
        <f t="shared" si="368"/>
        <v/>
      </c>
      <c r="CN223" s="205">
        <f>IF($J223="",#N/A,SUM(CM$4:CM223))</f>
        <v>5.6091171609382364</v>
      </c>
      <c r="CO223" s="205">
        <f>IF($J223="",#N/A,SUM(CM$4:CM223,CK$4:CK223,CI$4:CI223))</f>
        <v>7.6018175163824644</v>
      </c>
      <c r="CP223" s="200" t="str">
        <f t="shared" si="369"/>
        <v/>
      </c>
      <c r="CQ223" s="203">
        <f>IF($J223="",#N/A,SUM(CP$4:CP223))</f>
        <v>0</v>
      </c>
      <c r="CR223" s="204" t="str">
        <f t="shared" si="370"/>
        <v/>
      </c>
      <c r="CS223" s="204">
        <f>IF($J223="",#N/A,SUM(CR$4:CR223))</f>
        <v>4.2989225684455388</v>
      </c>
      <c r="CT223" s="205" t="str">
        <f t="shared" si="371"/>
        <v/>
      </c>
      <c r="CU223" s="205">
        <f>IF($J223="",#N/A,SUM(CT$4:CT223))</f>
        <v>-1.1331655471946371</v>
      </c>
      <c r="CV223" s="205">
        <f>IF($J223="",#N/A,SUM(CT$4:CT223,CR$4:CR223,CP$4:CP223))</f>
        <v>3.1657570212509012</v>
      </c>
      <c r="CW223" s="200" t="str">
        <f t="shared" si="372"/>
        <v/>
      </c>
      <c r="CX223" s="203">
        <f>IF($J223="",#N/A,SUM(CW$4:CW223))</f>
        <v>-0.33865165024245297</v>
      </c>
      <c r="CY223" s="204" t="str">
        <f t="shared" si="373"/>
        <v/>
      </c>
      <c r="CZ223" s="204">
        <f>IF($J223="",#N/A,SUM(CY$4:CY223))</f>
        <v>-0.55412230890025005</v>
      </c>
      <c r="DA223" s="205" t="str">
        <f t="shared" si="374"/>
        <v/>
      </c>
      <c r="DB223" s="205">
        <f>IF($J223="",#N/A,SUM(DA$4:DA223))</f>
        <v>-2.2679577914291</v>
      </c>
      <c r="DC223" s="205">
        <f>IF($J223="",#N/A,SUM(DA$4:DA223,CY$4:CY223,CW$4:CW223))</f>
        <v>-3.1607317505718027</v>
      </c>
      <c r="DD223" s="200" t="str">
        <f t="shared" si="375"/>
        <v/>
      </c>
      <c r="DE223" s="203">
        <f>IF($J223="",#N/A,SUM(DD$4:DD223))</f>
        <v>0.14968716170674062</v>
      </c>
      <c r="DF223" s="204" t="str">
        <f t="shared" si="376"/>
        <v/>
      </c>
      <c r="DG223" s="204">
        <f>IF($J223="",#N/A,SUM(DF$4:DF223))</f>
        <v>1.5249935139936004</v>
      </c>
      <c r="DH223" s="205" t="str">
        <f t="shared" si="377"/>
        <v/>
      </c>
      <c r="DI223" s="205">
        <f>IF($J223="",#N/A,SUM(DH$4:DH223))</f>
        <v>-1.9066052078694633</v>
      </c>
      <c r="DJ223" s="205">
        <f>IF($J223="",#N/A,SUM(DH$4:DH223,DF$4:DF223,DD$4:DD223))</f>
        <v>-0.23192453216912207</v>
      </c>
      <c r="DK223" s="200" t="str">
        <f t="shared" si="378"/>
        <v/>
      </c>
      <c r="DL223" s="203">
        <f>IF($J223="",#N/A,SUM(DK$4:DK223))</f>
        <v>-1.2097286851272664</v>
      </c>
      <c r="DM223" s="204" t="str">
        <f t="shared" si="379"/>
        <v/>
      </c>
      <c r="DN223" s="204">
        <f>IF($J223="",#N/A,SUM(DM$4:DM223))</f>
        <v>1.1910608267574658</v>
      </c>
      <c r="DO223" s="205" t="str">
        <f t="shared" si="380"/>
        <v/>
      </c>
      <c r="DP223" s="205">
        <f>IF($J223="",#N/A,SUM(DO$4:DO223))</f>
        <v>2.6571865116636566</v>
      </c>
      <c r="DQ223" s="205">
        <f>IF($J223="",#N/A,SUM(DO$4:DO223,DM$4:DM223,DK$4:DK223))</f>
        <v>2.6385186532938567</v>
      </c>
      <c r="DR223" s="200" t="str">
        <f t="shared" si="381"/>
        <v/>
      </c>
      <c r="DS223" s="203">
        <f>IF($J223="",#N/A,SUM(DR$4:DR223))</f>
        <v>-0.55950946427675097</v>
      </c>
      <c r="DT223" s="204" t="str">
        <f t="shared" si="382"/>
        <v/>
      </c>
      <c r="DU223" s="204">
        <f>IF($J223="",#N/A,SUM(DT$4:DT223))</f>
        <v>-3.6911249040845173</v>
      </c>
      <c r="DV223" s="205" t="str">
        <f t="shared" si="383"/>
        <v/>
      </c>
      <c r="DW223" s="205">
        <f>IF($J223="",#N/A,SUM(DV$4:DV223))</f>
        <v>-1.2815650893103838</v>
      </c>
      <c r="DX223" s="205">
        <f>IF($J223="",#N/A,SUM(DV$4:DV223,DT$4:DT223,DR$4:DR223))</f>
        <v>-5.532199457671652</v>
      </c>
      <c r="DY223" s="200" t="str">
        <f t="shared" si="384"/>
        <v/>
      </c>
      <c r="DZ223" s="203">
        <f>IF($J223="",#N/A,SUM(DY$4:DY223))</f>
        <v>-0.68709251990528031</v>
      </c>
      <c r="EA223" s="204" t="str">
        <f t="shared" si="385"/>
        <v/>
      </c>
      <c r="EB223" s="204">
        <f>IF($J223="",#N/A,SUM(EA$4:EA223))</f>
        <v>0.65158371441459195</v>
      </c>
      <c r="EC223" s="205">
        <f t="shared" si="386"/>
        <v>1.5670732401744727</v>
      </c>
      <c r="ED223" s="205">
        <f>IF($J223="",#N/A,SUM(EC$4:EC223))</f>
        <v>4.5881188907371193</v>
      </c>
      <c r="EE223" s="205">
        <f>IF($J223="",#N/A,SUM(EC$4:EC223,EA$4:EA223,DY$4:DY223))</f>
        <v>4.5526100852464308</v>
      </c>
      <c r="EF223" s="200" t="str">
        <f t="shared" si="387"/>
        <v/>
      </c>
      <c r="EG223" s="203">
        <f>IF($J223="",#N/A,SUM(EF$4:EF223))</f>
        <v>-0.15098969023521425</v>
      </c>
      <c r="EH223" s="204" t="str">
        <f t="shared" si="388"/>
        <v/>
      </c>
      <c r="EI223" s="204">
        <f>IF($J223="",#N/A,SUM(EH$4:EH223))</f>
        <v>-3.1507771605639614</v>
      </c>
      <c r="EJ223" s="205" t="str">
        <f t="shared" si="389"/>
        <v/>
      </c>
      <c r="EK223" s="205">
        <f>IF($J223="",#N/A,SUM(EJ$4:EJ223))</f>
        <v>4.6014417494274094</v>
      </c>
      <c r="EL223" s="205">
        <f>IF($J223="",#N/A,SUM(EJ$4:EJ223,EH$4:EH223,EF$4:EF223))</f>
        <v>1.2996748986282345</v>
      </c>
      <c r="EM223" s="200" t="str">
        <f t="shared" si="390"/>
        <v/>
      </c>
      <c r="EN223" s="203">
        <f>IF($J223="",#N/A,SUM(EM$4:EM223))</f>
        <v>0</v>
      </c>
      <c r="EO223" s="204" t="str">
        <f t="shared" si="391"/>
        <v/>
      </c>
      <c r="EP223" s="204">
        <f>IF($J223="",#N/A,SUM(EO$4:EO223))</f>
        <v>3.2406646352184261</v>
      </c>
      <c r="EQ223" s="205" t="str">
        <f t="shared" si="392"/>
        <v/>
      </c>
      <c r="ER223" s="205">
        <f>IF($J223="",#N/A,SUM(EQ$4:EQ223))</f>
        <v>1.441536272249796</v>
      </c>
      <c r="ES223" s="205">
        <f>IF($J223="",#N/A,SUM(EQ$4:EQ223,EO$4:EO223,EM$4:EM223))</f>
        <v>4.6822009074682214</v>
      </c>
      <c r="ET223" s="200" t="str">
        <f t="shared" si="393"/>
        <v/>
      </c>
      <c r="EU223" s="203">
        <f>IF($J223="",#N/A,SUM(ET$4:ET223))</f>
        <v>0</v>
      </c>
      <c r="EV223" s="204" t="str">
        <f t="shared" si="394"/>
        <v/>
      </c>
      <c r="EW223" s="204">
        <f>IF($J223="",#N/A,SUM(EV$4:EV223))</f>
        <v>1.9901851109977766</v>
      </c>
      <c r="EX223" s="205" t="str">
        <f t="shared" si="395"/>
        <v/>
      </c>
      <c r="EY223" s="205">
        <f>IF($J223="",#N/A,SUM(EX$4:EX223))</f>
        <v>-9.038537462898949E-2</v>
      </c>
      <c r="EZ223" s="205">
        <f>IF($J223="",#N/A,SUM(EX$4:EX223,EV$4:EV223,ET$4:ET223))</f>
        <v>1.8997997363687871</v>
      </c>
      <c r="FA223" s="200" t="str">
        <f t="shared" si="396"/>
        <v/>
      </c>
      <c r="FB223" s="203">
        <f>IF($J223="",#N/A,SUM(FA$4:FA223))</f>
        <v>0</v>
      </c>
      <c r="FC223" s="204" t="str">
        <f t="shared" si="397"/>
        <v/>
      </c>
      <c r="FD223" s="204">
        <f>IF($J223="",#N/A,SUM(FC$4:FC223))</f>
        <v>1.6839191319663924</v>
      </c>
      <c r="FE223" s="205" t="str">
        <f t="shared" si="398"/>
        <v/>
      </c>
      <c r="FF223" s="205">
        <f>IF($J223="",#N/A,SUM(FE$4:FE223))</f>
        <v>-0.28811149078748233</v>
      </c>
      <c r="FG223" s="205">
        <f>IF($J223="",#N/A,SUM(FE$4:FE223,FC$4:FC223,FA$4:FA223))</f>
        <v>1.3958076411789102</v>
      </c>
      <c r="FH223" s="200" t="str">
        <f t="shared" si="399"/>
        <v/>
      </c>
      <c r="FI223" s="203">
        <f>IF($J223="",#N/A,SUM(FH$4:FH223))</f>
        <v>0</v>
      </c>
      <c r="FJ223" s="204" t="str">
        <f t="shared" si="400"/>
        <v/>
      </c>
      <c r="FK223" s="204">
        <f>IF($J223="",#N/A,SUM(FJ$4:FJ223))</f>
        <v>0</v>
      </c>
      <c r="FL223" s="205" t="str">
        <f t="shared" si="401"/>
        <v/>
      </c>
      <c r="FM223" s="205">
        <f>IF($J223="",#N/A,SUM(FL$4:FL223))</f>
        <v>0</v>
      </c>
      <c r="FN223" s="205">
        <f>IF($J223="",#N/A,SUM(FL$4:FL223,FJ$4:FJ223,FH$4:FH223))</f>
        <v>0</v>
      </c>
      <c r="FO223" s="200" t="str">
        <f t="shared" si="402"/>
        <v/>
      </c>
      <c r="FP223" s="203">
        <f>IF($J223="",#N/A,SUM(FO$4:FO223))</f>
        <v>0</v>
      </c>
      <c r="FQ223" s="204" t="str">
        <f t="shared" si="403"/>
        <v/>
      </c>
      <c r="FR223" s="204">
        <f>IF($J223="",#N/A,SUM(FQ$4:FQ223))</f>
        <v>0</v>
      </c>
      <c r="FS223" s="205" t="str">
        <f t="shared" si="404"/>
        <v/>
      </c>
      <c r="FT223" s="205">
        <f>IF($J223="",#N/A,SUM(FS$4:FS223))</f>
        <v>0</v>
      </c>
      <c r="FU223" s="205">
        <f>IF($J223="",#N/A,SUM(FS$4:FS223,FQ$4:FQ223,FO$4:FO223))</f>
        <v>0</v>
      </c>
      <c r="FV223" s="200" t="str">
        <f t="shared" si="405"/>
        <v/>
      </c>
      <c r="FW223" s="203">
        <f>IF($J223="",#N/A,SUM(FV$4:FV223))</f>
        <v>6.6834991831277585E-2</v>
      </c>
      <c r="FX223" s="204" t="str">
        <f t="shared" si="406"/>
        <v/>
      </c>
      <c r="FY223" s="204">
        <f>IF($J223="",#N/A,SUM(FX$4:FX223))</f>
        <v>-0.16102012791805576</v>
      </c>
      <c r="FZ223" s="205" t="str">
        <f t="shared" si="407"/>
        <v/>
      </c>
      <c r="GA223" s="205">
        <f>IF($J223="",#N/A,SUM(FZ$4:FZ223))</f>
        <v>-1.7642101813332194</v>
      </c>
      <c r="GB223" s="205">
        <f>IF($J223="",#N/A,SUM(FZ$4:FZ223,FX$4:FX223,FV$4:FV223))</f>
        <v>-1.8583953174199976</v>
      </c>
      <c r="GC223" s="200" t="str">
        <f t="shared" si="408"/>
        <v/>
      </c>
      <c r="GD223" s="203">
        <f>IF($J223="",#N/A,SUM(GC$4:GC223))</f>
        <v>0</v>
      </c>
      <c r="GE223" s="204" t="str">
        <f t="shared" si="409"/>
        <v/>
      </c>
      <c r="GF223" s="204">
        <f>IF($J223="",#N/A,SUM(GE$4:GE223))</f>
        <v>0</v>
      </c>
      <c r="GG223" s="205" t="str">
        <f t="shared" si="410"/>
        <v/>
      </c>
      <c r="GH223" s="205">
        <f>IF($J223="",#N/A,SUM(GG$4:GG223))</f>
        <v>-2.9368362277223206</v>
      </c>
      <c r="GI223" s="205">
        <f>IF($J223="",#N/A,SUM(GG$4:GG223,GE$4:GE223,GC$4:GC223))</f>
        <v>-2.9368362277223206</v>
      </c>
      <c r="GJ223" s="200" t="str">
        <f t="shared" si="411"/>
        <v/>
      </c>
      <c r="GK223" s="203">
        <f>IF($J223="",#N/A,SUM(GJ$4:GJ223))</f>
        <v>0</v>
      </c>
      <c r="GL223" s="204" t="str">
        <f t="shared" si="412"/>
        <v/>
      </c>
      <c r="GM223" s="204">
        <f>IF($J223="",#N/A,SUM(GL$4:GL223))</f>
        <v>-2.1821391544892714</v>
      </c>
      <c r="GN223" s="205" t="str">
        <f t="shared" si="413"/>
        <v/>
      </c>
      <c r="GO223" s="205">
        <f>IF($J223="",#N/A,SUM(GN$4:GN223))</f>
        <v>0</v>
      </c>
      <c r="GP223" s="205">
        <f>IF($J223="",#N/A,SUM(GN$4:GN223,GL$4:GL223,GJ$4:GJ223))</f>
        <v>-2.1821391544892714</v>
      </c>
      <c r="GS223" s="54">
        <f t="shared" si="432"/>
        <v>1.5670732401744727</v>
      </c>
      <c r="GT223" s="54">
        <f>IF(GS223="",NA(),SUM($GS$4:GS223))</f>
        <v>5.9116948141110885</v>
      </c>
      <c r="GU223" s="54" t="str">
        <f t="shared" si="414"/>
        <v/>
      </c>
      <c r="GV223" s="54" t="e">
        <f>IF(GU223="",NA(),SUM($GU$4:GU223))</f>
        <v>#N/A</v>
      </c>
      <c r="GW223" s="54">
        <f t="shared" si="415"/>
        <v>1.5670732401744727</v>
      </c>
      <c r="GX223" s="54">
        <f>IF(GW223="",NA(),SUM($GW$4:GW223))</f>
        <v>6.8646711797920661</v>
      </c>
      <c r="GY223" s="54" t="str">
        <f t="shared" si="416"/>
        <v/>
      </c>
      <c r="GZ223" s="54" t="e">
        <f>IF(GY223="",NA(),SUM($GY$4:GY223))</f>
        <v>#N/A</v>
      </c>
      <c r="HA223" s="54" t="str">
        <f t="shared" si="417"/>
        <v/>
      </c>
      <c r="HB223" s="54" t="e">
        <f>IF(HA223="",NA(),SUM($HA$4:HA223))</f>
        <v>#N/A</v>
      </c>
      <c r="HC223" s="54" t="str">
        <f t="shared" si="418"/>
        <v/>
      </c>
      <c r="HD223" s="54" t="e">
        <f>IF(HC223="",NA(),SUM($HC$4:HC223))</f>
        <v>#N/A</v>
      </c>
      <c r="HE223" s="54" t="str">
        <f t="shared" si="419"/>
        <v/>
      </c>
      <c r="HF223" s="54" t="e">
        <f>IF(HE223="",NA(),SUM($HE$4:HE223))</f>
        <v>#N/A</v>
      </c>
      <c r="HG223" s="54" t="str">
        <f t="shared" si="420"/>
        <v/>
      </c>
      <c r="HH223" s="54" t="e">
        <f>IF(HG223="",NA(),SUM($HG$4:HG223))</f>
        <v>#N/A</v>
      </c>
      <c r="HI223" s="172" t="str">
        <f t="shared" si="433"/>
        <v/>
      </c>
      <c r="HJ223" s="172">
        <f>IF($J223="",#N/A,SUM(HI$4:$HI223))</f>
        <v>-7.4992019482494197</v>
      </c>
      <c r="HK223" s="54" t="str">
        <f t="shared" si="421"/>
        <v/>
      </c>
      <c r="HL223" s="54">
        <f>IF($J223="",#N/A,SUM($HK$4:HK223))</f>
        <v>-1.3757693049009907</v>
      </c>
      <c r="HM223" s="54" t="str">
        <f t="shared" si="422"/>
        <v/>
      </c>
      <c r="HN223" s="54">
        <f>IF($J223="",#N/A,SUM($HM$4:HM223))</f>
        <v>0.90694539517251249</v>
      </c>
      <c r="HO223" s="54" t="str">
        <f t="shared" si="423"/>
        <v/>
      </c>
      <c r="HP223" s="54">
        <f>IF($J223="",#N/A,SUM($HO$4:HO223))</f>
        <v>0.52783589553778021</v>
      </c>
      <c r="HQ223" s="54">
        <f t="shared" si="424"/>
        <v>9.7942077510906111E-2</v>
      </c>
      <c r="HR223" s="54">
        <f>IF($J223="",#N/A,SUM($HQ$4:HQ223))</f>
        <v>-14.029629566608277</v>
      </c>
      <c r="HS223" s="54" t="str">
        <f t="shared" si="425"/>
        <v/>
      </c>
      <c r="HT223" s="54">
        <f>IF($J223="",#N/A,SUM($HS$4:HS223))</f>
        <v>12.355916080255803</v>
      </c>
      <c r="HU223" s="65">
        <f t="shared" si="426"/>
        <v>1.6650153176853788</v>
      </c>
      <c r="HV223" s="65">
        <f>IF($J223="",#N/A,SUM(HU$4:$HU223))</f>
        <v>2.5470018956629081</v>
      </c>
    </row>
    <row r="224" spans="1:230" x14ac:dyDescent="0.25">
      <c r="A224" s="51" t="s">
        <v>198</v>
      </c>
      <c r="B224" s="52" t="s">
        <v>4544</v>
      </c>
      <c r="C224" s="229">
        <f t="shared" si="327"/>
        <v>2</v>
      </c>
      <c r="D224" s="219" t="str">
        <f>_xlfn.XLOOKUP(A224,[1]SP500!$A$2:$A$502,[1]SP500!$D$2:$D$502,"N")</f>
        <v>Y</v>
      </c>
      <c r="E224" s="51" t="str">
        <f>IFERROR(_xlfn.XLOOKUP(A224,[1]SP500!$A$2:$A$655,[1]SP500!$B$2:$B$655),"")</f>
        <v>XHB</v>
      </c>
      <c r="F224" s="290">
        <v>45778</v>
      </c>
      <c r="G224" s="51" t="str">
        <f t="shared" si="328"/>
        <v>BMO</v>
      </c>
      <c r="H224" s="51" t="str">
        <f t="shared" si="329"/>
        <v>s</v>
      </c>
      <c r="I224" s="344">
        <v>119.63</v>
      </c>
      <c r="J224" s="124">
        <v>116.05</v>
      </c>
      <c r="K224" s="55">
        <f t="shared" si="330"/>
        <v>-2.9925603945498608E-2</v>
      </c>
      <c r="L224" s="67">
        <f t="shared" si="331"/>
        <v>32.220000000000027</v>
      </c>
      <c r="M224" s="57">
        <f t="shared" si="332"/>
        <v>8.9999999999918145E-2</v>
      </c>
      <c r="N224" s="102">
        <f t="shared" si="333"/>
        <v>32.220000000000027</v>
      </c>
      <c r="O224" s="57">
        <f>IF(N224="",#N/A,SUM($N$4:N224))</f>
        <v>571.20865200916876</v>
      </c>
      <c r="P224" s="65">
        <f t="shared" si="427"/>
        <v>0.49876006575831078</v>
      </c>
      <c r="Q224" s="172">
        <f>IF($N224="",#N/A,SUM($P$4:P224))</f>
        <v>12.159665410213808</v>
      </c>
      <c r="R224" s="279">
        <f t="shared" si="334"/>
        <v>3.3902131722158568</v>
      </c>
      <c r="S224" s="51" t="str">
        <f t="shared" si="335"/>
        <v>Dwn</v>
      </c>
      <c r="T224" s="51" t="s">
        <v>4462</v>
      </c>
      <c r="U224" s="56">
        <f t="shared" si="336"/>
        <v>119.63</v>
      </c>
      <c r="V224" s="56" t="s">
        <v>4458</v>
      </c>
      <c r="W224" s="142">
        <v>9</v>
      </c>
      <c r="X224" s="145">
        <f t="shared" si="337"/>
        <v>1076.67</v>
      </c>
      <c r="Y224" s="140">
        <f t="shared" si="338"/>
        <v>9</v>
      </c>
      <c r="Z224" s="123">
        <v>116.04</v>
      </c>
      <c r="AA224" s="102">
        <f t="shared" si="339"/>
        <v>32.309999999999945</v>
      </c>
      <c r="AB224" s="102">
        <f t="shared" si="340"/>
        <v>69.299999999999955</v>
      </c>
      <c r="AC224" s="124">
        <v>111.93</v>
      </c>
      <c r="AD224" s="155">
        <f t="shared" si="341"/>
        <v>69.299999999999955</v>
      </c>
      <c r="AE224" s="545">
        <f t="shared" si="342"/>
        <v>1.0727520967427338</v>
      </c>
      <c r="AF224" s="57">
        <f>IF($AC224="",#N/A,SUM(AD$4:AD224))</f>
        <v>155.15978088917211</v>
      </c>
      <c r="AG224" s="102">
        <f t="shared" si="343"/>
        <v>37.079999999999927</v>
      </c>
      <c r="AH224" s="56" t="s">
        <v>2507</v>
      </c>
      <c r="AI224" s="65">
        <f t="shared" si="344"/>
        <v>0.50015325029953384</v>
      </c>
      <c r="AJ224" s="350">
        <f>IF(AI224="",#N/A,SUM($AI$4:AI224))</f>
        <v>8.7694522379979514</v>
      </c>
      <c r="AK224" s="57">
        <f t="shared" si="345"/>
        <v>32.309999999999945</v>
      </c>
      <c r="AL224" s="349">
        <f>IF(AI224="",#N/A,IF(AH224="Skip",SUM($AK$4:AK224),SUM($AK$4:AK224)))</f>
        <v>339.67759149281426</v>
      </c>
      <c r="AM224" s="65">
        <f t="shared" si="428"/>
        <v>1.0727520967427338</v>
      </c>
      <c r="AN224" s="209"/>
      <c r="AO224" s="65" t="str">
        <f t="shared" si="346"/>
        <v/>
      </c>
      <c r="AP224" s="65">
        <f>IF($AC224="",#N/A,SUM(AO$4:AO224))</f>
        <v>5.5548501883881505</v>
      </c>
      <c r="AQ224" s="65" t="str">
        <f t="shared" si="347"/>
        <v/>
      </c>
      <c r="AR224" s="65">
        <f>IF($AC224="",#N/A,SUM(AQ$4:AQ224))</f>
        <v>-1.2946685655386543</v>
      </c>
      <c r="AS224" s="65">
        <f t="shared" si="348"/>
        <v>1.0727520967427338</v>
      </c>
      <c r="AT224" s="65">
        <f>IF($AC224="",#N/A,SUM(AS$4:AS224))</f>
        <v>-0.64042763044385742</v>
      </c>
      <c r="AU224" s="57" t="str">
        <f t="shared" si="429"/>
        <v/>
      </c>
      <c r="AV224" s="57">
        <f>IF($AC224="",#N/A,SUM(AU$4:AU224))</f>
        <v>246.01139934283913</v>
      </c>
      <c r="AW224" s="57" t="str">
        <f t="shared" si="430"/>
        <v/>
      </c>
      <c r="AX224" s="57">
        <f>IF($AC224="",#N/A,SUM(AW$4:AW224))</f>
        <v>-85.340000000000032</v>
      </c>
      <c r="AY224" s="57">
        <f t="shared" si="431"/>
        <v>69.299999999999955</v>
      </c>
      <c r="AZ224" s="57">
        <f>IF($AC224="",#N/A,SUM(AY$4:AY224))</f>
        <v>-5.5116184536669834</v>
      </c>
      <c r="BA224" s="57">
        <f>IF(AD224="",#N/A,SUM($AD$4:AD224))</f>
        <v>155.15978088917211</v>
      </c>
      <c r="BC224" s="51" t="str">
        <f t="shared" si="349"/>
        <v/>
      </c>
      <c r="BD224" s="51" t="str">
        <f t="shared" si="350"/>
        <v/>
      </c>
      <c r="BE224" s="51" t="str">
        <f t="shared" si="351"/>
        <v/>
      </c>
      <c r="BF224" s="51" t="str">
        <f t="shared" si="352"/>
        <v>Short</v>
      </c>
      <c r="BG224" s="51">
        <f t="shared" si="353"/>
        <v>1</v>
      </c>
      <c r="BH224" s="51" t="str">
        <f t="shared" si="354"/>
        <v/>
      </c>
      <c r="BI224" s="51" t="str">
        <f t="shared" si="355"/>
        <v/>
      </c>
      <c r="BK224" s="65">
        <f t="shared" si="326"/>
        <v>0.19554177699924813</v>
      </c>
      <c r="BL224" s="65">
        <f t="shared" si="434"/>
        <v>0.15431389139647655</v>
      </c>
      <c r="BM224" s="65">
        <f>IFERROR(Q224/COUNTA($J$4:J224),#N/A)</f>
        <v>5.5021110453456146E-2</v>
      </c>
      <c r="BO224" s="489" t="e">
        <f>IF(J224="",#N/A,IF(S224="SW",(COUNTIFS(K$4:$K224,"&gt;0",S$4:$S224,"SW")/COUNTIF(S$4:$S224,"SW")),#N/A))</f>
        <v>#N/A</v>
      </c>
      <c r="BP224" s="489">
        <f>IF($J224="",#N/A,IF($S224="DWN",(COUNTIFS($K$4:$K224,"&lt;0",$S$4:$S224,"DWN")/COUNTIF($S$4:$S224,"DWN")),#N/A))</f>
        <v>0.57446808510638303</v>
      </c>
      <c r="BQ224" s="489" t="e">
        <f>IF($J224="",#N/A,IF($S224="UP",(COUNTIFS($K$4:$K224,"&gt;0",$S$4:$S224,"UP")/COUNTIF($S$4:$S224,"UP")),#N/A))</f>
        <v>#N/A</v>
      </c>
      <c r="BR224" s="489">
        <f>IF(J224="",#N/A,COUNTIF($K$4:K224,"&gt;0")/COUNT($J$4:J224))</f>
        <v>0.4660633484162896</v>
      </c>
      <c r="BS224" s="65" t="str">
        <f t="shared" si="356"/>
        <v/>
      </c>
      <c r="BT224" s="65" t="str">
        <f t="shared" si="357"/>
        <v/>
      </c>
      <c r="BU224" s="65">
        <f t="shared" si="358"/>
        <v>0.49876006575831078</v>
      </c>
      <c r="BV224" s="65" t="str">
        <f t="shared" si="359"/>
        <v/>
      </c>
      <c r="BW224" s="128" t="str">
        <f t="shared" si="360"/>
        <v/>
      </c>
      <c r="BX224" s="128">
        <f>IF($J224="",#N/A,SUM($BW$4:BW224))</f>
        <v>-178.45000000000039</v>
      </c>
      <c r="BY224" s="131">
        <f t="shared" si="361"/>
        <v>32.220000000000027</v>
      </c>
      <c r="BZ224" s="131">
        <f>IF($J224="",#N/A,SUM($BY$4:BY224))</f>
        <v>432.10934038933442</v>
      </c>
      <c r="CA224" s="133" t="str">
        <f t="shared" si="362"/>
        <v/>
      </c>
      <c r="CB224" s="133">
        <f>IF($J224="",#N/A,SUM($CA$4:CA224))</f>
        <v>317.54931161983473</v>
      </c>
      <c r="CC224" s="194" t="str">
        <f t="shared" si="363"/>
        <v/>
      </c>
      <c r="CD224" s="194">
        <f>IF($J224="",#N/A,SUM($CC$4:CC224))</f>
        <v>-2.7294498562489466</v>
      </c>
      <c r="CE224" s="195">
        <f t="shared" si="364"/>
        <v>0.49876006575831078</v>
      </c>
      <c r="CF224" s="195">
        <f>IF($J224="",#N/A,SUM($CE$4:CE224))</f>
        <v>7.6605515917221352</v>
      </c>
      <c r="CG224" s="196" t="str">
        <f t="shared" si="365"/>
        <v/>
      </c>
      <c r="CH224" s="196">
        <f>IF($J224="",#N/A,SUM($CG$4:CG224))</f>
        <v>7.2285636747406263</v>
      </c>
      <c r="CI224" s="200" t="str">
        <f t="shared" si="366"/>
        <v/>
      </c>
      <c r="CJ224" s="203">
        <f>IF($J224="",#N/A,SUM(CI$4:CI224))</f>
        <v>0</v>
      </c>
      <c r="CK224" s="204" t="str">
        <f t="shared" si="367"/>
        <v/>
      </c>
      <c r="CL224" s="204">
        <f>IF($J224="",#N/A,SUM(CK$4:CK224))</f>
        <v>1.9927003554442289</v>
      </c>
      <c r="CM224" s="205" t="str">
        <f t="shared" si="368"/>
        <v/>
      </c>
      <c r="CN224" s="205">
        <f>IF($J224="",#N/A,SUM(CM$4:CM224))</f>
        <v>5.6091171609382364</v>
      </c>
      <c r="CO224" s="205">
        <f>IF($J224="",#N/A,SUM(CM$4:CM224,CK$4:CK224,CI$4:CI224))</f>
        <v>7.6018175163824644</v>
      </c>
      <c r="CP224" s="200" t="str">
        <f t="shared" si="369"/>
        <v/>
      </c>
      <c r="CQ224" s="203">
        <f>IF($J224="",#N/A,SUM(CP$4:CP224))</f>
        <v>0</v>
      </c>
      <c r="CR224" s="204" t="str">
        <f t="shared" si="370"/>
        <v/>
      </c>
      <c r="CS224" s="204">
        <f>IF($J224="",#N/A,SUM(CR$4:CR224))</f>
        <v>4.2989225684455388</v>
      </c>
      <c r="CT224" s="205" t="str">
        <f t="shared" si="371"/>
        <v/>
      </c>
      <c r="CU224" s="205">
        <f>IF($J224="",#N/A,SUM(CT$4:CT224))</f>
        <v>-1.1331655471946371</v>
      </c>
      <c r="CV224" s="205">
        <f>IF($J224="",#N/A,SUM(CT$4:CT224,CR$4:CR224,CP$4:CP224))</f>
        <v>3.1657570212509012</v>
      </c>
      <c r="CW224" s="200" t="str">
        <f t="shared" si="372"/>
        <v/>
      </c>
      <c r="CX224" s="203">
        <f>IF($J224="",#N/A,SUM(CW$4:CW224))</f>
        <v>-0.33865165024245297</v>
      </c>
      <c r="CY224" s="204" t="str">
        <f t="shared" si="373"/>
        <v/>
      </c>
      <c r="CZ224" s="204">
        <f>IF($J224="",#N/A,SUM(CY$4:CY224))</f>
        <v>-0.55412230890025005</v>
      </c>
      <c r="DA224" s="205" t="str">
        <f t="shared" si="374"/>
        <v/>
      </c>
      <c r="DB224" s="205">
        <f>IF($J224="",#N/A,SUM(DA$4:DA224))</f>
        <v>-2.2679577914291</v>
      </c>
      <c r="DC224" s="205">
        <f>IF($J224="",#N/A,SUM(DA$4:DA224,CY$4:CY224,CW$4:CW224))</f>
        <v>-3.1607317505718027</v>
      </c>
      <c r="DD224" s="200" t="str">
        <f t="shared" si="375"/>
        <v/>
      </c>
      <c r="DE224" s="203">
        <f>IF($J224="",#N/A,SUM(DD$4:DD224))</f>
        <v>0.14968716170674062</v>
      </c>
      <c r="DF224" s="204" t="str">
        <f t="shared" si="376"/>
        <v/>
      </c>
      <c r="DG224" s="204">
        <f>IF($J224="",#N/A,SUM(DF$4:DF224))</f>
        <v>1.5249935139936004</v>
      </c>
      <c r="DH224" s="205" t="str">
        <f t="shared" si="377"/>
        <v/>
      </c>
      <c r="DI224" s="205">
        <f>IF($J224="",#N/A,SUM(DH$4:DH224))</f>
        <v>-1.9066052078694633</v>
      </c>
      <c r="DJ224" s="205">
        <f>IF($J224="",#N/A,SUM(DH$4:DH224,DF$4:DF224,DD$4:DD224))</f>
        <v>-0.23192453216912207</v>
      </c>
      <c r="DK224" s="200" t="str">
        <f t="shared" si="378"/>
        <v/>
      </c>
      <c r="DL224" s="203">
        <f>IF($J224="",#N/A,SUM(DK$4:DK224))</f>
        <v>-1.2097286851272664</v>
      </c>
      <c r="DM224" s="204" t="str">
        <f t="shared" si="379"/>
        <v/>
      </c>
      <c r="DN224" s="204">
        <f>IF($J224="",#N/A,SUM(DM$4:DM224))</f>
        <v>1.1910608267574658</v>
      </c>
      <c r="DO224" s="205" t="str">
        <f t="shared" si="380"/>
        <v/>
      </c>
      <c r="DP224" s="205">
        <f>IF($J224="",#N/A,SUM(DO$4:DO224))</f>
        <v>2.6571865116636566</v>
      </c>
      <c r="DQ224" s="205">
        <f>IF($J224="",#N/A,SUM(DO$4:DO224,DM$4:DM224,DK$4:DK224))</f>
        <v>2.6385186532938567</v>
      </c>
      <c r="DR224" s="200" t="str">
        <f t="shared" si="381"/>
        <v/>
      </c>
      <c r="DS224" s="203">
        <f>IF($J224="",#N/A,SUM(DR$4:DR224))</f>
        <v>-0.55950946427675097</v>
      </c>
      <c r="DT224" s="204" t="str">
        <f t="shared" si="382"/>
        <v/>
      </c>
      <c r="DU224" s="204">
        <f>IF($J224="",#N/A,SUM(DT$4:DT224))</f>
        <v>-3.6911249040845173</v>
      </c>
      <c r="DV224" s="205" t="str">
        <f t="shared" si="383"/>
        <v/>
      </c>
      <c r="DW224" s="205">
        <f>IF($J224="",#N/A,SUM(DV$4:DV224))</f>
        <v>-1.2815650893103838</v>
      </c>
      <c r="DX224" s="205">
        <f>IF($J224="",#N/A,SUM(DV$4:DV224,DT$4:DT224,DR$4:DR224))</f>
        <v>-5.532199457671652</v>
      </c>
      <c r="DY224" s="200" t="str">
        <f t="shared" si="384"/>
        <v/>
      </c>
      <c r="DZ224" s="203">
        <f>IF($J224="",#N/A,SUM(DY$4:DY224))</f>
        <v>-0.68709251990528031</v>
      </c>
      <c r="EA224" s="204" t="str">
        <f t="shared" si="385"/>
        <v/>
      </c>
      <c r="EB224" s="204">
        <f>IF($J224="",#N/A,SUM(EA$4:EA224))</f>
        <v>0.65158371441459195</v>
      </c>
      <c r="EC224" s="205" t="str">
        <f t="shared" si="386"/>
        <v/>
      </c>
      <c r="ED224" s="205">
        <f>IF($J224="",#N/A,SUM(EC$4:EC224))</f>
        <v>4.5881188907371193</v>
      </c>
      <c r="EE224" s="205">
        <f>IF($J224="",#N/A,SUM(EC$4:EC224,EA$4:EA224,DY$4:DY224))</f>
        <v>4.5526100852464308</v>
      </c>
      <c r="EF224" s="200" t="str">
        <f t="shared" si="387"/>
        <v/>
      </c>
      <c r="EG224" s="203">
        <f>IF($J224="",#N/A,SUM(EF$4:EF224))</f>
        <v>-0.15098969023521425</v>
      </c>
      <c r="EH224" s="204" t="str">
        <f t="shared" si="388"/>
        <v/>
      </c>
      <c r="EI224" s="204">
        <f>IF($J224="",#N/A,SUM(EH$4:EH224))</f>
        <v>-3.1507771605639614</v>
      </c>
      <c r="EJ224" s="205" t="str">
        <f t="shared" si="389"/>
        <v/>
      </c>
      <c r="EK224" s="205">
        <f>IF($J224="",#N/A,SUM(EJ$4:EJ224))</f>
        <v>4.6014417494274094</v>
      </c>
      <c r="EL224" s="205">
        <f>IF($J224="",#N/A,SUM(EJ$4:EJ224,EH$4:EH224,EF$4:EF224))</f>
        <v>1.2996748986282345</v>
      </c>
      <c r="EM224" s="200" t="str">
        <f t="shared" si="390"/>
        <v/>
      </c>
      <c r="EN224" s="203">
        <f>IF($J224="",#N/A,SUM(EM$4:EM224))</f>
        <v>0</v>
      </c>
      <c r="EO224" s="204" t="str">
        <f t="shared" si="391"/>
        <v/>
      </c>
      <c r="EP224" s="204">
        <f>IF($J224="",#N/A,SUM(EO$4:EO224))</f>
        <v>3.2406646352184261</v>
      </c>
      <c r="EQ224" s="205" t="str">
        <f t="shared" si="392"/>
        <v/>
      </c>
      <c r="ER224" s="205">
        <f>IF($J224="",#N/A,SUM(EQ$4:EQ224))</f>
        <v>1.441536272249796</v>
      </c>
      <c r="ES224" s="205">
        <f>IF($J224="",#N/A,SUM(EQ$4:EQ224,EO$4:EO224,EM$4:EM224))</f>
        <v>4.6822009074682214</v>
      </c>
      <c r="ET224" s="200" t="str">
        <f t="shared" si="393"/>
        <v/>
      </c>
      <c r="EU224" s="203">
        <f>IF($J224="",#N/A,SUM(ET$4:ET224))</f>
        <v>0</v>
      </c>
      <c r="EV224" s="204" t="str">
        <f t="shared" si="394"/>
        <v/>
      </c>
      <c r="EW224" s="204">
        <f>IF($J224="",#N/A,SUM(EV$4:EV224))</f>
        <v>1.9901851109977766</v>
      </c>
      <c r="EX224" s="205" t="str">
        <f t="shared" si="395"/>
        <v/>
      </c>
      <c r="EY224" s="205">
        <f>IF($J224="",#N/A,SUM(EX$4:EX224))</f>
        <v>-9.038537462898949E-2</v>
      </c>
      <c r="EZ224" s="205">
        <f>IF($J224="",#N/A,SUM(EX$4:EX224,EV$4:EV224,ET$4:ET224))</f>
        <v>1.8997997363687871</v>
      </c>
      <c r="FA224" s="200" t="str">
        <f t="shared" si="396"/>
        <v/>
      </c>
      <c r="FB224" s="203">
        <f>IF($J224="",#N/A,SUM(FA$4:FA224))</f>
        <v>0</v>
      </c>
      <c r="FC224" s="204" t="str">
        <f t="shared" si="397"/>
        <v/>
      </c>
      <c r="FD224" s="204">
        <f>IF($J224="",#N/A,SUM(FC$4:FC224))</f>
        <v>1.6839191319663924</v>
      </c>
      <c r="FE224" s="205" t="str">
        <f t="shared" si="398"/>
        <v/>
      </c>
      <c r="FF224" s="205">
        <f>IF($J224="",#N/A,SUM(FE$4:FE224))</f>
        <v>-0.28811149078748233</v>
      </c>
      <c r="FG224" s="205">
        <f>IF($J224="",#N/A,SUM(FE$4:FE224,FC$4:FC224,FA$4:FA224))</f>
        <v>1.3958076411789102</v>
      </c>
      <c r="FH224" s="200" t="str">
        <f t="shared" si="399"/>
        <v/>
      </c>
      <c r="FI224" s="203">
        <f>IF($J224="",#N/A,SUM(FH$4:FH224))</f>
        <v>0</v>
      </c>
      <c r="FJ224" s="204" t="str">
        <f t="shared" si="400"/>
        <v/>
      </c>
      <c r="FK224" s="204">
        <f>IF($J224="",#N/A,SUM(FJ$4:FJ224))</f>
        <v>0</v>
      </c>
      <c r="FL224" s="205" t="str">
        <f t="shared" si="401"/>
        <v/>
      </c>
      <c r="FM224" s="205">
        <f>IF($J224="",#N/A,SUM(FL$4:FL224))</f>
        <v>0</v>
      </c>
      <c r="FN224" s="205">
        <f>IF($J224="",#N/A,SUM(FL$4:FL224,FJ$4:FJ224,FH$4:FH224))</f>
        <v>0</v>
      </c>
      <c r="FO224" s="200" t="str">
        <f t="shared" si="402"/>
        <v/>
      </c>
      <c r="FP224" s="203">
        <f>IF($J224="",#N/A,SUM(FO$4:FO224))</f>
        <v>0</v>
      </c>
      <c r="FQ224" s="204" t="str">
        <f t="shared" si="403"/>
        <v/>
      </c>
      <c r="FR224" s="204">
        <f>IF($J224="",#N/A,SUM(FQ$4:FQ224))</f>
        <v>0</v>
      </c>
      <c r="FS224" s="205" t="str">
        <f t="shared" si="404"/>
        <v/>
      </c>
      <c r="FT224" s="205">
        <f>IF($J224="",#N/A,SUM(FS$4:FS224))</f>
        <v>0</v>
      </c>
      <c r="FU224" s="205">
        <f>IF($J224="",#N/A,SUM(FS$4:FS224,FQ$4:FQ224,FO$4:FO224))</f>
        <v>0</v>
      </c>
      <c r="FV224" s="200" t="str">
        <f t="shared" si="405"/>
        <v/>
      </c>
      <c r="FW224" s="203">
        <f>IF($J224="",#N/A,SUM(FV$4:FV224))</f>
        <v>6.6834991831277585E-2</v>
      </c>
      <c r="FX224" s="204" t="str">
        <f t="shared" si="406"/>
        <v/>
      </c>
      <c r="FY224" s="204">
        <f>IF($J224="",#N/A,SUM(FX$4:FX224))</f>
        <v>-0.16102012791805576</v>
      </c>
      <c r="FZ224" s="205" t="str">
        <f t="shared" si="407"/>
        <v/>
      </c>
      <c r="GA224" s="205">
        <f>IF($J224="",#N/A,SUM(FZ$4:FZ224))</f>
        <v>-1.7642101813332194</v>
      </c>
      <c r="GB224" s="205">
        <f>IF($J224="",#N/A,SUM(FZ$4:FZ224,FX$4:FX224,FV$4:FV224))</f>
        <v>-1.8583953174199976</v>
      </c>
      <c r="GC224" s="200" t="str">
        <f t="shared" si="408"/>
        <v/>
      </c>
      <c r="GD224" s="203">
        <f>IF($J224="",#N/A,SUM(GC$4:GC224))</f>
        <v>0</v>
      </c>
      <c r="GE224" s="204" t="str">
        <f t="shared" si="409"/>
        <v/>
      </c>
      <c r="GF224" s="204">
        <f>IF($J224="",#N/A,SUM(GE$4:GE224))</f>
        <v>0</v>
      </c>
      <c r="GG224" s="205" t="str">
        <f t="shared" si="410"/>
        <v/>
      </c>
      <c r="GH224" s="205">
        <f>IF($J224="",#N/A,SUM(GG$4:GG224))</f>
        <v>-2.9368362277223206</v>
      </c>
      <c r="GI224" s="205">
        <f>IF($J224="",#N/A,SUM(GG$4:GG224,GE$4:GE224,GC$4:GC224))</f>
        <v>-2.9368362277223206</v>
      </c>
      <c r="GJ224" s="200" t="str">
        <f t="shared" si="411"/>
        <v/>
      </c>
      <c r="GK224" s="203">
        <f>IF($J224="",#N/A,SUM(GJ$4:GJ224))</f>
        <v>0</v>
      </c>
      <c r="GL224" s="204">
        <f t="shared" si="412"/>
        <v>0.49876006575831078</v>
      </c>
      <c r="GM224" s="204">
        <f>IF($J224="",#N/A,SUM(GL$4:GL224))</f>
        <v>-1.6833790887309608</v>
      </c>
      <c r="GN224" s="205" t="str">
        <f t="shared" si="413"/>
        <v/>
      </c>
      <c r="GO224" s="205">
        <f>IF($J224="",#N/A,SUM(GN$4:GN224))</f>
        <v>0</v>
      </c>
      <c r="GP224" s="205">
        <f>IF($J224="",#N/A,SUM(GN$4:GN224,GL$4:GL224,GJ$4:GJ224))</f>
        <v>-1.6833790887309608</v>
      </c>
      <c r="GS224" s="54">
        <f t="shared" si="432"/>
        <v>0.49876006575831078</v>
      </c>
      <c r="GT224" s="54">
        <f>IF(GS224="",NA(),SUM($GS$4:GS224))</f>
        <v>6.4104548798693992</v>
      </c>
      <c r="GU224" s="54" t="str">
        <f t="shared" si="414"/>
        <v/>
      </c>
      <c r="GV224" s="54" t="e">
        <f>IF(GU224="",NA(),SUM($GU$4:GU224))</f>
        <v>#N/A</v>
      </c>
      <c r="GW224" s="54" t="str">
        <f t="shared" si="415"/>
        <v/>
      </c>
      <c r="GX224" s="54" t="e">
        <f>IF(GW224="",NA(),SUM($GW$4:GW224))</f>
        <v>#N/A</v>
      </c>
      <c r="GY224" s="54">
        <f t="shared" si="416"/>
        <v>0.49876006575831078</v>
      </c>
      <c r="GZ224" s="54">
        <f>IF(GY224="",NA(),SUM($GY$4:GY224))</f>
        <v>2.2752335563262838</v>
      </c>
      <c r="HA224" s="54" t="str">
        <f t="shared" si="417"/>
        <v/>
      </c>
      <c r="HB224" s="54" t="e">
        <f>IF(HA224="",NA(),SUM($HA$4:HA224))</f>
        <v>#N/A</v>
      </c>
      <c r="HC224" s="54" t="str">
        <f t="shared" si="418"/>
        <v/>
      </c>
      <c r="HD224" s="54" t="e">
        <f>IF(HC224="",NA(),SUM($HC$4:HC224))</f>
        <v>#N/A</v>
      </c>
      <c r="HE224" s="54" t="str">
        <f t="shared" si="419"/>
        <v/>
      </c>
      <c r="HF224" s="54" t="e">
        <f>IF(HE224="",NA(),SUM($HE$4:HE224))</f>
        <v>#N/A</v>
      </c>
      <c r="HG224" s="54" t="str">
        <f t="shared" si="420"/>
        <v/>
      </c>
      <c r="HH224" s="54" t="e">
        <f>IF(HG224="",NA(),SUM($HG$4:HG224))</f>
        <v>#N/A</v>
      </c>
      <c r="HI224" s="172">
        <f t="shared" si="433"/>
        <v>0.57399203098442297</v>
      </c>
      <c r="HJ224" s="172">
        <f>IF($J224="",#N/A,SUM(HI$4:$HI224))</f>
        <v>-6.925209917264997</v>
      </c>
      <c r="HK224" s="54" t="str">
        <f t="shared" si="421"/>
        <v/>
      </c>
      <c r="HL224" s="54">
        <f>IF($J224="",#N/A,SUM($HK$4:HK224))</f>
        <v>-1.3757693049009907</v>
      </c>
      <c r="HM224" s="54" t="str">
        <f t="shared" si="422"/>
        <v/>
      </c>
      <c r="HN224" s="54">
        <f>IF($J224="",#N/A,SUM($HM$4:HM224))</f>
        <v>0.90694539517251249</v>
      </c>
      <c r="HO224" s="54" t="str">
        <f t="shared" si="423"/>
        <v/>
      </c>
      <c r="HP224" s="54">
        <f>IF($J224="",#N/A,SUM($HO$4:HO224))</f>
        <v>0.52783589553778021</v>
      </c>
      <c r="HQ224" s="54" t="str">
        <f t="shared" si="424"/>
        <v/>
      </c>
      <c r="HR224" s="54">
        <f>IF($J224="",#N/A,SUM($HQ$4:HQ224))</f>
        <v>-14.029629566608277</v>
      </c>
      <c r="HS224" s="54" t="str">
        <f t="shared" si="425"/>
        <v/>
      </c>
      <c r="HT224" s="54">
        <f>IF($J224="",#N/A,SUM($HS$4:HS224))</f>
        <v>12.355916080255803</v>
      </c>
      <c r="HU224" s="65">
        <f t="shared" si="426"/>
        <v>1.0727520967427338</v>
      </c>
      <c r="HV224" s="65">
        <f>IF($J224="",#N/A,SUM(HU$4:$HU224))</f>
        <v>3.6197539924056419</v>
      </c>
    </row>
    <row r="225" spans="1:230" x14ac:dyDescent="0.25">
      <c r="A225" s="396" t="s">
        <v>1596</v>
      </c>
      <c r="B225" s="52" t="s">
        <v>4544</v>
      </c>
      <c r="C225" s="229">
        <f t="shared" si="327"/>
        <v>3</v>
      </c>
      <c r="D225" s="219" t="str">
        <f>_xlfn.XLOOKUP(A225,[1]SP500!$A$2:$A$502,[1]SP500!$D$2:$D$502,"N")</f>
        <v>Y</v>
      </c>
      <c r="E225" s="51" t="str">
        <f>IFERROR(_xlfn.XLOOKUP(A225,[1]SP500!$A$2:$A$655,[1]SP500!$B$2:$B$655),"")</f>
        <v>XLI</v>
      </c>
      <c r="F225" s="290">
        <v>45778</v>
      </c>
      <c r="G225" s="51" t="str">
        <f t="shared" si="328"/>
        <v>BMO</v>
      </c>
      <c r="H225" s="51" t="str">
        <f t="shared" si="329"/>
        <v>s</v>
      </c>
      <c r="I225" s="344">
        <v>230.34</v>
      </c>
      <c r="J225" s="124">
        <v>237.86</v>
      </c>
      <c r="K225" s="55">
        <f t="shared" si="330"/>
        <v>3.2647390813579973E-2</v>
      </c>
      <c r="L225" s="67">
        <f t="shared" si="331"/>
        <v>37.600000000000136</v>
      </c>
      <c r="M225" s="57">
        <f t="shared" si="332"/>
        <v>0.6999999999998181</v>
      </c>
      <c r="N225" s="102">
        <f t="shared" si="333"/>
        <v>37.600000000000136</v>
      </c>
      <c r="O225" s="57">
        <f>IF(N225="",#N/A,SUM($N$4:N225))</f>
        <v>608.8086520091689</v>
      </c>
      <c r="P225" s="65">
        <f t="shared" si="427"/>
        <v>0.54412318022633399</v>
      </c>
      <c r="Q225" s="172">
        <f>IF($N225="",#N/A,SUM($P$4:P225))</f>
        <v>12.703788590440142</v>
      </c>
      <c r="R225" s="279">
        <f t="shared" si="334"/>
        <v>3.3800832193924979</v>
      </c>
      <c r="S225" s="51" t="str">
        <f t="shared" si="335"/>
        <v>SW</v>
      </c>
      <c r="T225" s="51" t="s">
        <v>2828</v>
      </c>
      <c r="U225" s="56">
        <f t="shared" si="336"/>
        <v>230.34</v>
      </c>
      <c r="V225" s="56" t="s">
        <v>4460</v>
      </c>
      <c r="W225" s="142">
        <v>5</v>
      </c>
      <c r="X225" s="145">
        <f t="shared" si="337"/>
        <v>1151.7</v>
      </c>
      <c r="Y225" s="140">
        <f t="shared" si="338"/>
        <v>5</v>
      </c>
      <c r="Z225" s="123">
        <v>238</v>
      </c>
      <c r="AA225" s="102">
        <f t="shared" si="339"/>
        <v>38.299999999999955</v>
      </c>
      <c r="AB225" s="102">
        <f t="shared" si="340"/>
        <v>-14.300000000000182</v>
      </c>
      <c r="AC225" s="124">
        <v>227.48</v>
      </c>
      <c r="AD225" s="155">
        <f t="shared" si="341"/>
        <v>-14.300000000000182</v>
      </c>
      <c r="AE225" s="545">
        <f t="shared" si="342"/>
        <v>-0.2069404648201236</v>
      </c>
      <c r="AF225" s="57">
        <f>IF($AC225="",#N/A,SUM(AD$4:AD225))</f>
        <v>140.85978088917193</v>
      </c>
      <c r="AG225" s="102">
        <f t="shared" si="343"/>
        <v>-51.900000000000318</v>
      </c>
      <c r="AH225" s="56" t="s">
        <v>2507</v>
      </c>
      <c r="AI225" s="65">
        <f t="shared" si="344"/>
        <v>0.55425313304969392</v>
      </c>
      <c r="AJ225" s="108">
        <f>IF(AI225="",#N/A,SUM($AI$4:AI225))</f>
        <v>9.3237053710476445</v>
      </c>
      <c r="AK225" s="57">
        <f t="shared" si="345"/>
        <v>38.299999999999955</v>
      </c>
      <c r="AL225" s="66">
        <f>IF(AI225="",#N/A,IF(AH225="Skip",SUM($AK$4:AK225),SUM($AK$4:AK225)))</f>
        <v>377.97759149281421</v>
      </c>
      <c r="AM225" s="65">
        <f t="shared" si="428"/>
        <v>-0.2069404648201236</v>
      </c>
      <c r="AN225" s="209"/>
      <c r="AO225" s="65">
        <f t="shared" si="346"/>
        <v>-0.2069404648201236</v>
      </c>
      <c r="AP225" s="65">
        <f>IF($AC225="",#N/A,SUM(AO$4:AO225))</f>
        <v>5.3479097235680273</v>
      </c>
      <c r="AQ225" s="65" t="str">
        <f t="shared" si="347"/>
        <v/>
      </c>
      <c r="AR225" s="65">
        <f>IF($AC225="",#N/A,SUM(AQ$4:AQ225))</f>
        <v>-1.2946685655386543</v>
      </c>
      <c r="AS225" s="65" t="str">
        <f t="shared" si="348"/>
        <v/>
      </c>
      <c r="AT225" s="65">
        <f>IF($AC225="",#N/A,SUM(AS$4:AS225))</f>
        <v>-0.64042763044385742</v>
      </c>
      <c r="AU225" s="57">
        <f t="shared" si="429"/>
        <v>-14.300000000000182</v>
      </c>
      <c r="AV225" s="57">
        <f>IF($AC225="",#N/A,SUM(AU$4:AU225))</f>
        <v>231.71139934283894</v>
      </c>
      <c r="AW225" s="57" t="str">
        <f t="shared" si="430"/>
        <v/>
      </c>
      <c r="AX225" s="57">
        <f>IF($AC225="",#N/A,SUM(AW$4:AW225))</f>
        <v>-85.340000000000032</v>
      </c>
      <c r="AY225" s="57" t="str">
        <f t="shared" si="431"/>
        <v/>
      </c>
      <c r="AZ225" s="57">
        <f>IF($AC225="",#N/A,SUM(AY$4:AY225))</f>
        <v>-5.5116184536669834</v>
      </c>
      <c r="BA225" s="57">
        <f>IF(AD225="",#N/A,SUM($AD$4:AD225))</f>
        <v>140.85978088917193</v>
      </c>
      <c r="BC225" s="51" t="str">
        <f t="shared" si="349"/>
        <v/>
      </c>
      <c r="BD225" s="51" t="str">
        <f t="shared" si="350"/>
        <v/>
      </c>
      <c r="BE225" s="51">
        <f t="shared" si="351"/>
        <v>1</v>
      </c>
      <c r="BF225" s="51" t="str">
        <f t="shared" si="352"/>
        <v>Long</v>
      </c>
      <c r="BG225" s="51" t="str">
        <f t="shared" si="353"/>
        <v/>
      </c>
      <c r="BH225" s="51" t="str">
        <f t="shared" si="354"/>
        <v/>
      </c>
      <c r="BI225" s="51" t="str">
        <f t="shared" si="355"/>
        <v/>
      </c>
      <c r="BK225" s="65">
        <f t="shared" si="326"/>
        <v>0.20653306637371713</v>
      </c>
      <c r="BL225" s="65">
        <f t="shared" si="434"/>
        <v>0.16687685128837942</v>
      </c>
      <c r="BM225" s="65">
        <f>IFERROR(Q225/COUNTA($J$4:J225),#N/A)</f>
        <v>5.7224272929910551E-2</v>
      </c>
      <c r="BO225" s="489">
        <f>IF(J225="",#N/A,IF(S225="SW",(COUNTIFS(K$4:$K225,"&gt;0",S$4:$S225,"SW")/COUNTIF(S$4:$S225,"SW")),#N/A))</f>
        <v>0.51282051282051277</v>
      </c>
      <c r="BP225" s="489" t="e">
        <f>IF($J225="",#N/A,IF($S225="DWN",(COUNTIFS($K$4:$K225,"&lt;0",$S$4:$S225,"DWN")/COUNTIF($S$4:$S225,"DWN")),#N/A))</f>
        <v>#N/A</v>
      </c>
      <c r="BQ225" s="489" t="e">
        <f>IF($J225="",#N/A,IF($S225="UP",(COUNTIFS($K$4:$K225,"&gt;0",$S$4:$S225,"UP")/COUNTIF($S$4:$S225,"UP")),#N/A))</f>
        <v>#N/A</v>
      </c>
      <c r="BR225" s="489">
        <f>IF(J225="",#N/A,COUNTIF($K$4:K225,"&gt;0")/COUNT($J$4:J225))</f>
        <v>0.46846846846846846</v>
      </c>
      <c r="BS225" s="65">
        <f t="shared" si="356"/>
        <v>0.54412318022633399</v>
      </c>
      <c r="BT225" s="65" t="str">
        <f t="shared" si="357"/>
        <v/>
      </c>
      <c r="BU225" s="65" t="str">
        <f t="shared" si="358"/>
        <v/>
      </c>
      <c r="BV225" s="65" t="str">
        <f t="shared" si="359"/>
        <v/>
      </c>
      <c r="BW225" s="128" t="str">
        <f t="shared" si="360"/>
        <v/>
      </c>
      <c r="BX225" s="128">
        <f>IF($J225="",#N/A,SUM($BW$4:BW225))</f>
        <v>-178.45000000000039</v>
      </c>
      <c r="BY225" s="131" t="str">
        <f t="shared" si="361"/>
        <v/>
      </c>
      <c r="BZ225" s="131">
        <f>IF($J225="",#N/A,SUM($BY$4:BY225))</f>
        <v>432.10934038933442</v>
      </c>
      <c r="CA225" s="133">
        <f t="shared" si="362"/>
        <v>37.600000000000136</v>
      </c>
      <c r="CB225" s="133">
        <f>IF($J225="",#N/A,SUM($CA$4:CA225))</f>
        <v>355.14931161983486</v>
      </c>
      <c r="CC225" s="194" t="str">
        <f t="shared" si="363"/>
        <v/>
      </c>
      <c r="CD225" s="194">
        <f>IF($J225="",#N/A,SUM($CC$4:CC225))</f>
        <v>-2.7294498562489466</v>
      </c>
      <c r="CE225" s="195" t="str">
        <f t="shared" si="364"/>
        <v/>
      </c>
      <c r="CF225" s="195">
        <f>IF($J225="",#N/A,SUM($CE$4:CE225))</f>
        <v>7.6605515917221352</v>
      </c>
      <c r="CG225" s="196">
        <f t="shared" si="365"/>
        <v>0.54412318022633399</v>
      </c>
      <c r="CH225" s="196">
        <f>IF($J225="",#N/A,SUM($CG$4:CG225))</f>
        <v>7.7726868549669605</v>
      </c>
      <c r="CI225" s="200" t="str">
        <f t="shared" si="366"/>
        <v/>
      </c>
      <c r="CJ225" s="203">
        <f>IF($J225="",#N/A,SUM(CI$4:CI225))</f>
        <v>0</v>
      </c>
      <c r="CK225" s="204" t="str">
        <f t="shared" si="367"/>
        <v/>
      </c>
      <c r="CL225" s="204">
        <f>IF($J225="",#N/A,SUM(CK$4:CK225))</f>
        <v>1.9927003554442289</v>
      </c>
      <c r="CM225" s="205" t="str">
        <f t="shared" si="368"/>
        <v/>
      </c>
      <c r="CN225" s="205">
        <f>IF($J225="",#N/A,SUM(CM$4:CM225))</f>
        <v>5.6091171609382364</v>
      </c>
      <c r="CO225" s="205">
        <f>IF($J225="",#N/A,SUM(CM$4:CM225,CK$4:CK225,CI$4:CI225))</f>
        <v>7.6018175163824644</v>
      </c>
      <c r="CP225" s="200" t="str">
        <f t="shared" si="369"/>
        <v/>
      </c>
      <c r="CQ225" s="203">
        <f>IF($J225="",#N/A,SUM(CP$4:CP225))</f>
        <v>0</v>
      </c>
      <c r="CR225" s="204" t="str">
        <f t="shared" si="370"/>
        <v/>
      </c>
      <c r="CS225" s="204">
        <f>IF($J225="",#N/A,SUM(CR$4:CR225))</f>
        <v>4.2989225684455388</v>
      </c>
      <c r="CT225" s="205" t="str">
        <f t="shared" si="371"/>
        <v/>
      </c>
      <c r="CU225" s="205">
        <f>IF($J225="",#N/A,SUM(CT$4:CT225))</f>
        <v>-1.1331655471946371</v>
      </c>
      <c r="CV225" s="205">
        <f>IF($J225="",#N/A,SUM(CT$4:CT225,CR$4:CR225,CP$4:CP225))</f>
        <v>3.1657570212509012</v>
      </c>
      <c r="CW225" s="200" t="str">
        <f t="shared" si="372"/>
        <v/>
      </c>
      <c r="CX225" s="203">
        <f>IF($J225="",#N/A,SUM(CW$4:CW225))</f>
        <v>-0.33865165024245297</v>
      </c>
      <c r="CY225" s="204" t="str">
        <f t="shared" si="373"/>
        <v/>
      </c>
      <c r="CZ225" s="204">
        <f>IF($J225="",#N/A,SUM(CY$4:CY225))</f>
        <v>-0.55412230890025005</v>
      </c>
      <c r="DA225" s="205" t="str">
        <f t="shared" si="374"/>
        <v/>
      </c>
      <c r="DB225" s="205">
        <f>IF($J225="",#N/A,SUM(DA$4:DA225))</f>
        <v>-2.2679577914291</v>
      </c>
      <c r="DC225" s="205">
        <f>IF($J225="",#N/A,SUM(DA$4:DA225,CY$4:CY225,CW$4:CW225))</f>
        <v>-3.1607317505718027</v>
      </c>
      <c r="DD225" s="200" t="str">
        <f t="shared" si="375"/>
        <v/>
      </c>
      <c r="DE225" s="203">
        <f>IF($J225="",#N/A,SUM(DD$4:DD225))</f>
        <v>0.14968716170674062</v>
      </c>
      <c r="DF225" s="204" t="str">
        <f t="shared" si="376"/>
        <v/>
      </c>
      <c r="DG225" s="204">
        <f>IF($J225="",#N/A,SUM(DF$4:DF225))</f>
        <v>1.5249935139936004</v>
      </c>
      <c r="DH225" s="205" t="str">
        <f t="shared" si="377"/>
        <v/>
      </c>
      <c r="DI225" s="205">
        <f>IF($J225="",#N/A,SUM(DH$4:DH225))</f>
        <v>-1.9066052078694633</v>
      </c>
      <c r="DJ225" s="205">
        <f>IF($J225="",#N/A,SUM(DH$4:DH225,DF$4:DF225,DD$4:DD225))</f>
        <v>-0.23192453216912207</v>
      </c>
      <c r="DK225" s="200" t="str">
        <f t="shared" si="378"/>
        <v/>
      </c>
      <c r="DL225" s="203">
        <f>IF($J225="",#N/A,SUM(DK$4:DK225))</f>
        <v>-1.2097286851272664</v>
      </c>
      <c r="DM225" s="204" t="str">
        <f t="shared" si="379"/>
        <v/>
      </c>
      <c r="DN225" s="204">
        <f>IF($J225="",#N/A,SUM(DM$4:DM225))</f>
        <v>1.1910608267574658</v>
      </c>
      <c r="DO225" s="205" t="str">
        <f t="shared" si="380"/>
        <v/>
      </c>
      <c r="DP225" s="205">
        <f>IF($J225="",#N/A,SUM(DO$4:DO225))</f>
        <v>2.6571865116636566</v>
      </c>
      <c r="DQ225" s="205">
        <f>IF($J225="",#N/A,SUM(DO$4:DO225,DM$4:DM225,DK$4:DK225))</f>
        <v>2.6385186532938567</v>
      </c>
      <c r="DR225" s="200" t="str">
        <f t="shared" si="381"/>
        <v/>
      </c>
      <c r="DS225" s="203">
        <f>IF($J225="",#N/A,SUM(DR$4:DR225))</f>
        <v>-0.55950946427675097</v>
      </c>
      <c r="DT225" s="204" t="str">
        <f t="shared" si="382"/>
        <v/>
      </c>
      <c r="DU225" s="204">
        <f>IF($J225="",#N/A,SUM(DT$4:DT225))</f>
        <v>-3.6911249040845173</v>
      </c>
      <c r="DV225" s="205" t="str">
        <f t="shared" si="383"/>
        <v/>
      </c>
      <c r="DW225" s="205">
        <f>IF($J225="",#N/A,SUM(DV$4:DV225))</f>
        <v>-1.2815650893103838</v>
      </c>
      <c r="DX225" s="205">
        <f>IF($J225="",#N/A,SUM(DV$4:DV225,DT$4:DT225,DR$4:DR225))</f>
        <v>-5.532199457671652</v>
      </c>
      <c r="DY225" s="200" t="str">
        <f t="shared" si="384"/>
        <v/>
      </c>
      <c r="DZ225" s="203">
        <f>IF($J225="",#N/A,SUM(DY$4:DY225))</f>
        <v>-0.68709251990528031</v>
      </c>
      <c r="EA225" s="204" t="str">
        <f t="shared" si="385"/>
        <v/>
      </c>
      <c r="EB225" s="204">
        <f>IF($J225="",#N/A,SUM(EA$4:EA225))</f>
        <v>0.65158371441459195</v>
      </c>
      <c r="EC225" s="205">
        <f t="shared" si="386"/>
        <v>0.54412318022633399</v>
      </c>
      <c r="ED225" s="205">
        <f>IF($J225="",#N/A,SUM(EC$4:EC225))</f>
        <v>5.1322420709634535</v>
      </c>
      <c r="EE225" s="205">
        <f>IF($J225="",#N/A,SUM(EC$4:EC225,EA$4:EA225,DY$4:DY225))</f>
        <v>5.0967332654727651</v>
      </c>
      <c r="EF225" s="200" t="str">
        <f t="shared" si="387"/>
        <v/>
      </c>
      <c r="EG225" s="203">
        <f>IF($J225="",#N/A,SUM(EF$4:EF225))</f>
        <v>-0.15098969023521425</v>
      </c>
      <c r="EH225" s="204" t="str">
        <f t="shared" si="388"/>
        <v/>
      </c>
      <c r="EI225" s="204">
        <f>IF($J225="",#N/A,SUM(EH$4:EH225))</f>
        <v>-3.1507771605639614</v>
      </c>
      <c r="EJ225" s="205" t="str">
        <f t="shared" si="389"/>
        <v/>
      </c>
      <c r="EK225" s="205">
        <f>IF($J225="",#N/A,SUM(EJ$4:EJ225))</f>
        <v>4.6014417494274094</v>
      </c>
      <c r="EL225" s="205">
        <f>IF($J225="",#N/A,SUM(EJ$4:EJ225,EH$4:EH225,EF$4:EF225))</f>
        <v>1.2996748986282345</v>
      </c>
      <c r="EM225" s="200" t="str">
        <f t="shared" si="390"/>
        <v/>
      </c>
      <c r="EN225" s="203">
        <f>IF($J225="",#N/A,SUM(EM$4:EM225))</f>
        <v>0</v>
      </c>
      <c r="EO225" s="204" t="str">
        <f t="shared" si="391"/>
        <v/>
      </c>
      <c r="EP225" s="204">
        <f>IF($J225="",#N/A,SUM(EO$4:EO225))</f>
        <v>3.2406646352184261</v>
      </c>
      <c r="EQ225" s="205" t="str">
        <f t="shared" si="392"/>
        <v/>
      </c>
      <c r="ER225" s="205">
        <f>IF($J225="",#N/A,SUM(EQ$4:EQ225))</f>
        <v>1.441536272249796</v>
      </c>
      <c r="ES225" s="205">
        <f>IF($J225="",#N/A,SUM(EQ$4:EQ225,EO$4:EO225,EM$4:EM225))</f>
        <v>4.6822009074682214</v>
      </c>
      <c r="ET225" s="200" t="str">
        <f t="shared" si="393"/>
        <v/>
      </c>
      <c r="EU225" s="203">
        <f>IF($J225="",#N/A,SUM(ET$4:ET225))</f>
        <v>0</v>
      </c>
      <c r="EV225" s="204" t="str">
        <f t="shared" si="394"/>
        <v/>
      </c>
      <c r="EW225" s="204">
        <f>IF($J225="",#N/A,SUM(EV$4:EV225))</f>
        <v>1.9901851109977766</v>
      </c>
      <c r="EX225" s="205" t="str">
        <f t="shared" si="395"/>
        <v/>
      </c>
      <c r="EY225" s="205">
        <f>IF($J225="",#N/A,SUM(EX$4:EX225))</f>
        <v>-9.038537462898949E-2</v>
      </c>
      <c r="EZ225" s="205">
        <f>IF($J225="",#N/A,SUM(EX$4:EX225,EV$4:EV225,ET$4:ET225))</f>
        <v>1.8997997363687871</v>
      </c>
      <c r="FA225" s="200" t="str">
        <f t="shared" si="396"/>
        <v/>
      </c>
      <c r="FB225" s="203">
        <f>IF($J225="",#N/A,SUM(FA$4:FA225))</f>
        <v>0</v>
      </c>
      <c r="FC225" s="204" t="str">
        <f t="shared" si="397"/>
        <v/>
      </c>
      <c r="FD225" s="204">
        <f>IF($J225="",#N/A,SUM(FC$4:FC225))</f>
        <v>1.6839191319663924</v>
      </c>
      <c r="FE225" s="205" t="str">
        <f t="shared" si="398"/>
        <v/>
      </c>
      <c r="FF225" s="205">
        <f>IF($J225="",#N/A,SUM(FE$4:FE225))</f>
        <v>-0.28811149078748233</v>
      </c>
      <c r="FG225" s="205">
        <f>IF($J225="",#N/A,SUM(FE$4:FE225,FC$4:FC225,FA$4:FA225))</f>
        <v>1.3958076411789102</v>
      </c>
      <c r="FH225" s="200" t="str">
        <f t="shared" si="399"/>
        <v/>
      </c>
      <c r="FI225" s="203">
        <f>IF($J225="",#N/A,SUM(FH$4:FH225))</f>
        <v>0</v>
      </c>
      <c r="FJ225" s="204" t="str">
        <f t="shared" si="400"/>
        <v/>
      </c>
      <c r="FK225" s="204">
        <f>IF($J225="",#N/A,SUM(FJ$4:FJ225))</f>
        <v>0</v>
      </c>
      <c r="FL225" s="205" t="str">
        <f t="shared" si="401"/>
        <v/>
      </c>
      <c r="FM225" s="205">
        <f>IF($J225="",#N/A,SUM(FL$4:FL225))</f>
        <v>0</v>
      </c>
      <c r="FN225" s="205">
        <f>IF($J225="",#N/A,SUM(FL$4:FL225,FJ$4:FJ225,FH$4:FH225))</f>
        <v>0</v>
      </c>
      <c r="FO225" s="200" t="str">
        <f t="shared" si="402"/>
        <v/>
      </c>
      <c r="FP225" s="203">
        <f>IF($J225="",#N/A,SUM(FO$4:FO225))</f>
        <v>0</v>
      </c>
      <c r="FQ225" s="204" t="str">
        <f t="shared" si="403"/>
        <v/>
      </c>
      <c r="FR225" s="204">
        <f>IF($J225="",#N/A,SUM(FQ$4:FQ225))</f>
        <v>0</v>
      </c>
      <c r="FS225" s="205" t="str">
        <f t="shared" si="404"/>
        <v/>
      </c>
      <c r="FT225" s="205">
        <f>IF($J225="",#N/A,SUM(FS$4:FS225))</f>
        <v>0</v>
      </c>
      <c r="FU225" s="205">
        <f>IF($J225="",#N/A,SUM(FS$4:FS225,FQ$4:FQ225,FO$4:FO225))</f>
        <v>0</v>
      </c>
      <c r="FV225" s="200" t="str">
        <f t="shared" si="405"/>
        <v/>
      </c>
      <c r="FW225" s="203">
        <f>IF($J225="",#N/A,SUM(FV$4:FV225))</f>
        <v>6.6834991831277585E-2</v>
      </c>
      <c r="FX225" s="204" t="str">
        <f t="shared" si="406"/>
        <v/>
      </c>
      <c r="FY225" s="204">
        <f>IF($J225="",#N/A,SUM(FX$4:FX225))</f>
        <v>-0.16102012791805576</v>
      </c>
      <c r="FZ225" s="205" t="str">
        <f t="shared" si="407"/>
        <v/>
      </c>
      <c r="GA225" s="205">
        <f>IF($J225="",#N/A,SUM(FZ$4:FZ225))</f>
        <v>-1.7642101813332194</v>
      </c>
      <c r="GB225" s="205">
        <f>IF($J225="",#N/A,SUM(FZ$4:FZ225,FX$4:FX225,FV$4:FV225))</f>
        <v>-1.8583953174199976</v>
      </c>
      <c r="GC225" s="200" t="str">
        <f t="shared" si="408"/>
        <v/>
      </c>
      <c r="GD225" s="203">
        <f>IF($J225="",#N/A,SUM(GC$4:GC225))</f>
        <v>0</v>
      </c>
      <c r="GE225" s="204" t="str">
        <f t="shared" si="409"/>
        <v/>
      </c>
      <c r="GF225" s="204">
        <f>IF($J225="",#N/A,SUM(GE$4:GE225))</f>
        <v>0</v>
      </c>
      <c r="GG225" s="205" t="str">
        <f t="shared" si="410"/>
        <v/>
      </c>
      <c r="GH225" s="205">
        <f>IF($J225="",#N/A,SUM(GG$4:GG225))</f>
        <v>-2.9368362277223206</v>
      </c>
      <c r="GI225" s="205">
        <f>IF($J225="",#N/A,SUM(GG$4:GG225,GE$4:GE225,GC$4:GC225))</f>
        <v>-2.9368362277223206</v>
      </c>
      <c r="GJ225" s="200" t="str">
        <f t="shared" si="411"/>
        <v/>
      </c>
      <c r="GK225" s="203">
        <f>IF($J225="",#N/A,SUM(GJ$4:GJ225))</f>
        <v>0</v>
      </c>
      <c r="GL225" s="204" t="str">
        <f t="shared" si="412"/>
        <v/>
      </c>
      <c r="GM225" s="204">
        <f>IF($J225="",#N/A,SUM(GL$4:GL225))</f>
        <v>-1.6833790887309608</v>
      </c>
      <c r="GN225" s="205" t="str">
        <f t="shared" si="413"/>
        <v/>
      </c>
      <c r="GO225" s="205">
        <f>IF($J225="",#N/A,SUM(GN$4:GN225))</f>
        <v>0</v>
      </c>
      <c r="GP225" s="205">
        <f>IF($J225="",#N/A,SUM(GN$4:GN225,GL$4:GL225,GJ$4:GJ225))</f>
        <v>-1.6833790887309608</v>
      </c>
      <c r="GS225" s="54">
        <f t="shared" si="432"/>
        <v>0.54412318022633399</v>
      </c>
      <c r="GT225" s="54">
        <f>IF(GS225="",NA(),SUM($GS$4:GS225))</f>
        <v>6.9545780600957334</v>
      </c>
      <c r="GU225" s="54" t="str">
        <f t="shared" si="414"/>
        <v/>
      </c>
      <c r="GV225" s="54" t="e">
        <f>IF(GU225="",NA(),SUM($GU$4:GU225))</f>
        <v>#N/A</v>
      </c>
      <c r="GW225" s="54">
        <f t="shared" si="415"/>
        <v>0.54412318022633399</v>
      </c>
      <c r="GX225" s="54">
        <f>IF(GW225="",NA(),SUM($GW$4:GW225))</f>
        <v>7.4087943600184003</v>
      </c>
      <c r="GY225" s="54" t="str">
        <f t="shared" si="416"/>
        <v/>
      </c>
      <c r="GZ225" s="54" t="e">
        <f>IF(GY225="",NA(),SUM($GY$4:GY225))</f>
        <v>#N/A</v>
      </c>
      <c r="HA225" s="54" t="str">
        <f t="shared" si="417"/>
        <v/>
      </c>
      <c r="HB225" s="54" t="e">
        <f>IF(HA225="",NA(),SUM($HA$4:HA225))</f>
        <v>#N/A</v>
      </c>
      <c r="HC225" s="54" t="str">
        <f t="shared" si="418"/>
        <v/>
      </c>
      <c r="HD225" s="54" t="e">
        <f>IF(HC225="",NA(),SUM($HC$4:HC225))</f>
        <v>#N/A</v>
      </c>
      <c r="HE225" s="54" t="str">
        <f t="shared" si="419"/>
        <v/>
      </c>
      <c r="HF225" s="54" t="e">
        <f>IF(HE225="",NA(),SUM($HE$4:HE225))</f>
        <v>#N/A</v>
      </c>
      <c r="HG225" s="54" t="str">
        <f t="shared" si="420"/>
        <v/>
      </c>
      <c r="HH225" s="54" t="e">
        <f>IF(HG225="",NA(),SUM($HG$4:HG225))</f>
        <v>#N/A</v>
      </c>
      <c r="HI225" s="172" t="str">
        <f t="shared" si="433"/>
        <v/>
      </c>
      <c r="HJ225" s="172">
        <f>IF($J225="",#N/A,SUM(HI$4:$HI225))</f>
        <v>-6.925209917264997</v>
      </c>
      <c r="HK225" s="54" t="str">
        <f t="shared" si="421"/>
        <v/>
      </c>
      <c r="HL225" s="54">
        <f>IF($J225="",#N/A,SUM($HK$4:HK225))</f>
        <v>-1.3757693049009907</v>
      </c>
      <c r="HM225" s="54" t="str">
        <f t="shared" si="422"/>
        <v/>
      </c>
      <c r="HN225" s="54">
        <f>IF($J225="",#N/A,SUM($HM$4:HM225))</f>
        <v>0.90694539517251249</v>
      </c>
      <c r="HO225" s="54" t="str">
        <f t="shared" si="423"/>
        <v/>
      </c>
      <c r="HP225" s="54">
        <f>IF($J225="",#N/A,SUM($HO$4:HO225))</f>
        <v>0.52783589553778021</v>
      </c>
      <c r="HQ225" s="54">
        <f t="shared" si="424"/>
        <v>-0.75106364504645762</v>
      </c>
      <c r="HR225" s="54">
        <f>IF($J225="",#N/A,SUM($HQ$4:HQ225))</f>
        <v>-14.780693211654734</v>
      </c>
      <c r="HS225" s="54" t="str">
        <f t="shared" si="425"/>
        <v/>
      </c>
      <c r="HT225" s="54">
        <f>IF($J225="",#N/A,SUM($HS$4:HS225))</f>
        <v>12.355916080255803</v>
      </c>
      <c r="HU225" s="65">
        <f t="shared" si="426"/>
        <v>-0.2069404648201236</v>
      </c>
      <c r="HV225" s="65">
        <f>IF($J225="",#N/A,SUM(HU$4:$HU225))</f>
        <v>3.4128135275855183</v>
      </c>
    </row>
    <row r="226" spans="1:230" x14ac:dyDescent="0.25">
      <c r="A226" s="51" t="s">
        <v>164</v>
      </c>
      <c r="B226" s="52" t="s">
        <v>4544</v>
      </c>
      <c r="C226" s="229">
        <f t="shared" si="327"/>
        <v>2</v>
      </c>
      <c r="D226" s="219" t="str">
        <f>_xlfn.XLOOKUP(A226,[1]SP500!$A$2:$A$502,[1]SP500!$D$2:$D$502,"N")</f>
        <v>Y</v>
      </c>
      <c r="E226" s="51" t="str">
        <f>IFERROR(_xlfn.XLOOKUP(A226,[1]SP500!$A$2:$A$655,[1]SP500!$B$2:$B$655),"")</f>
        <v>XLE</v>
      </c>
      <c r="F226" s="290">
        <v>45778</v>
      </c>
      <c r="G226" s="51" t="str">
        <f t="shared" si="328"/>
        <v>BMO</v>
      </c>
      <c r="H226" s="51" t="str">
        <f t="shared" si="329"/>
        <v>s</v>
      </c>
      <c r="I226" s="344">
        <v>170.9</v>
      </c>
      <c r="J226" s="124">
        <v>169</v>
      </c>
      <c r="K226" s="55">
        <f t="shared" si="330"/>
        <v>-1.1117612638970192E-2</v>
      </c>
      <c r="L226" s="67">
        <f t="shared" si="331"/>
        <v>13.299999999999955</v>
      </c>
      <c r="M226" s="57">
        <f t="shared" si="332"/>
        <v>0</v>
      </c>
      <c r="N226" s="102">
        <f t="shared" si="333"/>
        <v>13.299999999999955</v>
      </c>
      <c r="O226" s="57">
        <f>IF(N226="",#N/A,SUM($N$4:N226))</f>
        <v>622.10865200916885</v>
      </c>
      <c r="P226" s="65">
        <f t="shared" si="427"/>
        <v>0.18529354398283535</v>
      </c>
      <c r="Q226" s="172">
        <f>IF($N226="",#N/A,SUM($P$4:P226))</f>
        <v>12.889082134422978</v>
      </c>
      <c r="R226" s="279">
        <f t="shared" si="334"/>
        <v>3.3800832193924979</v>
      </c>
      <c r="S226" s="51" t="str">
        <f t="shared" si="335"/>
        <v>Dwn</v>
      </c>
      <c r="T226" s="51" t="s">
        <v>4462</v>
      </c>
      <c r="U226" s="56">
        <f t="shared" si="336"/>
        <v>170.9</v>
      </c>
      <c r="V226" s="56" t="s">
        <v>4458</v>
      </c>
      <c r="W226" s="142">
        <v>7</v>
      </c>
      <c r="X226" s="145">
        <f t="shared" si="337"/>
        <v>1196.3</v>
      </c>
      <c r="Y226" s="140">
        <f t="shared" si="338"/>
        <v>7</v>
      </c>
      <c r="Z226" s="123">
        <v>169</v>
      </c>
      <c r="AA226" s="102">
        <f t="shared" si="339"/>
        <v>13.299999999999955</v>
      </c>
      <c r="AB226" s="102">
        <f t="shared" si="340"/>
        <v>59.919999999999845</v>
      </c>
      <c r="AC226" s="124">
        <v>162.34</v>
      </c>
      <c r="AD226" s="155">
        <f t="shared" si="341"/>
        <v>59.919999999999845</v>
      </c>
      <c r="AE226" s="545">
        <f t="shared" si="342"/>
        <v>0.8347961771016168</v>
      </c>
      <c r="AF226" s="57">
        <f>IF($AC226="",#N/A,SUM(AD$4:AD226))</f>
        <v>200.77978088917178</v>
      </c>
      <c r="AG226" s="102">
        <f t="shared" si="343"/>
        <v>46.619999999999891</v>
      </c>
      <c r="AH226" s="56" t="s">
        <v>2507</v>
      </c>
      <c r="AI226" s="65">
        <f t="shared" si="344"/>
        <v>0.18529354398283535</v>
      </c>
      <c r="AJ226" s="108">
        <f>IF(AI226="",#N/A,SUM($AI$4:AI226))</f>
        <v>9.5089989150304799</v>
      </c>
      <c r="AK226" s="57">
        <f t="shared" si="345"/>
        <v>13.299999999999955</v>
      </c>
      <c r="AL226" s="66">
        <f>IF(AI226="",#N/A,IF(AH226="Skip",SUM($AK$4:AK226),SUM($AK$4:AK226)))</f>
        <v>391.27759149281417</v>
      </c>
      <c r="AM226" s="65">
        <f t="shared" si="428"/>
        <v>0.8347961771016168</v>
      </c>
      <c r="AN226" s="209"/>
      <c r="AO226" s="65" t="str">
        <f t="shared" si="346"/>
        <v/>
      </c>
      <c r="AP226" s="65">
        <f>IF($AC226="",#N/A,SUM(AO$4:AO226))</f>
        <v>5.3479097235680273</v>
      </c>
      <c r="AQ226" s="65" t="str">
        <f t="shared" si="347"/>
        <v/>
      </c>
      <c r="AR226" s="65">
        <f>IF($AC226="",#N/A,SUM(AQ$4:AQ226))</f>
        <v>-1.2946685655386543</v>
      </c>
      <c r="AS226" s="65">
        <f t="shared" si="348"/>
        <v>0.8347961771016168</v>
      </c>
      <c r="AT226" s="65">
        <f>IF($AC226="",#N/A,SUM(AS$4:AS226))</f>
        <v>0.19436854665775938</v>
      </c>
      <c r="AU226" s="57" t="str">
        <f t="shared" si="429"/>
        <v/>
      </c>
      <c r="AV226" s="57">
        <f>IF($AC226="",#N/A,SUM(AU$4:AU226))</f>
        <v>231.71139934283894</v>
      </c>
      <c r="AW226" s="57" t="str">
        <f t="shared" si="430"/>
        <v/>
      </c>
      <c r="AX226" s="57">
        <f>IF($AC226="",#N/A,SUM(AW$4:AW226))</f>
        <v>-85.340000000000032</v>
      </c>
      <c r="AY226" s="57">
        <f t="shared" si="431"/>
        <v>59.919999999999845</v>
      </c>
      <c r="AZ226" s="57">
        <f>IF($AC226="",#N/A,SUM(AY$4:AY226))</f>
        <v>54.408381546332862</v>
      </c>
      <c r="BA226" s="57">
        <f>IF(AD226="",#N/A,SUM($AD$4:AD226))</f>
        <v>200.77978088917178</v>
      </c>
      <c r="BC226" s="51" t="str">
        <f t="shared" si="349"/>
        <v/>
      </c>
      <c r="BD226" s="51" t="str">
        <f t="shared" si="350"/>
        <v/>
      </c>
      <c r="BE226" s="51" t="str">
        <f t="shared" si="351"/>
        <v/>
      </c>
      <c r="BF226" s="51" t="str">
        <f t="shared" si="352"/>
        <v>Short</v>
      </c>
      <c r="BG226" s="51">
        <f t="shared" si="353"/>
        <v>1</v>
      </c>
      <c r="BH226" s="51" t="str">
        <f t="shared" si="354"/>
        <v/>
      </c>
      <c r="BI226" s="51" t="str">
        <f t="shared" si="355"/>
        <v/>
      </c>
      <c r="BK226" s="65">
        <f t="shared" si="326"/>
        <v>0.19984562158188413</v>
      </c>
      <c r="BL226" s="65">
        <f t="shared" si="434"/>
        <v>0.17037933195309968</v>
      </c>
      <c r="BM226" s="65">
        <f>IFERROR(Q226/COUNTA($J$4:J226),#N/A)</f>
        <v>5.7798574593825015E-2</v>
      </c>
      <c r="BO226" s="489" t="e">
        <f>IF(J226="",#N/A,IF(S226="SW",(COUNTIFS(K$4:$K226,"&gt;0",S$4:$S226,"SW")/COUNTIF(S$4:$S226,"SW")),#N/A))</f>
        <v>#N/A</v>
      </c>
      <c r="BP226" s="489">
        <f>IF($J226="",#N/A,IF($S226="DWN",(COUNTIFS($K$4:$K226,"&lt;0",$S$4:$S226,"DWN")/COUNTIF($S$4:$S226,"DWN")),#N/A))</f>
        <v>0.57894736842105265</v>
      </c>
      <c r="BQ226" s="489" t="e">
        <f>IF($J226="",#N/A,IF($S226="UP",(COUNTIFS($K$4:$K226,"&gt;0",$S$4:$S226,"UP")/COUNTIF($S$4:$S226,"UP")),#N/A))</f>
        <v>#N/A</v>
      </c>
      <c r="BR226" s="489">
        <f>IF(J226="",#N/A,COUNTIF($K$4:K226,"&gt;0")/COUNT($J$4:J226))</f>
        <v>0.46636771300448432</v>
      </c>
      <c r="BS226" s="65" t="str">
        <f t="shared" si="356"/>
        <v/>
      </c>
      <c r="BT226" s="65" t="str">
        <f t="shared" si="357"/>
        <v/>
      </c>
      <c r="BU226" s="65">
        <f t="shared" si="358"/>
        <v>0.18529354398283535</v>
      </c>
      <c r="BV226" s="65" t="str">
        <f t="shared" si="359"/>
        <v/>
      </c>
      <c r="BW226" s="128" t="str">
        <f t="shared" si="360"/>
        <v/>
      </c>
      <c r="BX226" s="128">
        <f>IF($J226="",#N/A,SUM($BW$4:BW226))</f>
        <v>-178.45000000000039</v>
      </c>
      <c r="BY226" s="131">
        <f t="shared" si="361"/>
        <v>13.299999999999955</v>
      </c>
      <c r="BZ226" s="131">
        <f>IF($J226="",#N/A,SUM($BY$4:BY226))</f>
        <v>445.40934038933437</v>
      </c>
      <c r="CA226" s="133" t="str">
        <f t="shared" si="362"/>
        <v/>
      </c>
      <c r="CB226" s="133">
        <f>IF($J226="",#N/A,SUM($CA$4:CA226))</f>
        <v>355.14931161983486</v>
      </c>
      <c r="CC226" s="194" t="str">
        <f t="shared" si="363"/>
        <v/>
      </c>
      <c r="CD226" s="194">
        <f>IF($J226="",#N/A,SUM($CC$4:CC226))</f>
        <v>-2.7294498562489466</v>
      </c>
      <c r="CE226" s="195">
        <f t="shared" si="364"/>
        <v>0.18529354398283535</v>
      </c>
      <c r="CF226" s="195">
        <f>IF($J226="",#N/A,SUM($CE$4:CE226))</f>
        <v>7.8458451357049706</v>
      </c>
      <c r="CG226" s="196" t="str">
        <f t="shared" si="365"/>
        <v/>
      </c>
      <c r="CH226" s="196">
        <f>IF($J226="",#N/A,SUM($CG$4:CG226))</f>
        <v>7.7726868549669605</v>
      </c>
      <c r="CI226" s="200" t="str">
        <f t="shared" si="366"/>
        <v/>
      </c>
      <c r="CJ226" s="203">
        <f>IF($J226="",#N/A,SUM(CI$4:CI226))</f>
        <v>0</v>
      </c>
      <c r="CK226" s="204" t="str">
        <f t="shared" si="367"/>
        <v/>
      </c>
      <c r="CL226" s="204">
        <f>IF($J226="",#N/A,SUM(CK$4:CK226))</f>
        <v>1.9927003554442289</v>
      </c>
      <c r="CM226" s="205" t="str">
        <f t="shared" si="368"/>
        <v/>
      </c>
      <c r="CN226" s="205">
        <f>IF($J226="",#N/A,SUM(CM$4:CM226))</f>
        <v>5.6091171609382364</v>
      </c>
      <c r="CO226" s="205">
        <f>IF($J226="",#N/A,SUM(CM$4:CM226,CK$4:CK226,CI$4:CI226))</f>
        <v>7.6018175163824644</v>
      </c>
      <c r="CP226" s="200" t="str">
        <f t="shared" si="369"/>
        <v/>
      </c>
      <c r="CQ226" s="203">
        <f>IF($J226="",#N/A,SUM(CP$4:CP226))</f>
        <v>0</v>
      </c>
      <c r="CR226" s="204" t="str">
        <f t="shared" si="370"/>
        <v/>
      </c>
      <c r="CS226" s="204">
        <f>IF($J226="",#N/A,SUM(CR$4:CR226))</f>
        <v>4.2989225684455388</v>
      </c>
      <c r="CT226" s="205" t="str">
        <f t="shared" si="371"/>
        <v/>
      </c>
      <c r="CU226" s="205">
        <f>IF($J226="",#N/A,SUM(CT$4:CT226))</f>
        <v>-1.1331655471946371</v>
      </c>
      <c r="CV226" s="205">
        <f>IF($J226="",#N/A,SUM(CT$4:CT226,CR$4:CR226,CP$4:CP226))</f>
        <v>3.1657570212509012</v>
      </c>
      <c r="CW226" s="200" t="str">
        <f t="shared" si="372"/>
        <v/>
      </c>
      <c r="CX226" s="203">
        <f>IF($J226="",#N/A,SUM(CW$4:CW226))</f>
        <v>-0.33865165024245297</v>
      </c>
      <c r="CY226" s="204" t="str">
        <f t="shared" si="373"/>
        <v/>
      </c>
      <c r="CZ226" s="204">
        <f>IF($J226="",#N/A,SUM(CY$4:CY226))</f>
        <v>-0.55412230890025005</v>
      </c>
      <c r="DA226" s="205" t="str">
        <f t="shared" si="374"/>
        <v/>
      </c>
      <c r="DB226" s="205">
        <f>IF($J226="",#N/A,SUM(DA$4:DA226))</f>
        <v>-2.2679577914291</v>
      </c>
      <c r="DC226" s="205">
        <f>IF($J226="",#N/A,SUM(DA$4:DA226,CY$4:CY226,CW$4:CW226))</f>
        <v>-3.1607317505718027</v>
      </c>
      <c r="DD226" s="200" t="str">
        <f t="shared" si="375"/>
        <v/>
      </c>
      <c r="DE226" s="203">
        <f>IF($J226="",#N/A,SUM(DD$4:DD226))</f>
        <v>0.14968716170674062</v>
      </c>
      <c r="DF226" s="204" t="str">
        <f t="shared" si="376"/>
        <v/>
      </c>
      <c r="DG226" s="204">
        <f>IF($J226="",#N/A,SUM(DF$4:DF226))</f>
        <v>1.5249935139936004</v>
      </c>
      <c r="DH226" s="205" t="str">
        <f t="shared" si="377"/>
        <v/>
      </c>
      <c r="DI226" s="205">
        <f>IF($J226="",#N/A,SUM(DH$4:DH226))</f>
        <v>-1.9066052078694633</v>
      </c>
      <c r="DJ226" s="205">
        <f>IF($J226="",#N/A,SUM(DH$4:DH226,DF$4:DF226,DD$4:DD226))</f>
        <v>-0.23192453216912207</v>
      </c>
      <c r="DK226" s="200" t="str">
        <f t="shared" si="378"/>
        <v/>
      </c>
      <c r="DL226" s="203">
        <f>IF($J226="",#N/A,SUM(DK$4:DK226))</f>
        <v>-1.2097286851272664</v>
      </c>
      <c r="DM226" s="204" t="str">
        <f t="shared" si="379"/>
        <v/>
      </c>
      <c r="DN226" s="204">
        <f>IF($J226="",#N/A,SUM(DM$4:DM226))</f>
        <v>1.1910608267574658</v>
      </c>
      <c r="DO226" s="205" t="str">
        <f t="shared" si="380"/>
        <v/>
      </c>
      <c r="DP226" s="205">
        <f>IF($J226="",#N/A,SUM(DO$4:DO226))</f>
        <v>2.6571865116636566</v>
      </c>
      <c r="DQ226" s="205">
        <f>IF($J226="",#N/A,SUM(DO$4:DO226,DM$4:DM226,DK$4:DK226))</f>
        <v>2.6385186532938567</v>
      </c>
      <c r="DR226" s="200" t="str">
        <f t="shared" si="381"/>
        <v/>
      </c>
      <c r="DS226" s="203">
        <f>IF($J226="",#N/A,SUM(DR$4:DR226))</f>
        <v>-0.55950946427675097</v>
      </c>
      <c r="DT226" s="204" t="str">
        <f t="shared" si="382"/>
        <v/>
      </c>
      <c r="DU226" s="204">
        <f>IF($J226="",#N/A,SUM(DT$4:DT226))</f>
        <v>-3.6911249040845173</v>
      </c>
      <c r="DV226" s="205" t="str">
        <f t="shared" si="383"/>
        <v/>
      </c>
      <c r="DW226" s="205">
        <f>IF($J226="",#N/A,SUM(DV$4:DV226))</f>
        <v>-1.2815650893103838</v>
      </c>
      <c r="DX226" s="205">
        <f>IF($J226="",#N/A,SUM(DV$4:DV226,DT$4:DT226,DR$4:DR226))</f>
        <v>-5.532199457671652</v>
      </c>
      <c r="DY226" s="200" t="str">
        <f t="shared" si="384"/>
        <v/>
      </c>
      <c r="DZ226" s="203">
        <f>IF($J226="",#N/A,SUM(DY$4:DY226))</f>
        <v>-0.68709251990528031</v>
      </c>
      <c r="EA226" s="204" t="str">
        <f t="shared" si="385"/>
        <v/>
      </c>
      <c r="EB226" s="204">
        <f>IF($J226="",#N/A,SUM(EA$4:EA226))</f>
        <v>0.65158371441459195</v>
      </c>
      <c r="EC226" s="205" t="str">
        <f t="shared" si="386"/>
        <v/>
      </c>
      <c r="ED226" s="205">
        <f>IF($J226="",#N/A,SUM(EC$4:EC226))</f>
        <v>5.1322420709634535</v>
      </c>
      <c r="EE226" s="205">
        <f>IF($J226="",#N/A,SUM(EC$4:EC226,EA$4:EA226,DY$4:DY226))</f>
        <v>5.0967332654727651</v>
      </c>
      <c r="EF226" s="200" t="str">
        <f t="shared" si="387"/>
        <v/>
      </c>
      <c r="EG226" s="203">
        <f>IF($J226="",#N/A,SUM(EF$4:EF226))</f>
        <v>-0.15098969023521425</v>
      </c>
      <c r="EH226" s="204" t="str">
        <f t="shared" si="388"/>
        <v/>
      </c>
      <c r="EI226" s="204">
        <f>IF($J226="",#N/A,SUM(EH$4:EH226))</f>
        <v>-3.1507771605639614</v>
      </c>
      <c r="EJ226" s="205" t="str">
        <f t="shared" si="389"/>
        <v/>
      </c>
      <c r="EK226" s="205">
        <f>IF($J226="",#N/A,SUM(EJ$4:EJ226))</f>
        <v>4.6014417494274094</v>
      </c>
      <c r="EL226" s="205">
        <f>IF($J226="",#N/A,SUM(EJ$4:EJ226,EH$4:EH226,EF$4:EF226))</f>
        <v>1.2996748986282345</v>
      </c>
      <c r="EM226" s="200" t="str">
        <f t="shared" si="390"/>
        <v/>
      </c>
      <c r="EN226" s="203">
        <f>IF($J226="",#N/A,SUM(EM$4:EM226))</f>
        <v>0</v>
      </c>
      <c r="EO226" s="204" t="str">
        <f t="shared" si="391"/>
        <v/>
      </c>
      <c r="EP226" s="204">
        <f>IF($J226="",#N/A,SUM(EO$4:EO226))</f>
        <v>3.2406646352184261</v>
      </c>
      <c r="EQ226" s="205" t="str">
        <f t="shared" si="392"/>
        <v/>
      </c>
      <c r="ER226" s="205">
        <f>IF($J226="",#N/A,SUM(EQ$4:EQ226))</f>
        <v>1.441536272249796</v>
      </c>
      <c r="ES226" s="205">
        <f>IF($J226="",#N/A,SUM(EQ$4:EQ226,EO$4:EO226,EM$4:EM226))</f>
        <v>4.6822009074682214</v>
      </c>
      <c r="ET226" s="200" t="str">
        <f t="shared" si="393"/>
        <v/>
      </c>
      <c r="EU226" s="203">
        <f>IF($J226="",#N/A,SUM(ET$4:ET226))</f>
        <v>0</v>
      </c>
      <c r="EV226" s="204" t="str">
        <f t="shared" si="394"/>
        <v/>
      </c>
      <c r="EW226" s="204">
        <f>IF($J226="",#N/A,SUM(EV$4:EV226))</f>
        <v>1.9901851109977766</v>
      </c>
      <c r="EX226" s="205" t="str">
        <f t="shared" si="395"/>
        <v/>
      </c>
      <c r="EY226" s="205">
        <f>IF($J226="",#N/A,SUM(EX$4:EX226))</f>
        <v>-9.038537462898949E-2</v>
      </c>
      <c r="EZ226" s="205">
        <f>IF($J226="",#N/A,SUM(EX$4:EX226,EV$4:EV226,ET$4:ET226))</f>
        <v>1.8997997363687871</v>
      </c>
      <c r="FA226" s="200" t="str">
        <f t="shared" si="396"/>
        <v/>
      </c>
      <c r="FB226" s="203">
        <f>IF($J226="",#N/A,SUM(FA$4:FA226))</f>
        <v>0</v>
      </c>
      <c r="FC226" s="204">
        <f t="shared" si="397"/>
        <v>0.18529354398283535</v>
      </c>
      <c r="FD226" s="204">
        <f>IF($J226="",#N/A,SUM(FC$4:FC226))</f>
        <v>1.8692126759492278</v>
      </c>
      <c r="FE226" s="205" t="str">
        <f t="shared" si="398"/>
        <v/>
      </c>
      <c r="FF226" s="205">
        <f>IF($J226="",#N/A,SUM(FE$4:FE226))</f>
        <v>-0.28811149078748233</v>
      </c>
      <c r="FG226" s="205">
        <f>IF($J226="",#N/A,SUM(FE$4:FE226,FC$4:FC226,FA$4:FA226))</f>
        <v>1.5811011851617456</v>
      </c>
      <c r="FH226" s="200" t="str">
        <f t="shared" si="399"/>
        <v/>
      </c>
      <c r="FI226" s="203">
        <f>IF($J226="",#N/A,SUM(FH$4:FH226))</f>
        <v>0</v>
      </c>
      <c r="FJ226" s="204" t="str">
        <f t="shared" si="400"/>
        <v/>
      </c>
      <c r="FK226" s="204">
        <f>IF($J226="",#N/A,SUM(FJ$4:FJ226))</f>
        <v>0</v>
      </c>
      <c r="FL226" s="205" t="str">
        <f t="shared" si="401"/>
        <v/>
      </c>
      <c r="FM226" s="205">
        <f>IF($J226="",#N/A,SUM(FL$4:FL226))</f>
        <v>0</v>
      </c>
      <c r="FN226" s="205">
        <f>IF($J226="",#N/A,SUM(FL$4:FL226,FJ$4:FJ226,FH$4:FH226))</f>
        <v>0</v>
      </c>
      <c r="FO226" s="200" t="str">
        <f t="shared" si="402"/>
        <v/>
      </c>
      <c r="FP226" s="203">
        <f>IF($J226="",#N/A,SUM(FO$4:FO226))</f>
        <v>0</v>
      </c>
      <c r="FQ226" s="204" t="str">
        <f t="shared" si="403"/>
        <v/>
      </c>
      <c r="FR226" s="204">
        <f>IF($J226="",#N/A,SUM(FQ$4:FQ226))</f>
        <v>0</v>
      </c>
      <c r="FS226" s="205" t="str">
        <f t="shared" si="404"/>
        <v/>
      </c>
      <c r="FT226" s="205">
        <f>IF($J226="",#N/A,SUM(FS$4:FS226))</f>
        <v>0</v>
      </c>
      <c r="FU226" s="205">
        <f>IF($J226="",#N/A,SUM(FS$4:FS226,FQ$4:FQ226,FO$4:FO226))</f>
        <v>0</v>
      </c>
      <c r="FV226" s="200" t="str">
        <f t="shared" si="405"/>
        <v/>
      </c>
      <c r="FW226" s="203">
        <f>IF($J226="",#N/A,SUM(FV$4:FV226))</f>
        <v>6.6834991831277585E-2</v>
      </c>
      <c r="FX226" s="204" t="str">
        <f t="shared" si="406"/>
        <v/>
      </c>
      <c r="FY226" s="204">
        <f>IF($J226="",#N/A,SUM(FX$4:FX226))</f>
        <v>-0.16102012791805576</v>
      </c>
      <c r="FZ226" s="205" t="str">
        <f t="shared" si="407"/>
        <v/>
      </c>
      <c r="GA226" s="205">
        <f>IF($J226="",#N/A,SUM(FZ$4:FZ226))</f>
        <v>-1.7642101813332194</v>
      </c>
      <c r="GB226" s="205">
        <f>IF($J226="",#N/A,SUM(FZ$4:FZ226,FX$4:FX226,FV$4:FV226))</f>
        <v>-1.8583953174199976</v>
      </c>
      <c r="GC226" s="200" t="str">
        <f t="shared" si="408"/>
        <v/>
      </c>
      <c r="GD226" s="203">
        <f>IF($J226="",#N/A,SUM(GC$4:GC226))</f>
        <v>0</v>
      </c>
      <c r="GE226" s="204" t="str">
        <f t="shared" si="409"/>
        <v/>
      </c>
      <c r="GF226" s="204">
        <f>IF($J226="",#N/A,SUM(GE$4:GE226))</f>
        <v>0</v>
      </c>
      <c r="GG226" s="205" t="str">
        <f t="shared" si="410"/>
        <v/>
      </c>
      <c r="GH226" s="205">
        <f>IF($J226="",#N/A,SUM(GG$4:GG226))</f>
        <v>-2.9368362277223206</v>
      </c>
      <c r="GI226" s="205">
        <f>IF($J226="",#N/A,SUM(GG$4:GG226,GE$4:GE226,GC$4:GC226))</f>
        <v>-2.9368362277223206</v>
      </c>
      <c r="GJ226" s="200" t="str">
        <f t="shared" si="411"/>
        <v/>
      </c>
      <c r="GK226" s="203">
        <f>IF($J226="",#N/A,SUM(GJ$4:GJ226))</f>
        <v>0</v>
      </c>
      <c r="GL226" s="204" t="str">
        <f t="shared" si="412"/>
        <v/>
      </c>
      <c r="GM226" s="204">
        <f>IF($J226="",#N/A,SUM(GL$4:GL226))</f>
        <v>-1.6833790887309608</v>
      </c>
      <c r="GN226" s="205" t="str">
        <f t="shared" si="413"/>
        <v/>
      </c>
      <c r="GO226" s="205">
        <f>IF($J226="",#N/A,SUM(GN$4:GN226))</f>
        <v>0</v>
      </c>
      <c r="GP226" s="205">
        <f>IF($J226="",#N/A,SUM(GN$4:GN226,GL$4:GL226,GJ$4:GJ226))</f>
        <v>-1.6833790887309608</v>
      </c>
      <c r="GS226" s="54">
        <f t="shared" si="432"/>
        <v>0.18529354398283535</v>
      </c>
      <c r="GT226" s="54">
        <f>IF(GS226="",NA(),SUM($GS$4:GS226))</f>
        <v>7.1398716040785688</v>
      </c>
      <c r="GU226" s="54" t="str">
        <f t="shared" si="414"/>
        <v/>
      </c>
      <c r="GV226" s="54" t="e">
        <f>IF(GU226="",NA(),SUM($GU$4:GU226))</f>
        <v>#N/A</v>
      </c>
      <c r="GW226" s="54" t="str">
        <f t="shared" si="415"/>
        <v/>
      </c>
      <c r="GX226" s="54" t="e">
        <f>IF(GW226="",NA(),SUM($GW$4:GW226))</f>
        <v>#N/A</v>
      </c>
      <c r="GY226" s="54">
        <f t="shared" si="416"/>
        <v>0.18529354398283535</v>
      </c>
      <c r="GZ226" s="54">
        <f>IF(GY226="",NA(),SUM($GY$4:GY226))</f>
        <v>2.4605271003091191</v>
      </c>
      <c r="HA226" s="54" t="str">
        <f t="shared" si="417"/>
        <v/>
      </c>
      <c r="HB226" s="54" t="e">
        <f>IF(HA226="",NA(),SUM($HA$4:HA226))</f>
        <v>#N/A</v>
      </c>
      <c r="HC226" s="54" t="str">
        <f t="shared" si="418"/>
        <v/>
      </c>
      <c r="HD226" s="54" t="e">
        <f>IF(HC226="",NA(),SUM($HC$4:HC226))</f>
        <v>#N/A</v>
      </c>
      <c r="HE226" s="54" t="str">
        <f t="shared" si="419"/>
        <v/>
      </c>
      <c r="HF226" s="54" t="e">
        <f>IF(HE226="",NA(),SUM($HE$4:HE226))</f>
        <v>#N/A</v>
      </c>
      <c r="HG226" s="54" t="str">
        <f t="shared" si="420"/>
        <v/>
      </c>
      <c r="HH226" s="54" t="e">
        <f>IF(HG226="",NA(),SUM($HG$4:HG226))</f>
        <v>#N/A</v>
      </c>
      <c r="HI226" s="172">
        <f t="shared" si="433"/>
        <v>0.64950263311878143</v>
      </c>
      <c r="HJ226" s="172">
        <f>IF($J226="",#N/A,SUM(HI$4:$HI226))</f>
        <v>-6.2757072841462156</v>
      </c>
      <c r="HK226" s="54" t="str">
        <f t="shared" si="421"/>
        <v/>
      </c>
      <c r="HL226" s="54">
        <f>IF($J226="",#N/A,SUM($HK$4:HK226))</f>
        <v>-1.3757693049009907</v>
      </c>
      <c r="HM226" s="54" t="str">
        <f t="shared" si="422"/>
        <v/>
      </c>
      <c r="HN226" s="54">
        <f>IF($J226="",#N/A,SUM($HM$4:HM226))</f>
        <v>0.90694539517251249</v>
      </c>
      <c r="HO226" s="54" t="str">
        <f t="shared" si="423"/>
        <v/>
      </c>
      <c r="HP226" s="54">
        <f>IF($J226="",#N/A,SUM($HO$4:HO226))</f>
        <v>0.52783589553778021</v>
      </c>
      <c r="HQ226" s="54" t="str">
        <f t="shared" si="424"/>
        <v/>
      </c>
      <c r="HR226" s="54">
        <f>IF($J226="",#N/A,SUM($HQ$4:HQ226))</f>
        <v>-14.780693211654734</v>
      </c>
      <c r="HS226" s="54" t="str">
        <f t="shared" si="425"/>
        <v/>
      </c>
      <c r="HT226" s="54">
        <f>IF($J226="",#N/A,SUM($HS$4:HS226))</f>
        <v>12.355916080255803</v>
      </c>
      <c r="HU226" s="65">
        <f t="shared" si="426"/>
        <v>0.8347961771016168</v>
      </c>
      <c r="HV226" s="65">
        <f>IF($J226="",#N/A,SUM(HU$4:$HU226))</f>
        <v>4.2476097046871351</v>
      </c>
    </row>
    <row r="227" spans="1:230" ht="15.75" thickBot="1" x14ac:dyDescent="0.3">
      <c r="A227" s="417" t="s">
        <v>197</v>
      </c>
      <c r="B227" s="293" t="s">
        <v>4544</v>
      </c>
      <c r="C227" s="294">
        <f t="shared" si="327"/>
        <v>1</v>
      </c>
      <c r="D227" s="295" t="str">
        <f>_xlfn.XLOOKUP(A227,[1]SP500!$A$2:$A$502,[1]SP500!$D$2:$D$502,"N")</f>
        <v>Y</v>
      </c>
      <c r="E227" s="292" t="str">
        <f>IFERROR(_xlfn.XLOOKUP(A227,[1]SP500!$A$2:$A$655,[1]SP500!$B$2:$B$655),"")</f>
        <v>XLI</v>
      </c>
      <c r="F227" s="296">
        <v>45778</v>
      </c>
      <c r="G227" s="292" t="str">
        <f t="shared" si="328"/>
        <v>BMO</v>
      </c>
      <c r="H227" s="292" t="str">
        <f t="shared" si="329"/>
        <v>s</v>
      </c>
      <c r="I227" s="345">
        <v>242.4</v>
      </c>
      <c r="J227" s="297">
        <v>237.18</v>
      </c>
      <c r="K227" s="298">
        <f t="shared" si="330"/>
        <v>-2.1534653465346529E-2</v>
      </c>
      <c r="L227" s="299">
        <f t="shared" si="331"/>
        <v>-20.879999999999995</v>
      </c>
      <c r="M227" s="300">
        <f t="shared" si="332"/>
        <v>-8.2400000000000091</v>
      </c>
      <c r="N227" s="341">
        <f t="shared" si="333"/>
        <v>-20.879999999999995</v>
      </c>
      <c r="O227" s="300">
        <f>IF(N227="",#N/A,SUM($N$4:N227))</f>
        <v>601.22865200916885</v>
      </c>
      <c r="P227" s="305">
        <f t="shared" si="427"/>
        <v>-0.35891089108910884</v>
      </c>
      <c r="Q227" s="304">
        <f>IF($N227="",#N/A,SUM($P$4:P227))</f>
        <v>12.53017124333387</v>
      </c>
      <c r="R227" s="307">
        <f t="shared" si="334"/>
        <v>3.5217223833088909</v>
      </c>
      <c r="S227" s="292" t="str">
        <f t="shared" si="335"/>
        <v>Up</v>
      </c>
      <c r="T227" s="292" t="s">
        <v>4461</v>
      </c>
      <c r="U227" s="308">
        <f t="shared" si="336"/>
        <v>242.4</v>
      </c>
      <c r="V227" s="308" t="s">
        <v>4460</v>
      </c>
      <c r="W227" s="310">
        <v>4</v>
      </c>
      <c r="X227" s="309">
        <f t="shared" si="337"/>
        <v>969.6</v>
      </c>
      <c r="Y227" s="310">
        <f t="shared" si="338"/>
        <v>4</v>
      </c>
      <c r="Z227" s="313">
        <v>235.12</v>
      </c>
      <c r="AA227" s="341">
        <f t="shared" si="339"/>
        <v>-29.120000000000005</v>
      </c>
      <c r="AB227" s="341">
        <f t="shared" si="340"/>
        <v>-57.560000000000059</v>
      </c>
      <c r="AC227" s="297">
        <v>228.01</v>
      </c>
      <c r="AD227" s="301">
        <f t="shared" si="341"/>
        <v>-57.560000000000059</v>
      </c>
      <c r="AE227" s="546">
        <f t="shared" si="342"/>
        <v>-0.98941144114411539</v>
      </c>
      <c r="AF227" s="300">
        <f>IF($AC227="",#N/A,SUM(AD$4:AD227))</f>
        <v>143.21978088917172</v>
      </c>
      <c r="AG227" s="341">
        <f t="shared" si="343"/>
        <v>-36.680000000000064</v>
      </c>
      <c r="AH227" s="308" t="s">
        <v>2507</v>
      </c>
      <c r="AI227" s="305">
        <f t="shared" si="344"/>
        <v>-0.50055005500550065</v>
      </c>
      <c r="AJ227" s="303">
        <f>IF(AI227="",#N/A,SUM($AI$4:AI227))</f>
        <v>9.0084488600249788</v>
      </c>
      <c r="AK227" s="300">
        <f t="shared" si="345"/>
        <v>-29.120000000000005</v>
      </c>
      <c r="AL227" s="406">
        <f>IF(AI227="",#N/A,IF(AH227="Skip",SUM($AK$4:AK227),SUM($AK$4:AK227)))</f>
        <v>362.15759149281416</v>
      </c>
      <c r="AM227" s="65">
        <f t="shared" si="428"/>
        <v>-0.98941144114411539</v>
      </c>
      <c r="AN227" s="211"/>
      <c r="AO227" s="305" t="str">
        <f t="shared" si="346"/>
        <v/>
      </c>
      <c r="AP227" s="305">
        <f>IF($AC227="",#N/A,SUM(AO$4:AO227))</f>
        <v>5.3479097235680273</v>
      </c>
      <c r="AQ227" s="305">
        <f t="shared" si="347"/>
        <v>-0.98941144114411539</v>
      </c>
      <c r="AR227" s="305">
        <f>IF($AC227="",#N/A,SUM(AQ$4:AQ227))</f>
        <v>-2.2840800066827698</v>
      </c>
      <c r="AS227" s="305" t="str">
        <f t="shared" si="348"/>
        <v/>
      </c>
      <c r="AT227" s="305">
        <f>IF($AC227="",#N/A,SUM(AS$4:AS227))</f>
        <v>0.19436854665775938</v>
      </c>
      <c r="AU227" s="300" t="str">
        <f t="shared" si="429"/>
        <v/>
      </c>
      <c r="AV227" s="300">
        <f>IF($AC227="",#N/A,SUM(AU$4:AU227))</f>
        <v>231.71139934283894</v>
      </c>
      <c r="AW227" s="300">
        <f t="shared" si="430"/>
        <v>-57.560000000000059</v>
      </c>
      <c r="AX227" s="300">
        <f>IF($AC227="",#N/A,SUM(AW$4:AW227))</f>
        <v>-142.90000000000009</v>
      </c>
      <c r="AY227" s="300" t="str">
        <f t="shared" si="431"/>
        <v/>
      </c>
      <c r="AZ227" s="300">
        <f>IF($AC227="",#N/A,SUM(AY$4:AY227))</f>
        <v>54.408381546332862</v>
      </c>
      <c r="BA227" s="300">
        <f>IF(AD227="",#N/A,SUM($AD$4:AD227))</f>
        <v>143.21978088917172</v>
      </c>
      <c r="BC227" s="292" t="str">
        <f t="shared" si="349"/>
        <v/>
      </c>
      <c r="BD227" s="292" t="str">
        <f t="shared" si="350"/>
        <v/>
      </c>
      <c r="BE227" s="292" t="str">
        <f t="shared" si="351"/>
        <v/>
      </c>
      <c r="BF227" s="292" t="str">
        <f t="shared" si="352"/>
        <v>Long</v>
      </c>
      <c r="BG227" s="292" t="str">
        <f t="shared" si="353"/>
        <v/>
      </c>
      <c r="BH227" s="292">
        <f t="shared" si="354"/>
        <v>1</v>
      </c>
      <c r="BI227" s="292" t="str">
        <f t="shared" si="355"/>
        <v/>
      </c>
      <c r="BK227" s="65">
        <f t="shared" si="326"/>
        <v>0.15929571216056232</v>
      </c>
      <c r="BL227" s="65">
        <f t="shared" si="434"/>
        <v>0.12535657393197325</v>
      </c>
      <c r="BM227" s="65">
        <f>IFERROR(Q227/COUNTA($J$4:J227),#N/A)</f>
        <v>5.593826447916906E-2</v>
      </c>
      <c r="BO227" s="489" t="e">
        <f>IF(J227="",#N/A,IF(S227="SW",(COUNTIFS(K$4:$K227,"&gt;0",S$4:$S227,"SW")/COUNTIF(S$4:$S227,"SW")),#N/A))</f>
        <v>#N/A</v>
      </c>
      <c r="BP227" s="489" t="e">
        <f>IF($J227="",#N/A,IF($S227="DWN",(COUNTIFS($K$4:$K227,"&lt;0",$S$4:$S227,"DWN")/COUNTIF($S$4:$S227,"DWN")),#N/A))</f>
        <v>#N/A</v>
      </c>
      <c r="BQ227" s="489">
        <f>IF($J227="",#N/A,IF($S227="UP",(COUNTIFS($K$4:$K227,"&gt;0",$S$4:$S227,"UP")/COUNTIF($S$4:$S227,"UP")),#N/A))</f>
        <v>0.33333333333333331</v>
      </c>
      <c r="BR227" s="489">
        <f>IF(J227="",#N/A,COUNTIF($K$4:K227,"&gt;0")/COUNT($J$4:J227))</f>
        <v>0.4642857142857143</v>
      </c>
      <c r="BS227" s="65" t="str">
        <f t="shared" si="356"/>
        <v/>
      </c>
      <c r="BT227" s="65">
        <f t="shared" si="357"/>
        <v>-0.35891089108910884</v>
      </c>
      <c r="BU227" s="65" t="str">
        <f t="shared" si="358"/>
        <v/>
      </c>
      <c r="BV227" s="65" t="str">
        <f t="shared" si="359"/>
        <v/>
      </c>
      <c r="BW227" s="128">
        <f t="shared" si="360"/>
        <v>-20.879999999999995</v>
      </c>
      <c r="BX227" s="128">
        <f>IF($J227="",#N/A,SUM($BW$4:BW227))</f>
        <v>-199.33000000000038</v>
      </c>
      <c r="BY227" s="131" t="str">
        <f t="shared" si="361"/>
        <v/>
      </c>
      <c r="BZ227" s="131">
        <f>IF($J227="",#N/A,SUM($BY$4:BY227))</f>
        <v>445.40934038933437</v>
      </c>
      <c r="CA227" s="133" t="str">
        <f t="shared" si="362"/>
        <v/>
      </c>
      <c r="CB227" s="133">
        <f>IF($J227="",#N/A,SUM($CA$4:CA227))</f>
        <v>355.14931161983486</v>
      </c>
      <c r="CC227" s="194">
        <f t="shared" si="363"/>
        <v>-0.35891089108910884</v>
      </c>
      <c r="CD227" s="194">
        <f>IF($J227="",#N/A,SUM($CC$4:CC227))</f>
        <v>-3.0883607473380557</v>
      </c>
      <c r="CE227" s="195" t="str">
        <f t="shared" si="364"/>
        <v/>
      </c>
      <c r="CF227" s="195">
        <f>IF($J227="",#N/A,SUM($CE$4:CE227))</f>
        <v>7.8458451357049706</v>
      </c>
      <c r="CG227" s="196" t="str">
        <f t="shared" si="365"/>
        <v/>
      </c>
      <c r="CH227" s="193">
        <f>IF($J227="",#N/A,SUM($CG$4:CG227))</f>
        <v>7.7726868549669605</v>
      </c>
      <c r="CI227" s="200" t="str">
        <f t="shared" si="366"/>
        <v/>
      </c>
      <c r="CJ227" s="203">
        <f>IF($J227="",#N/A,SUM(CI$4:CI227))</f>
        <v>0</v>
      </c>
      <c r="CK227" s="204" t="str">
        <f t="shared" si="367"/>
        <v/>
      </c>
      <c r="CL227" s="204">
        <f>IF($J227="",#N/A,SUM(CK$4:CK227))</f>
        <v>1.9927003554442289</v>
      </c>
      <c r="CM227" s="205" t="str">
        <f t="shared" si="368"/>
        <v/>
      </c>
      <c r="CN227" s="205">
        <f>IF($J227="",#N/A,SUM(CM$4:CM227))</f>
        <v>5.6091171609382364</v>
      </c>
      <c r="CO227" s="205">
        <f>IF($J227="",#N/A,SUM(CM$4:CM227,CK$4:CK227,CI$4:CI227))</f>
        <v>7.6018175163824644</v>
      </c>
      <c r="CP227" s="200" t="str">
        <f t="shared" si="369"/>
        <v/>
      </c>
      <c r="CQ227" s="203">
        <f>IF($J227="",#N/A,SUM(CP$4:CP227))</f>
        <v>0</v>
      </c>
      <c r="CR227" s="204" t="str">
        <f t="shared" si="370"/>
        <v/>
      </c>
      <c r="CS227" s="204">
        <f>IF($J227="",#N/A,SUM(CR$4:CR227))</f>
        <v>4.2989225684455388</v>
      </c>
      <c r="CT227" s="205" t="str">
        <f t="shared" si="371"/>
        <v/>
      </c>
      <c r="CU227" s="205">
        <f>IF($J227="",#N/A,SUM(CT$4:CT227))</f>
        <v>-1.1331655471946371</v>
      </c>
      <c r="CV227" s="205">
        <f>IF($J227="",#N/A,SUM(CT$4:CT227,CR$4:CR227,CP$4:CP227))</f>
        <v>3.1657570212509012</v>
      </c>
      <c r="CW227" s="200" t="str">
        <f t="shared" si="372"/>
        <v/>
      </c>
      <c r="CX227" s="203">
        <f>IF($J227="",#N/A,SUM(CW$4:CW227))</f>
        <v>-0.33865165024245297</v>
      </c>
      <c r="CY227" s="204" t="str">
        <f t="shared" si="373"/>
        <v/>
      </c>
      <c r="CZ227" s="204">
        <f>IF($J227="",#N/A,SUM(CY$4:CY227))</f>
        <v>-0.55412230890025005</v>
      </c>
      <c r="DA227" s="205" t="str">
        <f t="shared" si="374"/>
        <v/>
      </c>
      <c r="DB227" s="205">
        <f>IF($J227="",#N/A,SUM(DA$4:DA227))</f>
        <v>-2.2679577914291</v>
      </c>
      <c r="DC227" s="205">
        <f>IF($J227="",#N/A,SUM(DA$4:DA227,CY$4:CY227,CW$4:CW227))</f>
        <v>-3.1607317505718027</v>
      </c>
      <c r="DD227" s="200" t="str">
        <f t="shared" si="375"/>
        <v/>
      </c>
      <c r="DE227" s="203">
        <f>IF($J227="",#N/A,SUM(DD$4:DD227))</f>
        <v>0.14968716170674062</v>
      </c>
      <c r="DF227" s="204" t="str">
        <f t="shared" si="376"/>
        <v/>
      </c>
      <c r="DG227" s="204">
        <f>IF($J227="",#N/A,SUM(DF$4:DF227))</f>
        <v>1.5249935139936004</v>
      </c>
      <c r="DH227" s="205" t="str">
        <f t="shared" si="377"/>
        <v/>
      </c>
      <c r="DI227" s="205">
        <f>IF($J227="",#N/A,SUM(DH$4:DH227))</f>
        <v>-1.9066052078694633</v>
      </c>
      <c r="DJ227" s="205">
        <f>IF($J227="",#N/A,SUM(DH$4:DH227,DF$4:DF227,DD$4:DD227))</f>
        <v>-0.23192453216912207</v>
      </c>
      <c r="DK227" s="200" t="str">
        <f t="shared" si="378"/>
        <v/>
      </c>
      <c r="DL227" s="203">
        <f>IF($J227="",#N/A,SUM(DK$4:DK227))</f>
        <v>-1.2097286851272664</v>
      </c>
      <c r="DM227" s="204" t="str">
        <f t="shared" si="379"/>
        <v/>
      </c>
      <c r="DN227" s="204">
        <f>IF($J227="",#N/A,SUM(DM$4:DM227))</f>
        <v>1.1910608267574658</v>
      </c>
      <c r="DO227" s="205" t="str">
        <f t="shared" si="380"/>
        <v/>
      </c>
      <c r="DP227" s="205">
        <f>IF($J227="",#N/A,SUM(DO$4:DO227))</f>
        <v>2.6571865116636566</v>
      </c>
      <c r="DQ227" s="205">
        <f>IF($J227="",#N/A,SUM(DO$4:DO227,DM$4:DM227,DK$4:DK227))</f>
        <v>2.6385186532938567</v>
      </c>
      <c r="DR227" s="200" t="str">
        <f t="shared" si="381"/>
        <v/>
      </c>
      <c r="DS227" s="203">
        <f>IF($J227="",#N/A,SUM(DR$4:DR227))</f>
        <v>-0.55950946427675097</v>
      </c>
      <c r="DT227" s="204" t="str">
        <f t="shared" si="382"/>
        <v/>
      </c>
      <c r="DU227" s="204">
        <f>IF($J227="",#N/A,SUM(DT$4:DT227))</f>
        <v>-3.6911249040845173</v>
      </c>
      <c r="DV227" s="205" t="str">
        <f t="shared" si="383"/>
        <v/>
      </c>
      <c r="DW227" s="205">
        <f>IF($J227="",#N/A,SUM(DV$4:DV227))</f>
        <v>-1.2815650893103838</v>
      </c>
      <c r="DX227" s="205">
        <f>IF($J227="",#N/A,SUM(DV$4:DV227,DT$4:DT227,DR$4:DR227))</f>
        <v>-5.532199457671652</v>
      </c>
      <c r="DY227" s="200">
        <f t="shared" si="384"/>
        <v>-0.35891089108910884</v>
      </c>
      <c r="DZ227" s="203">
        <f>IF($J227="",#N/A,SUM(DY$4:DY227))</f>
        <v>-1.0460034109943892</v>
      </c>
      <c r="EA227" s="204" t="str">
        <f t="shared" si="385"/>
        <v/>
      </c>
      <c r="EB227" s="204">
        <f>IF($J227="",#N/A,SUM(EA$4:EA227))</f>
        <v>0.65158371441459195</v>
      </c>
      <c r="EC227" s="205" t="str">
        <f t="shared" si="386"/>
        <v/>
      </c>
      <c r="ED227" s="205">
        <f>IF($J227="",#N/A,SUM(EC$4:EC227))</f>
        <v>5.1322420709634535</v>
      </c>
      <c r="EE227" s="205">
        <f>IF($J227="",#N/A,SUM(EC$4:EC227,EA$4:EA227,DY$4:DY227))</f>
        <v>4.7378223743836561</v>
      </c>
      <c r="EF227" s="200" t="str">
        <f t="shared" si="387"/>
        <v/>
      </c>
      <c r="EG227" s="203">
        <f>IF($J227="",#N/A,SUM(EF$4:EF227))</f>
        <v>-0.15098969023521425</v>
      </c>
      <c r="EH227" s="204" t="str">
        <f t="shared" si="388"/>
        <v/>
      </c>
      <c r="EI227" s="204">
        <f>IF($J227="",#N/A,SUM(EH$4:EH227))</f>
        <v>-3.1507771605639614</v>
      </c>
      <c r="EJ227" s="205" t="str">
        <f t="shared" si="389"/>
        <v/>
      </c>
      <c r="EK227" s="205">
        <f>IF($J227="",#N/A,SUM(EJ$4:EJ227))</f>
        <v>4.6014417494274094</v>
      </c>
      <c r="EL227" s="205">
        <f>IF($J227="",#N/A,SUM(EJ$4:EJ227,EH$4:EH227,EF$4:EF227))</f>
        <v>1.2996748986282345</v>
      </c>
      <c r="EM227" s="200" t="str">
        <f t="shared" si="390"/>
        <v/>
      </c>
      <c r="EN227" s="203">
        <f>IF($J227="",#N/A,SUM(EM$4:EM227))</f>
        <v>0</v>
      </c>
      <c r="EO227" s="204" t="str">
        <f t="shared" si="391"/>
        <v/>
      </c>
      <c r="EP227" s="204">
        <f>IF($J227="",#N/A,SUM(EO$4:EO227))</f>
        <v>3.2406646352184261</v>
      </c>
      <c r="EQ227" s="205" t="str">
        <f t="shared" si="392"/>
        <v/>
      </c>
      <c r="ER227" s="205">
        <f>IF($J227="",#N/A,SUM(EQ$4:EQ227))</f>
        <v>1.441536272249796</v>
      </c>
      <c r="ES227" s="205">
        <f>IF($J227="",#N/A,SUM(EQ$4:EQ227,EO$4:EO227,EM$4:EM227))</f>
        <v>4.6822009074682214</v>
      </c>
      <c r="ET227" s="200" t="str">
        <f t="shared" si="393"/>
        <v/>
      </c>
      <c r="EU227" s="203">
        <f>IF($J227="",#N/A,SUM(ET$4:ET227))</f>
        <v>0</v>
      </c>
      <c r="EV227" s="204" t="str">
        <f t="shared" si="394"/>
        <v/>
      </c>
      <c r="EW227" s="204">
        <f>IF($J227="",#N/A,SUM(EV$4:EV227))</f>
        <v>1.9901851109977766</v>
      </c>
      <c r="EX227" s="205" t="str">
        <f t="shared" si="395"/>
        <v/>
      </c>
      <c r="EY227" s="205">
        <f>IF($J227="",#N/A,SUM(EX$4:EX227))</f>
        <v>-9.038537462898949E-2</v>
      </c>
      <c r="EZ227" s="205">
        <f>IF($J227="",#N/A,SUM(EX$4:EX227,EV$4:EV227,ET$4:ET227))</f>
        <v>1.8997997363687871</v>
      </c>
      <c r="FA227" s="200" t="str">
        <f t="shared" si="396"/>
        <v/>
      </c>
      <c r="FB227" s="203">
        <f>IF($J227="",#N/A,SUM(FA$4:FA227))</f>
        <v>0</v>
      </c>
      <c r="FC227" s="204" t="str">
        <f t="shared" si="397"/>
        <v/>
      </c>
      <c r="FD227" s="204">
        <f>IF($J227="",#N/A,SUM(FC$4:FC227))</f>
        <v>1.8692126759492278</v>
      </c>
      <c r="FE227" s="205" t="str">
        <f t="shared" si="398"/>
        <v/>
      </c>
      <c r="FF227" s="205">
        <f>IF($J227="",#N/A,SUM(FE$4:FE227))</f>
        <v>-0.28811149078748233</v>
      </c>
      <c r="FG227" s="205">
        <f>IF($J227="",#N/A,SUM(FE$4:FE227,FC$4:FC227,FA$4:FA227))</f>
        <v>1.5811011851617456</v>
      </c>
      <c r="FH227" s="200" t="str">
        <f t="shared" si="399"/>
        <v/>
      </c>
      <c r="FI227" s="203">
        <f>IF($J227="",#N/A,SUM(FH$4:FH227))</f>
        <v>0</v>
      </c>
      <c r="FJ227" s="204" t="str">
        <f t="shared" si="400"/>
        <v/>
      </c>
      <c r="FK227" s="204">
        <f>IF($J227="",#N/A,SUM(FJ$4:FJ227))</f>
        <v>0</v>
      </c>
      <c r="FL227" s="205" t="str">
        <f t="shared" si="401"/>
        <v/>
      </c>
      <c r="FM227" s="205">
        <f>IF($J227="",#N/A,SUM(FL$4:FL227))</f>
        <v>0</v>
      </c>
      <c r="FN227" s="205">
        <f>IF($J227="",#N/A,SUM(FL$4:FL227,FJ$4:FJ227,FH$4:FH227))</f>
        <v>0</v>
      </c>
      <c r="FO227" s="200" t="str">
        <f t="shared" si="402"/>
        <v/>
      </c>
      <c r="FP227" s="203">
        <f>IF($J227="",#N/A,SUM(FO$4:FO227))</f>
        <v>0</v>
      </c>
      <c r="FQ227" s="204" t="str">
        <f t="shared" si="403"/>
        <v/>
      </c>
      <c r="FR227" s="204">
        <f>IF($J227="",#N/A,SUM(FQ$4:FQ227))</f>
        <v>0</v>
      </c>
      <c r="FS227" s="205" t="str">
        <f t="shared" si="404"/>
        <v/>
      </c>
      <c r="FT227" s="205">
        <f>IF($J227="",#N/A,SUM(FS$4:FS227))</f>
        <v>0</v>
      </c>
      <c r="FU227" s="205">
        <f>IF($J227="",#N/A,SUM(FS$4:FS227,FQ$4:FQ227,FO$4:FO227))</f>
        <v>0</v>
      </c>
      <c r="FV227" s="200" t="str">
        <f t="shared" si="405"/>
        <v/>
      </c>
      <c r="FW227" s="203">
        <f>IF($J227="",#N/A,SUM(FV$4:FV227))</f>
        <v>6.6834991831277585E-2</v>
      </c>
      <c r="FX227" s="204" t="str">
        <f t="shared" si="406"/>
        <v/>
      </c>
      <c r="FY227" s="204">
        <f>IF($J227="",#N/A,SUM(FX$4:FX227))</f>
        <v>-0.16102012791805576</v>
      </c>
      <c r="FZ227" s="205" t="str">
        <f t="shared" si="407"/>
        <v/>
      </c>
      <c r="GA227" s="205">
        <f>IF($J227="",#N/A,SUM(FZ$4:FZ227))</f>
        <v>-1.7642101813332194</v>
      </c>
      <c r="GB227" s="205">
        <f>IF($J227="",#N/A,SUM(FZ$4:FZ227,FX$4:FX227,FV$4:FV227))</f>
        <v>-1.8583953174199976</v>
      </c>
      <c r="GC227" s="200" t="str">
        <f t="shared" si="408"/>
        <v/>
      </c>
      <c r="GD227" s="203">
        <f>IF($J227="",#N/A,SUM(GC$4:GC227))</f>
        <v>0</v>
      </c>
      <c r="GE227" s="204" t="str">
        <f t="shared" si="409"/>
        <v/>
      </c>
      <c r="GF227" s="204">
        <f>IF($J227="",#N/A,SUM(GE$4:GE227))</f>
        <v>0</v>
      </c>
      <c r="GG227" s="205" t="str">
        <f t="shared" si="410"/>
        <v/>
      </c>
      <c r="GH227" s="205">
        <f>IF($J227="",#N/A,SUM(GG$4:GG227))</f>
        <v>-2.9368362277223206</v>
      </c>
      <c r="GI227" s="205">
        <f>IF($J227="",#N/A,SUM(GG$4:GG227,GE$4:GE227,GC$4:GC227))</f>
        <v>-2.9368362277223206</v>
      </c>
      <c r="GJ227" s="200" t="str">
        <f t="shared" si="411"/>
        <v/>
      </c>
      <c r="GK227" s="203">
        <f>IF($J227="",#N/A,SUM(GJ$4:GJ227))</f>
        <v>0</v>
      </c>
      <c r="GL227" s="204" t="str">
        <f t="shared" si="412"/>
        <v/>
      </c>
      <c r="GM227" s="204">
        <f>IF($J227="",#N/A,SUM(GL$4:GL227))</f>
        <v>-1.6833790887309608</v>
      </c>
      <c r="GN227" s="205" t="str">
        <f t="shared" si="413"/>
        <v/>
      </c>
      <c r="GO227" s="205">
        <f>IF($J227="",#N/A,SUM(GN$4:GN227))</f>
        <v>0</v>
      </c>
      <c r="GP227" s="205">
        <f>IF($J227="",#N/A,SUM(GN$4:GN227,GL$4:GL227,GJ$4:GJ227))</f>
        <v>-1.6833790887309608</v>
      </c>
      <c r="GS227" s="303">
        <f t="shared" si="432"/>
        <v>-0.35891089108910884</v>
      </c>
      <c r="GT227" s="303">
        <f>IF(GS227="",NA(),SUM($GS$4:GS227))</f>
        <v>6.7809607129894598</v>
      </c>
      <c r="GU227" s="303">
        <f t="shared" si="414"/>
        <v>-0.35891089108910884</v>
      </c>
      <c r="GV227" s="303">
        <f>IF(GU227="",NA(),SUM($GU$4:GU227))</f>
        <v>-3.0883607473380557</v>
      </c>
      <c r="GW227" s="303" t="str">
        <f t="shared" si="415"/>
        <v/>
      </c>
      <c r="GX227" s="303" t="e">
        <f>IF(GW227="",NA(),SUM($GW$4:GW227))</f>
        <v>#N/A</v>
      </c>
      <c r="GY227" s="303" t="str">
        <f t="shared" si="416"/>
        <v/>
      </c>
      <c r="GZ227" s="303" t="e">
        <f>IF(GY227="",NA(),SUM($GY$4:GY227))</f>
        <v>#N/A</v>
      </c>
      <c r="HA227" s="303" t="str">
        <f t="shared" si="417"/>
        <v/>
      </c>
      <c r="HB227" s="303" t="e">
        <f>IF(HA227="",NA(),SUM($HA$4:HA227))</f>
        <v>#N/A</v>
      </c>
      <c r="HC227" s="303" t="str">
        <f t="shared" si="418"/>
        <v/>
      </c>
      <c r="HD227" s="303" t="e">
        <f>IF(HC227="",NA(),SUM($HC$4:HC227))</f>
        <v>#N/A</v>
      </c>
      <c r="HE227" s="303" t="str">
        <f t="shared" si="419"/>
        <v/>
      </c>
      <c r="HF227" s="303" t="e">
        <f>IF(HE227="",NA(),SUM($HE$4:HE227))</f>
        <v>#N/A</v>
      </c>
      <c r="HG227" s="303" t="str">
        <f t="shared" si="420"/>
        <v/>
      </c>
      <c r="HH227" s="303" t="e">
        <f>IF(HG227="",NA(),SUM($HG$4:HG227))</f>
        <v>#N/A</v>
      </c>
      <c r="HI227" s="304" t="str">
        <f t="shared" si="433"/>
        <v/>
      </c>
      <c r="HJ227" s="304">
        <f>IF($J227="",#N/A,SUM(HI$4:$HI227))</f>
        <v>-6.2757072841462156</v>
      </c>
      <c r="HK227" s="303" t="str">
        <f t="shared" si="421"/>
        <v/>
      </c>
      <c r="HL227" s="303">
        <f>IF($J227="",#N/A,SUM($HK$4:HK227))</f>
        <v>-1.3757693049009907</v>
      </c>
      <c r="HM227" s="303" t="str">
        <f t="shared" si="422"/>
        <v/>
      </c>
      <c r="HN227" s="303">
        <f>IF($J227="",#N/A,SUM($HM$4:HM227))</f>
        <v>0.90694539517251249</v>
      </c>
      <c r="HO227" s="303">
        <f t="shared" si="423"/>
        <v>-0.63050055005500649</v>
      </c>
      <c r="HP227" s="303">
        <f>IF($J227="",#N/A,SUM($HO$4:HO227))</f>
        <v>-0.10266465451722628</v>
      </c>
      <c r="HQ227" s="303" t="str">
        <f t="shared" si="424"/>
        <v/>
      </c>
      <c r="HR227" s="303">
        <f>IF($J227="",#N/A,SUM($HQ$4:HQ227))</f>
        <v>-14.780693211654734</v>
      </c>
      <c r="HS227" s="303" t="str">
        <f t="shared" si="425"/>
        <v/>
      </c>
      <c r="HT227" s="303">
        <f>IF($J227="",#N/A,SUM($HS$4:HS227))</f>
        <v>12.355916080255803</v>
      </c>
      <c r="HU227" s="305">
        <f t="shared" si="426"/>
        <v>-0.98941144114411539</v>
      </c>
      <c r="HV227" s="305">
        <f>IF($J227="",#N/A,SUM(HU$4:$HU227))</f>
        <v>3.2581982635430196</v>
      </c>
    </row>
    <row r="228" spans="1:230" x14ac:dyDescent="0.25">
      <c r="A228" s="51" t="s">
        <v>1481</v>
      </c>
      <c r="B228" s="52" t="s">
        <v>4563</v>
      </c>
      <c r="C228" s="229">
        <f t="shared" si="327"/>
        <v>3</v>
      </c>
      <c r="D228" s="219" t="str">
        <f>_xlfn.XLOOKUP(A228,[1]SP500!$A$2:$A$502,[1]SP500!$D$2:$D$502,"N")</f>
        <v>Y</v>
      </c>
      <c r="E228" s="51" t="str">
        <f>IFERROR(_xlfn.XLOOKUP(A228,[1]SP500!$A$2:$A$655,[1]SP500!$B$2:$B$655),"")</f>
        <v>SMH</v>
      </c>
      <c r="F228" s="290">
        <v>45778</v>
      </c>
      <c r="G228" s="51" t="str">
        <f t="shared" si="328"/>
        <v>AMC</v>
      </c>
      <c r="H228" s="51" t="str">
        <f t="shared" si="329"/>
        <v>s</v>
      </c>
      <c r="I228" s="343">
        <v>601.63</v>
      </c>
      <c r="J228" s="124">
        <v>614.67999999999995</v>
      </c>
      <c r="K228" s="55">
        <f t="shared" si="330"/>
        <v>2.1691072586140909E-2</v>
      </c>
      <c r="L228" s="67">
        <f t="shared" si="331"/>
        <v>26.099999999999909</v>
      </c>
      <c r="M228" s="57">
        <f t="shared" si="332"/>
        <v>8.1800000000000637</v>
      </c>
      <c r="N228" s="102">
        <f t="shared" si="333"/>
        <v>26.099999999999909</v>
      </c>
      <c r="O228" s="57">
        <f>IF(N228="",#N/A,SUM($N$4:N228))</f>
        <v>627.32865200916876</v>
      </c>
      <c r="P228" s="65">
        <f t="shared" si="427"/>
        <v>0.36151787643568178</v>
      </c>
      <c r="Q228" s="172">
        <f>IF($N228="",#N/A,SUM($P$4:P228))</f>
        <v>12.891689119769552</v>
      </c>
      <c r="R228" s="279">
        <f t="shared" si="334"/>
        <v>3.4084190795064426</v>
      </c>
      <c r="S228" s="51" t="str">
        <f t="shared" si="335"/>
        <v>SW</v>
      </c>
      <c r="T228" s="51" t="s">
        <v>2828</v>
      </c>
      <c r="U228" s="56">
        <f t="shared" si="336"/>
        <v>601.63</v>
      </c>
      <c r="V228" s="56" t="s">
        <v>4460</v>
      </c>
      <c r="W228" s="142">
        <v>2</v>
      </c>
      <c r="X228" s="145">
        <f t="shared" si="337"/>
        <v>1203.26</v>
      </c>
      <c r="Y228" s="140">
        <f t="shared" si="338"/>
        <v>2</v>
      </c>
      <c r="Z228" s="123">
        <v>618.77</v>
      </c>
      <c r="AA228" s="102">
        <f t="shared" si="339"/>
        <v>34.279999999999973</v>
      </c>
      <c r="AB228" s="102">
        <f t="shared" si="340"/>
        <v>70.519999999999982</v>
      </c>
      <c r="AC228" s="124">
        <v>636.89</v>
      </c>
      <c r="AD228" s="155">
        <f t="shared" si="341"/>
        <v>70.519999999999982</v>
      </c>
      <c r="AE228" s="545">
        <f t="shared" si="342"/>
        <v>0.97679082935802153</v>
      </c>
      <c r="AF228" s="57">
        <f>IF($AC228="",#N/A,SUM(AD$4:AD228))</f>
        <v>213.7397808891717</v>
      </c>
      <c r="AG228" s="102">
        <f t="shared" si="343"/>
        <v>44.420000000000073</v>
      </c>
      <c r="AH228" s="56" t="s">
        <v>2507</v>
      </c>
      <c r="AI228" s="65">
        <f t="shared" si="344"/>
        <v>0.47482118023813047</v>
      </c>
      <c r="AJ228" s="350">
        <f>IF(AI228="",#N/A,SUM($AI$4:AI228))</f>
        <v>9.4832700402631094</v>
      </c>
      <c r="AK228" s="57">
        <f t="shared" si="345"/>
        <v>34.279999999999973</v>
      </c>
      <c r="AL228" s="349">
        <f>IF(AI228="",#N/A,IF(AH228="Skip",SUM($AK$4:AK228),SUM($AK$4:AK228)))</f>
        <v>396.43759149281414</v>
      </c>
      <c r="AM228" s="65">
        <f t="shared" si="428"/>
        <v>0.97679082935802153</v>
      </c>
      <c r="AN228" s="209"/>
      <c r="AO228" s="65">
        <f t="shared" si="346"/>
        <v>0.97679082935802153</v>
      </c>
      <c r="AP228" s="65">
        <f>IF($AC228="",#N/A,SUM(AO$4:AO228))</f>
        <v>6.3247005529260489</v>
      </c>
      <c r="AQ228" s="65" t="str">
        <f t="shared" si="347"/>
        <v/>
      </c>
      <c r="AR228" s="65">
        <f>IF($AC228="",#N/A,SUM(AQ$4:AQ228))</f>
        <v>-2.2840800066827698</v>
      </c>
      <c r="AS228" s="65" t="str">
        <f t="shared" si="348"/>
        <v/>
      </c>
      <c r="AT228" s="65">
        <f>IF($AC228="",#N/A,SUM(AS$4:AS228))</f>
        <v>0.19436854665775938</v>
      </c>
      <c r="AU228" s="57">
        <f t="shared" si="429"/>
        <v>70.519999999999982</v>
      </c>
      <c r="AV228" s="57">
        <f>IF($AC228="",#N/A,SUM(AU$4:AU228))</f>
        <v>302.23139934283893</v>
      </c>
      <c r="AW228" s="57" t="str">
        <f t="shared" si="430"/>
        <v/>
      </c>
      <c r="AX228" s="57">
        <f>IF($AC228="",#N/A,SUM(AW$4:AW228))</f>
        <v>-142.90000000000009</v>
      </c>
      <c r="AY228" s="57" t="str">
        <f t="shared" si="431"/>
        <v/>
      </c>
      <c r="AZ228" s="57">
        <f>IF($AC228="",#N/A,SUM(AY$4:AY228))</f>
        <v>54.408381546332862</v>
      </c>
      <c r="BA228" s="57">
        <f>IF(AD228="",#N/A,SUM($AD$4:AD228))</f>
        <v>213.7397808891717</v>
      </c>
      <c r="BC228" s="51" t="str">
        <f t="shared" si="349"/>
        <v/>
      </c>
      <c r="BD228" s="51" t="str">
        <f t="shared" si="350"/>
        <v/>
      </c>
      <c r="BE228" s="51">
        <f t="shared" si="351"/>
        <v>1</v>
      </c>
      <c r="BF228" s="51" t="str">
        <f t="shared" si="352"/>
        <v>Long</v>
      </c>
      <c r="BG228" s="51" t="str">
        <f t="shared" si="353"/>
        <v/>
      </c>
      <c r="BH228" s="51" t="str">
        <f t="shared" si="354"/>
        <v/>
      </c>
      <c r="BI228" s="51" t="str">
        <f t="shared" si="355"/>
        <v/>
      </c>
      <c r="BK228" s="65">
        <f t="shared" si="326"/>
        <v>0.1362928055087366</v>
      </c>
      <c r="BL228" s="65">
        <f t="shared" si="434"/>
        <v>0.15336335499909864</v>
      </c>
      <c r="BM228" s="65">
        <f>IFERROR(Q228/COUNTA($J$4:J228),#N/A)</f>
        <v>5.7296396087864673E-2</v>
      </c>
      <c r="BO228" s="489">
        <f>IF(J228="",#N/A,IF(S228="SW",(COUNTIFS(K$4:$K228,"&gt;0",S$4:$S228,"SW")/COUNTIF(S$4:$S228,"SW")),#N/A))</f>
        <v>0.51694915254237284</v>
      </c>
      <c r="BP228" s="489" t="e">
        <f>IF($J228="",#N/A,IF($S228="DWN",(COUNTIFS($K$4:$K228,"&lt;0",$S$4:$S228,"DWN")/COUNTIF($S$4:$S228,"DWN")),#N/A))</f>
        <v>#N/A</v>
      </c>
      <c r="BQ228" s="489" t="e">
        <f>IF($J228="",#N/A,IF($S228="UP",(COUNTIFS($K$4:$K228,"&gt;0",$S$4:$S228,"UP")/COUNTIF($S$4:$S228,"UP")),#N/A))</f>
        <v>#N/A</v>
      </c>
      <c r="BR228" s="489">
        <f>IF(J228="",#N/A,COUNTIF($K$4:K228,"&gt;0")/COUNT($J$4:J228))</f>
        <v>0.46666666666666667</v>
      </c>
      <c r="BS228" s="65">
        <f t="shared" si="356"/>
        <v>0.36151787643568178</v>
      </c>
      <c r="BT228" s="65" t="str">
        <f t="shared" si="357"/>
        <v/>
      </c>
      <c r="BU228" s="65" t="str">
        <f t="shared" si="358"/>
        <v/>
      </c>
      <c r="BV228" s="65" t="str">
        <f t="shared" si="359"/>
        <v/>
      </c>
      <c r="BW228" s="128" t="str">
        <f t="shared" si="360"/>
        <v/>
      </c>
      <c r="BX228" s="128">
        <f>IF($J228="",#N/A,SUM($BW$4:BW228))</f>
        <v>-199.33000000000038</v>
      </c>
      <c r="BY228" s="131" t="str">
        <f t="shared" si="361"/>
        <v/>
      </c>
      <c r="BZ228" s="131">
        <f>IF($J228="",#N/A,SUM($BY$4:BY228))</f>
        <v>445.40934038933437</v>
      </c>
      <c r="CA228" s="133">
        <f t="shared" si="362"/>
        <v>26.099999999999909</v>
      </c>
      <c r="CB228" s="133">
        <f>IF($J228="",#N/A,SUM($CA$4:CA228))</f>
        <v>381.24931161983477</v>
      </c>
      <c r="CC228" s="194" t="str">
        <f t="shared" si="363"/>
        <v/>
      </c>
      <c r="CD228" s="194">
        <f>IF($J228="",#N/A,SUM($CC$4:CC228))</f>
        <v>-3.0883607473380557</v>
      </c>
      <c r="CE228" s="195" t="str">
        <f t="shared" si="364"/>
        <v/>
      </c>
      <c r="CF228" s="195">
        <f>IF($J228="",#N/A,SUM($CE$4:CE228))</f>
        <v>7.8458451357049706</v>
      </c>
      <c r="CG228" s="196">
        <f t="shared" si="365"/>
        <v>0.36151787643568178</v>
      </c>
      <c r="CH228" s="196">
        <f>IF($J228="",#N/A,SUM($CG$4:CG228))</f>
        <v>8.134204731402642</v>
      </c>
      <c r="CI228" s="200" t="str">
        <f t="shared" si="366"/>
        <v/>
      </c>
      <c r="CJ228" s="203">
        <f>IF($J228="",#N/A,SUM(CI$4:CI228))</f>
        <v>0</v>
      </c>
      <c r="CK228" s="204" t="str">
        <f t="shared" si="367"/>
        <v/>
      </c>
      <c r="CL228" s="204">
        <f>IF($J228="",#N/A,SUM(CK$4:CK228))</f>
        <v>1.9927003554442289</v>
      </c>
      <c r="CM228" s="205" t="str">
        <f t="shared" si="368"/>
        <v/>
      </c>
      <c r="CN228" s="205">
        <f>IF($J228="",#N/A,SUM(CM$4:CM228))</f>
        <v>5.6091171609382364</v>
      </c>
      <c r="CO228" s="205">
        <f>IF($J228="",#N/A,SUM(CM$4:CM228,CK$4:CK228,CI$4:CI228))</f>
        <v>7.6018175163824644</v>
      </c>
      <c r="CP228" s="200" t="str">
        <f t="shared" si="369"/>
        <v/>
      </c>
      <c r="CQ228" s="203">
        <f>IF($J228="",#N/A,SUM(CP$4:CP228))</f>
        <v>0</v>
      </c>
      <c r="CR228" s="204" t="str">
        <f t="shared" si="370"/>
        <v/>
      </c>
      <c r="CS228" s="204">
        <f>IF($J228="",#N/A,SUM(CR$4:CR228))</f>
        <v>4.2989225684455388</v>
      </c>
      <c r="CT228" s="205" t="str">
        <f t="shared" si="371"/>
        <v/>
      </c>
      <c r="CU228" s="205">
        <f>IF($J228="",#N/A,SUM(CT$4:CT228))</f>
        <v>-1.1331655471946371</v>
      </c>
      <c r="CV228" s="205">
        <f>IF($J228="",#N/A,SUM(CT$4:CT228,CR$4:CR228,CP$4:CP228))</f>
        <v>3.1657570212509012</v>
      </c>
      <c r="CW228" s="200" t="str">
        <f t="shared" si="372"/>
        <v/>
      </c>
      <c r="CX228" s="203">
        <f>IF($J228="",#N/A,SUM(CW$4:CW228))</f>
        <v>-0.33865165024245297</v>
      </c>
      <c r="CY228" s="204" t="str">
        <f t="shared" si="373"/>
        <v/>
      </c>
      <c r="CZ228" s="204">
        <f>IF($J228="",#N/A,SUM(CY$4:CY228))</f>
        <v>-0.55412230890025005</v>
      </c>
      <c r="DA228" s="205" t="str">
        <f t="shared" si="374"/>
        <v/>
      </c>
      <c r="DB228" s="205">
        <f>IF($J228="",#N/A,SUM(DA$4:DA228))</f>
        <v>-2.2679577914291</v>
      </c>
      <c r="DC228" s="205">
        <f>IF($J228="",#N/A,SUM(DA$4:DA228,CY$4:CY228,CW$4:CW228))</f>
        <v>-3.1607317505718027</v>
      </c>
      <c r="DD228" s="200" t="str">
        <f t="shared" si="375"/>
        <v/>
      </c>
      <c r="DE228" s="203">
        <f>IF($J228="",#N/A,SUM(DD$4:DD228))</f>
        <v>0.14968716170674062</v>
      </c>
      <c r="DF228" s="204" t="str">
        <f t="shared" si="376"/>
        <v/>
      </c>
      <c r="DG228" s="204">
        <f>IF($J228="",#N/A,SUM(DF$4:DF228))</f>
        <v>1.5249935139936004</v>
      </c>
      <c r="DH228" s="205" t="str">
        <f t="shared" si="377"/>
        <v/>
      </c>
      <c r="DI228" s="205">
        <f>IF($J228="",#N/A,SUM(DH$4:DH228))</f>
        <v>-1.9066052078694633</v>
      </c>
      <c r="DJ228" s="205">
        <f>IF($J228="",#N/A,SUM(DH$4:DH228,DF$4:DF228,DD$4:DD228))</f>
        <v>-0.23192453216912207</v>
      </c>
      <c r="DK228" s="200" t="str">
        <f t="shared" si="378"/>
        <v/>
      </c>
      <c r="DL228" s="203">
        <f>IF($J228="",#N/A,SUM(DK$4:DK228))</f>
        <v>-1.2097286851272664</v>
      </c>
      <c r="DM228" s="204" t="str">
        <f t="shared" si="379"/>
        <v/>
      </c>
      <c r="DN228" s="204">
        <f>IF($J228="",#N/A,SUM(DM$4:DM228))</f>
        <v>1.1910608267574658</v>
      </c>
      <c r="DO228" s="205" t="str">
        <f t="shared" si="380"/>
        <v/>
      </c>
      <c r="DP228" s="205">
        <f>IF($J228="",#N/A,SUM(DO$4:DO228))</f>
        <v>2.6571865116636566</v>
      </c>
      <c r="DQ228" s="205">
        <f>IF($J228="",#N/A,SUM(DO$4:DO228,DM$4:DM228,DK$4:DK228))</f>
        <v>2.6385186532938567</v>
      </c>
      <c r="DR228" s="200" t="str">
        <f t="shared" si="381"/>
        <v/>
      </c>
      <c r="DS228" s="203">
        <f>IF($J228="",#N/A,SUM(DR$4:DR228))</f>
        <v>-0.55950946427675097</v>
      </c>
      <c r="DT228" s="204" t="str">
        <f t="shared" si="382"/>
        <v/>
      </c>
      <c r="DU228" s="204">
        <f>IF($J228="",#N/A,SUM(DT$4:DT228))</f>
        <v>-3.6911249040845173</v>
      </c>
      <c r="DV228" s="205" t="str">
        <f t="shared" si="383"/>
        <v/>
      </c>
      <c r="DW228" s="205">
        <f>IF($J228="",#N/A,SUM(DV$4:DV228))</f>
        <v>-1.2815650893103838</v>
      </c>
      <c r="DX228" s="205">
        <f>IF($J228="",#N/A,SUM(DV$4:DV228,DT$4:DT228,DR$4:DR228))</f>
        <v>-5.532199457671652</v>
      </c>
      <c r="DY228" s="200" t="str">
        <f t="shared" si="384"/>
        <v/>
      </c>
      <c r="DZ228" s="203">
        <f>IF($J228="",#N/A,SUM(DY$4:DY228))</f>
        <v>-1.0460034109943892</v>
      </c>
      <c r="EA228" s="204" t="str">
        <f t="shared" si="385"/>
        <v/>
      </c>
      <c r="EB228" s="204">
        <f>IF($J228="",#N/A,SUM(EA$4:EA228))</f>
        <v>0.65158371441459195</v>
      </c>
      <c r="EC228" s="205" t="str">
        <f t="shared" si="386"/>
        <v/>
      </c>
      <c r="ED228" s="205">
        <f>IF($J228="",#N/A,SUM(EC$4:EC228))</f>
        <v>5.1322420709634535</v>
      </c>
      <c r="EE228" s="205">
        <f>IF($J228="",#N/A,SUM(EC$4:EC228,EA$4:EA228,DY$4:DY228))</f>
        <v>4.7378223743836561</v>
      </c>
      <c r="EF228" s="200" t="str">
        <f t="shared" si="387"/>
        <v/>
      </c>
      <c r="EG228" s="203">
        <f>IF($J228="",#N/A,SUM(EF$4:EF228))</f>
        <v>-0.15098969023521425</v>
      </c>
      <c r="EH228" s="204" t="str">
        <f t="shared" si="388"/>
        <v/>
      </c>
      <c r="EI228" s="204">
        <f>IF($J228="",#N/A,SUM(EH$4:EH228))</f>
        <v>-3.1507771605639614</v>
      </c>
      <c r="EJ228" s="205" t="str">
        <f t="shared" si="389"/>
        <v/>
      </c>
      <c r="EK228" s="205">
        <f>IF($J228="",#N/A,SUM(EJ$4:EJ228))</f>
        <v>4.6014417494274094</v>
      </c>
      <c r="EL228" s="205">
        <f>IF($J228="",#N/A,SUM(EJ$4:EJ228,EH$4:EH228,EF$4:EF228))</f>
        <v>1.2996748986282345</v>
      </c>
      <c r="EM228" s="200" t="str">
        <f t="shared" si="390"/>
        <v/>
      </c>
      <c r="EN228" s="203">
        <f>IF($J228="",#N/A,SUM(EM$4:EM228))</f>
        <v>0</v>
      </c>
      <c r="EO228" s="204" t="str">
        <f t="shared" si="391"/>
        <v/>
      </c>
      <c r="EP228" s="204">
        <f>IF($J228="",#N/A,SUM(EO$4:EO228))</f>
        <v>3.2406646352184261</v>
      </c>
      <c r="EQ228" s="205" t="str">
        <f t="shared" si="392"/>
        <v/>
      </c>
      <c r="ER228" s="205">
        <f>IF($J228="",#N/A,SUM(EQ$4:EQ228))</f>
        <v>1.441536272249796</v>
      </c>
      <c r="ES228" s="205">
        <f>IF($J228="",#N/A,SUM(EQ$4:EQ228,EO$4:EO228,EM$4:EM228))</f>
        <v>4.6822009074682214</v>
      </c>
      <c r="ET228" s="200" t="str">
        <f t="shared" si="393"/>
        <v/>
      </c>
      <c r="EU228" s="203">
        <f>IF($J228="",#N/A,SUM(ET$4:ET228))</f>
        <v>0</v>
      </c>
      <c r="EV228" s="204" t="str">
        <f t="shared" si="394"/>
        <v/>
      </c>
      <c r="EW228" s="204">
        <f>IF($J228="",#N/A,SUM(EV$4:EV228))</f>
        <v>1.9901851109977766</v>
      </c>
      <c r="EX228" s="205">
        <f t="shared" si="395"/>
        <v>0.36151787643568178</v>
      </c>
      <c r="EY228" s="205">
        <f>IF($J228="",#N/A,SUM(EX$4:EX228))</f>
        <v>0.27113250180669229</v>
      </c>
      <c r="EZ228" s="205">
        <f>IF($J228="",#N/A,SUM(EX$4:EX228,EV$4:EV228,ET$4:ET228))</f>
        <v>2.2613176128044685</v>
      </c>
      <c r="FA228" s="200" t="str">
        <f t="shared" si="396"/>
        <v/>
      </c>
      <c r="FB228" s="203">
        <f>IF($J228="",#N/A,SUM(FA$4:FA228))</f>
        <v>0</v>
      </c>
      <c r="FC228" s="204" t="str">
        <f t="shared" si="397"/>
        <v/>
      </c>
      <c r="FD228" s="204">
        <f>IF($J228="",#N/A,SUM(FC$4:FC228))</f>
        <v>1.8692126759492278</v>
      </c>
      <c r="FE228" s="205" t="str">
        <f t="shared" si="398"/>
        <v/>
      </c>
      <c r="FF228" s="205">
        <f>IF($J228="",#N/A,SUM(FE$4:FE228))</f>
        <v>-0.28811149078748233</v>
      </c>
      <c r="FG228" s="205">
        <f>IF($J228="",#N/A,SUM(FE$4:FE228,FC$4:FC228,FA$4:FA228))</f>
        <v>1.5811011851617456</v>
      </c>
      <c r="FH228" s="200" t="str">
        <f t="shared" si="399"/>
        <v/>
      </c>
      <c r="FI228" s="203">
        <f>IF($J228="",#N/A,SUM(FH$4:FH228))</f>
        <v>0</v>
      </c>
      <c r="FJ228" s="204" t="str">
        <f t="shared" si="400"/>
        <v/>
      </c>
      <c r="FK228" s="204">
        <f>IF($J228="",#N/A,SUM(FJ$4:FJ228))</f>
        <v>0</v>
      </c>
      <c r="FL228" s="205" t="str">
        <f t="shared" si="401"/>
        <v/>
      </c>
      <c r="FM228" s="205">
        <f>IF($J228="",#N/A,SUM(FL$4:FL228))</f>
        <v>0</v>
      </c>
      <c r="FN228" s="205">
        <f>IF($J228="",#N/A,SUM(FL$4:FL228,FJ$4:FJ228,FH$4:FH228))</f>
        <v>0</v>
      </c>
      <c r="FO228" s="200" t="str">
        <f t="shared" si="402"/>
        <v/>
      </c>
      <c r="FP228" s="203">
        <f>IF($J228="",#N/A,SUM(FO$4:FO228))</f>
        <v>0</v>
      </c>
      <c r="FQ228" s="204" t="str">
        <f t="shared" si="403"/>
        <v/>
      </c>
      <c r="FR228" s="204">
        <f>IF($J228="",#N/A,SUM(FQ$4:FQ228))</f>
        <v>0</v>
      </c>
      <c r="FS228" s="205" t="str">
        <f t="shared" si="404"/>
        <v/>
      </c>
      <c r="FT228" s="205">
        <f>IF($J228="",#N/A,SUM(FS$4:FS228))</f>
        <v>0</v>
      </c>
      <c r="FU228" s="205">
        <f>IF($J228="",#N/A,SUM(FS$4:FS228,FQ$4:FQ228,FO$4:FO228))</f>
        <v>0</v>
      </c>
      <c r="FV228" s="200" t="str">
        <f t="shared" si="405"/>
        <v/>
      </c>
      <c r="FW228" s="203">
        <f>IF($J228="",#N/A,SUM(FV$4:FV228))</f>
        <v>6.6834991831277585E-2</v>
      </c>
      <c r="FX228" s="204" t="str">
        <f t="shared" si="406"/>
        <v/>
      </c>
      <c r="FY228" s="204">
        <f>IF($J228="",#N/A,SUM(FX$4:FX228))</f>
        <v>-0.16102012791805576</v>
      </c>
      <c r="FZ228" s="205" t="str">
        <f t="shared" si="407"/>
        <v/>
      </c>
      <c r="GA228" s="205">
        <f>IF($J228="",#N/A,SUM(FZ$4:FZ228))</f>
        <v>-1.7642101813332194</v>
      </c>
      <c r="GB228" s="205">
        <f>IF($J228="",#N/A,SUM(FZ$4:FZ228,FX$4:FX228,FV$4:FV228))</f>
        <v>-1.8583953174199976</v>
      </c>
      <c r="GC228" s="200" t="str">
        <f t="shared" si="408"/>
        <v/>
      </c>
      <c r="GD228" s="203">
        <f>IF($J228="",#N/A,SUM(GC$4:GC228))</f>
        <v>0</v>
      </c>
      <c r="GE228" s="204" t="str">
        <f t="shared" si="409"/>
        <v/>
      </c>
      <c r="GF228" s="204">
        <f>IF($J228="",#N/A,SUM(GE$4:GE228))</f>
        <v>0</v>
      </c>
      <c r="GG228" s="205" t="str">
        <f t="shared" si="410"/>
        <v/>
      </c>
      <c r="GH228" s="205">
        <f>IF($J228="",#N/A,SUM(GG$4:GG228))</f>
        <v>-2.9368362277223206</v>
      </c>
      <c r="GI228" s="205">
        <f>IF($J228="",#N/A,SUM(GG$4:GG228,GE$4:GE228,GC$4:GC228))</f>
        <v>-2.9368362277223206</v>
      </c>
      <c r="GJ228" s="200" t="str">
        <f t="shared" si="411"/>
        <v/>
      </c>
      <c r="GK228" s="203">
        <f>IF($J228="",#N/A,SUM(GJ$4:GJ228))</f>
        <v>0</v>
      </c>
      <c r="GL228" s="204" t="str">
        <f t="shared" si="412"/>
        <v/>
      </c>
      <c r="GM228" s="204">
        <f>IF($J228="",#N/A,SUM(GL$4:GL228))</f>
        <v>-1.6833790887309608</v>
      </c>
      <c r="GN228" s="205" t="str">
        <f t="shared" si="413"/>
        <v/>
      </c>
      <c r="GO228" s="205">
        <f>IF($J228="",#N/A,SUM(GN$4:GN228))</f>
        <v>0</v>
      </c>
      <c r="GP228" s="205">
        <f>IF($J228="",#N/A,SUM(GN$4:GN228,GL$4:GL228,GJ$4:GJ228))</f>
        <v>-1.6833790887309608</v>
      </c>
      <c r="GS228" s="54">
        <f t="shared" si="432"/>
        <v>0.36151787643568178</v>
      </c>
      <c r="GT228" s="54">
        <f>IF(GS228="",NA(),SUM($GS$4:GS228))</f>
        <v>7.1424785894251412</v>
      </c>
      <c r="GU228" s="54" t="str">
        <f t="shared" si="414"/>
        <v/>
      </c>
      <c r="GV228" s="54" t="e">
        <f>IF(GU228="",NA(),SUM($GU$4:GU228))</f>
        <v>#N/A</v>
      </c>
      <c r="GW228" s="54">
        <f t="shared" si="415"/>
        <v>0.36151787643568178</v>
      </c>
      <c r="GX228" s="54">
        <f>IF(GW228="",NA(),SUM($GW$4:GW228))</f>
        <v>7.7703122364540818</v>
      </c>
      <c r="GY228" s="54" t="str">
        <f t="shared" si="416"/>
        <v/>
      </c>
      <c r="GZ228" s="54" t="e">
        <f>IF(GY228="",NA(),SUM($GY$4:GY228))</f>
        <v>#N/A</v>
      </c>
      <c r="HA228" s="54" t="str">
        <f t="shared" si="417"/>
        <v/>
      </c>
      <c r="HB228" s="54" t="e">
        <f>IF(HA228="",NA(),SUM($HA$4:HA228))</f>
        <v>#N/A</v>
      </c>
      <c r="HC228" s="54" t="str">
        <f t="shared" si="418"/>
        <v/>
      </c>
      <c r="HD228" s="54" t="e">
        <f>IF(HC228="",NA(),SUM($HC$4:HC228))</f>
        <v>#N/A</v>
      </c>
      <c r="HE228" s="54" t="str">
        <f t="shared" si="419"/>
        <v/>
      </c>
      <c r="HF228" s="54" t="e">
        <f>IF(HE228="",NA(),SUM($HE$4:HE228))</f>
        <v>#N/A</v>
      </c>
      <c r="HG228" s="54" t="str">
        <f t="shared" si="420"/>
        <v/>
      </c>
      <c r="HH228" s="54" t="e">
        <f>IF(HG228="",NA(),SUM($HG$4:HG228))</f>
        <v>#N/A</v>
      </c>
      <c r="HI228" s="172" t="str">
        <f t="shared" si="433"/>
        <v/>
      </c>
      <c r="HJ228" s="172">
        <f>IF($J228="",#N/A,SUM(HI$4:$HI228))</f>
        <v>-6.2757072841462156</v>
      </c>
      <c r="HK228" s="54" t="str">
        <f t="shared" si="421"/>
        <v/>
      </c>
      <c r="HL228" s="54">
        <f>IF($J228="",#N/A,SUM($HK$4:HK228))</f>
        <v>-1.3757693049009907</v>
      </c>
      <c r="HM228" s="54" t="str">
        <f t="shared" si="422"/>
        <v/>
      </c>
      <c r="HN228" s="54">
        <f>IF($J228="",#N/A,SUM($HM$4:HM228))</f>
        <v>0.90694539517251249</v>
      </c>
      <c r="HO228" s="54" t="str">
        <f t="shared" si="423"/>
        <v/>
      </c>
      <c r="HP228" s="54">
        <f>IF($J228="",#N/A,SUM($HO$4:HO228))</f>
        <v>-0.10266465451722628</v>
      </c>
      <c r="HQ228" s="54">
        <f t="shared" si="424"/>
        <v>0.61527295292233974</v>
      </c>
      <c r="HR228" s="54">
        <f>IF($J228="",#N/A,SUM($HQ$4:HQ228))</f>
        <v>-14.165420258732395</v>
      </c>
      <c r="HS228" s="54" t="str">
        <f t="shared" si="425"/>
        <v/>
      </c>
      <c r="HT228" s="54">
        <f>IF($J228="",#N/A,SUM($HS$4:HS228))</f>
        <v>12.355916080255803</v>
      </c>
      <c r="HU228" s="65">
        <f t="shared" si="426"/>
        <v>0.97679082935802153</v>
      </c>
      <c r="HV228" s="65">
        <f>IF($J228="",#N/A,SUM(HU$4:$HU228))</f>
        <v>4.2349890929010412</v>
      </c>
    </row>
    <row r="229" spans="1:230" x14ac:dyDescent="0.25">
      <c r="A229" s="275" t="s">
        <v>2561</v>
      </c>
      <c r="B229" s="52" t="s">
        <v>4563</v>
      </c>
      <c r="C229" s="276">
        <f t="shared" si="327"/>
        <v>2</v>
      </c>
      <c r="D229" s="277" t="str">
        <f>_xlfn.XLOOKUP(A229,[1]SP500!$A$2:$A$502,[1]SP500!$D$2:$D$502,"N")</f>
        <v>N</v>
      </c>
      <c r="E229" s="275" t="str">
        <f>IFERROR(_xlfn.XLOOKUP(A229,[1]SP500!$A$2:$A$655,[1]SP500!$B$2:$B$655),"")</f>
        <v>IGV</v>
      </c>
      <c r="F229" s="290">
        <v>45778</v>
      </c>
      <c r="G229" s="51" t="str">
        <f t="shared" si="328"/>
        <v>AMC</v>
      </c>
      <c r="H229" s="51" t="str">
        <f t="shared" si="329"/>
        <v>s</v>
      </c>
      <c r="I229" s="344">
        <v>63.21</v>
      </c>
      <c r="J229" s="124">
        <v>64.754999999999995</v>
      </c>
      <c r="K229" s="55">
        <f t="shared" si="330"/>
        <v>2.4442335073564223E-2</v>
      </c>
      <c r="L229" s="67">
        <f t="shared" si="331"/>
        <v>-27.809999999999945</v>
      </c>
      <c r="M229" s="57">
        <f t="shared" si="332"/>
        <v>-4.4100000000000819</v>
      </c>
      <c r="N229" s="102">
        <f t="shared" si="333"/>
        <v>-27.809999999999945</v>
      </c>
      <c r="O229" s="57">
        <f>IF(N229="",#N/A,SUM($N$4:N229))</f>
        <v>599.51865200916882</v>
      </c>
      <c r="P229" s="65">
        <f t="shared" si="427"/>
        <v>-0.40737225122607107</v>
      </c>
      <c r="Q229" s="172">
        <f>IF($N229="",#N/A,SUM($P$4:P229))</f>
        <v>12.48431686854348</v>
      </c>
      <c r="R229" s="279">
        <f t="shared" si="334"/>
        <v>3.4730185627105783</v>
      </c>
      <c r="S229" s="51" t="str">
        <f t="shared" si="335"/>
        <v>Dwn</v>
      </c>
      <c r="T229" s="51" t="s">
        <v>4461</v>
      </c>
      <c r="U229" s="56">
        <f t="shared" si="336"/>
        <v>63.21</v>
      </c>
      <c r="V229" s="56" t="s">
        <v>4458</v>
      </c>
      <c r="W229" s="142">
        <v>18</v>
      </c>
      <c r="X229" s="145">
        <f t="shared" si="337"/>
        <v>1137.78</v>
      </c>
      <c r="Y229" s="140">
        <f t="shared" si="338"/>
        <v>18</v>
      </c>
      <c r="Z229" s="123">
        <v>65</v>
      </c>
      <c r="AA229" s="102">
        <f t="shared" si="339"/>
        <v>-32.220000000000027</v>
      </c>
      <c r="AB229" s="102">
        <f t="shared" si="340"/>
        <v>-29.519999999999982</v>
      </c>
      <c r="AC229" s="124">
        <v>64.849999999999994</v>
      </c>
      <c r="AD229" s="155">
        <f t="shared" si="341"/>
        <v>-29.519999999999982</v>
      </c>
      <c r="AE229" s="545">
        <f t="shared" si="342"/>
        <v>-0.43242103042767477</v>
      </c>
      <c r="AF229" s="57">
        <f>IF($AC229="",#N/A,SUM(AD$4:AD229))</f>
        <v>184.21978088917172</v>
      </c>
      <c r="AG229" s="102">
        <f t="shared" si="343"/>
        <v>-1.7100000000000364</v>
      </c>
      <c r="AH229" s="56" t="s">
        <v>2507</v>
      </c>
      <c r="AI229" s="65">
        <f t="shared" si="344"/>
        <v>-0.47197173443020668</v>
      </c>
      <c r="AJ229" s="350">
        <f>IF(AI229="",#N/A,SUM($AI$4:AI229))</f>
        <v>9.0112983058329021</v>
      </c>
      <c r="AK229" s="57">
        <f t="shared" si="345"/>
        <v>-32.220000000000027</v>
      </c>
      <c r="AL229" s="349">
        <f>IF(AI229="",#N/A,IF(AH229="Skip",SUM($AK$4:AK229),SUM($AK$4:AK229)))</f>
        <v>364.21759149281411</v>
      </c>
      <c r="AM229" s="65">
        <f t="shared" si="428"/>
        <v>-0.43242103042767477</v>
      </c>
      <c r="AN229" s="211"/>
      <c r="AO229" s="65" t="str">
        <f t="shared" si="346"/>
        <v/>
      </c>
      <c r="AP229" s="65">
        <f>IF($AC229="",#N/A,SUM(AO$4:AO229))</f>
        <v>6.3247005529260489</v>
      </c>
      <c r="AQ229" s="65" t="str">
        <f t="shared" si="347"/>
        <v/>
      </c>
      <c r="AR229" s="65">
        <f>IF($AC229="",#N/A,SUM(AQ$4:AQ229))</f>
        <v>-2.2840800066827698</v>
      </c>
      <c r="AS229" s="65">
        <f t="shared" si="348"/>
        <v>-0.43242103042767477</v>
      </c>
      <c r="AT229" s="65">
        <f>IF($AC229="",#N/A,SUM(AS$4:AS229))</f>
        <v>-0.23805248376991539</v>
      </c>
      <c r="AU229" s="57" t="str">
        <f t="shared" si="429"/>
        <v/>
      </c>
      <c r="AV229" s="57">
        <f>IF($AC229="",#N/A,SUM(AU$4:AU229))</f>
        <v>302.23139934283893</v>
      </c>
      <c r="AW229" s="57" t="str">
        <f t="shared" si="430"/>
        <v/>
      </c>
      <c r="AX229" s="57">
        <f>IF($AC229="",#N/A,SUM(AW$4:AW229))</f>
        <v>-142.90000000000009</v>
      </c>
      <c r="AY229" s="57">
        <f t="shared" si="431"/>
        <v>-29.519999999999982</v>
      </c>
      <c r="AZ229" s="57">
        <f>IF($AC229="",#N/A,SUM(AY$4:AY229))</f>
        <v>24.88838154633288</v>
      </c>
      <c r="BA229" s="57">
        <f>IF(AD229="",#N/A,SUM($AD$4:AD229))</f>
        <v>184.21978088917172</v>
      </c>
      <c r="BC229" s="51" t="str">
        <f t="shared" si="349"/>
        <v/>
      </c>
      <c r="BD229" s="51">
        <f t="shared" si="350"/>
        <v>1</v>
      </c>
      <c r="BE229" s="51" t="str">
        <f t="shared" si="351"/>
        <v/>
      </c>
      <c r="BF229" s="51" t="str">
        <f t="shared" si="352"/>
        <v>Short</v>
      </c>
      <c r="BG229" s="51" t="str">
        <f t="shared" si="353"/>
        <v/>
      </c>
      <c r="BH229" s="51" t="str">
        <f t="shared" si="354"/>
        <v/>
      </c>
      <c r="BI229" s="51" t="str">
        <f t="shared" si="355"/>
        <v/>
      </c>
      <c r="BK229" s="65">
        <f t="shared" si="326"/>
        <v>0.12700947627949641</v>
      </c>
      <c r="BL229" s="65">
        <f t="shared" si="434"/>
        <v>9.4881637571665817E-2</v>
      </c>
      <c r="BM229" s="65">
        <f>IFERROR(Q229/COUNTA($J$4:J229),#N/A)</f>
        <v>5.5240340126298589E-2</v>
      </c>
      <c r="BO229" s="489" t="e">
        <f>IF(J229="",#N/A,IF(S229="SW",(COUNTIFS(K$4:$K229,"&gt;0",S$4:$S229,"SW")/COUNTIF(S$4:$S229,"SW")),#N/A))</f>
        <v>#N/A</v>
      </c>
      <c r="BP229" s="489">
        <f>IF($J229="",#N/A,IF($S229="DWN",(COUNTIFS($K$4:$K229,"&lt;0",$S$4:$S229,"DWN")/COUNTIF($S$4:$S229,"DWN")),#N/A))</f>
        <v>0.57291666666666663</v>
      </c>
      <c r="BQ229" s="489" t="e">
        <f>IF($J229="",#N/A,IF($S229="UP",(COUNTIFS($K$4:$K229,"&gt;0",$S$4:$S229,"UP")/COUNTIF($S$4:$S229,"UP")),#N/A))</f>
        <v>#N/A</v>
      </c>
      <c r="BR229" s="489">
        <f>IF(J229="",#N/A,COUNTIF($K$4:K229,"&gt;0")/COUNT($J$4:J229))</f>
        <v>0.46902654867256638</v>
      </c>
      <c r="BS229" s="65" t="str">
        <f t="shared" si="356"/>
        <v/>
      </c>
      <c r="BT229" s="65" t="str">
        <f t="shared" si="357"/>
        <v/>
      </c>
      <c r="BU229" s="65" t="str">
        <f t="shared" si="358"/>
        <v/>
      </c>
      <c r="BV229" s="65">
        <f t="shared" si="359"/>
        <v>-0.40737225122607107</v>
      </c>
      <c r="BW229" s="128" t="str">
        <f t="shared" si="360"/>
        <v/>
      </c>
      <c r="BX229" s="128">
        <f>IF($J229="",#N/A,SUM($BW$4:BW229))</f>
        <v>-199.33000000000038</v>
      </c>
      <c r="BY229" s="131">
        <f t="shared" si="361"/>
        <v>-27.809999999999945</v>
      </c>
      <c r="BZ229" s="131">
        <f>IF($J229="",#N/A,SUM($BY$4:BY229))</f>
        <v>417.59934038933443</v>
      </c>
      <c r="CA229" s="133" t="str">
        <f t="shared" si="362"/>
        <v/>
      </c>
      <c r="CB229" s="133">
        <f>IF($J229="",#N/A,SUM($CA$4:CA229))</f>
        <v>381.24931161983477</v>
      </c>
      <c r="CC229" s="194" t="str">
        <f t="shared" si="363"/>
        <v/>
      </c>
      <c r="CD229" s="194">
        <f>IF($J229="",#N/A,SUM($CC$4:CC229))</f>
        <v>-3.0883607473380557</v>
      </c>
      <c r="CE229" s="195">
        <f t="shared" si="364"/>
        <v>-0.40737225122607107</v>
      </c>
      <c r="CF229" s="195">
        <f>IF($J229="",#N/A,SUM($CE$4:CE229))</f>
        <v>7.4384728844788999</v>
      </c>
      <c r="CG229" s="196" t="str">
        <f t="shared" si="365"/>
        <v/>
      </c>
      <c r="CH229" s="196">
        <f>IF($J229="",#N/A,SUM($CG$4:CG229))</f>
        <v>8.134204731402642</v>
      </c>
      <c r="CI229" s="200" t="str">
        <f t="shared" si="366"/>
        <v/>
      </c>
      <c r="CJ229" s="203">
        <f>IF($J229="",#N/A,SUM(CI$4:CI229))</f>
        <v>0</v>
      </c>
      <c r="CK229" s="204" t="str">
        <f t="shared" si="367"/>
        <v/>
      </c>
      <c r="CL229" s="204">
        <f>IF($J229="",#N/A,SUM(CK$4:CK229))</f>
        <v>1.9927003554442289</v>
      </c>
      <c r="CM229" s="205" t="str">
        <f t="shared" si="368"/>
        <v/>
      </c>
      <c r="CN229" s="205">
        <f>IF($J229="",#N/A,SUM(CM$4:CM229))</f>
        <v>5.6091171609382364</v>
      </c>
      <c r="CO229" s="205">
        <f>IF($J229="",#N/A,SUM(CM$4:CM229,CK$4:CK229,CI$4:CI229))</f>
        <v>7.6018175163824644</v>
      </c>
      <c r="CP229" s="200" t="str">
        <f t="shared" si="369"/>
        <v/>
      </c>
      <c r="CQ229" s="203">
        <f>IF($J229="",#N/A,SUM(CP$4:CP229))</f>
        <v>0</v>
      </c>
      <c r="CR229" s="204">
        <f t="shared" si="370"/>
        <v>-0.40737225122607107</v>
      </c>
      <c r="CS229" s="204">
        <f>IF($J229="",#N/A,SUM(CR$4:CR229))</f>
        <v>3.8915503172194676</v>
      </c>
      <c r="CT229" s="205" t="str">
        <f t="shared" si="371"/>
        <v/>
      </c>
      <c r="CU229" s="205">
        <f>IF($J229="",#N/A,SUM(CT$4:CT229))</f>
        <v>-1.1331655471946371</v>
      </c>
      <c r="CV229" s="205">
        <f>IF($J229="",#N/A,SUM(CT$4:CT229,CR$4:CR229,CP$4:CP229))</f>
        <v>2.7583847700248301</v>
      </c>
      <c r="CW229" s="200" t="str">
        <f t="shared" si="372"/>
        <v/>
      </c>
      <c r="CX229" s="203">
        <f>IF($J229="",#N/A,SUM(CW$4:CW229))</f>
        <v>-0.33865165024245297</v>
      </c>
      <c r="CY229" s="204" t="str">
        <f t="shared" si="373"/>
        <v/>
      </c>
      <c r="CZ229" s="204">
        <f>IF($J229="",#N/A,SUM(CY$4:CY229))</f>
        <v>-0.55412230890025005</v>
      </c>
      <c r="DA229" s="205" t="str">
        <f t="shared" si="374"/>
        <v/>
      </c>
      <c r="DB229" s="205">
        <f>IF($J229="",#N/A,SUM(DA$4:DA229))</f>
        <v>-2.2679577914291</v>
      </c>
      <c r="DC229" s="205">
        <f>IF($J229="",#N/A,SUM(DA$4:DA229,CY$4:CY229,CW$4:CW229))</f>
        <v>-3.1607317505718027</v>
      </c>
      <c r="DD229" s="200" t="str">
        <f t="shared" si="375"/>
        <v/>
      </c>
      <c r="DE229" s="203">
        <f>IF($J229="",#N/A,SUM(DD$4:DD229))</f>
        <v>0.14968716170674062</v>
      </c>
      <c r="DF229" s="204" t="str">
        <f t="shared" si="376"/>
        <v/>
      </c>
      <c r="DG229" s="204">
        <f>IF($J229="",#N/A,SUM(DF$4:DF229))</f>
        <v>1.5249935139936004</v>
      </c>
      <c r="DH229" s="205" t="str">
        <f t="shared" si="377"/>
        <v/>
      </c>
      <c r="DI229" s="205">
        <f>IF($J229="",#N/A,SUM(DH$4:DH229))</f>
        <v>-1.9066052078694633</v>
      </c>
      <c r="DJ229" s="205">
        <f>IF($J229="",#N/A,SUM(DH$4:DH229,DF$4:DF229,DD$4:DD229))</f>
        <v>-0.23192453216912207</v>
      </c>
      <c r="DK229" s="200" t="str">
        <f t="shared" si="378"/>
        <v/>
      </c>
      <c r="DL229" s="203">
        <f>IF($J229="",#N/A,SUM(DK$4:DK229))</f>
        <v>-1.2097286851272664</v>
      </c>
      <c r="DM229" s="204" t="str">
        <f t="shared" si="379"/>
        <v/>
      </c>
      <c r="DN229" s="204">
        <f>IF($J229="",#N/A,SUM(DM$4:DM229))</f>
        <v>1.1910608267574658</v>
      </c>
      <c r="DO229" s="205" t="str">
        <f t="shared" si="380"/>
        <v/>
      </c>
      <c r="DP229" s="205">
        <f>IF($J229="",#N/A,SUM(DO$4:DO229))</f>
        <v>2.6571865116636566</v>
      </c>
      <c r="DQ229" s="205">
        <f>IF($J229="",#N/A,SUM(DO$4:DO229,DM$4:DM229,DK$4:DK229))</f>
        <v>2.6385186532938567</v>
      </c>
      <c r="DR229" s="200" t="str">
        <f t="shared" si="381"/>
        <v/>
      </c>
      <c r="DS229" s="203">
        <f>IF($J229="",#N/A,SUM(DR$4:DR229))</f>
        <v>-0.55950946427675097</v>
      </c>
      <c r="DT229" s="204" t="str">
        <f t="shared" si="382"/>
        <v/>
      </c>
      <c r="DU229" s="204">
        <f>IF($J229="",#N/A,SUM(DT$4:DT229))</f>
        <v>-3.6911249040845173</v>
      </c>
      <c r="DV229" s="205" t="str">
        <f t="shared" si="383"/>
        <v/>
      </c>
      <c r="DW229" s="205">
        <f>IF($J229="",#N/A,SUM(DV$4:DV229))</f>
        <v>-1.2815650893103838</v>
      </c>
      <c r="DX229" s="205">
        <f>IF($J229="",#N/A,SUM(DV$4:DV229,DT$4:DT229,DR$4:DR229))</f>
        <v>-5.532199457671652</v>
      </c>
      <c r="DY229" s="200" t="str">
        <f t="shared" si="384"/>
        <v/>
      </c>
      <c r="DZ229" s="203">
        <f>IF($J229="",#N/A,SUM(DY$4:DY229))</f>
        <v>-1.0460034109943892</v>
      </c>
      <c r="EA229" s="204" t="str">
        <f t="shared" si="385"/>
        <v/>
      </c>
      <c r="EB229" s="204">
        <f>IF($J229="",#N/A,SUM(EA$4:EA229))</f>
        <v>0.65158371441459195</v>
      </c>
      <c r="EC229" s="205" t="str">
        <f t="shared" si="386"/>
        <v/>
      </c>
      <c r="ED229" s="205">
        <f>IF($J229="",#N/A,SUM(EC$4:EC229))</f>
        <v>5.1322420709634535</v>
      </c>
      <c r="EE229" s="205">
        <f>IF($J229="",#N/A,SUM(EC$4:EC229,EA$4:EA229,DY$4:DY229))</f>
        <v>4.7378223743836561</v>
      </c>
      <c r="EF229" s="200" t="str">
        <f t="shared" si="387"/>
        <v/>
      </c>
      <c r="EG229" s="203">
        <f>IF($J229="",#N/A,SUM(EF$4:EF229))</f>
        <v>-0.15098969023521425</v>
      </c>
      <c r="EH229" s="204" t="str">
        <f t="shared" si="388"/>
        <v/>
      </c>
      <c r="EI229" s="204">
        <f>IF($J229="",#N/A,SUM(EH$4:EH229))</f>
        <v>-3.1507771605639614</v>
      </c>
      <c r="EJ229" s="205" t="str">
        <f t="shared" si="389"/>
        <v/>
      </c>
      <c r="EK229" s="205">
        <f>IF($J229="",#N/A,SUM(EJ$4:EJ229))</f>
        <v>4.6014417494274094</v>
      </c>
      <c r="EL229" s="205">
        <f>IF($J229="",#N/A,SUM(EJ$4:EJ229,EH$4:EH229,EF$4:EF229))</f>
        <v>1.2996748986282345</v>
      </c>
      <c r="EM229" s="200" t="str">
        <f t="shared" si="390"/>
        <v/>
      </c>
      <c r="EN229" s="203">
        <f>IF($J229="",#N/A,SUM(EM$4:EM229))</f>
        <v>0</v>
      </c>
      <c r="EO229" s="204" t="str">
        <f t="shared" si="391"/>
        <v/>
      </c>
      <c r="EP229" s="204">
        <f>IF($J229="",#N/A,SUM(EO$4:EO229))</f>
        <v>3.2406646352184261</v>
      </c>
      <c r="EQ229" s="205" t="str">
        <f t="shared" si="392"/>
        <v/>
      </c>
      <c r="ER229" s="205">
        <f>IF($J229="",#N/A,SUM(EQ$4:EQ229))</f>
        <v>1.441536272249796</v>
      </c>
      <c r="ES229" s="205">
        <f>IF($J229="",#N/A,SUM(EQ$4:EQ229,EO$4:EO229,EM$4:EM229))</f>
        <v>4.6822009074682214</v>
      </c>
      <c r="ET229" s="200" t="str">
        <f t="shared" si="393"/>
        <v/>
      </c>
      <c r="EU229" s="203">
        <f>IF($J229="",#N/A,SUM(ET$4:ET229))</f>
        <v>0</v>
      </c>
      <c r="EV229" s="204" t="str">
        <f t="shared" si="394"/>
        <v/>
      </c>
      <c r="EW229" s="204">
        <f>IF($J229="",#N/A,SUM(EV$4:EV229))</f>
        <v>1.9901851109977766</v>
      </c>
      <c r="EX229" s="205" t="str">
        <f t="shared" si="395"/>
        <v/>
      </c>
      <c r="EY229" s="205">
        <f>IF($J229="",#N/A,SUM(EX$4:EX229))</f>
        <v>0.27113250180669229</v>
      </c>
      <c r="EZ229" s="205">
        <f>IF($J229="",#N/A,SUM(EX$4:EX229,EV$4:EV229,ET$4:ET229))</f>
        <v>2.2613176128044685</v>
      </c>
      <c r="FA229" s="200" t="str">
        <f t="shared" si="396"/>
        <v/>
      </c>
      <c r="FB229" s="203">
        <f>IF($J229="",#N/A,SUM(FA$4:FA229))</f>
        <v>0</v>
      </c>
      <c r="FC229" s="204" t="str">
        <f t="shared" si="397"/>
        <v/>
      </c>
      <c r="FD229" s="204">
        <f>IF($J229="",#N/A,SUM(FC$4:FC229))</f>
        <v>1.8692126759492278</v>
      </c>
      <c r="FE229" s="205" t="str">
        <f t="shared" si="398"/>
        <v/>
      </c>
      <c r="FF229" s="205">
        <f>IF($J229="",#N/A,SUM(FE$4:FE229))</f>
        <v>-0.28811149078748233</v>
      </c>
      <c r="FG229" s="205">
        <f>IF($J229="",#N/A,SUM(FE$4:FE229,FC$4:FC229,FA$4:FA229))</f>
        <v>1.5811011851617456</v>
      </c>
      <c r="FH229" s="200" t="str">
        <f t="shared" si="399"/>
        <v/>
      </c>
      <c r="FI229" s="203">
        <f>IF($J229="",#N/A,SUM(FH$4:FH229))</f>
        <v>0</v>
      </c>
      <c r="FJ229" s="204" t="str">
        <f t="shared" si="400"/>
        <v/>
      </c>
      <c r="FK229" s="204">
        <f>IF($J229="",#N/A,SUM(FJ$4:FJ229))</f>
        <v>0</v>
      </c>
      <c r="FL229" s="205" t="str">
        <f t="shared" si="401"/>
        <v/>
      </c>
      <c r="FM229" s="205">
        <f>IF($J229="",#N/A,SUM(FL$4:FL229))</f>
        <v>0</v>
      </c>
      <c r="FN229" s="205">
        <f>IF($J229="",#N/A,SUM(FL$4:FL229,FJ$4:FJ229,FH$4:FH229))</f>
        <v>0</v>
      </c>
      <c r="FO229" s="200" t="str">
        <f t="shared" si="402"/>
        <v/>
      </c>
      <c r="FP229" s="203">
        <f>IF($J229="",#N/A,SUM(FO$4:FO229))</f>
        <v>0</v>
      </c>
      <c r="FQ229" s="204" t="str">
        <f t="shared" si="403"/>
        <v/>
      </c>
      <c r="FR229" s="204">
        <f>IF($J229="",#N/A,SUM(FQ$4:FQ229))</f>
        <v>0</v>
      </c>
      <c r="FS229" s="205" t="str">
        <f t="shared" si="404"/>
        <v/>
      </c>
      <c r="FT229" s="205">
        <f>IF($J229="",#N/A,SUM(FS$4:FS229))</f>
        <v>0</v>
      </c>
      <c r="FU229" s="205">
        <f>IF($J229="",#N/A,SUM(FS$4:FS229,FQ$4:FQ229,FO$4:FO229))</f>
        <v>0</v>
      </c>
      <c r="FV229" s="200" t="str">
        <f t="shared" si="405"/>
        <v/>
      </c>
      <c r="FW229" s="203">
        <f>IF($J229="",#N/A,SUM(FV$4:FV229))</f>
        <v>6.6834991831277585E-2</v>
      </c>
      <c r="FX229" s="204" t="str">
        <f t="shared" si="406"/>
        <v/>
      </c>
      <c r="FY229" s="204">
        <f>IF($J229="",#N/A,SUM(FX$4:FX229))</f>
        <v>-0.16102012791805576</v>
      </c>
      <c r="FZ229" s="205" t="str">
        <f t="shared" si="407"/>
        <v/>
      </c>
      <c r="GA229" s="205">
        <f>IF($J229="",#N/A,SUM(FZ$4:FZ229))</f>
        <v>-1.7642101813332194</v>
      </c>
      <c r="GB229" s="205">
        <f>IF($J229="",#N/A,SUM(FZ$4:FZ229,FX$4:FX229,FV$4:FV229))</f>
        <v>-1.8583953174199976</v>
      </c>
      <c r="GC229" s="200" t="str">
        <f t="shared" si="408"/>
        <v/>
      </c>
      <c r="GD229" s="203">
        <f>IF($J229="",#N/A,SUM(GC$4:GC229))</f>
        <v>0</v>
      </c>
      <c r="GE229" s="204" t="str">
        <f t="shared" si="409"/>
        <v/>
      </c>
      <c r="GF229" s="204">
        <f>IF($J229="",#N/A,SUM(GE$4:GE229))</f>
        <v>0</v>
      </c>
      <c r="GG229" s="205" t="str">
        <f t="shared" si="410"/>
        <v/>
      </c>
      <c r="GH229" s="205">
        <f>IF($J229="",#N/A,SUM(GG$4:GG229))</f>
        <v>-2.9368362277223206</v>
      </c>
      <c r="GI229" s="205">
        <f>IF($J229="",#N/A,SUM(GG$4:GG229,GE$4:GE229,GC$4:GC229))</f>
        <v>-2.9368362277223206</v>
      </c>
      <c r="GJ229" s="200" t="str">
        <f t="shared" si="411"/>
        <v/>
      </c>
      <c r="GK229" s="203">
        <f>IF($J229="",#N/A,SUM(GJ$4:GJ229))</f>
        <v>0</v>
      </c>
      <c r="GL229" s="204" t="str">
        <f t="shared" si="412"/>
        <v/>
      </c>
      <c r="GM229" s="204">
        <f>IF($J229="",#N/A,SUM(GL$4:GL229))</f>
        <v>-1.6833790887309608</v>
      </c>
      <c r="GN229" s="205" t="str">
        <f t="shared" si="413"/>
        <v/>
      </c>
      <c r="GO229" s="205">
        <f>IF($J229="",#N/A,SUM(GN$4:GN229))</f>
        <v>0</v>
      </c>
      <c r="GP229" s="205">
        <f>IF($J229="",#N/A,SUM(GN$4:GN229,GL$4:GL229,GJ$4:GJ229))</f>
        <v>-1.6833790887309608</v>
      </c>
      <c r="GS229" s="54" t="str">
        <f t="shared" si="432"/>
        <v/>
      </c>
      <c r="GT229" s="54" t="e">
        <f>IF(GS229="",NA(),SUM($GS$4:GS229))</f>
        <v>#N/A</v>
      </c>
      <c r="GU229" s="54" t="str">
        <f t="shared" si="414"/>
        <v/>
      </c>
      <c r="GV229" s="54" t="e">
        <f>IF(GU229="",NA(),SUM($GU$4:GU229))</f>
        <v>#N/A</v>
      </c>
      <c r="GW229" s="54" t="str">
        <f t="shared" si="415"/>
        <v/>
      </c>
      <c r="GX229" s="54" t="e">
        <f>IF(GW229="",NA(),SUM($GW$4:GW229))</f>
        <v>#N/A</v>
      </c>
      <c r="GY229" s="54" t="str">
        <f t="shared" si="416"/>
        <v/>
      </c>
      <c r="GZ229" s="54" t="e">
        <f>IF(GY229="",NA(),SUM($GY$4:GY229))</f>
        <v>#N/A</v>
      </c>
      <c r="HA229" s="54">
        <f t="shared" si="417"/>
        <v>-0.40737225122607107</v>
      </c>
      <c r="HB229" s="54">
        <f>IF(HA229="",NA(),SUM($HA$4:HA229))</f>
        <v>5.3418382791183383</v>
      </c>
      <c r="HC229" s="54" t="str">
        <f t="shared" si="418"/>
        <v/>
      </c>
      <c r="HD229" s="54" t="e">
        <f>IF(HC229="",NA(),SUM($HC$4:HC229))</f>
        <v>#N/A</v>
      </c>
      <c r="HE229" s="54" t="str">
        <f t="shared" si="419"/>
        <v/>
      </c>
      <c r="HF229" s="54" t="e">
        <f>IF(HE229="",NA(),SUM($HE$4:HE229))</f>
        <v>#N/A</v>
      </c>
      <c r="HG229" s="54">
        <f t="shared" si="420"/>
        <v>-0.40737225122607107</v>
      </c>
      <c r="HH229" s="54">
        <f>IF(HG229="",NA(),SUM($HG$4:HG229))</f>
        <v>4.977945784169779</v>
      </c>
      <c r="HI229" s="172" t="str">
        <f t="shared" si="433"/>
        <v/>
      </c>
      <c r="HJ229" s="172">
        <f>IF($J229="",#N/A,SUM(HI$4:$HI229))</f>
        <v>-6.2757072841462156</v>
      </c>
      <c r="HK229" s="54">
        <f t="shared" si="421"/>
        <v>-2.5048779201603699E-2</v>
      </c>
      <c r="HL229" s="54">
        <f>IF($J229="",#N/A,SUM($HK$4:HK229))</f>
        <v>-1.4008180841025943</v>
      </c>
      <c r="HM229" s="54" t="str">
        <f t="shared" si="422"/>
        <v/>
      </c>
      <c r="HN229" s="54">
        <f>IF($J229="",#N/A,SUM($HM$4:HM229))</f>
        <v>0.90694539517251249</v>
      </c>
      <c r="HO229" s="54" t="str">
        <f t="shared" si="423"/>
        <v/>
      </c>
      <c r="HP229" s="54">
        <f>IF($J229="",#N/A,SUM($HO$4:HO229))</f>
        <v>-0.10266465451722628</v>
      </c>
      <c r="HQ229" s="54" t="str">
        <f t="shared" si="424"/>
        <v/>
      </c>
      <c r="HR229" s="54">
        <f>IF($J229="",#N/A,SUM($HQ$4:HQ229))</f>
        <v>-14.165420258732395</v>
      </c>
      <c r="HS229" s="54" t="str">
        <f t="shared" si="425"/>
        <v/>
      </c>
      <c r="HT229" s="54">
        <f>IF($J229="",#N/A,SUM($HS$4:HS229))</f>
        <v>12.355916080255803</v>
      </c>
      <c r="HU229" s="65">
        <f t="shared" si="426"/>
        <v>-0.43242103042767477</v>
      </c>
      <c r="HV229" s="65">
        <f>IF($J229="",#N/A,SUM(HU$4:$HU229))</f>
        <v>3.8025680624733664</v>
      </c>
    </row>
    <row r="230" spans="1:230" x14ac:dyDescent="0.25">
      <c r="A230" s="51" t="s">
        <v>1607</v>
      </c>
      <c r="B230" s="52" t="s">
        <v>4563</v>
      </c>
      <c r="C230" s="229">
        <f t="shared" si="327"/>
        <v>3</v>
      </c>
      <c r="D230" s="219" t="str">
        <f>_xlfn.XLOOKUP(A230,[1]SP500!$A$2:$A$502,[1]SP500!$D$2:$D$502,"N")</f>
        <v>N</v>
      </c>
      <c r="E230" s="51" t="str">
        <f>IFERROR(_xlfn.XLOOKUP(A230,[1]SP500!$A$2:$A$655,[1]SP500!$B$2:$B$655),"")</f>
        <v>IGV</v>
      </c>
      <c r="F230" s="290">
        <v>45778</v>
      </c>
      <c r="G230" s="51" t="str">
        <f t="shared" si="328"/>
        <v>AMC</v>
      </c>
      <c r="H230" s="51" t="str">
        <f t="shared" si="329"/>
        <v>s</v>
      </c>
      <c r="I230" s="344">
        <v>229.07</v>
      </c>
      <c r="J230" s="124">
        <v>204.73</v>
      </c>
      <c r="K230" s="55">
        <f t="shared" si="330"/>
        <v>-0.10625572968961455</v>
      </c>
      <c r="L230" s="67">
        <f t="shared" si="331"/>
        <v>-121.69999999999993</v>
      </c>
      <c r="M230" s="57">
        <f t="shared" si="332"/>
        <v>-5.1499999999999773</v>
      </c>
      <c r="N230" s="102">
        <f t="shared" si="333"/>
        <v>-121.69999999999993</v>
      </c>
      <c r="O230" s="57">
        <f>IF(N230="",#N/A,SUM($N$4:N230))</f>
        <v>477.81865200916889</v>
      </c>
      <c r="P230" s="65">
        <f t="shared" si="427"/>
        <v>-1.7709288281602413</v>
      </c>
      <c r="Q230" s="172">
        <f>IF($N230="",#N/A,SUM($P$4:P230))</f>
        <v>10.71338804038324</v>
      </c>
      <c r="R230" s="279">
        <f t="shared" si="334"/>
        <v>3.5479592649704408</v>
      </c>
      <c r="S230" s="51" t="str">
        <f t="shared" si="335"/>
        <v>SW</v>
      </c>
      <c r="T230" s="51" t="s">
        <v>2828</v>
      </c>
      <c r="U230" s="56">
        <f t="shared" si="336"/>
        <v>229.07</v>
      </c>
      <c r="V230" s="56" t="s">
        <v>4460</v>
      </c>
      <c r="W230" s="142">
        <v>5</v>
      </c>
      <c r="X230" s="145">
        <f t="shared" si="337"/>
        <v>1145.3499999999999</v>
      </c>
      <c r="Y230" s="140">
        <f t="shared" si="338"/>
        <v>5</v>
      </c>
      <c r="Z230" s="123">
        <v>203.7</v>
      </c>
      <c r="AA230" s="102">
        <f t="shared" si="339"/>
        <v>-126.84999999999991</v>
      </c>
      <c r="AB230" s="102">
        <f t="shared" si="340"/>
        <v>-102.95000000000005</v>
      </c>
      <c r="AC230" s="124">
        <v>208.48</v>
      </c>
      <c r="AD230" s="155">
        <f t="shared" si="341"/>
        <v>-102.95000000000005</v>
      </c>
      <c r="AE230" s="545">
        <f t="shared" si="342"/>
        <v>-1.4980864655636568</v>
      </c>
      <c r="AF230" s="57">
        <f>IF($AC230="",#N/A,SUM(AD$4:AD230))</f>
        <v>81.26978088917167</v>
      </c>
      <c r="AG230" s="102">
        <f t="shared" si="343"/>
        <v>18.749999999999886</v>
      </c>
      <c r="AH230" s="56" t="s">
        <v>2507</v>
      </c>
      <c r="AI230" s="65">
        <f t="shared" si="344"/>
        <v>-1.8458695304201034</v>
      </c>
      <c r="AJ230" s="54">
        <f>IF(AI230="",#N/A,SUM($AI$4:AI230))</f>
        <v>7.1654287754127992</v>
      </c>
      <c r="AK230" s="57">
        <f t="shared" si="345"/>
        <v>-126.84999999999991</v>
      </c>
      <c r="AL230" s="349">
        <f>IF(AI230="",#N/A,IF(AH230="Skip",SUM($AK$4:AK230),SUM($AK$4:AK230)))</f>
        <v>237.3675914928142</v>
      </c>
      <c r="AM230" s="65">
        <f t="shared" si="428"/>
        <v>-1.4980864655636568</v>
      </c>
      <c r="AN230" s="211"/>
      <c r="AO230" s="65">
        <f t="shared" si="346"/>
        <v>-1.4980864655636568</v>
      </c>
      <c r="AP230" s="65">
        <f>IF($AC230="",#N/A,SUM(AO$4:AO230))</f>
        <v>4.8266140873623922</v>
      </c>
      <c r="AQ230" s="65" t="str">
        <f t="shared" si="347"/>
        <v/>
      </c>
      <c r="AR230" s="65">
        <f>IF($AC230="",#N/A,SUM(AQ$4:AQ230))</f>
        <v>-2.2840800066827698</v>
      </c>
      <c r="AS230" s="65" t="str">
        <f t="shared" si="348"/>
        <v/>
      </c>
      <c r="AT230" s="65">
        <f>IF($AC230="",#N/A,SUM(AS$4:AS230))</f>
        <v>-0.23805248376991539</v>
      </c>
      <c r="AU230" s="57">
        <f t="shared" si="429"/>
        <v>-102.95000000000005</v>
      </c>
      <c r="AV230" s="57">
        <f>IF($AC230="",#N/A,SUM(AU$4:AU230))</f>
        <v>199.28139934283888</v>
      </c>
      <c r="AW230" s="57" t="str">
        <f t="shared" si="430"/>
        <v/>
      </c>
      <c r="AX230" s="57">
        <f>IF($AC230="",#N/A,SUM(AW$4:AW230))</f>
        <v>-142.90000000000009</v>
      </c>
      <c r="AY230" s="57" t="str">
        <f t="shared" si="431"/>
        <v/>
      </c>
      <c r="AZ230" s="57">
        <f>IF($AC230="",#N/A,SUM(AY$4:AY230))</f>
        <v>24.88838154633288</v>
      </c>
      <c r="BA230" s="57">
        <f>IF(AD230="",#N/A,SUM($AD$4:AD230))</f>
        <v>81.26978088917167</v>
      </c>
      <c r="BC230" s="51" t="str">
        <f t="shared" si="349"/>
        <v/>
      </c>
      <c r="BD230" s="51" t="str">
        <f t="shared" si="350"/>
        <v/>
      </c>
      <c r="BE230" s="51" t="str">
        <f t="shared" si="351"/>
        <v/>
      </c>
      <c r="BF230" s="51" t="str">
        <f t="shared" si="352"/>
        <v>Long</v>
      </c>
      <c r="BG230" s="51" t="str">
        <f t="shared" si="353"/>
        <v/>
      </c>
      <c r="BH230" s="51" t="str">
        <f t="shared" si="354"/>
        <v/>
      </c>
      <c r="BI230" s="51">
        <f t="shared" si="355"/>
        <v>1</v>
      </c>
      <c r="BK230" s="65">
        <f t="shared" si="326"/>
        <v>6.5437287087269091E-2</v>
      </c>
      <c r="BL230" s="65">
        <f t="shared" si="434"/>
        <v>1.3720439446964008E-2</v>
      </c>
      <c r="BM230" s="65">
        <f>IFERROR(Q230/COUNTA($J$4:J230),#N/A)</f>
        <v>4.7195542028119999E-2</v>
      </c>
      <c r="BO230" s="489">
        <f>IF(J230="",#N/A,IF(S230="SW",(COUNTIFS(K$4:$K230,"&gt;0",S$4:$S230,"SW")/COUNTIF(S$4:$S230,"SW")),#N/A))</f>
        <v>0.51260504201680668</v>
      </c>
      <c r="BP230" s="489" t="e">
        <f>IF($J230="",#N/A,IF($S230="DWN",(COUNTIFS($K$4:$K230,"&lt;0",$S$4:$S230,"DWN")/COUNTIF($S$4:$S230,"DWN")),#N/A))</f>
        <v>#N/A</v>
      </c>
      <c r="BQ230" s="489" t="e">
        <f>IF($J230="",#N/A,IF($S230="UP",(COUNTIFS($K$4:$K230,"&gt;0",$S$4:$S230,"UP")/COUNTIF($S$4:$S230,"UP")),#N/A))</f>
        <v>#N/A</v>
      </c>
      <c r="BR230" s="489">
        <f>IF(J230="",#N/A,COUNTIF($K$4:K230,"&gt;0")/COUNT($J$4:J230))</f>
        <v>0.46696035242290751</v>
      </c>
      <c r="BS230" s="65" t="str">
        <f t="shared" si="356"/>
        <v/>
      </c>
      <c r="BT230" s="65">
        <f t="shared" si="357"/>
        <v>-1.7709288281602413</v>
      </c>
      <c r="BU230" s="65" t="str">
        <f t="shared" si="358"/>
        <v/>
      </c>
      <c r="BV230" s="65" t="str">
        <f t="shared" si="359"/>
        <v/>
      </c>
      <c r="BW230" s="128" t="str">
        <f t="shared" si="360"/>
        <v/>
      </c>
      <c r="BX230" s="128">
        <f>IF($J230="",#N/A,SUM($BW$4:BW230))</f>
        <v>-199.33000000000038</v>
      </c>
      <c r="BY230" s="131" t="str">
        <f t="shared" si="361"/>
        <v/>
      </c>
      <c r="BZ230" s="131">
        <f>IF($J230="",#N/A,SUM($BY$4:BY230))</f>
        <v>417.59934038933443</v>
      </c>
      <c r="CA230" s="133">
        <f t="shared" si="362"/>
        <v>-121.69999999999993</v>
      </c>
      <c r="CB230" s="133">
        <f>IF($J230="",#N/A,SUM($CA$4:CA230))</f>
        <v>259.54931161983484</v>
      </c>
      <c r="CC230" s="194" t="str">
        <f t="shared" si="363"/>
        <v/>
      </c>
      <c r="CD230" s="194">
        <f>IF($J230="",#N/A,SUM($CC$4:CC230))</f>
        <v>-3.0883607473380557</v>
      </c>
      <c r="CE230" s="195" t="str">
        <f t="shared" si="364"/>
        <v/>
      </c>
      <c r="CF230" s="195">
        <f>IF($J230="",#N/A,SUM($CE$4:CE230))</f>
        <v>7.4384728844788999</v>
      </c>
      <c r="CG230" s="196">
        <f t="shared" si="365"/>
        <v>-1.7709288281602413</v>
      </c>
      <c r="CH230" s="193">
        <f>IF($J230="",#N/A,SUM($CG$4:CG230))</f>
        <v>6.3632759032424007</v>
      </c>
      <c r="CI230" s="200" t="str">
        <f t="shared" si="366"/>
        <v/>
      </c>
      <c r="CJ230" s="203">
        <f>IF($J230="",#N/A,SUM(CI$4:CI230))</f>
        <v>0</v>
      </c>
      <c r="CK230" s="204" t="str">
        <f t="shared" si="367"/>
        <v/>
      </c>
      <c r="CL230" s="204">
        <f>IF($J230="",#N/A,SUM(CK$4:CK230))</f>
        <v>1.9927003554442289</v>
      </c>
      <c r="CM230" s="205" t="str">
        <f t="shared" si="368"/>
        <v/>
      </c>
      <c r="CN230" s="205">
        <f>IF($J230="",#N/A,SUM(CM$4:CM230))</f>
        <v>5.6091171609382364</v>
      </c>
      <c r="CO230" s="205">
        <f>IF($J230="",#N/A,SUM(CM$4:CM230,CK$4:CK230,CI$4:CI230))</f>
        <v>7.6018175163824644</v>
      </c>
      <c r="CP230" s="200" t="str">
        <f t="shared" si="369"/>
        <v/>
      </c>
      <c r="CQ230" s="203">
        <f>IF($J230="",#N/A,SUM(CP$4:CP230))</f>
        <v>0</v>
      </c>
      <c r="CR230" s="204" t="str">
        <f t="shared" si="370"/>
        <v/>
      </c>
      <c r="CS230" s="204">
        <f>IF($J230="",#N/A,SUM(CR$4:CR230))</f>
        <v>3.8915503172194676</v>
      </c>
      <c r="CT230" s="205">
        <f t="shared" si="371"/>
        <v>-1.7709288281602413</v>
      </c>
      <c r="CU230" s="205">
        <f>IF($J230="",#N/A,SUM(CT$4:CT230))</f>
        <v>-2.9040943753548785</v>
      </c>
      <c r="CV230" s="205">
        <f>IF($J230="",#N/A,SUM(CT$4:CT230,CR$4:CR230,CP$4:CP230))</f>
        <v>0.98745594186458874</v>
      </c>
      <c r="CW230" s="200" t="str">
        <f t="shared" si="372"/>
        <v/>
      </c>
      <c r="CX230" s="203">
        <f>IF($J230="",#N/A,SUM(CW$4:CW230))</f>
        <v>-0.33865165024245297</v>
      </c>
      <c r="CY230" s="204" t="str">
        <f t="shared" si="373"/>
        <v/>
      </c>
      <c r="CZ230" s="204">
        <f>IF($J230="",#N/A,SUM(CY$4:CY230))</f>
        <v>-0.55412230890025005</v>
      </c>
      <c r="DA230" s="205" t="str">
        <f t="shared" si="374"/>
        <v/>
      </c>
      <c r="DB230" s="205">
        <f>IF($J230="",#N/A,SUM(DA$4:DA230))</f>
        <v>-2.2679577914291</v>
      </c>
      <c r="DC230" s="205">
        <f>IF($J230="",#N/A,SUM(DA$4:DA230,CY$4:CY230,CW$4:CW230))</f>
        <v>-3.1607317505718027</v>
      </c>
      <c r="DD230" s="200" t="str">
        <f t="shared" si="375"/>
        <v/>
      </c>
      <c r="DE230" s="203">
        <f>IF($J230="",#N/A,SUM(DD$4:DD230))</f>
        <v>0.14968716170674062</v>
      </c>
      <c r="DF230" s="204" t="str">
        <f t="shared" si="376"/>
        <v/>
      </c>
      <c r="DG230" s="204">
        <f>IF($J230="",#N/A,SUM(DF$4:DF230))</f>
        <v>1.5249935139936004</v>
      </c>
      <c r="DH230" s="205" t="str">
        <f t="shared" si="377"/>
        <v/>
      </c>
      <c r="DI230" s="205">
        <f>IF($J230="",#N/A,SUM(DH$4:DH230))</f>
        <v>-1.9066052078694633</v>
      </c>
      <c r="DJ230" s="205">
        <f>IF($J230="",#N/A,SUM(DH$4:DH230,DF$4:DF230,DD$4:DD230))</f>
        <v>-0.23192453216912207</v>
      </c>
      <c r="DK230" s="200" t="str">
        <f t="shared" si="378"/>
        <v/>
      </c>
      <c r="DL230" s="203">
        <f>IF($J230="",#N/A,SUM(DK$4:DK230))</f>
        <v>-1.2097286851272664</v>
      </c>
      <c r="DM230" s="204" t="str">
        <f t="shared" si="379"/>
        <v/>
      </c>
      <c r="DN230" s="204">
        <f>IF($J230="",#N/A,SUM(DM$4:DM230))</f>
        <v>1.1910608267574658</v>
      </c>
      <c r="DO230" s="205" t="str">
        <f t="shared" si="380"/>
        <v/>
      </c>
      <c r="DP230" s="205">
        <f>IF($J230="",#N/A,SUM(DO$4:DO230))</f>
        <v>2.6571865116636566</v>
      </c>
      <c r="DQ230" s="205">
        <f>IF($J230="",#N/A,SUM(DO$4:DO230,DM$4:DM230,DK$4:DK230))</f>
        <v>2.6385186532938567</v>
      </c>
      <c r="DR230" s="200" t="str">
        <f t="shared" si="381"/>
        <v/>
      </c>
      <c r="DS230" s="203">
        <f>IF($J230="",#N/A,SUM(DR$4:DR230))</f>
        <v>-0.55950946427675097</v>
      </c>
      <c r="DT230" s="204" t="str">
        <f t="shared" si="382"/>
        <v/>
      </c>
      <c r="DU230" s="204">
        <f>IF($J230="",#N/A,SUM(DT$4:DT230))</f>
        <v>-3.6911249040845173</v>
      </c>
      <c r="DV230" s="205" t="str">
        <f t="shared" si="383"/>
        <v/>
      </c>
      <c r="DW230" s="205">
        <f>IF($J230="",#N/A,SUM(DV$4:DV230))</f>
        <v>-1.2815650893103838</v>
      </c>
      <c r="DX230" s="205">
        <f>IF($J230="",#N/A,SUM(DV$4:DV230,DT$4:DT230,DR$4:DR230))</f>
        <v>-5.532199457671652</v>
      </c>
      <c r="DY230" s="200" t="str">
        <f t="shared" si="384"/>
        <v/>
      </c>
      <c r="DZ230" s="203">
        <f>IF($J230="",#N/A,SUM(DY$4:DY230))</f>
        <v>-1.0460034109943892</v>
      </c>
      <c r="EA230" s="204" t="str">
        <f t="shared" si="385"/>
        <v/>
      </c>
      <c r="EB230" s="204">
        <f>IF($J230="",#N/A,SUM(EA$4:EA230))</f>
        <v>0.65158371441459195</v>
      </c>
      <c r="EC230" s="205" t="str">
        <f t="shared" si="386"/>
        <v/>
      </c>
      <c r="ED230" s="205">
        <f>IF($J230="",#N/A,SUM(EC$4:EC230))</f>
        <v>5.1322420709634535</v>
      </c>
      <c r="EE230" s="205">
        <f>IF($J230="",#N/A,SUM(EC$4:EC230,EA$4:EA230,DY$4:DY230))</f>
        <v>4.7378223743836561</v>
      </c>
      <c r="EF230" s="200" t="str">
        <f t="shared" si="387"/>
        <v/>
      </c>
      <c r="EG230" s="203">
        <f>IF($J230="",#N/A,SUM(EF$4:EF230))</f>
        <v>-0.15098969023521425</v>
      </c>
      <c r="EH230" s="204" t="str">
        <f t="shared" si="388"/>
        <v/>
      </c>
      <c r="EI230" s="204">
        <f>IF($J230="",#N/A,SUM(EH$4:EH230))</f>
        <v>-3.1507771605639614</v>
      </c>
      <c r="EJ230" s="205" t="str">
        <f t="shared" si="389"/>
        <v/>
      </c>
      <c r="EK230" s="205">
        <f>IF($J230="",#N/A,SUM(EJ$4:EJ230))</f>
        <v>4.6014417494274094</v>
      </c>
      <c r="EL230" s="205">
        <f>IF($J230="",#N/A,SUM(EJ$4:EJ230,EH$4:EH230,EF$4:EF230))</f>
        <v>1.2996748986282345</v>
      </c>
      <c r="EM230" s="200" t="str">
        <f t="shared" si="390"/>
        <v/>
      </c>
      <c r="EN230" s="203">
        <f>IF($J230="",#N/A,SUM(EM$4:EM230))</f>
        <v>0</v>
      </c>
      <c r="EO230" s="204" t="str">
        <f t="shared" si="391"/>
        <v/>
      </c>
      <c r="EP230" s="204">
        <f>IF($J230="",#N/A,SUM(EO$4:EO230))</f>
        <v>3.2406646352184261</v>
      </c>
      <c r="EQ230" s="205" t="str">
        <f t="shared" si="392"/>
        <v/>
      </c>
      <c r="ER230" s="205">
        <f>IF($J230="",#N/A,SUM(EQ$4:EQ230))</f>
        <v>1.441536272249796</v>
      </c>
      <c r="ES230" s="205">
        <f>IF($J230="",#N/A,SUM(EQ$4:EQ230,EO$4:EO230,EM$4:EM230))</f>
        <v>4.6822009074682214</v>
      </c>
      <c r="ET230" s="200" t="str">
        <f t="shared" si="393"/>
        <v/>
      </c>
      <c r="EU230" s="203">
        <f>IF($J230="",#N/A,SUM(ET$4:ET230))</f>
        <v>0</v>
      </c>
      <c r="EV230" s="204" t="str">
        <f t="shared" si="394"/>
        <v/>
      </c>
      <c r="EW230" s="204">
        <f>IF($J230="",#N/A,SUM(EV$4:EV230))</f>
        <v>1.9901851109977766</v>
      </c>
      <c r="EX230" s="205" t="str">
        <f t="shared" si="395"/>
        <v/>
      </c>
      <c r="EY230" s="205">
        <f>IF($J230="",#N/A,SUM(EX$4:EX230))</f>
        <v>0.27113250180669229</v>
      </c>
      <c r="EZ230" s="205">
        <f>IF($J230="",#N/A,SUM(EX$4:EX230,EV$4:EV230,ET$4:ET230))</f>
        <v>2.2613176128044685</v>
      </c>
      <c r="FA230" s="200" t="str">
        <f t="shared" si="396"/>
        <v/>
      </c>
      <c r="FB230" s="203">
        <f>IF($J230="",#N/A,SUM(FA$4:FA230))</f>
        <v>0</v>
      </c>
      <c r="FC230" s="204" t="str">
        <f t="shared" si="397"/>
        <v/>
      </c>
      <c r="FD230" s="204">
        <f>IF($J230="",#N/A,SUM(FC$4:FC230))</f>
        <v>1.8692126759492278</v>
      </c>
      <c r="FE230" s="205" t="str">
        <f t="shared" si="398"/>
        <v/>
      </c>
      <c r="FF230" s="205">
        <f>IF($J230="",#N/A,SUM(FE$4:FE230))</f>
        <v>-0.28811149078748233</v>
      </c>
      <c r="FG230" s="205">
        <f>IF($J230="",#N/A,SUM(FE$4:FE230,FC$4:FC230,FA$4:FA230))</f>
        <v>1.5811011851617456</v>
      </c>
      <c r="FH230" s="200" t="str">
        <f t="shared" si="399"/>
        <v/>
      </c>
      <c r="FI230" s="203">
        <f>IF($J230="",#N/A,SUM(FH$4:FH230))</f>
        <v>0</v>
      </c>
      <c r="FJ230" s="204" t="str">
        <f t="shared" si="400"/>
        <v/>
      </c>
      <c r="FK230" s="204">
        <f>IF($J230="",#N/A,SUM(FJ$4:FJ230))</f>
        <v>0</v>
      </c>
      <c r="FL230" s="205" t="str">
        <f t="shared" si="401"/>
        <v/>
      </c>
      <c r="FM230" s="205">
        <f>IF($J230="",#N/A,SUM(FL$4:FL230))</f>
        <v>0</v>
      </c>
      <c r="FN230" s="205">
        <f>IF($J230="",#N/A,SUM(FL$4:FL230,FJ$4:FJ230,FH$4:FH230))</f>
        <v>0</v>
      </c>
      <c r="FO230" s="200" t="str">
        <f t="shared" si="402"/>
        <v/>
      </c>
      <c r="FP230" s="203">
        <f>IF($J230="",#N/A,SUM(FO$4:FO230))</f>
        <v>0</v>
      </c>
      <c r="FQ230" s="204" t="str">
        <f t="shared" si="403"/>
        <v/>
      </c>
      <c r="FR230" s="204">
        <f>IF($J230="",#N/A,SUM(FQ$4:FQ230))</f>
        <v>0</v>
      </c>
      <c r="FS230" s="205" t="str">
        <f t="shared" si="404"/>
        <v/>
      </c>
      <c r="FT230" s="205">
        <f>IF($J230="",#N/A,SUM(FS$4:FS230))</f>
        <v>0</v>
      </c>
      <c r="FU230" s="205">
        <f>IF($J230="",#N/A,SUM(FS$4:FS230,FQ$4:FQ230,FO$4:FO230))</f>
        <v>0</v>
      </c>
      <c r="FV230" s="200" t="str">
        <f t="shared" si="405"/>
        <v/>
      </c>
      <c r="FW230" s="203">
        <f>IF($J230="",#N/A,SUM(FV$4:FV230))</f>
        <v>6.6834991831277585E-2</v>
      </c>
      <c r="FX230" s="204" t="str">
        <f t="shared" si="406"/>
        <v/>
      </c>
      <c r="FY230" s="204">
        <f>IF($J230="",#N/A,SUM(FX$4:FX230))</f>
        <v>-0.16102012791805576</v>
      </c>
      <c r="FZ230" s="205" t="str">
        <f t="shared" si="407"/>
        <v/>
      </c>
      <c r="GA230" s="205">
        <f>IF($J230="",#N/A,SUM(FZ$4:FZ230))</f>
        <v>-1.7642101813332194</v>
      </c>
      <c r="GB230" s="205">
        <f>IF($J230="",#N/A,SUM(FZ$4:FZ230,FX$4:FX230,FV$4:FV230))</f>
        <v>-1.8583953174199976</v>
      </c>
      <c r="GC230" s="200" t="str">
        <f t="shared" si="408"/>
        <v/>
      </c>
      <c r="GD230" s="203">
        <f>IF($J230="",#N/A,SUM(GC$4:GC230))</f>
        <v>0</v>
      </c>
      <c r="GE230" s="204" t="str">
        <f t="shared" si="409"/>
        <v/>
      </c>
      <c r="GF230" s="204">
        <f>IF($J230="",#N/A,SUM(GE$4:GE230))</f>
        <v>0</v>
      </c>
      <c r="GG230" s="205" t="str">
        <f t="shared" si="410"/>
        <v/>
      </c>
      <c r="GH230" s="205">
        <f>IF($J230="",#N/A,SUM(GG$4:GG230))</f>
        <v>-2.9368362277223206</v>
      </c>
      <c r="GI230" s="205">
        <f>IF($J230="",#N/A,SUM(GG$4:GG230,GE$4:GE230,GC$4:GC230))</f>
        <v>-2.9368362277223206</v>
      </c>
      <c r="GJ230" s="200" t="str">
        <f t="shared" si="411"/>
        <v/>
      </c>
      <c r="GK230" s="203">
        <f>IF($J230="",#N/A,SUM(GJ$4:GJ230))</f>
        <v>0</v>
      </c>
      <c r="GL230" s="204" t="str">
        <f t="shared" si="412"/>
        <v/>
      </c>
      <c r="GM230" s="204">
        <f>IF($J230="",#N/A,SUM(GL$4:GL230))</f>
        <v>-1.6833790887309608</v>
      </c>
      <c r="GN230" s="205" t="str">
        <f t="shared" si="413"/>
        <v/>
      </c>
      <c r="GO230" s="205">
        <f>IF($J230="",#N/A,SUM(GN$4:GN230))</f>
        <v>0</v>
      </c>
      <c r="GP230" s="205">
        <f>IF($J230="",#N/A,SUM(GN$4:GN230,GL$4:GL230,GJ$4:GJ230))</f>
        <v>-1.6833790887309608</v>
      </c>
      <c r="GS230" s="54" t="str">
        <f t="shared" si="432"/>
        <v/>
      </c>
      <c r="GT230" s="54" t="e">
        <f>IF(GS230="",NA(),SUM($GS$4:GS230))</f>
        <v>#N/A</v>
      </c>
      <c r="GU230" s="54" t="str">
        <f t="shared" si="414"/>
        <v/>
      </c>
      <c r="GV230" s="54" t="e">
        <f>IF(GU230="",NA(),SUM($GU$4:GU230))</f>
        <v>#N/A</v>
      </c>
      <c r="GW230" s="54" t="str">
        <f t="shared" si="415"/>
        <v/>
      </c>
      <c r="GX230" s="54" t="e">
        <f>IF(GW230="",NA(),SUM($GW$4:GW230))</f>
        <v>#N/A</v>
      </c>
      <c r="GY230" s="54" t="str">
        <f t="shared" si="416"/>
        <v/>
      </c>
      <c r="GZ230" s="54" t="e">
        <f>IF(GY230="",NA(),SUM($GY$4:GY230))</f>
        <v>#N/A</v>
      </c>
      <c r="HA230" s="54">
        <f t="shared" si="417"/>
        <v>-1.7709288281602413</v>
      </c>
      <c r="HB230" s="54">
        <f>IF(HA230="",NA(),SUM($HA$4:HA230))</f>
        <v>3.570909450958097</v>
      </c>
      <c r="HC230" s="54" t="str">
        <f t="shared" si="418"/>
        <v/>
      </c>
      <c r="HD230" s="54" t="e">
        <f>IF(HC230="",NA(),SUM($HC$4:HC230))</f>
        <v>#N/A</v>
      </c>
      <c r="HE230" s="54">
        <f t="shared" si="419"/>
        <v>-1.7709288281602413</v>
      </c>
      <c r="HF230" s="54">
        <f>IF(HE230="",NA(),SUM($HE$4:HE230))</f>
        <v>-1.4070363332116811</v>
      </c>
      <c r="HG230" s="54" t="str">
        <f t="shared" si="420"/>
        <v/>
      </c>
      <c r="HH230" s="54" t="e">
        <f>IF(HG230="",NA(),SUM($HG$4:HG230))</f>
        <v>#N/A</v>
      </c>
      <c r="HI230" s="172" t="str">
        <f t="shared" si="433"/>
        <v/>
      </c>
      <c r="HJ230" s="172">
        <f>IF($J230="",#N/A,SUM(HI$4:$HI230))</f>
        <v>-6.2757072841462156</v>
      </c>
      <c r="HK230" s="54" t="str">
        <f t="shared" si="421"/>
        <v/>
      </c>
      <c r="HL230" s="54">
        <f>IF($J230="",#N/A,SUM($HK$4:HK230))</f>
        <v>-1.4008180841025943</v>
      </c>
      <c r="HM230" s="54" t="str">
        <f t="shared" si="422"/>
        <v/>
      </c>
      <c r="HN230" s="54">
        <f>IF($J230="",#N/A,SUM($HM$4:HM230))</f>
        <v>0.90694539517251249</v>
      </c>
      <c r="HO230" s="54" t="str">
        <f t="shared" si="423"/>
        <v/>
      </c>
      <c r="HP230" s="54">
        <f>IF($J230="",#N/A,SUM($HO$4:HO230))</f>
        <v>-0.10266465451722628</v>
      </c>
      <c r="HQ230" s="54" t="str">
        <f t="shared" si="424"/>
        <v/>
      </c>
      <c r="HR230" s="54">
        <f>IF($J230="",#N/A,SUM($HQ$4:HQ230))</f>
        <v>-14.165420258732395</v>
      </c>
      <c r="HS230" s="54">
        <f t="shared" si="425"/>
        <v>0.27284236259658456</v>
      </c>
      <c r="HT230" s="54">
        <f>IF($J230="",#N/A,SUM($HS$4:HS230))</f>
        <v>12.628758442852387</v>
      </c>
      <c r="HU230" s="65">
        <f t="shared" si="426"/>
        <v>-1.4980864655636568</v>
      </c>
      <c r="HV230" s="65">
        <f>IF($J230="",#N/A,SUM(HU$4:$HU230))</f>
        <v>2.3044815969097097</v>
      </c>
    </row>
    <row r="231" spans="1:230" x14ac:dyDescent="0.25">
      <c r="A231" s="51" t="s">
        <v>1592</v>
      </c>
      <c r="B231" s="52" t="s">
        <v>4563</v>
      </c>
      <c r="C231" s="229">
        <f t="shared" si="327"/>
        <v>2</v>
      </c>
      <c r="D231" s="219" t="str">
        <f>_xlfn.XLOOKUP(A231,[1]SP500!$A$2:$A$502,[1]SP500!$D$2:$D$502,"N")</f>
        <v>Y</v>
      </c>
      <c r="E231" s="51" t="str">
        <f>IFERROR(_xlfn.XLOOKUP(A231,[1]SP500!$A$2:$A$655,[1]SP500!$B$2:$B$655),"")</f>
        <v>XLY</v>
      </c>
      <c r="F231" s="290">
        <v>45778</v>
      </c>
      <c r="G231" s="51" t="str">
        <f t="shared" si="328"/>
        <v>AMC</v>
      </c>
      <c r="H231" s="51" t="str">
        <f t="shared" si="329"/>
        <v>s</v>
      </c>
      <c r="I231" s="344">
        <v>106.45</v>
      </c>
      <c r="J231" s="124">
        <v>103.48</v>
      </c>
      <c r="K231" s="55">
        <f t="shared" si="330"/>
        <v>-2.7900422733677772E-2</v>
      </c>
      <c r="L231" s="67">
        <f t="shared" si="331"/>
        <v>32.670000000000073</v>
      </c>
      <c r="M231" s="57">
        <f t="shared" si="332"/>
        <v>21.559999999999945</v>
      </c>
      <c r="N231" s="102">
        <f t="shared" si="333"/>
        <v>32.670000000000073</v>
      </c>
      <c r="O231" s="57">
        <f>IF(N231="",#N/A,SUM($N$4:N231))</f>
        <v>510.48865200916896</v>
      </c>
      <c r="P231" s="65">
        <f t="shared" si="427"/>
        <v>0.46500704556129741</v>
      </c>
      <c r="Q231" s="172">
        <f>IF($N231="",#N/A,SUM($P$4:P231))</f>
        <v>11.178395085944537</v>
      </c>
      <c r="R231" s="279">
        <f t="shared" si="334"/>
        <v>3.2410859285057469</v>
      </c>
      <c r="S231" s="51" t="str">
        <f t="shared" si="335"/>
        <v>Dwn</v>
      </c>
      <c r="T231" s="51" t="s">
        <v>4462</v>
      </c>
      <c r="U231" s="56">
        <f t="shared" si="336"/>
        <v>106.45</v>
      </c>
      <c r="V231" s="56" t="s">
        <v>4458</v>
      </c>
      <c r="W231" s="142">
        <v>11</v>
      </c>
      <c r="X231" s="145">
        <f t="shared" si="337"/>
        <v>1170.95</v>
      </c>
      <c r="Y231" s="140">
        <f t="shared" si="338"/>
        <v>11</v>
      </c>
      <c r="Z231" s="123">
        <v>101.52</v>
      </c>
      <c r="AA231" s="102">
        <f t="shared" si="339"/>
        <v>54.230000000000018</v>
      </c>
      <c r="AB231" s="102">
        <f t="shared" si="340"/>
        <v>19.360000000000127</v>
      </c>
      <c r="AC231" s="124">
        <v>104.69</v>
      </c>
      <c r="AD231" s="155">
        <f t="shared" si="341"/>
        <v>19.360000000000127</v>
      </c>
      <c r="AE231" s="545">
        <f t="shared" si="342"/>
        <v>0.27555973070299222</v>
      </c>
      <c r="AF231" s="57">
        <f>IF($AC231="",#N/A,SUM(AD$4:AD231))</f>
        <v>100.6297808891718</v>
      </c>
      <c r="AG231" s="102">
        <f t="shared" si="343"/>
        <v>-13.309999999999945</v>
      </c>
      <c r="AH231" s="56" t="s">
        <v>2507</v>
      </c>
      <c r="AI231" s="65">
        <f t="shared" si="344"/>
        <v>0.77188038202599052</v>
      </c>
      <c r="AJ231" s="350">
        <f>IF(AI231="",#N/A,SUM($AI$4:AI231))</f>
        <v>7.93730915743879</v>
      </c>
      <c r="AK231" s="57">
        <f t="shared" si="345"/>
        <v>54.230000000000018</v>
      </c>
      <c r="AL231" s="349">
        <f>IF(AI231="",#N/A,IF(AH231="Skip",SUM($AK$4:AK231),SUM($AK$4:AK231)))</f>
        <v>291.59759149281422</v>
      </c>
      <c r="AM231" s="65">
        <f t="shared" si="428"/>
        <v>0.27555973070299222</v>
      </c>
      <c r="AN231" s="209"/>
      <c r="AO231" s="65" t="str">
        <f t="shared" si="346"/>
        <v/>
      </c>
      <c r="AP231" s="65">
        <f>IF($AC231="",#N/A,SUM(AO$4:AO231))</f>
        <v>4.8266140873623922</v>
      </c>
      <c r="AQ231" s="65" t="str">
        <f t="shared" si="347"/>
        <v/>
      </c>
      <c r="AR231" s="65">
        <f>IF($AC231="",#N/A,SUM(AQ$4:AQ231))</f>
        <v>-2.2840800066827698</v>
      </c>
      <c r="AS231" s="65">
        <f t="shared" si="348"/>
        <v>0.27555973070299222</v>
      </c>
      <c r="AT231" s="65">
        <f>IF($AC231="",#N/A,SUM(AS$4:AS231))</f>
        <v>3.7507246933076832E-2</v>
      </c>
      <c r="AU231" s="57" t="str">
        <f t="shared" si="429"/>
        <v/>
      </c>
      <c r="AV231" s="57">
        <f>IF($AC231="",#N/A,SUM(AU$4:AU231))</f>
        <v>199.28139934283888</v>
      </c>
      <c r="AW231" s="57" t="str">
        <f t="shared" si="430"/>
        <v/>
      </c>
      <c r="AX231" s="57">
        <f>IF($AC231="",#N/A,SUM(AW$4:AW231))</f>
        <v>-142.90000000000009</v>
      </c>
      <c r="AY231" s="57">
        <f t="shared" si="431"/>
        <v>19.360000000000127</v>
      </c>
      <c r="AZ231" s="57">
        <f>IF($AC231="",#N/A,SUM(AY$4:AY231))</f>
        <v>44.248381546333007</v>
      </c>
      <c r="BA231" s="57">
        <f>IF(AD231="",#N/A,SUM($AD$4:AD231))</f>
        <v>100.6297808891718</v>
      </c>
      <c r="BC231" s="51" t="str">
        <f t="shared" si="349"/>
        <v/>
      </c>
      <c r="BD231" s="51" t="str">
        <f t="shared" si="350"/>
        <v/>
      </c>
      <c r="BE231" s="51" t="str">
        <f t="shared" si="351"/>
        <v/>
      </c>
      <c r="BF231" s="51" t="str">
        <f t="shared" si="352"/>
        <v>Short</v>
      </c>
      <c r="BG231" s="51">
        <f t="shared" si="353"/>
        <v>1</v>
      </c>
      <c r="BH231" s="51" t="str">
        <f t="shared" si="354"/>
        <v/>
      </c>
      <c r="BI231" s="51" t="str">
        <f t="shared" si="355"/>
        <v/>
      </c>
      <c r="BK231" s="65">
        <f t="shared" si="326"/>
        <v>6.8722334222809517E-2</v>
      </c>
      <c r="BL231" s="65">
        <f t="shared" si="434"/>
        <v>3.836030887882444E-2</v>
      </c>
      <c r="BM231" s="65">
        <f>IFERROR(Q231/COUNTA($J$4:J231),#N/A)</f>
        <v>4.9028048622563755E-2</v>
      </c>
      <c r="BO231" s="489" t="e">
        <f>IF(J231="",#N/A,IF(S231="SW",(COUNTIFS(K$4:$K231,"&gt;0",S$4:$S231,"SW")/COUNTIF(S$4:$S231,"SW")),#N/A))</f>
        <v>#N/A</v>
      </c>
      <c r="BP231" s="489">
        <f>IF($J231="",#N/A,IF($S231="DWN",(COUNTIFS($K$4:$K231,"&lt;0",$S$4:$S231,"DWN")/COUNTIF($S$4:$S231,"DWN")),#N/A))</f>
        <v>0.57731958762886593</v>
      </c>
      <c r="BQ231" s="489" t="e">
        <f>IF($J231="",#N/A,IF($S231="UP",(COUNTIFS($K$4:$K231,"&gt;0",$S$4:$S231,"UP")/COUNTIF($S$4:$S231,"UP")),#N/A))</f>
        <v>#N/A</v>
      </c>
      <c r="BR231" s="489">
        <f>IF(J231="",#N/A,COUNTIF($K$4:K231,"&gt;0")/COUNT($J$4:J231))</f>
        <v>0.46491228070175439</v>
      </c>
      <c r="BS231" s="65" t="str">
        <f t="shared" si="356"/>
        <v/>
      </c>
      <c r="BT231" s="65" t="str">
        <f t="shared" si="357"/>
        <v/>
      </c>
      <c r="BU231" s="65">
        <f t="shared" si="358"/>
        <v>0.46500704556129741</v>
      </c>
      <c r="BV231" s="65" t="str">
        <f t="shared" si="359"/>
        <v/>
      </c>
      <c r="BW231" s="128" t="str">
        <f t="shared" si="360"/>
        <v/>
      </c>
      <c r="BX231" s="128">
        <f>IF($J231="",#N/A,SUM($BW$4:BW231))</f>
        <v>-199.33000000000038</v>
      </c>
      <c r="BY231" s="131">
        <f t="shared" si="361"/>
        <v>32.670000000000073</v>
      </c>
      <c r="BZ231" s="131">
        <f>IF($J231="",#N/A,SUM($BY$4:BY231))</f>
        <v>450.2693403893345</v>
      </c>
      <c r="CA231" s="133" t="str">
        <f t="shared" si="362"/>
        <v/>
      </c>
      <c r="CB231" s="133">
        <f>IF($J231="",#N/A,SUM($CA$4:CA231))</f>
        <v>259.54931161983484</v>
      </c>
      <c r="CC231" s="194" t="str">
        <f t="shared" si="363"/>
        <v/>
      </c>
      <c r="CD231" s="194">
        <f>IF($J231="",#N/A,SUM($CC$4:CC231))</f>
        <v>-3.0883607473380557</v>
      </c>
      <c r="CE231" s="195">
        <f t="shared" si="364"/>
        <v>0.46500704556129741</v>
      </c>
      <c r="CF231" s="195">
        <f>IF($J231="",#N/A,SUM($CE$4:CE231))</f>
        <v>7.9034799300401977</v>
      </c>
      <c r="CG231" s="196" t="str">
        <f t="shared" si="365"/>
        <v/>
      </c>
      <c r="CH231" s="196">
        <f>IF($J231="",#N/A,SUM($CG$4:CG231))</f>
        <v>6.3632759032424007</v>
      </c>
      <c r="CI231" s="200" t="str">
        <f t="shared" si="366"/>
        <v/>
      </c>
      <c r="CJ231" s="203">
        <f>IF($J231="",#N/A,SUM(CI$4:CI231))</f>
        <v>0</v>
      </c>
      <c r="CK231" s="204" t="str">
        <f t="shared" si="367"/>
        <v/>
      </c>
      <c r="CL231" s="204">
        <f>IF($J231="",#N/A,SUM(CK$4:CK231))</f>
        <v>1.9927003554442289</v>
      </c>
      <c r="CM231" s="205" t="str">
        <f t="shared" si="368"/>
        <v/>
      </c>
      <c r="CN231" s="205">
        <f>IF($J231="",#N/A,SUM(CM$4:CM231))</f>
        <v>5.6091171609382364</v>
      </c>
      <c r="CO231" s="205">
        <f>IF($J231="",#N/A,SUM(CM$4:CM231,CK$4:CK231,CI$4:CI231))</f>
        <v>7.6018175163824644</v>
      </c>
      <c r="CP231" s="200" t="str">
        <f t="shared" si="369"/>
        <v/>
      </c>
      <c r="CQ231" s="203">
        <f>IF($J231="",#N/A,SUM(CP$4:CP231))</f>
        <v>0</v>
      </c>
      <c r="CR231" s="204" t="str">
        <f t="shared" si="370"/>
        <v/>
      </c>
      <c r="CS231" s="204">
        <f>IF($J231="",#N/A,SUM(CR$4:CR231))</f>
        <v>3.8915503172194676</v>
      </c>
      <c r="CT231" s="205" t="str">
        <f t="shared" si="371"/>
        <v/>
      </c>
      <c r="CU231" s="205">
        <f>IF($J231="",#N/A,SUM(CT$4:CT231))</f>
        <v>-2.9040943753548785</v>
      </c>
      <c r="CV231" s="205">
        <f>IF($J231="",#N/A,SUM(CT$4:CT231,CR$4:CR231,CP$4:CP231))</f>
        <v>0.98745594186458874</v>
      </c>
      <c r="CW231" s="200" t="str">
        <f t="shared" si="372"/>
        <v/>
      </c>
      <c r="CX231" s="203">
        <f>IF($J231="",#N/A,SUM(CW$4:CW231))</f>
        <v>-0.33865165024245297</v>
      </c>
      <c r="CY231" s="204">
        <f t="shared" si="373"/>
        <v>0.46500704556129741</v>
      </c>
      <c r="CZ231" s="204">
        <f>IF($J231="",#N/A,SUM(CY$4:CY231))</f>
        <v>-8.9115263338952644E-2</v>
      </c>
      <c r="DA231" s="205" t="str">
        <f t="shared" si="374"/>
        <v/>
      </c>
      <c r="DB231" s="205">
        <f>IF($J231="",#N/A,SUM(DA$4:DA231))</f>
        <v>-2.2679577914291</v>
      </c>
      <c r="DC231" s="205">
        <f>IF($J231="",#N/A,SUM(DA$4:DA231,CY$4:CY231,CW$4:CW231))</f>
        <v>-2.6957247050105053</v>
      </c>
      <c r="DD231" s="200" t="str">
        <f t="shared" si="375"/>
        <v/>
      </c>
      <c r="DE231" s="203">
        <f>IF($J231="",#N/A,SUM(DD$4:DD231))</f>
        <v>0.14968716170674062</v>
      </c>
      <c r="DF231" s="204" t="str">
        <f t="shared" si="376"/>
        <v/>
      </c>
      <c r="DG231" s="204">
        <f>IF($J231="",#N/A,SUM(DF$4:DF231))</f>
        <v>1.5249935139936004</v>
      </c>
      <c r="DH231" s="205" t="str">
        <f t="shared" si="377"/>
        <v/>
      </c>
      <c r="DI231" s="205">
        <f>IF($J231="",#N/A,SUM(DH$4:DH231))</f>
        <v>-1.9066052078694633</v>
      </c>
      <c r="DJ231" s="205">
        <f>IF($J231="",#N/A,SUM(DH$4:DH231,DF$4:DF231,DD$4:DD231))</f>
        <v>-0.23192453216912207</v>
      </c>
      <c r="DK231" s="200" t="str">
        <f t="shared" si="378"/>
        <v/>
      </c>
      <c r="DL231" s="203">
        <f>IF($J231="",#N/A,SUM(DK$4:DK231))</f>
        <v>-1.2097286851272664</v>
      </c>
      <c r="DM231" s="204" t="str">
        <f t="shared" si="379"/>
        <v/>
      </c>
      <c r="DN231" s="204">
        <f>IF($J231="",#N/A,SUM(DM$4:DM231))</f>
        <v>1.1910608267574658</v>
      </c>
      <c r="DO231" s="205" t="str">
        <f t="shared" si="380"/>
        <v/>
      </c>
      <c r="DP231" s="205">
        <f>IF($J231="",#N/A,SUM(DO$4:DO231))</f>
        <v>2.6571865116636566</v>
      </c>
      <c r="DQ231" s="205">
        <f>IF($J231="",#N/A,SUM(DO$4:DO231,DM$4:DM231,DK$4:DK231))</f>
        <v>2.6385186532938567</v>
      </c>
      <c r="DR231" s="200" t="str">
        <f t="shared" si="381"/>
        <v/>
      </c>
      <c r="DS231" s="203">
        <f>IF($J231="",#N/A,SUM(DR$4:DR231))</f>
        <v>-0.55950946427675097</v>
      </c>
      <c r="DT231" s="204" t="str">
        <f t="shared" si="382"/>
        <v/>
      </c>
      <c r="DU231" s="204">
        <f>IF($J231="",#N/A,SUM(DT$4:DT231))</f>
        <v>-3.6911249040845173</v>
      </c>
      <c r="DV231" s="205" t="str">
        <f t="shared" si="383"/>
        <v/>
      </c>
      <c r="DW231" s="205">
        <f>IF($J231="",#N/A,SUM(DV$4:DV231))</f>
        <v>-1.2815650893103838</v>
      </c>
      <c r="DX231" s="205">
        <f>IF($J231="",#N/A,SUM(DV$4:DV231,DT$4:DT231,DR$4:DR231))</f>
        <v>-5.532199457671652</v>
      </c>
      <c r="DY231" s="200" t="str">
        <f t="shared" si="384"/>
        <v/>
      </c>
      <c r="DZ231" s="203">
        <f>IF($J231="",#N/A,SUM(DY$4:DY231))</f>
        <v>-1.0460034109943892</v>
      </c>
      <c r="EA231" s="204" t="str">
        <f t="shared" si="385"/>
        <v/>
      </c>
      <c r="EB231" s="204">
        <f>IF($J231="",#N/A,SUM(EA$4:EA231))</f>
        <v>0.65158371441459195</v>
      </c>
      <c r="EC231" s="205" t="str">
        <f t="shared" si="386"/>
        <v/>
      </c>
      <c r="ED231" s="205">
        <f>IF($J231="",#N/A,SUM(EC$4:EC231))</f>
        <v>5.1322420709634535</v>
      </c>
      <c r="EE231" s="205">
        <f>IF($J231="",#N/A,SUM(EC$4:EC231,EA$4:EA231,DY$4:DY231))</f>
        <v>4.7378223743836561</v>
      </c>
      <c r="EF231" s="200" t="str">
        <f t="shared" si="387"/>
        <v/>
      </c>
      <c r="EG231" s="203">
        <f>IF($J231="",#N/A,SUM(EF$4:EF231))</f>
        <v>-0.15098969023521425</v>
      </c>
      <c r="EH231" s="204" t="str">
        <f t="shared" si="388"/>
        <v/>
      </c>
      <c r="EI231" s="204">
        <f>IF($J231="",#N/A,SUM(EH$4:EH231))</f>
        <v>-3.1507771605639614</v>
      </c>
      <c r="EJ231" s="205" t="str">
        <f t="shared" si="389"/>
        <v/>
      </c>
      <c r="EK231" s="205">
        <f>IF($J231="",#N/A,SUM(EJ$4:EJ231))</f>
        <v>4.6014417494274094</v>
      </c>
      <c r="EL231" s="205">
        <f>IF($J231="",#N/A,SUM(EJ$4:EJ231,EH$4:EH231,EF$4:EF231))</f>
        <v>1.2996748986282345</v>
      </c>
      <c r="EM231" s="200" t="str">
        <f t="shared" si="390"/>
        <v/>
      </c>
      <c r="EN231" s="203">
        <f>IF($J231="",#N/A,SUM(EM$4:EM231))</f>
        <v>0</v>
      </c>
      <c r="EO231" s="204" t="str">
        <f t="shared" si="391"/>
        <v/>
      </c>
      <c r="EP231" s="204">
        <f>IF($J231="",#N/A,SUM(EO$4:EO231))</f>
        <v>3.2406646352184261</v>
      </c>
      <c r="EQ231" s="205" t="str">
        <f t="shared" si="392"/>
        <v/>
      </c>
      <c r="ER231" s="205">
        <f>IF($J231="",#N/A,SUM(EQ$4:EQ231))</f>
        <v>1.441536272249796</v>
      </c>
      <c r="ES231" s="205">
        <f>IF($J231="",#N/A,SUM(EQ$4:EQ231,EO$4:EO231,EM$4:EM231))</f>
        <v>4.6822009074682214</v>
      </c>
      <c r="ET231" s="200" t="str">
        <f t="shared" si="393"/>
        <v/>
      </c>
      <c r="EU231" s="203">
        <f>IF($J231="",#N/A,SUM(ET$4:ET231))</f>
        <v>0</v>
      </c>
      <c r="EV231" s="204" t="str">
        <f t="shared" si="394"/>
        <v/>
      </c>
      <c r="EW231" s="204">
        <f>IF($J231="",#N/A,SUM(EV$4:EV231))</f>
        <v>1.9901851109977766</v>
      </c>
      <c r="EX231" s="205" t="str">
        <f t="shared" si="395"/>
        <v/>
      </c>
      <c r="EY231" s="205">
        <f>IF($J231="",#N/A,SUM(EX$4:EX231))</f>
        <v>0.27113250180669229</v>
      </c>
      <c r="EZ231" s="205">
        <f>IF($J231="",#N/A,SUM(EX$4:EX231,EV$4:EV231,ET$4:ET231))</f>
        <v>2.2613176128044685</v>
      </c>
      <c r="FA231" s="200" t="str">
        <f t="shared" si="396"/>
        <v/>
      </c>
      <c r="FB231" s="203">
        <f>IF($J231="",#N/A,SUM(FA$4:FA231))</f>
        <v>0</v>
      </c>
      <c r="FC231" s="204" t="str">
        <f t="shared" si="397"/>
        <v/>
      </c>
      <c r="FD231" s="204">
        <f>IF($J231="",#N/A,SUM(FC$4:FC231))</f>
        <v>1.8692126759492278</v>
      </c>
      <c r="FE231" s="205" t="str">
        <f t="shared" si="398"/>
        <v/>
      </c>
      <c r="FF231" s="205">
        <f>IF($J231="",#N/A,SUM(FE$4:FE231))</f>
        <v>-0.28811149078748233</v>
      </c>
      <c r="FG231" s="205">
        <f>IF($J231="",#N/A,SUM(FE$4:FE231,FC$4:FC231,FA$4:FA231))</f>
        <v>1.5811011851617456</v>
      </c>
      <c r="FH231" s="200" t="str">
        <f t="shared" si="399"/>
        <v/>
      </c>
      <c r="FI231" s="203">
        <f>IF($J231="",#N/A,SUM(FH$4:FH231))</f>
        <v>0</v>
      </c>
      <c r="FJ231" s="204" t="str">
        <f t="shared" si="400"/>
        <v/>
      </c>
      <c r="FK231" s="204">
        <f>IF($J231="",#N/A,SUM(FJ$4:FJ231))</f>
        <v>0</v>
      </c>
      <c r="FL231" s="205" t="str">
        <f t="shared" si="401"/>
        <v/>
      </c>
      <c r="FM231" s="205">
        <f>IF($J231="",#N/A,SUM(FL$4:FL231))</f>
        <v>0</v>
      </c>
      <c r="FN231" s="205">
        <f>IF($J231="",#N/A,SUM(FL$4:FL231,FJ$4:FJ231,FH$4:FH231))</f>
        <v>0</v>
      </c>
      <c r="FO231" s="200" t="str">
        <f t="shared" si="402"/>
        <v/>
      </c>
      <c r="FP231" s="203">
        <f>IF($J231="",#N/A,SUM(FO$4:FO231))</f>
        <v>0</v>
      </c>
      <c r="FQ231" s="204" t="str">
        <f t="shared" si="403"/>
        <v/>
      </c>
      <c r="FR231" s="204">
        <f>IF($J231="",#N/A,SUM(FQ$4:FQ231))</f>
        <v>0</v>
      </c>
      <c r="FS231" s="205" t="str">
        <f t="shared" si="404"/>
        <v/>
      </c>
      <c r="FT231" s="205">
        <f>IF($J231="",#N/A,SUM(FS$4:FS231))</f>
        <v>0</v>
      </c>
      <c r="FU231" s="205">
        <f>IF($J231="",#N/A,SUM(FS$4:FS231,FQ$4:FQ231,FO$4:FO231))</f>
        <v>0</v>
      </c>
      <c r="FV231" s="200" t="str">
        <f t="shared" si="405"/>
        <v/>
      </c>
      <c r="FW231" s="203">
        <f>IF($J231="",#N/A,SUM(FV$4:FV231))</f>
        <v>6.6834991831277585E-2</v>
      </c>
      <c r="FX231" s="204" t="str">
        <f t="shared" si="406"/>
        <v/>
      </c>
      <c r="FY231" s="204">
        <f>IF($J231="",#N/A,SUM(FX$4:FX231))</f>
        <v>-0.16102012791805576</v>
      </c>
      <c r="FZ231" s="205" t="str">
        <f t="shared" si="407"/>
        <v/>
      </c>
      <c r="GA231" s="205">
        <f>IF($J231="",#N/A,SUM(FZ$4:FZ231))</f>
        <v>-1.7642101813332194</v>
      </c>
      <c r="GB231" s="205">
        <f>IF($J231="",#N/A,SUM(FZ$4:FZ231,FX$4:FX231,FV$4:FV231))</f>
        <v>-1.8583953174199976</v>
      </c>
      <c r="GC231" s="200" t="str">
        <f t="shared" si="408"/>
        <v/>
      </c>
      <c r="GD231" s="203">
        <f>IF($J231="",#N/A,SUM(GC$4:GC231))</f>
        <v>0</v>
      </c>
      <c r="GE231" s="204" t="str">
        <f t="shared" si="409"/>
        <v/>
      </c>
      <c r="GF231" s="204">
        <f>IF($J231="",#N/A,SUM(GE$4:GE231))</f>
        <v>0</v>
      </c>
      <c r="GG231" s="205" t="str">
        <f t="shared" si="410"/>
        <v/>
      </c>
      <c r="GH231" s="205">
        <f>IF($J231="",#N/A,SUM(GG$4:GG231))</f>
        <v>-2.9368362277223206</v>
      </c>
      <c r="GI231" s="205">
        <f>IF($J231="",#N/A,SUM(GG$4:GG231,GE$4:GE231,GC$4:GC231))</f>
        <v>-2.9368362277223206</v>
      </c>
      <c r="GJ231" s="200" t="str">
        <f t="shared" si="411"/>
        <v/>
      </c>
      <c r="GK231" s="203">
        <f>IF($J231="",#N/A,SUM(GJ$4:GJ231))</f>
        <v>0</v>
      </c>
      <c r="GL231" s="204" t="str">
        <f t="shared" si="412"/>
        <v/>
      </c>
      <c r="GM231" s="204">
        <f>IF($J231="",#N/A,SUM(GL$4:GL231))</f>
        <v>-1.6833790887309608</v>
      </c>
      <c r="GN231" s="205" t="str">
        <f t="shared" si="413"/>
        <v/>
      </c>
      <c r="GO231" s="205">
        <f>IF($J231="",#N/A,SUM(GN$4:GN231))</f>
        <v>0</v>
      </c>
      <c r="GP231" s="205">
        <f>IF($J231="",#N/A,SUM(GN$4:GN231,GL$4:GL231,GJ$4:GJ231))</f>
        <v>-1.6833790887309608</v>
      </c>
      <c r="GS231" s="54">
        <f t="shared" si="432"/>
        <v>0.46500704556129741</v>
      </c>
      <c r="GT231" s="54">
        <f>IF(GS231="",NA(),SUM($GS$4:GS231))</f>
        <v>7.607485634986439</v>
      </c>
      <c r="GU231" s="54" t="str">
        <f t="shared" si="414"/>
        <v/>
      </c>
      <c r="GV231" s="54" t="e">
        <f>IF(GU231="",NA(),SUM($GU$4:GU231))</f>
        <v>#N/A</v>
      </c>
      <c r="GW231" s="54" t="str">
        <f t="shared" si="415"/>
        <v/>
      </c>
      <c r="GX231" s="54" t="e">
        <f>IF(GW231="",NA(),SUM($GW$4:GW231))</f>
        <v>#N/A</v>
      </c>
      <c r="GY231" s="54">
        <f t="shared" si="416"/>
        <v>0.46500704556129741</v>
      </c>
      <c r="GZ231" s="54">
        <f>IF(GY231="",NA(),SUM($GY$4:GY231))</f>
        <v>2.9255341458704165</v>
      </c>
      <c r="HA231" s="54" t="str">
        <f t="shared" si="417"/>
        <v/>
      </c>
      <c r="HB231" s="54" t="e">
        <f>IF(HA231="",NA(),SUM($HA$4:HA231))</f>
        <v>#N/A</v>
      </c>
      <c r="HC231" s="54" t="str">
        <f t="shared" si="418"/>
        <v/>
      </c>
      <c r="HD231" s="54" t="e">
        <f>IF(HC231="",NA(),SUM($HC$4:HC231))</f>
        <v>#N/A</v>
      </c>
      <c r="HE231" s="54" t="str">
        <f t="shared" si="419"/>
        <v/>
      </c>
      <c r="HF231" s="54" t="e">
        <f>IF(HE231="",NA(),SUM($HE$4:HE231))</f>
        <v>#N/A</v>
      </c>
      <c r="HG231" s="54" t="str">
        <f t="shared" si="420"/>
        <v/>
      </c>
      <c r="HH231" s="54" t="e">
        <f>IF(HG231="",NA(),SUM($HG$4:HG231))</f>
        <v>#N/A</v>
      </c>
      <c r="HI231" s="172">
        <f t="shared" si="433"/>
        <v>-0.18944731485830518</v>
      </c>
      <c r="HJ231" s="172">
        <f>IF($J231="",#N/A,SUM(HI$4:$HI231))</f>
        <v>-6.4651545990045207</v>
      </c>
      <c r="HK231" s="54" t="str">
        <f t="shared" si="421"/>
        <v/>
      </c>
      <c r="HL231" s="54">
        <f>IF($J231="",#N/A,SUM($HK$4:HK231))</f>
        <v>-1.4008180841025943</v>
      </c>
      <c r="HM231" s="54" t="str">
        <f t="shared" si="422"/>
        <v/>
      </c>
      <c r="HN231" s="54">
        <f>IF($J231="",#N/A,SUM($HM$4:HM231))</f>
        <v>0.90694539517251249</v>
      </c>
      <c r="HO231" s="54" t="str">
        <f t="shared" si="423"/>
        <v/>
      </c>
      <c r="HP231" s="54">
        <f>IF($J231="",#N/A,SUM($HO$4:HO231))</f>
        <v>-0.10266465451722628</v>
      </c>
      <c r="HQ231" s="54" t="str">
        <f t="shared" si="424"/>
        <v/>
      </c>
      <c r="HR231" s="54">
        <f>IF($J231="",#N/A,SUM($HQ$4:HQ231))</f>
        <v>-14.165420258732395</v>
      </c>
      <c r="HS231" s="54" t="str">
        <f t="shared" si="425"/>
        <v/>
      </c>
      <c r="HT231" s="54">
        <f>IF($J231="",#N/A,SUM($HS$4:HS231))</f>
        <v>12.628758442852387</v>
      </c>
      <c r="HU231" s="65">
        <f t="shared" si="426"/>
        <v>0.27555973070299222</v>
      </c>
      <c r="HV231" s="65">
        <f>IF($J231="",#N/A,SUM(HU$4:$HU231))</f>
        <v>2.5800413276127019</v>
      </c>
    </row>
    <row r="232" spans="1:230" x14ac:dyDescent="0.25">
      <c r="A232" s="51" t="s">
        <v>1316</v>
      </c>
      <c r="B232" s="52" t="s">
        <v>4563</v>
      </c>
      <c r="C232" s="229">
        <f t="shared" si="327"/>
        <v>3</v>
      </c>
      <c r="D232" s="219" t="str">
        <f>_xlfn.XLOOKUP(A232,[1]SP500!$A$2:$A$502,[1]SP500!$D$2:$D$502,"N")</f>
        <v>Y</v>
      </c>
      <c r="E232" s="51" t="str">
        <f>IFERROR(_xlfn.XLOOKUP(A232,[1]SP500!$A$2:$A$655,[1]SP500!$B$2:$B$655),"")</f>
        <v>XLV</v>
      </c>
      <c r="F232" s="290">
        <v>45778</v>
      </c>
      <c r="G232" s="51" t="str">
        <f t="shared" si="328"/>
        <v>AMC</v>
      </c>
      <c r="H232" s="51" t="str">
        <f t="shared" si="329"/>
        <v>s</v>
      </c>
      <c r="I232" s="344">
        <v>373.99</v>
      </c>
      <c r="J232" s="123">
        <v>373.89</v>
      </c>
      <c r="K232" s="55">
        <f t="shared" si="330"/>
        <v>-2.6738682852488763E-4</v>
      </c>
      <c r="L232" s="67">
        <f t="shared" si="331"/>
        <v>-0.40000000000009095</v>
      </c>
      <c r="M232" s="57">
        <f t="shared" si="332"/>
        <v>0</v>
      </c>
      <c r="N232" s="102">
        <f t="shared" si="333"/>
        <v>-0.40000000000009095</v>
      </c>
      <c r="O232" s="57">
        <f>IF(N232="",#N/A,SUM($N$4:N232))</f>
        <v>510.08865200916887</v>
      </c>
      <c r="P232" s="65">
        <f t="shared" si="427"/>
        <v>-4.4564471420814608E-3</v>
      </c>
      <c r="Q232" s="172">
        <f>IF($N232="",#N/A,SUM($P$4:P232))</f>
        <v>11.173938638802456</v>
      </c>
      <c r="R232" s="279">
        <f t="shared" si="334"/>
        <v>3.2410859285057478</v>
      </c>
      <c r="S232" s="51" t="str">
        <f t="shared" si="335"/>
        <v>SW</v>
      </c>
      <c r="T232" s="51" t="s">
        <v>2828</v>
      </c>
      <c r="U232" s="56">
        <f t="shared" si="336"/>
        <v>373.99</v>
      </c>
      <c r="V232" s="56" t="s">
        <v>4460</v>
      </c>
      <c r="W232" s="142">
        <v>4</v>
      </c>
      <c r="X232" s="145">
        <f t="shared" si="337"/>
        <v>1495.96</v>
      </c>
      <c r="Y232" s="140">
        <f t="shared" si="338"/>
        <v>4</v>
      </c>
      <c r="Z232" s="123">
        <v>373.89</v>
      </c>
      <c r="AA232" s="102">
        <f t="shared" si="339"/>
        <v>-0.40000000000009095</v>
      </c>
      <c r="AB232" s="102">
        <f t="shared" si="340"/>
        <v>16.920000000000073</v>
      </c>
      <c r="AC232" s="124">
        <v>378.22</v>
      </c>
      <c r="AD232" s="155">
        <f t="shared" si="341"/>
        <v>16.920000000000073</v>
      </c>
      <c r="AE232" s="545">
        <f t="shared" si="342"/>
        <v>0.18850771411000375</v>
      </c>
      <c r="AF232" s="57">
        <f>IF($AC232="",#N/A,SUM(AD$4:AD232))</f>
        <v>117.54978088917187</v>
      </c>
      <c r="AG232" s="102">
        <f t="shared" si="343"/>
        <v>17.320000000000164</v>
      </c>
      <c r="AH232" s="56" t="s">
        <v>2507</v>
      </c>
      <c r="AI232" s="65">
        <f t="shared" si="344"/>
        <v>-4.4564471420814608E-3</v>
      </c>
      <c r="AJ232" s="54">
        <f>IF(AI232="",#N/A,SUM($AI$4:AI232))</f>
        <v>7.9328527102967081</v>
      </c>
      <c r="AK232" s="57">
        <f t="shared" si="345"/>
        <v>-0.40000000000009095</v>
      </c>
      <c r="AL232" s="349">
        <f>IF(AI232="",#N/A,IF(AH232="Skip",SUM($AK$4:AK232),SUM($AK$4:AK232)))</f>
        <v>291.19759149281413</v>
      </c>
      <c r="AM232" s="65">
        <f t="shared" si="428"/>
        <v>0.18850771411000375</v>
      </c>
      <c r="AN232" s="209"/>
      <c r="AO232" s="65">
        <f t="shared" si="346"/>
        <v>0.18850771411000375</v>
      </c>
      <c r="AP232" s="65">
        <f>IF($AC232="",#N/A,SUM(AO$4:AO232))</f>
        <v>5.0151218014723957</v>
      </c>
      <c r="AQ232" s="65" t="str">
        <f t="shared" si="347"/>
        <v/>
      </c>
      <c r="AR232" s="65">
        <f>IF($AC232="",#N/A,SUM(AQ$4:AQ232))</f>
        <v>-2.2840800066827698</v>
      </c>
      <c r="AS232" s="65" t="str">
        <f t="shared" si="348"/>
        <v/>
      </c>
      <c r="AT232" s="65">
        <f>IF($AC232="",#N/A,SUM(AS$4:AS232))</f>
        <v>3.7507246933076832E-2</v>
      </c>
      <c r="AU232" s="57">
        <f t="shared" si="429"/>
        <v>16.920000000000073</v>
      </c>
      <c r="AV232" s="57">
        <f>IF($AC232="",#N/A,SUM(AU$4:AU232))</f>
        <v>216.20139934283895</v>
      </c>
      <c r="AW232" s="57" t="str">
        <f t="shared" si="430"/>
        <v/>
      </c>
      <c r="AX232" s="57">
        <f>IF($AC232="",#N/A,SUM(AW$4:AW232))</f>
        <v>-142.90000000000009</v>
      </c>
      <c r="AY232" s="57" t="str">
        <f t="shared" si="431"/>
        <v/>
      </c>
      <c r="AZ232" s="57">
        <f>IF($AC232="",#N/A,SUM(AY$4:AY232))</f>
        <v>44.248381546333007</v>
      </c>
      <c r="BA232" s="57">
        <f>IF(AD232="",#N/A,SUM($AD$4:AD232))</f>
        <v>117.54978088917187</v>
      </c>
      <c r="BC232" s="51" t="str">
        <f t="shared" si="349"/>
        <v/>
      </c>
      <c r="BD232" s="51" t="str">
        <f t="shared" si="350"/>
        <v/>
      </c>
      <c r="BE232" s="51" t="str">
        <f t="shared" si="351"/>
        <v/>
      </c>
      <c r="BF232" s="51" t="str">
        <f t="shared" si="352"/>
        <v>Long</v>
      </c>
      <c r="BG232" s="51" t="str">
        <f t="shared" si="353"/>
        <v/>
      </c>
      <c r="BH232" s="51" t="str">
        <f t="shared" si="354"/>
        <v/>
      </c>
      <c r="BI232" s="51">
        <f t="shared" si="355"/>
        <v>1</v>
      </c>
      <c r="BK232" s="65">
        <f t="shared" si="326"/>
        <v>5.7977988994980516E-2</v>
      </c>
      <c r="BL232" s="65">
        <f t="shared" si="434"/>
        <v>2.4247467387266609E-2</v>
      </c>
      <c r="BM232" s="65">
        <f>IFERROR(Q232/COUNTA($J$4:J232),#N/A)</f>
        <v>4.8794491872499811E-2</v>
      </c>
      <c r="BO232" s="489">
        <f>IF(J232="",#N/A,IF(S232="SW",(COUNTIFS(K$4:$K232,"&gt;0",S$4:$S232,"SW")/COUNTIF(S$4:$S232,"SW")),#N/A))</f>
        <v>0.5083333333333333</v>
      </c>
      <c r="BP232" s="489" t="e">
        <f>IF($J232="",#N/A,IF($S232="DWN",(COUNTIFS($K$4:$K232,"&lt;0",$S$4:$S232,"DWN")/COUNTIF($S$4:$S232,"DWN")),#N/A))</f>
        <v>#N/A</v>
      </c>
      <c r="BQ232" s="489" t="e">
        <f>IF($J232="",#N/A,IF($S232="UP",(COUNTIFS($K$4:$K232,"&gt;0",$S$4:$S232,"UP")/COUNTIF($S$4:$S232,"UP")),#N/A))</f>
        <v>#N/A</v>
      </c>
      <c r="BR232" s="489">
        <f>IF(J232="",#N/A,COUNTIF($K$4:K232,"&gt;0")/COUNT($J$4:J232))</f>
        <v>0.46288209606986902</v>
      </c>
      <c r="BS232" s="65" t="str">
        <f t="shared" si="356"/>
        <v/>
      </c>
      <c r="BT232" s="65">
        <f t="shared" si="357"/>
        <v>-4.4564471420814608E-3</v>
      </c>
      <c r="BU232" s="65" t="str">
        <f t="shared" si="358"/>
        <v/>
      </c>
      <c r="BV232" s="65" t="str">
        <f t="shared" si="359"/>
        <v/>
      </c>
      <c r="BW232" s="128" t="str">
        <f t="shared" si="360"/>
        <v/>
      </c>
      <c r="BX232" s="128">
        <f>IF($J232="",#N/A,SUM($BW$4:BW232))</f>
        <v>-199.33000000000038</v>
      </c>
      <c r="BY232" s="131" t="str">
        <f t="shared" si="361"/>
        <v/>
      </c>
      <c r="BZ232" s="131">
        <f>IF($J232="",#N/A,SUM($BY$4:BY232))</f>
        <v>450.2693403893345</v>
      </c>
      <c r="CA232" s="133">
        <f t="shared" si="362"/>
        <v>-0.40000000000009095</v>
      </c>
      <c r="CB232" s="133">
        <f>IF($J232="",#N/A,SUM($CA$4:CA232))</f>
        <v>259.14931161983475</v>
      </c>
      <c r="CC232" s="194" t="str">
        <f t="shared" si="363"/>
        <v/>
      </c>
      <c r="CD232" s="194">
        <f>IF($J232="",#N/A,SUM($CC$4:CC232))</f>
        <v>-3.0883607473380557</v>
      </c>
      <c r="CE232" s="195" t="str">
        <f t="shared" si="364"/>
        <v/>
      </c>
      <c r="CF232" s="195">
        <f>IF($J232="",#N/A,SUM($CE$4:CE232))</f>
        <v>7.9034799300401977</v>
      </c>
      <c r="CG232" s="196">
        <f t="shared" si="365"/>
        <v>-4.4564471420814608E-3</v>
      </c>
      <c r="CH232" s="193">
        <f>IF($J232="",#N/A,SUM($CG$4:CG232))</f>
        <v>6.3588194561003188</v>
      </c>
      <c r="CI232" s="200" t="str">
        <f t="shared" si="366"/>
        <v/>
      </c>
      <c r="CJ232" s="203">
        <f>IF($J232="",#N/A,SUM(CI$4:CI232))</f>
        <v>0</v>
      </c>
      <c r="CK232" s="204" t="str">
        <f t="shared" si="367"/>
        <v/>
      </c>
      <c r="CL232" s="204">
        <f>IF($J232="",#N/A,SUM(CK$4:CK232))</f>
        <v>1.9927003554442289</v>
      </c>
      <c r="CM232" s="205" t="str">
        <f t="shared" si="368"/>
        <v/>
      </c>
      <c r="CN232" s="205">
        <f>IF($J232="",#N/A,SUM(CM$4:CM232))</f>
        <v>5.6091171609382364</v>
      </c>
      <c r="CO232" s="205">
        <f>IF($J232="",#N/A,SUM(CM$4:CM232,CK$4:CK232,CI$4:CI232))</f>
        <v>7.6018175163824644</v>
      </c>
      <c r="CP232" s="200" t="str">
        <f t="shared" si="369"/>
        <v/>
      </c>
      <c r="CQ232" s="203">
        <f>IF($J232="",#N/A,SUM(CP$4:CP232))</f>
        <v>0</v>
      </c>
      <c r="CR232" s="204" t="str">
        <f t="shared" si="370"/>
        <v/>
      </c>
      <c r="CS232" s="204">
        <f>IF($J232="",#N/A,SUM(CR$4:CR232))</f>
        <v>3.8915503172194676</v>
      </c>
      <c r="CT232" s="205" t="str">
        <f t="shared" si="371"/>
        <v/>
      </c>
      <c r="CU232" s="205">
        <f>IF($J232="",#N/A,SUM(CT$4:CT232))</f>
        <v>-2.9040943753548785</v>
      </c>
      <c r="CV232" s="205">
        <f>IF($J232="",#N/A,SUM(CT$4:CT232,CR$4:CR232,CP$4:CP232))</f>
        <v>0.98745594186458874</v>
      </c>
      <c r="CW232" s="200" t="str">
        <f t="shared" si="372"/>
        <v/>
      </c>
      <c r="CX232" s="203">
        <f>IF($J232="",#N/A,SUM(CW$4:CW232))</f>
        <v>-0.33865165024245297</v>
      </c>
      <c r="CY232" s="204" t="str">
        <f t="shared" si="373"/>
        <v/>
      </c>
      <c r="CZ232" s="204">
        <f>IF($J232="",#N/A,SUM(CY$4:CY232))</f>
        <v>-8.9115263338952644E-2</v>
      </c>
      <c r="DA232" s="205" t="str">
        <f t="shared" si="374"/>
        <v/>
      </c>
      <c r="DB232" s="205">
        <f>IF($J232="",#N/A,SUM(DA$4:DA232))</f>
        <v>-2.2679577914291</v>
      </c>
      <c r="DC232" s="205">
        <f>IF($J232="",#N/A,SUM(DA$4:DA232,CY$4:CY232,CW$4:CW232))</f>
        <v>-2.6957247050105053</v>
      </c>
      <c r="DD232" s="200" t="str">
        <f t="shared" si="375"/>
        <v/>
      </c>
      <c r="DE232" s="203">
        <f>IF($J232="",#N/A,SUM(DD$4:DD232))</f>
        <v>0.14968716170674062</v>
      </c>
      <c r="DF232" s="204" t="str">
        <f t="shared" si="376"/>
        <v/>
      </c>
      <c r="DG232" s="204">
        <f>IF($J232="",#N/A,SUM(DF$4:DF232))</f>
        <v>1.5249935139936004</v>
      </c>
      <c r="DH232" s="205" t="str">
        <f t="shared" si="377"/>
        <v/>
      </c>
      <c r="DI232" s="205">
        <f>IF($J232="",#N/A,SUM(DH$4:DH232))</f>
        <v>-1.9066052078694633</v>
      </c>
      <c r="DJ232" s="205">
        <f>IF($J232="",#N/A,SUM(DH$4:DH232,DF$4:DF232,DD$4:DD232))</f>
        <v>-0.23192453216912207</v>
      </c>
      <c r="DK232" s="200" t="str">
        <f t="shared" si="378"/>
        <v/>
      </c>
      <c r="DL232" s="203">
        <f>IF($J232="",#N/A,SUM(DK$4:DK232))</f>
        <v>-1.2097286851272664</v>
      </c>
      <c r="DM232" s="204" t="str">
        <f t="shared" si="379"/>
        <v/>
      </c>
      <c r="DN232" s="204">
        <f>IF($J232="",#N/A,SUM(DM$4:DM232))</f>
        <v>1.1910608267574658</v>
      </c>
      <c r="DO232" s="205" t="str">
        <f t="shared" si="380"/>
        <v/>
      </c>
      <c r="DP232" s="205">
        <f>IF($J232="",#N/A,SUM(DO$4:DO232))</f>
        <v>2.6571865116636566</v>
      </c>
      <c r="DQ232" s="205">
        <f>IF($J232="",#N/A,SUM(DO$4:DO232,DM$4:DM232,DK$4:DK232))</f>
        <v>2.6385186532938567</v>
      </c>
      <c r="DR232" s="200" t="str">
        <f t="shared" si="381"/>
        <v/>
      </c>
      <c r="DS232" s="203">
        <f>IF($J232="",#N/A,SUM(DR$4:DR232))</f>
        <v>-0.55950946427675097</v>
      </c>
      <c r="DT232" s="204" t="str">
        <f t="shared" si="382"/>
        <v/>
      </c>
      <c r="DU232" s="204">
        <f>IF($J232="",#N/A,SUM(DT$4:DT232))</f>
        <v>-3.6911249040845173</v>
      </c>
      <c r="DV232" s="205" t="str">
        <f t="shared" si="383"/>
        <v/>
      </c>
      <c r="DW232" s="205">
        <f>IF($J232="",#N/A,SUM(DV$4:DV232))</f>
        <v>-1.2815650893103838</v>
      </c>
      <c r="DX232" s="205">
        <f>IF($J232="",#N/A,SUM(DV$4:DV232,DT$4:DT232,DR$4:DR232))</f>
        <v>-5.532199457671652</v>
      </c>
      <c r="DY232" s="200" t="str">
        <f t="shared" si="384"/>
        <v/>
      </c>
      <c r="DZ232" s="203">
        <f>IF($J232="",#N/A,SUM(DY$4:DY232))</f>
        <v>-1.0460034109943892</v>
      </c>
      <c r="EA232" s="204" t="str">
        <f t="shared" si="385"/>
        <v/>
      </c>
      <c r="EB232" s="204">
        <f>IF($J232="",#N/A,SUM(EA$4:EA232))</f>
        <v>0.65158371441459195</v>
      </c>
      <c r="EC232" s="205" t="str">
        <f t="shared" si="386"/>
        <v/>
      </c>
      <c r="ED232" s="205">
        <f>IF($J232="",#N/A,SUM(EC$4:EC232))</f>
        <v>5.1322420709634535</v>
      </c>
      <c r="EE232" s="205">
        <f>IF($J232="",#N/A,SUM(EC$4:EC232,EA$4:EA232,DY$4:DY232))</f>
        <v>4.7378223743836561</v>
      </c>
      <c r="EF232" s="200" t="str">
        <f t="shared" si="387"/>
        <v/>
      </c>
      <c r="EG232" s="203">
        <f>IF($J232="",#N/A,SUM(EF$4:EF232))</f>
        <v>-0.15098969023521425</v>
      </c>
      <c r="EH232" s="204" t="str">
        <f t="shared" si="388"/>
        <v/>
      </c>
      <c r="EI232" s="204">
        <f>IF($J232="",#N/A,SUM(EH$4:EH232))</f>
        <v>-3.1507771605639614</v>
      </c>
      <c r="EJ232" s="205">
        <f t="shared" si="389"/>
        <v>-4.4564471420814608E-3</v>
      </c>
      <c r="EK232" s="205">
        <f>IF($J232="",#N/A,SUM(EJ$4:EJ232))</f>
        <v>4.5969853022853275</v>
      </c>
      <c r="EL232" s="205">
        <f>IF($J232="",#N/A,SUM(EJ$4:EJ232,EH$4:EH232,EF$4:EF232))</f>
        <v>1.2952184514861527</v>
      </c>
      <c r="EM232" s="200" t="str">
        <f t="shared" si="390"/>
        <v/>
      </c>
      <c r="EN232" s="203">
        <f>IF($J232="",#N/A,SUM(EM$4:EM232))</f>
        <v>0</v>
      </c>
      <c r="EO232" s="204" t="str">
        <f t="shared" si="391"/>
        <v/>
      </c>
      <c r="EP232" s="204">
        <f>IF($J232="",#N/A,SUM(EO$4:EO232))</f>
        <v>3.2406646352184261</v>
      </c>
      <c r="EQ232" s="205" t="str">
        <f t="shared" si="392"/>
        <v/>
      </c>
      <c r="ER232" s="205">
        <f>IF($J232="",#N/A,SUM(EQ$4:EQ232))</f>
        <v>1.441536272249796</v>
      </c>
      <c r="ES232" s="205">
        <f>IF($J232="",#N/A,SUM(EQ$4:EQ232,EO$4:EO232,EM$4:EM232))</f>
        <v>4.6822009074682214</v>
      </c>
      <c r="ET232" s="200" t="str">
        <f t="shared" si="393"/>
        <v/>
      </c>
      <c r="EU232" s="203">
        <f>IF($J232="",#N/A,SUM(ET$4:ET232))</f>
        <v>0</v>
      </c>
      <c r="EV232" s="204" t="str">
        <f t="shared" si="394"/>
        <v/>
      </c>
      <c r="EW232" s="204">
        <f>IF($J232="",#N/A,SUM(EV$4:EV232))</f>
        <v>1.9901851109977766</v>
      </c>
      <c r="EX232" s="205" t="str">
        <f t="shared" si="395"/>
        <v/>
      </c>
      <c r="EY232" s="205">
        <f>IF($J232="",#N/A,SUM(EX$4:EX232))</f>
        <v>0.27113250180669229</v>
      </c>
      <c r="EZ232" s="205">
        <f>IF($J232="",#N/A,SUM(EX$4:EX232,EV$4:EV232,ET$4:ET232))</f>
        <v>2.2613176128044685</v>
      </c>
      <c r="FA232" s="200" t="str">
        <f t="shared" si="396"/>
        <v/>
      </c>
      <c r="FB232" s="203">
        <f>IF($J232="",#N/A,SUM(FA$4:FA232))</f>
        <v>0</v>
      </c>
      <c r="FC232" s="204" t="str">
        <f t="shared" si="397"/>
        <v/>
      </c>
      <c r="FD232" s="204">
        <f>IF($J232="",#N/A,SUM(FC$4:FC232))</f>
        <v>1.8692126759492278</v>
      </c>
      <c r="FE232" s="205" t="str">
        <f t="shared" si="398"/>
        <v/>
      </c>
      <c r="FF232" s="205">
        <f>IF($J232="",#N/A,SUM(FE$4:FE232))</f>
        <v>-0.28811149078748233</v>
      </c>
      <c r="FG232" s="205">
        <f>IF($J232="",#N/A,SUM(FE$4:FE232,FC$4:FC232,FA$4:FA232))</f>
        <v>1.5811011851617456</v>
      </c>
      <c r="FH232" s="200" t="str">
        <f t="shared" si="399"/>
        <v/>
      </c>
      <c r="FI232" s="203">
        <f>IF($J232="",#N/A,SUM(FH$4:FH232))</f>
        <v>0</v>
      </c>
      <c r="FJ232" s="204" t="str">
        <f t="shared" si="400"/>
        <v/>
      </c>
      <c r="FK232" s="204">
        <f>IF($J232="",#N/A,SUM(FJ$4:FJ232))</f>
        <v>0</v>
      </c>
      <c r="FL232" s="205" t="str">
        <f t="shared" si="401"/>
        <v/>
      </c>
      <c r="FM232" s="205">
        <f>IF($J232="",#N/A,SUM(FL$4:FL232))</f>
        <v>0</v>
      </c>
      <c r="FN232" s="205">
        <f>IF($J232="",#N/A,SUM(FL$4:FL232,FJ$4:FJ232,FH$4:FH232))</f>
        <v>0</v>
      </c>
      <c r="FO232" s="200" t="str">
        <f t="shared" si="402"/>
        <v/>
      </c>
      <c r="FP232" s="203">
        <f>IF($J232="",#N/A,SUM(FO$4:FO232))</f>
        <v>0</v>
      </c>
      <c r="FQ232" s="204" t="str">
        <f t="shared" si="403"/>
        <v/>
      </c>
      <c r="FR232" s="204">
        <f>IF($J232="",#N/A,SUM(FQ$4:FQ232))</f>
        <v>0</v>
      </c>
      <c r="FS232" s="205" t="str">
        <f t="shared" si="404"/>
        <v/>
      </c>
      <c r="FT232" s="205">
        <f>IF($J232="",#N/A,SUM(FS$4:FS232))</f>
        <v>0</v>
      </c>
      <c r="FU232" s="205">
        <f>IF($J232="",#N/A,SUM(FS$4:FS232,FQ$4:FQ232,FO$4:FO232))</f>
        <v>0</v>
      </c>
      <c r="FV232" s="200" t="str">
        <f t="shared" si="405"/>
        <v/>
      </c>
      <c r="FW232" s="203">
        <f>IF($J232="",#N/A,SUM(FV$4:FV232))</f>
        <v>6.6834991831277585E-2</v>
      </c>
      <c r="FX232" s="204" t="str">
        <f t="shared" si="406"/>
        <v/>
      </c>
      <c r="FY232" s="204">
        <f>IF($J232="",#N/A,SUM(FX$4:FX232))</f>
        <v>-0.16102012791805576</v>
      </c>
      <c r="FZ232" s="205" t="str">
        <f t="shared" si="407"/>
        <v/>
      </c>
      <c r="GA232" s="205">
        <f>IF($J232="",#N/A,SUM(FZ$4:FZ232))</f>
        <v>-1.7642101813332194</v>
      </c>
      <c r="GB232" s="205">
        <f>IF($J232="",#N/A,SUM(FZ$4:FZ232,FX$4:FX232,FV$4:FV232))</f>
        <v>-1.8583953174199976</v>
      </c>
      <c r="GC232" s="200" t="str">
        <f t="shared" si="408"/>
        <v/>
      </c>
      <c r="GD232" s="203">
        <f>IF($J232="",#N/A,SUM(GC$4:GC232))</f>
        <v>0</v>
      </c>
      <c r="GE232" s="204" t="str">
        <f t="shared" si="409"/>
        <v/>
      </c>
      <c r="GF232" s="204">
        <f>IF($J232="",#N/A,SUM(GE$4:GE232))</f>
        <v>0</v>
      </c>
      <c r="GG232" s="205" t="str">
        <f t="shared" si="410"/>
        <v/>
      </c>
      <c r="GH232" s="205">
        <f>IF($J232="",#N/A,SUM(GG$4:GG232))</f>
        <v>-2.9368362277223206</v>
      </c>
      <c r="GI232" s="205">
        <f>IF($J232="",#N/A,SUM(GG$4:GG232,GE$4:GE232,GC$4:GC232))</f>
        <v>-2.9368362277223206</v>
      </c>
      <c r="GJ232" s="200" t="str">
        <f t="shared" si="411"/>
        <v/>
      </c>
      <c r="GK232" s="203">
        <f>IF($J232="",#N/A,SUM(GJ$4:GJ232))</f>
        <v>0</v>
      </c>
      <c r="GL232" s="204" t="str">
        <f t="shared" si="412"/>
        <v/>
      </c>
      <c r="GM232" s="204">
        <f>IF($J232="",#N/A,SUM(GL$4:GL232))</f>
        <v>-1.6833790887309608</v>
      </c>
      <c r="GN232" s="205" t="str">
        <f t="shared" si="413"/>
        <v/>
      </c>
      <c r="GO232" s="205">
        <f>IF($J232="",#N/A,SUM(GN$4:GN232))</f>
        <v>0</v>
      </c>
      <c r="GP232" s="205">
        <f>IF($J232="",#N/A,SUM(GN$4:GN232,GL$4:GL232,GJ$4:GJ232))</f>
        <v>-1.6833790887309608</v>
      </c>
      <c r="GS232" s="54">
        <f t="shared" si="432"/>
        <v>-4.4564471420814608E-3</v>
      </c>
      <c r="GT232" s="54">
        <f>IF(GS232="",NA(),SUM($GS$4:GS232))</f>
        <v>7.6030291878443572</v>
      </c>
      <c r="GU232" s="54" t="str">
        <f t="shared" si="414"/>
        <v/>
      </c>
      <c r="GV232" s="54" t="e">
        <f>IF(GU232="",NA(),SUM($GU$4:GU232))</f>
        <v>#N/A</v>
      </c>
      <c r="GW232" s="54">
        <f t="shared" si="415"/>
        <v>-4.4564471420814608E-3</v>
      </c>
      <c r="GX232" s="54">
        <f>IF(GW232="",NA(),SUM($GW$4:GW232))</f>
        <v>7.7658557893119999</v>
      </c>
      <c r="GY232" s="54" t="str">
        <f t="shared" si="416"/>
        <v/>
      </c>
      <c r="GZ232" s="54" t="e">
        <f>IF(GY232="",NA(),SUM($GY$4:GY232))</f>
        <v>#N/A</v>
      </c>
      <c r="HA232" s="54" t="str">
        <f t="shared" si="417"/>
        <v/>
      </c>
      <c r="HB232" s="54" t="e">
        <f>IF(HA232="",NA(),SUM($HA$4:HA232))</f>
        <v>#N/A</v>
      </c>
      <c r="HC232" s="54" t="str">
        <f t="shared" si="418"/>
        <v/>
      </c>
      <c r="HD232" s="54" t="e">
        <f>IF(HC232="",NA(),SUM($HC$4:HC232))</f>
        <v>#N/A</v>
      </c>
      <c r="HE232" s="54" t="str">
        <f t="shared" si="419"/>
        <v/>
      </c>
      <c r="HF232" s="54" t="e">
        <f>IF(HE232="",NA(),SUM($HE$4:HE232))</f>
        <v>#N/A</v>
      </c>
      <c r="HG232" s="54" t="str">
        <f t="shared" si="420"/>
        <v/>
      </c>
      <c r="HH232" s="54" t="e">
        <f>IF(HG232="",NA(),SUM($HG$4:HG232))</f>
        <v>#N/A</v>
      </c>
      <c r="HI232" s="172" t="str">
        <f t="shared" si="433"/>
        <v/>
      </c>
      <c r="HJ232" s="172">
        <f>IF($J232="",#N/A,SUM(HI$4:$HI232))</f>
        <v>-6.4651545990045207</v>
      </c>
      <c r="HK232" s="54" t="str">
        <f t="shared" si="421"/>
        <v/>
      </c>
      <c r="HL232" s="54">
        <f>IF($J232="",#N/A,SUM($HK$4:HK232))</f>
        <v>-1.4008180841025943</v>
      </c>
      <c r="HM232" s="54" t="str">
        <f t="shared" si="422"/>
        <v/>
      </c>
      <c r="HN232" s="54">
        <f>IF($J232="",#N/A,SUM($HM$4:HM232))</f>
        <v>0.90694539517251249</v>
      </c>
      <c r="HO232" s="54" t="str">
        <f t="shared" si="423"/>
        <v/>
      </c>
      <c r="HP232" s="54">
        <f>IF($J232="",#N/A,SUM($HO$4:HO232))</f>
        <v>-0.10266465451722628</v>
      </c>
      <c r="HQ232" s="54" t="str">
        <f t="shared" si="424"/>
        <v/>
      </c>
      <c r="HR232" s="54">
        <f>IF($J232="",#N/A,SUM($HQ$4:HQ232))</f>
        <v>-14.165420258732395</v>
      </c>
      <c r="HS232" s="54">
        <f t="shared" si="425"/>
        <v>0.19296416125208521</v>
      </c>
      <c r="HT232" s="54">
        <f>IF($J232="",#N/A,SUM($HS$4:HS232))</f>
        <v>12.821722604104473</v>
      </c>
      <c r="HU232" s="65">
        <f t="shared" si="426"/>
        <v>0.18850771411000375</v>
      </c>
      <c r="HV232" s="65">
        <f>IF($J232="",#N/A,SUM(HU$4:$HU232))</f>
        <v>2.7685490417227054</v>
      </c>
    </row>
    <row r="233" spans="1:230" x14ac:dyDescent="0.25">
      <c r="A233" s="51" t="s">
        <v>141</v>
      </c>
      <c r="B233" s="52" t="s">
        <v>4563</v>
      </c>
      <c r="C233" s="229">
        <f t="shared" si="327"/>
        <v>3</v>
      </c>
      <c r="D233" s="219" t="str">
        <f>_xlfn.XLOOKUP(A233,[1]SP500!$A$2:$A$502,[1]SP500!$D$2:$D$502,"N")</f>
        <v>Y</v>
      </c>
      <c r="E233" s="51" t="str">
        <f>IFERROR(_xlfn.XLOOKUP(A233,[1]SP500!$A$2:$A$655,[1]SP500!$B$2:$B$655),"")</f>
        <v>INS</v>
      </c>
      <c r="F233" s="290">
        <v>45778</v>
      </c>
      <c r="G233" s="51" t="str">
        <f t="shared" si="328"/>
        <v>AMC</v>
      </c>
      <c r="H233" s="51" t="str">
        <f t="shared" si="329"/>
        <v>s</v>
      </c>
      <c r="I233" s="344">
        <v>80.84</v>
      </c>
      <c r="J233" s="124">
        <v>80.63</v>
      </c>
      <c r="K233" s="55">
        <f t="shared" si="330"/>
        <v>-2.5977238990599698E-3</v>
      </c>
      <c r="L233" s="67">
        <f t="shared" si="331"/>
        <v>-2.9400000000000546</v>
      </c>
      <c r="M233" s="57">
        <f t="shared" si="332"/>
        <v>-16.099999999999909</v>
      </c>
      <c r="N233" s="102">
        <f t="shared" si="333"/>
        <v>-2.9400000000000546</v>
      </c>
      <c r="O233" s="57">
        <f>IF(N233="",#N/A,SUM($N$4:N233))</f>
        <v>507.14865200916881</v>
      </c>
      <c r="P233" s="65">
        <f t="shared" si="427"/>
        <v>-4.329539831766533E-2</v>
      </c>
      <c r="Q233" s="172">
        <f>IF($N233="",#N/A,SUM($P$4:P233))</f>
        <v>11.13064324048479</v>
      </c>
      <c r="R233" s="279">
        <f t="shared" si="334"/>
        <v>3.4781797764358142</v>
      </c>
      <c r="S233" s="51" t="str">
        <f t="shared" si="335"/>
        <v>SW</v>
      </c>
      <c r="T233" s="51" t="s">
        <v>2828</v>
      </c>
      <c r="U233" s="56">
        <f t="shared" si="336"/>
        <v>80.84</v>
      </c>
      <c r="V233" s="56" t="s">
        <v>4460</v>
      </c>
      <c r="W233" s="142">
        <v>14</v>
      </c>
      <c r="X233" s="145">
        <f t="shared" si="337"/>
        <v>1131.76</v>
      </c>
      <c r="Y233" s="140">
        <f t="shared" si="338"/>
        <v>14</v>
      </c>
      <c r="Z233" s="123">
        <v>79.48</v>
      </c>
      <c r="AA233" s="102">
        <f t="shared" si="339"/>
        <v>-19.039999999999964</v>
      </c>
      <c r="AB233" s="102">
        <f t="shared" si="340"/>
        <v>39.480000000000018</v>
      </c>
      <c r="AC233" s="124">
        <v>83.66</v>
      </c>
      <c r="AD233" s="155">
        <f t="shared" si="341"/>
        <v>39.480000000000018</v>
      </c>
      <c r="AE233" s="545">
        <f t="shared" si="342"/>
        <v>0.58139534883720967</v>
      </c>
      <c r="AF233" s="57">
        <f>IF($AC233="",#N/A,SUM(AD$4:AD233))</f>
        <v>157.02978088917189</v>
      </c>
      <c r="AG233" s="102">
        <f t="shared" si="343"/>
        <v>42.420000000000073</v>
      </c>
      <c r="AH233" s="56" t="s">
        <v>2507</v>
      </c>
      <c r="AI233" s="65">
        <f t="shared" si="344"/>
        <v>-0.28038924624773165</v>
      </c>
      <c r="AJ233" s="350">
        <f>IF(AI233="",#N/A,SUM($AI$4:AI233))</f>
        <v>7.6524634640489761</v>
      </c>
      <c r="AK233" s="57">
        <f t="shared" si="345"/>
        <v>-19.039999999999964</v>
      </c>
      <c r="AL233" s="349">
        <f>IF(AI233="",#N/A,IF(AH233="Skip",SUM($AK$4:AK233),SUM($AK$4:AK233)))</f>
        <v>272.15759149281416</v>
      </c>
      <c r="AM233" s="65">
        <f t="shared" si="428"/>
        <v>0.58139534883720967</v>
      </c>
      <c r="AN233" s="209"/>
      <c r="AO233" s="65">
        <f t="shared" si="346"/>
        <v>0.58139534883720967</v>
      </c>
      <c r="AP233" s="65">
        <f>IF($AC233="",#N/A,SUM(AO$4:AO233))</f>
        <v>5.5965171503096052</v>
      </c>
      <c r="AQ233" s="65" t="str">
        <f t="shared" si="347"/>
        <v/>
      </c>
      <c r="AR233" s="65">
        <f>IF($AC233="",#N/A,SUM(AQ$4:AQ233))</f>
        <v>-2.2840800066827698</v>
      </c>
      <c r="AS233" s="65" t="str">
        <f t="shared" si="348"/>
        <v/>
      </c>
      <c r="AT233" s="65">
        <f>IF($AC233="",#N/A,SUM(AS$4:AS233))</f>
        <v>3.7507246933076832E-2</v>
      </c>
      <c r="AU233" s="57">
        <f t="shared" si="429"/>
        <v>39.480000000000018</v>
      </c>
      <c r="AV233" s="57">
        <f>IF($AC233="",#N/A,SUM(AU$4:AU233))</f>
        <v>255.68139934283897</v>
      </c>
      <c r="AW233" s="57" t="str">
        <f t="shared" si="430"/>
        <v/>
      </c>
      <c r="AX233" s="57">
        <f>IF($AC233="",#N/A,SUM(AW$4:AW233))</f>
        <v>-142.90000000000009</v>
      </c>
      <c r="AY233" s="57" t="str">
        <f t="shared" si="431"/>
        <v/>
      </c>
      <c r="AZ233" s="57">
        <f>IF($AC233="",#N/A,SUM(AY$4:AY233))</f>
        <v>44.248381546333007</v>
      </c>
      <c r="BA233" s="57">
        <f>IF(AD233="",#N/A,SUM($AD$4:AD233))</f>
        <v>157.02978088917189</v>
      </c>
      <c r="BC233" s="51" t="str">
        <f t="shared" si="349"/>
        <v/>
      </c>
      <c r="BD233" s="51" t="str">
        <f t="shared" si="350"/>
        <v/>
      </c>
      <c r="BE233" s="51" t="str">
        <f t="shared" si="351"/>
        <v/>
      </c>
      <c r="BF233" s="51" t="str">
        <f t="shared" si="352"/>
        <v>Long</v>
      </c>
      <c r="BG233" s="51" t="str">
        <f t="shared" si="353"/>
        <v/>
      </c>
      <c r="BH233" s="51" t="str">
        <f t="shared" si="354"/>
        <v/>
      </c>
      <c r="BI233" s="51">
        <f t="shared" si="355"/>
        <v>1</v>
      </c>
      <c r="BK233" s="65">
        <f t="shared" si="326"/>
        <v>6.6865485518873863E-2</v>
      </c>
      <c r="BL233" s="65">
        <f t="shared" si="434"/>
        <v>6.5163795874397579E-2</v>
      </c>
      <c r="BM233" s="65">
        <f>IFERROR(Q233/COUNTA($J$4:J233),#N/A)</f>
        <v>4.8394101045586044E-2</v>
      </c>
      <c r="BO233" s="489">
        <f>IF(J233="",#N/A,IF(S233="SW",(COUNTIFS(K$4:$K233,"&gt;0",S$4:$S233,"SW")/COUNTIF(S$4:$S233,"SW")),#N/A))</f>
        <v>0.50413223140495866</v>
      </c>
      <c r="BP233" s="489" t="e">
        <f>IF($J233="",#N/A,IF($S233="DWN",(COUNTIFS($K$4:$K233,"&lt;0",$S$4:$S233,"DWN")/COUNTIF($S$4:$S233,"DWN")),#N/A))</f>
        <v>#N/A</v>
      </c>
      <c r="BQ233" s="489" t="e">
        <f>IF($J233="",#N/A,IF($S233="UP",(COUNTIFS($K$4:$K233,"&gt;0",$S$4:$S233,"UP")/COUNTIF($S$4:$S233,"UP")),#N/A))</f>
        <v>#N/A</v>
      </c>
      <c r="BR233" s="489">
        <f>IF(J233="",#N/A,COUNTIF($K$4:K233,"&gt;0")/COUNT($J$4:J233))</f>
        <v>0.46086956521739131</v>
      </c>
      <c r="BS233" s="65" t="str">
        <f t="shared" si="356"/>
        <v/>
      </c>
      <c r="BT233" s="65">
        <f t="shared" si="357"/>
        <v>-4.329539831766533E-2</v>
      </c>
      <c r="BU233" s="65" t="str">
        <f t="shared" si="358"/>
        <v/>
      </c>
      <c r="BV233" s="65" t="str">
        <f t="shared" si="359"/>
        <v/>
      </c>
      <c r="BW233" s="128" t="str">
        <f t="shared" si="360"/>
        <v/>
      </c>
      <c r="BX233" s="128">
        <f>IF($J233="",#N/A,SUM($BW$4:BW233))</f>
        <v>-199.33000000000038</v>
      </c>
      <c r="BY233" s="131" t="str">
        <f t="shared" si="361"/>
        <v/>
      </c>
      <c r="BZ233" s="131">
        <f>IF($J233="",#N/A,SUM($BY$4:BY233))</f>
        <v>450.2693403893345</v>
      </c>
      <c r="CA233" s="133">
        <f t="shared" si="362"/>
        <v>-2.9400000000000546</v>
      </c>
      <c r="CB233" s="133">
        <f>IF($J233="",#N/A,SUM($CA$4:CA233))</f>
        <v>256.20931161983469</v>
      </c>
      <c r="CC233" s="194" t="str">
        <f t="shared" si="363"/>
        <v/>
      </c>
      <c r="CD233" s="194">
        <f>IF($J233="",#N/A,SUM($CC$4:CC233))</f>
        <v>-3.0883607473380557</v>
      </c>
      <c r="CE233" s="195" t="str">
        <f t="shared" si="364"/>
        <v/>
      </c>
      <c r="CF233" s="195">
        <f>IF($J233="",#N/A,SUM($CE$4:CE233))</f>
        <v>7.9034799300401977</v>
      </c>
      <c r="CG233" s="196">
        <f t="shared" si="365"/>
        <v>-4.329539831766533E-2</v>
      </c>
      <c r="CH233" s="196">
        <f>IF($J233="",#N/A,SUM($CG$4:CG233))</f>
        <v>6.3155240577826532</v>
      </c>
      <c r="CI233" s="200" t="str">
        <f t="shared" si="366"/>
        <v/>
      </c>
      <c r="CJ233" s="203">
        <f>IF($J233="",#N/A,SUM(CI$4:CI233))</f>
        <v>0</v>
      </c>
      <c r="CK233" s="204" t="str">
        <f t="shared" si="367"/>
        <v/>
      </c>
      <c r="CL233" s="204">
        <f>IF($J233="",#N/A,SUM(CK$4:CK233))</f>
        <v>1.9927003554442289</v>
      </c>
      <c r="CM233" s="205" t="str">
        <f t="shared" si="368"/>
        <v/>
      </c>
      <c r="CN233" s="205">
        <f>IF($J233="",#N/A,SUM(CM$4:CM233))</f>
        <v>5.6091171609382364</v>
      </c>
      <c r="CO233" s="205">
        <f>IF($J233="",#N/A,SUM(CM$4:CM233,CK$4:CK233,CI$4:CI233))</f>
        <v>7.6018175163824644</v>
      </c>
      <c r="CP233" s="200" t="str">
        <f t="shared" si="369"/>
        <v/>
      </c>
      <c r="CQ233" s="203">
        <f>IF($J233="",#N/A,SUM(CP$4:CP233))</f>
        <v>0</v>
      </c>
      <c r="CR233" s="204" t="str">
        <f t="shared" si="370"/>
        <v/>
      </c>
      <c r="CS233" s="204">
        <f>IF($J233="",#N/A,SUM(CR$4:CR233))</f>
        <v>3.8915503172194676</v>
      </c>
      <c r="CT233" s="205" t="str">
        <f t="shared" si="371"/>
        <v/>
      </c>
      <c r="CU233" s="205">
        <f>IF($J233="",#N/A,SUM(CT$4:CT233))</f>
        <v>-2.9040943753548785</v>
      </c>
      <c r="CV233" s="205">
        <f>IF($J233="",#N/A,SUM(CT$4:CT233,CR$4:CR233,CP$4:CP233))</f>
        <v>0.98745594186458874</v>
      </c>
      <c r="CW233" s="200" t="str">
        <f t="shared" si="372"/>
        <v/>
      </c>
      <c r="CX233" s="203">
        <f>IF($J233="",#N/A,SUM(CW$4:CW233))</f>
        <v>-0.33865165024245297</v>
      </c>
      <c r="CY233" s="204" t="str">
        <f t="shared" si="373"/>
        <v/>
      </c>
      <c r="CZ233" s="204">
        <f>IF($J233="",#N/A,SUM(CY$4:CY233))</f>
        <v>-8.9115263338952644E-2</v>
      </c>
      <c r="DA233" s="205" t="str">
        <f t="shared" si="374"/>
        <v/>
      </c>
      <c r="DB233" s="205">
        <f>IF($J233="",#N/A,SUM(DA$4:DA233))</f>
        <v>-2.2679577914291</v>
      </c>
      <c r="DC233" s="205">
        <f>IF($J233="",#N/A,SUM(DA$4:DA233,CY$4:CY233,CW$4:CW233))</f>
        <v>-2.6957247050105053</v>
      </c>
      <c r="DD233" s="200" t="str">
        <f t="shared" si="375"/>
        <v/>
      </c>
      <c r="DE233" s="203">
        <f>IF($J233="",#N/A,SUM(DD$4:DD233))</f>
        <v>0.14968716170674062</v>
      </c>
      <c r="DF233" s="204" t="str">
        <f t="shared" si="376"/>
        <v/>
      </c>
      <c r="DG233" s="204">
        <f>IF($J233="",#N/A,SUM(DF$4:DF233))</f>
        <v>1.5249935139936004</v>
      </c>
      <c r="DH233" s="205" t="str">
        <f t="shared" si="377"/>
        <v/>
      </c>
      <c r="DI233" s="205">
        <f>IF($J233="",#N/A,SUM(DH$4:DH233))</f>
        <v>-1.9066052078694633</v>
      </c>
      <c r="DJ233" s="205">
        <f>IF($J233="",#N/A,SUM(DH$4:DH233,DF$4:DF233,DD$4:DD233))</f>
        <v>-0.23192453216912207</v>
      </c>
      <c r="DK233" s="200" t="str">
        <f t="shared" si="378"/>
        <v/>
      </c>
      <c r="DL233" s="203">
        <f>IF($J233="",#N/A,SUM(DK$4:DK233))</f>
        <v>-1.2097286851272664</v>
      </c>
      <c r="DM233" s="204" t="str">
        <f t="shared" si="379"/>
        <v/>
      </c>
      <c r="DN233" s="204">
        <f>IF($J233="",#N/A,SUM(DM$4:DM233))</f>
        <v>1.1910608267574658</v>
      </c>
      <c r="DO233" s="205" t="str">
        <f t="shared" si="380"/>
        <v/>
      </c>
      <c r="DP233" s="205">
        <f>IF($J233="",#N/A,SUM(DO$4:DO233))</f>
        <v>2.6571865116636566</v>
      </c>
      <c r="DQ233" s="205">
        <f>IF($J233="",#N/A,SUM(DO$4:DO233,DM$4:DM233,DK$4:DK233))</f>
        <v>2.6385186532938567</v>
      </c>
      <c r="DR233" s="200" t="str">
        <f t="shared" si="381"/>
        <v/>
      </c>
      <c r="DS233" s="203">
        <f>IF($J233="",#N/A,SUM(DR$4:DR233))</f>
        <v>-0.55950946427675097</v>
      </c>
      <c r="DT233" s="204" t="str">
        <f t="shared" si="382"/>
        <v/>
      </c>
      <c r="DU233" s="204">
        <f>IF($J233="",#N/A,SUM(DT$4:DT233))</f>
        <v>-3.6911249040845173</v>
      </c>
      <c r="DV233" s="205" t="str">
        <f t="shared" si="383"/>
        <v/>
      </c>
      <c r="DW233" s="205">
        <f>IF($J233="",#N/A,SUM(DV$4:DV233))</f>
        <v>-1.2815650893103838</v>
      </c>
      <c r="DX233" s="205">
        <f>IF($J233="",#N/A,SUM(DV$4:DV233,DT$4:DT233,DR$4:DR233))</f>
        <v>-5.532199457671652</v>
      </c>
      <c r="DY233" s="200" t="str">
        <f t="shared" si="384"/>
        <v/>
      </c>
      <c r="DZ233" s="203">
        <f>IF($J233="",#N/A,SUM(DY$4:DY233))</f>
        <v>-1.0460034109943892</v>
      </c>
      <c r="EA233" s="204" t="str">
        <f t="shared" si="385"/>
        <v/>
      </c>
      <c r="EB233" s="204">
        <f>IF($J233="",#N/A,SUM(EA$4:EA233))</f>
        <v>0.65158371441459195</v>
      </c>
      <c r="EC233" s="205" t="str">
        <f t="shared" si="386"/>
        <v/>
      </c>
      <c r="ED233" s="205">
        <f>IF($J233="",#N/A,SUM(EC$4:EC233))</f>
        <v>5.1322420709634535</v>
      </c>
      <c r="EE233" s="205">
        <f>IF($J233="",#N/A,SUM(EC$4:EC233,EA$4:EA233,DY$4:DY233))</f>
        <v>4.7378223743836561</v>
      </c>
      <c r="EF233" s="200" t="str">
        <f t="shared" si="387"/>
        <v/>
      </c>
      <c r="EG233" s="203">
        <f>IF($J233="",#N/A,SUM(EF$4:EF233))</f>
        <v>-0.15098969023521425</v>
      </c>
      <c r="EH233" s="204" t="str">
        <f t="shared" si="388"/>
        <v/>
      </c>
      <c r="EI233" s="204">
        <f>IF($J233="",#N/A,SUM(EH$4:EH233))</f>
        <v>-3.1507771605639614</v>
      </c>
      <c r="EJ233" s="205" t="str">
        <f t="shared" si="389"/>
        <v/>
      </c>
      <c r="EK233" s="205">
        <f>IF($J233="",#N/A,SUM(EJ$4:EJ233))</f>
        <v>4.5969853022853275</v>
      </c>
      <c r="EL233" s="205">
        <f>IF($J233="",#N/A,SUM(EJ$4:EJ233,EH$4:EH233,EF$4:EF233))</f>
        <v>1.2952184514861527</v>
      </c>
      <c r="EM233" s="200" t="str">
        <f t="shared" si="390"/>
        <v/>
      </c>
      <c r="EN233" s="203">
        <f>IF($J233="",#N/A,SUM(EM$4:EM233))</f>
        <v>0</v>
      </c>
      <c r="EO233" s="204" t="str">
        <f t="shared" si="391"/>
        <v/>
      </c>
      <c r="EP233" s="204">
        <f>IF($J233="",#N/A,SUM(EO$4:EO233))</f>
        <v>3.2406646352184261</v>
      </c>
      <c r="EQ233" s="205" t="str">
        <f t="shared" si="392"/>
        <v/>
      </c>
      <c r="ER233" s="205">
        <f>IF($J233="",#N/A,SUM(EQ$4:EQ233))</f>
        <v>1.441536272249796</v>
      </c>
      <c r="ES233" s="205">
        <f>IF($J233="",#N/A,SUM(EQ$4:EQ233,EO$4:EO233,EM$4:EM233))</f>
        <v>4.6822009074682214</v>
      </c>
      <c r="ET233" s="200" t="str">
        <f t="shared" si="393"/>
        <v/>
      </c>
      <c r="EU233" s="203">
        <f>IF($J233="",#N/A,SUM(ET$4:ET233))</f>
        <v>0</v>
      </c>
      <c r="EV233" s="204" t="str">
        <f t="shared" si="394"/>
        <v/>
      </c>
      <c r="EW233" s="204">
        <f>IF($J233="",#N/A,SUM(EV$4:EV233))</f>
        <v>1.9901851109977766</v>
      </c>
      <c r="EX233" s="205" t="str">
        <f t="shared" si="395"/>
        <v/>
      </c>
      <c r="EY233" s="205">
        <f>IF($J233="",#N/A,SUM(EX$4:EX233))</f>
        <v>0.27113250180669229</v>
      </c>
      <c r="EZ233" s="205">
        <f>IF($J233="",#N/A,SUM(EX$4:EX233,EV$4:EV233,ET$4:ET233))</f>
        <v>2.2613176128044685</v>
      </c>
      <c r="FA233" s="200" t="str">
        <f t="shared" si="396"/>
        <v/>
      </c>
      <c r="FB233" s="203">
        <f>IF($J233="",#N/A,SUM(FA$4:FA233))</f>
        <v>0</v>
      </c>
      <c r="FC233" s="204" t="str">
        <f t="shared" si="397"/>
        <v/>
      </c>
      <c r="FD233" s="204">
        <f>IF($J233="",#N/A,SUM(FC$4:FC233))</f>
        <v>1.8692126759492278</v>
      </c>
      <c r="FE233" s="205" t="str">
        <f t="shared" si="398"/>
        <v/>
      </c>
      <c r="FF233" s="205">
        <f>IF($J233="",#N/A,SUM(FE$4:FE233))</f>
        <v>-0.28811149078748233</v>
      </c>
      <c r="FG233" s="205">
        <f>IF($J233="",#N/A,SUM(FE$4:FE233,FC$4:FC233,FA$4:FA233))</f>
        <v>1.5811011851617456</v>
      </c>
      <c r="FH233" s="200" t="str">
        <f t="shared" si="399"/>
        <v/>
      </c>
      <c r="FI233" s="203">
        <f>IF($J233="",#N/A,SUM(FH$4:FH233))</f>
        <v>0</v>
      </c>
      <c r="FJ233" s="204" t="str">
        <f t="shared" si="400"/>
        <v/>
      </c>
      <c r="FK233" s="204">
        <f>IF($J233="",#N/A,SUM(FJ$4:FJ233))</f>
        <v>0</v>
      </c>
      <c r="FL233" s="205" t="str">
        <f t="shared" si="401"/>
        <v/>
      </c>
      <c r="FM233" s="205">
        <f>IF($J233="",#N/A,SUM(FL$4:FL233))</f>
        <v>0</v>
      </c>
      <c r="FN233" s="205">
        <f>IF($J233="",#N/A,SUM(FL$4:FL233,FJ$4:FJ233,FH$4:FH233))</f>
        <v>0</v>
      </c>
      <c r="FO233" s="200" t="str">
        <f t="shared" si="402"/>
        <v/>
      </c>
      <c r="FP233" s="203">
        <f>IF($J233="",#N/A,SUM(FO$4:FO233))</f>
        <v>0</v>
      </c>
      <c r="FQ233" s="204" t="str">
        <f t="shared" si="403"/>
        <v/>
      </c>
      <c r="FR233" s="204">
        <f>IF($J233="",#N/A,SUM(FQ$4:FQ233))</f>
        <v>0</v>
      </c>
      <c r="FS233" s="205" t="str">
        <f t="shared" si="404"/>
        <v/>
      </c>
      <c r="FT233" s="205">
        <f>IF($J233="",#N/A,SUM(FS$4:FS233))</f>
        <v>0</v>
      </c>
      <c r="FU233" s="205">
        <f>IF($J233="",#N/A,SUM(FS$4:FS233,FQ$4:FQ233,FO$4:FO233))</f>
        <v>0</v>
      </c>
      <c r="FV233" s="200" t="str">
        <f t="shared" si="405"/>
        <v/>
      </c>
      <c r="FW233" s="203">
        <f>IF($J233="",#N/A,SUM(FV$4:FV233))</f>
        <v>6.6834991831277585E-2</v>
      </c>
      <c r="FX233" s="204" t="str">
        <f t="shared" si="406"/>
        <v/>
      </c>
      <c r="FY233" s="204">
        <f>IF($J233="",#N/A,SUM(FX$4:FX233))</f>
        <v>-0.16102012791805576</v>
      </c>
      <c r="FZ233" s="205">
        <f t="shared" si="407"/>
        <v>-4.329539831766533E-2</v>
      </c>
      <c r="GA233" s="205">
        <f>IF($J233="",#N/A,SUM(FZ$4:FZ233))</f>
        <v>-1.8075055796508848</v>
      </c>
      <c r="GB233" s="205">
        <f>IF($J233="",#N/A,SUM(FZ$4:FZ233,FX$4:FX233,FV$4:FV233))</f>
        <v>-1.901690715737663</v>
      </c>
      <c r="GC233" s="200" t="str">
        <f t="shared" si="408"/>
        <v/>
      </c>
      <c r="GD233" s="203">
        <f>IF($J233="",#N/A,SUM(GC$4:GC233))</f>
        <v>0</v>
      </c>
      <c r="GE233" s="204" t="str">
        <f t="shared" si="409"/>
        <v/>
      </c>
      <c r="GF233" s="204">
        <f>IF($J233="",#N/A,SUM(GE$4:GE233))</f>
        <v>0</v>
      </c>
      <c r="GG233" s="205" t="str">
        <f t="shared" si="410"/>
        <v/>
      </c>
      <c r="GH233" s="205">
        <f>IF($J233="",#N/A,SUM(GG$4:GG233))</f>
        <v>-2.9368362277223206</v>
      </c>
      <c r="GI233" s="205">
        <f>IF($J233="",#N/A,SUM(GG$4:GG233,GE$4:GE233,GC$4:GC233))</f>
        <v>-2.9368362277223206</v>
      </c>
      <c r="GJ233" s="200" t="str">
        <f t="shared" si="411"/>
        <v/>
      </c>
      <c r="GK233" s="203">
        <f>IF($J233="",#N/A,SUM(GJ$4:GJ233))</f>
        <v>0</v>
      </c>
      <c r="GL233" s="204" t="str">
        <f t="shared" si="412"/>
        <v/>
      </c>
      <c r="GM233" s="204">
        <f>IF($J233="",#N/A,SUM(GL$4:GL233))</f>
        <v>-1.6833790887309608</v>
      </c>
      <c r="GN233" s="205" t="str">
        <f t="shared" si="413"/>
        <v/>
      </c>
      <c r="GO233" s="205">
        <f>IF($J233="",#N/A,SUM(GN$4:GN233))</f>
        <v>0</v>
      </c>
      <c r="GP233" s="205">
        <f>IF($J233="",#N/A,SUM(GN$4:GN233,GL$4:GL233,GJ$4:GJ233))</f>
        <v>-1.6833790887309608</v>
      </c>
      <c r="GS233" s="54">
        <f t="shared" si="432"/>
        <v>-4.329539831766533E-2</v>
      </c>
      <c r="GT233" s="54">
        <f>IF(GS233="",NA(),SUM($GS$4:GS233))</f>
        <v>7.5597337895266916</v>
      </c>
      <c r="GU233" s="54" t="str">
        <f t="shared" si="414"/>
        <v/>
      </c>
      <c r="GV233" s="54" t="e">
        <f>IF(GU233="",NA(),SUM($GU$4:GU233))</f>
        <v>#N/A</v>
      </c>
      <c r="GW233" s="54">
        <f t="shared" si="415"/>
        <v>-4.329539831766533E-2</v>
      </c>
      <c r="GX233" s="54">
        <f>IF(GW233="",NA(),SUM($GW$4:GW233))</f>
        <v>7.7225603909943343</v>
      </c>
      <c r="GY233" s="54" t="str">
        <f t="shared" si="416"/>
        <v/>
      </c>
      <c r="GZ233" s="54" t="e">
        <f>IF(GY233="",NA(),SUM($GY$4:GY233))</f>
        <v>#N/A</v>
      </c>
      <c r="HA233" s="54" t="str">
        <f t="shared" si="417"/>
        <v/>
      </c>
      <c r="HB233" s="54" t="e">
        <f>IF(HA233="",NA(),SUM($HA$4:HA233))</f>
        <v>#N/A</v>
      </c>
      <c r="HC233" s="54" t="str">
        <f t="shared" si="418"/>
        <v/>
      </c>
      <c r="HD233" s="54" t="e">
        <f>IF(HC233="",NA(),SUM($HC$4:HC233))</f>
        <v>#N/A</v>
      </c>
      <c r="HE233" s="54" t="str">
        <f t="shared" si="419"/>
        <v/>
      </c>
      <c r="HF233" s="54" t="e">
        <f>IF(HE233="",NA(),SUM($HE$4:HE233))</f>
        <v>#N/A</v>
      </c>
      <c r="HG233" s="54" t="str">
        <f t="shared" si="420"/>
        <v/>
      </c>
      <c r="HH233" s="54" t="e">
        <f>IF(HG233="",NA(),SUM($HG$4:HG233))</f>
        <v>#N/A</v>
      </c>
      <c r="HI233" s="172" t="str">
        <f t="shared" si="433"/>
        <v/>
      </c>
      <c r="HJ233" s="172">
        <f>IF($J233="",#N/A,SUM(HI$4:$HI233))</f>
        <v>-6.4651545990045207</v>
      </c>
      <c r="HK233" s="54" t="str">
        <f t="shared" si="421"/>
        <v/>
      </c>
      <c r="HL233" s="54">
        <f>IF($J233="",#N/A,SUM($HK$4:HK233))</f>
        <v>-1.4008180841025943</v>
      </c>
      <c r="HM233" s="54" t="str">
        <f t="shared" si="422"/>
        <v/>
      </c>
      <c r="HN233" s="54">
        <f>IF($J233="",#N/A,SUM($HM$4:HM233))</f>
        <v>0.90694539517251249</v>
      </c>
      <c r="HO233" s="54" t="str">
        <f t="shared" si="423"/>
        <v/>
      </c>
      <c r="HP233" s="54">
        <f>IF($J233="",#N/A,SUM($HO$4:HO233))</f>
        <v>-0.10266465451722628</v>
      </c>
      <c r="HQ233" s="54" t="str">
        <f t="shared" si="424"/>
        <v/>
      </c>
      <c r="HR233" s="54">
        <f>IF($J233="",#N/A,SUM($HQ$4:HQ233))</f>
        <v>-14.165420258732395</v>
      </c>
      <c r="HS233" s="54">
        <f t="shared" si="425"/>
        <v>0.62469074715487505</v>
      </c>
      <c r="HT233" s="54">
        <f>IF($J233="",#N/A,SUM($HS$4:HS233))</f>
        <v>13.446413351259348</v>
      </c>
      <c r="HU233" s="65">
        <f t="shared" si="426"/>
        <v>0.58139534883720967</v>
      </c>
      <c r="HV233" s="65">
        <f>IF($J233="",#N/A,SUM(HU$4:$HU233))</f>
        <v>3.3499443905599149</v>
      </c>
    </row>
    <row r="234" spans="1:230" x14ac:dyDescent="0.25">
      <c r="A234" s="51" t="s">
        <v>1093</v>
      </c>
      <c r="B234" s="52" t="s">
        <v>4563</v>
      </c>
      <c r="C234" s="229">
        <f t="shared" si="327"/>
        <v>2</v>
      </c>
      <c r="D234" s="219" t="str">
        <f>_xlfn.XLOOKUP(A234,[1]SP500!$A$2:$A$502,[1]SP500!$D$2:$D$502,"N")</f>
        <v>N</v>
      </c>
      <c r="E234" s="51" t="str">
        <f>IFERROR(_xlfn.XLOOKUP(A234,[1]SP500!$A$2:$A$655,[1]SP500!$B$2:$B$655),"")</f>
        <v>IGV</v>
      </c>
      <c r="F234" s="290">
        <v>45778</v>
      </c>
      <c r="G234" s="51" t="str">
        <f t="shared" si="328"/>
        <v>AMC</v>
      </c>
      <c r="H234" s="51" t="str">
        <f t="shared" si="329"/>
        <v>s</v>
      </c>
      <c r="I234" s="344">
        <v>76.180000000000007</v>
      </c>
      <c r="J234" s="124">
        <v>72.88</v>
      </c>
      <c r="K234" s="55">
        <f t="shared" si="330"/>
        <v>-4.3318456287739712E-2</v>
      </c>
      <c r="L234" s="67">
        <f t="shared" si="331"/>
        <v>49.500000000000227</v>
      </c>
      <c r="M234" s="57">
        <f t="shared" si="332"/>
        <v>0</v>
      </c>
      <c r="N234" s="102">
        <f t="shared" si="333"/>
        <v>49.500000000000227</v>
      </c>
      <c r="O234" s="57">
        <f>IF(N234="",#N/A,SUM($N$4:N234))</f>
        <v>556.64865200916904</v>
      </c>
      <c r="P234" s="65">
        <f t="shared" si="427"/>
        <v>0.7219742714623294</v>
      </c>
      <c r="Q234" s="172">
        <f>IF($N234="",#N/A,SUM($P$4:P234))</f>
        <v>11.85261751194712</v>
      </c>
      <c r="R234" s="279">
        <f t="shared" si="334"/>
        <v>3.4781797764358142</v>
      </c>
      <c r="S234" s="51" t="str">
        <f t="shared" si="335"/>
        <v>Dwn</v>
      </c>
      <c r="T234" s="51" t="s">
        <v>4462</v>
      </c>
      <c r="U234" s="56">
        <f t="shared" si="336"/>
        <v>76.180000000000007</v>
      </c>
      <c r="V234" s="56" t="s">
        <v>4458</v>
      </c>
      <c r="W234" s="142">
        <v>15</v>
      </c>
      <c r="X234" s="145">
        <f t="shared" si="337"/>
        <v>1142.7</v>
      </c>
      <c r="Y234" s="140">
        <f t="shared" si="338"/>
        <v>15</v>
      </c>
      <c r="Z234" s="123">
        <v>72.88</v>
      </c>
      <c r="AA234" s="102">
        <f t="shared" si="339"/>
        <v>49.500000000000227</v>
      </c>
      <c r="AB234" s="102">
        <f t="shared" si="340"/>
        <v>19.649999999999864</v>
      </c>
      <c r="AC234" s="124">
        <v>74.87</v>
      </c>
      <c r="AD234" s="155">
        <f t="shared" si="341"/>
        <v>19.649999999999864</v>
      </c>
      <c r="AE234" s="545">
        <f t="shared" si="342"/>
        <v>0.28660190776231531</v>
      </c>
      <c r="AF234" s="57">
        <f>IF($AC234="",#N/A,SUM(AD$4:AD234))</f>
        <v>176.67978088917175</v>
      </c>
      <c r="AG234" s="102">
        <f t="shared" si="343"/>
        <v>-29.850000000000364</v>
      </c>
      <c r="AH234" s="56" t="s">
        <v>2507</v>
      </c>
      <c r="AI234" s="65">
        <f t="shared" si="344"/>
        <v>0.7219742714623294</v>
      </c>
      <c r="AJ234" s="54">
        <f>IF(AI234="",#N/A,SUM($AI$4:AI234))</f>
        <v>8.3744377355113055</v>
      </c>
      <c r="AK234" s="57">
        <f t="shared" si="345"/>
        <v>49.500000000000227</v>
      </c>
      <c r="AL234" s="349">
        <f>IF(AI234="",#N/A,IF(AH234="Skip",SUM($AK$4:AK234),SUM($AK$4:AK234)))</f>
        <v>321.65759149281439</v>
      </c>
      <c r="AM234" s="65">
        <f t="shared" si="428"/>
        <v>0.28660190776231531</v>
      </c>
      <c r="AN234" s="209"/>
      <c r="AO234" s="65" t="str">
        <f t="shared" si="346"/>
        <v/>
      </c>
      <c r="AP234" s="65">
        <f>IF($AC234="",#N/A,SUM(AO$4:AO234))</f>
        <v>5.5965171503096052</v>
      </c>
      <c r="AQ234" s="65" t="str">
        <f t="shared" si="347"/>
        <v/>
      </c>
      <c r="AR234" s="65">
        <f>IF($AC234="",#N/A,SUM(AQ$4:AQ234))</f>
        <v>-2.2840800066827698</v>
      </c>
      <c r="AS234" s="65">
        <f t="shared" si="348"/>
        <v>0.28660190776231531</v>
      </c>
      <c r="AT234" s="65">
        <f>IF($AC234="",#N/A,SUM(AS$4:AS234))</f>
        <v>0.32410915469539214</v>
      </c>
      <c r="AU234" s="57" t="str">
        <f t="shared" si="429"/>
        <v/>
      </c>
      <c r="AV234" s="57">
        <f>IF($AC234="",#N/A,SUM(AU$4:AU234))</f>
        <v>255.68139934283897</v>
      </c>
      <c r="AW234" s="57" t="str">
        <f t="shared" si="430"/>
        <v/>
      </c>
      <c r="AX234" s="57">
        <f>IF($AC234="",#N/A,SUM(AW$4:AW234))</f>
        <v>-142.90000000000009</v>
      </c>
      <c r="AY234" s="57">
        <f t="shared" si="431"/>
        <v>19.649999999999864</v>
      </c>
      <c r="AZ234" s="57">
        <f>IF($AC234="",#N/A,SUM(AY$4:AY234))</f>
        <v>63.898381546332871</v>
      </c>
      <c r="BA234" s="57">
        <f>IF(AD234="",#N/A,SUM($AD$4:AD234))</f>
        <v>176.67978088917175</v>
      </c>
      <c r="BC234" s="51" t="str">
        <f t="shared" si="349"/>
        <v/>
      </c>
      <c r="BD234" s="51" t="str">
        <f t="shared" si="350"/>
        <v/>
      </c>
      <c r="BE234" s="51" t="str">
        <f t="shared" si="351"/>
        <v/>
      </c>
      <c r="BF234" s="51" t="str">
        <f t="shared" si="352"/>
        <v>Short</v>
      </c>
      <c r="BG234" s="51">
        <f t="shared" si="353"/>
        <v>1</v>
      </c>
      <c r="BH234" s="51" t="str">
        <f t="shared" si="354"/>
        <v/>
      </c>
      <c r="BI234" s="51" t="str">
        <f t="shared" si="355"/>
        <v/>
      </c>
      <c r="BK234" s="65">
        <f t="shared" si="326"/>
        <v>8.7521682139880805E-2</v>
      </c>
      <c r="BL234" s="65">
        <f t="shared" si="434"/>
        <v>3.9294895089144785E-2</v>
      </c>
      <c r="BM234" s="65">
        <f>IFERROR(Q234/COUNTA($J$4:J234),#N/A)</f>
        <v>5.1310032519251599E-2</v>
      </c>
      <c r="BO234" s="489" t="e">
        <f>IF(J234="",#N/A,IF(S234="SW",(COUNTIFS(K$4:$K234,"&gt;0",S$4:$S234,"SW")/COUNTIF(S$4:$S234,"SW")),#N/A))</f>
        <v>#N/A</v>
      </c>
      <c r="BP234" s="489">
        <f>IF($J234="",#N/A,IF($S234="DWN",(COUNTIFS($K$4:$K234,"&lt;0",$S$4:$S234,"DWN")/COUNTIF($S$4:$S234,"DWN")),#N/A))</f>
        <v>0.58163265306122447</v>
      </c>
      <c r="BQ234" s="489" t="e">
        <f>IF($J234="",#N/A,IF($S234="UP",(COUNTIFS($K$4:$K234,"&gt;0",$S$4:$S234,"UP")/COUNTIF($S$4:$S234,"UP")),#N/A))</f>
        <v>#N/A</v>
      </c>
      <c r="BR234" s="489">
        <f>IF(J234="",#N/A,COUNTIF($K$4:K234,"&gt;0")/COUNT($J$4:J234))</f>
        <v>0.45887445887445888</v>
      </c>
      <c r="BS234" s="65" t="str">
        <f t="shared" si="356"/>
        <v/>
      </c>
      <c r="BT234" s="65" t="str">
        <f t="shared" si="357"/>
        <v/>
      </c>
      <c r="BU234" s="65">
        <f t="shared" si="358"/>
        <v>0.7219742714623294</v>
      </c>
      <c r="BV234" s="65" t="str">
        <f t="shared" si="359"/>
        <v/>
      </c>
      <c r="BW234" s="128" t="str">
        <f t="shared" si="360"/>
        <v/>
      </c>
      <c r="BX234" s="128">
        <f>IF($J234="",#N/A,SUM($BW$4:BW234))</f>
        <v>-199.33000000000038</v>
      </c>
      <c r="BY234" s="131">
        <f t="shared" si="361"/>
        <v>49.500000000000227</v>
      </c>
      <c r="BZ234" s="131">
        <f>IF($J234="",#N/A,SUM($BY$4:BY234))</f>
        <v>499.76934038933473</v>
      </c>
      <c r="CA234" s="133" t="str">
        <f t="shared" si="362"/>
        <v/>
      </c>
      <c r="CB234" s="133">
        <f>IF($J234="",#N/A,SUM($CA$4:CA234))</f>
        <v>256.20931161983469</v>
      </c>
      <c r="CC234" s="194" t="str">
        <f t="shared" si="363"/>
        <v/>
      </c>
      <c r="CD234" s="194">
        <f>IF($J234="",#N/A,SUM($CC$4:CC234))</f>
        <v>-3.0883607473380557</v>
      </c>
      <c r="CE234" s="195">
        <f t="shared" si="364"/>
        <v>0.7219742714623294</v>
      </c>
      <c r="CF234" s="195">
        <f>IF($J234="",#N/A,SUM($CE$4:CE234))</f>
        <v>8.625454201502528</v>
      </c>
      <c r="CG234" s="196" t="str">
        <f t="shared" si="365"/>
        <v/>
      </c>
      <c r="CH234" s="193">
        <f>IF($J234="",#N/A,SUM($CG$4:CG234))</f>
        <v>6.3155240577826532</v>
      </c>
      <c r="CI234" s="200" t="str">
        <f t="shared" si="366"/>
        <v/>
      </c>
      <c r="CJ234" s="203">
        <f>IF($J234="",#N/A,SUM(CI$4:CI234))</f>
        <v>0</v>
      </c>
      <c r="CK234" s="204" t="str">
        <f t="shared" si="367"/>
        <v/>
      </c>
      <c r="CL234" s="204">
        <f>IF($J234="",#N/A,SUM(CK$4:CK234))</f>
        <v>1.9927003554442289</v>
      </c>
      <c r="CM234" s="205" t="str">
        <f t="shared" si="368"/>
        <v/>
      </c>
      <c r="CN234" s="205">
        <f>IF($J234="",#N/A,SUM(CM$4:CM234))</f>
        <v>5.6091171609382364</v>
      </c>
      <c r="CO234" s="205">
        <f>IF($J234="",#N/A,SUM(CM$4:CM234,CK$4:CK234,CI$4:CI234))</f>
        <v>7.6018175163824644</v>
      </c>
      <c r="CP234" s="200" t="str">
        <f t="shared" si="369"/>
        <v/>
      </c>
      <c r="CQ234" s="203">
        <f>IF($J234="",#N/A,SUM(CP$4:CP234))</f>
        <v>0</v>
      </c>
      <c r="CR234" s="204">
        <f t="shared" si="370"/>
        <v>0.7219742714623294</v>
      </c>
      <c r="CS234" s="204">
        <f>IF($J234="",#N/A,SUM(CR$4:CR234))</f>
        <v>4.6135245886817966</v>
      </c>
      <c r="CT234" s="205" t="str">
        <f t="shared" si="371"/>
        <v/>
      </c>
      <c r="CU234" s="205">
        <f>IF($J234="",#N/A,SUM(CT$4:CT234))</f>
        <v>-2.9040943753548785</v>
      </c>
      <c r="CV234" s="205">
        <f>IF($J234="",#N/A,SUM(CT$4:CT234,CR$4:CR234,CP$4:CP234))</f>
        <v>1.7094302133269181</v>
      </c>
      <c r="CW234" s="200" t="str">
        <f t="shared" si="372"/>
        <v/>
      </c>
      <c r="CX234" s="203">
        <f>IF($J234="",#N/A,SUM(CW$4:CW234))</f>
        <v>-0.33865165024245297</v>
      </c>
      <c r="CY234" s="204" t="str">
        <f t="shared" si="373"/>
        <v/>
      </c>
      <c r="CZ234" s="204">
        <f>IF($J234="",#N/A,SUM(CY$4:CY234))</f>
        <v>-8.9115263338952644E-2</v>
      </c>
      <c r="DA234" s="205" t="str">
        <f t="shared" si="374"/>
        <v/>
      </c>
      <c r="DB234" s="205">
        <f>IF($J234="",#N/A,SUM(DA$4:DA234))</f>
        <v>-2.2679577914291</v>
      </c>
      <c r="DC234" s="205">
        <f>IF($J234="",#N/A,SUM(DA$4:DA234,CY$4:CY234,CW$4:CW234))</f>
        <v>-2.6957247050105053</v>
      </c>
      <c r="DD234" s="200" t="str">
        <f t="shared" si="375"/>
        <v/>
      </c>
      <c r="DE234" s="203">
        <f>IF($J234="",#N/A,SUM(DD$4:DD234))</f>
        <v>0.14968716170674062</v>
      </c>
      <c r="DF234" s="204" t="str">
        <f t="shared" si="376"/>
        <v/>
      </c>
      <c r="DG234" s="204">
        <f>IF($J234="",#N/A,SUM(DF$4:DF234))</f>
        <v>1.5249935139936004</v>
      </c>
      <c r="DH234" s="205" t="str">
        <f t="shared" si="377"/>
        <v/>
      </c>
      <c r="DI234" s="205">
        <f>IF($J234="",#N/A,SUM(DH$4:DH234))</f>
        <v>-1.9066052078694633</v>
      </c>
      <c r="DJ234" s="205">
        <f>IF($J234="",#N/A,SUM(DH$4:DH234,DF$4:DF234,DD$4:DD234))</f>
        <v>-0.23192453216912207</v>
      </c>
      <c r="DK234" s="200" t="str">
        <f t="shared" si="378"/>
        <v/>
      </c>
      <c r="DL234" s="203">
        <f>IF($J234="",#N/A,SUM(DK$4:DK234))</f>
        <v>-1.2097286851272664</v>
      </c>
      <c r="DM234" s="204" t="str">
        <f t="shared" si="379"/>
        <v/>
      </c>
      <c r="DN234" s="204">
        <f>IF($J234="",#N/A,SUM(DM$4:DM234))</f>
        <v>1.1910608267574658</v>
      </c>
      <c r="DO234" s="205" t="str">
        <f t="shared" si="380"/>
        <v/>
      </c>
      <c r="DP234" s="205">
        <f>IF($J234="",#N/A,SUM(DO$4:DO234))</f>
        <v>2.6571865116636566</v>
      </c>
      <c r="DQ234" s="205">
        <f>IF($J234="",#N/A,SUM(DO$4:DO234,DM$4:DM234,DK$4:DK234))</f>
        <v>2.6385186532938567</v>
      </c>
      <c r="DR234" s="200" t="str">
        <f t="shared" si="381"/>
        <v/>
      </c>
      <c r="DS234" s="203">
        <f>IF($J234="",#N/A,SUM(DR$4:DR234))</f>
        <v>-0.55950946427675097</v>
      </c>
      <c r="DT234" s="204" t="str">
        <f t="shared" si="382"/>
        <v/>
      </c>
      <c r="DU234" s="204">
        <f>IF($J234="",#N/A,SUM(DT$4:DT234))</f>
        <v>-3.6911249040845173</v>
      </c>
      <c r="DV234" s="205" t="str">
        <f t="shared" si="383"/>
        <v/>
      </c>
      <c r="DW234" s="205">
        <f>IF($J234="",#N/A,SUM(DV$4:DV234))</f>
        <v>-1.2815650893103838</v>
      </c>
      <c r="DX234" s="205">
        <f>IF($J234="",#N/A,SUM(DV$4:DV234,DT$4:DT234,DR$4:DR234))</f>
        <v>-5.532199457671652</v>
      </c>
      <c r="DY234" s="200" t="str">
        <f t="shared" si="384"/>
        <v/>
      </c>
      <c r="DZ234" s="203">
        <f>IF($J234="",#N/A,SUM(DY$4:DY234))</f>
        <v>-1.0460034109943892</v>
      </c>
      <c r="EA234" s="204" t="str">
        <f t="shared" si="385"/>
        <v/>
      </c>
      <c r="EB234" s="204">
        <f>IF($J234="",#N/A,SUM(EA$4:EA234))</f>
        <v>0.65158371441459195</v>
      </c>
      <c r="EC234" s="205" t="str">
        <f t="shared" si="386"/>
        <v/>
      </c>
      <c r="ED234" s="205">
        <f>IF($J234="",#N/A,SUM(EC$4:EC234))</f>
        <v>5.1322420709634535</v>
      </c>
      <c r="EE234" s="205">
        <f>IF($J234="",#N/A,SUM(EC$4:EC234,EA$4:EA234,DY$4:DY234))</f>
        <v>4.7378223743836561</v>
      </c>
      <c r="EF234" s="200" t="str">
        <f t="shared" si="387"/>
        <v/>
      </c>
      <c r="EG234" s="203">
        <f>IF($J234="",#N/A,SUM(EF$4:EF234))</f>
        <v>-0.15098969023521425</v>
      </c>
      <c r="EH234" s="204" t="str">
        <f t="shared" si="388"/>
        <v/>
      </c>
      <c r="EI234" s="204">
        <f>IF($J234="",#N/A,SUM(EH$4:EH234))</f>
        <v>-3.1507771605639614</v>
      </c>
      <c r="EJ234" s="205" t="str">
        <f t="shared" si="389"/>
        <v/>
      </c>
      <c r="EK234" s="205">
        <f>IF($J234="",#N/A,SUM(EJ$4:EJ234))</f>
        <v>4.5969853022853275</v>
      </c>
      <c r="EL234" s="205">
        <f>IF($J234="",#N/A,SUM(EJ$4:EJ234,EH$4:EH234,EF$4:EF234))</f>
        <v>1.2952184514861527</v>
      </c>
      <c r="EM234" s="200" t="str">
        <f t="shared" si="390"/>
        <v/>
      </c>
      <c r="EN234" s="203">
        <f>IF($J234="",#N/A,SUM(EM$4:EM234))</f>
        <v>0</v>
      </c>
      <c r="EO234" s="204" t="str">
        <f t="shared" si="391"/>
        <v/>
      </c>
      <c r="EP234" s="204">
        <f>IF($J234="",#N/A,SUM(EO$4:EO234))</f>
        <v>3.2406646352184261</v>
      </c>
      <c r="EQ234" s="205" t="str">
        <f t="shared" si="392"/>
        <v/>
      </c>
      <c r="ER234" s="205">
        <f>IF($J234="",#N/A,SUM(EQ$4:EQ234))</f>
        <v>1.441536272249796</v>
      </c>
      <c r="ES234" s="205">
        <f>IF($J234="",#N/A,SUM(EQ$4:EQ234,EO$4:EO234,EM$4:EM234))</f>
        <v>4.6822009074682214</v>
      </c>
      <c r="ET234" s="200" t="str">
        <f t="shared" si="393"/>
        <v/>
      </c>
      <c r="EU234" s="203">
        <f>IF($J234="",#N/A,SUM(ET$4:ET234))</f>
        <v>0</v>
      </c>
      <c r="EV234" s="204" t="str">
        <f t="shared" si="394"/>
        <v/>
      </c>
      <c r="EW234" s="204">
        <f>IF($J234="",#N/A,SUM(EV$4:EV234))</f>
        <v>1.9901851109977766</v>
      </c>
      <c r="EX234" s="205" t="str">
        <f t="shared" si="395"/>
        <v/>
      </c>
      <c r="EY234" s="205">
        <f>IF($J234="",#N/A,SUM(EX$4:EX234))</f>
        <v>0.27113250180669229</v>
      </c>
      <c r="EZ234" s="205">
        <f>IF($J234="",#N/A,SUM(EX$4:EX234,EV$4:EV234,ET$4:ET234))</f>
        <v>2.2613176128044685</v>
      </c>
      <c r="FA234" s="200" t="str">
        <f t="shared" si="396"/>
        <v/>
      </c>
      <c r="FB234" s="203">
        <f>IF($J234="",#N/A,SUM(FA$4:FA234))</f>
        <v>0</v>
      </c>
      <c r="FC234" s="204" t="str">
        <f t="shared" si="397"/>
        <v/>
      </c>
      <c r="FD234" s="204">
        <f>IF($J234="",#N/A,SUM(FC$4:FC234))</f>
        <v>1.8692126759492278</v>
      </c>
      <c r="FE234" s="205" t="str">
        <f t="shared" si="398"/>
        <v/>
      </c>
      <c r="FF234" s="205">
        <f>IF($J234="",#N/A,SUM(FE$4:FE234))</f>
        <v>-0.28811149078748233</v>
      </c>
      <c r="FG234" s="205">
        <f>IF($J234="",#N/A,SUM(FE$4:FE234,FC$4:FC234,FA$4:FA234))</f>
        <v>1.5811011851617456</v>
      </c>
      <c r="FH234" s="200" t="str">
        <f t="shared" si="399"/>
        <v/>
      </c>
      <c r="FI234" s="203">
        <f>IF($J234="",#N/A,SUM(FH$4:FH234))</f>
        <v>0</v>
      </c>
      <c r="FJ234" s="204" t="str">
        <f t="shared" si="400"/>
        <v/>
      </c>
      <c r="FK234" s="204">
        <f>IF($J234="",#N/A,SUM(FJ$4:FJ234))</f>
        <v>0</v>
      </c>
      <c r="FL234" s="205" t="str">
        <f t="shared" si="401"/>
        <v/>
      </c>
      <c r="FM234" s="205">
        <f>IF($J234="",#N/A,SUM(FL$4:FL234))</f>
        <v>0</v>
      </c>
      <c r="FN234" s="205">
        <f>IF($J234="",#N/A,SUM(FL$4:FL234,FJ$4:FJ234,FH$4:FH234))</f>
        <v>0</v>
      </c>
      <c r="FO234" s="200" t="str">
        <f t="shared" si="402"/>
        <v/>
      </c>
      <c r="FP234" s="203">
        <f>IF($J234="",#N/A,SUM(FO$4:FO234))</f>
        <v>0</v>
      </c>
      <c r="FQ234" s="204" t="str">
        <f t="shared" si="403"/>
        <v/>
      </c>
      <c r="FR234" s="204">
        <f>IF($J234="",#N/A,SUM(FQ$4:FQ234))</f>
        <v>0</v>
      </c>
      <c r="FS234" s="205" t="str">
        <f t="shared" si="404"/>
        <v/>
      </c>
      <c r="FT234" s="205">
        <f>IF($J234="",#N/A,SUM(FS$4:FS234))</f>
        <v>0</v>
      </c>
      <c r="FU234" s="205">
        <f>IF($J234="",#N/A,SUM(FS$4:FS234,FQ$4:FQ234,FO$4:FO234))</f>
        <v>0</v>
      </c>
      <c r="FV234" s="200" t="str">
        <f t="shared" si="405"/>
        <v/>
      </c>
      <c r="FW234" s="203">
        <f>IF($J234="",#N/A,SUM(FV$4:FV234))</f>
        <v>6.6834991831277585E-2</v>
      </c>
      <c r="FX234" s="204" t="str">
        <f t="shared" si="406"/>
        <v/>
      </c>
      <c r="FY234" s="204">
        <f>IF($J234="",#N/A,SUM(FX$4:FX234))</f>
        <v>-0.16102012791805576</v>
      </c>
      <c r="FZ234" s="205" t="str">
        <f t="shared" si="407"/>
        <v/>
      </c>
      <c r="GA234" s="205">
        <f>IF($J234="",#N/A,SUM(FZ$4:FZ234))</f>
        <v>-1.8075055796508848</v>
      </c>
      <c r="GB234" s="205">
        <f>IF($J234="",#N/A,SUM(FZ$4:FZ234,FX$4:FX234,FV$4:FV234))</f>
        <v>-1.901690715737663</v>
      </c>
      <c r="GC234" s="200" t="str">
        <f t="shared" si="408"/>
        <v/>
      </c>
      <c r="GD234" s="203">
        <f>IF($J234="",#N/A,SUM(GC$4:GC234))</f>
        <v>0</v>
      </c>
      <c r="GE234" s="204" t="str">
        <f t="shared" si="409"/>
        <v/>
      </c>
      <c r="GF234" s="204">
        <f>IF($J234="",#N/A,SUM(GE$4:GE234))</f>
        <v>0</v>
      </c>
      <c r="GG234" s="205" t="str">
        <f t="shared" si="410"/>
        <v/>
      </c>
      <c r="GH234" s="205">
        <f>IF($J234="",#N/A,SUM(GG$4:GG234))</f>
        <v>-2.9368362277223206</v>
      </c>
      <c r="GI234" s="205">
        <f>IF($J234="",#N/A,SUM(GG$4:GG234,GE$4:GE234,GC$4:GC234))</f>
        <v>-2.9368362277223206</v>
      </c>
      <c r="GJ234" s="200" t="str">
        <f t="shared" si="411"/>
        <v/>
      </c>
      <c r="GK234" s="203">
        <f>IF($J234="",#N/A,SUM(GJ$4:GJ234))</f>
        <v>0</v>
      </c>
      <c r="GL234" s="204" t="str">
        <f t="shared" si="412"/>
        <v/>
      </c>
      <c r="GM234" s="204">
        <f>IF($J234="",#N/A,SUM(GL$4:GL234))</f>
        <v>-1.6833790887309608</v>
      </c>
      <c r="GN234" s="205" t="str">
        <f t="shared" si="413"/>
        <v/>
      </c>
      <c r="GO234" s="205">
        <f>IF($J234="",#N/A,SUM(GN$4:GN234))</f>
        <v>0</v>
      </c>
      <c r="GP234" s="205">
        <f>IF($J234="",#N/A,SUM(GN$4:GN234,GL$4:GL234,GJ$4:GJ234))</f>
        <v>-1.6833790887309608</v>
      </c>
      <c r="GS234" s="54" t="str">
        <f t="shared" si="432"/>
        <v/>
      </c>
      <c r="GT234" s="54" t="e">
        <f>IF(GS234="",NA(),SUM($GS$4:GS234))</f>
        <v>#N/A</v>
      </c>
      <c r="GU234" s="54" t="str">
        <f t="shared" si="414"/>
        <v/>
      </c>
      <c r="GV234" s="54" t="e">
        <f>IF(GU234="",NA(),SUM($GU$4:GU234))</f>
        <v>#N/A</v>
      </c>
      <c r="GW234" s="54" t="str">
        <f t="shared" si="415"/>
        <v/>
      </c>
      <c r="GX234" s="54" t="e">
        <f>IF(GW234="",NA(),SUM($GW$4:GW234))</f>
        <v>#N/A</v>
      </c>
      <c r="GY234" s="54" t="str">
        <f t="shared" si="416"/>
        <v/>
      </c>
      <c r="GZ234" s="54" t="e">
        <f>IF(GY234="",NA(),SUM($GY$4:GY234))</f>
        <v>#N/A</v>
      </c>
      <c r="HA234" s="54">
        <f t="shared" si="417"/>
        <v>0.7219742714623294</v>
      </c>
      <c r="HB234" s="54">
        <f>IF(HA234="",NA(),SUM($HA$4:HA234))</f>
        <v>4.2928837224204264</v>
      </c>
      <c r="HC234" s="54" t="str">
        <f t="shared" si="418"/>
        <v/>
      </c>
      <c r="HD234" s="54" t="e">
        <f>IF(HC234="",NA(),SUM($HC$4:HC234))</f>
        <v>#N/A</v>
      </c>
      <c r="HE234" s="54" t="str">
        <f t="shared" si="419"/>
        <v/>
      </c>
      <c r="HF234" s="54" t="e">
        <f>IF(HE234="",NA(),SUM($HE$4:HE234))</f>
        <v>#N/A</v>
      </c>
      <c r="HG234" s="54">
        <f t="shared" si="420"/>
        <v>0.7219742714623294</v>
      </c>
      <c r="HH234" s="54">
        <f>IF(HG234="",NA(),SUM($HG$4:HG234))</f>
        <v>5.6999200556321084</v>
      </c>
      <c r="HI234" s="172">
        <f t="shared" si="433"/>
        <v>-0.43537236370001409</v>
      </c>
      <c r="HJ234" s="172">
        <f>IF($J234="",#N/A,SUM(HI$4:$HI234))</f>
        <v>-6.9005269627045349</v>
      </c>
      <c r="HK234" s="54" t="str">
        <f t="shared" si="421"/>
        <v/>
      </c>
      <c r="HL234" s="54">
        <f>IF($J234="",#N/A,SUM($HK$4:HK234))</f>
        <v>-1.4008180841025943</v>
      </c>
      <c r="HM234" s="54" t="str">
        <f t="shared" si="422"/>
        <v/>
      </c>
      <c r="HN234" s="54">
        <f>IF($J234="",#N/A,SUM($HM$4:HM234))</f>
        <v>0.90694539517251249</v>
      </c>
      <c r="HO234" s="54" t="str">
        <f t="shared" si="423"/>
        <v/>
      </c>
      <c r="HP234" s="54">
        <f>IF($J234="",#N/A,SUM($HO$4:HO234))</f>
        <v>-0.10266465451722628</v>
      </c>
      <c r="HQ234" s="54" t="str">
        <f t="shared" si="424"/>
        <v/>
      </c>
      <c r="HR234" s="54">
        <f>IF($J234="",#N/A,SUM($HQ$4:HQ234))</f>
        <v>-14.165420258732395</v>
      </c>
      <c r="HS234" s="54" t="str">
        <f t="shared" si="425"/>
        <v/>
      </c>
      <c r="HT234" s="54">
        <f>IF($J234="",#N/A,SUM($HS$4:HS234))</f>
        <v>13.446413351259348</v>
      </c>
      <c r="HU234" s="65">
        <f t="shared" si="426"/>
        <v>0.28660190776231531</v>
      </c>
      <c r="HV234" s="65">
        <f>IF($J234="",#N/A,SUM(HU$4:$HU234))</f>
        <v>3.6365462983222301</v>
      </c>
    </row>
    <row r="235" spans="1:230" x14ac:dyDescent="0.25">
      <c r="A235" s="51" t="s">
        <v>1263</v>
      </c>
      <c r="B235" s="52" t="s">
        <v>4563</v>
      </c>
      <c r="C235" s="229">
        <f t="shared" si="327"/>
        <v>3</v>
      </c>
      <c r="D235" s="219" t="str">
        <f>_xlfn.XLOOKUP(A235,[1]SP500!$A$2:$A$502,[1]SP500!$D$2:$D$502,"N")</f>
        <v>Y</v>
      </c>
      <c r="E235" s="51" t="str">
        <f>IFERROR(_xlfn.XLOOKUP(A235,[1]SP500!$A$2:$A$655,[1]SP500!$B$2:$B$655),"")</f>
        <v>XLK</v>
      </c>
      <c r="F235" s="290">
        <v>45778</v>
      </c>
      <c r="G235" s="51" t="str">
        <f t="shared" si="328"/>
        <v>AMC</v>
      </c>
      <c r="H235" s="51" t="str">
        <f t="shared" si="329"/>
        <v>sk</v>
      </c>
      <c r="I235" s="344">
        <v>213.32</v>
      </c>
      <c r="J235" s="124">
        <v>206.09</v>
      </c>
      <c r="K235" s="55">
        <f t="shared" si="330"/>
        <v>-3.3892743296455981E-2</v>
      </c>
      <c r="L235" s="67">
        <f t="shared" si="331"/>
        <v>-38.637727357959648</v>
      </c>
      <c r="M235" s="57" t="e">
        <f t="shared" si="332"/>
        <v>#N/A</v>
      </c>
      <c r="N235" s="147">
        <f t="shared" si="333"/>
        <v>-38.637727357959648</v>
      </c>
      <c r="O235" s="57">
        <f>IF(N235="",#N/A,SUM($N$4:N235))</f>
        <v>518.01092465120939</v>
      </c>
      <c r="P235" s="65">
        <f t="shared" si="427"/>
        <v>-0.5648790549409306</v>
      </c>
      <c r="Q235" s="172">
        <f>IF($N235="",#N/A,SUM($P$4:P235))</f>
        <v>11.287738457006188</v>
      </c>
      <c r="R235" s="279">
        <f t="shared" si="334"/>
        <v>2.9133007214948829</v>
      </c>
      <c r="S235" s="51" t="str">
        <f t="shared" si="335"/>
        <v>SW</v>
      </c>
      <c r="T235" s="51" t="s">
        <v>2828</v>
      </c>
      <c r="U235" s="56">
        <f t="shared" si="336"/>
        <v>213.32</v>
      </c>
      <c r="V235" s="56" t="s">
        <v>4460</v>
      </c>
      <c r="W235" s="340">
        <f>IF(I235="","",1140/I235)</f>
        <v>5.3440840052503287</v>
      </c>
      <c r="X235" s="145">
        <f t="shared" si="337"/>
        <v>1140</v>
      </c>
      <c r="Y235" s="416">
        <f t="shared" si="338"/>
        <v>5.3440840052503287</v>
      </c>
      <c r="Z235" s="538">
        <f>J235</f>
        <v>206.09</v>
      </c>
      <c r="AA235" s="102">
        <f t="shared" si="339"/>
        <v>-38.637727357959648</v>
      </c>
      <c r="AB235" s="102">
        <f t="shared" si="340"/>
        <v>-42.538908681792464</v>
      </c>
      <c r="AC235" s="123">
        <v>205.36</v>
      </c>
      <c r="AD235" s="155">
        <f t="shared" si="341"/>
        <v>-42.538908681792464</v>
      </c>
      <c r="AE235" s="545">
        <f t="shared" si="342"/>
        <v>-0.62191386961684891</v>
      </c>
      <c r="AF235" s="57">
        <f>IF($AC235="",#N/A,SUM(AD$4:AD235))</f>
        <v>134.14087220737929</v>
      </c>
      <c r="AG235" s="102">
        <f t="shared" si="343"/>
        <v>-3.9011813238328159</v>
      </c>
      <c r="AH235" s="102" t="s">
        <v>4464</v>
      </c>
      <c r="AI235" s="65">
        <f t="shared" si="344"/>
        <v>0</v>
      </c>
      <c r="AJ235" s="54">
        <f>IF(AI235="",#N/A,SUM($AI$4:AI235))</f>
        <v>8.3744377355113055</v>
      </c>
      <c r="AK235" s="144" t="str">
        <f t="shared" si="345"/>
        <v/>
      </c>
      <c r="AL235" s="349">
        <f>IF(AI235="",#N/A,IF(AH235="Skip",SUM($AK$4:AK235),SUM($AK$4:AK235)))</f>
        <v>321.65759149281439</v>
      </c>
      <c r="AM235" s="65">
        <f t="shared" si="428"/>
        <v>-0.62191386961684891</v>
      </c>
      <c r="AN235" s="209"/>
      <c r="AO235" s="65">
        <f t="shared" si="346"/>
        <v>-0.62191386961684891</v>
      </c>
      <c r="AP235" s="65">
        <f>IF($AC235="",#N/A,SUM(AO$4:AO235))</f>
        <v>4.9746032806927563</v>
      </c>
      <c r="AQ235" s="65" t="str">
        <f t="shared" si="347"/>
        <v/>
      </c>
      <c r="AR235" s="65">
        <f>IF($AC235="",#N/A,SUM(AQ$4:AQ235))</f>
        <v>-2.2840800066827698</v>
      </c>
      <c r="AS235" s="65" t="str">
        <f t="shared" si="348"/>
        <v/>
      </c>
      <c r="AT235" s="65">
        <f>IF($AC235="",#N/A,SUM(AS$4:AS235))</f>
        <v>0.32410915469539214</v>
      </c>
      <c r="AU235" s="57">
        <f t="shared" si="429"/>
        <v>-42.538908681792464</v>
      </c>
      <c r="AV235" s="57">
        <f>IF($AC235="",#N/A,SUM(AU$4:AU235))</f>
        <v>213.14249066104651</v>
      </c>
      <c r="AW235" s="57" t="str">
        <f t="shared" si="430"/>
        <v/>
      </c>
      <c r="AX235" s="57">
        <f>IF($AC235="",#N/A,SUM(AW$4:AW235))</f>
        <v>-142.90000000000009</v>
      </c>
      <c r="AY235" s="57" t="str">
        <f t="shared" si="431"/>
        <v/>
      </c>
      <c r="AZ235" s="57">
        <f>IF($AC235="",#N/A,SUM(AY$4:AY235))</f>
        <v>63.898381546332871</v>
      </c>
      <c r="BA235" s="57">
        <f>IF(AD235="",#N/A,SUM($AD$4:AD235))</f>
        <v>134.14087220737929</v>
      </c>
      <c r="BC235" s="51" t="str">
        <f t="shared" si="349"/>
        <v/>
      </c>
      <c r="BD235" s="51" t="str">
        <f t="shared" si="350"/>
        <v/>
      </c>
      <c r="BE235" s="51" t="str">
        <f t="shared" si="351"/>
        <v/>
      </c>
      <c r="BF235" s="51" t="str">
        <f t="shared" si="352"/>
        <v>Long</v>
      </c>
      <c r="BG235" s="51" t="str">
        <f t="shared" si="353"/>
        <v/>
      </c>
      <c r="BH235" s="51" t="str">
        <f t="shared" si="354"/>
        <v/>
      </c>
      <c r="BI235" s="51">
        <f t="shared" si="355"/>
        <v>1</v>
      </c>
      <c r="BK235" s="65">
        <f t="shared" si="326"/>
        <v>6.1997287575428571E-2</v>
      </c>
      <c r="BL235" s="65">
        <f t="shared" si="434"/>
        <v>2.4225767721296591E-2</v>
      </c>
      <c r="BM235" s="65">
        <f>IFERROR(Q235/COUNTA($J$4:J235),#N/A)</f>
        <v>4.8654045073302538E-2</v>
      </c>
      <c r="BO235" s="489">
        <f>IF(J235="",#N/A,IF(S235="SW",(COUNTIFS(K$4:$K235,"&gt;0",S$4:$S235,"SW")/COUNTIF(S$4:$S235,"SW")),#N/A))</f>
        <v>0.5</v>
      </c>
      <c r="BP235" s="489" t="e">
        <f>IF($J235="",#N/A,IF($S235="DWN",(COUNTIFS($K$4:$K235,"&lt;0",$S$4:$S235,"DWN")/COUNTIF($S$4:$S235,"DWN")),#N/A))</f>
        <v>#N/A</v>
      </c>
      <c r="BQ235" s="489" t="e">
        <f>IF($J235="",#N/A,IF($S235="UP",(COUNTIFS($K$4:$K235,"&gt;0",$S$4:$S235,"UP")/COUNTIF($S$4:$S235,"UP")),#N/A))</f>
        <v>#N/A</v>
      </c>
      <c r="BR235" s="489">
        <f>IF(J235="",#N/A,COUNTIF($K$4:K235,"&gt;0")/COUNT($J$4:J235))</f>
        <v>0.45689655172413796</v>
      </c>
      <c r="BS235" s="65" t="str">
        <f t="shared" si="356"/>
        <v/>
      </c>
      <c r="BT235" s="65" t="str">
        <f t="shared" si="357"/>
        <v/>
      </c>
      <c r="BU235" s="65" t="str">
        <f t="shared" si="358"/>
        <v/>
      </c>
      <c r="BV235" s="65" t="str">
        <f t="shared" si="359"/>
        <v/>
      </c>
      <c r="BW235" s="127" t="str">
        <f t="shared" si="360"/>
        <v/>
      </c>
      <c r="BX235" s="127">
        <f>IF($J235="",#N/A,SUM($BW$4:BW235))</f>
        <v>-199.33000000000038</v>
      </c>
      <c r="BY235" s="130" t="str">
        <f t="shared" si="361"/>
        <v/>
      </c>
      <c r="BZ235" s="130">
        <f>IF($J235="",#N/A,SUM($BY$4:BY235))</f>
        <v>499.76934038933473</v>
      </c>
      <c r="CA235" s="132">
        <f t="shared" si="362"/>
        <v>-38.637727357959648</v>
      </c>
      <c r="CB235" s="132">
        <f>IF($J235="",#N/A,SUM($CA$4:CA235))</f>
        <v>217.57158426187505</v>
      </c>
      <c r="CC235" s="197" t="str">
        <f t="shared" si="363"/>
        <v/>
      </c>
      <c r="CD235" s="197">
        <f>IF($J235="",#N/A,SUM($CC$4:CC235))</f>
        <v>-3.0883607473380557</v>
      </c>
      <c r="CE235" s="198" t="str">
        <f t="shared" si="364"/>
        <v/>
      </c>
      <c r="CF235" s="198">
        <f>IF($J235="",#N/A,SUM($CE$4:CE235))</f>
        <v>8.625454201502528</v>
      </c>
      <c r="CG235" s="199">
        <f t="shared" si="365"/>
        <v>-0.5648790549409306</v>
      </c>
      <c r="CH235" s="193">
        <f>IF($J235="",#N/A,SUM($CG$4:CG235))</f>
        <v>5.7506450028417229</v>
      </c>
      <c r="CI235" s="200" t="str">
        <f t="shared" si="366"/>
        <v/>
      </c>
      <c r="CJ235" s="206">
        <f>IF($J235="",#N/A,SUM(CI$4:CI235))</f>
        <v>0</v>
      </c>
      <c r="CK235" s="207" t="str">
        <f t="shared" si="367"/>
        <v/>
      </c>
      <c r="CL235" s="207">
        <f>IF($J235="",#N/A,SUM(CK$4:CK235))</f>
        <v>1.9927003554442289</v>
      </c>
      <c r="CM235" s="208">
        <f t="shared" si="368"/>
        <v>-0.5648790549409306</v>
      </c>
      <c r="CN235" s="208">
        <f>IF($J235="",#N/A,SUM(CM$4:CM235))</f>
        <v>5.044238105997306</v>
      </c>
      <c r="CO235" s="208">
        <f>IF($J235="",#N/A,SUM(CM$4:CM235,CK$4:CK235,CI$4:CI235))</f>
        <v>7.0369384614415349</v>
      </c>
      <c r="CP235" s="200" t="str">
        <f t="shared" si="369"/>
        <v/>
      </c>
      <c r="CQ235" s="206">
        <f>IF($J235="",#N/A,SUM(CP$4:CP235))</f>
        <v>0</v>
      </c>
      <c r="CR235" s="207" t="str">
        <f t="shared" si="370"/>
        <v/>
      </c>
      <c r="CS235" s="207">
        <f>IF($J235="",#N/A,SUM(CR$4:CR235))</f>
        <v>4.6135245886817966</v>
      </c>
      <c r="CT235" s="208" t="str">
        <f t="shared" si="371"/>
        <v/>
      </c>
      <c r="CU235" s="208">
        <f>IF($J235="",#N/A,SUM(CT$4:CT235))</f>
        <v>-2.9040943753548785</v>
      </c>
      <c r="CV235" s="208">
        <f>IF($J235="",#N/A,SUM(CT$4:CT235,CR$4:CR235,CP$4:CP235))</f>
        <v>1.7094302133269181</v>
      </c>
      <c r="CW235" s="200" t="str">
        <f t="shared" si="372"/>
        <v/>
      </c>
      <c r="CX235" s="206">
        <f>IF($J235="",#N/A,SUM(CW$4:CW235))</f>
        <v>-0.33865165024245297</v>
      </c>
      <c r="CY235" s="207" t="str">
        <f t="shared" si="373"/>
        <v/>
      </c>
      <c r="CZ235" s="207">
        <f>IF($J235="",#N/A,SUM(CY$4:CY235))</f>
        <v>-8.9115263338952644E-2</v>
      </c>
      <c r="DA235" s="208" t="str">
        <f t="shared" si="374"/>
        <v/>
      </c>
      <c r="DB235" s="208">
        <f>IF($J235="",#N/A,SUM(DA$4:DA235))</f>
        <v>-2.2679577914291</v>
      </c>
      <c r="DC235" s="208">
        <f>IF($J235="",#N/A,SUM(DA$4:DA235,CY$4:CY235,CW$4:CW235))</f>
        <v>-2.6957247050105053</v>
      </c>
      <c r="DD235" s="200" t="str">
        <f t="shared" si="375"/>
        <v/>
      </c>
      <c r="DE235" s="206">
        <f>IF($J235="",#N/A,SUM(DD$4:DD235))</f>
        <v>0.14968716170674062</v>
      </c>
      <c r="DF235" s="207" t="str">
        <f t="shared" si="376"/>
        <v/>
      </c>
      <c r="DG235" s="207">
        <f>IF($J235="",#N/A,SUM(DF$4:DF235))</f>
        <v>1.5249935139936004</v>
      </c>
      <c r="DH235" s="208" t="str">
        <f t="shared" si="377"/>
        <v/>
      </c>
      <c r="DI235" s="208">
        <f>IF($J235="",#N/A,SUM(DH$4:DH235))</f>
        <v>-1.9066052078694633</v>
      </c>
      <c r="DJ235" s="208">
        <f>IF($J235="",#N/A,SUM(DH$4:DH235,DF$4:DF235,DD$4:DD235))</f>
        <v>-0.23192453216912207</v>
      </c>
      <c r="DK235" s="200" t="str">
        <f t="shared" si="378"/>
        <v/>
      </c>
      <c r="DL235" s="206">
        <f>IF($J235="",#N/A,SUM(DK$4:DK235))</f>
        <v>-1.2097286851272664</v>
      </c>
      <c r="DM235" s="207" t="str">
        <f t="shared" si="379"/>
        <v/>
      </c>
      <c r="DN235" s="207">
        <f>IF($J235="",#N/A,SUM(DM$4:DM235))</f>
        <v>1.1910608267574658</v>
      </c>
      <c r="DO235" s="208" t="str">
        <f t="shared" si="380"/>
        <v/>
      </c>
      <c r="DP235" s="208">
        <f>IF($J235="",#N/A,SUM(DO$4:DO235))</f>
        <v>2.6571865116636566</v>
      </c>
      <c r="DQ235" s="208">
        <f>IF($J235="",#N/A,SUM(DO$4:DO235,DM$4:DM235,DK$4:DK235))</f>
        <v>2.6385186532938567</v>
      </c>
      <c r="DR235" s="200" t="str">
        <f t="shared" si="381"/>
        <v/>
      </c>
      <c r="DS235" s="206">
        <f>IF($J235="",#N/A,SUM(DR$4:DR235))</f>
        <v>-0.55950946427675097</v>
      </c>
      <c r="DT235" s="207" t="str">
        <f t="shared" si="382"/>
        <v/>
      </c>
      <c r="DU235" s="207">
        <f>IF($J235="",#N/A,SUM(DT$4:DT235))</f>
        <v>-3.6911249040845173</v>
      </c>
      <c r="DV235" s="208" t="str">
        <f t="shared" si="383"/>
        <v/>
      </c>
      <c r="DW235" s="208">
        <f>IF($J235="",#N/A,SUM(DV$4:DV235))</f>
        <v>-1.2815650893103838</v>
      </c>
      <c r="DX235" s="208">
        <f>IF($J235="",#N/A,SUM(DV$4:DV235,DT$4:DT235,DR$4:DR235))</f>
        <v>-5.532199457671652</v>
      </c>
      <c r="DY235" s="200" t="str">
        <f t="shared" si="384"/>
        <v/>
      </c>
      <c r="DZ235" s="206">
        <f>IF($J235="",#N/A,SUM(DY$4:DY235))</f>
        <v>-1.0460034109943892</v>
      </c>
      <c r="EA235" s="207" t="str">
        <f t="shared" si="385"/>
        <v/>
      </c>
      <c r="EB235" s="207">
        <f>IF($J235="",#N/A,SUM(EA$4:EA235))</f>
        <v>0.65158371441459195</v>
      </c>
      <c r="EC235" s="208" t="str">
        <f t="shared" si="386"/>
        <v/>
      </c>
      <c r="ED235" s="208">
        <f>IF($J235="",#N/A,SUM(EC$4:EC235))</f>
        <v>5.1322420709634535</v>
      </c>
      <c r="EE235" s="208">
        <f>IF($J235="",#N/A,SUM(EC$4:EC235,EA$4:EA235,DY$4:DY235))</f>
        <v>4.7378223743836561</v>
      </c>
      <c r="EF235" s="200" t="str">
        <f t="shared" si="387"/>
        <v/>
      </c>
      <c r="EG235" s="206">
        <f>IF($J235="",#N/A,SUM(EF$4:EF235))</f>
        <v>-0.15098969023521425</v>
      </c>
      <c r="EH235" s="207" t="str">
        <f t="shared" si="388"/>
        <v/>
      </c>
      <c r="EI235" s="207">
        <f>IF($J235="",#N/A,SUM(EH$4:EH235))</f>
        <v>-3.1507771605639614</v>
      </c>
      <c r="EJ235" s="208" t="str">
        <f t="shared" si="389"/>
        <v/>
      </c>
      <c r="EK235" s="208">
        <f>IF($J235="",#N/A,SUM(EJ$4:EJ235))</f>
        <v>4.5969853022853275</v>
      </c>
      <c r="EL235" s="208">
        <f>IF($J235="",#N/A,SUM(EJ$4:EJ235,EH$4:EH235,EF$4:EF235))</f>
        <v>1.2952184514861527</v>
      </c>
      <c r="EM235" s="200" t="str">
        <f t="shared" si="390"/>
        <v/>
      </c>
      <c r="EN235" s="206">
        <f>IF($J235="",#N/A,SUM(EM$4:EM235))</f>
        <v>0</v>
      </c>
      <c r="EO235" s="207" t="str">
        <f t="shared" si="391"/>
        <v/>
      </c>
      <c r="EP235" s="207">
        <f>IF($J235="",#N/A,SUM(EO$4:EO235))</f>
        <v>3.2406646352184261</v>
      </c>
      <c r="EQ235" s="208" t="str">
        <f t="shared" si="392"/>
        <v/>
      </c>
      <c r="ER235" s="208">
        <f>IF($J235="",#N/A,SUM(EQ$4:EQ235))</f>
        <v>1.441536272249796</v>
      </c>
      <c r="ES235" s="208">
        <f>IF($J235="",#N/A,SUM(EQ$4:EQ235,EO$4:EO235,EM$4:EM235))</f>
        <v>4.6822009074682214</v>
      </c>
      <c r="ET235" s="200" t="str">
        <f t="shared" si="393"/>
        <v/>
      </c>
      <c r="EU235" s="206">
        <f>IF($J235="",#N/A,SUM(ET$4:ET235))</f>
        <v>0</v>
      </c>
      <c r="EV235" s="207" t="str">
        <f t="shared" si="394"/>
        <v/>
      </c>
      <c r="EW235" s="207">
        <f>IF($J235="",#N/A,SUM(EV$4:EV235))</f>
        <v>1.9901851109977766</v>
      </c>
      <c r="EX235" s="208" t="str">
        <f t="shared" si="395"/>
        <v/>
      </c>
      <c r="EY235" s="208">
        <f>IF($J235="",#N/A,SUM(EX$4:EX235))</f>
        <v>0.27113250180669229</v>
      </c>
      <c r="EZ235" s="208">
        <f>IF($J235="",#N/A,SUM(EX$4:EX235,EV$4:EV235,ET$4:ET235))</f>
        <v>2.2613176128044685</v>
      </c>
      <c r="FA235" s="200" t="str">
        <f t="shared" si="396"/>
        <v/>
      </c>
      <c r="FB235" s="206">
        <f>IF($J235="",#N/A,SUM(FA$4:FA235))</f>
        <v>0</v>
      </c>
      <c r="FC235" s="207" t="str">
        <f t="shared" si="397"/>
        <v/>
      </c>
      <c r="FD235" s="207">
        <f>IF($J235="",#N/A,SUM(FC$4:FC235))</f>
        <v>1.8692126759492278</v>
      </c>
      <c r="FE235" s="208" t="str">
        <f t="shared" si="398"/>
        <v/>
      </c>
      <c r="FF235" s="208">
        <f>IF($J235="",#N/A,SUM(FE$4:FE235))</f>
        <v>-0.28811149078748233</v>
      </c>
      <c r="FG235" s="208">
        <f>IF($J235="",#N/A,SUM(FE$4:FE235,FC$4:FC235,FA$4:FA235))</f>
        <v>1.5811011851617456</v>
      </c>
      <c r="FH235" s="200" t="str">
        <f t="shared" si="399"/>
        <v/>
      </c>
      <c r="FI235" s="206">
        <f>IF($J235="",#N/A,SUM(FH$4:FH235))</f>
        <v>0</v>
      </c>
      <c r="FJ235" s="207" t="str">
        <f t="shared" si="400"/>
        <v/>
      </c>
      <c r="FK235" s="207">
        <f>IF($J235="",#N/A,SUM(FJ$4:FJ235))</f>
        <v>0</v>
      </c>
      <c r="FL235" s="208" t="str">
        <f t="shared" si="401"/>
        <v/>
      </c>
      <c r="FM235" s="208">
        <f>IF($J235="",#N/A,SUM(FL$4:FL235))</f>
        <v>0</v>
      </c>
      <c r="FN235" s="208">
        <f>IF($J235="",#N/A,SUM(FL$4:FL235,FJ$4:FJ235,FH$4:FH235))</f>
        <v>0</v>
      </c>
      <c r="FO235" s="200" t="str">
        <f t="shared" si="402"/>
        <v/>
      </c>
      <c r="FP235" s="206">
        <f>IF($J235="",#N/A,SUM(FO$4:FO235))</f>
        <v>0</v>
      </c>
      <c r="FQ235" s="207" t="str">
        <f t="shared" si="403"/>
        <v/>
      </c>
      <c r="FR235" s="207">
        <f>IF($J235="",#N/A,SUM(FQ$4:FQ235))</f>
        <v>0</v>
      </c>
      <c r="FS235" s="208" t="str">
        <f t="shared" si="404"/>
        <v/>
      </c>
      <c r="FT235" s="208">
        <f>IF($J235="",#N/A,SUM(FS$4:FS235))</f>
        <v>0</v>
      </c>
      <c r="FU235" s="208">
        <f>IF($J235="",#N/A,SUM(FS$4:FS235,FQ$4:FQ235,FO$4:FO235))</f>
        <v>0</v>
      </c>
      <c r="FV235" s="200" t="str">
        <f t="shared" si="405"/>
        <v/>
      </c>
      <c r="FW235" s="206">
        <f>IF($J235="",#N/A,SUM(FV$4:FV235))</f>
        <v>6.6834991831277585E-2</v>
      </c>
      <c r="FX235" s="207" t="str">
        <f t="shared" si="406"/>
        <v/>
      </c>
      <c r="FY235" s="207">
        <f>IF($J235="",#N/A,SUM(FX$4:FX235))</f>
        <v>-0.16102012791805576</v>
      </c>
      <c r="FZ235" s="208" t="str">
        <f t="shared" si="407"/>
        <v/>
      </c>
      <c r="GA235" s="208">
        <f>IF($J235="",#N/A,SUM(FZ$4:FZ235))</f>
        <v>-1.8075055796508848</v>
      </c>
      <c r="GB235" s="208">
        <f>IF($J235="",#N/A,SUM(FZ$4:FZ235,FX$4:FX235,FV$4:FV235))</f>
        <v>-1.901690715737663</v>
      </c>
      <c r="GC235" s="200" t="str">
        <f t="shared" si="408"/>
        <v/>
      </c>
      <c r="GD235" s="206">
        <f>IF($J235="",#N/A,SUM(GC$4:GC235))</f>
        <v>0</v>
      </c>
      <c r="GE235" s="207" t="str">
        <f t="shared" si="409"/>
        <v/>
      </c>
      <c r="GF235" s="207">
        <f>IF($J235="",#N/A,SUM(GE$4:GE235))</f>
        <v>0</v>
      </c>
      <c r="GG235" s="208" t="str">
        <f t="shared" si="410"/>
        <v/>
      </c>
      <c r="GH235" s="208">
        <f>IF($J235="",#N/A,SUM(GG$4:GG235))</f>
        <v>-2.9368362277223206</v>
      </c>
      <c r="GI235" s="208">
        <f>IF($J235="",#N/A,SUM(GG$4:GG235,GE$4:GE235,GC$4:GC235))</f>
        <v>-2.9368362277223206</v>
      </c>
      <c r="GJ235" s="200" t="str">
        <f t="shared" si="411"/>
        <v/>
      </c>
      <c r="GK235" s="206">
        <f>IF($J235="",#N/A,SUM(GJ$4:GJ235))</f>
        <v>0</v>
      </c>
      <c r="GL235" s="207" t="str">
        <f t="shared" si="412"/>
        <v/>
      </c>
      <c r="GM235" s="207">
        <f>IF($J235="",#N/A,SUM(GL$4:GL235))</f>
        <v>-1.6833790887309608</v>
      </c>
      <c r="GN235" s="208" t="str">
        <f t="shared" si="413"/>
        <v/>
      </c>
      <c r="GO235" s="208">
        <f>IF($J235="",#N/A,SUM(GN$4:GN235))</f>
        <v>0</v>
      </c>
      <c r="GP235" s="208">
        <f>IF($J235="",#N/A,SUM(GN$4:GN235,GL$4:GL235,GJ$4:GJ235))</f>
        <v>-1.6833790887309608</v>
      </c>
      <c r="GS235" s="54">
        <f t="shared" si="432"/>
        <v>-0.5648790549409306</v>
      </c>
      <c r="GT235" s="54">
        <f>IF(GS235="",NA(),SUM($GS$4:GS235))</f>
        <v>6.9948547345857612</v>
      </c>
      <c r="GU235" s="54" t="str">
        <f t="shared" si="414"/>
        <v/>
      </c>
      <c r="GV235" s="54" t="e">
        <f>IF(GU235="",NA(),SUM($GU$4:GU235))</f>
        <v>#N/A</v>
      </c>
      <c r="GW235" s="54">
        <f t="shared" si="415"/>
        <v>-0.5648790549409306</v>
      </c>
      <c r="GX235" s="54">
        <f>IF(GW235="",NA(),SUM($GW$4:GW235))</f>
        <v>7.157681336053404</v>
      </c>
      <c r="GY235" s="54" t="str">
        <f t="shared" si="416"/>
        <v/>
      </c>
      <c r="GZ235" s="54" t="e">
        <f>IF(GY235="",NA(),SUM($GY$4:GY235))</f>
        <v>#N/A</v>
      </c>
      <c r="HA235" s="54" t="str">
        <f t="shared" si="417"/>
        <v/>
      </c>
      <c r="HB235" s="54" t="e">
        <f>IF(HA235="",NA(),SUM($HA$4:HA235))</f>
        <v>#N/A</v>
      </c>
      <c r="HC235" s="54" t="str">
        <f t="shared" si="418"/>
        <v/>
      </c>
      <c r="HD235" s="54" t="e">
        <f>IF(HC235="",NA(),SUM($HC$4:HC235))</f>
        <v>#N/A</v>
      </c>
      <c r="HE235" s="54" t="str">
        <f t="shared" si="419"/>
        <v/>
      </c>
      <c r="HF235" s="54" t="e">
        <f>IF(HE235="",NA(),SUM($HE$4:HE235))</f>
        <v>#N/A</v>
      </c>
      <c r="HG235" s="54" t="str">
        <f t="shared" si="420"/>
        <v/>
      </c>
      <c r="HH235" s="54" t="e">
        <f>IF(HG235="",NA(),SUM($HG$4:HG235))</f>
        <v>#N/A</v>
      </c>
      <c r="HI235" s="172" t="str">
        <f t="shared" si="433"/>
        <v/>
      </c>
      <c r="HJ235" s="172">
        <f>IF($J235="",#N/A,SUM(HI$4:$HI235))</f>
        <v>-6.9005269627045349</v>
      </c>
      <c r="HK235" s="54" t="str">
        <f t="shared" si="421"/>
        <v/>
      </c>
      <c r="HL235" s="54">
        <f>IF($J235="",#N/A,SUM($HK$4:HK235))</f>
        <v>-1.4008180841025943</v>
      </c>
      <c r="HM235" s="54" t="str">
        <f t="shared" si="422"/>
        <v/>
      </c>
      <c r="HN235" s="54">
        <f>IF($J235="",#N/A,SUM($HM$4:HM235))</f>
        <v>0.90694539517251249</v>
      </c>
      <c r="HO235" s="54" t="str">
        <f t="shared" si="423"/>
        <v/>
      </c>
      <c r="HP235" s="54">
        <f>IF($J235="",#N/A,SUM($HO$4:HO235))</f>
        <v>-0.10266465451722628</v>
      </c>
      <c r="HQ235" s="54" t="str">
        <f t="shared" si="424"/>
        <v/>
      </c>
      <c r="HR235" s="54">
        <f>IF($J235="",#N/A,SUM($HQ$4:HQ235))</f>
        <v>-14.165420258732395</v>
      </c>
      <c r="HS235" s="54">
        <f t="shared" si="425"/>
        <v>-5.7034814675918311E-2</v>
      </c>
      <c r="HT235" s="54">
        <f>IF($J235="",#N/A,SUM($HS$4:HS235))</f>
        <v>13.389378536583431</v>
      </c>
      <c r="HU235" s="65">
        <f t="shared" si="426"/>
        <v>-0.62191386961684891</v>
      </c>
      <c r="HV235" s="65">
        <f>IF($J235="",#N/A,SUM(HU$4:$HU235))</f>
        <v>3.0146324287053812</v>
      </c>
    </row>
    <row r="236" spans="1:230" x14ac:dyDescent="0.25">
      <c r="A236" s="51" t="s">
        <v>1379</v>
      </c>
      <c r="B236" s="52" t="s">
        <v>4563</v>
      </c>
      <c r="C236" s="229">
        <f t="shared" si="327"/>
        <v>3</v>
      </c>
      <c r="D236" s="219" t="str">
        <f>_xlfn.XLOOKUP(A236,[1]SP500!$A$2:$A$502,[1]SP500!$D$2:$D$502,"N")</f>
        <v>Y</v>
      </c>
      <c r="E236" s="51" t="str">
        <f>IFERROR(_xlfn.XLOOKUP(A236,[1]SP500!$A$2:$A$655,[1]SP500!$B$2:$B$655),"")</f>
        <v>INS</v>
      </c>
      <c r="F236" s="290">
        <v>45778</v>
      </c>
      <c r="G236" s="51" t="str">
        <f t="shared" si="328"/>
        <v>AMC</v>
      </c>
      <c r="H236" s="51" t="str">
        <f t="shared" si="329"/>
        <v>s</v>
      </c>
      <c r="I236" s="344">
        <v>317.64</v>
      </c>
      <c r="J236" s="123">
        <v>330.40499999999997</v>
      </c>
      <c r="K236" s="55">
        <f t="shared" si="330"/>
        <v>4.0187004155647861E-2</v>
      </c>
      <c r="L236" s="67">
        <f t="shared" si="331"/>
        <v>51.059999999999945</v>
      </c>
      <c r="M236" s="57">
        <f t="shared" si="332"/>
        <v>-54.139999999999873</v>
      </c>
      <c r="N236" s="102">
        <f t="shared" si="333"/>
        <v>51.059999999999945</v>
      </c>
      <c r="O236" s="57">
        <f>IF(N236="",#N/A,SUM($N$4:N236))</f>
        <v>569.07092465120934</v>
      </c>
      <c r="P236" s="65">
        <f t="shared" si="427"/>
        <v>0.66978340259413105</v>
      </c>
      <c r="Q236" s="172">
        <f>IF($N236="",#N/A,SUM($P$4:P236))</f>
        <v>11.95752185960032</v>
      </c>
      <c r="R236" s="279">
        <f t="shared" si="334"/>
        <v>3.623486256482078</v>
      </c>
      <c r="S236" s="51" t="str">
        <f t="shared" si="335"/>
        <v>SW</v>
      </c>
      <c r="T236" s="51" t="s">
        <v>2828</v>
      </c>
      <c r="U236" s="56">
        <f t="shared" si="336"/>
        <v>317.64</v>
      </c>
      <c r="V236" s="56" t="s">
        <v>4460</v>
      </c>
      <c r="W236" s="142">
        <v>4</v>
      </c>
      <c r="X236" s="145">
        <f t="shared" si="337"/>
        <v>1270.56</v>
      </c>
      <c r="Y236" s="140">
        <f t="shared" si="338"/>
        <v>4</v>
      </c>
      <c r="Z236" s="123">
        <v>316.87</v>
      </c>
      <c r="AA236" s="102">
        <f t="shared" si="339"/>
        <v>-3.0799999999999272</v>
      </c>
      <c r="AB236" s="102">
        <f t="shared" si="340"/>
        <v>53.759999999999991</v>
      </c>
      <c r="AC236" s="124">
        <v>331.08</v>
      </c>
      <c r="AD236" s="155">
        <f t="shared" si="341"/>
        <v>53.759999999999991</v>
      </c>
      <c r="AE236" s="545">
        <f t="shared" si="342"/>
        <v>0.70520085631532547</v>
      </c>
      <c r="AF236" s="57">
        <f>IF($AC236="",#N/A,SUM(AD$4:AD236))</f>
        <v>187.90087220737928</v>
      </c>
      <c r="AG236" s="102">
        <f t="shared" si="343"/>
        <v>2.7000000000000455</v>
      </c>
      <c r="AH236" s="56" t="s">
        <v>2507</v>
      </c>
      <c r="AI236" s="65">
        <f t="shared" si="344"/>
        <v>-4.0402132393064574E-2</v>
      </c>
      <c r="AJ236" s="54">
        <f>IF(AI236="",#N/A,SUM($AI$4:AI236))</f>
        <v>8.3340356031182417</v>
      </c>
      <c r="AK236" s="57">
        <f t="shared" si="345"/>
        <v>-3.0799999999999272</v>
      </c>
      <c r="AL236" s="349">
        <f>IF(AI236="",#N/A,IF(AH236="Skip",SUM($AK$4:AK236),SUM($AK$4:AK236)))</f>
        <v>318.57759149281446</v>
      </c>
      <c r="AM236" s="65">
        <f t="shared" si="428"/>
        <v>0.70520085631532547</v>
      </c>
      <c r="AN236" s="209"/>
      <c r="AO236" s="65">
        <f t="shared" si="346"/>
        <v>0.70520085631532547</v>
      </c>
      <c r="AP236" s="65">
        <f>IF($AC236="",#N/A,SUM(AO$4:AO236))</f>
        <v>5.6798041370080821</v>
      </c>
      <c r="AQ236" s="65" t="str">
        <f t="shared" si="347"/>
        <v/>
      </c>
      <c r="AR236" s="65">
        <f>IF($AC236="",#N/A,SUM(AQ$4:AQ236))</f>
        <v>-2.2840800066827698</v>
      </c>
      <c r="AS236" s="65" t="str">
        <f t="shared" si="348"/>
        <v/>
      </c>
      <c r="AT236" s="65">
        <f>IF($AC236="",#N/A,SUM(AS$4:AS236))</f>
        <v>0.32410915469539214</v>
      </c>
      <c r="AU236" s="57">
        <f t="shared" si="429"/>
        <v>53.759999999999991</v>
      </c>
      <c r="AV236" s="57">
        <f>IF($AC236="",#N/A,SUM(AU$4:AU236))</f>
        <v>266.9024906610465</v>
      </c>
      <c r="AW236" s="57" t="str">
        <f t="shared" si="430"/>
        <v/>
      </c>
      <c r="AX236" s="57">
        <f>IF($AC236="",#N/A,SUM(AW$4:AW236))</f>
        <v>-142.90000000000009</v>
      </c>
      <c r="AY236" s="57" t="str">
        <f t="shared" si="431"/>
        <v/>
      </c>
      <c r="AZ236" s="57">
        <f>IF($AC236="",#N/A,SUM(AY$4:AY236))</f>
        <v>63.898381546332871</v>
      </c>
      <c r="BA236" s="57">
        <f>IF(AD236="",#N/A,SUM($AD$4:AD236))</f>
        <v>187.90087220737928</v>
      </c>
      <c r="BC236" s="51" t="str">
        <f t="shared" si="349"/>
        <v/>
      </c>
      <c r="BD236" s="51" t="str">
        <f t="shared" si="350"/>
        <v/>
      </c>
      <c r="BE236" s="51">
        <f t="shared" si="351"/>
        <v>1</v>
      </c>
      <c r="BF236" s="51" t="str">
        <f t="shared" si="352"/>
        <v>Long</v>
      </c>
      <c r="BG236" s="51" t="str">
        <f t="shared" si="353"/>
        <v/>
      </c>
      <c r="BH236" s="51" t="str">
        <f t="shared" si="354"/>
        <v/>
      </c>
      <c r="BI236" s="51" t="str">
        <f t="shared" si="355"/>
        <v/>
      </c>
      <c r="BK236" s="65">
        <f t="shared" si="326"/>
        <v>6.4132711709133441E-2</v>
      </c>
      <c r="BL236" s="65">
        <f t="shared" si="434"/>
        <v>5.7543030624605862E-2</v>
      </c>
      <c r="BM236" s="65">
        <f>IFERROR(Q236/COUNTA($J$4:J236),#N/A)</f>
        <v>5.1319836307297508E-2</v>
      </c>
      <c r="BO236" s="489">
        <f>IF(J236="",#N/A,IF(S236="SW",(COUNTIFS(K$4:$K236,"&gt;0",S$4:$S236,"SW")/COUNTIF(S$4:$S236,"SW")),#N/A))</f>
        <v>0.50406504065040647</v>
      </c>
      <c r="BP236" s="489" t="e">
        <f>IF($J236="",#N/A,IF($S236="DWN",(COUNTIFS($K$4:$K236,"&lt;0",$S$4:$S236,"DWN")/COUNTIF($S$4:$S236,"DWN")),#N/A))</f>
        <v>#N/A</v>
      </c>
      <c r="BQ236" s="489" t="e">
        <f>IF($J236="",#N/A,IF($S236="UP",(COUNTIFS($K$4:$K236,"&gt;0",$S$4:$S236,"UP")/COUNTIF($S$4:$S236,"UP")),#N/A))</f>
        <v>#N/A</v>
      </c>
      <c r="BR236" s="489">
        <f>IF(J236="",#N/A,COUNTIF($K$4:K236,"&gt;0")/COUNT($J$4:J236))</f>
        <v>0.45922746781115881</v>
      </c>
      <c r="BS236" s="65">
        <f t="shared" si="356"/>
        <v>0.66978340259413105</v>
      </c>
      <c r="BT236" s="65" t="str">
        <f t="shared" si="357"/>
        <v/>
      </c>
      <c r="BU236" s="65" t="str">
        <f t="shared" si="358"/>
        <v/>
      </c>
      <c r="BV236" s="65" t="str">
        <f t="shared" si="359"/>
        <v/>
      </c>
      <c r="BW236" s="128" t="str">
        <f t="shared" si="360"/>
        <v/>
      </c>
      <c r="BX236" s="128">
        <f>IF($J236="",#N/A,SUM($BW$4:BW236))</f>
        <v>-199.33000000000038</v>
      </c>
      <c r="BY236" s="131" t="str">
        <f t="shared" si="361"/>
        <v/>
      </c>
      <c r="BZ236" s="131">
        <f>IF($J236="",#N/A,SUM($BY$4:BY236))</f>
        <v>499.76934038933473</v>
      </c>
      <c r="CA236" s="133">
        <f t="shared" si="362"/>
        <v>51.059999999999945</v>
      </c>
      <c r="CB236" s="133">
        <f>IF($J236="",#N/A,SUM($CA$4:CA236))</f>
        <v>268.63158426187499</v>
      </c>
      <c r="CC236" s="194" t="str">
        <f t="shared" si="363"/>
        <v/>
      </c>
      <c r="CD236" s="194">
        <f>IF($J236="",#N/A,SUM($CC$4:CC236))</f>
        <v>-3.0883607473380557</v>
      </c>
      <c r="CE236" s="195" t="str">
        <f t="shared" si="364"/>
        <v/>
      </c>
      <c r="CF236" s="195">
        <f>IF($J236="",#N/A,SUM($CE$4:CE236))</f>
        <v>8.625454201502528</v>
      </c>
      <c r="CG236" s="196">
        <f t="shared" si="365"/>
        <v>0.66978340259413105</v>
      </c>
      <c r="CH236" s="193">
        <f>IF($J236="",#N/A,SUM($CG$4:CG236))</f>
        <v>6.420428405435854</v>
      </c>
      <c r="CI236" s="200" t="str">
        <f t="shared" si="366"/>
        <v/>
      </c>
      <c r="CJ236" s="203">
        <f>IF($J236="",#N/A,SUM(CI$4:CI236))</f>
        <v>0</v>
      </c>
      <c r="CK236" s="204" t="str">
        <f t="shared" si="367"/>
        <v/>
      </c>
      <c r="CL236" s="204">
        <f>IF($J236="",#N/A,SUM(CK$4:CK236))</f>
        <v>1.9927003554442289</v>
      </c>
      <c r="CM236" s="205" t="str">
        <f t="shared" si="368"/>
        <v/>
      </c>
      <c r="CN236" s="205">
        <f>IF($J236="",#N/A,SUM(CM$4:CM236))</f>
        <v>5.044238105997306</v>
      </c>
      <c r="CO236" s="205">
        <f>IF($J236="",#N/A,SUM(CM$4:CM236,CK$4:CK236,CI$4:CI236))</f>
        <v>7.0369384614415349</v>
      </c>
      <c r="CP236" s="200" t="str">
        <f t="shared" si="369"/>
        <v/>
      </c>
      <c r="CQ236" s="203">
        <f>IF($J236="",#N/A,SUM(CP$4:CP236))</f>
        <v>0</v>
      </c>
      <c r="CR236" s="204" t="str">
        <f t="shared" si="370"/>
        <v/>
      </c>
      <c r="CS236" s="204">
        <f>IF($J236="",#N/A,SUM(CR$4:CR236))</f>
        <v>4.6135245886817966</v>
      </c>
      <c r="CT236" s="205" t="str">
        <f t="shared" si="371"/>
        <v/>
      </c>
      <c r="CU236" s="205">
        <f>IF($J236="",#N/A,SUM(CT$4:CT236))</f>
        <v>-2.9040943753548785</v>
      </c>
      <c r="CV236" s="205">
        <f>IF($J236="",#N/A,SUM(CT$4:CT236,CR$4:CR236,CP$4:CP236))</f>
        <v>1.7094302133269181</v>
      </c>
      <c r="CW236" s="200" t="str">
        <f t="shared" si="372"/>
        <v/>
      </c>
      <c r="CX236" s="203">
        <f>IF($J236="",#N/A,SUM(CW$4:CW236))</f>
        <v>-0.33865165024245297</v>
      </c>
      <c r="CY236" s="204" t="str">
        <f t="shared" si="373"/>
        <v/>
      </c>
      <c r="CZ236" s="204">
        <f>IF($J236="",#N/A,SUM(CY$4:CY236))</f>
        <v>-8.9115263338952644E-2</v>
      </c>
      <c r="DA236" s="205" t="str">
        <f t="shared" si="374"/>
        <v/>
      </c>
      <c r="DB236" s="205">
        <f>IF($J236="",#N/A,SUM(DA$4:DA236))</f>
        <v>-2.2679577914291</v>
      </c>
      <c r="DC236" s="205">
        <f>IF($J236="",#N/A,SUM(DA$4:DA236,CY$4:CY236,CW$4:CW236))</f>
        <v>-2.6957247050105053</v>
      </c>
      <c r="DD236" s="200" t="str">
        <f t="shared" si="375"/>
        <v/>
      </c>
      <c r="DE236" s="203">
        <f>IF($J236="",#N/A,SUM(DD$4:DD236))</f>
        <v>0.14968716170674062</v>
      </c>
      <c r="DF236" s="204" t="str">
        <f t="shared" si="376"/>
        <v/>
      </c>
      <c r="DG236" s="204">
        <f>IF($J236="",#N/A,SUM(DF$4:DF236))</f>
        <v>1.5249935139936004</v>
      </c>
      <c r="DH236" s="205" t="str">
        <f t="shared" si="377"/>
        <v/>
      </c>
      <c r="DI236" s="205">
        <f>IF($J236="",#N/A,SUM(DH$4:DH236))</f>
        <v>-1.9066052078694633</v>
      </c>
      <c r="DJ236" s="205">
        <f>IF($J236="",#N/A,SUM(DH$4:DH236,DF$4:DF236,DD$4:DD236))</f>
        <v>-0.23192453216912207</v>
      </c>
      <c r="DK236" s="200" t="str">
        <f t="shared" si="378"/>
        <v/>
      </c>
      <c r="DL236" s="203">
        <f>IF($J236="",#N/A,SUM(DK$4:DK236))</f>
        <v>-1.2097286851272664</v>
      </c>
      <c r="DM236" s="204" t="str">
        <f t="shared" si="379"/>
        <v/>
      </c>
      <c r="DN236" s="204">
        <f>IF($J236="",#N/A,SUM(DM$4:DM236))</f>
        <v>1.1910608267574658</v>
      </c>
      <c r="DO236" s="205" t="str">
        <f t="shared" si="380"/>
        <v/>
      </c>
      <c r="DP236" s="205">
        <f>IF($J236="",#N/A,SUM(DO$4:DO236))</f>
        <v>2.6571865116636566</v>
      </c>
      <c r="DQ236" s="205">
        <f>IF($J236="",#N/A,SUM(DO$4:DO236,DM$4:DM236,DK$4:DK236))</f>
        <v>2.6385186532938567</v>
      </c>
      <c r="DR236" s="200" t="str">
        <f t="shared" si="381"/>
        <v/>
      </c>
      <c r="DS236" s="203">
        <f>IF($J236="",#N/A,SUM(DR$4:DR236))</f>
        <v>-0.55950946427675097</v>
      </c>
      <c r="DT236" s="204" t="str">
        <f t="shared" si="382"/>
        <v/>
      </c>
      <c r="DU236" s="204">
        <f>IF($J236="",#N/A,SUM(DT$4:DT236))</f>
        <v>-3.6911249040845173</v>
      </c>
      <c r="DV236" s="205" t="str">
        <f t="shared" si="383"/>
        <v/>
      </c>
      <c r="DW236" s="205">
        <f>IF($J236="",#N/A,SUM(DV$4:DV236))</f>
        <v>-1.2815650893103838</v>
      </c>
      <c r="DX236" s="205">
        <f>IF($J236="",#N/A,SUM(DV$4:DV236,DT$4:DT236,DR$4:DR236))</f>
        <v>-5.532199457671652</v>
      </c>
      <c r="DY236" s="200" t="str">
        <f t="shared" si="384"/>
        <v/>
      </c>
      <c r="DZ236" s="203">
        <f>IF($J236="",#N/A,SUM(DY$4:DY236))</f>
        <v>-1.0460034109943892</v>
      </c>
      <c r="EA236" s="204" t="str">
        <f t="shared" si="385"/>
        <v/>
      </c>
      <c r="EB236" s="204">
        <f>IF($J236="",#N/A,SUM(EA$4:EA236))</f>
        <v>0.65158371441459195</v>
      </c>
      <c r="EC236" s="205" t="str">
        <f t="shared" si="386"/>
        <v/>
      </c>
      <c r="ED236" s="205">
        <f>IF($J236="",#N/A,SUM(EC$4:EC236))</f>
        <v>5.1322420709634535</v>
      </c>
      <c r="EE236" s="205">
        <f>IF($J236="",#N/A,SUM(EC$4:EC236,EA$4:EA236,DY$4:DY236))</f>
        <v>4.7378223743836561</v>
      </c>
      <c r="EF236" s="200" t="str">
        <f t="shared" si="387"/>
        <v/>
      </c>
      <c r="EG236" s="203">
        <f>IF($J236="",#N/A,SUM(EF$4:EF236))</f>
        <v>-0.15098969023521425</v>
      </c>
      <c r="EH236" s="204" t="str">
        <f t="shared" si="388"/>
        <v/>
      </c>
      <c r="EI236" s="204">
        <f>IF($J236="",#N/A,SUM(EH$4:EH236))</f>
        <v>-3.1507771605639614</v>
      </c>
      <c r="EJ236" s="205" t="str">
        <f t="shared" si="389"/>
        <v/>
      </c>
      <c r="EK236" s="205">
        <f>IF($J236="",#N/A,SUM(EJ$4:EJ236))</f>
        <v>4.5969853022853275</v>
      </c>
      <c r="EL236" s="205">
        <f>IF($J236="",#N/A,SUM(EJ$4:EJ236,EH$4:EH236,EF$4:EF236))</f>
        <v>1.2952184514861527</v>
      </c>
      <c r="EM236" s="200" t="str">
        <f t="shared" si="390"/>
        <v/>
      </c>
      <c r="EN236" s="203">
        <f>IF($J236="",#N/A,SUM(EM$4:EM236))</f>
        <v>0</v>
      </c>
      <c r="EO236" s="204" t="str">
        <f t="shared" si="391"/>
        <v/>
      </c>
      <c r="EP236" s="204">
        <f>IF($J236="",#N/A,SUM(EO$4:EO236))</f>
        <v>3.2406646352184261</v>
      </c>
      <c r="EQ236" s="205" t="str">
        <f t="shared" si="392"/>
        <v/>
      </c>
      <c r="ER236" s="205">
        <f>IF($J236="",#N/A,SUM(EQ$4:EQ236))</f>
        <v>1.441536272249796</v>
      </c>
      <c r="ES236" s="205">
        <f>IF($J236="",#N/A,SUM(EQ$4:EQ236,EO$4:EO236,EM$4:EM236))</f>
        <v>4.6822009074682214</v>
      </c>
      <c r="ET236" s="200" t="str">
        <f t="shared" si="393"/>
        <v/>
      </c>
      <c r="EU236" s="203">
        <f>IF($J236="",#N/A,SUM(ET$4:ET236))</f>
        <v>0</v>
      </c>
      <c r="EV236" s="204" t="str">
        <f t="shared" si="394"/>
        <v/>
      </c>
      <c r="EW236" s="204">
        <f>IF($J236="",#N/A,SUM(EV$4:EV236))</f>
        <v>1.9901851109977766</v>
      </c>
      <c r="EX236" s="205" t="str">
        <f t="shared" si="395"/>
        <v/>
      </c>
      <c r="EY236" s="205">
        <f>IF($J236="",#N/A,SUM(EX$4:EX236))</f>
        <v>0.27113250180669229</v>
      </c>
      <c r="EZ236" s="205">
        <f>IF($J236="",#N/A,SUM(EX$4:EX236,EV$4:EV236,ET$4:ET236))</f>
        <v>2.2613176128044685</v>
      </c>
      <c r="FA236" s="200" t="str">
        <f t="shared" si="396"/>
        <v/>
      </c>
      <c r="FB236" s="203">
        <f>IF($J236="",#N/A,SUM(FA$4:FA236))</f>
        <v>0</v>
      </c>
      <c r="FC236" s="204" t="str">
        <f t="shared" si="397"/>
        <v/>
      </c>
      <c r="FD236" s="204">
        <f>IF($J236="",#N/A,SUM(FC$4:FC236))</f>
        <v>1.8692126759492278</v>
      </c>
      <c r="FE236" s="205" t="str">
        <f t="shared" si="398"/>
        <v/>
      </c>
      <c r="FF236" s="205">
        <f>IF($J236="",#N/A,SUM(FE$4:FE236))</f>
        <v>-0.28811149078748233</v>
      </c>
      <c r="FG236" s="205">
        <f>IF($J236="",#N/A,SUM(FE$4:FE236,FC$4:FC236,FA$4:FA236))</f>
        <v>1.5811011851617456</v>
      </c>
      <c r="FH236" s="200" t="str">
        <f t="shared" si="399"/>
        <v/>
      </c>
      <c r="FI236" s="203">
        <f>IF($J236="",#N/A,SUM(FH$4:FH236))</f>
        <v>0</v>
      </c>
      <c r="FJ236" s="204" t="str">
        <f t="shared" si="400"/>
        <v/>
      </c>
      <c r="FK236" s="204">
        <f>IF($J236="",#N/A,SUM(FJ$4:FJ236))</f>
        <v>0</v>
      </c>
      <c r="FL236" s="205" t="str">
        <f t="shared" si="401"/>
        <v/>
      </c>
      <c r="FM236" s="205">
        <f>IF($J236="",#N/A,SUM(FL$4:FL236))</f>
        <v>0</v>
      </c>
      <c r="FN236" s="205">
        <f>IF($J236="",#N/A,SUM(FL$4:FL236,FJ$4:FJ236,FH$4:FH236))</f>
        <v>0</v>
      </c>
      <c r="FO236" s="200" t="str">
        <f t="shared" si="402"/>
        <v/>
      </c>
      <c r="FP236" s="203">
        <f>IF($J236="",#N/A,SUM(FO$4:FO236))</f>
        <v>0</v>
      </c>
      <c r="FQ236" s="204" t="str">
        <f t="shared" si="403"/>
        <v/>
      </c>
      <c r="FR236" s="204">
        <f>IF($J236="",#N/A,SUM(FQ$4:FQ236))</f>
        <v>0</v>
      </c>
      <c r="FS236" s="205" t="str">
        <f t="shared" si="404"/>
        <v/>
      </c>
      <c r="FT236" s="205">
        <f>IF($J236="",#N/A,SUM(FS$4:FS236))</f>
        <v>0</v>
      </c>
      <c r="FU236" s="205">
        <f>IF($J236="",#N/A,SUM(FS$4:FS236,FQ$4:FQ236,FO$4:FO236))</f>
        <v>0</v>
      </c>
      <c r="FV236" s="200" t="str">
        <f t="shared" si="405"/>
        <v/>
      </c>
      <c r="FW236" s="203">
        <f>IF($J236="",#N/A,SUM(FV$4:FV236))</f>
        <v>6.6834991831277585E-2</v>
      </c>
      <c r="FX236" s="204" t="str">
        <f t="shared" si="406"/>
        <v/>
      </c>
      <c r="FY236" s="204">
        <f>IF($J236="",#N/A,SUM(FX$4:FX236))</f>
        <v>-0.16102012791805576</v>
      </c>
      <c r="FZ236" s="205">
        <f t="shared" si="407"/>
        <v>0.66978340259413105</v>
      </c>
      <c r="GA236" s="205">
        <f>IF($J236="",#N/A,SUM(FZ$4:FZ236))</f>
        <v>-1.1377221770567538</v>
      </c>
      <c r="GB236" s="205">
        <f>IF($J236="",#N/A,SUM(FZ$4:FZ236,FX$4:FX236,FV$4:FV236))</f>
        <v>-1.2319073131435321</v>
      </c>
      <c r="GC236" s="200" t="str">
        <f t="shared" si="408"/>
        <v/>
      </c>
      <c r="GD236" s="203">
        <f>IF($J236="",#N/A,SUM(GC$4:GC236))</f>
        <v>0</v>
      </c>
      <c r="GE236" s="204" t="str">
        <f t="shared" si="409"/>
        <v/>
      </c>
      <c r="GF236" s="204">
        <f>IF($J236="",#N/A,SUM(GE$4:GE236))</f>
        <v>0</v>
      </c>
      <c r="GG236" s="205" t="str">
        <f t="shared" si="410"/>
        <v/>
      </c>
      <c r="GH236" s="205">
        <f>IF($J236="",#N/A,SUM(GG$4:GG236))</f>
        <v>-2.9368362277223206</v>
      </c>
      <c r="GI236" s="205">
        <f>IF($J236="",#N/A,SUM(GG$4:GG236,GE$4:GE236,GC$4:GC236))</f>
        <v>-2.9368362277223206</v>
      </c>
      <c r="GJ236" s="200" t="str">
        <f t="shared" si="411"/>
        <v/>
      </c>
      <c r="GK236" s="203">
        <f>IF($J236="",#N/A,SUM(GJ$4:GJ236))</f>
        <v>0</v>
      </c>
      <c r="GL236" s="204" t="str">
        <f t="shared" si="412"/>
        <v/>
      </c>
      <c r="GM236" s="204">
        <f>IF($J236="",#N/A,SUM(GL$4:GL236))</f>
        <v>-1.6833790887309608</v>
      </c>
      <c r="GN236" s="205" t="str">
        <f t="shared" si="413"/>
        <v/>
      </c>
      <c r="GO236" s="205">
        <f>IF($J236="",#N/A,SUM(GN$4:GN236))</f>
        <v>0</v>
      </c>
      <c r="GP236" s="205">
        <f>IF($J236="",#N/A,SUM(GN$4:GN236,GL$4:GL236,GJ$4:GJ236))</f>
        <v>-1.6833790887309608</v>
      </c>
      <c r="GS236" s="54">
        <f t="shared" si="432"/>
        <v>0.66978340259413105</v>
      </c>
      <c r="GT236" s="54">
        <f>IF(GS236="",NA(),SUM($GS$4:GS236))</f>
        <v>7.6646381371798924</v>
      </c>
      <c r="GU236" s="54" t="str">
        <f t="shared" si="414"/>
        <v/>
      </c>
      <c r="GV236" s="54" t="e">
        <f>IF(GU236="",NA(),SUM($GU$4:GU236))</f>
        <v>#N/A</v>
      </c>
      <c r="GW236" s="54">
        <f t="shared" si="415"/>
        <v>0.66978340259413105</v>
      </c>
      <c r="GX236" s="54">
        <f>IF(GW236="",NA(),SUM($GW$4:GW236))</f>
        <v>7.8274647386475351</v>
      </c>
      <c r="GY236" s="54" t="str">
        <f t="shared" si="416"/>
        <v/>
      </c>
      <c r="GZ236" s="54" t="e">
        <f>IF(GY236="",NA(),SUM($GY$4:GY236))</f>
        <v>#N/A</v>
      </c>
      <c r="HA236" s="54" t="str">
        <f t="shared" si="417"/>
        <v/>
      </c>
      <c r="HB236" s="54" t="e">
        <f>IF(HA236="",NA(),SUM($HA$4:HA236))</f>
        <v>#N/A</v>
      </c>
      <c r="HC236" s="54" t="str">
        <f t="shared" si="418"/>
        <v/>
      </c>
      <c r="HD236" s="54" t="e">
        <f>IF(HC236="",NA(),SUM($HC$4:HC236))</f>
        <v>#N/A</v>
      </c>
      <c r="HE236" s="54" t="str">
        <f t="shared" si="419"/>
        <v/>
      </c>
      <c r="HF236" s="54" t="e">
        <f>IF(HE236="",NA(),SUM($HE$4:HE236))</f>
        <v>#N/A</v>
      </c>
      <c r="HG236" s="54" t="str">
        <f t="shared" si="420"/>
        <v/>
      </c>
      <c r="HH236" s="54" t="e">
        <f>IF(HG236="",NA(),SUM($HG$4:HG236))</f>
        <v>#N/A</v>
      </c>
      <c r="HI236" s="172" t="str">
        <f t="shared" si="433"/>
        <v/>
      </c>
      <c r="HJ236" s="172">
        <f>IF($J236="",#N/A,SUM(HI$4:$HI236))</f>
        <v>-6.9005269627045349</v>
      </c>
      <c r="HK236" s="54" t="str">
        <f t="shared" si="421"/>
        <v/>
      </c>
      <c r="HL236" s="54">
        <f>IF($J236="",#N/A,SUM($HK$4:HK236))</f>
        <v>-1.4008180841025943</v>
      </c>
      <c r="HM236" s="54" t="str">
        <f t="shared" si="422"/>
        <v/>
      </c>
      <c r="HN236" s="54">
        <f>IF($J236="",#N/A,SUM($HM$4:HM236))</f>
        <v>0.90694539517251249</v>
      </c>
      <c r="HO236" s="54" t="str">
        <f t="shared" si="423"/>
        <v/>
      </c>
      <c r="HP236" s="54">
        <f>IF($J236="",#N/A,SUM($HO$4:HO236))</f>
        <v>-0.10266465451722628</v>
      </c>
      <c r="HQ236" s="54">
        <f t="shared" si="424"/>
        <v>3.5417453721194425E-2</v>
      </c>
      <c r="HR236" s="54">
        <f>IF($J236="",#N/A,SUM($HQ$4:HQ236))</f>
        <v>-14.1300028050112</v>
      </c>
      <c r="HS236" s="54" t="str">
        <f t="shared" si="425"/>
        <v/>
      </c>
      <c r="HT236" s="54">
        <f>IF($J236="",#N/A,SUM($HS$4:HS236))</f>
        <v>13.389378536583431</v>
      </c>
      <c r="HU236" s="65">
        <f t="shared" si="426"/>
        <v>0.70520085631532547</v>
      </c>
      <c r="HV236" s="65">
        <f>IF($J236="",#N/A,SUM(HU$4:$HU236))</f>
        <v>3.7198332850207065</v>
      </c>
    </row>
    <row r="237" spans="1:230" x14ac:dyDescent="0.25">
      <c r="A237" s="51" t="s">
        <v>1312</v>
      </c>
      <c r="B237" s="52" t="s">
        <v>4563</v>
      </c>
      <c r="C237" s="229">
        <f t="shared" si="327"/>
        <v>3</v>
      </c>
      <c r="D237" s="219" t="str">
        <f>_xlfn.XLOOKUP(A237,[1]SP500!$A$2:$A$502,[1]SP500!$D$2:$D$502,"N")</f>
        <v>Y</v>
      </c>
      <c r="E237" s="51" t="str">
        <f>IFERROR(_xlfn.XLOOKUP(A237,[1]SP500!$A$2:$A$655,[1]SP500!$B$2:$B$655),"")</f>
        <v>XLV</v>
      </c>
      <c r="F237" s="290">
        <v>45778</v>
      </c>
      <c r="G237" s="51" t="str">
        <f t="shared" si="328"/>
        <v>AMC</v>
      </c>
      <c r="H237" s="51" t="str">
        <f t="shared" si="329"/>
        <v>s</v>
      </c>
      <c r="I237" s="344">
        <v>283.77999999999997</v>
      </c>
      <c r="J237" s="124">
        <v>291.5</v>
      </c>
      <c r="K237" s="55">
        <f t="shared" si="330"/>
        <v>2.7204172246106238E-2</v>
      </c>
      <c r="L237" s="67">
        <f t="shared" si="331"/>
        <v>30.880000000000109</v>
      </c>
      <c r="M237" s="57">
        <f t="shared" si="332"/>
        <v>0</v>
      </c>
      <c r="N237" s="102">
        <f t="shared" si="333"/>
        <v>30.880000000000109</v>
      </c>
      <c r="O237" s="57">
        <f>IF(N237="",#N/A,SUM($N$4:N237))</f>
        <v>599.95092465120945</v>
      </c>
      <c r="P237" s="65">
        <f t="shared" si="427"/>
        <v>0.45340287076843733</v>
      </c>
      <c r="Q237" s="172">
        <f>IF($N237="",#N/A,SUM($P$4:P237))</f>
        <v>12.410924730368757</v>
      </c>
      <c r="R237" s="279">
        <f t="shared" si="334"/>
        <v>3.623486256482078</v>
      </c>
      <c r="S237" s="51" t="str">
        <f t="shared" si="335"/>
        <v>SW</v>
      </c>
      <c r="T237" s="51" t="s">
        <v>2828</v>
      </c>
      <c r="U237" s="56">
        <f t="shared" si="336"/>
        <v>283.77999999999997</v>
      </c>
      <c r="V237" s="56" t="s">
        <v>4460</v>
      </c>
      <c r="W237" s="142">
        <v>4</v>
      </c>
      <c r="X237" s="145">
        <f t="shared" si="337"/>
        <v>1135.1199999999999</v>
      </c>
      <c r="Y237" s="140">
        <f t="shared" si="338"/>
        <v>4</v>
      </c>
      <c r="Z237" s="123">
        <v>291.5</v>
      </c>
      <c r="AA237" s="102">
        <f t="shared" si="339"/>
        <v>30.880000000000109</v>
      </c>
      <c r="AB237" s="102">
        <f t="shared" si="340"/>
        <v>-10.239999999999782</v>
      </c>
      <c r="AC237" s="124">
        <v>281.22000000000003</v>
      </c>
      <c r="AD237" s="155">
        <f t="shared" si="341"/>
        <v>-10.239999999999782</v>
      </c>
      <c r="AE237" s="545">
        <f t="shared" si="342"/>
        <v>-0.15035121103201693</v>
      </c>
      <c r="AF237" s="57">
        <f>IF($AC237="",#N/A,SUM(AD$4:AD237))</f>
        <v>177.6608722073795</v>
      </c>
      <c r="AG237" s="102">
        <f t="shared" si="343"/>
        <v>-41.119999999999891</v>
      </c>
      <c r="AH237" s="56" t="s">
        <v>2507</v>
      </c>
      <c r="AI237" s="65">
        <f t="shared" si="344"/>
        <v>0.45340287076843733</v>
      </c>
      <c r="AJ237" s="54">
        <f>IF(AI237="",#N/A,SUM($AI$4:AI237))</f>
        <v>8.7874384738866791</v>
      </c>
      <c r="AK237" s="57">
        <f t="shared" si="345"/>
        <v>30.880000000000109</v>
      </c>
      <c r="AL237" s="349">
        <f>IF(AI237="",#N/A,IF(AH237="Skip",SUM($AK$4:AK237),SUM($AK$4:AK237)))</f>
        <v>349.45759149281457</v>
      </c>
      <c r="AM237" s="65">
        <f t="shared" si="428"/>
        <v>-0.15035121103201693</v>
      </c>
      <c r="AN237" s="209"/>
      <c r="AO237" s="65">
        <f t="shared" si="346"/>
        <v>-0.15035121103201693</v>
      </c>
      <c r="AP237" s="65">
        <f>IF($AC237="",#N/A,SUM(AO$4:AO237))</f>
        <v>5.5294529259760647</v>
      </c>
      <c r="AQ237" s="65" t="str">
        <f t="shared" si="347"/>
        <v/>
      </c>
      <c r="AR237" s="65">
        <f>IF($AC237="",#N/A,SUM(AQ$4:AQ237))</f>
        <v>-2.2840800066827698</v>
      </c>
      <c r="AS237" s="65" t="str">
        <f t="shared" si="348"/>
        <v/>
      </c>
      <c r="AT237" s="65">
        <f>IF($AC237="",#N/A,SUM(AS$4:AS237))</f>
        <v>0.32410915469539214</v>
      </c>
      <c r="AU237" s="57">
        <f t="shared" si="429"/>
        <v>-10.239999999999782</v>
      </c>
      <c r="AV237" s="57">
        <f>IF($AC237="",#N/A,SUM(AU$4:AU237))</f>
        <v>256.66249066104672</v>
      </c>
      <c r="AW237" s="57" t="str">
        <f t="shared" si="430"/>
        <v/>
      </c>
      <c r="AX237" s="57">
        <f>IF($AC237="",#N/A,SUM(AW$4:AW237))</f>
        <v>-142.90000000000009</v>
      </c>
      <c r="AY237" s="57" t="str">
        <f t="shared" si="431"/>
        <v/>
      </c>
      <c r="AZ237" s="57">
        <f>IF($AC237="",#N/A,SUM(AY$4:AY237))</f>
        <v>63.898381546332871</v>
      </c>
      <c r="BA237" s="57">
        <f>IF(AD237="",#N/A,SUM($AD$4:AD237))</f>
        <v>177.6608722073795</v>
      </c>
      <c r="BC237" s="51" t="str">
        <f t="shared" si="349"/>
        <v/>
      </c>
      <c r="BD237" s="51" t="str">
        <f t="shared" si="350"/>
        <v/>
      </c>
      <c r="BE237" s="51">
        <f t="shared" si="351"/>
        <v>1</v>
      </c>
      <c r="BF237" s="51" t="str">
        <f t="shared" si="352"/>
        <v>Long</v>
      </c>
      <c r="BG237" s="51" t="str">
        <f t="shared" si="353"/>
        <v/>
      </c>
      <c r="BH237" s="51" t="str">
        <f t="shared" si="354"/>
        <v/>
      </c>
      <c r="BI237" s="51" t="str">
        <f t="shared" si="355"/>
        <v/>
      </c>
      <c r="BK237" s="65">
        <f t="shared" si="326"/>
        <v>0.10532233096331728</v>
      </c>
      <c r="BL237" s="65">
        <f t="shared" si="434"/>
        <v>6.6673141452674903E-2</v>
      </c>
      <c r="BM237" s="65">
        <f>IFERROR(Q237/COUNTA($J$4:J237),#N/A)</f>
        <v>5.3038139873370756E-2</v>
      </c>
      <c r="BO237" s="489">
        <f>IF(J237="",#N/A,IF(S237="SW",(COUNTIFS(K$4:$K237,"&gt;0",S$4:$S237,"SW")/COUNTIF(S$4:$S237,"SW")),#N/A))</f>
        <v>0.50806451612903225</v>
      </c>
      <c r="BP237" s="489" t="e">
        <f>IF($J237="",#N/A,IF($S237="DWN",(COUNTIFS($K$4:$K237,"&lt;0",$S$4:$S237,"DWN")/COUNTIF($S$4:$S237,"DWN")),#N/A))</f>
        <v>#N/A</v>
      </c>
      <c r="BQ237" s="489" t="e">
        <f>IF($J237="",#N/A,IF($S237="UP",(COUNTIFS($K$4:$K237,"&gt;0",$S$4:$S237,"UP")/COUNTIF($S$4:$S237,"UP")),#N/A))</f>
        <v>#N/A</v>
      </c>
      <c r="BR237" s="489">
        <f>IF(J237="",#N/A,COUNTIF($K$4:K237,"&gt;0")/COUNT($J$4:J237))</f>
        <v>0.46153846153846156</v>
      </c>
      <c r="BS237" s="65">
        <f t="shared" si="356"/>
        <v>0.45340287076843733</v>
      </c>
      <c r="BT237" s="65" t="str">
        <f t="shared" si="357"/>
        <v/>
      </c>
      <c r="BU237" s="65" t="str">
        <f t="shared" si="358"/>
        <v/>
      </c>
      <c r="BV237" s="65" t="str">
        <f t="shared" si="359"/>
        <v/>
      </c>
      <c r="BW237" s="128" t="str">
        <f t="shared" si="360"/>
        <v/>
      </c>
      <c r="BX237" s="128">
        <f>IF($J237="",#N/A,SUM($BW$4:BW237))</f>
        <v>-199.33000000000038</v>
      </c>
      <c r="BY237" s="131" t="str">
        <f t="shared" si="361"/>
        <v/>
      </c>
      <c r="BZ237" s="131">
        <f>IF($J237="",#N/A,SUM($BY$4:BY237))</f>
        <v>499.76934038933473</v>
      </c>
      <c r="CA237" s="133">
        <f t="shared" si="362"/>
        <v>30.880000000000109</v>
      </c>
      <c r="CB237" s="133">
        <f>IF($J237="",#N/A,SUM($CA$4:CA237))</f>
        <v>299.5115842618751</v>
      </c>
      <c r="CC237" s="194" t="str">
        <f t="shared" si="363"/>
        <v/>
      </c>
      <c r="CD237" s="194">
        <f>IF($J237="",#N/A,SUM($CC$4:CC237))</f>
        <v>-3.0883607473380557</v>
      </c>
      <c r="CE237" s="195" t="str">
        <f t="shared" si="364"/>
        <v/>
      </c>
      <c r="CF237" s="195">
        <f>IF($J237="",#N/A,SUM($CE$4:CE237))</f>
        <v>8.625454201502528</v>
      </c>
      <c r="CG237" s="196">
        <f t="shared" si="365"/>
        <v>0.45340287076843733</v>
      </c>
      <c r="CH237" s="193">
        <f>IF($J237="",#N/A,SUM($CG$4:CG237))</f>
        <v>6.8738312762042915</v>
      </c>
      <c r="CI237" s="200" t="str">
        <f t="shared" si="366"/>
        <v/>
      </c>
      <c r="CJ237" s="203">
        <f>IF($J237="",#N/A,SUM(CI$4:CI237))</f>
        <v>0</v>
      </c>
      <c r="CK237" s="204" t="str">
        <f t="shared" si="367"/>
        <v/>
      </c>
      <c r="CL237" s="204">
        <f>IF($J237="",#N/A,SUM(CK$4:CK237))</f>
        <v>1.9927003554442289</v>
      </c>
      <c r="CM237" s="205" t="str">
        <f t="shared" si="368"/>
        <v/>
      </c>
      <c r="CN237" s="205">
        <f>IF($J237="",#N/A,SUM(CM$4:CM237))</f>
        <v>5.044238105997306</v>
      </c>
      <c r="CO237" s="205">
        <f>IF($J237="",#N/A,SUM(CM$4:CM237,CK$4:CK237,CI$4:CI237))</f>
        <v>7.0369384614415349</v>
      </c>
      <c r="CP237" s="200" t="str">
        <f t="shared" si="369"/>
        <v/>
      </c>
      <c r="CQ237" s="203">
        <f>IF($J237="",#N/A,SUM(CP$4:CP237))</f>
        <v>0</v>
      </c>
      <c r="CR237" s="204" t="str">
        <f t="shared" si="370"/>
        <v/>
      </c>
      <c r="CS237" s="204">
        <f>IF($J237="",#N/A,SUM(CR$4:CR237))</f>
        <v>4.6135245886817966</v>
      </c>
      <c r="CT237" s="205" t="str">
        <f t="shared" si="371"/>
        <v/>
      </c>
      <c r="CU237" s="205">
        <f>IF($J237="",#N/A,SUM(CT$4:CT237))</f>
        <v>-2.9040943753548785</v>
      </c>
      <c r="CV237" s="205">
        <f>IF($J237="",#N/A,SUM(CT$4:CT237,CR$4:CR237,CP$4:CP237))</f>
        <v>1.7094302133269181</v>
      </c>
      <c r="CW237" s="200" t="str">
        <f t="shared" si="372"/>
        <v/>
      </c>
      <c r="CX237" s="203">
        <f>IF($J237="",#N/A,SUM(CW$4:CW237))</f>
        <v>-0.33865165024245297</v>
      </c>
      <c r="CY237" s="204" t="str">
        <f t="shared" si="373"/>
        <v/>
      </c>
      <c r="CZ237" s="204">
        <f>IF($J237="",#N/A,SUM(CY$4:CY237))</f>
        <v>-8.9115263338952644E-2</v>
      </c>
      <c r="DA237" s="205" t="str">
        <f t="shared" si="374"/>
        <v/>
      </c>
      <c r="DB237" s="205">
        <f>IF($J237="",#N/A,SUM(DA$4:DA237))</f>
        <v>-2.2679577914291</v>
      </c>
      <c r="DC237" s="205">
        <f>IF($J237="",#N/A,SUM(DA$4:DA237,CY$4:CY237,CW$4:CW237))</f>
        <v>-2.6957247050105053</v>
      </c>
      <c r="DD237" s="200" t="str">
        <f t="shared" si="375"/>
        <v/>
      </c>
      <c r="DE237" s="203">
        <f>IF($J237="",#N/A,SUM(DD$4:DD237))</f>
        <v>0.14968716170674062</v>
      </c>
      <c r="DF237" s="204" t="str">
        <f t="shared" si="376"/>
        <v/>
      </c>
      <c r="DG237" s="204">
        <f>IF($J237="",#N/A,SUM(DF$4:DF237))</f>
        <v>1.5249935139936004</v>
      </c>
      <c r="DH237" s="205" t="str">
        <f t="shared" si="377"/>
        <v/>
      </c>
      <c r="DI237" s="205">
        <f>IF($J237="",#N/A,SUM(DH$4:DH237))</f>
        <v>-1.9066052078694633</v>
      </c>
      <c r="DJ237" s="205">
        <f>IF($J237="",#N/A,SUM(DH$4:DH237,DF$4:DF237,DD$4:DD237))</f>
        <v>-0.23192453216912207</v>
      </c>
      <c r="DK237" s="200" t="str">
        <f t="shared" si="378"/>
        <v/>
      </c>
      <c r="DL237" s="203">
        <f>IF($J237="",#N/A,SUM(DK$4:DK237))</f>
        <v>-1.2097286851272664</v>
      </c>
      <c r="DM237" s="204" t="str">
        <f t="shared" si="379"/>
        <v/>
      </c>
      <c r="DN237" s="204">
        <f>IF($J237="",#N/A,SUM(DM$4:DM237))</f>
        <v>1.1910608267574658</v>
      </c>
      <c r="DO237" s="205" t="str">
        <f t="shared" si="380"/>
        <v/>
      </c>
      <c r="DP237" s="205">
        <f>IF($J237="",#N/A,SUM(DO$4:DO237))</f>
        <v>2.6571865116636566</v>
      </c>
      <c r="DQ237" s="205">
        <f>IF($J237="",#N/A,SUM(DO$4:DO237,DM$4:DM237,DK$4:DK237))</f>
        <v>2.6385186532938567</v>
      </c>
      <c r="DR237" s="200" t="str">
        <f t="shared" si="381"/>
        <v/>
      </c>
      <c r="DS237" s="203">
        <f>IF($J237="",#N/A,SUM(DR$4:DR237))</f>
        <v>-0.55950946427675097</v>
      </c>
      <c r="DT237" s="204" t="str">
        <f t="shared" si="382"/>
        <v/>
      </c>
      <c r="DU237" s="204">
        <f>IF($J237="",#N/A,SUM(DT$4:DT237))</f>
        <v>-3.6911249040845173</v>
      </c>
      <c r="DV237" s="205" t="str">
        <f t="shared" si="383"/>
        <v/>
      </c>
      <c r="DW237" s="205">
        <f>IF($J237="",#N/A,SUM(DV$4:DV237))</f>
        <v>-1.2815650893103838</v>
      </c>
      <c r="DX237" s="205">
        <f>IF($J237="",#N/A,SUM(DV$4:DV237,DT$4:DT237,DR$4:DR237))</f>
        <v>-5.532199457671652</v>
      </c>
      <c r="DY237" s="200" t="str">
        <f t="shared" si="384"/>
        <v/>
      </c>
      <c r="DZ237" s="203">
        <f>IF($J237="",#N/A,SUM(DY$4:DY237))</f>
        <v>-1.0460034109943892</v>
      </c>
      <c r="EA237" s="204" t="str">
        <f t="shared" si="385"/>
        <v/>
      </c>
      <c r="EB237" s="204">
        <f>IF($J237="",#N/A,SUM(EA$4:EA237))</f>
        <v>0.65158371441459195</v>
      </c>
      <c r="EC237" s="205" t="str">
        <f t="shared" si="386"/>
        <v/>
      </c>
      <c r="ED237" s="205">
        <f>IF($J237="",#N/A,SUM(EC$4:EC237))</f>
        <v>5.1322420709634535</v>
      </c>
      <c r="EE237" s="205">
        <f>IF($J237="",#N/A,SUM(EC$4:EC237,EA$4:EA237,DY$4:DY237))</f>
        <v>4.7378223743836561</v>
      </c>
      <c r="EF237" s="200" t="str">
        <f t="shared" si="387"/>
        <v/>
      </c>
      <c r="EG237" s="203">
        <f>IF($J237="",#N/A,SUM(EF$4:EF237))</f>
        <v>-0.15098969023521425</v>
      </c>
      <c r="EH237" s="204" t="str">
        <f t="shared" si="388"/>
        <v/>
      </c>
      <c r="EI237" s="204">
        <f>IF($J237="",#N/A,SUM(EH$4:EH237))</f>
        <v>-3.1507771605639614</v>
      </c>
      <c r="EJ237" s="205">
        <f t="shared" si="389"/>
        <v>0.45340287076843733</v>
      </c>
      <c r="EK237" s="205">
        <f>IF($J237="",#N/A,SUM(EJ$4:EJ237))</f>
        <v>5.050388173053765</v>
      </c>
      <c r="EL237" s="205">
        <f>IF($J237="",#N/A,SUM(EJ$4:EJ237,EH$4:EH237,EF$4:EF237))</f>
        <v>1.7486213222545892</v>
      </c>
      <c r="EM237" s="200" t="str">
        <f t="shared" si="390"/>
        <v/>
      </c>
      <c r="EN237" s="203">
        <f>IF($J237="",#N/A,SUM(EM$4:EM237))</f>
        <v>0</v>
      </c>
      <c r="EO237" s="204" t="str">
        <f t="shared" si="391"/>
        <v/>
      </c>
      <c r="EP237" s="204">
        <f>IF($J237="",#N/A,SUM(EO$4:EO237))</f>
        <v>3.2406646352184261</v>
      </c>
      <c r="EQ237" s="205" t="str">
        <f t="shared" si="392"/>
        <v/>
      </c>
      <c r="ER237" s="205">
        <f>IF($J237="",#N/A,SUM(EQ$4:EQ237))</f>
        <v>1.441536272249796</v>
      </c>
      <c r="ES237" s="205">
        <f>IF($J237="",#N/A,SUM(EQ$4:EQ237,EO$4:EO237,EM$4:EM237))</f>
        <v>4.6822009074682214</v>
      </c>
      <c r="ET237" s="200" t="str">
        <f t="shared" si="393"/>
        <v/>
      </c>
      <c r="EU237" s="203">
        <f>IF($J237="",#N/A,SUM(ET$4:ET237))</f>
        <v>0</v>
      </c>
      <c r="EV237" s="204" t="str">
        <f t="shared" si="394"/>
        <v/>
      </c>
      <c r="EW237" s="204">
        <f>IF($J237="",#N/A,SUM(EV$4:EV237))</f>
        <v>1.9901851109977766</v>
      </c>
      <c r="EX237" s="205" t="str">
        <f t="shared" si="395"/>
        <v/>
      </c>
      <c r="EY237" s="205">
        <f>IF($J237="",#N/A,SUM(EX$4:EX237))</f>
        <v>0.27113250180669229</v>
      </c>
      <c r="EZ237" s="205">
        <f>IF($J237="",#N/A,SUM(EX$4:EX237,EV$4:EV237,ET$4:ET237))</f>
        <v>2.2613176128044685</v>
      </c>
      <c r="FA237" s="200" t="str">
        <f t="shared" si="396"/>
        <v/>
      </c>
      <c r="FB237" s="203">
        <f>IF($J237="",#N/A,SUM(FA$4:FA237))</f>
        <v>0</v>
      </c>
      <c r="FC237" s="204" t="str">
        <f t="shared" si="397"/>
        <v/>
      </c>
      <c r="FD237" s="204">
        <f>IF($J237="",#N/A,SUM(FC$4:FC237))</f>
        <v>1.8692126759492278</v>
      </c>
      <c r="FE237" s="205" t="str">
        <f t="shared" si="398"/>
        <v/>
      </c>
      <c r="FF237" s="205">
        <f>IF($J237="",#N/A,SUM(FE$4:FE237))</f>
        <v>-0.28811149078748233</v>
      </c>
      <c r="FG237" s="205">
        <f>IF($J237="",#N/A,SUM(FE$4:FE237,FC$4:FC237,FA$4:FA237))</f>
        <v>1.5811011851617456</v>
      </c>
      <c r="FH237" s="200" t="str">
        <f t="shared" si="399"/>
        <v/>
      </c>
      <c r="FI237" s="203">
        <f>IF($J237="",#N/A,SUM(FH$4:FH237))</f>
        <v>0</v>
      </c>
      <c r="FJ237" s="204" t="str">
        <f t="shared" si="400"/>
        <v/>
      </c>
      <c r="FK237" s="204">
        <f>IF($J237="",#N/A,SUM(FJ$4:FJ237))</f>
        <v>0</v>
      </c>
      <c r="FL237" s="205" t="str">
        <f t="shared" si="401"/>
        <v/>
      </c>
      <c r="FM237" s="205">
        <f>IF($J237="",#N/A,SUM(FL$4:FL237))</f>
        <v>0</v>
      </c>
      <c r="FN237" s="205">
        <f>IF($J237="",#N/A,SUM(FL$4:FL237,FJ$4:FJ237,FH$4:FH237))</f>
        <v>0</v>
      </c>
      <c r="FO237" s="200" t="str">
        <f t="shared" si="402"/>
        <v/>
      </c>
      <c r="FP237" s="203">
        <f>IF($J237="",#N/A,SUM(FO$4:FO237))</f>
        <v>0</v>
      </c>
      <c r="FQ237" s="204" t="str">
        <f t="shared" si="403"/>
        <v/>
      </c>
      <c r="FR237" s="204">
        <f>IF($J237="",#N/A,SUM(FQ$4:FQ237))</f>
        <v>0</v>
      </c>
      <c r="FS237" s="205" t="str">
        <f t="shared" si="404"/>
        <v/>
      </c>
      <c r="FT237" s="205">
        <f>IF($J237="",#N/A,SUM(FS$4:FS237))</f>
        <v>0</v>
      </c>
      <c r="FU237" s="205">
        <f>IF($J237="",#N/A,SUM(FS$4:FS237,FQ$4:FQ237,FO$4:FO237))</f>
        <v>0</v>
      </c>
      <c r="FV237" s="200" t="str">
        <f t="shared" si="405"/>
        <v/>
      </c>
      <c r="FW237" s="203">
        <f>IF($J237="",#N/A,SUM(FV$4:FV237))</f>
        <v>6.6834991831277585E-2</v>
      </c>
      <c r="FX237" s="204" t="str">
        <f t="shared" si="406"/>
        <v/>
      </c>
      <c r="FY237" s="204">
        <f>IF($J237="",#N/A,SUM(FX$4:FX237))</f>
        <v>-0.16102012791805576</v>
      </c>
      <c r="FZ237" s="205" t="str">
        <f t="shared" si="407"/>
        <v/>
      </c>
      <c r="GA237" s="205">
        <f>IF($J237="",#N/A,SUM(FZ$4:FZ237))</f>
        <v>-1.1377221770567538</v>
      </c>
      <c r="GB237" s="205">
        <f>IF($J237="",#N/A,SUM(FZ$4:FZ237,FX$4:FX237,FV$4:FV237))</f>
        <v>-1.2319073131435321</v>
      </c>
      <c r="GC237" s="200" t="str">
        <f t="shared" si="408"/>
        <v/>
      </c>
      <c r="GD237" s="203">
        <f>IF($J237="",#N/A,SUM(GC$4:GC237))</f>
        <v>0</v>
      </c>
      <c r="GE237" s="204" t="str">
        <f t="shared" si="409"/>
        <v/>
      </c>
      <c r="GF237" s="204">
        <f>IF($J237="",#N/A,SUM(GE$4:GE237))</f>
        <v>0</v>
      </c>
      <c r="GG237" s="205" t="str">
        <f t="shared" si="410"/>
        <v/>
      </c>
      <c r="GH237" s="205">
        <f>IF($J237="",#N/A,SUM(GG$4:GG237))</f>
        <v>-2.9368362277223206</v>
      </c>
      <c r="GI237" s="205">
        <f>IF($J237="",#N/A,SUM(GG$4:GG237,GE$4:GE237,GC$4:GC237))</f>
        <v>-2.9368362277223206</v>
      </c>
      <c r="GJ237" s="200" t="str">
        <f t="shared" si="411"/>
        <v/>
      </c>
      <c r="GK237" s="203">
        <f>IF($J237="",#N/A,SUM(GJ$4:GJ237))</f>
        <v>0</v>
      </c>
      <c r="GL237" s="204" t="str">
        <f t="shared" si="412"/>
        <v/>
      </c>
      <c r="GM237" s="204">
        <f>IF($J237="",#N/A,SUM(GL$4:GL237))</f>
        <v>-1.6833790887309608</v>
      </c>
      <c r="GN237" s="205" t="str">
        <f t="shared" si="413"/>
        <v/>
      </c>
      <c r="GO237" s="205">
        <f>IF($J237="",#N/A,SUM(GN$4:GN237))</f>
        <v>0</v>
      </c>
      <c r="GP237" s="205">
        <f>IF($J237="",#N/A,SUM(GN$4:GN237,GL$4:GL237,GJ$4:GJ237))</f>
        <v>-1.6833790887309608</v>
      </c>
      <c r="GS237" s="54">
        <f t="shared" si="432"/>
        <v>0.45340287076843733</v>
      </c>
      <c r="GT237" s="54">
        <f>IF(GS237="",NA(),SUM($GS$4:GS237))</f>
        <v>8.1180410079483298</v>
      </c>
      <c r="GU237" s="54" t="str">
        <f t="shared" si="414"/>
        <v/>
      </c>
      <c r="GV237" s="54" t="e">
        <f>IF(GU237="",NA(),SUM($GU$4:GU237))</f>
        <v>#N/A</v>
      </c>
      <c r="GW237" s="54">
        <f t="shared" si="415"/>
        <v>0.45340287076843733</v>
      </c>
      <c r="GX237" s="54">
        <f>IF(GW237="",NA(),SUM($GW$4:GW237))</f>
        <v>8.2808676094159726</v>
      </c>
      <c r="GY237" s="54" t="str">
        <f t="shared" si="416"/>
        <v/>
      </c>
      <c r="GZ237" s="54" t="e">
        <f>IF(GY237="",NA(),SUM($GY$4:GY237))</f>
        <v>#N/A</v>
      </c>
      <c r="HA237" s="54" t="str">
        <f t="shared" si="417"/>
        <v/>
      </c>
      <c r="HB237" s="54" t="e">
        <f>IF(HA237="",NA(),SUM($HA$4:HA237))</f>
        <v>#N/A</v>
      </c>
      <c r="HC237" s="54" t="str">
        <f t="shared" si="418"/>
        <v/>
      </c>
      <c r="HD237" s="54" t="e">
        <f>IF(HC237="",NA(),SUM($HC$4:HC237))</f>
        <v>#N/A</v>
      </c>
      <c r="HE237" s="54" t="str">
        <f t="shared" si="419"/>
        <v/>
      </c>
      <c r="HF237" s="54" t="e">
        <f>IF(HE237="",NA(),SUM($HE$4:HE237))</f>
        <v>#N/A</v>
      </c>
      <c r="HG237" s="54" t="str">
        <f t="shared" si="420"/>
        <v/>
      </c>
      <c r="HH237" s="54" t="e">
        <f>IF(HG237="",NA(),SUM($HG$4:HG237))</f>
        <v>#N/A</v>
      </c>
      <c r="HI237" s="172" t="str">
        <f t="shared" si="433"/>
        <v/>
      </c>
      <c r="HJ237" s="172">
        <f>IF($J237="",#N/A,SUM(HI$4:$HI237))</f>
        <v>-6.9005269627045349</v>
      </c>
      <c r="HK237" s="54" t="str">
        <f t="shared" si="421"/>
        <v/>
      </c>
      <c r="HL237" s="54">
        <f>IF($J237="",#N/A,SUM($HK$4:HK237))</f>
        <v>-1.4008180841025943</v>
      </c>
      <c r="HM237" s="54" t="str">
        <f t="shared" si="422"/>
        <v/>
      </c>
      <c r="HN237" s="54">
        <f>IF($J237="",#N/A,SUM($HM$4:HM237))</f>
        <v>0.90694539517251249</v>
      </c>
      <c r="HO237" s="54" t="str">
        <f t="shared" si="423"/>
        <v/>
      </c>
      <c r="HP237" s="54">
        <f>IF($J237="",#N/A,SUM($HO$4:HO237))</f>
        <v>-0.10266465451722628</v>
      </c>
      <c r="HQ237" s="54">
        <f t="shared" si="424"/>
        <v>-0.60375408180045431</v>
      </c>
      <c r="HR237" s="54">
        <f>IF($J237="",#N/A,SUM($HQ$4:HQ237))</f>
        <v>-14.733756886811655</v>
      </c>
      <c r="HS237" s="54" t="str">
        <f t="shared" si="425"/>
        <v/>
      </c>
      <c r="HT237" s="54">
        <f>IF($J237="",#N/A,SUM($HS$4:HS237))</f>
        <v>13.389378536583431</v>
      </c>
      <c r="HU237" s="65">
        <f t="shared" si="426"/>
        <v>-0.15035121103201693</v>
      </c>
      <c r="HV237" s="65">
        <f>IF($J237="",#N/A,SUM(HU$4:$HU237))</f>
        <v>3.5694820739886897</v>
      </c>
    </row>
    <row r="238" spans="1:230" x14ac:dyDescent="0.25">
      <c r="A238" s="51" t="s">
        <v>69</v>
      </c>
      <c r="B238" s="52" t="s">
        <v>4563</v>
      </c>
      <c r="C238" s="229">
        <f t="shared" si="327"/>
        <v>2</v>
      </c>
      <c r="D238" s="219" t="str">
        <f>_xlfn.XLOOKUP(A238,[1]SP500!$A$2:$A$502,[1]SP500!$D$2:$D$502,"N")</f>
        <v>Y</v>
      </c>
      <c r="E238" s="51" t="str">
        <f>IFERROR(_xlfn.XLOOKUP(A238,[1]SP500!$A$2:$A$655,[1]SP500!$B$2:$B$655),"")</f>
        <v>XLV</v>
      </c>
      <c r="F238" s="290">
        <v>45778</v>
      </c>
      <c r="G238" s="51" t="str">
        <f t="shared" si="328"/>
        <v>AMC</v>
      </c>
      <c r="H238" s="51" t="str">
        <f t="shared" si="329"/>
        <v>s</v>
      </c>
      <c r="I238" s="344">
        <v>57.28</v>
      </c>
      <c r="J238" s="123">
        <v>55.31</v>
      </c>
      <c r="K238" s="55">
        <f t="shared" si="330"/>
        <v>-3.4392458100558639E-2</v>
      </c>
      <c r="L238" s="67">
        <f t="shared" si="331"/>
        <v>39.399999999999864</v>
      </c>
      <c r="M238" s="57">
        <f t="shared" si="332"/>
        <v>0</v>
      </c>
      <c r="N238" s="102">
        <f t="shared" si="333"/>
        <v>39.399999999999864</v>
      </c>
      <c r="O238" s="57">
        <f>IF(N238="",#N/A,SUM($N$4:N238))</f>
        <v>639.35092465120931</v>
      </c>
      <c r="P238" s="65">
        <f t="shared" si="427"/>
        <v>0.57320763500930905</v>
      </c>
      <c r="Q238" s="172">
        <f>IF($N238="",#N/A,SUM($P$4:P238))</f>
        <v>12.984132365378066</v>
      </c>
      <c r="R238" s="279">
        <f t="shared" si="334"/>
        <v>3.623486256482078</v>
      </c>
      <c r="S238" s="51" t="str">
        <f t="shared" si="335"/>
        <v>Dwn</v>
      </c>
      <c r="T238" s="51" t="s">
        <v>4462</v>
      </c>
      <c r="U238" s="56">
        <f t="shared" si="336"/>
        <v>57.28</v>
      </c>
      <c r="V238" s="56" t="s">
        <v>4458</v>
      </c>
      <c r="W238" s="142">
        <v>20</v>
      </c>
      <c r="X238" s="145">
        <f t="shared" si="337"/>
        <v>1145.5999999999999</v>
      </c>
      <c r="Y238" s="140">
        <f t="shared" si="338"/>
        <v>20</v>
      </c>
      <c r="Z238" s="123">
        <v>55.31</v>
      </c>
      <c r="AA238" s="102">
        <f t="shared" si="339"/>
        <v>39.399999999999864</v>
      </c>
      <c r="AB238" s="102">
        <f t="shared" si="340"/>
        <v>62.400000000000091</v>
      </c>
      <c r="AC238" s="124">
        <v>54.16</v>
      </c>
      <c r="AD238" s="155">
        <f t="shared" si="341"/>
        <v>62.400000000000091</v>
      </c>
      <c r="AE238" s="545">
        <f t="shared" si="342"/>
        <v>0.90782122905028073</v>
      </c>
      <c r="AF238" s="57">
        <f>IF($AC238="",#N/A,SUM(AD$4:AD238))</f>
        <v>240.06087220737959</v>
      </c>
      <c r="AG238" s="102">
        <f t="shared" si="343"/>
        <v>23.000000000000227</v>
      </c>
      <c r="AH238" s="56" t="s">
        <v>2507</v>
      </c>
      <c r="AI238" s="65">
        <f t="shared" si="344"/>
        <v>0.57320763500930905</v>
      </c>
      <c r="AJ238" s="350">
        <f>IF(AI238="",#N/A,SUM($AI$4:AI238))</f>
        <v>9.3606461088959882</v>
      </c>
      <c r="AK238" s="57">
        <f t="shared" si="345"/>
        <v>39.399999999999864</v>
      </c>
      <c r="AL238" s="349">
        <f>IF(AI238="",#N/A,IF(AH238="Skip",SUM($AK$4:AK238),SUM($AK$4:AK238)))</f>
        <v>388.85759149281444</v>
      </c>
      <c r="AM238" s="65">
        <f t="shared" si="428"/>
        <v>0.90782122905028073</v>
      </c>
      <c r="AN238" s="211"/>
      <c r="AO238" s="65" t="str">
        <f t="shared" si="346"/>
        <v/>
      </c>
      <c r="AP238" s="65">
        <f>IF($AC238="",#N/A,SUM(AO$4:AO238))</f>
        <v>5.5294529259760647</v>
      </c>
      <c r="AQ238" s="65" t="str">
        <f t="shared" si="347"/>
        <v/>
      </c>
      <c r="AR238" s="65">
        <f>IF($AC238="",#N/A,SUM(AQ$4:AQ238))</f>
        <v>-2.2840800066827698</v>
      </c>
      <c r="AS238" s="65">
        <f t="shared" si="348"/>
        <v>0.90782122905028073</v>
      </c>
      <c r="AT238" s="65">
        <f>IF($AC238="",#N/A,SUM(AS$4:AS238))</f>
        <v>1.2319303837456728</v>
      </c>
      <c r="AU238" s="57" t="str">
        <f t="shared" si="429"/>
        <v/>
      </c>
      <c r="AV238" s="57">
        <f>IF($AC238="",#N/A,SUM(AU$4:AU238))</f>
        <v>256.66249066104672</v>
      </c>
      <c r="AW238" s="57" t="str">
        <f t="shared" si="430"/>
        <v/>
      </c>
      <c r="AX238" s="57">
        <f>IF($AC238="",#N/A,SUM(AW$4:AW238))</f>
        <v>-142.90000000000009</v>
      </c>
      <c r="AY238" s="57">
        <f t="shared" si="431"/>
        <v>62.400000000000091</v>
      </c>
      <c r="AZ238" s="57">
        <f>IF($AC238="",#N/A,SUM(AY$4:AY238))</f>
        <v>126.29838154633296</v>
      </c>
      <c r="BA238" s="57">
        <f>IF(AD238="",#N/A,SUM($AD$4:AD238))</f>
        <v>240.06087220737959</v>
      </c>
      <c r="BC238" s="51" t="str">
        <f t="shared" si="349"/>
        <v/>
      </c>
      <c r="BD238" s="51" t="str">
        <f t="shared" si="350"/>
        <v/>
      </c>
      <c r="BE238" s="51" t="str">
        <f t="shared" si="351"/>
        <v/>
      </c>
      <c r="BF238" s="51" t="str">
        <f t="shared" si="352"/>
        <v>Short</v>
      </c>
      <c r="BG238" s="51">
        <f t="shared" si="353"/>
        <v>1</v>
      </c>
      <c r="BH238" s="51" t="str">
        <f t="shared" si="354"/>
        <v/>
      </c>
      <c r="BI238" s="51" t="str">
        <f t="shared" si="355"/>
        <v/>
      </c>
      <c r="BK238" s="65">
        <f t="shared" si="326"/>
        <v>0.13352731858615649</v>
      </c>
      <c r="BL238" s="65">
        <f t="shared" si="434"/>
        <v>0.13035269367804689</v>
      </c>
      <c r="BM238" s="65">
        <f>IFERROR(Q238/COUNTA($J$4:J238),#N/A)</f>
        <v>5.5251627086715174E-2</v>
      </c>
      <c r="BO238" s="489" t="e">
        <f>IF(J238="",#N/A,IF(S238="SW",(COUNTIFS(K$4:$K238,"&gt;0",S$4:$S238,"SW")/COUNTIF(S$4:$S238,"SW")),#N/A))</f>
        <v>#N/A</v>
      </c>
      <c r="BP238" s="489">
        <f>IF($J238="",#N/A,IF($S238="DWN",(COUNTIFS($K$4:$K238,"&lt;0",$S$4:$S238,"DWN")/COUNTIF($S$4:$S238,"DWN")),#N/A))</f>
        <v>0.58585858585858586</v>
      </c>
      <c r="BQ238" s="489" t="e">
        <f>IF($J238="",#N/A,IF($S238="UP",(COUNTIFS($K$4:$K238,"&gt;0",$S$4:$S238,"UP")/COUNTIF($S$4:$S238,"UP")),#N/A))</f>
        <v>#N/A</v>
      </c>
      <c r="BR238" s="489">
        <f>IF(J238="",#N/A,COUNTIF($K$4:K238,"&gt;0")/COUNT($J$4:J238))</f>
        <v>0.45957446808510638</v>
      </c>
      <c r="BS238" s="65" t="str">
        <f t="shared" si="356"/>
        <v/>
      </c>
      <c r="BT238" s="65" t="str">
        <f t="shared" si="357"/>
        <v/>
      </c>
      <c r="BU238" s="65">
        <f t="shared" si="358"/>
        <v>0.57320763500930905</v>
      </c>
      <c r="BV238" s="65" t="str">
        <f t="shared" si="359"/>
        <v/>
      </c>
      <c r="BW238" s="128" t="str">
        <f t="shared" si="360"/>
        <v/>
      </c>
      <c r="BX238" s="128">
        <f>IF($J238="",#N/A,SUM($BW$4:BW238))</f>
        <v>-199.33000000000038</v>
      </c>
      <c r="BY238" s="131">
        <f t="shared" si="361"/>
        <v>39.399999999999864</v>
      </c>
      <c r="BZ238" s="131">
        <f>IF($J238="",#N/A,SUM($BY$4:BY238))</f>
        <v>539.16934038933459</v>
      </c>
      <c r="CA238" s="133" t="str">
        <f t="shared" si="362"/>
        <v/>
      </c>
      <c r="CB238" s="133">
        <f>IF($J238="",#N/A,SUM($CA$4:CA238))</f>
        <v>299.5115842618751</v>
      </c>
      <c r="CC238" s="194" t="str">
        <f t="shared" si="363"/>
        <v/>
      </c>
      <c r="CD238" s="194">
        <f>IF($J238="",#N/A,SUM($CC$4:CC238))</f>
        <v>-3.0883607473380557</v>
      </c>
      <c r="CE238" s="195">
        <f t="shared" si="364"/>
        <v>0.57320763500930905</v>
      </c>
      <c r="CF238" s="195">
        <f>IF($J238="",#N/A,SUM($CE$4:CE238))</f>
        <v>9.1986618365118371</v>
      </c>
      <c r="CG238" s="196" t="str">
        <f t="shared" si="365"/>
        <v/>
      </c>
      <c r="CH238" s="196">
        <f>IF($J238="",#N/A,SUM($CG$4:CG238))</f>
        <v>6.8738312762042915</v>
      </c>
      <c r="CI238" s="200" t="str">
        <f t="shared" si="366"/>
        <v/>
      </c>
      <c r="CJ238" s="203">
        <f>IF($J238="",#N/A,SUM(CI$4:CI238))</f>
        <v>0</v>
      </c>
      <c r="CK238" s="204" t="str">
        <f t="shared" si="367"/>
        <v/>
      </c>
      <c r="CL238" s="204">
        <f>IF($J238="",#N/A,SUM(CK$4:CK238))</f>
        <v>1.9927003554442289</v>
      </c>
      <c r="CM238" s="205" t="str">
        <f t="shared" si="368"/>
        <v/>
      </c>
      <c r="CN238" s="205">
        <f>IF($J238="",#N/A,SUM(CM$4:CM238))</f>
        <v>5.044238105997306</v>
      </c>
      <c r="CO238" s="205">
        <f>IF($J238="",#N/A,SUM(CM$4:CM238,CK$4:CK238,CI$4:CI238))</f>
        <v>7.0369384614415349</v>
      </c>
      <c r="CP238" s="200" t="str">
        <f t="shared" si="369"/>
        <v/>
      </c>
      <c r="CQ238" s="203">
        <f>IF($J238="",#N/A,SUM(CP$4:CP238))</f>
        <v>0</v>
      </c>
      <c r="CR238" s="204" t="str">
        <f t="shared" si="370"/>
        <v/>
      </c>
      <c r="CS238" s="204">
        <f>IF($J238="",#N/A,SUM(CR$4:CR238))</f>
        <v>4.6135245886817966</v>
      </c>
      <c r="CT238" s="205" t="str">
        <f t="shared" si="371"/>
        <v/>
      </c>
      <c r="CU238" s="205">
        <f>IF($J238="",#N/A,SUM(CT$4:CT238))</f>
        <v>-2.9040943753548785</v>
      </c>
      <c r="CV238" s="205">
        <f>IF($J238="",#N/A,SUM(CT$4:CT238,CR$4:CR238,CP$4:CP238))</f>
        <v>1.7094302133269181</v>
      </c>
      <c r="CW238" s="200" t="str">
        <f t="shared" si="372"/>
        <v/>
      </c>
      <c r="CX238" s="203">
        <f>IF($J238="",#N/A,SUM(CW$4:CW238))</f>
        <v>-0.33865165024245297</v>
      </c>
      <c r="CY238" s="204" t="str">
        <f t="shared" si="373"/>
        <v/>
      </c>
      <c r="CZ238" s="204">
        <f>IF($J238="",#N/A,SUM(CY$4:CY238))</f>
        <v>-8.9115263338952644E-2</v>
      </c>
      <c r="DA238" s="205" t="str">
        <f t="shared" si="374"/>
        <v/>
      </c>
      <c r="DB238" s="205">
        <f>IF($J238="",#N/A,SUM(DA$4:DA238))</f>
        <v>-2.2679577914291</v>
      </c>
      <c r="DC238" s="205">
        <f>IF($J238="",#N/A,SUM(DA$4:DA238,CY$4:CY238,CW$4:CW238))</f>
        <v>-2.6957247050105053</v>
      </c>
      <c r="DD238" s="200" t="str">
        <f t="shared" si="375"/>
        <v/>
      </c>
      <c r="DE238" s="203">
        <f>IF($J238="",#N/A,SUM(DD$4:DD238))</f>
        <v>0.14968716170674062</v>
      </c>
      <c r="DF238" s="204" t="str">
        <f t="shared" si="376"/>
        <v/>
      </c>
      <c r="DG238" s="204">
        <f>IF($J238="",#N/A,SUM(DF$4:DF238))</f>
        <v>1.5249935139936004</v>
      </c>
      <c r="DH238" s="205" t="str">
        <f t="shared" si="377"/>
        <v/>
      </c>
      <c r="DI238" s="205">
        <f>IF($J238="",#N/A,SUM(DH$4:DH238))</f>
        <v>-1.9066052078694633</v>
      </c>
      <c r="DJ238" s="205">
        <f>IF($J238="",#N/A,SUM(DH$4:DH238,DF$4:DF238,DD$4:DD238))</f>
        <v>-0.23192453216912207</v>
      </c>
      <c r="DK238" s="200" t="str">
        <f t="shared" si="378"/>
        <v/>
      </c>
      <c r="DL238" s="203">
        <f>IF($J238="",#N/A,SUM(DK$4:DK238))</f>
        <v>-1.2097286851272664</v>
      </c>
      <c r="DM238" s="204" t="str">
        <f t="shared" si="379"/>
        <v/>
      </c>
      <c r="DN238" s="204">
        <f>IF($J238="",#N/A,SUM(DM$4:DM238))</f>
        <v>1.1910608267574658</v>
      </c>
      <c r="DO238" s="205" t="str">
        <f t="shared" si="380"/>
        <v/>
      </c>
      <c r="DP238" s="205">
        <f>IF($J238="",#N/A,SUM(DO$4:DO238))</f>
        <v>2.6571865116636566</v>
      </c>
      <c r="DQ238" s="205">
        <f>IF($J238="",#N/A,SUM(DO$4:DO238,DM$4:DM238,DK$4:DK238))</f>
        <v>2.6385186532938567</v>
      </c>
      <c r="DR238" s="200" t="str">
        <f t="shared" si="381"/>
        <v/>
      </c>
      <c r="DS238" s="203">
        <f>IF($J238="",#N/A,SUM(DR$4:DR238))</f>
        <v>-0.55950946427675097</v>
      </c>
      <c r="DT238" s="204" t="str">
        <f t="shared" si="382"/>
        <v/>
      </c>
      <c r="DU238" s="204">
        <f>IF($J238="",#N/A,SUM(DT$4:DT238))</f>
        <v>-3.6911249040845173</v>
      </c>
      <c r="DV238" s="205" t="str">
        <f t="shared" si="383"/>
        <v/>
      </c>
      <c r="DW238" s="205">
        <f>IF($J238="",#N/A,SUM(DV$4:DV238))</f>
        <v>-1.2815650893103838</v>
      </c>
      <c r="DX238" s="205">
        <f>IF($J238="",#N/A,SUM(DV$4:DV238,DT$4:DT238,DR$4:DR238))</f>
        <v>-5.532199457671652</v>
      </c>
      <c r="DY238" s="200" t="str">
        <f t="shared" si="384"/>
        <v/>
      </c>
      <c r="DZ238" s="203">
        <f>IF($J238="",#N/A,SUM(DY$4:DY238))</f>
        <v>-1.0460034109943892</v>
      </c>
      <c r="EA238" s="204" t="str">
        <f t="shared" si="385"/>
        <v/>
      </c>
      <c r="EB238" s="204">
        <f>IF($J238="",#N/A,SUM(EA$4:EA238))</f>
        <v>0.65158371441459195</v>
      </c>
      <c r="EC238" s="205" t="str">
        <f t="shared" si="386"/>
        <v/>
      </c>
      <c r="ED238" s="205">
        <f>IF($J238="",#N/A,SUM(EC$4:EC238))</f>
        <v>5.1322420709634535</v>
      </c>
      <c r="EE238" s="205">
        <f>IF($J238="",#N/A,SUM(EC$4:EC238,EA$4:EA238,DY$4:DY238))</f>
        <v>4.7378223743836561</v>
      </c>
      <c r="EF238" s="200" t="str">
        <f t="shared" si="387"/>
        <v/>
      </c>
      <c r="EG238" s="203">
        <f>IF($J238="",#N/A,SUM(EF$4:EF238))</f>
        <v>-0.15098969023521425</v>
      </c>
      <c r="EH238" s="204">
        <f t="shared" si="388"/>
        <v>0.57320763500930905</v>
      </c>
      <c r="EI238" s="204">
        <f>IF($J238="",#N/A,SUM(EH$4:EH238))</f>
        <v>-2.5775695255546522</v>
      </c>
      <c r="EJ238" s="205" t="str">
        <f t="shared" si="389"/>
        <v/>
      </c>
      <c r="EK238" s="205">
        <f>IF($J238="",#N/A,SUM(EJ$4:EJ238))</f>
        <v>5.050388173053765</v>
      </c>
      <c r="EL238" s="205">
        <f>IF($J238="",#N/A,SUM(EJ$4:EJ238,EH$4:EH238,EF$4:EF238))</f>
        <v>2.3218289572638984</v>
      </c>
      <c r="EM238" s="200" t="str">
        <f t="shared" si="390"/>
        <v/>
      </c>
      <c r="EN238" s="203">
        <f>IF($J238="",#N/A,SUM(EM$4:EM238))</f>
        <v>0</v>
      </c>
      <c r="EO238" s="204" t="str">
        <f t="shared" si="391"/>
        <v/>
      </c>
      <c r="EP238" s="204">
        <f>IF($J238="",#N/A,SUM(EO$4:EO238))</f>
        <v>3.2406646352184261</v>
      </c>
      <c r="EQ238" s="205" t="str">
        <f t="shared" si="392"/>
        <v/>
      </c>
      <c r="ER238" s="205">
        <f>IF($J238="",#N/A,SUM(EQ$4:EQ238))</f>
        <v>1.441536272249796</v>
      </c>
      <c r="ES238" s="205">
        <f>IF($J238="",#N/A,SUM(EQ$4:EQ238,EO$4:EO238,EM$4:EM238))</f>
        <v>4.6822009074682214</v>
      </c>
      <c r="ET238" s="200" t="str">
        <f t="shared" si="393"/>
        <v/>
      </c>
      <c r="EU238" s="203">
        <f>IF($J238="",#N/A,SUM(ET$4:ET238))</f>
        <v>0</v>
      </c>
      <c r="EV238" s="204" t="str">
        <f t="shared" si="394"/>
        <v/>
      </c>
      <c r="EW238" s="204">
        <f>IF($J238="",#N/A,SUM(EV$4:EV238))</f>
        <v>1.9901851109977766</v>
      </c>
      <c r="EX238" s="205" t="str">
        <f t="shared" si="395"/>
        <v/>
      </c>
      <c r="EY238" s="205">
        <f>IF($J238="",#N/A,SUM(EX$4:EX238))</f>
        <v>0.27113250180669229</v>
      </c>
      <c r="EZ238" s="205">
        <f>IF($J238="",#N/A,SUM(EX$4:EX238,EV$4:EV238,ET$4:ET238))</f>
        <v>2.2613176128044685</v>
      </c>
      <c r="FA238" s="200" t="str">
        <f t="shared" si="396"/>
        <v/>
      </c>
      <c r="FB238" s="203">
        <f>IF($J238="",#N/A,SUM(FA$4:FA238))</f>
        <v>0</v>
      </c>
      <c r="FC238" s="204" t="str">
        <f t="shared" si="397"/>
        <v/>
      </c>
      <c r="FD238" s="204">
        <f>IF($J238="",#N/A,SUM(FC$4:FC238))</f>
        <v>1.8692126759492278</v>
      </c>
      <c r="FE238" s="205" t="str">
        <f t="shared" si="398"/>
        <v/>
      </c>
      <c r="FF238" s="205">
        <f>IF($J238="",#N/A,SUM(FE$4:FE238))</f>
        <v>-0.28811149078748233</v>
      </c>
      <c r="FG238" s="205">
        <f>IF($J238="",#N/A,SUM(FE$4:FE238,FC$4:FC238,FA$4:FA238))</f>
        <v>1.5811011851617456</v>
      </c>
      <c r="FH238" s="200" t="str">
        <f t="shared" si="399"/>
        <v/>
      </c>
      <c r="FI238" s="203">
        <f>IF($J238="",#N/A,SUM(FH$4:FH238))</f>
        <v>0</v>
      </c>
      <c r="FJ238" s="204" t="str">
        <f t="shared" si="400"/>
        <v/>
      </c>
      <c r="FK238" s="204">
        <f>IF($J238="",#N/A,SUM(FJ$4:FJ238))</f>
        <v>0</v>
      </c>
      <c r="FL238" s="205" t="str">
        <f t="shared" si="401"/>
        <v/>
      </c>
      <c r="FM238" s="205">
        <f>IF($J238="",#N/A,SUM(FL$4:FL238))</f>
        <v>0</v>
      </c>
      <c r="FN238" s="205">
        <f>IF($J238="",#N/A,SUM(FL$4:FL238,FJ$4:FJ238,FH$4:FH238))</f>
        <v>0</v>
      </c>
      <c r="FO238" s="200" t="str">
        <f t="shared" si="402"/>
        <v/>
      </c>
      <c r="FP238" s="203">
        <f>IF($J238="",#N/A,SUM(FO$4:FO238))</f>
        <v>0</v>
      </c>
      <c r="FQ238" s="204" t="str">
        <f t="shared" si="403"/>
        <v/>
      </c>
      <c r="FR238" s="204">
        <f>IF($J238="",#N/A,SUM(FQ$4:FQ238))</f>
        <v>0</v>
      </c>
      <c r="FS238" s="205" t="str">
        <f t="shared" si="404"/>
        <v/>
      </c>
      <c r="FT238" s="205">
        <f>IF($J238="",#N/A,SUM(FS$4:FS238))</f>
        <v>0</v>
      </c>
      <c r="FU238" s="205">
        <f>IF($J238="",#N/A,SUM(FS$4:FS238,FQ$4:FQ238,FO$4:FO238))</f>
        <v>0</v>
      </c>
      <c r="FV238" s="200" t="str">
        <f t="shared" si="405"/>
        <v/>
      </c>
      <c r="FW238" s="203">
        <f>IF($J238="",#N/A,SUM(FV$4:FV238))</f>
        <v>6.6834991831277585E-2</v>
      </c>
      <c r="FX238" s="204" t="str">
        <f t="shared" si="406"/>
        <v/>
      </c>
      <c r="FY238" s="204">
        <f>IF($J238="",#N/A,SUM(FX$4:FX238))</f>
        <v>-0.16102012791805576</v>
      </c>
      <c r="FZ238" s="205" t="str">
        <f t="shared" si="407"/>
        <v/>
      </c>
      <c r="GA238" s="205">
        <f>IF($J238="",#N/A,SUM(FZ$4:FZ238))</f>
        <v>-1.1377221770567538</v>
      </c>
      <c r="GB238" s="205">
        <f>IF($J238="",#N/A,SUM(FZ$4:FZ238,FX$4:FX238,FV$4:FV238))</f>
        <v>-1.2319073131435321</v>
      </c>
      <c r="GC238" s="200" t="str">
        <f t="shared" si="408"/>
        <v/>
      </c>
      <c r="GD238" s="203">
        <f>IF($J238="",#N/A,SUM(GC$4:GC238))</f>
        <v>0</v>
      </c>
      <c r="GE238" s="204" t="str">
        <f t="shared" si="409"/>
        <v/>
      </c>
      <c r="GF238" s="204">
        <f>IF($J238="",#N/A,SUM(GE$4:GE238))</f>
        <v>0</v>
      </c>
      <c r="GG238" s="205" t="str">
        <f t="shared" si="410"/>
        <v/>
      </c>
      <c r="GH238" s="205">
        <f>IF($J238="",#N/A,SUM(GG$4:GG238))</f>
        <v>-2.9368362277223206</v>
      </c>
      <c r="GI238" s="205">
        <f>IF($J238="",#N/A,SUM(GG$4:GG238,GE$4:GE238,GC$4:GC238))</f>
        <v>-2.9368362277223206</v>
      </c>
      <c r="GJ238" s="200" t="str">
        <f t="shared" si="411"/>
        <v/>
      </c>
      <c r="GK238" s="203">
        <f>IF($J238="",#N/A,SUM(GJ$4:GJ238))</f>
        <v>0</v>
      </c>
      <c r="GL238" s="204" t="str">
        <f t="shared" si="412"/>
        <v/>
      </c>
      <c r="GM238" s="204">
        <f>IF($J238="",#N/A,SUM(GL$4:GL238))</f>
        <v>-1.6833790887309608</v>
      </c>
      <c r="GN238" s="205" t="str">
        <f t="shared" si="413"/>
        <v/>
      </c>
      <c r="GO238" s="205">
        <f>IF($J238="",#N/A,SUM(GN$4:GN238))</f>
        <v>0</v>
      </c>
      <c r="GP238" s="205">
        <f>IF($J238="",#N/A,SUM(GN$4:GN238,GL$4:GL238,GJ$4:GJ238))</f>
        <v>-1.6833790887309608</v>
      </c>
      <c r="GS238" s="54">
        <f t="shared" si="432"/>
        <v>0.57320763500930905</v>
      </c>
      <c r="GT238" s="54">
        <f>IF(GS238="",NA(),SUM($GS$4:GS238))</f>
        <v>8.691248642957639</v>
      </c>
      <c r="GU238" s="54" t="str">
        <f t="shared" si="414"/>
        <v/>
      </c>
      <c r="GV238" s="54" t="e">
        <f>IF(GU238="",NA(),SUM($GU$4:GU238))</f>
        <v>#N/A</v>
      </c>
      <c r="GW238" s="54" t="str">
        <f t="shared" si="415"/>
        <v/>
      </c>
      <c r="GX238" s="54" t="e">
        <f>IF(GW238="",NA(),SUM($GW$4:GW238))</f>
        <v>#N/A</v>
      </c>
      <c r="GY238" s="54">
        <f t="shared" si="416"/>
        <v>0.57320763500930905</v>
      </c>
      <c r="GZ238" s="54">
        <f>IF(GY238="",NA(),SUM($GY$4:GY238))</f>
        <v>3.4987417808797256</v>
      </c>
      <c r="HA238" s="54" t="str">
        <f t="shared" si="417"/>
        <v/>
      </c>
      <c r="HB238" s="54" t="e">
        <f>IF(HA238="",NA(),SUM($HA$4:HA238))</f>
        <v>#N/A</v>
      </c>
      <c r="HC238" s="54" t="str">
        <f t="shared" si="418"/>
        <v/>
      </c>
      <c r="HD238" s="54" t="e">
        <f>IF(HC238="",NA(),SUM($HC$4:HC238))</f>
        <v>#N/A</v>
      </c>
      <c r="HE238" s="54" t="str">
        <f t="shared" si="419"/>
        <v/>
      </c>
      <c r="HF238" s="54" t="e">
        <f>IF(HE238="",NA(),SUM($HE$4:HE238))</f>
        <v>#N/A</v>
      </c>
      <c r="HG238" s="54" t="str">
        <f t="shared" si="420"/>
        <v/>
      </c>
      <c r="HH238" s="54" t="e">
        <f>IF(HG238="",NA(),SUM($HG$4:HG238))</f>
        <v>#N/A</v>
      </c>
      <c r="HI238" s="172">
        <f t="shared" si="433"/>
        <v>0.33461359404097168</v>
      </c>
      <c r="HJ238" s="172">
        <f>IF($J238="",#N/A,SUM(HI$4:$HI238))</f>
        <v>-6.5659133686635629</v>
      </c>
      <c r="HK238" s="54" t="str">
        <f t="shared" si="421"/>
        <v/>
      </c>
      <c r="HL238" s="54">
        <f>IF($J238="",#N/A,SUM($HK$4:HK238))</f>
        <v>-1.4008180841025943</v>
      </c>
      <c r="HM238" s="54" t="str">
        <f t="shared" si="422"/>
        <v/>
      </c>
      <c r="HN238" s="54">
        <f>IF($J238="",#N/A,SUM($HM$4:HM238))</f>
        <v>0.90694539517251249</v>
      </c>
      <c r="HO238" s="54" t="str">
        <f t="shared" si="423"/>
        <v/>
      </c>
      <c r="HP238" s="54">
        <f>IF($J238="",#N/A,SUM($HO$4:HO238))</f>
        <v>-0.10266465451722628</v>
      </c>
      <c r="HQ238" s="54" t="str">
        <f t="shared" si="424"/>
        <v/>
      </c>
      <c r="HR238" s="54">
        <f>IF($J238="",#N/A,SUM($HQ$4:HQ238))</f>
        <v>-14.733756886811655</v>
      </c>
      <c r="HS238" s="54" t="str">
        <f t="shared" si="425"/>
        <v/>
      </c>
      <c r="HT238" s="54">
        <f>IF($J238="",#N/A,SUM($HS$4:HS238))</f>
        <v>13.389378536583431</v>
      </c>
      <c r="HU238" s="65">
        <f t="shared" si="426"/>
        <v>0.90782122905028073</v>
      </c>
      <c r="HV238" s="65">
        <f>IF($J238="",#N/A,SUM(HU$4:$HU238))</f>
        <v>4.4773033030389708</v>
      </c>
    </row>
    <row r="239" spans="1:230" x14ac:dyDescent="0.25">
      <c r="A239" s="51" t="s">
        <v>810</v>
      </c>
      <c r="B239" s="52" t="s">
        <v>4563</v>
      </c>
      <c r="C239" s="229">
        <f t="shared" si="327"/>
        <v>2</v>
      </c>
      <c r="D239" s="219" t="str">
        <f>_xlfn.XLOOKUP(A239,[1]SP500!$A$2:$A$502,[1]SP500!$D$2:$D$502,"N")</f>
        <v>Y</v>
      </c>
      <c r="E239" s="51" t="str">
        <f>IFERROR(_xlfn.XLOOKUP(A239,[1]SP500!$A$2:$A$655,[1]SP500!$B$2:$B$655),"")</f>
        <v>XLV</v>
      </c>
      <c r="F239" s="290">
        <v>45778</v>
      </c>
      <c r="G239" s="51" t="str">
        <f t="shared" si="328"/>
        <v>AMC</v>
      </c>
      <c r="H239" s="51" t="str">
        <f t="shared" si="329"/>
        <v>s</v>
      </c>
      <c r="I239" s="344">
        <v>1056.58</v>
      </c>
      <c r="J239" s="124">
        <v>1074.74</v>
      </c>
      <c r="K239" s="55">
        <f t="shared" si="330"/>
        <v>1.7187529576558409E-2</v>
      </c>
      <c r="L239" s="67">
        <f t="shared" si="331"/>
        <v>-18.160000000000082</v>
      </c>
      <c r="M239" s="57">
        <f t="shared" si="332"/>
        <v>0</v>
      </c>
      <c r="N239" s="147">
        <f t="shared" si="333"/>
        <v>-18.160000000000082</v>
      </c>
      <c r="O239" s="57">
        <f>IF(N239="",#N/A,SUM($N$4:N239))</f>
        <v>621.19092465120923</v>
      </c>
      <c r="P239" s="65">
        <f t="shared" si="427"/>
        <v>-0.28645882627597347</v>
      </c>
      <c r="Q239" s="172">
        <f>IF($N239="",#N/A,SUM($P$4:P239))</f>
        <v>12.697673539102093</v>
      </c>
      <c r="R239" s="279">
        <f t="shared" si="334"/>
        <v>3.623486256482078</v>
      </c>
      <c r="S239" s="51" t="str">
        <f t="shared" si="335"/>
        <v>Dwn</v>
      </c>
      <c r="T239" s="51" t="s">
        <v>4461</v>
      </c>
      <c r="U239" s="56">
        <f t="shared" si="336"/>
        <v>1056.58</v>
      </c>
      <c r="V239" s="56" t="s">
        <v>4458</v>
      </c>
      <c r="W239" s="142">
        <v>1</v>
      </c>
      <c r="X239" s="145">
        <f t="shared" si="337"/>
        <v>1056.58</v>
      </c>
      <c r="Y239" s="140">
        <f t="shared" si="338"/>
        <v>1</v>
      </c>
      <c r="Z239" s="123">
        <v>1074.74</v>
      </c>
      <c r="AA239" s="102">
        <f t="shared" si="339"/>
        <v>-18.160000000000082</v>
      </c>
      <c r="AB239" s="102">
        <f t="shared" si="340"/>
        <v>-43.430000000000064</v>
      </c>
      <c r="AC239" s="124">
        <v>1100.01</v>
      </c>
      <c r="AD239" s="155">
        <f t="shared" si="341"/>
        <v>-43.430000000000064</v>
      </c>
      <c r="AE239" s="545">
        <f t="shared" si="342"/>
        <v>-0.68507196173818774</v>
      </c>
      <c r="AF239" s="57">
        <f>IF($AC239="",#N/A,SUM(AD$4:AD239))</f>
        <v>196.63087220737953</v>
      </c>
      <c r="AG239" s="102">
        <f t="shared" si="343"/>
        <v>-25.269999999999982</v>
      </c>
      <c r="AH239" s="102" t="s">
        <v>2507</v>
      </c>
      <c r="AI239" s="65">
        <f t="shared" si="344"/>
        <v>-0.28645882627597347</v>
      </c>
      <c r="AJ239" s="350">
        <f>IF(AI239="",#N/A,SUM($AI$4:AI239))</f>
        <v>9.0741872826200147</v>
      </c>
      <c r="AK239" s="144">
        <f t="shared" si="345"/>
        <v>-18.160000000000082</v>
      </c>
      <c r="AL239" s="349">
        <f>IF(AI239="",#N/A,IF(AH239="Skip",SUM($AK$4:AK239),SUM($AK$4:AK239)))</f>
        <v>370.69759149281435</v>
      </c>
      <c r="AM239" s="65">
        <f t="shared" si="428"/>
        <v>-0.68507196173818774</v>
      </c>
      <c r="AN239" s="209"/>
      <c r="AO239" s="65" t="str">
        <f t="shared" si="346"/>
        <v/>
      </c>
      <c r="AP239" s="65">
        <f>IF($AC239="",#N/A,SUM(AO$4:AO239))</f>
        <v>5.5294529259760647</v>
      </c>
      <c r="AQ239" s="65" t="str">
        <f t="shared" si="347"/>
        <v/>
      </c>
      <c r="AR239" s="65">
        <f>IF($AC239="",#N/A,SUM(AQ$4:AQ239))</f>
        <v>-2.2840800066827698</v>
      </c>
      <c r="AS239" s="65">
        <f t="shared" si="348"/>
        <v>-0.68507196173818774</v>
      </c>
      <c r="AT239" s="65">
        <f>IF($AC239="",#N/A,SUM(AS$4:AS239))</f>
        <v>0.54685842200748502</v>
      </c>
      <c r="AU239" s="57" t="str">
        <f t="shared" si="429"/>
        <v/>
      </c>
      <c r="AV239" s="57">
        <f>IF($AC239="",#N/A,SUM(AU$4:AU239))</f>
        <v>256.66249066104672</v>
      </c>
      <c r="AW239" s="57" t="str">
        <f t="shared" si="430"/>
        <v/>
      </c>
      <c r="AX239" s="57">
        <f>IF($AC239="",#N/A,SUM(AW$4:AW239))</f>
        <v>-142.90000000000009</v>
      </c>
      <c r="AY239" s="57">
        <f t="shared" si="431"/>
        <v>-43.430000000000064</v>
      </c>
      <c r="AZ239" s="57">
        <f>IF($AC239="",#N/A,SUM(AY$4:AY239))</f>
        <v>82.868381546332898</v>
      </c>
      <c r="BA239" s="57">
        <f>IF(AD239="",#N/A,SUM($AD$4:AD239))</f>
        <v>196.63087220737953</v>
      </c>
      <c r="BC239" s="51" t="str">
        <f t="shared" si="349"/>
        <v/>
      </c>
      <c r="BD239" s="51">
        <f t="shared" si="350"/>
        <v>1</v>
      </c>
      <c r="BE239" s="51" t="str">
        <f t="shared" si="351"/>
        <v/>
      </c>
      <c r="BF239" s="51" t="str">
        <f t="shared" si="352"/>
        <v>Short</v>
      </c>
      <c r="BG239" s="51" t="str">
        <f t="shared" si="353"/>
        <v/>
      </c>
      <c r="BH239" s="51" t="str">
        <f t="shared" si="354"/>
        <v/>
      </c>
      <c r="BI239" s="51" t="str">
        <f t="shared" si="355"/>
        <v/>
      </c>
      <c r="BK239" s="65">
        <f t="shared" si="326"/>
        <v>0.12970374159156636</v>
      </c>
      <c r="BL239" s="65">
        <f t="shared" si="434"/>
        <v>0.14212022299725413</v>
      </c>
      <c r="BM239" s="65">
        <f>IFERROR(Q239/COUNTA($J$4:J239),#N/A)</f>
        <v>5.3803701436873276E-2</v>
      </c>
      <c r="BO239" s="489" t="e">
        <f>IF(J239="",#N/A,IF(S239="SW",(COUNTIFS(K$4:$K239,"&gt;0",S$4:$S239,"SW")/COUNTIF(S$4:$S239,"SW")),#N/A))</f>
        <v>#N/A</v>
      </c>
      <c r="BP239" s="489">
        <f>IF($J239="",#N/A,IF($S239="DWN",(COUNTIFS($K$4:$K239,"&lt;0",$S$4:$S239,"DWN")/COUNTIF($S$4:$S239,"DWN")),#N/A))</f>
        <v>0.57999999999999996</v>
      </c>
      <c r="BQ239" s="489" t="e">
        <f>IF($J239="",#N/A,IF($S239="UP",(COUNTIFS($K$4:$K239,"&gt;0",$S$4:$S239,"UP")/COUNTIF($S$4:$S239,"UP")),#N/A))</f>
        <v>#N/A</v>
      </c>
      <c r="BR239" s="489">
        <f>IF(J239="",#N/A,COUNTIF($K$4:K239,"&gt;0")/COUNT($J$4:J239))</f>
        <v>0.46186440677966101</v>
      </c>
      <c r="BS239" s="65" t="str">
        <f t="shared" si="356"/>
        <v/>
      </c>
      <c r="BT239" s="65" t="str">
        <f t="shared" si="357"/>
        <v/>
      </c>
      <c r="BU239" s="65" t="str">
        <f t="shared" si="358"/>
        <v/>
      </c>
      <c r="BV239" s="65">
        <f t="shared" si="359"/>
        <v>-0.28645882627597347</v>
      </c>
      <c r="BW239" s="127" t="str">
        <f t="shared" si="360"/>
        <v/>
      </c>
      <c r="BX239" s="127">
        <f>IF($J239="",#N/A,SUM($BW$4:BW239))</f>
        <v>-199.33000000000038</v>
      </c>
      <c r="BY239" s="130">
        <f t="shared" si="361"/>
        <v>-18.160000000000082</v>
      </c>
      <c r="BZ239" s="130">
        <f>IF($J239="",#N/A,SUM($BY$4:BY239))</f>
        <v>521.00934038933451</v>
      </c>
      <c r="CA239" s="132" t="str">
        <f t="shared" si="362"/>
        <v/>
      </c>
      <c r="CB239" s="132">
        <f>IF($J239="",#N/A,SUM($CA$4:CA239))</f>
        <v>299.5115842618751</v>
      </c>
      <c r="CC239" s="197" t="str">
        <f t="shared" si="363"/>
        <v/>
      </c>
      <c r="CD239" s="197">
        <f>IF($J239="",#N/A,SUM($CC$4:CC239))</f>
        <v>-3.0883607473380557</v>
      </c>
      <c r="CE239" s="198">
        <f t="shared" si="364"/>
        <v>-0.28645882627597347</v>
      </c>
      <c r="CF239" s="198">
        <f>IF($J239="",#N/A,SUM($CE$4:CE239))</f>
        <v>8.9122030102358636</v>
      </c>
      <c r="CG239" s="199" t="str">
        <f t="shared" si="365"/>
        <v/>
      </c>
      <c r="CH239" s="199">
        <f>IF($J239="",#N/A,SUM($CG$4:CG239))</f>
        <v>6.8738312762042915</v>
      </c>
      <c r="CI239" s="200" t="str">
        <f t="shared" si="366"/>
        <v/>
      </c>
      <c r="CJ239" s="206">
        <f>IF($J239="",#N/A,SUM(CI$4:CI239))</f>
        <v>0</v>
      </c>
      <c r="CK239" s="207" t="str">
        <f t="shared" si="367"/>
        <v/>
      </c>
      <c r="CL239" s="207">
        <f>IF($J239="",#N/A,SUM(CK$4:CK239))</f>
        <v>1.9927003554442289</v>
      </c>
      <c r="CM239" s="208" t="str">
        <f t="shared" si="368"/>
        <v/>
      </c>
      <c r="CN239" s="208">
        <f>IF($J239="",#N/A,SUM(CM$4:CM239))</f>
        <v>5.044238105997306</v>
      </c>
      <c r="CO239" s="208">
        <f>IF($J239="",#N/A,SUM(CM$4:CM239,CK$4:CK239,CI$4:CI239))</f>
        <v>7.0369384614415349</v>
      </c>
      <c r="CP239" s="200" t="str">
        <f t="shared" si="369"/>
        <v/>
      </c>
      <c r="CQ239" s="206">
        <f>IF($J239="",#N/A,SUM(CP$4:CP239))</f>
        <v>0</v>
      </c>
      <c r="CR239" s="207" t="str">
        <f t="shared" si="370"/>
        <v/>
      </c>
      <c r="CS239" s="207">
        <f>IF($J239="",#N/A,SUM(CR$4:CR239))</f>
        <v>4.6135245886817966</v>
      </c>
      <c r="CT239" s="208" t="str">
        <f t="shared" si="371"/>
        <v/>
      </c>
      <c r="CU239" s="208">
        <f>IF($J239="",#N/A,SUM(CT$4:CT239))</f>
        <v>-2.9040943753548785</v>
      </c>
      <c r="CV239" s="208">
        <f>IF($J239="",#N/A,SUM(CT$4:CT239,CR$4:CR239,CP$4:CP239))</f>
        <v>1.7094302133269181</v>
      </c>
      <c r="CW239" s="200" t="str">
        <f t="shared" si="372"/>
        <v/>
      </c>
      <c r="CX239" s="206">
        <f>IF($J239="",#N/A,SUM(CW$4:CW239))</f>
        <v>-0.33865165024245297</v>
      </c>
      <c r="CY239" s="207" t="str">
        <f t="shared" si="373"/>
        <v/>
      </c>
      <c r="CZ239" s="207">
        <f>IF($J239="",#N/A,SUM(CY$4:CY239))</f>
        <v>-8.9115263338952644E-2</v>
      </c>
      <c r="DA239" s="208" t="str">
        <f t="shared" si="374"/>
        <v/>
      </c>
      <c r="DB239" s="208">
        <f>IF($J239="",#N/A,SUM(DA$4:DA239))</f>
        <v>-2.2679577914291</v>
      </c>
      <c r="DC239" s="208">
        <f>IF($J239="",#N/A,SUM(DA$4:DA239,CY$4:CY239,CW$4:CW239))</f>
        <v>-2.6957247050105053</v>
      </c>
      <c r="DD239" s="200" t="str">
        <f t="shared" si="375"/>
        <v/>
      </c>
      <c r="DE239" s="206">
        <f>IF($J239="",#N/A,SUM(DD$4:DD239))</f>
        <v>0.14968716170674062</v>
      </c>
      <c r="DF239" s="207" t="str">
        <f t="shared" si="376"/>
        <v/>
      </c>
      <c r="DG239" s="207">
        <f>IF($J239="",#N/A,SUM(DF$4:DF239))</f>
        <v>1.5249935139936004</v>
      </c>
      <c r="DH239" s="208" t="str">
        <f t="shared" si="377"/>
        <v/>
      </c>
      <c r="DI239" s="208">
        <f>IF($J239="",#N/A,SUM(DH$4:DH239))</f>
        <v>-1.9066052078694633</v>
      </c>
      <c r="DJ239" s="208">
        <f>IF($J239="",#N/A,SUM(DH$4:DH239,DF$4:DF239,DD$4:DD239))</f>
        <v>-0.23192453216912207</v>
      </c>
      <c r="DK239" s="200" t="str">
        <f t="shared" si="378"/>
        <v/>
      </c>
      <c r="DL239" s="206">
        <f>IF($J239="",#N/A,SUM(DK$4:DK239))</f>
        <v>-1.2097286851272664</v>
      </c>
      <c r="DM239" s="207" t="str">
        <f t="shared" si="379"/>
        <v/>
      </c>
      <c r="DN239" s="207">
        <f>IF($J239="",#N/A,SUM(DM$4:DM239))</f>
        <v>1.1910608267574658</v>
      </c>
      <c r="DO239" s="208" t="str">
        <f t="shared" si="380"/>
        <v/>
      </c>
      <c r="DP239" s="208">
        <f>IF($J239="",#N/A,SUM(DO$4:DO239))</f>
        <v>2.6571865116636566</v>
      </c>
      <c r="DQ239" s="208">
        <f>IF($J239="",#N/A,SUM(DO$4:DO239,DM$4:DM239,DK$4:DK239))</f>
        <v>2.6385186532938567</v>
      </c>
      <c r="DR239" s="200" t="str">
        <f t="shared" si="381"/>
        <v/>
      </c>
      <c r="DS239" s="206">
        <f>IF($J239="",#N/A,SUM(DR$4:DR239))</f>
        <v>-0.55950946427675097</v>
      </c>
      <c r="DT239" s="207" t="str">
        <f t="shared" si="382"/>
        <v/>
      </c>
      <c r="DU239" s="207">
        <f>IF($J239="",#N/A,SUM(DT$4:DT239))</f>
        <v>-3.6911249040845173</v>
      </c>
      <c r="DV239" s="208" t="str">
        <f t="shared" si="383"/>
        <v/>
      </c>
      <c r="DW239" s="208">
        <f>IF($J239="",#N/A,SUM(DV$4:DV239))</f>
        <v>-1.2815650893103838</v>
      </c>
      <c r="DX239" s="208">
        <f>IF($J239="",#N/A,SUM(DV$4:DV239,DT$4:DT239,DR$4:DR239))</f>
        <v>-5.532199457671652</v>
      </c>
      <c r="DY239" s="200" t="str">
        <f t="shared" si="384"/>
        <v/>
      </c>
      <c r="DZ239" s="206">
        <f>IF($J239="",#N/A,SUM(DY$4:DY239))</f>
        <v>-1.0460034109943892</v>
      </c>
      <c r="EA239" s="207" t="str">
        <f t="shared" si="385"/>
        <v/>
      </c>
      <c r="EB239" s="207">
        <f>IF($J239="",#N/A,SUM(EA$4:EA239))</f>
        <v>0.65158371441459195</v>
      </c>
      <c r="EC239" s="208" t="str">
        <f t="shared" si="386"/>
        <v/>
      </c>
      <c r="ED239" s="208">
        <f>IF($J239="",#N/A,SUM(EC$4:EC239))</f>
        <v>5.1322420709634535</v>
      </c>
      <c r="EE239" s="208">
        <f>IF($J239="",#N/A,SUM(EC$4:EC239,EA$4:EA239,DY$4:DY239))</f>
        <v>4.7378223743836561</v>
      </c>
      <c r="EF239" s="200" t="str">
        <f t="shared" si="387"/>
        <v/>
      </c>
      <c r="EG239" s="206">
        <f>IF($J239="",#N/A,SUM(EF$4:EF239))</f>
        <v>-0.15098969023521425</v>
      </c>
      <c r="EH239" s="207">
        <f t="shared" si="388"/>
        <v>-0.28645882627597347</v>
      </c>
      <c r="EI239" s="207">
        <f>IF($J239="",#N/A,SUM(EH$4:EH239))</f>
        <v>-2.8640283518306258</v>
      </c>
      <c r="EJ239" s="208" t="str">
        <f t="shared" si="389"/>
        <v/>
      </c>
      <c r="EK239" s="208">
        <f>IF($J239="",#N/A,SUM(EJ$4:EJ239))</f>
        <v>5.050388173053765</v>
      </c>
      <c r="EL239" s="208">
        <f>IF($J239="",#N/A,SUM(EJ$4:EJ239,EH$4:EH239,EF$4:EF239))</f>
        <v>2.0353701309879249</v>
      </c>
      <c r="EM239" s="200" t="str">
        <f t="shared" si="390"/>
        <v/>
      </c>
      <c r="EN239" s="206">
        <f>IF($J239="",#N/A,SUM(EM$4:EM239))</f>
        <v>0</v>
      </c>
      <c r="EO239" s="207" t="str">
        <f t="shared" si="391"/>
        <v/>
      </c>
      <c r="EP239" s="207">
        <f>IF($J239="",#N/A,SUM(EO$4:EO239))</f>
        <v>3.2406646352184261</v>
      </c>
      <c r="EQ239" s="208" t="str">
        <f t="shared" si="392"/>
        <v/>
      </c>
      <c r="ER239" s="208">
        <f>IF($J239="",#N/A,SUM(EQ$4:EQ239))</f>
        <v>1.441536272249796</v>
      </c>
      <c r="ES239" s="208">
        <f>IF($J239="",#N/A,SUM(EQ$4:EQ239,EO$4:EO239,EM$4:EM239))</f>
        <v>4.6822009074682214</v>
      </c>
      <c r="ET239" s="200" t="str">
        <f t="shared" si="393"/>
        <v/>
      </c>
      <c r="EU239" s="206">
        <f>IF($J239="",#N/A,SUM(ET$4:ET239))</f>
        <v>0</v>
      </c>
      <c r="EV239" s="207" t="str">
        <f t="shared" si="394"/>
        <v/>
      </c>
      <c r="EW239" s="207">
        <f>IF($J239="",#N/A,SUM(EV$4:EV239))</f>
        <v>1.9901851109977766</v>
      </c>
      <c r="EX239" s="208" t="str">
        <f t="shared" si="395"/>
        <v/>
      </c>
      <c r="EY239" s="208">
        <f>IF($J239="",#N/A,SUM(EX$4:EX239))</f>
        <v>0.27113250180669229</v>
      </c>
      <c r="EZ239" s="208">
        <f>IF($J239="",#N/A,SUM(EX$4:EX239,EV$4:EV239,ET$4:ET239))</f>
        <v>2.2613176128044685</v>
      </c>
      <c r="FA239" s="200" t="str">
        <f t="shared" si="396"/>
        <v/>
      </c>
      <c r="FB239" s="206">
        <f>IF($J239="",#N/A,SUM(FA$4:FA239))</f>
        <v>0</v>
      </c>
      <c r="FC239" s="207" t="str">
        <f t="shared" si="397"/>
        <v/>
      </c>
      <c r="FD239" s="207">
        <f>IF($J239="",#N/A,SUM(FC$4:FC239))</f>
        <v>1.8692126759492278</v>
      </c>
      <c r="FE239" s="208" t="str">
        <f t="shared" si="398"/>
        <v/>
      </c>
      <c r="FF239" s="208">
        <f>IF($J239="",#N/A,SUM(FE$4:FE239))</f>
        <v>-0.28811149078748233</v>
      </c>
      <c r="FG239" s="208">
        <f>IF($J239="",#N/A,SUM(FE$4:FE239,FC$4:FC239,FA$4:FA239))</f>
        <v>1.5811011851617456</v>
      </c>
      <c r="FH239" s="200" t="str">
        <f t="shared" si="399"/>
        <v/>
      </c>
      <c r="FI239" s="206">
        <f>IF($J239="",#N/A,SUM(FH$4:FH239))</f>
        <v>0</v>
      </c>
      <c r="FJ239" s="207" t="str">
        <f t="shared" si="400"/>
        <v/>
      </c>
      <c r="FK239" s="207">
        <f>IF($J239="",#N/A,SUM(FJ$4:FJ239))</f>
        <v>0</v>
      </c>
      <c r="FL239" s="208" t="str">
        <f t="shared" si="401"/>
        <v/>
      </c>
      <c r="FM239" s="208">
        <f>IF($J239="",#N/A,SUM(FL$4:FL239))</f>
        <v>0</v>
      </c>
      <c r="FN239" s="208">
        <f>IF($J239="",#N/A,SUM(FL$4:FL239,FJ$4:FJ239,FH$4:FH239))</f>
        <v>0</v>
      </c>
      <c r="FO239" s="200" t="str">
        <f t="shared" si="402"/>
        <v/>
      </c>
      <c r="FP239" s="206">
        <f>IF($J239="",#N/A,SUM(FO$4:FO239))</f>
        <v>0</v>
      </c>
      <c r="FQ239" s="207" t="str">
        <f t="shared" si="403"/>
        <v/>
      </c>
      <c r="FR239" s="207">
        <f>IF($J239="",#N/A,SUM(FQ$4:FQ239))</f>
        <v>0</v>
      </c>
      <c r="FS239" s="208" t="str">
        <f t="shared" si="404"/>
        <v/>
      </c>
      <c r="FT239" s="208">
        <f>IF($J239="",#N/A,SUM(FS$4:FS239))</f>
        <v>0</v>
      </c>
      <c r="FU239" s="208">
        <f>IF($J239="",#N/A,SUM(FS$4:FS239,FQ$4:FQ239,FO$4:FO239))</f>
        <v>0</v>
      </c>
      <c r="FV239" s="200" t="str">
        <f t="shared" si="405"/>
        <v/>
      </c>
      <c r="FW239" s="206">
        <f>IF($J239="",#N/A,SUM(FV$4:FV239))</f>
        <v>6.6834991831277585E-2</v>
      </c>
      <c r="FX239" s="207" t="str">
        <f t="shared" si="406"/>
        <v/>
      </c>
      <c r="FY239" s="207">
        <f>IF($J239="",#N/A,SUM(FX$4:FX239))</f>
        <v>-0.16102012791805576</v>
      </c>
      <c r="FZ239" s="208" t="str">
        <f t="shared" si="407"/>
        <v/>
      </c>
      <c r="GA239" s="208">
        <f>IF($J239="",#N/A,SUM(FZ$4:FZ239))</f>
        <v>-1.1377221770567538</v>
      </c>
      <c r="GB239" s="208">
        <f>IF($J239="",#N/A,SUM(FZ$4:FZ239,FX$4:FX239,FV$4:FV239))</f>
        <v>-1.2319073131435321</v>
      </c>
      <c r="GC239" s="200" t="str">
        <f t="shared" si="408"/>
        <v/>
      </c>
      <c r="GD239" s="206">
        <f>IF($J239="",#N/A,SUM(GC$4:GC239))</f>
        <v>0</v>
      </c>
      <c r="GE239" s="207" t="str">
        <f t="shared" si="409"/>
        <v/>
      </c>
      <c r="GF239" s="207">
        <f>IF($J239="",#N/A,SUM(GE$4:GE239))</f>
        <v>0</v>
      </c>
      <c r="GG239" s="208" t="str">
        <f t="shared" si="410"/>
        <v/>
      </c>
      <c r="GH239" s="208">
        <f>IF($J239="",#N/A,SUM(GG$4:GG239))</f>
        <v>-2.9368362277223206</v>
      </c>
      <c r="GI239" s="208">
        <f>IF($J239="",#N/A,SUM(GG$4:GG239,GE$4:GE239,GC$4:GC239))</f>
        <v>-2.9368362277223206</v>
      </c>
      <c r="GJ239" s="200" t="str">
        <f t="shared" si="411"/>
        <v/>
      </c>
      <c r="GK239" s="206">
        <f>IF($J239="",#N/A,SUM(GJ$4:GJ239))</f>
        <v>0</v>
      </c>
      <c r="GL239" s="207" t="str">
        <f t="shared" si="412"/>
        <v/>
      </c>
      <c r="GM239" s="207">
        <f>IF($J239="",#N/A,SUM(GL$4:GL239))</f>
        <v>-1.6833790887309608</v>
      </c>
      <c r="GN239" s="208" t="str">
        <f t="shared" si="413"/>
        <v/>
      </c>
      <c r="GO239" s="208">
        <f>IF($J239="",#N/A,SUM(GN$4:GN239))</f>
        <v>0</v>
      </c>
      <c r="GP239" s="208">
        <f>IF($J239="",#N/A,SUM(GN$4:GN239,GL$4:GL239,GJ$4:GJ239))</f>
        <v>-1.6833790887309608</v>
      </c>
      <c r="GS239" s="54">
        <f t="shared" si="432"/>
        <v>-0.28645882627597347</v>
      </c>
      <c r="GT239" s="54">
        <f>IF(GS239="",NA(),SUM($GS$4:GS239))</f>
        <v>8.4047898166816655</v>
      </c>
      <c r="GU239" s="54" t="str">
        <f t="shared" si="414"/>
        <v/>
      </c>
      <c r="GV239" s="54" t="e">
        <f>IF(GU239="",NA(),SUM($GU$4:GU239))</f>
        <v>#N/A</v>
      </c>
      <c r="GW239" s="54" t="str">
        <f t="shared" si="415"/>
        <v/>
      </c>
      <c r="GX239" s="54" t="e">
        <f>IF(GW239="",NA(),SUM($GW$4:GW239))</f>
        <v>#N/A</v>
      </c>
      <c r="GY239" s="54">
        <f t="shared" si="416"/>
        <v>-0.28645882627597347</v>
      </c>
      <c r="GZ239" s="54">
        <f>IF(GY239="",NA(),SUM($GY$4:GY239))</f>
        <v>3.2122829546037521</v>
      </c>
      <c r="HA239" s="54" t="str">
        <f t="shared" si="417"/>
        <v/>
      </c>
      <c r="HB239" s="54" t="e">
        <f>IF(HA239="",NA(),SUM($HA$4:HA239))</f>
        <v>#N/A</v>
      </c>
      <c r="HC239" s="54" t="str">
        <f t="shared" si="418"/>
        <v/>
      </c>
      <c r="HD239" s="54" t="e">
        <f>IF(HC239="",NA(),SUM($HC$4:HC239))</f>
        <v>#N/A</v>
      </c>
      <c r="HE239" s="54" t="str">
        <f t="shared" si="419"/>
        <v/>
      </c>
      <c r="HF239" s="54" t="e">
        <f>IF(HE239="",NA(),SUM($HE$4:HE239))</f>
        <v>#N/A</v>
      </c>
      <c r="HG239" s="54" t="str">
        <f t="shared" si="420"/>
        <v/>
      </c>
      <c r="HH239" s="54" t="e">
        <f>IF(HG239="",NA(),SUM($HG$4:HG239))</f>
        <v>#N/A</v>
      </c>
      <c r="HI239" s="172" t="str">
        <f t="shared" si="433"/>
        <v/>
      </c>
      <c r="HJ239" s="172">
        <f>IF($J239="",#N/A,SUM(HI$4:$HI239))</f>
        <v>-6.5659133686635629</v>
      </c>
      <c r="HK239" s="54">
        <f t="shared" si="421"/>
        <v>-0.39861313546221427</v>
      </c>
      <c r="HL239" s="54">
        <f>IF($J239="",#N/A,SUM($HK$4:HK239))</f>
        <v>-1.7994312195648086</v>
      </c>
      <c r="HM239" s="54" t="str">
        <f t="shared" si="422"/>
        <v/>
      </c>
      <c r="HN239" s="54">
        <f>IF($J239="",#N/A,SUM($HM$4:HM239))</f>
        <v>0.90694539517251249</v>
      </c>
      <c r="HO239" s="54" t="str">
        <f t="shared" si="423"/>
        <v/>
      </c>
      <c r="HP239" s="54">
        <f>IF($J239="",#N/A,SUM($HO$4:HO239))</f>
        <v>-0.10266465451722628</v>
      </c>
      <c r="HQ239" s="54" t="str">
        <f t="shared" si="424"/>
        <v/>
      </c>
      <c r="HR239" s="54">
        <f>IF($J239="",#N/A,SUM($HQ$4:HQ239))</f>
        <v>-14.733756886811655</v>
      </c>
      <c r="HS239" s="54" t="str">
        <f t="shared" si="425"/>
        <v/>
      </c>
      <c r="HT239" s="54">
        <f>IF($J239="",#N/A,SUM($HS$4:HS239))</f>
        <v>13.389378536583431</v>
      </c>
      <c r="HU239" s="65">
        <f t="shared" si="426"/>
        <v>-0.68507196173818774</v>
      </c>
      <c r="HV239" s="65">
        <f>IF($J239="",#N/A,SUM(HU$4:$HU239))</f>
        <v>3.7922313413007833</v>
      </c>
    </row>
    <row r="240" spans="1:230" x14ac:dyDescent="0.25">
      <c r="A240" s="275" t="s">
        <v>2560</v>
      </c>
      <c r="B240" s="52" t="s">
        <v>4563</v>
      </c>
      <c r="C240" s="276">
        <f t="shared" si="327"/>
        <v>2</v>
      </c>
      <c r="D240" s="277" t="str">
        <f>_xlfn.XLOOKUP(A240,[1]SP500!$A$2:$A$502,[1]SP500!$D$2:$D$502,"N")</f>
        <v>N</v>
      </c>
      <c r="E240" s="275" t="str">
        <f>IFERROR(_xlfn.XLOOKUP(A240,[1]SP500!$A$2:$A$655,[1]SP500!$B$2:$B$655),"")</f>
        <v>XLC</v>
      </c>
      <c r="F240" s="290">
        <v>45778</v>
      </c>
      <c r="G240" s="51" t="str">
        <f t="shared" si="328"/>
        <v>AMC</v>
      </c>
      <c r="H240" s="51" t="str">
        <f t="shared" si="329"/>
        <v>s</v>
      </c>
      <c r="I240" s="344">
        <v>67.27</v>
      </c>
      <c r="J240" s="124">
        <v>59.854999999999997</v>
      </c>
      <c r="K240" s="55">
        <f t="shared" si="330"/>
        <v>-0.11022744165303998</v>
      </c>
      <c r="L240" s="67">
        <f t="shared" si="331"/>
        <v>111.22500000000002</v>
      </c>
      <c r="M240" s="57">
        <f t="shared" si="332"/>
        <v>-2.1750000000000682</v>
      </c>
      <c r="N240" s="102">
        <f t="shared" si="333"/>
        <v>111.22500000000002</v>
      </c>
      <c r="O240" s="57">
        <f>IF(N240="",#N/A,SUM($N$4:N240))</f>
        <v>732.41592465120925</v>
      </c>
      <c r="P240" s="65">
        <f t="shared" si="427"/>
        <v>1.8371240275506671</v>
      </c>
      <c r="Q240" s="172">
        <f>IF($N240="",#N/A,SUM($P$4:P240))</f>
        <v>14.53479756665276</v>
      </c>
      <c r="R240" s="279">
        <f t="shared" si="334"/>
        <v>3.6594111363195498</v>
      </c>
      <c r="S240" s="51" t="str">
        <f t="shared" si="335"/>
        <v>Dwn</v>
      </c>
      <c r="T240" s="51" t="s">
        <v>4462</v>
      </c>
      <c r="U240" s="56">
        <f t="shared" si="336"/>
        <v>67.27</v>
      </c>
      <c r="V240" s="56" t="s">
        <v>4458</v>
      </c>
      <c r="W240" s="142">
        <v>15</v>
      </c>
      <c r="X240" s="145">
        <f t="shared" si="337"/>
        <v>1009.05</v>
      </c>
      <c r="Y240" s="140">
        <f t="shared" si="338"/>
        <v>15</v>
      </c>
      <c r="Z240" s="123">
        <v>60</v>
      </c>
      <c r="AA240" s="102">
        <f t="shared" si="339"/>
        <v>109.04999999999995</v>
      </c>
      <c r="AB240" s="102">
        <f t="shared" si="340"/>
        <v>85.799999999999955</v>
      </c>
      <c r="AC240" s="124">
        <v>61.55</v>
      </c>
      <c r="AD240" s="155">
        <f t="shared" si="341"/>
        <v>85.799999999999955</v>
      </c>
      <c r="AE240" s="545">
        <f t="shared" si="342"/>
        <v>1.4171745701402303</v>
      </c>
      <c r="AF240" s="57">
        <f>IF($AC240="",#N/A,SUM(AD$4:AD240))</f>
        <v>282.43087220737948</v>
      </c>
      <c r="AG240" s="102">
        <f t="shared" si="343"/>
        <v>-25.425000000000068</v>
      </c>
      <c r="AH240" s="56" t="s">
        <v>2507</v>
      </c>
      <c r="AI240" s="65">
        <f t="shared" si="344"/>
        <v>1.801199147713195</v>
      </c>
      <c r="AJ240" s="350">
        <f>IF(AI240="",#N/A,SUM($AI$4:AI240))</f>
        <v>10.87538643033321</v>
      </c>
      <c r="AK240" s="57">
        <f t="shared" si="345"/>
        <v>109.04999999999995</v>
      </c>
      <c r="AL240" s="349">
        <f>IF(AI240="",#N/A,IF(AH240="Skip",SUM($AK$4:AK240),SUM($AK$4:AK240)))</f>
        <v>479.74759149281431</v>
      </c>
      <c r="AM240" s="65">
        <f t="shared" si="428"/>
        <v>1.4171745701402303</v>
      </c>
      <c r="AN240" s="209"/>
      <c r="AO240" s="65" t="str">
        <f t="shared" si="346"/>
        <v/>
      </c>
      <c r="AP240" s="65">
        <f>IF($AC240="",#N/A,SUM(AO$4:AO240))</f>
        <v>5.5294529259760647</v>
      </c>
      <c r="AQ240" s="65" t="str">
        <f t="shared" si="347"/>
        <v/>
      </c>
      <c r="AR240" s="65">
        <f>IF($AC240="",#N/A,SUM(AQ$4:AQ240))</f>
        <v>-2.2840800066827698</v>
      </c>
      <c r="AS240" s="65">
        <f t="shared" si="348"/>
        <v>1.4171745701402303</v>
      </c>
      <c r="AT240" s="65">
        <f>IF($AC240="",#N/A,SUM(AS$4:AS240))</f>
        <v>1.9640329921477153</v>
      </c>
      <c r="AU240" s="57" t="str">
        <f t="shared" si="429"/>
        <v/>
      </c>
      <c r="AV240" s="57">
        <f>IF($AC240="",#N/A,SUM(AU$4:AU240))</f>
        <v>256.66249066104672</v>
      </c>
      <c r="AW240" s="57" t="str">
        <f t="shared" si="430"/>
        <v/>
      </c>
      <c r="AX240" s="57">
        <f>IF($AC240="",#N/A,SUM(AW$4:AW240))</f>
        <v>-142.90000000000009</v>
      </c>
      <c r="AY240" s="57">
        <f t="shared" si="431"/>
        <v>85.799999999999955</v>
      </c>
      <c r="AZ240" s="57">
        <f>IF($AC240="",#N/A,SUM(AY$4:AY240))</f>
        <v>168.66838154633285</v>
      </c>
      <c r="BA240" s="57">
        <f>IF(AD240="",#N/A,SUM($AD$4:AD240))</f>
        <v>282.43087220737948</v>
      </c>
      <c r="BC240" s="51" t="str">
        <f t="shared" si="349"/>
        <v/>
      </c>
      <c r="BD240" s="51" t="str">
        <f t="shared" si="350"/>
        <v/>
      </c>
      <c r="BE240" s="51" t="str">
        <f t="shared" si="351"/>
        <v/>
      </c>
      <c r="BF240" s="51" t="str">
        <f t="shared" si="352"/>
        <v>Short</v>
      </c>
      <c r="BG240" s="51">
        <f t="shared" si="353"/>
        <v>1</v>
      </c>
      <c r="BH240" s="51" t="str">
        <f t="shared" si="354"/>
        <v/>
      </c>
      <c r="BI240" s="51" t="str">
        <f t="shared" si="355"/>
        <v/>
      </c>
      <c r="BK240" s="65">
        <f t="shared" si="326"/>
        <v>0.15720326439610083</v>
      </c>
      <c r="BL240" s="65">
        <f t="shared" si="434"/>
        <v>0.22247148959034072</v>
      </c>
      <c r="BM240" s="65">
        <f>IFERROR(Q240/COUNTA($J$4:J240),#N/A)</f>
        <v>6.1328259774906156E-2</v>
      </c>
      <c r="BO240" s="489" t="e">
        <f>IF(J240="",#N/A,IF(S240="SW",(COUNTIFS(K$4:$K240,"&gt;0",S$4:$S240,"SW")/COUNTIF(S$4:$S240,"SW")),#N/A))</f>
        <v>#N/A</v>
      </c>
      <c r="BP240" s="489">
        <f>IF($J240="",#N/A,IF($S240="DWN",(COUNTIFS($K$4:$K240,"&lt;0",$S$4:$S240,"DWN")/COUNTIF($S$4:$S240,"DWN")),#N/A))</f>
        <v>0.58415841584158412</v>
      </c>
      <c r="BQ240" s="489" t="e">
        <f>IF($J240="",#N/A,IF($S240="UP",(COUNTIFS($K$4:$K240,"&gt;0",$S$4:$S240,"UP")/COUNTIF($S$4:$S240,"UP")),#N/A))</f>
        <v>#N/A</v>
      </c>
      <c r="BR240" s="489">
        <f>IF(J240="",#N/A,COUNTIF($K$4:K240,"&gt;0")/COUNT($J$4:J240))</f>
        <v>0.45991561181434598</v>
      </c>
      <c r="BS240" s="65" t="str">
        <f t="shared" si="356"/>
        <v/>
      </c>
      <c r="BT240" s="65" t="str">
        <f t="shared" si="357"/>
        <v/>
      </c>
      <c r="BU240" s="65">
        <f t="shared" si="358"/>
        <v>1.8371240275506671</v>
      </c>
      <c r="BV240" s="65" t="str">
        <f t="shared" si="359"/>
        <v/>
      </c>
      <c r="BW240" s="128" t="str">
        <f t="shared" si="360"/>
        <v/>
      </c>
      <c r="BX240" s="128">
        <f>IF($J240="",#N/A,SUM($BW$4:BW240))</f>
        <v>-199.33000000000038</v>
      </c>
      <c r="BY240" s="131">
        <f t="shared" si="361"/>
        <v>111.22500000000002</v>
      </c>
      <c r="BZ240" s="131">
        <f>IF($J240="",#N/A,SUM($BY$4:BY240))</f>
        <v>632.23434038933453</v>
      </c>
      <c r="CA240" s="133" t="str">
        <f t="shared" si="362"/>
        <v/>
      </c>
      <c r="CB240" s="133">
        <f>IF($J240="",#N/A,SUM($CA$4:CA240))</f>
        <v>299.5115842618751</v>
      </c>
      <c r="CC240" s="194" t="str">
        <f t="shared" si="363"/>
        <v/>
      </c>
      <c r="CD240" s="194">
        <f>IF($J240="",#N/A,SUM($CC$4:CC240))</f>
        <v>-3.0883607473380557</v>
      </c>
      <c r="CE240" s="195">
        <f t="shared" si="364"/>
        <v>1.8371240275506671</v>
      </c>
      <c r="CF240" s="195">
        <f>IF($J240="",#N/A,SUM($CE$4:CE240))</f>
        <v>10.74932703778653</v>
      </c>
      <c r="CG240" s="196" t="str">
        <f t="shared" si="365"/>
        <v/>
      </c>
      <c r="CH240" s="196">
        <f>IF($J240="",#N/A,SUM($CG$4:CG240))</f>
        <v>6.8738312762042915</v>
      </c>
      <c r="CI240" s="200" t="str">
        <f t="shared" si="366"/>
        <v/>
      </c>
      <c r="CJ240" s="203">
        <f>IF($J240="",#N/A,SUM(CI$4:CI240))</f>
        <v>0</v>
      </c>
      <c r="CK240" s="204" t="str">
        <f t="shared" si="367"/>
        <v/>
      </c>
      <c r="CL240" s="204">
        <f>IF($J240="",#N/A,SUM(CK$4:CK240))</f>
        <v>1.9927003554442289</v>
      </c>
      <c r="CM240" s="205" t="str">
        <f t="shared" si="368"/>
        <v/>
      </c>
      <c r="CN240" s="205">
        <f>IF($J240="",#N/A,SUM(CM$4:CM240))</f>
        <v>5.044238105997306</v>
      </c>
      <c r="CO240" s="205">
        <f>IF($J240="",#N/A,SUM(CM$4:CM240,CK$4:CK240,CI$4:CI240))</f>
        <v>7.0369384614415349</v>
      </c>
      <c r="CP240" s="200" t="str">
        <f t="shared" si="369"/>
        <v/>
      </c>
      <c r="CQ240" s="203">
        <f>IF($J240="",#N/A,SUM(CP$4:CP240))</f>
        <v>0</v>
      </c>
      <c r="CR240" s="204" t="str">
        <f t="shared" si="370"/>
        <v/>
      </c>
      <c r="CS240" s="204">
        <f>IF($J240="",#N/A,SUM(CR$4:CR240))</f>
        <v>4.6135245886817966</v>
      </c>
      <c r="CT240" s="205" t="str">
        <f t="shared" si="371"/>
        <v/>
      </c>
      <c r="CU240" s="205">
        <f>IF($J240="",#N/A,SUM(CT$4:CT240))</f>
        <v>-2.9040943753548785</v>
      </c>
      <c r="CV240" s="205">
        <f>IF($J240="",#N/A,SUM(CT$4:CT240,CR$4:CR240,CP$4:CP240))</f>
        <v>1.7094302133269181</v>
      </c>
      <c r="CW240" s="200" t="str">
        <f t="shared" si="372"/>
        <v/>
      </c>
      <c r="CX240" s="203">
        <f>IF($J240="",#N/A,SUM(CW$4:CW240))</f>
        <v>-0.33865165024245297</v>
      </c>
      <c r="CY240" s="204" t="str">
        <f t="shared" si="373"/>
        <v/>
      </c>
      <c r="CZ240" s="204">
        <f>IF($J240="",#N/A,SUM(CY$4:CY240))</f>
        <v>-8.9115263338952644E-2</v>
      </c>
      <c r="DA240" s="205" t="str">
        <f t="shared" si="374"/>
        <v/>
      </c>
      <c r="DB240" s="205">
        <f>IF($J240="",#N/A,SUM(DA$4:DA240))</f>
        <v>-2.2679577914291</v>
      </c>
      <c r="DC240" s="205">
        <f>IF($J240="",#N/A,SUM(DA$4:DA240,CY$4:CY240,CW$4:CW240))</f>
        <v>-2.6957247050105053</v>
      </c>
      <c r="DD240" s="200" t="str">
        <f t="shared" si="375"/>
        <v/>
      </c>
      <c r="DE240" s="203">
        <f>IF($J240="",#N/A,SUM(DD$4:DD240))</f>
        <v>0.14968716170674062</v>
      </c>
      <c r="DF240" s="204" t="str">
        <f t="shared" si="376"/>
        <v/>
      </c>
      <c r="DG240" s="204">
        <f>IF($J240="",#N/A,SUM(DF$4:DF240))</f>
        <v>1.5249935139936004</v>
      </c>
      <c r="DH240" s="205" t="str">
        <f t="shared" si="377"/>
        <v/>
      </c>
      <c r="DI240" s="205">
        <f>IF($J240="",#N/A,SUM(DH$4:DH240))</f>
        <v>-1.9066052078694633</v>
      </c>
      <c r="DJ240" s="205">
        <f>IF($J240="",#N/A,SUM(DH$4:DH240,DF$4:DF240,DD$4:DD240))</f>
        <v>-0.23192453216912207</v>
      </c>
      <c r="DK240" s="200" t="str">
        <f t="shared" si="378"/>
        <v/>
      </c>
      <c r="DL240" s="203">
        <f>IF($J240="",#N/A,SUM(DK$4:DK240))</f>
        <v>-1.2097286851272664</v>
      </c>
      <c r="DM240" s="204">
        <f t="shared" si="379"/>
        <v>1.8371240275506671</v>
      </c>
      <c r="DN240" s="204">
        <f>IF($J240="",#N/A,SUM(DM$4:DM240))</f>
        <v>3.0281848543081331</v>
      </c>
      <c r="DO240" s="205" t="str">
        <f t="shared" si="380"/>
        <v/>
      </c>
      <c r="DP240" s="205">
        <f>IF($J240="",#N/A,SUM(DO$4:DO240))</f>
        <v>2.6571865116636566</v>
      </c>
      <c r="DQ240" s="205">
        <f>IF($J240="",#N/A,SUM(DO$4:DO240,DM$4:DM240,DK$4:DK240))</f>
        <v>4.4756426808445235</v>
      </c>
      <c r="DR240" s="200" t="str">
        <f t="shared" si="381"/>
        <v/>
      </c>
      <c r="DS240" s="203">
        <f>IF($J240="",#N/A,SUM(DR$4:DR240))</f>
        <v>-0.55950946427675097</v>
      </c>
      <c r="DT240" s="204" t="str">
        <f t="shared" si="382"/>
        <v/>
      </c>
      <c r="DU240" s="204">
        <f>IF($J240="",#N/A,SUM(DT$4:DT240))</f>
        <v>-3.6911249040845173</v>
      </c>
      <c r="DV240" s="205" t="str">
        <f t="shared" si="383"/>
        <v/>
      </c>
      <c r="DW240" s="205">
        <f>IF($J240="",#N/A,SUM(DV$4:DV240))</f>
        <v>-1.2815650893103838</v>
      </c>
      <c r="DX240" s="205">
        <f>IF($J240="",#N/A,SUM(DV$4:DV240,DT$4:DT240,DR$4:DR240))</f>
        <v>-5.532199457671652</v>
      </c>
      <c r="DY240" s="200" t="str">
        <f t="shared" si="384"/>
        <v/>
      </c>
      <c r="DZ240" s="203">
        <f>IF($J240="",#N/A,SUM(DY$4:DY240))</f>
        <v>-1.0460034109943892</v>
      </c>
      <c r="EA240" s="204" t="str">
        <f t="shared" si="385"/>
        <v/>
      </c>
      <c r="EB240" s="204">
        <f>IF($J240="",#N/A,SUM(EA$4:EA240))</f>
        <v>0.65158371441459195</v>
      </c>
      <c r="EC240" s="205" t="str">
        <f t="shared" si="386"/>
        <v/>
      </c>
      <c r="ED240" s="205">
        <f>IF($J240="",#N/A,SUM(EC$4:EC240))</f>
        <v>5.1322420709634535</v>
      </c>
      <c r="EE240" s="205">
        <f>IF($J240="",#N/A,SUM(EC$4:EC240,EA$4:EA240,DY$4:DY240))</f>
        <v>4.7378223743836561</v>
      </c>
      <c r="EF240" s="200" t="str">
        <f t="shared" si="387"/>
        <v/>
      </c>
      <c r="EG240" s="203">
        <f>IF($J240="",#N/A,SUM(EF$4:EF240))</f>
        <v>-0.15098969023521425</v>
      </c>
      <c r="EH240" s="204" t="str">
        <f t="shared" si="388"/>
        <v/>
      </c>
      <c r="EI240" s="204">
        <f>IF($J240="",#N/A,SUM(EH$4:EH240))</f>
        <v>-2.8640283518306258</v>
      </c>
      <c r="EJ240" s="205" t="str">
        <f t="shared" si="389"/>
        <v/>
      </c>
      <c r="EK240" s="205">
        <f>IF($J240="",#N/A,SUM(EJ$4:EJ240))</f>
        <v>5.050388173053765</v>
      </c>
      <c r="EL240" s="205">
        <f>IF($J240="",#N/A,SUM(EJ$4:EJ240,EH$4:EH240,EF$4:EF240))</f>
        <v>2.0353701309879249</v>
      </c>
      <c r="EM240" s="200" t="str">
        <f t="shared" si="390"/>
        <v/>
      </c>
      <c r="EN240" s="203">
        <f>IF($J240="",#N/A,SUM(EM$4:EM240))</f>
        <v>0</v>
      </c>
      <c r="EO240" s="204" t="str">
        <f t="shared" si="391"/>
        <v/>
      </c>
      <c r="EP240" s="204">
        <f>IF($J240="",#N/A,SUM(EO$4:EO240))</f>
        <v>3.2406646352184261</v>
      </c>
      <c r="EQ240" s="205" t="str">
        <f t="shared" si="392"/>
        <v/>
      </c>
      <c r="ER240" s="205">
        <f>IF($J240="",#N/A,SUM(EQ$4:EQ240))</f>
        <v>1.441536272249796</v>
      </c>
      <c r="ES240" s="205">
        <f>IF($J240="",#N/A,SUM(EQ$4:EQ240,EO$4:EO240,EM$4:EM240))</f>
        <v>4.6822009074682214</v>
      </c>
      <c r="ET240" s="200" t="str">
        <f t="shared" si="393"/>
        <v/>
      </c>
      <c r="EU240" s="203">
        <f>IF($J240="",#N/A,SUM(ET$4:ET240))</f>
        <v>0</v>
      </c>
      <c r="EV240" s="204" t="str">
        <f t="shared" si="394"/>
        <v/>
      </c>
      <c r="EW240" s="204">
        <f>IF($J240="",#N/A,SUM(EV$4:EV240))</f>
        <v>1.9901851109977766</v>
      </c>
      <c r="EX240" s="205" t="str">
        <f t="shared" si="395"/>
        <v/>
      </c>
      <c r="EY240" s="205">
        <f>IF($J240="",#N/A,SUM(EX$4:EX240))</f>
        <v>0.27113250180669229</v>
      </c>
      <c r="EZ240" s="205">
        <f>IF($J240="",#N/A,SUM(EX$4:EX240,EV$4:EV240,ET$4:ET240))</f>
        <v>2.2613176128044685</v>
      </c>
      <c r="FA240" s="200" t="str">
        <f t="shared" si="396"/>
        <v/>
      </c>
      <c r="FB240" s="203">
        <f>IF($J240="",#N/A,SUM(FA$4:FA240))</f>
        <v>0</v>
      </c>
      <c r="FC240" s="204" t="str">
        <f t="shared" si="397"/>
        <v/>
      </c>
      <c r="FD240" s="204">
        <f>IF($J240="",#N/A,SUM(FC$4:FC240))</f>
        <v>1.8692126759492278</v>
      </c>
      <c r="FE240" s="205" t="str">
        <f t="shared" si="398"/>
        <v/>
      </c>
      <c r="FF240" s="205">
        <f>IF($J240="",#N/A,SUM(FE$4:FE240))</f>
        <v>-0.28811149078748233</v>
      </c>
      <c r="FG240" s="205">
        <f>IF($J240="",#N/A,SUM(FE$4:FE240,FC$4:FC240,FA$4:FA240))</f>
        <v>1.5811011851617456</v>
      </c>
      <c r="FH240" s="200" t="str">
        <f t="shared" si="399"/>
        <v/>
      </c>
      <c r="FI240" s="203">
        <f>IF($J240="",#N/A,SUM(FH$4:FH240))</f>
        <v>0</v>
      </c>
      <c r="FJ240" s="204" t="str">
        <f t="shared" si="400"/>
        <v/>
      </c>
      <c r="FK240" s="204">
        <f>IF($J240="",#N/A,SUM(FJ$4:FJ240))</f>
        <v>0</v>
      </c>
      <c r="FL240" s="205" t="str">
        <f t="shared" si="401"/>
        <v/>
      </c>
      <c r="FM240" s="205">
        <f>IF($J240="",#N/A,SUM(FL$4:FL240))</f>
        <v>0</v>
      </c>
      <c r="FN240" s="205">
        <f>IF($J240="",#N/A,SUM(FL$4:FL240,FJ$4:FJ240,FH$4:FH240))</f>
        <v>0</v>
      </c>
      <c r="FO240" s="200" t="str">
        <f t="shared" si="402"/>
        <v/>
      </c>
      <c r="FP240" s="203">
        <f>IF($J240="",#N/A,SUM(FO$4:FO240))</f>
        <v>0</v>
      </c>
      <c r="FQ240" s="204" t="str">
        <f t="shared" si="403"/>
        <v/>
      </c>
      <c r="FR240" s="204">
        <f>IF($J240="",#N/A,SUM(FQ$4:FQ240))</f>
        <v>0</v>
      </c>
      <c r="FS240" s="205" t="str">
        <f t="shared" si="404"/>
        <v/>
      </c>
      <c r="FT240" s="205">
        <f>IF($J240="",#N/A,SUM(FS$4:FS240))</f>
        <v>0</v>
      </c>
      <c r="FU240" s="205">
        <f>IF($J240="",#N/A,SUM(FS$4:FS240,FQ$4:FQ240,FO$4:FO240))</f>
        <v>0</v>
      </c>
      <c r="FV240" s="200" t="str">
        <f t="shared" si="405"/>
        <v/>
      </c>
      <c r="FW240" s="203">
        <f>IF($J240="",#N/A,SUM(FV$4:FV240))</f>
        <v>6.6834991831277585E-2</v>
      </c>
      <c r="FX240" s="204" t="str">
        <f t="shared" si="406"/>
        <v/>
      </c>
      <c r="FY240" s="204">
        <f>IF($J240="",#N/A,SUM(FX$4:FX240))</f>
        <v>-0.16102012791805576</v>
      </c>
      <c r="FZ240" s="205" t="str">
        <f t="shared" si="407"/>
        <v/>
      </c>
      <c r="GA240" s="205">
        <f>IF($J240="",#N/A,SUM(FZ$4:FZ240))</f>
        <v>-1.1377221770567538</v>
      </c>
      <c r="GB240" s="205">
        <f>IF($J240="",#N/A,SUM(FZ$4:FZ240,FX$4:FX240,FV$4:FV240))</f>
        <v>-1.2319073131435321</v>
      </c>
      <c r="GC240" s="200" t="str">
        <f t="shared" si="408"/>
        <v/>
      </c>
      <c r="GD240" s="203">
        <f>IF($J240="",#N/A,SUM(GC$4:GC240))</f>
        <v>0</v>
      </c>
      <c r="GE240" s="204" t="str">
        <f t="shared" si="409"/>
        <v/>
      </c>
      <c r="GF240" s="204">
        <f>IF($J240="",#N/A,SUM(GE$4:GE240))</f>
        <v>0</v>
      </c>
      <c r="GG240" s="205" t="str">
        <f t="shared" si="410"/>
        <v/>
      </c>
      <c r="GH240" s="205">
        <f>IF($J240="",#N/A,SUM(GG$4:GG240))</f>
        <v>-2.9368362277223206</v>
      </c>
      <c r="GI240" s="205">
        <f>IF($J240="",#N/A,SUM(GG$4:GG240,GE$4:GE240,GC$4:GC240))</f>
        <v>-2.9368362277223206</v>
      </c>
      <c r="GJ240" s="200" t="str">
        <f t="shared" si="411"/>
        <v/>
      </c>
      <c r="GK240" s="203">
        <f>IF($J240="",#N/A,SUM(GJ$4:GJ240))</f>
        <v>0</v>
      </c>
      <c r="GL240" s="204" t="str">
        <f t="shared" si="412"/>
        <v/>
      </c>
      <c r="GM240" s="204">
        <f>IF($J240="",#N/A,SUM(GL$4:GL240))</f>
        <v>-1.6833790887309608</v>
      </c>
      <c r="GN240" s="205" t="str">
        <f t="shared" si="413"/>
        <v/>
      </c>
      <c r="GO240" s="205">
        <f>IF($J240="",#N/A,SUM(GN$4:GN240))</f>
        <v>0</v>
      </c>
      <c r="GP240" s="205">
        <f>IF($J240="",#N/A,SUM(GN$4:GN240,GL$4:GL240,GJ$4:GJ240))</f>
        <v>-1.6833790887309608</v>
      </c>
      <c r="GS240" s="54" t="str">
        <f t="shared" si="432"/>
        <v/>
      </c>
      <c r="GT240" s="54" t="e">
        <f>IF(GS240="",NA(),SUM($GS$4:GS240))</f>
        <v>#N/A</v>
      </c>
      <c r="GU240" s="54" t="str">
        <f t="shared" si="414"/>
        <v/>
      </c>
      <c r="GV240" s="54" t="e">
        <f>IF(GU240="",NA(),SUM($GU$4:GU240))</f>
        <v>#N/A</v>
      </c>
      <c r="GW240" s="54" t="str">
        <f t="shared" si="415"/>
        <v/>
      </c>
      <c r="GX240" s="54" t="e">
        <f>IF(GW240="",NA(),SUM($GW$4:GW240))</f>
        <v>#N/A</v>
      </c>
      <c r="GY240" s="54" t="str">
        <f t="shared" si="416"/>
        <v/>
      </c>
      <c r="GZ240" s="54" t="e">
        <f>IF(GY240="",NA(),SUM($GY$4:GY240))</f>
        <v>#N/A</v>
      </c>
      <c r="HA240" s="54">
        <f t="shared" si="417"/>
        <v>1.8371240275506671</v>
      </c>
      <c r="HB240" s="54">
        <f>IF(HA240="",NA(),SUM($HA$4:HA240))</f>
        <v>6.1300077499710932</v>
      </c>
      <c r="HC240" s="54" t="str">
        <f t="shared" si="418"/>
        <v/>
      </c>
      <c r="HD240" s="54" t="e">
        <f>IF(HC240="",NA(),SUM($HC$4:HC240))</f>
        <v>#N/A</v>
      </c>
      <c r="HE240" s="54" t="str">
        <f t="shared" si="419"/>
        <v/>
      </c>
      <c r="HF240" s="54" t="e">
        <f>IF(HE240="",NA(),SUM($HE$4:HE240))</f>
        <v>#N/A</v>
      </c>
      <c r="HG240" s="54">
        <f t="shared" si="420"/>
        <v>1.8371240275506671</v>
      </c>
      <c r="HH240" s="54">
        <f>IF(HG240="",NA(),SUM($HG$4:HG240))</f>
        <v>7.5370440831827752</v>
      </c>
      <c r="HI240" s="172">
        <f t="shared" si="433"/>
        <v>-0.41994945741043677</v>
      </c>
      <c r="HJ240" s="172">
        <f>IF($J240="",#N/A,SUM(HI$4:$HI240))</f>
        <v>-6.9858628260739994</v>
      </c>
      <c r="HK240" s="54" t="str">
        <f t="shared" si="421"/>
        <v/>
      </c>
      <c r="HL240" s="54">
        <f>IF($J240="",#N/A,SUM($HK$4:HK240))</f>
        <v>-1.7994312195648086</v>
      </c>
      <c r="HM240" s="54" t="str">
        <f t="shared" si="422"/>
        <v/>
      </c>
      <c r="HN240" s="54">
        <f>IF($J240="",#N/A,SUM($HM$4:HM240))</f>
        <v>0.90694539517251249</v>
      </c>
      <c r="HO240" s="54" t="str">
        <f t="shared" si="423"/>
        <v/>
      </c>
      <c r="HP240" s="54">
        <f>IF($J240="",#N/A,SUM($HO$4:HO240))</f>
        <v>-0.10266465451722628</v>
      </c>
      <c r="HQ240" s="54" t="str">
        <f t="shared" si="424"/>
        <v/>
      </c>
      <c r="HR240" s="54">
        <f>IF($J240="",#N/A,SUM($HQ$4:HQ240))</f>
        <v>-14.733756886811655</v>
      </c>
      <c r="HS240" s="54" t="str">
        <f t="shared" si="425"/>
        <v/>
      </c>
      <c r="HT240" s="54">
        <f>IF($J240="",#N/A,SUM($HS$4:HS240))</f>
        <v>13.389378536583431</v>
      </c>
      <c r="HU240" s="65">
        <f t="shared" si="426"/>
        <v>1.4171745701402303</v>
      </c>
      <c r="HV240" s="65">
        <f>IF($J240="",#N/A,SUM(HU$4:$HU240))</f>
        <v>5.2094059114410136</v>
      </c>
    </row>
    <row r="241" spans="1:230" x14ac:dyDescent="0.25">
      <c r="A241" s="275" t="s">
        <v>1424</v>
      </c>
      <c r="B241" s="52" t="s">
        <v>4563</v>
      </c>
      <c r="C241" s="276">
        <f t="shared" si="327"/>
        <v>3</v>
      </c>
      <c r="D241" s="277" t="str">
        <f>_xlfn.XLOOKUP(A241,[1]SP500!$A$2:$A$502,[1]SP500!$D$2:$D$502,"N")</f>
        <v>Y</v>
      </c>
      <c r="E241" s="275" t="str">
        <f>IFERROR(_xlfn.XLOOKUP(A241,[1]SP500!$A$2:$A$655,[1]SP500!$B$2:$B$655),"")</f>
        <v>XLI</v>
      </c>
      <c r="F241" s="290">
        <v>45778</v>
      </c>
      <c r="G241" s="51" t="str">
        <f t="shared" si="328"/>
        <v>AMC</v>
      </c>
      <c r="H241" s="51" t="str">
        <f t="shared" si="329"/>
        <v>s</v>
      </c>
      <c r="I241" s="344">
        <v>76.209999999999994</v>
      </c>
      <c r="J241" s="123">
        <v>75.989999999999995</v>
      </c>
      <c r="K241" s="55">
        <f t="shared" si="330"/>
        <v>-2.8867602676813917E-3</v>
      </c>
      <c r="L241" s="67">
        <f t="shared" si="331"/>
        <v>-3.2999999999999545</v>
      </c>
      <c r="M241" s="57">
        <f t="shared" si="332"/>
        <v>31.800000000000182</v>
      </c>
      <c r="N241" s="102">
        <f t="shared" si="333"/>
        <v>-3.2999999999999545</v>
      </c>
      <c r="O241" s="57">
        <f>IF(N241="",#N/A,SUM($N$4:N241))</f>
        <v>729.1159246512093</v>
      </c>
      <c r="P241" s="65">
        <f t="shared" si="427"/>
        <v>-4.811267112802279E-2</v>
      </c>
      <c r="Q241" s="172">
        <f>IF($N241="",#N/A,SUM($P$4:P241))</f>
        <v>14.486684895524737</v>
      </c>
      <c r="R241" s="279">
        <f t="shared" si="334"/>
        <v>3.1957799418131394</v>
      </c>
      <c r="S241" s="51" t="str">
        <f t="shared" si="335"/>
        <v>SW</v>
      </c>
      <c r="T241" s="51" t="s">
        <v>2828</v>
      </c>
      <c r="U241" s="56">
        <f t="shared" si="336"/>
        <v>76.209999999999994</v>
      </c>
      <c r="V241" s="56" t="s">
        <v>4460</v>
      </c>
      <c r="W241" s="142">
        <v>15</v>
      </c>
      <c r="X241" s="145">
        <f t="shared" si="337"/>
        <v>1143.1499999999999</v>
      </c>
      <c r="Y241" s="140">
        <f t="shared" si="338"/>
        <v>15</v>
      </c>
      <c r="Z241" s="123">
        <v>78.11</v>
      </c>
      <c r="AA241" s="102">
        <f t="shared" si="339"/>
        <v>28.500000000000227</v>
      </c>
      <c r="AB241" s="102">
        <f t="shared" si="340"/>
        <v>7.8000000000001819</v>
      </c>
      <c r="AC241" s="124">
        <v>76.73</v>
      </c>
      <c r="AD241" s="155">
        <f t="shared" si="341"/>
        <v>7.8000000000001819</v>
      </c>
      <c r="AE241" s="545">
        <f t="shared" si="342"/>
        <v>0.11372085902987628</v>
      </c>
      <c r="AF241" s="57">
        <f>IF($AC241="",#N/A,SUM(AD$4:AD241))</f>
        <v>290.23087220737966</v>
      </c>
      <c r="AG241" s="102">
        <f t="shared" si="343"/>
        <v>11.100000000000136</v>
      </c>
      <c r="AH241" s="56" t="s">
        <v>2507</v>
      </c>
      <c r="AI241" s="65">
        <f t="shared" si="344"/>
        <v>0.41551852337838768</v>
      </c>
      <c r="AJ241" s="350">
        <f>IF(AI241="",#N/A,SUM($AI$4:AI241))</f>
        <v>11.290904953711598</v>
      </c>
      <c r="AK241" s="57">
        <f t="shared" si="345"/>
        <v>28.500000000000227</v>
      </c>
      <c r="AL241" s="349">
        <f>IF(AI241="",#N/A,IF(AH241="Skip",SUM($AK$4:AK241),SUM($AK$4:AK241)))</f>
        <v>508.24759149281454</v>
      </c>
      <c r="AM241" s="65">
        <f t="shared" si="428"/>
        <v>0.11372085902987628</v>
      </c>
      <c r="AN241" s="209"/>
      <c r="AO241" s="65">
        <f t="shared" si="346"/>
        <v>0.11372085902987628</v>
      </c>
      <c r="AP241" s="65">
        <f>IF($AC241="",#N/A,SUM(AO$4:AO241))</f>
        <v>5.6431737850059411</v>
      </c>
      <c r="AQ241" s="65" t="str">
        <f t="shared" si="347"/>
        <v/>
      </c>
      <c r="AR241" s="65">
        <f>IF($AC241="",#N/A,SUM(AQ$4:AQ241))</f>
        <v>-2.2840800066827698</v>
      </c>
      <c r="AS241" s="65" t="str">
        <f t="shared" si="348"/>
        <v/>
      </c>
      <c r="AT241" s="65">
        <f>IF($AC241="",#N/A,SUM(AS$4:AS241))</f>
        <v>1.9640329921477153</v>
      </c>
      <c r="AU241" s="57">
        <f t="shared" si="429"/>
        <v>7.8000000000001819</v>
      </c>
      <c r="AV241" s="57">
        <f>IF($AC241="",#N/A,SUM(AU$4:AU241))</f>
        <v>264.4624906610469</v>
      </c>
      <c r="AW241" s="57" t="str">
        <f t="shared" si="430"/>
        <v/>
      </c>
      <c r="AX241" s="57">
        <f>IF($AC241="",#N/A,SUM(AW$4:AW241))</f>
        <v>-142.90000000000009</v>
      </c>
      <c r="AY241" s="57" t="str">
        <f t="shared" si="431"/>
        <v/>
      </c>
      <c r="AZ241" s="57">
        <f>IF($AC241="",#N/A,SUM(AY$4:AY241))</f>
        <v>168.66838154633285</v>
      </c>
      <c r="BA241" s="57">
        <f>IF(AD241="",#N/A,SUM($AD$4:AD241))</f>
        <v>290.23087220737966</v>
      </c>
      <c r="BC241" s="51" t="str">
        <f t="shared" si="349"/>
        <v/>
      </c>
      <c r="BD241" s="51" t="str">
        <f t="shared" si="350"/>
        <v/>
      </c>
      <c r="BE241" s="51" t="str">
        <f t="shared" si="351"/>
        <v/>
      </c>
      <c r="BF241" s="51" t="str">
        <f t="shared" si="352"/>
        <v>Long</v>
      </c>
      <c r="BG241" s="51" t="str">
        <f t="shared" si="353"/>
        <v/>
      </c>
      <c r="BH241" s="51" t="str">
        <f t="shared" si="354"/>
        <v/>
      </c>
      <c r="BI241" s="51">
        <f t="shared" si="355"/>
        <v>1</v>
      </c>
      <c r="BK241" s="65">
        <f t="shared" si="326"/>
        <v>0.1345292143055265</v>
      </c>
      <c r="BL241" s="65">
        <f t="shared" si="434"/>
        <v>0.21703800094806297</v>
      </c>
      <c r="BM241" s="65">
        <f>IFERROR(Q241/COUNTA($J$4:J241),#N/A)</f>
        <v>6.0868423930776204E-2</v>
      </c>
      <c r="BO241" s="489">
        <f>IF(J241="",#N/A,IF(S241="SW",(COUNTIFS(K$4:$K241,"&gt;0",S$4:$S241,"SW")/COUNTIF(S$4:$S241,"SW")),#N/A))</f>
        <v>0.504</v>
      </c>
      <c r="BP241" s="489" t="e">
        <f>IF($J241="",#N/A,IF($S241="DWN",(COUNTIFS($K$4:$K241,"&lt;0",$S$4:$S241,"DWN")/COUNTIF($S$4:$S241,"DWN")),#N/A))</f>
        <v>#N/A</v>
      </c>
      <c r="BQ241" s="489" t="e">
        <f>IF($J241="",#N/A,IF($S241="UP",(COUNTIFS($K$4:$K241,"&gt;0",$S$4:$S241,"UP")/COUNTIF($S$4:$S241,"UP")),#N/A))</f>
        <v>#N/A</v>
      </c>
      <c r="BR241" s="489">
        <f>IF(J241="",#N/A,COUNTIF($K$4:K241,"&gt;0")/COUNT($J$4:J241))</f>
        <v>0.45798319327731091</v>
      </c>
      <c r="BS241" s="65" t="str">
        <f t="shared" si="356"/>
        <v/>
      </c>
      <c r="BT241" s="65">
        <f t="shared" si="357"/>
        <v>-4.811267112802279E-2</v>
      </c>
      <c r="BU241" s="65" t="str">
        <f t="shared" si="358"/>
        <v/>
      </c>
      <c r="BV241" s="65" t="str">
        <f t="shared" si="359"/>
        <v/>
      </c>
      <c r="BW241" s="128" t="str">
        <f t="shared" si="360"/>
        <v/>
      </c>
      <c r="BX241" s="128">
        <f>IF($J241="",#N/A,SUM($BW$4:BW241))</f>
        <v>-199.33000000000038</v>
      </c>
      <c r="BY241" s="131" t="str">
        <f t="shared" si="361"/>
        <v/>
      </c>
      <c r="BZ241" s="131">
        <f>IF($J241="",#N/A,SUM($BY$4:BY241))</f>
        <v>632.23434038933453</v>
      </c>
      <c r="CA241" s="133">
        <f t="shared" si="362"/>
        <v>-3.2999999999999545</v>
      </c>
      <c r="CB241" s="133">
        <f>IF($J241="",#N/A,SUM($CA$4:CA241))</f>
        <v>296.21158426187515</v>
      </c>
      <c r="CC241" s="194" t="str">
        <f t="shared" si="363"/>
        <v/>
      </c>
      <c r="CD241" s="194">
        <f>IF($J241="",#N/A,SUM($CC$4:CC241))</f>
        <v>-3.0883607473380557</v>
      </c>
      <c r="CE241" s="195" t="str">
        <f t="shared" si="364"/>
        <v/>
      </c>
      <c r="CF241" s="195">
        <f>IF($J241="",#N/A,SUM($CE$4:CE241))</f>
        <v>10.74932703778653</v>
      </c>
      <c r="CG241" s="196">
        <f t="shared" si="365"/>
        <v>-4.811267112802279E-2</v>
      </c>
      <c r="CH241" s="196">
        <f>IF($J241="",#N/A,SUM($CG$4:CG241))</f>
        <v>6.8257186050762684</v>
      </c>
      <c r="CI241" s="200" t="str">
        <f t="shared" si="366"/>
        <v/>
      </c>
      <c r="CJ241" s="203">
        <f>IF($J241="",#N/A,SUM(CI$4:CI241))</f>
        <v>0</v>
      </c>
      <c r="CK241" s="204" t="str">
        <f t="shared" si="367"/>
        <v/>
      </c>
      <c r="CL241" s="204">
        <f>IF($J241="",#N/A,SUM(CK$4:CK241))</f>
        <v>1.9927003554442289</v>
      </c>
      <c r="CM241" s="205" t="str">
        <f t="shared" si="368"/>
        <v/>
      </c>
      <c r="CN241" s="205">
        <f>IF($J241="",#N/A,SUM(CM$4:CM241))</f>
        <v>5.044238105997306</v>
      </c>
      <c r="CO241" s="205">
        <f>IF($J241="",#N/A,SUM(CM$4:CM241,CK$4:CK241,CI$4:CI241))</f>
        <v>7.0369384614415349</v>
      </c>
      <c r="CP241" s="200" t="str">
        <f t="shared" si="369"/>
        <v/>
      </c>
      <c r="CQ241" s="203">
        <f>IF($J241="",#N/A,SUM(CP$4:CP241))</f>
        <v>0</v>
      </c>
      <c r="CR241" s="204" t="str">
        <f t="shared" si="370"/>
        <v/>
      </c>
      <c r="CS241" s="204">
        <f>IF($J241="",#N/A,SUM(CR$4:CR241))</f>
        <v>4.6135245886817966</v>
      </c>
      <c r="CT241" s="205" t="str">
        <f t="shared" si="371"/>
        <v/>
      </c>
      <c r="CU241" s="205">
        <f>IF($J241="",#N/A,SUM(CT$4:CT241))</f>
        <v>-2.9040943753548785</v>
      </c>
      <c r="CV241" s="205">
        <f>IF($J241="",#N/A,SUM(CT$4:CT241,CR$4:CR241,CP$4:CP241))</f>
        <v>1.7094302133269181</v>
      </c>
      <c r="CW241" s="200" t="str">
        <f t="shared" si="372"/>
        <v/>
      </c>
      <c r="CX241" s="203">
        <f>IF($J241="",#N/A,SUM(CW$4:CW241))</f>
        <v>-0.33865165024245297</v>
      </c>
      <c r="CY241" s="204" t="str">
        <f t="shared" si="373"/>
        <v/>
      </c>
      <c r="CZ241" s="204">
        <f>IF($J241="",#N/A,SUM(CY$4:CY241))</f>
        <v>-8.9115263338952644E-2</v>
      </c>
      <c r="DA241" s="205" t="str">
        <f t="shared" si="374"/>
        <v/>
      </c>
      <c r="DB241" s="205">
        <f>IF($J241="",#N/A,SUM(DA$4:DA241))</f>
        <v>-2.2679577914291</v>
      </c>
      <c r="DC241" s="205">
        <f>IF($J241="",#N/A,SUM(DA$4:DA241,CY$4:CY241,CW$4:CW241))</f>
        <v>-2.6957247050105053</v>
      </c>
      <c r="DD241" s="200" t="str">
        <f t="shared" si="375"/>
        <v/>
      </c>
      <c r="DE241" s="203">
        <f>IF($J241="",#N/A,SUM(DD$4:DD241))</f>
        <v>0.14968716170674062</v>
      </c>
      <c r="DF241" s="204" t="str">
        <f t="shared" si="376"/>
        <v/>
      </c>
      <c r="DG241" s="204">
        <f>IF($J241="",#N/A,SUM(DF$4:DF241))</f>
        <v>1.5249935139936004</v>
      </c>
      <c r="DH241" s="205" t="str">
        <f t="shared" si="377"/>
        <v/>
      </c>
      <c r="DI241" s="205">
        <f>IF($J241="",#N/A,SUM(DH$4:DH241))</f>
        <v>-1.9066052078694633</v>
      </c>
      <c r="DJ241" s="205">
        <f>IF($J241="",#N/A,SUM(DH$4:DH241,DF$4:DF241,DD$4:DD241))</f>
        <v>-0.23192453216912207</v>
      </c>
      <c r="DK241" s="200" t="str">
        <f t="shared" si="378"/>
        <v/>
      </c>
      <c r="DL241" s="203">
        <f>IF($J241="",#N/A,SUM(DK$4:DK241))</f>
        <v>-1.2097286851272664</v>
      </c>
      <c r="DM241" s="204" t="str">
        <f t="shared" si="379"/>
        <v/>
      </c>
      <c r="DN241" s="204">
        <f>IF($J241="",#N/A,SUM(DM$4:DM241))</f>
        <v>3.0281848543081331</v>
      </c>
      <c r="DO241" s="205" t="str">
        <f t="shared" si="380"/>
        <v/>
      </c>
      <c r="DP241" s="205">
        <f>IF($J241="",#N/A,SUM(DO$4:DO241))</f>
        <v>2.6571865116636566</v>
      </c>
      <c r="DQ241" s="205">
        <f>IF($J241="",#N/A,SUM(DO$4:DO241,DM$4:DM241,DK$4:DK241))</f>
        <v>4.4756426808445235</v>
      </c>
      <c r="DR241" s="200" t="str">
        <f t="shared" si="381"/>
        <v/>
      </c>
      <c r="DS241" s="203">
        <f>IF($J241="",#N/A,SUM(DR$4:DR241))</f>
        <v>-0.55950946427675097</v>
      </c>
      <c r="DT241" s="204" t="str">
        <f t="shared" si="382"/>
        <v/>
      </c>
      <c r="DU241" s="204">
        <f>IF($J241="",#N/A,SUM(DT$4:DT241))</f>
        <v>-3.6911249040845173</v>
      </c>
      <c r="DV241" s="205" t="str">
        <f t="shared" si="383"/>
        <v/>
      </c>
      <c r="DW241" s="205">
        <f>IF($J241="",#N/A,SUM(DV$4:DV241))</f>
        <v>-1.2815650893103838</v>
      </c>
      <c r="DX241" s="205">
        <f>IF($J241="",#N/A,SUM(DV$4:DV241,DT$4:DT241,DR$4:DR241))</f>
        <v>-5.532199457671652</v>
      </c>
      <c r="DY241" s="200" t="str">
        <f t="shared" si="384"/>
        <v/>
      </c>
      <c r="DZ241" s="203">
        <f>IF($J241="",#N/A,SUM(DY$4:DY241))</f>
        <v>-1.0460034109943892</v>
      </c>
      <c r="EA241" s="204" t="str">
        <f t="shared" si="385"/>
        <v/>
      </c>
      <c r="EB241" s="204">
        <f>IF($J241="",#N/A,SUM(EA$4:EA241))</f>
        <v>0.65158371441459195</v>
      </c>
      <c r="EC241" s="205">
        <f t="shared" si="386"/>
        <v>-4.811267112802279E-2</v>
      </c>
      <c r="ED241" s="205">
        <f>IF($J241="",#N/A,SUM(EC$4:EC241))</f>
        <v>5.0841293998354304</v>
      </c>
      <c r="EE241" s="205">
        <f>IF($J241="",#N/A,SUM(EC$4:EC241,EA$4:EA241,DY$4:DY241))</f>
        <v>4.6897097032556321</v>
      </c>
      <c r="EF241" s="200" t="str">
        <f t="shared" si="387"/>
        <v/>
      </c>
      <c r="EG241" s="203">
        <f>IF($J241="",#N/A,SUM(EF$4:EF241))</f>
        <v>-0.15098969023521425</v>
      </c>
      <c r="EH241" s="204" t="str">
        <f t="shared" si="388"/>
        <v/>
      </c>
      <c r="EI241" s="204">
        <f>IF($J241="",#N/A,SUM(EH$4:EH241))</f>
        <v>-2.8640283518306258</v>
      </c>
      <c r="EJ241" s="205" t="str">
        <f t="shared" si="389"/>
        <v/>
      </c>
      <c r="EK241" s="205">
        <f>IF($J241="",#N/A,SUM(EJ$4:EJ241))</f>
        <v>5.050388173053765</v>
      </c>
      <c r="EL241" s="205">
        <f>IF($J241="",#N/A,SUM(EJ$4:EJ241,EH$4:EH241,EF$4:EF241))</f>
        <v>2.0353701309879249</v>
      </c>
      <c r="EM241" s="200" t="str">
        <f t="shared" si="390"/>
        <v/>
      </c>
      <c r="EN241" s="203">
        <f>IF($J241="",#N/A,SUM(EM$4:EM241))</f>
        <v>0</v>
      </c>
      <c r="EO241" s="204" t="str">
        <f t="shared" si="391"/>
        <v/>
      </c>
      <c r="EP241" s="204">
        <f>IF($J241="",#N/A,SUM(EO$4:EO241))</f>
        <v>3.2406646352184261</v>
      </c>
      <c r="EQ241" s="205" t="str">
        <f t="shared" si="392"/>
        <v/>
      </c>
      <c r="ER241" s="205">
        <f>IF($J241="",#N/A,SUM(EQ$4:EQ241))</f>
        <v>1.441536272249796</v>
      </c>
      <c r="ES241" s="205">
        <f>IF($J241="",#N/A,SUM(EQ$4:EQ241,EO$4:EO241,EM$4:EM241))</f>
        <v>4.6822009074682214</v>
      </c>
      <c r="ET241" s="200" t="str">
        <f t="shared" si="393"/>
        <v/>
      </c>
      <c r="EU241" s="203">
        <f>IF($J241="",#N/A,SUM(ET$4:ET241))</f>
        <v>0</v>
      </c>
      <c r="EV241" s="204" t="str">
        <f t="shared" si="394"/>
        <v/>
      </c>
      <c r="EW241" s="204">
        <f>IF($J241="",#N/A,SUM(EV$4:EV241))</f>
        <v>1.9901851109977766</v>
      </c>
      <c r="EX241" s="205" t="str">
        <f t="shared" si="395"/>
        <v/>
      </c>
      <c r="EY241" s="205">
        <f>IF($J241="",#N/A,SUM(EX$4:EX241))</f>
        <v>0.27113250180669229</v>
      </c>
      <c r="EZ241" s="205">
        <f>IF($J241="",#N/A,SUM(EX$4:EX241,EV$4:EV241,ET$4:ET241))</f>
        <v>2.2613176128044685</v>
      </c>
      <c r="FA241" s="200" t="str">
        <f t="shared" si="396"/>
        <v/>
      </c>
      <c r="FB241" s="203">
        <f>IF($J241="",#N/A,SUM(FA$4:FA241))</f>
        <v>0</v>
      </c>
      <c r="FC241" s="204" t="str">
        <f t="shared" si="397"/>
        <v/>
      </c>
      <c r="FD241" s="204">
        <f>IF($J241="",#N/A,SUM(FC$4:FC241))</f>
        <v>1.8692126759492278</v>
      </c>
      <c r="FE241" s="205" t="str">
        <f t="shared" si="398"/>
        <v/>
      </c>
      <c r="FF241" s="205">
        <f>IF($J241="",#N/A,SUM(FE$4:FE241))</f>
        <v>-0.28811149078748233</v>
      </c>
      <c r="FG241" s="205">
        <f>IF($J241="",#N/A,SUM(FE$4:FE241,FC$4:FC241,FA$4:FA241))</f>
        <v>1.5811011851617456</v>
      </c>
      <c r="FH241" s="200" t="str">
        <f t="shared" si="399"/>
        <v/>
      </c>
      <c r="FI241" s="203">
        <f>IF($J241="",#N/A,SUM(FH$4:FH241))</f>
        <v>0</v>
      </c>
      <c r="FJ241" s="204" t="str">
        <f t="shared" si="400"/>
        <v/>
      </c>
      <c r="FK241" s="204">
        <f>IF($J241="",#N/A,SUM(FJ$4:FJ241))</f>
        <v>0</v>
      </c>
      <c r="FL241" s="205" t="str">
        <f t="shared" si="401"/>
        <v/>
      </c>
      <c r="FM241" s="205">
        <f>IF($J241="",#N/A,SUM(FL$4:FL241))</f>
        <v>0</v>
      </c>
      <c r="FN241" s="205">
        <f>IF($J241="",#N/A,SUM(FL$4:FL241,FJ$4:FJ241,FH$4:FH241))</f>
        <v>0</v>
      </c>
      <c r="FO241" s="200" t="str">
        <f t="shared" si="402"/>
        <v/>
      </c>
      <c r="FP241" s="203">
        <f>IF($J241="",#N/A,SUM(FO$4:FO241))</f>
        <v>0</v>
      </c>
      <c r="FQ241" s="204" t="str">
        <f t="shared" si="403"/>
        <v/>
      </c>
      <c r="FR241" s="204">
        <f>IF($J241="",#N/A,SUM(FQ$4:FQ241))</f>
        <v>0</v>
      </c>
      <c r="FS241" s="205" t="str">
        <f t="shared" si="404"/>
        <v/>
      </c>
      <c r="FT241" s="205">
        <f>IF($J241="",#N/A,SUM(FS$4:FS241))</f>
        <v>0</v>
      </c>
      <c r="FU241" s="205">
        <f>IF($J241="",#N/A,SUM(FS$4:FS241,FQ$4:FQ241,FO$4:FO241))</f>
        <v>0</v>
      </c>
      <c r="FV241" s="200" t="str">
        <f t="shared" si="405"/>
        <v/>
      </c>
      <c r="FW241" s="203">
        <f>IF($J241="",#N/A,SUM(FV$4:FV241))</f>
        <v>6.6834991831277585E-2</v>
      </c>
      <c r="FX241" s="204" t="str">
        <f t="shared" si="406"/>
        <v/>
      </c>
      <c r="FY241" s="204">
        <f>IF($J241="",#N/A,SUM(FX$4:FX241))</f>
        <v>-0.16102012791805576</v>
      </c>
      <c r="FZ241" s="205" t="str">
        <f t="shared" si="407"/>
        <v/>
      </c>
      <c r="GA241" s="205">
        <f>IF($J241="",#N/A,SUM(FZ$4:FZ241))</f>
        <v>-1.1377221770567538</v>
      </c>
      <c r="GB241" s="205">
        <f>IF($J241="",#N/A,SUM(FZ$4:FZ241,FX$4:FX241,FV$4:FV241))</f>
        <v>-1.2319073131435321</v>
      </c>
      <c r="GC241" s="200" t="str">
        <f t="shared" si="408"/>
        <v/>
      </c>
      <c r="GD241" s="203">
        <f>IF($J241="",#N/A,SUM(GC$4:GC241))</f>
        <v>0</v>
      </c>
      <c r="GE241" s="204" t="str">
        <f t="shared" si="409"/>
        <v/>
      </c>
      <c r="GF241" s="204">
        <f>IF($J241="",#N/A,SUM(GE$4:GE241))</f>
        <v>0</v>
      </c>
      <c r="GG241" s="205" t="str">
        <f t="shared" si="410"/>
        <v/>
      </c>
      <c r="GH241" s="205">
        <f>IF($J241="",#N/A,SUM(GG$4:GG241))</f>
        <v>-2.9368362277223206</v>
      </c>
      <c r="GI241" s="205">
        <f>IF($J241="",#N/A,SUM(GG$4:GG241,GE$4:GE241,GC$4:GC241))</f>
        <v>-2.9368362277223206</v>
      </c>
      <c r="GJ241" s="200" t="str">
        <f t="shared" si="411"/>
        <v/>
      </c>
      <c r="GK241" s="203">
        <f>IF($J241="",#N/A,SUM(GJ$4:GJ241))</f>
        <v>0</v>
      </c>
      <c r="GL241" s="204" t="str">
        <f t="shared" si="412"/>
        <v/>
      </c>
      <c r="GM241" s="204">
        <f>IF($J241="",#N/A,SUM(GL$4:GL241))</f>
        <v>-1.6833790887309608</v>
      </c>
      <c r="GN241" s="205" t="str">
        <f t="shared" si="413"/>
        <v/>
      </c>
      <c r="GO241" s="205">
        <f>IF($J241="",#N/A,SUM(GN$4:GN241))</f>
        <v>0</v>
      </c>
      <c r="GP241" s="205">
        <f>IF($J241="",#N/A,SUM(GN$4:GN241,GL$4:GL241,GJ$4:GJ241))</f>
        <v>-1.6833790887309608</v>
      </c>
      <c r="GS241" s="54">
        <f t="shared" si="432"/>
        <v>-4.811267112802279E-2</v>
      </c>
      <c r="GT241" s="54">
        <f>IF(GS241="",NA(),SUM($GS$4:GS241))</f>
        <v>8.3566771455536433</v>
      </c>
      <c r="GU241" s="54" t="str">
        <f t="shared" si="414"/>
        <v/>
      </c>
      <c r="GV241" s="54" t="e">
        <f>IF(GU241="",NA(),SUM($GU$4:GU241))</f>
        <v>#N/A</v>
      </c>
      <c r="GW241" s="54">
        <f t="shared" si="415"/>
        <v>-4.811267112802279E-2</v>
      </c>
      <c r="GX241" s="54">
        <f>IF(GW241="",NA(),SUM($GW$4:GW241))</f>
        <v>8.2327549382879504</v>
      </c>
      <c r="GY241" s="54" t="str">
        <f t="shared" si="416"/>
        <v/>
      </c>
      <c r="GZ241" s="54" t="e">
        <f>IF(GY241="",NA(),SUM($GY$4:GY241))</f>
        <v>#N/A</v>
      </c>
      <c r="HA241" s="54" t="str">
        <f t="shared" si="417"/>
        <v/>
      </c>
      <c r="HB241" s="54" t="e">
        <f>IF(HA241="",NA(),SUM($HA$4:HA241))</f>
        <v>#N/A</v>
      </c>
      <c r="HC241" s="54" t="str">
        <f t="shared" si="418"/>
        <v/>
      </c>
      <c r="HD241" s="54" t="e">
        <f>IF(HC241="",NA(),SUM($HC$4:HC241))</f>
        <v>#N/A</v>
      </c>
      <c r="HE241" s="54" t="str">
        <f t="shared" si="419"/>
        <v/>
      </c>
      <c r="HF241" s="54" t="e">
        <f>IF(HE241="",NA(),SUM($HE$4:HE241))</f>
        <v>#N/A</v>
      </c>
      <c r="HG241" s="54" t="str">
        <f t="shared" si="420"/>
        <v/>
      </c>
      <c r="HH241" s="54" t="e">
        <f>IF(HG241="",NA(),SUM($HG$4:HG241))</f>
        <v>#N/A</v>
      </c>
      <c r="HI241" s="172" t="str">
        <f t="shared" si="433"/>
        <v/>
      </c>
      <c r="HJ241" s="172">
        <f>IF($J241="",#N/A,SUM(HI$4:$HI241))</f>
        <v>-6.9858628260739994</v>
      </c>
      <c r="HK241" s="54" t="str">
        <f t="shared" si="421"/>
        <v/>
      </c>
      <c r="HL241" s="54">
        <f>IF($J241="",#N/A,SUM($HK$4:HK241))</f>
        <v>-1.7994312195648086</v>
      </c>
      <c r="HM241" s="54" t="str">
        <f t="shared" si="422"/>
        <v/>
      </c>
      <c r="HN241" s="54">
        <f>IF($J241="",#N/A,SUM($HM$4:HM241))</f>
        <v>0.90694539517251249</v>
      </c>
      <c r="HO241" s="54" t="str">
        <f t="shared" si="423"/>
        <v/>
      </c>
      <c r="HP241" s="54">
        <f>IF($J241="",#N/A,SUM($HO$4:HO241))</f>
        <v>-0.10266465451722628</v>
      </c>
      <c r="HQ241" s="54" t="str">
        <f t="shared" si="424"/>
        <v/>
      </c>
      <c r="HR241" s="54">
        <f>IF($J241="",#N/A,SUM($HQ$4:HQ241))</f>
        <v>-14.733756886811655</v>
      </c>
      <c r="HS241" s="54">
        <f t="shared" si="425"/>
        <v>0.16183353015789906</v>
      </c>
      <c r="HT241" s="54">
        <f>IF($J241="",#N/A,SUM($HS$4:HS241))</f>
        <v>13.55121206674133</v>
      </c>
      <c r="HU241" s="65">
        <f t="shared" si="426"/>
        <v>0.11372085902987628</v>
      </c>
      <c r="HV241" s="65">
        <f>IF($J241="",#N/A,SUM(HU$4:$HU241))</f>
        <v>5.32312677047089</v>
      </c>
    </row>
    <row r="242" spans="1:230" x14ac:dyDescent="0.25">
      <c r="A242" s="275" t="s">
        <v>1484</v>
      </c>
      <c r="B242" s="52" t="s">
        <v>4563</v>
      </c>
      <c r="C242" s="276">
        <f t="shared" si="327"/>
        <v>3</v>
      </c>
      <c r="D242" s="277" t="str">
        <f>_xlfn.XLOOKUP(A242,[1]SP500!$A$2:$A$502,[1]SP500!$D$2:$D$502,"N")</f>
        <v>Y</v>
      </c>
      <c r="E242" s="275" t="str">
        <f>IFERROR(_xlfn.XLOOKUP(A242,[1]SP500!$A$2:$A$655,[1]SP500!$B$2:$B$655),"")</f>
        <v>XLK</v>
      </c>
      <c r="F242" s="290">
        <v>45778</v>
      </c>
      <c r="G242" s="51" t="str">
        <f t="shared" si="328"/>
        <v>AMC</v>
      </c>
      <c r="H242" s="51" t="str">
        <f t="shared" si="329"/>
        <v>s</v>
      </c>
      <c r="I242" s="344">
        <v>192.36</v>
      </c>
      <c r="J242" s="124">
        <v>172.7</v>
      </c>
      <c r="K242" s="55">
        <f t="shared" si="330"/>
        <v>-0.10220420045747569</v>
      </c>
      <c r="L242" s="67">
        <f t="shared" si="331"/>
        <v>-117.96000000000026</v>
      </c>
      <c r="M242" s="57">
        <f t="shared" si="332"/>
        <v>-6</v>
      </c>
      <c r="N242" s="102">
        <f t="shared" si="333"/>
        <v>-117.96000000000026</v>
      </c>
      <c r="O242" s="57">
        <f>IF(N242="",#N/A,SUM($N$4:N242))</f>
        <v>611.15592465120903</v>
      </c>
      <c r="P242" s="65">
        <f t="shared" si="427"/>
        <v>-1.7034033409579299</v>
      </c>
      <c r="Q242" s="172">
        <f>IF($N242="",#N/A,SUM($P$4:P242))</f>
        <v>12.783281554566807</v>
      </c>
      <c r="R242" s="279">
        <f t="shared" si="334"/>
        <v>3.282423041556676</v>
      </c>
      <c r="S242" s="51" t="str">
        <f t="shared" si="335"/>
        <v>SW</v>
      </c>
      <c r="T242" s="51" t="s">
        <v>2828</v>
      </c>
      <c r="U242" s="56">
        <f t="shared" si="336"/>
        <v>192.36</v>
      </c>
      <c r="V242" s="56" t="s">
        <v>4460</v>
      </c>
      <c r="W242" s="142">
        <v>6</v>
      </c>
      <c r="X242" s="145">
        <f t="shared" si="337"/>
        <v>1154.1600000000001</v>
      </c>
      <c r="Y242" s="140">
        <f t="shared" si="338"/>
        <v>6</v>
      </c>
      <c r="Z242" s="123">
        <v>171.7</v>
      </c>
      <c r="AA242" s="102">
        <f t="shared" si="339"/>
        <v>-123.96000000000026</v>
      </c>
      <c r="AB242" s="102">
        <f t="shared" si="340"/>
        <v>-96.539999999999964</v>
      </c>
      <c r="AC242" s="124">
        <v>176.27</v>
      </c>
      <c r="AD242" s="155">
        <f t="shared" si="341"/>
        <v>-96.539999999999964</v>
      </c>
      <c r="AE242" s="545">
        <f t="shared" si="342"/>
        <v>-1.3940874748735006</v>
      </c>
      <c r="AF242" s="57">
        <f>IF($AC242="",#N/A,SUM(AD$4:AD242))</f>
        <v>193.6908722073797</v>
      </c>
      <c r="AG242" s="102">
        <f t="shared" si="343"/>
        <v>21.4200000000003</v>
      </c>
      <c r="AH242" s="56" t="s">
        <v>2507</v>
      </c>
      <c r="AI242" s="65">
        <f t="shared" si="344"/>
        <v>-1.7900464407014662</v>
      </c>
      <c r="AJ242" s="350">
        <f>IF(AI242="",#N/A,SUM($AI$4:AI242))</f>
        <v>9.5008585130101313</v>
      </c>
      <c r="AK242" s="57">
        <f t="shared" si="345"/>
        <v>-123.96000000000026</v>
      </c>
      <c r="AL242" s="349">
        <f>IF(AI242="",#N/A,IF(AH242="Skip",SUM($AK$4:AK242),SUM($AK$4:AK242)))</f>
        <v>384.28759149281427</v>
      </c>
      <c r="AM242" s="65">
        <f t="shared" si="428"/>
        <v>-1.3940874748735006</v>
      </c>
      <c r="AN242" s="209"/>
      <c r="AO242" s="65">
        <f t="shared" si="346"/>
        <v>-1.3940874748735006</v>
      </c>
      <c r="AP242" s="65">
        <f>IF($AC242="",#N/A,SUM(AO$4:AO242))</f>
        <v>4.2490863101324408</v>
      </c>
      <c r="AQ242" s="65" t="str">
        <f t="shared" si="347"/>
        <v/>
      </c>
      <c r="AR242" s="65">
        <f>IF($AC242="",#N/A,SUM(AQ$4:AQ242))</f>
        <v>-2.2840800066827698</v>
      </c>
      <c r="AS242" s="65" t="str">
        <f t="shared" si="348"/>
        <v/>
      </c>
      <c r="AT242" s="65">
        <f>IF($AC242="",#N/A,SUM(AS$4:AS242))</f>
        <v>1.9640329921477153</v>
      </c>
      <c r="AU242" s="57">
        <f t="shared" si="429"/>
        <v>-96.539999999999964</v>
      </c>
      <c r="AV242" s="57">
        <f>IF($AC242="",#N/A,SUM(AU$4:AU242))</f>
        <v>167.92249066104694</v>
      </c>
      <c r="AW242" s="57" t="str">
        <f t="shared" si="430"/>
        <v/>
      </c>
      <c r="AX242" s="57">
        <f>IF($AC242="",#N/A,SUM(AW$4:AW242))</f>
        <v>-142.90000000000009</v>
      </c>
      <c r="AY242" s="57" t="str">
        <f t="shared" si="431"/>
        <v/>
      </c>
      <c r="AZ242" s="57">
        <f>IF($AC242="",#N/A,SUM(AY$4:AY242))</f>
        <v>168.66838154633285</v>
      </c>
      <c r="BA242" s="57">
        <f>IF(AD242="",#N/A,SUM($AD$4:AD242))</f>
        <v>193.6908722073797</v>
      </c>
      <c r="BC242" s="51" t="str">
        <f t="shared" si="349"/>
        <v/>
      </c>
      <c r="BD242" s="51" t="str">
        <f t="shared" si="350"/>
        <v/>
      </c>
      <c r="BE242" s="51" t="str">
        <f t="shared" si="351"/>
        <v/>
      </c>
      <c r="BF242" s="51" t="str">
        <f t="shared" si="352"/>
        <v>Long</v>
      </c>
      <c r="BG242" s="51" t="str">
        <f t="shared" si="353"/>
        <v/>
      </c>
      <c r="BH242" s="51" t="str">
        <f t="shared" si="354"/>
        <v/>
      </c>
      <c r="BI242" s="51">
        <f t="shared" si="355"/>
        <v>1</v>
      </c>
      <c r="BK242" s="65">
        <f t="shared" si="326"/>
        <v>0.10481743424944778</v>
      </c>
      <c r="BL242" s="65">
        <f t="shared" si="434"/>
        <v>0.12717035661924447</v>
      </c>
      <c r="BM242" s="65">
        <f>IFERROR(Q242/COUNTA($J$4:J242),#N/A)</f>
        <v>5.3486533701116348E-2</v>
      </c>
      <c r="BO242" s="489">
        <f>IF(J242="",#N/A,IF(S242="SW",(COUNTIFS(K$4:$K242,"&gt;0",S$4:$S242,"SW")/COUNTIF(S$4:$S242,"SW")),#N/A))</f>
        <v>0.5</v>
      </c>
      <c r="BP242" s="489" t="e">
        <f>IF($J242="",#N/A,IF($S242="DWN",(COUNTIFS($K$4:$K242,"&lt;0",$S$4:$S242,"DWN")/COUNTIF($S$4:$S242,"DWN")),#N/A))</f>
        <v>#N/A</v>
      </c>
      <c r="BQ242" s="489" t="e">
        <f>IF($J242="",#N/A,IF($S242="UP",(COUNTIFS($K$4:$K242,"&gt;0",$S$4:$S242,"UP")/COUNTIF($S$4:$S242,"UP")),#N/A))</f>
        <v>#N/A</v>
      </c>
      <c r="BR242" s="489">
        <f>IF(J242="",#N/A,COUNTIF($K$4:K242,"&gt;0")/COUNT($J$4:J242))</f>
        <v>0.45606694560669458</v>
      </c>
      <c r="BS242" s="65" t="str">
        <f t="shared" si="356"/>
        <v/>
      </c>
      <c r="BT242" s="65">
        <f t="shared" si="357"/>
        <v>-1.7034033409579299</v>
      </c>
      <c r="BU242" s="65" t="str">
        <f t="shared" si="358"/>
        <v/>
      </c>
      <c r="BV242" s="65" t="str">
        <f t="shared" si="359"/>
        <v/>
      </c>
      <c r="BW242" s="128" t="str">
        <f t="shared" si="360"/>
        <v/>
      </c>
      <c r="BX242" s="128">
        <f>IF($J242="",#N/A,SUM($BW$4:BW242))</f>
        <v>-199.33000000000038</v>
      </c>
      <c r="BY242" s="131" t="str">
        <f t="shared" si="361"/>
        <v/>
      </c>
      <c r="BZ242" s="131">
        <f>IF($J242="",#N/A,SUM($BY$4:BY242))</f>
        <v>632.23434038933453</v>
      </c>
      <c r="CA242" s="133">
        <f t="shared" si="362"/>
        <v>-117.96000000000026</v>
      </c>
      <c r="CB242" s="133">
        <f>IF($J242="",#N/A,SUM($CA$4:CA242))</f>
        <v>178.25158426187488</v>
      </c>
      <c r="CC242" s="194" t="str">
        <f t="shared" si="363"/>
        <v/>
      </c>
      <c r="CD242" s="194">
        <f>IF($J242="",#N/A,SUM($CC$4:CC242))</f>
        <v>-3.0883607473380557</v>
      </c>
      <c r="CE242" s="195" t="str">
        <f t="shared" si="364"/>
        <v/>
      </c>
      <c r="CF242" s="195">
        <f>IF($J242="",#N/A,SUM($CE$4:CE242))</f>
        <v>10.74932703778653</v>
      </c>
      <c r="CG242" s="196">
        <f t="shared" si="365"/>
        <v>-1.7034033409579299</v>
      </c>
      <c r="CH242" s="196">
        <f>IF($J242="",#N/A,SUM($CG$4:CG242))</f>
        <v>5.1223152641183383</v>
      </c>
      <c r="CI242" s="200" t="str">
        <f t="shared" si="366"/>
        <v/>
      </c>
      <c r="CJ242" s="203">
        <f>IF($J242="",#N/A,SUM(CI$4:CI242))</f>
        <v>0</v>
      </c>
      <c r="CK242" s="204" t="str">
        <f t="shared" si="367"/>
        <v/>
      </c>
      <c r="CL242" s="204">
        <f>IF($J242="",#N/A,SUM(CK$4:CK242))</f>
        <v>1.9927003554442289</v>
      </c>
      <c r="CM242" s="205">
        <f t="shared" si="368"/>
        <v>-1.7034033409579299</v>
      </c>
      <c r="CN242" s="205">
        <f>IF($J242="",#N/A,SUM(CM$4:CM242))</f>
        <v>3.3408347650393759</v>
      </c>
      <c r="CO242" s="205">
        <f>IF($J242="",#N/A,SUM(CM$4:CM242,CK$4:CK242,CI$4:CI242))</f>
        <v>5.3335351204836048</v>
      </c>
      <c r="CP242" s="200" t="str">
        <f t="shared" si="369"/>
        <v/>
      </c>
      <c r="CQ242" s="203">
        <f>IF($J242="",#N/A,SUM(CP$4:CP242))</f>
        <v>0</v>
      </c>
      <c r="CR242" s="204" t="str">
        <f t="shared" si="370"/>
        <v/>
      </c>
      <c r="CS242" s="204">
        <f>IF($J242="",#N/A,SUM(CR$4:CR242))</f>
        <v>4.6135245886817966</v>
      </c>
      <c r="CT242" s="205" t="str">
        <f t="shared" si="371"/>
        <v/>
      </c>
      <c r="CU242" s="205">
        <f>IF($J242="",#N/A,SUM(CT$4:CT242))</f>
        <v>-2.9040943753548785</v>
      </c>
      <c r="CV242" s="205">
        <f>IF($J242="",#N/A,SUM(CT$4:CT242,CR$4:CR242,CP$4:CP242))</f>
        <v>1.7094302133269181</v>
      </c>
      <c r="CW242" s="200" t="str">
        <f t="shared" si="372"/>
        <v/>
      </c>
      <c r="CX242" s="203">
        <f>IF($J242="",#N/A,SUM(CW$4:CW242))</f>
        <v>-0.33865165024245297</v>
      </c>
      <c r="CY242" s="204" t="str">
        <f t="shared" si="373"/>
        <v/>
      </c>
      <c r="CZ242" s="204">
        <f>IF($J242="",#N/A,SUM(CY$4:CY242))</f>
        <v>-8.9115263338952644E-2</v>
      </c>
      <c r="DA242" s="205" t="str">
        <f t="shared" si="374"/>
        <v/>
      </c>
      <c r="DB242" s="205">
        <f>IF($J242="",#N/A,SUM(DA$4:DA242))</f>
        <v>-2.2679577914291</v>
      </c>
      <c r="DC242" s="205">
        <f>IF($J242="",#N/A,SUM(DA$4:DA242,CY$4:CY242,CW$4:CW242))</f>
        <v>-2.6957247050105053</v>
      </c>
      <c r="DD242" s="200" t="str">
        <f t="shared" si="375"/>
        <v/>
      </c>
      <c r="DE242" s="203">
        <f>IF($J242="",#N/A,SUM(DD$4:DD242))</f>
        <v>0.14968716170674062</v>
      </c>
      <c r="DF242" s="204" t="str">
        <f t="shared" si="376"/>
        <v/>
      </c>
      <c r="DG242" s="204">
        <f>IF($J242="",#N/A,SUM(DF$4:DF242))</f>
        <v>1.5249935139936004</v>
      </c>
      <c r="DH242" s="205" t="str">
        <f t="shared" si="377"/>
        <v/>
      </c>
      <c r="DI242" s="205">
        <f>IF($J242="",#N/A,SUM(DH$4:DH242))</f>
        <v>-1.9066052078694633</v>
      </c>
      <c r="DJ242" s="205">
        <f>IF($J242="",#N/A,SUM(DH$4:DH242,DF$4:DF242,DD$4:DD242))</f>
        <v>-0.23192453216912207</v>
      </c>
      <c r="DK242" s="200" t="str">
        <f t="shared" si="378"/>
        <v/>
      </c>
      <c r="DL242" s="203">
        <f>IF($J242="",#N/A,SUM(DK$4:DK242))</f>
        <v>-1.2097286851272664</v>
      </c>
      <c r="DM242" s="204" t="str">
        <f t="shared" si="379"/>
        <v/>
      </c>
      <c r="DN242" s="204">
        <f>IF($J242="",#N/A,SUM(DM$4:DM242))</f>
        <v>3.0281848543081331</v>
      </c>
      <c r="DO242" s="205" t="str">
        <f t="shared" si="380"/>
        <v/>
      </c>
      <c r="DP242" s="205">
        <f>IF($J242="",#N/A,SUM(DO$4:DO242))</f>
        <v>2.6571865116636566</v>
      </c>
      <c r="DQ242" s="205">
        <f>IF($J242="",#N/A,SUM(DO$4:DO242,DM$4:DM242,DK$4:DK242))</f>
        <v>4.4756426808445235</v>
      </c>
      <c r="DR242" s="200" t="str">
        <f t="shared" si="381"/>
        <v/>
      </c>
      <c r="DS242" s="203">
        <f>IF($J242="",#N/A,SUM(DR$4:DR242))</f>
        <v>-0.55950946427675097</v>
      </c>
      <c r="DT242" s="204" t="str">
        <f t="shared" si="382"/>
        <v/>
      </c>
      <c r="DU242" s="204">
        <f>IF($J242="",#N/A,SUM(DT$4:DT242))</f>
        <v>-3.6911249040845173</v>
      </c>
      <c r="DV242" s="205" t="str">
        <f t="shared" si="383"/>
        <v/>
      </c>
      <c r="DW242" s="205">
        <f>IF($J242="",#N/A,SUM(DV$4:DV242))</f>
        <v>-1.2815650893103838</v>
      </c>
      <c r="DX242" s="205">
        <f>IF($J242="",#N/A,SUM(DV$4:DV242,DT$4:DT242,DR$4:DR242))</f>
        <v>-5.532199457671652</v>
      </c>
      <c r="DY242" s="200" t="str">
        <f t="shared" si="384"/>
        <v/>
      </c>
      <c r="DZ242" s="203">
        <f>IF($J242="",#N/A,SUM(DY$4:DY242))</f>
        <v>-1.0460034109943892</v>
      </c>
      <c r="EA242" s="204" t="str">
        <f t="shared" si="385"/>
        <v/>
      </c>
      <c r="EB242" s="204">
        <f>IF($J242="",#N/A,SUM(EA$4:EA242))</f>
        <v>0.65158371441459195</v>
      </c>
      <c r="EC242" s="205" t="str">
        <f t="shared" si="386"/>
        <v/>
      </c>
      <c r="ED242" s="205">
        <f>IF($J242="",#N/A,SUM(EC$4:EC242))</f>
        <v>5.0841293998354304</v>
      </c>
      <c r="EE242" s="205">
        <f>IF($J242="",#N/A,SUM(EC$4:EC242,EA$4:EA242,DY$4:DY242))</f>
        <v>4.6897097032556321</v>
      </c>
      <c r="EF242" s="200" t="str">
        <f t="shared" si="387"/>
        <v/>
      </c>
      <c r="EG242" s="203">
        <f>IF($J242="",#N/A,SUM(EF$4:EF242))</f>
        <v>-0.15098969023521425</v>
      </c>
      <c r="EH242" s="204" t="str">
        <f t="shared" si="388"/>
        <v/>
      </c>
      <c r="EI242" s="204">
        <f>IF($J242="",#N/A,SUM(EH$4:EH242))</f>
        <v>-2.8640283518306258</v>
      </c>
      <c r="EJ242" s="205" t="str">
        <f t="shared" si="389"/>
        <v/>
      </c>
      <c r="EK242" s="205">
        <f>IF($J242="",#N/A,SUM(EJ$4:EJ242))</f>
        <v>5.050388173053765</v>
      </c>
      <c r="EL242" s="205">
        <f>IF($J242="",#N/A,SUM(EJ$4:EJ242,EH$4:EH242,EF$4:EF242))</f>
        <v>2.0353701309879249</v>
      </c>
      <c r="EM242" s="200" t="str">
        <f t="shared" si="390"/>
        <v/>
      </c>
      <c r="EN242" s="203">
        <f>IF($J242="",#N/A,SUM(EM$4:EM242))</f>
        <v>0</v>
      </c>
      <c r="EO242" s="204" t="str">
        <f t="shared" si="391"/>
        <v/>
      </c>
      <c r="EP242" s="204">
        <f>IF($J242="",#N/A,SUM(EO$4:EO242))</f>
        <v>3.2406646352184261</v>
      </c>
      <c r="EQ242" s="205" t="str">
        <f t="shared" si="392"/>
        <v/>
      </c>
      <c r="ER242" s="205">
        <f>IF($J242="",#N/A,SUM(EQ$4:EQ242))</f>
        <v>1.441536272249796</v>
      </c>
      <c r="ES242" s="205">
        <f>IF($J242="",#N/A,SUM(EQ$4:EQ242,EO$4:EO242,EM$4:EM242))</f>
        <v>4.6822009074682214</v>
      </c>
      <c r="ET242" s="200" t="str">
        <f t="shared" si="393"/>
        <v/>
      </c>
      <c r="EU242" s="203">
        <f>IF($J242="",#N/A,SUM(ET$4:ET242))</f>
        <v>0</v>
      </c>
      <c r="EV242" s="204" t="str">
        <f t="shared" si="394"/>
        <v/>
      </c>
      <c r="EW242" s="204">
        <f>IF($J242="",#N/A,SUM(EV$4:EV242))</f>
        <v>1.9901851109977766</v>
      </c>
      <c r="EX242" s="205" t="str">
        <f t="shared" si="395"/>
        <v/>
      </c>
      <c r="EY242" s="205">
        <f>IF($J242="",#N/A,SUM(EX$4:EX242))</f>
        <v>0.27113250180669229</v>
      </c>
      <c r="EZ242" s="205">
        <f>IF($J242="",#N/A,SUM(EX$4:EX242,EV$4:EV242,ET$4:ET242))</f>
        <v>2.2613176128044685</v>
      </c>
      <c r="FA242" s="200" t="str">
        <f t="shared" si="396"/>
        <v/>
      </c>
      <c r="FB242" s="203">
        <f>IF($J242="",#N/A,SUM(FA$4:FA242))</f>
        <v>0</v>
      </c>
      <c r="FC242" s="204" t="str">
        <f t="shared" si="397"/>
        <v/>
      </c>
      <c r="FD242" s="204">
        <f>IF($J242="",#N/A,SUM(FC$4:FC242))</f>
        <v>1.8692126759492278</v>
      </c>
      <c r="FE242" s="205" t="str">
        <f t="shared" si="398"/>
        <v/>
      </c>
      <c r="FF242" s="205">
        <f>IF($J242="",#N/A,SUM(FE$4:FE242))</f>
        <v>-0.28811149078748233</v>
      </c>
      <c r="FG242" s="205">
        <f>IF($J242="",#N/A,SUM(FE$4:FE242,FC$4:FC242,FA$4:FA242))</f>
        <v>1.5811011851617456</v>
      </c>
      <c r="FH242" s="200" t="str">
        <f t="shared" si="399"/>
        <v/>
      </c>
      <c r="FI242" s="203">
        <f>IF($J242="",#N/A,SUM(FH$4:FH242))</f>
        <v>0</v>
      </c>
      <c r="FJ242" s="204" t="str">
        <f t="shared" si="400"/>
        <v/>
      </c>
      <c r="FK242" s="204">
        <f>IF($J242="",#N/A,SUM(FJ$4:FJ242))</f>
        <v>0</v>
      </c>
      <c r="FL242" s="205" t="str">
        <f t="shared" si="401"/>
        <v/>
      </c>
      <c r="FM242" s="205">
        <f>IF($J242="",#N/A,SUM(FL$4:FL242))</f>
        <v>0</v>
      </c>
      <c r="FN242" s="205">
        <f>IF($J242="",#N/A,SUM(FL$4:FL242,FJ$4:FJ242,FH$4:FH242))</f>
        <v>0</v>
      </c>
      <c r="FO242" s="200" t="str">
        <f t="shared" si="402"/>
        <v/>
      </c>
      <c r="FP242" s="203">
        <f>IF($J242="",#N/A,SUM(FO$4:FO242))</f>
        <v>0</v>
      </c>
      <c r="FQ242" s="204" t="str">
        <f t="shared" si="403"/>
        <v/>
      </c>
      <c r="FR242" s="204">
        <f>IF($J242="",#N/A,SUM(FQ$4:FQ242))</f>
        <v>0</v>
      </c>
      <c r="FS242" s="205" t="str">
        <f t="shared" si="404"/>
        <v/>
      </c>
      <c r="FT242" s="205">
        <f>IF($J242="",#N/A,SUM(FS$4:FS242))</f>
        <v>0</v>
      </c>
      <c r="FU242" s="205">
        <f>IF($J242="",#N/A,SUM(FS$4:FS242,FQ$4:FQ242,FO$4:FO242))</f>
        <v>0</v>
      </c>
      <c r="FV242" s="200" t="str">
        <f t="shared" si="405"/>
        <v/>
      </c>
      <c r="FW242" s="203">
        <f>IF($J242="",#N/A,SUM(FV$4:FV242))</f>
        <v>6.6834991831277585E-2</v>
      </c>
      <c r="FX242" s="204" t="str">
        <f t="shared" si="406"/>
        <v/>
      </c>
      <c r="FY242" s="204">
        <f>IF($J242="",#N/A,SUM(FX$4:FX242))</f>
        <v>-0.16102012791805576</v>
      </c>
      <c r="FZ242" s="205" t="str">
        <f t="shared" si="407"/>
        <v/>
      </c>
      <c r="GA242" s="205">
        <f>IF($J242="",#N/A,SUM(FZ$4:FZ242))</f>
        <v>-1.1377221770567538</v>
      </c>
      <c r="GB242" s="205">
        <f>IF($J242="",#N/A,SUM(FZ$4:FZ242,FX$4:FX242,FV$4:FV242))</f>
        <v>-1.2319073131435321</v>
      </c>
      <c r="GC242" s="200" t="str">
        <f t="shared" si="408"/>
        <v/>
      </c>
      <c r="GD242" s="203">
        <f>IF($J242="",#N/A,SUM(GC$4:GC242))</f>
        <v>0</v>
      </c>
      <c r="GE242" s="204" t="str">
        <f t="shared" si="409"/>
        <v/>
      </c>
      <c r="GF242" s="204">
        <f>IF($J242="",#N/A,SUM(GE$4:GE242))</f>
        <v>0</v>
      </c>
      <c r="GG242" s="205" t="str">
        <f t="shared" si="410"/>
        <v/>
      </c>
      <c r="GH242" s="205">
        <f>IF($J242="",#N/A,SUM(GG$4:GG242))</f>
        <v>-2.9368362277223206</v>
      </c>
      <c r="GI242" s="205">
        <f>IF($J242="",#N/A,SUM(GG$4:GG242,GE$4:GE242,GC$4:GC242))</f>
        <v>-2.9368362277223206</v>
      </c>
      <c r="GJ242" s="200" t="str">
        <f t="shared" si="411"/>
        <v/>
      </c>
      <c r="GK242" s="203">
        <f>IF($J242="",#N/A,SUM(GJ$4:GJ242))</f>
        <v>0</v>
      </c>
      <c r="GL242" s="204" t="str">
        <f t="shared" si="412"/>
        <v/>
      </c>
      <c r="GM242" s="204">
        <f>IF($J242="",#N/A,SUM(GL$4:GL242))</f>
        <v>-1.6833790887309608</v>
      </c>
      <c r="GN242" s="205" t="str">
        <f t="shared" si="413"/>
        <v/>
      </c>
      <c r="GO242" s="205">
        <f>IF($J242="",#N/A,SUM(GN$4:GN242))</f>
        <v>0</v>
      </c>
      <c r="GP242" s="205">
        <f>IF($J242="",#N/A,SUM(GN$4:GN242,GL$4:GL242,GJ$4:GJ242))</f>
        <v>-1.6833790887309608</v>
      </c>
      <c r="GS242" s="54">
        <f t="shared" si="432"/>
        <v>-1.7034033409579299</v>
      </c>
      <c r="GT242" s="54">
        <f>IF(GS242="",NA(),SUM($GS$4:GS242))</f>
        <v>6.6532738045957132</v>
      </c>
      <c r="GU242" s="54" t="str">
        <f t="shared" si="414"/>
        <v/>
      </c>
      <c r="GV242" s="54" t="e">
        <f>IF(GU242="",NA(),SUM($GU$4:GU242))</f>
        <v>#N/A</v>
      </c>
      <c r="GW242" s="54">
        <f t="shared" si="415"/>
        <v>-1.7034033409579299</v>
      </c>
      <c r="GX242" s="54">
        <f>IF(GW242="",NA(),SUM($GW$4:GW242))</f>
        <v>6.5293515973300202</v>
      </c>
      <c r="GY242" s="54" t="str">
        <f t="shared" si="416"/>
        <v/>
      </c>
      <c r="GZ242" s="54" t="e">
        <f>IF(GY242="",NA(),SUM($GY$4:GY242))</f>
        <v>#N/A</v>
      </c>
      <c r="HA242" s="54" t="str">
        <f t="shared" si="417"/>
        <v/>
      </c>
      <c r="HB242" s="54" t="e">
        <f>IF(HA242="",NA(),SUM($HA$4:HA242))</f>
        <v>#N/A</v>
      </c>
      <c r="HC242" s="54" t="str">
        <f t="shared" si="418"/>
        <v/>
      </c>
      <c r="HD242" s="54" t="e">
        <f>IF(HC242="",NA(),SUM($HC$4:HC242))</f>
        <v>#N/A</v>
      </c>
      <c r="HE242" s="54" t="str">
        <f t="shared" si="419"/>
        <v/>
      </c>
      <c r="HF242" s="54" t="e">
        <f>IF(HE242="",NA(),SUM($HE$4:HE242))</f>
        <v>#N/A</v>
      </c>
      <c r="HG242" s="54" t="str">
        <f t="shared" si="420"/>
        <v/>
      </c>
      <c r="HH242" s="54" t="e">
        <f>IF(HG242="",NA(),SUM($HG$4:HG242))</f>
        <v>#N/A</v>
      </c>
      <c r="HI242" s="172" t="str">
        <f t="shared" si="433"/>
        <v/>
      </c>
      <c r="HJ242" s="172">
        <f>IF($J242="",#N/A,SUM(HI$4:$HI242))</f>
        <v>-6.9858628260739994</v>
      </c>
      <c r="HK242" s="54" t="str">
        <f t="shared" si="421"/>
        <v/>
      </c>
      <c r="HL242" s="54">
        <f>IF($J242="",#N/A,SUM($HK$4:HK242))</f>
        <v>-1.7994312195648086</v>
      </c>
      <c r="HM242" s="54" t="str">
        <f t="shared" si="422"/>
        <v/>
      </c>
      <c r="HN242" s="54">
        <f>IF($J242="",#N/A,SUM($HM$4:HM242))</f>
        <v>0.90694539517251249</v>
      </c>
      <c r="HO242" s="54" t="str">
        <f t="shared" si="423"/>
        <v/>
      </c>
      <c r="HP242" s="54">
        <f>IF($J242="",#N/A,SUM($HO$4:HO242))</f>
        <v>-0.10266465451722628</v>
      </c>
      <c r="HQ242" s="54" t="str">
        <f t="shared" si="424"/>
        <v/>
      </c>
      <c r="HR242" s="54">
        <f>IF($J242="",#N/A,SUM($HQ$4:HQ242))</f>
        <v>-14.733756886811655</v>
      </c>
      <c r="HS242" s="54">
        <f t="shared" si="425"/>
        <v>0.30931586608442929</v>
      </c>
      <c r="HT242" s="54">
        <f>IF($J242="",#N/A,SUM($HS$4:HS242))</f>
        <v>13.860527932825759</v>
      </c>
      <c r="HU242" s="65">
        <f t="shared" si="426"/>
        <v>-1.3940874748735006</v>
      </c>
      <c r="HV242" s="65">
        <f>IF($J242="",#N/A,SUM(HU$4:$HU242))</f>
        <v>3.9290392955973896</v>
      </c>
    </row>
    <row r="243" spans="1:230" x14ac:dyDescent="0.25">
      <c r="A243" s="59" t="s">
        <v>873</v>
      </c>
      <c r="B243" s="52" t="s">
        <v>4563</v>
      </c>
      <c r="C243" s="229">
        <f t="shared" si="327"/>
        <v>3</v>
      </c>
      <c r="D243" s="220" t="str">
        <f>_xlfn.XLOOKUP(A243,[1]SP500!$A$2:$A$502,[1]SP500!$D$2:$D$502,"N")</f>
        <v>Y</v>
      </c>
      <c r="E243" s="59" t="str">
        <f>IFERROR(_xlfn.XLOOKUP(A243,[1]SP500!$A$2:$A$655,[1]SP500!$B$2:$B$655),"")</f>
        <v>XLC</v>
      </c>
      <c r="F243" s="290">
        <v>45778</v>
      </c>
      <c r="G243" s="59" t="str">
        <f t="shared" si="328"/>
        <v>AMC</v>
      </c>
      <c r="H243" s="59" t="str">
        <f t="shared" si="329"/>
        <v>s</v>
      </c>
      <c r="I243" s="376">
        <v>131.34</v>
      </c>
      <c r="J243" s="125">
        <v>131.68</v>
      </c>
      <c r="K243" s="60">
        <f t="shared" si="330"/>
        <v>2.5887010811634185E-3</v>
      </c>
      <c r="L243" s="68">
        <f t="shared" si="331"/>
        <v>2.7200000000000273</v>
      </c>
      <c r="M243" s="57">
        <f t="shared" si="332"/>
        <v>0</v>
      </c>
      <c r="N243" s="63">
        <f t="shared" si="333"/>
        <v>2.7200000000000273</v>
      </c>
      <c r="O243" s="62">
        <f>IF(N243="",#N/A,SUM($N$4:N243))</f>
        <v>613.87592465120906</v>
      </c>
      <c r="P243" s="65">
        <f t="shared" si="427"/>
        <v>4.3145018019390309E-2</v>
      </c>
      <c r="Q243" s="183">
        <f>IF($N243="",#N/A,SUM($P$4:P243))</f>
        <v>12.826426572586197</v>
      </c>
      <c r="R243" s="279">
        <f t="shared" si="334"/>
        <v>3.282423041556676</v>
      </c>
      <c r="S243" s="51" t="str">
        <f t="shared" si="335"/>
        <v>SW</v>
      </c>
      <c r="T243" s="59" t="s">
        <v>2828</v>
      </c>
      <c r="U243" s="56">
        <f t="shared" si="336"/>
        <v>131.34</v>
      </c>
      <c r="V243" s="61" t="s">
        <v>4460</v>
      </c>
      <c r="W243" s="142">
        <v>8</v>
      </c>
      <c r="X243" s="146">
        <f t="shared" si="337"/>
        <v>1050.72</v>
      </c>
      <c r="Y243" s="140">
        <f t="shared" si="338"/>
        <v>8</v>
      </c>
      <c r="Z243" s="123">
        <v>131.68</v>
      </c>
      <c r="AA243" s="102">
        <f t="shared" si="339"/>
        <v>2.7200000000000273</v>
      </c>
      <c r="AB243" s="102">
        <f t="shared" si="340"/>
        <v>19.440000000000055</v>
      </c>
      <c r="AC243" s="125">
        <v>133.77000000000001</v>
      </c>
      <c r="AD243" s="148">
        <f t="shared" si="341"/>
        <v>19.440000000000055</v>
      </c>
      <c r="AE243" s="544">
        <f t="shared" si="342"/>
        <v>0.30835998172681678</v>
      </c>
      <c r="AF243" s="62">
        <f>IF($AC243="",#N/A,SUM(AD$4:AD243))</f>
        <v>213.13087220737975</v>
      </c>
      <c r="AG243" s="102">
        <f t="shared" si="343"/>
        <v>16.720000000000027</v>
      </c>
      <c r="AH243" s="61" t="s">
        <v>2507</v>
      </c>
      <c r="AI243" s="65">
        <f t="shared" si="344"/>
        <v>4.3145018019390309E-2</v>
      </c>
      <c r="AJ243" s="383">
        <f>IF(AI243="",#N/A,SUM($AI$4:AI243))</f>
        <v>9.5440035310295208</v>
      </c>
      <c r="AK243" s="62">
        <f t="shared" si="345"/>
        <v>2.7200000000000273</v>
      </c>
      <c r="AL243" s="351">
        <f>IF(AI243="",#N/A,IF(AH243="Skip",SUM($AK$4:AK243),SUM($AK$4:AK243)))</f>
        <v>387.0075914928143</v>
      </c>
      <c r="AM243" s="65">
        <f t="shared" si="428"/>
        <v>0.30835998172681678</v>
      </c>
      <c r="AN243" s="209"/>
      <c r="AO243" s="64">
        <f t="shared" si="346"/>
        <v>0.30835998172681678</v>
      </c>
      <c r="AP243" s="65">
        <f>IF($AC243="",#N/A,SUM(AO$4:AO243))</f>
        <v>4.5574462918592573</v>
      </c>
      <c r="AQ243" s="64" t="str">
        <f t="shared" si="347"/>
        <v/>
      </c>
      <c r="AR243" s="65">
        <f>IF($AC243="",#N/A,SUM(AQ$4:AQ243))</f>
        <v>-2.2840800066827698</v>
      </c>
      <c r="AS243" s="64" t="str">
        <f t="shared" si="348"/>
        <v/>
      </c>
      <c r="AT243" s="65">
        <f>IF($AC243="",#N/A,SUM(AS$4:AS243))</f>
        <v>1.9640329921477153</v>
      </c>
      <c r="AU243" s="62">
        <f t="shared" si="429"/>
        <v>19.440000000000055</v>
      </c>
      <c r="AV243" s="62">
        <f>IF($AC243="",#N/A,SUM(AU$4:AU243))</f>
        <v>187.36249066104699</v>
      </c>
      <c r="AW243" s="62" t="str">
        <f t="shared" si="430"/>
        <v/>
      </c>
      <c r="AX243" s="62">
        <f>IF($AC243="",#N/A,SUM(AW$4:AW243))</f>
        <v>-142.90000000000009</v>
      </c>
      <c r="AY243" s="62" t="str">
        <f t="shared" si="431"/>
        <v/>
      </c>
      <c r="AZ243" s="62">
        <f>IF($AC243="",#N/A,SUM(AY$4:AY243))</f>
        <v>168.66838154633285</v>
      </c>
      <c r="BA243" s="62">
        <f>IF(AD243="",#N/A,SUM($AD$4:AD243))</f>
        <v>213.13087220737975</v>
      </c>
      <c r="BC243" s="59" t="str">
        <f t="shared" si="349"/>
        <v/>
      </c>
      <c r="BD243" s="59" t="str">
        <f t="shared" si="350"/>
        <v/>
      </c>
      <c r="BE243" s="59">
        <f t="shared" si="351"/>
        <v>1</v>
      </c>
      <c r="BF243" s="59" t="str">
        <f t="shared" si="352"/>
        <v>Long</v>
      </c>
      <c r="BG243" s="59" t="str">
        <f t="shared" si="353"/>
        <v/>
      </c>
      <c r="BH243" s="59" t="str">
        <f t="shared" si="354"/>
        <v/>
      </c>
      <c r="BI243" s="59" t="str">
        <f t="shared" si="355"/>
        <v/>
      </c>
      <c r="BK243" s="65">
        <f t="shared" si="326"/>
        <v>9.2003554592188092E-2</v>
      </c>
      <c r="BL243" s="65">
        <f t="shared" si="434"/>
        <v>0.18411415115731031</v>
      </c>
      <c r="BM243" s="65">
        <f>IFERROR(Q243/COUNTA($J$4:J243),#N/A)</f>
        <v>5.3443444052442488E-2</v>
      </c>
      <c r="BO243" s="489">
        <f>IF(J243="",#N/A,IF(S243="SW",(COUNTIFS(K$4:$K243,"&gt;0",S$4:$S243,"SW")/COUNTIF(S$4:$S243,"SW")),#N/A))</f>
        <v>0.50393700787401574</v>
      </c>
      <c r="BP243" s="489" t="e">
        <f>IF($J243="",#N/A,IF($S243="DWN",(COUNTIFS($K$4:$K243,"&lt;0",$S$4:$S243,"DWN")/COUNTIF($S$4:$S243,"DWN")),#N/A))</f>
        <v>#N/A</v>
      </c>
      <c r="BQ243" s="489" t="e">
        <f>IF($J243="",#N/A,IF($S243="UP",(COUNTIFS($K$4:$K243,"&gt;0",$S$4:$S243,"UP")/COUNTIF($S$4:$S243,"UP")),#N/A))</f>
        <v>#N/A</v>
      </c>
      <c r="BR243" s="489">
        <f>IF(J243="",#N/A,COUNTIF($K$4:K243,"&gt;0")/COUNT($J$4:J243))</f>
        <v>0.45833333333333331</v>
      </c>
      <c r="BS243" s="65">
        <f t="shared" si="356"/>
        <v>4.3145018019390309E-2</v>
      </c>
      <c r="BT243" s="65" t="str">
        <f t="shared" si="357"/>
        <v/>
      </c>
      <c r="BU243" s="65" t="str">
        <f t="shared" si="358"/>
        <v/>
      </c>
      <c r="BV243" s="65" t="str">
        <f t="shared" si="359"/>
        <v/>
      </c>
      <c r="BW243" s="128" t="str">
        <f t="shared" si="360"/>
        <v/>
      </c>
      <c r="BX243" s="128">
        <f>IF($J243="",#N/A,SUM($BW$4:BW243))</f>
        <v>-199.33000000000038</v>
      </c>
      <c r="BY243" s="131" t="str">
        <f t="shared" si="361"/>
        <v/>
      </c>
      <c r="BZ243" s="131">
        <f>IF($J243="",#N/A,SUM($BY$4:BY243))</f>
        <v>632.23434038933453</v>
      </c>
      <c r="CA243" s="133">
        <f t="shared" si="362"/>
        <v>2.7200000000000273</v>
      </c>
      <c r="CB243" s="133">
        <f>IF($J243="",#N/A,SUM($CA$4:CA243))</f>
        <v>180.97158426187491</v>
      </c>
      <c r="CC243" s="194" t="str">
        <f t="shared" si="363"/>
        <v/>
      </c>
      <c r="CD243" s="194">
        <f>IF($J243="",#N/A,SUM($CC$4:CC243))</f>
        <v>-3.0883607473380557</v>
      </c>
      <c r="CE243" s="195" t="str">
        <f t="shared" si="364"/>
        <v/>
      </c>
      <c r="CF243" s="195">
        <f>IF($J243="",#N/A,SUM($CE$4:CE243))</f>
        <v>10.74932703778653</v>
      </c>
      <c r="CG243" s="196">
        <f t="shared" si="365"/>
        <v>4.3145018019390309E-2</v>
      </c>
      <c r="CH243" s="196">
        <f>IF($J243="",#N/A,SUM($CG$4:CG243))</f>
        <v>5.1654602821377287</v>
      </c>
      <c r="CI243" s="200" t="str">
        <f t="shared" si="366"/>
        <v/>
      </c>
      <c r="CJ243" s="203">
        <f>IF($J243="",#N/A,SUM(CI$4:CI243))</f>
        <v>0</v>
      </c>
      <c r="CK243" s="204" t="str">
        <f t="shared" si="367"/>
        <v/>
      </c>
      <c r="CL243" s="204">
        <f>IF($J243="",#N/A,SUM(CK$4:CK243))</f>
        <v>1.9927003554442289</v>
      </c>
      <c r="CM243" s="205" t="str">
        <f t="shared" si="368"/>
        <v/>
      </c>
      <c r="CN243" s="205">
        <f>IF($J243="",#N/A,SUM(CM$4:CM243))</f>
        <v>3.3408347650393759</v>
      </c>
      <c r="CO243" s="205">
        <f>IF($J243="",#N/A,SUM(CM$4:CM243,CK$4:CK243,CI$4:CI243))</f>
        <v>5.3335351204836048</v>
      </c>
      <c r="CP243" s="200" t="str">
        <f t="shared" si="369"/>
        <v/>
      </c>
      <c r="CQ243" s="203">
        <f>IF($J243="",#N/A,SUM(CP$4:CP243))</f>
        <v>0</v>
      </c>
      <c r="CR243" s="204" t="str">
        <f t="shared" si="370"/>
        <v/>
      </c>
      <c r="CS243" s="204">
        <f>IF($J243="",#N/A,SUM(CR$4:CR243))</f>
        <v>4.6135245886817966</v>
      </c>
      <c r="CT243" s="205" t="str">
        <f t="shared" si="371"/>
        <v/>
      </c>
      <c r="CU243" s="205">
        <f>IF($J243="",#N/A,SUM(CT$4:CT243))</f>
        <v>-2.9040943753548785</v>
      </c>
      <c r="CV243" s="205">
        <f>IF($J243="",#N/A,SUM(CT$4:CT243,CR$4:CR243,CP$4:CP243))</f>
        <v>1.7094302133269181</v>
      </c>
      <c r="CW243" s="200" t="str">
        <f t="shared" si="372"/>
        <v/>
      </c>
      <c r="CX243" s="203">
        <f>IF($J243="",#N/A,SUM(CW$4:CW243))</f>
        <v>-0.33865165024245297</v>
      </c>
      <c r="CY243" s="204" t="str">
        <f t="shared" si="373"/>
        <v/>
      </c>
      <c r="CZ243" s="204">
        <f>IF($J243="",#N/A,SUM(CY$4:CY243))</f>
        <v>-8.9115263338952644E-2</v>
      </c>
      <c r="DA243" s="205" t="str">
        <f t="shared" si="374"/>
        <v/>
      </c>
      <c r="DB243" s="205">
        <f>IF($J243="",#N/A,SUM(DA$4:DA243))</f>
        <v>-2.2679577914291</v>
      </c>
      <c r="DC243" s="205">
        <f>IF($J243="",#N/A,SUM(DA$4:DA243,CY$4:CY243,CW$4:CW243))</f>
        <v>-2.6957247050105053</v>
      </c>
      <c r="DD243" s="200" t="str">
        <f t="shared" si="375"/>
        <v/>
      </c>
      <c r="DE243" s="203">
        <f>IF($J243="",#N/A,SUM(DD$4:DD243))</f>
        <v>0.14968716170674062</v>
      </c>
      <c r="DF243" s="204" t="str">
        <f t="shared" si="376"/>
        <v/>
      </c>
      <c r="DG243" s="204">
        <f>IF($J243="",#N/A,SUM(DF$4:DF243))</f>
        <v>1.5249935139936004</v>
      </c>
      <c r="DH243" s="205" t="str">
        <f t="shared" si="377"/>
        <v/>
      </c>
      <c r="DI243" s="205">
        <f>IF($J243="",#N/A,SUM(DH$4:DH243))</f>
        <v>-1.9066052078694633</v>
      </c>
      <c r="DJ243" s="205">
        <f>IF($J243="",#N/A,SUM(DH$4:DH243,DF$4:DF243,DD$4:DD243))</f>
        <v>-0.23192453216912207</v>
      </c>
      <c r="DK243" s="200" t="str">
        <f t="shared" si="378"/>
        <v/>
      </c>
      <c r="DL243" s="203">
        <f>IF($J243="",#N/A,SUM(DK$4:DK243))</f>
        <v>-1.2097286851272664</v>
      </c>
      <c r="DM243" s="204" t="str">
        <f t="shared" si="379"/>
        <v/>
      </c>
      <c r="DN243" s="204">
        <f>IF($J243="",#N/A,SUM(DM$4:DM243))</f>
        <v>3.0281848543081331</v>
      </c>
      <c r="DO243" s="205">
        <f t="shared" si="380"/>
        <v>4.3145018019390309E-2</v>
      </c>
      <c r="DP243" s="205">
        <f>IF($J243="",#N/A,SUM(DO$4:DO243))</f>
        <v>2.700331529683047</v>
      </c>
      <c r="DQ243" s="205">
        <f>IF($J243="",#N/A,SUM(DO$4:DO243,DM$4:DM243,DK$4:DK243))</f>
        <v>4.518787698863914</v>
      </c>
      <c r="DR243" s="200" t="str">
        <f t="shared" si="381"/>
        <v/>
      </c>
      <c r="DS243" s="203">
        <f>IF($J243="",#N/A,SUM(DR$4:DR243))</f>
        <v>-0.55950946427675097</v>
      </c>
      <c r="DT243" s="204" t="str">
        <f t="shared" si="382"/>
        <v/>
      </c>
      <c r="DU243" s="204">
        <f>IF($J243="",#N/A,SUM(DT$4:DT243))</f>
        <v>-3.6911249040845173</v>
      </c>
      <c r="DV243" s="205" t="str">
        <f t="shared" si="383"/>
        <v/>
      </c>
      <c r="DW243" s="205">
        <f>IF($J243="",#N/A,SUM(DV$4:DV243))</f>
        <v>-1.2815650893103838</v>
      </c>
      <c r="DX243" s="205">
        <f>IF($J243="",#N/A,SUM(DV$4:DV243,DT$4:DT243,DR$4:DR243))</f>
        <v>-5.532199457671652</v>
      </c>
      <c r="DY243" s="200" t="str">
        <f t="shared" si="384"/>
        <v/>
      </c>
      <c r="DZ243" s="203">
        <f>IF($J243="",#N/A,SUM(DY$4:DY243))</f>
        <v>-1.0460034109943892</v>
      </c>
      <c r="EA243" s="204" t="str">
        <f t="shared" si="385"/>
        <v/>
      </c>
      <c r="EB243" s="204">
        <f>IF($J243="",#N/A,SUM(EA$4:EA243))</f>
        <v>0.65158371441459195</v>
      </c>
      <c r="EC243" s="205" t="str">
        <f t="shared" si="386"/>
        <v/>
      </c>
      <c r="ED243" s="205">
        <f>IF($J243="",#N/A,SUM(EC$4:EC243))</f>
        <v>5.0841293998354304</v>
      </c>
      <c r="EE243" s="205">
        <f>IF($J243="",#N/A,SUM(EC$4:EC243,EA$4:EA243,DY$4:DY243))</f>
        <v>4.6897097032556321</v>
      </c>
      <c r="EF243" s="200" t="str">
        <f t="shared" si="387"/>
        <v/>
      </c>
      <c r="EG243" s="203">
        <f>IF($J243="",#N/A,SUM(EF$4:EF243))</f>
        <v>-0.15098969023521425</v>
      </c>
      <c r="EH243" s="204" t="str">
        <f t="shared" si="388"/>
        <v/>
      </c>
      <c r="EI243" s="204">
        <f>IF($J243="",#N/A,SUM(EH$4:EH243))</f>
        <v>-2.8640283518306258</v>
      </c>
      <c r="EJ243" s="205" t="str">
        <f t="shared" si="389"/>
        <v/>
      </c>
      <c r="EK243" s="205">
        <f>IF($J243="",#N/A,SUM(EJ$4:EJ243))</f>
        <v>5.050388173053765</v>
      </c>
      <c r="EL243" s="205">
        <f>IF($J243="",#N/A,SUM(EJ$4:EJ243,EH$4:EH243,EF$4:EF243))</f>
        <v>2.0353701309879249</v>
      </c>
      <c r="EM243" s="200" t="str">
        <f t="shared" si="390"/>
        <v/>
      </c>
      <c r="EN243" s="203">
        <f>IF($J243="",#N/A,SUM(EM$4:EM243))</f>
        <v>0</v>
      </c>
      <c r="EO243" s="204" t="str">
        <f t="shared" si="391"/>
        <v/>
      </c>
      <c r="EP243" s="204">
        <f>IF($J243="",#N/A,SUM(EO$4:EO243))</f>
        <v>3.2406646352184261</v>
      </c>
      <c r="EQ243" s="205" t="str">
        <f t="shared" si="392"/>
        <v/>
      </c>
      <c r="ER243" s="205">
        <f>IF($J243="",#N/A,SUM(EQ$4:EQ243))</f>
        <v>1.441536272249796</v>
      </c>
      <c r="ES243" s="205">
        <f>IF($J243="",#N/A,SUM(EQ$4:EQ243,EO$4:EO243,EM$4:EM243))</f>
        <v>4.6822009074682214</v>
      </c>
      <c r="ET243" s="200" t="str">
        <f t="shared" si="393"/>
        <v/>
      </c>
      <c r="EU243" s="203">
        <f>IF($J243="",#N/A,SUM(ET$4:ET243))</f>
        <v>0</v>
      </c>
      <c r="EV243" s="204" t="str">
        <f t="shared" si="394"/>
        <v/>
      </c>
      <c r="EW243" s="204">
        <f>IF($J243="",#N/A,SUM(EV$4:EV243))</f>
        <v>1.9901851109977766</v>
      </c>
      <c r="EX243" s="205" t="str">
        <f t="shared" si="395"/>
        <v/>
      </c>
      <c r="EY243" s="205">
        <f>IF($J243="",#N/A,SUM(EX$4:EX243))</f>
        <v>0.27113250180669229</v>
      </c>
      <c r="EZ243" s="205">
        <f>IF($J243="",#N/A,SUM(EX$4:EX243,EV$4:EV243,ET$4:ET243))</f>
        <v>2.2613176128044685</v>
      </c>
      <c r="FA243" s="200" t="str">
        <f t="shared" si="396"/>
        <v/>
      </c>
      <c r="FB243" s="203">
        <f>IF($J243="",#N/A,SUM(FA$4:FA243))</f>
        <v>0</v>
      </c>
      <c r="FC243" s="204" t="str">
        <f t="shared" si="397"/>
        <v/>
      </c>
      <c r="FD243" s="204">
        <f>IF($J243="",#N/A,SUM(FC$4:FC243))</f>
        <v>1.8692126759492278</v>
      </c>
      <c r="FE243" s="205" t="str">
        <f t="shared" si="398"/>
        <v/>
      </c>
      <c r="FF243" s="205">
        <f>IF($J243="",#N/A,SUM(FE$4:FE243))</f>
        <v>-0.28811149078748233</v>
      </c>
      <c r="FG243" s="205">
        <f>IF($J243="",#N/A,SUM(FE$4:FE243,FC$4:FC243,FA$4:FA243))</f>
        <v>1.5811011851617456</v>
      </c>
      <c r="FH243" s="200" t="str">
        <f t="shared" si="399"/>
        <v/>
      </c>
      <c r="FI243" s="203">
        <f>IF($J243="",#N/A,SUM(FH$4:FH243))</f>
        <v>0</v>
      </c>
      <c r="FJ243" s="204" t="str">
        <f t="shared" si="400"/>
        <v/>
      </c>
      <c r="FK243" s="204">
        <f>IF($J243="",#N/A,SUM(FJ$4:FJ243))</f>
        <v>0</v>
      </c>
      <c r="FL243" s="205" t="str">
        <f t="shared" si="401"/>
        <v/>
      </c>
      <c r="FM243" s="205">
        <f>IF($J243="",#N/A,SUM(FL$4:FL243))</f>
        <v>0</v>
      </c>
      <c r="FN243" s="205">
        <f>IF($J243="",#N/A,SUM(FL$4:FL243,FJ$4:FJ243,FH$4:FH243))</f>
        <v>0</v>
      </c>
      <c r="FO243" s="200" t="str">
        <f t="shared" si="402"/>
        <v/>
      </c>
      <c r="FP243" s="203">
        <f>IF($J243="",#N/A,SUM(FO$4:FO243))</f>
        <v>0</v>
      </c>
      <c r="FQ243" s="204" t="str">
        <f t="shared" si="403"/>
        <v/>
      </c>
      <c r="FR243" s="204">
        <f>IF($J243="",#N/A,SUM(FQ$4:FQ243))</f>
        <v>0</v>
      </c>
      <c r="FS243" s="205" t="str">
        <f t="shared" si="404"/>
        <v/>
      </c>
      <c r="FT243" s="205">
        <f>IF($J243="",#N/A,SUM(FS$4:FS243))</f>
        <v>0</v>
      </c>
      <c r="FU243" s="205">
        <f>IF($J243="",#N/A,SUM(FS$4:FS243,FQ$4:FQ243,FO$4:FO243))</f>
        <v>0</v>
      </c>
      <c r="FV243" s="200" t="str">
        <f t="shared" si="405"/>
        <v/>
      </c>
      <c r="FW243" s="203">
        <f>IF($J243="",#N/A,SUM(FV$4:FV243))</f>
        <v>6.6834991831277585E-2</v>
      </c>
      <c r="FX243" s="204" t="str">
        <f t="shared" si="406"/>
        <v/>
      </c>
      <c r="FY243" s="204">
        <f>IF($J243="",#N/A,SUM(FX$4:FX243))</f>
        <v>-0.16102012791805576</v>
      </c>
      <c r="FZ243" s="205" t="str">
        <f t="shared" si="407"/>
        <v/>
      </c>
      <c r="GA243" s="205">
        <f>IF($J243="",#N/A,SUM(FZ$4:FZ243))</f>
        <v>-1.1377221770567538</v>
      </c>
      <c r="GB243" s="205">
        <f>IF($J243="",#N/A,SUM(FZ$4:FZ243,FX$4:FX243,FV$4:FV243))</f>
        <v>-1.2319073131435321</v>
      </c>
      <c r="GC243" s="200" t="str">
        <f t="shared" si="408"/>
        <v/>
      </c>
      <c r="GD243" s="203">
        <f>IF($J243="",#N/A,SUM(GC$4:GC243))</f>
        <v>0</v>
      </c>
      <c r="GE243" s="204" t="str">
        <f t="shared" si="409"/>
        <v/>
      </c>
      <c r="GF243" s="204">
        <f>IF($J243="",#N/A,SUM(GE$4:GE243))</f>
        <v>0</v>
      </c>
      <c r="GG243" s="205" t="str">
        <f t="shared" si="410"/>
        <v/>
      </c>
      <c r="GH243" s="205">
        <f>IF($J243="",#N/A,SUM(GG$4:GG243))</f>
        <v>-2.9368362277223206</v>
      </c>
      <c r="GI243" s="205">
        <f>IF($J243="",#N/A,SUM(GG$4:GG243,GE$4:GE243,GC$4:GC243))</f>
        <v>-2.9368362277223206</v>
      </c>
      <c r="GJ243" s="200" t="str">
        <f t="shared" si="411"/>
        <v/>
      </c>
      <c r="GK243" s="203">
        <f>IF($J243="",#N/A,SUM(GJ$4:GJ243))</f>
        <v>0</v>
      </c>
      <c r="GL243" s="204" t="str">
        <f t="shared" si="412"/>
        <v/>
      </c>
      <c r="GM243" s="204">
        <f>IF($J243="",#N/A,SUM(GL$4:GL243))</f>
        <v>-1.6833790887309608</v>
      </c>
      <c r="GN243" s="205" t="str">
        <f t="shared" si="413"/>
        <v/>
      </c>
      <c r="GO243" s="205">
        <f>IF($J243="",#N/A,SUM(GN$4:GN243))</f>
        <v>0</v>
      </c>
      <c r="GP243" s="205">
        <f>IF($J243="",#N/A,SUM(GN$4:GN243,GL$4:GL243,GJ$4:GJ243))</f>
        <v>-1.6833790887309608</v>
      </c>
      <c r="GS243" s="54">
        <f t="shared" si="432"/>
        <v>4.3145018019390309E-2</v>
      </c>
      <c r="GT243" s="54">
        <f>IF(GS243="",NA(),SUM($GS$4:GS243))</f>
        <v>6.6964188226151036</v>
      </c>
      <c r="GU243" s="54" t="str">
        <f t="shared" si="414"/>
        <v/>
      </c>
      <c r="GV243" s="54" t="e">
        <f>IF(GU243="",NA(),SUM($GU$4:GU243))</f>
        <v>#N/A</v>
      </c>
      <c r="GW243" s="54">
        <f t="shared" si="415"/>
        <v>4.3145018019390309E-2</v>
      </c>
      <c r="GX243" s="54">
        <f>IF(GW243="",NA(),SUM($GW$4:GW243))</f>
        <v>6.5724966153494107</v>
      </c>
      <c r="GY243" s="54" t="str">
        <f t="shared" si="416"/>
        <v/>
      </c>
      <c r="GZ243" s="54" t="e">
        <f>IF(GY243="",NA(),SUM($GY$4:GY243))</f>
        <v>#N/A</v>
      </c>
      <c r="HA243" s="54" t="str">
        <f t="shared" si="417"/>
        <v/>
      </c>
      <c r="HB243" s="54" t="e">
        <f>IF(HA243="",NA(),SUM($HA$4:HA243))</f>
        <v>#N/A</v>
      </c>
      <c r="HC243" s="54" t="str">
        <f t="shared" si="418"/>
        <v/>
      </c>
      <c r="HD243" s="54" t="e">
        <f>IF(HC243="",NA(),SUM($HC$4:HC243))</f>
        <v>#N/A</v>
      </c>
      <c r="HE243" s="54" t="str">
        <f t="shared" si="419"/>
        <v/>
      </c>
      <c r="HF243" s="54" t="e">
        <f>IF(HE243="",NA(),SUM($HE$4:HE243))</f>
        <v>#N/A</v>
      </c>
      <c r="HG243" s="54" t="str">
        <f t="shared" si="420"/>
        <v/>
      </c>
      <c r="HH243" s="54" t="e">
        <f>IF(HG243="",NA(),SUM($HG$4:HG243))</f>
        <v>#N/A</v>
      </c>
      <c r="HI243" s="183" t="str">
        <f t="shared" si="433"/>
        <v/>
      </c>
      <c r="HJ243" s="183">
        <f>IF($J243="",#N/A,SUM(HI$4:$HI243))</f>
        <v>-6.9858628260739994</v>
      </c>
      <c r="HK243" s="177" t="str">
        <f t="shared" si="421"/>
        <v/>
      </c>
      <c r="HL243" s="177">
        <f>IF($J243="",#N/A,SUM($HK$4:HK243))</f>
        <v>-1.7994312195648086</v>
      </c>
      <c r="HM243" s="177" t="str">
        <f t="shared" si="422"/>
        <v/>
      </c>
      <c r="HN243" s="177">
        <f>IF($J243="",#N/A,SUM($HM$4:HM243))</f>
        <v>0.90694539517251249</v>
      </c>
      <c r="HO243" s="177" t="str">
        <f t="shared" si="423"/>
        <v/>
      </c>
      <c r="HP243" s="177">
        <f>IF($J243="",#N/A,SUM($HO$4:HO243))</f>
        <v>-0.10266465451722628</v>
      </c>
      <c r="HQ243" s="177">
        <f t="shared" si="424"/>
        <v>0.26521496370742648</v>
      </c>
      <c r="HR243" s="177">
        <f>IF($J243="",#N/A,SUM($HQ$4:HQ243))</f>
        <v>-14.468541923104228</v>
      </c>
      <c r="HS243" s="177" t="str">
        <f t="shared" si="425"/>
        <v/>
      </c>
      <c r="HT243" s="177">
        <f>IF($J243="",#N/A,SUM($HS$4:HS243))</f>
        <v>13.860527932825759</v>
      </c>
      <c r="HU243" s="64">
        <f t="shared" si="426"/>
        <v>0.30835998172681678</v>
      </c>
      <c r="HV243" s="64">
        <f>IF($J243="",#N/A,SUM(HU$4:$HU243))</f>
        <v>4.2373992773242062</v>
      </c>
    </row>
    <row r="244" spans="1:230" x14ac:dyDescent="0.25">
      <c r="A244" s="51" t="s">
        <v>775</v>
      </c>
      <c r="B244" s="52" t="s">
        <v>4563</v>
      </c>
      <c r="C244" s="229">
        <f t="shared" si="327"/>
        <v>1</v>
      </c>
      <c r="D244" s="219" t="str">
        <f>_xlfn.XLOOKUP(A244,[1]SP500!$A$2:$A$502,[1]SP500!$D$2:$D$502,"N")</f>
        <v>Y</v>
      </c>
      <c r="E244" s="51" t="str">
        <f>IFERROR(_xlfn.XLOOKUP(A244,[1]SP500!$A$2:$A$655,[1]SP500!$B$2:$B$655),"")</f>
        <v>XLP</v>
      </c>
      <c r="F244" s="290">
        <v>45778</v>
      </c>
      <c r="G244" s="51" t="str">
        <f t="shared" si="328"/>
        <v>AMC</v>
      </c>
      <c r="H244" s="51" t="str">
        <f t="shared" si="329"/>
        <v>s</v>
      </c>
      <c r="I244" s="344">
        <v>59.52</v>
      </c>
      <c r="J244" s="123">
        <v>59.87</v>
      </c>
      <c r="K244" s="55">
        <f t="shared" si="330"/>
        <v>5.8803763440859261E-3</v>
      </c>
      <c r="L244" s="67">
        <f t="shared" si="331"/>
        <v>6.9999999999997726</v>
      </c>
      <c r="M244" s="57">
        <f t="shared" si="332"/>
        <v>0</v>
      </c>
      <c r="N244" s="102">
        <f t="shared" si="333"/>
        <v>6.9999999999997726</v>
      </c>
      <c r="O244" s="57">
        <f>IF(N244="",#N/A,SUM($N$4:N244))</f>
        <v>620.87592465120883</v>
      </c>
      <c r="P244" s="65">
        <f t="shared" si="427"/>
        <v>9.8006272401430505E-2</v>
      </c>
      <c r="Q244" s="172">
        <f>IF($N244="",#N/A,SUM($P$4:P244))</f>
        <v>12.924432844987628</v>
      </c>
      <c r="R244" s="279">
        <f t="shared" si="334"/>
        <v>3.282423041556676</v>
      </c>
      <c r="S244" s="51" t="str">
        <f t="shared" si="335"/>
        <v>Up</v>
      </c>
      <c r="T244" s="51" t="s">
        <v>4462</v>
      </c>
      <c r="U244" s="56">
        <f t="shared" si="336"/>
        <v>59.52</v>
      </c>
      <c r="V244" s="56" t="s">
        <v>4460</v>
      </c>
      <c r="W244" s="142">
        <v>20</v>
      </c>
      <c r="X244" s="145">
        <f t="shared" si="337"/>
        <v>1190.4000000000001</v>
      </c>
      <c r="Y244" s="140">
        <f t="shared" si="338"/>
        <v>20</v>
      </c>
      <c r="Z244" s="123">
        <v>59.87</v>
      </c>
      <c r="AA244" s="102">
        <f t="shared" si="339"/>
        <v>6.9999999999997726</v>
      </c>
      <c r="AB244" s="102">
        <f t="shared" si="340"/>
        <v>10.599999999999909</v>
      </c>
      <c r="AC244" s="124">
        <v>60.05</v>
      </c>
      <c r="AD244" s="155">
        <f t="shared" si="341"/>
        <v>10.599999999999909</v>
      </c>
      <c r="AE244" s="545">
        <f t="shared" si="342"/>
        <v>0.14840949820788402</v>
      </c>
      <c r="AF244" s="57">
        <f>IF($AC244="",#N/A,SUM(AD$4:AD244))</f>
        <v>223.73087220737966</v>
      </c>
      <c r="AG244" s="102">
        <f t="shared" si="343"/>
        <v>3.6000000000001364</v>
      </c>
      <c r="AH244" s="56" t="s">
        <v>2507</v>
      </c>
      <c r="AI244" s="65">
        <f t="shared" si="344"/>
        <v>9.8006272401430505E-2</v>
      </c>
      <c r="AJ244" s="350">
        <f>IF(AI244="",#N/A,SUM($AI$4:AI244))</f>
        <v>9.6420098034309518</v>
      </c>
      <c r="AK244" s="57">
        <f t="shared" si="345"/>
        <v>6.9999999999997726</v>
      </c>
      <c r="AL244" s="349">
        <f>IF(AI244="",#N/A,IF(AH244="Skip",SUM($AK$4:AK244),SUM($AK$4:AK244)))</f>
        <v>394.00759149281407</v>
      </c>
      <c r="AM244" s="65">
        <f t="shared" si="428"/>
        <v>0.14840949820788402</v>
      </c>
      <c r="AN244" s="209"/>
      <c r="AO244" s="65" t="str">
        <f t="shared" si="346"/>
        <v/>
      </c>
      <c r="AP244" s="65">
        <f>IF($AC244="",#N/A,SUM(AO$4:AO244))</f>
        <v>4.5574462918592573</v>
      </c>
      <c r="AQ244" s="65">
        <f t="shared" si="347"/>
        <v>0.14840949820788402</v>
      </c>
      <c r="AR244" s="65">
        <f>IF($AC244="",#N/A,SUM(AQ$4:AQ244))</f>
        <v>-2.1356705084748859</v>
      </c>
      <c r="AS244" s="65" t="str">
        <f t="shared" si="348"/>
        <v/>
      </c>
      <c r="AT244" s="65">
        <f>IF($AC244="",#N/A,SUM(AS$4:AS244))</f>
        <v>1.9640329921477153</v>
      </c>
      <c r="AU244" s="57" t="str">
        <f t="shared" si="429"/>
        <v/>
      </c>
      <c r="AV244" s="57">
        <f>IF($AC244="",#N/A,SUM(AU$4:AU244))</f>
        <v>187.36249066104699</v>
      </c>
      <c r="AW244" s="57">
        <f t="shared" si="430"/>
        <v>10.599999999999909</v>
      </c>
      <c r="AX244" s="57">
        <f>IF($AC244="",#N/A,SUM(AW$4:AW244))</f>
        <v>-132.30000000000018</v>
      </c>
      <c r="AY244" s="57" t="str">
        <f t="shared" si="431"/>
        <v/>
      </c>
      <c r="AZ244" s="57">
        <f>IF($AC244="",#N/A,SUM(AY$4:AY244))</f>
        <v>168.66838154633285</v>
      </c>
      <c r="BA244" s="57">
        <f>IF(AD244="",#N/A,SUM($AD$4:AD244))</f>
        <v>223.73087220737966</v>
      </c>
      <c r="BC244" s="51">
        <f t="shared" si="349"/>
        <v>1</v>
      </c>
      <c r="BD244" s="51" t="str">
        <f t="shared" si="350"/>
        <v/>
      </c>
      <c r="BE244" s="51" t="str">
        <f t="shared" si="351"/>
        <v/>
      </c>
      <c r="BF244" s="51" t="str">
        <f t="shared" si="352"/>
        <v>Long</v>
      </c>
      <c r="BG244" s="51" t="str">
        <f t="shared" si="353"/>
        <v/>
      </c>
      <c r="BH244" s="51" t="str">
        <f t="shared" si="354"/>
        <v/>
      </c>
      <c r="BI244" s="51" t="str">
        <f t="shared" si="355"/>
        <v/>
      </c>
      <c r="BK244" s="65">
        <f t="shared" si="326"/>
        <v>0.11001833418197585</v>
      </c>
      <c r="BL244" s="65">
        <f t="shared" si="434"/>
        <v>0.13017201260650793</v>
      </c>
      <c r="BM244" s="65">
        <f>IFERROR(Q244/COUNTA($J$4:J244),#N/A)</f>
        <v>5.362835205389057E-2</v>
      </c>
      <c r="BO244" s="489" t="e">
        <f>IF(J244="",#N/A,IF(S244="SW",(COUNTIFS(K$4:$K244,"&gt;0",S$4:$S244,"SW")/COUNTIF(S$4:$S244,"SW")),#N/A))</f>
        <v>#N/A</v>
      </c>
      <c r="BP244" s="489" t="e">
        <f>IF($J244="",#N/A,IF($S244="DWN",(COUNTIFS($K$4:$K244,"&lt;0",$S$4:$S244,"DWN")/COUNTIF($S$4:$S244,"DWN")),#N/A))</f>
        <v>#N/A</v>
      </c>
      <c r="BQ244" s="489">
        <f>IF($J244="",#N/A,IF($S244="UP",(COUNTIFS($K$4:$K244,"&gt;0",$S$4:$S244,"UP")/COUNTIF($S$4:$S244,"UP")),#N/A))</f>
        <v>0.38461538461538464</v>
      </c>
      <c r="BR244" s="489">
        <f>IF(J244="",#N/A,COUNTIF($K$4:K244,"&gt;0")/COUNT($J$4:J244))</f>
        <v>0.46058091286307051</v>
      </c>
      <c r="BS244" s="65">
        <f t="shared" si="356"/>
        <v>9.8006272401430505E-2</v>
      </c>
      <c r="BT244" s="65" t="str">
        <f t="shared" si="357"/>
        <v/>
      </c>
      <c r="BU244" s="65" t="str">
        <f t="shared" si="358"/>
        <v/>
      </c>
      <c r="BV244" s="65" t="str">
        <f t="shared" si="359"/>
        <v/>
      </c>
      <c r="BW244" s="128">
        <f t="shared" si="360"/>
        <v>6.9999999999997726</v>
      </c>
      <c r="BX244" s="128">
        <f>IF($J244="",#N/A,SUM($BW$4:BW244))</f>
        <v>-192.33000000000061</v>
      </c>
      <c r="BY244" s="131" t="str">
        <f t="shared" si="361"/>
        <v/>
      </c>
      <c r="BZ244" s="131">
        <f>IF($J244="",#N/A,SUM($BY$4:BY244))</f>
        <v>632.23434038933453</v>
      </c>
      <c r="CA244" s="133" t="str">
        <f t="shared" si="362"/>
        <v/>
      </c>
      <c r="CB244" s="133">
        <f>IF($J244="",#N/A,SUM($CA$4:CA244))</f>
        <v>180.97158426187491</v>
      </c>
      <c r="CC244" s="194">
        <f t="shared" si="363"/>
        <v>9.8006272401430505E-2</v>
      </c>
      <c r="CD244" s="194">
        <f>IF($J244="",#N/A,SUM($CC$4:CC244))</f>
        <v>-2.9903544749366251</v>
      </c>
      <c r="CE244" s="195" t="str">
        <f t="shared" si="364"/>
        <v/>
      </c>
      <c r="CF244" s="195">
        <f>IF($J244="",#N/A,SUM($CE$4:CE244))</f>
        <v>10.74932703778653</v>
      </c>
      <c r="CG244" s="196" t="str">
        <f t="shared" si="365"/>
        <v/>
      </c>
      <c r="CH244" s="196">
        <f>IF($J244="",#N/A,SUM($CG$4:CG244))</f>
        <v>5.1654602821377287</v>
      </c>
      <c r="CI244" s="200" t="str">
        <f t="shared" si="366"/>
        <v/>
      </c>
      <c r="CJ244" s="203">
        <f>IF($J244="",#N/A,SUM(CI$4:CI244))</f>
        <v>0</v>
      </c>
      <c r="CK244" s="204" t="str">
        <f t="shared" si="367"/>
        <v/>
      </c>
      <c r="CL244" s="204">
        <f>IF($J244="",#N/A,SUM(CK$4:CK244))</f>
        <v>1.9927003554442289</v>
      </c>
      <c r="CM244" s="205" t="str">
        <f t="shared" si="368"/>
        <v/>
      </c>
      <c r="CN244" s="205">
        <f>IF($J244="",#N/A,SUM(CM$4:CM244))</f>
        <v>3.3408347650393759</v>
      </c>
      <c r="CO244" s="205">
        <f>IF($J244="",#N/A,SUM(CM$4:CM244,CK$4:CK244,CI$4:CI244))</f>
        <v>5.3335351204836048</v>
      </c>
      <c r="CP244" s="200" t="str">
        <f t="shared" si="369"/>
        <v/>
      </c>
      <c r="CQ244" s="203">
        <f>IF($J244="",#N/A,SUM(CP$4:CP244))</f>
        <v>0</v>
      </c>
      <c r="CR244" s="204" t="str">
        <f t="shared" si="370"/>
        <v/>
      </c>
      <c r="CS244" s="204">
        <f>IF($J244="",#N/A,SUM(CR$4:CR244))</f>
        <v>4.6135245886817966</v>
      </c>
      <c r="CT244" s="205" t="str">
        <f t="shared" si="371"/>
        <v/>
      </c>
      <c r="CU244" s="205">
        <f>IF($J244="",#N/A,SUM(CT$4:CT244))</f>
        <v>-2.9040943753548785</v>
      </c>
      <c r="CV244" s="205">
        <f>IF($J244="",#N/A,SUM(CT$4:CT244,CR$4:CR244,CP$4:CP244))</f>
        <v>1.7094302133269181</v>
      </c>
      <c r="CW244" s="200" t="str">
        <f t="shared" si="372"/>
        <v/>
      </c>
      <c r="CX244" s="203">
        <f>IF($J244="",#N/A,SUM(CW$4:CW244))</f>
        <v>-0.33865165024245297</v>
      </c>
      <c r="CY244" s="204" t="str">
        <f t="shared" si="373"/>
        <v/>
      </c>
      <c r="CZ244" s="204">
        <f>IF($J244="",#N/A,SUM(CY$4:CY244))</f>
        <v>-8.9115263338952644E-2</v>
      </c>
      <c r="DA244" s="205" t="str">
        <f t="shared" si="374"/>
        <v/>
      </c>
      <c r="DB244" s="205">
        <f>IF($J244="",#N/A,SUM(DA$4:DA244))</f>
        <v>-2.2679577914291</v>
      </c>
      <c r="DC244" s="205">
        <f>IF($J244="",#N/A,SUM(DA$4:DA244,CY$4:CY244,CW$4:CW244))</f>
        <v>-2.6957247050105053</v>
      </c>
      <c r="DD244" s="200">
        <f t="shared" si="375"/>
        <v>9.8006272401430505E-2</v>
      </c>
      <c r="DE244" s="203">
        <f>IF($J244="",#N/A,SUM(DD$4:DD244))</f>
        <v>0.24769343410817113</v>
      </c>
      <c r="DF244" s="204" t="str">
        <f t="shared" si="376"/>
        <v/>
      </c>
      <c r="DG244" s="204">
        <f>IF($J244="",#N/A,SUM(DF$4:DF244))</f>
        <v>1.5249935139936004</v>
      </c>
      <c r="DH244" s="205" t="str">
        <f t="shared" si="377"/>
        <v/>
      </c>
      <c r="DI244" s="205">
        <f>IF($J244="",#N/A,SUM(DH$4:DH244))</f>
        <v>-1.9066052078694633</v>
      </c>
      <c r="DJ244" s="205">
        <f>IF($J244="",#N/A,SUM(DH$4:DH244,DF$4:DF244,DD$4:DD244))</f>
        <v>-0.13391825976769156</v>
      </c>
      <c r="DK244" s="200" t="str">
        <f t="shared" si="378"/>
        <v/>
      </c>
      <c r="DL244" s="203">
        <f>IF($J244="",#N/A,SUM(DK$4:DK244))</f>
        <v>-1.2097286851272664</v>
      </c>
      <c r="DM244" s="204" t="str">
        <f t="shared" si="379"/>
        <v/>
      </c>
      <c r="DN244" s="204">
        <f>IF($J244="",#N/A,SUM(DM$4:DM244))</f>
        <v>3.0281848543081331</v>
      </c>
      <c r="DO244" s="205" t="str">
        <f t="shared" si="380"/>
        <v/>
      </c>
      <c r="DP244" s="205">
        <f>IF($J244="",#N/A,SUM(DO$4:DO244))</f>
        <v>2.700331529683047</v>
      </c>
      <c r="DQ244" s="205">
        <f>IF($J244="",#N/A,SUM(DO$4:DO244,DM$4:DM244,DK$4:DK244))</f>
        <v>4.518787698863914</v>
      </c>
      <c r="DR244" s="200" t="str">
        <f t="shared" si="381"/>
        <v/>
      </c>
      <c r="DS244" s="203">
        <f>IF($J244="",#N/A,SUM(DR$4:DR244))</f>
        <v>-0.55950946427675097</v>
      </c>
      <c r="DT244" s="204" t="str">
        <f t="shared" si="382"/>
        <v/>
      </c>
      <c r="DU244" s="204">
        <f>IF($J244="",#N/A,SUM(DT$4:DT244))</f>
        <v>-3.6911249040845173</v>
      </c>
      <c r="DV244" s="205" t="str">
        <f t="shared" si="383"/>
        <v/>
      </c>
      <c r="DW244" s="205">
        <f>IF($J244="",#N/A,SUM(DV$4:DV244))</f>
        <v>-1.2815650893103838</v>
      </c>
      <c r="DX244" s="205">
        <f>IF($J244="",#N/A,SUM(DV$4:DV244,DT$4:DT244,DR$4:DR244))</f>
        <v>-5.532199457671652</v>
      </c>
      <c r="DY244" s="200" t="str">
        <f t="shared" si="384"/>
        <v/>
      </c>
      <c r="DZ244" s="203">
        <f>IF($J244="",#N/A,SUM(DY$4:DY244))</f>
        <v>-1.0460034109943892</v>
      </c>
      <c r="EA244" s="204" t="str">
        <f t="shared" si="385"/>
        <v/>
      </c>
      <c r="EB244" s="204">
        <f>IF($J244="",#N/A,SUM(EA$4:EA244))</f>
        <v>0.65158371441459195</v>
      </c>
      <c r="EC244" s="205" t="str">
        <f t="shared" si="386"/>
        <v/>
      </c>
      <c r="ED244" s="205">
        <f>IF($J244="",#N/A,SUM(EC$4:EC244))</f>
        <v>5.0841293998354304</v>
      </c>
      <c r="EE244" s="205">
        <f>IF($J244="",#N/A,SUM(EC$4:EC244,EA$4:EA244,DY$4:DY244))</f>
        <v>4.6897097032556321</v>
      </c>
      <c r="EF244" s="200" t="str">
        <f t="shared" si="387"/>
        <v/>
      </c>
      <c r="EG244" s="203">
        <f>IF($J244="",#N/A,SUM(EF$4:EF244))</f>
        <v>-0.15098969023521425</v>
      </c>
      <c r="EH244" s="204" t="str">
        <f t="shared" si="388"/>
        <v/>
      </c>
      <c r="EI244" s="204">
        <f>IF($J244="",#N/A,SUM(EH$4:EH244))</f>
        <v>-2.8640283518306258</v>
      </c>
      <c r="EJ244" s="205" t="str">
        <f t="shared" si="389"/>
        <v/>
      </c>
      <c r="EK244" s="205">
        <f>IF($J244="",#N/A,SUM(EJ$4:EJ244))</f>
        <v>5.050388173053765</v>
      </c>
      <c r="EL244" s="205">
        <f>IF($J244="",#N/A,SUM(EJ$4:EJ244,EH$4:EH244,EF$4:EF244))</f>
        <v>2.0353701309879249</v>
      </c>
      <c r="EM244" s="200" t="str">
        <f t="shared" si="390"/>
        <v/>
      </c>
      <c r="EN244" s="203">
        <f>IF($J244="",#N/A,SUM(EM$4:EM244))</f>
        <v>0</v>
      </c>
      <c r="EO244" s="204" t="str">
        <f t="shared" si="391"/>
        <v/>
      </c>
      <c r="EP244" s="204">
        <f>IF($J244="",#N/A,SUM(EO$4:EO244))</f>
        <v>3.2406646352184261</v>
      </c>
      <c r="EQ244" s="205" t="str">
        <f t="shared" si="392"/>
        <v/>
      </c>
      <c r="ER244" s="205">
        <f>IF($J244="",#N/A,SUM(EQ$4:EQ244))</f>
        <v>1.441536272249796</v>
      </c>
      <c r="ES244" s="205">
        <f>IF($J244="",#N/A,SUM(EQ$4:EQ244,EO$4:EO244,EM$4:EM244))</f>
        <v>4.6822009074682214</v>
      </c>
      <c r="ET244" s="200" t="str">
        <f t="shared" si="393"/>
        <v/>
      </c>
      <c r="EU244" s="203">
        <f>IF($J244="",#N/A,SUM(ET$4:ET244))</f>
        <v>0</v>
      </c>
      <c r="EV244" s="204" t="str">
        <f t="shared" si="394"/>
        <v/>
      </c>
      <c r="EW244" s="204">
        <f>IF($J244="",#N/A,SUM(EV$4:EV244))</f>
        <v>1.9901851109977766</v>
      </c>
      <c r="EX244" s="205" t="str">
        <f t="shared" si="395"/>
        <v/>
      </c>
      <c r="EY244" s="205">
        <f>IF($J244="",#N/A,SUM(EX$4:EX244))</f>
        <v>0.27113250180669229</v>
      </c>
      <c r="EZ244" s="205">
        <f>IF($J244="",#N/A,SUM(EX$4:EX244,EV$4:EV244,ET$4:ET244))</f>
        <v>2.2613176128044685</v>
      </c>
      <c r="FA244" s="200" t="str">
        <f t="shared" si="396"/>
        <v/>
      </c>
      <c r="FB244" s="203">
        <f>IF($J244="",#N/A,SUM(FA$4:FA244))</f>
        <v>0</v>
      </c>
      <c r="FC244" s="204" t="str">
        <f t="shared" si="397"/>
        <v/>
      </c>
      <c r="FD244" s="204">
        <f>IF($J244="",#N/A,SUM(FC$4:FC244))</f>
        <v>1.8692126759492278</v>
      </c>
      <c r="FE244" s="205" t="str">
        <f t="shared" si="398"/>
        <v/>
      </c>
      <c r="FF244" s="205">
        <f>IF($J244="",#N/A,SUM(FE$4:FE244))</f>
        <v>-0.28811149078748233</v>
      </c>
      <c r="FG244" s="205">
        <f>IF($J244="",#N/A,SUM(FE$4:FE244,FC$4:FC244,FA$4:FA244))</f>
        <v>1.5811011851617456</v>
      </c>
      <c r="FH244" s="200" t="str">
        <f t="shared" si="399"/>
        <v/>
      </c>
      <c r="FI244" s="203">
        <f>IF($J244="",#N/A,SUM(FH$4:FH244))</f>
        <v>0</v>
      </c>
      <c r="FJ244" s="204" t="str">
        <f t="shared" si="400"/>
        <v/>
      </c>
      <c r="FK244" s="204">
        <f>IF($J244="",#N/A,SUM(FJ$4:FJ244))</f>
        <v>0</v>
      </c>
      <c r="FL244" s="205" t="str">
        <f t="shared" si="401"/>
        <v/>
      </c>
      <c r="FM244" s="205">
        <f>IF($J244="",#N/A,SUM(FL$4:FL244))</f>
        <v>0</v>
      </c>
      <c r="FN244" s="205">
        <f>IF($J244="",#N/A,SUM(FL$4:FL244,FJ$4:FJ244,FH$4:FH244))</f>
        <v>0</v>
      </c>
      <c r="FO244" s="200" t="str">
        <f t="shared" si="402"/>
        <v/>
      </c>
      <c r="FP244" s="203">
        <f>IF($J244="",#N/A,SUM(FO$4:FO244))</f>
        <v>0</v>
      </c>
      <c r="FQ244" s="204" t="str">
        <f t="shared" si="403"/>
        <v/>
      </c>
      <c r="FR244" s="204">
        <f>IF($J244="",#N/A,SUM(FQ$4:FQ244))</f>
        <v>0</v>
      </c>
      <c r="FS244" s="205" t="str">
        <f t="shared" si="404"/>
        <v/>
      </c>
      <c r="FT244" s="205">
        <f>IF($J244="",#N/A,SUM(FS$4:FS244))</f>
        <v>0</v>
      </c>
      <c r="FU244" s="205">
        <f>IF($J244="",#N/A,SUM(FS$4:FS244,FQ$4:FQ244,FO$4:FO244))</f>
        <v>0</v>
      </c>
      <c r="FV244" s="200" t="str">
        <f t="shared" si="405"/>
        <v/>
      </c>
      <c r="FW244" s="203">
        <f>IF($J244="",#N/A,SUM(FV$4:FV244))</f>
        <v>6.6834991831277585E-2</v>
      </c>
      <c r="FX244" s="204" t="str">
        <f t="shared" si="406"/>
        <v/>
      </c>
      <c r="FY244" s="204">
        <f>IF($J244="",#N/A,SUM(FX$4:FX244))</f>
        <v>-0.16102012791805576</v>
      </c>
      <c r="FZ244" s="205" t="str">
        <f t="shared" si="407"/>
        <v/>
      </c>
      <c r="GA244" s="205">
        <f>IF($J244="",#N/A,SUM(FZ$4:FZ244))</f>
        <v>-1.1377221770567538</v>
      </c>
      <c r="GB244" s="205">
        <f>IF($J244="",#N/A,SUM(FZ$4:FZ244,FX$4:FX244,FV$4:FV244))</f>
        <v>-1.2319073131435321</v>
      </c>
      <c r="GC244" s="200" t="str">
        <f t="shared" si="408"/>
        <v/>
      </c>
      <c r="GD244" s="203">
        <f>IF($J244="",#N/A,SUM(GC$4:GC244))</f>
        <v>0</v>
      </c>
      <c r="GE244" s="204" t="str">
        <f t="shared" si="409"/>
        <v/>
      </c>
      <c r="GF244" s="204">
        <f>IF($J244="",#N/A,SUM(GE$4:GE244))</f>
        <v>0</v>
      </c>
      <c r="GG244" s="205" t="str">
        <f t="shared" si="410"/>
        <v/>
      </c>
      <c r="GH244" s="205">
        <f>IF($J244="",#N/A,SUM(GG$4:GG244))</f>
        <v>-2.9368362277223206</v>
      </c>
      <c r="GI244" s="205">
        <f>IF($J244="",#N/A,SUM(GG$4:GG244,GE$4:GE244,GC$4:GC244))</f>
        <v>-2.9368362277223206</v>
      </c>
      <c r="GJ244" s="200" t="str">
        <f t="shared" si="411"/>
        <v/>
      </c>
      <c r="GK244" s="203">
        <f>IF($J244="",#N/A,SUM(GJ$4:GJ244))</f>
        <v>0</v>
      </c>
      <c r="GL244" s="204" t="str">
        <f t="shared" si="412"/>
        <v/>
      </c>
      <c r="GM244" s="204">
        <f>IF($J244="",#N/A,SUM(GL$4:GL244))</f>
        <v>-1.6833790887309608</v>
      </c>
      <c r="GN244" s="205" t="str">
        <f t="shared" si="413"/>
        <v/>
      </c>
      <c r="GO244" s="205">
        <f>IF($J244="",#N/A,SUM(GN$4:GN244))</f>
        <v>0</v>
      </c>
      <c r="GP244" s="205">
        <f>IF($J244="",#N/A,SUM(GN$4:GN244,GL$4:GL244,GJ$4:GJ244))</f>
        <v>-1.6833790887309608</v>
      </c>
      <c r="GS244" s="54">
        <f t="shared" si="432"/>
        <v>9.8006272401430505E-2</v>
      </c>
      <c r="GT244" s="54">
        <f>IF(GS244="",NA(),SUM($GS$4:GS244))</f>
        <v>6.7944250950165337</v>
      </c>
      <c r="GU244" s="54">
        <f t="shared" si="414"/>
        <v>9.8006272401430505E-2</v>
      </c>
      <c r="GV244" s="54">
        <f>IF(GU244="",NA(),SUM($GU$4:GU244))</f>
        <v>-2.9903544749366251</v>
      </c>
      <c r="GW244" s="54" t="str">
        <f t="shared" si="415"/>
        <v/>
      </c>
      <c r="GX244" s="54" t="e">
        <f>IF(GW244="",NA(),SUM($GW$4:GW244))</f>
        <v>#N/A</v>
      </c>
      <c r="GY244" s="54" t="str">
        <f t="shared" si="416"/>
        <v/>
      </c>
      <c r="GZ244" s="54" t="e">
        <f>IF(GY244="",NA(),SUM($GY$4:GY244))</f>
        <v>#N/A</v>
      </c>
      <c r="HA244" s="54" t="str">
        <f t="shared" si="417"/>
        <v/>
      </c>
      <c r="HB244" s="54" t="e">
        <f>IF(HA244="",NA(),SUM($HA$4:HA244))</f>
        <v>#N/A</v>
      </c>
      <c r="HC244" s="54" t="str">
        <f t="shared" si="418"/>
        <v/>
      </c>
      <c r="HD244" s="54" t="e">
        <f>IF(HC244="",NA(),SUM($HC$4:HC244))</f>
        <v>#N/A</v>
      </c>
      <c r="HE244" s="54" t="str">
        <f t="shared" si="419"/>
        <v/>
      </c>
      <c r="HF244" s="54" t="e">
        <f>IF(HE244="",NA(),SUM($HE$4:HE244))</f>
        <v>#N/A</v>
      </c>
      <c r="HG244" s="54" t="str">
        <f t="shared" si="420"/>
        <v/>
      </c>
      <c r="HH244" s="54" t="e">
        <f>IF(HG244="",NA(),SUM($HG$4:HG244))</f>
        <v>#N/A</v>
      </c>
      <c r="HI244" s="172" t="str">
        <f t="shared" si="433"/>
        <v/>
      </c>
      <c r="HJ244" s="172">
        <f>IF($J244="",#N/A,SUM(HI$4:$HI244))</f>
        <v>-6.9858628260739994</v>
      </c>
      <c r="HK244" s="54" t="str">
        <f t="shared" si="421"/>
        <v/>
      </c>
      <c r="HL244" s="54">
        <f>IF($J244="",#N/A,SUM($HK$4:HK244))</f>
        <v>-1.7994312195648086</v>
      </c>
      <c r="HM244" s="54">
        <f t="shared" si="422"/>
        <v>5.0403225806453511E-2</v>
      </c>
      <c r="HN244" s="54">
        <f>IF($J244="",#N/A,SUM($HM$4:HM244))</f>
        <v>0.957348620978966</v>
      </c>
      <c r="HO244" s="54" t="str">
        <f t="shared" si="423"/>
        <v/>
      </c>
      <c r="HP244" s="54">
        <f>IF($J244="",#N/A,SUM($HO$4:HO244))</f>
        <v>-0.10266465451722628</v>
      </c>
      <c r="HQ244" s="54" t="str">
        <f t="shared" si="424"/>
        <v/>
      </c>
      <c r="HR244" s="54">
        <f>IF($J244="",#N/A,SUM($HQ$4:HQ244))</f>
        <v>-14.468541923104228</v>
      </c>
      <c r="HS244" s="54" t="str">
        <f t="shared" si="425"/>
        <v/>
      </c>
      <c r="HT244" s="54">
        <f>IF($J244="",#N/A,SUM($HS$4:HS244))</f>
        <v>13.860527932825759</v>
      </c>
      <c r="HU244" s="65">
        <f t="shared" si="426"/>
        <v>0.14840949820788402</v>
      </c>
      <c r="HV244" s="65">
        <f>IF($J244="",#N/A,SUM(HU$4:$HU244))</f>
        <v>4.38580877553209</v>
      </c>
    </row>
    <row r="245" spans="1:230" x14ac:dyDescent="0.25">
      <c r="A245" s="396" t="s">
        <v>2835</v>
      </c>
      <c r="B245" s="52" t="s">
        <v>4563</v>
      </c>
      <c r="C245" s="229">
        <f t="shared" si="327"/>
        <v>2</v>
      </c>
      <c r="D245" s="219" t="str">
        <f>_xlfn.XLOOKUP(A245,[1]SP500!$A$2:$A$502,[1]SP500!$D$2:$D$502,"N")</f>
        <v>Y</v>
      </c>
      <c r="E245" s="51" t="str">
        <f>IFERROR(_xlfn.XLOOKUP(A245,[1]SP500!$A$2:$A$655,[1]SP500!$B$2:$B$655),"")</f>
        <v>XLF</v>
      </c>
      <c r="F245" s="290">
        <v>45778</v>
      </c>
      <c r="G245" s="51" t="str">
        <f t="shared" si="328"/>
        <v>AMC</v>
      </c>
      <c r="H245" s="51" t="str">
        <f t="shared" si="329"/>
        <v>s</v>
      </c>
      <c r="I245" s="344">
        <v>58.48</v>
      </c>
      <c r="J245" s="124">
        <v>45.325000000000003</v>
      </c>
      <c r="K245" s="55">
        <f t="shared" si="330"/>
        <v>-0.22494870041039663</v>
      </c>
      <c r="L245" s="67">
        <f t="shared" si="331"/>
        <v>197.32499999999993</v>
      </c>
      <c r="M245" s="57">
        <f t="shared" si="332"/>
        <v>4.875</v>
      </c>
      <c r="N245" s="102">
        <f t="shared" si="333"/>
        <v>197.32499999999993</v>
      </c>
      <c r="O245" s="57">
        <f>IF(N245="",#N/A,SUM($N$4:N245))</f>
        <v>818.20092465120877</v>
      </c>
      <c r="P245" s="65">
        <f t="shared" si="427"/>
        <v>3.7491450068399446</v>
      </c>
      <c r="Q245" s="172">
        <f>IF($N245="",#N/A,SUM($P$4:P245))</f>
        <v>16.673577851827574</v>
      </c>
      <c r="R245" s="279">
        <f t="shared" si="334"/>
        <v>3.1897987825507492</v>
      </c>
      <c r="S245" s="51" t="str">
        <f t="shared" si="335"/>
        <v>Dwn</v>
      </c>
      <c r="T245" s="51" t="s">
        <v>4462</v>
      </c>
      <c r="U245" s="56">
        <f t="shared" si="336"/>
        <v>58.48</v>
      </c>
      <c r="V245" s="56" t="s">
        <v>4458</v>
      </c>
      <c r="W245" s="142">
        <v>15</v>
      </c>
      <c r="X245" s="145">
        <f t="shared" si="337"/>
        <v>877.19999999999993</v>
      </c>
      <c r="Y245" s="140">
        <f t="shared" si="338"/>
        <v>15</v>
      </c>
      <c r="Z245" s="123">
        <v>45</v>
      </c>
      <c r="AA245" s="102">
        <f t="shared" si="339"/>
        <v>202.19999999999993</v>
      </c>
      <c r="AB245" s="102">
        <f t="shared" si="340"/>
        <v>179.24999999999989</v>
      </c>
      <c r="AC245" s="124">
        <v>46.53</v>
      </c>
      <c r="AD245" s="155">
        <f t="shared" si="341"/>
        <v>179.24999999999989</v>
      </c>
      <c r="AE245" s="545">
        <f t="shared" si="342"/>
        <v>3.4057227542179649</v>
      </c>
      <c r="AF245" s="57">
        <f>IF($AC245="",#N/A,SUM(AD$4:AD245))</f>
        <v>402.98087220737955</v>
      </c>
      <c r="AG245" s="102">
        <f t="shared" si="343"/>
        <v>-18.075000000000045</v>
      </c>
      <c r="AH245" s="56" t="s">
        <v>2507</v>
      </c>
      <c r="AI245" s="65">
        <f t="shared" si="344"/>
        <v>3.8417692658458726</v>
      </c>
      <c r="AJ245" s="350">
        <f>IF(AI245="",#N/A,SUM($AI$4:AI245))</f>
        <v>13.483779069276824</v>
      </c>
      <c r="AK245" s="57">
        <f t="shared" si="345"/>
        <v>202.19999999999993</v>
      </c>
      <c r="AL245" s="349">
        <f>IF(AI245="",#N/A,IF(AH245="Skip",SUM($AK$4:AK245),SUM($AK$4:AK245)))</f>
        <v>596.207591492814</v>
      </c>
      <c r="AM245" s="65">
        <f t="shared" si="428"/>
        <v>3.4057227542179649</v>
      </c>
      <c r="AN245" s="209"/>
      <c r="AO245" s="65" t="str">
        <f t="shared" si="346"/>
        <v/>
      </c>
      <c r="AP245" s="65">
        <f>IF($AC245="",#N/A,SUM(AO$4:AO245))</f>
        <v>4.5574462918592573</v>
      </c>
      <c r="AQ245" s="65" t="str">
        <f t="shared" si="347"/>
        <v/>
      </c>
      <c r="AR245" s="65">
        <f>IF($AC245="",#N/A,SUM(AQ$4:AQ245))</f>
        <v>-2.1356705084748859</v>
      </c>
      <c r="AS245" s="65">
        <f t="shared" si="348"/>
        <v>3.4057227542179649</v>
      </c>
      <c r="AT245" s="65">
        <f>IF($AC245="",#N/A,SUM(AS$4:AS245))</f>
        <v>5.36975574636568</v>
      </c>
      <c r="AU245" s="57" t="str">
        <f t="shared" si="429"/>
        <v/>
      </c>
      <c r="AV245" s="57">
        <f>IF($AC245="",#N/A,SUM(AU$4:AU245))</f>
        <v>187.36249066104699</v>
      </c>
      <c r="AW245" s="57" t="str">
        <f t="shared" si="430"/>
        <v/>
      </c>
      <c r="AX245" s="57">
        <f>IF($AC245="",#N/A,SUM(AW$4:AW245))</f>
        <v>-132.30000000000018</v>
      </c>
      <c r="AY245" s="57">
        <f t="shared" si="431"/>
        <v>179.24999999999989</v>
      </c>
      <c r="AZ245" s="57">
        <f>IF($AC245="",#N/A,SUM(AY$4:AY245))</f>
        <v>347.91838154633274</v>
      </c>
      <c r="BA245" s="57">
        <f>IF(AD245="",#N/A,SUM($AD$4:AD245))</f>
        <v>402.98087220737955</v>
      </c>
      <c r="BC245" s="51" t="str">
        <f t="shared" si="349"/>
        <v/>
      </c>
      <c r="BD245" s="51" t="str">
        <f t="shared" si="350"/>
        <v/>
      </c>
      <c r="BE245" s="51" t="str">
        <f t="shared" si="351"/>
        <v/>
      </c>
      <c r="BF245" s="51" t="str">
        <f t="shared" si="352"/>
        <v>Short</v>
      </c>
      <c r="BG245" s="51">
        <f t="shared" si="353"/>
        <v>1</v>
      </c>
      <c r="BH245" s="51" t="str">
        <f t="shared" si="354"/>
        <v/>
      </c>
      <c r="BI245" s="51" t="str">
        <f t="shared" si="355"/>
        <v/>
      </c>
      <c r="BK245" s="65">
        <f t="shared" ref="BK245:BK308" si="435">IFERROR(($Q245-$Q196)/COUNTA($J196:$J245),#N/A)</f>
        <v>0.19140045256105323</v>
      </c>
      <c r="BL245" s="65">
        <f t="shared" si="434"/>
        <v>0.24222950480294217</v>
      </c>
      <c r="BM245" s="65">
        <f>IFERROR(Q245/COUNTA($J$4:J245),#N/A)</f>
        <v>6.8899082032345349E-2</v>
      </c>
      <c r="BO245" s="489" t="e">
        <f>IF(J245="",#N/A,IF(S245="SW",(COUNTIFS(K$4:$K245,"&gt;0",S$4:$S245,"SW")/COUNTIF(S$4:$S245,"SW")),#N/A))</f>
        <v>#N/A</v>
      </c>
      <c r="BP245" s="489">
        <f>IF($J245="",#N/A,IF($S245="DWN",(COUNTIFS($K$4:$K245,"&lt;0",$S$4:$S245,"DWN")/COUNTIF($S$4:$S245,"DWN")),#N/A))</f>
        <v>0.58823529411764708</v>
      </c>
      <c r="BQ245" s="489" t="e">
        <f>IF($J245="",#N/A,IF($S245="UP",(COUNTIFS($K$4:$K245,"&gt;0",$S$4:$S245,"UP")/COUNTIF($S$4:$S245,"UP")),#N/A))</f>
        <v>#N/A</v>
      </c>
      <c r="BR245" s="489">
        <f>IF(J245="",#N/A,COUNTIF($K$4:K245,"&gt;0")/COUNT($J$4:J245))</f>
        <v>0.45867768595041325</v>
      </c>
      <c r="BS245" s="65" t="str">
        <f t="shared" si="356"/>
        <v/>
      </c>
      <c r="BT245" s="65" t="str">
        <f t="shared" si="357"/>
        <v/>
      </c>
      <c r="BU245" s="65">
        <f t="shared" si="358"/>
        <v>3.7491450068399446</v>
      </c>
      <c r="BV245" s="65" t="str">
        <f t="shared" si="359"/>
        <v/>
      </c>
      <c r="BW245" s="128" t="str">
        <f t="shared" si="360"/>
        <v/>
      </c>
      <c r="BX245" s="128">
        <f>IF($J245="",#N/A,SUM($BW$4:BW245))</f>
        <v>-192.33000000000061</v>
      </c>
      <c r="BY245" s="131">
        <f t="shared" si="361"/>
        <v>197.32499999999993</v>
      </c>
      <c r="BZ245" s="131">
        <f>IF($J245="",#N/A,SUM($BY$4:BY245))</f>
        <v>829.55934038933447</v>
      </c>
      <c r="CA245" s="133" t="str">
        <f t="shared" si="362"/>
        <v/>
      </c>
      <c r="CB245" s="133">
        <f>IF($J245="",#N/A,SUM($CA$4:CA245))</f>
        <v>180.97158426187491</v>
      </c>
      <c r="CC245" s="194" t="str">
        <f t="shared" si="363"/>
        <v/>
      </c>
      <c r="CD245" s="194">
        <f>IF($J245="",#N/A,SUM($CC$4:CC245))</f>
        <v>-2.9903544749366251</v>
      </c>
      <c r="CE245" s="195">
        <f t="shared" si="364"/>
        <v>3.7491450068399446</v>
      </c>
      <c r="CF245" s="195">
        <f>IF($J245="",#N/A,SUM($CE$4:CE245))</f>
        <v>14.498472044626475</v>
      </c>
      <c r="CG245" s="196" t="str">
        <f t="shared" si="365"/>
        <v/>
      </c>
      <c r="CH245" s="196">
        <f>IF($J245="",#N/A,SUM($CG$4:CG245))</f>
        <v>5.1654602821377287</v>
      </c>
      <c r="CI245" s="200" t="str">
        <f t="shared" si="366"/>
        <v/>
      </c>
      <c r="CJ245" s="203">
        <f>IF($J245="",#N/A,SUM(CI$4:CI245))</f>
        <v>0</v>
      </c>
      <c r="CK245" s="204" t="str">
        <f t="shared" si="367"/>
        <v/>
      </c>
      <c r="CL245" s="204">
        <f>IF($J245="",#N/A,SUM(CK$4:CK245))</f>
        <v>1.9927003554442289</v>
      </c>
      <c r="CM245" s="205" t="str">
        <f t="shared" si="368"/>
        <v/>
      </c>
      <c r="CN245" s="205">
        <f>IF($J245="",#N/A,SUM(CM$4:CM245))</f>
        <v>3.3408347650393759</v>
      </c>
      <c r="CO245" s="205">
        <f>IF($J245="",#N/A,SUM(CM$4:CM245,CK$4:CK245,CI$4:CI245))</f>
        <v>5.3335351204836048</v>
      </c>
      <c r="CP245" s="200" t="str">
        <f t="shared" si="369"/>
        <v/>
      </c>
      <c r="CQ245" s="203">
        <f>IF($J245="",#N/A,SUM(CP$4:CP245))</f>
        <v>0</v>
      </c>
      <c r="CR245" s="204" t="str">
        <f t="shared" si="370"/>
        <v/>
      </c>
      <c r="CS245" s="204">
        <f>IF($J245="",#N/A,SUM(CR$4:CR245))</f>
        <v>4.6135245886817966</v>
      </c>
      <c r="CT245" s="205" t="str">
        <f t="shared" si="371"/>
        <v/>
      </c>
      <c r="CU245" s="205">
        <f>IF($J245="",#N/A,SUM(CT$4:CT245))</f>
        <v>-2.9040943753548785</v>
      </c>
      <c r="CV245" s="205">
        <f>IF($J245="",#N/A,SUM(CT$4:CT245,CR$4:CR245,CP$4:CP245))</f>
        <v>1.7094302133269181</v>
      </c>
      <c r="CW245" s="200" t="str">
        <f t="shared" si="372"/>
        <v/>
      </c>
      <c r="CX245" s="203">
        <f>IF($J245="",#N/A,SUM(CW$4:CW245))</f>
        <v>-0.33865165024245297</v>
      </c>
      <c r="CY245" s="204" t="str">
        <f t="shared" si="373"/>
        <v/>
      </c>
      <c r="CZ245" s="204">
        <f>IF($J245="",#N/A,SUM(CY$4:CY245))</f>
        <v>-8.9115263338952644E-2</v>
      </c>
      <c r="DA245" s="205" t="str">
        <f t="shared" si="374"/>
        <v/>
      </c>
      <c r="DB245" s="205">
        <f>IF($J245="",#N/A,SUM(DA$4:DA245))</f>
        <v>-2.2679577914291</v>
      </c>
      <c r="DC245" s="205">
        <f>IF($J245="",#N/A,SUM(DA$4:DA245,CY$4:CY245,CW$4:CW245))</f>
        <v>-2.6957247050105053</v>
      </c>
      <c r="DD245" s="200" t="str">
        <f t="shared" si="375"/>
        <v/>
      </c>
      <c r="DE245" s="203">
        <f>IF($J245="",#N/A,SUM(DD$4:DD245))</f>
        <v>0.24769343410817113</v>
      </c>
      <c r="DF245" s="204" t="str">
        <f t="shared" si="376"/>
        <v/>
      </c>
      <c r="DG245" s="204">
        <f>IF($J245="",#N/A,SUM(DF$4:DF245))</f>
        <v>1.5249935139936004</v>
      </c>
      <c r="DH245" s="205" t="str">
        <f t="shared" si="377"/>
        <v/>
      </c>
      <c r="DI245" s="205">
        <f>IF($J245="",#N/A,SUM(DH$4:DH245))</f>
        <v>-1.9066052078694633</v>
      </c>
      <c r="DJ245" s="205">
        <f>IF($J245="",#N/A,SUM(DH$4:DH245,DF$4:DF245,DD$4:DD245))</f>
        <v>-0.13391825976769156</v>
      </c>
      <c r="DK245" s="200" t="str">
        <f t="shared" si="378"/>
        <v/>
      </c>
      <c r="DL245" s="203">
        <f>IF($J245="",#N/A,SUM(DK$4:DK245))</f>
        <v>-1.2097286851272664</v>
      </c>
      <c r="DM245" s="204" t="str">
        <f t="shared" si="379"/>
        <v/>
      </c>
      <c r="DN245" s="204">
        <f>IF($J245="",#N/A,SUM(DM$4:DM245))</f>
        <v>3.0281848543081331</v>
      </c>
      <c r="DO245" s="205" t="str">
        <f t="shared" si="380"/>
        <v/>
      </c>
      <c r="DP245" s="205">
        <f>IF($J245="",#N/A,SUM(DO$4:DO245))</f>
        <v>2.700331529683047</v>
      </c>
      <c r="DQ245" s="205">
        <f>IF($J245="",#N/A,SUM(DO$4:DO245,DM$4:DM245,DK$4:DK245))</f>
        <v>4.518787698863914</v>
      </c>
      <c r="DR245" s="200" t="str">
        <f t="shared" si="381"/>
        <v/>
      </c>
      <c r="DS245" s="203">
        <f>IF($J245="",#N/A,SUM(DR$4:DR245))</f>
        <v>-0.55950946427675097</v>
      </c>
      <c r="DT245" s="204">
        <f t="shared" si="382"/>
        <v>3.7491450068399446</v>
      </c>
      <c r="DU245" s="204">
        <f>IF($J245="",#N/A,SUM(DT$4:DT245))</f>
        <v>5.8020102755427239E-2</v>
      </c>
      <c r="DV245" s="205" t="str">
        <f t="shared" si="383"/>
        <v/>
      </c>
      <c r="DW245" s="205">
        <f>IF($J245="",#N/A,SUM(DV$4:DV245))</f>
        <v>-1.2815650893103838</v>
      </c>
      <c r="DX245" s="205">
        <f>IF($J245="",#N/A,SUM(DV$4:DV245,DT$4:DT245,DR$4:DR245))</f>
        <v>-1.7830544508317079</v>
      </c>
      <c r="DY245" s="200" t="str">
        <f t="shared" si="384"/>
        <v/>
      </c>
      <c r="DZ245" s="203">
        <f>IF($J245="",#N/A,SUM(DY$4:DY245))</f>
        <v>-1.0460034109943892</v>
      </c>
      <c r="EA245" s="204" t="str">
        <f t="shared" si="385"/>
        <v/>
      </c>
      <c r="EB245" s="204">
        <f>IF($J245="",#N/A,SUM(EA$4:EA245))</f>
        <v>0.65158371441459195</v>
      </c>
      <c r="EC245" s="205" t="str">
        <f t="shared" si="386"/>
        <v/>
      </c>
      <c r="ED245" s="205">
        <f>IF($J245="",#N/A,SUM(EC$4:EC245))</f>
        <v>5.0841293998354304</v>
      </c>
      <c r="EE245" s="205">
        <f>IF($J245="",#N/A,SUM(EC$4:EC245,EA$4:EA245,DY$4:DY245))</f>
        <v>4.6897097032556321</v>
      </c>
      <c r="EF245" s="200" t="str">
        <f t="shared" si="387"/>
        <v/>
      </c>
      <c r="EG245" s="203">
        <f>IF($J245="",#N/A,SUM(EF$4:EF245))</f>
        <v>-0.15098969023521425</v>
      </c>
      <c r="EH245" s="204" t="str">
        <f t="shared" si="388"/>
        <v/>
      </c>
      <c r="EI245" s="204">
        <f>IF($J245="",#N/A,SUM(EH$4:EH245))</f>
        <v>-2.8640283518306258</v>
      </c>
      <c r="EJ245" s="205" t="str">
        <f t="shared" si="389"/>
        <v/>
      </c>
      <c r="EK245" s="205">
        <f>IF($J245="",#N/A,SUM(EJ$4:EJ245))</f>
        <v>5.050388173053765</v>
      </c>
      <c r="EL245" s="205">
        <f>IF($J245="",#N/A,SUM(EJ$4:EJ245,EH$4:EH245,EF$4:EF245))</f>
        <v>2.0353701309879249</v>
      </c>
      <c r="EM245" s="200" t="str">
        <f t="shared" si="390"/>
        <v/>
      </c>
      <c r="EN245" s="203">
        <f>IF($J245="",#N/A,SUM(EM$4:EM245))</f>
        <v>0</v>
      </c>
      <c r="EO245" s="204" t="str">
        <f t="shared" si="391"/>
        <v/>
      </c>
      <c r="EP245" s="204">
        <f>IF($J245="",#N/A,SUM(EO$4:EO245))</f>
        <v>3.2406646352184261</v>
      </c>
      <c r="EQ245" s="205" t="str">
        <f t="shared" si="392"/>
        <v/>
      </c>
      <c r="ER245" s="205">
        <f>IF($J245="",#N/A,SUM(EQ$4:EQ245))</f>
        <v>1.441536272249796</v>
      </c>
      <c r="ES245" s="205">
        <f>IF($J245="",#N/A,SUM(EQ$4:EQ245,EO$4:EO245,EM$4:EM245))</f>
        <v>4.6822009074682214</v>
      </c>
      <c r="ET245" s="200" t="str">
        <f t="shared" si="393"/>
        <v/>
      </c>
      <c r="EU245" s="203">
        <f>IF($J245="",#N/A,SUM(ET$4:ET245))</f>
        <v>0</v>
      </c>
      <c r="EV245" s="204" t="str">
        <f t="shared" si="394"/>
        <v/>
      </c>
      <c r="EW245" s="204">
        <f>IF($J245="",#N/A,SUM(EV$4:EV245))</f>
        <v>1.9901851109977766</v>
      </c>
      <c r="EX245" s="205" t="str">
        <f t="shared" si="395"/>
        <v/>
      </c>
      <c r="EY245" s="205">
        <f>IF($J245="",#N/A,SUM(EX$4:EX245))</f>
        <v>0.27113250180669229</v>
      </c>
      <c r="EZ245" s="205">
        <f>IF($J245="",#N/A,SUM(EX$4:EX245,EV$4:EV245,ET$4:ET245))</f>
        <v>2.2613176128044685</v>
      </c>
      <c r="FA245" s="200" t="str">
        <f t="shared" si="396"/>
        <v/>
      </c>
      <c r="FB245" s="203">
        <f>IF($J245="",#N/A,SUM(FA$4:FA245))</f>
        <v>0</v>
      </c>
      <c r="FC245" s="204" t="str">
        <f t="shared" si="397"/>
        <v/>
      </c>
      <c r="FD245" s="204">
        <f>IF($J245="",#N/A,SUM(FC$4:FC245))</f>
        <v>1.8692126759492278</v>
      </c>
      <c r="FE245" s="205" t="str">
        <f t="shared" si="398"/>
        <v/>
      </c>
      <c r="FF245" s="205">
        <f>IF($J245="",#N/A,SUM(FE$4:FE245))</f>
        <v>-0.28811149078748233</v>
      </c>
      <c r="FG245" s="205">
        <f>IF($J245="",#N/A,SUM(FE$4:FE245,FC$4:FC245,FA$4:FA245))</f>
        <v>1.5811011851617456</v>
      </c>
      <c r="FH245" s="200" t="str">
        <f t="shared" si="399"/>
        <v/>
      </c>
      <c r="FI245" s="203">
        <f>IF($J245="",#N/A,SUM(FH$4:FH245))</f>
        <v>0</v>
      </c>
      <c r="FJ245" s="204" t="str">
        <f t="shared" si="400"/>
        <v/>
      </c>
      <c r="FK245" s="204">
        <f>IF($J245="",#N/A,SUM(FJ$4:FJ245))</f>
        <v>0</v>
      </c>
      <c r="FL245" s="205" t="str">
        <f t="shared" si="401"/>
        <v/>
      </c>
      <c r="FM245" s="205">
        <f>IF($J245="",#N/A,SUM(FL$4:FL245))</f>
        <v>0</v>
      </c>
      <c r="FN245" s="205">
        <f>IF($J245="",#N/A,SUM(FL$4:FL245,FJ$4:FJ245,FH$4:FH245))</f>
        <v>0</v>
      </c>
      <c r="FO245" s="200" t="str">
        <f t="shared" si="402"/>
        <v/>
      </c>
      <c r="FP245" s="203">
        <f>IF($J245="",#N/A,SUM(FO$4:FO245))</f>
        <v>0</v>
      </c>
      <c r="FQ245" s="204" t="str">
        <f t="shared" si="403"/>
        <v/>
      </c>
      <c r="FR245" s="204">
        <f>IF($J245="",#N/A,SUM(FQ$4:FQ245))</f>
        <v>0</v>
      </c>
      <c r="FS245" s="205" t="str">
        <f t="shared" si="404"/>
        <v/>
      </c>
      <c r="FT245" s="205">
        <f>IF($J245="",#N/A,SUM(FS$4:FS245))</f>
        <v>0</v>
      </c>
      <c r="FU245" s="205">
        <f>IF($J245="",#N/A,SUM(FS$4:FS245,FQ$4:FQ245,FO$4:FO245))</f>
        <v>0</v>
      </c>
      <c r="FV245" s="200" t="str">
        <f t="shared" si="405"/>
        <v/>
      </c>
      <c r="FW245" s="203">
        <f>IF($J245="",#N/A,SUM(FV$4:FV245))</f>
        <v>6.6834991831277585E-2</v>
      </c>
      <c r="FX245" s="204" t="str">
        <f t="shared" si="406"/>
        <v/>
      </c>
      <c r="FY245" s="204">
        <f>IF($J245="",#N/A,SUM(FX$4:FX245))</f>
        <v>-0.16102012791805576</v>
      </c>
      <c r="FZ245" s="205" t="str">
        <f t="shared" si="407"/>
        <v/>
      </c>
      <c r="GA245" s="205">
        <f>IF($J245="",#N/A,SUM(FZ$4:FZ245))</f>
        <v>-1.1377221770567538</v>
      </c>
      <c r="GB245" s="205">
        <f>IF($J245="",#N/A,SUM(FZ$4:FZ245,FX$4:FX245,FV$4:FV245))</f>
        <v>-1.2319073131435321</v>
      </c>
      <c r="GC245" s="200" t="str">
        <f t="shared" si="408"/>
        <v/>
      </c>
      <c r="GD245" s="203">
        <f>IF($J245="",#N/A,SUM(GC$4:GC245))</f>
        <v>0</v>
      </c>
      <c r="GE245" s="204" t="str">
        <f t="shared" si="409"/>
        <v/>
      </c>
      <c r="GF245" s="204">
        <f>IF($J245="",#N/A,SUM(GE$4:GE245))</f>
        <v>0</v>
      </c>
      <c r="GG245" s="205" t="str">
        <f t="shared" si="410"/>
        <v/>
      </c>
      <c r="GH245" s="205">
        <f>IF($J245="",#N/A,SUM(GG$4:GG245))</f>
        <v>-2.9368362277223206</v>
      </c>
      <c r="GI245" s="205">
        <f>IF($J245="",#N/A,SUM(GG$4:GG245,GE$4:GE245,GC$4:GC245))</f>
        <v>-2.9368362277223206</v>
      </c>
      <c r="GJ245" s="200" t="str">
        <f t="shared" si="411"/>
        <v/>
      </c>
      <c r="GK245" s="203">
        <f>IF($J245="",#N/A,SUM(GJ$4:GJ245))</f>
        <v>0</v>
      </c>
      <c r="GL245" s="204" t="str">
        <f t="shared" si="412"/>
        <v/>
      </c>
      <c r="GM245" s="204">
        <f>IF($J245="",#N/A,SUM(GL$4:GL245))</f>
        <v>-1.6833790887309608</v>
      </c>
      <c r="GN245" s="205" t="str">
        <f t="shared" si="413"/>
        <v/>
      </c>
      <c r="GO245" s="205">
        <f>IF($J245="",#N/A,SUM(GN$4:GN245))</f>
        <v>0</v>
      </c>
      <c r="GP245" s="205">
        <f>IF($J245="",#N/A,SUM(GN$4:GN245,GL$4:GL245,GJ$4:GJ245))</f>
        <v>-1.6833790887309608</v>
      </c>
      <c r="GS245" s="54">
        <f t="shared" si="432"/>
        <v>3.7491450068399446</v>
      </c>
      <c r="GT245" s="54">
        <f>IF(GS245="",NA(),SUM($GS$4:GS245))</f>
        <v>10.543570101856478</v>
      </c>
      <c r="GU245" s="54" t="str">
        <f t="shared" si="414"/>
        <v/>
      </c>
      <c r="GV245" s="54" t="e">
        <f>IF(GU245="",NA(),SUM($GU$4:GU245))</f>
        <v>#N/A</v>
      </c>
      <c r="GW245" s="54" t="str">
        <f t="shared" si="415"/>
        <v/>
      </c>
      <c r="GX245" s="54" t="e">
        <f>IF(GW245="",NA(),SUM($GW$4:GW245))</f>
        <v>#N/A</v>
      </c>
      <c r="GY245" s="54">
        <f t="shared" si="416"/>
        <v>3.7491450068399446</v>
      </c>
      <c r="GZ245" s="54">
        <f>IF(GY245="",NA(),SUM($GY$4:GY245))</f>
        <v>6.9614279614436967</v>
      </c>
      <c r="HA245" s="54" t="str">
        <f t="shared" si="417"/>
        <v/>
      </c>
      <c r="HB245" s="54" t="e">
        <f>IF(HA245="",NA(),SUM($HA$4:HA245))</f>
        <v>#N/A</v>
      </c>
      <c r="HC245" s="54" t="str">
        <f t="shared" si="418"/>
        <v/>
      </c>
      <c r="HD245" s="54" t="e">
        <f>IF(HC245="",NA(),SUM($HC$4:HC245))</f>
        <v>#N/A</v>
      </c>
      <c r="HE245" s="54" t="str">
        <f t="shared" si="419"/>
        <v/>
      </c>
      <c r="HF245" s="54" t="e">
        <f>IF(HE245="",NA(),SUM($HE$4:HE245))</f>
        <v>#N/A</v>
      </c>
      <c r="HG245" s="54" t="str">
        <f t="shared" si="420"/>
        <v/>
      </c>
      <c r="HH245" s="54" t="e">
        <f>IF(HG245="",NA(),SUM($HG$4:HG245))</f>
        <v>#N/A</v>
      </c>
      <c r="HI245" s="172">
        <f t="shared" si="433"/>
        <v>-0.34342225262197967</v>
      </c>
      <c r="HJ245" s="172">
        <f>IF($J245="",#N/A,SUM(HI$4:$HI245))</f>
        <v>-7.3292850786959791</v>
      </c>
      <c r="HK245" s="54" t="str">
        <f t="shared" si="421"/>
        <v/>
      </c>
      <c r="HL245" s="54">
        <f>IF($J245="",#N/A,SUM($HK$4:HK245))</f>
        <v>-1.7994312195648086</v>
      </c>
      <c r="HM245" s="54" t="str">
        <f t="shared" si="422"/>
        <v/>
      </c>
      <c r="HN245" s="54">
        <f>IF($J245="",#N/A,SUM($HM$4:HM245))</f>
        <v>0.957348620978966</v>
      </c>
      <c r="HO245" s="54" t="str">
        <f t="shared" si="423"/>
        <v/>
      </c>
      <c r="HP245" s="54">
        <f>IF($J245="",#N/A,SUM($HO$4:HO245))</f>
        <v>-0.10266465451722628</v>
      </c>
      <c r="HQ245" s="54" t="str">
        <f t="shared" si="424"/>
        <v/>
      </c>
      <c r="HR245" s="54">
        <f>IF($J245="",#N/A,SUM($HQ$4:HQ245))</f>
        <v>-14.468541923104228</v>
      </c>
      <c r="HS245" s="54" t="str">
        <f t="shared" si="425"/>
        <v/>
      </c>
      <c r="HT245" s="54">
        <f>IF($J245="",#N/A,SUM($HS$4:HS245))</f>
        <v>13.860527932825759</v>
      </c>
      <c r="HU245" s="65">
        <f t="shared" si="426"/>
        <v>3.4057227542179649</v>
      </c>
      <c r="HV245" s="65">
        <f>IF($J245="",#N/A,SUM(HU$4:$HU245))</f>
        <v>7.7915315297500545</v>
      </c>
    </row>
    <row r="246" spans="1:230" x14ac:dyDescent="0.25">
      <c r="A246" s="51" t="s">
        <v>1267</v>
      </c>
      <c r="B246" s="52" t="s">
        <v>4563</v>
      </c>
      <c r="C246" s="229">
        <f t="shared" si="327"/>
        <v>3</v>
      </c>
      <c r="D246" s="219" t="str">
        <f>_xlfn.XLOOKUP(A246,[1]SP500!$A$2:$A$502,[1]SP500!$D$2:$D$502,"N")</f>
        <v>Y</v>
      </c>
      <c r="E246" s="51" t="str">
        <f>IFERROR(_xlfn.XLOOKUP(A246,[1]SP500!$A$2:$A$655,[1]SP500!$B$2:$B$655),"")</f>
        <v>XLY</v>
      </c>
      <c r="F246" s="290">
        <v>45778</v>
      </c>
      <c r="G246" s="51" t="str">
        <f t="shared" si="328"/>
        <v>AMC</v>
      </c>
      <c r="H246" s="51" t="str">
        <f t="shared" si="329"/>
        <v>s</v>
      </c>
      <c r="I246" s="344">
        <v>190.2</v>
      </c>
      <c r="J246" s="124">
        <v>191.435</v>
      </c>
      <c r="K246" s="55">
        <f t="shared" si="330"/>
        <v>6.4931650893796725E-3</v>
      </c>
      <c r="L246" s="67">
        <f t="shared" si="331"/>
        <v>7.4100000000003092</v>
      </c>
      <c r="M246" s="57">
        <f t="shared" si="332"/>
        <v>0.75</v>
      </c>
      <c r="N246" s="102">
        <f t="shared" si="333"/>
        <v>7.4100000000003092</v>
      </c>
      <c r="O246" s="57">
        <f>IF(N246="",#N/A,SUM($N$4:N246))</f>
        <v>825.61092465120907</v>
      </c>
      <c r="P246" s="65">
        <f t="shared" si="427"/>
        <v>0.10821941815633122</v>
      </c>
      <c r="Q246" s="172">
        <f>IF($N246="",#N/A,SUM($P$4:P246))</f>
        <v>16.781797269983905</v>
      </c>
      <c r="R246" s="279">
        <f t="shared" si="334"/>
        <v>3.1788454001462618</v>
      </c>
      <c r="S246" s="51" t="str">
        <f t="shared" si="335"/>
        <v>SW</v>
      </c>
      <c r="T246" s="51" t="s">
        <v>2828</v>
      </c>
      <c r="U246" s="56">
        <f t="shared" si="336"/>
        <v>190.2</v>
      </c>
      <c r="V246" s="56" t="s">
        <v>4460</v>
      </c>
      <c r="W246" s="142">
        <v>6</v>
      </c>
      <c r="X246" s="145">
        <f t="shared" si="337"/>
        <v>1141.1999999999998</v>
      </c>
      <c r="Y246" s="140">
        <f t="shared" si="338"/>
        <v>6</v>
      </c>
      <c r="Z246" s="123">
        <v>191.56</v>
      </c>
      <c r="AA246" s="102">
        <f t="shared" si="339"/>
        <v>8.1600000000003092</v>
      </c>
      <c r="AB246" s="102">
        <f t="shared" si="340"/>
        <v>-1.3199999999999363</v>
      </c>
      <c r="AC246" s="124">
        <v>189.98</v>
      </c>
      <c r="AD246" s="155">
        <f t="shared" si="341"/>
        <v>-1.3199999999999363</v>
      </c>
      <c r="AE246" s="545">
        <f t="shared" si="342"/>
        <v>-1.9277953031895327E-2</v>
      </c>
      <c r="AF246" s="57">
        <f>IF($AC246="",#N/A,SUM(AD$4:AD246))</f>
        <v>401.66087220737961</v>
      </c>
      <c r="AG246" s="102">
        <f t="shared" si="343"/>
        <v>-8.7300000000002456</v>
      </c>
      <c r="AH246" s="56" t="s">
        <v>2507</v>
      </c>
      <c r="AI246" s="65">
        <f t="shared" si="344"/>
        <v>0.11917280056081773</v>
      </c>
      <c r="AJ246" s="108">
        <f>IF(AI246="",#N/A,SUM($AI$4:AI246))</f>
        <v>13.602951869837643</v>
      </c>
      <c r="AK246" s="57">
        <f t="shared" si="345"/>
        <v>8.1600000000003092</v>
      </c>
      <c r="AL246" s="66">
        <f>IF(AI246="",#N/A,IF(AH246="Skip",SUM($AK$4:AK246),SUM($AK$4:AK246)))</f>
        <v>604.36759149281431</v>
      </c>
      <c r="AM246" s="65">
        <f t="shared" si="428"/>
        <v>-1.9277953031895327E-2</v>
      </c>
      <c r="AN246" s="209"/>
      <c r="AO246" s="65">
        <f t="shared" si="346"/>
        <v>-1.9277953031895327E-2</v>
      </c>
      <c r="AP246" s="65">
        <f>IF($AC246="",#N/A,SUM(AO$4:AO246))</f>
        <v>4.5381683388273624</v>
      </c>
      <c r="AQ246" s="65" t="str">
        <f t="shared" si="347"/>
        <v/>
      </c>
      <c r="AR246" s="65">
        <f>IF($AC246="",#N/A,SUM(AQ$4:AQ246))</f>
        <v>-2.1356705084748859</v>
      </c>
      <c r="AS246" s="65" t="str">
        <f t="shared" si="348"/>
        <v/>
      </c>
      <c r="AT246" s="65">
        <f>IF($AC246="",#N/A,SUM(AS$4:AS246))</f>
        <v>5.36975574636568</v>
      </c>
      <c r="AU246" s="57">
        <f t="shared" si="429"/>
        <v>-1.3199999999999363</v>
      </c>
      <c r="AV246" s="57">
        <f>IF($AC246="",#N/A,SUM(AU$4:AU246))</f>
        <v>186.04249066104705</v>
      </c>
      <c r="AW246" s="57" t="str">
        <f t="shared" si="430"/>
        <v/>
      </c>
      <c r="AX246" s="57">
        <f>IF($AC246="",#N/A,SUM(AW$4:AW246))</f>
        <v>-132.30000000000018</v>
      </c>
      <c r="AY246" s="57" t="str">
        <f t="shared" si="431"/>
        <v/>
      </c>
      <c r="AZ246" s="57">
        <f>IF($AC246="",#N/A,SUM(AY$4:AY246))</f>
        <v>347.91838154633274</v>
      </c>
      <c r="BA246" s="57">
        <f>IF(AD246="",#N/A,SUM($AD$4:AD246))</f>
        <v>401.66087220737961</v>
      </c>
      <c r="BC246" s="51" t="str">
        <f t="shared" si="349"/>
        <v/>
      </c>
      <c r="BD246" s="51" t="str">
        <f t="shared" si="350"/>
        <v/>
      </c>
      <c r="BE246" s="51">
        <f t="shared" si="351"/>
        <v>1</v>
      </c>
      <c r="BF246" s="51" t="str">
        <f t="shared" si="352"/>
        <v>Long</v>
      </c>
      <c r="BG246" s="51" t="str">
        <f t="shared" si="353"/>
        <v/>
      </c>
      <c r="BH246" s="51" t="str">
        <f t="shared" si="354"/>
        <v/>
      </c>
      <c r="BI246" s="51" t="str">
        <f t="shared" si="355"/>
        <v/>
      </c>
      <c r="BK246" s="65">
        <f t="shared" si="435"/>
        <v>0.15408563050838814</v>
      </c>
      <c r="BL246" s="65">
        <f t="shared" si="434"/>
        <v>0.26751860662811522</v>
      </c>
      <c r="BM246" s="65">
        <f>IFERROR(Q246/COUNTA($J$4:J246),#N/A)</f>
        <v>6.9060894115160101E-2</v>
      </c>
      <c r="BO246" s="489">
        <f>IF(J246="",#N/A,IF(S246="SW",(COUNTIFS(K$4:$K246,"&gt;0",S$4:$S246,"SW")/COUNTIF(S$4:$S246,"SW")),#N/A))</f>
        <v>0.5078125</v>
      </c>
      <c r="BP246" s="489" t="e">
        <f>IF($J246="",#N/A,IF($S246="DWN",(COUNTIFS($K$4:$K246,"&lt;0",$S$4:$S246,"DWN")/COUNTIF($S$4:$S246,"DWN")),#N/A))</f>
        <v>#N/A</v>
      </c>
      <c r="BQ246" s="489" t="e">
        <f>IF($J246="",#N/A,IF($S246="UP",(COUNTIFS($K$4:$K246,"&gt;0",$S$4:$S246,"UP")/COUNTIF($S$4:$S246,"UP")),#N/A))</f>
        <v>#N/A</v>
      </c>
      <c r="BR246" s="489">
        <f>IF(J246="",#N/A,COUNTIF($K$4:K246,"&gt;0")/COUNT($J$4:J246))</f>
        <v>0.46090534979423869</v>
      </c>
      <c r="BS246" s="65">
        <f t="shared" si="356"/>
        <v>0.10821941815633122</v>
      </c>
      <c r="BT246" s="65" t="str">
        <f t="shared" si="357"/>
        <v/>
      </c>
      <c r="BU246" s="65" t="str">
        <f t="shared" si="358"/>
        <v/>
      </c>
      <c r="BV246" s="65" t="str">
        <f t="shared" si="359"/>
        <v/>
      </c>
      <c r="BW246" s="128" t="str">
        <f t="shared" si="360"/>
        <v/>
      </c>
      <c r="BX246" s="128">
        <f>IF($J246="",#N/A,SUM($BW$4:BW246))</f>
        <v>-192.33000000000061</v>
      </c>
      <c r="BY246" s="131" t="str">
        <f t="shared" si="361"/>
        <v/>
      </c>
      <c r="BZ246" s="131">
        <f>IF($J246="",#N/A,SUM($BY$4:BY246))</f>
        <v>829.55934038933447</v>
      </c>
      <c r="CA246" s="133">
        <f t="shared" si="362"/>
        <v>7.4100000000003092</v>
      </c>
      <c r="CB246" s="133">
        <f>IF($J246="",#N/A,SUM($CA$4:CA246))</f>
        <v>188.38158426187522</v>
      </c>
      <c r="CC246" s="194" t="str">
        <f t="shared" si="363"/>
        <v/>
      </c>
      <c r="CD246" s="194">
        <f>IF($J246="",#N/A,SUM($CC$4:CC246))</f>
        <v>-2.9903544749366251</v>
      </c>
      <c r="CE246" s="195" t="str">
        <f t="shared" si="364"/>
        <v/>
      </c>
      <c r="CF246" s="195">
        <f>IF($J246="",#N/A,SUM($CE$4:CE246))</f>
        <v>14.498472044626475</v>
      </c>
      <c r="CG246" s="196">
        <f t="shared" si="365"/>
        <v>0.10821941815633122</v>
      </c>
      <c r="CH246" s="196">
        <f>IF($J246="",#N/A,SUM($CG$4:CG246))</f>
        <v>5.2736797002940596</v>
      </c>
      <c r="CI246" s="200" t="str">
        <f t="shared" si="366"/>
        <v/>
      </c>
      <c r="CJ246" s="203">
        <f>IF($J246="",#N/A,SUM(CI$4:CI246))</f>
        <v>0</v>
      </c>
      <c r="CK246" s="204" t="str">
        <f t="shared" si="367"/>
        <v/>
      </c>
      <c r="CL246" s="204">
        <f>IF($J246="",#N/A,SUM(CK$4:CK246))</f>
        <v>1.9927003554442289</v>
      </c>
      <c r="CM246" s="205" t="str">
        <f t="shared" si="368"/>
        <v/>
      </c>
      <c r="CN246" s="205">
        <f>IF($J246="",#N/A,SUM(CM$4:CM246))</f>
        <v>3.3408347650393759</v>
      </c>
      <c r="CO246" s="205">
        <f>IF($J246="",#N/A,SUM(CM$4:CM246,CK$4:CK246,CI$4:CI246))</f>
        <v>5.3335351204836048</v>
      </c>
      <c r="CP246" s="200" t="str">
        <f t="shared" si="369"/>
        <v/>
      </c>
      <c r="CQ246" s="203">
        <f>IF($J246="",#N/A,SUM(CP$4:CP246))</f>
        <v>0</v>
      </c>
      <c r="CR246" s="204" t="str">
        <f t="shared" si="370"/>
        <v/>
      </c>
      <c r="CS246" s="204">
        <f>IF($J246="",#N/A,SUM(CR$4:CR246))</f>
        <v>4.6135245886817966</v>
      </c>
      <c r="CT246" s="205" t="str">
        <f t="shared" si="371"/>
        <v/>
      </c>
      <c r="CU246" s="205">
        <f>IF($J246="",#N/A,SUM(CT$4:CT246))</f>
        <v>-2.9040943753548785</v>
      </c>
      <c r="CV246" s="205">
        <f>IF($J246="",#N/A,SUM(CT$4:CT246,CR$4:CR246,CP$4:CP246))</f>
        <v>1.7094302133269181</v>
      </c>
      <c r="CW246" s="200" t="str">
        <f t="shared" si="372"/>
        <v/>
      </c>
      <c r="CX246" s="203">
        <f>IF($J246="",#N/A,SUM(CW$4:CW246))</f>
        <v>-0.33865165024245297</v>
      </c>
      <c r="CY246" s="204" t="str">
        <f t="shared" si="373"/>
        <v/>
      </c>
      <c r="CZ246" s="204">
        <f>IF($J246="",#N/A,SUM(CY$4:CY246))</f>
        <v>-8.9115263338952644E-2</v>
      </c>
      <c r="DA246" s="205">
        <f t="shared" si="374"/>
        <v>0.10821941815633122</v>
      </c>
      <c r="DB246" s="205">
        <f>IF($J246="",#N/A,SUM(DA$4:DA246))</f>
        <v>-2.1597383732727686</v>
      </c>
      <c r="DC246" s="205">
        <f>IF($J246="",#N/A,SUM(DA$4:DA246,CY$4:CY246,CW$4:CW246))</f>
        <v>-2.5875052868541744</v>
      </c>
      <c r="DD246" s="200" t="str">
        <f t="shared" si="375"/>
        <v/>
      </c>
      <c r="DE246" s="203">
        <f>IF($J246="",#N/A,SUM(DD$4:DD246))</f>
        <v>0.24769343410817113</v>
      </c>
      <c r="DF246" s="204" t="str">
        <f t="shared" si="376"/>
        <v/>
      </c>
      <c r="DG246" s="204">
        <f>IF($J246="",#N/A,SUM(DF$4:DF246))</f>
        <v>1.5249935139936004</v>
      </c>
      <c r="DH246" s="205" t="str">
        <f t="shared" si="377"/>
        <v/>
      </c>
      <c r="DI246" s="205">
        <f>IF($J246="",#N/A,SUM(DH$4:DH246))</f>
        <v>-1.9066052078694633</v>
      </c>
      <c r="DJ246" s="205">
        <f>IF($J246="",#N/A,SUM(DH$4:DH246,DF$4:DF246,DD$4:DD246))</f>
        <v>-0.13391825976769156</v>
      </c>
      <c r="DK246" s="200" t="str">
        <f t="shared" si="378"/>
        <v/>
      </c>
      <c r="DL246" s="203">
        <f>IF($J246="",#N/A,SUM(DK$4:DK246))</f>
        <v>-1.2097286851272664</v>
      </c>
      <c r="DM246" s="204" t="str">
        <f t="shared" si="379"/>
        <v/>
      </c>
      <c r="DN246" s="204">
        <f>IF($J246="",#N/A,SUM(DM$4:DM246))</f>
        <v>3.0281848543081331</v>
      </c>
      <c r="DO246" s="205" t="str">
        <f t="shared" si="380"/>
        <v/>
      </c>
      <c r="DP246" s="205">
        <f>IF($J246="",#N/A,SUM(DO$4:DO246))</f>
        <v>2.700331529683047</v>
      </c>
      <c r="DQ246" s="205">
        <f>IF($J246="",#N/A,SUM(DO$4:DO246,DM$4:DM246,DK$4:DK246))</f>
        <v>4.518787698863914</v>
      </c>
      <c r="DR246" s="200" t="str">
        <f t="shared" si="381"/>
        <v/>
      </c>
      <c r="DS246" s="203">
        <f>IF($J246="",#N/A,SUM(DR$4:DR246))</f>
        <v>-0.55950946427675097</v>
      </c>
      <c r="DT246" s="204" t="str">
        <f t="shared" si="382"/>
        <v/>
      </c>
      <c r="DU246" s="204">
        <f>IF($J246="",#N/A,SUM(DT$4:DT246))</f>
        <v>5.8020102755427239E-2</v>
      </c>
      <c r="DV246" s="205" t="str">
        <f t="shared" si="383"/>
        <v/>
      </c>
      <c r="DW246" s="205">
        <f>IF($J246="",#N/A,SUM(DV$4:DV246))</f>
        <v>-1.2815650893103838</v>
      </c>
      <c r="DX246" s="205">
        <f>IF($J246="",#N/A,SUM(DV$4:DV246,DT$4:DT246,DR$4:DR246))</f>
        <v>-1.7830544508317079</v>
      </c>
      <c r="DY246" s="200" t="str">
        <f t="shared" si="384"/>
        <v/>
      </c>
      <c r="DZ246" s="203">
        <f>IF($J246="",#N/A,SUM(DY$4:DY246))</f>
        <v>-1.0460034109943892</v>
      </c>
      <c r="EA246" s="204" t="str">
        <f t="shared" si="385"/>
        <v/>
      </c>
      <c r="EB246" s="204">
        <f>IF($J246="",#N/A,SUM(EA$4:EA246))</f>
        <v>0.65158371441459195</v>
      </c>
      <c r="EC246" s="205" t="str">
        <f t="shared" si="386"/>
        <v/>
      </c>
      <c r="ED246" s="205">
        <f>IF($J246="",#N/A,SUM(EC$4:EC246))</f>
        <v>5.0841293998354304</v>
      </c>
      <c r="EE246" s="205">
        <f>IF($J246="",#N/A,SUM(EC$4:EC246,EA$4:EA246,DY$4:DY246))</f>
        <v>4.6897097032556321</v>
      </c>
      <c r="EF246" s="200" t="str">
        <f t="shared" si="387"/>
        <v/>
      </c>
      <c r="EG246" s="203">
        <f>IF($J246="",#N/A,SUM(EF$4:EF246))</f>
        <v>-0.15098969023521425</v>
      </c>
      <c r="EH246" s="204" t="str">
        <f t="shared" si="388"/>
        <v/>
      </c>
      <c r="EI246" s="204">
        <f>IF($J246="",#N/A,SUM(EH$4:EH246))</f>
        <v>-2.8640283518306258</v>
      </c>
      <c r="EJ246" s="205" t="str">
        <f t="shared" si="389"/>
        <v/>
      </c>
      <c r="EK246" s="205">
        <f>IF($J246="",#N/A,SUM(EJ$4:EJ246))</f>
        <v>5.050388173053765</v>
      </c>
      <c r="EL246" s="205">
        <f>IF($J246="",#N/A,SUM(EJ$4:EJ246,EH$4:EH246,EF$4:EF246))</f>
        <v>2.0353701309879249</v>
      </c>
      <c r="EM246" s="200" t="str">
        <f t="shared" si="390"/>
        <v/>
      </c>
      <c r="EN246" s="203">
        <f>IF($J246="",#N/A,SUM(EM$4:EM246))</f>
        <v>0</v>
      </c>
      <c r="EO246" s="204" t="str">
        <f t="shared" si="391"/>
        <v/>
      </c>
      <c r="EP246" s="204">
        <f>IF($J246="",#N/A,SUM(EO$4:EO246))</f>
        <v>3.2406646352184261</v>
      </c>
      <c r="EQ246" s="205" t="str">
        <f t="shared" si="392"/>
        <v/>
      </c>
      <c r="ER246" s="205">
        <f>IF($J246="",#N/A,SUM(EQ$4:EQ246))</f>
        <v>1.441536272249796</v>
      </c>
      <c r="ES246" s="205">
        <f>IF($J246="",#N/A,SUM(EQ$4:EQ246,EO$4:EO246,EM$4:EM246))</f>
        <v>4.6822009074682214</v>
      </c>
      <c r="ET246" s="200" t="str">
        <f t="shared" si="393"/>
        <v/>
      </c>
      <c r="EU246" s="203">
        <f>IF($J246="",#N/A,SUM(ET$4:ET246))</f>
        <v>0</v>
      </c>
      <c r="EV246" s="204" t="str">
        <f t="shared" si="394"/>
        <v/>
      </c>
      <c r="EW246" s="204">
        <f>IF($J246="",#N/A,SUM(EV$4:EV246))</f>
        <v>1.9901851109977766</v>
      </c>
      <c r="EX246" s="205" t="str">
        <f t="shared" si="395"/>
        <v/>
      </c>
      <c r="EY246" s="205">
        <f>IF($J246="",#N/A,SUM(EX$4:EX246))</f>
        <v>0.27113250180669229</v>
      </c>
      <c r="EZ246" s="205">
        <f>IF($J246="",#N/A,SUM(EX$4:EX246,EV$4:EV246,ET$4:ET246))</f>
        <v>2.2613176128044685</v>
      </c>
      <c r="FA246" s="200" t="str">
        <f t="shared" si="396"/>
        <v/>
      </c>
      <c r="FB246" s="203">
        <f>IF($J246="",#N/A,SUM(FA$4:FA246))</f>
        <v>0</v>
      </c>
      <c r="FC246" s="204" t="str">
        <f t="shared" si="397"/>
        <v/>
      </c>
      <c r="FD246" s="204">
        <f>IF($J246="",#N/A,SUM(FC$4:FC246))</f>
        <v>1.8692126759492278</v>
      </c>
      <c r="FE246" s="205" t="str">
        <f t="shared" si="398"/>
        <v/>
      </c>
      <c r="FF246" s="205">
        <f>IF($J246="",#N/A,SUM(FE$4:FE246))</f>
        <v>-0.28811149078748233</v>
      </c>
      <c r="FG246" s="205">
        <f>IF($J246="",#N/A,SUM(FE$4:FE246,FC$4:FC246,FA$4:FA246))</f>
        <v>1.5811011851617456</v>
      </c>
      <c r="FH246" s="200" t="str">
        <f t="shared" si="399"/>
        <v/>
      </c>
      <c r="FI246" s="203">
        <f>IF($J246="",#N/A,SUM(FH$4:FH246))</f>
        <v>0</v>
      </c>
      <c r="FJ246" s="204" t="str">
        <f t="shared" si="400"/>
        <v/>
      </c>
      <c r="FK246" s="204">
        <f>IF($J246="",#N/A,SUM(FJ$4:FJ246))</f>
        <v>0</v>
      </c>
      <c r="FL246" s="205" t="str">
        <f t="shared" si="401"/>
        <v/>
      </c>
      <c r="FM246" s="205">
        <f>IF($J246="",#N/A,SUM(FL$4:FL246))</f>
        <v>0</v>
      </c>
      <c r="FN246" s="205">
        <f>IF($J246="",#N/A,SUM(FL$4:FL246,FJ$4:FJ246,FH$4:FH246))</f>
        <v>0</v>
      </c>
      <c r="FO246" s="200" t="str">
        <f t="shared" si="402"/>
        <v/>
      </c>
      <c r="FP246" s="203">
        <f>IF($J246="",#N/A,SUM(FO$4:FO246))</f>
        <v>0</v>
      </c>
      <c r="FQ246" s="204" t="str">
        <f t="shared" si="403"/>
        <v/>
      </c>
      <c r="FR246" s="204">
        <f>IF($J246="",#N/A,SUM(FQ$4:FQ246))</f>
        <v>0</v>
      </c>
      <c r="FS246" s="205" t="str">
        <f t="shared" si="404"/>
        <v/>
      </c>
      <c r="FT246" s="205">
        <f>IF($J246="",#N/A,SUM(FS$4:FS246))</f>
        <v>0</v>
      </c>
      <c r="FU246" s="205">
        <f>IF($J246="",#N/A,SUM(FS$4:FS246,FQ$4:FQ246,FO$4:FO246))</f>
        <v>0</v>
      </c>
      <c r="FV246" s="200" t="str">
        <f t="shared" si="405"/>
        <v/>
      </c>
      <c r="FW246" s="203">
        <f>IF($J246="",#N/A,SUM(FV$4:FV246))</f>
        <v>6.6834991831277585E-2</v>
      </c>
      <c r="FX246" s="204" t="str">
        <f t="shared" si="406"/>
        <v/>
      </c>
      <c r="FY246" s="204">
        <f>IF($J246="",#N/A,SUM(FX$4:FX246))</f>
        <v>-0.16102012791805576</v>
      </c>
      <c r="FZ246" s="205" t="str">
        <f t="shared" si="407"/>
        <v/>
      </c>
      <c r="GA246" s="205">
        <f>IF($J246="",#N/A,SUM(FZ$4:FZ246))</f>
        <v>-1.1377221770567538</v>
      </c>
      <c r="GB246" s="205">
        <f>IF($J246="",#N/A,SUM(FZ$4:FZ246,FX$4:FX246,FV$4:FV246))</f>
        <v>-1.2319073131435321</v>
      </c>
      <c r="GC246" s="200" t="str">
        <f t="shared" si="408"/>
        <v/>
      </c>
      <c r="GD246" s="203">
        <f>IF($J246="",#N/A,SUM(GC$4:GC246))</f>
        <v>0</v>
      </c>
      <c r="GE246" s="204" t="str">
        <f t="shared" si="409"/>
        <v/>
      </c>
      <c r="GF246" s="204">
        <f>IF($J246="",#N/A,SUM(GE$4:GE246))</f>
        <v>0</v>
      </c>
      <c r="GG246" s="205" t="str">
        <f t="shared" si="410"/>
        <v/>
      </c>
      <c r="GH246" s="205">
        <f>IF($J246="",#N/A,SUM(GG$4:GG246))</f>
        <v>-2.9368362277223206</v>
      </c>
      <c r="GI246" s="205">
        <f>IF($J246="",#N/A,SUM(GG$4:GG246,GE$4:GE246,GC$4:GC246))</f>
        <v>-2.9368362277223206</v>
      </c>
      <c r="GJ246" s="200" t="str">
        <f t="shared" si="411"/>
        <v/>
      </c>
      <c r="GK246" s="203">
        <f>IF($J246="",#N/A,SUM(GJ$4:GJ246))</f>
        <v>0</v>
      </c>
      <c r="GL246" s="204" t="str">
        <f t="shared" si="412"/>
        <v/>
      </c>
      <c r="GM246" s="204">
        <f>IF($J246="",#N/A,SUM(GL$4:GL246))</f>
        <v>-1.6833790887309608</v>
      </c>
      <c r="GN246" s="205" t="str">
        <f t="shared" si="413"/>
        <v/>
      </c>
      <c r="GO246" s="205">
        <f>IF($J246="",#N/A,SUM(GN$4:GN246))</f>
        <v>0</v>
      </c>
      <c r="GP246" s="205">
        <f>IF($J246="",#N/A,SUM(GN$4:GN246,GL$4:GL246,GJ$4:GJ246))</f>
        <v>-1.6833790887309608</v>
      </c>
      <c r="GS246" s="54">
        <f t="shared" si="432"/>
        <v>0.10821941815633122</v>
      </c>
      <c r="GT246" s="54">
        <f>IF(GS246="",NA(),SUM($GS$4:GS246))</f>
        <v>10.651789520012809</v>
      </c>
      <c r="GU246" s="54" t="str">
        <f t="shared" si="414"/>
        <v/>
      </c>
      <c r="GV246" s="54" t="e">
        <f>IF(GU246="",NA(),SUM($GU$4:GU246))</f>
        <v>#N/A</v>
      </c>
      <c r="GW246" s="54">
        <f t="shared" si="415"/>
        <v>0.10821941815633122</v>
      </c>
      <c r="GX246" s="54">
        <f>IF(GW246="",NA(),SUM($GW$4:GW246))</f>
        <v>6.6807160335057416</v>
      </c>
      <c r="GY246" s="54" t="str">
        <f t="shared" si="416"/>
        <v/>
      </c>
      <c r="GZ246" s="54" t="e">
        <f>IF(GY246="",NA(),SUM($GY$4:GY246))</f>
        <v>#N/A</v>
      </c>
      <c r="HA246" s="54" t="str">
        <f t="shared" si="417"/>
        <v/>
      </c>
      <c r="HB246" s="54" t="e">
        <f>IF(HA246="",NA(),SUM($HA$4:HA246))</f>
        <v>#N/A</v>
      </c>
      <c r="HC246" s="54" t="str">
        <f t="shared" si="418"/>
        <v/>
      </c>
      <c r="HD246" s="54" t="e">
        <f>IF(HC246="",NA(),SUM($HC$4:HC246))</f>
        <v>#N/A</v>
      </c>
      <c r="HE246" s="54" t="str">
        <f t="shared" si="419"/>
        <v/>
      </c>
      <c r="HF246" s="54" t="e">
        <f>IF(HE246="",NA(),SUM($HE$4:HE246))</f>
        <v>#N/A</v>
      </c>
      <c r="HG246" s="54" t="str">
        <f t="shared" si="420"/>
        <v/>
      </c>
      <c r="HH246" s="54" t="e">
        <f>IF(HG246="",NA(),SUM($HG$4:HG246))</f>
        <v>#N/A</v>
      </c>
      <c r="HI246" s="172" t="str">
        <f t="shared" si="433"/>
        <v/>
      </c>
      <c r="HJ246" s="172">
        <f>IF($J246="",#N/A,SUM(HI$4:$HI246))</f>
        <v>-7.3292850786959791</v>
      </c>
      <c r="HK246" s="54" t="str">
        <f t="shared" si="421"/>
        <v/>
      </c>
      <c r="HL246" s="54">
        <f>IF($J246="",#N/A,SUM($HK$4:HK246))</f>
        <v>-1.7994312195648086</v>
      </c>
      <c r="HM246" s="54" t="str">
        <f t="shared" si="422"/>
        <v/>
      </c>
      <c r="HN246" s="54">
        <f>IF($J246="",#N/A,SUM($HM$4:HM246))</f>
        <v>0.957348620978966</v>
      </c>
      <c r="HO246" s="54" t="str">
        <f t="shared" si="423"/>
        <v/>
      </c>
      <c r="HP246" s="54">
        <f>IF($J246="",#N/A,SUM($HO$4:HO246))</f>
        <v>-0.10266465451722628</v>
      </c>
      <c r="HQ246" s="54">
        <f t="shared" si="424"/>
        <v>-0.12749737118822654</v>
      </c>
      <c r="HR246" s="54">
        <f>IF($J246="",#N/A,SUM($HQ$4:HQ246))</f>
        <v>-14.596039294292455</v>
      </c>
      <c r="HS246" s="54" t="str">
        <f t="shared" si="425"/>
        <v/>
      </c>
      <c r="HT246" s="54">
        <f>IF($J246="",#N/A,SUM($HS$4:HS246))</f>
        <v>13.860527932825759</v>
      </c>
      <c r="HU246" s="65">
        <f t="shared" si="426"/>
        <v>-1.9277953031895327E-2</v>
      </c>
      <c r="HV246" s="65">
        <f>IF($J246="",#N/A,SUM(HU$4:$HU246))</f>
        <v>7.7722535767181595</v>
      </c>
    </row>
    <row r="247" spans="1:230" x14ac:dyDescent="0.25">
      <c r="A247" s="275" t="s">
        <v>652</v>
      </c>
      <c r="B247" s="52" t="s">
        <v>4563</v>
      </c>
      <c r="C247" s="276">
        <f t="shared" si="327"/>
        <v>2</v>
      </c>
      <c r="D247" s="277" t="str">
        <f>_xlfn.XLOOKUP(A247,[1]SP500!$A$2:$A$502,[1]SP500!$D$2:$D$502,"N")</f>
        <v>Y</v>
      </c>
      <c r="E247" s="275" t="str">
        <f>IFERROR(_xlfn.XLOOKUP(A247,[1]SP500!$A$2:$A$655,[1]SP500!$B$2:$B$655),"")</f>
        <v>XLY</v>
      </c>
      <c r="F247" s="290">
        <v>45778</v>
      </c>
      <c r="G247" s="51" t="str">
        <f t="shared" si="328"/>
        <v>AMC</v>
      </c>
      <c r="H247" s="51" t="str">
        <f t="shared" si="329"/>
        <v>s</v>
      </c>
      <c r="I247" s="344">
        <v>124.01</v>
      </c>
      <c r="J247" s="124">
        <v>121.1</v>
      </c>
      <c r="K247" s="55">
        <f t="shared" si="330"/>
        <v>-2.3465849528263936E-2</v>
      </c>
      <c r="L247" s="67">
        <f t="shared" si="331"/>
        <v>26.190000000000282</v>
      </c>
      <c r="M247" s="57">
        <f t="shared" si="332"/>
        <v>-8.1000000000001364</v>
      </c>
      <c r="N247" s="102">
        <f t="shared" si="333"/>
        <v>26.190000000000282</v>
      </c>
      <c r="O247" s="57">
        <f>IF(N247="",#N/A,SUM($N$4:N247))</f>
        <v>851.80092465120936</v>
      </c>
      <c r="P247" s="65">
        <f t="shared" si="427"/>
        <v>0.39109749213773504</v>
      </c>
      <c r="Q247" s="172">
        <f>IF($N247="",#N/A,SUM($P$4:P247))</f>
        <v>17.17289476212164</v>
      </c>
      <c r="R247" s="279">
        <f t="shared" si="334"/>
        <v>3.2998033874053565</v>
      </c>
      <c r="S247" s="51" t="str">
        <f t="shared" si="335"/>
        <v>Dwn</v>
      </c>
      <c r="T247" s="51" t="s">
        <v>4462</v>
      </c>
      <c r="U247" s="56">
        <f t="shared" si="336"/>
        <v>124.01</v>
      </c>
      <c r="V247" s="56" t="s">
        <v>4458</v>
      </c>
      <c r="W247" s="142">
        <v>9</v>
      </c>
      <c r="X247" s="145">
        <f t="shared" si="337"/>
        <v>1116.0900000000001</v>
      </c>
      <c r="Y247" s="140">
        <f t="shared" si="338"/>
        <v>9</v>
      </c>
      <c r="Z247" s="123">
        <v>122</v>
      </c>
      <c r="AA247" s="102">
        <f t="shared" si="339"/>
        <v>18.090000000000146</v>
      </c>
      <c r="AB247" s="102">
        <f t="shared" si="340"/>
        <v>-11.25</v>
      </c>
      <c r="AC247" s="124">
        <v>125.26</v>
      </c>
      <c r="AD247" s="155">
        <f t="shared" si="341"/>
        <v>-11.25</v>
      </c>
      <c r="AE247" s="545">
        <f t="shared" si="342"/>
        <v>-0.16799720452651667</v>
      </c>
      <c r="AF247" s="57">
        <f>IF($AC247="",#N/A,SUM(AD$4:AD247))</f>
        <v>390.41087220737961</v>
      </c>
      <c r="AG247" s="102">
        <f t="shared" si="343"/>
        <v>-37.440000000000282</v>
      </c>
      <c r="AH247" s="56" t="s">
        <v>2507</v>
      </c>
      <c r="AI247" s="65">
        <f t="shared" si="344"/>
        <v>0.27013950487864097</v>
      </c>
      <c r="AJ247" s="108">
        <f>IF(AI247="",#N/A,SUM($AI$4:AI247))</f>
        <v>13.873091374716283</v>
      </c>
      <c r="AK247" s="57">
        <f t="shared" si="345"/>
        <v>18.090000000000146</v>
      </c>
      <c r="AL247" s="66">
        <f>IF(AI247="",#N/A,IF(AH247="Skip",SUM($AK$4:AK247),SUM($AK$4:AK247)))</f>
        <v>622.45759149281446</v>
      </c>
      <c r="AM247" s="65">
        <f t="shared" si="428"/>
        <v>-0.16799720452651667</v>
      </c>
      <c r="AN247" s="209"/>
      <c r="AO247" s="65" t="str">
        <f t="shared" si="346"/>
        <v/>
      </c>
      <c r="AP247" s="65">
        <f>IF($AC247="",#N/A,SUM(AO$4:AO247))</f>
        <v>4.5381683388273624</v>
      </c>
      <c r="AQ247" s="65" t="str">
        <f t="shared" si="347"/>
        <v/>
      </c>
      <c r="AR247" s="65">
        <f>IF($AC247="",#N/A,SUM(AQ$4:AQ247))</f>
        <v>-2.1356705084748859</v>
      </c>
      <c r="AS247" s="65">
        <f t="shared" si="348"/>
        <v>-0.16799720452651667</v>
      </c>
      <c r="AT247" s="65">
        <f>IF($AC247="",#N/A,SUM(AS$4:AS247))</f>
        <v>5.2017585418391636</v>
      </c>
      <c r="AU247" s="57" t="str">
        <f t="shared" si="429"/>
        <v/>
      </c>
      <c r="AV247" s="57">
        <f>IF($AC247="",#N/A,SUM(AU$4:AU247))</f>
        <v>186.04249066104705</v>
      </c>
      <c r="AW247" s="57" t="str">
        <f t="shared" si="430"/>
        <v/>
      </c>
      <c r="AX247" s="57">
        <f>IF($AC247="",#N/A,SUM(AW$4:AW247))</f>
        <v>-132.30000000000018</v>
      </c>
      <c r="AY247" s="57">
        <f t="shared" si="431"/>
        <v>-11.25</v>
      </c>
      <c r="AZ247" s="57">
        <f>IF($AC247="",#N/A,SUM(AY$4:AY247))</f>
        <v>336.66838154633274</v>
      </c>
      <c r="BA247" s="57">
        <f>IF(AD247="",#N/A,SUM($AD$4:AD247))</f>
        <v>390.41087220737961</v>
      </c>
      <c r="BC247" s="51" t="str">
        <f t="shared" si="349"/>
        <v/>
      </c>
      <c r="BD247" s="51" t="str">
        <f t="shared" si="350"/>
        <v/>
      </c>
      <c r="BE247" s="51" t="str">
        <f t="shared" si="351"/>
        <v/>
      </c>
      <c r="BF247" s="51" t="str">
        <f t="shared" si="352"/>
        <v>Short</v>
      </c>
      <c r="BG247" s="51">
        <f t="shared" si="353"/>
        <v>1</v>
      </c>
      <c r="BH247" s="51" t="str">
        <f t="shared" si="354"/>
        <v/>
      </c>
      <c r="BI247" s="51" t="str">
        <f t="shared" si="355"/>
        <v/>
      </c>
      <c r="BK247" s="65">
        <f t="shared" si="435"/>
        <v>0.18112545316446316</v>
      </c>
      <c r="BL247" s="65">
        <f t="shared" si="434"/>
        <v>0.22047957670664572</v>
      </c>
      <c r="BM247" s="65">
        <f>IFERROR(Q247/COUNTA($J$4:J247),#N/A)</f>
        <v>7.0380716238203439E-2</v>
      </c>
      <c r="BO247" s="489" t="e">
        <f>IF(J247="",#N/A,IF(S247="SW",(COUNTIFS(K$4:$K247,"&gt;0",S$4:$S247,"SW")/COUNTIF(S$4:$S247,"SW")),#N/A))</f>
        <v>#N/A</v>
      </c>
      <c r="BP247" s="489">
        <f>IF($J247="",#N/A,IF($S247="DWN",(COUNTIFS($K$4:$K247,"&lt;0",$S$4:$S247,"DWN")/COUNTIF($S$4:$S247,"DWN")),#N/A))</f>
        <v>0.59223300970873782</v>
      </c>
      <c r="BQ247" s="489" t="e">
        <f>IF($J247="",#N/A,IF($S247="UP",(COUNTIFS($K$4:$K247,"&gt;0",$S$4:$S247,"UP")/COUNTIF($S$4:$S247,"UP")),#N/A))</f>
        <v>#N/A</v>
      </c>
      <c r="BR247" s="489">
        <f>IF(J247="",#N/A,COUNTIF($K$4:K247,"&gt;0")/COUNT($J$4:J247))</f>
        <v>0.45901639344262296</v>
      </c>
      <c r="BS247" s="65" t="str">
        <f t="shared" si="356"/>
        <v/>
      </c>
      <c r="BT247" s="65" t="str">
        <f t="shared" si="357"/>
        <v/>
      </c>
      <c r="BU247" s="65">
        <f t="shared" si="358"/>
        <v>0.39109749213773504</v>
      </c>
      <c r="BV247" s="65" t="str">
        <f t="shared" si="359"/>
        <v/>
      </c>
      <c r="BW247" s="128" t="str">
        <f t="shared" si="360"/>
        <v/>
      </c>
      <c r="BX247" s="128">
        <f>IF($J247="",#N/A,SUM($BW$4:BW247))</f>
        <v>-192.33000000000061</v>
      </c>
      <c r="BY247" s="131">
        <f t="shared" si="361"/>
        <v>26.190000000000282</v>
      </c>
      <c r="BZ247" s="131">
        <f>IF($J247="",#N/A,SUM($BY$4:BY247))</f>
        <v>855.74934038933475</v>
      </c>
      <c r="CA247" s="133" t="str">
        <f t="shared" si="362"/>
        <v/>
      </c>
      <c r="CB247" s="133">
        <f>IF($J247="",#N/A,SUM($CA$4:CA247))</f>
        <v>188.38158426187522</v>
      </c>
      <c r="CC247" s="194" t="str">
        <f t="shared" si="363"/>
        <v/>
      </c>
      <c r="CD247" s="194">
        <f>IF($J247="",#N/A,SUM($CC$4:CC247))</f>
        <v>-2.9903544749366251</v>
      </c>
      <c r="CE247" s="195">
        <f t="shared" si="364"/>
        <v>0.39109749213773504</v>
      </c>
      <c r="CF247" s="195">
        <f>IF($J247="",#N/A,SUM($CE$4:CE247))</f>
        <v>14.88956953676421</v>
      </c>
      <c r="CG247" s="196" t="str">
        <f t="shared" si="365"/>
        <v/>
      </c>
      <c r="CH247" s="196">
        <f>IF($J247="",#N/A,SUM($CG$4:CG247))</f>
        <v>5.2736797002940596</v>
      </c>
      <c r="CI247" s="200" t="str">
        <f t="shared" si="366"/>
        <v/>
      </c>
      <c r="CJ247" s="203">
        <f>IF($J247="",#N/A,SUM(CI$4:CI247))</f>
        <v>0</v>
      </c>
      <c r="CK247" s="204" t="str">
        <f t="shared" si="367"/>
        <v/>
      </c>
      <c r="CL247" s="204">
        <f>IF($J247="",#N/A,SUM(CK$4:CK247))</f>
        <v>1.9927003554442289</v>
      </c>
      <c r="CM247" s="205" t="str">
        <f t="shared" si="368"/>
        <v/>
      </c>
      <c r="CN247" s="205">
        <f>IF($J247="",#N/A,SUM(CM$4:CM247))</f>
        <v>3.3408347650393759</v>
      </c>
      <c r="CO247" s="205">
        <f>IF($J247="",#N/A,SUM(CM$4:CM247,CK$4:CK247,CI$4:CI247))</f>
        <v>5.3335351204836048</v>
      </c>
      <c r="CP247" s="200" t="str">
        <f t="shared" si="369"/>
        <v/>
      </c>
      <c r="CQ247" s="203">
        <f>IF($J247="",#N/A,SUM(CP$4:CP247))</f>
        <v>0</v>
      </c>
      <c r="CR247" s="204" t="str">
        <f t="shared" si="370"/>
        <v/>
      </c>
      <c r="CS247" s="204">
        <f>IF($J247="",#N/A,SUM(CR$4:CR247))</f>
        <v>4.6135245886817966</v>
      </c>
      <c r="CT247" s="205" t="str">
        <f t="shared" si="371"/>
        <v/>
      </c>
      <c r="CU247" s="205">
        <f>IF($J247="",#N/A,SUM(CT$4:CT247))</f>
        <v>-2.9040943753548785</v>
      </c>
      <c r="CV247" s="205">
        <f>IF($J247="",#N/A,SUM(CT$4:CT247,CR$4:CR247,CP$4:CP247))</f>
        <v>1.7094302133269181</v>
      </c>
      <c r="CW247" s="200" t="str">
        <f t="shared" si="372"/>
        <v/>
      </c>
      <c r="CX247" s="203">
        <f>IF($J247="",#N/A,SUM(CW$4:CW247))</f>
        <v>-0.33865165024245297</v>
      </c>
      <c r="CY247" s="204">
        <f t="shared" si="373"/>
        <v>0.39109749213773504</v>
      </c>
      <c r="CZ247" s="204">
        <f>IF($J247="",#N/A,SUM(CY$4:CY247))</f>
        <v>0.30198222879878239</v>
      </c>
      <c r="DA247" s="205" t="str">
        <f t="shared" si="374"/>
        <v/>
      </c>
      <c r="DB247" s="205">
        <f>IF($J247="",#N/A,SUM(DA$4:DA247))</f>
        <v>-2.1597383732727686</v>
      </c>
      <c r="DC247" s="205">
        <f>IF($J247="",#N/A,SUM(DA$4:DA247,CY$4:CY247,CW$4:CW247))</f>
        <v>-2.1964077947164395</v>
      </c>
      <c r="DD247" s="200" t="str">
        <f t="shared" si="375"/>
        <v/>
      </c>
      <c r="DE247" s="203">
        <f>IF($J247="",#N/A,SUM(DD$4:DD247))</f>
        <v>0.24769343410817113</v>
      </c>
      <c r="DF247" s="204" t="str">
        <f t="shared" si="376"/>
        <v/>
      </c>
      <c r="DG247" s="204">
        <f>IF($J247="",#N/A,SUM(DF$4:DF247))</f>
        <v>1.5249935139936004</v>
      </c>
      <c r="DH247" s="205" t="str">
        <f t="shared" si="377"/>
        <v/>
      </c>
      <c r="DI247" s="205">
        <f>IF($J247="",#N/A,SUM(DH$4:DH247))</f>
        <v>-1.9066052078694633</v>
      </c>
      <c r="DJ247" s="205">
        <f>IF($J247="",#N/A,SUM(DH$4:DH247,DF$4:DF247,DD$4:DD247))</f>
        <v>-0.13391825976769156</v>
      </c>
      <c r="DK247" s="200" t="str">
        <f t="shared" si="378"/>
        <v/>
      </c>
      <c r="DL247" s="203">
        <f>IF($J247="",#N/A,SUM(DK$4:DK247))</f>
        <v>-1.2097286851272664</v>
      </c>
      <c r="DM247" s="204" t="str">
        <f t="shared" si="379"/>
        <v/>
      </c>
      <c r="DN247" s="204">
        <f>IF($J247="",#N/A,SUM(DM$4:DM247))</f>
        <v>3.0281848543081331</v>
      </c>
      <c r="DO247" s="205" t="str">
        <f t="shared" si="380"/>
        <v/>
      </c>
      <c r="DP247" s="205">
        <f>IF($J247="",#N/A,SUM(DO$4:DO247))</f>
        <v>2.700331529683047</v>
      </c>
      <c r="DQ247" s="205">
        <f>IF($J247="",#N/A,SUM(DO$4:DO247,DM$4:DM247,DK$4:DK247))</f>
        <v>4.518787698863914</v>
      </c>
      <c r="DR247" s="200" t="str">
        <f t="shared" si="381"/>
        <v/>
      </c>
      <c r="DS247" s="203">
        <f>IF($J247="",#N/A,SUM(DR$4:DR247))</f>
        <v>-0.55950946427675097</v>
      </c>
      <c r="DT247" s="204" t="str">
        <f t="shared" si="382"/>
        <v/>
      </c>
      <c r="DU247" s="204">
        <f>IF($J247="",#N/A,SUM(DT$4:DT247))</f>
        <v>5.8020102755427239E-2</v>
      </c>
      <c r="DV247" s="205" t="str">
        <f t="shared" si="383"/>
        <v/>
      </c>
      <c r="DW247" s="205">
        <f>IF($J247="",#N/A,SUM(DV$4:DV247))</f>
        <v>-1.2815650893103838</v>
      </c>
      <c r="DX247" s="205">
        <f>IF($J247="",#N/A,SUM(DV$4:DV247,DT$4:DT247,DR$4:DR247))</f>
        <v>-1.7830544508317079</v>
      </c>
      <c r="DY247" s="200" t="str">
        <f t="shared" si="384"/>
        <v/>
      </c>
      <c r="DZ247" s="203">
        <f>IF($J247="",#N/A,SUM(DY$4:DY247))</f>
        <v>-1.0460034109943892</v>
      </c>
      <c r="EA247" s="204" t="str">
        <f t="shared" si="385"/>
        <v/>
      </c>
      <c r="EB247" s="204">
        <f>IF($J247="",#N/A,SUM(EA$4:EA247))</f>
        <v>0.65158371441459195</v>
      </c>
      <c r="EC247" s="205" t="str">
        <f t="shared" si="386"/>
        <v/>
      </c>
      <c r="ED247" s="205">
        <f>IF($J247="",#N/A,SUM(EC$4:EC247))</f>
        <v>5.0841293998354304</v>
      </c>
      <c r="EE247" s="205">
        <f>IF($J247="",#N/A,SUM(EC$4:EC247,EA$4:EA247,DY$4:DY247))</f>
        <v>4.6897097032556321</v>
      </c>
      <c r="EF247" s="200" t="str">
        <f t="shared" si="387"/>
        <v/>
      </c>
      <c r="EG247" s="203">
        <f>IF($J247="",#N/A,SUM(EF$4:EF247))</f>
        <v>-0.15098969023521425</v>
      </c>
      <c r="EH247" s="204" t="str">
        <f t="shared" si="388"/>
        <v/>
      </c>
      <c r="EI247" s="204">
        <f>IF($J247="",#N/A,SUM(EH$4:EH247))</f>
        <v>-2.8640283518306258</v>
      </c>
      <c r="EJ247" s="205" t="str">
        <f t="shared" si="389"/>
        <v/>
      </c>
      <c r="EK247" s="205">
        <f>IF($J247="",#N/A,SUM(EJ$4:EJ247))</f>
        <v>5.050388173053765</v>
      </c>
      <c r="EL247" s="205">
        <f>IF($J247="",#N/A,SUM(EJ$4:EJ247,EH$4:EH247,EF$4:EF247))</f>
        <v>2.0353701309879249</v>
      </c>
      <c r="EM247" s="200" t="str">
        <f t="shared" si="390"/>
        <v/>
      </c>
      <c r="EN247" s="203">
        <f>IF($J247="",#N/A,SUM(EM$4:EM247))</f>
        <v>0</v>
      </c>
      <c r="EO247" s="204" t="str">
        <f t="shared" si="391"/>
        <v/>
      </c>
      <c r="EP247" s="204">
        <f>IF($J247="",#N/A,SUM(EO$4:EO247))</f>
        <v>3.2406646352184261</v>
      </c>
      <c r="EQ247" s="205" t="str">
        <f t="shared" si="392"/>
        <v/>
      </c>
      <c r="ER247" s="205">
        <f>IF($J247="",#N/A,SUM(EQ$4:EQ247))</f>
        <v>1.441536272249796</v>
      </c>
      <c r="ES247" s="205">
        <f>IF($J247="",#N/A,SUM(EQ$4:EQ247,EO$4:EO247,EM$4:EM247))</f>
        <v>4.6822009074682214</v>
      </c>
      <c r="ET247" s="200" t="str">
        <f t="shared" si="393"/>
        <v/>
      </c>
      <c r="EU247" s="203">
        <f>IF($J247="",#N/A,SUM(ET$4:ET247))</f>
        <v>0</v>
      </c>
      <c r="EV247" s="204" t="str">
        <f t="shared" si="394"/>
        <v/>
      </c>
      <c r="EW247" s="204">
        <f>IF($J247="",#N/A,SUM(EV$4:EV247))</f>
        <v>1.9901851109977766</v>
      </c>
      <c r="EX247" s="205" t="str">
        <f t="shared" si="395"/>
        <v/>
      </c>
      <c r="EY247" s="205">
        <f>IF($J247="",#N/A,SUM(EX$4:EX247))</f>
        <v>0.27113250180669229</v>
      </c>
      <c r="EZ247" s="205">
        <f>IF($J247="",#N/A,SUM(EX$4:EX247,EV$4:EV247,ET$4:ET247))</f>
        <v>2.2613176128044685</v>
      </c>
      <c r="FA247" s="200" t="str">
        <f t="shared" si="396"/>
        <v/>
      </c>
      <c r="FB247" s="203">
        <f>IF($J247="",#N/A,SUM(FA$4:FA247))</f>
        <v>0</v>
      </c>
      <c r="FC247" s="204" t="str">
        <f t="shared" si="397"/>
        <v/>
      </c>
      <c r="FD247" s="204">
        <f>IF($J247="",#N/A,SUM(FC$4:FC247))</f>
        <v>1.8692126759492278</v>
      </c>
      <c r="FE247" s="205" t="str">
        <f t="shared" si="398"/>
        <v/>
      </c>
      <c r="FF247" s="205">
        <f>IF($J247="",#N/A,SUM(FE$4:FE247))</f>
        <v>-0.28811149078748233</v>
      </c>
      <c r="FG247" s="205">
        <f>IF($J247="",#N/A,SUM(FE$4:FE247,FC$4:FC247,FA$4:FA247))</f>
        <v>1.5811011851617456</v>
      </c>
      <c r="FH247" s="200" t="str">
        <f t="shared" si="399"/>
        <v/>
      </c>
      <c r="FI247" s="203">
        <f>IF($J247="",#N/A,SUM(FH$4:FH247))</f>
        <v>0</v>
      </c>
      <c r="FJ247" s="204" t="str">
        <f t="shared" si="400"/>
        <v/>
      </c>
      <c r="FK247" s="204">
        <f>IF($J247="",#N/A,SUM(FJ$4:FJ247))</f>
        <v>0</v>
      </c>
      <c r="FL247" s="205" t="str">
        <f t="shared" si="401"/>
        <v/>
      </c>
      <c r="FM247" s="205">
        <f>IF($J247="",#N/A,SUM(FL$4:FL247))</f>
        <v>0</v>
      </c>
      <c r="FN247" s="205">
        <f>IF($J247="",#N/A,SUM(FL$4:FL247,FJ$4:FJ247,FH$4:FH247))</f>
        <v>0</v>
      </c>
      <c r="FO247" s="200" t="str">
        <f t="shared" si="402"/>
        <v/>
      </c>
      <c r="FP247" s="203">
        <f>IF($J247="",#N/A,SUM(FO$4:FO247))</f>
        <v>0</v>
      </c>
      <c r="FQ247" s="204" t="str">
        <f t="shared" si="403"/>
        <v/>
      </c>
      <c r="FR247" s="204">
        <f>IF($J247="",#N/A,SUM(FQ$4:FQ247))</f>
        <v>0</v>
      </c>
      <c r="FS247" s="205" t="str">
        <f t="shared" si="404"/>
        <v/>
      </c>
      <c r="FT247" s="205">
        <f>IF($J247="",#N/A,SUM(FS$4:FS247))</f>
        <v>0</v>
      </c>
      <c r="FU247" s="205">
        <f>IF($J247="",#N/A,SUM(FS$4:FS247,FQ$4:FQ247,FO$4:FO247))</f>
        <v>0</v>
      </c>
      <c r="FV247" s="200" t="str">
        <f t="shared" si="405"/>
        <v/>
      </c>
      <c r="FW247" s="203">
        <f>IF($J247="",#N/A,SUM(FV$4:FV247))</f>
        <v>6.6834991831277585E-2</v>
      </c>
      <c r="FX247" s="204" t="str">
        <f t="shared" si="406"/>
        <v/>
      </c>
      <c r="FY247" s="204">
        <f>IF($J247="",#N/A,SUM(FX$4:FX247))</f>
        <v>-0.16102012791805576</v>
      </c>
      <c r="FZ247" s="205" t="str">
        <f t="shared" si="407"/>
        <v/>
      </c>
      <c r="GA247" s="205">
        <f>IF($J247="",#N/A,SUM(FZ$4:FZ247))</f>
        <v>-1.1377221770567538</v>
      </c>
      <c r="GB247" s="205">
        <f>IF($J247="",#N/A,SUM(FZ$4:FZ247,FX$4:FX247,FV$4:FV247))</f>
        <v>-1.2319073131435321</v>
      </c>
      <c r="GC247" s="200" t="str">
        <f t="shared" si="408"/>
        <v/>
      </c>
      <c r="GD247" s="203">
        <f>IF($J247="",#N/A,SUM(GC$4:GC247))</f>
        <v>0</v>
      </c>
      <c r="GE247" s="204" t="str">
        <f t="shared" si="409"/>
        <v/>
      </c>
      <c r="GF247" s="204">
        <f>IF($J247="",#N/A,SUM(GE$4:GE247))</f>
        <v>0</v>
      </c>
      <c r="GG247" s="205" t="str">
        <f t="shared" si="410"/>
        <v/>
      </c>
      <c r="GH247" s="205">
        <f>IF($J247="",#N/A,SUM(GG$4:GG247))</f>
        <v>-2.9368362277223206</v>
      </c>
      <c r="GI247" s="205">
        <f>IF($J247="",#N/A,SUM(GG$4:GG247,GE$4:GE247,GC$4:GC247))</f>
        <v>-2.9368362277223206</v>
      </c>
      <c r="GJ247" s="200" t="str">
        <f t="shared" si="411"/>
        <v/>
      </c>
      <c r="GK247" s="203">
        <f>IF($J247="",#N/A,SUM(GJ$4:GJ247))</f>
        <v>0</v>
      </c>
      <c r="GL247" s="204" t="str">
        <f t="shared" si="412"/>
        <v/>
      </c>
      <c r="GM247" s="204">
        <f>IF($J247="",#N/A,SUM(GL$4:GL247))</f>
        <v>-1.6833790887309608</v>
      </c>
      <c r="GN247" s="205" t="str">
        <f t="shared" si="413"/>
        <v/>
      </c>
      <c r="GO247" s="205">
        <f>IF($J247="",#N/A,SUM(GN$4:GN247))</f>
        <v>0</v>
      </c>
      <c r="GP247" s="205">
        <f>IF($J247="",#N/A,SUM(GN$4:GN247,GL$4:GL247,GJ$4:GJ247))</f>
        <v>-1.6833790887309608</v>
      </c>
      <c r="GS247" s="54">
        <f t="shared" si="432"/>
        <v>0.39109749213773504</v>
      </c>
      <c r="GT247" s="54">
        <f>IF(GS247="",NA(),SUM($GS$4:GS247))</f>
        <v>11.042887012150544</v>
      </c>
      <c r="GU247" s="54" t="str">
        <f t="shared" si="414"/>
        <v/>
      </c>
      <c r="GV247" s="54" t="e">
        <f>IF(GU247="",NA(),SUM($GU$4:GU247))</f>
        <v>#N/A</v>
      </c>
      <c r="GW247" s="54" t="str">
        <f t="shared" si="415"/>
        <v/>
      </c>
      <c r="GX247" s="54" t="e">
        <f>IF(GW247="",NA(),SUM($GW$4:GW247))</f>
        <v>#N/A</v>
      </c>
      <c r="GY247" s="54">
        <f t="shared" si="416"/>
        <v>0.39109749213773504</v>
      </c>
      <c r="GZ247" s="54">
        <f>IF(GY247="",NA(),SUM($GY$4:GY247))</f>
        <v>7.3525254535814319</v>
      </c>
      <c r="HA247" s="54" t="str">
        <f t="shared" si="417"/>
        <v/>
      </c>
      <c r="HB247" s="54" t="e">
        <f>IF(HA247="",NA(),SUM($HA$4:HA247))</f>
        <v>#N/A</v>
      </c>
      <c r="HC247" s="54" t="str">
        <f t="shared" si="418"/>
        <v/>
      </c>
      <c r="HD247" s="54" t="e">
        <f>IF(HC247="",NA(),SUM($HC$4:HC247))</f>
        <v>#N/A</v>
      </c>
      <c r="HE247" s="54" t="str">
        <f t="shared" si="419"/>
        <v/>
      </c>
      <c r="HF247" s="54" t="e">
        <f>IF(HE247="",NA(),SUM($HE$4:HE247))</f>
        <v>#N/A</v>
      </c>
      <c r="HG247" s="54" t="str">
        <f t="shared" si="420"/>
        <v/>
      </c>
      <c r="HH247" s="54" t="e">
        <f>IF(HG247="",NA(),SUM($HG$4:HG247))</f>
        <v>#N/A</v>
      </c>
      <c r="HI247" s="172">
        <f t="shared" si="433"/>
        <v>-0.55909469666425171</v>
      </c>
      <c r="HJ247" s="172">
        <f>IF($J247="",#N/A,SUM(HI$4:$HI247))</f>
        <v>-7.8883797753602307</v>
      </c>
      <c r="HK247" s="54" t="str">
        <f t="shared" si="421"/>
        <v/>
      </c>
      <c r="HL247" s="54">
        <f>IF($J247="",#N/A,SUM($HK$4:HK247))</f>
        <v>-1.7994312195648086</v>
      </c>
      <c r="HM247" s="54" t="str">
        <f t="shared" si="422"/>
        <v/>
      </c>
      <c r="HN247" s="54">
        <f>IF($J247="",#N/A,SUM($HM$4:HM247))</f>
        <v>0.957348620978966</v>
      </c>
      <c r="HO247" s="54" t="str">
        <f t="shared" si="423"/>
        <v/>
      </c>
      <c r="HP247" s="54">
        <f>IF($J247="",#N/A,SUM($HO$4:HO247))</f>
        <v>-0.10266465451722628</v>
      </c>
      <c r="HQ247" s="54" t="str">
        <f t="shared" si="424"/>
        <v/>
      </c>
      <c r="HR247" s="54">
        <f>IF($J247="",#N/A,SUM($HQ$4:HQ247))</f>
        <v>-14.596039294292455</v>
      </c>
      <c r="HS247" s="54" t="str">
        <f t="shared" si="425"/>
        <v/>
      </c>
      <c r="HT247" s="54">
        <f>IF($J247="",#N/A,SUM($HS$4:HS247))</f>
        <v>13.860527932825759</v>
      </c>
      <c r="HU247" s="65">
        <f t="shared" si="426"/>
        <v>-0.16799720452651667</v>
      </c>
      <c r="HV247" s="65">
        <f>IF($J247="",#N/A,SUM(HU$4:$HU247))</f>
        <v>7.6042563721916432</v>
      </c>
    </row>
    <row r="248" spans="1:230" x14ac:dyDescent="0.25">
      <c r="A248" s="275" t="s">
        <v>776</v>
      </c>
      <c r="B248" s="52" t="s">
        <v>4563</v>
      </c>
      <c r="C248" s="276">
        <f t="shared" si="327"/>
        <v>3</v>
      </c>
      <c r="D248" s="277" t="str">
        <f>_xlfn.XLOOKUP(A248,[1]SP500!$A$2:$A$502,[1]SP500!$D$2:$D$502,"N")</f>
        <v>Y</v>
      </c>
      <c r="E248" s="275" t="str">
        <f>IFERROR(_xlfn.XLOOKUP(A248,[1]SP500!$A$2:$A$655,[1]SP500!$B$2:$B$655),"")</f>
        <v>XLK</v>
      </c>
      <c r="F248" s="290">
        <v>45778</v>
      </c>
      <c r="G248" s="51" t="str">
        <f t="shared" si="328"/>
        <v>AMC</v>
      </c>
      <c r="H248" s="51" t="str">
        <f t="shared" si="329"/>
        <v>s</v>
      </c>
      <c r="I248" s="344">
        <v>439.16</v>
      </c>
      <c r="J248" s="124">
        <v>417.35</v>
      </c>
      <c r="K248" s="55">
        <f t="shared" si="330"/>
        <v>-4.9662992986610803E-2</v>
      </c>
      <c r="L248" s="67">
        <f t="shared" si="331"/>
        <v>-65.429999999999836</v>
      </c>
      <c r="M248" s="57">
        <f t="shared" si="332"/>
        <v>-28.050000000000182</v>
      </c>
      <c r="N248" s="102">
        <f t="shared" si="333"/>
        <v>-65.429999999999836</v>
      </c>
      <c r="O248" s="57">
        <f>IF(N248="",#N/A,SUM($N$4:N248))</f>
        <v>786.37092465120952</v>
      </c>
      <c r="P248" s="65">
        <f t="shared" si="427"/>
        <v>-0.82771654977684461</v>
      </c>
      <c r="Q248" s="172">
        <f>IF($N248="",#N/A,SUM($P$4:P248))</f>
        <v>16.345178212344795</v>
      </c>
      <c r="R248" s="279">
        <f t="shared" si="334"/>
        <v>3.6546474837104252</v>
      </c>
      <c r="S248" s="51" t="str">
        <f t="shared" si="335"/>
        <v>SW</v>
      </c>
      <c r="T248" s="51" t="s">
        <v>2828</v>
      </c>
      <c r="U248" s="56">
        <f t="shared" si="336"/>
        <v>439.16</v>
      </c>
      <c r="V248" s="56" t="s">
        <v>4460</v>
      </c>
      <c r="W248" s="142">
        <v>3</v>
      </c>
      <c r="X248" s="145">
        <f t="shared" si="337"/>
        <v>1317.48</v>
      </c>
      <c r="Y248" s="140">
        <f t="shared" si="338"/>
        <v>3</v>
      </c>
      <c r="Z248" s="123">
        <v>408</v>
      </c>
      <c r="AA248" s="102">
        <f t="shared" si="339"/>
        <v>-93.480000000000018</v>
      </c>
      <c r="AB248" s="102">
        <f t="shared" si="340"/>
        <v>-98.220000000000027</v>
      </c>
      <c r="AC248" s="124">
        <v>406.42</v>
      </c>
      <c r="AD248" s="155">
        <f t="shared" si="341"/>
        <v>-98.220000000000027</v>
      </c>
      <c r="AE248" s="545">
        <f t="shared" si="342"/>
        <v>-1.2425236056714337</v>
      </c>
      <c r="AF248" s="57">
        <f>IF($AC248="",#N/A,SUM(AD$4:AD248))</f>
        <v>292.19087220737958</v>
      </c>
      <c r="AG248" s="102">
        <f t="shared" si="343"/>
        <v>-32.790000000000191</v>
      </c>
      <c r="AH248" s="56" t="s">
        <v>2507</v>
      </c>
      <c r="AI248" s="65">
        <f t="shared" si="344"/>
        <v>-1.1825606460819142</v>
      </c>
      <c r="AJ248" s="108">
        <f>IF(AI248="",#N/A,SUM($AI$4:AI248))</f>
        <v>12.69053072863437</v>
      </c>
      <c r="AK248" s="57">
        <f t="shared" si="345"/>
        <v>-93.480000000000018</v>
      </c>
      <c r="AL248" s="66">
        <f>IF(AI248="",#N/A,IF(AH248="Skip",SUM($AK$4:AK248),SUM($AK$4:AK248)))</f>
        <v>528.97759149281444</v>
      </c>
      <c r="AM248" s="65">
        <f t="shared" si="428"/>
        <v>-1.2425236056714337</v>
      </c>
      <c r="AN248" s="209"/>
      <c r="AO248" s="65">
        <f t="shared" si="346"/>
        <v>-1.2425236056714337</v>
      </c>
      <c r="AP248" s="65">
        <f>IF($AC248="",#N/A,SUM(AO$4:AO248))</f>
        <v>3.2956447331559287</v>
      </c>
      <c r="AQ248" s="65" t="str">
        <f t="shared" si="347"/>
        <v/>
      </c>
      <c r="AR248" s="65">
        <f>IF($AC248="",#N/A,SUM(AQ$4:AQ248))</f>
        <v>-2.1356705084748859</v>
      </c>
      <c r="AS248" s="65" t="str">
        <f t="shared" si="348"/>
        <v/>
      </c>
      <c r="AT248" s="65">
        <f>IF($AC248="",#N/A,SUM(AS$4:AS248))</f>
        <v>5.2017585418391636</v>
      </c>
      <c r="AU248" s="57">
        <f t="shared" si="429"/>
        <v>-98.220000000000027</v>
      </c>
      <c r="AV248" s="57">
        <f>IF($AC248="",#N/A,SUM(AU$4:AU248))</f>
        <v>87.822490661047027</v>
      </c>
      <c r="AW248" s="57" t="str">
        <f t="shared" si="430"/>
        <v/>
      </c>
      <c r="AX248" s="57">
        <f>IF($AC248="",#N/A,SUM(AW$4:AW248))</f>
        <v>-132.30000000000018</v>
      </c>
      <c r="AY248" s="57" t="str">
        <f t="shared" si="431"/>
        <v/>
      </c>
      <c r="AZ248" s="57">
        <f>IF($AC248="",#N/A,SUM(AY$4:AY248))</f>
        <v>336.66838154633274</v>
      </c>
      <c r="BA248" s="57">
        <f>IF(AD248="",#N/A,SUM($AD$4:AD248))</f>
        <v>292.19087220737958</v>
      </c>
      <c r="BC248" s="51" t="str">
        <f t="shared" si="349"/>
        <v/>
      </c>
      <c r="BD248" s="51" t="str">
        <f t="shared" si="350"/>
        <v/>
      </c>
      <c r="BE248" s="51" t="str">
        <f t="shared" si="351"/>
        <v/>
      </c>
      <c r="BF248" s="51" t="str">
        <f t="shared" si="352"/>
        <v>Long</v>
      </c>
      <c r="BG248" s="51" t="str">
        <f t="shared" si="353"/>
        <v/>
      </c>
      <c r="BH248" s="51" t="str">
        <f t="shared" si="354"/>
        <v/>
      </c>
      <c r="BI248" s="51">
        <f t="shared" si="355"/>
        <v>1</v>
      </c>
      <c r="BK248" s="65">
        <f t="shared" si="435"/>
        <v>0.16204712121439499</v>
      </c>
      <c r="BL248" s="65">
        <f t="shared" si="434"/>
        <v>0.16742051208523948</v>
      </c>
      <c r="BM248" s="65">
        <f>IFERROR(Q248/COUNTA($J$4:J248),#N/A)</f>
        <v>6.6715013111611404E-2</v>
      </c>
      <c r="BO248" s="489">
        <f>IF(J248="",#N/A,IF(S248="SW",(COUNTIFS(K$4:$K248,"&gt;0",S$4:$S248,"SW")/COUNTIF(S$4:$S248,"SW")),#N/A))</f>
        <v>0.50387596899224807</v>
      </c>
      <c r="BP248" s="489" t="e">
        <f>IF($J248="",#N/A,IF($S248="DWN",(COUNTIFS($K$4:$K248,"&lt;0",$S$4:$S248,"DWN")/COUNTIF($S$4:$S248,"DWN")),#N/A))</f>
        <v>#N/A</v>
      </c>
      <c r="BQ248" s="489" t="e">
        <f>IF($J248="",#N/A,IF($S248="UP",(COUNTIFS($K$4:$K248,"&gt;0",$S$4:$S248,"UP")/COUNTIF($S$4:$S248,"UP")),#N/A))</f>
        <v>#N/A</v>
      </c>
      <c r="BR248" s="489">
        <f>IF(J248="",#N/A,COUNTIF($K$4:K248,"&gt;0")/COUNT($J$4:J248))</f>
        <v>0.45714285714285713</v>
      </c>
      <c r="BS248" s="65" t="str">
        <f t="shared" si="356"/>
        <v/>
      </c>
      <c r="BT248" s="65">
        <f t="shared" si="357"/>
        <v>-0.82771654977684461</v>
      </c>
      <c r="BU248" s="65" t="str">
        <f t="shared" si="358"/>
        <v/>
      </c>
      <c r="BV248" s="65" t="str">
        <f t="shared" si="359"/>
        <v/>
      </c>
      <c r="BW248" s="128" t="str">
        <f t="shared" si="360"/>
        <v/>
      </c>
      <c r="BX248" s="128">
        <f>IF($J248="",#N/A,SUM($BW$4:BW248))</f>
        <v>-192.33000000000061</v>
      </c>
      <c r="BY248" s="131" t="str">
        <f t="shared" si="361"/>
        <v/>
      </c>
      <c r="BZ248" s="131">
        <f>IF($J248="",#N/A,SUM($BY$4:BY248))</f>
        <v>855.74934038933475</v>
      </c>
      <c r="CA248" s="133">
        <f t="shared" si="362"/>
        <v>-65.429999999999836</v>
      </c>
      <c r="CB248" s="133">
        <f>IF($J248="",#N/A,SUM($CA$4:CA248))</f>
        <v>122.95158426187538</v>
      </c>
      <c r="CC248" s="194" t="str">
        <f t="shared" si="363"/>
        <v/>
      </c>
      <c r="CD248" s="194">
        <f>IF($J248="",#N/A,SUM($CC$4:CC248))</f>
        <v>-2.9903544749366251</v>
      </c>
      <c r="CE248" s="195" t="str">
        <f t="shared" si="364"/>
        <v/>
      </c>
      <c r="CF248" s="195">
        <f>IF($J248="",#N/A,SUM($CE$4:CE248))</f>
        <v>14.88956953676421</v>
      </c>
      <c r="CG248" s="196">
        <f t="shared" si="365"/>
        <v>-0.82771654977684461</v>
      </c>
      <c r="CH248" s="196">
        <f>IF($J248="",#N/A,SUM($CG$4:CG248))</f>
        <v>4.4459631505172155</v>
      </c>
      <c r="CI248" s="200" t="str">
        <f t="shared" si="366"/>
        <v/>
      </c>
      <c r="CJ248" s="203">
        <f>IF($J248="",#N/A,SUM(CI$4:CI248))</f>
        <v>0</v>
      </c>
      <c r="CK248" s="204" t="str">
        <f t="shared" si="367"/>
        <v/>
      </c>
      <c r="CL248" s="204">
        <f>IF($J248="",#N/A,SUM(CK$4:CK248))</f>
        <v>1.9927003554442289</v>
      </c>
      <c r="CM248" s="205">
        <f t="shared" si="368"/>
        <v>-0.82771654977684461</v>
      </c>
      <c r="CN248" s="205">
        <f>IF($J248="",#N/A,SUM(CM$4:CM248))</f>
        <v>2.5131182152625313</v>
      </c>
      <c r="CO248" s="205">
        <f>IF($J248="",#N/A,SUM(CM$4:CM248,CK$4:CK248,CI$4:CI248))</f>
        <v>4.5058185707067606</v>
      </c>
      <c r="CP248" s="200" t="str">
        <f t="shared" si="369"/>
        <v/>
      </c>
      <c r="CQ248" s="203">
        <f>IF($J248="",#N/A,SUM(CP$4:CP248))</f>
        <v>0</v>
      </c>
      <c r="CR248" s="204" t="str">
        <f t="shared" si="370"/>
        <v/>
      </c>
      <c r="CS248" s="204">
        <f>IF($J248="",#N/A,SUM(CR$4:CR248))</f>
        <v>4.6135245886817966</v>
      </c>
      <c r="CT248" s="205" t="str">
        <f t="shared" si="371"/>
        <v/>
      </c>
      <c r="CU248" s="205">
        <f>IF($J248="",#N/A,SUM(CT$4:CT248))</f>
        <v>-2.9040943753548785</v>
      </c>
      <c r="CV248" s="205">
        <f>IF($J248="",#N/A,SUM(CT$4:CT248,CR$4:CR248,CP$4:CP248))</f>
        <v>1.7094302133269181</v>
      </c>
      <c r="CW248" s="200" t="str">
        <f t="shared" si="372"/>
        <v/>
      </c>
      <c r="CX248" s="203">
        <f>IF($J248="",#N/A,SUM(CW$4:CW248))</f>
        <v>-0.33865165024245297</v>
      </c>
      <c r="CY248" s="204" t="str">
        <f t="shared" si="373"/>
        <v/>
      </c>
      <c r="CZ248" s="204">
        <f>IF($J248="",#N/A,SUM(CY$4:CY248))</f>
        <v>0.30198222879878239</v>
      </c>
      <c r="DA248" s="205" t="str">
        <f t="shared" si="374"/>
        <v/>
      </c>
      <c r="DB248" s="205">
        <f>IF($J248="",#N/A,SUM(DA$4:DA248))</f>
        <v>-2.1597383732727686</v>
      </c>
      <c r="DC248" s="205">
        <f>IF($J248="",#N/A,SUM(DA$4:DA248,CY$4:CY248,CW$4:CW248))</f>
        <v>-2.1964077947164395</v>
      </c>
      <c r="DD248" s="200" t="str">
        <f t="shared" si="375"/>
        <v/>
      </c>
      <c r="DE248" s="203">
        <f>IF($J248="",#N/A,SUM(DD$4:DD248))</f>
        <v>0.24769343410817113</v>
      </c>
      <c r="DF248" s="204" t="str">
        <f t="shared" si="376"/>
        <v/>
      </c>
      <c r="DG248" s="204">
        <f>IF($J248="",#N/A,SUM(DF$4:DF248))</f>
        <v>1.5249935139936004</v>
      </c>
      <c r="DH248" s="205" t="str">
        <f t="shared" si="377"/>
        <v/>
      </c>
      <c r="DI248" s="205">
        <f>IF($J248="",#N/A,SUM(DH$4:DH248))</f>
        <v>-1.9066052078694633</v>
      </c>
      <c r="DJ248" s="205">
        <f>IF($J248="",#N/A,SUM(DH$4:DH248,DF$4:DF248,DD$4:DD248))</f>
        <v>-0.13391825976769156</v>
      </c>
      <c r="DK248" s="200" t="str">
        <f t="shared" si="378"/>
        <v/>
      </c>
      <c r="DL248" s="203">
        <f>IF($J248="",#N/A,SUM(DK$4:DK248))</f>
        <v>-1.2097286851272664</v>
      </c>
      <c r="DM248" s="204" t="str">
        <f t="shared" si="379"/>
        <v/>
      </c>
      <c r="DN248" s="204">
        <f>IF($J248="",#N/A,SUM(DM$4:DM248))</f>
        <v>3.0281848543081331</v>
      </c>
      <c r="DO248" s="205" t="str">
        <f t="shared" si="380"/>
        <v/>
      </c>
      <c r="DP248" s="205">
        <f>IF($J248="",#N/A,SUM(DO$4:DO248))</f>
        <v>2.700331529683047</v>
      </c>
      <c r="DQ248" s="205">
        <f>IF($J248="",#N/A,SUM(DO$4:DO248,DM$4:DM248,DK$4:DK248))</f>
        <v>4.518787698863914</v>
      </c>
      <c r="DR248" s="200" t="str">
        <f t="shared" si="381"/>
        <v/>
      </c>
      <c r="DS248" s="203">
        <f>IF($J248="",#N/A,SUM(DR$4:DR248))</f>
        <v>-0.55950946427675097</v>
      </c>
      <c r="DT248" s="204" t="str">
        <f t="shared" si="382"/>
        <v/>
      </c>
      <c r="DU248" s="204">
        <f>IF($J248="",#N/A,SUM(DT$4:DT248))</f>
        <v>5.8020102755427239E-2</v>
      </c>
      <c r="DV248" s="205" t="str">
        <f t="shared" si="383"/>
        <v/>
      </c>
      <c r="DW248" s="205">
        <f>IF($J248="",#N/A,SUM(DV$4:DV248))</f>
        <v>-1.2815650893103838</v>
      </c>
      <c r="DX248" s="205">
        <f>IF($J248="",#N/A,SUM(DV$4:DV248,DT$4:DT248,DR$4:DR248))</f>
        <v>-1.7830544508317079</v>
      </c>
      <c r="DY248" s="200" t="str">
        <f t="shared" si="384"/>
        <v/>
      </c>
      <c r="DZ248" s="203">
        <f>IF($J248="",#N/A,SUM(DY$4:DY248))</f>
        <v>-1.0460034109943892</v>
      </c>
      <c r="EA248" s="204" t="str">
        <f t="shared" si="385"/>
        <v/>
      </c>
      <c r="EB248" s="204">
        <f>IF($J248="",#N/A,SUM(EA$4:EA248))</f>
        <v>0.65158371441459195</v>
      </c>
      <c r="EC248" s="205" t="str">
        <f t="shared" si="386"/>
        <v/>
      </c>
      <c r="ED248" s="205">
        <f>IF($J248="",#N/A,SUM(EC$4:EC248))</f>
        <v>5.0841293998354304</v>
      </c>
      <c r="EE248" s="205">
        <f>IF($J248="",#N/A,SUM(EC$4:EC248,EA$4:EA248,DY$4:DY248))</f>
        <v>4.6897097032556321</v>
      </c>
      <c r="EF248" s="200" t="str">
        <f t="shared" si="387"/>
        <v/>
      </c>
      <c r="EG248" s="203">
        <f>IF($J248="",#N/A,SUM(EF$4:EF248))</f>
        <v>-0.15098969023521425</v>
      </c>
      <c r="EH248" s="204" t="str">
        <f t="shared" si="388"/>
        <v/>
      </c>
      <c r="EI248" s="204">
        <f>IF($J248="",#N/A,SUM(EH$4:EH248))</f>
        <v>-2.8640283518306258</v>
      </c>
      <c r="EJ248" s="205" t="str">
        <f t="shared" si="389"/>
        <v/>
      </c>
      <c r="EK248" s="205">
        <f>IF($J248="",#N/A,SUM(EJ$4:EJ248))</f>
        <v>5.050388173053765</v>
      </c>
      <c r="EL248" s="205">
        <f>IF($J248="",#N/A,SUM(EJ$4:EJ248,EH$4:EH248,EF$4:EF248))</f>
        <v>2.0353701309879249</v>
      </c>
      <c r="EM248" s="200" t="str">
        <f t="shared" si="390"/>
        <v/>
      </c>
      <c r="EN248" s="203">
        <f>IF($J248="",#N/A,SUM(EM$4:EM248))</f>
        <v>0</v>
      </c>
      <c r="EO248" s="204" t="str">
        <f t="shared" si="391"/>
        <v/>
      </c>
      <c r="EP248" s="204">
        <f>IF($J248="",#N/A,SUM(EO$4:EO248))</f>
        <v>3.2406646352184261</v>
      </c>
      <c r="EQ248" s="205" t="str">
        <f t="shared" si="392"/>
        <v/>
      </c>
      <c r="ER248" s="205">
        <f>IF($J248="",#N/A,SUM(EQ$4:EQ248))</f>
        <v>1.441536272249796</v>
      </c>
      <c r="ES248" s="205">
        <f>IF($J248="",#N/A,SUM(EQ$4:EQ248,EO$4:EO248,EM$4:EM248))</f>
        <v>4.6822009074682214</v>
      </c>
      <c r="ET248" s="200" t="str">
        <f t="shared" si="393"/>
        <v/>
      </c>
      <c r="EU248" s="203">
        <f>IF($J248="",#N/A,SUM(ET$4:ET248))</f>
        <v>0</v>
      </c>
      <c r="EV248" s="204" t="str">
        <f t="shared" si="394"/>
        <v/>
      </c>
      <c r="EW248" s="204">
        <f>IF($J248="",#N/A,SUM(EV$4:EV248))</f>
        <v>1.9901851109977766</v>
      </c>
      <c r="EX248" s="205" t="str">
        <f t="shared" si="395"/>
        <v/>
      </c>
      <c r="EY248" s="205">
        <f>IF($J248="",#N/A,SUM(EX$4:EX248))</f>
        <v>0.27113250180669229</v>
      </c>
      <c r="EZ248" s="205">
        <f>IF($J248="",#N/A,SUM(EX$4:EX248,EV$4:EV248,ET$4:ET248))</f>
        <v>2.2613176128044685</v>
      </c>
      <c r="FA248" s="200" t="str">
        <f t="shared" si="396"/>
        <v/>
      </c>
      <c r="FB248" s="203">
        <f>IF($J248="",#N/A,SUM(FA$4:FA248))</f>
        <v>0</v>
      </c>
      <c r="FC248" s="204" t="str">
        <f t="shared" si="397"/>
        <v/>
      </c>
      <c r="FD248" s="204">
        <f>IF($J248="",#N/A,SUM(FC$4:FC248))</f>
        <v>1.8692126759492278</v>
      </c>
      <c r="FE248" s="205" t="str">
        <f t="shared" si="398"/>
        <v/>
      </c>
      <c r="FF248" s="205">
        <f>IF($J248="",#N/A,SUM(FE$4:FE248))</f>
        <v>-0.28811149078748233</v>
      </c>
      <c r="FG248" s="205">
        <f>IF($J248="",#N/A,SUM(FE$4:FE248,FC$4:FC248,FA$4:FA248))</f>
        <v>1.5811011851617456</v>
      </c>
      <c r="FH248" s="200" t="str">
        <f t="shared" si="399"/>
        <v/>
      </c>
      <c r="FI248" s="203">
        <f>IF($J248="",#N/A,SUM(FH$4:FH248))</f>
        <v>0</v>
      </c>
      <c r="FJ248" s="204" t="str">
        <f t="shared" si="400"/>
        <v/>
      </c>
      <c r="FK248" s="204">
        <f>IF($J248="",#N/A,SUM(FJ$4:FJ248))</f>
        <v>0</v>
      </c>
      <c r="FL248" s="205" t="str">
        <f t="shared" si="401"/>
        <v/>
      </c>
      <c r="FM248" s="205">
        <f>IF($J248="",#N/A,SUM(FL$4:FL248))</f>
        <v>0</v>
      </c>
      <c r="FN248" s="205">
        <f>IF($J248="",#N/A,SUM(FL$4:FL248,FJ$4:FJ248,FH$4:FH248))</f>
        <v>0</v>
      </c>
      <c r="FO248" s="200" t="str">
        <f t="shared" si="402"/>
        <v/>
      </c>
      <c r="FP248" s="203">
        <f>IF($J248="",#N/A,SUM(FO$4:FO248))</f>
        <v>0</v>
      </c>
      <c r="FQ248" s="204" t="str">
        <f t="shared" si="403"/>
        <v/>
      </c>
      <c r="FR248" s="204">
        <f>IF($J248="",#N/A,SUM(FQ$4:FQ248))</f>
        <v>0</v>
      </c>
      <c r="FS248" s="205" t="str">
        <f t="shared" si="404"/>
        <v/>
      </c>
      <c r="FT248" s="205">
        <f>IF($J248="",#N/A,SUM(FS$4:FS248))</f>
        <v>0</v>
      </c>
      <c r="FU248" s="205">
        <f>IF($J248="",#N/A,SUM(FS$4:FS248,FQ$4:FQ248,FO$4:FO248))</f>
        <v>0</v>
      </c>
      <c r="FV248" s="200" t="str">
        <f t="shared" si="405"/>
        <v/>
      </c>
      <c r="FW248" s="203">
        <f>IF($J248="",#N/A,SUM(FV$4:FV248))</f>
        <v>6.6834991831277585E-2</v>
      </c>
      <c r="FX248" s="204" t="str">
        <f t="shared" si="406"/>
        <v/>
      </c>
      <c r="FY248" s="204">
        <f>IF($J248="",#N/A,SUM(FX$4:FX248))</f>
        <v>-0.16102012791805576</v>
      </c>
      <c r="FZ248" s="205" t="str">
        <f t="shared" si="407"/>
        <v/>
      </c>
      <c r="GA248" s="205">
        <f>IF($J248="",#N/A,SUM(FZ$4:FZ248))</f>
        <v>-1.1377221770567538</v>
      </c>
      <c r="GB248" s="205">
        <f>IF($J248="",#N/A,SUM(FZ$4:FZ248,FX$4:FX248,FV$4:FV248))</f>
        <v>-1.2319073131435321</v>
      </c>
      <c r="GC248" s="200" t="str">
        <f t="shared" si="408"/>
        <v/>
      </c>
      <c r="GD248" s="203">
        <f>IF($J248="",#N/A,SUM(GC$4:GC248))</f>
        <v>0</v>
      </c>
      <c r="GE248" s="204" t="str">
        <f t="shared" si="409"/>
        <v/>
      </c>
      <c r="GF248" s="204">
        <f>IF($J248="",#N/A,SUM(GE$4:GE248))</f>
        <v>0</v>
      </c>
      <c r="GG248" s="205" t="str">
        <f t="shared" si="410"/>
        <v/>
      </c>
      <c r="GH248" s="205">
        <f>IF($J248="",#N/A,SUM(GG$4:GG248))</f>
        <v>-2.9368362277223206</v>
      </c>
      <c r="GI248" s="205">
        <f>IF($J248="",#N/A,SUM(GG$4:GG248,GE$4:GE248,GC$4:GC248))</f>
        <v>-2.9368362277223206</v>
      </c>
      <c r="GJ248" s="200" t="str">
        <f t="shared" si="411"/>
        <v/>
      </c>
      <c r="GK248" s="203">
        <f>IF($J248="",#N/A,SUM(GJ$4:GJ248))</f>
        <v>0</v>
      </c>
      <c r="GL248" s="204" t="str">
        <f t="shared" si="412"/>
        <v/>
      </c>
      <c r="GM248" s="204">
        <f>IF($J248="",#N/A,SUM(GL$4:GL248))</f>
        <v>-1.6833790887309608</v>
      </c>
      <c r="GN248" s="205" t="str">
        <f t="shared" si="413"/>
        <v/>
      </c>
      <c r="GO248" s="205">
        <f>IF($J248="",#N/A,SUM(GN$4:GN248))</f>
        <v>0</v>
      </c>
      <c r="GP248" s="205">
        <f>IF($J248="",#N/A,SUM(GN$4:GN248,GL$4:GL248,GJ$4:GJ248))</f>
        <v>-1.6833790887309608</v>
      </c>
      <c r="GS248" s="54">
        <f t="shared" si="432"/>
        <v>-0.82771654977684461</v>
      </c>
      <c r="GT248" s="54">
        <f>IF(GS248="",NA(),SUM($GS$4:GS248))</f>
        <v>10.215170462373699</v>
      </c>
      <c r="GU248" s="54" t="str">
        <f t="shared" si="414"/>
        <v/>
      </c>
      <c r="GV248" s="54" t="e">
        <f>IF(GU248="",NA(),SUM($GU$4:GU248))</f>
        <v>#N/A</v>
      </c>
      <c r="GW248" s="54">
        <f t="shared" si="415"/>
        <v>-0.82771654977684461</v>
      </c>
      <c r="GX248" s="54">
        <f>IF(GW248="",NA(),SUM($GW$4:GW248))</f>
        <v>5.8529994837288974</v>
      </c>
      <c r="GY248" s="54" t="str">
        <f t="shared" si="416"/>
        <v/>
      </c>
      <c r="GZ248" s="54" t="e">
        <f>IF(GY248="",NA(),SUM($GY$4:GY248))</f>
        <v>#N/A</v>
      </c>
      <c r="HA248" s="54" t="str">
        <f t="shared" si="417"/>
        <v/>
      </c>
      <c r="HB248" s="54" t="e">
        <f>IF(HA248="",NA(),SUM($HA$4:HA248))</f>
        <v>#N/A</v>
      </c>
      <c r="HC248" s="54" t="str">
        <f t="shared" si="418"/>
        <v/>
      </c>
      <c r="HD248" s="54" t="e">
        <f>IF(HC248="",NA(),SUM($HC$4:HC248))</f>
        <v>#N/A</v>
      </c>
      <c r="HE248" s="54" t="str">
        <f t="shared" si="419"/>
        <v/>
      </c>
      <c r="HF248" s="54" t="e">
        <f>IF(HE248="",NA(),SUM($HE$4:HE248))</f>
        <v>#N/A</v>
      </c>
      <c r="HG248" s="54" t="str">
        <f t="shared" si="420"/>
        <v/>
      </c>
      <c r="HH248" s="54" t="e">
        <f>IF(HG248="",NA(),SUM($HG$4:HG248))</f>
        <v>#N/A</v>
      </c>
      <c r="HI248" s="172" t="str">
        <f t="shared" si="433"/>
        <v/>
      </c>
      <c r="HJ248" s="172">
        <f>IF($J248="",#N/A,SUM(HI$4:$HI248))</f>
        <v>-7.8883797753602307</v>
      </c>
      <c r="HK248" s="54" t="str">
        <f t="shared" si="421"/>
        <v/>
      </c>
      <c r="HL248" s="54">
        <f>IF($J248="",#N/A,SUM($HK$4:HK248))</f>
        <v>-1.7994312195648086</v>
      </c>
      <c r="HM248" s="54" t="str">
        <f t="shared" si="422"/>
        <v/>
      </c>
      <c r="HN248" s="54">
        <f>IF($J248="",#N/A,SUM($HM$4:HM248))</f>
        <v>0.957348620978966</v>
      </c>
      <c r="HO248" s="54" t="str">
        <f t="shared" si="423"/>
        <v/>
      </c>
      <c r="HP248" s="54">
        <f>IF($J248="",#N/A,SUM($HO$4:HO248))</f>
        <v>-0.10266465451722628</v>
      </c>
      <c r="HQ248" s="54" t="str">
        <f t="shared" si="424"/>
        <v/>
      </c>
      <c r="HR248" s="54">
        <f>IF($J248="",#N/A,SUM($HQ$4:HQ248))</f>
        <v>-14.596039294292455</v>
      </c>
      <c r="HS248" s="54">
        <f t="shared" si="425"/>
        <v>-0.41480705589458911</v>
      </c>
      <c r="HT248" s="54">
        <f>IF($J248="",#N/A,SUM($HS$4:HS248))</f>
        <v>13.445720876931169</v>
      </c>
      <c r="HU248" s="65">
        <f t="shared" si="426"/>
        <v>-1.2425236056714337</v>
      </c>
      <c r="HV248" s="65">
        <f>IF($J248="",#N/A,SUM(HU$4:$HU248))</f>
        <v>6.361732766520209</v>
      </c>
    </row>
    <row r="249" spans="1:230" x14ac:dyDescent="0.25">
      <c r="A249" s="51" t="s">
        <v>1318</v>
      </c>
      <c r="B249" s="52" t="s">
        <v>4564</v>
      </c>
      <c r="C249" s="229">
        <f t="shared" si="327"/>
        <v>2</v>
      </c>
      <c r="D249" s="219" t="str">
        <f>_xlfn.XLOOKUP(A249,[1]SP500!$A$2:$A$502,[1]SP500!$D$2:$D$502,"N")</f>
        <v>Y</v>
      </c>
      <c r="E249" s="51" t="str">
        <f>IFERROR(_xlfn.XLOOKUP(A249,[1]SP500!$A$2:$A$655,[1]SP500!$B$2:$B$655),"")</f>
        <v>XLI</v>
      </c>
      <c r="F249" s="290">
        <v>45779</v>
      </c>
      <c r="G249" s="51" t="str">
        <f t="shared" si="328"/>
        <v>BMO</v>
      </c>
      <c r="H249" s="51" t="str">
        <f t="shared" si="329"/>
        <v>s</v>
      </c>
      <c r="I249" s="343">
        <v>301.66000000000003</v>
      </c>
      <c r="J249" s="124">
        <v>293.72000000000003</v>
      </c>
      <c r="K249" s="55">
        <f t="shared" si="330"/>
        <v>-2.632102366903135E-2</v>
      </c>
      <c r="L249" s="67">
        <f t="shared" si="331"/>
        <v>23.819999999999936</v>
      </c>
      <c r="M249" s="57">
        <f t="shared" si="332"/>
        <v>2.4600000000001501</v>
      </c>
      <c r="N249" s="102">
        <f t="shared" si="333"/>
        <v>23.819999999999936</v>
      </c>
      <c r="O249" s="57">
        <f>IF(N249="",#N/A,SUM($N$4:N249))</f>
        <v>810.19092465120946</v>
      </c>
      <c r="P249" s="65">
        <f t="shared" si="427"/>
        <v>0.43868372781718817</v>
      </c>
      <c r="Q249" s="172">
        <f>IF($N249="",#N/A,SUM($P$4:P249))</f>
        <v>16.783861940161984</v>
      </c>
      <c r="R249" s="279">
        <f t="shared" si="334"/>
        <v>3.6093426150945422</v>
      </c>
      <c r="S249" s="51" t="str">
        <f t="shared" si="335"/>
        <v>Dwn</v>
      </c>
      <c r="T249" s="51" t="s">
        <v>4462</v>
      </c>
      <c r="U249" s="56">
        <f t="shared" si="336"/>
        <v>301.66000000000003</v>
      </c>
      <c r="V249" s="56" t="s">
        <v>4458</v>
      </c>
      <c r="W249" s="142">
        <v>3</v>
      </c>
      <c r="X249" s="145">
        <f t="shared" si="337"/>
        <v>904.98</v>
      </c>
      <c r="Y249" s="140">
        <f t="shared" si="338"/>
        <v>3</v>
      </c>
      <c r="Z249" s="123">
        <v>292.89999999999998</v>
      </c>
      <c r="AA249" s="102">
        <f t="shared" si="339"/>
        <v>26.280000000000086</v>
      </c>
      <c r="AB249" s="102">
        <f t="shared" si="340"/>
        <v>5.8500000000001364</v>
      </c>
      <c r="AC249" s="124">
        <v>299.70999999999998</v>
      </c>
      <c r="AD249" s="155">
        <f t="shared" si="341"/>
        <v>5.8500000000001364</v>
      </c>
      <c r="AE249" s="545">
        <f t="shared" si="342"/>
        <v>0.10773718756215858</v>
      </c>
      <c r="AF249" s="57">
        <f>IF($AC249="",#N/A,SUM(AD$4:AD249))</f>
        <v>298.04087220737972</v>
      </c>
      <c r="AG249" s="102">
        <f t="shared" si="343"/>
        <v>-17.9699999999998</v>
      </c>
      <c r="AH249" s="56" t="s">
        <v>2507</v>
      </c>
      <c r="AI249" s="65">
        <f t="shared" si="344"/>
        <v>0.48398859643307196</v>
      </c>
      <c r="AJ249" s="54">
        <f>IF(AI249="",#N/A,SUM($AI$4:AI249))</f>
        <v>13.174519325067441</v>
      </c>
      <c r="AK249" s="57">
        <f t="shared" si="345"/>
        <v>26.280000000000086</v>
      </c>
      <c r="AL249" s="349">
        <f>IF(AI249="",#N/A,IF(AH249="Skip",SUM($AK$4:AK249),SUM($AK$4:AK249)))</f>
        <v>555.25759149281453</v>
      </c>
      <c r="AM249" s="65">
        <f t="shared" si="428"/>
        <v>0.10773718756215858</v>
      </c>
      <c r="AN249" s="209"/>
      <c r="AO249" s="65" t="str">
        <f t="shared" si="346"/>
        <v/>
      </c>
      <c r="AP249" s="65">
        <f>IF($AC249="",#N/A,SUM(AO$4:AO249))</f>
        <v>3.2956447331559287</v>
      </c>
      <c r="AQ249" s="65" t="str">
        <f t="shared" si="347"/>
        <v/>
      </c>
      <c r="AR249" s="65">
        <f>IF($AC249="",#N/A,SUM(AQ$4:AQ249))</f>
        <v>-2.1356705084748859</v>
      </c>
      <c r="AS249" s="65">
        <f t="shared" si="348"/>
        <v>0.10773718756215858</v>
      </c>
      <c r="AT249" s="65">
        <f>IF($AC249="",#N/A,SUM(AS$4:AS249))</f>
        <v>5.3094957294013225</v>
      </c>
      <c r="AU249" s="57" t="str">
        <f t="shared" si="429"/>
        <v/>
      </c>
      <c r="AV249" s="57">
        <f>IF($AC249="",#N/A,SUM(AU$4:AU249))</f>
        <v>87.822490661047027</v>
      </c>
      <c r="AW249" s="57" t="str">
        <f t="shared" si="430"/>
        <v/>
      </c>
      <c r="AX249" s="57">
        <f>IF($AC249="",#N/A,SUM(AW$4:AW249))</f>
        <v>-132.30000000000018</v>
      </c>
      <c r="AY249" s="57">
        <f t="shared" si="431"/>
        <v>5.8500000000001364</v>
      </c>
      <c r="AZ249" s="57">
        <f>IF($AC249="",#N/A,SUM(AY$4:AY249))</f>
        <v>342.51838154633288</v>
      </c>
      <c r="BA249" s="57">
        <f>IF(AD249="",#N/A,SUM($AD$4:AD249))</f>
        <v>298.04087220737972</v>
      </c>
      <c r="BC249" s="51" t="str">
        <f t="shared" si="349"/>
        <v/>
      </c>
      <c r="BD249" s="51" t="str">
        <f t="shared" si="350"/>
        <v/>
      </c>
      <c r="BE249" s="51" t="str">
        <f t="shared" si="351"/>
        <v/>
      </c>
      <c r="BF249" s="51" t="str">
        <f t="shared" si="352"/>
        <v>Short</v>
      </c>
      <c r="BG249" s="51">
        <f t="shared" si="353"/>
        <v>1</v>
      </c>
      <c r="BH249" s="51" t="str">
        <f t="shared" si="354"/>
        <v/>
      </c>
      <c r="BI249" s="51" t="str">
        <f t="shared" si="355"/>
        <v/>
      </c>
      <c r="BK249" s="65">
        <f t="shared" si="435"/>
        <v>0.16964087629720179</v>
      </c>
      <c r="BL249" s="65">
        <f t="shared" si="434"/>
        <v>0.16320293398887364</v>
      </c>
      <c r="BM249" s="65">
        <f>IFERROR(Q249/COUNTA($J$4:J249),#N/A)</f>
        <v>6.8227081057569042E-2</v>
      </c>
      <c r="BO249" s="489" t="e">
        <f>IF(J249="",#N/A,IF(S249="SW",(COUNTIFS(K$4:$K249,"&gt;0",S$4:$S249,"SW")/COUNTIF(S$4:$S249,"SW")),#N/A))</f>
        <v>#N/A</v>
      </c>
      <c r="BP249" s="489">
        <f>IF($J249="",#N/A,IF($S249="DWN",(COUNTIFS($K$4:$K249,"&lt;0",$S$4:$S249,"DWN")/COUNTIF($S$4:$S249,"DWN")),#N/A))</f>
        <v>0.59615384615384615</v>
      </c>
      <c r="BQ249" s="489" t="e">
        <f>IF($J249="",#N/A,IF($S249="UP",(COUNTIFS($K$4:$K249,"&gt;0",$S$4:$S249,"UP")/COUNTIF($S$4:$S249,"UP")),#N/A))</f>
        <v>#N/A</v>
      </c>
      <c r="BR249" s="489">
        <f>IF(J249="",#N/A,COUNTIF($K$4:K249,"&gt;0")/COUNT($J$4:J249))</f>
        <v>0.45528455284552843</v>
      </c>
      <c r="BS249" s="65" t="str">
        <f t="shared" si="356"/>
        <v/>
      </c>
      <c r="BT249" s="65" t="str">
        <f t="shared" si="357"/>
        <v/>
      </c>
      <c r="BU249" s="65">
        <f t="shared" si="358"/>
        <v>0.43868372781718817</v>
      </c>
      <c r="BV249" s="65" t="str">
        <f t="shared" si="359"/>
        <v/>
      </c>
      <c r="BW249" s="128" t="str">
        <f t="shared" si="360"/>
        <v/>
      </c>
      <c r="BX249" s="128">
        <f>IF($J249="",#N/A,SUM($BW$4:BW249))</f>
        <v>-192.33000000000061</v>
      </c>
      <c r="BY249" s="131">
        <f t="shared" si="361"/>
        <v>23.819999999999936</v>
      </c>
      <c r="BZ249" s="131">
        <f>IF($J249="",#N/A,SUM($BY$4:BY249))</f>
        <v>879.56934038933468</v>
      </c>
      <c r="CA249" s="133" t="str">
        <f t="shared" si="362"/>
        <v/>
      </c>
      <c r="CB249" s="133">
        <f>IF($J249="",#N/A,SUM($CA$4:CA249))</f>
        <v>122.95158426187538</v>
      </c>
      <c r="CC249" s="194" t="str">
        <f t="shared" si="363"/>
        <v/>
      </c>
      <c r="CD249" s="194">
        <f>IF($J249="",#N/A,SUM($CC$4:CC249))</f>
        <v>-2.9903544749366251</v>
      </c>
      <c r="CE249" s="195">
        <f t="shared" si="364"/>
        <v>0.43868372781718817</v>
      </c>
      <c r="CF249" s="195">
        <f>IF($J249="",#N/A,SUM($CE$4:CE249))</f>
        <v>15.328253264581399</v>
      </c>
      <c r="CG249" s="196" t="str">
        <f t="shared" si="365"/>
        <v/>
      </c>
      <c r="CH249" s="193">
        <f>IF($J249="",#N/A,SUM($CG$4:CG249))</f>
        <v>4.4459631505172155</v>
      </c>
      <c r="CI249" s="200" t="str">
        <f t="shared" si="366"/>
        <v/>
      </c>
      <c r="CJ249" s="203">
        <f>IF($J249="",#N/A,SUM(CI$4:CI249))</f>
        <v>0</v>
      </c>
      <c r="CK249" s="204" t="str">
        <f t="shared" si="367"/>
        <v/>
      </c>
      <c r="CL249" s="204">
        <f>IF($J249="",#N/A,SUM(CK$4:CK249))</f>
        <v>1.9927003554442289</v>
      </c>
      <c r="CM249" s="205" t="str">
        <f t="shared" si="368"/>
        <v/>
      </c>
      <c r="CN249" s="205">
        <f>IF($J249="",#N/A,SUM(CM$4:CM249))</f>
        <v>2.5131182152625313</v>
      </c>
      <c r="CO249" s="205">
        <f>IF($J249="",#N/A,SUM(CM$4:CM249,CK$4:CK249,CI$4:CI249))</f>
        <v>4.5058185707067606</v>
      </c>
      <c r="CP249" s="200" t="str">
        <f t="shared" si="369"/>
        <v/>
      </c>
      <c r="CQ249" s="203">
        <f>IF($J249="",#N/A,SUM(CP$4:CP249))</f>
        <v>0</v>
      </c>
      <c r="CR249" s="204" t="str">
        <f t="shared" si="370"/>
        <v/>
      </c>
      <c r="CS249" s="204">
        <f>IF($J249="",#N/A,SUM(CR$4:CR249))</f>
        <v>4.6135245886817966</v>
      </c>
      <c r="CT249" s="205" t="str">
        <f t="shared" si="371"/>
        <v/>
      </c>
      <c r="CU249" s="205">
        <f>IF($J249="",#N/A,SUM(CT$4:CT249))</f>
        <v>-2.9040943753548785</v>
      </c>
      <c r="CV249" s="205">
        <f>IF($J249="",#N/A,SUM(CT$4:CT249,CR$4:CR249,CP$4:CP249))</f>
        <v>1.7094302133269181</v>
      </c>
      <c r="CW249" s="200" t="str">
        <f t="shared" si="372"/>
        <v/>
      </c>
      <c r="CX249" s="203">
        <f>IF($J249="",#N/A,SUM(CW$4:CW249))</f>
        <v>-0.33865165024245297</v>
      </c>
      <c r="CY249" s="204" t="str">
        <f t="shared" si="373"/>
        <v/>
      </c>
      <c r="CZ249" s="204">
        <f>IF($J249="",#N/A,SUM(CY$4:CY249))</f>
        <v>0.30198222879878239</v>
      </c>
      <c r="DA249" s="205" t="str">
        <f t="shared" si="374"/>
        <v/>
      </c>
      <c r="DB249" s="205">
        <f>IF($J249="",#N/A,SUM(DA$4:DA249))</f>
        <v>-2.1597383732727686</v>
      </c>
      <c r="DC249" s="205">
        <f>IF($J249="",#N/A,SUM(DA$4:DA249,CY$4:CY249,CW$4:CW249))</f>
        <v>-2.1964077947164395</v>
      </c>
      <c r="DD249" s="200" t="str">
        <f t="shared" si="375"/>
        <v/>
      </c>
      <c r="DE249" s="203">
        <f>IF($J249="",#N/A,SUM(DD$4:DD249))</f>
        <v>0.24769343410817113</v>
      </c>
      <c r="DF249" s="204" t="str">
        <f t="shared" si="376"/>
        <v/>
      </c>
      <c r="DG249" s="204">
        <f>IF($J249="",#N/A,SUM(DF$4:DF249))</f>
        <v>1.5249935139936004</v>
      </c>
      <c r="DH249" s="205" t="str">
        <f t="shared" si="377"/>
        <v/>
      </c>
      <c r="DI249" s="205">
        <f>IF($J249="",#N/A,SUM(DH$4:DH249))</f>
        <v>-1.9066052078694633</v>
      </c>
      <c r="DJ249" s="205">
        <f>IF($J249="",#N/A,SUM(DH$4:DH249,DF$4:DF249,DD$4:DD249))</f>
        <v>-0.13391825976769156</v>
      </c>
      <c r="DK249" s="200" t="str">
        <f t="shared" si="378"/>
        <v/>
      </c>
      <c r="DL249" s="203">
        <f>IF($J249="",#N/A,SUM(DK$4:DK249))</f>
        <v>-1.2097286851272664</v>
      </c>
      <c r="DM249" s="204" t="str">
        <f t="shared" si="379"/>
        <v/>
      </c>
      <c r="DN249" s="204">
        <f>IF($J249="",#N/A,SUM(DM$4:DM249))</f>
        <v>3.0281848543081331</v>
      </c>
      <c r="DO249" s="205" t="str">
        <f t="shared" si="380"/>
        <v/>
      </c>
      <c r="DP249" s="205">
        <f>IF($J249="",#N/A,SUM(DO$4:DO249))</f>
        <v>2.700331529683047</v>
      </c>
      <c r="DQ249" s="205">
        <f>IF($J249="",#N/A,SUM(DO$4:DO249,DM$4:DM249,DK$4:DK249))</f>
        <v>4.518787698863914</v>
      </c>
      <c r="DR249" s="200" t="str">
        <f t="shared" si="381"/>
        <v/>
      </c>
      <c r="DS249" s="203">
        <f>IF($J249="",#N/A,SUM(DR$4:DR249))</f>
        <v>-0.55950946427675097</v>
      </c>
      <c r="DT249" s="204" t="str">
        <f t="shared" si="382"/>
        <v/>
      </c>
      <c r="DU249" s="204">
        <f>IF($J249="",#N/A,SUM(DT$4:DT249))</f>
        <v>5.8020102755427239E-2</v>
      </c>
      <c r="DV249" s="205" t="str">
        <f t="shared" si="383"/>
        <v/>
      </c>
      <c r="DW249" s="205">
        <f>IF($J249="",#N/A,SUM(DV$4:DV249))</f>
        <v>-1.2815650893103838</v>
      </c>
      <c r="DX249" s="205">
        <f>IF($J249="",#N/A,SUM(DV$4:DV249,DT$4:DT249,DR$4:DR249))</f>
        <v>-1.7830544508317079</v>
      </c>
      <c r="DY249" s="200" t="str">
        <f t="shared" si="384"/>
        <v/>
      </c>
      <c r="DZ249" s="203">
        <f>IF($J249="",#N/A,SUM(DY$4:DY249))</f>
        <v>-1.0460034109943892</v>
      </c>
      <c r="EA249" s="204">
        <f t="shared" si="385"/>
        <v>0.43868372781718817</v>
      </c>
      <c r="EB249" s="204">
        <f>IF($J249="",#N/A,SUM(EA$4:EA249))</f>
        <v>1.0902674422317802</v>
      </c>
      <c r="EC249" s="205" t="str">
        <f t="shared" si="386"/>
        <v/>
      </c>
      <c r="ED249" s="205">
        <f>IF($J249="",#N/A,SUM(EC$4:EC249))</f>
        <v>5.0841293998354304</v>
      </c>
      <c r="EE249" s="205">
        <f>IF($J249="",#N/A,SUM(EC$4:EC249,EA$4:EA249,DY$4:DY249))</f>
        <v>5.1283934310728201</v>
      </c>
      <c r="EF249" s="200" t="str">
        <f t="shared" si="387"/>
        <v/>
      </c>
      <c r="EG249" s="203">
        <f>IF($J249="",#N/A,SUM(EF$4:EF249))</f>
        <v>-0.15098969023521425</v>
      </c>
      <c r="EH249" s="204" t="str">
        <f t="shared" si="388"/>
        <v/>
      </c>
      <c r="EI249" s="204">
        <f>IF($J249="",#N/A,SUM(EH$4:EH249))</f>
        <v>-2.8640283518306258</v>
      </c>
      <c r="EJ249" s="205" t="str">
        <f t="shared" si="389"/>
        <v/>
      </c>
      <c r="EK249" s="205">
        <f>IF($J249="",#N/A,SUM(EJ$4:EJ249))</f>
        <v>5.050388173053765</v>
      </c>
      <c r="EL249" s="205">
        <f>IF($J249="",#N/A,SUM(EJ$4:EJ249,EH$4:EH249,EF$4:EF249))</f>
        <v>2.0353701309879249</v>
      </c>
      <c r="EM249" s="200" t="str">
        <f t="shared" si="390"/>
        <v/>
      </c>
      <c r="EN249" s="203">
        <f>IF($J249="",#N/A,SUM(EM$4:EM249))</f>
        <v>0</v>
      </c>
      <c r="EO249" s="204" t="str">
        <f t="shared" si="391"/>
        <v/>
      </c>
      <c r="EP249" s="204">
        <f>IF($J249="",#N/A,SUM(EO$4:EO249))</f>
        <v>3.2406646352184261</v>
      </c>
      <c r="EQ249" s="205" t="str">
        <f t="shared" si="392"/>
        <v/>
      </c>
      <c r="ER249" s="205">
        <f>IF($J249="",#N/A,SUM(EQ$4:EQ249))</f>
        <v>1.441536272249796</v>
      </c>
      <c r="ES249" s="205">
        <f>IF($J249="",#N/A,SUM(EQ$4:EQ249,EO$4:EO249,EM$4:EM249))</f>
        <v>4.6822009074682214</v>
      </c>
      <c r="ET249" s="200" t="str">
        <f t="shared" si="393"/>
        <v/>
      </c>
      <c r="EU249" s="203">
        <f>IF($J249="",#N/A,SUM(ET$4:ET249))</f>
        <v>0</v>
      </c>
      <c r="EV249" s="204" t="str">
        <f t="shared" si="394"/>
        <v/>
      </c>
      <c r="EW249" s="204">
        <f>IF($J249="",#N/A,SUM(EV$4:EV249))</f>
        <v>1.9901851109977766</v>
      </c>
      <c r="EX249" s="205" t="str">
        <f t="shared" si="395"/>
        <v/>
      </c>
      <c r="EY249" s="205">
        <f>IF($J249="",#N/A,SUM(EX$4:EX249))</f>
        <v>0.27113250180669229</v>
      </c>
      <c r="EZ249" s="205">
        <f>IF($J249="",#N/A,SUM(EX$4:EX249,EV$4:EV249,ET$4:ET249))</f>
        <v>2.2613176128044685</v>
      </c>
      <c r="FA249" s="200" t="str">
        <f t="shared" si="396"/>
        <v/>
      </c>
      <c r="FB249" s="203">
        <f>IF($J249="",#N/A,SUM(FA$4:FA249))</f>
        <v>0</v>
      </c>
      <c r="FC249" s="204" t="str">
        <f t="shared" si="397"/>
        <v/>
      </c>
      <c r="FD249" s="204">
        <f>IF($J249="",#N/A,SUM(FC$4:FC249))</f>
        <v>1.8692126759492278</v>
      </c>
      <c r="FE249" s="205" t="str">
        <f t="shared" si="398"/>
        <v/>
      </c>
      <c r="FF249" s="205">
        <f>IF($J249="",#N/A,SUM(FE$4:FE249))</f>
        <v>-0.28811149078748233</v>
      </c>
      <c r="FG249" s="205">
        <f>IF($J249="",#N/A,SUM(FE$4:FE249,FC$4:FC249,FA$4:FA249))</f>
        <v>1.5811011851617456</v>
      </c>
      <c r="FH249" s="200" t="str">
        <f t="shared" si="399"/>
        <v/>
      </c>
      <c r="FI249" s="203">
        <f>IF($J249="",#N/A,SUM(FH$4:FH249))</f>
        <v>0</v>
      </c>
      <c r="FJ249" s="204" t="str">
        <f t="shared" si="400"/>
        <v/>
      </c>
      <c r="FK249" s="204">
        <f>IF($J249="",#N/A,SUM(FJ$4:FJ249))</f>
        <v>0</v>
      </c>
      <c r="FL249" s="205" t="str">
        <f t="shared" si="401"/>
        <v/>
      </c>
      <c r="FM249" s="205">
        <f>IF($J249="",#N/A,SUM(FL$4:FL249))</f>
        <v>0</v>
      </c>
      <c r="FN249" s="205">
        <f>IF($J249="",#N/A,SUM(FL$4:FL249,FJ$4:FJ249,FH$4:FH249))</f>
        <v>0</v>
      </c>
      <c r="FO249" s="200" t="str">
        <f t="shared" si="402"/>
        <v/>
      </c>
      <c r="FP249" s="203">
        <f>IF($J249="",#N/A,SUM(FO$4:FO249))</f>
        <v>0</v>
      </c>
      <c r="FQ249" s="204" t="str">
        <f t="shared" si="403"/>
        <v/>
      </c>
      <c r="FR249" s="204">
        <f>IF($J249="",#N/A,SUM(FQ$4:FQ249))</f>
        <v>0</v>
      </c>
      <c r="FS249" s="205" t="str">
        <f t="shared" si="404"/>
        <v/>
      </c>
      <c r="FT249" s="205">
        <f>IF($J249="",#N/A,SUM(FS$4:FS249))</f>
        <v>0</v>
      </c>
      <c r="FU249" s="205">
        <f>IF($J249="",#N/A,SUM(FS$4:FS249,FQ$4:FQ249,FO$4:FO249))</f>
        <v>0</v>
      </c>
      <c r="FV249" s="200" t="str">
        <f t="shared" si="405"/>
        <v/>
      </c>
      <c r="FW249" s="203">
        <f>IF($J249="",#N/A,SUM(FV$4:FV249))</f>
        <v>6.6834991831277585E-2</v>
      </c>
      <c r="FX249" s="204" t="str">
        <f t="shared" si="406"/>
        <v/>
      </c>
      <c r="FY249" s="204">
        <f>IF($J249="",#N/A,SUM(FX$4:FX249))</f>
        <v>-0.16102012791805576</v>
      </c>
      <c r="FZ249" s="205" t="str">
        <f t="shared" si="407"/>
        <v/>
      </c>
      <c r="GA249" s="205">
        <f>IF($J249="",#N/A,SUM(FZ$4:FZ249))</f>
        <v>-1.1377221770567538</v>
      </c>
      <c r="GB249" s="205">
        <f>IF($J249="",#N/A,SUM(FZ$4:FZ249,FX$4:FX249,FV$4:FV249))</f>
        <v>-1.2319073131435321</v>
      </c>
      <c r="GC249" s="200" t="str">
        <f t="shared" si="408"/>
        <v/>
      </c>
      <c r="GD249" s="203">
        <f>IF($J249="",#N/A,SUM(GC$4:GC249))</f>
        <v>0</v>
      </c>
      <c r="GE249" s="204" t="str">
        <f t="shared" si="409"/>
        <v/>
      </c>
      <c r="GF249" s="204">
        <f>IF($J249="",#N/A,SUM(GE$4:GE249))</f>
        <v>0</v>
      </c>
      <c r="GG249" s="205" t="str">
        <f t="shared" si="410"/>
        <v/>
      </c>
      <c r="GH249" s="205">
        <f>IF($J249="",#N/A,SUM(GG$4:GG249))</f>
        <v>-2.9368362277223206</v>
      </c>
      <c r="GI249" s="205">
        <f>IF($J249="",#N/A,SUM(GG$4:GG249,GE$4:GE249,GC$4:GC249))</f>
        <v>-2.9368362277223206</v>
      </c>
      <c r="GJ249" s="200" t="str">
        <f t="shared" si="411"/>
        <v/>
      </c>
      <c r="GK249" s="203">
        <f>IF($J249="",#N/A,SUM(GJ$4:GJ249))</f>
        <v>0</v>
      </c>
      <c r="GL249" s="204" t="str">
        <f t="shared" si="412"/>
        <v/>
      </c>
      <c r="GM249" s="204">
        <f>IF($J249="",#N/A,SUM(GL$4:GL249))</f>
        <v>-1.6833790887309608</v>
      </c>
      <c r="GN249" s="205" t="str">
        <f t="shared" si="413"/>
        <v/>
      </c>
      <c r="GO249" s="205">
        <f>IF($J249="",#N/A,SUM(GN$4:GN249))</f>
        <v>0</v>
      </c>
      <c r="GP249" s="205">
        <f>IF($J249="",#N/A,SUM(GN$4:GN249,GL$4:GL249,GJ$4:GJ249))</f>
        <v>-1.6833790887309608</v>
      </c>
      <c r="GS249" s="54">
        <f t="shared" si="432"/>
        <v>0.43868372781718817</v>
      </c>
      <c r="GT249" s="54">
        <f>IF(GS249="",NA(),SUM($GS$4:GS249))</f>
        <v>10.653854190190888</v>
      </c>
      <c r="GU249" s="54" t="str">
        <f t="shared" si="414"/>
        <v/>
      </c>
      <c r="GV249" s="54" t="e">
        <f>IF(GU249="",NA(),SUM($GU$4:GU249))</f>
        <v>#N/A</v>
      </c>
      <c r="GW249" s="54" t="str">
        <f t="shared" si="415"/>
        <v/>
      </c>
      <c r="GX249" s="54" t="e">
        <f>IF(GW249="",NA(),SUM($GW$4:GW249))</f>
        <v>#N/A</v>
      </c>
      <c r="GY249" s="54">
        <f t="shared" si="416"/>
        <v>0.43868372781718817</v>
      </c>
      <c r="GZ249" s="54">
        <f>IF(GY249="",NA(),SUM($GY$4:GY249))</f>
        <v>7.79120918139862</v>
      </c>
      <c r="HA249" s="54" t="str">
        <f t="shared" si="417"/>
        <v/>
      </c>
      <c r="HB249" s="54" t="e">
        <f>IF(HA249="",NA(),SUM($HA$4:HA249))</f>
        <v>#N/A</v>
      </c>
      <c r="HC249" s="54" t="str">
        <f t="shared" si="418"/>
        <v/>
      </c>
      <c r="HD249" s="54" t="e">
        <f>IF(HC249="",NA(),SUM($HC$4:HC249))</f>
        <v>#N/A</v>
      </c>
      <c r="HE249" s="54" t="str">
        <f t="shared" si="419"/>
        <v/>
      </c>
      <c r="HF249" s="54" t="e">
        <f>IF(HE249="",NA(),SUM($HE$4:HE249))</f>
        <v>#N/A</v>
      </c>
      <c r="HG249" s="54" t="str">
        <f t="shared" si="420"/>
        <v/>
      </c>
      <c r="HH249" s="54" t="e">
        <f>IF(HG249="",NA(),SUM($HG$4:HG249))</f>
        <v>#N/A</v>
      </c>
      <c r="HI249" s="172">
        <f t="shared" si="433"/>
        <v>-0.33094654025502956</v>
      </c>
      <c r="HJ249" s="172">
        <f>IF($J249="",#N/A,SUM(HI$4:$HI249))</f>
        <v>-8.2193263156152607</v>
      </c>
      <c r="HK249" s="54" t="str">
        <f t="shared" si="421"/>
        <v/>
      </c>
      <c r="HL249" s="54">
        <f>IF($J249="",#N/A,SUM($HK$4:HK249))</f>
        <v>-1.7994312195648086</v>
      </c>
      <c r="HM249" s="54" t="str">
        <f t="shared" si="422"/>
        <v/>
      </c>
      <c r="HN249" s="54">
        <f>IF($J249="",#N/A,SUM($HM$4:HM249))</f>
        <v>0.957348620978966</v>
      </c>
      <c r="HO249" s="54" t="str">
        <f t="shared" si="423"/>
        <v/>
      </c>
      <c r="HP249" s="54">
        <f>IF($J249="",#N/A,SUM($HO$4:HO249))</f>
        <v>-0.10266465451722628</v>
      </c>
      <c r="HQ249" s="54" t="str">
        <f t="shared" si="424"/>
        <v/>
      </c>
      <c r="HR249" s="54">
        <f>IF($J249="",#N/A,SUM($HQ$4:HQ249))</f>
        <v>-14.596039294292455</v>
      </c>
      <c r="HS249" s="54" t="str">
        <f t="shared" si="425"/>
        <v/>
      </c>
      <c r="HT249" s="54">
        <f>IF($J249="",#N/A,SUM($HS$4:HS249))</f>
        <v>13.445720876931169</v>
      </c>
      <c r="HU249" s="65">
        <f t="shared" si="426"/>
        <v>0.10773718756215858</v>
      </c>
      <c r="HV249" s="65">
        <f>IF($J249="",#N/A,SUM(HU$4:$HU249))</f>
        <v>6.4694699540823679</v>
      </c>
    </row>
    <row r="250" spans="1:230" x14ac:dyDescent="0.25">
      <c r="A250" s="51" t="s">
        <v>13</v>
      </c>
      <c r="B250" s="52" t="s">
        <v>4564</v>
      </c>
      <c r="C250" s="229">
        <f t="shared" si="327"/>
        <v>2</v>
      </c>
      <c r="D250" s="219" t="str">
        <f>_xlfn.XLOOKUP(A250,[1]SP500!$A$2:$A$502,[1]SP500!$D$2:$D$502,"N")</f>
        <v>Y</v>
      </c>
      <c r="E250" s="51" t="str">
        <f>IFERROR(_xlfn.XLOOKUP(A250,[1]SP500!$A$2:$A$655,[1]SP500!$B$2:$B$655),"")</f>
        <v>XLE</v>
      </c>
      <c r="F250" s="290">
        <v>45779</v>
      </c>
      <c r="G250" s="51" t="str">
        <f t="shared" si="328"/>
        <v>BMO</v>
      </c>
      <c r="H250" s="51" t="str">
        <f t="shared" si="329"/>
        <v>s</v>
      </c>
      <c r="I250" s="344">
        <v>105.78</v>
      </c>
      <c r="J250" s="124">
        <v>107.72</v>
      </c>
      <c r="K250" s="55">
        <f t="shared" si="330"/>
        <v>1.8339950841368857E-2</v>
      </c>
      <c r="L250" s="67">
        <f t="shared" si="331"/>
        <v>-19.400000000000091</v>
      </c>
      <c r="M250" s="57">
        <f t="shared" si="332"/>
        <v>-5.2999999999999545</v>
      </c>
      <c r="N250" s="102">
        <f t="shared" si="333"/>
        <v>-19.400000000000091</v>
      </c>
      <c r="O250" s="57">
        <f>IF(N250="",#N/A,SUM($N$4:N250))</f>
        <v>790.79092465120937</v>
      </c>
      <c r="P250" s="65">
        <f t="shared" si="427"/>
        <v>-0.30566584735614943</v>
      </c>
      <c r="Q250" s="172">
        <f>IF($N250="",#N/A,SUM($P$4:P250))</f>
        <v>16.478196092805835</v>
      </c>
      <c r="R250" s="279">
        <f t="shared" si="334"/>
        <v>3.6928492641145212</v>
      </c>
      <c r="S250" s="51" t="str">
        <f t="shared" si="335"/>
        <v>Dwn</v>
      </c>
      <c r="T250" s="51" t="s">
        <v>4461</v>
      </c>
      <c r="U250" s="56">
        <f t="shared" si="336"/>
        <v>105.78</v>
      </c>
      <c r="V250" s="56" t="s">
        <v>4458</v>
      </c>
      <c r="W250" s="142">
        <v>10</v>
      </c>
      <c r="X250" s="145">
        <f t="shared" si="337"/>
        <v>1057.8</v>
      </c>
      <c r="Y250" s="140">
        <f t="shared" si="338"/>
        <v>10</v>
      </c>
      <c r="Z250" s="123">
        <v>108.25</v>
      </c>
      <c r="AA250" s="102">
        <f t="shared" si="339"/>
        <v>-24.700000000000045</v>
      </c>
      <c r="AB250" s="102">
        <f t="shared" si="340"/>
        <v>-4.2999999999999545</v>
      </c>
      <c r="AC250" s="124">
        <v>106.21</v>
      </c>
      <c r="AD250" s="155">
        <f t="shared" si="341"/>
        <v>-4.2999999999999545</v>
      </c>
      <c r="AE250" s="545">
        <f t="shared" si="342"/>
        <v>-6.7750677506774354E-2</v>
      </c>
      <c r="AF250" s="57">
        <f>IF($AC250="",#N/A,SUM(AD$4:AD250))</f>
        <v>293.74087220737977</v>
      </c>
      <c r="AG250" s="102">
        <f t="shared" si="343"/>
        <v>15.100000000000136</v>
      </c>
      <c r="AH250" s="56" t="s">
        <v>2507</v>
      </c>
      <c r="AI250" s="65">
        <f t="shared" si="344"/>
        <v>-0.38917249637612727</v>
      </c>
      <c r="AJ250" s="54">
        <f>IF(AI250="",#N/A,SUM($AI$4:AI250))</f>
        <v>12.785346828691313</v>
      </c>
      <c r="AK250" s="57">
        <f t="shared" si="345"/>
        <v>-24.700000000000045</v>
      </c>
      <c r="AL250" s="349">
        <f>IF(AI250="",#N/A,IF(AH250="Skip",SUM($AK$4:AK250),SUM($AK$4:AK250)))</f>
        <v>530.55759149281448</v>
      </c>
      <c r="AM250" s="65">
        <f t="shared" si="428"/>
        <v>-6.7750677506774354E-2</v>
      </c>
      <c r="AN250" s="209"/>
      <c r="AO250" s="65" t="str">
        <f t="shared" si="346"/>
        <v/>
      </c>
      <c r="AP250" s="65">
        <f>IF($AC250="",#N/A,SUM(AO$4:AO250))</f>
        <v>3.2956447331559287</v>
      </c>
      <c r="AQ250" s="65" t="str">
        <f t="shared" si="347"/>
        <v/>
      </c>
      <c r="AR250" s="65">
        <f>IF($AC250="",#N/A,SUM(AQ$4:AQ250))</f>
        <v>-2.1356705084748859</v>
      </c>
      <c r="AS250" s="65">
        <f t="shared" si="348"/>
        <v>-6.7750677506774354E-2</v>
      </c>
      <c r="AT250" s="65">
        <f>IF($AC250="",#N/A,SUM(AS$4:AS250))</f>
        <v>5.2417450518945481</v>
      </c>
      <c r="AU250" s="57" t="str">
        <f t="shared" si="429"/>
        <v/>
      </c>
      <c r="AV250" s="57">
        <f>IF($AC250="",#N/A,SUM(AU$4:AU250))</f>
        <v>87.822490661047027</v>
      </c>
      <c r="AW250" s="57" t="str">
        <f t="shared" si="430"/>
        <v/>
      </c>
      <c r="AX250" s="57">
        <f>IF($AC250="",#N/A,SUM(AW$4:AW250))</f>
        <v>-132.30000000000018</v>
      </c>
      <c r="AY250" s="57">
        <f t="shared" si="431"/>
        <v>-4.2999999999999545</v>
      </c>
      <c r="AZ250" s="57">
        <f>IF($AC250="",#N/A,SUM(AY$4:AY250))</f>
        <v>338.21838154633292</v>
      </c>
      <c r="BA250" s="57">
        <f>IF(AD250="",#N/A,SUM($AD$4:AD250))</f>
        <v>293.74087220737977</v>
      </c>
      <c r="BC250" s="51" t="str">
        <f t="shared" si="349"/>
        <v/>
      </c>
      <c r="BD250" s="51">
        <f t="shared" si="350"/>
        <v>1</v>
      </c>
      <c r="BE250" s="51" t="str">
        <f t="shared" si="351"/>
        <v/>
      </c>
      <c r="BF250" s="51" t="str">
        <f t="shared" si="352"/>
        <v>Short</v>
      </c>
      <c r="BG250" s="51" t="str">
        <f t="shared" si="353"/>
        <v/>
      </c>
      <c r="BH250" s="51" t="str">
        <f t="shared" si="354"/>
        <v/>
      </c>
      <c r="BI250" s="51" t="str">
        <f t="shared" si="355"/>
        <v/>
      </c>
      <c r="BK250" s="65">
        <f t="shared" si="435"/>
        <v>0.15892657569150356</v>
      </c>
      <c r="BL250" s="65">
        <f t="shared" si="434"/>
        <v>0.14356455833531429</v>
      </c>
      <c r="BM250" s="65">
        <f>IFERROR(Q250/COUNTA($J$4:J250),#N/A)</f>
        <v>6.6713344505286779E-2</v>
      </c>
      <c r="BO250" s="489" t="e">
        <f>IF(J250="",#N/A,IF(S250="SW",(COUNTIFS(K$4:$K250,"&gt;0",S$4:$S250,"SW")/COUNTIF(S$4:$S250,"SW")),#N/A))</f>
        <v>#N/A</v>
      </c>
      <c r="BP250" s="489">
        <f>IF($J250="",#N/A,IF($S250="DWN",(COUNTIFS($K$4:$K250,"&lt;0",$S$4:$S250,"DWN")/COUNTIF($S$4:$S250,"DWN")),#N/A))</f>
        <v>0.59047619047619049</v>
      </c>
      <c r="BQ250" s="489" t="e">
        <f>IF($J250="",#N/A,IF($S250="UP",(COUNTIFS($K$4:$K250,"&gt;0",$S$4:$S250,"UP")/COUNTIF($S$4:$S250,"UP")),#N/A))</f>
        <v>#N/A</v>
      </c>
      <c r="BR250" s="489">
        <f>IF(J250="",#N/A,COUNTIF($K$4:K250,"&gt;0")/COUNT($J$4:J250))</f>
        <v>0.45748987854251011</v>
      </c>
      <c r="BS250" s="65" t="str">
        <f t="shared" si="356"/>
        <v/>
      </c>
      <c r="BT250" s="65" t="str">
        <f t="shared" si="357"/>
        <v/>
      </c>
      <c r="BU250" s="65" t="str">
        <f t="shared" si="358"/>
        <v/>
      </c>
      <c r="BV250" s="65">
        <f t="shared" si="359"/>
        <v>-0.30566584735614943</v>
      </c>
      <c r="BW250" s="128" t="str">
        <f t="shared" si="360"/>
        <v/>
      </c>
      <c r="BX250" s="128">
        <f>IF($J250="",#N/A,SUM($BW$4:BW250))</f>
        <v>-192.33000000000061</v>
      </c>
      <c r="BY250" s="131">
        <f t="shared" si="361"/>
        <v>-19.400000000000091</v>
      </c>
      <c r="BZ250" s="131">
        <f>IF($J250="",#N/A,SUM($BY$4:BY250))</f>
        <v>860.16934038933459</v>
      </c>
      <c r="CA250" s="133" t="str">
        <f t="shared" si="362"/>
        <v/>
      </c>
      <c r="CB250" s="133">
        <f>IF($J250="",#N/A,SUM($CA$4:CA250))</f>
        <v>122.95158426187538</v>
      </c>
      <c r="CC250" s="194" t="str">
        <f t="shared" si="363"/>
        <v/>
      </c>
      <c r="CD250" s="194">
        <f>IF($J250="",#N/A,SUM($CC$4:CC250))</f>
        <v>-2.9903544749366251</v>
      </c>
      <c r="CE250" s="195">
        <f t="shared" si="364"/>
        <v>-0.30566584735614943</v>
      </c>
      <c r="CF250" s="195">
        <f>IF($J250="",#N/A,SUM($CE$4:CE250))</f>
        <v>15.02258741722525</v>
      </c>
      <c r="CG250" s="196" t="str">
        <f t="shared" si="365"/>
        <v/>
      </c>
      <c r="CH250" s="193">
        <f>IF($J250="",#N/A,SUM($CG$4:CG250))</f>
        <v>4.4459631505172155</v>
      </c>
      <c r="CI250" s="200" t="str">
        <f t="shared" si="366"/>
        <v/>
      </c>
      <c r="CJ250" s="203">
        <f>IF($J250="",#N/A,SUM(CI$4:CI250))</f>
        <v>0</v>
      </c>
      <c r="CK250" s="204" t="str">
        <f t="shared" si="367"/>
        <v/>
      </c>
      <c r="CL250" s="204">
        <f>IF($J250="",#N/A,SUM(CK$4:CK250))</f>
        <v>1.9927003554442289</v>
      </c>
      <c r="CM250" s="205" t="str">
        <f t="shared" si="368"/>
        <v/>
      </c>
      <c r="CN250" s="205">
        <f>IF($J250="",#N/A,SUM(CM$4:CM250))</f>
        <v>2.5131182152625313</v>
      </c>
      <c r="CO250" s="205">
        <f>IF($J250="",#N/A,SUM(CM$4:CM250,CK$4:CK250,CI$4:CI250))</f>
        <v>4.5058185707067606</v>
      </c>
      <c r="CP250" s="200" t="str">
        <f t="shared" si="369"/>
        <v/>
      </c>
      <c r="CQ250" s="203">
        <f>IF($J250="",#N/A,SUM(CP$4:CP250))</f>
        <v>0</v>
      </c>
      <c r="CR250" s="204" t="str">
        <f t="shared" si="370"/>
        <v/>
      </c>
      <c r="CS250" s="204">
        <f>IF($J250="",#N/A,SUM(CR$4:CR250))</f>
        <v>4.6135245886817966</v>
      </c>
      <c r="CT250" s="205" t="str">
        <f t="shared" si="371"/>
        <v/>
      </c>
      <c r="CU250" s="205">
        <f>IF($J250="",#N/A,SUM(CT$4:CT250))</f>
        <v>-2.9040943753548785</v>
      </c>
      <c r="CV250" s="205">
        <f>IF($J250="",#N/A,SUM(CT$4:CT250,CR$4:CR250,CP$4:CP250))</f>
        <v>1.7094302133269181</v>
      </c>
      <c r="CW250" s="200" t="str">
        <f t="shared" si="372"/>
        <v/>
      </c>
      <c r="CX250" s="203">
        <f>IF($J250="",#N/A,SUM(CW$4:CW250))</f>
        <v>-0.33865165024245297</v>
      </c>
      <c r="CY250" s="204" t="str">
        <f t="shared" si="373"/>
        <v/>
      </c>
      <c r="CZ250" s="204">
        <f>IF($J250="",#N/A,SUM(CY$4:CY250))</f>
        <v>0.30198222879878239</v>
      </c>
      <c r="DA250" s="205" t="str">
        <f t="shared" si="374"/>
        <v/>
      </c>
      <c r="DB250" s="205">
        <f>IF($J250="",#N/A,SUM(DA$4:DA250))</f>
        <v>-2.1597383732727686</v>
      </c>
      <c r="DC250" s="205">
        <f>IF($J250="",#N/A,SUM(DA$4:DA250,CY$4:CY250,CW$4:CW250))</f>
        <v>-2.1964077947164395</v>
      </c>
      <c r="DD250" s="200" t="str">
        <f t="shared" si="375"/>
        <v/>
      </c>
      <c r="DE250" s="203">
        <f>IF($J250="",#N/A,SUM(DD$4:DD250))</f>
        <v>0.24769343410817113</v>
      </c>
      <c r="DF250" s="204" t="str">
        <f t="shared" si="376"/>
        <v/>
      </c>
      <c r="DG250" s="204">
        <f>IF($J250="",#N/A,SUM(DF$4:DF250))</f>
        <v>1.5249935139936004</v>
      </c>
      <c r="DH250" s="205" t="str">
        <f t="shared" si="377"/>
        <v/>
      </c>
      <c r="DI250" s="205">
        <f>IF($J250="",#N/A,SUM(DH$4:DH250))</f>
        <v>-1.9066052078694633</v>
      </c>
      <c r="DJ250" s="205">
        <f>IF($J250="",#N/A,SUM(DH$4:DH250,DF$4:DF250,DD$4:DD250))</f>
        <v>-0.13391825976769156</v>
      </c>
      <c r="DK250" s="200" t="str">
        <f t="shared" si="378"/>
        <v/>
      </c>
      <c r="DL250" s="203">
        <f>IF($J250="",#N/A,SUM(DK$4:DK250))</f>
        <v>-1.2097286851272664</v>
      </c>
      <c r="DM250" s="204" t="str">
        <f t="shared" si="379"/>
        <v/>
      </c>
      <c r="DN250" s="204">
        <f>IF($J250="",#N/A,SUM(DM$4:DM250))</f>
        <v>3.0281848543081331</v>
      </c>
      <c r="DO250" s="205" t="str">
        <f t="shared" si="380"/>
        <v/>
      </c>
      <c r="DP250" s="205">
        <f>IF($J250="",#N/A,SUM(DO$4:DO250))</f>
        <v>2.700331529683047</v>
      </c>
      <c r="DQ250" s="205">
        <f>IF($J250="",#N/A,SUM(DO$4:DO250,DM$4:DM250,DK$4:DK250))</f>
        <v>4.518787698863914</v>
      </c>
      <c r="DR250" s="200" t="str">
        <f t="shared" si="381"/>
        <v/>
      </c>
      <c r="DS250" s="203">
        <f>IF($J250="",#N/A,SUM(DR$4:DR250))</f>
        <v>-0.55950946427675097</v>
      </c>
      <c r="DT250" s="204" t="str">
        <f t="shared" si="382"/>
        <v/>
      </c>
      <c r="DU250" s="204">
        <f>IF($J250="",#N/A,SUM(DT$4:DT250))</f>
        <v>5.8020102755427239E-2</v>
      </c>
      <c r="DV250" s="205" t="str">
        <f t="shared" si="383"/>
        <v/>
      </c>
      <c r="DW250" s="205">
        <f>IF($J250="",#N/A,SUM(DV$4:DV250))</f>
        <v>-1.2815650893103838</v>
      </c>
      <c r="DX250" s="205">
        <f>IF($J250="",#N/A,SUM(DV$4:DV250,DT$4:DT250,DR$4:DR250))</f>
        <v>-1.7830544508317079</v>
      </c>
      <c r="DY250" s="200" t="str">
        <f t="shared" si="384"/>
        <v/>
      </c>
      <c r="DZ250" s="203">
        <f>IF($J250="",#N/A,SUM(DY$4:DY250))</f>
        <v>-1.0460034109943892</v>
      </c>
      <c r="EA250" s="204" t="str">
        <f t="shared" si="385"/>
        <v/>
      </c>
      <c r="EB250" s="204">
        <f>IF($J250="",#N/A,SUM(EA$4:EA250))</f>
        <v>1.0902674422317802</v>
      </c>
      <c r="EC250" s="205" t="str">
        <f t="shared" si="386"/>
        <v/>
      </c>
      <c r="ED250" s="205">
        <f>IF($J250="",#N/A,SUM(EC$4:EC250))</f>
        <v>5.0841293998354304</v>
      </c>
      <c r="EE250" s="205">
        <f>IF($J250="",#N/A,SUM(EC$4:EC250,EA$4:EA250,DY$4:DY250))</f>
        <v>5.1283934310728201</v>
      </c>
      <c r="EF250" s="200" t="str">
        <f t="shared" si="387"/>
        <v/>
      </c>
      <c r="EG250" s="203">
        <f>IF($J250="",#N/A,SUM(EF$4:EF250))</f>
        <v>-0.15098969023521425</v>
      </c>
      <c r="EH250" s="204" t="str">
        <f t="shared" si="388"/>
        <v/>
      </c>
      <c r="EI250" s="204">
        <f>IF($J250="",#N/A,SUM(EH$4:EH250))</f>
        <v>-2.8640283518306258</v>
      </c>
      <c r="EJ250" s="205" t="str">
        <f t="shared" si="389"/>
        <v/>
      </c>
      <c r="EK250" s="205">
        <f>IF($J250="",#N/A,SUM(EJ$4:EJ250))</f>
        <v>5.050388173053765</v>
      </c>
      <c r="EL250" s="205">
        <f>IF($J250="",#N/A,SUM(EJ$4:EJ250,EH$4:EH250,EF$4:EF250))</f>
        <v>2.0353701309879249</v>
      </c>
      <c r="EM250" s="200" t="str">
        <f t="shared" si="390"/>
        <v/>
      </c>
      <c r="EN250" s="203">
        <f>IF($J250="",#N/A,SUM(EM$4:EM250))</f>
        <v>0</v>
      </c>
      <c r="EO250" s="204" t="str">
        <f t="shared" si="391"/>
        <v/>
      </c>
      <c r="EP250" s="204">
        <f>IF($J250="",#N/A,SUM(EO$4:EO250))</f>
        <v>3.2406646352184261</v>
      </c>
      <c r="EQ250" s="205" t="str">
        <f t="shared" si="392"/>
        <v/>
      </c>
      <c r="ER250" s="205">
        <f>IF($J250="",#N/A,SUM(EQ$4:EQ250))</f>
        <v>1.441536272249796</v>
      </c>
      <c r="ES250" s="205">
        <f>IF($J250="",#N/A,SUM(EQ$4:EQ250,EO$4:EO250,EM$4:EM250))</f>
        <v>4.6822009074682214</v>
      </c>
      <c r="ET250" s="200" t="str">
        <f t="shared" si="393"/>
        <v/>
      </c>
      <c r="EU250" s="203">
        <f>IF($J250="",#N/A,SUM(ET$4:ET250))</f>
        <v>0</v>
      </c>
      <c r="EV250" s="204" t="str">
        <f t="shared" si="394"/>
        <v/>
      </c>
      <c r="EW250" s="204">
        <f>IF($J250="",#N/A,SUM(EV$4:EV250))</f>
        <v>1.9901851109977766</v>
      </c>
      <c r="EX250" s="205" t="str">
        <f t="shared" si="395"/>
        <v/>
      </c>
      <c r="EY250" s="205">
        <f>IF($J250="",#N/A,SUM(EX$4:EX250))</f>
        <v>0.27113250180669229</v>
      </c>
      <c r="EZ250" s="205">
        <f>IF($J250="",#N/A,SUM(EX$4:EX250,EV$4:EV250,ET$4:ET250))</f>
        <v>2.2613176128044685</v>
      </c>
      <c r="FA250" s="200" t="str">
        <f t="shared" si="396"/>
        <v/>
      </c>
      <c r="FB250" s="203">
        <f>IF($J250="",#N/A,SUM(FA$4:FA250))</f>
        <v>0</v>
      </c>
      <c r="FC250" s="204">
        <f t="shared" si="397"/>
        <v>-0.30566584735614943</v>
      </c>
      <c r="FD250" s="204">
        <f>IF($J250="",#N/A,SUM(FC$4:FC250))</f>
        <v>1.5635468285930783</v>
      </c>
      <c r="FE250" s="205" t="str">
        <f t="shared" si="398"/>
        <v/>
      </c>
      <c r="FF250" s="205">
        <f>IF($J250="",#N/A,SUM(FE$4:FE250))</f>
        <v>-0.28811149078748233</v>
      </c>
      <c r="FG250" s="205">
        <f>IF($J250="",#N/A,SUM(FE$4:FE250,FC$4:FC250,FA$4:FA250))</f>
        <v>1.2754353378055963</v>
      </c>
      <c r="FH250" s="200" t="str">
        <f t="shared" si="399"/>
        <v/>
      </c>
      <c r="FI250" s="203">
        <f>IF($J250="",#N/A,SUM(FH$4:FH250))</f>
        <v>0</v>
      </c>
      <c r="FJ250" s="204" t="str">
        <f t="shared" si="400"/>
        <v/>
      </c>
      <c r="FK250" s="204">
        <f>IF($J250="",#N/A,SUM(FJ$4:FJ250))</f>
        <v>0</v>
      </c>
      <c r="FL250" s="205" t="str">
        <f t="shared" si="401"/>
        <v/>
      </c>
      <c r="FM250" s="205">
        <f>IF($J250="",#N/A,SUM(FL$4:FL250))</f>
        <v>0</v>
      </c>
      <c r="FN250" s="205">
        <f>IF($J250="",#N/A,SUM(FL$4:FL250,FJ$4:FJ250,FH$4:FH250))</f>
        <v>0</v>
      </c>
      <c r="FO250" s="200" t="str">
        <f t="shared" si="402"/>
        <v/>
      </c>
      <c r="FP250" s="203">
        <f>IF($J250="",#N/A,SUM(FO$4:FO250))</f>
        <v>0</v>
      </c>
      <c r="FQ250" s="204" t="str">
        <f t="shared" si="403"/>
        <v/>
      </c>
      <c r="FR250" s="204">
        <f>IF($J250="",#N/A,SUM(FQ$4:FQ250))</f>
        <v>0</v>
      </c>
      <c r="FS250" s="205" t="str">
        <f t="shared" si="404"/>
        <v/>
      </c>
      <c r="FT250" s="205">
        <f>IF($J250="",#N/A,SUM(FS$4:FS250))</f>
        <v>0</v>
      </c>
      <c r="FU250" s="205">
        <f>IF($J250="",#N/A,SUM(FS$4:FS250,FQ$4:FQ250,FO$4:FO250))</f>
        <v>0</v>
      </c>
      <c r="FV250" s="200" t="str">
        <f t="shared" si="405"/>
        <v/>
      </c>
      <c r="FW250" s="203">
        <f>IF($J250="",#N/A,SUM(FV$4:FV250))</f>
        <v>6.6834991831277585E-2</v>
      </c>
      <c r="FX250" s="204" t="str">
        <f t="shared" si="406"/>
        <v/>
      </c>
      <c r="FY250" s="204">
        <f>IF($J250="",#N/A,SUM(FX$4:FX250))</f>
        <v>-0.16102012791805576</v>
      </c>
      <c r="FZ250" s="205" t="str">
        <f t="shared" si="407"/>
        <v/>
      </c>
      <c r="GA250" s="205">
        <f>IF($J250="",#N/A,SUM(FZ$4:FZ250))</f>
        <v>-1.1377221770567538</v>
      </c>
      <c r="GB250" s="205">
        <f>IF($J250="",#N/A,SUM(FZ$4:FZ250,FX$4:FX250,FV$4:FV250))</f>
        <v>-1.2319073131435321</v>
      </c>
      <c r="GC250" s="200" t="str">
        <f t="shared" si="408"/>
        <v/>
      </c>
      <c r="GD250" s="203">
        <f>IF($J250="",#N/A,SUM(GC$4:GC250))</f>
        <v>0</v>
      </c>
      <c r="GE250" s="204" t="str">
        <f t="shared" si="409"/>
        <v/>
      </c>
      <c r="GF250" s="204">
        <f>IF($J250="",#N/A,SUM(GE$4:GE250))</f>
        <v>0</v>
      </c>
      <c r="GG250" s="205" t="str">
        <f t="shared" si="410"/>
        <v/>
      </c>
      <c r="GH250" s="205">
        <f>IF($J250="",#N/A,SUM(GG$4:GG250))</f>
        <v>-2.9368362277223206</v>
      </c>
      <c r="GI250" s="205">
        <f>IF($J250="",#N/A,SUM(GG$4:GG250,GE$4:GE250,GC$4:GC250))</f>
        <v>-2.9368362277223206</v>
      </c>
      <c r="GJ250" s="200" t="str">
        <f t="shared" si="411"/>
        <v/>
      </c>
      <c r="GK250" s="203">
        <f>IF($J250="",#N/A,SUM(GJ$4:GJ250))</f>
        <v>0</v>
      </c>
      <c r="GL250" s="204" t="str">
        <f t="shared" si="412"/>
        <v/>
      </c>
      <c r="GM250" s="204">
        <f>IF($J250="",#N/A,SUM(GL$4:GL250))</f>
        <v>-1.6833790887309608</v>
      </c>
      <c r="GN250" s="205" t="str">
        <f t="shared" si="413"/>
        <v/>
      </c>
      <c r="GO250" s="205">
        <f>IF($J250="",#N/A,SUM(GN$4:GN250))</f>
        <v>0</v>
      </c>
      <c r="GP250" s="205">
        <f>IF($J250="",#N/A,SUM(GN$4:GN250,GL$4:GL250,GJ$4:GJ250))</f>
        <v>-1.6833790887309608</v>
      </c>
      <c r="GS250" s="54">
        <f t="shared" si="432"/>
        <v>-0.30566584735614943</v>
      </c>
      <c r="GT250" s="54">
        <f>IF(GS250="",NA(),SUM($GS$4:GS250))</f>
        <v>10.348188342834739</v>
      </c>
      <c r="GU250" s="54" t="str">
        <f t="shared" si="414"/>
        <v/>
      </c>
      <c r="GV250" s="54" t="e">
        <f>IF(GU250="",NA(),SUM($GU$4:GU250))</f>
        <v>#N/A</v>
      </c>
      <c r="GW250" s="54" t="str">
        <f t="shared" si="415"/>
        <v/>
      </c>
      <c r="GX250" s="54" t="e">
        <f>IF(GW250="",NA(),SUM($GW$4:GW250))</f>
        <v>#N/A</v>
      </c>
      <c r="GY250" s="54">
        <f t="shared" si="416"/>
        <v>-0.30566584735614943</v>
      </c>
      <c r="GZ250" s="54">
        <f>IF(GY250="",NA(),SUM($GY$4:GY250))</f>
        <v>7.4855433340424709</v>
      </c>
      <c r="HA250" s="54" t="str">
        <f t="shared" si="417"/>
        <v/>
      </c>
      <c r="HB250" s="54" t="e">
        <f>IF(HA250="",NA(),SUM($HA$4:HA250))</f>
        <v>#N/A</v>
      </c>
      <c r="HC250" s="54" t="str">
        <f t="shared" si="418"/>
        <v/>
      </c>
      <c r="HD250" s="54" t="e">
        <f>IF(HC250="",NA(),SUM($HC$4:HC250))</f>
        <v>#N/A</v>
      </c>
      <c r="HE250" s="54" t="str">
        <f t="shared" si="419"/>
        <v/>
      </c>
      <c r="HF250" s="54" t="e">
        <f>IF(HE250="",NA(),SUM($HE$4:HE250))</f>
        <v>#N/A</v>
      </c>
      <c r="HG250" s="54" t="str">
        <f t="shared" si="420"/>
        <v/>
      </c>
      <c r="HH250" s="54" t="e">
        <f>IF(HG250="",NA(),SUM($HG$4:HG250))</f>
        <v>#N/A</v>
      </c>
      <c r="HI250" s="172" t="str">
        <f t="shared" si="433"/>
        <v/>
      </c>
      <c r="HJ250" s="172">
        <f>IF($J250="",#N/A,SUM(HI$4:$HI250))</f>
        <v>-8.2193263156152607</v>
      </c>
      <c r="HK250" s="54">
        <f t="shared" si="421"/>
        <v>0.23791516984937508</v>
      </c>
      <c r="HL250" s="54">
        <f>IF($J250="",#N/A,SUM($HK$4:HK250))</f>
        <v>-1.5615160497154335</v>
      </c>
      <c r="HM250" s="54" t="str">
        <f t="shared" si="422"/>
        <v/>
      </c>
      <c r="HN250" s="54">
        <f>IF($J250="",#N/A,SUM($HM$4:HM250))</f>
        <v>0.957348620978966</v>
      </c>
      <c r="HO250" s="54" t="str">
        <f t="shared" si="423"/>
        <v/>
      </c>
      <c r="HP250" s="54">
        <f>IF($J250="",#N/A,SUM($HO$4:HO250))</f>
        <v>-0.10266465451722628</v>
      </c>
      <c r="HQ250" s="54" t="str">
        <f t="shared" si="424"/>
        <v/>
      </c>
      <c r="HR250" s="54">
        <f>IF($J250="",#N/A,SUM($HQ$4:HQ250))</f>
        <v>-14.596039294292455</v>
      </c>
      <c r="HS250" s="54" t="str">
        <f t="shared" si="425"/>
        <v/>
      </c>
      <c r="HT250" s="54">
        <f>IF($J250="",#N/A,SUM($HS$4:HS250))</f>
        <v>13.445720876931169</v>
      </c>
      <c r="HU250" s="65">
        <f t="shared" si="426"/>
        <v>-6.7750677506774354E-2</v>
      </c>
      <c r="HV250" s="65">
        <f>IF($J250="",#N/A,SUM(HU$4:$HU250))</f>
        <v>6.4017192765755935</v>
      </c>
    </row>
    <row r="251" spans="1:230" x14ac:dyDescent="0.25">
      <c r="A251" s="51" t="s">
        <v>9</v>
      </c>
      <c r="B251" s="52" t="s">
        <v>4564</v>
      </c>
      <c r="C251" s="229">
        <f t="shared" si="327"/>
        <v>2</v>
      </c>
      <c r="D251" s="219" t="str">
        <f>_xlfn.XLOOKUP(A251,[1]SP500!$A$2:$A$502,[1]SP500!$D$2:$D$502,"N")</f>
        <v>Y</v>
      </c>
      <c r="E251" s="51" t="str">
        <f>IFERROR(_xlfn.XLOOKUP(A251,[1]SP500!$A$2:$A$655,[1]SP500!$B$2:$B$655),"")</f>
        <v>XLE</v>
      </c>
      <c r="F251" s="290">
        <v>45779</v>
      </c>
      <c r="G251" s="51" t="str">
        <f t="shared" si="328"/>
        <v>BMO</v>
      </c>
      <c r="H251" s="51" t="str">
        <f t="shared" si="329"/>
        <v>s</v>
      </c>
      <c r="I251" s="344">
        <v>136.26</v>
      </c>
      <c r="J251" s="124">
        <v>137.875</v>
      </c>
      <c r="K251" s="55">
        <f t="shared" si="330"/>
        <v>1.1852341112578961E-2</v>
      </c>
      <c r="L251" s="67">
        <f t="shared" si="331"/>
        <v>-16.150000000000091</v>
      </c>
      <c r="M251" s="57">
        <f t="shared" si="332"/>
        <v>-6.0499999999999545</v>
      </c>
      <c r="N251" s="102">
        <f t="shared" si="333"/>
        <v>-16.150000000000091</v>
      </c>
      <c r="O251" s="57">
        <f>IF(N251="",#N/A,SUM($N$4:N251))</f>
        <v>774.64092465120927</v>
      </c>
      <c r="P251" s="65">
        <f t="shared" si="427"/>
        <v>-0.1975390185429827</v>
      </c>
      <c r="Q251" s="172">
        <f>IF($N251="",#N/A,SUM($P$4:P251))</f>
        <v>16.280657074262852</v>
      </c>
      <c r="R251" s="279">
        <f t="shared" si="334"/>
        <v>3.7668499490795373</v>
      </c>
      <c r="S251" s="51" t="str">
        <f t="shared" si="335"/>
        <v>Dwn</v>
      </c>
      <c r="T251" s="51" t="s">
        <v>4461</v>
      </c>
      <c r="U251" s="56">
        <f t="shared" si="336"/>
        <v>136.26</v>
      </c>
      <c r="V251" s="56" t="s">
        <v>4458</v>
      </c>
      <c r="W251" s="142">
        <v>10</v>
      </c>
      <c r="X251" s="145">
        <f t="shared" si="337"/>
        <v>1362.6</v>
      </c>
      <c r="Y251" s="140">
        <f t="shared" si="338"/>
        <v>10</v>
      </c>
      <c r="Z251" s="123">
        <v>138.47999999999999</v>
      </c>
      <c r="AA251" s="102">
        <f t="shared" si="339"/>
        <v>-22.200000000000045</v>
      </c>
      <c r="AB251" s="102">
        <f t="shared" si="340"/>
        <v>-22.400000000000091</v>
      </c>
      <c r="AC251" s="124">
        <v>138.5</v>
      </c>
      <c r="AD251" s="155">
        <f t="shared" si="341"/>
        <v>-22.400000000000091</v>
      </c>
      <c r="AE251" s="545">
        <f t="shared" si="342"/>
        <v>-0.27398600714320775</v>
      </c>
      <c r="AF251" s="57">
        <f>IF($AC251="",#N/A,SUM(AD$4:AD251))</f>
        <v>271.34087220737968</v>
      </c>
      <c r="AG251" s="102">
        <f t="shared" si="343"/>
        <v>-6.25</v>
      </c>
      <c r="AH251" s="56" t="s">
        <v>2507</v>
      </c>
      <c r="AI251" s="65">
        <f t="shared" si="344"/>
        <v>-0.271539703508</v>
      </c>
      <c r="AJ251" s="54">
        <f>IF(AI251="",#N/A,SUM($AI$4:AI251))</f>
        <v>12.513807125183314</v>
      </c>
      <c r="AK251" s="57">
        <f t="shared" si="345"/>
        <v>-22.200000000000045</v>
      </c>
      <c r="AL251" s="349">
        <f>IF(AI251="",#N/A,IF(AH251="Skip",SUM($AK$4:AK251),SUM($AK$4:AK251)))</f>
        <v>508.35759149281444</v>
      </c>
      <c r="AM251" s="65">
        <f t="shared" si="428"/>
        <v>-0.27398600714320775</v>
      </c>
      <c r="AN251" s="211"/>
      <c r="AO251" s="65" t="str">
        <f t="shared" si="346"/>
        <v/>
      </c>
      <c r="AP251" s="65">
        <f>IF($AC251="",#N/A,SUM(AO$4:AO251))</f>
        <v>3.2956447331559287</v>
      </c>
      <c r="AQ251" s="65" t="str">
        <f t="shared" si="347"/>
        <v/>
      </c>
      <c r="AR251" s="65">
        <f>IF($AC251="",#N/A,SUM(AQ$4:AQ251))</f>
        <v>-2.1356705084748859</v>
      </c>
      <c r="AS251" s="65">
        <f t="shared" si="348"/>
        <v>-0.27398600714320775</v>
      </c>
      <c r="AT251" s="65">
        <f>IF($AC251="",#N/A,SUM(AS$4:AS251))</f>
        <v>4.9677590447513404</v>
      </c>
      <c r="AU251" s="57" t="str">
        <f t="shared" si="429"/>
        <v/>
      </c>
      <c r="AV251" s="57">
        <f>IF($AC251="",#N/A,SUM(AU$4:AU251))</f>
        <v>87.822490661047027</v>
      </c>
      <c r="AW251" s="57" t="str">
        <f t="shared" si="430"/>
        <v/>
      </c>
      <c r="AX251" s="57">
        <f>IF($AC251="",#N/A,SUM(AW$4:AW251))</f>
        <v>-132.30000000000018</v>
      </c>
      <c r="AY251" s="57">
        <f t="shared" si="431"/>
        <v>-22.400000000000091</v>
      </c>
      <c r="AZ251" s="57">
        <f>IF($AC251="",#N/A,SUM(AY$4:AY251))</f>
        <v>315.81838154633283</v>
      </c>
      <c r="BA251" s="57">
        <f>IF(AD251="",#N/A,SUM($AD$4:AD251))</f>
        <v>271.34087220737968</v>
      </c>
      <c r="BC251" s="51" t="str">
        <f t="shared" si="349"/>
        <v/>
      </c>
      <c r="BD251" s="51">
        <f t="shared" si="350"/>
        <v>1</v>
      </c>
      <c r="BE251" s="51" t="str">
        <f t="shared" si="351"/>
        <v/>
      </c>
      <c r="BF251" s="51" t="str">
        <f t="shared" si="352"/>
        <v>Short</v>
      </c>
      <c r="BG251" s="51" t="str">
        <f t="shared" si="353"/>
        <v/>
      </c>
      <c r="BH251" s="51" t="str">
        <f t="shared" si="354"/>
        <v/>
      </c>
      <c r="BI251" s="51" t="str">
        <f t="shared" si="355"/>
        <v/>
      </c>
      <c r="BK251" s="65">
        <f t="shared" si="435"/>
        <v>0.15302116477334732</v>
      </c>
      <c r="BL251" s="65">
        <f t="shared" si="434"/>
        <v>0.15001943323715927</v>
      </c>
      <c r="BM251" s="65">
        <f>IFERROR(Q251/COUNTA($J$4:J251),#N/A)</f>
        <v>6.5647810783317953E-2</v>
      </c>
      <c r="BO251" s="489" t="e">
        <f>IF(J251="",#N/A,IF(S251="SW",(COUNTIFS(K$4:$K251,"&gt;0",S$4:$S251,"SW")/COUNTIF(S$4:$S251,"SW")),#N/A))</f>
        <v>#N/A</v>
      </c>
      <c r="BP251" s="489">
        <f>IF($J251="",#N/A,IF($S251="DWN",(COUNTIFS($K$4:$K251,"&lt;0",$S$4:$S251,"DWN")/COUNTIF($S$4:$S251,"DWN")),#N/A))</f>
        <v>0.58490566037735847</v>
      </c>
      <c r="BQ251" s="489" t="e">
        <f>IF($J251="",#N/A,IF($S251="UP",(COUNTIFS($K$4:$K251,"&gt;0",$S$4:$S251,"UP")/COUNTIF($S$4:$S251,"UP")),#N/A))</f>
        <v>#N/A</v>
      </c>
      <c r="BR251" s="489">
        <f>IF(J251="",#N/A,COUNTIF($K$4:K251,"&gt;0")/COUNT($J$4:J251))</f>
        <v>0.45967741935483869</v>
      </c>
      <c r="BS251" s="65" t="str">
        <f t="shared" si="356"/>
        <v/>
      </c>
      <c r="BT251" s="65" t="str">
        <f t="shared" si="357"/>
        <v/>
      </c>
      <c r="BU251" s="65" t="str">
        <f t="shared" si="358"/>
        <v/>
      </c>
      <c r="BV251" s="65">
        <f t="shared" si="359"/>
        <v>-0.1975390185429827</v>
      </c>
      <c r="BW251" s="128" t="str">
        <f t="shared" si="360"/>
        <v/>
      </c>
      <c r="BX251" s="128">
        <f>IF($J251="",#N/A,SUM($BW$4:BW251))</f>
        <v>-192.33000000000061</v>
      </c>
      <c r="BY251" s="131">
        <f t="shared" si="361"/>
        <v>-16.150000000000091</v>
      </c>
      <c r="BZ251" s="131">
        <f>IF($J251="",#N/A,SUM($BY$4:BY251))</f>
        <v>844.0193403893345</v>
      </c>
      <c r="CA251" s="133" t="str">
        <f t="shared" si="362"/>
        <v/>
      </c>
      <c r="CB251" s="133">
        <f>IF($J251="",#N/A,SUM($CA$4:CA251))</f>
        <v>122.95158426187538</v>
      </c>
      <c r="CC251" s="194" t="str">
        <f t="shared" si="363"/>
        <v/>
      </c>
      <c r="CD251" s="194">
        <f>IF($J251="",#N/A,SUM($CC$4:CC251))</f>
        <v>-2.9903544749366251</v>
      </c>
      <c r="CE251" s="195">
        <f t="shared" si="364"/>
        <v>-0.1975390185429827</v>
      </c>
      <c r="CF251" s="195">
        <f>IF($J251="",#N/A,SUM($CE$4:CE251))</f>
        <v>14.825048398682267</v>
      </c>
      <c r="CG251" s="196" t="str">
        <f t="shared" si="365"/>
        <v/>
      </c>
      <c r="CH251" s="193">
        <f>IF($J251="",#N/A,SUM($CG$4:CG251))</f>
        <v>4.4459631505172155</v>
      </c>
      <c r="CI251" s="200" t="str">
        <f t="shared" si="366"/>
        <v/>
      </c>
      <c r="CJ251" s="203">
        <f>IF($J251="",#N/A,SUM(CI$4:CI251))</f>
        <v>0</v>
      </c>
      <c r="CK251" s="204" t="str">
        <f t="shared" si="367"/>
        <v/>
      </c>
      <c r="CL251" s="204">
        <f>IF($J251="",#N/A,SUM(CK$4:CK251))</f>
        <v>1.9927003554442289</v>
      </c>
      <c r="CM251" s="205" t="str">
        <f t="shared" si="368"/>
        <v/>
      </c>
      <c r="CN251" s="205">
        <f>IF($J251="",#N/A,SUM(CM$4:CM251))</f>
        <v>2.5131182152625313</v>
      </c>
      <c r="CO251" s="205">
        <f>IF($J251="",#N/A,SUM(CM$4:CM251,CK$4:CK251,CI$4:CI251))</f>
        <v>4.5058185707067606</v>
      </c>
      <c r="CP251" s="200" t="str">
        <f t="shared" si="369"/>
        <v/>
      </c>
      <c r="CQ251" s="203">
        <f>IF($J251="",#N/A,SUM(CP$4:CP251))</f>
        <v>0</v>
      </c>
      <c r="CR251" s="204" t="str">
        <f t="shared" si="370"/>
        <v/>
      </c>
      <c r="CS251" s="204">
        <f>IF($J251="",#N/A,SUM(CR$4:CR251))</f>
        <v>4.6135245886817966</v>
      </c>
      <c r="CT251" s="205" t="str">
        <f t="shared" si="371"/>
        <v/>
      </c>
      <c r="CU251" s="205">
        <f>IF($J251="",#N/A,SUM(CT$4:CT251))</f>
        <v>-2.9040943753548785</v>
      </c>
      <c r="CV251" s="205">
        <f>IF($J251="",#N/A,SUM(CT$4:CT251,CR$4:CR251,CP$4:CP251))</f>
        <v>1.7094302133269181</v>
      </c>
      <c r="CW251" s="200" t="str">
        <f t="shared" si="372"/>
        <v/>
      </c>
      <c r="CX251" s="203">
        <f>IF($J251="",#N/A,SUM(CW$4:CW251))</f>
        <v>-0.33865165024245297</v>
      </c>
      <c r="CY251" s="204" t="str">
        <f t="shared" si="373"/>
        <v/>
      </c>
      <c r="CZ251" s="204">
        <f>IF($J251="",#N/A,SUM(CY$4:CY251))</f>
        <v>0.30198222879878239</v>
      </c>
      <c r="DA251" s="205" t="str">
        <f t="shared" si="374"/>
        <v/>
      </c>
      <c r="DB251" s="205">
        <f>IF($J251="",#N/A,SUM(DA$4:DA251))</f>
        <v>-2.1597383732727686</v>
      </c>
      <c r="DC251" s="205">
        <f>IF($J251="",#N/A,SUM(DA$4:DA251,CY$4:CY251,CW$4:CW251))</f>
        <v>-2.1964077947164395</v>
      </c>
      <c r="DD251" s="200" t="str">
        <f t="shared" si="375"/>
        <v/>
      </c>
      <c r="DE251" s="203">
        <f>IF($J251="",#N/A,SUM(DD$4:DD251))</f>
        <v>0.24769343410817113</v>
      </c>
      <c r="DF251" s="204" t="str">
        <f t="shared" si="376"/>
        <v/>
      </c>
      <c r="DG251" s="204">
        <f>IF($J251="",#N/A,SUM(DF$4:DF251))</f>
        <v>1.5249935139936004</v>
      </c>
      <c r="DH251" s="205" t="str">
        <f t="shared" si="377"/>
        <v/>
      </c>
      <c r="DI251" s="205">
        <f>IF($J251="",#N/A,SUM(DH$4:DH251))</f>
        <v>-1.9066052078694633</v>
      </c>
      <c r="DJ251" s="205">
        <f>IF($J251="",#N/A,SUM(DH$4:DH251,DF$4:DF251,DD$4:DD251))</f>
        <v>-0.13391825976769156</v>
      </c>
      <c r="DK251" s="200" t="str">
        <f t="shared" si="378"/>
        <v/>
      </c>
      <c r="DL251" s="203">
        <f>IF($J251="",#N/A,SUM(DK$4:DK251))</f>
        <v>-1.2097286851272664</v>
      </c>
      <c r="DM251" s="204" t="str">
        <f t="shared" si="379"/>
        <v/>
      </c>
      <c r="DN251" s="204">
        <f>IF($J251="",#N/A,SUM(DM$4:DM251))</f>
        <v>3.0281848543081331</v>
      </c>
      <c r="DO251" s="205" t="str">
        <f t="shared" si="380"/>
        <v/>
      </c>
      <c r="DP251" s="205">
        <f>IF($J251="",#N/A,SUM(DO$4:DO251))</f>
        <v>2.700331529683047</v>
      </c>
      <c r="DQ251" s="205">
        <f>IF($J251="",#N/A,SUM(DO$4:DO251,DM$4:DM251,DK$4:DK251))</f>
        <v>4.518787698863914</v>
      </c>
      <c r="DR251" s="200" t="str">
        <f t="shared" si="381"/>
        <v/>
      </c>
      <c r="DS251" s="203">
        <f>IF($J251="",#N/A,SUM(DR$4:DR251))</f>
        <v>-0.55950946427675097</v>
      </c>
      <c r="DT251" s="204" t="str">
        <f t="shared" si="382"/>
        <v/>
      </c>
      <c r="DU251" s="204">
        <f>IF($J251="",#N/A,SUM(DT$4:DT251))</f>
        <v>5.8020102755427239E-2</v>
      </c>
      <c r="DV251" s="205" t="str">
        <f t="shared" si="383"/>
        <v/>
      </c>
      <c r="DW251" s="205">
        <f>IF($J251="",#N/A,SUM(DV$4:DV251))</f>
        <v>-1.2815650893103838</v>
      </c>
      <c r="DX251" s="205">
        <f>IF($J251="",#N/A,SUM(DV$4:DV251,DT$4:DT251,DR$4:DR251))</f>
        <v>-1.7830544508317079</v>
      </c>
      <c r="DY251" s="200" t="str">
        <f t="shared" si="384"/>
        <v/>
      </c>
      <c r="DZ251" s="203">
        <f>IF($J251="",#N/A,SUM(DY$4:DY251))</f>
        <v>-1.0460034109943892</v>
      </c>
      <c r="EA251" s="204" t="str">
        <f t="shared" si="385"/>
        <v/>
      </c>
      <c r="EB251" s="204">
        <f>IF($J251="",#N/A,SUM(EA$4:EA251))</f>
        <v>1.0902674422317802</v>
      </c>
      <c r="EC251" s="205" t="str">
        <f t="shared" si="386"/>
        <v/>
      </c>
      <c r="ED251" s="205">
        <f>IF($J251="",#N/A,SUM(EC$4:EC251))</f>
        <v>5.0841293998354304</v>
      </c>
      <c r="EE251" s="205">
        <f>IF($J251="",#N/A,SUM(EC$4:EC251,EA$4:EA251,DY$4:DY251))</f>
        <v>5.1283934310728201</v>
      </c>
      <c r="EF251" s="200" t="str">
        <f t="shared" si="387"/>
        <v/>
      </c>
      <c r="EG251" s="203">
        <f>IF($J251="",#N/A,SUM(EF$4:EF251))</f>
        <v>-0.15098969023521425</v>
      </c>
      <c r="EH251" s="204" t="str">
        <f t="shared" si="388"/>
        <v/>
      </c>
      <c r="EI251" s="204">
        <f>IF($J251="",#N/A,SUM(EH$4:EH251))</f>
        <v>-2.8640283518306258</v>
      </c>
      <c r="EJ251" s="205" t="str">
        <f t="shared" si="389"/>
        <v/>
      </c>
      <c r="EK251" s="205">
        <f>IF($J251="",#N/A,SUM(EJ$4:EJ251))</f>
        <v>5.050388173053765</v>
      </c>
      <c r="EL251" s="205">
        <f>IF($J251="",#N/A,SUM(EJ$4:EJ251,EH$4:EH251,EF$4:EF251))</f>
        <v>2.0353701309879249</v>
      </c>
      <c r="EM251" s="200" t="str">
        <f t="shared" si="390"/>
        <v/>
      </c>
      <c r="EN251" s="203">
        <f>IF($J251="",#N/A,SUM(EM$4:EM251))</f>
        <v>0</v>
      </c>
      <c r="EO251" s="204" t="str">
        <f t="shared" si="391"/>
        <v/>
      </c>
      <c r="EP251" s="204">
        <f>IF($J251="",#N/A,SUM(EO$4:EO251))</f>
        <v>3.2406646352184261</v>
      </c>
      <c r="EQ251" s="205" t="str">
        <f t="shared" si="392"/>
        <v/>
      </c>
      <c r="ER251" s="205">
        <f>IF($J251="",#N/A,SUM(EQ$4:EQ251))</f>
        <v>1.441536272249796</v>
      </c>
      <c r="ES251" s="205">
        <f>IF($J251="",#N/A,SUM(EQ$4:EQ251,EO$4:EO251,EM$4:EM251))</f>
        <v>4.6822009074682214</v>
      </c>
      <c r="ET251" s="200" t="str">
        <f t="shared" si="393"/>
        <v/>
      </c>
      <c r="EU251" s="203">
        <f>IF($J251="",#N/A,SUM(ET$4:ET251))</f>
        <v>0</v>
      </c>
      <c r="EV251" s="204" t="str">
        <f t="shared" si="394"/>
        <v/>
      </c>
      <c r="EW251" s="204">
        <f>IF($J251="",#N/A,SUM(EV$4:EV251))</f>
        <v>1.9901851109977766</v>
      </c>
      <c r="EX251" s="205" t="str">
        <f t="shared" si="395"/>
        <v/>
      </c>
      <c r="EY251" s="205">
        <f>IF($J251="",#N/A,SUM(EX$4:EX251))</f>
        <v>0.27113250180669229</v>
      </c>
      <c r="EZ251" s="205">
        <f>IF($J251="",#N/A,SUM(EX$4:EX251,EV$4:EV251,ET$4:ET251))</f>
        <v>2.2613176128044685</v>
      </c>
      <c r="FA251" s="200" t="str">
        <f t="shared" si="396"/>
        <v/>
      </c>
      <c r="FB251" s="203">
        <f>IF($J251="",#N/A,SUM(FA$4:FA251))</f>
        <v>0</v>
      </c>
      <c r="FC251" s="204">
        <f t="shared" si="397"/>
        <v>-0.1975390185429827</v>
      </c>
      <c r="FD251" s="204">
        <f>IF($J251="",#N/A,SUM(FC$4:FC251))</f>
        <v>1.3660078100500956</v>
      </c>
      <c r="FE251" s="205" t="str">
        <f t="shared" si="398"/>
        <v/>
      </c>
      <c r="FF251" s="205">
        <f>IF($J251="",#N/A,SUM(FE$4:FE251))</f>
        <v>-0.28811149078748233</v>
      </c>
      <c r="FG251" s="205">
        <f>IF($J251="",#N/A,SUM(FE$4:FE251,FC$4:FC251,FA$4:FA251))</f>
        <v>1.0778963192626136</v>
      </c>
      <c r="FH251" s="200" t="str">
        <f t="shared" si="399"/>
        <v/>
      </c>
      <c r="FI251" s="203">
        <f>IF($J251="",#N/A,SUM(FH$4:FH251))</f>
        <v>0</v>
      </c>
      <c r="FJ251" s="204" t="str">
        <f t="shared" si="400"/>
        <v/>
      </c>
      <c r="FK251" s="204">
        <f>IF($J251="",#N/A,SUM(FJ$4:FJ251))</f>
        <v>0</v>
      </c>
      <c r="FL251" s="205" t="str">
        <f t="shared" si="401"/>
        <v/>
      </c>
      <c r="FM251" s="205">
        <f>IF($J251="",#N/A,SUM(FL$4:FL251))</f>
        <v>0</v>
      </c>
      <c r="FN251" s="205">
        <f>IF($J251="",#N/A,SUM(FL$4:FL251,FJ$4:FJ251,FH$4:FH251))</f>
        <v>0</v>
      </c>
      <c r="FO251" s="200" t="str">
        <f t="shared" si="402"/>
        <v/>
      </c>
      <c r="FP251" s="203">
        <f>IF($J251="",#N/A,SUM(FO$4:FO251))</f>
        <v>0</v>
      </c>
      <c r="FQ251" s="204" t="str">
        <f t="shared" si="403"/>
        <v/>
      </c>
      <c r="FR251" s="204">
        <f>IF($J251="",#N/A,SUM(FQ$4:FQ251))</f>
        <v>0</v>
      </c>
      <c r="FS251" s="205" t="str">
        <f t="shared" si="404"/>
        <v/>
      </c>
      <c r="FT251" s="205">
        <f>IF($J251="",#N/A,SUM(FS$4:FS251))</f>
        <v>0</v>
      </c>
      <c r="FU251" s="205">
        <f>IF($J251="",#N/A,SUM(FS$4:FS251,FQ$4:FQ251,FO$4:FO251))</f>
        <v>0</v>
      </c>
      <c r="FV251" s="200" t="str">
        <f t="shared" si="405"/>
        <v/>
      </c>
      <c r="FW251" s="203">
        <f>IF($J251="",#N/A,SUM(FV$4:FV251))</f>
        <v>6.6834991831277585E-2</v>
      </c>
      <c r="FX251" s="204" t="str">
        <f t="shared" si="406"/>
        <v/>
      </c>
      <c r="FY251" s="204">
        <f>IF($J251="",#N/A,SUM(FX$4:FX251))</f>
        <v>-0.16102012791805576</v>
      </c>
      <c r="FZ251" s="205" t="str">
        <f t="shared" si="407"/>
        <v/>
      </c>
      <c r="GA251" s="205">
        <f>IF($J251="",#N/A,SUM(FZ$4:FZ251))</f>
        <v>-1.1377221770567538</v>
      </c>
      <c r="GB251" s="205">
        <f>IF($J251="",#N/A,SUM(FZ$4:FZ251,FX$4:FX251,FV$4:FV251))</f>
        <v>-1.2319073131435321</v>
      </c>
      <c r="GC251" s="200" t="str">
        <f t="shared" si="408"/>
        <v/>
      </c>
      <c r="GD251" s="203">
        <f>IF($J251="",#N/A,SUM(GC$4:GC251))</f>
        <v>0</v>
      </c>
      <c r="GE251" s="204" t="str">
        <f t="shared" si="409"/>
        <v/>
      </c>
      <c r="GF251" s="204">
        <f>IF($J251="",#N/A,SUM(GE$4:GE251))</f>
        <v>0</v>
      </c>
      <c r="GG251" s="205" t="str">
        <f t="shared" si="410"/>
        <v/>
      </c>
      <c r="GH251" s="205">
        <f>IF($J251="",#N/A,SUM(GG$4:GG251))</f>
        <v>-2.9368362277223206</v>
      </c>
      <c r="GI251" s="205">
        <f>IF($J251="",#N/A,SUM(GG$4:GG251,GE$4:GE251,GC$4:GC251))</f>
        <v>-2.9368362277223206</v>
      </c>
      <c r="GJ251" s="200" t="str">
        <f t="shared" si="411"/>
        <v/>
      </c>
      <c r="GK251" s="203">
        <f>IF($J251="",#N/A,SUM(GJ$4:GJ251))</f>
        <v>0</v>
      </c>
      <c r="GL251" s="204" t="str">
        <f t="shared" si="412"/>
        <v/>
      </c>
      <c r="GM251" s="204">
        <f>IF($J251="",#N/A,SUM(GL$4:GL251))</f>
        <v>-1.6833790887309608</v>
      </c>
      <c r="GN251" s="205" t="str">
        <f t="shared" si="413"/>
        <v/>
      </c>
      <c r="GO251" s="205">
        <f>IF($J251="",#N/A,SUM(GN$4:GN251))</f>
        <v>0</v>
      </c>
      <c r="GP251" s="205">
        <f>IF($J251="",#N/A,SUM(GN$4:GN251,GL$4:GL251,GJ$4:GJ251))</f>
        <v>-1.6833790887309608</v>
      </c>
      <c r="GS251" s="54">
        <f t="shared" si="432"/>
        <v>-0.1975390185429827</v>
      </c>
      <c r="GT251" s="54">
        <f>IF(GS251="",NA(),SUM($GS$4:GS251))</f>
        <v>10.150649324291756</v>
      </c>
      <c r="GU251" s="54" t="str">
        <f t="shared" si="414"/>
        <v/>
      </c>
      <c r="GV251" s="54" t="e">
        <f>IF(GU251="",NA(),SUM($GU$4:GU251))</f>
        <v>#N/A</v>
      </c>
      <c r="GW251" s="54" t="str">
        <f t="shared" si="415"/>
        <v/>
      </c>
      <c r="GX251" s="54" t="e">
        <f>IF(GW251="",NA(),SUM($GW$4:GW251))</f>
        <v>#N/A</v>
      </c>
      <c r="GY251" s="54">
        <f t="shared" si="416"/>
        <v>-0.1975390185429827</v>
      </c>
      <c r="GZ251" s="54">
        <f>IF(GY251="",NA(),SUM($GY$4:GY251))</f>
        <v>7.2880043154994878</v>
      </c>
      <c r="HA251" s="54" t="str">
        <f t="shared" si="417"/>
        <v/>
      </c>
      <c r="HB251" s="54" t="e">
        <f>IF(HA251="",NA(),SUM($HA$4:HA251))</f>
        <v>#N/A</v>
      </c>
      <c r="HC251" s="54" t="str">
        <f t="shared" si="418"/>
        <v/>
      </c>
      <c r="HD251" s="54" t="e">
        <f>IF(HC251="",NA(),SUM($HC$4:HC251))</f>
        <v>#N/A</v>
      </c>
      <c r="HE251" s="54" t="str">
        <f t="shared" si="419"/>
        <v/>
      </c>
      <c r="HF251" s="54" t="e">
        <f>IF(HE251="",NA(),SUM($HE$4:HE251))</f>
        <v>#N/A</v>
      </c>
      <c r="HG251" s="54" t="str">
        <f t="shared" si="420"/>
        <v/>
      </c>
      <c r="HH251" s="54" t="e">
        <f>IF(HG251="",NA(),SUM($HG$4:HG251))</f>
        <v>#N/A</v>
      </c>
      <c r="HI251" s="172" t="str">
        <f t="shared" si="433"/>
        <v/>
      </c>
      <c r="HJ251" s="172">
        <f>IF($J251="",#N/A,SUM(HI$4:$HI251))</f>
        <v>-8.2193263156152607</v>
      </c>
      <c r="HK251" s="54">
        <f t="shared" si="421"/>
        <v>-7.6446988600225058E-2</v>
      </c>
      <c r="HL251" s="54">
        <f>IF($J251="",#N/A,SUM($HK$4:HK251))</f>
        <v>-1.6379630383156585</v>
      </c>
      <c r="HM251" s="54" t="str">
        <f t="shared" si="422"/>
        <v/>
      </c>
      <c r="HN251" s="54">
        <f>IF($J251="",#N/A,SUM($HM$4:HM251))</f>
        <v>0.957348620978966</v>
      </c>
      <c r="HO251" s="54" t="str">
        <f t="shared" si="423"/>
        <v/>
      </c>
      <c r="HP251" s="54">
        <f>IF($J251="",#N/A,SUM($HO$4:HO251))</f>
        <v>-0.10266465451722628</v>
      </c>
      <c r="HQ251" s="54" t="str">
        <f t="shared" si="424"/>
        <v/>
      </c>
      <c r="HR251" s="54">
        <f>IF($J251="",#N/A,SUM($HQ$4:HQ251))</f>
        <v>-14.596039294292455</v>
      </c>
      <c r="HS251" s="54" t="str">
        <f t="shared" si="425"/>
        <v/>
      </c>
      <c r="HT251" s="54">
        <f>IF($J251="",#N/A,SUM($HS$4:HS251))</f>
        <v>13.445720876931169</v>
      </c>
      <c r="HU251" s="65">
        <f t="shared" si="426"/>
        <v>-0.27398600714320775</v>
      </c>
      <c r="HV251" s="65">
        <f>IF($J251="",#N/A,SUM(HU$4:$HU251))</f>
        <v>6.1277332694323858</v>
      </c>
    </row>
    <row r="252" spans="1:230" x14ac:dyDescent="0.25">
      <c r="A252" s="51" t="s">
        <v>1487</v>
      </c>
      <c r="B252" s="52" t="s">
        <v>4564</v>
      </c>
      <c r="C252" s="229">
        <f t="shared" si="327"/>
        <v>2</v>
      </c>
      <c r="D252" s="219" t="str">
        <f>_xlfn.XLOOKUP(A252,[1]SP500!$A$2:$A$502,[1]SP500!$D$2:$D$502,"N")</f>
        <v>Y</v>
      </c>
      <c r="E252" s="51" t="str">
        <f>IFERROR(_xlfn.XLOOKUP(A252,[1]SP500!$A$2:$A$655,[1]SP500!$B$2:$B$655),"")</f>
        <v>XLF</v>
      </c>
      <c r="F252" s="290">
        <v>45779</v>
      </c>
      <c r="G252" s="51" t="str">
        <f t="shared" si="328"/>
        <v>BMO</v>
      </c>
      <c r="H252" s="51" t="str">
        <f t="shared" si="329"/>
        <v>s</v>
      </c>
      <c r="I252" s="344">
        <v>88.12</v>
      </c>
      <c r="J252" s="124">
        <v>90.915000000000006</v>
      </c>
      <c r="K252" s="55">
        <f t="shared" si="330"/>
        <v>3.171811166591014E-2</v>
      </c>
      <c r="L252" s="67">
        <f t="shared" si="331"/>
        <v>-27.950000000000045</v>
      </c>
      <c r="M252" s="57">
        <f t="shared" si="332"/>
        <v>-4.6499999999998636</v>
      </c>
      <c r="N252" s="102">
        <f t="shared" si="333"/>
        <v>-27.950000000000045</v>
      </c>
      <c r="O252" s="57">
        <f>IF(N252="",#N/A,SUM($N$4:N252))</f>
        <v>746.69092465120923</v>
      </c>
      <c r="P252" s="65">
        <f t="shared" si="427"/>
        <v>-0.52863519443183626</v>
      </c>
      <c r="Q252" s="172">
        <f>IF($N252="",#N/A,SUM($P$4:P252))</f>
        <v>15.752021879831016</v>
      </c>
      <c r="R252" s="279">
        <f t="shared" si="334"/>
        <v>3.8547982014626498</v>
      </c>
      <c r="S252" s="51" t="str">
        <f t="shared" si="335"/>
        <v>Dwn</v>
      </c>
      <c r="T252" s="51" t="s">
        <v>4461</v>
      </c>
      <c r="U252" s="56">
        <f t="shared" si="336"/>
        <v>88.12</v>
      </c>
      <c r="V252" s="56" t="s">
        <v>4458</v>
      </c>
      <c r="W252" s="142">
        <v>10</v>
      </c>
      <c r="X252" s="145">
        <f t="shared" si="337"/>
        <v>881.2</v>
      </c>
      <c r="Y252" s="140">
        <f t="shared" si="338"/>
        <v>10</v>
      </c>
      <c r="Z252" s="123">
        <v>91.38</v>
      </c>
      <c r="AA252" s="102">
        <f t="shared" si="339"/>
        <v>-32.599999999999909</v>
      </c>
      <c r="AB252" s="102">
        <f t="shared" si="340"/>
        <v>-35.299999999999955</v>
      </c>
      <c r="AC252" s="124">
        <v>91.65</v>
      </c>
      <c r="AD252" s="155">
        <f t="shared" si="341"/>
        <v>-35.299999999999955</v>
      </c>
      <c r="AE252" s="545">
        <f t="shared" si="342"/>
        <v>-0.66765017400514359</v>
      </c>
      <c r="AF252" s="57">
        <f>IF($AC252="",#N/A,SUM(AD$4:AD252))</f>
        <v>236.04087220737972</v>
      </c>
      <c r="AG252" s="102">
        <f t="shared" si="343"/>
        <v>-7.3499999999999091</v>
      </c>
      <c r="AH252" s="56" t="s">
        <v>2507</v>
      </c>
      <c r="AI252" s="65">
        <f t="shared" si="344"/>
        <v>-0.61658344681494759</v>
      </c>
      <c r="AJ252" s="65">
        <f>IF(AI252="",#N/A,SUM($AI$4:AI252))</f>
        <v>11.897223678368366</v>
      </c>
      <c r="AK252" s="57">
        <f t="shared" si="345"/>
        <v>-32.599999999999909</v>
      </c>
      <c r="AL252" s="349">
        <f>IF(AI252="",#N/A,IF(AH252="Skip",SUM($AK$4:AK252),SUM($AK$4:AK252)))</f>
        <v>475.75759149281453</v>
      </c>
      <c r="AM252" s="65">
        <f t="shared" si="428"/>
        <v>-0.66765017400514359</v>
      </c>
      <c r="AN252" s="209"/>
      <c r="AO252" s="65" t="str">
        <f t="shared" si="346"/>
        <v/>
      </c>
      <c r="AP252" s="65">
        <f>IF($AC252="",#N/A,SUM(AO$4:AO252))</f>
        <v>3.2956447331559287</v>
      </c>
      <c r="AQ252" s="65" t="str">
        <f t="shared" si="347"/>
        <v/>
      </c>
      <c r="AR252" s="65">
        <f>IF($AC252="",#N/A,SUM(AQ$4:AQ252))</f>
        <v>-2.1356705084748859</v>
      </c>
      <c r="AS252" s="65">
        <f t="shared" si="348"/>
        <v>-0.66765017400514359</v>
      </c>
      <c r="AT252" s="65">
        <f>IF($AC252="",#N/A,SUM(AS$4:AS252))</f>
        <v>4.3001088707461967</v>
      </c>
      <c r="AU252" s="57" t="str">
        <f t="shared" si="429"/>
        <v/>
      </c>
      <c r="AV252" s="57">
        <f>IF($AC252="",#N/A,SUM(AU$4:AU252))</f>
        <v>87.822490661047027</v>
      </c>
      <c r="AW252" s="57" t="str">
        <f t="shared" si="430"/>
        <v/>
      </c>
      <c r="AX252" s="57">
        <f>IF($AC252="",#N/A,SUM(AW$4:AW252))</f>
        <v>-132.30000000000018</v>
      </c>
      <c r="AY252" s="57">
        <f t="shared" si="431"/>
        <v>-35.299999999999955</v>
      </c>
      <c r="AZ252" s="57">
        <f>IF($AC252="",#N/A,SUM(AY$4:AY252))</f>
        <v>280.51838154633288</v>
      </c>
      <c r="BA252" s="57">
        <f>IF(AD252="",#N/A,SUM($AD$4:AD252))</f>
        <v>236.04087220737972</v>
      </c>
      <c r="BC252" s="51" t="str">
        <f t="shared" si="349"/>
        <v/>
      </c>
      <c r="BD252" s="51">
        <f t="shared" si="350"/>
        <v>1</v>
      </c>
      <c r="BE252" s="51" t="str">
        <f t="shared" si="351"/>
        <v/>
      </c>
      <c r="BF252" s="51" t="str">
        <f t="shared" si="352"/>
        <v>Short</v>
      </c>
      <c r="BG252" s="51" t="str">
        <f t="shared" si="353"/>
        <v/>
      </c>
      <c r="BH252" s="51" t="str">
        <f t="shared" si="354"/>
        <v/>
      </c>
      <c r="BI252" s="51" t="str">
        <f t="shared" si="355"/>
        <v/>
      </c>
      <c r="BK252" s="65">
        <f t="shared" si="435"/>
        <v>0.12711529969592955</v>
      </c>
      <c r="BL252" s="65">
        <f t="shared" si="434"/>
        <v>0.11441331040245856</v>
      </c>
      <c r="BM252" s="65">
        <f>IFERROR(Q252/COUNTA($J$4:J252),#N/A)</f>
        <v>6.3261132047514115E-2</v>
      </c>
      <c r="BO252" s="489" t="e">
        <f>IF(J252="",#N/A,IF(S252="SW",(COUNTIFS(K$4:$K252,"&gt;0",S$4:$S252,"SW")/COUNTIF(S$4:$S252,"SW")),#N/A))</f>
        <v>#N/A</v>
      </c>
      <c r="BP252" s="489">
        <f>IF($J252="",#N/A,IF($S252="DWN",(COUNTIFS($K$4:$K252,"&lt;0",$S$4:$S252,"DWN")/COUNTIF($S$4:$S252,"DWN")),#N/A))</f>
        <v>0.57943925233644855</v>
      </c>
      <c r="BQ252" s="489" t="e">
        <f>IF($J252="",#N/A,IF($S252="UP",(COUNTIFS($K$4:$K252,"&gt;0",$S$4:$S252,"UP")/COUNTIF($S$4:$S252,"UP")),#N/A))</f>
        <v>#N/A</v>
      </c>
      <c r="BR252" s="489">
        <f>IF(J252="",#N/A,COUNTIF($K$4:K252,"&gt;0")/COUNT($J$4:J252))</f>
        <v>0.46184738955823296</v>
      </c>
      <c r="BS252" s="65" t="str">
        <f t="shared" si="356"/>
        <v/>
      </c>
      <c r="BT252" s="65" t="str">
        <f t="shared" si="357"/>
        <v/>
      </c>
      <c r="BU252" s="65" t="str">
        <f t="shared" si="358"/>
        <v/>
      </c>
      <c r="BV252" s="65">
        <f t="shared" si="359"/>
        <v>-0.52863519443183626</v>
      </c>
      <c r="BW252" s="128" t="str">
        <f t="shared" si="360"/>
        <v/>
      </c>
      <c r="BX252" s="128">
        <f>IF($J252="",#N/A,SUM($BW$4:BW252))</f>
        <v>-192.33000000000061</v>
      </c>
      <c r="BY252" s="131">
        <f t="shared" si="361"/>
        <v>-27.950000000000045</v>
      </c>
      <c r="BZ252" s="131">
        <f>IF($J252="",#N/A,SUM($BY$4:BY252))</f>
        <v>816.06934038933446</v>
      </c>
      <c r="CA252" s="133" t="str">
        <f t="shared" si="362"/>
        <v/>
      </c>
      <c r="CB252" s="133">
        <f>IF($J252="",#N/A,SUM($CA$4:CA252))</f>
        <v>122.95158426187538</v>
      </c>
      <c r="CC252" s="194" t="str">
        <f t="shared" si="363"/>
        <v/>
      </c>
      <c r="CD252" s="194">
        <f>IF($J252="",#N/A,SUM($CC$4:CC252))</f>
        <v>-2.9903544749366251</v>
      </c>
      <c r="CE252" s="195">
        <f t="shared" si="364"/>
        <v>-0.52863519443183626</v>
      </c>
      <c r="CF252" s="195">
        <f>IF($J252="",#N/A,SUM($CE$4:CE252))</f>
        <v>14.296413204250431</v>
      </c>
      <c r="CG252" s="196" t="str">
        <f t="shared" si="365"/>
        <v/>
      </c>
      <c r="CH252" s="196">
        <f>IF($J252="",#N/A,SUM($CG$4:CG252))</f>
        <v>4.4459631505172155</v>
      </c>
      <c r="CI252" s="200" t="str">
        <f t="shared" si="366"/>
        <v/>
      </c>
      <c r="CJ252" s="203">
        <f>IF($J252="",#N/A,SUM(CI$4:CI252))</f>
        <v>0</v>
      </c>
      <c r="CK252" s="204" t="str">
        <f t="shared" si="367"/>
        <v/>
      </c>
      <c r="CL252" s="204">
        <f>IF($J252="",#N/A,SUM(CK$4:CK252))</f>
        <v>1.9927003554442289</v>
      </c>
      <c r="CM252" s="205" t="str">
        <f t="shared" si="368"/>
        <v/>
      </c>
      <c r="CN252" s="205">
        <f>IF($J252="",#N/A,SUM(CM$4:CM252))</f>
        <v>2.5131182152625313</v>
      </c>
      <c r="CO252" s="205">
        <f>IF($J252="",#N/A,SUM(CM$4:CM252,CK$4:CK252,CI$4:CI252))</f>
        <v>4.5058185707067606</v>
      </c>
      <c r="CP252" s="200" t="str">
        <f t="shared" si="369"/>
        <v/>
      </c>
      <c r="CQ252" s="203">
        <f>IF($J252="",#N/A,SUM(CP$4:CP252))</f>
        <v>0</v>
      </c>
      <c r="CR252" s="204" t="str">
        <f t="shared" si="370"/>
        <v/>
      </c>
      <c r="CS252" s="204">
        <f>IF($J252="",#N/A,SUM(CR$4:CR252))</f>
        <v>4.6135245886817966</v>
      </c>
      <c r="CT252" s="205" t="str">
        <f t="shared" si="371"/>
        <v/>
      </c>
      <c r="CU252" s="205">
        <f>IF($J252="",#N/A,SUM(CT$4:CT252))</f>
        <v>-2.9040943753548785</v>
      </c>
      <c r="CV252" s="205">
        <f>IF($J252="",#N/A,SUM(CT$4:CT252,CR$4:CR252,CP$4:CP252))</f>
        <v>1.7094302133269181</v>
      </c>
      <c r="CW252" s="200" t="str">
        <f t="shared" si="372"/>
        <v/>
      </c>
      <c r="CX252" s="203">
        <f>IF($J252="",#N/A,SUM(CW$4:CW252))</f>
        <v>-0.33865165024245297</v>
      </c>
      <c r="CY252" s="204" t="str">
        <f t="shared" si="373"/>
        <v/>
      </c>
      <c r="CZ252" s="204">
        <f>IF($J252="",#N/A,SUM(CY$4:CY252))</f>
        <v>0.30198222879878239</v>
      </c>
      <c r="DA252" s="205" t="str">
        <f t="shared" si="374"/>
        <v/>
      </c>
      <c r="DB252" s="205">
        <f>IF($J252="",#N/A,SUM(DA$4:DA252))</f>
        <v>-2.1597383732727686</v>
      </c>
      <c r="DC252" s="205">
        <f>IF($J252="",#N/A,SUM(DA$4:DA252,CY$4:CY252,CW$4:CW252))</f>
        <v>-2.1964077947164395</v>
      </c>
      <c r="DD252" s="200" t="str">
        <f t="shared" si="375"/>
        <v/>
      </c>
      <c r="DE252" s="203">
        <f>IF($J252="",#N/A,SUM(DD$4:DD252))</f>
        <v>0.24769343410817113</v>
      </c>
      <c r="DF252" s="204" t="str">
        <f t="shared" si="376"/>
        <v/>
      </c>
      <c r="DG252" s="204">
        <f>IF($J252="",#N/A,SUM(DF$4:DF252))</f>
        <v>1.5249935139936004</v>
      </c>
      <c r="DH252" s="205" t="str">
        <f t="shared" si="377"/>
        <v/>
      </c>
      <c r="DI252" s="205">
        <f>IF($J252="",#N/A,SUM(DH$4:DH252))</f>
        <v>-1.9066052078694633</v>
      </c>
      <c r="DJ252" s="205">
        <f>IF($J252="",#N/A,SUM(DH$4:DH252,DF$4:DF252,DD$4:DD252))</f>
        <v>-0.13391825976769156</v>
      </c>
      <c r="DK252" s="200" t="str">
        <f t="shared" si="378"/>
        <v/>
      </c>
      <c r="DL252" s="203">
        <f>IF($J252="",#N/A,SUM(DK$4:DK252))</f>
        <v>-1.2097286851272664</v>
      </c>
      <c r="DM252" s="204" t="str">
        <f t="shared" si="379"/>
        <v/>
      </c>
      <c r="DN252" s="204">
        <f>IF($J252="",#N/A,SUM(DM$4:DM252))</f>
        <v>3.0281848543081331</v>
      </c>
      <c r="DO252" s="205" t="str">
        <f t="shared" si="380"/>
        <v/>
      </c>
      <c r="DP252" s="205">
        <f>IF($J252="",#N/A,SUM(DO$4:DO252))</f>
        <v>2.700331529683047</v>
      </c>
      <c r="DQ252" s="205">
        <f>IF($J252="",#N/A,SUM(DO$4:DO252,DM$4:DM252,DK$4:DK252))</f>
        <v>4.518787698863914</v>
      </c>
      <c r="DR252" s="200" t="str">
        <f t="shared" si="381"/>
        <v/>
      </c>
      <c r="DS252" s="203">
        <f>IF($J252="",#N/A,SUM(DR$4:DR252))</f>
        <v>-0.55950946427675097</v>
      </c>
      <c r="DT252" s="204">
        <f t="shared" si="382"/>
        <v>-0.52863519443183626</v>
      </c>
      <c r="DU252" s="204">
        <f>IF($J252="",#N/A,SUM(DT$4:DT252))</f>
        <v>-0.47061509167640903</v>
      </c>
      <c r="DV252" s="205" t="str">
        <f t="shared" si="383"/>
        <v/>
      </c>
      <c r="DW252" s="205">
        <f>IF($J252="",#N/A,SUM(DV$4:DV252))</f>
        <v>-1.2815650893103838</v>
      </c>
      <c r="DX252" s="205">
        <f>IF($J252="",#N/A,SUM(DV$4:DV252,DT$4:DT252,DR$4:DR252))</f>
        <v>-2.3116896452635443</v>
      </c>
      <c r="DY252" s="200" t="str">
        <f t="shared" si="384"/>
        <v/>
      </c>
      <c r="DZ252" s="203">
        <f>IF($J252="",#N/A,SUM(DY$4:DY252))</f>
        <v>-1.0460034109943892</v>
      </c>
      <c r="EA252" s="204" t="str">
        <f t="shared" si="385"/>
        <v/>
      </c>
      <c r="EB252" s="204">
        <f>IF($J252="",#N/A,SUM(EA$4:EA252))</f>
        <v>1.0902674422317802</v>
      </c>
      <c r="EC252" s="205" t="str">
        <f t="shared" si="386"/>
        <v/>
      </c>
      <c r="ED252" s="205">
        <f>IF($J252="",#N/A,SUM(EC$4:EC252))</f>
        <v>5.0841293998354304</v>
      </c>
      <c r="EE252" s="205">
        <f>IF($J252="",#N/A,SUM(EC$4:EC252,EA$4:EA252,DY$4:DY252))</f>
        <v>5.1283934310728201</v>
      </c>
      <c r="EF252" s="200" t="str">
        <f t="shared" si="387"/>
        <v/>
      </c>
      <c r="EG252" s="203">
        <f>IF($J252="",#N/A,SUM(EF$4:EF252))</f>
        <v>-0.15098969023521425</v>
      </c>
      <c r="EH252" s="204" t="str">
        <f t="shared" si="388"/>
        <v/>
      </c>
      <c r="EI252" s="204">
        <f>IF($J252="",#N/A,SUM(EH$4:EH252))</f>
        <v>-2.8640283518306258</v>
      </c>
      <c r="EJ252" s="205" t="str">
        <f t="shared" si="389"/>
        <v/>
      </c>
      <c r="EK252" s="205">
        <f>IF($J252="",#N/A,SUM(EJ$4:EJ252))</f>
        <v>5.050388173053765</v>
      </c>
      <c r="EL252" s="205">
        <f>IF($J252="",#N/A,SUM(EJ$4:EJ252,EH$4:EH252,EF$4:EF252))</f>
        <v>2.0353701309879249</v>
      </c>
      <c r="EM252" s="200" t="str">
        <f t="shared" si="390"/>
        <v/>
      </c>
      <c r="EN252" s="203">
        <f>IF($J252="",#N/A,SUM(EM$4:EM252))</f>
        <v>0</v>
      </c>
      <c r="EO252" s="204" t="str">
        <f t="shared" si="391"/>
        <v/>
      </c>
      <c r="EP252" s="204">
        <f>IF($J252="",#N/A,SUM(EO$4:EO252))</f>
        <v>3.2406646352184261</v>
      </c>
      <c r="EQ252" s="205" t="str">
        <f t="shared" si="392"/>
        <v/>
      </c>
      <c r="ER252" s="205">
        <f>IF($J252="",#N/A,SUM(EQ$4:EQ252))</f>
        <v>1.441536272249796</v>
      </c>
      <c r="ES252" s="205">
        <f>IF($J252="",#N/A,SUM(EQ$4:EQ252,EO$4:EO252,EM$4:EM252))</f>
        <v>4.6822009074682214</v>
      </c>
      <c r="ET252" s="200" t="str">
        <f t="shared" si="393"/>
        <v/>
      </c>
      <c r="EU252" s="203">
        <f>IF($J252="",#N/A,SUM(ET$4:ET252))</f>
        <v>0</v>
      </c>
      <c r="EV252" s="204" t="str">
        <f t="shared" si="394"/>
        <v/>
      </c>
      <c r="EW252" s="204">
        <f>IF($J252="",#N/A,SUM(EV$4:EV252))</f>
        <v>1.9901851109977766</v>
      </c>
      <c r="EX252" s="205" t="str">
        <f t="shared" si="395"/>
        <v/>
      </c>
      <c r="EY252" s="205">
        <f>IF($J252="",#N/A,SUM(EX$4:EX252))</f>
        <v>0.27113250180669229</v>
      </c>
      <c r="EZ252" s="205">
        <f>IF($J252="",#N/A,SUM(EX$4:EX252,EV$4:EV252,ET$4:ET252))</f>
        <v>2.2613176128044685</v>
      </c>
      <c r="FA252" s="200" t="str">
        <f t="shared" si="396"/>
        <v/>
      </c>
      <c r="FB252" s="203">
        <f>IF($J252="",#N/A,SUM(FA$4:FA252))</f>
        <v>0</v>
      </c>
      <c r="FC252" s="204" t="str">
        <f t="shared" si="397"/>
        <v/>
      </c>
      <c r="FD252" s="204">
        <f>IF($J252="",#N/A,SUM(FC$4:FC252))</f>
        <v>1.3660078100500956</v>
      </c>
      <c r="FE252" s="205" t="str">
        <f t="shared" si="398"/>
        <v/>
      </c>
      <c r="FF252" s="205">
        <f>IF($J252="",#N/A,SUM(FE$4:FE252))</f>
        <v>-0.28811149078748233</v>
      </c>
      <c r="FG252" s="205">
        <f>IF($J252="",#N/A,SUM(FE$4:FE252,FC$4:FC252,FA$4:FA252))</f>
        <v>1.0778963192626136</v>
      </c>
      <c r="FH252" s="200" t="str">
        <f t="shared" si="399"/>
        <v/>
      </c>
      <c r="FI252" s="203">
        <f>IF($J252="",#N/A,SUM(FH$4:FH252))</f>
        <v>0</v>
      </c>
      <c r="FJ252" s="204" t="str">
        <f t="shared" si="400"/>
        <v/>
      </c>
      <c r="FK252" s="204">
        <f>IF($J252="",#N/A,SUM(FJ$4:FJ252))</f>
        <v>0</v>
      </c>
      <c r="FL252" s="205" t="str">
        <f t="shared" si="401"/>
        <v/>
      </c>
      <c r="FM252" s="205">
        <f>IF($J252="",#N/A,SUM(FL$4:FL252))</f>
        <v>0</v>
      </c>
      <c r="FN252" s="205">
        <f>IF($J252="",#N/A,SUM(FL$4:FL252,FJ$4:FJ252,FH$4:FH252))</f>
        <v>0</v>
      </c>
      <c r="FO252" s="200" t="str">
        <f t="shared" si="402"/>
        <v/>
      </c>
      <c r="FP252" s="203">
        <f>IF($J252="",#N/A,SUM(FO$4:FO252))</f>
        <v>0</v>
      </c>
      <c r="FQ252" s="204" t="str">
        <f t="shared" si="403"/>
        <v/>
      </c>
      <c r="FR252" s="204">
        <f>IF($J252="",#N/A,SUM(FQ$4:FQ252))</f>
        <v>0</v>
      </c>
      <c r="FS252" s="205" t="str">
        <f t="shared" si="404"/>
        <v/>
      </c>
      <c r="FT252" s="205">
        <f>IF($J252="",#N/A,SUM(FS$4:FS252))</f>
        <v>0</v>
      </c>
      <c r="FU252" s="205">
        <f>IF($J252="",#N/A,SUM(FS$4:FS252,FQ$4:FQ252,FO$4:FO252))</f>
        <v>0</v>
      </c>
      <c r="FV252" s="200" t="str">
        <f t="shared" si="405"/>
        <v/>
      </c>
      <c r="FW252" s="203">
        <f>IF($J252="",#N/A,SUM(FV$4:FV252))</f>
        <v>6.6834991831277585E-2</v>
      </c>
      <c r="FX252" s="204" t="str">
        <f t="shared" si="406"/>
        <v/>
      </c>
      <c r="FY252" s="204">
        <f>IF($J252="",#N/A,SUM(FX$4:FX252))</f>
        <v>-0.16102012791805576</v>
      </c>
      <c r="FZ252" s="205" t="str">
        <f t="shared" si="407"/>
        <v/>
      </c>
      <c r="GA252" s="205">
        <f>IF($J252="",#N/A,SUM(FZ$4:FZ252))</f>
        <v>-1.1377221770567538</v>
      </c>
      <c r="GB252" s="205">
        <f>IF($J252="",#N/A,SUM(FZ$4:FZ252,FX$4:FX252,FV$4:FV252))</f>
        <v>-1.2319073131435321</v>
      </c>
      <c r="GC252" s="200" t="str">
        <f t="shared" si="408"/>
        <v/>
      </c>
      <c r="GD252" s="203">
        <f>IF($J252="",#N/A,SUM(GC$4:GC252))</f>
        <v>0</v>
      </c>
      <c r="GE252" s="204" t="str">
        <f t="shared" si="409"/>
        <v/>
      </c>
      <c r="GF252" s="204">
        <f>IF($J252="",#N/A,SUM(GE$4:GE252))</f>
        <v>0</v>
      </c>
      <c r="GG252" s="205" t="str">
        <f t="shared" si="410"/>
        <v/>
      </c>
      <c r="GH252" s="205">
        <f>IF($J252="",#N/A,SUM(GG$4:GG252))</f>
        <v>-2.9368362277223206</v>
      </c>
      <c r="GI252" s="205">
        <f>IF($J252="",#N/A,SUM(GG$4:GG252,GE$4:GE252,GC$4:GC252))</f>
        <v>-2.9368362277223206</v>
      </c>
      <c r="GJ252" s="200" t="str">
        <f t="shared" si="411"/>
        <v/>
      </c>
      <c r="GK252" s="203">
        <f>IF($J252="",#N/A,SUM(GJ$4:GJ252))</f>
        <v>0</v>
      </c>
      <c r="GL252" s="204" t="str">
        <f t="shared" si="412"/>
        <v/>
      </c>
      <c r="GM252" s="204">
        <f>IF($J252="",#N/A,SUM(GL$4:GL252))</f>
        <v>-1.6833790887309608</v>
      </c>
      <c r="GN252" s="205" t="str">
        <f t="shared" si="413"/>
        <v/>
      </c>
      <c r="GO252" s="205">
        <f>IF($J252="",#N/A,SUM(GN$4:GN252))</f>
        <v>0</v>
      </c>
      <c r="GP252" s="205">
        <f>IF($J252="",#N/A,SUM(GN$4:GN252,GL$4:GL252,GJ$4:GJ252))</f>
        <v>-1.6833790887309608</v>
      </c>
      <c r="GS252" s="54">
        <f t="shared" si="432"/>
        <v>-0.52863519443183626</v>
      </c>
      <c r="GT252" s="54">
        <f>IF(GS252="",NA(),SUM($GS$4:GS252))</f>
        <v>9.6220141298599202</v>
      </c>
      <c r="GU252" s="54" t="str">
        <f t="shared" si="414"/>
        <v/>
      </c>
      <c r="GV252" s="54" t="e">
        <f>IF(GU252="",NA(),SUM($GU$4:GU252))</f>
        <v>#N/A</v>
      </c>
      <c r="GW252" s="54" t="str">
        <f t="shared" si="415"/>
        <v/>
      </c>
      <c r="GX252" s="54" t="e">
        <f>IF(GW252="",NA(),SUM($GW$4:GW252))</f>
        <v>#N/A</v>
      </c>
      <c r="GY252" s="54">
        <f t="shared" si="416"/>
        <v>-0.52863519443183626</v>
      </c>
      <c r="GZ252" s="54">
        <f>IF(GY252="",NA(),SUM($GY$4:GY252))</f>
        <v>6.7593691210676514</v>
      </c>
      <c r="HA252" s="54" t="str">
        <f t="shared" si="417"/>
        <v/>
      </c>
      <c r="HB252" s="54" t="e">
        <f>IF(HA252="",NA(),SUM($HA$4:HA252))</f>
        <v>#N/A</v>
      </c>
      <c r="HC252" s="54" t="str">
        <f t="shared" si="418"/>
        <v/>
      </c>
      <c r="HD252" s="54" t="e">
        <f>IF(HC252="",NA(),SUM($HC$4:HC252))</f>
        <v>#N/A</v>
      </c>
      <c r="HE252" s="54" t="str">
        <f t="shared" si="419"/>
        <v/>
      </c>
      <c r="HF252" s="54" t="e">
        <f>IF(HE252="",NA(),SUM($HE$4:HE252))</f>
        <v>#N/A</v>
      </c>
      <c r="HG252" s="54" t="str">
        <f t="shared" si="420"/>
        <v/>
      </c>
      <c r="HH252" s="54" t="e">
        <f>IF(HG252="",NA(),SUM($HG$4:HG252))</f>
        <v>#N/A</v>
      </c>
      <c r="HI252" s="172" t="str">
        <f t="shared" si="433"/>
        <v/>
      </c>
      <c r="HJ252" s="172">
        <f>IF($J252="",#N/A,SUM(HI$4:$HI252))</f>
        <v>-8.2193263156152607</v>
      </c>
      <c r="HK252" s="54">
        <f t="shared" si="421"/>
        <v>-0.13901497957330733</v>
      </c>
      <c r="HL252" s="54">
        <f>IF($J252="",#N/A,SUM($HK$4:HK252))</f>
        <v>-1.7769780178889658</v>
      </c>
      <c r="HM252" s="54" t="str">
        <f t="shared" si="422"/>
        <v/>
      </c>
      <c r="HN252" s="54">
        <f>IF($J252="",#N/A,SUM($HM$4:HM252))</f>
        <v>0.957348620978966</v>
      </c>
      <c r="HO252" s="54" t="str">
        <f t="shared" si="423"/>
        <v/>
      </c>
      <c r="HP252" s="54">
        <f>IF($J252="",#N/A,SUM($HO$4:HO252))</f>
        <v>-0.10266465451722628</v>
      </c>
      <c r="HQ252" s="54" t="str">
        <f t="shared" si="424"/>
        <v/>
      </c>
      <c r="HR252" s="54">
        <f>IF($J252="",#N/A,SUM($HQ$4:HQ252))</f>
        <v>-14.596039294292455</v>
      </c>
      <c r="HS252" s="54" t="str">
        <f t="shared" si="425"/>
        <v/>
      </c>
      <c r="HT252" s="54">
        <f>IF($J252="",#N/A,SUM($HS$4:HS252))</f>
        <v>13.445720876931169</v>
      </c>
      <c r="HU252" s="65">
        <f t="shared" si="426"/>
        <v>-0.66765017400514359</v>
      </c>
      <c r="HV252" s="65">
        <f>IF($J252="",#N/A,SUM(HU$4:$HU252))</f>
        <v>5.4600830954272421</v>
      </c>
    </row>
    <row r="253" spans="1:230" ht="15.75" thickBot="1" x14ac:dyDescent="0.3">
      <c r="A253" s="292" t="s">
        <v>62</v>
      </c>
      <c r="B253" s="293" t="s">
        <v>4564</v>
      </c>
      <c r="C253" s="294">
        <f t="shared" si="327"/>
        <v>2</v>
      </c>
      <c r="D253" s="295" t="str">
        <f>_xlfn.XLOOKUP(A253,[1]SP500!$A$2:$A$502,[1]SP500!$D$2:$D$502,"N")</f>
        <v>Y</v>
      </c>
      <c r="E253" s="292" t="str">
        <f>IFERROR(_xlfn.XLOOKUP(A253,[1]SP500!$A$2:$A$655,[1]SP500!$B$2:$B$655),"")</f>
        <v>XLF</v>
      </c>
      <c r="F253" s="296">
        <v>45779</v>
      </c>
      <c r="G253" s="292" t="str">
        <f t="shared" si="328"/>
        <v>BMO</v>
      </c>
      <c r="H253" s="292" t="str">
        <f t="shared" si="329"/>
        <v>s</v>
      </c>
      <c r="I253" s="345">
        <v>18.739999999999998</v>
      </c>
      <c r="J253" s="297">
        <v>19.190000000000001</v>
      </c>
      <c r="K253" s="298">
        <f t="shared" si="330"/>
        <v>2.4012806830309652E-2</v>
      </c>
      <c r="L253" s="299">
        <f t="shared" si="331"/>
        <v>-27.000000000000227</v>
      </c>
      <c r="M253" s="300">
        <f t="shared" si="332"/>
        <v>0</v>
      </c>
      <c r="N253" s="341">
        <f t="shared" si="333"/>
        <v>-27.000000000000227</v>
      </c>
      <c r="O253" s="300">
        <f>IF(N253="",#N/A,SUM($N$4:N253))</f>
        <v>719.690924651209</v>
      </c>
      <c r="P253" s="305">
        <f t="shared" si="427"/>
        <v>-0.40021344717182844</v>
      </c>
      <c r="Q253" s="304">
        <f>IF($N253="",#N/A,SUM($P$4:P253))</f>
        <v>15.351808432659187</v>
      </c>
      <c r="R253" s="307">
        <f t="shared" si="334"/>
        <v>3.8547982014626498</v>
      </c>
      <c r="S253" s="292" t="str">
        <f t="shared" si="335"/>
        <v>Dwn</v>
      </c>
      <c r="T253" s="292" t="s">
        <v>4461</v>
      </c>
      <c r="U253" s="308">
        <f t="shared" si="336"/>
        <v>18.739999999999998</v>
      </c>
      <c r="V253" s="308" t="s">
        <v>4458</v>
      </c>
      <c r="W253" s="310">
        <v>60</v>
      </c>
      <c r="X253" s="309">
        <f t="shared" si="337"/>
        <v>1124.3999999999999</v>
      </c>
      <c r="Y253" s="310">
        <f t="shared" si="338"/>
        <v>60</v>
      </c>
      <c r="Z253" s="313">
        <v>19.190000000000001</v>
      </c>
      <c r="AA253" s="341">
        <f t="shared" si="339"/>
        <v>-27.000000000000227</v>
      </c>
      <c r="AB253" s="341">
        <f t="shared" si="340"/>
        <v>-79.200000000000045</v>
      </c>
      <c r="AC253" s="297">
        <v>20.059999999999999</v>
      </c>
      <c r="AD253" s="301">
        <f t="shared" si="341"/>
        <v>-79.200000000000045</v>
      </c>
      <c r="AE253" s="546">
        <f t="shared" si="342"/>
        <v>-1.1739594450373543</v>
      </c>
      <c r="AF253" s="300">
        <f>IF($AC253="",#N/A,SUM(AD$4:AD253))</f>
        <v>156.84087220737968</v>
      </c>
      <c r="AG253" s="341">
        <f t="shared" si="343"/>
        <v>-52.199999999999818</v>
      </c>
      <c r="AH253" s="308" t="s">
        <v>2507</v>
      </c>
      <c r="AI253" s="305">
        <f t="shared" si="344"/>
        <v>-0.40021344717182844</v>
      </c>
      <c r="AJ253" s="303">
        <f>IF(AI253="",#N/A,SUM($AI$4:AI253))</f>
        <v>11.497010231196537</v>
      </c>
      <c r="AK253" s="300">
        <f t="shared" si="345"/>
        <v>-27.000000000000227</v>
      </c>
      <c r="AL253" s="348">
        <f>IF(AI253="",#N/A,IF(AH253="Skip",SUM($AK$4:AK253),SUM($AK$4:AK253)))</f>
        <v>448.7575914928143</v>
      </c>
      <c r="AM253" s="65">
        <f t="shared" si="428"/>
        <v>-1.1739594450373543</v>
      </c>
      <c r="AN253" s="209"/>
      <c r="AO253" s="305" t="str">
        <f t="shared" si="346"/>
        <v/>
      </c>
      <c r="AP253" s="305">
        <f>IF($AC253="",#N/A,SUM(AO$4:AO253))</f>
        <v>3.2956447331559287</v>
      </c>
      <c r="AQ253" s="305" t="str">
        <f t="shared" si="347"/>
        <v/>
      </c>
      <c r="AR253" s="305">
        <f>IF($AC253="",#N/A,SUM(AQ$4:AQ253))</f>
        <v>-2.1356705084748859</v>
      </c>
      <c r="AS253" s="305">
        <f t="shared" si="348"/>
        <v>-1.1739594450373543</v>
      </c>
      <c r="AT253" s="305">
        <f>IF($AC253="",#N/A,SUM(AS$4:AS253))</f>
        <v>3.1261494257088422</v>
      </c>
      <c r="AU253" s="300" t="str">
        <f t="shared" si="429"/>
        <v/>
      </c>
      <c r="AV253" s="300">
        <f>IF($AC253="",#N/A,SUM(AU$4:AU253))</f>
        <v>87.822490661047027</v>
      </c>
      <c r="AW253" s="300" t="str">
        <f t="shared" si="430"/>
        <v/>
      </c>
      <c r="AX253" s="300">
        <f>IF($AC253="",#N/A,SUM(AW$4:AW253))</f>
        <v>-132.30000000000018</v>
      </c>
      <c r="AY253" s="300">
        <f t="shared" si="431"/>
        <v>-79.200000000000045</v>
      </c>
      <c r="AZ253" s="300">
        <f>IF($AC253="",#N/A,SUM(AY$4:AY253))</f>
        <v>201.31838154633283</v>
      </c>
      <c r="BA253" s="300">
        <f>IF(AD253="",#N/A,SUM($AD$4:AD253))</f>
        <v>156.84087220737968</v>
      </c>
      <c r="BC253" s="292" t="str">
        <f t="shared" si="349"/>
        <v/>
      </c>
      <c r="BD253" s="292">
        <f t="shared" si="350"/>
        <v>1</v>
      </c>
      <c r="BE253" s="292" t="str">
        <f t="shared" si="351"/>
        <v/>
      </c>
      <c r="BF253" s="292" t="str">
        <f t="shared" si="352"/>
        <v>Short</v>
      </c>
      <c r="BG253" s="292" t="str">
        <f t="shared" si="353"/>
        <v/>
      </c>
      <c r="BH253" s="292" t="str">
        <f t="shared" si="354"/>
        <v/>
      </c>
      <c r="BI253" s="292" t="str">
        <f t="shared" si="355"/>
        <v/>
      </c>
      <c r="BK253" s="65">
        <f t="shared" si="435"/>
        <v>0.12588406375734201</v>
      </c>
      <c r="BL253" s="65">
        <f t="shared" si="434"/>
        <v>0.11469966256462825</v>
      </c>
      <c r="BM253" s="65">
        <f>IFERROR(Q253/COUNTA($J$4:J253),#N/A)</f>
        <v>6.1407233730636744E-2</v>
      </c>
      <c r="BO253" s="489" t="e">
        <f>IF(J253="",#N/A,IF(S253="SW",(COUNTIFS(K$4:$K253,"&gt;0",S$4:$S253,"SW")/COUNTIF(S$4:$S253,"SW")),#N/A))</f>
        <v>#N/A</v>
      </c>
      <c r="BP253" s="489">
        <f>IF($J253="",#N/A,IF($S253="DWN",(COUNTIFS($K$4:$K253,"&lt;0",$S$4:$S253,"DWN")/COUNTIF($S$4:$S253,"DWN")),#N/A))</f>
        <v>0.57407407407407407</v>
      </c>
      <c r="BQ253" s="489" t="e">
        <f>IF($J253="",#N/A,IF($S253="UP",(COUNTIFS($K$4:$K253,"&gt;0",$S$4:$S253,"UP")/COUNTIF($S$4:$S253,"UP")),#N/A))</f>
        <v>#N/A</v>
      </c>
      <c r="BR253" s="489">
        <f>IF(J253="",#N/A,COUNTIF($K$4:K253,"&gt;0")/COUNT($J$4:J253))</f>
        <v>0.46400000000000002</v>
      </c>
      <c r="BS253" s="65" t="str">
        <f t="shared" si="356"/>
        <v/>
      </c>
      <c r="BT253" s="65" t="str">
        <f t="shared" si="357"/>
        <v/>
      </c>
      <c r="BU253" s="65" t="str">
        <f t="shared" si="358"/>
        <v/>
      </c>
      <c r="BV253" s="65">
        <f t="shared" si="359"/>
        <v>-0.40021344717182844</v>
      </c>
      <c r="BW253" s="128" t="str">
        <f t="shared" si="360"/>
        <v/>
      </c>
      <c r="BX253" s="128">
        <f>IF($J253="",#N/A,SUM($BW$4:BW253))</f>
        <v>-192.33000000000061</v>
      </c>
      <c r="BY253" s="131">
        <f t="shared" si="361"/>
        <v>-27.000000000000227</v>
      </c>
      <c r="BZ253" s="131">
        <f>IF($J253="",#N/A,SUM($BY$4:BY253))</f>
        <v>789.06934038933423</v>
      </c>
      <c r="CA253" s="133" t="str">
        <f t="shared" si="362"/>
        <v/>
      </c>
      <c r="CB253" s="133">
        <f>IF($J253="",#N/A,SUM($CA$4:CA253))</f>
        <v>122.95158426187538</v>
      </c>
      <c r="CC253" s="194" t="str">
        <f t="shared" si="363"/>
        <v/>
      </c>
      <c r="CD253" s="194">
        <f>IF($J253="",#N/A,SUM($CC$4:CC253))</f>
        <v>-2.9903544749366251</v>
      </c>
      <c r="CE253" s="195">
        <f t="shared" si="364"/>
        <v>-0.40021344717182844</v>
      </c>
      <c r="CF253" s="195">
        <f>IF($J253="",#N/A,SUM($CE$4:CE253))</f>
        <v>13.896199757078602</v>
      </c>
      <c r="CG253" s="196" t="str">
        <f t="shared" si="365"/>
        <v/>
      </c>
      <c r="CH253" s="193">
        <f>IF($J253="",#N/A,SUM($CG$4:CG253))</f>
        <v>4.4459631505172155</v>
      </c>
      <c r="CI253" s="200" t="str">
        <f t="shared" si="366"/>
        <v/>
      </c>
      <c r="CJ253" s="203">
        <f>IF($J253="",#N/A,SUM(CI$4:CI253))</f>
        <v>0</v>
      </c>
      <c r="CK253" s="204" t="str">
        <f t="shared" si="367"/>
        <v/>
      </c>
      <c r="CL253" s="204">
        <f>IF($J253="",#N/A,SUM(CK$4:CK253))</f>
        <v>1.9927003554442289</v>
      </c>
      <c r="CM253" s="205" t="str">
        <f t="shared" si="368"/>
        <v/>
      </c>
      <c r="CN253" s="205">
        <f>IF($J253="",#N/A,SUM(CM$4:CM253))</f>
        <v>2.5131182152625313</v>
      </c>
      <c r="CO253" s="205">
        <f>IF($J253="",#N/A,SUM(CM$4:CM253,CK$4:CK253,CI$4:CI253))</f>
        <v>4.5058185707067606</v>
      </c>
      <c r="CP253" s="200" t="str">
        <f t="shared" si="369"/>
        <v/>
      </c>
      <c r="CQ253" s="203">
        <f>IF($J253="",#N/A,SUM(CP$4:CP253))</f>
        <v>0</v>
      </c>
      <c r="CR253" s="204" t="str">
        <f t="shared" si="370"/>
        <v/>
      </c>
      <c r="CS253" s="204">
        <f>IF($J253="",#N/A,SUM(CR$4:CR253))</f>
        <v>4.6135245886817966</v>
      </c>
      <c r="CT253" s="205" t="str">
        <f t="shared" si="371"/>
        <v/>
      </c>
      <c r="CU253" s="205">
        <f>IF($J253="",#N/A,SUM(CT$4:CT253))</f>
        <v>-2.9040943753548785</v>
      </c>
      <c r="CV253" s="205">
        <f>IF($J253="",#N/A,SUM(CT$4:CT253,CR$4:CR253,CP$4:CP253))</f>
        <v>1.7094302133269181</v>
      </c>
      <c r="CW253" s="200" t="str">
        <f t="shared" si="372"/>
        <v/>
      </c>
      <c r="CX253" s="203">
        <f>IF($J253="",#N/A,SUM(CW$4:CW253))</f>
        <v>-0.33865165024245297</v>
      </c>
      <c r="CY253" s="204" t="str">
        <f t="shared" si="373"/>
        <v/>
      </c>
      <c r="CZ253" s="204">
        <f>IF($J253="",#N/A,SUM(CY$4:CY253))</f>
        <v>0.30198222879878239</v>
      </c>
      <c r="DA253" s="205" t="str">
        <f t="shared" si="374"/>
        <v/>
      </c>
      <c r="DB253" s="205">
        <f>IF($J253="",#N/A,SUM(DA$4:DA253))</f>
        <v>-2.1597383732727686</v>
      </c>
      <c r="DC253" s="205">
        <f>IF($J253="",#N/A,SUM(DA$4:DA253,CY$4:CY253,CW$4:CW253))</f>
        <v>-2.1964077947164395</v>
      </c>
      <c r="DD253" s="200" t="str">
        <f t="shared" si="375"/>
        <v/>
      </c>
      <c r="DE253" s="203">
        <f>IF($J253="",#N/A,SUM(DD$4:DD253))</f>
        <v>0.24769343410817113</v>
      </c>
      <c r="DF253" s="204" t="str">
        <f t="shared" si="376"/>
        <v/>
      </c>
      <c r="DG253" s="204">
        <f>IF($J253="",#N/A,SUM(DF$4:DF253))</f>
        <v>1.5249935139936004</v>
      </c>
      <c r="DH253" s="205" t="str">
        <f t="shared" si="377"/>
        <v/>
      </c>
      <c r="DI253" s="205">
        <f>IF($J253="",#N/A,SUM(DH$4:DH253))</f>
        <v>-1.9066052078694633</v>
      </c>
      <c r="DJ253" s="205">
        <f>IF($J253="",#N/A,SUM(DH$4:DH253,DF$4:DF253,DD$4:DD253))</f>
        <v>-0.13391825976769156</v>
      </c>
      <c r="DK253" s="200" t="str">
        <f t="shared" si="378"/>
        <v/>
      </c>
      <c r="DL253" s="203">
        <f>IF($J253="",#N/A,SUM(DK$4:DK253))</f>
        <v>-1.2097286851272664</v>
      </c>
      <c r="DM253" s="204" t="str">
        <f t="shared" si="379"/>
        <v/>
      </c>
      <c r="DN253" s="204">
        <f>IF($J253="",#N/A,SUM(DM$4:DM253))</f>
        <v>3.0281848543081331</v>
      </c>
      <c r="DO253" s="205" t="str">
        <f t="shared" si="380"/>
        <v/>
      </c>
      <c r="DP253" s="205">
        <f>IF($J253="",#N/A,SUM(DO$4:DO253))</f>
        <v>2.700331529683047</v>
      </c>
      <c r="DQ253" s="205">
        <f>IF($J253="",#N/A,SUM(DO$4:DO253,DM$4:DM253,DK$4:DK253))</f>
        <v>4.518787698863914</v>
      </c>
      <c r="DR253" s="200" t="str">
        <f t="shared" si="381"/>
        <v/>
      </c>
      <c r="DS253" s="203">
        <f>IF($J253="",#N/A,SUM(DR$4:DR253))</f>
        <v>-0.55950946427675097</v>
      </c>
      <c r="DT253" s="204">
        <f t="shared" si="382"/>
        <v>-0.40021344717182844</v>
      </c>
      <c r="DU253" s="204">
        <f>IF($J253="",#N/A,SUM(DT$4:DT253))</f>
        <v>-0.87082853884823752</v>
      </c>
      <c r="DV253" s="205" t="str">
        <f t="shared" si="383"/>
        <v/>
      </c>
      <c r="DW253" s="205">
        <f>IF($J253="",#N/A,SUM(DV$4:DV253))</f>
        <v>-1.2815650893103838</v>
      </c>
      <c r="DX253" s="205">
        <f>IF($J253="",#N/A,SUM(DV$4:DV253,DT$4:DT253,DR$4:DR253))</f>
        <v>-2.7119030924353726</v>
      </c>
      <c r="DY253" s="200" t="str">
        <f t="shared" si="384"/>
        <v/>
      </c>
      <c r="DZ253" s="203">
        <f>IF($J253="",#N/A,SUM(DY$4:DY253))</f>
        <v>-1.0460034109943892</v>
      </c>
      <c r="EA253" s="204" t="str">
        <f t="shared" si="385"/>
        <v/>
      </c>
      <c r="EB253" s="204">
        <f>IF($J253="",#N/A,SUM(EA$4:EA253))</f>
        <v>1.0902674422317802</v>
      </c>
      <c r="EC253" s="205" t="str">
        <f t="shared" si="386"/>
        <v/>
      </c>
      <c r="ED253" s="205">
        <f>IF($J253="",#N/A,SUM(EC$4:EC253))</f>
        <v>5.0841293998354304</v>
      </c>
      <c r="EE253" s="205">
        <f>IF($J253="",#N/A,SUM(EC$4:EC253,EA$4:EA253,DY$4:DY253))</f>
        <v>5.1283934310728201</v>
      </c>
      <c r="EF253" s="200" t="str">
        <f t="shared" si="387"/>
        <v/>
      </c>
      <c r="EG253" s="203">
        <f>IF($J253="",#N/A,SUM(EF$4:EF253))</f>
        <v>-0.15098969023521425</v>
      </c>
      <c r="EH253" s="204" t="str">
        <f t="shared" si="388"/>
        <v/>
      </c>
      <c r="EI253" s="204">
        <f>IF($J253="",#N/A,SUM(EH$4:EH253))</f>
        <v>-2.8640283518306258</v>
      </c>
      <c r="EJ253" s="205" t="str">
        <f t="shared" si="389"/>
        <v/>
      </c>
      <c r="EK253" s="205">
        <f>IF($J253="",#N/A,SUM(EJ$4:EJ253))</f>
        <v>5.050388173053765</v>
      </c>
      <c r="EL253" s="205">
        <f>IF($J253="",#N/A,SUM(EJ$4:EJ253,EH$4:EH253,EF$4:EF253))</f>
        <v>2.0353701309879249</v>
      </c>
      <c r="EM253" s="200" t="str">
        <f t="shared" si="390"/>
        <v/>
      </c>
      <c r="EN253" s="203">
        <f>IF($J253="",#N/A,SUM(EM$4:EM253))</f>
        <v>0</v>
      </c>
      <c r="EO253" s="204" t="str">
        <f t="shared" si="391"/>
        <v/>
      </c>
      <c r="EP253" s="204">
        <f>IF($J253="",#N/A,SUM(EO$4:EO253))</f>
        <v>3.2406646352184261</v>
      </c>
      <c r="EQ253" s="205" t="str">
        <f t="shared" si="392"/>
        <v/>
      </c>
      <c r="ER253" s="205">
        <f>IF($J253="",#N/A,SUM(EQ$4:EQ253))</f>
        <v>1.441536272249796</v>
      </c>
      <c r="ES253" s="205">
        <f>IF($J253="",#N/A,SUM(EQ$4:EQ253,EO$4:EO253,EM$4:EM253))</f>
        <v>4.6822009074682214</v>
      </c>
      <c r="ET253" s="200" t="str">
        <f t="shared" si="393"/>
        <v/>
      </c>
      <c r="EU253" s="203">
        <f>IF($J253="",#N/A,SUM(ET$4:ET253))</f>
        <v>0</v>
      </c>
      <c r="EV253" s="204" t="str">
        <f t="shared" si="394"/>
        <v/>
      </c>
      <c r="EW253" s="204">
        <f>IF($J253="",#N/A,SUM(EV$4:EV253))</f>
        <v>1.9901851109977766</v>
      </c>
      <c r="EX253" s="205" t="str">
        <f t="shared" si="395"/>
        <v/>
      </c>
      <c r="EY253" s="205">
        <f>IF($J253="",#N/A,SUM(EX$4:EX253))</f>
        <v>0.27113250180669229</v>
      </c>
      <c r="EZ253" s="205">
        <f>IF($J253="",#N/A,SUM(EX$4:EX253,EV$4:EV253,ET$4:ET253))</f>
        <v>2.2613176128044685</v>
      </c>
      <c r="FA253" s="200" t="str">
        <f t="shared" si="396"/>
        <v/>
      </c>
      <c r="FB253" s="203">
        <f>IF($J253="",#N/A,SUM(FA$4:FA253))</f>
        <v>0</v>
      </c>
      <c r="FC253" s="204" t="str">
        <f t="shared" si="397"/>
        <v/>
      </c>
      <c r="FD253" s="204">
        <f>IF($J253="",#N/A,SUM(FC$4:FC253))</f>
        <v>1.3660078100500956</v>
      </c>
      <c r="FE253" s="205" t="str">
        <f t="shared" si="398"/>
        <v/>
      </c>
      <c r="FF253" s="205">
        <f>IF($J253="",#N/A,SUM(FE$4:FE253))</f>
        <v>-0.28811149078748233</v>
      </c>
      <c r="FG253" s="205">
        <f>IF($J253="",#N/A,SUM(FE$4:FE253,FC$4:FC253,FA$4:FA253))</f>
        <v>1.0778963192626136</v>
      </c>
      <c r="FH253" s="200" t="str">
        <f t="shared" si="399"/>
        <v/>
      </c>
      <c r="FI253" s="203">
        <f>IF($J253="",#N/A,SUM(FH$4:FH253))</f>
        <v>0</v>
      </c>
      <c r="FJ253" s="204" t="str">
        <f t="shared" si="400"/>
        <v/>
      </c>
      <c r="FK253" s="204">
        <f>IF($J253="",#N/A,SUM(FJ$4:FJ253))</f>
        <v>0</v>
      </c>
      <c r="FL253" s="205" t="str">
        <f t="shared" si="401"/>
        <v/>
      </c>
      <c r="FM253" s="205">
        <f>IF($J253="",#N/A,SUM(FL$4:FL253))</f>
        <v>0</v>
      </c>
      <c r="FN253" s="205">
        <f>IF($J253="",#N/A,SUM(FL$4:FL253,FJ$4:FJ253,FH$4:FH253))</f>
        <v>0</v>
      </c>
      <c r="FO253" s="200" t="str">
        <f t="shared" si="402"/>
        <v/>
      </c>
      <c r="FP253" s="203">
        <f>IF($J253="",#N/A,SUM(FO$4:FO253))</f>
        <v>0</v>
      </c>
      <c r="FQ253" s="204" t="str">
        <f t="shared" si="403"/>
        <v/>
      </c>
      <c r="FR253" s="204">
        <f>IF($J253="",#N/A,SUM(FQ$4:FQ253))</f>
        <v>0</v>
      </c>
      <c r="FS253" s="205" t="str">
        <f t="shared" si="404"/>
        <v/>
      </c>
      <c r="FT253" s="205">
        <f>IF($J253="",#N/A,SUM(FS$4:FS253))</f>
        <v>0</v>
      </c>
      <c r="FU253" s="205">
        <f>IF($J253="",#N/A,SUM(FS$4:FS253,FQ$4:FQ253,FO$4:FO253))</f>
        <v>0</v>
      </c>
      <c r="FV253" s="200" t="str">
        <f t="shared" si="405"/>
        <v/>
      </c>
      <c r="FW253" s="203">
        <f>IF($J253="",#N/A,SUM(FV$4:FV253))</f>
        <v>6.6834991831277585E-2</v>
      </c>
      <c r="FX253" s="204" t="str">
        <f t="shared" si="406"/>
        <v/>
      </c>
      <c r="FY253" s="204">
        <f>IF($J253="",#N/A,SUM(FX$4:FX253))</f>
        <v>-0.16102012791805576</v>
      </c>
      <c r="FZ253" s="205" t="str">
        <f t="shared" si="407"/>
        <v/>
      </c>
      <c r="GA253" s="205">
        <f>IF($J253="",#N/A,SUM(FZ$4:FZ253))</f>
        <v>-1.1377221770567538</v>
      </c>
      <c r="GB253" s="205">
        <f>IF($J253="",#N/A,SUM(FZ$4:FZ253,FX$4:FX253,FV$4:FV253))</f>
        <v>-1.2319073131435321</v>
      </c>
      <c r="GC253" s="200" t="str">
        <f t="shared" si="408"/>
        <v/>
      </c>
      <c r="GD253" s="203">
        <f>IF($J253="",#N/A,SUM(GC$4:GC253))</f>
        <v>0</v>
      </c>
      <c r="GE253" s="204" t="str">
        <f t="shared" si="409"/>
        <v/>
      </c>
      <c r="GF253" s="204">
        <f>IF($J253="",#N/A,SUM(GE$4:GE253))</f>
        <v>0</v>
      </c>
      <c r="GG253" s="205" t="str">
        <f t="shared" si="410"/>
        <v/>
      </c>
      <c r="GH253" s="205">
        <f>IF($J253="",#N/A,SUM(GG$4:GG253))</f>
        <v>-2.9368362277223206</v>
      </c>
      <c r="GI253" s="205">
        <f>IF($J253="",#N/A,SUM(GG$4:GG253,GE$4:GE253,GC$4:GC253))</f>
        <v>-2.9368362277223206</v>
      </c>
      <c r="GJ253" s="200" t="str">
        <f t="shared" si="411"/>
        <v/>
      </c>
      <c r="GK253" s="203">
        <f>IF($J253="",#N/A,SUM(GJ$4:GJ253))</f>
        <v>0</v>
      </c>
      <c r="GL253" s="204" t="str">
        <f t="shared" si="412"/>
        <v/>
      </c>
      <c r="GM253" s="204">
        <f>IF($J253="",#N/A,SUM(GL$4:GL253))</f>
        <v>-1.6833790887309608</v>
      </c>
      <c r="GN253" s="205" t="str">
        <f t="shared" si="413"/>
        <v/>
      </c>
      <c r="GO253" s="205">
        <f>IF($J253="",#N/A,SUM(GN$4:GN253))</f>
        <v>0</v>
      </c>
      <c r="GP253" s="205">
        <f>IF($J253="",#N/A,SUM(GN$4:GN253,GL$4:GL253,GJ$4:GJ253))</f>
        <v>-1.6833790887309608</v>
      </c>
      <c r="GS253" s="303">
        <f t="shared" si="432"/>
        <v>-0.40021344717182844</v>
      </c>
      <c r="GT253" s="303">
        <f>IF(GS253="",NA(),SUM($GS$4:GS253))</f>
        <v>9.2218006826880909</v>
      </c>
      <c r="GU253" s="303" t="str">
        <f t="shared" si="414"/>
        <v/>
      </c>
      <c r="GV253" s="303" t="e">
        <f>IF(GU253="",NA(),SUM($GU$4:GU253))</f>
        <v>#N/A</v>
      </c>
      <c r="GW253" s="303" t="str">
        <f t="shared" si="415"/>
        <v/>
      </c>
      <c r="GX253" s="303" t="e">
        <f>IF(GW253="",NA(),SUM($GW$4:GW253))</f>
        <v>#N/A</v>
      </c>
      <c r="GY253" s="303">
        <f t="shared" si="416"/>
        <v>-0.40021344717182844</v>
      </c>
      <c r="GZ253" s="303">
        <f>IF(GY253="",NA(),SUM($GY$4:GY253))</f>
        <v>6.359155673895823</v>
      </c>
      <c r="HA253" s="303" t="str">
        <f t="shared" si="417"/>
        <v/>
      </c>
      <c r="HB253" s="303" t="e">
        <f>IF(HA253="",NA(),SUM($HA$4:HA253))</f>
        <v>#N/A</v>
      </c>
      <c r="HC253" s="303" t="str">
        <f t="shared" si="418"/>
        <v/>
      </c>
      <c r="HD253" s="303" t="e">
        <f>IF(HC253="",NA(),SUM($HC$4:HC253))</f>
        <v>#N/A</v>
      </c>
      <c r="HE253" s="303" t="str">
        <f t="shared" si="419"/>
        <v/>
      </c>
      <c r="HF253" s="303" t="e">
        <f>IF(HE253="",NA(),SUM($HE$4:HE253))</f>
        <v>#N/A</v>
      </c>
      <c r="HG253" s="303" t="str">
        <f t="shared" si="420"/>
        <v/>
      </c>
      <c r="HH253" s="303" t="e">
        <f>IF(HG253="",NA(),SUM($HG$4:HG253))</f>
        <v>#N/A</v>
      </c>
      <c r="HI253" s="304" t="str">
        <f t="shared" si="433"/>
        <v/>
      </c>
      <c r="HJ253" s="304">
        <f>IF($J253="",#N/A,SUM(HI$4:$HI253))</f>
        <v>-8.2193263156152607</v>
      </c>
      <c r="HK253" s="303">
        <f t="shared" si="421"/>
        <v>-0.77374599786552589</v>
      </c>
      <c r="HL253" s="303">
        <f>IF($J253="",#N/A,SUM($HK$4:HK253))</f>
        <v>-2.5507240157544917</v>
      </c>
      <c r="HM253" s="303" t="str">
        <f t="shared" si="422"/>
        <v/>
      </c>
      <c r="HN253" s="303">
        <f>IF($J253="",#N/A,SUM($HM$4:HM253))</f>
        <v>0.957348620978966</v>
      </c>
      <c r="HO253" s="303" t="str">
        <f t="shared" si="423"/>
        <v/>
      </c>
      <c r="HP253" s="303">
        <f>IF($J253="",#N/A,SUM($HO$4:HO253))</f>
        <v>-0.10266465451722628</v>
      </c>
      <c r="HQ253" s="303" t="str">
        <f t="shared" si="424"/>
        <v/>
      </c>
      <c r="HR253" s="303">
        <f>IF($J253="",#N/A,SUM($HQ$4:HQ253))</f>
        <v>-14.596039294292455</v>
      </c>
      <c r="HS253" s="303" t="str">
        <f t="shared" si="425"/>
        <v/>
      </c>
      <c r="HT253" s="303">
        <f>IF($J253="",#N/A,SUM($HS$4:HS253))</f>
        <v>13.445720876931169</v>
      </c>
      <c r="HU253" s="305">
        <f t="shared" si="426"/>
        <v>-1.1739594450373543</v>
      </c>
      <c r="HV253" s="305">
        <f>IF($J253="",#N/A,SUM(HU$4:$HU253))</f>
        <v>4.2861236503898876</v>
      </c>
    </row>
    <row r="254" spans="1:230" x14ac:dyDescent="0.25">
      <c r="A254" s="59" t="s">
        <v>1509</v>
      </c>
      <c r="B254" s="289" t="s">
        <v>4565</v>
      </c>
      <c r="C254" s="230">
        <f t="shared" si="327"/>
        <v>2</v>
      </c>
      <c r="D254" s="220" t="str">
        <f>_xlfn.XLOOKUP(A254,[1]SP500!$A$2:$A$502,[1]SP500!$D$2:$D$502,"N")</f>
        <v>Y</v>
      </c>
      <c r="E254" s="59" t="str">
        <f>IFERROR(_xlfn.XLOOKUP(A254,[1]SP500!$A$2:$A$655,[1]SP500!$B$2:$B$655),"")</f>
        <v>XLV</v>
      </c>
      <c r="F254" s="290">
        <v>45782</v>
      </c>
      <c r="G254" s="59" t="str">
        <f t="shared" si="328"/>
        <v>BMO</v>
      </c>
      <c r="H254" s="59" t="str">
        <f t="shared" si="329"/>
        <v>s</v>
      </c>
      <c r="I254" s="376">
        <v>102.38</v>
      </c>
      <c r="J254" s="125">
        <v>99.59</v>
      </c>
      <c r="K254" s="60">
        <f t="shared" si="330"/>
        <v>-2.7251416292244503E-2</v>
      </c>
      <c r="L254" s="68">
        <f t="shared" si="331"/>
        <v>33.480000000000018</v>
      </c>
      <c r="M254" s="62">
        <f t="shared" si="332"/>
        <v>0</v>
      </c>
      <c r="N254" s="63">
        <f t="shared" si="333"/>
        <v>33.480000000000018</v>
      </c>
      <c r="O254" s="62">
        <f>IF(N254="",#N/A,SUM($N$4:N254))</f>
        <v>753.17092465120902</v>
      </c>
      <c r="P254" s="64">
        <f t="shared" si="427"/>
        <v>0.45419027153740987</v>
      </c>
      <c r="Q254" s="183">
        <f>IF($N254="",#N/A,SUM($P$4:P254))</f>
        <v>15.805998704196597</v>
      </c>
      <c r="R254" s="279">
        <f t="shared" si="334"/>
        <v>3.8547982014626498</v>
      </c>
      <c r="S254" s="59" t="str">
        <f t="shared" si="335"/>
        <v>Dwn</v>
      </c>
      <c r="T254" s="59" t="s">
        <v>4462</v>
      </c>
      <c r="U254" s="61">
        <f t="shared" si="336"/>
        <v>102.38</v>
      </c>
      <c r="V254" s="61" t="s">
        <v>4458</v>
      </c>
      <c r="W254" s="142">
        <v>12</v>
      </c>
      <c r="X254" s="146">
        <f t="shared" si="337"/>
        <v>1228.56</v>
      </c>
      <c r="Y254" s="142">
        <f t="shared" si="338"/>
        <v>12</v>
      </c>
      <c r="Z254" s="278">
        <v>99.59</v>
      </c>
      <c r="AA254" s="63">
        <f t="shared" si="339"/>
        <v>33.480000000000018</v>
      </c>
      <c r="AB254" s="63">
        <f t="shared" si="340"/>
        <v>142.79999999999995</v>
      </c>
      <c r="AC254" s="125">
        <v>90.48</v>
      </c>
      <c r="AD254" s="148">
        <f t="shared" si="341"/>
        <v>142.79999999999995</v>
      </c>
      <c r="AE254" s="544">
        <f t="shared" si="342"/>
        <v>1.9372273230448649</v>
      </c>
      <c r="AF254" s="62">
        <f>IF($AC254="",#N/A,SUM(AD$4:AD254))</f>
        <v>299.64087220737963</v>
      </c>
      <c r="AG254" s="63">
        <f t="shared" si="343"/>
        <v>109.31999999999994</v>
      </c>
      <c r="AH254" s="61" t="s">
        <v>2507</v>
      </c>
      <c r="AI254" s="64">
        <f t="shared" si="344"/>
        <v>0.45419027153740987</v>
      </c>
      <c r="AJ254" s="383">
        <f>IF(AI254="",#N/A,SUM($AI$4:AI254))</f>
        <v>11.951200502733947</v>
      </c>
      <c r="AK254" s="62">
        <f t="shared" si="345"/>
        <v>33.480000000000018</v>
      </c>
      <c r="AL254" s="351">
        <f>IF(AI254="",#N/A,IF(AH254="Skip",SUM($AK$4:AK254),SUM($AK$4:AK254)))</f>
        <v>482.23759149281432</v>
      </c>
      <c r="AM254" s="65">
        <f t="shared" si="428"/>
        <v>1.9372273230448649</v>
      </c>
      <c r="AN254" s="209"/>
      <c r="AO254" s="64" t="str">
        <f t="shared" si="346"/>
        <v/>
      </c>
      <c r="AP254" s="64">
        <f>IF($AC254="",#N/A,SUM(AO$4:AO254))</f>
        <v>3.2956447331559287</v>
      </c>
      <c r="AQ254" s="64" t="str">
        <f t="shared" si="347"/>
        <v/>
      </c>
      <c r="AR254" s="64">
        <f>IF($AC254="",#N/A,SUM(AQ$4:AQ254))</f>
        <v>-2.1356705084748859</v>
      </c>
      <c r="AS254" s="64">
        <f t="shared" si="348"/>
        <v>1.9372273230448649</v>
      </c>
      <c r="AT254" s="64">
        <f>IF($AC254="",#N/A,SUM(AS$4:AS254))</f>
        <v>5.0633767487537069</v>
      </c>
      <c r="AU254" s="62" t="str">
        <f t="shared" si="429"/>
        <v/>
      </c>
      <c r="AV254" s="62">
        <f>IF($AC254="",#N/A,SUM(AU$4:AU254))</f>
        <v>87.822490661047027</v>
      </c>
      <c r="AW254" s="62" t="str">
        <f t="shared" si="430"/>
        <v/>
      </c>
      <c r="AX254" s="62">
        <f>IF($AC254="",#N/A,SUM(AW$4:AW254))</f>
        <v>-132.30000000000018</v>
      </c>
      <c r="AY254" s="62">
        <f t="shared" si="431"/>
        <v>142.79999999999995</v>
      </c>
      <c r="AZ254" s="62">
        <f>IF($AC254="",#N/A,SUM(AY$4:AY254))</f>
        <v>344.11838154633278</v>
      </c>
      <c r="BA254" s="62">
        <f>IF(AD254="",#N/A,SUM($AD$4:AD254))</f>
        <v>299.64087220737963</v>
      </c>
      <c r="BC254" s="59" t="str">
        <f t="shared" si="349"/>
        <v/>
      </c>
      <c r="BD254" s="59" t="str">
        <f t="shared" si="350"/>
        <v/>
      </c>
      <c r="BE254" s="59" t="str">
        <f t="shared" si="351"/>
        <v/>
      </c>
      <c r="BF254" s="59" t="str">
        <f t="shared" si="352"/>
        <v>Short</v>
      </c>
      <c r="BG254" s="59">
        <f t="shared" si="353"/>
        <v>1</v>
      </c>
      <c r="BH254" s="59" t="str">
        <f t="shared" si="354"/>
        <v/>
      </c>
      <c r="BI254" s="59" t="str">
        <f t="shared" si="355"/>
        <v/>
      </c>
      <c r="BK254" s="65">
        <f t="shared" si="435"/>
        <v>0.11387445549889524</v>
      </c>
      <c r="BL254" s="65">
        <f t="shared" si="434"/>
        <v>0.20370442655253426</v>
      </c>
      <c r="BM254" s="65">
        <f>IFERROR(Q254/COUNTA($J$4:J254),#N/A)</f>
        <v>6.29721063912215E-2</v>
      </c>
      <c r="BO254" s="489" t="e">
        <f>IF(J254="",#N/A,IF(S254="SW",(COUNTIFS(K$4:$K254,"&gt;0",S$4:$S254,"SW")/COUNTIF(S$4:$S254,"SW")),#N/A))</f>
        <v>#N/A</v>
      </c>
      <c r="BP254" s="489">
        <f>IF($J254="",#N/A,IF($S254="DWN",(COUNTIFS($K$4:$K254,"&lt;0",$S$4:$S254,"DWN")/COUNTIF($S$4:$S254,"DWN")),#N/A))</f>
        <v>0.57798165137614677</v>
      </c>
      <c r="BQ254" s="489" t="e">
        <f>IF($J254="",#N/A,IF($S254="UP",(COUNTIFS($K$4:$K254,"&gt;0",$S$4:$S254,"UP")/COUNTIF($S$4:$S254,"UP")),#N/A))</f>
        <v>#N/A</v>
      </c>
      <c r="BR254" s="489">
        <f>IF(J254="",#N/A,COUNTIF($K$4:K254,"&gt;0")/COUNT($J$4:J254))</f>
        <v>0.46215139442231074</v>
      </c>
      <c r="BS254" s="65" t="str">
        <f t="shared" si="356"/>
        <v/>
      </c>
      <c r="BT254" s="65" t="str">
        <f t="shared" si="357"/>
        <v/>
      </c>
      <c r="BU254" s="65">
        <f t="shared" si="358"/>
        <v>0.45419027153740987</v>
      </c>
      <c r="BV254" s="65" t="str">
        <f t="shared" si="359"/>
        <v/>
      </c>
      <c r="BW254" s="128" t="str">
        <f t="shared" si="360"/>
        <v/>
      </c>
      <c r="BX254" s="128">
        <f>IF($J254="",#N/A,SUM($BW$4:BW254))</f>
        <v>-192.33000000000061</v>
      </c>
      <c r="BY254" s="131">
        <f t="shared" si="361"/>
        <v>33.480000000000018</v>
      </c>
      <c r="BZ254" s="131">
        <f>IF($J254="",#N/A,SUM($BY$4:BY254))</f>
        <v>822.54934038933425</v>
      </c>
      <c r="CA254" s="133" t="str">
        <f t="shared" si="362"/>
        <v/>
      </c>
      <c r="CB254" s="133">
        <f>IF($J254="",#N/A,SUM($CA$4:CA254))</f>
        <v>122.95158426187538</v>
      </c>
      <c r="CC254" s="194" t="str">
        <f t="shared" si="363"/>
        <v/>
      </c>
      <c r="CD254" s="194">
        <f>IF($J254="",#N/A,SUM($CC$4:CC254))</f>
        <v>-2.9903544749366251</v>
      </c>
      <c r="CE254" s="195">
        <f t="shared" si="364"/>
        <v>0.45419027153740987</v>
      </c>
      <c r="CF254" s="195">
        <f>IF($J254="",#N/A,SUM($CE$4:CE254))</f>
        <v>14.350390028616012</v>
      </c>
      <c r="CG254" s="196" t="str">
        <f t="shared" si="365"/>
        <v/>
      </c>
      <c r="CH254" s="196">
        <f>IF($J254="",#N/A,SUM($CG$4:CG254))</f>
        <v>4.4459631505172155</v>
      </c>
      <c r="CI254" s="200" t="str">
        <f t="shared" si="366"/>
        <v/>
      </c>
      <c r="CJ254" s="203">
        <f>IF($J254="",#N/A,SUM(CI$4:CI254))</f>
        <v>0</v>
      </c>
      <c r="CK254" s="204" t="str">
        <f t="shared" si="367"/>
        <v/>
      </c>
      <c r="CL254" s="204">
        <f>IF($J254="",#N/A,SUM(CK$4:CK254))</f>
        <v>1.9927003554442289</v>
      </c>
      <c r="CM254" s="205" t="str">
        <f t="shared" si="368"/>
        <v/>
      </c>
      <c r="CN254" s="205">
        <f>IF($J254="",#N/A,SUM(CM$4:CM254))</f>
        <v>2.5131182152625313</v>
      </c>
      <c r="CO254" s="205">
        <f>IF($J254="",#N/A,SUM(CM$4:CM254,CK$4:CK254,CI$4:CI254))</f>
        <v>4.5058185707067606</v>
      </c>
      <c r="CP254" s="200" t="str">
        <f t="shared" si="369"/>
        <v/>
      </c>
      <c r="CQ254" s="203">
        <f>IF($J254="",#N/A,SUM(CP$4:CP254))</f>
        <v>0</v>
      </c>
      <c r="CR254" s="204" t="str">
        <f t="shared" si="370"/>
        <v/>
      </c>
      <c r="CS254" s="204">
        <f>IF($J254="",#N/A,SUM(CR$4:CR254))</f>
        <v>4.6135245886817966</v>
      </c>
      <c r="CT254" s="205" t="str">
        <f t="shared" si="371"/>
        <v/>
      </c>
      <c r="CU254" s="205">
        <f>IF($J254="",#N/A,SUM(CT$4:CT254))</f>
        <v>-2.9040943753548785</v>
      </c>
      <c r="CV254" s="205">
        <f>IF($J254="",#N/A,SUM(CT$4:CT254,CR$4:CR254,CP$4:CP254))</f>
        <v>1.7094302133269181</v>
      </c>
      <c r="CW254" s="200" t="str">
        <f t="shared" si="372"/>
        <v/>
      </c>
      <c r="CX254" s="203">
        <f>IF($J254="",#N/A,SUM(CW$4:CW254))</f>
        <v>-0.33865165024245297</v>
      </c>
      <c r="CY254" s="204" t="str">
        <f t="shared" si="373"/>
        <v/>
      </c>
      <c r="CZ254" s="204">
        <f>IF($J254="",#N/A,SUM(CY$4:CY254))</f>
        <v>0.30198222879878239</v>
      </c>
      <c r="DA254" s="205" t="str">
        <f t="shared" si="374"/>
        <v/>
      </c>
      <c r="DB254" s="205">
        <f>IF($J254="",#N/A,SUM(DA$4:DA254))</f>
        <v>-2.1597383732727686</v>
      </c>
      <c r="DC254" s="205">
        <f>IF($J254="",#N/A,SUM(DA$4:DA254,CY$4:CY254,CW$4:CW254))</f>
        <v>-2.1964077947164395</v>
      </c>
      <c r="DD254" s="200" t="str">
        <f t="shared" si="375"/>
        <v/>
      </c>
      <c r="DE254" s="203">
        <f>IF($J254="",#N/A,SUM(DD$4:DD254))</f>
        <v>0.24769343410817113</v>
      </c>
      <c r="DF254" s="204" t="str">
        <f t="shared" si="376"/>
        <v/>
      </c>
      <c r="DG254" s="204">
        <f>IF($J254="",#N/A,SUM(DF$4:DF254))</f>
        <v>1.5249935139936004</v>
      </c>
      <c r="DH254" s="205" t="str">
        <f t="shared" si="377"/>
        <v/>
      </c>
      <c r="DI254" s="205">
        <f>IF($J254="",#N/A,SUM(DH$4:DH254))</f>
        <v>-1.9066052078694633</v>
      </c>
      <c r="DJ254" s="205">
        <f>IF($J254="",#N/A,SUM(DH$4:DH254,DF$4:DF254,DD$4:DD254))</f>
        <v>-0.13391825976769156</v>
      </c>
      <c r="DK254" s="200" t="str">
        <f t="shared" si="378"/>
        <v/>
      </c>
      <c r="DL254" s="203">
        <f>IF($J254="",#N/A,SUM(DK$4:DK254))</f>
        <v>-1.2097286851272664</v>
      </c>
      <c r="DM254" s="204" t="str">
        <f t="shared" si="379"/>
        <v/>
      </c>
      <c r="DN254" s="204">
        <f>IF($J254="",#N/A,SUM(DM$4:DM254))</f>
        <v>3.0281848543081331</v>
      </c>
      <c r="DO254" s="205" t="str">
        <f t="shared" si="380"/>
        <v/>
      </c>
      <c r="DP254" s="205">
        <f>IF($J254="",#N/A,SUM(DO$4:DO254))</f>
        <v>2.700331529683047</v>
      </c>
      <c r="DQ254" s="205">
        <f>IF($J254="",#N/A,SUM(DO$4:DO254,DM$4:DM254,DK$4:DK254))</f>
        <v>4.518787698863914</v>
      </c>
      <c r="DR254" s="200" t="str">
        <f t="shared" si="381"/>
        <v/>
      </c>
      <c r="DS254" s="203">
        <f>IF($J254="",#N/A,SUM(DR$4:DR254))</f>
        <v>-0.55950946427675097</v>
      </c>
      <c r="DT254" s="204" t="str">
        <f t="shared" si="382"/>
        <v/>
      </c>
      <c r="DU254" s="204">
        <f>IF($J254="",#N/A,SUM(DT$4:DT254))</f>
        <v>-0.87082853884823752</v>
      </c>
      <c r="DV254" s="205" t="str">
        <f t="shared" si="383"/>
        <v/>
      </c>
      <c r="DW254" s="205">
        <f>IF($J254="",#N/A,SUM(DV$4:DV254))</f>
        <v>-1.2815650893103838</v>
      </c>
      <c r="DX254" s="205">
        <f>IF($J254="",#N/A,SUM(DV$4:DV254,DT$4:DT254,DR$4:DR254))</f>
        <v>-2.7119030924353726</v>
      </c>
      <c r="DY254" s="200" t="str">
        <f t="shared" si="384"/>
        <v/>
      </c>
      <c r="DZ254" s="203">
        <f>IF($J254="",#N/A,SUM(DY$4:DY254))</f>
        <v>-1.0460034109943892</v>
      </c>
      <c r="EA254" s="204" t="str">
        <f t="shared" si="385"/>
        <v/>
      </c>
      <c r="EB254" s="204">
        <f>IF($J254="",#N/A,SUM(EA$4:EA254))</f>
        <v>1.0902674422317802</v>
      </c>
      <c r="EC254" s="205" t="str">
        <f t="shared" si="386"/>
        <v/>
      </c>
      <c r="ED254" s="205">
        <f>IF($J254="",#N/A,SUM(EC$4:EC254))</f>
        <v>5.0841293998354304</v>
      </c>
      <c r="EE254" s="205">
        <f>IF($J254="",#N/A,SUM(EC$4:EC254,EA$4:EA254,DY$4:DY254))</f>
        <v>5.1283934310728201</v>
      </c>
      <c r="EF254" s="200" t="str">
        <f t="shared" si="387"/>
        <v/>
      </c>
      <c r="EG254" s="203">
        <f>IF($J254="",#N/A,SUM(EF$4:EF254))</f>
        <v>-0.15098969023521425</v>
      </c>
      <c r="EH254" s="204">
        <f t="shared" si="388"/>
        <v>0.45419027153740987</v>
      </c>
      <c r="EI254" s="204">
        <f>IF($J254="",#N/A,SUM(EH$4:EH254))</f>
        <v>-2.4098380802932158</v>
      </c>
      <c r="EJ254" s="205" t="str">
        <f t="shared" si="389"/>
        <v/>
      </c>
      <c r="EK254" s="205">
        <f>IF($J254="",#N/A,SUM(EJ$4:EJ254))</f>
        <v>5.050388173053765</v>
      </c>
      <c r="EL254" s="205">
        <f>IF($J254="",#N/A,SUM(EJ$4:EJ254,EH$4:EH254,EF$4:EF254))</f>
        <v>2.4895604025253348</v>
      </c>
      <c r="EM254" s="200" t="str">
        <f t="shared" si="390"/>
        <v/>
      </c>
      <c r="EN254" s="203">
        <f>IF($J254="",#N/A,SUM(EM$4:EM254))</f>
        <v>0</v>
      </c>
      <c r="EO254" s="204" t="str">
        <f t="shared" si="391"/>
        <v/>
      </c>
      <c r="EP254" s="204">
        <f>IF($J254="",#N/A,SUM(EO$4:EO254))</f>
        <v>3.2406646352184261</v>
      </c>
      <c r="EQ254" s="205" t="str">
        <f t="shared" si="392"/>
        <v/>
      </c>
      <c r="ER254" s="205">
        <f>IF($J254="",#N/A,SUM(EQ$4:EQ254))</f>
        <v>1.441536272249796</v>
      </c>
      <c r="ES254" s="205">
        <f>IF($J254="",#N/A,SUM(EQ$4:EQ254,EO$4:EO254,EM$4:EM254))</f>
        <v>4.6822009074682214</v>
      </c>
      <c r="ET254" s="200" t="str">
        <f t="shared" si="393"/>
        <v/>
      </c>
      <c r="EU254" s="203">
        <f>IF($J254="",#N/A,SUM(ET$4:ET254))</f>
        <v>0</v>
      </c>
      <c r="EV254" s="204" t="str">
        <f t="shared" si="394"/>
        <v/>
      </c>
      <c r="EW254" s="204">
        <f>IF($J254="",#N/A,SUM(EV$4:EV254))</f>
        <v>1.9901851109977766</v>
      </c>
      <c r="EX254" s="205" t="str">
        <f t="shared" si="395"/>
        <v/>
      </c>
      <c r="EY254" s="205">
        <f>IF($J254="",#N/A,SUM(EX$4:EX254))</f>
        <v>0.27113250180669229</v>
      </c>
      <c r="EZ254" s="205">
        <f>IF($J254="",#N/A,SUM(EX$4:EX254,EV$4:EV254,ET$4:ET254))</f>
        <v>2.2613176128044685</v>
      </c>
      <c r="FA254" s="200" t="str">
        <f t="shared" si="396"/>
        <v/>
      </c>
      <c r="FB254" s="203">
        <f>IF($J254="",#N/A,SUM(FA$4:FA254))</f>
        <v>0</v>
      </c>
      <c r="FC254" s="204" t="str">
        <f t="shared" si="397"/>
        <v/>
      </c>
      <c r="FD254" s="204">
        <f>IF($J254="",#N/A,SUM(FC$4:FC254))</f>
        <v>1.3660078100500956</v>
      </c>
      <c r="FE254" s="205" t="str">
        <f t="shared" si="398"/>
        <v/>
      </c>
      <c r="FF254" s="205">
        <f>IF($J254="",#N/A,SUM(FE$4:FE254))</f>
        <v>-0.28811149078748233</v>
      </c>
      <c r="FG254" s="205">
        <f>IF($J254="",#N/A,SUM(FE$4:FE254,FC$4:FC254,FA$4:FA254))</f>
        <v>1.0778963192626136</v>
      </c>
      <c r="FH254" s="200" t="str">
        <f t="shared" si="399"/>
        <v/>
      </c>
      <c r="FI254" s="203">
        <f>IF($J254="",#N/A,SUM(FH$4:FH254))</f>
        <v>0</v>
      </c>
      <c r="FJ254" s="204" t="str">
        <f t="shared" si="400"/>
        <v/>
      </c>
      <c r="FK254" s="204">
        <f>IF($J254="",#N/A,SUM(FJ$4:FJ254))</f>
        <v>0</v>
      </c>
      <c r="FL254" s="205" t="str">
        <f t="shared" si="401"/>
        <v/>
      </c>
      <c r="FM254" s="205">
        <f>IF($J254="",#N/A,SUM(FL$4:FL254))</f>
        <v>0</v>
      </c>
      <c r="FN254" s="205">
        <f>IF($J254="",#N/A,SUM(FL$4:FL254,FJ$4:FJ254,FH$4:FH254))</f>
        <v>0</v>
      </c>
      <c r="FO254" s="200" t="str">
        <f t="shared" si="402"/>
        <v/>
      </c>
      <c r="FP254" s="203">
        <f>IF($J254="",#N/A,SUM(FO$4:FO254))</f>
        <v>0</v>
      </c>
      <c r="FQ254" s="204" t="str">
        <f t="shared" si="403"/>
        <v/>
      </c>
      <c r="FR254" s="204">
        <f>IF($J254="",#N/A,SUM(FQ$4:FQ254))</f>
        <v>0</v>
      </c>
      <c r="FS254" s="205" t="str">
        <f t="shared" si="404"/>
        <v/>
      </c>
      <c r="FT254" s="205">
        <f>IF($J254="",#N/A,SUM(FS$4:FS254))</f>
        <v>0</v>
      </c>
      <c r="FU254" s="205">
        <f>IF($J254="",#N/A,SUM(FS$4:FS254,FQ$4:FQ254,FO$4:FO254))</f>
        <v>0</v>
      </c>
      <c r="FV254" s="200" t="str">
        <f t="shared" si="405"/>
        <v/>
      </c>
      <c r="FW254" s="203">
        <f>IF($J254="",#N/A,SUM(FV$4:FV254))</f>
        <v>6.6834991831277585E-2</v>
      </c>
      <c r="FX254" s="204" t="str">
        <f t="shared" si="406"/>
        <v/>
      </c>
      <c r="FY254" s="204">
        <f>IF($J254="",#N/A,SUM(FX$4:FX254))</f>
        <v>-0.16102012791805576</v>
      </c>
      <c r="FZ254" s="205" t="str">
        <f t="shared" si="407"/>
        <v/>
      </c>
      <c r="GA254" s="205">
        <f>IF($J254="",#N/A,SUM(FZ$4:FZ254))</f>
        <v>-1.1377221770567538</v>
      </c>
      <c r="GB254" s="205">
        <f>IF($J254="",#N/A,SUM(FZ$4:FZ254,FX$4:FX254,FV$4:FV254))</f>
        <v>-1.2319073131435321</v>
      </c>
      <c r="GC254" s="200" t="str">
        <f t="shared" si="408"/>
        <v/>
      </c>
      <c r="GD254" s="203">
        <f>IF($J254="",#N/A,SUM(GC$4:GC254))</f>
        <v>0</v>
      </c>
      <c r="GE254" s="204" t="str">
        <f t="shared" si="409"/>
        <v/>
      </c>
      <c r="GF254" s="204">
        <f>IF($J254="",#N/A,SUM(GE$4:GE254))</f>
        <v>0</v>
      </c>
      <c r="GG254" s="205" t="str">
        <f t="shared" si="410"/>
        <v/>
      </c>
      <c r="GH254" s="205">
        <f>IF($J254="",#N/A,SUM(GG$4:GG254))</f>
        <v>-2.9368362277223206</v>
      </c>
      <c r="GI254" s="205">
        <f>IF($J254="",#N/A,SUM(GG$4:GG254,GE$4:GE254,GC$4:GC254))</f>
        <v>-2.9368362277223206</v>
      </c>
      <c r="GJ254" s="200" t="str">
        <f t="shared" si="411"/>
        <v/>
      </c>
      <c r="GK254" s="203">
        <f>IF($J254="",#N/A,SUM(GJ$4:GJ254))</f>
        <v>0</v>
      </c>
      <c r="GL254" s="204" t="str">
        <f t="shared" si="412"/>
        <v/>
      </c>
      <c r="GM254" s="204">
        <f>IF($J254="",#N/A,SUM(GL$4:GL254))</f>
        <v>-1.6833790887309608</v>
      </c>
      <c r="GN254" s="205" t="str">
        <f t="shared" si="413"/>
        <v/>
      </c>
      <c r="GO254" s="205">
        <f>IF($J254="",#N/A,SUM(GN$4:GN254))</f>
        <v>0</v>
      </c>
      <c r="GP254" s="205">
        <f>IF($J254="",#N/A,SUM(GN$4:GN254,GL$4:GL254,GJ$4:GJ254))</f>
        <v>-1.6833790887309608</v>
      </c>
      <c r="GS254" s="177">
        <f t="shared" si="432"/>
        <v>0.45419027153740987</v>
      </c>
      <c r="GT254" s="177">
        <f>IF(GS254="",NA(),SUM($GS$4:GS254))</f>
        <v>9.6759909542255009</v>
      </c>
      <c r="GU254" s="177" t="str">
        <f t="shared" si="414"/>
        <v/>
      </c>
      <c r="GV254" s="177" t="e">
        <f>IF(GU254="",NA(),SUM($GU$4:GU254))</f>
        <v>#N/A</v>
      </c>
      <c r="GW254" s="177" t="str">
        <f t="shared" si="415"/>
        <v/>
      </c>
      <c r="GX254" s="177" t="e">
        <f>IF(GW254="",NA(),SUM($GW$4:GW254))</f>
        <v>#N/A</v>
      </c>
      <c r="GY254" s="177">
        <f t="shared" si="416"/>
        <v>0.45419027153740987</v>
      </c>
      <c r="GZ254" s="177">
        <f>IF(GY254="",NA(),SUM($GY$4:GY254))</f>
        <v>6.813345945433233</v>
      </c>
      <c r="HA254" s="177" t="str">
        <f t="shared" si="417"/>
        <v/>
      </c>
      <c r="HB254" s="177" t="e">
        <f>IF(HA254="",NA(),SUM($HA$4:HA254))</f>
        <v>#N/A</v>
      </c>
      <c r="HC254" s="177" t="str">
        <f t="shared" si="418"/>
        <v/>
      </c>
      <c r="HD254" s="177" t="e">
        <f>IF(HC254="",NA(),SUM($HC$4:HC254))</f>
        <v>#N/A</v>
      </c>
      <c r="HE254" s="177" t="str">
        <f t="shared" si="419"/>
        <v/>
      </c>
      <c r="HF254" s="177" t="e">
        <f>IF(HE254="",NA(),SUM($HE$4:HE254))</f>
        <v>#N/A</v>
      </c>
      <c r="HG254" s="177" t="str">
        <f t="shared" si="420"/>
        <v/>
      </c>
      <c r="HH254" s="177" t="e">
        <f>IF(HG254="",NA(),SUM($HG$4:HG254))</f>
        <v>#N/A</v>
      </c>
      <c r="HI254" s="183">
        <f t="shared" si="433"/>
        <v>1.4830370515074551</v>
      </c>
      <c r="HJ254" s="183">
        <f>IF($J254="",#N/A,SUM(HI$4:$HI254))</f>
        <v>-6.7362892641078052</v>
      </c>
      <c r="HK254" s="177" t="str">
        <f t="shared" si="421"/>
        <v/>
      </c>
      <c r="HL254" s="177">
        <f>IF($J254="",#N/A,SUM($HK$4:HK254))</f>
        <v>-2.5507240157544917</v>
      </c>
      <c r="HM254" s="177" t="str">
        <f t="shared" si="422"/>
        <v/>
      </c>
      <c r="HN254" s="177">
        <f>IF($J254="",#N/A,SUM($HM$4:HM254))</f>
        <v>0.957348620978966</v>
      </c>
      <c r="HO254" s="177" t="str">
        <f t="shared" si="423"/>
        <v/>
      </c>
      <c r="HP254" s="177">
        <f>IF($J254="",#N/A,SUM($HO$4:HO254))</f>
        <v>-0.10266465451722628</v>
      </c>
      <c r="HQ254" s="177" t="str">
        <f t="shared" si="424"/>
        <v/>
      </c>
      <c r="HR254" s="177">
        <f>IF($J254="",#N/A,SUM($HQ$4:HQ254))</f>
        <v>-14.596039294292455</v>
      </c>
      <c r="HS254" s="177" t="str">
        <f t="shared" si="425"/>
        <v/>
      </c>
      <c r="HT254" s="177">
        <f>IF($J254="",#N/A,SUM($HS$4:HS254))</f>
        <v>13.445720876931169</v>
      </c>
      <c r="HU254" s="64">
        <f t="shared" si="426"/>
        <v>1.9372273230448649</v>
      </c>
      <c r="HV254" s="64">
        <f>IF($J254="",#N/A,SUM(HU$4:$HU254))</f>
        <v>6.2233509734347523</v>
      </c>
    </row>
    <row r="255" spans="1:230" x14ac:dyDescent="0.25">
      <c r="A255" s="59" t="s">
        <v>928</v>
      </c>
      <c r="B255" s="289" t="s">
        <v>4565</v>
      </c>
      <c r="C255" s="230">
        <f t="shared" si="327"/>
        <v>3</v>
      </c>
      <c r="D255" s="220" t="str">
        <f>_xlfn.XLOOKUP(A255,[1]SP500!$A$2:$A$502,[1]SP500!$D$2:$D$502,"N")</f>
        <v>Y</v>
      </c>
      <c r="E255" s="59" t="str">
        <f>IFERROR(_xlfn.XLOOKUP(A255,[1]SP500!$A$2:$A$655,[1]SP500!$B$2:$B$655),"")</f>
        <v>XLP</v>
      </c>
      <c r="F255" s="290">
        <v>45782</v>
      </c>
      <c r="G255" s="59" t="str">
        <f t="shared" si="328"/>
        <v>BMO</v>
      </c>
      <c r="H255" s="59" t="str">
        <f t="shared" si="329"/>
        <v>s</v>
      </c>
      <c r="I255" s="376">
        <v>60.79</v>
      </c>
      <c r="J255" s="278">
        <v>57.6</v>
      </c>
      <c r="K255" s="60">
        <f t="shared" si="330"/>
        <v>-5.24757361408126E-2</v>
      </c>
      <c r="L255" s="68">
        <f t="shared" si="331"/>
        <v>-63.799999999999955</v>
      </c>
      <c r="M255" s="62">
        <f t="shared" si="332"/>
        <v>-9.2000000000000455</v>
      </c>
      <c r="N255" s="63">
        <f t="shared" si="333"/>
        <v>-63.799999999999955</v>
      </c>
      <c r="O255" s="62">
        <f>IF(N255="",#N/A,SUM($N$4:N255))</f>
        <v>689.37092465120907</v>
      </c>
      <c r="P255" s="64">
        <f t="shared" si="427"/>
        <v>-0.87459560234687672</v>
      </c>
      <c r="Q255" s="183">
        <f>IF($N255="",#N/A,SUM($P$4:P255))</f>
        <v>14.931403101849719</v>
      </c>
      <c r="R255" s="279">
        <f t="shared" si="334"/>
        <v>3.9809154356568701</v>
      </c>
      <c r="S255" s="59" t="str">
        <f t="shared" si="335"/>
        <v>SW</v>
      </c>
      <c r="T255" s="59" t="s">
        <v>2828</v>
      </c>
      <c r="U255" s="61">
        <f t="shared" si="336"/>
        <v>60.79</v>
      </c>
      <c r="V255" s="61" t="s">
        <v>4460</v>
      </c>
      <c r="W255" s="142">
        <v>20</v>
      </c>
      <c r="X255" s="146">
        <f t="shared" si="337"/>
        <v>1215.8</v>
      </c>
      <c r="Y255" s="142">
        <f t="shared" si="338"/>
        <v>20</v>
      </c>
      <c r="Z255" s="278">
        <v>57.14</v>
      </c>
      <c r="AA255" s="63">
        <f t="shared" si="339"/>
        <v>-73</v>
      </c>
      <c r="AB255" s="63">
        <f t="shared" si="340"/>
        <v>-94.200000000000045</v>
      </c>
      <c r="AC255" s="125">
        <v>56.08</v>
      </c>
      <c r="AD255" s="148">
        <f t="shared" si="341"/>
        <v>-94.200000000000045</v>
      </c>
      <c r="AE255" s="544">
        <f t="shared" si="342"/>
        <v>-1.2913308109886501</v>
      </c>
      <c r="AF255" s="62">
        <f>IF($AC255="",#N/A,SUM(AD$4:AD255))</f>
        <v>205.44087220737958</v>
      </c>
      <c r="AG255" s="63">
        <f t="shared" si="343"/>
        <v>-30.400000000000091</v>
      </c>
      <c r="AH255" s="61" t="s">
        <v>2507</v>
      </c>
      <c r="AI255" s="64">
        <f t="shared" si="344"/>
        <v>-1.0007128365410978</v>
      </c>
      <c r="AJ255" s="177">
        <f>IF(AI255="",#N/A,SUM($AI$4:AI255))</f>
        <v>10.950487666192849</v>
      </c>
      <c r="AK255" s="62">
        <f t="shared" si="345"/>
        <v>-73</v>
      </c>
      <c r="AL255" s="351">
        <f>IF(AI255="",#N/A,IF(AH255="Skip",SUM($AK$4:AK255),SUM($AK$4:AK255)))</f>
        <v>409.23759149281432</v>
      </c>
      <c r="AM255" s="65">
        <f t="shared" si="428"/>
        <v>-1.2913308109886501</v>
      </c>
      <c r="AN255" s="209"/>
      <c r="AO255" s="64">
        <f t="shared" si="346"/>
        <v>-1.2913308109886501</v>
      </c>
      <c r="AP255" s="64">
        <f>IF($AC255="",#N/A,SUM(AO$4:AO255))</f>
        <v>2.0043139221672783</v>
      </c>
      <c r="AQ255" s="64" t="str">
        <f t="shared" si="347"/>
        <v/>
      </c>
      <c r="AR255" s="64">
        <f>IF($AC255="",#N/A,SUM(AQ$4:AQ255))</f>
        <v>-2.1356705084748859</v>
      </c>
      <c r="AS255" s="64" t="str">
        <f t="shared" si="348"/>
        <v/>
      </c>
      <c r="AT255" s="64">
        <f>IF($AC255="",#N/A,SUM(AS$4:AS255))</f>
        <v>5.0633767487537069</v>
      </c>
      <c r="AU255" s="62">
        <f t="shared" si="429"/>
        <v>-94.200000000000045</v>
      </c>
      <c r="AV255" s="62">
        <f>IF($AC255="",#N/A,SUM(AU$4:AU255))</f>
        <v>-6.3775093389530184</v>
      </c>
      <c r="AW255" s="62" t="str">
        <f t="shared" si="430"/>
        <v/>
      </c>
      <c r="AX255" s="62">
        <f>IF($AC255="",#N/A,SUM(AW$4:AW255))</f>
        <v>-132.30000000000018</v>
      </c>
      <c r="AY255" s="62" t="str">
        <f t="shared" si="431"/>
        <v/>
      </c>
      <c r="AZ255" s="62">
        <f>IF($AC255="",#N/A,SUM(AY$4:AY255))</f>
        <v>344.11838154633278</v>
      </c>
      <c r="BA255" s="62">
        <f>IF(AD255="",#N/A,SUM($AD$4:AD255))</f>
        <v>205.44087220737958</v>
      </c>
      <c r="BC255" s="59" t="str">
        <f t="shared" si="349"/>
        <v/>
      </c>
      <c r="BD255" s="59" t="str">
        <f t="shared" si="350"/>
        <v/>
      </c>
      <c r="BE255" s="59" t="str">
        <f t="shared" si="351"/>
        <v/>
      </c>
      <c r="BF255" s="59" t="str">
        <f t="shared" si="352"/>
        <v>Long</v>
      </c>
      <c r="BG255" s="59" t="str">
        <f t="shared" si="353"/>
        <v/>
      </c>
      <c r="BH255" s="59" t="str">
        <f t="shared" si="354"/>
        <v/>
      </c>
      <c r="BI255" s="59">
        <f t="shared" si="355"/>
        <v>1</v>
      </c>
      <c r="BK255" s="65">
        <f t="shared" si="435"/>
        <v>9.1220520952811593E-2</v>
      </c>
      <c r="BL255" s="65">
        <f t="shared" si="434"/>
        <v>0.15012032063620728</v>
      </c>
      <c r="BM255" s="65">
        <f>IFERROR(Q255/COUNTA($J$4:J255),#N/A)</f>
        <v>5.9251599610514759E-2</v>
      </c>
      <c r="BO255" s="489">
        <f>IF(J255="",#N/A,IF(S255="SW",(COUNTIFS(K$4:$K255,"&gt;0",S$4:$S255,"SW")/COUNTIF(S$4:$S255,"SW")),#N/A))</f>
        <v>0.5</v>
      </c>
      <c r="BP255" s="489" t="e">
        <f>IF($J255="",#N/A,IF($S255="DWN",(COUNTIFS($K$4:$K255,"&lt;0",$S$4:$S255,"DWN")/COUNTIF($S$4:$S255,"DWN")),#N/A))</f>
        <v>#N/A</v>
      </c>
      <c r="BQ255" s="489" t="e">
        <f>IF($J255="",#N/A,IF($S255="UP",(COUNTIFS($K$4:$K255,"&gt;0",$S$4:$S255,"UP")/COUNTIF($S$4:$S255,"UP")),#N/A))</f>
        <v>#N/A</v>
      </c>
      <c r="BR255" s="489">
        <f>IF(J255="",#N/A,COUNTIF($K$4:K255,"&gt;0")/COUNT($J$4:J255))</f>
        <v>0.46031746031746029</v>
      </c>
      <c r="BS255" s="65" t="str">
        <f t="shared" si="356"/>
        <v/>
      </c>
      <c r="BT255" s="65">
        <f t="shared" si="357"/>
        <v>-0.87459560234687672</v>
      </c>
      <c r="BU255" s="65" t="str">
        <f t="shared" si="358"/>
        <v/>
      </c>
      <c r="BV255" s="65" t="str">
        <f t="shared" si="359"/>
        <v/>
      </c>
      <c r="BW255" s="128" t="str">
        <f t="shared" si="360"/>
        <v/>
      </c>
      <c r="BX255" s="128">
        <f>IF($J255="",#N/A,SUM($BW$4:BW255))</f>
        <v>-192.33000000000061</v>
      </c>
      <c r="BY255" s="131" t="str">
        <f t="shared" si="361"/>
        <v/>
      </c>
      <c r="BZ255" s="131">
        <f>IF($J255="",#N/A,SUM($BY$4:BY255))</f>
        <v>822.54934038933425</v>
      </c>
      <c r="CA255" s="133">
        <f t="shared" si="362"/>
        <v>-63.799999999999955</v>
      </c>
      <c r="CB255" s="133">
        <f>IF($J255="",#N/A,SUM($CA$4:CA255))</f>
        <v>59.151584261875428</v>
      </c>
      <c r="CC255" s="194" t="str">
        <f t="shared" si="363"/>
        <v/>
      </c>
      <c r="CD255" s="194">
        <f>IF($J255="",#N/A,SUM($CC$4:CC255))</f>
        <v>-2.9903544749366251</v>
      </c>
      <c r="CE255" s="195" t="str">
        <f t="shared" si="364"/>
        <v/>
      </c>
      <c r="CF255" s="195">
        <f>IF($J255="",#N/A,SUM($CE$4:CE255))</f>
        <v>14.350390028616012</v>
      </c>
      <c r="CG255" s="196">
        <f t="shared" si="365"/>
        <v>-0.87459560234687672</v>
      </c>
      <c r="CH255" s="193">
        <f>IF($J255="",#N/A,SUM($CG$4:CG255))</f>
        <v>3.5713675481703389</v>
      </c>
      <c r="CI255" s="200" t="str">
        <f t="shared" si="366"/>
        <v/>
      </c>
      <c r="CJ255" s="203">
        <f>IF($J255="",#N/A,SUM(CI$4:CI255))</f>
        <v>0</v>
      </c>
      <c r="CK255" s="204" t="str">
        <f t="shared" si="367"/>
        <v/>
      </c>
      <c r="CL255" s="204">
        <f>IF($J255="",#N/A,SUM(CK$4:CK255))</f>
        <v>1.9927003554442289</v>
      </c>
      <c r="CM255" s="205" t="str">
        <f t="shared" si="368"/>
        <v/>
      </c>
      <c r="CN255" s="205">
        <f>IF($J255="",#N/A,SUM(CM$4:CM255))</f>
        <v>2.5131182152625313</v>
      </c>
      <c r="CO255" s="205">
        <f>IF($J255="",#N/A,SUM(CM$4:CM255,CK$4:CK255,CI$4:CI255))</f>
        <v>4.5058185707067606</v>
      </c>
      <c r="CP255" s="200" t="str">
        <f t="shared" si="369"/>
        <v/>
      </c>
      <c r="CQ255" s="203">
        <f>IF($J255="",#N/A,SUM(CP$4:CP255))</f>
        <v>0</v>
      </c>
      <c r="CR255" s="204" t="str">
        <f t="shared" si="370"/>
        <v/>
      </c>
      <c r="CS255" s="204">
        <f>IF($J255="",#N/A,SUM(CR$4:CR255))</f>
        <v>4.6135245886817966</v>
      </c>
      <c r="CT255" s="205" t="str">
        <f t="shared" si="371"/>
        <v/>
      </c>
      <c r="CU255" s="205">
        <f>IF($J255="",#N/A,SUM(CT$4:CT255))</f>
        <v>-2.9040943753548785</v>
      </c>
      <c r="CV255" s="205">
        <f>IF($J255="",#N/A,SUM(CT$4:CT255,CR$4:CR255,CP$4:CP255))</f>
        <v>1.7094302133269181</v>
      </c>
      <c r="CW255" s="200" t="str">
        <f t="shared" si="372"/>
        <v/>
      </c>
      <c r="CX255" s="203">
        <f>IF($J255="",#N/A,SUM(CW$4:CW255))</f>
        <v>-0.33865165024245297</v>
      </c>
      <c r="CY255" s="204" t="str">
        <f t="shared" si="373"/>
        <v/>
      </c>
      <c r="CZ255" s="204">
        <f>IF($J255="",#N/A,SUM(CY$4:CY255))</f>
        <v>0.30198222879878239</v>
      </c>
      <c r="DA255" s="205" t="str">
        <f t="shared" si="374"/>
        <v/>
      </c>
      <c r="DB255" s="205">
        <f>IF($J255="",#N/A,SUM(DA$4:DA255))</f>
        <v>-2.1597383732727686</v>
      </c>
      <c r="DC255" s="205">
        <f>IF($J255="",#N/A,SUM(DA$4:DA255,CY$4:CY255,CW$4:CW255))</f>
        <v>-2.1964077947164395</v>
      </c>
      <c r="DD255" s="200" t="str">
        <f t="shared" si="375"/>
        <v/>
      </c>
      <c r="DE255" s="203">
        <f>IF($J255="",#N/A,SUM(DD$4:DD255))</f>
        <v>0.24769343410817113</v>
      </c>
      <c r="DF255" s="204" t="str">
        <f t="shared" si="376"/>
        <v/>
      </c>
      <c r="DG255" s="204">
        <f>IF($J255="",#N/A,SUM(DF$4:DF255))</f>
        <v>1.5249935139936004</v>
      </c>
      <c r="DH255" s="205">
        <f t="shared" si="377"/>
        <v>-0.87459560234687672</v>
      </c>
      <c r="DI255" s="205">
        <f>IF($J255="",#N/A,SUM(DH$4:DH255))</f>
        <v>-2.7812008102163399</v>
      </c>
      <c r="DJ255" s="205">
        <f>IF($J255="",#N/A,SUM(DH$4:DH255,DF$4:DF255,DD$4:DD255))</f>
        <v>-1.0085138621145684</v>
      </c>
      <c r="DK255" s="200" t="str">
        <f t="shared" si="378"/>
        <v/>
      </c>
      <c r="DL255" s="203">
        <f>IF($J255="",#N/A,SUM(DK$4:DK255))</f>
        <v>-1.2097286851272664</v>
      </c>
      <c r="DM255" s="204" t="str">
        <f t="shared" si="379"/>
        <v/>
      </c>
      <c r="DN255" s="204">
        <f>IF($J255="",#N/A,SUM(DM$4:DM255))</f>
        <v>3.0281848543081331</v>
      </c>
      <c r="DO255" s="205" t="str">
        <f t="shared" si="380"/>
        <v/>
      </c>
      <c r="DP255" s="205">
        <f>IF($J255="",#N/A,SUM(DO$4:DO255))</f>
        <v>2.700331529683047</v>
      </c>
      <c r="DQ255" s="205">
        <f>IF($J255="",#N/A,SUM(DO$4:DO255,DM$4:DM255,DK$4:DK255))</f>
        <v>4.518787698863914</v>
      </c>
      <c r="DR255" s="200" t="str">
        <f t="shared" si="381"/>
        <v/>
      </c>
      <c r="DS255" s="203">
        <f>IF($J255="",#N/A,SUM(DR$4:DR255))</f>
        <v>-0.55950946427675097</v>
      </c>
      <c r="DT255" s="204" t="str">
        <f t="shared" si="382"/>
        <v/>
      </c>
      <c r="DU255" s="204">
        <f>IF($J255="",#N/A,SUM(DT$4:DT255))</f>
        <v>-0.87082853884823752</v>
      </c>
      <c r="DV255" s="205" t="str">
        <f t="shared" si="383"/>
        <v/>
      </c>
      <c r="DW255" s="205">
        <f>IF($J255="",#N/A,SUM(DV$4:DV255))</f>
        <v>-1.2815650893103838</v>
      </c>
      <c r="DX255" s="205">
        <f>IF($J255="",#N/A,SUM(DV$4:DV255,DT$4:DT255,DR$4:DR255))</f>
        <v>-2.7119030924353726</v>
      </c>
      <c r="DY255" s="200" t="str">
        <f t="shared" si="384"/>
        <v/>
      </c>
      <c r="DZ255" s="203">
        <f>IF($J255="",#N/A,SUM(DY$4:DY255))</f>
        <v>-1.0460034109943892</v>
      </c>
      <c r="EA255" s="204" t="str">
        <f t="shared" si="385"/>
        <v/>
      </c>
      <c r="EB255" s="204">
        <f>IF($J255="",#N/A,SUM(EA$4:EA255))</f>
        <v>1.0902674422317802</v>
      </c>
      <c r="EC255" s="205" t="str">
        <f t="shared" si="386"/>
        <v/>
      </c>
      <c r="ED255" s="205">
        <f>IF($J255="",#N/A,SUM(EC$4:EC255))</f>
        <v>5.0841293998354304</v>
      </c>
      <c r="EE255" s="205">
        <f>IF($J255="",#N/A,SUM(EC$4:EC255,EA$4:EA255,DY$4:DY255))</f>
        <v>5.1283934310728201</v>
      </c>
      <c r="EF255" s="200" t="str">
        <f t="shared" si="387"/>
        <v/>
      </c>
      <c r="EG255" s="203">
        <f>IF($J255="",#N/A,SUM(EF$4:EF255))</f>
        <v>-0.15098969023521425</v>
      </c>
      <c r="EH255" s="204" t="str">
        <f t="shared" si="388"/>
        <v/>
      </c>
      <c r="EI255" s="204">
        <f>IF($J255="",#N/A,SUM(EH$4:EH255))</f>
        <v>-2.4098380802932158</v>
      </c>
      <c r="EJ255" s="205" t="str">
        <f t="shared" si="389"/>
        <v/>
      </c>
      <c r="EK255" s="205">
        <f>IF($J255="",#N/A,SUM(EJ$4:EJ255))</f>
        <v>5.050388173053765</v>
      </c>
      <c r="EL255" s="205">
        <f>IF($J255="",#N/A,SUM(EJ$4:EJ255,EH$4:EH255,EF$4:EF255))</f>
        <v>2.4895604025253348</v>
      </c>
      <c r="EM255" s="200" t="str">
        <f t="shared" si="390"/>
        <v/>
      </c>
      <c r="EN255" s="203">
        <f>IF($J255="",#N/A,SUM(EM$4:EM255))</f>
        <v>0</v>
      </c>
      <c r="EO255" s="204" t="str">
        <f t="shared" si="391"/>
        <v/>
      </c>
      <c r="EP255" s="204">
        <f>IF($J255="",#N/A,SUM(EO$4:EO255))</f>
        <v>3.2406646352184261</v>
      </c>
      <c r="EQ255" s="205" t="str">
        <f t="shared" si="392"/>
        <v/>
      </c>
      <c r="ER255" s="205">
        <f>IF($J255="",#N/A,SUM(EQ$4:EQ255))</f>
        <v>1.441536272249796</v>
      </c>
      <c r="ES255" s="205">
        <f>IF($J255="",#N/A,SUM(EQ$4:EQ255,EO$4:EO255,EM$4:EM255))</f>
        <v>4.6822009074682214</v>
      </c>
      <c r="ET255" s="200" t="str">
        <f t="shared" si="393"/>
        <v/>
      </c>
      <c r="EU255" s="203">
        <f>IF($J255="",#N/A,SUM(ET$4:ET255))</f>
        <v>0</v>
      </c>
      <c r="EV255" s="204" t="str">
        <f t="shared" si="394"/>
        <v/>
      </c>
      <c r="EW255" s="204">
        <f>IF($J255="",#N/A,SUM(EV$4:EV255))</f>
        <v>1.9901851109977766</v>
      </c>
      <c r="EX255" s="205" t="str">
        <f t="shared" si="395"/>
        <v/>
      </c>
      <c r="EY255" s="205">
        <f>IF($J255="",#N/A,SUM(EX$4:EX255))</f>
        <v>0.27113250180669229</v>
      </c>
      <c r="EZ255" s="205">
        <f>IF($J255="",#N/A,SUM(EX$4:EX255,EV$4:EV255,ET$4:ET255))</f>
        <v>2.2613176128044685</v>
      </c>
      <c r="FA255" s="200" t="str">
        <f t="shared" si="396"/>
        <v/>
      </c>
      <c r="FB255" s="203">
        <f>IF($J255="",#N/A,SUM(FA$4:FA255))</f>
        <v>0</v>
      </c>
      <c r="FC255" s="204" t="str">
        <f t="shared" si="397"/>
        <v/>
      </c>
      <c r="FD255" s="204">
        <f>IF($J255="",#N/A,SUM(FC$4:FC255))</f>
        <v>1.3660078100500956</v>
      </c>
      <c r="FE255" s="205" t="str">
        <f t="shared" si="398"/>
        <v/>
      </c>
      <c r="FF255" s="205">
        <f>IF($J255="",#N/A,SUM(FE$4:FE255))</f>
        <v>-0.28811149078748233</v>
      </c>
      <c r="FG255" s="205">
        <f>IF($J255="",#N/A,SUM(FE$4:FE255,FC$4:FC255,FA$4:FA255))</f>
        <v>1.0778963192626136</v>
      </c>
      <c r="FH255" s="200" t="str">
        <f t="shared" si="399"/>
        <v/>
      </c>
      <c r="FI255" s="203">
        <f>IF($J255="",#N/A,SUM(FH$4:FH255))</f>
        <v>0</v>
      </c>
      <c r="FJ255" s="204" t="str">
        <f t="shared" si="400"/>
        <v/>
      </c>
      <c r="FK255" s="204">
        <f>IF($J255="",#N/A,SUM(FJ$4:FJ255))</f>
        <v>0</v>
      </c>
      <c r="FL255" s="205" t="str">
        <f t="shared" si="401"/>
        <v/>
      </c>
      <c r="FM255" s="205">
        <f>IF($J255="",#N/A,SUM(FL$4:FL255))</f>
        <v>0</v>
      </c>
      <c r="FN255" s="205">
        <f>IF($J255="",#N/A,SUM(FL$4:FL255,FJ$4:FJ255,FH$4:FH255))</f>
        <v>0</v>
      </c>
      <c r="FO255" s="200" t="str">
        <f t="shared" si="402"/>
        <v/>
      </c>
      <c r="FP255" s="203">
        <f>IF($J255="",#N/A,SUM(FO$4:FO255))</f>
        <v>0</v>
      </c>
      <c r="FQ255" s="204" t="str">
        <f t="shared" si="403"/>
        <v/>
      </c>
      <c r="FR255" s="204">
        <f>IF($J255="",#N/A,SUM(FQ$4:FQ255))</f>
        <v>0</v>
      </c>
      <c r="FS255" s="205" t="str">
        <f t="shared" si="404"/>
        <v/>
      </c>
      <c r="FT255" s="205">
        <f>IF($J255="",#N/A,SUM(FS$4:FS255))</f>
        <v>0</v>
      </c>
      <c r="FU255" s="205">
        <f>IF($J255="",#N/A,SUM(FS$4:FS255,FQ$4:FQ255,FO$4:FO255))</f>
        <v>0</v>
      </c>
      <c r="FV255" s="200" t="str">
        <f t="shared" si="405"/>
        <v/>
      </c>
      <c r="FW255" s="203">
        <f>IF($J255="",#N/A,SUM(FV$4:FV255))</f>
        <v>6.6834991831277585E-2</v>
      </c>
      <c r="FX255" s="204" t="str">
        <f t="shared" si="406"/>
        <v/>
      </c>
      <c r="FY255" s="204">
        <f>IF($J255="",#N/A,SUM(FX$4:FX255))</f>
        <v>-0.16102012791805576</v>
      </c>
      <c r="FZ255" s="205" t="str">
        <f t="shared" si="407"/>
        <v/>
      </c>
      <c r="GA255" s="205">
        <f>IF($J255="",#N/A,SUM(FZ$4:FZ255))</f>
        <v>-1.1377221770567538</v>
      </c>
      <c r="GB255" s="205">
        <f>IF($J255="",#N/A,SUM(FZ$4:FZ255,FX$4:FX255,FV$4:FV255))</f>
        <v>-1.2319073131435321</v>
      </c>
      <c r="GC255" s="200" t="str">
        <f t="shared" si="408"/>
        <v/>
      </c>
      <c r="GD255" s="203">
        <f>IF($J255="",#N/A,SUM(GC$4:GC255))</f>
        <v>0</v>
      </c>
      <c r="GE255" s="204" t="str">
        <f t="shared" si="409"/>
        <v/>
      </c>
      <c r="GF255" s="204">
        <f>IF($J255="",#N/A,SUM(GE$4:GE255))</f>
        <v>0</v>
      </c>
      <c r="GG255" s="205" t="str">
        <f t="shared" si="410"/>
        <v/>
      </c>
      <c r="GH255" s="205">
        <f>IF($J255="",#N/A,SUM(GG$4:GG255))</f>
        <v>-2.9368362277223206</v>
      </c>
      <c r="GI255" s="205">
        <f>IF($J255="",#N/A,SUM(GG$4:GG255,GE$4:GE255,GC$4:GC255))</f>
        <v>-2.9368362277223206</v>
      </c>
      <c r="GJ255" s="200" t="str">
        <f t="shared" si="411"/>
        <v/>
      </c>
      <c r="GK255" s="203">
        <f>IF($J255="",#N/A,SUM(GJ$4:GJ255))</f>
        <v>0</v>
      </c>
      <c r="GL255" s="204" t="str">
        <f t="shared" si="412"/>
        <v/>
      </c>
      <c r="GM255" s="204">
        <f>IF($J255="",#N/A,SUM(GL$4:GL255))</f>
        <v>-1.6833790887309608</v>
      </c>
      <c r="GN255" s="205" t="str">
        <f t="shared" si="413"/>
        <v/>
      </c>
      <c r="GO255" s="205">
        <f>IF($J255="",#N/A,SUM(GN$4:GN255))</f>
        <v>0</v>
      </c>
      <c r="GP255" s="205">
        <f>IF($J255="",#N/A,SUM(GN$4:GN255,GL$4:GL255,GJ$4:GJ255))</f>
        <v>-1.6833790887309608</v>
      </c>
      <c r="GS255" s="177">
        <f t="shared" si="432"/>
        <v>-0.87459560234687672</v>
      </c>
      <c r="GT255" s="177">
        <f>IF(GS255="",NA(),SUM($GS$4:GS255))</f>
        <v>8.8013953518786234</v>
      </c>
      <c r="GU255" s="177" t="str">
        <f t="shared" si="414"/>
        <v/>
      </c>
      <c r="GV255" s="177" t="e">
        <f>IF(GU255="",NA(),SUM($GU$4:GU255))</f>
        <v>#N/A</v>
      </c>
      <c r="GW255" s="177">
        <f t="shared" si="415"/>
        <v>-0.87459560234687672</v>
      </c>
      <c r="GX255" s="177">
        <f>IF(GW255="",NA(),SUM($GW$4:GW255))</f>
        <v>4.9784038813820208</v>
      </c>
      <c r="GY255" s="177" t="str">
        <f t="shared" si="416"/>
        <v/>
      </c>
      <c r="GZ255" s="177" t="e">
        <f>IF(GY255="",NA(),SUM($GY$4:GY255))</f>
        <v>#N/A</v>
      </c>
      <c r="HA255" s="177" t="str">
        <f t="shared" si="417"/>
        <v/>
      </c>
      <c r="HB255" s="177" t="e">
        <f>IF(HA255="",NA(),SUM($HA$4:HA255))</f>
        <v>#N/A</v>
      </c>
      <c r="HC255" s="177" t="str">
        <f t="shared" si="418"/>
        <v/>
      </c>
      <c r="HD255" s="177" t="e">
        <f>IF(HC255="",NA(),SUM($HC$4:HC255))</f>
        <v>#N/A</v>
      </c>
      <c r="HE255" s="177" t="str">
        <f t="shared" si="419"/>
        <v/>
      </c>
      <c r="HF255" s="177" t="e">
        <f>IF(HE255="",NA(),SUM($HE$4:HE255))</f>
        <v>#N/A</v>
      </c>
      <c r="HG255" s="177" t="str">
        <f t="shared" si="420"/>
        <v/>
      </c>
      <c r="HH255" s="177" t="e">
        <f>IF(HG255="",NA(),SUM($HG$4:HG255))</f>
        <v>#N/A</v>
      </c>
      <c r="HI255" s="183" t="str">
        <f t="shared" si="433"/>
        <v/>
      </c>
      <c r="HJ255" s="183">
        <f>IF($J255="",#N/A,SUM(HI$4:$HI255))</f>
        <v>-6.7362892641078052</v>
      </c>
      <c r="HK255" s="177" t="str">
        <f t="shared" si="421"/>
        <v/>
      </c>
      <c r="HL255" s="177">
        <f>IF($J255="",#N/A,SUM($HK$4:HK255))</f>
        <v>-2.5507240157544917</v>
      </c>
      <c r="HM255" s="177" t="str">
        <f t="shared" si="422"/>
        <v/>
      </c>
      <c r="HN255" s="177">
        <f>IF($J255="",#N/A,SUM($HM$4:HM255))</f>
        <v>0.957348620978966</v>
      </c>
      <c r="HO255" s="177" t="str">
        <f t="shared" si="423"/>
        <v/>
      </c>
      <c r="HP255" s="177">
        <f>IF($J255="",#N/A,SUM($HO$4:HO255))</f>
        <v>-0.10266465451722628</v>
      </c>
      <c r="HQ255" s="177" t="str">
        <f t="shared" si="424"/>
        <v/>
      </c>
      <c r="HR255" s="177">
        <f>IF($J255="",#N/A,SUM($HQ$4:HQ255))</f>
        <v>-14.596039294292455</v>
      </c>
      <c r="HS255" s="177">
        <f t="shared" si="425"/>
        <v>-0.41673520864177338</v>
      </c>
      <c r="HT255" s="177">
        <f>IF($J255="",#N/A,SUM($HS$4:HS255))</f>
        <v>13.028985668289396</v>
      </c>
      <c r="HU255" s="64">
        <f t="shared" si="426"/>
        <v>-1.2913308109886501</v>
      </c>
      <c r="HV255" s="64">
        <f>IF($J255="",#N/A,SUM(HU$4:$HU255))</f>
        <v>4.9320201624461024</v>
      </c>
    </row>
    <row r="256" spans="1:230" x14ac:dyDescent="0.25">
      <c r="A256" s="51" t="s">
        <v>205</v>
      </c>
      <c r="B256" s="52" t="s">
        <v>4565</v>
      </c>
      <c r="C256" s="229">
        <f t="shared" si="327"/>
        <v>3</v>
      </c>
      <c r="D256" s="219" t="str">
        <f>_xlfn.XLOOKUP(A256,[1]SP500!$A$2:$A$502,[1]SP500!$D$2:$D$502,"N")</f>
        <v>Y</v>
      </c>
      <c r="E256" s="51" t="str">
        <f>IFERROR(_xlfn.XLOOKUP(A256,[1]SP500!$A$2:$A$655,[1]SP500!$B$2:$B$655),"")</f>
        <v>XLI</v>
      </c>
      <c r="F256" s="290">
        <v>45782</v>
      </c>
      <c r="G256" s="51" t="str">
        <f t="shared" si="328"/>
        <v>BMO</v>
      </c>
      <c r="H256" s="51" t="str">
        <f t="shared" si="329"/>
        <v>s</v>
      </c>
      <c r="I256" s="344">
        <v>299.85000000000002</v>
      </c>
      <c r="J256" s="123">
        <v>290.73</v>
      </c>
      <c r="K256" s="55">
        <f t="shared" si="330"/>
        <v>-3.0415207603801914E-2</v>
      </c>
      <c r="L256" s="67">
        <f t="shared" si="331"/>
        <v>-36.480000000000018</v>
      </c>
      <c r="M256" s="57">
        <f t="shared" si="332"/>
        <v>0</v>
      </c>
      <c r="N256" s="102">
        <f t="shared" si="333"/>
        <v>-36.480000000000018</v>
      </c>
      <c r="O256" s="57">
        <f>IF(N256="",#N/A,SUM($N$4:N256))</f>
        <v>652.89092465120905</v>
      </c>
      <c r="P256" s="65">
        <f t="shared" si="427"/>
        <v>-0.50692012673003195</v>
      </c>
      <c r="Q256" s="172">
        <f>IF($N256="",#N/A,SUM($P$4:P256))</f>
        <v>14.424482975119687</v>
      </c>
      <c r="R256" s="279">
        <f t="shared" si="334"/>
        <v>3.9809154356568701</v>
      </c>
      <c r="S256" s="51" t="str">
        <f t="shared" si="335"/>
        <v>SW</v>
      </c>
      <c r="T256" s="51" t="s">
        <v>2828</v>
      </c>
      <c r="U256" s="56">
        <f t="shared" si="336"/>
        <v>299.85000000000002</v>
      </c>
      <c r="V256" s="56" t="s">
        <v>4460</v>
      </c>
      <c r="W256" s="142">
        <v>4</v>
      </c>
      <c r="X256" s="145">
        <f t="shared" si="337"/>
        <v>1199.4000000000001</v>
      </c>
      <c r="Y256" s="140">
        <f t="shared" si="338"/>
        <v>4</v>
      </c>
      <c r="Z256" s="123">
        <v>290.73</v>
      </c>
      <c r="AA256" s="102">
        <f t="shared" si="339"/>
        <v>-36.480000000000018</v>
      </c>
      <c r="AB256" s="102">
        <f t="shared" si="340"/>
        <v>9.7999999999999545</v>
      </c>
      <c r="AC256" s="124">
        <v>302.3</v>
      </c>
      <c r="AD256" s="155">
        <f t="shared" si="341"/>
        <v>9.7999999999999545</v>
      </c>
      <c r="AE256" s="545">
        <f t="shared" si="342"/>
        <v>0.13617920071146622</v>
      </c>
      <c r="AF256" s="57">
        <f>IF($AC256="",#N/A,SUM(AD$4:AD256))</f>
        <v>215.24087220737954</v>
      </c>
      <c r="AG256" s="102">
        <f t="shared" si="343"/>
        <v>46.279999999999973</v>
      </c>
      <c r="AH256" s="56" t="s">
        <v>2507</v>
      </c>
      <c r="AI256" s="65">
        <f t="shared" si="344"/>
        <v>-0.50692012673003195</v>
      </c>
      <c r="AJ256" s="54">
        <f>IF(AI256="",#N/A,SUM($AI$4:AI256))</f>
        <v>10.443567539462817</v>
      </c>
      <c r="AK256" s="57">
        <f t="shared" si="345"/>
        <v>-36.480000000000018</v>
      </c>
      <c r="AL256" s="349">
        <f>IF(AI256="",#N/A,IF(AH256="Skip",SUM($AK$4:AK256),SUM($AK$4:AK256)))</f>
        <v>372.7575914928143</v>
      </c>
      <c r="AM256" s="65">
        <f t="shared" si="428"/>
        <v>0.13617920071146622</v>
      </c>
      <c r="AN256" s="209"/>
      <c r="AO256" s="65">
        <f t="shared" si="346"/>
        <v>0.13617920071146622</v>
      </c>
      <c r="AP256" s="65">
        <f>IF($AC256="",#N/A,SUM(AO$4:AO256))</f>
        <v>2.1404931228787447</v>
      </c>
      <c r="AQ256" s="65" t="str">
        <f t="shared" si="347"/>
        <v/>
      </c>
      <c r="AR256" s="65">
        <f>IF($AC256="",#N/A,SUM(AQ$4:AQ256))</f>
        <v>-2.1356705084748859</v>
      </c>
      <c r="AS256" s="65" t="str">
        <f t="shared" si="348"/>
        <v/>
      </c>
      <c r="AT256" s="65">
        <f>IF($AC256="",#N/A,SUM(AS$4:AS256))</f>
        <v>5.0633767487537069</v>
      </c>
      <c r="AU256" s="57">
        <f t="shared" si="429"/>
        <v>9.7999999999999545</v>
      </c>
      <c r="AV256" s="57">
        <f>IF($AC256="",#N/A,SUM(AU$4:AU256))</f>
        <v>3.4224906610469361</v>
      </c>
      <c r="AW256" s="57" t="str">
        <f t="shared" si="430"/>
        <v/>
      </c>
      <c r="AX256" s="57">
        <f>IF($AC256="",#N/A,SUM(AW$4:AW256))</f>
        <v>-132.30000000000018</v>
      </c>
      <c r="AY256" s="57" t="str">
        <f t="shared" si="431"/>
        <v/>
      </c>
      <c r="AZ256" s="57">
        <f>IF($AC256="",#N/A,SUM(AY$4:AY256))</f>
        <v>344.11838154633278</v>
      </c>
      <c r="BA256" s="57">
        <f>IF(AD256="",#N/A,SUM($AD$4:AD256))</f>
        <v>215.24087220737954</v>
      </c>
      <c r="BC256" s="51" t="str">
        <f t="shared" si="349"/>
        <v/>
      </c>
      <c r="BD256" s="51" t="str">
        <f t="shared" si="350"/>
        <v/>
      </c>
      <c r="BE256" s="51" t="str">
        <f t="shared" si="351"/>
        <v/>
      </c>
      <c r="BF256" s="51" t="str">
        <f t="shared" si="352"/>
        <v>Long</v>
      </c>
      <c r="BG256" s="51" t="str">
        <f t="shared" si="353"/>
        <v/>
      </c>
      <c r="BH256" s="51" t="str">
        <f t="shared" si="354"/>
        <v/>
      </c>
      <c r="BI256" s="51">
        <f t="shared" si="355"/>
        <v>1</v>
      </c>
      <c r="BK256" s="65">
        <f t="shared" si="435"/>
        <v>8.4101912222915229E-2</v>
      </c>
      <c r="BL256" s="65">
        <f t="shared" si="434"/>
        <v>0.13002177345268925</v>
      </c>
      <c r="BM256" s="65">
        <f>IFERROR(Q256/COUNTA($J$4:J256),#N/A)</f>
        <v>5.7013766700077816E-2</v>
      </c>
      <c r="BO256" s="489">
        <f>IF(J256="",#N/A,IF(S256="SW",(COUNTIFS(K$4:$K256,"&gt;0",S$4:$S256,"SW")/COUNTIF(S$4:$S256,"SW")),#N/A))</f>
        <v>0.49618320610687022</v>
      </c>
      <c r="BP256" s="489" t="e">
        <f>IF($J256="",#N/A,IF($S256="DWN",(COUNTIFS($K$4:$K256,"&lt;0",$S$4:$S256,"DWN")/COUNTIF($S$4:$S256,"DWN")),#N/A))</f>
        <v>#N/A</v>
      </c>
      <c r="BQ256" s="489" t="e">
        <f>IF($J256="",#N/A,IF($S256="UP",(COUNTIFS($K$4:$K256,"&gt;0",$S$4:$S256,"UP")/COUNTIF($S$4:$S256,"UP")),#N/A))</f>
        <v>#N/A</v>
      </c>
      <c r="BR256" s="489">
        <f>IF(J256="",#N/A,COUNTIF($K$4:K256,"&gt;0")/COUNT($J$4:J256))</f>
        <v>0.45849802371541504</v>
      </c>
      <c r="BS256" s="65" t="str">
        <f t="shared" si="356"/>
        <v/>
      </c>
      <c r="BT256" s="65">
        <f t="shared" si="357"/>
        <v>-0.50692012673003195</v>
      </c>
      <c r="BU256" s="65" t="str">
        <f t="shared" si="358"/>
        <v/>
      </c>
      <c r="BV256" s="65" t="str">
        <f t="shared" si="359"/>
        <v/>
      </c>
      <c r="BW256" s="128" t="str">
        <f t="shared" si="360"/>
        <v/>
      </c>
      <c r="BX256" s="128">
        <f>IF($J256="",#N/A,SUM($BW$4:BW256))</f>
        <v>-192.33000000000061</v>
      </c>
      <c r="BY256" s="131" t="str">
        <f t="shared" si="361"/>
        <v/>
      </c>
      <c r="BZ256" s="131">
        <f>IF($J256="",#N/A,SUM($BY$4:BY256))</f>
        <v>822.54934038933425</v>
      </c>
      <c r="CA256" s="133">
        <f t="shared" si="362"/>
        <v>-36.480000000000018</v>
      </c>
      <c r="CB256" s="133">
        <f>IF($J256="",#N/A,SUM($CA$4:CA256))</f>
        <v>22.67158426187541</v>
      </c>
      <c r="CC256" s="194" t="str">
        <f t="shared" si="363"/>
        <v/>
      </c>
      <c r="CD256" s="194">
        <f>IF($J256="",#N/A,SUM($CC$4:CC256))</f>
        <v>-2.9903544749366251</v>
      </c>
      <c r="CE256" s="195" t="str">
        <f t="shared" si="364"/>
        <v/>
      </c>
      <c r="CF256" s="195">
        <f>IF($J256="",#N/A,SUM($CE$4:CE256))</f>
        <v>14.350390028616012</v>
      </c>
      <c r="CG256" s="196">
        <f t="shared" si="365"/>
        <v>-0.50692012673003195</v>
      </c>
      <c r="CH256" s="193">
        <f>IF($J256="",#N/A,SUM($CG$4:CG256))</f>
        <v>3.064447421440307</v>
      </c>
      <c r="CI256" s="200" t="str">
        <f t="shared" si="366"/>
        <v/>
      </c>
      <c r="CJ256" s="203">
        <f>IF($J256="",#N/A,SUM(CI$4:CI256))</f>
        <v>0</v>
      </c>
      <c r="CK256" s="204" t="str">
        <f t="shared" si="367"/>
        <v/>
      </c>
      <c r="CL256" s="204">
        <f>IF($J256="",#N/A,SUM(CK$4:CK256))</f>
        <v>1.9927003554442289</v>
      </c>
      <c r="CM256" s="205" t="str">
        <f t="shared" si="368"/>
        <v/>
      </c>
      <c r="CN256" s="205">
        <f>IF($J256="",#N/A,SUM(CM$4:CM256))</f>
        <v>2.5131182152625313</v>
      </c>
      <c r="CO256" s="205">
        <f>IF($J256="",#N/A,SUM(CM$4:CM256,CK$4:CK256,CI$4:CI256))</f>
        <v>4.5058185707067606</v>
      </c>
      <c r="CP256" s="200" t="str">
        <f t="shared" si="369"/>
        <v/>
      </c>
      <c r="CQ256" s="203">
        <f>IF($J256="",#N/A,SUM(CP$4:CP256))</f>
        <v>0</v>
      </c>
      <c r="CR256" s="204" t="str">
        <f t="shared" si="370"/>
        <v/>
      </c>
      <c r="CS256" s="204">
        <f>IF($J256="",#N/A,SUM(CR$4:CR256))</f>
        <v>4.6135245886817966</v>
      </c>
      <c r="CT256" s="205" t="str">
        <f t="shared" si="371"/>
        <v/>
      </c>
      <c r="CU256" s="205">
        <f>IF($J256="",#N/A,SUM(CT$4:CT256))</f>
        <v>-2.9040943753548785</v>
      </c>
      <c r="CV256" s="205">
        <f>IF($J256="",#N/A,SUM(CT$4:CT256,CR$4:CR256,CP$4:CP256))</f>
        <v>1.7094302133269181</v>
      </c>
      <c r="CW256" s="200" t="str">
        <f t="shared" si="372"/>
        <v/>
      </c>
      <c r="CX256" s="203">
        <f>IF($J256="",#N/A,SUM(CW$4:CW256))</f>
        <v>-0.33865165024245297</v>
      </c>
      <c r="CY256" s="204" t="str">
        <f t="shared" si="373"/>
        <v/>
      </c>
      <c r="CZ256" s="204">
        <f>IF($J256="",#N/A,SUM(CY$4:CY256))</f>
        <v>0.30198222879878239</v>
      </c>
      <c r="DA256" s="205" t="str">
        <f t="shared" si="374"/>
        <v/>
      </c>
      <c r="DB256" s="205">
        <f>IF($J256="",#N/A,SUM(DA$4:DA256))</f>
        <v>-2.1597383732727686</v>
      </c>
      <c r="DC256" s="205">
        <f>IF($J256="",#N/A,SUM(DA$4:DA256,CY$4:CY256,CW$4:CW256))</f>
        <v>-2.1964077947164395</v>
      </c>
      <c r="DD256" s="200" t="str">
        <f t="shared" si="375"/>
        <v/>
      </c>
      <c r="DE256" s="203">
        <f>IF($J256="",#N/A,SUM(DD$4:DD256))</f>
        <v>0.24769343410817113</v>
      </c>
      <c r="DF256" s="204" t="str">
        <f t="shared" si="376"/>
        <v/>
      </c>
      <c r="DG256" s="204">
        <f>IF($J256="",#N/A,SUM(DF$4:DF256))</f>
        <v>1.5249935139936004</v>
      </c>
      <c r="DH256" s="205" t="str">
        <f t="shared" si="377"/>
        <v/>
      </c>
      <c r="DI256" s="205">
        <f>IF($J256="",#N/A,SUM(DH$4:DH256))</f>
        <v>-2.7812008102163399</v>
      </c>
      <c r="DJ256" s="205">
        <f>IF($J256="",#N/A,SUM(DH$4:DH256,DF$4:DF256,DD$4:DD256))</f>
        <v>-1.0085138621145684</v>
      </c>
      <c r="DK256" s="200" t="str">
        <f t="shared" si="378"/>
        <v/>
      </c>
      <c r="DL256" s="203">
        <f>IF($J256="",#N/A,SUM(DK$4:DK256))</f>
        <v>-1.2097286851272664</v>
      </c>
      <c r="DM256" s="204" t="str">
        <f t="shared" si="379"/>
        <v/>
      </c>
      <c r="DN256" s="204">
        <f>IF($J256="",#N/A,SUM(DM$4:DM256))</f>
        <v>3.0281848543081331</v>
      </c>
      <c r="DO256" s="205" t="str">
        <f t="shared" si="380"/>
        <v/>
      </c>
      <c r="DP256" s="205">
        <f>IF($J256="",#N/A,SUM(DO$4:DO256))</f>
        <v>2.700331529683047</v>
      </c>
      <c r="DQ256" s="205">
        <f>IF($J256="",#N/A,SUM(DO$4:DO256,DM$4:DM256,DK$4:DK256))</f>
        <v>4.518787698863914</v>
      </c>
      <c r="DR256" s="200" t="str">
        <f t="shared" si="381"/>
        <v/>
      </c>
      <c r="DS256" s="203">
        <f>IF($J256="",#N/A,SUM(DR$4:DR256))</f>
        <v>-0.55950946427675097</v>
      </c>
      <c r="DT256" s="204" t="str">
        <f t="shared" si="382"/>
        <v/>
      </c>
      <c r="DU256" s="204">
        <f>IF($J256="",#N/A,SUM(DT$4:DT256))</f>
        <v>-0.87082853884823752</v>
      </c>
      <c r="DV256" s="205" t="str">
        <f t="shared" si="383"/>
        <v/>
      </c>
      <c r="DW256" s="205">
        <f>IF($J256="",#N/A,SUM(DV$4:DV256))</f>
        <v>-1.2815650893103838</v>
      </c>
      <c r="DX256" s="205">
        <f>IF($J256="",#N/A,SUM(DV$4:DV256,DT$4:DT256,DR$4:DR256))</f>
        <v>-2.7119030924353726</v>
      </c>
      <c r="DY256" s="200" t="str">
        <f t="shared" si="384"/>
        <v/>
      </c>
      <c r="DZ256" s="203">
        <f>IF($J256="",#N/A,SUM(DY$4:DY256))</f>
        <v>-1.0460034109943892</v>
      </c>
      <c r="EA256" s="204" t="str">
        <f t="shared" si="385"/>
        <v/>
      </c>
      <c r="EB256" s="204">
        <f>IF($J256="",#N/A,SUM(EA$4:EA256))</f>
        <v>1.0902674422317802</v>
      </c>
      <c r="EC256" s="205">
        <f t="shared" si="386"/>
        <v>-0.50692012673003195</v>
      </c>
      <c r="ED256" s="205">
        <f>IF($J256="",#N/A,SUM(EC$4:EC256))</f>
        <v>4.5772092731053986</v>
      </c>
      <c r="EE256" s="205">
        <f>IF($J256="",#N/A,SUM(EC$4:EC256,EA$4:EA256,DY$4:DY256))</f>
        <v>4.6214733043427882</v>
      </c>
      <c r="EF256" s="200" t="str">
        <f t="shared" si="387"/>
        <v/>
      </c>
      <c r="EG256" s="203">
        <f>IF($J256="",#N/A,SUM(EF$4:EF256))</f>
        <v>-0.15098969023521425</v>
      </c>
      <c r="EH256" s="204" t="str">
        <f t="shared" si="388"/>
        <v/>
      </c>
      <c r="EI256" s="204">
        <f>IF($J256="",#N/A,SUM(EH$4:EH256))</f>
        <v>-2.4098380802932158</v>
      </c>
      <c r="EJ256" s="205" t="str">
        <f t="shared" si="389"/>
        <v/>
      </c>
      <c r="EK256" s="205">
        <f>IF($J256="",#N/A,SUM(EJ$4:EJ256))</f>
        <v>5.050388173053765</v>
      </c>
      <c r="EL256" s="205">
        <f>IF($J256="",#N/A,SUM(EJ$4:EJ256,EH$4:EH256,EF$4:EF256))</f>
        <v>2.4895604025253348</v>
      </c>
      <c r="EM256" s="200" t="str">
        <f t="shared" si="390"/>
        <v/>
      </c>
      <c r="EN256" s="203">
        <f>IF($J256="",#N/A,SUM(EM$4:EM256))</f>
        <v>0</v>
      </c>
      <c r="EO256" s="204" t="str">
        <f t="shared" si="391"/>
        <v/>
      </c>
      <c r="EP256" s="204">
        <f>IF($J256="",#N/A,SUM(EO$4:EO256))</f>
        <v>3.2406646352184261</v>
      </c>
      <c r="EQ256" s="205" t="str">
        <f t="shared" si="392"/>
        <v/>
      </c>
      <c r="ER256" s="205">
        <f>IF($J256="",#N/A,SUM(EQ$4:EQ256))</f>
        <v>1.441536272249796</v>
      </c>
      <c r="ES256" s="205">
        <f>IF($J256="",#N/A,SUM(EQ$4:EQ256,EO$4:EO256,EM$4:EM256))</f>
        <v>4.6822009074682214</v>
      </c>
      <c r="ET256" s="200" t="str">
        <f t="shared" si="393"/>
        <v/>
      </c>
      <c r="EU256" s="203">
        <f>IF($J256="",#N/A,SUM(ET$4:ET256))</f>
        <v>0</v>
      </c>
      <c r="EV256" s="204" t="str">
        <f t="shared" si="394"/>
        <v/>
      </c>
      <c r="EW256" s="204">
        <f>IF($J256="",#N/A,SUM(EV$4:EV256))</f>
        <v>1.9901851109977766</v>
      </c>
      <c r="EX256" s="205" t="str">
        <f t="shared" si="395"/>
        <v/>
      </c>
      <c r="EY256" s="205">
        <f>IF($J256="",#N/A,SUM(EX$4:EX256))</f>
        <v>0.27113250180669229</v>
      </c>
      <c r="EZ256" s="205">
        <f>IF($J256="",#N/A,SUM(EX$4:EX256,EV$4:EV256,ET$4:ET256))</f>
        <v>2.2613176128044685</v>
      </c>
      <c r="FA256" s="200" t="str">
        <f t="shared" si="396"/>
        <v/>
      </c>
      <c r="FB256" s="203">
        <f>IF($J256="",#N/A,SUM(FA$4:FA256))</f>
        <v>0</v>
      </c>
      <c r="FC256" s="204" t="str">
        <f t="shared" si="397"/>
        <v/>
      </c>
      <c r="FD256" s="204">
        <f>IF($J256="",#N/A,SUM(FC$4:FC256))</f>
        <v>1.3660078100500956</v>
      </c>
      <c r="FE256" s="205" t="str">
        <f t="shared" si="398"/>
        <v/>
      </c>
      <c r="FF256" s="205">
        <f>IF($J256="",#N/A,SUM(FE$4:FE256))</f>
        <v>-0.28811149078748233</v>
      </c>
      <c r="FG256" s="205">
        <f>IF($J256="",#N/A,SUM(FE$4:FE256,FC$4:FC256,FA$4:FA256))</f>
        <v>1.0778963192626136</v>
      </c>
      <c r="FH256" s="200" t="str">
        <f t="shared" si="399"/>
        <v/>
      </c>
      <c r="FI256" s="203">
        <f>IF($J256="",#N/A,SUM(FH$4:FH256))</f>
        <v>0</v>
      </c>
      <c r="FJ256" s="204" t="str">
        <f t="shared" si="400"/>
        <v/>
      </c>
      <c r="FK256" s="204">
        <f>IF($J256="",#N/A,SUM(FJ$4:FJ256))</f>
        <v>0</v>
      </c>
      <c r="FL256" s="205" t="str">
        <f t="shared" si="401"/>
        <v/>
      </c>
      <c r="FM256" s="205">
        <f>IF($J256="",#N/A,SUM(FL$4:FL256))</f>
        <v>0</v>
      </c>
      <c r="FN256" s="205">
        <f>IF($J256="",#N/A,SUM(FL$4:FL256,FJ$4:FJ256,FH$4:FH256))</f>
        <v>0</v>
      </c>
      <c r="FO256" s="200" t="str">
        <f t="shared" si="402"/>
        <v/>
      </c>
      <c r="FP256" s="203">
        <f>IF($J256="",#N/A,SUM(FO$4:FO256))</f>
        <v>0</v>
      </c>
      <c r="FQ256" s="204" t="str">
        <f t="shared" si="403"/>
        <v/>
      </c>
      <c r="FR256" s="204">
        <f>IF($J256="",#N/A,SUM(FQ$4:FQ256))</f>
        <v>0</v>
      </c>
      <c r="FS256" s="205" t="str">
        <f t="shared" si="404"/>
        <v/>
      </c>
      <c r="FT256" s="205">
        <f>IF($J256="",#N/A,SUM(FS$4:FS256))</f>
        <v>0</v>
      </c>
      <c r="FU256" s="205">
        <f>IF($J256="",#N/A,SUM(FS$4:FS256,FQ$4:FQ256,FO$4:FO256))</f>
        <v>0</v>
      </c>
      <c r="FV256" s="200" t="str">
        <f t="shared" si="405"/>
        <v/>
      </c>
      <c r="FW256" s="203">
        <f>IF($J256="",#N/A,SUM(FV$4:FV256))</f>
        <v>6.6834991831277585E-2</v>
      </c>
      <c r="FX256" s="204" t="str">
        <f t="shared" si="406"/>
        <v/>
      </c>
      <c r="FY256" s="204">
        <f>IF($J256="",#N/A,SUM(FX$4:FX256))</f>
        <v>-0.16102012791805576</v>
      </c>
      <c r="FZ256" s="205" t="str">
        <f t="shared" si="407"/>
        <v/>
      </c>
      <c r="GA256" s="205">
        <f>IF($J256="",#N/A,SUM(FZ$4:FZ256))</f>
        <v>-1.1377221770567538</v>
      </c>
      <c r="GB256" s="205">
        <f>IF($J256="",#N/A,SUM(FZ$4:FZ256,FX$4:FX256,FV$4:FV256))</f>
        <v>-1.2319073131435321</v>
      </c>
      <c r="GC256" s="200" t="str">
        <f t="shared" si="408"/>
        <v/>
      </c>
      <c r="GD256" s="203">
        <f>IF($J256="",#N/A,SUM(GC$4:GC256))</f>
        <v>0</v>
      </c>
      <c r="GE256" s="204" t="str">
        <f t="shared" si="409"/>
        <v/>
      </c>
      <c r="GF256" s="204">
        <f>IF($J256="",#N/A,SUM(GE$4:GE256))</f>
        <v>0</v>
      </c>
      <c r="GG256" s="205" t="str">
        <f t="shared" si="410"/>
        <v/>
      </c>
      <c r="GH256" s="205">
        <f>IF($J256="",#N/A,SUM(GG$4:GG256))</f>
        <v>-2.9368362277223206</v>
      </c>
      <c r="GI256" s="205">
        <f>IF($J256="",#N/A,SUM(GG$4:GG256,GE$4:GE256,GC$4:GC256))</f>
        <v>-2.9368362277223206</v>
      </c>
      <c r="GJ256" s="200" t="str">
        <f t="shared" si="411"/>
        <v/>
      </c>
      <c r="GK256" s="203">
        <f>IF($J256="",#N/A,SUM(GJ$4:GJ256))</f>
        <v>0</v>
      </c>
      <c r="GL256" s="204" t="str">
        <f t="shared" si="412"/>
        <v/>
      </c>
      <c r="GM256" s="204">
        <f>IF($J256="",#N/A,SUM(GL$4:GL256))</f>
        <v>-1.6833790887309608</v>
      </c>
      <c r="GN256" s="205" t="str">
        <f t="shared" si="413"/>
        <v/>
      </c>
      <c r="GO256" s="205">
        <f>IF($J256="",#N/A,SUM(GN$4:GN256))</f>
        <v>0</v>
      </c>
      <c r="GP256" s="205">
        <f>IF($J256="",#N/A,SUM(GN$4:GN256,GL$4:GL256,GJ$4:GJ256))</f>
        <v>-1.6833790887309608</v>
      </c>
      <c r="GS256" s="54">
        <f t="shared" si="432"/>
        <v>-0.50692012673003195</v>
      </c>
      <c r="GT256" s="54">
        <f>IF(GS256="",NA(),SUM($GS$4:GS256))</f>
        <v>8.2944752251485916</v>
      </c>
      <c r="GU256" s="54" t="str">
        <f t="shared" si="414"/>
        <v/>
      </c>
      <c r="GV256" s="54" t="e">
        <f>IF(GU256="",NA(),SUM($GU$4:GU256))</f>
        <v>#N/A</v>
      </c>
      <c r="GW256" s="54">
        <f t="shared" si="415"/>
        <v>-0.50692012673003195</v>
      </c>
      <c r="GX256" s="54">
        <f>IF(GW256="",NA(),SUM($GW$4:GW256))</f>
        <v>4.471483754651989</v>
      </c>
      <c r="GY256" s="54" t="str">
        <f t="shared" si="416"/>
        <v/>
      </c>
      <c r="GZ256" s="54" t="e">
        <f>IF(GY256="",NA(),SUM($GY$4:GY256))</f>
        <v>#N/A</v>
      </c>
      <c r="HA256" s="54" t="str">
        <f t="shared" si="417"/>
        <v/>
      </c>
      <c r="HB256" s="54" t="e">
        <f>IF(HA256="",NA(),SUM($HA$4:HA256))</f>
        <v>#N/A</v>
      </c>
      <c r="HC256" s="54" t="str">
        <f t="shared" si="418"/>
        <v/>
      </c>
      <c r="HD256" s="54" t="e">
        <f>IF(HC256="",NA(),SUM($HC$4:HC256))</f>
        <v>#N/A</v>
      </c>
      <c r="HE256" s="54" t="str">
        <f t="shared" si="419"/>
        <v/>
      </c>
      <c r="HF256" s="54" t="e">
        <f>IF(HE256="",NA(),SUM($HE$4:HE256))</f>
        <v>#N/A</v>
      </c>
      <c r="HG256" s="54" t="str">
        <f t="shared" si="420"/>
        <v/>
      </c>
      <c r="HH256" s="54" t="e">
        <f>IF(HG256="",NA(),SUM($HG$4:HG256))</f>
        <v>#N/A</v>
      </c>
      <c r="HI256" s="172" t="str">
        <f t="shared" si="433"/>
        <v/>
      </c>
      <c r="HJ256" s="172">
        <f>IF($J256="",#N/A,SUM(HI$4:$HI256))</f>
        <v>-6.7362892641078052</v>
      </c>
      <c r="HK256" s="54" t="str">
        <f t="shared" si="421"/>
        <v/>
      </c>
      <c r="HL256" s="54">
        <f>IF($J256="",#N/A,SUM($HK$4:HK256))</f>
        <v>-2.5507240157544917</v>
      </c>
      <c r="HM256" s="54" t="str">
        <f t="shared" si="422"/>
        <v/>
      </c>
      <c r="HN256" s="54">
        <f>IF($J256="",#N/A,SUM($HM$4:HM256))</f>
        <v>0.957348620978966</v>
      </c>
      <c r="HO256" s="54" t="str">
        <f t="shared" si="423"/>
        <v/>
      </c>
      <c r="HP256" s="54">
        <f>IF($J256="",#N/A,SUM($HO$4:HO256))</f>
        <v>-0.10266465451722628</v>
      </c>
      <c r="HQ256" s="54" t="str">
        <f t="shared" si="424"/>
        <v/>
      </c>
      <c r="HR256" s="54">
        <f>IF($J256="",#N/A,SUM($HQ$4:HQ256))</f>
        <v>-14.596039294292455</v>
      </c>
      <c r="HS256" s="54">
        <f t="shared" si="425"/>
        <v>0.64309932744149823</v>
      </c>
      <c r="HT256" s="54">
        <f>IF($J256="",#N/A,SUM($HS$4:HS256))</f>
        <v>13.672084995730895</v>
      </c>
      <c r="HU256" s="65">
        <f t="shared" si="426"/>
        <v>0.13617920071146622</v>
      </c>
      <c r="HV256" s="65">
        <f>IF($J256="",#N/A,SUM(HU$4:$HU256))</f>
        <v>5.0681993631575688</v>
      </c>
    </row>
    <row r="257" spans="1:230" x14ac:dyDescent="0.25">
      <c r="A257" s="51" t="s">
        <v>1473</v>
      </c>
      <c r="B257" s="52" t="s">
        <v>4565</v>
      </c>
      <c r="C257" s="229">
        <f t="shared" si="327"/>
        <v>2</v>
      </c>
      <c r="D257" s="219" t="str">
        <f>_xlfn.XLOOKUP(A257,[1]SP500!$A$2:$A$502,[1]SP500!$D$2:$D$502,"N")</f>
        <v>Y</v>
      </c>
      <c r="E257" s="51" t="str">
        <f>IFERROR(_xlfn.XLOOKUP(A257,[1]SP500!$A$2:$A$655,[1]SP500!$B$2:$B$655),"")</f>
        <v>SMH</v>
      </c>
      <c r="F257" s="290">
        <v>45782</v>
      </c>
      <c r="G257" s="51" t="str">
        <f t="shared" si="328"/>
        <v>BMO</v>
      </c>
      <c r="H257" s="51" t="str">
        <f t="shared" si="329"/>
        <v>s</v>
      </c>
      <c r="I257" s="344">
        <v>41.91</v>
      </c>
      <c r="J257" s="124">
        <v>40.151000000000003</v>
      </c>
      <c r="K257" s="55">
        <f t="shared" si="330"/>
        <v>-4.1970890002385908E-2</v>
      </c>
      <c r="L257" s="67">
        <f t="shared" si="331"/>
        <v>47.492999999999938</v>
      </c>
      <c r="M257" s="57">
        <f t="shared" si="332"/>
        <v>-11.853000000000065</v>
      </c>
      <c r="N257" s="102">
        <f t="shared" si="333"/>
        <v>47.492999999999938</v>
      </c>
      <c r="O257" s="57">
        <f>IF(N257="",#N/A,SUM($N$4:N257))</f>
        <v>700.38392465120899</v>
      </c>
      <c r="P257" s="65">
        <f t="shared" si="427"/>
        <v>0.69951483337310016</v>
      </c>
      <c r="Q257" s="172">
        <f>IF($N257="",#N/A,SUM($P$4:P257))</f>
        <v>15.123997808492788</v>
      </c>
      <c r="R257" s="279">
        <f t="shared" si="334"/>
        <v>4.1554958858278734</v>
      </c>
      <c r="S257" s="51" t="str">
        <f t="shared" si="335"/>
        <v>Dwn</v>
      </c>
      <c r="T257" s="51" t="s">
        <v>4462</v>
      </c>
      <c r="U257" s="56">
        <f t="shared" si="336"/>
        <v>41.91</v>
      </c>
      <c r="V257" s="56" t="s">
        <v>4458</v>
      </c>
      <c r="W257" s="142">
        <v>27</v>
      </c>
      <c r="X257" s="145">
        <f t="shared" si="337"/>
        <v>1131.57</v>
      </c>
      <c r="Y257" s="140">
        <f t="shared" si="338"/>
        <v>27</v>
      </c>
      <c r="Z257" s="123">
        <v>40.590000000000003</v>
      </c>
      <c r="AA257" s="102">
        <f t="shared" si="339"/>
        <v>35.639999999999873</v>
      </c>
      <c r="AB257" s="102">
        <f t="shared" si="340"/>
        <v>94.5</v>
      </c>
      <c r="AC257" s="124">
        <v>38.409999999999997</v>
      </c>
      <c r="AD257" s="155">
        <f t="shared" si="341"/>
        <v>94.5</v>
      </c>
      <c r="AE257" s="545">
        <f t="shared" si="342"/>
        <v>1.3918714706116282</v>
      </c>
      <c r="AF257" s="57">
        <f>IF($AC257="",#N/A,SUM(AD$4:AD257))</f>
        <v>309.74087220737954</v>
      </c>
      <c r="AG257" s="102">
        <f t="shared" si="343"/>
        <v>47.007000000000062</v>
      </c>
      <c r="AH257" s="56" t="s">
        <v>2507</v>
      </c>
      <c r="AI257" s="65">
        <f t="shared" si="344"/>
        <v>0.52493438320209784</v>
      </c>
      <c r="AJ257" s="350">
        <f>IF(AI257="",#N/A,SUM($AI$4:AI257))</f>
        <v>10.968501922664915</v>
      </c>
      <c r="AK257" s="57">
        <f t="shared" si="345"/>
        <v>35.639999999999873</v>
      </c>
      <c r="AL257" s="349">
        <f>IF(AI257="",#N/A,IF(AH257="Skip",SUM($AK$4:AK257),SUM($AK$4:AK257)))</f>
        <v>408.39759149281417</v>
      </c>
      <c r="AM257" s="65">
        <f t="shared" si="428"/>
        <v>1.3918714706116282</v>
      </c>
      <c r="AN257" s="210"/>
      <c r="AO257" s="65" t="str">
        <f t="shared" si="346"/>
        <v/>
      </c>
      <c r="AP257" s="65">
        <f>IF($AC257="",#N/A,SUM(AO$4:AO257))</f>
        <v>2.1404931228787447</v>
      </c>
      <c r="AQ257" s="65" t="str">
        <f t="shared" si="347"/>
        <v/>
      </c>
      <c r="AR257" s="65">
        <f>IF($AC257="",#N/A,SUM(AQ$4:AQ257))</f>
        <v>-2.1356705084748859</v>
      </c>
      <c r="AS257" s="65">
        <f t="shared" si="348"/>
        <v>1.3918714706116282</v>
      </c>
      <c r="AT257" s="65">
        <f>IF($AC257="",#N/A,SUM(AS$4:AS257))</f>
        <v>6.4552482193653349</v>
      </c>
      <c r="AU257" s="57" t="str">
        <f t="shared" si="429"/>
        <v/>
      </c>
      <c r="AV257" s="57">
        <f>IF($AC257="",#N/A,SUM(AU$4:AU257))</f>
        <v>3.4224906610469361</v>
      </c>
      <c r="AW257" s="57" t="str">
        <f t="shared" si="430"/>
        <v/>
      </c>
      <c r="AX257" s="57">
        <f>IF($AC257="",#N/A,SUM(AW$4:AW257))</f>
        <v>-132.30000000000018</v>
      </c>
      <c r="AY257" s="57">
        <f t="shared" si="431"/>
        <v>94.5</v>
      </c>
      <c r="AZ257" s="57">
        <f>IF($AC257="",#N/A,SUM(AY$4:AY257))</f>
        <v>438.61838154633278</v>
      </c>
      <c r="BA257" s="57">
        <f>IF(AD257="",#N/A,SUM($AD$4:AD257))</f>
        <v>309.74087220737954</v>
      </c>
      <c r="BC257" s="51" t="str">
        <f t="shared" si="349"/>
        <v/>
      </c>
      <c r="BD257" s="51" t="str">
        <f t="shared" si="350"/>
        <v/>
      </c>
      <c r="BE257" s="51" t="str">
        <f t="shared" si="351"/>
        <v/>
      </c>
      <c r="BF257" s="51" t="str">
        <f t="shared" si="352"/>
        <v>Short</v>
      </c>
      <c r="BG257" s="51">
        <f t="shared" si="353"/>
        <v>1</v>
      </c>
      <c r="BH257" s="51" t="str">
        <f t="shared" si="354"/>
        <v/>
      </c>
      <c r="BI257" s="51" t="str">
        <f t="shared" si="355"/>
        <v/>
      </c>
      <c r="BK257" s="65">
        <f t="shared" si="435"/>
        <v>9.1124917087439958E-2</v>
      </c>
      <c r="BL257" s="65">
        <f t="shared" si="434"/>
        <v>0.15973418272031992</v>
      </c>
      <c r="BM257" s="65">
        <f>IFERROR(Q257/COUNTA($J$4:J257),#N/A)</f>
        <v>5.9543298458633022E-2</v>
      </c>
      <c r="BO257" s="489" t="e">
        <f>IF(J257="",#N/A,IF(S257="SW",(COUNTIFS(K$4:$K257,"&gt;0",S$4:$S257,"SW")/COUNTIF(S$4:$S257,"SW")),#N/A))</f>
        <v>#N/A</v>
      </c>
      <c r="BP257" s="489">
        <f>IF($J257="",#N/A,IF($S257="DWN",(COUNTIFS($K$4:$K257,"&lt;0",$S$4:$S257,"DWN")/COUNTIF($S$4:$S257,"DWN")),#N/A))</f>
        <v>0.58181818181818179</v>
      </c>
      <c r="BQ257" s="489" t="e">
        <f>IF($J257="",#N/A,IF($S257="UP",(COUNTIFS($K$4:$K257,"&gt;0",$S$4:$S257,"UP")/COUNTIF($S$4:$S257,"UP")),#N/A))</f>
        <v>#N/A</v>
      </c>
      <c r="BR257" s="489">
        <f>IF(J257="",#N/A,COUNTIF($K$4:K257,"&gt;0")/COUNT($J$4:J257))</f>
        <v>0.45669291338582679</v>
      </c>
      <c r="BS257" s="65" t="str">
        <f t="shared" si="356"/>
        <v/>
      </c>
      <c r="BT257" s="65" t="str">
        <f t="shared" si="357"/>
        <v/>
      </c>
      <c r="BU257" s="65">
        <f t="shared" si="358"/>
        <v>0.69951483337310016</v>
      </c>
      <c r="BV257" s="65" t="str">
        <f t="shared" si="359"/>
        <v/>
      </c>
      <c r="BW257" s="128" t="str">
        <f t="shared" si="360"/>
        <v/>
      </c>
      <c r="BX257" s="128">
        <f>IF($J257="",#N/A,SUM($BW$4:BW257))</f>
        <v>-192.33000000000061</v>
      </c>
      <c r="BY257" s="131">
        <f t="shared" si="361"/>
        <v>47.492999999999938</v>
      </c>
      <c r="BZ257" s="131">
        <f>IF($J257="",#N/A,SUM($BY$4:BY257))</f>
        <v>870.04234038933419</v>
      </c>
      <c r="CA257" s="133" t="str">
        <f t="shared" si="362"/>
        <v/>
      </c>
      <c r="CB257" s="133">
        <f>IF($J257="",#N/A,SUM($CA$4:CA257))</f>
        <v>22.67158426187541</v>
      </c>
      <c r="CC257" s="194" t="str">
        <f t="shared" si="363"/>
        <v/>
      </c>
      <c r="CD257" s="194">
        <f>IF($J257="",#N/A,SUM($CC$4:CC257))</f>
        <v>-2.9903544749366251</v>
      </c>
      <c r="CE257" s="195">
        <f t="shared" si="364"/>
        <v>0.69951483337310016</v>
      </c>
      <c r="CF257" s="195">
        <f>IF($J257="",#N/A,SUM($CE$4:CE257))</f>
        <v>15.049904861989113</v>
      </c>
      <c r="CG257" s="196" t="str">
        <f t="shared" si="365"/>
        <v/>
      </c>
      <c r="CH257" s="196">
        <f>IF($J257="",#N/A,SUM($CG$4:CG257))</f>
        <v>3.064447421440307</v>
      </c>
      <c r="CI257" s="200" t="str">
        <f t="shared" si="366"/>
        <v/>
      </c>
      <c r="CJ257" s="203">
        <f>IF($J257="",#N/A,SUM(CI$4:CI257))</f>
        <v>0</v>
      </c>
      <c r="CK257" s="204" t="str">
        <f t="shared" si="367"/>
        <v/>
      </c>
      <c r="CL257" s="204">
        <f>IF($J257="",#N/A,SUM(CK$4:CK257))</f>
        <v>1.9927003554442289</v>
      </c>
      <c r="CM257" s="205" t="str">
        <f t="shared" si="368"/>
        <v/>
      </c>
      <c r="CN257" s="205">
        <f>IF($J257="",#N/A,SUM(CM$4:CM257))</f>
        <v>2.5131182152625313</v>
      </c>
      <c r="CO257" s="205">
        <f>IF($J257="",#N/A,SUM(CM$4:CM257,CK$4:CK257,CI$4:CI257))</f>
        <v>4.5058185707067606</v>
      </c>
      <c r="CP257" s="200" t="str">
        <f t="shared" si="369"/>
        <v/>
      </c>
      <c r="CQ257" s="203">
        <f>IF($J257="",#N/A,SUM(CP$4:CP257))</f>
        <v>0</v>
      </c>
      <c r="CR257" s="204" t="str">
        <f t="shared" si="370"/>
        <v/>
      </c>
      <c r="CS257" s="204">
        <f>IF($J257="",#N/A,SUM(CR$4:CR257))</f>
        <v>4.6135245886817966</v>
      </c>
      <c r="CT257" s="205" t="str">
        <f t="shared" si="371"/>
        <v/>
      </c>
      <c r="CU257" s="205">
        <f>IF($J257="",#N/A,SUM(CT$4:CT257))</f>
        <v>-2.9040943753548785</v>
      </c>
      <c r="CV257" s="205">
        <f>IF($J257="",#N/A,SUM(CT$4:CT257,CR$4:CR257,CP$4:CP257))</f>
        <v>1.7094302133269181</v>
      </c>
      <c r="CW257" s="200" t="str">
        <f t="shared" si="372"/>
        <v/>
      </c>
      <c r="CX257" s="203">
        <f>IF($J257="",#N/A,SUM(CW$4:CW257))</f>
        <v>-0.33865165024245297</v>
      </c>
      <c r="CY257" s="204" t="str">
        <f t="shared" si="373"/>
        <v/>
      </c>
      <c r="CZ257" s="204">
        <f>IF($J257="",#N/A,SUM(CY$4:CY257))</f>
        <v>0.30198222879878239</v>
      </c>
      <c r="DA257" s="205" t="str">
        <f t="shared" si="374"/>
        <v/>
      </c>
      <c r="DB257" s="205">
        <f>IF($J257="",#N/A,SUM(DA$4:DA257))</f>
        <v>-2.1597383732727686</v>
      </c>
      <c r="DC257" s="205">
        <f>IF($J257="",#N/A,SUM(DA$4:DA257,CY$4:CY257,CW$4:CW257))</f>
        <v>-2.1964077947164395</v>
      </c>
      <c r="DD257" s="200" t="str">
        <f t="shared" si="375"/>
        <v/>
      </c>
      <c r="DE257" s="203">
        <f>IF($J257="",#N/A,SUM(DD$4:DD257))</f>
        <v>0.24769343410817113</v>
      </c>
      <c r="DF257" s="204" t="str">
        <f t="shared" si="376"/>
        <v/>
      </c>
      <c r="DG257" s="204">
        <f>IF($J257="",#N/A,SUM(DF$4:DF257))</f>
        <v>1.5249935139936004</v>
      </c>
      <c r="DH257" s="205" t="str">
        <f t="shared" si="377"/>
        <v/>
      </c>
      <c r="DI257" s="205">
        <f>IF($J257="",#N/A,SUM(DH$4:DH257))</f>
        <v>-2.7812008102163399</v>
      </c>
      <c r="DJ257" s="205">
        <f>IF($J257="",#N/A,SUM(DH$4:DH257,DF$4:DF257,DD$4:DD257))</f>
        <v>-1.0085138621145684</v>
      </c>
      <c r="DK257" s="200" t="str">
        <f t="shared" si="378"/>
        <v/>
      </c>
      <c r="DL257" s="203">
        <f>IF($J257="",#N/A,SUM(DK$4:DK257))</f>
        <v>-1.2097286851272664</v>
      </c>
      <c r="DM257" s="204" t="str">
        <f t="shared" si="379"/>
        <v/>
      </c>
      <c r="DN257" s="204">
        <f>IF($J257="",#N/A,SUM(DM$4:DM257))</f>
        <v>3.0281848543081331</v>
      </c>
      <c r="DO257" s="205" t="str">
        <f t="shared" si="380"/>
        <v/>
      </c>
      <c r="DP257" s="205">
        <f>IF($J257="",#N/A,SUM(DO$4:DO257))</f>
        <v>2.700331529683047</v>
      </c>
      <c r="DQ257" s="205">
        <f>IF($J257="",#N/A,SUM(DO$4:DO257,DM$4:DM257,DK$4:DK257))</f>
        <v>4.518787698863914</v>
      </c>
      <c r="DR257" s="200" t="str">
        <f t="shared" si="381"/>
        <v/>
      </c>
      <c r="DS257" s="203">
        <f>IF($J257="",#N/A,SUM(DR$4:DR257))</f>
        <v>-0.55950946427675097</v>
      </c>
      <c r="DT257" s="204" t="str">
        <f t="shared" si="382"/>
        <v/>
      </c>
      <c r="DU257" s="204">
        <f>IF($J257="",#N/A,SUM(DT$4:DT257))</f>
        <v>-0.87082853884823752</v>
      </c>
      <c r="DV257" s="205" t="str">
        <f t="shared" si="383"/>
        <v/>
      </c>
      <c r="DW257" s="205">
        <f>IF($J257="",#N/A,SUM(DV$4:DV257))</f>
        <v>-1.2815650893103838</v>
      </c>
      <c r="DX257" s="205">
        <f>IF($J257="",#N/A,SUM(DV$4:DV257,DT$4:DT257,DR$4:DR257))</f>
        <v>-2.7119030924353726</v>
      </c>
      <c r="DY257" s="200" t="str">
        <f t="shared" si="384"/>
        <v/>
      </c>
      <c r="DZ257" s="203">
        <f>IF($J257="",#N/A,SUM(DY$4:DY257))</f>
        <v>-1.0460034109943892</v>
      </c>
      <c r="EA257" s="204" t="str">
        <f t="shared" si="385"/>
        <v/>
      </c>
      <c r="EB257" s="204">
        <f>IF($J257="",#N/A,SUM(EA$4:EA257))</f>
        <v>1.0902674422317802</v>
      </c>
      <c r="EC257" s="205" t="str">
        <f t="shared" si="386"/>
        <v/>
      </c>
      <c r="ED257" s="205">
        <f>IF($J257="",#N/A,SUM(EC$4:EC257))</f>
        <v>4.5772092731053986</v>
      </c>
      <c r="EE257" s="205">
        <f>IF($J257="",#N/A,SUM(EC$4:EC257,EA$4:EA257,DY$4:DY257))</f>
        <v>4.6214733043427882</v>
      </c>
      <c r="EF257" s="200" t="str">
        <f t="shared" si="387"/>
        <v/>
      </c>
      <c r="EG257" s="203">
        <f>IF($J257="",#N/A,SUM(EF$4:EF257))</f>
        <v>-0.15098969023521425</v>
      </c>
      <c r="EH257" s="204" t="str">
        <f t="shared" si="388"/>
        <v/>
      </c>
      <c r="EI257" s="204">
        <f>IF($J257="",#N/A,SUM(EH$4:EH257))</f>
        <v>-2.4098380802932158</v>
      </c>
      <c r="EJ257" s="205" t="str">
        <f t="shared" si="389"/>
        <v/>
      </c>
      <c r="EK257" s="205">
        <f>IF($J257="",#N/A,SUM(EJ$4:EJ257))</f>
        <v>5.050388173053765</v>
      </c>
      <c r="EL257" s="205">
        <f>IF($J257="",#N/A,SUM(EJ$4:EJ257,EH$4:EH257,EF$4:EF257))</f>
        <v>2.4895604025253348</v>
      </c>
      <c r="EM257" s="200" t="str">
        <f t="shared" si="390"/>
        <v/>
      </c>
      <c r="EN257" s="203">
        <f>IF($J257="",#N/A,SUM(EM$4:EM257))</f>
        <v>0</v>
      </c>
      <c r="EO257" s="204" t="str">
        <f t="shared" si="391"/>
        <v/>
      </c>
      <c r="EP257" s="204">
        <f>IF($J257="",#N/A,SUM(EO$4:EO257))</f>
        <v>3.2406646352184261</v>
      </c>
      <c r="EQ257" s="205" t="str">
        <f t="shared" si="392"/>
        <v/>
      </c>
      <c r="ER257" s="205">
        <f>IF($J257="",#N/A,SUM(EQ$4:EQ257))</f>
        <v>1.441536272249796</v>
      </c>
      <c r="ES257" s="205">
        <f>IF($J257="",#N/A,SUM(EQ$4:EQ257,EO$4:EO257,EM$4:EM257))</f>
        <v>4.6822009074682214</v>
      </c>
      <c r="ET257" s="200" t="str">
        <f t="shared" si="393"/>
        <v/>
      </c>
      <c r="EU257" s="203">
        <f>IF($J257="",#N/A,SUM(ET$4:ET257))</f>
        <v>0</v>
      </c>
      <c r="EV257" s="204">
        <f t="shared" si="394"/>
        <v>0.69951483337310016</v>
      </c>
      <c r="EW257" s="204">
        <f>IF($J257="",#N/A,SUM(EV$4:EV257))</f>
        <v>2.6896999443708767</v>
      </c>
      <c r="EX257" s="205" t="str">
        <f t="shared" si="395"/>
        <v/>
      </c>
      <c r="EY257" s="205">
        <f>IF($J257="",#N/A,SUM(EX$4:EX257))</f>
        <v>0.27113250180669229</v>
      </c>
      <c r="EZ257" s="205">
        <f>IF($J257="",#N/A,SUM(EX$4:EX257,EV$4:EV257,ET$4:ET257))</f>
        <v>2.9608324461775686</v>
      </c>
      <c r="FA257" s="200" t="str">
        <f t="shared" si="396"/>
        <v/>
      </c>
      <c r="FB257" s="203">
        <f>IF($J257="",#N/A,SUM(FA$4:FA257))</f>
        <v>0</v>
      </c>
      <c r="FC257" s="204" t="str">
        <f t="shared" si="397"/>
        <v/>
      </c>
      <c r="FD257" s="204">
        <f>IF($J257="",#N/A,SUM(FC$4:FC257))</f>
        <v>1.3660078100500956</v>
      </c>
      <c r="FE257" s="205" t="str">
        <f t="shared" si="398"/>
        <v/>
      </c>
      <c r="FF257" s="205">
        <f>IF($J257="",#N/A,SUM(FE$4:FE257))</f>
        <v>-0.28811149078748233</v>
      </c>
      <c r="FG257" s="205">
        <f>IF($J257="",#N/A,SUM(FE$4:FE257,FC$4:FC257,FA$4:FA257))</f>
        <v>1.0778963192626136</v>
      </c>
      <c r="FH257" s="200" t="str">
        <f t="shared" si="399"/>
        <v/>
      </c>
      <c r="FI257" s="203">
        <f>IF($J257="",#N/A,SUM(FH$4:FH257))</f>
        <v>0</v>
      </c>
      <c r="FJ257" s="204" t="str">
        <f t="shared" si="400"/>
        <v/>
      </c>
      <c r="FK257" s="204">
        <f>IF($J257="",#N/A,SUM(FJ$4:FJ257))</f>
        <v>0</v>
      </c>
      <c r="FL257" s="205" t="str">
        <f t="shared" si="401"/>
        <v/>
      </c>
      <c r="FM257" s="205">
        <f>IF($J257="",#N/A,SUM(FL$4:FL257))</f>
        <v>0</v>
      </c>
      <c r="FN257" s="205">
        <f>IF($J257="",#N/A,SUM(FL$4:FL257,FJ$4:FJ257,FH$4:FH257))</f>
        <v>0</v>
      </c>
      <c r="FO257" s="200" t="str">
        <f t="shared" si="402"/>
        <v/>
      </c>
      <c r="FP257" s="203">
        <f>IF($J257="",#N/A,SUM(FO$4:FO257))</f>
        <v>0</v>
      </c>
      <c r="FQ257" s="204" t="str">
        <f t="shared" si="403"/>
        <v/>
      </c>
      <c r="FR257" s="204">
        <f>IF($J257="",#N/A,SUM(FQ$4:FQ257))</f>
        <v>0</v>
      </c>
      <c r="FS257" s="205" t="str">
        <f t="shared" si="404"/>
        <v/>
      </c>
      <c r="FT257" s="205">
        <f>IF($J257="",#N/A,SUM(FS$4:FS257))</f>
        <v>0</v>
      </c>
      <c r="FU257" s="205">
        <f>IF($J257="",#N/A,SUM(FS$4:FS257,FQ$4:FQ257,FO$4:FO257))</f>
        <v>0</v>
      </c>
      <c r="FV257" s="200" t="str">
        <f t="shared" si="405"/>
        <v/>
      </c>
      <c r="FW257" s="203">
        <f>IF($J257="",#N/A,SUM(FV$4:FV257))</f>
        <v>6.6834991831277585E-2</v>
      </c>
      <c r="FX257" s="204" t="str">
        <f t="shared" si="406"/>
        <v/>
      </c>
      <c r="FY257" s="204">
        <f>IF($J257="",#N/A,SUM(FX$4:FX257))</f>
        <v>-0.16102012791805576</v>
      </c>
      <c r="FZ257" s="205" t="str">
        <f t="shared" si="407"/>
        <v/>
      </c>
      <c r="GA257" s="205">
        <f>IF($J257="",#N/A,SUM(FZ$4:FZ257))</f>
        <v>-1.1377221770567538</v>
      </c>
      <c r="GB257" s="205">
        <f>IF($J257="",#N/A,SUM(FZ$4:FZ257,FX$4:FX257,FV$4:FV257))</f>
        <v>-1.2319073131435321</v>
      </c>
      <c r="GC257" s="200" t="str">
        <f t="shared" si="408"/>
        <v/>
      </c>
      <c r="GD257" s="203">
        <f>IF($J257="",#N/A,SUM(GC$4:GC257))</f>
        <v>0</v>
      </c>
      <c r="GE257" s="204" t="str">
        <f t="shared" si="409"/>
        <v/>
      </c>
      <c r="GF257" s="204">
        <f>IF($J257="",#N/A,SUM(GE$4:GE257))</f>
        <v>0</v>
      </c>
      <c r="GG257" s="205" t="str">
        <f t="shared" si="410"/>
        <v/>
      </c>
      <c r="GH257" s="205">
        <f>IF($J257="",#N/A,SUM(GG$4:GG257))</f>
        <v>-2.9368362277223206</v>
      </c>
      <c r="GI257" s="205">
        <f>IF($J257="",#N/A,SUM(GG$4:GG257,GE$4:GE257,GC$4:GC257))</f>
        <v>-2.9368362277223206</v>
      </c>
      <c r="GJ257" s="200" t="str">
        <f t="shared" si="411"/>
        <v/>
      </c>
      <c r="GK257" s="203">
        <f>IF($J257="",#N/A,SUM(GJ$4:GJ257))</f>
        <v>0</v>
      </c>
      <c r="GL257" s="204" t="str">
        <f t="shared" si="412"/>
        <v/>
      </c>
      <c r="GM257" s="204">
        <f>IF($J257="",#N/A,SUM(GL$4:GL257))</f>
        <v>-1.6833790887309608</v>
      </c>
      <c r="GN257" s="205" t="str">
        <f t="shared" si="413"/>
        <v/>
      </c>
      <c r="GO257" s="205">
        <f>IF($J257="",#N/A,SUM(GN$4:GN257))</f>
        <v>0</v>
      </c>
      <c r="GP257" s="205">
        <f>IF($J257="",#N/A,SUM(GN$4:GN257,GL$4:GL257,GJ$4:GJ257))</f>
        <v>-1.6833790887309608</v>
      </c>
      <c r="GS257" s="54">
        <f t="shared" si="432"/>
        <v>0.69951483337310016</v>
      </c>
      <c r="GT257" s="54">
        <f>IF(GS257="",NA(),SUM($GS$4:GS257))</f>
        <v>8.9939900585216925</v>
      </c>
      <c r="GU257" s="54" t="str">
        <f t="shared" si="414"/>
        <v/>
      </c>
      <c r="GV257" s="54" t="e">
        <f>IF(GU257="",NA(),SUM($GU$4:GU257))</f>
        <v>#N/A</v>
      </c>
      <c r="GW257" s="54" t="str">
        <f t="shared" si="415"/>
        <v/>
      </c>
      <c r="GX257" s="54" t="e">
        <f>IF(GW257="",NA(),SUM($GW$4:GW257))</f>
        <v>#N/A</v>
      </c>
      <c r="GY257" s="54">
        <f t="shared" si="416"/>
        <v>0.69951483337310016</v>
      </c>
      <c r="GZ257" s="54">
        <f>IF(GY257="",NA(),SUM($GY$4:GY257))</f>
        <v>7.5128607788063331</v>
      </c>
      <c r="HA257" s="54" t="str">
        <f t="shared" si="417"/>
        <v/>
      </c>
      <c r="HB257" s="54" t="e">
        <f>IF(HA257="",NA(),SUM($HA$4:HA257))</f>
        <v>#N/A</v>
      </c>
      <c r="HC257" s="54" t="str">
        <f t="shared" si="418"/>
        <v/>
      </c>
      <c r="HD257" s="54" t="e">
        <f>IF(HC257="",NA(),SUM($HC$4:HC257))</f>
        <v>#N/A</v>
      </c>
      <c r="HE257" s="54" t="str">
        <f t="shared" si="419"/>
        <v/>
      </c>
      <c r="HF257" s="54" t="e">
        <f>IF(HE257="",NA(),SUM($HE$4:HE257))</f>
        <v>#N/A</v>
      </c>
      <c r="HG257" s="54" t="str">
        <f t="shared" si="420"/>
        <v/>
      </c>
      <c r="HH257" s="54" t="e">
        <f>IF(HG257="",NA(),SUM($HG$4:HG257))</f>
        <v>#N/A</v>
      </c>
      <c r="HI257" s="172">
        <f t="shared" si="433"/>
        <v>0.69235663723852803</v>
      </c>
      <c r="HJ257" s="172">
        <f>IF($J257="",#N/A,SUM(HI$4:$HI257))</f>
        <v>-6.0439326268692772</v>
      </c>
      <c r="HK257" s="54" t="str">
        <f t="shared" si="421"/>
        <v/>
      </c>
      <c r="HL257" s="54">
        <f>IF($J257="",#N/A,SUM($HK$4:HK257))</f>
        <v>-2.5507240157544917</v>
      </c>
      <c r="HM257" s="54" t="str">
        <f t="shared" si="422"/>
        <v/>
      </c>
      <c r="HN257" s="54">
        <f>IF($J257="",#N/A,SUM($HM$4:HM257))</f>
        <v>0.957348620978966</v>
      </c>
      <c r="HO257" s="54" t="str">
        <f t="shared" si="423"/>
        <v/>
      </c>
      <c r="HP257" s="54">
        <f>IF($J257="",#N/A,SUM($HO$4:HO257))</f>
        <v>-0.10266465451722628</v>
      </c>
      <c r="HQ257" s="54" t="str">
        <f t="shared" si="424"/>
        <v/>
      </c>
      <c r="HR257" s="54">
        <f>IF($J257="",#N/A,SUM($HQ$4:HQ257))</f>
        <v>-14.596039294292455</v>
      </c>
      <c r="HS257" s="54" t="str">
        <f t="shared" si="425"/>
        <v/>
      </c>
      <c r="HT257" s="54">
        <f>IF($J257="",#N/A,SUM($HS$4:HS257))</f>
        <v>13.672084995730895</v>
      </c>
      <c r="HU257" s="65">
        <f t="shared" si="426"/>
        <v>1.3918714706116282</v>
      </c>
      <c r="HV257" s="65">
        <f>IF($J257="",#N/A,SUM(HU$4:$HU257))</f>
        <v>6.4600708337691968</v>
      </c>
    </row>
    <row r="258" spans="1:230" ht="15.75" thickBot="1" x14ac:dyDescent="0.3">
      <c r="A258" s="292" t="s">
        <v>163</v>
      </c>
      <c r="B258" s="293" t="s">
        <v>4565</v>
      </c>
      <c r="C258" s="294">
        <f t="shared" si="327"/>
        <v>2</v>
      </c>
      <c r="D258" s="295" t="str">
        <f>_xlfn.XLOOKUP(A258,[1]SP500!$A$2:$A$502,[1]SP500!$D$2:$D$502,"N")</f>
        <v>Y</v>
      </c>
      <c r="E258" s="292" t="str">
        <f>IFERROR(_xlfn.XLOOKUP(A258,[1]SP500!$A$2:$A$655,[1]SP500!$B$2:$B$655),"")</f>
        <v>XLV</v>
      </c>
      <c r="F258" s="296">
        <v>45782</v>
      </c>
      <c r="G258" s="292" t="str">
        <f t="shared" si="328"/>
        <v>BMO</v>
      </c>
      <c r="H258" s="292" t="str">
        <f t="shared" si="329"/>
        <v>s</v>
      </c>
      <c r="I258" s="345">
        <v>65.3</v>
      </c>
      <c r="J258" s="297">
        <v>65.069999999999993</v>
      </c>
      <c r="K258" s="298">
        <f t="shared" si="330"/>
        <v>-3.5222052067381926E-3</v>
      </c>
      <c r="L258" s="299">
        <f t="shared" si="331"/>
        <v>4.1400000000001</v>
      </c>
      <c r="M258" s="300">
        <f t="shared" si="332"/>
        <v>0</v>
      </c>
      <c r="N258" s="341">
        <f t="shared" si="333"/>
        <v>4.1400000000001</v>
      </c>
      <c r="O258" s="300">
        <f>IF(N258="",#N/A,SUM($N$4:N258))</f>
        <v>704.52392465120909</v>
      </c>
      <c r="P258" s="305">
        <f t="shared" si="427"/>
        <v>5.8703420112303624E-2</v>
      </c>
      <c r="Q258" s="304">
        <f>IF($N258="",#N/A,SUM($P$4:P258))</f>
        <v>15.182701228605092</v>
      </c>
      <c r="R258" s="307">
        <f t="shared" si="334"/>
        <v>4.1554958858278734</v>
      </c>
      <c r="S258" s="292" t="str">
        <f t="shared" si="335"/>
        <v>Dwn</v>
      </c>
      <c r="T258" s="292" t="s">
        <v>4462</v>
      </c>
      <c r="U258" s="308">
        <f t="shared" si="336"/>
        <v>65.3</v>
      </c>
      <c r="V258" s="308" t="s">
        <v>4458</v>
      </c>
      <c r="W258" s="310">
        <v>18</v>
      </c>
      <c r="X258" s="309">
        <f t="shared" si="337"/>
        <v>1175.3999999999999</v>
      </c>
      <c r="Y258" s="310">
        <f t="shared" si="338"/>
        <v>18</v>
      </c>
      <c r="Z258" s="313">
        <v>65.069999999999993</v>
      </c>
      <c r="AA258" s="341">
        <f t="shared" si="339"/>
        <v>4.1400000000001</v>
      </c>
      <c r="AB258" s="341">
        <f t="shared" si="340"/>
        <v>-23.040000000000191</v>
      </c>
      <c r="AC258" s="297">
        <v>66.58</v>
      </c>
      <c r="AD258" s="301">
        <f t="shared" si="341"/>
        <v>-23.040000000000191</v>
      </c>
      <c r="AE258" s="546">
        <f t="shared" si="342"/>
        <v>-0.32669729453803237</v>
      </c>
      <c r="AF258" s="300">
        <f>IF($AC258="",#N/A,SUM(AD$4:AD258))</f>
        <v>286.70087220737935</v>
      </c>
      <c r="AG258" s="341">
        <f t="shared" si="343"/>
        <v>-27.180000000000291</v>
      </c>
      <c r="AH258" s="308" t="s">
        <v>2507</v>
      </c>
      <c r="AI258" s="305">
        <f t="shared" si="344"/>
        <v>5.8703420112303624E-2</v>
      </c>
      <c r="AJ258" s="360">
        <f>IF(AI258="",#N/A,SUM($AI$4:AI258))</f>
        <v>11.027205342777219</v>
      </c>
      <c r="AK258" s="300">
        <f t="shared" si="345"/>
        <v>4.1400000000001</v>
      </c>
      <c r="AL258" s="348">
        <f>IF(AI258="",#N/A,IF(AH258="Skip",SUM($AK$4:AK258),SUM($AK$4:AK258)))</f>
        <v>412.53759149281427</v>
      </c>
      <c r="AM258" s="65">
        <f t="shared" si="428"/>
        <v>-0.32669729453803237</v>
      </c>
      <c r="AN258" s="210"/>
      <c r="AO258" s="305" t="str">
        <f t="shared" si="346"/>
        <v/>
      </c>
      <c r="AP258" s="305">
        <f>IF($AC258="",#N/A,SUM(AO$4:AO258))</f>
        <v>2.1404931228787447</v>
      </c>
      <c r="AQ258" s="305" t="str">
        <f t="shared" si="347"/>
        <v/>
      </c>
      <c r="AR258" s="305">
        <f>IF($AC258="",#N/A,SUM(AQ$4:AQ258))</f>
        <v>-2.1356705084748859</v>
      </c>
      <c r="AS258" s="305">
        <f t="shared" si="348"/>
        <v>-0.32669729453803237</v>
      </c>
      <c r="AT258" s="305">
        <f>IF($AC258="",#N/A,SUM(AS$4:AS258))</f>
        <v>6.1285509248273025</v>
      </c>
      <c r="AU258" s="300" t="str">
        <f t="shared" si="429"/>
        <v/>
      </c>
      <c r="AV258" s="300">
        <f>IF($AC258="",#N/A,SUM(AU$4:AU258))</f>
        <v>3.4224906610469361</v>
      </c>
      <c r="AW258" s="300" t="str">
        <f t="shared" si="430"/>
        <v/>
      </c>
      <c r="AX258" s="300">
        <f>IF($AC258="",#N/A,SUM(AW$4:AW258))</f>
        <v>-132.30000000000018</v>
      </c>
      <c r="AY258" s="300">
        <f t="shared" si="431"/>
        <v>-23.040000000000191</v>
      </c>
      <c r="AZ258" s="300">
        <f>IF($AC258="",#N/A,SUM(AY$4:AY258))</f>
        <v>415.57838154633259</v>
      </c>
      <c r="BA258" s="300">
        <f>IF(AD258="",#N/A,SUM($AD$4:AD258))</f>
        <v>286.70087220737935</v>
      </c>
      <c r="BC258" s="292" t="str">
        <f t="shared" si="349"/>
        <v/>
      </c>
      <c r="BD258" s="292" t="str">
        <f t="shared" si="350"/>
        <v/>
      </c>
      <c r="BE258" s="292" t="str">
        <f t="shared" si="351"/>
        <v/>
      </c>
      <c r="BF258" s="292" t="str">
        <f t="shared" si="352"/>
        <v>Short</v>
      </c>
      <c r="BG258" s="292">
        <f t="shared" si="353"/>
        <v>1</v>
      </c>
      <c r="BH258" s="292" t="str">
        <f t="shared" si="354"/>
        <v/>
      </c>
      <c r="BI258" s="292" t="str">
        <f t="shared" si="355"/>
        <v/>
      </c>
      <c r="BK258" s="65">
        <f t="shared" si="435"/>
        <v>0.11362305769960482</v>
      </c>
      <c r="BL258" s="65">
        <f t="shared" si="434"/>
        <v>0.13320334866631889</v>
      </c>
      <c r="BM258" s="65">
        <f>IFERROR(Q258/COUNTA($J$4:J258),#N/A)</f>
        <v>5.9540004818059183E-2</v>
      </c>
      <c r="BO258" s="489" t="e">
        <f>IF(J258="",#N/A,IF(S258="SW",(COUNTIFS(K$4:$K258,"&gt;0",S$4:$S258,"SW")/COUNTIF(S$4:$S258,"SW")),#N/A))</f>
        <v>#N/A</v>
      </c>
      <c r="BP258" s="489">
        <f>IF($J258="",#N/A,IF($S258="DWN",(COUNTIFS($K$4:$K258,"&lt;0",$S$4:$S258,"DWN")/COUNTIF($S$4:$S258,"DWN")),#N/A))</f>
        <v>0.5855855855855856</v>
      </c>
      <c r="BQ258" s="489" t="e">
        <f>IF($J258="",#N/A,IF($S258="UP",(COUNTIFS($K$4:$K258,"&gt;0",$S$4:$S258,"UP")/COUNTIF($S$4:$S258,"UP")),#N/A))</f>
        <v>#N/A</v>
      </c>
      <c r="BR258" s="489">
        <f>IF(J258="",#N/A,COUNTIF($K$4:K258,"&gt;0")/COUNT($J$4:J258))</f>
        <v>0.45490196078431372</v>
      </c>
      <c r="BS258" s="65" t="str">
        <f t="shared" si="356"/>
        <v/>
      </c>
      <c r="BT258" s="65" t="str">
        <f t="shared" si="357"/>
        <v/>
      </c>
      <c r="BU258" s="65">
        <f t="shared" si="358"/>
        <v>5.8703420112303624E-2</v>
      </c>
      <c r="BV258" s="65" t="str">
        <f t="shared" si="359"/>
        <v/>
      </c>
      <c r="BW258" s="128" t="str">
        <f t="shared" si="360"/>
        <v/>
      </c>
      <c r="BX258" s="128">
        <f>IF($J258="",#N/A,SUM($BW$4:BW258))</f>
        <v>-192.33000000000061</v>
      </c>
      <c r="BY258" s="131">
        <f t="shared" si="361"/>
        <v>4.1400000000001</v>
      </c>
      <c r="BZ258" s="131">
        <f>IF($J258="",#N/A,SUM($BY$4:BY258))</f>
        <v>874.18234038933429</v>
      </c>
      <c r="CA258" s="133" t="str">
        <f t="shared" si="362"/>
        <v/>
      </c>
      <c r="CB258" s="133">
        <f>IF($J258="",#N/A,SUM($CA$4:CA258))</f>
        <v>22.67158426187541</v>
      </c>
      <c r="CC258" s="194" t="str">
        <f t="shared" si="363"/>
        <v/>
      </c>
      <c r="CD258" s="194">
        <f>IF($J258="",#N/A,SUM($CC$4:CC258))</f>
        <v>-2.9903544749366251</v>
      </c>
      <c r="CE258" s="195">
        <f t="shared" si="364"/>
        <v>5.8703420112303624E-2</v>
      </c>
      <c r="CF258" s="195">
        <f>IF($J258="",#N/A,SUM($CE$4:CE258))</f>
        <v>15.108608282101416</v>
      </c>
      <c r="CG258" s="196" t="str">
        <f t="shared" si="365"/>
        <v/>
      </c>
      <c r="CH258" s="196">
        <f>IF($J258="",#N/A,SUM($CG$4:CG258))</f>
        <v>3.064447421440307</v>
      </c>
      <c r="CI258" s="200" t="str">
        <f t="shared" si="366"/>
        <v/>
      </c>
      <c r="CJ258" s="203">
        <f>IF($J258="",#N/A,SUM(CI$4:CI258))</f>
        <v>0</v>
      </c>
      <c r="CK258" s="204" t="str">
        <f t="shared" si="367"/>
        <v/>
      </c>
      <c r="CL258" s="204">
        <f>IF($J258="",#N/A,SUM(CK$4:CK258))</f>
        <v>1.9927003554442289</v>
      </c>
      <c r="CM258" s="205" t="str">
        <f t="shared" si="368"/>
        <v/>
      </c>
      <c r="CN258" s="205">
        <f>IF($J258="",#N/A,SUM(CM$4:CM258))</f>
        <v>2.5131182152625313</v>
      </c>
      <c r="CO258" s="205">
        <f>IF($J258="",#N/A,SUM(CM$4:CM258,CK$4:CK258,CI$4:CI258))</f>
        <v>4.5058185707067606</v>
      </c>
      <c r="CP258" s="200" t="str">
        <f t="shared" si="369"/>
        <v/>
      </c>
      <c r="CQ258" s="203">
        <f>IF($J258="",#N/A,SUM(CP$4:CP258))</f>
        <v>0</v>
      </c>
      <c r="CR258" s="204" t="str">
        <f t="shared" si="370"/>
        <v/>
      </c>
      <c r="CS258" s="204">
        <f>IF($J258="",#N/A,SUM(CR$4:CR258))</f>
        <v>4.6135245886817966</v>
      </c>
      <c r="CT258" s="205" t="str">
        <f t="shared" si="371"/>
        <v/>
      </c>
      <c r="CU258" s="205">
        <f>IF($J258="",#N/A,SUM(CT$4:CT258))</f>
        <v>-2.9040943753548785</v>
      </c>
      <c r="CV258" s="205">
        <f>IF($J258="",#N/A,SUM(CT$4:CT258,CR$4:CR258,CP$4:CP258))</f>
        <v>1.7094302133269181</v>
      </c>
      <c r="CW258" s="200" t="str">
        <f t="shared" si="372"/>
        <v/>
      </c>
      <c r="CX258" s="203">
        <f>IF($J258="",#N/A,SUM(CW$4:CW258))</f>
        <v>-0.33865165024245297</v>
      </c>
      <c r="CY258" s="204" t="str">
        <f t="shared" si="373"/>
        <v/>
      </c>
      <c r="CZ258" s="204">
        <f>IF($J258="",#N/A,SUM(CY$4:CY258))</f>
        <v>0.30198222879878239</v>
      </c>
      <c r="DA258" s="205" t="str">
        <f t="shared" si="374"/>
        <v/>
      </c>
      <c r="DB258" s="205">
        <f>IF($J258="",#N/A,SUM(DA$4:DA258))</f>
        <v>-2.1597383732727686</v>
      </c>
      <c r="DC258" s="205">
        <f>IF($J258="",#N/A,SUM(DA$4:DA258,CY$4:CY258,CW$4:CW258))</f>
        <v>-2.1964077947164395</v>
      </c>
      <c r="DD258" s="200" t="str">
        <f t="shared" si="375"/>
        <v/>
      </c>
      <c r="DE258" s="203">
        <f>IF($J258="",#N/A,SUM(DD$4:DD258))</f>
        <v>0.24769343410817113</v>
      </c>
      <c r="DF258" s="204" t="str">
        <f t="shared" si="376"/>
        <v/>
      </c>
      <c r="DG258" s="204">
        <f>IF($J258="",#N/A,SUM(DF$4:DF258))</f>
        <v>1.5249935139936004</v>
      </c>
      <c r="DH258" s="205" t="str">
        <f t="shared" si="377"/>
        <v/>
      </c>
      <c r="DI258" s="205">
        <f>IF($J258="",#N/A,SUM(DH$4:DH258))</f>
        <v>-2.7812008102163399</v>
      </c>
      <c r="DJ258" s="205">
        <f>IF($J258="",#N/A,SUM(DH$4:DH258,DF$4:DF258,DD$4:DD258))</f>
        <v>-1.0085138621145684</v>
      </c>
      <c r="DK258" s="200" t="str">
        <f t="shared" si="378"/>
        <v/>
      </c>
      <c r="DL258" s="203">
        <f>IF($J258="",#N/A,SUM(DK$4:DK258))</f>
        <v>-1.2097286851272664</v>
      </c>
      <c r="DM258" s="204" t="str">
        <f t="shared" si="379"/>
        <v/>
      </c>
      <c r="DN258" s="204">
        <f>IF($J258="",#N/A,SUM(DM$4:DM258))</f>
        <v>3.0281848543081331</v>
      </c>
      <c r="DO258" s="205" t="str">
        <f t="shared" si="380"/>
        <v/>
      </c>
      <c r="DP258" s="205">
        <f>IF($J258="",#N/A,SUM(DO$4:DO258))</f>
        <v>2.700331529683047</v>
      </c>
      <c r="DQ258" s="205">
        <f>IF($J258="",#N/A,SUM(DO$4:DO258,DM$4:DM258,DK$4:DK258))</f>
        <v>4.518787698863914</v>
      </c>
      <c r="DR258" s="200" t="str">
        <f t="shared" si="381"/>
        <v/>
      </c>
      <c r="DS258" s="203">
        <f>IF($J258="",#N/A,SUM(DR$4:DR258))</f>
        <v>-0.55950946427675097</v>
      </c>
      <c r="DT258" s="204" t="str">
        <f t="shared" si="382"/>
        <v/>
      </c>
      <c r="DU258" s="204">
        <f>IF($J258="",#N/A,SUM(DT$4:DT258))</f>
        <v>-0.87082853884823752</v>
      </c>
      <c r="DV258" s="205" t="str">
        <f t="shared" si="383"/>
        <v/>
      </c>
      <c r="DW258" s="205">
        <f>IF($J258="",#N/A,SUM(DV$4:DV258))</f>
        <v>-1.2815650893103838</v>
      </c>
      <c r="DX258" s="205">
        <f>IF($J258="",#N/A,SUM(DV$4:DV258,DT$4:DT258,DR$4:DR258))</f>
        <v>-2.7119030924353726</v>
      </c>
      <c r="DY258" s="200" t="str">
        <f t="shared" si="384"/>
        <v/>
      </c>
      <c r="DZ258" s="203">
        <f>IF($J258="",#N/A,SUM(DY$4:DY258))</f>
        <v>-1.0460034109943892</v>
      </c>
      <c r="EA258" s="204" t="str">
        <f t="shared" si="385"/>
        <v/>
      </c>
      <c r="EB258" s="204">
        <f>IF($J258="",#N/A,SUM(EA$4:EA258))</f>
        <v>1.0902674422317802</v>
      </c>
      <c r="EC258" s="205" t="str">
        <f t="shared" si="386"/>
        <v/>
      </c>
      <c r="ED258" s="205">
        <f>IF($J258="",#N/A,SUM(EC$4:EC258))</f>
        <v>4.5772092731053986</v>
      </c>
      <c r="EE258" s="205">
        <f>IF($J258="",#N/A,SUM(EC$4:EC258,EA$4:EA258,DY$4:DY258))</f>
        <v>4.6214733043427882</v>
      </c>
      <c r="EF258" s="200" t="str">
        <f t="shared" si="387"/>
        <v/>
      </c>
      <c r="EG258" s="203">
        <f>IF($J258="",#N/A,SUM(EF$4:EF258))</f>
        <v>-0.15098969023521425</v>
      </c>
      <c r="EH258" s="204">
        <f t="shared" si="388"/>
        <v>5.8703420112303624E-2</v>
      </c>
      <c r="EI258" s="204">
        <f>IF($J258="",#N/A,SUM(EH$4:EH258))</f>
        <v>-2.3511346601809122</v>
      </c>
      <c r="EJ258" s="205" t="str">
        <f t="shared" si="389"/>
        <v/>
      </c>
      <c r="EK258" s="205">
        <f>IF($J258="",#N/A,SUM(EJ$4:EJ258))</f>
        <v>5.050388173053765</v>
      </c>
      <c r="EL258" s="205">
        <f>IF($J258="",#N/A,SUM(EJ$4:EJ258,EH$4:EH258,EF$4:EF258))</f>
        <v>2.5482638226376384</v>
      </c>
      <c r="EM258" s="200" t="str">
        <f t="shared" si="390"/>
        <v/>
      </c>
      <c r="EN258" s="203">
        <f>IF($J258="",#N/A,SUM(EM$4:EM258))</f>
        <v>0</v>
      </c>
      <c r="EO258" s="204" t="str">
        <f t="shared" si="391"/>
        <v/>
      </c>
      <c r="EP258" s="204">
        <f>IF($J258="",#N/A,SUM(EO$4:EO258))</f>
        <v>3.2406646352184261</v>
      </c>
      <c r="EQ258" s="205" t="str">
        <f t="shared" si="392"/>
        <v/>
      </c>
      <c r="ER258" s="205">
        <f>IF($J258="",#N/A,SUM(EQ$4:EQ258))</f>
        <v>1.441536272249796</v>
      </c>
      <c r="ES258" s="205">
        <f>IF($J258="",#N/A,SUM(EQ$4:EQ258,EO$4:EO258,EM$4:EM258))</f>
        <v>4.6822009074682214</v>
      </c>
      <c r="ET258" s="200" t="str">
        <f t="shared" si="393"/>
        <v/>
      </c>
      <c r="EU258" s="203">
        <f>IF($J258="",#N/A,SUM(ET$4:ET258))</f>
        <v>0</v>
      </c>
      <c r="EV258" s="204" t="str">
        <f t="shared" si="394"/>
        <v/>
      </c>
      <c r="EW258" s="204">
        <f>IF($J258="",#N/A,SUM(EV$4:EV258))</f>
        <v>2.6896999443708767</v>
      </c>
      <c r="EX258" s="205" t="str">
        <f t="shared" si="395"/>
        <v/>
      </c>
      <c r="EY258" s="205">
        <f>IF($J258="",#N/A,SUM(EX$4:EX258))</f>
        <v>0.27113250180669229</v>
      </c>
      <c r="EZ258" s="205">
        <f>IF($J258="",#N/A,SUM(EX$4:EX258,EV$4:EV258,ET$4:ET258))</f>
        <v>2.9608324461775686</v>
      </c>
      <c r="FA258" s="200" t="str">
        <f t="shared" si="396"/>
        <v/>
      </c>
      <c r="FB258" s="203">
        <f>IF($J258="",#N/A,SUM(FA$4:FA258))</f>
        <v>0</v>
      </c>
      <c r="FC258" s="204" t="str">
        <f t="shared" si="397"/>
        <v/>
      </c>
      <c r="FD258" s="204">
        <f>IF($J258="",#N/A,SUM(FC$4:FC258))</f>
        <v>1.3660078100500956</v>
      </c>
      <c r="FE258" s="205" t="str">
        <f t="shared" si="398"/>
        <v/>
      </c>
      <c r="FF258" s="205">
        <f>IF($J258="",#N/A,SUM(FE$4:FE258))</f>
        <v>-0.28811149078748233</v>
      </c>
      <c r="FG258" s="205">
        <f>IF($J258="",#N/A,SUM(FE$4:FE258,FC$4:FC258,FA$4:FA258))</f>
        <v>1.0778963192626136</v>
      </c>
      <c r="FH258" s="200" t="str">
        <f t="shared" si="399"/>
        <v/>
      </c>
      <c r="FI258" s="203">
        <f>IF($J258="",#N/A,SUM(FH$4:FH258))</f>
        <v>0</v>
      </c>
      <c r="FJ258" s="204" t="str">
        <f t="shared" si="400"/>
        <v/>
      </c>
      <c r="FK258" s="204">
        <f>IF($J258="",#N/A,SUM(FJ$4:FJ258))</f>
        <v>0</v>
      </c>
      <c r="FL258" s="205" t="str">
        <f t="shared" si="401"/>
        <v/>
      </c>
      <c r="FM258" s="205">
        <f>IF($J258="",#N/A,SUM(FL$4:FL258))</f>
        <v>0</v>
      </c>
      <c r="FN258" s="205">
        <f>IF($J258="",#N/A,SUM(FL$4:FL258,FJ$4:FJ258,FH$4:FH258))</f>
        <v>0</v>
      </c>
      <c r="FO258" s="200" t="str">
        <f t="shared" si="402"/>
        <v/>
      </c>
      <c r="FP258" s="203">
        <f>IF($J258="",#N/A,SUM(FO$4:FO258))</f>
        <v>0</v>
      </c>
      <c r="FQ258" s="204" t="str">
        <f t="shared" si="403"/>
        <v/>
      </c>
      <c r="FR258" s="204">
        <f>IF($J258="",#N/A,SUM(FQ$4:FQ258))</f>
        <v>0</v>
      </c>
      <c r="FS258" s="205" t="str">
        <f t="shared" si="404"/>
        <v/>
      </c>
      <c r="FT258" s="205">
        <f>IF($J258="",#N/A,SUM(FS$4:FS258))</f>
        <v>0</v>
      </c>
      <c r="FU258" s="205">
        <f>IF($J258="",#N/A,SUM(FS$4:FS258,FQ$4:FQ258,FO$4:FO258))</f>
        <v>0</v>
      </c>
      <c r="FV258" s="200" t="str">
        <f t="shared" si="405"/>
        <v/>
      </c>
      <c r="FW258" s="203">
        <f>IF($J258="",#N/A,SUM(FV$4:FV258))</f>
        <v>6.6834991831277585E-2</v>
      </c>
      <c r="FX258" s="204" t="str">
        <f t="shared" si="406"/>
        <v/>
      </c>
      <c r="FY258" s="204">
        <f>IF($J258="",#N/A,SUM(FX$4:FX258))</f>
        <v>-0.16102012791805576</v>
      </c>
      <c r="FZ258" s="205" t="str">
        <f t="shared" si="407"/>
        <v/>
      </c>
      <c r="GA258" s="205">
        <f>IF($J258="",#N/A,SUM(FZ$4:FZ258))</f>
        <v>-1.1377221770567538</v>
      </c>
      <c r="GB258" s="205">
        <f>IF($J258="",#N/A,SUM(FZ$4:FZ258,FX$4:FX258,FV$4:FV258))</f>
        <v>-1.2319073131435321</v>
      </c>
      <c r="GC258" s="200" t="str">
        <f t="shared" si="408"/>
        <v/>
      </c>
      <c r="GD258" s="203">
        <f>IF($J258="",#N/A,SUM(GC$4:GC258))</f>
        <v>0</v>
      </c>
      <c r="GE258" s="204" t="str">
        <f t="shared" si="409"/>
        <v/>
      </c>
      <c r="GF258" s="204">
        <f>IF($J258="",#N/A,SUM(GE$4:GE258))</f>
        <v>0</v>
      </c>
      <c r="GG258" s="205" t="str">
        <f t="shared" si="410"/>
        <v/>
      </c>
      <c r="GH258" s="205">
        <f>IF($J258="",#N/A,SUM(GG$4:GG258))</f>
        <v>-2.9368362277223206</v>
      </c>
      <c r="GI258" s="205">
        <f>IF($J258="",#N/A,SUM(GG$4:GG258,GE$4:GE258,GC$4:GC258))</f>
        <v>-2.9368362277223206</v>
      </c>
      <c r="GJ258" s="200" t="str">
        <f t="shared" si="411"/>
        <v/>
      </c>
      <c r="GK258" s="203">
        <f>IF($J258="",#N/A,SUM(GJ$4:GJ258))</f>
        <v>0</v>
      </c>
      <c r="GL258" s="204" t="str">
        <f t="shared" si="412"/>
        <v/>
      </c>
      <c r="GM258" s="204">
        <f>IF($J258="",#N/A,SUM(GL$4:GL258))</f>
        <v>-1.6833790887309608</v>
      </c>
      <c r="GN258" s="205" t="str">
        <f t="shared" si="413"/>
        <v/>
      </c>
      <c r="GO258" s="205">
        <f>IF($J258="",#N/A,SUM(GN$4:GN258))</f>
        <v>0</v>
      </c>
      <c r="GP258" s="205">
        <f>IF($J258="",#N/A,SUM(GN$4:GN258,GL$4:GL258,GJ$4:GJ258))</f>
        <v>-1.6833790887309608</v>
      </c>
      <c r="GS258" s="303">
        <f t="shared" si="432"/>
        <v>5.8703420112303624E-2</v>
      </c>
      <c r="GT258" s="303">
        <f>IF(GS258="",NA(),SUM($GS$4:GS258))</f>
        <v>9.0526934786339961</v>
      </c>
      <c r="GU258" s="303" t="str">
        <f t="shared" si="414"/>
        <v/>
      </c>
      <c r="GV258" s="303" t="e">
        <f>IF(GU258="",NA(),SUM($GU$4:GU258))</f>
        <v>#N/A</v>
      </c>
      <c r="GW258" s="303" t="str">
        <f t="shared" si="415"/>
        <v/>
      </c>
      <c r="GX258" s="303" t="e">
        <f>IF(GW258="",NA(),SUM($GW$4:GW258))</f>
        <v>#N/A</v>
      </c>
      <c r="GY258" s="303">
        <f t="shared" si="416"/>
        <v>5.8703420112303624E-2</v>
      </c>
      <c r="GZ258" s="303">
        <f>IF(GY258="",NA(),SUM($GY$4:GY258))</f>
        <v>7.5715641989186366</v>
      </c>
      <c r="HA258" s="303" t="str">
        <f t="shared" si="417"/>
        <v/>
      </c>
      <c r="HB258" s="303" t="e">
        <f>IF(HA258="",NA(),SUM($HA$4:HA258))</f>
        <v>#N/A</v>
      </c>
      <c r="HC258" s="303" t="str">
        <f t="shared" si="418"/>
        <v/>
      </c>
      <c r="HD258" s="303" t="e">
        <f>IF(HC258="",NA(),SUM($HC$4:HC258))</f>
        <v>#N/A</v>
      </c>
      <c r="HE258" s="303" t="str">
        <f t="shared" si="419"/>
        <v/>
      </c>
      <c r="HF258" s="303" t="e">
        <f>IF(HE258="",NA(),SUM($HE$4:HE258))</f>
        <v>#N/A</v>
      </c>
      <c r="HG258" s="303" t="str">
        <f t="shared" si="420"/>
        <v/>
      </c>
      <c r="HH258" s="303" t="e">
        <f>IF(HG258="",NA(),SUM($HG$4:HG258))</f>
        <v>#N/A</v>
      </c>
      <c r="HI258" s="304">
        <f t="shared" si="433"/>
        <v>-0.38540071465033598</v>
      </c>
      <c r="HJ258" s="304">
        <f>IF($J258="",#N/A,SUM(HI$4:$HI258))</f>
        <v>-6.4293333415196132</v>
      </c>
      <c r="HK258" s="303" t="str">
        <f t="shared" si="421"/>
        <v/>
      </c>
      <c r="HL258" s="303">
        <f>IF($J258="",#N/A,SUM($HK$4:HK258))</f>
        <v>-2.5507240157544917</v>
      </c>
      <c r="HM258" s="303" t="str">
        <f t="shared" si="422"/>
        <v/>
      </c>
      <c r="HN258" s="303">
        <f>IF($J258="",#N/A,SUM($HM$4:HM258))</f>
        <v>0.957348620978966</v>
      </c>
      <c r="HO258" s="303" t="str">
        <f t="shared" si="423"/>
        <v/>
      </c>
      <c r="HP258" s="303">
        <f>IF($J258="",#N/A,SUM($HO$4:HO258))</f>
        <v>-0.10266465451722628</v>
      </c>
      <c r="HQ258" s="303" t="str">
        <f t="shared" si="424"/>
        <v/>
      </c>
      <c r="HR258" s="303">
        <f>IF($J258="",#N/A,SUM($HQ$4:HQ258))</f>
        <v>-14.596039294292455</v>
      </c>
      <c r="HS258" s="303" t="str">
        <f t="shared" si="425"/>
        <v/>
      </c>
      <c r="HT258" s="303">
        <f>IF($J258="",#N/A,SUM($HS$4:HS258))</f>
        <v>13.672084995730895</v>
      </c>
      <c r="HU258" s="305">
        <f t="shared" si="426"/>
        <v>-0.32669729453803237</v>
      </c>
      <c r="HV258" s="305">
        <f>IF($J258="",#N/A,SUM(HU$4:$HU258))</f>
        <v>6.1333735392311644</v>
      </c>
    </row>
    <row r="259" spans="1:230" x14ac:dyDescent="0.25">
      <c r="A259" s="59" t="s">
        <v>1513</v>
      </c>
      <c r="B259" s="289" t="s">
        <v>4566</v>
      </c>
      <c r="C259" s="230">
        <f t="shared" si="327"/>
        <v>2</v>
      </c>
      <c r="D259" s="220" t="str">
        <f>_xlfn.XLOOKUP(A259,[1]SP500!$A$2:$A$502,[1]SP500!$D$2:$D$502,"N")</f>
        <v>Y</v>
      </c>
      <c r="E259" s="59" t="str">
        <f>IFERROR(_xlfn.XLOOKUP(A259,[1]SP500!$A$2:$A$655,[1]SP500!$B$2:$B$655),"")</f>
        <v>XLP</v>
      </c>
      <c r="F259" s="290">
        <v>45782</v>
      </c>
      <c r="G259" s="59" t="str">
        <f t="shared" si="328"/>
        <v>AMC</v>
      </c>
      <c r="H259" s="59" t="str">
        <f t="shared" si="329"/>
        <v>s</v>
      </c>
      <c r="I259" s="376">
        <v>138.38999999999999</v>
      </c>
      <c r="J259" s="278">
        <v>134</v>
      </c>
      <c r="K259" s="60">
        <f t="shared" si="330"/>
        <v>-3.1721945227256208E-2</v>
      </c>
      <c r="L259" s="68">
        <f t="shared" si="331"/>
        <v>35.119999999999891</v>
      </c>
      <c r="M259" s="62">
        <f t="shared" si="332"/>
        <v>7.999999999992724E-2</v>
      </c>
      <c r="N259" s="63">
        <f t="shared" si="333"/>
        <v>35.119999999999891</v>
      </c>
      <c r="O259" s="62">
        <f>IF(N259="",#N/A,SUM($N$4:N259))</f>
        <v>739.64392465120898</v>
      </c>
      <c r="P259" s="64">
        <f t="shared" si="427"/>
        <v>0.52869908712093694</v>
      </c>
      <c r="Q259" s="183">
        <f>IF($N259="",#N/A,SUM($P$4:P259))</f>
        <v>15.71140031572603</v>
      </c>
      <c r="R259" s="279">
        <f t="shared" si="334"/>
        <v>4.1542915598891028</v>
      </c>
      <c r="S259" s="59" t="str">
        <f t="shared" si="335"/>
        <v>Dwn</v>
      </c>
      <c r="T259" s="59" t="s">
        <v>4462</v>
      </c>
      <c r="U259" s="61">
        <f t="shared" si="336"/>
        <v>138.38999999999999</v>
      </c>
      <c r="V259" s="61" t="s">
        <v>4458</v>
      </c>
      <c r="W259" s="142">
        <v>8</v>
      </c>
      <c r="X259" s="146">
        <f t="shared" si="337"/>
        <v>1107.1199999999999</v>
      </c>
      <c r="Y259" s="142">
        <f t="shared" si="338"/>
        <v>8</v>
      </c>
      <c r="Z259" s="278">
        <v>133.99</v>
      </c>
      <c r="AA259" s="63">
        <f t="shared" si="339"/>
        <v>35.199999999999818</v>
      </c>
      <c r="AB259" s="63">
        <f t="shared" si="340"/>
        <v>26.7199999999998</v>
      </c>
      <c r="AC259" s="125">
        <v>135.05000000000001</v>
      </c>
      <c r="AD259" s="148">
        <f t="shared" si="341"/>
        <v>26.7199999999998</v>
      </c>
      <c r="AE259" s="544">
        <f t="shared" si="342"/>
        <v>0.40224486354986821</v>
      </c>
      <c r="AF259" s="62">
        <f>IF($AC259="",#N/A,SUM(AD$4:AD259))</f>
        <v>313.42087220737915</v>
      </c>
      <c r="AG259" s="63">
        <f t="shared" si="343"/>
        <v>-8.4000000000000909</v>
      </c>
      <c r="AH259" s="61" t="s">
        <v>2507</v>
      </c>
      <c r="AI259" s="64">
        <f t="shared" si="344"/>
        <v>0.5299034130597079</v>
      </c>
      <c r="AJ259" s="177">
        <f>IF(AI259="",#N/A,SUM($AI$4:AI259))</f>
        <v>11.557108755836927</v>
      </c>
      <c r="AK259" s="62">
        <f t="shared" si="345"/>
        <v>35.199999999999818</v>
      </c>
      <c r="AL259" s="351">
        <f>IF(AI259="",#N/A,IF(AH259="Skip",SUM($AK$4:AK259),SUM($AK$4:AK259)))</f>
        <v>447.73759149281409</v>
      </c>
      <c r="AM259" s="65">
        <f t="shared" si="428"/>
        <v>0.40224486354986821</v>
      </c>
      <c r="AN259" s="210"/>
      <c r="AO259" s="64" t="str">
        <f t="shared" si="346"/>
        <v/>
      </c>
      <c r="AP259" s="64">
        <f>IF($AC259="",#N/A,SUM(AO$4:AO259))</f>
        <v>2.1404931228787447</v>
      </c>
      <c r="AQ259" s="64" t="str">
        <f t="shared" si="347"/>
        <v/>
      </c>
      <c r="AR259" s="64">
        <f>IF($AC259="",#N/A,SUM(AQ$4:AQ259))</f>
        <v>-2.1356705084748859</v>
      </c>
      <c r="AS259" s="64">
        <f t="shared" si="348"/>
        <v>0.40224486354986821</v>
      </c>
      <c r="AT259" s="64">
        <f>IF($AC259="",#N/A,SUM(AS$4:AS259))</f>
        <v>6.530795788377171</v>
      </c>
      <c r="AU259" s="62" t="str">
        <f t="shared" si="429"/>
        <v/>
      </c>
      <c r="AV259" s="62">
        <f>IF($AC259="",#N/A,SUM(AU$4:AU259))</f>
        <v>3.4224906610469361</v>
      </c>
      <c r="AW259" s="62" t="str">
        <f t="shared" si="430"/>
        <v/>
      </c>
      <c r="AX259" s="62">
        <f>IF($AC259="",#N/A,SUM(AW$4:AW259))</f>
        <v>-132.30000000000018</v>
      </c>
      <c r="AY259" s="62">
        <f t="shared" si="431"/>
        <v>26.7199999999998</v>
      </c>
      <c r="AZ259" s="62">
        <f>IF($AC259="",#N/A,SUM(AY$4:AY259))</f>
        <v>442.29838154633239</v>
      </c>
      <c r="BA259" s="62">
        <f>IF(AD259="",#N/A,SUM($AD$4:AD259))</f>
        <v>313.42087220737915</v>
      </c>
      <c r="BC259" s="59" t="str">
        <f t="shared" si="349"/>
        <v/>
      </c>
      <c r="BD259" s="59" t="str">
        <f t="shared" si="350"/>
        <v/>
      </c>
      <c r="BE259" s="59" t="str">
        <f t="shared" si="351"/>
        <v/>
      </c>
      <c r="BF259" s="59" t="str">
        <f t="shared" si="352"/>
        <v>Short</v>
      </c>
      <c r="BG259" s="59">
        <f t="shared" si="353"/>
        <v>1</v>
      </c>
      <c r="BH259" s="59" t="str">
        <f t="shared" si="354"/>
        <v/>
      </c>
      <c r="BI259" s="59" t="str">
        <f t="shared" si="355"/>
        <v/>
      </c>
      <c r="BK259" s="65">
        <f t="shared" si="435"/>
        <v>9.6823103620150591E-2</v>
      </c>
      <c r="BL259" s="65">
        <f t="shared" si="434"/>
        <v>0.17694647434879365</v>
      </c>
      <c r="BM259" s="65">
        <f>IFERROR(Q259/COUNTA($J$4:J259),#N/A)</f>
        <v>6.1372657483304803E-2</v>
      </c>
      <c r="BO259" s="489" t="e">
        <f>IF(J259="",#N/A,IF(S259="SW",(COUNTIFS(K$4:$K259,"&gt;0",S$4:$S259,"SW")/COUNTIF(S$4:$S259,"SW")),#N/A))</f>
        <v>#N/A</v>
      </c>
      <c r="BP259" s="489">
        <f>IF($J259="",#N/A,IF($S259="DWN",(COUNTIFS($K$4:$K259,"&lt;0",$S$4:$S259,"DWN")/COUNTIF($S$4:$S259,"DWN")),#N/A))</f>
        <v>0.5892857142857143</v>
      </c>
      <c r="BQ259" s="489" t="e">
        <f>IF($J259="",#N/A,IF($S259="UP",(COUNTIFS($K$4:$K259,"&gt;0",$S$4:$S259,"UP")/COUNTIF($S$4:$S259,"UP")),#N/A))</f>
        <v>#N/A</v>
      </c>
      <c r="BR259" s="489">
        <f>IF(J259="",#N/A,COUNTIF($K$4:K259,"&gt;0")/COUNT($J$4:J259))</f>
        <v>0.453125</v>
      </c>
      <c r="BS259" s="65" t="str">
        <f t="shared" si="356"/>
        <v/>
      </c>
      <c r="BT259" s="65" t="str">
        <f t="shared" si="357"/>
        <v/>
      </c>
      <c r="BU259" s="65">
        <f t="shared" si="358"/>
        <v>0.52869908712093694</v>
      </c>
      <c r="BV259" s="65" t="str">
        <f t="shared" si="359"/>
        <v/>
      </c>
      <c r="BW259" s="128" t="str">
        <f t="shared" si="360"/>
        <v/>
      </c>
      <c r="BX259" s="128">
        <f>IF($J259="",#N/A,SUM($BW$4:BW259))</f>
        <v>-192.33000000000061</v>
      </c>
      <c r="BY259" s="131">
        <f t="shared" si="361"/>
        <v>35.119999999999891</v>
      </c>
      <c r="BZ259" s="131">
        <f>IF($J259="",#N/A,SUM($BY$4:BY259))</f>
        <v>909.30234038933418</v>
      </c>
      <c r="CA259" s="133" t="str">
        <f t="shared" si="362"/>
        <v/>
      </c>
      <c r="CB259" s="133">
        <f>IF($J259="",#N/A,SUM($CA$4:CA259))</f>
        <v>22.67158426187541</v>
      </c>
      <c r="CC259" s="194" t="str">
        <f t="shared" si="363"/>
        <v/>
      </c>
      <c r="CD259" s="194">
        <f>IF($J259="",#N/A,SUM($CC$4:CC259))</f>
        <v>-2.9903544749366251</v>
      </c>
      <c r="CE259" s="195">
        <f t="shared" si="364"/>
        <v>0.52869908712093694</v>
      </c>
      <c r="CF259" s="195">
        <f>IF($J259="",#N/A,SUM($CE$4:CE259))</f>
        <v>15.637307369222354</v>
      </c>
      <c r="CG259" s="196" t="str">
        <f t="shared" si="365"/>
        <v/>
      </c>
      <c r="CH259" s="193">
        <f>IF($J259="",#N/A,SUM($CG$4:CG259))</f>
        <v>3.064447421440307</v>
      </c>
      <c r="CI259" s="200" t="str">
        <f t="shared" si="366"/>
        <v/>
      </c>
      <c r="CJ259" s="203">
        <f>IF($J259="",#N/A,SUM(CI$4:CI259))</f>
        <v>0</v>
      </c>
      <c r="CK259" s="204" t="str">
        <f t="shared" si="367"/>
        <v/>
      </c>
      <c r="CL259" s="204">
        <f>IF($J259="",#N/A,SUM(CK$4:CK259))</f>
        <v>1.9927003554442289</v>
      </c>
      <c r="CM259" s="205" t="str">
        <f t="shared" si="368"/>
        <v/>
      </c>
      <c r="CN259" s="205">
        <f>IF($J259="",#N/A,SUM(CM$4:CM259))</f>
        <v>2.5131182152625313</v>
      </c>
      <c r="CO259" s="205">
        <f>IF($J259="",#N/A,SUM(CM$4:CM259,CK$4:CK259,CI$4:CI259))</f>
        <v>4.5058185707067606</v>
      </c>
      <c r="CP259" s="200" t="str">
        <f t="shared" si="369"/>
        <v/>
      </c>
      <c r="CQ259" s="203">
        <f>IF($J259="",#N/A,SUM(CP$4:CP259))</f>
        <v>0</v>
      </c>
      <c r="CR259" s="204" t="str">
        <f t="shared" si="370"/>
        <v/>
      </c>
      <c r="CS259" s="204">
        <f>IF($J259="",#N/A,SUM(CR$4:CR259))</f>
        <v>4.6135245886817966</v>
      </c>
      <c r="CT259" s="205" t="str">
        <f t="shared" si="371"/>
        <v/>
      </c>
      <c r="CU259" s="205">
        <f>IF($J259="",#N/A,SUM(CT$4:CT259))</f>
        <v>-2.9040943753548785</v>
      </c>
      <c r="CV259" s="205">
        <f>IF($J259="",#N/A,SUM(CT$4:CT259,CR$4:CR259,CP$4:CP259))</f>
        <v>1.7094302133269181</v>
      </c>
      <c r="CW259" s="200" t="str">
        <f t="shared" si="372"/>
        <v/>
      </c>
      <c r="CX259" s="203">
        <f>IF($J259="",#N/A,SUM(CW$4:CW259))</f>
        <v>-0.33865165024245297</v>
      </c>
      <c r="CY259" s="204" t="str">
        <f t="shared" si="373"/>
        <v/>
      </c>
      <c r="CZ259" s="204">
        <f>IF($J259="",#N/A,SUM(CY$4:CY259))</f>
        <v>0.30198222879878239</v>
      </c>
      <c r="DA259" s="205" t="str">
        <f t="shared" si="374"/>
        <v/>
      </c>
      <c r="DB259" s="205">
        <f>IF($J259="",#N/A,SUM(DA$4:DA259))</f>
        <v>-2.1597383732727686</v>
      </c>
      <c r="DC259" s="205">
        <f>IF($J259="",#N/A,SUM(DA$4:DA259,CY$4:CY259,CW$4:CW259))</f>
        <v>-2.1964077947164395</v>
      </c>
      <c r="DD259" s="200" t="str">
        <f t="shared" si="375"/>
        <v/>
      </c>
      <c r="DE259" s="203">
        <f>IF($J259="",#N/A,SUM(DD$4:DD259))</f>
        <v>0.24769343410817113</v>
      </c>
      <c r="DF259" s="204">
        <f t="shared" si="376"/>
        <v>0.52869908712093694</v>
      </c>
      <c r="DG259" s="204">
        <f>IF($J259="",#N/A,SUM(DF$4:DF259))</f>
        <v>2.0536926011145376</v>
      </c>
      <c r="DH259" s="205" t="str">
        <f t="shared" si="377"/>
        <v/>
      </c>
      <c r="DI259" s="205">
        <f>IF($J259="",#N/A,SUM(DH$4:DH259))</f>
        <v>-2.7812008102163399</v>
      </c>
      <c r="DJ259" s="205">
        <f>IF($J259="",#N/A,SUM(DH$4:DH259,DF$4:DF259,DD$4:DD259))</f>
        <v>-0.47981477499363151</v>
      </c>
      <c r="DK259" s="200" t="str">
        <f t="shared" si="378"/>
        <v/>
      </c>
      <c r="DL259" s="203">
        <f>IF($J259="",#N/A,SUM(DK$4:DK259))</f>
        <v>-1.2097286851272664</v>
      </c>
      <c r="DM259" s="204" t="str">
        <f t="shared" si="379"/>
        <v/>
      </c>
      <c r="DN259" s="204">
        <f>IF($J259="",#N/A,SUM(DM$4:DM259))</f>
        <v>3.0281848543081331</v>
      </c>
      <c r="DO259" s="205" t="str">
        <f t="shared" si="380"/>
        <v/>
      </c>
      <c r="DP259" s="205">
        <f>IF($J259="",#N/A,SUM(DO$4:DO259))</f>
        <v>2.700331529683047</v>
      </c>
      <c r="DQ259" s="205">
        <f>IF($J259="",#N/A,SUM(DO$4:DO259,DM$4:DM259,DK$4:DK259))</f>
        <v>4.518787698863914</v>
      </c>
      <c r="DR259" s="200" t="str">
        <f t="shared" si="381"/>
        <v/>
      </c>
      <c r="DS259" s="203">
        <f>IF($J259="",#N/A,SUM(DR$4:DR259))</f>
        <v>-0.55950946427675097</v>
      </c>
      <c r="DT259" s="204" t="str">
        <f t="shared" si="382"/>
        <v/>
      </c>
      <c r="DU259" s="204">
        <f>IF($J259="",#N/A,SUM(DT$4:DT259))</f>
        <v>-0.87082853884823752</v>
      </c>
      <c r="DV259" s="205" t="str">
        <f t="shared" si="383"/>
        <v/>
      </c>
      <c r="DW259" s="205">
        <f>IF($J259="",#N/A,SUM(DV$4:DV259))</f>
        <v>-1.2815650893103838</v>
      </c>
      <c r="DX259" s="205">
        <f>IF($J259="",#N/A,SUM(DV$4:DV259,DT$4:DT259,DR$4:DR259))</f>
        <v>-2.7119030924353726</v>
      </c>
      <c r="DY259" s="200" t="str">
        <f t="shared" si="384"/>
        <v/>
      </c>
      <c r="DZ259" s="203">
        <f>IF($J259="",#N/A,SUM(DY$4:DY259))</f>
        <v>-1.0460034109943892</v>
      </c>
      <c r="EA259" s="204" t="str">
        <f t="shared" si="385"/>
        <v/>
      </c>
      <c r="EB259" s="204">
        <f>IF($J259="",#N/A,SUM(EA$4:EA259))</f>
        <v>1.0902674422317802</v>
      </c>
      <c r="EC259" s="205" t="str">
        <f t="shared" si="386"/>
        <v/>
      </c>
      <c r="ED259" s="205">
        <f>IF($J259="",#N/A,SUM(EC$4:EC259))</f>
        <v>4.5772092731053986</v>
      </c>
      <c r="EE259" s="205">
        <f>IF($J259="",#N/A,SUM(EC$4:EC259,EA$4:EA259,DY$4:DY259))</f>
        <v>4.6214733043427882</v>
      </c>
      <c r="EF259" s="200" t="str">
        <f t="shared" si="387"/>
        <v/>
      </c>
      <c r="EG259" s="203">
        <f>IF($J259="",#N/A,SUM(EF$4:EF259))</f>
        <v>-0.15098969023521425</v>
      </c>
      <c r="EH259" s="204" t="str">
        <f t="shared" si="388"/>
        <v/>
      </c>
      <c r="EI259" s="204">
        <f>IF($J259="",#N/A,SUM(EH$4:EH259))</f>
        <v>-2.3511346601809122</v>
      </c>
      <c r="EJ259" s="205" t="str">
        <f t="shared" si="389"/>
        <v/>
      </c>
      <c r="EK259" s="205">
        <f>IF($J259="",#N/A,SUM(EJ$4:EJ259))</f>
        <v>5.050388173053765</v>
      </c>
      <c r="EL259" s="205">
        <f>IF($J259="",#N/A,SUM(EJ$4:EJ259,EH$4:EH259,EF$4:EF259))</f>
        <v>2.5482638226376384</v>
      </c>
      <c r="EM259" s="200" t="str">
        <f t="shared" si="390"/>
        <v/>
      </c>
      <c r="EN259" s="203">
        <f>IF($J259="",#N/A,SUM(EM$4:EM259))</f>
        <v>0</v>
      </c>
      <c r="EO259" s="204" t="str">
        <f t="shared" si="391"/>
        <v/>
      </c>
      <c r="EP259" s="204">
        <f>IF($J259="",#N/A,SUM(EO$4:EO259))</f>
        <v>3.2406646352184261</v>
      </c>
      <c r="EQ259" s="205" t="str">
        <f t="shared" si="392"/>
        <v/>
      </c>
      <c r="ER259" s="205">
        <f>IF($J259="",#N/A,SUM(EQ$4:EQ259))</f>
        <v>1.441536272249796</v>
      </c>
      <c r="ES259" s="205">
        <f>IF($J259="",#N/A,SUM(EQ$4:EQ259,EO$4:EO259,EM$4:EM259))</f>
        <v>4.6822009074682214</v>
      </c>
      <c r="ET259" s="200" t="str">
        <f t="shared" si="393"/>
        <v/>
      </c>
      <c r="EU259" s="203">
        <f>IF($J259="",#N/A,SUM(ET$4:ET259))</f>
        <v>0</v>
      </c>
      <c r="EV259" s="204" t="str">
        <f t="shared" si="394"/>
        <v/>
      </c>
      <c r="EW259" s="204">
        <f>IF($J259="",#N/A,SUM(EV$4:EV259))</f>
        <v>2.6896999443708767</v>
      </c>
      <c r="EX259" s="205" t="str">
        <f t="shared" si="395"/>
        <v/>
      </c>
      <c r="EY259" s="205">
        <f>IF($J259="",#N/A,SUM(EX$4:EX259))</f>
        <v>0.27113250180669229</v>
      </c>
      <c r="EZ259" s="205">
        <f>IF($J259="",#N/A,SUM(EX$4:EX259,EV$4:EV259,ET$4:ET259))</f>
        <v>2.9608324461775686</v>
      </c>
      <c r="FA259" s="200" t="str">
        <f t="shared" si="396"/>
        <v/>
      </c>
      <c r="FB259" s="203">
        <f>IF($J259="",#N/A,SUM(FA$4:FA259))</f>
        <v>0</v>
      </c>
      <c r="FC259" s="204" t="str">
        <f t="shared" si="397"/>
        <v/>
      </c>
      <c r="FD259" s="204">
        <f>IF($J259="",#N/A,SUM(FC$4:FC259))</f>
        <v>1.3660078100500956</v>
      </c>
      <c r="FE259" s="205" t="str">
        <f t="shared" si="398"/>
        <v/>
      </c>
      <c r="FF259" s="205">
        <f>IF($J259="",#N/A,SUM(FE$4:FE259))</f>
        <v>-0.28811149078748233</v>
      </c>
      <c r="FG259" s="205">
        <f>IF($J259="",#N/A,SUM(FE$4:FE259,FC$4:FC259,FA$4:FA259))</f>
        <v>1.0778963192626136</v>
      </c>
      <c r="FH259" s="200" t="str">
        <f t="shared" si="399"/>
        <v/>
      </c>
      <c r="FI259" s="203">
        <f>IF($J259="",#N/A,SUM(FH$4:FH259))</f>
        <v>0</v>
      </c>
      <c r="FJ259" s="204" t="str">
        <f t="shared" si="400"/>
        <v/>
      </c>
      <c r="FK259" s="204">
        <f>IF($J259="",#N/A,SUM(FJ$4:FJ259))</f>
        <v>0</v>
      </c>
      <c r="FL259" s="205" t="str">
        <f t="shared" si="401"/>
        <v/>
      </c>
      <c r="FM259" s="205">
        <f>IF($J259="",#N/A,SUM(FL$4:FL259))</f>
        <v>0</v>
      </c>
      <c r="FN259" s="205">
        <f>IF($J259="",#N/A,SUM(FL$4:FL259,FJ$4:FJ259,FH$4:FH259))</f>
        <v>0</v>
      </c>
      <c r="FO259" s="200" t="str">
        <f t="shared" si="402"/>
        <v/>
      </c>
      <c r="FP259" s="203">
        <f>IF($J259="",#N/A,SUM(FO$4:FO259))</f>
        <v>0</v>
      </c>
      <c r="FQ259" s="204" t="str">
        <f t="shared" si="403"/>
        <v/>
      </c>
      <c r="FR259" s="204">
        <f>IF($J259="",#N/A,SUM(FQ$4:FQ259))</f>
        <v>0</v>
      </c>
      <c r="FS259" s="205" t="str">
        <f t="shared" si="404"/>
        <v/>
      </c>
      <c r="FT259" s="205">
        <f>IF($J259="",#N/A,SUM(FS$4:FS259))</f>
        <v>0</v>
      </c>
      <c r="FU259" s="205">
        <f>IF($J259="",#N/A,SUM(FS$4:FS259,FQ$4:FQ259,FO$4:FO259))</f>
        <v>0</v>
      </c>
      <c r="FV259" s="200" t="str">
        <f t="shared" si="405"/>
        <v/>
      </c>
      <c r="FW259" s="203">
        <f>IF($J259="",#N/A,SUM(FV$4:FV259))</f>
        <v>6.6834991831277585E-2</v>
      </c>
      <c r="FX259" s="204" t="str">
        <f t="shared" si="406"/>
        <v/>
      </c>
      <c r="FY259" s="204">
        <f>IF($J259="",#N/A,SUM(FX$4:FX259))</f>
        <v>-0.16102012791805576</v>
      </c>
      <c r="FZ259" s="205" t="str">
        <f t="shared" si="407"/>
        <v/>
      </c>
      <c r="GA259" s="205">
        <f>IF($J259="",#N/A,SUM(FZ$4:FZ259))</f>
        <v>-1.1377221770567538</v>
      </c>
      <c r="GB259" s="205">
        <f>IF($J259="",#N/A,SUM(FZ$4:FZ259,FX$4:FX259,FV$4:FV259))</f>
        <v>-1.2319073131435321</v>
      </c>
      <c r="GC259" s="200" t="str">
        <f t="shared" si="408"/>
        <v/>
      </c>
      <c r="GD259" s="203">
        <f>IF($J259="",#N/A,SUM(GC$4:GC259))</f>
        <v>0</v>
      </c>
      <c r="GE259" s="204" t="str">
        <f t="shared" si="409"/>
        <v/>
      </c>
      <c r="GF259" s="204">
        <f>IF($J259="",#N/A,SUM(GE$4:GE259))</f>
        <v>0</v>
      </c>
      <c r="GG259" s="205" t="str">
        <f t="shared" si="410"/>
        <v/>
      </c>
      <c r="GH259" s="205">
        <f>IF($J259="",#N/A,SUM(GG$4:GG259))</f>
        <v>-2.9368362277223206</v>
      </c>
      <c r="GI259" s="205">
        <f>IF($J259="",#N/A,SUM(GG$4:GG259,GE$4:GE259,GC$4:GC259))</f>
        <v>-2.9368362277223206</v>
      </c>
      <c r="GJ259" s="200" t="str">
        <f t="shared" si="411"/>
        <v/>
      </c>
      <c r="GK259" s="203">
        <f>IF($J259="",#N/A,SUM(GJ$4:GJ259))</f>
        <v>0</v>
      </c>
      <c r="GL259" s="204" t="str">
        <f t="shared" si="412"/>
        <v/>
      </c>
      <c r="GM259" s="204">
        <f>IF($J259="",#N/A,SUM(GL$4:GL259))</f>
        <v>-1.6833790887309608</v>
      </c>
      <c r="GN259" s="205" t="str">
        <f t="shared" si="413"/>
        <v/>
      </c>
      <c r="GO259" s="205">
        <f>IF($J259="",#N/A,SUM(GN$4:GN259))</f>
        <v>0</v>
      </c>
      <c r="GP259" s="205">
        <f>IF($J259="",#N/A,SUM(GN$4:GN259,GL$4:GL259,GJ$4:GJ259))</f>
        <v>-1.6833790887309608</v>
      </c>
      <c r="GS259" s="177">
        <f t="shared" si="432"/>
        <v>0.52869908712093694</v>
      </c>
      <c r="GT259" s="177">
        <f>IF(GS259="",NA(),SUM($GS$4:GS259))</f>
        <v>9.5813925657549337</v>
      </c>
      <c r="GU259" s="177" t="str">
        <f t="shared" si="414"/>
        <v/>
      </c>
      <c r="GV259" s="177" t="e">
        <f>IF(GU259="",NA(),SUM($GU$4:GU259))</f>
        <v>#N/A</v>
      </c>
      <c r="GW259" s="177" t="str">
        <f t="shared" si="415"/>
        <v/>
      </c>
      <c r="GX259" s="177" t="e">
        <f>IF(GW259="",NA(),SUM($GW$4:GW259))</f>
        <v>#N/A</v>
      </c>
      <c r="GY259" s="177">
        <f t="shared" si="416"/>
        <v>0.52869908712093694</v>
      </c>
      <c r="GZ259" s="177">
        <f>IF(GY259="",NA(),SUM($GY$4:GY259))</f>
        <v>8.1002632860395742</v>
      </c>
      <c r="HA259" s="177" t="str">
        <f t="shared" si="417"/>
        <v/>
      </c>
      <c r="HB259" s="177" t="e">
        <f>IF(HA259="",NA(),SUM($HA$4:HA259))</f>
        <v>#N/A</v>
      </c>
      <c r="HC259" s="177" t="str">
        <f t="shared" si="418"/>
        <v/>
      </c>
      <c r="HD259" s="177" t="e">
        <f>IF(HC259="",NA(),SUM($HC$4:HC259))</f>
        <v>#N/A</v>
      </c>
      <c r="HE259" s="177" t="str">
        <f t="shared" si="419"/>
        <v/>
      </c>
      <c r="HF259" s="177" t="e">
        <f>IF(HE259="",NA(),SUM($HE$4:HE259))</f>
        <v>#N/A</v>
      </c>
      <c r="HG259" s="177" t="str">
        <f t="shared" si="420"/>
        <v/>
      </c>
      <c r="HH259" s="177" t="e">
        <f>IF(HG259="",NA(),SUM($HG$4:HG259))</f>
        <v>#N/A</v>
      </c>
      <c r="HI259" s="183">
        <f t="shared" si="433"/>
        <v>-0.12645422357106872</v>
      </c>
      <c r="HJ259" s="183">
        <f>IF($J259="",#N/A,SUM(HI$4:$HI259))</f>
        <v>-6.5557875650906823</v>
      </c>
      <c r="HK259" s="177" t="str">
        <f t="shared" si="421"/>
        <v/>
      </c>
      <c r="HL259" s="177">
        <f>IF($J259="",#N/A,SUM($HK$4:HK259))</f>
        <v>-2.5507240157544917</v>
      </c>
      <c r="HM259" s="177" t="str">
        <f t="shared" si="422"/>
        <v/>
      </c>
      <c r="HN259" s="177">
        <f>IF($J259="",#N/A,SUM($HM$4:HM259))</f>
        <v>0.957348620978966</v>
      </c>
      <c r="HO259" s="177" t="str">
        <f t="shared" si="423"/>
        <v/>
      </c>
      <c r="HP259" s="177">
        <f>IF($J259="",#N/A,SUM($HO$4:HO259))</f>
        <v>-0.10266465451722628</v>
      </c>
      <c r="HQ259" s="177" t="str">
        <f t="shared" si="424"/>
        <v/>
      </c>
      <c r="HR259" s="177">
        <f>IF($J259="",#N/A,SUM($HQ$4:HQ259))</f>
        <v>-14.596039294292455</v>
      </c>
      <c r="HS259" s="177" t="str">
        <f t="shared" si="425"/>
        <v/>
      </c>
      <c r="HT259" s="177">
        <f>IF($J259="",#N/A,SUM($HS$4:HS259))</f>
        <v>13.672084995730895</v>
      </c>
      <c r="HU259" s="64">
        <f t="shared" si="426"/>
        <v>0.40224486354986821</v>
      </c>
      <c r="HV259" s="64">
        <f>IF($J259="",#N/A,SUM(HU$4:$HU259))</f>
        <v>6.5356184027810329</v>
      </c>
    </row>
    <row r="260" spans="1:230" x14ac:dyDescent="0.25">
      <c r="A260" s="59" t="s">
        <v>1423</v>
      </c>
      <c r="B260" s="289" t="s">
        <v>4566</v>
      </c>
      <c r="C260" s="230">
        <f t="shared" ref="C260:C323" si="436">IF(S260="Dwn",2,IF(S260="Up",1,IF(S260="SW",3,"x")))</f>
        <v>3</v>
      </c>
      <c r="D260" s="220" t="str">
        <f>_xlfn.XLOOKUP(A260,[1]SP500!$A$2:$A$502,[1]SP500!$D$2:$D$502,"N")</f>
        <v>N</v>
      </c>
      <c r="E260" s="59" t="str">
        <f>IFERROR(_xlfn.XLOOKUP(A260,[1]SP500!$A$2:$A$655,[1]SP500!$B$2:$B$655),"")</f>
        <v>XLY</v>
      </c>
      <c r="F260" s="290">
        <v>45782</v>
      </c>
      <c r="G260" s="59" t="str">
        <f t="shared" ref="G260:G323" si="437">IF(ISNUMBER(FIND("After",B260,1)),"AMC",IF(ISNUMBER(FIND("Before",B260,1)),"BMO","err"))</f>
        <v>AMC</v>
      </c>
      <c r="H260" s="59" t="str">
        <f t="shared" ref="H260:H323" si="438">IF(AH260="Skip","sk",IF(OR(S260="",V260=""),"",IF(AND(S260="Dwn",V260="Short"),"s",IF(AND(S260="Up",V260="Long"),"s",IF(AND(S260="SW",V260="Long"),"s","o")))))</f>
        <v>s</v>
      </c>
      <c r="I260" s="376">
        <v>10.17</v>
      </c>
      <c r="J260" s="125">
        <v>10.09</v>
      </c>
      <c r="K260" s="60">
        <f t="shared" ref="K260:K323" si="439">IF(J260="","",(J260-I260)/I260)</f>
        <v>-7.8662733529990241E-3</v>
      </c>
      <c r="L260" s="68">
        <f t="shared" ref="L260:L323" si="440">IF(OR($Y260="",J260=""),"",IF($V260="Long",(($J260*$Y260)-$X260),($X260-($J260*$Y260))))</f>
        <v>-8.7999999999999545</v>
      </c>
      <c r="M260" s="62">
        <f t="shared" ref="M260:M323" si="441">IF(L260="","",IF(AK260="",#N/A,IF(AH260="Open",AK260-L260,#N/A)))</f>
        <v>4.4000000000000909</v>
      </c>
      <c r="N260" s="63">
        <f t="shared" ref="N260:N323" si="442">IF(OR($Y260="",L260=""),"",IF($BF260="Long",(($J260*$Y260)-$X260),($X260-($J260*$Y260))))</f>
        <v>-8.7999999999999545</v>
      </c>
      <c r="O260" s="62">
        <f>IF(N260="",#N/A,SUM($N$4:N260))</f>
        <v>730.84392465120902</v>
      </c>
      <c r="P260" s="64">
        <f t="shared" si="427"/>
        <v>-0.13110455588331626</v>
      </c>
      <c r="Q260" s="183">
        <f>IF($N260="",#N/A,SUM($P$4:P260))</f>
        <v>15.580295759842713</v>
      </c>
      <c r="R260" s="279">
        <f t="shared" ref="R260:R323" si="443">IF(AND(AH260="MOC",AC260=""),#N/A,IFERROR(Q260-AJ260,Q260-0))</f>
        <v>4.0887392819474417</v>
      </c>
      <c r="S260" s="59" t="str">
        <f t="shared" ref="S260:S323" si="444">IF(T260="Down","Dwn",IF(T260="Up","Up",IF(AND(T260="",K260=""),"",IF(AND(K260&lt;0,T260="Yes"),"Dwn",IF(AND(K260&gt;0,T260="Yes"),"Up",IF(AND(K260&lt;0,T260="No"),"Up",IF(AND(K260&gt;0,T260="No"),"Dwn",IF(T260="NA","SW","err"))))))))</f>
        <v>SW</v>
      </c>
      <c r="T260" s="59" t="s">
        <v>2828</v>
      </c>
      <c r="U260" s="61">
        <f t="shared" ref="U260:U323" si="445">I260</f>
        <v>10.17</v>
      </c>
      <c r="V260" s="61" t="s">
        <v>4460</v>
      </c>
      <c r="W260" s="142">
        <v>110</v>
      </c>
      <c r="X260" s="146">
        <f t="shared" ref="X260:X323" si="446">IF(W260="","",U260*W260)</f>
        <v>1118.7</v>
      </c>
      <c r="Y260" s="142">
        <f t="shared" ref="Y260:Y323" si="447">IF(W260="","",W260)</f>
        <v>110</v>
      </c>
      <c r="Z260" s="278">
        <v>10.130000000000001</v>
      </c>
      <c r="AA260" s="63">
        <f t="shared" ref="AA260:AA323" si="448">IF($Z260="","",IF($V260="Long",(($Z260*$Y260)-$X260),($X260-($Z260*$Y260))))</f>
        <v>-4.3999999999998636</v>
      </c>
      <c r="AB260" s="63">
        <f t="shared" ref="AB260:AB323" si="449">IF($AC260="","",IF($V260="Long",(($AC260*$Y260)-$X260),($X260-($AC260*$Y260))))</f>
        <v>29.699999999999818</v>
      </c>
      <c r="AC260" s="125">
        <v>10.44</v>
      </c>
      <c r="AD260" s="148">
        <f t="shared" ref="AD260:AD323" si="450">IF(AC260="","",IF(OR($Y260="",CV260=""),"",IF($BF260="Long",(($AC260*$Y260)-$X260),($X260-($AC260*$Y260)))))</f>
        <v>29.699999999999818</v>
      </c>
      <c r="AE260" s="544">
        <f t="shared" ref="AE260:AE323" si="451">IF(OR($Y260="",$AD260=""),"",IF($BF260="Long",(($AC260*$Y260)-$X260)/($X260*0.06),($X260-($AC260*$Y260))/($X260*0.06)))</f>
        <v>0.44247787610619199</v>
      </c>
      <c r="AF260" s="62">
        <f>IF($AC260="",#N/A,SUM(AD$4:AD260))</f>
        <v>343.12087220737897</v>
      </c>
      <c r="AG260" s="63">
        <f t="shared" ref="AG260:AG323" si="452">IF(OR(AD260="",AC260=""),"",AD260-N260)</f>
        <v>38.499999999999773</v>
      </c>
      <c r="AH260" s="61" t="s">
        <v>2507</v>
      </c>
      <c r="AI260" s="64">
        <f t="shared" ref="AI260:AI323" si="453">IF(AND(AH260="MOC",AC260=""),"",IF(Z260="","",IF(AH260="Skip",0,IF(AK260=0,0,AK260/(X260*0.06)))))</f>
        <v>-6.5552277941656439E-2</v>
      </c>
      <c r="AJ260" s="383">
        <f>IF(AI260="",#N/A,SUM($AI$4:AI260))</f>
        <v>11.491556477895271</v>
      </c>
      <c r="AK260" s="62">
        <f t="shared" ref="AK260:AK323" si="454">IF(AH260="","",IF(AH260="Skip","",IF(OR(AH260="open",AH260="Other"),AA260,IF(AH260="MOC",AB260,"Err"))))</f>
        <v>-4.3999999999998636</v>
      </c>
      <c r="AL260" s="351">
        <f>IF(AI260="",#N/A,IF(AH260="Skip",SUM($AK$4:AK260),SUM($AK$4:AK260)))</f>
        <v>443.33759149281423</v>
      </c>
      <c r="AM260" s="65">
        <f t="shared" si="428"/>
        <v>0.44247787610619199</v>
      </c>
      <c r="AN260" s="210"/>
      <c r="AO260" s="64">
        <f t="shared" ref="AO260:AO323" si="455">IF(AND($S260="SW",$BF260="Long"),$HU260,"")</f>
        <v>0.44247787610619199</v>
      </c>
      <c r="AP260" s="64">
        <f>IF($AC260="",#N/A,SUM(AO$4:AO260))</f>
        <v>2.5829709989849365</v>
      </c>
      <c r="AQ260" s="64" t="str">
        <f t="shared" ref="AQ260:AQ323" si="456">IF(AND($S260="UP",$BF260="Long"),$HU260,"")</f>
        <v/>
      </c>
      <c r="AR260" s="64">
        <f>IF($AC260="",#N/A,SUM(AQ$4:AQ260))</f>
        <v>-2.1356705084748859</v>
      </c>
      <c r="AS260" s="64" t="str">
        <f t="shared" ref="AS260:AS323" si="457">IF(AND($S260="Dwn",$BF260="Short"),$HU260,"")</f>
        <v/>
      </c>
      <c r="AT260" s="64">
        <f>IF($AC260="",#N/A,SUM(AS$4:AS260))</f>
        <v>6.530795788377171</v>
      </c>
      <c r="AU260" s="62">
        <f t="shared" si="429"/>
        <v>29.699999999999818</v>
      </c>
      <c r="AV260" s="62">
        <f>IF($AC260="",#N/A,SUM(AU$4:AU260))</f>
        <v>33.122490661046754</v>
      </c>
      <c r="AW260" s="62" t="str">
        <f t="shared" si="430"/>
        <v/>
      </c>
      <c r="AX260" s="62">
        <f>IF($AC260="",#N/A,SUM(AW$4:AW260))</f>
        <v>-132.30000000000018</v>
      </c>
      <c r="AY260" s="62" t="str">
        <f t="shared" si="431"/>
        <v/>
      </c>
      <c r="AZ260" s="62">
        <f>IF($AC260="",#N/A,SUM(AY$4:AY260))</f>
        <v>442.29838154633239</v>
      </c>
      <c r="BA260" s="62">
        <f>IF(AD260="",#N/A,SUM($AD$4:AD260))</f>
        <v>343.12087220737897</v>
      </c>
      <c r="BC260" s="59" t="str">
        <f t="shared" ref="BC260:BC323" si="458">IF(K260="","",IF(AND(K260&gt;0,T260="Yes"),1,""))</f>
        <v/>
      </c>
      <c r="BD260" s="59" t="str">
        <f t="shared" ref="BD260:BD323" si="459">IF(K260="","",IF(AND($K260&gt;0,$T260="No"),1,""))</f>
        <v/>
      </c>
      <c r="BE260" s="59" t="str">
        <f t="shared" ref="BE260:BE323" si="460">IF(K260="","",IF(AND($K260&gt;0,$T260="NA"),1,""))</f>
        <v/>
      </c>
      <c r="BF260" s="59" t="str">
        <f t="shared" ref="BF260:BF323" si="461">IF(S260="Dwn","Short","Long")</f>
        <v>Long</v>
      </c>
      <c r="BG260" s="59" t="str">
        <f t="shared" ref="BG260:BG323" si="462">IF(K260="","",IF(AND($K260&lt;0,$T260="Yes"),1,""))</f>
        <v/>
      </c>
      <c r="BH260" s="59" t="str">
        <f t="shared" ref="BH260:BH323" si="463">IF(K260="","",IF(AND($K260&lt;0,$T260="No"),1,""))</f>
        <v/>
      </c>
      <c r="BI260" s="59">
        <f t="shared" ref="BI260:BI323" si="464">IF(K260="","",IF(AND($K260&lt;0,$T260="NA"),1,""))</f>
        <v>1</v>
      </c>
      <c r="BK260" s="65">
        <f t="shared" si="435"/>
        <v>9.7964029917378778E-2</v>
      </c>
      <c r="BL260" s="65">
        <f t="shared" si="434"/>
        <v>0.14491095600969572</v>
      </c>
      <c r="BM260" s="65">
        <f>IFERROR(Q260/COUNTA($J$4:J260),#N/A)</f>
        <v>6.0623718909893827E-2</v>
      </c>
      <c r="BO260" s="489">
        <f>IF(J260="",#N/A,IF(S260="SW",(COUNTIFS(K$4:$K260,"&gt;0",S$4:$S260,"SW")/COUNTIF(S$4:$S260,"SW")),#N/A))</f>
        <v>0.49242424242424243</v>
      </c>
      <c r="BP260" s="489" t="e">
        <f>IF($J260="",#N/A,IF($S260="DWN",(COUNTIFS($K$4:$K260,"&lt;0",$S$4:$S260,"DWN")/COUNTIF($S$4:$S260,"DWN")),#N/A))</f>
        <v>#N/A</v>
      </c>
      <c r="BQ260" s="489" t="e">
        <f>IF($J260="",#N/A,IF($S260="UP",(COUNTIFS($K$4:$K260,"&gt;0",$S$4:$S260,"UP")/COUNTIF($S$4:$S260,"UP")),#N/A))</f>
        <v>#N/A</v>
      </c>
      <c r="BR260" s="489">
        <f>IF(J260="",#N/A,COUNTIF($K$4:K260,"&gt;0")/COUNT($J$4:J260))</f>
        <v>0.45136186770428016</v>
      </c>
      <c r="BS260" s="65" t="str">
        <f t="shared" ref="BS260:BS323" si="465">IF($AH260="Skip","",IF($J260="","",IF(AND($V260="Long",$L260&gt;0),$P260,"")))</f>
        <v/>
      </c>
      <c r="BT260" s="65">
        <f t="shared" ref="BT260:BT323" si="466">IF($AH260="Skip","",IF($J260="","",IF(AND($V260="Long",$L260&lt;0),$P260,"")))</f>
        <v>-0.13110455588331626</v>
      </c>
      <c r="BU260" s="65" t="str">
        <f t="shared" ref="BU260:BU323" si="467">IF($AH260="Skip","",IF($J260="","",IF(AND($V260="Short",$L260&gt;0),$P260,"")))</f>
        <v/>
      </c>
      <c r="BV260" s="65" t="str">
        <f t="shared" ref="BV260:BV323" si="468">IF($AH260="Skip","",IF($J260="","",IF(AND($V260="Short",$L260&lt;0),$P260,"")))</f>
        <v/>
      </c>
      <c r="BW260" s="128" t="str">
        <f t="shared" ref="BW260:BW323" si="469">IF(AND($S260="Up",$BF260="Long"),$N260,"")</f>
        <v/>
      </c>
      <c r="BX260" s="128">
        <f>IF($J260="",#N/A,SUM($BW$4:BW260))</f>
        <v>-192.33000000000061</v>
      </c>
      <c r="BY260" s="131" t="str">
        <f t="shared" ref="BY260:BY323" si="470">IF(AND($S260="Dwn",$BF260="Short"),$N260,"")</f>
        <v/>
      </c>
      <c r="BZ260" s="131">
        <f>IF($J260="",#N/A,SUM($BY$4:BY260))</f>
        <v>909.30234038933418</v>
      </c>
      <c r="CA260" s="133">
        <f t="shared" ref="CA260:CA323" si="471">IF(AND($S260="SW",$BF260="Long"),$N260,"")</f>
        <v>-8.7999999999999545</v>
      </c>
      <c r="CB260" s="133">
        <f>IF($J260="",#N/A,SUM($CA$4:CA260))</f>
        <v>13.871584261875455</v>
      </c>
      <c r="CC260" s="194" t="str">
        <f t="shared" ref="CC260:CC323" si="472">IF(AND($S260="Up",$BF260="Long"),$P260,"")</f>
        <v/>
      </c>
      <c r="CD260" s="194">
        <f>IF($J260="",#N/A,SUM($CC$4:CC260))</f>
        <v>-2.9903544749366251</v>
      </c>
      <c r="CE260" s="195" t="str">
        <f t="shared" ref="CE260:CE323" si="473">IF(AND($S260="Dwn",$BF260="Short"),$P260,"")</f>
        <v/>
      </c>
      <c r="CF260" s="195">
        <f>IF($J260="",#N/A,SUM($CE$4:CE260))</f>
        <v>15.637307369222354</v>
      </c>
      <c r="CG260" s="196">
        <f t="shared" ref="CG260:CG323" si="474">IF(AND($S260="SW",$BF260="Long"),$P260,"")</f>
        <v>-0.13110455588331626</v>
      </c>
      <c r="CH260" s="196">
        <f>IF($J260="",#N/A,SUM($CG$4:CG260))</f>
        <v>2.9333428655569906</v>
      </c>
      <c r="CI260" s="200" t="str">
        <f t="shared" ref="CI260:CI323" si="475">IF(AND($S260="Up",$BF260="Long",$E260=CI$2),$P260,"")</f>
        <v/>
      </c>
      <c r="CJ260" s="203">
        <f>IF($J260="",#N/A,SUM(CI$4:CI260))</f>
        <v>0</v>
      </c>
      <c r="CK260" s="204" t="str">
        <f t="shared" ref="CK260:CK323" si="476">IF(AND($S260="Dwn",$BF260="Short",$E260=CI$2),$P260,"")</f>
        <v/>
      </c>
      <c r="CL260" s="204">
        <f>IF($J260="",#N/A,SUM(CK$4:CK260))</f>
        <v>1.9927003554442289</v>
      </c>
      <c r="CM260" s="205" t="str">
        <f t="shared" ref="CM260:CM323" si="477">IF(AND($S260="SW",$BF260="Long",$E260=CI$2),$P260,"")</f>
        <v/>
      </c>
      <c r="CN260" s="205">
        <f>IF($J260="",#N/A,SUM(CM$4:CM260))</f>
        <v>2.5131182152625313</v>
      </c>
      <c r="CO260" s="205">
        <f>IF($J260="",#N/A,SUM(CM$4:CM260,CK$4:CK260,CI$4:CI260))</f>
        <v>4.5058185707067606</v>
      </c>
      <c r="CP260" s="200" t="str">
        <f t="shared" ref="CP260:CP323" si="478">IF(AND($S260="Up",$BF260="Long",$E260=CP$2),$P260,"")</f>
        <v/>
      </c>
      <c r="CQ260" s="203">
        <f>IF($J260="",#N/A,SUM(CP$4:CP260))</f>
        <v>0</v>
      </c>
      <c r="CR260" s="204" t="str">
        <f t="shared" ref="CR260:CR323" si="479">IF(AND($S260="Dwn",$BF260="Short",$E260=CP$2),$P260,"")</f>
        <v/>
      </c>
      <c r="CS260" s="204">
        <f>IF($J260="",#N/A,SUM(CR$4:CR260))</f>
        <v>4.6135245886817966</v>
      </c>
      <c r="CT260" s="205" t="str">
        <f t="shared" ref="CT260:CT323" si="480">IF(AND($S260="SW",$BF260="Long",$E260=CP$2),$P260,"")</f>
        <v/>
      </c>
      <c r="CU260" s="205">
        <f>IF($J260="",#N/A,SUM(CT$4:CT260))</f>
        <v>-2.9040943753548785</v>
      </c>
      <c r="CV260" s="205">
        <f>IF($J260="",#N/A,SUM(CT$4:CT260,CR$4:CR260,CP$4:CP260))</f>
        <v>1.7094302133269181</v>
      </c>
      <c r="CW260" s="200" t="str">
        <f t="shared" ref="CW260:CW323" si="481">IF(AND($S260="Up",$BF260="Long",$E260=CW$2),$P260,"")</f>
        <v/>
      </c>
      <c r="CX260" s="203">
        <f>IF($J260="",#N/A,SUM(CW$4:CW260))</f>
        <v>-0.33865165024245297</v>
      </c>
      <c r="CY260" s="204" t="str">
        <f t="shared" ref="CY260:CY323" si="482">IF(AND($S260="Dwn",$BF260="Short",$E260=CW$2),$P260,"")</f>
        <v/>
      </c>
      <c r="CZ260" s="204">
        <f>IF($J260="",#N/A,SUM(CY$4:CY260))</f>
        <v>0.30198222879878239</v>
      </c>
      <c r="DA260" s="205">
        <f t="shared" ref="DA260:DA323" si="483">IF(AND($S260="SW",$BF260="Long",$E260=CW$2),$P260,"")</f>
        <v>-0.13110455588331626</v>
      </c>
      <c r="DB260" s="205">
        <f>IF($J260="",#N/A,SUM(DA$4:DA260))</f>
        <v>-2.290842929156085</v>
      </c>
      <c r="DC260" s="205">
        <f>IF($J260="",#N/A,SUM(DA$4:DA260,CY$4:CY260,CW$4:CW260))</f>
        <v>-2.3275123505997555</v>
      </c>
      <c r="DD260" s="200" t="str">
        <f t="shared" ref="DD260:DD323" si="484">IF(AND($S260="Up",$BF260="Long",$E260=DD$2),$P260,"")</f>
        <v/>
      </c>
      <c r="DE260" s="203">
        <f>IF($J260="",#N/A,SUM(DD$4:DD260))</f>
        <v>0.24769343410817113</v>
      </c>
      <c r="DF260" s="204" t="str">
        <f t="shared" ref="DF260:DF323" si="485">IF(AND($S260="Dwn",$BF260="Short",$E260=DD$2),$P260,"")</f>
        <v/>
      </c>
      <c r="DG260" s="204">
        <f>IF($J260="",#N/A,SUM(DF$4:DF260))</f>
        <v>2.0536926011145376</v>
      </c>
      <c r="DH260" s="205" t="str">
        <f t="shared" ref="DH260:DH323" si="486">IF(AND($S260="SW",$BF260="Long",$E260=DD$2),$P260,"")</f>
        <v/>
      </c>
      <c r="DI260" s="205">
        <f>IF($J260="",#N/A,SUM(DH$4:DH260))</f>
        <v>-2.7812008102163399</v>
      </c>
      <c r="DJ260" s="205">
        <f>IF($J260="",#N/A,SUM(DH$4:DH260,DF$4:DF260,DD$4:DD260))</f>
        <v>-0.47981477499363151</v>
      </c>
      <c r="DK260" s="200" t="str">
        <f t="shared" ref="DK260:DK323" si="487">IF(AND($S260="Up",$BF260="Long",$E260=DK$2),$P260,"")</f>
        <v/>
      </c>
      <c r="DL260" s="203">
        <f>IF($J260="",#N/A,SUM(DK$4:DK260))</f>
        <v>-1.2097286851272664</v>
      </c>
      <c r="DM260" s="204" t="str">
        <f t="shared" ref="DM260:DM323" si="488">IF(AND($S260="Dwn",$BF260="Short",$E260=DK$2),$P260,"")</f>
        <v/>
      </c>
      <c r="DN260" s="204">
        <f>IF($J260="",#N/A,SUM(DM$4:DM260))</f>
        <v>3.0281848543081331</v>
      </c>
      <c r="DO260" s="205" t="str">
        <f t="shared" ref="DO260:DO323" si="489">IF(AND($S260="SW",$BF260="Long",$E260=DK$2),$P260,"")</f>
        <v/>
      </c>
      <c r="DP260" s="205">
        <f>IF($J260="",#N/A,SUM(DO$4:DO260))</f>
        <v>2.700331529683047</v>
      </c>
      <c r="DQ260" s="205">
        <f>IF($J260="",#N/A,SUM(DO$4:DO260,DM$4:DM260,DK$4:DK260))</f>
        <v>4.518787698863914</v>
      </c>
      <c r="DR260" s="200" t="str">
        <f t="shared" ref="DR260:DR323" si="490">IF(AND($S260="Up",$BF260="Long",$E260=DR$2),$P260,"")</f>
        <v/>
      </c>
      <c r="DS260" s="203">
        <f>IF($J260="",#N/A,SUM(DR$4:DR260))</f>
        <v>-0.55950946427675097</v>
      </c>
      <c r="DT260" s="204" t="str">
        <f t="shared" ref="DT260:DT323" si="491">IF(AND($S260="Dwn",$BF260="Short",$E260=DR$2),$P260,"")</f>
        <v/>
      </c>
      <c r="DU260" s="204">
        <f>IF($J260="",#N/A,SUM(DT$4:DT260))</f>
        <v>-0.87082853884823752</v>
      </c>
      <c r="DV260" s="205" t="str">
        <f t="shared" ref="DV260:DV323" si="492">IF(AND($S260="SW",$BF260="Long",$E260=DR$2),$P260,"")</f>
        <v/>
      </c>
      <c r="DW260" s="205">
        <f>IF($J260="",#N/A,SUM(DV$4:DV260))</f>
        <v>-1.2815650893103838</v>
      </c>
      <c r="DX260" s="205">
        <f>IF($J260="",#N/A,SUM(DV$4:DV260,DT$4:DT260,DR$4:DR260))</f>
        <v>-2.7119030924353726</v>
      </c>
      <c r="DY260" s="200" t="str">
        <f t="shared" ref="DY260:DY323" si="493">IF(AND($S260="Up",$BF260="Long",$E260=DY$2),$P260,"")</f>
        <v/>
      </c>
      <c r="DZ260" s="203">
        <f>IF($J260="",#N/A,SUM(DY$4:DY260))</f>
        <v>-1.0460034109943892</v>
      </c>
      <c r="EA260" s="204" t="str">
        <f t="shared" ref="EA260:EA323" si="494">IF(AND($S260="Dwn",$BF260="Short",$E260=DY$2),$P260,"")</f>
        <v/>
      </c>
      <c r="EB260" s="204">
        <f>IF($J260="",#N/A,SUM(EA$4:EA260))</f>
        <v>1.0902674422317802</v>
      </c>
      <c r="EC260" s="205" t="str">
        <f t="shared" ref="EC260:EC323" si="495">IF(AND($S260="SW",$BF260="Long",$E260=DY$2),$P260,"")</f>
        <v/>
      </c>
      <c r="ED260" s="205">
        <f>IF($J260="",#N/A,SUM(EC$4:EC260))</f>
        <v>4.5772092731053986</v>
      </c>
      <c r="EE260" s="205">
        <f>IF($J260="",#N/A,SUM(EC$4:EC260,EA$4:EA260,DY$4:DY260))</f>
        <v>4.6214733043427882</v>
      </c>
      <c r="EF260" s="200" t="str">
        <f t="shared" ref="EF260:EF323" si="496">IF(AND($S260="Up",$BF260="Long",$E260=EF$2),$P260,"")</f>
        <v/>
      </c>
      <c r="EG260" s="203">
        <f>IF($J260="",#N/A,SUM(EF$4:EF260))</f>
        <v>-0.15098969023521425</v>
      </c>
      <c r="EH260" s="204" t="str">
        <f t="shared" ref="EH260:EH323" si="497">IF(AND($S260="Dwn",$BF260="Short",$E260=EF$2),$P260,"")</f>
        <v/>
      </c>
      <c r="EI260" s="204">
        <f>IF($J260="",#N/A,SUM(EH$4:EH260))</f>
        <v>-2.3511346601809122</v>
      </c>
      <c r="EJ260" s="205" t="str">
        <f t="shared" ref="EJ260:EJ323" si="498">IF(AND($S260="SW",$BF260="Long",$E260=EF$2),$P260,"")</f>
        <v/>
      </c>
      <c r="EK260" s="205">
        <f>IF($J260="",#N/A,SUM(EJ$4:EJ260))</f>
        <v>5.050388173053765</v>
      </c>
      <c r="EL260" s="205">
        <f>IF($J260="",#N/A,SUM(EJ$4:EJ260,EH$4:EH260,EF$4:EF260))</f>
        <v>2.5482638226376384</v>
      </c>
      <c r="EM260" s="200" t="str">
        <f t="shared" ref="EM260:EM323" si="499">IF(AND($S260="Up",$BF260="Long",$E260=EM$2),$P260,"")</f>
        <v/>
      </c>
      <c r="EN260" s="203">
        <f>IF($J260="",#N/A,SUM(EM$4:EM260))</f>
        <v>0</v>
      </c>
      <c r="EO260" s="204" t="str">
        <f t="shared" ref="EO260:EO323" si="500">IF(AND($S260="Dwn",$BF260="Short",$E260=EM$2),$P260,"")</f>
        <v/>
      </c>
      <c r="EP260" s="204">
        <f>IF($J260="",#N/A,SUM(EO$4:EO260))</f>
        <v>3.2406646352184261</v>
      </c>
      <c r="EQ260" s="205" t="str">
        <f t="shared" ref="EQ260:EQ323" si="501">IF(AND($S260="SW",$BF260="Long",$E260=EM$2),$P260,"")</f>
        <v/>
      </c>
      <c r="ER260" s="205">
        <f>IF($J260="",#N/A,SUM(EQ$4:EQ260))</f>
        <v>1.441536272249796</v>
      </c>
      <c r="ES260" s="205">
        <f>IF($J260="",#N/A,SUM(EQ$4:EQ260,EO$4:EO260,EM$4:EM260))</f>
        <v>4.6822009074682214</v>
      </c>
      <c r="ET260" s="200" t="str">
        <f t="shared" ref="ET260:ET323" si="502">IF(AND($S260="Up",$BF260="Long",$E260=ET$2),$P260,"")</f>
        <v/>
      </c>
      <c r="EU260" s="203">
        <f>IF($J260="",#N/A,SUM(ET$4:ET260))</f>
        <v>0</v>
      </c>
      <c r="EV260" s="204" t="str">
        <f t="shared" ref="EV260:EV323" si="503">IF(AND($S260="Dwn",$BF260="Short",$E260=ET$2),$P260,"")</f>
        <v/>
      </c>
      <c r="EW260" s="204">
        <f>IF($J260="",#N/A,SUM(EV$4:EV260))</f>
        <v>2.6896999443708767</v>
      </c>
      <c r="EX260" s="205" t="str">
        <f t="shared" ref="EX260:EX323" si="504">IF(AND($S260="SW",$BF260="Long",$E260=ET$2),$P260,"")</f>
        <v/>
      </c>
      <c r="EY260" s="205">
        <f>IF($J260="",#N/A,SUM(EX$4:EX260))</f>
        <v>0.27113250180669229</v>
      </c>
      <c r="EZ260" s="205">
        <f>IF($J260="",#N/A,SUM(EX$4:EX260,EV$4:EV260,ET$4:ET260))</f>
        <v>2.9608324461775686</v>
      </c>
      <c r="FA260" s="200" t="str">
        <f t="shared" ref="FA260:FA323" si="505">IF(AND($S260="Up",$BF260="Long",$E260=FA$2),$P260,"")</f>
        <v/>
      </c>
      <c r="FB260" s="203">
        <f>IF($J260="",#N/A,SUM(FA$4:FA260))</f>
        <v>0</v>
      </c>
      <c r="FC260" s="204" t="str">
        <f t="shared" ref="FC260:FC323" si="506">IF(AND($S260="Dwn",$BF260="Short",$E260=FA$2),$P260,"")</f>
        <v/>
      </c>
      <c r="FD260" s="204">
        <f>IF($J260="",#N/A,SUM(FC$4:FC260))</f>
        <v>1.3660078100500956</v>
      </c>
      <c r="FE260" s="205" t="str">
        <f t="shared" ref="FE260:FE323" si="507">IF(AND($S260="SW",$BF260="Long",$E260=FA$2),$P260,"")</f>
        <v/>
      </c>
      <c r="FF260" s="205">
        <f>IF($J260="",#N/A,SUM(FE$4:FE260))</f>
        <v>-0.28811149078748233</v>
      </c>
      <c r="FG260" s="205">
        <f>IF($J260="",#N/A,SUM(FE$4:FE260,FC$4:FC260,FA$4:FA260))</f>
        <v>1.0778963192626136</v>
      </c>
      <c r="FH260" s="200" t="str">
        <f t="shared" ref="FH260:FH323" si="508">IF(AND($S260="Up",$BF260="Long",$E260=FH$2),$P260,"")</f>
        <v/>
      </c>
      <c r="FI260" s="203">
        <f>IF($J260="",#N/A,SUM(FH$4:FH260))</f>
        <v>0</v>
      </c>
      <c r="FJ260" s="204" t="str">
        <f t="shared" ref="FJ260:FJ323" si="509">IF(AND($S260="Dwn",$BF260="Short",$E260=FH$2),$P260,"")</f>
        <v/>
      </c>
      <c r="FK260" s="204">
        <f>IF($J260="",#N/A,SUM(FJ$4:FJ260))</f>
        <v>0</v>
      </c>
      <c r="FL260" s="205" t="str">
        <f t="shared" ref="FL260:FL323" si="510">IF(AND($S260="SW",$BF260="Long",$E260=FH$2),$P260,"")</f>
        <v/>
      </c>
      <c r="FM260" s="205">
        <f>IF($J260="",#N/A,SUM(FL$4:FL260))</f>
        <v>0</v>
      </c>
      <c r="FN260" s="205">
        <f>IF($J260="",#N/A,SUM(FL$4:FL260,FJ$4:FJ260,FH$4:FH260))</f>
        <v>0</v>
      </c>
      <c r="FO260" s="200" t="str">
        <f t="shared" ref="FO260:FO323" si="511">IF(AND($S260="Up",$BF260="Long",$E260=FO$2),$P260,"")</f>
        <v/>
      </c>
      <c r="FP260" s="203">
        <f>IF($J260="",#N/A,SUM(FO$4:FO260))</f>
        <v>0</v>
      </c>
      <c r="FQ260" s="204" t="str">
        <f t="shared" ref="FQ260:FQ323" si="512">IF(AND($S260="Dwn",$BF260="Short",$E260=FO$2),$P260,"")</f>
        <v/>
      </c>
      <c r="FR260" s="204">
        <f>IF($J260="",#N/A,SUM(FQ$4:FQ260))</f>
        <v>0</v>
      </c>
      <c r="FS260" s="205" t="str">
        <f t="shared" ref="FS260:FS323" si="513">IF(AND($S260="SW",$BF260="Long",$E260=FO$2),$P260,"")</f>
        <v/>
      </c>
      <c r="FT260" s="205">
        <f>IF($J260="",#N/A,SUM(FS$4:FS260))</f>
        <v>0</v>
      </c>
      <c r="FU260" s="205">
        <f>IF($J260="",#N/A,SUM(FS$4:FS260,FQ$4:FQ260,FO$4:FO260))</f>
        <v>0</v>
      </c>
      <c r="FV260" s="200" t="str">
        <f t="shared" ref="FV260:FV323" si="514">IF(AND($S260="Up",$BF260="Long",$E260=FV$2),$P260,"")</f>
        <v/>
      </c>
      <c r="FW260" s="203">
        <f>IF($J260="",#N/A,SUM(FV$4:FV260))</f>
        <v>6.6834991831277585E-2</v>
      </c>
      <c r="FX260" s="204" t="str">
        <f t="shared" ref="FX260:FX323" si="515">IF(AND($S260="Dwn",$BF260="Short",$E260=FV$2),$P260,"")</f>
        <v/>
      </c>
      <c r="FY260" s="204">
        <f>IF($J260="",#N/A,SUM(FX$4:FX260))</f>
        <v>-0.16102012791805576</v>
      </c>
      <c r="FZ260" s="205" t="str">
        <f t="shared" ref="FZ260:FZ323" si="516">IF(AND($S260="SW",$BF260="Long",$E260=FV$2),$P260,"")</f>
        <v/>
      </c>
      <c r="GA260" s="205">
        <f>IF($J260="",#N/A,SUM(FZ$4:FZ260))</f>
        <v>-1.1377221770567538</v>
      </c>
      <c r="GB260" s="205">
        <f>IF($J260="",#N/A,SUM(FZ$4:FZ260,FX$4:FX260,FV$4:FV260))</f>
        <v>-1.2319073131435321</v>
      </c>
      <c r="GC260" s="200" t="str">
        <f t="shared" ref="GC260:GC323" si="517">IF(AND($S260="Up",$BF260="Long",$E260=GC$2),$P260,"")</f>
        <v/>
      </c>
      <c r="GD260" s="203">
        <f>IF($J260="",#N/A,SUM(GC$4:GC260))</f>
        <v>0</v>
      </c>
      <c r="GE260" s="204" t="str">
        <f t="shared" ref="GE260:GE323" si="518">IF(AND($S260="Dwn",$BF260="Short",$E260=GC$2),$P260,"")</f>
        <v/>
      </c>
      <c r="GF260" s="204">
        <f>IF($J260="",#N/A,SUM(GE$4:GE260))</f>
        <v>0</v>
      </c>
      <c r="GG260" s="205" t="str">
        <f t="shared" ref="GG260:GG323" si="519">IF(AND($S260="SW",$BF260="Long",$E260=GC$2),$P260,"")</f>
        <v/>
      </c>
      <c r="GH260" s="205">
        <f>IF($J260="",#N/A,SUM(GG$4:GG260))</f>
        <v>-2.9368362277223206</v>
      </c>
      <c r="GI260" s="205">
        <f>IF($J260="",#N/A,SUM(GG$4:GG260,GE$4:GE260,GC$4:GC260))</f>
        <v>-2.9368362277223206</v>
      </c>
      <c r="GJ260" s="200" t="str">
        <f t="shared" ref="GJ260:GJ323" si="520">IF(AND($S260="Up",$BF260="Long",$E260=GJ$2),$P260,"")</f>
        <v/>
      </c>
      <c r="GK260" s="203">
        <f>IF($J260="",#N/A,SUM(GJ$4:GJ260))</f>
        <v>0</v>
      </c>
      <c r="GL260" s="204" t="str">
        <f t="shared" ref="GL260:GL323" si="521">IF(AND($S260="Dwn",$BF260="Short",$E260=GJ$2),$P260,"")</f>
        <v/>
      </c>
      <c r="GM260" s="204">
        <f>IF($J260="",#N/A,SUM(GL$4:GL260))</f>
        <v>-1.6833790887309608</v>
      </c>
      <c r="GN260" s="205" t="str">
        <f t="shared" ref="GN260:GN323" si="522">IF(AND($S260="SW",$BF260="Long",$E260=GJ$2),$P260,"")</f>
        <v/>
      </c>
      <c r="GO260" s="205">
        <f>IF($J260="",#N/A,SUM(GN$4:GN260))</f>
        <v>0</v>
      </c>
      <c r="GP260" s="205">
        <f>IF($J260="",#N/A,SUM(GN$4:GN260,GL$4:GL260,GJ$4:GJ260))</f>
        <v>-1.6833790887309608</v>
      </c>
      <c r="GS260" s="177" t="str">
        <f t="shared" si="432"/>
        <v/>
      </c>
      <c r="GT260" s="177" t="e">
        <f>IF(GS260="",NA(),SUM($GS$4:GS260))</f>
        <v>#N/A</v>
      </c>
      <c r="GU260" s="177" t="str">
        <f t="shared" ref="GU260:GU323" si="523">IF(AND($S260="Up",$BF260="Long",$D260="Y"),$GS260,"")</f>
        <v/>
      </c>
      <c r="GV260" s="177" t="e">
        <f>IF(GU260="",NA(),SUM($GU$4:GU260))</f>
        <v>#N/A</v>
      </c>
      <c r="GW260" s="177" t="str">
        <f t="shared" ref="GW260:GW323" si="524">IF(AND($S260="SW",$BF260="Long",$D260="Y"),$GS260,"")</f>
        <v/>
      </c>
      <c r="GX260" s="177" t="e">
        <f>IF(GW260="",NA(),SUM($GW$4:GW260))</f>
        <v>#N/A</v>
      </c>
      <c r="GY260" s="177" t="str">
        <f t="shared" ref="GY260:GY323" si="525">IF(AND($S260="Dwn",$BF260="Short",$D260="Y"),$GS260,"")</f>
        <v/>
      </c>
      <c r="GZ260" s="177" t="e">
        <f>IF(GY260="",NA(),SUM($GY$4:GY260))</f>
        <v>#N/A</v>
      </c>
      <c r="HA260" s="177">
        <f t="shared" ref="HA260:HA323" si="526">IF($J260="","",IF($D260="N",$P260,""))</f>
        <v>-0.13110455588331626</v>
      </c>
      <c r="HB260" s="177">
        <f>IF(HA260="",NA(),SUM($HA$4:HA260))</f>
        <v>5.9989031940877773</v>
      </c>
      <c r="HC260" s="177" t="str">
        <f t="shared" ref="HC260:HC323" si="527">IF(AND($S260="Up",$BF260="Long",$D260="N"),$HA260,"")</f>
        <v/>
      </c>
      <c r="HD260" s="177" t="e">
        <f>IF(HC260="",NA(),SUM($HC$4:HC260))</f>
        <v>#N/A</v>
      </c>
      <c r="HE260" s="177">
        <f t="shared" ref="HE260:HE323" si="528">IF(AND($S260="SW",$BF260="Long",$D260="N"),$HA260,"")</f>
        <v>-0.13110455588331626</v>
      </c>
      <c r="HF260" s="177">
        <f>IF(HE260="",NA(),SUM($HE$4:HE260))</f>
        <v>-1.5381408890949975</v>
      </c>
      <c r="HG260" s="177" t="str">
        <f t="shared" ref="HG260:HG323" si="529">IF(AND($S260="Dwn",$BF260="Short",$D260="N"),$HA260,"")</f>
        <v/>
      </c>
      <c r="HH260" s="177" t="e">
        <f>IF(HG260="",NA(),SUM($HG$4:HG260))</f>
        <v>#N/A</v>
      </c>
      <c r="HI260" s="183" t="str">
        <f t="shared" si="433"/>
        <v/>
      </c>
      <c r="HJ260" s="183">
        <f>IF($J260="",#N/A,SUM(HI$4:$HI260))</f>
        <v>-6.5557875650906823</v>
      </c>
      <c r="HK260" s="177" t="str">
        <f t="shared" ref="HK260:HK323" si="530">IF($AC260="","",IF(AND($S260="Dwn",$K260&gt;0),$HU260-$P260,""))</f>
        <v/>
      </c>
      <c r="HL260" s="177">
        <f>IF($J260="",#N/A,SUM($HK$4:HK260))</f>
        <v>-2.5507240157544917</v>
      </c>
      <c r="HM260" s="177" t="str">
        <f t="shared" ref="HM260:HM323" si="531">IF($AC260="","",IF(AND($S260="Up",$K260&gt;0),$HU260-$P260,""))</f>
        <v/>
      </c>
      <c r="HN260" s="177">
        <f>IF($J260="",#N/A,SUM($HM$4:HM260))</f>
        <v>0.957348620978966</v>
      </c>
      <c r="HO260" s="177" t="str">
        <f t="shared" ref="HO260:HO323" si="532">IF($AC260="","",IF(AND($S260="Up",$K260&lt;0),$HU260-$P260,""))</f>
        <v/>
      </c>
      <c r="HP260" s="177">
        <f>IF($J260="",#N/A,SUM($HO$4:HO260))</f>
        <v>-0.10266465451722628</v>
      </c>
      <c r="HQ260" s="177" t="str">
        <f t="shared" ref="HQ260:HQ323" si="533">IF($AC260="","",IF(AND($S260="SW",$K260&gt;0),$HU260-$P260,""))</f>
        <v/>
      </c>
      <c r="HR260" s="177">
        <f>IF($J260="",#N/A,SUM($HQ$4:HQ260))</f>
        <v>-14.596039294292455</v>
      </c>
      <c r="HS260" s="177">
        <f t="shared" ref="HS260:HS323" si="534">IF($AC260="","",IF(AND($S260="SW",$K260&lt;0),$HU260-$P260,""))</f>
        <v>0.5735824319895082</v>
      </c>
      <c r="HT260" s="177">
        <f>IF($J260="",#N/A,SUM($HS$4:HS260))</f>
        <v>14.245667427720402</v>
      </c>
      <c r="HU260" s="64">
        <f t="shared" ref="HU260:HU323" si="535">IF(OR($Y260="",$AC260=""),"",IF($BF260="Long",(($AC260*$Y260)-$X260)/($X260*0.06),($X260-($AC260*$Y260))/($X260*0.06)))</f>
        <v>0.44247787610619199</v>
      </c>
      <c r="HV260" s="64">
        <f>IF($J260="",#N/A,SUM(HU$4:$HU260))</f>
        <v>6.9780962788872252</v>
      </c>
    </row>
    <row r="261" spans="1:230" x14ac:dyDescent="0.25">
      <c r="A261" s="51" t="s">
        <v>89</v>
      </c>
      <c r="B261" s="52" t="s">
        <v>4566</v>
      </c>
      <c r="C261" s="229">
        <f t="shared" si="436"/>
        <v>1</v>
      </c>
      <c r="D261" s="219" t="str">
        <f>_xlfn.XLOOKUP(A261,[1]SP500!$A$2:$A$502,[1]SP500!$D$2:$D$502,"N")</f>
        <v>Y</v>
      </c>
      <c r="E261" s="51" t="str">
        <f>IFERROR(_xlfn.XLOOKUP(A261,[1]SP500!$A$2:$A$655,[1]SP500!$B$2:$B$655),"")</f>
        <v>IGV</v>
      </c>
      <c r="F261" s="290">
        <v>45782</v>
      </c>
      <c r="G261" s="51" t="str">
        <f t="shared" si="437"/>
        <v>AMC</v>
      </c>
      <c r="H261" s="51" t="str">
        <f t="shared" si="438"/>
        <v>sk</v>
      </c>
      <c r="I261" s="344">
        <v>123.77</v>
      </c>
      <c r="J261" s="123">
        <v>112.71</v>
      </c>
      <c r="K261" s="55">
        <f t="shared" si="439"/>
        <v>-8.9359295467399236E-2</v>
      </c>
      <c r="L261" s="67">
        <f t="shared" si="440"/>
        <v>-101.86959683283521</v>
      </c>
      <c r="M261" s="57" t="e">
        <f t="shared" si="441"/>
        <v>#N/A</v>
      </c>
      <c r="N261" s="102">
        <f t="shared" si="442"/>
        <v>-101.86959683283521</v>
      </c>
      <c r="O261" s="57">
        <f>IF(N261="",#N/A,SUM($N$4:N261))</f>
        <v>628.97432781837381</v>
      </c>
      <c r="P261" s="65">
        <f t="shared" ref="P261:P324" si="536">IF(OR($Y261="",L261=""),"",IF($BF261="Long",(($J261*$Y261)-$X261)/(X261*0.06),($X261-($J261*$Y261))/(X261*0.06)))</f>
        <v>-1.489321591123322</v>
      </c>
      <c r="Q261" s="172">
        <f>IF($N261="",#N/A,SUM($P$4:P261))</f>
        <v>14.090974168719391</v>
      </c>
      <c r="R261" s="279">
        <f t="shared" si="443"/>
        <v>2.5994176908241204</v>
      </c>
      <c r="S261" s="51" t="str">
        <f t="shared" si="444"/>
        <v>Up</v>
      </c>
      <c r="T261" s="51" t="s">
        <v>4461</v>
      </c>
      <c r="U261" s="56">
        <f t="shared" si="445"/>
        <v>123.77</v>
      </c>
      <c r="V261" s="56" t="s">
        <v>4460</v>
      </c>
      <c r="W261" s="73">
        <f>IF(I261="","",1140/I261)</f>
        <v>9.2106326250302981</v>
      </c>
      <c r="X261" s="145">
        <f t="shared" si="446"/>
        <v>1140</v>
      </c>
      <c r="Y261" s="73">
        <f t="shared" si="447"/>
        <v>9.2106326250302981</v>
      </c>
      <c r="Z261" s="538">
        <f>J261</f>
        <v>112.71</v>
      </c>
      <c r="AA261" s="102">
        <f t="shared" si="448"/>
        <v>-101.86959683283521</v>
      </c>
      <c r="AB261" s="102">
        <f t="shared" si="449"/>
        <v>-137.33053243920176</v>
      </c>
      <c r="AC261" s="124">
        <v>108.86</v>
      </c>
      <c r="AD261" s="155">
        <f t="shared" si="450"/>
        <v>-137.33053243920176</v>
      </c>
      <c r="AE261" s="545">
        <f t="shared" si="451"/>
        <v>-2.0077563222105521</v>
      </c>
      <c r="AF261" s="57">
        <f>IF($AC261="",#N/A,SUM(AD$4:AD261))</f>
        <v>205.7903397681772</v>
      </c>
      <c r="AG261" s="102">
        <f t="shared" si="452"/>
        <v>-35.460935606366547</v>
      </c>
      <c r="AH261" s="56" t="s">
        <v>4464</v>
      </c>
      <c r="AI261" s="65">
        <f t="shared" si="453"/>
        <v>0</v>
      </c>
      <c r="AJ261" s="54">
        <f>IF(AI261="",#N/A,SUM($AI$4:AI261))</f>
        <v>11.491556477895271</v>
      </c>
      <c r="AK261" s="57" t="str">
        <f t="shared" si="454"/>
        <v/>
      </c>
      <c r="AL261" s="349">
        <f>IF(AI261="",#N/A,IF(AH261="Skip",SUM($AK$4:AK261),SUM($AK$4:AK261)))</f>
        <v>443.33759149281423</v>
      </c>
      <c r="AM261" s="65">
        <f t="shared" ref="AM261:AM324" si="537">IF(OR($Y261="",$L261=""),"",IF($BF261="Long",(($AC261*$Y261)-$X261)/($X261*0.06),($X261-($AC261*$Y261))/($X261*0.06)))</f>
        <v>-2.0077563222105521</v>
      </c>
      <c r="AN261" s="210"/>
      <c r="AO261" s="65" t="str">
        <f t="shared" si="455"/>
        <v/>
      </c>
      <c r="AP261" s="65">
        <f>IF($AC261="",#N/A,SUM(AO$4:AO261))</f>
        <v>2.5829709989849365</v>
      </c>
      <c r="AQ261" s="65">
        <f t="shared" si="456"/>
        <v>-2.0077563222105521</v>
      </c>
      <c r="AR261" s="65">
        <f>IF($AC261="",#N/A,SUM(AQ$4:AQ261))</f>
        <v>-4.1434268306854385</v>
      </c>
      <c r="AS261" s="65" t="str">
        <f t="shared" si="457"/>
        <v/>
      </c>
      <c r="AT261" s="65">
        <f>IF($AC261="",#N/A,SUM(AS$4:AS261))</f>
        <v>6.530795788377171</v>
      </c>
      <c r="AU261" s="57" t="str">
        <f t="shared" si="429"/>
        <v/>
      </c>
      <c r="AV261" s="57">
        <f>IF($AC261="",#N/A,SUM(AU$4:AU261))</f>
        <v>33.122490661046754</v>
      </c>
      <c r="AW261" s="57">
        <f t="shared" si="430"/>
        <v>-137.33053243920176</v>
      </c>
      <c r="AX261" s="57">
        <f>IF($AC261="",#N/A,SUM(AW$4:AW261))</f>
        <v>-269.63053243920194</v>
      </c>
      <c r="AY261" s="57" t="str">
        <f t="shared" si="431"/>
        <v/>
      </c>
      <c r="AZ261" s="57">
        <f>IF($AC261="",#N/A,SUM(AY$4:AY261))</f>
        <v>442.29838154633239</v>
      </c>
      <c r="BA261" s="57">
        <f>IF(AD261="",#N/A,SUM($AD$4:AD261))</f>
        <v>205.7903397681772</v>
      </c>
      <c r="BC261" s="51" t="str">
        <f t="shared" si="458"/>
        <v/>
      </c>
      <c r="BD261" s="51" t="str">
        <f t="shared" si="459"/>
        <v/>
      </c>
      <c r="BE261" s="51" t="str">
        <f t="shared" si="460"/>
        <v/>
      </c>
      <c r="BF261" s="51" t="str">
        <f t="shared" si="461"/>
        <v>Long</v>
      </c>
      <c r="BG261" s="51" t="str">
        <f t="shared" si="462"/>
        <v/>
      </c>
      <c r="BH261" s="51">
        <f t="shared" si="463"/>
        <v>1</v>
      </c>
      <c r="BI261" s="51" t="str">
        <f t="shared" si="464"/>
        <v/>
      </c>
      <c r="BK261" s="65">
        <f t="shared" si="435"/>
        <v>7.1440561494684363E-2</v>
      </c>
      <c r="BL261" s="65">
        <f t="shared" si="434"/>
        <v>6.7201977534025376E-2</v>
      </c>
      <c r="BM261" s="65">
        <f>IFERROR(Q261/COUNTA($J$4:J261),#N/A)</f>
        <v>5.4616178948524774E-2</v>
      </c>
      <c r="BO261" s="489" t="e">
        <f>IF(J261="",#N/A,IF(S261="SW",(COUNTIFS(K$4:$K261,"&gt;0",S$4:$S261,"SW")/COUNTIF(S$4:$S261,"SW")),#N/A))</f>
        <v>#N/A</v>
      </c>
      <c r="BP261" s="489" t="e">
        <f>IF($J261="",#N/A,IF($S261="DWN",(COUNTIFS($K$4:$K261,"&lt;0",$S$4:$S261,"DWN")/COUNTIF($S$4:$S261,"DWN")),#N/A))</f>
        <v>#N/A</v>
      </c>
      <c r="BQ261" s="489">
        <f>IF($J261="",#N/A,IF($S261="UP",(COUNTIFS($K$4:$K261,"&gt;0",$S$4:$S261,"UP")/COUNTIF($S$4:$S261,"UP")),#N/A))</f>
        <v>0.35714285714285715</v>
      </c>
      <c r="BR261" s="489">
        <f>IF(J261="",#N/A,COUNTIF($K$4:K261,"&gt;0")/COUNT($J$4:J261))</f>
        <v>0.44961240310077522</v>
      </c>
      <c r="BS261" s="65" t="str">
        <f t="shared" si="465"/>
        <v/>
      </c>
      <c r="BT261" s="65" t="str">
        <f t="shared" si="466"/>
        <v/>
      </c>
      <c r="BU261" s="65" t="str">
        <f t="shared" si="467"/>
        <v/>
      </c>
      <c r="BV261" s="65" t="str">
        <f t="shared" si="468"/>
        <v/>
      </c>
      <c r="BW261" s="128">
        <f t="shared" si="469"/>
        <v>-101.86959683283521</v>
      </c>
      <c r="BX261" s="128">
        <f>IF($J261="",#N/A,SUM($BW$4:BW261))</f>
        <v>-294.19959683283582</v>
      </c>
      <c r="BY261" s="131" t="str">
        <f t="shared" si="470"/>
        <v/>
      </c>
      <c r="BZ261" s="131">
        <f>IF($J261="",#N/A,SUM($BY$4:BY261))</f>
        <v>909.30234038933418</v>
      </c>
      <c r="CA261" s="133" t="str">
        <f t="shared" si="471"/>
        <v/>
      </c>
      <c r="CB261" s="133">
        <f>IF($J261="",#N/A,SUM($CA$4:CA261))</f>
        <v>13.871584261875455</v>
      </c>
      <c r="CC261" s="194">
        <f t="shared" si="472"/>
        <v>-1.489321591123322</v>
      </c>
      <c r="CD261" s="194">
        <f>IF($J261="",#N/A,SUM($CC$4:CC261))</f>
        <v>-4.4796760660599473</v>
      </c>
      <c r="CE261" s="195" t="str">
        <f t="shared" si="473"/>
        <v/>
      </c>
      <c r="CF261" s="195">
        <f>IF($J261="",#N/A,SUM($CE$4:CE261))</f>
        <v>15.637307369222354</v>
      </c>
      <c r="CG261" s="196" t="str">
        <f t="shared" si="474"/>
        <v/>
      </c>
      <c r="CH261" s="193">
        <f>IF($J261="",#N/A,SUM($CG$4:CG261))</f>
        <v>2.9333428655569906</v>
      </c>
      <c r="CI261" s="200" t="str">
        <f t="shared" si="475"/>
        <v/>
      </c>
      <c r="CJ261" s="203">
        <f>IF($J261="",#N/A,SUM(CI$4:CI261))</f>
        <v>0</v>
      </c>
      <c r="CK261" s="204" t="str">
        <f t="shared" si="476"/>
        <v/>
      </c>
      <c r="CL261" s="204">
        <f>IF($J261="",#N/A,SUM(CK$4:CK261))</f>
        <v>1.9927003554442289</v>
      </c>
      <c r="CM261" s="205" t="str">
        <f t="shared" si="477"/>
        <v/>
      </c>
      <c r="CN261" s="205">
        <f>IF($J261="",#N/A,SUM(CM$4:CM261))</f>
        <v>2.5131182152625313</v>
      </c>
      <c r="CO261" s="205">
        <f>IF($J261="",#N/A,SUM(CM$4:CM261,CK$4:CK261,CI$4:CI261))</f>
        <v>4.5058185707067606</v>
      </c>
      <c r="CP261" s="200">
        <f t="shared" si="478"/>
        <v>-1.489321591123322</v>
      </c>
      <c r="CQ261" s="203">
        <f>IF($J261="",#N/A,SUM(CP$4:CP261))</f>
        <v>-1.489321591123322</v>
      </c>
      <c r="CR261" s="204" t="str">
        <f t="shared" si="479"/>
        <v/>
      </c>
      <c r="CS261" s="204">
        <f>IF($J261="",#N/A,SUM(CR$4:CR261))</f>
        <v>4.6135245886817966</v>
      </c>
      <c r="CT261" s="205" t="str">
        <f t="shared" si="480"/>
        <v/>
      </c>
      <c r="CU261" s="205">
        <f>IF($J261="",#N/A,SUM(CT$4:CT261))</f>
        <v>-2.9040943753548785</v>
      </c>
      <c r="CV261" s="205">
        <f>IF($J261="",#N/A,SUM(CT$4:CT261,CR$4:CR261,CP$4:CP261))</f>
        <v>0.22010862220359617</v>
      </c>
      <c r="CW261" s="200" t="str">
        <f t="shared" si="481"/>
        <v/>
      </c>
      <c r="CX261" s="203">
        <f>IF($J261="",#N/A,SUM(CW$4:CW261))</f>
        <v>-0.33865165024245297</v>
      </c>
      <c r="CY261" s="204" t="str">
        <f t="shared" si="482"/>
        <v/>
      </c>
      <c r="CZ261" s="204">
        <f>IF($J261="",#N/A,SUM(CY$4:CY261))</f>
        <v>0.30198222879878239</v>
      </c>
      <c r="DA261" s="205" t="str">
        <f t="shared" si="483"/>
        <v/>
      </c>
      <c r="DB261" s="205">
        <f>IF($J261="",#N/A,SUM(DA$4:DA261))</f>
        <v>-2.290842929156085</v>
      </c>
      <c r="DC261" s="205">
        <f>IF($J261="",#N/A,SUM(DA$4:DA261,CY$4:CY261,CW$4:CW261))</f>
        <v>-2.3275123505997555</v>
      </c>
      <c r="DD261" s="200" t="str">
        <f t="shared" si="484"/>
        <v/>
      </c>
      <c r="DE261" s="203">
        <f>IF($J261="",#N/A,SUM(DD$4:DD261))</f>
        <v>0.24769343410817113</v>
      </c>
      <c r="DF261" s="204" t="str">
        <f t="shared" si="485"/>
        <v/>
      </c>
      <c r="DG261" s="204">
        <f>IF($J261="",#N/A,SUM(DF$4:DF261))</f>
        <v>2.0536926011145376</v>
      </c>
      <c r="DH261" s="205" t="str">
        <f t="shared" si="486"/>
        <v/>
      </c>
      <c r="DI261" s="205">
        <f>IF($J261="",#N/A,SUM(DH$4:DH261))</f>
        <v>-2.7812008102163399</v>
      </c>
      <c r="DJ261" s="205">
        <f>IF($J261="",#N/A,SUM(DH$4:DH261,DF$4:DF261,DD$4:DD261))</f>
        <v>-0.47981477499363151</v>
      </c>
      <c r="DK261" s="200" t="str">
        <f t="shared" si="487"/>
        <v/>
      </c>
      <c r="DL261" s="203">
        <f>IF($J261="",#N/A,SUM(DK$4:DK261))</f>
        <v>-1.2097286851272664</v>
      </c>
      <c r="DM261" s="204" t="str">
        <f t="shared" si="488"/>
        <v/>
      </c>
      <c r="DN261" s="204">
        <f>IF($J261="",#N/A,SUM(DM$4:DM261))</f>
        <v>3.0281848543081331</v>
      </c>
      <c r="DO261" s="205" t="str">
        <f t="shared" si="489"/>
        <v/>
      </c>
      <c r="DP261" s="205">
        <f>IF($J261="",#N/A,SUM(DO$4:DO261))</f>
        <v>2.700331529683047</v>
      </c>
      <c r="DQ261" s="205">
        <f>IF($J261="",#N/A,SUM(DO$4:DO261,DM$4:DM261,DK$4:DK261))</f>
        <v>4.518787698863914</v>
      </c>
      <c r="DR261" s="200" t="str">
        <f t="shared" si="490"/>
        <v/>
      </c>
      <c r="DS261" s="203">
        <f>IF($J261="",#N/A,SUM(DR$4:DR261))</f>
        <v>-0.55950946427675097</v>
      </c>
      <c r="DT261" s="204" t="str">
        <f t="shared" si="491"/>
        <v/>
      </c>
      <c r="DU261" s="204">
        <f>IF($J261="",#N/A,SUM(DT$4:DT261))</f>
        <v>-0.87082853884823752</v>
      </c>
      <c r="DV261" s="205" t="str">
        <f t="shared" si="492"/>
        <v/>
      </c>
      <c r="DW261" s="205">
        <f>IF($J261="",#N/A,SUM(DV$4:DV261))</f>
        <v>-1.2815650893103838</v>
      </c>
      <c r="DX261" s="205">
        <f>IF($J261="",#N/A,SUM(DV$4:DV261,DT$4:DT261,DR$4:DR261))</f>
        <v>-2.7119030924353726</v>
      </c>
      <c r="DY261" s="200" t="str">
        <f t="shared" si="493"/>
        <v/>
      </c>
      <c r="DZ261" s="203">
        <f>IF($J261="",#N/A,SUM(DY$4:DY261))</f>
        <v>-1.0460034109943892</v>
      </c>
      <c r="EA261" s="204" t="str">
        <f t="shared" si="494"/>
        <v/>
      </c>
      <c r="EB261" s="204">
        <f>IF($J261="",#N/A,SUM(EA$4:EA261))</f>
        <v>1.0902674422317802</v>
      </c>
      <c r="EC261" s="205" t="str">
        <f t="shared" si="495"/>
        <v/>
      </c>
      <c r="ED261" s="205">
        <f>IF($J261="",#N/A,SUM(EC$4:EC261))</f>
        <v>4.5772092731053986</v>
      </c>
      <c r="EE261" s="205">
        <f>IF($J261="",#N/A,SUM(EC$4:EC261,EA$4:EA261,DY$4:DY261))</f>
        <v>4.6214733043427882</v>
      </c>
      <c r="EF261" s="200" t="str">
        <f t="shared" si="496"/>
        <v/>
      </c>
      <c r="EG261" s="203">
        <f>IF($J261="",#N/A,SUM(EF$4:EF261))</f>
        <v>-0.15098969023521425</v>
      </c>
      <c r="EH261" s="204" t="str">
        <f t="shared" si="497"/>
        <v/>
      </c>
      <c r="EI261" s="204">
        <f>IF($J261="",#N/A,SUM(EH$4:EH261))</f>
        <v>-2.3511346601809122</v>
      </c>
      <c r="EJ261" s="205" t="str">
        <f t="shared" si="498"/>
        <v/>
      </c>
      <c r="EK261" s="205">
        <f>IF($J261="",#N/A,SUM(EJ$4:EJ261))</f>
        <v>5.050388173053765</v>
      </c>
      <c r="EL261" s="205">
        <f>IF($J261="",#N/A,SUM(EJ$4:EJ261,EH$4:EH261,EF$4:EF261))</f>
        <v>2.5482638226376384</v>
      </c>
      <c r="EM261" s="200" t="str">
        <f t="shared" si="499"/>
        <v/>
      </c>
      <c r="EN261" s="203">
        <f>IF($J261="",#N/A,SUM(EM$4:EM261))</f>
        <v>0</v>
      </c>
      <c r="EO261" s="204" t="str">
        <f t="shared" si="500"/>
        <v/>
      </c>
      <c r="EP261" s="204">
        <f>IF($J261="",#N/A,SUM(EO$4:EO261))</f>
        <v>3.2406646352184261</v>
      </c>
      <c r="EQ261" s="205" t="str">
        <f t="shared" si="501"/>
        <v/>
      </c>
      <c r="ER261" s="205">
        <f>IF($J261="",#N/A,SUM(EQ$4:EQ261))</f>
        <v>1.441536272249796</v>
      </c>
      <c r="ES261" s="205">
        <f>IF($J261="",#N/A,SUM(EQ$4:EQ261,EO$4:EO261,EM$4:EM261))</f>
        <v>4.6822009074682214</v>
      </c>
      <c r="ET261" s="200" t="str">
        <f t="shared" si="502"/>
        <v/>
      </c>
      <c r="EU261" s="203">
        <f>IF($J261="",#N/A,SUM(ET$4:ET261))</f>
        <v>0</v>
      </c>
      <c r="EV261" s="204" t="str">
        <f t="shared" si="503"/>
        <v/>
      </c>
      <c r="EW261" s="204">
        <f>IF($J261="",#N/A,SUM(EV$4:EV261))</f>
        <v>2.6896999443708767</v>
      </c>
      <c r="EX261" s="205" t="str">
        <f t="shared" si="504"/>
        <v/>
      </c>
      <c r="EY261" s="205">
        <f>IF($J261="",#N/A,SUM(EX$4:EX261))</f>
        <v>0.27113250180669229</v>
      </c>
      <c r="EZ261" s="205">
        <f>IF($J261="",#N/A,SUM(EX$4:EX261,EV$4:EV261,ET$4:ET261))</f>
        <v>2.9608324461775686</v>
      </c>
      <c r="FA261" s="200" t="str">
        <f t="shared" si="505"/>
        <v/>
      </c>
      <c r="FB261" s="203">
        <f>IF($J261="",#N/A,SUM(FA$4:FA261))</f>
        <v>0</v>
      </c>
      <c r="FC261" s="204" t="str">
        <f t="shared" si="506"/>
        <v/>
      </c>
      <c r="FD261" s="204">
        <f>IF($J261="",#N/A,SUM(FC$4:FC261))</f>
        <v>1.3660078100500956</v>
      </c>
      <c r="FE261" s="205" t="str">
        <f t="shared" si="507"/>
        <v/>
      </c>
      <c r="FF261" s="205">
        <f>IF($J261="",#N/A,SUM(FE$4:FE261))</f>
        <v>-0.28811149078748233</v>
      </c>
      <c r="FG261" s="205">
        <f>IF($J261="",#N/A,SUM(FE$4:FE261,FC$4:FC261,FA$4:FA261))</f>
        <v>1.0778963192626136</v>
      </c>
      <c r="FH261" s="200" t="str">
        <f t="shared" si="508"/>
        <v/>
      </c>
      <c r="FI261" s="203">
        <f>IF($J261="",#N/A,SUM(FH$4:FH261))</f>
        <v>0</v>
      </c>
      <c r="FJ261" s="204" t="str">
        <f t="shared" si="509"/>
        <v/>
      </c>
      <c r="FK261" s="204">
        <f>IF($J261="",#N/A,SUM(FJ$4:FJ261))</f>
        <v>0</v>
      </c>
      <c r="FL261" s="205" t="str">
        <f t="shared" si="510"/>
        <v/>
      </c>
      <c r="FM261" s="205">
        <f>IF($J261="",#N/A,SUM(FL$4:FL261))</f>
        <v>0</v>
      </c>
      <c r="FN261" s="205">
        <f>IF($J261="",#N/A,SUM(FL$4:FL261,FJ$4:FJ261,FH$4:FH261))</f>
        <v>0</v>
      </c>
      <c r="FO261" s="200" t="str">
        <f t="shared" si="511"/>
        <v/>
      </c>
      <c r="FP261" s="203">
        <f>IF($J261="",#N/A,SUM(FO$4:FO261))</f>
        <v>0</v>
      </c>
      <c r="FQ261" s="204" t="str">
        <f t="shared" si="512"/>
        <v/>
      </c>
      <c r="FR261" s="204">
        <f>IF($J261="",#N/A,SUM(FQ$4:FQ261))</f>
        <v>0</v>
      </c>
      <c r="FS261" s="205" t="str">
        <f t="shared" si="513"/>
        <v/>
      </c>
      <c r="FT261" s="205">
        <f>IF($J261="",#N/A,SUM(FS$4:FS261))</f>
        <v>0</v>
      </c>
      <c r="FU261" s="205">
        <f>IF($J261="",#N/A,SUM(FS$4:FS261,FQ$4:FQ261,FO$4:FO261))</f>
        <v>0</v>
      </c>
      <c r="FV261" s="200" t="str">
        <f t="shared" si="514"/>
        <v/>
      </c>
      <c r="FW261" s="203">
        <f>IF($J261="",#N/A,SUM(FV$4:FV261))</f>
        <v>6.6834991831277585E-2</v>
      </c>
      <c r="FX261" s="204" t="str">
        <f t="shared" si="515"/>
        <v/>
      </c>
      <c r="FY261" s="204">
        <f>IF($J261="",#N/A,SUM(FX$4:FX261))</f>
        <v>-0.16102012791805576</v>
      </c>
      <c r="FZ261" s="205" t="str">
        <f t="shared" si="516"/>
        <v/>
      </c>
      <c r="GA261" s="205">
        <f>IF($J261="",#N/A,SUM(FZ$4:FZ261))</f>
        <v>-1.1377221770567538</v>
      </c>
      <c r="GB261" s="205">
        <f>IF($J261="",#N/A,SUM(FZ$4:FZ261,FX$4:FX261,FV$4:FV261))</f>
        <v>-1.2319073131435321</v>
      </c>
      <c r="GC261" s="200" t="str">
        <f t="shared" si="517"/>
        <v/>
      </c>
      <c r="GD261" s="203">
        <f>IF($J261="",#N/A,SUM(GC$4:GC261))</f>
        <v>0</v>
      </c>
      <c r="GE261" s="204" t="str">
        <f t="shared" si="518"/>
        <v/>
      </c>
      <c r="GF261" s="204">
        <f>IF($J261="",#N/A,SUM(GE$4:GE261))</f>
        <v>0</v>
      </c>
      <c r="GG261" s="205" t="str">
        <f t="shared" si="519"/>
        <v/>
      </c>
      <c r="GH261" s="205">
        <f>IF($J261="",#N/A,SUM(GG$4:GG261))</f>
        <v>-2.9368362277223206</v>
      </c>
      <c r="GI261" s="205">
        <f>IF($J261="",#N/A,SUM(GG$4:GG261,GE$4:GE261,GC$4:GC261))</f>
        <v>-2.9368362277223206</v>
      </c>
      <c r="GJ261" s="200" t="str">
        <f t="shared" si="520"/>
        <v/>
      </c>
      <c r="GK261" s="203">
        <f>IF($J261="",#N/A,SUM(GJ$4:GJ261))</f>
        <v>0</v>
      </c>
      <c r="GL261" s="204" t="str">
        <f t="shared" si="521"/>
        <v/>
      </c>
      <c r="GM261" s="204">
        <f>IF($J261="",#N/A,SUM(GL$4:GL261))</f>
        <v>-1.6833790887309608</v>
      </c>
      <c r="GN261" s="205" t="str">
        <f t="shared" si="522"/>
        <v/>
      </c>
      <c r="GO261" s="205">
        <f>IF($J261="",#N/A,SUM(GN$4:GN261))</f>
        <v>0</v>
      </c>
      <c r="GP261" s="205">
        <f>IF($J261="",#N/A,SUM(GN$4:GN261,GL$4:GL261,GJ$4:GJ261))</f>
        <v>-1.6833790887309608</v>
      </c>
      <c r="GS261" s="54">
        <f t="shared" si="432"/>
        <v>-1.489321591123322</v>
      </c>
      <c r="GT261" s="54">
        <f>IF(GS261="",NA(),SUM($GS$4:GS261))</f>
        <v>8.0920709746316124</v>
      </c>
      <c r="GU261" s="54">
        <f t="shared" si="523"/>
        <v>-1.489321591123322</v>
      </c>
      <c r="GV261" s="54">
        <f>IF(GU261="",NA(),SUM($GU$4:GU261))</f>
        <v>-4.4796760660599473</v>
      </c>
      <c r="GW261" s="54" t="str">
        <f t="shared" si="524"/>
        <v/>
      </c>
      <c r="GX261" s="54" t="e">
        <f>IF(GW261="",NA(),SUM($GW$4:GW261))</f>
        <v>#N/A</v>
      </c>
      <c r="GY261" s="54" t="str">
        <f t="shared" si="525"/>
        <v/>
      </c>
      <c r="GZ261" s="54" t="e">
        <f>IF(GY261="",NA(),SUM($GY$4:GY261))</f>
        <v>#N/A</v>
      </c>
      <c r="HA261" s="54" t="str">
        <f t="shared" si="526"/>
        <v/>
      </c>
      <c r="HB261" s="54" t="e">
        <f>IF(HA261="",NA(),SUM($HA$4:HA261))</f>
        <v>#N/A</v>
      </c>
      <c r="HC261" s="54" t="str">
        <f t="shared" si="527"/>
        <v/>
      </c>
      <c r="HD261" s="54" t="e">
        <f>IF(HC261="",NA(),SUM($HC$4:HC261))</f>
        <v>#N/A</v>
      </c>
      <c r="HE261" s="54" t="str">
        <f t="shared" si="528"/>
        <v/>
      </c>
      <c r="HF261" s="54" t="e">
        <f>IF(HE261="",NA(),SUM($HE$4:HE261))</f>
        <v>#N/A</v>
      </c>
      <c r="HG261" s="54" t="str">
        <f t="shared" si="529"/>
        <v/>
      </c>
      <c r="HH261" s="54" t="e">
        <f>IF(HG261="",NA(),SUM($HG$4:HG261))</f>
        <v>#N/A</v>
      </c>
      <c r="HI261" s="172" t="str">
        <f t="shared" si="433"/>
        <v/>
      </c>
      <c r="HJ261" s="172">
        <f>IF($J261="",#N/A,SUM(HI$4:$HI261))</f>
        <v>-6.5557875650906823</v>
      </c>
      <c r="HK261" s="54" t="str">
        <f t="shared" si="530"/>
        <v/>
      </c>
      <c r="HL261" s="54">
        <f>IF($J261="",#N/A,SUM($HK$4:HK261))</f>
        <v>-2.5507240157544917</v>
      </c>
      <c r="HM261" s="54" t="str">
        <f t="shared" si="531"/>
        <v/>
      </c>
      <c r="HN261" s="54">
        <f>IF($J261="",#N/A,SUM($HM$4:HM261))</f>
        <v>0.957348620978966</v>
      </c>
      <c r="HO261" s="54">
        <f t="shared" si="532"/>
        <v>-0.51843473108723015</v>
      </c>
      <c r="HP261" s="54">
        <f>IF($J261="",#N/A,SUM($HO$4:HO261))</f>
        <v>-0.62109938560445643</v>
      </c>
      <c r="HQ261" s="54" t="str">
        <f t="shared" si="533"/>
        <v/>
      </c>
      <c r="HR261" s="54">
        <f>IF($J261="",#N/A,SUM($HQ$4:HQ261))</f>
        <v>-14.596039294292455</v>
      </c>
      <c r="HS261" s="54" t="str">
        <f t="shared" si="534"/>
        <v/>
      </c>
      <c r="HT261" s="54">
        <f>IF($J261="",#N/A,SUM($HS$4:HS261))</f>
        <v>14.245667427720402</v>
      </c>
      <c r="HU261" s="65">
        <f t="shared" si="535"/>
        <v>-2.0077563222105521</v>
      </c>
      <c r="HV261" s="65">
        <f>IF($J261="",#N/A,SUM(HU$4:$HU261))</f>
        <v>4.9703399566766731</v>
      </c>
    </row>
    <row r="262" spans="1:230" x14ac:dyDescent="0.25">
      <c r="A262" s="51" t="s">
        <v>431</v>
      </c>
      <c r="B262" s="52" t="s">
        <v>4566</v>
      </c>
      <c r="C262" s="229">
        <f t="shared" si="436"/>
        <v>1</v>
      </c>
      <c r="D262" s="219" t="str">
        <f>_xlfn.XLOOKUP(A262,[1]SP500!$A$2:$A$502,[1]SP500!$D$2:$D$502,"N")</f>
        <v>Y</v>
      </c>
      <c r="E262" s="51" t="str">
        <f>IFERROR(_xlfn.XLOOKUP(A262,[1]SP500!$A$2:$A$655,[1]SP500!$B$2:$B$655),"")</f>
        <v>XLE</v>
      </c>
      <c r="F262" s="290">
        <v>45782</v>
      </c>
      <c r="G262" s="51" t="str">
        <f t="shared" si="437"/>
        <v>AMC</v>
      </c>
      <c r="H262" s="51" t="str">
        <f t="shared" si="438"/>
        <v>s</v>
      </c>
      <c r="I262" s="344">
        <v>60.17</v>
      </c>
      <c r="J262" s="124">
        <v>59.19</v>
      </c>
      <c r="K262" s="55">
        <f t="shared" si="439"/>
        <v>-1.6287186305467907E-2</v>
      </c>
      <c r="L262" s="67">
        <f t="shared" si="440"/>
        <v>-19.600000000000136</v>
      </c>
      <c r="M262" s="57">
        <f t="shared" si="441"/>
        <v>-5</v>
      </c>
      <c r="N262" s="102">
        <f t="shared" si="442"/>
        <v>-19.600000000000136</v>
      </c>
      <c r="O262" s="57">
        <f>IF(N262="",#N/A,SUM($N$4:N262))</f>
        <v>609.37432781837367</v>
      </c>
      <c r="P262" s="65">
        <f t="shared" si="536"/>
        <v>-0.27145310509113252</v>
      </c>
      <c r="Q262" s="172">
        <f>IF($N262="",#N/A,SUM($P$4:P262))</f>
        <v>13.819521063628258</v>
      </c>
      <c r="R262" s="279">
        <f t="shared" si="443"/>
        <v>2.6686659319187953</v>
      </c>
      <c r="S262" s="51" t="str">
        <f t="shared" si="444"/>
        <v>Up</v>
      </c>
      <c r="T262" s="51" t="s">
        <v>4461</v>
      </c>
      <c r="U262" s="56">
        <f t="shared" si="445"/>
        <v>60.17</v>
      </c>
      <c r="V262" s="56" t="s">
        <v>4460</v>
      </c>
      <c r="W262" s="142">
        <v>20</v>
      </c>
      <c r="X262" s="145">
        <f t="shared" si="446"/>
        <v>1203.4000000000001</v>
      </c>
      <c r="Y262" s="140">
        <f t="shared" si="447"/>
        <v>20</v>
      </c>
      <c r="Z262" s="123">
        <v>58.94</v>
      </c>
      <c r="AA262" s="102">
        <f t="shared" si="448"/>
        <v>-24.600000000000136</v>
      </c>
      <c r="AB262" s="102">
        <f t="shared" si="449"/>
        <v>-29.400000000000091</v>
      </c>
      <c r="AC262" s="124">
        <v>58.7</v>
      </c>
      <c r="AD262" s="155">
        <f t="shared" si="450"/>
        <v>-29.400000000000091</v>
      </c>
      <c r="AE262" s="545">
        <f t="shared" si="451"/>
        <v>-0.40717965763669722</v>
      </c>
      <c r="AF262" s="57">
        <f>IF($AC262="",#N/A,SUM(AD$4:AD262))</f>
        <v>176.39033976817711</v>
      </c>
      <c r="AG262" s="102">
        <f t="shared" si="452"/>
        <v>-9.7999999999999545</v>
      </c>
      <c r="AH262" s="56" t="s">
        <v>2507</v>
      </c>
      <c r="AI262" s="65">
        <f t="shared" si="453"/>
        <v>-0.34070134618580872</v>
      </c>
      <c r="AJ262" s="350">
        <f>IF(AI262="",#N/A,SUM($AI$4:AI262))</f>
        <v>11.150855131709463</v>
      </c>
      <c r="AK262" s="57">
        <f t="shared" si="454"/>
        <v>-24.600000000000136</v>
      </c>
      <c r="AL262" s="349">
        <f>IF(AI262="",#N/A,IF(AH262="Skip",SUM($AK$4:AK262),SUM($AK$4:AK262)))</f>
        <v>418.73759149281409</v>
      </c>
      <c r="AM262" s="65">
        <f t="shared" si="537"/>
        <v>-0.40717965763669722</v>
      </c>
      <c r="AN262" s="210"/>
      <c r="AO262" s="65" t="str">
        <f t="shared" si="455"/>
        <v/>
      </c>
      <c r="AP262" s="65">
        <f>IF($AC262="",#N/A,SUM(AO$4:AO262))</f>
        <v>2.5829709989849365</v>
      </c>
      <c r="AQ262" s="65">
        <f t="shared" si="456"/>
        <v>-0.40717965763669722</v>
      </c>
      <c r="AR262" s="65">
        <f>IF($AC262="",#N/A,SUM(AQ$4:AQ262))</f>
        <v>-4.5506064883221358</v>
      </c>
      <c r="AS262" s="65" t="str">
        <f t="shared" si="457"/>
        <v/>
      </c>
      <c r="AT262" s="65">
        <f>IF($AC262="",#N/A,SUM(AS$4:AS262))</f>
        <v>6.530795788377171</v>
      </c>
      <c r="AU262" s="57" t="str">
        <f t="shared" ref="AU262:AU325" si="538">IF(AND(S262="SW",BF262="Long"),$AD262,"")</f>
        <v/>
      </c>
      <c r="AV262" s="57">
        <f>IF($AC262="",#N/A,SUM(AU$4:AU262))</f>
        <v>33.122490661046754</v>
      </c>
      <c r="AW262" s="57">
        <f t="shared" ref="AW262:AW325" si="539">IF(AND(S262="UP",BF262="Long"),$AD262,"")</f>
        <v>-29.400000000000091</v>
      </c>
      <c r="AX262" s="57">
        <f>IF($AC262="",#N/A,SUM(AW$4:AW262))</f>
        <v>-299.03053243920203</v>
      </c>
      <c r="AY262" s="57" t="str">
        <f t="shared" ref="AY262:AY325" si="540">IF(AND(S262="Dwn",BF262="Short"),$AD262,"")</f>
        <v/>
      </c>
      <c r="AZ262" s="57">
        <f>IF($AC262="",#N/A,SUM(AY$4:AY262))</f>
        <v>442.29838154633239</v>
      </c>
      <c r="BA262" s="57">
        <f>IF(AD262="",#N/A,SUM($AD$4:AD262))</f>
        <v>176.39033976817711</v>
      </c>
      <c r="BC262" s="51" t="str">
        <f t="shared" si="458"/>
        <v/>
      </c>
      <c r="BD262" s="51" t="str">
        <f t="shared" si="459"/>
        <v/>
      </c>
      <c r="BE262" s="51" t="str">
        <f t="shared" si="460"/>
        <v/>
      </c>
      <c r="BF262" s="51" t="str">
        <f t="shared" si="461"/>
        <v>Long</v>
      </c>
      <c r="BG262" s="51" t="str">
        <f t="shared" si="462"/>
        <v/>
      </c>
      <c r="BH262" s="51">
        <f t="shared" si="463"/>
        <v>1</v>
      </c>
      <c r="BI262" s="51" t="str">
        <f t="shared" si="464"/>
        <v/>
      </c>
      <c r="BK262" s="65">
        <f t="shared" si="435"/>
        <v>6.1508497391527472E-2</v>
      </c>
      <c r="BL262" s="65">
        <f t="shared" si="434"/>
        <v>3.3415547930007679E-2</v>
      </c>
      <c r="BM262" s="65">
        <f>IFERROR(Q262/COUNTA($J$4:J262),#N/A)</f>
        <v>5.3357224183892889E-2</v>
      </c>
      <c r="BO262" s="489" t="e">
        <f>IF(J262="",#N/A,IF(S262="SW",(COUNTIFS(K$4:$K262,"&gt;0",S$4:$S262,"SW")/COUNTIF(S$4:$S262,"SW")),#N/A))</f>
        <v>#N/A</v>
      </c>
      <c r="BP262" s="489" t="e">
        <f>IF($J262="",#N/A,IF($S262="DWN",(COUNTIFS($K$4:$K262,"&lt;0",$S$4:$S262,"DWN")/COUNTIF($S$4:$S262,"DWN")),#N/A))</f>
        <v>#N/A</v>
      </c>
      <c r="BQ262" s="489">
        <f>IF($J262="",#N/A,IF($S262="UP",(COUNTIFS($K$4:$K262,"&gt;0",$S$4:$S262,"UP")/COUNTIF($S$4:$S262,"UP")),#N/A))</f>
        <v>0.33333333333333331</v>
      </c>
      <c r="BR262" s="489">
        <f>IF(J262="",#N/A,COUNTIF($K$4:K262,"&gt;0")/COUNT($J$4:J262))</f>
        <v>0.44787644787644787</v>
      </c>
      <c r="BS262" s="65" t="str">
        <f t="shared" si="465"/>
        <v/>
      </c>
      <c r="BT262" s="65">
        <f t="shared" si="466"/>
        <v>-0.27145310509113252</v>
      </c>
      <c r="BU262" s="65" t="str">
        <f t="shared" si="467"/>
        <v/>
      </c>
      <c r="BV262" s="65" t="str">
        <f t="shared" si="468"/>
        <v/>
      </c>
      <c r="BW262" s="128">
        <f t="shared" si="469"/>
        <v>-19.600000000000136</v>
      </c>
      <c r="BX262" s="128">
        <f>IF($J262="",#N/A,SUM($BW$4:BW262))</f>
        <v>-313.79959683283596</v>
      </c>
      <c r="BY262" s="131" t="str">
        <f t="shared" si="470"/>
        <v/>
      </c>
      <c r="BZ262" s="131">
        <f>IF($J262="",#N/A,SUM($BY$4:BY262))</f>
        <v>909.30234038933418</v>
      </c>
      <c r="CA262" s="133" t="str">
        <f t="shared" si="471"/>
        <v/>
      </c>
      <c r="CB262" s="133">
        <f>IF($J262="",#N/A,SUM($CA$4:CA262))</f>
        <v>13.871584261875455</v>
      </c>
      <c r="CC262" s="194">
        <f t="shared" si="472"/>
        <v>-0.27145310509113252</v>
      </c>
      <c r="CD262" s="194">
        <f>IF($J262="",#N/A,SUM($CC$4:CC262))</f>
        <v>-4.7511291711510797</v>
      </c>
      <c r="CE262" s="195" t="str">
        <f t="shared" si="473"/>
        <v/>
      </c>
      <c r="CF262" s="195">
        <f>IF($J262="",#N/A,SUM($CE$4:CE262))</f>
        <v>15.637307369222354</v>
      </c>
      <c r="CG262" s="196" t="str">
        <f t="shared" si="474"/>
        <v/>
      </c>
      <c r="CH262" s="196">
        <f>IF($J262="",#N/A,SUM($CG$4:CG262))</f>
        <v>2.9333428655569906</v>
      </c>
      <c r="CI262" s="200" t="str">
        <f t="shared" si="475"/>
        <v/>
      </c>
      <c r="CJ262" s="203">
        <f>IF($J262="",#N/A,SUM(CI$4:CI262))</f>
        <v>0</v>
      </c>
      <c r="CK262" s="204" t="str">
        <f t="shared" si="476"/>
        <v/>
      </c>
      <c r="CL262" s="204">
        <f>IF($J262="",#N/A,SUM(CK$4:CK262))</f>
        <v>1.9927003554442289</v>
      </c>
      <c r="CM262" s="205" t="str">
        <f t="shared" si="477"/>
        <v/>
      </c>
      <c r="CN262" s="205">
        <f>IF($J262="",#N/A,SUM(CM$4:CM262))</f>
        <v>2.5131182152625313</v>
      </c>
      <c r="CO262" s="205">
        <f>IF($J262="",#N/A,SUM(CM$4:CM262,CK$4:CK262,CI$4:CI262))</f>
        <v>4.5058185707067606</v>
      </c>
      <c r="CP262" s="200" t="str">
        <f t="shared" si="478"/>
        <v/>
      </c>
      <c r="CQ262" s="203">
        <f>IF($J262="",#N/A,SUM(CP$4:CP262))</f>
        <v>-1.489321591123322</v>
      </c>
      <c r="CR262" s="204" t="str">
        <f t="shared" si="479"/>
        <v/>
      </c>
      <c r="CS262" s="204">
        <f>IF($J262="",#N/A,SUM(CR$4:CR262))</f>
        <v>4.6135245886817966</v>
      </c>
      <c r="CT262" s="205" t="str">
        <f t="shared" si="480"/>
        <v/>
      </c>
      <c r="CU262" s="205">
        <f>IF($J262="",#N/A,SUM(CT$4:CT262))</f>
        <v>-2.9040943753548785</v>
      </c>
      <c r="CV262" s="205">
        <f>IF($J262="",#N/A,SUM(CT$4:CT262,CR$4:CR262,CP$4:CP262))</f>
        <v>0.22010862220359617</v>
      </c>
      <c r="CW262" s="200" t="str">
        <f t="shared" si="481"/>
        <v/>
      </c>
      <c r="CX262" s="203">
        <f>IF($J262="",#N/A,SUM(CW$4:CW262))</f>
        <v>-0.33865165024245297</v>
      </c>
      <c r="CY262" s="204" t="str">
        <f t="shared" si="482"/>
        <v/>
      </c>
      <c r="CZ262" s="204">
        <f>IF($J262="",#N/A,SUM(CY$4:CY262))</f>
        <v>0.30198222879878239</v>
      </c>
      <c r="DA262" s="205" t="str">
        <f t="shared" si="483"/>
        <v/>
      </c>
      <c r="DB262" s="205">
        <f>IF($J262="",#N/A,SUM(DA$4:DA262))</f>
        <v>-2.290842929156085</v>
      </c>
      <c r="DC262" s="205">
        <f>IF($J262="",#N/A,SUM(DA$4:DA262,CY$4:CY262,CW$4:CW262))</f>
        <v>-2.3275123505997555</v>
      </c>
      <c r="DD262" s="200" t="str">
        <f t="shared" si="484"/>
        <v/>
      </c>
      <c r="DE262" s="203">
        <f>IF($J262="",#N/A,SUM(DD$4:DD262))</f>
        <v>0.24769343410817113</v>
      </c>
      <c r="DF262" s="204" t="str">
        <f t="shared" si="485"/>
        <v/>
      </c>
      <c r="DG262" s="204">
        <f>IF($J262="",#N/A,SUM(DF$4:DF262))</f>
        <v>2.0536926011145376</v>
      </c>
      <c r="DH262" s="205" t="str">
        <f t="shared" si="486"/>
        <v/>
      </c>
      <c r="DI262" s="205">
        <f>IF($J262="",#N/A,SUM(DH$4:DH262))</f>
        <v>-2.7812008102163399</v>
      </c>
      <c r="DJ262" s="205">
        <f>IF($J262="",#N/A,SUM(DH$4:DH262,DF$4:DF262,DD$4:DD262))</f>
        <v>-0.47981477499363151</v>
      </c>
      <c r="DK262" s="200" t="str">
        <f t="shared" si="487"/>
        <v/>
      </c>
      <c r="DL262" s="203">
        <f>IF($J262="",#N/A,SUM(DK$4:DK262))</f>
        <v>-1.2097286851272664</v>
      </c>
      <c r="DM262" s="204" t="str">
        <f t="shared" si="488"/>
        <v/>
      </c>
      <c r="DN262" s="204">
        <f>IF($J262="",#N/A,SUM(DM$4:DM262))</f>
        <v>3.0281848543081331</v>
      </c>
      <c r="DO262" s="205" t="str">
        <f t="shared" si="489"/>
        <v/>
      </c>
      <c r="DP262" s="205">
        <f>IF($J262="",#N/A,SUM(DO$4:DO262))</f>
        <v>2.700331529683047</v>
      </c>
      <c r="DQ262" s="205">
        <f>IF($J262="",#N/A,SUM(DO$4:DO262,DM$4:DM262,DK$4:DK262))</f>
        <v>4.518787698863914</v>
      </c>
      <c r="DR262" s="200" t="str">
        <f t="shared" si="490"/>
        <v/>
      </c>
      <c r="DS262" s="203">
        <f>IF($J262="",#N/A,SUM(DR$4:DR262))</f>
        <v>-0.55950946427675097</v>
      </c>
      <c r="DT262" s="204" t="str">
        <f t="shared" si="491"/>
        <v/>
      </c>
      <c r="DU262" s="204">
        <f>IF($J262="",#N/A,SUM(DT$4:DT262))</f>
        <v>-0.87082853884823752</v>
      </c>
      <c r="DV262" s="205" t="str">
        <f t="shared" si="492"/>
        <v/>
      </c>
      <c r="DW262" s="205">
        <f>IF($J262="",#N/A,SUM(DV$4:DV262))</f>
        <v>-1.2815650893103838</v>
      </c>
      <c r="DX262" s="205">
        <f>IF($J262="",#N/A,SUM(DV$4:DV262,DT$4:DT262,DR$4:DR262))</f>
        <v>-2.7119030924353726</v>
      </c>
      <c r="DY262" s="200" t="str">
        <f t="shared" si="493"/>
        <v/>
      </c>
      <c r="DZ262" s="203">
        <f>IF($J262="",#N/A,SUM(DY$4:DY262))</f>
        <v>-1.0460034109943892</v>
      </c>
      <c r="EA262" s="204" t="str">
        <f t="shared" si="494"/>
        <v/>
      </c>
      <c r="EB262" s="204">
        <f>IF($J262="",#N/A,SUM(EA$4:EA262))</f>
        <v>1.0902674422317802</v>
      </c>
      <c r="EC262" s="205" t="str">
        <f t="shared" si="495"/>
        <v/>
      </c>
      <c r="ED262" s="205">
        <f>IF($J262="",#N/A,SUM(EC$4:EC262))</f>
        <v>4.5772092731053986</v>
      </c>
      <c r="EE262" s="205">
        <f>IF($J262="",#N/A,SUM(EC$4:EC262,EA$4:EA262,DY$4:DY262))</f>
        <v>4.6214733043427882</v>
      </c>
      <c r="EF262" s="200" t="str">
        <f t="shared" si="496"/>
        <v/>
      </c>
      <c r="EG262" s="203">
        <f>IF($J262="",#N/A,SUM(EF$4:EF262))</f>
        <v>-0.15098969023521425</v>
      </c>
      <c r="EH262" s="204" t="str">
        <f t="shared" si="497"/>
        <v/>
      </c>
      <c r="EI262" s="204">
        <f>IF($J262="",#N/A,SUM(EH$4:EH262))</f>
        <v>-2.3511346601809122</v>
      </c>
      <c r="EJ262" s="205" t="str">
        <f t="shared" si="498"/>
        <v/>
      </c>
      <c r="EK262" s="205">
        <f>IF($J262="",#N/A,SUM(EJ$4:EJ262))</f>
        <v>5.050388173053765</v>
      </c>
      <c r="EL262" s="205">
        <f>IF($J262="",#N/A,SUM(EJ$4:EJ262,EH$4:EH262,EF$4:EF262))</f>
        <v>2.5482638226376384</v>
      </c>
      <c r="EM262" s="200" t="str">
        <f t="shared" si="499"/>
        <v/>
      </c>
      <c r="EN262" s="203">
        <f>IF($J262="",#N/A,SUM(EM$4:EM262))</f>
        <v>0</v>
      </c>
      <c r="EO262" s="204" t="str">
        <f t="shared" si="500"/>
        <v/>
      </c>
      <c r="EP262" s="204">
        <f>IF($J262="",#N/A,SUM(EO$4:EO262))</f>
        <v>3.2406646352184261</v>
      </c>
      <c r="EQ262" s="205" t="str">
        <f t="shared" si="501"/>
        <v/>
      </c>
      <c r="ER262" s="205">
        <f>IF($J262="",#N/A,SUM(EQ$4:EQ262))</f>
        <v>1.441536272249796</v>
      </c>
      <c r="ES262" s="205">
        <f>IF($J262="",#N/A,SUM(EQ$4:EQ262,EO$4:EO262,EM$4:EM262))</f>
        <v>4.6822009074682214</v>
      </c>
      <c r="ET262" s="200" t="str">
        <f t="shared" si="502"/>
        <v/>
      </c>
      <c r="EU262" s="203">
        <f>IF($J262="",#N/A,SUM(ET$4:ET262))</f>
        <v>0</v>
      </c>
      <c r="EV262" s="204" t="str">
        <f t="shared" si="503"/>
        <v/>
      </c>
      <c r="EW262" s="204">
        <f>IF($J262="",#N/A,SUM(EV$4:EV262))</f>
        <v>2.6896999443708767</v>
      </c>
      <c r="EX262" s="205" t="str">
        <f t="shared" si="504"/>
        <v/>
      </c>
      <c r="EY262" s="205">
        <f>IF($J262="",#N/A,SUM(EX$4:EX262))</f>
        <v>0.27113250180669229</v>
      </c>
      <c r="EZ262" s="205">
        <f>IF($J262="",#N/A,SUM(EX$4:EX262,EV$4:EV262,ET$4:ET262))</f>
        <v>2.9608324461775686</v>
      </c>
      <c r="FA262" s="200">
        <f t="shared" si="505"/>
        <v>-0.27145310509113252</v>
      </c>
      <c r="FB262" s="203">
        <f>IF($J262="",#N/A,SUM(FA$4:FA262))</f>
        <v>-0.27145310509113252</v>
      </c>
      <c r="FC262" s="204" t="str">
        <f t="shared" si="506"/>
        <v/>
      </c>
      <c r="FD262" s="204">
        <f>IF($J262="",#N/A,SUM(FC$4:FC262))</f>
        <v>1.3660078100500956</v>
      </c>
      <c r="FE262" s="205" t="str">
        <f t="shared" si="507"/>
        <v/>
      </c>
      <c r="FF262" s="205">
        <f>IF($J262="",#N/A,SUM(FE$4:FE262))</f>
        <v>-0.28811149078748233</v>
      </c>
      <c r="FG262" s="205">
        <f>IF($J262="",#N/A,SUM(FE$4:FE262,FC$4:FC262,FA$4:FA262))</f>
        <v>0.80644321417148113</v>
      </c>
      <c r="FH262" s="200" t="str">
        <f t="shared" si="508"/>
        <v/>
      </c>
      <c r="FI262" s="203">
        <f>IF($J262="",#N/A,SUM(FH$4:FH262))</f>
        <v>0</v>
      </c>
      <c r="FJ262" s="204" t="str">
        <f t="shared" si="509"/>
        <v/>
      </c>
      <c r="FK262" s="204">
        <f>IF($J262="",#N/A,SUM(FJ$4:FJ262))</f>
        <v>0</v>
      </c>
      <c r="FL262" s="205" t="str">
        <f t="shared" si="510"/>
        <v/>
      </c>
      <c r="FM262" s="205">
        <f>IF($J262="",#N/A,SUM(FL$4:FL262))</f>
        <v>0</v>
      </c>
      <c r="FN262" s="205">
        <f>IF($J262="",#N/A,SUM(FL$4:FL262,FJ$4:FJ262,FH$4:FH262))</f>
        <v>0</v>
      </c>
      <c r="FO262" s="200" t="str">
        <f t="shared" si="511"/>
        <v/>
      </c>
      <c r="FP262" s="203">
        <f>IF($J262="",#N/A,SUM(FO$4:FO262))</f>
        <v>0</v>
      </c>
      <c r="FQ262" s="204" t="str">
        <f t="shared" si="512"/>
        <v/>
      </c>
      <c r="FR262" s="204">
        <f>IF($J262="",#N/A,SUM(FQ$4:FQ262))</f>
        <v>0</v>
      </c>
      <c r="FS262" s="205" t="str">
        <f t="shared" si="513"/>
        <v/>
      </c>
      <c r="FT262" s="205">
        <f>IF($J262="",#N/A,SUM(FS$4:FS262))</f>
        <v>0</v>
      </c>
      <c r="FU262" s="205">
        <f>IF($J262="",#N/A,SUM(FS$4:FS262,FQ$4:FQ262,FO$4:FO262))</f>
        <v>0</v>
      </c>
      <c r="FV262" s="200" t="str">
        <f t="shared" si="514"/>
        <v/>
      </c>
      <c r="FW262" s="203">
        <f>IF($J262="",#N/A,SUM(FV$4:FV262))</f>
        <v>6.6834991831277585E-2</v>
      </c>
      <c r="FX262" s="204" t="str">
        <f t="shared" si="515"/>
        <v/>
      </c>
      <c r="FY262" s="204">
        <f>IF($J262="",#N/A,SUM(FX$4:FX262))</f>
        <v>-0.16102012791805576</v>
      </c>
      <c r="FZ262" s="205" t="str">
        <f t="shared" si="516"/>
        <v/>
      </c>
      <c r="GA262" s="205">
        <f>IF($J262="",#N/A,SUM(FZ$4:FZ262))</f>
        <v>-1.1377221770567538</v>
      </c>
      <c r="GB262" s="205">
        <f>IF($J262="",#N/A,SUM(FZ$4:FZ262,FX$4:FX262,FV$4:FV262))</f>
        <v>-1.2319073131435321</v>
      </c>
      <c r="GC262" s="200" t="str">
        <f t="shared" si="517"/>
        <v/>
      </c>
      <c r="GD262" s="203">
        <f>IF($J262="",#N/A,SUM(GC$4:GC262))</f>
        <v>0</v>
      </c>
      <c r="GE262" s="204" t="str">
        <f t="shared" si="518"/>
        <v/>
      </c>
      <c r="GF262" s="204">
        <f>IF($J262="",#N/A,SUM(GE$4:GE262))</f>
        <v>0</v>
      </c>
      <c r="GG262" s="205" t="str">
        <f t="shared" si="519"/>
        <v/>
      </c>
      <c r="GH262" s="205">
        <f>IF($J262="",#N/A,SUM(GG$4:GG262))</f>
        <v>-2.9368362277223206</v>
      </c>
      <c r="GI262" s="205">
        <f>IF($J262="",#N/A,SUM(GG$4:GG262,GE$4:GE262,GC$4:GC262))</f>
        <v>-2.9368362277223206</v>
      </c>
      <c r="GJ262" s="200" t="str">
        <f t="shared" si="520"/>
        <v/>
      </c>
      <c r="GK262" s="203">
        <f>IF($J262="",#N/A,SUM(GJ$4:GJ262))</f>
        <v>0</v>
      </c>
      <c r="GL262" s="204" t="str">
        <f t="shared" si="521"/>
        <v/>
      </c>
      <c r="GM262" s="204">
        <f>IF($J262="",#N/A,SUM(GL$4:GL262))</f>
        <v>-1.6833790887309608</v>
      </c>
      <c r="GN262" s="205" t="str">
        <f t="shared" si="522"/>
        <v/>
      </c>
      <c r="GO262" s="205">
        <f>IF($J262="",#N/A,SUM(GN$4:GN262))</f>
        <v>0</v>
      </c>
      <c r="GP262" s="205">
        <f>IF($J262="",#N/A,SUM(GN$4:GN262,GL$4:GL262,GJ$4:GJ262))</f>
        <v>-1.6833790887309608</v>
      </c>
      <c r="GS262" s="54">
        <f t="shared" ref="GS262:GS325" si="541">IF(J262="","",IF(D262="Y",P262,""))</f>
        <v>-0.27145310509113252</v>
      </c>
      <c r="GT262" s="54">
        <f>IF(GS262="",NA(),SUM($GS$4:GS262))</f>
        <v>7.82061786954048</v>
      </c>
      <c r="GU262" s="54">
        <f t="shared" si="523"/>
        <v>-0.27145310509113252</v>
      </c>
      <c r="GV262" s="54">
        <f>IF(GU262="",NA(),SUM($GU$4:GU262))</f>
        <v>-4.7511291711510797</v>
      </c>
      <c r="GW262" s="54" t="str">
        <f t="shared" si="524"/>
        <v/>
      </c>
      <c r="GX262" s="54" t="e">
        <f>IF(GW262="",NA(),SUM($GW$4:GW262))</f>
        <v>#N/A</v>
      </c>
      <c r="GY262" s="54" t="str">
        <f t="shared" si="525"/>
        <v/>
      </c>
      <c r="GZ262" s="54" t="e">
        <f>IF(GY262="",NA(),SUM($GY$4:GY262))</f>
        <v>#N/A</v>
      </c>
      <c r="HA262" s="54" t="str">
        <f t="shared" si="526"/>
        <v/>
      </c>
      <c r="HB262" s="54" t="e">
        <f>IF(HA262="",NA(),SUM($HA$4:HA262))</f>
        <v>#N/A</v>
      </c>
      <c r="HC262" s="54" t="str">
        <f t="shared" si="527"/>
        <v/>
      </c>
      <c r="HD262" s="54" t="e">
        <f>IF(HC262="",NA(),SUM($HC$4:HC262))</f>
        <v>#N/A</v>
      </c>
      <c r="HE262" s="54" t="str">
        <f t="shared" si="528"/>
        <v/>
      </c>
      <c r="HF262" s="54" t="e">
        <f>IF(HE262="",NA(),SUM($HE$4:HE262))</f>
        <v>#N/A</v>
      </c>
      <c r="HG262" s="54" t="str">
        <f t="shared" si="529"/>
        <v/>
      </c>
      <c r="HH262" s="54" t="e">
        <f>IF(HG262="",NA(),SUM($HG$4:HG262))</f>
        <v>#N/A</v>
      </c>
      <c r="HI262" s="172" t="str">
        <f t="shared" ref="HI262:HI325" si="542">IF($AC262="","",IF(AND($S262="Dwn",$K262&lt;0),$HU262-P262,""))</f>
        <v/>
      </c>
      <c r="HJ262" s="172">
        <f>IF($J262="",#N/A,SUM(HI$4:$HI262))</f>
        <v>-6.5557875650906823</v>
      </c>
      <c r="HK262" s="54" t="str">
        <f t="shared" si="530"/>
        <v/>
      </c>
      <c r="HL262" s="54">
        <f>IF($J262="",#N/A,SUM($HK$4:HK262))</f>
        <v>-2.5507240157544917</v>
      </c>
      <c r="HM262" s="54" t="str">
        <f t="shared" si="531"/>
        <v/>
      </c>
      <c r="HN262" s="54">
        <f>IF($J262="",#N/A,SUM($HM$4:HM262))</f>
        <v>0.957348620978966</v>
      </c>
      <c r="HO262" s="54">
        <f t="shared" si="532"/>
        <v>-0.1357265525455647</v>
      </c>
      <c r="HP262" s="54">
        <f>IF($J262="",#N/A,SUM($HO$4:HO262))</f>
        <v>-0.75682593815002108</v>
      </c>
      <c r="HQ262" s="54" t="str">
        <f t="shared" si="533"/>
        <v/>
      </c>
      <c r="HR262" s="54">
        <f>IF($J262="",#N/A,SUM($HQ$4:HQ262))</f>
        <v>-14.596039294292455</v>
      </c>
      <c r="HS262" s="54" t="str">
        <f t="shared" si="534"/>
        <v/>
      </c>
      <c r="HT262" s="54">
        <f>IF($J262="",#N/A,SUM($HS$4:HS262))</f>
        <v>14.245667427720402</v>
      </c>
      <c r="HU262" s="65">
        <f t="shared" si="535"/>
        <v>-0.40717965763669722</v>
      </c>
      <c r="HV262" s="65">
        <f>IF($J262="",#N/A,SUM(HU$4:$HU262))</f>
        <v>4.5631602990399758</v>
      </c>
    </row>
    <row r="263" spans="1:230" x14ac:dyDescent="0.25">
      <c r="A263" s="51" t="s">
        <v>124</v>
      </c>
      <c r="B263" s="52" t="s">
        <v>4566</v>
      </c>
      <c r="C263" s="229">
        <f t="shared" si="436"/>
        <v>2</v>
      </c>
      <c r="D263" s="219" t="str">
        <f>_xlfn.XLOOKUP(A263,[1]SP500!$A$2:$A$502,[1]SP500!$D$2:$D$502,"N")</f>
        <v>N</v>
      </c>
      <c r="E263" s="51" t="str">
        <f>IFERROR(_xlfn.XLOOKUP(A263,[1]SP500!$A$2:$A$655,[1]SP500!$B$2:$B$655),"")</f>
        <v>XLB</v>
      </c>
      <c r="F263" s="290">
        <v>45782</v>
      </c>
      <c r="G263" s="51" t="str">
        <f t="shared" si="437"/>
        <v>AMC</v>
      </c>
      <c r="H263" s="51" t="str">
        <f t="shared" si="438"/>
        <v>s</v>
      </c>
      <c r="I263" s="344">
        <v>44.77</v>
      </c>
      <c r="J263" s="123">
        <v>47.615000000000002</v>
      </c>
      <c r="K263" s="55">
        <f t="shared" si="439"/>
        <v>6.354701809247261E-2</v>
      </c>
      <c r="L263" s="67">
        <f t="shared" si="440"/>
        <v>-56.899999999999977</v>
      </c>
      <c r="M263" s="57">
        <f t="shared" si="441"/>
        <v>2.3000000000000682</v>
      </c>
      <c r="N263" s="102">
        <f t="shared" si="442"/>
        <v>-56.899999999999977</v>
      </c>
      <c r="O263" s="57">
        <f>IF(N263="",#N/A,SUM($N$4:N263))</f>
        <v>552.47432781837369</v>
      </c>
      <c r="P263" s="65">
        <f t="shared" si="536"/>
        <v>-1.0591169682078767</v>
      </c>
      <c r="Q263" s="172">
        <f>IF($N263="",#N/A,SUM($P$4:P263))</f>
        <v>12.760404095420382</v>
      </c>
      <c r="R263" s="279">
        <f t="shared" si="443"/>
        <v>2.6258545254710253</v>
      </c>
      <c r="S263" s="51" t="str">
        <f t="shared" si="444"/>
        <v>Dwn</v>
      </c>
      <c r="T263" s="51" t="s">
        <v>4461</v>
      </c>
      <c r="U263" s="56">
        <f t="shared" si="445"/>
        <v>44.77</v>
      </c>
      <c r="V263" s="56" t="s">
        <v>4458</v>
      </c>
      <c r="W263" s="142">
        <v>20</v>
      </c>
      <c r="X263" s="145">
        <f t="shared" si="446"/>
        <v>895.40000000000009</v>
      </c>
      <c r="Y263" s="140">
        <f t="shared" si="447"/>
        <v>20</v>
      </c>
      <c r="Z263" s="123">
        <v>47.5</v>
      </c>
      <c r="AA263" s="102">
        <f t="shared" si="448"/>
        <v>-54.599999999999909</v>
      </c>
      <c r="AB263" s="102">
        <f t="shared" si="449"/>
        <v>-85.599999999999909</v>
      </c>
      <c r="AC263" s="124">
        <v>49.05</v>
      </c>
      <c r="AD263" s="155">
        <f t="shared" si="450"/>
        <v>-85.599999999999909</v>
      </c>
      <c r="AE263" s="545">
        <f t="shared" si="451"/>
        <v>-1.5933288660561369</v>
      </c>
      <c r="AF263" s="57">
        <f>IF($AC263="",#N/A,SUM(AD$4:AD263))</f>
        <v>90.790339768177205</v>
      </c>
      <c r="AG263" s="102">
        <f t="shared" si="452"/>
        <v>-28.699999999999932</v>
      </c>
      <c r="AH263" s="56" t="s">
        <v>2507</v>
      </c>
      <c r="AI263" s="65">
        <f t="shared" si="453"/>
        <v>-1.0163055617601056</v>
      </c>
      <c r="AJ263" s="350">
        <f>IF(AI263="",#N/A,SUM($AI$4:AI263))</f>
        <v>10.134549569949357</v>
      </c>
      <c r="AK263" s="57">
        <f t="shared" si="454"/>
        <v>-54.599999999999909</v>
      </c>
      <c r="AL263" s="349">
        <f>IF(AI263="",#N/A,IF(AH263="Skip",SUM($AK$4:AK263),SUM($AK$4:AK263)))</f>
        <v>364.13759149281418</v>
      </c>
      <c r="AM263" s="65">
        <f t="shared" si="537"/>
        <v>-1.5933288660561369</v>
      </c>
      <c r="AN263" s="210"/>
      <c r="AO263" s="65" t="str">
        <f t="shared" si="455"/>
        <v/>
      </c>
      <c r="AP263" s="65">
        <f>IF($AC263="",#N/A,SUM(AO$4:AO263))</f>
        <v>2.5829709989849365</v>
      </c>
      <c r="AQ263" s="65" t="str">
        <f t="shared" si="456"/>
        <v/>
      </c>
      <c r="AR263" s="65">
        <f>IF($AC263="",#N/A,SUM(AQ$4:AQ263))</f>
        <v>-4.5506064883221358</v>
      </c>
      <c r="AS263" s="65">
        <f t="shared" si="457"/>
        <v>-1.5933288660561369</v>
      </c>
      <c r="AT263" s="65">
        <f>IF($AC263="",#N/A,SUM(AS$4:AS263))</f>
        <v>4.9374669223210343</v>
      </c>
      <c r="AU263" s="57" t="str">
        <f t="shared" si="538"/>
        <v/>
      </c>
      <c r="AV263" s="57">
        <f>IF($AC263="",#N/A,SUM(AU$4:AU263))</f>
        <v>33.122490661046754</v>
      </c>
      <c r="AW263" s="57" t="str">
        <f t="shared" si="539"/>
        <v/>
      </c>
      <c r="AX263" s="57">
        <f>IF($AC263="",#N/A,SUM(AW$4:AW263))</f>
        <v>-299.03053243920203</v>
      </c>
      <c r="AY263" s="57">
        <f t="shared" si="540"/>
        <v>-85.599999999999909</v>
      </c>
      <c r="AZ263" s="57">
        <f>IF($AC263="",#N/A,SUM(AY$4:AY263))</f>
        <v>356.69838154633248</v>
      </c>
      <c r="BA263" s="57">
        <f>IF(AD263="",#N/A,SUM($AD$4:AD263))</f>
        <v>90.790339768177205</v>
      </c>
      <c r="BC263" s="51" t="str">
        <f t="shared" si="458"/>
        <v/>
      </c>
      <c r="BD263" s="51">
        <f t="shared" si="459"/>
        <v>1</v>
      </c>
      <c r="BE263" s="51" t="str">
        <f t="shared" si="460"/>
        <v/>
      </c>
      <c r="BF263" s="51" t="str">
        <f t="shared" si="461"/>
        <v>Short</v>
      </c>
      <c r="BG263" s="51" t="str">
        <f t="shared" si="462"/>
        <v/>
      </c>
      <c r="BH263" s="51" t="str">
        <f t="shared" si="463"/>
        <v/>
      </c>
      <c r="BI263" s="51" t="str">
        <f t="shared" si="464"/>
        <v/>
      </c>
      <c r="BK263" s="65">
        <f t="shared" si="435"/>
        <v>6.0701781439869755E-2</v>
      </c>
      <c r="BL263" s="65">
        <f t="shared" si="434"/>
        <v>2.5092222527315754E-3</v>
      </c>
      <c r="BM263" s="65">
        <f>IFERROR(Q263/COUNTA($J$4:J263),#N/A)</f>
        <v>4.9078477290078394E-2</v>
      </c>
      <c r="BO263" s="489" t="e">
        <f>IF(J263="",#N/A,IF(S263="SW",(COUNTIFS(K$4:$K263,"&gt;0",S$4:$S263,"SW")/COUNTIF(S$4:$S263,"SW")),#N/A))</f>
        <v>#N/A</v>
      </c>
      <c r="BP263" s="489">
        <f>IF($J263="",#N/A,IF($S263="DWN",(COUNTIFS($K$4:$K263,"&lt;0",$S$4:$S263,"DWN")/COUNTIF($S$4:$S263,"DWN")),#N/A))</f>
        <v>0.58407079646017701</v>
      </c>
      <c r="BQ263" s="489" t="e">
        <f>IF($J263="",#N/A,IF($S263="UP",(COUNTIFS($K$4:$K263,"&gt;0",$S$4:$S263,"UP")/COUNTIF($S$4:$S263,"UP")),#N/A))</f>
        <v>#N/A</v>
      </c>
      <c r="BR263" s="489">
        <f>IF(J263="",#N/A,COUNTIF($K$4:K263,"&gt;0")/COUNT($J$4:J263))</f>
        <v>0.45</v>
      </c>
      <c r="BS263" s="65" t="str">
        <f t="shared" si="465"/>
        <v/>
      </c>
      <c r="BT263" s="65" t="str">
        <f t="shared" si="466"/>
        <v/>
      </c>
      <c r="BU263" s="65" t="str">
        <f t="shared" si="467"/>
        <v/>
      </c>
      <c r="BV263" s="65">
        <f t="shared" si="468"/>
        <v>-1.0591169682078767</v>
      </c>
      <c r="BW263" s="128" t="str">
        <f t="shared" si="469"/>
        <v/>
      </c>
      <c r="BX263" s="128">
        <f>IF($J263="",#N/A,SUM($BW$4:BW263))</f>
        <v>-313.79959683283596</v>
      </c>
      <c r="BY263" s="131">
        <f t="shared" si="470"/>
        <v>-56.899999999999977</v>
      </c>
      <c r="BZ263" s="131">
        <f>IF($J263="",#N/A,SUM($BY$4:BY263))</f>
        <v>852.4023403893342</v>
      </c>
      <c r="CA263" s="133" t="str">
        <f t="shared" si="471"/>
        <v/>
      </c>
      <c r="CB263" s="133">
        <f>IF($J263="",#N/A,SUM($CA$4:CA263))</f>
        <v>13.871584261875455</v>
      </c>
      <c r="CC263" s="194" t="str">
        <f t="shared" si="472"/>
        <v/>
      </c>
      <c r="CD263" s="194">
        <f>IF($J263="",#N/A,SUM($CC$4:CC263))</f>
        <v>-4.7511291711510797</v>
      </c>
      <c r="CE263" s="195">
        <f t="shared" si="473"/>
        <v>-1.0591169682078767</v>
      </c>
      <c r="CF263" s="195">
        <f>IF($J263="",#N/A,SUM($CE$4:CE263))</f>
        <v>14.578190401014478</v>
      </c>
      <c r="CG263" s="196" t="str">
        <f t="shared" si="474"/>
        <v/>
      </c>
      <c r="CH263" s="196">
        <f>IF($J263="",#N/A,SUM($CG$4:CG263))</f>
        <v>2.9333428655569906</v>
      </c>
      <c r="CI263" s="200" t="str">
        <f t="shared" si="475"/>
        <v/>
      </c>
      <c r="CJ263" s="203">
        <f>IF($J263="",#N/A,SUM(CI$4:CI263))</f>
        <v>0</v>
      </c>
      <c r="CK263" s="204" t="str">
        <f t="shared" si="476"/>
        <v/>
      </c>
      <c r="CL263" s="204">
        <f>IF($J263="",#N/A,SUM(CK$4:CK263))</f>
        <v>1.9927003554442289</v>
      </c>
      <c r="CM263" s="205" t="str">
        <f t="shared" si="477"/>
        <v/>
      </c>
      <c r="CN263" s="205">
        <f>IF($J263="",#N/A,SUM(CM$4:CM263))</f>
        <v>2.5131182152625313</v>
      </c>
      <c r="CO263" s="205">
        <f>IF($J263="",#N/A,SUM(CM$4:CM263,CK$4:CK263,CI$4:CI263))</f>
        <v>4.5058185707067606</v>
      </c>
      <c r="CP263" s="200" t="str">
        <f t="shared" si="478"/>
        <v/>
      </c>
      <c r="CQ263" s="203">
        <f>IF($J263="",#N/A,SUM(CP$4:CP263))</f>
        <v>-1.489321591123322</v>
      </c>
      <c r="CR263" s="204" t="str">
        <f t="shared" si="479"/>
        <v/>
      </c>
      <c r="CS263" s="204">
        <f>IF($J263="",#N/A,SUM(CR$4:CR263))</f>
        <v>4.6135245886817966</v>
      </c>
      <c r="CT263" s="205" t="str">
        <f t="shared" si="480"/>
        <v/>
      </c>
      <c r="CU263" s="205">
        <f>IF($J263="",#N/A,SUM(CT$4:CT263))</f>
        <v>-2.9040943753548785</v>
      </c>
      <c r="CV263" s="205">
        <f>IF($J263="",#N/A,SUM(CT$4:CT263,CR$4:CR263,CP$4:CP263))</f>
        <v>0.22010862220359617</v>
      </c>
      <c r="CW263" s="200" t="str">
        <f t="shared" si="481"/>
        <v/>
      </c>
      <c r="CX263" s="203">
        <f>IF($J263="",#N/A,SUM(CW$4:CW263))</f>
        <v>-0.33865165024245297</v>
      </c>
      <c r="CY263" s="204" t="str">
        <f t="shared" si="482"/>
        <v/>
      </c>
      <c r="CZ263" s="204">
        <f>IF($J263="",#N/A,SUM(CY$4:CY263))</f>
        <v>0.30198222879878239</v>
      </c>
      <c r="DA263" s="205" t="str">
        <f t="shared" si="483"/>
        <v/>
      </c>
      <c r="DB263" s="205">
        <f>IF($J263="",#N/A,SUM(DA$4:DA263))</f>
        <v>-2.290842929156085</v>
      </c>
      <c r="DC263" s="205">
        <f>IF($J263="",#N/A,SUM(DA$4:DA263,CY$4:CY263,CW$4:CW263))</f>
        <v>-2.3275123505997555</v>
      </c>
      <c r="DD263" s="200" t="str">
        <f t="shared" si="484"/>
        <v/>
      </c>
      <c r="DE263" s="203">
        <f>IF($J263="",#N/A,SUM(DD$4:DD263))</f>
        <v>0.24769343410817113</v>
      </c>
      <c r="DF263" s="204" t="str">
        <f t="shared" si="485"/>
        <v/>
      </c>
      <c r="DG263" s="204">
        <f>IF($J263="",#N/A,SUM(DF$4:DF263))</f>
        <v>2.0536926011145376</v>
      </c>
      <c r="DH263" s="205" t="str">
        <f t="shared" si="486"/>
        <v/>
      </c>
      <c r="DI263" s="205">
        <f>IF($J263="",#N/A,SUM(DH$4:DH263))</f>
        <v>-2.7812008102163399</v>
      </c>
      <c r="DJ263" s="205">
        <f>IF($J263="",#N/A,SUM(DH$4:DH263,DF$4:DF263,DD$4:DD263))</f>
        <v>-0.47981477499363151</v>
      </c>
      <c r="DK263" s="200" t="str">
        <f t="shared" si="487"/>
        <v/>
      </c>
      <c r="DL263" s="203">
        <f>IF($J263="",#N/A,SUM(DK$4:DK263))</f>
        <v>-1.2097286851272664</v>
      </c>
      <c r="DM263" s="204" t="str">
        <f t="shared" si="488"/>
        <v/>
      </c>
      <c r="DN263" s="204">
        <f>IF($J263="",#N/A,SUM(DM$4:DM263))</f>
        <v>3.0281848543081331</v>
      </c>
      <c r="DO263" s="205" t="str">
        <f t="shared" si="489"/>
        <v/>
      </c>
      <c r="DP263" s="205">
        <f>IF($J263="",#N/A,SUM(DO$4:DO263))</f>
        <v>2.700331529683047</v>
      </c>
      <c r="DQ263" s="205">
        <f>IF($J263="",#N/A,SUM(DO$4:DO263,DM$4:DM263,DK$4:DK263))</f>
        <v>4.518787698863914</v>
      </c>
      <c r="DR263" s="200" t="str">
        <f t="shared" si="490"/>
        <v/>
      </c>
      <c r="DS263" s="203">
        <f>IF($J263="",#N/A,SUM(DR$4:DR263))</f>
        <v>-0.55950946427675097</v>
      </c>
      <c r="DT263" s="204" t="str">
        <f t="shared" si="491"/>
        <v/>
      </c>
      <c r="DU263" s="204">
        <f>IF($J263="",#N/A,SUM(DT$4:DT263))</f>
        <v>-0.87082853884823752</v>
      </c>
      <c r="DV263" s="205" t="str">
        <f t="shared" si="492"/>
        <v/>
      </c>
      <c r="DW263" s="205">
        <f>IF($J263="",#N/A,SUM(DV$4:DV263))</f>
        <v>-1.2815650893103838</v>
      </c>
      <c r="DX263" s="205">
        <f>IF($J263="",#N/A,SUM(DV$4:DV263,DT$4:DT263,DR$4:DR263))</f>
        <v>-2.7119030924353726</v>
      </c>
      <c r="DY263" s="200" t="str">
        <f t="shared" si="493"/>
        <v/>
      </c>
      <c r="DZ263" s="203">
        <f>IF($J263="",#N/A,SUM(DY$4:DY263))</f>
        <v>-1.0460034109943892</v>
      </c>
      <c r="EA263" s="204" t="str">
        <f t="shared" si="494"/>
        <v/>
      </c>
      <c r="EB263" s="204">
        <f>IF($J263="",#N/A,SUM(EA$4:EA263))</f>
        <v>1.0902674422317802</v>
      </c>
      <c r="EC263" s="205" t="str">
        <f t="shared" si="495"/>
        <v/>
      </c>
      <c r="ED263" s="205">
        <f>IF($J263="",#N/A,SUM(EC$4:EC263))</f>
        <v>4.5772092731053986</v>
      </c>
      <c r="EE263" s="205">
        <f>IF($J263="",#N/A,SUM(EC$4:EC263,EA$4:EA263,DY$4:DY263))</f>
        <v>4.6214733043427882</v>
      </c>
      <c r="EF263" s="200" t="str">
        <f t="shared" si="496"/>
        <v/>
      </c>
      <c r="EG263" s="203">
        <f>IF($J263="",#N/A,SUM(EF$4:EF263))</f>
        <v>-0.15098969023521425</v>
      </c>
      <c r="EH263" s="204" t="str">
        <f t="shared" si="497"/>
        <v/>
      </c>
      <c r="EI263" s="204">
        <f>IF($J263="",#N/A,SUM(EH$4:EH263))</f>
        <v>-2.3511346601809122</v>
      </c>
      <c r="EJ263" s="205" t="str">
        <f t="shared" si="498"/>
        <v/>
      </c>
      <c r="EK263" s="205">
        <f>IF($J263="",#N/A,SUM(EJ$4:EJ263))</f>
        <v>5.050388173053765</v>
      </c>
      <c r="EL263" s="205">
        <f>IF($J263="",#N/A,SUM(EJ$4:EJ263,EH$4:EH263,EF$4:EF263))</f>
        <v>2.5482638226376384</v>
      </c>
      <c r="EM263" s="200" t="str">
        <f t="shared" si="499"/>
        <v/>
      </c>
      <c r="EN263" s="203">
        <f>IF($J263="",#N/A,SUM(EM$4:EM263))</f>
        <v>0</v>
      </c>
      <c r="EO263" s="204">
        <f t="shared" si="500"/>
        <v>-1.0591169682078767</v>
      </c>
      <c r="EP263" s="204">
        <f>IF($J263="",#N/A,SUM(EO$4:EO263))</f>
        <v>2.1815476670105491</v>
      </c>
      <c r="EQ263" s="205" t="str">
        <f t="shared" si="501"/>
        <v/>
      </c>
      <c r="ER263" s="205">
        <f>IF($J263="",#N/A,SUM(EQ$4:EQ263))</f>
        <v>1.441536272249796</v>
      </c>
      <c r="ES263" s="205">
        <f>IF($J263="",#N/A,SUM(EQ$4:EQ263,EO$4:EO263,EM$4:EM263))</f>
        <v>3.6230839392603444</v>
      </c>
      <c r="ET263" s="200" t="str">
        <f t="shared" si="502"/>
        <v/>
      </c>
      <c r="EU263" s="203">
        <f>IF($J263="",#N/A,SUM(ET$4:ET263))</f>
        <v>0</v>
      </c>
      <c r="EV263" s="204" t="str">
        <f t="shared" si="503"/>
        <v/>
      </c>
      <c r="EW263" s="204">
        <f>IF($J263="",#N/A,SUM(EV$4:EV263))</f>
        <v>2.6896999443708767</v>
      </c>
      <c r="EX263" s="205" t="str">
        <f t="shared" si="504"/>
        <v/>
      </c>
      <c r="EY263" s="205">
        <f>IF($J263="",#N/A,SUM(EX$4:EX263))</f>
        <v>0.27113250180669229</v>
      </c>
      <c r="EZ263" s="205">
        <f>IF($J263="",#N/A,SUM(EX$4:EX263,EV$4:EV263,ET$4:ET263))</f>
        <v>2.9608324461775686</v>
      </c>
      <c r="FA263" s="200" t="str">
        <f t="shared" si="505"/>
        <v/>
      </c>
      <c r="FB263" s="203">
        <f>IF($J263="",#N/A,SUM(FA$4:FA263))</f>
        <v>-0.27145310509113252</v>
      </c>
      <c r="FC263" s="204" t="str">
        <f t="shared" si="506"/>
        <v/>
      </c>
      <c r="FD263" s="204">
        <f>IF($J263="",#N/A,SUM(FC$4:FC263))</f>
        <v>1.3660078100500956</v>
      </c>
      <c r="FE263" s="205" t="str">
        <f t="shared" si="507"/>
        <v/>
      </c>
      <c r="FF263" s="205">
        <f>IF($J263="",#N/A,SUM(FE$4:FE263))</f>
        <v>-0.28811149078748233</v>
      </c>
      <c r="FG263" s="205">
        <f>IF($J263="",#N/A,SUM(FE$4:FE263,FC$4:FC263,FA$4:FA263))</f>
        <v>0.80644321417148113</v>
      </c>
      <c r="FH263" s="200" t="str">
        <f t="shared" si="508"/>
        <v/>
      </c>
      <c r="FI263" s="203">
        <f>IF($J263="",#N/A,SUM(FH$4:FH263))</f>
        <v>0</v>
      </c>
      <c r="FJ263" s="204" t="str">
        <f t="shared" si="509"/>
        <v/>
      </c>
      <c r="FK263" s="204">
        <f>IF($J263="",#N/A,SUM(FJ$4:FJ263))</f>
        <v>0</v>
      </c>
      <c r="FL263" s="205" t="str">
        <f t="shared" si="510"/>
        <v/>
      </c>
      <c r="FM263" s="205">
        <f>IF($J263="",#N/A,SUM(FL$4:FL263))</f>
        <v>0</v>
      </c>
      <c r="FN263" s="205">
        <f>IF($J263="",#N/A,SUM(FL$4:FL263,FJ$4:FJ263,FH$4:FH263))</f>
        <v>0</v>
      </c>
      <c r="FO263" s="200" t="str">
        <f t="shared" si="511"/>
        <v/>
      </c>
      <c r="FP263" s="203">
        <f>IF($J263="",#N/A,SUM(FO$4:FO263))</f>
        <v>0</v>
      </c>
      <c r="FQ263" s="204" t="str">
        <f t="shared" si="512"/>
        <v/>
      </c>
      <c r="FR263" s="204">
        <f>IF($J263="",#N/A,SUM(FQ$4:FQ263))</f>
        <v>0</v>
      </c>
      <c r="FS263" s="205" t="str">
        <f t="shared" si="513"/>
        <v/>
      </c>
      <c r="FT263" s="205">
        <f>IF($J263="",#N/A,SUM(FS$4:FS263))</f>
        <v>0</v>
      </c>
      <c r="FU263" s="205">
        <f>IF($J263="",#N/A,SUM(FS$4:FS263,FQ$4:FQ263,FO$4:FO263))</f>
        <v>0</v>
      </c>
      <c r="FV263" s="200" t="str">
        <f t="shared" si="514"/>
        <v/>
      </c>
      <c r="FW263" s="203">
        <f>IF($J263="",#N/A,SUM(FV$4:FV263))</f>
        <v>6.6834991831277585E-2</v>
      </c>
      <c r="FX263" s="204" t="str">
        <f t="shared" si="515"/>
        <v/>
      </c>
      <c r="FY263" s="204">
        <f>IF($J263="",#N/A,SUM(FX$4:FX263))</f>
        <v>-0.16102012791805576</v>
      </c>
      <c r="FZ263" s="205" t="str">
        <f t="shared" si="516"/>
        <v/>
      </c>
      <c r="GA263" s="205">
        <f>IF($J263="",#N/A,SUM(FZ$4:FZ263))</f>
        <v>-1.1377221770567538</v>
      </c>
      <c r="GB263" s="205">
        <f>IF($J263="",#N/A,SUM(FZ$4:FZ263,FX$4:FX263,FV$4:FV263))</f>
        <v>-1.2319073131435321</v>
      </c>
      <c r="GC263" s="200" t="str">
        <f t="shared" si="517"/>
        <v/>
      </c>
      <c r="GD263" s="203">
        <f>IF($J263="",#N/A,SUM(GC$4:GC263))</f>
        <v>0</v>
      </c>
      <c r="GE263" s="204" t="str">
        <f t="shared" si="518"/>
        <v/>
      </c>
      <c r="GF263" s="204">
        <f>IF($J263="",#N/A,SUM(GE$4:GE263))</f>
        <v>0</v>
      </c>
      <c r="GG263" s="205" t="str">
        <f t="shared" si="519"/>
        <v/>
      </c>
      <c r="GH263" s="205">
        <f>IF($J263="",#N/A,SUM(GG$4:GG263))</f>
        <v>-2.9368362277223206</v>
      </c>
      <c r="GI263" s="205">
        <f>IF($J263="",#N/A,SUM(GG$4:GG263,GE$4:GE263,GC$4:GC263))</f>
        <v>-2.9368362277223206</v>
      </c>
      <c r="GJ263" s="200" t="str">
        <f t="shared" si="520"/>
        <v/>
      </c>
      <c r="GK263" s="203">
        <f>IF($J263="",#N/A,SUM(GJ$4:GJ263))</f>
        <v>0</v>
      </c>
      <c r="GL263" s="204" t="str">
        <f t="shared" si="521"/>
        <v/>
      </c>
      <c r="GM263" s="204">
        <f>IF($J263="",#N/A,SUM(GL$4:GL263))</f>
        <v>-1.6833790887309608</v>
      </c>
      <c r="GN263" s="205" t="str">
        <f t="shared" si="522"/>
        <v/>
      </c>
      <c r="GO263" s="205">
        <f>IF($J263="",#N/A,SUM(GN$4:GN263))</f>
        <v>0</v>
      </c>
      <c r="GP263" s="205">
        <f>IF($J263="",#N/A,SUM(GN$4:GN263,GL$4:GL263,GJ$4:GJ263))</f>
        <v>-1.6833790887309608</v>
      </c>
      <c r="GS263" s="54" t="str">
        <f t="shared" si="541"/>
        <v/>
      </c>
      <c r="GT263" s="54" t="e">
        <f>IF(GS263="",NA(),SUM($GS$4:GS263))</f>
        <v>#N/A</v>
      </c>
      <c r="GU263" s="54" t="str">
        <f t="shared" si="523"/>
        <v/>
      </c>
      <c r="GV263" s="54" t="e">
        <f>IF(GU263="",NA(),SUM($GU$4:GU263))</f>
        <v>#N/A</v>
      </c>
      <c r="GW263" s="54" t="str">
        <f t="shared" si="524"/>
        <v/>
      </c>
      <c r="GX263" s="54" t="e">
        <f>IF(GW263="",NA(),SUM($GW$4:GW263))</f>
        <v>#N/A</v>
      </c>
      <c r="GY263" s="54" t="str">
        <f t="shared" si="525"/>
        <v/>
      </c>
      <c r="GZ263" s="54" t="e">
        <f>IF(GY263="",NA(),SUM($GY$4:GY263))</f>
        <v>#N/A</v>
      </c>
      <c r="HA263" s="54">
        <f t="shared" si="526"/>
        <v>-1.0591169682078767</v>
      </c>
      <c r="HB263" s="54">
        <f>IF(HA263="",NA(),SUM($HA$4:HA263))</f>
        <v>4.9397862258799003</v>
      </c>
      <c r="HC263" s="54" t="str">
        <f t="shared" si="527"/>
        <v/>
      </c>
      <c r="HD263" s="54" t="e">
        <f>IF(HC263="",NA(),SUM($HC$4:HC263))</f>
        <v>#N/A</v>
      </c>
      <c r="HE263" s="54" t="str">
        <f t="shared" si="528"/>
        <v/>
      </c>
      <c r="HF263" s="54" t="e">
        <f>IF(HE263="",NA(),SUM($HE$4:HE263))</f>
        <v>#N/A</v>
      </c>
      <c r="HG263" s="54">
        <f t="shared" si="529"/>
        <v>-1.0591169682078767</v>
      </c>
      <c r="HH263" s="54">
        <f>IF(HG263="",NA(),SUM($HG$4:HG263))</f>
        <v>6.4779271149748983</v>
      </c>
      <c r="HI263" s="172" t="str">
        <f t="shared" si="542"/>
        <v/>
      </c>
      <c r="HJ263" s="172">
        <f>IF($J263="",#N/A,SUM(HI$4:$HI263))</f>
        <v>-6.5557875650906823</v>
      </c>
      <c r="HK263" s="54">
        <f t="shared" si="530"/>
        <v>-0.53421189784826018</v>
      </c>
      <c r="HL263" s="54">
        <f>IF($J263="",#N/A,SUM($HK$4:HK263))</f>
        <v>-3.0849359136027519</v>
      </c>
      <c r="HM263" s="54" t="str">
        <f t="shared" si="531"/>
        <v/>
      </c>
      <c r="HN263" s="54">
        <f>IF($J263="",#N/A,SUM($HM$4:HM263))</f>
        <v>0.957348620978966</v>
      </c>
      <c r="HO263" s="54" t="str">
        <f t="shared" si="532"/>
        <v/>
      </c>
      <c r="HP263" s="54">
        <f>IF($J263="",#N/A,SUM($HO$4:HO263))</f>
        <v>-0.75682593815002108</v>
      </c>
      <c r="HQ263" s="54" t="str">
        <f t="shared" si="533"/>
        <v/>
      </c>
      <c r="HR263" s="54">
        <f>IF($J263="",#N/A,SUM($HQ$4:HQ263))</f>
        <v>-14.596039294292455</v>
      </c>
      <c r="HS263" s="54" t="str">
        <f t="shared" si="534"/>
        <v/>
      </c>
      <c r="HT263" s="54">
        <f>IF($J263="",#N/A,SUM($HS$4:HS263))</f>
        <v>14.245667427720402</v>
      </c>
      <c r="HU263" s="65">
        <f t="shared" si="535"/>
        <v>-1.5933288660561369</v>
      </c>
      <c r="HV263" s="65">
        <f>IF($J263="",#N/A,SUM(HU$4:$HU263))</f>
        <v>2.9698314329838391</v>
      </c>
    </row>
    <row r="264" spans="1:230" x14ac:dyDescent="0.25">
      <c r="A264" s="51" t="s">
        <v>168</v>
      </c>
      <c r="B264" s="52" t="s">
        <v>4567</v>
      </c>
      <c r="C264" s="229">
        <f t="shared" si="436"/>
        <v>2</v>
      </c>
      <c r="D264" s="219" t="str">
        <f>_xlfn.XLOOKUP(A264,[1]SP500!$A$2:$A$502,[1]SP500!$D$2:$D$502,"N")</f>
        <v>Y</v>
      </c>
      <c r="E264" s="51" t="str">
        <f>IFERROR(_xlfn.XLOOKUP(A264,[1]SP500!$A$2:$A$655,[1]SP500!$B$2:$B$655),"")</f>
        <v>XLK</v>
      </c>
      <c r="F264" s="290">
        <v>45783</v>
      </c>
      <c r="G264" s="51" t="str">
        <f t="shared" si="437"/>
        <v>BMO</v>
      </c>
      <c r="H264" s="51" t="str">
        <f t="shared" si="438"/>
        <v>s</v>
      </c>
      <c r="I264" s="343">
        <v>426.98</v>
      </c>
      <c r="J264" s="124">
        <v>417.55</v>
      </c>
      <c r="K264" s="55">
        <f t="shared" si="439"/>
        <v>-2.2085343575811527E-2</v>
      </c>
      <c r="L264" s="67">
        <f t="shared" si="440"/>
        <v>28.289999999999964</v>
      </c>
      <c r="M264" s="57">
        <f t="shared" si="441"/>
        <v>-1.3199999999999363</v>
      </c>
      <c r="N264" s="102">
        <f t="shared" si="442"/>
        <v>28.289999999999964</v>
      </c>
      <c r="O264" s="57">
        <f>IF(N264="",#N/A,SUM($N$4:N264))</f>
        <v>580.76432781837366</v>
      </c>
      <c r="P264" s="65">
        <f t="shared" si="536"/>
        <v>0.36808905959685811</v>
      </c>
      <c r="Q264" s="172">
        <f>IF($N264="",#N/A,SUM($P$4:P264))</f>
        <v>13.128493155017241</v>
      </c>
      <c r="R264" s="279">
        <f t="shared" si="443"/>
        <v>2.6430294126632425</v>
      </c>
      <c r="S264" s="51" t="str">
        <f t="shared" si="444"/>
        <v>Dwn</v>
      </c>
      <c r="T264" s="51" t="s">
        <v>4462</v>
      </c>
      <c r="U264" s="56">
        <f t="shared" si="445"/>
        <v>426.98</v>
      </c>
      <c r="V264" s="56" t="s">
        <v>4458</v>
      </c>
      <c r="W264" s="142">
        <v>3</v>
      </c>
      <c r="X264" s="145">
        <f t="shared" si="446"/>
        <v>1280.94</v>
      </c>
      <c r="Y264" s="140">
        <f t="shared" si="447"/>
        <v>3</v>
      </c>
      <c r="Z264" s="123">
        <v>417.99</v>
      </c>
      <c r="AA264" s="102">
        <f t="shared" si="448"/>
        <v>26.970000000000027</v>
      </c>
      <c r="AB264" s="102">
        <f t="shared" si="449"/>
        <v>-17.819999999999936</v>
      </c>
      <c r="AC264" s="124">
        <v>432.92</v>
      </c>
      <c r="AD264" s="155">
        <f t="shared" si="450"/>
        <v>-17.819999999999936</v>
      </c>
      <c r="AE264" s="545">
        <f t="shared" si="451"/>
        <v>-0.2318609770949451</v>
      </c>
      <c r="AF264" s="57">
        <f>IF($AC264="",#N/A,SUM(AD$4:AD264))</f>
        <v>72.970339768177269</v>
      </c>
      <c r="AG264" s="102">
        <f t="shared" si="452"/>
        <v>-46.1099999999999</v>
      </c>
      <c r="AH264" s="56" t="s">
        <v>2507</v>
      </c>
      <c r="AI264" s="65">
        <f t="shared" si="453"/>
        <v>0.35091417240464073</v>
      </c>
      <c r="AJ264" s="54">
        <f>IF(AI264="",#N/A,SUM($AI$4:AI264))</f>
        <v>10.485463742353998</v>
      </c>
      <c r="AK264" s="57">
        <f t="shared" si="454"/>
        <v>26.970000000000027</v>
      </c>
      <c r="AL264" s="349">
        <f>IF(AI264="",#N/A,IF(AH264="Skip",SUM($AK$4:AK264),SUM($AK$4:AK264)))</f>
        <v>391.10759149281421</v>
      </c>
      <c r="AM264" s="65">
        <f t="shared" si="537"/>
        <v>-0.2318609770949451</v>
      </c>
      <c r="AN264" s="210"/>
      <c r="AO264" s="65" t="str">
        <f t="shared" si="455"/>
        <v/>
      </c>
      <c r="AP264" s="65">
        <f>IF($AC264="",#N/A,SUM(AO$4:AO264))</f>
        <v>2.5829709989849365</v>
      </c>
      <c r="AQ264" s="65" t="str">
        <f t="shared" si="456"/>
        <v/>
      </c>
      <c r="AR264" s="65">
        <f>IF($AC264="",#N/A,SUM(AQ$4:AQ264))</f>
        <v>-4.5506064883221358</v>
      </c>
      <c r="AS264" s="65">
        <f t="shared" si="457"/>
        <v>-0.2318609770949451</v>
      </c>
      <c r="AT264" s="65">
        <f>IF($AC264="",#N/A,SUM(AS$4:AS264))</f>
        <v>4.7056059452260897</v>
      </c>
      <c r="AU264" s="57" t="str">
        <f t="shared" si="538"/>
        <v/>
      </c>
      <c r="AV264" s="57">
        <f>IF($AC264="",#N/A,SUM(AU$4:AU264))</f>
        <v>33.122490661046754</v>
      </c>
      <c r="AW264" s="57" t="str">
        <f t="shared" si="539"/>
        <v/>
      </c>
      <c r="AX264" s="57">
        <f>IF($AC264="",#N/A,SUM(AW$4:AW264))</f>
        <v>-299.03053243920203</v>
      </c>
      <c r="AY264" s="57">
        <f t="shared" si="540"/>
        <v>-17.819999999999936</v>
      </c>
      <c r="AZ264" s="57">
        <f>IF($AC264="",#N/A,SUM(AY$4:AY264))</f>
        <v>338.87838154633255</v>
      </c>
      <c r="BA264" s="57">
        <f>IF(AD264="",#N/A,SUM($AD$4:AD264))</f>
        <v>72.970339768177269</v>
      </c>
      <c r="BC264" s="51" t="str">
        <f t="shared" si="458"/>
        <v/>
      </c>
      <c r="BD264" s="51" t="str">
        <f t="shared" si="459"/>
        <v/>
      </c>
      <c r="BE264" s="51" t="str">
        <f t="shared" si="460"/>
        <v/>
      </c>
      <c r="BF264" s="51" t="str">
        <f t="shared" si="461"/>
        <v>Short</v>
      </c>
      <c r="BG264" s="51">
        <f t="shared" si="462"/>
        <v>1</v>
      </c>
      <c r="BH264" s="51" t="str">
        <f t="shared" si="463"/>
        <v/>
      </c>
      <c r="BI264" s="51" t="str">
        <f t="shared" si="464"/>
        <v/>
      </c>
      <c r="BK264" s="65">
        <f t="shared" si="435"/>
        <v>7.9676503816930019E-2</v>
      </c>
      <c r="BL264" s="65">
        <f t="shared" si="434"/>
        <v>-5.6252176465420758E-2</v>
      </c>
      <c r="BM264" s="65">
        <f>IFERROR(Q264/COUNTA($J$4:J264),#N/A)</f>
        <v>5.0300740057537319E-2</v>
      </c>
      <c r="BO264" s="489" t="e">
        <f>IF(J264="",#N/A,IF(S264="SW",(COUNTIFS(K$4:$K264,"&gt;0",S$4:$S264,"SW")/COUNTIF(S$4:$S264,"SW")),#N/A))</f>
        <v>#N/A</v>
      </c>
      <c r="BP264" s="489">
        <f>IF($J264="",#N/A,IF($S264="DWN",(COUNTIFS($K$4:$K264,"&lt;0",$S$4:$S264,"DWN")/COUNTIF($S$4:$S264,"DWN")),#N/A))</f>
        <v>0.58771929824561409</v>
      </c>
      <c r="BQ264" s="489" t="e">
        <f>IF($J264="",#N/A,IF($S264="UP",(COUNTIFS($K$4:$K264,"&gt;0",$S$4:$S264,"UP")/COUNTIF($S$4:$S264,"UP")),#N/A))</f>
        <v>#N/A</v>
      </c>
      <c r="BR264" s="489">
        <f>IF(J264="",#N/A,COUNTIF($K$4:K264,"&gt;0")/COUNT($J$4:J264))</f>
        <v>0.44827586206896552</v>
      </c>
      <c r="BS264" s="65" t="str">
        <f t="shared" si="465"/>
        <v/>
      </c>
      <c r="BT264" s="65" t="str">
        <f t="shared" si="466"/>
        <v/>
      </c>
      <c r="BU264" s="65">
        <f t="shared" si="467"/>
        <v>0.36808905959685811</v>
      </c>
      <c r="BV264" s="65" t="str">
        <f t="shared" si="468"/>
        <v/>
      </c>
      <c r="BW264" s="128" t="str">
        <f t="shared" si="469"/>
        <v/>
      </c>
      <c r="BX264" s="128">
        <f>IF($J264="",#N/A,SUM($BW$4:BW264))</f>
        <v>-313.79959683283596</v>
      </c>
      <c r="BY264" s="131">
        <f t="shared" si="470"/>
        <v>28.289999999999964</v>
      </c>
      <c r="BZ264" s="131">
        <f>IF($J264="",#N/A,SUM($BY$4:BY264))</f>
        <v>880.69234038933416</v>
      </c>
      <c r="CA264" s="133" t="str">
        <f t="shared" si="471"/>
        <v/>
      </c>
      <c r="CB264" s="133">
        <f>IF($J264="",#N/A,SUM($CA$4:CA264))</f>
        <v>13.871584261875455</v>
      </c>
      <c r="CC264" s="194" t="str">
        <f t="shared" si="472"/>
        <v/>
      </c>
      <c r="CD264" s="194">
        <f>IF($J264="",#N/A,SUM($CC$4:CC264))</f>
        <v>-4.7511291711510797</v>
      </c>
      <c r="CE264" s="195">
        <f t="shared" si="473"/>
        <v>0.36808905959685811</v>
      </c>
      <c r="CF264" s="195">
        <f>IF($J264="",#N/A,SUM($CE$4:CE264))</f>
        <v>14.946279460611336</v>
      </c>
      <c r="CG264" s="196" t="str">
        <f t="shared" si="474"/>
        <v/>
      </c>
      <c r="CH264" s="193">
        <f>IF($J264="",#N/A,SUM($CG$4:CG264))</f>
        <v>2.9333428655569906</v>
      </c>
      <c r="CI264" s="200" t="str">
        <f t="shared" si="475"/>
        <v/>
      </c>
      <c r="CJ264" s="203">
        <f>IF($J264="",#N/A,SUM(CI$4:CI264))</f>
        <v>0</v>
      </c>
      <c r="CK264" s="204">
        <f t="shared" si="476"/>
        <v>0.36808905959685811</v>
      </c>
      <c r="CL264" s="204">
        <f>IF($J264="",#N/A,SUM(CK$4:CK264))</f>
        <v>2.3607894150410869</v>
      </c>
      <c r="CM264" s="205" t="str">
        <f t="shared" si="477"/>
        <v/>
      </c>
      <c r="CN264" s="205">
        <f>IF($J264="",#N/A,SUM(CM$4:CM264))</f>
        <v>2.5131182152625313</v>
      </c>
      <c r="CO264" s="205">
        <f>IF($J264="",#N/A,SUM(CM$4:CM264,CK$4:CK264,CI$4:CI264))</f>
        <v>4.8739076303036191</v>
      </c>
      <c r="CP264" s="200" t="str">
        <f t="shared" si="478"/>
        <v/>
      </c>
      <c r="CQ264" s="203">
        <f>IF($J264="",#N/A,SUM(CP$4:CP264))</f>
        <v>-1.489321591123322</v>
      </c>
      <c r="CR264" s="204" t="str">
        <f t="shared" si="479"/>
        <v/>
      </c>
      <c r="CS264" s="204">
        <f>IF($J264="",#N/A,SUM(CR$4:CR264))</f>
        <v>4.6135245886817966</v>
      </c>
      <c r="CT264" s="205" t="str">
        <f t="shared" si="480"/>
        <v/>
      </c>
      <c r="CU264" s="205">
        <f>IF($J264="",#N/A,SUM(CT$4:CT264))</f>
        <v>-2.9040943753548785</v>
      </c>
      <c r="CV264" s="205">
        <f>IF($J264="",#N/A,SUM(CT$4:CT264,CR$4:CR264,CP$4:CP264))</f>
        <v>0.22010862220359617</v>
      </c>
      <c r="CW264" s="200" t="str">
        <f t="shared" si="481"/>
        <v/>
      </c>
      <c r="CX264" s="203">
        <f>IF($J264="",#N/A,SUM(CW$4:CW264))</f>
        <v>-0.33865165024245297</v>
      </c>
      <c r="CY264" s="204" t="str">
        <f t="shared" si="482"/>
        <v/>
      </c>
      <c r="CZ264" s="204">
        <f>IF($J264="",#N/A,SUM(CY$4:CY264))</f>
        <v>0.30198222879878239</v>
      </c>
      <c r="DA264" s="205" t="str">
        <f t="shared" si="483"/>
        <v/>
      </c>
      <c r="DB264" s="205">
        <f>IF($J264="",#N/A,SUM(DA$4:DA264))</f>
        <v>-2.290842929156085</v>
      </c>
      <c r="DC264" s="205">
        <f>IF($J264="",#N/A,SUM(DA$4:DA264,CY$4:CY264,CW$4:CW264))</f>
        <v>-2.3275123505997555</v>
      </c>
      <c r="DD264" s="200" t="str">
        <f t="shared" si="484"/>
        <v/>
      </c>
      <c r="DE264" s="203">
        <f>IF($J264="",#N/A,SUM(DD$4:DD264))</f>
        <v>0.24769343410817113</v>
      </c>
      <c r="DF264" s="204" t="str">
        <f t="shared" si="485"/>
        <v/>
      </c>
      <c r="DG264" s="204">
        <f>IF($J264="",#N/A,SUM(DF$4:DF264))</f>
        <v>2.0536926011145376</v>
      </c>
      <c r="DH264" s="205" t="str">
        <f t="shared" si="486"/>
        <v/>
      </c>
      <c r="DI264" s="205">
        <f>IF($J264="",#N/A,SUM(DH$4:DH264))</f>
        <v>-2.7812008102163399</v>
      </c>
      <c r="DJ264" s="205">
        <f>IF($J264="",#N/A,SUM(DH$4:DH264,DF$4:DF264,DD$4:DD264))</f>
        <v>-0.47981477499363151</v>
      </c>
      <c r="DK264" s="200" t="str">
        <f t="shared" si="487"/>
        <v/>
      </c>
      <c r="DL264" s="203">
        <f>IF($J264="",#N/A,SUM(DK$4:DK264))</f>
        <v>-1.2097286851272664</v>
      </c>
      <c r="DM264" s="204" t="str">
        <f t="shared" si="488"/>
        <v/>
      </c>
      <c r="DN264" s="204">
        <f>IF($J264="",#N/A,SUM(DM$4:DM264))</f>
        <v>3.0281848543081331</v>
      </c>
      <c r="DO264" s="205" t="str">
        <f t="shared" si="489"/>
        <v/>
      </c>
      <c r="DP264" s="205">
        <f>IF($J264="",#N/A,SUM(DO$4:DO264))</f>
        <v>2.700331529683047</v>
      </c>
      <c r="DQ264" s="205">
        <f>IF($J264="",#N/A,SUM(DO$4:DO264,DM$4:DM264,DK$4:DK264))</f>
        <v>4.518787698863914</v>
      </c>
      <c r="DR264" s="200" t="str">
        <f t="shared" si="490"/>
        <v/>
      </c>
      <c r="DS264" s="203">
        <f>IF($J264="",#N/A,SUM(DR$4:DR264))</f>
        <v>-0.55950946427675097</v>
      </c>
      <c r="DT264" s="204" t="str">
        <f t="shared" si="491"/>
        <v/>
      </c>
      <c r="DU264" s="204">
        <f>IF($J264="",#N/A,SUM(DT$4:DT264))</f>
        <v>-0.87082853884823752</v>
      </c>
      <c r="DV264" s="205" t="str">
        <f t="shared" si="492"/>
        <v/>
      </c>
      <c r="DW264" s="205">
        <f>IF($J264="",#N/A,SUM(DV$4:DV264))</f>
        <v>-1.2815650893103838</v>
      </c>
      <c r="DX264" s="205">
        <f>IF($J264="",#N/A,SUM(DV$4:DV264,DT$4:DT264,DR$4:DR264))</f>
        <v>-2.7119030924353726</v>
      </c>
      <c r="DY264" s="200" t="str">
        <f t="shared" si="493"/>
        <v/>
      </c>
      <c r="DZ264" s="203">
        <f>IF($J264="",#N/A,SUM(DY$4:DY264))</f>
        <v>-1.0460034109943892</v>
      </c>
      <c r="EA264" s="204" t="str">
        <f t="shared" si="494"/>
        <v/>
      </c>
      <c r="EB264" s="204">
        <f>IF($J264="",#N/A,SUM(EA$4:EA264))</f>
        <v>1.0902674422317802</v>
      </c>
      <c r="EC264" s="205" t="str">
        <f t="shared" si="495"/>
        <v/>
      </c>
      <c r="ED264" s="205">
        <f>IF($J264="",#N/A,SUM(EC$4:EC264))</f>
        <v>4.5772092731053986</v>
      </c>
      <c r="EE264" s="205">
        <f>IF($J264="",#N/A,SUM(EC$4:EC264,EA$4:EA264,DY$4:DY264))</f>
        <v>4.6214733043427882</v>
      </c>
      <c r="EF264" s="200" t="str">
        <f t="shared" si="496"/>
        <v/>
      </c>
      <c r="EG264" s="203">
        <f>IF($J264="",#N/A,SUM(EF$4:EF264))</f>
        <v>-0.15098969023521425</v>
      </c>
      <c r="EH264" s="204" t="str">
        <f t="shared" si="497"/>
        <v/>
      </c>
      <c r="EI264" s="204">
        <f>IF($J264="",#N/A,SUM(EH$4:EH264))</f>
        <v>-2.3511346601809122</v>
      </c>
      <c r="EJ264" s="205" t="str">
        <f t="shared" si="498"/>
        <v/>
      </c>
      <c r="EK264" s="205">
        <f>IF($J264="",#N/A,SUM(EJ$4:EJ264))</f>
        <v>5.050388173053765</v>
      </c>
      <c r="EL264" s="205">
        <f>IF($J264="",#N/A,SUM(EJ$4:EJ264,EH$4:EH264,EF$4:EF264))</f>
        <v>2.5482638226376384</v>
      </c>
      <c r="EM264" s="200" t="str">
        <f t="shared" si="499"/>
        <v/>
      </c>
      <c r="EN264" s="203">
        <f>IF($J264="",#N/A,SUM(EM$4:EM264))</f>
        <v>0</v>
      </c>
      <c r="EO264" s="204" t="str">
        <f t="shared" si="500"/>
        <v/>
      </c>
      <c r="EP264" s="204">
        <f>IF($J264="",#N/A,SUM(EO$4:EO264))</f>
        <v>2.1815476670105491</v>
      </c>
      <c r="EQ264" s="205" t="str">
        <f t="shared" si="501"/>
        <v/>
      </c>
      <c r="ER264" s="205">
        <f>IF($J264="",#N/A,SUM(EQ$4:EQ264))</f>
        <v>1.441536272249796</v>
      </c>
      <c r="ES264" s="205">
        <f>IF($J264="",#N/A,SUM(EQ$4:EQ264,EO$4:EO264,EM$4:EM264))</f>
        <v>3.6230839392603444</v>
      </c>
      <c r="ET264" s="200" t="str">
        <f t="shared" si="502"/>
        <v/>
      </c>
      <c r="EU264" s="203">
        <f>IF($J264="",#N/A,SUM(ET$4:ET264))</f>
        <v>0</v>
      </c>
      <c r="EV264" s="204" t="str">
        <f t="shared" si="503"/>
        <v/>
      </c>
      <c r="EW264" s="204">
        <f>IF($J264="",#N/A,SUM(EV$4:EV264))</f>
        <v>2.6896999443708767</v>
      </c>
      <c r="EX264" s="205" t="str">
        <f t="shared" si="504"/>
        <v/>
      </c>
      <c r="EY264" s="205">
        <f>IF($J264="",#N/A,SUM(EX$4:EX264))</f>
        <v>0.27113250180669229</v>
      </c>
      <c r="EZ264" s="205">
        <f>IF($J264="",#N/A,SUM(EX$4:EX264,EV$4:EV264,ET$4:ET264))</f>
        <v>2.9608324461775686</v>
      </c>
      <c r="FA264" s="200" t="str">
        <f t="shared" si="505"/>
        <v/>
      </c>
      <c r="FB264" s="203">
        <f>IF($J264="",#N/A,SUM(FA$4:FA264))</f>
        <v>-0.27145310509113252</v>
      </c>
      <c r="FC264" s="204" t="str">
        <f t="shared" si="506"/>
        <v/>
      </c>
      <c r="FD264" s="204">
        <f>IF($J264="",#N/A,SUM(FC$4:FC264))</f>
        <v>1.3660078100500956</v>
      </c>
      <c r="FE264" s="205" t="str">
        <f t="shared" si="507"/>
        <v/>
      </c>
      <c r="FF264" s="205">
        <f>IF($J264="",#N/A,SUM(FE$4:FE264))</f>
        <v>-0.28811149078748233</v>
      </c>
      <c r="FG264" s="205">
        <f>IF($J264="",#N/A,SUM(FE$4:FE264,FC$4:FC264,FA$4:FA264))</f>
        <v>0.80644321417148113</v>
      </c>
      <c r="FH264" s="200" t="str">
        <f t="shared" si="508"/>
        <v/>
      </c>
      <c r="FI264" s="203">
        <f>IF($J264="",#N/A,SUM(FH$4:FH264))</f>
        <v>0</v>
      </c>
      <c r="FJ264" s="204" t="str">
        <f t="shared" si="509"/>
        <v/>
      </c>
      <c r="FK264" s="204">
        <f>IF($J264="",#N/A,SUM(FJ$4:FJ264))</f>
        <v>0</v>
      </c>
      <c r="FL264" s="205" t="str">
        <f t="shared" si="510"/>
        <v/>
      </c>
      <c r="FM264" s="205">
        <f>IF($J264="",#N/A,SUM(FL$4:FL264))</f>
        <v>0</v>
      </c>
      <c r="FN264" s="205">
        <f>IF($J264="",#N/A,SUM(FL$4:FL264,FJ$4:FJ264,FH$4:FH264))</f>
        <v>0</v>
      </c>
      <c r="FO264" s="200" t="str">
        <f t="shared" si="511"/>
        <v/>
      </c>
      <c r="FP264" s="203">
        <f>IF($J264="",#N/A,SUM(FO$4:FO264))</f>
        <v>0</v>
      </c>
      <c r="FQ264" s="204" t="str">
        <f t="shared" si="512"/>
        <v/>
      </c>
      <c r="FR264" s="204">
        <f>IF($J264="",#N/A,SUM(FQ$4:FQ264))</f>
        <v>0</v>
      </c>
      <c r="FS264" s="205" t="str">
        <f t="shared" si="513"/>
        <v/>
      </c>
      <c r="FT264" s="205">
        <f>IF($J264="",#N/A,SUM(FS$4:FS264))</f>
        <v>0</v>
      </c>
      <c r="FU264" s="205">
        <f>IF($J264="",#N/A,SUM(FS$4:FS264,FQ$4:FQ264,FO$4:FO264))</f>
        <v>0</v>
      </c>
      <c r="FV264" s="200" t="str">
        <f t="shared" si="514"/>
        <v/>
      </c>
      <c r="FW264" s="203">
        <f>IF($J264="",#N/A,SUM(FV$4:FV264))</f>
        <v>6.6834991831277585E-2</v>
      </c>
      <c r="FX264" s="204" t="str">
        <f t="shared" si="515"/>
        <v/>
      </c>
      <c r="FY264" s="204">
        <f>IF($J264="",#N/A,SUM(FX$4:FX264))</f>
        <v>-0.16102012791805576</v>
      </c>
      <c r="FZ264" s="205" t="str">
        <f t="shared" si="516"/>
        <v/>
      </c>
      <c r="GA264" s="205">
        <f>IF($J264="",#N/A,SUM(FZ$4:FZ264))</f>
        <v>-1.1377221770567538</v>
      </c>
      <c r="GB264" s="205">
        <f>IF($J264="",#N/A,SUM(FZ$4:FZ264,FX$4:FX264,FV$4:FV264))</f>
        <v>-1.2319073131435321</v>
      </c>
      <c r="GC264" s="200" t="str">
        <f t="shared" si="517"/>
        <v/>
      </c>
      <c r="GD264" s="203">
        <f>IF($J264="",#N/A,SUM(GC$4:GC264))</f>
        <v>0</v>
      </c>
      <c r="GE264" s="204" t="str">
        <f t="shared" si="518"/>
        <v/>
      </c>
      <c r="GF264" s="204">
        <f>IF($J264="",#N/A,SUM(GE$4:GE264))</f>
        <v>0</v>
      </c>
      <c r="GG264" s="205" t="str">
        <f t="shared" si="519"/>
        <v/>
      </c>
      <c r="GH264" s="205">
        <f>IF($J264="",#N/A,SUM(GG$4:GG264))</f>
        <v>-2.9368362277223206</v>
      </c>
      <c r="GI264" s="205">
        <f>IF($J264="",#N/A,SUM(GG$4:GG264,GE$4:GE264,GC$4:GC264))</f>
        <v>-2.9368362277223206</v>
      </c>
      <c r="GJ264" s="200" t="str">
        <f t="shared" si="520"/>
        <v/>
      </c>
      <c r="GK264" s="203">
        <f>IF($J264="",#N/A,SUM(GJ$4:GJ264))</f>
        <v>0</v>
      </c>
      <c r="GL264" s="204" t="str">
        <f t="shared" si="521"/>
        <v/>
      </c>
      <c r="GM264" s="204">
        <f>IF($J264="",#N/A,SUM(GL$4:GL264))</f>
        <v>-1.6833790887309608</v>
      </c>
      <c r="GN264" s="205" t="str">
        <f t="shared" si="522"/>
        <v/>
      </c>
      <c r="GO264" s="205">
        <f>IF($J264="",#N/A,SUM(GN$4:GN264))</f>
        <v>0</v>
      </c>
      <c r="GP264" s="205">
        <f>IF($J264="",#N/A,SUM(GN$4:GN264,GL$4:GL264,GJ$4:GJ264))</f>
        <v>-1.6833790887309608</v>
      </c>
      <c r="GS264" s="54">
        <f t="shared" si="541"/>
        <v>0.36808905959685811</v>
      </c>
      <c r="GT264" s="54">
        <f>IF(GS264="",NA(),SUM($GS$4:GS264))</f>
        <v>8.1887069291373376</v>
      </c>
      <c r="GU264" s="54" t="str">
        <f t="shared" si="523"/>
        <v/>
      </c>
      <c r="GV264" s="54" t="e">
        <f>IF(GU264="",NA(),SUM($GU$4:GU264))</f>
        <v>#N/A</v>
      </c>
      <c r="GW264" s="54" t="str">
        <f t="shared" si="524"/>
        <v/>
      </c>
      <c r="GX264" s="54" t="e">
        <f>IF(GW264="",NA(),SUM($GW$4:GW264))</f>
        <v>#N/A</v>
      </c>
      <c r="GY264" s="54">
        <f t="shared" si="525"/>
        <v>0.36808905959685811</v>
      </c>
      <c r="GZ264" s="54">
        <f>IF(GY264="",NA(),SUM($GY$4:GY264))</f>
        <v>8.4683523456364327</v>
      </c>
      <c r="HA264" s="54" t="str">
        <f t="shared" si="526"/>
        <v/>
      </c>
      <c r="HB264" s="54" t="e">
        <f>IF(HA264="",NA(),SUM($HA$4:HA264))</f>
        <v>#N/A</v>
      </c>
      <c r="HC264" s="54" t="str">
        <f t="shared" si="527"/>
        <v/>
      </c>
      <c r="HD264" s="54" t="e">
        <f>IF(HC264="",NA(),SUM($HC$4:HC264))</f>
        <v>#N/A</v>
      </c>
      <c r="HE264" s="54" t="str">
        <f t="shared" si="528"/>
        <v/>
      </c>
      <c r="HF264" s="54" t="e">
        <f>IF(HE264="",NA(),SUM($HE$4:HE264))</f>
        <v>#N/A</v>
      </c>
      <c r="HG264" s="54" t="str">
        <f t="shared" si="529"/>
        <v/>
      </c>
      <c r="HH264" s="54" t="e">
        <f>IF(HG264="",NA(),SUM($HG$4:HG264))</f>
        <v>#N/A</v>
      </c>
      <c r="HI264" s="172">
        <f t="shared" si="542"/>
        <v>-0.59995003669180325</v>
      </c>
      <c r="HJ264" s="172">
        <f>IF($J264="",#N/A,SUM(HI$4:$HI264))</f>
        <v>-7.1557376017824854</v>
      </c>
      <c r="HK264" s="54" t="str">
        <f t="shared" si="530"/>
        <v/>
      </c>
      <c r="HL264" s="54">
        <f>IF($J264="",#N/A,SUM($HK$4:HK264))</f>
        <v>-3.0849359136027519</v>
      </c>
      <c r="HM264" s="54" t="str">
        <f t="shared" si="531"/>
        <v/>
      </c>
      <c r="HN264" s="54">
        <f>IF($J264="",#N/A,SUM($HM$4:HM264))</f>
        <v>0.957348620978966</v>
      </c>
      <c r="HO264" s="54" t="str">
        <f t="shared" si="532"/>
        <v/>
      </c>
      <c r="HP264" s="54">
        <f>IF($J264="",#N/A,SUM($HO$4:HO264))</f>
        <v>-0.75682593815002108</v>
      </c>
      <c r="HQ264" s="54" t="str">
        <f t="shared" si="533"/>
        <v/>
      </c>
      <c r="HR264" s="54">
        <f>IF($J264="",#N/A,SUM($HQ$4:HQ264))</f>
        <v>-14.596039294292455</v>
      </c>
      <c r="HS264" s="54" t="str">
        <f t="shared" si="534"/>
        <v/>
      </c>
      <c r="HT264" s="54">
        <f>IF($J264="",#N/A,SUM($HS$4:HS264))</f>
        <v>14.245667427720402</v>
      </c>
      <c r="HU264" s="65">
        <f t="shared" si="535"/>
        <v>-0.2318609770949451</v>
      </c>
      <c r="HV264" s="65">
        <f>IF($J264="",#N/A,SUM(HU$4:$HU264))</f>
        <v>2.737970455888894</v>
      </c>
    </row>
    <row r="265" spans="1:230" x14ac:dyDescent="0.25">
      <c r="A265" s="51" t="s">
        <v>1076</v>
      </c>
      <c r="B265" s="52" t="s">
        <v>4567</v>
      </c>
      <c r="C265" s="229">
        <f t="shared" si="436"/>
        <v>2</v>
      </c>
      <c r="D265" s="219" t="str">
        <f>_xlfn.XLOOKUP(A265,[1]SP500!$A$2:$A$502,[1]SP500!$D$2:$D$502,"N")</f>
        <v>Y</v>
      </c>
      <c r="E265" s="51" t="str">
        <f>IFERROR(_xlfn.XLOOKUP(A265,[1]SP500!$A$2:$A$655,[1]SP500!$B$2:$B$655),"")</f>
        <v>XLP</v>
      </c>
      <c r="F265" s="290">
        <v>45783</v>
      </c>
      <c r="G265" s="51" t="str">
        <f t="shared" si="437"/>
        <v>BMO</v>
      </c>
      <c r="H265" s="51" t="str">
        <f t="shared" si="438"/>
        <v>s</v>
      </c>
      <c r="I265" s="344">
        <v>47.5</v>
      </c>
      <c r="J265" s="123">
        <v>48.33</v>
      </c>
      <c r="K265" s="55">
        <f t="shared" si="439"/>
        <v>1.747368421052628E-2</v>
      </c>
      <c r="L265" s="67">
        <f t="shared" si="440"/>
        <v>-19.920000000000073</v>
      </c>
      <c r="M265" s="57">
        <f t="shared" si="441"/>
        <v>-6.2400000000000091</v>
      </c>
      <c r="N265" s="102">
        <f t="shared" si="442"/>
        <v>-19.920000000000073</v>
      </c>
      <c r="O265" s="57">
        <f>IF(N265="",#N/A,SUM($N$4:N265))</f>
        <v>560.84432781837359</v>
      </c>
      <c r="P265" s="65">
        <f t="shared" si="536"/>
        <v>-0.29122807017543972</v>
      </c>
      <c r="Q265" s="172">
        <f>IF($N265="",#N/A,SUM($P$4:P265))</f>
        <v>12.837265084841802</v>
      </c>
      <c r="R265" s="279">
        <f t="shared" si="443"/>
        <v>2.7342574828386823</v>
      </c>
      <c r="S265" s="51" t="str">
        <f t="shared" si="444"/>
        <v>Dwn</v>
      </c>
      <c r="T265" s="51" t="s">
        <v>4461</v>
      </c>
      <c r="U265" s="56">
        <f t="shared" si="445"/>
        <v>47.5</v>
      </c>
      <c r="V265" s="56" t="s">
        <v>4458</v>
      </c>
      <c r="W265" s="142">
        <v>24</v>
      </c>
      <c r="X265" s="145">
        <f t="shared" si="446"/>
        <v>1140</v>
      </c>
      <c r="Y265" s="140">
        <f t="shared" si="447"/>
        <v>24</v>
      </c>
      <c r="Z265" s="123">
        <v>48.59</v>
      </c>
      <c r="AA265" s="102">
        <f t="shared" si="448"/>
        <v>-26.160000000000082</v>
      </c>
      <c r="AB265" s="102">
        <f t="shared" si="449"/>
        <v>-19.680000000000064</v>
      </c>
      <c r="AC265" s="124">
        <v>48.32</v>
      </c>
      <c r="AD265" s="155">
        <f t="shared" si="450"/>
        <v>-19.680000000000064</v>
      </c>
      <c r="AE265" s="545">
        <f t="shared" si="451"/>
        <v>-0.28771929824561499</v>
      </c>
      <c r="AF265" s="57">
        <f>IF($AC265="",#N/A,SUM(AD$4:AD265))</f>
        <v>53.290339768177205</v>
      </c>
      <c r="AG265" s="102">
        <f t="shared" si="452"/>
        <v>0.24000000000000909</v>
      </c>
      <c r="AH265" s="56" t="s">
        <v>2507</v>
      </c>
      <c r="AI265" s="65">
        <f t="shared" si="453"/>
        <v>-0.38245614035087844</v>
      </c>
      <c r="AJ265" s="54">
        <f>IF(AI265="",#N/A,SUM($AI$4:AI265))</f>
        <v>10.103007602003119</v>
      </c>
      <c r="AK265" s="57">
        <f t="shared" si="454"/>
        <v>-26.160000000000082</v>
      </c>
      <c r="AL265" s="349">
        <f>IF(AI265="",#N/A,IF(AH265="Skip",SUM($AK$4:AK265),SUM($AK$4:AK265)))</f>
        <v>364.94759149281413</v>
      </c>
      <c r="AM265" s="65">
        <f t="shared" si="537"/>
        <v>-0.28771929824561499</v>
      </c>
      <c r="AN265" s="210"/>
      <c r="AO265" s="65" t="str">
        <f t="shared" si="455"/>
        <v/>
      </c>
      <c r="AP265" s="65">
        <f>IF($AC265="",#N/A,SUM(AO$4:AO265))</f>
        <v>2.5829709989849365</v>
      </c>
      <c r="AQ265" s="65" t="str">
        <f t="shared" si="456"/>
        <v/>
      </c>
      <c r="AR265" s="65">
        <f>IF($AC265="",#N/A,SUM(AQ$4:AQ265))</f>
        <v>-4.5506064883221358</v>
      </c>
      <c r="AS265" s="65">
        <f t="shared" si="457"/>
        <v>-0.28771929824561499</v>
      </c>
      <c r="AT265" s="65">
        <f>IF($AC265="",#N/A,SUM(AS$4:AS265))</f>
        <v>4.4178866469804747</v>
      </c>
      <c r="AU265" s="57" t="str">
        <f t="shared" si="538"/>
        <v/>
      </c>
      <c r="AV265" s="57">
        <f>IF($AC265="",#N/A,SUM(AU$4:AU265))</f>
        <v>33.122490661046754</v>
      </c>
      <c r="AW265" s="57" t="str">
        <f t="shared" si="539"/>
        <v/>
      </c>
      <c r="AX265" s="57">
        <f>IF($AC265="",#N/A,SUM(AW$4:AW265))</f>
        <v>-299.03053243920203</v>
      </c>
      <c r="AY265" s="57">
        <f t="shared" si="540"/>
        <v>-19.680000000000064</v>
      </c>
      <c r="AZ265" s="57">
        <f>IF($AC265="",#N/A,SUM(AY$4:AY265))</f>
        <v>319.19838154633248</v>
      </c>
      <c r="BA265" s="57">
        <f>IF(AD265="",#N/A,SUM($AD$4:AD265))</f>
        <v>53.290339768177205</v>
      </c>
      <c r="BC265" s="51" t="str">
        <f t="shared" si="458"/>
        <v/>
      </c>
      <c r="BD265" s="51">
        <f t="shared" si="459"/>
        <v>1</v>
      </c>
      <c r="BE265" s="51" t="str">
        <f t="shared" si="460"/>
        <v/>
      </c>
      <c r="BF265" s="51" t="str">
        <f t="shared" si="461"/>
        <v>Short</v>
      </c>
      <c r="BG265" s="51" t="str">
        <f t="shared" si="462"/>
        <v/>
      </c>
      <c r="BH265" s="51" t="str">
        <f t="shared" si="463"/>
        <v/>
      </c>
      <c r="BI265" s="51" t="str">
        <f t="shared" si="464"/>
        <v/>
      </c>
      <c r="BK265" s="65">
        <f t="shared" si="435"/>
        <v>7.7285095158951198E-2</v>
      </c>
      <c r="BL265" s="65">
        <f t="shared" si="434"/>
        <v>-6.5976792427317438E-2</v>
      </c>
      <c r="BM265" s="65">
        <f>IFERROR(Q265/COUNTA($J$4:J265),#N/A)</f>
        <v>4.8997194980312221E-2</v>
      </c>
      <c r="BO265" s="489" t="e">
        <f>IF(J265="",#N/A,IF(S265="SW",(COUNTIFS(K$4:$K265,"&gt;0",S$4:$S265,"SW")/COUNTIF(S$4:$S265,"SW")),#N/A))</f>
        <v>#N/A</v>
      </c>
      <c r="BP265" s="489">
        <f>IF($J265="",#N/A,IF($S265="DWN",(COUNTIFS($K$4:$K265,"&lt;0",$S$4:$S265,"DWN")/COUNTIF($S$4:$S265,"DWN")),#N/A))</f>
        <v>0.58260869565217388</v>
      </c>
      <c r="BQ265" s="489" t="e">
        <f>IF($J265="",#N/A,IF($S265="UP",(COUNTIFS($K$4:$K265,"&gt;0",$S$4:$S265,"UP")/COUNTIF($S$4:$S265,"UP")),#N/A))</f>
        <v>#N/A</v>
      </c>
      <c r="BR265" s="489">
        <f>IF(J265="",#N/A,COUNTIF($K$4:K265,"&gt;0")/COUNT($J$4:J265))</f>
        <v>0.45038167938931295</v>
      </c>
      <c r="BS265" s="65" t="str">
        <f t="shared" si="465"/>
        <v/>
      </c>
      <c r="BT265" s="65" t="str">
        <f t="shared" si="466"/>
        <v/>
      </c>
      <c r="BU265" s="65" t="str">
        <f t="shared" si="467"/>
        <v/>
      </c>
      <c r="BV265" s="65">
        <f t="shared" si="468"/>
        <v>-0.29122807017543972</v>
      </c>
      <c r="BW265" s="128" t="str">
        <f t="shared" si="469"/>
        <v/>
      </c>
      <c r="BX265" s="128">
        <f>IF($J265="",#N/A,SUM($BW$4:BW265))</f>
        <v>-313.79959683283596</v>
      </c>
      <c r="BY265" s="131">
        <f t="shared" si="470"/>
        <v>-19.920000000000073</v>
      </c>
      <c r="BZ265" s="131">
        <f>IF($J265="",#N/A,SUM($BY$4:BY265))</f>
        <v>860.77234038933409</v>
      </c>
      <c r="CA265" s="133" t="str">
        <f t="shared" si="471"/>
        <v/>
      </c>
      <c r="CB265" s="133">
        <f>IF($J265="",#N/A,SUM($CA$4:CA265))</f>
        <v>13.871584261875455</v>
      </c>
      <c r="CC265" s="194" t="str">
        <f t="shared" si="472"/>
        <v/>
      </c>
      <c r="CD265" s="194">
        <f>IF($J265="",#N/A,SUM($CC$4:CC265))</f>
        <v>-4.7511291711510797</v>
      </c>
      <c r="CE265" s="195">
        <f t="shared" si="473"/>
        <v>-0.29122807017543972</v>
      </c>
      <c r="CF265" s="195">
        <f>IF($J265="",#N/A,SUM($CE$4:CE265))</f>
        <v>14.655051390435897</v>
      </c>
      <c r="CG265" s="196" t="str">
        <f t="shared" si="474"/>
        <v/>
      </c>
      <c r="CH265" s="193">
        <f>IF($J265="",#N/A,SUM($CG$4:CG265))</f>
        <v>2.9333428655569906</v>
      </c>
      <c r="CI265" s="200" t="str">
        <f t="shared" si="475"/>
        <v/>
      </c>
      <c r="CJ265" s="203">
        <f>IF($J265="",#N/A,SUM(CI$4:CI265))</f>
        <v>0</v>
      </c>
      <c r="CK265" s="204" t="str">
        <f t="shared" si="476"/>
        <v/>
      </c>
      <c r="CL265" s="204">
        <f>IF($J265="",#N/A,SUM(CK$4:CK265))</f>
        <v>2.3607894150410869</v>
      </c>
      <c r="CM265" s="205" t="str">
        <f t="shared" si="477"/>
        <v/>
      </c>
      <c r="CN265" s="205">
        <f>IF($J265="",#N/A,SUM(CM$4:CM265))</f>
        <v>2.5131182152625313</v>
      </c>
      <c r="CO265" s="205">
        <f>IF($J265="",#N/A,SUM(CM$4:CM265,CK$4:CK265,CI$4:CI265))</f>
        <v>4.8739076303036191</v>
      </c>
      <c r="CP265" s="200" t="str">
        <f t="shared" si="478"/>
        <v/>
      </c>
      <c r="CQ265" s="203">
        <f>IF($J265="",#N/A,SUM(CP$4:CP265))</f>
        <v>-1.489321591123322</v>
      </c>
      <c r="CR265" s="204" t="str">
        <f t="shared" si="479"/>
        <v/>
      </c>
      <c r="CS265" s="204">
        <f>IF($J265="",#N/A,SUM(CR$4:CR265))</f>
        <v>4.6135245886817966</v>
      </c>
      <c r="CT265" s="205" t="str">
        <f t="shared" si="480"/>
        <v/>
      </c>
      <c r="CU265" s="205">
        <f>IF($J265="",#N/A,SUM(CT$4:CT265))</f>
        <v>-2.9040943753548785</v>
      </c>
      <c r="CV265" s="205">
        <f>IF($J265="",#N/A,SUM(CT$4:CT265,CR$4:CR265,CP$4:CP265))</f>
        <v>0.22010862220359617</v>
      </c>
      <c r="CW265" s="200" t="str">
        <f t="shared" si="481"/>
        <v/>
      </c>
      <c r="CX265" s="203">
        <f>IF($J265="",#N/A,SUM(CW$4:CW265))</f>
        <v>-0.33865165024245297</v>
      </c>
      <c r="CY265" s="204" t="str">
        <f t="shared" si="482"/>
        <v/>
      </c>
      <c r="CZ265" s="204">
        <f>IF($J265="",#N/A,SUM(CY$4:CY265))</f>
        <v>0.30198222879878239</v>
      </c>
      <c r="DA265" s="205" t="str">
        <f t="shared" si="483"/>
        <v/>
      </c>
      <c r="DB265" s="205">
        <f>IF($J265="",#N/A,SUM(DA$4:DA265))</f>
        <v>-2.290842929156085</v>
      </c>
      <c r="DC265" s="205">
        <f>IF($J265="",#N/A,SUM(DA$4:DA265,CY$4:CY265,CW$4:CW265))</f>
        <v>-2.3275123505997555</v>
      </c>
      <c r="DD265" s="200" t="str">
        <f t="shared" si="484"/>
        <v/>
      </c>
      <c r="DE265" s="203">
        <f>IF($J265="",#N/A,SUM(DD$4:DD265))</f>
        <v>0.24769343410817113</v>
      </c>
      <c r="DF265" s="204">
        <f t="shared" si="485"/>
        <v>-0.29122807017543972</v>
      </c>
      <c r="DG265" s="204">
        <f>IF($J265="",#N/A,SUM(DF$4:DF265))</f>
        <v>1.7624645309390978</v>
      </c>
      <c r="DH265" s="205" t="str">
        <f t="shared" si="486"/>
        <v/>
      </c>
      <c r="DI265" s="205">
        <f>IF($J265="",#N/A,SUM(DH$4:DH265))</f>
        <v>-2.7812008102163399</v>
      </c>
      <c r="DJ265" s="205">
        <f>IF($J265="",#N/A,SUM(DH$4:DH265,DF$4:DF265,DD$4:DD265))</f>
        <v>-0.77104284516907118</v>
      </c>
      <c r="DK265" s="200" t="str">
        <f t="shared" si="487"/>
        <v/>
      </c>
      <c r="DL265" s="203">
        <f>IF($J265="",#N/A,SUM(DK$4:DK265))</f>
        <v>-1.2097286851272664</v>
      </c>
      <c r="DM265" s="204" t="str">
        <f t="shared" si="488"/>
        <v/>
      </c>
      <c r="DN265" s="204">
        <f>IF($J265="",#N/A,SUM(DM$4:DM265))</f>
        <v>3.0281848543081331</v>
      </c>
      <c r="DO265" s="205" t="str">
        <f t="shared" si="489"/>
        <v/>
      </c>
      <c r="DP265" s="205">
        <f>IF($J265="",#N/A,SUM(DO$4:DO265))</f>
        <v>2.700331529683047</v>
      </c>
      <c r="DQ265" s="205">
        <f>IF($J265="",#N/A,SUM(DO$4:DO265,DM$4:DM265,DK$4:DK265))</f>
        <v>4.518787698863914</v>
      </c>
      <c r="DR265" s="200" t="str">
        <f t="shared" si="490"/>
        <v/>
      </c>
      <c r="DS265" s="203">
        <f>IF($J265="",#N/A,SUM(DR$4:DR265))</f>
        <v>-0.55950946427675097</v>
      </c>
      <c r="DT265" s="204" t="str">
        <f t="shared" si="491"/>
        <v/>
      </c>
      <c r="DU265" s="204">
        <f>IF($J265="",#N/A,SUM(DT$4:DT265))</f>
        <v>-0.87082853884823752</v>
      </c>
      <c r="DV265" s="205" t="str">
        <f t="shared" si="492"/>
        <v/>
      </c>
      <c r="DW265" s="205">
        <f>IF($J265="",#N/A,SUM(DV$4:DV265))</f>
        <v>-1.2815650893103838</v>
      </c>
      <c r="DX265" s="205">
        <f>IF($J265="",#N/A,SUM(DV$4:DV265,DT$4:DT265,DR$4:DR265))</f>
        <v>-2.7119030924353726</v>
      </c>
      <c r="DY265" s="200" t="str">
        <f t="shared" si="493"/>
        <v/>
      </c>
      <c r="DZ265" s="203">
        <f>IF($J265="",#N/A,SUM(DY$4:DY265))</f>
        <v>-1.0460034109943892</v>
      </c>
      <c r="EA265" s="204" t="str">
        <f t="shared" si="494"/>
        <v/>
      </c>
      <c r="EB265" s="204">
        <f>IF($J265="",#N/A,SUM(EA$4:EA265))</f>
        <v>1.0902674422317802</v>
      </c>
      <c r="EC265" s="205" t="str">
        <f t="shared" si="495"/>
        <v/>
      </c>
      <c r="ED265" s="205">
        <f>IF($J265="",#N/A,SUM(EC$4:EC265))</f>
        <v>4.5772092731053986</v>
      </c>
      <c r="EE265" s="205">
        <f>IF($J265="",#N/A,SUM(EC$4:EC265,EA$4:EA265,DY$4:DY265))</f>
        <v>4.6214733043427882</v>
      </c>
      <c r="EF265" s="200" t="str">
        <f t="shared" si="496"/>
        <v/>
      </c>
      <c r="EG265" s="203">
        <f>IF($J265="",#N/A,SUM(EF$4:EF265))</f>
        <v>-0.15098969023521425</v>
      </c>
      <c r="EH265" s="204" t="str">
        <f t="shared" si="497"/>
        <v/>
      </c>
      <c r="EI265" s="204">
        <f>IF($J265="",#N/A,SUM(EH$4:EH265))</f>
        <v>-2.3511346601809122</v>
      </c>
      <c r="EJ265" s="205" t="str">
        <f t="shared" si="498"/>
        <v/>
      </c>
      <c r="EK265" s="205">
        <f>IF($J265="",#N/A,SUM(EJ$4:EJ265))</f>
        <v>5.050388173053765</v>
      </c>
      <c r="EL265" s="205">
        <f>IF($J265="",#N/A,SUM(EJ$4:EJ265,EH$4:EH265,EF$4:EF265))</f>
        <v>2.5482638226376384</v>
      </c>
      <c r="EM265" s="200" t="str">
        <f t="shared" si="499"/>
        <v/>
      </c>
      <c r="EN265" s="203">
        <f>IF($J265="",#N/A,SUM(EM$4:EM265))</f>
        <v>0</v>
      </c>
      <c r="EO265" s="204" t="str">
        <f t="shared" si="500"/>
        <v/>
      </c>
      <c r="EP265" s="204">
        <f>IF($J265="",#N/A,SUM(EO$4:EO265))</f>
        <v>2.1815476670105491</v>
      </c>
      <c r="EQ265" s="205" t="str">
        <f t="shared" si="501"/>
        <v/>
      </c>
      <c r="ER265" s="205">
        <f>IF($J265="",#N/A,SUM(EQ$4:EQ265))</f>
        <v>1.441536272249796</v>
      </c>
      <c r="ES265" s="205">
        <f>IF($J265="",#N/A,SUM(EQ$4:EQ265,EO$4:EO265,EM$4:EM265))</f>
        <v>3.6230839392603444</v>
      </c>
      <c r="ET265" s="200" t="str">
        <f t="shared" si="502"/>
        <v/>
      </c>
      <c r="EU265" s="203">
        <f>IF($J265="",#N/A,SUM(ET$4:ET265))</f>
        <v>0</v>
      </c>
      <c r="EV265" s="204" t="str">
        <f t="shared" si="503"/>
        <v/>
      </c>
      <c r="EW265" s="204">
        <f>IF($J265="",#N/A,SUM(EV$4:EV265))</f>
        <v>2.6896999443708767</v>
      </c>
      <c r="EX265" s="205" t="str">
        <f t="shared" si="504"/>
        <v/>
      </c>
      <c r="EY265" s="205">
        <f>IF($J265="",#N/A,SUM(EX$4:EX265))</f>
        <v>0.27113250180669229</v>
      </c>
      <c r="EZ265" s="205">
        <f>IF($J265="",#N/A,SUM(EX$4:EX265,EV$4:EV265,ET$4:ET265))</f>
        <v>2.9608324461775686</v>
      </c>
      <c r="FA265" s="200" t="str">
        <f t="shared" si="505"/>
        <v/>
      </c>
      <c r="FB265" s="203">
        <f>IF($J265="",#N/A,SUM(FA$4:FA265))</f>
        <v>-0.27145310509113252</v>
      </c>
      <c r="FC265" s="204" t="str">
        <f t="shared" si="506"/>
        <v/>
      </c>
      <c r="FD265" s="204">
        <f>IF($J265="",#N/A,SUM(FC$4:FC265))</f>
        <v>1.3660078100500956</v>
      </c>
      <c r="FE265" s="205" t="str">
        <f t="shared" si="507"/>
        <v/>
      </c>
      <c r="FF265" s="205">
        <f>IF($J265="",#N/A,SUM(FE$4:FE265))</f>
        <v>-0.28811149078748233</v>
      </c>
      <c r="FG265" s="205">
        <f>IF($J265="",#N/A,SUM(FE$4:FE265,FC$4:FC265,FA$4:FA265))</f>
        <v>0.80644321417148113</v>
      </c>
      <c r="FH265" s="200" t="str">
        <f t="shared" si="508"/>
        <v/>
      </c>
      <c r="FI265" s="203">
        <f>IF($J265="",#N/A,SUM(FH$4:FH265))</f>
        <v>0</v>
      </c>
      <c r="FJ265" s="204" t="str">
        <f t="shared" si="509"/>
        <v/>
      </c>
      <c r="FK265" s="204">
        <f>IF($J265="",#N/A,SUM(FJ$4:FJ265))</f>
        <v>0</v>
      </c>
      <c r="FL265" s="205" t="str">
        <f t="shared" si="510"/>
        <v/>
      </c>
      <c r="FM265" s="205">
        <f>IF($J265="",#N/A,SUM(FL$4:FL265))</f>
        <v>0</v>
      </c>
      <c r="FN265" s="205">
        <f>IF($J265="",#N/A,SUM(FL$4:FL265,FJ$4:FJ265,FH$4:FH265))</f>
        <v>0</v>
      </c>
      <c r="FO265" s="200" t="str">
        <f t="shared" si="511"/>
        <v/>
      </c>
      <c r="FP265" s="203">
        <f>IF($J265="",#N/A,SUM(FO$4:FO265))</f>
        <v>0</v>
      </c>
      <c r="FQ265" s="204" t="str">
        <f t="shared" si="512"/>
        <v/>
      </c>
      <c r="FR265" s="204">
        <f>IF($J265="",#N/A,SUM(FQ$4:FQ265))</f>
        <v>0</v>
      </c>
      <c r="FS265" s="205" t="str">
        <f t="shared" si="513"/>
        <v/>
      </c>
      <c r="FT265" s="205">
        <f>IF($J265="",#N/A,SUM(FS$4:FS265))</f>
        <v>0</v>
      </c>
      <c r="FU265" s="205">
        <f>IF($J265="",#N/A,SUM(FS$4:FS265,FQ$4:FQ265,FO$4:FO265))</f>
        <v>0</v>
      </c>
      <c r="FV265" s="200" t="str">
        <f t="shared" si="514"/>
        <v/>
      </c>
      <c r="FW265" s="203">
        <f>IF($J265="",#N/A,SUM(FV$4:FV265))</f>
        <v>6.6834991831277585E-2</v>
      </c>
      <c r="FX265" s="204" t="str">
        <f t="shared" si="515"/>
        <v/>
      </c>
      <c r="FY265" s="204">
        <f>IF($J265="",#N/A,SUM(FX$4:FX265))</f>
        <v>-0.16102012791805576</v>
      </c>
      <c r="FZ265" s="205" t="str">
        <f t="shared" si="516"/>
        <v/>
      </c>
      <c r="GA265" s="205">
        <f>IF($J265="",#N/A,SUM(FZ$4:FZ265))</f>
        <v>-1.1377221770567538</v>
      </c>
      <c r="GB265" s="205">
        <f>IF($J265="",#N/A,SUM(FZ$4:FZ265,FX$4:FX265,FV$4:FV265))</f>
        <v>-1.2319073131435321</v>
      </c>
      <c r="GC265" s="200" t="str">
        <f t="shared" si="517"/>
        <v/>
      </c>
      <c r="GD265" s="203">
        <f>IF($J265="",#N/A,SUM(GC$4:GC265))</f>
        <v>0</v>
      </c>
      <c r="GE265" s="204" t="str">
        <f t="shared" si="518"/>
        <v/>
      </c>
      <c r="GF265" s="204">
        <f>IF($J265="",#N/A,SUM(GE$4:GE265))</f>
        <v>0</v>
      </c>
      <c r="GG265" s="205" t="str">
        <f t="shared" si="519"/>
        <v/>
      </c>
      <c r="GH265" s="205">
        <f>IF($J265="",#N/A,SUM(GG$4:GG265))</f>
        <v>-2.9368362277223206</v>
      </c>
      <c r="GI265" s="205">
        <f>IF($J265="",#N/A,SUM(GG$4:GG265,GE$4:GE265,GC$4:GC265))</f>
        <v>-2.9368362277223206</v>
      </c>
      <c r="GJ265" s="200" t="str">
        <f t="shared" si="520"/>
        <v/>
      </c>
      <c r="GK265" s="203">
        <f>IF($J265="",#N/A,SUM(GJ$4:GJ265))</f>
        <v>0</v>
      </c>
      <c r="GL265" s="204" t="str">
        <f t="shared" si="521"/>
        <v/>
      </c>
      <c r="GM265" s="204">
        <f>IF($J265="",#N/A,SUM(GL$4:GL265))</f>
        <v>-1.6833790887309608</v>
      </c>
      <c r="GN265" s="205" t="str">
        <f t="shared" si="522"/>
        <v/>
      </c>
      <c r="GO265" s="205">
        <f>IF($J265="",#N/A,SUM(GN$4:GN265))</f>
        <v>0</v>
      </c>
      <c r="GP265" s="205">
        <f>IF($J265="",#N/A,SUM(GN$4:GN265,GL$4:GL265,GJ$4:GJ265))</f>
        <v>-1.6833790887309608</v>
      </c>
      <c r="GS265" s="54">
        <f t="shared" si="541"/>
        <v>-0.29122807017543972</v>
      </c>
      <c r="GT265" s="54">
        <f>IF(GS265="",NA(),SUM($GS$4:GS265))</f>
        <v>7.8974788589618976</v>
      </c>
      <c r="GU265" s="54" t="str">
        <f t="shared" si="523"/>
        <v/>
      </c>
      <c r="GV265" s="54" t="e">
        <f>IF(GU265="",NA(),SUM($GU$4:GU265))</f>
        <v>#N/A</v>
      </c>
      <c r="GW265" s="54" t="str">
        <f t="shared" si="524"/>
        <v/>
      </c>
      <c r="GX265" s="54" t="e">
        <f>IF(GW265="",NA(),SUM($GW$4:GW265))</f>
        <v>#N/A</v>
      </c>
      <c r="GY265" s="54">
        <f t="shared" si="525"/>
        <v>-0.29122807017543972</v>
      </c>
      <c r="GZ265" s="54">
        <f>IF(GY265="",NA(),SUM($GY$4:GY265))</f>
        <v>8.1771242754609936</v>
      </c>
      <c r="HA265" s="54" t="str">
        <f t="shared" si="526"/>
        <v/>
      </c>
      <c r="HB265" s="54" t="e">
        <f>IF(HA265="",NA(),SUM($HA$4:HA265))</f>
        <v>#N/A</v>
      </c>
      <c r="HC265" s="54" t="str">
        <f t="shared" si="527"/>
        <v/>
      </c>
      <c r="HD265" s="54" t="e">
        <f>IF(HC265="",NA(),SUM($HC$4:HC265))</f>
        <v>#N/A</v>
      </c>
      <c r="HE265" s="54" t="str">
        <f t="shared" si="528"/>
        <v/>
      </c>
      <c r="HF265" s="54" t="e">
        <f>IF(HE265="",NA(),SUM($HE$4:HE265))</f>
        <v>#N/A</v>
      </c>
      <c r="HG265" s="54" t="str">
        <f t="shared" si="529"/>
        <v/>
      </c>
      <c r="HH265" s="54" t="e">
        <f>IF(HG265="",NA(),SUM($HG$4:HG265))</f>
        <v>#N/A</v>
      </c>
      <c r="HI265" s="172" t="str">
        <f t="shared" si="542"/>
        <v/>
      </c>
      <c r="HJ265" s="172">
        <f>IF($J265="",#N/A,SUM(HI$4:$HI265))</f>
        <v>-7.1557376017824854</v>
      </c>
      <c r="HK265" s="54">
        <f t="shared" si="530"/>
        <v>3.5087719298247388E-3</v>
      </c>
      <c r="HL265" s="54">
        <f>IF($J265="",#N/A,SUM($HK$4:HK265))</f>
        <v>-3.0814271416729273</v>
      </c>
      <c r="HM265" s="54" t="str">
        <f t="shared" si="531"/>
        <v/>
      </c>
      <c r="HN265" s="54">
        <f>IF($J265="",#N/A,SUM($HM$4:HM265))</f>
        <v>0.957348620978966</v>
      </c>
      <c r="HO265" s="54" t="str">
        <f t="shared" si="532"/>
        <v/>
      </c>
      <c r="HP265" s="54">
        <f>IF($J265="",#N/A,SUM($HO$4:HO265))</f>
        <v>-0.75682593815002108</v>
      </c>
      <c r="HQ265" s="54" t="str">
        <f t="shared" si="533"/>
        <v/>
      </c>
      <c r="HR265" s="54">
        <f>IF($J265="",#N/A,SUM($HQ$4:HQ265))</f>
        <v>-14.596039294292455</v>
      </c>
      <c r="HS265" s="54" t="str">
        <f t="shared" si="534"/>
        <v/>
      </c>
      <c r="HT265" s="54">
        <f>IF($J265="",#N/A,SUM($HS$4:HS265))</f>
        <v>14.245667427720402</v>
      </c>
      <c r="HU265" s="65">
        <f t="shared" si="535"/>
        <v>-0.28771929824561499</v>
      </c>
      <c r="HV265" s="65">
        <f>IF($J265="",#N/A,SUM(HU$4:$HU265))</f>
        <v>2.4502511576432791</v>
      </c>
    </row>
    <row r="266" spans="1:230" x14ac:dyDescent="0.25">
      <c r="A266" s="51" t="s">
        <v>1446</v>
      </c>
      <c r="B266" s="52" t="s">
        <v>4567</v>
      </c>
      <c r="C266" s="229">
        <f t="shared" si="436"/>
        <v>2</v>
      </c>
      <c r="D266" s="219" t="str">
        <f>_xlfn.XLOOKUP(A266,[1]SP500!$A$2:$A$502,[1]SP500!$D$2:$D$502,"N")</f>
        <v>Y</v>
      </c>
      <c r="E266" s="51" t="str">
        <f>IFERROR(_xlfn.XLOOKUP(A266,[1]SP500!$A$2:$A$655,[1]SP500!$B$2:$B$655),"")</f>
        <v>XLV</v>
      </c>
      <c r="F266" s="290">
        <v>45783</v>
      </c>
      <c r="G266" s="51" t="str">
        <f t="shared" si="437"/>
        <v>BMO</v>
      </c>
      <c r="H266" s="51" t="str">
        <f t="shared" si="438"/>
        <v>s</v>
      </c>
      <c r="I266" s="344">
        <v>152.30000000000001</v>
      </c>
      <c r="J266" s="123">
        <v>149.83000000000001</v>
      </c>
      <c r="K266" s="55">
        <f t="shared" si="439"/>
        <v>-1.6217990807616538E-2</v>
      </c>
      <c r="L266" s="67">
        <f t="shared" si="440"/>
        <v>17.289999999999964</v>
      </c>
      <c r="M266" s="57">
        <f t="shared" si="441"/>
        <v>14.700000000000273</v>
      </c>
      <c r="N266" s="102">
        <f t="shared" si="442"/>
        <v>17.289999999999964</v>
      </c>
      <c r="O266" s="57">
        <f>IF(N266="",#N/A,SUM($N$4:N266))</f>
        <v>578.13432781837355</v>
      </c>
      <c r="P266" s="65">
        <f t="shared" si="536"/>
        <v>0.27029984679360852</v>
      </c>
      <c r="Q266" s="172">
        <f>IF($N266="",#N/A,SUM($P$4:P266))</f>
        <v>13.107564931635411</v>
      </c>
      <c r="R266" s="279">
        <f t="shared" si="443"/>
        <v>2.5044478964959342</v>
      </c>
      <c r="S266" s="51" t="str">
        <f t="shared" si="444"/>
        <v>Dwn</v>
      </c>
      <c r="T266" s="51" t="s">
        <v>4462</v>
      </c>
      <c r="U266" s="56">
        <f t="shared" si="445"/>
        <v>152.30000000000001</v>
      </c>
      <c r="V266" s="56" t="s">
        <v>4458</v>
      </c>
      <c r="W266" s="142">
        <v>7</v>
      </c>
      <c r="X266" s="145">
        <f t="shared" si="446"/>
        <v>1066.1000000000001</v>
      </c>
      <c r="Y266" s="140">
        <f t="shared" si="447"/>
        <v>7</v>
      </c>
      <c r="Z266" s="123">
        <v>147.72999999999999</v>
      </c>
      <c r="AA266" s="102">
        <f t="shared" si="448"/>
        <v>31.990000000000236</v>
      </c>
      <c r="AB266" s="102">
        <f t="shared" si="449"/>
        <v>42.700000000000273</v>
      </c>
      <c r="AC266" s="124">
        <v>146.19999999999999</v>
      </c>
      <c r="AD266" s="155">
        <f t="shared" si="450"/>
        <v>42.700000000000273</v>
      </c>
      <c r="AE266" s="545">
        <f t="shared" si="451"/>
        <v>0.66754213175750032</v>
      </c>
      <c r="AF266" s="57">
        <f>IF($AC266="",#N/A,SUM(AD$4:AD266))</f>
        <v>95.990339768177478</v>
      </c>
      <c r="AG266" s="102">
        <f t="shared" si="452"/>
        <v>25.410000000000309</v>
      </c>
      <c r="AH266" s="56" t="s">
        <v>2507</v>
      </c>
      <c r="AI266" s="65">
        <f t="shared" si="453"/>
        <v>0.50010943313635736</v>
      </c>
      <c r="AJ266" s="350">
        <f>IF(AI266="",#N/A,SUM($AI$4:AI266))</f>
        <v>10.603117035139476</v>
      </c>
      <c r="AK266" s="57">
        <f t="shared" si="454"/>
        <v>31.990000000000236</v>
      </c>
      <c r="AL266" s="349">
        <f>IF(AI266="",#N/A,IF(AH266="Skip",SUM($AK$4:AK266),SUM($AK$4:AK266)))</f>
        <v>396.93759149281436</v>
      </c>
      <c r="AM266" s="65">
        <f t="shared" si="537"/>
        <v>0.66754213175750032</v>
      </c>
      <c r="AN266" s="210"/>
      <c r="AO266" s="65" t="str">
        <f t="shared" si="455"/>
        <v/>
      </c>
      <c r="AP266" s="65">
        <f>IF($AC266="",#N/A,SUM(AO$4:AO266))</f>
        <v>2.5829709989849365</v>
      </c>
      <c r="AQ266" s="65" t="str">
        <f t="shared" si="456"/>
        <v/>
      </c>
      <c r="AR266" s="65">
        <f>IF($AC266="",#N/A,SUM(AQ$4:AQ266))</f>
        <v>-4.5506064883221358</v>
      </c>
      <c r="AS266" s="65">
        <f t="shared" si="457"/>
        <v>0.66754213175750032</v>
      </c>
      <c r="AT266" s="65">
        <f>IF($AC266="",#N/A,SUM(AS$4:AS266))</f>
        <v>5.0854287787379748</v>
      </c>
      <c r="AU266" s="57" t="str">
        <f t="shared" si="538"/>
        <v/>
      </c>
      <c r="AV266" s="57">
        <f>IF($AC266="",#N/A,SUM(AU$4:AU266))</f>
        <v>33.122490661046754</v>
      </c>
      <c r="AW266" s="57" t="str">
        <f t="shared" si="539"/>
        <v/>
      </c>
      <c r="AX266" s="57">
        <f>IF($AC266="",#N/A,SUM(AW$4:AW266))</f>
        <v>-299.03053243920203</v>
      </c>
      <c r="AY266" s="57">
        <f t="shared" si="540"/>
        <v>42.700000000000273</v>
      </c>
      <c r="AZ266" s="57">
        <f>IF($AC266="",#N/A,SUM(AY$4:AY266))</f>
        <v>361.89838154633276</v>
      </c>
      <c r="BA266" s="57">
        <f>IF(AD266="",#N/A,SUM($AD$4:AD266))</f>
        <v>95.990339768177478</v>
      </c>
      <c r="BC266" s="51" t="str">
        <f t="shared" si="458"/>
        <v/>
      </c>
      <c r="BD266" s="51" t="str">
        <f t="shared" si="459"/>
        <v/>
      </c>
      <c r="BE266" s="51" t="str">
        <f t="shared" si="460"/>
        <v/>
      </c>
      <c r="BF266" s="51" t="str">
        <f t="shared" si="461"/>
        <v>Short</v>
      </c>
      <c r="BG266" s="51">
        <f t="shared" si="462"/>
        <v>1</v>
      </c>
      <c r="BH266" s="51" t="str">
        <f t="shared" si="463"/>
        <v/>
      </c>
      <c r="BI266" s="51" t="str">
        <f t="shared" si="464"/>
        <v/>
      </c>
      <c r="BK266" s="65">
        <f t="shared" si="435"/>
        <v>8.0936601196244948E-2</v>
      </c>
      <c r="BL266" s="65">
        <f t="shared" si="434"/>
        <v>1.2971335082744133E-2</v>
      </c>
      <c r="BM266" s="65">
        <f>IFERROR(Q266/COUNTA($J$4:J266),#N/A)</f>
        <v>4.9838649930172667E-2</v>
      </c>
      <c r="BO266" s="489" t="e">
        <f>IF(J266="",#N/A,IF(S266="SW",(COUNTIFS(K$4:$K266,"&gt;0",S$4:$S266,"SW")/COUNTIF(S$4:$S266,"SW")),#N/A))</f>
        <v>#N/A</v>
      </c>
      <c r="BP266" s="489">
        <f>IF($J266="",#N/A,IF($S266="DWN",(COUNTIFS($K$4:$K266,"&lt;0",$S$4:$S266,"DWN")/COUNTIF($S$4:$S266,"DWN")),#N/A))</f>
        <v>0.58620689655172409</v>
      </c>
      <c r="BQ266" s="489" t="e">
        <f>IF($J266="",#N/A,IF($S266="UP",(COUNTIFS($K$4:$K266,"&gt;0",$S$4:$S266,"UP")/COUNTIF($S$4:$S266,"UP")),#N/A))</f>
        <v>#N/A</v>
      </c>
      <c r="BR266" s="489">
        <f>IF(J266="",#N/A,COUNTIF($K$4:K266,"&gt;0")/COUNT($J$4:J266))</f>
        <v>0.44866920152091255</v>
      </c>
      <c r="BS266" s="65" t="str">
        <f t="shared" si="465"/>
        <v/>
      </c>
      <c r="BT266" s="65" t="str">
        <f t="shared" si="466"/>
        <v/>
      </c>
      <c r="BU266" s="65">
        <f t="shared" si="467"/>
        <v>0.27029984679360852</v>
      </c>
      <c r="BV266" s="65" t="str">
        <f t="shared" si="468"/>
        <v/>
      </c>
      <c r="BW266" s="128" t="str">
        <f t="shared" si="469"/>
        <v/>
      </c>
      <c r="BX266" s="128">
        <f>IF($J266="",#N/A,SUM($BW$4:BW266))</f>
        <v>-313.79959683283596</v>
      </c>
      <c r="BY266" s="131">
        <f t="shared" si="470"/>
        <v>17.289999999999964</v>
      </c>
      <c r="BZ266" s="131">
        <f>IF($J266="",#N/A,SUM($BY$4:BY266))</f>
        <v>878.06234038933405</v>
      </c>
      <c r="CA266" s="133" t="str">
        <f t="shared" si="471"/>
        <v/>
      </c>
      <c r="CB266" s="133">
        <f>IF($J266="",#N/A,SUM($CA$4:CA266))</f>
        <v>13.871584261875455</v>
      </c>
      <c r="CC266" s="194" t="str">
        <f t="shared" si="472"/>
        <v/>
      </c>
      <c r="CD266" s="194">
        <f>IF($J266="",#N/A,SUM($CC$4:CC266))</f>
        <v>-4.7511291711510797</v>
      </c>
      <c r="CE266" s="195">
        <f t="shared" si="473"/>
        <v>0.27029984679360852</v>
      </c>
      <c r="CF266" s="195">
        <f>IF($J266="",#N/A,SUM($CE$4:CE266))</f>
        <v>14.925351237229506</v>
      </c>
      <c r="CG266" s="196" t="str">
        <f t="shared" si="474"/>
        <v/>
      </c>
      <c r="CH266" s="196">
        <f>IF($J266="",#N/A,SUM($CG$4:CG266))</f>
        <v>2.9333428655569906</v>
      </c>
      <c r="CI266" s="200" t="str">
        <f t="shared" si="475"/>
        <v/>
      </c>
      <c r="CJ266" s="203">
        <f>IF($J266="",#N/A,SUM(CI$4:CI266))</f>
        <v>0</v>
      </c>
      <c r="CK266" s="204" t="str">
        <f t="shared" si="476"/>
        <v/>
      </c>
      <c r="CL266" s="204">
        <f>IF($J266="",#N/A,SUM(CK$4:CK266))</f>
        <v>2.3607894150410869</v>
      </c>
      <c r="CM266" s="205" t="str">
        <f t="shared" si="477"/>
        <v/>
      </c>
      <c r="CN266" s="205">
        <f>IF($J266="",#N/A,SUM(CM$4:CM266))</f>
        <v>2.5131182152625313</v>
      </c>
      <c r="CO266" s="205">
        <f>IF($J266="",#N/A,SUM(CM$4:CM266,CK$4:CK266,CI$4:CI266))</f>
        <v>4.8739076303036191</v>
      </c>
      <c r="CP266" s="200" t="str">
        <f t="shared" si="478"/>
        <v/>
      </c>
      <c r="CQ266" s="203">
        <f>IF($J266="",#N/A,SUM(CP$4:CP266))</f>
        <v>-1.489321591123322</v>
      </c>
      <c r="CR266" s="204" t="str">
        <f t="shared" si="479"/>
        <v/>
      </c>
      <c r="CS266" s="204">
        <f>IF($J266="",#N/A,SUM(CR$4:CR266))</f>
        <v>4.6135245886817966</v>
      </c>
      <c r="CT266" s="205" t="str">
        <f t="shared" si="480"/>
        <v/>
      </c>
      <c r="CU266" s="205">
        <f>IF($J266="",#N/A,SUM(CT$4:CT266))</f>
        <v>-2.9040943753548785</v>
      </c>
      <c r="CV266" s="205">
        <f>IF($J266="",#N/A,SUM(CT$4:CT266,CR$4:CR266,CP$4:CP266))</f>
        <v>0.22010862220359617</v>
      </c>
      <c r="CW266" s="200" t="str">
        <f t="shared" si="481"/>
        <v/>
      </c>
      <c r="CX266" s="203">
        <f>IF($J266="",#N/A,SUM(CW$4:CW266))</f>
        <v>-0.33865165024245297</v>
      </c>
      <c r="CY266" s="204" t="str">
        <f t="shared" si="482"/>
        <v/>
      </c>
      <c r="CZ266" s="204">
        <f>IF($J266="",#N/A,SUM(CY$4:CY266))</f>
        <v>0.30198222879878239</v>
      </c>
      <c r="DA266" s="205" t="str">
        <f t="shared" si="483"/>
        <v/>
      </c>
      <c r="DB266" s="205">
        <f>IF($J266="",#N/A,SUM(DA$4:DA266))</f>
        <v>-2.290842929156085</v>
      </c>
      <c r="DC266" s="205">
        <f>IF($J266="",#N/A,SUM(DA$4:DA266,CY$4:CY266,CW$4:CW266))</f>
        <v>-2.3275123505997555</v>
      </c>
      <c r="DD266" s="200" t="str">
        <f t="shared" si="484"/>
        <v/>
      </c>
      <c r="DE266" s="203">
        <f>IF($J266="",#N/A,SUM(DD$4:DD266))</f>
        <v>0.24769343410817113</v>
      </c>
      <c r="DF266" s="204" t="str">
        <f t="shared" si="485"/>
        <v/>
      </c>
      <c r="DG266" s="204">
        <f>IF($J266="",#N/A,SUM(DF$4:DF266))</f>
        <v>1.7624645309390978</v>
      </c>
      <c r="DH266" s="205" t="str">
        <f t="shared" si="486"/>
        <v/>
      </c>
      <c r="DI266" s="205">
        <f>IF($J266="",#N/A,SUM(DH$4:DH266))</f>
        <v>-2.7812008102163399</v>
      </c>
      <c r="DJ266" s="205">
        <f>IF($J266="",#N/A,SUM(DH$4:DH266,DF$4:DF266,DD$4:DD266))</f>
        <v>-0.77104284516907118</v>
      </c>
      <c r="DK266" s="200" t="str">
        <f t="shared" si="487"/>
        <v/>
      </c>
      <c r="DL266" s="203">
        <f>IF($J266="",#N/A,SUM(DK$4:DK266))</f>
        <v>-1.2097286851272664</v>
      </c>
      <c r="DM266" s="204" t="str">
        <f t="shared" si="488"/>
        <v/>
      </c>
      <c r="DN266" s="204">
        <f>IF($J266="",#N/A,SUM(DM$4:DM266))</f>
        <v>3.0281848543081331</v>
      </c>
      <c r="DO266" s="205" t="str">
        <f t="shared" si="489"/>
        <v/>
      </c>
      <c r="DP266" s="205">
        <f>IF($J266="",#N/A,SUM(DO$4:DO266))</f>
        <v>2.700331529683047</v>
      </c>
      <c r="DQ266" s="205">
        <f>IF($J266="",#N/A,SUM(DO$4:DO266,DM$4:DM266,DK$4:DK266))</f>
        <v>4.518787698863914</v>
      </c>
      <c r="DR266" s="200" t="str">
        <f t="shared" si="490"/>
        <v/>
      </c>
      <c r="DS266" s="203">
        <f>IF($J266="",#N/A,SUM(DR$4:DR266))</f>
        <v>-0.55950946427675097</v>
      </c>
      <c r="DT266" s="204" t="str">
        <f t="shared" si="491"/>
        <v/>
      </c>
      <c r="DU266" s="204">
        <f>IF($J266="",#N/A,SUM(DT$4:DT266))</f>
        <v>-0.87082853884823752</v>
      </c>
      <c r="DV266" s="205" t="str">
        <f t="shared" si="492"/>
        <v/>
      </c>
      <c r="DW266" s="205">
        <f>IF($J266="",#N/A,SUM(DV$4:DV266))</f>
        <v>-1.2815650893103838</v>
      </c>
      <c r="DX266" s="205">
        <f>IF($J266="",#N/A,SUM(DV$4:DV266,DT$4:DT266,DR$4:DR266))</f>
        <v>-2.7119030924353726</v>
      </c>
      <c r="DY266" s="200" t="str">
        <f t="shared" si="493"/>
        <v/>
      </c>
      <c r="DZ266" s="203">
        <f>IF($J266="",#N/A,SUM(DY$4:DY266))</f>
        <v>-1.0460034109943892</v>
      </c>
      <c r="EA266" s="204" t="str">
        <f t="shared" si="494"/>
        <v/>
      </c>
      <c r="EB266" s="204">
        <f>IF($J266="",#N/A,SUM(EA$4:EA266))</f>
        <v>1.0902674422317802</v>
      </c>
      <c r="EC266" s="205" t="str">
        <f t="shared" si="495"/>
        <v/>
      </c>
      <c r="ED266" s="205">
        <f>IF($J266="",#N/A,SUM(EC$4:EC266))</f>
        <v>4.5772092731053986</v>
      </c>
      <c r="EE266" s="205">
        <f>IF($J266="",#N/A,SUM(EC$4:EC266,EA$4:EA266,DY$4:DY266))</f>
        <v>4.6214733043427882</v>
      </c>
      <c r="EF266" s="200" t="str">
        <f t="shared" si="496"/>
        <v/>
      </c>
      <c r="EG266" s="203">
        <f>IF($J266="",#N/A,SUM(EF$4:EF266))</f>
        <v>-0.15098969023521425</v>
      </c>
      <c r="EH266" s="204">
        <f t="shared" si="497"/>
        <v>0.27029984679360852</v>
      </c>
      <c r="EI266" s="204">
        <f>IF($J266="",#N/A,SUM(EH$4:EH266))</f>
        <v>-2.0808348133873036</v>
      </c>
      <c r="EJ266" s="205" t="str">
        <f t="shared" si="498"/>
        <v/>
      </c>
      <c r="EK266" s="205">
        <f>IF($J266="",#N/A,SUM(EJ$4:EJ266))</f>
        <v>5.050388173053765</v>
      </c>
      <c r="EL266" s="205">
        <f>IF($J266="",#N/A,SUM(EJ$4:EJ266,EH$4:EH266,EF$4:EF266))</f>
        <v>2.818563669431247</v>
      </c>
      <c r="EM266" s="200" t="str">
        <f t="shared" si="499"/>
        <v/>
      </c>
      <c r="EN266" s="203">
        <f>IF($J266="",#N/A,SUM(EM$4:EM266))</f>
        <v>0</v>
      </c>
      <c r="EO266" s="204" t="str">
        <f t="shared" si="500"/>
        <v/>
      </c>
      <c r="EP266" s="204">
        <f>IF($J266="",#N/A,SUM(EO$4:EO266))</f>
        <v>2.1815476670105491</v>
      </c>
      <c r="EQ266" s="205" t="str">
        <f t="shared" si="501"/>
        <v/>
      </c>
      <c r="ER266" s="205">
        <f>IF($J266="",#N/A,SUM(EQ$4:EQ266))</f>
        <v>1.441536272249796</v>
      </c>
      <c r="ES266" s="205">
        <f>IF($J266="",#N/A,SUM(EQ$4:EQ266,EO$4:EO266,EM$4:EM266))</f>
        <v>3.6230839392603444</v>
      </c>
      <c r="ET266" s="200" t="str">
        <f t="shared" si="502"/>
        <v/>
      </c>
      <c r="EU266" s="203">
        <f>IF($J266="",#N/A,SUM(ET$4:ET266))</f>
        <v>0</v>
      </c>
      <c r="EV266" s="204" t="str">
        <f t="shared" si="503"/>
        <v/>
      </c>
      <c r="EW266" s="204">
        <f>IF($J266="",#N/A,SUM(EV$4:EV266))</f>
        <v>2.6896999443708767</v>
      </c>
      <c r="EX266" s="205" t="str">
        <f t="shared" si="504"/>
        <v/>
      </c>
      <c r="EY266" s="205">
        <f>IF($J266="",#N/A,SUM(EX$4:EX266))</f>
        <v>0.27113250180669229</v>
      </c>
      <c r="EZ266" s="205">
        <f>IF($J266="",#N/A,SUM(EX$4:EX266,EV$4:EV266,ET$4:ET266))</f>
        <v>2.9608324461775686</v>
      </c>
      <c r="FA266" s="200" t="str">
        <f t="shared" si="505"/>
        <v/>
      </c>
      <c r="FB266" s="203">
        <f>IF($J266="",#N/A,SUM(FA$4:FA266))</f>
        <v>-0.27145310509113252</v>
      </c>
      <c r="FC266" s="204" t="str">
        <f t="shared" si="506"/>
        <v/>
      </c>
      <c r="FD266" s="204">
        <f>IF($J266="",#N/A,SUM(FC$4:FC266))</f>
        <v>1.3660078100500956</v>
      </c>
      <c r="FE266" s="205" t="str">
        <f t="shared" si="507"/>
        <v/>
      </c>
      <c r="FF266" s="205">
        <f>IF($J266="",#N/A,SUM(FE$4:FE266))</f>
        <v>-0.28811149078748233</v>
      </c>
      <c r="FG266" s="205">
        <f>IF($J266="",#N/A,SUM(FE$4:FE266,FC$4:FC266,FA$4:FA266))</f>
        <v>0.80644321417148113</v>
      </c>
      <c r="FH266" s="200" t="str">
        <f t="shared" si="508"/>
        <v/>
      </c>
      <c r="FI266" s="203">
        <f>IF($J266="",#N/A,SUM(FH$4:FH266))</f>
        <v>0</v>
      </c>
      <c r="FJ266" s="204" t="str">
        <f t="shared" si="509"/>
        <v/>
      </c>
      <c r="FK266" s="204">
        <f>IF($J266="",#N/A,SUM(FJ$4:FJ266))</f>
        <v>0</v>
      </c>
      <c r="FL266" s="205" t="str">
        <f t="shared" si="510"/>
        <v/>
      </c>
      <c r="FM266" s="205">
        <f>IF($J266="",#N/A,SUM(FL$4:FL266))</f>
        <v>0</v>
      </c>
      <c r="FN266" s="205">
        <f>IF($J266="",#N/A,SUM(FL$4:FL266,FJ$4:FJ266,FH$4:FH266))</f>
        <v>0</v>
      </c>
      <c r="FO266" s="200" t="str">
        <f t="shared" si="511"/>
        <v/>
      </c>
      <c r="FP266" s="203">
        <f>IF($J266="",#N/A,SUM(FO$4:FO266))</f>
        <v>0</v>
      </c>
      <c r="FQ266" s="204" t="str">
        <f t="shared" si="512"/>
        <v/>
      </c>
      <c r="FR266" s="204">
        <f>IF($J266="",#N/A,SUM(FQ$4:FQ266))</f>
        <v>0</v>
      </c>
      <c r="FS266" s="205" t="str">
        <f t="shared" si="513"/>
        <v/>
      </c>
      <c r="FT266" s="205">
        <f>IF($J266="",#N/A,SUM(FS$4:FS266))</f>
        <v>0</v>
      </c>
      <c r="FU266" s="205">
        <f>IF($J266="",#N/A,SUM(FS$4:FS266,FQ$4:FQ266,FO$4:FO266))</f>
        <v>0</v>
      </c>
      <c r="FV266" s="200" t="str">
        <f t="shared" si="514"/>
        <v/>
      </c>
      <c r="FW266" s="203">
        <f>IF($J266="",#N/A,SUM(FV$4:FV266))</f>
        <v>6.6834991831277585E-2</v>
      </c>
      <c r="FX266" s="204" t="str">
        <f t="shared" si="515"/>
        <v/>
      </c>
      <c r="FY266" s="204">
        <f>IF($J266="",#N/A,SUM(FX$4:FX266))</f>
        <v>-0.16102012791805576</v>
      </c>
      <c r="FZ266" s="205" t="str">
        <f t="shared" si="516"/>
        <v/>
      </c>
      <c r="GA266" s="205">
        <f>IF($J266="",#N/A,SUM(FZ$4:FZ266))</f>
        <v>-1.1377221770567538</v>
      </c>
      <c r="GB266" s="205">
        <f>IF($J266="",#N/A,SUM(FZ$4:FZ266,FX$4:FX266,FV$4:FV266))</f>
        <v>-1.2319073131435321</v>
      </c>
      <c r="GC266" s="200" t="str">
        <f t="shared" si="517"/>
        <v/>
      </c>
      <c r="GD266" s="203">
        <f>IF($J266="",#N/A,SUM(GC$4:GC266))</f>
        <v>0</v>
      </c>
      <c r="GE266" s="204" t="str">
        <f t="shared" si="518"/>
        <v/>
      </c>
      <c r="GF266" s="204">
        <f>IF($J266="",#N/A,SUM(GE$4:GE266))</f>
        <v>0</v>
      </c>
      <c r="GG266" s="205" t="str">
        <f t="shared" si="519"/>
        <v/>
      </c>
      <c r="GH266" s="205">
        <f>IF($J266="",#N/A,SUM(GG$4:GG266))</f>
        <v>-2.9368362277223206</v>
      </c>
      <c r="GI266" s="205">
        <f>IF($J266="",#N/A,SUM(GG$4:GG266,GE$4:GE266,GC$4:GC266))</f>
        <v>-2.9368362277223206</v>
      </c>
      <c r="GJ266" s="200" t="str">
        <f t="shared" si="520"/>
        <v/>
      </c>
      <c r="GK266" s="203">
        <f>IF($J266="",#N/A,SUM(GJ$4:GJ266))</f>
        <v>0</v>
      </c>
      <c r="GL266" s="204" t="str">
        <f t="shared" si="521"/>
        <v/>
      </c>
      <c r="GM266" s="204">
        <f>IF($J266="",#N/A,SUM(GL$4:GL266))</f>
        <v>-1.6833790887309608</v>
      </c>
      <c r="GN266" s="205" t="str">
        <f t="shared" si="522"/>
        <v/>
      </c>
      <c r="GO266" s="205">
        <f>IF($J266="",#N/A,SUM(GN$4:GN266))</f>
        <v>0</v>
      </c>
      <c r="GP266" s="205">
        <f>IF($J266="",#N/A,SUM(GN$4:GN266,GL$4:GL266,GJ$4:GJ266))</f>
        <v>-1.6833790887309608</v>
      </c>
      <c r="GS266" s="54">
        <f t="shared" si="541"/>
        <v>0.27029984679360852</v>
      </c>
      <c r="GT266" s="54">
        <f>IF(GS266="",NA(),SUM($GS$4:GS266))</f>
        <v>8.1677787057555058</v>
      </c>
      <c r="GU266" s="54" t="str">
        <f t="shared" si="523"/>
        <v/>
      </c>
      <c r="GV266" s="54" t="e">
        <f>IF(GU266="",NA(),SUM($GU$4:GU266))</f>
        <v>#N/A</v>
      </c>
      <c r="GW266" s="54" t="str">
        <f t="shared" si="524"/>
        <v/>
      </c>
      <c r="GX266" s="54" t="e">
        <f>IF(GW266="",NA(),SUM($GW$4:GW266))</f>
        <v>#N/A</v>
      </c>
      <c r="GY266" s="54">
        <f t="shared" si="525"/>
        <v>0.27029984679360852</v>
      </c>
      <c r="GZ266" s="54">
        <f>IF(GY266="",NA(),SUM($GY$4:GY266))</f>
        <v>8.4474241222546027</v>
      </c>
      <c r="HA266" s="54" t="str">
        <f t="shared" si="526"/>
        <v/>
      </c>
      <c r="HB266" s="54" t="e">
        <f>IF(HA266="",NA(),SUM($HA$4:HA266))</f>
        <v>#N/A</v>
      </c>
      <c r="HC266" s="54" t="str">
        <f t="shared" si="527"/>
        <v/>
      </c>
      <c r="HD266" s="54" t="e">
        <f>IF(HC266="",NA(),SUM($HC$4:HC266))</f>
        <v>#N/A</v>
      </c>
      <c r="HE266" s="54" t="str">
        <f t="shared" si="528"/>
        <v/>
      </c>
      <c r="HF266" s="54" t="e">
        <f>IF(HE266="",NA(),SUM($HE$4:HE266))</f>
        <v>#N/A</v>
      </c>
      <c r="HG266" s="54" t="str">
        <f t="shared" si="529"/>
        <v/>
      </c>
      <c r="HH266" s="54" t="e">
        <f>IF(HG266="",NA(),SUM($HG$4:HG266))</f>
        <v>#N/A</v>
      </c>
      <c r="HI266" s="172">
        <f t="shared" si="542"/>
        <v>0.3972422849638918</v>
      </c>
      <c r="HJ266" s="172">
        <f>IF($J266="",#N/A,SUM(HI$4:$HI266))</f>
        <v>-6.7584953168185935</v>
      </c>
      <c r="HK266" s="54" t="str">
        <f t="shared" si="530"/>
        <v/>
      </c>
      <c r="HL266" s="54">
        <f>IF($J266="",#N/A,SUM($HK$4:HK266))</f>
        <v>-3.0814271416729273</v>
      </c>
      <c r="HM266" s="54" t="str">
        <f t="shared" si="531"/>
        <v/>
      </c>
      <c r="HN266" s="54">
        <f>IF($J266="",#N/A,SUM($HM$4:HM266))</f>
        <v>0.957348620978966</v>
      </c>
      <c r="HO266" s="54" t="str">
        <f t="shared" si="532"/>
        <v/>
      </c>
      <c r="HP266" s="54">
        <f>IF($J266="",#N/A,SUM($HO$4:HO266))</f>
        <v>-0.75682593815002108</v>
      </c>
      <c r="HQ266" s="54" t="str">
        <f t="shared" si="533"/>
        <v/>
      </c>
      <c r="HR266" s="54">
        <f>IF($J266="",#N/A,SUM($HQ$4:HQ266))</f>
        <v>-14.596039294292455</v>
      </c>
      <c r="HS266" s="54" t="str">
        <f t="shared" si="534"/>
        <v/>
      </c>
      <c r="HT266" s="54">
        <f>IF($J266="",#N/A,SUM($HS$4:HS266))</f>
        <v>14.245667427720402</v>
      </c>
      <c r="HU266" s="65">
        <f t="shared" si="535"/>
        <v>0.66754213175750032</v>
      </c>
      <c r="HV266" s="65">
        <f>IF($J266="",#N/A,SUM(HU$4:$HU266))</f>
        <v>3.1177932894007796</v>
      </c>
    </row>
    <row r="267" spans="1:230" x14ac:dyDescent="0.25">
      <c r="A267" s="51" t="s">
        <v>47</v>
      </c>
      <c r="B267" s="52" t="s">
        <v>4567</v>
      </c>
      <c r="C267" s="229">
        <f t="shared" si="436"/>
        <v>3</v>
      </c>
      <c r="D267" s="219" t="str">
        <f>_xlfn.XLOOKUP(A267,[1]SP500!$A$2:$A$502,[1]SP500!$D$2:$D$502,"N")</f>
        <v>Y</v>
      </c>
      <c r="E267" s="51" t="str">
        <f>IFERROR(_xlfn.XLOOKUP(A267,[1]SP500!$A$2:$A$655,[1]SP500!$B$2:$B$655),"")</f>
        <v>XLF</v>
      </c>
      <c r="F267" s="290">
        <v>45783</v>
      </c>
      <c r="G267" s="51" t="str">
        <f t="shared" si="437"/>
        <v>BMO</v>
      </c>
      <c r="H267" s="51" t="str">
        <f t="shared" si="438"/>
        <v>s</v>
      </c>
      <c r="I267" s="344">
        <v>78.319999999999993</v>
      </c>
      <c r="J267" s="123">
        <v>77.08</v>
      </c>
      <c r="K267" s="55">
        <f t="shared" si="439"/>
        <v>-1.5832482124616892E-2</v>
      </c>
      <c r="L267" s="67">
        <f t="shared" si="440"/>
        <v>-18.599999999999909</v>
      </c>
      <c r="M267" s="57">
        <f t="shared" si="441"/>
        <v>-4.3499999999999091</v>
      </c>
      <c r="N267" s="102">
        <f t="shared" si="442"/>
        <v>-18.599999999999909</v>
      </c>
      <c r="O267" s="57">
        <f>IF(N267="",#N/A,SUM($N$4:N267))</f>
        <v>559.53432781837364</v>
      </c>
      <c r="P267" s="65">
        <f t="shared" si="536"/>
        <v>-0.26387470207694796</v>
      </c>
      <c r="Q267" s="172">
        <f>IF($N267="",#N/A,SUM($P$4:P267))</f>
        <v>12.843690229558463</v>
      </c>
      <c r="R267" s="279">
        <f t="shared" si="443"/>
        <v>2.5661605284332847</v>
      </c>
      <c r="S267" s="51" t="str">
        <f t="shared" si="444"/>
        <v>SW</v>
      </c>
      <c r="T267" s="51" t="s">
        <v>2828</v>
      </c>
      <c r="U267" s="56">
        <f t="shared" si="445"/>
        <v>78.319999999999993</v>
      </c>
      <c r="V267" s="56" t="s">
        <v>4460</v>
      </c>
      <c r="W267" s="142">
        <v>15</v>
      </c>
      <c r="X267" s="145">
        <f t="shared" si="446"/>
        <v>1174.8</v>
      </c>
      <c r="Y267" s="140">
        <f t="shared" si="447"/>
        <v>15</v>
      </c>
      <c r="Z267" s="123">
        <v>76.790000000000006</v>
      </c>
      <c r="AA267" s="102">
        <f t="shared" si="448"/>
        <v>-22.949999999999818</v>
      </c>
      <c r="AB267" s="102">
        <f t="shared" si="449"/>
        <v>-36.450000000000045</v>
      </c>
      <c r="AC267" s="123">
        <v>75.89</v>
      </c>
      <c r="AD267" s="155">
        <f t="shared" si="450"/>
        <v>-36.450000000000045</v>
      </c>
      <c r="AE267" s="545">
        <f t="shared" si="451"/>
        <v>-0.51710929519918347</v>
      </c>
      <c r="AF267" s="57">
        <f>IF($AC267="",#N/A,SUM(AD$4:AD267))</f>
        <v>59.540339768177432</v>
      </c>
      <c r="AG267" s="102">
        <f t="shared" si="452"/>
        <v>-17.850000000000136</v>
      </c>
      <c r="AH267" s="56" t="s">
        <v>2507</v>
      </c>
      <c r="AI267" s="65">
        <f t="shared" si="453"/>
        <v>-0.32558733401429774</v>
      </c>
      <c r="AJ267" s="350">
        <f>IF(AI267="",#N/A,SUM($AI$4:AI267))</f>
        <v>10.277529701125179</v>
      </c>
      <c r="AK267" s="57">
        <f t="shared" si="454"/>
        <v>-22.949999999999818</v>
      </c>
      <c r="AL267" s="349">
        <f>IF(AI267="",#N/A,IF(AH267="Skip",SUM($AK$4:AK267),SUM($AK$4:AK267)))</f>
        <v>373.98759149281454</v>
      </c>
      <c r="AM267" s="65">
        <f t="shared" si="537"/>
        <v>-0.51710929519918347</v>
      </c>
      <c r="AN267" s="210"/>
      <c r="AO267" s="65">
        <f t="shared" si="455"/>
        <v>-0.51710929519918347</v>
      </c>
      <c r="AP267" s="65">
        <f>IF($AC267="",#N/A,SUM(AO$4:AO267))</f>
        <v>2.0658617037857532</v>
      </c>
      <c r="AQ267" s="65" t="str">
        <f t="shared" si="456"/>
        <v/>
      </c>
      <c r="AR267" s="65">
        <f>IF($AC267="",#N/A,SUM(AQ$4:AQ267))</f>
        <v>-4.5506064883221358</v>
      </c>
      <c r="AS267" s="65" t="str">
        <f t="shared" si="457"/>
        <v/>
      </c>
      <c r="AT267" s="65">
        <f>IF($AC267="",#N/A,SUM(AS$4:AS267))</f>
        <v>5.0854287787379748</v>
      </c>
      <c r="AU267" s="57">
        <f t="shared" si="538"/>
        <v>-36.450000000000045</v>
      </c>
      <c r="AV267" s="57">
        <f>IF($AC267="",#N/A,SUM(AU$4:AU267))</f>
        <v>-3.3275093389532913</v>
      </c>
      <c r="AW267" s="57" t="str">
        <f t="shared" si="539"/>
        <v/>
      </c>
      <c r="AX267" s="57">
        <f>IF($AC267="",#N/A,SUM(AW$4:AW267))</f>
        <v>-299.03053243920203</v>
      </c>
      <c r="AY267" s="57" t="str">
        <f t="shared" si="540"/>
        <v/>
      </c>
      <c r="AZ267" s="57">
        <f>IF($AC267="",#N/A,SUM(AY$4:AY267))</f>
        <v>361.89838154633276</v>
      </c>
      <c r="BA267" s="57">
        <f>IF(AD267="",#N/A,SUM($AD$4:AD267))</f>
        <v>59.540339768177432</v>
      </c>
      <c r="BC267" s="51" t="str">
        <f t="shared" si="458"/>
        <v/>
      </c>
      <c r="BD267" s="51" t="str">
        <f t="shared" si="459"/>
        <v/>
      </c>
      <c r="BE267" s="51" t="str">
        <f t="shared" si="460"/>
        <v/>
      </c>
      <c r="BF267" s="51" t="str">
        <f t="shared" si="461"/>
        <v>Long</v>
      </c>
      <c r="BG267" s="51" t="str">
        <f t="shared" si="462"/>
        <v/>
      </c>
      <c r="BH267" s="51" t="str">
        <f t="shared" si="463"/>
        <v/>
      </c>
      <c r="BI267" s="51">
        <f t="shared" si="464"/>
        <v>1</v>
      </c>
      <c r="BK267" s="65">
        <f t="shared" si="435"/>
        <v>6.4793351809455363E-2</v>
      </c>
      <c r="BL267" s="65">
        <f t="shared" si="434"/>
        <v>6.9054627889066468E-4</v>
      </c>
      <c r="BM267" s="65">
        <f>IFERROR(Q267/COUNTA($J$4:J267),#N/A)</f>
        <v>4.8650341778630542E-2</v>
      </c>
      <c r="BO267" s="489">
        <f>IF(J267="",#N/A,IF(S267="SW",(COUNTIFS(K$4:$K267,"&gt;0",S$4:$S267,"SW")/COUNTIF(S$4:$S267,"SW")),#N/A))</f>
        <v>0.48872180451127817</v>
      </c>
      <c r="BP267" s="489" t="e">
        <f>IF($J267="",#N/A,IF($S267="DWN",(COUNTIFS($K$4:$K267,"&lt;0",$S$4:$S267,"DWN")/COUNTIF($S$4:$S267,"DWN")),#N/A))</f>
        <v>#N/A</v>
      </c>
      <c r="BQ267" s="489" t="e">
        <f>IF($J267="",#N/A,IF($S267="UP",(COUNTIFS($K$4:$K267,"&gt;0",$S$4:$S267,"UP")/COUNTIF($S$4:$S267,"UP")),#N/A))</f>
        <v>#N/A</v>
      </c>
      <c r="BR267" s="489">
        <f>IF(J267="",#N/A,COUNTIF($K$4:K267,"&gt;0")/COUNT($J$4:J267))</f>
        <v>0.44696969696969696</v>
      </c>
      <c r="BS267" s="65" t="str">
        <f t="shared" si="465"/>
        <v/>
      </c>
      <c r="BT267" s="65">
        <f t="shared" si="466"/>
        <v>-0.26387470207694796</v>
      </c>
      <c r="BU267" s="65" t="str">
        <f t="shared" si="467"/>
        <v/>
      </c>
      <c r="BV267" s="65" t="str">
        <f t="shared" si="468"/>
        <v/>
      </c>
      <c r="BW267" s="128" t="str">
        <f t="shared" si="469"/>
        <v/>
      </c>
      <c r="BX267" s="128">
        <f>IF($J267="",#N/A,SUM($BW$4:BW267))</f>
        <v>-313.79959683283596</v>
      </c>
      <c r="BY267" s="131" t="str">
        <f t="shared" si="470"/>
        <v/>
      </c>
      <c r="BZ267" s="131">
        <f>IF($J267="",#N/A,SUM($BY$4:BY267))</f>
        <v>878.06234038933405</v>
      </c>
      <c r="CA267" s="133">
        <f t="shared" si="471"/>
        <v>-18.599999999999909</v>
      </c>
      <c r="CB267" s="133">
        <f>IF($J267="",#N/A,SUM($CA$4:CA267))</f>
        <v>-4.728415738124454</v>
      </c>
      <c r="CC267" s="194" t="str">
        <f t="shared" si="472"/>
        <v/>
      </c>
      <c r="CD267" s="194">
        <f>IF($J267="",#N/A,SUM($CC$4:CC267))</f>
        <v>-4.7511291711510797</v>
      </c>
      <c r="CE267" s="195" t="str">
        <f t="shared" si="473"/>
        <v/>
      </c>
      <c r="CF267" s="195">
        <f>IF($J267="",#N/A,SUM($CE$4:CE267))</f>
        <v>14.925351237229506</v>
      </c>
      <c r="CG267" s="196">
        <f t="shared" si="474"/>
        <v>-0.26387470207694796</v>
      </c>
      <c r="CH267" s="196">
        <f>IF($J267="",#N/A,SUM($CG$4:CG267))</f>
        <v>2.6694681634800426</v>
      </c>
      <c r="CI267" s="200" t="str">
        <f t="shared" si="475"/>
        <v/>
      </c>
      <c r="CJ267" s="203">
        <f>IF($J267="",#N/A,SUM(CI$4:CI267))</f>
        <v>0</v>
      </c>
      <c r="CK267" s="204" t="str">
        <f t="shared" si="476"/>
        <v/>
      </c>
      <c r="CL267" s="204">
        <f>IF($J267="",#N/A,SUM(CK$4:CK267))</f>
        <v>2.3607894150410869</v>
      </c>
      <c r="CM267" s="205" t="str">
        <f t="shared" si="477"/>
        <v/>
      </c>
      <c r="CN267" s="205">
        <f>IF($J267="",#N/A,SUM(CM$4:CM267))</f>
        <v>2.5131182152625313</v>
      </c>
      <c r="CO267" s="205">
        <f>IF($J267="",#N/A,SUM(CM$4:CM267,CK$4:CK267,CI$4:CI267))</f>
        <v>4.8739076303036191</v>
      </c>
      <c r="CP267" s="200" t="str">
        <f t="shared" si="478"/>
        <v/>
      </c>
      <c r="CQ267" s="203">
        <f>IF($J267="",#N/A,SUM(CP$4:CP267))</f>
        <v>-1.489321591123322</v>
      </c>
      <c r="CR267" s="204" t="str">
        <f t="shared" si="479"/>
        <v/>
      </c>
      <c r="CS267" s="204">
        <f>IF($J267="",#N/A,SUM(CR$4:CR267))</f>
        <v>4.6135245886817966</v>
      </c>
      <c r="CT267" s="205" t="str">
        <f t="shared" si="480"/>
        <v/>
      </c>
      <c r="CU267" s="205">
        <f>IF($J267="",#N/A,SUM(CT$4:CT267))</f>
        <v>-2.9040943753548785</v>
      </c>
      <c r="CV267" s="205">
        <f>IF($J267="",#N/A,SUM(CT$4:CT267,CR$4:CR267,CP$4:CP267))</f>
        <v>0.22010862220359617</v>
      </c>
      <c r="CW267" s="200" t="str">
        <f t="shared" si="481"/>
        <v/>
      </c>
      <c r="CX267" s="203">
        <f>IF($J267="",#N/A,SUM(CW$4:CW267))</f>
        <v>-0.33865165024245297</v>
      </c>
      <c r="CY267" s="204" t="str">
        <f t="shared" si="482"/>
        <v/>
      </c>
      <c r="CZ267" s="204">
        <f>IF($J267="",#N/A,SUM(CY$4:CY267))</f>
        <v>0.30198222879878239</v>
      </c>
      <c r="DA267" s="205" t="str">
        <f t="shared" si="483"/>
        <v/>
      </c>
      <c r="DB267" s="205">
        <f>IF($J267="",#N/A,SUM(DA$4:DA267))</f>
        <v>-2.290842929156085</v>
      </c>
      <c r="DC267" s="205">
        <f>IF($J267="",#N/A,SUM(DA$4:DA267,CY$4:CY267,CW$4:CW267))</f>
        <v>-2.3275123505997555</v>
      </c>
      <c r="DD267" s="200" t="str">
        <f t="shared" si="484"/>
        <v/>
      </c>
      <c r="DE267" s="203">
        <f>IF($J267="",#N/A,SUM(DD$4:DD267))</f>
        <v>0.24769343410817113</v>
      </c>
      <c r="DF267" s="204" t="str">
        <f t="shared" si="485"/>
        <v/>
      </c>
      <c r="DG267" s="204">
        <f>IF($J267="",#N/A,SUM(DF$4:DF267))</f>
        <v>1.7624645309390978</v>
      </c>
      <c r="DH267" s="205" t="str">
        <f t="shared" si="486"/>
        <v/>
      </c>
      <c r="DI267" s="205">
        <f>IF($J267="",#N/A,SUM(DH$4:DH267))</f>
        <v>-2.7812008102163399</v>
      </c>
      <c r="DJ267" s="205">
        <f>IF($J267="",#N/A,SUM(DH$4:DH267,DF$4:DF267,DD$4:DD267))</f>
        <v>-0.77104284516907118</v>
      </c>
      <c r="DK267" s="200" t="str">
        <f t="shared" si="487"/>
        <v/>
      </c>
      <c r="DL267" s="203">
        <f>IF($J267="",#N/A,SUM(DK$4:DK267))</f>
        <v>-1.2097286851272664</v>
      </c>
      <c r="DM267" s="204" t="str">
        <f t="shared" si="488"/>
        <v/>
      </c>
      <c r="DN267" s="204">
        <f>IF($J267="",#N/A,SUM(DM$4:DM267))</f>
        <v>3.0281848543081331</v>
      </c>
      <c r="DO267" s="205" t="str">
        <f t="shared" si="489"/>
        <v/>
      </c>
      <c r="DP267" s="205">
        <f>IF($J267="",#N/A,SUM(DO$4:DO267))</f>
        <v>2.700331529683047</v>
      </c>
      <c r="DQ267" s="205">
        <f>IF($J267="",#N/A,SUM(DO$4:DO267,DM$4:DM267,DK$4:DK267))</f>
        <v>4.518787698863914</v>
      </c>
      <c r="DR267" s="200" t="str">
        <f t="shared" si="490"/>
        <v/>
      </c>
      <c r="DS267" s="203">
        <f>IF($J267="",#N/A,SUM(DR$4:DR267))</f>
        <v>-0.55950946427675097</v>
      </c>
      <c r="DT267" s="204" t="str">
        <f t="shared" si="491"/>
        <v/>
      </c>
      <c r="DU267" s="204">
        <f>IF($J267="",#N/A,SUM(DT$4:DT267))</f>
        <v>-0.87082853884823752</v>
      </c>
      <c r="DV267" s="205">
        <f t="shared" si="492"/>
        <v>-0.26387470207694796</v>
      </c>
      <c r="DW267" s="205">
        <f>IF($J267="",#N/A,SUM(DV$4:DV267))</f>
        <v>-1.5454397913873317</v>
      </c>
      <c r="DX267" s="205">
        <f>IF($J267="",#N/A,SUM(DV$4:DV267,DT$4:DT267,DR$4:DR267))</f>
        <v>-2.9757777945123198</v>
      </c>
      <c r="DY267" s="200" t="str">
        <f t="shared" si="493"/>
        <v/>
      </c>
      <c r="DZ267" s="203">
        <f>IF($J267="",#N/A,SUM(DY$4:DY267))</f>
        <v>-1.0460034109943892</v>
      </c>
      <c r="EA267" s="204" t="str">
        <f t="shared" si="494"/>
        <v/>
      </c>
      <c r="EB267" s="204">
        <f>IF($J267="",#N/A,SUM(EA$4:EA267))</f>
        <v>1.0902674422317802</v>
      </c>
      <c r="EC267" s="205" t="str">
        <f t="shared" si="495"/>
        <v/>
      </c>
      <c r="ED267" s="205">
        <f>IF($J267="",#N/A,SUM(EC$4:EC267))</f>
        <v>4.5772092731053986</v>
      </c>
      <c r="EE267" s="205">
        <f>IF($J267="",#N/A,SUM(EC$4:EC267,EA$4:EA267,DY$4:DY267))</f>
        <v>4.6214733043427882</v>
      </c>
      <c r="EF267" s="200" t="str">
        <f t="shared" si="496"/>
        <v/>
      </c>
      <c r="EG267" s="203">
        <f>IF($J267="",#N/A,SUM(EF$4:EF267))</f>
        <v>-0.15098969023521425</v>
      </c>
      <c r="EH267" s="204" t="str">
        <f t="shared" si="497"/>
        <v/>
      </c>
      <c r="EI267" s="204">
        <f>IF($J267="",#N/A,SUM(EH$4:EH267))</f>
        <v>-2.0808348133873036</v>
      </c>
      <c r="EJ267" s="205" t="str">
        <f t="shared" si="498"/>
        <v/>
      </c>
      <c r="EK267" s="205">
        <f>IF($J267="",#N/A,SUM(EJ$4:EJ267))</f>
        <v>5.050388173053765</v>
      </c>
      <c r="EL267" s="205">
        <f>IF($J267="",#N/A,SUM(EJ$4:EJ267,EH$4:EH267,EF$4:EF267))</f>
        <v>2.818563669431247</v>
      </c>
      <c r="EM267" s="200" t="str">
        <f t="shared" si="499"/>
        <v/>
      </c>
      <c r="EN267" s="203">
        <f>IF($J267="",#N/A,SUM(EM$4:EM267))</f>
        <v>0</v>
      </c>
      <c r="EO267" s="204" t="str">
        <f t="shared" si="500"/>
        <v/>
      </c>
      <c r="EP267" s="204">
        <f>IF($J267="",#N/A,SUM(EO$4:EO267))</f>
        <v>2.1815476670105491</v>
      </c>
      <c r="EQ267" s="205" t="str">
        <f t="shared" si="501"/>
        <v/>
      </c>
      <c r="ER267" s="205">
        <f>IF($J267="",#N/A,SUM(EQ$4:EQ267))</f>
        <v>1.441536272249796</v>
      </c>
      <c r="ES267" s="205">
        <f>IF($J267="",#N/A,SUM(EQ$4:EQ267,EO$4:EO267,EM$4:EM267))</f>
        <v>3.6230839392603444</v>
      </c>
      <c r="ET267" s="200" t="str">
        <f t="shared" si="502"/>
        <v/>
      </c>
      <c r="EU267" s="203">
        <f>IF($J267="",#N/A,SUM(ET$4:ET267))</f>
        <v>0</v>
      </c>
      <c r="EV267" s="204" t="str">
        <f t="shared" si="503"/>
        <v/>
      </c>
      <c r="EW267" s="204">
        <f>IF($J267="",#N/A,SUM(EV$4:EV267))</f>
        <v>2.6896999443708767</v>
      </c>
      <c r="EX267" s="205" t="str">
        <f t="shared" si="504"/>
        <v/>
      </c>
      <c r="EY267" s="205">
        <f>IF($J267="",#N/A,SUM(EX$4:EX267))</f>
        <v>0.27113250180669229</v>
      </c>
      <c r="EZ267" s="205">
        <f>IF($J267="",#N/A,SUM(EX$4:EX267,EV$4:EV267,ET$4:ET267))</f>
        <v>2.9608324461775686</v>
      </c>
      <c r="FA267" s="200" t="str">
        <f t="shared" si="505"/>
        <v/>
      </c>
      <c r="FB267" s="203">
        <f>IF($J267="",#N/A,SUM(FA$4:FA267))</f>
        <v>-0.27145310509113252</v>
      </c>
      <c r="FC267" s="204" t="str">
        <f t="shared" si="506"/>
        <v/>
      </c>
      <c r="FD267" s="204">
        <f>IF($J267="",#N/A,SUM(FC$4:FC267))</f>
        <v>1.3660078100500956</v>
      </c>
      <c r="FE267" s="205" t="str">
        <f t="shared" si="507"/>
        <v/>
      </c>
      <c r="FF267" s="205">
        <f>IF($J267="",#N/A,SUM(FE$4:FE267))</f>
        <v>-0.28811149078748233</v>
      </c>
      <c r="FG267" s="205">
        <f>IF($J267="",#N/A,SUM(FE$4:FE267,FC$4:FC267,FA$4:FA267))</f>
        <v>0.80644321417148113</v>
      </c>
      <c r="FH267" s="200" t="str">
        <f t="shared" si="508"/>
        <v/>
      </c>
      <c r="FI267" s="203">
        <f>IF($J267="",#N/A,SUM(FH$4:FH267))</f>
        <v>0</v>
      </c>
      <c r="FJ267" s="204" t="str">
        <f t="shared" si="509"/>
        <v/>
      </c>
      <c r="FK267" s="204">
        <f>IF($J267="",#N/A,SUM(FJ$4:FJ267))</f>
        <v>0</v>
      </c>
      <c r="FL267" s="205" t="str">
        <f t="shared" si="510"/>
        <v/>
      </c>
      <c r="FM267" s="205">
        <f>IF($J267="",#N/A,SUM(FL$4:FL267))</f>
        <v>0</v>
      </c>
      <c r="FN267" s="205">
        <f>IF($J267="",#N/A,SUM(FL$4:FL267,FJ$4:FJ267,FH$4:FH267))</f>
        <v>0</v>
      </c>
      <c r="FO267" s="200" t="str">
        <f t="shared" si="511"/>
        <v/>
      </c>
      <c r="FP267" s="203">
        <f>IF($J267="",#N/A,SUM(FO$4:FO267))</f>
        <v>0</v>
      </c>
      <c r="FQ267" s="204" t="str">
        <f t="shared" si="512"/>
        <v/>
      </c>
      <c r="FR267" s="204">
        <f>IF($J267="",#N/A,SUM(FQ$4:FQ267))</f>
        <v>0</v>
      </c>
      <c r="FS267" s="205" t="str">
        <f t="shared" si="513"/>
        <v/>
      </c>
      <c r="FT267" s="205">
        <f>IF($J267="",#N/A,SUM(FS$4:FS267))</f>
        <v>0</v>
      </c>
      <c r="FU267" s="205">
        <f>IF($J267="",#N/A,SUM(FS$4:FS267,FQ$4:FQ267,FO$4:FO267))</f>
        <v>0</v>
      </c>
      <c r="FV267" s="200" t="str">
        <f t="shared" si="514"/>
        <v/>
      </c>
      <c r="FW267" s="203">
        <f>IF($J267="",#N/A,SUM(FV$4:FV267))</f>
        <v>6.6834991831277585E-2</v>
      </c>
      <c r="FX267" s="204" t="str">
        <f t="shared" si="515"/>
        <v/>
      </c>
      <c r="FY267" s="204">
        <f>IF($J267="",#N/A,SUM(FX$4:FX267))</f>
        <v>-0.16102012791805576</v>
      </c>
      <c r="FZ267" s="205" t="str">
        <f t="shared" si="516"/>
        <v/>
      </c>
      <c r="GA267" s="205">
        <f>IF($J267="",#N/A,SUM(FZ$4:FZ267))</f>
        <v>-1.1377221770567538</v>
      </c>
      <c r="GB267" s="205">
        <f>IF($J267="",#N/A,SUM(FZ$4:FZ267,FX$4:FX267,FV$4:FV267))</f>
        <v>-1.2319073131435321</v>
      </c>
      <c r="GC267" s="200" t="str">
        <f t="shared" si="517"/>
        <v/>
      </c>
      <c r="GD267" s="203">
        <f>IF($J267="",#N/A,SUM(GC$4:GC267))</f>
        <v>0</v>
      </c>
      <c r="GE267" s="204" t="str">
        <f t="shared" si="518"/>
        <v/>
      </c>
      <c r="GF267" s="204">
        <f>IF($J267="",#N/A,SUM(GE$4:GE267))</f>
        <v>0</v>
      </c>
      <c r="GG267" s="205" t="str">
        <f t="shared" si="519"/>
        <v/>
      </c>
      <c r="GH267" s="205">
        <f>IF($J267="",#N/A,SUM(GG$4:GG267))</f>
        <v>-2.9368362277223206</v>
      </c>
      <c r="GI267" s="205">
        <f>IF($J267="",#N/A,SUM(GG$4:GG267,GE$4:GE267,GC$4:GC267))</f>
        <v>-2.9368362277223206</v>
      </c>
      <c r="GJ267" s="200" t="str">
        <f t="shared" si="520"/>
        <v/>
      </c>
      <c r="GK267" s="203">
        <f>IF($J267="",#N/A,SUM(GJ$4:GJ267))</f>
        <v>0</v>
      </c>
      <c r="GL267" s="204" t="str">
        <f t="shared" si="521"/>
        <v/>
      </c>
      <c r="GM267" s="204">
        <f>IF($J267="",#N/A,SUM(GL$4:GL267))</f>
        <v>-1.6833790887309608</v>
      </c>
      <c r="GN267" s="205" t="str">
        <f t="shared" si="522"/>
        <v/>
      </c>
      <c r="GO267" s="205">
        <f>IF($J267="",#N/A,SUM(GN$4:GN267))</f>
        <v>0</v>
      </c>
      <c r="GP267" s="205">
        <f>IF($J267="",#N/A,SUM(GN$4:GN267,GL$4:GL267,GJ$4:GJ267))</f>
        <v>-1.6833790887309608</v>
      </c>
      <c r="GS267" s="54">
        <f t="shared" si="541"/>
        <v>-0.26387470207694796</v>
      </c>
      <c r="GT267" s="54">
        <f>IF(GS267="",NA(),SUM($GS$4:GS267))</f>
        <v>7.9039040036785577</v>
      </c>
      <c r="GU267" s="54" t="str">
        <f t="shared" si="523"/>
        <v/>
      </c>
      <c r="GV267" s="54" t="e">
        <f>IF(GU267="",NA(),SUM($GU$4:GU267))</f>
        <v>#N/A</v>
      </c>
      <c r="GW267" s="54">
        <f t="shared" si="524"/>
        <v>-0.26387470207694796</v>
      </c>
      <c r="GX267" s="54">
        <f>IF(GW267="",NA(),SUM($GW$4:GW267))</f>
        <v>4.2076090525750409</v>
      </c>
      <c r="GY267" s="54" t="str">
        <f t="shared" si="525"/>
        <v/>
      </c>
      <c r="GZ267" s="54" t="e">
        <f>IF(GY267="",NA(),SUM($GY$4:GY267))</f>
        <v>#N/A</v>
      </c>
      <c r="HA267" s="54" t="str">
        <f t="shared" si="526"/>
        <v/>
      </c>
      <c r="HB267" s="54" t="e">
        <f>IF(HA267="",NA(),SUM($HA$4:HA267))</f>
        <v>#N/A</v>
      </c>
      <c r="HC267" s="54" t="str">
        <f t="shared" si="527"/>
        <v/>
      </c>
      <c r="HD267" s="54" t="e">
        <f>IF(HC267="",NA(),SUM($HC$4:HC267))</f>
        <v>#N/A</v>
      </c>
      <c r="HE267" s="54" t="str">
        <f t="shared" si="528"/>
        <v/>
      </c>
      <c r="HF267" s="54" t="e">
        <f>IF(HE267="",NA(),SUM($HE$4:HE267))</f>
        <v>#N/A</v>
      </c>
      <c r="HG267" s="54" t="str">
        <f t="shared" si="529"/>
        <v/>
      </c>
      <c r="HH267" s="54" t="e">
        <f>IF(HG267="",NA(),SUM($HG$4:HG267))</f>
        <v>#N/A</v>
      </c>
      <c r="HI267" s="172" t="str">
        <f t="shared" si="542"/>
        <v/>
      </c>
      <c r="HJ267" s="172">
        <f>IF($J267="",#N/A,SUM(HI$4:$HI267))</f>
        <v>-6.7584953168185935</v>
      </c>
      <c r="HK267" s="54" t="str">
        <f t="shared" si="530"/>
        <v/>
      </c>
      <c r="HL267" s="54">
        <f>IF($J267="",#N/A,SUM($HK$4:HK267))</f>
        <v>-3.0814271416729273</v>
      </c>
      <c r="HM267" s="54" t="str">
        <f t="shared" si="531"/>
        <v/>
      </c>
      <c r="HN267" s="54">
        <f>IF($J267="",#N/A,SUM($HM$4:HM267))</f>
        <v>0.957348620978966</v>
      </c>
      <c r="HO267" s="54" t="str">
        <f t="shared" si="532"/>
        <v/>
      </c>
      <c r="HP267" s="54">
        <f>IF($J267="",#N/A,SUM($HO$4:HO267))</f>
        <v>-0.75682593815002108</v>
      </c>
      <c r="HQ267" s="54" t="str">
        <f t="shared" si="533"/>
        <v/>
      </c>
      <c r="HR267" s="54">
        <f>IF($J267="",#N/A,SUM($HQ$4:HQ267))</f>
        <v>-14.596039294292455</v>
      </c>
      <c r="HS267" s="54">
        <f t="shared" si="534"/>
        <v>-0.25323459312223551</v>
      </c>
      <c r="HT267" s="54">
        <f>IF($J267="",#N/A,SUM($HS$4:HS267))</f>
        <v>13.992432834598167</v>
      </c>
      <c r="HU267" s="65">
        <f t="shared" si="535"/>
        <v>-0.51710929519918347</v>
      </c>
      <c r="HV267" s="65">
        <f>IF($J267="",#N/A,SUM(HU$4:$HU267))</f>
        <v>2.6006839942015962</v>
      </c>
    </row>
    <row r="268" spans="1:230" x14ac:dyDescent="0.25">
      <c r="A268" s="51" t="s">
        <v>1539</v>
      </c>
      <c r="B268" s="52" t="s">
        <v>4567</v>
      </c>
      <c r="C268" s="229">
        <f t="shared" si="436"/>
        <v>2</v>
      </c>
      <c r="D268" s="219" t="str">
        <f>_xlfn.XLOOKUP(A268,[1]SP500!$A$2:$A$502,[1]SP500!$D$2:$D$502,"N")</f>
        <v>Y</v>
      </c>
      <c r="E268" s="51" t="str">
        <f>IFERROR(_xlfn.XLOOKUP(A268,[1]SP500!$A$2:$A$655,[1]SP500!$B$2:$B$655),"")</f>
        <v>XLB</v>
      </c>
      <c r="F268" s="290">
        <v>45783</v>
      </c>
      <c r="G268" s="51" t="str">
        <f t="shared" si="437"/>
        <v>BMO</v>
      </c>
      <c r="H268" s="51" t="str">
        <f t="shared" si="438"/>
        <v>s</v>
      </c>
      <c r="I268" s="344">
        <v>51.85</v>
      </c>
      <c r="J268" s="124">
        <v>53.29</v>
      </c>
      <c r="K268" s="55">
        <f t="shared" si="439"/>
        <v>2.7772420443587225E-2</v>
      </c>
      <c r="L268" s="67">
        <f t="shared" si="440"/>
        <v>-31.679999999999836</v>
      </c>
      <c r="M268" s="57">
        <f t="shared" si="441"/>
        <v>0</v>
      </c>
      <c r="N268" s="102">
        <f t="shared" si="442"/>
        <v>-31.679999999999836</v>
      </c>
      <c r="O268" s="57">
        <f>IF(N268="",#N/A,SUM($N$4:N268))</f>
        <v>527.8543278183738</v>
      </c>
      <c r="P268" s="65">
        <f t="shared" si="536"/>
        <v>-0.46287367405978541</v>
      </c>
      <c r="Q268" s="172">
        <f>IF($N268="",#N/A,SUM($P$4:P268))</f>
        <v>12.380816555498678</v>
      </c>
      <c r="R268" s="279">
        <f t="shared" si="443"/>
        <v>2.5661605284332847</v>
      </c>
      <c r="S268" s="51" t="str">
        <f t="shared" si="444"/>
        <v>Dwn</v>
      </c>
      <c r="T268" s="51" t="s">
        <v>4461</v>
      </c>
      <c r="U268" s="56">
        <f t="shared" si="445"/>
        <v>51.85</v>
      </c>
      <c r="V268" s="56" t="s">
        <v>4458</v>
      </c>
      <c r="W268" s="142">
        <v>22</v>
      </c>
      <c r="X268" s="145">
        <f t="shared" si="446"/>
        <v>1140.7</v>
      </c>
      <c r="Y268" s="140">
        <f t="shared" si="447"/>
        <v>22</v>
      </c>
      <c r="Z268" s="123">
        <v>53.29</v>
      </c>
      <c r="AA268" s="102">
        <f t="shared" si="448"/>
        <v>-31.679999999999836</v>
      </c>
      <c r="AB268" s="102">
        <f t="shared" si="449"/>
        <v>3.7400000000000091</v>
      </c>
      <c r="AC268" s="124">
        <v>51.68</v>
      </c>
      <c r="AD268" s="155">
        <f t="shared" si="450"/>
        <v>3.7400000000000091</v>
      </c>
      <c r="AE268" s="545">
        <f t="shared" si="451"/>
        <v>5.4644808743169529E-2</v>
      </c>
      <c r="AF268" s="57">
        <f>IF($AC268="",#N/A,SUM(AD$4:AD268))</f>
        <v>63.280339768177441</v>
      </c>
      <c r="AG268" s="102">
        <f t="shared" si="452"/>
        <v>35.419999999999845</v>
      </c>
      <c r="AH268" s="56" t="s">
        <v>2507</v>
      </c>
      <c r="AI268" s="65">
        <f t="shared" si="453"/>
        <v>-0.46287367405978541</v>
      </c>
      <c r="AJ268" s="54">
        <f>IF(AI268="",#N/A,SUM($AI$4:AI268))</f>
        <v>9.8146560270653929</v>
      </c>
      <c r="AK268" s="57">
        <f t="shared" si="454"/>
        <v>-31.679999999999836</v>
      </c>
      <c r="AL268" s="349">
        <f>IF(AI268="",#N/A,IF(AH268="Skip",SUM($AK$4:AK268),SUM($AK$4:AK268)))</f>
        <v>342.30759149281471</v>
      </c>
      <c r="AM268" s="65">
        <f t="shared" si="537"/>
        <v>5.4644808743169529E-2</v>
      </c>
      <c r="AN268" s="210"/>
      <c r="AO268" s="65" t="str">
        <f t="shared" si="455"/>
        <v/>
      </c>
      <c r="AP268" s="65">
        <f>IF($AC268="",#N/A,SUM(AO$4:AO268))</f>
        <v>2.0658617037857532</v>
      </c>
      <c r="AQ268" s="65" t="str">
        <f t="shared" si="456"/>
        <v/>
      </c>
      <c r="AR268" s="65">
        <f>IF($AC268="",#N/A,SUM(AQ$4:AQ268))</f>
        <v>-4.5506064883221358</v>
      </c>
      <c r="AS268" s="65">
        <f t="shared" si="457"/>
        <v>5.4644808743169529E-2</v>
      </c>
      <c r="AT268" s="65">
        <f>IF($AC268="",#N/A,SUM(AS$4:AS268))</f>
        <v>5.1400735874811447</v>
      </c>
      <c r="AU268" s="57" t="str">
        <f t="shared" si="538"/>
        <v/>
      </c>
      <c r="AV268" s="57">
        <f>IF($AC268="",#N/A,SUM(AU$4:AU268))</f>
        <v>-3.3275093389532913</v>
      </c>
      <c r="AW268" s="57" t="str">
        <f t="shared" si="539"/>
        <v/>
      </c>
      <c r="AX268" s="57">
        <f>IF($AC268="",#N/A,SUM(AW$4:AW268))</f>
        <v>-299.03053243920203</v>
      </c>
      <c r="AY268" s="57">
        <f t="shared" si="540"/>
        <v>3.7400000000000091</v>
      </c>
      <c r="AZ268" s="57">
        <f>IF($AC268="",#N/A,SUM(AY$4:AY268))</f>
        <v>365.63838154633277</v>
      </c>
      <c r="BA268" s="57">
        <f>IF(AD268="",#N/A,SUM($AD$4:AD268))</f>
        <v>63.280339768177441</v>
      </c>
      <c r="BC268" s="51" t="str">
        <f t="shared" si="458"/>
        <v/>
      </c>
      <c r="BD268" s="51">
        <f t="shared" si="459"/>
        <v>1</v>
      </c>
      <c r="BE268" s="51" t="str">
        <f t="shared" si="460"/>
        <v/>
      </c>
      <c r="BF268" s="51" t="str">
        <f t="shared" si="461"/>
        <v>Short</v>
      </c>
      <c r="BG268" s="51" t="str">
        <f t="shared" si="462"/>
        <v/>
      </c>
      <c r="BH268" s="51" t="str">
        <f t="shared" si="463"/>
        <v/>
      </c>
      <c r="BI268" s="51" t="str">
        <f t="shared" si="464"/>
        <v/>
      </c>
      <c r="BK268" s="65">
        <f t="shared" si="435"/>
        <v>8.3144875236904781E-2</v>
      </c>
      <c r="BL268" s="65">
        <f t="shared" si="434"/>
        <v>-2.1744651579558009E-2</v>
      </c>
      <c r="BM268" s="65">
        <f>IFERROR(Q268/COUNTA($J$4:J268),#N/A)</f>
        <v>4.6720062473579918E-2</v>
      </c>
      <c r="BO268" s="489" t="e">
        <f>IF(J268="",#N/A,IF(S268="SW",(COUNTIFS(K$4:$K268,"&gt;0",S$4:$S268,"SW")/COUNTIF(S$4:$S268,"SW")),#N/A))</f>
        <v>#N/A</v>
      </c>
      <c r="BP268" s="489">
        <f>IF($J268="",#N/A,IF($S268="DWN",(COUNTIFS($K$4:$K268,"&lt;0",$S$4:$S268,"DWN")/COUNTIF($S$4:$S268,"DWN")),#N/A))</f>
        <v>0.58119658119658124</v>
      </c>
      <c r="BQ268" s="489" t="e">
        <f>IF($J268="",#N/A,IF($S268="UP",(COUNTIFS($K$4:$K268,"&gt;0",$S$4:$S268,"UP")/COUNTIF($S$4:$S268,"UP")),#N/A))</f>
        <v>#N/A</v>
      </c>
      <c r="BR268" s="489">
        <f>IF(J268="",#N/A,COUNTIF($K$4:K268,"&gt;0")/COUNT($J$4:J268))</f>
        <v>0.44905660377358492</v>
      </c>
      <c r="BS268" s="65" t="str">
        <f t="shared" si="465"/>
        <v/>
      </c>
      <c r="BT268" s="65" t="str">
        <f t="shared" si="466"/>
        <v/>
      </c>
      <c r="BU268" s="65" t="str">
        <f t="shared" si="467"/>
        <v/>
      </c>
      <c r="BV268" s="65">
        <f t="shared" si="468"/>
        <v>-0.46287367405978541</v>
      </c>
      <c r="BW268" s="128" t="str">
        <f t="shared" si="469"/>
        <v/>
      </c>
      <c r="BX268" s="128">
        <f>IF($J268="",#N/A,SUM($BW$4:BW268))</f>
        <v>-313.79959683283596</v>
      </c>
      <c r="BY268" s="131">
        <f t="shared" si="470"/>
        <v>-31.679999999999836</v>
      </c>
      <c r="BZ268" s="131">
        <f>IF($J268="",#N/A,SUM($BY$4:BY268))</f>
        <v>846.38234038933422</v>
      </c>
      <c r="CA268" s="133" t="str">
        <f t="shared" si="471"/>
        <v/>
      </c>
      <c r="CB268" s="133">
        <f>IF($J268="",#N/A,SUM($CA$4:CA268))</f>
        <v>-4.728415738124454</v>
      </c>
      <c r="CC268" s="194" t="str">
        <f t="shared" si="472"/>
        <v/>
      </c>
      <c r="CD268" s="194">
        <f>IF($J268="",#N/A,SUM($CC$4:CC268))</f>
        <v>-4.7511291711510797</v>
      </c>
      <c r="CE268" s="195">
        <f t="shared" si="473"/>
        <v>-0.46287367405978541</v>
      </c>
      <c r="CF268" s="195">
        <f>IF($J268="",#N/A,SUM($CE$4:CE268))</f>
        <v>14.46247756316972</v>
      </c>
      <c r="CG268" s="196" t="str">
        <f t="shared" si="474"/>
        <v/>
      </c>
      <c r="CH268" s="193">
        <f>IF($J268="",#N/A,SUM($CG$4:CG268))</f>
        <v>2.6694681634800426</v>
      </c>
      <c r="CI268" s="200" t="str">
        <f t="shared" si="475"/>
        <v/>
      </c>
      <c r="CJ268" s="203">
        <f>IF($J268="",#N/A,SUM(CI$4:CI268))</f>
        <v>0</v>
      </c>
      <c r="CK268" s="204" t="str">
        <f t="shared" si="476"/>
        <v/>
      </c>
      <c r="CL268" s="204">
        <f>IF($J268="",#N/A,SUM(CK$4:CK268))</f>
        <v>2.3607894150410869</v>
      </c>
      <c r="CM268" s="205" t="str">
        <f t="shared" si="477"/>
        <v/>
      </c>
      <c r="CN268" s="205">
        <f>IF($J268="",#N/A,SUM(CM$4:CM268))</f>
        <v>2.5131182152625313</v>
      </c>
      <c r="CO268" s="205">
        <f>IF($J268="",#N/A,SUM(CM$4:CM268,CK$4:CK268,CI$4:CI268))</f>
        <v>4.8739076303036191</v>
      </c>
      <c r="CP268" s="200" t="str">
        <f t="shared" si="478"/>
        <v/>
      </c>
      <c r="CQ268" s="203">
        <f>IF($J268="",#N/A,SUM(CP$4:CP268))</f>
        <v>-1.489321591123322</v>
      </c>
      <c r="CR268" s="204" t="str">
        <f t="shared" si="479"/>
        <v/>
      </c>
      <c r="CS268" s="204">
        <f>IF($J268="",#N/A,SUM(CR$4:CR268))</f>
        <v>4.6135245886817966</v>
      </c>
      <c r="CT268" s="205" t="str">
        <f t="shared" si="480"/>
        <v/>
      </c>
      <c r="CU268" s="205">
        <f>IF($J268="",#N/A,SUM(CT$4:CT268))</f>
        <v>-2.9040943753548785</v>
      </c>
      <c r="CV268" s="205">
        <f>IF($J268="",#N/A,SUM(CT$4:CT268,CR$4:CR268,CP$4:CP268))</f>
        <v>0.22010862220359617</v>
      </c>
      <c r="CW268" s="200" t="str">
        <f t="shared" si="481"/>
        <v/>
      </c>
      <c r="CX268" s="203">
        <f>IF($J268="",#N/A,SUM(CW$4:CW268))</f>
        <v>-0.33865165024245297</v>
      </c>
      <c r="CY268" s="204" t="str">
        <f t="shared" si="482"/>
        <v/>
      </c>
      <c r="CZ268" s="204">
        <f>IF($J268="",#N/A,SUM(CY$4:CY268))</f>
        <v>0.30198222879878239</v>
      </c>
      <c r="DA268" s="205" t="str">
        <f t="shared" si="483"/>
        <v/>
      </c>
      <c r="DB268" s="205">
        <f>IF($J268="",#N/A,SUM(DA$4:DA268))</f>
        <v>-2.290842929156085</v>
      </c>
      <c r="DC268" s="205">
        <f>IF($J268="",#N/A,SUM(DA$4:DA268,CY$4:CY268,CW$4:CW268))</f>
        <v>-2.3275123505997555</v>
      </c>
      <c r="DD268" s="200" t="str">
        <f t="shared" si="484"/>
        <v/>
      </c>
      <c r="DE268" s="203">
        <f>IF($J268="",#N/A,SUM(DD$4:DD268))</f>
        <v>0.24769343410817113</v>
      </c>
      <c r="DF268" s="204" t="str">
        <f t="shared" si="485"/>
        <v/>
      </c>
      <c r="DG268" s="204">
        <f>IF($J268="",#N/A,SUM(DF$4:DF268))</f>
        <v>1.7624645309390978</v>
      </c>
      <c r="DH268" s="205" t="str">
        <f t="shared" si="486"/>
        <v/>
      </c>
      <c r="DI268" s="205">
        <f>IF($J268="",#N/A,SUM(DH$4:DH268))</f>
        <v>-2.7812008102163399</v>
      </c>
      <c r="DJ268" s="205">
        <f>IF($J268="",#N/A,SUM(DH$4:DH268,DF$4:DF268,DD$4:DD268))</f>
        <v>-0.77104284516907118</v>
      </c>
      <c r="DK268" s="200" t="str">
        <f t="shared" si="487"/>
        <v/>
      </c>
      <c r="DL268" s="203">
        <f>IF($J268="",#N/A,SUM(DK$4:DK268))</f>
        <v>-1.2097286851272664</v>
      </c>
      <c r="DM268" s="204" t="str">
        <f t="shared" si="488"/>
        <v/>
      </c>
      <c r="DN268" s="204">
        <f>IF($J268="",#N/A,SUM(DM$4:DM268))</f>
        <v>3.0281848543081331</v>
      </c>
      <c r="DO268" s="205" t="str">
        <f t="shared" si="489"/>
        <v/>
      </c>
      <c r="DP268" s="205">
        <f>IF($J268="",#N/A,SUM(DO$4:DO268))</f>
        <v>2.700331529683047</v>
      </c>
      <c r="DQ268" s="205">
        <f>IF($J268="",#N/A,SUM(DO$4:DO268,DM$4:DM268,DK$4:DK268))</f>
        <v>4.518787698863914</v>
      </c>
      <c r="DR268" s="200" t="str">
        <f t="shared" si="490"/>
        <v/>
      </c>
      <c r="DS268" s="203">
        <f>IF($J268="",#N/A,SUM(DR$4:DR268))</f>
        <v>-0.55950946427675097</v>
      </c>
      <c r="DT268" s="204" t="str">
        <f t="shared" si="491"/>
        <v/>
      </c>
      <c r="DU268" s="204">
        <f>IF($J268="",#N/A,SUM(DT$4:DT268))</f>
        <v>-0.87082853884823752</v>
      </c>
      <c r="DV268" s="205" t="str">
        <f t="shared" si="492"/>
        <v/>
      </c>
      <c r="DW268" s="205">
        <f>IF($J268="",#N/A,SUM(DV$4:DV268))</f>
        <v>-1.5454397913873317</v>
      </c>
      <c r="DX268" s="205">
        <f>IF($J268="",#N/A,SUM(DV$4:DV268,DT$4:DT268,DR$4:DR268))</f>
        <v>-2.9757777945123198</v>
      </c>
      <c r="DY268" s="200" t="str">
        <f t="shared" si="493"/>
        <v/>
      </c>
      <c r="DZ268" s="203">
        <f>IF($J268="",#N/A,SUM(DY$4:DY268))</f>
        <v>-1.0460034109943892</v>
      </c>
      <c r="EA268" s="204" t="str">
        <f t="shared" si="494"/>
        <v/>
      </c>
      <c r="EB268" s="204">
        <f>IF($J268="",#N/A,SUM(EA$4:EA268))</f>
        <v>1.0902674422317802</v>
      </c>
      <c r="EC268" s="205" t="str">
        <f t="shared" si="495"/>
        <v/>
      </c>
      <c r="ED268" s="205">
        <f>IF($J268="",#N/A,SUM(EC$4:EC268))</f>
        <v>4.5772092731053986</v>
      </c>
      <c r="EE268" s="205">
        <f>IF($J268="",#N/A,SUM(EC$4:EC268,EA$4:EA268,DY$4:DY268))</f>
        <v>4.6214733043427882</v>
      </c>
      <c r="EF268" s="200" t="str">
        <f t="shared" si="496"/>
        <v/>
      </c>
      <c r="EG268" s="203">
        <f>IF($J268="",#N/A,SUM(EF$4:EF268))</f>
        <v>-0.15098969023521425</v>
      </c>
      <c r="EH268" s="204" t="str">
        <f t="shared" si="497"/>
        <v/>
      </c>
      <c r="EI268" s="204">
        <f>IF($J268="",#N/A,SUM(EH$4:EH268))</f>
        <v>-2.0808348133873036</v>
      </c>
      <c r="EJ268" s="205" t="str">
        <f t="shared" si="498"/>
        <v/>
      </c>
      <c r="EK268" s="205">
        <f>IF($J268="",#N/A,SUM(EJ$4:EJ268))</f>
        <v>5.050388173053765</v>
      </c>
      <c r="EL268" s="205">
        <f>IF($J268="",#N/A,SUM(EJ$4:EJ268,EH$4:EH268,EF$4:EF268))</f>
        <v>2.818563669431247</v>
      </c>
      <c r="EM268" s="200" t="str">
        <f t="shared" si="499"/>
        <v/>
      </c>
      <c r="EN268" s="203">
        <f>IF($J268="",#N/A,SUM(EM$4:EM268))</f>
        <v>0</v>
      </c>
      <c r="EO268" s="204">
        <f t="shared" si="500"/>
        <v>-0.46287367405978541</v>
      </c>
      <c r="EP268" s="204">
        <f>IF($J268="",#N/A,SUM(EO$4:EO268))</f>
        <v>1.7186739929507637</v>
      </c>
      <c r="EQ268" s="205" t="str">
        <f t="shared" si="501"/>
        <v/>
      </c>
      <c r="ER268" s="205">
        <f>IF($J268="",#N/A,SUM(EQ$4:EQ268))</f>
        <v>1.441536272249796</v>
      </c>
      <c r="ES268" s="205">
        <f>IF($J268="",#N/A,SUM(EQ$4:EQ268,EO$4:EO268,EM$4:EM268))</f>
        <v>3.160210265200559</v>
      </c>
      <c r="ET268" s="200" t="str">
        <f t="shared" si="502"/>
        <v/>
      </c>
      <c r="EU268" s="203">
        <f>IF($J268="",#N/A,SUM(ET$4:ET268))</f>
        <v>0</v>
      </c>
      <c r="EV268" s="204" t="str">
        <f t="shared" si="503"/>
        <v/>
      </c>
      <c r="EW268" s="204">
        <f>IF($J268="",#N/A,SUM(EV$4:EV268))</f>
        <v>2.6896999443708767</v>
      </c>
      <c r="EX268" s="205" t="str">
        <f t="shared" si="504"/>
        <v/>
      </c>
      <c r="EY268" s="205">
        <f>IF($J268="",#N/A,SUM(EX$4:EX268))</f>
        <v>0.27113250180669229</v>
      </c>
      <c r="EZ268" s="205">
        <f>IF($J268="",#N/A,SUM(EX$4:EX268,EV$4:EV268,ET$4:ET268))</f>
        <v>2.9608324461775686</v>
      </c>
      <c r="FA268" s="200" t="str">
        <f t="shared" si="505"/>
        <v/>
      </c>
      <c r="FB268" s="203">
        <f>IF($J268="",#N/A,SUM(FA$4:FA268))</f>
        <v>-0.27145310509113252</v>
      </c>
      <c r="FC268" s="204" t="str">
        <f t="shared" si="506"/>
        <v/>
      </c>
      <c r="FD268" s="204">
        <f>IF($J268="",#N/A,SUM(FC$4:FC268))</f>
        <v>1.3660078100500956</v>
      </c>
      <c r="FE268" s="205" t="str">
        <f t="shared" si="507"/>
        <v/>
      </c>
      <c r="FF268" s="205">
        <f>IF($J268="",#N/A,SUM(FE$4:FE268))</f>
        <v>-0.28811149078748233</v>
      </c>
      <c r="FG268" s="205">
        <f>IF($J268="",#N/A,SUM(FE$4:FE268,FC$4:FC268,FA$4:FA268))</f>
        <v>0.80644321417148113</v>
      </c>
      <c r="FH268" s="200" t="str">
        <f t="shared" si="508"/>
        <v/>
      </c>
      <c r="FI268" s="203">
        <f>IF($J268="",#N/A,SUM(FH$4:FH268))</f>
        <v>0</v>
      </c>
      <c r="FJ268" s="204" t="str">
        <f t="shared" si="509"/>
        <v/>
      </c>
      <c r="FK268" s="204">
        <f>IF($J268="",#N/A,SUM(FJ$4:FJ268))</f>
        <v>0</v>
      </c>
      <c r="FL268" s="205" t="str">
        <f t="shared" si="510"/>
        <v/>
      </c>
      <c r="FM268" s="205">
        <f>IF($J268="",#N/A,SUM(FL$4:FL268))</f>
        <v>0</v>
      </c>
      <c r="FN268" s="205">
        <f>IF($J268="",#N/A,SUM(FL$4:FL268,FJ$4:FJ268,FH$4:FH268))</f>
        <v>0</v>
      </c>
      <c r="FO268" s="200" t="str">
        <f t="shared" si="511"/>
        <v/>
      </c>
      <c r="FP268" s="203">
        <f>IF($J268="",#N/A,SUM(FO$4:FO268))</f>
        <v>0</v>
      </c>
      <c r="FQ268" s="204" t="str">
        <f t="shared" si="512"/>
        <v/>
      </c>
      <c r="FR268" s="204">
        <f>IF($J268="",#N/A,SUM(FQ$4:FQ268))</f>
        <v>0</v>
      </c>
      <c r="FS268" s="205" t="str">
        <f t="shared" si="513"/>
        <v/>
      </c>
      <c r="FT268" s="205">
        <f>IF($J268="",#N/A,SUM(FS$4:FS268))</f>
        <v>0</v>
      </c>
      <c r="FU268" s="205">
        <f>IF($J268="",#N/A,SUM(FS$4:FS268,FQ$4:FQ268,FO$4:FO268))</f>
        <v>0</v>
      </c>
      <c r="FV268" s="200" t="str">
        <f t="shared" si="514"/>
        <v/>
      </c>
      <c r="FW268" s="203">
        <f>IF($J268="",#N/A,SUM(FV$4:FV268))</f>
        <v>6.6834991831277585E-2</v>
      </c>
      <c r="FX268" s="204" t="str">
        <f t="shared" si="515"/>
        <v/>
      </c>
      <c r="FY268" s="204">
        <f>IF($J268="",#N/A,SUM(FX$4:FX268))</f>
        <v>-0.16102012791805576</v>
      </c>
      <c r="FZ268" s="205" t="str">
        <f t="shared" si="516"/>
        <v/>
      </c>
      <c r="GA268" s="205">
        <f>IF($J268="",#N/A,SUM(FZ$4:FZ268))</f>
        <v>-1.1377221770567538</v>
      </c>
      <c r="GB268" s="205">
        <f>IF($J268="",#N/A,SUM(FZ$4:FZ268,FX$4:FX268,FV$4:FV268))</f>
        <v>-1.2319073131435321</v>
      </c>
      <c r="GC268" s="200" t="str">
        <f t="shared" si="517"/>
        <v/>
      </c>
      <c r="GD268" s="203">
        <f>IF($J268="",#N/A,SUM(GC$4:GC268))</f>
        <v>0</v>
      </c>
      <c r="GE268" s="204" t="str">
        <f t="shared" si="518"/>
        <v/>
      </c>
      <c r="GF268" s="204">
        <f>IF($J268="",#N/A,SUM(GE$4:GE268))</f>
        <v>0</v>
      </c>
      <c r="GG268" s="205" t="str">
        <f t="shared" si="519"/>
        <v/>
      </c>
      <c r="GH268" s="205">
        <f>IF($J268="",#N/A,SUM(GG$4:GG268))</f>
        <v>-2.9368362277223206</v>
      </c>
      <c r="GI268" s="205">
        <f>IF($J268="",#N/A,SUM(GG$4:GG268,GE$4:GE268,GC$4:GC268))</f>
        <v>-2.9368362277223206</v>
      </c>
      <c r="GJ268" s="200" t="str">
        <f t="shared" si="520"/>
        <v/>
      </c>
      <c r="GK268" s="203">
        <f>IF($J268="",#N/A,SUM(GJ$4:GJ268))</f>
        <v>0</v>
      </c>
      <c r="GL268" s="204" t="str">
        <f t="shared" si="521"/>
        <v/>
      </c>
      <c r="GM268" s="204">
        <f>IF($J268="",#N/A,SUM(GL$4:GL268))</f>
        <v>-1.6833790887309608</v>
      </c>
      <c r="GN268" s="205" t="str">
        <f t="shared" si="522"/>
        <v/>
      </c>
      <c r="GO268" s="205">
        <f>IF($J268="",#N/A,SUM(GN$4:GN268))</f>
        <v>0</v>
      </c>
      <c r="GP268" s="205">
        <f>IF($J268="",#N/A,SUM(GN$4:GN268,GL$4:GL268,GJ$4:GJ268))</f>
        <v>-1.6833790887309608</v>
      </c>
      <c r="GS268" s="54">
        <f t="shared" si="541"/>
        <v>-0.46287367405978541</v>
      </c>
      <c r="GT268" s="54">
        <f>IF(GS268="",NA(),SUM($GS$4:GS268))</f>
        <v>7.4410303296187728</v>
      </c>
      <c r="GU268" s="54" t="str">
        <f t="shared" si="523"/>
        <v/>
      </c>
      <c r="GV268" s="54" t="e">
        <f>IF(GU268="",NA(),SUM($GU$4:GU268))</f>
        <v>#N/A</v>
      </c>
      <c r="GW268" s="54" t="str">
        <f t="shared" si="524"/>
        <v/>
      </c>
      <c r="GX268" s="54" t="e">
        <f>IF(GW268="",NA(),SUM($GW$4:GW268))</f>
        <v>#N/A</v>
      </c>
      <c r="GY268" s="54">
        <f t="shared" si="525"/>
        <v>-0.46287367405978541</v>
      </c>
      <c r="GZ268" s="54">
        <f>IF(GY268="",NA(),SUM($GY$4:GY268))</f>
        <v>7.9845504481948169</v>
      </c>
      <c r="HA268" s="54" t="str">
        <f t="shared" si="526"/>
        <v/>
      </c>
      <c r="HB268" s="54" t="e">
        <f>IF(HA268="",NA(),SUM($HA$4:HA268))</f>
        <v>#N/A</v>
      </c>
      <c r="HC268" s="54" t="str">
        <f t="shared" si="527"/>
        <v/>
      </c>
      <c r="HD268" s="54" t="e">
        <f>IF(HC268="",NA(),SUM($HC$4:HC268))</f>
        <v>#N/A</v>
      </c>
      <c r="HE268" s="54" t="str">
        <f t="shared" si="528"/>
        <v/>
      </c>
      <c r="HF268" s="54" t="e">
        <f>IF(HE268="",NA(),SUM($HE$4:HE268))</f>
        <v>#N/A</v>
      </c>
      <c r="HG268" s="54" t="str">
        <f t="shared" si="529"/>
        <v/>
      </c>
      <c r="HH268" s="54" t="e">
        <f>IF(HG268="",NA(),SUM($HG$4:HG268))</f>
        <v>#N/A</v>
      </c>
      <c r="HI268" s="172" t="str">
        <f t="shared" si="542"/>
        <v/>
      </c>
      <c r="HJ268" s="172">
        <f>IF($J268="",#N/A,SUM(HI$4:$HI268))</f>
        <v>-6.7584953168185935</v>
      </c>
      <c r="HK268" s="54">
        <f t="shared" si="530"/>
        <v>0.51751848280295498</v>
      </c>
      <c r="HL268" s="54">
        <f>IF($J268="",#N/A,SUM($HK$4:HK268))</f>
        <v>-2.5639086588699724</v>
      </c>
      <c r="HM268" s="54" t="str">
        <f t="shared" si="531"/>
        <v/>
      </c>
      <c r="HN268" s="54">
        <f>IF($J268="",#N/A,SUM($HM$4:HM268))</f>
        <v>0.957348620978966</v>
      </c>
      <c r="HO268" s="54" t="str">
        <f t="shared" si="532"/>
        <v/>
      </c>
      <c r="HP268" s="54">
        <f>IF($J268="",#N/A,SUM($HO$4:HO268))</f>
        <v>-0.75682593815002108</v>
      </c>
      <c r="HQ268" s="54" t="str">
        <f t="shared" si="533"/>
        <v/>
      </c>
      <c r="HR268" s="54">
        <f>IF($J268="",#N/A,SUM($HQ$4:HQ268))</f>
        <v>-14.596039294292455</v>
      </c>
      <c r="HS268" s="54" t="str">
        <f t="shared" si="534"/>
        <v/>
      </c>
      <c r="HT268" s="54">
        <f>IF($J268="",#N/A,SUM($HS$4:HS268))</f>
        <v>13.992432834598167</v>
      </c>
      <c r="HU268" s="65">
        <f t="shared" si="535"/>
        <v>5.4644808743169529E-2</v>
      </c>
      <c r="HV268" s="65">
        <f>IF($J268="",#N/A,SUM(HU$4:$HU268))</f>
        <v>2.6553288029447657</v>
      </c>
    </row>
    <row r="269" spans="1:230" x14ac:dyDescent="0.25">
      <c r="A269" s="51" t="s">
        <v>1511</v>
      </c>
      <c r="B269" s="52" t="s">
        <v>4567</v>
      </c>
      <c r="C269" s="229">
        <f t="shared" si="436"/>
        <v>2</v>
      </c>
      <c r="D269" s="219" t="str">
        <f>_xlfn.XLOOKUP(A269,[1]SP500!$A$2:$A$502,[1]SP500!$D$2:$D$502,"N")</f>
        <v>Y</v>
      </c>
      <c r="E269" s="51" t="str">
        <f>IFERROR(_xlfn.XLOOKUP(A269,[1]SP500!$A$2:$A$655,[1]SP500!$B$2:$B$655),"")</f>
        <v>XLI</v>
      </c>
      <c r="F269" s="290">
        <v>45783</v>
      </c>
      <c r="G269" s="51" t="str">
        <f t="shared" si="437"/>
        <v>BMO</v>
      </c>
      <c r="H269" s="51" t="str">
        <f t="shared" si="438"/>
        <v>s</v>
      </c>
      <c r="I269" s="344">
        <v>147.94</v>
      </c>
      <c r="J269" s="124">
        <v>145.87</v>
      </c>
      <c r="K269" s="55">
        <f t="shared" si="439"/>
        <v>-1.3992158983371592E-2</v>
      </c>
      <c r="L269" s="67">
        <f t="shared" si="440"/>
        <v>16.559999999999945</v>
      </c>
      <c r="M269" s="57">
        <f t="shared" si="441"/>
        <v>9.9200000000000728</v>
      </c>
      <c r="N269" s="102">
        <f t="shared" si="442"/>
        <v>16.559999999999945</v>
      </c>
      <c r="O269" s="57">
        <f>IF(N269="",#N/A,SUM($N$4:N269))</f>
        <v>544.41432781837375</v>
      </c>
      <c r="P269" s="65">
        <f t="shared" si="536"/>
        <v>0.23320264972285984</v>
      </c>
      <c r="Q269" s="172">
        <f>IF($N269="",#N/A,SUM($P$4:P269))</f>
        <v>12.614019205221537</v>
      </c>
      <c r="R269" s="279">
        <f t="shared" si="443"/>
        <v>2.4264642551693463</v>
      </c>
      <c r="S269" s="51" t="str">
        <f t="shared" si="444"/>
        <v>Dwn</v>
      </c>
      <c r="T269" s="51" t="s">
        <v>4462</v>
      </c>
      <c r="U269" s="56">
        <f t="shared" si="445"/>
        <v>147.94</v>
      </c>
      <c r="V269" s="56" t="s">
        <v>4458</v>
      </c>
      <c r="W269" s="142">
        <v>8</v>
      </c>
      <c r="X269" s="145">
        <f t="shared" si="446"/>
        <v>1183.52</v>
      </c>
      <c r="Y269" s="140">
        <f t="shared" si="447"/>
        <v>8</v>
      </c>
      <c r="Z269" s="123">
        <v>144.63</v>
      </c>
      <c r="AA269" s="102">
        <f t="shared" si="448"/>
        <v>26.480000000000018</v>
      </c>
      <c r="AB269" s="102">
        <f t="shared" si="449"/>
        <v>-54.480000000000018</v>
      </c>
      <c r="AC269" s="123">
        <v>154.75</v>
      </c>
      <c r="AD269" s="155">
        <f t="shared" si="450"/>
        <v>-54.480000000000018</v>
      </c>
      <c r="AE269" s="545">
        <f t="shared" si="451"/>
        <v>-0.7672029201027446</v>
      </c>
      <c r="AF269" s="57">
        <f>IF($AC269="",#N/A,SUM(AD$4:AD269))</f>
        <v>8.8003397681774231</v>
      </c>
      <c r="AG269" s="102">
        <f t="shared" si="452"/>
        <v>-71.039999999999964</v>
      </c>
      <c r="AH269" s="56" t="s">
        <v>2507</v>
      </c>
      <c r="AI269" s="65">
        <f t="shared" si="453"/>
        <v>0.37289892298679667</v>
      </c>
      <c r="AJ269" s="350">
        <f>IF(AI269="",#N/A,SUM($AI$4:AI269))</f>
        <v>10.18755495005219</v>
      </c>
      <c r="AK269" s="57">
        <f t="shared" si="454"/>
        <v>26.480000000000018</v>
      </c>
      <c r="AL269" s="349">
        <f>IF(AI269="",#N/A,IF(AH269="Skip",SUM($AK$4:AK269),SUM($AK$4:AK269)))</f>
        <v>368.78759149281473</v>
      </c>
      <c r="AM269" s="65">
        <f t="shared" si="537"/>
        <v>-0.7672029201027446</v>
      </c>
      <c r="AN269" s="210"/>
      <c r="AO269" s="65" t="str">
        <f t="shared" si="455"/>
        <v/>
      </c>
      <c r="AP269" s="65">
        <f>IF($AC269="",#N/A,SUM(AO$4:AO269))</f>
        <v>2.0658617037857532</v>
      </c>
      <c r="AQ269" s="65" t="str">
        <f t="shared" si="456"/>
        <v/>
      </c>
      <c r="AR269" s="65">
        <f>IF($AC269="",#N/A,SUM(AQ$4:AQ269))</f>
        <v>-4.5506064883221358</v>
      </c>
      <c r="AS269" s="65">
        <f t="shared" si="457"/>
        <v>-0.7672029201027446</v>
      </c>
      <c r="AT269" s="65">
        <f>IF($AC269="",#N/A,SUM(AS$4:AS269))</f>
        <v>4.3728706673784004</v>
      </c>
      <c r="AU269" s="57" t="str">
        <f t="shared" si="538"/>
        <v/>
      </c>
      <c r="AV269" s="57">
        <f>IF($AC269="",#N/A,SUM(AU$4:AU269))</f>
        <v>-3.3275093389532913</v>
      </c>
      <c r="AW269" s="57" t="str">
        <f t="shared" si="539"/>
        <v/>
      </c>
      <c r="AX269" s="57">
        <f>IF($AC269="",#N/A,SUM(AW$4:AW269))</f>
        <v>-299.03053243920203</v>
      </c>
      <c r="AY269" s="57">
        <f t="shared" si="540"/>
        <v>-54.480000000000018</v>
      </c>
      <c r="AZ269" s="57">
        <f>IF($AC269="",#N/A,SUM(AY$4:AY269))</f>
        <v>311.15838154633275</v>
      </c>
      <c r="BA269" s="57">
        <f>IF(AD269="",#N/A,SUM($AD$4:AD269))</f>
        <v>8.8003397681774231</v>
      </c>
      <c r="BC269" s="51" t="str">
        <f t="shared" si="458"/>
        <v/>
      </c>
      <c r="BD269" s="51" t="str">
        <f t="shared" si="459"/>
        <v/>
      </c>
      <c r="BE269" s="51" t="str">
        <f t="shared" si="460"/>
        <v/>
      </c>
      <c r="BF269" s="51" t="str">
        <f t="shared" si="461"/>
        <v>Short</v>
      </c>
      <c r="BG269" s="51">
        <f t="shared" si="462"/>
        <v>1</v>
      </c>
      <c r="BH269" s="51" t="str">
        <f t="shared" si="463"/>
        <v/>
      </c>
      <c r="BI269" s="51" t="str">
        <f t="shared" si="464"/>
        <v/>
      </c>
      <c r="BK269" s="65">
        <f t="shared" si="435"/>
        <v>5.8877733507932142E-2</v>
      </c>
      <c r="BL269" s="65">
        <f t="shared" si="434"/>
        <v>-0.1623823458642415</v>
      </c>
      <c r="BM269" s="65">
        <f>IFERROR(Q269/COUNTA($J$4:J269),#N/A)</f>
        <v>4.742112483165991E-2</v>
      </c>
      <c r="BO269" s="489" t="e">
        <f>IF(J269="",#N/A,IF(S269="SW",(COUNTIFS(K$4:$K269,"&gt;0",S$4:$S269,"SW")/COUNTIF(S$4:$S269,"SW")),#N/A))</f>
        <v>#N/A</v>
      </c>
      <c r="BP269" s="489">
        <f>IF($J269="",#N/A,IF($S269="DWN",(COUNTIFS($K$4:$K269,"&lt;0",$S$4:$S269,"DWN")/COUNTIF($S$4:$S269,"DWN")),#N/A))</f>
        <v>0.5847457627118644</v>
      </c>
      <c r="BQ269" s="489" t="e">
        <f>IF($J269="",#N/A,IF($S269="UP",(COUNTIFS($K$4:$K269,"&gt;0",$S$4:$S269,"UP")/COUNTIF($S$4:$S269,"UP")),#N/A))</f>
        <v>#N/A</v>
      </c>
      <c r="BR269" s="489">
        <f>IF(J269="",#N/A,COUNTIF($K$4:K269,"&gt;0")/COUNT($J$4:J269))</f>
        <v>0.44736842105263158</v>
      </c>
      <c r="BS269" s="65" t="str">
        <f t="shared" si="465"/>
        <v/>
      </c>
      <c r="BT269" s="65" t="str">
        <f t="shared" si="466"/>
        <v/>
      </c>
      <c r="BU269" s="65">
        <f t="shared" si="467"/>
        <v>0.23320264972285984</v>
      </c>
      <c r="BV269" s="65" t="str">
        <f t="shared" si="468"/>
        <v/>
      </c>
      <c r="BW269" s="128" t="str">
        <f t="shared" si="469"/>
        <v/>
      </c>
      <c r="BX269" s="128">
        <f>IF($J269="",#N/A,SUM($BW$4:BW269))</f>
        <v>-313.79959683283596</v>
      </c>
      <c r="BY269" s="131">
        <f t="shared" si="470"/>
        <v>16.559999999999945</v>
      </c>
      <c r="BZ269" s="131">
        <f>IF($J269="",#N/A,SUM($BY$4:BY269))</f>
        <v>862.94234038933416</v>
      </c>
      <c r="CA269" s="133" t="str">
        <f t="shared" si="471"/>
        <v/>
      </c>
      <c r="CB269" s="133">
        <f>IF($J269="",#N/A,SUM($CA$4:CA269))</f>
        <v>-4.728415738124454</v>
      </c>
      <c r="CC269" s="194" t="str">
        <f t="shared" si="472"/>
        <v/>
      </c>
      <c r="CD269" s="194">
        <f>IF($J269="",#N/A,SUM($CC$4:CC269))</f>
        <v>-4.7511291711510797</v>
      </c>
      <c r="CE269" s="195">
        <f t="shared" si="473"/>
        <v>0.23320264972285984</v>
      </c>
      <c r="CF269" s="195">
        <f>IF($J269="",#N/A,SUM($CE$4:CE269))</f>
        <v>14.695680212892579</v>
      </c>
      <c r="CG269" s="196" t="str">
        <f t="shared" si="474"/>
        <v/>
      </c>
      <c r="CH269" s="196">
        <f>IF($J269="",#N/A,SUM($CG$4:CG269))</f>
        <v>2.6694681634800426</v>
      </c>
      <c r="CI269" s="200" t="str">
        <f t="shared" si="475"/>
        <v/>
      </c>
      <c r="CJ269" s="203">
        <f>IF($J269="",#N/A,SUM(CI$4:CI269))</f>
        <v>0</v>
      </c>
      <c r="CK269" s="204" t="str">
        <f t="shared" si="476"/>
        <v/>
      </c>
      <c r="CL269" s="204">
        <f>IF($J269="",#N/A,SUM(CK$4:CK269))</f>
        <v>2.3607894150410869</v>
      </c>
      <c r="CM269" s="205" t="str">
        <f t="shared" si="477"/>
        <v/>
      </c>
      <c r="CN269" s="205">
        <f>IF($J269="",#N/A,SUM(CM$4:CM269))</f>
        <v>2.5131182152625313</v>
      </c>
      <c r="CO269" s="205">
        <f>IF($J269="",#N/A,SUM(CM$4:CM269,CK$4:CK269,CI$4:CI269))</f>
        <v>4.8739076303036191</v>
      </c>
      <c r="CP269" s="200" t="str">
        <f t="shared" si="478"/>
        <v/>
      </c>
      <c r="CQ269" s="203">
        <f>IF($J269="",#N/A,SUM(CP$4:CP269))</f>
        <v>-1.489321591123322</v>
      </c>
      <c r="CR269" s="204" t="str">
        <f t="shared" si="479"/>
        <v/>
      </c>
      <c r="CS269" s="204">
        <f>IF($J269="",#N/A,SUM(CR$4:CR269))</f>
        <v>4.6135245886817966</v>
      </c>
      <c r="CT269" s="205" t="str">
        <f t="shared" si="480"/>
        <v/>
      </c>
      <c r="CU269" s="205">
        <f>IF($J269="",#N/A,SUM(CT$4:CT269))</f>
        <v>-2.9040943753548785</v>
      </c>
      <c r="CV269" s="205">
        <f>IF($J269="",#N/A,SUM(CT$4:CT269,CR$4:CR269,CP$4:CP269))</f>
        <v>0.22010862220359617</v>
      </c>
      <c r="CW269" s="200" t="str">
        <f t="shared" si="481"/>
        <v/>
      </c>
      <c r="CX269" s="203">
        <f>IF($J269="",#N/A,SUM(CW$4:CW269))</f>
        <v>-0.33865165024245297</v>
      </c>
      <c r="CY269" s="204" t="str">
        <f t="shared" si="482"/>
        <v/>
      </c>
      <c r="CZ269" s="204">
        <f>IF($J269="",#N/A,SUM(CY$4:CY269))</f>
        <v>0.30198222879878239</v>
      </c>
      <c r="DA269" s="205" t="str">
        <f t="shared" si="483"/>
        <v/>
      </c>
      <c r="DB269" s="205">
        <f>IF($J269="",#N/A,SUM(DA$4:DA269))</f>
        <v>-2.290842929156085</v>
      </c>
      <c r="DC269" s="205">
        <f>IF($J269="",#N/A,SUM(DA$4:DA269,CY$4:CY269,CW$4:CW269))</f>
        <v>-2.3275123505997555</v>
      </c>
      <c r="DD269" s="200" t="str">
        <f t="shared" si="484"/>
        <v/>
      </c>
      <c r="DE269" s="203">
        <f>IF($J269="",#N/A,SUM(DD$4:DD269))</f>
        <v>0.24769343410817113</v>
      </c>
      <c r="DF269" s="204" t="str">
        <f t="shared" si="485"/>
        <v/>
      </c>
      <c r="DG269" s="204">
        <f>IF($J269="",#N/A,SUM(DF$4:DF269))</f>
        <v>1.7624645309390978</v>
      </c>
      <c r="DH269" s="205" t="str">
        <f t="shared" si="486"/>
        <v/>
      </c>
      <c r="DI269" s="205">
        <f>IF($J269="",#N/A,SUM(DH$4:DH269))</f>
        <v>-2.7812008102163399</v>
      </c>
      <c r="DJ269" s="205">
        <f>IF($J269="",#N/A,SUM(DH$4:DH269,DF$4:DF269,DD$4:DD269))</f>
        <v>-0.77104284516907118</v>
      </c>
      <c r="DK269" s="200" t="str">
        <f t="shared" si="487"/>
        <v/>
      </c>
      <c r="DL269" s="203">
        <f>IF($J269="",#N/A,SUM(DK$4:DK269))</f>
        <v>-1.2097286851272664</v>
      </c>
      <c r="DM269" s="204" t="str">
        <f t="shared" si="488"/>
        <v/>
      </c>
      <c r="DN269" s="204">
        <f>IF($J269="",#N/A,SUM(DM$4:DM269))</f>
        <v>3.0281848543081331</v>
      </c>
      <c r="DO269" s="205" t="str">
        <f t="shared" si="489"/>
        <v/>
      </c>
      <c r="DP269" s="205">
        <f>IF($J269="",#N/A,SUM(DO$4:DO269))</f>
        <v>2.700331529683047</v>
      </c>
      <c r="DQ269" s="205">
        <f>IF($J269="",#N/A,SUM(DO$4:DO269,DM$4:DM269,DK$4:DK269))</f>
        <v>4.518787698863914</v>
      </c>
      <c r="DR269" s="200" t="str">
        <f t="shared" si="490"/>
        <v/>
      </c>
      <c r="DS269" s="203">
        <f>IF($J269="",#N/A,SUM(DR$4:DR269))</f>
        <v>-0.55950946427675097</v>
      </c>
      <c r="DT269" s="204" t="str">
        <f t="shared" si="491"/>
        <v/>
      </c>
      <c r="DU269" s="204">
        <f>IF($J269="",#N/A,SUM(DT$4:DT269))</f>
        <v>-0.87082853884823752</v>
      </c>
      <c r="DV269" s="205" t="str">
        <f t="shared" si="492"/>
        <v/>
      </c>
      <c r="DW269" s="205">
        <f>IF($J269="",#N/A,SUM(DV$4:DV269))</f>
        <v>-1.5454397913873317</v>
      </c>
      <c r="DX269" s="205">
        <f>IF($J269="",#N/A,SUM(DV$4:DV269,DT$4:DT269,DR$4:DR269))</f>
        <v>-2.9757777945123198</v>
      </c>
      <c r="DY269" s="200" t="str">
        <f t="shared" si="493"/>
        <v/>
      </c>
      <c r="DZ269" s="203">
        <f>IF($J269="",#N/A,SUM(DY$4:DY269))</f>
        <v>-1.0460034109943892</v>
      </c>
      <c r="EA269" s="204">
        <f t="shared" si="494"/>
        <v>0.23320264972285984</v>
      </c>
      <c r="EB269" s="204">
        <f>IF($J269="",#N/A,SUM(EA$4:EA269))</f>
        <v>1.32347009195464</v>
      </c>
      <c r="EC269" s="205" t="str">
        <f t="shared" si="495"/>
        <v/>
      </c>
      <c r="ED269" s="205">
        <f>IF($J269="",#N/A,SUM(EC$4:EC269))</f>
        <v>4.5772092731053986</v>
      </c>
      <c r="EE269" s="205">
        <f>IF($J269="",#N/A,SUM(EC$4:EC269,EA$4:EA269,DY$4:DY269))</f>
        <v>4.8546759540656481</v>
      </c>
      <c r="EF269" s="200" t="str">
        <f t="shared" si="496"/>
        <v/>
      </c>
      <c r="EG269" s="203">
        <f>IF($J269="",#N/A,SUM(EF$4:EF269))</f>
        <v>-0.15098969023521425</v>
      </c>
      <c r="EH269" s="204" t="str">
        <f t="shared" si="497"/>
        <v/>
      </c>
      <c r="EI269" s="204">
        <f>IF($J269="",#N/A,SUM(EH$4:EH269))</f>
        <v>-2.0808348133873036</v>
      </c>
      <c r="EJ269" s="205" t="str">
        <f t="shared" si="498"/>
        <v/>
      </c>
      <c r="EK269" s="205">
        <f>IF($J269="",#N/A,SUM(EJ$4:EJ269))</f>
        <v>5.050388173053765</v>
      </c>
      <c r="EL269" s="205">
        <f>IF($J269="",#N/A,SUM(EJ$4:EJ269,EH$4:EH269,EF$4:EF269))</f>
        <v>2.818563669431247</v>
      </c>
      <c r="EM269" s="200" t="str">
        <f t="shared" si="499"/>
        <v/>
      </c>
      <c r="EN269" s="203">
        <f>IF($J269="",#N/A,SUM(EM$4:EM269))</f>
        <v>0</v>
      </c>
      <c r="EO269" s="204" t="str">
        <f t="shared" si="500"/>
        <v/>
      </c>
      <c r="EP269" s="204">
        <f>IF($J269="",#N/A,SUM(EO$4:EO269))</f>
        <v>1.7186739929507637</v>
      </c>
      <c r="EQ269" s="205" t="str">
        <f t="shared" si="501"/>
        <v/>
      </c>
      <c r="ER269" s="205">
        <f>IF($J269="",#N/A,SUM(EQ$4:EQ269))</f>
        <v>1.441536272249796</v>
      </c>
      <c r="ES269" s="205">
        <f>IF($J269="",#N/A,SUM(EQ$4:EQ269,EO$4:EO269,EM$4:EM269))</f>
        <v>3.160210265200559</v>
      </c>
      <c r="ET269" s="200" t="str">
        <f t="shared" si="502"/>
        <v/>
      </c>
      <c r="EU269" s="203">
        <f>IF($J269="",#N/A,SUM(ET$4:ET269))</f>
        <v>0</v>
      </c>
      <c r="EV269" s="204" t="str">
        <f t="shared" si="503"/>
        <v/>
      </c>
      <c r="EW269" s="204">
        <f>IF($J269="",#N/A,SUM(EV$4:EV269))</f>
        <v>2.6896999443708767</v>
      </c>
      <c r="EX269" s="205" t="str">
        <f t="shared" si="504"/>
        <v/>
      </c>
      <c r="EY269" s="205">
        <f>IF($J269="",#N/A,SUM(EX$4:EX269))</f>
        <v>0.27113250180669229</v>
      </c>
      <c r="EZ269" s="205">
        <f>IF($J269="",#N/A,SUM(EX$4:EX269,EV$4:EV269,ET$4:ET269))</f>
        <v>2.9608324461775686</v>
      </c>
      <c r="FA269" s="200" t="str">
        <f t="shared" si="505"/>
        <v/>
      </c>
      <c r="FB269" s="203">
        <f>IF($J269="",#N/A,SUM(FA$4:FA269))</f>
        <v>-0.27145310509113252</v>
      </c>
      <c r="FC269" s="204" t="str">
        <f t="shared" si="506"/>
        <v/>
      </c>
      <c r="FD269" s="204">
        <f>IF($J269="",#N/A,SUM(FC$4:FC269))</f>
        <v>1.3660078100500956</v>
      </c>
      <c r="FE269" s="205" t="str">
        <f t="shared" si="507"/>
        <v/>
      </c>
      <c r="FF269" s="205">
        <f>IF($J269="",#N/A,SUM(FE$4:FE269))</f>
        <v>-0.28811149078748233</v>
      </c>
      <c r="FG269" s="205">
        <f>IF($J269="",#N/A,SUM(FE$4:FE269,FC$4:FC269,FA$4:FA269))</f>
        <v>0.80644321417148113</v>
      </c>
      <c r="FH269" s="200" t="str">
        <f t="shared" si="508"/>
        <v/>
      </c>
      <c r="FI269" s="203">
        <f>IF($J269="",#N/A,SUM(FH$4:FH269))</f>
        <v>0</v>
      </c>
      <c r="FJ269" s="204" t="str">
        <f t="shared" si="509"/>
        <v/>
      </c>
      <c r="FK269" s="204">
        <f>IF($J269="",#N/A,SUM(FJ$4:FJ269))</f>
        <v>0</v>
      </c>
      <c r="FL269" s="205" t="str">
        <f t="shared" si="510"/>
        <v/>
      </c>
      <c r="FM269" s="205">
        <f>IF($J269="",#N/A,SUM(FL$4:FL269))</f>
        <v>0</v>
      </c>
      <c r="FN269" s="205">
        <f>IF($J269="",#N/A,SUM(FL$4:FL269,FJ$4:FJ269,FH$4:FH269))</f>
        <v>0</v>
      </c>
      <c r="FO269" s="200" t="str">
        <f t="shared" si="511"/>
        <v/>
      </c>
      <c r="FP269" s="203">
        <f>IF($J269="",#N/A,SUM(FO$4:FO269))</f>
        <v>0</v>
      </c>
      <c r="FQ269" s="204" t="str">
        <f t="shared" si="512"/>
        <v/>
      </c>
      <c r="FR269" s="204">
        <f>IF($J269="",#N/A,SUM(FQ$4:FQ269))</f>
        <v>0</v>
      </c>
      <c r="FS269" s="205" t="str">
        <f t="shared" si="513"/>
        <v/>
      </c>
      <c r="FT269" s="205">
        <f>IF($J269="",#N/A,SUM(FS$4:FS269))</f>
        <v>0</v>
      </c>
      <c r="FU269" s="205">
        <f>IF($J269="",#N/A,SUM(FS$4:FS269,FQ$4:FQ269,FO$4:FO269))</f>
        <v>0</v>
      </c>
      <c r="FV269" s="200" t="str">
        <f t="shared" si="514"/>
        <v/>
      </c>
      <c r="FW269" s="203">
        <f>IF($J269="",#N/A,SUM(FV$4:FV269))</f>
        <v>6.6834991831277585E-2</v>
      </c>
      <c r="FX269" s="204" t="str">
        <f t="shared" si="515"/>
        <v/>
      </c>
      <c r="FY269" s="204">
        <f>IF($J269="",#N/A,SUM(FX$4:FX269))</f>
        <v>-0.16102012791805576</v>
      </c>
      <c r="FZ269" s="205" t="str">
        <f t="shared" si="516"/>
        <v/>
      </c>
      <c r="GA269" s="205">
        <f>IF($J269="",#N/A,SUM(FZ$4:FZ269))</f>
        <v>-1.1377221770567538</v>
      </c>
      <c r="GB269" s="205">
        <f>IF($J269="",#N/A,SUM(FZ$4:FZ269,FX$4:FX269,FV$4:FV269))</f>
        <v>-1.2319073131435321</v>
      </c>
      <c r="GC269" s="200" t="str">
        <f t="shared" si="517"/>
        <v/>
      </c>
      <c r="GD269" s="203">
        <f>IF($J269="",#N/A,SUM(GC$4:GC269))</f>
        <v>0</v>
      </c>
      <c r="GE269" s="204" t="str">
        <f t="shared" si="518"/>
        <v/>
      </c>
      <c r="GF269" s="204">
        <f>IF($J269="",#N/A,SUM(GE$4:GE269))</f>
        <v>0</v>
      </c>
      <c r="GG269" s="205" t="str">
        <f t="shared" si="519"/>
        <v/>
      </c>
      <c r="GH269" s="205">
        <f>IF($J269="",#N/A,SUM(GG$4:GG269))</f>
        <v>-2.9368362277223206</v>
      </c>
      <c r="GI269" s="205">
        <f>IF($J269="",#N/A,SUM(GG$4:GG269,GE$4:GE269,GC$4:GC269))</f>
        <v>-2.9368362277223206</v>
      </c>
      <c r="GJ269" s="200" t="str">
        <f t="shared" si="520"/>
        <v/>
      </c>
      <c r="GK269" s="203">
        <f>IF($J269="",#N/A,SUM(GJ$4:GJ269))</f>
        <v>0</v>
      </c>
      <c r="GL269" s="204" t="str">
        <f t="shared" si="521"/>
        <v/>
      </c>
      <c r="GM269" s="204">
        <f>IF($J269="",#N/A,SUM(GL$4:GL269))</f>
        <v>-1.6833790887309608</v>
      </c>
      <c r="GN269" s="205" t="str">
        <f t="shared" si="522"/>
        <v/>
      </c>
      <c r="GO269" s="205">
        <f>IF($J269="",#N/A,SUM(GN$4:GN269))</f>
        <v>0</v>
      </c>
      <c r="GP269" s="205">
        <f>IF($J269="",#N/A,SUM(GN$4:GN269,GL$4:GL269,GJ$4:GJ269))</f>
        <v>-1.6833790887309608</v>
      </c>
      <c r="GS269" s="54">
        <f t="shared" si="541"/>
        <v>0.23320264972285984</v>
      </c>
      <c r="GT269" s="54">
        <f>IF(GS269="",NA(),SUM($GS$4:GS269))</f>
        <v>7.6742329793416326</v>
      </c>
      <c r="GU269" s="54" t="str">
        <f t="shared" si="523"/>
        <v/>
      </c>
      <c r="GV269" s="54" t="e">
        <f>IF(GU269="",NA(),SUM($GU$4:GU269))</f>
        <v>#N/A</v>
      </c>
      <c r="GW269" s="54" t="str">
        <f t="shared" si="524"/>
        <v/>
      </c>
      <c r="GX269" s="54" t="e">
        <f>IF(GW269="",NA(),SUM($GW$4:GW269))</f>
        <v>#N/A</v>
      </c>
      <c r="GY269" s="54">
        <f t="shared" si="525"/>
        <v>0.23320264972285984</v>
      </c>
      <c r="GZ269" s="54">
        <f>IF(GY269="",NA(),SUM($GY$4:GY269))</f>
        <v>8.2177530979176758</v>
      </c>
      <c r="HA269" s="54" t="str">
        <f t="shared" si="526"/>
        <v/>
      </c>
      <c r="HB269" s="54" t="e">
        <f>IF(HA269="",NA(),SUM($HA$4:HA269))</f>
        <v>#N/A</v>
      </c>
      <c r="HC269" s="54" t="str">
        <f t="shared" si="527"/>
        <v/>
      </c>
      <c r="HD269" s="54" t="e">
        <f>IF(HC269="",NA(),SUM($HC$4:HC269))</f>
        <v>#N/A</v>
      </c>
      <c r="HE269" s="54" t="str">
        <f t="shared" si="528"/>
        <v/>
      </c>
      <c r="HF269" s="54" t="e">
        <f>IF(HE269="",NA(),SUM($HE$4:HE269))</f>
        <v>#N/A</v>
      </c>
      <c r="HG269" s="54" t="str">
        <f t="shared" si="529"/>
        <v/>
      </c>
      <c r="HH269" s="54" t="e">
        <f>IF(HG269="",NA(),SUM($HG$4:HG269))</f>
        <v>#N/A</v>
      </c>
      <c r="HI269" s="172">
        <f t="shared" si="542"/>
        <v>-1.0004055698256045</v>
      </c>
      <c r="HJ269" s="172">
        <f>IF($J269="",#N/A,SUM(HI$4:$HI269))</f>
        <v>-7.7589008866441977</v>
      </c>
      <c r="HK269" s="54" t="str">
        <f t="shared" si="530"/>
        <v/>
      </c>
      <c r="HL269" s="54">
        <f>IF($J269="",#N/A,SUM($HK$4:HK269))</f>
        <v>-2.5639086588699724</v>
      </c>
      <c r="HM269" s="54" t="str">
        <f t="shared" si="531"/>
        <v/>
      </c>
      <c r="HN269" s="54">
        <f>IF($J269="",#N/A,SUM($HM$4:HM269))</f>
        <v>0.957348620978966</v>
      </c>
      <c r="HO269" s="54" t="str">
        <f t="shared" si="532"/>
        <v/>
      </c>
      <c r="HP269" s="54">
        <f>IF($J269="",#N/A,SUM($HO$4:HO269))</f>
        <v>-0.75682593815002108</v>
      </c>
      <c r="HQ269" s="54" t="str">
        <f t="shared" si="533"/>
        <v/>
      </c>
      <c r="HR269" s="54">
        <f>IF($J269="",#N/A,SUM($HQ$4:HQ269))</f>
        <v>-14.596039294292455</v>
      </c>
      <c r="HS269" s="54" t="str">
        <f t="shared" si="534"/>
        <v/>
      </c>
      <c r="HT269" s="54">
        <f>IF($J269="",#N/A,SUM($HS$4:HS269))</f>
        <v>13.992432834598167</v>
      </c>
      <c r="HU269" s="65">
        <f t="shared" si="535"/>
        <v>-0.7672029201027446</v>
      </c>
      <c r="HV269" s="65">
        <f>IF($J269="",#N/A,SUM(HU$4:$HU269))</f>
        <v>1.8881258828420211</v>
      </c>
    </row>
    <row r="270" spans="1:230" x14ac:dyDescent="0.25">
      <c r="A270" s="51" t="s">
        <v>48</v>
      </c>
      <c r="B270" s="52" t="s">
        <v>4567</v>
      </c>
      <c r="C270" s="229">
        <f t="shared" si="436"/>
        <v>3</v>
      </c>
      <c r="D270" s="219" t="str">
        <f>_xlfn.XLOOKUP(A270,[1]SP500!$A$2:$A$502,[1]SP500!$D$2:$D$502,"N")</f>
        <v>Y</v>
      </c>
      <c r="E270" s="51" t="str">
        <f>IFERROR(_xlfn.XLOOKUP(A270,[1]SP500!$A$2:$A$655,[1]SP500!$B$2:$B$655),"")</f>
        <v>XLY</v>
      </c>
      <c r="F270" s="290">
        <v>45783</v>
      </c>
      <c r="G270" s="51" t="str">
        <f t="shared" si="437"/>
        <v>BMO</v>
      </c>
      <c r="H270" s="51" t="str">
        <f t="shared" si="438"/>
        <v>s</v>
      </c>
      <c r="I270" s="344">
        <v>247.27</v>
      </c>
      <c r="J270" s="124">
        <v>256.14</v>
      </c>
      <c r="K270" s="55">
        <f t="shared" si="439"/>
        <v>3.5871719173373139E-2</v>
      </c>
      <c r="L270" s="67">
        <f t="shared" si="440"/>
        <v>44.349999999999682</v>
      </c>
      <c r="M270" s="57">
        <f t="shared" si="441"/>
        <v>1.7000000000002728</v>
      </c>
      <c r="N270" s="102">
        <f t="shared" si="442"/>
        <v>44.349999999999682</v>
      </c>
      <c r="O270" s="57">
        <f>IF(N270="",#N/A,SUM($N$4:N270))</f>
        <v>588.76432781837343</v>
      </c>
      <c r="P270" s="65">
        <f t="shared" si="536"/>
        <v>0.59786198622288289</v>
      </c>
      <c r="Q270" s="172">
        <f>IF($N270="",#N/A,SUM($P$4:P270))</f>
        <v>13.211881191444419</v>
      </c>
      <c r="R270" s="279">
        <f t="shared" si="443"/>
        <v>2.4035473357425357</v>
      </c>
      <c r="S270" s="51" t="str">
        <f t="shared" si="444"/>
        <v>SW</v>
      </c>
      <c r="T270" s="51" t="s">
        <v>2828</v>
      </c>
      <c r="U270" s="56">
        <f t="shared" si="445"/>
        <v>247.27</v>
      </c>
      <c r="V270" s="56" t="s">
        <v>4460</v>
      </c>
      <c r="W270" s="142">
        <v>5</v>
      </c>
      <c r="X270" s="145">
        <f t="shared" si="446"/>
        <v>1236.3500000000001</v>
      </c>
      <c r="Y270" s="140">
        <f t="shared" si="447"/>
        <v>5</v>
      </c>
      <c r="Z270" s="123">
        <v>256.48</v>
      </c>
      <c r="AA270" s="102">
        <f t="shared" si="448"/>
        <v>46.049999999999955</v>
      </c>
      <c r="AB270" s="102">
        <f t="shared" si="449"/>
        <v>23.449999999999818</v>
      </c>
      <c r="AC270" s="123">
        <v>251.96</v>
      </c>
      <c r="AD270" s="155">
        <f t="shared" si="450"/>
        <v>23.449999999999818</v>
      </c>
      <c r="AE270" s="545">
        <f t="shared" si="451"/>
        <v>0.31611868268154669</v>
      </c>
      <c r="AF270" s="57">
        <f>IF($AC270="",#N/A,SUM(AD$4:AD270))</f>
        <v>32.250339768177241</v>
      </c>
      <c r="AG270" s="102">
        <f t="shared" si="452"/>
        <v>-20.899999999999864</v>
      </c>
      <c r="AH270" s="56" t="s">
        <v>2507</v>
      </c>
      <c r="AI270" s="65">
        <f t="shared" si="453"/>
        <v>0.62077890564969396</v>
      </c>
      <c r="AJ270" s="350">
        <f>IF(AI270="",#N/A,SUM($AI$4:AI270))</f>
        <v>10.808333855701884</v>
      </c>
      <c r="AK270" s="57">
        <f t="shared" si="454"/>
        <v>46.049999999999955</v>
      </c>
      <c r="AL270" s="349">
        <f>IF(AI270="",#N/A,IF(AH270="Skip",SUM($AK$4:AK270),SUM($AK$4:AK270)))</f>
        <v>414.83759149281468</v>
      </c>
      <c r="AM270" s="65">
        <f t="shared" si="537"/>
        <v>0.31611868268154669</v>
      </c>
      <c r="AN270" s="210"/>
      <c r="AO270" s="65">
        <f t="shared" si="455"/>
        <v>0.31611868268154669</v>
      </c>
      <c r="AP270" s="65">
        <f>IF($AC270="",#N/A,SUM(AO$4:AO270))</f>
        <v>2.3819803864672999</v>
      </c>
      <c r="AQ270" s="65" t="str">
        <f t="shared" si="456"/>
        <v/>
      </c>
      <c r="AR270" s="65">
        <f>IF($AC270="",#N/A,SUM(AQ$4:AQ270))</f>
        <v>-4.5506064883221358</v>
      </c>
      <c r="AS270" s="65" t="str">
        <f t="shared" si="457"/>
        <v/>
      </c>
      <c r="AT270" s="65">
        <f>IF($AC270="",#N/A,SUM(AS$4:AS270))</f>
        <v>4.3728706673784004</v>
      </c>
      <c r="AU270" s="57">
        <f t="shared" si="538"/>
        <v>23.449999999999818</v>
      </c>
      <c r="AV270" s="57">
        <f>IF($AC270="",#N/A,SUM(AU$4:AU270))</f>
        <v>20.122490661046527</v>
      </c>
      <c r="AW270" s="57" t="str">
        <f t="shared" si="539"/>
        <v/>
      </c>
      <c r="AX270" s="57">
        <f>IF($AC270="",#N/A,SUM(AW$4:AW270))</f>
        <v>-299.03053243920203</v>
      </c>
      <c r="AY270" s="57" t="str">
        <f t="shared" si="540"/>
        <v/>
      </c>
      <c r="AZ270" s="57">
        <f>IF($AC270="",#N/A,SUM(AY$4:AY270))</f>
        <v>311.15838154633275</v>
      </c>
      <c r="BA270" s="57">
        <f>IF(AD270="",#N/A,SUM($AD$4:AD270))</f>
        <v>32.250339768177241</v>
      </c>
      <c r="BC270" s="51" t="str">
        <f t="shared" si="458"/>
        <v/>
      </c>
      <c r="BD270" s="51" t="str">
        <f t="shared" si="459"/>
        <v/>
      </c>
      <c r="BE270" s="51">
        <f t="shared" si="460"/>
        <v>1</v>
      </c>
      <c r="BF270" s="51" t="str">
        <f t="shared" si="461"/>
        <v>Long</v>
      </c>
      <c r="BG270" s="51" t="str">
        <f t="shared" si="462"/>
        <v/>
      </c>
      <c r="BH270" s="51" t="str">
        <f t="shared" si="463"/>
        <v/>
      </c>
      <c r="BI270" s="51" t="str">
        <f t="shared" si="464"/>
        <v/>
      </c>
      <c r="BK270" s="65">
        <f t="shared" si="435"/>
        <v>5.1880819193807992E-2</v>
      </c>
      <c r="BL270" s="65">
        <f t="shared" si="434"/>
        <v>-0.14279664314157942</v>
      </c>
      <c r="BM270" s="65">
        <f>IFERROR(Q270/COUNTA($J$4:J270),#N/A)</f>
        <v>4.9482701091552131E-2</v>
      </c>
      <c r="BO270" s="489">
        <f>IF(J270="",#N/A,IF(S270="SW",(COUNTIFS(K$4:$K270,"&gt;0",S$4:$S270,"SW")/COUNTIF(S$4:$S270,"SW")),#N/A))</f>
        <v>0.4925373134328358</v>
      </c>
      <c r="BP270" s="489" t="e">
        <f>IF($J270="",#N/A,IF($S270="DWN",(COUNTIFS($K$4:$K270,"&lt;0",$S$4:$S270,"DWN")/COUNTIF($S$4:$S270,"DWN")),#N/A))</f>
        <v>#N/A</v>
      </c>
      <c r="BQ270" s="489" t="e">
        <f>IF($J270="",#N/A,IF($S270="UP",(COUNTIFS($K$4:$K270,"&gt;0",$S$4:$S270,"UP")/COUNTIF($S$4:$S270,"UP")),#N/A))</f>
        <v>#N/A</v>
      </c>
      <c r="BR270" s="489">
        <f>IF(J270="",#N/A,COUNTIF($K$4:K270,"&gt;0")/COUNT($J$4:J270))</f>
        <v>0.449438202247191</v>
      </c>
      <c r="BS270" s="65">
        <f t="shared" si="465"/>
        <v>0.59786198622288289</v>
      </c>
      <c r="BT270" s="65" t="str">
        <f t="shared" si="466"/>
        <v/>
      </c>
      <c r="BU270" s="65" t="str">
        <f t="shared" si="467"/>
        <v/>
      </c>
      <c r="BV270" s="65" t="str">
        <f t="shared" si="468"/>
        <v/>
      </c>
      <c r="BW270" s="128" t="str">
        <f t="shared" si="469"/>
        <v/>
      </c>
      <c r="BX270" s="128">
        <f>IF($J270="",#N/A,SUM($BW$4:BW270))</f>
        <v>-313.79959683283596</v>
      </c>
      <c r="BY270" s="131" t="str">
        <f t="shared" si="470"/>
        <v/>
      </c>
      <c r="BZ270" s="131">
        <f>IF($J270="",#N/A,SUM($BY$4:BY270))</f>
        <v>862.94234038933416</v>
      </c>
      <c r="CA270" s="133">
        <f t="shared" si="471"/>
        <v>44.349999999999682</v>
      </c>
      <c r="CB270" s="133">
        <f>IF($J270="",#N/A,SUM($CA$4:CA270))</f>
        <v>39.621584261875228</v>
      </c>
      <c r="CC270" s="194" t="str">
        <f t="shared" si="472"/>
        <v/>
      </c>
      <c r="CD270" s="194">
        <f>IF($J270="",#N/A,SUM($CC$4:CC270))</f>
        <v>-4.7511291711510797</v>
      </c>
      <c r="CE270" s="195" t="str">
        <f t="shared" si="473"/>
        <v/>
      </c>
      <c r="CF270" s="195">
        <f>IF($J270="",#N/A,SUM($CE$4:CE270))</f>
        <v>14.695680212892579</v>
      </c>
      <c r="CG270" s="196">
        <f t="shared" si="474"/>
        <v>0.59786198622288289</v>
      </c>
      <c r="CH270" s="196">
        <f>IF($J270="",#N/A,SUM($CG$4:CG270))</f>
        <v>3.2673301497029255</v>
      </c>
      <c r="CI270" s="200" t="str">
        <f t="shared" si="475"/>
        <v/>
      </c>
      <c r="CJ270" s="203">
        <f>IF($J270="",#N/A,SUM(CI$4:CI270))</f>
        <v>0</v>
      </c>
      <c r="CK270" s="204" t="str">
        <f t="shared" si="476"/>
        <v/>
      </c>
      <c r="CL270" s="204">
        <f>IF($J270="",#N/A,SUM(CK$4:CK270))</f>
        <v>2.3607894150410869</v>
      </c>
      <c r="CM270" s="205" t="str">
        <f t="shared" si="477"/>
        <v/>
      </c>
      <c r="CN270" s="205">
        <f>IF($J270="",#N/A,SUM(CM$4:CM270))</f>
        <v>2.5131182152625313</v>
      </c>
      <c r="CO270" s="205">
        <f>IF($J270="",#N/A,SUM(CM$4:CM270,CK$4:CK270,CI$4:CI270))</f>
        <v>4.8739076303036191</v>
      </c>
      <c r="CP270" s="200" t="str">
        <f t="shared" si="478"/>
        <v/>
      </c>
      <c r="CQ270" s="203">
        <f>IF($J270="",#N/A,SUM(CP$4:CP270))</f>
        <v>-1.489321591123322</v>
      </c>
      <c r="CR270" s="204" t="str">
        <f t="shared" si="479"/>
        <v/>
      </c>
      <c r="CS270" s="204">
        <f>IF($J270="",#N/A,SUM(CR$4:CR270))</f>
        <v>4.6135245886817966</v>
      </c>
      <c r="CT270" s="205" t="str">
        <f t="shared" si="480"/>
        <v/>
      </c>
      <c r="CU270" s="205">
        <f>IF($J270="",#N/A,SUM(CT$4:CT270))</f>
        <v>-2.9040943753548785</v>
      </c>
      <c r="CV270" s="205">
        <f>IF($J270="",#N/A,SUM(CT$4:CT270,CR$4:CR270,CP$4:CP270))</f>
        <v>0.22010862220359617</v>
      </c>
      <c r="CW270" s="200" t="str">
        <f t="shared" si="481"/>
        <v/>
      </c>
      <c r="CX270" s="203">
        <f>IF($J270="",#N/A,SUM(CW$4:CW270))</f>
        <v>-0.33865165024245297</v>
      </c>
      <c r="CY270" s="204" t="str">
        <f t="shared" si="482"/>
        <v/>
      </c>
      <c r="CZ270" s="204">
        <f>IF($J270="",#N/A,SUM(CY$4:CY270))</f>
        <v>0.30198222879878239</v>
      </c>
      <c r="DA270" s="205">
        <f t="shared" si="483"/>
        <v>0.59786198622288289</v>
      </c>
      <c r="DB270" s="205">
        <f>IF($J270="",#N/A,SUM(DA$4:DA270))</f>
        <v>-1.6929809429332021</v>
      </c>
      <c r="DC270" s="205">
        <f>IF($J270="",#N/A,SUM(DA$4:DA270,CY$4:CY270,CW$4:CW270))</f>
        <v>-1.7296503643768726</v>
      </c>
      <c r="DD270" s="200" t="str">
        <f t="shared" si="484"/>
        <v/>
      </c>
      <c r="DE270" s="203">
        <f>IF($J270="",#N/A,SUM(DD$4:DD270))</f>
        <v>0.24769343410817113</v>
      </c>
      <c r="DF270" s="204" t="str">
        <f t="shared" si="485"/>
        <v/>
      </c>
      <c r="DG270" s="204">
        <f>IF($J270="",#N/A,SUM(DF$4:DF270))</f>
        <v>1.7624645309390978</v>
      </c>
      <c r="DH270" s="205" t="str">
        <f t="shared" si="486"/>
        <v/>
      </c>
      <c r="DI270" s="205">
        <f>IF($J270="",#N/A,SUM(DH$4:DH270))</f>
        <v>-2.7812008102163399</v>
      </c>
      <c r="DJ270" s="205">
        <f>IF($J270="",#N/A,SUM(DH$4:DH270,DF$4:DF270,DD$4:DD270))</f>
        <v>-0.77104284516907118</v>
      </c>
      <c r="DK270" s="200" t="str">
        <f t="shared" si="487"/>
        <v/>
      </c>
      <c r="DL270" s="203">
        <f>IF($J270="",#N/A,SUM(DK$4:DK270))</f>
        <v>-1.2097286851272664</v>
      </c>
      <c r="DM270" s="204" t="str">
        <f t="shared" si="488"/>
        <v/>
      </c>
      <c r="DN270" s="204">
        <f>IF($J270="",#N/A,SUM(DM$4:DM270))</f>
        <v>3.0281848543081331</v>
      </c>
      <c r="DO270" s="205" t="str">
        <f t="shared" si="489"/>
        <v/>
      </c>
      <c r="DP270" s="205">
        <f>IF($J270="",#N/A,SUM(DO$4:DO270))</f>
        <v>2.700331529683047</v>
      </c>
      <c r="DQ270" s="205">
        <f>IF($J270="",#N/A,SUM(DO$4:DO270,DM$4:DM270,DK$4:DK270))</f>
        <v>4.518787698863914</v>
      </c>
      <c r="DR270" s="200" t="str">
        <f t="shared" si="490"/>
        <v/>
      </c>
      <c r="DS270" s="203">
        <f>IF($J270="",#N/A,SUM(DR$4:DR270))</f>
        <v>-0.55950946427675097</v>
      </c>
      <c r="DT270" s="204" t="str">
        <f t="shared" si="491"/>
        <v/>
      </c>
      <c r="DU270" s="204">
        <f>IF($J270="",#N/A,SUM(DT$4:DT270))</f>
        <v>-0.87082853884823752</v>
      </c>
      <c r="DV270" s="205" t="str">
        <f t="shared" si="492"/>
        <v/>
      </c>
      <c r="DW270" s="205">
        <f>IF($J270="",#N/A,SUM(DV$4:DV270))</f>
        <v>-1.5454397913873317</v>
      </c>
      <c r="DX270" s="205">
        <f>IF($J270="",#N/A,SUM(DV$4:DV270,DT$4:DT270,DR$4:DR270))</f>
        <v>-2.9757777945123198</v>
      </c>
      <c r="DY270" s="200" t="str">
        <f t="shared" si="493"/>
        <v/>
      </c>
      <c r="DZ270" s="203">
        <f>IF($J270="",#N/A,SUM(DY$4:DY270))</f>
        <v>-1.0460034109943892</v>
      </c>
      <c r="EA270" s="204" t="str">
        <f t="shared" si="494"/>
        <v/>
      </c>
      <c r="EB270" s="204">
        <f>IF($J270="",#N/A,SUM(EA$4:EA270))</f>
        <v>1.32347009195464</v>
      </c>
      <c r="EC270" s="205" t="str">
        <f t="shared" si="495"/>
        <v/>
      </c>
      <c r="ED270" s="205">
        <f>IF($J270="",#N/A,SUM(EC$4:EC270))</f>
        <v>4.5772092731053986</v>
      </c>
      <c r="EE270" s="205">
        <f>IF($J270="",#N/A,SUM(EC$4:EC270,EA$4:EA270,DY$4:DY270))</f>
        <v>4.8546759540656481</v>
      </c>
      <c r="EF270" s="200" t="str">
        <f t="shared" si="496"/>
        <v/>
      </c>
      <c r="EG270" s="203">
        <f>IF($J270="",#N/A,SUM(EF$4:EF270))</f>
        <v>-0.15098969023521425</v>
      </c>
      <c r="EH270" s="204" t="str">
        <f t="shared" si="497"/>
        <v/>
      </c>
      <c r="EI270" s="204">
        <f>IF($J270="",#N/A,SUM(EH$4:EH270))</f>
        <v>-2.0808348133873036</v>
      </c>
      <c r="EJ270" s="205" t="str">
        <f t="shared" si="498"/>
        <v/>
      </c>
      <c r="EK270" s="205">
        <f>IF($J270="",#N/A,SUM(EJ$4:EJ270))</f>
        <v>5.050388173053765</v>
      </c>
      <c r="EL270" s="205">
        <f>IF($J270="",#N/A,SUM(EJ$4:EJ270,EH$4:EH270,EF$4:EF270))</f>
        <v>2.818563669431247</v>
      </c>
      <c r="EM270" s="200" t="str">
        <f t="shared" si="499"/>
        <v/>
      </c>
      <c r="EN270" s="203">
        <f>IF($J270="",#N/A,SUM(EM$4:EM270))</f>
        <v>0</v>
      </c>
      <c r="EO270" s="204" t="str">
        <f t="shared" si="500"/>
        <v/>
      </c>
      <c r="EP270" s="204">
        <f>IF($J270="",#N/A,SUM(EO$4:EO270))</f>
        <v>1.7186739929507637</v>
      </c>
      <c r="EQ270" s="205" t="str">
        <f t="shared" si="501"/>
        <v/>
      </c>
      <c r="ER270" s="205">
        <f>IF($J270="",#N/A,SUM(EQ$4:EQ270))</f>
        <v>1.441536272249796</v>
      </c>
      <c r="ES270" s="205">
        <f>IF($J270="",#N/A,SUM(EQ$4:EQ270,EO$4:EO270,EM$4:EM270))</f>
        <v>3.160210265200559</v>
      </c>
      <c r="ET270" s="200" t="str">
        <f t="shared" si="502"/>
        <v/>
      </c>
      <c r="EU270" s="203">
        <f>IF($J270="",#N/A,SUM(ET$4:ET270))</f>
        <v>0</v>
      </c>
      <c r="EV270" s="204" t="str">
        <f t="shared" si="503"/>
        <v/>
      </c>
      <c r="EW270" s="204">
        <f>IF($J270="",#N/A,SUM(EV$4:EV270))</f>
        <v>2.6896999443708767</v>
      </c>
      <c r="EX270" s="205" t="str">
        <f t="shared" si="504"/>
        <v/>
      </c>
      <c r="EY270" s="205">
        <f>IF($J270="",#N/A,SUM(EX$4:EX270))</f>
        <v>0.27113250180669229</v>
      </c>
      <c r="EZ270" s="205">
        <f>IF($J270="",#N/A,SUM(EX$4:EX270,EV$4:EV270,ET$4:ET270))</f>
        <v>2.9608324461775686</v>
      </c>
      <c r="FA270" s="200" t="str">
        <f t="shared" si="505"/>
        <v/>
      </c>
      <c r="FB270" s="203">
        <f>IF($J270="",#N/A,SUM(FA$4:FA270))</f>
        <v>-0.27145310509113252</v>
      </c>
      <c r="FC270" s="204" t="str">
        <f t="shared" si="506"/>
        <v/>
      </c>
      <c r="FD270" s="204">
        <f>IF($J270="",#N/A,SUM(FC$4:FC270))</f>
        <v>1.3660078100500956</v>
      </c>
      <c r="FE270" s="205" t="str">
        <f t="shared" si="507"/>
        <v/>
      </c>
      <c r="FF270" s="205">
        <f>IF($J270="",#N/A,SUM(FE$4:FE270))</f>
        <v>-0.28811149078748233</v>
      </c>
      <c r="FG270" s="205">
        <f>IF($J270="",#N/A,SUM(FE$4:FE270,FC$4:FC270,FA$4:FA270))</f>
        <v>0.80644321417148113</v>
      </c>
      <c r="FH270" s="200" t="str">
        <f t="shared" si="508"/>
        <v/>
      </c>
      <c r="FI270" s="203">
        <f>IF($J270="",#N/A,SUM(FH$4:FH270))</f>
        <v>0</v>
      </c>
      <c r="FJ270" s="204" t="str">
        <f t="shared" si="509"/>
        <v/>
      </c>
      <c r="FK270" s="204">
        <f>IF($J270="",#N/A,SUM(FJ$4:FJ270))</f>
        <v>0</v>
      </c>
      <c r="FL270" s="205" t="str">
        <f t="shared" si="510"/>
        <v/>
      </c>
      <c r="FM270" s="205">
        <f>IF($J270="",#N/A,SUM(FL$4:FL270))</f>
        <v>0</v>
      </c>
      <c r="FN270" s="205">
        <f>IF($J270="",#N/A,SUM(FL$4:FL270,FJ$4:FJ270,FH$4:FH270))</f>
        <v>0</v>
      </c>
      <c r="FO270" s="200" t="str">
        <f t="shared" si="511"/>
        <v/>
      </c>
      <c r="FP270" s="203">
        <f>IF($J270="",#N/A,SUM(FO$4:FO270))</f>
        <v>0</v>
      </c>
      <c r="FQ270" s="204" t="str">
        <f t="shared" si="512"/>
        <v/>
      </c>
      <c r="FR270" s="204">
        <f>IF($J270="",#N/A,SUM(FQ$4:FQ270))</f>
        <v>0</v>
      </c>
      <c r="FS270" s="205" t="str">
        <f t="shared" si="513"/>
        <v/>
      </c>
      <c r="FT270" s="205">
        <f>IF($J270="",#N/A,SUM(FS$4:FS270))</f>
        <v>0</v>
      </c>
      <c r="FU270" s="205">
        <f>IF($J270="",#N/A,SUM(FS$4:FS270,FQ$4:FQ270,FO$4:FO270))</f>
        <v>0</v>
      </c>
      <c r="FV270" s="200" t="str">
        <f t="shared" si="514"/>
        <v/>
      </c>
      <c r="FW270" s="203">
        <f>IF($J270="",#N/A,SUM(FV$4:FV270))</f>
        <v>6.6834991831277585E-2</v>
      </c>
      <c r="FX270" s="204" t="str">
        <f t="shared" si="515"/>
        <v/>
      </c>
      <c r="FY270" s="204">
        <f>IF($J270="",#N/A,SUM(FX$4:FX270))</f>
        <v>-0.16102012791805576</v>
      </c>
      <c r="FZ270" s="205" t="str">
        <f t="shared" si="516"/>
        <v/>
      </c>
      <c r="GA270" s="205">
        <f>IF($J270="",#N/A,SUM(FZ$4:FZ270))</f>
        <v>-1.1377221770567538</v>
      </c>
      <c r="GB270" s="205">
        <f>IF($J270="",#N/A,SUM(FZ$4:FZ270,FX$4:FX270,FV$4:FV270))</f>
        <v>-1.2319073131435321</v>
      </c>
      <c r="GC270" s="200" t="str">
        <f t="shared" si="517"/>
        <v/>
      </c>
      <c r="GD270" s="203">
        <f>IF($J270="",#N/A,SUM(GC$4:GC270))</f>
        <v>0</v>
      </c>
      <c r="GE270" s="204" t="str">
        <f t="shared" si="518"/>
        <v/>
      </c>
      <c r="GF270" s="204">
        <f>IF($J270="",#N/A,SUM(GE$4:GE270))</f>
        <v>0</v>
      </c>
      <c r="GG270" s="205" t="str">
        <f t="shared" si="519"/>
        <v/>
      </c>
      <c r="GH270" s="205">
        <f>IF($J270="",#N/A,SUM(GG$4:GG270))</f>
        <v>-2.9368362277223206</v>
      </c>
      <c r="GI270" s="205">
        <f>IF($J270="",#N/A,SUM(GG$4:GG270,GE$4:GE270,GC$4:GC270))</f>
        <v>-2.9368362277223206</v>
      </c>
      <c r="GJ270" s="200" t="str">
        <f t="shared" si="520"/>
        <v/>
      </c>
      <c r="GK270" s="203">
        <f>IF($J270="",#N/A,SUM(GJ$4:GJ270))</f>
        <v>0</v>
      </c>
      <c r="GL270" s="204" t="str">
        <f t="shared" si="521"/>
        <v/>
      </c>
      <c r="GM270" s="204">
        <f>IF($J270="",#N/A,SUM(GL$4:GL270))</f>
        <v>-1.6833790887309608</v>
      </c>
      <c r="GN270" s="205" t="str">
        <f t="shared" si="522"/>
        <v/>
      </c>
      <c r="GO270" s="205">
        <f>IF($J270="",#N/A,SUM(GN$4:GN270))</f>
        <v>0</v>
      </c>
      <c r="GP270" s="205">
        <f>IF($J270="",#N/A,SUM(GN$4:GN270,GL$4:GL270,GJ$4:GJ270))</f>
        <v>-1.6833790887309608</v>
      </c>
      <c r="GS270" s="54">
        <f t="shared" si="541"/>
        <v>0.59786198622288289</v>
      </c>
      <c r="GT270" s="54">
        <f>IF(GS270="",NA(),SUM($GS$4:GS270))</f>
        <v>8.2720949655645164</v>
      </c>
      <c r="GU270" s="54" t="str">
        <f t="shared" si="523"/>
        <v/>
      </c>
      <c r="GV270" s="54" t="e">
        <f>IF(GU270="",NA(),SUM($GU$4:GU270))</f>
        <v>#N/A</v>
      </c>
      <c r="GW270" s="54">
        <f t="shared" si="524"/>
        <v>0.59786198622288289</v>
      </c>
      <c r="GX270" s="54">
        <f>IF(GW270="",NA(),SUM($GW$4:GW270))</f>
        <v>4.8054710387979238</v>
      </c>
      <c r="GY270" s="54" t="str">
        <f t="shared" si="525"/>
        <v/>
      </c>
      <c r="GZ270" s="54" t="e">
        <f>IF(GY270="",NA(),SUM($GY$4:GY270))</f>
        <v>#N/A</v>
      </c>
      <c r="HA270" s="54" t="str">
        <f t="shared" si="526"/>
        <v/>
      </c>
      <c r="HB270" s="54" t="e">
        <f>IF(HA270="",NA(),SUM($HA$4:HA270))</f>
        <v>#N/A</v>
      </c>
      <c r="HC270" s="54" t="str">
        <f t="shared" si="527"/>
        <v/>
      </c>
      <c r="HD270" s="54" t="e">
        <f>IF(HC270="",NA(),SUM($HC$4:HC270))</f>
        <v>#N/A</v>
      </c>
      <c r="HE270" s="54" t="str">
        <f t="shared" si="528"/>
        <v/>
      </c>
      <c r="HF270" s="54" t="e">
        <f>IF(HE270="",NA(),SUM($HE$4:HE270))</f>
        <v>#N/A</v>
      </c>
      <c r="HG270" s="54" t="str">
        <f t="shared" si="529"/>
        <v/>
      </c>
      <c r="HH270" s="54" t="e">
        <f>IF(HG270="",NA(),SUM($HG$4:HG270))</f>
        <v>#N/A</v>
      </c>
      <c r="HI270" s="172" t="str">
        <f t="shared" si="542"/>
        <v/>
      </c>
      <c r="HJ270" s="172">
        <f>IF($J270="",#N/A,SUM(HI$4:$HI270))</f>
        <v>-7.7589008866441977</v>
      </c>
      <c r="HK270" s="54" t="str">
        <f t="shared" si="530"/>
        <v/>
      </c>
      <c r="HL270" s="54">
        <f>IF($J270="",#N/A,SUM($HK$4:HK270))</f>
        <v>-2.5639086588699724</v>
      </c>
      <c r="HM270" s="54" t="str">
        <f t="shared" si="531"/>
        <v/>
      </c>
      <c r="HN270" s="54">
        <f>IF($J270="",#N/A,SUM($HM$4:HM270))</f>
        <v>0.957348620978966</v>
      </c>
      <c r="HO270" s="54" t="str">
        <f t="shared" si="532"/>
        <v/>
      </c>
      <c r="HP270" s="54">
        <f>IF($J270="",#N/A,SUM($HO$4:HO270))</f>
        <v>-0.75682593815002108</v>
      </c>
      <c r="HQ270" s="54">
        <f t="shared" si="533"/>
        <v>-0.2817433035413362</v>
      </c>
      <c r="HR270" s="54">
        <f>IF($J270="",#N/A,SUM($HQ$4:HQ270))</f>
        <v>-14.877782597833791</v>
      </c>
      <c r="HS270" s="54" t="str">
        <f t="shared" si="534"/>
        <v/>
      </c>
      <c r="HT270" s="54">
        <f>IF($J270="",#N/A,SUM($HS$4:HS270))</f>
        <v>13.992432834598167</v>
      </c>
      <c r="HU270" s="65">
        <f t="shared" si="535"/>
        <v>0.31611868268154669</v>
      </c>
      <c r="HV270" s="65">
        <f>IF($J270="",#N/A,SUM(HU$4:$HU270))</f>
        <v>2.2042445655235676</v>
      </c>
    </row>
    <row r="271" spans="1:230" x14ac:dyDescent="0.25">
      <c r="A271" s="51" t="s">
        <v>1468</v>
      </c>
      <c r="B271" s="52" t="s">
        <v>4567</v>
      </c>
      <c r="C271" s="229">
        <f t="shared" si="436"/>
        <v>2</v>
      </c>
      <c r="D271" s="219" t="str">
        <f>_xlfn.XLOOKUP(A271,[1]SP500!$A$2:$A$502,[1]SP500!$D$2:$D$502,"N")</f>
        <v>Y</v>
      </c>
      <c r="E271" s="51" t="str">
        <f>IFERROR(_xlfn.XLOOKUP(A271,[1]SP500!$A$2:$A$655,[1]SP500!$B$2:$B$655),"")</f>
        <v>XLF</v>
      </c>
      <c r="F271" s="290">
        <v>45783</v>
      </c>
      <c r="G271" s="51" t="str">
        <f t="shared" si="437"/>
        <v>BMO</v>
      </c>
      <c r="H271" s="51" t="str">
        <f t="shared" si="438"/>
        <v>s</v>
      </c>
      <c r="I271" s="344">
        <v>79.25</v>
      </c>
      <c r="J271" s="124">
        <v>78.430000000000007</v>
      </c>
      <c r="K271" s="55">
        <f t="shared" si="439"/>
        <v>-1.0347003154574047E-2</v>
      </c>
      <c r="L271" s="67">
        <f t="shared" si="440"/>
        <v>11.480000000000018</v>
      </c>
      <c r="M271" s="57">
        <f t="shared" si="441"/>
        <v>4.3399999999999181</v>
      </c>
      <c r="N271" s="102">
        <f t="shared" si="442"/>
        <v>11.480000000000018</v>
      </c>
      <c r="O271" s="57">
        <f>IF(N271="",#N/A,SUM($N$4:N271))</f>
        <v>600.24432781837345</v>
      </c>
      <c r="P271" s="65">
        <f t="shared" si="536"/>
        <v>0.17245005257623583</v>
      </c>
      <c r="Q271" s="172">
        <f>IF($N271="",#N/A,SUM($P$4:P271))</f>
        <v>13.384331244020656</v>
      </c>
      <c r="R271" s="279">
        <f t="shared" si="443"/>
        <v>2.3383528036710342</v>
      </c>
      <c r="S271" s="51" t="str">
        <f t="shared" si="444"/>
        <v>Dwn</v>
      </c>
      <c r="T271" s="51" t="s">
        <v>4462</v>
      </c>
      <c r="U271" s="56">
        <f t="shared" si="445"/>
        <v>79.25</v>
      </c>
      <c r="V271" s="56" t="s">
        <v>4458</v>
      </c>
      <c r="W271" s="142">
        <v>14</v>
      </c>
      <c r="X271" s="145">
        <f t="shared" si="446"/>
        <v>1109.5</v>
      </c>
      <c r="Y271" s="140">
        <f t="shared" si="447"/>
        <v>14</v>
      </c>
      <c r="Z271" s="123">
        <v>78.12</v>
      </c>
      <c r="AA271" s="102">
        <f t="shared" si="448"/>
        <v>15.819999999999936</v>
      </c>
      <c r="AB271" s="102">
        <f t="shared" si="449"/>
        <v>-0.42000000000007276</v>
      </c>
      <c r="AC271" s="124">
        <v>79.28</v>
      </c>
      <c r="AD271" s="155">
        <f t="shared" si="450"/>
        <v>-0.42000000000007276</v>
      </c>
      <c r="AE271" s="545">
        <f t="shared" si="451"/>
        <v>-6.3091482649853207E-3</v>
      </c>
      <c r="AF271" s="57">
        <f>IF($AC271="",#N/A,SUM(AD$4:AD271))</f>
        <v>31.830339768177168</v>
      </c>
      <c r="AG271" s="102">
        <f t="shared" si="452"/>
        <v>-11.900000000000091</v>
      </c>
      <c r="AH271" s="56" t="s">
        <v>2507</v>
      </c>
      <c r="AI271" s="65">
        <f t="shared" si="453"/>
        <v>0.2376445846477383</v>
      </c>
      <c r="AJ271" s="350">
        <f>IF(AI271="",#N/A,SUM($AI$4:AI271))</f>
        <v>11.045978440349622</v>
      </c>
      <c r="AK271" s="57">
        <f t="shared" si="454"/>
        <v>15.819999999999936</v>
      </c>
      <c r="AL271" s="349">
        <f>IF(AI271="",#N/A,IF(AH271="Skip",SUM($AK$4:AK271),SUM($AK$4:AK271)))</f>
        <v>430.65759149281462</v>
      </c>
      <c r="AM271" s="65">
        <f t="shared" si="537"/>
        <v>-6.3091482649853207E-3</v>
      </c>
      <c r="AN271" s="210"/>
      <c r="AO271" s="65" t="str">
        <f t="shared" si="455"/>
        <v/>
      </c>
      <c r="AP271" s="65">
        <f>IF($AC271="",#N/A,SUM(AO$4:AO271))</f>
        <v>2.3819803864672999</v>
      </c>
      <c r="AQ271" s="65" t="str">
        <f t="shared" si="456"/>
        <v/>
      </c>
      <c r="AR271" s="65">
        <f>IF($AC271="",#N/A,SUM(AQ$4:AQ271))</f>
        <v>-4.5506064883221358</v>
      </c>
      <c r="AS271" s="65">
        <f t="shared" si="457"/>
        <v>-6.3091482649853207E-3</v>
      </c>
      <c r="AT271" s="65">
        <f>IF($AC271="",#N/A,SUM(AS$4:AS271))</f>
        <v>4.3665615191134153</v>
      </c>
      <c r="AU271" s="57" t="str">
        <f t="shared" si="538"/>
        <v/>
      </c>
      <c r="AV271" s="57">
        <f>IF($AC271="",#N/A,SUM(AU$4:AU271))</f>
        <v>20.122490661046527</v>
      </c>
      <c r="AW271" s="57" t="str">
        <f t="shared" si="539"/>
        <v/>
      </c>
      <c r="AX271" s="57">
        <f>IF($AC271="",#N/A,SUM(AW$4:AW271))</f>
        <v>-299.03053243920203</v>
      </c>
      <c r="AY271" s="57">
        <f t="shared" si="540"/>
        <v>-0.42000000000007276</v>
      </c>
      <c r="AZ271" s="57">
        <f>IF($AC271="",#N/A,SUM(AY$4:AY271))</f>
        <v>310.73838154633268</v>
      </c>
      <c r="BA271" s="57">
        <f>IF(AD271="",#N/A,SUM($AD$4:AD271))</f>
        <v>31.830339768177168</v>
      </c>
      <c r="BC271" s="51" t="str">
        <f t="shared" si="458"/>
        <v/>
      </c>
      <c r="BD271" s="51" t="str">
        <f t="shared" si="459"/>
        <v/>
      </c>
      <c r="BE271" s="51" t="str">
        <f t="shared" si="460"/>
        <v/>
      </c>
      <c r="BF271" s="51" t="str">
        <f t="shared" si="461"/>
        <v>Short</v>
      </c>
      <c r="BG271" s="51">
        <f t="shared" si="462"/>
        <v>1</v>
      </c>
      <c r="BH271" s="51" t="str">
        <f t="shared" si="463"/>
        <v/>
      </c>
      <c r="BI271" s="51" t="str">
        <f t="shared" si="464"/>
        <v/>
      </c>
      <c r="BK271" s="65">
        <f t="shared" si="435"/>
        <v>6.5809982794792637E-2</v>
      </c>
      <c r="BL271" s="65">
        <f t="shared" si="434"/>
        <v>-0.15154254072403936</v>
      </c>
      <c r="BM271" s="65">
        <f>IFERROR(Q271/COUNTA($J$4:J271),#N/A)</f>
        <v>4.9941534492614389E-2</v>
      </c>
      <c r="BO271" s="489" t="e">
        <f>IF(J271="",#N/A,IF(S271="SW",(COUNTIFS(K$4:$K271,"&gt;0",S$4:$S271,"SW")/COUNTIF(S$4:$S271,"SW")),#N/A))</f>
        <v>#N/A</v>
      </c>
      <c r="BP271" s="489">
        <f>IF($J271="",#N/A,IF($S271="DWN",(COUNTIFS($K$4:$K271,"&lt;0",$S$4:$S271,"DWN")/COUNTIF($S$4:$S271,"DWN")),#N/A))</f>
        <v>0.58823529411764708</v>
      </c>
      <c r="BQ271" s="489" t="e">
        <f>IF($J271="",#N/A,IF($S271="UP",(COUNTIFS($K$4:$K271,"&gt;0",$S$4:$S271,"UP")/COUNTIF($S$4:$S271,"UP")),#N/A))</f>
        <v>#N/A</v>
      </c>
      <c r="BR271" s="489">
        <f>IF(J271="",#N/A,COUNTIF($K$4:K271,"&gt;0")/COUNT($J$4:J271))</f>
        <v>0.44776119402985076</v>
      </c>
      <c r="BS271" s="65" t="str">
        <f t="shared" si="465"/>
        <v/>
      </c>
      <c r="BT271" s="65" t="str">
        <f t="shared" si="466"/>
        <v/>
      </c>
      <c r="BU271" s="65">
        <f t="shared" si="467"/>
        <v>0.17245005257623583</v>
      </c>
      <c r="BV271" s="65" t="str">
        <f t="shared" si="468"/>
        <v/>
      </c>
      <c r="BW271" s="128" t="str">
        <f t="shared" si="469"/>
        <v/>
      </c>
      <c r="BX271" s="128">
        <f>IF($J271="",#N/A,SUM($BW$4:BW271))</f>
        <v>-313.79959683283596</v>
      </c>
      <c r="BY271" s="131">
        <f t="shared" si="470"/>
        <v>11.480000000000018</v>
      </c>
      <c r="BZ271" s="131">
        <f>IF($J271="",#N/A,SUM($BY$4:BY271))</f>
        <v>874.42234038933418</v>
      </c>
      <c r="CA271" s="133" t="str">
        <f t="shared" si="471"/>
        <v/>
      </c>
      <c r="CB271" s="133">
        <f>IF($J271="",#N/A,SUM($CA$4:CA271))</f>
        <v>39.621584261875228</v>
      </c>
      <c r="CC271" s="194" t="str">
        <f t="shared" si="472"/>
        <v/>
      </c>
      <c r="CD271" s="194">
        <f>IF($J271="",#N/A,SUM($CC$4:CC271))</f>
        <v>-4.7511291711510797</v>
      </c>
      <c r="CE271" s="195">
        <f t="shared" si="473"/>
        <v>0.17245005257623583</v>
      </c>
      <c r="CF271" s="195">
        <f>IF($J271="",#N/A,SUM($CE$4:CE271))</f>
        <v>14.868130265468816</v>
      </c>
      <c r="CG271" s="196" t="str">
        <f t="shared" si="474"/>
        <v/>
      </c>
      <c r="CH271" s="196">
        <f>IF($J271="",#N/A,SUM($CG$4:CG271))</f>
        <v>3.2673301497029255</v>
      </c>
      <c r="CI271" s="200" t="str">
        <f t="shared" si="475"/>
        <v/>
      </c>
      <c r="CJ271" s="203">
        <f>IF($J271="",#N/A,SUM(CI$4:CI271))</f>
        <v>0</v>
      </c>
      <c r="CK271" s="204" t="str">
        <f t="shared" si="476"/>
        <v/>
      </c>
      <c r="CL271" s="204">
        <f>IF($J271="",#N/A,SUM(CK$4:CK271))</f>
        <v>2.3607894150410869</v>
      </c>
      <c r="CM271" s="205" t="str">
        <f t="shared" si="477"/>
        <v/>
      </c>
      <c r="CN271" s="205">
        <f>IF($J271="",#N/A,SUM(CM$4:CM271))</f>
        <v>2.5131182152625313</v>
      </c>
      <c r="CO271" s="205">
        <f>IF($J271="",#N/A,SUM(CM$4:CM271,CK$4:CK271,CI$4:CI271))</f>
        <v>4.8739076303036191</v>
      </c>
      <c r="CP271" s="200" t="str">
        <f t="shared" si="478"/>
        <v/>
      </c>
      <c r="CQ271" s="203">
        <f>IF($J271="",#N/A,SUM(CP$4:CP271))</f>
        <v>-1.489321591123322</v>
      </c>
      <c r="CR271" s="204" t="str">
        <f t="shared" si="479"/>
        <v/>
      </c>
      <c r="CS271" s="204">
        <f>IF($J271="",#N/A,SUM(CR$4:CR271))</f>
        <v>4.6135245886817966</v>
      </c>
      <c r="CT271" s="205" t="str">
        <f t="shared" si="480"/>
        <v/>
      </c>
      <c r="CU271" s="205">
        <f>IF($J271="",#N/A,SUM(CT$4:CT271))</f>
        <v>-2.9040943753548785</v>
      </c>
      <c r="CV271" s="205">
        <f>IF($J271="",#N/A,SUM(CT$4:CT271,CR$4:CR271,CP$4:CP271))</f>
        <v>0.22010862220359617</v>
      </c>
      <c r="CW271" s="200" t="str">
        <f t="shared" si="481"/>
        <v/>
      </c>
      <c r="CX271" s="203">
        <f>IF($J271="",#N/A,SUM(CW$4:CW271))</f>
        <v>-0.33865165024245297</v>
      </c>
      <c r="CY271" s="204" t="str">
        <f t="shared" si="482"/>
        <v/>
      </c>
      <c r="CZ271" s="204">
        <f>IF($J271="",#N/A,SUM(CY$4:CY271))</f>
        <v>0.30198222879878239</v>
      </c>
      <c r="DA271" s="205" t="str">
        <f t="shared" si="483"/>
        <v/>
      </c>
      <c r="DB271" s="205">
        <f>IF($J271="",#N/A,SUM(DA$4:DA271))</f>
        <v>-1.6929809429332021</v>
      </c>
      <c r="DC271" s="205">
        <f>IF($J271="",#N/A,SUM(DA$4:DA271,CY$4:CY271,CW$4:CW271))</f>
        <v>-1.7296503643768726</v>
      </c>
      <c r="DD271" s="200" t="str">
        <f t="shared" si="484"/>
        <v/>
      </c>
      <c r="DE271" s="203">
        <f>IF($J271="",#N/A,SUM(DD$4:DD271))</f>
        <v>0.24769343410817113</v>
      </c>
      <c r="DF271" s="204" t="str">
        <f t="shared" si="485"/>
        <v/>
      </c>
      <c r="DG271" s="204">
        <f>IF($J271="",#N/A,SUM(DF$4:DF271))</f>
        <v>1.7624645309390978</v>
      </c>
      <c r="DH271" s="205" t="str">
        <f t="shared" si="486"/>
        <v/>
      </c>
      <c r="DI271" s="205">
        <f>IF($J271="",#N/A,SUM(DH$4:DH271))</f>
        <v>-2.7812008102163399</v>
      </c>
      <c r="DJ271" s="205">
        <f>IF($J271="",#N/A,SUM(DH$4:DH271,DF$4:DF271,DD$4:DD271))</f>
        <v>-0.77104284516907118</v>
      </c>
      <c r="DK271" s="200" t="str">
        <f t="shared" si="487"/>
        <v/>
      </c>
      <c r="DL271" s="203">
        <f>IF($J271="",#N/A,SUM(DK$4:DK271))</f>
        <v>-1.2097286851272664</v>
      </c>
      <c r="DM271" s="204" t="str">
        <f t="shared" si="488"/>
        <v/>
      </c>
      <c r="DN271" s="204">
        <f>IF($J271="",#N/A,SUM(DM$4:DM271))</f>
        <v>3.0281848543081331</v>
      </c>
      <c r="DO271" s="205" t="str">
        <f t="shared" si="489"/>
        <v/>
      </c>
      <c r="DP271" s="205">
        <f>IF($J271="",#N/A,SUM(DO$4:DO271))</f>
        <v>2.700331529683047</v>
      </c>
      <c r="DQ271" s="205">
        <f>IF($J271="",#N/A,SUM(DO$4:DO271,DM$4:DM271,DK$4:DK271))</f>
        <v>4.518787698863914</v>
      </c>
      <c r="DR271" s="200" t="str">
        <f t="shared" si="490"/>
        <v/>
      </c>
      <c r="DS271" s="203">
        <f>IF($J271="",#N/A,SUM(DR$4:DR271))</f>
        <v>-0.55950946427675097</v>
      </c>
      <c r="DT271" s="204">
        <f t="shared" si="491"/>
        <v>0.17245005257623583</v>
      </c>
      <c r="DU271" s="204">
        <f>IF($J271="",#N/A,SUM(DT$4:DT271))</f>
        <v>-0.69837848627200172</v>
      </c>
      <c r="DV271" s="205" t="str">
        <f t="shared" si="492"/>
        <v/>
      </c>
      <c r="DW271" s="205">
        <f>IF($J271="",#N/A,SUM(DV$4:DV271))</f>
        <v>-1.5454397913873317</v>
      </c>
      <c r="DX271" s="205">
        <f>IF($J271="",#N/A,SUM(DV$4:DV271,DT$4:DT271,DR$4:DR271))</f>
        <v>-2.803327741936084</v>
      </c>
      <c r="DY271" s="200" t="str">
        <f t="shared" si="493"/>
        <v/>
      </c>
      <c r="DZ271" s="203">
        <f>IF($J271="",#N/A,SUM(DY$4:DY271))</f>
        <v>-1.0460034109943892</v>
      </c>
      <c r="EA271" s="204" t="str">
        <f t="shared" si="494"/>
        <v/>
      </c>
      <c r="EB271" s="204">
        <f>IF($J271="",#N/A,SUM(EA$4:EA271))</f>
        <v>1.32347009195464</v>
      </c>
      <c r="EC271" s="205" t="str">
        <f t="shared" si="495"/>
        <v/>
      </c>
      <c r="ED271" s="205">
        <f>IF($J271="",#N/A,SUM(EC$4:EC271))</f>
        <v>4.5772092731053986</v>
      </c>
      <c r="EE271" s="205">
        <f>IF($J271="",#N/A,SUM(EC$4:EC271,EA$4:EA271,DY$4:DY271))</f>
        <v>4.8546759540656481</v>
      </c>
      <c r="EF271" s="200" t="str">
        <f t="shared" si="496"/>
        <v/>
      </c>
      <c r="EG271" s="203">
        <f>IF($J271="",#N/A,SUM(EF$4:EF271))</f>
        <v>-0.15098969023521425</v>
      </c>
      <c r="EH271" s="204" t="str">
        <f t="shared" si="497"/>
        <v/>
      </c>
      <c r="EI271" s="204">
        <f>IF($J271="",#N/A,SUM(EH$4:EH271))</f>
        <v>-2.0808348133873036</v>
      </c>
      <c r="EJ271" s="205" t="str">
        <f t="shared" si="498"/>
        <v/>
      </c>
      <c r="EK271" s="205">
        <f>IF($J271="",#N/A,SUM(EJ$4:EJ271))</f>
        <v>5.050388173053765</v>
      </c>
      <c r="EL271" s="205">
        <f>IF($J271="",#N/A,SUM(EJ$4:EJ271,EH$4:EH271,EF$4:EF271))</f>
        <v>2.818563669431247</v>
      </c>
      <c r="EM271" s="200" t="str">
        <f t="shared" si="499"/>
        <v/>
      </c>
      <c r="EN271" s="203">
        <f>IF($J271="",#N/A,SUM(EM$4:EM271))</f>
        <v>0</v>
      </c>
      <c r="EO271" s="204" t="str">
        <f t="shared" si="500"/>
        <v/>
      </c>
      <c r="EP271" s="204">
        <f>IF($J271="",#N/A,SUM(EO$4:EO271))</f>
        <v>1.7186739929507637</v>
      </c>
      <c r="EQ271" s="205" t="str">
        <f t="shared" si="501"/>
        <v/>
      </c>
      <c r="ER271" s="205">
        <f>IF($J271="",#N/A,SUM(EQ$4:EQ271))</f>
        <v>1.441536272249796</v>
      </c>
      <c r="ES271" s="205">
        <f>IF($J271="",#N/A,SUM(EQ$4:EQ271,EO$4:EO271,EM$4:EM271))</f>
        <v>3.160210265200559</v>
      </c>
      <c r="ET271" s="200" t="str">
        <f t="shared" si="502"/>
        <v/>
      </c>
      <c r="EU271" s="203">
        <f>IF($J271="",#N/A,SUM(ET$4:ET271))</f>
        <v>0</v>
      </c>
      <c r="EV271" s="204" t="str">
        <f t="shared" si="503"/>
        <v/>
      </c>
      <c r="EW271" s="204">
        <f>IF($J271="",#N/A,SUM(EV$4:EV271))</f>
        <v>2.6896999443708767</v>
      </c>
      <c r="EX271" s="205" t="str">
        <f t="shared" si="504"/>
        <v/>
      </c>
      <c r="EY271" s="205">
        <f>IF($J271="",#N/A,SUM(EX$4:EX271))</f>
        <v>0.27113250180669229</v>
      </c>
      <c r="EZ271" s="205">
        <f>IF($J271="",#N/A,SUM(EX$4:EX271,EV$4:EV271,ET$4:ET271))</f>
        <v>2.9608324461775686</v>
      </c>
      <c r="FA271" s="200" t="str">
        <f t="shared" si="505"/>
        <v/>
      </c>
      <c r="FB271" s="203">
        <f>IF($J271="",#N/A,SUM(FA$4:FA271))</f>
        <v>-0.27145310509113252</v>
      </c>
      <c r="FC271" s="204" t="str">
        <f t="shared" si="506"/>
        <v/>
      </c>
      <c r="FD271" s="204">
        <f>IF($J271="",#N/A,SUM(FC$4:FC271))</f>
        <v>1.3660078100500956</v>
      </c>
      <c r="FE271" s="205" t="str">
        <f t="shared" si="507"/>
        <v/>
      </c>
      <c r="FF271" s="205">
        <f>IF($J271="",#N/A,SUM(FE$4:FE271))</f>
        <v>-0.28811149078748233</v>
      </c>
      <c r="FG271" s="205">
        <f>IF($J271="",#N/A,SUM(FE$4:FE271,FC$4:FC271,FA$4:FA271))</f>
        <v>0.80644321417148113</v>
      </c>
      <c r="FH271" s="200" t="str">
        <f t="shared" si="508"/>
        <v/>
      </c>
      <c r="FI271" s="203">
        <f>IF($J271="",#N/A,SUM(FH$4:FH271))</f>
        <v>0</v>
      </c>
      <c r="FJ271" s="204" t="str">
        <f t="shared" si="509"/>
        <v/>
      </c>
      <c r="FK271" s="204">
        <f>IF($J271="",#N/A,SUM(FJ$4:FJ271))</f>
        <v>0</v>
      </c>
      <c r="FL271" s="205" t="str">
        <f t="shared" si="510"/>
        <v/>
      </c>
      <c r="FM271" s="205">
        <f>IF($J271="",#N/A,SUM(FL$4:FL271))</f>
        <v>0</v>
      </c>
      <c r="FN271" s="205">
        <f>IF($J271="",#N/A,SUM(FL$4:FL271,FJ$4:FJ271,FH$4:FH271))</f>
        <v>0</v>
      </c>
      <c r="FO271" s="200" t="str">
        <f t="shared" si="511"/>
        <v/>
      </c>
      <c r="FP271" s="203">
        <f>IF($J271="",#N/A,SUM(FO$4:FO271))</f>
        <v>0</v>
      </c>
      <c r="FQ271" s="204" t="str">
        <f t="shared" si="512"/>
        <v/>
      </c>
      <c r="FR271" s="204">
        <f>IF($J271="",#N/A,SUM(FQ$4:FQ271))</f>
        <v>0</v>
      </c>
      <c r="FS271" s="205" t="str">
        <f t="shared" si="513"/>
        <v/>
      </c>
      <c r="FT271" s="205">
        <f>IF($J271="",#N/A,SUM(FS$4:FS271))</f>
        <v>0</v>
      </c>
      <c r="FU271" s="205">
        <f>IF($J271="",#N/A,SUM(FS$4:FS271,FQ$4:FQ271,FO$4:FO271))</f>
        <v>0</v>
      </c>
      <c r="FV271" s="200" t="str">
        <f t="shared" si="514"/>
        <v/>
      </c>
      <c r="FW271" s="203">
        <f>IF($J271="",#N/A,SUM(FV$4:FV271))</f>
        <v>6.6834991831277585E-2</v>
      </c>
      <c r="FX271" s="204" t="str">
        <f t="shared" si="515"/>
        <v/>
      </c>
      <c r="FY271" s="204">
        <f>IF($J271="",#N/A,SUM(FX$4:FX271))</f>
        <v>-0.16102012791805576</v>
      </c>
      <c r="FZ271" s="205" t="str">
        <f t="shared" si="516"/>
        <v/>
      </c>
      <c r="GA271" s="205">
        <f>IF($J271="",#N/A,SUM(FZ$4:FZ271))</f>
        <v>-1.1377221770567538</v>
      </c>
      <c r="GB271" s="205">
        <f>IF($J271="",#N/A,SUM(FZ$4:FZ271,FX$4:FX271,FV$4:FV271))</f>
        <v>-1.2319073131435321</v>
      </c>
      <c r="GC271" s="200" t="str">
        <f t="shared" si="517"/>
        <v/>
      </c>
      <c r="GD271" s="203">
        <f>IF($J271="",#N/A,SUM(GC$4:GC271))</f>
        <v>0</v>
      </c>
      <c r="GE271" s="204" t="str">
        <f t="shared" si="518"/>
        <v/>
      </c>
      <c r="GF271" s="204">
        <f>IF($J271="",#N/A,SUM(GE$4:GE271))</f>
        <v>0</v>
      </c>
      <c r="GG271" s="205" t="str">
        <f t="shared" si="519"/>
        <v/>
      </c>
      <c r="GH271" s="205">
        <f>IF($J271="",#N/A,SUM(GG$4:GG271))</f>
        <v>-2.9368362277223206</v>
      </c>
      <c r="GI271" s="205">
        <f>IF($J271="",#N/A,SUM(GG$4:GG271,GE$4:GE271,GC$4:GC271))</f>
        <v>-2.9368362277223206</v>
      </c>
      <c r="GJ271" s="200" t="str">
        <f t="shared" si="520"/>
        <v/>
      </c>
      <c r="GK271" s="203">
        <f>IF($J271="",#N/A,SUM(GJ$4:GJ271))</f>
        <v>0</v>
      </c>
      <c r="GL271" s="204" t="str">
        <f t="shared" si="521"/>
        <v/>
      </c>
      <c r="GM271" s="204">
        <f>IF($J271="",#N/A,SUM(GL$4:GL271))</f>
        <v>-1.6833790887309608</v>
      </c>
      <c r="GN271" s="205" t="str">
        <f t="shared" si="522"/>
        <v/>
      </c>
      <c r="GO271" s="205">
        <f>IF($J271="",#N/A,SUM(GN$4:GN271))</f>
        <v>0</v>
      </c>
      <c r="GP271" s="205">
        <f>IF($J271="",#N/A,SUM(GN$4:GN271,GL$4:GL271,GJ$4:GJ271))</f>
        <v>-1.6833790887309608</v>
      </c>
      <c r="GS271" s="54">
        <f t="shared" si="541"/>
        <v>0.17245005257623583</v>
      </c>
      <c r="GT271" s="54">
        <f>IF(GS271="",NA(),SUM($GS$4:GS271))</f>
        <v>8.4445450181407526</v>
      </c>
      <c r="GU271" s="54" t="str">
        <f t="shared" si="523"/>
        <v/>
      </c>
      <c r="GV271" s="54" t="e">
        <f>IF(GU271="",NA(),SUM($GU$4:GU271))</f>
        <v>#N/A</v>
      </c>
      <c r="GW271" s="54" t="str">
        <f t="shared" si="524"/>
        <v/>
      </c>
      <c r="GX271" s="54" t="e">
        <f>IF(GW271="",NA(),SUM($GW$4:GW271))</f>
        <v>#N/A</v>
      </c>
      <c r="GY271" s="54">
        <f t="shared" si="525"/>
        <v>0.17245005257623583</v>
      </c>
      <c r="GZ271" s="54">
        <f>IF(GY271="",NA(),SUM($GY$4:GY271))</f>
        <v>8.3902031504939121</v>
      </c>
      <c r="HA271" s="54" t="str">
        <f t="shared" si="526"/>
        <v/>
      </c>
      <c r="HB271" s="54" t="e">
        <f>IF(HA271="",NA(),SUM($HA$4:HA271))</f>
        <v>#N/A</v>
      </c>
      <c r="HC271" s="54" t="str">
        <f t="shared" si="527"/>
        <v/>
      </c>
      <c r="HD271" s="54" t="e">
        <f>IF(HC271="",NA(),SUM($HC$4:HC271))</f>
        <v>#N/A</v>
      </c>
      <c r="HE271" s="54" t="str">
        <f t="shared" si="528"/>
        <v/>
      </c>
      <c r="HF271" s="54" t="e">
        <f>IF(HE271="",NA(),SUM($HE$4:HE271))</f>
        <v>#N/A</v>
      </c>
      <c r="HG271" s="54" t="str">
        <f t="shared" si="529"/>
        <v/>
      </c>
      <c r="HH271" s="54" t="e">
        <f>IF(HG271="",NA(),SUM($HG$4:HG271))</f>
        <v>#N/A</v>
      </c>
      <c r="HI271" s="172">
        <f t="shared" si="542"/>
        <v>-0.17875920084122116</v>
      </c>
      <c r="HJ271" s="172">
        <f>IF($J271="",#N/A,SUM(HI$4:$HI271))</f>
        <v>-7.9376600874854191</v>
      </c>
      <c r="HK271" s="54" t="str">
        <f t="shared" si="530"/>
        <v/>
      </c>
      <c r="HL271" s="54">
        <f>IF($J271="",#N/A,SUM($HK$4:HK271))</f>
        <v>-2.5639086588699724</v>
      </c>
      <c r="HM271" s="54" t="str">
        <f t="shared" si="531"/>
        <v/>
      </c>
      <c r="HN271" s="54">
        <f>IF($J271="",#N/A,SUM($HM$4:HM271))</f>
        <v>0.957348620978966</v>
      </c>
      <c r="HO271" s="54" t="str">
        <f t="shared" si="532"/>
        <v/>
      </c>
      <c r="HP271" s="54">
        <f>IF($J271="",#N/A,SUM($HO$4:HO271))</f>
        <v>-0.75682593815002108</v>
      </c>
      <c r="HQ271" s="54" t="str">
        <f t="shared" si="533"/>
        <v/>
      </c>
      <c r="HR271" s="54">
        <f>IF($J271="",#N/A,SUM($HQ$4:HQ271))</f>
        <v>-14.877782597833791</v>
      </c>
      <c r="HS271" s="54" t="str">
        <f t="shared" si="534"/>
        <v/>
      </c>
      <c r="HT271" s="54">
        <f>IF($J271="",#N/A,SUM($HS$4:HS271))</f>
        <v>13.992432834598167</v>
      </c>
      <c r="HU271" s="65">
        <f t="shared" si="535"/>
        <v>-6.3091482649853207E-3</v>
      </c>
      <c r="HV271" s="65">
        <f>IF($J271="",#N/A,SUM(HU$4:$HU271))</f>
        <v>2.1979354172585821</v>
      </c>
    </row>
    <row r="272" spans="1:230" x14ac:dyDescent="0.25">
      <c r="A272" s="51" t="s">
        <v>162</v>
      </c>
      <c r="B272" s="52" t="s">
        <v>4567</v>
      </c>
      <c r="C272" s="229">
        <f t="shared" si="436"/>
        <v>2</v>
      </c>
      <c r="D272" s="219" t="str">
        <f>_xlfn.XLOOKUP(A272,[1]SP500!$A$2:$A$502,[1]SP500!$D$2:$D$502,"N")</f>
        <v>Y</v>
      </c>
      <c r="E272" s="51" t="str">
        <f>IFERROR(_xlfn.XLOOKUP(A272,[1]SP500!$A$2:$A$655,[1]SP500!$B$2:$B$655),"")</f>
        <v>XLE</v>
      </c>
      <c r="F272" s="290">
        <v>45783</v>
      </c>
      <c r="G272" s="51" t="str">
        <f t="shared" si="437"/>
        <v>BMO</v>
      </c>
      <c r="H272" s="51" t="str">
        <f t="shared" si="438"/>
        <v>s</v>
      </c>
      <c r="I272" s="343">
        <v>143.33000000000001</v>
      </c>
      <c r="J272" s="124">
        <v>144.72</v>
      </c>
      <c r="K272" s="55">
        <f t="shared" si="439"/>
        <v>9.6978999511615586E-3</v>
      </c>
      <c r="L272" s="67">
        <f t="shared" si="440"/>
        <v>-11.119999999999891</v>
      </c>
      <c r="M272" s="57">
        <f t="shared" si="441"/>
        <v>0</v>
      </c>
      <c r="N272" s="102">
        <f t="shared" si="442"/>
        <v>-11.119999999999891</v>
      </c>
      <c r="O272" s="57">
        <f>IF(N272="",#N/A,SUM($N$4:N272))</f>
        <v>589.12432781837356</v>
      </c>
      <c r="P272" s="65">
        <f t="shared" si="536"/>
        <v>-0.16163166585269265</v>
      </c>
      <c r="Q272" s="172">
        <f>IF($N272="",#N/A,SUM($P$4:P272))</f>
        <v>13.222699578167964</v>
      </c>
      <c r="R272" s="279">
        <f t="shared" si="443"/>
        <v>2.3383528036710342</v>
      </c>
      <c r="S272" s="51" t="str">
        <f t="shared" si="444"/>
        <v>Dwn</v>
      </c>
      <c r="T272" s="51" t="s">
        <v>4461</v>
      </c>
      <c r="U272" s="56">
        <f t="shared" si="445"/>
        <v>143.33000000000001</v>
      </c>
      <c r="V272" s="56" t="s">
        <v>4458</v>
      </c>
      <c r="W272" s="142">
        <v>8</v>
      </c>
      <c r="X272" s="145">
        <f t="shared" si="446"/>
        <v>1146.6400000000001</v>
      </c>
      <c r="Y272" s="140">
        <f t="shared" si="447"/>
        <v>8</v>
      </c>
      <c r="Z272" s="123">
        <v>144.72</v>
      </c>
      <c r="AA272" s="102">
        <f t="shared" si="448"/>
        <v>-11.119999999999891</v>
      </c>
      <c r="AB272" s="102">
        <f t="shared" si="449"/>
        <v>-9.7599999999999909</v>
      </c>
      <c r="AC272" s="124">
        <v>144.55000000000001</v>
      </c>
      <c r="AD272" s="155">
        <f t="shared" si="450"/>
        <v>-9.7599999999999909</v>
      </c>
      <c r="AE272" s="545">
        <f t="shared" si="451"/>
        <v>-0.14186376427358763</v>
      </c>
      <c r="AF272" s="57">
        <f>IF($AC272="",#N/A,SUM(AD$4:AD272))</f>
        <v>22.070339768177178</v>
      </c>
      <c r="AG272" s="102">
        <f t="shared" si="452"/>
        <v>1.3599999999999</v>
      </c>
      <c r="AH272" s="56" t="s">
        <v>2507</v>
      </c>
      <c r="AI272" s="65">
        <f t="shared" si="453"/>
        <v>-0.16163166585269265</v>
      </c>
      <c r="AJ272" s="54">
        <f>IF(AI272="",#N/A,SUM($AI$4:AI272))</f>
        <v>10.88434677449693</v>
      </c>
      <c r="AK272" s="57">
        <f t="shared" si="454"/>
        <v>-11.119999999999891</v>
      </c>
      <c r="AL272" s="349">
        <f>IF(AI272="",#N/A,IF(AH272="Skip",SUM($AK$4:AK272),SUM($AK$4:AK272)))</f>
        <v>419.53759149281473</v>
      </c>
      <c r="AM272" s="65">
        <f t="shared" si="537"/>
        <v>-0.14186376427358763</v>
      </c>
      <c r="AN272" s="210"/>
      <c r="AO272" s="65" t="str">
        <f t="shared" si="455"/>
        <v/>
      </c>
      <c r="AP272" s="65">
        <f>IF($AC272="",#N/A,SUM(AO$4:AO272))</f>
        <v>2.3819803864672999</v>
      </c>
      <c r="AQ272" s="65" t="str">
        <f t="shared" si="456"/>
        <v/>
      </c>
      <c r="AR272" s="65">
        <f>IF($AC272="",#N/A,SUM(AQ$4:AQ272))</f>
        <v>-4.5506064883221358</v>
      </c>
      <c r="AS272" s="65">
        <f t="shared" si="457"/>
        <v>-0.14186376427358763</v>
      </c>
      <c r="AT272" s="65">
        <f>IF($AC272="",#N/A,SUM(AS$4:AS272))</f>
        <v>4.2246977548398279</v>
      </c>
      <c r="AU272" s="57" t="str">
        <f t="shared" si="538"/>
        <v/>
      </c>
      <c r="AV272" s="57">
        <f>IF($AC272="",#N/A,SUM(AU$4:AU272))</f>
        <v>20.122490661046527</v>
      </c>
      <c r="AW272" s="57" t="str">
        <f t="shared" si="539"/>
        <v/>
      </c>
      <c r="AX272" s="57">
        <f>IF($AC272="",#N/A,SUM(AW$4:AW272))</f>
        <v>-299.03053243920203</v>
      </c>
      <c r="AY272" s="57">
        <f t="shared" si="540"/>
        <v>-9.7599999999999909</v>
      </c>
      <c r="AZ272" s="57">
        <f>IF($AC272="",#N/A,SUM(AY$4:AY272))</f>
        <v>300.97838154633268</v>
      </c>
      <c r="BA272" s="57">
        <f>IF(AD272="",#N/A,SUM($AD$4:AD272))</f>
        <v>22.070339768177178</v>
      </c>
      <c r="BC272" s="51" t="str">
        <f t="shared" si="458"/>
        <v/>
      </c>
      <c r="BD272" s="51">
        <f t="shared" si="459"/>
        <v>1</v>
      </c>
      <c r="BE272" s="51" t="str">
        <f t="shared" si="460"/>
        <v/>
      </c>
      <c r="BF272" s="51" t="str">
        <f t="shared" si="461"/>
        <v>Short</v>
      </c>
      <c r="BG272" s="51" t="str">
        <f t="shared" si="462"/>
        <v/>
      </c>
      <c r="BH272" s="51" t="str">
        <f t="shared" si="463"/>
        <v/>
      </c>
      <c r="BI272" s="51" t="str">
        <f t="shared" si="464"/>
        <v/>
      </c>
      <c r="BK272" s="65">
        <f t="shared" si="435"/>
        <v>3.1235884674249342E-2</v>
      </c>
      <c r="BL272" s="65">
        <f t="shared" si="434"/>
        <v>-0.12489914536707325</v>
      </c>
      <c r="BM272" s="65">
        <f>IFERROR(Q272/COUNTA($J$4:J272),#N/A)</f>
        <v>4.9155017019211759E-2</v>
      </c>
      <c r="BO272" s="489" t="e">
        <f>IF(J272="",#N/A,IF(S272="SW",(COUNTIFS(K$4:$K272,"&gt;0",S$4:$S272,"SW")/COUNTIF(S$4:$S272,"SW")),#N/A))</f>
        <v>#N/A</v>
      </c>
      <c r="BP272" s="489">
        <f>IF($J272="",#N/A,IF($S272="DWN",(COUNTIFS($K$4:$K272,"&lt;0",$S$4:$S272,"DWN")/COUNTIF($S$4:$S272,"DWN")),#N/A))</f>
        <v>0.58333333333333337</v>
      </c>
      <c r="BQ272" s="489" t="e">
        <f>IF($J272="",#N/A,IF($S272="UP",(COUNTIFS($K$4:$K272,"&gt;0",$S$4:$S272,"UP")/COUNTIF($S$4:$S272,"UP")),#N/A))</f>
        <v>#N/A</v>
      </c>
      <c r="BR272" s="489">
        <f>IF(J272="",#N/A,COUNTIF($K$4:K272,"&gt;0")/COUNT($J$4:J272))</f>
        <v>0.44981412639405205</v>
      </c>
      <c r="BS272" s="65" t="str">
        <f t="shared" si="465"/>
        <v/>
      </c>
      <c r="BT272" s="65" t="str">
        <f t="shared" si="466"/>
        <v/>
      </c>
      <c r="BU272" s="65" t="str">
        <f t="shared" si="467"/>
        <v/>
      </c>
      <c r="BV272" s="65">
        <f t="shared" si="468"/>
        <v>-0.16163166585269265</v>
      </c>
      <c r="BW272" s="128" t="str">
        <f t="shared" si="469"/>
        <v/>
      </c>
      <c r="BX272" s="128">
        <f>IF($J272="",#N/A,SUM($BW$4:BW272))</f>
        <v>-313.79959683283596</v>
      </c>
      <c r="BY272" s="131">
        <f t="shared" si="470"/>
        <v>-11.119999999999891</v>
      </c>
      <c r="BZ272" s="131">
        <f>IF($J272="",#N/A,SUM($BY$4:BY272))</f>
        <v>863.30234038933429</v>
      </c>
      <c r="CA272" s="133" t="str">
        <f t="shared" si="471"/>
        <v/>
      </c>
      <c r="CB272" s="133">
        <f>IF($J272="",#N/A,SUM($CA$4:CA272))</f>
        <v>39.621584261875228</v>
      </c>
      <c r="CC272" s="194" t="str">
        <f t="shared" si="472"/>
        <v/>
      </c>
      <c r="CD272" s="194">
        <f>IF($J272="",#N/A,SUM($CC$4:CC272))</f>
        <v>-4.7511291711510797</v>
      </c>
      <c r="CE272" s="195">
        <f t="shared" si="473"/>
        <v>-0.16163166585269265</v>
      </c>
      <c r="CF272" s="195">
        <f>IF($J272="",#N/A,SUM($CE$4:CE272))</f>
        <v>14.706498599616124</v>
      </c>
      <c r="CG272" s="196" t="str">
        <f t="shared" si="474"/>
        <v/>
      </c>
      <c r="CH272" s="193">
        <f>IF($J272="",#N/A,SUM($CG$4:CG272))</f>
        <v>3.2673301497029255</v>
      </c>
      <c r="CI272" s="200" t="str">
        <f t="shared" si="475"/>
        <v/>
      </c>
      <c r="CJ272" s="203">
        <f>IF($J272="",#N/A,SUM(CI$4:CI272))</f>
        <v>0</v>
      </c>
      <c r="CK272" s="204" t="str">
        <f t="shared" si="476"/>
        <v/>
      </c>
      <c r="CL272" s="204">
        <f>IF($J272="",#N/A,SUM(CK$4:CK272))</f>
        <v>2.3607894150410869</v>
      </c>
      <c r="CM272" s="205" t="str">
        <f t="shared" si="477"/>
        <v/>
      </c>
      <c r="CN272" s="205">
        <f>IF($J272="",#N/A,SUM(CM$4:CM272))</f>
        <v>2.5131182152625313</v>
      </c>
      <c r="CO272" s="205">
        <f>IF($J272="",#N/A,SUM(CM$4:CM272,CK$4:CK272,CI$4:CI272))</f>
        <v>4.8739076303036191</v>
      </c>
      <c r="CP272" s="200" t="str">
        <f t="shared" si="478"/>
        <v/>
      </c>
      <c r="CQ272" s="203">
        <f>IF($J272="",#N/A,SUM(CP$4:CP272))</f>
        <v>-1.489321591123322</v>
      </c>
      <c r="CR272" s="204" t="str">
        <f t="shared" si="479"/>
        <v/>
      </c>
      <c r="CS272" s="204">
        <f>IF($J272="",#N/A,SUM(CR$4:CR272))</f>
        <v>4.6135245886817966</v>
      </c>
      <c r="CT272" s="205" t="str">
        <f t="shared" si="480"/>
        <v/>
      </c>
      <c r="CU272" s="205">
        <f>IF($J272="",#N/A,SUM(CT$4:CT272))</f>
        <v>-2.9040943753548785</v>
      </c>
      <c r="CV272" s="205">
        <f>IF($J272="",#N/A,SUM(CT$4:CT272,CR$4:CR272,CP$4:CP272))</f>
        <v>0.22010862220359617</v>
      </c>
      <c r="CW272" s="200" t="str">
        <f t="shared" si="481"/>
        <v/>
      </c>
      <c r="CX272" s="203">
        <f>IF($J272="",#N/A,SUM(CW$4:CW272))</f>
        <v>-0.33865165024245297</v>
      </c>
      <c r="CY272" s="204" t="str">
        <f t="shared" si="482"/>
        <v/>
      </c>
      <c r="CZ272" s="204">
        <f>IF($J272="",#N/A,SUM(CY$4:CY272))</f>
        <v>0.30198222879878239</v>
      </c>
      <c r="DA272" s="205" t="str">
        <f t="shared" si="483"/>
        <v/>
      </c>
      <c r="DB272" s="205">
        <f>IF($J272="",#N/A,SUM(DA$4:DA272))</f>
        <v>-1.6929809429332021</v>
      </c>
      <c r="DC272" s="205">
        <f>IF($J272="",#N/A,SUM(DA$4:DA272,CY$4:CY272,CW$4:CW272))</f>
        <v>-1.7296503643768726</v>
      </c>
      <c r="DD272" s="200" t="str">
        <f t="shared" si="484"/>
        <v/>
      </c>
      <c r="DE272" s="203">
        <f>IF($J272="",#N/A,SUM(DD$4:DD272))</f>
        <v>0.24769343410817113</v>
      </c>
      <c r="DF272" s="204" t="str">
        <f t="shared" si="485"/>
        <v/>
      </c>
      <c r="DG272" s="204">
        <f>IF($J272="",#N/A,SUM(DF$4:DF272))</f>
        <v>1.7624645309390978</v>
      </c>
      <c r="DH272" s="205" t="str">
        <f t="shared" si="486"/>
        <v/>
      </c>
      <c r="DI272" s="205">
        <f>IF($J272="",#N/A,SUM(DH$4:DH272))</f>
        <v>-2.7812008102163399</v>
      </c>
      <c r="DJ272" s="205">
        <f>IF($J272="",#N/A,SUM(DH$4:DH272,DF$4:DF272,DD$4:DD272))</f>
        <v>-0.77104284516907118</v>
      </c>
      <c r="DK272" s="200" t="str">
        <f t="shared" si="487"/>
        <v/>
      </c>
      <c r="DL272" s="203">
        <f>IF($J272="",#N/A,SUM(DK$4:DK272))</f>
        <v>-1.2097286851272664</v>
      </c>
      <c r="DM272" s="204" t="str">
        <f t="shared" si="488"/>
        <v/>
      </c>
      <c r="DN272" s="204">
        <f>IF($J272="",#N/A,SUM(DM$4:DM272))</f>
        <v>3.0281848543081331</v>
      </c>
      <c r="DO272" s="205" t="str">
        <f t="shared" si="489"/>
        <v/>
      </c>
      <c r="DP272" s="205">
        <f>IF($J272="",#N/A,SUM(DO$4:DO272))</f>
        <v>2.700331529683047</v>
      </c>
      <c r="DQ272" s="205">
        <f>IF($J272="",#N/A,SUM(DO$4:DO272,DM$4:DM272,DK$4:DK272))</f>
        <v>4.518787698863914</v>
      </c>
      <c r="DR272" s="200" t="str">
        <f t="shared" si="490"/>
        <v/>
      </c>
      <c r="DS272" s="203">
        <f>IF($J272="",#N/A,SUM(DR$4:DR272))</f>
        <v>-0.55950946427675097</v>
      </c>
      <c r="DT272" s="204" t="str">
        <f t="shared" si="491"/>
        <v/>
      </c>
      <c r="DU272" s="204">
        <f>IF($J272="",#N/A,SUM(DT$4:DT272))</f>
        <v>-0.69837848627200172</v>
      </c>
      <c r="DV272" s="205" t="str">
        <f t="shared" si="492"/>
        <v/>
      </c>
      <c r="DW272" s="205">
        <f>IF($J272="",#N/A,SUM(DV$4:DV272))</f>
        <v>-1.5454397913873317</v>
      </c>
      <c r="DX272" s="205">
        <f>IF($J272="",#N/A,SUM(DV$4:DV272,DT$4:DT272,DR$4:DR272))</f>
        <v>-2.803327741936084</v>
      </c>
      <c r="DY272" s="200" t="str">
        <f t="shared" si="493"/>
        <v/>
      </c>
      <c r="DZ272" s="203">
        <f>IF($J272="",#N/A,SUM(DY$4:DY272))</f>
        <v>-1.0460034109943892</v>
      </c>
      <c r="EA272" s="204" t="str">
        <f t="shared" si="494"/>
        <v/>
      </c>
      <c r="EB272" s="204">
        <f>IF($J272="",#N/A,SUM(EA$4:EA272))</f>
        <v>1.32347009195464</v>
      </c>
      <c r="EC272" s="205" t="str">
        <f t="shared" si="495"/>
        <v/>
      </c>
      <c r="ED272" s="205">
        <f>IF($J272="",#N/A,SUM(EC$4:EC272))</f>
        <v>4.5772092731053986</v>
      </c>
      <c r="EE272" s="205">
        <f>IF($J272="",#N/A,SUM(EC$4:EC272,EA$4:EA272,DY$4:DY272))</f>
        <v>4.8546759540656481</v>
      </c>
      <c r="EF272" s="200" t="str">
        <f t="shared" si="496"/>
        <v/>
      </c>
      <c r="EG272" s="203">
        <f>IF($J272="",#N/A,SUM(EF$4:EF272))</f>
        <v>-0.15098969023521425</v>
      </c>
      <c r="EH272" s="204" t="str">
        <f t="shared" si="497"/>
        <v/>
      </c>
      <c r="EI272" s="204">
        <f>IF($J272="",#N/A,SUM(EH$4:EH272))</f>
        <v>-2.0808348133873036</v>
      </c>
      <c r="EJ272" s="205" t="str">
        <f t="shared" si="498"/>
        <v/>
      </c>
      <c r="EK272" s="205">
        <f>IF($J272="",#N/A,SUM(EJ$4:EJ272))</f>
        <v>5.050388173053765</v>
      </c>
      <c r="EL272" s="205">
        <f>IF($J272="",#N/A,SUM(EJ$4:EJ272,EH$4:EH272,EF$4:EF272))</f>
        <v>2.818563669431247</v>
      </c>
      <c r="EM272" s="200" t="str">
        <f t="shared" si="499"/>
        <v/>
      </c>
      <c r="EN272" s="203">
        <f>IF($J272="",#N/A,SUM(EM$4:EM272))</f>
        <v>0</v>
      </c>
      <c r="EO272" s="204" t="str">
        <f t="shared" si="500"/>
        <v/>
      </c>
      <c r="EP272" s="204">
        <f>IF($J272="",#N/A,SUM(EO$4:EO272))</f>
        <v>1.7186739929507637</v>
      </c>
      <c r="EQ272" s="205" t="str">
        <f t="shared" si="501"/>
        <v/>
      </c>
      <c r="ER272" s="205">
        <f>IF($J272="",#N/A,SUM(EQ$4:EQ272))</f>
        <v>1.441536272249796</v>
      </c>
      <c r="ES272" s="205">
        <f>IF($J272="",#N/A,SUM(EQ$4:EQ272,EO$4:EO272,EM$4:EM272))</f>
        <v>3.160210265200559</v>
      </c>
      <c r="ET272" s="200" t="str">
        <f t="shared" si="502"/>
        <v/>
      </c>
      <c r="EU272" s="203">
        <f>IF($J272="",#N/A,SUM(ET$4:ET272))</f>
        <v>0</v>
      </c>
      <c r="EV272" s="204" t="str">
        <f t="shared" si="503"/>
        <v/>
      </c>
      <c r="EW272" s="204">
        <f>IF($J272="",#N/A,SUM(EV$4:EV272))</f>
        <v>2.6896999443708767</v>
      </c>
      <c r="EX272" s="205" t="str">
        <f t="shared" si="504"/>
        <v/>
      </c>
      <c r="EY272" s="205">
        <f>IF($J272="",#N/A,SUM(EX$4:EX272))</f>
        <v>0.27113250180669229</v>
      </c>
      <c r="EZ272" s="205">
        <f>IF($J272="",#N/A,SUM(EX$4:EX272,EV$4:EV272,ET$4:ET272))</f>
        <v>2.9608324461775686</v>
      </c>
      <c r="FA272" s="200" t="str">
        <f t="shared" si="505"/>
        <v/>
      </c>
      <c r="FB272" s="203">
        <f>IF($J272="",#N/A,SUM(FA$4:FA272))</f>
        <v>-0.27145310509113252</v>
      </c>
      <c r="FC272" s="204">
        <f t="shared" si="506"/>
        <v>-0.16163166585269265</v>
      </c>
      <c r="FD272" s="204">
        <f>IF($J272="",#N/A,SUM(FC$4:FC272))</f>
        <v>1.204376144197403</v>
      </c>
      <c r="FE272" s="205" t="str">
        <f t="shared" si="507"/>
        <v/>
      </c>
      <c r="FF272" s="205">
        <f>IF($J272="",#N/A,SUM(FE$4:FE272))</f>
        <v>-0.28811149078748233</v>
      </c>
      <c r="FG272" s="205">
        <f>IF($J272="",#N/A,SUM(FE$4:FE272,FC$4:FC272,FA$4:FA272))</f>
        <v>0.64481154831878851</v>
      </c>
      <c r="FH272" s="200" t="str">
        <f t="shared" si="508"/>
        <v/>
      </c>
      <c r="FI272" s="203">
        <f>IF($J272="",#N/A,SUM(FH$4:FH272))</f>
        <v>0</v>
      </c>
      <c r="FJ272" s="204" t="str">
        <f t="shared" si="509"/>
        <v/>
      </c>
      <c r="FK272" s="204">
        <f>IF($J272="",#N/A,SUM(FJ$4:FJ272))</f>
        <v>0</v>
      </c>
      <c r="FL272" s="205" t="str">
        <f t="shared" si="510"/>
        <v/>
      </c>
      <c r="FM272" s="205">
        <f>IF($J272="",#N/A,SUM(FL$4:FL272))</f>
        <v>0</v>
      </c>
      <c r="FN272" s="205">
        <f>IF($J272="",#N/A,SUM(FL$4:FL272,FJ$4:FJ272,FH$4:FH272))</f>
        <v>0</v>
      </c>
      <c r="FO272" s="200" t="str">
        <f t="shared" si="511"/>
        <v/>
      </c>
      <c r="FP272" s="203">
        <f>IF($J272="",#N/A,SUM(FO$4:FO272))</f>
        <v>0</v>
      </c>
      <c r="FQ272" s="204" t="str">
        <f t="shared" si="512"/>
        <v/>
      </c>
      <c r="FR272" s="204">
        <f>IF($J272="",#N/A,SUM(FQ$4:FQ272))</f>
        <v>0</v>
      </c>
      <c r="FS272" s="205" t="str">
        <f t="shared" si="513"/>
        <v/>
      </c>
      <c r="FT272" s="205">
        <f>IF($J272="",#N/A,SUM(FS$4:FS272))</f>
        <v>0</v>
      </c>
      <c r="FU272" s="205">
        <f>IF($J272="",#N/A,SUM(FS$4:FS272,FQ$4:FQ272,FO$4:FO272))</f>
        <v>0</v>
      </c>
      <c r="FV272" s="200" t="str">
        <f t="shared" si="514"/>
        <v/>
      </c>
      <c r="FW272" s="203">
        <f>IF($J272="",#N/A,SUM(FV$4:FV272))</f>
        <v>6.6834991831277585E-2</v>
      </c>
      <c r="FX272" s="204" t="str">
        <f t="shared" si="515"/>
        <v/>
      </c>
      <c r="FY272" s="204">
        <f>IF($J272="",#N/A,SUM(FX$4:FX272))</f>
        <v>-0.16102012791805576</v>
      </c>
      <c r="FZ272" s="205" t="str">
        <f t="shared" si="516"/>
        <v/>
      </c>
      <c r="GA272" s="205">
        <f>IF($J272="",#N/A,SUM(FZ$4:FZ272))</f>
        <v>-1.1377221770567538</v>
      </c>
      <c r="GB272" s="205">
        <f>IF($J272="",#N/A,SUM(FZ$4:FZ272,FX$4:FX272,FV$4:FV272))</f>
        <v>-1.2319073131435321</v>
      </c>
      <c r="GC272" s="200" t="str">
        <f t="shared" si="517"/>
        <v/>
      </c>
      <c r="GD272" s="203">
        <f>IF($J272="",#N/A,SUM(GC$4:GC272))</f>
        <v>0</v>
      </c>
      <c r="GE272" s="204" t="str">
        <f t="shared" si="518"/>
        <v/>
      </c>
      <c r="GF272" s="204">
        <f>IF($J272="",#N/A,SUM(GE$4:GE272))</f>
        <v>0</v>
      </c>
      <c r="GG272" s="205" t="str">
        <f t="shared" si="519"/>
        <v/>
      </c>
      <c r="GH272" s="205">
        <f>IF($J272="",#N/A,SUM(GG$4:GG272))</f>
        <v>-2.9368362277223206</v>
      </c>
      <c r="GI272" s="205">
        <f>IF($J272="",#N/A,SUM(GG$4:GG272,GE$4:GE272,GC$4:GC272))</f>
        <v>-2.9368362277223206</v>
      </c>
      <c r="GJ272" s="200" t="str">
        <f t="shared" si="520"/>
        <v/>
      </c>
      <c r="GK272" s="203">
        <f>IF($J272="",#N/A,SUM(GJ$4:GJ272))</f>
        <v>0</v>
      </c>
      <c r="GL272" s="204" t="str">
        <f t="shared" si="521"/>
        <v/>
      </c>
      <c r="GM272" s="204">
        <f>IF($J272="",#N/A,SUM(GL$4:GL272))</f>
        <v>-1.6833790887309608</v>
      </c>
      <c r="GN272" s="205" t="str">
        <f t="shared" si="522"/>
        <v/>
      </c>
      <c r="GO272" s="205">
        <f>IF($J272="",#N/A,SUM(GN$4:GN272))</f>
        <v>0</v>
      </c>
      <c r="GP272" s="205">
        <f>IF($J272="",#N/A,SUM(GN$4:GN272,GL$4:GL272,GJ$4:GJ272))</f>
        <v>-1.6833790887309608</v>
      </c>
      <c r="GS272" s="54">
        <f t="shared" si="541"/>
        <v>-0.16163166585269265</v>
      </c>
      <c r="GT272" s="54">
        <f>IF(GS272="",NA(),SUM($GS$4:GS272))</f>
        <v>8.2829133522880607</v>
      </c>
      <c r="GU272" s="54" t="str">
        <f t="shared" si="523"/>
        <v/>
      </c>
      <c r="GV272" s="54" t="e">
        <f>IF(GU272="",NA(),SUM($GU$4:GU272))</f>
        <v>#N/A</v>
      </c>
      <c r="GW272" s="54" t="str">
        <f t="shared" si="524"/>
        <v/>
      </c>
      <c r="GX272" s="54" t="e">
        <f>IF(GW272="",NA(),SUM($GW$4:GW272))</f>
        <v>#N/A</v>
      </c>
      <c r="GY272" s="54">
        <f t="shared" si="525"/>
        <v>-0.16163166585269265</v>
      </c>
      <c r="GZ272" s="54">
        <f>IF(GY272="",NA(),SUM($GY$4:GY272))</f>
        <v>8.2285714846412201</v>
      </c>
      <c r="HA272" s="54" t="str">
        <f t="shared" si="526"/>
        <v/>
      </c>
      <c r="HB272" s="54" t="e">
        <f>IF(HA272="",NA(),SUM($HA$4:HA272))</f>
        <v>#N/A</v>
      </c>
      <c r="HC272" s="54" t="str">
        <f t="shared" si="527"/>
        <v/>
      </c>
      <c r="HD272" s="54" t="e">
        <f>IF(HC272="",NA(),SUM($HC$4:HC272))</f>
        <v>#N/A</v>
      </c>
      <c r="HE272" s="54" t="str">
        <f t="shared" si="528"/>
        <v/>
      </c>
      <c r="HF272" s="54" t="e">
        <f>IF(HE272="",NA(),SUM($HE$4:HE272))</f>
        <v>#N/A</v>
      </c>
      <c r="HG272" s="54" t="str">
        <f t="shared" si="529"/>
        <v/>
      </c>
      <c r="HH272" s="54" t="e">
        <f>IF(HG272="",NA(),SUM($HG$4:HG272))</f>
        <v>#N/A</v>
      </c>
      <c r="HI272" s="172" t="str">
        <f t="shared" si="542"/>
        <v/>
      </c>
      <c r="HJ272" s="172">
        <f>IF($J272="",#N/A,SUM(HI$4:$HI272))</f>
        <v>-7.9376600874854191</v>
      </c>
      <c r="HK272" s="54">
        <f t="shared" si="530"/>
        <v>1.9767901579105018E-2</v>
      </c>
      <c r="HL272" s="54">
        <f>IF($J272="",#N/A,SUM($HK$4:HK272))</f>
        <v>-2.5441407572908674</v>
      </c>
      <c r="HM272" s="54" t="str">
        <f t="shared" si="531"/>
        <v/>
      </c>
      <c r="HN272" s="54">
        <f>IF($J272="",#N/A,SUM($HM$4:HM272))</f>
        <v>0.957348620978966</v>
      </c>
      <c r="HO272" s="54" t="str">
        <f t="shared" si="532"/>
        <v/>
      </c>
      <c r="HP272" s="54">
        <f>IF($J272="",#N/A,SUM($HO$4:HO272))</f>
        <v>-0.75682593815002108</v>
      </c>
      <c r="HQ272" s="54" t="str">
        <f t="shared" si="533"/>
        <v/>
      </c>
      <c r="HR272" s="54">
        <f>IF($J272="",#N/A,SUM($HQ$4:HQ272))</f>
        <v>-14.877782597833791</v>
      </c>
      <c r="HS272" s="54" t="str">
        <f t="shared" si="534"/>
        <v/>
      </c>
      <c r="HT272" s="54">
        <f>IF($J272="",#N/A,SUM($HS$4:HS272))</f>
        <v>13.992432834598167</v>
      </c>
      <c r="HU272" s="65">
        <f t="shared" si="535"/>
        <v>-0.14186376427358763</v>
      </c>
      <c r="HV272" s="65">
        <f>IF($J272="",#N/A,SUM(HU$4:$HU272))</f>
        <v>2.0560716529849943</v>
      </c>
    </row>
    <row r="273" spans="1:230" x14ac:dyDescent="0.25">
      <c r="A273" s="51" t="s">
        <v>1081</v>
      </c>
      <c r="B273" s="52" t="s">
        <v>4567</v>
      </c>
      <c r="C273" s="229">
        <f t="shared" si="436"/>
        <v>2</v>
      </c>
      <c r="D273" s="219" t="str">
        <f>_xlfn.XLOOKUP(A273,[1]SP500!$A$2:$A$502,[1]SP500!$D$2:$D$502,"N")</f>
        <v>Y</v>
      </c>
      <c r="E273" s="51" t="str">
        <f>IFERROR(_xlfn.XLOOKUP(A273,[1]SP500!$A$2:$A$655,[1]SP500!$B$2:$B$655),"")</f>
        <v>XLI</v>
      </c>
      <c r="F273" s="290">
        <v>45783</v>
      </c>
      <c r="G273" s="51" t="str">
        <f t="shared" si="437"/>
        <v>BMO</v>
      </c>
      <c r="H273" s="51" t="str">
        <f t="shared" si="438"/>
        <v>s</v>
      </c>
      <c r="I273" s="344">
        <v>126.63</v>
      </c>
      <c r="J273" s="124">
        <v>117.93</v>
      </c>
      <c r="K273" s="55">
        <f t="shared" si="439"/>
        <v>-6.8704098554844731E-2</v>
      </c>
      <c r="L273" s="67">
        <f t="shared" si="440"/>
        <v>78.299999999999955</v>
      </c>
      <c r="M273" s="57">
        <f t="shared" si="441"/>
        <v>-9.6299999999998818</v>
      </c>
      <c r="N273" s="102">
        <f t="shared" si="442"/>
        <v>78.299999999999955</v>
      </c>
      <c r="O273" s="57">
        <f>IF(N273="",#N/A,SUM($N$4:N273))</f>
        <v>667.42432781837351</v>
      </c>
      <c r="P273" s="65">
        <f t="shared" si="536"/>
        <v>1.145068309247413</v>
      </c>
      <c r="Q273" s="172">
        <f>IF($N273="",#N/A,SUM($P$4:P273))</f>
        <v>14.367767887415377</v>
      </c>
      <c r="R273" s="279">
        <f t="shared" si="443"/>
        <v>2.4791830440037614</v>
      </c>
      <c r="S273" s="51" t="str">
        <f t="shared" si="444"/>
        <v>Dwn</v>
      </c>
      <c r="T273" s="51" t="s">
        <v>4462</v>
      </c>
      <c r="U273" s="56">
        <f t="shared" si="445"/>
        <v>126.63</v>
      </c>
      <c r="V273" s="56" t="s">
        <v>4458</v>
      </c>
      <c r="W273" s="142">
        <v>9</v>
      </c>
      <c r="X273" s="145">
        <f t="shared" si="446"/>
        <v>1139.67</v>
      </c>
      <c r="Y273" s="140">
        <f t="shared" si="447"/>
        <v>9</v>
      </c>
      <c r="Z273" s="123">
        <v>119</v>
      </c>
      <c r="AA273" s="102">
        <f t="shared" si="448"/>
        <v>68.670000000000073</v>
      </c>
      <c r="AB273" s="102">
        <f t="shared" si="449"/>
        <v>64.440000000000055</v>
      </c>
      <c r="AC273" s="124">
        <v>119.47</v>
      </c>
      <c r="AD273" s="155">
        <f t="shared" si="450"/>
        <v>64.440000000000055</v>
      </c>
      <c r="AE273" s="545">
        <f t="shared" si="451"/>
        <v>0.94237805680591824</v>
      </c>
      <c r="AF273" s="57">
        <f>IF($AC273="",#N/A,SUM(AD$4:AD273))</f>
        <v>86.510339768177232</v>
      </c>
      <c r="AG273" s="102">
        <f t="shared" si="452"/>
        <v>-13.8599999999999</v>
      </c>
      <c r="AH273" s="56" t="s">
        <v>2507</v>
      </c>
      <c r="AI273" s="65">
        <f t="shared" si="453"/>
        <v>1.0042380689146868</v>
      </c>
      <c r="AJ273" s="54">
        <f>IF(AI273="",#N/A,SUM($AI$4:AI273))</f>
        <v>11.888584843411616</v>
      </c>
      <c r="AK273" s="57">
        <f t="shared" si="454"/>
        <v>68.670000000000073</v>
      </c>
      <c r="AL273" s="349">
        <f>IF(AI273="",#N/A,IF(AH273="Skip",SUM($AK$4:AK273),SUM($AK$4:AK273)))</f>
        <v>488.2075914928148</v>
      </c>
      <c r="AM273" s="65">
        <f t="shared" si="537"/>
        <v>0.94237805680591824</v>
      </c>
      <c r="AN273" s="210"/>
      <c r="AO273" s="65" t="str">
        <f t="shared" si="455"/>
        <v/>
      </c>
      <c r="AP273" s="65">
        <f>IF($AC273="",#N/A,SUM(AO$4:AO273))</f>
        <v>2.3819803864672999</v>
      </c>
      <c r="AQ273" s="65" t="str">
        <f t="shared" si="456"/>
        <v/>
      </c>
      <c r="AR273" s="65">
        <f>IF($AC273="",#N/A,SUM(AQ$4:AQ273))</f>
        <v>-4.5506064883221358</v>
      </c>
      <c r="AS273" s="65">
        <f t="shared" si="457"/>
        <v>0.94237805680591824</v>
      </c>
      <c r="AT273" s="65">
        <f>IF($AC273="",#N/A,SUM(AS$4:AS273))</f>
        <v>5.1670758116457458</v>
      </c>
      <c r="AU273" s="57" t="str">
        <f t="shared" si="538"/>
        <v/>
      </c>
      <c r="AV273" s="57">
        <f>IF($AC273="",#N/A,SUM(AU$4:AU273))</f>
        <v>20.122490661046527</v>
      </c>
      <c r="AW273" s="57" t="str">
        <f t="shared" si="539"/>
        <v/>
      </c>
      <c r="AX273" s="57">
        <f>IF($AC273="",#N/A,SUM(AW$4:AW273))</f>
        <v>-299.03053243920203</v>
      </c>
      <c r="AY273" s="57">
        <f t="shared" si="540"/>
        <v>64.440000000000055</v>
      </c>
      <c r="AZ273" s="57">
        <f>IF($AC273="",#N/A,SUM(AY$4:AY273))</f>
        <v>365.41838154633274</v>
      </c>
      <c r="BA273" s="57">
        <f>IF(AD273="",#N/A,SUM($AD$4:AD273))</f>
        <v>86.510339768177232</v>
      </c>
      <c r="BC273" s="51" t="str">
        <f t="shared" si="458"/>
        <v/>
      </c>
      <c r="BD273" s="51" t="str">
        <f t="shared" si="459"/>
        <v/>
      </c>
      <c r="BE273" s="51" t="str">
        <f t="shared" si="460"/>
        <v/>
      </c>
      <c r="BF273" s="51" t="str">
        <f t="shared" si="461"/>
        <v>Short</v>
      </c>
      <c r="BG273" s="51">
        <f t="shared" si="462"/>
        <v>1</v>
      </c>
      <c r="BH273" s="51" t="str">
        <f t="shared" si="463"/>
        <v/>
      </c>
      <c r="BI273" s="51" t="str">
        <f t="shared" si="464"/>
        <v/>
      </c>
      <c r="BK273" s="65">
        <f t="shared" si="435"/>
        <v>4.4162049544031384E-2</v>
      </c>
      <c r="BL273" s="65">
        <f t="shared" si="434"/>
        <v>-9.6643762109864251E-2</v>
      </c>
      <c r="BM273" s="65">
        <f>IFERROR(Q273/COUNTA($J$4:J273),#N/A)</f>
        <v>5.3213955138575471E-2</v>
      </c>
      <c r="BO273" s="489" t="e">
        <f>IF(J273="",#N/A,IF(S273="SW",(COUNTIFS(K$4:$K273,"&gt;0",S$4:$S273,"SW")/COUNTIF(S$4:$S273,"SW")),#N/A))</f>
        <v>#N/A</v>
      </c>
      <c r="BP273" s="489">
        <f>IF($J273="",#N/A,IF($S273="DWN",(COUNTIFS($K$4:$K273,"&lt;0",$S$4:$S273,"DWN")/COUNTIF($S$4:$S273,"DWN")),#N/A))</f>
        <v>0.58677685950413228</v>
      </c>
      <c r="BQ273" s="489" t="e">
        <f>IF($J273="",#N/A,IF($S273="UP",(COUNTIFS($K$4:$K273,"&gt;0",$S$4:$S273,"UP")/COUNTIF($S$4:$S273,"UP")),#N/A))</f>
        <v>#N/A</v>
      </c>
      <c r="BR273" s="489">
        <f>IF(J273="",#N/A,COUNTIF($K$4:K273,"&gt;0")/COUNT($J$4:J273))</f>
        <v>0.44814814814814813</v>
      </c>
      <c r="BS273" s="65" t="str">
        <f t="shared" si="465"/>
        <v/>
      </c>
      <c r="BT273" s="65" t="str">
        <f t="shared" si="466"/>
        <v/>
      </c>
      <c r="BU273" s="65">
        <f t="shared" si="467"/>
        <v>1.145068309247413</v>
      </c>
      <c r="BV273" s="65" t="str">
        <f t="shared" si="468"/>
        <v/>
      </c>
      <c r="BW273" s="128" t="str">
        <f t="shared" si="469"/>
        <v/>
      </c>
      <c r="BX273" s="128">
        <f>IF($J273="",#N/A,SUM($BW$4:BW273))</f>
        <v>-313.79959683283596</v>
      </c>
      <c r="BY273" s="131">
        <f t="shared" si="470"/>
        <v>78.299999999999955</v>
      </c>
      <c r="BZ273" s="131">
        <f>IF($J273="",#N/A,SUM($BY$4:BY273))</f>
        <v>941.60234038933424</v>
      </c>
      <c r="CA273" s="133" t="str">
        <f t="shared" si="471"/>
        <v/>
      </c>
      <c r="CB273" s="133">
        <f>IF($J273="",#N/A,SUM($CA$4:CA273))</f>
        <v>39.621584261875228</v>
      </c>
      <c r="CC273" s="194" t="str">
        <f t="shared" si="472"/>
        <v/>
      </c>
      <c r="CD273" s="194">
        <f>IF($J273="",#N/A,SUM($CC$4:CC273))</f>
        <v>-4.7511291711510797</v>
      </c>
      <c r="CE273" s="195">
        <f t="shared" si="473"/>
        <v>1.145068309247413</v>
      </c>
      <c r="CF273" s="195">
        <f>IF($J273="",#N/A,SUM($CE$4:CE273))</f>
        <v>15.851566908863537</v>
      </c>
      <c r="CG273" s="196" t="str">
        <f t="shared" si="474"/>
        <v/>
      </c>
      <c r="CH273" s="193">
        <f>IF($J273="",#N/A,SUM($CG$4:CG273))</f>
        <v>3.2673301497029255</v>
      </c>
      <c r="CI273" s="200" t="str">
        <f t="shared" si="475"/>
        <v/>
      </c>
      <c r="CJ273" s="203">
        <f>IF($J273="",#N/A,SUM(CI$4:CI273))</f>
        <v>0</v>
      </c>
      <c r="CK273" s="204" t="str">
        <f t="shared" si="476"/>
        <v/>
      </c>
      <c r="CL273" s="204">
        <f>IF($J273="",#N/A,SUM(CK$4:CK273))</f>
        <v>2.3607894150410869</v>
      </c>
      <c r="CM273" s="205" t="str">
        <f t="shared" si="477"/>
        <v/>
      </c>
      <c r="CN273" s="205">
        <f>IF($J273="",#N/A,SUM(CM$4:CM273))</f>
        <v>2.5131182152625313</v>
      </c>
      <c r="CO273" s="205">
        <f>IF($J273="",#N/A,SUM(CM$4:CM273,CK$4:CK273,CI$4:CI273))</f>
        <v>4.8739076303036191</v>
      </c>
      <c r="CP273" s="200" t="str">
        <f t="shared" si="478"/>
        <v/>
      </c>
      <c r="CQ273" s="203">
        <f>IF($J273="",#N/A,SUM(CP$4:CP273))</f>
        <v>-1.489321591123322</v>
      </c>
      <c r="CR273" s="204" t="str">
        <f t="shared" si="479"/>
        <v/>
      </c>
      <c r="CS273" s="204">
        <f>IF($J273="",#N/A,SUM(CR$4:CR273))</f>
        <v>4.6135245886817966</v>
      </c>
      <c r="CT273" s="205" t="str">
        <f t="shared" si="480"/>
        <v/>
      </c>
      <c r="CU273" s="205">
        <f>IF($J273="",#N/A,SUM(CT$4:CT273))</f>
        <v>-2.9040943753548785</v>
      </c>
      <c r="CV273" s="205">
        <f>IF($J273="",#N/A,SUM(CT$4:CT273,CR$4:CR273,CP$4:CP273))</f>
        <v>0.22010862220359617</v>
      </c>
      <c r="CW273" s="200" t="str">
        <f t="shared" si="481"/>
        <v/>
      </c>
      <c r="CX273" s="203">
        <f>IF($J273="",#N/A,SUM(CW$4:CW273))</f>
        <v>-0.33865165024245297</v>
      </c>
      <c r="CY273" s="204" t="str">
        <f t="shared" si="482"/>
        <v/>
      </c>
      <c r="CZ273" s="204">
        <f>IF($J273="",#N/A,SUM(CY$4:CY273))</f>
        <v>0.30198222879878239</v>
      </c>
      <c r="DA273" s="205" t="str">
        <f t="shared" si="483"/>
        <v/>
      </c>
      <c r="DB273" s="205">
        <f>IF($J273="",#N/A,SUM(DA$4:DA273))</f>
        <v>-1.6929809429332021</v>
      </c>
      <c r="DC273" s="205">
        <f>IF($J273="",#N/A,SUM(DA$4:DA273,CY$4:CY273,CW$4:CW273))</f>
        <v>-1.7296503643768726</v>
      </c>
      <c r="DD273" s="200" t="str">
        <f t="shared" si="484"/>
        <v/>
      </c>
      <c r="DE273" s="203">
        <f>IF($J273="",#N/A,SUM(DD$4:DD273))</f>
        <v>0.24769343410817113</v>
      </c>
      <c r="DF273" s="204" t="str">
        <f t="shared" si="485"/>
        <v/>
      </c>
      <c r="DG273" s="204">
        <f>IF($J273="",#N/A,SUM(DF$4:DF273))</f>
        <v>1.7624645309390978</v>
      </c>
      <c r="DH273" s="205" t="str">
        <f t="shared" si="486"/>
        <v/>
      </c>
      <c r="DI273" s="205">
        <f>IF($J273="",#N/A,SUM(DH$4:DH273))</f>
        <v>-2.7812008102163399</v>
      </c>
      <c r="DJ273" s="205">
        <f>IF($J273="",#N/A,SUM(DH$4:DH273,DF$4:DF273,DD$4:DD273))</f>
        <v>-0.77104284516907118</v>
      </c>
      <c r="DK273" s="200" t="str">
        <f t="shared" si="487"/>
        <v/>
      </c>
      <c r="DL273" s="203">
        <f>IF($J273="",#N/A,SUM(DK$4:DK273))</f>
        <v>-1.2097286851272664</v>
      </c>
      <c r="DM273" s="204" t="str">
        <f t="shared" si="488"/>
        <v/>
      </c>
      <c r="DN273" s="204">
        <f>IF($J273="",#N/A,SUM(DM$4:DM273))</f>
        <v>3.0281848543081331</v>
      </c>
      <c r="DO273" s="205" t="str">
        <f t="shared" si="489"/>
        <v/>
      </c>
      <c r="DP273" s="205">
        <f>IF($J273="",#N/A,SUM(DO$4:DO273))</f>
        <v>2.700331529683047</v>
      </c>
      <c r="DQ273" s="205">
        <f>IF($J273="",#N/A,SUM(DO$4:DO273,DM$4:DM273,DK$4:DK273))</f>
        <v>4.518787698863914</v>
      </c>
      <c r="DR273" s="200" t="str">
        <f t="shared" si="490"/>
        <v/>
      </c>
      <c r="DS273" s="203">
        <f>IF($J273="",#N/A,SUM(DR$4:DR273))</f>
        <v>-0.55950946427675097</v>
      </c>
      <c r="DT273" s="204" t="str">
        <f t="shared" si="491"/>
        <v/>
      </c>
      <c r="DU273" s="204">
        <f>IF($J273="",#N/A,SUM(DT$4:DT273))</f>
        <v>-0.69837848627200172</v>
      </c>
      <c r="DV273" s="205" t="str">
        <f t="shared" si="492"/>
        <v/>
      </c>
      <c r="DW273" s="205">
        <f>IF($J273="",#N/A,SUM(DV$4:DV273))</f>
        <v>-1.5454397913873317</v>
      </c>
      <c r="DX273" s="205">
        <f>IF($J273="",#N/A,SUM(DV$4:DV273,DT$4:DT273,DR$4:DR273))</f>
        <v>-2.803327741936084</v>
      </c>
      <c r="DY273" s="200" t="str">
        <f t="shared" si="493"/>
        <v/>
      </c>
      <c r="DZ273" s="203">
        <f>IF($J273="",#N/A,SUM(DY$4:DY273))</f>
        <v>-1.0460034109943892</v>
      </c>
      <c r="EA273" s="204">
        <f t="shared" si="494"/>
        <v>1.145068309247413</v>
      </c>
      <c r="EB273" s="204">
        <f>IF($J273="",#N/A,SUM(EA$4:EA273))</f>
        <v>2.468538401202053</v>
      </c>
      <c r="EC273" s="205" t="str">
        <f t="shared" si="495"/>
        <v/>
      </c>
      <c r="ED273" s="205">
        <f>IF($J273="",#N/A,SUM(EC$4:EC273))</f>
        <v>4.5772092731053986</v>
      </c>
      <c r="EE273" s="205">
        <f>IF($J273="",#N/A,SUM(EC$4:EC273,EA$4:EA273,DY$4:DY273))</f>
        <v>5.9997442633130609</v>
      </c>
      <c r="EF273" s="200" t="str">
        <f t="shared" si="496"/>
        <v/>
      </c>
      <c r="EG273" s="203">
        <f>IF($J273="",#N/A,SUM(EF$4:EF273))</f>
        <v>-0.15098969023521425</v>
      </c>
      <c r="EH273" s="204" t="str">
        <f t="shared" si="497"/>
        <v/>
      </c>
      <c r="EI273" s="204">
        <f>IF($J273="",#N/A,SUM(EH$4:EH273))</f>
        <v>-2.0808348133873036</v>
      </c>
      <c r="EJ273" s="205" t="str">
        <f t="shared" si="498"/>
        <v/>
      </c>
      <c r="EK273" s="205">
        <f>IF($J273="",#N/A,SUM(EJ$4:EJ273))</f>
        <v>5.050388173053765</v>
      </c>
      <c r="EL273" s="205">
        <f>IF($J273="",#N/A,SUM(EJ$4:EJ273,EH$4:EH273,EF$4:EF273))</f>
        <v>2.818563669431247</v>
      </c>
      <c r="EM273" s="200" t="str">
        <f t="shared" si="499"/>
        <v/>
      </c>
      <c r="EN273" s="203">
        <f>IF($J273="",#N/A,SUM(EM$4:EM273))</f>
        <v>0</v>
      </c>
      <c r="EO273" s="204" t="str">
        <f t="shared" si="500"/>
        <v/>
      </c>
      <c r="EP273" s="204">
        <f>IF($J273="",#N/A,SUM(EO$4:EO273))</f>
        <v>1.7186739929507637</v>
      </c>
      <c r="EQ273" s="205" t="str">
        <f t="shared" si="501"/>
        <v/>
      </c>
      <c r="ER273" s="205">
        <f>IF($J273="",#N/A,SUM(EQ$4:EQ273))</f>
        <v>1.441536272249796</v>
      </c>
      <c r="ES273" s="205">
        <f>IF($J273="",#N/A,SUM(EQ$4:EQ273,EO$4:EO273,EM$4:EM273))</f>
        <v>3.160210265200559</v>
      </c>
      <c r="ET273" s="200" t="str">
        <f t="shared" si="502"/>
        <v/>
      </c>
      <c r="EU273" s="203">
        <f>IF($J273="",#N/A,SUM(ET$4:ET273))</f>
        <v>0</v>
      </c>
      <c r="EV273" s="204" t="str">
        <f t="shared" si="503"/>
        <v/>
      </c>
      <c r="EW273" s="204">
        <f>IF($J273="",#N/A,SUM(EV$4:EV273))</f>
        <v>2.6896999443708767</v>
      </c>
      <c r="EX273" s="205" t="str">
        <f t="shared" si="504"/>
        <v/>
      </c>
      <c r="EY273" s="205">
        <f>IF($J273="",#N/A,SUM(EX$4:EX273))</f>
        <v>0.27113250180669229</v>
      </c>
      <c r="EZ273" s="205">
        <f>IF($J273="",#N/A,SUM(EX$4:EX273,EV$4:EV273,ET$4:ET273))</f>
        <v>2.9608324461775686</v>
      </c>
      <c r="FA273" s="200" t="str">
        <f t="shared" si="505"/>
        <v/>
      </c>
      <c r="FB273" s="203">
        <f>IF($J273="",#N/A,SUM(FA$4:FA273))</f>
        <v>-0.27145310509113252</v>
      </c>
      <c r="FC273" s="204" t="str">
        <f t="shared" si="506"/>
        <v/>
      </c>
      <c r="FD273" s="204">
        <f>IF($J273="",#N/A,SUM(FC$4:FC273))</f>
        <v>1.204376144197403</v>
      </c>
      <c r="FE273" s="205" t="str">
        <f t="shared" si="507"/>
        <v/>
      </c>
      <c r="FF273" s="205">
        <f>IF($J273="",#N/A,SUM(FE$4:FE273))</f>
        <v>-0.28811149078748233</v>
      </c>
      <c r="FG273" s="205">
        <f>IF($J273="",#N/A,SUM(FE$4:FE273,FC$4:FC273,FA$4:FA273))</f>
        <v>0.64481154831878851</v>
      </c>
      <c r="FH273" s="200" t="str">
        <f t="shared" si="508"/>
        <v/>
      </c>
      <c r="FI273" s="203">
        <f>IF($J273="",#N/A,SUM(FH$4:FH273))</f>
        <v>0</v>
      </c>
      <c r="FJ273" s="204" t="str">
        <f t="shared" si="509"/>
        <v/>
      </c>
      <c r="FK273" s="204">
        <f>IF($J273="",#N/A,SUM(FJ$4:FJ273))</f>
        <v>0</v>
      </c>
      <c r="FL273" s="205" t="str">
        <f t="shared" si="510"/>
        <v/>
      </c>
      <c r="FM273" s="205">
        <f>IF($J273="",#N/A,SUM(FL$4:FL273))</f>
        <v>0</v>
      </c>
      <c r="FN273" s="205">
        <f>IF($J273="",#N/A,SUM(FL$4:FL273,FJ$4:FJ273,FH$4:FH273))</f>
        <v>0</v>
      </c>
      <c r="FO273" s="200" t="str">
        <f t="shared" si="511"/>
        <v/>
      </c>
      <c r="FP273" s="203">
        <f>IF($J273="",#N/A,SUM(FO$4:FO273))</f>
        <v>0</v>
      </c>
      <c r="FQ273" s="204" t="str">
        <f t="shared" si="512"/>
        <v/>
      </c>
      <c r="FR273" s="204">
        <f>IF($J273="",#N/A,SUM(FQ$4:FQ273))</f>
        <v>0</v>
      </c>
      <c r="FS273" s="205" t="str">
        <f t="shared" si="513"/>
        <v/>
      </c>
      <c r="FT273" s="205">
        <f>IF($J273="",#N/A,SUM(FS$4:FS273))</f>
        <v>0</v>
      </c>
      <c r="FU273" s="205">
        <f>IF($J273="",#N/A,SUM(FS$4:FS273,FQ$4:FQ273,FO$4:FO273))</f>
        <v>0</v>
      </c>
      <c r="FV273" s="200" t="str">
        <f t="shared" si="514"/>
        <v/>
      </c>
      <c r="FW273" s="203">
        <f>IF($J273="",#N/A,SUM(FV$4:FV273))</f>
        <v>6.6834991831277585E-2</v>
      </c>
      <c r="FX273" s="204" t="str">
        <f t="shared" si="515"/>
        <v/>
      </c>
      <c r="FY273" s="204">
        <f>IF($J273="",#N/A,SUM(FX$4:FX273))</f>
        <v>-0.16102012791805576</v>
      </c>
      <c r="FZ273" s="205" t="str">
        <f t="shared" si="516"/>
        <v/>
      </c>
      <c r="GA273" s="205">
        <f>IF($J273="",#N/A,SUM(FZ$4:FZ273))</f>
        <v>-1.1377221770567538</v>
      </c>
      <c r="GB273" s="205">
        <f>IF($J273="",#N/A,SUM(FZ$4:FZ273,FX$4:FX273,FV$4:FV273))</f>
        <v>-1.2319073131435321</v>
      </c>
      <c r="GC273" s="200" t="str">
        <f t="shared" si="517"/>
        <v/>
      </c>
      <c r="GD273" s="203">
        <f>IF($J273="",#N/A,SUM(GC$4:GC273))</f>
        <v>0</v>
      </c>
      <c r="GE273" s="204" t="str">
        <f t="shared" si="518"/>
        <v/>
      </c>
      <c r="GF273" s="204">
        <f>IF($J273="",#N/A,SUM(GE$4:GE273))</f>
        <v>0</v>
      </c>
      <c r="GG273" s="205" t="str">
        <f t="shared" si="519"/>
        <v/>
      </c>
      <c r="GH273" s="205">
        <f>IF($J273="",#N/A,SUM(GG$4:GG273))</f>
        <v>-2.9368362277223206</v>
      </c>
      <c r="GI273" s="205">
        <f>IF($J273="",#N/A,SUM(GG$4:GG273,GE$4:GE273,GC$4:GC273))</f>
        <v>-2.9368362277223206</v>
      </c>
      <c r="GJ273" s="200" t="str">
        <f t="shared" si="520"/>
        <v/>
      </c>
      <c r="GK273" s="203">
        <f>IF($J273="",#N/A,SUM(GJ$4:GJ273))</f>
        <v>0</v>
      </c>
      <c r="GL273" s="204" t="str">
        <f t="shared" si="521"/>
        <v/>
      </c>
      <c r="GM273" s="204">
        <f>IF($J273="",#N/A,SUM(GL$4:GL273))</f>
        <v>-1.6833790887309608</v>
      </c>
      <c r="GN273" s="205" t="str">
        <f t="shared" si="522"/>
        <v/>
      </c>
      <c r="GO273" s="205">
        <f>IF($J273="",#N/A,SUM(GN$4:GN273))</f>
        <v>0</v>
      </c>
      <c r="GP273" s="205">
        <f>IF($J273="",#N/A,SUM(GN$4:GN273,GL$4:GL273,GJ$4:GJ273))</f>
        <v>-1.6833790887309608</v>
      </c>
      <c r="GS273" s="54">
        <f t="shared" si="541"/>
        <v>1.145068309247413</v>
      </c>
      <c r="GT273" s="54">
        <f>IF(GS273="",NA(),SUM($GS$4:GS273))</f>
        <v>9.4279816615354743</v>
      </c>
      <c r="GU273" s="54" t="str">
        <f t="shared" si="523"/>
        <v/>
      </c>
      <c r="GV273" s="54" t="e">
        <f>IF(GU273="",NA(),SUM($GU$4:GU273))</f>
        <v>#N/A</v>
      </c>
      <c r="GW273" s="54" t="str">
        <f t="shared" si="524"/>
        <v/>
      </c>
      <c r="GX273" s="54" t="e">
        <f>IF(GW273="",NA(),SUM($GW$4:GW273))</f>
        <v>#N/A</v>
      </c>
      <c r="GY273" s="54">
        <f t="shared" si="525"/>
        <v>1.145068309247413</v>
      </c>
      <c r="GZ273" s="54">
        <f>IF(GY273="",NA(),SUM($GY$4:GY273))</f>
        <v>9.3736397938886338</v>
      </c>
      <c r="HA273" s="54" t="str">
        <f t="shared" si="526"/>
        <v/>
      </c>
      <c r="HB273" s="54" t="e">
        <f>IF(HA273="",NA(),SUM($HA$4:HA273))</f>
        <v>#N/A</v>
      </c>
      <c r="HC273" s="54" t="str">
        <f t="shared" si="527"/>
        <v/>
      </c>
      <c r="HD273" s="54" t="e">
        <f>IF(HC273="",NA(),SUM($HC$4:HC273))</f>
        <v>#N/A</v>
      </c>
      <c r="HE273" s="54" t="str">
        <f t="shared" si="528"/>
        <v/>
      </c>
      <c r="HF273" s="54" t="e">
        <f>IF(HE273="",NA(),SUM($HE$4:HE273))</f>
        <v>#N/A</v>
      </c>
      <c r="HG273" s="54" t="str">
        <f t="shared" si="529"/>
        <v/>
      </c>
      <c r="HH273" s="54" t="e">
        <f>IF(HG273="",NA(),SUM($HG$4:HG273))</f>
        <v>#N/A</v>
      </c>
      <c r="HI273" s="172">
        <f t="shared" si="542"/>
        <v>-0.20269025244149474</v>
      </c>
      <c r="HJ273" s="172">
        <f>IF($J273="",#N/A,SUM(HI$4:$HI273))</f>
        <v>-8.140350339926913</v>
      </c>
      <c r="HK273" s="54" t="str">
        <f t="shared" si="530"/>
        <v/>
      </c>
      <c r="HL273" s="54">
        <f>IF($J273="",#N/A,SUM($HK$4:HK273))</f>
        <v>-2.5441407572908674</v>
      </c>
      <c r="HM273" s="54" t="str">
        <f t="shared" si="531"/>
        <v/>
      </c>
      <c r="HN273" s="54">
        <f>IF($J273="",#N/A,SUM($HM$4:HM273))</f>
        <v>0.957348620978966</v>
      </c>
      <c r="HO273" s="54" t="str">
        <f t="shared" si="532"/>
        <v/>
      </c>
      <c r="HP273" s="54">
        <f>IF($J273="",#N/A,SUM($HO$4:HO273))</f>
        <v>-0.75682593815002108</v>
      </c>
      <c r="HQ273" s="54" t="str">
        <f t="shared" si="533"/>
        <v/>
      </c>
      <c r="HR273" s="54">
        <f>IF($J273="",#N/A,SUM($HQ$4:HQ273))</f>
        <v>-14.877782597833791</v>
      </c>
      <c r="HS273" s="54" t="str">
        <f t="shared" si="534"/>
        <v/>
      </c>
      <c r="HT273" s="54">
        <f>IF($J273="",#N/A,SUM($HS$4:HS273))</f>
        <v>13.992432834598167</v>
      </c>
      <c r="HU273" s="65">
        <f t="shared" si="535"/>
        <v>0.94237805680591824</v>
      </c>
      <c r="HV273" s="65">
        <f>IF($J273="",#N/A,SUM(HU$4:$HU273))</f>
        <v>2.9984497097909126</v>
      </c>
    </row>
    <row r="274" spans="1:230" x14ac:dyDescent="0.25">
      <c r="A274" s="51" t="s">
        <v>7</v>
      </c>
      <c r="B274" s="52" t="s">
        <v>4567</v>
      </c>
      <c r="C274" s="229">
        <f t="shared" si="436"/>
        <v>2</v>
      </c>
      <c r="D274" s="219" t="str">
        <f>_xlfn.XLOOKUP(A274,[1]SP500!$A$2:$A$502,[1]SP500!$D$2:$D$502,"N")</f>
        <v>Y</v>
      </c>
      <c r="E274" s="51" t="str">
        <f>IFERROR(_xlfn.XLOOKUP(A274,[1]SP500!$A$2:$A$655,[1]SP500!$B$2:$B$655),"")</f>
        <v>XLV</v>
      </c>
      <c r="F274" s="290">
        <v>45783</v>
      </c>
      <c r="G274" s="51" t="str">
        <f t="shared" si="437"/>
        <v>BMO</v>
      </c>
      <c r="H274" s="51" t="str">
        <f t="shared" si="438"/>
        <v>s</v>
      </c>
      <c r="I274" s="344">
        <v>348.38</v>
      </c>
      <c r="J274" s="124">
        <v>341.96</v>
      </c>
      <c r="K274" s="55">
        <f t="shared" si="439"/>
        <v>-1.842815316608306E-2</v>
      </c>
      <c r="L274" s="67">
        <f t="shared" si="440"/>
        <v>19.259999999999991</v>
      </c>
      <c r="M274" s="57">
        <f t="shared" si="441"/>
        <v>11.129999999999882</v>
      </c>
      <c r="N274" s="102">
        <f t="shared" si="442"/>
        <v>19.259999999999991</v>
      </c>
      <c r="O274" s="57">
        <f>IF(N274="",#N/A,SUM($N$4:N274))</f>
        <v>686.6843278183735</v>
      </c>
      <c r="P274" s="65">
        <f t="shared" si="536"/>
        <v>0.30713588610138343</v>
      </c>
      <c r="Q274" s="172">
        <f>IF($N274="",#N/A,SUM($P$4:P274))</f>
        <v>14.67490377351676</v>
      </c>
      <c r="R274" s="279">
        <f t="shared" si="443"/>
        <v>2.3016948606024954</v>
      </c>
      <c r="S274" s="51" t="str">
        <f t="shared" si="444"/>
        <v>Dwn</v>
      </c>
      <c r="T274" s="51" t="s">
        <v>4462</v>
      </c>
      <c r="U274" s="56">
        <f t="shared" si="445"/>
        <v>348.38</v>
      </c>
      <c r="V274" s="56" t="s">
        <v>4458</v>
      </c>
      <c r="W274" s="142">
        <v>3</v>
      </c>
      <c r="X274" s="145">
        <f t="shared" si="446"/>
        <v>1045.1399999999999</v>
      </c>
      <c r="Y274" s="140">
        <f t="shared" si="447"/>
        <v>3</v>
      </c>
      <c r="Z274" s="123">
        <v>338.25</v>
      </c>
      <c r="AA274" s="102">
        <f t="shared" si="448"/>
        <v>30.389999999999873</v>
      </c>
      <c r="AB274" s="102">
        <f t="shared" si="449"/>
        <v>28.079999999999927</v>
      </c>
      <c r="AC274" s="124">
        <v>339.02</v>
      </c>
      <c r="AD274" s="155">
        <f t="shared" si="450"/>
        <v>28.079999999999927</v>
      </c>
      <c r="AE274" s="545">
        <f t="shared" si="451"/>
        <v>0.44778689936276372</v>
      </c>
      <c r="AF274" s="57">
        <f>IF($AC274="",#N/A,SUM(AD$4:AD274))</f>
        <v>114.59033976817716</v>
      </c>
      <c r="AG274" s="102">
        <f t="shared" si="452"/>
        <v>8.8199999999999363</v>
      </c>
      <c r="AH274" s="56" t="s">
        <v>2507</v>
      </c>
      <c r="AI274" s="65">
        <f t="shared" si="453"/>
        <v>0.48462406950264841</v>
      </c>
      <c r="AJ274" s="350">
        <f>IF(AI274="",#N/A,SUM($AI$4:AI274))</f>
        <v>12.373208912914265</v>
      </c>
      <c r="AK274" s="57">
        <f t="shared" si="454"/>
        <v>30.389999999999873</v>
      </c>
      <c r="AL274" s="349">
        <f>IF(AI274="",#N/A,IF(AH274="Skip",SUM($AK$4:AK274),SUM($AK$4:AK274)))</f>
        <v>518.59759149281467</v>
      </c>
      <c r="AM274" s="65">
        <f t="shared" si="537"/>
        <v>0.44778689936276372</v>
      </c>
      <c r="AN274" s="210"/>
      <c r="AO274" s="65" t="str">
        <f t="shared" si="455"/>
        <v/>
      </c>
      <c r="AP274" s="65">
        <f>IF($AC274="",#N/A,SUM(AO$4:AO274))</f>
        <v>2.3819803864672999</v>
      </c>
      <c r="AQ274" s="65" t="str">
        <f t="shared" si="456"/>
        <v/>
      </c>
      <c r="AR274" s="65">
        <f>IF($AC274="",#N/A,SUM(AQ$4:AQ274))</f>
        <v>-4.5506064883221358</v>
      </c>
      <c r="AS274" s="65">
        <f t="shared" si="457"/>
        <v>0.44778689936276372</v>
      </c>
      <c r="AT274" s="65">
        <f>IF($AC274="",#N/A,SUM(AS$4:AS274))</f>
        <v>5.6148627110085094</v>
      </c>
      <c r="AU274" s="57" t="str">
        <f t="shared" si="538"/>
        <v/>
      </c>
      <c r="AV274" s="57">
        <f>IF($AC274="",#N/A,SUM(AU$4:AU274))</f>
        <v>20.122490661046527</v>
      </c>
      <c r="AW274" s="57" t="str">
        <f t="shared" si="539"/>
        <v/>
      </c>
      <c r="AX274" s="57">
        <f>IF($AC274="",#N/A,SUM(AW$4:AW274))</f>
        <v>-299.03053243920203</v>
      </c>
      <c r="AY274" s="57">
        <f t="shared" si="540"/>
        <v>28.079999999999927</v>
      </c>
      <c r="AZ274" s="57">
        <f>IF($AC274="",#N/A,SUM(AY$4:AY274))</f>
        <v>393.49838154633267</v>
      </c>
      <c r="BA274" s="57">
        <f>IF(AD274="",#N/A,SUM($AD$4:AD274))</f>
        <v>114.59033976817716</v>
      </c>
      <c r="BC274" s="51" t="str">
        <f t="shared" si="458"/>
        <v/>
      </c>
      <c r="BD274" s="51" t="str">
        <f t="shared" si="459"/>
        <v/>
      </c>
      <c r="BE274" s="51" t="str">
        <f t="shared" si="460"/>
        <v/>
      </c>
      <c r="BF274" s="51" t="str">
        <f t="shared" si="461"/>
        <v>Short</v>
      </c>
      <c r="BG274" s="51">
        <f t="shared" si="462"/>
        <v>1</v>
      </c>
      <c r="BH274" s="51" t="str">
        <f t="shared" si="463"/>
        <v/>
      </c>
      <c r="BI274" s="51" t="str">
        <f t="shared" si="464"/>
        <v/>
      </c>
      <c r="BK274" s="65">
        <f t="shared" si="435"/>
        <v>3.9422303661532362E-2</v>
      </c>
      <c r="BL274" s="65">
        <f t="shared" si="434"/>
        <v>-7.2131692771562964E-2</v>
      </c>
      <c r="BM274" s="65">
        <f>IFERROR(Q274/COUNTA($J$4:J274),#N/A)</f>
        <v>5.4150936433641182E-2</v>
      </c>
      <c r="BO274" s="489" t="e">
        <f>IF(J274="",#N/A,IF(S274="SW",(COUNTIFS(K$4:$K274,"&gt;0",S$4:$S274,"SW")/COUNTIF(S$4:$S274,"SW")),#N/A))</f>
        <v>#N/A</v>
      </c>
      <c r="BP274" s="489">
        <f>IF($J274="",#N/A,IF($S274="DWN",(COUNTIFS($K$4:$K274,"&lt;0",$S$4:$S274,"DWN")/COUNTIF($S$4:$S274,"DWN")),#N/A))</f>
        <v>0.5901639344262295</v>
      </c>
      <c r="BQ274" s="489" t="e">
        <f>IF($J274="",#N/A,IF($S274="UP",(COUNTIFS($K$4:$K274,"&gt;0",$S$4:$S274,"UP")/COUNTIF($S$4:$S274,"UP")),#N/A))</f>
        <v>#N/A</v>
      </c>
      <c r="BR274" s="489">
        <f>IF(J274="",#N/A,COUNTIF($K$4:K274,"&gt;0")/COUNT($J$4:J274))</f>
        <v>0.44649446494464945</v>
      </c>
      <c r="BS274" s="65" t="str">
        <f t="shared" si="465"/>
        <v/>
      </c>
      <c r="BT274" s="65" t="str">
        <f t="shared" si="466"/>
        <v/>
      </c>
      <c r="BU274" s="65">
        <f t="shared" si="467"/>
        <v>0.30713588610138343</v>
      </c>
      <c r="BV274" s="65" t="str">
        <f t="shared" si="468"/>
        <v/>
      </c>
      <c r="BW274" s="128" t="str">
        <f t="shared" si="469"/>
        <v/>
      </c>
      <c r="BX274" s="128">
        <f>IF($J274="",#N/A,SUM($BW$4:BW274))</f>
        <v>-313.79959683283596</v>
      </c>
      <c r="BY274" s="131">
        <f t="shared" si="470"/>
        <v>19.259999999999991</v>
      </c>
      <c r="BZ274" s="131">
        <f>IF($J274="",#N/A,SUM($BY$4:BY274))</f>
        <v>960.86234038933424</v>
      </c>
      <c r="CA274" s="133" t="str">
        <f t="shared" si="471"/>
        <v/>
      </c>
      <c r="CB274" s="133">
        <f>IF($J274="",#N/A,SUM($CA$4:CA274))</f>
        <v>39.621584261875228</v>
      </c>
      <c r="CC274" s="194" t="str">
        <f t="shared" si="472"/>
        <v/>
      </c>
      <c r="CD274" s="194">
        <f>IF($J274="",#N/A,SUM($CC$4:CC274))</f>
        <v>-4.7511291711510797</v>
      </c>
      <c r="CE274" s="195">
        <f t="shared" si="473"/>
        <v>0.30713588610138343</v>
      </c>
      <c r="CF274" s="195">
        <f>IF($J274="",#N/A,SUM($CE$4:CE274))</f>
        <v>16.15870279496492</v>
      </c>
      <c r="CG274" s="196" t="str">
        <f t="shared" si="474"/>
        <v/>
      </c>
      <c r="CH274" s="196">
        <f>IF($J274="",#N/A,SUM($CG$4:CG274))</f>
        <v>3.2673301497029255</v>
      </c>
      <c r="CI274" s="200" t="str">
        <f t="shared" si="475"/>
        <v/>
      </c>
      <c r="CJ274" s="203">
        <f>IF($J274="",#N/A,SUM(CI$4:CI274))</f>
        <v>0</v>
      </c>
      <c r="CK274" s="204" t="str">
        <f t="shared" si="476"/>
        <v/>
      </c>
      <c r="CL274" s="204">
        <f>IF($J274="",#N/A,SUM(CK$4:CK274))</f>
        <v>2.3607894150410869</v>
      </c>
      <c r="CM274" s="205" t="str">
        <f t="shared" si="477"/>
        <v/>
      </c>
      <c r="CN274" s="205">
        <f>IF($J274="",#N/A,SUM(CM$4:CM274))</f>
        <v>2.5131182152625313</v>
      </c>
      <c r="CO274" s="205">
        <f>IF($J274="",#N/A,SUM(CM$4:CM274,CK$4:CK274,CI$4:CI274))</f>
        <v>4.8739076303036191</v>
      </c>
      <c r="CP274" s="200" t="str">
        <f t="shared" si="478"/>
        <v/>
      </c>
      <c r="CQ274" s="203">
        <f>IF($J274="",#N/A,SUM(CP$4:CP274))</f>
        <v>-1.489321591123322</v>
      </c>
      <c r="CR274" s="204" t="str">
        <f t="shared" si="479"/>
        <v/>
      </c>
      <c r="CS274" s="204">
        <f>IF($J274="",#N/A,SUM(CR$4:CR274))</f>
        <v>4.6135245886817966</v>
      </c>
      <c r="CT274" s="205" t="str">
        <f t="shared" si="480"/>
        <v/>
      </c>
      <c r="CU274" s="205">
        <f>IF($J274="",#N/A,SUM(CT$4:CT274))</f>
        <v>-2.9040943753548785</v>
      </c>
      <c r="CV274" s="205">
        <f>IF($J274="",#N/A,SUM(CT$4:CT274,CR$4:CR274,CP$4:CP274))</f>
        <v>0.22010862220359617</v>
      </c>
      <c r="CW274" s="200" t="str">
        <f t="shared" si="481"/>
        <v/>
      </c>
      <c r="CX274" s="203">
        <f>IF($J274="",#N/A,SUM(CW$4:CW274))</f>
        <v>-0.33865165024245297</v>
      </c>
      <c r="CY274" s="204" t="str">
        <f t="shared" si="482"/>
        <v/>
      </c>
      <c r="CZ274" s="204">
        <f>IF($J274="",#N/A,SUM(CY$4:CY274))</f>
        <v>0.30198222879878239</v>
      </c>
      <c r="DA274" s="205" t="str">
        <f t="shared" si="483"/>
        <v/>
      </c>
      <c r="DB274" s="205">
        <f>IF($J274="",#N/A,SUM(DA$4:DA274))</f>
        <v>-1.6929809429332021</v>
      </c>
      <c r="DC274" s="205">
        <f>IF($J274="",#N/A,SUM(DA$4:DA274,CY$4:CY274,CW$4:CW274))</f>
        <v>-1.7296503643768726</v>
      </c>
      <c r="DD274" s="200" t="str">
        <f t="shared" si="484"/>
        <v/>
      </c>
      <c r="DE274" s="203">
        <f>IF($J274="",#N/A,SUM(DD$4:DD274))</f>
        <v>0.24769343410817113</v>
      </c>
      <c r="DF274" s="204" t="str">
        <f t="shared" si="485"/>
        <v/>
      </c>
      <c r="DG274" s="204">
        <f>IF($J274="",#N/A,SUM(DF$4:DF274))</f>
        <v>1.7624645309390978</v>
      </c>
      <c r="DH274" s="205" t="str">
        <f t="shared" si="486"/>
        <v/>
      </c>
      <c r="DI274" s="205">
        <f>IF($J274="",#N/A,SUM(DH$4:DH274))</f>
        <v>-2.7812008102163399</v>
      </c>
      <c r="DJ274" s="205">
        <f>IF($J274="",#N/A,SUM(DH$4:DH274,DF$4:DF274,DD$4:DD274))</f>
        <v>-0.77104284516907118</v>
      </c>
      <c r="DK274" s="200" t="str">
        <f t="shared" si="487"/>
        <v/>
      </c>
      <c r="DL274" s="203">
        <f>IF($J274="",#N/A,SUM(DK$4:DK274))</f>
        <v>-1.2097286851272664</v>
      </c>
      <c r="DM274" s="204" t="str">
        <f t="shared" si="488"/>
        <v/>
      </c>
      <c r="DN274" s="204">
        <f>IF($J274="",#N/A,SUM(DM$4:DM274))</f>
        <v>3.0281848543081331</v>
      </c>
      <c r="DO274" s="205" t="str">
        <f t="shared" si="489"/>
        <v/>
      </c>
      <c r="DP274" s="205">
        <f>IF($J274="",#N/A,SUM(DO$4:DO274))</f>
        <v>2.700331529683047</v>
      </c>
      <c r="DQ274" s="205">
        <f>IF($J274="",#N/A,SUM(DO$4:DO274,DM$4:DM274,DK$4:DK274))</f>
        <v>4.518787698863914</v>
      </c>
      <c r="DR274" s="200" t="str">
        <f t="shared" si="490"/>
        <v/>
      </c>
      <c r="DS274" s="203">
        <f>IF($J274="",#N/A,SUM(DR$4:DR274))</f>
        <v>-0.55950946427675097</v>
      </c>
      <c r="DT274" s="204" t="str">
        <f t="shared" si="491"/>
        <v/>
      </c>
      <c r="DU274" s="204">
        <f>IF($J274="",#N/A,SUM(DT$4:DT274))</f>
        <v>-0.69837848627200172</v>
      </c>
      <c r="DV274" s="205" t="str">
        <f t="shared" si="492"/>
        <v/>
      </c>
      <c r="DW274" s="205">
        <f>IF($J274="",#N/A,SUM(DV$4:DV274))</f>
        <v>-1.5454397913873317</v>
      </c>
      <c r="DX274" s="205">
        <f>IF($J274="",#N/A,SUM(DV$4:DV274,DT$4:DT274,DR$4:DR274))</f>
        <v>-2.803327741936084</v>
      </c>
      <c r="DY274" s="200" t="str">
        <f t="shared" si="493"/>
        <v/>
      </c>
      <c r="DZ274" s="203">
        <f>IF($J274="",#N/A,SUM(DY$4:DY274))</f>
        <v>-1.0460034109943892</v>
      </c>
      <c r="EA274" s="204" t="str">
        <f t="shared" si="494"/>
        <v/>
      </c>
      <c r="EB274" s="204">
        <f>IF($J274="",#N/A,SUM(EA$4:EA274))</f>
        <v>2.468538401202053</v>
      </c>
      <c r="EC274" s="205" t="str">
        <f t="shared" si="495"/>
        <v/>
      </c>
      <c r="ED274" s="205">
        <f>IF($J274="",#N/A,SUM(EC$4:EC274))</f>
        <v>4.5772092731053986</v>
      </c>
      <c r="EE274" s="205">
        <f>IF($J274="",#N/A,SUM(EC$4:EC274,EA$4:EA274,DY$4:DY274))</f>
        <v>5.9997442633130609</v>
      </c>
      <c r="EF274" s="200" t="str">
        <f t="shared" si="496"/>
        <v/>
      </c>
      <c r="EG274" s="203">
        <f>IF($J274="",#N/A,SUM(EF$4:EF274))</f>
        <v>-0.15098969023521425</v>
      </c>
      <c r="EH274" s="204">
        <f t="shared" si="497"/>
        <v>0.30713588610138343</v>
      </c>
      <c r="EI274" s="204">
        <f>IF($J274="",#N/A,SUM(EH$4:EH274))</f>
        <v>-1.77369892728592</v>
      </c>
      <c r="EJ274" s="205" t="str">
        <f t="shared" si="498"/>
        <v/>
      </c>
      <c r="EK274" s="205">
        <f>IF($J274="",#N/A,SUM(EJ$4:EJ274))</f>
        <v>5.050388173053765</v>
      </c>
      <c r="EL274" s="205">
        <f>IF($J274="",#N/A,SUM(EJ$4:EJ274,EH$4:EH274,EF$4:EF274))</f>
        <v>3.1256995555326306</v>
      </c>
      <c r="EM274" s="200" t="str">
        <f t="shared" si="499"/>
        <v/>
      </c>
      <c r="EN274" s="203">
        <f>IF($J274="",#N/A,SUM(EM$4:EM274))</f>
        <v>0</v>
      </c>
      <c r="EO274" s="204" t="str">
        <f t="shared" si="500"/>
        <v/>
      </c>
      <c r="EP274" s="204">
        <f>IF($J274="",#N/A,SUM(EO$4:EO274))</f>
        <v>1.7186739929507637</v>
      </c>
      <c r="EQ274" s="205" t="str">
        <f t="shared" si="501"/>
        <v/>
      </c>
      <c r="ER274" s="205">
        <f>IF($J274="",#N/A,SUM(EQ$4:EQ274))</f>
        <v>1.441536272249796</v>
      </c>
      <c r="ES274" s="205">
        <f>IF($J274="",#N/A,SUM(EQ$4:EQ274,EO$4:EO274,EM$4:EM274))</f>
        <v>3.160210265200559</v>
      </c>
      <c r="ET274" s="200" t="str">
        <f t="shared" si="502"/>
        <v/>
      </c>
      <c r="EU274" s="203">
        <f>IF($J274="",#N/A,SUM(ET$4:ET274))</f>
        <v>0</v>
      </c>
      <c r="EV274" s="204" t="str">
        <f t="shared" si="503"/>
        <v/>
      </c>
      <c r="EW274" s="204">
        <f>IF($J274="",#N/A,SUM(EV$4:EV274))</f>
        <v>2.6896999443708767</v>
      </c>
      <c r="EX274" s="205" t="str">
        <f t="shared" si="504"/>
        <v/>
      </c>
      <c r="EY274" s="205">
        <f>IF($J274="",#N/A,SUM(EX$4:EX274))</f>
        <v>0.27113250180669229</v>
      </c>
      <c r="EZ274" s="205">
        <f>IF($J274="",#N/A,SUM(EX$4:EX274,EV$4:EV274,ET$4:ET274))</f>
        <v>2.9608324461775686</v>
      </c>
      <c r="FA274" s="200" t="str">
        <f t="shared" si="505"/>
        <v/>
      </c>
      <c r="FB274" s="203">
        <f>IF($J274="",#N/A,SUM(FA$4:FA274))</f>
        <v>-0.27145310509113252</v>
      </c>
      <c r="FC274" s="204" t="str">
        <f t="shared" si="506"/>
        <v/>
      </c>
      <c r="FD274" s="204">
        <f>IF($J274="",#N/A,SUM(FC$4:FC274))</f>
        <v>1.204376144197403</v>
      </c>
      <c r="FE274" s="205" t="str">
        <f t="shared" si="507"/>
        <v/>
      </c>
      <c r="FF274" s="205">
        <f>IF($J274="",#N/A,SUM(FE$4:FE274))</f>
        <v>-0.28811149078748233</v>
      </c>
      <c r="FG274" s="205">
        <f>IF($J274="",#N/A,SUM(FE$4:FE274,FC$4:FC274,FA$4:FA274))</f>
        <v>0.64481154831878851</v>
      </c>
      <c r="FH274" s="200" t="str">
        <f t="shared" si="508"/>
        <v/>
      </c>
      <c r="FI274" s="203">
        <f>IF($J274="",#N/A,SUM(FH$4:FH274))</f>
        <v>0</v>
      </c>
      <c r="FJ274" s="204" t="str">
        <f t="shared" si="509"/>
        <v/>
      </c>
      <c r="FK274" s="204">
        <f>IF($J274="",#N/A,SUM(FJ$4:FJ274))</f>
        <v>0</v>
      </c>
      <c r="FL274" s="205" t="str">
        <f t="shared" si="510"/>
        <v/>
      </c>
      <c r="FM274" s="205">
        <f>IF($J274="",#N/A,SUM(FL$4:FL274))</f>
        <v>0</v>
      </c>
      <c r="FN274" s="205">
        <f>IF($J274="",#N/A,SUM(FL$4:FL274,FJ$4:FJ274,FH$4:FH274))</f>
        <v>0</v>
      </c>
      <c r="FO274" s="200" t="str">
        <f t="shared" si="511"/>
        <v/>
      </c>
      <c r="FP274" s="203">
        <f>IF($J274="",#N/A,SUM(FO$4:FO274))</f>
        <v>0</v>
      </c>
      <c r="FQ274" s="204" t="str">
        <f t="shared" si="512"/>
        <v/>
      </c>
      <c r="FR274" s="204">
        <f>IF($J274="",#N/A,SUM(FQ$4:FQ274))</f>
        <v>0</v>
      </c>
      <c r="FS274" s="205" t="str">
        <f t="shared" si="513"/>
        <v/>
      </c>
      <c r="FT274" s="205">
        <f>IF($J274="",#N/A,SUM(FS$4:FS274))</f>
        <v>0</v>
      </c>
      <c r="FU274" s="205">
        <f>IF($J274="",#N/A,SUM(FS$4:FS274,FQ$4:FQ274,FO$4:FO274))</f>
        <v>0</v>
      </c>
      <c r="FV274" s="200" t="str">
        <f t="shared" si="514"/>
        <v/>
      </c>
      <c r="FW274" s="203">
        <f>IF($J274="",#N/A,SUM(FV$4:FV274))</f>
        <v>6.6834991831277585E-2</v>
      </c>
      <c r="FX274" s="204" t="str">
        <f t="shared" si="515"/>
        <v/>
      </c>
      <c r="FY274" s="204">
        <f>IF($J274="",#N/A,SUM(FX$4:FX274))</f>
        <v>-0.16102012791805576</v>
      </c>
      <c r="FZ274" s="205" t="str">
        <f t="shared" si="516"/>
        <v/>
      </c>
      <c r="GA274" s="205">
        <f>IF($J274="",#N/A,SUM(FZ$4:FZ274))</f>
        <v>-1.1377221770567538</v>
      </c>
      <c r="GB274" s="205">
        <f>IF($J274="",#N/A,SUM(FZ$4:FZ274,FX$4:FX274,FV$4:FV274))</f>
        <v>-1.2319073131435321</v>
      </c>
      <c r="GC274" s="200" t="str">
        <f t="shared" si="517"/>
        <v/>
      </c>
      <c r="GD274" s="203">
        <f>IF($J274="",#N/A,SUM(GC$4:GC274))</f>
        <v>0</v>
      </c>
      <c r="GE274" s="204" t="str">
        <f t="shared" si="518"/>
        <v/>
      </c>
      <c r="GF274" s="204">
        <f>IF($J274="",#N/A,SUM(GE$4:GE274))</f>
        <v>0</v>
      </c>
      <c r="GG274" s="205" t="str">
        <f t="shared" si="519"/>
        <v/>
      </c>
      <c r="GH274" s="205">
        <f>IF($J274="",#N/A,SUM(GG$4:GG274))</f>
        <v>-2.9368362277223206</v>
      </c>
      <c r="GI274" s="205">
        <f>IF($J274="",#N/A,SUM(GG$4:GG274,GE$4:GE274,GC$4:GC274))</f>
        <v>-2.9368362277223206</v>
      </c>
      <c r="GJ274" s="200" t="str">
        <f t="shared" si="520"/>
        <v/>
      </c>
      <c r="GK274" s="203">
        <f>IF($J274="",#N/A,SUM(GJ$4:GJ274))</f>
        <v>0</v>
      </c>
      <c r="GL274" s="204" t="str">
        <f t="shared" si="521"/>
        <v/>
      </c>
      <c r="GM274" s="204">
        <f>IF($J274="",#N/A,SUM(GL$4:GL274))</f>
        <v>-1.6833790887309608</v>
      </c>
      <c r="GN274" s="205" t="str">
        <f t="shared" si="522"/>
        <v/>
      </c>
      <c r="GO274" s="205">
        <f>IF($J274="",#N/A,SUM(GN$4:GN274))</f>
        <v>0</v>
      </c>
      <c r="GP274" s="205">
        <f>IF($J274="",#N/A,SUM(GN$4:GN274,GL$4:GL274,GJ$4:GJ274))</f>
        <v>-1.6833790887309608</v>
      </c>
      <c r="GS274" s="54">
        <f t="shared" si="541"/>
        <v>0.30713588610138343</v>
      </c>
      <c r="GT274" s="54">
        <f>IF(GS274="",NA(),SUM($GS$4:GS274))</f>
        <v>9.7351175476368574</v>
      </c>
      <c r="GU274" s="54" t="str">
        <f t="shared" si="523"/>
        <v/>
      </c>
      <c r="GV274" s="54" t="e">
        <f>IF(GU274="",NA(),SUM($GU$4:GU274))</f>
        <v>#N/A</v>
      </c>
      <c r="GW274" s="54" t="str">
        <f t="shared" si="524"/>
        <v/>
      </c>
      <c r="GX274" s="54" t="e">
        <f>IF(GW274="",NA(),SUM($GW$4:GW274))</f>
        <v>#N/A</v>
      </c>
      <c r="GY274" s="54">
        <f t="shared" si="525"/>
        <v>0.30713588610138343</v>
      </c>
      <c r="GZ274" s="54">
        <f>IF(GY274="",NA(),SUM($GY$4:GY274))</f>
        <v>9.6807756799900169</v>
      </c>
      <c r="HA274" s="54" t="str">
        <f t="shared" si="526"/>
        <v/>
      </c>
      <c r="HB274" s="54" t="e">
        <f>IF(HA274="",NA(),SUM($HA$4:HA274))</f>
        <v>#N/A</v>
      </c>
      <c r="HC274" s="54" t="str">
        <f t="shared" si="527"/>
        <v/>
      </c>
      <c r="HD274" s="54" t="e">
        <f>IF(HC274="",NA(),SUM($HC$4:HC274))</f>
        <v>#N/A</v>
      </c>
      <c r="HE274" s="54" t="str">
        <f t="shared" si="528"/>
        <v/>
      </c>
      <c r="HF274" s="54" t="e">
        <f>IF(HE274="",NA(),SUM($HE$4:HE274))</f>
        <v>#N/A</v>
      </c>
      <c r="HG274" s="54" t="str">
        <f t="shared" si="529"/>
        <v/>
      </c>
      <c r="HH274" s="54" t="e">
        <f>IF(HG274="",NA(),SUM($HG$4:HG274))</f>
        <v>#N/A</v>
      </c>
      <c r="HI274" s="172">
        <f t="shared" si="542"/>
        <v>0.1406510132613803</v>
      </c>
      <c r="HJ274" s="172">
        <f>IF($J274="",#N/A,SUM(HI$4:$HI274))</f>
        <v>-7.9996993266655325</v>
      </c>
      <c r="HK274" s="54" t="str">
        <f t="shared" si="530"/>
        <v/>
      </c>
      <c r="HL274" s="54">
        <f>IF($J274="",#N/A,SUM($HK$4:HK274))</f>
        <v>-2.5441407572908674</v>
      </c>
      <c r="HM274" s="54" t="str">
        <f t="shared" si="531"/>
        <v/>
      </c>
      <c r="HN274" s="54">
        <f>IF($J274="",#N/A,SUM($HM$4:HM274))</f>
        <v>0.957348620978966</v>
      </c>
      <c r="HO274" s="54" t="str">
        <f t="shared" si="532"/>
        <v/>
      </c>
      <c r="HP274" s="54">
        <f>IF($J274="",#N/A,SUM($HO$4:HO274))</f>
        <v>-0.75682593815002108</v>
      </c>
      <c r="HQ274" s="54" t="str">
        <f t="shared" si="533"/>
        <v/>
      </c>
      <c r="HR274" s="54">
        <f>IF($J274="",#N/A,SUM($HQ$4:HQ274))</f>
        <v>-14.877782597833791</v>
      </c>
      <c r="HS274" s="54" t="str">
        <f t="shared" si="534"/>
        <v/>
      </c>
      <c r="HT274" s="54">
        <f>IF($J274="",#N/A,SUM($HS$4:HS274))</f>
        <v>13.992432834598167</v>
      </c>
      <c r="HU274" s="65">
        <f t="shared" si="535"/>
        <v>0.44778689936276372</v>
      </c>
      <c r="HV274" s="65">
        <f>IF($J274="",#N/A,SUM(HU$4:$HU274))</f>
        <v>3.4462366091536762</v>
      </c>
    </row>
    <row r="275" spans="1:230" x14ac:dyDescent="0.25">
      <c r="A275" s="51" t="s">
        <v>51</v>
      </c>
      <c r="B275" s="52" t="s">
        <v>4567</v>
      </c>
      <c r="C275" s="229">
        <f t="shared" si="436"/>
        <v>2</v>
      </c>
      <c r="D275" s="219" t="str">
        <f>_xlfn.XLOOKUP(A275,[1]SP500!$A$2:$A$502,[1]SP500!$D$2:$D$502,"N")</f>
        <v>Y</v>
      </c>
      <c r="E275" s="51" t="str">
        <f>IFERROR(_xlfn.XLOOKUP(A275,[1]SP500!$A$2:$A$655,[1]SP500!$B$2:$B$655),"")</f>
        <v>XLV</v>
      </c>
      <c r="F275" s="290">
        <v>45783</v>
      </c>
      <c r="G275" s="51" t="str">
        <f t="shared" si="437"/>
        <v>BMO</v>
      </c>
      <c r="H275" s="51" t="str">
        <f t="shared" si="438"/>
        <v>s</v>
      </c>
      <c r="I275" s="344">
        <v>158.06</v>
      </c>
      <c r="J275" s="124">
        <v>159.68</v>
      </c>
      <c r="K275" s="55">
        <f t="shared" si="439"/>
        <v>1.0249272428191854E-2</v>
      </c>
      <c r="L275" s="67">
        <f t="shared" si="440"/>
        <v>-11.339999999999918</v>
      </c>
      <c r="M275" s="57">
        <f t="shared" si="441"/>
        <v>0</v>
      </c>
      <c r="N275" s="102">
        <f t="shared" si="442"/>
        <v>-11.339999999999918</v>
      </c>
      <c r="O275" s="57">
        <f>IF(N275="",#N/A,SUM($N$4:N275))</f>
        <v>675.34432781837359</v>
      </c>
      <c r="P275" s="65">
        <f t="shared" si="536"/>
        <v>-0.17082120713652921</v>
      </c>
      <c r="Q275" s="172">
        <f>IF($N275="",#N/A,SUM($P$4:P275))</f>
        <v>14.504082566380232</v>
      </c>
      <c r="R275" s="279">
        <f t="shared" si="443"/>
        <v>2.3016948606024954</v>
      </c>
      <c r="S275" s="51" t="str">
        <f t="shared" si="444"/>
        <v>Dwn</v>
      </c>
      <c r="T275" s="51" t="s">
        <v>4461</v>
      </c>
      <c r="U275" s="56">
        <f t="shared" si="445"/>
        <v>158.06</v>
      </c>
      <c r="V275" s="56" t="s">
        <v>4458</v>
      </c>
      <c r="W275" s="142">
        <v>7</v>
      </c>
      <c r="X275" s="145">
        <f t="shared" si="446"/>
        <v>1106.42</v>
      </c>
      <c r="Y275" s="140">
        <f t="shared" si="447"/>
        <v>7</v>
      </c>
      <c r="Z275" s="123">
        <v>159.68</v>
      </c>
      <c r="AA275" s="102">
        <f t="shared" si="448"/>
        <v>-11.339999999999918</v>
      </c>
      <c r="AB275" s="102">
        <f t="shared" si="449"/>
        <v>57.329999999999927</v>
      </c>
      <c r="AC275" s="124">
        <v>149.87</v>
      </c>
      <c r="AD275" s="155">
        <f t="shared" si="450"/>
        <v>57.329999999999927</v>
      </c>
      <c r="AE275" s="545">
        <f t="shared" si="451"/>
        <v>0.86359610274579168</v>
      </c>
      <c r="AF275" s="57">
        <f>IF($AC275="",#N/A,SUM(AD$4:AD275))</f>
        <v>171.92033976817709</v>
      </c>
      <c r="AG275" s="102">
        <f t="shared" si="452"/>
        <v>68.669999999999845</v>
      </c>
      <c r="AH275" s="56" t="s">
        <v>2507</v>
      </c>
      <c r="AI275" s="65">
        <f t="shared" si="453"/>
        <v>-0.17082120713652921</v>
      </c>
      <c r="AJ275" s="350">
        <f>IF(AI275="",#N/A,SUM($AI$4:AI275))</f>
        <v>12.202387705777737</v>
      </c>
      <c r="AK275" s="57">
        <f t="shared" si="454"/>
        <v>-11.339999999999918</v>
      </c>
      <c r="AL275" s="349">
        <f>IF(AI275="",#N/A,IF(AH275="Skip",SUM($AK$4:AK275),SUM($AK$4:AK275)))</f>
        <v>507.25759149281475</v>
      </c>
      <c r="AM275" s="65">
        <f t="shared" si="537"/>
        <v>0.86359610274579168</v>
      </c>
      <c r="AN275" s="210"/>
      <c r="AO275" s="65" t="str">
        <f t="shared" si="455"/>
        <v/>
      </c>
      <c r="AP275" s="65">
        <f>IF($AC275="",#N/A,SUM(AO$4:AO275))</f>
        <v>2.3819803864672999</v>
      </c>
      <c r="AQ275" s="65" t="str">
        <f t="shared" si="456"/>
        <v/>
      </c>
      <c r="AR275" s="65">
        <f>IF($AC275="",#N/A,SUM(AQ$4:AQ275))</f>
        <v>-4.5506064883221358</v>
      </c>
      <c r="AS275" s="65">
        <f t="shared" si="457"/>
        <v>0.86359610274579168</v>
      </c>
      <c r="AT275" s="65">
        <f>IF($AC275="",#N/A,SUM(AS$4:AS275))</f>
        <v>6.4784588137543011</v>
      </c>
      <c r="AU275" s="57" t="str">
        <f t="shared" si="538"/>
        <v/>
      </c>
      <c r="AV275" s="57">
        <f>IF($AC275="",#N/A,SUM(AU$4:AU275))</f>
        <v>20.122490661046527</v>
      </c>
      <c r="AW275" s="57" t="str">
        <f t="shared" si="539"/>
        <v/>
      </c>
      <c r="AX275" s="57">
        <f>IF($AC275="",#N/A,SUM(AW$4:AW275))</f>
        <v>-299.03053243920203</v>
      </c>
      <c r="AY275" s="57">
        <f t="shared" si="540"/>
        <v>57.329999999999927</v>
      </c>
      <c r="AZ275" s="57">
        <f>IF($AC275="",#N/A,SUM(AY$4:AY275))</f>
        <v>450.82838154633259</v>
      </c>
      <c r="BA275" s="57">
        <f>IF(AD275="",#N/A,SUM($AD$4:AD275))</f>
        <v>171.92033976817709</v>
      </c>
      <c r="BC275" s="51" t="str">
        <f t="shared" si="458"/>
        <v/>
      </c>
      <c r="BD275" s="51">
        <f t="shared" si="459"/>
        <v>1</v>
      </c>
      <c r="BE275" s="51" t="str">
        <f t="shared" si="460"/>
        <v/>
      </c>
      <c r="BF275" s="51" t="str">
        <f t="shared" si="461"/>
        <v>Short</v>
      </c>
      <c r="BG275" s="51" t="str">
        <f t="shared" si="462"/>
        <v/>
      </c>
      <c r="BH275" s="51" t="str">
        <f t="shared" si="463"/>
        <v/>
      </c>
      <c r="BI275" s="51" t="str">
        <f t="shared" si="464"/>
        <v/>
      </c>
      <c r="BK275" s="65">
        <f t="shared" si="435"/>
        <v>3.2300008639145082E-2</v>
      </c>
      <c r="BL275" s="65">
        <f t="shared" si="434"/>
        <v>-7.106298031530478E-2</v>
      </c>
      <c r="BM275" s="65">
        <f>IFERROR(Q275/COUNTA($J$4:J275),#N/A)</f>
        <v>5.3323832964633208E-2</v>
      </c>
      <c r="BO275" s="489" t="e">
        <f>IF(J275="",#N/A,IF(S275="SW",(COUNTIFS(K$4:$K275,"&gt;0",S$4:$S275,"SW")/COUNTIF(S$4:$S275,"SW")),#N/A))</f>
        <v>#N/A</v>
      </c>
      <c r="BP275" s="489">
        <f>IF($J275="",#N/A,IF($S275="DWN",(COUNTIFS($K$4:$K275,"&lt;0",$S$4:$S275,"DWN")/COUNTIF($S$4:$S275,"DWN")),#N/A))</f>
        <v>0.58536585365853655</v>
      </c>
      <c r="BQ275" s="489" t="e">
        <f>IF($J275="",#N/A,IF($S275="UP",(COUNTIFS($K$4:$K275,"&gt;0",$S$4:$S275,"UP")/COUNTIF($S$4:$S275,"UP")),#N/A))</f>
        <v>#N/A</v>
      </c>
      <c r="BR275" s="489">
        <f>IF(J275="",#N/A,COUNTIF($K$4:K275,"&gt;0")/COUNT($J$4:J275))</f>
        <v>0.4485294117647059</v>
      </c>
      <c r="BS275" s="65" t="str">
        <f t="shared" si="465"/>
        <v/>
      </c>
      <c r="BT275" s="65" t="str">
        <f t="shared" si="466"/>
        <v/>
      </c>
      <c r="BU275" s="65" t="str">
        <f t="shared" si="467"/>
        <v/>
      </c>
      <c r="BV275" s="65">
        <f t="shared" si="468"/>
        <v>-0.17082120713652921</v>
      </c>
      <c r="BW275" s="128" t="str">
        <f t="shared" si="469"/>
        <v/>
      </c>
      <c r="BX275" s="128">
        <f>IF($J275="",#N/A,SUM($BW$4:BW275))</f>
        <v>-313.79959683283596</v>
      </c>
      <c r="BY275" s="131">
        <f t="shared" si="470"/>
        <v>-11.339999999999918</v>
      </c>
      <c r="BZ275" s="131">
        <f>IF($J275="",#N/A,SUM($BY$4:BY275))</f>
        <v>949.52234038933432</v>
      </c>
      <c r="CA275" s="133" t="str">
        <f t="shared" si="471"/>
        <v/>
      </c>
      <c r="CB275" s="133">
        <f>IF($J275="",#N/A,SUM($CA$4:CA275))</f>
        <v>39.621584261875228</v>
      </c>
      <c r="CC275" s="194" t="str">
        <f t="shared" si="472"/>
        <v/>
      </c>
      <c r="CD275" s="194">
        <f>IF($J275="",#N/A,SUM($CC$4:CC275))</f>
        <v>-4.7511291711510797</v>
      </c>
      <c r="CE275" s="195">
        <f t="shared" si="473"/>
        <v>-0.17082120713652921</v>
      </c>
      <c r="CF275" s="195">
        <f>IF($J275="",#N/A,SUM($CE$4:CE275))</f>
        <v>15.987881587828392</v>
      </c>
      <c r="CG275" s="196" t="str">
        <f t="shared" si="474"/>
        <v/>
      </c>
      <c r="CH275" s="196">
        <f>IF($J275="",#N/A,SUM($CG$4:CG275))</f>
        <v>3.2673301497029255</v>
      </c>
      <c r="CI275" s="200" t="str">
        <f t="shared" si="475"/>
        <v/>
      </c>
      <c r="CJ275" s="203">
        <f>IF($J275="",#N/A,SUM(CI$4:CI275))</f>
        <v>0</v>
      </c>
      <c r="CK275" s="204" t="str">
        <f t="shared" si="476"/>
        <v/>
      </c>
      <c r="CL275" s="204">
        <f>IF($J275="",#N/A,SUM(CK$4:CK275))</f>
        <v>2.3607894150410869</v>
      </c>
      <c r="CM275" s="205" t="str">
        <f t="shared" si="477"/>
        <v/>
      </c>
      <c r="CN275" s="205">
        <f>IF($J275="",#N/A,SUM(CM$4:CM275))</f>
        <v>2.5131182152625313</v>
      </c>
      <c r="CO275" s="205">
        <f>IF($J275="",#N/A,SUM(CM$4:CM275,CK$4:CK275,CI$4:CI275))</f>
        <v>4.8739076303036191</v>
      </c>
      <c r="CP275" s="200" t="str">
        <f t="shared" si="478"/>
        <v/>
      </c>
      <c r="CQ275" s="203">
        <f>IF($J275="",#N/A,SUM(CP$4:CP275))</f>
        <v>-1.489321591123322</v>
      </c>
      <c r="CR275" s="204" t="str">
        <f t="shared" si="479"/>
        <v/>
      </c>
      <c r="CS275" s="204">
        <f>IF($J275="",#N/A,SUM(CR$4:CR275))</f>
        <v>4.6135245886817966</v>
      </c>
      <c r="CT275" s="205" t="str">
        <f t="shared" si="480"/>
        <v/>
      </c>
      <c r="CU275" s="205">
        <f>IF($J275="",#N/A,SUM(CT$4:CT275))</f>
        <v>-2.9040943753548785</v>
      </c>
      <c r="CV275" s="205">
        <f>IF($J275="",#N/A,SUM(CT$4:CT275,CR$4:CR275,CP$4:CP275))</f>
        <v>0.22010862220359617</v>
      </c>
      <c r="CW275" s="200" t="str">
        <f t="shared" si="481"/>
        <v/>
      </c>
      <c r="CX275" s="203">
        <f>IF($J275="",#N/A,SUM(CW$4:CW275))</f>
        <v>-0.33865165024245297</v>
      </c>
      <c r="CY275" s="204" t="str">
        <f t="shared" si="482"/>
        <v/>
      </c>
      <c r="CZ275" s="204">
        <f>IF($J275="",#N/A,SUM(CY$4:CY275))</f>
        <v>0.30198222879878239</v>
      </c>
      <c r="DA275" s="205" t="str">
        <f t="shared" si="483"/>
        <v/>
      </c>
      <c r="DB275" s="205">
        <f>IF($J275="",#N/A,SUM(DA$4:DA275))</f>
        <v>-1.6929809429332021</v>
      </c>
      <c r="DC275" s="205">
        <f>IF($J275="",#N/A,SUM(DA$4:DA275,CY$4:CY275,CW$4:CW275))</f>
        <v>-1.7296503643768726</v>
      </c>
      <c r="DD275" s="200" t="str">
        <f t="shared" si="484"/>
        <v/>
      </c>
      <c r="DE275" s="203">
        <f>IF($J275="",#N/A,SUM(DD$4:DD275))</f>
        <v>0.24769343410817113</v>
      </c>
      <c r="DF275" s="204" t="str">
        <f t="shared" si="485"/>
        <v/>
      </c>
      <c r="DG275" s="204">
        <f>IF($J275="",#N/A,SUM(DF$4:DF275))</f>
        <v>1.7624645309390978</v>
      </c>
      <c r="DH275" s="205" t="str">
        <f t="shared" si="486"/>
        <v/>
      </c>
      <c r="DI275" s="205">
        <f>IF($J275="",#N/A,SUM(DH$4:DH275))</f>
        <v>-2.7812008102163399</v>
      </c>
      <c r="DJ275" s="205">
        <f>IF($J275="",#N/A,SUM(DH$4:DH275,DF$4:DF275,DD$4:DD275))</f>
        <v>-0.77104284516907118</v>
      </c>
      <c r="DK275" s="200" t="str">
        <f t="shared" si="487"/>
        <v/>
      </c>
      <c r="DL275" s="203">
        <f>IF($J275="",#N/A,SUM(DK$4:DK275))</f>
        <v>-1.2097286851272664</v>
      </c>
      <c r="DM275" s="204" t="str">
        <f t="shared" si="488"/>
        <v/>
      </c>
      <c r="DN275" s="204">
        <f>IF($J275="",#N/A,SUM(DM$4:DM275))</f>
        <v>3.0281848543081331</v>
      </c>
      <c r="DO275" s="205" t="str">
        <f t="shared" si="489"/>
        <v/>
      </c>
      <c r="DP275" s="205">
        <f>IF($J275="",#N/A,SUM(DO$4:DO275))</f>
        <v>2.700331529683047</v>
      </c>
      <c r="DQ275" s="205">
        <f>IF($J275="",#N/A,SUM(DO$4:DO275,DM$4:DM275,DK$4:DK275))</f>
        <v>4.518787698863914</v>
      </c>
      <c r="DR275" s="200" t="str">
        <f t="shared" si="490"/>
        <v/>
      </c>
      <c r="DS275" s="203">
        <f>IF($J275="",#N/A,SUM(DR$4:DR275))</f>
        <v>-0.55950946427675097</v>
      </c>
      <c r="DT275" s="204" t="str">
        <f t="shared" si="491"/>
        <v/>
      </c>
      <c r="DU275" s="204">
        <f>IF($J275="",#N/A,SUM(DT$4:DT275))</f>
        <v>-0.69837848627200172</v>
      </c>
      <c r="DV275" s="205" t="str">
        <f t="shared" si="492"/>
        <v/>
      </c>
      <c r="DW275" s="205">
        <f>IF($J275="",#N/A,SUM(DV$4:DV275))</f>
        <v>-1.5454397913873317</v>
      </c>
      <c r="DX275" s="205">
        <f>IF($J275="",#N/A,SUM(DV$4:DV275,DT$4:DT275,DR$4:DR275))</f>
        <v>-2.803327741936084</v>
      </c>
      <c r="DY275" s="200" t="str">
        <f t="shared" si="493"/>
        <v/>
      </c>
      <c r="DZ275" s="203">
        <f>IF($J275="",#N/A,SUM(DY$4:DY275))</f>
        <v>-1.0460034109943892</v>
      </c>
      <c r="EA275" s="204" t="str">
        <f t="shared" si="494"/>
        <v/>
      </c>
      <c r="EB275" s="204">
        <f>IF($J275="",#N/A,SUM(EA$4:EA275))</f>
        <v>2.468538401202053</v>
      </c>
      <c r="EC275" s="205" t="str">
        <f t="shared" si="495"/>
        <v/>
      </c>
      <c r="ED275" s="205">
        <f>IF($J275="",#N/A,SUM(EC$4:EC275))</f>
        <v>4.5772092731053986</v>
      </c>
      <c r="EE275" s="205">
        <f>IF($J275="",#N/A,SUM(EC$4:EC275,EA$4:EA275,DY$4:DY275))</f>
        <v>5.9997442633130609</v>
      </c>
      <c r="EF275" s="200" t="str">
        <f t="shared" si="496"/>
        <v/>
      </c>
      <c r="EG275" s="203">
        <f>IF($J275="",#N/A,SUM(EF$4:EF275))</f>
        <v>-0.15098969023521425</v>
      </c>
      <c r="EH275" s="204">
        <f t="shared" si="497"/>
        <v>-0.17082120713652921</v>
      </c>
      <c r="EI275" s="204">
        <f>IF($J275="",#N/A,SUM(EH$4:EH275))</f>
        <v>-1.9445201344224492</v>
      </c>
      <c r="EJ275" s="205" t="str">
        <f t="shared" si="498"/>
        <v/>
      </c>
      <c r="EK275" s="205">
        <f>IF($J275="",#N/A,SUM(EJ$4:EJ275))</f>
        <v>5.050388173053765</v>
      </c>
      <c r="EL275" s="205">
        <f>IF($J275="",#N/A,SUM(EJ$4:EJ275,EH$4:EH275,EF$4:EF275))</f>
        <v>2.9548783483961012</v>
      </c>
      <c r="EM275" s="200" t="str">
        <f t="shared" si="499"/>
        <v/>
      </c>
      <c r="EN275" s="203">
        <f>IF($J275="",#N/A,SUM(EM$4:EM275))</f>
        <v>0</v>
      </c>
      <c r="EO275" s="204" t="str">
        <f t="shared" si="500"/>
        <v/>
      </c>
      <c r="EP275" s="204">
        <f>IF($J275="",#N/A,SUM(EO$4:EO275))</f>
        <v>1.7186739929507637</v>
      </c>
      <c r="EQ275" s="205" t="str">
        <f t="shared" si="501"/>
        <v/>
      </c>
      <c r="ER275" s="205">
        <f>IF($J275="",#N/A,SUM(EQ$4:EQ275))</f>
        <v>1.441536272249796</v>
      </c>
      <c r="ES275" s="205">
        <f>IF($J275="",#N/A,SUM(EQ$4:EQ275,EO$4:EO275,EM$4:EM275))</f>
        <v>3.160210265200559</v>
      </c>
      <c r="ET275" s="200" t="str">
        <f t="shared" si="502"/>
        <v/>
      </c>
      <c r="EU275" s="203">
        <f>IF($J275="",#N/A,SUM(ET$4:ET275))</f>
        <v>0</v>
      </c>
      <c r="EV275" s="204" t="str">
        <f t="shared" si="503"/>
        <v/>
      </c>
      <c r="EW275" s="204">
        <f>IF($J275="",#N/A,SUM(EV$4:EV275))</f>
        <v>2.6896999443708767</v>
      </c>
      <c r="EX275" s="205" t="str">
        <f t="shared" si="504"/>
        <v/>
      </c>
      <c r="EY275" s="205">
        <f>IF($J275="",#N/A,SUM(EX$4:EX275))</f>
        <v>0.27113250180669229</v>
      </c>
      <c r="EZ275" s="205">
        <f>IF($J275="",#N/A,SUM(EX$4:EX275,EV$4:EV275,ET$4:ET275))</f>
        <v>2.9608324461775686</v>
      </c>
      <c r="FA275" s="200" t="str">
        <f t="shared" si="505"/>
        <v/>
      </c>
      <c r="FB275" s="203">
        <f>IF($J275="",#N/A,SUM(FA$4:FA275))</f>
        <v>-0.27145310509113252</v>
      </c>
      <c r="FC275" s="204" t="str">
        <f t="shared" si="506"/>
        <v/>
      </c>
      <c r="FD275" s="204">
        <f>IF($J275="",#N/A,SUM(FC$4:FC275))</f>
        <v>1.204376144197403</v>
      </c>
      <c r="FE275" s="205" t="str">
        <f t="shared" si="507"/>
        <v/>
      </c>
      <c r="FF275" s="205">
        <f>IF($J275="",#N/A,SUM(FE$4:FE275))</f>
        <v>-0.28811149078748233</v>
      </c>
      <c r="FG275" s="205">
        <f>IF($J275="",#N/A,SUM(FE$4:FE275,FC$4:FC275,FA$4:FA275))</f>
        <v>0.64481154831878851</v>
      </c>
      <c r="FH275" s="200" t="str">
        <f t="shared" si="508"/>
        <v/>
      </c>
      <c r="FI275" s="203">
        <f>IF($J275="",#N/A,SUM(FH$4:FH275))</f>
        <v>0</v>
      </c>
      <c r="FJ275" s="204" t="str">
        <f t="shared" si="509"/>
        <v/>
      </c>
      <c r="FK275" s="204">
        <f>IF($J275="",#N/A,SUM(FJ$4:FJ275))</f>
        <v>0</v>
      </c>
      <c r="FL275" s="205" t="str">
        <f t="shared" si="510"/>
        <v/>
      </c>
      <c r="FM275" s="205">
        <f>IF($J275="",#N/A,SUM(FL$4:FL275))</f>
        <v>0</v>
      </c>
      <c r="FN275" s="205">
        <f>IF($J275="",#N/A,SUM(FL$4:FL275,FJ$4:FJ275,FH$4:FH275))</f>
        <v>0</v>
      </c>
      <c r="FO275" s="200" t="str">
        <f t="shared" si="511"/>
        <v/>
      </c>
      <c r="FP275" s="203">
        <f>IF($J275="",#N/A,SUM(FO$4:FO275))</f>
        <v>0</v>
      </c>
      <c r="FQ275" s="204" t="str">
        <f t="shared" si="512"/>
        <v/>
      </c>
      <c r="FR275" s="204">
        <f>IF($J275="",#N/A,SUM(FQ$4:FQ275))</f>
        <v>0</v>
      </c>
      <c r="FS275" s="205" t="str">
        <f t="shared" si="513"/>
        <v/>
      </c>
      <c r="FT275" s="205">
        <f>IF($J275="",#N/A,SUM(FS$4:FS275))</f>
        <v>0</v>
      </c>
      <c r="FU275" s="205">
        <f>IF($J275="",#N/A,SUM(FS$4:FS275,FQ$4:FQ275,FO$4:FO275))</f>
        <v>0</v>
      </c>
      <c r="FV275" s="200" t="str">
        <f t="shared" si="514"/>
        <v/>
      </c>
      <c r="FW275" s="203">
        <f>IF($J275="",#N/A,SUM(FV$4:FV275))</f>
        <v>6.6834991831277585E-2</v>
      </c>
      <c r="FX275" s="204" t="str">
        <f t="shared" si="515"/>
        <v/>
      </c>
      <c r="FY275" s="204">
        <f>IF($J275="",#N/A,SUM(FX$4:FX275))</f>
        <v>-0.16102012791805576</v>
      </c>
      <c r="FZ275" s="205" t="str">
        <f t="shared" si="516"/>
        <v/>
      </c>
      <c r="GA275" s="205">
        <f>IF($J275="",#N/A,SUM(FZ$4:FZ275))</f>
        <v>-1.1377221770567538</v>
      </c>
      <c r="GB275" s="205">
        <f>IF($J275="",#N/A,SUM(FZ$4:FZ275,FX$4:FX275,FV$4:FV275))</f>
        <v>-1.2319073131435321</v>
      </c>
      <c r="GC275" s="200" t="str">
        <f t="shared" si="517"/>
        <v/>
      </c>
      <c r="GD275" s="203">
        <f>IF($J275="",#N/A,SUM(GC$4:GC275))</f>
        <v>0</v>
      </c>
      <c r="GE275" s="204" t="str">
        <f t="shared" si="518"/>
        <v/>
      </c>
      <c r="GF275" s="204">
        <f>IF($J275="",#N/A,SUM(GE$4:GE275))</f>
        <v>0</v>
      </c>
      <c r="GG275" s="205" t="str">
        <f t="shared" si="519"/>
        <v/>
      </c>
      <c r="GH275" s="205">
        <f>IF($J275="",#N/A,SUM(GG$4:GG275))</f>
        <v>-2.9368362277223206</v>
      </c>
      <c r="GI275" s="205">
        <f>IF($J275="",#N/A,SUM(GG$4:GG275,GE$4:GE275,GC$4:GC275))</f>
        <v>-2.9368362277223206</v>
      </c>
      <c r="GJ275" s="200" t="str">
        <f t="shared" si="520"/>
        <v/>
      </c>
      <c r="GK275" s="203">
        <f>IF($J275="",#N/A,SUM(GJ$4:GJ275))</f>
        <v>0</v>
      </c>
      <c r="GL275" s="204" t="str">
        <f t="shared" si="521"/>
        <v/>
      </c>
      <c r="GM275" s="204">
        <f>IF($J275="",#N/A,SUM(GL$4:GL275))</f>
        <v>-1.6833790887309608</v>
      </c>
      <c r="GN275" s="205" t="str">
        <f t="shared" si="522"/>
        <v/>
      </c>
      <c r="GO275" s="205">
        <f>IF($J275="",#N/A,SUM(GN$4:GN275))</f>
        <v>0</v>
      </c>
      <c r="GP275" s="205">
        <f>IF($J275="",#N/A,SUM(GN$4:GN275,GL$4:GL275,GJ$4:GJ275))</f>
        <v>-1.6833790887309608</v>
      </c>
      <c r="GS275" s="54">
        <f t="shared" si="541"/>
        <v>-0.17082120713652921</v>
      </c>
      <c r="GT275" s="54">
        <f>IF(GS275="",NA(),SUM($GS$4:GS275))</f>
        <v>9.564296340500329</v>
      </c>
      <c r="GU275" s="54" t="str">
        <f t="shared" si="523"/>
        <v/>
      </c>
      <c r="GV275" s="54" t="e">
        <f>IF(GU275="",NA(),SUM($GU$4:GU275))</f>
        <v>#N/A</v>
      </c>
      <c r="GW275" s="54" t="str">
        <f t="shared" si="524"/>
        <v/>
      </c>
      <c r="GX275" s="54" t="e">
        <f>IF(GW275="",NA(),SUM($GW$4:GW275))</f>
        <v>#N/A</v>
      </c>
      <c r="GY275" s="54">
        <f t="shared" si="525"/>
        <v>-0.17082120713652921</v>
      </c>
      <c r="GZ275" s="54">
        <f>IF(GY275="",NA(),SUM($GY$4:GY275))</f>
        <v>9.5099544728534884</v>
      </c>
      <c r="HA275" s="54" t="str">
        <f t="shared" si="526"/>
        <v/>
      </c>
      <c r="HB275" s="54" t="e">
        <f>IF(HA275="",NA(),SUM($HA$4:HA275))</f>
        <v>#N/A</v>
      </c>
      <c r="HC275" s="54" t="str">
        <f t="shared" si="527"/>
        <v/>
      </c>
      <c r="HD275" s="54" t="e">
        <f>IF(HC275="",NA(),SUM($HC$4:HC275))</f>
        <v>#N/A</v>
      </c>
      <c r="HE275" s="54" t="str">
        <f t="shared" si="528"/>
        <v/>
      </c>
      <c r="HF275" s="54" t="e">
        <f>IF(HE275="",NA(),SUM($HE$4:HE275))</f>
        <v>#N/A</v>
      </c>
      <c r="HG275" s="54" t="str">
        <f t="shared" si="529"/>
        <v/>
      </c>
      <c r="HH275" s="54" t="e">
        <f>IF(HG275="",NA(),SUM($HG$4:HG275))</f>
        <v>#N/A</v>
      </c>
      <c r="HI275" s="172" t="str">
        <f t="shared" si="542"/>
        <v/>
      </c>
      <c r="HJ275" s="172">
        <f>IF($J275="",#N/A,SUM(HI$4:$HI275))</f>
        <v>-7.9996993266655325</v>
      </c>
      <c r="HK275" s="54">
        <f t="shared" si="530"/>
        <v>1.0344173098823208</v>
      </c>
      <c r="HL275" s="54">
        <f>IF($J275="",#N/A,SUM($HK$4:HK275))</f>
        <v>-1.5097234474085466</v>
      </c>
      <c r="HM275" s="54" t="str">
        <f t="shared" si="531"/>
        <v/>
      </c>
      <c r="HN275" s="54">
        <f>IF($J275="",#N/A,SUM($HM$4:HM275))</f>
        <v>0.957348620978966</v>
      </c>
      <c r="HO275" s="54" t="str">
        <f t="shared" si="532"/>
        <v/>
      </c>
      <c r="HP275" s="54">
        <f>IF($J275="",#N/A,SUM($HO$4:HO275))</f>
        <v>-0.75682593815002108</v>
      </c>
      <c r="HQ275" s="54" t="str">
        <f t="shared" si="533"/>
        <v/>
      </c>
      <c r="HR275" s="54">
        <f>IF($J275="",#N/A,SUM($HQ$4:HQ275))</f>
        <v>-14.877782597833791</v>
      </c>
      <c r="HS275" s="54" t="str">
        <f t="shared" si="534"/>
        <v/>
      </c>
      <c r="HT275" s="54">
        <f>IF($J275="",#N/A,SUM($HS$4:HS275))</f>
        <v>13.992432834598167</v>
      </c>
      <c r="HU275" s="65">
        <f t="shared" si="535"/>
        <v>0.86359610274579168</v>
      </c>
      <c r="HV275" s="65">
        <f>IF($J275="",#N/A,SUM(HU$4:$HU275))</f>
        <v>4.3098327118994675</v>
      </c>
    </row>
    <row r="276" spans="1:230" x14ac:dyDescent="0.25">
      <c r="A276" s="51" t="s">
        <v>606</v>
      </c>
      <c r="B276" s="428" t="s">
        <v>4567</v>
      </c>
      <c r="C276" s="429">
        <f t="shared" si="436"/>
        <v>2</v>
      </c>
      <c r="D276" s="219" t="str">
        <f>_xlfn.XLOOKUP(A276,[1]SP500!$A$2:$A$502,[1]SP500!$D$2:$D$502,"N")</f>
        <v>Y</v>
      </c>
      <c r="E276" s="51" t="str">
        <f>IFERROR(_xlfn.XLOOKUP(A276,[1]SP500!$A$2:$A$655,[1]SP500!$B$2:$B$655),"")</f>
        <v>IGV</v>
      </c>
      <c r="F276" s="53">
        <v>45783</v>
      </c>
      <c r="G276" s="51" t="str">
        <f t="shared" si="437"/>
        <v>BMO</v>
      </c>
      <c r="H276" s="51" t="str">
        <f t="shared" si="438"/>
        <v>s</v>
      </c>
      <c r="I276" s="344">
        <v>105.7</v>
      </c>
      <c r="J276" s="124">
        <v>104.67</v>
      </c>
      <c r="K276" s="55">
        <f t="shared" si="439"/>
        <v>-9.7445600756859135E-3</v>
      </c>
      <c r="L276" s="67">
        <f t="shared" si="440"/>
        <v>10.299999999999955</v>
      </c>
      <c r="M276" s="57">
        <f t="shared" si="441"/>
        <v>6.1000000000001364</v>
      </c>
      <c r="N276" s="102">
        <f t="shared" si="442"/>
        <v>10.299999999999955</v>
      </c>
      <c r="O276" s="57">
        <f>IF(N276="",#N/A,SUM($N$4:N276))</f>
        <v>685.64432781837354</v>
      </c>
      <c r="P276" s="65">
        <f t="shared" si="536"/>
        <v>0.16240933459476437</v>
      </c>
      <c r="Q276" s="172">
        <f>IF($N276="",#N/A,SUM($P$4:P276))</f>
        <v>14.666491900974997</v>
      </c>
      <c r="R276" s="359">
        <f t="shared" si="443"/>
        <v>2.2055106915706428</v>
      </c>
      <c r="S276" s="51" t="str">
        <f t="shared" si="444"/>
        <v>Dwn</v>
      </c>
      <c r="T276" s="51" t="s">
        <v>4462</v>
      </c>
      <c r="U276" s="56">
        <f t="shared" si="445"/>
        <v>105.7</v>
      </c>
      <c r="V276" s="56" t="s">
        <v>4458</v>
      </c>
      <c r="W276" s="140">
        <v>10</v>
      </c>
      <c r="X276" s="145">
        <f t="shared" si="446"/>
        <v>1057</v>
      </c>
      <c r="Y276" s="140">
        <f t="shared" si="447"/>
        <v>10</v>
      </c>
      <c r="Z276" s="123">
        <v>104.06</v>
      </c>
      <c r="AA276" s="102">
        <f t="shared" si="448"/>
        <v>16.400000000000091</v>
      </c>
      <c r="AB276" s="102">
        <f t="shared" si="449"/>
        <v>-3.5999999999999091</v>
      </c>
      <c r="AC276" s="124">
        <v>106.06</v>
      </c>
      <c r="AD276" s="155">
        <f t="shared" si="450"/>
        <v>-3.5999999999999091</v>
      </c>
      <c r="AE276" s="545">
        <f t="shared" si="451"/>
        <v>-5.6764427625353352E-2</v>
      </c>
      <c r="AF276" s="57">
        <f>IF($AC276="",#N/A,SUM(AD$4:AD276))</f>
        <v>168.32033976817718</v>
      </c>
      <c r="AG276" s="102">
        <f t="shared" si="452"/>
        <v>-13.899999999999864</v>
      </c>
      <c r="AH276" s="56" t="s">
        <v>2507</v>
      </c>
      <c r="AI276" s="65">
        <f t="shared" si="453"/>
        <v>0.25859350362661765</v>
      </c>
      <c r="AJ276" s="350">
        <f>IF(AI276="",#N/A,SUM($AI$4:AI276))</f>
        <v>12.460981209404354</v>
      </c>
      <c r="AK276" s="57">
        <f t="shared" si="454"/>
        <v>16.400000000000091</v>
      </c>
      <c r="AL276" s="349">
        <f>IF(AI276="",#N/A,IF(AH276="Skip",SUM($AK$4:AK276),SUM($AK$4:AK276)))</f>
        <v>523.65759149281484</v>
      </c>
      <c r="AM276" s="65">
        <f t="shared" si="537"/>
        <v>-5.6764427625353352E-2</v>
      </c>
      <c r="AN276" s="210"/>
      <c r="AO276" s="436" t="str">
        <f t="shared" si="455"/>
        <v/>
      </c>
      <c r="AP276" s="436">
        <f>IF($AC276="",#N/A,SUM(AO$4:AO276))</f>
        <v>2.3819803864672999</v>
      </c>
      <c r="AQ276" s="436" t="str">
        <f t="shared" si="456"/>
        <v/>
      </c>
      <c r="AR276" s="436">
        <f>IF($AC276="",#N/A,SUM(AQ$4:AQ276))</f>
        <v>-4.5506064883221358</v>
      </c>
      <c r="AS276" s="436">
        <f t="shared" si="457"/>
        <v>-5.6764427625353352E-2</v>
      </c>
      <c r="AT276" s="436">
        <f>IF($AC276="",#N/A,SUM(AS$4:AS276))</f>
        <v>6.4216943861289479</v>
      </c>
      <c r="AU276" s="435" t="str">
        <f t="shared" si="538"/>
        <v/>
      </c>
      <c r="AV276" s="435">
        <f>IF($AC276="",#N/A,SUM(AU$4:AU276))</f>
        <v>20.122490661046527</v>
      </c>
      <c r="AW276" s="435" t="str">
        <f t="shared" si="539"/>
        <v/>
      </c>
      <c r="AX276" s="435">
        <f>IF($AC276="",#N/A,SUM(AW$4:AW276))</f>
        <v>-299.03053243920203</v>
      </c>
      <c r="AY276" s="435">
        <f t="shared" si="540"/>
        <v>-3.5999999999999091</v>
      </c>
      <c r="AZ276" s="435">
        <f>IF($AC276="",#N/A,SUM(AY$4:AY276))</f>
        <v>447.22838154633268</v>
      </c>
      <c r="BA276" s="435">
        <f>IF(AD276="",#N/A,SUM($AD$4:AD276))</f>
        <v>168.32033976817718</v>
      </c>
      <c r="BC276" s="427" t="str">
        <f t="shared" si="458"/>
        <v/>
      </c>
      <c r="BD276" s="427" t="str">
        <f t="shared" si="459"/>
        <v/>
      </c>
      <c r="BE276" s="427" t="str">
        <f t="shared" si="460"/>
        <v/>
      </c>
      <c r="BF276" s="427" t="str">
        <f t="shared" si="461"/>
        <v>Short</v>
      </c>
      <c r="BG276" s="427">
        <f t="shared" si="462"/>
        <v>1</v>
      </c>
      <c r="BH276" s="427" t="str">
        <f t="shared" si="463"/>
        <v/>
      </c>
      <c r="BI276" s="427" t="str">
        <f t="shared" si="464"/>
        <v/>
      </c>
      <c r="BK276" s="65">
        <f t="shared" si="435"/>
        <v>4.2726413152822537E-2</v>
      </c>
      <c r="BL276" s="65">
        <f t="shared" si="434"/>
        <v>-4.342119915424078E-2</v>
      </c>
      <c r="BM276" s="65">
        <f>IFERROR(Q276/COUNTA($J$4:J276),#N/A)</f>
        <v>5.3723413556684967E-2</v>
      </c>
      <c r="BO276" s="489" t="e">
        <f>IF(J276="",#N/A,IF(S276="SW",(COUNTIFS(K$4:$K276,"&gt;0",S$4:$S276,"SW")/COUNTIF(S$4:$S276,"SW")),#N/A))</f>
        <v>#N/A</v>
      </c>
      <c r="BP276" s="489">
        <f>IF($J276="",#N/A,IF($S276="DWN",(COUNTIFS($K$4:$K276,"&lt;0",$S$4:$S276,"DWN")/COUNTIF($S$4:$S276,"DWN")),#N/A))</f>
        <v>0.58870967741935487</v>
      </c>
      <c r="BQ276" s="489" t="e">
        <f>IF($J276="",#N/A,IF($S276="UP",(COUNTIFS($K$4:$K276,"&gt;0",$S$4:$S276,"UP")/COUNTIF($S$4:$S276,"UP")),#N/A))</f>
        <v>#N/A</v>
      </c>
      <c r="BR276" s="489">
        <f>IF(J276="",#N/A,COUNTIF($K$4:K276,"&gt;0")/COUNT($J$4:J276))</f>
        <v>0.44688644688644691</v>
      </c>
      <c r="BS276" s="65" t="str">
        <f t="shared" si="465"/>
        <v/>
      </c>
      <c r="BT276" s="65" t="str">
        <f t="shared" si="466"/>
        <v/>
      </c>
      <c r="BU276" s="65">
        <f t="shared" si="467"/>
        <v>0.16240933459476437</v>
      </c>
      <c r="BV276" s="65" t="str">
        <f t="shared" si="468"/>
        <v/>
      </c>
      <c r="BW276" s="128" t="str">
        <f t="shared" si="469"/>
        <v/>
      </c>
      <c r="BX276" s="128">
        <f>IF($J276="",#N/A,SUM($BW$4:BW276))</f>
        <v>-313.79959683283596</v>
      </c>
      <c r="BY276" s="131">
        <f t="shared" si="470"/>
        <v>10.299999999999955</v>
      </c>
      <c r="BZ276" s="131">
        <f>IF($J276="",#N/A,SUM($BY$4:BY276))</f>
        <v>959.82234038933427</v>
      </c>
      <c r="CA276" s="133" t="str">
        <f t="shared" si="471"/>
        <v/>
      </c>
      <c r="CB276" s="133">
        <f>IF($J276="",#N/A,SUM($CA$4:CA276))</f>
        <v>39.621584261875228</v>
      </c>
      <c r="CC276" s="194" t="str">
        <f t="shared" si="472"/>
        <v/>
      </c>
      <c r="CD276" s="194">
        <f>IF($J276="",#N/A,SUM($CC$4:CC276))</f>
        <v>-4.7511291711510797</v>
      </c>
      <c r="CE276" s="195">
        <f t="shared" si="473"/>
        <v>0.16240933459476437</v>
      </c>
      <c r="CF276" s="195">
        <f>IF($J276="",#N/A,SUM($CE$4:CE276))</f>
        <v>16.150290922423157</v>
      </c>
      <c r="CG276" s="196" t="str">
        <f t="shared" si="474"/>
        <v/>
      </c>
      <c r="CH276" s="196">
        <f>IF($J276="",#N/A,SUM($CG$4:CG276))</f>
        <v>3.2673301497029255</v>
      </c>
      <c r="CI276" s="200" t="str">
        <f t="shared" si="475"/>
        <v/>
      </c>
      <c r="CJ276" s="203">
        <f>IF($J276="",#N/A,SUM(CI$4:CI276))</f>
        <v>0</v>
      </c>
      <c r="CK276" s="204" t="str">
        <f t="shared" si="476"/>
        <v/>
      </c>
      <c r="CL276" s="204">
        <f>IF($J276="",#N/A,SUM(CK$4:CK276))</f>
        <v>2.3607894150410869</v>
      </c>
      <c r="CM276" s="205" t="str">
        <f t="shared" si="477"/>
        <v/>
      </c>
      <c r="CN276" s="205">
        <f>IF($J276="",#N/A,SUM(CM$4:CM276))</f>
        <v>2.5131182152625313</v>
      </c>
      <c r="CO276" s="205">
        <f>IF($J276="",#N/A,SUM(CM$4:CM276,CK$4:CK276,CI$4:CI276))</f>
        <v>4.8739076303036191</v>
      </c>
      <c r="CP276" s="200" t="str">
        <f t="shared" si="478"/>
        <v/>
      </c>
      <c r="CQ276" s="203">
        <f>IF($J276="",#N/A,SUM(CP$4:CP276))</f>
        <v>-1.489321591123322</v>
      </c>
      <c r="CR276" s="204">
        <f t="shared" si="479"/>
        <v>0.16240933459476437</v>
      </c>
      <c r="CS276" s="204">
        <f>IF($J276="",#N/A,SUM(CR$4:CR276))</f>
        <v>4.7759339232765612</v>
      </c>
      <c r="CT276" s="205" t="str">
        <f t="shared" si="480"/>
        <v/>
      </c>
      <c r="CU276" s="205">
        <f>IF($J276="",#N/A,SUM(CT$4:CT276))</f>
        <v>-2.9040943753548785</v>
      </c>
      <c r="CV276" s="205">
        <f>IF($J276="",#N/A,SUM(CT$4:CT276,CR$4:CR276,CP$4:CP276))</f>
        <v>0.38251795679836054</v>
      </c>
      <c r="CW276" s="200" t="str">
        <f t="shared" si="481"/>
        <v/>
      </c>
      <c r="CX276" s="203">
        <f>IF($J276="",#N/A,SUM(CW$4:CW276))</f>
        <v>-0.33865165024245297</v>
      </c>
      <c r="CY276" s="204" t="str">
        <f t="shared" si="482"/>
        <v/>
      </c>
      <c r="CZ276" s="204">
        <f>IF($J276="",#N/A,SUM(CY$4:CY276))</f>
        <v>0.30198222879878239</v>
      </c>
      <c r="DA276" s="205" t="str">
        <f t="shared" si="483"/>
        <v/>
      </c>
      <c r="DB276" s="205">
        <f>IF($J276="",#N/A,SUM(DA$4:DA276))</f>
        <v>-1.6929809429332021</v>
      </c>
      <c r="DC276" s="205">
        <f>IF($J276="",#N/A,SUM(DA$4:DA276,CY$4:CY276,CW$4:CW276))</f>
        <v>-1.7296503643768726</v>
      </c>
      <c r="DD276" s="200" t="str">
        <f t="shared" si="484"/>
        <v/>
      </c>
      <c r="DE276" s="203">
        <f>IF($J276="",#N/A,SUM(DD$4:DD276))</f>
        <v>0.24769343410817113</v>
      </c>
      <c r="DF276" s="204" t="str">
        <f t="shared" si="485"/>
        <v/>
      </c>
      <c r="DG276" s="204">
        <f>IF($J276="",#N/A,SUM(DF$4:DF276))</f>
        <v>1.7624645309390978</v>
      </c>
      <c r="DH276" s="205" t="str">
        <f t="shared" si="486"/>
        <v/>
      </c>
      <c r="DI276" s="205">
        <f>IF($J276="",#N/A,SUM(DH$4:DH276))</f>
        <v>-2.7812008102163399</v>
      </c>
      <c r="DJ276" s="205">
        <f>IF($J276="",#N/A,SUM(DH$4:DH276,DF$4:DF276,DD$4:DD276))</f>
        <v>-0.77104284516907118</v>
      </c>
      <c r="DK276" s="200" t="str">
        <f t="shared" si="487"/>
        <v/>
      </c>
      <c r="DL276" s="203">
        <f>IF($J276="",#N/A,SUM(DK$4:DK276))</f>
        <v>-1.2097286851272664</v>
      </c>
      <c r="DM276" s="204" t="str">
        <f t="shared" si="488"/>
        <v/>
      </c>
      <c r="DN276" s="204">
        <f>IF($J276="",#N/A,SUM(DM$4:DM276))</f>
        <v>3.0281848543081331</v>
      </c>
      <c r="DO276" s="205" t="str">
        <f t="shared" si="489"/>
        <v/>
      </c>
      <c r="DP276" s="205">
        <f>IF($J276="",#N/A,SUM(DO$4:DO276))</f>
        <v>2.700331529683047</v>
      </c>
      <c r="DQ276" s="205">
        <f>IF($J276="",#N/A,SUM(DO$4:DO276,DM$4:DM276,DK$4:DK276))</f>
        <v>4.518787698863914</v>
      </c>
      <c r="DR276" s="200" t="str">
        <f t="shared" si="490"/>
        <v/>
      </c>
      <c r="DS276" s="203">
        <f>IF($J276="",#N/A,SUM(DR$4:DR276))</f>
        <v>-0.55950946427675097</v>
      </c>
      <c r="DT276" s="204" t="str">
        <f t="shared" si="491"/>
        <v/>
      </c>
      <c r="DU276" s="204">
        <f>IF($J276="",#N/A,SUM(DT$4:DT276))</f>
        <v>-0.69837848627200172</v>
      </c>
      <c r="DV276" s="205" t="str">
        <f t="shared" si="492"/>
        <v/>
      </c>
      <c r="DW276" s="205">
        <f>IF($J276="",#N/A,SUM(DV$4:DV276))</f>
        <v>-1.5454397913873317</v>
      </c>
      <c r="DX276" s="205">
        <f>IF($J276="",#N/A,SUM(DV$4:DV276,DT$4:DT276,DR$4:DR276))</f>
        <v>-2.803327741936084</v>
      </c>
      <c r="DY276" s="200" t="str">
        <f t="shared" si="493"/>
        <v/>
      </c>
      <c r="DZ276" s="203">
        <f>IF($J276="",#N/A,SUM(DY$4:DY276))</f>
        <v>-1.0460034109943892</v>
      </c>
      <c r="EA276" s="204" t="str">
        <f t="shared" si="494"/>
        <v/>
      </c>
      <c r="EB276" s="204">
        <f>IF($J276="",#N/A,SUM(EA$4:EA276))</f>
        <v>2.468538401202053</v>
      </c>
      <c r="EC276" s="205" t="str">
        <f t="shared" si="495"/>
        <v/>
      </c>
      <c r="ED276" s="205">
        <f>IF($J276="",#N/A,SUM(EC$4:EC276))</f>
        <v>4.5772092731053986</v>
      </c>
      <c r="EE276" s="205">
        <f>IF($J276="",#N/A,SUM(EC$4:EC276,EA$4:EA276,DY$4:DY276))</f>
        <v>5.9997442633130609</v>
      </c>
      <c r="EF276" s="200" t="str">
        <f t="shared" si="496"/>
        <v/>
      </c>
      <c r="EG276" s="203">
        <f>IF($J276="",#N/A,SUM(EF$4:EF276))</f>
        <v>-0.15098969023521425</v>
      </c>
      <c r="EH276" s="204" t="str">
        <f t="shared" si="497"/>
        <v/>
      </c>
      <c r="EI276" s="204">
        <f>IF($J276="",#N/A,SUM(EH$4:EH276))</f>
        <v>-1.9445201344224492</v>
      </c>
      <c r="EJ276" s="205" t="str">
        <f t="shared" si="498"/>
        <v/>
      </c>
      <c r="EK276" s="205">
        <f>IF($J276="",#N/A,SUM(EJ$4:EJ276))</f>
        <v>5.050388173053765</v>
      </c>
      <c r="EL276" s="205">
        <f>IF($J276="",#N/A,SUM(EJ$4:EJ276,EH$4:EH276,EF$4:EF276))</f>
        <v>2.9548783483961012</v>
      </c>
      <c r="EM276" s="200" t="str">
        <f t="shared" si="499"/>
        <v/>
      </c>
      <c r="EN276" s="203">
        <f>IF($J276="",#N/A,SUM(EM$4:EM276))</f>
        <v>0</v>
      </c>
      <c r="EO276" s="204" t="str">
        <f t="shared" si="500"/>
        <v/>
      </c>
      <c r="EP276" s="204">
        <f>IF($J276="",#N/A,SUM(EO$4:EO276))</f>
        <v>1.7186739929507637</v>
      </c>
      <c r="EQ276" s="205" t="str">
        <f t="shared" si="501"/>
        <v/>
      </c>
      <c r="ER276" s="205">
        <f>IF($J276="",#N/A,SUM(EQ$4:EQ276))</f>
        <v>1.441536272249796</v>
      </c>
      <c r="ES276" s="205">
        <f>IF($J276="",#N/A,SUM(EQ$4:EQ276,EO$4:EO276,EM$4:EM276))</f>
        <v>3.160210265200559</v>
      </c>
      <c r="ET276" s="200" t="str">
        <f t="shared" si="502"/>
        <v/>
      </c>
      <c r="EU276" s="203">
        <f>IF($J276="",#N/A,SUM(ET$4:ET276))</f>
        <v>0</v>
      </c>
      <c r="EV276" s="204" t="str">
        <f t="shared" si="503"/>
        <v/>
      </c>
      <c r="EW276" s="204">
        <f>IF($J276="",#N/A,SUM(EV$4:EV276))</f>
        <v>2.6896999443708767</v>
      </c>
      <c r="EX276" s="205" t="str">
        <f t="shared" si="504"/>
        <v/>
      </c>
      <c r="EY276" s="205">
        <f>IF($J276="",#N/A,SUM(EX$4:EX276))</f>
        <v>0.27113250180669229</v>
      </c>
      <c r="EZ276" s="205">
        <f>IF($J276="",#N/A,SUM(EX$4:EX276,EV$4:EV276,ET$4:ET276))</f>
        <v>2.9608324461775686</v>
      </c>
      <c r="FA276" s="200" t="str">
        <f t="shared" si="505"/>
        <v/>
      </c>
      <c r="FB276" s="203">
        <f>IF($J276="",#N/A,SUM(FA$4:FA276))</f>
        <v>-0.27145310509113252</v>
      </c>
      <c r="FC276" s="204" t="str">
        <f t="shared" si="506"/>
        <v/>
      </c>
      <c r="FD276" s="204">
        <f>IF($J276="",#N/A,SUM(FC$4:FC276))</f>
        <v>1.204376144197403</v>
      </c>
      <c r="FE276" s="205" t="str">
        <f t="shared" si="507"/>
        <v/>
      </c>
      <c r="FF276" s="205">
        <f>IF($J276="",#N/A,SUM(FE$4:FE276))</f>
        <v>-0.28811149078748233</v>
      </c>
      <c r="FG276" s="205">
        <f>IF($J276="",#N/A,SUM(FE$4:FE276,FC$4:FC276,FA$4:FA276))</f>
        <v>0.64481154831878851</v>
      </c>
      <c r="FH276" s="200" t="str">
        <f t="shared" si="508"/>
        <v/>
      </c>
      <c r="FI276" s="203">
        <f>IF($J276="",#N/A,SUM(FH$4:FH276))</f>
        <v>0</v>
      </c>
      <c r="FJ276" s="204" t="str">
        <f t="shared" si="509"/>
        <v/>
      </c>
      <c r="FK276" s="204">
        <f>IF($J276="",#N/A,SUM(FJ$4:FJ276))</f>
        <v>0</v>
      </c>
      <c r="FL276" s="205" t="str">
        <f t="shared" si="510"/>
        <v/>
      </c>
      <c r="FM276" s="205">
        <f>IF($J276="",#N/A,SUM(FL$4:FL276))</f>
        <v>0</v>
      </c>
      <c r="FN276" s="205">
        <f>IF($J276="",#N/A,SUM(FL$4:FL276,FJ$4:FJ276,FH$4:FH276))</f>
        <v>0</v>
      </c>
      <c r="FO276" s="200" t="str">
        <f t="shared" si="511"/>
        <v/>
      </c>
      <c r="FP276" s="203">
        <f>IF($J276="",#N/A,SUM(FO$4:FO276))</f>
        <v>0</v>
      </c>
      <c r="FQ276" s="204" t="str">
        <f t="shared" si="512"/>
        <v/>
      </c>
      <c r="FR276" s="204">
        <f>IF($J276="",#N/A,SUM(FQ$4:FQ276))</f>
        <v>0</v>
      </c>
      <c r="FS276" s="205" t="str">
        <f t="shared" si="513"/>
        <v/>
      </c>
      <c r="FT276" s="205">
        <f>IF($J276="",#N/A,SUM(FS$4:FS276))</f>
        <v>0</v>
      </c>
      <c r="FU276" s="205">
        <f>IF($J276="",#N/A,SUM(FS$4:FS276,FQ$4:FQ276,FO$4:FO276))</f>
        <v>0</v>
      </c>
      <c r="FV276" s="200" t="str">
        <f t="shared" si="514"/>
        <v/>
      </c>
      <c r="FW276" s="203">
        <f>IF($J276="",#N/A,SUM(FV$4:FV276))</f>
        <v>6.6834991831277585E-2</v>
      </c>
      <c r="FX276" s="204" t="str">
        <f t="shared" si="515"/>
        <v/>
      </c>
      <c r="FY276" s="204">
        <f>IF($J276="",#N/A,SUM(FX$4:FX276))</f>
        <v>-0.16102012791805576</v>
      </c>
      <c r="FZ276" s="205" t="str">
        <f t="shared" si="516"/>
        <v/>
      </c>
      <c r="GA276" s="205">
        <f>IF($J276="",#N/A,SUM(FZ$4:FZ276))</f>
        <v>-1.1377221770567538</v>
      </c>
      <c r="GB276" s="205">
        <f>IF($J276="",#N/A,SUM(FZ$4:FZ276,FX$4:FX276,FV$4:FV276))</f>
        <v>-1.2319073131435321</v>
      </c>
      <c r="GC276" s="200" t="str">
        <f t="shared" si="517"/>
        <v/>
      </c>
      <c r="GD276" s="203">
        <f>IF($J276="",#N/A,SUM(GC$4:GC276))</f>
        <v>0</v>
      </c>
      <c r="GE276" s="204" t="str">
        <f t="shared" si="518"/>
        <v/>
      </c>
      <c r="GF276" s="204">
        <f>IF($J276="",#N/A,SUM(GE$4:GE276))</f>
        <v>0</v>
      </c>
      <c r="GG276" s="205" t="str">
        <f t="shared" si="519"/>
        <v/>
      </c>
      <c r="GH276" s="205">
        <f>IF($J276="",#N/A,SUM(GG$4:GG276))</f>
        <v>-2.9368362277223206</v>
      </c>
      <c r="GI276" s="205">
        <f>IF($J276="",#N/A,SUM(GG$4:GG276,GE$4:GE276,GC$4:GC276))</f>
        <v>-2.9368362277223206</v>
      </c>
      <c r="GJ276" s="200" t="str">
        <f t="shared" si="520"/>
        <v/>
      </c>
      <c r="GK276" s="203">
        <f>IF($J276="",#N/A,SUM(GJ$4:GJ276))</f>
        <v>0</v>
      </c>
      <c r="GL276" s="204" t="str">
        <f t="shared" si="521"/>
        <v/>
      </c>
      <c r="GM276" s="204">
        <f>IF($J276="",#N/A,SUM(GL$4:GL276))</f>
        <v>-1.6833790887309608</v>
      </c>
      <c r="GN276" s="205" t="str">
        <f t="shared" si="522"/>
        <v/>
      </c>
      <c r="GO276" s="205">
        <f>IF($J276="",#N/A,SUM(GN$4:GN276))</f>
        <v>0</v>
      </c>
      <c r="GP276" s="205">
        <f>IF($J276="",#N/A,SUM(GN$4:GN276,GL$4:GL276,GJ$4:GJ276))</f>
        <v>-1.6833790887309608</v>
      </c>
      <c r="GS276" s="439">
        <f t="shared" si="541"/>
        <v>0.16240933459476437</v>
      </c>
      <c r="GT276" s="439">
        <f>IF(GS276="",NA(),SUM($GS$4:GS276))</f>
        <v>9.7267056750950935</v>
      </c>
      <c r="GU276" s="439" t="str">
        <f t="shared" si="523"/>
        <v/>
      </c>
      <c r="GV276" s="439" t="e">
        <f>IF(GU276="",NA(),SUM($GU$4:GU276))</f>
        <v>#N/A</v>
      </c>
      <c r="GW276" s="439" t="str">
        <f t="shared" si="524"/>
        <v/>
      </c>
      <c r="GX276" s="439" t="e">
        <f>IF(GW276="",NA(),SUM($GW$4:GW276))</f>
        <v>#N/A</v>
      </c>
      <c r="GY276" s="439">
        <f t="shared" si="525"/>
        <v>0.16240933459476437</v>
      </c>
      <c r="GZ276" s="439">
        <f>IF(GY276="",NA(),SUM($GY$4:GY276))</f>
        <v>9.672363807448253</v>
      </c>
      <c r="HA276" s="439" t="str">
        <f t="shared" si="526"/>
        <v/>
      </c>
      <c r="HB276" s="439" t="e">
        <f>IF(HA276="",NA(),SUM($HA$4:HA276))</f>
        <v>#N/A</v>
      </c>
      <c r="HC276" s="439" t="str">
        <f t="shared" si="527"/>
        <v/>
      </c>
      <c r="HD276" s="439" t="e">
        <f>IF(HC276="",NA(),SUM($HC$4:HC276))</f>
        <v>#N/A</v>
      </c>
      <c r="HE276" s="439" t="str">
        <f t="shared" si="528"/>
        <v/>
      </c>
      <c r="HF276" s="439" t="e">
        <f>IF(HE276="",NA(),SUM($HE$4:HE276))</f>
        <v>#N/A</v>
      </c>
      <c r="HG276" s="439" t="str">
        <f t="shared" si="529"/>
        <v/>
      </c>
      <c r="HH276" s="439" t="e">
        <f>IF(HG276="",NA(),SUM($HG$4:HG276))</f>
        <v>#N/A</v>
      </c>
      <c r="HI276" s="440">
        <f t="shared" si="542"/>
        <v>-0.21917376222011772</v>
      </c>
      <c r="HJ276" s="440">
        <f>IF($J276="",#N/A,SUM(HI$4:$HI276))</f>
        <v>-8.2188730888856494</v>
      </c>
      <c r="HK276" s="439" t="str">
        <f t="shared" si="530"/>
        <v/>
      </c>
      <c r="HL276" s="439">
        <f>IF($J276="",#N/A,SUM($HK$4:HK276))</f>
        <v>-1.5097234474085466</v>
      </c>
      <c r="HM276" s="439" t="str">
        <f t="shared" si="531"/>
        <v/>
      </c>
      <c r="HN276" s="439">
        <f>IF($J276="",#N/A,SUM($HM$4:HM276))</f>
        <v>0.957348620978966</v>
      </c>
      <c r="HO276" s="439" t="str">
        <f t="shared" si="532"/>
        <v/>
      </c>
      <c r="HP276" s="439">
        <f>IF($J276="",#N/A,SUM($HO$4:HO276))</f>
        <v>-0.75682593815002108</v>
      </c>
      <c r="HQ276" s="439" t="str">
        <f t="shared" si="533"/>
        <v/>
      </c>
      <c r="HR276" s="439">
        <f>IF($J276="",#N/A,SUM($HQ$4:HQ276))</f>
        <v>-14.877782597833791</v>
      </c>
      <c r="HS276" s="439" t="str">
        <f t="shared" si="534"/>
        <v/>
      </c>
      <c r="HT276" s="439">
        <f>IF($J276="",#N/A,SUM($HS$4:HS276))</f>
        <v>13.992432834598167</v>
      </c>
      <c r="HU276" s="436">
        <f t="shared" si="535"/>
        <v>-5.6764427625353352E-2</v>
      </c>
      <c r="HV276" s="436">
        <f>IF($J276="",#N/A,SUM(HU$4:$HU276))</f>
        <v>4.2530682842741143</v>
      </c>
    </row>
    <row r="277" spans="1:230" ht="15.75" thickBot="1" x14ac:dyDescent="0.3">
      <c r="A277" s="292" t="s">
        <v>1606</v>
      </c>
      <c r="B277" s="293" t="str" cm="1">
        <f t="array" ref="B277">IFERROR(_xlfn.XLOOKUP(A277,Earnings!$B$2:$B$9984,LEFT(Earnings!$C$2:$C$9984,37)),"Can't Find Date***")</f>
        <v>on 5/6/25, 7:00 AM Before Market East</v>
      </c>
      <c r="C277" s="462">
        <f t="shared" si="436"/>
        <v>1</v>
      </c>
      <c r="D277" s="463" t="str">
        <f>_xlfn.XLOOKUP(A277,[1]SP500!$A$2:$A$502,[1]SP500!$D$2:$D$502,"N")</f>
        <v>Y</v>
      </c>
      <c r="E277" s="339" t="str">
        <f>IFERROR(_xlfn.XLOOKUP(A277,[1]SP500!$A$2:$A$655,[1]SP500!$B$2:$B$655),"")</f>
        <v>XLY</v>
      </c>
      <c r="F277" s="296">
        <v>45783</v>
      </c>
      <c r="G277" s="292" t="str">
        <f t="shared" si="437"/>
        <v>BMO</v>
      </c>
      <c r="H277" s="292" t="str">
        <f t="shared" si="438"/>
        <v>sk</v>
      </c>
      <c r="I277" s="345">
        <v>205.4</v>
      </c>
      <c r="J277" s="297">
        <v>193.75</v>
      </c>
      <c r="K277" s="298">
        <f t="shared" si="439"/>
        <v>-5.6718597857838393E-2</v>
      </c>
      <c r="L277" s="299">
        <f t="shared" si="440"/>
        <v>-65.793573515092703</v>
      </c>
      <c r="M277" s="300" t="e">
        <f t="shared" si="441"/>
        <v>#N/A</v>
      </c>
      <c r="N277" s="341">
        <f t="shared" si="442"/>
        <v>-65.793573515092703</v>
      </c>
      <c r="O277" s="300">
        <f>IF(N277="",#N/A,SUM($N$4:N277))</f>
        <v>619.85075430328084</v>
      </c>
      <c r="P277" s="305">
        <f t="shared" si="536"/>
        <v>-0.94530996429730907</v>
      </c>
      <c r="Q277" s="304">
        <f>IF($N277="",#N/A,SUM($P$4:P277))</f>
        <v>13.721181936677688</v>
      </c>
      <c r="R277" s="307">
        <f t="shared" si="443"/>
        <v>1.2602007272733342</v>
      </c>
      <c r="S277" s="292" t="str">
        <f t="shared" si="444"/>
        <v>Up</v>
      </c>
      <c r="T277" s="292" t="s">
        <v>4461</v>
      </c>
      <c r="U277" s="308">
        <f t="shared" si="445"/>
        <v>205.4</v>
      </c>
      <c r="V277" s="308" t="s">
        <v>4460</v>
      </c>
      <c r="W277" s="306">
        <f>IF(I277="","",1160/I277)</f>
        <v>5.6475170399221026</v>
      </c>
      <c r="X277" s="309">
        <f t="shared" si="446"/>
        <v>1160</v>
      </c>
      <c r="Y277" s="464">
        <f t="shared" si="447"/>
        <v>5.6475170399221026</v>
      </c>
      <c r="Z277" s="537">
        <f>J277</f>
        <v>193.75</v>
      </c>
      <c r="AA277" s="341">
        <f t="shared" si="448"/>
        <v>-65.793573515092703</v>
      </c>
      <c r="AB277" s="341">
        <f t="shared" si="449"/>
        <v>-86.350535540409055</v>
      </c>
      <c r="AC277" s="297">
        <v>190.11</v>
      </c>
      <c r="AD277" s="301">
        <f t="shared" si="450"/>
        <v>-86.350535540409055</v>
      </c>
      <c r="AE277" s="546">
        <f t="shared" si="451"/>
        <v>-1.240668614086337</v>
      </c>
      <c r="AF277" s="300">
        <f>IF($AC277="",#N/A,SUM(AD$4:AD277))</f>
        <v>81.969804227768122</v>
      </c>
      <c r="AG277" s="341">
        <f t="shared" si="452"/>
        <v>-20.556962025316352</v>
      </c>
      <c r="AH277" s="308" t="s">
        <v>4464</v>
      </c>
      <c r="AI277" s="305">
        <f t="shared" si="453"/>
        <v>0</v>
      </c>
      <c r="AJ277" s="418">
        <f>IF(AI277="",#N/A,SUM($AI$4:AI277))</f>
        <v>12.460981209404354</v>
      </c>
      <c r="AK277" s="308" t="str">
        <f t="shared" si="454"/>
        <v/>
      </c>
      <c r="AL277" s="406">
        <f>IF(AI277="",#N/A,IF(AH277="Skip",SUM($AK$4:AK277),SUM($AK$4:AK277)))</f>
        <v>523.65759149281484</v>
      </c>
      <c r="AM277" s="65">
        <f t="shared" si="537"/>
        <v>-1.240668614086337</v>
      </c>
      <c r="AN277" s="210"/>
      <c r="AO277" s="305" t="str">
        <f t="shared" si="455"/>
        <v/>
      </c>
      <c r="AP277" s="305">
        <f>IF($AC277="",#N/A,SUM(AO$4:AO277))</f>
        <v>2.3819803864672999</v>
      </c>
      <c r="AQ277" s="305">
        <f t="shared" si="456"/>
        <v>-1.240668614086337</v>
      </c>
      <c r="AR277" s="305">
        <f>IF($AC277="",#N/A,SUM(AQ$4:AQ277))</f>
        <v>-5.7912751024084725</v>
      </c>
      <c r="AS277" s="305" t="str">
        <f t="shared" si="457"/>
        <v/>
      </c>
      <c r="AT277" s="305">
        <f>IF($AC277="",#N/A,SUM(AS$4:AS277))</f>
        <v>6.4216943861289479</v>
      </c>
      <c r="AU277" s="300" t="str">
        <f t="shared" si="538"/>
        <v/>
      </c>
      <c r="AV277" s="300">
        <f>IF($AC277="",#N/A,SUM(AU$4:AU277))</f>
        <v>20.122490661046527</v>
      </c>
      <c r="AW277" s="300">
        <f t="shared" si="539"/>
        <v>-86.350535540409055</v>
      </c>
      <c r="AX277" s="300">
        <f>IF($AC277="",#N/A,SUM(AW$4:AW277))</f>
        <v>-385.38106797961109</v>
      </c>
      <c r="AY277" s="300" t="str">
        <f t="shared" si="540"/>
        <v/>
      </c>
      <c r="AZ277" s="300">
        <f>IF($AC277="",#N/A,SUM(AY$4:AY277))</f>
        <v>447.22838154633268</v>
      </c>
      <c r="BA277" s="300">
        <f>IF(AD277="",#N/A,SUM($AD$4:AD277))</f>
        <v>81.969804227768122</v>
      </c>
      <c r="BC277" s="292" t="str">
        <f t="shared" si="458"/>
        <v/>
      </c>
      <c r="BD277" s="292" t="str">
        <f t="shared" si="459"/>
        <v/>
      </c>
      <c r="BE277" s="292" t="str">
        <f t="shared" si="460"/>
        <v/>
      </c>
      <c r="BF277" s="292" t="str">
        <f t="shared" si="461"/>
        <v>Long</v>
      </c>
      <c r="BG277" s="292" t="str">
        <f t="shared" si="462"/>
        <v/>
      </c>
      <c r="BH277" s="292">
        <f t="shared" si="463"/>
        <v>1</v>
      </c>
      <c r="BI277" s="292" t="str">
        <f t="shared" si="464"/>
        <v/>
      </c>
      <c r="BK277" s="65">
        <f t="shared" si="435"/>
        <v>1.658985633816272E-2</v>
      </c>
      <c r="BL277" s="65">
        <f t="shared" si="434"/>
        <v>-6.5225059839259955E-2</v>
      </c>
      <c r="BM277" s="65">
        <f>IFERROR(Q277/COUNTA($J$4:J277),#N/A)</f>
        <v>5.0077306338239737E-2</v>
      </c>
      <c r="BO277" s="489" t="e">
        <f>IF(J277="",#N/A,IF(S277="SW",(COUNTIFS(K$4:$K277,"&gt;0",S$4:$S277,"SW")/COUNTIF(S$4:$S277,"SW")),#N/A))</f>
        <v>#N/A</v>
      </c>
      <c r="BP277" s="489" t="e">
        <f>IF($J277="",#N/A,IF($S277="DWN",(COUNTIFS($K$4:$K277,"&lt;0",$S$4:$S277,"DWN")/COUNTIF($S$4:$S277,"DWN")),#N/A))</f>
        <v>#N/A</v>
      </c>
      <c r="BQ277" s="489">
        <f>IF($J277="",#N/A,IF($S277="UP",(COUNTIFS($K$4:$K277,"&gt;0",$S$4:$S277,"UP")/COUNTIF($S$4:$S277,"UP")),#N/A))</f>
        <v>0.3125</v>
      </c>
      <c r="BR277" s="489">
        <f>IF(J277="",#N/A,COUNTIF($K$4:K277,"&gt;0")/COUNT($J$4:J277))</f>
        <v>0.44525547445255476</v>
      </c>
      <c r="BS277" s="65" t="str">
        <f t="shared" si="465"/>
        <v/>
      </c>
      <c r="BT277" s="65" t="str">
        <f t="shared" si="466"/>
        <v/>
      </c>
      <c r="BU277" s="65" t="str">
        <f t="shared" si="467"/>
        <v/>
      </c>
      <c r="BV277" s="65" t="str">
        <f t="shared" si="468"/>
        <v/>
      </c>
      <c r="BW277" s="128">
        <f t="shared" si="469"/>
        <v>-65.793573515092703</v>
      </c>
      <c r="BX277" s="128">
        <f>IF($J277="",#N/A,SUM($BW$4:BW277))</f>
        <v>-379.59317034792866</v>
      </c>
      <c r="BY277" s="131" t="str">
        <f t="shared" si="470"/>
        <v/>
      </c>
      <c r="BZ277" s="131">
        <f>IF($J277="",#N/A,SUM($BY$4:BY277))</f>
        <v>959.82234038933427</v>
      </c>
      <c r="CA277" s="133" t="str">
        <f t="shared" si="471"/>
        <v/>
      </c>
      <c r="CB277" s="133">
        <f>IF($J277="",#N/A,SUM($CA$4:CA277))</f>
        <v>39.621584261875228</v>
      </c>
      <c r="CC277" s="194">
        <f t="shared" si="472"/>
        <v>-0.94530996429730907</v>
      </c>
      <c r="CD277" s="194">
        <f>IF($J277="",#N/A,SUM($CC$4:CC277))</f>
        <v>-5.6964391354483883</v>
      </c>
      <c r="CE277" s="195" t="str">
        <f t="shared" si="473"/>
        <v/>
      </c>
      <c r="CF277" s="195">
        <f>IF($J277="",#N/A,SUM($CE$4:CE277))</f>
        <v>16.150290922423157</v>
      </c>
      <c r="CG277" s="196" t="str">
        <f t="shared" si="474"/>
        <v/>
      </c>
      <c r="CH277" s="196">
        <f>IF($J277="",#N/A,SUM($CG$4:CG277))</f>
        <v>3.2673301497029255</v>
      </c>
      <c r="CI277" s="200" t="str">
        <f t="shared" si="475"/>
        <v/>
      </c>
      <c r="CJ277" s="203">
        <f>IF($J277="",#N/A,SUM(CI$4:CI277))</f>
        <v>0</v>
      </c>
      <c r="CK277" s="204" t="str">
        <f t="shared" si="476"/>
        <v/>
      </c>
      <c r="CL277" s="204">
        <f>IF($J277="",#N/A,SUM(CK$4:CK277))</f>
        <v>2.3607894150410869</v>
      </c>
      <c r="CM277" s="205" t="str">
        <f t="shared" si="477"/>
        <v/>
      </c>
      <c r="CN277" s="205">
        <f>IF($J277="",#N/A,SUM(CM$4:CM277))</f>
        <v>2.5131182152625313</v>
      </c>
      <c r="CO277" s="205">
        <f>IF($J277="",#N/A,SUM(CM$4:CM277,CK$4:CK277,CI$4:CI277))</f>
        <v>4.8739076303036191</v>
      </c>
      <c r="CP277" s="200" t="str">
        <f t="shared" si="478"/>
        <v/>
      </c>
      <c r="CQ277" s="203">
        <f>IF($J277="",#N/A,SUM(CP$4:CP277))</f>
        <v>-1.489321591123322</v>
      </c>
      <c r="CR277" s="204" t="str">
        <f t="shared" si="479"/>
        <v/>
      </c>
      <c r="CS277" s="204">
        <f>IF($J277="",#N/A,SUM(CR$4:CR277))</f>
        <v>4.7759339232765612</v>
      </c>
      <c r="CT277" s="205" t="str">
        <f t="shared" si="480"/>
        <v/>
      </c>
      <c r="CU277" s="205">
        <f>IF($J277="",#N/A,SUM(CT$4:CT277))</f>
        <v>-2.9040943753548785</v>
      </c>
      <c r="CV277" s="205">
        <f>IF($J277="",#N/A,SUM(CT$4:CT277,CR$4:CR277,CP$4:CP277))</f>
        <v>0.38251795679836054</v>
      </c>
      <c r="CW277" s="200">
        <f t="shared" si="481"/>
        <v>-0.94530996429730907</v>
      </c>
      <c r="CX277" s="203">
        <f>IF($J277="",#N/A,SUM(CW$4:CW277))</f>
        <v>-1.2839616145397621</v>
      </c>
      <c r="CY277" s="204" t="str">
        <f t="shared" si="482"/>
        <v/>
      </c>
      <c r="CZ277" s="204">
        <f>IF($J277="",#N/A,SUM(CY$4:CY277))</f>
        <v>0.30198222879878239</v>
      </c>
      <c r="DA277" s="205" t="str">
        <f t="shared" si="483"/>
        <v/>
      </c>
      <c r="DB277" s="205">
        <f>IF($J277="",#N/A,SUM(DA$4:DA277))</f>
        <v>-1.6929809429332021</v>
      </c>
      <c r="DC277" s="205">
        <f>IF($J277="",#N/A,SUM(DA$4:DA277,CY$4:CY277,CW$4:CW277))</f>
        <v>-2.6749603286741817</v>
      </c>
      <c r="DD277" s="200" t="str">
        <f t="shared" si="484"/>
        <v/>
      </c>
      <c r="DE277" s="203">
        <f>IF($J277="",#N/A,SUM(DD$4:DD277))</f>
        <v>0.24769343410817113</v>
      </c>
      <c r="DF277" s="204" t="str">
        <f t="shared" si="485"/>
        <v/>
      </c>
      <c r="DG277" s="204">
        <f>IF($J277="",#N/A,SUM(DF$4:DF277))</f>
        <v>1.7624645309390978</v>
      </c>
      <c r="DH277" s="205" t="str">
        <f t="shared" si="486"/>
        <v/>
      </c>
      <c r="DI277" s="205">
        <f>IF($J277="",#N/A,SUM(DH$4:DH277))</f>
        <v>-2.7812008102163399</v>
      </c>
      <c r="DJ277" s="205">
        <f>IF($J277="",#N/A,SUM(DH$4:DH277,DF$4:DF277,DD$4:DD277))</f>
        <v>-0.77104284516907118</v>
      </c>
      <c r="DK277" s="200" t="str">
        <f t="shared" si="487"/>
        <v/>
      </c>
      <c r="DL277" s="203">
        <f>IF($J277="",#N/A,SUM(DK$4:DK277))</f>
        <v>-1.2097286851272664</v>
      </c>
      <c r="DM277" s="204" t="str">
        <f t="shared" si="488"/>
        <v/>
      </c>
      <c r="DN277" s="204">
        <f>IF($J277="",#N/A,SUM(DM$4:DM277))</f>
        <v>3.0281848543081331</v>
      </c>
      <c r="DO277" s="205" t="str">
        <f t="shared" si="489"/>
        <v/>
      </c>
      <c r="DP277" s="205">
        <f>IF($J277="",#N/A,SUM(DO$4:DO277))</f>
        <v>2.700331529683047</v>
      </c>
      <c r="DQ277" s="205">
        <f>IF($J277="",#N/A,SUM(DO$4:DO277,DM$4:DM277,DK$4:DK277))</f>
        <v>4.518787698863914</v>
      </c>
      <c r="DR277" s="200" t="str">
        <f t="shared" si="490"/>
        <v/>
      </c>
      <c r="DS277" s="203">
        <f>IF($J277="",#N/A,SUM(DR$4:DR277))</f>
        <v>-0.55950946427675097</v>
      </c>
      <c r="DT277" s="204" t="str">
        <f t="shared" si="491"/>
        <v/>
      </c>
      <c r="DU277" s="204">
        <f>IF($J277="",#N/A,SUM(DT$4:DT277))</f>
        <v>-0.69837848627200172</v>
      </c>
      <c r="DV277" s="205" t="str">
        <f t="shared" si="492"/>
        <v/>
      </c>
      <c r="DW277" s="205">
        <f>IF($J277="",#N/A,SUM(DV$4:DV277))</f>
        <v>-1.5454397913873317</v>
      </c>
      <c r="DX277" s="205">
        <f>IF($J277="",#N/A,SUM(DV$4:DV277,DT$4:DT277,DR$4:DR277))</f>
        <v>-2.803327741936084</v>
      </c>
      <c r="DY277" s="200" t="str">
        <f t="shared" si="493"/>
        <v/>
      </c>
      <c r="DZ277" s="203">
        <f>IF($J277="",#N/A,SUM(DY$4:DY277))</f>
        <v>-1.0460034109943892</v>
      </c>
      <c r="EA277" s="204" t="str">
        <f t="shared" si="494"/>
        <v/>
      </c>
      <c r="EB277" s="204">
        <f>IF($J277="",#N/A,SUM(EA$4:EA277))</f>
        <v>2.468538401202053</v>
      </c>
      <c r="EC277" s="205" t="str">
        <f t="shared" si="495"/>
        <v/>
      </c>
      <c r="ED277" s="205">
        <f>IF($J277="",#N/A,SUM(EC$4:EC277))</f>
        <v>4.5772092731053986</v>
      </c>
      <c r="EE277" s="205">
        <f>IF($J277="",#N/A,SUM(EC$4:EC277,EA$4:EA277,DY$4:DY277))</f>
        <v>5.9997442633130609</v>
      </c>
      <c r="EF277" s="200" t="str">
        <f t="shared" si="496"/>
        <v/>
      </c>
      <c r="EG277" s="203">
        <f>IF($J277="",#N/A,SUM(EF$4:EF277))</f>
        <v>-0.15098969023521425</v>
      </c>
      <c r="EH277" s="204" t="str">
        <f t="shared" si="497"/>
        <v/>
      </c>
      <c r="EI277" s="204">
        <f>IF($J277="",#N/A,SUM(EH$4:EH277))</f>
        <v>-1.9445201344224492</v>
      </c>
      <c r="EJ277" s="205" t="str">
        <f t="shared" si="498"/>
        <v/>
      </c>
      <c r="EK277" s="205">
        <f>IF($J277="",#N/A,SUM(EJ$4:EJ277))</f>
        <v>5.050388173053765</v>
      </c>
      <c r="EL277" s="205">
        <f>IF($J277="",#N/A,SUM(EJ$4:EJ277,EH$4:EH277,EF$4:EF277))</f>
        <v>2.9548783483961012</v>
      </c>
      <c r="EM277" s="200" t="str">
        <f t="shared" si="499"/>
        <v/>
      </c>
      <c r="EN277" s="203">
        <f>IF($J277="",#N/A,SUM(EM$4:EM277))</f>
        <v>0</v>
      </c>
      <c r="EO277" s="204" t="str">
        <f t="shared" si="500"/>
        <v/>
      </c>
      <c r="EP277" s="204">
        <f>IF($J277="",#N/A,SUM(EO$4:EO277))</f>
        <v>1.7186739929507637</v>
      </c>
      <c r="EQ277" s="205" t="str">
        <f t="shared" si="501"/>
        <v/>
      </c>
      <c r="ER277" s="205">
        <f>IF($J277="",#N/A,SUM(EQ$4:EQ277))</f>
        <v>1.441536272249796</v>
      </c>
      <c r="ES277" s="205">
        <f>IF($J277="",#N/A,SUM(EQ$4:EQ277,EO$4:EO277,EM$4:EM277))</f>
        <v>3.160210265200559</v>
      </c>
      <c r="ET277" s="200" t="str">
        <f t="shared" si="502"/>
        <v/>
      </c>
      <c r="EU277" s="203">
        <f>IF($J277="",#N/A,SUM(ET$4:ET277))</f>
        <v>0</v>
      </c>
      <c r="EV277" s="204" t="str">
        <f t="shared" si="503"/>
        <v/>
      </c>
      <c r="EW277" s="204">
        <f>IF($J277="",#N/A,SUM(EV$4:EV277))</f>
        <v>2.6896999443708767</v>
      </c>
      <c r="EX277" s="205" t="str">
        <f t="shared" si="504"/>
        <v/>
      </c>
      <c r="EY277" s="205">
        <f>IF($J277="",#N/A,SUM(EX$4:EX277))</f>
        <v>0.27113250180669229</v>
      </c>
      <c r="EZ277" s="205">
        <f>IF($J277="",#N/A,SUM(EX$4:EX277,EV$4:EV277,ET$4:ET277))</f>
        <v>2.9608324461775686</v>
      </c>
      <c r="FA277" s="200" t="str">
        <f t="shared" si="505"/>
        <v/>
      </c>
      <c r="FB277" s="203">
        <f>IF($J277="",#N/A,SUM(FA$4:FA277))</f>
        <v>-0.27145310509113252</v>
      </c>
      <c r="FC277" s="204" t="str">
        <f t="shared" si="506"/>
        <v/>
      </c>
      <c r="FD277" s="204">
        <f>IF($J277="",#N/A,SUM(FC$4:FC277))</f>
        <v>1.204376144197403</v>
      </c>
      <c r="FE277" s="205" t="str">
        <f t="shared" si="507"/>
        <v/>
      </c>
      <c r="FF277" s="205">
        <f>IF($J277="",#N/A,SUM(FE$4:FE277))</f>
        <v>-0.28811149078748233</v>
      </c>
      <c r="FG277" s="205">
        <f>IF($J277="",#N/A,SUM(FE$4:FE277,FC$4:FC277,FA$4:FA277))</f>
        <v>0.64481154831878851</v>
      </c>
      <c r="FH277" s="200" t="str">
        <f t="shared" si="508"/>
        <v/>
      </c>
      <c r="FI277" s="203">
        <f>IF($J277="",#N/A,SUM(FH$4:FH277))</f>
        <v>0</v>
      </c>
      <c r="FJ277" s="204" t="str">
        <f t="shared" si="509"/>
        <v/>
      </c>
      <c r="FK277" s="204">
        <f>IF($J277="",#N/A,SUM(FJ$4:FJ277))</f>
        <v>0</v>
      </c>
      <c r="FL277" s="205" t="str">
        <f t="shared" si="510"/>
        <v/>
      </c>
      <c r="FM277" s="205">
        <f>IF($J277="",#N/A,SUM(FL$4:FL277))</f>
        <v>0</v>
      </c>
      <c r="FN277" s="205">
        <f>IF($J277="",#N/A,SUM(FL$4:FL277,FJ$4:FJ277,FH$4:FH277))</f>
        <v>0</v>
      </c>
      <c r="FO277" s="200" t="str">
        <f t="shared" si="511"/>
        <v/>
      </c>
      <c r="FP277" s="203">
        <f>IF($J277="",#N/A,SUM(FO$4:FO277))</f>
        <v>0</v>
      </c>
      <c r="FQ277" s="204" t="str">
        <f t="shared" si="512"/>
        <v/>
      </c>
      <c r="FR277" s="204">
        <f>IF($J277="",#N/A,SUM(FQ$4:FQ277))</f>
        <v>0</v>
      </c>
      <c r="FS277" s="205" t="str">
        <f t="shared" si="513"/>
        <v/>
      </c>
      <c r="FT277" s="205">
        <f>IF($J277="",#N/A,SUM(FS$4:FS277))</f>
        <v>0</v>
      </c>
      <c r="FU277" s="205">
        <f>IF($J277="",#N/A,SUM(FS$4:FS277,FQ$4:FQ277,FO$4:FO277))</f>
        <v>0</v>
      </c>
      <c r="FV277" s="200" t="str">
        <f t="shared" si="514"/>
        <v/>
      </c>
      <c r="FW277" s="203">
        <f>IF($J277="",#N/A,SUM(FV$4:FV277))</f>
        <v>6.6834991831277585E-2</v>
      </c>
      <c r="FX277" s="204" t="str">
        <f t="shared" si="515"/>
        <v/>
      </c>
      <c r="FY277" s="204">
        <f>IF($J277="",#N/A,SUM(FX$4:FX277))</f>
        <v>-0.16102012791805576</v>
      </c>
      <c r="FZ277" s="205" t="str">
        <f t="shared" si="516"/>
        <v/>
      </c>
      <c r="GA277" s="205">
        <f>IF($J277="",#N/A,SUM(FZ$4:FZ277))</f>
        <v>-1.1377221770567538</v>
      </c>
      <c r="GB277" s="205">
        <f>IF($J277="",#N/A,SUM(FZ$4:FZ277,FX$4:FX277,FV$4:FV277))</f>
        <v>-1.2319073131435321</v>
      </c>
      <c r="GC277" s="200" t="str">
        <f t="shared" si="517"/>
        <v/>
      </c>
      <c r="GD277" s="203">
        <f>IF($J277="",#N/A,SUM(GC$4:GC277))</f>
        <v>0</v>
      </c>
      <c r="GE277" s="204" t="str">
        <f t="shared" si="518"/>
        <v/>
      </c>
      <c r="GF277" s="204">
        <f>IF($J277="",#N/A,SUM(GE$4:GE277))</f>
        <v>0</v>
      </c>
      <c r="GG277" s="205" t="str">
        <f t="shared" si="519"/>
        <v/>
      </c>
      <c r="GH277" s="205">
        <f>IF($J277="",#N/A,SUM(GG$4:GG277))</f>
        <v>-2.9368362277223206</v>
      </c>
      <c r="GI277" s="205">
        <f>IF($J277="",#N/A,SUM(GG$4:GG277,GE$4:GE277,GC$4:GC277))</f>
        <v>-2.9368362277223206</v>
      </c>
      <c r="GJ277" s="200" t="str">
        <f t="shared" si="520"/>
        <v/>
      </c>
      <c r="GK277" s="203">
        <f>IF($J277="",#N/A,SUM(GJ$4:GJ277))</f>
        <v>0</v>
      </c>
      <c r="GL277" s="204" t="str">
        <f t="shared" si="521"/>
        <v/>
      </c>
      <c r="GM277" s="204">
        <f>IF($J277="",#N/A,SUM(GL$4:GL277))</f>
        <v>-1.6833790887309608</v>
      </c>
      <c r="GN277" s="205" t="str">
        <f t="shared" si="522"/>
        <v/>
      </c>
      <c r="GO277" s="205">
        <f>IF($J277="",#N/A,SUM(GN$4:GN277))</f>
        <v>0</v>
      </c>
      <c r="GP277" s="205">
        <f>IF($J277="",#N/A,SUM(GN$4:GN277,GL$4:GL277,GJ$4:GJ277))</f>
        <v>-1.6833790887309608</v>
      </c>
      <c r="GS277" s="303">
        <f t="shared" si="541"/>
        <v>-0.94530996429730907</v>
      </c>
      <c r="GT277" s="303">
        <f>IF(GS277="",NA(),SUM($GS$4:GS277))</f>
        <v>8.7813957107977849</v>
      </c>
      <c r="GU277" s="303">
        <f t="shared" si="523"/>
        <v>-0.94530996429730907</v>
      </c>
      <c r="GV277" s="303">
        <f>IF(GU277="",NA(),SUM($GU$4:GU277))</f>
        <v>-5.6964391354483883</v>
      </c>
      <c r="GW277" s="303" t="str">
        <f t="shared" si="524"/>
        <v/>
      </c>
      <c r="GX277" s="303" t="e">
        <f>IF(GW277="",NA(),SUM($GW$4:GW277))</f>
        <v>#N/A</v>
      </c>
      <c r="GY277" s="303" t="str">
        <f t="shared" si="525"/>
        <v/>
      </c>
      <c r="GZ277" s="303" t="e">
        <f>IF(GY277="",NA(),SUM($GY$4:GY277))</f>
        <v>#N/A</v>
      </c>
      <c r="HA277" s="303" t="str">
        <f t="shared" si="526"/>
        <v/>
      </c>
      <c r="HB277" s="303" t="e">
        <f>IF(HA277="",NA(),SUM($HA$4:HA277))</f>
        <v>#N/A</v>
      </c>
      <c r="HC277" s="303" t="str">
        <f t="shared" si="527"/>
        <v/>
      </c>
      <c r="HD277" s="303" t="e">
        <f>IF(HC277="",NA(),SUM($HC$4:HC277))</f>
        <v>#N/A</v>
      </c>
      <c r="HE277" s="303" t="str">
        <f t="shared" si="528"/>
        <v/>
      </c>
      <c r="HF277" s="303" t="e">
        <f>IF(HE277="",NA(),SUM($HE$4:HE277))</f>
        <v>#N/A</v>
      </c>
      <c r="HG277" s="303" t="str">
        <f t="shared" si="529"/>
        <v/>
      </c>
      <c r="HH277" s="303" t="e">
        <f>IF(HG277="",NA(),SUM($HG$4:HG277))</f>
        <v>#N/A</v>
      </c>
      <c r="HI277" s="304" t="str">
        <f t="shared" si="542"/>
        <v/>
      </c>
      <c r="HJ277" s="304">
        <f>IF($J277="",#N/A,SUM(HI$4:$HI277))</f>
        <v>-8.2188730888856494</v>
      </c>
      <c r="HK277" s="303" t="str">
        <f t="shared" si="530"/>
        <v/>
      </c>
      <c r="HL277" s="303">
        <f>IF($J277="",#N/A,SUM($HK$4:HK277))</f>
        <v>-1.5097234474085466</v>
      </c>
      <c r="HM277" s="303" t="str">
        <f t="shared" si="531"/>
        <v/>
      </c>
      <c r="HN277" s="303">
        <f>IF($J277="",#N/A,SUM($HM$4:HM277))</f>
        <v>0.957348620978966</v>
      </c>
      <c r="HO277" s="303">
        <f t="shared" si="532"/>
        <v>-0.29535864978902793</v>
      </c>
      <c r="HP277" s="303">
        <f>IF($J277="",#N/A,SUM($HO$4:HO277))</f>
        <v>-1.052184587939049</v>
      </c>
      <c r="HQ277" s="303" t="str">
        <f t="shared" si="533"/>
        <v/>
      </c>
      <c r="HR277" s="303">
        <f>IF($J277="",#N/A,SUM($HQ$4:HQ277))</f>
        <v>-14.877782597833791</v>
      </c>
      <c r="HS277" s="303" t="str">
        <f t="shared" si="534"/>
        <v/>
      </c>
      <c r="HT277" s="303">
        <f>IF($J277="",#N/A,SUM($HS$4:HS277))</f>
        <v>13.992432834598167</v>
      </c>
      <c r="HU277" s="305">
        <f t="shared" si="535"/>
        <v>-1.240668614086337</v>
      </c>
      <c r="HV277" s="305">
        <f>IF($J277="",#N/A,SUM(HU$4:$HU277))</f>
        <v>3.0123996701877775</v>
      </c>
    </row>
    <row r="278" spans="1:230" x14ac:dyDescent="0.25">
      <c r="A278" s="59" t="s">
        <v>1660</v>
      </c>
      <c r="B278" s="289" t="s">
        <v>4595</v>
      </c>
      <c r="C278" s="230">
        <f t="shared" si="436"/>
        <v>2</v>
      </c>
      <c r="D278" s="220" t="str">
        <f>_xlfn.XLOOKUP(A278,[1]SP500!$A$2:$A$502,[1]SP500!$D$2:$D$502,"N")</f>
        <v>N</v>
      </c>
      <c r="E278" s="59" t="str">
        <f>IFERROR(_xlfn.XLOOKUP(A278,[1]SP500!$A$2:$A$655,[1]SP500!$B$2:$B$655),"")</f>
        <v>IGV</v>
      </c>
      <c r="F278" s="290">
        <v>45783</v>
      </c>
      <c r="G278" s="59" t="str">
        <f t="shared" si="437"/>
        <v>AMC</v>
      </c>
      <c r="H278" s="59" t="str">
        <f t="shared" si="438"/>
        <v>s</v>
      </c>
      <c r="I278" s="376">
        <v>44.27</v>
      </c>
      <c r="J278" s="125">
        <v>45.875</v>
      </c>
      <c r="K278" s="60">
        <f t="shared" si="439"/>
        <v>3.6254800090354568E-2</v>
      </c>
      <c r="L278" s="68">
        <f t="shared" si="440"/>
        <v>-40.125</v>
      </c>
      <c r="M278" s="62">
        <f t="shared" si="441"/>
        <v>15.625</v>
      </c>
      <c r="N278" s="63">
        <f t="shared" si="442"/>
        <v>-40.125</v>
      </c>
      <c r="O278" s="62">
        <f>IF(N278="",#N/A,SUM($N$4:N278))</f>
        <v>579.72575430328084</v>
      </c>
      <c r="P278" s="64">
        <f t="shared" si="536"/>
        <v>-0.60424666817257733</v>
      </c>
      <c r="Q278" s="183">
        <f>IF($N278="",#N/A,SUM($P$4:P278))</f>
        <v>13.116935268505111</v>
      </c>
      <c r="R278" s="279">
        <f t="shared" si="443"/>
        <v>1.0249021804771594</v>
      </c>
      <c r="S278" s="59" t="str">
        <f t="shared" si="444"/>
        <v>Dwn</v>
      </c>
      <c r="T278" s="59" t="s">
        <v>4461</v>
      </c>
      <c r="U278" s="61">
        <f t="shared" si="445"/>
        <v>44.27</v>
      </c>
      <c r="V278" s="61" t="s">
        <v>4458</v>
      </c>
      <c r="W278" s="142">
        <v>25</v>
      </c>
      <c r="X278" s="146">
        <f t="shared" si="446"/>
        <v>1106.75</v>
      </c>
      <c r="Y278" s="142">
        <f t="shared" si="447"/>
        <v>25</v>
      </c>
      <c r="Z278" s="278">
        <v>45.25</v>
      </c>
      <c r="AA278" s="63">
        <f t="shared" si="448"/>
        <v>-24.5</v>
      </c>
      <c r="AB278" s="63">
        <f t="shared" si="449"/>
        <v>-25.25</v>
      </c>
      <c r="AC278" s="125">
        <v>45.28</v>
      </c>
      <c r="AD278" s="148">
        <f t="shared" si="450"/>
        <v>-25.25</v>
      </c>
      <c r="AE278" s="544">
        <f t="shared" si="451"/>
        <v>-0.38024245162261877</v>
      </c>
      <c r="AF278" s="62">
        <f>IF($AC278="",#N/A,SUM(AD$4:AD278))</f>
        <v>56.719804227768122</v>
      </c>
      <c r="AG278" s="63">
        <f t="shared" si="452"/>
        <v>14.875</v>
      </c>
      <c r="AH278" s="61" t="s">
        <v>2507</v>
      </c>
      <c r="AI278" s="64">
        <f t="shared" si="453"/>
        <v>-0.36894812137640237</v>
      </c>
      <c r="AJ278" s="383">
        <f>IF(AI278="",#N/A,SUM($AI$4:AI278))</f>
        <v>12.092033088027952</v>
      </c>
      <c r="AK278" s="62">
        <f t="shared" si="454"/>
        <v>-24.5</v>
      </c>
      <c r="AL278" s="351">
        <f>IF(AI278="",#N/A,IF(AH278="Skip",SUM($AK$4:AK278),SUM($AK$4:AK278)))</f>
        <v>499.15759149281484</v>
      </c>
      <c r="AM278" s="65">
        <f t="shared" si="537"/>
        <v>-0.38024245162261877</v>
      </c>
      <c r="AN278" s="210"/>
      <c r="AO278" s="64" t="str">
        <f t="shared" si="455"/>
        <v/>
      </c>
      <c r="AP278" s="64">
        <f>IF($AC278="",#N/A,SUM(AO$4:AO278))</f>
        <v>2.3819803864672999</v>
      </c>
      <c r="AQ278" s="64" t="str">
        <f t="shared" si="456"/>
        <v/>
      </c>
      <c r="AR278" s="64">
        <f>IF($AC278="",#N/A,SUM(AQ$4:AQ278))</f>
        <v>-5.7912751024084725</v>
      </c>
      <c r="AS278" s="64">
        <f t="shared" si="457"/>
        <v>-0.38024245162261877</v>
      </c>
      <c r="AT278" s="64">
        <f>IF($AC278="",#N/A,SUM(AS$4:AS278))</f>
        <v>6.0414519345063296</v>
      </c>
      <c r="AU278" s="62" t="str">
        <f t="shared" si="538"/>
        <v/>
      </c>
      <c r="AV278" s="62">
        <f>IF($AC278="",#N/A,SUM(AU$4:AU278))</f>
        <v>20.122490661046527</v>
      </c>
      <c r="AW278" s="62" t="str">
        <f t="shared" si="539"/>
        <v/>
      </c>
      <c r="AX278" s="62">
        <f>IF($AC278="",#N/A,SUM(AW$4:AW278))</f>
        <v>-385.38106797961109</v>
      </c>
      <c r="AY278" s="62">
        <f t="shared" si="540"/>
        <v>-25.25</v>
      </c>
      <c r="AZ278" s="62">
        <f>IF($AC278="",#N/A,SUM(AY$4:AY278))</f>
        <v>421.97838154633268</v>
      </c>
      <c r="BA278" s="62">
        <f>IF(AD278="",#N/A,SUM($AD$4:AD278))</f>
        <v>56.719804227768122</v>
      </c>
      <c r="BC278" s="59" t="str">
        <f t="shared" si="458"/>
        <v/>
      </c>
      <c r="BD278" s="59">
        <f t="shared" si="459"/>
        <v>1</v>
      </c>
      <c r="BE278" s="59" t="str">
        <f t="shared" si="460"/>
        <v/>
      </c>
      <c r="BF278" s="59" t="str">
        <f t="shared" si="461"/>
        <v>Short</v>
      </c>
      <c r="BG278" s="59" t="str">
        <f t="shared" si="462"/>
        <v/>
      </c>
      <c r="BH278" s="59" t="str">
        <f t="shared" si="463"/>
        <v/>
      </c>
      <c r="BI278" s="59" t="str">
        <f t="shared" si="464"/>
        <v/>
      </c>
      <c r="BK278" s="65">
        <f t="shared" si="435"/>
        <v>1.2652367999232616E-2</v>
      </c>
      <c r="BL278" s="65">
        <f t="shared" si="434"/>
        <v>-0.10756253742765942</v>
      </c>
      <c r="BM278" s="65">
        <f>IFERROR(Q278/COUNTA($J$4:J278),#N/A)</f>
        <v>4.769794643092768E-2</v>
      </c>
      <c r="BO278" s="489" t="e">
        <f>IF(J278="",#N/A,IF(S278="SW",(COUNTIFS(K$4:$K278,"&gt;0",S$4:$S278,"SW")/COUNTIF(S$4:$S278,"SW")),#N/A))</f>
        <v>#N/A</v>
      </c>
      <c r="BP278" s="489">
        <f>IF($J278="",#N/A,IF($S278="DWN",(COUNTIFS($K$4:$K278,"&lt;0",$S$4:$S278,"DWN")/COUNTIF($S$4:$S278,"DWN")),#N/A))</f>
        <v>0.58399999999999996</v>
      </c>
      <c r="BQ278" s="489" t="e">
        <f>IF($J278="",#N/A,IF($S278="UP",(COUNTIFS($K$4:$K278,"&gt;0",$S$4:$S278,"UP")/COUNTIF($S$4:$S278,"UP")),#N/A))</f>
        <v>#N/A</v>
      </c>
      <c r="BR278" s="489">
        <f>IF(J278="",#N/A,COUNTIF($K$4:K278,"&gt;0")/COUNT($J$4:J278))</f>
        <v>0.44727272727272727</v>
      </c>
      <c r="BS278" s="65" t="str">
        <f t="shared" si="465"/>
        <v/>
      </c>
      <c r="BT278" s="65" t="str">
        <f t="shared" si="466"/>
        <v/>
      </c>
      <c r="BU278" s="65" t="str">
        <f t="shared" si="467"/>
        <v/>
      </c>
      <c r="BV278" s="65">
        <f t="shared" si="468"/>
        <v>-0.60424666817257733</v>
      </c>
      <c r="BW278" s="128" t="str">
        <f t="shared" si="469"/>
        <v/>
      </c>
      <c r="BX278" s="128">
        <f>IF($J278="",#N/A,SUM($BW$4:BW278))</f>
        <v>-379.59317034792866</v>
      </c>
      <c r="BY278" s="131">
        <f t="shared" si="470"/>
        <v>-40.125</v>
      </c>
      <c r="BZ278" s="131">
        <f>IF($J278="",#N/A,SUM($BY$4:BY278))</f>
        <v>919.69734038933427</v>
      </c>
      <c r="CA278" s="133" t="str">
        <f t="shared" si="471"/>
        <v/>
      </c>
      <c r="CB278" s="133">
        <f>IF($J278="",#N/A,SUM($CA$4:CA278))</f>
        <v>39.621584261875228</v>
      </c>
      <c r="CC278" s="194" t="str">
        <f t="shared" si="472"/>
        <v/>
      </c>
      <c r="CD278" s="194">
        <f>IF($J278="",#N/A,SUM($CC$4:CC278))</f>
        <v>-5.6964391354483883</v>
      </c>
      <c r="CE278" s="195">
        <f t="shared" si="473"/>
        <v>-0.60424666817257733</v>
      </c>
      <c r="CF278" s="195">
        <f>IF($J278="",#N/A,SUM($CE$4:CE278))</f>
        <v>15.54604425425058</v>
      </c>
      <c r="CG278" s="196" t="str">
        <f t="shared" si="474"/>
        <v/>
      </c>
      <c r="CH278" s="196">
        <f>IF($J278="",#N/A,SUM($CG$4:CG278))</f>
        <v>3.2673301497029255</v>
      </c>
      <c r="CI278" s="200" t="str">
        <f t="shared" si="475"/>
        <v/>
      </c>
      <c r="CJ278" s="203">
        <f>IF($J278="",#N/A,SUM(CI$4:CI278))</f>
        <v>0</v>
      </c>
      <c r="CK278" s="204" t="str">
        <f t="shared" si="476"/>
        <v/>
      </c>
      <c r="CL278" s="204">
        <f>IF($J278="",#N/A,SUM(CK$4:CK278))</f>
        <v>2.3607894150410869</v>
      </c>
      <c r="CM278" s="205" t="str">
        <f t="shared" si="477"/>
        <v/>
      </c>
      <c r="CN278" s="205">
        <f>IF($J278="",#N/A,SUM(CM$4:CM278))</f>
        <v>2.5131182152625313</v>
      </c>
      <c r="CO278" s="205">
        <f>IF($J278="",#N/A,SUM(CM$4:CM278,CK$4:CK278,CI$4:CI278))</f>
        <v>4.8739076303036191</v>
      </c>
      <c r="CP278" s="200" t="str">
        <f t="shared" si="478"/>
        <v/>
      </c>
      <c r="CQ278" s="203">
        <f>IF($J278="",#N/A,SUM(CP$4:CP278))</f>
        <v>-1.489321591123322</v>
      </c>
      <c r="CR278" s="204">
        <f t="shared" si="479"/>
        <v>-0.60424666817257733</v>
      </c>
      <c r="CS278" s="204">
        <f>IF($J278="",#N/A,SUM(CR$4:CR278))</f>
        <v>4.1716872551039836</v>
      </c>
      <c r="CT278" s="205" t="str">
        <f t="shared" si="480"/>
        <v/>
      </c>
      <c r="CU278" s="205">
        <f>IF($J278="",#N/A,SUM(CT$4:CT278))</f>
        <v>-2.9040943753548785</v>
      </c>
      <c r="CV278" s="205">
        <f>IF($J278="",#N/A,SUM(CT$4:CT278,CR$4:CR278,CP$4:CP278))</f>
        <v>-0.22172871137421679</v>
      </c>
      <c r="CW278" s="200" t="str">
        <f t="shared" si="481"/>
        <v/>
      </c>
      <c r="CX278" s="203">
        <f>IF($J278="",#N/A,SUM(CW$4:CW278))</f>
        <v>-1.2839616145397621</v>
      </c>
      <c r="CY278" s="204" t="str">
        <f t="shared" si="482"/>
        <v/>
      </c>
      <c r="CZ278" s="204">
        <f>IF($J278="",#N/A,SUM(CY$4:CY278))</f>
        <v>0.30198222879878239</v>
      </c>
      <c r="DA278" s="205" t="str">
        <f t="shared" si="483"/>
        <v/>
      </c>
      <c r="DB278" s="205">
        <f>IF($J278="",#N/A,SUM(DA$4:DA278))</f>
        <v>-1.6929809429332021</v>
      </c>
      <c r="DC278" s="205">
        <f>IF($J278="",#N/A,SUM(DA$4:DA278,CY$4:CY278,CW$4:CW278))</f>
        <v>-2.6749603286741817</v>
      </c>
      <c r="DD278" s="200" t="str">
        <f t="shared" si="484"/>
        <v/>
      </c>
      <c r="DE278" s="203">
        <f>IF($J278="",#N/A,SUM(DD$4:DD278))</f>
        <v>0.24769343410817113</v>
      </c>
      <c r="DF278" s="204" t="str">
        <f t="shared" si="485"/>
        <v/>
      </c>
      <c r="DG278" s="204">
        <f>IF($J278="",#N/A,SUM(DF$4:DF278))</f>
        <v>1.7624645309390978</v>
      </c>
      <c r="DH278" s="205" t="str">
        <f t="shared" si="486"/>
        <v/>
      </c>
      <c r="DI278" s="205">
        <f>IF($J278="",#N/A,SUM(DH$4:DH278))</f>
        <v>-2.7812008102163399</v>
      </c>
      <c r="DJ278" s="205">
        <f>IF($J278="",#N/A,SUM(DH$4:DH278,DF$4:DF278,DD$4:DD278))</f>
        <v>-0.77104284516907118</v>
      </c>
      <c r="DK278" s="200" t="str">
        <f t="shared" si="487"/>
        <v/>
      </c>
      <c r="DL278" s="203">
        <f>IF($J278="",#N/A,SUM(DK$4:DK278))</f>
        <v>-1.2097286851272664</v>
      </c>
      <c r="DM278" s="204" t="str">
        <f t="shared" si="488"/>
        <v/>
      </c>
      <c r="DN278" s="204">
        <f>IF($J278="",#N/A,SUM(DM$4:DM278))</f>
        <v>3.0281848543081331</v>
      </c>
      <c r="DO278" s="205" t="str">
        <f t="shared" si="489"/>
        <v/>
      </c>
      <c r="DP278" s="205">
        <f>IF($J278="",#N/A,SUM(DO$4:DO278))</f>
        <v>2.700331529683047</v>
      </c>
      <c r="DQ278" s="205">
        <f>IF($J278="",#N/A,SUM(DO$4:DO278,DM$4:DM278,DK$4:DK278))</f>
        <v>4.518787698863914</v>
      </c>
      <c r="DR278" s="200" t="str">
        <f t="shared" si="490"/>
        <v/>
      </c>
      <c r="DS278" s="203">
        <f>IF($J278="",#N/A,SUM(DR$4:DR278))</f>
        <v>-0.55950946427675097</v>
      </c>
      <c r="DT278" s="204" t="str">
        <f t="shared" si="491"/>
        <v/>
      </c>
      <c r="DU278" s="204">
        <f>IF($J278="",#N/A,SUM(DT$4:DT278))</f>
        <v>-0.69837848627200172</v>
      </c>
      <c r="DV278" s="205" t="str">
        <f t="shared" si="492"/>
        <v/>
      </c>
      <c r="DW278" s="205">
        <f>IF($J278="",#N/A,SUM(DV$4:DV278))</f>
        <v>-1.5454397913873317</v>
      </c>
      <c r="DX278" s="205">
        <f>IF($J278="",#N/A,SUM(DV$4:DV278,DT$4:DT278,DR$4:DR278))</f>
        <v>-2.803327741936084</v>
      </c>
      <c r="DY278" s="200" t="str">
        <f t="shared" si="493"/>
        <v/>
      </c>
      <c r="DZ278" s="203">
        <f>IF($J278="",#N/A,SUM(DY$4:DY278))</f>
        <v>-1.0460034109943892</v>
      </c>
      <c r="EA278" s="204" t="str">
        <f t="shared" si="494"/>
        <v/>
      </c>
      <c r="EB278" s="204">
        <f>IF($J278="",#N/A,SUM(EA$4:EA278))</f>
        <v>2.468538401202053</v>
      </c>
      <c r="EC278" s="205" t="str">
        <f t="shared" si="495"/>
        <v/>
      </c>
      <c r="ED278" s="205">
        <f>IF($J278="",#N/A,SUM(EC$4:EC278))</f>
        <v>4.5772092731053986</v>
      </c>
      <c r="EE278" s="205">
        <f>IF($J278="",#N/A,SUM(EC$4:EC278,EA$4:EA278,DY$4:DY278))</f>
        <v>5.9997442633130609</v>
      </c>
      <c r="EF278" s="200" t="str">
        <f t="shared" si="496"/>
        <v/>
      </c>
      <c r="EG278" s="203">
        <f>IF($J278="",#N/A,SUM(EF$4:EF278))</f>
        <v>-0.15098969023521425</v>
      </c>
      <c r="EH278" s="204" t="str">
        <f t="shared" si="497"/>
        <v/>
      </c>
      <c r="EI278" s="204">
        <f>IF($J278="",#N/A,SUM(EH$4:EH278))</f>
        <v>-1.9445201344224492</v>
      </c>
      <c r="EJ278" s="205" t="str">
        <f t="shared" si="498"/>
        <v/>
      </c>
      <c r="EK278" s="205">
        <f>IF($J278="",#N/A,SUM(EJ$4:EJ278))</f>
        <v>5.050388173053765</v>
      </c>
      <c r="EL278" s="205">
        <f>IF($J278="",#N/A,SUM(EJ$4:EJ278,EH$4:EH278,EF$4:EF278))</f>
        <v>2.9548783483961012</v>
      </c>
      <c r="EM278" s="200" t="str">
        <f t="shared" si="499"/>
        <v/>
      </c>
      <c r="EN278" s="203">
        <f>IF($J278="",#N/A,SUM(EM$4:EM278))</f>
        <v>0</v>
      </c>
      <c r="EO278" s="204" t="str">
        <f t="shared" si="500"/>
        <v/>
      </c>
      <c r="EP278" s="204">
        <f>IF($J278="",#N/A,SUM(EO$4:EO278))</f>
        <v>1.7186739929507637</v>
      </c>
      <c r="EQ278" s="205" t="str">
        <f t="shared" si="501"/>
        <v/>
      </c>
      <c r="ER278" s="205">
        <f>IF($J278="",#N/A,SUM(EQ$4:EQ278))</f>
        <v>1.441536272249796</v>
      </c>
      <c r="ES278" s="205">
        <f>IF($J278="",#N/A,SUM(EQ$4:EQ278,EO$4:EO278,EM$4:EM278))</f>
        <v>3.160210265200559</v>
      </c>
      <c r="ET278" s="200" t="str">
        <f t="shared" si="502"/>
        <v/>
      </c>
      <c r="EU278" s="203">
        <f>IF($J278="",#N/A,SUM(ET$4:ET278))</f>
        <v>0</v>
      </c>
      <c r="EV278" s="204" t="str">
        <f t="shared" si="503"/>
        <v/>
      </c>
      <c r="EW278" s="204">
        <f>IF($J278="",#N/A,SUM(EV$4:EV278))</f>
        <v>2.6896999443708767</v>
      </c>
      <c r="EX278" s="205" t="str">
        <f t="shared" si="504"/>
        <v/>
      </c>
      <c r="EY278" s="205">
        <f>IF($J278="",#N/A,SUM(EX$4:EX278))</f>
        <v>0.27113250180669229</v>
      </c>
      <c r="EZ278" s="205">
        <f>IF($J278="",#N/A,SUM(EX$4:EX278,EV$4:EV278,ET$4:ET278))</f>
        <v>2.9608324461775686</v>
      </c>
      <c r="FA278" s="200" t="str">
        <f t="shared" si="505"/>
        <v/>
      </c>
      <c r="FB278" s="203">
        <f>IF($J278="",#N/A,SUM(FA$4:FA278))</f>
        <v>-0.27145310509113252</v>
      </c>
      <c r="FC278" s="204" t="str">
        <f t="shared" si="506"/>
        <v/>
      </c>
      <c r="FD278" s="204">
        <f>IF($J278="",#N/A,SUM(FC$4:FC278))</f>
        <v>1.204376144197403</v>
      </c>
      <c r="FE278" s="205" t="str">
        <f t="shared" si="507"/>
        <v/>
      </c>
      <c r="FF278" s="205">
        <f>IF($J278="",#N/A,SUM(FE$4:FE278))</f>
        <v>-0.28811149078748233</v>
      </c>
      <c r="FG278" s="205">
        <f>IF($J278="",#N/A,SUM(FE$4:FE278,FC$4:FC278,FA$4:FA278))</f>
        <v>0.64481154831878851</v>
      </c>
      <c r="FH278" s="200" t="str">
        <f t="shared" si="508"/>
        <v/>
      </c>
      <c r="FI278" s="203">
        <f>IF($J278="",#N/A,SUM(FH$4:FH278))</f>
        <v>0</v>
      </c>
      <c r="FJ278" s="204" t="str">
        <f t="shared" si="509"/>
        <v/>
      </c>
      <c r="FK278" s="204">
        <f>IF($J278="",#N/A,SUM(FJ$4:FJ278))</f>
        <v>0</v>
      </c>
      <c r="FL278" s="205" t="str">
        <f t="shared" si="510"/>
        <v/>
      </c>
      <c r="FM278" s="205">
        <f>IF($J278="",#N/A,SUM(FL$4:FL278))</f>
        <v>0</v>
      </c>
      <c r="FN278" s="205">
        <f>IF($J278="",#N/A,SUM(FL$4:FL278,FJ$4:FJ278,FH$4:FH278))</f>
        <v>0</v>
      </c>
      <c r="FO278" s="200" t="str">
        <f t="shared" si="511"/>
        <v/>
      </c>
      <c r="FP278" s="203">
        <f>IF($J278="",#N/A,SUM(FO$4:FO278))</f>
        <v>0</v>
      </c>
      <c r="FQ278" s="204" t="str">
        <f t="shared" si="512"/>
        <v/>
      </c>
      <c r="FR278" s="204">
        <f>IF($J278="",#N/A,SUM(FQ$4:FQ278))</f>
        <v>0</v>
      </c>
      <c r="FS278" s="205" t="str">
        <f t="shared" si="513"/>
        <v/>
      </c>
      <c r="FT278" s="205">
        <f>IF($J278="",#N/A,SUM(FS$4:FS278))</f>
        <v>0</v>
      </c>
      <c r="FU278" s="205">
        <f>IF($J278="",#N/A,SUM(FS$4:FS278,FQ$4:FQ278,FO$4:FO278))</f>
        <v>0</v>
      </c>
      <c r="FV278" s="200" t="str">
        <f t="shared" si="514"/>
        <v/>
      </c>
      <c r="FW278" s="203">
        <f>IF($J278="",#N/A,SUM(FV$4:FV278))</f>
        <v>6.6834991831277585E-2</v>
      </c>
      <c r="FX278" s="204" t="str">
        <f t="shared" si="515"/>
        <v/>
      </c>
      <c r="FY278" s="204">
        <f>IF($J278="",#N/A,SUM(FX$4:FX278))</f>
        <v>-0.16102012791805576</v>
      </c>
      <c r="FZ278" s="205" t="str">
        <f t="shared" si="516"/>
        <v/>
      </c>
      <c r="GA278" s="205">
        <f>IF($J278="",#N/A,SUM(FZ$4:FZ278))</f>
        <v>-1.1377221770567538</v>
      </c>
      <c r="GB278" s="205">
        <f>IF($J278="",#N/A,SUM(FZ$4:FZ278,FX$4:FX278,FV$4:FV278))</f>
        <v>-1.2319073131435321</v>
      </c>
      <c r="GC278" s="200" t="str">
        <f t="shared" si="517"/>
        <v/>
      </c>
      <c r="GD278" s="203">
        <f>IF($J278="",#N/A,SUM(GC$4:GC278))</f>
        <v>0</v>
      </c>
      <c r="GE278" s="204" t="str">
        <f t="shared" si="518"/>
        <v/>
      </c>
      <c r="GF278" s="204">
        <f>IF($J278="",#N/A,SUM(GE$4:GE278))</f>
        <v>0</v>
      </c>
      <c r="GG278" s="205" t="str">
        <f t="shared" si="519"/>
        <v/>
      </c>
      <c r="GH278" s="205">
        <f>IF($J278="",#N/A,SUM(GG$4:GG278))</f>
        <v>-2.9368362277223206</v>
      </c>
      <c r="GI278" s="205">
        <f>IF($J278="",#N/A,SUM(GG$4:GG278,GE$4:GE278,GC$4:GC278))</f>
        <v>-2.9368362277223206</v>
      </c>
      <c r="GJ278" s="200" t="str">
        <f t="shared" si="520"/>
        <v/>
      </c>
      <c r="GK278" s="203">
        <f>IF($J278="",#N/A,SUM(GJ$4:GJ278))</f>
        <v>0</v>
      </c>
      <c r="GL278" s="204" t="str">
        <f t="shared" si="521"/>
        <v/>
      </c>
      <c r="GM278" s="204">
        <f>IF($J278="",#N/A,SUM(GL$4:GL278))</f>
        <v>-1.6833790887309608</v>
      </c>
      <c r="GN278" s="205" t="str">
        <f t="shared" si="522"/>
        <v/>
      </c>
      <c r="GO278" s="205">
        <f>IF($J278="",#N/A,SUM(GN$4:GN278))</f>
        <v>0</v>
      </c>
      <c r="GP278" s="205">
        <f>IF($J278="",#N/A,SUM(GN$4:GN278,GL$4:GL278,GJ$4:GJ278))</f>
        <v>-1.6833790887309608</v>
      </c>
      <c r="GS278" s="177" t="str">
        <f t="shared" si="541"/>
        <v/>
      </c>
      <c r="GT278" s="177" t="e">
        <f>IF(GS278="",NA(),SUM($GS$4:GS278))</f>
        <v>#N/A</v>
      </c>
      <c r="GU278" s="177" t="str">
        <f t="shared" si="523"/>
        <v/>
      </c>
      <c r="GV278" s="177" t="e">
        <f>IF(GU278="",NA(),SUM($GU$4:GU278))</f>
        <v>#N/A</v>
      </c>
      <c r="GW278" s="177" t="str">
        <f t="shared" si="524"/>
        <v/>
      </c>
      <c r="GX278" s="177" t="e">
        <f>IF(GW278="",NA(),SUM($GW$4:GW278))</f>
        <v>#N/A</v>
      </c>
      <c r="GY278" s="177" t="str">
        <f t="shared" si="525"/>
        <v/>
      </c>
      <c r="GZ278" s="177" t="e">
        <f>IF(GY278="",NA(),SUM($GY$4:GY278))</f>
        <v>#N/A</v>
      </c>
      <c r="HA278" s="177">
        <f t="shared" si="526"/>
        <v>-0.60424666817257733</v>
      </c>
      <c r="HB278" s="177">
        <f>IF(HA278="",NA(),SUM($HA$4:HA278))</f>
        <v>4.3355395577073228</v>
      </c>
      <c r="HC278" s="177" t="str">
        <f t="shared" si="527"/>
        <v/>
      </c>
      <c r="HD278" s="177" t="e">
        <f>IF(HC278="",NA(),SUM($HC$4:HC278))</f>
        <v>#N/A</v>
      </c>
      <c r="HE278" s="177" t="str">
        <f t="shared" si="528"/>
        <v/>
      </c>
      <c r="HF278" s="177" t="e">
        <f>IF(HE278="",NA(),SUM($HE$4:HE278))</f>
        <v>#N/A</v>
      </c>
      <c r="HG278" s="177">
        <f t="shared" si="529"/>
        <v>-0.60424666817257733</v>
      </c>
      <c r="HH278" s="177">
        <f>IF(HG278="",NA(),SUM($HG$4:HG278))</f>
        <v>5.8736804468023207</v>
      </c>
      <c r="HI278" s="183" t="str">
        <f t="shared" si="542"/>
        <v/>
      </c>
      <c r="HJ278" s="183">
        <f>IF($J278="",#N/A,SUM(HI$4:$HI278))</f>
        <v>-8.2188730888856494</v>
      </c>
      <c r="HK278" s="177">
        <f t="shared" si="530"/>
        <v>0.22400421654995856</v>
      </c>
      <c r="HL278" s="177">
        <f>IF($J278="",#N/A,SUM($HK$4:HK278))</f>
        <v>-1.2857192308585881</v>
      </c>
      <c r="HM278" s="177" t="str">
        <f t="shared" si="531"/>
        <v/>
      </c>
      <c r="HN278" s="177">
        <f>IF($J278="",#N/A,SUM($HM$4:HM278))</f>
        <v>0.957348620978966</v>
      </c>
      <c r="HO278" s="177" t="str">
        <f t="shared" si="532"/>
        <v/>
      </c>
      <c r="HP278" s="177">
        <f>IF($J278="",#N/A,SUM($HO$4:HO278))</f>
        <v>-1.052184587939049</v>
      </c>
      <c r="HQ278" s="177" t="str">
        <f t="shared" si="533"/>
        <v/>
      </c>
      <c r="HR278" s="177">
        <f>IF($J278="",#N/A,SUM($HQ$4:HQ278))</f>
        <v>-14.877782597833791</v>
      </c>
      <c r="HS278" s="177" t="str">
        <f t="shared" si="534"/>
        <v/>
      </c>
      <c r="HT278" s="177">
        <f>IF($J278="",#N/A,SUM($HS$4:HS278))</f>
        <v>13.992432834598167</v>
      </c>
      <c r="HU278" s="64">
        <f t="shared" si="535"/>
        <v>-0.38024245162261877</v>
      </c>
      <c r="HV278" s="64">
        <f>IF($J278="",#N/A,SUM(HU$4:$HU278))</f>
        <v>2.6321572185651587</v>
      </c>
    </row>
    <row r="279" spans="1:230" x14ac:dyDescent="0.25">
      <c r="A279" s="59" t="s">
        <v>250</v>
      </c>
      <c r="B279" s="289" t="s">
        <v>4595</v>
      </c>
      <c r="C279" s="230">
        <f t="shared" si="436"/>
        <v>2</v>
      </c>
      <c r="D279" s="220" t="str">
        <f>_xlfn.XLOOKUP(A279,[1]SP500!$A$2:$A$502,[1]SP500!$D$2:$D$502,"N")</f>
        <v>Y</v>
      </c>
      <c r="E279" s="59" t="str">
        <f>IFERROR(_xlfn.XLOOKUP(A279,[1]SP500!$A$2:$A$655,[1]SP500!$B$2:$B$655),"")</f>
        <v>XLB</v>
      </c>
      <c r="F279" s="290">
        <v>45783</v>
      </c>
      <c r="G279" s="59" t="str">
        <f t="shared" si="437"/>
        <v>AMC</v>
      </c>
      <c r="H279" s="59" t="str">
        <f t="shared" si="438"/>
        <v>s</v>
      </c>
      <c r="I279" s="376">
        <v>79.2</v>
      </c>
      <c r="J279" s="125">
        <v>77.59</v>
      </c>
      <c r="K279" s="60">
        <f t="shared" si="439"/>
        <v>-2.032828282828282E-2</v>
      </c>
      <c r="L279" s="68">
        <f t="shared" si="440"/>
        <v>24.149999999999864</v>
      </c>
      <c r="M279" s="62">
        <f t="shared" si="441"/>
        <v>0</v>
      </c>
      <c r="N279" s="63">
        <f t="shared" si="442"/>
        <v>24.149999999999864</v>
      </c>
      <c r="O279" s="62">
        <f>IF(N279="",#N/A,SUM($N$4:N279))</f>
        <v>603.8757543032807</v>
      </c>
      <c r="P279" s="64">
        <f t="shared" si="536"/>
        <v>0.33880471380471189</v>
      </c>
      <c r="Q279" s="183">
        <f>IF($N279="",#N/A,SUM($P$4:P279))</f>
        <v>13.455739982309822</v>
      </c>
      <c r="R279" s="279">
        <f t="shared" si="443"/>
        <v>1.0249021804771594</v>
      </c>
      <c r="S279" s="59" t="str">
        <f t="shared" si="444"/>
        <v>Dwn</v>
      </c>
      <c r="T279" s="59" t="s">
        <v>4462</v>
      </c>
      <c r="U279" s="61">
        <f t="shared" si="445"/>
        <v>79.2</v>
      </c>
      <c r="V279" s="61" t="s">
        <v>4458</v>
      </c>
      <c r="W279" s="142">
        <v>15</v>
      </c>
      <c r="X279" s="146">
        <f t="shared" si="446"/>
        <v>1188</v>
      </c>
      <c r="Y279" s="142">
        <f t="shared" si="447"/>
        <v>15</v>
      </c>
      <c r="Z279" s="278">
        <v>77.59</v>
      </c>
      <c r="AA279" s="63">
        <f t="shared" si="448"/>
        <v>24.149999999999864</v>
      </c>
      <c r="AB279" s="63">
        <f t="shared" si="449"/>
        <v>84.149999999999864</v>
      </c>
      <c r="AC279" s="125">
        <v>73.59</v>
      </c>
      <c r="AD279" s="148">
        <f t="shared" si="450"/>
        <v>84.149999999999864</v>
      </c>
      <c r="AE279" s="544">
        <f t="shared" si="451"/>
        <v>1.1805555555555536</v>
      </c>
      <c r="AF279" s="62">
        <f>IF($AC279="",#N/A,SUM(AD$4:AD279))</f>
        <v>140.86980422776799</v>
      </c>
      <c r="AG279" s="63">
        <f t="shared" si="452"/>
        <v>60</v>
      </c>
      <c r="AH279" s="61" t="s">
        <v>2507</v>
      </c>
      <c r="AI279" s="64">
        <f t="shared" si="453"/>
        <v>0.33880471380471189</v>
      </c>
      <c r="AJ279" s="383">
        <f>IF(AI279="",#N/A,SUM($AI$4:AI279))</f>
        <v>12.430837801832663</v>
      </c>
      <c r="AK279" s="62">
        <f t="shared" si="454"/>
        <v>24.149999999999864</v>
      </c>
      <c r="AL279" s="351">
        <f>IF(AI279="",#N/A,IF(AH279="Skip",SUM($AK$4:AK279),SUM($AK$4:AK279)))</f>
        <v>523.30759149281471</v>
      </c>
      <c r="AM279" s="65">
        <f t="shared" si="537"/>
        <v>1.1805555555555536</v>
      </c>
      <c r="AN279" s="210"/>
      <c r="AO279" s="64" t="str">
        <f t="shared" si="455"/>
        <v/>
      </c>
      <c r="AP279" s="64">
        <f>IF($AC279="",#N/A,SUM(AO$4:AO279))</f>
        <v>2.3819803864672999</v>
      </c>
      <c r="AQ279" s="64" t="str">
        <f t="shared" si="456"/>
        <v/>
      </c>
      <c r="AR279" s="64">
        <f>IF($AC279="",#N/A,SUM(AQ$4:AQ279))</f>
        <v>-5.7912751024084725</v>
      </c>
      <c r="AS279" s="64">
        <f t="shared" si="457"/>
        <v>1.1805555555555536</v>
      </c>
      <c r="AT279" s="64">
        <f>IF($AC279="",#N/A,SUM(AS$4:AS279))</f>
        <v>7.2220074900618831</v>
      </c>
      <c r="AU279" s="62" t="str">
        <f t="shared" si="538"/>
        <v/>
      </c>
      <c r="AV279" s="62">
        <f>IF($AC279="",#N/A,SUM(AU$4:AU279))</f>
        <v>20.122490661046527</v>
      </c>
      <c r="AW279" s="62" t="str">
        <f t="shared" si="539"/>
        <v/>
      </c>
      <c r="AX279" s="62">
        <f>IF($AC279="",#N/A,SUM(AW$4:AW279))</f>
        <v>-385.38106797961109</v>
      </c>
      <c r="AY279" s="62">
        <f t="shared" si="540"/>
        <v>84.149999999999864</v>
      </c>
      <c r="AZ279" s="62">
        <f>IF($AC279="",#N/A,SUM(AY$4:AY279))</f>
        <v>506.12838154633255</v>
      </c>
      <c r="BA279" s="62">
        <f>IF(AD279="",#N/A,SUM($AD$4:AD279))</f>
        <v>140.86980422776799</v>
      </c>
      <c r="BC279" s="59" t="str">
        <f t="shared" si="458"/>
        <v/>
      </c>
      <c r="BD279" s="59" t="str">
        <f t="shared" si="459"/>
        <v/>
      </c>
      <c r="BE279" s="59" t="str">
        <f t="shared" si="460"/>
        <v/>
      </c>
      <c r="BF279" s="59" t="str">
        <f t="shared" si="461"/>
        <v>Short</v>
      </c>
      <c r="BG279" s="59">
        <f t="shared" si="462"/>
        <v>1</v>
      </c>
      <c r="BH279" s="59" t="str">
        <f t="shared" si="463"/>
        <v/>
      </c>
      <c r="BI279" s="59" t="str">
        <f t="shared" si="464"/>
        <v/>
      </c>
      <c r="BK279" s="65">
        <f t="shared" si="435"/>
        <v>5.4847038838531648E-2</v>
      </c>
      <c r="BL279" s="65">
        <f t="shared" si="434"/>
        <v>-5.9026524781595882E-2</v>
      </c>
      <c r="BM279" s="65">
        <f>IFERROR(Q279/COUNTA($J$4:J279),#N/A)</f>
        <v>4.8752681095325441E-2</v>
      </c>
      <c r="BO279" s="489" t="e">
        <f>IF(J279="",#N/A,IF(S279="SW",(COUNTIFS(K$4:$K279,"&gt;0",S$4:$S279,"SW")/COUNTIF(S$4:$S279,"SW")),#N/A))</f>
        <v>#N/A</v>
      </c>
      <c r="BP279" s="489">
        <f>IF($J279="",#N/A,IF($S279="DWN",(COUNTIFS($K$4:$K279,"&lt;0",$S$4:$S279,"DWN")/COUNTIF($S$4:$S279,"DWN")),#N/A))</f>
        <v>0.58730158730158732</v>
      </c>
      <c r="BQ279" s="489" t="e">
        <f>IF($J279="",#N/A,IF($S279="UP",(COUNTIFS($K$4:$K279,"&gt;0",$S$4:$S279,"UP")/COUNTIF($S$4:$S279,"UP")),#N/A))</f>
        <v>#N/A</v>
      </c>
      <c r="BR279" s="489">
        <f>IF(J279="",#N/A,COUNTIF($K$4:K279,"&gt;0")/COUNT($J$4:J279))</f>
        <v>0.44565217391304346</v>
      </c>
      <c r="BS279" s="65" t="str">
        <f t="shared" si="465"/>
        <v/>
      </c>
      <c r="BT279" s="65" t="str">
        <f t="shared" si="466"/>
        <v/>
      </c>
      <c r="BU279" s="65">
        <f t="shared" si="467"/>
        <v>0.33880471380471189</v>
      </c>
      <c r="BV279" s="65" t="str">
        <f t="shared" si="468"/>
        <v/>
      </c>
      <c r="BW279" s="128" t="str">
        <f t="shared" si="469"/>
        <v/>
      </c>
      <c r="BX279" s="128">
        <f>IF($J279="",#N/A,SUM($BW$4:BW279))</f>
        <v>-379.59317034792866</v>
      </c>
      <c r="BY279" s="131">
        <f t="shared" si="470"/>
        <v>24.149999999999864</v>
      </c>
      <c r="BZ279" s="131">
        <f>IF($J279="",#N/A,SUM($BY$4:BY279))</f>
        <v>943.84734038933414</v>
      </c>
      <c r="CA279" s="133" t="str">
        <f t="shared" si="471"/>
        <v/>
      </c>
      <c r="CB279" s="133">
        <f>IF($J279="",#N/A,SUM($CA$4:CA279))</f>
        <v>39.621584261875228</v>
      </c>
      <c r="CC279" s="194" t="str">
        <f t="shared" si="472"/>
        <v/>
      </c>
      <c r="CD279" s="194">
        <f>IF($J279="",#N/A,SUM($CC$4:CC279))</f>
        <v>-5.6964391354483883</v>
      </c>
      <c r="CE279" s="195">
        <f t="shared" si="473"/>
        <v>0.33880471380471189</v>
      </c>
      <c r="CF279" s="195">
        <f>IF($J279="",#N/A,SUM($CE$4:CE279))</f>
        <v>15.884848968055291</v>
      </c>
      <c r="CG279" s="196" t="str">
        <f t="shared" si="474"/>
        <v/>
      </c>
      <c r="CH279" s="196">
        <f>IF($J279="",#N/A,SUM($CG$4:CG279))</f>
        <v>3.2673301497029255</v>
      </c>
      <c r="CI279" s="200" t="str">
        <f t="shared" si="475"/>
        <v/>
      </c>
      <c r="CJ279" s="203">
        <f>IF($J279="",#N/A,SUM(CI$4:CI279))</f>
        <v>0</v>
      </c>
      <c r="CK279" s="204" t="str">
        <f t="shared" si="476"/>
        <v/>
      </c>
      <c r="CL279" s="204">
        <f>IF($J279="",#N/A,SUM(CK$4:CK279))</f>
        <v>2.3607894150410869</v>
      </c>
      <c r="CM279" s="205" t="str">
        <f t="shared" si="477"/>
        <v/>
      </c>
      <c r="CN279" s="205">
        <f>IF($J279="",#N/A,SUM(CM$4:CM279))</f>
        <v>2.5131182152625313</v>
      </c>
      <c r="CO279" s="205">
        <f>IF($J279="",#N/A,SUM(CM$4:CM279,CK$4:CK279,CI$4:CI279))</f>
        <v>4.8739076303036191</v>
      </c>
      <c r="CP279" s="200" t="str">
        <f t="shared" si="478"/>
        <v/>
      </c>
      <c r="CQ279" s="203">
        <f>IF($J279="",#N/A,SUM(CP$4:CP279))</f>
        <v>-1.489321591123322</v>
      </c>
      <c r="CR279" s="204" t="str">
        <f t="shared" si="479"/>
        <v/>
      </c>
      <c r="CS279" s="204">
        <f>IF($J279="",#N/A,SUM(CR$4:CR279))</f>
        <v>4.1716872551039836</v>
      </c>
      <c r="CT279" s="205" t="str">
        <f t="shared" si="480"/>
        <v/>
      </c>
      <c r="CU279" s="205">
        <f>IF($J279="",#N/A,SUM(CT$4:CT279))</f>
        <v>-2.9040943753548785</v>
      </c>
      <c r="CV279" s="205">
        <f>IF($J279="",#N/A,SUM(CT$4:CT279,CR$4:CR279,CP$4:CP279))</f>
        <v>-0.22172871137421679</v>
      </c>
      <c r="CW279" s="200" t="str">
        <f t="shared" si="481"/>
        <v/>
      </c>
      <c r="CX279" s="203">
        <f>IF($J279="",#N/A,SUM(CW$4:CW279))</f>
        <v>-1.2839616145397621</v>
      </c>
      <c r="CY279" s="204" t="str">
        <f t="shared" si="482"/>
        <v/>
      </c>
      <c r="CZ279" s="204">
        <f>IF($J279="",#N/A,SUM(CY$4:CY279))</f>
        <v>0.30198222879878239</v>
      </c>
      <c r="DA279" s="205" t="str">
        <f t="shared" si="483"/>
        <v/>
      </c>
      <c r="DB279" s="205">
        <f>IF($J279="",#N/A,SUM(DA$4:DA279))</f>
        <v>-1.6929809429332021</v>
      </c>
      <c r="DC279" s="205">
        <f>IF($J279="",#N/A,SUM(DA$4:DA279,CY$4:CY279,CW$4:CW279))</f>
        <v>-2.6749603286741817</v>
      </c>
      <c r="DD279" s="200" t="str">
        <f t="shared" si="484"/>
        <v/>
      </c>
      <c r="DE279" s="203">
        <f>IF($J279="",#N/A,SUM(DD$4:DD279))</f>
        <v>0.24769343410817113</v>
      </c>
      <c r="DF279" s="204" t="str">
        <f t="shared" si="485"/>
        <v/>
      </c>
      <c r="DG279" s="204">
        <f>IF($J279="",#N/A,SUM(DF$4:DF279))</f>
        <v>1.7624645309390978</v>
      </c>
      <c r="DH279" s="205" t="str">
        <f t="shared" si="486"/>
        <v/>
      </c>
      <c r="DI279" s="205">
        <f>IF($J279="",#N/A,SUM(DH$4:DH279))</f>
        <v>-2.7812008102163399</v>
      </c>
      <c r="DJ279" s="205">
        <f>IF($J279="",#N/A,SUM(DH$4:DH279,DF$4:DF279,DD$4:DD279))</f>
        <v>-0.77104284516907118</v>
      </c>
      <c r="DK279" s="200" t="str">
        <f t="shared" si="487"/>
        <v/>
      </c>
      <c r="DL279" s="203">
        <f>IF($J279="",#N/A,SUM(DK$4:DK279))</f>
        <v>-1.2097286851272664</v>
      </c>
      <c r="DM279" s="204" t="str">
        <f t="shared" si="488"/>
        <v/>
      </c>
      <c r="DN279" s="204">
        <f>IF($J279="",#N/A,SUM(DM$4:DM279))</f>
        <v>3.0281848543081331</v>
      </c>
      <c r="DO279" s="205" t="str">
        <f t="shared" si="489"/>
        <v/>
      </c>
      <c r="DP279" s="205">
        <f>IF($J279="",#N/A,SUM(DO$4:DO279))</f>
        <v>2.700331529683047</v>
      </c>
      <c r="DQ279" s="205">
        <f>IF($J279="",#N/A,SUM(DO$4:DO279,DM$4:DM279,DK$4:DK279))</f>
        <v>4.518787698863914</v>
      </c>
      <c r="DR279" s="200" t="str">
        <f t="shared" si="490"/>
        <v/>
      </c>
      <c r="DS279" s="203">
        <f>IF($J279="",#N/A,SUM(DR$4:DR279))</f>
        <v>-0.55950946427675097</v>
      </c>
      <c r="DT279" s="204" t="str">
        <f t="shared" si="491"/>
        <v/>
      </c>
      <c r="DU279" s="204">
        <f>IF($J279="",#N/A,SUM(DT$4:DT279))</f>
        <v>-0.69837848627200172</v>
      </c>
      <c r="DV279" s="205" t="str">
        <f t="shared" si="492"/>
        <v/>
      </c>
      <c r="DW279" s="205">
        <f>IF($J279="",#N/A,SUM(DV$4:DV279))</f>
        <v>-1.5454397913873317</v>
      </c>
      <c r="DX279" s="205">
        <f>IF($J279="",#N/A,SUM(DV$4:DV279,DT$4:DT279,DR$4:DR279))</f>
        <v>-2.803327741936084</v>
      </c>
      <c r="DY279" s="200" t="str">
        <f t="shared" si="493"/>
        <v/>
      </c>
      <c r="DZ279" s="203">
        <f>IF($J279="",#N/A,SUM(DY$4:DY279))</f>
        <v>-1.0460034109943892</v>
      </c>
      <c r="EA279" s="204" t="str">
        <f t="shared" si="494"/>
        <v/>
      </c>
      <c r="EB279" s="204">
        <f>IF($J279="",#N/A,SUM(EA$4:EA279))</f>
        <v>2.468538401202053</v>
      </c>
      <c r="EC279" s="205" t="str">
        <f t="shared" si="495"/>
        <v/>
      </c>
      <c r="ED279" s="205">
        <f>IF($J279="",#N/A,SUM(EC$4:EC279))</f>
        <v>4.5772092731053986</v>
      </c>
      <c r="EE279" s="205">
        <f>IF($J279="",#N/A,SUM(EC$4:EC279,EA$4:EA279,DY$4:DY279))</f>
        <v>5.9997442633130609</v>
      </c>
      <c r="EF279" s="200" t="str">
        <f t="shared" si="496"/>
        <v/>
      </c>
      <c r="EG279" s="203">
        <f>IF($J279="",#N/A,SUM(EF$4:EF279))</f>
        <v>-0.15098969023521425</v>
      </c>
      <c r="EH279" s="204" t="str">
        <f t="shared" si="497"/>
        <v/>
      </c>
      <c r="EI279" s="204">
        <f>IF($J279="",#N/A,SUM(EH$4:EH279))</f>
        <v>-1.9445201344224492</v>
      </c>
      <c r="EJ279" s="205" t="str">
        <f t="shared" si="498"/>
        <v/>
      </c>
      <c r="EK279" s="205">
        <f>IF($J279="",#N/A,SUM(EJ$4:EJ279))</f>
        <v>5.050388173053765</v>
      </c>
      <c r="EL279" s="205">
        <f>IF($J279="",#N/A,SUM(EJ$4:EJ279,EH$4:EH279,EF$4:EF279))</f>
        <v>2.9548783483961012</v>
      </c>
      <c r="EM279" s="200" t="str">
        <f t="shared" si="499"/>
        <v/>
      </c>
      <c r="EN279" s="203">
        <f>IF($J279="",#N/A,SUM(EM$4:EM279))</f>
        <v>0</v>
      </c>
      <c r="EO279" s="204">
        <f t="shared" si="500"/>
        <v>0.33880471380471189</v>
      </c>
      <c r="EP279" s="204">
        <f>IF($J279="",#N/A,SUM(EO$4:EO279))</f>
        <v>2.0574787067554756</v>
      </c>
      <c r="EQ279" s="205" t="str">
        <f t="shared" si="501"/>
        <v/>
      </c>
      <c r="ER279" s="205">
        <f>IF($J279="",#N/A,SUM(EQ$4:EQ279))</f>
        <v>1.441536272249796</v>
      </c>
      <c r="ES279" s="205">
        <f>IF($J279="",#N/A,SUM(EQ$4:EQ279,EO$4:EO279,EM$4:EM279))</f>
        <v>3.4990149790052709</v>
      </c>
      <c r="ET279" s="200" t="str">
        <f t="shared" si="502"/>
        <v/>
      </c>
      <c r="EU279" s="203">
        <f>IF($J279="",#N/A,SUM(ET$4:ET279))</f>
        <v>0</v>
      </c>
      <c r="EV279" s="204" t="str">
        <f t="shared" si="503"/>
        <v/>
      </c>
      <c r="EW279" s="204">
        <f>IF($J279="",#N/A,SUM(EV$4:EV279))</f>
        <v>2.6896999443708767</v>
      </c>
      <c r="EX279" s="205" t="str">
        <f t="shared" si="504"/>
        <v/>
      </c>
      <c r="EY279" s="205">
        <f>IF($J279="",#N/A,SUM(EX$4:EX279))</f>
        <v>0.27113250180669229</v>
      </c>
      <c r="EZ279" s="205">
        <f>IF($J279="",#N/A,SUM(EX$4:EX279,EV$4:EV279,ET$4:ET279))</f>
        <v>2.9608324461775686</v>
      </c>
      <c r="FA279" s="200" t="str">
        <f t="shared" si="505"/>
        <v/>
      </c>
      <c r="FB279" s="203">
        <f>IF($J279="",#N/A,SUM(FA$4:FA279))</f>
        <v>-0.27145310509113252</v>
      </c>
      <c r="FC279" s="204" t="str">
        <f t="shared" si="506"/>
        <v/>
      </c>
      <c r="FD279" s="204">
        <f>IF($J279="",#N/A,SUM(FC$4:FC279))</f>
        <v>1.204376144197403</v>
      </c>
      <c r="FE279" s="205" t="str">
        <f t="shared" si="507"/>
        <v/>
      </c>
      <c r="FF279" s="205">
        <f>IF($J279="",#N/A,SUM(FE$4:FE279))</f>
        <v>-0.28811149078748233</v>
      </c>
      <c r="FG279" s="205">
        <f>IF($J279="",#N/A,SUM(FE$4:FE279,FC$4:FC279,FA$4:FA279))</f>
        <v>0.64481154831878851</v>
      </c>
      <c r="FH279" s="200" t="str">
        <f t="shared" si="508"/>
        <v/>
      </c>
      <c r="FI279" s="203">
        <f>IF($J279="",#N/A,SUM(FH$4:FH279))</f>
        <v>0</v>
      </c>
      <c r="FJ279" s="204" t="str">
        <f t="shared" si="509"/>
        <v/>
      </c>
      <c r="FK279" s="204">
        <f>IF($J279="",#N/A,SUM(FJ$4:FJ279))</f>
        <v>0</v>
      </c>
      <c r="FL279" s="205" t="str">
        <f t="shared" si="510"/>
        <v/>
      </c>
      <c r="FM279" s="205">
        <f>IF($J279="",#N/A,SUM(FL$4:FL279))</f>
        <v>0</v>
      </c>
      <c r="FN279" s="205">
        <f>IF($J279="",#N/A,SUM(FL$4:FL279,FJ$4:FJ279,FH$4:FH279))</f>
        <v>0</v>
      </c>
      <c r="FO279" s="200" t="str">
        <f t="shared" si="511"/>
        <v/>
      </c>
      <c r="FP279" s="203">
        <f>IF($J279="",#N/A,SUM(FO$4:FO279))</f>
        <v>0</v>
      </c>
      <c r="FQ279" s="204" t="str">
        <f t="shared" si="512"/>
        <v/>
      </c>
      <c r="FR279" s="204">
        <f>IF($J279="",#N/A,SUM(FQ$4:FQ279))</f>
        <v>0</v>
      </c>
      <c r="FS279" s="205" t="str">
        <f t="shared" si="513"/>
        <v/>
      </c>
      <c r="FT279" s="205">
        <f>IF($J279="",#N/A,SUM(FS$4:FS279))</f>
        <v>0</v>
      </c>
      <c r="FU279" s="205">
        <f>IF($J279="",#N/A,SUM(FS$4:FS279,FQ$4:FQ279,FO$4:FO279))</f>
        <v>0</v>
      </c>
      <c r="FV279" s="200" t="str">
        <f t="shared" si="514"/>
        <v/>
      </c>
      <c r="FW279" s="203">
        <f>IF($J279="",#N/A,SUM(FV$4:FV279))</f>
        <v>6.6834991831277585E-2</v>
      </c>
      <c r="FX279" s="204" t="str">
        <f t="shared" si="515"/>
        <v/>
      </c>
      <c r="FY279" s="204">
        <f>IF($J279="",#N/A,SUM(FX$4:FX279))</f>
        <v>-0.16102012791805576</v>
      </c>
      <c r="FZ279" s="205" t="str">
        <f t="shared" si="516"/>
        <v/>
      </c>
      <c r="GA279" s="205">
        <f>IF($J279="",#N/A,SUM(FZ$4:FZ279))</f>
        <v>-1.1377221770567538</v>
      </c>
      <c r="GB279" s="205">
        <f>IF($J279="",#N/A,SUM(FZ$4:FZ279,FX$4:FX279,FV$4:FV279))</f>
        <v>-1.2319073131435321</v>
      </c>
      <c r="GC279" s="200" t="str">
        <f t="shared" si="517"/>
        <v/>
      </c>
      <c r="GD279" s="203">
        <f>IF($J279="",#N/A,SUM(GC$4:GC279))</f>
        <v>0</v>
      </c>
      <c r="GE279" s="204" t="str">
        <f t="shared" si="518"/>
        <v/>
      </c>
      <c r="GF279" s="204">
        <f>IF($J279="",#N/A,SUM(GE$4:GE279))</f>
        <v>0</v>
      </c>
      <c r="GG279" s="205" t="str">
        <f t="shared" si="519"/>
        <v/>
      </c>
      <c r="GH279" s="205">
        <f>IF($J279="",#N/A,SUM(GG$4:GG279))</f>
        <v>-2.9368362277223206</v>
      </c>
      <c r="GI279" s="205">
        <f>IF($J279="",#N/A,SUM(GG$4:GG279,GE$4:GE279,GC$4:GC279))</f>
        <v>-2.9368362277223206</v>
      </c>
      <c r="GJ279" s="200" t="str">
        <f t="shared" si="520"/>
        <v/>
      </c>
      <c r="GK279" s="203">
        <f>IF($J279="",#N/A,SUM(GJ$4:GJ279))</f>
        <v>0</v>
      </c>
      <c r="GL279" s="204" t="str">
        <f t="shared" si="521"/>
        <v/>
      </c>
      <c r="GM279" s="204">
        <f>IF($J279="",#N/A,SUM(GL$4:GL279))</f>
        <v>-1.6833790887309608</v>
      </c>
      <c r="GN279" s="205" t="str">
        <f t="shared" si="522"/>
        <v/>
      </c>
      <c r="GO279" s="205">
        <f>IF($J279="",#N/A,SUM(GN$4:GN279))</f>
        <v>0</v>
      </c>
      <c r="GP279" s="205">
        <f>IF($J279="",#N/A,SUM(GN$4:GN279,GL$4:GL279,GJ$4:GJ279))</f>
        <v>-1.6833790887309608</v>
      </c>
      <c r="GS279" s="177">
        <f t="shared" si="541"/>
        <v>0.33880471380471189</v>
      </c>
      <c r="GT279" s="177">
        <f>IF(GS279="",NA(),SUM($GS$4:GS279))</f>
        <v>9.1202004246024977</v>
      </c>
      <c r="GU279" s="177" t="str">
        <f t="shared" si="523"/>
        <v/>
      </c>
      <c r="GV279" s="177" t="e">
        <f>IF(GU279="",NA(),SUM($GU$4:GU279))</f>
        <v>#N/A</v>
      </c>
      <c r="GW279" s="177" t="str">
        <f t="shared" si="524"/>
        <v/>
      </c>
      <c r="GX279" s="177" t="e">
        <f>IF(GW279="",NA(),SUM($GW$4:GW279))</f>
        <v>#N/A</v>
      </c>
      <c r="GY279" s="177">
        <f t="shared" si="525"/>
        <v>0.33880471380471189</v>
      </c>
      <c r="GZ279" s="177">
        <f>IF(GY279="",NA(),SUM($GY$4:GY279))</f>
        <v>10.011168521252966</v>
      </c>
      <c r="HA279" s="177" t="str">
        <f t="shared" si="526"/>
        <v/>
      </c>
      <c r="HB279" s="177" t="e">
        <f>IF(HA279="",NA(),SUM($HA$4:HA279))</f>
        <v>#N/A</v>
      </c>
      <c r="HC279" s="177" t="str">
        <f t="shared" si="527"/>
        <v/>
      </c>
      <c r="HD279" s="177" t="e">
        <f>IF(HC279="",NA(),SUM($HC$4:HC279))</f>
        <v>#N/A</v>
      </c>
      <c r="HE279" s="177" t="str">
        <f t="shared" si="528"/>
        <v/>
      </c>
      <c r="HF279" s="177" t="e">
        <f>IF(HE279="",NA(),SUM($HE$4:HE279))</f>
        <v>#N/A</v>
      </c>
      <c r="HG279" s="177" t="str">
        <f t="shared" si="529"/>
        <v/>
      </c>
      <c r="HH279" s="177" t="e">
        <f>IF(HG279="",NA(),SUM($HG$4:HG279))</f>
        <v>#N/A</v>
      </c>
      <c r="HI279" s="183">
        <f t="shared" si="542"/>
        <v>0.84175084175084169</v>
      </c>
      <c r="HJ279" s="183">
        <f>IF($J279="",#N/A,SUM(HI$4:$HI279))</f>
        <v>-7.3771222471348077</v>
      </c>
      <c r="HK279" s="177" t="str">
        <f t="shared" si="530"/>
        <v/>
      </c>
      <c r="HL279" s="177">
        <f>IF($J279="",#N/A,SUM($HK$4:HK279))</f>
        <v>-1.2857192308585881</v>
      </c>
      <c r="HM279" s="177" t="str">
        <f t="shared" si="531"/>
        <v/>
      </c>
      <c r="HN279" s="177">
        <f>IF($J279="",#N/A,SUM($HM$4:HM279))</f>
        <v>0.957348620978966</v>
      </c>
      <c r="HO279" s="177" t="str">
        <f t="shared" si="532"/>
        <v/>
      </c>
      <c r="HP279" s="177">
        <f>IF($J279="",#N/A,SUM($HO$4:HO279))</f>
        <v>-1.052184587939049</v>
      </c>
      <c r="HQ279" s="177" t="str">
        <f t="shared" si="533"/>
        <v/>
      </c>
      <c r="HR279" s="177">
        <f>IF($J279="",#N/A,SUM($HQ$4:HQ279))</f>
        <v>-14.877782597833791</v>
      </c>
      <c r="HS279" s="177" t="str">
        <f t="shared" si="534"/>
        <v/>
      </c>
      <c r="HT279" s="177">
        <f>IF($J279="",#N/A,SUM($HS$4:HS279))</f>
        <v>13.992432834598167</v>
      </c>
      <c r="HU279" s="64">
        <f t="shared" si="535"/>
        <v>1.1805555555555536</v>
      </c>
      <c r="HV279" s="64">
        <f>IF($J279="",#N/A,SUM(HU$4:$HU279))</f>
        <v>3.8127127741207123</v>
      </c>
    </row>
    <row r="280" spans="1:230" x14ac:dyDescent="0.25">
      <c r="A280" s="51" t="s">
        <v>1287</v>
      </c>
      <c r="B280" s="52" t="s">
        <v>4595</v>
      </c>
      <c r="C280" s="229">
        <f t="shared" si="436"/>
        <v>2</v>
      </c>
      <c r="D280" s="219" t="str">
        <f>_xlfn.XLOOKUP(A280,[1]SP500!$A$2:$A$502,[1]SP500!$D$2:$D$502,"N")</f>
        <v>Y</v>
      </c>
      <c r="E280" s="51" t="str">
        <f>IFERROR(_xlfn.XLOOKUP(A280,[1]SP500!$A$2:$A$655,[1]SP500!$B$2:$B$655),"")</f>
        <v>SMH</v>
      </c>
      <c r="F280" s="290">
        <v>45783</v>
      </c>
      <c r="G280" s="51" t="str">
        <f t="shared" si="437"/>
        <v>AMC</v>
      </c>
      <c r="H280" s="51" t="str">
        <f t="shared" si="438"/>
        <v>s</v>
      </c>
      <c r="I280" s="343">
        <v>98.62</v>
      </c>
      <c r="J280" s="124">
        <v>100.75</v>
      </c>
      <c r="K280" s="55">
        <f t="shared" si="439"/>
        <v>2.1598053133238648E-2</v>
      </c>
      <c r="L280" s="67">
        <f t="shared" si="440"/>
        <v>-25.559999999999945</v>
      </c>
      <c r="M280" s="57">
        <f t="shared" si="441"/>
        <v>1.5599999999999454</v>
      </c>
      <c r="N280" s="102">
        <f t="shared" si="442"/>
        <v>-25.559999999999945</v>
      </c>
      <c r="O280" s="57">
        <f>IF(N280="",#N/A,SUM($N$4:N280))</f>
        <v>578.31575430328076</v>
      </c>
      <c r="P280" s="65">
        <f t="shared" si="536"/>
        <v>-0.35996755222064414</v>
      </c>
      <c r="Q280" s="172">
        <f>IF($N280="",#N/A,SUM($P$4:P280))</f>
        <v>13.095772430089179</v>
      </c>
      <c r="R280" s="279">
        <f t="shared" si="443"/>
        <v>1.0029323298721451</v>
      </c>
      <c r="S280" s="51" t="str">
        <f t="shared" si="444"/>
        <v>Dwn</v>
      </c>
      <c r="T280" s="51" t="s">
        <v>4461</v>
      </c>
      <c r="U280" s="56">
        <f t="shared" si="445"/>
        <v>98.62</v>
      </c>
      <c r="V280" s="56" t="s">
        <v>4458</v>
      </c>
      <c r="W280" s="142">
        <v>12</v>
      </c>
      <c r="X280" s="145">
        <f t="shared" si="446"/>
        <v>1183.44</v>
      </c>
      <c r="Y280" s="140">
        <f t="shared" si="447"/>
        <v>12</v>
      </c>
      <c r="Z280" s="123">
        <v>100.62</v>
      </c>
      <c r="AA280" s="102">
        <f t="shared" si="448"/>
        <v>-24</v>
      </c>
      <c r="AB280" s="102">
        <f t="shared" si="449"/>
        <v>-20.879999999999882</v>
      </c>
      <c r="AC280" s="124">
        <v>100.36</v>
      </c>
      <c r="AD280" s="155">
        <f t="shared" si="450"/>
        <v>-20.879999999999882</v>
      </c>
      <c r="AE280" s="545">
        <f t="shared" si="451"/>
        <v>-0.2940580004055956</v>
      </c>
      <c r="AF280" s="57">
        <f>IF($AC280="",#N/A,SUM(AD$4:AD280))</f>
        <v>119.9898042277681</v>
      </c>
      <c r="AG280" s="102">
        <f t="shared" si="452"/>
        <v>4.6800000000000637</v>
      </c>
      <c r="AH280" s="56" t="s">
        <v>2507</v>
      </c>
      <c r="AI280" s="65">
        <f t="shared" si="453"/>
        <v>-0.33799770161562903</v>
      </c>
      <c r="AJ280" s="54">
        <f>IF(AI280="",#N/A,SUM($AI$4:AI280))</f>
        <v>12.092840100217034</v>
      </c>
      <c r="AK280" s="57">
        <f t="shared" si="454"/>
        <v>-24</v>
      </c>
      <c r="AL280" s="349">
        <f>IF(AI280="",#N/A,IF(AH280="Skip",SUM($AK$4:AK280),SUM($AK$4:AK280)))</f>
        <v>499.30759149281471</v>
      </c>
      <c r="AM280" s="65">
        <f t="shared" si="537"/>
        <v>-0.2940580004055956</v>
      </c>
      <c r="AN280" s="210"/>
      <c r="AO280" s="65" t="str">
        <f t="shared" si="455"/>
        <v/>
      </c>
      <c r="AP280" s="65">
        <f>IF($AC280="",#N/A,SUM(AO$4:AO280))</f>
        <v>2.3819803864672999</v>
      </c>
      <c r="AQ280" s="65" t="str">
        <f t="shared" si="456"/>
        <v/>
      </c>
      <c r="AR280" s="65">
        <f>IF($AC280="",#N/A,SUM(AQ$4:AQ280))</f>
        <v>-5.7912751024084725</v>
      </c>
      <c r="AS280" s="65">
        <f t="shared" si="457"/>
        <v>-0.2940580004055956</v>
      </c>
      <c r="AT280" s="65">
        <f>IF($AC280="",#N/A,SUM(AS$4:AS280))</f>
        <v>6.9279494896562879</v>
      </c>
      <c r="AU280" s="57" t="str">
        <f t="shared" si="538"/>
        <v/>
      </c>
      <c r="AV280" s="57">
        <f>IF($AC280="",#N/A,SUM(AU$4:AU280))</f>
        <v>20.122490661046527</v>
      </c>
      <c r="AW280" s="57" t="str">
        <f t="shared" si="539"/>
        <v/>
      </c>
      <c r="AX280" s="57">
        <f>IF($AC280="",#N/A,SUM(AW$4:AW280))</f>
        <v>-385.38106797961109</v>
      </c>
      <c r="AY280" s="57">
        <f t="shared" si="540"/>
        <v>-20.879999999999882</v>
      </c>
      <c r="AZ280" s="57">
        <f>IF($AC280="",#N/A,SUM(AY$4:AY280))</f>
        <v>485.24838154633267</v>
      </c>
      <c r="BA280" s="57">
        <f>IF(AD280="",#N/A,SUM($AD$4:AD280))</f>
        <v>119.9898042277681</v>
      </c>
      <c r="BC280" s="51" t="str">
        <f t="shared" si="458"/>
        <v/>
      </c>
      <c r="BD280" s="51">
        <f t="shared" si="459"/>
        <v>1</v>
      </c>
      <c r="BE280" s="51" t="str">
        <f t="shared" si="460"/>
        <v/>
      </c>
      <c r="BF280" s="51" t="str">
        <f t="shared" si="461"/>
        <v>Short</v>
      </c>
      <c r="BG280" s="51" t="str">
        <f t="shared" si="462"/>
        <v/>
      </c>
      <c r="BH280" s="51" t="str">
        <f t="shared" si="463"/>
        <v/>
      </c>
      <c r="BI280" s="51" t="str">
        <f t="shared" si="464"/>
        <v/>
      </c>
      <c r="BK280" s="65">
        <f t="shared" si="435"/>
        <v>3.8347546882892838E-2</v>
      </c>
      <c r="BL280" s="65">
        <f t="shared" si="434"/>
        <v>-5.3148421801220348E-2</v>
      </c>
      <c r="BM280" s="65">
        <f>IFERROR(Q280/COUNTA($J$4:J280),#N/A)</f>
        <v>4.7277156787325553E-2</v>
      </c>
      <c r="BO280" s="489" t="e">
        <f>IF(J280="",#N/A,IF(S280="SW",(COUNTIFS(K$4:$K280,"&gt;0",S$4:$S280,"SW")/COUNTIF(S$4:$S280,"SW")),#N/A))</f>
        <v>#N/A</v>
      </c>
      <c r="BP280" s="489">
        <f>IF($J280="",#N/A,IF($S280="DWN",(COUNTIFS($K$4:$K280,"&lt;0",$S$4:$S280,"DWN")/COUNTIF($S$4:$S280,"DWN")),#N/A))</f>
        <v>0.58267716535433067</v>
      </c>
      <c r="BQ280" s="489" t="e">
        <f>IF($J280="",#N/A,IF($S280="UP",(COUNTIFS($K$4:$K280,"&gt;0",$S$4:$S280,"UP")/COUNTIF($S$4:$S280,"UP")),#N/A))</f>
        <v>#N/A</v>
      </c>
      <c r="BR280" s="489">
        <f>IF(J280="",#N/A,COUNTIF($K$4:K280,"&gt;0")/COUNT($J$4:J280))</f>
        <v>0.44765342960288806</v>
      </c>
      <c r="BS280" s="65" t="str">
        <f t="shared" si="465"/>
        <v/>
      </c>
      <c r="BT280" s="65" t="str">
        <f t="shared" si="466"/>
        <v/>
      </c>
      <c r="BU280" s="65" t="str">
        <f t="shared" si="467"/>
        <v/>
      </c>
      <c r="BV280" s="65">
        <f t="shared" si="468"/>
        <v>-0.35996755222064414</v>
      </c>
      <c r="BW280" s="128" t="str">
        <f t="shared" si="469"/>
        <v/>
      </c>
      <c r="BX280" s="128">
        <f>IF($J280="",#N/A,SUM($BW$4:BW280))</f>
        <v>-379.59317034792866</v>
      </c>
      <c r="BY280" s="131">
        <f t="shared" si="470"/>
        <v>-25.559999999999945</v>
      </c>
      <c r="BZ280" s="131">
        <f>IF($J280="",#N/A,SUM($BY$4:BY280))</f>
        <v>918.28734038933419</v>
      </c>
      <c r="CA280" s="133" t="str">
        <f t="shared" si="471"/>
        <v/>
      </c>
      <c r="CB280" s="133">
        <f>IF($J280="",#N/A,SUM($CA$4:CA280))</f>
        <v>39.621584261875228</v>
      </c>
      <c r="CC280" s="194" t="str">
        <f t="shared" si="472"/>
        <v/>
      </c>
      <c r="CD280" s="194">
        <f>IF($J280="",#N/A,SUM($CC$4:CC280))</f>
        <v>-5.6964391354483883</v>
      </c>
      <c r="CE280" s="195">
        <f t="shared" si="473"/>
        <v>-0.35996755222064414</v>
      </c>
      <c r="CF280" s="195">
        <f>IF($J280="",#N/A,SUM($CE$4:CE280))</f>
        <v>15.524881415834647</v>
      </c>
      <c r="CG280" s="196" t="str">
        <f t="shared" si="474"/>
        <v/>
      </c>
      <c r="CH280" s="193">
        <f>IF($J280="",#N/A,SUM($CG$4:CG280))</f>
        <v>3.2673301497029255</v>
      </c>
      <c r="CI280" s="200" t="str">
        <f t="shared" si="475"/>
        <v/>
      </c>
      <c r="CJ280" s="203">
        <f>IF($J280="",#N/A,SUM(CI$4:CI280))</f>
        <v>0</v>
      </c>
      <c r="CK280" s="204" t="str">
        <f t="shared" si="476"/>
        <v/>
      </c>
      <c r="CL280" s="204">
        <f>IF($J280="",#N/A,SUM(CK$4:CK280))</f>
        <v>2.3607894150410869</v>
      </c>
      <c r="CM280" s="205" t="str">
        <f t="shared" si="477"/>
        <v/>
      </c>
      <c r="CN280" s="205">
        <f>IF($J280="",#N/A,SUM(CM$4:CM280))</f>
        <v>2.5131182152625313</v>
      </c>
      <c r="CO280" s="205">
        <f>IF($J280="",#N/A,SUM(CM$4:CM280,CK$4:CK280,CI$4:CI280))</f>
        <v>4.8739076303036191</v>
      </c>
      <c r="CP280" s="200" t="str">
        <f t="shared" si="478"/>
        <v/>
      </c>
      <c r="CQ280" s="203">
        <f>IF($J280="",#N/A,SUM(CP$4:CP280))</f>
        <v>-1.489321591123322</v>
      </c>
      <c r="CR280" s="204" t="str">
        <f t="shared" si="479"/>
        <v/>
      </c>
      <c r="CS280" s="204">
        <f>IF($J280="",#N/A,SUM(CR$4:CR280))</f>
        <v>4.1716872551039836</v>
      </c>
      <c r="CT280" s="205" t="str">
        <f t="shared" si="480"/>
        <v/>
      </c>
      <c r="CU280" s="205">
        <f>IF($J280="",#N/A,SUM(CT$4:CT280))</f>
        <v>-2.9040943753548785</v>
      </c>
      <c r="CV280" s="205">
        <f>IF($J280="",#N/A,SUM(CT$4:CT280,CR$4:CR280,CP$4:CP280))</f>
        <v>-0.22172871137421679</v>
      </c>
      <c r="CW280" s="200" t="str">
        <f t="shared" si="481"/>
        <v/>
      </c>
      <c r="CX280" s="203">
        <f>IF($J280="",#N/A,SUM(CW$4:CW280))</f>
        <v>-1.2839616145397621</v>
      </c>
      <c r="CY280" s="204" t="str">
        <f t="shared" si="482"/>
        <v/>
      </c>
      <c r="CZ280" s="204">
        <f>IF($J280="",#N/A,SUM(CY$4:CY280))</f>
        <v>0.30198222879878239</v>
      </c>
      <c r="DA280" s="205" t="str">
        <f t="shared" si="483"/>
        <v/>
      </c>
      <c r="DB280" s="205">
        <f>IF($J280="",#N/A,SUM(DA$4:DA280))</f>
        <v>-1.6929809429332021</v>
      </c>
      <c r="DC280" s="205">
        <f>IF($J280="",#N/A,SUM(DA$4:DA280,CY$4:CY280,CW$4:CW280))</f>
        <v>-2.6749603286741817</v>
      </c>
      <c r="DD280" s="200" t="str">
        <f t="shared" si="484"/>
        <v/>
      </c>
      <c r="DE280" s="203">
        <f>IF($J280="",#N/A,SUM(DD$4:DD280))</f>
        <v>0.24769343410817113</v>
      </c>
      <c r="DF280" s="204" t="str">
        <f t="shared" si="485"/>
        <v/>
      </c>
      <c r="DG280" s="204">
        <f>IF($J280="",#N/A,SUM(DF$4:DF280))</f>
        <v>1.7624645309390978</v>
      </c>
      <c r="DH280" s="205" t="str">
        <f t="shared" si="486"/>
        <v/>
      </c>
      <c r="DI280" s="205">
        <f>IF($J280="",#N/A,SUM(DH$4:DH280))</f>
        <v>-2.7812008102163399</v>
      </c>
      <c r="DJ280" s="205">
        <f>IF($J280="",#N/A,SUM(DH$4:DH280,DF$4:DF280,DD$4:DD280))</f>
        <v>-0.77104284516907118</v>
      </c>
      <c r="DK280" s="200" t="str">
        <f t="shared" si="487"/>
        <v/>
      </c>
      <c r="DL280" s="203">
        <f>IF($J280="",#N/A,SUM(DK$4:DK280))</f>
        <v>-1.2097286851272664</v>
      </c>
      <c r="DM280" s="204" t="str">
        <f t="shared" si="488"/>
        <v/>
      </c>
      <c r="DN280" s="204">
        <f>IF($J280="",#N/A,SUM(DM$4:DM280))</f>
        <v>3.0281848543081331</v>
      </c>
      <c r="DO280" s="205" t="str">
        <f t="shared" si="489"/>
        <v/>
      </c>
      <c r="DP280" s="205">
        <f>IF($J280="",#N/A,SUM(DO$4:DO280))</f>
        <v>2.700331529683047</v>
      </c>
      <c r="DQ280" s="205">
        <f>IF($J280="",#N/A,SUM(DO$4:DO280,DM$4:DM280,DK$4:DK280))</f>
        <v>4.518787698863914</v>
      </c>
      <c r="DR280" s="200" t="str">
        <f t="shared" si="490"/>
        <v/>
      </c>
      <c r="DS280" s="203">
        <f>IF($J280="",#N/A,SUM(DR$4:DR280))</f>
        <v>-0.55950946427675097</v>
      </c>
      <c r="DT280" s="204" t="str">
        <f t="shared" si="491"/>
        <v/>
      </c>
      <c r="DU280" s="204">
        <f>IF($J280="",#N/A,SUM(DT$4:DT280))</f>
        <v>-0.69837848627200172</v>
      </c>
      <c r="DV280" s="205" t="str">
        <f t="shared" si="492"/>
        <v/>
      </c>
      <c r="DW280" s="205">
        <f>IF($J280="",#N/A,SUM(DV$4:DV280))</f>
        <v>-1.5454397913873317</v>
      </c>
      <c r="DX280" s="205">
        <f>IF($J280="",#N/A,SUM(DV$4:DV280,DT$4:DT280,DR$4:DR280))</f>
        <v>-2.803327741936084</v>
      </c>
      <c r="DY280" s="200" t="str">
        <f t="shared" si="493"/>
        <v/>
      </c>
      <c r="DZ280" s="203">
        <f>IF($J280="",#N/A,SUM(DY$4:DY280))</f>
        <v>-1.0460034109943892</v>
      </c>
      <c r="EA280" s="204" t="str">
        <f t="shared" si="494"/>
        <v/>
      </c>
      <c r="EB280" s="204">
        <f>IF($J280="",#N/A,SUM(EA$4:EA280))</f>
        <v>2.468538401202053</v>
      </c>
      <c r="EC280" s="205" t="str">
        <f t="shared" si="495"/>
        <v/>
      </c>
      <c r="ED280" s="205">
        <f>IF($J280="",#N/A,SUM(EC$4:EC280))</f>
        <v>4.5772092731053986</v>
      </c>
      <c r="EE280" s="205">
        <f>IF($J280="",#N/A,SUM(EC$4:EC280,EA$4:EA280,DY$4:DY280))</f>
        <v>5.9997442633130609</v>
      </c>
      <c r="EF280" s="200" t="str">
        <f t="shared" si="496"/>
        <v/>
      </c>
      <c r="EG280" s="203">
        <f>IF($J280="",#N/A,SUM(EF$4:EF280))</f>
        <v>-0.15098969023521425</v>
      </c>
      <c r="EH280" s="204" t="str">
        <f t="shared" si="497"/>
        <v/>
      </c>
      <c r="EI280" s="204">
        <f>IF($J280="",#N/A,SUM(EH$4:EH280))</f>
        <v>-1.9445201344224492</v>
      </c>
      <c r="EJ280" s="205" t="str">
        <f t="shared" si="498"/>
        <v/>
      </c>
      <c r="EK280" s="205">
        <f>IF($J280="",#N/A,SUM(EJ$4:EJ280))</f>
        <v>5.050388173053765</v>
      </c>
      <c r="EL280" s="205">
        <f>IF($J280="",#N/A,SUM(EJ$4:EJ280,EH$4:EH280,EF$4:EF280))</f>
        <v>2.9548783483961012</v>
      </c>
      <c r="EM280" s="200" t="str">
        <f t="shared" si="499"/>
        <v/>
      </c>
      <c r="EN280" s="203">
        <f>IF($J280="",#N/A,SUM(EM$4:EM280))</f>
        <v>0</v>
      </c>
      <c r="EO280" s="204" t="str">
        <f t="shared" si="500"/>
        <v/>
      </c>
      <c r="EP280" s="204">
        <f>IF($J280="",#N/A,SUM(EO$4:EO280))</f>
        <v>2.0574787067554756</v>
      </c>
      <c r="EQ280" s="205" t="str">
        <f t="shared" si="501"/>
        <v/>
      </c>
      <c r="ER280" s="205">
        <f>IF($J280="",#N/A,SUM(EQ$4:EQ280))</f>
        <v>1.441536272249796</v>
      </c>
      <c r="ES280" s="205">
        <f>IF($J280="",#N/A,SUM(EQ$4:EQ280,EO$4:EO280,EM$4:EM280))</f>
        <v>3.4990149790052709</v>
      </c>
      <c r="ET280" s="200" t="str">
        <f t="shared" si="502"/>
        <v/>
      </c>
      <c r="EU280" s="203">
        <f>IF($J280="",#N/A,SUM(ET$4:ET280))</f>
        <v>0</v>
      </c>
      <c r="EV280" s="204">
        <f t="shared" si="503"/>
        <v>-0.35996755222064414</v>
      </c>
      <c r="EW280" s="204">
        <f>IF($J280="",#N/A,SUM(EV$4:EV280))</f>
        <v>2.3297323921502326</v>
      </c>
      <c r="EX280" s="205" t="str">
        <f t="shared" si="504"/>
        <v/>
      </c>
      <c r="EY280" s="205">
        <f>IF($J280="",#N/A,SUM(EX$4:EX280))</f>
        <v>0.27113250180669229</v>
      </c>
      <c r="EZ280" s="205">
        <f>IF($J280="",#N/A,SUM(EX$4:EX280,EV$4:EV280,ET$4:ET280))</f>
        <v>2.6008648939569246</v>
      </c>
      <c r="FA280" s="200" t="str">
        <f t="shared" si="505"/>
        <v/>
      </c>
      <c r="FB280" s="203">
        <f>IF($J280="",#N/A,SUM(FA$4:FA280))</f>
        <v>-0.27145310509113252</v>
      </c>
      <c r="FC280" s="204" t="str">
        <f t="shared" si="506"/>
        <v/>
      </c>
      <c r="FD280" s="204">
        <f>IF($J280="",#N/A,SUM(FC$4:FC280))</f>
        <v>1.204376144197403</v>
      </c>
      <c r="FE280" s="205" t="str">
        <f t="shared" si="507"/>
        <v/>
      </c>
      <c r="FF280" s="205">
        <f>IF($J280="",#N/A,SUM(FE$4:FE280))</f>
        <v>-0.28811149078748233</v>
      </c>
      <c r="FG280" s="205">
        <f>IF($J280="",#N/A,SUM(FE$4:FE280,FC$4:FC280,FA$4:FA280))</f>
        <v>0.64481154831878851</v>
      </c>
      <c r="FH280" s="200" t="str">
        <f t="shared" si="508"/>
        <v/>
      </c>
      <c r="FI280" s="203">
        <f>IF($J280="",#N/A,SUM(FH$4:FH280))</f>
        <v>0</v>
      </c>
      <c r="FJ280" s="204" t="str">
        <f t="shared" si="509"/>
        <v/>
      </c>
      <c r="FK280" s="204">
        <f>IF($J280="",#N/A,SUM(FJ$4:FJ280))</f>
        <v>0</v>
      </c>
      <c r="FL280" s="205" t="str">
        <f t="shared" si="510"/>
        <v/>
      </c>
      <c r="FM280" s="205">
        <f>IF($J280="",#N/A,SUM(FL$4:FL280))</f>
        <v>0</v>
      </c>
      <c r="FN280" s="205">
        <f>IF($J280="",#N/A,SUM(FL$4:FL280,FJ$4:FJ280,FH$4:FH280))</f>
        <v>0</v>
      </c>
      <c r="FO280" s="200" t="str">
        <f t="shared" si="511"/>
        <v/>
      </c>
      <c r="FP280" s="203">
        <f>IF($J280="",#N/A,SUM(FO$4:FO280))</f>
        <v>0</v>
      </c>
      <c r="FQ280" s="204" t="str">
        <f t="shared" si="512"/>
        <v/>
      </c>
      <c r="FR280" s="204">
        <f>IF($J280="",#N/A,SUM(FQ$4:FQ280))</f>
        <v>0</v>
      </c>
      <c r="FS280" s="205" t="str">
        <f t="shared" si="513"/>
        <v/>
      </c>
      <c r="FT280" s="205">
        <f>IF($J280="",#N/A,SUM(FS$4:FS280))</f>
        <v>0</v>
      </c>
      <c r="FU280" s="205">
        <f>IF($J280="",#N/A,SUM(FS$4:FS280,FQ$4:FQ280,FO$4:FO280))</f>
        <v>0</v>
      </c>
      <c r="FV280" s="200" t="str">
        <f t="shared" si="514"/>
        <v/>
      </c>
      <c r="FW280" s="203">
        <f>IF($J280="",#N/A,SUM(FV$4:FV280))</f>
        <v>6.6834991831277585E-2</v>
      </c>
      <c r="FX280" s="204" t="str">
        <f t="shared" si="515"/>
        <v/>
      </c>
      <c r="FY280" s="204">
        <f>IF($J280="",#N/A,SUM(FX$4:FX280))</f>
        <v>-0.16102012791805576</v>
      </c>
      <c r="FZ280" s="205" t="str">
        <f t="shared" si="516"/>
        <v/>
      </c>
      <c r="GA280" s="205">
        <f>IF($J280="",#N/A,SUM(FZ$4:FZ280))</f>
        <v>-1.1377221770567538</v>
      </c>
      <c r="GB280" s="205">
        <f>IF($J280="",#N/A,SUM(FZ$4:FZ280,FX$4:FX280,FV$4:FV280))</f>
        <v>-1.2319073131435321</v>
      </c>
      <c r="GC280" s="200" t="str">
        <f t="shared" si="517"/>
        <v/>
      </c>
      <c r="GD280" s="203">
        <f>IF($J280="",#N/A,SUM(GC$4:GC280))</f>
        <v>0</v>
      </c>
      <c r="GE280" s="204" t="str">
        <f t="shared" si="518"/>
        <v/>
      </c>
      <c r="GF280" s="204">
        <f>IF($J280="",#N/A,SUM(GE$4:GE280))</f>
        <v>0</v>
      </c>
      <c r="GG280" s="205" t="str">
        <f t="shared" si="519"/>
        <v/>
      </c>
      <c r="GH280" s="205">
        <f>IF($J280="",#N/A,SUM(GG$4:GG280))</f>
        <v>-2.9368362277223206</v>
      </c>
      <c r="GI280" s="205">
        <f>IF($J280="",#N/A,SUM(GG$4:GG280,GE$4:GE280,GC$4:GC280))</f>
        <v>-2.9368362277223206</v>
      </c>
      <c r="GJ280" s="200" t="str">
        <f t="shared" si="520"/>
        <v/>
      </c>
      <c r="GK280" s="203">
        <f>IF($J280="",#N/A,SUM(GJ$4:GJ280))</f>
        <v>0</v>
      </c>
      <c r="GL280" s="204" t="str">
        <f t="shared" si="521"/>
        <v/>
      </c>
      <c r="GM280" s="204">
        <f>IF($J280="",#N/A,SUM(GL$4:GL280))</f>
        <v>-1.6833790887309608</v>
      </c>
      <c r="GN280" s="205" t="str">
        <f t="shared" si="522"/>
        <v/>
      </c>
      <c r="GO280" s="205">
        <f>IF($J280="",#N/A,SUM(GN$4:GN280))</f>
        <v>0</v>
      </c>
      <c r="GP280" s="205">
        <f>IF($J280="",#N/A,SUM(GN$4:GN280,GL$4:GL280,GJ$4:GJ280))</f>
        <v>-1.6833790887309608</v>
      </c>
      <c r="GS280" s="54">
        <f t="shared" si="541"/>
        <v>-0.35996755222064414</v>
      </c>
      <c r="GT280" s="54">
        <f>IF(GS280="",NA(),SUM($GS$4:GS280))</f>
        <v>8.7602328723818541</v>
      </c>
      <c r="GU280" s="54" t="str">
        <f t="shared" si="523"/>
        <v/>
      </c>
      <c r="GV280" s="54" t="e">
        <f>IF(GU280="",NA(),SUM($GU$4:GU280))</f>
        <v>#N/A</v>
      </c>
      <c r="GW280" s="54" t="str">
        <f t="shared" si="524"/>
        <v/>
      </c>
      <c r="GX280" s="54" t="e">
        <f>IF(GW280="",NA(),SUM($GW$4:GW280))</f>
        <v>#N/A</v>
      </c>
      <c r="GY280" s="54">
        <f t="shared" si="525"/>
        <v>-0.35996755222064414</v>
      </c>
      <c r="GZ280" s="54">
        <f>IF(GY280="",NA(),SUM($GY$4:GY280))</f>
        <v>9.6512009690323222</v>
      </c>
      <c r="HA280" s="54" t="str">
        <f t="shared" si="526"/>
        <v/>
      </c>
      <c r="HB280" s="54" t="e">
        <f>IF(HA280="",NA(),SUM($HA$4:HA280))</f>
        <v>#N/A</v>
      </c>
      <c r="HC280" s="54" t="str">
        <f t="shared" si="527"/>
        <v/>
      </c>
      <c r="HD280" s="54" t="e">
        <f>IF(HC280="",NA(),SUM($HC$4:HC280))</f>
        <v>#N/A</v>
      </c>
      <c r="HE280" s="54" t="str">
        <f t="shared" si="528"/>
        <v/>
      </c>
      <c r="HF280" s="54" t="e">
        <f>IF(HE280="",NA(),SUM($HE$4:HE280))</f>
        <v>#N/A</v>
      </c>
      <c r="HG280" s="54" t="str">
        <f t="shared" si="529"/>
        <v/>
      </c>
      <c r="HH280" s="54" t="e">
        <f>IF(HG280="",NA(),SUM($HG$4:HG280))</f>
        <v>#N/A</v>
      </c>
      <c r="HI280" s="172" t="str">
        <f t="shared" si="542"/>
        <v/>
      </c>
      <c r="HJ280" s="172">
        <f>IF($J280="",#N/A,SUM(HI$4:$HI280))</f>
        <v>-7.3771222471348077</v>
      </c>
      <c r="HK280" s="54">
        <f t="shared" si="530"/>
        <v>6.5909551815048539E-2</v>
      </c>
      <c r="HL280" s="54">
        <f>IF($J280="",#N/A,SUM($HK$4:HK280))</f>
        <v>-1.2198096790435395</v>
      </c>
      <c r="HM280" s="54" t="str">
        <f t="shared" si="531"/>
        <v/>
      </c>
      <c r="HN280" s="54">
        <f>IF($J280="",#N/A,SUM($HM$4:HM280))</f>
        <v>0.957348620978966</v>
      </c>
      <c r="HO280" s="54" t="str">
        <f t="shared" si="532"/>
        <v/>
      </c>
      <c r="HP280" s="54">
        <f>IF($J280="",#N/A,SUM($HO$4:HO280))</f>
        <v>-1.052184587939049</v>
      </c>
      <c r="HQ280" s="54" t="str">
        <f t="shared" si="533"/>
        <v/>
      </c>
      <c r="HR280" s="54">
        <f>IF($J280="",#N/A,SUM($HQ$4:HQ280))</f>
        <v>-14.877782597833791</v>
      </c>
      <c r="HS280" s="54" t="str">
        <f t="shared" si="534"/>
        <v/>
      </c>
      <c r="HT280" s="54">
        <f>IF($J280="",#N/A,SUM($HS$4:HS280))</f>
        <v>13.992432834598167</v>
      </c>
      <c r="HU280" s="65">
        <f t="shared" si="535"/>
        <v>-0.2940580004055956</v>
      </c>
      <c r="HV280" s="65">
        <f>IF($J280="",#N/A,SUM(HU$4:$HU280))</f>
        <v>3.5186547737151166</v>
      </c>
    </row>
    <row r="281" spans="1:230" x14ac:dyDescent="0.25">
      <c r="A281" s="51" t="s">
        <v>1419</v>
      </c>
      <c r="B281" s="52" t="s">
        <v>4595</v>
      </c>
      <c r="C281" s="229">
        <f t="shared" si="436"/>
        <v>1</v>
      </c>
      <c r="D281" s="219" t="str">
        <f>_xlfn.XLOOKUP(A281,[1]SP500!$A$2:$A$502,[1]SP500!$D$2:$D$502,"N")</f>
        <v>Y</v>
      </c>
      <c r="E281" s="51" t="str">
        <f>IFERROR(_xlfn.XLOOKUP(A281,[1]SP500!$A$2:$A$655,[1]SP500!$B$2:$B$655),"")</f>
        <v>IGV</v>
      </c>
      <c r="F281" s="290">
        <v>45783</v>
      </c>
      <c r="G281" s="51" t="str">
        <f t="shared" si="437"/>
        <v>AMC</v>
      </c>
      <c r="H281" s="51" t="str">
        <f t="shared" si="438"/>
        <v>o</v>
      </c>
      <c r="I281" s="344">
        <v>154.54</v>
      </c>
      <c r="J281" s="124">
        <v>158.005</v>
      </c>
      <c r="K281" s="71">
        <f t="shared" si="439"/>
        <v>2.2421379578102779E-2</v>
      </c>
      <c r="L281" s="67">
        <f t="shared" si="440"/>
        <v>-27.720000000000027</v>
      </c>
      <c r="M281" s="57">
        <f t="shared" si="441"/>
        <v>-1.5599999999999454</v>
      </c>
      <c r="N281" s="102">
        <f t="shared" si="442"/>
        <v>27.720000000000027</v>
      </c>
      <c r="O281" s="57">
        <f>IF(N281="",#N/A,SUM($N$4:N281))</f>
        <v>606.03575430328078</v>
      </c>
      <c r="P281" s="65">
        <f t="shared" si="536"/>
        <v>0.37368965963504636</v>
      </c>
      <c r="Q281" s="172">
        <f>IF($N281="",#N/A,SUM($P$4:P281))</f>
        <v>13.469462089724225</v>
      </c>
      <c r="R281" s="279">
        <f t="shared" si="443"/>
        <v>1.7713418031476724</v>
      </c>
      <c r="S281" s="51" t="str">
        <f t="shared" si="444"/>
        <v>Up</v>
      </c>
      <c r="T281" s="51" t="s">
        <v>4462</v>
      </c>
      <c r="U281" s="56">
        <f t="shared" si="445"/>
        <v>154.54</v>
      </c>
      <c r="V281" s="56" t="s">
        <v>4458</v>
      </c>
      <c r="W281" s="142">
        <v>8</v>
      </c>
      <c r="X281" s="145">
        <f t="shared" si="446"/>
        <v>1236.32</v>
      </c>
      <c r="Y281" s="140">
        <f t="shared" si="447"/>
        <v>8</v>
      </c>
      <c r="Z281" s="123">
        <v>158.19999999999999</v>
      </c>
      <c r="AA281" s="102">
        <f t="shared" si="448"/>
        <v>-29.279999999999973</v>
      </c>
      <c r="AB281" s="102">
        <f t="shared" si="449"/>
        <v>-7.6800000000000637</v>
      </c>
      <c r="AC281" s="124">
        <v>155.5</v>
      </c>
      <c r="AD281" s="155">
        <f t="shared" si="450"/>
        <v>7.6800000000000637</v>
      </c>
      <c r="AE281" s="545">
        <f t="shared" si="451"/>
        <v>0.10353306587291403</v>
      </c>
      <c r="AF281" s="57">
        <f>IF($AC281="",#N/A,SUM(AD$4:AD281))</f>
        <v>127.66980422776817</v>
      </c>
      <c r="AG281" s="102">
        <f t="shared" si="452"/>
        <v>-20.039999999999964</v>
      </c>
      <c r="AH281" s="56" t="s">
        <v>2507</v>
      </c>
      <c r="AI281" s="65">
        <f t="shared" si="453"/>
        <v>-0.39471981364048109</v>
      </c>
      <c r="AJ281" s="54">
        <f>IF(AI281="",#N/A,SUM($AI$4:AI281))</f>
        <v>11.698120286576552</v>
      </c>
      <c r="AK281" s="57">
        <f t="shared" si="454"/>
        <v>-29.279999999999973</v>
      </c>
      <c r="AL281" s="66">
        <f>IF(AI281="",#N/A,IF(AH281="Skip",SUM($AK$4:AK281),SUM($AK$4:AK281)))</f>
        <v>470.02759149281474</v>
      </c>
      <c r="AM281" s="65">
        <f t="shared" si="537"/>
        <v>0.10353306587291403</v>
      </c>
      <c r="AN281" s="210"/>
      <c r="AO281" s="65" t="str">
        <f t="shared" si="455"/>
        <v/>
      </c>
      <c r="AP281" s="65">
        <f>IF($AC281="",#N/A,SUM(AO$4:AO281))</f>
        <v>2.3819803864672999</v>
      </c>
      <c r="AQ281" s="65">
        <f t="shared" si="456"/>
        <v>0.10353306587291403</v>
      </c>
      <c r="AR281" s="65">
        <f>IF($AC281="",#N/A,SUM(AQ$4:AQ281))</f>
        <v>-5.6877420365355587</v>
      </c>
      <c r="AS281" s="65" t="str">
        <f t="shared" si="457"/>
        <v/>
      </c>
      <c r="AT281" s="65">
        <f>IF($AC281="",#N/A,SUM(AS$4:AS281))</f>
        <v>6.9279494896562879</v>
      </c>
      <c r="AU281" s="57" t="str">
        <f t="shared" si="538"/>
        <v/>
      </c>
      <c r="AV281" s="57">
        <f>IF($AC281="",#N/A,SUM(AU$4:AU281))</f>
        <v>20.122490661046527</v>
      </c>
      <c r="AW281" s="57">
        <f t="shared" si="539"/>
        <v>7.6800000000000637</v>
      </c>
      <c r="AX281" s="57">
        <f>IF($AC281="",#N/A,SUM(AW$4:AW281))</f>
        <v>-377.70106797961103</v>
      </c>
      <c r="AY281" s="57" t="str">
        <f t="shared" si="540"/>
        <v/>
      </c>
      <c r="AZ281" s="57">
        <f>IF($AC281="",#N/A,SUM(AY$4:AY281))</f>
        <v>485.24838154633267</v>
      </c>
      <c r="BA281" s="57">
        <f>IF(AD281="",#N/A,SUM($AD$4:AD281))</f>
        <v>127.66980422776817</v>
      </c>
      <c r="BC281" s="51">
        <f t="shared" si="458"/>
        <v>1</v>
      </c>
      <c r="BD281" s="51" t="str">
        <f t="shared" si="459"/>
        <v/>
      </c>
      <c r="BE281" s="51" t="str">
        <f t="shared" si="460"/>
        <v/>
      </c>
      <c r="BF281" s="51" t="str">
        <f t="shared" si="461"/>
        <v>Long</v>
      </c>
      <c r="BG281" s="51" t="str">
        <f t="shared" si="462"/>
        <v/>
      </c>
      <c r="BH281" s="51" t="str">
        <f t="shared" si="463"/>
        <v/>
      </c>
      <c r="BI281" s="51" t="str">
        <f t="shared" si="464"/>
        <v/>
      </c>
      <c r="BK281" s="65">
        <f t="shared" si="435"/>
        <v>4.5910469018435374E-2</v>
      </c>
      <c r="BL281" s="65">
        <f t="shared" si="434"/>
        <v>-6.6181428750742552E-2</v>
      </c>
      <c r="BM281" s="65">
        <f>IFERROR(Q281/COUNTA($J$4:J281),#N/A)</f>
        <v>4.845130248102239E-2</v>
      </c>
      <c r="BO281" s="489" t="e">
        <f>IF(J281="",#N/A,IF(S281="SW",(COUNTIFS(K$4:$K281,"&gt;0",S$4:$S281,"SW")/COUNTIF(S$4:$S281,"SW")),#N/A))</f>
        <v>#N/A</v>
      </c>
      <c r="BP281" s="489" t="e">
        <f>IF($J281="",#N/A,IF($S281="DWN",(COUNTIFS($K$4:$K281,"&lt;0",$S$4:$S281,"DWN")/COUNTIF($S$4:$S281,"DWN")),#N/A))</f>
        <v>#N/A</v>
      </c>
      <c r="BQ281" s="489">
        <f>IF($J281="",#N/A,IF($S281="UP",(COUNTIFS($K$4:$K281,"&gt;0",$S$4:$S281,"UP")/COUNTIF($S$4:$S281,"UP")),#N/A))</f>
        <v>0.35294117647058826</v>
      </c>
      <c r="BR281" s="489">
        <f>IF(J281="",#N/A,COUNTIF($K$4:K281,"&gt;0")/COUNT($J$4:J281))</f>
        <v>0.44964028776978415</v>
      </c>
      <c r="BS281" s="65" t="str">
        <f t="shared" si="465"/>
        <v/>
      </c>
      <c r="BT281" s="65" t="str">
        <f t="shared" si="466"/>
        <v/>
      </c>
      <c r="BU281" s="65" t="str">
        <f t="shared" si="467"/>
        <v/>
      </c>
      <c r="BV281" s="65">
        <f t="shared" si="468"/>
        <v>0.37368965963504636</v>
      </c>
      <c r="BW281" s="128">
        <f t="shared" si="469"/>
        <v>27.720000000000027</v>
      </c>
      <c r="BX281" s="128">
        <f>IF($J281="",#N/A,SUM($BW$4:BW281))</f>
        <v>-351.87317034792864</v>
      </c>
      <c r="BY281" s="131" t="str">
        <f t="shared" si="470"/>
        <v/>
      </c>
      <c r="BZ281" s="131">
        <f>IF($J281="",#N/A,SUM($BY$4:BY281))</f>
        <v>918.28734038933419</v>
      </c>
      <c r="CA281" s="133" t="str">
        <f t="shared" si="471"/>
        <v/>
      </c>
      <c r="CB281" s="133">
        <f>IF($J281="",#N/A,SUM($CA$4:CA281))</f>
        <v>39.621584261875228</v>
      </c>
      <c r="CC281" s="194">
        <f t="shared" si="472"/>
        <v>0.37368965963504636</v>
      </c>
      <c r="CD281" s="194">
        <f>IF($J281="",#N/A,SUM($CC$4:CC281))</f>
        <v>-5.3227494758133416</v>
      </c>
      <c r="CE281" s="195" t="str">
        <f t="shared" si="473"/>
        <v/>
      </c>
      <c r="CF281" s="195">
        <f>IF($J281="",#N/A,SUM($CE$4:CE281))</f>
        <v>15.524881415834647</v>
      </c>
      <c r="CG281" s="196" t="str">
        <f t="shared" si="474"/>
        <v/>
      </c>
      <c r="CH281" s="193">
        <f>IF($J281="",#N/A,SUM($CG$4:CG281))</f>
        <v>3.2673301497029255</v>
      </c>
      <c r="CI281" s="200" t="str">
        <f t="shared" si="475"/>
        <v/>
      </c>
      <c r="CJ281" s="203">
        <f>IF($J281="",#N/A,SUM(CI$4:CI281))</f>
        <v>0</v>
      </c>
      <c r="CK281" s="204" t="str">
        <f t="shared" si="476"/>
        <v/>
      </c>
      <c r="CL281" s="204">
        <f>IF($J281="",#N/A,SUM(CK$4:CK281))</f>
        <v>2.3607894150410869</v>
      </c>
      <c r="CM281" s="205" t="str">
        <f t="shared" si="477"/>
        <v/>
      </c>
      <c r="CN281" s="205">
        <f>IF($J281="",#N/A,SUM(CM$4:CM281))</f>
        <v>2.5131182152625313</v>
      </c>
      <c r="CO281" s="205">
        <f>IF($J281="",#N/A,SUM(CM$4:CM281,CK$4:CK281,CI$4:CI281))</f>
        <v>4.8739076303036191</v>
      </c>
      <c r="CP281" s="200">
        <f t="shared" si="478"/>
        <v>0.37368965963504636</v>
      </c>
      <c r="CQ281" s="203">
        <f>IF($J281="",#N/A,SUM(CP$4:CP281))</f>
        <v>-1.1156319314882757</v>
      </c>
      <c r="CR281" s="204" t="str">
        <f t="shared" si="479"/>
        <v/>
      </c>
      <c r="CS281" s="204">
        <f>IF($J281="",#N/A,SUM(CR$4:CR281))</f>
        <v>4.1716872551039836</v>
      </c>
      <c r="CT281" s="205" t="str">
        <f t="shared" si="480"/>
        <v/>
      </c>
      <c r="CU281" s="205">
        <f>IF($J281="",#N/A,SUM(CT$4:CT281))</f>
        <v>-2.9040943753548785</v>
      </c>
      <c r="CV281" s="205">
        <f>IF($J281="",#N/A,SUM(CT$4:CT281,CR$4:CR281,CP$4:CP281))</f>
        <v>0.15196094826082956</v>
      </c>
      <c r="CW281" s="200" t="str">
        <f t="shared" si="481"/>
        <v/>
      </c>
      <c r="CX281" s="203">
        <f>IF($J281="",#N/A,SUM(CW$4:CW281))</f>
        <v>-1.2839616145397621</v>
      </c>
      <c r="CY281" s="204" t="str">
        <f t="shared" si="482"/>
        <v/>
      </c>
      <c r="CZ281" s="204">
        <f>IF($J281="",#N/A,SUM(CY$4:CY281))</f>
        <v>0.30198222879878239</v>
      </c>
      <c r="DA281" s="205" t="str">
        <f t="shared" si="483"/>
        <v/>
      </c>
      <c r="DB281" s="205">
        <f>IF($J281="",#N/A,SUM(DA$4:DA281))</f>
        <v>-1.6929809429332021</v>
      </c>
      <c r="DC281" s="205">
        <f>IF($J281="",#N/A,SUM(DA$4:DA281,CY$4:CY281,CW$4:CW281))</f>
        <v>-2.6749603286741817</v>
      </c>
      <c r="DD281" s="200" t="str">
        <f t="shared" si="484"/>
        <v/>
      </c>
      <c r="DE281" s="203">
        <f>IF($J281="",#N/A,SUM(DD$4:DD281))</f>
        <v>0.24769343410817113</v>
      </c>
      <c r="DF281" s="204" t="str">
        <f t="shared" si="485"/>
        <v/>
      </c>
      <c r="DG281" s="204">
        <f>IF($J281="",#N/A,SUM(DF$4:DF281))</f>
        <v>1.7624645309390978</v>
      </c>
      <c r="DH281" s="205" t="str">
        <f t="shared" si="486"/>
        <v/>
      </c>
      <c r="DI281" s="205">
        <f>IF($J281="",#N/A,SUM(DH$4:DH281))</f>
        <v>-2.7812008102163399</v>
      </c>
      <c r="DJ281" s="205">
        <f>IF($J281="",#N/A,SUM(DH$4:DH281,DF$4:DF281,DD$4:DD281))</f>
        <v>-0.77104284516907118</v>
      </c>
      <c r="DK281" s="200" t="str">
        <f t="shared" si="487"/>
        <v/>
      </c>
      <c r="DL281" s="203">
        <f>IF($J281="",#N/A,SUM(DK$4:DK281))</f>
        <v>-1.2097286851272664</v>
      </c>
      <c r="DM281" s="204" t="str">
        <f t="shared" si="488"/>
        <v/>
      </c>
      <c r="DN281" s="204">
        <f>IF($J281="",#N/A,SUM(DM$4:DM281))</f>
        <v>3.0281848543081331</v>
      </c>
      <c r="DO281" s="205" t="str">
        <f t="shared" si="489"/>
        <v/>
      </c>
      <c r="DP281" s="205">
        <f>IF($J281="",#N/A,SUM(DO$4:DO281))</f>
        <v>2.700331529683047</v>
      </c>
      <c r="DQ281" s="205">
        <f>IF($J281="",#N/A,SUM(DO$4:DO281,DM$4:DM281,DK$4:DK281))</f>
        <v>4.518787698863914</v>
      </c>
      <c r="DR281" s="200" t="str">
        <f t="shared" si="490"/>
        <v/>
      </c>
      <c r="DS281" s="203">
        <f>IF($J281="",#N/A,SUM(DR$4:DR281))</f>
        <v>-0.55950946427675097</v>
      </c>
      <c r="DT281" s="204" t="str">
        <f t="shared" si="491"/>
        <v/>
      </c>
      <c r="DU281" s="204">
        <f>IF($J281="",#N/A,SUM(DT$4:DT281))</f>
        <v>-0.69837848627200172</v>
      </c>
      <c r="DV281" s="205" t="str">
        <f t="shared" si="492"/>
        <v/>
      </c>
      <c r="DW281" s="205">
        <f>IF($J281="",#N/A,SUM(DV$4:DV281))</f>
        <v>-1.5454397913873317</v>
      </c>
      <c r="DX281" s="205">
        <f>IF($J281="",#N/A,SUM(DV$4:DV281,DT$4:DT281,DR$4:DR281))</f>
        <v>-2.803327741936084</v>
      </c>
      <c r="DY281" s="200" t="str">
        <f t="shared" si="493"/>
        <v/>
      </c>
      <c r="DZ281" s="203">
        <f>IF($J281="",#N/A,SUM(DY$4:DY281))</f>
        <v>-1.0460034109943892</v>
      </c>
      <c r="EA281" s="204" t="str">
        <f t="shared" si="494"/>
        <v/>
      </c>
      <c r="EB281" s="204">
        <f>IF($J281="",#N/A,SUM(EA$4:EA281))</f>
        <v>2.468538401202053</v>
      </c>
      <c r="EC281" s="205" t="str">
        <f t="shared" si="495"/>
        <v/>
      </c>
      <c r="ED281" s="205">
        <f>IF($J281="",#N/A,SUM(EC$4:EC281))</f>
        <v>4.5772092731053986</v>
      </c>
      <c r="EE281" s="205">
        <f>IF($J281="",#N/A,SUM(EC$4:EC281,EA$4:EA281,DY$4:DY281))</f>
        <v>5.9997442633130609</v>
      </c>
      <c r="EF281" s="200" t="str">
        <f t="shared" si="496"/>
        <v/>
      </c>
      <c r="EG281" s="203">
        <f>IF($J281="",#N/A,SUM(EF$4:EF281))</f>
        <v>-0.15098969023521425</v>
      </c>
      <c r="EH281" s="204" t="str">
        <f t="shared" si="497"/>
        <v/>
      </c>
      <c r="EI281" s="204">
        <f>IF($J281="",#N/A,SUM(EH$4:EH281))</f>
        <v>-1.9445201344224492</v>
      </c>
      <c r="EJ281" s="205" t="str">
        <f t="shared" si="498"/>
        <v/>
      </c>
      <c r="EK281" s="205">
        <f>IF($J281="",#N/A,SUM(EJ$4:EJ281))</f>
        <v>5.050388173053765</v>
      </c>
      <c r="EL281" s="205">
        <f>IF($J281="",#N/A,SUM(EJ$4:EJ281,EH$4:EH281,EF$4:EF281))</f>
        <v>2.9548783483961012</v>
      </c>
      <c r="EM281" s="200" t="str">
        <f t="shared" si="499"/>
        <v/>
      </c>
      <c r="EN281" s="203">
        <f>IF($J281="",#N/A,SUM(EM$4:EM281))</f>
        <v>0</v>
      </c>
      <c r="EO281" s="204" t="str">
        <f t="shared" si="500"/>
        <v/>
      </c>
      <c r="EP281" s="204">
        <f>IF($J281="",#N/A,SUM(EO$4:EO281))</f>
        <v>2.0574787067554756</v>
      </c>
      <c r="EQ281" s="205" t="str">
        <f t="shared" si="501"/>
        <v/>
      </c>
      <c r="ER281" s="205">
        <f>IF($J281="",#N/A,SUM(EQ$4:EQ281))</f>
        <v>1.441536272249796</v>
      </c>
      <c r="ES281" s="205">
        <f>IF($J281="",#N/A,SUM(EQ$4:EQ281,EO$4:EO281,EM$4:EM281))</f>
        <v>3.4990149790052709</v>
      </c>
      <c r="ET281" s="200" t="str">
        <f t="shared" si="502"/>
        <v/>
      </c>
      <c r="EU281" s="203">
        <f>IF($J281="",#N/A,SUM(ET$4:ET281))</f>
        <v>0</v>
      </c>
      <c r="EV281" s="204" t="str">
        <f t="shared" si="503"/>
        <v/>
      </c>
      <c r="EW281" s="204">
        <f>IF($J281="",#N/A,SUM(EV$4:EV281))</f>
        <v>2.3297323921502326</v>
      </c>
      <c r="EX281" s="205" t="str">
        <f t="shared" si="504"/>
        <v/>
      </c>
      <c r="EY281" s="205">
        <f>IF($J281="",#N/A,SUM(EX$4:EX281))</f>
        <v>0.27113250180669229</v>
      </c>
      <c r="EZ281" s="205">
        <f>IF($J281="",#N/A,SUM(EX$4:EX281,EV$4:EV281,ET$4:ET281))</f>
        <v>2.6008648939569246</v>
      </c>
      <c r="FA281" s="200" t="str">
        <f t="shared" si="505"/>
        <v/>
      </c>
      <c r="FB281" s="203">
        <f>IF($J281="",#N/A,SUM(FA$4:FA281))</f>
        <v>-0.27145310509113252</v>
      </c>
      <c r="FC281" s="204" t="str">
        <f t="shared" si="506"/>
        <v/>
      </c>
      <c r="FD281" s="204">
        <f>IF($J281="",#N/A,SUM(FC$4:FC281))</f>
        <v>1.204376144197403</v>
      </c>
      <c r="FE281" s="205" t="str">
        <f t="shared" si="507"/>
        <v/>
      </c>
      <c r="FF281" s="205">
        <f>IF($J281="",#N/A,SUM(FE$4:FE281))</f>
        <v>-0.28811149078748233</v>
      </c>
      <c r="FG281" s="205">
        <f>IF($J281="",#N/A,SUM(FE$4:FE281,FC$4:FC281,FA$4:FA281))</f>
        <v>0.64481154831878851</v>
      </c>
      <c r="FH281" s="200" t="str">
        <f t="shared" si="508"/>
        <v/>
      </c>
      <c r="FI281" s="203">
        <f>IF($J281="",#N/A,SUM(FH$4:FH281))</f>
        <v>0</v>
      </c>
      <c r="FJ281" s="204" t="str">
        <f t="shared" si="509"/>
        <v/>
      </c>
      <c r="FK281" s="204">
        <f>IF($J281="",#N/A,SUM(FJ$4:FJ281))</f>
        <v>0</v>
      </c>
      <c r="FL281" s="205" t="str">
        <f t="shared" si="510"/>
        <v/>
      </c>
      <c r="FM281" s="205">
        <f>IF($J281="",#N/A,SUM(FL$4:FL281))</f>
        <v>0</v>
      </c>
      <c r="FN281" s="205">
        <f>IF($J281="",#N/A,SUM(FL$4:FL281,FJ$4:FJ281,FH$4:FH281))</f>
        <v>0</v>
      </c>
      <c r="FO281" s="200" t="str">
        <f t="shared" si="511"/>
        <v/>
      </c>
      <c r="FP281" s="203">
        <f>IF($J281="",#N/A,SUM(FO$4:FO281))</f>
        <v>0</v>
      </c>
      <c r="FQ281" s="204" t="str">
        <f t="shared" si="512"/>
        <v/>
      </c>
      <c r="FR281" s="204">
        <f>IF($J281="",#N/A,SUM(FQ$4:FQ281))</f>
        <v>0</v>
      </c>
      <c r="FS281" s="205" t="str">
        <f t="shared" si="513"/>
        <v/>
      </c>
      <c r="FT281" s="205">
        <f>IF($J281="",#N/A,SUM(FS$4:FS281))</f>
        <v>0</v>
      </c>
      <c r="FU281" s="205">
        <f>IF($J281="",#N/A,SUM(FS$4:FS281,FQ$4:FQ281,FO$4:FO281))</f>
        <v>0</v>
      </c>
      <c r="FV281" s="200" t="str">
        <f t="shared" si="514"/>
        <v/>
      </c>
      <c r="FW281" s="203">
        <f>IF($J281="",#N/A,SUM(FV$4:FV281))</f>
        <v>6.6834991831277585E-2</v>
      </c>
      <c r="FX281" s="204" t="str">
        <f t="shared" si="515"/>
        <v/>
      </c>
      <c r="FY281" s="204">
        <f>IF($J281="",#N/A,SUM(FX$4:FX281))</f>
        <v>-0.16102012791805576</v>
      </c>
      <c r="FZ281" s="205" t="str">
        <f t="shared" si="516"/>
        <v/>
      </c>
      <c r="GA281" s="205">
        <f>IF($J281="",#N/A,SUM(FZ$4:FZ281))</f>
        <v>-1.1377221770567538</v>
      </c>
      <c r="GB281" s="205">
        <f>IF($J281="",#N/A,SUM(FZ$4:FZ281,FX$4:FX281,FV$4:FV281))</f>
        <v>-1.2319073131435321</v>
      </c>
      <c r="GC281" s="200" t="str">
        <f t="shared" si="517"/>
        <v/>
      </c>
      <c r="GD281" s="203">
        <f>IF($J281="",#N/A,SUM(GC$4:GC281))</f>
        <v>0</v>
      </c>
      <c r="GE281" s="204" t="str">
        <f t="shared" si="518"/>
        <v/>
      </c>
      <c r="GF281" s="204">
        <f>IF($J281="",#N/A,SUM(GE$4:GE281))</f>
        <v>0</v>
      </c>
      <c r="GG281" s="205" t="str">
        <f t="shared" si="519"/>
        <v/>
      </c>
      <c r="GH281" s="205">
        <f>IF($J281="",#N/A,SUM(GG$4:GG281))</f>
        <v>-2.9368362277223206</v>
      </c>
      <c r="GI281" s="205">
        <f>IF($J281="",#N/A,SUM(GG$4:GG281,GE$4:GE281,GC$4:GC281))</f>
        <v>-2.9368362277223206</v>
      </c>
      <c r="GJ281" s="200" t="str">
        <f t="shared" si="520"/>
        <v/>
      </c>
      <c r="GK281" s="203">
        <f>IF($J281="",#N/A,SUM(GJ$4:GJ281))</f>
        <v>0</v>
      </c>
      <c r="GL281" s="204" t="str">
        <f t="shared" si="521"/>
        <v/>
      </c>
      <c r="GM281" s="204">
        <f>IF($J281="",#N/A,SUM(GL$4:GL281))</f>
        <v>-1.6833790887309608</v>
      </c>
      <c r="GN281" s="205" t="str">
        <f t="shared" si="522"/>
        <v/>
      </c>
      <c r="GO281" s="205">
        <f>IF($J281="",#N/A,SUM(GN$4:GN281))</f>
        <v>0</v>
      </c>
      <c r="GP281" s="205">
        <f>IF($J281="",#N/A,SUM(GN$4:GN281,GL$4:GL281,GJ$4:GJ281))</f>
        <v>-1.6833790887309608</v>
      </c>
      <c r="GS281" s="54">
        <f t="shared" si="541"/>
        <v>0.37368965963504636</v>
      </c>
      <c r="GT281" s="54">
        <f>IF(GS281="",NA(),SUM($GS$4:GS281))</f>
        <v>9.1339225320169</v>
      </c>
      <c r="GU281" s="54">
        <f t="shared" si="523"/>
        <v>0.37368965963504636</v>
      </c>
      <c r="GV281" s="54">
        <f>IF(GU281="",NA(),SUM($GU$4:GU281))</f>
        <v>-5.3227494758133416</v>
      </c>
      <c r="GW281" s="54" t="str">
        <f t="shared" si="524"/>
        <v/>
      </c>
      <c r="GX281" s="54" t="e">
        <f>IF(GW281="",NA(),SUM($GW$4:GW281))</f>
        <v>#N/A</v>
      </c>
      <c r="GY281" s="54" t="str">
        <f t="shared" si="525"/>
        <v/>
      </c>
      <c r="GZ281" s="54" t="e">
        <f>IF(GY281="",NA(),SUM($GY$4:GY281))</f>
        <v>#N/A</v>
      </c>
      <c r="HA281" s="54" t="str">
        <f t="shared" si="526"/>
        <v/>
      </c>
      <c r="HB281" s="54" t="e">
        <f>IF(HA281="",NA(),SUM($HA$4:HA281))</f>
        <v>#N/A</v>
      </c>
      <c r="HC281" s="54" t="str">
        <f t="shared" si="527"/>
        <v/>
      </c>
      <c r="HD281" s="54" t="e">
        <f>IF(HC281="",NA(),SUM($HC$4:HC281))</f>
        <v>#N/A</v>
      </c>
      <c r="HE281" s="54" t="str">
        <f t="shared" si="528"/>
        <v/>
      </c>
      <c r="HF281" s="54" t="e">
        <f>IF(HE281="",NA(),SUM($HE$4:HE281))</f>
        <v>#N/A</v>
      </c>
      <c r="HG281" s="54" t="str">
        <f t="shared" si="529"/>
        <v/>
      </c>
      <c r="HH281" s="54" t="e">
        <f>IF(HG281="",NA(),SUM($HG$4:HG281))</f>
        <v>#N/A</v>
      </c>
      <c r="HI281" s="172" t="str">
        <f t="shared" si="542"/>
        <v/>
      </c>
      <c r="HJ281" s="172">
        <f>IF($J281="",#N/A,SUM(HI$4:$HI281))</f>
        <v>-7.3771222471348077</v>
      </c>
      <c r="HK281" s="54" t="str">
        <f t="shared" si="530"/>
        <v/>
      </c>
      <c r="HL281" s="54">
        <f>IF($J281="",#N/A,SUM($HK$4:HK281))</f>
        <v>-1.2198096790435395</v>
      </c>
      <c r="HM281" s="54">
        <f t="shared" si="531"/>
        <v>-0.2701565937621323</v>
      </c>
      <c r="HN281" s="54">
        <f>IF($J281="",#N/A,SUM($HM$4:HM281))</f>
        <v>0.6871920272168337</v>
      </c>
      <c r="HO281" s="54" t="str">
        <f t="shared" si="532"/>
        <v/>
      </c>
      <c r="HP281" s="54">
        <f>IF($J281="",#N/A,SUM($HO$4:HO281))</f>
        <v>-1.052184587939049</v>
      </c>
      <c r="HQ281" s="54" t="str">
        <f t="shared" si="533"/>
        <v/>
      </c>
      <c r="HR281" s="54">
        <f>IF($J281="",#N/A,SUM($HQ$4:HQ281))</f>
        <v>-14.877782597833791</v>
      </c>
      <c r="HS281" s="54" t="str">
        <f t="shared" si="534"/>
        <v/>
      </c>
      <c r="HT281" s="54">
        <f>IF($J281="",#N/A,SUM($HS$4:HS281))</f>
        <v>13.992432834598167</v>
      </c>
      <c r="HU281" s="65">
        <f t="shared" si="535"/>
        <v>0.10353306587291403</v>
      </c>
      <c r="HV281" s="65">
        <f>IF($J281="",#N/A,SUM(HU$4:$HU281))</f>
        <v>3.6221878395880305</v>
      </c>
    </row>
    <row r="282" spans="1:230" x14ac:dyDescent="0.25">
      <c r="A282" s="51" t="s">
        <v>84</v>
      </c>
      <c r="B282" s="52" t="s">
        <v>4595</v>
      </c>
      <c r="C282" s="229">
        <f t="shared" si="436"/>
        <v>2</v>
      </c>
      <c r="D282" s="219" t="str">
        <f>_xlfn.XLOOKUP(A282,[1]SP500!$A$2:$A$502,[1]SP500!$D$2:$D$502,"N")</f>
        <v>N</v>
      </c>
      <c r="E282" s="51" t="str">
        <f>IFERROR(_xlfn.XLOOKUP(A282,[1]SP500!$A$2:$A$655,[1]SP500!$B$2:$B$655),"")</f>
        <v>IGV</v>
      </c>
      <c r="F282" s="290">
        <v>45783</v>
      </c>
      <c r="G282" s="51" t="str">
        <f t="shared" si="437"/>
        <v>AMC</v>
      </c>
      <c r="H282" s="51" t="str">
        <f t="shared" si="438"/>
        <v>s</v>
      </c>
      <c r="I282" s="344">
        <v>57.19</v>
      </c>
      <c r="J282" s="123">
        <v>56.04</v>
      </c>
      <c r="K282" s="55">
        <f t="shared" si="439"/>
        <v>-2.0108410561286913E-2</v>
      </c>
      <c r="L282" s="67">
        <f t="shared" si="440"/>
        <v>23</v>
      </c>
      <c r="M282" s="57">
        <f t="shared" si="441"/>
        <v>0</v>
      </c>
      <c r="N282" s="102">
        <f t="shared" si="442"/>
        <v>23</v>
      </c>
      <c r="O282" s="57">
        <f>IF(N282="",#N/A,SUM($N$4:N282))</f>
        <v>629.03575430328078</v>
      </c>
      <c r="P282" s="65">
        <f t="shared" si="536"/>
        <v>0.33514017602144897</v>
      </c>
      <c r="Q282" s="172">
        <f>IF($N282="",#N/A,SUM($P$4:P282))</f>
        <v>13.804602265745674</v>
      </c>
      <c r="R282" s="279">
        <f t="shared" si="443"/>
        <v>1.7713418031476724</v>
      </c>
      <c r="S282" s="51" t="str">
        <f t="shared" si="444"/>
        <v>Dwn</v>
      </c>
      <c r="T282" s="51" t="s">
        <v>4462</v>
      </c>
      <c r="U282" s="56">
        <f t="shared" si="445"/>
        <v>57.19</v>
      </c>
      <c r="V282" s="56" t="s">
        <v>4458</v>
      </c>
      <c r="W282" s="142">
        <v>20</v>
      </c>
      <c r="X282" s="145">
        <f t="shared" si="446"/>
        <v>1143.8</v>
      </c>
      <c r="Y282" s="140">
        <f t="shared" si="447"/>
        <v>20</v>
      </c>
      <c r="Z282" s="123">
        <v>56.04</v>
      </c>
      <c r="AA282" s="102">
        <f t="shared" si="448"/>
        <v>23</v>
      </c>
      <c r="AB282" s="102">
        <f t="shared" si="449"/>
        <v>75.399999999999864</v>
      </c>
      <c r="AC282" s="124">
        <v>53.42</v>
      </c>
      <c r="AD282" s="155">
        <f t="shared" si="450"/>
        <v>75.399999999999864</v>
      </c>
      <c r="AE282" s="545">
        <f t="shared" si="451"/>
        <v>1.0986769248703134</v>
      </c>
      <c r="AF282" s="57">
        <f>IF($AC282="",#N/A,SUM(AD$4:AD282))</f>
        <v>203.06980422776803</v>
      </c>
      <c r="AG282" s="102">
        <f t="shared" si="452"/>
        <v>52.399999999999864</v>
      </c>
      <c r="AH282" s="56" t="s">
        <v>2507</v>
      </c>
      <c r="AI282" s="65">
        <f t="shared" si="453"/>
        <v>0.33514017602144897</v>
      </c>
      <c r="AJ282" s="108">
        <f>IF(AI282="",#N/A,SUM($AI$4:AI282))</f>
        <v>12.033260462598001</v>
      </c>
      <c r="AK282" s="57">
        <f t="shared" si="454"/>
        <v>23</v>
      </c>
      <c r="AL282" s="66">
        <f>IF(AI282="",#N/A,IF(AH282="Skip",SUM($AK$4:AK282),SUM($AK$4:AK282)))</f>
        <v>493.02759149281474</v>
      </c>
      <c r="AM282" s="65">
        <f t="shared" si="537"/>
        <v>1.0986769248703134</v>
      </c>
      <c r="AN282" s="210"/>
      <c r="AO282" s="65" t="str">
        <f t="shared" si="455"/>
        <v/>
      </c>
      <c r="AP282" s="65">
        <f>IF($AC282="",#N/A,SUM(AO$4:AO282))</f>
        <v>2.3819803864672999</v>
      </c>
      <c r="AQ282" s="65" t="str">
        <f t="shared" si="456"/>
        <v/>
      </c>
      <c r="AR282" s="65">
        <f>IF($AC282="",#N/A,SUM(AQ$4:AQ282))</f>
        <v>-5.6877420365355587</v>
      </c>
      <c r="AS282" s="65">
        <f t="shared" si="457"/>
        <v>1.0986769248703134</v>
      </c>
      <c r="AT282" s="65">
        <f>IF($AC282="",#N/A,SUM(AS$4:AS282))</f>
        <v>8.0266264145266017</v>
      </c>
      <c r="AU282" s="57" t="str">
        <f t="shared" si="538"/>
        <v/>
      </c>
      <c r="AV282" s="57">
        <f>IF($AC282="",#N/A,SUM(AU$4:AU282))</f>
        <v>20.122490661046527</v>
      </c>
      <c r="AW282" s="57" t="str">
        <f t="shared" si="539"/>
        <v/>
      </c>
      <c r="AX282" s="57">
        <f>IF($AC282="",#N/A,SUM(AW$4:AW282))</f>
        <v>-377.70106797961103</v>
      </c>
      <c r="AY282" s="57">
        <f t="shared" si="540"/>
        <v>75.399999999999864</v>
      </c>
      <c r="AZ282" s="57">
        <f>IF($AC282="",#N/A,SUM(AY$4:AY282))</f>
        <v>560.64838154633253</v>
      </c>
      <c r="BA282" s="57">
        <f>IF(AD282="",#N/A,SUM($AD$4:AD282))</f>
        <v>203.06980422776803</v>
      </c>
      <c r="BC282" s="51" t="str">
        <f t="shared" si="458"/>
        <v/>
      </c>
      <c r="BD282" s="51" t="str">
        <f t="shared" si="459"/>
        <v/>
      </c>
      <c r="BE282" s="51" t="str">
        <f t="shared" si="460"/>
        <v/>
      </c>
      <c r="BF282" s="51" t="str">
        <f t="shared" si="461"/>
        <v>Short</v>
      </c>
      <c r="BG282" s="51">
        <f t="shared" si="462"/>
        <v>1</v>
      </c>
      <c r="BH282" s="51" t="str">
        <f t="shared" si="463"/>
        <v/>
      </c>
      <c r="BI282" s="51" t="str">
        <f t="shared" si="464"/>
        <v/>
      </c>
      <c r="BK282" s="65">
        <f t="shared" si="435"/>
        <v>5.3479180505217661E-2</v>
      </c>
      <c r="BL282" s="65">
        <f t="shared" si="434"/>
        <v>-5.5123958514376736E-2</v>
      </c>
      <c r="BM282" s="65">
        <f>IFERROR(Q282/COUNTA($J$4:J282),#N/A)</f>
        <v>4.9478861167547218E-2</v>
      </c>
      <c r="BO282" s="489" t="e">
        <f>IF(J282="",#N/A,IF(S282="SW",(COUNTIFS(K$4:$K282,"&gt;0",S$4:$S282,"SW")/COUNTIF(S$4:$S282,"SW")),#N/A))</f>
        <v>#N/A</v>
      </c>
      <c r="BP282" s="489">
        <f>IF($J282="",#N/A,IF($S282="DWN",(COUNTIFS($K$4:$K282,"&lt;0",$S$4:$S282,"DWN")/COUNTIF($S$4:$S282,"DWN")),#N/A))</f>
        <v>0.5859375</v>
      </c>
      <c r="BQ282" s="489" t="e">
        <f>IF($J282="",#N/A,IF($S282="UP",(COUNTIFS($K$4:$K282,"&gt;0",$S$4:$S282,"UP")/COUNTIF($S$4:$S282,"UP")),#N/A))</f>
        <v>#N/A</v>
      </c>
      <c r="BR282" s="489">
        <f>IF(J282="",#N/A,COUNTIF($K$4:K282,"&gt;0")/COUNT($J$4:J282))</f>
        <v>0.44802867383512546</v>
      </c>
      <c r="BS282" s="65" t="str">
        <f t="shared" si="465"/>
        <v/>
      </c>
      <c r="BT282" s="65" t="str">
        <f t="shared" si="466"/>
        <v/>
      </c>
      <c r="BU282" s="65">
        <f t="shared" si="467"/>
        <v>0.33514017602144897</v>
      </c>
      <c r="BV282" s="65" t="str">
        <f t="shared" si="468"/>
        <v/>
      </c>
      <c r="BW282" s="128" t="str">
        <f t="shared" si="469"/>
        <v/>
      </c>
      <c r="BX282" s="128">
        <f>IF($J282="",#N/A,SUM($BW$4:BW282))</f>
        <v>-351.87317034792864</v>
      </c>
      <c r="BY282" s="131">
        <f t="shared" si="470"/>
        <v>23</v>
      </c>
      <c r="BZ282" s="131">
        <f>IF($J282="",#N/A,SUM($BY$4:BY282))</f>
        <v>941.28734038933419</v>
      </c>
      <c r="CA282" s="133" t="str">
        <f t="shared" si="471"/>
        <v/>
      </c>
      <c r="CB282" s="133">
        <f>IF($J282="",#N/A,SUM($CA$4:CA282))</f>
        <v>39.621584261875228</v>
      </c>
      <c r="CC282" s="194" t="str">
        <f t="shared" si="472"/>
        <v/>
      </c>
      <c r="CD282" s="194">
        <f>IF($J282="",#N/A,SUM($CC$4:CC282))</f>
        <v>-5.3227494758133416</v>
      </c>
      <c r="CE282" s="195">
        <f t="shared" si="473"/>
        <v>0.33514017602144897</v>
      </c>
      <c r="CF282" s="195">
        <f>IF($J282="",#N/A,SUM($CE$4:CE282))</f>
        <v>15.860021591856096</v>
      </c>
      <c r="CG282" s="196" t="str">
        <f t="shared" si="474"/>
        <v/>
      </c>
      <c r="CH282" s="196">
        <f>IF($J282="",#N/A,SUM($CG$4:CG282))</f>
        <v>3.2673301497029255</v>
      </c>
      <c r="CI282" s="200" t="str">
        <f t="shared" si="475"/>
        <v/>
      </c>
      <c r="CJ282" s="203">
        <f>IF($J282="",#N/A,SUM(CI$4:CI282))</f>
        <v>0</v>
      </c>
      <c r="CK282" s="204" t="str">
        <f t="shared" si="476"/>
        <v/>
      </c>
      <c r="CL282" s="204">
        <f>IF($J282="",#N/A,SUM(CK$4:CK282))</f>
        <v>2.3607894150410869</v>
      </c>
      <c r="CM282" s="205" t="str">
        <f t="shared" si="477"/>
        <v/>
      </c>
      <c r="CN282" s="205">
        <f>IF($J282="",#N/A,SUM(CM$4:CM282))</f>
        <v>2.5131182152625313</v>
      </c>
      <c r="CO282" s="205">
        <f>IF($J282="",#N/A,SUM(CM$4:CM282,CK$4:CK282,CI$4:CI282))</f>
        <v>4.8739076303036191</v>
      </c>
      <c r="CP282" s="200" t="str">
        <f t="shared" si="478"/>
        <v/>
      </c>
      <c r="CQ282" s="203">
        <f>IF($J282="",#N/A,SUM(CP$4:CP282))</f>
        <v>-1.1156319314882757</v>
      </c>
      <c r="CR282" s="204">
        <f t="shared" si="479"/>
        <v>0.33514017602144897</v>
      </c>
      <c r="CS282" s="204">
        <f>IF($J282="",#N/A,SUM(CR$4:CR282))</f>
        <v>4.5068274311254326</v>
      </c>
      <c r="CT282" s="205" t="str">
        <f t="shared" si="480"/>
        <v/>
      </c>
      <c r="CU282" s="205">
        <f>IF($J282="",#N/A,SUM(CT$4:CT282))</f>
        <v>-2.9040943753548785</v>
      </c>
      <c r="CV282" s="205">
        <f>IF($J282="",#N/A,SUM(CT$4:CT282,CR$4:CR282,CP$4:CP282))</f>
        <v>0.48710112428227853</v>
      </c>
      <c r="CW282" s="200" t="str">
        <f t="shared" si="481"/>
        <v/>
      </c>
      <c r="CX282" s="203">
        <f>IF($J282="",#N/A,SUM(CW$4:CW282))</f>
        <v>-1.2839616145397621</v>
      </c>
      <c r="CY282" s="204" t="str">
        <f t="shared" si="482"/>
        <v/>
      </c>
      <c r="CZ282" s="204">
        <f>IF($J282="",#N/A,SUM(CY$4:CY282))</f>
        <v>0.30198222879878239</v>
      </c>
      <c r="DA282" s="205" t="str">
        <f t="shared" si="483"/>
        <v/>
      </c>
      <c r="DB282" s="205">
        <f>IF($J282="",#N/A,SUM(DA$4:DA282))</f>
        <v>-1.6929809429332021</v>
      </c>
      <c r="DC282" s="205">
        <f>IF($J282="",#N/A,SUM(DA$4:DA282,CY$4:CY282,CW$4:CW282))</f>
        <v>-2.6749603286741817</v>
      </c>
      <c r="DD282" s="200" t="str">
        <f t="shared" si="484"/>
        <v/>
      </c>
      <c r="DE282" s="203">
        <f>IF($J282="",#N/A,SUM(DD$4:DD282))</f>
        <v>0.24769343410817113</v>
      </c>
      <c r="DF282" s="204" t="str">
        <f t="shared" si="485"/>
        <v/>
      </c>
      <c r="DG282" s="204">
        <f>IF($J282="",#N/A,SUM(DF$4:DF282))</f>
        <v>1.7624645309390978</v>
      </c>
      <c r="DH282" s="205" t="str">
        <f t="shared" si="486"/>
        <v/>
      </c>
      <c r="DI282" s="205">
        <f>IF($J282="",#N/A,SUM(DH$4:DH282))</f>
        <v>-2.7812008102163399</v>
      </c>
      <c r="DJ282" s="205">
        <f>IF($J282="",#N/A,SUM(DH$4:DH282,DF$4:DF282,DD$4:DD282))</f>
        <v>-0.77104284516907118</v>
      </c>
      <c r="DK282" s="200" t="str">
        <f t="shared" si="487"/>
        <v/>
      </c>
      <c r="DL282" s="203">
        <f>IF($J282="",#N/A,SUM(DK$4:DK282))</f>
        <v>-1.2097286851272664</v>
      </c>
      <c r="DM282" s="204" t="str">
        <f t="shared" si="488"/>
        <v/>
      </c>
      <c r="DN282" s="204">
        <f>IF($J282="",#N/A,SUM(DM$4:DM282))</f>
        <v>3.0281848543081331</v>
      </c>
      <c r="DO282" s="205" t="str">
        <f t="shared" si="489"/>
        <v/>
      </c>
      <c r="DP282" s="205">
        <f>IF($J282="",#N/A,SUM(DO$4:DO282))</f>
        <v>2.700331529683047</v>
      </c>
      <c r="DQ282" s="205">
        <f>IF($J282="",#N/A,SUM(DO$4:DO282,DM$4:DM282,DK$4:DK282))</f>
        <v>4.518787698863914</v>
      </c>
      <c r="DR282" s="200" t="str">
        <f t="shared" si="490"/>
        <v/>
      </c>
      <c r="DS282" s="203">
        <f>IF($J282="",#N/A,SUM(DR$4:DR282))</f>
        <v>-0.55950946427675097</v>
      </c>
      <c r="DT282" s="204" t="str">
        <f t="shared" si="491"/>
        <v/>
      </c>
      <c r="DU282" s="204">
        <f>IF($J282="",#N/A,SUM(DT$4:DT282))</f>
        <v>-0.69837848627200172</v>
      </c>
      <c r="DV282" s="205" t="str">
        <f t="shared" si="492"/>
        <v/>
      </c>
      <c r="DW282" s="205">
        <f>IF($J282="",#N/A,SUM(DV$4:DV282))</f>
        <v>-1.5454397913873317</v>
      </c>
      <c r="DX282" s="205">
        <f>IF($J282="",#N/A,SUM(DV$4:DV282,DT$4:DT282,DR$4:DR282))</f>
        <v>-2.803327741936084</v>
      </c>
      <c r="DY282" s="200" t="str">
        <f t="shared" si="493"/>
        <v/>
      </c>
      <c r="DZ282" s="203">
        <f>IF($J282="",#N/A,SUM(DY$4:DY282))</f>
        <v>-1.0460034109943892</v>
      </c>
      <c r="EA282" s="204" t="str">
        <f t="shared" si="494"/>
        <v/>
      </c>
      <c r="EB282" s="204">
        <f>IF($J282="",#N/A,SUM(EA$4:EA282))</f>
        <v>2.468538401202053</v>
      </c>
      <c r="EC282" s="205" t="str">
        <f t="shared" si="495"/>
        <v/>
      </c>
      <c r="ED282" s="205">
        <f>IF($J282="",#N/A,SUM(EC$4:EC282))</f>
        <v>4.5772092731053986</v>
      </c>
      <c r="EE282" s="205">
        <f>IF($J282="",#N/A,SUM(EC$4:EC282,EA$4:EA282,DY$4:DY282))</f>
        <v>5.9997442633130609</v>
      </c>
      <c r="EF282" s="200" t="str">
        <f t="shared" si="496"/>
        <v/>
      </c>
      <c r="EG282" s="203">
        <f>IF($J282="",#N/A,SUM(EF$4:EF282))</f>
        <v>-0.15098969023521425</v>
      </c>
      <c r="EH282" s="204" t="str">
        <f t="shared" si="497"/>
        <v/>
      </c>
      <c r="EI282" s="204">
        <f>IF($J282="",#N/A,SUM(EH$4:EH282))</f>
        <v>-1.9445201344224492</v>
      </c>
      <c r="EJ282" s="205" t="str">
        <f t="shared" si="498"/>
        <v/>
      </c>
      <c r="EK282" s="205">
        <f>IF($J282="",#N/A,SUM(EJ$4:EJ282))</f>
        <v>5.050388173053765</v>
      </c>
      <c r="EL282" s="205">
        <f>IF($J282="",#N/A,SUM(EJ$4:EJ282,EH$4:EH282,EF$4:EF282))</f>
        <v>2.9548783483961012</v>
      </c>
      <c r="EM282" s="200" t="str">
        <f t="shared" si="499"/>
        <v/>
      </c>
      <c r="EN282" s="203">
        <f>IF($J282="",#N/A,SUM(EM$4:EM282))</f>
        <v>0</v>
      </c>
      <c r="EO282" s="204" t="str">
        <f t="shared" si="500"/>
        <v/>
      </c>
      <c r="EP282" s="204">
        <f>IF($J282="",#N/A,SUM(EO$4:EO282))</f>
        <v>2.0574787067554756</v>
      </c>
      <c r="EQ282" s="205" t="str">
        <f t="shared" si="501"/>
        <v/>
      </c>
      <c r="ER282" s="205">
        <f>IF($J282="",#N/A,SUM(EQ$4:EQ282))</f>
        <v>1.441536272249796</v>
      </c>
      <c r="ES282" s="205">
        <f>IF($J282="",#N/A,SUM(EQ$4:EQ282,EO$4:EO282,EM$4:EM282))</f>
        <v>3.4990149790052709</v>
      </c>
      <c r="ET282" s="200" t="str">
        <f t="shared" si="502"/>
        <v/>
      </c>
      <c r="EU282" s="203">
        <f>IF($J282="",#N/A,SUM(ET$4:ET282))</f>
        <v>0</v>
      </c>
      <c r="EV282" s="204" t="str">
        <f t="shared" si="503"/>
        <v/>
      </c>
      <c r="EW282" s="204">
        <f>IF($J282="",#N/A,SUM(EV$4:EV282))</f>
        <v>2.3297323921502326</v>
      </c>
      <c r="EX282" s="205" t="str">
        <f t="shared" si="504"/>
        <v/>
      </c>
      <c r="EY282" s="205">
        <f>IF($J282="",#N/A,SUM(EX$4:EX282))</f>
        <v>0.27113250180669229</v>
      </c>
      <c r="EZ282" s="205">
        <f>IF($J282="",#N/A,SUM(EX$4:EX282,EV$4:EV282,ET$4:ET282))</f>
        <v>2.6008648939569246</v>
      </c>
      <c r="FA282" s="200" t="str">
        <f t="shared" si="505"/>
        <v/>
      </c>
      <c r="FB282" s="203">
        <f>IF($J282="",#N/A,SUM(FA$4:FA282))</f>
        <v>-0.27145310509113252</v>
      </c>
      <c r="FC282" s="204" t="str">
        <f t="shared" si="506"/>
        <v/>
      </c>
      <c r="FD282" s="204">
        <f>IF($J282="",#N/A,SUM(FC$4:FC282))</f>
        <v>1.204376144197403</v>
      </c>
      <c r="FE282" s="205" t="str">
        <f t="shared" si="507"/>
        <v/>
      </c>
      <c r="FF282" s="205">
        <f>IF($J282="",#N/A,SUM(FE$4:FE282))</f>
        <v>-0.28811149078748233</v>
      </c>
      <c r="FG282" s="205">
        <f>IF($J282="",#N/A,SUM(FE$4:FE282,FC$4:FC282,FA$4:FA282))</f>
        <v>0.64481154831878851</v>
      </c>
      <c r="FH282" s="200" t="str">
        <f t="shared" si="508"/>
        <v/>
      </c>
      <c r="FI282" s="203">
        <f>IF($J282="",#N/A,SUM(FH$4:FH282))</f>
        <v>0</v>
      </c>
      <c r="FJ282" s="204" t="str">
        <f t="shared" si="509"/>
        <v/>
      </c>
      <c r="FK282" s="204">
        <f>IF($J282="",#N/A,SUM(FJ$4:FJ282))</f>
        <v>0</v>
      </c>
      <c r="FL282" s="205" t="str">
        <f t="shared" si="510"/>
        <v/>
      </c>
      <c r="FM282" s="205">
        <f>IF($J282="",#N/A,SUM(FL$4:FL282))</f>
        <v>0</v>
      </c>
      <c r="FN282" s="205">
        <f>IF($J282="",#N/A,SUM(FL$4:FL282,FJ$4:FJ282,FH$4:FH282))</f>
        <v>0</v>
      </c>
      <c r="FO282" s="200" t="str">
        <f t="shared" si="511"/>
        <v/>
      </c>
      <c r="FP282" s="203">
        <f>IF($J282="",#N/A,SUM(FO$4:FO282))</f>
        <v>0</v>
      </c>
      <c r="FQ282" s="204" t="str">
        <f t="shared" si="512"/>
        <v/>
      </c>
      <c r="FR282" s="204">
        <f>IF($J282="",#N/A,SUM(FQ$4:FQ282))</f>
        <v>0</v>
      </c>
      <c r="FS282" s="205" t="str">
        <f t="shared" si="513"/>
        <v/>
      </c>
      <c r="FT282" s="205">
        <f>IF($J282="",#N/A,SUM(FS$4:FS282))</f>
        <v>0</v>
      </c>
      <c r="FU282" s="205">
        <f>IF($J282="",#N/A,SUM(FS$4:FS282,FQ$4:FQ282,FO$4:FO282))</f>
        <v>0</v>
      </c>
      <c r="FV282" s="200" t="str">
        <f t="shared" si="514"/>
        <v/>
      </c>
      <c r="FW282" s="203">
        <f>IF($J282="",#N/A,SUM(FV$4:FV282))</f>
        <v>6.6834991831277585E-2</v>
      </c>
      <c r="FX282" s="204" t="str">
        <f t="shared" si="515"/>
        <v/>
      </c>
      <c r="FY282" s="204">
        <f>IF($J282="",#N/A,SUM(FX$4:FX282))</f>
        <v>-0.16102012791805576</v>
      </c>
      <c r="FZ282" s="205" t="str">
        <f t="shared" si="516"/>
        <v/>
      </c>
      <c r="GA282" s="205">
        <f>IF($J282="",#N/A,SUM(FZ$4:FZ282))</f>
        <v>-1.1377221770567538</v>
      </c>
      <c r="GB282" s="205">
        <f>IF($J282="",#N/A,SUM(FZ$4:FZ282,FX$4:FX282,FV$4:FV282))</f>
        <v>-1.2319073131435321</v>
      </c>
      <c r="GC282" s="200" t="str">
        <f t="shared" si="517"/>
        <v/>
      </c>
      <c r="GD282" s="203">
        <f>IF($J282="",#N/A,SUM(GC$4:GC282))</f>
        <v>0</v>
      </c>
      <c r="GE282" s="204" t="str">
        <f t="shared" si="518"/>
        <v/>
      </c>
      <c r="GF282" s="204">
        <f>IF($J282="",#N/A,SUM(GE$4:GE282))</f>
        <v>0</v>
      </c>
      <c r="GG282" s="205" t="str">
        <f t="shared" si="519"/>
        <v/>
      </c>
      <c r="GH282" s="205">
        <f>IF($J282="",#N/A,SUM(GG$4:GG282))</f>
        <v>-2.9368362277223206</v>
      </c>
      <c r="GI282" s="205">
        <f>IF($J282="",#N/A,SUM(GG$4:GG282,GE$4:GE282,GC$4:GC282))</f>
        <v>-2.9368362277223206</v>
      </c>
      <c r="GJ282" s="200" t="str">
        <f t="shared" si="520"/>
        <v/>
      </c>
      <c r="GK282" s="203">
        <f>IF($J282="",#N/A,SUM(GJ$4:GJ282))</f>
        <v>0</v>
      </c>
      <c r="GL282" s="204" t="str">
        <f t="shared" si="521"/>
        <v/>
      </c>
      <c r="GM282" s="204">
        <f>IF($J282="",#N/A,SUM(GL$4:GL282))</f>
        <v>-1.6833790887309608</v>
      </c>
      <c r="GN282" s="205" t="str">
        <f t="shared" si="522"/>
        <v/>
      </c>
      <c r="GO282" s="205">
        <f>IF($J282="",#N/A,SUM(GN$4:GN282))</f>
        <v>0</v>
      </c>
      <c r="GP282" s="205">
        <f>IF($J282="",#N/A,SUM(GN$4:GN282,GL$4:GL282,GJ$4:GJ282))</f>
        <v>-1.6833790887309608</v>
      </c>
      <c r="GS282" s="54" t="str">
        <f t="shared" si="541"/>
        <v/>
      </c>
      <c r="GT282" s="54" t="e">
        <f>IF(GS282="",NA(),SUM($GS$4:GS282))</f>
        <v>#N/A</v>
      </c>
      <c r="GU282" s="54" t="str">
        <f t="shared" si="523"/>
        <v/>
      </c>
      <c r="GV282" s="54" t="e">
        <f>IF(GU282="",NA(),SUM($GU$4:GU282))</f>
        <v>#N/A</v>
      </c>
      <c r="GW282" s="54" t="str">
        <f t="shared" si="524"/>
        <v/>
      </c>
      <c r="GX282" s="54" t="e">
        <f>IF(GW282="",NA(),SUM($GW$4:GW282))</f>
        <v>#N/A</v>
      </c>
      <c r="GY282" s="54" t="str">
        <f t="shared" si="525"/>
        <v/>
      </c>
      <c r="GZ282" s="54" t="e">
        <f>IF(GY282="",NA(),SUM($GY$4:GY282))</f>
        <v>#N/A</v>
      </c>
      <c r="HA282" s="54">
        <f t="shared" si="526"/>
        <v>0.33514017602144897</v>
      </c>
      <c r="HB282" s="54">
        <f>IF(HA282="",NA(),SUM($HA$4:HA282))</f>
        <v>4.6706797337287718</v>
      </c>
      <c r="HC282" s="54" t="str">
        <f t="shared" si="527"/>
        <v/>
      </c>
      <c r="HD282" s="54" t="e">
        <f>IF(HC282="",NA(),SUM($HC$4:HC282))</f>
        <v>#N/A</v>
      </c>
      <c r="HE282" s="54" t="str">
        <f t="shared" si="528"/>
        <v/>
      </c>
      <c r="HF282" s="54" t="e">
        <f>IF(HE282="",NA(),SUM($HE$4:HE282))</f>
        <v>#N/A</v>
      </c>
      <c r="HG282" s="54">
        <f t="shared" si="529"/>
        <v>0.33514017602144897</v>
      </c>
      <c r="HH282" s="54">
        <f>IF(HG282="",NA(),SUM($HG$4:HG282))</f>
        <v>6.2088206228237697</v>
      </c>
      <c r="HI282" s="172">
        <f t="shared" si="542"/>
        <v>0.76353674884886447</v>
      </c>
      <c r="HJ282" s="172">
        <f>IF($J282="",#N/A,SUM(HI$4:$HI282))</f>
        <v>-6.6135854982859428</v>
      </c>
      <c r="HK282" s="54" t="str">
        <f t="shared" si="530"/>
        <v/>
      </c>
      <c r="HL282" s="54">
        <f>IF($J282="",#N/A,SUM($HK$4:HK282))</f>
        <v>-1.2198096790435395</v>
      </c>
      <c r="HM282" s="54" t="str">
        <f t="shared" si="531"/>
        <v/>
      </c>
      <c r="HN282" s="54">
        <f>IF($J282="",#N/A,SUM($HM$4:HM282))</f>
        <v>0.6871920272168337</v>
      </c>
      <c r="HO282" s="54" t="str">
        <f t="shared" si="532"/>
        <v/>
      </c>
      <c r="HP282" s="54">
        <f>IF($J282="",#N/A,SUM($HO$4:HO282))</f>
        <v>-1.052184587939049</v>
      </c>
      <c r="HQ282" s="54" t="str">
        <f t="shared" si="533"/>
        <v/>
      </c>
      <c r="HR282" s="54">
        <f>IF($J282="",#N/A,SUM($HQ$4:HQ282))</f>
        <v>-14.877782597833791</v>
      </c>
      <c r="HS282" s="54" t="str">
        <f t="shared" si="534"/>
        <v/>
      </c>
      <c r="HT282" s="54">
        <f>IF($J282="",#N/A,SUM($HS$4:HS282))</f>
        <v>13.992432834598167</v>
      </c>
      <c r="HU282" s="65">
        <f t="shared" si="535"/>
        <v>1.0986769248703134</v>
      </c>
      <c r="HV282" s="65">
        <f>IF($J282="",#N/A,SUM(HU$4:$HU282))</f>
        <v>4.7208647644583444</v>
      </c>
    </row>
    <row r="283" spans="1:230" x14ac:dyDescent="0.25">
      <c r="A283" s="51" t="s">
        <v>2827</v>
      </c>
      <c r="B283" s="52" t="s">
        <v>4595</v>
      </c>
      <c r="C283" s="229">
        <f t="shared" si="436"/>
        <v>2</v>
      </c>
      <c r="D283" s="219" t="str">
        <f>_xlfn.XLOOKUP(A283,[1]SP500!$A$2:$A$502,[1]SP500!$D$2:$D$502,"N")</f>
        <v>N</v>
      </c>
      <c r="E283" s="51" t="str">
        <f>IFERROR(_xlfn.XLOOKUP(A283,[1]SP500!$A$2:$A$655,[1]SP500!$B$2:$B$655),"")</f>
        <v>XLY</v>
      </c>
      <c r="F283" s="290">
        <v>45783</v>
      </c>
      <c r="G283" s="51" t="str">
        <f t="shared" si="437"/>
        <v>AMC</v>
      </c>
      <c r="H283" s="51" t="str">
        <f t="shared" si="438"/>
        <v>o</v>
      </c>
      <c r="I283" s="344">
        <v>2.33</v>
      </c>
      <c r="J283" s="124">
        <v>2.3199999999999998</v>
      </c>
      <c r="K283" s="55">
        <f t="shared" si="439"/>
        <v>-4.2918454935623306E-3</v>
      </c>
      <c r="L283" s="67">
        <f t="shared" si="440"/>
        <v>-2.5</v>
      </c>
      <c r="M283" s="57">
        <f t="shared" si="441"/>
        <v>-5</v>
      </c>
      <c r="N283" s="147">
        <f t="shared" si="442"/>
        <v>2.5</v>
      </c>
      <c r="O283" s="57">
        <f>IF(N283="",#N/A,SUM($N$4:N283))</f>
        <v>631.53575430328078</v>
      </c>
      <c r="P283" s="65">
        <f t="shared" si="536"/>
        <v>7.1530758226037203E-2</v>
      </c>
      <c r="Q283" s="172">
        <f>IF($N283="",#N/A,SUM($P$4:P283))</f>
        <v>13.876133023971711</v>
      </c>
      <c r="R283" s="279">
        <f t="shared" si="443"/>
        <v>2.0574648360518211</v>
      </c>
      <c r="S283" s="51" t="str">
        <f t="shared" si="444"/>
        <v>Dwn</v>
      </c>
      <c r="T283" s="51" t="s">
        <v>4462</v>
      </c>
      <c r="U283" s="56">
        <f t="shared" si="445"/>
        <v>2.33</v>
      </c>
      <c r="V283" s="56" t="s">
        <v>4460</v>
      </c>
      <c r="W283" s="142">
        <v>250</v>
      </c>
      <c r="X283" s="145">
        <f t="shared" si="446"/>
        <v>582.5</v>
      </c>
      <c r="Y283" s="140">
        <f t="shared" si="447"/>
        <v>250</v>
      </c>
      <c r="Z283" s="123">
        <v>2.2999999999999998</v>
      </c>
      <c r="AA283" s="102">
        <f t="shared" si="448"/>
        <v>-7.5</v>
      </c>
      <c r="AB283" s="102">
        <f t="shared" si="449"/>
        <v>-20</v>
      </c>
      <c r="AC283" s="124">
        <v>2.25</v>
      </c>
      <c r="AD283" s="155">
        <f t="shared" si="450"/>
        <v>20</v>
      </c>
      <c r="AE283" s="545">
        <f t="shared" si="451"/>
        <v>0.57224606580829762</v>
      </c>
      <c r="AF283" s="57">
        <f>IF($AC283="",#N/A,SUM(AD$4:AD283))</f>
        <v>223.06980422776803</v>
      </c>
      <c r="AG283" s="102">
        <f t="shared" si="452"/>
        <v>17.5</v>
      </c>
      <c r="AH283" s="102" t="s">
        <v>2507</v>
      </c>
      <c r="AI283" s="65">
        <f t="shared" si="453"/>
        <v>-0.21459227467811162</v>
      </c>
      <c r="AJ283" s="108">
        <f>IF(AI283="",#N/A,SUM($AI$4:AI283))</f>
        <v>11.81866818791989</v>
      </c>
      <c r="AK283" s="144">
        <f t="shared" si="454"/>
        <v>-7.5</v>
      </c>
      <c r="AL283" s="66">
        <f>IF(AI283="",#N/A,IF(AH283="Skip",SUM($AK$4:AK283),SUM($AK$4:AK283)))</f>
        <v>485.52759149281474</v>
      </c>
      <c r="AM283" s="65">
        <f t="shared" si="537"/>
        <v>0.57224606580829762</v>
      </c>
      <c r="AN283" s="210"/>
      <c r="AO283" s="65" t="str">
        <f t="shared" si="455"/>
        <v/>
      </c>
      <c r="AP283" s="65">
        <f>IF($AC283="",#N/A,SUM(AO$4:AO283))</f>
        <v>2.3819803864672999</v>
      </c>
      <c r="AQ283" s="65" t="str">
        <f t="shared" si="456"/>
        <v/>
      </c>
      <c r="AR283" s="65">
        <f>IF($AC283="",#N/A,SUM(AQ$4:AQ283))</f>
        <v>-5.6877420365355587</v>
      </c>
      <c r="AS283" s="65">
        <f t="shared" si="457"/>
        <v>0.57224606580829762</v>
      </c>
      <c r="AT283" s="65">
        <f>IF($AC283="",#N/A,SUM(AS$4:AS283))</f>
        <v>8.598872480334899</v>
      </c>
      <c r="AU283" s="57" t="str">
        <f t="shared" si="538"/>
        <v/>
      </c>
      <c r="AV283" s="57">
        <f>IF($AC283="",#N/A,SUM(AU$4:AU283))</f>
        <v>20.122490661046527</v>
      </c>
      <c r="AW283" s="57" t="str">
        <f t="shared" si="539"/>
        <v/>
      </c>
      <c r="AX283" s="57">
        <f>IF($AC283="",#N/A,SUM(AW$4:AW283))</f>
        <v>-377.70106797961103</v>
      </c>
      <c r="AY283" s="57">
        <f t="shared" si="540"/>
        <v>20</v>
      </c>
      <c r="AZ283" s="57">
        <f>IF($AC283="",#N/A,SUM(AY$4:AY283))</f>
        <v>580.64838154633253</v>
      </c>
      <c r="BA283" s="57">
        <f>IF(AD283="",#N/A,SUM($AD$4:AD283))</f>
        <v>223.06980422776803</v>
      </c>
      <c r="BC283" s="51" t="str">
        <f t="shared" si="458"/>
        <v/>
      </c>
      <c r="BD283" s="51" t="str">
        <f t="shared" si="459"/>
        <v/>
      </c>
      <c r="BE283" s="51" t="str">
        <f t="shared" si="460"/>
        <v/>
      </c>
      <c r="BF283" s="51" t="str">
        <f t="shared" si="461"/>
        <v>Short</v>
      </c>
      <c r="BG283" s="51">
        <f t="shared" si="462"/>
        <v>1</v>
      </c>
      <c r="BH283" s="51" t="str">
        <f t="shared" si="463"/>
        <v/>
      </c>
      <c r="BI283" s="51" t="str">
        <f t="shared" si="464"/>
        <v/>
      </c>
      <c r="BK283" s="65">
        <f t="shared" si="435"/>
        <v>4.047031024049183E-2</v>
      </c>
      <c r="BL283" s="65">
        <f t="shared" si="434"/>
        <v>-7.3410691670172737E-2</v>
      </c>
      <c r="BM283" s="65">
        <f>IFERROR(Q283/COUNTA($J$4:J283),#N/A)</f>
        <v>4.9557617942756114E-2</v>
      </c>
      <c r="BO283" s="489" t="e">
        <f>IF(J283="",#N/A,IF(S283="SW",(COUNTIFS(K$4:$K283,"&gt;0",S$4:$S283,"SW")/COUNTIF(S$4:$S283,"SW")),#N/A))</f>
        <v>#N/A</v>
      </c>
      <c r="BP283" s="489">
        <f>IF($J283="",#N/A,IF($S283="DWN",(COUNTIFS($K$4:$K283,"&lt;0",$S$4:$S283,"DWN")/COUNTIF($S$4:$S283,"DWN")),#N/A))</f>
        <v>0.58914728682170547</v>
      </c>
      <c r="BQ283" s="489" t="e">
        <f>IF($J283="",#N/A,IF($S283="UP",(COUNTIFS($K$4:$K283,"&gt;0",$S$4:$S283,"UP")/COUNTIF($S$4:$S283,"UP")),#N/A))</f>
        <v>#N/A</v>
      </c>
      <c r="BR283" s="489">
        <f>IF(J283="",#N/A,COUNTIF($K$4:K283,"&gt;0")/COUNT($J$4:J283))</f>
        <v>0.44642857142857145</v>
      </c>
      <c r="BS283" s="65" t="str">
        <f t="shared" si="465"/>
        <v/>
      </c>
      <c r="BT283" s="65">
        <f t="shared" si="466"/>
        <v>7.1530758226037203E-2</v>
      </c>
      <c r="BU283" s="65" t="str">
        <f t="shared" si="467"/>
        <v/>
      </c>
      <c r="BV283" s="65" t="str">
        <f t="shared" si="468"/>
        <v/>
      </c>
      <c r="BW283" s="127" t="str">
        <f t="shared" si="469"/>
        <v/>
      </c>
      <c r="BX283" s="127">
        <f>IF($J283="",#N/A,SUM($BW$4:BW283))</f>
        <v>-351.87317034792864</v>
      </c>
      <c r="BY283" s="130">
        <f t="shared" si="470"/>
        <v>2.5</v>
      </c>
      <c r="BZ283" s="130">
        <f>IF($J283="",#N/A,SUM($BY$4:BY283))</f>
        <v>943.78734038933419</v>
      </c>
      <c r="CA283" s="132" t="str">
        <f t="shared" si="471"/>
        <v/>
      </c>
      <c r="CB283" s="132">
        <f>IF($J283="",#N/A,SUM($CA$4:CA283))</f>
        <v>39.621584261875228</v>
      </c>
      <c r="CC283" s="197" t="str">
        <f t="shared" si="472"/>
        <v/>
      </c>
      <c r="CD283" s="197">
        <f>IF($J283="",#N/A,SUM($CC$4:CC283))</f>
        <v>-5.3227494758133416</v>
      </c>
      <c r="CE283" s="198">
        <f t="shared" si="473"/>
        <v>7.1530758226037203E-2</v>
      </c>
      <c r="CF283" s="198">
        <f>IF($J283="",#N/A,SUM($CE$4:CE283))</f>
        <v>15.931552350082134</v>
      </c>
      <c r="CG283" s="199" t="str">
        <f t="shared" si="474"/>
        <v/>
      </c>
      <c r="CH283" s="199">
        <f>IF($J283="",#N/A,SUM($CG$4:CG283))</f>
        <v>3.2673301497029255</v>
      </c>
      <c r="CI283" s="200" t="str">
        <f t="shared" si="475"/>
        <v/>
      </c>
      <c r="CJ283" s="206">
        <f>IF($J283="",#N/A,SUM(CI$4:CI283))</f>
        <v>0</v>
      </c>
      <c r="CK283" s="207" t="str">
        <f t="shared" si="476"/>
        <v/>
      </c>
      <c r="CL283" s="207">
        <f>IF($J283="",#N/A,SUM(CK$4:CK283))</f>
        <v>2.3607894150410869</v>
      </c>
      <c r="CM283" s="208" t="str">
        <f t="shared" si="477"/>
        <v/>
      </c>
      <c r="CN283" s="208">
        <f>IF($J283="",#N/A,SUM(CM$4:CM283))</f>
        <v>2.5131182152625313</v>
      </c>
      <c r="CO283" s="208">
        <f>IF($J283="",#N/A,SUM(CM$4:CM283,CK$4:CK283,CI$4:CI283))</f>
        <v>4.8739076303036191</v>
      </c>
      <c r="CP283" s="200" t="str">
        <f t="shared" si="478"/>
        <v/>
      </c>
      <c r="CQ283" s="206">
        <f>IF($J283="",#N/A,SUM(CP$4:CP283))</f>
        <v>-1.1156319314882757</v>
      </c>
      <c r="CR283" s="207" t="str">
        <f t="shared" si="479"/>
        <v/>
      </c>
      <c r="CS283" s="207">
        <f>IF($J283="",#N/A,SUM(CR$4:CR283))</f>
        <v>4.5068274311254326</v>
      </c>
      <c r="CT283" s="208" t="str">
        <f t="shared" si="480"/>
        <v/>
      </c>
      <c r="CU283" s="208">
        <f>IF($J283="",#N/A,SUM(CT$4:CT283))</f>
        <v>-2.9040943753548785</v>
      </c>
      <c r="CV283" s="208">
        <f>IF($J283="",#N/A,SUM(CT$4:CT283,CR$4:CR283,CP$4:CP283))</f>
        <v>0.48710112428227853</v>
      </c>
      <c r="CW283" s="200" t="str">
        <f t="shared" si="481"/>
        <v/>
      </c>
      <c r="CX283" s="206">
        <f>IF($J283="",#N/A,SUM(CW$4:CW283))</f>
        <v>-1.2839616145397621</v>
      </c>
      <c r="CY283" s="207">
        <f t="shared" si="482"/>
        <v>7.1530758226037203E-2</v>
      </c>
      <c r="CZ283" s="207">
        <f>IF($J283="",#N/A,SUM(CY$4:CY283))</f>
        <v>0.37351298702481961</v>
      </c>
      <c r="DA283" s="208" t="str">
        <f t="shared" si="483"/>
        <v/>
      </c>
      <c r="DB283" s="208">
        <f>IF($J283="",#N/A,SUM(DA$4:DA283))</f>
        <v>-1.6929809429332021</v>
      </c>
      <c r="DC283" s="208">
        <f>IF($J283="",#N/A,SUM(DA$4:DA283,CY$4:CY283,CW$4:CW283))</f>
        <v>-2.6034295704481445</v>
      </c>
      <c r="DD283" s="200" t="str">
        <f t="shared" si="484"/>
        <v/>
      </c>
      <c r="DE283" s="206">
        <f>IF($J283="",#N/A,SUM(DD$4:DD283))</f>
        <v>0.24769343410817113</v>
      </c>
      <c r="DF283" s="207" t="str">
        <f t="shared" si="485"/>
        <v/>
      </c>
      <c r="DG283" s="207">
        <f>IF($J283="",#N/A,SUM(DF$4:DF283))</f>
        <v>1.7624645309390978</v>
      </c>
      <c r="DH283" s="208" t="str">
        <f t="shared" si="486"/>
        <v/>
      </c>
      <c r="DI283" s="208">
        <f>IF($J283="",#N/A,SUM(DH$4:DH283))</f>
        <v>-2.7812008102163399</v>
      </c>
      <c r="DJ283" s="208">
        <f>IF($J283="",#N/A,SUM(DH$4:DH283,DF$4:DF283,DD$4:DD283))</f>
        <v>-0.77104284516907118</v>
      </c>
      <c r="DK283" s="200" t="str">
        <f t="shared" si="487"/>
        <v/>
      </c>
      <c r="DL283" s="206">
        <f>IF($J283="",#N/A,SUM(DK$4:DK283))</f>
        <v>-1.2097286851272664</v>
      </c>
      <c r="DM283" s="207" t="str">
        <f t="shared" si="488"/>
        <v/>
      </c>
      <c r="DN283" s="207">
        <f>IF($J283="",#N/A,SUM(DM$4:DM283))</f>
        <v>3.0281848543081331</v>
      </c>
      <c r="DO283" s="208" t="str">
        <f t="shared" si="489"/>
        <v/>
      </c>
      <c r="DP283" s="208">
        <f>IF($J283="",#N/A,SUM(DO$4:DO283))</f>
        <v>2.700331529683047</v>
      </c>
      <c r="DQ283" s="208">
        <f>IF($J283="",#N/A,SUM(DO$4:DO283,DM$4:DM283,DK$4:DK283))</f>
        <v>4.518787698863914</v>
      </c>
      <c r="DR283" s="200" t="str">
        <f t="shared" si="490"/>
        <v/>
      </c>
      <c r="DS283" s="206">
        <f>IF($J283="",#N/A,SUM(DR$4:DR283))</f>
        <v>-0.55950946427675097</v>
      </c>
      <c r="DT283" s="207" t="str">
        <f t="shared" si="491"/>
        <v/>
      </c>
      <c r="DU283" s="207">
        <f>IF($J283="",#N/A,SUM(DT$4:DT283))</f>
        <v>-0.69837848627200172</v>
      </c>
      <c r="DV283" s="208" t="str">
        <f t="shared" si="492"/>
        <v/>
      </c>
      <c r="DW283" s="208">
        <f>IF($J283="",#N/A,SUM(DV$4:DV283))</f>
        <v>-1.5454397913873317</v>
      </c>
      <c r="DX283" s="208">
        <f>IF($J283="",#N/A,SUM(DV$4:DV283,DT$4:DT283,DR$4:DR283))</f>
        <v>-2.803327741936084</v>
      </c>
      <c r="DY283" s="200" t="str">
        <f t="shared" si="493"/>
        <v/>
      </c>
      <c r="DZ283" s="206">
        <f>IF($J283="",#N/A,SUM(DY$4:DY283))</f>
        <v>-1.0460034109943892</v>
      </c>
      <c r="EA283" s="207" t="str">
        <f t="shared" si="494"/>
        <v/>
      </c>
      <c r="EB283" s="207">
        <f>IF($J283="",#N/A,SUM(EA$4:EA283))</f>
        <v>2.468538401202053</v>
      </c>
      <c r="EC283" s="208" t="str">
        <f t="shared" si="495"/>
        <v/>
      </c>
      <c r="ED283" s="208">
        <f>IF($J283="",#N/A,SUM(EC$4:EC283))</f>
        <v>4.5772092731053986</v>
      </c>
      <c r="EE283" s="208">
        <f>IF($J283="",#N/A,SUM(EC$4:EC283,EA$4:EA283,DY$4:DY283))</f>
        <v>5.9997442633130609</v>
      </c>
      <c r="EF283" s="200" t="str">
        <f t="shared" si="496"/>
        <v/>
      </c>
      <c r="EG283" s="206">
        <f>IF($J283="",#N/A,SUM(EF$4:EF283))</f>
        <v>-0.15098969023521425</v>
      </c>
      <c r="EH283" s="207" t="str">
        <f t="shared" si="497"/>
        <v/>
      </c>
      <c r="EI283" s="207">
        <f>IF($J283="",#N/A,SUM(EH$4:EH283))</f>
        <v>-1.9445201344224492</v>
      </c>
      <c r="EJ283" s="208" t="str">
        <f t="shared" si="498"/>
        <v/>
      </c>
      <c r="EK283" s="208">
        <f>IF($J283="",#N/A,SUM(EJ$4:EJ283))</f>
        <v>5.050388173053765</v>
      </c>
      <c r="EL283" s="208">
        <f>IF($J283="",#N/A,SUM(EJ$4:EJ283,EH$4:EH283,EF$4:EF283))</f>
        <v>2.9548783483961012</v>
      </c>
      <c r="EM283" s="200" t="str">
        <f t="shared" si="499"/>
        <v/>
      </c>
      <c r="EN283" s="206">
        <f>IF($J283="",#N/A,SUM(EM$4:EM283))</f>
        <v>0</v>
      </c>
      <c r="EO283" s="207" t="str">
        <f t="shared" si="500"/>
        <v/>
      </c>
      <c r="EP283" s="207">
        <f>IF($J283="",#N/A,SUM(EO$4:EO283))</f>
        <v>2.0574787067554756</v>
      </c>
      <c r="EQ283" s="208" t="str">
        <f t="shared" si="501"/>
        <v/>
      </c>
      <c r="ER283" s="208">
        <f>IF($J283="",#N/A,SUM(EQ$4:EQ283))</f>
        <v>1.441536272249796</v>
      </c>
      <c r="ES283" s="208">
        <f>IF($J283="",#N/A,SUM(EQ$4:EQ283,EO$4:EO283,EM$4:EM283))</f>
        <v>3.4990149790052709</v>
      </c>
      <c r="ET283" s="200" t="str">
        <f t="shared" si="502"/>
        <v/>
      </c>
      <c r="EU283" s="206">
        <f>IF($J283="",#N/A,SUM(ET$4:ET283))</f>
        <v>0</v>
      </c>
      <c r="EV283" s="207" t="str">
        <f t="shared" si="503"/>
        <v/>
      </c>
      <c r="EW283" s="207">
        <f>IF($J283="",#N/A,SUM(EV$4:EV283))</f>
        <v>2.3297323921502326</v>
      </c>
      <c r="EX283" s="208" t="str">
        <f t="shared" si="504"/>
        <v/>
      </c>
      <c r="EY283" s="208">
        <f>IF($J283="",#N/A,SUM(EX$4:EX283))</f>
        <v>0.27113250180669229</v>
      </c>
      <c r="EZ283" s="208">
        <f>IF($J283="",#N/A,SUM(EX$4:EX283,EV$4:EV283,ET$4:ET283))</f>
        <v>2.6008648939569246</v>
      </c>
      <c r="FA283" s="200" t="str">
        <f t="shared" si="505"/>
        <v/>
      </c>
      <c r="FB283" s="206">
        <f>IF($J283="",#N/A,SUM(FA$4:FA283))</f>
        <v>-0.27145310509113252</v>
      </c>
      <c r="FC283" s="207" t="str">
        <f t="shared" si="506"/>
        <v/>
      </c>
      <c r="FD283" s="207">
        <f>IF($J283="",#N/A,SUM(FC$4:FC283))</f>
        <v>1.204376144197403</v>
      </c>
      <c r="FE283" s="208" t="str">
        <f t="shared" si="507"/>
        <v/>
      </c>
      <c r="FF283" s="208">
        <f>IF($J283="",#N/A,SUM(FE$4:FE283))</f>
        <v>-0.28811149078748233</v>
      </c>
      <c r="FG283" s="208">
        <f>IF($J283="",#N/A,SUM(FE$4:FE283,FC$4:FC283,FA$4:FA283))</f>
        <v>0.64481154831878851</v>
      </c>
      <c r="FH283" s="200" t="str">
        <f t="shared" si="508"/>
        <v/>
      </c>
      <c r="FI283" s="206">
        <f>IF($J283="",#N/A,SUM(FH$4:FH283))</f>
        <v>0</v>
      </c>
      <c r="FJ283" s="207" t="str">
        <f t="shared" si="509"/>
        <v/>
      </c>
      <c r="FK283" s="207">
        <f>IF($J283="",#N/A,SUM(FJ$4:FJ283))</f>
        <v>0</v>
      </c>
      <c r="FL283" s="208" t="str">
        <f t="shared" si="510"/>
        <v/>
      </c>
      <c r="FM283" s="208">
        <f>IF($J283="",#N/A,SUM(FL$4:FL283))</f>
        <v>0</v>
      </c>
      <c r="FN283" s="208">
        <f>IF($J283="",#N/A,SUM(FL$4:FL283,FJ$4:FJ283,FH$4:FH283))</f>
        <v>0</v>
      </c>
      <c r="FO283" s="200" t="str">
        <f t="shared" si="511"/>
        <v/>
      </c>
      <c r="FP283" s="206">
        <f>IF($J283="",#N/A,SUM(FO$4:FO283))</f>
        <v>0</v>
      </c>
      <c r="FQ283" s="207" t="str">
        <f t="shared" si="512"/>
        <v/>
      </c>
      <c r="FR283" s="207">
        <f>IF($J283="",#N/A,SUM(FQ$4:FQ283))</f>
        <v>0</v>
      </c>
      <c r="FS283" s="208" t="str">
        <f t="shared" si="513"/>
        <v/>
      </c>
      <c r="FT283" s="208">
        <f>IF($J283="",#N/A,SUM(FS$4:FS283))</f>
        <v>0</v>
      </c>
      <c r="FU283" s="208">
        <f>IF($J283="",#N/A,SUM(FS$4:FS283,FQ$4:FQ283,FO$4:FO283))</f>
        <v>0</v>
      </c>
      <c r="FV283" s="200" t="str">
        <f t="shared" si="514"/>
        <v/>
      </c>
      <c r="FW283" s="206">
        <f>IF($J283="",#N/A,SUM(FV$4:FV283))</f>
        <v>6.6834991831277585E-2</v>
      </c>
      <c r="FX283" s="207" t="str">
        <f t="shared" si="515"/>
        <v/>
      </c>
      <c r="FY283" s="207">
        <f>IF($J283="",#N/A,SUM(FX$4:FX283))</f>
        <v>-0.16102012791805576</v>
      </c>
      <c r="FZ283" s="208" t="str">
        <f t="shared" si="516"/>
        <v/>
      </c>
      <c r="GA283" s="208">
        <f>IF($J283="",#N/A,SUM(FZ$4:FZ283))</f>
        <v>-1.1377221770567538</v>
      </c>
      <c r="GB283" s="208">
        <f>IF($J283="",#N/A,SUM(FZ$4:FZ283,FX$4:FX283,FV$4:FV283))</f>
        <v>-1.2319073131435321</v>
      </c>
      <c r="GC283" s="200" t="str">
        <f t="shared" si="517"/>
        <v/>
      </c>
      <c r="GD283" s="206">
        <f>IF($J283="",#N/A,SUM(GC$4:GC283))</f>
        <v>0</v>
      </c>
      <c r="GE283" s="207" t="str">
        <f t="shared" si="518"/>
        <v/>
      </c>
      <c r="GF283" s="207">
        <f>IF($J283="",#N/A,SUM(GE$4:GE283))</f>
        <v>0</v>
      </c>
      <c r="GG283" s="208" t="str">
        <f t="shared" si="519"/>
        <v/>
      </c>
      <c r="GH283" s="208">
        <f>IF($J283="",#N/A,SUM(GG$4:GG283))</f>
        <v>-2.9368362277223206</v>
      </c>
      <c r="GI283" s="208">
        <f>IF($J283="",#N/A,SUM(GG$4:GG283,GE$4:GE283,GC$4:GC283))</f>
        <v>-2.9368362277223206</v>
      </c>
      <c r="GJ283" s="200" t="str">
        <f t="shared" si="520"/>
        <v/>
      </c>
      <c r="GK283" s="206">
        <f>IF($J283="",#N/A,SUM(GJ$4:GJ283))</f>
        <v>0</v>
      </c>
      <c r="GL283" s="207" t="str">
        <f t="shared" si="521"/>
        <v/>
      </c>
      <c r="GM283" s="207">
        <f>IF($J283="",#N/A,SUM(GL$4:GL283))</f>
        <v>-1.6833790887309608</v>
      </c>
      <c r="GN283" s="208" t="str">
        <f t="shared" si="522"/>
        <v/>
      </c>
      <c r="GO283" s="208">
        <f>IF($J283="",#N/A,SUM(GN$4:GN283))</f>
        <v>0</v>
      </c>
      <c r="GP283" s="208">
        <f>IF($J283="",#N/A,SUM(GN$4:GN283,GL$4:GL283,GJ$4:GJ283))</f>
        <v>-1.6833790887309608</v>
      </c>
      <c r="GS283" s="54" t="str">
        <f t="shared" si="541"/>
        <v/>
      </c>
      <c r="GT283" s="54" t="e">
        <f>IF(GS283="",NA(),SUM($GS$4:GS283))</f>
        <v>#N/A</v>
      </c>
      <c r="GU283" s="54" t="str">
        <f t="shared" si="523"/>
        <v/>
      </c>
      <c r="GV283" s="54" t="e">
        <f>IF(GU283="",NA(),SUM($GU$4:GU283))</f>
        <v>#N/A</v>
      </c>
      <c r="GW283" s="54" t="str">
        <f t="shared" si="524"/>
        <v/>
      </c>
      <c r="GX283" s="54" t="e">
        <f>IF(GW283="",NA(),SUM($GW$4:GW283))</f>
        <v>#N/A</v>
      </c>
      <c r="GY283" s="54" t="str">
        <f t="shared" si="525"/>
        <v/>
      </c>
      <c r="GZ283" s="54" t="e">
        <f>IF(GY283="",NA(),SUM($GY$4:GY283))</f>
        <v>#N/A</v>
      </c>
      <c r="HA283" s="54">
        <f t="shared" si="526"/>
        <v>7.1530758226037203E-2</v>
      </c>
      <c r="HB283" s="54">
        <f>IF(HA283="",NA(),SUM($HA$4:HA283))</f>
        <v>4.7422104919548094</v>
      </c>
      <c r="HC283" s="54" t="str">
        <f t="shared" si="527"/>
        <v/>
      </c>
      <c r="HD283" s="54" t="e">
        <f>IF(HC283="",NA(),SUM($HC$4:HC283))</f>
        <v>#N/A</v>
      </c>
      <c r="HE283" s="54" t="str">
        <f t="shared" si="528"/>
        <v/>
      </c>
      <c r="HF283" s="54" t="e">
        <f>IF(HE283="",NA(),SUM($HE$4:HE283))</f>
        <v>#N/A</v>
      </c>
      <c r="HG283" s="54">
        <f t="shared" si="529"/>
        <v>7.1530758226037203E-2</v>
      </c>
      <c r="HH283" s="54">
        <f>IF(HG283="",NA(),SUM($HG$4:HG283))</f>
        <v>6.2803513810498073</v>
      </c>
      <c r="HI283" s="172">
        <f t="shared" si="542"/>
        <v>0.50071530758226046</v>
      </c>
      <c r="HJ283" s="172">
        <f>IF($J283="",#N/A,SUM(HI$4:$HI283))</f>
        <v>-6.1128701907036822</v>
      </c>
      <c r="HK283" s="54" t="str">
        <f t="shared" si="530"/>
        <v/>
      </c>
      <c r="HL283" s="54">
        <f>IF($J283="",#N/A,SUM($HK$4:HK283))</f>
        <v>-1.2198096790435395</v>
      </c>
      <c r="HM283" s="54" t="str">
        <f t="shared" si="531"/>
        <v/>
      </c>
      <c r="HN283" s="54">
        <f>IF($J283="",#N/A,SUM($HM$4:HM283))</f>
        <v>0.6871920272168337</v>
      </c>
      <c r="HO283" s="54" t="str">
        <f t="shared" si="532"/>
        <v/>
      </c>
      <c r="HP283" s="54">
        <f>IF($J283="",#N/A,SUM($HO$4:HO283))</f>
        <v>-1.052184587939049</v>
      </c>
      <c r="HQ283" s="54" t="str">
        <f t="shared" si="533"/>
        <v/>
      </c>
      <c r="HR283" s="54">
        <f>IF($J283="",#N/A,SUM($HQ$4:HQ283))</f>
        <v>-14.877782597833791</v>
      </c>
      <c r="HS283" s="54" t="str">
        <f t="shared" si="534"/>
        <v/>
      </c>
      <c r="HT283" s="54">
        <f>IF($J283="",#N/A,SUM($HS$4:HS283))</f>
        <v>13.992432834598167</v>
      </c>
      <c r="HU283" s="65">
        <f t="shared" si="535"/>
        <v>0.57224606580829762</v>
      </c>
      <c r="HV283" s="65">
        <f>IF($J283="",#N/A,SUM(HU$4:$HU283))</f>
        <v>5.2931108302666416</v>
      </c>
    </row>
    <row r="284" spans="1:230" x14ac:dyDescent="0.25">
      <c r="A284" s="51" t="s">
        <v>248</v>
      </c>
      <c r="B284" s="52" t="s">
        <v>4595</v>
      </c>
      <c r="C284" s="229">
        <f t="shared" si="436"/>
        <v>3</v>
      </c>
      <c r="D284" s="219" t="str">
        <f>_xlfn.XLOOKUP(A284,[1]SP500!$A$2:$A$502,[1]SP500!$D$2:$D$502,"N")</f>
        <v>Y</v>
      </c>
      <c r="E284" s="51" t="str">
        <f>IFERROR(_xlfn.XLOOKUP(A284,[1]SP500!$A$2:$A$655,[1]SP500!$B$2:$B$655),"")</f>
        <v>INS</v>
      </c>
      <c r="F284" s="290">
        <v>45783</v>
      </c>
      <c r="G284" s="51" t="str">
        <f t="shared" si="437"/>
        <v>AMC</v>
      </c>
      <c r="H284" s="51" t="str">
        <f t="shared" si="438"/>
        <v>s</v>
      </c>
      <c r="I284" s="343">
        <v>197.82</v>
      </c>
      <c r="J284" s="123">
        <v>203.06</v>
      </c>
      <c r="K284" s="55">
        <f t="shared" si="439"/>
        <v>2.6488727125669846E-2</v>
      </c>
      <c r="L284" s="67">
        <f t="shared" si="440"/>
        <v>31.440000000000055</v>
      </c>
      <c r="M284" s="57">
        <f t="shared" si="441"/>
        <v>0</v>
      </c>
      <c r="N284" s="102">
        <f t="shared" si="442"/>
        <v>31.440000000000055</v>
      </c>
      <c r="O284" s="57">
        <f>IF(N284="",#N/A,SUM($N$4:N284))</f>
        <v>662.97575430328084</v>
      </c>
      <c r="P284" s="65">
        <f t="shared" si="536"/>
        <v>0.44147878542783081</v>
      </c>
      <c r="Q284" s="172">
        <f>IF($N284="",#N/A,SUM($P$4:P284))</f>
        <v>14.317611809399542</v>
      </c>
      <c r="R284" s="279">
        <f t="shared" si="443"/>
        <v>2.0574648360518211</v>
      </c>
      <c r="S284" s="51" t="str">
        <f t="shared" si="444"/>
        <v>SW</v>
      </c>
      <c r="T284" s="51" t="s">
        <v>2828</v>
      </c>
      <c r="U284" s="56">
        <f t="shared" si="445"/>
        <v>197.82</v>
      </c>
      <c r="V284" s="56" t="s">
        <v>4460</v>
      </c>
      <c r="W284" s="142">
        <v>6</v>
      </c>
      <c r="X284" s="145">
        <f t="shared" si="446"/>
        <v>1186.92</v>
      </c>
      <c r="Y284" s="140">
        <f t="shared" si="447"/>
        <v>6</v>
      </c>
      <c r="Z284" s="123">
        <v>203.06</v>
      </c>
      <c r="AA284" s="102">
        <f t="shared" si="448"/>
        <v>31.440000000000055</v>
      </c>
      <c r="AB284" s="102">
        <f t="shared" si="449"/>
        <v>-4.5599999999999454</v>
      </c>
      <c r="AC284" s="124">
        <v>197.06</v>
      </c>
      <c r="AD284" s="155">
        <f t="shared" si="450"/>
        <v>-4.5599999999999454</v>
      </c>
      <c r="AE284" s="545">
        <f t="shared" si="451"/>
        <v>-6.4031274222356258E-2</v>
      </c>
      <c r="AF284" s="57">
        <f>IF($AC284="",#N/A,SUM(AD$4:AD284))</f>
        <v>218.50980422776809</v>
      </c>
      <c r="AG284" s="102">
        <f t="shared" si="452"/>
        <v>-36</v>
      </c>
      <c r="AH284" s="56" t="s">
        <v>2507</v>
      </c>
      <c r="AI284" s="65">
        <f t="shared" si="453"/>
        <v>0.44147878542783081</v>
      </c>
      <c r="AJ284" s="108">
        <f>IF(AI284="",#N/A,SUM($AI$4:AI284))</f>
        <v>12.260146973347721</v>
      </c>
      <c r="AK284" s="57">
        <f t="shared" si="454"/>
        <v>31.440000000000055</v>
      </c>
      <c r="AL284" s="66">
        <f>IF(AI284="",#N/A,IF(AH284="Skip",SUM($AK$4:AK284),SUM($AK$4:AK284)))</f>
        <v>516.96759149281479</v>
      </c>
      <c r="AM284" s="65">
        <f t="shared" si="537"/>
        <v>-6.4031274222356258E-2</v>
      </c>
      <c r="AN284" s="210"/>
      <c r="AO284" s="65">
        <f t="shared" si="455"/>
        <v>-6.4031274222356258E-2</v>
      </c>
      <c r="AP284" s="65">
        <f>IF($AC284="",#N/A,SUM(AO$4:AO284))</f>
        <v>2.3179491122449436</v>
      </c>
      <c r="AQ284" s="65" t="str">
        <f t="shared" si="456"/>
        <v/>
      </c>
      <c r="AR284" s="65">
        <f>IF($AC284="",#N/A,SUM(AQ$4:AQ284))</f>
        <v>-5.6877420365355587</v>
      </c>
      <c r="AS284" s="65" t="str">
        <f t="shared" si="457"/>
        <v/>
      </c>
      <c r="AT284" s="65">
        <f>IF($AC284="",#N/A,SUM(AS$4:AS284))</f>
        <v>8.598872480334899</v>
      </c>
      <c r="AU284" s="57">
        <f t="shared" si="538"/>
        <v>-4.5599999999999454</v>
      </c>
      <c r="AV284" s="57">
        <f>IF($AC284="",#N/A,SUM(AU$4:AU284))</f>
        <v>15.562490661046581</v>
      </c>
      <c r="AW284" s="57" t="str">
        <f t="shared" si="539"/>
        <v/>
      </c>
      <c r="AX284" s="57">
        <f>IF($AC284="",#N/A,SUM(AW$4:AW284))</f>
        <v>-377.70106797961103</v>
      </c>
      <c r="AY284" s="57" t="str">
        <f t="shared" si="540"/>
        <v/>
      </c>
      <c r="AZ284" s="57">
        <f>IF($AC284="",#N/A,SUM(AY$4:AY284))</f>
        <v>580.64838154633253</v>
      </c>
      <c r="BA284" s="57">
        <f>IF(AD284="",#N/A,SUM($AD$4:AD284))</f>
        <v>218.50980422776809</v>
      </c>
      <c r="BC284" s="51" t="str">
        <f t="shared" si="458"/>
        <v/>
      </c>
      <c r="BD284" s="51" t="str">
        <f t="shared" si="459"/>
        <v/>
      </c>
      <c r="BE284" s="51">
        <f t="shared" si="460"/>
        <v>1</v>
      </c>
      <c r="BF284" s="51" t="str">
        <f t="shared" si="461"/>
        <v>Long</v>
      </c>
      <c r="BG284" s="51" t="str">
        <f t="shared" si="462"/>
        <v/>
      </c>
      <c r="BH284" s="51" t="str">
        <f t="shared" si="463"/>
        <v/>
      </c>
      <c r="BI284" s="51" t="str">
        <f t="shared" si="464"/>
        <v/>
      </c>
      <c r="BK284" s="65">
        <f t="shared" si="435"/>
        <v>6.059746704786708E-2</v>
      </c>
      <c r="BL284" s="65">
        <f t="shared" ref="BL284:BL347" si="543">IFERROR((Q284-Q260)/COUNTA(J260:J284),#N/A)</f>
        <v>-5.0507358017726815E-2</v>
      </c>
      <c r="BM284" s="65">
        <f>IFERROR(Q284/COUNTA($J$4:J284),#N/A)</f>
        <v>5.0952355193592674E-2</v>
      </c>
      <c r="BO284" s="489">
        <f>IF(J284="",#N/A,IF(S284="SW",(COUNTIFS(K$4:$K284,"&gt;0",S$4:$S284,"SW")/COUNTIF(S$4:$S284,"SW")),#N/A))</f>
        <v>0.49629629629629629</v>
      </c>
      <c r="BP284" s="489" t="e">
        <f>IF($J284="",#N/A,IF($S284="DWN",(COUNTIFS($K$4:$K284,"&lt;0",$S$4:$S284,"DWN")/COUNTIF($S$4:$S284,"DWN")),#N/A))</f>
        <v>#N/A</v>
      </c>
      <c r="BQ284" s="489" t="e">
        <f>IF($J284="",#N/A,IF($S284="UP",(COUNTIFS($K$4:$K284,"&gt;0",$S$4:$S284,"UP")/COUNTIF($S$4:$S284,"UP")),#N/A))</f>
        <v>#N/A</v>
      </c>
      <c r="BR284" s="489">
        <f>IF(J284="",#N/A,COUNTIF($K$4:K284,"&gt;0")/COUNT($J$4:J284))</f>
        <v>0.44839857651245552</v>
      </c>
      <c r="BS284" s="65">
        <f t="shared" si="465"/>
        <v>0.44147878542783081</v>
      </c>
      <c r="BT284" s="65" t="str">
        <f t="shared" si="466"/>
        <v/>
      </c>
      <c r="BU284" s="65" t="str">
        <f t="shared" si="467"/>
        <v/>
      </c>
      <c r="BV284" s="65" t="str">
        <f t="shared" si="468"/>
        <v/>
      </c>
      <c r="BW284" s="128" t="str">
        <f t="shared" si="469"/>
        <v/>
      </c>
      <c r="BX284" s="128">
        <f>IF($J284="",#N/A,SUM($BW$4:BW284))</f>
        <v>-351.87317034792864</v>
      </c>
      <c r="BY284" s="131" t="str">
        <f t="shared" si="470"/>
        <v/>
      </c>
      <c r="BZ284" s="131">
        <f>IF($J284="",#N/A,SUM($BY$4:BY284))</f>
        <v>943.78734038933419</v>
      </c>
      <c r="CA284" s="133">
        <f t="shared" si="471"/>
        <v>31.440000000000055</v>
      </c>
      <c r="CB284" s="133">
        <f>IF($J284="",#N/A,SUM($CA$4:CA284))</f>
        <v>71.061584261875282</v>
      </c>
      <c r="CC284" s="194" t="str">
        <f t="shared" si="472"/>
        <v/>
      </c>
      <c r="CD284" s="194">
        <f>IF($J284="",#N/A,SUM($CC$4:CC284))</f>
        <v>-5.3227494758133416</v>
      </c>
      <c r="CE284" s="195" t="str">
        <f t="shared" si="473"/>
        <v/>
      </c>
      <c r="CF284" s="195">
        <f>IF($J284="",#N/A,SUM($CE$4:CE284))</f>
        <v>15.931552350082134</v>
      </c>
      <c r="CG284" s="196">
        <f t="shared" si="474"/>
        <v>0.44147878542783081</v>
      </c>
      <c r="CH284" s="196">
        <f>IF($J284="",#N/A,SUM($CG$4:CG284))</f>
        <v>3.7088089351307563</v>
      </c>
      <c r="CI284" s="200" t="str">
        <f t="shared" si="475"/>
        <v/>
      </c>
      <c r="CJ284" s="203">
        <f>IF($J284="",#N/A,SUM(CI$4:CI284))</f>
        <v>0</v>
      </c>
      <c r="CK284" s="204" t="str">
        <f t="shared" si="476"/>
        <v/>
      </c>
      <c r="CL284" s="204">
        <f>IF($J284="",#N/A,SUM(CK$4:CK284))</f>
        <v>2.3607894150410869</v>
      </c>
      <c r="CM284" s="205" t="str">
        <f t="shared" si="477"/>
        <v/>
      </c>
      <c r="CN284" s="205">
        <f>IF($J284="",#N/A,SUM(CM$4:CM284))</f>
        <v>2.5131182152625313</v>
      </c>
      <c r="CO284" s="205">
        <f>IF($J284="",#N/A,SUM(CM$4:CM284,CK$4:CK284,CI$4:CI284))</f>
        <v>4.8739076303036191</v>
      </c>
      <c r="CP284" s="200" t="str">
        <f t="shared" si="478"/>
        <v/>
      </c>
      <c r="CQ284" s="203">
        <f>IF($J284="",#N/A,SUM(CP$4:CP284))</f>
        <v>-1.1156319314882757</v>
      </c>
      <c r="CR284" s="204" t="str">
        <f t="shared" si="479"/>
        <v/>
      </c>
      <c r="CS284" s="204">
        <f>IF($J284="",#N/A,SUM(CR$4:CR284))</f>
        <v>4.5068274311254326</v>
      </c>
      <c r="CT284" s="205" t="str">
        <f t="shared" si="480"/>
        <v/>
      </c>
      <c r="CU284" s="205">
        <f>IF($J284="",#N/A,SUM(CT$4:CT284))</f>
        <v>-2.9040943753548785</v>
      </c>
      <c r="CV284" s="205">
        <f>IF($J284="",#N/A,SUM(CT$4:CT284,CR$4:CR284,CP$4:CP284))</f>
        <v>0.48710112428227853</v>
      </c>
      <c r="CW284" s="200" t="str">
        <f t="shared" si="481"/>
        <v/>
      </c>
      <c r="CX284" s="203">
        <f>IF($J284="",#N/A,SUM(CW$4:CW284))</f>
        <v>-1.2839616145397621</v>
      </c>
      <c r="CY284" s="204" t="str">
        <f t="shared" si="482"/>
        <v/>
      </c>
      <c r="CZ284" s="204">
        <f>IF($J284="",#N/A,SUM(CY$4:CY284))</f>
        <v>0.37351298702481961</v>
      </c>
      <c r="DA284" s="205" t="str">
        <f t="shared" si="483"/>
        <v/>
      </c>
      <c r="DB284" s="205">
        <f>IF($J284="",#N/A,SUM(DA$4:DA284))</f>
        <v>-1.6929809429332021</v>
      </c>
      <c r="DC284" s="205">
        <f>IF($J284="",#N/A,SUM(DA$4:DA284,CY$4:CY284,CW$4:CW284))</f>
        <v>-2.6034295704481445</v>
      </c>
      <c r="DD284" s="200" t="str">
        <f t="shared" si="484"/>
        <v/>
      </c>
      <c r="DE284" s="203">
        <f>IF($J284="",#N/A,SUM(DD$4:DD284))</f>
        <v>0.24769343410817113</v>
      </c>
      <c r="DF284" s="204" t="str">
        <f t="shared" si="485"/>
        <v/>
      </c>
      <c r="DG284" s="204">
        <f>IF($J284="",#N/A,SUM(DF$4:DF284))</f>
        <v>1.7624645309390978</v>
      </c>
      <c r="DH284" s="205" t="str">
        <f t="shared" si="486"/>
        <v/>
      </c>
      <c r="DI284" s="205">
        <f>IF($J284="",#N/A,SUM(DH$4:DH284))</f>
        <v>-2.7812008102163399</v>
      </c>
      <c r="DJ284" s="205">
        <f>IF($J284="",#N/A,SUM(DH$4:DH284,DF$4:DF284,DD$4:DD284))</f>
        <v>-0.77104284516907118</v>
      </c>
      <c r="DK284" s="200" t="str">
        <f t="shared" si="487"/>
        <v/>
      </c>
      <c r="DL284" s="203">
        <f>IF($J284="",#N/A,SUM(DK$4:DK284))</f>
        <v>-1.2097286851272664</v>
      </c>
      <c r="DM284" s="204" t="str">
        <f t="shared" si="488"/>
        <v/>
      </c>
      <c r="DN284" s="204">
        <f>IF($J284="",#N/A,SUM(DM$4:DM284))</f>
        <v>3.0281848543081331</v>
      </c>
      <c r="DO284" s="205" t="str">
        <f t="shared" si="489"/>
        <v/>
      </c>
      <c r="DP284" s="205">
        <f>IF($J284="",#N/A,SUM(DO$4:DO284))</f>
        <v>2.700331529683047</v>
      </c>
      <c r="DQ284" s="205">
        <f>IF($J284="",#N/A,SUM(DO$4:DO284,DM$4:DM284,DK$4:DK284))</f>
        <v>4.518787698863914</v>
      </c>
      <c r="DR284" s="200" t="str">
        <f t="shared" si="490"/>
        <v/>
      </c>
      <c r="DS284" s="203">
        <f>IF($J284="",#N/A,SUM(DR$4:DR284))</f>
        <v>-0.55950946427675097</v>
      </c>
      <c r="DT284" s="204" t="str">
        <f t="shared" si="491"/>
        <v/>
      </c>
      <c r="DU284" s="204">
        <f>IF($J284="",#N/A,SUM(DT$4:DT284))</f>
        <v>-0.69837848627200172</v>
      </c>
      <c r="DV284" s="205" t="str">
        <f t="shared" si="492"/>
        <v/>
      </c>
      <c r="DW284" s="205">
        <f>IF($J284="",#N/A,SUM(DV$4:DV284))</f>
        <v>-1.5454397913873317</v>
      </c>
      <c r="DX284" s="205">
        <f>IF($J284="",#N/A,SUM(DV$4:DV284,DT$4:DT284,DR$4:DR284))</f>
        <v>-2.803327741936084</v>
      </c>
      <c r="DY284" s="200" t="str">
        <f t="shared" si="493"/>
        <v/>
      </c>
      <c r="DZ284" s="203">
        <f>IF($J284="",#N/A,SUM(DY$4:DY284))</f>
        <v>-1.0460034109943892</v>
      </c>
      <c r="EA284" s="204" t="str">
        <f t="shared" si="494"/>
        <v/>
      </c>
      <c r="EB284" s="204">
        <f>IF($J284="",#N/A,SUM(EA$4:EA284))</f>
        <v>2.468538401202053</v>
      </c>
      <c r="EC284" s="205" t="str">
        <f t="shared" si="495"/>
        <v/>
      </c>
      <c r="ED284" s="205">
        <f>IF($J284="",#N/A,SUM(EC$4:EC284))</f>
        <v>4.5772092731053986</v>
      </c>
      <c r="EE284" s="205">
        <f>IF($J284="",#N/A,SUM(EC$4:EC284,EA$4:EA284,DY$4:DY284))</f>
        <v>5.9997442633130609</v>
      </c>
      <c r="EF284" s="200" t="str">
        <f t="shared" si="496"/>
        <v/>
      </c>
      <c r="EG284" s="203">
        <f>IF($J284="",#N/A,SUM(EF$4:EF284))</f>
        <v>-0.15098969023521425</v>
      </c>
      <c r="EH284" s="204" t="str">
        <f t="shared" si="497"/>
        <v/>
      </c>
      <c r="EI284" s="204">
        <f>IF($J284="",#N/A,SUM(EH$4:EH284))</f>
        <v>-1.9445201344224492</v>
      </c>
      <c r="EJ284" s="205" t="str">
        <f t="shared" si="498"/>
        <v/>
      </c>
      <c r="EK284" s="205">
        <f>IF($J284="",#N/A,SUM(EJ$4:EJ284))</f>
        <v>5.050388173053765</v>
      </c>
      <c r="EL284" s="205">
        <f>IF($J284="",#N/A,SUM(EJ$4:EJ284,EH$4:EH284,EF$4:EF284))</f>
        <v>2.9548783483961012</v>
      </c>
      <c r="EM284" s="200" t="str">
        <f t="shared" si="499"/>
        <v/>
      </c>
      <c r="EN284" s="203">
        <f>IF($J284="",#N/A,SUM(EM$4:EM284))</f>
        <v>0</v>
      </c>
      <c r="EO284" s="204" t="str">
        <f t="shared" si="500"/>
        <v/>
      </c>
      <c r="EP284" s="204">
        <f>IF($J284="",#N/A,SUM(EO$4:EO284))</f>
        <v>2.0574787067554756</v>
      </c>
      <c r="EQ284" s="205" t="str">
        <f t="shared" si="501"/>
        <v/>
      </c>
      <c r="ER284" s="205">
        <f>IF($J284="",#N/A,SUM(EQ$4:EQ284))</f>
        <v>1.441536272249796</v>
      </c>
      <c r="ES284" s="205">
        <f>IF($J284="",#N/A,SUM(EQ$4:EQ284,EO$4:EO284,EM$4:EM284))</f>
        <v>3.4990149790052709</v>
      </c>
      <c r="ET284" s="200" t="str">
        <f t="shared" si="502"/>
        <v/>
      </c>
      <c r="EU284" s="203">
        <f>IF($J284="",#N/A,SUM(ET$4:ET284))</f>
        <v>0</v>
      </c>
      <c r="EV284" s="204" t="str">
        <f t="shared" si="503"/>
        <v/>
      </c>
      <c r="EW284" s="204">
        <f>IF($J284="",#N/A,SUM(EV$4:EV284))</f>
        <v>2.3297323921502326</v>
      </c>
      <c r="EX284" s="205" t="str">
        <f t="shared" si="504"/>
        <v/>
      </c>
      <c r="EY284" s="205">
        <f>IF($J284="",#N/A,SUM(EX$4:EX284))</f>
        <v>0.27113250180669229</v>
      </c>
      <c r="EZ284" s="205">
        <f>IF($J284="",#N/A,SUM(EX$4:EX284,EV$4:EV284,ET$4:ET284))</f>
        <v>2.6008648939569246</v>
      </c>
      <c r="FA284" s="200" t="str">
        <f t="shared" si="505"/>
        <v/>
      </c>
      <c r="FB284" s="203">
        <f>IF($J284="",#N/A,SUM(FA$4:FA284))</f>
        <v>-0.27145310509113252</v>
      </c>
      <c r="FC284" s="204" t="str">
        <f t="shared" si="506"/>
        <v/>
      </c>
      <c r="FD284" s="204">
        <f>IF($J284="",#N/A,SUM(FC$4:FC284))</f>
        <v>1.204376144197403</v>
      </c>
      <c r="FE284" s="205" t="str">
        <f t="shared" si="507"/>
        <v/>
      </c>
      <c r="FF284" s="205">
        <f>IF($J284="",#N/A,SUM(FE$4:FE284))</f>
        <v>-0.28811149078748233</v>
      </c>
      <c r="FG284" s="205">
        <f>IF($J284="",#N/A,SUM(FE$4:FE284,FC$4:FC284,FA$4:FA284))</f>
        <v>0.64481154831878851</v>
      </c>
      <c r="FH284" s="200" t="str">
        <f t="shared" si="508"/>
        <v/>
      </c>
      <c r="FI284" s="203">
        <f>IF($J284="",#N/A,SUM(FH$4:FH284))</f>
        <v>0</v>
      </c>
      <c r="FJ284" s="204" t="str">
        <f t="shared" si="509"/>
        <v/>
      </c>
      <c r="FK284" s="204">
        <f>IF($J284="",#N/A,SUM(FJ$4:FJ284))</f>
        <v>0</v>
      </c>
      <c r="FL284" s="205" t="str">
        <f t="shared" si="510"/>
        <v/>
      </c>
      <c r="FM284" s="205">
        <f>IF($J284="",#N/A,SUM(FL$4:FL284))</f>
        <v>0</v>
      </c>
      <c r="FN284" s="205">
        <f>IF($J284="",#N/A,SUM(FL$4:FL284,FJ$4:FJ284,FH$4:FH284))</f>
        <v>0</v>
      </c>
      <c r="FO284" s="200" t="str">
        <f t="shared" si="511"/>
        <v/>
      </c>
      <c r="FP284" s="203">
        <f>IF($J284="",#N/A,SUM(FO$4:FO284))</f>
        <v>0</v>
      </c>
      <c r="FQ284" s="204" t="str">
        <f t="shared" si="512"/>
        <v/>
      </c>
      <c r="FR284" s="204">
        <f>IF($J284="",#N/A,SUM(FQ$4:FQ284))</f>
        <v>0</v>
      </c>
      <c r="FS284" s="205" t="str">
        <f t="shared" si="513"/>
        <v/>
      </c>
      <c r="FT284" s="205">
        <f>IF($J284="",#N/A,SUM(FS$4:FS284))</f>
        <v>0</v>
      </c>
      <c r="FU284" s="205">
        <f>IF($J284="",#N/A,SUM(FS$4:FS284,FQ$4:FQ284,FO$4:FO284))</f>
        <v>0</v>
      </c>
      <c r="FV284" s="200" t="str">
        <f t="shared" si="514"/>
        <v/>
      </c>
      <c r="FW284" s="203">
        <f>IF($J284="",#N/A,SUM(FV$4:FV284))</f>
        <v>6.6834991831277585E-2</v>
      </c>
      <c r="FX284" s="204" t="str">
        <f t="shared" si="515"/>
        <v/>
      </c>
      <c r="FY284" s="204">
        <f>IF($J284="",#N/A,SUM(FX$4:FX284))</f>
        <v>-0.16102012791805576</v>
      </c>
      <c r="FZ284" s="205">
        <f t="shared" si="516"/>
        <v>0.44147878542783081</v>
      </c>
      <c r="GA284" s="205">
        <f>IF($J284="",#N/A,SUM(FZ$4:FZ284))</f>
        <v>-0.69624339162892301</v>
      </c>
      <c r="GB284" s="205">
        <f>IF($J284="",#N/A,SUM(FZ$4:FZ284,FX$4:FX284,FV$4:FV284))</f>
        <v>-0.79042852771570116</v>
      </c>
      <c r="GC284" s="200" t="str">
        <f t="shared" si="517"/>
        <v/>
      </c>
      <c r="GD284" s="203">
        <f>IF($J284="",#N/A,SUM(GC$4:GC284))</f>
        <v>0</v>
      </c>
      <c r="GE284" s="204" t="str">
        <f t="shared" si="518"/>
        <v/>
      </c>
      <c r="GF284" s="204">
        <f>IF($J284="",#N/A,SUM(GE$4:GE284))</f>
        <v>0</v>
      </c>
      <c r="GG284" s="205" t="str">
        <f t="shared" si="519"/>
        <v/>
      </c>
      <c r="GH284" s="205">
        <f>IF($J284="",#N/A,SUM(GG$4:GG284))</f>
        <v>-2.9368362277223206</v>
      </c>
      <c r="GI284" s="205">
        <f>IF($J284="",#N/A,SUM(GG$4:GG284,GE$4:GE284,GC$4:GC284))</f>
        <v>-2.9368362277223206</v>
      </c>
      <c r="GJ284" s="200" t="str">
        <f t="shared" si="520"/>
        <v/>
      </c>
      <c r="GK284" s="203">
        <f>IF($J284="",#N/A,SUM(GJ$4:GJ284))</f>
        <v>0</v>
      </c>
      <c r="GL284" s="204" t="str">
        <f t="shared" si="521"/>
        <v/>
      </c>
      <c r="GM284" s="204">
        <f>IF($J284="",#N/A,SUM(GL$4:GL284))</f>
        <v>-1.6833790887309608</v>
      </c>
      <c r="GN284" s="205" t="str">
        <f t="shared" si="522"/>
        <v/>
      </c>
      <c r="GO284" s="205">
        <f>IF($J284="",#N/A,SUM(GN$4:GN284))</f>
        <v>0</v>
      </c>
      <c r="GP284" s="205">
        <f>IF($J284="",#N/A,SUM(GN$4:GN284,GL$4:GL284,GJ$4:GJ284))</f>
        <v>-1.6833790887309608</v>
      </c>
      <c r="GS284" s="54">
        <f t="shared" si="541"/>
        <v>0.44147878542783081</v>
      </c>
      <c r="GT284" s="54">
        <f>IF(GS284="",NA(),SUM($GS$4:GS284))</f>
        <v>9.5754013174447312</v>
      </c>
      <c r="GU284" s="54" t="str">
        <f t="shared" si="523"/>
        <v/>
      </c>
      <c r="GV284" s="54" t="e">
        <f>IF(GU284="",NA(),SUM($GU$4:GU284))</f>
        <v>#N/A</v>
      </c>
      <c r="GW284" s="54">
        <f t="shared" si="524"/>
        <v>0.44147878542783081</v>
      </c>
      <c r="GX284" s="54">
        <f>IF(GW284="",NA(),SUM($GW$4:GW284))</f>
        <v>5.2469498242257551</v>
      </c>
      <c r="GY284" s="54" t="str">
        <f t="shared" si="525"/>
        <v/>
      </c>
      <c r="GZ284" s="54" t="e">
        <f>IF(GY284="",NA(),SUM($GY$4:GY284))</f>
        <v>#N/A</v>
      </c>
      <c r="HA284" s="54" t="str">
        <f t="shared" si="526"/>
        <v/>
      </c>
      <c r="HB284" s="54" t="e">
        <f>IF(HA284="",NA(),SUM($HA$4:HA284))</f>
        <v>#N/A</v>
      </c>
      <c r="HC284" s="54" t="str">
        <f t="shared" si="527"/>
        <v/>
      </c>
      <c r="HD284" s="54" t="e">
        <f>IF(HC284="",NA(),SUM($HC$4:HC284))</f>
        <v>#N/A</v>
      </c>
      <c r="HE284" s="54" t="str">
        <f t="shared" si="528"/>
        <v/>
      </c>
      <c r="HF284" s="54" t="e">
        <f>IF(HE284="",NA(),SUM($HE$4:HE284))</f>
        <v>#N/A</v>
      </c>
      <c r="HG284" s="54" t="str">
        <f t="shared" si="529"/>
        <v/>
      </c>
      <c r="HH284" s="54" t="e">
        <f>IF(HG284="",NA(),SUM($HG$4:HG284))</f>
        <v>#N/A</v>
      </c>
      <c r="HI284" s="172" t="str">
        <f t="shared" si="542"/>
        <v/>
      </c>
      <c r="HJ284" s="172">
        <f>IF($J284="",#N/A,SUM(HI$4:$HI284))</f>
        <v>-6.1128701907036822</v>
      </c>
      <c r="HK284" s="54" t="str">
        <f t="shared" si="530"/>
        <v/>
      </c>
      <c r="HL284" s="54">
        <f>IF($J284="",#N/A,SUM($HK$4:HK284))</f>
        <v>-1.2198096790435395</v>
      </c>
      <c r="HM284" s="54" t="str">
        <f t="shared" si="531"/>
        <v/>
      </c>
      <c r="HN284" s="54">
        <f>IF($J284="",#N/A,SUM($HM$4:HM284))</f>
        <v>0.6871920272168337</v>
      </c>
      <c r="HO284" s="54" t="str">
        <f t="shared" si="532"/>
        <v/>
      </c>
      <c r="HP284" s="54">
        <f>IF($J284="",#N/A,SUM($HO$4:HO284))</f>
        <v>-1.052184587939049</v>
      </c>
      <c r="HQ284" s="54">
        <f t="shared" si="533"/>
        <v>-0.50551005965018703</v>
      </c>
      <c r="HR284" s="54">
        <f>IF($J284="",#N/A,SUM($HQ$4:HQ284))</f>
        <v>-15.383292657483977</v>
      </c>
      <c r="HS284" s="54" t="str">
        <f t="shared" si="534"/>
        <v/>
      </c>
      <c r="HT284" s="54">
        <f>IF($J284="",#N/A,SUM($HS$4:HS284))</f>
        <v>13.992432834598167</v>
      </c>
      <c r="HU284" s="65">
        <f t="shared" si="535"/>
        <v>-6.4031274222356258E-2</v>
      </c>
      <c r="HV284" s="65">
        <f>IF($J284="",#N/A,SUM(HU$4:$HU284))</f>
        <v>5.2290795560442858</v>
      </c>
    </row>
    <row r="285" spans="1:230" x14ac:dyDescent="0.25">
      <c r="A285" s="396" t="s">
        <v>743</v>
      </c>
      <c r="B285" s="52" t="s">
        <v>4595</v>
      </c>
      <c r="C285" s="229">
        <f t="shared" si="436"/>
        <v>3</v>
      </c>
      <c r="D285" s="219" t="str">
        <f>_xlfn.XLOOKUP(A285,[1]SP500!$A$2:$A$502,[1]SP500!$D$2:$D$502,"N")</f>
        <v>Y</v>
      </c>
      <c r="E285" s="51" t="str">
        <f>IFERROR(_xlfn.XLOOKUP(A285,[1]SP500!$A$2:$A$655,[1]SP500!$B$2:$B$655),"")</f>
        <v>XLK</v>
      </c>
      <c r="F285" s="290">
        <v>45783</v>
      </c>
      <c r="G285" s="51" t="str">
        <f t="shared" si="437"/>
        <v>AMC</v>
      </c>
      <c r="H285" s="51" t="str">
        <f t="shared" si="438"/>
        <v>s</v>
      </c>
      <c r="I285" s="344">
        <v>90.77</v>
      </c>
      <c r="J285" s="124">
        <v>85.88</v>
      </c>
      <c r="K285" s="55">
        <f t="shared" si="439"/>
        <v>-5.3872424809959248E-2</v>
      </c>
      <c r="L285" s="67">
        <f t="shared" si="440"/>
        <v>-63.569999999999936</v>
      </c>
      <c r="M285" s="57">
        <f t="shared" si="441"/>
        <v>1.6900000000000546</v>
      </c>
      <c r="N285" s="102">
        <f t="shared" si="442"/>
        <v>-63.569999999999936</v>
      </c>
      <c r="O285" s="57">
        <f>IF(N285="",#N/A,SUM($N$4:N285))</f>
        <v>599.4057543032809</v>
      </c>
      <c r="P285" s="65">
        <f t="shared" si="536"/>
        <v>-0.89787374683265297</v>
      </c>
      <c r="Q285" s="172">
        <f>IF($N285="",#N/A,SUM($P$4:P285))</f>
        <v>13.419738062566889</v>
      </c>
      <c r="R285" s="279">
        <f t="shared" si="443"/>
        <v>2.0335949818415457</v>
      </c>
      <c r="S285" s="51" t="str">
        <f t="shared" si="444"/>
        <v>SW</v>
      </c>
      <c r="T285" s="51" t="s">
        <v>2828</v>
      </c>
      <c r="U285" s="56">
        <f t="shared" si="445"/>
        <v>90.77</v>
      </c>
      <c r="V285" s="56" t="s">
        <v>4460</v>
      </c>
      <c r="W285" s="142">
        <v>13</v>
      </c>
      <c r="X285" s="145">
        <f t="shared" si="446"/>
        <v>1180.01</v>
      </c>
      <c r="Y285" s="140">
        <f t="shared" si="447"/>
        <v>13</v>
      </c>
      <c r="Z285" s="123">
        <v>86.01</v>
      </c>
      <c r="AA285" s="102">
        <f t="shared" si="448"/>
        <v>-61.879999999999882</v>
      </c>
      <c r="AB285" s="102">
        <f t="shared" si="449"/>
        <v>-56.159999999999854</v>
      </c>
      <c r="AC285" s="124">
        <v>86.45</v>
      </c>
      <c r="AD285" s="155">
        <f t="shared" si="450"/>
        <v>-56.159999999999854</v>
      </c>
      <c r="AE285" s="545">
        <f t="shared" si="451"/>
        <v>-0.79321361683375358</v>
      </c>
      <c r="AF285" s="57">
        <f>IF($AC285="",#N/A,SUM(AD$4:AD285))</f>
        <v>162.34980422776823</v>
      </c>
      <c r="AG285" s="102">
        <f t="shared" si="452"/>
        <v>7.4100000000000819</v>
      </c>
      <c r="AH285" s="56" t="s">
        <v>2507</v>
      </c>
      <c r="AI285" s="65">
        <f t="shared" si="453"/>
        <v>-0.87400389262237721</v>
      </c>
      <c r="AJ285" s="108">
        <f>IF(AI285="",#N/A,SUM($AI$4:AI285))</f>
        <v>11.386143080725343</v>
      </c>
      <c r="AK285" s="57">
        <f t="shared" si="454"/>
        <v>-61.879999999999882</v>
      </c>
      <c r="AL285" s="66">
        <f>IF(AI285="",#N/A,IF(AH285="Skip",SUM($AK$4:AK285),SUM($AK$4:AK285)))</f>
        <v>455.08759149281491</v>
      </c>
      <c r="AM285" s="65">
        <f t="shared" si="537"/>
        <v>-0.79321361683375358</v>
      </c>
      <c r="AN285" s="210"/>
      <c r="AO285" s="65">
        <f t="shared" si="455"/>
        <v>-0.79321361683375358</v>
      </c>
      <c r="AP285" s="65">
        <f>IF($AC285="",#N/A,SUM(AO$4:AO285))</f>
        <v>1.52473549541119</v>
      </c>
      <c r="AQ285" s="65" t="str">
        <f t="shared" si="456"/>
        <v/>
      </c>
      <c r="AR285" s="65">
        <f>IF($AC285="",#N/A,SUM(AQ$4:AQ285))</f>
        <v>-5.6877420365355587</v>
      </c>
      <c r="AS285" s="65" t="str">
        <f t="shared" si="457"/>
        <v/>
      </c>
      <c r="AT285" s="65">
        <f>IF($AC285="",#N/A,SUM(AS$4:AS285))</f>
        <v>8.598872480334899</v>
      </c>
      <c r="AU285" s="57">
        <f t="shared" si="538"/>
        <v>-56.159999999999854</v>
      </c>
      <c r="AV285" s="57">
        <f>IF($AC285="",#N/A,SUM(AU$4:AU285))</f>
        <v>-40.597509338953273</v>
      </c>
      <c r="AW285" s="57" t="str">
        <f t="shared" si="539"/>
        <v/>
      </c>
      <c r="AX285" s="57">
        <f>IF($AC285="",#N/A,SUM(AW$4:AW285))</f>
        <v>-377.70106797961103</v>
      </c>
      <c r="AY285" s="57" t="str">
        <f t="shared" si="540"/>
        <v/>
      </c>
      <c r="AZ285" s="57">
        <f>IF($AC285="",#N/A,SUM(AY$4:AY285))</f>
        <v>580.64838154633253</v>
      </c>
      <c r="BA285" s="57">
        <f>IF(AD285="",#N/A,SUM($AD$4:AD285))</f>
        <v>162.34980422776823</v>
      </c>
      <c r="BC285" s="51" t="str">
        <f t="shared" si="458"/>
        <v/>
      </c>
      <c r="BD285" s="51" t="str">
        <f t="shared" si="459"/>
        <v/>
      </c>
      <c r="BE285" s="51" t="str">
        <f t="shared" si="460"/>
        <v/>
      </c>
      <c r="BF285" s="51" t="str">
        <f t="shared" si="461"/>
        <v>Long</v>
      </c>
      <c r="BG285" s="51" t="str">
        <f t="shared" si="462"/>
        <v/>
      </c>
      <c r="BH285" s="51" t="str">
        <f t="shared" si="463"/>
        <v/>
      </c>
      <c r="BI285" s="51">
        <f t="shared" si="464"/>
        <v>1</v>
      </c>
      <c r="BK285" s="65">
        <f t="shared" si="435"/>
        <v>2.9244324059331389E-2</v>
      </c>
      <c r="BL285" s="65">
        <f t="shared" si="543"/>
        <v>-2.6849444246100092E-2</v>
      </c>
      <c r="BM285" s="65">
        <f>IFERROR(Q285/COUNTA($J$4:J285),#N/A)</f>
        <v>4.7587723626123721E-2</v>
      </c>
      <c r="BO285" s="489">
        <f>IF(J285="",#N/A,IF(S285="SW",(COUNTIFS(K$4:$K285,"&gt;0",S$4:$S285,"SW")/COUNTIF(S$4:$S285,"SW")),#N/A))</f>
        <v>0.49264705882352944</v>
      </c>
      <c r="BP285" s="489" t="e">
        <f>IF($J285="",#N/A,IF($S285="DWN",(COUNTIFS($K$4:$K285,"&lt;0",$S$4:$S285,"DWN")/COUNTIF($S$4:$S285,"DWN")),#N/A))</f>
        <v>#N/A</v>
      </c>
      <c r="BQ285" s="489" t="e">
        <f>IF($J285="",#N/A,IF($S285="UP",(COUNTIFS($K$4:$K285,"&gt;0",$S$4:$S285,"UP")/COUNTIF($S$4:$S285,"UP")),#N/A))</f>
        <v>#N/A</v>
      </c>
      <c r="BR285" s="489">
        <f>IF(J285="",#N/A,COUNTIF($K$4:K285,"&gt;0")/COUNT($J$4:J285))</f>
        <v>0.44680851063829785</v>
      </c>
      <c r="BS285" s="65" t="str">
        <f t="shared" si="465"/>
        <v/>
      </c>
      <c r="BT285" s="65">
        <f t="shared" si="466"/>
        <v>-0.89787374683265297</v>
      </c>
      <c r="BU285" s="65" t="str">
        <f t="shared" si="467"/>
        <v/>
      </c>
      <c r="BV285" s="65" t="str">
        <f t="shared" si="468"/>
        <v/>
      </c>
      <c r="BW285" s="128" t="str">
        <f t="shared" si="469"/>
        <v/>
      </c>
      <c r="BX285" s="128">
        <f>IF($J285="",#N/A,SUM($BW$4:BW285))</f>
        <v>-351.87317034792864</v>
      </c>
      <c r="BY285" s="131" t="str">
        <f t="shared" si="470"/>
        <v/>
      </c>
      <c r="BZ285" s="131">
        <f>IF($J285="",#N/A,SUM($BY$4:BY285))</f>
        <v>943.78734038933419</v>
      </c>
      <c r="CA285" s="133">
        <f t="shared" si="471"/>
        <v>-63.569999999999936</v>
      </c>
      <c r="CB285" s="133">
        <f>IF($J285="",#N/A,SUM($CA$4:CA285))</f>
        <v>7.4915842618753459</v>
      </c>
      <c r="CC285" s="194" t="str">
        <f t="shared" si="472"/>
        <v/>
      </c>
      <c r="CD285" s="194">
        <f>IF($J285="",#N/A,SUM($CC$4:CC285))</f>
        <v>-5.3227494758133416</v>
      </c>
      <c r="CE285" s="195" t="str">
        <f t="shared" si="473"/>
        <v/>
      </c>
      <c r="CF285" s="195">
        <f>IF($J285="",#N/A,SUM($CE$4:CE285))</f>
        <v>15.931552350082134</v>
      </c>
      <c r="CG285" s="196">
        <f t="shared" si="474"/>
        <v>-0.89787374683265297</v>
      </c>
      <c r="CH285" s="196">
        <f>IF($J285="",#N/A,SUM($CG$4:CG285))</f>
        <v>2.8109351882981031</v>
      </c>
      <c r="CI285" s="200" t="str">
        <f t="shared" si="475"/>
        <v/>
      </c>
      <c r="CJ285" s="203">
        <f>IF($J285="",#N/A,SUM(CI$4:CI285))</f>
        <v>0</v>
      </c>
      <c r="CK285" s="204" t="str">
        <f t="shared" si="476"/>
        <v/>
      </c>
      <c r="CL285" s="204">
        <f>IF($J285="",#N/A,SUM(CK$4:CK285))</f>
        <v>2.3607894150410869</v>
      </c>
      <c r="CM285" s="205">
        <f t="shared" si="477"/>
        <v>-0.89787374683265297</v>
      </c>
      <c r="CN285" s="205">
        <f>IF($J285="",#N/A,SUM(CM$4:CM285))</f>
        <v>1.6152444684298783</v>
      </c>
      <c r="CO285" s="205">
        <f>IF($J285="",#N/A,SUM(CM$4:CM285,CK$4:CK285,CI$4:CI285))</f>
        <v>3.9760338834709654</v>
      </c>
      <c r="CP285" s="200" t="str">
        <f t="shared" si="478"/>
        <v/>
      </c>
      <c r="CQ285" s="203">
        <f>IF($J285="",#N/A,SUM(CP$4:CP285))</f>
        <v>-1.1156319314882757</v>
      </c>
      <c r="CR285" s="204" t="str">
        <f t="shared" si="479"/>
        <v/>
      </c>
      <c r="CS285" s="204">
        <f>IF($J285="",#N/A,SUM(CR$4:CR285))</f>
        <v>4.5068274311254326</v>
      </c>
      <c r="CT285" s="205" t="str">
        <f t="shared" si="480"/>
        <v/>
      </c>
      <c r="CU285" s="205">
        <f>IF($J285="",#N/A,SUM(CT$4:CT285))</f>
        <v>-2.9040943753548785</v>
      </c>
      <c r="CV285" s="205">
        <f>IF($J285="",#N/A,SUM(CT$4:CT285,CR$4:CR285,CP$4:CP285))</f>
        <v>0.48710112428227853</v>
      </c>
      <c r="CW285" s="200" t="str">
        <f t="shared" si="481"/>
        <v/>
      </c>
      <c r="CX285" s="203">
        <f>IF($J285="",#N/A,SUM(CW$4:CW285))</f>
        <v>-1.2839616145397621</v>
      </c>
      <c r="CY285" s="204" t="str">
        <f t="shared" si="482"/>
        <v/>
      </c>
      <c r="CZ285" s="204">
        <f>IF($J285="",#N/A,SUM(CY$4:CY285))</f>
        <v>0.37351298702481961</v>
      </c>
      <c r="DA285" s="205" t="str">
        <f t="shared" si="483"/>
        <v/>
      </c>
      <c r="DB285" s="205">
        <f>IF($J285="",#N/A,SUM(DA$4:DA285))</f>
        <v>-1.6929809429332021</v>
      </c>
      <c r="DC285" s="205">
        <f>IF($J285="",#N/A,SUM(DA$4:DA285,CY$4:CY285,CW$4:CW285))</f>
        <v>-2.6034295704481445</v>
      </c>
      <c r="DD285" s="200" t="str">
        <f t="shared" si="484"/>
        <v/>
      </c>
      <c r="DE285" s="203">
        <f>IF($J285="",#N/A,SUM(DD$4:DD285))</f>
        <v>0.24769343410817113</v>
      </c>
      <c r="DF285" s="204" t="str">
        <f t="shared" si="485"/>
        <v/>
      </c>
      <c r="DG285" s="204">
        <f>IF($J285="",#N/A,SUM(DF$4:DF285))</f>
        <v>1.7624645309390978</v>
      </c>
      <c r="DH285" s="205" t="str">
        <f t="shared" si="486"/>
        <v/>
      </c>
      <c r="DI285" s="205">
        <f>IF($J285="",#N/A,SUM(DH$4:DH285))</f>
        <v>-2.7812008102163399</v>
      </c>
      <c r="DJ285" s="205">
        <f>IF($J285="",#N/A,SUM(DH$4:DH285,DF$4:DF285,DD$4:DD285))</f>
        <v>-0.77104284516907118</v>
      </c>
      <c r="DK285" s="200" t="str">
        <f t="shared" si="487"/>
        <v/>
      </c>
      <c r="DL285" s="203">
        <f>IF($J285="",#N/A,SUM(DK$4:DK285))</f>
        <v>-1.2097286851272664</v>
      </c>
      <c r="DM285" s="204" t="str">
        <f t="shared" si="488"/>
        <v/>
      </c>
      <c r="DN285" s="204">
        <f>IF($J285="",#N/A,SUM(DM$4:DM285))</f>
        <v>3.0281848543081331</v>
      </c>
      <c r="DO285" s="205" t="str">
        <f t="shared" si="489"/>
        <v/>
      </c>
      <c r="DP285" s="205">
        <f>IF($J285="",#N/A,SUM(DO$4:DO285))</f>
        <v>2.700331529683047</v>
      </c>
      <c r="DQ285" s="205">
        <f>IF($J285="",#N/A,SUM(DO$4:DO285,DM$4:DM285,DK$4:DK285))</f>
        <v>4.518787698863914</v>
      </c>
      <c r="DR285" s="200" t="str">
        <f t="shared" si="490"/>
        <v/>
      </c>
      <c r="DS285" s="203">
        <f>IF($J285="",#N/A,SUM(DR$4:DR285))</f>
        <v>-0.55950946427675097</v>
      </c>
      <c r="DT285" s="204" t="str">
        <f t="shared" si="491"/>
        <v/>
      </c>
      <c r="DU285" s="204">
        <f>IF($J285="",#N/A,SUM(DT$4:DT285))</f>
        <v>-0.69837848627200172</v>
      </c>
      <c r="DV285" s="205" t="str">
        <f t="shared" si="492"/>
        <v/>
      </c>
      <c r="DW285" s="205">
        <f>IF($J285="",#N/A,SUM(DV$4:DV285))</f>
        <v>-1.5454397913873317</v>
      </c>
      <c r="DX285" s="205">
        <f>IF($J285="",#N/A,SUM(DV$4:DV285,DT$4:DT285,DR$4:DR285))</f>
        <v>-2.803327741936084</v>
      </c>
      <c r="DY285" s="200" t="str">
        <f t="shared" si="493"/>
        <v/>
      </c>
      <c r="DZ285" s="203">
        <f>IF($J285="",#N/A,SUM(DY$4:DY285))</f>
        <v>-1.0460034109943892</v>
      </c>
      <c r="EA285" s="204" t="str">
        <f t="shared" si="494"/>
        <v/>
      </c>
      <c r="EB285" s="204">
        <f>IF($J285="",#N/A,SUM(EA$4:EA285))</f>
        <v>2.468538401202053</v>
      </c>
      <c r="EC285" s="205" t="str">
        <f t="shared" si="495"/>
        <v/>
      </c>
      <c r="ED285" s="205">
        <f>IF($J285="",#N/A,SUM(EC$4:EC285))</f>
        <v>4.5772092731053986</v>
      </c>
      <c r="EE285" s="205">
        <f>IF($J285="",#N/A,SUM(EC$4:EC285,EA$4:EA285,DY$4:DY285))</f>
        <v>5.9997442633130609</v>
      </c>
      <c r="EF285" s="200" t="str">
        <f t="shared" si="496"/>
        <v/>
      </c>
      <c r="EG285" s="203">
        <f>IF($J285="",#N/A,SUM(EF$4:EF285))</f>
        <v>-0.15098969023521425</v>
      </c>
      <c r="EH285" s="204" t="str">
        <f t="shared" si="497"/>
        <v/>
      </c>
      <c r="EI285" s="204">
        <f>IF($J285="",#N/A,SUM(EH$4:EH285))</f>
        <v>-1.9445201344224492</v>
      </c>
      <c r="EJ285" s="205" t="str">
        <f t="shared" si="498"/>
        <v/>
      </c>
      <c r="EK285" s="205">
        <f>IF($J285="",#N/A,SUM(EJ$4:EJ285))</f>
        <v>5.050388173053765</v>
      </c>
      <c r="EL285" s="205">
        <f>IF($J285="",#N/A,SUM(EJ$4:EJ285,EH$4:EH285,EF$4:EF285))</f>
        <v>2.9548783483961012</v>
      </c>
      <c r="EM285" s="200" t="str">
        <f t="shared" si="499"/>
        <v/>
      </c>
      <c r="EN285" s="203">
        <f>IF($J285="",#N/A,SUM(EM$4:EM285))</f>
        <v>0</v>
      </c>
      <c r="EO285" s="204" t="str">
        <f t="shared" si="500"/>
        <v/>
      </c>
      <c r="EP285" s="204">
        <f>IF($J285="",#N/A,SUM(EO$4:EO285))</f>
        <v>2.0574787067554756</v>
      </c>
      <c r="EQ285" s="205" t="str">
        <f t="shared" si="501"/>
        <v/>
      </c>
      <c r="ER285" s="205">
        <f>IF($J285="",#N/A,SUM(EQ$4:EQ285))</f>
        <v>1.441536272249796</v>
      </c>
      <c r="ES285" s="205">
        <f>IF($J285="",#N/A,SUM(EQ$4:EQ285,EO$4:EO285,EM$4:EM285))</f>
        <v>3.4990149790052709</v>
      </c>
      <c r="ET285" s="200" t="str">
        <f t="shared" si="502"/>
        <v/>
      </c>
      <c r="EU285" s="203">
        <f>IF($J285="",#N/A,SUM(ET$4:ET285))</f>
        <v>0</v>
      </c>
      <c r="EV285" s="204" t="str">
        <f t="shared" si="503"/>
        <v/>
      </c>
      <c r="EW285" s="204">
        <f>IF($J285="",#N/A,SUM(EV$4:EV285))</f>
        <v>2.3297323921502326</v>
      </c>
      <c r="EX285" s="205" t="str">
        <f t="shared" si="504"/>
        <v/>
      </c>
      <c r="EY285" s="205">
        <f>IF($J285="",#N/A,SUM(EX$4:EX285))</f>
        <v>0.27113250180669229</v>
      </c>
      <c r="EZ285" s="205">
        <f>IF($J285="",#N/A,SUM(EX$4:EX285,EV$4:EV285,ET$4:ET285))</f>
        <v>2.6008648939569246</v>
      </c>
      <c r="FA285" s="200" t="str">
        <f t="shared" si="505"/>
        <v/>
      </c>
      <c r="FB285" s="203">
        <f>IF($J285="",#N/A,SUM(FA$4:FA285))</f>
        <v>-0.27145310509113252</v>
      </c>
      <c r="FC285" s="204" t="str">
        <f t="shared" si="506"/>
        <v/>
      </c>
      <c r="FD285" s="204">
        <f>IF($J285="",#N/A,SUM(FC$4:FC285))</f>
        <v>1.204376144197403</v>
      </c>
      <c r="FE285" s="205" t="str">
        <f t="shared" si="507"/>
        <v/>
      </c>
      <c r="FF285" s="205">
        <f>IF($J285="",#N/A,SUM(FE$4:FE285))</f>
        <v>-0.28811149078748233</v>
      </c>
      <c r="FG285" s="205">
        <f>IF($J285="",#N/A,SUM(FE$4:FE285,FC$4:FC285,FA$4:FA285))</f>
        <v>0.64481154831878851</v>
      </c>
      <c r="FH285" s="200" t="str">
        <f t="shared" si="508"/>
        <v/>
      </c>
      <c r="FI285" s="203">
        <f>IF($J285="",#N/A,SUM(FH$4:FH285))</f>
        <v>0</v>
      </c>
      <c r="FJ285" s="204" t="str">
        <f t="shared" si="509"/>
        <v/>
      </c>
      <c r="FK285" s="204">
        <f>IF($J285="",#N/A,SUM(FJ$4:FJ285))</f>
        <v>0</v>
      </c>
      <c r="FL285" s="205" t="str">
        <f t="shared" si="510"/>
        <v/>
      </c>
      <c r="FM285" s="205">
        <f>IF($J285="",#N/A,SUM(FL$4:FL285))</f>
        <v>0</v>
      </c>
      <c r="FN285" s="205">
        <f>IF($J285="",#N/A,SUM(FL$4:FL285,FJ$4:FJ285,FH$4:FH285))</f>
        <v>0</v>
      </c>
      <c r="FO285" s="200" t="str">
        <f t="shared" si="511"/>
        <v/>
      </c>
      <c r="FP285" s="203">
        <f>IF($J285="",#N/A,SUM(FO$4:FO285))</f>
        <v>0</v>
      </c>
      <c r="FQ285" s="204" t="str">
        <f t="shared" si="512"/>
        <v/>
      </c>
      <c r="FR285" s="204">
        <f>IF($J285="",#N/A,SUM(FQ$4:FQ285))</f>
        <v>0</v>
      </c>
      <c r="FS285" s="205" t="str">
        <f t="shared" si="513"/>
        <v/>
      </c>
      <c r="FT285" s="205">
        <f>IF($J285="",#N/A,SUM(FS$4:FS285))</f>
        <v>0</v>
      </c>
      <c r="FU285" s="205">
        <f>IF($J285="",#N/A,SUM(FS$4:FS285,FQ$4:FQ285,FO$4:FO285))</f>
        <v>0</v>
      </c>
      <c r="FV285" s="200" t="str">
        <f t="shared" si="514"/>
        <v/>
      </c>
      <c r="FW285" s="203">
        <f>IF($J285="",#N/A,SUM(FV$4:FV285))</f>
        <v>6.6834991831277585E-2</v>
      </c>
      <c r="FX285" s="204" t="str">
        <f t="shared" si="515"/>
        <v/>
      </c>
      <c r="FY285" s="204">
        <f>IF($J285="",#N/A,SUM(FX$4:FX285))</f>
        <v>-0.16102012791805576</v>
      </c>
      <c r="FZ285" s="205" t="str">
        <f t="shared" si="516"/>
        <v/>
      </c>
      <c r="GA285" s="205">
        <f>IF($J285="",#N/A,SUM(FZ$4:FZ285))</f>
        <v>-0.69624339162892301</v>
      </c>
      <c r="GB285" s="205">
        <f>IF($J285="",#N/A,SUM(FZ$4:FZ285,FX$4:FX285,FV$4:FV285))</f>
        <v>-0.79042852771570116</v>
      </c>
      <c r="GC285" s="200" t="str">
        <f t="shared" si="517"/>
        <v/>
      </c>
      <c r="GD285" s="203">
        <f>IF($J285="",#N/A,SUM(GC$4:GC285))</f>
        <v>0</v>
      </c>
      <c r="GE285" s="204" t="str">
        <f t="shared" si="518"/>
        <v/>
      </c>
      <c r="GF285" s="204">
        <f>IF($J285="",#N/A,SUM(GE$4:GE285))</f>
        <v>0</v>
      </c>
      <c r="GG285" s="205" t="str">
        <f t="shared" si="519"/>
        <v/>
      </c>
      <c r="GH285" s="205">
        <f>IF($J285="",#N/A,SUM(GG$4:GG285))</f>
        <v>-2.9368362277223206</v>
      </c>
      <c r="GI285" s="205">
        <f>IF($J285="",#N/A,SUM(GG$4:GG285,GE$4:GE285,GC$4:GC285))</f>
        <v>-2.9368362277223206</v>
      </c>
      <c r="GJ285" s="200" t="str">
        <f t="shared" si="520"/>
        <v/>
      </c>
      <c r="GK285" s="203">
        <f>IF($J285="",#N/A,SUM(GJ$4:GJ285))</f>
        <v>0</v>
      </c>
      <c r="GL285" s="204" t="str">
        <f t="shared" si="521"/>
        <v/>
      </c>
      <c r="GM285" s="204">
        <f>IF($J285="",#N/A,SUM(GL$4:GL285))</f>
        <v>-1.6833790887309608</v>
      </c>
      <c r="GN285" s="205" t="str">
        <f t="shared" si="522"/>
        <v/>
      </c>
      <c r="GO285" s="205">
        <f>IF($J285="",#N/A,SUM(GN$4:GN285))</f>
        <v>0</v>
      </c>
      <c r="GP285" s="205">
        <f>IF($J285="",#N/A,SUM(GN$4:GN285,GL$4:GL285,GJ$4:GJ285))</f>
        <v>-1.6833790887309608</v>
      </c>
      <c r="GS285" s="54">
        <f t="shared" si="541"/>
        <v>-0.89787374683265297</v>
      </c>
      <c r="GT285" s="54">
        <f>IF(GS285="",NA(),SUM($GS$4:GS285))</f>
        <v>8.677527570612078</v>
      </c>
      <c r="GU285" s="54" t="str">
        <f t="shared" si="523"/>
        <v/>
      </c>
      <c r="GV285" s="54" t="e">
        <f>IF(GU285="",NA(),SUM($GU$4:GU285))</f>
        <v>#N/A</v>
      </c>
      <c r="GW285" s="54">
        <f t="shared" si="524"/>
        <v>-0.89787374683265297</v>
      </c>
      <c r="GX285" s="54">
        <f>IF(GW285="",NA(),SUM($GW$4:GW285))</f>
        <v>4.3490760773931019</v>
      </c>
      <c r="GY285" s="54" t="str">
        <f t="shared" si="525"/>
        <v/>
      </c>
      <c r="GZ285" s="54" t="e">
        <f>IF(GY285="",NA(),SUM($GY$4:GY285))</f>
        <v>#N/A</v>
      </c>
      <c r="HA285" s="54" t="str">
        <f t="shared" si="526"/>
        <v/>
      </c>
      <c r="HB285" s="54" t="e">
        <f>IF(HA285="",NA(),SUM($HA$4:HA285))</f>
        <v>#N/A</v>
      </c>
      <c r="HC285" s="54" t="str">
        <f t="shared" si="527"/>
        <v/>
      </c>
      <c r="HD285" s="54" t="e">
        <f>IF(HC285="",NA(),SUM($HC$4:HC285))</f>
        <v>#N/A</v>
      </c>
      <c r="HE285" s="54" t="str">
        <f t="shared" si="528"/>
        <v/>
      </c>
      <c r="HF285" s="54" t="e">
        <f>IF(HE285="",NA(),SUM($HE$4:HE285))</f>
        <v>#N/A</v>
      </c>
      <c r="HG285" s="54" t="str">
        <f t="shared" si="529"/>
        <v/>
      </c>
      <c r="HH285" s="54" t="e">
        <f>IF(HG285="",NA(),SUM($HG$4:HG285))</f>
        <v>#N/A</v>
      </c>
      <c r="HI285" s="172" t="str">
        <f t="shared" si="542"/>
        <v/>
      </c>
      <c r="HJ285" s="172">
        <f>IF($J285="",#N/A,SUM(HI$4:$HI285))</f>
        <v>-6.1128701907036822</v>
      </c>
      <c r="HK285" s="54" t="str">
        <f t="shared" si="530"/>
        <v/>
      </c>
      <c r="HL285" s="54">
        <f>IF($J285="",#N/A,SUM($HK$4:HK285))</f>
        <v>-1.2198096790435395</v>
      </c>
      <c r="HM285" s="54" t="str">
        <f t="shared" si="531"/>
        <v/>
      </c>
      <c r="HN285" s="54">
        <f>IF($J285="",#N/A,SUM($HM$4:HM285))</f>
        <v>0.6871920272168337</v>
      </c>
      <c r="HO285" s="54" t="str">
        <f t="shared" si="532"/>
        <v/>
      </c>
      <c r="HP285" s="54">
        <f>IF($J285="",#N/A,SUM($HO$4:HO285))</f>
        <v>-1.052184587939049</v>
      </c>
      <c r="HQ285" s="54" t="str">
        <f t="shared" si="533"/>
        <v/>
      </c>
      <c r="HR285" s="54">
        <f>IF($J285="",#N/A,SUM($HQ$4:HQ285))</f>
        <v>-15.383292657483977</v>
      </c>
      <c r="HS285" s="54">
        <f t="shared" si="534"/>
        <v>0.1046601299988994</v>
      </c>
      <c r="HT285" s="54">
        <f>IF($J285="",#N/A,SUM($HS$4:HS285))</f>
        <v>14.097092964597067</v>
      </c>
      <c r="HU285" s="65">
        <f t="shared" si="535"/>
        <v>-0.79321361683375358</v>
      </c>
      <c r="HV285" s="65">
        <f>IF($J285="",#N/A,SUM(HU$4:$HU285))</f>
        <v>4.4358659392105322</v>
      </c>
    </row>
    <row r="286" spans="1:230" x14ac:dyDescent="0.25">
      <c r="A286" s="51" t="s">
        <v>703</v>
      </c>
      <c r="B286" s="52" t="s">
        <v>4595</v>
      </c>
      <c r="C286" s="229">
        <f t="shared" si="436"/>
        <v>2</v>
      </c>
      <c r="D286" s="219" t="str">
        <f>_xlfn.XLOOKUP(A286,[1]SP500!$A$2:$A$502,[1]SP500!$D$2:$D$502,"N")</f>
        <v>Y</v>
      </c>
      <c r="E286" s="51" t="str">
        <f>IFERROR(_xlfn.XLOOKUP(A286,[1]SP500!$A$2:$A$655,[1]SP500!$B$2:$B$655),"")</f>
        <v>XLF</v>
      </c>
      <c r="F286" s="290">
        <v>45783</v>
      </c>
      <c r="G286" s="51" t="str">
        <f t="shared" si="437"/>
        <v>AMC</v>
      </c>
      <c r="H286" s="51" t="str">
        <f t="shared" si="438"/>
        <v>s</v>
      </c>
      <c r="I286" s="344">
        <v>326.29000000000002</v>
      </c>
      <c r="J286" s="124">
        <v>316.68</v>
      </c>
      <c r="K286" s="55">
        <f t="shared" si="439"/>
        <v>-2.9452327683962158E-2</v>
      </c>
      <c r="L286" s="67">
        <f t="shared" si="440"/>
        <v>48.049999999999955</v>
      </c>
      <c r="M286" s="57">
        <f t="shared" si="441"/>
        <v>0</v>
      </c>
      <c r="N286" s="102">
        <f t="shared" si="442"/>
        <v>48.049999999999955</v>
      </c>
      <c r="O286" s="57">
        <f>IF(N286="",#N/A,SUM($N$4:N286))</f>
        <v>647.45575430328086</v>
      </c>
      <c r="P286" s="65">
        <f t="shared" si="536"/>
        <v>0.49087212806603486</v>
      </c>
      <c r="Q286" s="172">
        <f>IF($N286="",#N/A,SUM($P$4:P286))</f>
        <v>13.910610190632925</v>
      </c>
      <c r="R286" s="279">
        <f t="shared" si="443"/>
        <v>2.0335949818415457</v>
      </c>
      <c r="S286" s="51" t="str">
        <f t="shared" si="444"/>
        <v>Dwn</v>
      </c>
      <c r="T286" s="51" t="s">
        <v>4462</v>
      </c>
      <c r="U286" s="56">
        <f t="shared" si="445"/>
        <v>326.29000000000002</v>
      </c>
      <c r="V286" s="56" t="s">
        <v>4458</v>
      </c>
      <c r="W286" s="142">
        <v>5</v>
      </c>
      <c r="X286" s="145">
        <f t="shared" si="446"/>
        <v>1631.45</v>
      </c>
      <c r="Y286" s="140">
        <f t="shared" si="447"/>
        <v>5</v>
      </c>
      <c r="Z286" s="123">
        <v>316.68</v>
      </c>
      <c r="AA286" s="102">
        <f t="shared" si="448"/>
        <v>48.049999999999955</v>
      </c>
      <c r="AB286" s="102">
        <f t="shared" si="449"/>
        <v>2.2000000000000455</v>
      </c>
      <c r="AC286" s="124">
        <v>325.85000000000002</v>
      </c>
      <c r="AD286" s="155">
        <f t="shared" si="450"/>
        <v>2.2000000000000455</v>
      </c>
      <c r="AE286" s="545">
        <f t="shared" si="451"/>
        <v>2.2474894521234131E-2</v>
      </c>
      <c r="AF286" s="57">
        <f>IF($AC286="",#N/A,SUM(AD$4:AD286))</f>
        <v>164.54980422776828</v>
      </c>
      <c r="AG286" s="102">
        <f t="shared" si="452"/>
        <v>-45.849999999999909</v>
      </c>
      <c r="AH286" s="56" t="s">
        <v>2507</v>
      </c>
      <c r="AI286" s="65">
        <f t="shared" si="453"/>
        <v>0.49087212806603486</v>
      </c>
      <c r="AJ286" s="108">
        <f>IF(AI286="",#N/A,SUM($AI$4:AI286))</f>
        <v>11.877015208791379</v>
      </c>
      <c r="AK286" s="57">
        <f t="shared" si="454"/>
        <v>48.049999999999955</v>
      </c>
      <c r="AL286" s="66">
        <f>IF(AI286="",#N/A,IF(AH286="Skip",SUM($AK$4:AK286),SUM($AK$4:AK286)))</f>
        <v>503.13759149281486</v>
      </c>
      <c r="AM286" s="65">
        <f t="shared" si="537"/>
        <v>2.2474894521234131E-2</v>
      </c>
      <c r="AN286" s="210"/>
      <c r="AO286" s="65" t="str">
        <f t="shared" si="455"/>
        <v/>
      </c>
      <c r="AP286" s="65">
        <f>IF($AC286="",#N/A,SUM(AO$4:AO286))</f>
        <v>1.52473549541119</v>
      </c>
      <c r="AQ286" s="65" t="str">
        <f t="shared" si="456"/>
        <v/>
      </c>
      <c r="AR286" s="65">
        <f>IF($AC286="",#N/A,SUM(AQ$4:AQ286))</f>
        <v>-5.6877420365355587</v>
      </c>
      <c r="AS286" s="65">
        <f t="shared" si="457"/>
        <v>2.2474894521234131E-2</v>
      </c>
      <c r="AT286" s="65">
        <f>IF($AC286="",#N/A,SUM(AS$4:AS286))</f>
        <v>8.6213473748561338</v>
      </c>
      <c r="AU286" s="57" t="str">
        <f t="shared" si="538"/>
        <v/>
      </c>
      <c r="AV286" s="57">
        <f>IF($AC286="",#N/A,SUM(AU$4:AU286))</f>
        <v>-40.597509338953273</v>
      </c>
      <c r="AW286" s="57" t="str">
        <f t="shared" si="539"/>
        <v/>
      </c>
      <c r="AX286" s="57">
        <f>IF($AC286="",#N/A,SUM(AW$4:AW286))</f>
        <v>-377.70106797961103</v>
      </c>
      <c r="AY286" s="57">
        <f t="shared" si="540"/>
        <v>2.2000000000000455</v>
      </c>
      <c r="AZ286" s="57">
        <f>IF($AC286="",#N/A,SUM(AY$4:AY286))</f>
        <v>582.84838154633258</v>
      </c>
      <c r="BA286" s="57">
        <f>IF(AD286="",#N/A,SUM($AD$4:AD286))</f>
        <v>164.54980422776828</v>
      </c>
      <c r="BC286" s="51" t="str">
        <f t="shared" si="458"/>
        <v/>
      </c>
      <c r="BD286" s="51" t="str">
        <f t="shared" si="459"/>
        <v/>
      </c>
      <c r="BE286" s="51" t="str">
        <f t="shared" si="460"/>
        <v/>
      </c>
      <c r="BF286" s="51" t="str">
        <f t="shared" si="461"/>
        <v>Short</v>
      </c>
      <c r="BG286" s="51">
        <f t="shared" si="462"/>
        <v>1</v>
      </c>
      <c r="BH286" s="51" t="str">
        <f t="shared" si="463"/>
        <v/>
      </c>
      <c r="BI286" s="51" t="str">
        <f t="shared" si="464"/>
        <v/>
      </c>
      <c r="BK286" s="65">
        <f t="shared" si="435"/>
        <v>2.9993709205283353E-2</v>
      </c>
      <c r="BL286" s="65">
        <f t="shared" si="543"/>
        <v>3.6435650801866616E-3</v>
      </c>
      <c r="BM286" s="65">
        <f>IFERROR(Q286/COUNTA($J$4:J286),#N/A)</f>
        <v>4.9154099613543903E-2</v>
      </c>
      <c r="BO286" s="489" t="e">
        <f>IF(J286="",#N/A,IF(S286="SW",(COUNTIFS(K$4:$K286,"&gt;0",S$4:$S286,"SW")/COUNTIF(S$4:$S286,"SW")),#N/A))</f>
        <v>#N/A</v>
      </c>
      <c r="BP286" s="489">
        <f>IF($J286="",#N/A,IF($S286="DWN",(COUNTIFS($K$4:$K286,"&lt;0",$S$4:$S286,"DWN")/COUNTIF($S$4:$S286,"DWN")),#N/A))</f>
        <v>0.59230769230769231</v>
      </c>
      <c r="BQ286" s="489" t="e">
        <f>IF($J286="",#N/A,IF($S286="UP",(COUNTIFS($K$4:$K286,"&gt;0",$S$4:$S286,"UP")/COUNTIF($S$4:$S286,"UP")),#N/A))</f>
        <v>#N/A</v>
      </c>
      <c r="BR286" s="489">
        <f>IF(J286="",#N/A,COUNTIF($K$4:K286,"&gt;0")/COUNT($J$4:J286))</f>
        <v>0.44522968197879859</v>
      </c>
      <c r="BS286" s="65" t="str">
        <f t="shared" si="465"/>
        <v/>
      </c>
      <c r="BT286" s="65" t="str">
        <f t="shared" si="466"/>
        <v/>
      </c>
      <c r="BU286" s="65">
        <f t="shared" si="467"/>
        <v>0.49087212806603486</v>
      </c>
      <c r="BV286" s="65" t="str">
        <f t="shared" si="468"/>
        <v/>
      </c>
      <c r="BW286" s="128" t="str">
        <f t="shared" si="469"/>
        <v/>
      </c>
      <c r="BX286" s="128">
        <f>IF($J286="",#N/A,SUM($BW$4:BW286))</f>
        <v>-351.87317034792864</v>
      </c>
      <c r="BY286" s="131">
        <f t="shared" si="470"/>
        <v>48.049999999999955</v>
      </c>
      <c r="BZ286" s="131">
        <f>IF($J286="",#N/A,SUM($BY$4:BY286))</f>
        <v>991.83734038933414</v>
      </c>
      <c r="CA286" s="133" t="str">
        <f t="shared" si="471"/>
        <v/>
      </c>
      <c r="CB286" s="133">
        <f>IF($J286="",#N/A,SUM($CA$4:CA286))</f>
        <v>7.4915842618753459</v>
      </c>
      <c r="CC286" s="194" t="str">
        <f t="shared" si="472"/>
        <v/>
      </c>
      <c r="CD286" s="194">
        <f>IF($J286="",#N/A,SUM($CC$4:CC286))</f>
        <v>-5.3227494758133416</v>
      </c>
      <c r="CE286" s="195">
        <f t="shared" si="473"/>
        <v>0.49087212806603486</v>
      </c>
      <c r="CF286" s="195">
        <f>IF($J286="",#N/A,SUM($CE$4:CE286))</f>
        <v>16.422424478148169</v>
      </c>
      <c r="CG286" s="196" t="str">
        <f t="shared" si="474"/>
        <v/>
      </c>
      <c r="CH286" s="196">
        <f>IF($J286="",#N/A,SUM($CG$4:CG286))</f>
        <v>2.8109351882981031</v>
      </c>
      <c r="CI286" s="200" t="str">
        <f t="shared" si="475"/>
        <v/>
      </c>
      <c r="CJ286" s="203">
        <f>IF($J286="",#N/A,SUM(CI$4:CI286))</f>
        <v>0</v>
      </c>
      <c r="CK286" s="204" t="str">
        <f t="shared" si="476"/>
        <v/>
      </c>
      <c r="CL286" s="204">
        <f>IF($J286="",#N/A,SUM(CK$4:CK286))</f>
        <v>2.3607894150410869</v>
      </c>
      <c r="CM286" s="205" t="str">
        <f t="shared" si="477"/>
        <v/>
      </c>
      <c r="CN286" s="205">
        <f>IF($J286="",#N/A,SUM(CM$4:CM286))</f>
        <v>1.6152444684298783</v>
      </c>
      <c r="CO286" s="205">
        <f>IF($J286="",#N/A,SUM(CM$4:CM286,CK$4:CK286,CI$4:CI286))</f>
        <v>3.9760338834709654</v>
      </c>
      <c r="CP286" s="200" t="str">
        <f t="shared" si="478"/>
        <v/>
      </c>
      <c r="CQ286" s="203">
        <f>IF($J286="",#N/A,SUM(CP$4:CP286))</f>
        <v>-1.1156319314882757</v>
      </c>
      <c r="CR286" s="204" t="str">
        <f t="shared" si="479"/>
        <v/>
      </c>
      <c r="CS286" s="204">
        <f>IF($J286="",#N/A,SUM(CR$4:CR286))</f>
        <v>4.5068274311254326</v>
      </c>
      <c r="CT286" s="205" t="str">
        <f t="shared" si="480"/>
        <v/>
      </c>
      <c r="CU286" s="205">
        <f>IF($J286="",#N/A,SUM(CT$4:CT286))</f>
        <v>-2.9040943753548785</v>
      </c>
      <c r="CV286" s="205">
        <f>IF($J286="",#N/A,SUM(CT$4:CT286,CR$4:CR286,CP$4:CP286))</f>
        <v>0.48710112428227853</v>
      </c>
      <c r="CW286" s="200" t="str">
        <f t="shared" si="481"/>
        <v/>
      </c>
      <c r="CX286" s="203">
        <f>IF($J286="",#N/A,SUM(CW$4:CW286))</f>
        <v>-1.2839616145397621</v>
      </c>
      <c r="CY286" s="204" t="str">
        <f t="shared" si="482"/>
        <v/>
      </c>
      <c r="CZ286" s="204">
        <f>IF($J286="",#N/A,SUM(CY$4:CY286))</f>
        <v>0.37351298702481961</v>
      </c>
      <c r="DA286" s="205" t="str">
        <f t="shared" si="483"/>
        <v/>
      </c>
      <c r="DB286" s="205">
        <f>IF($J286="",#N/A,SUM(DA$4:DA286))</f>
        <v>-1.6929809429332021</v>
      </c>
      <c r="DC286" s="205">
        <f>IF($J286="",#N/A,SUM(DA$4:DA286,CY$4:CY286,CW$4:CW286))</f>
        <v>-2.6034295704481445</v>
      </c>
      <c r="DD286" s="200" t="str">
        <f t="shared" si="484"/>
        <v/>
      </c>
      <c r="DE286" s="203">
        <f>IF($J286="",#N/A,SUM(DD$4:DD286))</f>
        <v>0.24769343410817113</v>
      </c>
      <c r="DF286" s="204" t="str">
        <f t="shared" si="485"/>
        <v/>
      </c>
      <c r="DG286" s="204">
        <f>IF($J286="",#N/A,SUM(DF$4:DF286))</f>
        <v>1.7624645309390978</v>
      </c>
      <c r="DH286" s="205" t="str">
        <f t="shared" si="486"/>
        <v/>
      </c>
      <c r="DI286" s="205">
        <f>IF($J286="",#N/A,SUM(DH$4:DH286))</f>
        <v>-2.7812008102163399</v>
      </c>
      <c r="DJ286" s="205">
        <f>IF($J286="",#N/A,SUM(DH$4:DH286,DF$4:DF286,DD$4:DD286))</f>
        <v>-0.77104284516907118</v>
      </c>
      <c r="DK286" s="200" t="str">
        <f t="shared" si="487"/>
        <v/>
      </c>
      <c r="DL286" s="203">
        <f>IF($J286="",#N/A,SUM(DK$4:DK286))</f>
        <v>-1.2097286851272664</v>
      </c>
      <c r="DM286" s="204" t="str">
        <f t="shared" si="488"/>
        <v/>
      </c>
      <c r="DN286" s="204">
        <f>IF($J286="",#N/A,SUM(DM$4:DM286))</f>
        <v>3.0281848543081331</v>
      </c>
      <c r="DO286" s="205" t="str">
        <f t="shared" si="489"/>
        <v/>
      </c>
      <c r="DP286" s="205">
        <f>IF($J286="",#N/A,SUM(DO$4:DO286))</f>
        <v>2.700331529683047</v>
      </c>
      <c r="DQ286" s="205">
        <f>IF($J286="",#N/A,SUM(DO$4:DO286,DM$4:DM286,DK$4:DK286))</f>
        <v>4.518787698863914</v>
      </c>
      <c r="DR286" s="200" t="str">
        <f t="shared" si="490"/>
        <v/>
      </c>
      <c r="DS286" s="203">
        <f>IF($J286="",#N/A,SUM(DR$4:DR286))</f>
        <v>-0.55950946427675097</v>
      </c>
      <c r="DT286" s="204">
        <f t="shared" si="491"/>
        <v>0.49087212806603486</v>
      </c>
      <c r="DU286" s="204">
        <f>IF($J286="",#N/A,SUM(DT$4:DT286))</f>
        <v>-0.20750635820596686</v>
      </c>
      <c r="DV286" s="205" t="str">
        <f t="shared" si="492"/>
        <v/>
      </c>
      <c r="DW286" s="205">
        <f>IF($J286="",#N/A,SUM(DV$4:DV286))</f>
        <v>-1.5454397913873317</v>
      </c>
      <c r="DX286" s="205">
        <f>IF($J286="",#N/A,SUM(DV$4:DV286,DT$4:DT286,DR$4:DR286))</f>
        <v>-2.3124556138700489</v>
      </c>
      <c r="DY286" s="200" t="str">
        <f t="shared" si="493"/>
        <v/>
      </c>
      <c r="DZ286" s="203">
        <f>IF($J286="",#N/A,SUM(DY$4:DY286))</f>
        <v>-1.0460034109943892</v>
      </c>
      <c r="EA286" s="204" t="str">
        <f t="shared" si="494"/>
        <v/>
      </c>
      <c r="EB286" s="204">
        <f>IF($J286="",#N/A,SUM(EA$4:EA286))</f>
        <v>2.468538401202053</v>
      </c>
      <c r="EC286" s="205" t="str">
        <f t="shared" si="495"/>
        <v/>
      </c>
      <c r="ED286" s="205">
        <f>IF($J286="",#N/A,SUM(EC$4:EC286))</f>
        <v>4.5772092731053986</v>
      </c>
      <c r="EE286" s="205">
        <f>IF($J286="",#N/A,SUM(EC$4:EC286,EA$4:EA286,DY$4:DY286))</f>
        <v>5.9997442633130609</v>
      </c>
      <c r="EF286" s="200" t="str">
        <f t="shared" si="496"/>
        <v/>
      </c>
      <c r="EG286" s="203">
        <f>IF($J286="",#N/A,SUM(EF$4:EF286))</f>
        <v>-0.15098969023521425</v>
      </c>
      <c r="EH286" s="204" t="str">
        <f t="shared" si="497"/>
        <v/>
      </c>
      <c r="EI286" s="204">
        <f>IF($J286="",#N/A,SUM(EH$4:EH286))</f>
        <v>-1.9445201344224492</v>
      </c>
      <c r="EJ286" s="205" t="str">
        <f t="shared" si="498"/>
        <v/>
      </c>
      <c r="EK286" s="205">
        <f>IF($J286="",#N/A,SUM(EJ$4:EJ286))</f>
        <v>5.050388173053765</v>
      </c>
      <c r="EL286" s="205">
        <f>IF($J286="",#N/A,SUM(EJ$4:EJ286,EH$4:EH286,EF$4:EF286))</f>
        <v>2.9548783483961012</v>
      </c>
      <c r="EM286" s="200" t="str">
        <f t="shared" si="499"/>
        <v/>
      </c>
      <c r="EN286" s="203">
        <f>IF($J286="",#N/A,SUM(EM$4:EM286))</f>
        <v>0</v>
      </c>
      <c r="EO286" s="204" t="str">
        <f t="shared" si="500"/>
        <v/>
      </c>
      <c r="EP286" s="204">
        <f>IF($J286="",#N/A,SUM(EO$4:EO286))</f>
        <v>2.0574787067554756</v>
      </c>
      <c r="EQ286" s="205" t="str">
        <f t="shared" si="501"/>
        <v/>
      </c>
      <c r="ER286" s="205">
        <f>IF($J286="",#N/A,SUM(EQ$4:EQ286))</f>
        <v>1.441536272249796</v>
      </c>
      <c r="ES286" s="205">
        <f>IF($J286="",#N/A,SUM(EQ$4:EQ286,EO$4:EO286,EM$4:EM286))</f>
        <v>3.4990149790052709</v>
      </c>
      <c r="ET286" s="200" t="str">
        <f t="shared" si="502"/>
        <v/>
      </c>
      <c r="EU286" s="203">
        <f>IF($J286="",#N/A,SUM(ET$4:ET286))</f>
        <v>0</v>
      </c>
      <c r="EV286" s="204" t="str">
        <f t="shared" si="503"/>
        <v/>
      </c>
      <c r="EW286" s="204">
        <f>IF($J286="",#N/A,SUM(EV$4:EV286))</f>
        <v>2.3297323921502326</v>
      </c>
      <c r="EX286" s="205" t="str">
        <f t="shared" si="504"/>
        <v/>
      </c>
      <c r="EY286" s="205">
        <f>IF($J286="",#N/A,SUM(EX$4:EX286))</f>
        <v>0.27113250180669229</v>
      </c>
      <c r="EZ286" s="205">
        <f>IF($J286="",#N/A,SUM(EX$4:EX286,EV$4:EV286,ET$4:ET286))</f>
        <v>2.6008648939569246</v>
      </c>
      <c r="FA286" s="200" t="str">
        <f t="shared" si="505"/>
        <v/>
      </c>
      <c r="FB286" s="203">
        <f>IF($J286="",#N/A,SUM(FA$4:FA286))</f>
        <v>-0.27145310509113252</v>
      </c>
      <c r="FC286" s="204" t="str">
        <f t="shared" si="506"/>
        <v/>
      </c>
      <c r="FD286" s="204">
        <f>IF($J286="",#N/A,SUM(FC$4:FC286))</f>
        <v>1.204376144197403</v>
      </c>
      <c r="FE286" s="205" t="str">
        <f t="shared" si="507"/>
        <v/>
      </c>
      <c r="FF286" s="205">
        <f>IF($J286="",#N/A,SUM(FE$4:FE286))</f>
        <v>-0.28811149078748233</v>
      </c>
      <c r="FG286" s="205">
        <f>IF($J286="",#N/A,SUM(FE$4:FE286,FC$4:FC286,FA$4:FA286))</f>
        <v>0.64481154831878851</v>
      </c>
      <c r="FH286" s="200" t="str">
        <f t="shared" si="508"/>
        <v/>
      </c>
      <c r="FI286" s="203">
        <f>IF($J286="",#N/A,SUM(FH$4:FH286))</f>
        <v>0</v>
      </c>
      <c r="FJ286" s="204" t="str">
        <f t="shared" si="509"/>
        <v/>
      </c>
      <c r="FK286" s="204">
        <f>IF($J286="",#N/A,SUM(FJ$4:FJ286))</f>
        <v>0</v>
      </c>
      <c r="FL286" s="205" t="str">
        <f t="shared" si="510"/>
        <v/>
      </c>
      <c r="FM286" s="205">
        <f>IF($J286="",#N/A,SUM(FL$4:FL286))</f>
        <v>0</v>
      </c>
      <c r="FN286" s="205">
        <f>IF($J286="",#N/A,SUM(FL$4:FL286,FJ$4:FJ286,FH$4:FH286))</f>
        <v>0</v>
      </c>
      <c r="FO286" s="200" t="str">
        <f t="shared" si="511"/>
        <v/>
      </c>
      <c r="FP286" s="203">
        <f>IF($J286="",#N/A,SUM(FO$4:FO286))</f>
        <v>0</v>
      </c>
      <c r="FQ286" s="204" t="str">
        <f t="shared" si="512"/>
        <v/>
      </c>
      <c r="FR286" s="204">
        <f>IF($J286="",#N/A,SUM(FQ$4:FQ286))</f>
        <v>0</v>
      </c>
      <c r="FS286" s="205" t="str">
        <f t="shared" si="513"/>
        <v/>
      </c>
      <c r="FT286" s="205">
        <f>IF($J286="",#N/A,SUM(FS$4:FS286))</f>
        <v>0</v>
      </c>
      <c r="FU286" s="205">
        <f>IF($J286="",#N/A,SUM(FS$4:FS286,FQ$4:FQ286,FO$4:FO286))</f>
        <v>0</v>
      </c>
      <c r="FV286" s="200" t="str">
        <f t="shared" si="514"/>
        <v/>
      </c>
      <c r="FW286" s="203">
        <f>IF($J286="",#N/A,SUM(FV$4:FV286))</f>
        <v>6.6834991831277585E-2</v>
      </c>
      <c r="FX286" s="204" t="str">
        <f t="shared" si="515"/>
        <v/>
      </c>
      <c r="FY286" s="204">
        <f>IF($J286="",#N/A,SUM(FX$4:FX286))</f>
        <v>-0.16102012791805576</v>
      </c>
      <c r="FZ286" s="205" t="str">
        <f t="shared" si="516"/>
        <v/>
      </c>
      <c r="GA286" s="205">
        <f>IF($J286="",#N/A,SUM(FZ$4:FZ286))</f>
        <v>-0.69624339162892301</v>
      </c>
      <c r="GB286" s="205">
        <f>IF($J286="",#N/A,SUM(FZ$4:FZ286,FX$4:FX286,FV$4:FV286))</f>
        <v>-0.79042852771570116</v>
      </c>
      <c r="GC286" s="200" t="str">
        <f t="shared" si="517"/>
        <v/>
      </c>
      <c r="GD286" s="203">
        <f>IF($J286="",#N/A,SUM(GC$4:GC286))</f>
        <v>0</v>
      </c>
      <c r="GE286" s="204" t="str">
        <f t="shared" si="518"/>
        <v/>
      </c>
      <c r="GF286" s="204">
        <f>IF($J286="",#N/A,SUM(GE$4:GE286))</f>
        <v>0</v>
      </c>
      <c r="GG286" s="205" t="str">
        <f t="shared" si="519"/>
        <v/>
      </c>
      <c r="GH286" s="205">
        <f>IF($J286="",#N/A,SUM(GG$4:GG286))</f>
        <v>-2.9368362277223206</v>
      </c>
      <c r="GI286" s="205">
        <f>IF($J286="",#N/A,SUM(GG$4:GG286,GE$4:GE286,GC$4:GC286))</f>
        <v>-2.9368362277223206</v>
      </c>
      <c r="GJ286" s="200" t="str">
        <f t="shared" si="520"/>
        <v/>
      </c>
      <c r="GK286" s="203">
        <f>IF($J286="",#N/A,SUM(GJ$4:GJ286))</f>
        <v>0</v>
      </c>
      <c r="GL286" s="204" t="str">
        <f t="shared" si="521"/>
        <v/>
      </c>
      <c r="GM286" s="204">
        <f>IF($J286="",#N/A,SUM(GL$4:GL286))</f>
        <v>-1.6833790887309608</v>
      </c>
      <c r="GN286" s="205" t="str">
        <f t="shared" si="522"/>
        <v/>
      </c>
      <c r="GO286" s="205">
        <f>IF($J286="",#N/A,SUM(GN$4:GN286))</f>
        <v>0</v>
      </c>
      <c r="GP286" s="205">
        <f>IF($J286="",#N/A,SUM(GN$4:GN286,GL$4:GL286,GJ$4:GJ286))</f>
        <v>-1.6833790887309608</v>
      </c>
      <c r="GS286" s="54">
        <f t="shared" si="541"/>
        <v>0.49087212806603486</v>
      </c>
      <c r="GT286" s="54">
        <f>IF(GS286="",NA(),SUM($GS$4:GS286))</f>
        <v>9.1683996986781136</v>
      </c>
      <c r="GU286" s="54" t="str">
        <f t="shared" si="523"/>
        <v/>
      </c>
      <c r="GV286" s="54" t="e">
        <f>IF(GU286="",NA(),SUM($GU$4:GU286))</f>
        <v>#N/A</v>
      </c>
      <c r="GW286" s="54" t="str">
        <f t="shared" si="524"/>
        <v/>
      </c>
      <c r="GX286" s="54" t="e">
        <f>IF(GW286="",NA(),SUM($GW$4:GW286))</f>
        <v>#N/A</v>
      </c>
      <c r="GY286" s="54">
        <f t="shared" si="525"/>
        <v>0.49087212806603486</v>
      </c>
      <c r="GZ286" s="54">
        <f>IF(GY286="",NA(),SUM($GY$4:GY286))</f>
        <v>10.142073097098358</v>
      </c>
      <c r="HA286" s="54" t="str">
        <f t="shared" si="526"/>
        <v/>
      </c>
      <c r="HB286" s="54" t="e">
        <f>IF(HA286="",NA(),SUM($HA$4:HA286))</f>
        <v>#N/A</v>
      </c>
      <c r="HC286" s="54" t="str">
        <f t="shared" si="527"/>
        <v/>
      </c>
      <c r="HD286" s="54" t="e">
        <f>IF(HC286="",NA(),SUM($HC$4:HC286))</f>
        <v>#N/A</v>
      </c>
      <c r="HE286" s="54" t="str">
        <f t="shared" si="528"/>
        <v/>
      </c>
      <c r="HF286" s="54" t="e">
        <f>IF(HE286="",NA(),SUM($HE$4:HE286))</f>
        <v>#N/A</v>
      </c>
      <c r="HG286" s="54" t="str">
        <f t="shared" si="529"/>
        <v/>
      </c>
      <c r="HH286" s="54" t="e">
        <f>IF(HG286="",NA(),SUM($HG$4:HG286))</f>
        <v>#N/A</v>
      </c>
      <c r="HI286" s="172">
        <f t="shared" si="542"/>
        <v>-0.46839723354480073</v>
      </c>
      <c r="HJ286" s="172">
        <f>IF($J286="",#N/A,SUM(HI$4:$HI286))</f>
        <v>-6.581267424248483</v>
      </c>
      <c r="HK286" s="54" t="str">
        <f t="shared" si="530"/>
        <v/>
      </c>
      <c r="HL286" s="54">
        <f>IF($J286="",#N/A,SUM($HK$4:HK286))</f>
        <v>-1.2198096790435395</v>
      </c>
      <c r="HM286" s="54" t="str">
        <f t="shared" si="531"/>
        <v/>
      </c>
      <c r="HN286" s="54">
        <f>IF($J286="",#N/A,SUM($HM$4:HM286))</f>
        <v>0.6871920272168337</v>
      </c>
      <c r="HO286" s="54" t="str">
        <f t="shared" si="532"/>
        <v/>
      </c>
      <c r="HP286" s="54">
        <f>IF($J286="",#N/A,SUM($HO$4:HO286))</f>
        <v>-1.052184587939049</v>
      </c>
      <c r="HQ286" s="54" t="str">
        <f t="shared" si="533"/>
        <v/>
      </c>
      <c r="HR286" s="54">
        <f>IF($J286="",#N/A,SUM($HQ$4:HQ286))</f>
        <v>-15.383292657483977</v>
      </c>
      <c r="HS286" s="54" t="str">
        <f t="shared" si="534"/>
        <v/>
      </c>
      <c r="HT286" s="54">
        <f>IF($J286="",#N/A,SUM($HS$4:HS286))</f>
        <v>14.097092964597067</v>
      </c>
      <c r="HU286" s="65">
        <f t="shared" si="535"/>
        <v>2.2474894521234131E-2</v>
      </c>
      <c r="HV286" s="65">
        <f>IF($J286="",#N/A,SUM(HU$4:$HU286))</f>
        <v>4.458340833731766</v>
      </c>
    </row>
    <row r="287" spans="1:230" x14ac:dyDescent="0.25">
      <c r="A287" s="51" t="s">
        <v>2567</v>
      </c>
      <c r="B287" s="52" t="s">
        <v>4595</v>
      </c>
      <c r="C287" s="229">
        <f t="shared" si="436"/>
        <v>2</v>
      </c>
      <c r="D287" s="219" t="str">
        <f>_xlfn.XLOOKUP(A287,[1]SP500!$A$2:$A$502,[1]SP500!$D$2:$D$502,"N")</f>
        <v>N</v>
      </c>
      <c r="E287" s="51" t="str">
        <f>IFERROR(_xlfn.XLOOKUP(A287,[1]SP500!$A$2:$A$655,[1]SP500!$B$2:$B$655),"")</f>
        <v>IGV</v>
      </c>
      <c r="F287" s="290">
        <v>45783</v>
      </c>
      <c r="G287" s="51" t="str">
        <f t="shared" si="437"/>
        <v>AMC</v>
      </c>
      <c r="H287" s="51" t="str">
        <f t="shared" si="438"/>
        <v>s</v>
      </c>
      <c r="I287" s="343">
        <v>31.6</v>
      </c>
      <c r="J287" s="124">
        <v>34.11</v>
      </c>
      <c r="K287" s="55">
        <f t="shared" si="439"/>
        <v>7.9430379746835381E-2</v>
      </c>
      <c r="L287" s="67">
        <f t="shared" si="440"/>
        <v>-87.849999999999909</v>
      </c>
      <c r="M287" s="57">
        <f t="shared" si="441"/>
        <v>36.399999999999864</v>
      </c>
      <c r="N287" s="102">
        <f t="shared" si="442"/>
        <v>-87.849999999999909</v>
      </c>
      <c r="O287" s="57">
        <f>IF(N287="",#N/A,SUM($N$4:N287))</f>
        <v>559.60575430328095</v>
      </c>
      <c r="P287" s="65">
        <f t="shared" si="536"/>
        <v>-1.3238396624472559</v>
      </c>
      <c r="Q287" s="172">
        <f>IF($N287="",#N/A,SUM($P$4:P287))</f>
        <v>12.586770528185669</v>
      </c>
      <c r="R287" s="279">
        <f t="shared" si="443"/>
        <v>1.4850717750904927</v>
      </c>
      <c r="S287" s="51" t="str">
        <f t="shared" si="444"/>
        <v>Dwn</v>
      </c>
      <c r="T287" s="51" t="s">
        <v>4461</v>
      </c>
      <c r="U287" s="56">
        <f t="shared" si="445"/>
        <v>31.6</v>
      </c>
      <c r="V287" s="56" t="s">
        <v>4458</v>
      </c>
      <c r="W287" s="142">
        <v>35</v>
      </c>
      <c r="X287" s="145">
        <f t="shared" si="446"/>
        <v>1106</v>
      </c>
      <c r="Y287" s="140">
        <f t="shared" si="447"/>
        <v>35</v>
      </c>
      <c r="Z287" s="123">
        <v>33.07</v>
      </c>
      <c r="AA287" s="102">
        <f t="shared" si="448"/>
        <v>-51.450000000000045</v>
      </c>
      <c r="AB287" s="102">
        <f t="shared" si="449"/>
        <v>-70.699999999999818</v>
      </c>
      <c r="AC287" s="124">
        <v>33.619999999999997</v>
      </c>
      <c r="AD287" s="155">
        <f t="shared" si="450"/>
        <v>-70.699999999999818</v>
      </c>
      <c r="AE287" s="545">
        <f t="shared" si="451"/>
        <v>-1.0654008438818539</v>
      </c>
      <c r="AF287" s="57">
        <f>IF($AC287="",#N/A,SUM(AD$4:AD287))</f>
        <v>93.849804227768459</v>
      </c>
      <c r="AG287" s="102">
        <f t="shared" si="452"/>
        <v>17.150000000000091</v>
      </c>
      <c r="AH287" s="56" t="s">
        <v>2507</v>
      </c>
      <c r="AI287" s="65">
        <f t="shared" si="453"/>
        <v>-0.77531645569620322</v>
      </c>
      <c r="AJ287" s="108">
        <f>IF(AI287="",#N/A,SUM($AI$4:AI287))</f>
        <v>11.101698753095176</v>
      </c>
      <c r="AK287" s="57">
        <f t="shared" si="454"/>
        <v>-51.450000000000045</v>
      </c>
      <c r="AL287" s="66">
        <f>IF(AI287="",#N/A,IF(AH287="Skip",SUM($AK$4:AK287),SUM($AK$4:AK287)))</f>
        <v>451.68759149281482</v>
      </c>
      <c r="AM287" s="65">
        <f t="shared" si="537"/>
        <v>-1.0654008438818539</v>
      </c>
      <c r="AN287" s="210"/>
      <c r="AO287" s="65" t="str">
        <f t="shared" si="455"/>
        <v/>
      </c>
      <c r="AP287" s="65">
        <f>IF($AC287="",#N/A,SUM(AO$4:AO287))</f>
        <v>1.52473549541119</v>
      </c>
      <c r="AQ287" s="65" t="str">
        <f t="shared" si="456"/>
        <v/>
      </c>
      <c r="AR287" s="65">
        <f>IF($AC287="",#N/A,SUM(AQ$4:AQ287))</f>
        <v>-5.6877420365355587</v>
      </c>
      <c r="AS287" s="65">
        <f t="shared" si="457"/>
        <v>-1.0654008438818539</v>
      </c>
      <c r="AT287" s="65">
        <f>IF($AC287="",#N/A,SUM(AS$4:AS287))</f>
        <v>7.5559465309742802</v>
      </c>
      <c r="AU287" s="57" t="str">
        <f t="shared" si="538"/>
        <v/>
      </c>
      <c r="AV287" s="57">
        <f>IF($AC287="",#N/A,SUM(AU$4:AU287))</f>
        <v>-40.597509338953273</v>
      </c>
      <c r="AW287" s="57" t="str">
        <f t="shared" si="539"/>
        <v/>
      </c>
      <c r="AX287" s="57">
        <f>IF($AC287="",#N/A,SUM(AW$4:AW287))</f>
        <v>-377.70106797961103</v>
      </c>
      <c r="AY287" s="57">
        <f t="shared" si="540"/>
        <v>-70.699999999999818</v>
      </c>
      <c r="AZ287" s="57">
        <f>IF($AC287="",#N/A,SUM(AY$4:AY287))</f>
        <v>512.14838154633276</v>
      </c>
      <c r="BA287" s="57">
        <f>IF(AD287="",#N/A,SUM($AD$4:AD287))</f>
        <v>93.849804227768459</v>
      </c>
      <c r="BC287" s="51" t="str">
        <f t="shared" si="458"/>
        <v/>
      </c>
      <c r="BD287" s="51">
        <f t="shared" si="459"/>
        <v>1</v>
      </c>
      <c r="BE287" s="51" t="str">
        <f t="shared" si="460"/>
        <v/>
      </c>
      <c r="BF287" s="51" t="str">
        <f t="shared" si="461"/>
        <v>Short</v>
      </c>
      <c r="BG287" s="51" t="str">
        <f t="shared" si="462"/>
        <v/>
      </c>
      <c r="BH287" s="51" t="str">
        <f t="shared" si="463"/>
        <v/>
      </c>
      <c r="BI287" s="51" t="str">
        <f t="shared" si="464"/>
        <v/>
      </c>
      <c r="BK287" s="65">
        <f t="shared" si="435"/>
        <v>-7.9472367438479449E-3</v>
      </c>
      <c r="BL287" s="65">
        <f t="shared" si="543"/>
        <v>-6.9453426893885247E-3</v>
      </c>
      <c r="BM287" s="65">
        <f>IFERROR(Q287/COUNTA($J$4:J287),#N/A)</f>
        <v>4.4319614535865033E-2</v>
      </c>
      <c r="BO287" s="489" t="e">
        <f>IF(J287="",#N/A,IF(S287="SW",(COUNTIFS(K$4:$K287,"&gt;0",S$4:$S287,"SW")/COUNTIF(S$4:$S287,"SW")),#N/A))</f>
        <v>#N/A</v>
      </c>
      <c r="BP287" s="489">
        <f>IF($J287="",#N/A,IF($S287="DWN",(COUNTIFS($K$4:$K287,"&lt;0",$S$4:$S287,"DWN")/COUNTIF($S$4:$S287,"DWN")),#N/A))</f>
        <v>0.58778625954198471</v>
      </c>
      <c r="BQ287" s="489" t="e">
        <f>IF($J287="",#N/A,IF($S287="UP",(COUNTIFS($K$4:$K287,"&gt;0",$S$4:$S287,"UP")/COUNTIF($S$4:$S287,"UP")),#N/A))</f>
        <v>#N/A</v>
      </c>
      <c r="BR287" s="489">
        <f>IF(J287="",#N/A,COUNTIF($K$4:K287,"&gt;0")/COUNT($J$4:J287))</f>
        <v>0.44718309859154931</v>
      </c>
      <c r="BS287" s="65" t="str">
        <f t="shared" si="465"/>
        <v/>
      </c>
      <c r="BT287" s="65" t="str">
        <f t="shared" si="466"/>
        <v/>
      </c>
      <c r="BU287" s="65" t="str">
        <f t="shared" si="467"/>
        <v/>
      </c>
      <c r="BV287" s="65">
        <f t="shared" si="468"/>
        <v>-1.3238396624472559</v>
      </c>
      <c r="BW287" s="128" t="str">
        <f t="shared" si="469"/>
        <v/>
      </c>
      <c r="BX287" s="128">
        <f>IF($J287="",#N/A,SUM($BW$4:BW287))</f>
        <v>-351.87317034792864</v>
      </c>
      <c r="BY287" s="131">
        <f t="shared" si="470"/>
        <v>-87.849999999999909</v>
      </c>
      <c r="BZ287" s="131">
        <f>IF($J287="",#N/A,SUM($BY$4:BY287))</f>
        <v>903.98734038933424</v>
      </c>
      <c r="CA287" s="133" t="str">
        <f t="shared" si="471"/>
        <v/>
      </c>
      <c r="CB287" s="133">
        <f>IF($J287="",#N/A,SUM($CA$4:CA287))</f>
        <v>7.4915842618753459</v>
      </c>
      <c r="CC287" s="194" t="str">
        <f t="shared" si="472"/>
        <v/>
      </c>
      <c r="CD287" s="194">
        <f>IF($J287="",#N/A,SUM($CC$4:CC287))</f>
        <v>-5.3227494758133416</v>
      </c>
      <c r="CE287" s="195">
        <f t="shared" si="473"/>
        <v>-1.3238396624472559</v>
      </c>
      <c r="CF287" s="195">
        <f>IF($J287="",#N/A,SUM($CE$4:CE287))</f>
        <v>15.098584815700914</v>
      </c>
      <c r="CG287" s="196" t="str">
        <f t="shared" si="474"/>
        <v/>
      </c>
      <c r="CH287" s="196">
        <f>IF($J287="",#N/A,SUM($CG$4:CG287))</f>
        <v>2.8109351882981031</v>
      </c>
      <c r="CI287" s="200" t="str">
        <f t="shared" si="475"/>
        <v/>
      </c>
      <c r="CJ287" s="203">
        <f>IF($J287="",#N/A,SUM(CI$4:CI287))</f>
        <v>0</v>
      </c>
      <c r="CK287" s="204" t="str">
        <f t="shared" si="476"/>
        <v/>
      </c>
      <c r="CL287" s="204">
        <f>IF($J287="",#N/A,SUM(CK$4:CK287))</f>
        <v>2.3607894150410869</v>
      </c>
      <c r="CM287" s="205" t="str">
        <f t="shared" si="477"/>
        <v/>
      </c>
      <c r="CN287" s="205">
        <f>IF($J287="",#N/A,SUM(CM$4:CM287))</f>
        <v>1.6152444684298783</v>
      </c>
      <c r="CO287" s="205">
        <f>IF($J287="",#N/A,SUM(CM$4:CM287,CK$4:CK287,CI$4:CI287))</f>
        <v>3.9760338834709654</v>
      </c>
      <c r="CP287" s="200" t="str">
        <f t="shared" si="478"/>
        <v/>
      </c>
      <c r="CQ287" s="203">
        <f>IF($J287="",#N/A,SUM(CP$4:CP287))</f>
        <v>-1.1156319314882757</v>
      </c>
      <c r="CR287" s="204">
        <f t="shared" si="479"/>
        <v>-1.3238396624472559</v>
      </c>
      <c r="CS287" s="204">
        <f>IF($J287="",#N/A,SUM(CR$4:CR287))</f>
        <v>3.1829877686781769</v>
      </c>
      <c r="CT287" s="205" t="str">
        <f t="shared" si="480"/>
        <v/>
      </c>
      <c r="CU287" s="205">
        <f>IF($J287="",#N/A,SUM(CT$4:CT287))</f>
        <v>-2.9040943753548785</v>
      </c>
      <c r="CV287" s="205">
        <f>IF($J287="",#N/A,SUM(CT$4:CT287,CR$4:CR287,CP$4:CP287))</f>
        <v>-0.83673853816497745</v>
      </c>
      <c r="CW287" s="200" t="str">
        <f t="shared" si="481"/>
        <v/>
      </c>
      <c r="CX287" s="203">
        <f>IF($J287="",#N/A,SUM(CW$4:CW287))</f>
        <v>-1.2839616145397621</v>
      </c>
      <c r="CY287" s="204" t="str">
        <f t="shared" si="482"/>
        <v/>
      </c>
      <c r="CZ287" s="204">
        <f>IF($J287="",#N/A,SUM(CY$4:CY287))</f>
        <v>0.37351298702481961</v>
      </c>
      <c r="DA287" s="205" t="str">
        <f t="shared" si="483"/>
        <v/>
      </c>
      <c r="DB287" s="205">
        <f>IF($J287="",#N/A,SUM(DA$4:DA287))</f>
        <v>-1.6929809429332021</v>
      </c>
      <c r="DC287" s="205">
        <f>IF($J287="",#N/A,SUM(DA$4:DA287,CY$4:CY287,CW$4:CW287))</f>
        <v>-2.6034295704481445</v>
      </c>
      <c r="DD287" s="200" t="str">
        <f t="shared" si="484"/>
        <v/>
      </c>
      <c r="DE287" s="203">
        <f>IF($J287="",#N/A,SUM(DD$4:DD287))</f>
        <v>0.24769343410817113</v>
      </c>
      <c r="DF287" s="204" t="str">
        <f t="shared" si="485"/>
        <v/>
      </c>
      <c r="DG287" s="204">
        <f>IF($J287="",#N/A,SUM(DF$4:DF287))</f>
        <v>1.7624645309390978</v>
      </c>
      <c r="DH287" s="205" t="str">
        <f t="shared" si="486"/>
        <v/>
      </c>
      <c r="DI287" s="205">
        <f>IF($J287="",#N/A,SUM(DH$4:DH287))</f>
        <v>-2.7812008102163399</v>
      </c>
      <c r="DJ287" s="205">
        <f>IF($J287="",#N/A,SUM(DH$4:DH287,DF$4:DF287,DD$4:DD287))</f>
        <v>-0.77104284516907118</v>
      </c>
      <c r="DK287" s="200" t="str">
        <f t="shared" si="487"/>
        <v/>
      </c>
      <c r="DL287" s="203">
        <f>IF($J287="",#N/A,SUM(DK$4:DK287))</f>
        <v>-1.2097286851272664</v>
      </c>
      <c r="DM287" s="204" t="str">
        <f t="shared" si="488"/>
        <v/>
      </c>
      <c r="DN287" s="204">
        <f>IF($J287="",#N/A,SUM(DM$4:DM287))</f>
        <v>3.0281848543081331</v>
      </c>
      <c r="DO287" s="205" t="str">
        <f t="shared" si="489"/>
        <v/>
      </c>
      <c r="DP287" s="205">
        <f>IF($J287="",#N/A,SUM(DO$4:DO287))</f>
        <v>2.700331529683047</v>
      </c>
      <c r="DQ287" s="205">
        <f>IF($J287="",#N/A,SUM(DO$4:DO287,DM$4:DM287,DK$4:DK287))</f>
        <v>4.518787698863914</v>
      </c>
      <c r="DR287" s="200" t="str">
        <f t="shared" si="490"/>
        <v/>
      </c>
      <c r="DS287" s="203">
        <f>IF($J287="",#N/A,SUM(DR$4:DR287))</f>
        <v>-0.55950946427675097</v>
      </c>
      <c r="DT287" s="204" t="str">
        <f t="shared" si="491"/>
        <v/>
      </c>
      <c r="DU287" s="204">
        <f>IF($J287="",#N/A,SUM(DT$4:DT287))</f>
        <v>-0.20750635820596686</v>
      </c>
      <c r="DV287" s="205" t="str">
        <f t="shared" si="492"/>
        <v/>
      </c>
      <c r="DW287" s="205">
        <f>IF($J287="",#N/A,SUM(DV$4:DV287))</f>
        <v>-1.5454397913873317</v>
      </c>
      <c r="DX287" s="205">
        <f>IF($J287="",#N/A,SUM(DV$4:DV287,DT$4:DT287,DR$4:DR287))</f>
        <v>-2.3124556138700489</v>
      </c>
      <c r="DY287" s="200" t="str">
        <f t="shared" si="493"/>
        <v/>
      </c>
      <c r="DZ287" s="203">
        <f>IF($J287="",#N/A,SUM(DY$4:DY287))</f>
        <v>-1.0460034109943892</v>
      </c>
      <c r="EA287" s="204" t="str">
        <f t="shared" si="494"/>
        <v/>
      </c>
      <c r="EB287" s="204">
        <f>IF($J287="",#N/A,SUM(EA$4:EA287))</f>
        <v>2.468538401202053</v>
      </c>
      <c r="EC287" s="205" t="str">
        <f t="shared" si="495"/>
        <v/>
      </c>
      <c r="ED287" s="205">
        <f>IF($J287="",#N/A,SUM(EC$4:EC287))</f>
        <v>4.5772092731053986</v>
      </c>
      <c r="EE287" s="205">
        <f>IF($J287="",#N/A,SUM(EC$4:EC287,EA$4:EA287,DY$4:DY287))</f>
        <v>5.9997442633130609</v>
      </c>
      <c r="EF287" s="200" t="str">
        <f t="shared" si="496"/>
        <v/>
      </c>
      <c r="EG287" s="203">
        <f>IF($J287="",#N/A,SUM(EF$4:EF287))</f>
        <v>-0.15098969023521425</v>
      </c>
      <c r="EH287" s="204" t="str">
        <f t="shared" si="497"/>
        <v/>
      </c>
      <c r="EI287" s="204">
        <f>IF($J287="",#N/A,SUM(EH$4:EH287))</f>
        <v>-1.9445201344224492</v>
      </c>
      <c r="EJ287" s="205" t="str">
        <f t="shared" si="498"/>
        <v/>
      </c>
      <c r="EK287" s="205">
        <f>IF($J287="",#N/A,SUM(EJ$4:EJ287))</f>
        <v>5.050388173053765</v>
      </c>
      <c r="EL287" s="205">
        <f>IF($J287="",#N/A,SUM(EJ$4:EJ287,EH$4:EH287,EF$4:EF287))</f>
        <v>2.9548783483961012</v>
      </c>
      <c r="EM287" s="200" t="str">
        <f t="shared" si="499"/>
        <v/>
      </c>
      <c r="EN287" s="203">
        <f>IF($J287="",#N/A,SUM(EM$4:EM287))</f>
        <v>0</v>
      </c>
      <c r="EO287" s="204" t="str">
        <f t="shared" si="500"/>
        <v/>
      </c>
      <c r="EP287" s="204">
        <f>IF($J287="",#N/A,SUM(EO$4:EO287))</f>
        <v>2.0574787067554756</v>
      </c>
      <c r="EQ287" s="205" t="str">
        <f t="shared" si="501"/>
        <v/>
      </c>
      <c r="ER287" s="205">
        <f>IF($J287="",#N/A,SUM(EQ$4:EQ287))</f>
        <v>1.441536272249796</v>
      </c>
      <c r="ES287" s="205">
        <f>IF($J287="",#N/A,SUM(EQ$4:EQ287,EO$4:EO287,EM$4:EM287))</f>
        <v>3.4990149790052709</v>
      </c>
      <c r="ET287" s="200" t="str">
        <f t="shared" si="502"/>
        <v/>
      </c>
      <c r="EU287" s="203">
        <f>IF($J287="",#N/A,SUM(ET$4:ET287))</f>
        <v>0</v>
      </c>
      <c r="EV287" s="204" t="str">
        <f t="shared" si="503"/>
        <v/>
      </c>
      <c r="EW287" s="204">
        <f>IF($J287="",#N/A,SUM(EV$4:EV287))</f>
        <v>2.3297323921502326</v>
      </c>
      <c r="EX287" s="205" t="str">
        <f t="shared" si="504"/>
        <v/>
      </c>
      <c r="EY287" s="205">
        <f>IF($J287="",#N/A,SUM(EX$4:EX287))</f>
        <v>0.27113250180669229</v>
      </c>
      <c r="EZ287" s="205">
        <f>IF($J287="",#N/A,SUM(EX$4:EX287,EV$4:EV287,ET$4:ET287))</f>
        <v>2.6008648939569246</v>
      </c>
      <c r="FA287" s="200" t="str">
        <f t="shared" si="505"/>
        <v/>
      </c>
      <c r="FB287" s="203">
        <f>IF($J287="",#N/A,SUM(FA$4:FA287))</f>
        <v>-0.27145310509113252</v>
      </c>
      <c r="FC287" s="204" t="str">
        <f t="shared" si="506"/>
        <v/>
      </c>
      <c r="FD287" s="204">
        <f>IF($J287="",#N/A,SUM(FC$4:FC287))</f>
        <v>1.204376144197403</v>
      </c>
      <c r="FE287" s="205" t="str">
        <f t="shared" si="507"/>
        <v/>
      </c>
      <c r="FF287" s="205">
        <f>IF($J287="",#N/A,SUM(FE$4:FE287))</f>
        <v>-0.28811149078748233</v>
      </c>
      <c r="FG287" s="205">
        <f>IF($J287="",#N/A,SUM(FE$4:FE287,FC$4:FC287,FA$4:FA287))</f>
        <v>0.64481154831878851</v>
      </c>
      <c r="FH287" s="200" t="str">
        <f t="shared" si="508"/>
        <v/>
      </c>
      <c r="FI287" s="203">
        <f>IF($J287="",#N/A,SUM(FH$4:FH287))</f>
        <v>0</v>
      </c>
      <c r="FJ287" s="204" t="str">
        <f t="shared" si="509"/>
        <v/>
      </c>
      <c r="FK287" s="204">
        <f>IF($J287="",#N/A,SUM(FJ$4:FJ287))</f>
        <v>0</v>
      </c>
      <c r="FL287" s="205" t="str">
        <f t="shared" si="510"/>
        <v/>
      </c>
      <c r="FM287" s="205">
        <f>IF($J287="",#N/A,SUM(FL$4:FL287))</f>
        <v>0</v>
      </c>
      <c r="FN287" s="205">
        <f>IF($J287="",#N/A,SUM(FL$4:FL287,FJ$4:FJ287,FH$4:FH287))</f>
        <v>0</v>
      </c>
      <c r="FO287" s="200" t="str">
        <f t="shared" si="511"/>
        <v/>
      </c>
      <c r="FP287" s="203">
        <f>IF($J287="",#N/A,SUM(FO$4:FO287))</f>
        <v>0</v>
      </c>
      <c r="FQ287" s="204" t="str">
        <f t="shared" si="512"/>
        <v/>
      </c>
      <c r="FR287" s="204">
        <f>IF($J287="",#N/A,SUM(FQ$4:FQ287))</f>
        <v>0</v>
      </c>
      <c r="FS287" s="205" t="str">
        <f t="shared" si="513"/>
        <v/>
      </c>
      <c r="FT287" s="205">
        <f>IF($J287="",#N/A,SUM(FS$4:FS287))</f>
        <v>0</v>
      </c>
      <c r="FU287" s="205">
        <f>IF($J287="",#N/A,SUM(FS$4:FS287,FQ$4:FQ287,FO$4:FO287))</f>
        <v>0</v>
      </c>
      <c r="FV287" s="200" t="str">
        <f t="shared" si="514"/>
        <v/>
      </c>
      <c r="FW287" s="203">
        <f>IF($J287="",#N/A,SUM(FV$4:FV287))</f>
        <v>6.6834991831277585E-2</v>
      </c>
      <c r="FX287" s="204" t="str">
        <f t="shared" si="515"/>
        <v/>
      </c>
      <c r="FY287" s="204">
        <f>IF($J287="",#N/A,SUM(FX$4:FX287))</f>
        <v>-0.16102012791805576</v>
      </c>
      <c r="FZ287" s="205" t="str">
        <f t="shared" si="516"/>
        <v/>
      </c>
      <c r="GA287" s="205">
        <f>IF($J287="",#N/A,SUM(FZ$4:FZ287))</f>
        <v>-0.69624339162892301</v>
      </c>
      <c r="GB287" s="205">
        <f>IF($J287="",#N/A,SUM(FZ$4:FZ287,FX$4:FX287,FV$4:FV287))</f>
        <v>-0.79042852771570116</v>
      </c>
      <c r="GC287" s="200" t="str">
        <f t="shared" si="517"/>
        <v/>
      </c>
      <c r="GD287" s="203">
        <f>IF($J287="",#N/A,SUM(GC$4:GC287))</f>
        <v>0</v>
      </c>
      <c r="GE287" s="204" t="str">
        <f t="shared" si="518"/>
        <v/>
      </c>
      <c r="GF287" s="204">
        <f>IF($J287="",#N/A,SUM(GE$4:GE287))</f>
        <v>0</v>
      </c>
      <c r="GG287" s="205" t="str">
        <f t="shared" si="519"/>
        <v/>
      </c>
      <c r="GH287" s="205">
        <f>IF($J287="",#N/A,SUM(GG$4:GG287))</f>
        <v>-2.9368362277223206</v>
      </c>
      <c r="GI287" s="205">
        <f>IF($J287="",#N/A,SUM(GG$4:GG287,GE$4:GE287,GC$4:GC287))</f>
        <v>-2.9368362277223206</v>
      </c>
      <c r="GJ287" s="200" t="str">
        <f t="shared" si="520"/>
        <v/>
      </c>
      <c r="GK287" s="203">
        <f>IF($J287="",#N/A,SUM(GJ$4:GJ287))</f>
        <v>0</v>
      </c>
      <c r="GL287" s="204" t="str">
        <f t="shared" si="521"/>
        <v/>
      </c>
      <c r="GM287" s="204">
        <f>IF($J287="",#N/A,SUM(GL$4:GL287))</f>
        <v>-1.6833790887309608</v>
      </c>
      <c r="GN287" s="205" t="str">
        <f t="shared" si="522"/>
        <v/>
      </c>
      <c r="GO287" s="205">
        <f>IF($J287="",#N/A,SUM(GN$4:GN287))</f>
        <v>0</v>
      </c>
      <c r="GP287" s="205">
        <f>IF($J287="",#N/A,SUM(GN$4:GN287,GL$4:GL287,GJ$4:GJ287))</f>
        <v>-1.6833790887309608</v>
      </c>
      <c r="GS287" s="54" t="str">
        <f t="shared" si="541"/>
        <v/>
      </c>
      <c r="GT287" s="54" t="e">
        <f>IF(GS287="",NA(),SUM($GS$4:GS287))</f>
        <v>#N/A</v>
      </c>
      <c r="GU287" s="54" t="str">
        <f t="shared" si="523"/>
        <v/>
      </c>
      <c r="GV287" s="54" t="e">
        <f>IF(GU287="",NA(),SUM($GU$4:GU287))</f>
        <v>#N/A</v>
      </c>
      <c r="GW287" s="54" t="str">
        <f t="shared" si="524"/>
        <v/>
      </c>
      <c r="GX287" s="54" t="e">
        <f>IF(GW287="",NA(),SUM($GW$4:GW287))</f>
        <v>#N/A</v>
      </c>
      <c r="GY287" s="54" t="str">
        <f t="shared" si="525"/>
        <v/>
      </c>
      <c r="GZ287" s="54" t="e">
        <f>IF(GY287="",NA(),SUM($GY$4:GY287))</f>
        <v>#N/A</v>
      </c>
      <c r="HA287" s="54">
        <f t="shared" si="526"/>
        <v>-1.3238396624472559</v>
      </c>
      <c r="HB287" s="54">
        <f>IF(HA287="",NA(),SUM($HA$4:HA287))</f>
        <v>3.4183708295075537</v>
      </c>
      <c r="HC287" s="54" t="str">
        <f t="shared" si="527"/>
        <v/>
      </c>
      <c r="HD287" s="54" t="e">
        <f>IF(HC287="",NA(),SUM($HC$4:HC287))</f>
        <v>#N/A</v>
      </c>
      <c r="HE287" s="54" t="str">
        <f t="shared" si="528"/>
        <v/>
      </c>
      <c r="HF287" s="54" t="e">
        <f>IF(HE287="",NA(),SUM($HE$4:HE287))</f>
        <v>#N/A</v>
      </c>
      <c r="HG287" s="54">
        <f t="shared" si="529"/>
        <v>-1.3238396624472559</v>
      </c>
      <c r="HH287" s="54">
        <f>IF(HG287="",NA(),SUM($HG$4:HG287))</f>
        <v>4.9565117186025516</v>
      </c>
      <c r="HI287" s="172" t="str">
        <f t="shared" si="542"/>
        <v/>
      </c>
      <c r="HJ287" s="172">
        <f>IF($J287="",#N/A,SUM(HI$4:$HI287))</f>
        <v>-6.581267424248483</v>
      </c>
      <c r="HK287" s="54">
        <f t="shared" si="530"/>
        <v>0.25843881856540207</v>
      </c>
      <c r="HL287" s="54">
        <f>IF($J287="",#N/A,SUM($HK$4:HK287))</f>
        <v>-0.96137086047813747</v>
      </c>
      <c r="HM287" s="54" t="str">
        <f t="shared" si="531"/>
        <v/>
      </c>
      <c r="HN287" s="54">
        <f>IF($J287="",#N/A,SUM($HM$4:HM287))</f>
        <v>0.6871920272168337</v>
      </c>
      <c r="HO287" s="54" t="str">
        <f t="shared" si="532"/>
        <v/>
      </c>
      <c r="HP287" s="54">
        <f>IF($J287="",#N/A,SUM($HO$4:HO287))</f>
        <v>-1.052184587939049</v>
      </c>
      <c r="HQ287" s="54" t="str">
        <f t="shared" si="533"/>
        <v/>
      </c>
      <c r="HR287" s="54">
        <f>IF($J287="",#N/A,SUM($HQ$4:HQ287))</f>
        <v>-15.383292657483977</v>
      </c>
      <c r="HS287" s="54" t="str">
        <f t="shared" si="534"/>
        <v/>
      </c>
      <c r="HT287" s="54">
        <f>IF($J287="",#N/A,SUM($HS$4:HS287))</f>
        <v>14.097092964597067</v>
      </c>
      <c r="HU287" s="65">
        <f t="shared" si="535"/>
        <v>-1.0654008438818539</v>
      </c>
      <c r="HV287" s="65">
        <f>IF($J287="",#N/A,SUM(HU$4:$HU287))</f>
        <v>3.3929399898499124</v>
      </c>
    </row>
    <row r="288" spans="1:230" x14ac:dyDescent="0.25">
      <c r="A288" s="396" t="s">
        <v>879</v>
      </c>
      <c r="B288" s="52" t="s">
        <v>4595</v>
      </c>
      <c r="C288" s="229">
        <f t="shared" si="436"/>
        <v>3</v>
      </c>
      <c r="D288" s="219" t="str">
        <f>_xlfn.XLOOKUP(A288,[1]SP500!$A$2:$A$502,[1]SP500!$D$2:$D$502,"N")</f>
        <v>Y</v>
      </c>
      <c r="E288" s="51" t="str">
        <f>IFERROR(_xlfn.XLOOKUP(A288,[1]SP500!$A$2:$A$655,[1]SP500!$B$2:$B$655),"")</f>
        <v>XLB</v>
      </c>
      <c r="F288" s="290">
        <v>45783</v>
      </c>
      <c r="G288" s="51" t="str">
        <f t="shared" si="437"/>
        <v>AMC</v>
      </c>
      <c r="H288" s="51" t="str">
        <f t="shared" si="438"/>
        <v>s</v>
      </c>
      <c r="I288" s="344">
        <v>30.45</v>
      </c>
      <c r="J288" s="123">
        <v>30.37</v>
      </c>
      <c r="K288" s="55">
        <f t="shared" si="439"/>
        <v>-2.6272577996715369E-3</v>
      </c>
      <c r="L288" s="67">
        <f t="shared" si="440"/>
        <v>-2.3999999999999773</v>
      </c>
      <c r="M288" s="57">
        <f t="shared" si="441"/>
        <v>-21.600000000000023</v>
      </c>
      <c r="N288" s="102">
        <f t="shared" si="442"/>
        <v>-2.3999999999999773</v>
      </c>
      <c r="O288" s="57">
        <f>IF(N288="",#N/A,SUM($N$4:N288))</f>
        <v>557.20575430328097</v>
      </c>
      <c r="P288" s="65">
        <f t="shared" si="536"/>
        <v>-4.3787629994526137E-2</v>
      </c>
      <c r="Q288" s="172">
        <f>IF($N288="",#N/A,SUM($P$4:P288))</f>
        <v>12.542982898191143</v>
      </c>
      <c r="R288" s="279">
        <f t="shared" si="443"/>
        <v>1.8791604450412329</v>
      </c>
      <c r="S288" s="51" t="str">
        <f t="shared" si="444"/>
        <v>SW</v>
      </c>
      <c r="T288" s="51" t="s">
        <v>2828</v>
      </c>
      <c r="U288" s="56">
        <f t="shared" si="445"/>
        <v>30.45</v>
      </c>
      <c r="V288" s="56" t="s">
        <v>4460</v>
      </c>
      <c r="W288" s="142">
        <v>30</v>
      </c>
      <c r="X288" s="145">
        <f t="shared" si="446"/>
        <v>913.5</v>
      </c>
      <c r="Y288" s="140">
        <f t="shared" si="447"/>
        <v>30</v>
      </c>
      <c r="Z288" s="123">
        <v>29.65</v>
      </c>
      <c r="AA288" s="102">
        <f t="shared" si="448"/>
        <v>-24</v>
      </c>
      <c r="AB288" s="102">
        <f t="shared" si="449"/>
        <v>33.299999999999955</v>
      </c>
      <c r="AC288" s="124">
        <v>31.56</v>
      </c>
      <c r="AD288" s="155">
        <f t="shared" si="450"/>
        <v>33.299999999999955</v>
      </c>
      <c r="AE288" s="545">
        <f t="shared" si="451"/>
        <v>0.60755336617405509</v>
      </c>
      <c r="AF288" s="57">
        <f>IF($AC288="",#N/A,SUM(AD$4:AD288))</f>
        <v>127.14980422776841</v>
      </c>
      <c r="AG288" s="102">
        <f t="shared" si="452"/>
        <v>35.699999999999932</v>
      </c>
      <c r="AH288" s="56" t="s">
        <v>2507</v>
      </c>
      <c r="AI288" s="65">
        <f t="shared" si="453"/>
        <v>-0.4378762999452655</v>
      </c>
      <c r="AJ288" s="108">
        <f>IF(AI288="",#N/A,SUM($AI$4:AI288))</f>
        <v>10.66382245314991</v>
      </c>
      <c r="AK288" s="57">
        <f t="shared" si="454"/>
        <v>-24</v>
      </c>
      <c r="AL288" s="66">
        <f>IF(AI288="",#N/A,IF(AH288="Skip",SUM($AK$4:AK288),SUM($AK$4:AK288)))</f>
        <v>427.68759149281482</v>
      </c>
      <c r="AM288" s="65">
        <f t="shared" si="537"/>
        <v>0.60755336617405509</v>
      </c>
      <c r="AN288" s="210"/>
      <c r="AO288" s="65">
        <f t="shared" si="455"/>
        <v>0.60755336617405509</v>
      </c>
      <c r="AP288" s="65">
        <f>IF($AC288="",#N/A,SUM(AO$4:AO288))</f>
        <v>2.1322888615852449</v>
      </c>
      <c r="AQ288" s="65" t="str">
        <f t="shared" si="456"/>
        <v/>
      </c>
      <c r="AR288" s="65">
        <f>IF($AC288="",#N/A,SUM(AQ$4:AQ288))</f>
        <v>-5.6877420365355587</v>
      </c>
      <c r="AS288" s="65" t="str">
        <f t="shared" si="457"/>
        <v/>
      </c>
      <c r="AT288" s="65">
        <f>IF($AC288="",#N/A,SUM(AS$4:AS288))</f>
        <v>7.5559465309742802</v>
      </c>
      <c r="AU288" s="57">
        <f t="shared" si="538"/>
        <v>33.299999999999955</v>
      </c>
      <c r="AV288" s="57">
        <f>IF($AC288="",#N/A,SUM(AU$4:AU288))</f>
        <v>-7.2975093389533185</v>
      </c>
      <c r="AW288" s="57" t="str">
        <f t="shared" si="539"/>
        <v/>
      </c>
      <c r="AX288" s="57">
        <f>IF($AC288="",#N/A,SUM(AW$4:AW288))</f>
        <v>-377.70106797961103</v>
      </c>
      <c r="AY288" s="57" t="str">
        <f t="shared" si="540"/>
        <v/>
      </c>
      <c r="AZ288" s="57">
        <f>IF($AC288="",#N/A,SUM(AY$4:AY288))</f>
        <v>512.14838154633276</v>
      </c>
      <c r="BA288" s="57">
        <f>IF(AD288="",#N/A,SUM($AD$4:AD288))</f>
        <v>127.14980422776841</v>
      </c>
      <c r="BC288" s="51" t="str">
        <f t="shared" si="458"/>
        <v/>
      </c>
      <c r="BD288" s="51" t="str">
        <f t="shared" si="459"/>
        <v/>
      </c>
      <c r="BE288" s="51" t="str">
        <f t="shared" si="460"/>
        <v/>
      </c>
      <c r="BF288" s="51" t="str">
        <f t="shared" si="461"/>
        <v>Long</v>
      </c>
      <c r="BG288" s="51" t="str">
        <f t="shared" si="462"/>
        <v/>
      </c>
      <c r="BH288" s="51" t="str">
        <f t="shared" si="463"/>
        <v/>
      </c>
      <c r="BI288" s="51">
        <f t="shared" si="464"/>
        <v>1</v>
      </c>
      <c r="BK288" s="65">
        <f t="shared" si="435"/>
        <v>-3.0938128182189926E-3</v>
      </c>
      <c r="BL288" s="65">
        <f t="shared" si="543"/>
        <v>-2.3420410273043899E-2</v>
      </c>
      <c r="BM288" s="65">
        <f>IFERROR(Q288/COUNTA($J$4:J288),#N/A)</f>
        <v>4.4010466309442609E-2</v>
      </c>
      <c r="BO288" s="489">
        <f>IF(J288="",#N/A,IF(S288="SW",(COUNTIFS(K$4:$K288,"&gt;0",S$4:$S288,"SW")/COUNTIF(S$4:$S288,"SW")),#N/A))</f>
        <v>0.48905109489051096</v>
      </c>
      <c r="BP288" s="489" t="e">
        <f>IF($J288="",#N/A,IF($S288="DWN",(COUNTIFS($K$4:$K288,"&lt;0",$S$4:$S288,"DWN")/COUNTIF($S$4:$S288,"DWN")),#N/A))</f>
        <v>#N/A</v>
      </c>
      <c r="BQ288" s="489" t="e">
        <f>IF($J288="",#N/A,IF($S288="UP",(COUNTIFS($K$4:$K288,"&gt;0",$S$4:$S288,"UP")/COUNTIF($S$4:$S288,"UP")),#N/A))</f>
        <v>#N/A</v>
      </c>
      <c r="BR288" s="489">
        <f>IF(J288="",#N/A,COUNTIF($K$4:K288,"&gt;0")/COUNT($J$4:J288))</f>
        <v>0.4456140350877193</v>
      </c>
      <c r="BS288" s="65" t="str">
        <f t="shared" si="465"/>
        <v/>
      </c>
      <c r="BT288" s="65">
        <f t="shared" si="466"/>
        <v>-4.3787629994526137E-2</v>
      </c>
      <c r="BU288" s="65" t="str">
        <f t="shared" si="467"/>
        <v/>
      </c>
      <c r="BV288" s="65" t="str">
        <f t="shared" si="468"/>
        <v/>
      </c>
      <c r="BW288" s="128" t="str">
        <f t="shared" si="469"/>
        <v/>
      </c>
      <c r="BX288" s="128">
        <f>IF($J288="",#N/A,SUM($BW$4:BW288))</f>
        <v>-351.87317034792864</v>
      </c>
      <c r="BY288" s="131" t="str">
        <f t="shared" si="470"/>
        <v/>
      </c>
      <c r="BZ288" s="131">
        <f>IF($J288="",#N/A,SUM($BY$4:BY288))</f>
        <v>903.98734038933424</v>
      </c>
      <c r="CA288" s="133">
        <f t="shared" si="471"/>
        <v>-2.3999999999999773</v>
      </c>
      <c r="CB288" s="133">
        <f>IF($J288="",#N/A,SUM($CA$4:CA288))</f>
        <v>5.0915842618753686</v>
      </c>
      <c r="CC288" s="194" t="str">
        <f t="shared" si="472"/>
        <v/>
      </c>
      <c r="CD288" s="194">
        <f>IF($J288="",#N/A,SUM($CC$4:CC288))</f>
        <v>-5.3227494758133416</v>
      </c>
      <c r="CE288" s="195" t="str">
        <f t="shared" si="473"/>
        <v/>
      </c>
      <c r="CF288" s="195">
        <f>IF($J288="",#N/A,SUM($CE$4:CE288))</f>
        <v>15.098584815700914</v>
      </c>
      <c r="CG288" s="196">
        <f t="shared" si="474"/>
        <v>-4.3787629994526137E-2</v>
      </c>
      <c r="CH288" s="196">
        <f>IF($J288="",#N/A,SUM($CG$4:CG288))</f>
        <v>2.7671475583035767</v>
      </c>
      <c r="CI288" s="200" t="str">
        <f t="shared" si="475"/>
        <v/>
      </c>
      <c r="CJ288" s="203">
        <f>IF($J288="",#N/A,SUM(CI$4:CI288))</f>
        <v>0</v>
      </c>
      <c r="CK288" s="204" t="str">
        <f t="shared" si="476"/>
        <v/>
      </c>
      <c r="CL288" s="204">
        <f>IF($J288="",#N/A,SUM(CK$4:CK288))</f>
        <v>2.3607894150410869</v>
      </c>
      <c r="CM288" s="205" t="str">
        <f t="shared" si="477"/>
        <v/>
      </c>
      <c r="CN288" s="205">
        <f>IF($J288="",#N/A,SUM(CM$4:CM288))</f>
        <v>1.6152444684298783</v>
      </c>
      <c r="CO288" s="205">
        <f>IF($J288="",#N/A,SUM(CM$4:CM288,CK$4:CK288,CI$4:CI288))</f>
        <v>3.9760338834709654</v>
      </c>
      <c r="CP288" s="200" t="str">
        <f t="shared" si="478"/>
        <v/>
      </c>
      <c r="CQ288" s="203">
        <f>IF($J288="",#N/A,SUM(CP$4:CP288))</f>
        <v>-1.1156319314882757</v>
      </c>
      <c r="CR288" s="204" t="str">
        <f t="shared" si="479"/>
        <v/>
      </c>
      <c r="CS288" s="204">
        <f>IF($J288="",#N/A,SUM(CR$4:CR288))</f>
        <v>3.1829877686781769</v>
      </c>
      <c r="CT288" s="205" t="str">
        <f t="shared" si="480"/>
        <v/>
      </c>
      <c r="CU288" s="205">
        <f>IF($J288="",#N/A,SUM(CT$4:CT288))</f>
        <v>-2.9040943753548785</v>
      </c>
      <c r="CV288" s="205">
        <f>IF($J288="",#N/A,SUM(CT$4:CT288,CR$4:CR288,CP$4:CP288))</f>
        <v>-0.83673853816497745</v>
      </c>
      <c r="CW288" s="200" t="str">
        <f t="shared" si="481"/>
        <v/>
      </c>
      <c r="CX288" s="203">
        <f>IF($J288="",#N/A,SUM(CW$4:CW288))</f>
        <v>-1.2839616145397621</v>
      </c>
      <c r="CY288" s="204" t="str">
        <f t="shared" si="482"/>
        <v/>
      </c>
      <c r="CZ288" s="204">
        <f>IF($J288="",#N/A,SUM(CY$4:CY288))</f>
        <v>0.37351298702481961</v>
      </c>
      <c r="DA288" s="205" t="str">
        <f t="shared" si="483"/>
        <v/>
      </c>
      <c r="DB288" s="205">
        <f>IF($J288="",#N/A,SUM(DA$4:DA288))</f>
        <v>-1.6929809429332021</v>
      </c>
      <c r="DC288" s="205">
        <f>IF($J288="",#N/A,SUM(DA$4:DA288,CY$4:CY288,CW$4:CW288))</f>
        <v>-2.6034295704481445</v>
      </c>
      <c r="DD288" s="200" t="str">
        <f t="shared" si="484"/>
        <v/>
      </c>
      <c r="DE288" s="203">
        <f>IF($J288="",#N/A,SUM(DD$4:DD288))</f>
        <v>0.24769343410817113</v>
      </c>
      <c r="DF288" s="204" t="str">
        <f t="shared" si="485"/>
        <v/>
      </c>
      <c r="DG288" s="204">
        <f>IF($J288="",#N/A,SUM(DF$4:DF288))</f>
        <v>1.7624645309390978</v>
      </c>
      <c r="DH288" s="205" t="str">
        <f t="shared" si="486"/>
        <v/>
      </c>
      <c r="DI288" s="205">
        <f>IF($J288="",#N/A,SUM(DH$4:DH288))</f>
        <v>-2.7812008102163399</v>
      </c>
      <c r="DJ288" s="205">
        <f>IF($J288="",#N/A,SUM(DH$4:DH288,DF$4:DF288,DD$4:DD288))</f>
        <v>-0.77104284516907118</v>
      </c>
      <c r="DK288" s="200" t="str">
        <f t="shared" si="487"/>
        <v/>
      </c>
      <c r="DL288" s="203">
        <f>IF($J288="",#N/A,SUM(DK$4:DK288))</f>
        <v>-1.2097286851272664</v>
      </c>
      <c r="DM288" s="204" t="str">
        <f t="shared" si="488"/>
        <v/>
      </c>
      <c r="DN288" s="204">
        <f>IF($J288="",#N/A,SUM(DM$4:DM288))</f>
        <v>3.0281848543081331</v>
      </c>
      <c r="DO288" s="205" t="str">
        <f t="shared" si="489"/>
        <v/>
      </c>
      <c r="DP288" s="205">
        <f>IF($J288="",#N/A,SUM(DO$4:DO288))</f>
        <v>2.700331529683047</v>
      </c>
      <c r="DQ288" s="205">
        <f>IF($J288="",#N/A,SUM(DO$4:DO288,DM$4:DM288,DK$4:DK288))</f>
        <v>4.518787698863914</v>
      </c>
      <c r="DR288" s="200" t="str">
        <f t="shared" si="490"/>
        <v/>
      </c>
      <c r="DS288" s="203">
        <f>IF($J288="",#N/A,SUM(DR$4:DR288))</f>
        <v>-0.55950946427675097</v>
      </c>
      <c r="DT288" s="204" t="str">
        <f t="shared" si="491"/>
        <v/>
      </c>
      <c r="DU288" s="204">
        <f>IF($J288="",#N/A,SUM(DT$4:DT288))</f>
        <v>-0.20750635820596686</v>
      </c>
      <c r="DV288" s="205" t="str">
        <f t="shared" si="492"/>
        <v/>
      </c>
      <c r="DW288" s="205">
        <f>IF($J288="",#N/A,SUM(DV$4:DV288))</f>
        <v>-1.5454397913873317</v>
      </c>
      <c r="DX288" s="205">
        <f>IF($J288="",#N/A,SUM(DV$4:DV288,DT$4:DT288,DR$4:DR288))</f>
        <v>-2.3124556138700489</v>
      </c>
      <c r="DY288" s="200" t="str">
        <f t="shared" si="493"/>
        <v/>
      </c>
      <c r="DZ288" s="203">
        <f>IF($J288="",#N/A,SUM(DY$4:DY288))</f>
        <v>-1.0460034109943892</v>
      </c>
      <c r="EA288" s="204" t="str">
        <f t="shared" si="494"/>
        <v/>
      </c>
      <c r="EB288" s="204">
        <f>IF($J288="",#N/A,SUM(EA$4:EA288))</f>
        <v>2.468538401202053</v>
      </c>
      <c r="EC288" s="205" t="str">
        <f t="shared" si="495"/>
        <v/>
      </c>
      <c r="ED288" s="205">
        <f>IF($J288="",#N/A,SUM(EC$4:EC288))</f>
        <v>4.5772092731053986</v>
      </c>
      <c r="EE288" s="205">
        <f>IF($J288="",#N/A,SUM(EC$4:EC288,EA$4:EA288,DY$4:DY288))</f>
        <v>5.9997442633130609</v>
      </c>
      <c r="EF288" s="200" t="str">
        <f t="shared" si="496"/>
        <v/>
      </c>
      <c r="EG288" s="203">
        <f>IF($J288="",#N/A,SUM(EF$4:EF288))</f>
        <v>-0.15098969023521425</v>
      </c>
      <c r="EH288" s="204" t="str">
        <f t="shared" si="497"/>
        <v/>
      </c>
      <c r="EI288" s="204">
        <f>IF($J288="",#N/A,SUM(EH$4:EH288))</f>
        <v>-1.9445201344224492</v>
      </c>
      <c r="EJ288" s="205" t="str">
        <f t="shared" si="498"/>
        <v/>
      </c>
      <c r="EK288" s="205">
        <f>IF($J288="",#N/A,SUM(EJ$4:EJ288))</f>
        <v>5.050388173053765</v>
      </c>
      <c r="EL288" s="205">
        <f>IF($J288="",#N/A,SUM(EJ$4:EJ288,EH$4:EH288,EF$4:EF288))</f>
        <v>2.9548783483961012</v>
      </c>
      <c r="EM288" s="200" t="str">
        <f t="shared" si="499"/>
        <v/>
      </c>
      <c r="EN288" s="203">
        <f>IF($J288="",#N/A,SUM(EM$4:EM288))</f>
        <v>0</v>
      </c>
      <c r="EO288" s="204" t="str">
        <f t="shared" si="500"/>
        <v/>
      </c>
      <c r="EP288" s="204">
        <f>IF($J288="",#N/A,SUM(EO$4:EO288))</f>
        <v>2.0574787067554756</v>
      </c>
      <c r="EQ288" s="205">
        <f t="shared" si="501"/>
        <v>-4.3787629994526137E-2</v>
      </c>
      <c r="ER288" s="205">
        <f>IF($J288="",#N/A,SUM(EQ$4:EQ288))</f>
        <v>1.3977486422552698</v>
      </c>
      <c r="ES288" s="205">
        <f>IF($J288="",#N/A,SUM(EQ$4:EQ288,EO$4:EO288,EM$4:EM288))</f>
        <v>3.455227349010745</v>
      </c>
      <c r="ET288" s="200" t="str">
        <f t="shared" si="502"/>
        <v/>
      </c>
      <c r="EU288" s="203">
        <f>IF($J288="",#N/A,SUM(ET$4:ET288))</f>
        <v>0</v>
      </c>
      <c r="EV288" s="204" t="str">
        <f t="shared" si="503"/>
        <v/>
      </c>
      <c r="EW288" s="204">
        <f>IF($J288="",#N/A,SUM(EV$4:EV288))</f>
        <v>2.3297323921502326</v>
      </c>
      <c r="EX288" s="205" t="str">
        <f t="shared" si="504"/>
        <v/>
      </c>
      <c r="EY288" s="205">
        <f>IF($J288="",#N/A,SUM(EX$4:EX288))</f>
        <v>0.27113250180669229</v>
      </c>
      <c r="EZ288" s="205">
        <f>IF($J288="",#N/A,SUM(EX$4:EX288,EV$4:EV288,ET$4:ET288))</f>
        <v>2.6008648939569246</v>
      </c>
      <c r="FA288" s="200" t="str">
        <f t="shared" si="505"/>
        <v/>
      </c>
      <c r="FB288" s="203">
        <f>IF($J288="",#N/A,SUM(FA$4:FA288))</f>
        <v>-0.27145310509113252</v>
      </c>
      <c r="FC288" s="204" t="str">
        <f t="shared" si="506"/>
        <v/>
      </c>
      <c r="FD288" s="204">
        <f>IF($J288="",#N/A,SUM(FC$4:FC288))</f>
        <v>1.204376144197403</v>
      </c>
      <c r="FE288" s="205" t="str">
        <f t="shared" si="507"/>
        <v/>
      </c>
      <c r="FF288" s="205">
        <f>IF($J288="",#N/A,SUM(FE$4:FE288))</f>
        <v>-0.28811149078748233</v>
      </c>
      <c r="FG288" s="205">
        <f>IF($J288="",#N/A,SUM(FE$4:FE288,FC$4:FC288,FA$4:FA288))</f>
        <v>0.64481154831878851</v>
      </c>
      <c r="FH288" s="200" t="str">
        <f t="shared" si="508"/>
        <v/>
      </c>
      <c r="FI288" s="203">
        <f>IF($J288="",#N/A,SUM(FH$4:FH288))</f>
        <v>0</v>
      </c>
      <c r="FJ288" s="204" t="str">
        <f t="shared" si="509"/>
        <v/>
      </c>
      <c r="FK288" s="204">
        <f>IF($J288="",#N/A,SUM(FJ$4:FJ288))</f>
        <v>0</v>
      </c>
      <c r="FL288" s="205" t="str">
        <f t="shared" si="510"/>
        <v/>
      </c>
      <c r="FM288" s="205">
        <f>IF($J288="",#N/A,SUM(FL$4:FL288))</f>
        <v>0</v>
      </c>
      <c r="FN288" s="205">
        <f>IF($J288="",#N/A,SUM(FL$4:FL288,FJ$4:FJ288,FH$4:FH288))</f>
        <v>0</v>
      </c>
      <c r="FO288" s="200" t="str">
        <f t="shared" si="511"/>
        <v/>
      </c>
      <c r="FP288" s="203">
        <f>IF($J288="",#N/A,SUM(FO$4:FO288))</f>
        <v>0</v>
      </c>
      <c r="FQ288" s="204" t="str">
        <f t="shared" si="512"/>
        <v/>
      </c>
      <c r="FR288" s="204">
        <f>IF($J288="",#N/A,SUM(FQ$4:FQ288))</f>
        <v>0</v>
      </c>
      <c r="FS288" s="205" t="str">
        <f t="shared" si="513"/>
        <v/>
      </c>
      <c r="FT288" s="205">
        <f>IF($J288="",#N/A,SUM(FS$4:FS288))</f>
        <v>0</v>
      </c>
      <c r="FU288" s="205">
        <f>IF($J288="",#N/A,SUM(FS$4:FS288,FQ$4:FQ288,FO$4:FO288))</f>
        <v>0</v>
      </c>
      <c r="FV288" s="200" t="str">
        <f t="shared" si="514"/>
        <v/>
      </c>
      <c r="FW288" s="203">
        <f>IF($J288="",#N/A,SUM(FV$4:FV288))</f>
        <v>6.6834991831277585E-2</v>
      </c>
      <c r="FX288" s="204" t="str">
        <f t="shared" si="515"/>
        <v/>
      </c>
      <c r="FY288" s="204">
        <f>IF($J288="",#N/A,SUM(FX$4:FX288))</f>
        <v>-0.16102012791805576</v>
      </c>
      <c r="FZ288" s="205" t="str">
        <f t="shared" si="516"/>
        <v/>
      </c>
      <c r="GA288" s="205">
        <f>IF($J288="",#N/A,SUM(FZ$4:FZ288))</f>
        <v>-0.69624339162892301</v>
      </c>
      <c r="GB288" s="205">
        <f>IF($J288="",#N/A,SUM(FZ$4:FZ288,FX$4:FX288,FV$4:FV288))</f>
        <v>-0.79042852771570116</v>
      </c>
      <c r="GC288" s="200" t="str">
        <f t="shared" si="517"/>
        <v/>
      </c>
      <c r="GD288" s="203">
        <f>IF($J288="",#N/A,SUM(GC$4:GC288))</f>
        <v>0</v>
      </c>
      <c r="GE288" s="204" t="str">
        <f t="shared" si="518"/>
        <v/>
      </c>
      <c r="GF288" s="204">
        <f>IF($J288="",#N/A,SUM(GE$4:GE288))</f>
        <v>0</v>
      </c>
      <c r="GG288" s="205" t="str">
        <f t="shared" si="519"/>
        <v/>
      </c>
      <c r="GH288" s="205">
        <f>IF($J288="",#N/A,SUM(GG$4:GG288))</f>
        <v>-2.9368362277223206</v>
      </c>
      <c r="GI288" s="205">
        <f>IF($J288="",#N/A,SUM(GG$4:GG288,GE$4:GE288,GC$4:GC288))</f>
        <v>-2.9368362277223206</v>
      </c>
      <c r="GJ288" s="200" t="str">
        <f t="shared" si="520"/>
        <v/>
      </c>
      <c r="GK288" s="203">
        <f>IF($J288="",#N/A,SUM(GJ$4:GJ288))</f>
        <v>0</v>
      </c>
      <c r="GL288" s="204" t="str">
        <f t="shared" si="521"/>
        <v/>
      </c>
      <c r="GM288" s="204">
        <f>IF($J288="",#N/A,SUM(GL$4:GL288))</f>
        <v>-1.6833790887309608</v>
      </c>
      <c r="GN288" s="205" t="str">
        <f t="shared" si="522"/>
        <v/>
      </c>
      <c r="GO288" s="205">
        <f>IF($J288="",#N/A,SUM(GN$4:GN288))</f>
        <v>0</v>
      </c>
      <c r="GP288" s="205">
        <f>IF($J288="",#N/A,SUM(GN$4:GN288,GL$4:GL288,GJ$4:GJ288))</f>
        <v>-1.6833790887309608</v>
      </c>
      <c r="GS288" s="54">
        <f t="shared" si="541"/>
        <v>-4.3787629994526137E-2</v>
      </c>
      <c r="GT288" s="54">
        <f>IF(GS288="",NA(),SUM($GS$4:GS288))</f>
        <v>9.1246120686835877</v>
      </c>
      <c r="GU288" s="54" t="str">
        <f t="shared" si="523"/>
        <v/>
      </c>
      <c r="GV288" s="54" t="e">
        <f>IF(GU288="",NA(),SUM($GU$4:GU288))</f>
        <v>#N/A</v>
      </c>
      <c r="GW288" s="54">
        <f t="shared" si="524"/>
        <v>-4.3787629994526137E-2</v>
      </c>
      <c r="GX288" s="54">
        <f>IF(GW288="",NA(),SUM($GW$4:GW288))</f>
        <v>4.305288447398576</v>
      </c>
      <c r="GY288" s="54" t="str">
        <f t="shared" si="525"/>
        <v/>
      </c>
      <c r="GZ288" s="54" t="e">
        <f>IF(GY288="",NA(),SUM($GY$4:GY288))</f>
        <v>#N/A</v>
      </c>
      <c r="HA288" s="54" t="str">
        <f t="shared" si="526"/>
        <v/>
      </c>
      <c r="HB288" s="54" t="e">
        <f>IF(HA288="",NA(),SUM($HA$4:HA288))</f>
        <v>#N/A</v>
      </c>
      <c r="HC288" s="54" t="str">
        <f t="shared" si="527"/>
        <v/>
      </c>
      <c r="HD288" s="54" t="e">
        <f>IF(HC288="",NA(),SUM($HC$4:HC288))</f>
        <v>#N/A</v>
      </c>
      <c r="HE288" s="54" t="str">
        <f t="shared" si="528"/>
        <v/>
      </c>
      <c r="HF288" s="54" t="e">
        <f>IF(HE288="",NA(),SUM($HE$4:HE288))</f>
        <v>#N/A</v>
      </c>
      <c r="HG288" s="54" t="str">
        <f t="shared" si="529"/>
        <v/>
      </c>
      <c r="HH288" s="54" t="e">
        <f>IF(HG288="",NA(),SUM($HG$4:HG288))</f>
        <v>#N/A</v>
      </c>
      <c r="HI288" s="172" t="str">
        <f t="shared" si="542"/>
        <v/>
      </c>
      <c r="HJ288" s="172">
        <f>IF($J288="",#N/A,SUM(HI$4:$HI288))</f>
        <v>-6.581267424248483</v>
      </c>
      <c r="HK288" s="54" t="str">
        <f t="shared" si="530"/>
        <v/>
      </c>
      <c r="HL288" s="54">
        <f>IF($J288="",#N/A,SUM($HK$4:HK288))</f>
        <v>-0.96137086047813747</v>
      </c>
      <c r="HM288" s="54" t="str">
        <f t="shared" si="531"/>
        <v/>
      </c>
      <c r="HN288" s="54">
        <f>IF($J288="",#N/A,SUM($HM$4:HM288))</f>
        <v>0.6871920272168337</v>
      </c>
      <c r="HO288" s="54" t="str">
        <f t="shared" si="532"/>
        <v/>
      </c>
      <c r="HP288" s="54">
        <f>IF($J288="",#N/A,SUM($HO$4:HO288))</f>
        <v>-1.052184587939049</v>
      </c>
      <c r="HQ288" s="54" t="str">
        <f t="shared" si="533"/>
        <v/>
      </c>
      <c r="HR288" s="54">
        <f>IF($J288="",#N/A,SUM($HQ$4:HQ288))</f>
        <v>-15.383292657483977</v>
      </c>
      <c r="HS288" s="54">
        <f t="shared" si="534"/>
        <v>0.65134099616858121</v>
      </c>
      <c r="HT288" s="54">
        <f>IF($J288="",#N/A,SUM($HS$4:HS288))</f>
        <v>14.748433960765649</v>
      </c>
      <c r="HU288" s="65">
        <f t="shared" si="535"/>
        <v>0.60755336617405509</v>
      </c>
      <c r="HV288" s="65">
        <f>IF($J288="",#N/A,SUM(HU$4:$HU288))</f>
        <v>4.0004933560239673</v>
      </c>
    </row>
    <row r="289" spans="1:230" x14ac:dyDescent="0.25">
      <c r="A289" s="396" t="s">
        <v>1536</v>
      </c>
      <c r="B289" s="52" t="s">
        <v>4595</v>
      </c>
      <c r="C289" s="229">
        <f t="shared" si="436"/>
        <v>2</v>
      </c>
      <c r="D289" s="219" t="str">
        <f>_xlfn.XLOOKUP(A289,[1]SP500!$A$2:$A$502,[1]SP500!$D$2:$D$502,"N")</f>
        <v>Y</v>
      </c>
      <c r="E289" s="51" t="str">
        <f>IFERROR(_xlfn.XLOOKUP(A289,[1]SP500!$A$2:$A$655,[1]SP500!$B$2:$B$655),"")</f>
        <v>IGV</v>
      </c>
      <c r="F289" s="290">
        <v>45783</v>
      </c>
      <c r="G289" s="51" t="str">
        <f t="shared" si="437"/>
        <v>AMC</v>
      </c>
      <c r="H289" s="51" t="str">
        <f t="shared" si="438"/>
        <v>s</v>
      </c>
      <c r="I289" s="344">
        <v>25.72</v>
      </c>
      <c r="J289" s="124">
        <v>26.99</v>
      </c>
      <c r="K289" s="55">
        <f t="shared" si="439"/>
        <v>4.9377916018662503E-2</v>
      </c>
      <c r="L289" s="67">
        <f t="shared" si="440"/>
        <v>-57.150000000000091</v>
      </c>
      <c r="M289" s="57">
        <f t="shared" si="441"/>
        <v>0</v>
      </c>
      <c r="N289" s="102">
        <f t="shared" si="442"/>
        <v>-57.150000000000091</v>
      </c>
      <c r="O289" s="57">
        <f>IF(N289="",#N/A,SUM($N$4:N289))</f>
        <v>500.05575430328088</v>
      </c>
      <c r="P289" s="65">
        <f t="shared" si="536"/>
        <v>-0.82296526697771011</v>
      </c>
      <c r="Q289" s="172">
        <f>IF($N289="",#N/A,SUM($P$4:P289))</f>
        <v>11.720017631213434</v>
      </c>
      <c r="R289" s="279">
        <f t="shared" si="443"/>
        <v>1.8791604450412329</v>
      </c>
      <c r="S289" s="51" t="str">
        <f t="shared" si="444"/>
        <v>Dwn</v>
      </c>
      <c r="T289" s="51" t="s">
        <v>4461</v>
      </c>
      <c r="U289" s="56">
        <f t="shared" si="445"/>
        <v>25.72</v>
      </c>
      <c r="V289" s="56" t="s">
        <v>4458</v>
      </c>
      <c r="W289" s="142">
        <v>45</v>
      </c>
      <c r="X289" s="145">
        <f t="shared" si="446"/>
        <v>1157.3999999999999</v>
      </c>
      <c r="Y289" s="140">
        <f t="shared" si="447"/>
        <v>45</v>
      </c>
      <c r="Z289" s="123">
        <v>26.99</v>
      </c>
      <c r="AA289" s="102">
        <f t="shared" si="448"/>
        <v>-57.150000000000091</v>
      </c>
      <c r="AB289" s="102">
        <f t="shared" si="449"/>
        <v>-95.400000000000091</v>
      </c>
      <c r="AC289" s="124">
        <v>27.84</v>
      </c>
      <c r="AD289" s="155">
        <f t="shared" si="450"/>
        <v>-95.400000000000091</v>
      </c>
      <c r="AE289" s="545">
        <f t="shared" si="451"/>
        <v>-1.373768792120271</v>
      </c>
      <c r="AF289" s="57">
        <f>IF($AC289="",#N/A,SUM(AD$4:AD289))</f>
        <v>31.749804227768323</v>
      </c>
      <c r="AG289" s="102">
        <f t="shared" si="452"/>
        <v>-38.25</v>
      </c>
      <c r="AH289" s="56" t="s">
        <v>2507</v>
      </c>
      <c r="AI289" s="65">
        <f t="shared" si="453"/>
        <v>-0.82296526697771011</v>
      </c>
      <c r="AJ289" s="54">
        <f>IF(AI289="",#N/A,SUM($AI$4:AI289))</f>
        <v>9.840857186172201</v>
      </c>
      <c r="AK289" s="57">
        <f t="shared" si="454"/>
        <v>-57.150000000000091</v>
      </c>
      <c r="AL289" s="66">
        <f>IF(AI289="",#N/A,IF(AH289="Skip",SUM($AK$4:AK289),SUM($AK$4:AK289)))</f>
        <v>370.53759149281473</v>
      </c>
      <c r="AM289" s="65">
        <f t="shared" si="537"/>
        <v>-1.373768792120271</v>
      </c>
      <c r="AN289" s="210"/>
      <c r="AO289" s="65" t="str">
        <f t="shared" si="455"/>
        <v/>
      </c>
      <c r="AP289" s="65">
        <f>IF($AC289="",#N/A,SUM(AO$4:AO289))</f>
        <v>2.1322888615852449</v>
      </c>
      <c r="AQ289" s="65" t="str">
        <f t="shared" si="456"/>
        <v/>
      </c>
      <c r="AR289" s="65">
        <f>IF($AC289="",#N/A,SUM(AQ$4:AQ289))</f>
        <v>-5.6877420365355587</v>
      </c>
      <c r="AS289" s="65">
        <f t="shared" si="457"/>
        <v>-1.373768792120271</v>
      </c>
      <c r="AT289" s="65">
        <f>IF($AC289="",#N/A,SUM(AS$4:AS289))</f>
        <v>6.1821777388540093</v>
      </c>
      <c r="AU289" s="57" t="str">
        <f t="shared" si="538"/>
        <v/>
      </c>
      <c r="AV289" s="57">
        <f>IF($AC289="",#N/A,SUM(AU$4:AU289))</f>
        <v>-7.2975093389533185</v>
      </c>
      <c r="AW289" s="57" t="str">
        <f t="shared" si="539"/>
        <v/>
      </c>
      <c r="AX289" s="57">
        <f>IF($AC289="",#N/A,SUM(AW$4:AW289))</f>
        <v>-377.70106797961103</v>
      </c>
      <c r="AY289" s="57">
        <f t="shared" si="540"/>
        <v>-95.400000000000091</v>
      </c>
      <c r="AZ289" s="57">
        <f>IF($AC289="",#N/A,SUM(AY$4:AY289))</f>
        <v>416.74838154633267</v>
      </c>
      <c r="BA289" s="57">
        <f>IF(AD289="",#N/A,SUM($AD$4:AD289))</f>
        <v>31.749804227768323</v>
      </c>
      <c r="BC289" s="51" t="str">
        <f t="shared" si="458"/>
        <v/>
      </c>
      <c r="BD289" s="51">
        <f t="shared" si="459"/>
        <v>1</v>
      </c>
      <c r="BE289" s="51" t="str">
        <f t="shared" si="460"/>
        <v/>
      </c>
      <c r="BF289" s="51" t="str">
        <f t="shared" si="461"/>
        <v>Short</v>
      </c>
      <c r="BG289" s="51" t="str">
        <f t="shared" si="462"/>
        <v/>
      </c>
      <c r="BH289" s="51" t="str">
        <f t="shared" si="463"/>
        <v/>
      </c>
      <c r="BI289" s="51" t="str">
        <f t="shared" si="464"/>
        <v/>
      </c>
      <c r="BK289" s="65">
        <f t="shared" si="435"/>
        <v>-5.6295598708786511E-2</v>
      </c>
      <c r="BL289" s="65">
        <f t="shared" si="543"/>
        <v>-4.4689898145134709E-2</v>
      </c>
      <c r="BM289" s="65">
        <f>IFERROR(Q289/COUNTA($J$4:J289),#N/A)</f>
        <v>4.0979082626620401E-2</v>
      </c>
      <c r="BO289" s="489" t="e">
        <f>IF(J289="",#N/A,IF(S289="SW",(COUNTIFS(K$4:$K289,"&gt;0",S$4:$S289,"SW")/COUNTIF(S$4:$S289,"SW")),#N/A))</f>
        <v>#N/A</v>
      </c>
      <c r="BP289" s="489">
        <f>IF($J289="",#N/A,IF($S289="DWN",(COUNTIFS($K$4:$K289,"&lt;0",$S$4:$S289,"DWN")/COUNTIF($S$4:$S289,"DWN")),#N/A))</f>
        <v>0.58333333333333337</v>
      </c>
      <c r="BQ289" s="489" t="e">
        <f>IF($J289="",#N/A,IF($S289="UP",(COUNTIFS($K$4:$K289,"&gt;0",$S$4:$S289,"UP")/COUNTIF($S$4:$S289,"UP")),#N/A))</f>
        <v>#N/A</v>
      </c>
      <c r="BR289" s="489">
        <f>IF(J289="",#N/A,COUNTIF($K$4:K289,"&gt;0")/COUNT($J$4:J289))</f>
        <v>0.44755244755244755</v>
      </c>
      <c r="BS289" s="65" t="str">
        <f t="shared" si="465"/>
        <v/>
      </c>
      <c r="BT289" s="65" t="str">
        <f t="shared" si="466"/>
        <v/>
      </c>
      <c r="BU289" s="65" t="str">
        <f t="shared" si="467"/>
        <v/>
      </c>
      <c r="BV289" s="65">
        <f t="shared" si="468"/>
        <v>-0.82296526697771011</v>
      </c>
      <c r="BW289" s="128" t="str">
        <f t="shared" si="469"/>
        <v/>
      </c>
      <c r="BX289" s="128">
        <f>IF($J289="",#N/A,SUM($BW$4:BW289))</f>
        <v>-351.87317034792864</v>
      </c>
      <c r="BY289" s="131">
        <f t="shared" si="470"/>
        <v>-57.150000000000091</v>
      </c>
      <c r="BZ289" s="131">
        <f>IF($J289="",#N/A,SUM($BY$4:BY289))</f>
        <v>846.83734038933414</v>
      </c>
      <c r="CA289" s="133" t="str">
        <f t="shared" si="471"/>
        <v/>
      </c>
      <c r="CB289" s="133">
        <f>IF($J289="",#N/A,SUM($CA$4:CA289))</f>
        <v>5.0915842618753686</v>
      </c>
      <c r="CC289" s="194" t="str">
        <f t="shared" si="472"/>
        <v/>
      </c>
      <c r="CD289" s="194">
        <f>IF($J289="",#N/A,SUM($CC$4:CC289))</f>
        <v>-5.3227494758133416</v>
      </c>
      <c r="CE289" s="195">
        <f t="shared" si="473"/>
        <v>-0.82296526697771011</v>
      </c>
      <c r="CF289" s="195">
        <f>IF($J289="",#N/A,SUM($CE$4:CE289))</f>
        <v>14.275619548723203</v>
      </c>
      <c r="CG289" s="196" t="str">
        <f t="shared" si="474"/>
        <v/>
      </c>
      <c r="CH289" s="193">
        <f>IF($J289="",#N/A,SUM($CG$4:CG289))</f>
        <v>2.7671475583035767</v>
      </c>
      <c r="CI289" s="200" t="str">
        <f t="shared" si="475"/>
        <v/>
      </c>
      <c r="CJ289" s="203">
        <f>IF($J289="",#N/A,SUM(CI$4:CI289))</f>
        <v>0</v>
      </c>
      <c r="CK289" s="204" t="str">
        <f t="shared" si="476"/>
        <v/>
      </c>
      <c r="CL289" s="204">
        <f>IF($J289="",#N/A,SUM(CK$4:CK289))</f>
        <v>2.3607894150410869</v>
      </c>
      <c r="CM289" s="205" t="str">
        <f t="shared" si="477"/>
        <v/>
      </c>
      <c r="CN289" s="205">
        <f>IF($J289="",#N/A,SUM(CM$4:CM289))</f>
        <v>1.6152444684298783</v>
      </c>
      <c r="CO289" s="205">
        <f>IF($J289="",#N/A,SUM(CM$4:CM289,CK$4:CK289,CI$4:CI289))</f>
        <v>3.9760338834709654</v>
      </c>
      <c r="CP289" s="200" t="str">
        <f t="shared" si="478"/>
        <v/>
      </c>
      <c r="CQ289" s="203">
        <f>IF($J289="",#N/A,SUM(CP$4:CP289))</f>
        <v>-1.1156319314882757</v>
      </c>
      <c r="CR289" s="204">
        <f t="shared" si="479"/>
        <v>-0.82296526697771011</v>
      </c>
      <c r="CS289" s="204">
        <f>IF($J289="",#N/A,SUM(CR$4:CR289))</f>
        <v>2.3600225017004668</v>
      </c>
      <c r="CT289" s="205" t="str">
        <f t="shared" si="480"/>
        <v/>
      </c>
      <c r="CU289" s="205">
        <f>IF($J289="",#N/A,SUM(CT$4:CT289))</f>
        <v>-2.9040943753548785</v>
      </c>
      <c r="CV289" s="205">
        <f>IF($J289="",#N/A,SUM(CT$4:CT289,CR$4:CR289,CP$4:CP289))</f>
        <v>-1.6597038051426876</v>
      </c>
      <c r="CW289" s="200" t="str">
        <f t="shared" si="481"/>
        <v/>
      </c>
      <c r="CX289" s="203">
        <f>IF($J289="",#N/A,SUM(CW$4:CW289))</f>
        <v>-1.2839616145397621</v>
      </c>
      <c r="CY289" s="204" t="str">
        <f t="shared" si="482"/>
        <v/>
      </c>
      <c r="CZ289" s="204">
        <f>IF($J289="",#N/A,SUM(CY$4:CY289))</f>
        <v>0.37351298702481961</v>
      </c>
      <c r="DA289" s="205" t="str">
        <f t="shared" si="483"/>
        <v/>
      </c>
      <c r="DB289" s="205">
        <f>IF($J289="",#N/A,SUM(DA$4:DA289))</f>
        <v>-1.6929809429332021</v>
      </c>
      <c r="DC289" s="205">
        <f>IF($J289="",#N/A,SUM(DA$4:DA289,CY$4:CY289,CW$4:CW289))</f>
        <v>-2.6034295704481445</v>
      </c>
      <c r="DD289" s="200" t="str">
        <f t="shared" si="484"/>
        <v/>
      </c>
      <c r="DE289" s="203">
        <f>IF($J289="",#N/A,SUM(DD$4:DD289))</f>
        <v>0.24769343410817113</v>
      </c>
      <c r="DF289" s="204" t="str">
        <f t="shared" si="485"/>
        <v/>
      </c>
      <c r="DG289" s="204">
        <f>IF($J289="",#N/A,SUM(DF$4:DF289))</f>
        <v>1.7624645309390978</v>
      </c>
      <c r="DH289" s="205" t="str">
        <f t="shared" si="486"/>
        <v/>
      </c>
      <c r="DI289" s="205">
        <f>IF($J289="",#N/A,SUM(DH$4:DH289))</f>
        <v>-2.7812008102163399</v>
      </c>
      <c r="DJ289" s="205">
        <f>IF($J289="",#N/A,SUM(DH$4:DH289,DF$4:DF289,DD$4:DD289))</f>
        <v>-0.77104284516907118</v>
      </c>
      <c r="DK289" s="200" t="str">
        <f t="shared" si="487"/>
        <v/>
      </c>
      <c r="DL289" s="203">
        <f>IF($J289="",#N/A,SUM(DK$4:DK289))</f>
        <v>-1.2097286851272664</v>
      </c>
      <c r="DM289" s="204" t="str">
        <f t="shared" si="488"/>
        <v/>
      </c>
      <c r="DN289" s="204">
        <f>IF($J289="",#N/A,SUM(DM$4:DM289))</f>
        <v>3.0281848543081331</v>
      </c>
      <c r="DO289" s="205" t="str">
        <f t="shared" si="489"/>
        <v/>
      </c>
      <c r="DP289" s="205">
        <f>IF($J289="",#N/A,SUM(DO$4:DO289))</f>
        <v>2.700331529683047</v>
      </c>
      <c r="DQ289" s="205">
        <f>IF($J289="",#N/A,SUM(DO$4:DO289,DM$4:DM289,DK$4:DK289))</f>
        <v>4.518787698863914</v>
      </c>
      <c r="DR289" s="200" t="str">
        <f t="shared" si="490"/>
        <v/>
      </c>
      <c r="DS289" s="203">
        <f>IF($J289="",#N/A,SUM(DR$4:DR289))</f>
        <v>-0.55950946427675097</v>
      </c>
      <c r="DT289" s="204" t="str">
        <f t="shared" si="491"/>
        <v/>
      </c>
      <c r="DU289" s="204">
        <f>IF($J289="",#N/A,SUM(DT$4:DT289))</f>
        <v>-0.20750635820596686</v>
      </c>
      <c r="DV289" s="205" t="str">
        <f t="shared" si="492"/>
        <v/>
      </c>
      <c r="DW289" s="205">
        <f>IF($J289="",#N/A,SUM(DV$4:DV289))</f>
        <v>-1.5454397913873317</v>
      </c>
      <c r="DX289" s="205">
        <f>IF($J289="",#N/A,SUM(DV$4:DV289,DT$4:DT289,DR$4:DR289))</f>
        <v>-2.3124556138700489</v>
      </c>
      <c r="DY289" s="200" t="str">
        <f t="shared" si="493"/>
        <v/>
      </c>
      <c r="DZ289" s="203">
        <f>IF($J289="",#N/A,SUM(DY$4:DY289))</f>
        <v>-1.0460034109943892</v>
      </c>
      <c r="EA289" s="204" t="str">
        <f t="shared" si="494"/>
        <v/>
      </c>
      <c r="EB289" s="204">
        <f>IF($J289="",#N/A,SUM(EA$4:EA289))</f>
        <v>2.468538401202053</v>
      </c>
      <c r="EC289" s="205" t="str">
        <f t="shared" si="495"/>
        <v/>
      </c>
      <c r="ED289" s="205">
        <f>IF($J289="",#N/A,SUM(EC$4:EC289))</f>
        <v>4.5772092731053986</v>
      </c>
      <c r="EE289" s="205">
        <f>IF($J289="",#N/A,SUM(EC$4:EC289,EA$4:EA289,DY$4:DY289))</f>
        <v>5.9997442633130609</v>
      </c>
      <c r="EF289" s="200" t="str">
        <f t="shared" si="496"/>
        <v/>
      </c>
      <c r="EG289" s="203">
        <f>IF($J289="",#N/A,SUM(EF$4:EF289))</f>
        <v>-0.15098969023521425</v>
      </c>
      <c r="EH289" s="204" t="str">
        <f t="shared" si="497"/>
        <v/>
      </c>
      <c r="EI289" s="204">
        <f>IF($J289="",#N/A,SUM(EH$4:EH289))</f>
        <v>-1.9445201344224492</v>
      </c>
      <c r="EJ289" s="205" t="str">
        <f t="shared" si="498"/>
        <v/>
      </c>
      <c r="EK289" s="205">
        <f>IF($J289="",#N/A,SUM(EJ$4:EJ289))</f>
        <v>5.050388173053765</v>
      </c>
      <c r="EL289" s="205">
        <f>IF($J289="",#N/A,SUM(EJ$4:EJ289,EH$4:EH289,EF$4:EF289))</f>
        <v>2.9548783483961012</v>
      </c>
      <c r="EM289" s="200" t="str">
        <f t="shared" si="499"/>
        <v/>
      </c>
      <c r="EN289" s="203">
        <f>IF($J289="",#N/A,SUM(EM$4:EM289))</f>
        <v>0</v>
      </c>
      <c r="EO289" s="204" t="str">
        <f t="shared" si="500"/>
        <v/>
      </c>
      <c r="EP289" s="204">
        <f>IF($J289="",#N/A,SUM(EO$4:EO289))</f>
        <v>2.0574787067554756</v>
      </c>
      <c r="EQ289" s="205" t="str">
        <f t="shared" si="501"/>
        <v/>
      </c>
      <c r="ER289" s="205">
        <f>IF($J289="",#N/A,SUM(EQ$4:EQ289))</f>
        <v>1.3977486422552698</v>
      </c>
      <c r="ES289" s="205">
        <f>IF($J289="",#N/A,SUM(EQ$4:EQ289,EO$4:EO289,EM$4:EM289))</f>
        <v>3.455227349010745</v>
      </c>
      <c r="ET289" s="200" t="str">
        <f t="shared" si="502"/>
        <v/>
      </c>
      <c r="EU289" s="203">
        <f>IF($J289="",#N/A,SUM(ET$4:ET289))</f>
        <v>0</v>
      </c>
      <c r="EV289" s="204" t="str">
        <f t="shared" si="503"/>
        <v/>
      </c>
      <c r="EW289" s="204">
        <f>IF($J289="",#N/A,SUM(EV$4:EV289))</f>
        <v>2.3297323921502326</v>
      </c>
      <c r="EX289" s="205" t="str">
        <f t="shared" si="504"/>
        <v/>
      </c>
      <c r="EY289" s="205">
        <f>IF($J289="",#N/A,SUM(EX$4:EX289))</f>
        <v>0.27113250180669229</v>
      </c>
      <c r="EZ289" s="205">
        <f>IF($J289="",#N/A,SUM(EX$4:EX289,EV$4:EV289,ET$4:ET289))</f>
        <v>2.6008648939569246</v>
      </c>
      <c r="FA289" s="200" t="str">
        <f t="shared" si="505"/>
        <v/>
      </c>
      <c r="FB289" s="203">
        <f>IF($J289="",#N/A,SUM(FA$4:FA289))</f>
        <v>-0.27145310509113252</v>
      </c>
      <c r="FC289" s="204" t="str">
        <f t="shared" si="506"/>
        <v/>
      </c>
      <c r="FD289" s="204">
        <f>IF($J289="",#N/A,SUM(FC$4:FC289))</f>
        <v>1.204376144197403</v>
      </c>
      <c r="FE289" s="205" t="str">
        <f t="shared" si="507"/>
        <v/>
      </c>
      <c r="FF289" s="205">
        <f>IF($J289="",#N/A,SUM(FE$4:FE289))</f>
        <v>-0.28811149078748233</v>
      </c>
      <c r="FG289" s="205">
        <f>IF($J289="",#N/A,SUM(FE$4:FE289,FC$4:FC289,FA$4:FA289))</f>
        <v>0.64481154831878851</v>
      </c>
      <c r="FH289" s="200" t="str">
        <f t="shared" si="508"/>
        <v/>
      </c>
      <c r="FI289" s="203">
        <f>IF($J289="",#N/A,SUM(FH$4:FH289))</f>
        <v>0</v>
      </c>
      <c r="FJ289" s="204" t="str">
        <f t="shared" si="509"/>
        <v/>
      </c>
      <c r="FK289" s="204">
        <f>IF($J289="",#N/A,SUM(FJ$4:FJ289))</f>
        <v>0</v>
      </c>
      <c r="FL289" s="205" t="str">
        <f t="shared" si="510"/>
        <v/>
      </c>
      <c r="FM289" s="205">
        <f>IF($J289="",#N/A,SUM(FL$4:FL289))</f>
        <v>0</v>
      </c>
      <c r="FN289" s="205">
        <f>IF($J289="",#N/A,SUM(FL$4:FL289,FJ$4:FJ289,FH$4:FH289))</f>
        <v>0</v>
      </c>
      <c r="FO289" s="200" t="str">
        <f t="shared" si="511"/>
        <v/>
      </c>
      <c r="FP289" s="203">
        <f>IF($J289="",#N/A,SUM(FO$4:FO289))</f>
        <v>0</v>
      </c>
      <c r="FQ289" s="204" t="str">
        <f t="shared" si="512"/>
        <v/>
      </c>
      <c r="FR289" s="204">
        <f>IF($J289="",#N/A,SUM(FQ$4:FQ289))</f>
        <v>0</v>
      </c>
      <c r="FS289" s="205" t="str">
        <f t="shared" si="513"/>
        <v/>
      </c>
      <c r="FT289" s="205">
        <f>IF($J289="",#N/A,SUM(FS$4:FS289))</f>
        <v>0</v>
      </c>
      <c r="FU289" s="205">
        <f>IF($J289="",#N/A,SUM(FS$4:FS289,FQ$4:FQ289,FO$4:FO289))</f>
        <v>0</v>
      </c>
      <c r="FV289" s="200" t="str">
        <f t="shared" si="514"/>
        <v/>
      </c>
      <c r="FW289" s="203">
        <f>IF($J289="",#N/A,SUM(FV$4:FV289))</f>
        <v>6.6834991831277585E-2</v>
      </c>
      <c r="FX289" s="204" t="str">
        <f t="shared" si="515"/>
        <v/>
      </c>
      <c r="FY289" s="204">
        <f>IF($J289="",#N/A,SUM(FX$4:FX289))</f>
        <v>-0.16102012791805576</v>
      </c>
      <c r="FZ289" s="205" t="str">
        <f t="shared" si="516"/>
        <v/>
      </c>
      <c r="GA289" s="205">
        <f>IF($J289="",#N/A,SUM(FZ$4:FZ289))</f>
        <v>-0.69624339162892301</v>
      </c>
      <c r="GB289" s="205">
        <f>IF($J289="",#N/A,SUM(FZ$4:FZ289,FX$4:FX289,FV$4:FV289))</f>
        <v>-0.79042852771570116</v>
      </c>
      <c r="GC289" s="200" t="str">
        <f t="shared" si="517"/>
        <v/>
      </c>
      <c r="GD289" s="203">
        <f>IF($J289="",#N/A,SUM(GC$4:GC289))</f>
        <v>0</v>
      </c>
      <c r="GE289" s="204" t="str">
        <f t="shared" si="518"/>
        <v/>
      </c>
      <c r="GF289" s="204">
        <f>IF($J289="",#N/A,SUM(GE$4:GE289))</f>
        <v>0</v>
      </c>
      <c r="GG289" s="205" t="str">
        <f t="shared" si="519"/>
        <v/>
      </c>
      <c r="GH289" s="205">
        <f>IF($J289="",#N/A,SUM(GG$4:GG289))</f>
        <v>-2.9368362277223206</v>
      </c>
      <c r="GI289" s="205">
        <f>IF($J289="",#N/A,SUM(GG$4:GG289,GE$4:GE289,GC$4:GC289))</f>
        <v>-2.9368362277223206</v>
      </c>
      <c r="GJ289" s="200" t="str">
        <f t="shared" si="520"/>
        <v/>
      </c>
      <c r="GK289" s="203">
        <f>IF($J289="",#N/A,SUM(GJ$4:GJ289))</f>
        <v>0</v>
      </c>
      <c r="GL289" s="204" t="str">
        <f t="shared" si="521"/>
        <v/>
      </c>
      <c r="GM289" s="204">
        <f>IF($J289="",#N/A,SUM(GL$4:GL289))</f>
        <v>-1.6833790887309608</v>
      </c>
      <c r="GN289" s="205" t="str">
        <f t="shared" si="522"/>
        <v/>
      </c>
      <c r="GO289" s="205">
        <f>IF($J289="",#N/A,SUM(GN$4:GN289))</f>
        <v>0</v>
      </c>
      <c r="GP289" s="205">
        <f>IF($J289="",#N/A,SUM(GN$4:GN289,GL$4:GL289,GJ$4:GJ289))</f>
        <v>-1.6833790887309608</v>
      </c>
      <c r="GS289" s="54">
        <f t="shared" si="541"/>
        <v>-0.82296526697771011</v>
      </c>
      <c r="GT289" s="54">
        <f>IF(GS289="",NA(),SUM($GS$4:GS289))</f>
        <v>8.3016468017058784</v>
      </c>
      <c r="GU289" s="54" t="str">
        <f t="shared" si="523"/>
        <v/>
      </c>
      <c r="GV289" s="54" t="e">
        <f>IF(GU289="",NA(),SUM($GU$4:GU289))</f>
        <v>#N/A</v>
      </c>
      <c r="GW289" s="54" t="str">
        <f t="shared" si="524"/>
        <v/>
      </c>
      <c r="GX289" s="54" t="e">
        <f>IF(GW289="",NA(),SUM($GW$4:GW289))</f>
        <v>#N/A</v>
      </c>
      <c r="GY289" s="54">
        <f t="shared" si="525"/>
        <v>-0.82296526697771011</v>
      </c>
      <c r="GZ289" s="54">
        <f>IF(GY289="",NA(),SUM($GY$4:GY289))</f>
        <v>9.3191078301206467</v>
      </c>
      <c r="HA289" s="54" t="str">
        <f t="shared" si="526"/>
        <v/>
      </c>
      <c r="HB289" s="54" t="e">
        <f>IF(HA289="",NA(),SUM($HA$4:HA289))</f>
        <v>#N/A</v>
      </c>
      <c r="HC289" s="54" t="str">
        <f t="shared" si="527"/>
        <v/>
      </c>
      <c r="HD289" s="54" t="e">
        <f>IF(HC289="",NA(),SUM($HC$4:HC289))</f>
        <v>#N/A</v>
      </c>
      <c r="HE289" s="54" t="str">
        <f t="shared" si="528"/>
        <v/>
      </c>
      <c r="HF289" s="54" t="e">
        <f>IF(HE289="",NA(),SUM($HE$4:HE289))</f>
        <v>#N/A</v>
      </c>
      <c r="HG289" s="54" t="str">
        <f t="shared" si="529"/>
        <v/>
      </c>
      <c r="HH289" s="54" t="e">
        <f>IF(HG289="",NA(),SUM($HG$4:HG289))</f>
        <v>#N/A</v>
      </c>
      <c r="HI289" s="172" t="str">
        <f t="shared" si="542"/>
        <v/>
      </c>
      <c r="HJ289" s="172">
        <f>IF($J289="",#N/A,SUM(HI$4:$HI289))</f>
        <v>-6.581267424248483</v>
      </c>
      <c r="HK289" s="54">
        <f t="shared" si="530"/>
        <v>-0.55080352514256092</v>
      </c>
      <c r="HL289" s="54">
        <f>IF($J289="",#N/A,SUM($HK$4:HK289))</f>
        <v>-1.5121743856206984</v>
      </c>
      <c r="HM289" s="54" t="str">
        <f t="shared" si="531"/>
        <v/>
      </c>
      <c r="HN289" s="54">
        <f>IF($J289="",#N/A,SUM($HM$4:HM289))</f>
        <v>0.6871920272168337</v>
      </c>
      <c r="HO289" s="54" t="str">
        <f t="shared" si="532"/>
        <v/>
      </c>
      <c r="HP289" s="54">
        <f>IF($J289="",#N/A,SUM($HO$4:HO289))</f>
        <v>-1.052184587939049</v>
      </c>
      <c r="HQ289" s="54" t="str">
        <f t="shared" si="533"/>
        <v/>
      </c>
      <c r="HR289" s="54">
        <f>IF($J289="",#N/A,SUM($HQ$4:HQ289))</f>
        <v>-15.383292657483977</v>
      </c>
      <c r="HS289" s="54" t="str">
        <f t="shared" si="534"/>
        <v/>
      </c>
      <c r="HT289" s="54">
        <f>IF($J289="",#N/A,SUM($HS$4:HS289))</f>
        <v>14.748433960765649</v>
      </c>
      <c r="HU289" s="65">
        <f t="shared" si="535"/>
        <v>-1.373768792120271</v>
      </c>
      <c r="HV289" s="65">
        <f>IF($J289="",#N/A,SUM(HU$4:$HU289))</f>
        <v>2.6267245639036965</v>
      </c>
    </row>
    <row r="290" spans="1:230" x14ac:dyDescent="0.25">
      <c r="A290" s="275" t="s">
        <v>78</v>
      </c>
      <c r="B290" s="52" t="s">
        <v>4595</v>
      </c>
      <c r="C290" s="276">
        <f t="shared" si="436"/>
        <v>3</v>
      </c>
      <c r="D290" s="277" t="str">
        <f>_xlfn.XLOOKUP(A290,[1]SP500!$A$2:$A$502,[1]SP500!$D$2:$D$502,"N")</f>
        <v>Y</v>
      </c>
      <c r="E290" s="275" t="str">
        <f>IFERROR(_xlfn.XLOOKUP(A290,[1]SP500!$A$2:$A$655,[1]SP500!$B$2:$B$655),"")</f>
        <v>XLY</v>
      </c>
      <c r="F290" s="290">
        <v>45783</v>
      </c>
      <c r="G290" s="51" t="str">
        <f t="shared" si="437"/>
        <v>AMC</v>
      </c>
      <c r="H290" s="51" t="str">
        <f t="shared" si="438"/>
        <v>s</v>
      </c>
      <c r="I290" s="344">
        <v>83.52</v>
      </c>
      <c r="J290" s="123">
        <v>86.2</v>
      </c>
      <c r="K290" s="55">
        <f t="shared" si="439"/>
        <v>3.2088122605364068E-2</v>
      </c>
      <c r="L290" s="67">
        <f t="shared" si="440"/>
        <v>37.519999999999982</v>
      </c>
      <c r="M290" s="57">
        <f t="shared" si="441"/>
        <v>0</v>
      </c>
      <c r="N290" s="102">
        <f t="shared" si="442"/>
        <v>37.519999999999982</v>
      </c>
      <c r="O290" s="57">
        <f>IF(N290="",#N/A,SUM($N$4:N290))</f>
        <v>537.57575430328086</v>
      </c>
      <c r="P290" s="65">
        <f t="shared" si="536"/>
        <v>0.53480204342273285</v>
      </c>
      <c r="Q290" s="172">
        <f>IF($N290="",#N/A,SUM($P$4:P290))</f>
        <v>12.254819674636167</v>
      </c>
      <c r="R290" s="279">
        <f t="shared" si="443"/>
        <v>1.8791604450412329</v>
      </c>
      <c r="S290" s="51" t="str">
        <f t="shared" si="444"/>
        <v>SW</v>
      </c>
      <c r="T290" s="51" t="s">
        <v>2828</v>
      </c>
      <c r="U290" s="56">
        <f t="shared" si="445"/>
        <v>83.52</v>
      </c>
      <c r="V290" s="56" t="s">
        <v>4460</v>
      </c>
      <c r="W290" s="142">
        <v>14</v>
      </c>
      <c r="X290" s="145">
        <f t="shared" si="446"/>
        <v>1169.28</v>
      </c>
      <c r="Y290" s="140">
        <f t="shared" si="447"/>
        <v>14</v>
      </c>
      <c r="Z290" s="123">
        <v>86.2</v>
      </c>
      <c r="AA290" s="102">
        <f t="shared" si="448"/>
        <v>37.519999999999982</v>
      </c>
      <c r="AB290" s="102">
        <f t="shared" si="449"/>
        <v>8.4000000000000909</v>
      </c>
      <c r="AC290" s="124">
        <v>84.12</v>
      </c>
      <c r="AD290" s="155">
        <f t="shared" si="450"/>
        <v>8.4000000000000909</v>
      </c>
      <c r="AE290" s="545">
        <f t="shared" si="451"/>
        <v>0.11973180076628484</v>
      </c>
      <c r="AF290" s="57">
        <f>IF($AC290="",#N/A,SUM(AD$4:AD290))</f>
        <v>40.149804227768414</v>
      </c>
      <c r="AG290" s="102">
        <f t="shared" si="452"/>
        <v>-29.119999999999891</v>
      </c>
      <c r="AH290" s="56" t="s">
        <v>2507</v>
      </c>
      <c r="AI290" s="65">
        <f t="shared" si="453"/>
        <v>0.53480204342273285</v>
      </c>
      <c r="AJ290" s="108">
        <f>IF(AI290="",#N/A,SUM($AI$4:AI290))</f>
        <v>10.375659229594934</v>
      </c>
      <c r="AK290" s="57">
        <f t="shared" si="454"/>
        <v>37.519999999999982</v>
      </c>
      <c r="AL290" s="66">
        <f>IF(AI290="",#N/A,IF(AH290="Skip",SUM($AK$4:AK290),SUM($AK$4:AK290)))</f>
        <v>408.05759149281471</v>
      </c>
      <c r="AM290" s="65">
        <f t="shared" si="537"/>
        <v>0.11973180076628484</v>
      </c>
      <c r="AN290" s="210"/>
      <c r="AO290" s="65">
        <f t="shared" si="455"/>
        <v>0.11973180076628484</v>
      </c>
      <c r="AP290" s="65">
        <f>IF($AC290="",#N/A,SUM(AO$4:AO290))</f>
        <v>2.2520206623515295</v>
      </c>
      <c r="AQ290" s="65" t="str">
        <f t="shared" si="456"/>
        <v/>
      </c>
      <c r="AR290" s="65">
        <f>IF($AC290="",#N/A,SUM(AQ$4:AQ290))</f>
        <v>-5.6877420365355587</v>
      </c>
      <c r="AS290" s="65" t="str">
        <f t="shared" si="457"/>
        <v/>
      </c>
      <c r="AT290" s="65">
        <f>IF($AC290="",#N/A,SUM(AS$4:AS290))</f>
        <v>6.1821777388540093</v>
      </c>
      <c r="AU290" s="57">
        <f t="shared" si="538"/>
        <v>8.4000000000000909</v>
      </c>
      <c r="AV290" s="57">
        <f>IF($AC290="",#N/A,SUM(AU$4:AU290))</f>
        <v>1.1024906610467724</v>
      </c>
      <c r="AW290" s="57" t="str">
        <f t="shared" si="539"/>
        <v/>
      </c>
      <c r="AX290" s="57">
        <f>IF($AC290="",#N/A,SUM(AW$4:AW290))</f>
        <v>-377.70106797961103</v>
      </c>
      <c r="AY290" s="57" t="str">
        <f t="shared" si="540"/>
        <v/>
      </c>
      <c r="AZ290" s="57">
        <f>IF($AC290="",#N/A,SUM(AY$4:AY290))</f>
        <v>416.74838154633267</v>
      </c>
      <c r="BA290" s="57">
        <f>IF(AD290="",#N/A,SUM($AD$4:AD290))</f>
        <v>40.149804227768414</v>
      </c>
      <c r="BC290" s="51" t="str">
        <f t="shared" si="458"/>
        <v/>
      </c>
      <c r="BD290" s="51" t="str">
        <f t="shared" si="459"/>
        <v/>
      </c>
      <c r="BE290" s="51">
        <f t="shared" si="460"/>
        <v>1</v>
      </c>
      <c r="BF290" s="51" t="str">
        <f t="shared" si="461"/>
        <v>Long</v>
      </c>
      <c r="BG290" s="51" t="str">
        <f t="shared" si="462"/>
        <v/>
      </c>
      <c r="BH290" s="51" t="str">
        <f t="shared" si="463"/>
        <v/>
      </c>
      <c r="BI290" s="51" t="str">
        <f t="shared" si="464"/>
        <v/>
      </c>
      <c r="BK290" s="65">
        <f t="shared" si="435"/>
        <v>-4.463730441777141E-2</v>
      </c>
      <c r="BL290" s="65">
        <f t="shared" si="543"/>
        <v>-3.4109810279969753E-2</v>
      </c>
      <c r="BM290" s="65">
        <f>IFERROR(Q290/COUNTA($J$4:J290),#N/A)</f>
        <v>4.2699720120683508E-2</v>
      </c>
      <c r="BO290" s="489">
        <f>IF(J290="",#N/A,IF(S290="SW",(COUNTIFS(K$4:$K290,"&gt;0",S$4:$S290,"SW")/COUNTIF(S$4:$S290,"SW")),#N/A))</f>
        <v>0.49275362318840582</v>
      </c>
      <c r="BP290" s="489" t="e">
        <f>IF($J290="",#N/A,IF($S290="DWN",(COUNTIFS($K$4:$K290,"&lt;0",$S$4:$S290,"DWN")/COUNTIF($S$4:$S290,"DWN")),#N/A))</f>
        <v>#N/A</v>
      </c>
      <c r="BQ290" s="489" t="e">
        <f>IF($J290="",#N/A,IF($S290="UP",(COUNTIFS($K$4:$K290,"&gt;0",$S$4:$S290,"UP")/COUNTIF($S$4:$S290,"UP")),#N/A))</f>
        <v>#N/A</v>
      </c>
      <c r="BR290" s="489">
        <f>IF(J290="",#N/A,COUNTIF($K$4:K290,"&gt;0")/COUNT($J$4:J290))</f>
        <v>0.44947735191637633</v>
      </c>
      <c r="BS290" s="65">
        <f t="shared" si="465"/>
        <v>0.53480204342273285</v>
      </c>
      <c r="BT290" s="65" t="str">
        <f t="shared" si="466"/>
        <v/>
      </c>
      <c r="BU290" s="65" t="str">
        <f t="shared" si="467"/>
        <v/>
      </c>
      <c r="BV290" s="65" t="str">
        <f t="shared" si="468"/>
        <v/>
      </c>
      <c r="BW290" s="128" t="str">
        <f t="shared" si="469"/>
        <v/>
      </c>
      <c r="BX290" s="128">
        <f>IF($J290="",#N/A,SUM($BW$4:BW290))</f>
        <v>-351.87317034792864</v>
      </c>
      <c r="BY290" s="131" t="str">
        <f t="shared" si="470"/>
        <v/>
      </c>
      <c r="BZ290" s="131">
        <f>IF($J290="",#N/A,SUM($BY$4:BY290))</f>
        <v>846.83734038933414</v>
      </c>
      <c r="CA290" s="133">
        <f t="shared" si="471"/>
        <v>37.519999999999982</v>
      </c>
      <c r="CB290" s="133">
        <f>IF($J290="",#N/A,SUM($CA$4:CA290))</f>
        <v>42.61158426187535</v>
      </c>
      <c r="CC290" s="194" t="str">
        <f t="shared" si="472"/>
        <v/>
      </c>
      <c r="CD290" s="194">
        <f>IF($J290="",#N/A,SUM($CC$4:CC290))</f>
        <v>-5.3227494758133416</v>
      </c>
      <c r="CE290" s="195" t="str">
        <f t="shared" si="473"/>
        <v/>
      </c>
      <c r="CF290" s="195">
        <f>IF($J290="",#N/A,SUM($CE$4:CE290))</f>
        <v>14.275619548723203</v>
      </c>
      <c r="CG290" s="196">
        <f t="shared" si="474"/>
        <v>0.53480204342273285</v>
      </c>
      <c r="CH290" s="196">
        <f>IF($J290="",#N/A,SUM($CG$4:CG290))</f>
        <v>3.3019496017263097</v>
      </c>
      <c r="CI290" s="200" t="str">
        <f t="shared" si="475"/>
        <v/>
      </c>
      <c r="CJ290" s="203">
        <f>IF($J290="",#N/A,SUM(CI$4:CI290))</f>
        <v>0</v>
      </c>
      <c r="CK290" s="204" t="str">
        <f t="shared" si="476"/>
        <v/>
      </c>
      <c r="CL290" s="204">
        <f>IF($J290="",#N/A,SUM(CK$4:CK290))</f>
        <v>2.3607894150410869</v>
      </c>
      <c r="CM290" s="205" t="str">
        <f t="shared" si="477"/>
        <v/>
      </c>
      <c r="CN290" s="205">
        <f>IF($J290="",#N/A,SUM(CM$4:CM290))</f>
        <v>1.6152444684298783</v>
      </c>
      <c r="CO290" s="205">
        <f>IF($J290="",#N/A,SUM(CM$4:CM290,CK$4:CK290,CI$4:CI290))</f>
        <v>3.9760338834709654</v>
      </c>
      <c r="CP290" s="200" t="str">
        <f t="shared" si="478"/>
        <v/>
      </c>
      <c r="CQ290" s="203">
        <f>IF($J290="",#N/A,SUM(CP$4:CP290))</f>
        <v>-1.1156319314882757</v>
      </c>
      <c r="CR290" s="204" t="str">
        <f t="shared" si="479"/>
        <v/>
      </c>
      <c r="CS290" s="204">
        <f>IF($J290="",#N/A,SUM(CR$4:CR290))</f>
        <v>2.3600225017004668</v>
      </c>
      <c r="CT290" s="205" t="str">
        <f t="shared" si="480"/>
        <v/>
      </c>
      <c r="CU290" s="205">
        <f>IF($J290="",#N/A,SUM(CT$4:CT290))</f>
        <v>-2.9040943753548785</v>
      </c>
      <c r="CV290" s="205">
        <f>IF($J290="",#N/A,SUM(CT$4:CT290,CR$4:CR290,CP$4:CP290))</f>
        <v>-1.6597038051426876</v>
      </c>
      <c r="CW290" s="200" t="str">
        <f t="shared" si="481"/>
        <v/>
      </c>
      <c r="CX290" s="203">
        <f>IF($J290="",#N/A,SUM(CW$4:CW290))</f>
        <v>-1.2839616145397621</v>
      </c>
      <c r="CY290" s="204" t="str">
        <f t="shared" si="482"/>
        <v/>
      </c>
      <c r="CZ290" s="204">
        <f>IF($J290="",#N/A,SUM(CY$4:CY290))</f>
        <v>0.37351298702481961</v>
      </c>
      <c r="DA290" s="205">
        <f t="shared" si="483"/>
        <v>0.53480204342273285</v>
      </c>
      <c r="DB290" s="205">
        <f>IF($J290="",#N/A,SUM(DA$4:DA290))</f>
        <v>-1.1581788995104692</v>
      </c>
      <c r="DC290" s="205">
        <f>IF($J290="",#N/A,SUM(DA$4:DA290,CY$4:CY290,CW$4:CW290))</f>
        <v>-2.068627527025412</v>
      </c>
      <c r="DD290" s="200" t="str">
        <f t="shared" si="484"/>
        <v/>
      </c>
      <c r="DE290" s="203">
        <f>IF($J290="",#N/A,SUM(DD$4:DD290))</f>
        <v>0.24769343410817113</v>
      </c>
      <c r="DF290" s="204" t="str">
        <f t="shared" si="485"/>
        <v/>
      </c>
      <c r="DG290" s="204">
        <f>IF($J290="",#N/A,SUM(DF$4:DF290))</f>
        <v>1.7624645309390978</v>
      </c>
      <c r="DH290" s="205" t="str">
        <f t="shared" si="486"/>
        <v/>
      </c>
      <c r="DI290" s="205">
        <f>IF($J290="",#N/A,SUM(DH$4:DH290))</f>
        <v>-2.7812008102163399</v>
      </c>
      <c r="DJ290" s="205">
        <f>IF($J290="",#N/A,SUM(DH$4:DH290,DF$4:DF290,DD$4:DD290))</f>
        <v>-0.77104284516907118</v>
      </c>
      <c r="DK290" s="200" t="str">
        <f t="shared" si="487"/>
        <v/>
      </c>
      <c r="DL290" s="203">
        <f>IF($J290="",#N/A,SUM(DK$4:DK290))</f>
        <v>-1.2097286851272664</v>
      </c>
      <c r="DM290" s="204" t="str">
        <f t="shared" si="488"/>
        <v/>
      </c>
      <c r="DN290" s="204">
        <f>IF($J290="",#N/A,SUM(DM$4:DM290))</f>
        <v>3.0281848543081331</v>
      </c>
      <c r="DO290" s="205" t="str">
        <f t="shared" si="489"/>
        <v/>
      </c>
      <c r="DP290" s="205">
        <f>IF($J290="",#N/A,SUM(DO$4:DO290))</f>
        <v>2.700331529683047</v>
      </c>
      <c r="DQ290" s="205">
        <f>IF($J290="",#N/A,SUM(DO$4:DO290,DM$4:DM290,DK$4:DK290))</f>
        <v>4.518787698863914</v>
      </c>
      <c r="DR290" s="200" t="str">
        <f t="shared" si="490"/>
        <v/>
      </c>
      <c r="DS290" s="203">
        <f>IF($J290="",#N/A,SUM(DR$4:DR290))</f>
        <v>-0.55950946427675097</v>
      </c>
      <c r="DT290" s="204" t="str">
        <f t="shared" si="491"/>
        <v/>
      </c>
      <c r="DU290" s="204">
        <f>IF($J290="",#N/A,SUM(DT$4:DT290))</f>
        <v>-0.20750635820596686</v>
      </c>
      <c r="DV290" s="205" t="str">
        <f t="shared" si="492"/>
        <v/>
      </c>
      <c r="DW290" s="205">
        <f>IF($J290="",#N/A,SUM(DV$4:DV290))</f>
        <v>-1.5454397913873317</v>
      </c>
      <c r="DX290" s="205">
        <f>IF($J290="",#N/A,SUM(DV$4:DV290,DT$4:DT290,DR$4:DR290))</f>
        <v>-2.3124556138700489</v>
      </c>
      <c r="DY290" s="200" t="str">
        <f t="shared" si="493"/>
        <v/>
      </c>
      <c r="DZ290" s="203">
        <f>IF($J290="",#N/A,SUM(DY$4:DY290))</f>
        <v>-1.0460034109943892</v>
      </c>
      <c r="EA290" s="204" t="str">
        <f t="shared" si="494"/>
        <v/>
      </c>
      <c r="EB290" s="204">
        <f>IF($J290="",#N/A,SUM(EA$4:EA290))</f>
        <v>2.468538401202053</v>
      </c>
      <c r="EC290" s="205" t="str">
        <f t="shared" si="495"/>
        <v/>
      </c>
      <c r="ED290" s="205">
        <f>IF($J290="",#N/A,SUM(EC$4:EC290))</f>
        <v>4.5772092731053986</v>
      </c>
      <c r="EE290" s="205">
        <f>IF($J290="",#N/A,SUM(EC$4:EC290,EA$4:EA290,DY$4:DY290))</f>
        <v>5.9997442633130609</v>
      </c>
      <c r="EF290" s="200" t="str">
        <f t="shared" si="496"/>
        <v/>
      </c>
      <c r="EG290" s="203">
        <f>IF($J290="",#N/A,SUM(EF$4:EF290))</f>
        <v>-0.15098969023521425</v>
      </c>
      <c r="EH290" s="204" t="str">
        <f t="shared" si="497"/>
        <v/>
      </c>
      <c r="EI290" s="204">
        <f>IF($J290="",#N/A,SUM(EH$4:EH290))</f>
        <v>-1.9445201344224492</v>
      </c>
      <c r="EJ290" s="205" t="str">
        <f t="shared" si="498"/>
        <v/>
      </c>
      <c r="EK290" s="205">
        <f>IF($J290="",#N/A,SUM(EJ$4:EJ290))</f>
        <v>5.050388173053765</v>
      </c>
      <c r="EL290" s="205">
        <f>IF($J290="",#N/A,SUM(EJ$4:EJ290,EH$4:EH290,EF$4:EF290))</f>
        <v>2.9548783483961012</v>
      </c>
      <c r="EM290" s="200" t="str">
        <f t="shared" si="499"/>
        <v/>
      </c>
      <c r="EN290" s="203">
        <f>IF($J290="",#N/A,SUM(EM$4:EM290))</f>
        <v>0</v>
      </c>
      <c r="EO290" s="204" t="str">
        <f t="shared" si="500"/>
        <v/>
      </c>
      <c r="EP290" s="204">
        <f>IF($J290="",#N/A,SUM(EO$4:EO290))</f>
        <v>2.0574787067554756</v>
      </c>
      <c r="EQ290" s="205" t="str">
        <f t="shared" si="501"/>
        <v/>
      </c>
      <c r="ER290" s="205">
        <f>IF($J290="",#N/A,SUM(EQ$4:EQ290))</f>
        <v>1.3977486422552698</v>
      </c>
      <c r="ES290" s="205">
        <f>IF($J290="",#N/A,SUM(EQ$4:EQ290,EO$4:EO290,EM$4:EM290))</f>
        <v>3.455227349010745</v>
      </c>
      <c r="ET290" s="200" t="str">
        <f t="shared" si="502"/>
        <v/>
      </c>
      <c r="EU290" s="203">
        <f>IF($J290="",#N/A,SUM(ET$4:ET290))</f>
        <v>0</v>
      </c>
      <c r="EV290" s="204" t="str">
        <f t="shared" si="503"/>
        <v/>
      </c>
      <c r="EW290" s="204">
        <f>IF($J290="",#N/A,SUM(EV$4:EV290))</f>
        <v>2.3297323921502326</v>
      </c>
      <c r="EX290" s="205" t="str">
        <f t="shared" si="504"/>
        <v/>
      </c>
      <c r="EY290" s="205">
        <f>IF($J290="",#N/A,SUM(EX$4:EX290))</f>
        <v>0.27113250180669229</v>
      </c>
      <c r="EZ290" s="205">
        <f>IF($J290="",#N/A,SUM(EX$4:EX290,EV$4:EV290,ET$4:ET290))</f>
        <v>2.6008648939569246</v>
      </c>
      <c r="FA290" s="200" t="str">
        <f t="shared" si="505"/>
        <v/>
      </c>
      <c r="FB290" s="203">
        <f>IF($J290="",#N/A,SUM(FA$4:FA290))</f>
        <v>-0.27145310509113252</v>
      </c>
      <c r="FC290" s="204" t="str">
        <f t="shared" si="506"/>
        <v/>
      </c>
      <c r="FD290" s="204">
        <f>IF($J290="",#N/A,SUM(FC$4:FC290))</f>
        <v>1.204376144197403</v>
      </c>
      <c r="FE290" s="205" t="str">
        <f t="shared" si="507"/>
        <v/>
      </c>
      <c r="FF290" s="205">
        <f>IF($J290="",#N/A,SUM(FE$4:FE290))</f>
        <v>-0.28811149078748233</v>
      </c>
      <c r="FG290" s="205">
        <f>IF($J290="",#N/A,SUM(FE$4:FE290,FC$4:FC290,FA$4:FA290))</f>
        <v>0.64481154831878851</v>
      </c>
      <c r="FH290" s="200" t="str">
        <f t="shared" si="508"/>
        <v/>
      </c>
      <c r="FI290" s="203">
        <f>IF($J290="",#N/A,SUM(FH$4:FH290))</f>
        <v>0</v>
      </c>
      <c r="FJ290" s="204" t="str">
        <f t="shared" si="509"/>
        <v/>
      </c>
      <c r="FK290" s="204">
        <f>IF($J290="",#N/A,SUM(FJ$4:FJ290))</f>
        <v>0</v>
      </c>
      <c r="FL290" s="205" t="str">
        <f t="shared" si="510"/>
        <v/>
      </c>
      <c r="FM290" s="205">
        <f>IF($J290="",#N/A,SUM(FL$4:FL290))</f>
        <v>0</v>
      </c>
      <c r="FN290" s="205">
        <f>IF($J290="",#N/A,SUM(FL$4:FL290,FJ$4:FJ290,FH$4:FH290))</f>
        <v>0</v>
      </c>
      <c r="FO290" s="200" t="str">
        <f t="shared" si="511"/>
        <v/>
      </c>
      <c r="FP290" s="203">
        <f>IF($J290="",#N/A,SUM(FO$4:FO290))</f>
        <v>0</v>
      </c>
      <c r="FQ290" s="204" t="str">
        <f t="shared" si="512"/>
        <v/>
      </c>
      <c r="FR290" s="204">
        <f>IF($J290="",#N/A,SUM(FQ$4:FQ290))</f>
        <v>0</v>
      </c>
      <c r="FS290" s="205" t="str">
        <f t="shared" si="513"/>
        <v/>
      </c>
      <c r="FT290" s="205">
        <f>IF($J290="",#N/A,SUM(FS$4:FS290))</f>
        <v>0</v>
      </c>
      <c r="FU290" s="205">
        <f>IF($J290="",#N/A,SUM(FS$4:FS290,FQ$4:FQ290,FO$4:FO290))</f>
        <v>0</v>
      </c>
      <c r="FV290" s="200" t="str">
        <f t="shared" si="514"/>
        <v/>
      </c>
      <c r="FW290" s="203">
        <f>IF($J290="",#N/A,SUM(FV$4:FV290))</f>
        <v>6.6834991831277585E-2</v>
      </c>
      <c r="FX290" s="204" t="str">
        <f t="shared" si="515"/>
        <v/>
      </c>
      <c r="FY290" s="204">
        <f>IF($J290="",#N/A,SUM(FX$4:FX290))</f>
        <v>-0.16102012791805576</v>
      </c>
      <c r="FZ290" s="205" t="str">
        <f t="shared" si="516"/>
        <v/>
      </c>
      <c r="GA290" s="205">
        <f>IF($J290="",#N/A,SUM(FZ$4:FZ290))</f>
        <v>-0.69624339162892301</v>
      </c>
      <c r="GB290" s="205">
        <f>IF($J290="",#N/A,SUM(FZ$4:FZ290,FX$4:FX290,FV$4:FV290))</f>
        <v>-0.79042852771570116</v>
      </c>
      <c r="GC290" s="200" t="str">
        <f t="shared" si="517"/>
        <v/>
      </c>
      <c r="GD290" s="203">
        <f>IF($J290="",#N/A,SUM(GC$4:GC290))</f>
        <v>0</v>
      </c>
      <c r="GE290" s="204" t="str">
        <f t="shared" si="518"/>
        <v/>
      </c>
      <c r="GF290" s="204">
        <f>IF($J290="",#N/A,SUM(GE$4:GE290))</f>
        <v>0</v>
      </c>
      <c r="GG290" s="205" t="str">
        <f t="shared" si="519"/>
        <v/>
      </c>
      <c r="GH290" s="205">
        <f>IF($J290="",#N/A,SUM(GG$4:GG290))</f>
        <v>-2.9368362277223206</v>
      </c>
      <c r="GI290" s="205">
        <f>IF($J290="",#N/A,SUM(GG$4:GG290,GE$4:GE290,GC$4:GC290))</f>
        <v>-2.9368362277223206</v>
      </c>
      <c r="GJ290" s="200" t="str">
        <f t="shared" si="520"/>
        <v/>
      </c>
      <c r="GK290" s="203">
        <f>IF($J290="",#N/A,SUM(GJ$4:GJ290))</f>
        <v>0</v>
      </c>
      <c r="GL290" s="204" t="str">
        <f t="shared" si="521"/>
        <v/>
      </c>
      <c r="GM290" s="204">
        <f>IF($J290="",#N/A,SUM(GL$4:GL290))</f>
        <v>-1.6833790887309608</v>
      </c>
      <c r="GN290" s="205" t="str">
        <f t="shared" si="522"/>
        <v/>
      </c>
      <c r="GO290" s="205">
        <f>IF($J290="",#N/A,SUM(GN$4:GN290))</f>
        <v>0</v>
      </c>
      <c r="GP290" s="205">
        <f>IF($J290="",#N/A,SUM(GN$4:GN290,GL$4:GL290,GJ$4:GJ290))</f>
        <v>-1.6833790887309608</v>
      </c>
      <c r="GS290" s="54">
        <f t="shared" si="541"/>
        <v>0.53480204342273285</v>
      </c>
      <c r="GT290" s="54">
        <f>IF(GS290="",NA(),SUM($GS$4:GS290))</f>
        <v>8.8364488451286114</v>
      </c>
      <c r="GU290" s="54" t="str">
        <f t="shared" si="523"/>
        <v/>
      </c>
      <c r="GV290" s="54" t="e">
        <f>IF(GU290="",NA(),SUM($GU$4:GU290))</f>
        <v>#N/A</v>
      </c>
      <c r="GW290" s="54">
        <f t="shared" si="524"/>
        <v>0.53480204342273285</v>
      </c>
      <c r="GX290" s="54">
        <f>IF(GW290="",NA(),SUM($GW$4:GW290))</f>
        <v>4.8400904908213089</v>
      </c>
      <c r="GY290" s="54" t="str">
        <f t="shared" si="525"/>
        <v/>
      </c>
      <c r="GZ290" s="54" t="e">
        <f>IF(GY290="",NA(),SUM($GY$4:GY290))</f>
        <v>#N/A</v>
      </c>
      <c r="HA290" s="54" t="str">
        <f t="shared" si="526"/>
        <v/>
      </c>
      <c r="HB290" s="54" t="e">
        <f>IF(HA290="",NA(),SUM($HA$4:HA290))</f>
        <v>#N/A</v>
      </c>
      <c r="HC290" s="54" t="str">
        <f t="shared" si="527"/>
        <v/>
      </c>
      <c r="HD290" s="54" t="e">
        <f>IF(HC290="",NA(),SUM($HC$4:HC290))</f>
        <v>#N/A</v>
      </c>
      <c r="HE290" s="54" t="str">
        <f t="shared" si="528"/>
        <v/>
      </c>
      <c r="HF290" s="54" t="e">
        <f>IF(HE290="",NA(),SUM($HE$4:HE290))</f>
        <v>#N/A</v>
      </c>
      <c r="HG290" s="54" t="str">
        <f t="shared" si="529"/>
        <v/>
      </c>
      <c r="HH290" s="54" t="e">
        <f>IF(HG290="",NA(),SUM($HG$4:HG290))</f>
        <v>#N/A</v>
      </c>
      <c r="HI290" s="172" t="str">
        <f t="shared" si="542"/>
        <v/>
      </c>
      <c r="HJ290" s="172">
        <f>IF($J290="",#N/A,SUM(HI$4:$HI290))</f>
        <v>-6.581267424248483</v>
      </c>
      <c r="HK290" s="54" t="str">
        <f t="shared" si="530"/>
        <v/>
      </c>
      <c r="HL290" s="54">
        <f>IF($J290="",#N/A,SUM($HK$4:HK290))</f>
        <v>-1.5121743856206984</v>
      </c>
      <c r="HM290" s="54" t="str">
        <f t="shared" si="531"/>
        <v/>
      </c>
      <c r="HN290" s="54">
        <f>IF($J290="",#N/A,SUM($HM$4:HM290))</f>
        <v>0.6871920272168337</v>
      </c>
      <c r="HO290" s="54" t="str">
        <f t="shared" si="532"/>
        <v/>
      </c>
      <c r="HP290" s="54">
        <f>IF($J290="",#N/A,SUM($HO$4:HO290))</f>
        <v>-1.052184587939049</v>
      </c>
      <c r="HQ290" s="54">
        <f t="shared" si="533"/>
        <v>-0.41507024265644799</v>
      </c>
      <c r="HR290" s="54">
        <f>IF($J290="",#N/A,SUM($HQ$4:HQ290))</f>
        <v>-15.798362900140425</v>
      </c>
      <c r="HS290" s="54" t="str">
        <f t="shared" si="534"/>
        <v/>
      </c>
      <c r="HT290" s="54">
        <f>IF($J290="",#N/A,SUM($HS$4:HS290))</f>
        <v>14.748433960765649</v>
      </c>
      <c r="HU290" s="65">
        <f t="shared" si="535"/>
        <v>0.11973180076628484</v>
      </c>
      <c r="HV290" s="65">
        <f>IF($J290="",#N/A,SUM(HU$4:$HU290))</f>
        <v>2.7464563646699811</v>
      </c>
    </row>
    <row r="291" spans="1:230" x14ac:dyDescent="0.25">
      <c r="A291" s="51" t="s">
        <v>1500</v>
      </c>
      <c r="B291" s="52" t="s">
        <v>4596</v>
      </c>
      <c r="C291" s="229">
        <f t="shared" si="436"/>
        <v>2</v>
      </c>
      <c r="D291" s="219" t="str">
        <f>_xlfn.XLOOKUP(A291,[1]SP500!$A$2:$A$502,[1]SP500!$D$2:$D$502,"N")</f>
        <v>Y</v>
      </c>
      <c r="E291" s="51" t="str">
        <f>IFERROR(_xlfn.XLOOKUP(A291,[1]SP500!$A$2:$A$655,[1]SP500!$B$2:$B$655),"")</f>
        <v>XLK</v>
      </c>
      <c r="F291" s="290">
        <v>45784</v>
      </c>
      <c r="G291" s="51" t="str">
        <f t="shared" si="437"/>
        <v>BMO</v>
      </c>
      <c r="H291" s="51" t="str">
        <f t="shared" si="438"/>
        <v>s</v>
      </c>
      <c r="I291" s="344">
        <v>163.93</v>
      </c>
      <c r="J291" s="124">
        <v>163.46</v>
      </c>
      <c r="K291" s="55">
        <f t="shared" si="439"/>
        <v>-2.8670774110900925E-3</v>
      </c>
      <c r="L291" s="67">
        <f t="shared" si="440"/>
        <v>3.2899999999999636</v>
      </c>
      <c r="M291" s="57">
        <f t="shared" si="441"/>
        <v>0</v>
      </c>
      <c r="N291" s="102">
        <f t="shared" si="442"/>
        <v>3.2899999999999636</v>
      </c>
      <c r="O291" s="57">
        <f>IF(N291="",#N/A,SUM($N$4:N291))</f>
        <v>540.86575430328082</v>
      </c>
      <c r="P291" s="65">
        <f t="shared" si="536"/>
        <v>4.7784623518167799E-2</v>
      </c>
      <c r="Q291" s="172">
        <f>IF($N291="",#N/A,SUM($P$4:P291))</f>
        <v>12.302604298154334</v>
      </c>
      <c r="R291" s="279">
        <f t="shared" si="443"/>
        <v>1.8791604450412329</v>
      </c>
      <c r="S291" s="51" t="str">
        <f t="shared" si="444"/>
        <v>Dwn</v>
      </c>
      <c r="T291" s="51" t="s">
        <v>4462</v>
      </c>
      <c r="U291" s="56">
        <f t="shared" si="445"/>
        <v>163.93</v>
      </c>
      <c r="V291" s="56" t="s">
        <v>4458</v>
      </c>
      <c r="W291" s="142">
        <v>7</v>
      </c>
      <c r="X291" s="145">
        <f t="shared" si="446"/>
        <v>1147.51</v>
      </c>
      <c r="Y291" s="140">
        <f t="shared" si="447"/>
        <v>7</v>
      </c>
      <c r="Z291" s="123">
        <v>163.46</v>
      </c>
      <c r="AA291" s="102">
        <f t="shared" si="448"/>
        <v>3.2899999999999636</v>
      </c>
      <c r="AB291" s="102">
        <f t="shared" si="449"/>
        <v>-81.130000000000109</v>
      </c>
      <c r="AC291" s="124">
        <v>175.52</v>
      </c>
      <c r="AD291" s="155">
        <f t="shared" si="450"/>
        <v>-81.130000000000109</v>
      </c>
      <c r="AE291" s="545">
        <f t="shared" si="451"/>
        <v>-1.1783484820756842</v>
      </c>
      <c r="AF291" s="57">
        <f>IF($AC291="",#N/A,SUM(AD$4:AD291))</f>
        <v>-40.980195772231696</v>
      </c>
      <c r="AG291" s="102">
        <f t="shared" si="452"/>
        <v>-84.420000000000073</v>
      </c>
      <c r="AH291" s="56" t="s">
        <v>2507</v>
      </c>
      <c r="AI291" s="65">
        <f t="shared" si="453"/>
        <v>4.7784623518167799E-2</v>
      </c>
      <c r="AJ291" s="65">
        <f>IF(AI291="",#N/A,SUM($AI$4:AI291))</f>
        <v>10.423443853113101</v>
      </c>
      <c r="AK291" s="57">
        <f t="shared" si="454"/>
        <v>3.2899999999999636</v>
      </c>
      <c r="AL291" s="349">
        <f>IF(AI291="",#N/A,IF(AH291="Skip",SUM($AK$4:AK291),SUM($AK$4:AK291)))</f>
        <v>411.34759149281467</v>
      </c>
      <c r="AM291" s="65">
        <f t="shared" si="537"/>
        <v>-1.1783484820756842</v>
      </c>
      <c r="AN291" s="210"/>
      <c r="AO291" s="65" t="str">
        <f t="shared" si="455"/>
        <v/>
      </c>
      <c r="AP291" s="65">
        <f>IF($AC291="",#N/A,SUM(AO$4:AO291))</f>
        <v>2.2520206623515295</v>
      </c>
      <c r="AQ291" s="65" t="str">
        <f t="shared" si="456"/>
        <v/>
      </c>
      <c r="AR291" s="65">
        <f>IF($AC291="",#N/A,SUM(AQ$4:AQ291))</f>
        <v>-5.6877420365355587</v>
      </c>
      <c r="AS291" s="65">
        <f t="shared" si="457"/>
        <v>-1.1783484820756842</v>
      </c>
      <c r="AT291" s="65">
        <f>IF($AC291="",#N/A,SUM(AS$4:AS291))</f>
        <v>5.0038292567783254</v>
      </c>
      <c r="AU291" s="57" t="str">
        <f t="shared" si="538"/>
        <v/>
      </c>
      <c r="AV291" s="57">
        <f>IF($AC291="",#N/A,SUM(AU$4:AU291))</f>
        <v>1.1024906610467724</v>
      </c>
      <c r="AW291" s="57" t="str">
        <f t="shared" si="539"/>
        <v/>
      </c>
      <c r="AX291" s="57">
        <f>IF($AC291="",#N/A,SUM(AW$4:AW291))</f>
        <v>-377.70106797961103</v>
      </c>
      <c r="AY291" s="57">
        <f t="shared" si="540"/>
        <v>-81.130000000000109</v>
      </c>
      <c r="AZ291" s="57">
        <f>IF($AC291="",#N/A,SUM(AY$4:AY291))</f>
        <v>335.61838154633256</v>
      </c>
      <c r="BA291" s="57">
        <f>IF(AD291="",#N/A,SUM($AD$4:AD291))</f>
        <v>-40.980195772231696</v>
      </c>
      <c r="BC291" s="51" t="str">
        <f t="shared" si="458"/>
        <v/>
      </c>
      <c r="BD291" s="51" t="str">
        <f t="shared" si="459"/>
        <v/>
      </c>
      <c r="BE291" s="51" t="str">
        <f t="shared" si="460"/>
        <v/>
      </c>
      <c r="BF291" s="51" t="str">
        <f t="shared" si="461"/>
        <v>Short</v>
      </c>
      <c r="BG291" s="51">
        <f t="shared" si="462"/>
        <v>1</v>
      </c>
      <c r="BH291" s="51" t="str">
        <f t="shared" si="463"/>
        <v/>
      </c>
      <c r="BI291" s="51" t="str">
        <f t="shared" si="464"/>
        <v/>
      </c>
      <c r="BK291" s="65">
        <f t="shared" si="435"/>
        <v>-9.6135451282494695E-3</v>
      </c>
      <c r="BL291" s="65">
        <f t="shared" si="543"/>
        <v>-2.1643437256165184E-2</v>
      </c>
      <c r="BM291" s="65">
        <f>IFERROR(Q291/COUNTA($J$4:J291),#N/A)</f>
        <v>4.2717376035258103E-2</v>
      </c>
      <c r="BO291" s="489" t="e">
        <f>IF(J291="",#N/A,IF(S291="SW",(COUNTIFS(K$4:$K291,"&gt;0",S$4:$S291,"SW")/COUNTIF(S$4:$S291,"SW")),#N/A))</f>
        <v>#N/A</v>
      </c>
      <c r="BP291" s="489">
        <f>IF($J291="",#N/A,IF($S291="DWN",(COUNTIFS($K$4:$K291,"&lt;0",$S$4:$S291,"DWN")/COUNTIF($S$4:$S291,"DWN")),#N/A))</f>
        <v>0.5864661654135338</v>
      </c>
      <c r="BQ291" s="489" t="e">
        <f>IF($J291="",#N/A,IF($S291="UP",(COUNTIFS($K$4:$K291,"&gt;0",$S$4:$S291,"UP")/COUNTIF($S$4:$S291,"UP")),#N/A))</f>
        <v>#N/A</v>
      </c>
      <c r="BR291" s="489">
        <f>IF(J291="",#N/A,COUNTIF($K$4:K291,"&gt;0")/COUNT($J$4:J291))</f>
        <v>0.44791666666666669</v>
      </c>
      <c r="BS291" s="65" t="str">
        <f t="shared" si="465"/>
        <v/>
      </c>
      <c r="BT291" s="65" t="str">
        <f t="shared" si="466"/>
        <v/>
      </c>
      <c r="BU291" s="65">
        <f t="shared" si="467"/>
        <v>4.7784623518167799E-2</v>
      </c>
      <c r="BV291" s="65" t="str">
        <f t="shared" si="468"/>
        <v/>
      </c>
      <c r="BW291" s="128" t="str">
        <f t="shared" si="469"/>
        <v/>
      </c>
      <c r="BX291" s="128">
        <f>IF($J291="",#N/A,SUM($BW$4:BW291))</f>
        <v>-351.87317034792864</v>
      </c>
      <c r="BY291" s="131">
        <f t="shared" si="470"/>
        <v>3.2899999999999636</v>
      </c>
      <c r="BZ291" s="131">
        <f>IF($J291="",#N/A,SUM($BY$4:BY291))</f>
        <v>850.12734038933411</v>
      </c>
      <c r="CA291" s="133" t="str">
        <f t="shared" si="471"/>
        <v/>
      </c>
      <c r="CB291" s="133">
        <f>IF($J291="",#N/A,SUM($CA$4:CA291))</f>
        <v>42.61158426187535</v>
      </c>
      <c r="CC291" s="194" t="str">
        <f t="shared" si="472"/>
        <v/>
      </c>
      <c r="CD291" s="194">
        <f>IF($J291="",#N/A,SUM($CC$4:CC291))</f>
        <v>-5.3227494758133416</v>
      </c>
      <c r="CE291" s="195">
        <f t="shared" si="473"/>
        <v>4.7784623518167799E-2</v>
      </c>
      <c r="CF291" s="195">
        <f>IF($J291="",#N/A,SUM($CE$4:CE291))</f>
        <v>14.32340417224137</v>
      </c>
      <c r="CG291" s="196" t="str">
        <f t="shared" si="474"/>
        <v/>
      </c>
      <c r="CH291" s="196">
        <f>IF($J291="",#N/A,SUM($CG$4:CG291))</f>
        <v>3.3019496017263097</v>
      </c>
      <c r="CI291" s="200" t="str">
        <f t="shared" si="475"/>
        <v/>
      </c>
      <c r="CJ291" s="203">
        <f>IF($J291="",#N/A,SUM(CI$4:CI291))</f>
        <v>0</v>
      </c>
      <c r="CK291" s="204">
        <f t="shared" si="476"/>
        <v>4.7784623518167799E-2</v>
      </c>
      <c r="CL291" s="204">
        <f>IF($J291="",#N/A,SUM(CK$4:CK291))</f>
        <v>2.4085740385592547</v>
      </c>
      <c r="CM291" s="205" t="str">
        <f t="shared" si="477"/>
        <v/>
      </c>
      <c r="CN291" s="205">
        <f>IF($J291="",#N/A,SUM(CM$4:CM291))</f>
        <v>1.6152444684298783</v>
      </c>
      <c r="CO291" s="205">
        <f>IF($J291="",#N/A,SUM(CM$4:CM291,CK$4:CK291,CI$4:CI291))</f>
        <v>4.0238185069891328</v>
      </c>
      <c r="CP291" s="200" t="str">
        <f t="shared" si="478"/>
        <v/>
      </c>
      <c r="CQ291" s="203">
        <f>IF($J291="",#N/A,SUM(CP$4:CP291))</f>
        <v>-1.1156319314882757</v>
      </c>
      <c r="CR291" s="204" t="str">
        <f t="shared" si="479"/>
        <v/>
      </c>
      <c r="CS291" s="204">
        <f>IF($J291="",#N/A,SUM(CR$4:CR291))</f>
        <v>2.3600225017004668</v>
      </c>
      <c r="CT291" s="205" t="str">
        <f t="shared" si="480"/>
        <v/>
      </c>
      <c r="CU291" s="205">
        <f>IF($J291="",#N/A,SUM(CT$4:CT291))</f>
        <v>-2.9040943753548785</v>
      </c>
      <c r="CV291" s="205">
        <f>IF($J291="",#N/A,SUM(CT$4:CT291,CR$4:CR291,CP$4:CP291))</f>
        <v>-1.6597038051426876</v>
      </c>
      <c r="CW291" s="200" t="str">
        <f t="shared" si="481"/>
        <v/>
      </c>
      <c r="CX291" s="203">
        <f>IF($J291="",#N/A,SUM(CW$4:CW291))</f>
        <v>-1.2839616145397621</v>
      </c>
      <c r="CY291" s="204" t="str">
        <f t="shared" si="482"/>
        <v/>
      </c>
      <c r="CZ291" s="204">
        <f>IF($J291="",#N/A,SUM(CY$4:CY291))</f>
        <v>0.37351298702481961</v>
      </c>
      <c r="DA291" s="205" t="str">
        <f t="shared" si="483"/>
        <v/>
      </c>
      <c r="DB291" s="205">
        <f>IF($J291="",#N/A,SUM(DA$4:DA291))</f>
        <v>-1.1581788995104692</v>
      </c>
      <c r="DC291" s="205">
        <f>IF($J291="",#N/A,SUM(DA$4:DA291,CY$4:CY291,CW$4:CW291))</f>
        <v>-2.068627527025412</v>
      </c>
      <c r="DD291" s="200" t="str">
        <f t="shared" si="484"/>
        <v/>
      </c>
      <c r="DE291" s="203">
        <f>IF($J291="",#N/A,SUM(DD$4:DD291))</f>
        <v>0.24769343410817113</v>
      </c>
      <c r="DF291" s="204" t="str">
        <f t="shared" si="485"/>
        <v/>
      </c>
      <c r="DG291" s="204">
        <f>IF($J291="",#N/A,SUM(DF$4:DF291))</f>
        <v>1.7624645309390978</v>
      </c>
      <c r="DH291" s="205" t="str">
        <f t="shared" si="486"/>
        <v/>
      </c>
      <c r="DI291" s="205">
        <f>IF($J291="",#N/A,SUM(DH$4:DH291))</f>
        <v>-2.7812008102163399</v>
      </c>
      <c r="DJ291" s="205">
        <f>IF($J291="",#N/A,SUM(DH$4:DH291,DF$4:DF291,DD$4:DD291))</f>
        <v>-0.77104284516907118</v>
      </c>
      <c r="DK291" s="200" t="str">
        <f t="shared" si="487"/>
        <v/>
      </c>
      <c r="DL291" s="203">
        <f>IF($J291="",#N/A,SUM(DK$4:DK291))</f>
        <v>-1.2097286851272664</v>
      </c>
      <c r="DM291" s="204" t="str">
        <f t="shared" si="488"/>
        <v/>
      </c>
      <c r="DN291" s="204">
        <f>IF($J291="",#N/A,SUM(DM$4:DM291))</f>
        <v>3.0281848543081331</v>
      </c>
      <c r="DO291" s="205" t="str">
        <f t="shared" si="489"/>
        <v/>
      </c>
      <c r="DP291" s="205">
        <f>IF($J291="",#N/A,SUM(DO$4:DO291))</f>
        <v>2.700331529683047</v>
      </c>
      <c r="DQ291" s="205">
        <f>IF($J291="",#N/A,SUM(DO$4:DO291,DM$4:DM291,DK$4:DK291))</f>
        <v>4.518787698863914</v>
      </c>
      <c r="DR291" s="200" t="str">
        <f t="shared" si="490"/>
        <v/>
      </c>
      <c r="DS291" s="203">
        <f>IF($J291="",#N/A,SUM(DR$4:DR291))</f>
        <v>-0.55950946427675097</v>
      </c>
      <c r="DT291" s="204" t="str">
        <f t="shared" si="491"/>
        <v/>
      </c>
      <c r="DU291" s="204">
        <f>IF($J291="",#N/A,SUM(DT$4:DT291))</f>
        <v>-0.20750635820596686</v>
      </c>
      <c r="DV291" s="205" t="str">
        <f t="shared" si="492"/>
        <v/>
      </c>
      <c r="DW291" s="205">
        <f>IF($J291="",#N/A,SUM(DV$4:DV291))</f>
        <v>-1.5454397913873317</v>
      </c>
      <c r="DX291" s="205">
        <f>IF($J291="",#N/A,SUM(DV$4:DV291,DT$4:DT291,DR$4:DR291))</f>
        <v>-2.3124556138700489</v>
      </c>
      <c r="DY291" s="200" t="str">
        <f t="shared" si="493"/>
        <v/>
      </c>
      <c r="DZ291" s="203">
        <f>IF($J291="",#N/A,SUM(DY$4:DY291))</f>
        <v>-1.0460034109943892</v>
      </c>
      <c r="EA291" s="204" t="str">
        <f t="shared" si="494"/>
        <v/>
      </c>
      <c r="EB291" s="204">
        <f>IF($J291="",#N/A,SUM(EA$4:EA291))</f>
        <v>2.468538401202053</v>
      </c>
      <c r="EC291" s="205" t="str">
        <f t="shared" si="495"/>
        <v/>
      </c>
      <c r="ED291" s="205">
        <f>IF($J291="",#N/A,SUM(EC$4:EC291))</f>
        <v>4.5772092731053986</v>
      </c>
      <c r="EE291" s="205">
        <f>IF($J291="",#N/A,SUM(EC$4:EC291,EA$4:EA291,DY$4:DY291))</f>
        <v>5.9997442633130609</v>
      </c>
      <c r="EF291" s="200" t="str">
        <f t="shared" si="496"/>
        <v/>
      </c>
      <c r="EG291" s="203">
        <f>IF($J291="",#N/A,SUM(EF$4:EF291))</f>
        <v>-0.15098969023521425</v>
      </c>
      <c r="EH291" s="204" t="str">
        <f t="shared" si="497"/>
        <v/>
      </c>
      <c r="EI291" s="204">
        <f>IF($J291="",#N/A,SUM(EH$4:EH291))</f>
        <v>-1.9445201344224492</v>
      </c>
      <c r="EJ291" s="205" t="str">
        <f t="shared" si="498"/>
        <v/>
      </c>
      <c r="EK291" s="205">
        <f>IF($J291="",#N/A,SUM(EJ$4:EJ291))</f>
        <v>5.050388173053765</v>
      </c>
      <c r="EL291" s="205">
        <f>IF($J291="",#N/A,SUM(EJ$4:EJ291,EH$4:EH291,EF$4:EF291))</f>
        <v>2.9548783483961012</v>
      </c>
      <c r="EM291" s="200" t="str">
        <f t="shared" si="499"/>
        <v/>
      </c>
      <c r="EN291" s="203">
        <f>IF($J291="",#N/A,SUM(EM$4:EM291))</f>
        <v>0</v>
      </c>
      <c r="EO291" s="204" t="str">
        <f t="shared" si="500"/>
        <v/>
      </c>
      <c r="EP291" s="204">
        <f>IF($J291="",#N/A,SUM(EO$4:EO291))</f>
        <v>2.0574787067554756</v>
      </c>
      <c r="EQ291" s="205" t="str">
        <f t="shared" si="501"/>
        <v/>
      </c>
      <c r="ER291" s="205">
        <f>IF($J291="",#N/A,SUM(EQ$4:EQ291))</f>
        <v>1.3977486422552698</v>
      </c>
      <c r="ES291" s="205">
        <f>IF($J291="",#N/A,SUM(EQ$4:EQ291,EO$4:EO291,EM$4:EM291))</f>
        <v>3.455227349010745</v>
      </c>
      <c r="ET291" s="200" t="str">
        <f t="shared" si="502"/>
        <v/>
      </c>
      <c r="EU291" s="203">
        <f>IF($J291="",#N/A,SUM(ET$4:ET291))</f>
        <v>0</v>
      </c>
      <c r="EV291" s="204" t="str">
        <f t="shared" si="503"/>
        <v/>
      </c>
      <c r="EW291" s="204">
        <f>IF($J291="",#N/A,SUM(EV$4:EV291))</f>
        <v>2.3297323921502326</v>
      </c>
      <c r="EX291" s="205" t="str">
        <f t="shared" si="504"/>
        <v/>
      </c>
      <c r="EY291" s="205">
        <f>IF($J291="",#N/A,SUM(EX$4:EX291))</f>
        <v>0.27113250180669229</v>
      </c>
      <c r="EZ291" s="205">
        <f>IF($J291="",#N/A,SUM(EX$4:EX291,EV$4:EV291,ET$4:ET291))</f>
        <v>2.6008648939569246</v>
      </c>
      <c r="FA291" s="200" t="str">
        <f t="shared" si="505"/>
        <v/>
      </c>
      <c r="FB291" s="203">
        <f>IF($J291="",#N/A,SUM(FA$4:FA291))</f>
        <v>-0.27145310509113252</v>
      </c>
      <c r="FC291" s="204" t="str">
        <f t="shared" si="506"/>
        <v/>
      </c>
      <c r="FD291" s="204">
        <f>IF($J291="",#N/A,SUM(FC$4:FC291))</f>
        <v>1.204376144197403</v>
      </c>
      <c r="FE291" s="205" t="str">
        <f t="shared" si="507"/>
        <v/>
      </c>
      <c r="FF291" s="205">
        <f>IF($J291="",#N/A,SUM(FE$4:FE291))</f>
        <v>-0.28811149078748233</v>
      </c>
      <c r="FG291" s="205">
        <f>IF($J291="",#N/A,SUM(FE$4:FE291,FC$4:FC291,FA$4:FA291))</f>
        <v>0.64481154831878851</v>
      </c>
      <c r="FH291" s="200" t="str">
        <f t="shared" si="508"/>
        <v/>
      </c>
      <c r="FI291" s="203">
        <f>IF($J291="",#N/A,SUM(FH$4:FH291))</f>
        <v>0</v>
      </c>
      <c r="FJ291" s="204" t="str">
        <f t="shared" si="509"/>
        <v/>
      </c>
      <c r="FK291" s="204">
        <f>IF($J291="",#N/A,SUM(FJ$4:FJ291))</f>
        <v>0</v>
      </c>
      <c r="FL291" s="205" t="str">
        <f t="shared" si="510"/>
        <v/>
      </c>
      <c r="FM291" s="205">
        <f>IF($J291="",#N/A,SUM(FL$4:FL291))</f>
        <v>0</v>
      </c>
      <c r="FN291" s="205">
        <f>IF($J291="",#N/A,SUM(FL$4:FL291,FJ$4:FJ291,FH$4:FH291))</f>
        <v>0</v>
      </c>
      <c r="FO291" s="200" t="str">
        <f t="shared" si="511"/>
        <v/>
      </c>
      <c r="FP291" s="203">
        <f>IF($J291="",#N/A,SUM(FO$4:FO291))</f>
        <v>0</v>
      </c>
      <c r="FQ291" s="204" t="str">
        <f t="shared" si="512"/>
        <v/>
      </c>
      <c r="FR291" s="204">
        <f>IF($J291="",#N/A,SUM(FQ$4:FQ291))</f>
        <v>0</v>
      </c>
      <c r="FS291" s="205" t="str">
        <f t="shared" si="513"/>
        <v/>
      </c>
      <c r="FT291" s="205">
        <f>IF($J291="",#N/A,SUM(FS$4:FS291))</f>
        <v>0</v>
      </c>
      <c r="FU291" s="205">
        <f>IF($J291="",#N/A,SUM(FS$4:FS291,FQ$4:FQ291,FO$4:FO291))</f>
        <v>0</v>
      </c>
      <c r="FV291" s="200" t="str">
        <f t="shared" si="514"/>
        <v/>
      </c>
      <c r="FW291" s="203">
        <f>IF($J291="",#N/A,SUM(FV$4:FV291))</f>
        <v>6.6834991831277585E-2</v>
      </c>
      <c r="FX291" s="204" t="str">
        <f t="shared" si="515"/>
        <v/>
      </c>
      <c r="FY291" s="204">
        <f>IF($J291="",#N/A,SUM(FX$4:FX291))</f>
        <v>-0.16102012791805576</v>
      </c>
      <c r="FZ291" s="205" t="str">
        <f t="shared" si="516"/>
        <v/>
      </c>
      <c r="GA291" s="205">
        <f>IF($J291="",#N/A,SUM(FZ$4:FZ291))</f>
        <v>-0.69624339162892301</v>
      </c>
      <c r="GB291" s="205">
        <f>IF($J291="",#N/A,SUM(FZ$4:FZ291,FX$4:FX291,FV$4:FV291))</f>
        <v>-0.79042852771570116</v>
      </c>
      <c r="GC291" s="200" t="str">
        <f t="shared" si="517"/>
        <v/>
      </c>
      <c r="GD291" s="203">
        <f>IF($J291="",#N/A,SUM(GC$4:GC291))</f>
        <v>0</v>
      </c>
      <c r="GE291" s="204" t="str">
        <f t="shared" si="518"/>
        <v/>
      </c>
      <c r="GF291" s="204">
        <f>IF($J291="",#N/A,SUM(GE$4:GE291))</f>
        <v>0</v>
      </c>
      <c r="GG291" s="205" t="str">
        <f t="shared" si="519"/>
        <v/>
      </c>
      <c r="GH291" s="205">
        <f>IF($J291="",#N/A,SUM(GG$4:GG291))</f>
        <v>-2.9368362277223206</v>
      </c>
      <c r="GI291" s="205">
        <f>IF($J291="",#N/A,SUM(GG$4:GG291,GE$4:GE291,GC$4:GC291))</f>
        <v>-2.9368362277223206</v>
      </c>
      <c r="GJ291" s="200" t="str">
        <f t="shared" si="520"/>
        <v/>
      </c>
      <c r="GK291" s="203">
        <f>IF($J291="",#N/A,SUM(GJ$4:GJ291))</f>
        <v>0</v>
      </c>
      <c r="GL291" s="204" t="str">
        <f t="shared" si="521"/>
        <v/>
      </c>
      <c r="GM291" s="204">
        <f>IF($J291="",#N/A,SUM(GL$4:GL291))</f>
        <v>-1.6833790887309608</v>
      </c>
      <c r="GN291" s="205" t="str">
        <f t="shared" si="522"/>
        <v/>
      </c>
      <c r="GO291" s="205">
        <f>IF($J291="",#N/A,SUM(GN$4:GN291))</f>
        <v>0</v>
      </c>
      <c r="GP291" s="205">
        <f>IF($J291="",#N/A,SUM(GN$4:GN291,GL$4:GL291,GJ$4:GJ291))</f>
        <v>-1.6833790887309608</v>
      </c>
      <c r="GS291" s="54">
        <f t="shared" si="541"/>
        <v>4.7784623518167799E-2</v>
      </c>
      <c r="GT291" s="54">
        <f>IF(GS291="",NA(),SUM($GS$4:GS291))</f>
        <v>8.8842334686467783</v>
      </c>
      <c r="GU291" s="54" t="str">
        <f t="shared" si="523"/>
        <v/>
      </c>
      <c r="GV291" s="54" t="e">
        <f>IF(GU291="",NA(),SUM($GU$4:GU291))</f>
        <v>#N/A</v>
      </c>
      <c r="GW291" s="54" t="str">
        <f t="shared" si="524"/>
        <v/>
      </c>
      <c r="GX291" s="54" t="e">
        <f>IF(GW291="",NA(),SUM($GW$4:GW291))</f>
        <v>#N/A</v>
      </c>
      <c r="GY291" s="54">
        <f t="shared" si="525"/>
        <v>4.7784623518167799E-2</v>
      </c>
      <c r="GZ291" s="54">
        <f>IF(GY291="",NA(),SUM($GY$4:GY291))</f>
        <v>9.3668924536388136</v>
      </c>
      <c r="HA291" s="54" t="str">
        <f t="shared" si="526"/>
        <v/>
      </c>
      <c r="HB291" s="54" t="e">
        <f>IF(HA291="",NA(),SUM($HA$4:HA291))</f>
        <v>#N/A</v>
      </c>
      <c r="HC291" s="54" t="str">
        <f t="shared" si="527"/>
        <v/>
      </c>
      <c r="HD291" s="54" t="e">
        <f>IF(HC291="",NA(),SUM($HC$4:HC291))</f>
        <v>#N/A</v>
      </c>
      <c r="HE291" s="54" t="str">
        <f t="shared" si="528"/>
        <v/>
      </c>
      <c r="HF291" s="54" t="e">
        <f>IF(HE291="",NA(),SUM($HE$4:HE291))</f>
        <v>#N/A</v>
      </c>
      <c r="HG291" s="54" t="str">
        <f t="shared" si="529"/>
        <v/>
      </c>
      <c r="HH291" s="54" t="e">
        <f>IF(HG291="",NA(),SUM($HG$4:HG291))</f>
        <v>#N/A</v>
      </c>
      <c r="HI291" s="172">
        <f t="shared" si="542"/>
        <v>-1.226133105593852</v>
      </c>
      <c r="HJ291" s="172">
        <f>IF($J291="",#N/A,SUM(HI$4:$HI291))</f>
        <v>-7.8074005298423348</v>
      </c>
      <c r="HK291" s="54" t="str">
        <f t="shared" si="530"/>
        <v/>
      </c>
      <c r="HL291" s="54">
        <f>IF($J291="",#N/A,SUM($HK$4:HK291))</f>
        <v>-1.5121743856206984</v>
      </c>
      <c r="HM291" s="54" t="str">
        <f t="shared" si="531"/>
        <v/>
      </c>
      <c r="HN291" s="54">
        <f>IF($J291="",#N/A,SUM($HM$4:HM291))</f>
        <v>0.6871920272168337</v>
      </c>
      <c r="HO291" s="54" t="str">
        <f t="shared" si="532"/>
        <v/>
      </c>
      <c r="HP291" s="54">
        <f>IF($J291="",#N/A,SUM($HO$4:HO291))</f>
        <v>-1.052184587939049</v>
      </c>
      <c r="HQ291" s="54" t="str">
        <f t="shared" si="533"/>
        <v/>
      </c>
      <c r="HR291" s="54">
        <f>IF($J291="",#N/A,SUM($HQ$4:HQ291))</f>
        <v>-15.798362900140425</v>
      </c>
      <c r="HS291" s="54" t="str">
        <f t="shared" si="534"/>
        <v/>
      </c>
      <c r="HT291" s="54">
        <f>IF($J291="",#N/A,SUM($HS$4:HS291))</f>
        <v>14.748433960765649</v>
      </c>
      <c r="HU291" s="65">
        <f t="shared" si="535"/>
        <v>-1.1783484820756842</v>
      </c>
      <c r="HV291" s="65">
        <f>IF($J291="",#N/A,SUM(HU$4:$HU291))</f>
        <v>1.5681078825942969</v>
      </c>
    </row>
    <row r="292" spans="1:230" x14ac:dyDescent="0.25">
      <c r="A292" s="51" t="s">
        <v>605</v>
      </c>
      <c r="B292" s="52" t="s">
        <v>4596</v>
      </c>
      <c r="C292" s="229">
        <f t="shared" si="436"/>
        <v>3</v>
      </c>
      <c r="D292" s="219" t="str">
        <f>_xlfn.XLOOKUP(A292,[1]SP500!$A$2:$A$502,[1]SP500!$D$2:$D$502,"N")</f>
        <v>Y</v>
      </c>
      <c r="E292" s="51" t="str">
        <f>IFERROR(_xlfn.XLOOKUP(A292,[1]SP500!$A$2:$A$655,[1]SP500!$B$2:$B$655),"")</f>
        <v>XLI</v>
      </c>
      <c r="F292" s="290">
        <v>45784</v>
      </c>
      <c r="G292" s="51" t="str">
        <f t="shared" si="437"/>
        <v>BMO</v>
      </c>
      <c r="H292" s="51" t="str">
        <f t="shared" si="438"/>
        <v>s</v>
      </c>
      <c r="I292" s="344">
        <v>253.05</v>
      </c>
      <c r="J292" s="123">
        <v>280</v>
      </c>
      <c r="K292" s="55">
        <f t="shared" si="439"/>
        <v>0.10650069156293218</v>
      </c>
      <c r="L292" s="67">
        <f t="shared" si="440"/>
        <v>134.75</v>
      </c>
      <c r="M292" s="57">
        <f t="shared" si="441"/>
        <v>0</v>
      </c>
      <c r="N292" s="102">
        <f t="shared" si="442"/>
        <v>134.75</v>
      </c>
      <c r="O292" s="57">
        <f>IF(N292="",#N/A,SUM($N$4:N292))</f>
        <v>675.61575430328082</v>
      </c>
      <c r="P292" s="65">
        <f t="shared" si="536"/>
        <v>1.7750115260488706</v>
      </c>
      <c r="Q292" s="172">
        <f>IF($N292="",#N/A,SUM($P$4:P292))</f>
        <v>14.077615824203205</v>
      </c>
      <c r="R292" s="279">
        <f t="shared" si="443"/>
        <v>1.8791604450412329</v>
      </c>
      <c r="S292" s="51" t="str">
        <f t="shared" si="444"/>
        <v>SW</v>
      </c>
      <c r="T292" s="51" t="s">
        <v>2828</v>
      </c>
      <c r="U292" s="56">
        <f t="shared" si="445"/>
        <v>253.05</v>
      </c>
      <c r="V292" s="56" t="s">
        <v>4460</v>
      </c>
      <c r="W292" s="142">
        <v>5</v>
      </c>
      <c r="X292" s="145">
        <f t="shared" si="446"/>
        <v>1265.25</v>
      </c>
      <c r="Y292" s="140">
        <f t="shared" si="447"/>
        <v>5</v>
      </c>
      <c r="Z292" s="123">
        <v>280</v>
      </c>
      <c r="AA292" s="102">
        <f t="shared" si="448"/>
        <v>134.75</v>
      </c>
      <c r="AB292" s="102">
        <f t="shared" si="449"/>
        <v>150.60000000000014</v>
      </c>
      <c r="AC292" s="124">
        <v>283.17</v>
      </c>
      <c r="AD292" s="155">
        <f t="shared" si="450"/>
        <v>150.60000000000014</v>
      </c>
      <c r="AE292" s="545">
        <f t="shared" si="451"/>
        <v>1.9837976684449734</v>
      </c>
      <c r="AF292" s="57">
        <f>IF($AC292="",#N/A,SUM(AD$4:AD292))</f>
        <v>109.61980422776844</v>
      </c>
      <c r="AG292" s="102">
        <f t="shared" si="452"/>
        <v>15.850000000000136</v>
      </c>
      <c r="AH292" s="56" t="s">
        <v>2507</v>
      </c>
      <c r="AI292" s="65">
        <f t="shared" si="453"/>
        <v>1.7750115260488706</v>
      </c>
      <c r="AJ292" s="350">
        <f>IF(AI292="",#N/A,SUM($AI$4:AI292))</f>
        <v>12.198455379161972</v>
      </c>
      <c r="AK292" s="57">
        <f t="shared" si="454"/>
        <v>134.75</v>
      </c>
      <c r="AL292" s="349">
        <f>IF(AI292="",#N/A,IF(AH292="Skip",SUM($AK$4:AK292),SUM($AK$4:AK292)))</f>
        <v>546.09759149281467</v>
      </c>
      <c r="AM292" s="65">
        <f t="shared" si="537"/>
        <v>1.9837976684449734</v>
      </c>
      <c r="AN292" s="210"/>
      <c r="AO292" s="65">
        <f t="shared" si="455"/>
        <v>1.9837976684449734</v>
      </c>
      <c r="AP292" s="65">
        <f>IF($AC292="",#N/A,SUM(AO$4:AO292))</f>
        <v>4.2358183307965032</v>
      </c>
      <c r="AQ292" s="65" t="str">
        <f t="shared" si="456"/>
        <v/>
      </c>
      <c r="AR292" s="65">
        <f>IF($AC292="",#N/A,SUM(AQ$4:AQ292))</f>
        <v>-5.6877420365355587</v>
      </c>
      <c r="AS292" s="65" t="str">
        <f t="shared" si="457"/>
        <v/>
      </c>
      <c r="AT292" s="65">
        <f>IF($AC292="",#N/A,SUM(AS$4:AS292))</f>
        <v>5.0038292567783254</v>
      </c>
      <c r="AU292" s="57">
        <f t="shared" si="538"/>
        <v>150.60000000000014</v>
      </c>
      <c r="AV292" s="57">
        <f>IF($AC292="",#N/A,SUM(AU$4:AU292))</f>
        <v>151.70249066104691</v>
      </c>
      <c r="AW292" s="57" t="str">
        <f t="shared" si="539"/>
        <v/>
      </c>
      <c r="AX292" s="57">
        <f>IF($AC292="",#N/A,SUM(AW$4:AW292))</f>
        <v>-377.70106797961103</v>
      </c>
      <c r="AY292" s="57" t="str">
        <f t="shared" si="540"/>
        <v/>
      </c>
      <c r="AZ292" s="57">
        <f>IF($AC292="",#N/A,SUM(AY$4:AY292))</f>
        <v>335.61838154633256</v>
      </c>
      <c r="BA292" s="57">
        <f>IF(AD292="",#N/A,SUM($AD$4:AD292))</f>
        <v>109.61980422776844</v>
      </c>
      <c r="BC292" s="51" t="str">
        <f t="shared" si="458"/>
        <v/>
      </c>
      <c r="BD292" s="51" t="str">
        <f t="shared" si="459"/>
        <v/>
      </c>
      <c r="BE292" s="51">
        <f t="shared" si="460"/>
        <v>1</v>
      </c>
      <c r="BF292" s="51" t="str">
        <f t="shared" si="461"/>
        <v>Long</v>
      </c>
      <c r="BG292" s="51" t="str">
        <f t="shared" si="462"/>
        <v/>
      </c>
      <c r="BH292" s="51" t="str">
        <f t="shared" si="463"/>
        <v/>
      </c>
      <c r="BI292" s="51" t="str">
        <f t="shared" si="464"/>
        <v/>
      </c>
      <c r="BK292" s="65">
        <f t="shared" si="435"/>
        <v>2.5023785032340165E-2</v>
      </c>
      <c r="BL292" s="65">
        <f t="shared" si="543"/>
        <v>6.7871970748181104E-2</v>
      </c>
      <c r="BM292" s="65">
        <f>IFERROR(Q292/COUNTA($J$4:J292),#N/A)</f>
        <v>4.8711473440149498E-2</v>
      </c>
      <c r="BO292" s="489">
        <f>IF(J292="",#N/A,IF(S292="SW",(COUNTIFS(K$4:$K292,"&gt;0",S$4:$S292,"SW")/COUNTIF(S$4:$S292,"SW")),#N/A))</f>
        <v>0.49640287769784175</v>
      </c>
      <c r="BP292" s="489" t="e">
        <f>IF($J292="",#N/A,IF($S292="DWN",(COUNTIFS($K$4:$K292,"&lt;0",$S$4:$S292,"DWN")/COUNTIF($S$4:$S292,"DWN")),#N/A))</f>
        <v>#N/A</v>
      </c>
      <c r="BQ292" s="489" t="e">
        <f>IF($J292="",#N/A,IF($S292="UP",(COUNTIFS($K$4:$K292,"&gt;0",$S$4:$S292,"UP")/COUNTIF($S$4:$S292,"UP")),#N/A))</f>
        <v>#N/A</v>
      </c>
      <c r="BR292" s="489">
        <f>IF(J292="",#N/A,COUNTIF($K$4:K292,"&gt;0")/COUNT($J$4:J292))</f>
        <v>0.44982698961937717</v>
      </c>
      <c r="BS292" s="65">
        <f t="shared" si="465"/>
        <v>1.7750115260488706</v>
      </c>
      <c r="BT292" s="65" t="str">
        <f t="shared" si="466"/>
        <v/>
      </c>
      <c r="BU292" s="65" t="str">
        <f t="shared" si="467"/>
        <v/>
      </c>
      <c r="BV292" s="65" t="str">
        <f t="shared" si="468"/>
        <v/>
      </c>
      <c r="BW292" s="128" t="str">
        <f t="shared" si="469"/>
        <v/>
      </c>
      <c r="BX292" s="128">
        <f>IF($J292="",#N/A,SUM($BW$4:BW292))</f>
        <v>-351.87317034792864</v>
      </c>
      <c r="BY292" s="131" t="str">
        <f t="shared" si="470"/>
        <v/>
      </c>
      <c r="BZ292" s="131">
        <f>IF($J292="",#N/A,SUM($BY$4:BY292))</f>
        <v>850.12734038933411</v>
      </c>
      <c r="CA292" s="133">
        <f t="shared" si="471"/>
        <v>134.75</v>
      </c>
      <c r="CB292" s="133">
        <f>IF($J292="",#N/A,SUM($CA$4:CA292))</f>
        <v>177.36158426187535</v>
      </c>
      <c r="CC292" s="194" t="str">
        <f t="shared" si="472"/>
        <v/>
      </c>
      <c r="CD292" s="194">
        <f>IF($J292="",#N/A,SUM($CC$4:CC292))</f>
        <v>-5.3227494758133416</v>
      </c>
      <c r="CE292" s="195" t="str">
        <f t="shared" si="473"/>
        <v/>
      </c>
      <c r="CF292" s="195">
        <f>IF($J292="",#N/A,SUM($CE$4:CE292))</f>
        <v>14.32340417224137</v>
      </c>
      <c r="CG292" s="196">
        <f t="shared" si="474"/>
        <v>1.7750115260488706</v>
      </c>
      <c r="CH292" s="196">
        <f>IF($J292="",#N/A,SUM($CG$4:CG292))</f>
        <v>5.0769611277751805</v>
      </c>
      <c r="CI292" s="200" t="str">
        <f t="shared" si="475"/>
        <v/>
      </c>
      <c r="CJ292" s="203">
        <f>IF($J292="",#N/A,SUM(CI$4:CI292))</f>
        <v>0</v>
      </c>
      <c r="CK292" s="204" t="str">
        <f t="shared" si="476"/>
        <v/>
      </c>
      <c r="CL292" s="204">
        <f>IF($J292="",#N/A,SUM(CK$4:CK292))</f>
        <v>2.4085740385592547</v>
      </c>
      <c r="CM292" s="205" t="str">
        <f t="shared" si="477"/>
        <v/>
      </c>
      <c r="CN292" s="205">
        <f>IF($J292="",#N/A,SUM(CM$4:CM292))</f>
        <v>1.6152444684298783</v>
      </c>
      <c r="CO292" s="205">
        <f>IF($J292="",#N/A,SUM(CM$4:CM292,CK$4:CK292,CI$4:CI292))</f>
        <v>4.0238185069891328</v>
      </c>
      <c r="CP292" s="200" t="str">
        <f t="shared" si="478"/>
        <v/>
      </c>
      <c r="CQ292" s="203">
        <f>IF($J292="",#N/A,SUM(CP$4:CP292))</f>
        <v>-1.1156319314882757</v>
      </c>
      <c r="CR292" s="204" t="str">
        <f t="shared" si="479"/>
        <v/>
      </c>
      <c r="CS292" s="204">
        <f>IF($J292="",#N/A,SUM(CR$4:CR292))</f>
        <v>2.3600225017004668</v>
      </c>
      <c r="CT292" s="205" t="str">
        <f t="shared" si="480"/>
        <v/>
      </c>
      <c r="CU292" s="205">
        <f>IF($J292="",#N/A,SUM(CT$4:CT292))</f>
        <v>-2.9040943753548785</v>
      </c>
      <c r="CV292" s="205">
        <f>IF($J292="",#N/A,SUM(CT$4:CT292,CR$4:CR292,CP$4:CP292))</f>
        <v>-1.6597038051426876</v>
      </c>
      <c r="CW292" s="200" t="str">
        <f t="shared" si="481"/>
        <v/>
      </c>
      <c r="CX292" s="203">
        <f>IF($J292="",#N/A,SUM(CW$4:CW292))</f>
        <v>-1.2839616145397621</v>
      </c>
      <c r="CY292" s="204" t="str">
        <f t="shared" si="482"/>
        <v/>
      </c>
      <c r="CZ292" s="204">
        <f>IF($J292="",#N/A,SUM(CY$4:CY292))</f>
        <v>0.37351298702481961</v>
      </c>
      <c r="DA292" s="205" t="str">
        <f t="shared" si="483"/>
        <v/>
      </c>
      <c r="DB292" s="205">
        <f>IF($J292="",#N/A,SUM(DA$4:DA292))</f>
        <v>-1.1581788995104692</v>
      </c>
      <c r="DC292" s="205">
        <f>IF($J292="",#N/A,SUM(DA$4:DA292,CY$4:CY292,CW$4:CW292))</f>
        <v>-2.068627527025412</v>
      </c>
      <c r="DD292" s="200" t="str">
        <f t="shared" si="484"/>
        <v/>
      </c>
      <c r="DE292" s="203">
        <f>IF($J292="",#N/A,SUM(DD$4:DD292))</f>
        <v>0.24769343410817113</v>
      </c>
      <c r="DF292" s="204" t="str">
        <f t="shared" si="485"/>
        <v/>
      </c>
      <c r="DG292" s="204">
        <f>IF($J292="",#N/A,SUM(DF$4:DF292))</f>
        <v>1.7624645309390978</v>
      </c>
      <c r="DH292" s="205" t="str">
        <f t="shared" si="486"/>
        <v/>
      </c>
      <c r="DI292" s="205">
        <f>IF($J292="",#N/A,SUM(DH$4:DH292))</f>
        <v>-2.7812008102163399</v>
      </c>
      <c r="DJ292" s="205">
        <f>IF($J292="",#N/A,SUM(DH$4:DH292,DF$4:DF292,DD$4:DD292))</f>
        <v>-0.77104284516907118</v>
      </c>
      <c r="DK292" s="200" t="str">
        <f t="shared" si="487"/>
        <v/>
      </c>
      <c r="DL292" s="203">
        <f>IF($J292="",#N/A,SUM(DK$4:DK292))</f>
        <v>-1.2097286851272664</v>
      </c>
      <c r="DM292" s="204" t="str">
        <f t="shared" si="488"/>
        <v/>
      </c>
      <c r="DN292" s="204">
        <f>IF($J292="",#N/A,SUM(DM$4:DM292))</f>
        <v>3.0281848543081331</v>
      </c>
      <c r="DO292" s="205" t="str">
        <f t="shared" si="489"/>
        <v/>
      </c>
      <c r="DP292" s="205">
        <f>IF($J292="",#N/A,SUM(DO$4:DO292))</f>
        <v>2.700331529683047</v>
      </c>
      <c r="DQ292" s="205">
        <f>IF($J292="",#N/A,SUM(DO$4:DO292,DM$4:DM292,DK$4:DK292))</f>
        <v>4.518787698863914</v>
      </c>
      <c r="DR292" s="200" t="str">
        <f t="shared" si="490"/>
        <v/>
      </c>
      <c r="DS292" s="203">
        <f>IF($J292="",#N/A,SUM(DR$4:DR292))</f>
        <v>-0.55950946427675097</v>
      </c>
      <c r="DT292" s="204" t="str">
        <f t="shared" si="491"/>
        <v/>
      </c>
      <c r="DU292" s="204">
        <f>IF($J292="",#N/A,SUM(DT$4:DT292))</f>
        <v>-0.20750635820596686</v>
      </c>
      <c r="DV292" s="205" t="str">
        <f t="shared" si="492"/>
        <v/>
      </c>
      <c r="DW292" s="205">
        <f>IF($J292="",#N/A,SUM(DV$4:DV292))</f>
        <v>-1.5454397913873317</v>
      </c>
      <c r="DX292" s="205">
        <f>IF($J292="",#N/A,SUM(DV$4:DV292,DT$4:DT292,DR$4:DR292))</f>
        <v>-2.3124556138700489</v>
      </c>
      <c r="DY292" s="200" t="str">
        <f t="shared" si="493"/>
        <v/>
      </c>
      <c r="DZ292" s="203">
        <f>IF($J292="",#N/A,SUM(DY$4:DY292))</f>
        <v>-1.0460034109943892</v>
      </c>
      <c r="EA292" s="204" t="str">
        <f t="shared" si="494"/>
        <v/>
      </c>
      <c r="EB292" s="204">
        <f>IF($J292="",#N/A,SUM(EA$4:EA292))</f>
        <v>2.468538401202053</v>
      </c>
      <c r="EC292" s="205">
        <f t="shared" si="495"/>
        <v>1.7750115260488706</v>
      </c>
      <c r="ED292" s="205">
        <f>IF($J292="",#N/A,SUM(EC$4:EC292))</f>
        <v>6.352220799154269</v>
      </c>
      <c r="EE292" s="205">
        <f>IF($J292="",#N/A,SUM(EC$4:EC292,EA$4:EA292,DY$4:DY292))</f>
        <v>7.7747557893619339</v>
      </c>
      <c r="EF292" s="200" t="str">
        <f t="shared" si="496"/>
        <v/>
      </c>
      <c r="EG292" s="203">
        <f>IF($J292="",#N/A,SUM(EF$4:EF292))</f>
        <v>-0.15098969023521425</v>
      </c>
      <c r="EH292" s="204" t="str">
        <f t="shared" si="497"/>
        <v/>
      </c>
      <c r="EI292" s="204">
        <f>IF($J292="",#N/A,SUM(EH$4:EH292))</f>
        <v>-1.9445201344224492</v>
      </c>
      <c r="EJ292" s="205" t="str">
        <f t="shared" si="498"/>
        <v/>
      </c>
      <c r="EK292" s="205">
        <f>IF($J292="",#N/A,SUM(EJ$4:EJ292))</f>
        <v>5.050388173053765</v>
      </c>
      <c r="EL292" s="205">
        <f>IF($J292="",#N/A,SUM(EJ$4:EJ292,EH$4:EH292,EF$4:EF292))</f>
        <v>2.9548783483961012</v>
      </c>
      <c r="EM292" s="200" t="str">
        <f t="shared" si="499"/>
        <v/>
      </c>
      <c r="EN292" s="203">
        <f>IF($J292="",#N/A,SUM(EM$4:EM292))</f>
        <v>0</v>
      </c>
      <c r="EO292" s="204" t="str">
        <f t="shared" si="500"/>
        <v/>
      </c>
      <c r="EP292" s="204">
        <f>IF($J292="",#N/A,SUM(EO$4:EO292))</f>
        <v>2.0574787067554756</v>
      </c>
      <c r="EQ292" s="205" t="str">
        <f t="shared" si="501"/>
        <v/>
      </c>
      <c r="ER292" s="205">
        <f>IF($J292="",#N/A,SUM(EQ$4:EQ292))</f>
        <v>1.3977486422552698</v>
      </c>
      <c r="ES292" s="205">
        <f>IF($J292="",#N/A,SUM(EQ$4:EQ292,EO$4:EO292,EM$4:EM292))</f>
        <v>3.455227349010745</v>
      </c>
      <c r="ET292" s="200" t="str">
        <f t="shared" si="502"/>
        <v/>
      </c>
      <c r="EU292" s="203">
        <f>IF($J292="",#N/A,SUM(ET$4:ET292))</f>
        <v>0</v>
      </c>
      <c r="EV292" s="204" t="str">
        <f t="shared" si="503"/>
        <v/>
      </c>
      <c r="EW292" s="204">
        <f>IF($J292="",#N/A,SUM(EV$4:EV292))</f>
        <v>2.3297323921502326</v>
      </c>
      <c r="EX292" s="205" t="str">
        <f t="shared" si="504"/>
        <v/>
      </c>
      <c r="EY292" s="205">
        <f>IF($J292="",#N/A,SUM(EX$4:EX292))</f>
        <v>0.27113250180669229</v>
      </c>
      <c r="EZ292" s="205">
        <f>IF($J292="",#N/A,SUM(EX$4:EX292,EV$4:EV292,ET$4:ET292))</f>
        <v>2.6008648939569246</v>
      </c>
      <c r="FA292" s="200" t="str">
        <f t="shared" si="505"/>
        <v/>
      </c>
      <c r="FB292" s="203">
        <f>IF($J292="",#N/A,SUM(FA$4:FA292))</f>
        <v>-0.27145310509113252</v>
      </c>
      <c r="FC292" s="204" t="str">
        <f t="shared" si="506"/>
        <v/>
      </c>
      <c r="FD292" s="204">
        <f>IF($J292="",#N/A,SUM(FC$4:FC292))</f>
        <v>1.204376144197403</v>
      </c>
      <c r="FE292" s="205" t="str">
        <f t="shared" si="507"/>
        <v/>
      </c>
      <c r="FF292" s="205">
        <f>IF($J292="",#N/A,SUM(FE$4:FE292))</f>
        <v>-0.28811149078748233</v>
      </c>
      <c r="FG292" s="205">
        <f>IF($J292="",#N/A,SUM(FE$4:FE292,FC$4:FC292,FA$4:FA292))</f>
        <v>0.64481154831878851</v>
      </c>
      <c r="FH292" s="200" t="str">
        <f t="shared" si="508"/>
        <v/>
      </c>
      <c r="FI292" s="203">
        <f>IF($J292="",#N/A,SUM(FH$4:FH292))</f>
        <v>0</v>
      </c>
      <c r="FJ292" s="204" t="str">
        <f t="shared" si="509"/>
        <v/>
      </c>
      <c r="FK292" s="204">
        <f>IF($J292="",#N/A,SUM(FJ$4:FJ292))</f>
        <v>0</v>
      </c>
      <c r="FL292" s="205" t="str">
        <f t="shared" si="510"/>
        <v/>
      </c>
      <c r="FM292" s="205">
        <f>IF($J292="",#N/A,SUM(FL$4:FL292))</f>
        <v>0</v>
      </c>
      <c r="FN292" s="205">
        <f>IF($J292="",#N/A,SUM(FL$4:FL292,FJ$4:FJ292,FH$4:FH292))</f>
        <v>0</v>
      </c>
      <c r="FO292" s="200" t="str">
        <f t="shared" si="511"/>
        <v/>
      </c>
      <c r="FP292" s="203">
        <f>IF($J292="",#N/A,SUM(FO$4:FO292))</f>
        <v>0</v>
      </c>
      <c r="FQ292" s="204" t="str">
        <f t="shared" si="512"/>
        <v/>
      </c>
      <c r="FR292" s="204">
        <f>IF($J292="",#N/A,SUM(FQ$4:FQ292))</f>
        <v>0</v>
      </c>
      <c r="FS292" s="205" t="str">
        <f t="shared" si="513"/>
        <v/>
      </c>
      <c r="FT292" s="205">
        <f>IF($J292="",#N/A,SUM(FS$4:FS292))</f>
        <v>0</v>
      </c>
      <c r="FU292" s="205">
        <f>IF($J292="",#N/A,SUM(FS$4:FS292,FQ$4:FQ292,FO$4:FO292))</f>
        <v>0</v>
      </c>
      <c r="FV292" s="200" t="str">
        <f t="shared" si="514"/>
        <v/>
      </c>
      <c r="FW292" s="203">
        <f>IF($J292="",#N/A,SUM(FV$4:FV292))</f>
        <v>6.6834991831277585E-2</v>
      </c>
      <c r="FX292" s="204" t="str">
        <f t="shared" si="515"/>
        <v/>
      </c>
      <c r="FY292" s="204">
        <f>IF($J292="",#N/A,SUM(FX$4:FX292))</f>
        <v>-0.16102012791805576</v>
      </c>
      <c r="FZ292" s="205" t="str">
        <f t="shared" si="516"/>
        <v/>
      </c>
      <c r="GA292" s="205">
        <f>IF($J292="",#N/A,SUM(FZ$4:FZ292))</f>
        <v>-0.69624339162892301</v>
      </c>
      <c r="GB292" s="205">
        <f>IF($J292="",#N/A,SUM(FZ$4:FZ292,FX$4:FX292,FV$4:FV292))</f>
        <v>-0.79042852771570116</v>
      </c>
      <c r="GC292" s="200" t="str">
        <f t="shared" si="517"/>
        <v/>
      </c>
      <c r="GD292" s="203">
        <f>IF($J292="",#N/A,SUM(GC$4:GC292))</f>
        <v>0</v>
      </c>
      <c r="GE292" s="204" t="str">
        <f t="shared" si="518"/>
        <v/>
      </c>
      <c r="GF292" s="204">
        <f>IF($J292="",#N/A,SUM(GE$4:GE292))</f>
        <v>0</v>
      </c>
      <c r="GG292" s="205" t="str">
        <f t="shared" si="519"/>
        <v/>
      </c>
      <c r="GH292" s="205">
        <f>IF($J292="",#N/A,SUM(GG$4:GG292))</f>
        <v>-2.9368362277223206</v>
      </c>
      <c r="GI292" s="205">
        <f>IF($J292="",#N/A,SUM(GG$4:GG292,GE$4:GE292,GC$4:GC292))</f>
        <v>-2.9368362277223206</v>
      </c>
      <c r="GJ292" s="200" t="str">
        <f t="shared" si="520"/>
        <v/>
      </c>
      <c r="GK292" s="203">
        <f>IF($J292="",#N/A,SUM(GJ$4:GJ292))</f>
        <v>0</v>
      </c>
      <c r="GL292" s="204" t="str">
        <f t="shared" si="521"/>
        <v/>
      </c>
      <c r="GM292" s="204">
        <f>IF($J292="",#N/A,SUM(GL$4:GL292))</f>
        <v>-1.6833790887309608</v>
      </c>
      <c r="GN292" s="205" t="str">
        <f t="shared" si="522"/>
        <v/>
      </c>
      <c r="GO292" s="205">
        <f>IF($J292="",#N/A,SUM(GN$4:GN292))</f>
        <v>0</v>
      </c>
      <c r="GP292" s="205">
        <f>IF($J292="",#N/A,SUM(GN$4:GN292,GL$4:GL292,GJ$4:GJ292))</f>
        <v>-1.6833790887309608</v>
      </c>
      <c r="GS292" s="54">
        <f t="shared" si="541"/>
        <v>1.7750115260488706</v>
      </c>
      <c r="GT292" s="54">
        <f>IF(GS292="",NA(),SUM($GS$4:GS292))</f>
        <v>10.65924499469565</v>
      </c>
      <c r="GU292" s="54" t="str">
        <f t="shared" si="523"/>
        <v/>
      </c>
      <c r="GV292" s="54" t="e">
        <f>IF(GU292="",NA(),SUM($GU$4:GU292))</f>
        <v>#N/A</v>
      </c>
      <c r="GW292" s="54">
        <f t="shared" si="524"/>
        <v>1.7750115260488706</v>
      </c>
      <c r="GX292" s="54">
        <f>IF(GW292="",NA(),SUM($GW$4:GW292))</f>
        <v>6.6151020168701793</v>
      </c>
      <c r="GY292" s="54" t="str">
        <f t="shared" si="525"/>
        <v/>
      </c>
      <c r="GZ292" s="54" t="e">
        <f>IF(GY292="",NA(),SUM($GY$4:GY292))</f>
        <v>#N/A</v>
      </c>
      <c r="HA292" s="54" t="str">
        <f t="shared" si="526"/>
        <v/>
      </c>
      <c r="HB292" s="54" t="e">
        <f>IF(HA292="",NA(),SUM($HA$4:HA292))</f>
        <v>#N/A</v>
      </c>
      <c r="HC292" s="54" t="str">
        <f t="shared" si="527"/>
        <v/>
      </c>
      <c r="HD292" s="54" t="e">
        <f>IF(HC292="",NA(),SUM($HC$4:HC292))</f>
        <v>#N/A</v>
      </c>
      <c r="HE292" s="54" t="str">
        <f t="shared" si="528"/>
        <v/>
      </c>
      <c r="HF292" s="54" t="e">
        <f>IF(HE292="",NA(),SUM($HE$4:HE292))</f>
        <v>#N/A</v>
      </c>
      <c r="HG292" s="54" t="str">
        <f t="shared" si="529"/>
        <v/>
      </c>
      <c r="HH292" s="54" t="e">
        <f>IF(HG292="",NA(),SUM($HG$4:HG292))</f>
        <v>#N/A</v>
      </c>
      <c r="HI292" s="172" t="str">
        <f t="shared" si="542"/>
        <v/>
      </c>
      <c r="HJ292" s="172">
        <f>IF($J292="",#N/A,SUM(HI$4:$HI292))</f>
        <v>-7.8074005298423348</v>
      </c>
      <c r="HK292" s="54" t="str">
        <f t="shared" si="530"/>
        <v/>
      </c>
      <c r="HL292" s="54">
        <f>IF($J292="",#N/A,SUM($HK$4:HK292))</f>
        <v>-1.5121743856206984</v>
      </c>
      <c r="HM292" s="54" t="str">
        <f t="shared" si="531"/>
        <v/>
      </c>
      <c r="HN292" s="54">
        <f>IF($J292="",#N/A,SUM($HM$4:HM292))</f>
        <v>0.6871920272168337</v>
      </c>
      <c r="HO292" s="54" t="str">
        <f t="shared" si="532"/>
        <v/>
      </c>
      <c r="HP292" s="54">
        <f>IF($J292="",#N/A,SUM($HO$4:HO292))</f>
        <v>-1.052184587939049</v>
      </c>
      <c r="HQ292" s="54">
        <f t="shared" si="533"/>
        <v>0.20878614239610283</v>
      </c>
      <c r="HR292" s="54">
        <f>IF($J292="",#N/A,SUM($HQ$4:HQ292))</f>
        <v>-15.589576757744322</v>
      </c>
      <c r="HS292" s="54" t="str">
        <f t="shared" si="534"/>
        <v/>
      </c>
      <c r="HT292" s="54">
        <f>IF($J292="",#N/A,SUM($HS$4:HS292))</f>
        <v>14.748433960765649</v>
      </c>
      <c r="HU292" s="65">
        <f t="shared" si="535"/>
        <v>1.9837976684449734</v>
      </c>
      <c r="HV292" s="65">
        <f>IF($J292="",#N/A,SUM(HU$4:$HU292))</f>
        <v>3.5519055510392703</v>
      </c>
    </row>
    <row r="293" spans="1:230" x14ac:dyDescent="0.25">
      <c r="A293" s="51" t="s">
        <v>1572</v>
      </c>
      <c r="B293" s="52" t="s">
        <v>4596</v>
      </c>
      <c r="C293" s="229">
        <f t="shared" si="436"/>
        <v>2</v>
      </c>
      <c r="D293" s="219" t="str">
        <f>_xlfn.XLOOKUP(A293,[1]SP500!$A$2:$A$502,[1]SP500!$D$2:$D$502,"N")</f>
        <v>Y</v>
      </c>
      <c r="E293" s="51" t="str">
        <f>IFERROR(_xlfn.XLOOKUP(A293,[1]SP500!$A$2:$A$655,[1]SP500!$B$2:$B$655),"")</f>
        <v>XLP</v>
      </c>
      <c r="F293" s="290">
        <v>45784</v>
      </c>
      <c r="G293" s="51" t="str">
        <f t="shared" si="437"/>
        <v>BMO</v>
      </c>
      <c r="H293" s="51" t="str">
        <f t="shared" si="438"/>
        <v>s</v>
      </c>
      <c r="I293" s="344">
        <v>78.16</v>
      </c>
      <c r="J293" s="124">
        <v>80.28</v>
      </c>
      <c r="K293" s="55">
        <f t="shared" si="439"/>
        <v>2.712384851586495E-2</v>
      </c>
      <c r="L293" s="67">
        <f t="shared" si="440"/>
        <v>-31.800000000000182</v>
      </c>
      <c r="M293" s="57">
        <f t="shared" si="441"/>
        <v>0</v>
      </c>
      <c r="N293" s="102">
        <f t="shared" si="442"/>
        <v>-31.800000000000182</v>
      </c>
      <c r="O293" s="57">
        <f>IF(N293="",#N/A,SUM($N$4:N293))</f>
        <v>643.81575430328064</v>
      </c>
      <c r="P293" s="65">
        <f t="shared" si="536"/>
        <v>-0.45206414193108418</v>
      </c>
      <c r="Q293" s="172">
        <f>IF($N293="",#N/A,SUM($P$4:P293))</f>
        <v>13.625551682272121</v>
      </c>
      <c r="R293" s="279">
        <f t="shared" si="443"/>
        <v>1.8791604450412329</v>
      </c>
      <c r="S293" s="51" t="str">
        <f t="shared" si="444"/>
        <v>Dwn</v>
      </c>
      <c r="T293" s="51" t="s">
        <v>4461</v>
      </c>
      <c r="U293" s="56">
        <f t="shared" si="445"/>
        <v>78.16</v>
      </c>
      <c r="V293" s="56" t="s">
        <v>4458</v>
      </c>
      <c r="W293" s="142">
        <v>15</v>
      </c>
      <c r="X293" s="145">
        <f t="shared" si="446"/>
        <v>1172.3999999999999</v>
      </c>
      <c r="Y293" s="140">
        <f t="shared" si="447"/>
        <v>15</v>
      </c>
      <c r="Z293" s="123">
        <v>80.28</v>
      </c>
      <c r="AA293" s="102">
        <f t="shared" si="448"/>
        <v>-31.800000000000182</v>
      </c>
      <c r="AB293" s="102">
        <f t="shared" si="449"/>
        <v>33.899999999999864</v>
      </c>
      <c r="AC293" s="124">
        <v>75.900000000000006</v>
      </c>
      <c r="AD293" s="155">
        <f t="shared" si="450"/>
        <v>33.899999999999864</v>
      </c>
      <c r="AE293" s="545">
        <f t="shared" si="451"/>
        <v>0.48191743432275486</v>
      </c>
      <c r="AF293" s="57">
        <f>IF($AC293="",#N/A,SUM(AD$4:AD293))</f>
        <v>143.5198042277683</v>
      </c>
      <c r="AG293" s="102">
        <f t="shared" si="452"/>
        <v>65.700000000000045</v>
      </c>
      <c r="AH293" s="56" t="s">
        <v>2507</v>
      </c>
      <c r="AI293" s="65">
        <f t="shared" si="453"/>
        <v>-0.45206414193108418</v>
      </c>
      <c r="AJ293" s="65">
        <f>IF(AI293="",#N/A,SUM($AI$4:AI293))</f>
        <v>11.746391237230888</v>
      </c>
      <c r="AK293" s="57">
        <f t="shared" si="454"/>
        <v>-31.800000000000182</v>
      </c>
      <c r="AL293" s="349">
        <f>IF(AI293="",#N/A,IF(AH293="Skip",SUM($AK$4:AK293),SUM($AK$4:AK293)))</f>
        <v>514.29759149281449</v>
      </c>
      <c r="AM293" s="65">
        <f t="shared" si="537"/>
        <v>0.48191743432275486</v>
      </c>
      <c r="AN293" s="210"/>
      <c r="AO293" s="65" t="str">
        <f t="shared" si="455"/>
        <v/>
      </c>
      <c r="AP293" s="65">
        <f>IF($AC293="",#N/A,SUM(AO$4:AO293))</f>
        <v>4.2358183307965032</v>
      </c>
      <c r="AQ293" s="65" t="str">
        <f t="shared" si="456"/>
        <v/>
      </c>
      <c r="AR293" s="65">
        <f>IF($AC293="",#N/A,SUM(AQ$4:AQ293))</f>
        <v>-5.6877420365355587</v>
      </c>
      <c r="AS293" s="65">
        <f t="shared" si="457"/>
        <v>0.48191743432275486</v>
      </c>
      <c r="AT293" s="65">
        <f>IF($AC293="",#N/A,SUM(AS$4:AS293))</f>
        <v>5.4857466911010802</v>
      </c>
      <c r="AU293" s="57" t="str">
        <f t="shared" si="538"/>
        <v/>
      </c>
      <c r="AV293" s="57">
        <f>IF($AC293="",#N/A,SUM(AU$4:AU293))</f>
        <v>151.70249066104691</v>
      </c>
      <c r="AW293" s="57" t="str">
        <f t="shared" si="539"/>
        <v/>
      </c>
      <c r="AX293" s="57">
        <f>IF($AC293="",#N/A,SUM(AW$4:AW293))</f>
        <v>-377.70106797961103</v>
      </c>
      <c r="AY293" s="57">
        <f t="shared" si="540"/>
        <v>33.899999999999864</v>
      </c>
      <c r="AZ293" s="57">
        <f>IF($AC293="",#N/A,SUM(AY$4:AY293))</f>
        <v>369.51838154633242</v>
      </c>
      <c r="BA293" s="57">
        <f>IF(AD293="",#N/A,SUM($AD$4:AD293))</f>
        <v>143.5198042277683</v>
      </c>
      <c r="BC293" s="51" t="str">
        <f t="shared" si="458"/>
        <v/>
      </c>
      <c r="BD293" s="51">
        <f t="shared" si="459"/>
        <v>1</v>
      </c>
      <c r="BE293" s="51" t="str">
        <f t="shared" si="460"/>
        <v/>
      </c>
      <c r="BF293" s="51" t="str">
        <f t="shared" si="461"/>
        <v>Short</v>
      </c>
      <c r="BG293" s="51" t="str">
        <f t="shared" si="462"/>
        <v/>
      </c>
      <c r="BH293" s="51" t="str">
        <f t="shared" si="463"/>
        <v/>
      </c>
      <c r="BI293" s="51" t="str">
        <f t="shared" si="464"/>
        <v/>
      </c>
      <c r="BK293" s="65">
        <f t="shared" si="435"/>
        <v>1.4022376745689869E-2</v>
      </c>
      <c r="BL293" s="65">
        <f t="shared" si="543"/>
        <v>4.0461299082023387E-2</v>
      </c>
      <c r="BM293" s="65">
        <f>IFERROR(Q293/COUNTA($J$4:J293),#N/A)</f>
        <v>4.6984660973352139E-2</v>
      </c>
      <c r="BO293" s="489" t="e">
        <f>IF(J293="",#N/A,IF(S293="SW",(COUNTIFS(K$4:$K293,"&gt;0",S$4:$S293,"SW")/COUNTIF(S$4:$S293,"SW")),#N/A))</f>
        <v>#N/A</v>
      </c>
      <c r="BP293" s="489">
        <f>IF($J293="",#N/A,IF($S293="DWN",(COUNTIFS($K$4:$K293,"&lt;0",$S$4:$S293,"DWN")/COUNTIF($S$4:$S293,"DWN")),#N/A))</f>
        <v>0.58208955223880599</v>
      </c>
      <c r="BQ293" s="489" t="e">
        <f>IF($J293="",#N/A,IF($S293="UP",(COUNTIFS($K$4:$K293,"&gt;0",$S$4:$S293,"UP")/COUNTIF($S$4:$S293,"UP")),#N/A))</f>
        <v>#N/A</v>
      </c>
      <c r="BR293" s="489">
        <f>IF(J293="",#N/A,COUNTIF($K$4:K293,"&gt;0")/COUNT($J$4:J293))</f>
        <v>0.4517241379310345</v>
      </c>
      <c r="BS293" s="65" t="str">
        <f t="shared" si="465"/>
        <v/>
      </c>
      <c r="BT293" s="65" t="str">
        <f t="shared" si="466"/>
        <v/>
      </c>
      <c r="BU293" s="65" t="str">
        <f t="shared" si="467"/>
        <v/>
      </c>
      <c r="BV293" s="65">
        <f t="shared" si="468"/>
        <v>-0.45206414193108418</v>
      </c>
      <c r="BW293" s="128" t="str">
        <f t="shared" si="469"/>
        <v/>
      </c>
      <c r="BX293" s="128">
        <f>IF($J293="",#N/A,SUM($BW$4:BW293))</f>
        <v>-351.87317034792864</v>
      </c>
      <c r="BY293" s="131">
        <f t="shared" si="470"/>
        <v>-31.800000000000182</v>
      </c>
      <c r="BZ293" s="131">
        <f>IF($J293="",#N/A,SUM($BY$4:BY293))</f>
        <v>818.32734038933393</v>
      </c>
      <c r="CA293" s="133" t="str">
        <f t="shared" si="471"/>
        <v/>
      </c>
      <c r="CB293" s="133">
        <f>IF($J293="",#N/A,SUM($CA$4:CA293))</f>
        <v>177.36158426187535</v>
      </c>
      <c r="CC293" s="194" t="str">
        <f t="shared" si="472"/>
        <v/>
      </c>
      <c r="CD293" s="194">
        <f>IF($J293="",#N/A,SUM($CC$4:CC293))</f>
        <v>-5.3227494758133416</v>
      </c>
      <c r="CE293" s="195">
        <f t="shared" si="473"/>
        <v>-0.45206414193108418</v>
      </c>
      <c r="CF293" s="195">
        <f>IF($J293="",#N/A,SUM($CE$4:CE293))</f>
        <v>13.871340030310286</v>
      </c>
      <c r="CG293" s="196" t="str">
        <f t="shared" si="474"/>
        <v/>
      </c>
      <c r="CH293" s="196">
        <f>IF($J293="",#N/A,SUM($CG$4:CG293))</f>
        <v>5.0769611277751805</v>
      </c>
      <c r="CI293" s="200" t="str">
        <f t="shared" si="475"/>
        <v/>
      </c>
      <c r="CJ293" s="203">
        <f>IF($J293="",#N/A,SUM(CI$4:CI293))</f>
        <v>0</v>
      </c>
      <c r="CK293" s="204" t="str">
        <f t="shared" si="476"/>
        <v/>
      </c>
      <c r="CL293" s="204">
        <f>IF($J293="",#N/A,SUM(CK$4:CK293))</f>
        <v>2.4085740385592547</v>
      </c>
      <c r="CM293" s="205" t="str">
        <f t="shared" si="477"/>
        <v/>
      </c>
      <c r="CN293" s="205">
        <f>IF($J293="",#N/A,SUM(CM$4:CM293))</f>
        <v>1.6152444684298783</v>
      </c>
      <c r="CO293" s="205">
        <f>IF($J293="",#N/A,SUM(CM$4:CM293,CK$4:CK293,CI$4:CI293))</f>
        <v>4.0238185069891328</v>
      </c>
      <c r="CP293" s="200" t="str">
        <f t="shared" si="478"/>
        <v/>
      </c>
      <c r="CQ293" s="203">
        <f>IF($J293="",#N/A,SUM(CP$4:CP293))</f>
        <v>-1.1156319314882757</v>
      </c>
      <c r="CR293" s="204" t="str">
        <f t="shared" si="479"/>
        <v/>
      </c>
      <c r="CS293" s="204">
        <f>IF($J293="",#N/A,SUM(CR$4:CR293))</f>
        <v>2.3600225017004668</v>
      </c>
      <c r="CT293" s="205" t="str">
        <f t="shared" si="480"/>
        <v/>
      </c>
      <c r="CU293" s="205">
        <f>IF($J293="",#N/A,SUM(CT$4:CT293))</f>
        <v>-2.9040943753548785</v>
      </c>
      <c r="CV293" s="205">
        <f>IF($J293="",#N/A,SUM(CT$4:CT293,CR$4:CR293,CP$4:CP293))</f>
        <v>-1.6597038051426876</v>
      </c>
      <c r="CW293" s="200" t="str">
        <f t="shared" si="481"/>
        <v/>
      </c>
      <c r="CX293" s="203">
        <f>IF($J293="",#N/A,SUM(CW$4:CW293))</f>
        <v>-1.2839616145397621</v>
      </c>
      <c r="CY293" s="204" t="str">
        <f t="shared" si="482"/>
        <v/>
      </c>
      <c r="CZ293" s="204">
        <f>IF($J293="",#N/A,SUM(CY$4:CY293))</f>
        <v>0.37351298702481961</v>
      </c>
      <c r="DA293" s="205" t="str">
        <f t="shared" si="483"/>
        <v/>
      </c>
      <c r="DB293" s="205">
        <f>IF($J293="",#N/A,SUM(DA$4:DA293))</f>
        <v>-1.1581788995104692</v>
      </c>
      <c r="DC293" s="205">
        <f>IF($J293="",#N/A,SUM(DA$4:DA293,CY$4:CY293,CW$4:CW293))</f>
        <v>-2.068627527025412</v>
      </c>
      <c r="DD293" s="200" t="str">
        <f t="shared" si="484"/>
        <v/>
      </c>
      <c r="DE293" s="203">
        <f>IF($J293="",#N/A,SUM(DD$4:DD293))</f>
        <v>0.24769343410817113</v>
      </c>
      <c r="DF293" s="204">
        <f t="shared" si="485"/>
        <v>-0.45206414193108418</v>
      </c>
      <c r="DG293" s="204">
        <f>IF($J293="",#N/A,SUM(DF$4:DF293))</f>
        <v>1.3104003890080136</v>
      </c>
      <c r="DH293" s="205" t="str">
        <f t="shared" si="486"/>
        <v/>
      </c>
      <c r="DI293" s="205">
        <f>IF($J293="",#N/A,SUM(DH$4:DH293))</f>
        <v>-2.7812008102163399</v>
      </c>
      <c r="DJ293" s="205">
        <f>IF($J293="",#N/A,SUM(DH$4:DH293,DF$4:DF293,DD$4:DD293))</f>
        <v>-1.2231069871001554</v>
      </c>
      <c r="DK293" s="200" t="str">
        <f t="shared" si="487"/>
        <v/>
      </c>
      <c r="DL293" s="203">
        <f>IF($J293="",#N/A,SUM(DK$4:DK293))</f>
        <v>-1.2097286851272664</v>
      </c>
      <c r="DM293" s="204" t="str">
        <f t="shared" si="488"/>
        <v/>
      </c>
      <c r="DN293" s="204">
        <f>IF($J293="",#N/A,SUM(DM$4:DM293))</f>
        <v>3.0281848543081331</v>
      </c>
      <c r="DO293" s="205" t="str">
        <f t="shared" si="489"/>
        <v/>
      </c>
      <c r="DP293" s="205">
        <f>IF($J293="",#N/A,SUM(DO$4:DO293))</f>
        <v>2.700331529683047</v>
      </c>
      <c r="DQ293" s="205">
        <f>IF($J293="",#N/A,SUM(DO$4:DO293,DM$4:DM293,DK$4:DK293))</f>
        <v>4.518787698863914</v>
      </c>
      <c r="DR293" s="200" t="str">
        <f t="shared" si="490"/>
        <v/>
      </c>
      <c r="DS293" s="203">
        <f>IF($J293="",#N/A,SUM(DR$4:DR293))</f>
        <v>-0.55950946427675097</v>
      </c>
      <c r="DT293" s="204" t="str">
        <f t="shared" si="491"/>
        <v/>
      </c>
      <c r="DU293" s="204">
        <f>IF($J293="",#N/A,SUM(DT$4:DT293))</f>
        <v>-0.20750635820596686</v>
      </c>
      <c r="DV293" s="205" t="str">
        <f t="shared" si="492"/>
        <v/>
      </c>
      <c r="DW293" s="205">
        <f>IF($J293="",#N/A,SUM(DV$4:DV293))</f>
        <v>-1.5454397913873317</v>
      </c>
      <c r="DX293" s="205">
        <f>IF($J293="",#N/A,SUM(DV$4:DV293,DT$4:DT293,DR$4:DR293))</f>
        <v>-2.3124556138700489</v>
      </c>
      <c r="DY293" s="200" t="str">
        <f t="shared" si="493"/>
        <v/>
      </c>
      <c r="DZ293" s="203">
        <f>IF($J293="",#N/A,SUM(DY$4:DY293))</f>
        <v>-1.0460034109943892</v>
      </c>
      <c r="EA293" s="204" t="str">
        <f t="shared" si="494"/>
        <v/>
      </c>
      <c r="EB293" s="204">
        <f>IF($J293="",#N/A,SUM(EA$4:EA293))</f>
        <v>2.468538401202053</v>
      </c>
      <c r="EC293" s="205" t="str">
        <f t="shared" si="495"/>
        <v/>
      </c>
      <c r="ED293" s="205">
        <f>IF($J293="",#N/A,SUM(EC$4:EC293))</f>
        <v>6.352220799154269</v>
      </c>
      <c r="EE293" s="205">
        <f>IF($J293="",#N/A,SUM(EC$4:EC293,EA$4:EA293,DY$4:DY293))</f>
        <v>7.7747557893619339</v>
      </c>
      <c r="EF293" s="200" t="str">
        <f t="shared" si="496"/>
        <v/>
      </c>
      <c r="EG293" s="203">
        <f>IF($J293="",#N/A,SUM(EF$4:EF293))</f>
        <v>-0.15098969023521425</v>
      </c>
      <c r="EH293" s="204" t="str">
        <f t="shared" si="497"/>
        <v/>
      </c>
      <c r="EI293" s="204">
        <f>IF($J293="",#N/A,SUM(EH$4:EH293))</f>
        <v>-1.9445201344224492</v>
      </c>
      <c r="EJ293" s="205" t="str">
        <f t="shared" si="498"/>
        <v/>
      </c>
      <c r="EK293" s="205">
        <f>IF($J293="",#N/A,SUM(EJ$4:EJ293))</f>
        <v>5.050388173053765</v>
      </c>
      <c r="EL293" s="205">
        <f>IF($J293="",#N/A,SUM(EJ$4:EJ293,EH$4:EH293,EF$4:EF293))</f>
        <v>2.9548783483961012</v>
      </c>
      <c r="EM293" s="200" t="str">
        <f t="shared" si="499"/>
        <v/>
      </c>
      <c r="EN293" s="203">
        <f>IF($J293="",#N/A,SUM(EM$4:EM293))</f>
        <v>0</v>
      </c>
      <c r="EO293" s="204" t="str">
        <f t="shared" si="500"/>
        <v/>
      </c>
      <c r="EP293" s="204">
        <f>IF($J293="",#N/A,SUM(EO$4:EO293))</f>
        <v>2.0574787067554756</v>
      </c>
      <c r="EQ293" s="205" t="str">
        <f t="shared" si="501"/>
        <v/>
      </c>
      <c r="ER293" s="205">
        <f>IF($J293="",#N/A,SUM(EQ$4:EQ293))</f>
        <v>1.3977486422552698</v>
      </c>
      <c r="ES293" s="205">
        <f>IF($J293="",#N/A,SUM(EQ$4:EQ293,EO$4:EO293,EM$4:EM293))</f>
        <v>3.455227349010745</v>
      </c>
      <c r="ET293" s="200" t="str">
        <f t="shared" si="502"/>
        <v/>
      </c>
      <c r="EU293" s="203">
        <f>IF($J293="",#N/A,SUM(ET$4:ET293))</f>
        <v>0</v>
      </c>
      <c r="EV293" s="204" t="str">
        <f t="shared" si="503"/>
        <v/>
      </c>
      <c r="EW293" s="204">
        <f>IF($J293="",#N/A,SUM(EV$4:EV293))</f>
        <v>2.3297323921502326</v>
      </c>
      <c r="EX293" s="205" t="str">
        <f t="shared" si="504"/>
        <v/>
      </c>
      <c r="EY293" s="205">
        <f>IF($J293="",#N/A,SUM(EX$4:EX293))</f>
        <v>0.27113250180669229</v>
      </c>
      <c r="EZ293" s="205">
        <f>IF($J293="",#N/A,SUM(EX$4:EX293,EV$4:EV293,ET$4:ET293))</f>
        <v>2.6008648939569246</v>
      </c>
      <c r="FA293" s="200" t="str">
        <f t="shared" si="505"/>
        <v/>
      </c>
      <c r="FB293" s="203">
        <f>IF($J293="",#N/A,SUM(FA$4:FA293))</f>
        <v>-0.27145310509113252</v>
      </c>
      <c r="FC293" s="204" t="str">
        <f t="shared" si="506"/>
        <v/>
      </c>
      <c r="FD293" s="204">
        <f>IF($J293="",#N/A,SUM(FC$4:FC293))</f>
        <v>1.204376144197403</v>
      </c>
      <c r="FE293" s="205" t="str">
        <f t="shared" si="507"/>
        <v/>
      </c>
      <c r="FF293" s="205">
        <f>IF($J293="",#N/A,SUM(FE$4:FE293))</f>
        <v>-0.28811149078748233</v>
      </c>
      <c r="FG293" s="205">
        <f>IF($J293="",#N/A,SUM(FE$4:FE293,FC$4:FC293,FA$4:FA293))</f>
        <v>0.64481154831878851</v>
      </c>
      <c r="FH293" s="200" t="str">
        <f t="shared" si="508"/>
        <v/>
      </c>
      <c r="FI293" s="203">
        <f>IF($J293="",#N/A,SUM(FH$4:FH293))</f>
        <v>0</v>
      </c>
      <c r="FJ293" s="204" t="str">
        <f t="shared" si="509"/>
        <v/>
      </c>
      <c r="FK293" s="204">
        <f>IF($J293="",#N/A,SUM(FJ$4:FJ293))</f>
        <v>0</v>
      </c>
      <c r="FL293" s="205" t="str">
        <f t="shared" si="510"/>
        <v/>
      </c>
      <c r="FM293" s="205">
        <f>IF($J293="",#N/A,SUM(FL$4:FL293))</f>
        <v>0</v>
      </c>
      <c r="FN293" s="205">
        <f>IF($J293="",#N/A,SUM(FL$4:FL293,FJ$4:FJ293,FH$4:FH293))</f>
        <v>0</v>
      </c>
      <c r="FO293" s="200" t="str">
        <f t="shared" si="511"/>
        <v/>
      </c>
      <c r="FP293" s="203">
        <f>IF($J293="",#N/A,SUM(FO$4:FO293))</f>
        <v>0</v>
      </c>
      <c r="FQ293" s="204" t="str">
        <f t="shared" si="512"/>
        <v/>
      </c>
      <c r="FR293" s="204">
        <f>IF($J293="",#N/A,SUM(FQ$4:FQ293))</f>
        <v>0</v>
      </c>
      <c r="FS293" s="205" t="str">
        <f t="shared" si="513"/>
        <v/>
      </c>
      <c r="FT293" s="205">
        <f>IF($J293="",#N/A,SUM(FS$4:FS293))</f>
        <v>0</v>
      </c>
      <c r="FU293" s="205">
        <f>IF($J293="",#N/A,SUM(FS$4:FS293,FQ$4:FQ293,FO$4:FO293))</f>
        <v>0</v>
      </c>
      <c r="FV293" s="200" t="str">
        <f t="shared" si="514"/>
        <v/>
      </c>
      <c r="FW293" s="203">
        <f>IF($J293="",#N/A,SUM(FV$4:FV293))</f>
        <v>6.6834991831277585E-2</v>
      </c>
      <c r="FX293" s="204" t="str">
        <f t="shared" si="515"/>
        <v/>
      </c>
      <c r="FY293" s="204">
        <f>IF($J293="",#N/A,SUM(FX$4:FX293))</f>
        <v>-0.16102012791805576</v>
      </c>
      <c r="FZ293" s="205" t="str">
        <f t="shared" si="516"/>
        <v/>
      </c>
      <c r="GA293" s="205">
        <f>IF($J293="",#N/A,SUM(FZ$4:FZ293))</f>
        <v>-0.69624339162892301</v>
      </c>
      <c r="GB293" s="205">
        <f>IF($J293="",#N/A,SUM(FZ$4:FZ293,FX$4:FX293,FV$4:FV293))</f>
        <v>-0.79042852771570116</v>
      </c>
      <c r="GC293" s="200" t="str">
        <f t="shared" si="517"/>
        <v/>
      </c>
      <c r="GD293" s="203">
        <f>IF($J293="",#N/A,SUM(GC$4:GC293))</f>
        <v>0</v>
      </c>
      <c r="GE293" s="204" t="str">
        <f t="shared" si="518"/>
        <v/>
      </c>
      <c r="GF293" s="204">
        <f>IF($J293="",#N/A,SUM(GE$4:GE293))</f>
        <v>0</v>
      </c>
      <c r="GG293" s="205" t="str">
        <f t="shared" si="519"/>
        <v/>
      </c>
      <c r="GH293" s="205">
        <f>IF($J293="",#N/A,SUM(GG$4:GG293))</f>
        <v>-2.9368362277223206</v>
      </c>
      <c r="GI293" s="205">
        <f>IF($J293="",#N/A,SUM(GG$4:GG293,GE$4:GE293,GC$4:GC293))</f>
        <v>-2.9368362277223206</v>
      </c>
      <c r="GJ293" s="200" t="str">
        <f t="shared" si="520"/>
        <v/>
      </c>
      <c r="GK293" s="203">
        <f>IF($J293="",#N/A,SUM(GJ$4:GJ293))</f>
        <v>0</v>
      </c>
      <c r="GL293" s="204" t="str">
        <f t="shared" si="521"/>
        <v/>
      </c>
      <c r="GM293" s="204">
        <f>IF($J293="",#N/A,SUM(GL$4:GL293))</f>
        <v>-1.6833790887309608</v>
      </c>
      <c r="GN293" s="205" t="str">
        <f t="shared" si="522"/>
        <v/>
      </c>
      <c r="GO293" s="205">
        <f>IF($J293="",#N/A,SUM(GN$4:GN293))</f>
        <v>0</v>
      </c>
      <c r="GP293" s="205">
        <f>IF($J293="",#N/A,SUM(GN$4:GN293,GL$4:GL293,GJ$4:GJ293))</f>
        <v>-1.6833790887309608</v>
      </c>
      <c r="GS293" s="54">
        <f t="shared" si="541"/>
        <v>-0.45206414193108418</v>
      </c>
      <c r="GT293" s="54">
        <f>IF(GS293="",NA(),SUM($GS$4:GS293))</f>
        <v>10.207180852764566</v>
      </c>
      <c r="GU293" s="54" t="str">
        <f t="shared" si="523"/>
        <v/>
      </c>
      <c r="GV293" s="54" t="e">
        <f>IF(GU293="",NA(),SUM($GU$4:GU293))</f>
        <v>#N/A</v>
      </c>
      <c r="GW293" s="54" t="str">
        <f t="shared" si="524"/>
        <v/>
      </c>
      <c r="GX293" s="54" t="e">
        <f>IF(GW293="",NA(),SUM($GW$4:GW293))</f>
        <v>#N/A</v>
      </c>
      <c r="GY293" s="54">
        <f t="shared" si="525"/>
        <v>-0.45206414193108418</v>
      </c>
      <c r="GZ293" s="54">
        <f>IF(GY293="",NA(),SUM($GY$4:GY293))</f>
        <v>8.9148283117077298</v>
      </c>
      <c r="HA293" s="54" t="str">
        <f t="shared" si="526"/>
        <v/>
      </c>
      <c r="HB293" s="54" t="e">
        <f>IF(HA293="",NA(),SUM($HA$4:HA293))</f>
        <v>#N/A</v>
      </c>
      <c r="HC293" s="54" t="str">
        <f t="shared" si="527"/>
        <v/>
      </c>
      <c r="HD293" s="54" t="e">
        <f>IF(HC293="",NA(),SUM($HC$4:HC293))</f>
        <v>#N/A</v>
      </c>
      <c r="HE293" s="54" t="str">
        <f t="shared" si="528"/>
        <v/>
      </c>
      <c r="HF293" s="54" t="e">
        <f>IF(HE293="",NA(),SUM($HE$4:HE293))</f>
        <v>#N/A</v>
      </c>
      <c r="HG293" s="54" t="str">
        <f t="shared" si="529"/>
        <v/>
      </c>
      <c r="HH293" s="54" t="e">
        <f>IF(HG293="",NA(),SUM($HG$4:HG293))</f>
        <v>#N/A</v>
      </c>
      <c r="HI293" s="172" t="str">
        <f t="shared" si="542"/>
        <v/>
      </c>
      <c r="HJ293" s="172">
        <f>IF($J293="",#N/A,SUM(HI$4:$HI293))</f>
        <v>-7.8074005298423348</v>
      </c>
      <c r="HK293" s="54">
        <f t="shared" si="530"/>
        <v>0.93398157625383904</v>
      </c>
      <c r="HL293" s="54">
        <f>IF($J293="",#N/A,SUM($HK$4:HK293))</f>
        <v>-0.57819280936685935</v>
      </c>
      <c r="HM293" s="54" t="str">
        <f t="shared" si="531"/>
        <v/>
      </c>
      <c r="HN293" s="54">
        <f>IF($J293="",#N/A,SUM($HM$4:HM293))</f>
        <v>0.6871920272168337</v>
      </c>
      <c r="HO293" s="54" t="str">
        <f t="shared" si="532"/>
        <v/>
      </c>
      <c r="HP293" s="54">
        <f>IF($J293="",#N/A,SUM($HO$4:HO293))</f>
        <v>-1.052184587939049</v>
      </c>
      <c r="HQ293" s="54" t="str">
        <f t="shared" si="533"/>
        <v/>
      </c>
      <c r="HR293" s="54">
        <f>IF($J293="",#N/A,SUM($HQ$4:HQ293))</f>
        <v>-15.589576757744322</v>
      </c>
      <c r="HS293" s="54" t="str">
        <f t="shared" si="534"/>
        <v/>
      </c>
      <c r="HT293" s="54">
        <f>IF($J293="",#N/A,SUM($HS$4:HS293))</f>
        <v>14.748433960765649</v>
      </c>
      <c r="HU293" s="65">
        <f t="shared" si="535"/>
        <v>0.48191743432275486</v>
      </c>
      <c r="HV293" s="65">
        <f>IF($J293="",#N/A,SUM(HU$4:$HU293))</f>
        <v>4.0338229853620255</v>
      </c>
    </row>
    <row r="294" spans="1:230" x14ac:dyDescent="0.25">
      <c r="A294" s="51" t="s">
        <v>289</v>
      </c>
      <c r="B294" s="52" t="s">
        <v>4596</v>
      </c>
      <c r="C294" s="229">
        <f t="shared" si="436"/>
        <v>1</v>
      </c>
      <c r="D294" s="219" t="str">
        <f>_xlfn.XLOOKUP(A294,[1]SP500!$A$2:$A$502,[1]SP500!$D$2:$D$502,"N")</f>
        <v>Y</v>
      </c>
      <c r="E294" s="51" t="str">
        <f>IFERROR(_xlfn.XLOOKUP(A294,[1]SP500!$A$2:$A$655,[1]SP500!$B$2:$B$655),"")</f>
        <v>XLI</v>
      </c>
      <c r="F294" s="290">
        <v>45784</v>
      </c>
      <c r="G294" s="51" t="str">
        <f t="shared" si="437"/>
        <v>BMO</v>
      </c>
      <c r="H294" s="51" t="str">
        <f t="shared" si="438"/>
        <v>o</v>
      </c>
      <c r="I294" s="344">
        <v>88.81</v>
      </c>
      <c r="J294" s="123">
        <v>88.5</v>
      </c>
      <c r="K294" s="55">
        <f t="shared" si="439"/>
        <v>-3.4905979056412823E-3</v>
      </c>
      <c r="L294" s="67">
        <f t="shared" si="440"/>
        <v>3.7200000000000273</v>
      </c>
      <c r="M294" s="57">
        <f t="shared" si="441"/>
        <v>-3.7200000000000273</v>
      </c>
      <c r="N294" s="102">
        <f t="shared" si="442"/>
        <v>-3.7200000000000273</v>
      </c>
      <c r="O294" s="57">
        <f>IF(N294="",#N/A,SUM($N$4:N294))</f>
        <v>640.09575430328061</v>
      </c>
      <c r="P294" s="65">
        <f t="shared" si="536"/>
        <v>-5.817663176068804E-2</v>
      </c>
      <c r="Q294" s="172">
        <f>IF($N294="",#N/A,SUM($P$4:P294))</f>
        <v>13.567375050511433</v>
      </c>
      <c r="R294" s="279">
        <f t="shared" si="443"/>
        <v>1.8209838132805451</v>
      </c>
      <c r="S294" s="51" t="str">
        <f t="shared" si="444"/>
        <v>Up</v>
      </c>
      <c r="T294" s="51" t="s">
        <v>4461</v>
      </c>
      <c r="U294" s="56">
        <f t="shared" si="445"/>
        <v>88.81</v>
      </c>
      <c r="V294" s="56" t="s">
        <v>4458</v>
      </c>
      <c r="W294" s="142">
        <v>12</v>
      </c>
      <c r="X294" s="145">
        <f t="shared" si="446"/>
        <v>1065.72</v>
      </c>
      <c r="Y294" s="140">
        <f t="shared" si="447"/>
        <v>12</v>
      </c>
      <c r="Z294" s="123">
        <v>88.81</v>
      </c>
      <c r="AA294" s="102">
        <f t="shared" si="448"/>
        <v>0</v>
      </c>
      <c r="AB294" s="102">
        <f t="shared" si="449"/>
        <v>-11.279999999999973</v>
      </c>
      <c r="AC294" s="124">
        <v>89.75</v>
      </c>
      <c r="AD294" s="155">
        <f t="shared" si="450"/>
        <v>11.279999999999973</v>
      </c>
      <c r="AE294" s="545">
        <f t="shared" si="451"/>
        <v>0.17640656082272976</v>
      </c>
      <c r="AF294" s="57">
        <f>IF($AC294="",#N/A,SUM(AD$4:AD294))</f>
        <v>154.79980422776828</v>
      </c>
      <c r="AG294" s="102">
        <f t="shared" si="452"/>
        <v>15</v>
      </c>
      <c r="AH294" s="56" t="s">
        <v>2507</v>
      </c>
      <c r="AI294" s="65">
        <f t="shared" si="453"/>
        <v>0</v>
      </c>
      <c r="AJ294" s="65">
        <f>IF(AI294="",#N/A,SUM($AI$4:AI294))</f>
        <v>11.746391237230888</v>
      </c>
      <c r="AK294" s="57">
        <f t="shared" si="454"/>
        <v>0</v>
      </c>
      <c r="AL294" s="349">
        <f>IF(AI294="",#N/A,IF(AH294="Skip",SUM($AK$4:AK294),SUM($AK$4:AK294)))</f>
        <v>514.29759149281449</v>
      </c>
      <c r="AM294" s="65">
        <f t="shared" si="537"/>
        <v>0.17640656082272976</v>
      </c>
      <c r="AN294" s="210"/>
      <c r="AO294" s="65" t="str">
        <f t="shared" si="455"/>
        <v/>
      </c>
      <c r="AP294" s="65">
        <f>IF($AC294="",#N/A,SUM(AO$4:AO294))</f>
        <v>4.2358183307965032</v>
      </c>
      <c r="AQ294" s="65">
        <f t="shared" si="456"/>
        <v>0.17640656082272976</v>
      </c>
      <c r="AR294" s="65">
        <f>IF($AC294="",#N/A,SUM(AQ$4:AQ294))</f>
        <v>-5.511335475712829</v>
      </c>
      <c r="AS294" s="65" t="str">
        <f t="shared" si="457"/>
        <v/>
      </c>
      <c r="AT294" s="65">
        <f>IF($AC294="",#N/A,SUM(AS$4:AS294))</f>
        <v>5.4857466911010802</v>
      </c>
      <c r="AU294" s="57" t="str">
        <f t="shared" si="538"/>
        <v/>
      </c>
      <c r="AV294" s="57">
        <f>IF($AC294="",#N/A,SUM(AU$4:AU294))</f>
        <v>151.70249066104691</v>
      </c>
      <c r="AW294" s="57">
        <f t="shared" si="539"/>
        <v>11.279999999999973</v>
      </c>
      <c r="AX294" s="57">
        <f>IF($AC294="",#N/A,SUM(AW$4:AW294))</f>
        <v>-366.42106797961105</v>
      </c>
      <c r="AY294" s="57" t="str">
        <f t="shared" si="540"/>
        <v/>
      </c>
      <c r="AZ294" s="57">
        <f>IF($AC294="",#N/A,SUM(AY$4:AY294))</f>
        <v>369.51838154633242</v>
      </c>
      <c r="BA294" s="57">
        <f>IF(AD294="",#N/A,SUM($AD$4:AD294))</f>
        <v>154.79980422776828</v>
      </c>
      <c r="BC294" s="51" t="str">
        <f t="shared" si="458"/>
        <v/>
      </c>
      <c r="BD294" s="51" t="str">
        <f t="shared" si="459"/>
        <v/>
      </c>
      <c r="BE294" s="51" t="str">
        <f t="shared" si="460"/>
        <v/>
      </c>
      <c r="BF294" s="51" t="str">
        <f t="shared" si="461"/>
        <v>Long</v>
      </c>
      <c r="BG294" s="51" t="str">
        <f t="shared" si="462"/>
        <v/>
      </c>
      <c r="BH294" s="51">
        <f t="shared" si="463"/>
        <v>1</v>
      </c>
      <c r="BI294" s="51" t="str">
        <f t="shared" si="464"/>
        <v/>
      </c>
      <c r="BK294" s="65">
        <f t="shared" si="435"/>
        <v>-6.2124056026322802E-2</v>
      </c>
      <c r="BL294" s="65">
        <f t="shared" si="543"/>
        <v>1.421975436268056E-2</v>
      </c>
      <c r="BM294" s="65">
        <f>IFERROR(Q294/COUNTA($J$4:J294),#N/A)</f>
        <v>4.6623281960520388E-2</v>
      </c>
      <c r="BO294" s="489" t="e">
        <f>IF(J294="",#N/A,IF(S294="SW",(COUNTIFS(K$4:$K294,"&gt;0",S$4:$S294,"SW")/COUNTIF(S$4:$S294,"SW")),#N/A))</f>
        <v>#N/A</v>
      </c>
      <c r="BP294" s="489" t="e">
        <f>IF($J294="",#N/A,IF($S294="DWN",(COUNTIFS($K$4:$K294,"&lt;0",$S$4:$S294,"DWN")/COUNTIF($S$4:$S294,"DWN")),#N/A))</f>
        <v>#N/A</v>
      </c>
      <c r="BQ294" s="489">
        <f>IF($J294="",#N/A,IF($S294="UP",(COUNTIFS($K$4:$K294,"&gt;0",$S$4:$S294,"UP")/COUNTIF($S$4:$S294,"UP")),#N/A))</f>
        <v>0.33333333333333331</v>
      </c>
      <c r="BR294" s="489">
        <f>IF(J294="",#N/A,COUNTIF($K$4:K294,"&gt;0")/COUNT($J$4:J294))</f>
        <v>0.45017182130584193</v>
      </c>
      <c r="BS294" s="65" t="str">
        <f t="shared" si="465"/>
        <v/>
      </c>
      <c r="BT294" s="65" t="str">
        <f t="shared" si="466"/>
        <v/>
      </c>
      <c r="BU294" s="65">
        <f t="shared" si="467"/>
        <v>-5.817663176068804E-2</v>
      </c>
      <c r="BV294" s="65" t="str">
        <f t="shared" si="468"/>
        <v/>
      </c>
      <c r="BW294" s="128">
        <f t="shared" si="469"/>
        <v>-3.7200000000000273</v>
      </c>
      <c r="BX294" s="128">
        <f>IF($J294="",#N/A,SUM($BW$4:BW294))</f>
        <v>-355.59317034792866</v>
      </c>
      <c r="BY294" s="131" t="str">
        <f t="shared" si="470"/>
        <v/>
      </c>
      <c r="BZ294" s="131">
        <f>IF($J294="",#N/A,SUM($BY$4:BY294))</f>
        <v>818.32734038933393</v>
      </c>
      <c r="CA294" s="133" t="str">
        <f t="shared" si="471"/>
        <v/>
      </c>
      <c r="CB294" s="133">
        <f>IF($J294="",#N/A,SUM($CA$4:CA294))</f>
        <v>177.36158426187535</v>
      </c>
      <c r="CC294" s="194">
        <f t="shared" si="472"/>
        <v>-5.817663176068804E-2</v>
      </c>
      <c r="CD294" s="194">
        <f>IF($J294="",#N/A,SUM($CC$4:CC294))</f>
        <v>-5.3809261075740293</v>
      </c>
      <c r="CE294" s="195" t="str">
        <f t="shared" si="473"/>
        <v/>
      </c>
      <c r="CF294" s="195">
        <f>IF($J294="",#N/A,SUM($CE$4:CE294))</f>
        <v>13.871340030310286</v>
      </c>
      <c r="CG294" s="196" t="str">
        <f t="shared" si="474"/>
        <v/>
      </c>
      <c r="CH294" s="196">
        <f>IF($J294="",#N/A,SUM($CG$4:CG294))</f>
        <v>5.0769611277751805</v>
      </c>
      <c r="CI294" s="200" t="str">
        <f t="shared" si="475"/>
        <v/>
      </c>
      <c r="CJ294" s="203">
        <f>IF($J294="",#N/A,SUM(CI$4:CI294))</f>
        <v>0</v>
      </c>
      <c r="CK294" s="204" t="str">
        <f t="shared" si="476"/>
        <v/>
      </c>
      <c r="CL294" s="204">
        <f>IF($J294="",#N/A,SUM(CK$4:CK294))</f>
        <v>2.4085740385592547</v>
      </c>
      <c r="CM294" s="205" t="str">
        <f t="shared" si="477"/>
        <v/>
      </c>
      <c r="CN294" s="205">
        <f>IF($J294="",#N/A,SUM(CM$4:CM294))</f>
        <v>1.6152444684298783</v>
      </c>
      <c r="CO294" s="205">
        <f>IF($J294="",#N/A,SUM(CM$4:CM294,CK$4:CK294,CI$4:CI294))</f>
        <v>4.0238185069891328</v>
      </c>
      <c r="CP294" s="200" t="str">
        <f t="shared" si="478"/>
        <v/>
      </c>
      <c r="CQ294" s="203">
        <f>IF($J294="",#N/A,SUM(CP$4:CP294))</f>
        <v>-1.1156319314882757</v>
      </c>
      <c r="CR294" s="204" t="str">
        <f t="shared" si="479"/>
        <v/>
      </c>
      <c r="CS294" s="204">
        <f>IF($J294="",#N/A,SUM(CR$4:CR294))</f>
        <v>2.3600225017004668</v>
      </c>
      <c r="CT294" s="205" t="str">
        <f t="shared" si="480"/>
        <v/>
      </c>
      <c r="CU294" s="205">
        <f>IF($J294="",#N/A,SUM(CT$4:CT294))</f>
        <v>-2.9040943753548785</v>
      </c>
      <c r="CV294" s="205">
        <f>IF($J294="",#N/A,SUM(CT$4:CT294,CR$4:CR294,CP$4:CP294))</f>
        <v>-1.6597038051426876</v>
      </c>
      <c r="CW294" s="200" t="str">
        <f t="shared" si="481"/>
        <v/>
      </c>
      <c r="CX294" s="203">
        <f>IF($J294="",#N/A,SUM(CW$4:CW294))</f>
        <v>-1.2839616145397621</v>
      </c>
      <c r="CY294" s="204" t="str">
        <f t="shared" si="482"/>
        <v/>
      </c>
      <c r="CZ294" s="204">
        <f>IF($J294="",#N/A,SUM(CY$4:CY294))</f>
        <v>0.37351298702481961</v>
      </c>
      <c r="DA294" s="205" t="str">
        <f t="shared" si="483"/>
        <v/>
      </c>
      <c r="DB294" s="205">
        <f>IF($J294="",#N/A,SUM(DA$4:DA294))</f>
        <v>-1.1581788995104692</v>
      </c>
      <c r="DC294" s="205">
        <f>IF($J294="",#N/A,SUM(DA$4:DA294,CY$4:CY294,CW$4:CW294))</f>
        <v>-2.068627527025412</v>
      </c>
      <c r="DD294" s="200" t="str">
        <f t="shared" si="484"/>
        <v/>
      </c>
      <c r="DE294" s="203">
        <f>IF($J294="",#N/A,SUM(DD$4:DD294))</f>
        <v>0.24769343410817113</v>
      </c>
      <c r="DF294" s="204" t="str">
        <f t="shared" si="485"/>
        <v/>
      </c>
      <c r="DG294" s="204">
        <f>IF($J294="",#N/A,SUM(DF$4:DF294))</f>
        <v>1.3104003890080136</v>
      </c>
      <c r="DH294" s="205" t="str">
        <f t="shared" si="486"/>
        <v/>
      </c>
      <c r="DI294" s="205">
        <f>IF($J294="",#N/A,SUM(DH$4:DH294))</f>
        <v>-2.7812008102163399</v>
      </c>
      <c r="DJ294" s="205">
        <f>IF($J294="",#N/A,SUM(DH$4:DH294,DF$4:DF294,DD$4:DD294))</f>
        <v>-1.2231069871001554</v>
      </c>
      <c r="DK294" s="200" t="str">
        <f t="shared" si="487"/>
        <v/>
      </c>
      <c r="DL294" s="203">
        <f>IF($J294="",#N/A,SUM(DK$4:DK294))</f>
        <v>-1.2097286851272664</v>
      </c>
      <c r="DM294" s="204" t="str">
        <f t="shared" si="488"/>
        <v/>
      </c>
      <c r="DN294" s="204">
        <f>IF($J294="",#N/A,SUM(DM$4:DM294))</f>
        <v>3.0281848543081331</v>
      </c>
      <c r="DO294" s="205" t="str">
        <f t="shared" si="489"/>
        <v/>
      </c>
      <c r="DP294" s="205">
        <f>IF($J294="",#N/A,SUM(DO$4:DO294))</f>
        <v>2.700331529683047</v>
      </c>
      <c r="DQ294" s="205">
        <f>IF($J294="",#N/A,SUM(DO$4:DO294,DM$4:DM294,DK$4:DK294))</f>
        <v>4.518787698863914</v>
      </c>
      <c r="DR294" s="200" t="str">
        <f t="shared" si="490"/>
        <v/>
      </c>
      <c r="DS294" s="203">
        <f>IF($J294="",#N/A,SUM(DR$4:DR294))</f>
        <v>-0.55950946427675097</v>
      </c>
      <c r="DT294" s="204" t="str">
        <f t="shared" si="491"/>
        <v/>
      </c>
      <c r="DU294" s="204">
        <f>IF($J294="",#N/A,SUM(DT$4:DT294))</f>
        <v>-0.20750635820596686</v>
      </c>
      <c r="DV294" s="205" t="str">
        <f t="shared" si="492"/>
        <v/>
      </c>
      <c r="DW294" s="205">
        <f>IF($J294="",#N/A,SUM(DV$4:DV294))</f>
        <v>-1.5454397913873317</v>
      </c>
      <c r="DX294" s="205">
        <f>IF($J294="",#N/A,SUM(DV$4:DV294,DT$4:DT294,DR$4:DR294))</f>
        <v>-2.3124556138700489</v>
      </c>
      <c r="DY294" s="200">
        <f t="shared" si="493"/>
        <v>-5.817663176068804E-2</v>
      </c>
      <c r="DZ294" s="203">
        <f>IF($J294="",#N/A,SUM(DY$4:DY294))</f>
        <v>-1.1041800427550772</v>
      </c>
      <c r="EA294" s="204" t="str">
        <f t="shared" si="494"/>
        <v/>
      </c>
      <c r="EB294" s="204">
        <f>IF($J294="",#N/A,SUM(EA$4:EA294))</f>
        <v>2.468538401202053</v>
      </c>
      <c r="EC294" s="205" t="str">
        <f t="shared" si="495"/>
        <v/>
      </c>
      <c r="ED294" s="205">
        <f>IF($J294="",#N/A,SUM(EC$4:EC294))</f>
        <v>6.352220799154269</v>
      </c>
      <c r="EE294" s="205">
        <f>IF($J294="",#N/A,SUM(EC$4:EC294,EA$4:EA294,DY$4:DY294))</f>
        <v>7.7165791576012461</v>
      </c>
      <c r="EF294" s="200" t="str">
        <f t="shared" si="496"/>
        <v/>
      </c>
      <c r="EG294" s="203">
        <f>IF($J294="",#N/A,SUM(EF$4:EF294))</f>
        <v>-0.15098969023521425</v>
      </c>
      <c r="EH294" s="204" t="str">
        <f t="shared" si="497"/>
        <v/>
      </c>
      <c r="EI294" s="204">
        <f>IF($J294="",#N/A,SUM(EH$4:EH294))</f>
        <v>-1.9445201344224492</v>
      </c>
      <c r="EJ294" s="205" t="str">
        <f t="shared" si="498"/>
        <v/>
      </c>
      <c r="EK294" s="205">
        <f>IF($J294="",#N/A,SUM(EJ$4:EJ294))</f>
        <v>5.050388173053765</v>
      </c>
      <c r="EL294" s="205">
        <f>IF($J294="",#N/A,SUM(EJ$4:EJ294,EH$4:EH294,EF$4:EF294))</f>
        <v>2.9548783483961012</v>
      </c>
      <c r="EM294" s="200" t="str">
        <f t="shared" si="499"/>
        <v/>
      </c>
      <c r="EN294" s="203">
        <f>IF($J294="",#N/A,SUM(EM$4:EM294))</f>
        <v>0</v>
      </c>
      <c r="EO294" s="204" t="str">
        <f t="shared" si="500"/>
        <v/>
      </c>
      <c r="EP294" s="204">
        <f>IF($J294="",#N/A,SUM(EO$4:EO294))</f>
        <v>2.0574787067554756</v>
      </c>
      <c r="EQ294" s="205" t="str">
        <f t="shared" si="501"/>
        <v/>
      </c>
      <c r="ER294" s="205">
        <f>IF($J294="",#N/A,SUM(EQ$4:EQ294))</f>
        <v>1.3977486422552698</v>
      </c>
      <c r="ES294" s="205">
        <f>IF($J294="",#N/A,SUM(EQ$4:EQ294,EO$4:EO294,EM$4:EM294))</f>
        <v>3.455227349010745</v>
      </c>
      <c r="ET294" s="200" t="str">
        <f t="shared" si="502"/>
        <v/>
      </c>
      <c r="EU294" s="203">
        <f>IF($J294="",#N/A,SUM(ET$4:ET294))</f>
        <v>0</v>
      </c>
      <c r="EV294" s="204" t="str">
        <f t="shared" si="503"/>
        <v/>
      </c>
      <c r="EW294" s="204">
        <f>IF($J294="",#N/A,SUM(EV$4:EV294))</f>
        <v>2.3297323921502326</v>
      </c>
      <c r="EX294" s="205" t="str">
        <f t="shared" si="504"/>
        <v/>
      </c>
      <c r="EY294" s="205">
        <f>IF($J294="",#N/A,SUM(EX$4:EX294))</f>
        <v>0.27113250180669229</v>
      </c>
      <c r="EZ294" s="205">
        <f>IF($J294="",#N/A,SUM(EX$4:EX294,EV$4:EV294,ET$4:ET294))</f>
        <v>2.6008648939569246</v>
      </c>
      <c r="FA294" s="200" t="str">
        <f t="shared" si="505"/>
        <v/>
      </c>
      <c r="FB294" s="203">
        <f>IF($J294="",#N/A,SUM(FA$4:FA294))</f>
        <v>-0.27145310509113252</v>
      </c>
      <c r="FC294" s="204" t="str">
        <f t="shared" si="506"/>
        <v/>
      </c>
      <c r="FD294" s="204">
        <f>IF($J294="",#N/A,SUM(FC$4:FC294))</f>
        <v>1.204376144197403</v>
      </c>
      <c r="FE294" s="205" t="str">
        <f t="shared" si="507"/>
        <v/>
      </c>
      <c r="FF294" s="205">
        <f>IF($J294="",#N/A,SUM(FE$4:FE294))</f>
        <v>-0.28811149078748233</v>
      </c>
      <c r="FG294" s="205">
        <f>IF($J294="",#N/A,SUM(FE$4:FE294,FC$4:FC294,FA$4:FA294))</f>
        <v>0.64481154831878851</v>
      </c>
      <c r="FH294" s="200" t="str">
        <f t="shared" si="508"/>
        <v/>
      </c>
      <c r="FI294" s="203">
        <f>IF($J294="",#N/A,SUM(FH$4:FH294))</f>
        <v>0</v>
      </c>
      <c r="FJ294" s="204" t="str">
        <f t="shared" si="509"/>
        <v/>
      </c>
      <c r="FK294" s="204">
        <f>IF($J294="",#N/A,SUM(FJ$4:FJ294))</f>
        <v>0</v>
      </c>
      <c r="FL294" s="205" t="str">
        <f t="shared" si="510"/>
        <v/>
      </c>
      <c r="FM294" s="205">
        <f>IF($J294="",#N/A,SUM(FL$4:FL294))</f>
        <v>0</v>
      </c>
      <c r="FN294" s="205">
        <f>IF($J294="",#N/A,SUM(FL$4:FL294,FJ$4:FJ294,FH$4:FH294))</f>
        <v>0</v>
      </c>
      <c r="FO294" s="200" t="str">
        <f t="shared" si="511"/>
        <v/>
      </c>
      <c r="FP294" s="203">
        <f>IF($J294="",#N/A,SUM(FO$4:FO294))</f>
        <v>0</v>
      </c>
      <c r="FQ294" s="204" t="str">
        <f t="shared" si="512"/>
        <v/>
      </c>
      <c r="FR294" s="204">
        <f>IF($J294="",#N/A,SUM(FQ$4:FQ294))</f>
        <v>0</v>
      </c>
      <c r="FS294" s="205" t="str">
        <f t="shared" si="513"/>
        <v/>
      </c>
      <c r="FT294" s="205">
        <f>IF($J294="",#N/A,SUM(FS$4:FS294))</f>
        <v>0</v>
      </c>
      <c r="FU294" s="205">
        <f>IF($J294="",#N/A,SUM(FS$4:FS294,FQ$4:FQ294,FO$4:FO294))</f>
        <v>0</v>
      </c>
      <c r="FV294" s="200" t="str">
        <f t="shared" si="514"/>
        <v/>
      </c>
      <c r="FW294" s="203">
        <f>IF($J294="",#N/A,SUM(FV$4:FV294))</f>
        <v>6.6834991831277585E-2</v>
      </c>
      <c r="FX294" s="204" t="str">
        <f t="shared" si="515"/>
        <v/>
      </c>
      <c r="FY294" s="204">
        <f>IF($J294="",#N/A,SUM(FX$4:FX294))</f>
        <v>-0.16102012791805576</v>
      </c>
      <c r="FZ294" s="205" t="str">
        <f t="shared" si="516"/>
        <v/>
      </c>
      <c r="GA294" s="205">
        <f>IF($J294="",#N/A,SUM(FZ$4:FZ294))</f>
        <v>-0.69624339162892301</v>
      </c>
      <c r="GB294" s="205">
        <f>IF($J294="",#N/A,SUM(FZ$4:FZ294,FX$4:FX294,FV$4:FV294))</f>
        <v>-0.79042852771570116</v>
      </c>
      <c r="GC294" s="200" t="str">
        <f t="shared" si="517"/>
        <v/>
      </c>
      <c r="GD294" s="203">
        <f>IF($J294="",#N/A,SUM(GC$4:GC294))</f>
        <v>0</v>
      </c>
      <c r="GE294" s="204" t="str">
        <f t="shared" si="518"/>
        <v/>
      </c>
      <c r="GF294" s="204">
        <f>IF($J294="",#N/A,SUM(GE$4:GE294))</f>
        <v>0</v>
      </c>
      <c r="GG294" s="205" t="str">
        <f t="shared" si="519"/>
        <v/>
      </c>
      <c r="GH294" s="205">
        <f>IF($J294="",#N/A,SUM(GG$4:GG294))</f>
        <v>-2.9368362277223206</v>
      </c>
      <c r="GI294" s="205">
        <f>IF($J294="",#N/A,SUM(GG$4:GG294,GE$4:GE294,GC$4:GC294))</f>
        <v>-2.9368362277223206</v>
      </c>
      <c r="GJ294" s="200" t="str">
        <f t="shared" si="520"/>
        <v/>
      </c>
      <c r="GK294" s="203">
        <f>IF($J294="",#N/A,SUM(GJ$4:GJ294))</f>
        <v>0</v>
      </c>
      <c r="GL294" s="204" t="str">
        <f t="shared" si="521"/>
        <v/>
      </c>
      <c r="GM294" s="204">
        <f>IF($J294="",#N/A,SUM(GL$4:GL294))</f>
        <v>-1.6833790887309608</v>
      </c>
      <c r="GN294" s="205" t="str">
        <f t="shared" si="522"/>
        <v/>
      </c>
      <c r="GO294" s="205">
        <f>IF($J294="",#N/A,SUM(GN$4:GN294))</f>
        <v>0</v>
      </c>
      <c r="GP294" s="205">
        <f>IF($J294="",#N/A,SUM(GN$4:GN294,GL$4:GL294,GJ$4:GJ294))</f>
        <v>-1.6833790887309608</v>
      </c>
      <c r="GS294" s="54">
        <f t="shared" si="541"/>
        <v>-5.817663176068804E-2</v>
      </c>
      <c r="GT294" s="54">
        <f>IF(GS294="",NA(),SUM($GS$4:GS294))</f>
        <v>10.149004221003878</v>
      </c>
      <c r="GU294" s="54">
        <f t="shared" si="523"/>
        <v>-5.817663176068804E-2</v>
      </c>
      <c r="GV294" s="54">
        <f>IF(GU294="",NA(),SUM($GU$4:GU294))</f>
        <v>-5.3809261075740293</v>
      </c>
      <c r="GW294" s="54" t="str">
        <f t="shared" si="524"/>
        <v/>
      </c>
      <c r="GX294" s="54" t="e">
        <f>IF(GW294="",NA(),SUM($GW$4:GW294))</f>
        <v>#N/A</v>
      </c>
      <c r="GY294" s="54" t="str">
        <f t="shared" si="525"/>
        <v/>
      </c>
      <c r="GZ294" s="54" t="e">
        <f>IF(GY294="",NA(),SUM($GY$4:GY294))</f>
        <v>#N/A</v>
      </c>
      <c r="HA294" s="54" t="str">
        <f t="shared" si="526"/>
        <v/>
      </c>
      <c r="HB294" s="54" t="e">
        <f>IF(HA294="",NA(),SUM($HA$4:HA294))</f>
        <v>#N/A</v>
      </c>
      <c r="HC294" s="54" t="str">
        <f t="shared" si="527"/>
        <v/>
      </c>
      <c r="HD294" s="54" t="e">
        <f>IF(HC294="",NA(),SUM($HC$4:HC294))</f>
        <v>#N/A</v>
      </c>
      <c r="HE294" s="54" t="str">
        <f t="shared" si="528"/>
        <v/>
      </c>
      <c r="HF294" s="54" t="e">
        <f>IF(HE294="",NA(),SUM($HE$4:HE294))</f>
        <v>#N/A</v>
      </c>
      <c r="HG294" s="54" t="str">
        <f t="shared" si="529"/>
        <v/>
      </c>
      <c r="HH294" s="54" t="e">
        <f>IF(HG294="",NA(),SUM($HG$4:HG294))</f>
        <v>#N/A</v>
      </c>
      <c r="HI294" s="172" t="str">
        <f t="shared" si="542"/>
        <v/>
      </c>
      <c r="HJ294" s="172">
        <f>IF($J294="",#N/A,SUM(HI$4:$HI294))</f>
        <v>-7.8074005298423348</v>
      </c>
      <c r="HK294" s="54" t="str">
        <f t="shared" si="530"/>
        <v/>
      </c>
      <c r="HL294" s="54">
        <f>IF($J294="",#N/A,SUM($HK$4:HK294))</f>
        <v>-0.57819280936685935</v>
      </c>
      <c r="HM294" s="54" t="str">
        <f t="shared" si="531"/>
        <v/>
      </c>
      <c r="HN294" s="54">
        <f>IF($J294="",#N/A,SUM($HM$4:HM294))</f>
        <v>0.6871920272168337</v>
      </c>
      <c r="HO294" s="54">
        <f t="shared" si="532"/>
        <v>0.23458319258341781</v>
      </c>
      <c r="HP294" s="54">
        <f>IF($J294="",#N/A,SUM($HO$4:HO294))</f>
        <v>-0.81760139535563114</v>
      </c>
      <c r="HQ294" s="54" t="str">
        <f t="shared" si="533"/>
        <v/>
      </c>
      <c r="HR294" s="54">
        <f>IF($J294="",#N/A,SUM($HQ$4:HQ294))</f>
        <v>-15.589576757744322</v>
      </c>
      <c r="HS294" s="54" t="str">
        <f t="shared" si="534"/>
        <v/>
      </c>
      <c r="HT294" s="54">
        <f>IF($J294="",#N/A,SUM($HS$4:HS294))</f>
        <v>14.748433960765649</v>
      </c>
      <c r="HU294" s="65">
        <f t="shared" si="535"/>
        <v>0.17640656082272976</v>
      </c>
      <c r="HV294" s="65">
        <f>IF($J294="",#N/A,SUM(HU$4:$HU294))</f>
        <v>4.2102295461847552</v>
      </c>
    </row>
    <row r="295" spans="1:230" x14ac:dyDescent="0.25">
      <c r="A295" s="396" t="s">
        <v>1575</v>
      </c>
      <c r="B295" s="52" t="s">
        <v>4596</v>
      </c>
      <c r="C295" s="229">
        <f t="shared" si="436"/>
        <v>2</v>
      </c>
      <c r="D295" s="219" t="str">
        <f>_xlfn.XLOOKUP(A295,[1]SP500!$A$2:$A$502,[1]SP500!$D$2:$D$502,"N")</f>
        <v>Y</v>
      </c>
      <c r="E295" s="51" t="str">
        <f>IFERROR(_xlfn.XLOOKUP(A295,[1]SP500!$A$2:$A$655,[1]SP500!$B$2:$B$655),"")</f>
        <v>XLI</v>
      </c>
      <c r="F295" s="290">
        <v>45784</v>
      </c>
      <c r="G295" s="51" t="str">
        <f t="shared" si="437"/>
        <v>BMO</v>
      </c>
      <c r="H295" s="51" t="str">
        <f t="shared" si="438"/>
        <v>s</v>
      </c>
      <c r="I295" s="344">
        <v>58.19</v>
      </c>
      <c r="J295" s="124">
        <v>54.69</v>
      </c>
      <c r="K295" s="55">
        <f t="shared" si="439"/>
        <v>-6.0147791716789828E-2</v>
      </c>
      <c r="L295" s="67">
        <f t="shared" si="440"/>
        <v>70</v>
      </c>
      <c r="M295" s="57">
        <f t="shared" si="441"/>
        <v>-6.2000000000000455</v>
      </c>
      <c r="N295" s="102">
        <f t="shared" si="442"/>
        <v>70</v>
      </c>
      <c r="O295" s="57">
        <f>IF(N295="",#N/A,SUM($N$4:N295))</f>
        <v>710.09575430328061</v>
      </c>
      <c r="P295" s="65">
        <f t="shared" si="536"/>
        <v>1.0024631952798306</v>
      </c>
      <c r="Q295" s="172">
        <f>IF($N295="",#N/A,SUM($P$4:P295))</f>
        <v>14.569838245791264</v>
      </c>
      <c r="R295" s="279">
        <f t="shared" si="443"/>
        <v>1.9097734105767596</v>
      </c>
      <c r="S295" s="51" t="str">
        <f t="shared" si="444"/>
        <v>Dwn</v>
      </c>
      <c r="T295" s="51" t="s">
        <v>4462</v>
      </c>
      <c r="U295" s="56">
        <f t="shared" si="445"/>
        <v>58.19</v>
      </c>
      <c r="V295" s="56" t="s">
        <v>4458</v>
      </c>
      <c r="W295" s="142">
        <v>20</v>
      </c>
      <c r="X295" s="145">
        <f t="shared" si="446"/>
        <v>1163.8</v>
      </c>
      <c r="Y295" s="140">
        <f t="shared" si="447"/>
        <v>20</v>
      </c>
      <c r="Z295" s="123">
        <v>55</v>
      </c>
      <c r="AA295" s="102">
        <f t="shared" si="448"/>
        <v>63.799999999999955</v>
      </c>
      <c r="AB295" s="102">
        <f t="shared" si="449"/>
        <v>75</v>
      </c>
      <c r="AC295" s="123">
        <v>54.44</v>
      </c>
      <c r="AD295" s="155">
        <f t="shared" si="450"/>
        <v>75</v>
      </c>
      <c r="AE295" s="545">
        <f t="shared" si="451"/>
        <v>1.0740677092283899</v>
      </c>
      <c r="AF295" s="57">
        <f>IF($AC295="",#N/A,SUM(AD$4:AD295))</f>
        <v>229.79980422776828</v>
      </c>
      <c r="AG295" s="102">
        <f t="shared" si="452"/>
        <v>5</v>
      </c>
      <c r="AH295" s="56" t="s">
        <v>2507</v>
      </c>
      <c r="AI295" s="65">
        <f t="shared" si="453"/>
        <v>0.91367359798361636</v>
      </c>
      <c r="AJ295" s="65">
        <f>IF(AI295="",#N/A,SUM($AI$4:AI295))</f>
        <v>12.660064835214504</v>
      </c>
      <c r="AK295" s="57">
        <f t="shared" si="454"/>
        <v>63.799999999999955</v>
      </c>
      <c r="AL295" s="349">
        <f>IF(AI295="",#N/A,IF(AH295="Skip",SUM($AK$4:AK295),SUM($AK$4:AK295)))</f>
        <v>578.09759149281444</v>
      </c>
      <c r="AM295" s="65">
        <f t="shared" si="537"/>
        <v>1.0740677092283899</v>
      </c>
      <c r="AN295" s="210"/>
      <c r="AO295" s="65" t="str">
        <f t="shared" si="455"/>
        <v/>
      </c>
      <c r="AP295" s="65">
        <f>IF($AC295="",#N/A,SUM(AO$4:AO295))</f>
        <v>4.2358183307965032</v>
      </c>
      <c r="AQ295" s="65" t="str">
        <f t="shared" si="456"/>
        <v/>
      </c>
      <c r="AR295" s="65">
        <f>IF($AC295="",#N/A,SUM(AQ$4:AQ295))</f>
        <v>-5.511335475712829</v>
      </c>
      <c r="AS295" s="65">
        <f t="shared" si="457"/>
        <v>1.0740677092283899</v>
      </c>
      <c r="AT295" s="65">
        <f>IF($AC295="",#N/A,SUM(AS$4:AS295))</f>
        <v>6.5598144003294703</v>
      </c>
      <c r="AU295" s="57" t="str">
        <f t="shared" si="538"/>
        <v/>
      </c>
      <c r="AV295" s="57">
        <f>IF($AC295="",#N/A,SUM(AU$4:AU295))</f>
        <v>151.70249066104691</v>
      </c>
      <c r="AW295" s="57" t="str">
        <f t="shared" si="539"/>
        <v/>
      </c>
      <c r="AX295" s="57">
        <f>IF($AC295="",#N/A,SUM(AW$4:AW295))</f>
        <v>-366.42106797961105</v>
      </c>
      <c r="AY295" s="57">
        <f t="shared" si="540"/>
        <v>75</v>
      </c>
      <c r="AZ295" s="57">
        <f>IF($AC295="",#N/A,SUM(AY$4:AY295))</f>
        <v>444.51838154633242</v>
      </c>
      <c r="BA295" s="57">
        <f>IF(AD295="",#N/A,SUM($AD$4:AD295))</f>
        <v>229.79980422776828</v>
      </c>
      <c r="BC295" s="51" t="str">
        <f t="shared" si="458"/>
        <v/>
      </c>
      <c r="BD295" s="51" t="str">
        <f t="shared" si="459"/>
        <v/>
      </c>
      <c r="BE295" s="51" t="str">
        <f t="shared" si="460"/>
        <v/>
      </c>
      <c r="BF295" s="51" t="str">
        <f t="shared" si="461"/>
        <v>Short</v>
      </c>
      <c r="BG295" s="51">
        <f t="shared" si="462"/>
        <v>1</v>
      </c>
      <c r="BH295" s="51" t="str">
        <f t="shared" si="463"/>
        <v/>
      </c>
      <c r="BI295" s="51" t="str">
        <f t="shared" si="464"/>
        <v/>
      </c>
      <c r="BK295" s="65">
        <f t="shared" si="435"/>
        <v>-4.4239180483852822E-2</v>
      </c>
      <c r="BL295" s="65">
        <f t="shared" si="543"/>
        <v>4.7420280070824321E-2</v>
      </c>
      <c r="BM295" s="65">
        <f>IFERROR(Q295/COUNTA($J$4:J295),#N/A)</f>
        <v>4.9896706321202959E-2</v>
      </c>
      <c r="BO295" s="489" t="e">
        <f>IF(J295="",#N/A,IF(S295="SW",(COUNTIFS(K$4:$K295,"&gt;0",S$4:$S295,"SW")/COUNTIF(S$4:$S295,"SW")),#N/A))</f>
        <v>#N/A</v>
      </c>
      <c r="BP295" s="489">
        <f>IF($J295="",#N/A,IF($S295="DWN",(COUNTIFS($K$4:$K295,"&lt;0",$S$4:$S295,"DWN")/COUNTIF($S$4:$S295,"DWN")),#N/A))</f>
        <v>0.58518518518518514</v>
      </c>
      <c r="BQ295" s="489" t="e">
        <f>IF($J295="",#N/A,IF($S295="UP",(COUNTIFS($K$4:$K295,"&gt;0",$S$4:$S295,"UP")/COUNTIF($S$4:$S295,"UP")),#N/A))</f>
        <v>#N/A</v>
      </c>
      <c r="BR295" s="489">
        <f>IF(J295="",#N/A,COUNTIF($K$4:K295,"&gt;0")/COUNT($J$4:J295))</f>
        <v>0.44863013698630139</v>
      </c>
      <c r="BS295" s="65" t="str">
        <f t="shared" si="465"/>
        <v/>
      </c>
      <c r="BT295" s="65" t="str">
        <f t="shared" si="466"/>
        <v/>
      </c>
      <c r="BU295" s="65">
        <f t="shared" si="467"/>
        <v>1.0024631952798306</v>
      </c>
      <c r="BV295" s="65" t="str">
        <f t="shared" si="468"/>
        <v/>
      </c>
      <c r="BW295" s="128" t="str">
        <f t="shared" si="469"/>
        <v/>
      </c>
      <c r="BX295" s="128">
        <f>IF($J295="",#N/A,SUM($BW$4:BW295))</f>
        <v>-355.59317034792866</v>
      </c>
      <c r="BY295" s="131">
        <f t="shared" si="470"/>
        <v>70</v>
      </c>
      <c r="BZ295" s="131">
        <f>IF($J295="",#N/A,SUM($BY$4:BY295))</f>
        <v>888.32734038933393</v>
      </c>
      <c r="CA295" s="133" t="str">
        <f t="shared" si="471"/>
        <v/>
      </c>
      <c r="CB295" s="133">
        <f>IF($J295="",#N/A,SUM($CA$4:CA295))</f>
        <v>177.36158426187535</v>
      </c>
      <c r="CC295" s="194" t="str">
        <f t="shared" si="472"/>
        <v/>
      </c>
      <c r="CD295" s="194">
        <f>IF($J295="",#N/A,SUM($CC$4:CC295))</f>
        <v>-5.3809261075740293</v>
      </c>
      <c r="CE295" s="195">
        <f t="shared" si="473"/>
        <v>1.0024631952798306</v>
      </c>
      <c r="CF295" s="195">
        <f>IF($J295="",#N/A,SUM($CE$4:CE295))</f>
        <v>14.873803225590116</v>
      </c>
      <c r="CG295" s="196" t="str">
        <f t="shared" si="474"/>
        <v/>
      </c>
      <c r="CH295" s="196">
        <f>IF($J295="",#N/A,SUM($CG$4:CG295))</f>
        <v>5.0769611277751805</v>
      </c>
      <c r="CI295" s="200" t="str">
        <f t="shared" si="475"/>
        <v/>
      </c>
      <c r="CJ295" s="203">
        <f>IF($J295="",#N/A,SUM(CI$4:CI295))</f>
        <v>0</v>
      </c>
      <c r="CK295" s="204" t="str">
        <f t="shared" si="476"/>
        <v/>
      </c>
      <c r="CL295" s="204">
        <f>IF($J295="",#N/A,SUM(CK$4:CK295))</f>
        <v>2.4085740385592547</v>
      </c>
      <c r="CM295" s="205" t="str">
        <f t="shared" si="477"/>
        <v/>
      </c>
      <c r="CN295" s="205">
        <f>IF($J295="",#N/A,SUM(CM$4:CM295))</f>
        <v>1.6152444684298783</v>
      </c>
      <c r="CO295" s="205">
        <f>IF($J295="",#N/A,SUM(CM$4:CM295,CK$4:CK295,CI$4:CI295))</f>
        <v>4.0238185069891328</v>
      </c>
      <c r="CP295" s="200" t="str">
        <f t="shared" si="478"/>
        <v/>
      </c>
      <c r="CQ295" s="203">
        <f>IF($J295="",#N/A,SUM(CP$4:CP295))</f>
        <v>-1.1156319314882757</v>
      </c>
      <c r="CR295" s="204" t="str">
        <f t="shared" si="479"/>
        <v/>
      </c>
      <c r="CS295" s="204">
        <f>IF($J295="",#N/A,SUM(CR$4:CR295))</f>
        <v>2.3600225017004668</v>
      </c>
      <c r="CT295" s="205" t="str">
        <f t="shared" si="480"/>
        <v/>
      </c>
      <c r="CU295" s="205">
        <f>IF($J295="",#N/A,SUM(CT$4:CT295))</f>
        <v>-2.9040943753548785</v>
      </c>
      <c r="CV295" s="205">
        <f>IF($J295="",#N/A,SUM(CT$4:CT295,CR$4:CR295,CP$4:CP295))</f>
        <v>-1.6597038051426876</v>
      </c>
      <c r="CW295" s="200" t="str">
        <f t="shared" si="481"/>
        <v/>
      </c>
      <c r="CX295" s="203">
        <f>IF($J295="",#N/A,SUM(CW$4:CW295))</f>
        <v>-1.2839616145397621</v>
      </c>
      <c r="CY295" s="204" t="str">
        <f t="shared" si="482"/>
        <v/>
      </c>
      <c r="CZ295" s="204">
        <f>IF($J295="",#N/A,SUM(CY$4:CY295))</f>
        <v>0.37351298702481961</v>
      </c>
      <c r="DA295" s="205" t="str">
        <f t="shared" si="483"/>
        <v/>
      </c>
      <c r="DB295" s="205">
        <f>IF($J295="",#N/A,SUM(DA$4:DA295))</f>
        <v>-1.1581788995104692</v>
      </c>
      <c r="DC295" s="205">
        <f>IF($J295="",#N/A,SUM(DA$4:DA295,CY$4:CY295,CW$4:CW295))</f>
        <v>-2.068627527025412</v>
      </c>
      <c r="DD295" s="200" t="str">
        <f t="shared" si="484"/>
        <v/>
      </c>
      <c r="DE295" s="203">
        <f>IF($J295="",#N/A,SUM(DD$4:DD295))</f>
        <v>0.24769343410817113</v>
      </c>
      <c r="DF295" s="204" t="str">
        <f t="shared" si="485"/>
        <v/>
      </c>
      <c r="DG295" s="204">
        <f>IF($J295="",#N/A,SUM(DF$4:DF295))</f>
        <v>1.3104003890080136</v>
      </c>
      <c r="DH295" s="205" t="str">
        <f t="shared" si="486"/>
        <v/>
      </c>
      <c r="DI295" s="205">
        <f>IF($J295="",#N/A,SUM(DH$4:DH295))</f>
        <v>-2.7812008102163399</v>
      </c>
      <c r="DJ295" s="205">
        <f>IF($J295="",#N/A,SUM(DH$4:DH295,DF$4:DF295,DD$4:DD295))</f>
        <v>-1.2231069871001554</v>
      </c>
      <c r="DK295" s="200" t="str">
        <f t="shared" si="487"/>
        <v/>
      </c>
      <c r="DL295" s="203">
        <f>IF($J295="",#N/A,SUM(DK$4:DK295))</f>
        <v>-1.2097286851272664</v>
      </c>
      <c r="DM295" s="204" t="str">
        <f t="shared" si="488"/>
        <v/>
      </c>
      <c r="DN295" s="204">
        <f>IF($J295="",#N/A,SUM(DM$4:DM295))</f>
        <v>3.0281848543081331</v>
      </c>
      <c r="DO295" s="205" t="str">
        <f t="shared" si="489"/>
        <v/>
      </c>
      <c r="DP295" s="205">
        <f>IF($J295="",#N/A,SUM(DO$4:DO295))</f>
        <v>2.700331529683047</v>
      </c>
      <c r="DQ295" s="205">
        <f>IF($J295="",#N/A,SUM(DO$4:DO295,DM$4:DM295,DK$4:DK295))</f>
        <v>4.518787698863914</v>
      </c>
      <c r="DR295" s="200" t="str">
        <f t="shared" si="490"/>
        <v/>
      </c>
      <c r="DS295" s="203">
        <f>IF($J295="",#N/A,SUM(DR$4:DR295))</f>
        <v>-0.55950946427675097</v>
      </c>
      <c r="DT295" s="204" t="str">
        <f t="shared" si="491"/>
        <v/>
      </c>
      <c r="DU295" s="204">
        <f>IF($J295="",#N/A,SUM(DT$4:DT295))</f>
        <v>-0.20750635820596686</v>
      </c>
      <c r="DV295" s="205" t="str">
        <f t="shared" si="492"/>
        <v/>
      </c>
      <c r="DW295" s="205">
        <f>IF($J295="",#N/A,SUM(DV$4:DV295))</f>
        <v>-1.5454397913873317</v>
      </c>
      <c r="DX295" s="205">
        <f>IF($J295="",#N/A,SUM(DV$4:DV295,DT$4:DT295,DR$4:DR295))</f>
        <v>-2.3124556138700489</v>
      </c>
      <c r="DY295" s="200" t="str">
        <f t="shared" si="493"/>
        <v/>
      </c>
      <c r="DZ295" s="203">
        <f>IF($J295="",#N/A,SUM(DY$4:DY295))</f>
        <v>-1.1041800427550772</v>
      </c>
      <c r="EA295" s="204">
        <f t="shared" si="494"/>
        <v>1.0024631952798306</v>
      </c>
      <c r="EB295" s="204">
        <f>IF($J295="",#N/A,SUM(EA$4:EA295))</f>
        <v>3.4710015964818837</v>
      </c>
      <c r="EC295" s="205" t="str">
        <f t="shared" si="495"/>
        <v/>
      </c>
      <c r="ED295" s="205">
        <f>IF($J295="",#N/A,SUM(EC$4:EC295))</f>
        <v>6.352220799154269</v>
      </c>
      <c r="EE295" s="205">
        <f>IF($J295="",#N/A,SUM(EC$4:EC295,EA$4:EA295,DY$4:DY295))</f>
        <v>8.7190423528810772</v>
      </c>
      <c r="EF295" s="200" t="str">
        <f t="shared" si="496"/>
        <v/>
      </c>
      <c r="EG295" s="203">
        <f>IF($J295="",#N/A,SUM(EF$4:EF295))</f>
        <v>-0.15098969023521425</v>
      </c>
      <c r="EH295" s="204" t="str">
        <f t="shared" si="497"/>
        <v/>
      </c>
      <c r="EI295" s="204">
        <f>IF($J295="",#N/A,SUM(EH$4:EH295))</f>
        <v>-1.9445201344224492</v>
      </c>
      <c r="EJ295" s="205" t="str">
        <f t="shared" si="498"/>
        <v/>
      </c>
      <c r="EK295" s="205">
        <f>IF($J295="",#N/A,SUM(EJ$4:EJ295))</f>
        <v>5.050388173053765</v>
      </c>
      <c r="EL295" s="205">
        <f>IF($J295="",#N/A,SUM(EJ$4:EJ295,EH$4:EH295,EF$4:EF295))</f>
        <v>2.9548783483961012</v>
      </c>
      <c r="EM295" s="200" t="str">
        <f t="shared" si="499"/>
        <v/>
      </c>
      <c r="EN295" s="203">
        <f>IF($J295="",#N/A,SUM(EM$4:EM295))</f>
        <v>0</v>
      </c>
      <c r="EO295" s="204" t="str">
        <f t="shared" si="500"/>
        <v/>
      </c>
      <c r="EP295" s="204">
        <f>IF($J295="",#N/A,SUM(EO$4:EO295))</f>
        <v>2.0574787067554756</v>
      </c>
      <c r="EQ295" s="205" t="str">
        <f t="shared" si="501"/>
        <v/>
      </c>
      <c r="ER295" s="205">
        <f>IF($J295="",#N/A,SUM(EQ$4:EQ295))</f>
        <v>1.3977486422552698</v>
      </c>
      <c r="ES295" s="205">
        <f>IF($J295="",#N/A,SUM(EQ$4:EQ295,EO$4:EO295,EM$4:EM295))</f>
        <v>3.455227349010745</v>
      </c>
      <c r="ET295" s="200" t="str">
        <f t="shared" si="502"/>
        <v/>
      </c>
      <c r="EU295" s="203">
        <f>IF($J295="",#N/A,SUM(ET$4:ET295))</f>
        <v>0</v>
      </c>
      <c r="EV295" s="204" t="str">
        <f t="shared" si="503"/>
        <v/>
      </c>
      <c r="EW295" s="204">
        <f>IF($J295="",#N/A,SUM(EV$4:EV295))</f>
        <v>2.3297323921502326</v>
      </c>
      <c r="EX295" s="205" t="str">
        <f t="shared" si="504"/>
        <v/>
      </c>
      <c r="EY295" s="205">
        <f>IF($J295="",#N/A,SUM(EX$4:EX295))</f>
        <v>0.27113250180669229</v>
      </c>
      <c r="EZ295" s="205">
        <f>IF($J295="",#N/A,SUM(EX$4:EX295,EV$4:EV295,ET$4:ET295))</f>
        <v>2.6008648939569246</v>
      </c>
      <c r="FA295" s="200" t="str">
        <f t="shared" si="505"/>
        <v/>
      </c>
      <c r="FB295" s="203">
        <f>IF($J295="",#N/A,SUM(FA$4:FA295))</f>
        <v>-0.27145310509113252</v>
      </c>
      <c r="FC295" s="204" t="str">
        <f t="shared" si="506"/>
        <v/>
      </c>
      <c r="FD295" s="204">
        <f>IF($J295="",#N/A,SUM(FC$4:FC295))</f>
        <v>1.204376144197403</v>
      </c>
      <c r="FE295" s="205" t="str">
        <f t="shared" si="507"/>
        <v/>
      </c>
      <c r="FF295" s="205">
        <f>IF($J295="",#N/A,SUM(FE$4:FE295))</f>
        <v>-0.28811149078748233</v>
      </c>
      <c r="FG295" s="205">
        <f>IF($J295="",#N/A,SUM(FE$4:FE295,FC$4:FC295,FA$4:FA295))</f>
        <v>0.64481154831878851</v>
      </c>
      <c r="FH295" s="200" t="str">
        <f t="shared" si="508"/>
        <v/>
      </c>
      <c r="FI295" s="203">
        <f>IF($J295="",#N/A,SUM(FH$4:FH295))</f>
        <v>0</v>
      </c>
      <c r="FJ295" s="204" t="str">
        <f t="shared" si="509"/>
        <v/>
      </c>
      <c r="FK295" s="204">
        <f>IF($J295="",#N/A,SUM(FJ$4:FJ295))</f>
        <v>0</v>
      </c>
      <c r="FL295" s="205" t="str">
        <f t="shared" si="510"/>
        <v/>
      </c>
      <c r="FM295" s="205">
        <f>IF($J295="",#N/A,SUM(FL$4:FL295))</f>
        <v>0</v>
      </c>
      <c r="FN295" s="205">
        <f>IF($J295="",#N/A,SUM(FL$4:FL295,FJ$4:FJ295,FH$4:FH295))</f>
        <v>0</v>
      </c>
      <c r="FO295" s="200" t="str">
        <f t="shared" si="511"/>
        <v/>
      </c>
      <c r="FP295" s="203">
        <f>IF($J295="",#N/A,SUM(FO$4:FO295))</f>
        <v>0</v>
      </c>
      <c r="FQ295" s="204" t="str">
        <f t="shared" si="512"/>
        <v/>
      </c>
      <c r="FR295" s="204">
        <f>IF($J295="",#N/A,SUM(FQ$4:FQ295))</f>
        <v>0</v>
      </c>
      <c r="FS295" s="205" t="str">
        <f t="shared" si="513"/>
        <v/>
      </c>
      <c r="FT295" s="205">
        <f>IF($J295="",#N/A,SUM(FS$4:FS295))</f>
        <v>0</v>
      </c>
      <c r="FU295" s="205">
        <f>IF($J295="",#N/A,SUM(FS$4:FS295,FQ$4:FQ295,FO$4:FO295))</f>
        <v>0</v>
      </c>
      <c r="FV295" s="200" t="str">
        <f t="shared" si="514"/>
        <v/>
      </c>
      <c r="FW295" s="203">
        <f>IF($J295="",#N/A,SUM(FV$4:FV295))</f>
        <v>6.6834991831277585E-2</v>
      </c>
      <c r="FX295" s="204" t="str">
        <f t="shared" si="515"/>
        <v/>
      </c>
      <c r="FY295" s="204">
        <f>IF($J295="",#N/A,SUM(FX$4:FX295))</f>
        <v>-0.16102012791805576</v>
      </c>
      <c r="FZ295" s="205" t="str">
        <f t="shared" si="516"/>
        <v/>
      </c>
      <c r="GA295" s="205">
        <f>IF($J295="",#N/A,SUM(FZ$4:FZ295))</f>
        <v>-0.69624339162892301</v>
      </c>
      <c r="GB295" s="205">
        <f>IF($J295="",#N/A,SUM(FZ$4:FZ295,FX$4:FX295,FV$4:FV295))</f>
        <v>-0.79042852771570116</v>
      </c>
      <c r="GC295" s="200" t="str">
        <f t="shared" si="517"/>
        <v/>
      </c>
      <c r="GD295" s="203">
        <f>IF($J295="",#N/A,SUM(GC$4:GC295))</f>
        <v>0</v>
      </c>
      <c r="GE295" s="204" t="str">
        <f t="shared" si="518"/>
        <v/>
      </c>
      <c r="GF295" s="204">
        <f>IF($J295="",#N/A,SUM(GE$4:GE295))</f>
        <v>0</v>
      </c>
      <c r="GG295" s="205" t="str">
        <f t="shared" si="519"/>
        <v/>
      </c>
      <c r="GH295" s="205">
        <f>IF($J295="",#N/A,SUM(GG$4:GG295))</f>
        <v>-2.9368362277223206</v>
      </c>
      <c r="GI295" s="205">
        <f>IF($J295="",#N/A,SUM(GG$4:GG295,GE$4:GE295,GC$4:GC295))</f>
        <v>-2.9368362277223206</v>
      </c>
      <c r="GJ295" s="200" t="str">
        <f t="shared" si="520"/>
        <v/>
      </c>
      <c r="GK295" s="203">
        <f>IF($J295="",#N/A,SUM(GJ$4:GJ295))</f>
        <v>0</v>
      </c>
      <c r="GL295" s="204" t="str">
        <f t="shared" si="521"/>
        <v/>
      </c>
      <c r="GM295" s="204">
        <f>IF($J295="",#N/A,SUM(GL$4:GL295))</f>
        <v>-1.6833790887309608</v>
      </c>
      <c r="GN295" s="205" t="str">
        <f t="shared" si="522"/>
        <v/>
      </c>
      <c r="GO295" s="205">
        <f>IF($J295="",#N/A,SUM(GN$4:GN295))</f>
        <v>0</v>
      </c>
      <c r="GP295" s="205">
        <f>IF($J295="",#N/A,SUM(GN$4:GN295,GL$4:GL295,GJ$4:GJ295))</f>
        <v>-1.6833790887309608</v>
      </c>
      <c r="GS295" s="54">
        <f t="shared" si="541"/>
        <v>1.0024631952798306</v>
      </c>
      <c r="GT295" s="54">
        <f>IF(GS295="",NA(),SUM($GS$4:GS295))</f>
        <v>11.151467416283708</v>
      </c>
      <c r="GU295" s="54" t="str">
        <f t="shared" si="523"/>
        <v/>
      </c>
      <c r="GV295" s="54" t="e">
        <f>IF(GU295="",NA(),SUM($GU$4:GU295))</f>
        <v>#N/A</v>
      </c>
      <c r="GW295" s="54" t="str">
        <f t="shared" si="524"/>
        <v/>
      </c>
      <c r="GX295" s="54" t="e">
        <f>IF(GW295="",NA(),SUM($GW$4:GW295))</f>
        <v>#N/A</v>
      </c>
      <c r="GY295" s="54">
        <f t="shared" si="525"/>
        <v>1.0024631952798306</v>
      </c>
      <c r="GZ295" s="54">
        <f>IF(GY295="",NA(),SUM($GY$4:GY295))</f>
        <v>9.91729150698756</v>
      </c>
      <c r="HA295" s="54" t="str">
        <f t="shared" si="526"/>
        <v/>
      </c>
      <c r="HB295" s="54" t="e">
        <f>IF(HA295="",NA(),SUM($HA$4:HA295))</f>
        <v>#N/A</v>
      </c>
      <c r="HC295" s="54" t="str">
        <f t="shared" si="527"/>
        <v/>
      </c>
      <c r="HD295" s="54" t="e">
        <f>IF(HC295="",NA(),SUM($HC$4:HC295))</f>
        <v>#N/A</v>
      </c>
      <c r="HE295" s="54" t="str">
        <f t="shared" si="528"/>
        <v/>
      </c>
      <c r="HF295" s="54" t="e">
        <f>IF(HE295="",NA(),SUM($HE$4:HE295))</f>
        <v>#N/A</v>
      </c>
      <c r="HG295" s="54" t="str">
        <f t="shared" si="529"/>
        <v/>
      </c>
      <c r="HH295" s="54" t="e">
        <f>IF(HG295="",NA(),SUM($HG$4:HG295))</f>
        <v>#N/A</v>
      </c>
      <c r="HI295" s="172">
        <f t="shared" si="542"/>
        <v>7.1604513948559267E-2</v>
      </c>
      <c r="HJ295" s="172">
        <f>IF($J295="",#N/A,SUM(HI$4:$HI295))</f>
        <v>-7.7357960158937757</v>
      </c>
      <c r="HK295" s="54" t="str">
        <f t="shared" si="530"/>
        <v/>
      </c>
      <c r="HL295" s="54">
        <f>IF($J295="",#N/A,SUM($HK$4:HK295))</f>
        <v>-0.57819280936685935</v>
      </c>
      <c r="HM295" s="54" t="str">
        <f t="shared" si="531"/>
        <v/>
      </c>
      <c r="HN295" s="54">
        <f>IF($J295="",#N/A,SUM($HM$4:HM295))</f>
        <v>0.6871920272168337</v>
      </c>
      <c r="HO295" s="54" t="str">
        <f t="shared" si="532"/>
        <v/>
      </c>
      <c r="HP295" s="54">
        <f>IF($J295="",#N/A,SUM($HO$4:HO295))</f>
        <v>-0.81760139535563114</v>
      </c>
      <c r="HQ295" s="54" t="str">
        <f t="shared" si="533"/>
        <v/>
      </c>
      <c r="HR295" s="54">
        <f>IF($J295="",#N/A,SUM($HQ$4:HQ295))</f>
        <v>-15.589576757744322</v>
      </c>
      <c r="HS295" s="54" t="str">
        <f t="shared" si="534"/>
        <v/>
      </c>
      <c r="HT295" s="54">
        <f>IF($J295="",#N/A,SUM($HS$4:HS295))</f>
        <v>14.748433960765649</v>
      </c>
      <c r="HU295" s="65">
        <f t="shared" si="535"/>
        <v>1.0740677092283899</v>
      </c>
      <c r="HV295" s="65">
        <f>IF($J295="",#N/A,SUM(HU$4:$HU295))</f>
        <v>5.2842972554131453</v>
      </c>
    </row>
    <row r="296" spans="1:230" x14ac:dyDescent="0.25">
      <c r="A296" s="51" t="s">
        <v>1581</v>
      </c>
      <c r="B296" s="52" t="s">
        <v>4596</v>
      </c>
      <c r="C296" s="229">
        <f t="shared" si="436"/>
        <v>2</v>
      </c>
      <c r="D296" s="219" t="str">
        <f>_xlfn.XLOOKUP(A296,[1]SP500!$A$2:$A$502,[1]SP500!$D$2:$D$502,"N")</f>
        <v>Y</v>
      </c>
      <c r="E296" s="51" t="str">
        <f>IFERROR(_xlfn.XLOOKUP(A296,[1]SP500!$A$2:$A$655,[1]SP500!$B$2:$B$655),"")</f>
        <v>XLV</v>
      </c>
      <c r="F296" s="290">
        <v>45784</v>
      </c>
      <c r="G296" s="51" t="str">
        <f t="shared" si="437"/>
        <v>BMO</v>
      </c>
      <c r="H296" s="51" t="str">
        <f t="shared" si="438"/>
        <v>s</v>
      </c>
      <c r="I296" s="344">
        <v>47.72</v>
      </c>
      <c r="J296" s="124">
        <v>49.99</v>
      </c>
      <c r="K296" s="55">
        <f t="shared" si="439"/>
        <v>4.7569153394803082E-2</v>
      </c>
      <c r="L296" s="67">
        <f t="shared" si="440"/>
        <v>-56.75</v>
      </c>
      <c r="M296" s="57">
        <f t="shared" si="441"/>
        <v>-0.25</v>
      </c>
      <c r="N296" s="102">
        <f t="shared" si="442"/>
        <v>-56.75</v>
      </c>
      <c r="O296" s="57">
        <f>IF(N296="",#N/A,SUM($N$4:N296))</f>
        <v>653.34575430328061</v>
      </c>
      <c r="P296" s="65">
        <f t="shared" si="536"/>
        <v>-0.79281922324671694</v>
      </c>
      <c r="Q296" s="172">
        <f>IF($N296="",#N/A,SUM($P$4:P296))</f>
        <v>13.777019022544547</v>
      </c>
      <c r="R296" s="279">
        <f t="shared" si="443"/>
        <v>1.9132660062738811</v>
      </c>
      <c r="S296" s="51" t="str">
        <f t="shared" si="444"/>
        <v>Dwn</v>
      </c>
      <c r="T296" s="51" t="s">
        <v>4461</v>
      </c>
      <c r="U296" s="56">
        <f t="shared" si="445"/>
        <v>47.72</v>
      </c>
      <c r="V296" s="56" t="s">
        <v>4458</v>
      </c>
      <c r="W296" s="142">
        <v>25</v>
      </c>
      <c r="X296" s="145">
        <f t="shared" si="446"/>
        <v>1193</v>
      </c>
      <c r="Y296" s="140">
        <f t="shared" si="447"/>
        <v>25</v>
      </c>
      <c r="Z296" s="123">
        <v>50</v>
      </c>
      <c r="AA296" s="102">
        <f t="shared" si="448"/>
        <v>-57</v>
      </c>
      <c r="AB296" s="102">
        <f t="shared" si="449"/>
        <v>-25.75</v>
      </c>
      <c r="AC296" s="124">
        <v>48.75</v>
      </c>
      <c r="AD296" s="155">
        <f t="shared" si="450"/>
        <v>-25.75</v>
      </c>
      <c r="AE296" s="545">
        <f t="shared" si="451"/>
        <v>-0.35973735680357644</v>
      </c>
      <c r="AF296" s="57">
        <f>IF($AC296="",#N/A,SUM(AD$4:AD296))</f>
        <v>204.04980422776828</v>
      </c>
      <c r="AG296" s="102">
        <f t="shared" si="452"/>
        <v>31</v>
      </c>
      <c r="AH296" s="56" t="s">
        <v>2507</v>
      </c>
      <c r="AI296" s="65">
        <f t="shared" si="453"/>
        <v>-0.79631181894383907</v>
      </c>
      <c r="AJ296" s="65">
        <f>IF(AI296="",#N/A,SUM($AI$4:AI296))</f>
        <v>11.863753016270666</v>
      </c>
      <c r="AK296" s="57">
        <f t="shared" si="454"/>
        <v>-57</v>
      </c>
      <c r="AL296" s="349">
        <f>IF(AI296="",#N/A,IF(AH296="Skip",SUM($AK$4:AK296),SUM($AK$4:AK296)))</f>
        <v>521.09759149281444</v>
      </c>
      <c r="AM296" s="65">
        <f t="shared" si="537"/>
        <v>-0.35973735680357644</v>
      </c>
      <c r="AN296" s="210"/>
      <c r="AO296" s="65" t="str">
        <f t="shared" si="455"/>
        <v/>
      </c>
      <c r="AP296" s="65">
        <f>IF($AC296="",#N/A,SUM(AO$4:AO296))</f>
        <v>4.2358183307965032</v>
      </c>
      <c r="AQ296" s="65" t="str">
        <f t="shared" si="456"/>
        <v/>
      </c>
      <c r="AR296" s="65">
        <f>IF($AC296="",#N/A,SUM(AQ$4:AQ296))</f>
        <v>-5.511335475712829</v>
      </c>
      <c r="AS296" s="65">
        <f t="shared" si="457"/>
        <v>-0.35973735680357644</v>
      </c>
      <c r="AT296" s="65">
        <f>IF($AC296="",#N/A,SUM(AS$4:AS296))</f>
        <v>6.2000770435258943</v>
      </c>
      <c r="AU296" s="57" t="str">
        <f t="shared" si="538"/>
        <v/>
      </c>
      <c r="AV296" s="57">
        <f>IF($AC296="",#N/A,SUM(AU$4:AU296))</f>
        <v>151.70249066104691</v>
      </c>
      <c r="AW296" s="57" t="str">
        <f t="shared" si="539"/>
        <v/>
      </c>
      <c r="AX296" s="57">
        <f>IF($AC296="",#N/A,SUM(AW$4:AW296))</f>
        <v>-366.42106797961105</v>
      </c>
      <c r="AY296" s="57">
        <f t="shared" si="540"/>
        <v>-25.75</v>
      </c>
      <c r="AZ296" s="57">
        <f>IF($AC296="",#N/A,SUM(AY$4:AY296))</f>
        <v>418.76838154633242</v>
      </c>
      <c r="BA296" s="57">
        <f>IF(AD296="",#N/A,SUM($AD$4:AD296))</f>
        <v>204.04980422776828</v>
      </c>
      <c r="BC296" s="51" t="str">
        <f t="shared" si="458"/>
        <v/>
      </c>
      <c r="BD296" s="51">
        <f t="shared" si="459"/>
        <v>1</v>
      </c>
      <c r="BE296" s="51" t="str">
        <f t="shared" si="460"/>
        <v/>
      </c>
      <c r="BF296" s="51" t="str">
        <f t="shared" si="461"/>
        <v>Short</v>
      </c>
      <c r="BG296" s="51" t="str">
        <f t="shared" si="462"/>
        <v/>
      </c>
      <c r="BH296" s="51" t="str">
        <f t="shared" si="463"/>
        <v/>
      </c>
      <c r="BI296" s="51" t="str">
        <f t="shared" si="464"/>
        <v/>
      </c>
      <c r="BK296" s="65">
        <f t="shared" si="435"/>
        <v>-6.7917514791541858E-2</v>
      </c>
      <c r="BL296" s="65">
        <f t="shared" si="543"/>
        <v>2.2172777775063324E-2</v>
      </c>
      <c r="BM296" s="65">
        <f>IFERROR(Q296/COUNTA($J$4:J296),#N/A)</f>
        <v>4.7020542739059888E-2</v>
      </c>
      <c r="BO296" s="489" t="e">
        <f>IF(J296="",#N/A,IF(S296="SW",(COUNTIFS(K$4:$K296,"&gt;0",S$4:$S296,"SW")/COUNTIF(S$4:$S296,"SW")),#N/A))</f>
        <v>#N/A</v>
      </c>
      <c r="BP296" s="489">
        <f>IF($J296="",#N/A,IF($S296="DWN",(COUNTIFS($K$4:$K296,"&lt;0",$S$4:$S296,"DWN")/COUNTIF($S$4:$S296,"DWN")),#N/A))</f>
        <v>0.58088235294117652</v>
      </c>
      <c r="BQ296" s="489" t="e">
        <f>IF($J296="",#N/A,IF($S296="UP",(COUNTIFS($K$4:$K296,"&gt;0",$S$4:$S296,"UP")/COUNTIF($S$4:$S296,"UP")),#N/A))</f>
        <v>#N/A</v>
      </c>
      <c r="BR296" s="489">
        <f>IF(J296="",#N/A,COUNTIF($K$4:K296,"&gt;0")/COUNT($J$4:J296))</f>
        <v>0.45051194539249145</v>
      </c>
      <c r="BS296" s="65" t="str">
        <f t="shared" si="465"/>
        <v/>
      </c>
      <c r="BT296" s="65" t="str">
        <f t="shared" si="466"/>
        <v/>
      </c>
      <c r="BU296" s="65" t="str">
        <f t="shared" si="467"/>
        <v/>
      </c>
      <c r="BV296" s="65">
        <f t="shared" si="468"/>
        <v>-0.79281922324671694</v>
      </c>
      <c r="BW296" s="128" t="str">
        <f t="shared" si="469"/>
        <v/>
      </c>
      <c r="BX296" s="128">
        <f>IF($J296="",#N/A,SUM($BW$4:BW296))</f>
        <v>-355.59317034792866</v>
      </c>
      <c r="BY296" s="131">
        <f t="shared" si="470"/>
        <v>-56.75</v>
      </c>
      <c r="BZ296" s="131">
        <f>IF($J296="",#N/A,SUM($BY$4:BY296))</f>
        <v>831.57734038933393</v>
      </c>
      <c r="CA296" s="133" t="str">
        <f t="shared" si="471"/>
        <v/>
      </c>
      <c r="CB296" s="133">
        <f>IF($J296="",#N/A,SUM($CA$4:CA296))</f>
        <v>177.36158426187535</v>
      </c>
      <c r="CC296" s="194" t="str">
        <f t="shared" si="472"/>
        <v/>
      </c>
      <c r="CD296" s="194">
        <f>IF($J296="",#N/A,SUM($CC$4:CC296))</f>
        <v>-5.3809261075740293</v>
      </c>
      <c r="CE296" s="195">
        <f t="shared" si="473"/>
        <v>-0.79281922324671694</v>
      </c>
      <c r="CF296" s="195">
        <f>IF($J296="",#N/A,SUM($CE$4:CE296))</f>
        <v>14.080984002343399</v>
      </c>
      <c r="CG296" s="196" t="str">
        <f t="shared" si="474"/>
        <v/>
      </c>
      <c r="CH296" s="196">
        <f>IF($J296="",#N/A,SUM($CG$4:CG296))</f>
        <v>5.0769611277751805</v>
      </c>
      <c r="CI296" s="200" t="str">
        <f t="shared" si="475"/>
        <v/>
      </c>
      <c r="CJ296" s="203">
        <f>IF($J296="",#N/A,SUM(CI$4:CI296))</f>
        <v>0</v>
      </c>
      <c r="CK296" s="204" t="str">
        <f t="shared" si="476"/>
        <v/>
      </c>
      <c r="CL296" s="204">
        <f>IF($J296="",#N/A,SUM(CK$4:CK296))</f>
        <v>2.4085740385592547</v>
      </c>
      <c r="CM296" s="205" t="str">
        <f t="shared" si="477"/>
        <v/>
      </c>
      <c r="CN296" s="205">
        <f>IF($J296="",#N/A,SUM(CM$4:CM296))</f>
        <v>1.6152444684298783</v>
      </c>
      <c r="CO296" s="205">
        <f>IF($J296="",#N/A,SUM(CM$4:CM296,CK$4:CK296,CI$4:CI296))</f>
        <v>4.0238185069891328</v>
      </c>
      <c r="CP296" s="200" t="str">
        <f t="shared" si="478"/>
        <v/>
      </c>
      <c r="CQ296" s="203">
        <f>IF($J296="",#N/A,SUM(CP$4:CP296))</f>
        <v>-1.1156319314882757</v>
      </c>
      <c r="CR296" s="204" t="str">
        <f t="shared" si="479"/>
        <v/>
      </c>
      <c r="CS296" s="204">
        <f>IF($J296="",#N/A,SUM(CR$4:CR296))</f>
        <v>2.3600225017004668</v>
      </c>
      <c r="CT296" s="205" t="str">
        <f t="shared" si="480"/>
        <v/>
      </c>
      <c r="CU296" s="205">
        <f>IF($J296="",#N/A,SUM(CT$4:CT296))</f>
        <v>-2.9040943753548785</v>
      </c>
      <c r="CV296" s="205">
        <f>IF($J296="",#N/A,SUM(CT$4:CT296,CR$4:CR296,CP$4:CP296))</f>
        <v>-1.6597038051426876</v>
      </c>
      <c r="CW296" s="200" t="str">
        <f t="shared" si="481"/>
        <v/>
      </c>
      <c r="CX296" s="203">
        <f>IF($J296="",#N/A,SUM(CW$4:CW296))</f>
        <v>-1.2839616145397621</v>
      </c>
      <c r="CY296" s="204" t="str">
        <f t="shared" si="482"/>
        <v/>
      </c>
      <c r="CZ296" s="204">
        <f>IF($J296="",#N/A,SUM(CY$4:CY296))</f>
        <v>0.37351298702481961</v>
      </c>
      <c r="DA296" s="205" t="str">
        <f t="shared" si="483"/>
        <v/>
      </c>
      <c r="DB296" s="205">
        <f>IF($J296="",#N/A,SUM(DA$4:DA296))</f>
        <v>-1.1581788995104692</v>
      </c>
      <c r="DC296" s="205">
        <f>IF($J296="",#N/A,SUM(DA$4:DA296,CY$4:CY296,CW$4:CW296))</f>
        <v>-2.068627527025412</v>
      </c>
      <c r="DD296" s="200" t="str">
        <f t="shared" si="484"/>
        <v/>
      </c>
      <c r="DE296" s="203">
        <f>IF($J296="",#N/A,SUM(DD$4:DD296))</f>
        <v>0.24769343410817113</v>
      </c>
      <c r="DF296" s="204" t="str">
        <f t="shared" si="485"/>
        <v/>
      </c>
      <c r="DG296" s="204">
        <f>IF($J296="",#N/A,SUM(DF$4:DF296))</f>
        <v>1.3104003890080136</v>
      </c>
      <c r="DH296" s="205" t="str">
        <f t="shared" si="486"/>
        <v/>
      </c>
      <c r="DI296" s="205">
        <f>IF($J296="",#N/A,SUM(DH$4:DH296))</f>
        <v>-2.7812008102163399</v>
      </c>
      <c r="DJ296" s="205">
        <f>IF($J296="",#N/A,SUM(DH$4:DH296,DF$4:DF296,DD$4:DD296))</f>
        <v>-1.2231069871001554</v>
      </c>
      <c r="DK296" s="200" t="str">
        <f t="shared" si="487"/>
        <v/>
      </c>
      <c r="DL296" s="203">
        <f>IF($J296="",#N/A,SUM(DK$4:DK296))</f>
        <v>-1.2097286851272664</v>
      </c>
      <c r="DM296" s="204" t="str">
        <f t="shared" si="488"/>
        <v/>
      </c>
      <c r="DN296" s="204">
        <f>IF($J296="",#N/A,SUM(DM$4:DM296))</f>
        <v>3.0281848543081331</v>
      </c>
      <c r="DO296" s="205" t="str">
        <f t="shared" si="489"/>
        <v/>
      </c>
      <c r="DP296" s="205">
        <f>IF($J296="",#N/A,SUM(DO$4:DO296))</f>
        <v>2.700331529683047</v>
      </c>
      <c r="DQ296" s="205">
        <f>IF($J296="",#N/A,SUM(DO$4:DO296,DM$4:DM296,DK$4:DK296))</f>
        <v>4.518787698863914</v>
      </c>
      <c r="DR296" s="200" t="str">
        <f t="shared" si="490"/>
        <v/>
      </c>
      <c r="DS296" s="203">
        <f>IF($J296="",#N/A,SUM(DR$4:DR296))</f>
        <v>-0.55950946427675097</v>
      </c>
      <c r="DT296" s="204" t="str">
        <f t="shared" si="491"/>
        <v/>
      </c>
      <c r="DU296" s="204">
        <f>IF($J296="",#N/A,SUM(DT$4:DT296))</f>
        <v>-0.20750635820596686</v>
      </c>
      <c r="DV296" s="205" t="str">
        <f t="shared" si="492"/>
        <v/>
      </c>
      <c r="DW296" s="205">
        <f>IF($J296="",#N/A,SUM(DV$4:DV296))</f>
        <v>-1.5454397913873317</v>
      </c>
      <c r="DX296" s="205">
        <f>IF($J296="",#N/A,SUM(DV$4:DV296,DT$4:DT296,DR$4:DR296))</f>
        <v>-2.3124556138700489</v>
      </c>
      <c r="DY296" s="200" t="str">
        <f t="shared" si="493"/>
        <v/>
      </c>
      <c r="DZ296" s="203">
        <f>IF($J296="",#N/A,SUM(DY$4:DY296))</f>
        <v>-1.1041800427550772</v>
      </c>
      <c r="EA296" s="204" t="str">
        <f t="shared" si="494"/>
        <v/>
      </c>
      <c r="EB296" s="204">
        <f>IF($J296="",#N/A,SUM(EA$4:EA296))</f>
        <v>3.4710015964818837</v>
      </c>
      <c r="EC296" s="205" t="str">
        <f t="shared" si="495"/>
        <v/>
      </c>
      <c r="ED296" s="205">
        <f>IF($J296="",#N/A,SUM(EC$4:EC296))</f>
        <v>6.352220799154269</v>
      </c>
      <c r="EE296" s="205">
        <f>IF($J296="",#N/A,SUM(EC$4:EC296,EA$4:EA296,DY$4:DY296))</f>
        <v>8.7190423528810772</v>
      </c>
      <c r="EF296" s="200" t="str">
        <f t="shared" si="496"/>
        <v/>
      </c>
      <c r="EG296" s="203">
        <f>IF($J296="",#N/A,SUM(EF$4:EF296))</f>
        <v>-0.15098969023521425</v>
      </c>
      <c r="EH296" s="204">
        <f t="shared" si="497"/>
        <v>-0.79281922324671694</v>
      </c>
      <c r="EI296" s="204">
        <f>IF($J296="",#N/A,SUM(EH$4:EH296))</f>
        <v>-2.7373393576691663</v>
      </c>
      <c r="EJ296" s="205" t="str">
        <f t="shared" si="498"/>
        <v/>
      </c>
      <c r="EK296" s="205">
        <f>IF($J296="",#N/A,SUM(EJ$4:EJ296))</f>
        <v>5.050388173053765</v>
      </c>
      <c r="EL296" s="205">
        <f>IF($J296="",#N/A,SUM(EJ$4:EJ296,EH$4:EH296,EF$4:EF296))</f>
        <v>2.1620591251493844</v>
      </c>
      <c r="EM296" s="200" t="str">
        <f t="shared" si="499"/>
        <v/>
      </c>
      <c r="EN296" s="203">
        <f>IF($J296="",#N/A,SUM(EM$4:EM296))</f>
        <v>0</v>
      </c>
      <c r="EO296" s="204" t="str">
        <f t="shared" si="500"/>
        <v/>
      </c>
      <c r="EP296" s="204">
        <f>IF($J296="",#N/A,SUM(EO$4:EO296))</f>
        <v>2.0574787067554756</v>
      </c>
      <c r="EQ296" s="205" t="str">
        <f t="shared" si="501"/>
        <v/>
      </c>
      <c r="ER296" s="205">
        <f>IF($J296="",#N/A,SUM(EQ$4:EQ296))</f>
        <v>1.3977486422552698</v>
      </c>
      <c r="ES296" s="205">
        <f>IF($J296="",#N/A,SUM(EQ$4:EQ296,EO$4:EO296,EM$4:EM296))</f>
        <v>3.455227349010745</v>
      </c>
      <c r="ET296" s="200" t="str">
        <f t="shared" si="502"/>
        <v/>
      </c>
      <c r="EU296" s="203">
        <f>IF($J296="",#N/A,SUM(ET$4:ET296))</f>
        <v>0</v>
      </c>
      <c r="EV296" s="204" t="str">
        <f t="shared" si="503"/>
        <v/>
      </c>
      <c r="EW296" s="204">
        <f>IF($J296="",#N/A,SUM(EV$4:EV296))</f>
        <v>2.3297323921502326</v>
      </c>
      <c r="EX296" s="205" t="str">
        <f t="shared" si="504"/>
        <v/>
      </c>
      <c r="EY296" s="205">
        <f>IF($J296="",#N/A,SUM(EX$4:EX296))</f>
        <v>0.27113250180669229</v>
      </c>
      <c r="EZ296" s="205">
        <f>IF($J296="",#N/A,SUM(EX$4:EX296,EV$4:EV296,ET$4:ET296))</f>
        <v>2.6008648939569246</v>
      </c>
      <c r="FA296" s="200" t="str">
        <f t="shared" si="505"/>
        <v/>
      </c>
      <c r="FB296" s="203">
        <f>IF($J296="",#N/A,SUM(FA$4:FA296))</f>
        <v>-0.27145310509113252</v>
      </c>
      <c r="FC296" s="204" t="str">
        <f t="shared" si="506"/>
        <v/>
      </c>
      <c r="FD296" s="204">
        <f>IF($J296="",#N/A,SUM(FC$4:FC296))</f>
        <v>1.204376144197403</v>
      </c>
      <c r="FE296" s="205" t="str">
        <f t="shared" si="507"/>
        <v/>
      </c>
      <c r="FF296" s="205">
        <f>IF($J296="",#N/A,SUM(FE$4:FE296))</f>
        <v>-0.28811149078748233</v>
      </c>
      <c r="FG296" s="205">
        <f>IF($J296="",#N/A,SUM(FE$4:FE296,FC$4:FC296,FA$4:FA296))</f>
        <v>0.64481154831878851</v>
      </c>
      <c r="FH296" s="200" t="str">
        <f t="shared" si="508"/>
        <v/>
      </c>
      <c r="FI296" s="203">
        <f>IF($J296="",#N/A,SUM(FH$4:FH296))</f>
        <v>0</v>
      </c>
      <c r="FJ296" s="204" t="str">
        <f t="shared" si="509"/>
        <v/>
      </c>
      <c r="FK296" s="204">
        <f>IF($J296="",#N/A,SUM(FJ$4:FJ296))</f>
        <v>0</v>
      </c>
      <c r="FL296" s="205" t="str">
        <f t="shared" si="510"/>
        <v/>
      </c>
      <c r="FM296" s="205">
        <f>IF($J296="",#N/A,SUM(FL$4:FL296))</f>
        <v>0</v>
      </c>
      <c r="FN296" s="205">
        <f>IF($J296="",#N/A,SUM(FL$4:FL296,FJ$4:FJ296,FH$4:FH296))</f>
        <v>0</v>
      </c>
      <c r="FO296" s="200" t="str">
        <f t="shared" si="511"/>
        <v/>
      </c>
      <c r="FP296" s="203">
        <f>IF($J296="",#N/A,SUM(FO$4:FO296))</f>
        <v>0</v>
      </c>
      <c r="FQ296" s="204" t="str">
        <f t="shared" si="512"/>
        <v/>
      </c>
      <c r="FR296" s="204">
        <f>IF($J296="",#N/A,SUM(FQ$4:FQ296))</f>
        <v>0</v>
      </c>
      <c r="FS296" s="205" t="str">
        <f t="shared" si="513"/>
        <v/>
      </c>
      <c r="FT296" s="205">
        <f>IF($J296="",#N/A,SUM(FS$4:FS296))</f>
        <v>0</v>
      </c>
      <c r="FU296" s="205">
        <f>IF($J296="",#N/A,SUM(FS$4:FS296,FQ$4:FQ296,FO$4:FO296))</f>
        <v>0</v>
      </c>
      <c r="FV296" s="200" t="str">
        <f t="shared" si="514"/>
        <v/>
      </c>
      <c r="FW296" s="203">
        <f>IF($J296="",#N/A,SUM(FV$4:FV296))</f>
        <v>6.6834991831277585E-2</v>
      </c>
      <c r="FX296" s="204" t="str">
        <f t="shared" si="515"/>
        <v/>
      </c>
      <c r="FY296" s="204">
        <f>IF($J296="",#N/A,SUM(FX$4:FX296))</f>
        <v>-0.16102012791805576</v>
      </c>
      <c r="FZ296" s="205" t="str">
        <f t="shared" si="516"/>
        <v/>
      </c>
      <c r="GA296" s="205">
        <f>IF($J296="",#N/A,SUM(FZ$4:FZ296))</f>
        <v>-0.69624339162892301</v>
      </c>
      <c r="GB296" s="205">
        <f>IF($J296="",#N/A,SUM(FZ$4:FZ296,FX$4:FX296,FV$4:FV296))</f>
        <v>-0.79042852771570116</v>
      </c>
      <c r="GC296" s="200" t="str">
        <f t="shared" si="517"/>
        <v/>
      </c>
      <c r="GD296" s="203">
        <f>IF($J296="",#N/A,SUM(GC$4:GC296))</f>
        <v>0</v>
      </c>
      <c r="GE296" s="204" t="str">
        <f t="shared" si="518"/>
        <v/>
      </c>
      <c r="GF296" s="204">
        <f>IF($J296="",#N/A,SUM(GE$4:GE296))</f>
        <v>0</v>
      </c>
      <c r="GG296" s="205" t="str">
        <f t="shared" si="519"/>
        <v/>
      </c>
      <c r="GH296" s="205">
        <f>IF($J296="",#N/A,SUM(GG$4:GG296))</f>
        <v>-2.9368362277223206</v>
      </c>
      <c r="GI296" s="205">
        <f>IF($J296="",#N/A,SUM(GG$4:GG296,GE$4:GE296,GC$4:GC296))</f>
        <v>-2.9368362277223206</v>
      </c>
      <c r="GJ296" s="200" t="str">
        <f t="shared" si="520"/>
        <v/>
      </c>
      <c r="GK296" s="203">
        <f>IF($J296="",#N/A,SUM(GJ$4:GJ296))</f>
        <v>0</v>
      </c>
      <c r="GL296" s="204" t="str">
        <f t="shared" si="521"/>
        <v/>
      </c>
      <c r="GM296" s="204">
        <f>IF($J296="",#N/A,SUM(GL$4:GL296))</f>
        <v>-1.6833790887309608</v>
      </c>
      <c r="GN296" s="205" t="str">
        <f t="shared" si="522"/>
        <v/>
      </c>
      <c r="GO296" s="205">
        <f>IF($J296="",#N/A,SUM(GN$4:GN296))</f>
        <v>0</v>
      </c>
      <c r="GP296" s="205">
        <f>IF($J296="",#N/A,SUM(GN$4:GN296,GL$4:GL296,GJ$4:GJ296))</f>
        <v>-1.6833790887309608</v>
      </c>
      <c r="GS296" s="54">
        <f t="shared" si="541"/>
        <v>-0.79281922324671694</v>
      </c>
      <c r="GT296" s="54">
        <f>IF(GS296="",NA(),SUM($GS$4:GS296))</f>
        <v>10.358648193036991</v>
      </c>
      <c r="GU296" s="54" t="str">
        <f t="shared" si="523"/>
        <v/>
      </c>
      <c r="GV296" s="54" t="e">
        <f>IF(GU296="",NA(),SUM($GU$4:GU296))</f>
        <v>#N/A</v>
      </c>
      <c r="GW296" s="54" t="str">
        <f t="shared" si="524"/>
        <v/>
      </c>
      <c r="GX296" s="54" t="e">
        <f>IF(GW296="",NA(),SUM($GW$4:GW296))</f>
        <v>#N/A</v>
      </c>
      <c r="GY296" s="54">
        <f t="shared" si="525"/>
        <v>-0.79281922324671694</v>
      </c>
      <c r="GZ296" s="54">
        <f>IF(GY296="",NA(),SUM($GY$4:GY296))</f>
        <v>9.1244722837408432</v>
      </c>
      <c r="HA296" s="54" t="str">
        <f t="shared" si="526"/>
        <v/>
      </c>
      <c r="HB296" s="54" t="e">
        <f>IF(HA296="",NA(),SUM($HA$4:HA296))</f>
        <v>#N/A</v>
      </c>
      <c r="HC296" s="54" t="str">
        <f t="shared" si="527"/>
        <v/>
      </c>
      <c r="HD296" s="54" t="e">
        <f>IF(HC296="",NA(),SUM($HC$4:HC296))</f>
        <v>#N/A</v>
      </c>
      <c r="HE296" s="54" t="str">
        <f t="shared" si="528"/>
        <v/>
      </c>
      <c r="HF296" s="54" t="e">
        <f>IF(HE296="",NA(),SUM($HE$4:HE296))</f>
        <v>#N/A</v>
      </c>
      <c r="HG296" s="54" t="str">
        <f t="shared" si="529"/>
        <v/>
      </c>
      <c r="HH296" s="54" t="e">
        <f>IF(HG296="",NA(),SUM($HG$4:HG296))</f>
        <v>#N/A</v>
      </c>
      <c r="HI296" s="172" t="str">
        <f t="shared" si="542"/>
        <v/>
      </c>
      <c r="HJ296" s="172">
        <f>IF($J296="",#N/A,SUM(HI$4:$HI296))</f>
        <v>-7.7357960158937757</v>
      </c>
      <c r="HK296" s="54">
        <f t="shared" si="530"/>
        <v>0.43308186644314051</v>
      </c>
      <c r="HL296" s="54">
        <f>IF($J296="",#N/A,SUM($HK$4:HK296))</f>
        <v>-0.14511094292371884</v>
      </c>
      <c r="HM296" s="54" t="str">
        <f t="shared" si="531"/>
        <v/>
      </c>
      <c r="HN296" s="54">
        <f>IF($J296="",#N/A,SUM($HM$4:HM296))</f>
        <v>0.6871920272168337</v>
      </c>
      <c r="HO296" s="54" t="str">
        <f t="shared" si="532"/>
        <v/>
      </c>
      <c r="HP296" s="54">
        <f>IF($J296="",#N/A,SUM($HO$4:HO296))</f>
        <v>-0.81760139535563114</v>
      </c>
      <c r="HQ296" s="54" t="str">
        <f t="shared" si="533"/>
        <v/>
      </c>
      <c r="HR296" s="54">
        <f>IF($J296="",#N/A,SUM($HQ$4:HQ296))</f>
        <v>-15.589576757744322</v>
      </c>
      <c r="HS296" s="54" t="str">
        <f t="shared" si="534"/>
        <v/>
      </c>
      <c r="HT296" s="54">
        <f>IF($J296="",#N/A,SUM($HS$4:HS296))</f>
        <v>14.748433960765649</v>
      </c>
      <c r="HU296" s="65">
        <f t="shared" si="535"/>
        <v>-0.35973735680357644</v>
      </c>
      <c r="HV296" s="65">
        <f>IF($J296="",#N/A,SUM(HU$4:$HU296))</f>
        <v>4.9245598986095693</v>
      </c>
    </row>
    <row r="297" spans="1:230" x14ac:dyDescent="0.25">
      <c r="A297" s="51" t="s">
        <v>280</v>
      </c>
      <c r="B297" s="52" t="s">
        <v>4596</v>
      </c>
      <c r="C297" s="229">
        <f t="shared" si="436"/>
        <v>3</v>
      </c>
      <c r="D297" s="219" t="str">
        <f>_xlfn.XLOOKUP(A297,[1]SP500!$A$2:$A$502,[1]SP500!$D$2:$D$502,"N")</f>
        <v>Y</v>
      </c>
      <c r="E297" s="51" t="str">
        <f>IFERROR(_xlfn.XLOOKUP(A297,[1]SP500!$A$2:$A$655,[1]SP500!$B$2:$B$655),"")</f>
        <v>XLF</v>
      </c>
      <c r="F297" s="290">
        <v>45784</v>
      </c>
      <c r="G297" s="51" t="str">
        <f t="shared" si="437"/>
        <v>BMO</v>
      </c>
      <c r="H297" s="51" t="str">
        <f t="shared" si="438"/>
        <v>s</v>
      </c>
      <c r="I297" s="344">
        <v>228.88</v>
      </c>
      <c r="J297" s="123">
        <v>218</v>
      </c>
      <c r="K297" s="55">
        <f t="shared" si="439"/>
        <v>-4.7535826634044022E-2</v>
      </c>
      <c r="L297" s="67">
        <f t="shared" si="440"/>
        <v>-54.400000000000091</v>
      </c>
      <c r="M297" s="57">
        <f t="shared" si="441"/>
        <v>0</v>
      </c>
      <c r="N297" s="147">
        <f t="shared" si="442"/>
        <v>-54.400000000000091</v>
      </c>
      <c r="O297" s="57">
        <f>IF(N297="",#N/A,SUM($N$4:N297))</f>
        <v>598.94575430328052</v>
      </c>
      <c r="P297" s="65">
        <f t="shared" si="536"/>
        <v>-0.7922637772340686</v>
      </c>
      <c r="Q297" s="172">
        <f>IF($N297="",#N/A,SUM($P$4:P297))</f>
        <v>12.984755245310478</v>
      </c>
      <c r="R297" s="279">
        <f t="shared" si="443"/>
        <v>1.9132660062738811</v>
      </c>
      <c r="S297" s="51" t="str">
        <f t="shared" si="444"/>
        <v>SW</v>
      </c>
      <c r="T297" s="51" t="s">
        <v>2828</v>
      </c>
      <c r="U297" s="56">
        <f t="shared" si="445"/>
        <v>228.88</v>
      </c>
      <c r="V297" s="56" t="s">
        <v>4460</v>
      </c>
      <c r="W297" s="142">
        <v>5</v>
      </c>
      <c r="X297" s="145">
        <f t="shared" si="446"/>
        <v>1144.4000000000001</v>
      </c>
      <c r="Y297" s="140">
        <f t="shared" si="447"/>
        <v>5</v>
      </c>
      <c r="Z297" s="123">
        <v>218</v>
      </c>
      <c r="AA297" s="102">
        <f t="shared" si="448"/>
        <v>-54.400000000000091</v>
      </c>
      <c r="AB297" s="102">
        <f t="shared" si="449"/>
        <v>-3.7000000000002728</v>
      </c>
      <c r="AC297" s="124">
        <v>228.14</v>
      </c>
      <c r="AD297" s="155">
        <f t="shared" si="450"/>
        <v>-3.7000000000002728</v>
      </c>
      <c r="AE297" s="545">
        <f t="shared" si="451"/>
        <v>-5.3885587789821054E-2</v>
      </c>
      <c r="AF297" s="57">
        <f>IF($AC297="",#N/A,SUM(AD$4:AD297))</f>
        <v>200.349804227768</v>
      </c>
      <c r="AG297" s="102">
        <f t="shared" si="452"/>
        <v>50.699999999999818</v>
      </c>
      <c r="AH297" s="102" t="s">
        <v>2507</v>
      </c>
      <c r="AI297" s="65">
        <f t="shared" si="453"/>
        <v>-0.7922637772340686</v>
      </c>
      <c r="AJ297" s="350">
        <f>IF(AI297="",#N/A,SUM($AI$4:AI297))</f>
        <v>11.071489239036596</v>
      </c>
      <c r="AK297" s="144">
        <f t="shared" si="454"/>
        <v>-54.400000000000091</v>
      </c>
      <c r="AL297" s="349">
        <f>IF(AI297="",#N/A,IF(AH297="Skip",SUM($AK$4:AK297),SUM($AK$4:AK297)))</f>
        <v>466.69759149281435</v>
      </c>
      <c r="AM297" s="65">
        <f t="shared" si="537"/>
        <v>-5.3885587789821054E-2</v>
      </c>
      <c r="AN297" s="210"/>
      <c r="AO297" s="65">
        <f t="shared" si="455"/>
        <v>-5.3885587789821054E-2</v>
      </c>
      <c r="AP297" s="65">
        <f>IF($AC297="",#N/A,SUM(AO$4:AO297))</f>
        <v>4.1819327430066817</v>
      </c>
      <c r="AQ297" s="65" t="str">
        <f t="shared" si="456"/>
        <v/>
      </c>
      <c r="AR297" s="65">
        <f>IF($AC297="",#N/A,SUM(AQ$4:AQ297))</f>
        <v>-5.511335475712829</v>
      </c>
      <c r="AS297" s="65" t="str">
        <f t="shared" si="457"/>
        <v/>
      </c>
      <c r="AT297" s="65">
        <f>IF($AC297="",#N/A,SUM(AS$4:AS297))</f>
        <v>6.2000770435258943</v>
      </c>
      <c r="AU297" s="57">
        <f t="shared" si="538"/>
        <v>-3.7000000000002728</v>
      </c>
      <c r="AV297" s="57">
        <f>IF($AC297="",#N/A,SUM(AU$4:AU297))</f>
        <v>148.00249066104664</v>
      </c>
      <c r="AW297" s="57" t="str">
        <f t="shared" si="539"/>
        <v/>
      </c>
      <c r="AX297" s="57">
        <f>IF($AC297="",#N/A,SUM(AW$4:AW297))</f>
        <v>-366.42106797961105</v>
      </c>
      <c r="AY297" s="57" t="str">
        <f t="shared" si="540"/>
        <v/>
      </c>
      <c r="AZ297" s="57">
        <f>IF($AC297="",#N/A,SUM(AY$4:AY297))</f>
        <v>418.76838154633242</v>
      </c>
      <c r="BA297" s="57">
        <f>IF(AD297="",#N/A,SUM($AD$4:AD297))</f>
        <v>200.349804227768</v>
      </c>
      <c r="BC297" s="51" t="str">
        <f t="shared" si="458"/>
        <v/>
      </c>
      <c r="BD297" s="51" t="str">
        <f t="shared" si="459"/>
        <v/>
      </c>
      <c r="BE297" s="51" t="str">
        <f t="shared" si="460"/>
        <v/>
      </c>
      <c r="BF297" s="51" t="str">
        <f t="shared" si="461"/>
        <v>Long</v>
      </c>
      <c r="BG297" s="51" t="str">
        <f t="shared" si="462"/>
        <v/>
      </c>
      <c r="BH297" s="51" t="str">
        <f t="shared" si="463"/>
        <v/>
      </c>
      <c r="BI297" s="51">
        <f t="shared" si="464"/>
        <v>1</v>
      </c>
      <c r="BK297" s="65">
        <f t="shared" si="435"/>
        <v>-6.7208459340686352E-2</v>
      </c>
      <c r="BL297" s="65">
        <f t="shared" si="543"/>
        <v>-5.5320505684195991E-2</v>
      </c>
      <c r="BM297" s="65">
        <f>IFERROR(Q297/COUNTA($J$4:J297),#N/A)</f>
        <v>4.4165834167722712E-2</v>
      </c>
      <c r="BO297" s="489">
        <f>IF(J297="",#N/A,IF(S297="SW",(COUNTIFS(K$4:$K297,"&gt;0",S$4:$S297,"SW")/COUNTIF(S$4:$S297,"SW")),#N/A))</f>
        <v>0.49285714285714288</v>
      </c>
      <c r="BP297" s="489" t="e">
        <f>IF($J297="",#N/A,IF($S297="DWN",(COUNTIFS($K$4:$K297,"&lt;0",$S$4:$S297,"DWN")/COUNTIF($S$4:$S297,"DWN")),#N/A))</f>
        <v>#N/A</v>
      </c>
      <c r="BQ297" s="489" t="e">
        <f>IF($J297="",#N/A,IF($S297="UP",(COUNTIFS($K$4:$K297,"&gt;0",$S$4:$S297,"UP")/COUNTIF($S$4:$S297,"UP")),#N/A))</f>
        <v>#N/A</v>
      </c>
      <c r="BR297" s="489">
        <f>IF(J297="",#N/A,COUNTIF($K$4:K297,"&gt;0")/COUNT($J$4:J297))</f>
        <v>0.44897959183673469</v>
      </c>
      <c r="BS297" s="65" t="str">
        <f t="shared" si="465"/>
        <v/>
      </c>
      <c r="BT297" s="65">
        <f t="shared" si="466"/>
        <v>-0.7922637772340686</v>
      </c>
      <c r="BU297" s="65" t="str">
        <f t="shared" si="467"/>
        <v/>
      </c>
      <c r="BV297" s="65" t="str">
        <f t="shared" si="468"/>
        <v/>
      </c>
      <c r="BW297" s="127" t="str">
        <f t="shared" si="469"/>
        <v/>
      </c>
      <c r="BX297" s="127">
        <f>IF($J297="",#N/A,SUM($BW$4:BW297))</f>
        <v>-355.59317034792866</v>
      </c>
      <c r="BY297" s="130" t="str">
        <f t="shared" si="470"/>
        <v/>
      </c>
      <c r="BZ297" s="130">
        <f>IF($J297="",#N/A,SUM($BY$4:BY297))</f>
        <v>831.57734038933393</v>
      </c>
      <c r="CA297" s="132">
        <f t="shared" si="471"/>
        <v>-54.400000000000091</v>
      </c>
      <c r="CB297" s="132">
        <f>IF($J297="",#N/A,SUM($CA$4:CA297))</f>
        <v>122.96158426187526</v>
      </c>
      <c r="CC297" s="197" t="str">
        <f t="shared" si="472"/>
        <v/>
      </c>
      <c r="CD297" s="197">
        <f>IF($J297="",#N/A,SUM($CC$4:CC297))</f>
        <v>-5.3809261075740293</v>
      </c>
      <c r="CE297" s="198" t="str">
        <f t="shared" si="473"/>
        <v/>
      </c>
      <c r="CF297" s="198">
        <f>IF($J297="",#N/A,SUM($CE$4:CE297))</f>
        <v>14.080984002343399</v>
      </c>
      <c r="CG297" s="199">
        <f t="shared" si="474"/>
        <v>-0.7922637772340686</v>
      </c>
      <c r="CH297" s="199">
        <f>IF($J297="",#N/A,SUM($CG$4:CG297))</f>
        <v>4.2846973505411121</v>
      </c>
      <c r="CI297" s="200" t="str">
        <f t="shared" si="475"/>
        <v/>
      </c>
      <c r="CJ297" s="206">
        <f>IF($J297="",#N/A,SUM(CI$4:CI297))</f>
        <v>0</v>
      </c>
      <c r="CK297" s="207" t="str">
        <f t="shared" si="476"/>
        <v/>
      </c>
      <c r="CL297" s="207">
        <f>IF($J297="",#N/A,SUM(CK$4:CK297))</f>
        <v>2.4085740385592547</v>
      </c>
      <c r="CM297" s="208" t="str">
        <f t="shared" si="477"/>
        <v/>
      </c>
      <c r="CN297" s="208">
        <f>IF($J297="",#N/A,SUM(CM$4:CM297))</f>
        <v>1.6152444684298783</v>
      </c>
      <c r="CO297" s="208">
        <f>IF($J297="",#N/A,SUM(CM$4:CM297,CK$4:CK297,CI$4:CI297))</f>
        <v>4.0238185069891328</v>
      </c>
      <c r="CP297" s="200" t="str">
        <f t="shared" si="478"/>
        <v/>
      </c>
      <c r="CQ297" s="206">
        <f>IF($J297="",#N/A,SUM(CP$4:CP297))</f>
        <v>-1.1156319314882757</v>
      </c>
      <c r="CR297" s="207" t="str">
        <f t="shared" si="479"/>
        <v/>
      </c>
      <c r="CS297" s="207">
        <f>IF($J297="",#N/A,SUM(CR$4:CR297))</f>
        <v>2.3600225017004668</v>
      </c>
      <c r="CT297" s="208" t="str">
        <f t="shared" si="480"/>
        <v/>
      </c>
      <c r="CU297" s="208">
        <f>IF($J297="",#N/A,SUM(CT$4:CT297))</f>
        <v>-2.9040943753548785</v>
      </c>
      <c r="CV297" s="208">
        <f>IF($J297="",#N/A,SUM(CT$4:CT297,CR$4:CR297,CP$4:CP297))</f>
        <v>-1.6597038051426876</v>
      </c>
      <c r="CW297" s="200" t="str">
        <f t="shared" si="481"/>
        <v/>
      </c>
      <c r="CX297" s="206">
        <f>IF($J297="",#N/A,SUM(CW$4:CW297))</f>
        <v>-1.2839616145397621</v>
      </c>
      <c r="CY297" s="207" t="str">
        <f t="shared" si="482"/>
        <v/>
      </c>
      <c r="CZ297" s="207">
        <f>IF($J297="",#N/A,SUM(CY$4:CY297))</f>
        <v>0.37351298702481961</v>
      </c>
      <c r="DA297" s="208" t="str">
        <f t="shared" si="483"/>
        <v/>
      </c>
      <c r="DB297" s="208">
        <f>IF($J297="",#N/A,SUM(DA$4:DA297))</f>
        <v>-1.1581788995104692</v>
      </c>
      <c r="DC297" s="208">
        <f>IF($J297="",#N/A,SUM(DA$4:DA297,CY$4:CY297,CW$4:CW297))</f>
        <v>-2.068627527025412</v>
      </c>
      <c r="DD297" s="200" t="str">
        <f t="shared" si="484"/>
        <v/>
      </c>
      <c r="DE297" s="206">
        <f>IF($J297="",#N/A,SUM(DD$4:DD297))</f>
        <v>0.24769343410817113</v>
      </c>
      <c r="DF297" s="207" t="str">
        <f t="shared" si="485"/>
        <v/>
      </c>
      <c r="DG297" s="207">
        <f>IF($J297="",#N/A,SUM(DF$4:DF297))</f>
        <v>1.3104003890080136</v>
      </c>
      <c r="DH297" s="208" t="str">
        <f t="shared" si="486"/>
        <v/>
      </c>
      <c r="DI297" s="208">
        <f>IF($J297="",#N/A,SUM(DH$4:DH297))</f>
        <v>-2.7812008102163399</v>
      </c>
      <c r="DJ297" s="208">
        <f>IF($J297="",#N/A,SUM(DH$4:DH297,DF$4:DF297,DD$4:DD297))</f>
        <v>-1.2231069871001554</v>
      </c>
      <c r="DK297" s="200" t="str">
        <f t="shared" si="487"/>
        <v/>
      </c>
      <c r="DL297" s="206">
        <f>IF($J297="",#N/A,SUM(DK$4:DK297))</f>
        <v>-1.2097286851272664</v>
      </c>
      <c r="DM297" s="207" t="str">
        <f t="shared" si="488"/>
        <v/>
      </c>
      <c r="DN297" s="207">
        <f>IF($J297="",#N/A,SUM(DM$4:DM297))</f>
        <v>3.0281848543081331</v>
      </c>
      <c r="DO297" s="208" t="str">
        <f t="shared" si="489"/>
        <v/>
      </c>
      <c r="DP297" s="208">
        <f>IF($J297="",#N/A,SUM(DO$4:DO297))</f>
        <v>2.700331529683047</v>
      </c>
      <c r="DQ297" s="208">
        <f>IF($J297="",#N/A,SUM(DO$4:DO297,DM$4:DM297,DK$4:DK297))</f>
        <v>4.518787698863914</v>
      </c>
      <c r="DR297" s="200" t="str">
        <f t="shared" si="490"/>
        <v/>
      </c>
      <c r="DS297" s="206">
        <f>IF($J297="",#N/A,SUM(DR$4:DR297))</f>
        <v>-0.55950946427675097</v>
      </c>
      <c r="DT297" s="207" t="str">
        <f t="shared" si="491"/>
        <v/>
      </c>
      <c r="DU297" s="207">
        <f>IF($J297="",#N/A,SUM(DT$4:DT297))</f>
        <v>-0.20750635820596686</v>
      </c>
      <c r="DV297" s="208">
        <f t="shared" si="492"/>
        <v>-0.7922637772340686</v>
      </c>
      <c r="DW297" s="208">
        <f>IF($J297="",#N/A,SUM(DV$4:DV297))</f>
        <v>-2.3377035686214001</v>
      </c>
      <c r="DX297" s="208">
        <f>IF($J297="",#N/A,SUM(DV$4:DV297,DT$4:DT297,DR$4:DR297))</f>
        <v>-3.1047193911041169</v>
      </c>
      <c r="DY297" s="200" t="str">
        <f t="shared" si="493"/>
        <v/>
      </c>
      <c r="DZ297" s="206">
        <f>IF($J297="",#N/A,SUM(DY$4:DY297))</f>
        <v>-1.1041800427550772</v>
      </c>
      <c r="EA297" s="207" t="str">
        <f t="shared" si="494"/>
        <v/>
      </c>
      <c r="EB297" s="207">
        <f>IF($J297="",#N/A,SUM(EA$4:EA297))</f>
        <v>3.4710015964818837</v>
      </c>
      <c r="EC297" s="208" t="str">
        <f t="shared" si="495"/>
        <v/>
      </c>
      <c r="ED297" s="208">
        <f>IF($J297="",#N/A,SUM(EC$4:EC297))</f>
        <v>6.352220799154269</v>
      </c>
      <c r="EE297" s="208">
        <f>IF($J297="",#N/A,SUM(EC$4:EC297,EA$4:EA297,DY$4:DY297))</f>
        <v>8.7190423528810772</v>
      </c>
      <c r="EF297" s="200" t="str">
        <f t="shared" si="496"/>
        <v/>
      </c>
      <c r="EG297" s="206">
        <f>IF($J297="",#N/A,SUM(EF$4:EF297))</f>
        <v>-0.15098969023521425</v>
      </c>
      <c r="EH297" s="207" t="str">
        <f t="shared" si="497"/>
        <v/>
      </c>
      <c r="EI297" s="207">
        <f>IF($J297="",#N/A,SUM(EH$4:EH297))</f>
        <v>-2.7373393576691663</v>
      </c>
      <c r="EJ297" s="208" t="str">
        <f t="shared" si="498"/>
        <v/>
      </c>
      <c r="EK297" s="208">
        <f>IF($J297="",#N/A,SUM(EJ$4:EJ297))</f>
        <v>5.050388173053765</v>
      </c>
      <c r="EL297" s="208">
        <f>IF($J297="",#N/A,SUM(EJ$4:EJ297,EH$4:EH297,EF$4:EF297))</f>
        <v>2.1620591251493844</v>
      </c>
      <c r="EM297" s="200" t="str">
        <f t="shared" si="499"/>
        <v/>
      </c>
      <c r="EN297" s="206">
        <f>IF($J297="",#N/A,SUM(EM$4:EM297))</f>
        <v>0</v>
      </c>
      <c r="EO297" s="207" t="str">
        <f t="shared" si="500"/>
        <v/>
      </c>
      <c r="EP297" s="207">
        <f>IF($J297="",#N/A,SUM(EO$4:EO297))</f>
        <v>2.0574787067554756</v>
      </c>
      <c r="EQ297" s="208" t="str">
        <f t="shared" si="501"/>
        <v/>
      </c>
      <c r="ER297" s="208">
        <f>IF($J297="",#N/A,SUM(EQ$4:EQ297))</f>
        <v>1.3977486422552698</v>
      </c>
      <c r="ES297" s="208">
        <f>IF($J297="",#N/A,SUM(EQ$4:EQ297,EO$4:EO297,EM$4:EM297))</f>
        <v>3.455227349010745</v>
      </c>
      <c r="ET297" s="200" t="str">
        <f t="shared" si="502"/>
        <v/>
      </c>
      <c r="EU297" s="206">
        <f>IF($J297="",#N/A,SUM(ET$4:ET297))</f>
        <v>0</v>
      </c>
      <c r="EV297" s="207" t="str">
        <f t="shared" si="503"/>
        <v/>
      </c>
      <c r="EW297" s="207">
        <f>IF($J297="",#N/A,SUM(EV$4:EV297))</f>
        <v>2.3297323921502326</v>
      </c>
      <c r="EX297" s="208" t="str">
        <f t="shared" si="504"/>
        <v/>
      </c>
      <c r="EY297" s="208">
        <f>IF($J297="",#N/A,SUM(EX$4:EX297))</f>
        <v>0.27113250180669229</v>
      </c>
      <c r="EZ297" s="208">
        <f>IF($J297="",#N/A,SUM(EX$4:EX297,EV$4:EV297,ET$4:ET297))</f>
        <v>2.6008648939569246</v>
      </c>
      <c r="FA297" s="200" t="str">
        <f t="shared" si="505"/>
        <v/>
      </c>
      <c r="FB297" s="206">
        <f>IF($J297="",#N/A,SUM(FA$4:FA297))</f>
        <v>-0.27145310509113252</v>
      </c>
      <c r="FC297" s="207" t="str">
        <f t="shared" si="506"/>
        <v/>
      </c>
      <c r="FD297" s="207">
        <f>IF($J297="",#N/A,SUM(FC$4:FC297))</f>
        <v>1.204376144197403</v>
      </c>
      <c r="FE297" s="208" t="str">
        <f t="shared" si="507"/>
        <v/>
      </c>
      <c r="FF297" s="208">
        <f>IF($J297="",#N/A,SUM(FE$4:FE297))</f>
        <v>-0.28811149078748233</v>
      </c>
      <c r="FG297" s="208">
        <f>IF($J297="",#N/A,SUM(FE$4:FE297,FC$4:FC297,FA$4:FA297))</f>
        <v>0.64481154831878851</v>
      </c>
      <c r="FH297" s="200" t="str">
        <f t="shared" si="508"/>
        <v/>
      </c>
      <c r="FI297" s="206">
        <f>IF($J297="",#N/A,SUM(FH$4:FH297))</f>
        <v>0</v>
      </c>
      <c r="FJ297" s="207" t="str">
        <f t="shared" si="509"/>
        <v/>
      </c>
      <c r="FK297" s="207">
        <f>IF($J297="",#N/A,SUM(FJ$4:FJ297))</f>
        <v>0</v>
      </c>
      <c r="FL297" s="208" t="str">
        <f t="shared" si="510"/>
        <v/>
      </c>
      <c r="FM297" s="208">
        <f>IF($J297="",#N/A,SUM(FL$4:FL297))</f>
        <v>0</v>
      </c>
      <c r="FN297" s="208">
        <f>IF($J297="",#N/A,SUM(FL$4:FL297,FJ$4:FJ297,FH$4:FH297))</f>
        <v>0</v>
      </c>
      <c r="FO297" s="200" t="str">
        <f t="shared" si="511"/>
        <v/>
      </c>
      <c r="FP297" s="206">
        <f>IF($J297="",#N/A,SUM(FO$4:FO297))</f>
        <v>0</v>
      </c>
      <c r="FQ297" s="207" t="str">
        <f t="shared" si="512"/>
        <v/>
      </c>
      <c r="FR297" s="207">
        <f>IF($J297="",#N/A,SUM(FQ$4:FQ297))</f>
        <v>0</v>
      </c>
      <c r="FS297" s="208" t="str">
        <f t="shared" si="513"/>
        <v/>
      </c>
      <c r="FT297" s="208">
        <f>IF($J297="",#N/A,SUM(FS$4:FS297))</f>
        <v>0</v>
      </c>
      <c r="FU297" s="208">
        <f>IF($J297="",#N/A,SUM(FS$4:FS297,FQ$4:FQ297,FO$4:FO297))</f>
        <v>0</v>
      </c>
      <c r="FV297" s="200" t="str">
        <f t="shared" si="514"/>
        <v/>
      </c>
      <c r="FW297" s="206">
        <f>IF($J297="",#N/A,SUM(FV$4:FV297))</f>
        <v>6.6834991831277585E-2</v>
      </c>
      <c r="FX297" s="207" t="str">
        <f t="shared" si="515"/>
        <v/>
      </c>
      <c r="FY297" s="207">
        <f>IF($J297="",#N/A,SUM(FX$4:FX297))</f>
        <v>-0.16102012791805576</v>
      </c>
      <c r="FZ297" s="208" t="str">
        <f t="shared" si="516"/>
        <v/>
      </c>
      <c r="GA297" s="208">
        <f>IF($J297="",#N/A,SUM(FZ$4:FZ297))</f>
        <v>-0.69624339162892301</v>
      </c>
      <c r="GB297" s="208">
        <f>IF($J297="",#N/A,SUM(FZ$4:FZ297,FX$4:FX297,FV$4:FV297))</f>
        <v>-0.79042852771570116</v>
      </c>
      <c r="GC297" s="200" t="str">
        <f t="shared" si="517"/>
        <v/>
      </c>
      <c r="GD297" s="206">
        <f>IF($J297="",#N/A,SUM(GC$4:GC297))</f>
        <v>0</v>
      </c>
      <c r="GE297" s="207" t="str">
        <f t="shared" si="518"/>
        <v/>
      </c>
      <c r="GF297" s="207">
        <f>IF($J297="",#N/A,SUM(GE$4:GE297))</f>
        <v>0</v>
      </c>
      <c r="GG297" s="208" t="str">
        <f t="shared" si="519"/>
        <v/>
      </c>
      <c r="GH297" s="208">
        <f>IF($J297="",#N/A,SUM(GG$4:GG297))</f>
        <v>-2.9368362277223206</v>
      </c>
      <c r="GI297" s="208">
        <f>IF($J297="",#N/A,SUM(GG$4:GG297,GE$4:GE297,GC$4:GC297))</f>
        <v>-2.9368362277223206</v>
      </c>
      <c r="GJ297" s="200" t="str">
        <f t="shared" si="520"/>
        <v/>
      </c>
      <c r="GK297" s="206">
        <f>IF($J297="",#N/A,SUM(GJ$4:GJ297))</f>
        <v>0</v>
      </c>
      <c r="GL297" s="207" t="str">
        <f t="shared" si="521"/>
        <v/>
      </c>
      <c r="GM297" s="207">
        <f>IF($J297="",#N/A,SUM(GL$4:GL297))</f>
        <v>-1.6833790887309608</v>
      </c>
      <c r="GN297" s="208" t="str">
        <f t="shared" si="522"/>
        <v/>
      </c>
      <c r="GO297" s="208">
        <f>IF($J297="",#N/A,SUM(GN$4:GN297))</f>
        <v>0</v>
      </c>
      <c r="GP297" s="208">
        <f>IF($J297="",#N/A,SUM(GN$4:GN297,GL$4:GL297,GJ$4:GJ297))</f>
        <v>-1.6833790887309608</v>
      </c>
      <c r="GS297" s="54">
        <f t="shared" si="541"/>
        <v>-0.7922637772340686</v>
      </c>
      <c r="GT297" s="54">
        <f>IF(GS297="",NA(),SUM($GS$4:GS297))</f>
        <v>9.5663844158029221</v>
      </c>
      <c r="GU297" s="54" t="str">
        <f t="shared" si="523"/>
        <v/>
      </c>
      <c r="GV297" s="54" t="e">
        <f>IF(GU297="",NA(),SUM($GU$4:GU297))</f>
        <v>#N/A</v>
      </c>
      <c r="GW297" s="54">
        <f t="shared" si="524"/>
        <v>-0.7922637772340686</v>
      </c>
      <c r="GX297" s="54">
        <f>IF(GW297="",NA(),SUM($GW$4:GW297))</f>
        <v>5.8228382396361109</v>
      </c>
      <c r="GY297" s="54" t="str">
        <f t="shared" si="525"/>
        <v/>
      </c>
      <c r="GZ297" s="54" t="e">
        <f>IF(GY297="",NA(),SUM($GY$4:GY297))</f>
        <v>#N/A</v>
      </c>
      <c r="HA297" s="54" t="str">
        <f t="shared" si="526"/>
        <v/>
      </c>
      <c r="HB297" s="54" t="e">
        <f>IF(HA297="",NA(),SUM($HA$4:HA297))</f>
        <v>#N/A</v>
      </c>
      <c r="HC297" s="54" t="str">
        <f t="shared" si="527"/>
        <v/>
      </c>
      <c r="HD297" s="54" t="e">
        <f>IF(HC297="",NA(),SUM($HC$4:HC297))</f>
        <v>#N/A</v>
      </c>
      <c r="HE297" s="54" t="str">
        <f t="shared" si="528"/>
        <v/>
      </c>
      <c r="HF297" s="54" t="e">
        <f>IF(HE297="",NA(),SUM($HE$4:HE297))</f>
        <v>#N/A</v>
      </c>
      <c r="HG297" s="54" t="str">
        <f t="shared" si="529"/>
        <v/>
      </c>
      <c r="HH297" s="54" t="e">
        <f>IF(HG297="",NA(),SUM($HG$4:HG297))</f>
        <v>#N/A</v>
      </c>
      <c r="HI297" s="172" t="str">
        <f t="shared" si="542"/>
        <v/>
      </c>
      <c r="HJ297" s="172">
        <f>IF($J297="",#N/A,SUM(HI$4:$HI297))</f>
        <v>-7.7357960158937757</v>
      </c>
      <c r="HK297" s="54" t="str">
        <f t="shared" si="530"/>
        <v/>
      </c>
      <c r="HL297" s="54">
        <f>IF($J297="",#N/A,SUM($HK$4:HK297))</f>
        <v>-0.14511094292371884</v>
      </c>
      <c r="HM297" s="54" t="str">
        <f t="shared" si="531"/>
        <v/>
      </c>
      <c r="HN297" s="54">
        <f>IF($J297="",#N/A,SUM($HM$4:HM297))</f>
        <v>0.6871920272168337</v>
      </c>
      <c r="HO297" s="54" t="str">
        <f t="shared" si="532"/>
        <v/>
      </c>
      <c r="HP297" s="54">
        <f>IF($J297="",#N/A,SUM($HO$4:HO297))</f>
        <v>-0.81760139535563114</v>
      </c>
      <c r="HQ297" s="54" t="str">
        <f t="shared" si="533"/>
        <v/>
      </c>
      <c r="HR297" s="54">
        <f>IF($J297="",#N/A,SUM($HQ$4:HQ297))</f>
        <v>-15.589576757744322</v>
      </c>
      <c r="HS297" s="54">
        <f t="shared" si="534"/>
        <v>0.7383781894442476</v>
      </c>
      <c r="HT297" s="54">
        <f>IF($J297="",#N/A,SUM($HS$4:HS297))</f>
        <v>15.486812150209897</v>
      </c>
      <c r="HU297" s="65">
        <f t="shared" si="535"/>
        <v>-5.3885587789821054E-2</v>
      </c>
      <c r="HV297" s="65">
        <f>IF($J297="",#N/A,SUM(HU$4:$HU297))</f>
        <v>4.8706743108197479</v>
      </c>
    </row>
    <row r="298" spans="1:230" x14ac:dyDescent="0.25">
      <c r="A298" s="51" t="s">
        <v>1048</v>
      </c>
      <c r="B298" s="52" t="s">
        <v>4596</v>
      </c>
      <c r="C298" s="229">
        <f t="shared" si="436"/>
        <v>2</v>
      </c>
      <c r="D298" s="219" t="str">
        <f>_xlfn.XLOOKUP(A298,[1]SP500!$A$2:$A$502,[1]SP500!$D$2:$D$502,"N")</f>
        <v>Y</v>
      </c>
      <c r="E298" s="51" t="str">
        <f>IFERROR(_xlfn.XLOOKUP(A298,[1]SP500!$A$2:$A$655,[1]SP500!$B$2:$B$655),"")</f>
        <v>XLC</v>
      </c>
      <c r="F298" s="290">
        <v>45784</v>
      </c>
      <c r="G298" s="51" t="str">
        <f t="shared" si="437"/>
        <v>BMO</v>
      </c>
      <c r="H298" s="51" t="str">
        <f t="shared" si="438"/>
        <v>s</v>
      </c>
      <c r="I298" s="343">
        <v>92.17</v>
      </c>
      <c r="J298" s="124">
        <v>102.42</v>
      </c>
      <c r="K298" s="55">
        <f t="shared" si="439"/>
        <v>0.11120755126396875</v>
      </c>
      <c r="L298" s="67">
        <f t="shared" si="440"/>
        <v>-133.25</v>
      </c>
      <c r="M298" s="57">
        <f t="shared" si="441"/>
        <v>6.7599999999999909</v>
      </c>
      <c r="N298" s="102">
        <f t="shared" si="442"/>
        <v>-133.25</v>
      </c>
      <c r="O298" s="57">
        <f>IF(N298="",#N/A,SUM($N$4:N298))</f>
        <v>465.69575430328052</v>
      </c>
      <c r="P298" s="65">
        <f t="shared" si="536"/>
        <v>-1.8534591877328126</v>
      </c>
      <c r="Q298" s="172">
        <f>IF($N298="",#N/A,SUM($P$4:P298))</f>
        <v>11.131296057577664</v>
      </c>
      <c r="R298" s="279">
        <f t="shared" si="443"/>
        <v>1.81923685723768</v>
      </c>
      <c r="S298" s="51" t="str">
        <f t="shared" si="444"/>
        <v>Dwn</v>
      </c>
      <c r="T298" s="51" t="s">
        <v>4461</v>
      </c>
      <c r="U298" s="56">
        <f t="shared" si="445"/>
        <v>92.17</v>
      </c>
      <c r="V298" s="56" t="s">
        <v>4458</v>
      </c>
      <c r="W298" s="142">
        <v>13</v>
      </c>
      <c r="X298" s="145">
        <f t="shared" si="446"/>
        <v>1198.21</v>
      </c>
      <c r="Y298" s="140">
        <f t="shared" si="447"/>
        <v>13</v>
      </c>
      <c r="Z298" s="123">
        <v>101.9</v>
      </c>
      <c r="AA298" s="102">
        <f t="shared" si="448"/>
        <v>-126.49000000000001</v>
      </c>
      <c r="AB298" s="102">
        <f t="shared" si="449"/>
        <v>-128.96000000000004</v>
      </c>
      <c r="AC298" s="124">
        <v>102.09</v>
      </c>
      <c r="AD298" s="155">
        <f t="shared" si="450"/>
        <v>-128.96000000000004</v>
      </c>
      <c r="AE298" s="545">
        <f t="shared" si="451"/>
        <v>-1.7937868431521469</v>
      </c>
      <c r="AF298" s="57">
        <f>IF($AC298="",#N/A,SUM(AD$4:AD298))</f>
        <v>71.389804227767968</v>
      </c>
      <c r="AG298" s="102">
        <f t="shared" si="452"/>
        <v>4.2899999999999636</v>
      </c>
      <c r="AH298" s="56" t="s">
        <v>2507</v>
      </c>
      <c r="AI298" s="65">
        <f t="shared" si="453"/>
        <v>-1.7594300386966115</v>
      </c>
      <c r="AJ298" s="65">
        <f>IF(AI298="",#N/A,SUM($AI$4:AI298))</f>
        <v>9.3120592003399842</v>
      </c>
      <c r="AK298" s="57">
        <f t="shared" si="454"/>
        <v>-126.49000000000001</v>
      </c>
      <c r="AL298" s="66">
        <f>IF(AI298="",#N/A,IF(AH298="Skip",SUM($AK$4:AK298),SUM($AK$4:AK298)))</f>
        <v>340.20759149281434</v>
      </c>
      <c r="AM298" s="65">
        <f t="shared" si="537"/>
        <v>-1.7937868431521469</v>
      </c>
      <c r="AN298" s="210"/>
      <c r="AO298" s="65" t="str">
        <f t="shared" si="455"/>
        <v/>
      </c>
      <c r="AP298" s="65">
        <f>IF($AC298="",#N/A,SUM(AO$4:AO298))</f>
        <v>4.1819327430066817</v>
      </c>
      <c r="AQ298" s="65" t="str">
        <f t="shared" si="456"/>
        <v/>
      </c>
      <c r="AR298" s="65">
        <f>IF($AC298="",#N/A,SUM(AQ$4:AQ298))</f>
        <v>-5.511335475712829</v>
      </c>
      <c r="AS298" s="65">
        <f t="shared" si="457"/>
        <v>-1.7937868431521469</v>
      </c>
      <c r="AT298" s="65">
        <f>IF($AC298="",#N/A,SUM(AS$4:AS298))</f>
        <v>4.4062902003737472</v>
      </c>
      <c r="AU298" s="57" t="str">
        <f t="shared" si="538"/>
        <v/>
      </c>
      <c r="AV298" s="57">
        <f>IF($AC298="",#N/A,SUM(AU$4:AU298))</f>
        <v>148.00249066104664</v>
      </c>
      <c r="AW298" s="57" t="str">
        <f t="shared" si="539"/>
        <v/>
      </c>
      <c r="AX298" s="57">
        <f>IF($AC298="",#N/A,SUM(AW$4:AW298))</f>
        <v>-366.42106797961105</v>
      </c>
      <c r="AY298" s="57">
        <f t="shared" si="540"/>
        <v>-128.96000000000004</v>
      </c>
      <c r="AZ298" s="57">
        <f>IF($AC298="",#N/A,SUM(AY$4:AY298))</f>
        <v>289.80838154633238</v>
      </c>
      <c r="BA298" s="57">
        <f>IF(AD298="",#N/A,SUM($AD$4:AD298))</f>
        <v>71.389804227767968</v>
      </c>
      <c r="BC298" s="51" t="str">
        <f t="shared" si="458"/>
        <v/>
      </c>
      <c r="BD298" s="51">
        <f t="shared" si="459"/>
        <v>1</v>
      </c>
      <c r="BE298" s="51" t="str">
        <f t="shared" si="460"/>
        <v/>
      </c>
      <c r="BF298" s="51" t="str">
        <f t="shared" si="461"/>
        <v>Short</v>
      </c>
      <c r="BG298" s="51" t="str">
        <f t="shared" si="462"/>
        <v/>
      </c>
      <c r="BH298" s="51" t="str">
        <f t="shared" si="463"/>
        <v/>
      </c>
      <c r="BI298" s="51" t="str">
        <f t="shared" si="464"/>
        <v/>
      </c>
      <c r="BK298" s="65">
        <f t="shared" si="435"/>
        <v>-0.11305131765168638</v>
      </c>
      <c r="BL298" s="65">
        <f t="shared" si="543"/>
        <v>-0.14174430863756385</v>
      </c>
      <c r="BM298" s="65">
        <f>IFERROR(Q298/COUNTA($J$4:J298),#N/A)</f>
        <v>3.7733206974839541E-2</v>
      </c>
      <c r="BO298" s="489" t="e">
        <f>IF(J298="",#N/A,IF(S298="SW",(COUNTIFS(K$4:$K298,"&gt;0",S$4:$S298,"SW")/COUNTIF(S$4:$S298,"SW")),#N/A))</f>
        <v>#N/A</v>
      </c>
      <c r="BP298" s="489">
        <f>IF($J298="",#N/A,IF($S298="DWN",(COUNTIFS($K$4:$K298,"&lt;0",$S$4:$S298,"DWN")/COUNTIF($S$4:$S298,"DWN")),#N/A))</f>
        <v>0.57664233576642332</v>
      </c>
      <c r="BQ298" s="489" t="e">
        <f>IF($J298="",#N/A,IF($S298="UP",(COUNTIFS($K$4:$K298,"&gt;0",$S$4:$S298,"UP")/COUNTIF($S$4:$S298,"UP")),#N/A))</f>
        <v>#N/A</v>
      </c>
      <c r="BR298" s="489">
        <f>IF(J298="",#N/A,COUNTIF($K$4:K298,"&gt;0")/COUNT($J$4:J298))</f>
        <v>0.45084745762711864</v>
      </c>
      <c r="BS298" s="65" t="str">
        <f t="shared" si="465"/>
        <v/>
      </c>
      <c r="BT298" s="65" t="str">
        <f t="shared" si="466"/>
        <v/>
      </c>
      <c r="BU298" s="65" t="str">
        <f t="shared" si="467"/>
        <v/>
      </c>
      <c r="BV298" s="65">
        <f t="shared" si="468"/>
        <v>-1.8534591877328126</v>
      </c>
      <c r="BW298" s="128" t="str">
        <f t="shared" si="469"/>
        <v/>
      </c>
      <c r="BX298" s="128">
        <f>IF($J298="",#N/A,SUM($BW$4:BW298))</f>
        <v>-355.59317034792866</v>
      </c>
      <c r="BY298" s="131">
        <f t="shared" si="470"/>
        <v>-133.25</v>
      </c>
      <c r="BZ298" s="131">
        <f>IF($J298="",#N/A,SUM($BY$4:BY298))</f>
        <v>698.32734038933393</v>
      </c>
      <c r="CA298" s="133" t="str">
        <f t="shared" si="471"/>
        <v/>
      </c>
      <c r="CB298" s="133">
        <f>IF($J298="",#N/A,SUM($CA$4:CA298))</f>
        <v>122.96158426187526</v>
      </c>
      <c r="CC298" s="194" t="str">
        <f t="shared" si="472"/>
        <v/>
      </c>
      <c r="CD298" s="194">
        <f>IF($J298="",#N/A,SUM($CC$4:CC298))</f>
        <v>-5.3809261075740293</v>
      </c>
      <c r="CE298" s="195">
        <f t="shared" si="473"/>
        <v>-1.8534591877328126</v>
      </c>
      <c r="CF298" s="195">
        <f>IF($J298="",#N/A,SUM($CE$4:CE298))</f>
        <v>12.227524814610586</v>
      </c>
      <c r="CG298" s="196" t="str">
        <f t="shared" si="474"/>
        <v/>
      </c>
      <c r="CH298" s="196">
        <f>IF($J298="",#N/A,SUM($CG$4:CG298))</f>
        <v>4.2846973505411121</v>
      </c>
      <c r="CI298" s="200" t="str">
        <f t="shared" si="475"/>
        <v/>
      </c>
      <c r="CJ298" s="203">
        <f>IF($J298="",#N/A,SUM(CI$4:CI298))</f>
        <v>0</v>
      </c>
      <c r="CK298" s="204" t="str">
        <f t="shared" si="476"/>
        <v/>
      </c>
      <c r="CL298" s="204">
        <f>IF($J298="",#N/A,SUM(CK$4:CK298))</f>
        <v>2.4085740385592547</v>
      </c>
      <c r="CM298" s="205" t="str">
        <f t="shared" si="477"/>
        <v/>
      </c>
      <c r="CN298" s="205">
        <f>IF($J298="",#N/A,SUM(CM$4:CM298))</f>
        <v>1.6152444684298783</v>
      </c>
      <c r="CO298" s="205">
        <f>IF($J298="",#N/A,SUM(CM$4:CM298,CK$4:CK298,CI$4:CI298))</f>
        <v>4.0238185069891328</v>
      </c>
      <c r="CP298" s="200" t="str">
        <f t="shared" si="478"/>
        <v/>
      </c>
      <c r="CQ298" s="203">
        <f>IF($J298="",#N/A,SUM(CP$4:CP298))</f>
        <v>-1.1156319314882757</v>
      </c>
      <c r="CR298" s="204" t="str">
        <f t="shared" si="479"/>
        <v/>
      </c>
      <c r="CS298" s="204">
        <f>IF($J298="",#N/A,SUM(CR$4:CR298))</f>
        <v>2.3600225017004668</v>
      </c>
      <c r="CT298" s="205" t="str">
        <f t="shared" si="480"/>
        <v/>
      </c>
      <c r="CU298" s="205">
        <f>IF($J298="",#N/A,SUM(CT$4:CT298))</f>
        <v>-2.9040943753548785</v>
      </c>
      <c r="CV298" s="205">
        <f>IF($J298="",#N/A,SUM(CT$4:CT298,CR$4:CR298,CP$4:CP298))</f>
        <v>-1.6597038051426876</v>
      </c>
      <c r="CW298" s="200" t="str">
        <f t="shared" si="481"/>
        <v/>
      </c>
      <c r="CX298" s="203">
        <f>IF($J298="",#N/A,SUM(CW$4:CW298))</f>
        <v>-1.2839616145397621</v>
      </c>
      <c r="CY298" s="204" t="str">
        <f t="shared" si="482"/>
        <v/>
      </c>
      <c r="CZ298" s="204">
        <f>IF($J298="",#N/A,SUM(CY$4:CY298))</f>
        <v>0.37351298702481961</v>
      </c>
      <c r="DA298" s="205" t="str">
        <f t="shared" si="483"/>
        <v/>
      </c>
      <c r="DB298" s="205">
        <f>IF($J298="",#N/A,SUM(DA$4:DA298))</f>
        <v>-1.1581788995104692</v>
      </c>
      <c r="DC298" s="205">
        <f>IF($J298="",#N/A,SUM(DA$4:DA298,CY$4:CY298,CW$4:CW298))</f>
        <v>-2.068627527025412</v>
      </c>
      <c r="DD298" s="200" t="str">
        <f t="shared" si="484"/>
        <v/>
      </c>
      <c r="DE298" s="203">
        <f>IF($J298="",#N/A,SUM(DD$4:DD298))</f>
        <v>0.24769343410817113</v>
      </c>
      <c r="DF298" s="204" t="str">
        <f t="shared" si="485"/>
        <v/>
      </c>
      <c r="DG298" s="204">
        <f>IF($J298="",#N/A,SUM(DF$4:DF298))</f>
        <v>1.3104003890080136</v>
      </c>
      <c r="DH298" s="205" t="str">
        <f t="shared" si="486"/>
        <v/>
      </c>
      <c r="DI298" s="205">
        <f>IF($J298="",#N/A,SUM(DH$4:DH298))</f>
        <v>-2.7812008102163399</v>
      </c>
      <c r="DJ298" s="205">
        <f>IF($J298="",#N/A,SUM(DH$4:DH298,DF$4:DF298,DD$4:DD298))</f>
        <v>-1.2231069871001554</v>
      </c>
      <c r="DK298" s="200" t="str">
        <f t="shared" si="487"/>
        <v/>
      </c>
      <c r="DL298" s="203">
        <f>IF($J298="",#N/A,SUM(DK$4:DK298))</f>
        <v>-1.2097286851272664</v>
      </c>
      <c r="DM298" s="204">
        <f t="shared" si="488"/>
        <v>-1.8534591877328126</v>
      </c>
      <c r="DN298" s="204">
        <f>IF($J298="",#N/A,SUM(DM$4:DM298))</f>
        <v>1.1747256665753205</v>
      </c>
      <c r="DO298" s="205" t="str">
        <f t="shared" si="489"/>
        <v/>
      </c>
      <c r="DP298" s="205">
        <f>IF($J298="",#N/A,SUM(DO$4:DO298))</f>
        <v>2.700331529683047</v>
      </c>
      <c r="DQ298" s="205">
        <f>IF($J298="",#N/A,SUM(DO$4:DO298,DM$4:DM298,DK$4:DK298))</f>
        <v>2.6653285111311016</v>
      </c>
      <c r="DR298" s="200" t="str">
        <f t="shared" si="490"/>
        <v/>
      </c>
      <c r="DS298" s="203">
        <f>IF($J298="",#N/A,SUM(DR$4:DR298))</f>
        <v>-0.55950946427675097</v>
      </c>
      <c r="DT298" s="204" t="str">
        <f t="shared" si="491"/>
        <v/>
      </c>
      <c r="DU298" s="204">
        <f>IF($J298="",#N/A,SUM(DT$4:DT298))</f>
        <v>-0.20750635820596686</v>
      </c>
      <c r="DV298" s="205" t="str">
        <f t="shared" si="492"/>
        <v/>
      </c>
      <c r="DW298" s="205">
        <f>IF($J298="",#N/A,SUM(DV$4:DV298))</f>
        <v>-2.3377035686214001</v>
      </c>
      <c r="DX298" s="205">
        <f>IF($J298="",#N/A,SUM(DV$4:DV298,DT$4:DT298,DR$4:DR298))</f>
        <v>-3.1047193911041169</v>
      </c>
      <c r="DY298" s="200" t="str">
        <f t="shared" si="493"/>
        <v/>
      </c>
      <c r="DZ298" s="203">
        <f>IF($J298="",#N/A,SUM(DY$4:DY298))</f>
        <v>-1.1041800427550772</v>
      </c>
      <c r="EA298" s="204" t="str">
        <f t="shared" si="494"/>
        <v/>
      </c>
      <c r="EB298" s="204">
        <f>IF($J298="",#N/A,SUM(EA$4:EA298))</f>
        <v>3.4710015964818837</v>
      </c>
      <c r="EC298" s="205" t="str">
        <f t="shared" si="495"/>
        <v/>
      </c>
      <c r="ED298" s="205">
        <f>IF($J298="",#N/A,SUM(EC$4:EC298))</f>
        <v>6.352220799154269</v>
      </c>
      <c r="EE298" s="205">
        <f>IF($J298="",#N/A,SUM(EC$4:EC298,EA$4:EA298,DY$4:DY298))</f>
        <v>8.7190423528810772</v>
      </c>
      <c r="EF298" s="200" t="str">
        <f t="shared" si="496"/>
        <v/>
      </c>
      <c r="EG298" s="203">
        <f>IF($J298="",#N/A,SUM(EF$4:EF298))</f>
        <v>-0.15098969023521425</v>
      </c>
      <c r="EH298" s="204" t="str">
        <f t="shared" si="497"/>
        <v/>
      </c>
      <c r="EI298" s="204">
        <f>IF($J298="",#N/A,SUM(EH$4:EH298))</f>
        <v>-2.7373393576691663</v>
      </c>
      <c r="EJ298" s="205" t="str">
        <f t="shared" si="498"/>
        <v/>
      </c>
      <c r="EK298" s="205">
        <f>IF($J298="",#N/A,SUM(EJ$4:EJ298))</f>
        <v>5.050388173053765</v>
      </c>
      <c r="EL298" s="205">
        <f>IF($J298="",#N/A,SUM(EJ$4:EJ298,EH$4:EH298,EF$4:EF298))</f>
        <v>2.1620591251493844</v>
      </c>
      <c r="EM298" s="200" t="str">
        <f t="shared" si="499"/>
        <v/>
      </c>
      <c r="EN298" s="203">
        <f>IF($J298="",#N/A,SUM(EM$4:EM298))</f>
        <v>0</v>
      </c>
      <c r="EO298" s="204" t="str">
        <f t="shared" si="500"/>
        <v/>
      </c>
      <c r="EP298" s="204">
        <f>IF($J298="",#N/A,SUM(EO$4:EO298))</f>
        <v>2.0574787067554756</v>
      </c>
      <c r="EQ298" s="205" t="str">
        <f t="shared" si="501"/>
        <v/>
      </c>
      <c r="ER298" s="205">
        <f>IF($J298="",#N/A,SUM(EQ$4:EQ298))</f>
        <v>1.3977486422552698</v>
      </c>
      <c r="ES298" s="205">
        <f>IF($J298="",#N/A,SUM(EQ$4:EQ298,EO$4:EO298,EM$4:EM298))</f>
        <v>3.455227349010745</v>
      </c>
      <c r="ET298" s="200" t="str">
        <f t="shared" si="502"/>
        <v/>
      </c>
      <c r="EU298" s="203">
        <f>IF($J298="",#N/A,SUM(ET$4:ET298))</f>
        <v>0</v>
      </c>
      <c r="EV298" s="204" t="str">
        <f t="shared" si="503"/>
        <v/>
      </c>
      <c r="EW298" s="204">
        <f>IF($J298="",#N/A,SUM(EV$4:EV298))</f>
        <v>2.3297323921502326</v>
      </c>
      <c r="EX298" s="205" t="str">
        <f t="shared" si="504"/>
        <v/>
      </c>
      <c r="EY298" s="205">
        <f>IF($J298="",#N/A,SUM(EX$4:EX298))</f>
        <v>0.27113250180669229</v>
      </c>
      <c r="EZ298" s="205">
        <f>IF($J298="",#N/A,SUM(EX$4:EX298,EV$4:EV298,ET$4:ET298))</f>
        <v>2.6008648939569246</v>
      </c>
      <c r="FA298" s="200" t="str">
        <f t="shared" si="505"/>
        <v/>
      </c>
      <c r="FB298" s="203">
        <f>IF($J298="",#N/A,SUM(FA$4:FA298))</f>
        <v>-0.27145310509113252</v>
      </c>
      <c r="FC298" s="204" t="str">
        <f t="shared" si="506"/>
        <v/>
      </c>
      <c r="FD298" s="204">
        <f>IF($J298="",#N/A,SUM(FC$4:FC298))</f>
        <v>1.204376144197403</v>
      </c>
      <c r="FE298" s="205" t="str">
        <f t="shared" si="507"/>
        <v/>
      </c>
      <c r="FF298" s="205">
        <f>IF($J298="",#N/A,SUM(FE$4:FE298))</f>
        <v>-0.28811149078748233</v>
      </c>
      <c r="FG298" s="205">
        <f>IF($J298="",#N/A,SUM(FE$4:FE298,FC$4:FC298,FA$4:FA298))</f>
        <v>0.64481154831878851</v>
      </c>
      <c r="FH298" s="200" t="str">
        <f t="shared" si="508"/>
        <v/>
      </c>
      <c r="FI298" s="203">
        <f>IF($J298="",#N/A,SUM(FH$4:FH298))</f>
        <v>0</v>
      </c>
      <c r="FJ298" s="204" t="str">
        <f t="shared" si="509"/>
        <v/>
      </c>
      <c r="FK298" s="204">
        <f>IF($J298="",#N/A,SUM(FJ$4:FJ298))</f>
        <v>0</v>
      </c>
      <c r="FL298" s="205" t="str">
        <f t="shared" si="510"/>
        <v/>
      </c>
      <c r="FM298" s="205">
        <f>IF($J298="",#N/A,SUM(FL$4:FL298))</f>
        <v>0</v>
      </c>
      <c r="FN298" s="205">
        <f>IF($J298="",#N/A,SUM(FL$4:FL298,FJ$4:FJ298,FH$4:FH298))</f>
        <v>0</v>
      </c>
      <c r="FO298" s="200" t="str">
        <f t="shared" si="511"/>
        <v/>
      </c>
      <c r="FP298" s="203">
        <f>IF($J298="",#N/A,SUM(FO$4:FO298))</f>
        <v>0</v>
      </c>
      <c r="FQ298" s="204" t="str">
        <f t="shared" si="512"/>
        <v/>
      </c>
      <c r="FR298" s="204">
        <f>IF($J298="",#N/A,SUM(FQ$4:FQ298))</f>
        <v>0</v>
      </c>
      <c r="FS298" s="205" t="str">
        <f t="shared" si="513"/>
        <v/>
      </c>
      <c r="FT298" s="205">
        <f>IF($J298="",#N/A,SUM(FS$4:FS298))</f>
        <v>0</v>
      </c>
      <c r="FU298" s="205">
        <f>IF($J298="",#N/A,SUM(FS$4:FS298,FQ$4:FQ298,FO$4:FO298))</f>
        <v>0</v>
      </c>
      <c r="FV298" s="200" t="str">
        <f t="shared" si="514"/>
        <v/>
      </c>
      <c r="FW298" s="203">
        <f>IF($J298="",#N/A,SUM(FV$4:FV298))</f>
        <v>6.6834991831277585E-2</v>
      </c>
      <c r="FX298" s="204" t="str">
        <f t="shared" si="515"/>
        <v/>
      </c>
      <c r="FY298" s="204">
        <f>IF($J298="",#N/A,SUM(FX$4:FX298))</f>
        <v>-0.16102012791805576</v>
      </c>
      <c r="FZ298" s="205" t="str">
        <f t="shared" si="516"/>
        <v/>
      </c>
      <c r="GA298" s="205">
        <f>IF($J298="",#N/A,SUM(FZ$4:FZ298))</f>
        <v>-0.69624339162892301</v>
      </c>
      <c r="GB298" s="205">
        <f>IF($J298="",#N/A,SUM(FZ$4:FZ298,FX$4:FX298,FV$4:FV298))</f>
        <v>-0.79042852771570116</v>
      </c>
      <c r="GC298" s="200" t="str">
        <f t="shared" si="517"/>
        <v/>
      </c>
      <c r="GD298" s="203">
        <f>IF($J298="",#N/A,SUM(GC$4:GC298))</f>
        <v>0</v>
      </c>
      <c r="GE298" s="204" t="str">
        <f t="shared" si="518"/>
        <v/>
      </c>
      <c r="GF298" s="204">
        <f>IF($J298="",#N/A,SUM(GE$4:GE298))</f>
        <v>0</v>
      </c>
      <c r="GG298" s="205" t="str">
        <f t="shared" si="519"/>
        <v/>
      </c>
      <c r="GH298" s="205">
        <f>IF($J298="",#N/A,SUM(GG$4:GG298))</f>
        <v>-2.9368362277223206</v>
      </c>
      <c r="GI298" s="205">
        <f>IF($J298="",#N/A,SUM(GG$4:GG298,GE$4:GE298,GC$4:GC298))</f>
        <v>-2.9368362277223206</v>
      </c>
      <c r="GJ298" s="200" t="str">
        <f t="shared" si="520"/>
        <v/>
      </c>
      <c r="GK298" s="203">
        <f>IF($J298="",#N/A,SUM(GJ$4:GJ298))</f>
        <v>0</v>
      </c>
      <c r="GL298" s="204" t="str">
        <f t="shared" si="521"/>
        <v/>
      </c>
      <c r="GM298" s="204">
        <f>IF($J298="",#N/A,SUM(GL$4:GL298))</f>
        <v>-1.6833790887309608</v>
      </c>
      <c r="GN298" s="205" t="str">
        <f t="shared" si="522"/>
        <v/>
      </c>
      <c r="GO298" s="205">
        <f>IF($J298="",#N/A,SUM(GN$4:GN298))</f>
        <v>0</v>
      </c>
      <c r="GP298" s="205">
        <f>IF($J298="",#N/A,SUM(GN$4:GN298,GL$4:GL298,GJ$4:GJ298))</f>
        <v>-1.6833790887309608</v>
      </c>
      <c r="GS298" s="54">
        <f t="shared" si="541"/>
        <v>-1.8534591877328126</v>
      </c>
      <c r="GT298" s="54">
        <f>IF(GS298="",NA(),SUM($GS$4:GS298))</f>
        <v>7.7129252280701097</v>
      </c>
      <c r="GU298" s="54" t="str">
        <f t="shared" si="523"/>
        <v/>
      </c>
      <c r="GV298" s="54" t="e">
        <f>IF(GU298="",NA(),SUM($GU$4:GU298))</f>
        <v>#N/A</v>
      </c>
      <c r="GW298" s="54" t="str">
        <f t="shared" si="524"/>
        <v/>
      </c>
      <c r="GX298" s="54" t="e">
        <f>IF(GW298="",NA(),SUM($GW$4:GW298))</f>
        <v>#N/A</v>
      </c>
      <c r="GY298" s="54">
        <f t="shared" si="525"/>
        <v>-1.8534591877328126</v>
      </c>
      <c r="GZ298" s="54">
        <f>IF(GY298="",NA(),SUM($GY$4:GY298))</f>
        <v>7.2710130960080308</v>
      </c>
      <c r="HA298" s="54" t="str">
        <f t="shared" si="526"/>
        <v/>
      </c>
      <c r="HB298" s="54" t="e">
        <f>IF(HA298="",NA(),SUM($HA$4:HA298))</f>
        <v>#N/A</v>
      </c>
      <c r="HC298" s="54" t="str">
        <f t="shared" si="527"/>
        <v/>
      </c>
      <c r="HD298" s="54" t="e">
        <f>IF(HC298="",NA(),SUM($HC$4:HC298))</f>
        <v>#N/A</v>
      </c>
      <c r="HE298" s="54" t="str">
        <f t="shared" si="528"/>
        <v/>
      </c>
      <c r="HF298" s="54" t="e">
        <f>IF(HE298="",NA(),SUM($HE$4:HE298))</f>
        <v>#N/A</v>
      </c>
      <c r="HG298" s="54" t="str">
        <f t="shared" si="529"/>
        <v/>
      </c>
      <c r="HH298" s="54" t="e">
        <f>IF(HG298="",NA(),SUM($HG$4:HG298))</f>
        <v>#N/A</v>
      </c>
      <c r="HI298" s="172" t="str">
        <f t="shared" si="542"/>
        <v/>
      </c>
      <c r="HJ298" s="172">
        <f>IF($J298="",#N/A,SUM(HI$4:$HI298))</f>
        <v>-7.7357960158937757</v>
      </c>
      <c r="HK298" s="54">
        <f t="shared" si="530"/>
        <v>5.9672344580665726E-2</v>
      </c>
      <c r="HL298" s="54">
        <f>IF($J298="",#N/A,SUM($HK$4:HK298))</f>
        <v>-8.5438598343053118E-2</v>
      </c>
      <c r="HM298" s="54" t="str">
        <f t="shared" si="531"/>
        <v/>
      </c>
      <c r="HN298" s="54">
        <f>IF($J298="",#N/A,SUM($HM$4:HM298))</f>
        <v>0.6871920272168337</v>
      </c>
      <c r="HO298" s="54" t="str">
        <f t="shared" si="532"/>
        <v/>
      </c>
      <c r="HP298" s="54">
        <f>IF($J298="",#N/A,SUM($HO$4:HO298))</f>
        <v>-0.81760139535563114</v>
      </c>
      <c r="HQ298" s="54" t="str">
        <f t="shared" si="533"/>
        <v/>
      </c>
      <c r="HR298" s="54">
        <f>IF($J298="",#N/A,SUM($HQ$4:HQ298))</f>
        <v>-15.589576757744322</v>
      </c>
      <c r="HS298" s="54" t="str">
        <f t="shared" si="534"/>
        <v/>
      </c>
      <c r="HT298" s="54">
        <f>IF($J298="",#N/A,SUM($HS$4:HS298))</f>
        <v>15.486812150209897</v>
      </c>
      <c r="HU298" s="65">
        <f t="shared" si="535"/>
        <v>-1.7937868431521469</v>
      </c>
      <c r="HV298" s="65">
        <f>IF($J298="",#N/A,SUM(HU$4:$HU298))</f>
        <v>3.0768874676676008</v>
      </c>
    </row>
    <row r="299" spans="1:230" x14ac:dyDescent="0.25">
      <c r="A299" s="51" t="s">
        <v>1317</v>
      </c>
      <c r="B299" s="52" t="s">
        <v>4596</v>
      </c>
      <c r="C299" s="229">
        <f t="shared" si="436"/>
        <v>1</v>
      </c>
      <c r="D299" s="219" t="str">
        <f>_xlfn.XLOOKUP(A299,[1]SP500!$A$2:$A$502,[1]SP500!$D$2:$D$502,"N")</f>
        <v>Y</v>
      </c>
      <c r="E299" s="51" t="str">
        <f>IFERROR(_xlfn.XLOOKUP(A299,[1]SP500!$A$2:$A$655,[1]SP500!$B$2:$B$655),"")</f>
        <v>XLI</v>
      </c>
      <c r="F299" s="290">
        <v>45784</v>
      </c>
      <c r="G299" s="51" t="str">
        <f t="shared" si="437"/>
        <v>BMO</v>
      </c>
      <c r="H299" s="51" t="str">
        <f t="shared" si="438"/>
        <v>o</v>
      </c>
      <c r="I299" s="344">
        <v>85.83</v>
      </c>
      <c r="J299" s="124">
        <v>83.13</v>
      </c>
      <c r="K299" s="55">
        <f t="shared" si="439"/>
        <v>-3.1457532331352706E-2</v>
      </c>
      <c r="L299" s="67">
        <f t="shared" si="440"/>
        <v>35.099999999999909</v>
      </c>
      <c r="M299" s="57">
        <f t="shared" si="441"/>
        <v>-3.5099999999999909</v>
      </c>
      <c r="N299" s="102">
        <f t="shared" si="442"/>
        <v>-35.099999999999909</v>
      </c>
      <c r="O299" s="57">
        <f>IF(N299="",#N/A,SUM($N$4:N299))</f>
        <v>430.59575430328061</v>
      </c>
      <c r="P299" s="65">
        <f t="shared" si="536"/>
        <v>-0.52429220552254319</v>
      </c>
      <c r="Q299" s="172">
        <f>IF($N299="",#N/A,SUM($P$4:P299))</f>
        <v>10.60700385205512</v>
      </c>
      <c r="R299" s="279">
        <f t="shared" si="443"/>
        <v>0.82308166674484795</v>
      </c>
      <c r="S299" s="51" t="str">
        <f t="shared" si="444"/>
        <v>Up</v>
      </c>
      <c r="T299" s="51" t="s">
        <v>4461</v>
      </c>
      <c r="U299" s="56">
        <f t="shared" si="445"/>
        <v>85.83</v>
      </c>
      <c r="V299" s="56" t="s">
        <v>4458</v>
      </c>
      <c r="W299" s="142">
        <v>13</v>
      </c>
      <c r="X299" s="145">
        <f t="shared" si="446"/>
        <v>1115.79</v>
      </c>
      <c r="Y299" s="140">
        <f t="shared" si="447"/>
        <v>13</v>
      </c>
      <c r="Z299" s="123">
        <v>83.4</v>
      </c>
      <c r="AA299" s="102">
        <f t="shared" si="448"/>
        <v>31.589999999999918</v>
      </c>
      <c r="AB299" s="102">
        <f t="shared" si="449"/>
        <v>28.339999999999918</v>
      </c>
      <c r="AC299" s="124">
        <v>83.65</v>
      </c>
      <c r="AD299" s="155">
        <f t="shared" si="450"/>
        <v>-28.339999999999918</v>
      </c>
      <c r="AE299" s="545">
        <f t="shared" si="451"/>
        <v>-0.42331741038486809</v>
      </c>
      <c r="AF299" s="57">
        <f>IF($AC299="",#N/A,SUM(AD$4:AD299))</f>
        <v>43.04980422776805</v>
      </c>
      <c r="AG299" s="102">
        <f t="shared" si="452"/>
        <v>6.7599999999999909</v>
      </c>
      <c r="AH299" s="56" t="s">
        <v>2507</v>
      </c>
      <c r="AI299" s="65">
        <f t="shared" si="453"/>
        <v>0.47186298497028889</v>
      </c>
      <c r="AJ299" s="65">
        <f>IF(AI299="",#N/A,SUM($AI$4:AI299))</f>
        <v>9.7839221853102725</v>
      </c>
      <c r="AK299" s="57">
        <f t="shared" si="454"/>
        <v>31.589999999999918</v>
      </c>
      <c r="AL299" s="66">
        <f>IF(AI299="",#N/A,IF(AH299="Skip",SUM($AK$4:AK299),SUM($AK$4:AK299)))</f>
        <v>371.79759149281426</v>
      </c>
      <c r="AM299" s="65">
        <f t="shared" si="537"/>
        <v>-0.42331741038486809</v>
      </c>
      <c r="AN299" s="210"/>
      <c r="AO299" s="65" t="str">
        <f t="shared" si="455"/>
        <v/>
      </c>
      <c r="AP299" s="65">
        <f>IF($AC299="",#N/A,SUM(AO$4:AO299))</f>
        <v>4.1819327430066817</v>
      </c>
      <c r="AQ299" s="65">
        <f t="shared" si="456"/>
        <v>-0.42331741038486809</v>
      </c>
      <c r="AR299" s="65">
        <f>IF($AC299="",#N/A,SUM(AQ$4:AQ299))</f>
        <v>-5.9346528860976973</v>
      </c>
      <c r="AS299" s="65" t="str">
        <f t="shared" si="457"/>
        <v/>
      </c>
      <c r="AT299" s="65">
        <f>IF($AC299="",#N/A,SUM(AS$4:AS299))</f>
        <v>4.4062902003737472</v>
      </c>
      <c r="AU299" s="57" t="str">
        <f t="shared" si="538"/>
        <v/>
      </c>
      <c r="AV299" s="57">
        <f>IF($AC299="",#N/A,SUM(AU$4:AU299))</f>
        <v>148.00249066104664</v>
      </c>
      <c r="AW299" s="57">
        <f t="shared" si="539"/>
        <v>-28.339999999999918</v>
      </c>
      <c r="AX299" s="57">
        <f>IF($AC299="",#N/A,SUM(AW$4:AW299))</f>
        <v>-394.76106797961097</v>
      </c>
      <c r="AY299" s="57" t="str">
        <f t="shared" si="540"/>
        <v/>
      </c>
      <c r="AZ299" s="57">
        <f>IF($AC299="",#N/A,SUM(AY$4:AY299))</f>
        <v>289.80838154633238</v>
      </c>
      <c r="BA299" s="57">
        <f>IF(AD299="",#N/A,SUM($AD$4:AD299))</f>
        <v>43.04980422776805</v>
      </c>
      <c r="BC299" s="51" t="str">
        <f t="shared" si="458"/>
        <v/>
      </c>
      <c r="BD299" s="51" t="str">
        <f t="shared" si="459"/>
        <v/>
      </c>
      <c r="BE299" s="51" t="str">
        <f t="shared" si="460"/>
        <v/>
      </c>
      <c r="BF299" s="51" t="str">
        <f t="shared" si="461"/>
        <v>Long</v>
      </c>
      <c r="BG299" s="51" t="str">
        <f t="shared" si="462"/>
        <v/>
      </c>
      <c r="BH299" s="51">
        <f t="shared" si="463"/>
        <v>1</v>
      </c>
      <c r="BI299" s="51" t="str">
        <f t="shared" si="464"/>
        <v/>
      </c>
      <c r="BK299" s="65">
        <f t="shared" si="435"/>
        <v>-0.11742384481501428</v>
      </c>
      <c r="BL299" s="65">
        <f t="shared" si="543"/>
        <v>-0.15588314857300445</v>
      </c>
      <c r="BM299" s="65">
        <f>IFERROR(Q299/COUNTA($J$4:J299),#N/A)</f>
        <v>3.5834472473159192E-2</v>
      </c>
      <c r="BO299" s="489" t="e">
        <f>IF(J299="",#N/A,IF(S299="SW",(COUNTIFS(K$4:$K299,"&gt;0",S$4:$S299,"SW")/COUNTIF(S$4:$S299,"SW")),#N/A))</f>
        <v>#N/A</v>
      </c>
      <c r="BP299" s="489" t="e">
        <f>IF($J299="",#N/A,IF($S299="DWN",(COUNTIFS($K$4:$K299,"&lt;0",$S$4:$S299,"DWN")/COUNTIF($S$4:$S299,"DWN")),#N/A))</f>
        <v>#N/A</v>
      </c>
      <c r="BQ299" s="489">
        <f>IF($J299="",#N/A,IF($S299="UP",(COUNTIFS($K$4:$K299,"&gt;0",$S$4:$S299,"UP")/COUNTIF($S$4:$S299,"UP")),#N/A))</f>
        <v>0.31578947368421051</v>
      </c>
      <c r="BR299" s="489">
        <f>IF(J299="",#N/A,COUNTIF($K$4:K299,"&gt;0")/COUNT($J$4:J299))</f>
        <v>0.44932432432432434</v>
      </c>
      <c r="BS299" s="65" t="str">
        <f t="shared" si="465"/>
        <v/>
      </c>
      <c r="BT299" s="65" t="str">
        <f t="shared" si="466"/>
        <v/>
      </c>
      <c r="BU299" s="65">
        <f t="shared" si="467"/>
        <v>-0.52429220552254319</v>
      </c>
      <c r="BV299" s="65" t="str">
        <f t="shared" si="468"/>
        <v/>
      </c>
      <c r="BW299" s="128">
        <f t="shared" si="469"/>
        <v>-35.099999999999909</v>
      </c>
      <c r="BX299" s="128">
        <f>IF($J299="",#N/A,SUM($BW$4:BW299))</f>
        <v>-390.69317034792857</v>
      </c>
      <c r="BY299" s="131" t="str">
        <f t="shared" si="470"/>
        <v/>
      </c>
      <c r="BZ299" s="131">
        <f>IF($J299="",#N/A,SUM($BY$4:BY299))</f>
        <v>698.32734038933393</v>
      </c>
      <c r="CA299" s="133" t="str">
        <f t="shared" si="471"/>
        <v/>
      </c>
      <c r="CB299" s="133">
        <f>IF($J299="",#N/A,SUM($CA$4:CA299))</f>
        <v>122.96158426187526</v>
      </c>
      <c r="CC299" s="194">
        <f t="shared" si="472"/>
        <v>-0.52429220552254319</v>
      </c>
      <c r="CD299" s="194">
        <f>IF($J299="",#N/A,SUM($CC$4:CC299))</f>
        <v>-5.9052183130965723</v>
      </c>
      <c r="CE299" s="195" t="str">
        <f t="shared" si="473"/>
        <v/>
      </c>
      <c r="CF299" s="195">
        <f>IF($J299="",#N/A,SUM($CE$4:CE299))</f>
        <v>12.227524814610586</v>
      </c>
      <c r="CG299" s="196" t="str">
        <f t="shared" si="474"/>
        <v/>
      </c>
      <c r="CH299" s="196">
        <f>IF($J299="",#N/A,SUM($CG$4:CG299))</f>
        <v>4.2846973505411121</v>
      </c>
      <c r="CI299" s="200" t="str">
        <f t="shared" si="475"/>
        <v/>
      </c>
      <c r="CJ299" s="203">
        <f>IF($J299="",#N/A,SUM(CI$4:CI299))</f>
        <v>0</v>
      </c>
      <c r="CK299" s="204" t="str">
        <f t="shared" si="476"/>
        <v/>
      </c>
      <c r="CL299" s="204">
        <f>IF($J299="",#N/A,SUM(CK$4:CK299))</f>
        <v>2.4085740385592547</v>
      </c>
      <c r="CM299" s="205" t="str">
        <f t="shared" si="477"/>
        <v/>
      </c>
      <c r="CN299" s="205">
        <f>IF($J299="",#N/A,SUM(CM$4:CM299))</f>
        <v>1.6152444684298783</v>
      </c>
      <c r="CO299" s="205">
        <f>IF($J299="",#N/A,SUM(CM$4:CM299,CK$4:CK299,CI$4:CI299))</f>
        <v>4.0238185069891328</v>
      </c>
      <c r="CP299" s="200" t="str">
        <f t="shared" si="478"/>
        <v/>
      </c>
      <c r="CQ299" s="203">
        <f>IF($J299="",#N/A,SUM(CP$4:CP299))</f>
        <v>-1.1156319314882757</v>
      </c>
      <c r="CR299" s="204" t="str">
        <f t="shared" si="479"/>
        <v/>
      </c>
      <c r="CS299" s="204">
        <f>IF($J299="",#N/A,SUM(CR$4:CR299))</f>
        <v>2.3600225017004668</v>
      </c>
      <c r="CT299" s="205" t="str">
        <f t="shared" si="480"/>
        <v/>
      </c>
      <c r="CU299" s="205">
        <f>IF($J299="",#N/A,SUM(CT$4:CT299))</f>
        <v>-2.9040943753548785</v>
      </c>
      <c r="CV299" s="205">
        <f>IF($J299="",#N/A,SUM(CT$4:CT299,CR$4:CR299,CP$4:CP299))</f>
        <v>-1.6597038051426876</v>
      </c>
      <c r="CW299" s="200" t="str">
        <f t="shared" si="481"/>
        <v/>
      </c>
      <c r="CX299" s="203">
        <f>IF($J299="",#N/A,SUM(CW$4:CW299))</f>
        <v>-1.2839616145397621</v>
      </c>
      <c r="CY299" s="204" t="str">
        <f t="shared" si="482"/>
        <v/>
      </c>
      <c r="CZ299" s="204">
        <f>IF($J299="",#N/A,SUM(CY$4:CY299))</f>
        <v>0.37351298702481961</v>
      </c>
      <c r="DA299" s="205" t="str">
        <f t="shared" si="483"/>
        <v/>
      </c>
      <c r="DB299" s="205">
        <f>IF($J299="",#N/A,SUM(DA$4:DA299))</f>
        <v>-1.1581788995104692</v>
      </c>
      <c r="DC299" s="205">
        <f>IF($J299="",#N/A,SUM(DA$4:DA299,CY$4:CY299,CW$4:CW299))</f>
        <v>-2.068627527025412</v>
      </c>
      <c r="DD299" s="200" t="str">
        <f t="shared" si="484"/>
        <v/>
      </c>
      <c r="DE299" s="203">
        <f>IF($J299="",#N/A,SUM(DD$4:DD299))</f>
        <v>0.24769343410817113</v>
      </c>
      <c r="DF299" s="204" t="str">
        <f t="shared" si="485"/>
        <v/>
      </c>
      <c r="DG299" s="204">
        <f>IF($J299="",#N/A,SUM(DF$4:DF299))</f>
        <v>1.3104003890080136</v>
      </c>
      <c r="DH299" s="205" t="str">
        <f t="shared" si="486"/>
        <v/>
      </c>
      <c r="DI299" s="205">
        <f>IF($J299="",#N/A,SUM(DH$4:DH299))</f>
        <v>-2.7812008102163399</v>
      </c>
      <c r="DJ299" s="205">
        <f>IF($J299="",#N/A,SUM(DH$4:DH299,DF$4:DF299,DD$4:DD299))</f>
        <v>-1.2231069871001554</v>
      </c>
      <c r="DK299" s="200" t="str">
        <f t="shared" si="487"/>
        <v/>
      </c>
      <c r="DL299" s="203">
        <f>IF($J299="",#N/A,SUM(DK$4:DK299))</f>
        <v>-1.2097286851272664</v>
      </c>
      <c r="DM299" s="204" t="str">
        <f t="shared" si="488"/>
        <v/>
      </c>
      <c r="DN299" s="204">
        <f>IF($J299="",#N/A,SUM(DM$4:DM299))</f>
        <v>1.1747256665753205</v>
      </c>
      <c r="DO299" s="205" t="str">
        <f t="shared" si="489"/>
        <v/>
      </c>
      <c r="DP299" s="205">
        <f>IF($J299="",#N/A,SUM(DO$4:DO299))</f>
        <v>2.700331529683047</v>
      </c>
      <c r="DQ299" s="205">
        <f>IF($J299="",#N/A,SUM(DO$4:DO299,DM$4:DM299,DK$4:DK299))</f>
        <v>2.6653285111311016</v>
      </c>
      <c r="DR299" s="200" t="str">
        <f t="shared" si="490"/>
        <v/>
      </c>
      <c r="DS299" s="203">
        <f>IF($J299="",#N/A,SUM(DR$4:DR299))</f>
        <v>-0.55950946427675097</v>
      </c>
      <c r="DT299" s="204" t="str">
        <f t="shared" si="491"/>
        <v/>
      </c>
      <c r="DU299" s="204">
        <f>IF($J299="",#N/A,SUM(DT$4:DT299))</f>
        <v>-0.20750635820596686</v>
      </c>
      <c r="DV299" s="205" t="str">
        <f t="shared" si="492"/>
        <v/>
      </c>
      <c r="DW299" s="205">
        <f>IF($J299="",#N/A,SUM(DV$4:DV299))</f>
        <v>-2.3377035686214001</v>
      </c>
      <c r="DX299" s="205">
        <f>IF($J299="",#N/A,SUM(DV$4:DV299,DT$4:DT299,DR$4:DR299))</f>
        <v>-3.1047193911041169</v>
      </c>
      <c r="DY299" s="200">
        <f t="shared" si="493"/>
        <v>-0.52429220552254319</v>
      </c>
      <c r="DZ299" s="203">
        <f>IF($J299="",#N/A,SUM(DY$4:DY299))</f>
        <v>-1.6284722482776204</v>
      </c>
      <c r="EA299" s="204" t="str">
        <f t="shared" si="494"/>
        <v/>
      </c>
      <c r="EB299" s="204">
        <f>IF($J299="",#N/A,SUM(EA$4:EA299))</f>
        <v>3.4710015964818837</v>
      </c>
      <c r="EC299" s="205" t="str">
        <f t="shared" si="495"/>
        <v/>
      </c>
      <c r="ED299" s="205">
        <f>IF($J299="",#N/A,SUM(EC$4:EC299))</f>
        <v>6.352220799154269</v>
      </c>
      <c r="EE299" s="205">
        <f>IF($J299="",#N/A,SUM(EC$4:EC299,EA$4:EA299,DY$4:DY299))</f>
        <v>8.1947501473585334</v>
      </c>
      <c r="EF299" s="200" t="str">
        <f t="shared" si="496"/>
        <v/>
      </c>
      <c r="EG299" s="203">
        <f>IF($J299="",#N/A,SUM(EF$4:EF299))</f>
        <v>-0.15098969023521425</v>
      </c>
      <c r="EH299" s="204" t="str">
        <f t="shared" si="497"/>
        <v/>
      </c>
      <c r="EI299" s="204">
        <f>IF($J299="",#N/A,SUM(EH$4:EH299))</f>
        <v>-2.7373393576691663</v>
      </c>
      <c r="EJ299" s="205" t="str">
        <f t="shared" si="498"/>
        <v/>
      </c>
      <c r="EK299" s="205">
        <f>IF($J299="",#N/A,SUM(EJ$4:EJ299))</f>
        <v>5.050388173053765</v>
      </c>
      <c r="EL299" s="205">
        <f>IF($J299="",#N/A,SUM(EJ$4:EJ299,EH$4:EH299,EF$4:EF299))</f>
        <v>2.1620591251493844</v>
      </c>
      <c r="EM299" s="200" t="str">
        <f t="shared" si="499"/>
        <v/>
      </c>
      <c r="EN299" s="203">
        <f>IF($J299="",#N/A,SUM(EM$4:EM299))</f>
        <v>0</v>
      </c>
      <c r="EO299" s="204" t="str">
        <f t="shared" si="500"/>
        <v/>
      </c>
      <c r="EP299" s="204">
        <f>IF($J299="",#N/A,SUM(EO$4:EO299))</f>
        <v>2.0574787067554756</v>
      </c>
      <c r="EQ299" s="205" t="str">
        <f t="shared" si="501"/>
        <v/>
      </c>
      <c r="ER299" s="205">
        <f>IF($J299="",#N/A,SUM(EQ$4:EQ299))</f>
        <v>1.3977486422552698</v>
      </c>
      <c r="ES299" s="205">
        <f>IF($J299="",#N/A,SUM(EQ$4:EQ299,EO$4:EO299,EM$4:EM299))</f>
        <v>3.455227349010745</v>
      </c>
      <c r="ET299" s="200" t="str">
        <f t="shared" si="502"/>
        <v/>
      </c>
      <c r="EU299" s="203">
        <f>IF($J299="",#N/A,SUM(ET$4:ET299))</f>
        <v>0</v>
      </c>
      <c r="EV299" s="204" t="str">
        <f t="shared" si="503"/>
        <v/>
      </c>
      <c r="EW299" s="204">
        <f>IF($J299="",#N/A,SUM(EV$4:EV299))</f>
        <v>2.3297323921502326</v>
      </c>
      <c r="EX299" s="205" t="str">
        <f t="shared" si="504"/>
        <v/>
      </c>
      <c r="EY299" s="205">
        <f>IF($J299="",#N/A,SUM(EX$4:EX299))</f>
        <v>0.27113250180669229</v>
      </c>
      <c r="EZ299" s="205">
        <f>IF($J299="",#N/A,SUM(EX$4:EX299,EV$4:EV299,ET$4:ET299))</f>
        <v>2.6008648939569246</v>
      </c>
      <c r="FA299" s="200" t="str">
        <f t="shared" si="505"/>
        <v/>
      </c>
      <c r="FB299" s="203">
        <f>IF($J299="",#N/A,SUM(FA$4:FA299))</f>
        <v>-0.27145310509113252</v>
      </c>
      <c r="FC299" s="204" t="str">
        <f t="shared" si="506"/>
        <v/>
      </c>
      <c r="FD299" s="204">
        <f>IF($J299="",#N/A,SUM(FC$4:FC299))</f>
        <v>1.204376144197403</v>
      </c>
      <c r="FE299" s="205" t="str">
        <f t="shared" si="507"/>
        <v/>
      </c>
      <c r="FF299" s="205">
        <f>IF($J299="",#N/A,SUM(FE$4:FE299))</f>
        <v>-0.28811149078748233</v>
      </c>
      <c r="FG299" s="205">
        <f>IF($J299="",#N/A,SUM(FE$4:FE299,FC$4:FC299,FA$4:FA299))</f>
        <v>0.64481154831878851</v>
      </c>
      <c r="FH299" s="200" t="str">
        <f t="shared" si="508"/>
        <v/>
      </c>
      <c r="FI299" s="203">
        <f>IF($J299="",#N/A,SUM(FH$4:FH299))</f>
        <v>0</v>
      </c>
      <c r="FJ299" s="204" t="str">
        <f t="shared" si="509"/>
        <v/>
      </c>
      <c r="FK299" s="204">
        <f>IF($J299="",#N/A,SUM(FJ$4:FJ299))</f>
        <v>0</v>
      </c>
      <c r="FL299" s="205" t="str">
        <f t="shared" si="510"/>
        <v/>
      </c>
      <c r="FM299" s="205">
        <f>IF($J299="",#N/A,SUM(FL$4:FL299))</f>
        <v>0</v>
      </c>
      <c r="FN299" s="205">
        <f>IF($J299="",#N/A,SUM(FL$4:FL299,FJ$4:FJ299,FH$4:FH299))</f>
        <v>0</v>
      </c>
      <c r="FO299" s="200" t="str">
        <f t="shared" si="511"/>
        <v/>
      </c>
      <c r="FP299" s="203">
        <f>IF($J299="",#N/A,SUM(FO$4:FO299))</f>
        <v>0</v>
      </c>
      <c r="FQ299" s="204" t="str">
        <f t="shared" si="512"/>
        <v/>
      </c>
      <c r="FR299" s="204">
        <f>IF($J299="",#N/A,SUM(FQ$4:FQ299))</f>
        <v>0</v>
      </c>
      <c r="FS299" s="205" t="str">
        <f t="shared" si="513"/>
        <v/>
      </c>
      <c r="FT299" s="205">
        <f>IF($J299="",#N/A,SUM(FS$4:FS299))</f>
        <v>0</v>
      </c>
      <c r="FU299" s="205">
        <f>IF($J299="",#N/A,SUM(FS$4:FS299,FQ$4:FQ299,FO$4:FO299))</f>
        <v>0</v>
      </c>
      <c r="FV299" s="200" t="str">
        <f t="shared" si="514"/>
        <v/>
      </c>
      <c r="FW299" s="203">
        <f>IF($J299="",#N/A,SUM(FV$4:FV299))</f>
        <v>6.6834991831277585E-2</v>
      </c>
      <c r="FX299" s="204" t="str">
        <f t="shared" si="515"/>
        <v/>
      </c>
      <c r="FY299" s="204">
        <f>IF($J299="",#N/A,SUM(FX$4:FX299))</f>
        <v>-0.16102012791805576</v>
      </c>
      <c r="FZ299" s="205" t="str">
        <f t="shared" si="516"/>
        <v/>
      </c>
      <c r="GA299" s="205">
        <f>IF($J299="",#N/A,SUM(FZ$4:FZ299))</f>
        <v>-0.69624339162892301</v>
      </c>
      <c r="GB299" s="205">
        <f>IF($J299="",#N/A,SUM(FZ$4:FZ299,FX$4:FX299,FV$4:FV299))</f>
        <v>-0.79042852771570116</v>
      </c>
      <c r="GC299" s="200" t="str">
        <f t="shared" si="517"/>
        <v/>
      </c>
      <c r="GD299" s="203">
        <f>IF($J299="",#N/A,SUM(GC$4:GC299))</f>
        <v>0</v>
      </c>
      <c r="GE299" s="204" t="str">
        <f t="shared" si="518"/>
        <v/>
      </c>
      <c r="GF299" s="204">
        <f>IF($J299="",#N/A,SUM(GE$4:GE299))</f>
        <v>0</v>
      </c>
      <c r="GG299" s="205" t="str">
        <f t="shared" si="519"/>
        <v/>
      </c>
      <c r="GH299" s="205">
        <f>IF($J299="",#N/A,SUM(GG$4:GG299))</f>
        <v>-2.9368362277223206</v>
      </c>
      <c r="GI299" s="205">
        <f>IF($J299="",#N/A,SUM(GG$4:GG299,GE$4:GE299,GC$4:GC299))</f>
        <v>-2.9368362277223206</v>
      </c>
      <c r="GJ299" s="200" t="str">
        <f t="shared" si="520"/>
        <v/>
      </c>
      <c r="GK299" s="203">
        <f>IF($J299="",#N/A,SUM(GJ$4:GJ299))</f>
        <v>0</v>
      </c>
      <c r="GL299" s="204" t="str">
        <f t="shared" si="521"/>
        <v/>
      </c>
      <c r="GM299" s="204">
        <f>IF($J299="",#N/A,SUM(GL$4:GL299))</f>
        <v>-1.6833790887309608</v>
      </c>
      <c r="GN299" s="205" t="str">
        <f t="shared" si="522"/>
        <v/>
      </c>
      <c r="GO299" s="205">
        <f>IF($J299="",#N/A,SUM(GN$4:GN299))</f>
        <v>0</v>
      </c>
      <c r="GP299" s="205">
        <f>IF($J299="",#N/A,SUM(GN$4:GN299,GL$4:GL299,GJ$4:GJ299))</f>
        <v>-1.6833790887309608</v>
      </c>
      <c r="GS299" s="54">
        <f t="shared" si="541"/>
        <v>-0.52429220552254319</v>
      </c>
      <c r="GT299" s="54">
        <f>IF(GS299="",NA(),SUM($GS$4:GS299))</f>
        <v>7.1886330225475668</v>
      </c>
      <c r="GU299" s="54">
        <f t="shared" si="523"/>
        <v>-0.52429220552254319</v>
      </c>
      <c r="GV299" s="54">
        <f>IF(GU299="",NA(),SUM($GU$4:GU299))</f>
        <v>-5.9052183130965723</v>
      </c>
      <c r="GW299" s="54" t="str">
        <f t="shared" si="524"/>
        <v/>
      </c>
      <c r="GX299" s="54" t="e">
        <f>IF(GW299="",NA(),SUM($GW$4:GW299))</f>
        <v>#N/A</v>
      </c>
      <c r="GY299" s="54" t="str">
        <f t="shared" si="525"/>
        <v/>
      </c>
      <c r="GZ299" s="54" t="e">
        <f>IF(GY299="",NA(),SUM($GY$4:GY299))</f>
        <v>#N/A</v>
      </c>
      <c r="HA299" s="54" t="str">
        <f t="shared" si="526"/>
        <v/>
      </c>
      <c r="HB299" s="54" t="e">
        <f>IF(HA299="",NA(),SUM($HA$4:HA299))</f>
        <v>#N/A</v>
      </c>
      <c r="HC299" s="54" t="str">
        <f t="shared" si="527"/>
        <v/>
      </c>
      <c r="HD299" s="54" t="e">
        <f>IF(HC299="",NA(),SUM($HC$4:HC299))</f>
        <v>#N/A</v>
      </c>
      <c r="HE299" s="54" t="str">
        <f t="shared" si="528"/>
        <v/>
      </c>
      <c r="HF299" s="54" t="e">
        <f>IF(HE299="",NA(),SUM($HE$4:HE299))</f>
        <v>#N/A</v>
      </c>
      <c r="HG299" s="54" t="str">
        <f t="shared" si="529"/>
        <v/>
      </c>
      <c r="HH299" s="54" t="e">
        <f>IF(HG299="",NA(),SUM($HG$4:HG299))</f>
        <v>#N/A</v>
      </c>
      <c r="HI299" s="172" t="str">
        <f t="shared" si="542"/>
        <v/>
      </c>
      <c r="HJ299" s="172">
        <f>IF($J299="",#N/A,SUM(HI$4:$HI299))</f>
        <v>-7.7357960158937757</v>
      </c>
      <c r="HK299" s="54" t="str">
        <f t="shared" si="530"/>
        <v/>
      </c>
      <c r="HL299" s="54">
        <f>IF($J299="",#N/A,SUM($HK$4:HK299))</f>
        <v>-8.5438598343053118E-2</v>
      </c>
      <c r="HM299" s="54" t="str">
        <f t="shared" si="531"/>
        <v/>
      </c>
      <c r="HN299" s="54">
        <f>IF($J299="",#N/A,SUM($HM$4:HM299))</f>
        <v>0.6871920272168337</v>
      </c>
      <c r="HO299" s="54">
        <f t="shared" si="532"/>
        <v>0.1009747951376751</v>
      </c>
      <c r="HP299" s="54">
        <f>IF($J299="",#N/A,SUM($HO$4:HO299))</f>
        <v>-0.71662660021795599</v>
      </c>
      <c r="HQ299" s="54" t="str">
        <f t="shared" si="533"/>
        <v/>
      </c>
      <c r="HR299" s="54">
        <f>IF($J299="",#N/A,SUM($HQ$4:HQ299))</f>
        <v>-15.589576757744322</v>
      </c>
      <c r="HS299" s="54" t="str">
        <f t="shared" si="534"/>
        <v/>
      </c>
      <c r="HT299" s="54">
        <f>IF($J299="",#N/A,SUM($HS$4:HS299))</f>
        <v>15.486812150209897</v>
      </c>
      <c r="HU299" s="65">
        <f t="shared" si="535"/>
        <v>-0.42331741038486809</v>
      </c>
      <c r="HV299" s="65">
        <f>IF($J299="",#N/A,SUM(HU$4:$HU299))</f>
        <v>2.6535700572827325</v>
      </c>
    </row>
    <row r="300" spans="1:230" x14ac:dyDescent="0.25">
      <c r="A300" s="51" t="s">
        <v>176</v>
      </c>
      <c r="B300" s="52" t="s">
        <v>4596</v>
      </c>
      <c r="C300" s="229">
        <f t="shared" si="436"/>
        <v>2</v>
      </c>
      <c r="D300" s="219" t="str">
        <f>_xlfn.XLOOKUP(A300,[1]SP500!$A$2:$A$502,[1]SP500!$D$2:$D$502,"N")</f>
        <v>Y</v>
      </c>
      <c r="E300" s="51" t="str">
        <f>IFERROR(_xlfn.XLOOKUP(A300,[1]SP500!$A$2:$A$655,[1]SP500!$B$2:$B$655),"")</f>
        <v>XLI</v>
      </c>
      <c r="F300" s="290">
        <v>45784</v>
      </c>
      <c r="G300" s="51" t="str">
        <f t="shared" si="437"/>
        <v>BMO</v>
      </c>
      <c r="H300" s="51" t="str">
        <f t="shared" si="438"/>
        <v>s</v>
      </c>
      <c r="I300" s="344">
        <v>107.27</v>
      </c>
      <c r="J300" s="124">
        <v>114.96</v>
      </c>
      <c r="K300" s="55">
        <f t="shared" si="439"/>
        <v>7.1688263260930349E-2</v>
      </c>
      <c r="L300" s="67">
        <f t="shared" si="440"/>
        <v>-84.589999999999918</v>
      </c>
      <c r="M300" s="57">
        <f t="shared" si="441"/>
        <v>-0.44000000000005457</v>
      </c>
      <c r="N300" s="102">
        <f t="shared" si="442"/>
        <v>-84.589999999999918</v>
      </c>
      <c r="O300" s="57">
        <f>IF(N300="",#N/A,SUM($N$4:N300))</f>
        <v>346.0057543032807</v>
      </c>
      <c r="P300" s="65">
        <f t="shared" si="536"/>
        <v>-1.1948043876821717</v>
      </c>
      <c r="Q300" s="172">
        <f>IF($N300="",#N/A,SUM($P$4:P300))</f>
        <v>9.4121994643729483</v>
      </c>
      <c r="R300" s="279">
        <f t="shared" si="443"/>
        <v>0.82929651401497573</v>
      </c>
      <c r="S300" s="51" t="str">
        <f t="shared" si="444"/>
        <v>Dwn</v>
      </c>
      <c r="T300" s="51" t="s">
        <v>4461</v>
      </c>
      <c r="U300" s="56">
        <f t="shared" si="445"/>
        <v>107.27</v>
      </c>
      <c r="V300" s="56" t="s">
        <v>4458</v>
      </c>
      <c r="W300" s="142">
        <v>11</v>
      </c>
      <c r="X300" s="145">
        <f t="shared" si="446"/>
        <v>1179.97</v>
      </c>
      <c r="Y300" s="140">
        <f t="shared" si="447"/>
        <v>11</v>
      </c>
      <c r="Z300" s="123">
        <v>115</v>
      </c>
      <c r="AA300" s="102">
        <f t="shared" si="448"/>
        <v>-85.029999999999973</v>
      </c>
      <c r="AB300" s="102">
        <f t="shared" si="449"/>
        <v>-28.490000000000009</v>
      </c>
      <c r="AC300" s="124">
        <v>109.86</v>
      </c>
      <c r="AD300" s="155">
        <f t="shared" si="450"/>
        <v>-28.490000000000009</v>
      </c>
      <c r="AE300" s="545">
        <f t="shared" si="451"/>
        <v>-0.40241136074080996</v>
      </c>
      <c r="AF300" s="57">
        <f>IF($AC300="",#N/A,SUM(AD$4:AD300))</f>
        <v>14.559804227768041</v>
      </c>
      <c r="AG300" s="102">
        <f t="shared" si="452"/>
        <v>56.099999999999909</v>
      </c>
      <c r="AH300" s="56" t="s">
        <v>2507</v>
      </c>
      <c r="AI300" s="65">
        <f t="shared" si="453"/>
        <v>-1.2010192349523008</v>
      </c>
      <c r="AJ300" s="65">
        <f>IF(AI300="",#N/A,SUM($AI$4:AI300))</f>
        <v>8.5829029503579726</v>
      </c>
      <c r="AK300" s="57">
        <f t="shared" si="454"/>
        <v>-85.029999999999973</v>
      </c>
      <c r="AL300" s="66">
        <f>IF(AI300="",#N/A,IF(AH300="Skip",SUM($AK$4:AK300),SUM($AK$4:AK300)))</f>
        <v>286.76759149281429</v>
      </c>
      <c r="AM300" s="65">
        <f t="shared" si="537"/>
        <v>-0.40241136074080996</v>
      </c>
      <c r="AN300" s="210"/>
      <c r="AO300" s="65" t="str">
        <f t="shared" si="455"/>
        <v/>
      </c>
      <c r="AP300" s="65">
        <f>IF($AC300="",#N/A,SUM(AO$4:AO300))</f>
        <v>4.1819327430066817</v>
      </c>
      <c r="AQ300" s="65" t="str">
        <f t="shared" si="456"/>
        <v/>
      </c>
      <c r="AR300" s="65">
        <f>IF($AC300="",#N/A,SUM(AQ$4:AQ300))</f>
        <v>-5.9346528860976973</v>
      </c>
      <c r="AS300" s="65">
        <f t="shared" si="457"/>
        <v>-0.40241136074080996</v>
      </c>
      <c r="AT300" s="65">
        <f>IF($AC300="",#N/A,SUM(AS$4:AS300))</f>
        <v>4.0038788396329377</v>
      </c>
      <c r="AU300" s="57" t="str">
        <f t="shared" si="538"/>
        <v/>
      </c>
      <c r="AV300" s="57">
        <f>IF($AC300="",#N/A,SUM(AU$4:AU300))</f>
        <v>148.00249066104664</v>
      </c>
      <c r="AW300" s="57" t="str">
        <f t="shared" si="539"/>
        <v/>
      </c>
      <c r="AX300" s="57">
        <f>IF($AC300="",#N/A,SUM(AW$4:AW300))</f>
        <v>-394.76106797961097</v>
      </c>
      <c r="AY300" s="57">
        <f t="shared" si="540"/>
        <v>-28.490000000000009</v>
      </c>
      <c r="AZ300" s="57">
        <f>IF($AC300="",#N/A,SUM(AY$4:AY300))</f>
        <v>261.31838154633238</v>
      </c>
      <c r="BA300" s="57">
        <f>IF(AD300="",#N/A,SUM($AD$4:AD300))</f>
        <v>14.559804227768041</v>
      </c>
      <c r="BC300" s="51" t="str">
        <f t="shared" si="458"/>
        <v/>
      </c>
      <c r="BD300" s="51">
        <f t="shared" si="459"/>
        <v>1</v>
      </c>
      <c r="BE300" s="51" t="str">
        <f t="shared" si="460"/>
        <v/>
      </c>
      <c r="BF300" s="51" t="str">
        <f t="shared" si="461"/>
        <v>Short</v>
      </c>
      <c r="BG300" s="51" t="str">
        <f t="shared" si="462"/>
        <v/>
      </c>
      <c r="BH300" s="51" t="str">
        <f t="shared" si="463"/>
        <v/>
      </c>
      <c r="BI300" s="51" t="str">
        <f t="shared" si="464"/>
        <v/>
      </c>
      <c r="BK300" s="65">
        <f t="shared" si="435"/>
        <v>-0.13736915219779808</v>
      </c>
      <c r="BL300" s="65">
        <f t="shared" si="543"/>
        <v>-0.21017169746408193</v>
      </c>
      <c r="BM300" s="65">
        <f>IFERROR(Q300/COUNTA($J$4:J300),#N/A)</f>
        <v>3.1690907287451005E-2</v>
      </c>
      <c r="BO300" s="489" t="e">
        <f>IF(J300="",#N/A,IF(S300="SW",(COUNTIFS(K$4:$K300,"&gt;0",S$4:$S300,"SW")/COUNTIF(S$4:$S300,"SW")),#N/A))</f>
        <v>#N/A</v>
      </c>
      <c r="BP300" s="489">
        <f>IF($J300="",#N/A,IF($S300="DWN",(COUNTIFS($K$4:$K300,"&lt;0",$S$4:$S300,"DWN")/COUNTIF($S$4:$S300,"DWN")),#N/A))</f>
        <v>0.57246376811594202</v>
      </c>
      <c r="BQ300" s="489" t="e">
        <f>IF($J300="",#N/A,IF($S300="UP",(COUNTIFS($K$4:$K300,"&gt;0",$S$4:$S300,"UP")/COUNTIF($S$4:$S300,"UP")),#N/A))</f>
        <v>#N/A</v>
      </c>
      <c r="BR300" s="489">
        <f>IF(J300="",#N/A,COUNTIF($K$4:K300,"&gt;0")/COUNT($J$4:J300))</f>
        <v>0.45117845117845118</v>
      </c>
      <c r="BS300" s="65" t="str">
        <f t="shared" si="465"/>
        <v/>
      </c>
      <c r="BT300" s="65" t="str">
        <f t="shared" si="466"/>
        <v/>
      </c>
      <c r="BU300" s="65" t="str">
        <f t="shared" si="467"/>
        <v/>
      </c>
      <c r="BV300" s="65">
        <f t="shared" si="468"/>
        <v>-1.1948043876821717</v>
      </c>
      <c r="BW300" s="128" t="str">
        <f t="shared" si="469"/>
        <v/>
      </c>
      <c r="BX300" s="128">
        <f>IF($J300="",#N/A,SUM($BW$4:BW300))</f>
        <v>-390.69317034792857</v>
      </c>
      <c r="BY300" s="131">
        <f t="shared" si="470"/>
        <v>-84.589999999999918</v>
      </c>
      <c r="BZ300" s="131">
        <f>IF($J300="",#N/A,SUM($BY$4:BY300))</f>
        <v>613.73734038933401</v>
      </c>
      <c r="CA300" s="133" t="str">
        <f t="shared" si="471"/>
        <v/>
      </c>
      <c r="CB300" s="133">
        <f>IF($J300="",#N/A,SUM($CA$4:CA300))</f>
        <v>122.96158426187526</v>
      </c>
      <c r="CC300" s="194" t="str">
        <f t="shared" si="472"/>
        <v/>
      </c>
      <c r="CD300" s="194">
        <f>IF($J300="",#N/A,SUM($CC$4:CC300))</f>
        <v>-5.9052183130965723</v>
      </c>
      <c r="CE300" s="195">
        <f t="shared" si="473"/>
        <v>-1.1948043876821717</v>
      </c>
      <c r="CF300" s="195">
        <f>IF($J300="",#N/A,SUM($CE$4:CE300))</f>
        <v>11.032720426928414</v>
      </c>
      <c r="CG300" s="196" t="str">
        <f t="shared" si="474"/>
        <v/>
      </c>
      <c r="CH300" s="196">
        <f>IF($J300="",#N/A,SUM($CG$4:CG300))</f>
        <v>4.2846973505411121</v>
      </c>
      <c r="CI300" s="200" t="str">
        <f t="shared" si="475"/>
        <v/>
      </c>
      <c r="CJ300" s="203">
        <f>IF($J300="",#N/A,SUM(CI$4:CI300))</f>
        <v>0</v>
      </c>
      <c r="CK300" s="204" t="str">
        <f t="shared" si="476"/>
        <v/>
      </c>
      <c r="CL300" s="204">
        <f>IF($J300="",#N/A,SUM(CK$4:CK300))</f>
        <v>2.4085740385592547</v>
      </c>
      <c r="CM300" s="205" t="str">
        <f t="shared" si="477"/>
        <v/>
      </c>
      <c r="CN300" s="205">
        <f>IF($J300="",#N/A,SUM(CM$4:CM300))</f>
        <v>1.6152444684298783</v>
      </c>
      <c r="CO300" s="205">
        <f>IF($J300="",#N/A,SUM(CM$4:CM300,CK$4:CK300,CI$4:CI300))</f>
        <v>4.0238185069891328</v>
      </c>
      <c r="CP300" s="200" t="str">
        <f t="shared" si="478"/>
        <v/>
      </c>
      <c r="CQ300" s="203">
        <f>IF($J300="",#N/A,SUM(CP$4:CP300))</f>
        <v>-1.1156319314882757</v>
      </c>
      <c r="CR300" s="204" t="str">
        <f t="shared" si="479"/>
        <v/>
      </c>
      <c r="CS300" s="204">
        <f>IF($J300="",#N/A,SUM(CR$4:CR300))</f>
        <v>2.3600225017004668</v>
      </c>
      <c r="CT300" s="205" t="str">
        <f t="shared" si="480"/>
        <v/>
      </c>
      <c r="CU300" s="205">
        <f>IF($J300="",#N/A,SUM(CT$4:CT300))</f>
        <v>-2.9040943753548785</v>
      </c>
      <c r="CV300" s="205">
        <f>IF($J300="",#N/A,SUM(CT$4:CT300,CR$4:CR300,CP$4:CP300))</f>
        <v>-1.6597038051426876</v>
      </c>
      <c r="CW300" s="200" t="str">
        <f t="shared" si="481"/>
        <v/>
      </c>
      <c r="CX300" s="203">
        <f>IF($J300="",#N/A,SUM(CW$4:CW300))</f>
        <v>-1.2839616145397621</v>
      </c>
      <c r="CY300" s="204" t="str">
        <f t="shared" si="482"/>
        <v/>
      </c>
      <c r="CZ300" s="204">
        <f>IF($J300="",#N/A,SUM(CY$4:CY300))</f>
        <v>0.37351298702481961</v>
      </c>
      <c r="DA300" s="205" t="str">
        <f t="shared" si="483"/>
        <v/>
      </c>
      <c r="DB300" s="205">
        <f>IF($J300="",#N/A,SUM(DA$4:DA300))</f>
        <v>-1.1581788995104692</v>
      </c>
      <c r="DC300" s="205">
        <f>IF($J300="",#N/A,SUM(DA$4:DA300,CY$4:CY300,CW$4:CW300))</f>
        <v>-2.068627527025412</v>
      </c>
      <c r="DD300" s="200" t="str">
        <f t="shared" si="484"/>
        <v/>
      </c>
      <c r="DE300" s="203">
        <f>IF($J300="",#N/A,SUM(DD$4:DD300))</f>
        <v>0.24769343410817113</v>
      </c>
      <c r="DF300" s="204" t="str">
        <f t="shared" si="485"/>
        <v/>
      </c>
      <c r="DG300" s="204">
        <f>IF($J300="",#N/A,SUM(DF$4:DF300))</f>
        <v>1.3104003890080136</v>
      </c>
      <c r="DH300" s="205" t="str">
        <f t="shared" si="486"/>
        <v/>
      </c>
      <c r="DI300" s="205">
        <f>IF($J300="",#N/A,SUM(DH$4:DH300))</f>
        <v>-2.7812008102163399</v>
      </c>
      <c r="DJ300" s="205">
        <f>IF($J300="",#N/A,SUM(DH$4:DH300,DF$4:DF300,DD$4:DD300))</f>
        <v>-1.2231069871001554</v>
      </c>
      <c r="DK300" s="200" t="str">
        <f t="shared" si="487"/>
        <v/>
      </c>
      <c r="DL300" s="203">
        <f>IF($J300="",#N/A,SUM(DK$4:DK300))</f>
        <v>-1.2097286851272664</v>
      </c>
      <c r="DM300" s="204" t="str">
        <f t="shared" si="488"/>
        <v/>
      </c>
      <c r="DN300" s="204">
        <f>IF($J300="",#N/A,SUM(DM$4:DM300))</f>
        <v>1.1747256665753205</v>
      </c>
      <c r="DO300" s="205" t="str">
        <f t="shared" si="489"/>
        <v/>
      </c>
      <c r="DP300" s="205">
        <f>IF($J300="",#N/A,SUM(DO$4:DO300))</f>
        <v>2.700331529683047</v>
      </c>
      <c r="DQ300" s="205">
        <f>IF($J300="",#N/A,SUM(DO$4:DO300,DM$4:DM300,DK$4:DK300))</f>
        <v>2.6653285111311016</v>
      </c>
      <c r="DR300" s="200" t="str">
        <f t="shared" si="490"/>
        <v/>
      </c>
      <c r="DS300" s="203">
        <f>IF($J300="",#N/A,SUM(DR$4:DR300))</f>
        <v>-0.55950946427675097</v>
      </c>
      <c r="DT300" s="204" t="str">
        <f t="shared" si="491"/>
        <v/>
      </c>
      <c r="DU300" s="204">
        <f>IF($J300="",#N/A,SUM(DT$4:DT300))</f>
        <v>-0.20750635820596686</v>
      </c>
      <c r="DV300" s="205" t="str">
        <f t="shared" si="492"/>
        <v/>
      </c>
      <c r="DW300" s="205">
        <f>IF($J300="",#N/A,SUM(DV$4:DV300))</f>
        <v>-2.3377035686214001</v>
      </c>
      <c r="DX300" s="205">
        <f>IF($J300="",#N/A,SUM(DV$4:DV300,DT$4:DT300,DR$4:DR300))</f>
        <v>-3.1047193911041169</v>
      </c>
      <c r="DY300" s="200" t="str">
        <f t="shared" si="493"/>
        <v/>
      </c>
      <c r="DZ300" s="203">
        <f>IF($J300="",#N/A,SUM(DY$4:DY300))</f>
        <v>-1.6284722482776204</v>
      </c>
      <c r="EA300" s="204">
        <f t="shared" si="494"/>
        <v>-1.1948043876821717</v>
      </c>
      <c r="EB300" s="204">
        <f>IF($J300="",#N/A,SUM(EA$4:EA300))</f>
        <v>2.276197208799712</v>
      </c>
      <c r="EC300" s="205" t="str">
        <f t="shared" si="495"/>
        <v/>
      </c>
      <c r="ED300" s="205">
        <f>IF($J300="",#N/A,SUM(EC$4:EC300))</f>
        <v>6.352220799154269</v>
      </c>
      <c r="EE300" s="205">
        <f>IF($J300="",#N/A,SUM(EC$4:EC300,EA$4:EA300,DY$4:DY300))</f>
        <v>6.9999457596763603</v>
      </c>
      <c r="EF300" s="200" t="str">
        <f t="shared" si="496"/>
        <v/>
      </c>
      <c r="EG300" s="203">
        <f>IF($J300="",#N/A,SUM(EF$4:EF300))</f>
        <v>-0.15098969023521425</v>
      </c>
      <c r="EH300" s="204" t="str">
        <f t="shared" si="497"/>
        <v/>
      </c>
      <c r="EI300" s="204">
        <f>IF($J300="",#N/A,SUM(EH$4:EH300))</f>
        <v>-2.7373393576691663</v>
      </c>
      <c r="EJ300" s="205" t="str">
        <f t="shared" si="498"/>
        <v/>
      </c>
      <c r="EK300" s="205">
        <f>IF($J300="",#N/A,SUM(EJ$4:EJ300))</f>
        <v>5.050388173053765</v>
      </c>
      <c r="EL300" s="205">
        <f>IF($J300="",#N/A,SUM(EJ$4:EJ300,EH$4:EH300,EF$4:EF300))</f>
        <v>2.1620591251493844</v>
      </c>
      <c r="EM300" s="200" t="str">
        <f t="shared" si="499"/>
        <v/>
      </c>
      <c r="EN300" s="203">
        <f>IF($J300="",#N/A,SUM(EM$4:EM300))</f>
        <v>0</v>
      </c>
      <c r="EO300" s="204" t="str">
        <f t="shared" si="500"/>
        <v/>
      </c>
      <c r="EP300" s="204">
        <f>IF($J300="",#N/A,SUM(EO$4:EO300))</f>
        <v>2.0574787067554756</v>
      </c>
      <c r="EQ300" s="205" t="str">
        <f t="shared" si="501"/>
        <v/>
      </c>
      <c r="ER300" s="205">
        <f>IF($J300="",#N/A,SUM(EQ$4:EQ300))</f>
        <v>1.3977486422552698</v>
      </c>
      <c r="ES300" s="205">
        <f>IF($J300="",#N/A,SUM(EQ$4:EQ300,EO$4:EO300,EM$4:EM300))</f>
        <v>3.455227349010745</v>
      </c>
      <c r="ET300" s="200" t="str">
        <f t="shared" si="502"/>
        <v/>
      </c>
      <c r="EU300" s="203">
        <f>IF($J300="",#N/A,SUM(ET$4:ET300))</f>
        <v>0</v>
      </c>
      <c r="EV300" s="204" t="str">
        <f t="shared" si="503"/>
        <v/>
      </c>
      <c r="EW300" s="204">
        <f>IF($J300="",#N/A,SUM(EV$4:EV300))</f>
        <v>2.3297323921502326</v>
      </c>
      <c r="EX300" s="205" t="str">
        <f t="shared" si="504"/>
        <v/>
      </c>
      <c r="EY300" s="205">
        <f>IF($J300="",#N/A,SUM(EX$4:EX300))</f>
        <v>0.27113250180669229</v>
      </c>
      <c r="EZ300" s="205">
        <f>IF($J300="",#N/A,SUM(EX$4:EX300,EV$4:EV300,ET$4:ET300))</f>
        <v>2.6008648939569246</v>
      </c>
      <c r="FA300" s="200" t="str">
        <f t="shared" si="505"/>
        <v/>
      </c>
      <c r="FB300" s="203">
        <f>IF($J300="",#N/A,SUM(FA$4:FA300))</f>
        <v>-0.27145310509113252</v>
      </c>
      <c r="FC300" s="204" t="str">
        <f t="shared" si="506"/>
        <v/>
      </c>
      <c r="FD300" s="204">
        <f>IF($J300="",#N/A,SUM(FC$4:FC300))</f>
        <v>1.204376144197403</v>
      </c>
      <c r="FE300" s="205" t="str">
        <f t="shared" si="507"/>
        <v/>
      </c>
      <c r="FF300" s="205">
        <f>IF($J300="",#N/A,SUM(FE$4:FE300))</f>
        <v>-0.28811149078748233</v>
      </c>
      <c r="FG300" s="205">
        <f>IF($J300="",#N/A,SUM(FE$4:FE300,FC$4:FC300,FA$4:FA300))</f>
        <v>0.64481154831878851</v>
      </c>
      <c r="FH300" s="200" t="str">
        <f t="shared" si="508"/>
        <v/>
      </c>
      <c r="FI300" s="203">
        <f>IF($J300="",#N/A,SUM(FH$4:FH300))</f>
        <v>0</v>
      </c>
      <c r="FJ300" s="204" t="str">
        <f t="shared" si="509"/>
        <v/>
      </c>
      <c r="FK300" s="204">
        <f>IF($J300="",#N/A,SUM(FJ$4:FJ300))</f>
        <v>0</v>
      </c>
      <c r="FL300" s="205" t="str">
        <f t="shared" si="510"/>
        <v/>
      </c>
      <c r="FM300" s="205">
        <f>IF($J300="",#N/A,SUM(FL$4:FL300))</f>
        <v>0</v>
      </c>
      <c r="FN300" s="205">
        <f>IF($J300="",#N/A,SUM(FL$4:FL300,FJ$4:FJ300,FH$4:FH300))</f>
        <v>0</v>
      </c>
      <c r="FO300" s="200" t="str">
        <f t="shared" si="511"/>
        <v/>
      </c>
      <c r="FP300" s="203">
        <f>IF($J300="",#N/A,SUM(FO$4:FO300))</f>
        <v>0</v>
      </c>
      <c r="FQ300" s="204" t="str">
        <f t="shared" si="512"/>
        <v/>
      </c>
      <c r="FR300" s="204">
        <f>IF($J300="",#N/A,SUM(FQ$4:FQ300))</f>
        <v>0</v>
      </c>
      <c r="FS300" s="205" t="str">
        <f t="shared" si="513"/>
        <v/>
      </c>
      <c r="FT300" s="205">
        <f>IF($J300="",#N/A,SUM(FS$4:FS300))</f>
        <v>0</v>
      </c>
      <c r="FU300" s="205">
        <f>IF($J300="",#N/A,SUM(FS$4:FS300,FQ$4:FQ300,FO$4:FO300))</f>
        <v>0</v>
      </c>
      <c r="FV300" s="200" t="str">
        <f t="shared" si="514"/>
        <v/>
      </c>
      <c r="FW300" s="203">
        <f>IF($J300="",#N/A,SUM(FV$4:FV300))</f>
        <v>6.6834991831277585E-2</v>
      </c>
      <c r="FX300" s="204" t="str">
        <f t="shared" si="515"/>
        <v/>
      </c>
      <c r="FY300" s="204">
        <f>IF($J300="",#N/A,SUM(FX$4:FX300))</f>
        <v>-0.16102012791805576</v>
      </c>
      <c r="FZ300" s="205" t="str">
        <f t="shared" si="516"/>
        <v/>
      </c>
      <c r="GA300" s="205">
        <f>IF($J300="",#N/A,SUM(FZ$4:FZ300))</f>
        <v>-0.69624339162892301</v>
      </c>
      <c r="GB300" s="205">
        <f>IF($J300="",#N/A,SUM(FZ$4:FZ300,FX$4:FX300,FV$4:FV300))</f>
        <v>-0.79042852771570116</v>
      </c>
      <c r="GC300" s="200" t="str">
        <f t="shared" si="517"/>
        <v/>
      </c>
      <c r="GD300" s="203">
        <f>IF($J300="",#N/A,SUM(GC$4:GC300))</f>
        <v>0</v>
      </c>
      <c r="GE300" s="204" t="str">
        <f t="shared" si="518"/>
        <v/>
      </c>
      <c r="GF300" s="204">
        <f>IF($J300="",#N/A,SUM(GE$4:GE300))</f>
        <v>0</v>
      </c>
      <c r="GG300" s="205" t="str">
        <f t="shared" si="519"/>
        <v/>
      </c>
      <c r="GH300" s="205">
        <f>IF($J300="",#N/A,SUM(GG$4:GG300))</f>
        <v>-2.9368362277223206</v>
      </c>
      <c r="GI300" s="205">
        <f>IF($J300="",#N/A,SUM(GG$4:GG300,GE$4:GE300,GC$4:GC300))</f>
        <v>-2.9368362277223206</v>
      </c>
      <c r="GJ300" s="200" t="str">
        <f t="shared" si="520"/>
        <v/>
      </c>
      <c r="GK300" s="203">
        <f>IF($J300="",#N/A,SUM(GJ$4:GJ300))</f>
        <v>0</v>
      </c>
      <c r="GL300" s="204" t="str">
        <f t="shared" si="521"/>
        <v/>
      </c>
      <c r="GM300" s="204">
        <f>IF($J300="",#N/A,SUM(GL$4:GL300))</f>
        <v>-1.6833790887309608</v>
      </c>
      <c r="GN300" s="205" t="str">
        <f t="shared" si="522"/>
        <v/>
      </c>
      <c r="GO300" s="205">
        <f>IF($J300="",#N/A,SUM(GN$4:GN300))</f>
        <v>0</v>
      </c>
      <c r="GP300" s="205">
        <f>IF($J300="",#N/A,SUM(GN$4:GN300,GL$4:GL300,GJ$4:GJ300))</f>
        <v>-1.6833790887309608</v>
      </c>
      <c r="GS300" s="54">
        <f t="shared" si="541"/>
        <v>-1.1948043876821717</v>
      </c>
      <c r="GT300" s="54">
        <f>IF(GS300="",NA(),SUM($GS$4:GS300))</f>
        <v>5.9938286348653946</v>
      </c>
      <c r="GU300" s="54" t="str">
        <f t="shared" si="523"/>
        <v/>
      </c>
      <c r="GV300" s="54" t="e">
        <f>IF(GU300="",NA(),SUM($GU$4:GU300))</f>
        <v>#N/A</v>
      </c>
      <c r="GW300" s="54" t="str">
        <f t="shared" si="524"/>
        <v/>
      </c>
      <c r="GX300" s="54" t="e">
        <f>IF(GW300="",NA(),SUM($GW$4:GW300))</f>
        <v>#N/A</v>
      </c>
      <c r="GY300" s="54">
        <f t="shared" si="525"/>
        <v>-1.1948043876821717</v>
      </c>
      <c r="GZ300" s="54">
        <f>IF(GY300="",NA(),SUM($GY$4:GY300))</f>
        <v>6.0762087083258596</v>
      </c>
      <c r="HA300" s="54" t="str">
        <f t="shared" si="526"/>
        <v/>
      </c>
      <c r="HB300" s="54" t="e">
        <f>IF(HA300="",NA(),SUM($HA$4:HA300))</f>
        <v>#N/A</v>
      </c>
      <c r="HC300" s="54" t="str">
        <f t="shared" si="527"/>
        <v/>
      </c>
      <c r="HD300" s="54" t="e">
        <f>IF(HC300="",NA(),SUM($HC$4:HC300))</f>
        <v>#N/A</v>
      </c>
      <c r="HE300" s="54" t="str">
        <f t="shared" si="528"/>
        <v/>
      </c>
      <c r="HF300" s="54" t="e">
        <f>IF(HE300="",NA(),SUM($HE$4:HE300))</f>
        <v>#N/A</v>
      </c>
      <c r="HG300" s="54" t="str">
        <f t="shared" si="529"/>
        <v/>
      </c>
      <c r="HH300" s="54" t="e">
        <f>IF(HG300="",NA(),SUM($HG$4:HG300))</f>
        <v>#N/A</v>
      </c>
      <c r="HI300" s="172" t="str">
        <f t="shared" si="542"/>
        <v/>
      </c>
      <c r="HJ300" s="172">
        <f>IF($J300="",#N/A,SUM(HI$4:$HI300))</f>
        <v>-7.7357960158937757</v>
      </c>
      <c r="HK300" s="54">
        <f t="shared" si="530"/>
        <v>0.79239302694136171</v>
      </c>
      <c r="HL300" s="54">
        <f>IF($J300="",#N/A,SUM($HK$4:HK300))</f>
        <v>0.70695442859830859</v>
      </c>
      <c r="HM300" s="54" t="str">
        <f t="shared" si="531"/>
        <v/>
      </c>
      <c r="HN300" s="54">
        <f>IF($J300="",#N/A,SUM($HM$4:HM300))</f>
        <v>0.6871920272168337</v>
      </c>
      <c r="HO300" s="54" t="str">
        <f t="shared" si="532"/>
        <v/>
      </c>
      <c r="HP300" s="54">
        <f>IF($J300="",#N/A,SUM($HO$4:HO300))</f>
        <v>-0.71662660021795599</v>
      </c>
      <c r="HQ300" s="54" t="str">
        <f t="shared" si="533"/>
        <v/>
      </c>
      <c r="HR300" s="54">
        <f>IF($J300="",#N/A,SUM($HQ$4:HQ300))</f>
        <v>-15.589576757744322</v>
      </c>
      <c r="HS300" s="54" t="str">
        <f t="shared" si="534"/>
        <v/>
      </c>
      <c r="HT300" s="54">
        <f>IF($J300="",#N/A,SUM($HS$4:HS300))</f>
        <v>15.486812150209897</v>
      </c>
      <c r="HU300" s="65">
        <f t="shared" si="535"/>
        <v>-0.40241136074080996</v>
      </c>
      <c r="HV300" s="65">
        <f>IF($J300="",#N/A,SUM(HU$4:$HU300))</f>
        <v>2.2511586965419226</v>
      </c>
    </row>
    <row r="301" spans="1:230" x14ac:dyDescent="0.25">
      <c r="A301" s="51" t="s">
        <v>282</v>
      </c>
      <c r="B301" s="52" t="s">
        <v>4596</v>
      </c>
      <c r="C301" s="229">
        <f t="shared" si="436"/>
        <v>1</v>
      </c>
      <c r="D301" s="219" t="str">
        <f>_xlfn.XLOOKUP(A301,[1]SP500!$A$2:$A$502,[1]SP500!$D$2:$D$502,"N")</f>
        <v>Y</v>
      </c>
      <c r="E301" s="51" t="str">
        <f>IFERROR(_xlfn.XLOOKUP(A301,[1]SP500!$A$2:$A$655,[1]SP500!$B$2:$B$655),"")</f>
        <v>XLV</v>
      </c>
      <c r="F301" s="290">
        <v>45784</v>
      </c>
      <c r="G301" s="51" t="str">
        <f t="shared" si="437"/>
        <v>BMO</v>
      </c>
      <c r="H301" s="51" t="str">
        <f t="shared" si="438"/>
        <v>s</v>
      </c>
      <c r="I301" s="344">
        <v>290.81</v>
      </c>
      <c r="J301" s="124">
        <v>295.56</v>
      </c>
      <c r="K301" s="55">
        <f t="shared" si="439"/>
        <v>1.6333688662700734E-2</v>
      </c>
      <c r="L301" s="67">
        <f t="shared" si="440"/>
        <v>19</v>
      </c>
      <c r="M301" s="57">
        <f t="shared" si="441"/>
        <v>0</v>
      </c>
      <c r="N301" s="102">
        <f t="shared" si="442"/>
        <v>19</v>
      </c>
      <c r="O301" s="57">
        <f>IF(N301="",#N/A,SUM($N$4:N301))</f>
        <v>365.0057543032807</v>
      </c>
      <c r="P301" s="65">
        <f t="shared" si="536"/>
        <v>0.27222814437834558</v>
      </c>
      <c r="Q301" s="172">
        <f>IF($N301="",#N/A,SUM($P$4:P301))</f>
        <v>9.6844276087512942</v>
      </c>
      <c r="R301" s="279">
        <f t="shared" si="443"/>
        <v>0.82929651401497573</v>
      </c>
      <c r="S301" s="51" t="str">
        <f t="shared" si="444"/>
        <v>Up</v>
      </c>
      <c r="T301" s="51" t="s">
        <v>4462</v>
      </c>
      <c r="U301" s="56">
        <f t="shared" si="445"/>
        <v>290.81</v>
      </c>
      <c r="V301" s="56" t="s">
        <v>4460</v>
      </c>
      <c r="W301" s="142">
        <v>4</v>
      </c>
      <c r="X301" s="145">
        <f t="shared" si="446"/>
        <v>1163.24</v>
      </c>
      <c r="Y301" s="140">
        <f t="shared" si="447"/>
        <v>4</v>
      </c>
      <c r="Z301" s="123">
        <v>295.56</v>
      </c>
      <c r="AA301" s="102">
        <f t="shared" si="448"/>
        <v>19</v>
      </c>
      <c r="AB301" s="102">
        <f t="shared" si="449"/>
        <v>55.079999999999927</v>
      </c>
      <c r="AC301" s="124">
        <v>304.58</v>
      </c>
      <c r="AD301" s="155">
        <f t="shared" si="450"/>
        <v>55.079999999999927</v>
      </c>
      <c r="AE301" s="545">
        <f t="shared" si="451"/>
        <v>0.78917506275575022</v>
      </c>
      <c r="AF301" s="57">
        <f>IF($AC301="",#N/A,SUM(AD$4:AD301))</f>
        <v>69.639804227767968</v>
      </c>
      <c r="AG301" s="102">
        <f t="shared" si="452"/>
        <v>36.079999999999927</v>
      </c>
      <c r="AH301" s="56" t="s">
        <v>2507</v>
      </c>
      <c r="AI301" s="65">
        <f t="shared" si="453"/>
        <v>0.27222814437834558</v>
      </c>
      <c r="AJ301" s="65">
        <f>IF(AI301="",#N/A,SUM($AI$4:AI301))</f>
        <v>8.8551310947363184</v>
      </c>
      <c r="AK301" s="57">
        <f t="shared" si="454"/>
        <v>19</v>
      </c>
      <c r="AL301" s="66">
        <f>IF(AI301="",#N/A,IF(AH301="Skip",SUM($AK$4:AK301),SUM($AK$4:AK301)))</f>
        <v>305.76759149281429</v>
      </c>
      <c r="AM301" s="65">
        <f t="shared" si="537"/>
        <v>0.78917506275575022</v>
      </c>
      <c r="AN301" s="210"/>
      <c r="AO301" s="65" t="str">
        <f t="shared" si="455"/>
        <v/>
      </c>
      <c r="AP301" s="65">
        <f>IF($AC301="",#N/A,SUM(AO$4:AO301))</f>
        <v>4.1819327430066817</v>
      </c>
      <c r="AQ301" s="65">
        <f t="shared" si="456"/>
        <v>0.78917506275575022</v>
      </c>
      <c r="AR301" s="65">
        <f>IF($AC301="",#N/A,SUM(AQ$4:AQ301))</f>
        <v>-5.1454778233419471</v>
      </c>
      <c r="AS301" s="65" t="str">
        <f t="shared" si="457"/>
        <v/>
      </c>
      <c r="AT301" s="65">
        <f>IF($AC301="",#N/A,SUM(AS$4:AS301))</f>
        <v>4.0038788396329377</v>
      </c>
      <c r="AU301" s="57" t="str">
        <f t="shared" si="538"/>
        <v/>
      </c>
      <c r="AV301" s="57">
        <f>IF($AC301="",#N/A,SUM(AU$4:AU301))</f>
        <v>148.00249066104664</v>
      </c>
      <c r="AW301" s="57">
        <f t="shared" si="539"/>
        <v>55.079999999999927</v>
      </c>
      <c r="AX301" s="57">
        <f>IF($AC301="",#N/A,SUM(AW$4:AW301))</f>
        <v>-339.68106797961104</v>
      </c>
      <c r="AY301" s="57" t="str">
        <f t="shared" si="540"/>
        <v/>
      </c>
      <c r="AZ301" s="57">
        <f>IF($AC301="",#N/A,SUM(AY$4:AY301))</f>
        <v>261.31838154633238</v>
      </c>
      <c r="BA301" s="57">
        <f>IF(AD301="",#N/A,SUM($AD$4:AD301))</f>
        <v>69.639804227767968</v>
      </c>
      <c r="BC301" s="51">
        <f t="shared" si="458"/>
        <v>1</v>
      </c>
      <c r="BD301" s="51" t="str">
        <f t="shared" si="459"/>
        <v/>
      </c>
      <c r="BE301" s="51" t="str">
        <f t="shared" si="460"/>
        <v/>
      </c>
      <c r="BF301" s="51" t="str">
        <f t="shared" si="461"/>
        <v>Long</v>
      </c>
      <c r="BG301" s="51" t="str">
        <f t="shared" si="462"/>
        <v/>
      </c>
      <c r="BH301" s="51" t="str">
        <f t="shared" si="463"/>
        <v/>
      </c>
      <c r="BI301" s="51" t="str">
        <f t="shared" si="464"/>
        <v/>
      </c>
      <c r="BK301" s="65">
        <f t="shared" si="435"/>
        <v>-0.12135188542159443</v>
      </c>
      <c r="BL301" s="65">
        <f t="shared" si="543"/>
        <v>-0.16147017311705575</v>
      </c>
      <c r="BM301" s="65">
        <f>IFERROR(Q301/COUNTA($J$4:J301),#N/A)</f>
        <v>3.2498079223997632E-2</v>
      </c>
      <c r="BO301" s="489" t="e">
        <f>IF(J301="",#N/A,IF(S301="SW",(COUNTIFS(K$4:$K301,"&gt;0",S$4:$S301,"SW")/COUNTIF(S$4:$S301,"SW")),#N/A))</f>
        <v>#N/A</v>
      </c>
      <c r="BP301" s="489" t="e">
        <f>IF($J301="",#N/A,IF($S301="DWN",(COUNTIFS($K$4:$K301,"&lt;0",$S$4:$S301,"DWN")/COUNTIF($S$4:$S301,"DWN")),#N/A))</f>
        <v>#N/A</v>
      </c>
      <c r="BQ301" s="489">
        <f>IF($J301="",#N/A,IF($S301="UP",(COUNTIFS($K$4:$K301,"&gt;0",$S$4:$S301,"UP")/COUNTIF($S$4:$S301,"UP")),#N/A))</f>
        <v>0.35</v>
      </c>
      <c r="BR301" s="489">
        <f>IF(J301="",#N/A,COUNTIF($K$4:K301,"&gt;0")/COUNT($J$4:J301))</f>
        <v>0.45302013422818793</v>
      </c>
      <c r="BS301" s="65">
        <f t="shared" si="465"/>
        <v>0.27222814437834558</v>
      </c>
      <c r="BT301" s="65" t="str">
        <f t="shared" si="466"/>
        <v/>
      </c>
      <c r="BU301" s="65" t="str">
        <f t="shared" si="467"/>
        <v/>
      </c>
      <c r="BV301" s="65" t="str">
        <f t="shared" si="468"/>
        <v/>
      </c>
      <c r="BW301" s="128">
        <f t="shared" si="469"/>
        <v>19</v>
      </c>
      <c r="BX301" s="128">
        <f>IF($J301="",#N/A,SUM($BW$4:BW301))</f>
        <v>-371.69317034792857</v>
      </c>
      <c r="BY301" s="131" t="str">
        <f t="shared" si="470"/>
        <v/>
      </c>
      <c r="BZ301" s="131">
        <f>IF($J301="",#N/A,SUM($BY$4:BY301))</f>
        <v>613.73734038933401</v>
      </c>
      <c r="CA301" s="133" t="str">
        <f t="shared" si="471"/>
        <v/>
      </c>
      <c r="CB301" s="133">
        <f>IF($J301="",#N/A,SUM($CA$4:CA301))</f>
        <v>122.96158426187526</v>
      </c>
      <c r="CC301" s="194">
        <f t="shared" si="472"/>
        <v>0.27222814437834558</v>
      </c>
      <c r="CD301" s="194">
        <f>IF($J301="",#N/A,SUM($CC$4:CC301))</f>
        <v>-5.6329901687182264</v>
      </c>
      <c r="CE301" s="195" t="str">
        <f t="shared" si="473"/>
        <v/>
      </c>
      <c r="CF301" s="195">
        <f>IF($J301="",#N/A,SUM($CE$4:CE301))</f>
        <v>11.032720426928414</v>
      </c>
      <c r="CG301" s="196" t="str">
        <f t="shared" si="474"/>
        <v/>
      </c>
      <c r="CH301" s="196">
        <f>IF($J301="",#N/A,SUM($CG$4:CG301))</f>
        <v>4.2846973505411121</v>
      </c>
      <c r="CI301" s="200" t="str">
        <f t="shared" si="475"/>
        <v/>
      </c>
      <c r="CJ301" s="203">
        <f>IF($J301="",#N/A,SUM(CI$4:CI301))</f>
        <v>0</v>
      </c>
      <c r="CK301" s="204" t="str">
        <f t="shared" si="476"/>
        <v/>
      </c>
      <c r="CL301" s="204">
        <f>IF($J301="",#N/A,SUM(CK$4:CK301))</f>
        <v>2.4085740385592547</v>
      </c>
      <c r="CM301" s="205" t="str">
        <f t="shared" si="477"/>
        <v/>
      </c>
      <c r="CN301" s="205">
        <f>IF($J301="",#N/A,SUM(CM$4:CM301))</f>
        <v>1.6152444684298783</v>
      </c>
      <c r="CO301" s="205">
        <f>IF($J301="",#N/A,SUM(CM$4:CM301,CK$4:CK301,CI$4:CI301))</f>
        <v>4.0238185069891328</v>
      </c>
      <c r="CP301" s="200" t="str">
        <f t="shared" si="478"/>
        <v/>
      </c>
      <c r="CQ301" s="203">
        <f>IF($J301="",#N/A,SUM(CP$4:CP301))</f>
        <v>-1.1156319314882757</v>
      </c>
      <c r="CR301" s="204" t="str">
        <f t="shared" si="479"/>
        <v/>
      </c>
      <c r="CS301" s="204">
        <f>IF($J301="",#N/A,SUM(CR$4:CR301))</f>
        <v>2.3600225017004668</v>
      </c>
      <c r="CT301" s="205" t="str">
        <f t="shared" si="480"/>
        <v/>
      </c>
      <c r="CU301" s="205">
        <f>IF($J301="",#N/A,SUM(CT$4:CT301))</f>
        <v>-2.9040943753548785</v>
      </c>
      <c r="CV301" s="205">
        <f>IF($J301="",#N/A,SUM(CT$4:CT301,CR$4:CR301,CP$4:CP301))</f>
        <v>-1.6597038051426876</v>
      </c>
      <c r="CW301" s="200" t="str">
        <f t="shared" si="481"/>
        <v/>
      </c>
      <c r="CX301" s="203">
        <f>IF($J301="",#N/A,SUM(CW$4:CW301))</f>
        <v>-1.2839616145397621</v>
      </c>
      <c r="CY301" s="204" t="str">
        <f t="shared" si="482"/>
        <v/>
      </c>
      <c r="CZ301" s="204">
        <f>IF($J301="",#N/A,SUM(CY$4:CY301))</f>
        <v>0.37351298702481961</v>
      </c>
      <c r="DA301" s="205" t="str">
        <f t="shared" si="483"/>
        <v/>
      </c>
      <c r="DB301" s="205">
        <f>IF($J301="",#N/A,SUM(DA$4:DA301))</f>
        <v>-1.1581788995104692</v>
      </c>
      <c r="DC301" s="205">
        <f>IF($J301="",#N/A,SUM(DA$4:DA301,CY$4:CY301,CW$4:CW301))</f>
        <v>-2.068627527025412</v>
      </c>
      <c r="DD301" s="200" t="str">
        <f t="shared" si="484"/>
        <v/>
      </c>
      <c r="DE301" s="203">
        <f>IF($J301="",#N/A,SUM(DD$4:DD301))</f>
        <v>0.24769343410817113</v>
      </c>
      <c r="DF301" s="204" t="str">
        <f t="shared" si="485"/>
        <v/>
      </c>
      <c r="DG301" s="204">
        <f>IF($J301="",#N/A,SUM(DF$4:DF301))</f>
        <v>1.3104003890080136</v>
      </c>
      <c r="DH301" s="205" t="str">
        <f t="shared" si="486"/>
        <v/>
      </c>
      <c r="DI301" s="205">
        <f>IF($J301="",#N/A,SUM(DH$4:DH301))</f>
        <v>-2.7812008102163399</v>
      </c>
      <c r="DJ301" s="205">
        <f>IF($J301="",#N/A,SUM(DH$4:DH301,DF$4:DF301,DD$4:DD301))</f>
        <v>-1.2231069871001554</v>
      </c>
      <c r="DK301" s="200" t="str">
        <f t="shared" si="487"/>
        <v/>
      </c>
      <c r="DL301" s="203">
        <f>IF($J301="",#N/A,SUM(DK$4:DK301))</f>
        <v>-1.2097286851272664</v>
      </c>
      <c r="DM301" s="204" t="str">
        <f t="shared" si="488"/>
        <v/>
      </c>
      <c r="DN301" s="204">
        <f>IF($J301="",#N/A,SUM(DM$4:DM301))</f>
        <v>1.1747256665753205</v>
      </c>
      <c r="DO301" s="205" t="str">
        <f t="shared" si="489"/>
        <v/>
      </c>
      <c r="DP301" s="205">
        <f>IF($J301="",#N/A,SUM(DO$4:DO301))</f>
        <v>2.700331529683047</v>
      </c>
      <c r="DQ301" s="205">
        <f>IF($J301="",#N/A,SUM(DO$4:DO301,DM$4:DM301,DK$4:DK301))</f>
        <v>2.6653285111311016</v>
      </c>
      <c r="DR301" s="200" t="str">
        <f t="shared" si="490"/>
        <v/>
      </c>
      <c r="DS301" s="203">
        <f>IF($J301="",#N/A,SUM(DR$4:DR301))</f>
        <v>-0.55950946427675097</v>
      </c>
      <c r="DT301" s="204" t="str">
        <f t="shared" si="491"/>
        <v/>
      </c>
      <c r="DU301" s="204">
        <f>IF($J301="",#N/A,SUM(DT$4:DT301))</f>
        <v>-0.20750635820596686</v>
      </c>
      <c r="DV301" s="205" t="str">
        <f t="shared" si="492"/>
        <v/>
      </c>
      <c r="DW301" s="205">
        <f>IF($J301="",#N/A,SUM(DV$4:DV301))</f>
        <v>-2.3377035686214001</v>
      </c>
      <c r="DX301" s="205">
        <f>IF($J301="",#N/A,SUM(DV$4:DV301,DT$4:DT301,DR$4:DR301))</f>
        <v>-3.1047193911041169</v>
      </c>
      <c r="DY301" s="200" t="str">
        <f t="shared" si="493"/>
        <v/>
      </c>
      <c r="DZ301" s="203">
        <f>IF($J301="",#N/A,SUM(DY$4:DY301))</f>
        <v>-1.6284722482776204</v>
      </c>
      <c r="EA301" s="204" t="str">
        <f t="shared" si="494"/>
        <v/>
      </c>
      <c r="EB301" s="204">
        <f>IF($J301="",#N/A,SUM(EA$4:EA301))</f>
        <v>2.276197208799712</v>
      </c>
      <c r="EC301" s="205" t="str">
        <f t="shared" si="495"/>
        <v/>
      </c>
      <c r="ED301" s="205">
        <f>IF($J301="",#N/A,SUM(EC$4:EC301))</f>
        <v>6.352220799154269</v>
      </c>
      <c r="EE301" s="205">
        <f>IF($J301="",#N/A,SUM(EC$4:EC301,EA$4:EA301,DY$4:DY301))</f>
        <v>6.9999457596763603</v>
      </c>
      <c r="EF301" s="200">
        <f t="shared" si="496"/>
        <v>0.27222814437834558</v>
      </c>
      <c r="EG301" s="203">
        <f>IF($J301="",#N/A,SUM(EF$4:EF301))</f>
        <v>0.12123845414313134</v>
      </c>
      <c r="EH301" s="204" t="str">
        <f t="shared" si="497"/>
        <v/>
      </c>
      <c r="EI301" s="204">
        <f>IF($J301="",#N/A,SUM(EH$4:EH301))</f>
        <v>-2.7373393576691663</v>
      </c>
      <c r="EJ301" s="205" t="str">
        <f t="shared" si="498"/>
        <v/>
      </c>
      <c r="EK301" s="205">
        <f>IF($J301="",#N/A,SUM(EJ$4:EJ301))</f>
        <v>5.050388173053765</v>
      </c>
      <c r="EL301" s="205">
        <f>IF($J301="",#N/A,SUM(EJ$4:EJ301,EH$4:EH301,EF$4:EF301))</f>
        <v>2.4342872695277298</v>
      </c>
      <c r="EM301" s="200" t="str">
        <f t="shared" si="499"/>
        <v/>
      </c>
      <c r="EN301" s="203">
        <f>IF($J301="",#N/A,SUM(EM$4:EM301))</f>
        <v>0</v>
      </c>
      <c r="EO301" s="204" t="str">
        <f t="shared" si="500"/>
        <v/>
      </c>
      <c r="EP301" s="204">
        <f>IF($J301="",#N/A,SUM(EO$4:EO301))</f>
        <v>2.0574787067554756</v>
      </c>
      <c r="EQ301" s="205" t="str">
        <f t="shared" si="501"/>
        <v/>
      </c>
      <c r="ER301" s="205">
        <f>IF($J301="",#N/A,SUM(EQ$4:EQ301))</f>
        <v>1.3977486422552698</v>
      </c>
      <c r="ES301" s="205">
        <f>IF($J301="",#N/A,SUM(EQ$4:EQ301,EO$4:EO301,EM$4:EM301))</f>
        <v>3.455227349010745</v>
      </c>
      <c r="ET301" s="200" t="str">
        <f t="shared" si="502"/>
        <v/>
      </c>
      <c r="EU301" s="203">
        <f>IF($J301="",#N/A,SUM(ET$4:ET301))</f>
        <v>0</v>
      </c>
      <c r="EV301" s="204" t="str">
        <f t="shared" si="503"/>
        <v/>
      </c>
      <c r="EW301" s="204">
        <f>IF($J301="",#N/A,SUM(EV$4:EV301))</f>
        <v>2.3297323921502326</v>
      </c>
      <c r="EX301" s="205" t="str">
        <f t="shared" si="504"/>
        <v/>
      </c>
      <c r="EY301" s="205">
        <f>IF($J301="",#N/A,SUM(EX$4:EX301))</f>
        <v>0.27113250180669229</v>
      </c>
      <c r="EZ301" s="205">
        <f>IF($J301="",#N/A,SUM(EX$4:EX301,EV$4:EV301,ET$4:ET301))</f>
        <v>2.6008648939569246</v>
      </c>
      <c r="FA301" s="200" t="str">
        <f t="shared" si="505"/>
        <v/>
      </c>
      <c r="FB301" s="203">
        <f>IF($J301="",#N/A,SUM(FA$4:FA301))</f>
        <v>-0.27145310509113252</v>
      </c>
      <c r="FC301" s="204" t="str">
        <f t="shared" si="506"/>
        <v/>
      </c>
      <c r="FD301" s="204">
        <f>IF($J301="",#N/A,SUM(FC$4:FC301))</f>
        <v>1.204376144197403</v>
      </c>
      <c r="FE301" s="205" t="str">
        <f t="shared" si="507"/>
        <v/>
      </c>
      <c r="FF301" s="205">
        <f>IF($J301="",#N/A,SUM(FE$4:FE301))</f>
        <v>-0.28811149078748233</v>
      </c>
      <c r="FG301" s="205">
        <f>IF($J301="",#N/A,SUM(FE$4:FE301,FC$4:FC301,FA$4:FA301))</f>
        <v>0.64481154831878851</v>
      </c>
      <c r="FH301" s="200" t="str">
        <f t="shared" si="508"/>
        <v/>
      </c>
      <c r="FI301" s="203">
        <f>IF($J301="",#N/A,SUM(FH$4:FH301))</f>
        <v>0</v>
      </c>
      <c r="FJ301" s="204" t="str">
        <f t="shared" si="509"/>
        <v/>
      </c>
      <c r="FK301" s="204">
        <f>IF($J301="",#N/A,SUM(FJ$4:FJ301))</f>
        <v>0</v>
      </c>
      <c r="FL301" s="205" t="str">
        <f t="shared" si="510"/>
        <v/>
      </c>
      <c r="FM301" s="205">
        <f>IF($J301="",#N/A,SUM(FL$4:FL301))</f>
        <v>0</v>
      </c>
      <c r="FN301" s="205">
        <f>IF($J301="",#N/A,SUM(FL$4:FL301,FJ$4:FJ301,FH$4:FH301))</f>
        <v>0</v>
      </c>
      <c r="FO301" s="200" t="str">
        <f t="shared" si="511"/>
        <v/>
      </c>
      <c r="FP301" s="203">
        <f>IF($J301="",#N/A,SUM(FO$4:FO301))</f>
        <v>0</v>
      </c>
      <c r="FQ301" s="204" t="str">
        <f t="shared" si="512"/>
        <v/>
      </c>
      <c r="FR301" s="204">
        <f>IF($J301="",#N/A,SUM(FQ$4:FQ301))</f>
        <v>0</v>
      </c>
      <c r="FS301" s="205" t="str">
        <f t="shared" si="513"/>
        <v/>
      </c>
      <c r="FT301" s="205">
        <f>IF($J301="",#N/A,SUM(FS$4:FS301))</f>
        <v>0</v>
      </c>
      <c r="FU301" s="205">
        <f>IF($J301="",#N/A,SUM(FS$4:FS301,FQ$4:FQ301,FO$4:FO301))</f>
        <v>0</v>
      </c>
      <c r="FV301" s="200" t="str">
        <f t="shared" si="514"/>
        <v/>
      </c>
      <c r="FW301" s="203">
        <f>IF($J301="",#N/A,SUM(FV$4:FV301))</f>
        <v>6.6834991831277585E-2</v>
      </c>
      <c r="FX301" s="204" t="str">
        <f t="shared" si="515"/>
        <v/>
      </c>
      <c r="FY301" s="204">
        <f>IF($J301="",#N/A,SUM(FX$4:FX301))</f>
        <v>-0.16102012791805576</v>
      </c>
      <c r="FZ301" s="205" t="str">
        <f t="shared" si="516"/>
        <v/>
      </c>
      <c r="GA301" s="205">
        <f>IF($J301="",#N/A,SUM(FZ$4:FZ301))</f>
        <v>-0.69624339162892301</v>
      </c>
      <c r="GB301" s="205">
        <f>IF($J301="",#N/A,SUM(FZ$4:FZ301,FX$4:FX301,FV$4:FV301))</f>
        <v>-0.79042852771570116</v>
      </c>
      <c r="GC301" s="200" t="str">
        <f t="shared" si="517"/>
        <v/>
      </c>
      <c r="GD301" s="203">
        <f>IF($J301="",#N/A,SUM(GC$4:GC301))</f>
        <v>0</v>
      </c>
      <c r="GE301" s="204" t="str">
        <f t="shared" si="518"/>
        <v/>
      </c>
      <c r="GF301" s="204">
        <f>IF($J301="",#N/A,SUM(GE$4:GE301))</f>
        <v>0</v>
      </c>
      <c r="GG301" s="205" t="str">
        <f t="shared" si="519"/>
        <v/>
      </c>
      <c r="GH301" s="205">
        <f>IF($J301="",#N/A,SUM(GG$4:GG301))</f>
        <v>-2.9368362277223206</v>
      </c>
      <c r="GI301" s="205">
        <f>IF($J301="",#N/A,SUM(GG$4:GG301,GE$4:GE301,GC$4:GC301))</f>
        <v>-2.9368362277223206</v>
      </c>
      <c r="GJ301" s="200" t="str">
        <f t="shared" si="520"/>
        <v/>
      </c>
      <c r="GK301" s="203">
        <f>IF($J301="",#N/A,SUM(GJ$4:GJ301))</f>
        <v>0</v>
      </c>
      <c r="GL301" s="204" t="str">
        <f t="shared" si="521"/>
        <v/>
      </c>
      <c r="GM301" s="204">
        <f>IF($J301="",#N/A,SUM(GL$4:GL301))</f>
        <v>-1.6833790887309608</v>
      </c>
      <c r="GN301" s="205" t="str">
        <f t="shared" si="522"/>
        <v/>
      </c>
      <c r="GO301" s="205">
        <f>IF($J301="",#N/A,SUM(GN$4:GN301))</f>
        <v>0</v>
      </c>
      <c r="GP301" s="205">
        <f>IF($J301="",#N/A,SUM(GN$4:GN301,GL$4:GL301,GJ$4:GJ301))</f>
        <v>-1.6833790887309608</v>
      </c>
      <c r="GS301" s="54">
        <f t="shared" si="541"/>
        <v>0.27222814437834558</v>
      </c>
      <c r="GT301" s="54">
        <f>IF(GS301="",NA(),SUM($GS$4:GS301))</f>
        <v>6.2660567792437405</v>
      </c>
      <c r="GU301" s="54">
        <f t="shared" si="523"/>
        <v>0.27222814437834558</v>
      </c>
      <c r="GV301" s="54">
        <f>IF(GU301="",NA(),SUM($GU$4:GU301))</f>
        <v>-5.6329901687182264</v>
      </c>
      <c r="GW301" s="54" t="str">
        <f t="shared" si="524"/>
        <v/>
      </c>
      <c r="GX301" s="54" t="e">
        <f>IF(GW301="",NA(),SUM($GW$4:GW301))</f>
        <v>#N/A</v>
      </c>
      <c r="GY301" s="54" t="str">
        <f t="shared" si="525"/>
        <v/>
      </c>
      <c r="GZ301" s="54" t="e">
        <f>IF(GY301="",NA(),SUM($GY$4:GY301))</f>
        <v>#N/A</v>
      </c>
      <c r="HA301" s="54" t="str">
        <f t="shared" si="526"/>
        <v/>
      </c>
      <c r="HB301" s="54" t="e">
        <f>IF(HA301="",NA(),SUM($HA$4:HA301))</f>
        <v>#N/A</v>
      </c>
      <c r="HC301" s="54" t="str">
        <f t="shared" si="527"/>
        <v/>
      </c>
      <c r="HD301" s="54" t="e">
        <f>IF(HC301="",NA(),SUM($HC$4:HC301))</f>
        <v>#N/A</v>
      </c>
      <c r="HE301" s="54" t="str">
        <f t="shared" si="528"/>
        <v/>
      </c>
      <c r="HF301" s="54" t="e">
        <f>IF(HE301="",NA(),SUM($HE$4:HE301))</f>
        <v>#N/A</v>
      </c>
      <c r="HG301" s="54" t="str">
        <f t="shared" si="529"/>
        <v/>
      </c>
      <c r="HH301" s="54" t="e">
        <f>IF(HG301="",NA(),SUM($HG$4:HG301))</f>
        <v>#N/A</v>
      </c>
      <c r="HI301" s="172" t="str">
        <f t="shared" si="542"/>
        <v/>
      </c>
      <c r="HJ301" s="172">
        <f>IF($J301="",#N/A,SUM(HI$4:$HI301))</f>
        <v>-7.7357960158937757</v>
      </c>
      <c r="HK301" s="54" t="str">
        <f t="shared" si="530"/>
        <v/>
      </c>
      <c r="HL301" s="54">
        <f>IF($J301="",#N/A,SUM($HK$4:HK301))</f>
        <v>0.70695442859830859</v>
      </c>
      <c r="HM301" s="54">
        <f t="shared" si="531"/>
        <v>0.5169469183774047</v>
      </c>
      <c r="HN301" s="54">
        <f>IF($J301="",#N/A,SUM($HM$4:HM301))</f>
        <v>1.2041389455942384</v>
      </c>
      <c r="HO301" s="54" t="str">
        <f t="shared" si="532"/>
        <v/>
      </c>
      <c r="HP301" s="54">
        <f>IF($J301="",#N/A,SUM($HO$4:HO301))</f>
        <v>-0.71662660021795599</v>
      </c>
      <c r="HQ301" s="54" t="str">
        <f t="shared" si="533"/>
        <v/>
      </c>
      <c r="HR301" s="54">
        <f>IF($J301="",#N/A,SUM($HQ$4:HQ301))</f>
        <v>-15.589576757744322</v>
      </c>
      <c r="HS301" s="54" t="str">
        <f t="shared" si="534"/>
        <v/>
      </c>
      <c r="HT301" s="54">
        <f>IF($J301="",#N/A,SUM($HS$4:HS301))</f>
        <v>15.486812150209897</v>
      </c>
      <c r="HU301" s="65">
        <f t="shared" si="535"/>
        <v>0.78917506275575022</v>
      </c>
      <c r="HV301" s="65">
        <f>IF($J301="",#N/A,SUM(HU$4:$HU301))</f>
        <v>3.0403337592976727</v>
      </c>
    </row>
    <row r="302" spans="1:230" x14ac:dyDescent="0.25">
      <c r="A302" s="51" t="s">
        <v>1597</v>
      </c>
      <c r="B302" s="52" t="s">
        <v>4596</v>
      </c>
      <c r="C302" s="229">
        <f t="shared" si="436"/>
        <v>2</v>
      </c>
      <c r="D302" s="219" t="str">
        <f>_xlfn.XLOOKUP(A302,[1]SP500!$A$2:$A$502,[1]SP500!$D$2:$D$502,"N")</f>
        <v>N</v>
      </c>
      <c r="E302" s="51" t="str">
        <f>IFERROR(_xlfn.XLOOKUP(A302,[1]SP500!$A$2:$A$655,[1]SP500!$B$2:$B$655),"")</f>
        <v>XLY</v>
      </c>
      <c r="F302" s="290">
        <v>45784</v>
      </c>
      <c r="G302" s="51" t="str">
        <f t="shared" si="437"/>
        <v>BMO</v>
      </c>
      <c r="H302" s="51" t="str">
        <f t="shared" si="438"/>
        <v>s</v>
      </c>
      <c r="I302" s="344">
        <v>29</v>
      </c>
      <c r="J302" s="123">
        <v>30</v>
      </c>
      <c r="K302" s="55">
        <f t="shared" si="439"/>
        <v>3.4482758620689655E-2</v>
      </c>
      <c r="L302" s="67">
        <f t="shared" si="440"/>
        <v>-40</v>
      </c>
      <c r="M302" s="57">
        <f t="shared" si="441"/>
        <v>0</v>
      </c>
      <c r="N302" s="102">
        <f t="shared" si="442"/>
        <v>-40</v>
      </c>
      <c r="O302" s="57">
        <f>IF(N302="",#N/A,SUM($N$4:N302))</f>
        <v>325.0057543032807</v>
      </c>
      <c r="P302" s="65">
        <f t="shared" si="536"/>
        <v>-0.57471264367816099</v>
      </c>
      <c r="Q302" s="172">
        <f>IF($N302="",#N/A,SUM($P$4:P302))</f>
        <v>9.1097149650731328</v>
      </c>
      <c r="R302" s="279">
        <f t="shared" si="443"/>
        <v>0.82929651401497573</v>
      </c>
      <c r="S302" s="51" t="str">
        <f t="shared" si="444"/>
        <v>Dwn</v>
      </c>
      <c r="T302" s="51" t="s">
        <v>4461</v>
      </c>
      <c r="U302" s="56">
        <f t="shared" si="445"/>
        <v>29</v>
      </c>
      <c r="V302" s="56" t="s">
        <v>4458</v>
      </c>
      <c r="W302" s="142">
        <v>40</v>
      </c>
      <c r="X302" s="145">
        <f t="shared" si="446"/>
        <v>1160</v>
      </c>
      <c r="Y302" s="140">
        <f t="shared" si="447"/>
        <v>40</v>
      </c>
      <c r="Z302" s="123">
        <v>30</v>
      </c>
      <c r="AA302" s="102">
        <f t="shared" si="448"/>
        <v>-40</v>
      </c>
      <c r="AB302" s="102">
        <f t="shared" si="449"/>
        <v>-51.200000000000045</v>
      </c>
      <c r="AC302" s="124">
        <v>30.28</v>
      </c>
      <c r="AD302" s="155">
        <f t="shared" si="450"/>
        <v>-51.200000000000045</v>
      </c>
      <c r="AE302" s="545">
        <f t="shared" si="451"/>
        <v>-0.73563218390804674</v>
      </c>
      <c r="AF302" s="57">
        <f>IF($AC302="",#N/A,SUM(AD$4:AD302))</f>
        <v>18.439804227767922</v>
      </c>
      <c r="AG302" s="102">
        <f t="shared" si="452"/>
        <v>-11.200000000000045</v>
      </c>
      <c r="AH302" s="56" t="s">
        <v>2507</v>
      </c>
      <c r="AI302" s="65">
        <f t="shared" si="453"/>
        <v>-0.57471264367816099</v>
      </c>
      <c r="AJ302" s="108">
        <f>IF(AI302="",#N/A,SUM($AI$4:AI302))</f>
        <v>8.2804184510581571</v>
      </c>
      <c r="AK302" s="57">
        <f t="shared" si="454"/>
        <v>-40</v>
      </c>
      <c r="AL302" s="66">
        <f>IF(AI302="",#N/A,IF(AH302="Skip",SUM($AK$4:AK302),SUM($AK$4:AK302)))</f>
        <v>265.76759149281429</v>
      </c>
      <c r="AM302" s="65">
        <f t="shared" si="537"/>
        <v>-0.73563218390804674</v>
      </c>
      <c r="AN302" s="209"/>
      <c r="AO302" s="65" t="str">
        <f t="shared" si="455"/>
        <v/>
      </c>
      <c r="AP302" s="65">
        <f>IF($AC302="",#N/A,SUM(AO$4:AO302))</f>
        <v>4.1819327430066817</v>
      </c>
      <c r="AQ302" s="65" t="str">
        <f t="shared" si="456"/>
        <v/>
      </c>
      <c r="AR302" s="65">
        <f>IF($AC302="",#N/A,SUM(AQ$4:AQ302))</f>
        <v>-5.1454778233419471</v>
      </c>
      <c r="AS302" s="65">
        <f t="shared" si="457"/>
        <v>-0.73563218390804674</v>
      </c>
      <c r="AT302" s="65">
        <f>IF($AC302="",#N/A,SUM(AS$4:AS302))</f>
        <v>3.2682466557248908</v>
      </c>
      <c r="AU302" s="57" t="str">
        <f t="shared" si="538"/>
        <v/>
      </c>
      <c r="AV302" s="57">
        <f>IF($AC302="",#N/A,SUM(AU$4:AU302))</f>
        <v>148.00249066104664</v>
      </c>
      <c r="AW302" s="57" t="str">
        <f t="shared" si="539"/>
        <v/>
      </c>
      <c r="AX302" s="57">
        <f>IF($AC302="",#N/A,SUM(AW$4:AW302))</f>
        <v>-339.68106797961104</v>
      </c>
      <c r="AY302" s="57">
        <f t="shared" si="540"/>
        <v>-51.200000000000045</v>
      </c>
      <c r="AZ302" s="57">
        <f>IF($AC302="",#N/A,SUM(AY$4:AY302))</f>
        <v>210.11838154633233</v>
      </c>
      <c r="BA302" s="57">
        <f>IF(AD302="",#N/A,SUM($AD$4:AD302))</f>
        <v>18.439804227767922</v>
      </c>
      <c r="BC302" s="51" t="str">
        <f t="shared" si="458"/>
        <v/>
      </c>
      <c r="BD302" s="51">
        <f t="shared" si="459"/>
        <v>1</v>
      </c>
      <c r="BE302" s="51" t="str">
        <f t="shared" si="460"/>
        <v/>
      </c>
      <c r="BF302" s="51" t="str">
        <f t="shared" si="461"/>
        <v>Short</v>
      </c>
      <c r="BG302" s="51" t="str">
        <f t="shared" si="462"/>
        <v/>
      </c>
      <c r="BH302" s="51" t="str">
        <f t="shared" si="463"/>
        <v/>
      </c>
      <c r="BI302" s="51" t="str">
        <f t="shared" si="464"/>
        <v/>
      </c>
      <c r="BK302" s="65">
        <f t="shared" si="435"/>
        <v>-0.12484186935172108</v>
      </c>
      <c r="BL302" s="65">
        <f t="shared" si="543"/>
        <v>-0.16028881213727914</v>
      </c>
      <c r="BM302" s="65">
        <f>IFERROR(Q302/COUNTA($J$4:J302),#N/A)</f>
        <v>3.0467274130679373E-2</v>
      </c>
      <c r="BO302" s="489" t="e">
        <f>IF(J302="",#N/A,IF(S302="SW",(COUNTIFS(K$4:$K302,"&gt;0",S$4:$S302,"SW")/COUNTIF(S$4:$S302,"SW")),#N/A))</f>
        <v>#N/A</v>
      </c>
      <c r="BP302" s="489">
        <f>IF($J302="",#N/A,IF($S302="DWN",(COUNTIFS($K$4:$K302,"&lt;0",$S$4:$S302,"DWN")/COUNTIF($S$4:$S302,"DWN")),#N/A))</f>
        <v>0.56834532374100721</v>
      </c>
      <c r="BQ302" s="489" t="e">
        <f>IF($J302="",#N/A,IF($S302="UP",(COUNTIFS($K$4:$K302,"&gt;0",$S$4:$S302,"UP")/COUNTIF($S$4:$S302,"UP")),#N/A))</f>
        <v>#N/A</v>
      </c>
      <c r="BR302" s="489">
        <f>IF(J302="",#N/A,COUNTIF($K$4:K302,"&gt;0")/COUNT($J$4:J302))</f>
        <v>0.45484949832775917</v>
      </c>
      <c r="BS302" s="65" t="str">
        <f t="shared" si="465"/>
        <v/>
      </c>
      <c r="BT302" s="65" t="str">
        <f t="shared" si="466"/>
        <v/>
      </c>
      <c r="BU302" s="65" t="str">
        <f t="shared" si="467"/>
        <v/>
      </c>
      <c r="BV302" s="65">
        <f t="shared" si="468"/>
        <v>-0.57471264367816099</v>
      </c>
      <c r="BW302" s="128" t="str">
        <f t="shared" si="469"/>
        <v/>
      </c>
      <c r="BX302" s="128">
        <f>IF($J302="",#N/A,SUM($BW$4:BW302))</f>
        <v>-371.69317034792857</v>
      </c>
      <c r="BY302" s="131">
        <f t="shared" si="470"/>
        <v>-40</v>
      </c>
      <c r="BZ302" s="131">
        <f>IF($J302="",#N/A,SUM($BY$4:BY302))</f>
        <v>573.73734038933401</v>
      </c>
      <c r="CA302" s="133" t="str">
        <f t="shared" si="471"/>
        <v/>
      </c>
      <c r="CB302" s="133">
        <f>IF($J302="",#N/A,SUM($CA$4:CA302))</f>
        <v>122.96158426187526</v>
      </c>
      <c r="CC302" s="194" t="str">
        <f t="shared" si="472"/>
        <v/>
      </c>
      <c r="CD302" s="194">
        <f>IF($J302="",#N/A,SUM($CC$4:CC302))</f>
        <v>-5.6329901687182264</v>
      </c>
      <c r="CE302" s="195">
        <f t="shared" si="473"/>
        <v>-0.57471264367816099</v>
      </c>
      <c r="CF302" s="195">
        <f>IF($J302="",#N/A,SUM($CE$4:CE302))</f>
        <v>10.458007783250252</v>
      </c>
      <c r="CG302" s="196" t="str">
        <f t="shared" si="474"/>
        <v/>
      </c>
      <c r="CH302" s="196">
        <f>IF($J302="",#N/A,SUM($CG$4:CG302))</f>
        <v>4.2846973505411121</v>
      </c>
      <c r="CI302" s="200" t="str">
        <f t="shared" si="475"/>
        <v/>
      </c>
      <c r="CJ302" s="203">
        <f>IF($J302="",#N/A,SUM(CI$4:CI302))</f>
        <v>0</v>
      </c>
      <c r="CK302" s="204" t="str">
        <f t="shared" si="476"/>
        <v/>
      </c>
      <c r="CL302" s="204">
        <f>IF($J302="",#N/A,SUM(CK$4:CK302))</f>
        <v>2.4085740385592547</v>
      </c>
      <c r="CM302" s="205" t="str">
        <f t="shared" si="477"/>
        <v/>
      </c>
      <c r="CN302" s="205">
        <f>IF($J302="",#N/A,SUM(CM$4:CM302))</f>
        <v>1.6152444684298783</v>
      </c>
      <c r="CO302" s="205">
        <f>IF($J302="",#N/A,SUM(CM$4:CM302,CK$4:CK302,CI$4:CI302))</f>
        <v>4.0238185069891328</v>
      </c>
      <c r="CP302" s="200" t="str">
        <f t="shared" si="478"/>
        <v/>
      </c>
      <c r="CQ302" s="203">
        <f>IF($J302="",#N/A,SUM(CP$4:CP302))</f>
        <v>-1.1156319314882757</v>
      </c>
      <c r="CR302" s="204" t="str">
        <f t="shared" si="479"/>
        <v/>
      </c>
      <c r="CS302" s="204">
        <f>IF($J302="",#N/A,SUM(CR$4:CR302))</f>
        <v>2.3600225017004668</v>
      </c>
      <c r="CT302" s="205" t="str">
        <f t="shared" si="480"/>
        <v/>
      </c>
      <c r="CU302" s="205">
        <f>IF($J302="",#N/A,SUM(CT$4:CT302))</f>
        <v>-2.9040943753548785</v>
      </c>
      <c r="CV302" s="205">
        <f>IF($J302="",#N/A,SUM(CT$4:CT302,CR$4:CR302,CP$4:CP302))</f>
        <v>-1.6597038051426876</v>
      </c>
      <c r="CW302" s="200" t="str">
        <f t="shared" si="481"/>
        <v/>
      </c>
      <c r="CX302" s="203">
        <f>IF($J302="",#N/A,SUM(CW$4:CW302))</f>
        <v>-1.2839616145397621</v>
      </c>
      <c r="CY302" s="204">
        <f t="shared" si="482"/>
        <v>-0.57471264367816099</v>
      </c>
      <c r="CZ302" s="204">
        <f>IF($J302="",#N/A,SUM(CY$4:CY302))</f>
        <v>-0.20119965665334139</v>
      </c>
      <c r="DA302" s="205" t="str">
        <f t="shared" si="483"/>
        <v/>
      </c>
      <c r="DB302" s="205">
        <f>IF($J302="",#N/A,SUM(DA$4:DA302))</f>
        <v>-1.1581788995104692</v>
      </c>
      <c r="DC302" s="205">
        <f>IF($J302="",#N/A,SUM(DA$4:DA302,CY$4:CY302,CW$4:CW302))</f>
        <v>-2.6433401707035724</v>
      </c>
      <c r="DD302" s="200" t="str">
        <f t="shared" si="484"/>
        <v/>
      </c>
      <c r="DE302" s="203">
        <f>IF($J302="",#N/A,SUM(DD$4:DD302))</f>
        <v>0.24769343410817113</v>
      </c>
      <c r="DF302" s="204" t="str">
        <f t="shared" si="485"/>
        <v/>
      </c>
      <c r="DG302" s="204">
        <f>IF($J302="",#N/A,SUM(DF$4:DF302))</f>
        <v>1.3104003890080136</v>
      </c>
      <c r="DH302" s="205" t="str">
        <f t="shared" si="486"/>
        <v/>
      </c>
      <c r="DI302" s="205">
        <f>IF($J302="",#N/A,SUM(DH$4:DH302))</f>
        <v>-2.7812008102163399</v>
      </c>
      <c r="DJ302" s="205">
        <f>IF($J302="",#N/A,SUM(DH$4:DH302,DF$4:DF302,DD$4:DD302))</f>
        <v>-1.2231069871001554</v>
      </c>
      <c r="DK302" s="200" t="str">
        <f t="shared" si="487"/>
        <v/>
      </c>
      <c r="DL302" s="203">
        <f>IF($J302="",#N/A,SUM(DK$4:DK302))</f>
        <v>-1.2097286851272664</v>
      </c>
      <c r="DM302" s="204" t="str">
        <f t="shared" si="488"/>
        <v/>
      </c>
      <c r="DN302" s="204">
        <f>IF($J302="",#N/A,SUM(DM$4:DM302))</f>
        <v>1.1747256665753205</v>
      </c>
      <c r="DO302" s="205" t="str">
        <f t="shared" si="489"/>
        <v/>
      </c>
      <c r="DP302" s="205">
        <f>IF($J302="",#N/A,SUM(DO$4:DO302))</f>
        <v>2.700331529683047</v>
      </c>
      <c r="DQ302" s="205">
        <f>IF($J302="",#N/A,SUM(DO$4:DO302,DM$4:DM302,DK$4:DK302))</f>
        <v>2.6653285111311016</v>
      </c>
      <c r="DR302" s="200" t="str">
        <f t="shared" si="490"/>
        <v/>
      </c>
      <c r="DS302" s="203">
        <f>IF($J302="",#N/A,SUM(DR$4:DR302))</f>
        <v>-0.55950946427675097</v>
      </c>
      <c r="DT302" s="204" t="str">
        <f t="shared" si="491"/>
        <v/>
      </c>
      <c r="DU302" s="204">
        <f>IF($J302="",#N/A,SUM(DT$4:DT302))</f>
        <v>-0.20750635820596686</v>
      </c>
      <c r="DV302" s="205" t="str">
        <f t="shared" si="492"/>
        <v/>
      </c>
      <c r="DW302" s="205">
        <f>IF($J302="",#N/A,SUM(DV$4:DV302))</f>
        <v>-2.3377035686214001</v>
      </c>
      <c r="DX302" s="205">
        <f>IF($J302="",#N/A,SUM(DV$4:DV302,DT$4:DT302,DR$4:DR302))</f>
        <v>-3.1047193911041169</v>
      </c>
      <c r="DY302" s="200" t="str">
        <f t="shared" si="493"/>
        <v/>
      </c>
      <c r="DZ302" s="203">
        <f>IF($J302="",#N/A,SUM(DY$4:DY302))</f>
        <v>-1.6284722482776204</v>
      </c>
      <c r="EA302" s="204" t="str">
        <f t="shared" si="494"/>
        <v/>
      </c>
      <c r="EB302" s="204">
        <f>IF($J302="",#N/A,SUM(EA$4:EA302))</f>
        <v>2.276197208799712</v>
      </c>
      <c r="EC302" s="205" t="str">
        <f t="shared" si="495"/>
        <v/>
      </c>
      <c r="ED302" s="205">
        <f>IF($J302="",#N/A,SUM(EC$4:EC302))</f>
        <v>6.352220799154269</v>
      </c>
      <c r="EE302" s="205">
        <f>IF($J302="",#N/A,SUM(EC$4:EC302,EA$4:EA302,DY$4:DY302))</f>
        <v>6.9999457596763603</v>
      </c>
      <c r="EF302" s="200" t="str">
        <f t="shared" si="496"/>
        <v/>
      </c>
      <c r="EG302" s="203">
        <f>IF($J302="",#N/A,SUM(EF$4:EF302))</f>
        <v>0.12123845414313134</v>
      </c>
      <c r="EH302" s="204" t="str">
        <f t="shared" si="497"/>
        <v/>
      </c>
      <c r="EI302" s="204">
        <f>IF($J302="",#N/A,SUM(EH$4:EH302))</f>
        <v>-2.7373393576691663</v>
      </c>
      <c r="EJ302" s="205" t="str">
        <f t="shared" si="498"/>
        <v/>
      </c>
      <c r="EK302" s="205">
        <f>IF($J302="",#N/A,SUM(EJ$4:EJ302))</f>
        <v>5.050388173053765</v>
      </c>
      <c r="EL302" s="205">
        <f>IF($J302="",#N/A,SUM(EJ$4:EJ302,EH$4:EH302,EF$4:EF302))</f>
        <v>2.4342872695277298</v>
      </c>
      <c r="EM302" s="200" t="str">
        <f t="shared" si="499"/>
        <v/>
      </c>
      <c r="EN302" s="203">
        <f>IF($J302="",#N/A,SUM(EM$4:EM302))</f>
        <v>0</v>
      </c>
      <c r="EO302" s="204" t="str">
        <f t="shared" si="500"/>
        <v/>
      </c>
      <c r="EP302" s="204">
        <f>IF($J302="",#N/A,SUM(EO$4:EO302))</f>
        <v>2.0574787067554756</v>
      </c>
      <c r="EQ302" s="205" t="str">
        <f t="shared" si="501"/>
        <v/>
      </c>
      <c r="ER302" s="205">
        <f>IF($J302="",#N/A,SUM(EQ$4:EQ302))</f>
        <v>1.3977486422552698</v>
      </c>
      <c r="ES302" s="205">
        <f>IF($J302="",#N/A,SUM(EQ$4:EQ302,EO$4:EO302,EM$4:EM302))</f>
        <v>3.455227349010745</v>
      </c>
      <c r="ET302" s="200" t="str">
        <f t="shared" si="502"/>
        <v/>
      </c>
      <c r="EU302" s="203">
        <f>IF($J302="",#N/A,SUM(ET$4:ET302))</f>
        <v>0</v>
      </c>
      <c r="EV302" s="204" t="str">
        <f t="shared" si="503"/>
        <v/>
      </c>
      <c r="EW302" s="204">
        <f>IF($J302="",#N/A,SUM(EV$4:EV302))</f>
        <v>2.3297323921502326</v>
      </c>
      <c r="EX302" s="205" t="str">
        <f t="shared" si="504"/>
        <v/>
      </c>
      <c r="EY302" s="205">
        <f>IF($J302="",#N/A,SUM(EX$4:EX302))</f>
        <v>0.27113250180669229</v>
      </c>
      <c r="EZ302" s="205">
        <f>IF($J302="",#N/A,SUM(EX$4:EX302,EV$4:EV302,ET$4:ET302))</f>
        <v>2.6008648939569246</v>
      </c>
      <c r="FA302" s="200" t="str">
        <f t="shared" si="505"/>
        <v/>
      </c>
      <c r="FB302" s="203">
        <f>IF($J302="",#N/A,SUM(FA$4:FA302))</f>
        <v>-0.27145310509113252</v>
      </c>
      <c r="FC302" s="204" t="str">
        <f t="shared" si="506"/>
        <v/>
      </c>
      <c r="FD302" s="204">
        <f>IF($J302="",#N/A,SUM(FC$4:FC302))</f>
        <v>1.204376144197403</v>
      </c>
      <c r="FE302" s="205" t="str">
        <f t="shared" si="507"/>
        <v/>
      </c>
      <c r="FF302" s="205">
        <f>IF($J302="",#N/A,SUM(FE$4:FE302))</f>
        <v>-0.28811149078748233</v>
      </c>
      <c r="FG302" s="205">
        <f>IF($J302="",#N/A,SUM(FE$4:FE302,FC$4:FC302,FA$4:FA302))</f>
        <v>0.64481154831878851</v>
      </c>
      <c r="FH302" s="200" t="str">
        <f t="shared" si="508"/>
        <v/>
      </c>
      <c r="FI302" s="203">
        <f>IF($J302="",#N/A,SUM(FH$4:FH302))</f>
        <v>0</v>
      </c>
      <c r="FJ302" s="204" t="str">
        <f t="shared" si="509"/>
        <v/>
      </c>
      <c r="FK302" s="204">
        <f>IF($J302="",#N/A,SUM(FJ$4:FJ302))</f>
        <v>0</v>
      </c>
      <c r="FL302" s="205" t="str">
        <f t="shared" si="510"/>
        <v/>
      </c>
      <c r="FM302" s="205">
        <f>IF($J302="",#N/A,SUM(FL$4:FL302))</f>
        <v>0</v>
      </c>
      <c r="FN302" s="205">
        <f>IF($J302="",#N/A,SUM(FL$4:FL302,FJ$4:FJ302,FH$4:FH302))</f>
        <v>0</v>
      </c>
      <c r="FO302" s="200" t="str">
        <f t="shared" si="511"/>
        <v/>
      </c>
      <c r="FP302" s="203">
        <f>IF($J302="",#N/A,SUM(FO$4:FO302))</f>
        <v>0</v>
      </c>
      <c r="FQ302" s="204" t="str">
        <f t="shared" si="512"/>
        <v/>
      </c>
      <c r="FR302" s="204">
        <f>IF($J302="",#N/A,SUM(FQ$4:FQ302))</f>
        <v>0</v>
      </c>
      <c r="FS302" s="205" t="str">
        <f t="shared" si="513"/>
        <v/>
      </c>
      <c r="FT302" s="205">
        <f>IF($J302="",#N/A,SUM(FS$4:FS302))</f>
        <v>0</v>
      </c>
      <c r="FU302" s="205">
        <f>IF($J302="",#N/A,SUM(FS$4:FS302,FQ$4:FQ302,FO$4:FO302))</f>
        <v>0</v>
      </c>
      <c r="FV302" s="200" t="str">
        <f t="shared" si="514"/>
        <v/>
      </c>
      <c r="FW302" s="203">
        <f>IF($J302="",#N/A,SUM(FV$4:FV302))</f>
        <v>6.6834991831277585E-2</v>
      </c>
      <c r="FX302" s="204" t="str">
        <f t="shared" si="515"/>
        <v/>
      </c>
      <c r="FY302" s="204">
        <f>IF($J302="",#N/A,SUM(FX$4:FX302))</f>
        <v>-0.16102012791805576</v>
      </c>
      <c r="FZ302" s="205" t="str">
        <f t="shared" si="516"/>
        <v/>
      </c>
      <c r="GA302" s="205">
        <f>IF($J302="",#N/A,SUM(FZ$4:FZ302))</f>
        <v>-0.69624339162892301</v>
      </c>
      <c r="GB302" s="205">
        <f>IF($J302="",#N/A,SUM(FZ$4:FZ302,FX$4:FX302,FV$4:FV302))</f>
        <v>-0.79042852771570116</v>
      </c>
      <c r="GC302" s="200" t="str">
        <f t="shared" si="517"/>
        <v/>
      </c>
      <c r="GD302" s="203">
        <f>IF($J302="",#N/A,SUM(GC$4:GC302))</f>
        <v>0</v>
      </c>
      <c r="GE302" s="204" t="str">
        <f t="shared" si="518"/>
        <v/>
      </c>
      <c r="GF302" s="204">
        <f>IF($J302="",#N/A,SUM(GE$4:GE302))</f>
        <v>0</v>
      </c>
      <c r="GG302" s="205" t="str">
        <f t="shared" si="519"/>
        <v/>
      </c>
      <c r="GH302" s="205">
        <f>IF($J302="",#N/A,SUM(GG$4:GG302))</f>
        <v>-2.9368362277223206</v>
      </c>
      <c r="GI302" s="205">
        <f>IF($J302="",#N/A,SUM(GG$4:GG302,GE$4:GE302,GC$4:GC302))</f>
        <v>-2.9368362277223206</v>
      </c>
      <c r="GJ302" s="200" t="str">
        <f t="shared" si="520"/>
        <v/>
      </c>
      <c r="GK302" s="203">
        <f>IF($J302="",#N/A,SUM(GJ$4:GJ302))</f>
        <v>0</v>
      </c>
      <c r="GL302" s="204" t="str">
        <f t="shared" si="521"/>
        <v/>
      </c>
      <c r="GM302" s="204">
        <f>IF($J302="",#N/A,SUM(GL$4:GL302))</f>
        <v>-1.6833790887309608</v>
      </c>
      <c r="GN302" s="205" t="str">
        <f t="shared" si="522"/>
        <v/>
      </c>
      <c r="GO302" s="205">
        <f>IF($J302="",#N/A,SUM(GN$4:GN302))</f>
        <v>0</v>
      </c>
      <c r="GP302" s="205">
        <f>IF($J302="",#N/A,SUM(GN$4:GN302,GL$4:GL302,GJ$4:GJ302))</f>
        <v>-1.6833790887309608</v>
      </c>
      <c r="GS302" s="54" t="str">
        <f t="shared" si="541"/>
        <v/>
      </c>
      <c r="GT302" s="54" t="e">
        <f>IF(GS302="",NA(),SUM($GS$4:GS302))</f>
        <v>#N/A</v>
      </c>
      <c r="GU302" s="54" t="str">
        <f t="shared" si="523"/>
        <v/>
      </c>
      <c r="GV302" s="54" t="e">
        <f>IF(GU302="",NA(),SUM($GU$4:GU302))</f>
        <v>#N/A</v>
      </c>
      <c r="GW302" s="54" t="str">
        <f t="shared" si="524"/>
        <v/>
      </c>
      <c r="GX302" s="54" t="e">
        <f>IF(GW302="",NA(),SUM($GW$4:GW302))</f>
        <v>#N/A</v>
      </c>
      <c r="GY302" s="54" t="str">
        <f t="shared" si="525"/>
        <v/>
      </c>
      <c r="GZ302" s="54" t="e">
        <f>IF(GY302="",NA(),SUM($GY$4:GY302))</f>
        <v>#N/A</v>
      </c>
      <c r="HA302" s="54">
        <f t="shared" si="526"/>
        <v>-0.57471264367816099</v>
      </c>
      <c r="HB302" s="54">
        <f>IF(HA302="",NA(),SUM($HA$4:HA302))</f>
        <v>2.8436581858293928</v>
      </c>
      <c r="HC302" s="54" t="str">
        <f t="shared" si="527"/>
        <v/>
      </c>
      <c r="HD302" s="54" t="e">
        <f>IF(HC302="",NA(),SUM($HC$4:HC302))</f>
        <v>#N/A</v>
      </c>
      <c r="HE302" s="54" t="str">
        <f t="shared" si="528"/>
        <v/>
      </c>
      <c r="HF302" s="54" t="e">
        <f>IF(HE302="",NA(),SUM($HE$4:HE302))</f>
        <v>#N/A</v>
      </c>
      <c r="HG302" s="54">
        <f t="shared" si="529"/>
        <v>-0.57471264367816099</v>
      </c>
      <c r="HH302" s="54">
        <f>IF(HG302="",NA(),SUM($HG$4:HG302))</f>
        <v>4.3817990749243902</v>
      </c>
      <c r="HI302" s="172" t="str">
        <f t="shared" si="542"/>
        <v/>
      </c>
      <c r="HJ302" s="172">
        <f>IF($J302="",#N/A,SUM(HI$4:$HI302))</f>
        <v>-7.7357960158937757</v>
      </c>
      <c r="HK302" s="54">
        <f t="shared" si="530"/>
        <v>-0.16091954022988575</v>
      </c>
      <c r="HL302" s="54">
        <f>IF($J302="",#N/A,SUM($HK$4:HK302))</f>
        <v>0.54603488836842284</v>
      </c>
      <c r="HM302" s="54" t="str">
        <f t="shared" si="531"/>
        <v/>
      </c>
      <c r="HN302" s="54">
        <f>IF($J302="",#N/A,SUM($HM$4:HM302))</f>
        <v>1.2041389455942384</v>
      </c>
      <c r="HO302" s="54" t="str">
        <f t="shared" si="532"/>
        <v/>
      </c>
      <c r="HP302" s="54">
        <f>IF($J302="",#N/A,SUM($HO$4:HO302))</f>
        <v>-0.71662660021795599</v>
      </c>
      <c r="HQ302" s="54" t="str">
        <f t="shared" si="533"/>
        <v/>
      </c>
      <c r="HR302" s="54">
        <f>IF($J302="",#N/A,SUM($HQ$4:HQ302))</f>
        <v>-15.589576757744322</v>
      </c>
      <c r="HS302" s="54" t="str">
        <f t="shared" si="534"/>
        <v/>
      </c>
      <c r="HT302" s="54">
        <f>IF($J302="",#N/A,SUM($HS$4:HS302))</f>
        <v>15.486812150209897</v>
      </c>
      <c r="HU302" s="65">
        <f t="shared" si="535"/>
        <v>-0.73563218390804674</v>
      </c>
      <c r="HV302" s="65">
        <f>IF($J302="",#N/A,SUM(HU$4:$HU302))</f>
        <v>2.3047015753896258</v>
      </c>
    </row>
    <row r="303" spans="1:230" x14ac:dyDescent="0.25">
      <c r="A303" s="51" t="s">
        <v>2572</v>
      </c>
      <c r="B303" s="52" t="s">
        <v>4596</v>
      </c>
      <c r="C303" s="229">
        <f t="shared" si="436"/>
        <v>3</v>
      </c>
      <c r="D303" s="219" t="str">
        <f>_xlfn.XLOOKUP(A303,[1]SP500!$A$2:$A$502,[1]SP500!$D$2:$D$502,"N")</f>
        <v>N</v>
      </c>
      <c r="E303" s="51" t="str">
        <f>IFERROR(_xlfn.XLOOKUP(A303,[1]SP500!$A$2:$A$655,[1]SP500!$B$2:$B$655),"")</f>
        <v>IGV</v>
      </c>
      <c r="F303" s="53">
        <v>45784</v>
      </c>
      <c r="G303" s="51" t="str">
        <f t="shared" si="437"/>
        <v>BMO</v>
      </c>
      <c r="H303" s="51" t="str">
        <f t="shared" si="438"/>
        <v>s</v>
      </c>
      <c r="I303" s="344">
        <v>21.32</v>
      </c>
      <c r="J303" s="124">
        <v>21.32</v>
      </c>
      <c r="K303" s="55">
        <f t="shared" si="439"/>
        <v>0</v>
      </c>
      <c r="L303" s="67">
        <f t="shared" si="440"/>
        <v>0</v>
      </c>
      <c r="M303" s="57">
        <f t="shared" si="441"/>
        <v>0</v>
      </c>
      <c r="N303" s="102">
        <f t="shared" si="442"/>
        <v>0</v>
      </c>
      <c r="O303" s="57">
        <f>IF(N303="",#N/A,SUM($N$4:N303))</f>
        <v>325.0057543032807</v>
      </c>
      <c r="P303" s="65">
        <f t="shared" si="536"/>
        <v>0</v>
      </c>
      <c r="Q303" s="172">
        <f>IF($N303="",#N/A,SUM($P$4:P303))</f>
        <v>9.1097149650731328</v>
      </c>
      <c r="R303" s="359">
        <f t="shared" si="443"/>
        <v>0.82929651401497573</v>
      </c>
      <c r="S303" s="51" t="str">
        <f t="shared" si="444"/>
        <v>SW</v>
      </c>
      <c r="T303" s="51" t="s">
        <v>2828</v>
      </c>
      <c r="U303" s="56">
        <f t="shared" si="445"/>
        <v>21.32</v>
      </c>
      <c r="V303" s="56" t="s">
        <v>4460</v>
      </c>
      <c r="W303" s="140">
        <v>40</v>
      </c>
      <c r="X303" s="145">
        <f t="shared" si="446"/>
        <v>852.8</v>
      </c>
      <c r="Y303" s="140">
        <f t="shared" si="447"/>
        <v>40</v>
      </c>
      <c r="Z303" s="123">
        <v>21.32</v>
      </c>
      <c r="AA303" s="102">
        <f t="shared" si="448"/>
        <v>0</v>
      </c>
      <c r="AB303" s="102">
        <f t="shared" si="449"/>
        <v>-26.399999999999977</v>
      </c>
      <c r="AC303" s="124">
        <v>20.66</v>
      </c>
      <c r="AD303" s="155">
        <f t="shared" si="450"/>
        <v>-26.399999999999977</v>
      </c>
      <c r="AE303" s="545">
        <f t="shared" si="451"/>
        <v>-0.51594746716697903</v>
      </c>
      <c r="AF303" s="57">
        <f>IF($AC303="",#N/A,SUM(AD$4:AD303))</f>
        <v>-7.9601957722320549</v>
      </c>
      <c r="AG303" s="102">
        <f t="shared" si="452"/>
        <v>-26.399999999999977</v>
      </c>
      <c r="AH303" s="56" t="s">
        <v>2507</v>
      </c>
      <c r="AI303" s="65">
        <f t="shared" si="453"/>
        <v>0</v>
      </c>
      <c r="AJ303" s="108">
        <f>IF(AI303="",#N/A,SUM($AI$4:AI303))</f>
        <v>8.2804184510581571</v>
      </c>
      <c r="AK303" s="57">
        <f t="shared" si="454"/>
        <v>0</v>
      </c>
      <c r="AL303" s="66">
        <f>IF(AI303="",#N/A,IF(AH303="Skip",SUM($AK$4:AK303),SUM($AK$4:AK303)))</f>
        <v>265.76759149281429</v>
      </c>
      <c r="AM303" s="65">
        <f t="shared" si="537"/>
        <v>-0.51594746716697903</v>
      </c>
      <c r="AN303" s="209"/>
      <c r="AO303" s="65">
        <f t="shared" si="455"/>
        <v>-0.51594746716697903</v>
      </c>
      <c r="AP303" s="65">
        <f>IF($AC303="",#N/A,SUM(AO$4:AO303))</f>
        <v>3.6659852758397027</v>
      </c>
      <c r="AQ303" s="65" t="str">
        <f t="shared" si="456"/>
        <v/>
      </c>
      <c r="AR303" s="65">
        <f>IF($AC303="",#N/A,SUM(AQ$4:AQ303))</f>
        <v>-5.1454778233419471</v>
      </c>
      <c r="AS303" s="65" t="str">
        <f t="shared" si="457"/>
        <v/>
      </c>
      <c r="AT303" s="65">
        <f>IF($AC303="",#N/A,SUM(AS$4:AS303))</f>
        <v>3.2682466557248908</v>
      </c>
      <c r="AU303" s="57">
        <f t="shared" si="538"/>
        <v>-26.399999999999977</v>
      </c>
      <c r="AV303" s="57">
        <f>IF($AC303="",#N/A,SUM(AU$4:AU303))</f>
        <v>121.60249066104666</v>
      </c>
      <c r="AW303" s="57" t="str">
        <f t="shared" si="539"/>
        <v/>
      </c>
      <c r="AX303" s="57">
        <f>IF($AC303="",#N/A,SUM(AW$4:AW303))</f>
        <v>-339.68106797961104</v>
      </c>
      <c r="AY303" s="57" t="str">
        <f t="shared" si="540"/>
        <v/>
      </c>
      <c r="AZ303" s="57">
        <f>IF($AC303="",#N/A,SUM(AY$4:AY303))</f>
        <v>210.11838154633233</v>
      </c>
      <c r="BA303" s="57">
        <f>IF(AD303="",#N/A,SUM($AD$4:AD303))</f>
        <v>-7.9601957722320549</v>
      </c>
      <c r="BC303" s="51" t="str">
        <f t="shared" si="458"/>
        <v/>
      </c>
      <c r="BD303" s="51" t="str">
        <f t="shared" si="459"/>
        <v/>
      </c>
      <c r="BE303" s="51" t="str">
        <f t="shared" si="460"/>
        <v/>
      </c>
      <c r="BF303" s="51" t="str">
        <f t="shared" si="461"/>
        <v>Long</v>
      </c>
      <c r="BG303" s="51" t="str">
        <f t="shared" si="462"/>
        <v/>
      </c>
      <c r="BH303" s="51" t="str">
        <f t="shared" si="463"/>
        <v/>
      </c>
      <c r="BI303" s="51" t="str">
        <f t="shared" si="464"/>
        <v/>
      </c>
      <c r="BK303" s="65">
        <f t="shared" si="435"/>
        <v>-0.13392567478246928</v>
      </c>
      <c r="BL303" s="65">
        <f t="shared" si="543"/>
        <v>-0.17384100068946759</v>
      </c>
      <c r="BM303" s="65">
        <f>IFERROR(Q303/COUNTA($J$4:J303),#N/A)</f>
        <v>3.0365716550243775E-2</v>
      </c>
      <c r="BO303" s="489">
        <f>IF(J303="",#N/A,IF(S303="SW",(COUNTIFS(K$4:$K303,"&gt;0",S$4:$S303,"SW")/COUNTIF(S$4:$S303,"SW")),#N/A))</f>
        <v>0.48936170212765956</v>
      </c>
      <c r="BP303" s="489" t="e">
        <f>IF($J303="",#N/A,IF($S303="DWN",(COUNTIFS($K$4:$K303,"&lt;0",$S$4:$S303,"DWN")/COUNTIF($S$4:$S303,"DWN")),#N/A))</f>
        <v>#N/A</v>
      </c>
      <c r="BQ303" s="489" t="e">
        <f>IF($J303="",#N/A,IF($S303="UP",(COUNTIFS($K$4:$K303,"&gt;0",$S$4:$S303,"UP")/COUNTIF($S$4:$S303,"UP")),#N/A))</f>
        <v>#N/A</v>
      </c>
      <c r="BR303" s="489">
        <f>IF(J303="",#N/A,COUNTIF($K$4:K303,"&gt;0")/COUNT($J$4:J303))</f>
        <v>0.45333333333333331</v>
      </c>
      <c r="BS303" s="65" t="str">
        <f t="shared" si="465"/>
        <v/>
      </c>
      <c r="BT303" s="65" t="str">
        <f t="shared" si="466"/>
        <v/>
      </c>
      <c r="BU303" s="65" t="str">
        <f t="shared" si="467"/>
        <v/>
      </c>
      <c r="BV303" s="65" t="str">
        <f t="shared" si="468"/>
        <v/>
      </c>
      <c r="BW303" s="128" t="str">
        <f t="shared" si="469"/>
        <v/>
      </c>
      <c r="BX303" s="128">
        <f>IF($J303="",#N/A,SUM($BW$4:BW303))</f>
        <v>-371.69317034792857</v>
      </c>
      <c r="BY303" s="131" t="str">
        <f t="shared" si="470"/>
        <v/>
      </c>
      <c r="BZ303" s="131">
        <f>IF($J303="",#N/A,SUM($BY$4:BY303))</f>
        <v>573.73734038933401</v>
      </c>
      <c r="CA303" s="133">
        <f t="shared" si="471"/>
        <v>0</v>
      </c>
      <c r="CB303" s="133">
        <f>IF($J303="",#N/A,SUM($CA$4:CA303))</f>
        <v>122.96158426187526</v>
      </c>
      <c r="CC303" s="194" t="str">
        <f t="shared" si="472"/>
        <v/>
      </c>
      <c r="CD303" s="194">
        <f>IF($J303="",#N/A,SUM($CC$4:CC303))</f>
        <v>-5.6329901687182264</v>
      </c>
      <c r="CE303" s="195" t="str">
        <f t="shared" si="473"/>
        <v/>
      </c>
      <c r="CF303" s="195">
        <f>IF($J303="",#N/A,SUM($CE$4:CE303))</f>
        <v>10.458007783250252</v>
      </c>
      <c r="CG303" s="196">
        <f t="shared" si="474"/>
        <v>0</v>
      </c>
      <c r="CH303" s="196">
        <f>IF($J303="",#N/A,SUM($CG$4:CG303))</f>
        <v>4.2846973505411121</v>
      </c>
      <c r="CI303" s="200" t="str">
        <f t="shared" si="475"/>
        <v/>
      </c>
      <c r="CJ303" s="203">
        <f>IF($J303="",#N/A,SUM(CI$4:CI303))</f>
        <v>0</v>
      </c>
      <c r="CK303" s="204" t="str">
        <f t="shared" si="476"/>
        <v/>
      </c>
      <c r="CL303" s="204">
        <f>IF($J303="",#N/A,SUM(CK$4:CK303))</f>
        <v>2.4085740385592547</v>
      </c>
      <c r="CM303" s="205" t="str">
        <f t="shared" si="477"/>
        <v/>
      </c>
      <c r="CN303" s="205">
        <f>IF($J303="",#N/A,SUM(CM$4:CM303))</f>
        <v>1.6152444684298783</v>
      </c>
      <c r="CO303" s="205">
        <f>IF($J303="",#N/A,SUM(CM$4:CM303,CK$4:CK303,CI$4:CI303))</f>
        <v>4.0238185069891328</v>
      </c>
      <c r="CP303" s="200" t="str">
        <f t="shared" si="478"/>
        <v/>
      </c>
      <c r="CQ303" s="203">
        <f>IF($J303="",#N/A,SUM(CP$4:CP303))</f>
        <v>-1.1156319314882757</v>
      </c>
      <c r="CR303" s="204" t="str">
        <f t="shared" si="479"/>
        <v/>
      </c>
      <c r="CS303" s="204">
        <f>IF($J303="",#N/A,SUM(CR$4:CR303))</f>
        <v>2.3600225017004668</v>
      </c>
      <c r="CT303" s="205">
        <f t="shared" si="480"/>
        <v>0</v>
      </c>
      <c r="CU303" s="205">
        <f>IF($J303="",#N/A,SUM(CT$4:CT303))</f>
        <v>-2.9040943753548785</v>
      </c>
      <c r="CV303" s="205">
        <f>IF($J303="",#N/A,SUM(CT$4:CT303,CR$4:CR303,CP$4:CP303))</f>
        <v>-1.6597038051426876</v>
      </c>
      <c r="CW303" s="200" t="str">
        <f t="shared" si="481"/>
        <v/>
      </c>
      <c r="CX303" s="203">
        <f>IF($J303="",#N/A,SUM(CW$4:CW303))</f>
        <v>-1.2839616145397621</v>
      </c>
      <c r="CY303" s="204" t="str">
        <f t="shared" si="482"/>
        <v/>
      </c>
      <c r="CZ303" s="204">
        <f>IF($J303="",#N/A,SUM(CY$4:CY303))</f>
        <v>-0.20119965665334139</v>
      </c>
      <c r="DA303" s="205" t="str">
        <f t="shared" si="483"/>
        <v/>
      </c>
      <c r="DB303" s="205">
        <f>IF($J303="",#N/A,SUM(DA$4:DA303))</f>
        <v>-1.1581788995104692</v>
      </c>
      <c r="DC303" s="205">
        <f>IF($J303="",#N/A,SUM(DA$4:DA303,CY$4:CY303,CW$4:CW303))</f>
        <v>-2.6433401707035724</v>
      </c>
      <c r="DD303" s="200" t="str">
        <f t="shared" si="484"/>
        <v/>
      </c>
      <c r="DE303" s="203">
        <f>IF($J303="",#N/A,SUM(DD$4:DD303))</f>
        <v>0.24769343410817113</v>
      </c>
      <c r="DF303" s="204" t="str">
        <f t="shared" si="485"/>
        <v/>
      </c>
      <c r="DG303" s="204">
        <f>IF($J303="",#N/A,SUM(DF$4:DF303))</f>
        <v>1.3104003890080136</v>
      </c>
      <c r="DH303" s="205" t="str">
        <f t="shared" si="486"/>
        <v/>
      </c>
      <c r="DI303" s="205">
        <f>IF($J303="",#N/A,SUM(DH$4:DH303))</f>
        <v>-2.7812008102163399</v>
      </c>
      <c r="DJ303" s="205">
        <f>IF($J303="",#N/A,SUM(DH$4:DH303,DF$4:DF303,DD$4:DD303))</f>
        <v>-1.2231069871001554</v>
      </c>
      <c r="DK303" s="200" t="str">
        <f t="shared" si="487"/>
        <v/>
      </c>
      <c r="DL303" s="203">
        <f>IF($J303="",#N/A,SUM(DK$4:DK303))</f>
        <v>-1.2097286851272664</v>
      </c>
      <c r="DM303" s="204" t="str">
        <f t="shared" si="488"/>
        <v/>
      </c>
      <c r="DN303" s="204">
        <f>IF($J303="",#N/A,SUM(DM$4:DM303))</f>
        <v>1.1747256665753205</v>
      </c>
      <c r="DO303" s="205" t="str">
        <f t="shared" si="489"/>
        <v/>
      </c>
      <c r="DP303" s="205">
        <f>IF($J303="",#N/A,SUM(DO$4:DO303))</f>
        <v>2.700331529683047</v>
      </c>
      <c r="DQ303" s="205">
        <f>IF($J303="",#N/A,SUM(DO$4:DO303,DM$4:DM303,DK$4:DK303))</f>
        <v>2.6653285111311016</v>
      </c>
      <c r="DR303" s="200" t="str">
        <f t="shared" si="490"/>
        <v/>
      </c>
      <c r="DS303" s="203">
        <f>IF($J303="",#N/A,SUM(DR$4:DR303))</f>
        <v>-0.55950946427675097</v>
      </c>
      <c r="DT303" s="204" t="str">
        <f t="shared" si="491"/>
        <v/>
      </c>
      <c r="DU303" s="204">
        <f>IF($J303="",#N/A,SUM(DT$4:DT303))</f>
        <v>-0.20750635820596686</v>
      </c>
      <c r="DV303" s="205" t="str">
        <f t="shared" si="492"/>
        <v/>
      </c>
      <c r="DW303" s="205">
        <f>IF($J303="",#N/A,SUM(DV$4:DV303))</f>
        <v>-2.3377035686214001</v>
      </c>
      <c r="DX303" s="205">
        <f>IF($J303="",#N/A,SUM(DV$4:DV303,DT$4:DT303,DR$4:DR303))</f>
        <v>-3.1047193911041169</v>
      </c>
      <c r="DY303" s="200" t="str">
        <f t="shared" si="493"/>
        <v/>
      </c>
      <c r="DZ303" s="203">
        <f>IF($J303="",#N/A,SUM(DY$4:DY303))</f>
        <v>-1.6284722482776204</v>
      </c>
      <c r="EA303" s="204" t="str">
        <f t="shared" si="494"/>
        <v/>
      </c>
      <c r="EB303" s="204">
        <f>IF($J303="",#N/A,SUM(EA$4:EA303))</f>
        <v>2.276197208799712</v>
      </c>
      <c r="EC303" s="205" t="str">
        <f t="shared" si="495"/>
        <v/>
      </c>
      <c r="ED303" s="205">
        <f>IF($J303="",#N/A,SUM(EC$4:EC303))</f>
        <v>6.352220799154269</v>
      </c>
      <c r="EE303" s="205">
        <f>IF($J303="",#N/A,SUM(EC$4:EC303,EA$4:EA303,DY$4:DY303))</f>
        <v>6.9999457596763603</v>
      </c>
      <c r="EF303" s="200" t="str">
        <f t="shared" si="496"/>
        <v/>
      </c>
      <c r="EG303" s="203">
        <f>IF($J303="",#N/A,SUM(EF$4:EF303))</f>
        <v>0.12123845414313134</v>
      </c>
      <c r="EH303" s="204" t="str">
        <f t="shared" si="497"/>
        <v/>
      </c>
      <c r="EI303" s="204">
        <f>IF($J303="",#N/A,SUM(EH$4:EH303))</f>
        <v>-2.7373393576691663</v>
      </c>
      <c r="EJ303" s="205" t="str">
        <f t="shared" si="498"/>
        <v/>
      </c>
      <c r="EK303" s="205">
        <f>IF($J303="",#N/A,SUM(EJ$4:EJ303))</f>
        <v>5.050388173053765</v>
      </c>
      <c r="EL303" s="205">
        <f>IF($J303="",#N/A,SUM(EJ$4:EJ303,EH$4:EH303,EF$4:EF303))</f>
        <v>2.4342872695277298</v>
      </c>
      <c r="EM303" s="200" t="str">
        <f t="shared" si="499"/>
        <v/>
      </c>
      <c r="EN303" s="203">
        <f>IF($J303="",#N/A,SUM(EM$4:EM303))</f>
        <v>0</v>
      </c>
      <c r="EO303" s="204" t="str">
        <f t="shared" si="500"/>
        <v/>
      </c>
      <c r="EP303" s="204">
        <f>IF($J303="",#N/A,SUM(EO$4:EO303))</f>
        <v>2.0574787067554756</v>
      </c>
      <c r="EQ303" s="205" t="str">
        <f t="shared" si="501"/>
        <v/>
      </c>
      <c r="ER303" s="205">
        <f>IF($J303="",#N/A,SUM(EQ$4:EQ303))</f>
        <v>1.3977486422552698</v>
      </c>
      <c r="ES303" s="205">
        <f>IF($J303="",#N/A,SUM(EQ$4:EQ303,EO$4:EO303,EM$4:EM303))</f>
        <v>3.455227349010745</v>
      </c>
      <c r="ET303" s="200" t="str">
        <f t="shared" si="502"/>
        <v/>
      </c>
      <c r="EU303" s="203">
        <f>IF($J303="",#N/A,SUM(ET$4:ET303))</f>
        <v>0</v>
      </c>
      <c r="EV303" s="204" t="str">
        <f t="shared" si="503"/>
        <v/>
      </c>
      <c r="EW303" s="204">
        <f>IF($J303="",#N/A,SUM(EV$4:EV303))</f>
        <v>2.3297323921502326</v>
      </c>
      <c r="EX303" s="205" t="str">
        <f t="shared" si="504"/>
        <v/>
      </c>
      <c r="EY303" s="205">
        <f>IF($J303="",#N/A,SUM(EX$4:EX303))</f>
        <v>0.27113250180669229</v>
      </c>
      <c r="EZ303" s="205">
        <f>IF($J303="",#N/A,SUM(EX$4:EX303,EV$4:EV303,ET$4:ET303))</f>
        <v>2.6008648939569246</v>
      </c>
      <c r="FA303" s="200" t="str">
        <f t="shared" si="505"/>
        <v/>
      </c>
      <c r="FB303" s="203">
        <f>IF($J303="",#N/A,SUM(FA$4:FA303))</f>
        <v>-0.27145310509113252</v>
      </c>
      <c r="FC303" s="204" t="str">
        <f t="shared" si="506"/>
        <v/>
      </c>
      <c r="FD303" s="204">
        <f>IF($J303="",#N/A,SUM(FC$4:FC303))</f>
        <v>1.204376144197403</v>
      </c>
      <c r="FE303" s="205" t="str">
        <f t="shared" si="507"/>
        <v/>
      </c>
      <c r="FF303" s="205">
        <f>IF($J303="",#N/A,SUM(FE$4:FE303))</f>
        <v>-0.28811149078748233</v>
      </c>
      <c r="FG303" s="205">
        <f>IF($J303="",#N/A,SUM(FE$4:FE303,FC$4:FC303,FA$4:FA303))</f>
        <v>0.64481154831878851</v>
      </c>
      <c r="FH303" s="200" t="str">
        <f t="shared" si="508"/>
        <v/>
      </c>
      <c r="FI303" s="203">
        <f>IF($J303="",#N/A,SUM(FH$4:FH303))</f>
        <v>0</v>
      </c>
      <c r="FJ303" s="204" t="str">
        <f t="shared" si="509"/>
        <v/>
      </c>
      <c r="FK303" s="204">
        <f>IF($J303="",#N/A,SUM(FJ$4:FJ303))</f>
        <v>0</v>
      </c>
      <c r="FL303" s="205" t="str">
        <f t="shared" si="510"/>
        <v/>
      </c>
      <c r="FM303" s="205">
        <f>IF($J303="",#N/A,SUM(FL$4:FL303))</f>
        <v>0</v>
      </c>
      <c r="FN303" s="205">
        <f>IF($J303="",#N/A,SUM(FL$4:FL303,FJ$4:FJ303,FH$4:FH303))</f>
        <v>0</v>
      </c>
      <c r="FO303" s="200" t="str">
        <f t="shared" si="511"/>
        <v/>
      </c>
      <c r="FP303" s="203">
        <f>IF($J303="",#N/A,SUM(FO$4:FO303))</f>
        <v>0</v>
      </c>
      <c r="FQ303" s="204" t="str">
        <f t="shared" si="512"/>
        <v/>
      </c>
      <c r="FR303" s="204">
        <f>IF($J303="",#N/A,SUM(FQ$4:FQ303))</f>
        <v>0</v>
      </c>
      <c r="FS303" s="205" t="str">
        <f t="shared" si="513"/>
        <v/>
      </c>
      <c r="FT303" s="205">
        <f>IF($J303="",#N/A,SUM(FS$4:FS303))</f>
        <v>0</v>
      </c>
      <c r="FU303" s="205">
        <f>IF($J303="",#N/A,SUM(FS$4:FS303,FQ$4:FQ303,FO$4:FO303))</f>
        <v>0</v>
      </c>
      <c r="FV303" s="200" t="str">
        <f t="shared" si="514"/>
        <v/>
      </c>
      <c r="FW303" s="203">
        <f>IF($J303="",#N/A,SUM(FV$4:FV303))</f>
        <v>6.6834991831277585E-2</v>
      </c>
      <c r="FX303" s="204" t="str">
        <f t="shared" si="515"/>
        <v/>
      </c>
      <c r="FY303" s="204">
        <f>IF($J303="",#N/A,SUM(FX$4:FX303))</f>
        <v>-0.16102012791805576</v>
      </c>
      <c r="FZ303" s="205" t="str">
        <f t="shared" si="516"/>
        <v/>
      </c>
      <c r="GA303" s="205">
        <f>IF($J303="",#N/A,SUM(FZ$4:FZ303))</f>
        <v>-0.69624339162892301</v>
      </c>
      <c r="GB303" s="205">
        <f>IF($J303="",#N/A,SUM(FZ$4:FZ303,FX$4:FX303,FV$4:FV303))</f>
        <v>-0.79042852771570116</v>
      </c>
      <c r="GC303" s="200" t="str">
        <f t="shared" si="517"/>
        <v/>
      </c>
      <c r="GD303" s="203">
        <f>IF($J303="",#N/A,SUM(GC$4:GC303))</f>
        <v>0</v>
      </c>
      <c r="GE303" s="204" t="str">
        <f t="shared" si="518"/>
        <v/>
      </c>
      <c r="GF303" s="204">
        <f>IF($J303="",#N/A,SUM(GE$4:GE303))</f>
        <v>0</v>
      </c>
      <c r="GG303" s="205" t="str">
        <f t="shared" si="519"/>
        <v/>
      </c>
      <c r="GH303" s="205">
        <f>IF($J303="",#N/A,SUM(GG$4:GG303))</f>
        <v>-2.9368362277223206</v>
      </c>
      <c r="GI303" s="205">
        <f>IF($J303="",#N/A,SUM(GG$4:GG303,GE$4:GE303,GC$4:GC303))</f>
        <v>-2.9368362277223206</v>
      </c>
      <c r="GJ303" s="200" t="str">
        <f t="shared" si="520"/>
        <v/>
      </c>
      <c r="GK303" s="203">
        <f>IF($J303="",#N/A,SUM(GJ$4:GJ303))</f>
        <v>0</v>
      </c>
      <c r="GL303" s="204" t="str">
        <f t="shared" si="521"/>
        <v/>
      </c>
      <c r="GM303" s="204">
        <f>IF($J303="",#N/A,SUM(GL$4:GL303))</f>
        <v>-1.6833790887309608</v>
      </c>
      <c r="GN303" s="205" t="str">
        <f t="shared" si="522"/>
        <v/>
      </c>
      <c r="GO303" s="205">
        <f>IF($J303="",#N/A,SUM(GN$4:GN303))</f>
        <v>0</v>
      </c>
      <c r="GP303" s="205">
        <f>IF($J303="",#N/A,SUM(GN$4:GN303,GL$4:GL303,GJ$4:GJ303))</f>
        <v>-1.6833790887309608</v>
      </c>
      <c r="GS303" s="54" t="str">
        <f t="shared" si="541"/>
        <v/>
      </c>
      <c r="GT303" s="54" t="e">
        <f>IF(GS303="",NA(),SUM($GS$4:GS303))</f>
        <v>#N/A</v>
      </c>
      <c r="GU303" s="54" t="str">
        <f t="shared" si="523"/>
        <v/>
      </c>
      <c r="GV303" s="54" t="e">
        <f>IF(GU303="",NA(),SUM($GU$4:GU303))</f>
        <v>#N/A</v>
      </c>
      <c r="GW303" s="54" t="str">
        <f t="shared" si="524"/>
        <v/>
      </c>
      <c r="GX303" s="54" t="e">
        <f>IF(GW303="",NA(),SUM($GW$4:GW303))</f>
        <v>#N/A</v>
      </c>
      <c r="GY303" s="54" t="str">
        <f t="shared" si="525"/>
        <v/>
      </c>
      <c r="GZ303" s="54" t="e">
        <f>IF(GY303="",NA(),SUM($GY$4:GY303))</f>
        <v>#N/A</v>
      </c>
      <c r="HA303" s="54">
        <f t="shared" si="526"/>
        <v>0</v>
      </c>
      <c r="HB303" s="54">
        <f>IF(HA303="",NA(),SUM($HA$4:HA303))</f>
        <v>2.8436581858293928</v>
      </c>
      <c r="HC303" s="54" t="str">
        <f t="shared" si="527"/>
        <v/>
      </c>
      <c r="HD303" s="54" t="e">
        <f>IF(HC303="",NA(),SUM($HC$4:HC303))</f>
        <v>#N/A</v>
      </c>
      <c r="HE303" s="54">
        <f t="shared" si="528"/>
        <v>0</v>
      </c>
      <c r="HF303" s="54">
        <f>IF(HE303="",NA(),SUM($HE$4:HE303))</f>
        <v>-1.5381408890949975</v>
      </c>
      <c r="HG303" s="54" t="str">
        <f t="shared" si="529"/>
        <v/>
      </c>
      <c r="HH303" s="54" t="e">
        <f>IF(HG303="",NA(),SUM($HG$4:HG303))</f>
        <v>#N/A</v>
      </c>
      <c r="HI303" s="172" t="str">
        <f t="shared" si="542"/>
        <v/>
      </c>
      <c r="HJ303" s="172">
        <f>IF($J303="",#N/A,SUM(HI$4:$HI303))</f>
        <v>-7.7357960158937757</v>
      </c>
      <c r="HK303" s="54" t="str">
        <f t="shared" si="530"/>
        <v/>
      </c>
      <c r="HL303" s="54">
        <f>IF($J303="",#N/A,SUM($HK$4:HK303))</f>
        <v>0.54603488836842284</v>
      </c>
      <c r="HM303" s="54" t="str">
        <f t="shared" si="531"/>
        <v/>
      </c>
      <c r="HN303" s="54">
        <f>IF($J303="",#N/A,SUM($HM$4:HM303))</f>
        <v>1.2041389455942384</v>
      </c>
      <c r="HO303" s="54" t="str">
        <f t="shared" si="532"/>
        <v/>
      </c>
      <c r="HP303" s="54">
        <f>IF($J303="",#N/A,SUM($HO$4:HO303))</f>
        <v>-0.71662660021795599</v>
      </c>
      <c r="HQ303" s="54" t="str">
        <f t="shared" si="533"/>
        <v/>
      </c>
      <c r="HR303" s="54">
        <f>IF($J303="",#N/A,SUM($HQ$4:HQ303))</f>
        <v>-15.589576757744322</v>
      </c>
      <c r="HS303" s="54" t="str">
        <f t="shared" si="534"/>
        <v/>
      </c>
      <c r="HT303" s="54">
        <f>IF($J303="",#N/A,SUM($HS$4:HS303))</f>
        <v>15.486812150209897</v>
      </c>
      <c r="HU303" s="65">
        <f t="shared" si="535"/>
        <v>-0.51594746716697903</v>
      </c>
      <c r="HV303" s="65">
        <f>IF($J303="",#N/A,SUM(HU$4:$HU303))</f>
        <v>1.7887541082226468</v>
      </c>
    </row>
    <row r="304" spans="1:230" ht="15.75" thickBot="1" x14ac:dyDescent="0.3">
      <c r="A304" s="292" t="s">
        <v>288</v>
      </c>
      <c r="B304" s="293" t="s">
        <v>4596</v>
      </c>
      <c r="C304" s="294">
        <f t="shared" si="436"/>
        <v>3</v>
      </c>
      <c r="D304" s="295" t="str">
        <f>_xlfn.XLOOKUP(A304,[1]SP500!$A$2:$A$502,[1]SP500!$D$2:$D$502,"N")</f>
        <v>Y</v>
      </c>
      <c r="E304" s="292" t="str">
        <f>IFERROR(_xlfn.XLOOKUP(A304,[1]SP500!$A$2:$A$655,[1]SP500!$B$2:$B$655),"")</f>
        <v>XLK</v>
      </c>
      <c r="F304" s="296">
        <v>45784</v>
      </c>
      <c r="G304" s="292" t="str">
        <f t="shared" si="437"/>
        <v>BMO</v>
      </c>
      <c r="H304" s="292" t="str">
        <f t="shared" si="438"/>
        <v>s</v>
      </c>
      <c r="I304" s="345">
        <v>63.32</v>
      </c>
      <c r="J304" s="297">
        <v>63.45</v>
      </c>
      <c r="K304" s="298">
        <f t="shared" si="439"/>
        <v>2.0530638029059153E-3</v>
      </c>
      <c r="L304" s="299">
        <f t="shared" si="440"/>
        <v>2.3400000000001455</v>
      </c>
      <c r="M304" s="300">
        <f t="shared" si="441"/>
        <v>-2.1600000000000819</v>
      </c>
      <c r="N304" s="341">
        <f t="shared" si="442"/>
        <v>2.3400000000001455</v>
      </c>
      <c r="O304" s="300">
        <f>IF(N304="",#N/A,SUM($N$4:N304))</f>
        <v>327.34575430328084</v>
      </c>
      <c r="P304" s="305">
        <f t="shared" si="536"/>
        <v>3.4217730048433377E-2</v>
      </c>
      <c r="Q304" s="304">
        <f>IF($N304="",#N/A,SUM($P$4:P304))</f>
        <v>9.1439326951215669</v>
      </c>
      <c r="R304" s="307">
        <f t="shared" si="443"/>
        <v>0.86088211098276091</v>
      </c>
      <c r="S304" s="292" t="str">
        <f t="shared" si="444"/>
        <v>SW</v>
      </c>
      <c r="T304" s="292" t="s">
        <v>2828</v>
      </c>
      <c r="U304" s="308">
        <f t="shared" si="445"/>
        <v>63.32</v>
      </c>
      <c r="V304" s="308" t="s">
        <v>4460</v>
      </c>
      <c r="W304" s="310">
        <v>18</v>
      </c>
      <c r="X304" s="309">
        <f t="shared" si="446"/>
        <v>1139.76</v>
      </c>
      <c r="Y304" s="310">
        <f t="shared" si="447"/>
        <v>18</v>
      </c>
      <c r="Z304" s="313">
        <v>63.33</v>
      </c>
      <c r="AA304" s="341">
        <f t="shared" si="448"/>
        <v>0.18000000000006366</v>
      </c>
      <c r="AB304" s="341">
        <f t="shared" si="449"/>
        <v>53.639999999999873</v>
      </c>
      <c r="AC304" s="297">
        <v>66.3</v>
      </c>
      <c r="AD304" s="301">
        <f t="shared" si="450"/>
        <v>53.639999999999873</v>
      </c>
      <c r="AE304" s="546">
        <f t="shared" si="451"/>
        <v>0.78437565803326836</v>
      </c>
      <c r="AF304" s="300">
        <f>IF($AC304="",#N/A,SUM(AD$4:AD304))</f>
        <v>45.679804227767818</v>
      </c>
      <c r="AG304" s="341">
        <f t="shared" si="452"/>
        <v>51.299999999999727</v>
      </c>
      <c r="AH304" s="308" t="s">
        <v>2507</v>
      </c>
      <c r="AI304" s="305">
        <f t="shared" si="453"/>
        <v>2.6321330806494889E-3</v>
      </c>
      <c r="AJ304" s="418">
        <f>IF(AI304="",#N/A,SUM($AI$4:AI304))</f>
        <v>8.283050584138806</v>
      </c>
      <c r="AK304" s="300">
        <f t="shared" si="454"/>
        <v>0.18000000000006366</v>
      </c>
      <c r="AL304" s="406">
        <f>IF(AI304="",#N/A,IF(AH304="Skip",SUM($AK$4:AK304),SUM($AK$4:AK304)))</f>
        <v>265.94759149281435</v>
      </c>
      <c r="AM304" s="65">
        <f t="shared" si="537"/>
        <v>0.78437565803326836</v>
      </c>
      <c r="AN304" s="209"/>
      <c r="AO304" s="305">
        <f t="shared" si="455"/>
        <v>0.78437565803326836</v>
      </c>
      <c r="AP304" s="305">
        <f>IF($AC304="",#N/A,SUM(AO$4:AO304))</f>
        <v>4.4503609338729708</v>
      </c>
      <c r="AQ304" s="305" t="str">
        <f t="shared" si="456"/>
        <v/>
      </c>
      <c r="AR304" s="305">
        <f>IF($AC304="",#N/A,SUM(AQ$4:AQ304))</f>
        <v>-5.1454778233419471</v>
      </c>
      <c r="AS304" s="305" t="str">
        <f t="shared" si="457"/>
        <v/>
      </c>
      <c r="AT304" s="305">
        <f>IF($AC304="",#N/A,SUM(AS$4:AS304))</f>
        <v>3.2682466557248908</v>
      </c>
      <c r="AU304" s="300">
        <f t="shared" si="538"/>
        <v>53.639999999999873</v>
      </c>
      <c r="AV304" s="300">
        <f>IF($AC304="",#N/A,SUM(AU$4:AU304))</f>
        <v>175.24249066104653</v>
      </c>
      <c r="AW304" s="300" t="str">
        <f t="shared" si="539"/>
        <v/>
      </c>
      <c r="AX304" s="300">
        <f>IF($AC304="",#N/A,SUM(AW$4:AW304))</f>
        <v>-339.68106797961104</v>
      </c>
      <c r="AY304" s="300" t="str">
        <f t="shared" si="540"/>
        <v/>
      </c>
      <c r="AZ304" s="300">
        <f>IF($AC304="",#N/A,SUM(AY$4:AY304))</f>
        <v>210.11838154633233</v>
      </c>
      <c r="BA304" s="300">
        <f>IF(AD304="",#N/A,SUM($AD$4:AD304))</f>
        <v>45.679804227767818</v>
      </c>
      <c r="BC304" s="292" t="str">
        <f t="shared" si="458"/>
        <v/>
      </c>
      <c r="BD304" s="292" t="str">
        <f t="shared" si="459"/>
        <v/>
      </c>
      <c r="BE304" s="292">
        <f t="shared" si="460"/>
        <v>1</v>
      </c>
      <c r="BF304" s="292" t="str">
        <f t="shared" si="461"/>
        <v>Long</v>
      </c>
      <c r="BG304" s="292" t="str">
        <f t="shared" si="462"/>
        <v/>
      </c>
      <c r="BH304" s="292" t="str">
        <f t="shared" si="463"/>
        <v/>
      </c>
      <c r="BI304" s="292" t="str">
        <f t="shared" si="464"/>
        <v/>
      </c>
      <c r="BK304" s="65">
        <f t="shared" si="435"/>
        <v>-0.11574940813456305</v>
      </c>
      <c r="BL304" s="65">
        <f t="shared" si="543"/>
        <v>-0.15807358939870447</v>
      </c>
      <c r="BM304" s="65">
        <f>IFERROR(Q304/COUNTA($J$4:J304),#N/A)</f>
        <v>3.0378513937280954E-2</v>
      </c>
      <c r="BO304" s="489">
        <f>IF(J304="",#N/A,IF(S304="SW",(COUNTIFS(K$4:$K304,"&gt;0",S$4:$S304,"SW")/COUNTIF(S$4:$S304,"SW")),#N/A))</f>
        <v>0.49295774647887325</v>
      </c>
      <c r="BP304" s="489" t="e">
        <f>IF($J304="",#N/A,IF($S304="DWN",(COUNTIFS($K$4:$K304,"&lt;0",$S$4:$S304,"DWN")/COUNTIF($S$4:$S304,"DWN")),#N/A))</f>
        <v>#N/A</v>
      </c>
      <c r="BQ304" s="489" t="e">
        <f>IF($J304="",#N/A,IF($S304="UP",(COUNTIFS($K$4:$K304,"&gt;0",$S$4:$S304,"UP")/COUNTIF($S$4:$S304,"UP")),#N/A))</f>
        <v>#N/A</v>
      </c>
      <c r="BR304" s="489">
        <f>IF(J304="",#N/A,COUNTIF($K$4:K304,"&gt;0")/COUNT($J$4:J304))</f>
        <v>0.45514950166112955</v>
      </c>
      <c r="BS304" s="65">
        <f t="shared" si="465"/>
        <v>3.4217730048433377E-2</v>
      </c>
      <c r="BT304" s="65" t="str">
        <f t="shared" si="466"/>
        <v/>
      </c>
      <c r="BU304" s="65" t="str">
        <f t="shared" si="467"/>
        <v/>
      </c>
      <c r="BV304" s="65" t="str">
        <f t="shared" si="468"/>
        <v/>
      </c>
      <c r="BW304" s="128" t="str">
        <f t="shared" si="469"/>
        <v/>
      </c>
      <c r="BX304" s="128">
        <f>IF($J304="",#N/A,SUM($BW$4:BW304))</f>
        <v>-371.69317034792857</v>
      </c>
      <c r="BY304" s="131" t="str">
        <f t="shared" si="470"/>
        <v/>
      </c>
      <c r="BZ304" s="131">
        <f>IF($J304="",#N/A,SUM($BY$4:BY304))</f>
        <v>573.73734038933401</v>
      </c>
      <c r="CA304" s="133">
        <f t="shared" si="471"/>
        <v>2.3400000000001455</v>
      </c>
      <c r="CB304" s="133">
        <f>IF($J304="",#N/A,SUM($CA$4:CA304))</f>
        <v>125.3015842618754</v>
      </c>
      <c r="CC304" s="194" t="str">
        <f t="shared" si="472"/>
        <v/>
      </c>
      <c r="CD304" s="194">
        <f>IF($J304="",#N/A,SUM($CC$4:CC304))</f>
        <v>-5.6329901687182264</v>
      </c>
      <c r="CE304" s="195" t="str">
        <f t="shared" si="473"/>
        <v/>
      </c>
      <c r="CF304" s="195">
        <f>IF($J304="",#N/A,SUM($CE$4:CE304))</f>
        <v>10.458007783250252</v>
      </c>
      <c r="CG304" s="196">
        <f t="shared" si="474"/>
        <v>3.4217730048433377E-2</v>
      </c>
      <c r="CH304" s="196">
        <f>IF($J304="",#N/A,SUM($CG$4:CG304))</f>
        <v>4.3189150805895453</v>
      </c>
      <c r="CI304" s="200" t="str">
        <f t="shared" si="475"/>
        <v/>
      </c>
      <c r="CJ304" s="203">
        <f>IF($J304="",#N/A,SUM(CI$4:CI304))</f>
        <v>0</v>
      </c>
      <c r="CK304" s="204" t="str">
        <f t="shared" si="476"/>
        <v/>
      </c>
      <c r="CL304" s="204">
        <f>IF($J304="",#N/A,SUM(CK$4:CK304))</f>
        <v>2.4085740385592547</v>
      </c>
      <c r="CM304" s="205">
        <f t="shared" si="477"/>
        <v>3.4217730048433377E-2</v>
      </c>
      <c r="CN304" s="205">
        <f>IF($J304="",#N/A,SUM(CM$4:CM304))</f>
        <v>1.6494621984783118</v>
      </c>
      <c r="CO304" s="205">
        <f>IF($J304="",#N/A,SUM(CM$4:CM304,CK$4:CK304,CI$4:CI304))</f>
        <v>4.0580362370375669</v>
      </c>
      <c r="CP304" s="200" t="str">
        <f t="shared" si="478"/>
        <v/>
      </c>
      <c r="CQ304" s="203">
        <f>IF($J304="",#N/A,SUM(CP$4:CP304))</f>
        <v>-1.1156319314882757</v>
      </c>
      <c r="CR304" s="204" t="str">
        <f t="shared" si="479"/>
        <v/>
      </c>
      <c r="CS304" s="204">
        <f>IF($J304="",#N/A,SUM(CR$4:CR304))</f>
        <v>2.3600225017004668</v>
      </c>
      <c r="CT304" s="205" t="str">
        <f t="shared" si="480"/>
        <v/>
      </c>
      <c r="CU304" s="205">
        <f>IF($J304="",#N/A,SUM(CT$4:CT304))</f>
        <v>-2.9040943753548785</v>
      </c>
      <c r="CV304" s="205">
        <f>IF($J304="",#N/A,SUM(CT$4:CT304,CR$4:CR304,CP$4:CP304))</f>
        <v>-1.6597038051426876</v>
      </c>
      <c r="CW304" s="200" t="str">
        <f t="shared" si="481"/>
        <v/>
      </c>
      <c r="CX304" s="203">
        <f>IF($J304="",#N/A,SUM(CW$4:CW304))</f>
        <v>-1.2839616145397621</v>
      </c>
      <c r="CY304" s="204" t="str">
        <f t="shared" si="482"/>
        <v/>
      </c>
      <c r="CZ304" s="204">
        <f>IF($J304="",#N/A,SUM(CY$4:CY304))</f>
        <v>-0.20119965665334139</v>
      </c>
      <c r="DA304" s="205" t="str">
        <f t="shared" si="483"/>
        <v/>
      </c>
      <c r="DB304" s="205">
        <f>IF($J304="",#N/A,SUM(DA$4:DA304))</f>
        <v>-1.1581788995104692</v>
      </c>
      <c r="DC304" s="205">
        <f>IF($J304="",#N/A,SUM(DA$4:DA304,CY$4:CY304,CW$4:CW304))</f>
        <v>-2.6433401707035724</v>
      </c>
      <c r="DD304" s="200" t="str">
        <f t="shared" si="484"/>
        <v/>
      </c>
      <c r="DE304" s="203">
        <f>IF($J304="",#N/A,SUM(DD$4:DD304))</f>
        <v>0.24769343410817113</v>
      </c>
      <c r="DF304" s="204" t="str">
        <f t="shared" si="485"/>
        <v/>
      </c>
      <c r="DG304" s="204">
        <f>IF($J304="",#N/A,SUM(DF$4:DF304))</f>
        <v>1.3104003890080136</v>
      </c>
      <c r="DH304" s="205" t="str">
        <f t="shared" si="486"/>
        <v/>
      </c>
      <c r="DI304" s="205">
        <f>IF($J304="",#N/A,SUM(DH$4:DH304))</f>
        <v>-2.7812008102163399</v>
      </c>
      <c r="DJ304" s="205">
        <f>IF($J304="",#N/A,SUM(DH$4:DH304,DF$4:DF304,DD$4:DD304))</f>
        <v>-1.2231069871001554</v>
      </c>
      <c r="DK304" s="200" t="str">
        <f t="shared" si="487"/>
        <v/>
      </c>
      <c r="DL304" s="203">
        <f>IF($J304="",#N/A,SUM(DK$4:DK304))</f>
        <v>-1.2097286851272664</v>
      </c>
      <c r="DM304" s="204" t="str">
        <f t="shared" si="488"/>
        <v/>
      </c>
      <c r="DN304" s="204">
        <f>IF($J304="",#N/A,SUM(DM$4:DM304))</f>
        <v>1.1747256665753205</v>
      </c>
      <c r="DO304" s="205" t="str">
        <f t="shared" si="489"/>
        <v/>
      </c>
      <c r="DP304" s="205">
        <f>IF($J304="",#N/A,SUM(DO$4:DO304))</f>
        <v>2.700331529683047</v>
      </c>
      <c r="DQ304" s="205">
        <f>IF($J304="",#N/A,SUM(DO$4:DO304,DM$4:DM304,DK$4:DK304))</f>
        <v>2.6653285111311016</v>
      </c>
      <c r="DR304" s="200" t="str">
        <f t="shared" si="490"/>
        <v/>
      </c>
      <c r="DS304" s="203">
        <f>IF($J304="",#N/A,SUM(DR$4:DR304))</f>
        <v>-0.55950946427675097</v>
      </c>
      <c r="DT304" s="204" t="str">
        <f t="shared" si="491"/>
        <v/>
      </c>
      <c r="DU304" s="204">
        <f>IF($J304="",#N/A,SUM(DT$4:DT304))</f>
        <v>-0.20750635820596686</v>
      </c>
      <c r="DV304" s="205" t="str">
        <f t="shared" si="492"/>
        <v/>
      </c>
      <c r="DW304" s="205">
        <f>IF($J304="",#N/A,SUM(DV$4:DV304))</f>
        <v>-2.3377035686214001</v>
      </c>
      <c r="DX304" s="205">
        <f>IF($J304="",#N/A,SUM(DV$4:DV304,DT$4:DT304,DR$4:DR304))</f>
        <v>-3.1047193911041169</v>
      </c>
      <c r="DY304" s="200" t="str">
        <f t="shared" si="493"/>
        <v/>
      </c>
      <c r="DZ304" s="203">
        <f>IF($J304="",#N/A,SUM(DY$4:DY304))</f>
        <v>-1.6284722482776204</v>
      </c>
      <c r="EA304" s="204" t="str">
        <f t="shared" si="494"/>
        <v/>
      </c>
      <c r="EB304" s="204">
        <f>IF($J304="",#N/A,SUM(EA$4:EA304))</f>
        <v>2.276197208799712</v>
      </c>
      <c r="EC304" s="205" t="str">
        <f t="shared" si="495"/>
        <v/>
      </c>
      <c r="ED304" s="205">
        <f>IF($J304="",#N/A,SUM(EC$4:EC304))</f>
        <v>6.352220799154269</v>
      </c>
      <c r="EE304" s="205">
        <f>IF($J304="",#N/A,SUM(EC$4:EC304,EA$4:EA304,DY$4:DY304))</f>
        <v>6.9999457596763603</v>
      </c>
      <c r="EF304" s="200" t="str">
        <f t="shared" si="496"/>
        <v/>
      </c>
      <c r="EG304" s="203">
        <f>IF($J304="",#N/A,SUM(EF$4:EF304))</f>
        <v>0.12123845414313134</v>
      </c>
      <c r="EH304" s="204" t="str">
        <f t="shared" si="497"/>
        <v/>
      </c>
      <c r="EI304" s="204">
        <f>IF($J304="",#N/A,SUM(EH$4:EH304))</f>
        <v>-2.7373393576691663</v>
      </c>
      <c r="EJ304" s="205" t="str">
        <f t="shared" si="498"/>
        <v/>
      </c>
      <c r="EK304" s="205">
        <f>IF($J304="",#N/A,SUM(EJ$4:EJ304))</f>
        <v>5.050388173053765</v>
      </c>
      <c r="EL304" s="205">
        <f>IF($J304="",#N/A,SUM(EJ$4:EJ304,EH$4:EH304,EF$4:EF304))</f>
        <v>2.4342872695277298</v>
      </c>
      <c r="EM304" s="200" t="str">
        <f t="shared" si="499"/>
        <v/>
      </c>
      <c r="EN304" s="203">
        <f>IF($J304="",#N/A,SUM(EM$4:EM304))</f>
        <v>0</v>
      </c>
      <c r="EO304" s="204" t="str">
        <f t="shared" si="500"/>
        <v/>
      </c>
      <c r="EP304" s="204">
        <f>IF($J304="",#N/A,SUM(EO$4:EO304))</f>
        <v>2.0574787067554756</v>
      </c>
      <c r="EQ304" s="205" t="str">
        <f t="shared" si="501"/>
        <v/>
      </c>
      <c r="ER304" s="205">
        <f>IF($J304="",#N/A,SUM(EQ$4:EQ304))</f>
        <v>1.3977486422552698</v>
      </c>
      <c r="ES304" s="205">
        <f>IF($J304="",#N/A,SUM(EQ$4:EQ304,EO$4:EO304,EM$4:EM304))</f>
        <v>3.455227349010745</v>
      </c>
      <c r="ET304" s="200" t="str">
        <f t="shared" si="502"/>
        <v/>
      </c>
      <c r="EU304" s="203">
        <f>IF($J304="",#N/A,SUM(ET$4:ET304))</f>
        <v>0</v>
      </c>
      <c r="EV304" s="204" t="str">
        <f t="shared" si="503"/>
        <v/>
      </c>
      <c r="EW304" s="204">
        <f>IF($J304="",#N/A,SUM(EV$4:EV304))</f>
        <v>2.3297323921502326</v>
      </c>
      <c r="EX304" s="205" t="str">
        <f t="shared" si="504"/>
        <v/>
      </c>
      <c r="EY304" s="205">
        <f>IF($J304="",#N/A,SUM(EX$4:EX304))</f>
        <v>0.27113250180669229</v>
      </c>
      <c r="EZ304" s="205">
        <f>IF($J304="",#N/A,SUM(EX$4:EX304,EV$4:EV304,ET$4:ET304))</f>
        <v>2.6008648939569246</v>
      </c>
      <c r="FA304" s="200" t="str">
        <f t="shared" si="505"/>
        <v/>
      </c>
      <c r="FB304" s="203">
        <f>IF($J304="",#N/A,SUM(FA$4:FA304))</f>
        <v>-0.27145310509113252</v>
      </c>
      <c r="FC304" s="204" t="str">
        <f t="shared" si="506"/>
        <v/>
      </c>
      <c r="FD304" s="204">
        <f>IF($J304="",#N/A,SUM(FC$4:FC304))</f>
        <v>1.204376144197403</v>
      </c>
      <c r="FE304" s="205" t="str">
        <f t="shared" si="507"/>
        <v/>
      </c>
      <c r="FF304" s="205">
        <f>IF($J304="",#N/A,SUM(FE$4:FE304))</f>
        <v>-0.28811149078748233</v>
      </c>
      <c r="FG304" s="205">
        <f>IF($J304="",#N/A,SUM(FE$4:FE304,FC$4:FC304,FA$4:FA304))</f>
        <v>0.64481154831878851</v>
      </c>
      <c r="FH304" s="200" t="str">
        <f t="shared" si="508"/>
        <v/>
      </c>
      <c r="FI304" s="203">
        <f>IF($J304="",#N/A,SUM(FH$4:FH304))</f>
        <v>0</v>
      </c>
      <c r="FJ304" s="204" t="str">
        <f t="shared" si="509"/>
        <v/>
      </c>
      <c r="FK304" s="204">
        <f>IF($J304="",#N/A,SUM(FJ$4:FJ304))</f>
        <v>0</v>
      </c>
      <c r="FL304" s="205" t="str">
        <f t="shared" si="510"/>
        <v/>
      </c>
      <c r="FM304" s="205">
        <f>IF($J304="",#N/A,SUM(FL$4:FL304))</f>
        <v>0</v>
      </c>
      <c r="FN304" s="205">
        <f>IF($J304="",#N/A,SUM(FL$4:FL304,FJ$4:FJ304,FH$4:FH304))</f>
        <v>0</v>
      </c>
      <c r="FO304" s="200" t="str">
        <f t="shared" si="511"/>
        <v/>
      </c>
      <c r="FP304" s="203">
        <f>IF($J304="",#N/A,SUM(FO$4:FO304))</f>
        <v>0</v>
      </c>
      <c r="FQ304" s="204" t="str">
        <f t="shared" si="512"/>
        <v/>
      </c>
      <c r="FR304" s="204">
        <f>IF($J304="",#N/A,SUM(FQ$4:FQ304))</f>
        <v>0</v>
      </c>
      <c r="FS304" s="205" t="str">
        <f t="shared" si="513"/>
        <v/>
      </c>
      <c r="FT304" s="205">
        <f>IF($J304="",#N/A,SUM(FS$4:FS304))</f>
        <v>0</v>
      </c>
      <c r="FU304" s="205">
        <f>IF($J304="",#N/A,SUM(FS$4:FS304,FQ$4:FQ304,FO$4:FO304))</f>
        <v>0</v>
      </c>
      <c r="FV304" s="200" t="str">
        <f t="shared" si="514"/>
        <v/>
      </c>
      <c r="FW304" s="203">
        <f>IF($J304="",#N/A,SUM(FV$4:FV304))</f>
        <v>6.6834991831277585E-2</v>
      </c>
      <c r="FX304" s="204" t="str">
        <f t="shared" si="515"/>
        <v/>
      </c>
      <c r="FY304" s="204">
        <f>IF($J304="",#N/A,SUM(FX$4:FX304))</f>
        <v>-0.16102012791805576</v>
      </c>
      <c r="FZ304" s="205" t="str">
        <f t="shared" si="516"/>
        <v/>
      </c>
      <c r="GA304" s="205">
        <f>IF($J304="",#N/A,SUM(FZ$4:FZ304))</f>
        <v>-0.69624339162892301</v>
      </c>
      <c r="GB304" s="205">
        <f>IF($J304="",#N/A,SUM(FZ$4:FZ304,FX$4:FX304,FV$4:FV304))</f>
        <v>-0.79042852771570116</v>
      </c>
      <c r="GC304" s="200" t="str">
        <f t="shared" si="517"/>
        <v/>
      </c>
      <c r="GD304" s="203">
        <f>IF($J304="",#N/A,SUM(GC$4:GC304))</f>
        <v>0</v>
      </c>
      <c r="GE304" s="204" t="str">
        <f t="shared" si="518"/>
        <v/>
      </c>
      <c r="GF304" s="204">
        <f>IF($J304="",#N/A,SUM(GE$4:GE304))</f>
        <v>0</v>
      </c>
      <c r="GG304" s="205" t="str">
        <f t="shared" si="519"/>
        <v/>
      </c>
      <c r="GH304" s="205">
        <f>IF($J304="",#N/A,SUM(GG$4:GG304))</f>
        <v>-2.9368362277223206</v>
      </c>
      <c r="GI304" s="205">
        <f>IF($J304="",#N/A,SUM(GG$4:GG304,GE$4:GE304,GC$4:GC304))</f>
        <v>-2.9368362277223206</v>
      </c>
      <c r="GJ304" s="200" t="str">
        <f t="shared" si="520"/>
        <v/>
      </c>
      <c r="GK304" s="203">
        <f>IF($J304="",#N/A,SUM(GJ$4:GJ304))</f>
        <v>0</v>
      </c>
      <c r="GL304" s="204" t="str">
        <f t="shared" si="521"/>
        <v/>
      </c>
      <c r="GM304" s="204">
        <f>IF($J304="",#N/A,SUM(GL$4:GL304))</f>
        <v>-1.6833790887309608</v>
      </c>
      <c r="GN304" s="205" t="str">
        <f t="shared" si="522"/>
        <v/>
      </c>
      <c r="GO304" s="205">
        <f>IF($J304="",#N/A,SUM(GN$4:GN304))</f>
        <v>0</v>
      </c>
      <c r="GP304" s="205">
        <f>IF($J304="",#N/A,SUM(GN$4:GN304,GL$4:GL304,GJ$4:GJ304))</f>
        <v>-1.6833790887309608</v>
      </c>
      <c r="GS304" s="303">
        <f t="shared" si="541"/>
        <v>3.4217730048433377E-2</v>
      </c>
      <c r="GT304" s="303">
        <f>IF(GS304="",NA(),SUM($GS$4:GS304))</f>
        <v>6.3002745092921737</v>
      </c>
      <c r="GU304" s="303" t="str">
        <f t="shared" si="523"/>
        <v/>
      </c>
      <c r="GV304" s="303" t="e">
        <f>IF(GU304="",NA(),SUM($GU$4:GU304))</f>
        <v>#N/A</v>
      </c>
      <c r="GW304" s="303">
        <f t="shared" si="524"/>
        <v>3.4217730048433377E-2</v>
      </c>
      <c r="GX304" s="303">
        <f>IF(GW304="",NA(),SUM($GW$4:GW304))</f>
        <v>5.8570559696845441</v>
      </c>
      <c r="GY304" s="303" t="str">
        <f t="shared" si="525"/>
        <v/>
      </c>
      <c r="GZ304" s="303" t="e">
        <f>IF(GY304="",NA(),SUM($GY$4:GY304))</f>
        <v>#N/A</v>
      </c>
      <c r="HA304" s="303" t="str">
        <f t="shared" si="526"/>
        <v/>
      </c>
      <c r="HB304" s="303" t="e">
        <f>IF(HA304="",NA(),SUM($HA$4:HA304))</f>
        <v>#N/A</v>
      </c>
      <c r="HC304" s="303" t="str">
        <f t="shared" si="527"/>
        <v/>
      </c>
      <c r="HD304" s="303" t="e">
        <f>IF(HC304="",NA(),SUM($HC$4:HC304))</f>
        <v>#N/A</v>
      </c>
      <c r="HE304" s="303" t="str">
        <f t="shared" si="528"/>
        <v/>
      </c>
      <c r="HF304" s="303" t="e">
        <f>IF(HE304="",NA(),SUM($HE$4:HE304))</f>
        <v>#N/A</v>
      </c>
      <c r="HG304" s="303" t="str">
        <f t="shared" si="529"/>
        <v/>
      </c>
      <c r="HH304" s="303" t="e">
        <f>IF(HG304="",NA(),SUM($HG$4:HG304))</f>
        <v>#N/A</v>
      </c>
      <c r="HI304" s="304" t="str">
        <f t="shared" si="542"/>
        <v/>
      </c>
      <c r="HJ304" s="304">
        <f>IF($J304="",#N/A,SUM(HI$4:$HI304))</f>
        <v>-7.7357960158937757</v>
      </c>
      <c r="HK304" s="303" t="str">
        <f t="shared" si="530"/>
        <v/>
      </c>
      <c r="HL304" s="303">
        <f>IF($J304="",#N/A,SUM($HK$4:HK304))</f>
        <v>0.54603488836842284</v>
      </c>
      <c r="HM304" s="303" t="str">
        <f t="shared" si="531"/>
        <v/>
      </c>
      <c r="HN304" s="303">
        <f>IF($J304="",#N/A,SUM($HM$4:HM304))</f>
        <v>1.2041389455942384</v>
      </c>
      <c r="HO304" s="303" t="str">
        <f t="shared" si="532"/>
        <v/>
      </c>
      <c r="HP304" s="303">
        <f>IF($J304="",#N/A,SUM($HO$4:HO304))</f>
        <v>-0.71662660021795599</v>
      </c>
      <c r="HQ304" s="303">
        <f t="shared" si="533"/>
        <v>0.75015792798483494</v>
      </c>
      <c r="HR304" s="303">
        <f>IF($J304="",#N/A,SUM($HQ$4:HQ304))</f>
        <v>-14.839418829759486</v>
      </c>
      <c r="HS304" s="303" t="str">
        <f t="shared" si="534"/>
        <v/>
      </c>
      <c r="HT304" s="303">
        <f>IF($J304="",#N/A,SUM($HS$4:HS304))</f>
        <v>15.486812150209897</v>
      </c>
      <c r="HU304" s="305">
        <f t="shared" si="535"/>
        <v>0.78437565803326836</v>
      </c>
      <c r="HV304" s="305">
        <f>IF($J304="",#N/A,SUM(HU$4:$HU304))</f>
        <v>2.5731297662559154</v>
      </c>
    </row>
    <row r="305" spans="1:230" x14ac:dyDescent="0.25">
      <c r="A305" s="59" t="s">
        <v>657</v>
      </c>
      <c r="B305" s="289" t="s">
        <v>4597</v>
      </c>
      <c r="C305" s="230">
        <f t="shared" si="436"/>
        <v>3</v>
      </c>
      <c r="D305" s="220" t="str">
        <f>_xlfn.XLOOKUP(A305,[1]SP500!$A$2:$A$502,[1]SP500!$D$2:$D$502,"N")</f>
        <v>Y</v>
      </c>
      <c r="E305" s="59" t="str">
        <f>IFERROR(_xlfn.XLOOKUP(A305,[1]SP500!$A$2:$A$655,[1]SP500!$B$2:$B$655),"")</f>
        <v>XLI</v>
      </c>
      <c r="F305" s="290">
        <v>45784</v>
      </c>
      <c r="G305" s="59" t="str">
        <f t="shared" si="437"/>
        <v>AMC</v>
      </c>
      <c r="H305" s="59" t="str">
        <f t="shared" si="438"/>
        <v>s</v>
      </c>
      <c r="I305" s="376">
        <v>601.82000000000005</v>
      </c>
      <c r="J305" s="125">
        <v>646.38</v>
      </c>
      <c r="K305" s="60">
        <f t="shared" si="439"/>
        <v>7.4042072380445884E-2</v>
      </c>
      <c r="L305" s="68">
        <f t="shared" si="440"/>
        <v>89.119999999999891</v>
      </c>
      <c r="M305" s="62" t="e">
        <f t="shared" si="441"/>
        <v>#N/A</v>
      </c>
      <c r="N305" s="63">
        <f t="shared" si="442"/>
        <v>89.119999999999891</v>
      </c>
      <c r="O305" s="62">
        <f>IF(N305="",#N/A,SUM($N$4:N305))</f>
        <v>416.46575430328073</v>
      </c>
      <c r="P305" s="64">
        <f t="shared" si="536"/>
        <v>1.2340345396740982</v>
      </c>
      <c r="Q305" s="183">
        <f>IF($N305="",#N/A,SUM($P$4:P305))</f>
        <v>10.377967234795666</v>
      </c>
      <c r="R305" s="279">
        <f t="shared" si="443"/>
        <v>0.92679329151293111</v>
      </c>
      <c r="S305" s="59" t="str">
        <f t="shared" si="444"/>
        <v>SW</v>
      </c>
      <c r="T305" s="59" t="s">
        <v>2828</v>
      </c>
      <c r="U305" s="61">
        <f t="shared" si="445"/>
        <v>601.82000000000005</v>
      </c>
      <c r="V305" s="61" t="s">
        <v>4460</v>
      </c>
      <c r="W305" s="142">
        <v>2</v>
      </c>
      <c r="X305" s="146">
        <f t="shared" si="446"/>
        <v>1203.6400000000001</v>
      </c>
      <c r="Y305" s="142">
        <f t="shared" si="447"/>
        <v>2</v>
      </c>
      <c r="Z305" s="278">
        <v>644</v>
      </c>
      <c r="AA305" s="63">
        <f t="shared" si="448"/>
        <v>84.3599999999999</v>
      </c>
      <c r="AB305" s="63">
        <f t="shared" si="449"/>
        <v>170.01999999999998</v>
      </c>
      <c r="AC305" s="125">
        <v>686.83</v>
      </c>
      <c r="AD305" s="148">
        <f t="shared" si="450"/>
        <v>170.01999999999998</v>
      </c>
      <c r="AE305" s="544">
        <f t="shared" si="451"/>
        <v>2.3542476709536624</v>
      </c>
      <c r="AF305" s="62">
        <f>IF($AC305="",#N/A,SUM(AD$4:AD305))</f>
        <v>215.6998042277678</v>
      </c>
      <c r="AG305" s="63">
        <f t="shared" si="452"/>
        <v>80.900000000000091</v>
      </c>
      <c r="AH305" s="61" t="s">
        <v>4471</v>
      </c>
      <c r="AI305" s="64">
        <f t="shared" si="453"/>
        <v>1.1681233591439286</v>
      </c>
      <c r="AJ305" s="420">
        <f>IF(AI305="",#N/A,SUM($AI$4:AI305))</f>
        <v>9.4511739432827344</v>
      </c>
      <c r="AK305" s="62">
        <f t="shared" si="454"/>
        <v>84.3599999999999</v>
      </c>
      <c r="AL305" s="421">
        <f>IF(AI305="",#N/A,IF(AH305="Skip",SUM($AK$4:AK305),SUM($AK$4:AK305)))</f>
        <v>350.30759149281425</v>
      </c>
      <c r="AM305" s="65">
        <f t="shared" si="537"/>
        <v>2.3542476709536624</v>
      </c>
      <c r="AN305" s="209"/>
      <c r="AO305" s="64">
        <f t="shared" si="455"/>
        <v>2.3542476709536624</v>
      </c>
      <c r="AP305" s="64">
        <f>IF($AC305="",#N/A,SUM(AO$4:AO305))</f>
        <v>6.8046086048266332</v>
      </c>
      <c r="AQ305" s="64" t="str">
        <f t="shared" si="456"/>
        <v/>
      </c>
      <c r="AR305" s="64">
        <f>IF($AC305="",#N/A,SUM(AQ$4:AQ305))</f>
        <v>-5.1454778233419471</v>
      </c>
      <c r="AS305" s="64" t="str">
        <f t="shared" si="457"/>
        <v/>
      </c>
      <c r="AT305" s="64">
        <f>IF($AC305="",#N/A,SUM(AS$4:AS305))</f>
        <v>3.2682466557248908</v>
      </c>
      <c r="AU305" s="62">
        <f t="shared" si="538"/>
        <v>170.01999999999998</v>
      </c>
      <c r="AV305" s="62">
        <f>IF($AC305="",#N/A,SUM(AU$4:AU305))</f>
        <v>345.26249066104651</v>
      </c>
      <c r="AW305" s="62" t="str">
        <f t="shared" si="539"/>
        <v/>
      </c>
      <c r="AX305" s="62">
        <f>IF($AC305="",#N/A,SUM(AW$4:AW305))</f>
        <v>-339.68106797961104</v>
      </c>
      <c r="AY305" s="62" t="str">
        <f t="shared" si="540"/>
        <v/>
      </c>
      <c r="AZ305" s="62">
        <f>IF($AC305="",#N/A,SUM(AY$4:AY305))</f>
        <v>210.11838154633233</v>
      </c>
      <c r="BA305" s="62">
        <f>IF(AD305="",#N/A,SUM($AD$4:AD305))</f>
        <v>215.6998042277678</v>
      </c>
      <c r="BC305" s="59" t="str">
        <f t="shared" si="458"/>
        <v/>
      </c>
      <c r="BD305" s="59" t="str">
        <f t="shared" si="459"/>
        <v/>
      </c>
      <c r="BE305" s="59">
        <f t="shared" si="460"/>
        <v>1</v>
      </c>
      <c r="BF305" s="59" t="str">
        <f t="shared" si="461"/>
        <v>Long</v>
      </c>
      <c r="BG305" s="59" t="str">
        <f t="shared" si="462"/>
        <v/>
      </c>
      <c r="BH305" s="59" t="str">
        <f t="shared" si="463"/>
        <v/>
      </c>
      <c r="BI305" s="59" t="str">
        <f t="shared" si="464"/>
        <v/>
      </c>
      <c r="BK305" s="65">
        <f t="shared" si="435"/>
        <v>-8.0930314806480441E-2</v>
      </c>
      <c r="BL305" s="65">
        <f t="shared" si="543"/>
        <v>-0.12365979419714236</v>
      </c>
      <c r="BM305" s="65">
        <f>IFERROR(Q305/COUNTA($J$4:J305),#N/A)</f>
        <v>3.436412991654194E-2</v>
      </c>
      <c r="BO305" s="489">
        <f>IF(J305="",#N/A,IF(S305="SW",(COUNTIFS(K$4:$K305,"&gt;0",S$4:$S305,"SW")/COUNTIF(S$4:$S305,"SW")),#N/A))</f>
        <v>0.49650349650349651</v>
      </c>
      <c r="BP305" s="489" t="e">
        <f>IF($J305="",#N/A,IF($S305="DWN",(COUNTIFS($K$4:$K305,"&lt;0",$S$4:$S305,"DWN")/COUNTIF($S$4:$S305,"DWN")),#N/A))</f>
        <v>#N/A</v>
      </c>
      <c r="BQ305" s="489" t="e">
        <f>IF($J305="",#N/A,IF($S305="UP",(COUNTIFS($K$4:$K305,"&gt;0",$S$4:$S305,"UP")/COUNTIF($S$4:$S305,"UP")),#N/A))</f>
        <v>#N/A</v>
      </c>
      <c r="BR305" s="489">
        <f>IF(J305="",#N/A,COUNTIF($K$4:K305,"&gt;0")/COUNT($J$4:J305))</f>
        <v>0.45695364238410596</v>
      </c>
      <c r="BS305" s="65">
        <f t="shared" si="465"/>
        <v>1.2340345396740982</v>
      </c>
      <c r="BT305" s="65" t="str">
        <f t="shared" si="466"/>
        <v/>
      </c>
      <c r="BU305" s="65" t="str">
        <f t="shared" si="467"/>
        <v/>
      </c>
      <c r="BV305" s="65" t="str">
        <f t="shared" si="468"/>
        <v/>
      </c>
      <c r="BW305" s="128" t="str">
        <f t="shared" si="469"/>
        <v/>
      </c>
      <c r="BX305" s="128">
        <f>IF($J305="",#N/A,SUM($BW$4:BW305))</f>
        <v>-371.69317034792857</v>
      </c>
      <c r="BY305" s="131" t="str">
        <f t="shared" si="470"/>
        <v/>
      </c>
      <c r="BZ305" s="131">
        <f>IF($J305="",#N/A,SUM($BY$4:BY305))</f>
        <v>573.73734038933401</v>
      </c>
      <c r="CA305" s="133">
        <f t="shared" si="471"/>
        <v>89.119999999999891</v>
      </c>
      <c r="CB305" s="133">
        <f>IF($J305="",#N/A,SUM($CA$4:CA305))</f>
        <v>214.4215842618753</v>
      </c>
      <c r="CC305" s="194" t="str">
        <f t="shared" si="472"/>
        <v/>
      </c>
      <c r="CD305" s="194">
        <f>IF($J305="",#N/A,SUM($CC$4:CC305))</f>
        <v>-5.6329901687182264</v>
      </c>
      <c r="CE305" s="195" t="str">
        <f t="shared" si="473"/>
        <v/>
      </c>
      <c r="CF305" s="195">
        <f>IF($J305="",#N/A,SUM($CE$4:CE305))</f>
        <v>10.458007783250252</v>
      </c>
      <c r="CG305" s="196">
        <f t="shared" si="474"/>
        <v>1.2340345396740982</v>
      </c>
      <c r="CH305" s="196">
        <f>IF($J305="",#N/A,SUM($CG$4:CG305))</f>
        <v>5.552949620263643</v>
      </c>
      <c r="CI305" s="200" t="str">
        <f t="shared" si="475"/>
        <v/>
      </c>
      <c r="CJ305" s="203">
        <f>IF($J305="",#N/A,SUM(CI$4:CI305))</f>
        <v>0</v>
      </c>
      <c r="CK305" s="204" t="str">
        <f t="shared" si="476"/>
        <v/>
      </c>
      <c r="CL305" s="204">
        <f>IF($J305="",#N/A,SUM(CK$4:CK305))</f>
        <v>2.4085740385592547</v>
      </c>
      <c r="CM305" s="205" t="str">
        <f t="shared" si="477"/>
        <v/>
      </c>
      <c r="CN305" s="205">
        <f>IF($J305="",#N/A,SUM(CM$4:CM305))</f>
        <v>1.6494621984783118</v>
      </c>
      <c r="CO305" s="205">
        <f>IF($J305="",#N/A,SUM(CM$4:CM305,CK$4:CK305,CI$4:CI305))</f>
        <v>4.0580362370375669</v>
      </c>
      <c r="CP305" s="200" t="str">
        <f t="shared" si="478"/>
        <v/>
      </c>
      <c r="CQ305" s="203">
        <f>IF($J305="",#N/A,SUM(CP$4:CP305))</f>
        <v>-1.1156319314882757</v>
      </c>
      <c r="CR305" s="204" t="str">
        <f t="shared" si="479"/>
        <v/>
      </c>
      <c r="CS305" s="204">
        <f>IF($J305="",#N/A,SUM(CR$4:CR305))</f>
        <v>2.3600225017004668</v>
      </c>
      <c r="CT305" s="205" t="str">
        <f t="shared" si="480"/>
        <v/>
      </c>
      <c r="CU305" s="205">
        <f>IF($J305="",#N/A,SUM(CT$4:CT305))</f>
        <v>-2.9040943753548785</v>
      </c>
      <c r="CV305" s="205">
        <f>IF($J305="",#N/A,SUM(CT$4:CT305,CR$4:CR305,CP$4:CP305))</f>
        <v>-1.6597038051426876</v>
      </c>
      <c r="CW305" s="200" t="str">
        <f t="shared" si="481"/>
        <v/>
      </c>
      <c r="CX305" s="203">
        <f>IF($J305="",#N/A,SUM(CW$4:CW305))</f>
        <v>-1.2839616145397621</v>
      </c>
      <c r="CY305" s="204" t="str">
        <f t="shared" si="482"/>
        <v/>
      </c>
      <c r="CZ305" s="204">
        <f>IF($J305="",#N/A,SUM(CY$4:CY305))</f>
        <v>-0.20119965665334139</v>
      </c>
      <c r="DA305" s="205" t="str">
        <f t="shared" si="483"/>
        <v/>
      </c>
      <c r="DB305" s="205">
        <f>IF($J305="",#N/A,SUM(DA$4:DA305))</f>
        <v>-1.1581788995104692</v>
      </c>
      <c r="DC305" s="205">
        <f>IF($J305="",#N/A,SUM(DA$4:DA305,CY$4:CY305,CW$4:CW305))</f>
        <v>-2.6433401707035724</v>
      </c>
      <c r="DD305" s="200" t="str">
        <f t="shared" si="484"/>
        <v/>
      </c>
      <c r="DE305" s="203">
        <f>IF($J305="",#N/A,SUM(DD$4:DD305))</f>
        <v>0.24769343410817113</v>
      </c>
      <c r="DF305" s="204" t="str">
        <f t="shared" si="485"/>
        <v/>
      </c>
      <c r="DG305" s="204">
        <f>IF($J305="",#N/A,SUM(DF$4:DF305))</f>
        <v>1.3104003890080136</v>
      </c>
      <c r="DH305" s="205" t="str">
        <f t="shared" si="486"/>
        <v/>
      </c>
      <c r="DI305" s="205">
        <f>IF($J305="",#N/A,SUM(DH$4:DH305))</f>
        <v>-2.7812008102163399</v>
      </c>
      <c r="DJ305" s="205">
        <f>IF($J305="",#N/A,SUM(DH$4:DH305,DF$4:DF305,DD$4:DD305))</f>
        <v>-1.2231069871001554</v>
      </c>
      <c r="DK305" s="200" t="str">
        <f t="shared" si="487"/>
        <v/>
      </c>
      <c r="DL305" s="203">
        <f>IF($J305="",#N/A,SUM(DK$4:DK305))</f>
        <v>-1.2097286851272664</v>
      </c>
      <c r="DM305" s="204" t="str">
        <f t="shared" si="488"/>
        <v/>
      </c>
      <c r="DN305" s="204">
        <f>IF($J305="",#N/A,SUM(DM$4:DM305))</f>
        <v>1.1747256665753205</v>
      </c>
      <c r="DO305" s="205" t="str">
        <f t="shared" si="489"/>
        <v/>
      </c>
      <c r="DP305" s="205">
        <f>IF($J305="",#N/A,SUM(DO$4:DO305))</f>
        <v>2.700331529683047</v>
      </c>
      <c r="DQ305" s="205">
        <f>IF($J305="",#N/A,SUM(DO$4:DO305,DM$4:DM305,DK$4:DK305))</f>
        <v>2.6653285111311016</v>
      </c>
      <c r="DR305" s="200" t="str">
        <f t="shared" si="490"/>
        <v/>
      </c>
      <c r="DS305" s="203">
        <f>IF($J305="",#N/A,SUM(DR$4:DR305))</f>
        <v>-0.55950946427675097</v>
      </c>
      <c r="DT305" s="204" t="str">
        <f t="shared" si="491"/>
        <v/>
      </c>
      <c r="DU305" s="204">
        <f>IF($J305="",#N/A,SUM(DT$4:DT305))</f>
        <v>-0.20750635820596686</v>
      </c>
      <c r="DV305" s="205" t="str">
        <f t="shared" si="492"/>
        <v/>
      </c>
      <c r="DW305" s="205">
        <f>IF($J305="",#N/A,SUM(DV$4:DV305))</f>
        <v>-2.3377035686214001</v>
      </c>
      <c r="DX305" s="205">
        <f>IF($J305="",#N/A,SUM(DV$4:DV305,DT$4:DT305,DR$4:DR305))</f>
        <v>-3.1047193911041169</v>
      </c>
      <c r="DY305" s="200" t="str">
        <f t="shared" si="493"/>
        <v/>
      </c>
      <c r="DZ305" s="203">
        <f>IF($J305="",#N/A,SUM(DY$4:DY305))</f>
        <v>-1.6284722482776204</v>
      </c>
      <c r="EA305" s="204" t="str">
        <f t="shared" si="494"/>
        <v/>
      </c>
      <c r="EB305" s="204">
        <f>IF($J305="",#N/A,SUM(EA$4:EA305))</f>
        <v>2.276197208799712</v>
      </c>
      <c r="EC305" s="205">
        <f t="shared" si="495"/>
        <v>1.2340345396740982</v>
      </c>
      <c r="ED305" s="205">
        <f>IF($J305="",#N/A,SUM(EC$4:EC305))</f>
        <v>7.5862553388283676</v>
      </c>
      <c r="EE305" s="205">
        <f>IF($J305="",#N/A,SUM(EC$4:EC305,EA$4:EA305,DY$4:DY305))</f>
        <v>8.2339802993504616</v>
      </c>
      <c r="EF305" s="200" t="str">
        <f t="shared" si="496"/>
        <v/>
      </c>
      <c r="EG305" s="203">
        <f>IF($J305="",#N/A,SUM(EF$4:EF305))</f>
        <v>0.12123845414313134</v>
      </c>
      <c r="EH305" s="204" t="str">
        <f t="shared" si="497"/>
        <v/>
      </c>
      <c r="EI305" s="204">
        <f>IF($J305="",#N/A,SUM(EH$4:EH305))</f>
        <v>-2.7373393576691663</v>
      </c>
      <c r="EJ305" s="205" t="str">
        <f t="shared" si="498"/>
        <v/>
      </c>
      <c r="EK305" s="205">
        <f>IF($J305="",#N/A,SUM(EJ$4:EJ305))</f>
        <v>5.050388173053765</v>
      </c>
      <c r="EL305" s="205">
        <f>IF($J305="",#N/A,SUM(EJ$4:EJ305,EH$4:EH305,EF$4:EF305))</f>
        <v>2.4342872695277298</v>
      </c>
      <c r="EM305" s="200" t="str">
        <f t="shared" si="499"/>
        <v/>
      </c>
      <c r="EN305" s="203">
        <f>IF($J305="",#N/A,SUM(EM$4:EM305))</f>
        <v>0</v>
      </c>
      <c r="EO305" s="204" t="str">
        <f t="shared" si="500"/>
        <v/>
      </c>
      <c r="EP305" s="204">
        <f>IF($J305="",#N/A,SUM(EO$4:EO305))</f>
        <v>2.0574787067554756</v>
      </c>
      <c r="EQ305" s="205" t="str">
        <f t="shared" si="501"/>
        <v/>
      </c>
      <c r="ER305" s="205">
        <f>IF($J305="",#N/A,SUM(EQ$4:EQ305))</f>
        <v>1.3977486422552698</v>
      </c>
      <c r="ES305" s="205">
        <f>IF($J305="",#N/A,SUM(EQ$4:EQ305,EO$4:EO305,EM$4:EM305))</f>
        <v>3.455227349010745</v>
      </c>
      <c r="ET305" s="200" t="str">
        <f t="shared" si="502"/>
        <v/>
      </c>
      <c r="EU305" s="203">
        <f>IF($J305="",#N/A,SUM(ET$4:ET305))</f>
        <v>0</v>
      </c>
      <c r="EV305" s="204" t="str">
        <f t="shared" si="503"/>
        <v/>
      </c>
      <c r="EW305" s="204">
        <f>IF($J305="",#N/A,SUM(EV$4:EV305))</f>
        <v>2.3297323921502326</v>
      </c>
      <c r="EX305" s="205" t="str">
        <f t="shared" si="504"/>
        <v/>
      </c>
      <c r="EY305" s="205">
        <f>IF($J305="",#N/A,SUM(EX$4:EX305))</f>
        <v>0.27113250180669229</v>
      </c>
      <c r="EZ305" s="205">
        <f>IF($J305="",#N/A,SUM(EX$4:EX305,EV$4:EV305,ET$4:ET305))</f>
        <v>2.6008648939569246</v>
      </c>
      <c r="FA305" s="200" t="str">
        <f t="shared" si="505"/>
        <v/>
      </c>
      <c r="FB305" s="203">
        <f>IF($J305="",#N/A,SUM(FA$4:FA305))</f>
        <v>-0.27145310509113252</v>
      </c>
      <c r="FC305" s="204" t="str">
        <f t="shared" si="506"/>
        <v/>
      </c>
      <c r="FD305" s="204">
        <f>IF($J305="",#N/A,SUM(FC$4:FC305))</f>
        <v>1.204376144197403</v>
      </c>
      <c r="FE305" s="205" t="str">
        <f t="shared" si="507"/>
        <v/>
      </c>
      <c r="FF305" s="205">
        <f>IF($J305="",#N/A,SUM(FE$4:FE305))</f>
        <v>-0.28811149078748233</v>
      </c>
      <c r="FG305" s="205">
        <f>IF($J305="",#N/A,SUM(FE$4:FE305,FC$4:FC305,FA$4:FA305))</f>
        <v>0.64481154831878851</v>
      </c>
      <c r="FH305" s="200" t="str">
        <f t="shared" si="508"/>
        <v/>
      </c>
      <c r="FI305" s="203">
        <f>IF($J305="",#N/A,SUM(FH$4:FH305))</f>
        <v>0</v>
      </c>
      <c r="FJ305" s="204" t="str">
        <f t="shared" si="509"/>
        <v/>
      </c>
      <c r="FK305" s="204">
        <f>IF($J305="",#N/A,SUM(FJ$4:FJ305))</f>
        <v>0</v>
      </c>
      <c r="FL305" s="205" t="str">
        <f t="shared" si="510"/>
        <v/>
      </c>
      <c r="FM305" s="205">
        <f>IF($J305="",#N/A,SUM(FL$4:FL305))</f>
        <v>0</v>
      </c>
      <c r="FN305" s="205">
        <f>IF($J305="",#N/A,SUM(FL$4:FL305,FJ$4:FJ305,FH$4:FH305))</f>
        <v>0</v>
      </c>
      <c r="FO305" s="200" t="str">
        <f t="shared" si="511"/>
        <v/>
      </c>
      <c r="FP305" s="203">
        <f>IF($J305="",#N/A,SUM(FO$4:FO305))</f>
        <v>0</v>
      </c>
      <c r="FQ305" s="204" t="str">
        <f t="shared" si="512"/>
        <v/>
      </c>
      <c r="FR305" s="204">
        <f>IF($J305="",#N/A,SUM(FQ$4:FQ305))</f>
        <v>0</v>
      </c>
      <c r="FS305" s="205" t="str">
        <f t="shared" si="513"/>
        <v/>
      </c>
      <c r="FT305" s="205">
        <f>IF($J305="",#N/A,SUM(FS$4:FS305))</f>
        <v>0</v>
      </c>
      <c r="FU305" s="205">
        <f>IF($J305="",#N/A,SUM(FS$4:FS305,FQ$4:FQ305,FO$4:FO305))</f>
        <v>0</v>
      </c>
      <c r="FV305" s="200" t="str">
        <f t="shared" si="514"/>
        <v/>
      </c>
      <c r="FW305" s="203">
        <f>IF($J305="",#N/A,SUM(FV$4:FV305))</f>
        <v>6.6834991831277585E-2</v>
      </c>
      <c r="FX305" s="204" t="str">
        <f t="shared" si="515"/>
        <v/>
      </c>
      <c r="FY305" s="204">
        <f>IF($J305="",#N/A,SUM(FX$4:FX305))</f>
        <v>-0.16102012791805576</v>
      </c>
      <c r="FZ305" s="205" t="str">
        <f t="shared" si="516"/>
        <v/>
      </c>
      <c r="GA305" s="205">
        <f>IF($J305="",#N/A,SUM(FZ$4:FZ305))</f>
        <v>-0.69624339162892301</v>
      </c>
      <c r="GB305" s="205">
        <f>IF($J305="",#N/A,SUM(FZ$4:FZ305,FX$4:FX305,FV$4:FV305))</f>
        <v>-0.79042852771570116</v>
      </c>
      <c r="GC305" s="200" t="str">
        <f t="shared" si="517"/>
        <v/>
      </c>
      <c r="GD305" s="203">
        <f>IF($J305="",#N/A,SUM(GC$4:GC305))</f>
        <v>0</v>
      </c>
      <c r="GE305" s="204" t="str">
        <f t="shared" si="518"/>
        <v/>
      </c>
      <c r="GF305" s="204">
        <f>IF($J305="",#N/A,SUM(GE$4:GE305))</f>
        <v>0</v>
      </c>
      <c r="GG305" s="205" t="str">
        <f t="shared" si="519"/>
        <v/>
      </c>
      <c r="GH305" s="205">
        <f>IF($J305="",#N/A,SUM(GG$4:GG305))</f>
        <v>-2.9368362277223206</v>
      </c>
      <c r="GI305" s="205">
        <f>IF($J305="",#N/A,SUM(GG$4:GG305,GE$4:GE305,GC$4:GC305))</f>
        <v>-2.9368362277223206</v>
      </c>
      <c r="GJ305" s="200" t="str">
        <f t="shared" si="520"/>
        <v/>
      </c>
      <c r="GK305" s="203">
        <f>IF($J305="",#N/A,SUM(GJ$4:GJ305))</f>
        <v>0</v>
      </c>
      <c r="GL305" s="204" t="str">
        <f t="shared" si="521"/>
        <v/>
      </c>
      <c r="GM305" s="204">
        <f>IF($J305="",#N/A,SUM(GL$4:GL305))</f>
        <v>-1.6833790887309608</v>
      </c>
      <c r="GN305" s="205" t="str">
        <f t="shared" si="522"/>
        <v/>
      </c>
      <c r="GO305" s="205">
        <f>IF($J305="",#N/A,SUM(GN$4:GN305))</f>
        <v>0</v>
      </c>
      <c r="GP305" s="205">
        <f>IF($J305="",#N/A,SUM(GN$4:GN305,GL$4:GL305,GJ$4:GJ305))</f>
        <v>-1.6833790887309608</v>
      </c>
      <c r="GS305" s="177">
        <f t="shared" si="541"/>
        <v>1.2340345396740982</v>
      </c>
      <c r="GT305" s="177">
        <f>IF(GS305="",NA(),SUM($GS$4:GS305))</f>
        <v>7.5343090489662714</v>
      </c>
      <c r="GU305" s="177" t="str">
        <f t="shared" si="523"/>
        <v/>
      </c>
      <c r="GV305" s="177" t="e">
        <f>IF(GU305="",NA(),SUM($GU$4:GU305))</f>
        <v>#N/A</v>
      </c>
      <c r="GW305" s="177">
        <f t="shared" si="524"/>
        <v>1.2340345396740982</v>
      </c>
      <c r="GX305" s="177">
        <f>IF(GW305="",NA(),SUM($GW$4:GW305))</f>
        <v>7.0910905093586418</v>
      </c>
      <c r="GY305" s="177" t="str">
        <f t="shared" si="525"/>
        <v/>
      </c>
      <c r="GZ305" s="177" t="e">
        <f>IF(GY305="",NA(),SUM($GY$4:GY305))</f>
        <v>#N/A</v>
      </c>
      <c r="HA305" s="177" t="str">
        <f t="shared" si="526"/>
        <v/>
      </c>
      <c r="HB305" s="177" t="e">
        <f>IF(HA305="",NA(),SUM($HA$4:HA305))</f>
        <v>#N/A</v>
      </c>
      <c r="HC305" s="177" t="str">
        <f t="shared" si="527"/>
        <v/>
      </c>
      <c r="HD305" s="177" t="e">
        <f>IF(HC305="",NA(),SUM($HC$4:HC305))</f>
        <v>#N/A</v>
      </c>
      <c r="HE305" s="177" t="str">
        <f t="shared" si="528"/>
        <v/>
      </c>
      <c r="HF305" s="177" t="e">
        <f>IF(HE305="",NA(),SUM($HE$4:HE305))</f>
        <v>#N/A</v>
      </c>
      <c r="HG305" s="177" t="str">
        <f t="shared" si="529"/>
        <v/>
      </c>
      <c r="HH305" s="177" t="e">
        <f>IF(HG305="",NA(),SUM($HG$4:HG305))</f>
        <v>#N/A</v>
      </c>
      <c r="HI305" s="183" t="str">
        <f t="shared" si="542"/>
        <v/>
      </c>
      <c r="HJ305" s="183">
        <f>IF($J305="",#N/A,SUM(HI$4:$HI305))</f>
        <v>-7.7357960158937757</v>
      </c>
      <c r="HK305" s="177" t="str">
        <f t="shared" si="530"/>
        <v/>
      </c>
      <c r="HL305" s="177">
        <f>IF($J305="",#N/A,SUM($HK$4:HK305))</f>
        <v>0.54603488836842284</v>
      </c>
      <c r="HM305" s="177" t="str">
        <f t="shared" si="531"/>
        <v/>
      </c>
      <c r="HN305" s="177">
        <f>IF($J305="",#N/A,SUM($HM$4:HM305))</f>
        <v>1.2041389455942384</v>
      </c>
      <c r="HO305" s="177" t="str">
        <f t="shared" si="532"/>
        <v/>
      </c>
      <c r="HP305" s="177">
        <f>IF($J305="",#N/A,SUM($HO$4:HO305))</f>
        <v>-0.71662660021795599</v>
      </c>
      <c r="HQ305" s="177">
        <f t="shared" si="533"/>
        <v>1.1202131312795642</v>
      </c>
      <c r="HR305" s="177">
        <f>IF($J305="",#N/A,SUM($HQ$4:HQ305))</f>
        <v>-13.719205698479922</v>
      </c>
      <c r="HS305" s="177" t="str">
        <f t="shared" si="534"/>
        <v/>
      </c>
      <c r="HT305" s="177">
        <f>IF($J305="",#N/A,SUM($HS$4:HS305))</f>
        <v>15.486812150209897</v>
      </c>
      <c r="HU305" s="64">
        <f t="shared" si="535"/>
        <v>2.3542476709536624</v>
      </c>
      <c r="HV305" s="64">
        <f>IF($J305="",#N/A,SUM(HU$4:$HU305))</f>
        <v>4.9273774372095778</v>
      </c>
    </row>
    <row r="306" spans="1:230" x14ac:dyDescent="0.25">
      <c r="A306" s="397" t="s">
        <v>948</v>
      </c>
      <c r="B306" s="289" t="s">
        <v>4597</v>
      </c>
      <c r="C306" s="230">
        <f t="shared" si="436"/>
        <v>2</v>
      </c>
      <c r="D306" s="220" t="str">
        <f>_xlfn.XLOOKUP(A306,[1]SP500!$A$2:$A$502,[1]SP500!$D$2:$D$502,"N")</f>
        <v>Y</v>
      </c>
      <c r="E306" s="59" t="str">
        <f>IFERROR(_xlfn.XLOOKUP(A306,[1]SP500!$A$2:$A$655,[1]SP500!$B$2:$B$655),"")</f>
        <v>SMH</v>
      </c>
      <c r="F306" s="290">
        <v>45784</v>
      </c>
      <c r="G306" s="59" t="str">
        <f t="shared" si="437"/>
        <v>AMC</v>
      </c>
      <c r="H306" s="59" t="str">
        <f t="shared" si="438"/>
        <v>s</v>
      </c>
      <c r="I306" s="376">
        <v>66.88</v>
      </c>
      <c r="J306" s="125">
        <v>66.915000000000006</v>
      </c>
      <c r="K306" s="60">
        <f t="shared" si="439"/>
        <v>5.2332535885183621E-4</v>
      </c>
      <c r="L306" s="68">
        <f t="shared" si="440"/>
        <v>-0.63000000000010914</v>
      </c>
      <c r="M306" s="62">
        <f t="shared" si="441"/>
        <v>-9.6300000000001091</v>
      </c>
      <c r="N306" s="63">
        <f t="shared" si="442"/>
        <v>-0.63000000000010914</v>
      </c>
      <c r="O306" s="62">
        <f>IF(N306="",#N/A,SUM($N$4:N306))</f>
        <v>415.83575430328062</v>
      </c>
      <c r="P306" s="64">
        <f t="shared" si="536"/>
        <v>-8.7220893141960899E-3</v>
      </c>
      <c r="Q306" s="183">
        <f>IF($N306="",#N/A,SUM($P$4:P306))</f>
        <v>10.36924514548147</v>
      </c>
      <c r="R306" s="279">
        <f t="shared" si="443"/>
        <v>1.0601166567441922</v>
      </c>
      <c r="S306" s="59" t="str">
        <f t="shared" si="444"/>
        <v>Dwn</v>
      </c>
      <c r="T306" s="59" t="s">
        <v>4461</v>
      </c>
      <c r="U306" s="61">
        <f t="shared" si="445"/>
        <v>66.88</v>
      </c>
      <c r="V306" s="61" t="s">
        <v>4458</v>
      </c>
      <c r="W306" s="142">
        <v>18</v>
      </c>
      <c r="X306" s="146">
        <f t="shared" si="446"/>
        <v>1203.8399999999999</v>
      </c>
      <c r="Y306" s="142">
        <f t="shared" si="447"/>
        <v>18</v>
      </c>
      <c r="Z306" s="278">
        <v>67.45</v>
      </c>
      <c r="AA306" s="63">
        <f t="shared" si="448"/>
        <v>-10.260000000000218</v>
      </c>
      <c r="AB306" s="63">
        <f t="shared" si="449"/>
        <v>-7.3800000000001091</v>
      </c>
      <c r="AC306" s="125">
        <v>67.290000000000006</v>
      </c>
      <c r="AD306" s="148">
        <f t="shared" si="450"/>
        <v>-7.3800000000001091</v>
      </c>
      <c r="AE306" s="544">
        <f t="shared" si="451"/>
        <v>-0.10217304625199515</v>
      </c>
      <c r="AF306" s="62">
        <f>IF($AC306="",#N/A,SUM(AD$4:AD306))</f>
        <v>208.31980422776769</v>
      </c>
      <c r="AG306" s="63">
        <f t="shared" si="452"/>
        <v>-6.75</v>
      </c>
      <c r="AH306" s="61" t="s">
        <v>2507</v>
      </c>
      <c r="AI306" s="64">
        <f t="shared" si="453"/>
        <v>-0.14204545454545758</v>
      </c>
      <c r="AJ306" s="383">
        <f>IF(AI306="",#N/A,SUM($AI$4:AI306))</f>
        <v>9.3091284887372776</v>
      </c>
      <c r="AK306" s="62">
        <f t="shared" si="454"/>
        <v>-10.260000000000218</v>
      </c>
      <c r="AL306" s="351">
        <f>IF(AI306="",#N/A,IF(AH306="Skip",SUM($AK$4:AK306),SUM($AK$4:AK306)))</f>
        <v>340.04759149281404</v>
      </c>
      <c r="AM306" s="65">
        <f t="shared" si="537"/>
        <v>-0.10217304625199515</v>
      </c>
      <c r="AN306" s="209"/>
      <c r="AO306" s="64" t="str">
        <f t="shared" si="455"/>
        <v/>
      </c>
      <c r="AP306" s="64">
        <f>IF($AC306="",#N/A,SUM(AO$4:AO306))</f>
        <v>6.8046086048266332</v>
      </c>
      <c r="AQ306" s="64" t="str">
        <f t="shared" si="456"/>
        <v/>
      </c>
      <c r="AR306" s="64">
        <f>IF($AC306="",#N/A,SUM(AQ$4:AQ306))</f>
        <v>-5.1454778233419471</v>
      </c>
      <c r="AS306" s="64">
        <f t="shared" si="457"/>
        <v>-0.10217304625199515</v>
      </c>
      <c r="AT306" s="64">
        <f>IF($AC306="",#N/A,SUM(AS$4:AS306))</f>
        <v>3.1660736094728956</v>
      </c>
      <c r="AU306" s="62" t="str">
        <f t="shared" si="538"/>
        <v/>
      </c>
      <c r="AV306" s="62">
        <f>IF($AC306="",#N/A,SUM(AU$4:AU306))</f>
        <v>345.26249066104651</v>
      </c>
      <c r="AW306" s="62" t="str">
        <f t="shared" si="539"/>
        <v/>
      </c>
      <c r="AX306" s="62">
        <f>IF($AC306="",#N/A,SUM(AW$4:AW306))</f>
        <v>-339.68106797961104</v>
      </c>
      <c r="AY306" s="62">
        <f t="shared" si="540"/>
        <v>-7.3800000000001091</v>
      </c>
      <c r="AZ306" s="62">
        <f>IF($AC306="",#N/A,SUM(AY$4:AY306))</f>
        <v>202.73838154633222</v>
      </c>
      <c r="BA306" s="62">
        <f>IF(AD306="",#N/A,SUM($AD$4:AD306))</f>
        <v>208.31980422776769</v>
      </c>
      <c r="BC306" s="59" t="str">
        <f t="shared" si="458"/>
        <v/>
      </c>
      <c r="BD306" s="59">
        <f t="shared" si="459"/>
        <v>1</v>
      </c>
      <c r="BE306" s="59" t="str">
        <f t="shared" si="460"/>
        <v/>
      </c>
      <c r="BF306" s="59" t="str">
        <f t="shared" si="461"/>
        <v>Short</v>
      </c>
      <c r="BG306" s="59" t="str">
        <f t="shared" si="462"/>
        <v/>
      </c>
      <c r="BH306" s="59" t="str">
        <f t="shared" si="463"/>
        <v/>
      </c>
      <c r="BI306" s="59" t="str">
        <f t="shared" si="464"/>
        <v/>
      </c>
      <c r="BK306" s="65">
        <f t="shared" si="435"/>
        <v>-9.5095053260226367E-2</v>
      </c>
      <c r="BL306" s="65">
        <f t="shared" si="543"/>
        <v>-0.13741428481056814</v>
      </c>
      <c r="BM306" s="65">
        <f>IFERROR(Q306/COUNTA($J$4:J306),#N/A)</f>
        <v>3.4221931173206169E-2</v>
      </c>
      <c r="BO306" s="489" t="e">
        <f>IF(J306="",#N/A,IF(S306="SW",(COUNTIFS(K$4:$K306,"&gt;0",S$4:$S306,"SW")/COUNTIF(S$4:$S306,"SW")),#N/A))</f>
        <v>#N/A</v>
      </c>
      <c r="BP306" s="489">
        <f>IF($J306="",#N/A,IF($S306="DWN",(COUNTIFS($K$4:$K306,"&lt;0",$S$4:$S306,"DWN")/COUNTIF($S$4:$S306,"DWN")),#N/A))</f>
        <v>0.56428571428571428</v>
      </c>
      <c r="BQ306" s="489" t="e">
        <f>IF($J306="",#N/A,IF($S306="UP",(COUNTIFS($K$4:$K306,"&gt;0",$S$4:$S306,"UP")/COUNTIF($S$4:$S306,"UP")),#N/A))</f>
        <v>#N/A</v>
      </c>
      <c r="BR306" s="489">
        <f>IF(J306="",#N/A,COUNTIF($K$4:K306,"&gt;0")/COUNT($J$4:J306))</f>
        <v>0.45874587458745875</v>
      </c>
      <c r="BS306" s="65" t="str">
        <f t="shared" si="465"/>
        <v/>
      </c>
      <c r="BT306" s="65" t="str">
        <f t="shared" si="466"/>
        <v/>
      </c>
      <c r="BU306" s="65" t="str">
        <f t="shared" si="467"/>
        <v/>
      </c>
      <c r="BV306" s="65">
        <f t="shared" si="468"/>
        <v>-8.7220893141960899E-3</v>
      </c>
      <c r="BW306" s="128" t="str">
        <f t="shared" si="469"/>
        <v/>
      </c>
      <c r="BX306" s="128">
        <f>IF($J306="",#N/A,SUM($BW$4:BW306))</f>
        <v>-371.69317034792857</v>
      </c>
      <c r="BY306" s="131">
        <f t="shared" si="470"/>
        <v>-0.63000000000010914</v>
      </c>
      <c r="BZ306" s="131">
        <f>IF($J306="",#N/A,SUM($BY$4:BY306))</f>
        <v>573.1073403893339</v>
      </c>
      <c r="CA306" s="133" t="str">
        <f t="shared" si="471"/>
        <v/>
      </c>
      <c r="CB306" s="133">
        <f>IF($J306="",#N/A,SUM($CA$4:CA306))</f>
        <v>214.4215842618753</v>
      </c>
      <c r="CC306" s="194" t="str">
        <f t="shared" si="472"/>
        <v/>
      </c>
      <c r="CD306" s="194">
        <f>IF($J306="",#N/A,SUM($CC$4:CC306))</f>
        <v>-5.6329901687182264</v>
      </c>
      <c r="CE306" s="195">
        <f t="shared" si="473"/>
        <v>-8.7220893141960899E-3</v>
      </c>
      <c r="CF306" s="195">
        <f>IF($J306="",#N/A,SUM($CE$4:CE306))</f>
        <v>10.449285693936057</v>
      </c>
      <c r="CG306" s="196" t="str">
        <f t="shared" si="474"/>
        <v/>
      </c>
      <c r="CH306" s="196">
        <f>IF($J306="",#N/A,SUM($CG$4:CG306))</f>
        <v>5.552949620263643</v>
      </c>
      <c r="CI306" s="200" t="str">
        <f t="shared" si="475"/>
        <v/>
      </c>
      <c r="CJ306" s="203">
        <f>IF($J306="",#N/A,SUM(CI$4:CI306))</f>
        <v>0</v>
      </c>
      <c r="CK306" s="204" t="str">
        <f t="shared" si="476"/>
        <v/>
      </c>
      <c r="CL306" s="204">
        <f>IF($J306="",#N/A,SUM(CK$4:CK306))</f>
        <v>2.4085740385592547</v>
      </c>
      <c r="CM306" s="205" t="str">
        <f t="shared" si="477"/>
        <v/>
      </c>
      <c r="CN306" s="205">
        <f>IF($J306="",#N/A,SUM(CM$4:CM306))</f>
        <v>1.6494621984783118</v>
      </c>
      <c r="CO306" s="205">
        <f>IF($J306="",#N/A,SUM(CM$4:CM306,CK$4:CK306,CI$4:CI306))</f>
        <v>4.0580362370375669</v>
      </c>
      <c r="CP306" s="200" t="str">
        <f t="shared" si="478"/>
        <v/>
      </c>
      <c r="CQ306" s="203">
        <f>IF($J306="",#N/A,SUM(CP$4:CP306))</f>
        <v>-1.1156319314882757</v>
      </c>
      <c r="CR306" s="204" t="str">
        <f t="shared" si="479"/>
        <v/>
      </c>
      <c r="CS306" s="204">
        <f>IF($J306="",#N/A,SUM(CR$4:CR306))</f>
        <v>2.3600225017004668</v>
      </c>
      <c r="CT306" s="205" t="str">
        <f t="shared" si="480"/>
        <v/>
      </c>
      <c r="CU306" s="205">
        <f>IF($J306="",#N/A,SUM(CT$4:CT306))</f>
        <v>-2.9040943753548785</v>
      </c>
      <c r="CV306" s="205">
        <f>IF($J306="",#N/A,SUM(CT$4:CT306,CR$4:CR306,CP$4:CP306))</f>
        <v>-1.6597038051426876</v>
      </c>
      <c r="CW306" s="200" t="str">
        <f t="shared" si="481"/>
        <v/>
      </c>
      <c r="CX306" s="203">
        <f>IF($J306="",#N/A,SUM(CW$4:CW306))</f>
        <v>-1.2839616145397621</v>
      </c>
      <c r="CY306" s="204" t="str">
        <f t="shared" si="482"/>
        <v/>
      </c>
      <c r="CZ306" s="204">
        <f>IF($J306="",#N/A,SUM(CY$4:CY306))</f>
        <v>-0.20119965665334139</v>
      </c>
      <c r="DA306" s="205" t="str">
        <f t="shared" si="483"/>
        <v/>
      </c>
      <c r="DB306" s="205">
        <f>IF($J306="",#N/A,SUM(DA$4:DA306))</f>
        <v>-1.1581788995104692</v>
      </c>
      <c r="DC306" s="205">
        <f>IF($J306="",#N/A,SUM(DA$4:DA306,CY$4:CY306,CW$4:CW306))</f>
        <v>-2.6433401707035724</v>
      </c>
      <c r="DD306" s="200" t="str">
        <f t="shared" si="484"/>
        <v/>
      </c>
      <c r="DE306" s="203">
        <f>IF($J306="",#N/A,SUM(DD$4:DD306))</f>
        <v>0.24769343410817113</v>
      </c>
      <c r="DF306" s="204" t="str">
        <f t="shared" si="485"/>
        <v/>
      </c>
      <c r="DG306" s="204">
        <f>IF($J306="",#N/A,SUM(DF$4:DF306))</f>
        <v>1.3104003890080136</v>
      </c>
      <c r="DH306" s="205" t="str">
        <f t="shared" si="486"/>
        <v/>
      </c>
      <c r="DI306" s="205">
        <f>IF($J306="",#N/A,SUM(DH$4:DH306))</f>
        <v>-2.7812008102163399</v>
      </c>
      <c r="DJ306" s="205">
        <f>IF($J306="",#N/A,SUM(DH$4:DH306,DF$4:DF306,DD$4:DD306))</f>
        <v>-1.2231069871001554</v>
      </c>
      <c r="DK306" s="200" t="str">
        <f t="shared" si="487"/>
        <v/>
      </c>
      <c r="DL306" s="203">
        <f>IF($J306="",#N/A,SUM(DK$4:DK306))</f>
        <v>-1.2097286851272664</v>
      </c>
      <c r="DM306" s="204" t="str">
        <f t="shared" si="488"/>
        <v/>
      </c>
      <c r="DN306" s="204">
        <f>IF($J306="",#N/A,SUM(DM$4:DM306))</f>
        <v>1.1747256665753205</v>
      </c>
      <c r="DO306" s="205" t="str">
        <f t="shared" si="489"/>
        <v/>
      </c>
      <c r="DP306" s="205">
        <f>IF($J306="",#N/A,SUM(DO$4:DO306))</f>
        <v>2.700331529683047</v>
      </c>
      <c r="DQ306" s="205">
        <f>IF($J306="",#N/A,SUM(DO$4:DO306,DM$4:DM306,DK$4:DK306))</f>
        <v>2.6653285111311016</v>
      </c>
      <c r="DR306" s="200" t="str">
        <f t="shared" si="490"/>
        <v/>
      </c>
      <c r="DS306" s="203">
        <f>IF($J306="",#N/A,SUM(DR$4:DR306))</f>
        <v>-0.55950946427675097</v>
      </c>
      <c r="DT306" s="204" t="str">
        <f t="shared" si="491"/>
        <v/>
      </c>
      <c r="DU306" s="204">
        <f>IF($J306="",#N/A,SUM(DT$4:DT306))</f>
        <v>-0.20750635820596686</v>
      </c>
      <c r="DV306" s="205" t="str">
        <f t="shared" si="492"/>
        <v/>
      </c>
      <c r="DW306" s="205">
        <f>IF($J306="",#N/A,SUM(DV$4:DV306))</f>
        <v>-2.3377035686214001</v>
      </c>
      <c r="DX306" s="205">
        <f>IF($J306="",#N/A,SUM(DV$4:DV306,DT$4:DT306,DR$4:DR306))</f>
        <v>-3.1047193911041169</v>
      </c>
      <c r="DY306" s="200" t="str">
        <f t="shared" si="493"/>
        <v/>
      </c>
      <c r="DZ306" s="203">
        <f>IF($J306="",#N/A,SUM(DY$4:DY306))</f>
        <v>-1.6284722482776204</v>
      </c>
      <c r="EA306" s="204" t="str">
        <f t="shared" si="494"/>
        <v/>
      </c>
      <c r="EB306" s="204">
        <f>IF($J306="",#N/A,SUM(EA$4:EA306))</f>
        <v>2.276197208799712</v>
      </c>
      <c r="EC306" s="205" t="str">
        <f t="shared" si="495"/>
        <v/>
      </c>
      <c r="ED306" s="205">
        <f>IF($J306="",#N/A,SUM(EC$4:EC306))</f>
        <v>7.5862553388283676</v>
      </c>
      <c r="EE306" s="205">
        <f>IF($J306="",#N/A,SUM(EC$4:EC306,EA$4:EA306,DY$4:DY306))</f>
        <v>8.2339802993504616</v>
      </c>
      <c r="EF306" s="200" t="str">
        <f t="shared" si="496"/>
        <v/>
      </c>
      <c r="EG306" s="203">
        <f>IF($J306="",#N/A,SUM(EF$4:EF306))</f>
        <v>0.12123845414313134</v>
      </c>
      <c r="EH306" s="204" t="str">
        <f t="shared" si="497"/>
        <v/>
      </c>
      <c r="EI306" s="204">
        <f>IF($J306="",#N/A,SUM(EH$4:EH306))</f>
        <v>-2.7373393576691663</v>
      </c>
      <c r="EJ306" s="205" t="str">
        <f t="shared" si="498"/>
        <v/>
      </c>
      <c r="EK306" s="205">
        <f>IF($J306="",#N/A,SUM(EJ$4:EJ306))</f>
        <v>5.050388173053765</v>
      </c>
      <c r="EL306" s="205">
        <f>IF($J306="",#N/A,SUM(EJ$4:EJ306,EH$4:EH306,EF$4:EF306))</f>
        <v>2.4342872695277298</v>
      </c>
      <c r="EM306" s="200" t="str">
        <f t="shared" si="499"/>
        <v/>
      </c>
      <c r="EN306" s="203">
        <f>IF($J306="",#N/A,SUM(EM$4:EM306))</f>
        <v>0</v>
      </c>
      <c r="EO306" s="204" t="str">
        <f t="shared" si="500"/>
        <v/>
      </c>
      <c r="EP306" s="204">
        <f>IF($J306="",#N/A,SUM(EO$4:EO306))</f>
        <v>2.0574787067554756</v>
      </c>
      <c r="EQ306" s="205" t="str">
        <f t="shared" si="501"/>
        <v/>
      </c>
      <c r="ER306" s="205">
        <f>IF($J306="",#N/A,SUM(EQ$4:EQ306))</f>
        <v>1.3977486422552698</v>
      </c>
      <c r="ES306" s="205">
        <f>IF($J306="",#N/A,SUM(EQ$4:EQ306,EO$4:EO306,EM$4:EM306))</f>
        <v>3.455227349010745</v>
      </c>
      <c r="ET306" s="200" t="str">
        <f t="shared" si="502"/>
        <v/>
      </c>
      <c r="EU306" s="203">
        <f>IF($J306="",#N/A,SUM(ET$4:ET306))</f>
        <v>0</v>
      </c>
      <c r="EV306" s="204">
        <f t="shared" si="503"/>
        <v>-8.7220893141960899E-3</v>
      </c>
      <c r="EW306" s="204">
        <f>IF($J306="",#N/A,SUM(EV$4:EV306))</f>
        <v>2.3210103028360365</v>
      </c>
      <c r="EX306" s="205" t="str">
        <f t="shared" si="504"/>
        <v/>
      </c>
      <c r="EY306" s="205">
        <f>IF($J306="",#N/A,SUM(EX$4:EX306))</f>
        <v>0.27113250180669229</v>
      </c>
      <c r="EZ306" s="205">
        <f>IF($J306="",#N/A,SUM(EX$4:EX306,EV$4:EV306,ET$4:ET306))</f>
        <v>2.5921428046427284</v>
      </c>
      <c r="FA306" s="200" t="str">
        <f t="shared" si="505"/>
        <v/>
      </c>
      <c r="FB306" s="203">
        <f>IF($J306="",#N/A,SUM(FA$4:FA306))</f>
        <v>-0.27145310509113252</v>
      </c>
      <c r="FC306" s="204" t="str">
        <f t="shared" si="506"/>
        <v/>
      </c>
      <c r="FD306" s="204">
        <f>IF($J306="",#N/A,SUM(FC$4:FC306))</f>
        <v>1.204376144197403</v>
      </c>
      <c r="FE306" s="205" t="str">
        <f t="shared" si="507"/>
        <v/>
      </c>
      <c r="FF306" s="205">
        <f>IF($J306="",#N/A,SUM(FE$4:FE306))</f>
        <v>-0.28811149078748233</v>
      </c>
      <c r="FG306" s="205">
        <f>IF($J306="",#N/A,SUM(FE$4:FE306,FC$4:FC306,FA$4:FA306))</f>
        <v>0.64481154831878851</v>
      </c>
      <c r="FH306" s="200" t="str">
        <f t="shared" si="508"/>
        <v/>
      </c>
      <c r="FI306" s="203">
        <f>IF($J306="",#N/A,SUM(FH$4:FH306))</f>
        <v>0</v>
      </c>
      <c r="FJ306" s="204" t="str">
        <f t="shared" si="509"/>
        <v/>
      </c>
      <c r="FK306" s="204">
        <f>IF($J306="",#N/A,SUM(FJ$4:FJ306))</f>
        <v>0</v>
      </c>
      <c r="FL306" s="205" t="str">
        <f t="shared" si="510"/>
        <v/>
      </c>
      <c r="FM306" s="205">
        <f>IF($J306="",#N/A,SUM(FL$4:FL306))</f>
        <v>0</v>
      </c>
      <c r="FN306" s="205">
        <f>IF($J306="",#N/A,SUM(FL$4:FL306,FJ$4:FJ306,FH$4:FH306))</f>
        <v>0</v>
      </c>
      <c r="FO306" s="200" t="str">
        <f t="shared" si="511"/>
        <v/>
      </c>
      <c r="FP306" s="203">
        <f>IF($J306="",#N/A,SUM(FO$4:FO306))</f>
        <v>0</v>
      </c>
      <c r="FQ306" s="204" t="str">
        <f t="shared" si="512"/>
        <v/>
      </c>
      <c r="FR306" s="204">
        <f>IF($J306="",#N/A,SUM(FQ$4:FQ306))</f>
        <v>0</v>
      </c>
      <c r="FS306" s="205" t="str">
        <f t="shared" si="513"/>
        <v/>
      </c>
      <c r="FT306" s="205">
        <f>IF($J306="",#N/A,SUM(FS$4:FS306))</f>
        <v>0</v>
      </c>
      <c r="FU306" s="205">
        <f>IF($J306="",#N/A,SUM(FS$4:FS306,FQ$4:FQ306,FO$4:FO306))</f>
        <v>0</v>
      </c>
      <c r="FV306" s="200" t="str">
        <f t="shared" si="514"/>
        <v/>
      </c>
      <c r="FW306" s="203">
        <f>IF($J306="",#N/A,SUM(FV$4:FV306))</f>
        <v>6.6834991831277585E-2</v>
      </c>
      <c r="FX306" s="204" t="str">
        <f t="shared" si="515"/>
        <v/>
      </c>
      <c r="FY306" s="204">
        <f>IF($J306="",#N/A,SUM(FX$4:FX306))</f>
        <v>-0.16102012791805576</v>
      </c>
      <c r="FZ306" s="205" t="str">
        <f t="shared" si="516"/>
        <v/>
      </c>
      <c r="GA306" s="205">
        <f>IF($J306="",#N/A,SUM(FZ$4:FZ306))</f>
        <v>-0.69624339162892301</v>
      </c>
      <c r="GB306" s="205">
        <f>IF($J306="",#N/A,SUM(FZ$4:FZ306,FX$4:FX306,FV$4:FV306))</f>
        <v>-0.79042852771570116</v>
      </c>
      <c r="GC306" s="200" t="str">
        <f t="shared" si="517"/>
        <v/>
      </c>
      <c r="GD306" s="203">
        <f>IF($J306="",#N/A,SUM(GC$4:GC306))</f>
        <v>0</v>
      </c>
      <c r="GE306" s="204" t="str">
        <f t="shared" si="518"/>
        <v/>
      </c>
      <c r="GF306" s="204">
        <f>IF($J306="",#N/A,SUM(GE$4:GE306))</f>
        <v>0</v>
      </c>
      <c r="GG306" s="205" t="str">
        <f t="shared" si="519"/>
        <v/>
      </c>
      <c r="GH306" s="205">
        <f>IF($J306="",#N/A,SUM(GG$4:GG306))</f>
        <v>-2.9368362277223206</v>
      </c>
      <c r="GI306" s="205">
        <f>IF($J306="",#N/A,SUM(GG$4:GG306,GE$4:GE306,GC$4:GC306))</f>
        <v>-2.9368362277223206</v>
      </c>
      <c r="GJ306" s="200" t="str">
        <f t="shared" si="520"/>
        <v/>
      </c>
      <c r="GK306" s="203">
        <f>IF($J306="",#N/A,SUM(GJ$4:GJ306))</f>
        <v>0</v>
      </c>
      <c r="GL306" s="204" t="str">
        <f t="shared" si="521"/>
        <v/>
      </c>
      <c r="GM306" s="204">
        <f>IF($J306="",#N/A,SUM(GL$4:GL306))</f>
        <v>-1.6833790887309608</v>
      </c>
      <c r="GN306" s="205" t="str">
        <f t="shared" si="522"/>
        <v/>
      </c>
      <c r="GO306" s="205">
        <f>IF($J306="",#N/A,SUM(GN$4:GN306))</f>
        <v>0</v>
      </c>
      <c r="GP306" s="205">
        <f>IF($J306="",#N/A,SUM(GN$4:GN306,GL$4:GL306,GJ$4:GJ306))</f>
        <v>-1.6833790887309608</v>
      </c>
      <c r="GS306" s="177">
        <f t="shared" si="541"/>
        <v>-8.7220893141960899E-3</v>
      </c>
      <c r="GT306" s="177">
        <f>IF(GS306="",NA(),SUM($GS$4:GS306))</f>
        <v>7.5255869596520757</v>
      </c>
      <c r="GU306" s="177" t="str">
        <f t="shared" si="523"/>
        <v/>
      </c>
      <c r="GV306" s="177" t="e">
        <f>IF(GU306="",NA(),SUM($GU$4:GU306))</f>
        <v>#N/A</v>
      </c>
      <c r="GW306" s="177" t="str">
        <f t="shared" si="524"/>
        <v/>
      </c>
      <c r="GX306" s="177" t="e">
        <f>IF(GW306="",NA(),SUM($GW$4:GW306))</f>
        <v>#N/A</v>
      </c>
      <c r="GY306" s="177">
        <f t="shared" si="525"/>
        <v>-8.7220893141960899E-3</v>
      </c>
      <c r="GZ306" s="177">
        <f>IF(GY306="",NA(),SUM($GY$4:GY306))</f>
        <v>6.0674866190116639</v>
      </c>
      <c r="HA306" s="177" t="str">
        <f t="shared" si="526"/>
        <v/>
      </c>
      <c r="HB306" s="177" t="e">
        <f>IF(HA306="",NA(),SUM($HA$4:HA306))</f>
        <v>#N/A</v>
      </c>
      <c r="HC306" s="177" t="str">
        <f t="shared" si="527"/>
        <v/>
      </c>
      <c r="HD306" s="177" t="e">
        <f>IF(HC306="",NA(),SUM($HC$4:HC306))</f>
        <v>#N/A</v>
      </c>
      <c r="HE306" s="177" t="str">
        <f t="shared" si="528"/>
        <v/>
      </c>
      <c r="HF306" s="177" t="e">
        <f>IF(HE306="",NA(),SUM($HE$4:HE306))</f>
        <v>#N/A</v>
      </c>
      <c r="HG306" s="177" t="str">
        <f t="shared" si="529"/>
        <v/>
      </c>
      <c r="HH306" s="177" t="e">
        <f>IF(HG306="",NA(),SUM($HG$4:HG306))</f>
        <v>#N/A</v>
      </c>
      <c r="HI306" s="183" t="str">
        <f t="shared" si="542"/>
        <v/>
      </c>
      <c r="HJ306" s="183">
        <f>IF($J306="",#N/A,SUM(HI$4:$HI306))</f>
        <v>-7.7357960158937757</v>
      </c>
      <c r="HK306" s="177">
        <f t="shared" si="530"/>
        <v>-9.3450956937799062E-2</v>
      </c>
      <c r="HL306" s="177">
        <f>IF($J306="",#N/A,SUM($HK$4:HK306))</f>
        <v>0.45258393143062381</v>
      </c>
      <c r="HM306" s="177" t="str">
        <f t="shared" si="531"/>
        <v/>
      </c>
      <c r="HN306" s="177">
        <f>IF($J306="",#N/A,SUM($HM$4:HM306))</f>
        <v>1.2041389455942384</v>
      </c>
      <c r="HO306" s="177" t="str">
        <f t="shared" si="532"/>
        <v/>
      </c>
      <c r="HP306" s="177">
        <f>IF($J306="",#N/A,SUM($HO$4:HO306))</f>
        <v>-0.71662660021795599</v>
      </c>
      <c r="HQ306" s="177" t="str">
        <f t="shared" si="533"/>
        <v/>
      </c>
      <c r="HR306" s="177">
        <f>IF($J306="",#N/A,SUM($HQ$4:HQ306))</f>
        <v>-13.719205698479922</v>
      </c>
      <c r="HS306" s="177" t="str">
        <f t="shared" si="534"/>
        <v/>
      </c>
      <c r="HT306" s="177">
        <f>IF($J306="",#N/A,SUM($HS$4:HS306))</f>
        <v>15.486812150209897</v>
      </c>
      <c r="HU306" s="64">
        <f t="shared" si="535"/>
        <v>-0.10217304625199515</v>
      </c>
      <c r="HV306" s="64">
        <f>IF($J306="",#N/A,SUM(HU$4:$HU306))</f>
        <v>4.825204390957583</v>
      </c>
    </row>
    <row r="307" spans="1:230" x14ac:dyDescent="0.25">
      <c r="A307" s="51" t="s">
        <v>455</v>
      </c>
      <c r="B307" s="52" t="s">
        <v>4597</v>
      </c>
      <c r="C307" s="229">
        <f t="shared" si="436"/>
        <v>3</v>
      </c>
      <c r="D307" s="219" t="str">
        <f>_xlfn.XLOOKUP(A307,[1]SP500!$A$2:$A$502,[1]SP500!$D$2:$D$502,"N")</f>
        <v>Y</v>
      </c>
      <c r="E307" s="51" t="str">
        <f>IFERROR(_xlfn.XLOOKUP(A307,[1]SP500!$A$2:$A$655,[1]SP500!$B$2:$B$655),"")</f>
        <v>XLB</v>
      </c>
      <c r="F307" s="290">
        <v>45784</v>
      </c>
      <c r="G307" s="51" t="str">
        <f t="shared" si="437"/>
        <v>AMC</v>
      </c>
      <c r="H307" s="51" t="str">
        <f t="shared" si="438"/>
        <v>s</v>
      </c>
      <c r="I307" s="344">
        <v>62.48</v>
      </c>
      <c r="J307" s="124">
        <v>64.63</v>
      </c>
      <c r="K307" s="55">
        <f t="shared" si="439"/>
        <v>3.4411011523687557E-2</v>
      </c>
      <c r="L307" s="67">
        <f t="shared" si="440"/>
        <v>40.849999999999909</v>
      </c>
      <c r="M307" s="57">
        <f t="shared" si="441"/>
        <v>-5.1299999999998818</v>
      </c>
      <c r="N307" s="102">
        <f t="shared" si="442"/>
        <v>40.849999999999909</v>
      </c>
      <c r="O307" s="57">
        <f>IF(N307="",#N/A,SUM($N$4:N307))</f>
        <v>456.68575430328053</v>
      </c>
      <c r="P307" s="65">
        <f t="shared" si="536"/>
        <v>0.57351685872812508</v>
      </c>
      <c r="Q307" s="172">
        <f>IF($N307="",#N/A,SUM($P$4:P307))</f>
        <v>10.942762004209595</v>
      </c>
      <c r="R307" s="279">
        <f t="shared" si="443"/>
        <v>1.1321397041193499</v>
      </c>
      <c r="S307" s="51" t="str">
        <f t="shared" si="444"/>
        <v>SW</v>
      </c>
      <c r="T307" s="51" t="s">
        <v>2828</v>
      </c>
      <c r="U307" s="56">
        <f t="shared" si="445"/>
        <v>62.48</v>
      </c>
      <c r="V307" s="56" t="s">
        <v>4460</v>
      </c>
      <c r="W307" s="142">
        <v>19</v>
      </c>
      <c r="X307" s="145">
        <f t="shared" si="446"/>
        <v>1187.1199999999999</v>
      </c>
      <c r="Y307" s="140">
        <f t="shared" si="447"/>
        <v>19</v>
      </c>
      <c r="Z307" s="123">
        <v>64.36</v>
      </c>
      <c r="AA307" s="102">
        <f t="shared" si="448"/>
        <v>35.720000000000027</v>
      </c>
      <c r="AB307" s="102">
        <f t="shared" si="449"/>
        <v>83.220000000000027</v>
      </c>
      <c r="AC307" s="124">
        <v>66.86</v>
      </c>
      <c r="AD307" s="155">
        <f t="shared" si="450"/>
        <v>83.220000000000027</v>
      </c>
      <c r="AE307" s="545">
        <f t="shared" si="451"/>
        <v>1.1683738796414858</v>
      </c>
      <c r="AF307" s="57">
        <f>IF($AC307="",#N/A,SUM(AD$4:AD307))</f>
        <v>291.53980422776772</v>
      </c>
      <c r="AG307" s="102">
        <f t="shared" si="452"/>
        <v>42.370000000000118</v>
      </c>
      <c r="AH307" s="56" t="s">
        <v>2507</v>
      </c>
      <c r="AI307" s="65">
        <f t="shared" si="453"/>
        <v>0.50149381135296667</v>
      </c>
      <c r="AJ307" s="108">
        <f>IF(AI307="",#N/A,SUM($AI$4:AI307))</f>
        <v>9.8106223000902446</v>
      </c>
      <c r="AK307" s="57">
        <f t="shared" si="454"/>
        <v>35.720000000000027</v>
      </c>
      <c r="AL307" s="66">
        <f>IF(AI307="",#N/A,IF(AH307="Skip",SUM($AK$4:AK307),SUM($AK$4:AK307)))</f>
        <v>375.76759149281406</v>
      </c>
      <c r="AM307" s="65">
        <f t="shared" si="537"/>
        <v>1.1683738796414858</v>
      </c>
      <c r="AN307" s="209"/>
      <c r="AO307" s="65">
        <f t="shared" si="455"/>
        <v>1.1683738796414858</v>
      </c>
      <c r="AP307" s="65">
        <f>IF($AC307="",#N/A,SUM(AO$4:AO307))</f>
        <v>7.972982484468119</v>
      </c>
      <c r="AQ307" s="65" t="str">
        <f t="shared" si="456"/>
        <v/>
      </c>
      <c r="AR307" s="65">
        <f>IF($AC307="",#N/A,SUM(AQ$4:AQ307))</f>
        <v>-5.1454778233419471</v>
      </c>
      <c r="AS307" s="65" t="str">
        <f t="shared" si="457"/>
        <v/>
      </c>
      <c r="AT307" s="65">
        <f>IF($AC307="",#N/A,SUM(AS$4:AS307))</f>
        <v>3.1660736094728956</v>
      </c>
      <c r="AU307" s="57">
        <f t="shared" si="538"/>
        <v>83.220000000000027</v>
      </c>
      <c r="AV307" s="57">
        <f>IF($AC307="",#N/A,SUM(AU$4:AU307))</f>
        <v>428.48249066104654</v>
      </c>
      <c r="AW307" s="57" t="str">
        <f t="shared" si="539"/>
        <v/>
      </c>
      <c r="AX307" s="57">
        <f>IF($AC307="",#N/A,SUM(AW$4:AW307))</f>
        <v>-339.68106797961104</v>
      </c>
      <c r="AY307" s="57" t="str">
        <f t="shared" si="540"/>
        <v/>
      </c>
      <c r="AZ307" s="57">
        <f>IF($AC307="",#N/A,SUM(AY$4:AY307))</f>
        <v>202.73838154633222</v>
      </c>
      <c r="BA307" s="57">
        <f>IF(AD307="",#N/A,SUM($AD$4:AD307))</f>
        <v>291.53980422776772</v>
      </c>
      <c r="BC307" s="51" t="str">
        <f t="shared" si="458"/>
        <v/>
      </c>
      <c r="BD307" s="51" t="str">
        <f t="shared" si="459"/>
        <v/>
      </c>
      <c r="BE307" s="51">
        <f t="shared" si="460"/>
        <v>1</v>
      </c>
      <c r="BF307" s="51" t="str">
        <f t="shared" si="461"/>
        <v>Long</v>
      </c>
      <c r="BG307" s="51" t="str">
        <f t="shared" si="462"/>
        <v/>
      </c>
      <c r="BH307" s="51" t="str">
        <f t="shared" si="463"/>
        <v/>
      </c>
      <c r="BI307" s="51" t="str">
        <f t="shared" si="464"/>
        <v/>
      </c>
      <c r="BK307" s="65">
        <f t="shared" si="435"/>
        <v>-8.4798784487909951E-2</v>
      </c>
      <c r="BL307" s="65">
        <f t="shared" si="543"/>
        <v>-0.11733484079048466</v>
      </c>
      <c r="BM307" s="65">
        <f>IFERROR(Q307/COUNTA($J$4:J307),#N/A)</f>
        <v>3.59959276454263E-2</v>
      </c>
      <c r="BO307" s="489">
        <f>IF(J307="",#N/A,IF(S307="SW",(COUNTIFS(K$4:$K307,"&gt;0",S$4:$S307,"SW")/COUNTIF(S$4:$S307,"SW")),#N/A))</f>
        <v>0.5</v>
      </c>
      <c r="BP307" s="489" t="e">
        <f>IF($J307="",#N/A,IF($S307="DWN",(COUNTIFS($K$4:$K307,"&lt;0",$S$4:$S307,"DWN")/COUNTIF($S$4:$S307,"DWN")),#N/A))</f>
        <v>#N/A</v>
      </c>
      <c r="BQ307" s="489" t="e">
        <f>IF($J307="",#N/A,IF($S307="UP",(COUNTIFS($K$4:$K307,"&gt;0",$S$4:$S307,"UP")/COUNTIF($S$4:$S307,"UP")),#N/A))</f>
        <v>#N/A</v>
      </c>
      <c r="BR307" s="489">
        <f>IF(J307="",#N/A,COUNTIF($K$4:K307,"&gt;0")/COUNT($J$4:J307))</f>
        <v>0.46052631578947367</v>
      </c>
      <c r="BS307" s="65">
        <f t="shared" si="465"/>
        <v>0.57351685872812508</v>
      </c>
      <c r="BT307" s="65" t="str">
        <f t="shared" si="466"/>
        <v/>
      </c>
      <c r="BU307" s="65" t="str">
        <f t="shared" si="467"/>
        <v/>
      </c>
      <c r="BV307" s="65" t="str">
        <f t="shared" si="468"/>
        <v/>
      </c>
      <c r="BW307" s="128" t="str">
        <f t="shared" si="469"/>
        <v/>
      </c>
      <c r="BX307" s="128">
        <f>IF($J307="",#N/A,SUM($BW$4:BW307))</f>
        <v>-371.69317034792857</v>
      </c>
      <c r="BY307" s="131" t="str">
        <f t="shared" si="470"/>
        <v/>
      </c>
      <c r="BZ307" s="131">
        <f>IF($J307="",#N/A,SUM($BY$4:BY307))</f>
        <v>573.1073403893339</v>
      </c>
      <c r="CA307" s="133">
        <f t="shared" si="471"/>
        <v>40.849999999999909</v>
      </c>
      <c r="CB307" s="133">
        <f>IF($J307="",#N/A,SUM($CA$4:CA307))</f>
        <v>255.2715842618752</v>
      </c>
      <c r="CC307" s="194" t="str">
        <f t="shared" si="472"/>
        <v/>
      </c>
      <c r="CD307" s="194">
        <f>IF($J307="",#N/A,SUM($CC$4:CC307))</f>
        <v>-5.6329901687182264</v>
      </c>
      <c r="CE307" s="195" t="str">
        <f t="shared" si="473"/>
        <v/>
      </c>
      <c r="CF307" s="195">
        <f>IF($J307="",#N/A,SUM($CE$4:CE307))</f>
        <v>10.449285693936057</v>
      </c>
      <c r="CG307" s="196">
        <f t="shared" si="474"/>
        <v>0.57351685872812508</v>
      </c>
      <c r="CH307" s="196">
        <f>IF($J307="",#N/A,SUM($CG$4:CG307))</f>
        <v>6.1264664789917678</v>
      </c>
      <c r="CI307" s="200" t="str">
        <f t="shared" si="475"/>
        <v/>
      </c>
      <c r="CJ307" s="203">
        <f>IF($J307="",#N/A,SUM(CI$4:CI307))</f>
        <v>0</v>
      </c>
      <c r="CK307" s="204" t="str">
        <f t="shared" si="476"/>
        <v/>
      </c>
      <c r="CL307" s="204">
        <f>IF($J307="",#N/A,SUM(CK$4:CK307))</f>
        <v>2.4085740385592547</v>
      </c>
      <c r="CM307" s="205" t="str">
        <f t="shared" si="477"/>
        <v/>
      </c>
      <c r="CN307" s="205">
        <f>IF($J307="",#N/A,SUM(CM$4:CM307))</f>
        <v>1.6494621984783118</v>
      </c>
      <c r="CO307" s="205">
        <f>IF($J307="",#N/A,SUM(CM$4:CM307,CK$4:CK307,CI$4:CI307))</f>
        <v>4.0580362370375669</v>
      </c>
      <c r="CP307" s="200" t="str">
        <f t="shared" si="478"/>
        <v/>
      </c>
      <c r="CQ307" s="203">
        <f>IF($J307="",#N/A,SUM(CP$4:CP307))</f>
        <v>-1.1156319314882757</v>
      </c>
      <c r="CR307" s="204" t="str">
        <f t="shared" si="479"/>
        <v/>
      </c>
      <c r="CS307" s="204">
        <f>IF($J307="",#N/A,SUM(CR$4:CR307))</f>
        <v>2.3600225017004668</v>
      </c>
      <c r="CT307" s="205" t="str">
        <f t="shared" si="480"/>
        <v/>
      </c>
      <c r="CU307" s="205">
        <f>IF($J307="",#N/A,SUM(CT$4:CT307))</f>
        <v>-2.9040943753548785</v>
      </c>
      <c r="CV307" s="205">
        <f>IF($J307="",#N/A,SUM(CT$4:CT307,CR$4:CR307,CP$4:CP307))</f>
        <v>-1.6597038051426876</v>
      </c>
      <c r="CW307" s="200" t="str">
        <f t="shared" si="481"/>
        <v/>
      </c>
      <c r="CX307" s="203">
        <f>IF($J307="",#N/A,SUM(CW$4:CW307))</f>
        <v>-1.2839616145397621</v>
      </c>
      <c r="CY307" s="204" t="str">
        <f t="shared" si="482"/>
        <v/>
      </c>
      <c r="CZ307" s="204">
        <f>IF($J307="",#N/A,SUM(CY$4:CY307))</f>
        <v>-0.20119965665334139</v>
      </c>
      <c r="DA307" s="205" t="str">
        <f t="shared" si="483"/>
        <v/>
      </c>
      <c r="DB307" s="205">
        <f>IF($J307="",#N/A,SUM(DA$4:DA307))</f>
        <v>-1.1581788995104692</v>
      </c>
      <c r="DC307" s="205">
        <f>IF($J307="",#N/A,SUM(DA$4:DA307,CY$4:CY307,CW$4:CW307))</f>
        <v>-2.6433401707035724</v>
      </c>
      <c r="DD307" s="200" t="str">
        <f t="shared" si="484"/>
        <v/>
      </c>
      <c r="DE307" s="203">
        <f>IF($J307="",#N/A,SUM(DD$4:DD307))</f>
        <v>0.24769343410817113</v>
      </c>
      <c r="DF307" s="204" t="str">
        <f t="shared" si="485"/>
        <v/>
      </c>
      <c r="DG307" s="204">
        <f>IF($J307="",#N/A,SUM(DF$4:DF307))</f>
        <v>1.3104003890080136</v>
      </c>
      <c r="DH307" s="205" t="str">
        <f t="shared" si="486"/>
        <v/>
      </c>
      <c r="DI307" s="205">
        <f>IF($J307="",#N/A,SUM(DH$4:DH307))</f>
        <v>-2.7812008102163399</v>
      </c>
      <c r="DJ307" s="205">
        <f>IF($J307="",#N/A,SUM(DH$4:DH307,DF$4:DF307,DD$4:DD307))</f>
        <v>-1.2231069871001554</v>
      </c>
      <c r="DK307" s="200" t="str">
        <f t="shared" si="487"/>
        <v/>
      </c>
      <c r="DL307" s="203">
        <f>IF($J307="",#N/A,SUM(DK$4:DK307))</f>
        <v>-1.2097286851272664</v>
      </c>
      <c r="DM307" s="204" t="str">
        <f t="shared" si="488"/>
        <v/>
      </c>
      <c r="DN307" s="204">
        <f>IF($J307="",#N/A,SUM(DM$4:DM307))</f>
        <v>1.1747256665753205</v>
      </c>
      <c r="DO307" s="205" t="str">
        <f t="shared" si="489"/>
        <v/>
      </c>
      <c r="DP307" s="205">
        <f>IF($J307="",#N/A,SUM(DO$4:DO307))</f>
        <v>2.700331529683047</v>
      </c>
      <c r="DQ307" s="205">
        <f>IF($J307="",#N/A,SUM(DO$4:DO307,DM$4:DM307,DK$4:DK307))</f>
        <v>2.6653285111311016</v>
      </c>
      <c r="DR307" s="200" t="str">
        <f t="shared" si="490"/>
        <v/>
      </c>
      <c r="DS307" s="203">
        <f>IF($J307="",#N/A,SUM(DR$4:DR307))</f>
        <v>-0.55950946427675097</v>
      </c>
      <c r="DT307" s="204" t="str">
        <f t="shared" si="491"/>
        <v/>
      </c>
      <c r="DU307" s="204">
        <f>IF($J307="",#N/A,SUM(DT$4:DT307))</f>
        <v>-0.20750635820596686</v>
      </c>
      <c r="DV307" s="205" t="str">
        <f t="shared" si="492"/>
        <v/>
      </c>
      <c r="DW307" s="205">
        <f>IF($J307="",#N/A,SUM(DV$4:DV307))</f>
        <v>-2.3377035686214001</v>
      </c>
      <c r="DX307" s="205">
        <f>IF($J307="",#N/A,SUM(DV$4:DV307,DT$4:DT307,DR$4:DR307))</f>
        <v>-3.1047193911041169</v>
      </c>
      <c r="DY307" s="200" t="str">
        <f t="shared" si="493"/>
        <v/>
      </c>
      <c r="DZ307" s="203">
        <f>IF($J307="",#N/A,SUM(DY$4:DY307))</f>
        <v>-1.6284722482776204</v>
      </c>
      <c r="EA307" s="204" t="str">
        <f t="shared" si="494"/>
        <v/>
      </c>
      <c r="EB307" s="204">
        <f>IF($J307="",#N/A,SUM(EA$4:EA307))</f>
        <v>2.276197208799712</v>
      </c>
      <c r="EC307" s="205" t="str">
        <f t="shared" si="495"/>
        <v/>
      </c>
      <c r="ED307" s="205">
        <f>IF($J307="",#N/A,SUM(EC$4:EC307))</f>
        <v>7.5862553388283676</v>
      </c>
      <c r="EE307" s="205">
        <f>IF($J307="",#N/A,SUM(EC$4:EC307,EA$4:EA307,DY$4:DY307))</f>
        <v>8.2339802993504616</v>
      </c>
      <c r="EF307" s="200" t="str">
        <f t="shared" si="496"/>
        <v/>
      </c>
      <c r="EG307" s="203">
        <f>IF($J307="",#N/A,SUM(EF$4:EF307))</f>
        <v>0.12123845414313134</v>
      </c>
      <c r="EH307" s="204" t="str">
        <f t="shared" si="497"/>
        <v/>
      </c>
      <c r="EI307" s="204">
        <f>IF($J307="",#N/A,SUM(EH$4:EH307))</f>
        <v>-2.7373393576691663</v>
      </c>
      <c r="EJ307" s="205" t="str">
        <f t="shared" si="498"/>
        <v/>
      </c>
      <c r="EK307" s="205">
        <f>IF($J307="",#N/A,SUM(EJ$4:EJ307))</f>
        <v>5.050388173053765</v>
      </c>
      <c r="EL307" s="205">
        <f>IF($J307="",#N/A,SUM(EJ$4:EJ307,EH$4:EH307,EF$4:EF307))</f>
        <v>2.4342872695277298</v>
      </c>
      <c r="EM307" s="200" t="str">
        <f t="shared" si="499"/>
        <v/>
      </c>
      <c r="EN307" s="203">
        <f>IF($J307="",#N/A,SUM(EM$4:EM307))</f>
        <v>0</v>
      </c>
      <c r="EO307" s="204" t="str">
        <f t="shared" si="500"/>
        <v/>
      </c>
      <c r="EP307" s="204">
        <f>IF($J307="",#N/A,SUM(EO$4:EO307))</f>
        <v>2.0574787067554756</v>
      </c>
      <c r="EQ307" s="205">
        <f t="shared" si="501"/>
        <v>0.57351685872812508</v>
      </c>
      <c r="ER307" s="205">
        <f>IF($J307="",#N/A,SUM(EQ$4:EQ307))</f>
        <v>1.971265500983395</v>
      </c>
      <c r="ES307" s="205">
        <f>IF($J307="",#N/A,SUM(EQ$4:EQ307,EO$4:EO307,EM$4:EM307))</f>
        <v>4.0287442077388693</v>
      </c>
      <c r="ET307" s="200" t="str">
        <f t="shared" si="502"/>
        <v/>
      </c>
      <c r="EU307" s="203">
        <f>IF($J307="",#N/A,SUM(ET$4:ET307))</f>
        <v>0</v>
      </c>
      <c r="EV307" s="204" t="str">
        <f t="shared" si="503"/>
        <v/>
      </c>
      <c r="EW307" s="204">
        <f>IF($J307="",#N/A,SUM(EV$4:EV307))</f>
        <v>2.3210103028360365</v>
      </c>
      <c r="EX307" s="205" t="str">
        <f t="shared" si="504"/>
        <v/>
      </c>
      <c r="EY307" s="205">
        <f>IF($J307="",#N/A,SUM(EX$4:EX307))</f>
        <v>0.27113250180669229</v>
      </c>
      <c r="EZ307" s="205">
        <f>IF($J307="",#N/A,SUM(EX$4:EX307,EV$4:EV307,ET$4:ET307))</f>
        <v>2.5921428046427284</v>
      </c>
      <c r="FA307" s="200" t="str">
        <f t="shared" si="505"/>
        <v/>
      </c>
      <c r="FB307" s="203">
        <f>IF($J307="",#N/A,SUM(FA$4:FA307))</f>
        <v>-0.27145310509113252</v>
      </c>
      <c r="FC307" s="204" t="str">
        <f t="shared" si="506"/>
        <v/>
      </c>
      <c r="FD307" s="204">
        <f>IF($J307="",#N/A,SUM(FC$4:FC307))</f>
        <v>1.204376144197403</v>
      </c>
      <c r="FE307" s="205" t="str">
        <f t="shared" si="507"/>
        <v/>
      </c>
      <c r="FF307" s="205">
        <f>IF($J307="",#N/A,SUM(FE$4:FE307))</f>
        <v>-0.28811149078748233</v>
      </c>
      <c r="FG307" s="205">
        <f>IF($J307="",#N/A,SUM(FE$4:FE307,FC$4:FC307,FA$4:FA307))</f>
        <v>0.64481154831878851</v>
      </c>
      <c r="FH307" s="200" t="str">
        <f t="shared" si="508"/>
        <v/>
      </c>
      <c r="FI307" s="203">
        <f>IF($J307="",#N/A,SUM(FH$4:FH307))</f>
        <v>0</v>
      </c>
      <c r="FJ307" s="204" t="str">
        <f t="shared" si="509"/>
        <v/>
      </c>
      <c r="FK307" s="204">
        <f>IF($J307="",#N/A,SUM(FJ$4:FJ307))</f>
        <v>0</v>
      </c>
      <c r="FL307" s="205" t="str">
        <f t="shared" si="510"/>
        <v/>
      </c>
      <c r="FM307" s="205">
        <f>IF($J307="",#N/A,SUM(FL$4:FL307))</f>
        <v>0</v>
      </c>
      <c r="FN307" s="205">
        <f>IF($J307="",#N/A,SUM(FL$4:FL307,FJ$4:FJ307,FH$4:FH307))</f>
        <v>0</v>
      </c>
      <c r="FO307" s="200" t="str">
        <f t="shared" si="511"/>
        <v/>
      </c>
      <c r="FP307" s="203">
        <f>IF($J307="",#N/A,SUM(FO$4:FO307))</f>
        <v>0</v>
      </c>
      <c r="FQ307" s="204" t="str">
        <f t="shared" si="512"/>
        <v/>
      </c>
      <c r="FR307" s="204">
        <f>IF($J307="",#N/A,SUM(FQ$4:FQ307))</f>
        <v>0</v>
      </c>
      <c r="FS307" s="205" t="str">
        <f t="shared" si="513"/>
        <v/>
      </c>
      <c r="FT307" s="205">
        <f>IF($J307="",#N/A,SUM(FS$4:FS307))</f>
        <v>0</v>
      </c>
      <c r="FU307" s="205">
        <f>IF($J307="",#N/A,SUM(FS$4:FS307,FQ$4:FQ307,FO$4:FO307))</f>
        <v>0</v>
      </c>
      <c r="FV307" s="200" t="str">
        <f t="shared" si="514"/>
        <v/>
      </c>
      <c r="FW307" s="203">
        <f>IF($J307="",#N/A,SUM(FV$4:FV307))</f>
        <v>6.6834991831277585E-2</v>
      </c>
      <c r="FX307" s="204" t="str">
        <f t="shared" si="515"/>
        <v/>
      </c>
      <c r="FY307" s="204">
        <f>IF($J307="",#N/A,SUM(FX$4:FX307))</f>
        <v>-0.16102012791805576</v>
      </c>
      <c r="FZ307" s="205" t="str">
        <f t="shared" si="516"/>
        <v/>
      </c>
      <c r="GA307" s="205">
        <f>IF($J307="",#N/A,SUM(FZ$4:FZ307))</f>
        <v>-0.69624339162892301</v>
      </c>
      <c r="GB307" s="205">
        <f>IF($J307="",#N/A,SUM(FZ$4:FZ307,FX$4:FX307,FV$4:FV307))</f>
        <v>-0.79042852771570116</v>
      </c>
      <c r="GC307" s="200" t="str">
        <f t="shared" si="517"/>
        <v/>
      </c>
      <c r="GD307" s="203">
        <f>IF($J307="",#N/A,SUM(GC$4:GC307))</f>
        <v>0</v>
      </c>
      <c r="GE307" s="204" t="str">
        <f t="shared" si="518"/>
        <v/>
      </c>
      <c r="GF307" s="204">
        <f>IF($J307="",#N/A,SUM(GE$4:GE307))</f>
        <v>0</v>
      </c>
      <c r="GG307" s="205" t="str">
        <f t="shared" si="519"/>
        <v/>
      </c>
      <c r="GH307" s="205">
        <f>IF($J307="",#N/A,SUM(GG$4:GG307))</f>
        <v>-2.9368362277223206</v>
      </c>
      <c r="GI307" s="205">
        <f>IF($J307="",#N/A,SUM(GG$4:GG307,GE$4:GE307,GC$4:GC307))</f>
        <v>-2.9368362277223206</v>
      </c>
      <c r="GJ307" s="200" t="str">
        <f t="shared" si="520"/>
        <v/>
      </c>
      <c r="GK307" s="203">
        <f>IF($J307="",#N/A,SUM(GJ$4:GJ307))</f>
        <v>0</v>
      </c>
      <c r="GL307" s="204" t="str">
        <f t="shared" si="521"/>
        <v/>
      </c>
      <c r="GM307" s="204">
        <f>IF($J307="",#N/A,SUM(GL$4:GL307))</f>
        <v>-1.6833790887309608</v>
      </c>
      <c r="GN307" s="205" t="str">
        <f t="shared" si="522"/>
        <v/>
      </c>
      <c r="GO307" s="205">
        <f>IF($J307="",#N/A,SUM(GN$4:GN307))</f>
        <v>0</v>
      </c>
      <c r="GP307" s="205">
        <f>IF($J307="",#N/A,SUM(GN$4:GN307,GL$4:GL307,GJ$4:GJ307))</f>
        <v>-1.6833790887309608</v>
      </c>
      <c r="GS307" s="54">
        <f t="shared" si="541"/>
        <v>0.57351685872812508</v>
      </c>
      <c r="GT307" s="54">
        <f>IF(GS307="",NA(),SUM($GS$4:GS307))</f>
        <v>8.0991038183802004</v>
      </c>
      <c r="GU307" s="54" t="str">
        <f t="shared" si="523"/>
        <v/>
      </c>
      <c r="GV307" s="54" t="e">
        <f>IF(GU307="",NA(),SUM($GU$4:GU307))</f>
        <v>#N/A</v>
      </c>
      <c r="GW307" s="54">
        <f t="shared" si="524"/>
        <v>0.57351685872812508</v>
      </c>
      <c r="GX307" s="54">
        <f>IF(GW307="",NA(),SUM($GW$4:GW307))</f>
        <v>7.6646073680867666</v>
      </c>
      <c r="GY307" s="54" t="str">
        <f t="shared" si="525"/>
        <v/>
      </c>
      <c r="GZ307" s="54" t="e">
        <f>IF(GY307="",NA(),SUM($GY$4:GY307))</f>
        <v>#N/A</v>
      </c>
      <c r="HA307" s="54" t="str">
        <f t="shared" si="526"/>
        <v/>
      </c>
      <c r="HB307" s="54" t="e">
        <f>IF(HA307="",NA(),SUM($HA$4:HA307))</f>
        <v>#N/A</v>
      </c>
      <c r="HC307" s="54" t="str">
        <f t="shared" si="527"/>
        <v/>
      </c>
      <c r="HD307" s="54" t="e">
        <f>IF(HC307="",NA(),SUM($HC$4:HC307))</f>
        <v>#N/A</v>
      </c>
      <c r="HE307" s="54" t="str">
        <f t="shared" si="528"/>
        <v/>
      </c>
      <c r="HF307" s="54" t="e">
        <f>IF(HE307="",NA(),SUM($HE$4:HE307))</f>
        <v>#N/A</v>
      </c>
      <c r="HG307" s="54" t="str">
        <f t="shared" si="529"/>
        <v/>
      </c>
      <c r="HH307" s="54" t="e">
        <f>IF(HG307="",NA(),SUM($HG$4:HG307))</f>
        <v>#N/A</v>
      </c>
      <c r="HI307" s="172" t="str">
        <f t="shared" si="542"/>
        <v/>
      </c>
      <c r="HJ307" s="172">
        <f>IF($J307="",#N/A,SUM(HI$4:$HI307))</f>
        <v>-7.7357960158937757</v>
      </c>
      <c r="HK307" s="54" t="str">
        <f t="shared" si="530"/>
        <v/>
      </c>
      <c r="HL307" s="54">
        <f>IF($J307="",#N/A,SUM($HK$4:HK307))</f>
        <v>0.45258393143062381</v>
      </c>
      <c r="HM307" s="54" t="str">
        <f t="shared" si="531"/>
        <v/>
      </c>
      <c r="HN307" s="54">
        <f>IF($J307="",#N/A,SUM($HM$4:HM307))</f>
        <v>1.2041389455942384</v>
      </c>
      <c r="HO307" s="54" t="str">
        <f t="shared" si="532"/>
        <v/>
      </c>
      <c r="HP307" s="54">
        <f>IF($J307="",#N/A,SUM($HO$4:HO307))</f>
        <v>-0.71662660021795599</v>
      </c>
      <c r="HQ307" s="54">
        <f t="shared" si="533"/>
        <v>0.59485702091336068</v>
      </c>
      <c r="HR307" s="54">
        <f>IF($J307="",#N/A,SUM($HQ$4:HQ307))</f>
        <v>-13.124348677566561</v>
      </c>
      <c r="HS307" s="54" t="str">
        <f t="shared" si="534"/>
        <v/>
      </c>
      <c r="HT307" s="54">
        <f>IF($J307="",#N/A,SUM($HS$4:HS307))</f>
        <v>15.486812150209897</v>
      </c>
      <c r="HU307" s="65">
        <f t="shared" si="535"/>
        <v>1.1683738796414858</v>
      </c>
      <c r="HV307" s="65">
        <f>IF($J307="",#N/A,SUM(HU$4:$HU307))</f>
        <v>5.9935782705990688</v>
      </c>
    </row>
    <row r="308" spans="1:230" x14ac:dyDescent="0.25">
      <c r="A308" s="51" t="s">
        <v>712</v>
      </c>
      <c r="B308" s="52" t="s">
        <v>4597</v>
      </c>
      <c r="C308" s="229">
        <f t="shared" si="436"/>
        <v>1</v>
      </c>
      <c r="D308" s="219" t="str">
        <f>_xlfn.XLOOKUP(A308,[1]SP500!$A$2:$A$502,[1]SP500!$D$2:$D$502,"N")</f>
        <v>Y</v>
      </c>
      <c r="E308" s="51" t="str">
        <f>IFERROR(_xlfn.XLOOKUP(A308,[1]SP500!$A$2:$A$655,[1]SP500!$B$2:$B$655),"")</f>
        <v>IGV</v>
      </c>
      <c r="F308" s="290">
        <v>45784</v>
      </c>
      <c r="G308" s="51" t="str">
        <f t="shared" si="437"/>
        <v>AMC</v>
      </c>
      <c r="H308" s="51" t="str">
        <f t="shared" si="438"/>
        <v>s</v>
      </c>
      <c r="I308" s="344">
        <v>106.72</v>
      </c>
      <c r="J308" s="124">
        <v>97.6</v>
      </c>
      <c r="K308" s="55">
        <f t="shared" si="439"/>
        <v>-8.5457271364317883E-2</v>
      </c>
      <c r="L308" s="67">
        <f t="shared" si="440"/>
        <v>-100.32000000000016</v>
      </c>
      <c r="M308" s="57" t="e">
        <f t="shared" si="441"/>
        <v>#N/A</v>
      </c>
      <c r="N308" s="102">
        <f t="shared" si="442"/>
        <v>-100.32000000000016</v>
      </c>
      <c r="O308" s="57">
        <f>IF(N308="",#N/A,SUM($N$4:N308))</f>
        <v>356.36575430328037</v>
      </c>
      <c r="P308" s="65">
        <f t="shared" si="536"/>
        <v>-1.4242878560719665</v>
      </c>
      <c r="Q308" s="172">
        <f>IF($N308="",#N/A,SUM($P$4:P308))</f>
        <v>9.5184741481376278</v>
      </c>
      <c r="R308" s="279">
        <f t="shared" si="443"/>
        <v>0.99608273260510671</v>
      </c>
      <c r="S308" s="51" t="str">
        <f t="shared" si="444"/>
        <v>Up</v>
      </c>
      <c r="T308" s="51" t="s">
        <v>4461</v>
      </c>
      <c r="U308" s="56">
        <f t="shared" si="445"/>
        <v>106.72</v>
      </c>
      <c r="V308" s="56" t="s">
        <v>4460</v>
      </c>
      <c r="W308" s="142">
        <v>11</v>
      </c>
      <c r="X308" s="145">
        <f t="shared" si="446"/>
        <v>1173.92</v>
      </c>
      <c r="Y308" s="140">
        <f t="shared" si="447"/>
        <v>11</v>
      </c>
      <c r="Z308" s="123">
        <v>98.471199999999996</v>
      </c>
      <c r="AA308" s="102">
        <f t="shared" si="448"/>
        <v>-90.73680000000013</v>
      </c>
      <c r="AB308" s="102">
        <f t="shared" si="449"/>
        <v>-98.7800000000002</v>
      </c>
      <c r="AC308" s="124">
        <v>97.74</v>
      </c>
      <c r="AD308" s="155">
        <f t="shared" si="450"/>
        <v>-98.7800000000002</v>
      </c>
      <c r="AE308" s="545">
        <f t="shared" si="451"/>
        <v>-1.40242378810595</v>
      </c>
      <c r="AF308" s="57">
        <f>IF($AC308="",#N/A,SUM(AD$4:AD308))</f>
        <v>192.75980422776752</v>
      </c>
      <c r="AG308" s="102">
        <f t="shared" si="452"/>
        <v>1.5399999999999636</v>
      </c>
      <c r="AH308" s="56" t="s">
        <v>4471</v>
      </c>
      <c r="AI308" s="65">
        <f t="shared" si="453"/>
        <v>-1.2882308845577231</v>
      </c>
      <c r="AJ308" s="108">
        <f>IF(AI308="",#N/A,SUM($AI$4:AI308))</f>
        <v>8.5223914155325211</v>
      </c>
      <c r="AK308" s="57">
        <f t="shared" si="454"/>
        <v>-90.73680000000013</v>
      </c>
      <c r="AL308" s="66">
        <f>IF(AI308="",#N/A,IF(AH308="Skip",SUM($AK$4:AK308),SUM($AK$4:AK308)))</f>
        <v>285.03079149281393</v>
      </c>
      <c r="AM308" s="65">
        <f t="shared" si="537"/>
        <v>-1.40242378810595</v>
      </c>
      <c r="AN308" s="209"/>
      <c r="AO308" s="65" t="str">
        <f t="shared" si="455"/>
        <v/>
      </c>
      <c r="AP308" s="65">
        <f>IF($AC308="",#N/A,SUM(AO$4:AO308))</f>
        <v>7.972982484468119</v>
      </c>
      <c r="AQ308" s="65">
        <f t="shared" si="456"/>
        <v>-1.40242378810595</v>
      </c>
      <c r="AR308" s="65">
        <f>IF($AC308="",#N/A,SUM(AQ$4:AQ308))</f>
        <v>-6.5479016114478972</v>
      </c>
      <c r="AS308" s="65" t="str">
        <f t="shared" si="457"/>
        <v/>
      </c>
      <c r="AT308" s="65">
        <f>IF($AC308="",#N/A,SUM(AS$4:AS308))</f>
        <v>3.1660736094728956</v>
      </c>
      <c r="AU308" s="57" t="str">
        <f t="shared" si="538"/>
        <v/>
      </c>
      <c r="AV308" s="57">
        <f>IF($AC308="",#N/A,SUM(AU$4:AU308))</f>
        <v>428.48249066104654</v>
      </c>
      <c r="AW308" s="57">
        <f t="shared" si="539"/>
        <v>-98.7800000000002</v>
      </c>
      <c r="AX308" s="57">
        <f>IF($AC308="",#N/A,SUM(AW$4:AW308))</f>
        <v>-438.46106797961124</v>
      </c>
      <c r="AY308" s="57" t="str">
        <f t="shared" si="540"/>
        <v/>
      </c>
      <c r="AZ308" s="57">
        <f>IF($AC308="",#N/A,SUM(AY$4:AY308))</f>
        <v>202.73838154633222</v>
      </c>
      <c r="BA308" s="57">
        <f>IF(AD308="",#N/A,SUM($AD$4:AD308))</f>
        <v>192.75980422776752</v>
      </c>
      <c r="BC308" s="51" t="str">
        <f t="shared" si="458"/>
        <v/>
      </c>
      <c r="BD308" s="51" t="str">
        <f t="shared" si="459"/>
        <v/>
      </c>
      <c r="BE308" s="51" t="str">
        <f t="shared" si="460"/>
        <v/>
      </c>
      <c r="BF308" s="51" t="str">
        <f t="shared" si="461"/>
        <v>Long</v>
      </c>
      <c r="BG308" s="51" t="str">
        <f t="shared" si="462"/>
        <v/>
      </c>
      <c r="BH308" s="51">
        <f t="shared" si="463"/>
        <v>1</v>
      </c>
      <c r="BI308" s="51" t="str">
        <f t="shared" si="464"/>
        <v/>
      </c>
      <c r="BK308" s="65">
        <f t="shared" si="435"/>
        <v>-0.12385852335176803</v>
      </c>
      <c r="BL308" s="65">
        <f t="shared" si="543"/>
        <v>-0.19196550645047658</v>
      </c>
      <c r="BM308" s="65">
        <f>IFERROR(Q308/COUNTA($J$4:J308),#N/A)</f>
        <v>3.1208111961106975E-2</v>
      </c>
      <c r="BO308" s="489" t="e">
        <f>IF(J308="",#N/A,IF(S308="SW",(COUNTIFS(K$4:$K308,"&gt;0",S$4:$S308,"SW")/COUNTIF(S$4:$S308,"SW")),#N/A))</f>
        <v>#N/A</v>
      </c>
      <c r="BP308" s="489" t="e">
        <f>IF($J308="",#N/A,IF($S308="DWN",(COUNTIFS($K$4:$K308,"&lt;0",$S$4:$S308,"DWN")/COUNTIF($S$4:$S308,"DWN")),#N/A))</f>
        <v>#N/A</v>
      </c>
      <c r="BQ308" s="489">
        <f>IF($J308="",#N/A,IF($S308="UP",(COUNTIFS($K$4:$K308,"&gt;0",$S$4:$S308,"UP")/COUNTIF($S$4:$S308,"UP")),#N/A))</f>
        <v>0.33333333333333331</v>
      </c>
      <c r="BR308" s="489">
        <f>IF(J308="",#N/A,COUNTIF($K$4:K308,"&gt;0")/COUNT($J$4:J308))</f>
        <v>0.45901639344262296</v>
      </c>
      <c r="BS308" s="65" t="str">
        <f t="shared" si="465"/>
        <v/>
      </c>
      <c r="BT308" s="65">
        <f t="shared" si="466"/>
        <v>-1.4242878560719665</v>
      </c>
      <c r="BU308" s="65" t="str">
        <f t="shared" si="467"/>
        <v/>
      </c>
      <c r="BV308" s="65" t="str">
        <f t="shared" si="468"/>
        <v/>
      </c>
      <c r="BW308" s="128">
        <f t="shared" si="469"/>
        <v>-100.32000000000016</v>
      </c>
      <c r="BX308" s="128">
        <f>IF($J308="",#N/A,SUM($BW$4:BW308))</f>
        <v>-472.01317034792874</v>
      </c>
      <c r="BY308" s="131" t="str">
        <f t="shared" si="470"/>
        <v/>
      </c>
      <c r="BZ308" s="131">
        <f>IF($J308="",#N/A,SUM($BY$4:BY308))</f>
        <v>573.1073403893339</v>
      </c>
      <c r="CA308" s="133" t="str">
        <f t="shared" si="471"/>
        <v/>
      </c>
      <c r="CB308" s="133">
        <f>IF($J308="",#N/A,SUM($CA$4:CA308))</f>
        <v>255.2715842618752</v>
      </c>
      <c r="CC308" s="194">
        <f t="shared" si="472"/>
        <v>-1.4242878560719665</v>
      </c>
      <c r="CD308" s="194">
        <f>IF($J308="",#N/A,SUM($CC$4:CC308))</f>
        <v>-7.0572780247901932</v>
      </c>
      <c r="CE308" s="195" t="str">
        <f t="shared" si="473"/>
        <v/>
      </c>
      <c r="CF308" s="195">
        <f>IF($J308="",#N/A,SUM($CE$4:CE308))</f>
        <v>10.449285693936057</v>
      </c>
      <c r="CG308" s="196" t="str">
        <f t="shared" si="474"/>
        <v/>
      </c>
      <c r="CH308" s="196">
        <f>IF($J308="",#N/A,SUM($CG$4:CG308))</f>
        <v>6.1264664789917678</v>
      </c>
      <c r="CI308" s="200" t="str">
        <f t="shared" si="475"/>
        <v/>
      </c>
      <c r="CJ308" s="203">
        <f>IF($J308="",#N/A,SUM(CI$4:CI308))</f>
        <v>0</v>
      </c>
      <c r="CK308" s="204" t="str">
        <f t="shared" si="476"/>
        <v/>
      </c>
      <c r="CL308" s="204">
        <f>IF($J308="",#N/A,SUM(CK$4:CK308))</f>
        <v>2.4085740385592547</v>
      </c>
      <c r="CM308" s="205" t="str">
        <f t="shared" si="477"/>
        <v/>
      </c>
      <c r="CN308" s="205">
        <f>IF($J308="",#N/A,SUM(CM$4:CM308))</f>
        <v>1.6494621984783118</v>
      </c>
      <c r="CO308" s="205">
        <f>IF($J308="",#N/A,SUM(CM$4:CM308,CK$4:CK308,CI$4:CI308))</f>
        <v>4.0580362370375669</v>
      </c>
      <c r="CP308" s="200">
        <f t="shared" si="478"/>
        <v>-1.4242878560719665</v>
      </c>
      <c r="CQ308" s="203">
        <f>IF($J308="",#N/A,SUM(CP$4:CP308))</f>
        <v>-2.5399197875602422</v>
      </c>
      <c r="CR308" s="204" t="str">
        <f t="shared" si="479"/>
        <v/>
      </c>
      <c r="CS308" s="204">
        <f>IF($J308="",#N/A,SUM(CR$4:CR308))</f>
        <v>2.3600225017004668</v>
      </c>
      <c r="CT308" s="205" t="str">
        <f t="shared" si="480"/>
        <v/>
      </c>
      <c r="CU308" s="205">
        <f>IF($J308="",#N/A,SUM(CT$4:CT308))</f>
        <v>-2.9040943753548785</v>
      </c>
      <c r="CV308" s="205">
        <f>IF($J308="",#N/A,SUM(CT$4:CT308,CR$4:CR308,CP$4:CP308))</f>
        <v>-3.0839916612146538</v>
      </c>
      <c r="CW308" s="200" t="str">
        <f t="shared" si="481"/>
        <v/>
      </c>
      <c r="CX308" s="203">
        <f>IF($J308="",#N/A,SUM(CW$4:CW308))</f>
        <v>-1.2839616145397621</v>
      </c>
      <c r="CY308" s="204" t="str">
        <f t="shared" si="482"/>
        <v/>
      </c>
      <c r="CZ308" s="204">
        <f>IF($J308="",#N/A,SUM(CY$4:CY308))</f>
        <v>-0.20119965665334139</v>
      </c>
      <c r="DA308" s="205" t="str">
        <f t="shared" si="483"/>
        <v/>
      </c>
      <c r="DB308" s="205">
        <f>IF($J308="",#N/A,SUM(DA$4:DA308))</f>
        <v>-1.1581788995104692</v>
      </c>
      <c r="DC308" s="205">
        <f>IF($J308="",#N/A,SUM(DA$4:DA308,CY$4:CY308,CW$4:CW308))</f>
        <v>-2.6433401707035724</v>
      </c>
      <c r="DD308" s="200" t="str">
        <f t="shared" si="484"/>
        <v/>
      </c>
      <c r="DE308" s="203">
        <f>IF($J308="",#N/A,SUM(DD$4:DD308))</f>
        <v>0.24769343410817113</v>
      </c>
      <c r="DF308" s="204" t="str">
        <f t="shared" si="485"/>
        <v/>
      </c>
      <c r="DG308" s="204">
        <f>IF($J308="",#N/A,SUM(DF$4:DF308))</f>
        <v>1.3104003890080136</v>
      </c>
      <c r="DH308" s="205" t="str">
        <f t="shared" si="486"/>
        <v/>
      </c>
      <c r="DI308" s="205">
        <f>IF($J308="",#N/A,SUM(DH$4:DH308))</f>
        <v>-2.7812008102163399</v>
      </c>
      <c r="DJ308" s="205">
        <f>IF($J308="",#N/A,SUM(DH$4:DH308,DF$4:DF308,DD$4:DD308))</f>
        <v>-1.2231069871001554</v>
      </c>
      <c r="DK308" s="200" t="str">
        <f t="shared" si="487"/>
        <v/>
      </c>
      <c r="DL308" s="203">
        <f>IF($J308="",#N/A,SUM(DK$4:DK308))</f>
        <v>-1.2097286851272664</v>
      </c>
      <c r="DM308" s="204" t="str">
        <f t="shared" si="488"/>
        <v/>
      </c>
      <c r="DN308" s="204">
        <f>IF($J308="",#N/A,SUM(DM$4:DM308))</f>
        <v>1.1747256665753205</v>
      </c>
      <c r="DO308" s="205" t="str">
        <f t="shared" si="489"/>
        <v/>
      </c>
      <c r="DP308" s="205">
        <f>IF($J308="",#N/A,SUM(DO$4:DO308))</f>
        <v>2.700331529683047</v>
      </c>
      <c r="DQ308" s="205">
        <f>IF($J308="",#N/A,SUM(DO$4:DO308,DM$4:DM308,DK$4:DK308))</f>
        <v>2.6653285111311016</v>
      </c>
      <c r="DR308" s="200" t="str">
        <f t="shared" si="490"/>
        <v/>
      </c>
      <c r="DS308" s="203">
        <f>IF($J308="",#N/A,SUM(DR$4:DR308))</f>
        <v>-0.55950946427675097</v>
      </c>
      <c r="DT308" s="204" t="str">
        <f t="shared" si="491"/>
        <v/>
      </c>
      <c r="DU308" s="204">
        <f>IF($J308="",#N/A,SUM(DT$4:DT308))</f>
        <v>-0.20750635820596686</v>
      </c>
      <c r="DV308" s="205" t="str">
        <f t="shared" si="492"/>
        <v/>
      </c>
      <c r="DW308" s="205">
        <f>IF($J308="",#N/A,SUM(DV$4:DV308))</f>
        <v>-2.3377035686214001</v>
      </c>
      <c r="DX308" s="205">
        <f>IF($J308="",#N/A,SUM(DV$4:DV308,DT$4:DT308,DR$4:DR308))</f>
        <v>-3.1047193911041169</v>
      </c>
      <c r="DY308" s="200" t="str">
        <f t="shared" si="493"/>
        <v/>
      </c>
      <c r="DZ308" s="203">
        <f>IF($J308="",#N/A,SUM(DY$4:DY308))</f>
        <v>-1.6284722482776204</v>
      </c>
      <c r="EA308" s="204" t="str">
        <f t="shared" si="494"/>
        <v/>
      </c>
      <c r="EB308" s="204">
        <f>IF($J308="",#N/A,SUM(EA$4:EA308))</f>
        <v>2.276197208799712</v>
      </c>
      <c r="EC308" s="205" t="str">
        <f t="shared" si="495"/>
        <v/>
      </c>
      <c r="ED308" s="205">
        <f>IF($J308="",#N/A,SUM(EC$4:EC308))</f>
        <v>7.5862553388283676</v>
      </c>
      <c r="EE308" s="205">
        <f>IF($J308="",#N/A,SUM(EC$4:EC308,EA$4:EA308,DY$4:DY308))</f>
        <v>8.2339802993504616</v>
      </c>
      <c r="EF308" s="200" t="str">
        <f t="shared" si="496"/>
        <v/>
      </c>
      <c r="EG308" s="203">
        <f>IF($J308="",#N/A,SUM(EF$4:EF308))</f>
        <v>0.12123845414313134</v>
      </c>
      <c r="EH308" s="204" t="str">
        <f t="shared" si="497"/>
        <v/>
      </c>
      <c r="EI308" s="204">
        <f>IF($J308="",#N/A,SUM(EH$4:EH308))</f>
        <v>-2.7373393576691663</v>
      </c>
      <c r="EJ308" s="205" t="str">
        <f t="shared" si="498"/>
        <v/>
      </c>
      <c r="EK308" s="205">
        <f>IF($J308="",#N/A,SUM(EJ$4:EJ308))</f>
        <v>5.050388173053765</v>
      </c>
      <c r="EL308" s="205">
        <f>IF($J308="",#N/A,SUM(EJ$4:EJ308,EH$4:EH308,EF$4:EF308))</f>
        <v>2.4342872695277298</v>
      </c>
      <c r="EM308" s="200" t="str">
        <f t="shared" si="499"/>
        <v/>
      </c>
      <c r="EN308" s="203">
        <f>IF($J308="",#N/A,SUM(EM$4:EM308))</f>
        <v>0</v>
      </c>
      <c r="EO308" s="204" t="str">
        <f t="shared" si="500"/>
        <v/>
      </c>
      <c r="EP308" s="204">
        <f>IF($J308="",#N/A,SUM(EO$4:EO308))</f>
        <v>2.0574787067554756</v>
      </c>
      <c r="EQ308" s="205" t="str">
        <f t="shared" si="501"/>
        <v/>
      </c>
      <c r="ER308" s="205">
        <f>IF($J308="",#N/A,SUM(EQ$4:EQ308))</f>
        <v>1.971265500983395</v>
      </c>
      <c r="ES308" s="205">
        <f>IF($J308="",#N/A,SUM(EQ$4:EQ308,EO$4:EO308,EM$4:EM308))</f>
        <v>4.0287442077388693</v>
      </c>
      <c r="ET308" s="200" t="str">
        <f t="shared" si="502"/>
        <v/>
      </c>
      <c r="EU308" s="203">
        <f>IF($J308="",#N/A,SUM(ET$4:ET308))</f>
        <v>0</v>
      </c>
      <c r="EV308" s="204" t="str">
        <f t="shared" si="503"/>
        <v/>
      </c>
      <c r="EW308" s="204">
        <f>IF($J308="",#N/A,SUM(EV$4:EV308))</f>
        <v>2.3210103028360365</v>
      </c>
      <c r="EX308" s="205" t="str">
        <f t="shared" si="504"/>
        <v/>
      </c>
      <c r="EY308" s="205">
        <f>IF($J308="",#N/A,SUM(EX$4:EX308))</f>
        <v>0.27113250180669229</v>
      </c>
      <c r="EZ308" s="205">
        <f>IF($J308="",#N/A,SUM(EX$4:EX308,EV$4:EV308,ET$4:ET308))</f>
        <v>2.5921428046427284</v>
      </c>
      <c r="FA308" s="200" t="str">
        <f t="shared" si="505"/>
        <v/>
      </c>
      <c r="FB308" s="203">
        <f>IF($J308="",#N/A,SUM(FA$4:FA308))</f>
        <v>-0.27145310509113252</v>
      </c>
      <c r="FC308" s="204" t="str">
        <f t="shared" si="506"/>
        <v/>
      </c>
      <c r="FD308" s="204">
        <f>IF($J308="",#N/A,SUM(FC$4:FC308))</f>
        <v>1.204376144197403</v>
      </c>
      <c r="FE308" s="205" t="str">
        <f t="shared" si="507"/>
        <v/>
      </c>
      <c r="FF308" s="205">
        <f>IF($J308="",#N/A,SUM(FE$4:FE308))</f>
        <v>-0.28811149078748233</v>
      </c>
      <c r="FG308" s="205">
        <f>IF($J308="",#N/A,SUM(FE$4:FE308,FC$4:FC308,FA$4:FA308))</f>
        <v>0.64481154831878851</v>
      </c>
      <c r="FH308" s="200" t="str">
        <f t="shared" si="508"/>
        <v/>
      </c>
      <c r="FI308" s="203">
        <f>IF($J308="",#N/A,SUM(FH$4:FH308))</f>
        <v>0</v>
      </c>
      <c r="FJ308" s="204" t="str">
        <f t="shared" si="509"/>
        <v/>
      </c>
      <c r="FK308" s="204">
        <f>IF($J308="",#N/A,SUM(FJ$4:FJ308))</f>
        <v>0</v>
      </c>
      <c r="FL308" s="205" t="str">
        <f t="shared" si="510"/>
        <v/>
      </c>
      <c r="FM308" s="205">
        <f>IF($J308="",#N/A,SUM(FL$4:FL308))</f>
        <v>0</v>
      </c>
      <c r="FN308" s="205">
        <f>IF($J308="",#N/A,SUM(FL$4:FL308,FJ$4:FJ308,FH$4:FH308))</f>
        <v>0</v>
      </c>
      <c r="FO308" s="200" t="str">
        <f t="shared" si="511"/>
        <v/>
      </c>
      <c r="FP308" s="203">
        <f>IF($J308="",#N/A,SUM(FO$4:FO308))</f>
        <v>0</v>
      </c>
      <c r="FQ308" s="204" t="str">
        <f t="shared" si="512"/>
        <v/>
      </c>
      <c r="FR308" s="204">
        <f>IF($J308="",#N/A,SUM(FQ$4:FQ308))</f>
        <v>0</v>
      </c>
      <c r="FS308" s="205" t="str">
        <f t="shared" si="513"/>
        <v/>
      </c>
      <c r="FT308" s="205">
        <f>IF($J308="",#N/A,SUM(FS$4:FS308))</f>
        <v>0</v>
      </c>
      <c r="FU308" s="205">
        <f>IF($J308="",#N/A,SUM(FS$4:FS308,FQ$4:FQ308,FO$4:FO308))</f>
        <v>0</v>
      </c>
      <c r="FV308" s="200" t="str">
        <f t="shared" si="514"/>
        <v/>
      </c>
      <c r="FW308" s="203">
        <f>IF($J308="",#N/A,SUM(FV$4:FV308))</f>
        <v>6.6834991831277585E-2</v>
      </c>
      <c r="FX308" s="204" t="str">
        <f t="shared" si="515"/>
        <v/>
      </c>
      <c r="FY308" s="204">
        <f>IF($J308="",#N/A,SUM(FX$4:FX308))</f>
        <v>-0.16102012791805576</v>
      </c>
      <c r="FZ308" s="205" t="str">
        <f t="shared" si="516"/>
        <v/>
      </c>
      <c r="GA308" s="205">
        <f>IF($J308="",#N/A,SUM(FZ$4:FZ308))</f>
        <v>-0.69624339162892301</v>
      </c>
      <c r="GB308" s="205">
        <f>IF($J308="",#N/A,SUM(FZ$4:FZ308,FX$4:FX308,FV$4:FV308))</f>
        <v>-0.79042852771570116</v>
      </c>
      <c r="GC308" s="200" t="str">
        <f t="shared" si="517"/>
        <v/>
      </c>
      <c r="GD308" s="203">
        <f>IF($J308="",#N/A,SUM(GC$4:GC308))</f>
        <v>0</v>
      </c>
      <c r="GE308" s="204" t="str">
        <f t="shared" si="518"/>
        <v/>
      </c>
      <c r="GF308" s="204">
        <f>IF($J308="",#N/A,SUM(GE$4:GE308))</f>
        <v>0</v>
      </c>
      <c r="GG308" s="205" t="str">
        <f t="shared" si="519"/>
        <v/>
      </c>
      <c r="GH308" s="205">
        <f>IF($J308="",#N/A,SUM(GG$4:GG308))</f>
        <v>-2.9368362277223206</v>
      </c>
      <c r="GI308" s="205">
        <f>IF($J308="",#N/A,SUM(GG$4:GG308,GE$4:GE308,GC$4:GC308))</f>
        <v>-2.9368362277223206</v>
      </c>
      <c r="GJ308" s="200" t="str">
        <f t="shared" si="520"/>
        <v/>
      </c>
      <c r="GK308" s="203">
        <f>IF($J308="",#N/A,SUM(GJ$4:GJ308))</f>
        <v>0</v>
      </c>
      <c r="GL308" s="204" t="str">
        <f t="shared" si="521"/>
        <v/>
      </c>
      <c r="GM308" s="204">
        <f>IF($J308="",#N/A,SUM(GL$4:GL308))</f>
        <v>-1.6833790887309608</v>
      </c>
      <c r="GN308" s="205" t="str">
        <f t="shared" si="522"/>
        <v/>
      </c>
      <c r="GO308" s="205">
        <f>IF($J308="",#N/A,SUM(GN$4:GN308))</f>
        <v>0</v>
      </c>
      <c r="GP308" s="205">
        <f>IF($J308="",#N/A,SUM(GN$4:GN308,GL$4:GL308,GJ$4:GJ308))</f>
        <v>-1.6833790887309608</v>
      </c>
      <c r="GS308" s="54">
        <f t="shared" si="541"/>
        <v>-1.4242878560719665</v>
      </c>
      <c r="GT308" s="54">
        <f>IF(GS308="",NA(),SUM($GS$4:GS308))</f>
        <v>6.6748159623082337</v>
      </c>
      <c r="GU308" s="54">
        <f t="shared" si="523"/>
        <v>-1.4242878560719665</v>
      </c>
      <c r="GV308" s="54">
        <f>IF(GU308="",NA(),SUM($GU$4:GU308))</f>
        <v>-7.0572780247901932</v>
      </c>
      <c r="GW308" s="54" t="str">
        <f t="shared" si="524"/>
        <v/>
      </c>
      <c r="GX308" s="54" t="e">
        <f>IF(GW308="",NA(),SUM($GW$4:GW308))</f>
        <v>#N/A</v>
      </c>
      <c r="GY308" s="54" t="str">
        <f t="shared" si="525"/>
        <v/>
      </c>
      <c r="GZ308" s="54" t="e">
        <f>IF(GY308="",NA(),SUM($GY$4:GY308))</f>
        <v>#N/A</v>
      </c>
      <c r="HA308" s="54" t="str">
        <f t="shared" si="526"/>
        <v/>
      </c>
      <c r="HB308" s="54" t="e">
        <f>IF(HA308="",NA(),SUM($HA$4:HA308))</f>
        <v>#N/A</v>
      </c>
      <c r="HC308" s="54" t="str">
        <f t="shared" si="527"/>
        <v/>
      </c>
      <c r="HD308" s="54" t="e">
        <f>IF(HC308="",NA(),SUM($HC$4:HC308))</f>
        <v>#N/A</v>
      </c>
      <c r="HE308" s="54" t="str">
        <f t="shared" si="528"/>
        <v/>
      </c>
      <c r="HF308" s="54" t="e">
        <f>IF(HE308="",NA(),SUM($HE$4:HE308))</f>
        <v>#N/A</v>
      </c>
      <c r="HG308" s="54" t="str">
        <f t="shared" si="529"/>
        <v/>
      </c>
      <c r="HH308" s="54" t="e">
        <f>IF(HG308="",NA(),SUM($HG$4:HG308))</f>
        <v>#N/A</v>
      </c>
      <c r="HI308" s="172" t="str">
        <f t="shared" si="542"/>
        <v/>
      </c>
      <c r="HJ308" s="172">
        <f>IF($J308="",#N/A,SUM(HI$4:$HI308))</f>
        <v>-7.7357960158937757</v>
      </c>
      <c r="HK308" s="54" t="str">
        <f t="shared" si="530"/>
        <v/>
      </c>
      <c r="HL308" s="54">
        <f>IF($J308="",#N/A,SUM($HK$4:HK308))</f>
        <v>0.45258393143062381</v>
      </c>
      <c r="HM308" s="54" t="str">
        <f t="shared" si="531"/>
        <v/>
      </c>
      <c r="HN308" s="54">
        <f>IF($J308="",#N/A,SUM($HM$4:HM308))</f>
        <v>1.2041389455942384</v>
      </c>
      <c r="HO308" s="54">
        <f t="shared" si="532"/>
        <v>2.1864067966016476E-2</v>
      </c>
      <c r="HP308" s="54">
        <f>IF($J308="",#N/A,SUM($HO$4:HO308))</f>
        <v>-0.69476253225193951</v>
      </c>
      <c r="HQ308" s="54" t="str">
        <f t="shared" si="533"/>
        <v/>
      </c>
      <c r="HR308" s="54">
        <f>IF($J308="",#N/A,SUM($HQ$4:HQ308))</f>
        <v>-13.124348677566561</v>
      </c>
      <c r="HS308" s="54" t="str">
        <f t="shared" si="534"/>
        <v/>
      </c>
      <c r="HT308" s="54">
        <f>IF($J308="",#N/A,SUM($HS$4:HS308))</f>
        <v>15.486812150209897</v>
      </c>
      <c r="HU308" s="65">
        <f t="shared" si="535"/>
        <v>-1.40242378810595</v>
      </c>
      <c r="HV308" s="65">
        <f>IF($J308="",#N/A,SUM(HU$4:$HU308))</f>
        <v>4.5911544824931187</v>
      </c>
    </row>
    <row r="309" spans="1:230" x14ac:dyDescent="0.25">
      <c r="A309" s="51" t="s">
        <v>1573</v>
      </c>
      <c r="B309" s="52" t="s">
        <v>4597</v>
      </c>
      <c r="C309" s="229">
        <f t="shared" si="436"/>
        <v>3</v>
      </c>
      <c r="D309" s="219" t="str">
        <f>_xlfn.XLOOKUP(A309,[1]SP500!$A$2:$A$502,[1]SP500!$D$2:$D$502,"N")</f>
        <v>Y</v>
      </c>
      <c r="E309" s="51" t="str">
        <f>IFERROR(_xlfn.XLOOKUP(A309,[1]SP500!$A$2:$A$655,[1]SP500!$B$2:$B$655),"")</f>
        <v>XLI</v>
      </c>
      <c r="F309" s="290">
        <v>45784</v>
      </c>
      <c r="G309" s="51" t="str">
        <f t="shared" si="437"/>
        <v>AMC</v>
      </c>
      <c r="H309" s="51" t="str">
        <f t="shared" si="438"/>
        <v>s</v>
      </c>
      <c r="I309" s="344">
        <v>228.67</v>
      </c>
      <c r="J309" s="123">
        <v>243</v>
      </c>
      <c r="K309" s="55">
        <f t="shared" si="439"/>
        <v>6.2666724974854648E-2</v>
      </c>
      <c r="L309" s="67">
        <f t="shared" si="440"/>
        <v>71.650000000000091</v>
      </c>
      <c r="M309" s="57">
        <f t="shared" si="441"/>
        <v>27.799999999999955</v>
      </c>
      <c r="N309" s="102">
        <f t="shared" si="442"/>
        <v>71.650000000000091</v>
      </c>
      <c r="O309" s="57">
        <f>IF(N309="",#N/A,SUM($N$4:N309))</f>
        <v>428.01575430328046</v>
      </c>
      <c r="P309" s="65">
        <f t="shared" si="536"/>
        <v>1.0444454162475778</v>
      </c>
      <c r="Q309" s="172">
        <f>IF($N309="",#N/A,SUM($P$4:P309))</f>
        <v>10.562919564385206</v>
      </c>
      <c r="R309" s="279">
        <f t="shared" si="443"/>
        <v>0.59084082651044412</v>
      </c>
      <c r="S309" s="51" t="str">
        <f t="shared" si="444"/>
        <v>SW</v>
      </c>
      <c r="T309" s="51" t="s">
        <v>2828</v>
      </c>
      <c r="U309" s="56">
        <f t="shared" si="445"/>
        <v>228.67</v>
      </c>
      <c r="V309" s="56" t="s">
        <v>4460</v>
      </c>
      <c r="W309" s="142">
        <v>5</v>
      </c>
      <c r="X309" s="145">
        <f t="shared" si="446"/>
        <v>1143.3499999999999</v>
      </c>
      <c r="Y309" s="140">
        <f t="shared" si="447"/>
        <v>5</v>
      </c>
      <c r="Z309" s="123">
        <v>248.56</v>
      </c>
      <c r="AA309" s="102">
        <f t="shared" si="448"/>
        <v>99.450000000000045</v>
      </c>
      <c r="AB309" s="102">
        <f t="shared" si="449"/>
        <v>103.40000000000009</v>
      </c>
      <c r="AC309" s="124">
        <v>249.35</v>
      </c>
      <c r="AD309" s="155">
        <f t="shared" si="450"/>
        <v>103.40000000000009</v>
      </c>
      <c r="AE309" s="545">
        <f t="shared" si="451"/>
        <v>1.5072666579204399</v>
      </c>
      <c r="AF309" s="57">
        <f>IF($AC309="",#N/A,SUM(AD$4:AD309))</f>
        <v>296.15980422776761</v>
      </c>
      <c r="AG309" s="102">
        <f t="shared" si="452"/>
        <v>31.75</v>
      </c>
      <c r="AH309" s="56" t="s">
        <v>2507</v>
      </c>
      <c r="AI309" s="65">
        <f t="shared" si="453"/>
        <v>1.4496873223422406</v>
      </c>
      <c r="AJ309" s="108">
        <f>IF(AI309="",#N/A,SUM($AI$4:AI309))</f>
        <v>9.972078737874762</v>
      </c>
      <c r="AK309" s="57">
        <f t="shared" si="454"/>
        <v>99.450000000000045</v>
      </c>
      <c r="AL309" s="66">
        <f>IF(AI309="",#N/A,IF(AH309="Skip",SUM($AK$4:AK309),SUM($AK$4:AK309)))</f>
        <v>384.48079149281398</v>
      </c>
      <c r="AM309" s="65">
        <f t="shared" si="537"/>
        <v>1.5072666579204399</v>
      </c>
      <c r="AN309" s="209"/>
      <c r="AO309" s="65">
        <f t="shared" si="455"/>
        <v>1.5072666579204399</v>
      </c>
      <c r="AP309" s="65">
        <f>IF($AC309="",#N/A,SUM(AO$4:AO309))</f>
        <v>9.4802491423885584</v>
      </c>
      <c r="AQ309" s="65" t="str">
        <f t="shared" si="456"/>
        <v/>
      </c>
      <c r="AR309" s="65">
        <f>IF($AC309="",#N/A,SUM(AQ$4:AQ309))</f>
        <v>-6.5479016114478972</v>
      </c>
      <c r="AS309" s="65" t="str">
        <f t="shared" si="457"/>
        <v/>
      </c>
      <c r="AT309" s="65">
        <f>IF($AC309="",#N/A,SUM(AS$4:AS309))</f>
        <v>3.1660736094728956</v>
      </c>
      <c r="AU309" s="57">
        <f t="shared" si="538"/>
        <v>103.40000000000009</v>
      </c>
      <c r="AV309" s="57">
        <f>IF($AC309="",#N/A,SUM(AU$4:AU309))</f>
        <v>531.88249066104663</v>
      </c>
      <c r="AW309" s="57" t="str">
        <f t="shared" si="539"/>
        <v/>
      </c>
      <c r="AX309" s="57">
        <f>IF($AC309="",#N/A,SUM(AW$4:AW309))</f>
        <v>-438.46106797961124</v>
      </c>
      <c r="AY309" s="57" t="str">
        <f t="shared" si="540"/>
        <v/>
      </c>
      <c r="AZ309" s="57">
        <f>IF($AC309="",#N/A,SUM(AY$4:AY309))</f>
        <v>202.73838154633222</v>
      </c>
      <c r="BA309" s="57">
        <f>IF(AD309="",#N/A,SUM($AD$4:AD309))</f>
        <v>296.15980422776761</v>
      </c>
      <c r="BC309" s="51" t="str">
        <f t="shared" si="458"/>
        <v/>
      </c>
      <c r="BD309" s="51" t="str">
        <f t="shared" si="459"/>
        <v/>
      </c>
      <c r="BE309" s="51">
        <f t="shared" si="460"/>
        <v>1</v>
      </c>
      <c r="BF309" s="51" t="str">
        <f t="shared" si="461"/>
        <v>Long</v>
      </c>
      <c r="BG309" s="51" t="str">
        <f t="shared" si="462"/>
        <v/>
      </c>
      <c r="BH309" s="51" t="str">
        <f t="shared" si="463"/>
        <v/>
      </c>
      <c r="BI309" s="51" t="str">
        <f t="shared" si="464"/>
        <v/>
      </c>
      <c r="BK309" s="65">
        <f t="shared" ref="BK309:BK372" si="544">IFERROR(($Q309-$Q260)/COUNTA($J260:$J309),#N/A)</f>
        <v>-0.10034752390915014</v>
      </c>
      <c r="BL309" s="65">
        <f t="shared" si="543"/>
        <v>-0.11427273992726733</v>
      </c>
      <c r="BM309" s="65">
        <f>IFERROR(Q309/COUNTA($J$4:J309),#N/A)</f>
        <v>3.4519344981650997E-2</v>
      </c>
      <c r="BO309" s="489">
        <f>IF(J309="",#N/A,IF(S309="SW",(COUNTIFS(K$4:$K309,"&gt;0",S$4:$S309,"SW")/COUNTIF(S$4:$S309,"SW")),#N/A))</f>
        <v>0.50344827586206897</v>
      </c>
      <c r="BP309" s="489" t="e">
        <f>IF($J309="",#N/A,IF($S309="DWN",(COUNTIFS($K$4:$K309,"&lt;0",$S$4:$S309,"DWN")/COUNTIF($S$4:$S309,"DWN")),#N/A))</f>
        <v>#N/A</v>
      </c>
      <c r="BQ309" s="489" t="e">
        <f>IF($J309="",#N/A,IF($S309="UP",(COUNTIFS($K$4:$K309,"&gt;0",$S$4:$S309,"UP")/COUNTIF($S$4:$S309,"UP")),#N/A))</f>
        <v>#N/A</v>
      </c>
      <c r="BR309" s="489">
        <f>IF(J309="",#N/A,COUNTIF($K$4:K309,"&gt;0")/COUNT($J$4:J309))</f>
        <v>0.46078431372549017</v>
      </c>
      <c r="BS309" s="65">
        <f t="shared" si="465"/>
        <v>1.0444454162475778</v>
      </c>
      <c r="BT309" s="65" t="str">
        <f t="shared" si="466"/>
        <v/>
      </c>
      <c r="BU309" s="65" t="str">
        <f t="shared" si="467"/>
        <v/>
      </c>
      <c r="BV309" s="65" t="str">
        <f t="shared" si="468"/>
        <v/>
      </c>
      <c r="BW309" s="128" t="str">
        <f t="shared" si="469"/>
        <v/>
      </c>
      <c r="BX309" s="128">
        <f>IF($J309="",#N/A,SUM($BW$4:BW309))</f>
        <v>-472.01317034792874</v>
      </c>
      <c r="BY309" s="131" t="str">
        <f t="shared" si="470"/>
        <v/>
      </c>
      <c r="BZ309" s="131">
        <f>IF($J309="",#N/A,SUM($BY$4:BY309))</f>
        <v>573.1073403893339</v>
      </c>
      <c r="CA309" s="133">
        <f t="shared" si="471"/>
        <v>71.650000000000091</v>
      </c>
      <c r="CB309" s="133">
        <f>IF($J309="",#N/A,SUM($CA$4:CA309))</f>
        <v>326.9215842618753</v>
      </c>
      <c r="CC309" s="194" t="str">
        <f t="shared" si="472"/>
        <v/>
      </c>
      <c r="CD309" s="194">
        <f>IF($J309="",#N/A,SUM($CC$4:CC309))</f>
        <v>-7.0572780247901932</v>
      </c>
      <c r="CE309" s="195" t="str">
        <f t="shared" si="473"/>
        <v/>
      </c>
      <c r="CF309" s="195">
        <f>IF($J309="",#N/A,SUM($CE$4:CE309))</f>
        <v>10.449285693936057</v>
      </c>
      <c r="CG309" s="196">
        <f t="shared" si="474"/>
        <v>1.0444454162475778</v>
      </c>
      <c r="CH309" s="196">
        <f>IF($J309="",#N/A,SUM($CG$4:CG309))</f>
        <v>7.170911895239346</v>
      </c>
      <c r="CI309" s="200" t="str">
        <f t="shared" si="475"/>
        <v/>
      </c>
      <c r="CJ309" s="203">
        <f>IF($J309="",#N/A,SUM(CI$4:CI309))</f>
        <v>0</v>
      </c>
      <c r="CK309" s="204" t="str">
        <f t="shared" si="476"/>
        <v/>
      </c>
      <c r="CL309" s="204">
        <f>IF($J309="",#N/A,SUM(CK$4:CK309))</f>
        <v>2.4085740385592547</v>
      </c>
      <c r="CM309" s="205" t="str">
        <f t="shared" si="477"/>
        <v/>
      </c>
      <c r="CN309" s="205">
        <f>IF($J309="",#N/A,SUM(CM$4:CM309))</f>
        <v>1.6494621984783118</v>
      </c>
      <c r="CO309" s="205">
        <f>IF($J309="",#N/A,SUM(CM$4:CM309,CK$4:CK309,CI$4:CI309))</f>
        <v>4.0580362370375669</v>
      </c>
      <c r="CP309" s="200" t="str">
        <f t="shared" si="478"/>
        <v/>
      </c>
      <c r="CQ309" s="203">
        <f>IF($J309="",#N/A,SUM(CP$4:CP309))</f>
        <v>-2.5399197875602422</v>
      </c>
      <c r="CR309" s="204" t="str">
        <f t="shared" si="479"/>
        <v/>
      </c>
      <c r="CS309" s="204">
        <f>IF($J309="",#N/A,SUM(CR$4:CR309))</f>
        <v>2.3600225017004668</v>
      </c>
      <c r="CT309" s="205" t="str">
        <f t="shared" si="480"/>
        <v/>
      </c>
      <c r="CU309" s="205">
        <f>IF($J309="",#N/A,SUM(CT$4:CT309))</f>
        <v>-2.9040943753548785</v>
      </c>
      <c r="CV309" s="205">
        <f>IF($J309="",#N/A,SUM(CT$4:CT309,CR$4:CR309,CP$4:CP309))</f>
        <v>-3.0839916612146538</v>
      </c>
      <c r="CW309" s="200" t="str">
        <f t="shared" si="481"/>
        <v/>
      </c>
      <c r="CX309" s="203">
        <f>IF($J309="",#N/A,SUM(CW$4:CW309))</f>
        <v>-1.2839616145397621</v>
      </c>
      <c r="CY309" s="204" t="str">
        <f t="shared" si="482"/>
        <v/>
      </c>
      <c r="CZ309" s="204">
        <f>IF($J309="",#N/A,SUM(CY$4:CY309))</f>
        <v>-0.20119965665334139</v>
      </c>
      <c r="DA309" s="205" t="str">
        <f t="shared" si="483"/>
        <v/>
      </c>
      <c r="DB309" s="205">
        <f>IF($J309="",#N/A,SUM(DA$4:DA309))</f>
        <v>-1.1581788995104692</v>
      </c>
      <c r="DC309" s="205">
        <f>IF($J309="",#N/A,SUM(DA$4:DA309,CY$4:CY309,CW$4:CW309))</f>
        <v>-2.6433401707035724</v>
      </c>
      <c r="DD309" s="200" t="str">
        <f t="shared" si="484"/>
        <v/>
      </c>
      <c r="DE309" s="203">
        <f>IF($J309="",#N/A,SUM(DD$4:DD309))</f>
        <v>0.24769343410817113</v>
      </c>
      <c r="DF309" s="204" t="str">
        <f t="shared" si="485"/>
        <v/>
      </c>
      <c r="DG309" s="204">
        <f>IF($J309="",#N/A,SUM(DF$4:DF309))</f>
        <v>1.3104003890080136</v>
      </c>
      <c r="DH309" s="205" t="str">
        <f t="shared" si="486"/>
        <v/>
      </c>
      <c r="DI309" s="205">
        <f>IF($J309="",#N/A,SUM(DH$4:DH309))</f>
        <v>-2.7812008102163399</v>
      </c>
      <c r="DJ309" s="205">
        <f>IF($J309="",#N/A,SUM(DH$4:DH309,DF$4:DF309,DD$4:DD309))</f>
        <v>-1.2231069871001554</v>
      </c>
      <c r="DK309" s="200" t="str">
        <f t="shared" si="487"/>
        <v/>
      </c>
      <c r="DL309" s="203">
        <f>IF($J309="",#N/A,SUM(DK$4:DK309))</f>
        <v>-1.2097286851272664</v>
      </c>
      <c r="DM309" s="204" t="str">
        <f t="shared" si="488"/>
        <v/>
      </c>
      <c r="DN309" s="204">
        <f>IF($J309="",#N/A,SUM(DM$4:DM309))</f>
        <v>1.1747256665753205</v>
      </c>
      <c r="DO309" s="205" t="str">
        <f t="shared" si="489"/>
        <v/>
      </c>
      <c r="DP309" s="205">
        <f>IF($J309="",#N/A,SUM(DO$4:DO309))</f>
        <v>2.700331529683047</v>
      </c>
      <c r="DQ309" s="205">
        <f>IF($J309="",#N/A,SUM(DO$4:DO309,DM$4:DM309,DK$4:DK309))</f>
        <v>2.6653285111311016</v>
      </c>
      <c r="DR309" s="200" t="str">
        <f t="shared" si="490"/>
        <v/>
      </c>
      <c r="DS309" s="203">
        <f>IF($J309="",#N/A,SUM(DR$4:DR309))</f>
        <v>-0.55950946427675097</v>
      </c>
      <c r="DT309" s="204" t="str">
        <f t="shared" si="491"/>
        <v/>
      </c>
      <c r="DU309" s="204">
        <f>IF($J309="",#N/A,SUM(DT$4:DT309))</f>
        <v>-0.20750635820596686</v>
      </c>
      <c r="DV309" s="205" t="str">
        <f t="shared" si="492"/>
        <v/>
      </c>
      <c r="DW309" s="205">
        <f>IF($J309="",#N/A,SUM(DV$4:DV309))</f>
        <v>-2.3377035686214001</v>
      </c>
      <c r="DX309" s="205">
        <f>IF($J309="",#N/A,SUM(DV$4:DV309,DT$4:DT309,DR$4:DR309))</f>
        <v>-3.1047193911041169</v>
      </c>
      <c r="DY309" s="200" t="str">
        <f t="shared" si="493"/>
        <v/>
      </c>
      <c r="DZ309" s="203">
        <f>IF($J309="",#N/A,SUM(DY$4:DY309))</f>
        <v>-1.6284722482776204</v>
      </c>
      <c r="EA309" s="204" t="str">
        <f t="shared" si="494"/>
        <v/>
      </c>
      <c r="EB309" s="204">
        <f>IF($J309="",#N/A,SUM(EA$4:EA309))</f>
        <v>2.276197208799712</v>
      </c>
      <c r="EC309" s="205">
        <f t="shared" si="495"/>
        <v>1.0444454162475778</v>
      </c>
      <c r="ED309" s="205">
        <f>IF($J309="",#N/A,SUM(EC$4:EC309))</f>
        <v>8.6307007550759458</v>
      </c>
      <c r="EE309" s="205">
        <f>IF($J309="",#N/A,SUM(EC$4:EC309,EA$4:EA309,DY$4:DY309))</f>
        <v>9.2784257155980399</v>
      </c>
      <c r="EF309" s="200" t="str">
        <f t="shared" si="496"/>
        <v/>
      </c>
      <c r="EG309" s="203">
        <f>IF($J309="",#N/A,SUM(EF$4:EF309))</f>
        <v>0.12123845414313134</v>
      </c>
      <c r="EH309" s="204" t="str">
        <f t="shared" si="497"/>
        <v/>
      </c>
      <c r="EI309" s="204">
        <f>IF($J309="",#N/A,SUM(EH$4:EH309))</f>
        <v>-2.7373393576691663</v>
      </c>
      <c r="EJ309" s="205" t="str">
        <f t="shared" si="498"/>
        <v/>
      </c>
      <c r="EK309" s="205">
        <f>IF($J309="",#N/A,SUM(EJ$4:EJ309))</f>
        <v>5.050388173053765</v>
      </c>
      <c r="EL309" s="205">
        <f>IF($J309="",#N/A,SUM(EJ$4:EJ309,EH$4:EH309,EF$4:EF309))</f>
        <v>2.4342872695277298</v>
      </c>
      <c r="EM309" s="200" t="str">
        <f t="shared" si="499"/>
        <v/>
      </c>
      <c r="EN309" s="203">
        <f>IF($J309="",#N/A,SUM(EM$4:EM309))</f>
        <v>0</v>
      </c>
      <c r="EO309" s="204" t="str">
        <f t="shared" si="500"/>
        <v/>
      </c>
      <c r="EP309" s="204">
        <f>IF($J309="",#N/A,SUM(EO$4:EO309))</f>
        <v>2.0574787067554756</v>
      </c>
      <c r="EQ309" s="205" t="str">
        <f t="shared" si="501"/>
        <v/>
      </c>
      <c r="ER309" s="205">
        <f>IF($J309="",#N/A,SUM(EQ$4:EQ309))</f>
        <v>1.971265500983395</v>
      </c>
      <c r="ES309" s="205">
        <f>IF($J309="",#N/A,SUM(EQ$4:EQ309,EO$4:EO309,EM$4:EM309))</f>
        <v>4.0287442077388693</v>
      </c>
      <c r="ET309" s="200" t="str">
        <f t="shared" si="502"/>
        <v/>
      </c>
      <c r="EU309" s="203">
        <f>IF($J309="",#N/A,SUM(ET$4:ET309))</f>
        <v>0</v>
      </c>
      <c r="EV309" s="204" t="str">
        <f t="shared" si="503"/>
        <v/>
      </c>
      <c r="EW309" s="204">
        <f>IF($J309="",#N/A,SUM(EV$4:EV309))</f>
        <v>2.3210103028360365</v>
      </c>
      <c r="EX309" s="205" t="str">
        <f t="shared" si="504"/>
        <v/>
      </c>
      <c r="EY309" s="205">
        <f>IF($J309="",#N/A,SUM(EX$4:EX309))</f>
        <v>0.27113250180669229</v>
      </c>
      <c r="EZ309" s="205">
        <f>IF($J309="",#N/A,SUM(EX$4:EX309,EV$4:EV309,ET$4:ET309))</f>
        <v>2.5921428046427284</v>
      </c>
      <c r="FA309" s="200" t="str">
        <f t="shared" si="505"/>
        <v/>
      </c>
      <c r="FB309" s="203">
        <f>IF($J309="",#N/A,SUM(FA$4:FA309))</f>
        <v>-0.27145310509113252</v>
      </c>
      <c r="FC309" s="204" t="str">
        <f t="shared" si="506"/>
        <v/>
      </c>
      <c r="FD309" s="204">
        <f>IF($J309="",#N/A,SUM(FC$4:FC309))</f>
        <v>1.204376144197403</v>
      </c>
      <c r="FE309" s="205" t="str">
        <f t="shared" si="507"/>
        <v/>
      </c>
      <c r="FF309" s="205">
        <f>IF($J309="",#N/A,SUM(FE$4:FE309))</f>
        <v>-0.28811149078748233</v>
      </c>
      <c r="FG309" s="205">
        <f>IF($J309="",#N/A,SUM(FE$4:FE309,FC$4:FC309,FA$4:FA309))</f>
        <v>0.64481154831878851</v>
      </c>
      <c r="FH309" s="200" t="str">
        <f t="shared" si="508"/>
        <v/>
      </c>
      <c r="FI309" s="203">
        <f>IF($J309="",#N/A,SUM(FH$4:FH309))</f>
        <v>0</v>
      </c>
      <c r="FJ309" s="204" t="str">
        <f t="shared" si="509"/>
        <v/>
      </c>
      <c r="FK309" s="204">
        <f>IF($J309="",#N/A,SUM(FJ$4:FJ309))</f>
        <v>0</v>
      </c>
      <c r="FL309" s="205" t="str">
        <f t="shared" si="510"/>
        <v/>
      </c>
      <c r="FM309" s="205">
        <f>IF($J309="",#N/A,SUM(FL$4:FL309))</f>
        <v>0</v>
      </c>
      <c r="FN309" s="205">
        <f>IF($J309="",#N/A,SUM(FL$4:FL309,FJ$4:FJ309,FH$4:FH309))</f>
        <v>0</v>
      </c>
      <c r="FO309" s="200" t="str">
        <f t="shared" si="511"/>
        <v/>
      </c>
      <c r="FP309" s="203">
        <f>IF($J309="",#N/A,SUM(FO$4:FO309))</f>
        <v>0</v>
      </c>
      <c r="FQ309" s="204" t="str">
        <f t="shared" si="512"/>
        <v/>
      </c>
      <c r="FR309" s="204">
        <f>IF($J309="",#N/A,SUM(FQ$4:FQ309))</f>
        <v>0</v>
      </c>
      <c r="FS309" s="205" t="str">
        <f t="shared" si="513"/>
        <v/>
      </c>
      <c r="FT309" s="205">
        <f>IF($J309="",#N/A,SUM(FS$4:FS309))</f>
        <v>0</v>
      </c>
      <c r="FU309" s="205">
        <f>IF($J309="",#N/A,SUM(FS$4:FS309,FQ$4:FQ309,FO$4:FO309))</f>
        <v>0</v>
      </c>
      <c r="FV309" s="200" t="str">
        <f t="shared" si="514"/>
        <v/>
      </c>
      <c r="FW309" s="203">
        <f>IF($J309="",#N/A,SUM(FV$4:FV309))</f>
        <v>6.6834991831277585E-2</v>
      </c>
      <c r="FX309" s="204" t="str">
        <f t="shared" si="515"/>
        <v/>
      </c>
      <c r="FY309" s="204">
        <f>IF($J309="",#N/A,SUM(FX$4:FX309))</f>
        <v>-0.16102012791805576</v>
      </c>
      <c r="FZ309" s="205" t="str">
        <f t="shared" si="516"/>
        <v/>
      </c>
      <c r="GA309" s="205">
        <f>IF($J309="",#N/A,SUM(FZ$4:FZ309))</f>
        <v>-0.69624339162892301</v>
      </c>
      <c r="GB309" s="205">
        <f>IF($J309="",#N/A,SUM(FZ$4:FZ309,FX$4:FX309,FV$4:FV309))</f>
        <v>-0.79042852771570116</v>
      </c>
      <c r="GC309" s="200" t="str">
        <f t="shared" si="517"/>
        <v/>
      </c>
      <c r="GD309" s="203">
        <f>IF($J309="",#N/A,SUM(GC$4:GC309))</f>
        <v>0</v>
      </c>
      <c r="GE309" s="204" t="str">
        <f t="shared" si="518"/>
        <v/>
      </c>
      <c r="GF309" s="204">
        <f>IF($J309="",#N/A,SUM(GE$4:GE309))</f>
        <v>0</v>
      </c>
      <c r="GG309" s="205" t="str">
        <f t="shared" si="519"/>
        <v/>
      </c>
      <c r="GH309" s="205">
        <f>IF($J309="",#N/A,SUM(GG$4:GG309))</f>
        <v>-2.9368362277223206</v>
      </c>
      <c r="GI309" s="205">
        <f>IF($J309="",#N/A,SUM(GG$4:GG309,GE$4:GE309,GC$4:GC309))</f>
        <v>-2.9368362277223206</v>
      </c>
      <c r="GJ309" s="200" t="str">
        <f t="shared" si="520"/>
        <v/>
      </c>
      <c r="GK309" s="203">
        <f>IF($J309="",#N/A,SUM(GJ$4:GJ309))</f>
        <v>0</v>
      </c>
      <c r="GL309" s="204" t="str">
        <f t="shared" si="521"/>
        <v/>
      </c>
      <c r="GM309" s="204">
        <f>IF($J309="",#N/A,SUM(GL$4:GL309))</f>
        <v>-1.6833790887309608</v>
      </c>
      <c r="GN309" s="205" t="str">
        <f t="shared" si="522"/>
        <v/>
      </c>
      <c r="GO309" s="205">
        <f>IF($J309="",#N/A,SUM(GN$4:GN309))</f>
        <v>0</v>
      </c>
      <c r="GP309" s="205">
        <f>IF($J309="",#N/A,SUM(GN$4:GN309,GL$4:GL309,GJ$4:GJ309))</f>
        <v>-1.6833790887309608</v>
      </c>
      <c r="GS309" s="54">
        <f t="shared" si="541"/>
        <v>1.0444454162475778</v>
      </c>
      <c r="GT309" s="54">
        <f>IF(GS309="",NA(),SUM($GS$4:GS309))</f>
        <v>7.719261378555812</v>
      </c>
      <c r="GU309" s="54" t="str">
        <f t="shared" si="523"/>
        <v/>
      </c>
      <c r="GV309" s="54" t="e">
        <f>IF(GU309="",NA(),SUM($GU$4:GU309))</f>
        <v>#N/A</v>
      </c>
      <c r="GW309" s="54">
        <f t="shared" si="524"/>
        <v>1.0444454162475778</v>
      </c>
      <c r="GX309" s="54">
        <f>IF(GW309="",NA(),SUM($GW$4:GW309))</f>
        <v>8.7090527843343448</v>
      </c>
      <c r="GY309" s="54" t="str">
        <f t="shared" si="525"/>
        <v/>
      </c>
      <c r="GZ309" s="54" t="e">
        <f>IF(GY309="",NA(),SUM($GY$4:GY309))</f>
        <v>#N/A</v>
      </c>
      <c r="HA309" s="54" t="str">
        <f t="shared" si="526"/>
        <v/>
      </c>
      <c r="HB309" s="54" t="e">
        <f>IF(HA309="",NA(),SUM($HA$4:HA309))</f>
        <v>#N/A</v>
      </c>
      <c r="HC309" s="54" t="str">
        <f t="shared" si="527"/>
        <v/>
      </c>
      <c r="HD309" s="54" t="e">
        <f>IF(HC309="",NA(),SUM($HC$4:HC309))</f>
        <v>#N/A</v>
      </c>
      <c r="HE309" s="54" t="str">
        <f t="shared" si="528"/>
        <v/>
      </c>
      <c r="HF309" s="54" t="e">
        <f>IF(HE309="",NA(),SUM($HE$4:HE309))</f>
        <v>#N/A</v>
      </c>
      <c r="HG309" s="54" t="str">
        <f t="shared" si="529"/>
        <v/>
      </c>
      <c r="HH309" s="54" t="e">
        <f>IF(HG309="",NA(),SUM($HG$4:HG309))</f>
        <v>#N/A</v>
      </c>
      <c r="HI309" s="172" t="str">
        <f t="shared" si="542"/>
        <v/>
      </c>
      <c r="HJ309" s="172">
        <f>IF($J309="",#N/A,SUM(HI$4:$HI309))</f>
        <v>-7.7357960158937757</v>
      </c>
      <c r="HK309" s="54" t="str">
        <f t="shared" si="530"/>
        <v/>
      </c>
      <c r="HL309" s="54">
        <f>IF($J309="",#N/A,SUM($HK$4:HK309))</f>
        <v>0.45258393143062381</v>
      </c>
      <c r="HM309" s="54" t="str">
        <f t="shared" si="531"/>
        <v/>
      </c>
      <c r="HN309" s="54">
        <f>IF($J309="",#N/A,SUM($HM$4:HM309))</f>
        <v>1.2041389455942384</v>
      </c>
      <c r="HO309" s="54" t="str">
        <f t="shared" si="532"/>
        <v/>
      </c>
      <c r="HP309" s="54">
        <f>IF($J309="",#N/A,SUM($HO$4:HO309))</f>
        <v>-0.69476253225193951</v>
      </c>
      <c r="HQ309" s="54">
        <f t="shared" si="533"/>
        <v>0.46282124167286209</v>
      </c>
      <c r="HR309" s="54">
        <f>IF($J309="",#N/A,SUM($HQ$4:HQ309))</f>
        <v>-12.661527435893699</v>
      </c>
      <c r="HS309" s="54" t="str">
        <f t="shared" si="534"/>
        <v/>
      </c>
      <c r="HT309" s="54">
        <f>IF($J309="",#N/A,SUM($HS$4:HS309))</f>
        <v>15.486812150209897</v>
      </c>
      <c r="HU309" s="65">
        <f t="shared" si="535"/>
        <v>1.5072666579204399</v>
      </c>
      <c r="HV309" s="65">
        <f>IF($J309="",#N/A,SUM(HU$4:$HU309))</f>
        <v>6.0984211404135582</v>
      </c>
    </row>
    <row r="310" spans="1:230" x14ac:dyDescent="0.25">
      <c r="A310" s="51" t="s">
        <v>2557</v>
      </c>
      <c r="B310" s="52" t="s">
        <v>4597</v>
      </c>
      <c r="C310" s="229">
        <f t="shared" si="436"/>
        <v>3</v>
      </c>
      <c r="D310" s="219" t="str">
        <f>_xlfn.XLOOKUP(A310,[1]SP500!$A$2:$A$502,[1]SP500!$D$2:$D$502,"N")</f>
        <v>N</v>
      </c>
      <c r="E310" s="51" t="str">
        <f>IFERROR(_xlfn.XLOOKUP(A310,[1]SP500!$A$2:$A$655,[1]SP500!$B$2:$B$655),"")</f>
        <v>IGV</v>
      </c>
      <c r="F310" s="290">
        <v>45784</v>
      </c>
      <c r="G310" s="51" t="str">
        <f t="shared" si="437"/>
        <v>AMC</v>
      </c>
      <c r="H310" s="51" t="str">
        <f t="shared" si="438"/>
        <v>s</v>
      </c>
      <c r="I310" s="344">
        <v>303.45999999999998</v>
      </c>
      <c r="J310" s="123">
        <v>344</v>
      </c>
      <c r="K310" s="55">
        <f t="shared" si="439"/>
        <v>0.13359256574177825</v>
      </c>
      <c r="L310" s="67">
        <f t="shared" si="440"/>
        <v>162.16000000000008</v>
      </c>
      <c r="M310" s="57" t="e">
        <f t="shared" si="441"/>
        <v>#N/A</v>
      </c>
      <c r="N310" s="102">
        <f t="shared" si="442"/>
        <v>162.16000000000008</v>
      </c>
      <c r="O310" s="57">
        <f>IF(N310="",#N/A,SUM($N$4:N310))</f>
        <v>590.17575430328054</v>
      </c>
      <c r="P310" s="65">
        <f t="shared" si="536"/>
        <v>2.2265427623629703</v>
      </c>
      <c r="Q310" s="172">
        <f>IF($N310="",#N/A,SUM($P$4:P310))</f>
        <v>12.789462326748176</v>
      </c>
      <c r="R310" s="279">
        <f t="shared" si="443"/>
        <v>0.21050514251035501</v>
      </c>
      <c r="S310" s="51" t="str">
        <f t="shared" si="444"/>
        <v>SW</v>
      </c>
      <c r="T310" s="51" t="s">
        <v>2828</v>
      </c>
      <c r="U310" s="56">
        <f t="shared" si="445"/>
        <v>303.45999999999998</v>
      </c>
      <c r="V310" s="56" t="s">
        <v>4460</v>
      </c>
      <c r="W310" s="142">
        <v>4</v>
      </c>
      <c r="X310" s="145">
        <f t="shared" si="446"/>
        <v>1213.8399999999999</v>
      </c>
      <c r="Y310" s="140">
        <f t="shared" si="447"/>
        <v>4</v>
      </c>
      <c r="Z310" s="123">
        <v>350.92500000000001</v>
      </c>
      <c r="AA310" s="102">
        <f t="shared" si="448"/>
        <v>189.86000000000013</v>
      </c>
      <c r="AB310" s="102">
        <f t="shared" si="449"/>
        <v>144.20000000000005</v>
      </c>
      <c r="AC310" s="124">
        <v>339.51</v>
      </c>
      <c r="AD310" s="155">
        <f t="shared" si="450"/>
        <v>144.20000000000005</v>
      </c>
      <c r="AE310" s="545">
        <f t="shared" si="451"/>
        <v>1.9799424416177867</v>
      </c>
      <c r="AF310" s="57">
        <f>IF($AC310="",#N/A,SUM(AD$4:AD310))</f>
        <v>440.35980422776765</v>
      </c>
      <c r="AG310" s="102">
        <f t="shared" si="452"/>
        <v>-17.960000000000036</v>
      </c>
      <c r="AH310" s="56" t="s">
        <v>4471</v>
      </c>
      <c r="AI310" s="65">
        <f t="shared" si="453"/>
        <v>2.606878446363059</v>
      </c>
      <c r="AJ310" s="108">
        <f>IF(AI310="",#N/A,SUM($AI$4:AI310))</f>
        <v>12.57895718423782</v>
      </c>
      <c r="AK310" s="57">
        <f t="shared" si="454"/>
        <v>189.86000000000013</v>
      </c>
      <c r="AL310" s="66">
        <f>IF(AI310="",#N/A,IF(AH310="Skip",SUM($AK$4:AK310),SUM($AK$4:AK310)))</f>
        <v>574.34079149281411</v>
      </c>
      <c r="AM310" s="65">
        <f t="shared" si="537"/>
        <v>1.9799424416177867</v>
      </c>
      <c r="AN310" s="209"/>
      <c r="AO310" s="65">
        <f t="shared" si="455"/>
        <v>1.9799424416177867</v>
      </c>
      <c r="AP310" s="65">
        <f>IF($AC310="",#N/A,SUM(AO$4:AO310))</f>
        <v>11.460191584006346</v>
      </c>
      <c r="AQ310" s="65" t="str">
        <f t="shared" si="456"/>
        <v/>
      </c>
      <c r="AR310" s="65">
        <f>IF($AC310="",#N/A,SUM(AQ$4:AQ310))</f>
        <v>-6.5479016114478972</v>
      </c>
      <c r="AS310" s="65" t="str">
        <f t="shared" si="457"/>
        <v/>
      </c>
      <c r="AT310" s="65">
        <f>IF($AC310="",#N/A,SUM(AS$4:AS310))</f>
        <v>3.1660736094728956</v>
      </c>
      <c r="AU310" s="57">
        <f t="shared" si="538"/>
        <v>144.20000000000005</v>
      </c>
      <c r="AV310" s="57">
        <f>IF($AC310="",#N/A,SUM(AU$4:AU310))</f>
        <v>676.08249066104668</v>
      </c>
      <c r="AW310" s="57" t="str">
        <f t="shared" si="539"/>
        <v/>
      </c>
      <c r="AX310" s="57">
        <f>IF($AC310="",#N/A,SUM(AW$4:AW310))</f>
        <v>-438.46106797961124</v>
      </c>
      <c r="AY310" s="57" t="str">
        <f t="shared" si="540"/>
        <v/>
      </c>
      <c r="AZ310" s="57">
        <f>IF($AC310="",#N/A,SUM(AY$4:AY310))</f>
        <v>202.73838154633222</v>
      </c>
      <c r="BA310" s="57">
        <f>IF(AD310="",#N/A,SUM($AD$4:AD310))</f>
        <v>440.35980422776765</v>
      </c>
      <c r="BB310" s="139"/>
      <c r="BC310" s="51" t="str">
        <f t="shared" si="458"/>
        <v/>
      </c>
      <c r="BD310" s="51" t="str">
        <f t="shared" si="459"/>
        <v/>
      </c>
      <c r="BE310" s="51">
        <f t="shared" si="460"/>
        <v>1</v>
      </c>
      <c r="BF310" s="51" t="str">
        <f t="shared" si="461"/>
        <v>Long</v>
      </c>
      <c r="BG310" s="51" t="str">
        <f t="shared" si="462"/>
        <v/>
      </c>
      <c r="BH310" s="51" t="str">
        <f t="shared" si="463"/>
        <v/>
      </c>
      <c r="BI310" s="51" t="str">
        <f t="shared" si="464"/>
        <v/>
      </c>
      <c r="BK310" s="65">
        <f t="shared" si="544"/>
        <v>-2.603023683942432E-2</v>
      </c>
      <c r="BL310" s="65">
        <f t="shared" si="543"/>
        <v>-4.4845914555389971E-2</v>
      </c>
      <c r="BM310" s="65">
        <f>IFERROR(Q310/COUNTA($J$4:J310),#N/A)</f>
        <v>4.1659486406345848E-2</v>
      </c>
      <c r="BO310" s="489">
        <f>IF(J310="",#N/A,IF(S310="SW",(COUNTIFS(K$4:$K310,"&gt;0",S$4:$S310,"SW")/COUNTIF(S$4:$S310,"SW")),#N/A))</f>
        <v>0.50684931506849318</v>
      </c>
      <c r="BP310" s="489" t="e">
        <f>IF($J310="",#N/A,IF($S310="DWN",(COUNTIFS($K$4:$K310,"&lt;0",$S$4:$S310,"DWN")/COUNTIF($S$4:$S310,"DWN")),#N/A))</f>
        <v>#N/A</v>
      </c>
      <c r="BQ310" s="489" t="e">
        <f>IF($J310="",#N/A,IF($S310="UP",(COUNTIFS($K$4:$K310,"&gt;0",$S$4:$S310,"UP")/COUNTIF($S$4:$S310,"UP")),#N/A))</f>
        <v>#N/A</v>
      </c>
      <c r="BR310" s="489">
        <f>IF(J310="",#N/A,COUNTIF($K$4:K310,"&gt;0")/COUNT($J$4:J310))</f>
        <v>0.46254071661237783</v>
      </c>
      <c r="BS310" s="65">
        <f t="shared" si="465"/>
        <v>2.2265427623629703</v>
      </c>
      <c r="BT310" s="65" t="str">
        <f t="shared" si="466"/>
        <v/>
      </c>
      <c r="BU310" s="65" t="str">
        <f t="shared" si="467"/>
        <v/>
      </c>
      <c r="BV310" s="65" t="str">
        <f t="shared" si="468"/>
        <v/>
      </c>
      <c r="BW310" s="128" t="str">
        <f t="shared" si="469"/>
        <v/>
      </c>
      <c r="BX310" s="128">
        <f>IF($J310="",#N/A,SUM($BW$4:BW310))</f>
        <v>-472.01317034792874</v>
      </c>
      <c r="BY310" s="131" t="str">
        <f t="shared" si="470"/>
        <v/>
      </c>
      <c r="BZ310" s="131">
        <f>IF($J310="",#N/A,SUM($BY$4:BY310))</f>
        <v>573.1073403893339</v>
      </c>
      <c r="CA310" s="133">
        <f t="shared" si="471"/>
        <v>162.16000000000008</v>
      </c>
      <c r="CB310" s="133">
        <f>IF($J310="",#N/A,SUM($CA$4:CA310))</f>
        <v>489.08158426187538</v>
      </c>
      <c r="CC310" s="194" t="str">
        <f t="shared" si="472"/>
        <v/>
      </c>
      <c r="CD310" s="194">
        <f>IF($J310="",#N/A,SUM($CC$4:CC310))</f>
        <v>-7.0572780247901932</v>
      </c>
      <c r="CE310" s="195" t="str">
        <f t="shared" si="473"/>
        <v/>
      </c>
      <c r="CF310" s="195">
        <f>IF($J310="",#N/A,SUM($CE$4:CE310))</f>
        <v>10.449285693936057</v>
      </c>
      <c r="CG310" s="196">
        <f t="shared" si="474"/>
        <v>2.2265427623629703</v>
      </c>
      <c r="CH310" s="196">
        <f>IF($J310="",#N/A,SUM($CG$4:CG310))</f>
        <v>9.3974546576023172</v>
      </c>
      <c r="CI310" s="200" t="str">
        <f t="shared" si="475"/>
        <v/>
      </c>
      <c r="CJ310" s="203">
        <f>IF($J310="",#N/A,SUM(CI$4:CI310))</f>
        <v>0</v>
      </c>
      <c r="CK310" s="204" t="str">
        <f t="shared" si="476"/>
        <v/>
      </c>
      <c r="CL310" s="204">
        <f>IF($J310="",#N/A,SUM(CK$4:CK310))</f>
        <v>2.4085740385592547</v>
      </c>
      <c r="CM310" s="205" t="str">
        <f t="shared" si="477"/>
        <v/>
      </c>
      <c r="CN310" s="205">
        <f>IF($J310="",#N/A,SUM(CM$4:CM310))</f>
        <v>1.6494621984783118</v>
      </c>
      <c r="CO310" s="205">
        <f>IF($J310="",#N/A,SUM(CM$4:CM310,CK$4:CK310,CI$4:CI310))</f>
        <v>4.0580362370375669</v>
      </c>
      <c r="CP310" s="200" t="str">
        <f t="shared" si="478"/>
        <v/>
      </c>
      <c r="CQ310" s="203">
        <f>IF($J310="",#N/A,SUM(CP$4:CP310))</f>
        <v>-2.5399197875602422</v>
      </c>
      <c r="CR310" s="204" t="str">
        <f t="shared" si="479"/>
        <v/>
      </c>
      <c r="CS310" s="204">
        <f>IF($J310="",#N/A,SUM(CR$4:CR310))</f>
        <v>2.3600225017004668</v>
      </c>
      <c r="CT310" s="205">
        <f t="shared" si="480"/>
        <v>2.2265427623629703</v>
      </c>
      <c r="CU310" s="205">
        <f>IF($J310="",#N/A,SUM(CT$4:CT310))</f>
        <v>-0.67755161299190814</v>
      </c>
      <c r="CV310" s="205">
        <f>IF($J310="",#N/A,SUM(CT$4:CT310,CR$4:CR310,CP$4:CP310))</f>
        <v>-0.85744889885168352</v>
      </c>
      <c r="CW310" s="200" t="str">
        <f t="shared" si="481"/>
        <v/>
      </c>
      <c r="CX310" s="203">
        <f>IF($J310="",#N/A,SUM(CW$4:CW310))</f>
        <v>-1.2839616145397621</v>
      </c>
      <c r="CY310" s="204" t="str">
        <f t="shared" si="482"/>
        <v/>
      </c>
      <c r="CZ310" s="204">
        <f>IF($J310="",#N/A,SUM(CY$4:CY310))</f>
        <v>-0.20119965665334139</v>
      </c>
      <c r="DA310" s="205" t="str">
        <f t="shared" si="483"/>
        <v/>
      </c>
      <c r="DB310" s="205">
        <f>IF($J310="",#N/A,SUM(DA$4:DA310))</f>
        <v>-1.1581788995104692</v>
      </c>
      <c r="DC310" s="205">
        <f>IF($J310="",#N/A,SUM(DA$4:DA310,CY$4:CY310,CW$4:CW310))</f>
        <v>-2.6433401707035724</v>
      </c>
      <c r="DD310" s="200" t="str">
        <f t="shared" si="484"/>
        <v/>
      </c>
      <c r="DE310" s="203">
        <f>IF($J310="",#N/A,SUM(DD$4:DD310))</f>
        <v>0.24769343410817113</v>
      </c>
      <c r="DF310" s="204" t="str">
        <f t="shared" si="485"/>
        <v/>
      </c>
      <c r="DG310" s="204">
        <f>IF($J310="",#N/A,SUM(DF$4:DF310))</f>
        <v>1.3104003890080136</v>
      </c>
      <c r="DH310" s="205" t="str">
        <f t="shared" si="486"/>
        <v/>
      </c>
      <c r="DI310" s="205">
        <f>IF($J310="",#N/A,SUM(DH$4:DH310))</f>
        <v>-2.7812008102163399</v>
      </c>
      <c r="DJ310" s="205">
        <f>IF($J310="",#N/A,SUM(DH$4:DH310,DF$4:DF310,DD$4:DD310))</f>
        <v>-1.2231069871001554</v>
      </c>
      <c r="DK310" s="200" t="str">
        <f t="shared" si="487"/>
        <v/>
      </c>
      <c r="DL310" s="203">
        <f>IF($J310="",#N/A,SUM(DK$4:DK310))</f>
        <v>-1.2097286851272664</v>
      </c>
      <c r="DM310" s="204" t="str">
        <f t="shared" si="488"/>
        <v/>
      </c>
      <c r="DN310" s="204">
        <f>IF($J310="",#N/A,SUM(DM$4:DM310))</f>
        <v>1.1747256665753205</v>
      </c>
      <c r="DO310" s="205" t="str">
        <f t="shared" si="489"/>
        <v/>
      </c>
      <c r="DP310" s="205">
        <f>IF($J310="",#N/A,SUM(DO$4:DO310))</f>
        <v>2.700331529683047</v>
      </c>
      <c r="DQ310" s="205">
        <f>IF($J310="",#N/A,SUM(DO$4:DO310,DM$4:DM310,DK$4:DK310))</f>
        <v>2.6653285111311016</v>
      </c>
      <c r="DR310" s="200" t="str">
        <f t="shared" si="490"/>
        <v/>
      </c>
      <c r="DS310" s="203">
        <f>IF($J310="",#N/A,SUM(DR$4:DR310))</f>
        <v>-0.55950946427675097</v>
      </c>
      <c r="DT310" s="204" t="str">
        <f t="shared" si="491"/>
        <v/>
      </c>
      <c r="DU310" s="204">
        <f>IF($J310="",#N/A,SUM(DT$4:DT310))</f>
        <v>-0.20750635820596686</v>
      </c>
      <c r="DV310" s="205" t="str">
        <f t="shared" si="492"/>
        <v/>
      </c>
      <c r="DW310" s="205">
        <f>IF($J310="",#N/A,SUM(DV$4:DV310))</f>
        <v>-2.3377035686214001</v>
      </c>
      <c r="DX310" s="205">
        <f>IF($J310="",#N/A,SUM(DV$4:DV310,DT$4:DT310,DR$4:DR310))</f>
        <v>-3.1047193911041169</v>
      </c>
      <c r="DY310" s="200" t="str">
        <f t="shared" si="493"/>
        <v/>
      </c>
      <c r="DZ310" s="203">
        <f>IF($J310="",#N/A,SUM(DY$4:DY310))</f>
        <v>-1.6284722482776204</v>
      </c>
      <c r="EA310" s="204" t="str">
        <f t="shared" si="494"/>
        <v/>
      </c>
      <c r="EB310" s="204">
        <f>IF($J310="",#N/A,SUM(EA$4:EA310))</f>
        <v>2.276197208799712</v>
      </c>
      <c r="EC310" s="205" t="str">
        <f t="shared" si="495"/>
        <v/>
      </c>
      <c r="ED310" s="205">
        <f>IF($J310="",#N/A,SUM(EC$4:EC310))</f>
        <v>8.6307007550759458</v>
      </c>
      <c r="EE310" s="205">
        <f>IF($J310="",#N/A,SUM(EC$4:EC310,EA$4:EA310,DY$4:DY310))</f>
        <v>9.2784257155980399</v>
      </c>
      <c r="EF310" s="200" t="str">
        <f t="shared" si="496"/>
        <v/>
      </c>
      <c r="EG310" s="203">
        <f>IF($J310="",#N/A,SUM(EF$4:EF310))</f>
        <v>0.12123845414313134</v>
      </c>
      <c r="EH310" s="204" t="str">
        <f t="shared" si="497"/>
        <v/>
      </c>
      <c r="EI310" s="204">
        <f>IF($J310="",#N/A,SUM(EH$4:EH310))</f>
        <v>-2.7373393576691663</v>
      </c>
      <c r="EJ310" s="205" t="str">
        <f t="shared" si="498"/>
        <v/>
      </c>
      <c r="EK310" s="205">
        <f>IF($J310="",#N/A,SUM(EJ$4:EJ310))</f>
        <v>5.050388173053765</v>
      </c>
      <c r="EL310" s="205">
        <f>IF($J310="",#N/A,SUM(EJ$4:EJ310,EH$4:EH310,EF$4:EF310))</f>
        <v>2.4342872695277298</v>
      </c>
      <c r="EM310" s="200" t="str">
        <f t="shared" si="499"/>
        <v/>
      </c>
      <c r="EN310" s="203">
        <f>IF($J310="",#N/A,SUM(EM$4:EM310))</f>
        <v>0</v>
      </c>
      <c r="EO310" s="204" t="str">
        <f t="shared" si="500"/>
        <v/>
      </c>
      <c r="EP310" s="204">
        <f>IF($J310="",#N/A,SUM(EO$4:EO310))</f>
        <v>2.0574787067554756</v>
      </c>
      <c r="EQ310" s="205" t="str">
        <f t="shared" si="501"/>
        <v/>
      </c>
      <c r="ER310" s="205">
        <f>IF($J310="",#N/A,SUM(EQ$4:EQ310))</f>
        <v>1.971265500983395</v>
      </c>
      <c r="ES310" s="205">
        <f>IF($J310="",#N/A,SUM(EQ$4:EQ310,EO$4:EO310,EM$4:EM310))</f>
        <v>4.0287442077388693</v>
      </c>
      <c r="ET310" s="200" t="str">
        <f t="shared" si="502"/>
        <v/>
      </c>
      <c r="EU310" s="203">
        <f>IF($J310="",#N/A,SUM(ET$4:ET310))</f>
        <v>0</v>
      </c>
      <c r="EV310" s="204" t="str">
        <f t="shared" si="503"/>
        <v/>
      </c>
      <c r="EW310" s="204">
        <f>IF($J310="",#N/A,SUM(EV$4:EV310))</f>
        <v>2.3210103028360365</v>
      </c>
      <c r="EX310" s="205" t="str">
        <f t="shared" si="504"/>
        <v/>
      </c>
      <c r="EY310" s="205">
        <f>IF($J310="",#N/A,SUM(EX$4:EX310))</f>
        <v>0.27113250180669229</v>
      </c>
      <c r="EZ310" s="205">
        <f>IF($J310="",#N/A,SUM(EX$4:EX310,EV$4:EV310,ET$4:ET310))</f>
        <v>2.5921428046427284</v>
      </c>
      <c r="FA310" s="200" t="str">
        <f t="shared" si="505"/>
        <v/>
      </c>
      <c r="FB310" s="203">
        <f>IF($J310="",#N/A,SUM(FA$4:FA310))</f>
        <v>-0.27145310509113252</v>
      </c>
      <c r="FC310" s="204" t="str">
        <f t="shared" si="506"/>
        <v/>
      </c>
      <c r="FD310" s="204">
        <f>IF($J310="",#N/A,SUM(FC$4:FC310))</f>
        <v>1.204376144197403</v>
      </c>
      <c r="FE310" s="205" t="str">
        <f t="shared" si="507"/>
        <v/>
      </c>
      <c r="FF310" s="205">
        <f>IF($J310="",#N/A,SUM(FE$4:FE310))</f>
        <v>-0.28811149078748233</v>
      </c>
      <c r="FG310" s="205">
        <f>IF($J310="",#N/A,SUM(FE$4:FE310,FC$4:FC310,FA$4:FA310))</f>
        <v>0.64481154831878851</v>
      </c>
      <c r="FH310" s="200" t="str">
        <f t="shared" si="508"/>
        <v/>
      </c>
      <c r="FI310" s="203">
        <f>IF($J310="",#N/A,SUM(FH$4:FH310))</f>
        <v>0</v>
      </c>
      <c r="FJ310" s="204" t="str">
        <f t="shared" si="509"/>
        <v/>
      </c>
      <c r="FK310" s="204">
        <f>IF($J310="",#N/A,SUM(FJ$4:FJ310))</f>
        <v>0</v>
      </c>
      <c r="FL310" s="205" t="str">
        <f t="shared" si="510"/>
        <v/>
      </c>
      <c r="FM310" s="205">
        <f>IF($J310="",#N/A,SUM(FL$4:FL310))</f>
        <v>0</v>
      </c>
      <c r="FN310" s="205">
        <f>IF($J310="",#N/A,SUM(FL$4:FL310,FJ$4:FJ310,FH$4:FH310))</f>
        <v>0</v>
      </c>
      <c r="FO310" s="200" t="str">
        <f t="shared" si="511"/>
        <v/>
      </c>
      <c r="FP310" s="203">
        <f>IF($J310="",#N/A,SUM(FO$4:FO310))</f>
        <v>0</v>
      </c>
      <c r="FQ310" s="204" t="str">
        <f t="shared" si="512"/>
        <v/>
      </c>
      <c r="FR310" s="204">
        <f>IF($J310="",#N/A,SUM(FQ$4:FQ310))</f>
        <v>0</v>
      </c>
      <c r="FS310" s="205" t="str">
        <f t="shared" si="513"/>
        <v/>
      </c>
      <c r="FT310" s="205">
        <f>IF($J310="",#N/A,SUM(FS$4:FS310))</f>
        <v>0</v>
      </c>
      <c r="FU310" s="205">
        <f>IF($J310="",#N/A,SUM(FS$4:FS310,FQ$4:FQ310,FO$4:FO310))</f>
        <v>0</v>
      </c>
      <c r="FV310" s="200" t="str">
        <f t="shared" si="514"/>
        <v/>
      </c>
      <c r="FW310" s="203">
        <f>IF($J310="",#N/A,SUM(FV$4:FV310))</f>
        <v>6.6834991831277585E-2</v>
      </c>
      <c r="FX310" s="204" t="str">
        <f t="shared" si="515"/>
        <v/>
      </c>
      <c r="FY310" s="204">
        <f>IF($J310="",#N/A,SUM(FX$4:FX310))</f>
        <v>-0.16102012791805576</v>
      </c>
      <c r="FZ310" s="205" t="str">
        <f t="shared" si="516"/>
        <v/>
      </c>
      <c r="GA310" s="205">
        <f>IF($J310="",#N/A,SUM(FZ$4:FZ310))</f>
        <v>-0.69624339162892301</v>
      </c>
      <c r="GB310" s="205">
        <f>IF($J310="",#N/A,SUM(FZ$4:FZ310,FX$4:FX310,FV$4:FV310))</f>
        <v>-0.79042852771570116</v>
      </c>
      <c r="GC310" s="200" t="str">
        <f t="shared" si="517"/>
        <v/>
      </c>
      <c r="GD310" s="203">
        <f>IF($J310="",#N/A,SUM(GC$4:GC310))</f>
        <v>0</v>
      </c>
      <c r="GE310" s="204" t="str">
        <f t="shared" si="518"/>
        <v/>
      </c>
      <c r="GF310" s="204">
        <f>IF($J310="",#N/A,SUM(GE$4:GE310))</f>
        <v>0</v>
      </c>
      <c r="GG310" s="205" t="str">
        <f t="shared" si="519"/>
        <v/>
      </c>
      <c r="GH310" s="205">
        <f>IF($J310="",#N/A,SUM(GG$4:GG310))</f>
        <v>-2.9368362277223206</v>
      </c>
      <c r="GI310" s="205">
        <f>IF($J310="",#N/A,SUM(GG$4:GG310,GE$4:GE310,GC$4:GC310))</f>
        <v>-2.9368362277223206</v>
      </c>
      <c r="GJ310" s="200" t="str">
        <f t="shared" si="520"/>
        <v/>
      </c>
      <c r="GK310" s="203">
        <f>IF($J310="",#N/A,SUM(GJ$4:GJ310))</f>
        <v>0</v>
      </c>
      <c r="GL310" s="204" t="str">
        <f t="shared" si="521"/>
        <v/>
      </c>
      <c r="GM310" s="204">
        <f>IF($J310="",#N/A,SUM(GL$4:GL310))</f>
        <v>-1.6833790887309608</v>
      </c>
      <c r="GN310" s="205" t="str">
        <f t="shared" si="522"/>
        <v/>
      </c>
      <c r="GO310" s="205">
        <f>IF($J310="",#N/A,SUM(GN$4:GN310))</f>
        <v>0</v>
      </c>
      <c r="GP310" s="205">
        <f>IF($J310="",#N/A,SUM(GN$4:GN310,GL$4:GL310,GJ$4:GJ310))</f>
        <v>-1.6833790887309608</v>
      </c>
      <c r="GS310" s="54" t="str">
        <f t="shared" si="541"/>
        <v/>
      </c>
      <c r="GT310" s="54" t="e">
        <f>IF(GS310="",NA(),SUM($GS$4:GS310))</f>
        <v>#N/A</v>
      </c>
      <c r="GU310" s="54" t="str">
        <f t="shared" si="523"/>
        <v/>
      </c>
      <c r="GV310" s="54" t="e">
        <f>IF(GU310="",NA(),SUM($GU$4:GU310))</f>
        <v>#N/A</v>
      </c>
      <c r="GW310" s="54" t="str">
        <f t="shared" si="524"/>
        <v/>
      </c>
      <c r="GX310" s="54" t="e">
        <f>IF(GW310="",NA(),SUM($GW$4:GW310))</f>
        <v>#N/A</v>
      </c>
      <c r="GY310" s="54" t="str">
        <f t="shared" si="525"/>
        <v/>
      </c>
      <c r="GZ310" s="54" t="e">
        <f>IF(GY310="",NA(),SUM($GY$4:GY310))</f>
        <v>#N/A</v>
      </c>
      <c r="HA310" s="54">
        <f t="shared" si="526"/>
        <v>2.2265427623629703</v>
      </c>
      <c r="HB310" s="54">
        <f>IF(HA310="",NA(),SUM($HA$4:HA310))</f>
        <v>5.0702009481923636</v>
      </c>
      <c r="HC310" s="54" t="str">
        <f t="shared" si="527"/>
        <v/>
      </c>
      <c r="HD310" s="54" t="e">
        <f>IF(HC310="",NA(),SUM($HC$4:HC310))</f>
        <v>#N/A</v>
      </c>
      <c r="HE310" s="54">
        <f t="shared" si="528"/>
        <v>2.2265427623629703</v>
      </c>
      <c r="HF310" s="54">
        <f>IF(HE310="",NA(),SUM($HE$4:HE310))</f>
        <v>0.68840187326797286</v>
      </c>
      <c r="HG310" s="54" t="str">
        <f t="shared" si="529"/>
        <v/>
      </c>
      <c r="HH310" s="54" t="e">
        <f>IF(HG310="",NA(),SUM($HG$4:HG310))</f>
        <v>#N/A</v>
      </c>
      <c r="HI310" s="172" t="str">
        <f t="shared" si="542"/>
        <v/>
      </c>
      <c r="HJ310" s="172">
        <f>IF($J310="",#N/A,SUM(HI$4:$HI310))</f>
        <v>-7.7357960158937757</v>
      </c>
      <c r="HK310" s="54" t="str">
        <f t="shared" si="530"/>
        <v/>
      </c>
      <c r="HL310" s="54">
        <f>IF($J310="",#N/A,SUM($HK$4:HK310))</f>
        <v>0.45258393143062381</v>
      </c>
      <c r="HM310" s="54" t="str">
        <f t="shared" si="531"/>
        <v/>
      </c>
      <c r="HN310" s="54">
        <f>IF($J310="",#N/A,SUM($HM$4:HM310))</f>
        <v>1.2041389455942384</v>
      </c>
      <c r="HO310" s="54" t="str">
        <f t="shared" si="532"/>
        <v/>
      </c>
      <c r="HP310" s="54">
        <f>IF($J310="",#N/A,SUM($HO$4:HO310))</f>
        <v>-0.69476253225193951</v>
      </c>
      <c r="HQ310" s="54">
        <f t="shared" si="533"/>
        <v>-0.24660032074518368</v>
      </c>
      <c r="HR310" s="54">
        <f>IF($J310="",#N/A,SUM($HQ$4:HQ310))</f>
        <v>-12.908127756638883</v>
      </c>
      <c r="HS310" s="54" t="str">
        <f t="shared" si="534"/>
        <v/>
      </c>
      <c r="HT310" s="54">
        <f>IF($J310="",#N/A,SUM($HS$4:HS310))</f>
        <v>15.486812150209897</v>
      </c>
      <c r="HU310" s="65">
        <f t="shared" si="535"/>
        <v>1.9799424416177867</v>
      </c>
      <c r="HV310" s="65">
        <f>IF($J310="",#N/A,SUM(HU$4:$HU310))</f>
        <v>8.0783635820313453</v>
      </c>
    </row>
    <row r="311" spans="1:230" x14ac:dyDescent="0.25">
      <c r="A311" s="51" t="s">
        <v>1554</v>
      </c>
      <c r="B311" s="52" t="s">
        <v>4597</v>
      </c>
      <c r="C311" s="229">
        <f t="shared" si="436"/>
        <v>3</v>
      </c>
      <c r="D311" s="219" t="str">
        <f>_xlfn.XLOOKUP(A311,[1]SP500!$A$2:$A$502,[1]SP500!$D$2:$D$502,"N")</f>
        <v>Y</v>
      </c>
      <c r="E311" s="51" t="str">
        <f>IFERROR(_xlfn.XLOOKUP(A311,[1]SP500!$A$2:$A$655,[1]SP500!$B$2:$B$655),"")</f>
        <v>XLB</v>
      </c>
      <c r="F311" s="290">
        <v>45784</v>
      </c>
      <c r="G311" s="51" t="str">
        <f t="shared" si="437"/>
        <v>AMC</v>
      </c>
      <c r="H311" s="51" t="str">
        <f t="shared" si="438"/>
        <v>s</v>
      </c>
      <c r="I311" s="344">
        <v>80.69</v>
      </c>
      <c r="J311" s="124">
        <v>84.21</v>
      </c>
      <c r="K311" s="55">
        <f t="shared" si="439"/>
        <v>4.3623745197670045E-2</v>
      </c>
      <c r="L311" s="67">
        <f t="shared" si="440"/>
        <v>52.799999999999955</v>
      </c>
      <c r="M311" s="57">
        <f t="shared" si="441"/>
        <v>-8.5499999999999545</v>
      </c>
      <c r="N311" s="102">
        <f t="shared" si="442"/>
        <v>52.799999999999955</v>
      </c>
      <c r="O311" s="57">
        <f>IF(N311="",#N/A,SUM($N$4:N311))</f>
        <v>642.9757543032805</v>
      </c>
      <c r="P311" s="65">
        <f t="shared" si="536"/>
        <v>0.72706241996116772</v>
      </c>
      <c r="Q311" s="172">
        <f>IF($N311="",#N/A,SUM($P$4:P311))</f>
        <v>13.516524746709344</v>
      </c>
      <c r="R311" s="279">
        <f t="shared" si="443"/>
        <v>0.32823968210633936</v>
      </c>
      <c r="S311" s="51" t="str">
        <f t="shared" si="444"/>
        <v>SW</v>
      </c>
      <c r="T311" s="51" t="s">
        <v>2828</v>
      </c>
      <c r="U311" s="56">
        <f t="shared" si="445"/>
        <v>80.69</v>
      </c>
      <c r="V311" s="56" t="s">
        <v>4460</v>
      </c>
      <c r="W311" s="142">
        <v>15</v>
      </c>
      <c r="X311" s="145">
        <f t="shared" si="446"/>
        <v>1210.3499999999999</v>
      </c>
      <c r="Y311" s="140">
        <f t="shared" si="447"/>
        <v>15</v>
      </c>
      <c r="Z311" s="123">
        <v>83.64</v>
      </c>
      <c r="AA311" s="102">
        <f t="shared" si="448"/>
        <v>44.25</v>
      </c>
      <c r="AB311" s="102">
        <f t="shared" si="449"/>
        <v>9.4500000000000455</v>
      </c>
      <c r="AC311" s="124">
        <v>81.319999999999993</v>
      </c>
      <c r="AD311" s="155">
        <f t="shared" si="450"/>
        <v>9.4500000000000455</v>
      </c>
      <c r="AE311" s="545">
        <f t="shared" si="451"/>
        <v>0.13012764902714155</v>
      </c>
      <c r="AF311" s="57">
        <f>IF($AC311="",#N/A,SUM(AD$4:AD311))</f>
        <v>449.8098042277677</v>
      </c>
      <c r="AG311" s="102">
        <f t="shared" si="452"/>
        <v>-43.349999999999909</v>
      </c>
      <c r="AH311" s="56" t="s">
        <v>2507</v>
      </c>
      <c r="AI311" s="65">
        <f t="shared" si="453"/>
        <v>0.60932788036518371</v>
      </c>
      <c r="AJ311" s="108">
        <f>IF(AI311="",#N/A,SUM($AI$4:AI311))</f>
        <v>13.188285064603004</v>
      </c>
      <c r="AK311" s="57">
        <f t="shared" si="454"/>
        <v>44.25</v>
      </c>
      <c r="AL311" s="66">
        <f>IF(AI311="",#N/A,IF(AH311="Skip",SUM($AK$4:AK311),SUM($AK$4:AK311)))</f>
        <v>618.59079149281411</v>
      </c>
      <c r="AM311" s="65">
        <f t="shared" si="537"/>
        <v>0.13012764902714155</v>
      </c>
      <c r="AN311" s="209"/>
      <c r="AO311" s="65">
        <f t="shared" si="455"/>
        <v>0.13012764902714155</v>
      </c>
      <c r="AP311" s="65">
        <f>IF($AC311="",#N/A,SUM(AO$4:AO311))</f>
        <v>11.590319233033487</v>
      </c>
      <c r="AQ311" s="65" t="str">
        <f t="shared" si="456"/>
        <v/>
      </c>
      <c r="AR311" s="65">
        <f>IF($AC311="",#N/A,SUM(AQ$4:AQ311))</f>
        <v>-6.5479016114478972</v>
      </c>
      <c r="AS311" s="65" t="str">
        <f t="shared" si="457"/>
        <v/>
      </c>
      <c r="AT311" s="65">
        <f>IF($AC311="",#N/A,SUM(AS$4:AS311))</f>
        <v>3.1660736094728956</v>
      </c>
      <c r="AU311" s="57">
        <f t="shared" si="538"/>
        <v>9.4500000000000455</v>
      </c>
      <c r="AV311" s="57">
        <f>IF($AC311="",#N/A,SUM(AU$4:AU311))</f>
        <v>685.53249066104672</v>
      </c>
      <c r="AW311" s="57" t="str">
        <f t="shared" si="539"/>
        <v/>
      </c>
      <c r="AX311" s="57">
        <f>IF($AC311="",#N/A,SUM(AW$4:AW311))</f>
        <v>-438.46106797961124</v>
      </c>
      <c r="AY311" s="57" t="str">
        <f t="shared" si="540"/>
        <v/>
      </c>
      <c r="AZ311" s="57">
        <f>IF($AC311="",#N/A,SUM(AY$4:AY311))</f>
        <v>202.73838154633222</v>
      </c>
      <c r="BA311" s="57">
        <f>IF(AD311="",#N/A,SUM($AD$4:AD311))</f>
        <v>449.8098042277677</v>
      </c>
      <c r="BC311" s="51" t="str">
        <f t="shared" si="458"/>
        <v/>
      </c>
      <c r="BD311" s="51" t="str">
        <f t="shared" si="459"/>
        <v/>
      </c>
      <c r="BE311" s="51">
        <f t="shared" si="460"/>
        <v>1</v>
      </c>
      <c r="BF311" s="51" t="str">
        <f t="shared" si="461"/>
        <v>Long</v>
      </c>
      <c r="BG311" s="51" t="str">
        <f t="shared" si="462"/>
        <v/>
      </c>
      <c r="BH311" s="51" t="str">
        <f t="shared" si="463"/>
        <v/>
      </c>
      <c r="BI311" s="51" t="str">
        <f t="shared" si="464"/>
        <v/>
      </c>
      <c r="BK311" s="65">
        <f t="shared" si="544"/>
        <v>-6.05992633837829E-3</v>
      </c>
      <c r="BL311" s="65">
        <f t="shared" si="543"/>
        <v>3.7190168740946987E-2</v>
      </c>
      <c r="BM311" s="65">
        <f>IFERROR(Q311/COUNTA($J$4:J311),#N/A)</f>
        <v>4.3884820606199165E-2</v>
      </c>
      <c r="BO311" s="489">
        <f>IF(J311="",#N/A,IF(S311="SW",(COUNTIFS(K$4:$K311,"&gt;0",S$4:$S311,"SW")/COUNTIF(S$4:$S311,"SW")),#N/A))</f>
        <v>0.51020408163265307</v>
      </c>
      <c r="BP311" s="489" t="e">
        <f>IF($J311="",#N/A,IF($S311="DWN",(COUNTIFS($K$4:$K311,"&lt;0",$S$4:$S311,"DWN")/COUNTIF($S$4:$S311,"DWN")),#N/A))</f>
        <v>#N/A</v>
      </c>
      <c r="BQ311" s="489" t="e">
        <f>IF($J311="",#N/A,IF($S311="UP",(COUNTIFS($K$4:$K311,"&gt;0",$S$4:$S311,"UP")/COUNTIF($S$4:$S311,"UP")),#N/A))</f>
        <v>#N/A</v>
      </c>
      <c r="BR311" s="489">
        <f>IF(J311="",#N/A,COUNTIF($K$4:K311,"&gt;0")/COUNT($J$4:J311))</f>
        <v>0.4642857142857143</v>
      </c>
      <c r="BS311" s="65">
        <f t="shared" si="465"/>
        <v>0.72706241996116772</v>
      </c>
      <c r="BT311" s="65" t="str">
        <f t="shared" si="466"/>
        <v/>
      </c>
      <c r="BU311" s="65" t="str">
        <f t="shared" si="467"/>
        <v/>
      </c>
      <c r="BV311" s="65" t="str">
        <f t="shared" si="468"/>
        <v/>
      </c>
      <c r="BW311" s="128" t="str">
        <f t="shared" si="469"/>
        <v/>
      </c>
      <c r="BX311" s="128">
        <f>IF($J311="",#N/A,SUM($BW$4:BW311))</f>
        <v>-472.01317034792874</v>
      </c>
      <c r="BY311" s="131" t="str">
        <f t="shared" si="470"/>
        <v/>
      </c>
      <c r="BZ311" s="131">
        <f>IF($J311="",#N/A,SUM($BY$4:BY311))</f>
        <v>573.1073403893339</v>
      </c>
      <c r="CA311" s="133">
        <f t="shared" si="471"/>
        <v>52.799999999999955</v>
      </c>
      <c r="CB311" s="133">
        <f>IF($J311="",#N/A,SUM($CA$4:CA311))</f>
        <v>541.88158426187533</v>
      </c>
      <c r="CC311" s="194" t="str">
        <f t="shared" si="472"/>
        <v/>
      </c>
      <c r="CD311" s="194">
        <f>IF($J311="",#N/A,SUM($CC$4:CC311))</f>
        <v>-7.0572780247901932</v>
      </c>
      <c r="CE311" s="195" t="str">
        <f t="shared" si="473"/>
        <v/>
      </c>
      <c r="CF311" s="195">
        <f>IF($J311="",#N/A,SUM($CE$4:CE311))</f>
        <v>10.449285693936057</v>
      </c>
      <c r="CG311" s="196">
        <f t="shared" si="474"/>
        <v>0.72706241996116772</v>
      </c>
      <c r="CH311" s="196">
        <f>IF($J311="",#N/A,SUM($CG$4:CG311))</f>
        <v>10.124517077563485</v>
      </c>
      <c r="CI311" s="200" t="str">
        <f t="shared" si="475"/>
        <v/>
      </c>
      <c r="CJ311" s="203">
        <f>IF($J311="",#N/A,SUM(CI$4:CI311))</f>
        <v>0</v>
      </c>
      <c r="CK311" s="204" t="str">
        <f t="shared" si="476"/>
        <v/>
      </c>
      <c r="CL311" s="204">
        <f>IF($J311="",#N/A,SUM(CK$4:CK311))</f>
        <v>2.4085740385592547</v>
      </c>
      <c r="CM311" s="205" t="str">
        <f t="shared" si="477"/>
        <v/>
      </c>
      <c r="CN311" s="205">
        <f>IF($J311="",#N/A,SUM(CM$4:CM311))</f>
        <v>1.6494621984783118</v>
      </c>
      <c r="CO311" s="205">
        <f>IF($J311="",#N/A,SUM(CM$4:CM311,CK$4:CK311,CI$4:CI311))</f>
        <v>4.0580362370375669</v>
      </c>
      <c r="CP311" s="200" t="str">
        <f t="shared" si="478"/>
        <v/>
      </c>
      <c r="CQ311" s="203">
        <f>IF($J311="",#N/A,SUM(CP$4:CP311))</f>
        <v>-2.5399197875602422</v>
      </c>
      <c r="CR311" s="204" t="str">
        <f t="shared" si="479"/>
        <v/>
      </c>
      <c r="CS311" s="204">
        <f>IF($J311="",#N/A,SUM(CR$4:CR311))</f>
        <v>2.3600225017004668</v>
      </c>
      <c r="CT311" s="205" t="str">
        <f t="shared" si="480"/>
        <v/>
      </c>
      <c r="CU311" s="205">
        <f>IF($J311="",#N/A,SUM(CT$4:CT311))</f>
        <v>-0.67755161299190814</v>
      </c>
      <c r="CV311" s="205">
        <f>IF($J311="",#N/A,SUM(CT$4:CT311,CR$4:CR311,CP$4:CP311))</f>
        <v>-0.85744889885168352</v>
      </c>
      <c r="CW311" s="200" t="str">
        <f t="shared" si="481"/>
        <v/>
      </c>
      <c r="CX311" s="203">
        <f>IF($J311="",#N/A,SUM(CW$4:CW311))</f>
        <v>-1.2839616145397621</v>
      </c>
      <c r="CY311" s="204" t="str">
        <f t="shared" si="482"/>
        <v/>
      </c>
      <c r="CZ311" s="204">
        <f>IF($J311="",#N/A,SUM(CY$4:CY311))</f>
        <v>-0.20119965665334139</v>
      </c>
      <c r="DA311" s="205" t="str">
        <f t="shared" si="483"/>
        <v/>
      </c>
      <c r="DB311" s="205">
        <f>IF($J311="",#N/A,SUM(DA$4:DA311))</f>
        <v>-1.1581788995104692</v>
      </c>
      <c r="DC311" s="205">
        <f>IF($J311="",#N/A,SUM(DA$4:DA311,CY$4:CY311,CW$4:CW311))</f>
        <v>-2.6433401707035724</v>
      </c>
      <c r="DD311" s="200" t="str">
        <f t="shared" si="484"/>
        <v/>
      </c>
      <c r="DE311" s="203">
        <f>IF($J311="",#N/A,SUM(DD$4:DD311))</f>
        <v>0.24769343410817113</v>
      </c>
      <c r="DF311" s="204" t="str">
        <f t="shared" si="485"/>
        <v/>
      </c>
      <c r="DG311" s="204">
        <f>IF($J311="",#N/A,SUM(DF$4:DF311))</f>
        <v>1.3104003890080136</v>
      </c>
      <c r="DH311" s="205" t="str">
        <f t="shared" si="486"/>
        <v/>
      </c>
      <c r="DI311" s="205">
        <f>IF($J311="",#N/A,SUM(DH$4:DH311))</f>
        <v>-2.7812008102163399</v>
      </c>
      <c r="DJ311" s="205">
        <f>IF($J311="",#N/A,SUM(DH$4:DH311,DF$4:DF311,DD$4:DD311))</f>
        <v>-1.2231069871001554</v>
      </c>
      <c r="DK311" s="200" t="str">
        <f t="shared" si="487"/>
        <v/>
      </c>
      <c r="DL311" s="203">
        <f>IF($J311="",#N/A,SUM(DK$4:DK311))</f>
        <v>-1.2097286851272664</v>
      </c>
      <c r="DM311" s="204" t="str">
        <f t="shared" si="488"/>
        <v/>
      </c>
      <c r="DN311" s="204">
        <f>IF($J311="",#N/A,SUM(DM$4:DM311))</f>
        <v>1.1747256665753205</v>
      </c>
      <c r="DO311" s="205" t="str">
        <f t="shared" si="489"/>
        <v/>
      </c>
      <c r="DP311" s="205">
        <f>IF($J311="",#N/A,SUM(DO$4:DO311))</f>
        <v>2.700331529683047</v>
      </c>
      <c r="DQ311" s="205">
        <f>IF($J311="",#N/A,SUM(DO$4:DO311,DM$4:DM311,DK$4:DK311))</f>
        <v>2.6653285111311016</v>
      </c>
      <c r="DR311" s="200" t="str">
        <f t="shared" si="490"/>
        <v/>
      </c>
      <c r="DS311" s="203">
        <f>IF($J311="",#N/A,SUM(DR$4:DR311))</f>
        <v>-0.55950946427675097</v>
      </c>
      <c r="DT311" s="204" t="str">
        <f t="shared" si="491"/>
        <v/>
      </c>
      <c r="DU311" s="204">
        <f>IF($J311="",#N/A,SUM(DT$4:DT311))</f>
        <v>-0.20750635820596686</v>
      </c>
      <c r="DV311" s="205" t="str">
        <f t="shared" si="492"/>
        <v/>
      </c>
      <c r="DW311" s="205">
        <f>IF($J311="",#N/A,SUM(DV$4:DV311))</f>
        <v>-2.3377035686214001</v>
      </c>
      <c r="DX311" s="205">
        <f>IF($J311="",#N/A,SUM(DV$4:DV311,DT$4:DT311,DR$4:DR311))</f>
        <v>-3.1047193911041169</v>
      </c>
      <c r="DY311" s="200" t="str">
        <f t="shared" si="493"/>
        <v/>
      </c>
      <c r="DZ311" s="203">
        <f>IF($J311="",#N/A,SUM(DY$4:DY311))</f>
        <v>-1.6284722482776204</v>
      </c>
      <c r="EA311" s="204" t="str">
        <f t="shared" si="494"/>
        <v/>
      </c>
      <c r="EB311" s="204">
        <f>IF($J311="",#N/A,SUM(EA$4:EA311))</f>
        <v>2.276197208799712</v>
      </c>
      <c r="EC311" s="205" t="str">
        <f t="shared" si="495"/>
        <v/>
      </c>
      <c r="ED311" s="205">
        <f>IF($J311="",#N/A,SUM(EC$4:EC311))</f>
        <v>8.6307007550759458</v>
      </c>
      <c r="EE311" s="205">
        <f>IF($J311="",#N/A,SUM(EC$4:EC311,EA$4:EA311,DY$4:DY311))</f>
        <v>9.2784257155980399</v>
      </c>
      <c r="EF311" s="200" t="str">
        <f t="shared" si="496"/>
        <v/>
      </c>
      <c r="EG311" s="203">
        <f>IF($J311="",#N/A,SUM(EF$4:EF311))</f>
        <v>0.12123845414313134</v>
      </c>
      <c r="EH311" s="204" t="str">
        <f t="shared" si="497"/>
        <v/>
      </c>
      <c r="EI311" s="204">
        <f>IF($J311="",#N/A,SUM(EH$4:EH311))</f>
        <v>-2.7373393576691663</v>
      </c>
      <c r="EJ311" s="205" t="str">
        <f t="shared" si="498"/>
        <v/>
      </c>
      <c r="EK311" s="205">
        <f>IF($J311="",#N/A,SUM(EJ$4:EJ311))</f>
        <v>5.050388173053765</v>
      </c>
      <c r="EL311" s="205">
        <f>IF($J311="",#N/A,SUM(EJ$4:EJ311,EH$4:EH311,EF$4:EF311))</f>
        <v>2.4342872695277298</v>
      </c>
      <c r="EM311" s="200" t="str">
        <f t="shared" si="499"/>
        <v/>
      </c>
      <c r="EN311" s="203">
        <f>IF($J311="",#N/A,SUM(EM$4:EM311))</f>
        <v>0</v>
      </c>
      <c r="EO311" s="204" t="str">
        <f t="shared" si="500"/>
        <v/>
      </c>
      <c r="EP311" s="204">
        <f>IF($J311="",#N/A,SUM(EO$4:EO311))</f>
        <v>2.0574787067554756</v>
      </c>
      <c r="EQ311" s="205">
        <f t="shared" si="501"/>
        <v>0.72706241996116772</v>
      </c>
      <c r="ER311" s="205">
        <f>IF($J311="",#N/A,SUM(EQ$4:EQ311))</f>
        <v>2.6983279209445628</v>
      </c>
      <c r="ES311" s="205">
        <f>IF($J311="",#N/A,SUM(EQ$4:EQ311,EO$4:EO311,EM$4:EM311))</f>
        <v>4.7558066277000384</v>
      </c>
      <c r="ET311" s="200" t="str">
        <f t="shared" si="502"/>
        <v/>
      </c>
      <c r="EU311" s="203">
        <f>IF($J311="",#N/A,SUM(ET$4:ET311))</f>
        <v>0</v>
      </c>
      <c r="EV311" s="204" t="str">
        <f t="shared" si="503"/>
        <v/>
      </c>
      <c r="EW311" s="204">
        <f>IF($J311="",#N/A,SUM(EV$4:EV311))</f>
        <v>2.3210103028360365</v>
      </c>
      <c r="EX311" s="205" t="str">
        <f t="shared" si="504"/>
        <v/>
      </c>
      <c r="EY311" s="205">
        <f>IF($J311="",#N/A,SUM(EX$4:EX311))</f>
        <v>0.27113250180669229</v>
      </c>
      <c r="EZ311" s="205">
        <f>IF($J311="",#N/A,SUM(EX$4:EX311,EV$4:EV311,ET$4:ET311))</f>
        <v>2.5921428046427284</v>
      </c>
      <c r="FA311" s="200" t="str">
        <f t="shared" si="505"/>
        <v/>
      </c>
      <c r="FB311" s="203">
        <f>IF($J311="",#N/A,SUM(FA$4:FA311))</f>
        <v>-0.27145310509113252</v>
      </c>
      <c r="FC311" s="204" t="str">
        <f t="shared" si="506"/>
        <v/>
      </c>
      <c r="FD311" s="204">
        <f>IF($J311="",#N/A,SUM(FC$4:FC311))</f>
        <v>1.204376144197403</v>
      </c>
      <c r="FE311" s="205" t="str">
        <f t="shared" si="507"/>
        <v/>
      </c>
      <c r="FF311" s="205">
        <f>IF($J311="",#N/A,SUM(FE$4:FE311))</f>
        <v>-0.28811149078748233</v>
      </c>
      <c r="FG311" s="205">
        <f>IF($J311="",#N/A,SUM(FE$4:FE311,FC$4:FC311,FA$4:FA311))</f>
        <v>0.64481154831878851</v>
      </c>
      <c r="FH311" s="200" t="str">
        <f t="shared" si="508"/>
        <v/>
      </c>
      <c r="FI311" s="203">
        <f>IF($J311="",#N/A,SUM(FH$4:FH311))</f>
        <v>0</v>
      </c>
      <c r="FJ311" s="204" t="str">
        <f t="shared" si="509"/>
        <v/>
      </c>
      <c r="FK311" s="204">
        <f>IF($J311="",#N/A,SUM(FJ$4:FJ311))</f>
        <v>0</v>
      </c>
      <c r="FL311" s="205" t="str">
        <f t="shared" si="510"/>
        <v/>
      </c>
      <c r="FM311" s="205">
        <f>IF($J311="",#N/A,SUM(FL$4:FL311))</f>
        <v>0</v>
      </c>
      <c r="FN311" s="205">
        <f>IF($J311="",#N/A,SUM(FL$4:FL311,FJ$4:FJ311,FH$4:FH311))</f>
        <v>0</v>
      </c>
      <c r="FO311" s="200" t="str">
        <f t="shared" si="511"/>
        <v/>
      </c>
      <c r="FP311" s="203">
        <f>IF($J311="",#N/A,SUM(FO$4:FO311))</f>
        <v>0</v>
      </c>
      <c r="FQ311" s="204" t="str">
        <f t="shared" si="512"/>
        <v/>
      </c>
      <c r="FR311" s="204">
        <f>IF($J311="",#N/A,SUM(FQ$4:FQ311))</f>
        <v>0</v>
      </c>
      <c r="FS311" s="205" t="str">
        <f t="shared" si="513"/>
        <v/>
      </c>
      <c r="FT311" s="205">
        <f>IF($J311="",#N/A,SUM(FS$4:FS311))</f>
        <v>0</v>
      </c>
      <c r="FU311" s="205">
        <f>IF($J311="",#N/A,SUM(FS$4:FS311,FQ$4:FQ311,FO$4:FO311))</f>
        <v>0</v>
      </c>
      <c r="FV311" s="200" t="str">
        <f t="shared" si="514"/>
        <v/>
      </c>
      <c r="FW311" s="203">
        <f>IF($J311="",#N/A,SUM(FV$4:FV311))</f>
        <v>6.6834991831277585E-2</v>
      </c>
      <c r="FX311" s="204" t="str">
        <f t="shared" si="515"/>
        <v/>
      </c>
      <c r="FY311" s="204">
        <f>IF($J311="",#N/A,SUM(FX$4:FX311))</f>
        <v>-0.16102012791805576</v>
      </c>
      <c r="FZ311" s="205" t="str">
        <f t="shared" si="516"/>
        <v/>
      </c>
      <c r="GA311" s="205">
        <f>IF($J311="",#N/A,SUM(FZ$4:FZ311))</f>
        <v>-0.69624339162892301</v>
      </c>
      <c r="GB311" s="205">
        <f>IF($J311="",#N/A,SUM(FZ$4:FZ311,FX$4:FX311,FV$4:FV311))</f>
        <v>-0.79042852771570116</v>
      </c>
      <c r="GC311" s="200" t="str">
        <f t="shared" si="517"/>
        <v/>
      </c>
      <c r="GD311" s="203">
        <f>IF($J311="",#N/A,SUM(GC$4:GC311))</f>
        <v>0</v>
      </c>
      <c r="GE311" s="204" t="str">
        <f t="shared" si="518"/>
        <v/>
      </c>
      <c r="GF311" s="204">
        <f>IF($J311="",#N/A,SUM(GE$4:GE311))</f>
        <v>0</v>
      </c>
      <c r="GG311" s="205" t="str">
        <f t="shared" si="519"/>
        <v/>
      </c>
      <c r="GH311" s="205">
        <f>IF($J311="",#N/A,SUM(GG$4:GG311))</f>
        <v>-2.9368362277223206</v>
      </c>
      <c r="GI311" s="205">
        <f>IF($J311="",#N/A,SUM(GG$4:GG311,GE$4:GE311,GC$4:GC311))</f>
        <v>-2.9368362277223206</v>
      </c>
      <c r="GJ311" s="200" t="str">
        <f t="shared" si="520"/>
        <v/>
      </c>
      <c r="GK311" s="203">
        <f>IF($J311="",#N/A,SUM(GJ$4:GJ311))</f>
        <v>0</v>
      </c>
      <c r="GL311" s="204" t="str">
        <f t="shared" si="521"/>
        <v/>
      </c>
      <c r="GM311" s="204">
        <f>IF($J311="",#N/A,SUM(GL$4:GL311))</f>
        <v>-1.6833790887309608</v>
      </c>
      <c r="GN311" s="205" t="str">
        <f t="shared" si="522"/>
        <v/>
      </c>
      <c r="GO311" s="205">
        <f>IF($J311="",#N/A,SUM(GN$4:GN311))</f>
        <v>0</v>
      </c>
      <c r="GP311" s="205">
        <f>IF($J311="",#N/A,SUM(GN$4:GN311,GL$4:GL311,GJ$4:GJ311))</f>
        <v>-1.6833790887309608</v>
      </c>
      <c r="GS311" s="54">
        <f t="shared" si="541"/>
        <v>0.72706241996116772</v>
      </c>
      <c r="GT311" s="54">
        <f>IF(GS311="",NA(),SUM($GS$4:GS311))</f>
        <v>8.4463237985169801</v>
      </c>
      <c r="GU311" s="54" t="str">
        <f t="shared" si="523"/>
        <v/>
      </c>
      <c r="GV311" s="54" t="e">
        <f>IF(GU311="",NA(),SUM($GU$4:GU311))</f>
        <v>#N/A</v>
      </c>
      <c r="GW311" s="54">
        <f t="shared" si="524"/>
        <v>0.72706241996116772</v>
      </c>
      <c r="GX311" s="54">
        <f>IF(GW311="",NA(),SUM($GW$4:GW311))</f>
        <v>9.436115204295513</v>
      </c>
      <c r="GY311" s="54" t="str">
        <f t="shared" si="525"/>
        <v/>
      </c>
      <c r="GZ311" s="54" t="e">
        <f>IF(GY311="",NA(),SUM($GY$4:GY311))</f>
        <v>#N/A</v>
      </c>
      <c r="HA311" s="54" t="str">
        <f t="shared" si="526"/>
        <v/>
      </c>
      <c r="HB311" s="54" t="e">
        <f>IF(HA311="",NA(),SUM($HA$4:HA311))</f>
        <v>#N/A</v>
      </c>
      <c r="HC311" s="54" t="str">
        <f t="shared" si="527"/>
        <v/>
      </c>
      <c r="HD311" s="54" t="e">
        <f>IF(HC311="",NA(),SUM($HC$4:HC311))</f>
        <v>#N/A</v>
      </c>
      <c r="HE311" s="54" t="str">
        <f t="shared" si="528"/>
        <v/>
      </c>
      <c r="HF311" s="54" t="e">
        <f>IF(HE311="",NA(),SUM($HE$4:HE311))</f>
        <v>#N/A</v>
      </c>
      <c r="HG311" s="54" t="str">
        <f t="shared" si="529"/>
        <v/>
      </c>
      <c r="HH311" s="54" t="e">
        <f>IF(HG311="",NA(),SUM($HG$4:HG311))</f>
        <v>#N/A</v>
      </c>
      <c r="HI311" s="172" t="str">
        <f t="shared" si="542"/>
        <v/>
      </c>
      <c r="HJ311" s="172">
        <f>IF($J311="",#N/A,SUM(HI$4:$HI311))</f>
        <v>-7.7357960158937757</v>
      </c>
      <c r="HK311" s="54" t="str">
        <f t="shared" si="530"/>
        <v/>
      </c>
      <c r="HL311" s="54">
        <f>IF($J311="",#N/A,SUM($HK$4:HK311))</f>
        <v>0.45258393143062381</v>
      </c>
      <c r="HM311" s="54" t="str">
        <f t="shared" si="531"/>
        <v/>
      </c>
      <c r="HN311" s="54">
        <f>IF($J311="",#N/A,SUM($HM$4:HM311))</f>
        <v>1.2041389455942384</v>
      </c>
      <c r="HO311" s="54" t="str">
        <f t="shared" si="532"/>
        <v/>
      </c>
      <c r="HP311" s="54">
        <f>IF($J311="",#N/A,SUM($HO$4:HO311))</f>
        <v>-0.69476253225193951</v>
      </c>
      <c r="HQ311" s="54">
        <f t="shared" si="533"/>
        <v>-0.59693477093402614</v>
      </c>
      <c r="HR311" s="54">
        <f>IF($J311="",#N/A,SUM($HQ$4:HQ311))</f>
        <v>-13.50506252757291</v>
      </c>
      <c r="HS311" s="54" t="str">
        <f t="shared" si="534"/>
        <v/>
      </c>
      <c r="HT311" s="54">
        <f>IF($J311="",#N/A,SUM($HS$4:HS311))</f>
        <v>15.486812150209897</v>
      </c>
      <c r="HU311" s="65">
        <f t="shared" si="535"/>
        <v>0.13012764902714155</v>
      </c>
      <c r="HV311" s="65">
        <f>IF($J311="",#N/A,SUM(HU$4:$HU311))</f>
        <v>8.2084912310584865</v>
      </c>
    </row>
    <row r="312" spans="1:230" x14ac:dyDescent="0.25">
      <c r="A312" s="51" t="s">
        <v>106</v>
      </c>
      <c r="B312" s="52" t="s">
        <v>4597</v>
      </c>
      <c r="C312" s="229">
        <f t="shared" si="436"/>
        <v>2</v>
      </c>
      <c r="D312" s="219" t="str">
        <f>_xlfn.XLOOKUP(A312,[1]SP500!$A$2:$A$502,[1]SP500!$D$2:$D$502,"N")</f>
        <v>N</v>
      </c>
      <c r="E312" s="51" t="str">
        <f>IFERROR(_xlfn.XLOOKUP(A312,[1]SP500!$A$2:$A$655,[1]SP500!$B$2:$B$655),"")</f>
        <v>XLB</v>
      </c>
      <c r="F312" s="290">
        <v>45784</v>
      </c>
      <c r="G312" s="51" t="str">
        <f t="shared" si="437"/>
        <v>AMC</v>
      </c>
      <c r="H312" s="51" t="str">
        <f t="shared" si="438"/>
        <v>sk</v>
      </c>
      <c r="I312" s="344">
        <v>15.82</v>
      </c>
      <c r="J312" s="124">
        <v>15.42</v>
      </c>
      <c r="K312" s="55">
        <f t="shared" si="439"/>
        <v>-2.5284450063211148E-2</v>
      </c>
      <c r="L312" s="67">
        <f t="shared" si="440"/>
        <v>28.824273072060805</v>
      </c>
      <c r="M312" s="57" t="e">
        <f t="shared" si="441"/>
        <v>#N/A</v>
      </c>
      <c r="N312" s="102">
        <f t="shared" si="442"/>
        <v>28.824273072060805</v>
      </c>
      <c r="O312" s="57">
        <f>IF(N312="",#N/A,SUM($N$4:N312))</f>
        <v>671.8000273753413</v>
      </c>
      <c r="P312" s="65">
        <f t="shared" si="536"/>
        <v>0.42140750105352059</v>
      </c>
      <c r="Q312" s="172">
        <f>IF($N312="",#N/A,SUM($P$4:P312))</f>
        <v>13.937932247762864</v>
      </c>
      <c r="R312" s="279">
        <f t="shared" si="443"/>
        <v>0.74964718315986012</v>
      </c>
      <c r="S312" s="51" t="str">
        <f t="shared" si="444"/>
        <v>Dwn</v>
      </c>
      <c r="T312" s="51" t="s">
        <v>4462</v>
      </c>
      <c r="U312" s="56">
        <f t="shared" si="445"/>
        <v>15.82</v>
      </c>
      <c r="V312" s="56" t="s">
        <v>4458</v>
      </c>
      <c r="W312" s="73">
        <f>IF(I312="","",1140/I312)</f>
        <v>72.0606826801517</v>
      </c>
      <c r="X312" s="145">
        <f t="shared" si="446"/>
        <v>1140</v>
      </c>
      <c r="Y312" s="73">
        <f t="shared" si="447"/>
        <v>72.0606826801517</v>
      </c>
      <c r="Z312" s="538">
        <f>J312</f>
        <v>15.42</v>
      </c>
      <c r="AA312" s="102">
        <f t="shared" si="448"/>
        <v>28.824273072060805</v>
      </c>
      <c r="AB312" s="102">
        <f t="shared" si="449"/>
        <v>22.338811630847204</v>
      </c>
      <c r="AC312" s="124">
        <v>15.51</v>
      </c>
      <c r="AD312" s="155">
        <f t="shared" si="450"/>
        <v>22.338811630847204</v>
      </c>
      <c r="AE312" s="545">
        <f t="shared" si="451"/>
        <v>0.3265908133164796</v>
      </c>
      <c r="AF312" s="57">
        <f>IF($AC312="",#N/A,SUM(AD$4:AD312))</f>
        <v>472.1486158586149</v>
      </c>
      <c r="AG312" s="102">
        <f t="shared" si="452"/>
        <v>-6.4854614412136016</v>
      </c>
      <c r="AH312" s="56" t="s">
        <v>4464</v>
      </c>
      <c r="AI312" s="65">
        <f t="shared" si="453"/>
        <v>0</v>
      </c>
      <c r="AJ312" s="108">
        <f>IF(AI312="",#N/A,SUM($AI$4:AI312))</f>
        <v>13.188285064603004</v>
      </c>
      <c r="AK312" s="57" t="str">
        <f t="shared" si="454"/>
        <v/>
      </c>
      <c r="AL312" s="66">
        <f>IF(AI312="",#N/A,IF(AH312="Skip",SUM($AK$4:AK312),SUM($AK$4:AK312)))</f>
        <v>618.59079149281411</v>
      </c>
      <c r="AM312" s="65">
        <f t="shared" si="537"/>
        <v>0.3265908133164796</v>
      </c>
      <c r="AN312" s="209"/>
      <c r="AO312" s="65" t="str">
        <f t="shared" si="455"/>
        <v/>
      </c>
      <c r="AP312" s="65">
        <f>IF($AC312="",#N/A,SUM(AO$4:AO312))</f>
        <v>11.590319233033487</v>
      </c>
      <c r="AQ312" s="65" t="str">
        <f t="shared" si="456"/>
        <v/>
      </c>
      <c r="AR312" s="65">
        <f>IF($AC312="",#N/A,SUM(AQ$4:AQ312))</f>
        <v>-6.5479016114478972</v>
      </c>
      <c r="AS312" s="65">
        <f t="shared" si="457"/>
        <v>0.3265908133164796</v>
      </c>
      <c r="AT312" s="65">
        <f>IF($AC312="",#N/A,SUM(AS$4:AS312))</f>
        <v>3.4926644227893751</v>
      </c>
      <c r="AU312" s="57" t="str">
        <f t="shared" si="538"/>
        <v/>
      </c>
      <c r="AV312" s="57">
        <f>IF($AC312="",#N/A,SUM(AU$4:AU312))</f>
        <v>685.53249066104672</v>
      </c>
      <c r="AW312" s="57" t="str">
        <f t="shared" si="539"/>
        <v/>
      </c>
      <c r="AX312" s="57">
        <f>IF($AC312="",#N/A,SUM(AW$4:AW312))</f>
        <v>-438.46106797961124</v>
      </c>
      <c r="AY312" s="57">
        <f t="shared" si="540"/>
        <v>22.338811630847204</v>
      </c>
      <c r="AZ312" s="57">
        <f>IF($AC312="",#N/A,SUM(AY$4:AY312))</f>
        <v>225.07719317717942</v>
      </c>
      <c r="BA312" s="57">
        <f>IF(AD312="",#N/A,SUM($AD$4:AD312))</f>
        <v>472.1486158586149</v>
      </c>
      <c r="BC312" s="51" t="str">
        <f t="shared" si="458"/>
        <v/>
      </c>
      <c r="BD312" s="51" t="str">
        <f t="shared" si="459"/>
        <v/>
      </c>
      <c r="BE312" s="51" t="str">
        <f t="shared" si="460"/>
        <v/>
      </c>
      <c r="BF312" s="51" t="str">
        <f t="shared" si="461"/>
        <v>Short</v>
      </c>
      <c r="BG312" s="51">
        <f t="shared" si="462"/>
        <v>1</v>
      </c>
      <c r="BH312" s="51" t="str">
        <f t="shared" si="463"/>
        <v/>
      </c>
      <c r="BI312" s="51" t="str">
        <f t="shared" si="464"/>
        <v/>
      </c>
      <c r="BK312" s="65">
        <f t="shared" si="544"/>
        <v>2.3550563046849646E-2</v>
      </c>
      <c r="BL312" s="65">
        <f t="shared" si="543"/>
        <v>5.5797973982868856E-2</v>
      </c>
      <c r="BM312" s="65">
        <f>IFERROR(Q312/COUNTA($J$4:J312),#N/A)</f>
        <v>4.5106576853601504E-2</v>
      </c>
      <c r="BO312" s="489" t="e">
        <f>IF(J312="",#N/A,IF(S312="SW",(COUNTIFS(K$4:$K312,"&gt;0",S$4:$S312,"SW")/COUNTIF(S$4:$S312,"SW")),#N/A))</f>
        <v>#N/A</v>
      </c>
      <c r="BP312" s="489">
        <f>IF($J312="",#N/A,IF($S312="DWN",(COUNTIFS($K$4:$K312,"&lt;0",$S$4:$S312,"DWN")/COUNTIF($S$4:$S312,"DWN")),#N/A))</f>
        <v>0.56737588652482274</v>
      </c>
      <c r="BQ312" s="489" t="e">
        <f>IF($J312="",#N/A,IF($S312="UP",(COUNTIFS($K$4:$K312,"&gt;0",$S$4:$S312,"UP")/COUNTIF($S$4:$S312,"UP")),#N/A))</f>
        <v>#N/A</v>
      </c>
      <c r="BR312" s="489">
        <f>IF(J312="",#N/A,COUNTIF($K$4:K312,"&gt;0")/COUNT($J$4:J312))</f>
        <v>0.4627831715210356</v>
      </c>
      <c r="BS312" s="65" t="str">
        <f t="shared" si="465"/>
        <v/>
      </c>
      <c r="BT312" s="65" t="str">
        <f t="shared" si="466"/>
        <v/>
      </c>
      <c r="BU312" s="65" t="str">
        <f t="shared" si="467"/>
        <v/>
      </c>
      <c r="BV312" s="65" t="str">
        <f t="shared" si="468"/>
        <v/>
      </c>
      <c r="BW312" s="128" t="str">
        <f t="shared" si="469"/>
        <v/>
      </c>
      <c r="BX312" s="128">
        <f>IF($J312="",#N/A,SUM($BW$4:BW312))</f>
        <v>-472.01317034792874</v>
      </c>
      <c r="BY312" s="131">
        <f t="shared" si="470"/>
        <v>28.824273072060805</v>
      </c>
      <c r="BZ312" s="131">
        <f>IF($J312="",#N/A,SUM($BY$4:BY312))</f>
        <v>601.9316134613947</v>
      </c>
      <c r="CA312" s="133" t="str">
        <f t="shared" si="471"/>
        <v/>
      </c>
      <c r="CB312" s="133">
        <f>IF($J312="",#N/A,SUM($CA$4:CA312))</f>
        <v>541.88158426187533</v>
      </c>
      <c r="CC312" s="194" t="str">
        <f t="shared" si="472"/>
        <v/>
      </c>
      <c r="CD312" s="194">
        <f>IF($J312="",#N/A,SUM($CC$4:CC312))</f>
        <v>-7.0572780247901932</v>
      </c>
      <c r="CE312" s="195">
        <f t="shared" si="473"/>
        <v>0.42140750105352059</v>
      </c>
      <c r="CF312" s="195">
        <f>IF($J312="",#N/A,SUM($CE$4:CE312))</f>
        <v>10.870693194989578</v>
      </c>
      <c r="CG312" s="196" t="str">
        <f t="shared" si="474"/>
        <v/>
      </c>
      <c r="CH312" s="196">
        <f>IF($J312="",#N/A,SUM($CG$4:CG312))</f>
        <v>10.124517077563485</v>
      </c>
      <c r="CI312" s="200" t="str">
        <f t="shared" si="475"/>
        <v/>
      </c>
      <c r="CJ312" s="203">
        <f>IF($J312="",#N/A,SUM(CI$4:CI312))</f>
        <v>0</v>
      </c>
      <c r="CK312" s="204" t="str">
        <f t="shared" si="476"/>
        <v/>
      </c>
      <c r="CL312" s="204">
        <f>IF($J312="",#N/A,SUM(CK$4:CK312))</f>
        <v>2.4085740385592547</v>
      </c>
      <c r="CM312" s="205" t="str">
        <f t="shared" si="477"/>
        <v/>
      </c>
      <c r="CN312" s="205">
        <f>IF($J312="",#N/A,SUM(CM$4:CM312))</f>
        <v>1.6494621984783118</v>
      </c>
      <c r="CO312" s="205">
        <f>IF($J312="",#N/A,SUM(CM$4:CM312,CK$4:CK312,CI$4:CI312))</f>
        <v>4.0580362370375669</v>
      </c>
      <c r="CP312" s="200" t="str">
        <f t="shared" si="478"/>
        <v/>
      </c>
      <c r="CQ312" s="203">
        <f>IF($J312="",#N/A,SUM(CP$4:CP312))</f>
        <v>-2.5399197875602422</v>
      </c>
      <c r="CR312" s="204" t="str">
        <f t="shared" si="479"/>
        <v/>
      </c>
      <c r="CS312" s="204">
        <f>IF($J312="",#N/A,SUM(CR$4:CR312))</f>
        <v>2.3600225017004668</v>
      </c>
      <c r="CT312" s="205" t="str">
        <f t="shared" si="480"/>
        <v/>
      </c>
      <c r="CU312" s="205">
        <f>IF($J312="",#N/A,SUM(CT$4:CT312))</f>
        <v>-0.67755161299190814</v>
      </c>
      <c r="CV312" s="205">
        <f>IF($J312="",#N/A,SUM(CT$4:CT312,CR$4:CR312,CP$4:CP312))</f>
        <v>-0.85744889885168352</v>
      </c>
      <c r="CW312" s="200" t="str">
        <f t="shared" si="481"/>
        <v/>
      </c>
      <c r="CX312" s="203">
        <f>IF($J312="",#N/A,SUM(CW$4:CW312))</f>
        <v>-1.2839616145397621</v>
      </c>
      <c r="CY312" s="204" t="str">
        <f t="shared" si="482"/>
        <v/>
      </c>
      <c r="CZ312" s="204">
        <f>IF($J312="",#N/A,SUM(CY$4:CY312))</f>
        <v>-0.20119965665334139</v>
      </c>
      <c r="DA312" s="205" t="str">
        <f t="shared" si="483"/>
        <v/>
      </c>
      <c r="DB312" s="205">
        <f>IF($J312="",#N/A,SUM(DA$4:DA312))</f>
        <v>-1.1581788995104692</v>
      </c>
      <c r="DC312" s="205">
        <f>IF($J312="",#N/A,SUM(DA$4:DA312,CY$4:CY312,CW$4:CW312))</f>
        <v>-2.6433401707035724</v>
      </c>
      <c r="DD312" s="200" t="str">
        <f t="shared" si="484"/>
        <v/>
      </c>
      <c r="DE312" s="203">
        <f>IF($J312="",#N/A,SUM(DD$4:DD312))</f>
        <v>0.24769343410817113</v>
      </c>
      <c r="DF312" s="204" t="str">
        <f t="shared" si="485"/>
        <v/>
      </c>
      <c r="DG312" s="204">
        <f>IF($J312="",#N/A,SUM(DF$4:DF312))</f>
        <v>1.3104003890080136</v>
      </c>
      <c r="DH312" s="205" t="str">
        <f t="shared" si="486"/>
        <v/>
      </c>
      <c r="DI312" s="205">
        <f>IF($J312="",#N/A,SUM(DH$4:DH312))</f>
        <v>-2.7812008102163399</v>
      </c>
      <c r="DJ312" s="205">
        <f>IF($J312="",#N/A,SUM(DH$4:DH312,DF$4:DF312,DD$4:DD312))</f>
        <v>-1.2231069871001554</v>
      </c>
      <c r="DK312" s="200" t="str">
        <f t="shared" si="487"/>
        <v/>
      </c>
      <c r="DL312" s="203">
        <f>IF($J312="",#N/A,SUM(DK$4:DK312))</f>
        <v>-1.2097286851272664</v>
      </c>
      <c r="DM312" s="204" t="str">
        <f t="shared" si="488"/>
        <v/>
      </c>
      <c r="DN312" s="204">
        <f>IF($J312="",#N/A,SUM(DM$4:DM312))</f>
        <v>1.1747256665753205</v>
      </c>
      <c r="DO312" s="205" t="str">
        <f t="shared" si="489"/>
        <v/>
      </c>
      <c r="DP312" s="205">
        <f>IF($J312="",#N/A,SUM(DO$4:DO312))</f>
        <v>2.700331529683047</v>
      </c>
      <c r="DQ312" s="205">
        <f>IF($J312="",#N/A,SUM(DO$4:DO312,DM$4:DM312,DK$4:DK312))</f>
        <v>2.6653285111311016</v>
      </c>
      <c r="DR312" s="200" t="str">
        <f t="shared" si="490"/>
        <v/>
      </c>
      <c r="DS312" s="203">
        <f>IF($J312="",#N/A,SUM(DR$4:DR312))</f>
        <v>-0.55950946427675097</v>
      </c>
      <c r="DT312" s="204" t="str">
        <f t="shared" si="491"/>
        <v/>
      </c>
      <c r="DU312" s="204">
        <f>IF($J312="",#N/A,SUM(DT$4:DT312))</f>
        <v>-0.20750635820596686</v>
      </c>
      <c r="DV312" s="205" t="str">
        <f t="shared" si="492"/>
        <v/>
      </c>
      <c r="DW312" s="205">
        <f>IF($J312="",#N/A,SUM(DV$4:DV312))</f>
        <v>-2.3377035686214001</v>
      </c>
      <c r="DX312" s="205">
        <f>IF($J312="",#N/A,SUM(DV$4:DV312,DT$4:DT312,DR$4:DR312))</f>
        <v>-3.1047193911041169</v>
      </c>
      <c r="DY312" s="200" t="str">
        <f t="shared" si="493"/>
        <v/>
      </c>
      <c r="DZ312" s="203">
        <f>IF($J312="",#N/A,SUM(DY$4:DY312))</f>
        <v>-1.6284722482776204</v>
      </c>
      <c r="EA312" s="204" t="str">
        <f t="shared" si="494"/>
        <v/>
      </c>
      <c r="EB312" s="204">
        <f>IF($J312="",#N/A,SUM(EA$4:EA312))</f>
        <v>2.276197208799712</v>
      </c>
      <c r="EC312" s="205" t="str">
        <f t="shared" si="495"/>
        <v/>
      </c>
      <c r="ED312" s="205">
        <f>IF($J312="",#N/A,SUM(EC$4:EC312))</f>
        <v>8.6307007550759458</v>
      </c>
      <c r="EE312" s="205">
        <f>IF($J312="",#N/A,SUM(EC$4:EC312,EA$4:EA312,DY$4:DY312))</f>
        <v>9.2784257155980399</v>
      </c>
      <c r="EF312" s="200" t="str">
        <f t="shared" si="496"/>
        <v/>
      </c>
      <c r="EG312" s="203">
        <f>IF($J312="",#N/A,SUM(EF$4:EF312))</f>
        <v>0.12123845414313134</v>
      </c>
      <c r="EH312" s="204" t="str">
        <f t="shared" si="497"/>
        <v/>
      </c>
      <c r="EI312" s="204">
        <f>IF($J312="",#N/A,SUM(EH$4:EH312))</f>
        <v>-2.7373393576691663</v>
      </c>
      <c r="EJ312" s="205" t="str">
        <f t="shared" si="498"/>
        <v/>
      </c>
      <c r="EK312" s="205">
        <f>IF($J312="",#N/A,SUM(EJ$4:EJ312))</f>
        <v>5.050388173053765</v>
      </c>
      <c r="EL312" s="205">
        <f>IF($J312="",#N/A,SUM(EJ$4:EJ312,EH$4:EH312,EF$4:EF312))</f>
        <v>2.4342872695277298</v>
      </c>
      <c r="EM312" s="200" t="str">
        <f t="shared" si="499"/>
        <v/>
      </c>
      <c r="EN312" s="203">
        <f>IF($J312="",#N/A,SUM(EM$4:EM312))</f>
        <v>0</v>
      </c>
      <c r="EO312" s="204">
        <f t="shared" si="500"/>
        <v>0.42140750105352059</v>
      </c>
      <c r="EP312" s="204">
        <f>IF($J312="",#N/A,SUM(EO$4:EO312))</f>
        <v>2.4788862078089964</v>
      </c>
      <c r="EQ312" s="205" t="str">
        <f t="shared" si="501"/>
        <v/>
      </c>
      <c r="ER312" s="205">
        <f>IF($J312="",#N/A,SUM(EQ$4:EQ312))</f>
        <v>2.6983279209445628</v>
      </c>
      <c r="ES312" s="205">
        <f>IF($J312="",#N/A,SUM(EQ$4:EQ312,EO$4:EO312,EM$4:EM312))</f>
        <v>5.1772141287535591</v>
      </c>
      <c r="ET312" s="200" t="str">
        <f t="shared" si="502"/>
        <v/>
      </c>
      <c r="EU312" s="203">
        <f>IF($J312="",#N/A,SUM(ET$4:ET312))</f>
        <v>0</v>
      </c>
      <c r="EV312" s="204" t="str">
        <f t="shared" si="503"/>
        <v/>
      </c>
      <c r="EW312" s="204">
        <f>IF($J312="",#N/A,SUM(EV$4:EV312))</f>
        <v>2.3210103028360365</v>
      </c>
      <c r="EX312" s="205" t="str">
        <f t="shared" si="504"/>
        <v/>
      </c>
      <c r="EY312" s="205">
        <f>IF($J312="",#N/A,SUM(EX$4:EX312))</f>
        <v>0.27113250180669229</v>
      </c>
      <c r="EZ312" s="205">
        <f>IF($J312="",#N/A,SUM(EX$4:EX312,EV$4:EV312,ET$4:ET312))</f>
        <v>2.5921428046427284</v>
      </c>
      <c r="FA312" s="200" t="str">
        <f t="shared" si="505"/>
        <v/>
      </c>
      <c r="FB312" s="203">
        <f>IF($J312="",#N/A,SUM(FA$4:FA312))</f>
        <v>-0.27145310509113252</v>
      </c>
      <c r="FC312" s="204" t="str">
        <f t="shared" si="506"/>
        <v/>
      </c>
      <c r="FD312" s="204">
        <f>IF($J312="",#N/A,SUM(FC$4:FC312))</f>
        <v>1.204376144197403</v>
      </c>
      <c r="FE312" s="205" t="str">
        <f t="shared" si="507"/>
        <v/>
      </c>
      <c r="FF312" s="205">
        <f>IF($J312="",#N/A,SUM(FE$4:FE312))</f>
        <v>-0.28811149078748233</v>
      </c>
      <c r="FG312" s="205">
        <f>IF($J312="",#N/A,SUM(FE$4:FE312,FC$4:FC312,FA$4:FA312))</f>
        <v>0.64481154831878851</v>
      </c>
      <c r="FH312" s="200" t="str">
        <f t="shared" si="508"/>
        <v/>
      </c>
      <c r="FI312" s="203">
        <f>IF($J312="",#N/A,SUM(FH$4:FH312))</f>
        <v>0</v>
      </c>
      <c r="FJ312" s="204" t="str">
        <f t="shared" si="509"/>
        <v/>
      </c>
      <c r="FK312" s="204">
        <f>IF($J312="",#N/A,SUM(FJ$4:FJ312))</f>
        <v>0</v>
      </c>
      <c r="FL312" s="205" t="str">
        <f t="shared" si="510"/>
        <v/>
      </c>
      <c r="FM312" s="205">
        <f>IF($J312="",#N/A,SUM(FL$4:FL312))</f>
        <v>0</v>
      </c>
      <c r="FN312" s="205">
        <f>IF($J312="",#N/A,SUM(FL$4:FL312,FJ$4:FJ312,FH$4:FH312))</f>
        <v>0</v>
      </c>
      <c r="FO312" s="200" t="str">
        <f t="shared" si="511"/>
        <v/>
      </c>
      <c r="FP312" s="203">
        <f>IF($J312="",#N/A,SUM(FO$4:FO312))</f>
        <v>0</v>
      </c>
      <c r="FQ312" s="204" t="str">
        <f t="shared" si="512"/>
        <v/>
      </c>
      <c r="FR312" s="204">
        <f>IF($J312="",#N/A,SUM(FQ$4:FQ312))</f>
        <v>0</v>
      </c>
      <c r="FS312" s="205" t="str">
        <f t="shared" si="513"/>
        <v/>
      </c>
      <c r="FT312" s="205">
        <f>IF($J312="",#N/A,SUM(FS$4:FS312))</f>
        <v>0</v>
      </c>
      <c r="FU312" s="205">
        <f>IF($J312="",#N/A,SUM(FS$4:FS312,FQ$4:FQ312,FO$4:FO312))</f>
        <v>0</v>
      </c>
      <c r="FV312" s="200" t="str">
        <f t="shared" si="514"/>
        <v/>
      </c>
      <c r="FW312" s="203">
        <f>IF($J312="",#N/A,SUM(FV$4:FV312))</f>
        <v>6.6834991831277585E-2</v>
      </c>
      <c r="FX312" s="204" t="str">
        <f t="shared" si="515"/>
        <v/>
      </c>
      <c r="FY312" s="204">
        <f>IF($J312="",#N/A,SUM(FX$4:FX312))</f>
        <v>-0.16102012791805576</v>
      </c>
      <c r="FZ312" s="205" t="str">
        <f t="shared" si="516"/>
        <v/>
      </c>
      <c r="GA312" s="205">
        <f>IF($J312="",#N/A,SUM(FZ$4:FZ312))</f>
        <v>-0.69624339162892301</v>
      </c>
      <c r="GB312" s="205">
        <f>IF($J312="",#N/A,SUM(FZ$4:FZ312,FX$4:FX312,FV$4:FV312))</f>
        <v>-0.79042852771570116</v>
      </c>
      <c r="GC312" s="200" t="str">
        <f t="shared" si="517"/>
        <v/>
      </c>
      <c r="GD312" s="203">
        <f>IF($J312="",#N/A,SUM(GC$4:GC312))</f>
        <v>0</v>
      </c>
      <c r="GE312" s="204" t="str">
        <f t="shared" si="518"/>
        <v/>
      </c>
      <c r="GF312" s="204">
        <f>IF($J312="",#N/A,SUM(GE$4:GE312))</f>
        <v>0</v>
      </c>
      <c r="GG312" s="205" t="str">
        <f t="shared" si="519"/>
        <v/>
      </c>
      <c r="GH312" s="205">
        <f>IF($J312="",#N/A,SUM(GG$4:GG312))</f>
        <v>-2.9368362277223206</v>
      </c>
      <c r="GI312" s="205">
        <f>IF($J312="",#N/A,SUM(GG$4:GG312,GE$4:GE312,GC$4:GC312))</f>
        <v>-2.9368362277223206</v>
      </c>
      <c r="GJ312" s="200" t="str">
        <f t="shared" si="520"/>
        <v/>
      </c>
      <c r="GK312" s="203">
        <f>IF($J312="",#N/A,SUM(GJ$4:GJ312))</f>
        <v>0</v>
      </c>
      <c r="GL312" s="204" t="str">
        <f t="shared" si="521"/>
        <v/>
      </c>
      <c r="GM312" s="204">
        <f>IF($J312="",#N/A,SUM(GL$4:GL312))</f>
        <v>-1.6833790887309608</v>
      </c>
      <c r="GN312" s="205" t="str">
        <f t="shared" si="522"/>
        <v/>
      </c>
      <c r="GO312" s="205">
        <f>IF($J312="",#N/A,SUM(GN$4:GN312))</f>
        <v>0</v>
      </c>
      <c r="GP312" s="205">
        <f>IF($J312="",#N/A,SUM(GN$4:GN312,GL$4:GL312,GJ$4:GJ312))</f>
        <v>-1.6833790887309608</v>
      </c>
      <c r="GS312" s="54" t="str">
        <f t="shared" si="541"/>
        <v/>
      </c>
      <c r="GT312" s="54" t="e">
        <f>IF(GS312="",NA(),SUM($GS$4:GS312))</f>
        <v>#N/A</v>
      </c>
      <c r="GU312" s="54" t="str">
        <f t="shared" si="523"/>
        <v/>
      </c>
      <c r="GV312" s="54" t="e">
        <f>IF(GU312="",NA(),SUM($GU$4:GU312))</f>
        <v>#N/A</v>
      </c>
      <c r="GW312" s="54" t="str">
        <f t="shared" si="524"/>
        <v/>
      </c>
      <c r="GX312" s="54" t="e">
        <f>IF(GW312="",NA(),SUM($GW$4:GW312))</f>
        <v>#N/A</v>
      </c>
      <c r="GY312" s="54" t="str">
        <f t="shared" si="525"/>
        <v/>
      </c>
      <c r="GZ312" s="54" t="e">
        <f>IF(GY312="",NA(),SUM($GY$4:GY312))</f>
        <v>#N/A</v>
      </c>
      <c r="HA312" s="54">
        <f t="shared" si="526"/>
        <v>0.42140750105352059</v>
      </c>
      <c r="HB312" s="54">
        <f>IF(HA312="",NA(),SUM($HA$4:HA312))</f>
        <v>5.4916084492458843</v>
      </c>
      <c r="HC312" s="54" t="str">
        <f t="shared" si="527"/>
        <v/>
      </c>
      <c r="HD312" s="54" t="e">
        <f>IF(HC312="",NA(),SUM($HC$4:HC312))</f>
        <v>#N/A</v>
      </c>
      <c r="HE312" s="54" t="str">
        <f t="shared" si="528"/>
        <v/>
      </c>
      <c r="HF312" s="54" t="e">
        <f>IF(HE312="",NA(),SUM($HE$4:HE312))</f>
        <v>#N/A</v>
      </c>
      <c r="HG312" s="54">
        <f t="shared" si="529"/>
        <v>0.42140750105352059</v>
      </c>
      <c r="HH312" s="54">
        <f>IF(HG312="",NA(),SUM($HG$4:HG312))</f>
        <v>4.803206575977911</v>
      </c>
      <c r="HI312" s="172">
        <f t="shared" si="542"/>
        <v>-9.4816687737040994E-2</v>
      </c>
      <c r="HJ312" s="172">
        <f>IF($J312="",#N/A,SUM(HI$4:$HI312))</f>
        <v>-7.8306127036308171</v>
      </c>
      <c r="HK312" s="54" t="str">
        <f t="shared" si="530"/>
        <v/>
      </c>
      <c r="HL312" s="54">
        <f>IF($J312="",#N/A,SUM($HK$4:HK312))</f>
        <v>0.45258393143062381</v>
      </c>
      <c r="HM312" s="54" t="str">
        <f t="shared" si="531"/>
        <v/>
      </c>
      <c r="HN312" s="54">
        <f>IF($J312="",#N/A,SUM($HM$4:HM312))</f>
        <v>1.2041389455942384</v>
      </c>
      <c r="HO312" s="54" t="str">
        <f t="shared" si="532"/>
        <v/>
      </c>
      <c r="HP312" s="54">
        <f>IF($J312="",#N/A,SUM($HO$4:HO312))</f>
        <v>-0.69476253225193951</v>
      </c>
      <c r="HQ312" s="54" t="str">
        <f t="shared" si="533"/>
        <v/>
      </c>
      <c r="HR312" s="54">
        <f>IF($J312="",#N/A,SUM($HQ$4:HQ312))</f>
        <v>-13.50506252757291</v>
      </c>
      <c r="HS312" s="54" t="str">
        <f t="shared" si="534"/>
        <v/>
      </c>
      <c r="HT312" s="54">
        <f>IF($J312="",#N/A,SUM($HS$4:HS312))</f>
        <v>15.486812150209897</v>
      </c>
      <c r="HU312" s="65">
        <f t="shared" si="535"/>
        <v>0.3265908133164796</v>
      </c>
      <c r="HV312" s="65">
        <f>IF($J312="",#N/A,SUM(HU$4:$HU312))</f>
        <v>8.5350820443749669</v>
      </c>
    </row>
    <row r="313" spans="1:230" x14ac:dyDescent="0.25">
      <c r="A313" s="396" t="s">
        <v>570</v>
      </c>
      <c r="B313" s="52" t="s">
        <v>4598</v>
      </c>
      <c r="C313" s="229">
        <f t="shared" si="436"/>
        <v>1</v>
      </c>
      <c r="D313" s="219" t="str">
        <f>_xlfn.XLOOKUP(A313,[1]SP500!$A$2:$A$502,[1]SP500!$D$2:$D$502,"N")</f>
        <v>Y</v>
      </c>
      <c r="E313" s="51" t="str">
        <f>IFERROR(_xlfn.XLOOKUP(A313,[1]SP500!$A$2:$A$655,[1]SP500!$B$2:$B$655),"")</f>
        <v>XLP</v>
      </c>
      <c r="F313" s="290">
        <v>45785</v>
      </c>
      <c r="G313" s="51" t="str">
        <f t="shared" si="437"/>
        <v>BMO</v>
      </c>
      <c r="H313" s="51" t="str">
        <f t="shared" si="438"/>
        <v>o</v>
      </c>
      <c r="I313" s="344">
        <v>23.11</v>
      </c>
      <c r="J313" s="124">
        <v>24.5</v>
      </c>
      <c r="K313" s="55">
        <f t="shared" si="439"/>
        <v>6.0147122457810495E-2</v>
      </c>
      <c r="L313" s="67">
        <f t="shared" si="440"/>
        <v>-69.5</v>
      </c>
      <c r="M313" s="57">
        <f t="shared" si="441"/>
        <v>0</v>
      </c>
      <c r="N313" s="102">
        <f t="shared" si="442"/>
        <v>69.5</v>
      </c>
      <c r="O313" s="57">
        <f>IF(N313="",#N/A,SUM($N$4:N313))</f>
        <v>741.3000273753413</v>
      </c>
      <c r="P313" s="65">
        <f t="shared" si="536"/>
        <v>1.0024520409635078</v>
      </c>
      <c r="Q313" s="172">
        <f>IF($N313="",#N/A,SUM($P$4:P313))</f>
        <v>14.940384288726372</v>
      </c>
      <c r="R313" s="279">
        <f t="shared" si="443"/>
        <v>2.7545512650868762</v>
      </c>
      <c r="S313" s="51" t="str">
        <f t="shared" si="444"/>
        <v>Up</v>
      </c>
      <c r="T313" s="51" t="s">
        <v>4462</v>
      </c>
      <c r="U313" s="56">
        <f t="shared" si="445"/>
        <v>23.11</v>
      </c>
      <c r="V313" s="56" t="s">
        <v>4458</v>
      </c>
      <c r="W313" s="142">
        <v>50</v>
      </c>
      <c r="X313" s="145">
        <f t="shared" si="446"/>
        <v>1155.5</v>
      </c>
      <c r="Y313" s="140">
        <f t="shared" si="447"/>
        <v>50</v>
      </c>
      <c r="Z313" s="123">
        <v>24.5</v>
      </c>
      <c r="AA313" s="102">
        <f t="shared" si="448"/>
        <v>-69.5</v>
      </c>
      <c r="AB313" s="102">
        <f t="shared" si="449"/>
        <v>-47.5</v>
      </c>
      <c r="AC313" s="124">
        <v>24.06</v>
      </c>
      <c r="AD313" s="155">
        <f t="shared" si="450"/>
        <v>47.5</v>
      </c>
      <c r="AE313" s="545">
        <f t="shared" si="451"/>
        <v>0.68512909274484357</v>
      </c>
      <c r="AF313" s="57">
        <f>IF($AC313="",#N/A,SUM(AD$4:AD313))</f>
        <v>519.6486158586149</v>
      </c>
      <c r="AG313" s="102">
        <f t="shared" si="452"/>
        <v>-22</v>
      </c>
      <c r="AH313" s="56" t="s">
        <v>2507</v>
      </c>
      <c r="AI313" s="65">
        <f t="shared" si="453"/>
        <v>-1.0024520409635078</v>
      </c>
      <c r="AJ313" s="350">
        <f>IF(AI313="",#N/A,SUM($AI$4:AI313))</f>
        <v>12.185833023639496</v>
      </c>
      <c r="AK313" s="57">
        <f t="shared" si="454"/>
        <v>-69.5</v>
      </c>
      <c r="AL313" s="349">
        <f>IF(AI313="",#N/A,IF(AH313="Skip",SUM($AK$4:AK313),SUM($AK$4:AK313)))</f>
        <v>549.09079149281411</v>
      </c>
      <c r="AM313" s="65">
        <f t="shared" si="537"/>
        <v>0.68512909274484357</v>
      </c>
      <c r="AN313" s="209"/>
      <c r="AO313" s="65" t="str">
        <f t="shared" si="455"/>
        <v/>
      </c>
      <c r="AP313" s="65">
        <f>IF($AC313="",#N/A,SUM(AO$4:AO313))</f>
        <v>11.590319233033487</v>
      </c>
      <c r="AQ313" s="65">
        <f t="shared" si="456"/>
        <v>0.68512909274484357</v>
      </c>
      <c r="AR313" s="65">
        <f>IF($AC313="",#N/A,SUM(AQ$4:AQ313))</f>
        <v>-5.8627725187030535</v>
      </c>
      <c r="AS313" s="65" t="str">
        <f t="shared" si="457"/>
        <v/>
      </c>
      <c r="AT313" s="65">
        <f>IF($AC313="",#N/A,SUM(AS$4:AS313))</f>
        <v>3.4926644227893751</v>
      </c>
      <c r="AU313" s="57" t="str">
        <f t="shared" si="538"/>
        <v/>
      </c>
      <c r="AV313" s="57">
        <f>IF($AC313="",#N/A,SUM(AU$4:AU313))</f>
        <v>685.53249066104672</v>
      </c>
      <c r="AW313" s="57">
        <f t="shared" si="539"/>
        <v>47.5</v>
      </c>
      <c r="AX313" s="57">
        <f>IF($AC313="",#N/A,SUM(AW$4:AW313))</f>
        <v>-390.96106797961124</v>
      </c>
      <c r="AY313" s="57" t="str">
        <f t="shared" si="540"/>
        <v/>
      </c>
      <c r="AZ313" s="57">
        <f>IF($AC313="",#N/A,SUM(AY$4:AY313))</f>
        <v>225.07719317717942</v>
      </c>
      <c r="BA313" s="57">
        <f>IF(AD313="",#N/A,SUM($AD$4:AD313))</f>
        <v>519.6486158586149</v>
      </c>
      <c r="BC313" s="51">
        <f t="shared" si="458"/>
        <v>1</v>
      </c>
      <c r="BD313" s="51" t="str">
        <f t="shared" si="459"/>
        <v/>
      </c>
      <c r="BE313" s="51" t="str">
        <f t="shared" si="460"/>
        <v/>
      </c>
      <c r="BF313" s="51" t="str">
        <f t="shared" si="461"/>
        <v>Long</v>
      </c>
      <c r="BG313" s="51" t="str">
        <f t="shared" si="462"/>
        <v/>
      </c>
      <c r="BH313" s="51" t="str">
        <f t="shared" si="463"/>
        <v/>
      </c>
      <c r="BI313" s="51" t="str">
        <f t="shared" si="464"/>
        <v/>
      </c>
      <c r="BK313" s="65">
        <f t="shared" si="544"/>
        <v>3.6237822674182636E-2</v>
      </c>
      <c r="BL313" s="65">
        <f t="shared" si="543"/>
        <v>0.12881466630051755</v>
      </c>
      <c r="BM313" s="65">
        <f>IFERROR(Q313/COUNTA($J$4:J313),#N/A)</f>
        <v>4.8194788028149589E-2</v>
      </c>
      <c r="BO313" s="489" t="e">
        <f>IF(J313="",#N/A,IF(S313="SW",(COUNTIFS(K$4:$K313,"&gt;0",S$4:$S313,"SW")/COUNTIF(S$4:$S313,"SW")),#N/A))</f>
        <v>#N/A</v>
      </c>
      <c r="BP313" s="489" t="e">
        <f>IF($J313="",#N/A,IF($S313="DWN",(COUNTIFS($K$4:$K313,"&lt;0",$S$4:$S313,"DWN")/COUNTIF($S$4:$S313,"DWN")),#N/A))</f>
        <v>#N/A</v>
      </c>
      <c r="BQ313" s="489">
        <f>IF($J313="",#N/A,IF($S313="UP",(COUNTIFS($K$4:$K313,"&gt;0",$S$4:$S313,"UP")/COUNTIF($S$4:$S313,"UP")),#N/A))</f>
        <v>0.36363636363636365</v>
      </c>
      <c r="BR313" s="489">
        <f>IF(J313="",#N/A,COUNTIF($K$4:K313,"&gt;0")/COUNT($J$4:J313))</f>
        <v>0.46451612903225808</v>
      </c>
      <c r="BS313" s="65" t="str">
        <f t="shared" si="465"/>
        <v/>
      </c>
      <c r="BT313" s="65" t="str">
        <f t="shared" si="466"/>
        <v/>
      </c>
      <c r="BU313" s="65" t="str">
        <f t="shared" si="467"/>
        <v/>
      </c>
      <c r="BV313" s="65">
        <f t="shared" si="468"/>
        <v>1.0024520409635078</v>
      </c>
      <c r="BW313" s="128">
        <f t="shared" si="469"/>
        <v>69.5</v>
      </c>
      <c r="BX313" s="128">
        <f>IF($J313="",#N/A,SUM($BW$4:BW313))</f>
        <v>-402.51317034792874</v>
      </c>
      <c r="BY313" s="131" t="str">
        <f t="shared" si="470"/>
        <v/>
      </c>
      <c r="BZ313" s="131">
        <f>IF($J313="",#N/A,SUM($BY$4:BY313))</f>
        <v>601.9316134613947</v>
      </c>
      <c r="CA313" s="133" t="str">
        <f t="shared" si="471"/>
        <v/>
      </c>
      <c r="CB313" s="133">
        <f>IF($J313="",#N/A,SUM($CA$4:CA313))</f>
        <v>541.88158426187533</v>
      </c>
      <c r="CC313" s="194">
        <f t="shared" si="472"/>
        <v>1.0024520409635078</v>
      </c>
      <c r="CD313" s="194">
        <f>IF($J313="",#N/A,SUM($CC$4:CC313))</f>
        <v>-6.0548259838266851</v>
      </c>
      <c r="CE313" s="195" t="str">
        <f t="shared" si="473"/>
        <v/>
      </c>
      <c r="CF313" s="195">
        <f>IF($J313="",#N/A,SUM($CE$4:CE313))</f>
        <v>10.870693194989578</v>
      </c>
      <c r="CG313" s="196" t="str">
        <f t="shared" si="474"/>
        <v/>
      </c>
      <c r="CH313" s="196">
        <f>IF($J313="",#N/A,SUM($CG$4:CG313))</f>
        <v>10.124517077563485</v>
      </c>
      <c r="CI313" s="200" t="str">
        <f t="shared" si="475"/>
        <v/>
      </c>
      <c r="CJ313" s="203">
        <f>IF($J313="",#N/A,SUM(CI$4:CI313))</f>
        <v>0</v>
      </c>
      <c r="CK313" s="204" t="str">
        <f t="shared" si="476"/>
        <v/>
      </c>
      <c r="CL313" s="204">
        <f>IF($J313="",#N/A,SUM(CK$4:CK313))</f>
        <v>2.4085740385592547</v>
      </c>
      <c r="CM313" s="205" t="str">
        <f t="shared" si="477"/>
        <v/>
      </c>
      <c r="CN313" s="205">
        <f>IF($J313="",#N/A,SUM(CM$4:CM313))</f>
        <v>1.6494621984783118</v>
      </c>
      <c r="CO313" s="205">
        <f>IF($J313="",#N/A,SUM(CM$4:CM313,CK$4:CK313,CI$4:CI313))</f>
        <v>4.0580362370375669</v>
      </c>
      <c r="CP313" s="200" t="str">
        <f t="shared" si="478"/>
        <v/>
      </c>
      <c r="CQ313" s="203">
        <f>IF($J313="",#N/A,SUM(CP$4:CP313))</f>
        <v>-2.5399197875602422</v>
      </c>
      <c r="CR313" s="204" t="str">
        <f t="shared" si="479"/>
        <v/>
      </c>
      <c r="CS313" s="204">
        <f>IF($J313="",#N/A,SUM(CR$4:CR313))</f>
        <v>2.3600225017004668</v>
      </c>
      <c r="CT313" s="205" t="str">
        <f t="shared" si="480"/>
        <v/>
      </c>
      <c r="CU313" s="205">
        <f>IF($J313="",#N/A,SUM(CT$4:CT313))</f>
        <v>-0.67755161299190814</v>
      </c>
      <c r="CV313" s="205">
        <f>IF($J313="",#N/A,SUM(CT$4:CT313,CR$4:CR313,CP$4:CP313))</f>
        <v>-0.85744889885168352</v>
      </c>
      <c r="CW313" s="200" t="str">
        <f t="shared" si="481"/>
        <v/>
      </c>
      <c r="CX313" s="203">
        <f>IF($J313="",#N/A,SUM(CW$4:CW313))</f>
        <v>-1.2839616145397621</v>
      </c>
      <c r="CY313" s="204" t="str">
        <f t="shared" si="482"/>
        <v/>
      </c>
      <c r="CZ313" s="204">
        <f>IF($J313="",#N/A,SUM(CY$4:CY313))</f>
        <v>-0.20119965665334139</v>
      </c>
      <c r="DA313" s="205" t="str">
        <f t="shared" si="483"/>
        <v/>
      </c>
      <c r="DB313" s="205">
        <f>IF($J313="",#N/A,SUM(DA$4:DA313))</f>
        <v>-1.1581788995104692</v>
      </c>
      <c r="DC313" s="205">
        <f>IF($J313="",#N/A,SUM(DA$4:DA313,CY$4:CY313,CW$4:CW313))</f>
        <v>-2.6433401707035724</v>
      </c>
      <c r="DD313" s="200">
        <f t="shared" si="484"/>
        <v>1.0024520409635078</v>
      </c>
      <c r="DE313" s="203">
        <f>IF($J313="",#N/A,SUM(DD$4:DD313))</f>
        <v>1.2501454750716789</v>
      </c>
      <c r="DF313" s="204" t="str">
        <f t="shared" si="485"/>
        <v/>
      </c>
      <c r="DG313" s="204">
        <f>IF($J313="",#N/A,SUM(DF$4:DF313))</f>
        <v>1.3104003890080136</v>
      </c>
      <c r="DH313" s="205" t="str">
        <f t="shared" si="486"/>
        <v/>
      </c>
      <c r="DI313" s="205">
        <f>IF($J313="",#N/A,SUM(DH$4:DH313))</f>
        <v>-2.7812008102163399</v>
      </c>
      <c r="DJ313" s="205">
        <f>IF($J313="",#N/A,SUM(DH$4:DH313,DF$4:DF313,DD$4:DD313))</f>
        <v>-0.2206549461366476</v>
      </c>
      <c r="DK313" s="200" t="str">
        <f t="shared" si="487"/>
        <v/>
      </c>
      <c r="DL313" s="203">
        <f>IF($J313="",#N/A,SUM(DK$4:DK313))</f>
        <v>-1.2097286851272664</v>
      </c>
      <c r="DM313" s="204" t="str">
        <f t="shared" si="488"/>
        <v/>
      </c>
      <c r="DN313" s="204">
        <f>IF($J313="",#N/A,SUM(DM$4:DM313))</f>
        <v>1.1747256665753205</v>
      </c>
      <c r="DO313" s="205" t="str">
        <f t="shared" si="489"/>
        <v/>
      </c>
      <c r="DP313" s="205">
        <f>IF($J313="",#N/A,SUM(DO$4:DO313))</f>
        <v>2.700331529683047</v>
      </c>
      <c r="DQ313" s="205">
        <f>IF($J313="",#N/A,SUM(DO$4:DO313,DM$4:DM313,DK$4:DK313))</f>
        <v>2.6653285111311016</v>
      </c>
      <c r="DR313" s="200" t="str">
        <f t="shared" si="490"/>
        <v/>
      </c>
      <c r="DS313" s="203">
        <f>IF($J313="",#N/A,SUM(DR$4:DR313))</f>
        <v>-0.55950946427675097</v>
      </c>
      <c r="DT313" s="204" t="str">
        <f t="shared" si="491"/>
        <v/>
      </c>
      <c r="DU313" s="204">
        <f>IF($J313="",#N/A,SUM(DT$4:DT313))</f>
        <v>-0.20750635820596686</v>
      </c>
      <c r="DV313" s="205" t="str">
        <f t="shared" si="492"/>
        <v/>
      </c>
      <c r="DW313" s="205">
        <f>IF($J313="",#N/A,SUM(DV$4:DV313))</f>
        <v>-2.3377035686214001</v>
      </c>
      <c r="DX313" s="205">
        <f>IF($J313="",#N/A,SUM(DV$4:DV313,DT$4:DT313,DR$4:DR313))</f>
        <v>-3.1047193911041169</v>
      </c>
      <c r="DY313" s="200" t="str">
        <f t="shared" si="493"/>
        <v/>
      </c>
      <c r="DZ313" s="203">
        <f>IF($J313="",#N/A,SUM(DY$4:DY313))</f>
        <v>-1.6284722482776204</v>
      </c>
      <c r="EA313" s="204" t="str">
        <f t="shared" si="494"/>
        <v/>
      </c>
      <c r="EB313" s="204">
        <f>IF($J313="",#N/A,SUM(EA$4:EA313))</f>
        <v>2.276197208799712</v>
      </c>
      <c r="EC313" s="205" t="str">
        <f t="shared" si="495"/>
        <v/>
      </c>
      <c r="ED313" s="205">
        <f>IF($J313="",#N/A,SUM(EC$4:EC313))</f>
        <v>8.6307007550759458</v>
      </c>
      <c r="EE313" s="205">
        <f>IF($J313="",#N/A,SUM(EC$4:EC313,EA$4:EA313,DY$4:DY313))</f>
        <v>9.2784257155980399</v>
      </c>
      <c r="EF313" s="200" t="str">
        <f t="shared" si="496"/>
        <v/>
      </c>
      <c r="EG313" s="203">
        <f>IF($J313="",#N/A,SUM(EF$4:EF313))</f>
        <v>0.12123845414313134</v>
      </c>
      <c r="EH313" s="204" t="str">
        <f t="shared" si="497"/>
        <v/>
      </c>
      <c r="EI313" s="204">
        <f>IF($J313="",#N/A,SUM(EH$4:EH313))</f>
        <v>-2.7373393576691663</v>
      </c>
      <c r="EJ313" s="205" t="str">
        <f t="shared" si="498"/>
        <v/>
      </c>
      <c r="EK313" s="205">
        <f>IF($J313="",#N/A,SUM(EJ$4:EJ313))</f>
        <v>5.050388173053765</v>
      </c>
      <c r="EL313" s="205">
        <f>IF($J313="",#N/A,SUM(EJ$4:EJ313,EH$4:EH313,EF$4:EF313))</f>
        <v>2.4342872695277298</v>
      </c>
      <c r="EM313" s="200" t="str">
        <f t="shared" si="499"/>
        <v/>
      </c>
      <c r="EN313" s="203">
        <f>IF($J313="",#N/A,SUM(EM$4:EM313))</f>
        <v>0</v>
      </c>
      <c r="EO313" s="204" t="str">
        <f t="shared" si="500"/>
        <v/>
      </c>
      <c r="EP313" s="204">
        <f>IF($J313="",#N/A,SUM(EO$4:EO313))</f>
        <v>2.4788862078089964</v>
      </c>
      <c r="EQ313" s="205" t="str">
        <f t="shared" si="501"/>
        <v/>
      </c>
      <c r="ER313" s="205">
        <f>IF($J313="",#N/A,SUM(EQ$4:EQ313))</f>
        <v>2.6983279209445628</v>
      </c>
      <c r="ES313" s="205">
        <f>IF($J313="",#N/A,SUM(EQ$4:EQ313,EO$4:EO313,EM$4:EM313))</f>
        <v>5.1772141287535591</v>
      </c>
      <c r="ET313" s="200" t="str">
        <f t="shared" si="502"/>
        <v/>
      </c>
      <c r="EU313" s="203">
        <f>IF($J313="",#N/A,SUM(ET$4:ET313))</f>
        <v>0</v>
      </c>
      <c r="EV313" s="204" t="str">
        <f t="shared" si="503"/>
        <v/>
      </c>
      <c r="EW313" s="204">
        <f>IF($J313="",#N/A,SUM(EV$4:EV313))</f>
        <v>2.3210103028360365</v>
      </c>
      <c r="EX313" s="205" t="str">
        <f t="shared" si="504"/>
        <v/>
      </c>
      <c r="EY313" s="205">
        <f>IF($J313="",#N/A,SUM(EX$4:EX313))</f>
        <v>0.27113250180669229</v>
      </c>
      <c r="EZ313" s="205">
        <f>IF($J313="",#N/A,SUM(EX$4:EX313,EV$4:EV313,ET$4:ET313))</f>
        <v>2.5921428046427284</v>
      </c>
      <c r="FA313" s="200" t="str">
        <f t="shared" si="505"/>
        <v/>
      </c>
      <c r="FB313" s="203">
        <f>IF($J313="",#N/A,SUM(FA$4:FA313))</f>
        <v>-0.27145310509113252</v>
      </c>
      <c r="FC313" s="204" t="str">
        <f t="shared" si="506"/>
        <v/>
      </c>
      <c r="FD313" s="204">
        <f>IF($J313="",#N/A,SUM(FC$4:FC313))</f>
        <v>1.204376144197403</v>
      </c>
      <c r="FE313" s="205" t="str">
        <f t="shared" si="507"/>
        <v/>
      </c>
      <c r="FF313" s="205">
        <f>IF($J313="",#N/A,SUM(FE$4:FE313))</f>
        <v>-0.28811149078748233</v>
      </c>
      <c r="FG313" s="205">
        <f>IF($J313="",#N/A,SUM(FE$4:FE313,FC$4:FC313,FA$4:FA313))</f>
        <v>0.64481154831878851</v>
      </c>
      <c r="FH313" s="200" t="str">
        <f t="shared" si="508"/>
        <v/>
      </c>
      <c r="FI313" s="203">
        <f>IF($J313="",#N/A,SUM(FH$4:FH313))</f>
        <v>0</v>
      </c>
      <c r="FJ313" s="204" t="str">
        <f t="shared" si="509"/>
        <v/>
      </c>
      <c r="FK313" s="204">
        <f>IF($J313="",#N/A,SUM(FJ$4:FJ313))</f>
        <v>0</v>
      </c>
      <c r="FL313" s="205" t="str">
        <f t="shared" si="510"/>
        <v/>
      </c>
      <c r="FM313" s="205">
        <f>IF($J313="",#N/A,SUM(FL$4:FL313))</f>
        <v>0</v>
      </c>
      <c r="FN313" s="205">
        <f>IF($J313="",#N/A,SUM(FL$4:FL313,FJ$4:FJ313,FH$4:FH313))</f>
        <v>0</v>
      </c>
      <c r="FO313" s="200" t="str">
        <f t="shared" si="511"/>
        <v/>
      </c>
      <c r="FP313" s="203">
        <f>IF($J313="",#N/A,SUM(FO$4:FO313))</f>
        <v>0</v>
      </c>
      <c r="FQ313" s="204" t="str">
        <f t="shared" si="512"/>
        <v/>
      </c>
      <c r="FR313" s="204">
        <f>IF($J313="",#N/A,SUM(FQ$4:FQ313))</f>
        <v>0</v>
      </c>
      <c r="FS313" s="205" t="str">
        <f t="shared" si="513"/>
        <v/>
      </c>
      <c r="FT313" s="205">
        <f>IF($J313="",#N/A,SUM(FS$4:FS313))</f>
        <v>0</v>
      </c>
      <c r="FU313" s="205">
        <f>IF($J313="",#N/A,SUM(FS$4:FS313,FQ$4:FQ313,FO$4:FO313))</f>
        <v>0</v>
      </c>
      <c r="FV313" s="200" t="str">
        <f t="shared" si="514"/>
        <v/>
      </c>
      <c r="FW313" s="203">
        <f>IF($J313="",#N/A,SUM(FV$4:FV313))</f>
        <v>6.6834991831277585E-2</v>
      </c>
      <c r="FX313" s="204" t="str">
        <f t="shared" si="515"/>
        <v/>
      </c>
      <c r="FY313" s="204">
        <f>IF($J313="",#N/A,SUM(FX$4:FX313))</f>
        <v>-0.16102012791805576</v>
      </c>
      <c r="FZ313" s="205" t="str">
        <f t="shared" si="516"/>
        <v/>
      </c>
      <c r="GA313" s="205">
        <f>IF($J313="",#N/A,SUM(FZ$4:FZ313))</f>
        <v>-0.69624339162892301</v>
      </c>
      <c r="GB313" s="205">
        <f>IF($J313="",#N/A,SUM(FZ$4:FZ313,FX$4:FX313,FV$4:FV313))</f>
        <v>-0.79042852771570116</v>
      </c>
      <c r="GC313" s="200" t="str">
        <f t="shared" si="517"/>
        <v/>
      </c>
      <c r="GD313" s="203">
        <f>IF($J313="",#N/A,SUM(GC$4:GC313))</f>
        <v>0</v>
      </c>
      <c r="GE313" s="204" t="str">
        <f t="shared" si="518"/>
        <v/>
      </c>
      <c r="GF313" s="204">
        <f>IF($J313="",#N/A,SUM(GE$4:GE313))</f>
        <v>0</v>
      </c>
      <c r="GG313" s="205" t="str">
        <f t="shared" si="519"/>
        <v/>
      </c>
      <c r="GH313" s="205">
        <f>IF($J313="",#N/A,SUM(GG$4:GG313))</f>
        <v>-2.9368362277223206</v>
      </c>
      <c r="GI313" s="205">
        <f>IF($J313="",#N/A,SUM(GG$4:GG313,GE$4:GE313,GC$4:GC313))</f>
        <v>-2.9368362277223206</v>
      </c>
      <c r="GJ313" s="200" t="str">
        <f t="shared" si="520"/>
        <v/>
      </c>
      <c r="GK313" s="203">
        <f>IF($J313="",#N/A,SUM(GJ$4:GJ313))</f>
        <v>0</v>
      </c>
      <c r="GL313" s="204" t="str">
        <f t="shared" si="521"/>
        <v/>
      </c>
      <c r="GM313" s="204">
        <f>IF($J313="",#N/A,SUM(GL$4:GL313))</f>
        <v>-1.6833790887309608</v>
      </c>
      <c r="GN313" s="205" t="str">
        <f t="shared" si="522"/>
        <v/>
      </c>
      <c r="GO313" s="205">
        <f>IF($J313="",#N/A,SUM(GN$4:GN313))</f>
        <v>0</v>
      </c>
      <c r="GP313" s="205">
        <f>IF($J313="",#N/A,SUM(GN$4:GN313,GL$4:GL313,GJ$4:GJ313))</f>
        <v>-1.6833790887309608</v>
      </c>
      <c r="GS313" s="54">
        <f t="shared" si="541"/>
        <v>1.0024520409635078</v>
      </c>
      <c r="GT313" s="54">
        <f>IF(GS313="",NA(),SUM($GS$4:GS313))</f>
        <v>9.4487758394804882</v>
      </c>
      <c r="GU313" s="54">
        <f t="shared" si="523"/>
        <v>1.0024520409635078</v>
      </c>
      <c r="GV313" s="54">
        <f>IF(GU313="",NA(),SUM($GU$4:GU313))</f>
        <v>-6.0548259838266851</v>
      </c>
      <c r="GW313" s="54" t="str">
        <f t="shared" si="524"/>
        <v/>
      </c>
      <c r="GX313" s="54" t="e">
        <f>IF(GW313="",NA(),SUM($GW$4:GW313))</f>
        <v>#N/A</v>
      </c>
      <c r="GY313" s="54" t="str">
        <f t="shared" si="525"/>
        <v/>
      </c>
      <c r="GZ313" s="54" t="e">
        <f>IF(GY313="",NA(),SUM($GY$4:GY313))</f>
        <v>#N/A</v>
      </c>
      <c r="HA313" s="54" t="str">
        <f t="shared" si="526"/>
        <v/>
      </c>
      <c r="HB313" s="54" t="e">
        <f>IF(HA313="",NA(),SUM($HA$4:HA313))</f>
        <v>#N/A</v>
      </c>
      <c r="HC313" s="54" t="str">
        <f t="shared" si="527"/>
        <v/>
      </c>
      <c r="HD313" s="54" t="e">
        <f>IF(HC313="",NA(),SUM($HC$4:HC313))</f>
        <v>#N/A</v>
      </c>
      <c r="HE313" s="54" t="str">
        <f t="shared" si="528"/>
        <v/>
      </c>
      <c r="HF313" s="54" t="e">
        <f>IF(HE313="",NA(),SUM($HE$4:HE313))</f>
        <v>#N/A</v>
      </c>
      <c r="HG313" s="54" t="str">
        <f t="shared" si="529"/>
        <v/>
      </c>
      <c r="HH313" s="54" t="e">
        <f>IF(HG313="",NA(),SUM($HG$4:HG313))</f>
        <v>#N/A</v>
      </c>
      <c r="HI313" s="172" t="str">
        <f t="shared" si="542"/>
        <v/>
      </c>
      <c r="HJ313" s="172">
        <f>IF($J313="",#N/A,SUM(HI$4:$HI313))</f>
        <v>-7.8306127036308171</v>
      </c>
      <c r="HK313" s="54" t="str">
        <f t="shared" si="530"/>
        <v/>
      </c>
      <c r="HL313" s="54">
        <f>IF($J313="",#N/A,SUM($HK$4:HK313))</f>
        <v>0.45258393143062381</v>
      </c>
      <c r="HM313" s="54">
        <f t="shared" si="531"/>
        <v>-0.31732294821866425</v>
      </c>
      <c r="HN313" s="54">
        <f>IF($J313="",#N/A,SUM($HM$4:HM313))</f>
        <v>0.88681599737557415</v>
      </c>
      <c r="HO313" s="54" t="str">
        <f t="shared" si="532"/>
        <v/>
      </c>
      <c r="HP313" s="54">
        <f>IF($J313="",#N/A,SUM($HO$4:HO313))</f>
        <v>-0.69476253225193951</v>
      </c>
      <c r="HQ313" s="54" t="str">
        <f t="shared" si="533"/>
        <v/>
      </c>
      <c r="HR313" s="54">
        <f>IF($J313="",#N/A,SUM($HQ$4:HQ313))</f>
        <v>-13.50506252757291</v>
      </c>
      <c r="HS313" s="54" t="str">
        <f t="shared" si="534"/>
        <v/>
      </c>
      <c r="HT313" s="54">
        <f>IF($J313="",#N/A,SUM($HS$4:HS313))</f>
        <v>15.486812150209897</v>
      </c>
      <c r="HU313" s="65">
        <f t="shared" si="535"/>
        <v>0.68512909274484357</v>
      </c>
      <c r="HV313" s="65">
        <f>IF($J313="",#N/A,SUM(HU$4:$HU313))</f>
        <v>9.2202111371198097</v>
      </c>
    </row>
    <row r="314" spans="1:230" x14ac:dyDescent="0.25">
      <c r="A314" s="51" t="s">
        <v>423</v>
      </c>
      <c r="B314" s="52" t="s">
        <v>4598</v>
      </c>
      <c r="C314" s="229">
        <f t="shared" si="436"/>
        <v>2</v>
      </c>
      <c r="D314" s="219" t="str">
        <f>_xlfn.XLOOKUP(A314,[1]SP500!$A$2:$A$502,[1]SP500!$D$2:$D$502,"N")</f>
        <v>Y</v>
      </c>
      <c r="E314" s="51" t="str">
        <f>IFERROR(_xlfn.XLOOKUP(A314,[1]SP500!$A$2:$A$655,[1]SP500!$B$2:$B$655),"")</f>
        <v>XLC</v>
      </c>
      <c r="F314" s="290">
        <v>45785</v>
      </c>
      <c r="G314" s="51" t="str">
        <f t="shared" si="437"/>
        <v>BMO</v>
      </c>
      <c r="H314" s="51" t="str">
        <f t="shared" si="438"/>
        <v>s</v>
      </c>
      <c r="I314" s="344">
        <v>30.38</v>
      </c>
      <c r="J314" s="124">
        <v>30.54</v>
      </c>
      <c r="K314" s="55">
        <f t="shared" si="439"/>
        <v>5.2666227781435204E-3</v>
      </c>
      <c r="L314" s="67">
        <f t="shared" si="440"/>
        <v>-6.3999999999998636</v>
      </c>
      <c r="M314" s="57">
        <f t="shared" si="441"/>
        <v>-8.8000000000001819</v>
      </c>
      <c r="N314" s="102">
        <f t="shared" si="442"/>
        <v>-6.3999999999998636</v>
      </c>
      <c r="O314" s="57">
        <f>IF(N314="",#N/A,SUM($N$4:N314))</f>
        <v>734.90002737534144</v>
      </c>
      <c r="P314" s="65">
        <f t="shared" si="536"/>
        <v>-8.7777046302390041E-2</v>
      </c>
      <c r="Q314" s="172">
        <f>IF($N314="",#N/A,SUM($P$4:P314))</f>
        <v>14.852607242423982</v>
      </c>
      <c r="R314" s="279">
        <f t="shared" si="443"/>
        <v>2.8752447037526672</v>
      </c>
      <c r="S314" s="51" t="str">
        <f t="shared" si="444"/>
        <v>Dwn</v>
      </c>
      <c r="T314" s="51" t="s">
        <v>4461</v>
      </c>
      <c r="U314" s="56">
        <f t="shared" si="445"/>
        <v>30.38</v>
      </c>
      <c r="V314" s="56" t="s">
        <v>4458</v>
      </c>
      <c r="W314" s="142">
        <v>40</v>
      </c>
      <c r="X314" s="145">
        <f t="shared" si="446"/>
        <v>1215.2</v>
      </c>
      <c r="Y314" s="140">
        <f t="shared" si="447"/>
        <v>40</v>
      </c>
      <c r="Z314" s="123">
        <v>30.76</v>
      </c>
      <c r="AA314" s="102">
        <f t="shared" si="448"/>
        <v>-15.200000000000045</v>
      </c>
      <c r="AB314" s="102">
        <f t="shared" si="449"/>
        <v>116.40000000000009</v>
      </c>
      <c r="AC314" s="124">
        <v>27.47</v>
      </c>
      <c r="AD314" s="155">
        <f t="shared" si="450"/>
        <v>116.40000000000009</v>
      </c>
      <c r="AE314" s="545">
        <f t="shared" si="451"/>
        <v>1.5964450296247543</v>
      </c>
      <c r="AF314" s="57">
        <f>IF($AC314="",#N/A,SUM(AD$4:AD314))</f>
        <v>636.04861585861499</v>
      </c>
      <c r="AG314" s="102">
        <f t="shared" si="452"/>
        <v>122.79999999999995</v>
      </c>
      <c r="AH314" s="56" t="s">
        <v>2507</v>
      </c>
      <c r="AI314" s="65">
        <f t="shared" si="453"/>
        <v>-0.20847048496818144</v>
      </c>
      <c r="AJ314" s="65">
        <f>IF(AI314="",#N/A,SUM($AI$4:AI314))</f>
        <v>11.977362538671315</v>
      </c>
      <c r="AK314" s="57">
        <f t="shared" si="454"/>
        <v>-15.200000000000045</v>
      </c>
      <c r="AL314" s="66">
        <f>IF(AI314="",#N/A,IF(AH314="Skip",SUM($AK$4:AK314),SUM($AK$4:AK314)))</f>
        <v>533.89079149281406</v>
      </c>
      <c r="AM314" s="65">
        <f t="shared" si="537"/>
        <v>1.5964450296247543</v>
      </c>
      <c r="AN314" s="209"/>
      <c r="AO314" s="65" t="str">
        <f t="shared" si="455"/>
        <v/>
      </c>
      <c r="AP314" s="65">
        <f>IF($AC314="",#N/A,SUM(AO$4:AO314))</f>
        <v>11.590319233033487</v>
      </c>
      <c r="AQ314" s="65" t="str">
        <f t="shared" si="456"/>
        <v/>
      </c>
      <c r="AR314" s="65">
        <f>IF($AC314="",#N/A,SUM(AQ$4:AQ314))</f>
        <v>-5.8627725187030535</v>
      </c>
      <c r="AS314" s="65">
        <f t="shared" si="457"/>
        <v>1.5964450296247543</v>
      </c>
      <c r="AT314" s="65">
        <f>IF($AC314="",#N/A,SUM(AS$4:AS314))</f>
        <v>5.0891094524141298</v>
      </c>
      <c r="AU314" s="57" t="str">
        <f t="shared" si="538"/>
        <v/>
      </c>
      <c r="AV314" s="57">
        <f>IF($AC314="",#N/A,SUM(AU$4:AU314))</f>
        <v>685.53249066104672</v>
      </c>
      <c r="AW314" s="57" t="str">
        <f t="shared" si="539"/>
        <v/>
      </c>
      <c r="AX314" s="57">
        <f>IF($AC314="",#N/A,SUM(AW$4:AW314))</f>
        <v>-390.96106797961124</v>
      </c>
      <c r="AY314" s="57">
        <f t="shared" si="540"/>
        <v>116.40000000000009</v>
      </c>
      <c r="AZ314" s="57">
        <f>IF($AC314="",#N/A,SUM(AY$4:AY314))</f>
        <v>341.47719317717952</v>
      </c>
      <c r="BA314" s="57">
        <f>IF(AD314="",#N/A,SUM($AD$4:AD314))</f>
        <v>636.04861585861499</v>
      </c>
      <c r="BC314" s="51" t="str">
        <f t="shared" si="458"/>
        <v/>
      </c>
      <c r="BD314" s="51">
        <f t="shared" si="459"/>
        <v>1</v>
      </c>
      <c r="BE314" s="51" t="str">
        <f t="shared" si="460"/>
        <v/>
      </c>
      <c r="BF314" s="51" t="str">
        <f t="shared" si="461"/>
        <v>Short</v>
      </c>
      <c r="BG314" s="51" t="str">
        <f t="shared" si="462"/>
        <v/>
      </c>
      <c r="BH314" s="51" t="str">
        <f t="shared" si="463"/>
        <v/>
      </c>
      <c r="BI314" s="51" t="str">
        <f t="shared" si="464"/>
        <v/>
      </c>
      <c r="BK314" s="65">
        <f t="shared" si="544"/>
        <v>4.0306843151643609E-2</v>
      </c>
      <c r="BL314" s="65">
        <f t="shared" si="543"/>
        <v>0.10391150271151262</v>
      </c>
      <c r="BM314" s="65">
        <f>IFERROR(Q314/COUNTA($J$4:J314),#N/A)</f>
        <v>4.7757579557633385E-2</v>
      </c>
      <c r="BO314" s="489" t="e">
        <f>IF(J314="",#N/A,IF(S314="SW",(COUNTIFS(K$4:$K314,"&gt;0",S$4:$S314,"SW")/COUNTIF(S$4:$S314,"SW")),#N/A))</f>
        <v>#N/A</v>
      </c>
      <c r="BP314" s="489">
        <f>IF($J314="",#N/A,IF($S314="DWN",(COUNTIFS($K$4:$K314,"&lt;0",$S$4:$S314,"DWN")/COUNTIF($S$4:$S314,"DWN")),#N/A))</f>
        <v>0.56338028169014087</v>
      </c>
      <c r="BQ314" s="489" t="e">
        <f>IF($J314="",#N/A,IF($S314="UP",(COUNTIFS($K$4:$K314,"&gt;0",$S$4:$S314,"UP")/COUNTIF($S$4:$S314,"UP")),#N/A))</f>
        <v>#N/A</v>
      </c>
      <c r="BR314" s="489">
        <f>IF(J314="",#N/A,COUNTIF($K$4:K314,"&gt;0")/COUNT($J$4:J314))</f>
        <v>0.4662379421221865</v>
      </c>
      <c r="BS314" s="65" t="str">
        <f t="shared" si="465"/>
        <v/>
      </c>
      <c r="BT314" s="65" t="str">
        <f t="shared" si="466"/>
        <v/>
      </c>
      <c r="BU314" s="65" t="str">
        <f t="shared" si="467"/>
        <v/>
      </c>
      <c r="BV314" s="65">
        <f t="shared" si="468"/>
        <v>-8.7777046302390041E-2</v>
      </c>
      <c r="BW314" s="128" t="str">
        <f t="shared" si="469"/>
        <v/>
      </c>
      <c r="BX314" s="128">
        <f>IF($J314="",#N/A,SUM($BW$4:BW314))</f>
        <v>-402.51317034792874</v>
      </c>
      <c r="BY314" s="131">
        <f t="shared" si="470"/>
        <v>-6.3999999999998636</v>
      </c>
      <c r="BZ314" s="131">
        <f>IF($J314="",#N/A,SUM($BY$4:BY314))</f>
        <v>595.53161346139484</v>
      </c>
      <c r="CA314" s="133" t="str">
        <f t="shared" si="471"/>
        <v/>
      </c>
      <c r="CB314" s="133">
        <f>IF($J314="",#N/A,SUM($CA$4:CA314))</f>
        <v>541.88158426187533</v>
      </c>
      <c r="CC314" s="194" t="str">
        <f t="shared" si="472"/>
        <v/>
      </c>
      <c r="CD314" s="194">
        <f>IF($J314="",#N/A,SUM($CC$4:CC314))</f>
        <v>-6.0548259838266851</v>
      </c>
      <c r="CE314" s="195">
        <f t="shared" si="473"/>
        <v>-8.7777046302390041E-2</v>
      </c>
      <c r="CF314" s="195">
        <f>IF($J314="",#N/A,SUM($CE$4:CE314))</f>
        <v>10.782916148687187</v>
      </c>
      <c r="CG314" s="196" t="str">
        <f t="shared" si="474"/>
        <v/>
      </c>
      <c r="CH314" s="196">
        <f>IF($J314="",#N/A,SUM($CG$4:CG314))</f>
        <v>10.124517077563485</v>
      </c>
      <c r="CI314" s="200" t="str">
        <f t="shared" si="475"/>
        <v/>
      </c>
      <c r="CJ314" s="203">
        <f>IF($J314="",#N/A,SUM(CI$4:CI314))</f>
        <v>0</v>
      </c>
      <c r="CK314" s="204" t="str">
        <f t="shared" si="476"/>
        <v/>
      </c>
      <c r="CL314" s="204">
        <f>IF($J314="",#N/A,SUM(CK$4:CK314))</f>
        <v>2.4085740385592547</v>
      </c>
      <c r="CM314" s="205" t="str">
        <f t="shared" si="477"/>
        <v/>
      </c>
      <c r="CN314" s="205">
        <f>IF($J314="",#N/A,SUM(CM$4:CM314))</f>
        <v>1.6494621984783118</v>
      </c>
      <c r="CO314" s="205">
        <f>IF($J314="",#N/A,SUM(CM$4:CM314,CK$4:CK314,CI$4:CI314))</f>
        <v>4.0580362370375669</v>
      </c>
      <c r="CP314" s="200" t="str">
        <f t="shared" si="478"/>
        <v/>
      </c>
      <c r="CQ314" s="203">
        <f>IF($J314="",#N/A,SUM(CP$4:CP314))</f>
        <v>-2.5399197875602422</v>
      </c>
      <c r="CR314" s="204" t="str">
        <f t="shared" si="479"/>
        <v/>
      </c>
      <c r="CS314" s="204">
        <f>IF($J314="",#N/A,SUM(CR$4:CR314))</f>
        <v>2.3600225017004668</v>
      </c>
      <c r="CT314" s="205" t="str">
        <f t="shared" si="480"/>
        <v/>
      </c>
      <c r="CU314" s="205">
        <f>IF($J314="",#N/A,SUM(CT$4:CT314))</f>
        <v>-0.67755161299190814</v>
      </c>
      <c r="CV314" s="205">
        <f>IF($J314="",#N/A,SUM(CT$4:CT314,CR$4:CR314,CP$4:CP314))</f>
        <v>-0.85744889885168352</v>
      </c>
      <c r="CW314" s="200" t="str">
        <f t="shared" si="481"/>
        <v/>
      </c>
      <c r="CX314" s="203">
        <f>IF($J314="",#N/A,SUM(CW$4:CW314))</f>
        <v>-1.2839616145397621</v>
      </c>
      <c r="CY314" s="204" t="str">
        <f t="shared" si="482"/>
        <v/>
      </c>
      <c r="CZ314" s="204">
        <f>IF($J314="",#N/A,SUM(CY$4:CY314))</f>
        <v>-0.20119965665334139</v>
      </c>
      <c r="DA314" s="205" t="str">
        <f t="shared" si="483"/>
        <v/>
      </c>
      <c r="DB314" s="205">
        <f>IF($J314="",#N/A,SUM(DA$4:DA314))</f>
        <v>-1.1581788995104692</v>
      </c>
      <c r="DC314" s="205">
        <f>IF($J314="",#N/A,SUM(DA$4:DA314,CY$4:CY314,CW$4:CW314))</f>
        <v>-2.6433401707035724</v>
      </c>
      <c r="DD314" s="200" t="str">
        <f t="shared" si="484"/>
        <v/>
      </c>
      <c r="DE314" s="203">
        <f>IF($J314="",#N/A,SUM(DD$4:DD314))</f>
        <v>1.2501454750716789</v>
      </c>
      <c r="DF314" s="204" t="str">
        <f t="shared" si="485"/>
        <v/>
      </c>
      <c r="DG314" s="204">
        <f>IF($J314="",#N/A,SUM(DF$4:DF314))</f>
        <v>1.3104003890080136</v>
      </c>
      <c r="DH314" s="205" t="str">
        <f t="shared" si="486"/>
        <v/>
      </c>
      <c r="DI314" s="205">
        <f>IF($J314="",#N/A,SUM(DH$4:DH314))</f>
        <v>-2.7812008102163399</v>
      </c>
      <c r="DJ314" s="205">
        <f>IF($J314="",#N/A,SUM(DH$4:DH314,DF$4:DF314,DD$4:DD314))</f>
        <v>-0.2206549461366476</v>
      </c>
      <c r="DK314" s="200" t="str">
        <f t="shared" si="487"/>
        <v/>
      </c>
      <c r="DL314" s="203">
        <f>IF($J314="",#N/A,SUM(DK$4:DK314))</f>
        <v>-1.2097286851272664</v>
      </c>
      <c r="DM314" s="204">
        <f t="shared" si="488"/>
        <v>-8.7777046302390041E-2</v>
      </c>
      <c r="DN314" s="204">
        <f>IF($J314="",#N/A,SUM(DM$4:DM314))</f>
        <v>1.0869486202729304</v>
      </c>
      <c r="DO314" s="205" t="str">
        <f t="shared" si="489"/>
        <v/>
      </c>
      <c r="DP314" s="205">
        <f>IF($J314="",#N/A,SUM(DO$4:DO314))</f>
        <v>2.700331529683047</v>
      </c>
      <c r="DQ314" s="205">
        <f>IF($J314="",#N/A,SUM(DO$4:DO314,DM$4:DM314,DK$4:DK314))</f>
        <v>2.5775514648287112</v>
      </c>
      <c r="DR314" s="200" t="str">
        <f t="shared" si="490"/>
        <v/>
      </c>
      <c r="DS314" s="203">
        <f>IF($J314="",#N/A,SUM(DR$4:DR314))</f>
        <v>-0.55950946427675097</v>
      </c>
      <c r="DT314" s="204" t="str">
        <f t="shared" si="491"/>
        <v/>
      </c>
      <c r="DU314" s="204">
        <f>IF($J314="",#N/A,SUM(DT$4:DT314))</f>
        <v>-0.20750635820596686</v>
      </c>
      <c r="DV314" s="205" t="str">
        <f t="shared" si="492"/>
        <v/>
      </c>
      <c r="DW314" s="205">
        <f>IF($J314="",#N/A,SUM(DV$4:DV314))</f>
        <v>-2.3377035686214001</v>
      </c>
      <c r="DX314" s="205">
        <f>IF($J314="",#N/A,SUM(DV$4:DV314,DT$4:DT314,DR$4:DR314))</f>
        <v>-3.1047193911041169</v>
      </c>
      <c r="DY314" s="200" t="str">
        <f t="shared" si="493"/>
        <v/>
      </c>
      <c r="DZ314" s="203">
        <f>IF($J314="",#N/A,SUM(DY$4:DY314))</f>
        <v>-1.6284722482776204</v>
      </c>
      <c r="EA314" s="204" t="str">
        <f t="shared" si="494"/>
        <v/>
      </c>
      <c r="EB314" s="204">
        <f>IF($J314="",#N/A,SUM(EA$4:EA314))</f>
        <v>2.276197208799712</v>
      </c>
      <c r="EC314" s="205" t="str">
        <f t="shared" si="495"/>
        <v/>
      </c>
      <c r="ED314" s="205">
        <f>IF($J314="",#N/A,SUM(EC$4:EC314))</f>
        <v>8.6307007550759458</v>
      </c>
      <c r="EE314" s="205">
        <f>IF($J314="",#N/A,SUM(EC$4:EC314,EA$4:EA314,DY$4:DY314))</f>
        <v>9.2784257155980399</v>
      </c>
      <c r="EF314" s="200" t="str">
        <f t="shared" si="496"/>
        <v/>
      </c>
      <c r="EG314" s="203">
        <f>IF($J314="",#N/A,SUM(EF$4:EF314))</f>
        <v>0.12123845414313134</v>
      </c>
      <c r="EH314" s="204" t="str">
        <f t="shared" si="497"/>
        <v/>
      </c>
      <c r="EI314" s="204">
        <f>IF($J314="",#N/A,SUM(EH$4:EH314))</f>
        <v>-2.7373393576691663</v>
      </c>
      <c r="EJ314" s="205" t="str">
        <f t="shared" si="498"/>
        <v/>
      </c>
      <c r="EK314" s="205">
        <f>IF($J314="",#N/A,SUM(EJ$4:EJ314))</f>
        <v>5.050388173053765</v>
      </c>
      <c r="EL314" s="205">
        <f>IF($J314="",#N/A,SUM(EJ$4:EJ314,EH$4:EH314,EF$4:EF314))</f>
        <v>2.4342872695277298</v>
      </c>
      <c r="EM314" s="200" t="str">
        <f t="shared" si="499"/>
        <v/>
      </c>
      <c r="EN314" s="203">
        <f>IF($J314="",#N/A,SUM(EM$4:EM314))</f>
        <v>0</v>
      </c>
      <c r="EO314" s="204" t="str">
        <f t="shared" si="500"/>
        <v/>
      </c>
      <c r="EP314" s="204">
        <f>IF($J314="",#N/A,SUM(EO$4:EO314))</f>
        <v>2.4788862078089964</v>
      </c>
      <c r="EQ314" s="205" t="str">
        <f t="shared" si="501"/>
        <v/>
      </c>
      <c r="ER314" s="205">
        <f>IF($J314="",#N/A,SUM(EQ$4:EQ314))</f>
        <v>2.6983279209445628</v>
      </c>
      <c r="ES314" s="205">
        <f>IF($J314="",#N/A,SUM(EQ$4:EQ314,EO$4:EO314,EM$4:EM314))</f>
        <v>5.1772141287535591</v>
      </c>
      <c r="ET314" s="200" t="str">
        <f t="shared" si="502"/>
        <v/>
      </c>
      <c r="EU314" s="203">
        <f>IF($J314="",#N/A,SUM(ET$4:ET314))</f>
        <v>0</v>
      </c>
      <c r="EV314" s="204" t="str">
        <f t="shared" si="503"/>
        <v/>
      </c>
      <c r="EW314" s="204">
        <f>IF($J314="",#N/A,SUM(EV$4:EV314))</f>
        <v>2.3210103028360365</v>
      </c>
      <c r="EX314" s="205" t="str">
        <f t="shared" si="504"/>
        <v/>
      </c>
      <c r="EY314" s="205">
        <f>IF($J314="",#N/A,SUM(EX$4:EX314))</f>
        <v>0.27113250180669229</v>
      </c>
      <c r="EZ314" s="205">
        <f>IF($J314="",#N/A,SUM(EX$4:EX314,EV$4:EV314,ET$4:ET314))</f>
        <v>2.5921428046427284</v>
      </c>
      <c r="FA314" s="200" t="str">
        <f t="shared" si="505"/>
        <v/>
      </c>
      <c r="FB314" s="203">
        <f>IF($J314="",#N/A,SUM(FA$4:FA314))</f>
        <v>-0.27145310509113252</v>
      </c>
      <c r="FC314" s="204" t="str">
        <f t="shared" si="506"/>
        <v/>
      </c>
      <c r="FD314" s="204">
        <f>IF($J314="",#N/A,SUM(FC$4:FC314))</f>
        <v>1.204376144197403</v>
      </c>
      <c r="FE314" s="205" t="str">
        <f t="shared" si="507"/>
        <v/>
      </c>
      <c r="FF314" s="205">
        <f>IF($J314="",#N/A,SUM(FE$4:FE314))</f>
        <v>-0.28811149078748233</v>
      </c>
      <c r="FG314" s="205">
        <f>IF($J314="",#N/A,SUM(FE$4:FE314,FC$4:FC314,FA$4:FA314))</f>
        <v>0.64481154831878851</v>
      </c>
      <c r="FH314" s="200" t="str">
        <f t="shared" si="508"/>
        <v/>
      </c>
      <c r="FI314" s="203">
        <f>IF($J314="",#N/A,SUM(FH$4:FH314))</f>
        <v>0</v>
      </c>
      <c r="FJ314" s="204" t="str">
        <f t="shared" si="509"/>
        <v/>
      </c>
      <c r="FK314" s="204">
        <f>IF($J314="",#N/A,SUM(FJ$4:FJ314))</f>
        <v>0</v>
      </c>
      <c r="FL314" s="205" t="str">
        <f t="shared" si="510"/>
        <v/>
      </c>
      <c r="FM314" s="205">
        <f>IF($J314="",#N/A,SUM(FL$4:FL314))</f>
        <v>0</v>
      </c>
      <c r="FN314" s="205">
        <f>IF($J314="",#N/A,SUM(FL$4:FL314,FJ$4:FJ314,FH$4:FH314))</f>
        <v>0</v>
      </c>
      <c r="FO314" s="200" t="str">
        <f t="shared" si="511"/>
        <v/>
      </c>
      <c r="FP314" s="203">
        <f>IF($J314="",#N/A,SUM(FO$4:FO314))</f>
        <v>0</v>
      </c>
      <c r="FQ314" s="204" t="str">
        <f t="shared" si="512"/>
        <v/>
      </c>
      <c r="FR314" s="204">
        <f>IF($J314="",#N/A,SUM(FQ$4:FQ314))</f>
        <v>0</v>
      </c>
      <c r="FS314" s="205" t="str">
        <f t="shared" si="513"/>
        <v/>
      </c>
      <c r="FT314" s="205">
        <f>IF($J314="",#N/A,SUM(FS$4:FS314))</f>
        <v>0</v>
      </c>
      <c r="FU314" s="205">
        <f>IF($J314="",#N/A,SUM(FS$4:FS314,FQ$4:FQ314,FO$4:FO314))</f>
        <v>0</v>
      </c>
      <c r="FV314" s="200" t="str">
        <f t="shared" si="514"/>
        <v/>
      </c>
      <c r="FW314" s="203">
        <f>IF($J314="",#N/A,SUM(FV$4:FV314))</f>
        <v>6.6834991831277585E-2</v>
      </c>
      <c r="FX314" s="204" t="str">
        <f t="shared" si="515"/>
        <v/>
      </c>
      <c r="FY314" s="204">
        <f>IF($J314="",#N/A,SUM(FX$4:FX314))</f>
        <v>-0.16102012791805576</v>
      </c>
      <c r="FZ314" s="205" t="str">
        <f t="shared" si="516"/>
        <v/>
      </c>
      <c r="GA314" s="205">
        <f>IF($J314="",#N/A,SUM(FZ$4:FZ314))</f>
        <v>-0.69624339162892301</v>
      </c>
      <c r="GB314" s="205">
        <f>IF($J314="",#N/A,SUM(FZ$4:FZ314,FX$4:FX314,FV$4:FV314))</f>
        <v>-0.79042852771570116</v>
      </c>
      <c r="GC314" s="200" t="str">
        <f t="shared" si="517"/>
        <v/>
      </c>
      <c r="GD314" s="203">
        <f>IF($J314="",#N/A,SUM(GC$4:GC314))</f>
        <v>0</v>
      </c>
      <c r="GE314" s="204" t="str">
        <f t="shared" si="518"/>
        <v/>
      </c>
      <c r="GF314" s="204">
        <f>IF($J314="",#N/A,SUM(GE$4:GE314))</f>
        <v>0</v>
      </c>
      <c r="GG314" s="205" t="str">
        <f t="shared" si="519"/>
        <v/>
      </c>
      <c r="GH314" s="205">
        <f>IF($J314="",#N/A,SUM(GG$4:GG314))</f>
        <v>-2.9368362277223206</v>
      </c>
      <c r="GI314" s="205">
        <f>IF($J314="",#N/A,SUM(GG$4:GG314,GE$4:GE314,GC$4:GC314))</f>
        <v>-2.9368362277223206</v>
      </c>
      <c r="GJ314" s="200" t="str">
        <f t="shared" si="520"/>
        <v/>
      </c>
      <c r="GK314" s="203">
        <f>IF($J314="",#N/A,SUM(GJ$4:GJ314))</f>
        <v>0</v>
      </c>
      <c r="GL314" s="204" t="str">
        <f t="shared" si="521"/>
        <v/>
      </c>
      <c r="GM314" s="204">
        <f>IF($J314="",#N/A,SUM(GL$4:GL314))</f>
        <v>-1.6833790887309608</v>
      </c>
      <c r="GN314" s="205" t="str">
        <f t="shared" si="522"/>
        <v/>
      </c>
      <c r="GO314" s="205">
        <f>IF($J314="",#N/A,SUM(GN$4:GN314))</f>
        <v>0</v>
      </c>
      <c r="GP314" s="205">
        <f>IF($J314="",#N/A,SUM(GN$4:GN314,GL$4:GL314,GJ$4:GJ314))</f>
        <v>-1.6833790887309608</v>
      </c>
      <c r="GS314" s="54">
        <f t="shared" si="541"/>
        <v>-8.7777046302390041E-2</v>
      </c>
      <c r="GT314" s="54">
        <f>IF(GS314="",NA(),SUM($GS$4:GS314))</f>
        <v>9.3609987931780978</v>
      </c>
      <c r="GU314" s="54" t="str">
        <f t="shared" si="523"/>
        <v/>
      </c>
      <c r="GV314" s="54" t="e">
        <f>IF(GU314="",NA(),SUM($GU$4:GU314))</f>
        <v>#N/A</v>
      </c>
      <c r="GW314" s="54" t="str">
        <f t="shared" si="524"/>
        <v/>
      </c>
      <c r="GX314" s="54" t="e">
        <f>IF(GW314="",NA(),SUM($GW$4:GW314))</f>
        <v>#N/A</v>
      </c>
      <c r="GY314" s="54">
        <f t="shared" si="525"/>
        <v>-8.7777046302390041E-2</v>
      </c>
      <c r="GZ314" s="54">
        <f>IF(GY314="",NA(),SUM($GY$4:GY314))</f>
        <v>5.9797095727092735</v>
      </c>
      <c r="HA314" s="54" t="str">
        <f t="shared" si="526"/>
        <v/>
      </c>
      <c r="HB314" s="54" t="e">
        <f>IF(HA314="",NA(),SUM($HA$4:HA314))</f>
        <v>#N/A</v>
      </c>
      <c r="HC314" s="54" t="str">
        <f t="shared" si="527"/>
        <v/>
      </c>
      <c r="HD314" s="54" t="e">
        <f>IF(HC314="",NA(),SUM($HC$4:HC314))</f>
        <v>#N/A</v>
      </c>
      <c r="HE314" s="54" t="str">
        <f t="shared" si="528"/>
        <v/>
      </c>
      <c r="HF314" s="54" t="e">
        <f>IF(HE314="",NA(),SUM($HE$4:HE314))</f>
        <v>#N/A</v>
      </c>
      <c r="HG314" s="54" t="str">
        <f t="shared" si="529"/>
        <v/>
      </c>
      <c r="HH314" s="54" t="e">
        <f>IF(HG314="",NA(),SUM($HG$4:HG314))</f>
        <v>#N/A</v>
      </c>
      <c r="HI314" s="172" t="str">
        <f t="shared" si="542"/>
        <v/>
      </c>
      <c r="HJ314" s="172">
        <f>IF($J314="",#N/A,SUM(HI$4:$HI314))</f>
        <v>-7.8306127036308171</v>
      </c>
      <c r="HK314" s="54">
        <f t="shared" si="530"/>
        <v>1.6842220759271445</v>
      </c>
      <c r="HL314" s="54">
        <f>IF($J314="",#N/A,SUM($HK$4:HK314))</f>
        <v>2.1368060073577682</v>
      </c>
      <c r="HM314" s="54" t="str">
        <f t="shared" si="531"/>
        <v/>
      </c>
      <c r="HN314" s="54">
        <f>IF($J314="",#N/A,SUM($HM$4:HM314))</f>
        <v>0.88681599737557415</v>
      </c>
      <c r="HO314" s="54" t="str">
        <f t="shared" si="532"/>
        <v/>
      </c>
      <c r="HP314" s="54">
        <f>IF($J314="",#N/A,SUM($HO$4:HO314))</f>
        <v>-0.69476253225193951</v>
      </c>
      <c r="HQ314" s="54" t="str">
        <f t="shared" si="533"/>
        <v/>
      </c>
      <c r="HR314" s="54">
        <f>IF($J314="",#N/A,SUM($HQ$4:HQ314))</f>
        <v>-13.50506252757291</v>
      </c>
      <c r="HS314" s="54" t="str">
        <f t="shared" si="534"/>
        <v/>
      </c>
      <c r="HT314" s="54">
        <f>IF($J314="",#N/A,SUM($HS$4:HS314))</f>
        <v>15.486812150209897</v>
      </c>
      <c r="HU314" s="65">
        <f t="shared" si="535"/>
        <v>1.5964450296247543</v>
      </c>
      <c r="HV314" s="65">
        <f>IF($J314="",#N/A,SUM(HU$4:$HU314))</f>
        <v>10.816656166744565</v>
      </c>
    </row>
    <row r="315" spans="1:230" x14ac:dyDescent="0.25">
      <c r="A315" s="51" t="s">
        <v>560</v>
      </c>
      <c r="B315" s="52" t="s">
        <v>4598</v>
      </c>
      <c r="C315" s="229">
        <f t="shared" si="436"/>
        <v>2</v>
      </c>
      <c r="D315" s="219" t="str">
        <f>_xlfn.XLOOKUP(A315,[1]SP500!$A$2:$A$502,[1]SP500!$D$2:$D$502,"N")</f>
        <v>Y</v>
      </c>
      <c r="E315" s="51" t="str">
        <f>IFERROR(_xlfn.XLOOKUP(A315,[1]SP500!$A$2:$A$655,[1]SP500!$B$2:$B$655),"")</f>
        <v>XLP</v>
      </c>
      <c r="F315" s="290">
        <v>45785</v>
      </c>
      <c r="G315" s="51" t="str">
        <f t="shared" si="437"/>
        <v>BMO</v>
      </c>
      <c r="H315" s="51" t="str">
        <f t="shared" si="438"/>
        <v>s</v>
      </c>
      <c r="I315" s="344">
        <v>56.84</v>
      </c>
      <c r="J315" s="124">
        <v>52.35</v>
      </c>
      <c r="K315" s="55">
        <f t="shared" si="439"/>
        <v>-7.8993666432090104E-2</v>
      </c>
      <c r="L315" s="67">
        <f t="shared" si="440"/>
        <v>94.289999999999964</v>
      </c>
      <c r="M315" s="57">
        <f t="shared" si="441"/>
        <v>3.9900000000002365</v>
      </c>
      <c r="N315" s="102">
        <f t="shared" si="442"/>
        <v>94.289999999999964</v>
      </c>
      <c r="O315" s="57">
        <f>IF(N315="",#N/A,SUM($N$4:N315))</f>
        <v>829.1900273753414</v>
      </c>
      <c r="P315" s="65">
        <f t="shared" si="536"/>
        <v>1.3165611072015007</v>
      </c>
      <c r="Q315" s="172">
        <f>IF($N315="",#N/A,SUM($P$4:P315))</f>
        <v>16.169168349625483</v>
      </c>
      <c r="R315" s="279">
        <f t="shared" si="443"/>
        <v>2.819532763804272</v>
      </c>
      <c r="S315" s="51" t="str">
        <f t="shared" si="444"/>
        <v>Dwn</v>
      </c>
      <c r="T315" s="51" t="s">
        <v>4462</v>
      </c>
      <c r="U315" s="56">
        <f t="shared" si="445"/>
        <v>56.84</v>
      </c>
      <c r="V315" s="56" t="s">
        <v>4458</v>
      </c>
      <c r="W315" s="142">
        <v>21</v>
      </c>
      <c r="X315" s="145">
        <f t="shared" si="446"/>
        <v>1193.6400000000001</v>
      </c>
      <c r="Y315" s="140">
        <f t="shared" si="447"/>
        <v>21</v>
      </c>
      <c r="Z315" s="123">
        <v>52.16</v>
      </c>
      <c r="AA315" s="102">
        <f t="shared" si="448"/>
        <v>98.2800000000002</v>
      </c>
      <c r="AB315" s="102">
        <f t="shared" si="449"/>
        <v>54.180000000000064</v>
      </c>
      <c r="AC315" s="124">
        <v>54.26</v>
      </c>
      <c r="AD315" s="155">
        <f t="shared" si="450"/>
        <v>54.180000000000064</v>
      </c>
      <c r="AE315" s="545">
        <f t="shared" si="451"/>
        <v>0.7565095003518657</v>
      </c>
      <c r="AF315" s="57">
        <f>IF($AC315="",#N/A,SUM(AD$4:AD315))</f>
        <v>690.22861585861506</v>
      </c>
      <c r="AG315" s="102">
        <f t="shared" si="452"/>
        <v>-40.1099999999999</v>
      </c>
      <c r="AH315" s="56" t="s">
        <v>2507</v>
      </c>
      <c r="AI315" s="65">
        <f t="shared" si="453"/>
        <v>1.3722730471498972</v>
      </c>
      <c r="AJ315" s="108">
        <f>IF(AI315="",#N/A,SUM($AI$4:AI315))</f>
        <v>13.349635585821211</v>
      </c>
      <c r="AK315" s="57">
        <f t="shared" si="454"/>
        <v>98.2800000000002</v>
      </c>
      <c r="AL315" s="66">
        <f>IF(AI315="",#N/A,IF(AH315="Skip",SUM($AK$4:AK315),SUM($AK$4:AK315)))</f>
        <v>632.17079149281426</v>
      </c>
      <c r="AM315" s="65">
        <f t="shared" si="537"/>
        <v>0.7565095003518657</v>
      </c>
      <c r="AN315" s="209"/>
      <c r="AO315" s="65" t="str">
        <f t="shared" si="455"/>
        <v/>
      </c>
      <c r="AP315" s="65">
        <f>IF($AC315="",#N/A,SUM(AO$4:AO315))</f>
        <v>11.590319233033487</v>
      </c>
      <c r="AQ315" s="65" t="str">
        <f t="shared" si="456"/>
        <v/>
      </c>
      <c r="AR315" s="65">
        <f>IF($AC315="",#N/A,SUM(AQ$4:AQ315))</f>
        <v>-5.8627725187030535</v>
      </c>
      <c r="AS315" s="65">
        <f t="shared" si="457"/>
        <v>0.7565095003518657</v>
      </c>
      <c r="AT315" s="65">
        <f>IF($AC315="",#N/A,SUM(AS$4:AS315))</f>
        <v>5.8456189527659959</v>
      </c>
      <c r="AU315" s="57" t="str">
        <f t="shared" si="538"/>
        <v/>
      </c>
      <c r="AV315" s="57">
        <f>IF($AC315="",#N/A,SUM(AU$4:AU315))</f>
        <v>685.53249066104672</v>
      </c>
      <c r="AW315" s="57" t="str">
        <f t="shared" si="539"/>
        <v/>
      </c>
      <c r="AX315" s="57">
        <f>IF($AC315="",#N/A,SUM(AW$4:AW315))</f>
        <v>-390.96106797961124</v>
      </c>
      <c r="AY315" s="57">
        <f t="shared" si="540"/>
        <v>54.180000000000064</v>
      </c>
      <c r="AZ315" s="57">
        <f>IF($AC315="",#N/A,SUM(AY$4:AY315))</f>
        <v>395.65719317717958</v>
      </c>
      <c r="BA315" s="57">
        <f>IF(AD315="",#N/A,SUM($AD$4:AD315))</f>
        <v>690.22861585861506</v>
      </c>
      <c r="BC315" s="51" t="str">
        <f t="shared" si="458"/>
        <v/>
      </c>
      <c r="BD315" s="51" t="str">
        <f t="shared" si="459"/>
        <v/>
      </c>
      <c r="BE315" s="51" t="str">
        <f t="shared" si="460"/>
        <v/>
      </c>
      <c r="BF315" s="51" t="str">
        <f t="shared" si="461"/>
        <v>Short</v>
      </c>
      <c r="BG315" s="51">
        <f t="shared" si="462"/>
        <v>1</v>
      </c>
      <c r="BH315" s="51" t="str">
        <f t="shared" si="463"/>
        <v/>
      </c>
      <c r="BI315" s="51" t="str">
        <f t="shared" si="464"/>
        <v/>
      </c>
      <c r="BK315" s="65">
        <f t="shared" si="544"/>
        <v>6.1232068359801453E-2</v>
      </c>
      <c r="BL315" s="65">
        <f t="shared" si="543"/>
        <v>0.15466256205884599</v>
      </c>
      <c r="BM315" s="65">
        <f>IFERROR(Q315/COUNTA($J$4:J315),#N/A)</f>
        <v>5.182425753085091E-2</v>
      </c>
      <c r="BO315" s="489" t="e">
        <f>IF(J315="",#N/A,IF(S315="SW",(COUNTIFS(K$4:$K315,"&gt;0",S$4:$S315,"SW")/COUNTIF(S$4:$S315,"SW")),#N/A))</f>
        <v>#N/A</v>
      </c>
      <c r="BP315" s="489">
        <f>IF($J315="",#N/A,IF($S315="DWN",(COUNTIFS($K$4:$K315,"&lt;0",$S$4:$S315,"DWN")/COUNTIF($S$4:$S315,"DWN")),#N/A))</f>
        <v>0.56643356643356646</v>
      </c>
      <c r="BQ315" s="489" t="e">
        <f>IF($J315="",#N/A,IF($S315="UP",(COUNTIFS($K$4:$K315,"&gt;0",$S$4:$S315,"UP")/COUNTIF($S$4:$S315,"UP")),#N/A))</f>
        <v>#N/A</v>
      </c>
      <c r="BR315" s="489">
        <f>IF(J315="",#N/A,COUNTIF($K$4:K315,"&gt;0")/COUNT($J$4:J315))</f>
        <v>0.46474358974358976</v>
      </c>
      <c r="BS315" s="65" t="str">
        <f t="shared" si="465"/>
        <v/>
      </c>
      <c r="BT315" s="65" t="str">
        <f t="shared" si="466"/>
        <v/>
      </c>
      <c r="BU315" s="65">
        <f t="shared" si="467"/>
        <v>1.3165611072015007</v>
      </c>
      <c r="BV315" s="65" t="str">
        <f t="shared" si="468"/>
        <v/>
      </c>
      <c r="BW315" s="128" t="str">
        <f t="shared" si="469"/>
        <v/>
      </c>
      <c r="BX315" s="128">
        <f>IF($J315="",#N/A,SUM($BW$4:BW315))</f>
        <v>-402.51317034792874</v>
      </c>
      <c r="BY315" s="131">
        <f t="shared" si="470"/>
        <v>94.289999999999964</v>
      </c>
      <c r="BZ315" s="131">
        <f>IF($J315="",#N/A,SUM($BY$4:BY315))</f>
        <v>689.8216134613948</v>
      </c>
      <c r="CA315" s="133" t="str">
        <f t="shared" si="471"/>
        <v/>
      </c>
      <c r="CB315" s="133">
        <f>IF($J315="",#N/A,SUM($CA$4:CA315))</f>
        <v>541.88158426187533</v>
      </c>
      <c r="CC315" s="194" t="str">
        <f t="shared" si="472"/>
        <v/>
      </c>
      <c r="CD315" s="194">
        <f>IF($J315="",#N/A,SUM($CC$4:CC315))</f>
        <v>-6.0548259838266851</v>
      </c>
      <c r="CE315" s="195">
        <f t="shared" si="473"/>
        <v>1.3165611072015007</v>
      </c>
      <c r="CF315" s="195">
        <f>IF($J315="",#N/A,SUM($CE$4:CE315))</f>
        <v>12.099477255888688</v>
      </c>
      <c r="CG315" s="196" t="str">
        <f t="shared" si="474"/>
        <v/>
      </c>
      <c r="CH315" s="196">
        <f>IF($J315="",#N/A,SUM($CG$4:CG315))</f>
        <v>10.124517077563485</v>
      </c>
      <c r="CI315" s="200" t="str">
        <f t="shared" si="475"/>
        <v/>
      </c>
      <c r="CJ315" s="203">
        <f>IF($J315="",#N/A,SUM(CI$4:CI315))</f>
        <v>0</v>
      </c>
      <c r="CK315" s="204" t="str">
        <f t="shared" si="476"/>
        <v/>
      </c>
      <c r="CL315" s="204">
        <f>IF($J315="",#N/A,SUM(CK$4:CK315))</f>
        <v>2.4085740385592547</v>
      </c>
      <c r="CM315" s="205" t="str">
        <f t="shared" si="477"/>
        <v/>
      </c>
      <c r="CN315" s="205">
        <f>IF($J315="",#N/A,SUM(CM$4:CM315))</f>
        <v>1.6494621984783118</v>
      </c>
      <c r="CO315" s="205">
        <f>IF($J315="",#N/A,SUM(CM$4:CM315,CK$4:CK315,CI$4:CI315))</f>
        <v>4.0580362370375669</v>
      </c>
      <c r="CP315" s="200" t="str">
        <f t="shared" si="478"/>
        <v/>
      </c>
      <c r="CQ315" s="203">
        <f>IF($J315="",#N/A,SUM(CP$4:CP315))</f>
        <v>-2.5399197875602422</v>
      </c>
      <c r="CR315" s="204" t="str">
        <f t="shared" si="479"/>
        <v/>
      </c>
      <c r="CS315" s="204">
        <f>IF($J315="",#N/A,SUM(CR$4:CR315))</f>
        <v>2.3600225017004668</v>
      </c>
      <c r="CT315" s="205" t="str">
        <f t="shared" si="480"/>
        <v/>
      </c>
      <c r="CU315" s="205">
        <f>IF($J315="",#N/A,SUM(CT$4:CT315))</f>
        <v>-0.67755161299190814</v>
      </c>
      <c r="CV315" s="205">
        <f>IF($J315="",#N/A,SUM(CT$4:CT315,CR$4:CR315,CP$4:CP315))</f>
        <v>-0.85744889885168352</v>
      </c>
      <c r="CW315" s="200" t="str">
        <f t="shared" si="481"/>
        <v/>
      </c>
      <c r="CX315" s="203">
        <f>IF($J315="",#N/A,SUM(CW$4:CW315))</f>
        <v>-1.2839616145397621</v>
      </c>
      <c r="CY315" s="204" t="str">
        <f t="shared" si="482"/>
        <v/>
      </c>
      <c r="CZ315" s="204">
        <f>IF($J315="",#N/A,SUM(CY$4:CY315))</f>
        <v>-0.20119965665334139</v>
      </c>
      <c r="DA315" s="205" t="str">
        <f t="shared" si="483"/>
        <v/>
      </c>
      <c r="DB315" s="205">
        <f>IF($J315="",#N/A,SUM(DA$4:DA315))</f>
        <v>-1.1581788995104692</v>
      </c>
      <c r="DC315" s="205">
        <f>IF($J315="",#N/A,SUM(DA$4:DA315,CY$4:CY315,CW$4:CW315))</f>
        <v>-2.6433401707035724</v>
      </c>
      <c r="DD315" s="200" t="str">
        <f t="shared" si="484"/>
        <v/>
      </c>
      <c r="DE315" s="203">
        <f>IF($J315="",#N/A,SUM(DD$4:DD315))</f>
        <v>1.2501454750716789</v>
      </c>
      <c r="DF315" s="204">
        <f t="shared" si="485"/>
        <v>1.3165611072015007</v>
      </c>
      <c r="DG315" s="204">
        <f>IF($J315="",#N/A,SUM(DF$4:DF315))</f>
        <v>2.626961496209514</v>
      </c>
      <c r="DH315" s="205" t="str">
        <f t="shared" si="486"/>
        <v/>
      </c>
      <c r="DI315" s="205">
        <f>IF($J315="",#N/A,SUM(DH$4:DH315))</f>
        <v>-2.7812008102163399</v>
      </c>
      <c r="DJ315" s="205">
        <f>IF($J315="",#N/A,SUM(DH$4:DH315,DF$4:DF315,DD$4:DD315))</f>
        <v>1.0959061610648531</v>
      </c>
      <c r="DK315" s="200" t="str">
        <f t="shared" si="487"/>
        <v/>
      </c>
      <c r="DL315" s="203">
        <f>IF($J315="",#N/A,SUM(DK$4:DK315))</f>
        <v>-1.2097286851272664</v>
      </c>
      <c r="DM315" s="204" t="str">
        <f t="shared" si="488"/>
        <v/>
      </c>
      <c r="DN315" s="204">
        <f>IF($J315="",#N/A,SUM(DM$4:DM315))</f>
        <v>1.0869486202729304</v>
      </c>
      <c r="DO315" s="205" t="str">
        <f t="shared" si="489"/>
        <v/>
      </c>
      <c r="DP315" s="205">
        <f>IF($J315="",#N/A,SUM(DO$4:DO315))</f>
        <v>2.700331529683047</v>
      </c>
      <c r="DQ315" s="205">
        <f>IF($J315="",#N/A,SUM(DO$4:DO315,DM$4:DM315,DK$4:DK315))</f>
        <v>2.5775514648287112</v>
      </c>
      <c r="DR315" s="200" t="str">
        <f t="shared" si="490"/>
        <v/>
      </c>
      <c r="DS315" s="203">
        <f>IF($J315="",#N/A,SUM(DR$4:DR315))</f>
        <v>-0.55950946427675097</v>
      </c>
      <c r="DT315" s="204" t="str">
        <f t="shared" si="491"/>
        <v/>
      </c>
      <c r="DU315" s="204">
        <f>IF($J315="",#N/A,SUM(DT$4:DT315))</f>
        <v>-0.20750635820596686</v>
      </c>
      <c r="DV315" s="205" t="str">
        <f t="shared" si="492"/>
        <v/>
      </c>
      <c r="DW315" s="205">
        <f>IF($J315="",#N/A,SUM(DV$4:DV315))</f>
        <v>-2.3377035686214001</v>
      </c>
      <c r="DX315" s="205">
        <f>IF($J315="",#N/A,SUM(DV$4:DV315,DT$4:DT315,DR$4:DR315))</f>
        <v>-3.1047193911041169</v>
      </c>
      <c r="DY315" s="200" t="str">
        <f t="shared" si="493"/>
        <v/>
      </c>
      <c r="DZ315" s="203">
        <f>IF($J315="",#N/A,SUM(DY$4:DY315))</f>
        <v>-1.6284722482776204</v>
      </c>
      <c r="EA315" s="204" t="str">
        <f t="shared" si="494"/>
        <v/>
      </c>
      <c r="EB315" s="204">
        <f>IF($J315="",#N/A,SUM(EA$4:EA315))</f>
        <v>2.276197208799712</v>
      </c>
      <c r="EC315" s="205" t="str">
        <f t="shared" si="495"/>
        <v/>
      </c>
      <c r="ED315" s="205">
        <f>IF($J315="",#N/A,SUM(EC$4:EC315))</f>
        <v>8.6307007550759458</v>
      </c>
      <c r="EE315" s="205">
        <f>IF($J315="",#N/A,SUM(EC$4:EC315,EA$4:EA315,DY$4:DY315))</f>
        <v>9.2784257155980399</v>
      </c>
      <c r="EF315" s="200" t="str">
        <f t="shared" si="496"/>
        <v/>
      </c>
      <c r="EG315" s="203">
        <f>IF($J315="",#N/A,SUM(EF$4:EF315))</f>
        <v>0.12123845414313134</v>
      </c>
      <c r="EH315" s="204" t="str">
        <f t="shared" si="497"/>
        <v/>
      </c>
      <c r="EI315" s="204">
        <f>IF($J315="",#N/A,SUM(EH$4:EH315))</f>
        <v>-2.7373393576691663</v>
      </c>
      <c r="EJ315" s="205" t="str">
        <f t="shared" si="498"/>
        <v/>
      </c>
      <c r="EK315" s="205">
        <f>IF($J315="",#N/A,SUM(EJ$4:EJ315))</f>
        <v>5.050388173053765</v>
      </c>
      <c r="EL315" s="205">
        <f>IF($J315="",#N/A,SUM(EJ$4:EJ315,EH$4:EH315,EF$4:EF315))</f>
        <v>2.4342872695277298</v>
      </c>
      <c r="EM315" s="200" t="str">
        <f t="shared" si="499"/>
        <v/>
      </c>
      <c r="EN315" s="203">
        <f>IF($J315="",#N/A,SUM(EM$4:EM315))</f>
        <v>0</v>
      </c>
      <c r="EO315" s="204" t="str">
        <f t="shared" si="500"/>
        <v/>
      </c>
      <c r="EP315" s="204">
        <f>IF($J315="",#N/A,SUM(EO$4:EO315))</f>
        <v>2.4788862078089964</v>
      </c>
      <c r="EQ315" s="205" t="str">
        <f t="shared" si="501"/>
        <v/>
      </c>
      <c r="ER315" s="205">
        <f>IF($J315="",#N/A,SUM(EQ$4:EQ315))</f>
        <v>2.6983279209445628</v>
      </c>
      <c r="ES315" s="205">
        <f>IF($J315="",#N/A,SUM(EQ$4:EQ315,EO$4:EO315,EM$4:EM315))</f>
        <v>5.1772141287535591</v>
      </c>
      <c r="ET315" s="200" t="str">
        <f t="shared" si="502"/>
        <v/>
      </c>
      <c r="EU315" s="203">
        <f>IF($J315="",#N/A,SUM(ET$4:ET315))</f>
        <v>0</v>
      </c>
      <c r="EV315" s="204" t="str">
        <f t="shared" si="503"/>
        <v/>
      </c>
      <c r="EW315" s="204">
        <f>IF($J315="",#N/A,SUM(EV$4:EV315))</f>
        <v>2.3210103028360365</v>
      </c>
      <c r="EX315" s="205" t="str">
        <f t="shared" si="504"/>
        <v/>
      </c>
      <c r="EY315" s="205">
        <f>IF($J315="",#N/A,SUM(EX$4:EX315))</f>
        <v>0.27113250180669229</v>
      </c>
      <c r="EZ315" s="205">
        <f>IF($J315="",#N/A,SUM(EX$4:EX315,EV$4:EV315,ET$4:ET315))</f>
        <v>2.5921428046427284</v>
      </c>
      <c r="FA315" s="200" t="str">
        <f t="shared" si="505"/>
        <v/>
      </c>
      <c r="FB315" s="203">
        <f>IF($J315="",#N/A,SUM(FA$4:FA315))</f>
        <v>-0.27145310509113252</v>
      </c>
      <c r="FC315" s="204" t="str">
        <f t="shared" si="506"/>
        <v/>
      </c>
      <c r="FD315" s="204">
        <f>IF($J315="",#N/A,SUM(FC$4:FC315))</f>
        <v>1.204376144197403</v>
      </c>
      <c r="FE315" s="205" t="str">
        <f t="shared" si="507"/>
        <v/>
      </c>
      <c r="FF315" s="205">
        <f>IF($J315="",#N/A,SUM(FE$4:FE315))</f>
        <v>-0.28811149078748233</v>
      </c>
      <c r="FG315" s="205">
        <f>IF($J315="",#N/A,SUM(FE$4:FE315,FC$4:FC315,FA$4:FA315))</f>
        <v>0.64481154831878851</v>
      </c>
      <c r="FH315" s="200" t="str">
        <f t="shared" si="508"/>
        <v/>
      </c>
      <c r="FI315" s="203">
        <f>IF($J315="",#N/A,SUM(FH$4:FH315))</f>
        <v>0</v>
      </c>
      <c r="FJ315" s="204" t="str">
        <f t="shared" si="509"/>
        <v/>
      </c>
      <c r="FK315" s="204">
        <f>IF($J315="",#N/A,SUM(FJ$4:FJ315))</f>
        <v>0</v>
      </c>
      <c r="FL315" s="205" t="str">
        <f t="shared" si="510"/>
        <v/>
      </c>
      <c r="FM315" s="205">
        <f>IF($J315="",#N/A,SUM(FL$4:FL315))</f>
        <v>0</v>
      </c>
      <c r="FN315" s="205">
        <f>IF($J315="",#N/A,SUM(FL$4:FL315,FJ$4:FJ315,FH$4:FH315))</f>
        <v>0</v>
      </c>
      <c r="FO315" s="200" t="str">
        <f t="shared" si="511"/>
        <v/>
      </c>
      <c r="FP315" s="203">
        <f>IF($J315="",#N/A,SUM(FO$4:FO315))</f>
        <v>0</v>
      </c>
      <c r="FQ315" s="204" t="str">
        <f t="shared" si="512"/>
        <v/>
      </c>
      <c r="FR315" s="204">
        <f>IF($J315="",#N/A,SUM(FQ$4:FQ315))</f>
        <v>0</v>
      </c>
      <c r="FS315" s="205" t="str">
        <f t="shared" si="513"/>
        <v/>
      </c>
      <c r="FT315" s="205">
        <f>IF($J315="",#N/A,SUM(FS$4:FS315))</f>
        <v>0</v>
      </c>
      <c r="FU315" s="205">
        <f>IF($J315="",#N/A,SUM(FS$4:FS315,FQ$4:FQ315,FO$4:FO315))</f>
        <v>0</v>
      </c>
      <c r="FV315" s="200" t="str">
        <f t="shared" si="514"/>
        <v/>
      </c>
      <c r="FW315" s="203">
        <f>IF($J315="",#N/A,SUM(FV$4:FV315))</f>
        <v>6.6834991831277585E-2</v>
      </c>
      <c r="FX315" s="204" t="str">
        <f t="shared" si="515"/>
        <v/>
      </c>
      <c r="FY315" s="204">
        <f>IF($J315="",#N/A,SUM(FX$4:FX315))</f>
        <v>-0.16102012791805576</v>
      </c>
      <c r="FZ315" s="205" t="str">
        <f t="shared" si="516"/>
        <v/>
      </c>
      <c r="GA315" s="205">
        <f>IF($J315="",#N/A,SUM(FZ$4:FZ315))</f>
        <v>-0.69624339162892301</v>
      </c>
      <c r="GB315" s="205">
        <f>IF($J315="",#N/A,SUM(FZ$4:FZ315,FX$4:FX315,FV$4:FV315))</f>
        <v>-0.79042852771570116</v>
      </c>
      <c r="GC315" s="200" t="str">
        <f t="shared" si="517"/>
        <v/>
      </c>
      <c r="GD315" s="203">
        <f>IF($J315="",#N/A,SUM(GC$4:GC315))</f>
        <v>0</v>
      </c>
      <c r="GE315" s="204" t="str">
        <f t="shared" si="518"/>
        <v/>
      </c>
      <c r="GF315" s="204">
        <f>IF($J315="",#N/A,SUM(GE$4:GE315))</f>
        <v>0</v>
      </c>
      <c r="GG315" s="205" t="str">
        <f t="shared" si="519"/>
        <v/>
      </c>
      <c r="GH315" s="205">
        <f>IF($J315="",#N/A,SUM(GG$4:GG315))</f>
        <v>-2.9368362277223206</v>
      </c>
      <c r="GI315" s="205">
        <f>IF($J315="",#N/A,SUM(GG$4:GG315,GE$4:GE315,GC$4:GC315))</f>
        <v>-2.9368362277223206</v>
      </c>
      <c r="GJ315" s="200" t="str">
        <f t="shared" si="520"/>
        <v/>
      </c>
      <c r="GK315" s="203">
        <f>IF($J315="",#N/A,SUM(GJ$4:GJ315))</f>
        <v>0</v>
      </c>
      <c r="GL315" s="204" t="str">
        <f t="shared" si="521"/>
        <v/>
      </c>
      <c r="GM315" s="204">
        <f>IF($J315="",#N/A,SUM(GL$4:GL315))</f>
        <v>-1.6833790887309608</v>
      </c>
      <c r="GN315" s="205" t="str">
        <f t="shared" si="522"/>
        <v/>
      </c>
      <c r="GO315" s="205">
        <f>IF($J315="",#N/A,SUM(GN$4:GN315))</f>
        <v>0</v>
      </c>
      <c r="GP315" s="205">
        <f>IF($J315="",#N/A,SUM(GN$4:GN315,GL$4:GL315,GJ$4:GJ315))</f>
        <v>-1.6833790887309608</v>
      </c>
      <c r="GS315" s="54">
        <f t="shared" si="541"/>
        <v>1.3165611072015007</v>
      </c>
      <c r="GT315" s="54">
        <f>IF(GS315="",NA(),SUM($GS$4:GS315))</f>
        <v>10.677559900379599</v>
      </c>
      <c r="GU315" s="54" t="str">
        <f t="shared" si="523"/>
        <v/>
      </c>
      <c r="GV315" s="54" t="e">
        <f>IF(GU315="",NA(),SUM($GU$4:GU315))</f>
        <v>#N/A</v>
      </c>
      <c r="GW315" s="54" t="str">
        <f t="shared" si="524"/>
        <v/>
      </c>
      <c r="GX315" s="54" t="e">
        <f>IF(GW315="",NA(),SUM($GW$4:GW315))</f>
        <v>#N/A</v>
      </c>
      <c r="GY315" s="54">
        <f t="shared" si="525"/>
        <v>1.3165611072015007</v>
      </c>
      <c r="GZ315" s="54">
        <f>IF(GY315="",NA(),SUM($GY$4:GY315))</f>
        <v>7.2962706799107746</v>
      </c>
      <c r="HA315" s="54" t="str">
        <f t="shared" si="526"/>
        <v/>
      </c>
      <c r="HB315" s="54" t="e">
        <f>IF(HA315="",NA(),SUM($HA$4:HA315))</f>
        <v>#N/A</v>
      </c>
      <c r="HC315" s="54" t="str">
        <f t="shared" si="527"/>
        <v/>
      </c>
      <c r="HD315" s="54" t="e">
        <f>IF(HC315="",NA(),SUM($HC$4:HC315))</f>
        <v>#N/A</v>
      </c>
      <c r="HE315" s="54" t="str">
        <f t="shared" si="528"/>
        <v/>
      </c>
      <c r="HF315" s="54" t="e">
        <f>IF(HE315="",NA(),SUM($HE$4:HE315))</f>
        <v>#N/A</v>
      </c>
      <c r="HG315" s="54" t="str">
        <f t="shared" si="529"/>
        <v/>
      </c>
      <c r="HH315" s="54" t="e">
        <f>IF(HG315="",NA(),SUM($HG$4:HG315))</f>
        <v>#N/A</v>
      </c>
      <c r="HI315" s="172">
        <f t="shared" si="542"/>
        <v>-0.56005160684963495</v>
      </c>
      <c r="HJ315" s="172">
        <f>IF($J315="",#N/A,SUM(HI$4:$HI315))</f>
        <v>-8.3906643104804512</v>
      </c>
      <c r="HK315" s="54" t="str">
        <f t="shared" si="530"/>
        <v/>
      </c>
      <c r="HL315" s="54">
        <f>IF($J315="",#N/A,SUM($HK$4:HK315))</f>
        <v>2.1368060073577682</v>
      </c>
      <c r="HM315" s="54" t="str">
        <f t="shared" si="531"/>
        <v/>
      </c>
      <c r="HN315" s="54">
        <f>IF($J315="",#N/A,SUM($HM$4:HM315))</f>
        <v>0.88681599737557415</v>
      </c>
      <c r="HO315" s="54" t="str">
        <f t="shared" si="532"/>
        <v/>
      </c>
      <c r="HP315" s="54">
        <f>IF($J315="",#N/A,SUM($HO$4:HO315))</f>
        <v>-0.69476253225193951</v>
      </c>
      <c r="HQ315" s="54" t="str">
        <f t="shared" si="533"/>
        <v/>
      </c>
      <c r="HR315" s="54">
        <f>IF($J315="",#N/A,SUM($HQ$4:HQ315))</f>
        <v>-13.50506252757291</v>
      </c>
      <c r="HS315" s="54" t="str">
        <f t="shared" si="534"/>
        <v/>
      </c>
      <c r="HT315" s="54">
        <f>IF($J315="",#N/A,SUM($HS$4:HS315))</f>
        <v>15.486812150209897</v>
      </c>
      <c r="HU315" s="65">
        <f t="shared" si="535"/>
        <v>0.7565095003518657</v>
      </c>
      <c r="HV315" s="65">
        <f>IF($J315="",#N/A,SUM(HU$4:$HU315))</f>
        <v>11.573165667096431</v>
      </c>
    </row>
    <row r="316" spans="1:230" x14ac:dyDescent="0.25">
      <c r="A316" s="51" t="s">
        <v>1323</v>
      </c>
      <c r="B316" s="52" t="s">
        <v>4598</v>
      </c>
      <c r="C316" s="229">
        <f t="shared" si="436"/>
        <v>2</v>
      </c>
      <c r="D316" s="219" t="str">
        <f>_xlfn.XLOOKUP(A316,[1]SP500!$A$2:$A$502,[1]SP500!$D$2:$D$502,"N")</f>
        <v>Y</v>
      </c>
      <c r="E316" s="51" t="str">
        <f>IFERROR(_xlfn.XLOOKUP(A316,[1]SP500!$A$2:$A$655,[1]SP500!$B$2:$B$655),"")</f>
        <v>XLE</v>
      </c>
      <c r="F316" s="290">
        <v>45785</v>
      </c>
      <c r="G316" s="51" t="str">
        <f t="shared" si="437"/>
        <v>BMO</v>
      </c>
      <c r="H316" s="51" t="str">
        <f t="shared" si="438"/>
        <v>s</v>
      </c>
      <c r="I316" s="344">
        <v>87.71</v>
      </c>
      <c r="J316" s="124">
        <v>89.36</v>
      </c>
      <c r="K316" s="55">
        <f t="shared" si="439"/>
        <v>1.8811994071371633E-2</v>
      </c>
      <c r="L316" s="67">
        <f t="shared" si="440"/>
        <v>-24.750000000000227</v>
      </c>
      <c r="M316" s="57">
        <f t="shared" si="441"/>
        <v>-7.9499999999998181</v>
      </c>
      <c r="N316" s="147">
        <f t="shared" si="442"/>
        <v>-24.750000000000227</v>
      </c>
      <c r="O316" s="57">
        <f>IF(N316="",#N/A,SUM($N$4:N316))</f>
        <v>804.44002737534117</v>
      </c>
      <c r="P316" s="65">
        <f t="shared" si="536"/>
        <v>-0.31353323452286236</v>
      </c>
      <c r="Q316" s="172">
        <f>IF($N316="",#N/A,SUM($P$4:P316))</f>
        <v>15.85563511510262</v>
      </c>
      <c r="R316" s="279">
        <f t="shared" si="443"/>
        <v>2.920243439135854</v>
      </c>
      <c r="S316" s="51" t="str">
        <f t="shared" si="444"/>
        <v>Dwn</v>
      </c>
      <c r="T316" s="51" t="s">
        <v>4461</v>
      </c>
      <c r="U316" s="56">
        <f t="shared" si="445"/>
        <v>87.71</v>
      </c>
      <c r="V316" s="56" t="s">
        <v>4458</v>
      </c>
      <c r="W316" s="142">
        <v>15</v>
      </c>
      <c r="X316" s="145">
        <f t="shared" si="446"/>
        <v>1315.6499999999999</v>
      </c>
      <c r="Y316" s="140">
        <f t="shared" si="447"/>
        <v>15</v>
      </c>
      <c r="Z316" s="123">
        <v>89.89</v>
      </c>
      <c r="AA316" s="102">
        <f t="shared" si="448"/>
        <v>-32.700000000000045</v>
      </c>
      <c r="AB316" s="102">
        <f t="shared" si="449"/>
        <v>-16.650000000000091</v>
      </c>
      <c r="AC316" s="124">
        <v>88.82</v>
      </c>
      <c r="AD316" s="155">
        <f t="shared" si="450"/>
        <v>-16.650000000000091</v>
      </c>
      <c r="AE316" s="545">
        <f t="shared" si="451"/>
        <v>-0.2109223577699248</v>
      </c>
      <c r="AF316" s="57">
        <f>IF($AC316="",#N/A,SUM(AD$4:AD316))</f>
        <v>673.57861585861497</v>
      </c>
      <c r="AG316" s="102">
        <f t="shared" si="452"/>
        <v>8.1000000000001364</v>
      </c>
      <c r="AH316" s="102" t="s">
        <v>2507</v>
      </c>
      <c r="AI316" s="65">
        <f t="shared" si="453"/>
        <v>-0.4142439098544452</v>
      </c>
      <c r="AJ316" s="108">
        <f>IF(AI316="",#N/A,SUM($AI$4:AI316))</f>
        <v>12.935391675966766</v>
      </c>
      <c r="AK316" s="144">
        <f t="shared" si="454"/>
        <v>-32.700000000000045</v>
      </c>
      <c r="AL316" s="66">
        <f>IF(AI316="",#N/A,IF(AH316="Skip",SUM($AK$4:AK316),SUM($AK$4:AK316)))</f>
        <v>599.47079149281421</v>
      </c>
      <c r="AM316" s="65">
        <f t="shared" si="537"/>
        <v>-0.2109223577699248</v>
      </c>
      <c r="AN316" s="209"/>
      <c r="AO316" s="65" t="str">
        <f t="shared" si="455"/>
        <v/>
      </c>
      <c r="AP316" s="65">
        <f>IF($AC316="",#N/A,SUM(AO$4:AO316))</f>
        <v>11.590319233033487</v>
      </c>
      <c r="AQ316" s="65" t="str">
        <f t="shared" si="456"/>
        <v/>
      </c>
      <c r="AR316" s="65">
        <f>IF($AC316="",#N/A,SUM(AQ$4:AQ316))</f>
        <v>-5.8627725187030535</v>
      </c>
      <c r="AS316" s="65">
        <f t="shared" si="457"/>
        <v>-0.2109223577699248</v>
      </c>
      <c r="AT316" s="65">
        <f>IF($AC316="",#N/A,SUM(AS$4:AS316))</f>
        <v>5.634696594996071</v>
      </c>
      <c r="AU316" s="57" t="str">
        <f t="shared" si="538"/>
        <v/>
      </c>
      <c r="AV316" s="57">
        <f>IF($AC316="",#N/A,SUM(AU$4:AU316))</f>
        <v>685.53249066104672</v>
      </c>
      <c r="AW316" s="57" t="str">
        <f t="shared" si="539"/>
        <v/>
      </c>
      <c r="AX316" s="57">
        <f>IF($AC316="",#N/A,SUM(AW$4:AW316))</f>
        <v>-390.96106797961124</v>
      </c>
      <c r="AY316" s="57">
        <f t="shared" si="540"/>
        <v>-16.650000000000091</v>
      </c>
      <c r="AZ316" s="57">
        <f>IF($AC316="",#N/A,SUM(AY$4:AY316))</f>
        <v>379.00719317717949</v>
      </c>
      <c r="BA316" s="57">
        <f>IF(AD316="",#N/A,SUM($AD$4:AD316))</f>
        <v>673.57861585861497</v>
      </c>
      <c r="BC316" s="51" t="str">
        <f t="shared" si="458"/>
        <v/>
      </c>
      <c r="BD316" s="51">
        <f t="shared" si="459"/>
        <v>1</v>
      </c>
      <c r="BE316" s="51" t="str">
        <f t="shared" si="460"/>
        <v/>
      </c>
      <c r="BF316" s="51" t="str">
        <f t="shared" si="461"/>
        <v>Short</v>
      </c>
      <c r="BG316" s="51" t="str">
        <f t="shared" si="462"/>
        <v/>
      </c>
      <c r="BH316" s="51" t="str">
        <f t="shared" si="463"/>
        <v/>
      </c>
      <c r="BI316" s="51" t="str">
        <f t="shared" si="464"/>
        <v/>
      </c>
      <c r="BK316" s="65">
        <f t="shared" si="544"/>
        <v>6.0238897710883137E-2</v>
      </c>
      <c r="BL316" s="65">
        <f t="shared" si="543"/>
        <v>7.1120771635976604E-2</v>
      </c>
      <c r="BM316" s="65">
        <f>IFERROR(Q316/COUNTA($J$4:J316),#N/A)</f>
        <v>5.065698119841093E-2</v>
      </c>
      <c r="BO316" s="489" t="e">
        <f>IF(J316="",#N/A,IF(S316="SW",(COUNTIFS(K$4:$K316,"&gt;0",S$4:$S316,"SW")/COUNTIF(S$4:$S316,"SW")),#N/A))</f>
        <v>#N/A</v>
      </c>
      <c r="BP316" s="489">
        <f>IF($J316="",#N/A,IF($S316="DWN",(COUNTIFS($K$4:$K316,"&lt;0",$S$4:$S316,"DWN")/COUNTIF($S$4:$S316,"DWN")),#N/A))</f>
        <v>0.5625</v>
      </c>
      <c r="BQ316" s="489" t="e">
        <f>IF($J316="",#N/A,IF($S316="UP",(COUNTIFS($K$4:$K316,"&gt;0",$S$4:$S316,"UP")/COUNTIF($S$4:$S316,"UP")),#N/A))</f>
        <v>#N/A</v>
      </c>
      <c r="BR316" s="489">
        <f>IF(J316="",#N/A,COUNTIF($K$4:K316,"&gt;0")/COUNT($J$4:J316))</f>
        <v>0.46645367412140576</v>
      </c>
      <c r="BS316" s="65" t="str">
        <f t="shared" si="465"/>
        <v/>
      </c>
      <c r="BT316" s="65" t="str">
        <f t="shared" si="466"/>
        <v/>
      </c>
      <c r="BU316" s="65" t="str">
        <f t="shared" si="467"/>
        <v/>
      </c>
      <c r="BV316" s="65">
        <f t="shared" si="468"/>
        <v>-0.31353323452286236</v>
      </c>
      <c r="BW316" s="127" t="str">
        <f t="shared" si="469"/>
        <v/>
      </c>
      <c r="BX316" s="127">
        <f>IF($J316="",#N/A,SUM($BW$4:BW316))</f>
        <v>-402.51317034792874</v>
      </c>
      <c r="BY316" s="130">
        <f t="shared" si="470"/>
        <v>-24.750000000000227</v>
      </c>
      <c r="BZ316" s="130">
        <f>IF($J316="",#N/A,SUM($BY$4:BY316))</f>
        <v>665.07161346139458</v>
      </c>
      <c r="CA316" s="132" t="str">
        <f t="shared" si="471"/>
        <v/>
      </c>
      <c r="CB316" s="132">
        <f>IF($J316="",#N/A,SUM($CA$4:CA316))</f>
        <v>541.88158426187533</v>
      </c>
      <c r="CC316" s="197" t="str">
        <f t="shared" si="472"/>
        <v/>
      </c>
      <c r="CD316" s="197">
        <f>IF($J316="",#N/A,SUM($CC$4:CC316))</f>
        <v>-6.0548259838266851</v>
      </c>
      <c r="CE316" s="198">
        <f t="shared" si="473"/>
        <v>-0.31353323452286236</v>
      </c>
      <c r="CF316" s="198">
        <f>IF($J316="",#N/A,SUM($CE$4:CE316))</f>
        <v>11.785944021365825</v>
      </c>
      <c r="CG316" s="199" t="str">
        <f t="shared" si="474"/>
        <v/>
      </c>
      <c r="CH316" s="199">
        <f>IF($J316="",#N/A,SUM($CG$4:CG316))</f>
        <v>10.124517077563485</v>
      </c>
      <c r="CI316" s="200" t="str">
        <f t="shared" si="475"/>
        <v/>
      </c>
      <c r="CJ316" s="206">
        <f>IF($J316="",#N/A,SUM(CI$4:CI316))</f>
        <v>0</v>
      </c>
      <c r="CK316" s="207" t="str">
        <f t="shared" si="476"/>
        <v/>
      </c>
      <c r="CL316" s="207">
        <f>IF($J316="",#N/A,SUM(CK$4:CK316))</f>
        <v>2.4085740385592547</v>
      </c>
      <c r="CM316" s="208" t="str">
        <f t="shared" si="477"/>
        <v/>
      </c>
      <c r="CN316" s="208">
        <f>IF($J316="",#N/A,SUM(CM$4:CM316))</f>
        <v>1.6494621984783118</v>
      </c>
      <c r="CO316" s="208">
        <f>IF($J316="",#N/A,SUM(CM$4:CM316,CK$4:CK316,CI$4:CI316))</f>
        <v>4.0580362370375669</v>
      </c>
      <c r="CP316" s="200" t="str">
        <f t="shared" si="478"/>
        <v/>
      </c>
      <c r="CQ316" s="206">
        <f>IF($J316="",#N/A,SUM(CP$4:CP316))</f>
        <v>-2.5399197875602422</v>
      </c>
      <c r="CR316" s="207" t="str">
        <f t="shared" si="479"/>
        <v/>
      </c>
      <c r="CS316" s="207">
        <f>IF($J316="",#N/A,SUM(CR$4:CR316))</f>
        <v>2.3600225017004668</v>
      </c>
      <c r="CT316" s="208" t="str">
        <f t="shared" si="480"/>
        <v/>
      </c>
      <c r="CU316" s="208">
        <f>IF($J316="",#N/A,SUM(CT$4:CT316))</f>
        <v>-0.67755161299190814</v>
      </c>
      <c r="CV316" s="208">
        <f>IF($J316="",#N/A,SUM(CT$4:CT316,CR$4:CR316,CP$4:CP316))</f>
        <v>-0.85744889885168352</v>
      </c>
      <c r="CW316" s="200" t="str">
        <f t="shared" si="481"/>
        <v/>
      </c>
      <c r="CX316" s="206">
        <f>IF($J316="",#N/A,SUM(CW$4:CW316))</f>
        <v>-1.2839616145397621</v>
      </c>
      <c r="CY316" s="207" t="str">
        <f t="shared" si="482"/>
        <v/>
      </c>
      <c r="CZ316" s="207">
        <f>IF($J316="",#N/A,SUM(CY$4:CY316))</f>
        <v>-0.20119965665334139</v>
      </c>
      <c r="DA316" s="208" t="str">
        <f t="shared" si="483"/>
        <v/>
      </c>
      <c r="DB316" s="208">
        <f>IF($J316="",#N/A,SUM(DA$4:DA316))</f>
        <v>-1.1581788995104692</v>
      </c>
      <c r="DC316" s="208">
        <f>IF($J316="",#N/A,SUM(DA$4:DA316,CY$4:CY316,CW$4:CW316))</f>
        <v>-2.6433401707035724</v>
      </c>
      <c r="DD316" s="200" t="str">
        <f t="shared" si="484"/>
        <v/>
      </c>
      <c r="DE316" s="206">
        <f>IF($J316="",#N/A,SUM(DD$4:DD316))</f>
        <v>1.2501454750716789</v>
      </c>
      <c r="DF316" s="207" t="str">
        <f t="shared" si="485"/>
        <v/>
      </c>
      <c r="DG316" s="207">
        <f>IF($J316="",#N/A,SUM(DF$4:DF316))</f>
        <v>2.626961496209514</v>
      </c>
      <c r="DH316" s="208" t="str">
        <f t="shared" si="486"/>
        <v/>
      </c>
      <c r="DI316" s="208">
        <f>IF($J316="",#N/A,SUM(DH$4:DH316))</f>
        <v>-2.7812008102163399</v>
      </c>
      <c r="DJ316" s="208">
        <f>IF($J316="",#N/A,SUM(DH$4:DH316,DF$4:DF316,DD$4:DD316))</f>
        <v>1.0959061610648531</v>
      </c>
      <c r="DK316" s="200" t="str">
        <f t="shared" si="487"/>
        <v/>
      </c>
      <c r="DL316" s="206">
        <f>IF($J316="",#N/A,SUM(DK$4:DK316))</f>
        <v>-1.2097286851272664</v>
      </c>
      <c r="DM316" s="207" t="str">
        <f t="shared" si="488"/>
        <v/>
      </c>
      <c r="DN316" s="207">
        <f>IF($J316="",#N/A,SUM(DM$4:DM316))</f>
        <v>1.0869486202729304</v>
      </c>
      <c r="DO316" s="208" t="str">
        <f t="shared" si="489"/>
        <v/>
      </c>
      <c r="DP316" s="208">
        <f>IF($J316="",#N/A,SUM(DO$4:DO316))</f>
        <v>2.700331529683047</v>
      </c>
      <c r="DQ316" s="208">
        <f>IF($J316="",#N/A,SUM(DO$4:DO316,DM$4:DM316,DK$4:DK316))</f>
        <v>2.5775514648287112</v>
      </c>
      <c r="DR316" s="200" t="str">
        <f t="shared" si="490"/>
        <v/>
      </c>
      <c r="DS316" s="206">
        <f>IF($J316="",#N/A,SUM(DR$4:DR316))</f>
        <v>-0.55950946427675097</v>
      </c>
      <c r="DT316" s="207" t="str">
        <f t="shared" si="491"/>
        <v/>
      </c>
      <c r="DU316" s="207">
        <f>IF($J316="",#N/A,SUM(DT$4:DT316))</f>
        <v>-0.20750635820596686</v>
      </c>
      <c r="DV316" s="208" t="str">
        <f t="shared" si="492"/>
        <v/>
      </c>
      <c r="DW316" s="208">
        <f>IF($J316="",#N/A,SUM(DV$4:DV316))</f>
        <v>-2.3377035686214001</v>
      </c>
      <c r="DX316" s="208">
        <f>IF($J316="",#N/A,SUM(DV$4:DV316,DT$4:DT316,DR$4:DR316))</f>
        <v>-3.1047193911041169</v>
      </c>
      <c r="DY316" s="200" t="str">
        <f t="shared" si="493"/>
        <v/>
      </c>
      <c r="DZ316" s="206">
        <f>IF($J316="",#N/A,SUM(DY$4:DY316))</f>
        <v>-1.6284722482776204</v>
      </c>
      <c r="EA316" s="207" t="str">
        <f t="shared" si="494"/>
        <v/>
      </c>
      <c r="EB316" s="207">
        <f>IF($J316="",#N/A,SUM(EA$4:EA316))</f>
        <v>2.276197208799712</v>
      </c>
      <c r="EC316" s="208" t="str">
        <f t="shared" si="495"/>
        <v/>
      </c>
      <c r="ED316" s="208">
        <f>IF($J316="",#N/A,SUM(EC$4:EC316))</f>
        <v>8.6307007550759458</v>
      </c>
      <c r="EE316" s="208">
        <f>IF($J316="",#N/A,SUM(EC$4:EC316,EA$4:EA316,DY$4:DY316))</f>
        <v>9.2784257155980399</v>
      </c>
      <c r="EF316" s="200" t="str">
        <f t="shared" si="496"/>
        <v/>
      </c>
      <c r="EG316" s="206">
        <f>IF($J316="",#N/A,SUM(EF$4:EF316))</f>
        <v>0.12123845414313134</v>
      </c>
      <c r="EH316" s="207" t="str">
        <f t="shared" si="497"/>
        <v/>
      </c>
      <c r="EI316" s="207">
        <f>IF($J316="",#N/A,SUM(EH$4:EH316))</f>
        <v>-2.7373393576691663</v>
      </c>
      <c r="EJ316" s="208" t="str">
        <f t="shared" si="498"/>
        <v/>
      </c>
      <c r="EK316" s="208">
        <f>IF($J316="",#N/A,SUM(EJ$4:EJ316))</f>
        <v>5.050388173053765</v>
      </c>
      <c r="EL316" s="208">
        <f>IF($J316="",#N/A,SUM(EJ$4:EJ316,EH$4:EH316,EF$4:EF316))</f>
        <v>2.4342872695277298</v>
      </c>
      <c r="EM316" s="200" t="str">
        <f t="shared" si="499"/>
        <v/>
      </c>
      <c r="EN316" s="206">
        <f>IF($J316="",#N/A,SUM(EM$4:EM316))</f>
        <v>0</v>
      </c>
      <c r="EO316" s="207" t="str">
        <f t="shared" si="500"/>
        <v/>
      </c>
      <c r="EP316" s="207">
        <f>IF($J316="",#N/A,SUM(EO$4:EO316))</f>
        <v>2.4788862078089964</v>
      </c>
      <c r="EQ316" s="208" t="str">
        <f t="shared" si="501"/>
        <v/>
      </c>
      <c r="ER316" s="208">
        <f>IF($J316="",#N/A,SUM(EQ$4:EQ316))</f>
        <v>2.6983279209445628</v>
      </c>
      <c r="ES316" s="208">
        <f>IF($J316="",#N/A,SUM(EQ$4:EQ316,EO$4:EO316,EM$4:EM316))</f>
        <v>5.1772141287535591</v>
      </c>
      <c r="ET316" s="200" t="str">
        <f t="shared" si="502"/>
        <v/>
      </c>
      <c r="EU316" s="206">
        <f>IF($J316="",#N/A,SUM(ET$4:ET316))</f>
        <v>0</v>
      </c>
      <c r="EV316" s="207" t="str">
        <f t="shared" si="503"/>
        <v/>
      </c>
      <c r="EW316" s="207">
        <f>IF($J316="",#N/A,SUM(EV$4:EV316))</f>
        <v>2.3210103028360365</v>
      </c>
      <c r="EX316" s="208" t="str">
        <f t="shared" si="504"/>
        <v/>
      </c>
      <c r="EY316" s="208">
        <f>IF($J316="",#N/A,SUM(EX$4:EX316))</f>
        <v>0.27113250180669229</v>
      </c>
      <c r="EZ316" s="208">
        <f>IF($J316="",#N/A,SUM(EX$4:EX316,EV$4:EV316,ET$4:ET316))</f>
        <v>2.5921428046427284</v>
      </c>
      <c r="FA316" s="200" t="str">
        <f t="shared" si="505"/>
        <v/>
      </c>
      <c r="FB316" s="206">
        <f>IF($J316="",#N/A,SUM(FA$4:FA316))</f>
        <v>-0.27145310509113252</v>
      </c>
      <c r="FC316" s="207">
        <f t="shared" si="506"/>
        <v>-0.31353323452286236</v>
      </c>
      <c r="FD316" s="207">
        <f>IF($J316="",#N/A,SUM(FC$4:FC316))</f>
        <v>0.89084290967454072</v>
      </c>
      <c r="FE316" s="208" t="str">
        <f t="shared" si="507"/>
        <v/>
      </c>
      <c r="FF316" s="208">
        <f>IF($J316="",#N/A,SUM(FE$4:FE316))</f>
        <v>-0.28811149078748233</v>
      </c>
      <c r="FG316" s="208">
        <f>IF($J316="",#N/A,SUM(FE$4:FE316,FC$4:FC316,FA$4:FA316))</f>
        <v>0.3312783137959262</v>
      </c>
      <c r="FH316" s="200" t="str">
        <f t="shared" si="508"/>
        <v/>
      </c>
      <c r="FI316" s="206">
        <f>IF($J316="",#N/A,SUM(FH$4:FH316))</f>
        <v>0</v>
      </c>
      <c r="FJ316" s="207" t="str">
        <f t="shared" si="509"/>
        <v/>
      </c>
      <c r="FK316" s="207">
        <f>IF($J316="",#N/A,SUM(FJ$4:FJ316))</f>
        <v>0</v>
      </c>
      <c r="FL316" s="208" t="str">
        <f t="shared" si="510"/>
        <v/>
      </c>
      <c r="FM316" s="208">
        <f>IF($J316="",#N/A,SUM(FL$4:FL316))</f>
        <v>0</v>
      </c>
      <c r="FN316" s="208">
        <f>IF($J316="",#N/A,SUM(FL$4:FL316,FJ$4:FJ316,FH$4:FH316))</f>
        <v>0</v>
      </c>
      <c r="FO316" s="200" t="str">
        <f t="shared" si="511"/>
        <v/>
      </c>
      <c r="FP316" s="206">
        <f>IF($J316="",#N/A,SUM(FO$4:FO316))</f>
        <v>0</v>
      </c>
      <c r="FQ316" s="207" t="str">
        <f t="shared" si="512"/>
        <v/>
      </c>
      <c r="FR316" s="207">
        <f>IF($J316="",#N/A,SUM(FQ$4:FQ316))</f>
        <v>0</v>
      </c>
      <c r="FS316" s="208" t="str">
        <f t="shared" si="513"/>
        <v/>
      </c>
      <c r="FT316" s="208">
        <f>IF($J316="",#N/A,SUM(FS$4:FS316))</f>
        <v>0</v>
      </c>
      <c r="FU316" s="208">
        <f>IF($J316="",#N/A,SUM(FS$4:FS316,FQ$4:FQ316,FO$4:FO316))</f>
        <v>0</v>
      </c>
      <c r="FV316" s="200" t="str">
        <f t="shared" si="514"/>
        <v/>
      </c>
      <c r="FW316" s="206">
        <f>IF($J316="",#N/A,SUM(FV$4:FV316))</f>
        <v>6.6834991831277585E-2</v>
      </c>
      <c r="FX316" s="207" t="str">
        <f t="shared" si="515"/>
        <v/>
      </c>
      <c r="FY316" s="207">
        <f>IF($J316="",#N/A,SUM(FX$4:FX316))</f>
        <v>-0.16102012791805576</v>
      </c>
      <c r="FZ316" s="208" t="str">
        <f t="shared" si="516"/>
        <v/>
      </c>
      <c r="GA316" s="208">
        <f>IF($J316="",#N/A,SUM(FZ$4:FZ316))</f>
        <v>-0.69624339162892301</v>
      </c>
      <c r="GB316" s="208">
        <f>IF($J316="",#N/A,SUM(FZ$4:FZ316,FX$4:FX316,FV$4:FV316))</f>
        <v>-0.79042852771570116</v>
      </c>
      <c r="GC316" s="200" t="str">
        <f t="shared" si="517"/>
        <v/>
      </c>
      <c r="GD316" s="206">
        <f>IF($J316="",#N/A,SUM(GC$4:GC316))</f>
        <v>0</v>
      </c>
      <c r="GE316" s="207" t="str">
        <f t="shared" si="518"/>
        <v/>
      </c>
      <c r="GF316" s="207">
        <f>IF($J316="",#N/A,SUM(GE$4:GE316))</f>
        <v>0</v>
      </c>
      <c r="GG316" s="208" t="str">
        <f t="shared" si="519"/>
        <v/>
      </c>
      <c r="GH316" s="208">
        <f>IF($J316="",#N/A,SUM(GG$4:GG316))</f>
        <v>-2.9368362277223206</v>
      </c>
      <c r="GI316" s="208">
        <f>IF($J316="",#N/A,SUM(GG$4:GG316,GE$4:GE316,GC$4:GC316))</f>
        <v>-2.9368362277223206</v>
      </c>
      <c r="GJ316" s="200" t="str">
        <f t="shared" si="520"/>
        <v/>
      </c>
      <c r="GK316" s="206">
        <f>IF($J316="",#N/A,SUM(GJ$4:GJ316))</f>
        <v>0</v>
      </c>
      <c r="GL316" s="207" t="str">
        <f t="shared" si="521"/>
        <v/>
      </c>
      <c r="GM316" s="207">
        <f>IF($J316="",#N/A,SUM(GL$4:GL316))</f>
        <v>-1.6833790887309608</v>
      </c>
      <c r="GN316" s="208" t="str">
        <f t="shared" si="522"/>
        <v/>
      </c>
      <c r="GO316" s="208">
        <f>IF($J316="",#N/A,SUM(GN$4:GN316))</f>
        <v>0</v>
      </c>
      <c r="GP316" s="208">
        <f>IF($J316="",#N/A,SUM(GN$4:GN316,GL$4:GL316,GJ$4:GJ316))</f>
        <v>-1.6833790887309608</v>
      </c>
      <c r="GS316" s="54">
        <f t="shared" si="541"/>
        <v>-0.31353323452286236</v>
      </c>
      <c r="GT316" s="54">
        <f>IF(GS316="",NA(),SUM($GS$4:GS316))</f>
        <v>10.364026665856736</v>
      </c>
      <c r="GU316" s="54" t="str">
        <f t="shared" si="523"/>
        <v/>
      </c>
      <c r="GV316" s="54" t="e">
        <f>IF(GU316="",NA(),SUM($GU$4:GU316))</f>
        <v>#N/A</v>
      </c>
      <c r="GW316" s="54" t="str">
        <f t="shared" si="524"/>
        <v/>
      </c>
      <c r="GX316" s="54" t="e">
        <f>IF(GW316="",NA(),SUM($GW$4:GW316))</f>
        <v>#N/A</v>
      </c>
      <c r="GY316" s="54">
        <f t="shared" si="525"/>
        <v>-0.31353323452286236</v>
      </c>
      <c r="GZ316" s="54">
        <f>IF(GY316="",NA(),SUM($GY$4:GY316))</f>
        <v>6.9827374453879125</v>
      </c>
      <c r="HA316" s="54" t="str">
        <f t="shared" si="526"/>
        <v/>
      </c>
      <c r="HB316" s="54" t="e">
        <f>IF(HA316="",NA(),SUM($HA$4:HA316))</f>
        <v>#N/A</v>
      </c>
      <c r="HC316" s="54" t="str">
        <f t="shared" si="527"/>
        <v/>
      </c>
      <c r="HD316" s="54" t="e">
        <f>IF(HC316="",NA(),SUM($HC$4:HC316))</f>
        <v>#N/A</v>
      </c>
      <c r="HE316" s="54" t="str">
        <f t="shared" si="528"/>
        <v/>
      </c>
      <c r="HF316" s="54" t="e">
        <f>IF(HE316="",NA(),SUM($HE$4:HE316))</f>
        <v>#N/A</v>
      </c>
      <c r="HG316" s="54" t="str">
        <f t="shared" si="529"/>
        <v/>
      </c>
      <c r="HH316" s="54" t="e">
        <f>IF(HG316="",NA(),SUM($HG$4:HG316))</f>
        <v>#N/A</v>
      </c>
      <c r="HI316" s="172" t="str">
        <f t="shared" si="542"/>
        <v/>
      </c>
      <c r="HJ316" s="172">
        <f>IF($J316="",#N/A,SUM(HI$4:$HI316))</f>
        <v>-8.3906643104804512</v>
      </c>
      <c r="HK316" s="54">
        <f t="shared" si="530"/>
        <v>0.10261087675293756</v>
      </c>
      <c r="HL316" s="54">
        <f>IF($J316="",#N/A,SUM($HK$4:HK316))</f>
        <v>2.2394168841107058</v>
      </c>
      <c r="HM316" s="54" t="str">
        <f t="shared" si="531"/>
        <v/>
      </c>
      <c r="HN316" s="54">
        <f>IF($J316="",#N/A,SUM($HM$4:HM316))</f>
        <v>0.88681599737557415</v>
      </c>
      <c r="HO316" s="54" t="str">
        <f t="shared" si="532"/>
        <v/>
      </c>
      <c r="HP316" s="54">
        <f>IF($J316="",#N/A,SUM($HO$4:HO316))</f>
        <v>-0.69476253225193951</v>
      </c>
      <c r="HQ316" s="54" t="str">
        <f t="shared" si="533"/>
        <v/>
      </c>
      <c r="HR316" s="54">
        <f>IF($J316="",#N/A,SUM($HQ$4:HQ316))</f>
        <v>-13.50506252757291</v>
      </c>
      <c r="HS316" s="54" t="str">
        <f t="shared" si="534"/>
        <v/>
      </c>
      <c r="HT316" s="54">
        <f>IF($J316="",#N/A,SUM($HS$4:HS316))</f>
        <v>15.486812150209897</v>
      </c>
      <c r="HU316" s="65">
        <f t="shared" si="535"/>
        <v>-0.2109223577699248</v>
      </c>
      <c r="HV316" s="65">
        <f>IF($J316="",#N/A,SUM(HU$4:$HU316))</f>
        <v>11.362243309326507</v>
      </c>
    </row>
    <row r="317" spans="1:230" x14ac:dyDescent="0.25">
      <c r="A317" s="51" t="s">
        <v>566</v>
      </c>
      <c r="B317" s="52" t="s">
        <v>4598</v>
      </c>
      <c r="C317" s="229">
        <f t="shared" si="436"/>
        <v>1</v>
      </c>
      <c r="D317" s="219" t="str">
        <f>_xlfn.XLOOKUP(A317,[1]SP500!$A$2:$A$502,[1]SP500!$D$2:$D$502,"N")</f>
        <v>Y</v>
      </c>
      <c r="E317" s="51" t="str">
        <f>IFERROR(_xlfn.XLOOKUP(A317,[1]SP500!$A$2:$A$655,[1]SP500!$B$2:$B$655),"")</f>
        <v>XLY</v>
      </c>
      <c r="F317" s="290">
        <v>45785</v>
      </c>
      <c r="G317" s="51" t="str">
        <f t="shared" si="437"/>
        <v>BMO</v>
      </c>
      <c r="H317" s="51" t="str">
        <f t="shared" si="438"/>
        <v>o</v>
      </c>
      <c r="I317" s="344">
        <v>74.75</v>
      </c>
      <c r="J317" s="124">
        <v>79.19</v>
      </c>
      <c r="K317" s="55">
        <f t="shared" si="439"/>
        <v>5.9397993311036762E-2</v>
      </c>
      <c r="L317" s="67">
        <f t="shared" si="440"/>
        <v>-66.599999999999909</v>
      </c>
      <c r="M317" s="57">
        <f t="shared" si="441"/>
        <v>26.636999999999944</v>
      </c>
      <c r="N317" s="102">
        <f t="shared" si="442"/>
        <v>66.599999999999909</v>
      </c>
      <c r="O317" s="57">
        <f>IF(N317="",#N/A,SUM($N$4:N317))</f>
        <v>871.04002737534108</v>
      </c>
      <c r="P317" s="65">
        <f t="shared" si="536"/>
        <v>0.98996655518394527</v>
      </c>
      <c r="Q317" s="172">
        <f>IF($N317="",#N/A,SUM($P$4:P317))</f>
        <v>16.845601670286566</v>
      </c>
      <c r="R317" s="279">
        <f t="shared" si="443"/>
        <v>4.5042345205182386</v>
      </c>
      <c r="S317" s="51" t="str">
        <f t="shared" si="444"/>
        <v>Up</v>
      </c>
      <c r="T317" s="51" t="s">
        <v>4462</v>
      </c>
      <c r="U317" s="56">
        <f t="shared" si="445"/>
        <v>74.75</v>
      </c>
      <c r="V317" s="56" t="s">
        <v>4458</v>
      </c>
      <c r="W317" s="142">
        <v>15</v>
      </c>
      <c r="X317" s="145">
        <f t="shared" si="446"/>
        <v>1121.25</v>
      </c>
      <c r="Y317" s="140">
        <f t="shared" si="447"/>
        <v>15</v>
      </c>
      <c r="Z317" s="123">
        <v>77.414199999999994</v>
      </c>
      <c r="AA317" s="102">
        <f t="shared" si="448"/>
        <v>-39.962999999999965</v>
      </c>
      <c r="AB317" s="102">
        <f t="shared" si="449"/>
        <v>-41.850000000000136</v>
      </c>
      <c r="AC317" s="123">
        <v>77.540000000000006</v>
      </c>
      <c r="AD317" s="155">
        <f t="shared" si="450"/>
        <v>41.850000000000136</v>
      </c>
      <c r="AE317" s="545">
        <f t="shared" si="451"/>
        <v>0.62207357859531986</v>
      </c>
      <c r="AF317" s="57">
        <f>IF($AC317="",#N/A,SUM(AD$4:AD317))</f>
        <v>715.4286158586151</v>
      </c>
      <c r="AG317" s="102">
        <f t="shared" si="452"/>
        <v>-24.749999999999773</v>
      </c>
      <c r="AH317" s="56" t="s">
        <v>2507</v>
      </c>
      <c r="AI317" s="65">
        <f t="shared" si="453"/>
        <v>-0.59402452619843882</v>
      </c>
      <c r="AJ317" s="108">
        <f>IF(AI317="",#N/A,SUM($AI$4:AI317))</f>
        <v>12.341367149768327</v>
      </c>
      <c r="AK317" s="57">
        <f t="shared" si="454"/>
        <v>-39.962999999999965</v>
      </c>
      <c r="AL317" s="66">
        <f>IF(AI317="",#N/A,IF(AH317="Skip",SUM($AK$4:AK317),SUM($AK$4:AK317)))</f>
        <v>559.50779149281425</v>
      </c>
      <c r="AM317" s="65">
        <f t="shared" si="537"/>
        <v>0.62207357859531986</v>
      </c>
      <c r="AN317" s="209"/>
      <c r="AO317" s="65" t="str">
        <f t="shared" si="455"/>
        <v/>
      </c>
      <c r="AP317" s="65">
        <f>IF($AC317="",#N/A,SUM(AO$4:AO317))</f>
        <v>11.590319233033487</v>
      </c>
      <c r="AQ317" s="65">
        <f t="shared" si="456"/>
        <v>0.62207357859531986</v>
      </c>
      <c r="AR317" s="65">
        <f>IF($AC317="",#N/A,SUM(AQ$4:AQ317))</f>
        <v>-5.240698940107734</v>
      </c>
      <c r="AS317" s="65" t="str">
        <f t="shared" si="457"/>
        <v/>
      </c>
      <c r="AT317" s="65">
        <f>IF($AC317="",#N/A,SUM(AS$4:AS317))</f>
        <v>5.634696594996071</v>
      </c>
      <c r="AU317" s="57" t="str">
        <f t="shared" si="538"/>
        <v/>
      </c>
      <c r="AV317" s="57">
        <f>IF($AC317="",#N/A,SUM(AU$4:AU317))</f>
        <v>685.53249066104672</v>
      </c>
      <c r="AW317" s="57">
        <f t="shared" si="539"/>
        <v>41.850000000000136</v>
      </c>
      <c r="AX317" s="57">
        <f>IF($AC317="",#N/A,SUM(AW$4:AW317))</f>
        <v>-349.11106797961111</v>
      </c>
      <c r="AY317" s="57" t="str">
        <f t="shared" si="540"/>
        <v/>
      </c>
      <c r="AZ317" s="57">
        <f>IF($AC317="",#N/A,SUM(AY$4:AY317))</f>
        <v>379.00719317717949</v>
      </c>
      <c r="BA317" s="57">
        <f>IF(AD317="",#N/A,SUM($AD$4:AD317))</f>
        <v>715.4286158586151</v>
      </c>
      <c r="BC317" s="51">
        <f t="shared" si="458"/>
        <v>1</v>
      </c>
      <c r="BD317" s="51" t="str">
        <f t="shared" si="459"/>
        <v/>
      </c>
      <c r="BE317" s="51" t="str">
        <f t="shared" si="460"/>
        <v/>
      </c>
      <c r="BF317" s="51" t="str">
        <f t="shared" si="461"/>
        <v>Long</v>
      </c>
      <c r="BG317" s="51" t="str">
        <f t="shared" si="462"/>
        <v/>
      </c>
      <c r="BH317" s="51" t="str">
        <f t="shared" si="463"/>
        <v/>
      </c>
      <c r="BI317" s="51" t="str">
        <f t="shared" si="464"/>
        <v/>
      </c>
      <c r="BK317" s="65">
        <f t="shared" si="544"/>
        <v>8.929570229575777E-2</v>
      </c>
      <c r="BL317" s="65">
        <f t="shared" si="543"/>
        <v>0.1288019995205778</v>
      </c>
      <c r="BM317" s="65">
        <f>IFERROR(Q317/COUNTA($J$4:J317),#N/A)</f>
        <v>5.3648412962696068E-2</v>
      </c>
      <c r="BO317" s="489" t="e">
        <f>IF(J317="",#N/A,IF(S317="SW",(COUNTIFS(K$4:$K317,"&gt;0",S$4:$S317,"SW")/COUNTIF(S$4:$S317,"SW")),#N/A))</f>
        <v>#N/A</v>
      </c>
      <c r="BP317" s="489" t="e">
        <f>IF($J317="",#N/A,IF($S317="DWN",(COUNTIFS($K$4:$K317,"&lt;0",$S$4:$S317,"DWN")/COUNTIF($S$4:$S317,"DWN")),#N/A))</f>
        <v>#N/A</v>
      </c>
      <c r="BQ317" s="489">
        <f>IF($J317="",#N/A,IF($S317="UP",(COUNTIFS($K$4:$K317,"&gt;0",$S$4:$S317,"UP")/COUNTIF($S$4:$S317,"UP")),#N/A))</f>
        <v>0.39130434782608697</v>
      </c>
      <c r="BR317" s="489">
        <f>IF(J317="",#N/A,COUNTIF($K$4:K317,"&gt;0")/COUNT($J$4:J317))</f>
        <v>0.46815286624203822</v>
      </c>
      <c r="BS317" s="65" t="str">
        <f t="shared" si="465"/>
        <v/>
      </c>
      <c r="BT317" s="65" t="str">
        <f t="shared" si="466"/>
        <v/>
      </c>
      <c r="BU317" s="65" t="str">
        <f t="shared" si="467"/>
        <v/>
      </c>
      <c r="BV317" s="65">
        <f t="shared" si="468"/>
        <v>0.98996655518394527</v>
      </c>
      <c r="BW317" s="128">
        <f t="shared" si="469"/>
        <v>66.599999999999909</v>
      </c>
      <c r="BX317" s="128">
        <f>IF($J317="",#N/A,SUM($BW$4:BW317))</f>
        <v>-335.91317034792883</v>
      </c>
      <c r="BY317" s="131" t="str">
        <f t="shared" si="470"/>
        <v/>
      </c>
      <c r="BZ317" s="131">
        <f>IF($J317="",#N/A,SUM($BY$4:BY317))</f>
        <v>665.07161346139458</v>
      </c>
      <c r="CA317" s="133" t="str">
        <f t="shared" si="471"/>
        <v/>
      </c>
      <c r="CB317" s="133">
        <f>IF($J317="",#N/A,SUM($CA$4:CA317))</f>
        <v>541.88158426187533</v>
      </c>
      <c r="CC317" s="194">
        <f t="shared" si="472"/>
        <v>0.98996655518394527</v>
      </c>
      <c r="CD317" s="194">
        <f>IF($J317="",#N/A,SUM($CC$4:CC317))</f>
        <v>-5.0648594286427402</v>
      </c>
      <c r="CE317" s="195" t="str">
        <f t="shared" si="473"/>
        <v/>
      </c>
      <c r="CF317" s="195">
        <f>IF($J317="",#N/A,SUM($CE$4:CE317))</f>
        <v>11.785944021365825</v>
      </c>
      <c r="CG317" s="196" t="str">
        <f t="shared" si="474"/>
        <v/>
      </c>
      <c r="CH317" s="196">
        <f>IF($J317="",#N/A,SUM($CG$4:CG317))</f>
        <v>10.124517077563485</v>
      </c>
      <c r="CI317" s="200" t="str">
        <f t="shared" si="475"/>
        <v/>
      </c>
      <c r="CJ317" s="203">
        <f>IF($J317="",#N/A,SUM(CI$4:CI317))</f>
        <v>0</v>
      </c>
      <c r="CK317" s="204" t="str">
        <f t="shared" si="476"/>
        <v/>
      </c>
      <c r="CL317" s="204">
        <f>IF($J317="",#N/A,SUM(CK$4:CK317))</f>
        <v>2.4085740385592547</v>
      </c>
      <c r="CM317" s="205" t="str">
        <f t="shared" si="477"/>
        <v/>
      </c>
      <c r="CN317" s="205">
        <f>IF($J317="",#N/A,SUM(CM$4:CM317))</f>
        <v>1.6494621984783118</v>
      </c>
      <c r="CO317" s="205">
        <f>IF($J317="",#N/A,SUM(CM$4:CM317,CK$4:CK317,CI$4:CI317))</f>
        <v>4.0580362370375669</v>
      </c>
      <c r="CP317" s="200" t="str">
        <f t="shared" si="478"/>
        <v/>
      </c>
      <c r="CQ317" s="203">
        <f>IF($J317="",#N/A,SUM(CP$4:CP317))</f>
        <v>-2.5399197875602422</v>
      </c>
      <c r="CR317" s="204" t="str">
        <f t="shared" si="479"/>
        <v/>
      </c>
      <c r="CS317" s="204">
        <f>IF($J317="",#N/A,SUM(CR$4:CR317))</f>
        <v>2.3600225017004668</v>
      </c>
      <c r="CT317" s="205" t="str">
        <f t="shared" si="480"/>
        <v/>
      </c>
      <c r="CU317" s="205">
        <f>IF($J317="",#N/A,SUM(CT$4:CT317))</f>
        <v>-0.67755161299190814</v>
      </c>
      <c r="CV317" s="205">
        <f>IF($J317="",#N/A,SUM(CT$4:CT317,CR$4:CR317,CP$4:CP317))</f>
        <v>-0.85744889885168352</v>
      </c>
      <c r="CW317" s="200">
        <f t="shared" si="481"/>
        <v>0.98996655518394527</v>
      </c>
      <c r="CX317" s="203">
        <f>IF($J317="",#N/A,SUM(CW$4:CW317))</f>
        <v>-0.29399505935581682</v>
      </c>
      <c r="CY317" s="204" t="str">
        <f t="shared" si="482"/>
        <v/>
      </c>
      <c r="CZ317" s="204">
        <f>IF($J317="",#N/A,SUM(CY$4:CY317))</f>
        <v>-0.20119965665334139</v>
      </c>
      <c r="DA317" s="205" t="str">
        <f t="shared" si="483"/>
        <v/>
      </c>
      <c r="DB317" s="205">
        <f>IF($J317="",#N/A,SUM(DA$4:DA317))</f>
        <v>-1.1581788995104692</v>
      </c>
      <c r="DC317" s="205">
        <f>IF($J317="",#N/A,SUM(DA$4:DA317,CY$4:CY317,CW$4:CW317))</f>
        <v>-1.653373615519627</v>
      </c>
      <c r="DD317" s="200" t="str">
        <f t="shared" si="484"/>
        <v/>
      </c>
      <c r="DE317" s="203">
        <f>IF($J317="",#N/A,SUM(DD$4:DD317))</f>
        <v>1.2501454750716789</v>
      </c>
      <c r="DF317" s="204" t="str">
        <f t="shared" si="485"/>
        <v/>
      </c>
      <c r="DG317" s="204">
        <f>IF($J317="",#N/A,SUM(DF$4:DF317))</f>
        <v>2.626961496209514</v>
      </c>
      <c r="DH317" s="205" t="str">
        <f t="shared" si="486"/>
        <v/>
      </c>
      <c r="DI317" s="205">
        <f>IF($J317="",#N/A,SUM(DH$4:DH317))</f>
        <v>-2.7812008102163399</v>
      </c>
      <c r="DJ317" s="205">
        <f>IF($J317="",#N/A,SUM(DH$4:DH317,DF$4:DF317,DD$4:DD317))</f>
        <v>1.0959061610648531</v>
      </c>
      <c r="DK317" s="200" t="str">
        <f t="shared" si="487"/>
        <v/>
      </c>
      <c r="DL317" s="203">
        <f>IF($J317="",#N/A,SUM(DK$4:DK317))</f>
        <v>-1.2097286851272664</v>
      </c>
      <c r="DM317" s="204" t="str">
        <f t="shared" si="488"/>
        <v/>
      </c>
      <c r="DN317" s="204">
        <f>IF($J317="",#N/A,SUM(DM$4:DM317))</f>
        <v>1.0869486202729304</v>
      </c>
      <c r="DO317" s="205" t="str">
        <f t="shared" si="489"/>
        <v/>
      </c>
      <c r="DP317" s="205">
        <f>IF($J317="",#N/A,SUM(DO$4:DO317))</f>
        <v>2.700331529683047</v>
      </c>
      <c r="DQ317" s="205">
        <f>IF($J317="",#N/A,SUM(DO$4:DO317,DM$4:DM317,DK$4:DK317))</f>
        <v>2.5775514648287112</v>
      </c>
      <c r="DR317" s="200" t="str">
        <f t="shared" si="490"/>
        <v/>
      </c>
      <c r="DS317" s="203">
        <f>IF($J317="",#N/A,SUM(DR$4:DR317))</f>
        <v>-0.55950946427675097</v>
      </c>
      <c r="DT317" s="204" t="str">
        <f t="shared" si="491"/>
        <v/>
      </c>
      <c r="DU317" s="204">
        <f>IF($J317="",#N/A,SUM(DT$4:DT317))</f>
        <v>-0.20750635820596686</v>
      </c>
      <c r="DV317" s="205" t="str">
        <f t="shared" si="492"/>
        <v/>
      </c>
      <c r="DW317" s="205">
        <f>IF($J317="",#N/A,SUM(DV$4:DV317))</f>
        <v>-2.3377035686214001</v>
      </c>
      <c r="DX317" s="205">
        <f>IF($J317="",#N/A,SUM(DV$4:DV317,DT$4:DT317,DR$4:DR317))</f>
        <v>-3.1047193911041169</v>
      </c>
      <c r="DY317" s="200" t="str">
        <f t="shared" si="493"/>
        <v/>
      </c>
      <c r="DZ317" s="203">
        <f>IF($J317="",#N/A,SUM(DY$4:DY317))</f>
        <v>-1.6284722482776204</v>
      </c>
      <c r="EA317" s="204" t="str">
        <f t="shared" si="494"/>
        <v/>
      </c>
      <c r="EB317" s="204">
        <f>IF($J317="",#N/A,SUM(EA$4:EA317))</f>
        <v>2.276197208799712</v>
      </c>
      <c r="EC317" s="205" t="str">
        <f t="shared" si="495"/>
        <v/>
      </c>
      <c r="ED317" s="205">
        <f>IF($J317="",#N/A,SUM(EC$4:EC317))</f>
        <v>8.6307007550759458</v>
      </c>
      <c r="EE317" s="205">
        <f>IF($J317="",#N/A,SUM(EC$4:EC317,EA$4:EA317,DY$4:DY317))</f>
        <v>9.2784257155980399</v>
      </c>
      <c r="EF317" s="200" t="str">
        <f t="shared" si="496"/>
        <v/>
      </c>
      <c r="EG317" s="203">
        <f>IF($J317="",#N/A,SUM(EF$4:EF317))</f>
        <v>0.12123845414313134</v>
      </c>
      <c r="EH317" s="204" t="str">
        <f t="shared" si="497"/>
        <v/>
      </c>
      <c r="EI317" s="204">
        <f>IF($J317="",#N/A,SUM(EH$4:EH317))</f>
        <v>-2.7373393576691663</v>
      </c>
      <c r="EJ317" s="205" t="str">
        <f t="shared" si="498"/>
        <v/>
      </c>
      <c r="EK317" s="205">
        <f>IF($J317="",#N/A,SUM(EJ$4:EJ317))</f>
        <v>5.050388173053765</v>
      </c>
      <c r="EL317" s="205">
        <f>IF($J317="",#N/A,SUM(EJ$4:EJ317,EH$4:EH317,EF$4:EF317))</f>
        <v>2.4342872695277298</v>
      </c>
      <c r="EM317" s="200" t="str">
        <f t="shared" si="499"/>
        <v/>
      </c>
      <c r="EN317" s="203">
        <f>IF($J317="",#N/A,SUM(EM$4:EM317))</f>
        <v>0</v>
      </c>
      <c r="EO317" s="204" t="str">
        <f t="shared" si="500"/>
        <v/>
      </c>
      <c r="EP317" s="204">
        <f>IF($J317="",#N/A,SUM(EO$4:EO317))</f>
        <v>2.4788862078089964</v>
      </c>
      <c r="EQ317" s="205" t="str">
        <f t="shared" si="501"/>
        <v/>
      </c>
      <c r="ER317" s="205">
        <f>IF($J317="",#N/A,SUM(EQ$4:EQ317))</f>
        <v>2.6983279209445628</v>
      </c>
      <c r="ES317" s="205">
        <f>IF($J317="",#N/A,SUM(EQ$4:EQ317,EO$4:EO317,EM$4:EM317))</f>
        <v>5.1772141287535591</v>
      </c>
      <c r="ET317" s="200" t="str">
        <f t="shared" si="502"/>
        <v/>
      </c>
      <c r="EU317" s="203">
        <f>IF($J317="",#N/A,SUM(ET$4:ET317))</f>
        <v>0</v>
      </c>
      <c r="EV317" s="204" t="str">
        <f t="shared" si="503"/>
        <v/>
      </c>
      <c r="EW317" s="204">
        <f>IF($J317="",#N/A,SUM(EV$4:EV317))</f>
        <v>2.3210103028360365</v>
      </c>
      <c r="EX317" s="205" t="str">
        <f t="shared" si="504"/>
        <v/>
      </c>
      <c r="EY317" s="205">
        <f>IF($J317="",#N/A,SUM(EX$4:EX317))</f>
        <v>0.27113250180669229</v>
      </c>
      <c r="EZ317" s="205">
        <f>IF($J317="",#N/A,SUM(EX$4:EX317,EV$4:EV317,ET$4:ET317))</f>
        <v>2.5921428046427284</v>
      </c>
      <c r="FA317" s="200" t="str">
        <f t="shared" si="505"/>
        <v/>
      </c>
      <c r="FB317" s="203">
        <f>IF($J317="",#N/A,SUM(FA$4:FA317))</f>
        <v>-0.27145310509113252</v>
      </c>
      <c r="FC317" s="204" t="str">
        <f t="shared" si="506"/>
        <v/>
      </c>
      <c r="FD317" s="204">
        <f>IF($J317="",#N/A,SUM(FC$4:FC317))</f>
        <v>0.89084290967454072</v>
      </c>
      <c r="FE317" s="205" t="str">
        <f t="shared" si="507"/>
        <v/>
      </c>
      <c r="FF317" s="205">
        <f>IF($J317="",#N/A,SUM(FE$4:FE317))</f>
        <v>-0.28811149078748233</v>
      </c>
      <c r="FG317" s="205">
        <f>IF($J317="",#N/A,SUM(FE$4:FE317,FC$4:FC317,FA$4:FA317))</f>
        <v>0.3312783137959262</v>
      </c>
      <c r="FH317" s="200" t="str">
        <f t="shared" si="508"/>
        <v/>
      </c>
      <c r="FI317" s="203">
        <f>IF($J317="",#N/A,SUM(FH$4:FH317))</f>
        <v>0</v>
      </c>
      <c r="FJ317" s="204" t="str">
        <f t="shared" si="509"/>
        <v/>
      </c>
      <c r="FK317" s="204">
        <f>IF($J317="",#N/A,SUM(FJ$4:FJ317))</f>
        <v>0</v>
      </c>
      <c r="FL317" s="205" t="str">
        <f t="shared" si="510"/>
        <v/>
      </c>
      <c r="FM317" s="205">
        <f>IF($J317="",#N/A,SUM(FL$4:FL317))</f>
        <v>0</v>
      </c>
      <c r="FN317" s="205">
        <f>IF($J317="",#N/A,SUM(FL$4:FL317,FJ$4:FJ317,FH$4:FH317))</f>
        <v>0</v>
      </c>
      <c r="FO317" s="200" t="str">
        <f t="shared" si="511"/>
        <v/>
      </c>
      <c r="FP317" s="203">
        <f>IF($J317="",#N/A,SUM(FO$4:FO317))</f>
        <v>0</v>
      </c>
      <c r="FQ317" s="204" t="str">
        <f t="shared" si="512"/>
        <v/>
      </c>
      <c r="FR317" s="204">
        <f>IF($J317="",#N/A,SUM(FQ$4:FQ317))</f>
        <v>0</v>
      </c>
      <c r="FS317" s="205" t="str">
        <f t="shared" si="513"/>
        <v/>
      </c>
      <c r="FT317" s="205">
        <f>IF($J317="",#N/A,SUM(FS$4:FS317))</f>
        <v>0</v>
      </c>
      <c r="FU317" s="205">
        <f>IF($J317="",#N/A,SUM(FS$4:FS317,FQ$4:FQ317,FO$4:FO317))</f>
        <v>0</v>
      </c>
      <c r="FV317" s="200" t="str">
        <f t="shared" si="514"/>
        <v/>
      </c>
      <c r="FW317" s="203">
        <f>IF($J317="",#N/A,SUM(FV$4:FV317))</f>
        <v>6.6834991831277585E-2</v>
      </c>
      <c r="FX317" s="204" t="str">
        <f t="shared" si="515"/>
        <v/>
      </c>
      <c r="FY317" s="204">
        <f>IF($J317="",#N/A,SUM(FX$4:FX317))</f>
        <v>-0.16102012791805576</v>
      </c>
      <c r="FZ317" s="205" t="str">
        <f t="shared" si="516"/>
        <v/>
      </c>
      <c r="GA317" s="205">
        <f>IF($J317="",#N/A,SUM(FZ$4:FZ317))</f>
        <v>-0.69624339162892301</v>
      </c>
      <c r="GB317" s="205">
        <f>IF($J317="",#N/A,SUM(FZ$4:FZ317,FX$4:FX317,FV$4:FV317))</f>
        <v>-0.79042852771570116</v>
      </c>
      <c r="GC317" s="200" t="str">
        <f t="shared" si="517"/>
        <v/>
      </c>
      <c r="GD317" s="203">
        <f>IF($J317="",#N/A,SUM(GC$4:GC317))</f>
        <v>0</v>
      </c>
      <c r="GE317" s="204" t="str">
        <f t="shared" si="518"/>
        <v/>
      </c>
      <c r="GF317" s="204">
        <f>IF($J317="",#N/A,SUM(GE$4:GE317))</f>
        <v>0</v>
      </c>
      <c r="GG317" s="205" t="str">
        <f t="shared" si="519"/>
        <v/>
      </c>
      <c r="GH317" s="205">
        <f>IF($J317="",#N/A,SUM(GG$4:GG317))</f>
        <v>-2.9368362277223206</v>
      </c>
      <c r="GI317" s="205">
        <f>IF($J317="",#N/A,SUM(GG$4:GG317,GE$4:GE317,GC$4:GC317))</f>
        <v>-2.9368362277223206</v>
      </c>
      <c r="GJ317" s="200" t="str">
        <f t="shared" si="520"/>
        <v/>
      </c>
      <c r="GK317" s="203">
        <f>IF($J317="",#N/A,SUM(GJ$4:GJ317))</f>
        <v>0</v>
      </c>
      <c r="GL317" s="204" t="str">
        <f t="shared" si="521"/>
        <v/>
      </c>
      <c r="GM317" s="204">
        <f>IF($J317="",#N/A,SUM(GL$4:GL317))</f>
        <v>-1.6833790887309608</v>
      </c>
      <c r="GN317" s="205" t="str">
        <f t="shared" si="522"/>
        <v/>
      </c>
      <c r="GO317" s="205">
        <f>IF($J317="",#N/A,SUM(GN$4:GN317))</f>
        <v>0</v>
      </c>
      <c r="GP317" s="205">
        <f>IF($J317="",#N/A,SUM(GN$4:GN317,GL$4:GL317,GJ$4:GJ317))</f>
        <v>-1.6833790887309608</v>
      </c>
      <c r="GS317" s="54">
        <f t="shared" si="541"/>
        <v>0.98996655518394527</v>
      </c>
      <c r="GT317" s="54">
        <f>IF(GS317="",NA(),SUM($GS$4:GS317))</f>
        <v>11.353993221040682</v>
      </c>
      <c r="GU317" s="54">
        <f t="shared" si="523"/>
        <v>0.98996655518394527</v>
      </c>
      <c r="GV317" s="54">
        <f>IF(GU317="",NA(),SUM($GU$4:GU317))</f>
        <v>-5.0648594286427402</v>
      </c>
      <c r="GW317" s="54" t="str">
        <f t="shared" si="524"/>
        <v/>
      </c>
      <c r="GX317" s="54" t="e">
        <f>IF(GW317="",NA(),SUM($GW$4:GW317))</f>
        <v>#N/A</v>
      </c>
      <c r="GY317" s="54" t="str">
        <f t="shared" si="525"/>
        <v/>
      </c>
      <c r="GZ317" s="54" t="e">
        <f>IF(GY317="",NA(),SUM($GY$4:GY317))</f>
        <v>#N/A</v>
      </c>
      <c r="HA317" s="54" t="str">
        <f t="shared" si="526"/>
        <v/>
      </c>
      <c r="HB317" s="54" t="e">
        <f>IF(HA317="",NA(),SUM($HA$4:HA317))</f>
        <v>#N/A</v>
      </c>
      <c r="HC317" s="54" t="str">
        <f t="shared" si="527"/>
        <v/>
      </c>
      <c r="HD317" s="54" t="e">
        <f>IF(HC317="",NA(),SUM($HC$4:HC317))</f>
        <v>#N/A</v>
      </c>
      <c r="HE317" s="54" t="str">
        <f t="shared" si="528"/>
        <v/>
      </c>
      <c r="HF317" s="54" t="e">
        <f>IF(HE317="",NA(),SUM($HE$4:HE317))</f>
        <v>#N/A</v>
      </c>
      <c r="HG317" s="54" t="str">
        <f t="shared" si="529"/>
        <v/>
      </c>
      <c r="HH317" s="54" t="e">
        <f>IF(HG317="",NA(),SUM($HG$4:HG317))</f>
        <v>#N/A</v>
      </c>
      <c r="HI317" s="172" t="str">
        <f t="shared" si="542"/>
        <v/>
      </c>
      <c r="HJ317" s="172">
        <f>IF($J317="",#N/A,SUM(HI$4:$HI317))</f>
        <v>-8.3906643104804512</v>
      </c>
      <c r="HK317" s="54" t="str">
        <f t="shared" si="530"/>
        <v/>
      </c>
      <c r="HL317" s="54">
        <f>IF($J317="",#N/A,SUM($HK$4:HK317))</f>
        <v>2.2394168841107058</v>
      </c>
      <c r="HM317" s="54">
        <f t="shared" si="531"/>
        <v>-0.36789297658862541</v>
      </c>
      <c r="HN317" s="54">
        <f>IF($J317="",#N/A,SUM($HM$4:HM317))</f>
        <v>0.51892302078694874</v>
      </c>
      <c r="HO317" s="54" t="str">
        <f t="shared" si="532"/>
        <v/>
      </c>
      <c r="HP317" s="54">
        <f>IF($J317="",#N/A,SUM($HO$4:HO317))</f>
        <v>-0.69476253225193951</v>
      </c>
      <c r="HQ317" s="54" t="str">
        <f t="shared" si="533"/>
        <v/>
      </c>
      <c r="HR317" s="54">
        <f>IF($J317="",#N/A,SUM($HQ$4:HQ317))</f>
        <v>-13.50506252757291</v>
      </c>
      <c r="HS317" s="54" t="str">
        <f t="shared" si="534"/>
        <v/>
      </c>
      <c r="HT317" s="54">
        <f>IF($J317="",#N/A,SUM($HS$4:HS317))</f>
        <v>15.486812150209897</v>
      </c>
      <c r="HU317" s="65">
        <f t="shared" si="535"/>
        <v>0.62207357859531986</v>
      </c>
      <c r="HV317" s="65">
        <f>IF($J317="",#N/A,SUM(HU$4:$HU317))</f>
        <v>11.984316887921826</v>
      </c>
    </row>
    <row r="318" spans="1:230" x14ac:dyDescent="0.25">
      <c r="A318" s="427" t="s">
        <v>579</v>
      </c>
      <c r="B318" s="428" t="s">
        <v>4598</v>
      </c>
      <c r="C318" s="429">
        <f t="shared" si="436"/>
        <v>2</v>
      </c>
      <c r="D318" s="430" t="str">
        <f>_xlfn.XLOOKUP(A318,[1]SP500!$A$2:$A$502,[1]SP500!$D$2:$D$502,"N")</f>
        <v>Y</v>
      </c>
      <c r="E318" s="427" t="str">
        <f>IFERROR(_xlfn.XLOOKUP(A318,[1]SP500!$A$2:$A$655,[1]SP500!$B$2:$B$655),"")</f>
        <v>XLV</v>
      </c>
      <c r="F318" s="290">
        <v>45785</v>
      </c>
      <c r="G318" s="427" t="str">
        <f t="shared" si="437"/>
        <v>BMO</v>
      </c>
      <c r="H318" s="427" t="str">
        <f t="shared" si="438"/>
        <v>s</v>
      </c>
      <c r="I318" s="478">
        <v>8.6</v>
      </c>
      <c r="J318" s="491">
        <v>9</v>
      </c>
      <c r="K318" s="433">
        <f t="shared" si="439"/>
        <v>4.6511627906976785E-2</v>
      </c>
      <c r="L318" s="434">
        <f t="shared" si="440"/>
        <v>-44</v>
      </c>
      <c r="M318" s="435">
        <f t="shared" si="441"/>
        <v>0</v>
      </c>
      <c r="N318" s="437">
        <f t="shared" si="442"/>
        <v>-44</v>
      </c>
      <c r="O318" s="435">
        <f>IF(N318="",#N/A,SUM($N$4:N318))</f>
        <v>827.04002737534108</v>
      </c>
      <c r="P318" s="436">
        <f t="shared" si="536"/>
        <v>-0.77519379844961245</v>
      </c>
      <c r="Q318" s="440">
        <f>IF($N318="",#N/A,SUM($P$4:P318))</f>
        <v>16.070407871836952</v>
      </c>
      <c r="R318" s="441">
        <f t="shared" si="443"/>
        <v>4.5042345205182368</v>
      </c>
      <c r="S318" s="427" t="str">
        <f t="shared" si="444"/>
        <v>Dwn</v>
      </c>
      <c r="T318" s="427" t="s">
        <v>4461</v>
      </c>
      <c r="U318" s="442">
        <f t="shared" si="445"/>
        <v>8.6</v>
      </c>
      <c r="V318" s="442" t="s">
        <v>4458</v>
      </c>
      <c r="W318" s="444">
        <v>110</v>
      </c>
      <c r="X318" s="443">
        <f t="shared" si="446"/>
        <v>946</v>
      </c>
      <c r="Y318" s="444">
        <f t="shared" si="447"/>
        <v>110</v>
      </c>
      <c r="Z318" s="491">
        <v>9</v>
      </c>
      <c r="AA318" s="437">
        <f t="shared" si="448"/>
        <v>-44</v>
      </c>
      <c r="AB318" s="437">
        <f t="shared" si="449"/>
        <v>-53.899999999999977</v>
      </c>
      <c r="AC318" s="432">
        <v>9.09</v>
      </c>
      <c r="AD318" s="438">
        <f t="shared" si="450"/>
        <v>-53.899999999999977</v>
      </c>
      <c r="AE318" s="547">
        <f t="shared" si="451"/>
        <v>-0.94961240310077477</v>
      </c>
      <c r="AF318" s="435">
        <f>IF($AC318="",#N/A,SUM(AD$4:AD318))</f>
        <v>661.52861585861513</v>
      </c>
      <c r="AG318" s="437">
        <f t="shared" si="452"/>
        <v>-9.8999999999999773</v>
      </c>
      <c r="AH318" s="442" t="s">
        <v>2507</v>
      </c>
      <c r="AI318" s="436">
        <f t="shared" si="453"/>
        <v>-0.77519379844961245</v>
      </c>
      <c r="AJ318" s="446">
        <f>IF(AI318="",#N/A,SUM($AI$4:AI318))</f>
        <v>11.566173351318715</v>
      </c>
      <c r="AK318" s="435">
        <f t="shared" si="454"/>
        <v>-44</v>
      </c>
      <c r="AL318" s="447">
        <f>IF(AI318="",#N/A,IF(AH318="Skip",SUM($AK$4:AK318),SUM($AK$4:AK318)))</f>
        <v>515.50779149281425</v>
      </c>
      <c r="AM318" s="65">
        <f t="shared" si="537"/>
        <v>-0.94961240310077477</v>
      </c>
      <c r="AN318" s="209"/>
      <c r="AO318" s="436" t="str">
        <f t="shared" si="455"/>
        <v/>
      </c>
      <c r="AP318" s="436">
        <f>IF($AC318="",#N/A,SUM(AO$4:AO318))</f>
        <v>11.590319233033487</v>
      </c>
      <c r="AQ318" s="436" t="str">
        <f t="shared" si="456"/>
        <v/>
      </c>
      <c r="AR318" s="436">
        <f>IF($AC318="",#N/A,SUM(AQ$4:AQ318))</f>
        <v>-5.240698940107734</v>
      </c>
      <c r="AS318" s="436">
        <f t="shared" si="457"/>
        <v>-0.94961240310077477</v>
      </c>
      <c r="AT318" s="436">
        <f>IF($AC318="",#N/A,SUM(AS$4:AS318))</f>
        <v>4.6850841918952959</v>
      </c>
      <c r="AU318" s="435" t="str">
        <f t="shared" si="538"/>
        <v/>
      </c>
      <c r="AV318" s="435">
        <f>IF($AC318="",#N/A,SUM(AU$4:AU318))</f>
        <v>685.53249066104672</v>
      </c>
      <c r="AW318" s="435" t="str">
        <f t="shared" si="539"/>
        <v/>
      </c>
      <c r="AX318" s="435">
        <f>IF($AC318="",#N/A,SUM(AW$4:AW318))</f>
        <v>-349.11106797961111</v>
      </c>
      <c r="AY318" s="435">
        <f t="shared" si="540"/>
        <v>-53.899999999999977</v>
      </c>
      <c r="AZ318" s="435">
        <f>IF($AC318="",#N/A,SUM(AY$4:AY318))</f>
        <v>325.10719317717951</v>
      </c>
      <c r="BA318" s="435">
        <f>IF(AD318="",#N/A,SUM($AD$4:AD318))</f>
        <v>661.52861585861513</v>
      </c>
      <c r="BC318" s="427" t="str">
        <f t="shared" si="458"/>
        <v/>
      </c>
      <c r="BD318" s="427">
        <f t="shared" si="459"/>
        <v>1</v>
      </c>
      <c r="BE318" s="427" t="str">
        <f t="shared" si="460"/>
        <v/>
      </c>
      <c r="BF318" s="427" t="str">
        <f t="shared" si="461"/>
        <v>Short</v>
      </c>
      <c r="BG318" s="427" t="str">
        <f t="shared" si="462"/>
        <v/>
      </c>
      <c r="BH318" s="427" t="str">
        <f t="shared" si="463"/>
        <v/>
      </c>
      <c r="BI318" s="427" t="str">
        <f t="shared" si="464"/>
        <v/>
      </c>
      <c r="BK318" s="65">
        <f t="shared" si="544"/>
        <v>6.9127773332308309E-2</v>
      </c>
      <c r="BL318" s="65">
        <f t="shared" si="543"/>
        <v>0.10012131285302076</v>
      </c>
      <c r="BM318" s="65">
        <f>IFERROR(Q318/COUNTA($J$4:J318),#N/A)</f>
        <v>5.1017167847101433E-2</v>
      </c>
      <c r="BO318" s="489" t="e">
        <f>IF(J318="",#N/A,IF(S318="SW",(COUNTIFS(K$4:$K318,"&gt;0",S$4:$S318,"SW")/COUNTIF(S$4:$S318,"SW")),#N/A))</f>
        <v>#N/A</v>
      </c>
      <c r="BP318" s="489">
        <f>IF($J318="",#N/A,IF($S318="DWN",(COUNTIFS($K$4:$K318,"&lt;0",$S$4:$S318,"DWN")/COUNTIF($S$4:$S318,"DWN")),#N/A))</f>
        <v>0.55862068965517242</v>
      </c>
      <c r="BQ318" s="489" t="e">
        <f>IF($J318="",#N/A,IF($S318="UP",(COUNTIFS($K$4:$K318,"&gt;0",$S$4:$S318,"UP")/COUNTIF($S$4:$S318,"UP")),#N/A))</f>
        <v>#N/A</v>
      </c>
      <c r="BR318" s="489">
        <f>IF(J318="",#N/A,COUNTIF($K$4:K318,"&gt;0")/COUNT($J$4:J318))</f>
        <v>0.46984126984126984</v>
      </c>
      <c r="BS318" s="65" t="str">
        <f t="shared" si="465"/>
        <v/>
      </c>
      <c r="BT318" s="65" t="str">
        <f t="shared" si="466"/>
        <v/>
      </c>
      <c r="BU318" s="65" t="str">
        <f t="shared" si="467"/>
        <v/>
      </c>
      <c r="BV318" s="65">
        <f t="shared" si="468"/>
        <v>-0.77519379844961245</v>
      </c>
      <c r="BW318" s="128" t="str">
        <f t="shared" si="469"/>
        <v/>
      </c>
      <c r="BX318" s="128">
        <f>IF($J318="",#N/A,SUM($BW$4:BW318))</f>
        <v>-335.91317034792883</v>
      </c>
      <c r="BY318" s="131">
        <f t="shared" si="470"/>
        <v>-44</v>
      </c>
      <c r="BZ318" s="131">
        <f>IF($J318="",#N/A,SUM($BY$4:BY318))</f>
        <v>621.07161346139458</v>
      </c>
      <c r="CA318" s="133" t="str">
        <f t="shared" si="471"/>
        <v/>
      </c>
      <c r="CB318" s="133">
        <f>IF($J318="",#N/A,SUM($CA$4:CA318))</f>
        <v>541.88158426187533</v>
      </c>
      <c r="CC318" s="194" t="str">
        <f t="shared" si="472"/>
        <v/>
      </c>
      <c r="CD318" s="194">
        <f>IF($J318="",#N/A,SUM($CC$4:CC318))</f>
        <v>-5.0648594286427402</v>
      </c>
      <c r="CE318" s="195">
        <f t="shared" si="473"/>
        <v>-0.77519379844961245</v>
      </c>
      <c r="CF318" s="195">
        <f>IF($J318="",#N/A,SUM($CE$4:CE318))</f>
        <v>11.010750222916213</v>
      </c>
      <c r="CG318" s="196" t="str">
        <f t="shared" si="474"/>
        <v/>
      </c>
      <c r="CH318" s="196">
        <f>IF($J318="",#N/A,SUM($CG$4:CG318))</f>
        <v>10.124517077563485</v>
      </c>
      <c r="CI318" s="200" t="str">
        <f t="shared" si="475"/>
        <v/>
      </c>
      <c r="CJ318" s="203">
        <f>IF($J318="",#N/A,SUM(CI$4:CI318))</f>
        <v>0</v>
      </c>
      <c r="CK318" s="204" t="str">
        <f t="shared" si="476"/>
        <v/>
      </c>
      <c r="CL318" s="204">
        <f>IF($J318="",#N/A,SUM(CK$4:CK318))</f>
        <v>2.4085740385592547</v>
      </c>
      <c r="CM318" s="205" t="str">
        <f t="shared" si="477"/>
        <v/>
      </c>
      <c r="CN318" s="205">
        <f>IF($J318="",#N/A,SUM(CM$4:CM318))</f>
        <v>1.6494621984783118</v>
      </c>
      <c r="CO318" s="205">
        <f>IF($J318="",#N/A,SUM(CM$4:CM318,CK$4:CK318,CI$4:CI318))</f>
        <v>4.0580362370375669</v>
      </c>
      <c r="CP318" s="200" t="str">
        <f t="shared" si="478"/>
        <v/>
      </c>
      <c r="CQ318" s="203">
        <f>IF($J318="",#N/A,SUM(CP$4:CP318))</f>
        <v>-2.5399197875602422</v>
      </c>
      <c r="CR318" s="204" t="str">
        <f t="shared" si="479"/>
        <v/>
      </c>
      <c r="CS318" s="204">
        <f>IF($J318="",#N/A,SUM(CR$4:CR318))</f>
        <v>2.3600225017004668</v>
      </c>
      <c r="CT318" s="205" t="str">
        <f t="shared" si="480"/>
        <v/>
      </c>
      <c r="CU318" s="205">
        <f>IF($J318="",#N/A,SUM(CT$4:CT318))</f>
        <v>-0.67755161299190814</v>
      </c>
      <c r="CV318" s="205">
        <f>IF($J318="",#N/A,SUM(CT$4:CT318,CR$4:CR318,CP$4:CP318))</f>
        <v>-0.85744889885168352</v>
      </c>
      <c r="CW318" s="200" t="str">
        <f t="shared" si="481"/>
        <v/>
      </c>
      <c r="CX318" s="203">
        <f>IF($J318="",#N/A,SUM(CW$4:CW318))</f>
        <v>-0.29399505935581682</v>
      </c>
      <c r="CY318" s="204" t="str">
        <f t="shared" si="482"/>
        <v/>
      </c>
      <c r="CZ318" s="204">
        <f>IF($J318="",#N/A,SUM(CY$4:CY318))</f>
        <v>-0.20119965665334139</v>
      </c>
      <c r="DA318" s="205" t="str">
        <f t="shared" si="483"/>
        <v/>
      </c>
      <c r="DB318" s="205">
        <f>IF($J318="",#N/A,SUM(DA$4:DA318))</f>
        <v>-1.1581788995104692</v>
      </c>
      <c r="DC318" s="205">
        <f>IF($J318="",#N/A,SUM(DA$4:DA318,CY$4:CY318,CW$4:CW318))</f>
        <v>-1.653373615519627</v>
      </c>
      <c r="DD318" s="200" t="str">
        <f t="shared" si="484"/>
        <v/>
      </c>
      <c r="DE318" s="203">
        <f>IF($J318="",#N/A,SUM(DD$4:DD318))</f>
        <v>1.2501454750716789</v>
      </c>
      <c r="DF318" s="204" t="str">
        <f t="shared" si="485"/>
        <v/>
      </c>
      <c r="DG318" s="204">
        <f>IF($J318="",#N/A,SUM(DF$4:DF318))</f>
        <v>2.626961496209514</v>
      </c>
      <c r="DH318" s="205" t="str">
        <f t="shared" si="486"/>
        <v/>
      </c>
      <c r="DI318" s="205">
        <f>IF($J318="",#N/A,SUM(DH$4:DH318))</f>
        <v>-2.7812008102163399</v>
      </c>
      <c r="DJ318" s="205">
        <f>IF($J318="",#N/A,SUM(DH$4:DH318,DF$4:DF318,DD$4:DD318))</f>
        <v>1.0959061610648531</v>
      </c>
      <c r="DK318" s="200" t="str">
        <f t="shared" si="487"/>
        <v/>
      </c>
      <c r="DL318" s="203">
        <f>IF($J318="",#N/A,SUM(DK$4:DK318))</f>
        <v>-1.2097286851272664</v>
      </c>
      <c r="DM318" s="204" t="str">
        <f t="shared" si="488"/>
        <v/>
      </c>
      <c r="DN318" s="204">
        <f>IF($J318="",#N/A,SUM(DM$4:DM318))</f>
        <v>1.0869486202729304</v>
      </c>
      <c r="DO318" s="205" t="str">
        <f t="shared" si="489"/>
        <v/>
      </c>
      <c r="DP318" s="205">
        <f>IF($J318="",#N/A,SUM(DO$4:DO318))</f>
        <v>2.700331529683047</v>
      </c>
      <c r="DQ318" s="205">
        <f>IF($J318="",#N/A,SUM(DO$4:DO318,DM$4:DM318,DK$4:DK318))</f>
        <v>2.5775514648287112</v>
      </c>
      <c r="DR318" s="200" t="str">
        <f t="shared" si="490"/>
        <v/>
      </c>
      <c r="DS318" s="203">
        <f>IF($J318="",#N/A,SUM(DR$4:DR318))</f>
        <v>-0.55950946427675097</v>
      </c>
      <c r="DT318" s="204" t="str">
        <f t="shared" si="491"/>
        <v/>
      </c>
      <c r="DU318" s="204">
        <f>IF($J318="",#N/A,SUM(DT$4:DT318))</f>
        <v>-0.20750635820596686</v>
      </c>
      <c r="DV318" s="205" t="str">
        <f t="shared" si="492"/>
        <v/>
      </c>
      <c r="DW318" s="205">
        <f>IF($J318="",#N/A,SUM(DV$4:DV318))</f>
        <v>-2.3377035686214001</v>
      </c>
      <c r="DX318" s="205">
        <f>IF($J318="",#N/A,SUM(DV$4:DV318,DT$4:DT318,DR$4:DR318))</f>
        <v>-3.1047193911041169</v>
      </c>
      <c r="DY318" s="200" t="str">
        <f t="shared" si="493"/>
        <v/>
      </c>
      <c r="DZ318" s="203">
        <f>IF($J318="",#N/A,SUM(DY$4:DY318))</f>
        <v>-1.6284722482776204</v>
      </c>
      <c r="EA318" s="204" t="str">
        <f t="shared" si="494"/>
        <v/>
      </c>
      <c r="EB318" s="204">
        <f>IF($J318="",#N/A,SUM(EA$4:EA318))</f>
        <v>2.276197208799712</v>
      </c>
      <c r="EC318" s="205" t="str">
        <f t="shared" si="495"/>
        <v/>
      </c>
      <c r="ED318" s="205">
        <f>IF($J318="",#N/A,SUM(EC$4:EC318))</f>
        <v>8.6307007550759458</v>
      </c>
      <c r="EE318" s="205">
        <f>IF($J318="",#N/A,SUM(EC$4:EC318,EA$4:EA318,DY$4:DY318))</f>
        <v>9.2784257155980399</v>
      </c>
      <c r="EF318" s="200" t="str">
        <f t="shared" si="496"/>
        <v/>
      </c>
      <c r="EG318" s="203">
        <f>IF($J318="",#N/A,SUM(EF$4:EF318))</f>
        <v>0.12123845414313134</v>
      </c>
      <c r="EH318" s="204">
        <f t="shared" si="497"/>
        <v>-0.77519379844961245</v>
      </c>
      <c r="EI318" s="204">
        <f>IF($J318="",#N/A,SUM(EH$4:EH318))</f>
        <v>-3.5125331561187787</v>
      </c>
      <c r="EJ318" s="205" t="str">
        <f t="shared" si="498"/>
        <v/>
      </c>
      <c r="EK318" s="205">
        <f>IF($J318="",#N/A,SUM(EJ$4:EJ318))</f>
        <v>5.050388173053765</v>
      </c>
      <c r="EL318" s="205">
        <f>IF($J318="",#N/A,SUM(EJ$4:EJ318,EH$4:EH318,EF$4:EF318))</f>
        <v>1.6590934710781176</v>
      </c>
      <c r="EM318" s="200" t="str">
        <f t="shared" si="499"/>
        <v/>
      </c>
      <c r="EN318" s="203">
        <f>IF($J318="",#N/A,SUM(EM$4:EM318))</f>
        <v>0</v>
      </c>
      <c r="EO318" s="204" t="str">
        <f t="shared" si="500"/>
        <v/>
      </c>
      <c r="EP318" s="204">
        <f>IF($J318="",#N/A,SUM(EO$4:EO318))</f>
        <v>2.4788862078089964</v>
      </c>
      <c r="EQ318" s="205" t="str">
        <f t="shared" si="501"/>
        <v/>
      </c>
      <c r="ER318" s="205">
        <f>IF($J318="",#N/A,SUM(EQ$4:EQ318))</f>
        <v>2.6983279209445628</v>
      </c>
      <c r="ES318" s="205">
        <f>IF($J318="",#N/A,SUM(EQ$4:EQ318,EO$4:EO318,EM$4:EM318))</f>
        <v>5.1772141287535591</v>
      </c>
      <c r="ET318" s="200" t="str">
        <f t="shared" si="502"/>
        <v/>
      </c>
      <c r="EU318" s="203">
        <f>IF($J318="",#N/A,SUM(ET$4:ET318))</f>
        <v>0</v>
      </c>
      <c r="EV318" s="204" t="str">
        <f t="shared" si="503"/>
        <v/>
      </c>
      <c r="EW318" s="204">
        <f>IF($J318="",#N/A,SUM(EV$4:EV318))</f>
        <v>2.3210103028360365</v>
      </c>
      <c r="EX318" s="205" t="str">
        <f t="shared" si="504"/>
        <v/>
      </c>
      <c r="EY318" s="205">
        <f>IF($J318="",#N/A,SUM(EX$4:EX318))</f>
        <v>0.27113250180669229</v>
      </c>
      <c r="EZ318" s="205">
        <f>IF($J318="",#N/A,SUM(EX$4:EX318,EV$4:EV318,ET$4:ET318))</f>
        <v>2.5921428046427284</v>
      </c>
      <c r="FA318" s="200" t="str">
        <f t="shared" si="505"/>
        <v/>
      </c>
      <c r="FB318" s="203">
        <f>IF($J318="",#N/A,SUM(FA$4:FA318))</f>
        <v>-0.27145310509113252</v>
      </c>
      <c r="FC318" s="204" t="str">
        <f t="shared" si="506"/>
        <v/>
      </c>
      <c r="FD318" s="204">
        <f>IF($J318="",#N/A,SUM(FC$4:FC318))</f>
        <v>0.89084290967454072</v>
      </c>
      <c r="FE318" s="205" t="str">
        <f t="shared" si="507"/>
        <v/>
      </c>
      <c r="FF318" s="205">
        <f>IF($J318="",#N/A,SUM(FE$4:FE318))</f>
        <v>-0.28811149078748233</v>
      </c>
      <c r="FG318" s="205">
        <f>IF($J318="",#N/A,SUM(FE$4:FE318,FC$4:FC318,FA$4:FA318))</f>
        <v>0.3312783137959262</v>
      </c>
      <c r="FH318" s="200" t="str">
        <f t="shared" si="508"/>
        <v/>
      </c>
      <c r="FI318" s="203">
        <f>IF($J318="",#N/A,SUM(FH$4:FH318))</f>
        <v>0</v>
      </c>
      <c r="FJ318" s="204" t="str">
        <f t="shared" si="509"/>
        <v/>
      </c>
      <c r="FK318" s="204">
        <f>IF($J318="",#N/A,SUM(FJ$4:FJ318))</f>
        <v>0</v>
      </c>
      <c r="FL318" s="205" t="str">
        <f t="shared" si="510"/>
        <v/>
      </c>
      <c r="FM318" s="205">
        <f>IF($J318="",#N/A,SUM(FL$4:FL318))</f>
        <v>0</v>
      </c>
      <c r="FN318" s="205">
        <f>IF($J318="",#N/A,SUM(FL$4:FL318,FJ$4:FJ318,FH$4:FH318))</f>
        <v>0</v>
      </c>
      <c r="FO318" s="200" t="str">
        <f t="shared" si="511"/>
        <v/>
      </c>
      <c r="FP318" s="203">
        <f>IF($J318="",#N/A,SUM(FO$4:FO318))</f>
        <v>0</v>
      </c>
      <c r="FQ318" s="204" t="str">
        <f t="shared" si="512"/>
        <v/>
      </c>
      <c r="FR318" s="204">
        <f>IF($J318="",#N/A,SUM(FQ$4:FQ318))</f>
        <v>0</v>
      </c>
      <c r="FS318" s="205" t="str">
        <f t="shared" si="513"/>
        <v/>
      </c>
      <c r="FT318" s="205">
        <f>IF($J318="",#N/A,SUM(FS$4:FS318))</f>
        <v>0</v>
      </c>
      <c r="FU318" s="205">
        <f>IF($J318="",#N/A,SUM(FS$4:FS318,FQ$4:FQ318,FO$4:FO318))</f>
        <v>0</v>
      </c>
      <c r="FV318" s="200" t="str">
        <f t="shared" si="514"/>
        <v/>
      </c>
      <c r="FW318" s="203">
        <f>IF($J318="",#N/A,SUM(FV$4:FV318))</f>
        <v>6.6834991831277585E-2</v>
      </c>
      <c r="FX318" s="204" t="str">
        <f t="shared" si="515"/>
        <v/>
      </c>
      <c r="FY318" s="204">
        <f>IF($J318="",#N/A,SUM(FX$4:FX318))</f>
        <v>-0.16102012791805576</v>
      </c>
      <c r="FZ318" s="205" t="str">
        <f t="shared" si="516"/>
        <v/>
      </c>
      <c r="GA318" s="205">
        <f>IF($J318="",#N/A,SUM(FZ$4:FZ318))</f>
        <v>-0.69624339162892301</v>
      </c>
      <c r="GB318" s="205">
        <f>IF($J318="",#N/A,SUM(FZ$4:FZ318,FX$4:FX318,FV$4:FV318))</f>
        <v>-0.79042852771570116</v>
      </c>
      <c r="GC318" s="200" t="str">
        <f t="shared" si="517"/>
        <v/>
      </c>
      <c r="GD318" s="203">
        <f>IF($J318="",#N/A,SUM(GC$4:GC318))</f>
        <v>0</v>
      </c>
      <c r="GE318" s="204" t="str">
        <f t="shared" si="518"/>
        <v/>
      </c>
      <c r="GF318" s="204">
        <f>IF($J318="",#N/A,SUM(GE$4:GE318))</f>
        <v>0</v>
      </c>
      <c r="GG318" s="205" t="str">
        <f t="shared" si="519"/>
        <v/>
      </c>
      <c r="GH318" s="205">
        <f>IF($J318="",#N/A,SUM(GG$4:GG318))</f>
        <v>-2.9368362277223206</v>
      </c>
      <c r="GI318" s="205">
        <f>IF($J318="",#N/A,SUM(GG$4:GG318,GE$4:GE318,GC$4:GC318))</f>
        <v>-2.9368362277223206</v>
      </c>
      <c r="GJ318" s="200" t="str">
        <f t="shared" si="520"/>
        <v/>
      </c>
      <c r="GK318" s="203">
        <f>IF($J318="",#N/A,SUM(GJ$4:GJ318))</f>
        <v>0</v>
      </c>
      <c r="GL318" s="204" t="str">
        <f t="shared" si="521"/>
        <v/>
      </c>
      <c r="GM318" s="204">
        <f>IF($J318="",#N/A,SUM(GL$4:GL318))</f>
        <v>-1.6833790887309608</v>
      </c>
      <c r="GN318" s="205" t="str">
        <f t="shared" si="522"/>
        <v/>
      </c>
      <c r="GO318" s="205">
        <f>IF($J318="",#N/A,SUM(GN$4:GN318))</f>
        <v>0</v>
      </c>
      <c r="GP318" s="205">
        <f>IF($J318="",#N/A,SUM(GN$4:GN318,GL$4:GL318,GJ$4:GJ318))</f>
        <v>-1.6833790887309608</v>
      </c>
      <c r="GS318" s="439">
        <f t="shared" si="541"/>
        <v>-0.77519379844961245</v>
      </c>
      <c r="GT318" s="439">
        <f>IF(GS318="",NA(),SUM($GS$4:GS318))</f>
        <v>10.57879942259107</v>
      </c>
      <c r="GU318" s="439" t="str">
        <f t="shared" si="523"/>
        <v/>
      </c>
      <c r="GV318" s="439" t="e">
        <f>IF(GU318="",NA(),SUM($GU$4:GU318))</f>
        <v>#N/A</v>
      </c>
      <c r="GW318" s="439" t="str">
        <f t="shared" si="524"/>
        <v/>
      </c>
      <c r="GX318" s="439" t="e">
        <f>IF(GW318="",NA(),SUM($GW$4:GW318))</f>
        <v>#N/A</v>
      </c>
      <c r="GY318" s="439">
        <f t="shared" si="525"/>
        <v>-0.77519379844961245</v>
      </c>
      <c r="GZ318" s="439">
        <f>IF(GY318="",NA(),SUM($GY$4:GY318))</f>
        <v>6.2075436469382996</v>
      </c>
      <c r="HA318" s="439" t="str">
        <f t="shared" si="526"/>
        <v/>
      </c>
      <c r="HB318" s="439" t="e">
        <f>IF(HA318="",NA(),SUM($HA$4:HA318))</f>
        <v>#N/A</v>
      </c>
      <c r="HC318" s="439" t="str">
        <f t="shared" si="527"/>
        <v/>
      </c>
      <c r="HD318" s="439" t="e">
        <f>IF(HC318="",NA(),SUM($HC$4:HC318))</f>
        <v>#N/A</v>
      </c>
      <c r="HE318" s="439" t="str">
        <f t="shared" si="528"/>
        <v/>
      </c>
      <c r="HF318" s="439" t="e">
        <f>IF(HE318="",NA(),SUM($HE$4:HE318))</f>
        <v>#N/A</v>
      </c>
      <c r="HG318" s="439" t="str">
        <f t="shared" si="529"/>
        <v/>
      </c>
      <c r="HH318" s="439" t="e">
        <f>IF(HG318="",NA(),SUM($HG$4:HG318))</f>
        <v>#N/A</v>
      </c>
      <c r="HI318" s="440" t="str">
        <f t="shared" si="542"/>
        <v/>
      </c>
      <c r="HJ318" s="440">
        <f>IF($J318="",#N/A,SUM(HI$4:$HI318))</f>
        <v>-8.3906643104804512</v>
      </c>
      <c r="HK318" s="439">
        <f t="shared" si="530"/>
        <v>-0.17441860465116232</v>
      </c>
      <c r="HL318" s="439">
        <f>IF($J318="",#N/A,SUM($HK$4:HK318))</f>
        <v>2.0649982794595436</v>
      </c>
      <c r="HM318" s="439" t="str">
        <f t="shared" si="531"/>
        <v/>
      </c>
      <c r="HN318" s="439">
        <f>IF($J318="",#N/A,SUM($HM$4:HM318))</f>
        <v>0.51892302078694874</v>
      </c>
      <c r="HO318" s="439" t="str">
        <f t="shared" si="532"/>
        <v/>
      </c>
      <c r="HP318" s="439">
        <f>IF($J318="",#N/A,SUM($HO$4:HO318))</f>
        <v>-0.69476253225193951</v>
      </c>
      <c r="HQ318" s="439" t="str">
        <f t="shared" si="533"/>
        <v/>
      </c>
      <c r="HR318" s="439">
        <f>IF($J318="",#N/A,SUM($HQ$4:HQ318))</f>
        <v>-13.50506252757291</v>
      </c>
      <c r="HS318" s="439" t="str">
        <f t="shared" si="534"/>
        <v/>
      </c>
      <c r="HT318" s="439">
        <f>IF($J318="",#N/A,SUM($HS$4:HS318))</f>
        <v>15.486812150209897</v>
      </c>
      <c r="HU318" s="436">
        <f t="shared" si="535"/>
        <v>-0.94961240310077477</v>
      </c>
      <c r="HV318" s="436">
        <f>IF($J318="",#N/A,SUM(HU$4:$HU318))</f>
        <v>11.034704484821052</v>
      </c>
    </row>
    <row r="319" spans="1:230" ht="15.75" thickBot="1" x14ac:dyDescent="0.3">
      <c r="A319" s="292" t="s">
        <v>517</v>
      </c>
      <c r="B319" s="293" t="s">
        <v>4598</v>
      </c>
      <c r="C319" s="294">
        <f t="shared" si="436"/>
        <v>2</v>
      </c>
      <c r="D319" s="295" t="str">
        <f>_xlfn.XLOOKUP(A319,[1]SP500!$A$2:$A$502,[1]SP500!$D$2:$D$502,"N")</f>
        <v>Y</v>
      </c>
      <c r="E319" s="292" t="str">
        <f>IFERROR(_xlfn.XLOOKUP(A319,[1]SP500!$A$2:$A$655,[1]SP500!$B$2:$B$655),"")</f>
        <v>XLC</v>
      </c>
      <c r="F319" s="296">
        <v>45785</v>
      </c>
      <c r="G319" s="292" t="str">
        <f t="shared" si="437"/>
        <v>BMO</v>
      </c>
      <c r="H319" s="292" t="str">
        <f t="shared" si="438"/>
        <v>o</v>
      </c>
      <c r="I319" s="345">
        <v>8.56</v>
      </c>
      <c r="J319" s="297">
        <v>8.16</v>
      </c>
      <c r="K319" s="298">
        <f t="shared" si="439"/>
        <v>-4.6728971962616862E-2</v>
      </c>
      <c r="L319" s="299">
        <f t="shared" si="440"/>
        <v>-50</v>
      </c>
      <c r="M319" s="300">
        <f t="shared" si="441"/>
        <v>0</v>
      </c>
      <c r="N319" s="341">
        <f t="shared" si="442"/>
        <v>50</v>
      </c>
      <c r="O319" s="300">
        <f>IF(N319="",#N/A,SUM($N$4:N319))</f>
        <v>877.04002737534108</v>
      </c>
      <c r="P319" s="305">
        <f t="shared" si="536"/>
        <v>0.77881619937694702</v>
      </c>
      <c r="Q319" s="304">
        <f>IF($N319="",#N/A,SUM($P$4:P319))</f>
        <v>16.8492240712139</v>
      </c>
      <c r="R319" s="307">
        <f t="shared" si="443"/>
        <v>6.0618669192721324</v>
      </c>
      <c r="S319" s="292" t="str">
        <f t="shared" si="444"/>
        <v>Dwn</v>
      </c>
      <c r="T319" s="292" t="s">
        <v>4462</v>
      </c>
      <c r="U319" s="308">
        <f t="shared" si="445"/>
        <v>8.56</v>
      </c>
      <c r="V319" s="308" t="s">
        <v>4460</v>
      </c>
      <c r="W319" s="310">
        <v>125</v>
      </c>
      <c r="X319" s="309">
        <f t="shared" si="446"/>
        <v>1070</v>
      </c>
      <c r="Y319" s="310">
        <f t="shared" si="447"/>
        <v>125</v>
      </c>
      <c r="Z319" s="313">
        <v>8.16</v>
      </c>
      <c r="AA319" s="341">
        <f t="shared" si="448"/>
        <v>-50</v>
      </c>
      <c r="AB319" s="341">
        <f t="shared" si="449"/>
        <v>56.25</v>
      </c>
      <c r="AC319" s="297">
        <v>9.01</v>
      </c>
      <c r="AD319" s="301">
        <f t="shared" si="450"/>
        <v>-56.25</v>
      </c>
      <c r="AE319" s="546">
        <f t="shared" si="451"/>
        <v>-0.87616822429906538</v>
      </c>
      <c r="AF319" s="300">
        <f>IF($AC319="",#N/A,SUM(AD$4:AD319))</f>
        <v>605.27861585861513</v>
      </c>
      <c r="AG319" s="341">
        <f t="shared" si="452"/>
        <v>-106.25</v>
      </c>
      <c r="AH319" s="308" t="s">
        <v>2507</v>
      </c>
      <c r="AI319" s="305">
        <f t="shared" si="453"/>
        <v>-0.77881619937694702</v>
      </c>
      <c r="AJ319" s="418">
        <f>IF(AI319="",#N/A,SUM($AI$4:AI319))</f>
        <v>10.787357151941768</v>
      </c>
      <c r="AK319" s="300">
        <f t="shared" si="454"/>
        <v>-50</v>
      </c>
      <c r="AL319" s="406">
        <f>IF(AI319="",#N/A,IF(AH319="Skip",SUM($AK$4:AK319),SUM($AK$4:AK319)))</f>
        <v>465.50779149281425</v>
      </c>
      <c r="AM319" s="65">
        <f t="shared" si="537"/>
        <v>-0.87616822429906538</v>
      </c>
      <c r="AN319" s="209"/>
      <c r="AO319" s="305" t="str">
        <f t="shared" si="455"/>
        <v/>
      </c>
      <c r="AP319" s="305">
        <f>IF($AC319="",#N/A,SUM(AO$4:AO319))</f>
        <v>11.590319233033487</v>
      </c>
      <c r="AQ319" s="305" t="str">
        <f t="shared" si="456"/>
        <v/>
      </c>
      <c r="AR319" s="305">
        <f>IF($AC319="",#N/A,SUM(AQ$4:AQ319))</f>
        <v>-5.240698940107734</v>
      </c>
      <c r="AS319" s="305">
        <f t="shared" si="457"/>
        <v>-0.87616822429906538</v>
      </c>
      <c r="AT319" s="305">
        <f>IF($AC319="",#N/A,SUM(AS$4:AS319))</f>
        <v>3.8089159675962305</v>
      </c>
      <c r="AU319" s="300" t="str">
        <f t="shared" si="538"/>
        <v/>
      </c>
      <c r="AV319" s="300">
        <f>IF($AC319="",#N/A,SUM(AU$4:AU319))</f>
        <v>685.53249066104672</v>
      </c>
      <c r="AW319" s="300" t="str">
        <f t="shared" si="539"/>
        <v/>
      </c>
      <c r="AX319" s="300">
        <f>IF($AC319="",#N/A,SUM(AW$4:AW319))</f>
        <v>-349.11106797961111</v>
      </c>
      <c r="AY319" s="300">
        <f t="shared" si="540"/>
        <v>-56.25</v>
      </c>
      <c r="AZ319" s="300">
        <f>IF($AC319="",#N/A,SUM(AY$4:AY319))</f>
        <v>268.85719317717951</v>
      </c>
      <c r="BA319" s="300">
        <f>IF(AD319="",#N/A,SUM($AD$4:AD319))</f>
        <v>605.27861585861513</v>
      </c>
      <c r="BC319" s="292" t="str">
        <f t="shared" si="458"/>
        <v/>
      </c>
      <c r="BD319" s="292" t="str">
        <f t="shared" si="459"/>
        <v/>
      </c>
      <c r="BE319" s="292" t="str">
        <f t="shared" si="460"/>
        <v/>
      </c>
      <c r="BF319" s="292" t="str">
        <f t="shared" si="461"/>
        <v>Short</v>
      </c>
      <c r="BG319" s="292">
        <f t="shared" si="462"/>
        <v>1</v>
      </c>
      <c r="BH319" s="292" t="str">
        <f t="shared" si="463"/>
        <v/>
      </c>
      <c r="BI319" s="292" t="str">
        <f t="shared" si="464"/>
        <v/>
      </c>
      <c r="BK319" s="65">
        <f t="shared" si="544"/>
        <v>7.2746857595389611E-2</v>
      </c>
      <c r="BL319" s="65">
        <f t="shared" si="543"/>
        <v>9.1175433016905463E-2</v>
      </c>
      <c r="BM319" s="65">
        <f>IFERROR(Q319/COUNTA($J$4:J319),#N/A)</f>
        <v>5.3320329339284496E-2</v>
      </c>
      <c r="BO319" s="489" t="e">
        <f>IF(J319="",#N/A,IF(S319="SW",(COUNTIFS(K$4:$K319,"&gt;0",S$4:$S319,"SW")/COUNTIF(S$4:$S319,"SW")),#N/A))</f>
        <v>#N/A</v>
      </c>
      <c r="BP319" s="489">
        <f>IF($J319="",#N/A,IF($S319="DWN",(COUNTIFS($K$4:$K319,"&lt;0",$S$4:$S319,"DWN")/COUNTIF($S$4:$S319,"DWN")),#N/A))</f>
        <v>0.56164383561643838</v>
      </c>
      <c r="BQ319" s="489" t="e">
        <f>IF($J319="",#N/A,IF($S319="UP",(COUNTIFS($K$4:$K319,"&gt;0",$S$4:$S319,"UP")/COUNTIF($S$4:$S319,"UP")),#N/A))</f>
        <v>#N/A</v>
      </c>
      <c r="BR319" s="489">
        <f>IF(J319="",#N/A,COUNTIF($K$4:K319,"&gt;0")/COUNT($J$4:J319))</f>
        <v>0.46835443037974683</v>
      </c>
      <c r="BS319" s="65" t="str">
        <f t="shared" si="465"/>
        <v/>
      </c>
      <c r="BT319" s="65">
        <f t="shared" si="466"/>
        <v>0.77881619937694702</v>
      </c>
      <c r="BU319" s="65" t="str">
        <f t="shared" si="467"/>
        <v/>
      </c>
      <c r="BV319" s="65" t="str">
        <f t="shared" si="468"/>
        <v/>
      </c>
      <c r="BW319" s="128" t="str">
        <f t="shared" si="469"/>
        <v/>
      </c>
      <c r="BX319" s="128">
        <f>IF($J319="",#N/A,SUM($BW$4:BW319))</f>
        <v>-335.91317034792883</v>
      </c>
      <c r="BY319" s="131">
        <f t="shared" si="470"/>
        <v>50</v>
      </c>
      <c r="BZ319" s="131">
        <f>IF($J319="",#N/A,SUM($BY$4:BY319))</f>
        <v>671.07161346139458</v>
      </c>
      <c r="CA319" s="133" t="str">
        <f t="shared" si="471"/>
        <v/>
      </c>
      <c r="CB319" s="133">
        <f>IF($J319="",#N/A,SUM($CA$4:CA319))</f>
        <v>541.88158426187533</v>
      </c>
      <c r="CC319" s="194" t="str">
        <f t="shared" si="472"/>
        <v/>
      </c>
      <c r="CD319" s="194">
        <f>IF($J319="",#N/A,SUM($CC$4:CC319))</f>
        <v>-5.0648594286427402</v>
      </c>
      <c r="CE319" s="195">
        <f t="shared" si="473"/>
        <v>0.77881619937694702</v>
      </c>
      <c r="CF319" s="195">
        <f>IF($J319="",#N/A,SUM($CE$4:CE319))</f>
        <v>11.789566422293161</v>
      </c>
      <c r="CG319" s="196" t="str">
        <f t="shared" si="474"/>
        <v/>
      </c>
      <c r="CH319" s="196">
        <f>IF($J319="",#N/A,SUM($CG$4:CG319))</f>
        <v>10.124517077563485</v>
      </c>
      <c r="CI319" s="200" t="str">
        <f t="shared" si="475"/>
        <v/>
      </c>
      <c r="CJ319" s="203">
        <f>IF($J319="",#N/A,SUM(CI$4:CI319))</f>
        <v>0</v>
      </c>
      <c r="CK319" s="204" t="str">
        <f t="shared" si="476"/>
        <v/>
      </c>
      <c r="CL319" s="204">
        <f>IF($J319="",#N/A,SUM(CK$4:CK319))</f>
        <v>2.4085740385592547</v>
      </c>
      <c r="CM319" s="205" t="str">
        <f t="shared" si="477"/>
        <v/>
      </c>
      <c r="CN319" s="205">
        <f>IF($J319="",#N/A,SUM(CM$4:CM319))</f>
        <v>1.6494621984783118</v>
      </c>
      <c r="CO319" s="205">
        <f>IF($J319="",#N/A,SUM(CM$4:CM319,CK$4:CK319,CI$4:CI319))</f>
        <v>4.0580362370375669</v>
      </c>
      <c r="CP319" s="200" t="str">
        <f t="shared" si="478"/>
        <v/>
      </c>
      <c r="CQ319" s="203">
        <f>IF($J319="",#N/A,SUM(CP$4:CP319))</f>
        <v>-2.5399197875602422</v>
      </c>
      <c r="CR319" s="204" t="str">
        <f t="shared" si="479"/>
        <v/>
      </c>
      <c r="CS319" s="204">
        <f>IF($J319="",#N/A,SUM(CR$4:CR319))</f>
        <v>2.3600225017004668</v>
      </c>
      <c r="CT319" s="205" t="str">
        <f t="shared" si="480"/>
        <v/>
      </c>
      <c r="CU319" s="205">
        <f>IF($J319="",#N/A,SUM(CT$4:CT319))</f>
        <v>-0.67755161299190814</v>
      </c>
      <c r="CV319" s="205">
        <f>IF($J319="",#N/A,SUM(CT$4:CT319,CR$4:CR319,CP$4:CP319))</f>
        <v>-0.85744889885168352</v>
      </c>
      <c r="CW319" s="200" t="str">
        <f t="shared" si="481"/>
        <v/>
      </c>
      <c r="CX319" s="203">
        <f>IF($J319="",#N/A,SUM(CW$4:CW319))</f>
        <v>-0.29399505935581682</v>
      </c>
      <c r="CY319" s="204" t="str">
        <f t="shared" si="482"/>
        <v/>
      </c>
      <c r="CZ319" s="204">
        <f>IF($J319="",#N/A,SUM(CY$4:CY319))</f>
        <v>-0.20119965665334139</v>
      </c>
      <c r="DA319" s="205" t="str">
        <f t="shared" si="483"/>
        <v/>
      </c>
      <c r="DB319" s="205">
        <f>IF($J319="",#N/A,SUM(DA$4:DA319))</f>
        <v>-1.1581788995104692</v>
      </c>
      <c r="DC319" s="205">
        <f>IF($J319="",#N/A,SUM(DA$4:DA319,CY$4:CY319,CW$4:CW319))</f>
        <v>-1.653373615519627</v>
      </c>
      <c r="DD319" s="200" t="str">
        <f t="shared" si="484"/>
        <v/>
      </c>
      <c r="DE319" s="203">
        <f>IF($J319="",#N/A,SUM(DD$4:DD319))</f>
        <v>1.2501454750716789</v>
      </c>
      <c r="DF319" s="204" t="str">
        <f t="shared" si="485"/>
        <v/>
      </c>
      <c r="DG319" s="204">
        <f>IF($J319="",#N/A,SUM(DF$4:DF319))</f>
        <v>2.626961496209514</v>
      </c>
      <c r="DH319" s="205" t="str">
        <f t="shared" si="486"/>
        <v/>
      </c>
      <c r="DI319" s="205">
        <f>IF($J319="",#N/A,SUM(DH$4:DH319))</f>
        <v>-2.7812008102163399</v>
      </c>
      <c r="DJ319" s="205">
        <f>IF($J319="",#N/A,SUM(DH$4:DH319,DF$4:DF319,DD$4:DD319))</f>
        <v>1.0959061610648531</v>
      </c>
      <c r="DK319" s="200" t="str">
        <f t="shared" si="487"/>
        <v/>
      </c>
      <c r="DL319" s="203">
        <f>IF($J319="",#N/A,SUM(DK$4:DK319))</f>
        <v>-1.2097286851272664</v>
      </c>
      <c r="DM319" s="204">
        <f t="shared" si="488"/>
        <v>0.77881619937694702</v>
      </c>
      <c r="DN319" s="204">
        <f>IF($J319="",#N/A,SUM(DM$4:DM319))</f>
        <v>1.8657648196498773</v>
      </c>
      <c r="DO319" s="205" t="str">
        <f t="shared" si="489"/>
        <v/>
      </c>
      <c r="DP319" s="205">
        <f>IF($J319="",#N/A,SUM(DO$4:DO319))</f>
        <v>2.700331529683047</v>
      </c>
      <c r="DQ319" s="205">
        <f>IF($J319="",#N/A,SUM(DO$4:DO319,DM$4:DM319,DK$4:DK319))</f>
        <v>3.356367664205659</v>
      </c>
      <c r="DR319" s="200" t="str">
        <f t="shared" si="490"/>
        <v/>
      </c>
      <c r="DS319" s="203">
        <f>IF($J319="",#N/A,SUM(DR$4:DR319))</f>
        <v>-0.55950946427675097</v>
      </c>
      <c r="DT319" s="204" t="str">
        <f t="shared" si="491"/>
        <v/>
      </c>
      <c r="DU319" s="204">
        <f>IF($J319="",#N/A,SUM(DT$4:DT319))</f>
        <v>-0.20750635820596686</v>
      </c>
      <c r="DV319" s="205" t="str">
        <f t="shared" si="492"/>
        <v/>
      </c>
      <c r="DW319" s="205">
        <f>IF($J319="",#N/A,SUM(DV$4:DV319))</f>
        <v>-2.3377035686214001</v>
      </c>
      <c r="DX319" s="205">
        <f>IF($J319="",#N/A,SUM(DV$4:DV319,DT$4:DT319,DR$4:DR319))</f>
        <v>-3.1047193911041169</v>
      </c>
      <c r="DY319" s="200" t="str">
        <f t="shared" si="493"/>
        <v/>
      </c>
      <c r="DZ319" s="203">
        <f>IF($J319="",#N/A,SUM(DY$4:DY319))</f>
        <v>-1.6284722482776204</v>
      </c>
      <c r="EA319" s="204" t="str">
        <f t="shared" si="494"/>
        <v/>
      </c>
      <c r="EB319" s="204">
        <f>IF($J319="",#N/A,SUM(EA$4:EA319))</f>
        <v>2.276197208799712</v>
      </c>
      <c r="EC319" s="205" t="str">
        <f t="shared" si="495"/>
        <v/>
      </c>
      <c r="ED319" s="205">
        <f>IF($J319="",#N/A,SUM(EC$4:EC319))</f>
        <v>8.6307007550759458</v>
      </c>
      <c r="EE319" s="205">
        <f>IF($J319="",#N/A,SUM(EC$4:EC319,EA$4:EA319,DY$4:DY319))</f>
        <v>9.2784257155980399</v>
      </c>
      <c r="EF319" s="200" t="str">
        <f t="shared" si="496"/>
        <v/>
      </c>
      <c r="EG319" s="203">
        <f>IF($J319="",#N/A,SUM(EF$4:EF319))</f>
        <v>0.12123845414313134</v>
      </c>
      <c r="EH319" s="204" t="str">
        <f t="shared" si="497"/>
        <v/>
      </c>
      <c r="EI319" s="204">
        <f>IF($J319="",#N/A,SUM(EH$4:EH319))</f>
        <v>-3.5125331561187787</v>
      </c>
      <c r="EJ319" s="205" t="str">
        <f t="shared" si="498"/>
        <v/>
      </c>
      <c r="EK319" s="205">
        <f>IF($J319="",#N/A,SUM(EJ$4:EJ319))</f>
        <v>5.050388173053765</v>
      </c>
      <c r="EL319" s="205">
        <f>IF($J319="",#N/A,SUM(EJ$4:EJ319,EH$4:EH319,EF$4:EF319))</f>
        <v>1.6590934710781176</v>
      </c>
      <c r="EM319" s="200" t="str">
        <f t="shared" si="499"/>
        <v/>
      </c>
      <c r="EN319" s="203">
        <f>IF($J319="",#N/A,SUM(EM$4:EM319))</f>
        <v>0</v>
      </c>
      <c r="EO319" s="204" t="str">
        <f t="shared" si="500"/>
        <v/>
      </c>
      <c r="EP319" s="204">
        <f>IF($J319="",#N/A,SUM(EO$4:EO319))</f>
        <v>2.4788862078089964</v>
      </c>
      <c r="EQ319" s="205" t="str">
        <f t="shared" si="501"/>
        <v/>
      </c>
      <c r="ER319" s="205">
        <f>IF($J319="",#N/A,SUM(EQ$4:EQ319))</f>
        <v>2.6983279209445628</v>
      </c>
      <c r="ES319" s="205">
        <f>IF($J319="",#N/A,SUM(EQ$4:EQ319,EO$4:EO319,EM$4:EM319))</f>
        <v>5.1772141287535591</v>
      </c>
      <c r="ET319" s="200" t="str">
        <f t="shared" si="502"/>
        <v/>
      </c>
      <c r="EU319" s="203">
        <f>IF($J319="",#N/A,SUM(ET$4:ET319))</f>
        <v>0</v>
      </c>
      <c r="EV319" s="204" t="str">
        <f t="shared" si="503"/>
        <v/>
      </c>
      <c r="EW319" s="204">
        <f>IF($J319="",#N/A,SUM(EV$4:EV319))</f>
        <v>2.3210103028360365</v>
      </c>
      <c r="EX319" s="205" t="str">
        <f t="shared" si="504"/>
        <v/>
      </c>
      <c r="EY319" s="205">
        <f>IF($J319="",#N/A,SUM(EX$4:EX319))</f>
        <v>0.27113250180669229</v>
      </c>
      <c r="EZ319" s="205">
        <f>IF($J319="",#N/A,SUM(EX$4:EX319,EV$4:EV319,ET$4:ET319))</f>
        <v>2.5921428046427284</v>
      </c>
      <c r="FA319" s="200" t="str">
        <f t="shared" si="505"/>
        <v/>
      </c>
      <c r="FB319" s="203">
        <f>IF($J319="",#N/A,SUM(FA$4:FA319))</f>
        <v>-0.27145310509113252</v>
      </c>
      <c r="FC319" s="204" t="str">
        <f t="shared" si="506"/>
        <v/>
      </c>
      <c r="FD319" s="204">
        <f>IF($J319="",#N/A,SUM(FC$4:FC319))</f>
        <v>0.89084290967454072</v>
      </c>
      <c r="FE319" s="205" t="str">
        <f t="shared" si="507"/>
        <v/>
      </c>
      <c r="FF319" s="205">
        <f>IF($J319="",#N/A,SUM(FE$4:FE319))</f>
        <v>-0.28811149078748233</v>
      </c>
      <c r="FG319" s="205">
        <f>IF($J319="",#N/A,SUM(FE$4:FE319,FC$4:FC319,FA$4:FA319))</f>
        <v>0.3312783137959262</v>
      </c>
      <c r="FH319" s="200" t="str">
        <f t="shared" si="508"/>
        <v/>
      </c>
      <c r="FI319" s="203">
        <f>IF($J319="",#N/A,SUM(FH$4:FH319))</f>
        <v>0</v>
      </c>
      <c r="FJ319" s="204" t="str">
        <f t="shared" si="509"/>
        <v/>
      </c>
      <c r="FK319" s="204">
        <f>IF($J319="",#N/A,SUM(FJ$4:FJ319))</f>
        <v>0</v>
      </c>
      <c r="FL319" s="205" t="str">
        <f t="shared" si="510"/>
        <v/>
      </c>
      <c r="FM319" s="205">
        <f>IF($J319="",#N/A,SUM(FL$4:FL319))</f>
        <v>0</v>
      </c>
      <c r="FN319" s="205">
        <f>IF($J319="",#N/A,SUM(FL$4:FL319,FJ$4:FJ319,FH$4:FH319))</f>
        <v>0</v>
      </c>
      <c r="FO319" s="200" t="str">
        <f t="shared" si="511"/>
        <v/>
      </c>
      <c r="FP319" s="203">
        <f>IF($J319="",#N/A,SUM(FO$4:FO319))</f>
        <v>0</v>
      </c>
      <c r="FQ319" s="204" t="str">
        <f t="shared" si="512"/>
        <v/>
      </c>
      <c r="FR319" s="204">
        <f>IF($J319="",#N/A,SUM(FQ$4:FQ319))</f>
        <v>0</v>
      </c>
      <c r="FS319" s="205" t="str">
        <f t="shared" si="513"/>
        <v/>
      </c>
      <c r="FT319" s="205">
        <f>IF($J319="",#N/A,SUM(FS$4:FS319))</f>
        <v>0</v>
      </c>
      <c r="FU319" s="205">
        <f>IF($J319="",#N/A,SUM(FS$4:FS319,FQ$4:FQ319,FO$4:FO319))</f>
        <v>0</v>
      </c>
      <c r="FV319" s="200" t="str">
        <f t="shared" si="514"/>
        <v/>
      </c>
      <c r="FW319" s="203">
        <f>IF($J319="",#N/A,SUM(FV$4:FV319))</f>
        <v>6.6834991831277585E-2</v>
      </c>
      <c r="FX319" s="204" t="str">
        <f t="shared" si="515"/>
        <v/>
      </c>
      <c r="FY319" s="204">
        <f>IF($J319="",#N/A,SUM(FX$4:FX319))</f>
        <v>-0.16102012791805576</v>
      </c>
      <c r="FZ319" s="205" t="str">
        <f t="shared" si="516"/>
        <v/>
      </c>
      <c r="GA319" s="205">
        <f>IF($J319="",#N/A,SUM(FZ$4:FZ319))</f>
        <v>-0.69624339162892301</v>
      </c>
      <c r="GB319" s="205">
        <f>IF($J319="",#N/A,SUM(FZ$4:FZ319,FX$4:FX319,FV$4:FV319))</f>
        <v>-0.79042852771570116</v>
      </c>
      <c r="GC319" s="200" t="str">
        <f t="shared" si="517"/>
        <v/>
      </c>
      <c r="GD319" s="203">
        <f>IF($J319="",#N/A,SUM(GC$4:GC319))</f>
        <v>0</v>
      </c>
      <c r="GE319" s="204" t="str">
        <f t="shared" si="518"/>
        <v/>
      </c>
      <c r="GF319" s="204">
        <f>IF($J319="",#N/A,SUM(GE$4:GE319))</f>
        <v>0</v>
      </c>
      <c r="GG319" s="205" t="str">
        <f t="shared" si="519"/>
        <v/>
      </c>
      <c r="GH319" s="205">
        <f>IF($J319="",#N/A,SUM(GG$4:GG319))</f>
        <v>-2.9368362277223206</v>
      </c>
      <c r="GI319" s="205">
        <f>IF($J319="",#N/A,SUM(GG$4:GG319,GE$4:GE319,GC$4:GC319))</f>
        <v>-2.9368362277223206</v>
      </c>
      <c r="GJ319" s="200" t="str">
        <f t="shared" si="520"/>
        <v/>
      </c>
      <c r="GK319" s="203">
        <f>IF($J319="",#N/A,SUM(GJ$4:GJ319))</f>
        <v>0</v>
      </c>
      <c r="GL319" s="204" t="str">
        <f t="shared" si="521"/>
        <v/>
      </c>
      <c r="GM319" s="204">
        <f>IF($J319="",#N/A,SUM(GL$4:GL319))</f>
        <v>-1.6833790887309608</v>
      </c>
      <c r="GN319" s="205" t="str">
        <f t="shared" si="522"/>
        <v/>
      </c>
      <c r="GO319" s="205">
        <f>IF($J319="",#N/A,SUM(GN$4:GN319))</f>
        <v>0</v>
      </c>
      <c r="GP319" s="205">
        <f>IF($J319="",#N/A,SUM(GN$4:GN319,GL$4:GL319,GJ$4:GJ319))</f>
        <v>-1.6833790887309608</v>
      </c>
      <c r="GS319" s="303">
        <f t="shared" si="541"/>
        <v>0.77881619937694702</v>
      </c>
      <c r="GT319" s="303">
        <f>IF(GS319="",NA(),SUM($GS$4:GS319))</f>
        <v>11.357615621968018</v>
      </c>
      <c r="GU319" s="303" t="str">
        <f t="shared" si="523"/>
        <v/>
      </c>
      <c r="GV319" s="303" t="e">
        <f>IF(GU319="",NA(),SUM($GU$4:GU319))</f>
        <v>#N/A</v>
      </c>
      <c r="GW319" s="303" t="str">
        <f t="shared" si="524"/>
        <v/>
      </c>
      <c r="GX319" s="303" t="e">
        <f>IF(GW319="",NA(),SUM($GW$4:GW319))</f>
        <v>#N/A</v>
      </c>
      <c r="GY319" s="303">
        <f t="shared" si="525"/>
        <v>0.77881619937694702</v>
      </c>
      <c r="GZ319" s="303">
        <f>IF(GY319="",NA(),SUM($GY$4:GY319))</f>
        <v>6.9863598463152465</v>
      </c>
      <c r="HA319" s="303" t="str">
        <f t="shared" si="526"/>
        <v/>
      </c>
      <c r="HB319" s="303" t="e">
        <f>IF(HA319="",NA(),SUM($HA$4:HA319))</f>
        <v>#N/A</v>
      </c>
      <c r="HC319" s="303" t="str">
        <f t="shared" si="527"/>
        <v/>
      </c>
      <c r="HD319" s="303" t="e">
        <f>IF(HC319="",NA(),SUM($HC$4:HC319))</f>
        <v>#N/A</v>
      </c>
      <c r="HE319" s="303" t="str">
        <f t="shared" si="528"/>
        <v/>
      </c>
      <c r="HF319" s="303" t="e">
        <f>IF(HE319="",NA(),SUM($HE$4:HE319))</f>
        <v>#N/A</v>
      </c>
      <c r="HG319" s="303" t="str">
        <f t="shared" si="529"/>
        <v/>
      </c>
      <c r="HH319" s="303" t="e">
        <f>IF(HG319="",NA(),SUM($HG$4:HG319))</f>
        <v>#N/A</v>
      </c>
      <c r="HI319" s="304">
        <f t="shared" si="542"/>
        <v>-1.6549844236760123</v>
      </c>
      <c r="HJ319" s="304">
        <f>IF($J319="",#N/A,SUM(HI$4:$HI319))</f>
        <v>-10.045648734156464</v>
      </c>
      <c r="HK319" s="303" t="str">
        <f t="shared" si="530"/>
        <v/>
      </c>
      <c r="HL319" s="303">
        <f>IF($J319="",#N/A,SUM($HK$4:HK319))</f>
        <v>2.0649982794595436</v>
      </c>
      <c r="HM319" s="303" t="str">
        <f t="shared" si="531"/>
        <v/>
      </c>
      <c r="HN319" s="303">
        <f>IF($J319="",#N/A,SUM($HM$4:HM319))</f>
        <v>0.51892302078694874</v>
      </c>
      <c r="HO319" s="303" t="str">
        <f t="shared" si="532"/>
        <v/>
      </c>
      <c r="HP319" s="303">
        <f>IF($J319="",#N/A,SUM($HO$4:HO319))</f>
        <v>-0.69476253225193951</v>
      </c>
      <c r="HQ319" s="303" t="str">
        <f t="shared" si="533"/>
        <v/>
      </c>
      <c r="HR319" s="303">
        <f>IF($J319="",#N/A,SUM($HQ$4:HQ319))</f>
        <v>-13.50506252757291</v>
      </c>
      <c r="HS319" s="303" t="str">
        <f t="shared" si="534"/>
        <v/>
      </c>
      <c r="HT319" s="303">
        <f>IF($J319="",#N/A,SUM($HS$4:HS319))</f>
        <v>15.486812150209897</v>
      </c>
      <c r="HU319" s="305">
        <f t="shared" si="535"/>
        <v>-0.87616822429906538</v>
      </c>
      <c r="HV319" s="305">
        <f>IF($J319="",#N/A,SUM(HU$4:$HU319))</f>
        <v>10.158536260521988</v>
      </c>
    </row>
    <row r="320" spans="1:230" x14ac:dyDescent="0.25">
      <c r="A320" s="59" t="s">
        <v>416</v>
      </c>
      <c r="B320" s="289" t="s">
        <v>4599</v>
      </c>
      <c r="C320" s="230">
        <f t="shared" si="436"/>
        <v>1</v>
      </c>
      <c r="D320" s="220" t="str">
        <f>_xlfn.XLOOKUP(A320,[1]SP500!$A$2:$A$502,[1]SP500!$D$2:$D$502,"N")</f>
        <v>Y</v>
      </c>
      <c r="E320" s="59" t="str">
        <f>IFERROR(_xlfn.XLOOKUP(A320,[1]SP500!$A$2:$A$655,[1]SP500!$B$2:$B$655),"")</f>
        <v>XLV</v>
      </c>
      <c r="F320" s="290">
        <v>45785</v>
      </c>
      <c r="G320" s="59" t="str">
        <f t="shared" si="437"/>
        <v>AMC</v>
      </c>
      <c r="H320" s="59" t="str">
        <f t="shared" si="438"/>
        <v>s</v>
      </c>
      <c r="I320" s="376">
        <v>690.25</v>
      </c>
      <c r="J320" s="278">
        <v>712.5</v>
      </c>
      <c r="K320" s="60">
        <f t="shared" si="439"/>
        <v>3.2234697573342991E-2</v>
      </c>
      <c r="L320" s="68">
        <f t="shared" si="440"/>
        <v>44.5</v>
      </c>
      <c r="M320" s="62">
        <f t="shared" si="441"/>
        <v>0.83999999999991815</v>
      </c>
      <c r="N320" s="419">
        <f t="shared" si="442"/>
        <v>44.5</v>
      </c>
      <c r="O320" s="62">
        <f>IF(N320="",#N/A,SUM($N$4:N320))</f>
        <v>921.54002737534108</v>
      </c>
      <c r="P320" s="64">
        <f t="shared" si="536"/>
        <v>0.53724495955571649</v>
      </c>
      <c r="Q320" s="183">
        <f>IF($N320="",#N/A,SUM($P$4:P320))</f>
        <v>17.386469030769618</v>
      </c>
      <c r="R320" s="279">
        <f t="shared" si="443"/>
        <v>6.0517256661029926</v>
      </c>
      <c r="S320" s="59" t="str">
        <f t="shared" si="444"/>
        <v>Up</v>
      </c>
      <c r="T320" s="59" t="s">
        <v>4462</v>
      </c>
      <c r="U320" s="61">
        <f t="shared" si="445"/>
        <v>690.25</v>
      </c>
      <c r="V320" s="61" t="s">
        <v>4460</v>
      </c>
      <c r="W320" s="142">
        <v>2</v>
      </c>
      <c r="X320" s="146">
        <f t="shared" si="446"/>
        <v>1380.5</v>
      </c>
      <c r="Y320" s="142">
        <f t="shared" si="447"/>
        <v>2</v>
      </c>
      <c r="Z320" s="278">
        <v>712.92</v>
      </c>
      <c r="AA320" s="63">
        <f t="shared" si="448"/>
        <v>45.339999999999918</v>
      </c>
      <c r="AB320" s="63">
        <f t="shared" si="449"/>
        <v>6.4200000000000728</v>
      </c>
      <c r="AC320" s="125">
        <v>693.46</v>
      </c>
      <c r="AD320" s="148">
        <f t="shared" si="450"/>
        <v>6.4200000000000728</v>
      </c>
      <c r="AE320" s="544">
        <f t="shared" si="451"/>
        <v>7.7508149221297507E-2</v>
      </c>
      <c r="AF320" s="62">
        <f>IF($AC320="",#N/A,SUM(AD$4:AD320))</f>
        <v>611.6986158586152</v>
      </c>
      <c r="AG320" s="63">
        <f t="shared" si="452"/>
        <v>-38.079999999999927</v>
      </c>
      <c r="AH320" s="63" t="s">
        <v>2507</v>
      </c>
      <c r="AI320" s="64">
        <f t="shared" si="453"/>
        <v>0.54738621272485721</v>
      </c>
      <c r="AJ320" s="420">
        <f>IF(AI320="",#N/A,SUM($AI$4:AI320))</f>
        <v>11.334743364666625</v>
      </c>
      <c r="AK320" s="493">
        <f t="shared" si="454"/>
        <v>45.339999999999918</v>
      </c>
      <c r="AL320" s="421">
        <f>IF(AI320="",#N/A,IF(AH320="Skip",SUM($AK$4:AK320),SUM($AK$4:AK320)))</f>
        <v>510.84779149281417</v>
      </c>
      <c r="AM320" s="65">
        <f t="shared" si="537"/>
        <v>7.7508149221297507E-2</v>
      </c>
      <c r="AN320" s="209"/>
      <c r="AO320" s="64" t="str">
        <f t="shared" si="455"/>
        <v/>
      </c>
      <c r="AP320" s="64">
        <f>IF($AC320="",#N/A,SUM(AO$4:AO320))</f>
        <v>11.590319233033487</v>
      </c>
      <c r="AQ320" s="64">
        <f t="shared" si="456"/>
        <v>7.7508149221297507E-2</v>
      </c>
      <c r="AR320" s="64">
        <f>IF($AC320="",#N/A,SUM(AQ$4:AQ320))</f>
        <v>-5.1631907908864365</v>
      </c>
      <c r="AS320" s="64" t="str">
        <f t="shared" si="457"/>
        <v/>
      </c>
      <c r="AT320" s="64">
        <f>IF($AC320="",#N/A,SUM(AS$4:AS320))</f>
        <v>3.8089159675962305</v>
      </c>
      <c r="AU320" s="62" t="str">
        <f t="shared" si="538"/>
        <v/>
      </c>
      <c r="AV320" s="62">
        <f>IF($AC320="",#N/A,SUM(AU$4:AU320))</f>
        <v>685.53249066104672</v>
      </c>
      <c r="AW320" s="62">
        <f t="shared" si="539"/>
        <v>6.4200000000000728</v>
      </c>
      <c r="AX320" s="62">
        <f>IF($AC320="",#N/A,SUM(AW$4:AW320))</f>
        <v>-342.69106797961103</v>
      </c>
      <c r="AY320" s="62" t="str">
        <f t="shared" si="540"/>
        <v/>
      </c>
      <c r="AZ320" s="62">
        <f>IF($AC320="",#N/A,SUM(AY$4:AY320))</f>
        <v>268.85719317717951</v>
      </c>
      <c r="BA320" s="62">
        <f>IF(AD320="",#N/A,SUM($AD$4:AD320))</f>
        <v>611.6986158586152</v>
      </c>
      <c r="BC320" s="59">
        <f t="shared" si="458"/>
        <v>1</v>
      </c>
      <c r="BD320" s="59" t="str">
        <f t="shared" si="459"/>
        <v/>
      </c>
      <c r="BE320" s="59" t="str">
        <f t="shared" si="460"/>
        <v/>
      </c>
      <c r="BF320" s="59" t="str">
        <f t="shared" si="461"/>
        <v>Long</v>
      </c>
      <c r="BG320" s="59" t="str">
        <f t="shared" si="462"/>
        <v/>
      </c>
      <c r="BH320" s="59" t="str">
        <f t="shared" si="463"/>
        <v/>
      </c>
      <c r="BI320" s="59" t="str">
        <f t="shared" si="464"/>
        <v/>
      </c>
      <c r="BK320" s="65">
        <f t="shared" si="544"/>
        <v>8.0042755734979251E-2</v>
      </c>
      <c r="BL320" s="65">
        <f t="shared" si="543"/>
        <v>0.14437800032900283</v>
      </c>
      <c r="BM320" s="65">
        <f>IFERROR(Q320/COUNTA($J$4:J320),#N/A)</f>
        <v>5.4846905459841069E-2</v>
      </c>
      <c r="BO320" s="489" t="e">
        <f>IF(J320="",#N/A,IF(S320="SW",(COUNTIFS(K$4:$K320,"&gt;0",S$4:$S320,"SW")/COUNTIF(S$4:$S320,"SW")),#N/A))</f>
        <v>#N/A</v>
      </c>
      <c r="BP320" s="489" t="e">
        <f>IF($J320="",#N/A,IF($S320="DWN",(COUNTIFS($K$4:$K320,"&lt;0",$S$4:$S320,"DWN")/COUNTIF($S$4:$S320,"DWN")),#N/A))</f>
        <v>#N/A</v>
      </c>
      <c r="BQ320" s="489">
        <f>IF($J320="",#N/A,IF($S320="UP",(COUNTIFS($K$4:$K320,"&gt;0",$S$4:$S320,"UP")/COUNTIF($S$4:$S320,"UP")),#N/A))</f>
        <v>0.41666666666666669</v>
      </c>
      <c r="BR320" s="489">
        <f>IF(J320="",#N/A,COUNTIF($K$4:K320,"&gt;0")/COUNT($J$4:J320))</f>
        <v>0.47003154574132494</v>
      </c>
      <c r="BS320" s="65">
        <f t="shared" si="465"/>
        <v>0.53724495955571649</v>
      </c>
      <c r="BT320" s="65" t="str">
        <f t="shared" si="466"/>
        <v/>
      </c>
      <c r="BU320" s="65" t="str">
        <f t="shared" si="467"/>
        <v/>
      </c>
      <c r="BV320" s="65" t="str">
        <f t="shared" si="468"/>
        <v/>
      </c>
      <c r="BW320" s="127">
        <f t="shared" si="469"/>
        <v>44.5</v>
      </c>
      <c r="BX320" s="127">
        <f>IF($J320="",#N/A,SUM($BW$4:BW320))</f>
        <v>-291.41317034792883</v>
      </c>
      <c r="BY320" s="130" t="str">
        <f t="shared" si="470"/>
        <v/>
      </c>
      <c r="BZ320" s="130">
        <f>IF($J320="",#N/A,SUM($BY$4:BY320))</f>
        <v>671.07161346139458</v>
      </c>
      <c r="CA320" s="132" t="str">
        <f t="shared" si="471"/>
        <v/>
      </c>
      <c r="CB320" s="132">
        <f>IF($J320="",#N/A,SUM($CA$4:CA320))</f>
        <v>541.88158426187533</v>
      </c>
      <c r="CC320" s="197">
        <f t="shared" si="472"/>
        <v>0.53724495955571649</v>
      </c>
      <c r="CD320" s="197">
        <f>IF($J320="",#N/A,SUM($CC$4:CC320))</f>
        <v>-4.5276144690870233</v>
      </c>
      <c r="CE320" s="198" t="str">
        <f t="shared" si="473"/>
        <v/>
      </c>
      <c r="CF320" s="198">
        <f>IF($J320="",#N/A,SUM($CE$4:CE320))</f>
        <v>11.789566422293161</v>
      </c>
      <c r="CG320" s="199" t="str">
        <f t="shared" si="474"/>
        <v/>
      </c>
      <c r="CH320" s="199">
        <f>IF($J320="",#N/A,SUM($CG$4:CG320))</f>
        <v>10.124517077563485</v>
      </c>
      <c r="CI320" s="200" t="str">
        <f t="shared" si="475"/>
        <v/>
      </c>
      <c r="CJ320" s="206">
        <f>IF($J320="",#N/A,SUM(CI$4:CI320))</f>
        <v>0</v>
      </c>
      <c r="CK320" s="207" t="str">
        <f t="shared" si="476"/>
        <v/>
      </c>
      <c r="CL320" s="207">
        <f>IF($J320="",#N/A,SUM(CK$4:CK320))</f>
        <v>2.4085740385592547</v>
      </c>
      <c r="CM320" s="208" t="str">
        <f t="shared" si="477"/>
        <v/>
      </c>
      <c r="CN320" s="208">
        <f>IF($J320="",#N/A,SUM(CM$4:CM320))</f>
        <v>1.6494621984783118</v>
      </c>
      <c r="CO320" s="208">
        <f>IF($J320="",#N/A,SUM(CM$4:CM320,CK$4:CK320,CI$4:CI320))</f>
        <v>4.0580362370375669</v>
      </c>
      <c r="CP320" s="200" t="str">
        <f t="shared" si="478"/>
        <v/>
      </c>
      <c r="CQ320" s="206">
        <f>IF($J320="",#N/A,SUM(CP$4:CP320))</f>
        <v>-2.5399197875602422</v>
      </c>
      <c r="CR320" s="207" t="str">
        <f t="shared" si="479"/>
        <v/>
      </c>
      <c r="CS320" s="207">
        <f>IF($J320="",#N/A,SUM(CR$4:CR320))</f>
        <v>2.3600225017004668</v>
      </c>
      <c r="CT320" s="208" t="str">
        <f t="shared" si="480"/>
        <v/>
      </c>
      <c r="CU320" s="208">
        <f>IF($J320="",#N/A,SUM(CT$4:CT320))</f>
        <v>-0.67755161299190814</v>
      </c>
      <c r="CV320" s="208">
        <f>IF($J320="",#N/A,SUM(CT$4:CT320,CR$4:CR320,CP$4:CP320))</f>
        <v>-0.85744889885168352</v>
      </c>
      <c r="CW320" s="200" t="str">
        <f t="shared" si="481"/>
        <v/>
      </c>
      <c r="CX320" s="206">
        <f>IF($J320="",#N/A,SUM(CW$4:CW320))</f>
        <v>-0.29399505935581682</v>
      </c>
      <c r="CY320" s="207" t="str">
        <f t="shared" si="482"/>
        <v/>
      </c>
      <c r="CZ320" s="207">
        <f>IF($J320="",#N/A,SUM(CY$4:CY320))</f>
        <v>-0.20119965665334139</v>
      </c>
      <c r="DA320" s="208" t="str">
        <f t="shared" si="483"/>
        <v/>
      </c>
      <c r="DB320" s="208">
        <f>IF($J320="",#N/A,SUM(DA$4:DA320))</f>
        <v>-1.1581788995104692</v>
      </c>
      <c r="DC320" s="208">
        <f>IF($J320="",#N/A,SUM(DA$4:DA320,CY$4:CY320,CW$4:CW320))</f>
        <v>-1.653373615519627</v>
      </c>
      <c r="DD320" s="200" t="str">
        <f t="shared" si="484"/>
        <v/>
      </c>
      <c r="DE320" s="206">
        <f>IF($J320="",#N/A,SUM(DD$4:DD320))</f>
        <v>1.2501454750716789</v>
      </c>
      <c r="DF320" s="207" t="str">
        <f t="shared" si="485"/>
        <v/>
      </c>
      <c r="DG320" s="207">
        <f>IF($J320="",#N/A,SUM(DF$4:DF320))</f>
        <v>2.626961496209514</v>
      </c>
      <c r="DH320" s="208" t="str">
        <f t="shared" si="486"/>
        <v/>
      </c>
      <c r="DI320" s="208">
        <f>IF($J320="",#N/A,SUM(DH$4:DH320))</f>
        <v>-2.7812008102163399</v>
      </c>
      <c r="DJ320" s="208">
        <f>IF($J320="",#N/A,SUM(DH$4:DH320,DF$4:DF320,DD$4:DD320))</f>
        <v>1.0959061610648531</v>
      </c>
      <c r="DK320" s="200" t="str">
        <f t="shared" si="487"/>
        <v/>
      </c>
      <c r="DL320" s="206">
        <f>IF($J320="",#N/A,SUM(DK$4:DK320))</f>
        <v>-1.2097286851272664</v>
      </c>
      <c r="DM320" s="207" t="str">
        <f t="shared" si="488"/>
        <v/>
      </c>
      <c r="DN320" s="207">
        <f>IF($J320="",#N/A,SUM(DM$4:DM320))</f>
        <v>1.8657648196498773</v>
      </c>
      <c r="DO320" s="208" t="str">
        <f t="shared" si="489"/>
        <v/>
      </c>
      <c r="DP320" s="208">
        <f>IF($J320="",#N/A,SUM(DO$4:DO320))</f>
        <v>2.700331529683047</v>
      </c>
      <c r="DQ320" s="208">
        <f>IF($J320="",#N/A,SUM(DO$4:DO320,DM$4:DM320,DK$4:DK320))</f>
        <v>3.356367664205659</v>
      </c>
      <c r="DR320" s="200" t="str">
        <f t="shared" si="490"/>
        <v/>
      </c>
      <c r="DS320" s="206">
        <f>IF($J320="",#N/A,SUM(DR$4:DR320))</f>
        <v>-0.55950946427675097</v>
      </c>
      <c r="DT320" s="207" t="str">
        <f t="shared" si="491"/>
        <v/>
      </c>
      <c r="DU320" s="207">
        <f>IF($J320="",#N/A,SUM(DT$4:DT320))</f>
        <v>-0.20750635820596686</v>
      </c>
      <c r="DV320" s="208" t="str">
        <f t="shared" si="492"/>
        <v/>
      </c>
      <c r="DW320" s="208">
        <f>IF($J320="",#N/A,SUM(DV$4:DV320))</f>
        <v>-2.3377035686214001</v>
      </c>
      <c r="DX320" s="208">
        <f>IF($J320="",#N/A,SUM(DV$4:DV320,DT$4:DT320,DR$4:DR320))</f>
        <v>-3.1047193911041169</v>
      </c>
      <c r="DY320" s="200" t="str">
        <f t="shared" si="493"/>
        <v/>
      </c>
      <c r="DZ320" s="206">
        <f>IF($J320="",#N/A,SUM(DY$4:DY320))</f>
        <v>-1.6284722482776204</v>
      </c>
      <c r="EA320" s="207" t="str">
        <f t="shared" si="494"/>
        <v/>
      </c>
      <c r="EB320" s="207">
        <f>IF($J320="",#N/A,SUM(EA$4:EA320))</f>
        <v>2.276197208799712</v>
      </c>
      <c r="EC320" s="208" t="str">
        <f t="shared" si="495"/>
        <v/>
      </c>
      <c r="ED320" s="208">
        <f>IF($J320="",#N/A,SUM(EC$4:EC320))</f>
        <v>8.6307007550759458</v>
      </c>
      <c r="EE320" s="208">
        <f>IF($J320="",#N/A,SUM(EC$4:EC320,EA$4:EA320,DY$4:DY320))</f>
        <v>9.2784257155980399</v>
      </c>
      <c r="EF320" s="200">
        <f t="shared" si="496"/>
        <v>0.53724495955571649</v>
      </c>
      <c r="EG320" s="206">
        <f>IF($J320="",#N/A,SUM(EF$4:EF320))</f>
        <v>0.65848341369884777</v>
      </c>
      <c r="EH320" s="207" t="str">
        <f t="shared" si="497"/>
        <v/>
      </c>
      <c r="EI320" s="207">
        <f>IF($J320="",#N/A,SUM(EH$4:EH320))</f>
        <v>-3.5125331561187787</v>
      </c>
      <c r="EJ320" s="208" t="str">
        <f t="shared" si="498"/>
        <v/>
      </c>
      <c r="EK320" s="208">
        <f>IF($J320="",#N/A,SUM(EJ$4:EJ320))</f>
        <v>5.050388173053765</v>
      </c>
      <c r="EL320" s="208">
        <f>IF($J320="",#N/A,SUM(EJ$4:EJ320,EH$4:EH320,EF$4:EF320))</f>
        <v>2.1963384306338343</v>
      </c>
      <c r="EM320" s="200" t="str">
        <f t="shared" si="499"/>
        <v/>
      </c>
      <c r="EN320" s="206">
        <f>IF($J320="",#N/A,SUM(EM$4:EM320))</f>
        <v>0</v>
      </c>
      <c r="EO320" s="207" t="str">
        <f t="shared" si="500"/>
        <v/>
      </c>
      <c r="EP320" s="207">
        <f>IF($J320="",#N/A,SUM(EO$4:EO320))</f>
        <v>2.4788862078089964</v>
      </c>
      <c r="EQ320" s="208" t="str">
        <f t="shared" si="501"/>
        <v/>
      </c>
      <c r="ER320" s="208">
        <f>IF($J320="",#N/A,SUM(EQ$4:EQ320))</f>
        <v>2.6983279209445628</v>
      </c>
      <c r="ES320" s="208">
        <f>IF($J320="",#N/A,SUM(EQ$4:EQ320,EO$4:EO320,EM$4:EM320))</f>
        <v>5.1772141287535591</v>
      </c>
      <c r="ET320" s="200" t="str">
        <f t="shared" si="502"/>
        <v/>
      </c>
      <c r="EU320" s="206">
        <f>IF($J320="",#N/A,SUM(ET$4:ET320))</f>
        <v>0</v>
      </c>
      <c r="EV320" s="207" t="str">
        <f t="shared" si="503"/>
        <v/>
      </c>
      <c r="EW320" s="207">
        <f>IF($J320="",#N/A,SUM(EV$4:EV320))</f>
        <v>2.3210103028360365</v>
      </c>
      <c r="EX320" s="208" t="str">
        <f t="shared" si="504"/>
        <v/>
      </c>
      <c r="EY320" s="208">
        <f>IF($J320="",#N/A,SUM(EX$4:EX320))</f>
        <v>0.27113250180669229</v>
      </c>
      <c r="EZ320" s="208">
        <f>IF($J320="",#N/A,SUM(EX$4:EX320,EV$4:EV320,ET$4:ET320))</f>
        <v>2.5921428046427284</v>
      </c>
      <c r="FA320" s="200" t="str">
        <f t="shared" si="505"/>
        <v/>
      </c>
      <c r="FB320" s="206">
        <f>IF($J320="",#N/A,SUM(FA$4:FA320))</f>
        <v>-0.27145310509113252</v>
      </c>
      <c r="FC320" s="207" t="str">
        <f t="shared" si="506"/>
        <v/>
      </c>
      <c r="FD320" s="207">
        <f>IF($J320="",#N/A,SUM(FC$4:FC320))</f>
        <v>0.89084290967454072</v>
      </c>
      <c r="FE320" s="208" t="str">
        <f t="shared" si="507"/>
        <v/>
      </c>
      <c r="FF320" s="208">
        <f>IF($J320="",#N/A,SUM(FE$4:FE320))</f>
        <v>-0.28811149078748233</v>
      </c>
      <c r="FG320" s="208">
        <f>IF($J320="",#N/A,SUM(FE$4:FE320,FC$4:FC320,FA$4:FA320))</f>
        <v>0.3312783137959262</v>
      </c>
      <c r="FH320" s="200" t="str">
        <f t="shared" si="508"/>
        <v/>
      </c>
      <c r="FI320" s="206">
        <f>IF($J320="",#N/A,SUM(FH$4:FH320))</f>
        <v>0</v>
      </c>
      <c r="FJ320" s="207" t="str">
        <f t="shared" si="509"/>
        <v/>
      </c>
      <c r="FK320" s="207">
        <f>IF($J320="",#N/A,SUM(FJ$4:FJ320))</f>
        <v>0</v>
      </c>
      <c r="FL320" s="208" t="str">
        <f t="shared" si="510"/>
        <v/>
      </c>
      <c r="FM320" s="208">
        <f>IF($J320="",#N/A,SUM(FL$4:FL320))</f>
        <v>0</v>
      </c>
      <c r="FN320" s="208">
        <f>IF($J320="",#N/A,SUM(FL$4:FL320,FJ$4:FJ320,FH$4:FH320))</f>
        <v>0</v>
      </c>
      <c r="FO320" s="200" t="str">
        <f t="shared" si="511"/>
        <v/>
      </c>
      <c r="FP320" s="206">
        <f>IF($J320="",#N/A,SUM(FO$4:FO320))</f>
        <v>0</v>
      </c>
      <c r="FQ320" s="207" t="str">
        <f t="shared" si="512"/>
        <v/>
      </c>
      <c r="FR320" s="207">
        <f>IF($J320="",#N/A,SUM(FQ$4:FQ320))</f>
        <v>0</v>
      </c>
      <c r="FS320" s="208" t="str">
        <f t="shared" si="513"/>
        <v/>
      </c>
      <c r="FT320" s="208">
        <f>IF($J320="",#N/A,SUM(FS$4:FS320))</f>
        <v>0</v>
      </c>
      <c r="FU320" s="208">
        <f>IF($J320="",#N/A,SUM(FS$4:FS320,FQ$4:FQ320,FO$4:FO320))</f>
        <v>0</v>
      </c>
      <c r="FV320" s="200" t="str">
        <f t="shared" si="514"/>
        <v/>
      </c>
      <c r="FW320" s="206">
        <f>IF($J320="",#N/A,SUM(FV$4:FV320))</f>
        <v>6.6834991831277585E-2</v>
      </c>
      <c r="FX320" s="207" t="str">
        <f t="shared" si="515"/>
        <v/>
      </c>
      <c r="FY320" s="207">
        <f>IF($J320="",#N/A,SUM(FX$4:FX320))</f>
        <v>-0.16102012791805576</v>
      </c>
      <c r="FZ320" s="208" t="str">
        <f t="shared" si="516"/>
        <v/>
      </c>
      <c r="GA320" s="208">
        <f>IF($J320="",#N/A,SUM(FZ$4:FZ320))</f>
        <v>-0.69624339162892301</v>
      </c>
      <c r="GB320" s="208">
        <f>IF($J320="",#N/A,SUM(FZ$4:FZ320,FX$4:FX320,FV$4:FV320))</f>
        <v>-0.79042852771570116</v>
      </c>
      <c r="GC320" s="200" t="str">
        <f t="shared" si="517"/>
        <v/>
      </c>
      <c r="GD320" s="206">
        <f>IF($J320="",#N/A,SUM(GC$4:GC320))</f>
        <v>0</v>
      </c>
      <c r="GE320" s="207" t="str">
        <f t="shared" si="518"/>
        <v/>
      </c>
      <c r="GF320" s="207">
        <f>IF($J320="",#N/A,SUM(GE$4:GE320))</f>
        <v>0</v>
      </c>
      <c r="GG320" s="208" t="str">
        <f t="shared" si="519"/>
        <v/>
      </c>
      <c r="GH320" s="208">
        <f>IF($J320="",#N/A,SUM(GG$4:GG320))</f>
        <v>-2.9368362277223206</v>
      </c>
      <c r="GI320" s="208">
        <f>IF($J320="",#N/A,SUM(GG$4:GG320,GE$4:GE320,GC$4:GC320))</f>
        <v>-2.9368362277223206</v>
      </c>
      <c r="GJ320" s="200" t="str">
        <f t="shared" si="520"/>
        <v/>
      </c>
      <c r="GK320" s="206">
        <f>IF($J320="",#N/A,SUM(GJ$4:GJ320))</f>
        <v>0</v>
      </c>
      <c r="GL320" s="207" t="str">
        <f t="shared" si="521"/>
        <v/>
      </c>
      <c r="GM320" s="207">
        <f>IF($J320="",#N/A,SUM(GL$4:GL320))</f>
        <v>-1.6833790887309608</v>
      </c>
      <c r="GN320" s="208" t="str">
        <f t="shared" si="522"/>
        <v/>
      </c>
      <c r="GO320" s="208">
        <f>IF($J320="",#N/A,SUM(GN$4:GN320))</f>
        <v>0</v>
      </c>
      <c r="GP320" s="208">
        <f>IF($J320="",#N/A,SUM(GN$4:GN320,GL$4:GL320,GJ$4:GJ320))</f>
        <v>-1.6833790887309608</v>
      </c>
      <c r="GS320" s="177">
        <f t="shared" si="541"/>
        <v>0.53724495955571649</v>
      </c>
      <c r="GT320" s="177">
        <f>IF(GS320="",NA(),SUM($GS$4:GS320))</f>
        <v>11.894860581523734</v>
      </c>
      <c r="GU320" s="177">
        <f t="shared" si="523"/>
        <v>0.53724495955571649</v>
      </c>
      <c r="GV320" s="177">
        <f>IF(GU320="",NA(),SUM($GU$4:GU320))</f>
        <v>-4.5276144690870233</v>
      </c>
      <c r="GW320" s="177" t="str">
        <f t="shared" si="524"/>
        <v/>
      </c>
      <c r="GX320" s="177" t="e">
        <f>IF(GW320="",NA(),SUM($GW$4:GW320))</f>
        <v>#N/A</v>
      </c>
      <c r="GY320" s="177" t="str">
        <f t="shared" si="525"/>
        <v/>
      </c>
      <c r="GZ320" s="177" t="e">
        <f>IF(GY320="",NA(),SUM($GY$4:GY320))</f>
        <v>#N/A</v>
      </c>
      <c r="HA320" s="177" t="str">
        <f t="shared" si="526"/>
        <v/>
      </c>
      <c r="HB320" s="177" t="e">
        <f>IF(HA320="",NA(),SUM($HA$4:HA320))</f>
        <v>#N/A</v>
      </c>
      <c r="HC320" s="177" t="str">
        <f t="shared" si="527"/>
        <v/>
      </c>
      <c r="HD320" s="177" t="e">
        <f>IF(HC320="",NA(),SUM($HC$4:HC320))</f>
        <v>#N/A</v>
      </c>
      <c r="HE320" s="177" t="str">
        <f t="shared" si="528"/>
        <v/>
      </c>
      <c r="HF320" s="177" t="e">
        <f>IF(HE320="",NA(),SUM($HE$4:HE320))</f>
        <v>#N/A</v>
      </c>
      <c r="HG320" s="177" t="str">
        <f t="shared" si="529"/>
        <v/>
      </c>
      <c r="HH320" s="177" t="e">
        <f>IF(HG320="",NA(),SUM($HG$4:HG320))</f>
        <v>#N/A</v>
      </c>
      <c r="HI320" s="183" t="str">
        <f t="shared" si="542"/>
        <v/>
      </c>
      <c r="HJ320" s="183">
        <f>IF($J320="",#N/A,SUM(HI$4:$HI320))</f>
        <v>-10.045648734156464</v>
      </c>
      <c r="HK320" s="177" t="str">
        <f t="shared" si="530"/>
        <v/>
      </c>
      <c r="HL320" s="177">
        <f>IF($J320="",#N/A,SUM($HK$4:HK320))</f>
        <v>2.0649982794595436</v>
      </c>
      <c r="HM320" s="177">
        <f t="shared" si="531"/>
        <v>-0.45973681033441899</v>
      </c>
      <c r="HN320" s="177">
        <f>IF($J320="",#N/A,SUM($HM$4:HM320))</f>
        <v>5.9186210452529753E-2</v>
      </c>
      <c r="HO320" s="177" t="str">
        <f t="shared" si="532"/>
        <v/>
      </c>
      <c r="HP320" s="177">
        <f>IF($J320="",#N/A,SUM($HO$4:HO320))</f>
        <v>-0.69476253225193951</v>
      </c>
      <c r="HQ320" s="177" t="str">
        <f t="shared" si="533"/>
        <v/>
      </c>
      <c r="HR320" s="177">
        <f>IF($J320="",#N/A,SUM($HQ$4:HQ320))</f>
        <v>-13.50506252757291</v>
      </c>
      <c r="HS320" s="177" t="str">
        <f t="shared" si="534"/>
        <v/>
      </c>
      <c r="HT320" s="177">
        <f>IF($J320="",#N/A,SUM($HS$4:HS320))</f>
        <v>15.486812150209897</v>
      </c>
      <c r="HU320" s="64">
        <f t="shared" si="535"/>
        <v>7.7508149221297507E-2</v>
      </c>
      <c r="HV320" s="64">
        <f>IF($J320="",#N/A,SUM(HU$4:$HU320))</f>
        <v>10.236044409743286</v>
      </c>
    </row>
    <row r="321" spans="1:230" x14ac:dyDescent="0.25">
      <c r="A321" s="51" t="s">
        <v>791</v>
      </c>
      <c r="B321" s="52" t="s">
        <v>4599</v>
      </c>
      <c r="C321" s="229">
        <f t="shared" si="436"/>
        <v>1</v>
      </c>
      <c r="D321" s="219" t="str">
        <f>_xlfn.XLOOKUP(A321,[1]SP500!$A$2:$A$502,[1]SP500!$D$2:$D$502,"N")</f>
        <v>Y</v>
      </c>
      <c r="E321" s="51" t="str">
        <f>IFERROR(_xlfn.XLOOKUP(A321,[1]SP500!$A$2:$A$655,[1]SP500!$B$2:$B$655),"")</f>
        <v>XLC</v>
      </c>
      <c r="F321" s="290">
        <v>45785</v>
      </c>
      <c r="G321" s="51" t="str">
        <f t="shared" si="437"/>
        <v>AMC</v>
      </c>
      <c r="H321" s="51" t="str">
        <f t="shared" si="438"/>
        <v>s</v>
      </c>
      <c r="I321" s="343">
        <v>32.5</v>
      </c>
      <c r="J321" s="124">
        <v>33.22</v>
      </c>
      <c r="K321" s="55">
        <f t="shared" si="439"/>
        <v>2.2153846153846118E-2</v>
      </c>
      <c r="L321" s="67">
        <f t="shared" si="440"/>
        <v>25.920000000000073</v>
      </c>
      <c r="M321" s="57">
        <f t="shared" si="441"/>
        <v>0</v>
      </c>
      <c r="N321" s="102">
        <f t="shared" si="442"/>
        <v>25.920000000000073</v>
      </c>
      <c r="O321" s="57">
        <f>IF(N321="",#N/A,SUM($N$4:N321))</f>
        <v>947.46002737534116</v>
      </c>
      <c r="P321" s="65">
        <f t="shared" si="536"/>
        <v>0.36923076923077025</v>
      </c>
      <c r="Q321" s="172">
        <f>IF($N321="",#N/A,SUM($P$4:P321))</f>
        <v>17.755699800000389</v>
      </c>
      <c r="R321" s="279">
        <f t="shared" si="443"/>
        <v>6.0517256661029943</v>
      </c>
      <c r="S321" s="51" t="str">
        <f t="shared" si="444"/>
        <v>Up</v>
      </c>
      <c r="T321" s="51" t="s">
        <v>4462</v>
      </c>
      <c r="U321" s="56">
        <f t="shared" si="445"/>
        <v>32.5</v>
      </c>
      <c r="V321" s="56" t="s">
        <v>4460</v>
      </c>
      <c r="W321" s="142">
        <v>36</v>
      </c>
      <c r="X321" s="145">
        <f t="shared" si="446"/>
        <v>1170</v>
      </c>
      <c r="Y321" s="140">
        <f t="shared" si="447"/>
        <v>36</v>
      </c>
      <c r="Z321" s="123">
        <v>33.22</v>
      </c>
      <c r="AA321" s="102">
        <f t="shared" si="448"/>
        <v>25.920000000000073</v>
      </c>
      <c r="AB321" s="102">
        <f t="shared" si="449"/>
        <v>2.5199999999999818</v>
      </c>
      <c r="AC321" s="124">
        <v>32.57</v>
      </c>
      <c r="AD321" s="155">
        <f t="shared" si="450"/>
        <v>2.5199999999999818</v>
      </c>
      <c r="AE321" s="545">
        <f t="shared" si="451"/>
        <v>3.5897435897435638E-2</v>
      </c>
      <c r="AF321" s="57">
        <f>IF($AC321="",#N/A,SUM(AD$4:AD321))</f>
        <v>614.21861585861518</v>
      </c>
      <c r="AG321" s="102">
        <f t="shared" si="452"/>
        <v>-23.400000000000091</v>
      </c>
      <c r="AH321" s="56" t="s">
        <v>2507</v>
      </c>
      <c r="AI321" s="65">
        <f t="shared" si="453"/>
        <v>0.36923076923077025</v>
      </c>
      <c r="AJ321" s="108">
        <f>IF(AI321="",#N/A,SUM($AI$4:AI321))</f>
        <v>11.703974133897395</v>
      </c>
      <c r="AK321" s="57">
        <f t="shared" si="454"/>
        <v>25.920000000000073</v>
      </c>
      <c r="AL321" s="66">
        <f>IF(AI321="",#N/A,IF(AH321="Skip",SUM($AK$4:AK321),SUM($AK$4:AK321)))</f>
        <v>536.76779149281424</v>
      </c>
      <c r="AM321" s="65">
        <f t="shared" si="537"/>
        <v>3.5897435897435638E-2</v>
      </c>
      <c r="AN321" s="209"/>
      <c r="AO321" s="65" t="str">
        <f t="shared" si="455"/>
        <v/>
      </c>
      <c r="AP321" s="65">
        <f>IF($AC321="",#N/A,SUM(AO$4:AO321))</f>
        <v>11.590319233033487</v>
      </c>
      <c r="AQ321" s="65">
        <f t="shared" si="456"/>
        <v>3.5897435897435638E-2</v>
      </c>
      <c r="AR321" s="65">
        <f>IF($AC321="",#N/A,SUM(AQ$4:AQ321))</f>
        <v>-5.1272933549890007</v>
      </c>
      <c r="AS321" s="65" t="str">
        <f t="shared" si="457"/>
        <v/>
      </c>
      <c r="AT321" s="65">
        <f>IF($AC321="",#N/A,SUM(AS$4:AS321))</f>
        <v>3.8089159675962305</v>
      </c>
      <c r="AU321" s="57" t="str">
        <f t="shared" si="538"/>
        <v/>
      </c>
      <c r="AV321" s="57">
        <f>IF($AC321="",#N/A,SUM(AU$4:AU321))</f>
        <v>685.53249066104672</v>
      </c>
      <c r="AW321" s="57">
        <f t="shared" si="539"/>
        <v>2.5199999999999818</v>
      </c>
      <c r="AX321" s="57">
        <f>IF($AC321="",#N/A,SUM(AW$4:AW321))</f>
        <v>-340.17106797961105</v>
      </c>
      <c r="AY321" s="57" t="str">
        <f t="shared" si="540"/>
        <v/>
      </c>
      <c r="AZ321" s="57">
        <f>IF($AC321="",#N/A,SUM(AY$4:AY321))</f>
        <v>268.85719317717951</v>
      </c>
      <c r="BA321" s="57">
        <f>IF(AD321="",#N/A,SUM($AD$4:AD321))</f>
        <v>614.21861585861518</v>
      </c>
      <c r="BC321" s="51">
        <f t="shared" si="458"/>
        <v>1</v>
      </c>
      <c r="BD321" s="51" t="str">
        <f t="shared" si="459"/>
        <v/>
      </c>
      <c r="BE321" s="51" t="str">
        <f t="shared" si="460"/>
        <v/>
      </c>
      <c r="BF321" s="51" t="str">
        <f t="shared" si="461"/>
        <v>Long</v>
      </c>
      <c r="BG321" s="51" t="str">
        <f t="shared" si="462"/>
        <v/>
      </c>
      <c r="BH321" s="51" t="str">
        <f t="shared" si="463"/>
        <v/>
      </c>
      <c r="BI321" s="51" t="str">
        <f t="shared" si="464"/>
        <v/>
      </c>
      <c r="BK321" s="65">
        <f t="shared" si="544"/>
        <v>9.0660004436648511E-2</v>
      </c>
      <c r="BL321" s="65">
        <f t="shared" si="543"/>
        <v>0.19083778218759648</v>
      </c>
      <c r="BM321" s="65">
        <f>IFERROR(Q321/COUNTA($J$4:J321),#N/A)</f>
        <v>5.5835533962265378E-2</v>
      </c>
      <c r="BO321" s="489" t="e">
        <f>IF(J321="",#N/A,IF(S321="SW",(COUNTIFS(K$4:$K321,"&gt;0",S$4:$S321,"SW")/COUNTIF(S$4:$S321,"SW")),#N/A))</f>
        <v>#N/A</v>
      </c>
      <c r="BP321" s="489" t="e">
        <f>IF($J321="",#N/A,IF($S321="DWN",(COUNTIFS($K$4:$K321,"&lt;0",$S$4:$S321,"DWN")/COUNTIF($S$4:$S321,"DWN")),#N/A))</f>
        <v>#N/A</v>
      </c>
      <c r="BQ321" s="489">
        <f>IF($J321="",#N/A,IF($S321="UP",(COUNTIFS($K$4:$K321,"&gt;0",$S$4:$S321,"UP")/COUNTIF($S$4:$S321,"UP")),#N/A))</f>
        <v>0.44</v>
      </c>
      <c r="BR321" s="489">
        <f>IF(J321="",#N/A,COUNTIF($K$4:K321,"&gt;0")/COUNT($J$4:J321))</f>
        <v>0.47169811320754718</v>
      </c>
      <c r="BS321" s="65">
        <f t="shared" si="465"/>
        <v>0.36923076923077025</v>
      </c>
      <c r="BT321" s="65" t="str">
        <f t="shared" si="466"/>
        <v/>
      </c>
      <c r="BU321" s="65" t="str">
        <f t="shared" si="467"/>
        <v/>
      </c>
      <c r="BV321" s="65" t="str">
        <f t="shared" si="468"/>
        <v/>
      </c>
      <c r="BW321" s="128">
        <f t="shared" si="469"/>
        <v>25.920000000000073</v>
      </c>
      <c r="BX321" s="128">
        <f>IF($J321="",#N/A,SUM($BW$4:BW321))</f>
        <v>-265.49317034792875</v>
      </c>
      <c r="BY321" s="131" t="str">
        <f t="shared" si="470"/>
        <v/>
      </c>
      <c r="BZ321" s="131">
        <f>IF($J321="",#N/A,SUM($BY$4:BY321))</f>
        <v>671.07161346139458</v>
      </c>
      <c r="CA321" s="133" t="str">
        <f t="shared" si="471"/>
        <v/>
      </c>
      <c r="CB321" s="133">
        <f>IF($J321="",#N/A,SUM($CA$4:CA321))</f>
        <v>541.88158426187533</v>
      </c>
      <c r="CC321" s="194">
        <f t="shared" si="472"/>
        <v>0.36923076923077025</v>
      </c>
      <c r="CD321" s="194">
        <f>IF($J321="",#N/A,SUM($CC$4:CC321))</f>
        <v>-4.1583836998562527</v>
      </c>
      <c r="CE321" s="195" t="str">
        <f t="shared" si="473"/>
        <v/>
      </c>
      <c r="CF321" s="195">
        <f>IF($J321="",#N/A,SUM($CE$4:CE321))</f>
        <v>11.789566422293161</v>
      </c>
      <c r="CG321" s="196" t="str">
        <f t="shared" si="474"/>
        <v/>
      </c>
      <c r="CH321" s="196">
        <f>IF($J321="",#N/A,SUM($CG$4:CG321))</f>
        <v>10.124517077563485</v>
      </c>
      <c r="CI321" s="200" t="str">
        <f t="shared" si="475"/>
        <v/>
      </c>
      <c r="CJ321" s="203">
        <f>IF($J321="",#N/A,SUM(CI$4:CI321))</f>
        <v>0</v>
      </c>
      <c r="CK321" s="204" t="str">
        <f t="shared" si="476"/>
        <v/>
      </c>
      <c r="CL321" s="204">
        <f>IF($J321="",#N/A,SUM(CK$4:CK321))</f>
        <v>2.4085740385592547</v>
      </c>
      <c r="CM321" s="205" t="str">
        <f t="shared" si="477"/>
        <v/>
      </c>
      <c r="CN321" s="205">
        <f>IF($J321="",#N/A,SUM(CM$4:CM321))</f>
        <v>1.6494621984783118</v>
      </c>
      <c r="CO321" s="205">
        <f>IF($J321="",#N/A,SUM(CM$4:CM321,CK$4:CK321,CI$4:CI321))</f>
        <v>4.0580362370375669</v>
      </c>
      <c r="CP321" s="200" t="str">
        <f t="shared" si="478"/>
        <v/>
      </c>
      <c r="CQ321" s="203">
        <f>IF($J321="",#N/A,SUM(CP$4:CP321))</f>
        <v>-2.5399197875602422</v>
      </c>
      <c r="CR321" s="204" t="str">
        <f t="shared" si="479"/>
        <v/>
      </c>
      <c r="CS321" s="204">
        <f>IF($J321="",#N/A,SUM(CR$4:CR321))</f>
        <v>2.3600225017004668</v>
      </c>
      <c r="CT321" s="205" t="str">
        <f t="shared" si="480"/>
        <v/>
      </c>
      <c r="CU321" s="205">
        <f>IF($J321="",#N/A,SUM(CT$4:CT321))</f>
        <v>-0.67755161299190814</v>
      </c>
      <c r="CV321" s="205">
        <f>IF($J321="",#N/A,SUM(CT$4:CT321,CR$4:CR321,CP$4:CP321))</f>
        <v>-0.85744889885168352</v>
      </c>
      <c r="CW321" s="200" t="str">
        <f t="shared" si="481"/>
        <v/>
      </c>
      <c r="CX321" s="203">
        <f>IF($J321="",#N/A,SUM(CW$4:CW321))</f>
        <v>-0.29399505935581682</v>
      </c>
      <c r="CY321" s="204" t="str">
        <f t="shared" si="482"/>
        <v/>
      </c>
      <c r="CZ321" s="204">
        <f>IF($J321="",#N/A,SUM(CY$4:CY321))</f>
        <v>-0.20119965665334139</v>
      </c>
      <c r="DA321" s="205" t="str">
        <f t="shared" si="483"/>
        <v/>
      </c>
      <c r="DB321" s="205">
        <f>IF($J321="",#N/A,SUM(DA$4:DA321))</f>
        <v>-1.1581788995104692</v>
      </c>
      <c r="DC321" s="205">
        <f>IF($J321="",#N/A,SUM(DA$4:DA321,CY$4:CY321,CW$4:CW321))</f>
        <v>-1.653373615519627</v>
      </c>
      <c r="DD321" s="200" t="str">
        <f t="shared" si="484"/>
        <v/>
      </c>
      <c r="DE321" s="203">
        <f>IF($J321="",#N/A,SUM(DD$4:DD321))</f>
        <v>1.2501454750716789</v>
      </c>
      <c r="DF321" s="204" t="str">
        <f t="shared" si="485"/>
        <v/>
      </c>
      <c r="DG321" s="204">
        <f>IF($J321="",#N/A,SUM(DF$4:DF321))</f>
        <v>2.626961496209514</v>
      </c>
      <c r="DH321" s="205" t="str">
        <f t="shared" si="486"/>
        <v/>
      </c>
      <c r="DI321" s="205">
        <f>IF($J321="",#N/A,SUM(DH$4:DH321))</f>
        <v>-2.7812008102163399</v>
      </c>
      <c r="DJ321" s="205">
        <f>IF($J321="",#N/A,SUM(DH$4:DH321,DF$4:DF321,DD$4:DD321))</f>
        <v>1.0959061610648531</v>
      </c>
      <c r="DK321" s="200">
        <f t="shared" si="487"/>
        <v>0.36923076923077025</v>
      </c>
      <c r="DL321" s="203">
        <f>IF($J321="",#N/A,SUM(DK$4:DK321))</f>
        <v>-0.84049791589649614</v>
      </c>
      <c r="DM321" s="204" t="str">
        <f t="shared" si="488"/>
        <v/>
      </c>
      <c r="DN321" s="204">
        <f>IF($J321="",#N/A,SUM(DM$4:DM321))</f>
        <v>1.8657648196498773</v>
      </c>
      <c r="DO321" s="205" t="str">
        <f t="shared" si="489"/>
        <v/>
      </c>
      <c r="DP321" s="205">
        <f>IF($J321="",#N/A,SUM(DO$4:DO321))</f>
        <v>2.700331529683047</v>
      </c>
      <c r="DQ321" s="205">
        <f>IF($J321="",#N/A,SUM(DO$4:DO321,DM$4:DM321,DK$4:DK321))</f>
        <v>3.7255984334364292</v>
      </c>
      <c r="DR321" s="200" t="str">
        <f t="shared" si="490"/>
        <v/>
      </c>
      <c r="DS321" s="203">
        <f>IF($J321="",#N/A,SUM(DR$4:DR321))</f>
        <v>-0.55950946427675097</v>
      </c>
      <c r="DT321" s="204" t="str">
        <f t="shared" si="491"/>
        <v/>
      </c>
      <c r="DU321" s="204">
        <f>IF($J321="",#N/A,SUM(DT$4:DT321))</f>
        <v>-0.20750635820596686</v>
      </c>
      <c r="DV321" s="205" t="str">
        <f t="shared" si="492"/>
        <v/>
      </c>
      <c r="DW321" s="205">
        <f>IF($J321="",#N/A,SUM(DV$4:DV321))</f>
        <v>-2.3377035686214001</v>
      </c>
      <c r="DX321" s="205">
        <f>IF($J321="",#N/A,SUM(DV$4:DV321,DT$4:DT321,DR$4:DR321))</f>
        <v>-3.1047193911041169</v>
      </c>
      <c r="DY321" s="200" t="str">
        <f t="shared" si="493"/>
        <v/>
      </c>
      <c r="DZ321" s="203">
        <f>IF($J321="",#N/A,SUM(DY$4:DY321))</f>
        <v>-1.6284722482776204</v>
      </c>
      <c r="EA321" s="204" t="str">
        <f t="shared" si="494"/>
        <v/>
      </c>
      <c r="EB321" s="204">
        <f>IF($J321="",#N/A,SUM(EA$4:EA321))</f>
        <v>2.276197208799712</v>
      </c>
      <c r="EC321" s="205" t="str">
        <f t="shared" si="495"/>
        <v/>
      </c>
      <c r="ED321" s="205">
        <f>IF($J321="",#N/A,SUM(EC$4:EC321))</f>
        <v>8.6307007550759458</v>
      </c>
      <c r="EE321" s="205">
        <f>IF($J321="",#N/A,SUM(EC$4:EC321,EA$4:EA321,DY$4:DY321))</f>
        <v>9.2784257155980399</v>
      </c>
      <c r="EF321" s="200" t="str">
        <f t="shared" si="496"/>
        <v/>
      </c>
      <c r="EG321" s="203">
        <f>IF($J321="",#N/A,SUM(EF$4:EF321))</f>
        <v>0.65848341369884777</v>
      </c>
      <c r="EH321" s="204" t="str">
        <f t="shared" si="497"/>
        <v/>
      </c>
      <c r="EI321" s="204">
        <f>IF($J321="",#N/A,SUM(EH$4:EH321))</f>
        <v>-3.5125331561187787</v>
      </c>
      <c r="EJ321" s="205" t="str">
        <f t="shared" si="498"/>
        <v/>
      </c>
      <c r="EK321" s="205">
        <f>IF($J321="",#N/A,SUM(EJ$4:EJ321))</f>
        <v>5.050388173053765</v>
      </c>
      <c r="EL321" s="205">
        <f>IF($J321="",#N/A,SUM(EJ$4:EJ321,EH$4:EH321,EF$4:EF321))</f>
        <v>2.1963384306338343</v>
      </c>
      <c r="EM321" s="200" t="str">
        <f t="shared" si="499"/>
        <v/>
      </c>
      <c r="EN321" s="203">
        <f>IF($J321="",#N/A,SUM(EM$4:EM321))</f>
        <v>0</v>
      </c>
      <c r="EO321" s="204" t="str">
        <f t="shared" si="500"/>
        <v/>
      </c>
      <c r="EP321" s="204">
        <f>IF($J321="",#N/A,SUM(EO$4:EO321))</f>
        <v>2.4788862078089964</v>
      </c>
      <c r="EQ321" s="205" t="str">
        <f t="shared" si="501"/>
        <v/>
      </c>
      <c r="ER321" s="205">
        <f>IF($J321="",#N/A,SUM(EQ$4:EQ321))</f>
        <v>2.6983279209445628</v>
      </c>
      <c r="ES321" s="205">
        <f>IF($J321="",#N/A,SUM(EQ$4:EQ321,EO$4:EO321,EM$4:EM321))</f>
        <v>5.1772141287535591</v>
      </c>
      <c r="ET321" s="200" t="str">
        <f t="shared" si="502"/>
        <v/>
      </c>
      <c r="EU321" s="203">
        <f>IF($J321="",#N/A,SUM(ET$4:ET321))</f>
        <v>0</v>
      </c>
      <c r="EV321" s="204" t="str">
        <f t="shared" si="503"/>
        <v/>
      </c>
      <c r="EW321" s="204">
        <f>IF($J321="",#N/A,SUM(EV$4:EV321))</f>
        <v>2.3210103028360365</v>
      </c>
      <c r="EX321" s="205" t="str">
        <f t="shared" si="504"/>
        <v/>
      </c>
      <c r="EY321" s="205">
        <f>IF($J321="",#N/A,SUM(EX$4:EX321))</f>
        <v>0.27113250180669229</v>
      </c>
      <c r="EZ321" s="205">
        <f>IF($J321="",#N/A,SUM(EX$4:EX321,EV$4:EV321,ET$4:ET321))</f>
        <v>2.5921428046427284</v>
      </c>
      <c r="FA321" s="200" t="str">
        <f t="shared" si="505"/>
        <v/>
      </c>
      <c r="FB321" s="203">
        <f>IF($J321="",#N/A,SUM(FA$4:FA321))</f>
        <v>-0.27145310509113252</v>
      </c>
      <c r="FC321" s="204" t="str">
        <f t="shared" si="506"/>
        <v/>
      </c>
      <c r="FD321" s="204">
        <f>IF($J321="",#N/A,SUM(FC$4:FC321))</f>
        <v>0.89084290967454072</v>
      </c>
      <c r="FE321" s="205" t="str">
        <f t="shared" si="507"/>
        <v/>
      </c>
      <c r="FF321" s="205">
        <f>IF($J321="",#N/A,SUM(FE$4:FE321))</f>
        <v>-0.28811149078748233</v>
      </c>
      <c r="FG321" s="205">
        <f>IF($J321="",#N/A,SUM(FE$4:FE321,FC$4:FC321,FA$4:FA321))</f>
        <v>0.3312783137959262</v>
      </c>
      <c r="FH321" s="200" t="str">
        <f t="shared" si="508"/>
        <v/>
      </c>
      <c r="FI321" s="203">
        <f>IF($J321="",#N/A,SUM(FH$4:FH321))</f>
        <v>0</v>
      </c>
      <c r="FJ321" s="204" t="str">
        <f t="shared" si="509"/>
        <v/>
      </c>
      <c r="FK321" s="204">
        <f>IF($J321="",#N/A,SUM(FJ$4:FJ321))</f>
        <v>0</v>
      </c>
      <c r="FL321" s="205" t="str">
        <f t="shared" si="510"/>
        <v/>
      </c>
      <c r="FM321" s="205">
        <f>IF($J321="",#N/A,SUM(FL$4:FL321))</f>
        <v>0</v>
      </c>
      <c r="FN321" s="205">
        <f>IF($J321="",#N/A,SUM(FL$4:FL321,FJ$4:FJ321,FH$4:FH321))</f>
        <v>0</v>
      </c>
      <c r="FO321" s="200" t="str">
        <f t="shared" si="511"/>
        <v/>
      </c>
      <c r="FP321" s="203">
        <f>IF($J321="",#N/A,SUM(FO$4:FO321))</f>
        <v>0</v>
      </c>
      <c r="FQ321" s="204" t="str">
        <f t="shared" si="512"/>
        <v/>
      </c>
      <c r="FR321" s="204">
        <f>IF($J321="",#N/A,SUM(FQ$4:FQ321))</f>
        <v>0</v>
      </c>
      <c r="FS321" s="205" t="str">
        <f t="shared" si="513"/>
        <v/>
      </c>
      <c r="FT321" s="205">
        <f>IF($J321="",#N/A,SUM(FS$4:FS321))</f>
        <v>0</v>
      </c>
      <c r="FU321" s="205">
        <f>IF($J321="",#N/A,SUM(FS$4:FS321,FQ$4:FQ321,FO$4:FO321))</f>
        <v>0</v>
      </c>
      <c r="FV321" s="200" t="str">
        <f t="shared" si="514"/>
        <v/>
      </c>
      <c r="FW321" s="203">
        <f>IF($J321="",#N/A,SUM(FV$4:FV321))</f>
        <v>6.6834991831277585E-2</v>
      </c>
      <c r="FX321" s="204" t="str">
        <f t="shared" si="515"/>
        <v/>
      </c>
      <c r="FY321" s="204">
        <f>IF($J321="",#N/A,SUM(FX$4:FX321))</f>
        <v>-0.16102012791805576</v>
      </c>
      <c r="FZ321" s="205" t="str">
        <f t="shared" si="516"/>
        <v/>
      </c>
      <c r="GA321" s="205">
        <f>IF($J321="",#N/A,SUM(FZ$4:FZ321))</f>
        <v>-0.69624339162892301</v>
      </c>
      <c r="GB321" s="205">
        <f>IF($J321="",#N/A,SUM(FZ$4:FZ321,FX$4:FX321,FV$4:FV321))</f>
        <v>-0.79042852771570116</v>
      </c>
      <c r="GC321" s="200" t="str">
        <f t="shared" si="517"/>
        <v/>
      </c>
      <c r="GD321" s="203">
        <f>IF($J321="",#N/A,SUM(GC$4:GC321))</f>
        <v>0</v>
      </c>
      <c r="GE321" s="204" t="str">
        <f t="shared" si="518"/>
        <v/>
      </c>
      <c r="GF321" s="204">
        <f>IF($J321="",#N/A,SUM(GE$4:GE321))</f>
        <v>0</v>
      </c>
      <c r="GG321" s="205" t="str">
        <f t="shared" si="519"/>
        <v/>
      </c>
      <c r="GH321" s="205">
        <f>IF($J321="",#N/A,SUM(GG$4:GG321))</f>
        <v>-2.9368362277223206</v>
      </c>
      <c r="GI321" s="205">
        <f>IF($J321="",#N/A,SUM(GG$4:GG321,GE$4:GE321,GC$4:GC321))</f>
        <v>-2.9368362277223206</v>
      </c>
      <c r="GJ321" s="200" t="str">
        <f t="shared" si="520"/>
        <v/>
      </c>
      <c r="GK321" s="203">
        <f>IF($J321="",#N/A,SUM(GJ$4:GJ321))</f>
        <v>0</v>
      </c>
      <c r="GL321" s="204" t="str">
        <f t="shared" si="521"/>
        <v/>
      </c>
      <c r="GM321" s="204">
        <f>IF($J321="",#N/A,SUM(GL$4:GL321))</f>
        <v>-1.6833790887309608</v>
      </c>
      <c r="GN321" s="205" t="str">
        <f t="shared" si="522"/>
        <v/>
      </c>
      <c r="GO321" s="205">
        <f>IF($J321="",#N/A,SUM(GN$4:GN321))</f>
        <v>0</v>
      </c>
      <c r="GP321" s="205">
        <f>IF($J321="",#N/A,SUM(GN$4:GN321,GL$4:GL321,GJ$4:GJ321))</f>
        <v>-1.6833790887309608</v>
      </c>
      <c r="GS321" s="54">
        <f t="shared" si="541"/>
        <v>0.36923076923077025</v>
      </c>
      <c r="GT321" s="54">
        <f>IF(GS321="",NA(),SUM($GS$4:GS321))</f>
        <v>12.264091350754503</v>
      </c>
      <c r="GU321" s="54">
        <f t="shared" si="523"/>
        <v>0.36923076923077025</v>
      </c>
      <c r="GV321" s="54">
        <f>IF(GU321="",NA(),SUM($GU$4:GU321))</f>
        <v>-4.1583836998562527</v>
      </c>
      <c r="GW321" s="54" t="str">
        <f t="shared" si="524"/>
        <v/>
      </c>
      <c r="GX321" s="54" t="e">
        <f>IF(GW321="",NA(),SUM($GW$4:GW321))</f>
        <v>#N/A</v>
      </c>
      <c r="GY321" s="54" t="str">
        <f t="shared" si="525"/>
        <v/>
      </c>
      <c r="GZ321" s="54" t="e">
        <f>IF(GY321="",NA(),SUM($GY$4:GY321))</f>
        <v>#N/A</v>
      </c>
      <c r="HA321" s="54" t="str">
        <f t="shared" si="526"/>
        <v/>
      </c>
      <c r="HB321" s="54" t="e">
        <f>IF(HA321="",NA(),SUM($HA$4:HA321))</f>
        <v>#N/A</v>
      </c>
      <c r="HC321" s="54" t="str">
        <f t="shared" si="527"/>
        <v/>
      </c>
      <c r="HD321" s="54" t="e">
        <f>IF(HC321="",NA(),SUM($HC$4:HC321))</f>
        <v>#N/A</v>
      </c>
      <c r="HE321" s="54" t="str">
        <f t="shared" si="528"/>
        <v/>
      </c>
      <c r="HF321" s="54" t="e">
        <f>IF(HE321="",NA(),SUM($HE$4:HE321))</f>
        <v>#N/A</v>
      </c>
      <c r="HG321" s="54" t="str">
        <f t="shared" si="529"/>
        <v/>
      </c>
      <c r="HH321" s="54" t="e">
        <f>IF(HG321="",NA(),SUM($HG$4:HG321))</f>
        <v>#N/A</v>
      </c>
      <c r="HI321" s="172" t="str">
        <f t="shared" si="542"/>
        <v/>
      </c>
      <c r="HJ321" s="172">
        <f>IF($J321="",#N/A,SUM(HI$4:$HI321))</f>
        <v>-10.045648734156464</v>
      </c>
      <c r="HK321" s="54" t="str">
        <f t="shared" si="530"/>
        <v/>
      </c>
      <c r="HL321" s="54">
        <f>IF($J321="",#N/A,SUM($HK$4:HK321))</f>
        <v>2.0649982794595436</v>
      </c>
      <c r="HM321" s="54">
        <f t="shared" si="531"/>
        <v>-0.33333333333333459</v>
      </c>
      <c r="HN321" s="54">
        <f>IF($J321="",#N/A,SUM($HM$4:HM321))</f>
        <v>-0.27414712288080484</v>
      </c>
      <c r="HO321" s="54" t="str">
        <f t="shared" si="532"/>
        <v/>
      </c>
      <c r="HP321" s="54">
        <f>IF($J321="",#N/A,SUM($HO$4:HO321))</f>
        <v>-0.69476253225193951</v>
      </c>
      <c r="HQ321" s="54" t="str">
        <f t="shared" si="533"/>
        <v/>
      </c>
      <c r="HR321" s="54">
        <f>IF($J321="",#N/A,SUM($HQ$4:HQ321))</f>
        <v>-13.50506252757291</v>
      </c>
      <c r="HS321" s="54" t="str">
        <f t="shared" si="534"/>
        <v/>
      </c>
      <c r="HT321" s="54">
        <f>IF($J321="",#N/A,SUM($HS$4:HS321))</f>
        <v>15.486812150209897</v>
      </c>
      <c r="HU321" s="65">
        <f t="shared" si="535"/>
        <v>3.5897435897435638E-2</v>
      </c>
      <c r="HV321" s="65">
        <f>IF($J321="",#N/A,SUM(HU$4:$HU321))</f>
        <v>10.271941845640722</v>
      </c>
    </row>
    <row r="322" spans="1:230" x14ac:dyDescent="0.25">
      <c r="A322" s="51" t="s">
        <v>658</v>
      </c>
      <c r="B322" s="52" t="s">
        <v>4599</v>
      </c>
      <c r="C322" s="229">
        <f t="shared" si="436"/>
        <v>3</v>
      </c>
      <c r="D322" s="219" t="str">
        <f>_xlfn.XLOOKUP(A322,[1]SP500!$A$2:$A$502,[1]SP500!$D$2:$D$502,"N")</f>
        <v>Y</v>
      </c>
      <c r="E322" s="51" t="str">
        <f>IFERROR(_xlfn.XLOOKUP(A322,[1]SP500!$A$2:$A$655,[1]SP500!$B$2:$B$655),"")</f>
        <v>XLY</v>
      </c>
      <c r="F322" s="290">
        <v>45785</v>
      </c>
      <c r="G322" s="51" t="str">
        <f t="shared" si="437"/>
        <v>AMC</v>
      </c>
      <c r="H322" s="51" t="str">
        <f t="shared" si="438"/>
        <v>s</v>
      </c>
      <c r="I322" s="344">
        <v>168.99</v>
      </c>
      <c r="J322" s="124">
        <v>152.59</v>
      </c>
      <c r="K322" s="55">
        <f t="shared" si="439"/>
        <v>-9.7047162553997313E-2</v>
      </c>
      <c r="L322" s="67">
        <f t="shared" si="440"/>
        <v>-114.51565181371689</v>
      </c>
      <c r="M322" s="57">
        <f t="shared" si="441"/>
        <v>-4.1197704006153799</v>
      </c>
      <c r="N322" s="102">
        <f t="shared" si="442"/>
        <v>-114.51565181371689</v>
      </c>
      <c r="O322" s="57">
        <f>IF(N322="",#N/A,SUM($N$4:N322))</f>
        <v>832.94437556162427</v>
      </c>
      <c r="P322" s="65">
        <f t="shared" si="536"/>
        <v>-1.6174527092332893</v>
      </c>
      <c r="Q322" s="172">
        <f>IF($N322="",#N/A,SUM($P$4:P322))</f>
        <v>16.138247090767099</v>
      </c>
      <c r="R322" s="279">
        <f t="shared" si="443"/>
        <v>6.1099145135693114</v>
      </c>
      <c r="S322" s="51" t="str">
        <f t="shared" si="444"/>
        <v>SW</v>
      </c>
      <c r="T322" s="51" t="s">
        <v>2828</v>
      </c>
      <c r="U322" s="56">
        <f t="shared" si="445"/>
        <v>168.99</v>
      </c>
      <c r="V322" s="56" t="s">
        <v>4460</v>
      </c>
      <c r="W322" s="142">
        <f>IF(I322="","",1180/I322)</f>
        <v>6.9826616959583401</v>
      </c>
      <c r="X322" s="145">
        <f t="shared" si="446"/>
        <v>1180</v>
      </c>
      <c r="Y322" s="140">
        <f t="shared" si="447"/>
        <v>6.9826616959583401</v>
      </c>
      <c r="Z322" s="123">
        <v>152</v>
      </c>
      <c r="AA322" s="102">
        <f t="shared" si="448"/>
        <v>-118.63542221433227</v>
      </c>
      <c r="AB322" s="102">
        <f t="shared" si="449"/>
        <v>-86.096218711166557</v>
      </c>
      <c r="AC322" s="124">
        <v>156.66</v>
      </c>
      <c r="AD322" s="155">
        <f t="shared" si="450"/>
        <v>-86.096218711166557</v>
      </c>
      <c r="AE322" s="545">
        <f t="shared" si="451"/>
        <v>-1.2160482868808837</v>
      </c>
      <c r="AF322" s="57">
        <f>IF($AC322="",#N/A,SUM(AD$4:AD322))</f>
        <v>528.12239714744862</v>
      </c>
      <c r="AG322" s="102">
        <f t="shared" si="452"/>
        <v>28.419433102550329</v>
      </c>
      <c r="AH322" s="56" t="s">
        <v>2507</v>
      </c>
      <c r="AI322" s="65">
        <f t="shared" si="453"/>
        <v>-1.6756415566996083</v>
      </c>
      <c r="AJ322" s="108">
        <f>IF(AI322="",#N/A,SUM($AI$4:AI322))</f>
        <v>10.028332577197787</v>
      </c>
      <c r="AK322" s="57">
        <f t="shared" si="454"/>
        <v>-118.63542221433227</v>
      </c>
      <c r="AL322" s="66">
        <f>IF(AI322="",#N/A,IF(AH322="Skip",SUM($AK$4:AK322),SUM($AK$4:AK322)))</f>
        <v>418.13236927848197</v>
      </c>
      <c r="AM322" s="65">
        <f t="shared" si="537"/>
        <v>-1.2160482868808837</v>
      </c>
      <c r="AN322" s="209"/>
      <c r="AO322" s="65">
        <f t="shared" si="455"/>
        <v>-1.2160482868808837</v>
      </c>
      <c r="AP322" s="65">
        <f>IF($AC322="",#N/A,SUM(AO$4:AO322))</f>
        <v>10.374270946152603</v>
      </c>
      <c r="AQ322" s="65" t="str">
        <f t="shared" si="456"/>
        <v/>
      </c>
      <c r="AR322" s="65">
        <f>IF($AC322="",#N/A,SUM(AQ$4:AQ322))</f>
        <v>-5.1272933549890007</v>
      </c>
      <c r="AS322" s="65" t="str">
        <f t="shared" si="457"/>
        <v/>
      </c>
      <c r="AT322" s="65">
        <f>IF($AC322="",#N/A,SUM(AS$4:AS322))</f>
        <v>3.8089159675962305</v>
      </c>
      <c r="AU322" s="57">
        <f t="shared" si="538"/>
        <v>-86.096218711166557</v>
      </c>
      <c r="AV322" s="57">
        <f>IF($AC322="",#N/A,SUM(AU$4:AU322))</f>
        <v>599.43627194988017</v>
      </c>
      <c r="AW322" s="57" t="str">
        <f t="shared" si="539"/>
        <v/>
      </c>
      <c r="AX322" s="57">
        <f>IF($AC322="",#N/A,SUM(AW$4:AW322))</f>
        <v>-340.17106797961105</v>
      </c>
      <c r="AY322" s="57" t="str">
        <f t="shared" si="540"/>
        <v/>
      </c>
      <c r="AZ322" s="57">
        <f>IF($AC322="",#N/A,SUM(AY$4:AY322))</f>
        <v>268.85719317717951</v>
      </c>
      <c r="BA322" s="57">
        <f>IF(AD322="",#N/A,SUM($AD$4:AD322))</f>
        <v>528.12239714744862</v>
      </c>
      <c r="BC322" s="51" t="str">
        <f t="shared" si="458"/>
        <v/>
      </c>
      <c r="BD322" s="51" t="str">
        <f t="shared" si="459"/>
        <v/>
      </c>
      <c r="BE322" s="51" t="str">
        <f t="shared" si="460"/>
        <v/>
      </c>
      <c r="BF322" s="51" t="str">
        <f t="shared" si="461"/>
        <v>Long</v>
      </c>
      <c r="BG322" s="51" t="str">
        <f t="shared" si="462"/>
        <v/>
      </c>
      <c r="BH322" s="51" t="str">
        <f t="shared" si="463"/>
        <v/>
      </c>
      <c r="BI322" s="51">
        <f t="shared" si="464"/>
        <v>1</v>
      </c>
      <c r="BK322" s="65">
        <f t="shared" si="544"/>
        <v>3.5409584067034421E-2</v>
      </c>
      <c r="BL322" s="65">
        <f t="shared" si="543"/>
        <v>0.20027804132757737</v>
      </c>
      <c r="BM322" s="65">
        <f>IFERROR(Q322/COUNTA($J$4:J322),#N/A)</f>
        <v>5.0590116271997172E-2</v>
      </c>
      <c r="BO322" s="489">
        <f>IF(J322="",#N/A,IF(S322="SW",(COUNTIFS(K$4:$K322,"&gt;0",S$4:$S322,"SW")/COUNTIF(S$4:$S322,"SW")),#N/A))</f>
        <v>0.5067567567567568</v>
      </c>
      <c r="BP322" s="489" t="e">
        <f>IF($J322="",#N/A,IF($S322="DWN",(COUNTIFS($K$4:$K322,"&lt;0",$S$4:$S322,"DWN")/COUNTIF($S$4:$S322,"DWN")),#N/A))</f>
        <v>#N/A</v>
      </c>
      <c r="BQ322" s="489" t="e">
        <f>IF($J322="",#N/A,IF($S322="UP",(COUNTIFS($K$4:$K322,"&gt;0",$S$4:$S322,"UP")/COUNTIF($S$4:$S322,"UP")),#N/A))</f>
        <v>#N/A</v>
      </c>
      <c r="BR322" s="489">
        <f>IF(J322="",#N/A,COUNTIF($K$4:K322,"&gt;0")/COUNT($J$4:J322))</f>
        <v>0.47021943573667713</v>
      </c>
      <c r="BS322" s="65" t="str">
        <f t="shared" si="465"/>
        <v/>
      </c>
      <c r="BT322" s="65">
        <f t="shared" si="466"/>
        <v>-1.6174527092332893</v>
      </c>
      <c r="BU322" s="65" t="str">
        <f t="shared" si="467"/>
        <v/>
      </c>
      <c r="BV322" s="65" t="str">
        <f t="shared" si="468"/>
        <v/>
      </c>
      <c r="BW322" s="128" t="str">
        <f t="shared" si="469"/>
        <v/>
      </c>
      <c r="BX322" s="128">
        <f>IF($J322="",#N/A,SUM($BW$4:BW322))</f>
        <v>-265.49317034792875</v>
      </c>
      <c r="BY322" s="131" t="str">
        <f t="shared" si="470"/>
        <v/>
      </c>
      <c r="BZ322" s="131">
        <f>IF($J322="",#N/A,SUM($BY$4:BY322))</f>
        <v>671.07161346139458</v>
      </c>
      <c r="CA322" s="133">
        <f t="shared" si="471"/>
        <v>-114.51565181371689</v>
      </c>
      <c r="CB322" s="133">
        <f>IF($J322="",#N/A,SUM($CA$4:CA322))</f>
        <v>427.36593244815845</v>
      </c>
      <c r="CC322" s="194" t="str">
        <f t="shared" si="472"/>
        <v/>
      </c>
      <c r="CD322" s="194">
        <f>IF($J322="",#N/A,SUM($CC$4:CC322))</f>
        <v>-4.1583836998562527</v>
      </c>
      <c r="CE322" s="195" t="str">
        <f t="shared" si="473"/>
        <v/>
      </c>
      <c r="CF322" s="195">
        <f>IF($J322="",#N/A,SUM($CE$4:CE322))</f>
        <v>11.789566422293161</v>
      </c>
      <c r="CG322" s="196">
        <f t="shared" si="474"/>
        <v>-1.6174527092332893</v>
      </c>
      <c r="CH322" s="196">
        <f>IF($J322="",#N/A,SUM($CG$4:CG322))</f>
        <v>8.5070643683301963</v>
      </c>
      <c r="CI322" s="200" t="str">
        <f t="shared" si="475"/>
        <v/>
      </c>
      <c r="CJ322" s="203">
        <f>IF($J322="",#N/A,SUM(CI$4:CI322))</f>
        <v>0</v>
      </c>
      <c r="CK322" s="204" t="str">
        <f t="shared" si="476"/>
        <v/>
      </c>
      <c r="CL322" s="204">
        <f>IF($J322="",#N/A,SUM(CK$4:CK322))</f>
        <v>2.4085740385592547</v>
      </c>
      <c r="CM322" s="205" t="str">
        <f t="shared" si="477"/>
        <v/>
      </c>
      <c r="CN322" s="205">
        <f>IF($J322="",#N/A,SUM(CM$4:CM322))</f>
        <v>1.6494621984783118</v>
      </c>
      <c r="CO322" s="205">
        <f>IF($J322="",#N/A,SUM(CM$4:CM322,CK$4:CK322,CI$4:CI322))</f>
        <v>4.0580362370375669</v>
      </c>
      <c r="CP322" s="200" t="str">
        <f t="shared" si="478"/>
        <v/>
      </c>
      <c r="CQ322" s="203">
        <f>IF($J322="",#N/A,SUM(CP$4:CP322))</f>
        <v>-2.5399197875602422</v>
      </c>
      <c r="CR322" s="204" t="str">
        <f t="shared" si="479"/>
        <v/>
      </c>
      <c r="CS322" s="204">
        <f>IF($J322="",#N/A,SUM(CR$4:CR322))</f>
        <v>2.3600225017004668</v>
      </c>
      <c r="CT322" s="205" t="str">
        <f t="shared" si="480"/>
        <v/>
      </c>
      <c r="CU322" s="205">
        <f>IF($J322="",#N/A,SUM(CT$4:CT322))</f>
        <v>-0.67755161299190814</v>
      </c>
      <c r="CV322" s="205">
        <f>IF($J322="",#N/A,SUM(CT$4:CT322,CR$4:CR322,CP$4:CP322))</f>
        <v>-0.85744889885168352</v>
      </c>
      <c r="CW322" s="200" t="str">
        <f t="shared" si="481"/>
        <v/>
      </c>
      <c r="CX322" s="203">
        <f>IF($J322="",#N/A,SUM(CW$4:CW322))</f>
        <v>-0.29399505935581682</v>
      </c>
      <c r="CY322" s="204" t="str">
        <f t="shared" si="482"/>
        <v/>
      </c>
      <c r="CZ322" s="204">
        <f>IF($J322="",#N/A,SUM(CY$4:CY322))</f>
        <v>-0.20119965665334139</v>
      </c>
      <c r="DA322" s="205">
        <f t="shared" si="483"/>
        <v>-1.6174527092332893</v>
      </c>
      <c r="DB322" s="205">
        <f>IF($J322="",#N/A,SUM(DA$4:DA322))</f>
        <v>-2.7756316087437582</v>
      </c>
      <c r="DC322" s="205">
        <f>IF($J322="",#N/A,SUM(DA$4:DA322,CY$4:CY322,CW$4:CW322))</f>
        <v>-3.2708263247529161</v>
      </c>
      <c r="DD322" s="200" t="str">
        <f t="shared" si="484"/>
        <v/>
      </c>
      <c r="DE322" s="203">
        <f>IF($J322="",#N/A,SUM(DD$4:DD322))</f>
        <v>1.2501454750716789</v>
      </c>
      <c r="DF322" s="204" t="str">
        <f t="shared" si="485"/>
        <v/>
      </c>
      <c r="DG322" s="204">
        <f>IF($J322="",#N/A,SUM(DF$4:DF322))</f>
        <v>2.626961496209514</v>
      </c>
      <c r="DH322" s="205" t="str">
        <f t="shared" si="486"/>
        <v/>
      </c>
      <c r="DI322" s="205">
        <f>IF($J322="",#N/A,SUM(DH$4:DH322))</f>
        <v>-2.7812008102163399</v>
      </c>
      <c r="DJ322" s="205">
        <f>IF($J322="",#N/A,SUM(DH$4:DH322,DF$4:DF322,DD$4:DD322))</f>
        <v>1.0959061610648531</v>
      </c>
      <c r="DK322" s="200" t="str">
        <f t="shared" si="487"/>
        <v/>
      </c>
      <c r="DL322" s="203">
        <f>IF($J322="",#N/A,SUM(DK$4:DK322))</f>
        <v>-0.84049791589649614</v>
      </c>
      <c r="DM322" s="204" t="str">
        <f t="shared" si="488"/>
        <v/>
      </c>
      <c r="DN322" s="204">
        <f>IF($J322="",#N/A,SUM(DM$4:DM322))</f>
        <v>1.8657648196498773</v>
      </c>
      <c r="DO322" s="205" t="str">
        <f t="shared" si="489"/>
        <v/>
      </c>
      <c r="DP322" s="205">
        <f>IF($J322="",#N/A,SUM(DO$4:DO322))</f>
        <v>2.700331529683047</v>
      </c>
      <c r="DQ322" s="205">
        <f>IF($J322="",#N/A,SUM(DO$4:DO322,DM$4:DM322,DK$4:DK322))</f>
        <v>3.7255984334364292</v>
      </c>
      <c r="DR322" s="200" t="str">
        <f t="shared" si="490"/>
        <v/>
      </c>
      <c r="DS322" s="203">
        <f>IF($J322="",#N/A,SUM(DR$4:DR322))</f>
        <v>-0.55950946427675097</v>
      </c>
      <c r="DT322" s="204" t="str">
        <f t="shared" si="491"/>
        <v/>
      </c>
      <c r="DU322" s="204">
        <f>IF($J322="",#N/A,SUM(DT$4:DT322))</f>
        <v>-0.20750635820596686</v>
      </c>
      <c r="DV322" s="205" t="str">
        <f t="shared" si="492"/>
        <v/>
      </c>
      <c r="DW322" s="205">
        <f>IF($J322="",#N/A,SUM(DV$4:DV322))</f>
        <v>-2.3377035686214001</v>
      </c>
      <c r="DX322" s="205">
        <f>IF($J322="",#N/A,SUM(DV$4:DV322,DT$4:DT322,DR$4:DR322))</f>
        <v>-3.1047193911041169</v>
      </c>
      <c r="DY322" s="200" t="str">
        <f t="shared" si="493"/>
        <v/>
      </c>
      <c r="DZ322" s="203">
        <f>IF($J322="",#N/A,SUM(DY$4:DY322))</f>
        <v>-1.6284722482776204</v>
      </c>
      <c r="EA322" s="204" t="str">
        <f t="shared" si="494"/>
        <v/>
      </c>
      <c r="EB322" s="204">
        <f>IF($J322="",#N/A,SUM(EA$4:EA322))</f>
        <v>2.276197208799712</v>
      </c>
      <c r="EC322" s="205" t="str">
        <f t="shared" si="495"/>
        <v/>
      </c>
      <c r="ED322" s="205">
        <f>IF($J322="",#N/A,SUM(EC$4:EC322))</f>
        <v>8.6307007550759458</v>
      </c>
      <c r="EE322" s="205">
        <f>IF($J322="",#N/A,SUM(EC$4:EC322,EA$4:EA322,DY$4:DY322))</f>
        <v>9.2784257155980399</v>
      </c>
      <c r="EF322" s="200" t="str">
        <f t="shared" si="496"/>
        <v/>
      </c>
      <c r="EG322" s="203">
        <f>IF($J322="",#N/A,SUM(EF$4:EF322))</f>
        <v>0.65848341369884777</v>
      </c>
      <c r="EH322" s="204" t="str">
        <f t="shared" si="497"/>
        <v/>
      </c>
      <c r="EI322" s="204">
        <f>IF($J322="",#N/A,SUM(EH$4:EH322))</f>
        <v>-3.5125331561187787</v>
      </c>
      <c r="EJ322" s="205" t="str">
        <f t="shared" si="498"/>
        <v/>
      </c>
      <c r="EK322" s="205">
        <f>IF($J322="",#N/A,SUM(EJ$4:EJ322))</f>
        <v>5.050388173053765</v>
      </c>
      <c r="EL322" s="205">
        <f>IF($J322="",#N/A,SUM(EJ$4:EJ322,EH$4:EH322,EF$4:EF322))</f>
        <v>2.1963384306338343</v>
      </c>
      <c r="EM322" s="200" t="str">
        <f t="shared" si="499"/>
        <v/>
      </c>
      <c r="EN322" s="203">
        <f>IF($J322="",#N/A,SUM(EM$4:EM322))</f>
        <v>0</v>
      </c>
      <c r="EO322" s="204" t="str">
        <f t="shared" si="500"/>
        <v/>
      </c>
      <c r="EP322" s="204">
        <f>IF($J322="",#N/A,SUM(EO$4:EO322))</f>
        <v>2.4788862078089964</v>
      </c>
      <c r="EQ322" s="205" t="str">
        <f t="shared" si="501"/>
        <v/>
      </c>
      <c r="ER322" s="205">
        <f>IF($J322="",#N/A,SUM(EQ$4:EQ322))</f>
        <v>2.6983279209445628</v>
      </c>
      <c r="ES322" s="205">
        <f>IF($J322="",#N/A,SUM(EQ$4:EQ322,EO$4:EO322,EM$4:EM322))</f>
        <v>5.1772141287535591</v>
      </c>
      <c r="ET322" s="200" t="str">
        <f t="shared" si="502"/>
        <v/>
      </c>
      <c r="EU322" s="203">
        <f>IF($J322="",#N/A,SUM(ET$4:ET322))</f>
        <v>0</v>
      </c>
      <c r="EV322" s="204" t="str">
        <f t="shared" si="503"/>
        <v/>
      </c>
      <c r="EW322" s="204">
        <f>IF($J322="",#N/A,SUM(EV$4:EV322))</f>
        <v>2.3210103028360365</v>
      </c>
      <c r="EX322" s="205" t="str">
        <f t="shared" si="504"/>
        <v/>
      </c>
      <c r="EY322" s="205">
        <f>IF($J322="",#N/A,SUM(EX$4:EX322))</f>
        <v>0.27113250180669229</v>
      </c>
      <c r="EZ322" s="205">
        <f>IF($J322="",#N/A,SUM(EX$4:EX322,EV$4:EV322,ET$4:ET322))</f>
        <v>2.5921428046427284</v>
      </c>
      <c r="FA322" s="200" t="str">
        <f t="shared" si="505"/>
        <v/>
      </c>
      <c r="FB322" s="203">
        <f>IF($J322="",#N/A,SUM(FA$4:FA322))</f>
        <v>-0.27145310509113252</v>
      </c>
      <c r="FC322" s="204" t="str">
        <f t="shared" si="506"/>
        <v/>
      </c>
      <c r="FD322" s="204">
        <f>IF($J322="",#N/A,SUM(FC$4:FC322))</f>
        <v>0.89084290967454072</v>
      </c>
      <c r="FE322" s="205" t="str">
        <f t="shared" si="507"/>
        <v/>
      </c>
      <c r="FF322" s="205">
        <f>IF($J322="",#N/A,SUM(FE$4:FE322))</f>
        <v>-0.28811149078748233</v>
      </c>
      <c r="FG322" s="205">
        <f>IF($J322="",#N/A,SUM(FE$4:FE322,FC$4:FC322,FA$4:FA322))</f>
        <v>0.3312783137959262</v>
      </c>
      <c r="FH322" s="200" t="str">
        <f t="shared" si="508"/>
        <v/>
      </c>
      <c r="FI322" s="203">
        <f>IF($J322="",#N/A,SUM(FH$4:FH322))</f>
        <v>0</v>
      </c>
      <c r="FJ322" s="204" t="str">
        <f t="shared" si="509"/>
        <v/>
      </c>
      <c r="FK322" s="204">
        <f>IF($J322="",#N/A,SUM(FJ$4:FJ322))</f>
        <v>0</v>
      </c>
      <c r="FL322" s="205" t="str">
        <f t="shared" si="510"/>
        <v/>
      </c>
      <c r="FM322" s="205">
        <f>IF($J322="",#N/A,SUM(FL$4:FL322))</f>
        <v>0</v>
      </c>
      <c r="FN322" s="205">
        <f>IF($J322="",#N/A,SUM(FL$4:FL322,FJ$4:FJ322,FH$4:FH322))</f>
        <v>0</v>
      </c>
      <c r="FO322" s="200" t="str">
        <f t="shared" si="511"/>
        <v/>
      </c>
      <c r="FP322" s="203">
        <f>IF($J322="",#N/A,SUM(FO$4:FO322))</f>
        <v>0</v>
      </c>
      <c r="FQ322" s="204" t="str">
        <f t="shared" si="512"/>
        <v/>
      </c>
      <c r="FR322" s="204">
        <f>IF($J322="",#N/A,SUM(FQ$4:FQ322))</f>
        <v>0</v>
      </c>
      <c r="FS322" s="205" t="str">
        <f t="shared" si="513"/>
        <v/>
      </c>
      <c r="FT322" s="205">
        <f>IF($J322="",#N/A,SUM(FS$4:FS322))</f>
        <v>0</v>
      </c>
      <c r="FU322" s="205">
        <f>IF($J322="",#N/A,SUM(FS$4:FS322,FQ$4:FQ322,FO$4:FO322))</f>
        <v>0</v>
      </c>
      <c r="FV322" s="200" t="str">
        <f t="shared" si="514"/>
        <v/>
      </c>
      <c r="FW322" s="203">
        <f>IF($J322="",#N/A,SUM(FV$4:FV322))</f>
        <v>6.6834991831277585E-2</v>
      </c>
      <c r="FX322" s="204" t="str">
        <f t="shared" si="515"/>
        <v/>
      </c>
      <c r="FY322" s="204">
        <f>IF($J322="",#N/A,SUM(FX$4:FX322))</f>
        <v>-0.16102012791805576</v>
      </c>
      <c r="FZ322" s="205" t="str">
        <f t="shared" si="516"/>
        <v/>
      </c>
      <c r="GA322" s="205">
        <f>IF($J322="",#N/A,SUM(FZ$4:FZ322))</f>
        <v>-0.69624339162892301</v>
      </c>
      <c r="GB322" s="205">
        <f>IF($J322="",#N/A,SUM(FZ$4:FZ322,FX$4:FX322,FV$4:FV322))</f>
        <v>-0.79042852771570116</v>
      </c>
      <c r="GC322" s="200" t="str">
        <f t="shared" si="517"/>
        <v/>
      </c>
      <c r="GD322" s="203">
        <f>IF($J322="",#N/A,SUM(GC$4:GC322))</f>
        <v>0</v>
      </c>
      <c r="GE322" s="204" t="str">
        <f t="shared" si="518"/>
        <v/>
      </c>
      <c r="GF322" s="204">
        <f>IF($J322="",#N/A,SUM(GE$4:GE322))</f>
        <v>0</v>
      </c>
      <c r="GG322" s="205" t="str">
        <f t="shared" si="519"/>
        <v/>
      </c>
      <c r="GH322" s="205">
        <f>IF($J322="",#N/A,SUM(GG$4:GG322))</f>
        <v>-2.9368362277223206</v>
      </c>
      <c r="GI322" s="205">
        <f>IF($J322="",#N/A,SUM(GG$4:GG322,GE$4:GE322,GC$4:GC322))</f>
        <v>-2.9368362277223206</v>
      </c>
      <c r="GJ322" s="200" t="str">
        <f t="shared" si="520"/>
        <v/>
      </c>
      <c r="GK322" s="203">
        <f>IF($J322="",#N/A,SUM(GJ$4:GJ322))</f>
        <v>0</v>
      </c>
      <c r="GL322" s="204" t="str">
        <f t="shared" si="521"/>
        <v/>
      </c>
      <c r="GM322" s="204">
        <f>IF($J322="",#N/A,SUM(GL$4:GL322))</f>
        <v>-1.6833790887309608</v>
      </c>
      <c r="GN322" s="205" t="str">
        <f t="shared" si="522"/>
        <v/>
      </c>
      <c r="GO322" s="205">
        <f>IF($J322="",#N/A,SUM(GN$4:GN322))</f>
        <v>0</v>
      </c>
      <c r="GP322" s="205">
        <f>IF($J322="",#N/A,SUM(GN$4:GN322,GL$4:GL322,GJ$4:GJ322))</f>
        <v>-1.6833790887309608</v>
      </c>
      <c r="GS322" s="54">
        <f t="shared" si="541"/>
        <v>-1.6174527092332893</v>
      </c>
      <c r="GT322" s="54">
        <f>IF(GS322="",NA(),SUM($GS$4:GS322))</f>
        <v>10.646638641521214</v>
      </c>
      <c r="GU322" s="54" t="str">
        <f t="shared" si="523"/>
        <v/>
      </c>
      <c r="GV322" s="54" t="e">
        <f>IF(GU322="",NA(),SUM($GU$4:GU322))</f>
        <v>#N/A</v>
      </c>
      <c r="GW322" s="54">
        <f t="shared" si="524"/>
        <v>-1.6174527092332893</v>
      </c>
      <c r="GX322" s="54">
        <f>IF(GW322="",NA(),SUM($GW$4:GW322))</f>
        <v>7.8186624950622239</v>
      </c>
      <c r="GY322" s="54" t="str">
        <f t="shared" si="525"/>
        <v/>
      </c>
      <c r="GZ322" s="54" t="e">
        <f>IF(GY322="",NA(),SUM($GY$4:GY322))</f>
        <v>#N/A</v>
      </c>
      <c r="HA322" s="54" t="str">
        <f t="shared" si="526"/>
        <v/>
      </c>
      <c r="HB322" s="54" t="e">
        <f>IF(HA322="",NA(),SUM($HA$4:HA322))</f>
        <v>#N/A</v>
      </c>
      <c r="HC322" s="54" t="str">
        <f t="shared" si="527"/>
        <v/>
      </c>
      <c r="HD322" s="54" t="e">
        <f>IF(HC322="",NA(),SUM($HC$4:HC322))</f>
        <v>#N/A</v>
      </c>
      <c r="HE322" s="54" t="str">
        <f t="shared" si="528"/>
        <v/>
      </c>
      <c r="HF322" s="54" t="e">
        <f>IF(HE322="",NA(),SUM($HE$4:HE322))</f>
        <v>#N/A</v>
      </c>
      <c r="HG322" s="54" t="str">
        <f t="shared" si="529"/>
        <v/>
      </c>
      <c r="HH322" s="54" t="e">
        <f>IF(HG322="",NA(),SUM($HG$4:HG322))</f>
        <v>#N/A</v>
      </c>
      <c r="HI322" s="172" t="str">
        <f t="shared" si="542"/>
        <v/>
      </c>
      <c r="HJ322" s="172">
        <f>IF($J322="",#N/A,SUM(HI$4:$HI322))</f>
        <v>-10.045648734156464</v>
      </c>
      <c r="HK322" s="54" t="str">
        <f t="shared" si="530"/>
        <v/>
      </c>
      <c r="HL322" s="54">
        <f>IF($J322="",#N/A,SUM($HK$4:HK322))</f>
        <v>2.0649982794595436</v>
      </c>
      <c r="HM322" s="54" t="str">
        <f t="shared" si="531"/>
        <v/>
      </c>
      <c r="HN322" s="54">
        <f>IF($J322="",#N/A,SUM($HM$4:HM322))</f>
        <v>-0.27414712288080484</v>
      </c>
      <c r="HO322" s="54" t="str">
        <f t="shared" si="532"/>
        <v/>
      </c>
      <c r="HP322" s="54">
        <f>IF($J322="",#N/A,SUM($HO$4:HO322))</f>
        <v>-0.69476253225193951</v>
      </c>
      <c r="HQ322" s="54" t="str">
        <f t="shared" si="533"/>
        <v/>
      </c>
      <c r="HR322" s="54">
        <f>IF($J322="",#N/A,SUM($HQ$4:HQ322))</f>
        <v>-13.50506252757291</v>
      </c>
      <c r="HS322" s="54">
        <f t="shared" si="534"/>
        <v>0.40140442235240559</v>
      </c>
      <c r="HT322" s="54">
        <f>IF($J322="",#N/A,SUM($HS$4:HS322))</f>
        <v>15.888216572562301</v>
      </c>
      <c r="HU322" s="65">
        <f t="shared" si="535"/>
        <v>-1.2160482868808837</v>
      </c>
      <c r="HV322" s="65">
        <f>IF($J322="",#N/A,SUM(HU$4:$HU322))</f>
        <v>9.0558935587598377</v>
      </c>
    </row>
    <row r="323" spans="1:230" x14ac:dyDescent="0.25">
      <c r="A323" s="51" t="s">
        <v>667</v>
      </c>
      <c r="B323" s="52" t="s">
        <v>4599</v>
      </c>
      <c r="C323" s="229">
        <f t="shared" si="436"/>
        <v>3</v>
      </c>
      <c r="D323" s="219" t="str">
        <f>_xlfn.XLOOKUP(A323,[1]SP500!$A$2:$A$502,[1]SP500!$D$2:$D$502,"N")</f>
        <v>Y</v>
      </c>
      <c r="E323" s="51" t="str">
        <f>IFERROR(_xlfn.XLOOKUP(A323,[1]SP500!$A$2:$A$655,[1]SP500!$B$2:$B$655),"")</f>
        <v>XLV</v>
      </c>
      <c r="F323" s="290">
        <v>45785</v>
      </c>
      <c r="G323" s="51" t="str">
        <f t="shared" si="437"/>
        <v>AMC</v>
      </c>
      <c r="H323" s="51" t="str">
        <f t="shared" si="438"/>
        <v>s</v>
      </c>
      <c r="I323" s="344">
        <v>257</v>
      </c>
      <c r="J323" s="124">
        <v>293.02999999999997</v>
      </c>
      <c r="K323" s="55">
        <f t="shared" si="439"/>
        <v>0.14019455252918278</v>
      </c>
      <c r="L323" s="67">
        <f t="shared" si="440"/>
        <v>144.11999999999989</v>
      </c>
      <c r="M323" s="57">
        <f t="shared" si="441"/>
        <v>0</v>
      </c>
      <c r="N323" s="102">
        <f t="shared" si="442"/>
        <v>144.11999999999989</v>
      </c>
      <c r="O323" s="57">
        <f>IF(N323="",#N/A,SUM($N$4:N323))</f>
        <v>977.06437556162416</v>
      </c>
      <c r="P323" s="65">
        <f t="shared" si="536"/>
        <v>2.3365758754863797</v>
      </c>
      <c r="Q323" s="172">
        <f>IF($N323="",#N/A,SUM($P$4:P323))</f>
        <v>18.474822966253477</v>
      </c>
      <c r="R323" s="279">
        <f t="shared" si="443"/>
        <v>6.1099145135693096</v>
      </c>
      <c r="S323" s="51" t="str">
        <f t="shared" si="444"/>
        <v>SW</v>
      </c>
      <c r="T323" s="51" t="s">
        <v>2828</v>
      </c>
      <c r="U323" s="56">
        <f t="shared" si="445"/>
        <v>257</v>
      </c>
      <c r="V323" s="56" t="s">
        <v>4460</v>
      </c>
      <c r="W323" s="140">
        <v>4</v>
      </c>
      <c r="X323" s="145">
        <f t="shared" si="446"/>
        <v>1028</v>
      </c>
      <c r="Y323" s="490">
        <f t="shared" si="447"/>
        <v>4</v>
      </c>
      <c r="Z323" s="123">
        <v>293.02999999999997</v>
      </c>
      <c r="AA323" s="102">
        <f t="shared" si="448"/>
        <v>144.11999999999989</v>
      </c>
      <c r="AB323" s="102">
        <f t="shared" si="449"/>
        <v>214.68000000000006</v>
      </c>
      <c r="AC323" s="124">
        <v>310.67</v>
      </c>
      <c r="AD323" s="155">
        <f t="shared" si="450"/>
        <v>214.68000000000006</v>
      </c>
      <c r="AE323" s="545">
        <f t="shared" si="451"/>
        <v>3.480544747081713</v>
      </c>
      <c r="AF323" s="57">
        <f>IF($AC323="",#N/A,SUM(AD$4:AD323))</f>
        <v>742.80239714744869</v>
      </c>
      <c r="AG323" s="102">
        <f t="shared" si="452"/>
        <v>70.560000000000173</v>
      </c>
      <c r="AH323" s="56" t="s">
        <v>2507</v>
      </c>
      <c r="AI323" s="65">
        <f t="shared" si="453"/>
        <v>2.3365758754863797</v>
      </c>
      <c r="AJ323" s="108">
        <f>IF(AI323="",#N/A,SUM($AI$4:AI323))</f>
        <v>12.364908452684167</v>
      </c>
      <c r="AK323" s="57">
        <f t="shared" si="454"/>
        <v>144.11999999999989</v>
      </c>
      <c r="AL323" s="66">
        <f>IF(AI323="",#N/A,IF(AH323="Skip",SUM($AK$4:AK323),SUM($AK$4:AK323)))</f>
        <v>562.25236927848186</v>
      </c>
      <c r="AM323" s="65">
        <f t="shared" si="537"/>
        <v>3.480544747081713</v>
      </c>
      <c r="AN323" s="209"/>
      <c r="AO323" s="65">
        <f t="shared" si="455"/>
        <v>3.480544747081713</v>
      </c>
      <c r="AP323" s="65">
        <f>IF($AC323="",#N/A,SUM(AO$4:AO323))</f>
        <v>13.854815693234315</v>
      </c>
      <c r="AQ323" s="65" t="str">
        <f t="shared" si="456"/>
        <v/>
      </c>
      <c r="AR323" s="65">
        <f>IF($AC323="",#N/A,SUM(AQ$4:AQ323))</f>
        <v>-5.1272933549890007</v>
      </c>
      <c r="AS323" s="65" t="str">
        <f t="shared" si="457"/>
        <v/>
      </c>
      <c r="AT323" s="65">
        <f>IF($AC323="",#N/A,SUM(AS$4:AS323))</f>
        <v>3.8089159675962305</v>
      </c>
      <c r="AU323" s="57">
        <f t="shared" si="538"/>
        <v>214.68000000000006</v>
      </c>
      <c r="AV323" s="57">
        <f>IF($AC323="",#N/A,SUM(AU$4:AU323))</f>
        <v>814.11627194988023</v>
      </c>
      <c r="AW323" s="57" t="str">
        <f t="shared" si="539"/>
        <v/>
      </c>
      <c r="AX323" s="57">
        <f>IF($AC323="",#N/A,SUM(AW$4:AW323))</f>
        <v>-340.17106797961105</v>
      </c>
      <c r="AY323" s="57" t="str">
        <f t="shared" si="540"/>
        <v/>
      </c>
      <c r="AZ323" s="57">
        <f>IF($AC323="",#N/A,SUM(AY$4:AY323))</f>
        <v>268.85719317717951</v>
      </c>
      <c r="BA323" s="57">
        <f>IF(AD323="",#N/A,SUM($AD$4:AD323))</f>
        <v>742.80239714744869</v>
      </c>
      <c r="BC323" s="51" t="str">
        <f t="shared" si="458"/>
        <v/>
      </c>
      <c r="BD323" s="51" t="str">
        <f t="shared" si="459"/>
        <v/>
      </c>
      <c r="BE323" s="51">
        <f t="shared" si="460"/>
        <v>1</v>
      </c>
      <c r="BF323" s="51" t="str">
        <f t="shared" si="461"/>
        <v>Long</v>
      </c>
      <c r="BG323" s="51" t="str">
        <f t="shared" si="462"/>
        <v/>
      </c>
      <c r="BH323" s="51" t="str">
        <f t="shared" si="463"/>
        <v/>
      </c>
      <c r="BI323" s="51" t="str">
        <f t="shared" si="464"/>
        <v/>
      </c>
      <c r="BK323" s="65">
        <f t="shared" si="544"/>
        <v>7.5998383854734328E-2</v>
      </c>
      <c r="BL323" s="65">
        <f t="shared" si="543"/>
        <v>0.31471276456793423</v>
      </c>
      <c r="BM323" s="65">
        <f>IFERROR(Q323/COUNTA($J$4:J323),#N/A)</f>
        <v>5.7733821769542115E-2</v>
      </c>
      <c r="BO323" s="489">
        <f>IF(J323="",#N/A,IF(S323="SW",(COUNTIFS(K$4:$K323,"&gt;0",S$4:$S323,"SW")/COUNTIF(S$4:$S323,"SW")),#N/A))</f>
        <v>0.51006711409395977</v>
      </c>
      <c r="BP323" s="489" t="e">
        <f>IF($J323="",#N/A,IF($S323="DWN",(COUNTIFS($K$4:$K323,"&lt;0",$S$4:$S323,"DWN")/COUNTIF($S$4:$S323,"DWN")),#N/A))</f>
        <v>#N/A</v>
      </c>
      <c r="BQ323" s="489" t="e">
        <f>IF($J323="",#N/A,IF($S323="UP",(COUNTIFS($K$4:$K323,"&gt;0",$S$4:$S323,"UP")/COUNTIF($S$4:$S323,"UP")),#N/A))</f>
        <v>#N/A</v>
      </c>
      <c r="BR323" s="489">
        <f>IF(J323="",#N/A,COUNTIF($K$4:K323,"&gt;0")/COUNT($J$4:J323))</f>
        <v>0.47187499999999999</v>
      </c>
      <c r="BS323" s="65">
        <f t="shared" si="465"/>
        <v>2.3365758754863797</v>
      </c>
      <c r="BT323" s="65" t="str">
        <f t="shared" si="466"/>
        <v/>
      </c>
      <c r="BU323" s="65" t="str">
        <f t="shared" si="467"/>
        <v/>
      </c>
      <c r="BV323" s="65" t="str">
        <f t="shared" si="468"/>
        <v/>
      </c>
      <c r="BW323" s="128" t="str">
        <f t="shared" si="469"/>
        <v/>
      </c>
      <c r="BX323" s="128">
        <f>IF($J323="",#N/A,SUM($BW$4:BW323))</f>
        <v>-265.49317034792875</v>
      </c>
      <c r="BY323" s="131" t="str">
        <f t="shared" si="470"/>
        <v/>
      </c>
      <c r="BZ323" s="131">
        <f>IF($J323="",#N/A,SUM($BY$4:BY323))</f>
        <v>671.07161346139458</v>
      </c>
      <c r="CA323" s="133">
        <f t="shared" si="471"/>
        <v>144.11999999999989</v>
      </c>
      <c r="CB323" s="133">
        <f>IF($J323="",#N/A,SUM($CA$4:CA323))</f>
        <v>571.48593244815834</v>
      </c>
      <c r="CC323" s="194" t="str">
        <f t="shared" si="472"/>
        <v/>
      </c>
      <c r="CD323" s="194">
        <f>IF($J323="",#N/A,SUM($CC$4:CC323))</f>
        <v>-4.1583836998562527</v>
      </c>
      <c r="CE323" s="195" t="str">
        <f t="shared" si="473"/>
        <v/>
      </c>
      <c r="CF323" s="195">
        <f>IF($J323="",#N/A,SUM($CE$4:CE323))</f>
        <v>11.789566422293161</v>
      </c>
      <c r="CG323" s="196">
        <f t="shared" si="474"/>
        <v>2.3365758754863797</v>
      </c>
      <c r="CH323" s="196">
        <f>IF($J323="",#N/A,SUM($CG$4:CG323))</f>
        <v>10.843640243816576</v>
      </c>
      <c r="CI323" s="200" t="str">
        <f t="shared" si="475"/>
        <v/>
      </c>
      <c r="CJ323" s="203">
        <f>IF($J323="",#N/A,SUM(CI$4:CI323))</f>
        <v>0</v>
      </c>
      <c r="CK323" s="204" t="str">
        <f t="shared" si="476"/>
        <v/>
      </c>
      <c r="CL323" s="204">
        <f>IF($J323="",#N/A,SUM(CK$4:CK323))</f>
        <v>2.4085740385592547</v>
      </c>
      <c r="CM323" s="205" t="str">
        <f t="shared" si="477"/>
        <v/>
      </c>
      <c r="CN323" s="205">
        <f>IF($J323="",#N/A,SUM(CM$4:CM323))</f>
        <v>1.6494621984783118</v>
      </c>
      <c r="CO323" s="205">
        <f>IF($J323="",#N/A,SUM(CM$4:CM323,CK$4:CK323,CI$4:CI323))</f>
        <v>4.0580362370375669</v>
      </c>
      <c r="CP323" s="200" t="str">
        <f t="shared" si="478"/>
        <v/>
      </c>
      <c r="CQ323" s="203">
        <f>IF($J323="",#N/A,SUM(CP$4:CP323))</f>
        <v>-2.5399197875602422</v>
      </c>
      <c r="CR323" s="204" t="str">
        <f t="shared" si="479"/>
        <v/>
      </c>
      <c r="CS323" s="204">
        <f>IF($J323="",#N/A,SUM(CR$4:CR323))</f>
        <v>2.3600225017004668</v>
      </c>
      <c r="CT323" s="205" t="str">
        <f t="shared" si="480"/>
        <v/>
      </c>
      <c r="CU323" s="205">
        <f>IF($J323="",#N/A,SUM(CT$4:CT323))</f>
        <v>-0.67755161299190814</v>
      </c>
      <c r="CV323" s="205">
        <f>IF($J323="",#N/A,SUM(CT$4:CT323,CR$4:CR323,CP$4:CP323))</f>
        <v>-0.85744889885168352</v>
      </c>
      <c r="CW323" s="200" t="str">
        <f t="shared" si="481"/>
        <v/>
      </c>
      <c r="CX323" s="203">
        <f>IF($J323="",#N/A,SUM(CW$4:CW323))</f>
        <v>-0.29399505935581682</v>
      </c>
      <c r="CY323" s="204" t="str">
        <f t="shared" si="482"/>
        <v/>
      </c>
      <c r="CZ323" s="204">
        <f>IF($J323="",#N/A,SUM(CY$4:CY323))</f>
        <v>-0.20119965665334139</v>
      </c>
      <c r="DA323" s="205" t="str">
        <f t="shared" si="483"/>
        <v/>
      </c>
      <c r="DB323" s="205">
        <f>IF($J323="",#N/A,SUM(DA$4:DA323))</f>
        <v>-2.7756316087437582</v>
      </c>
      <c r="DC323" s="205">
        <f>IF($J323="",#N/A,SUM(DA$4:DA323,CY$4:CY323,CW$4:CW323))</f>
        <v>-3.2708263247529161</v>
      </c>
      <c r="DD323" s="200" t="str">
        <f t="shared" si="484"/>
        <v/>
      </c>
      <c r="DE323" s="203">
        <f>IF($J323="",#N/A,SUM(DD$4:DD323))</f>
        <v>1.2501454750716789</v>
      </c>
      <c r="DF323" s="204" t="str">
        <f t="shared" si="485"/>
        <v/>
      </c>
      <c r="DG323" s="204">
        <f>IF($J323="",#N/A,SUM(DF$4:DF323))</f>
        <v>2.626961496209514</v>
      </c>
      <c r="DH323" s="205" t="str">
        <f t="shared" si="486"/>
        <v/>
      </c>
      <c r="DI323" s="205">
        <f>IF($J323="",#N/A,SUM(DH$4:DH323))</f>
        <v>-2.7812008102163399</v>
      </c>
      <c r="DJ323" s="205">
        <f>IF($J323="",#N/A,SUM(DH$4:DH323,DF$4:DF323,DD$4:DD323))</f>
        <v>1.0959061610648531</v>
      </c>
      <c r="DK323" s="200" t="str">
        <f t="shared" si="487"/>
        <v/>
      </c>
      <c r="DL323" s="203">
        <f>IF($J323="",#N/A,SUM(DK$4:DK323))</f>
        <v>-0.84049791589649614</v>
      </c>
      <c r="DM323" s="204" t="str">
        <f t="shared" si="488"/>
        <v/>
      </c>
      <c r="DN323" s="204">
        <f>IF($J323="",#N/A,SUM(DM$4:DM323))</f>
        <v>1.8657648196498773</v>
      </c>
      <c r="DO323" s="205" t="str">
        <f t="shared" si="489"/>
        <v/>
      </c>
      <c r="DP323" s="205">
        <f>IF($J323="",#N/A,SUM(DO$4:DO323))</f>
        <v>2.700331529683047</v>
      </c>
      <c r="DQ323" s="205">
        <f>IF($J323="",#N/A,SUM(DO$4:DO323,DM$4:DM323,DK$4:DK323))</f>
        <v>3.7255984334364292</v>
      </c>
      <c r="DR323" s="200" t="str">
        <f t="shared" si="490"/>
        <v/>
      </c>
      <c r="DS323" s="203">
        <f>IF($J323="",#N/A,SUM(DR$4:DR323))</f>
        <v>-0.55950946427675097</v>
      </c>
      <c r="DT323" s="204" t="str">
        <f t="shared" si="491"/>
        <v/>
      </c>
      <c r="DU323" s="204">
        <f>IF($J323="",#N/A,SUM(DT$4:DT323))</f>
        <v>-0.20750635820596686</v>
      </c>
      <c r="DV323" s="205" t="str">
        <f t="shared" si="492"/>
        <v/>
      </c>
      <c r="DW323" s="205">
        <f>IF($J323="",#N/A,SUM(DV$4:DV323))</f>
        <v>-2.3377035686214001</v>
      </c>
      <c r="DX323" s="205">
        <f>IF($J323="",#N/A,SUM(DV$4:DV323,DT$4:DT323,DR$4:DR323))</f>
        <v>-3.1047193911041169</v>
      </c>
      <c r="DY323" s="200" t="str">
        <f t="shared" si="493"/>
        <v/>
      </c>
      <c r="DZ323" s="203">
        <f>IF($J323="",#N/A,SUM(DY$4:DY323))</f>
        <v>-1.6284722482776204</v>
      </c>
      <c r="EA323" s="204" t="str">
        <f t="shared" si="494"/>
        <v/>
      </c>
      <c r="EB323" s="204">
        <f>IF($J323="",#N/A,SUM(EA$4:EA323))</f>
        <v>2.276197208799712</v>
      </c>
      <c r="EC323" s="205" t="str">
        <f t="shared" si="495"/>
        <v/>
      </c>
      <c r="ED323" s="205">
        <f>IF($J323="",#N/A,SUM(EC$4:EC323))</f>
        <v>8.6307007550759458</v>
      </c>
      <c r="EE323" s="205">
        <f>IF($J323="",#N/A,SUM(EC$4:EC323,EA$4:EA323,DY$4:DY323))</f>
        <v>9.2784257155980399</v>
      </c>
      <c r="EF323" s="200" t="str">
        <f t="shared" si="496"/>
        <v/>
      </c>
      <c r="EG323" s="203">
        <f>IF($J323="",#N/A,SUM(EF$4:EF323))</f>
        <v>0.65848341369884777</v>
      </c>
      <c r="EH323" s="204" t="str">
        <f t="shared" si="497"/>
        <v/>
      </c>
      <c r="EI323" s="204">
        <f>IF($J323="",#N/A,SUM(EH$4:EH323))</f>
        <v>-3.5125331561187787</v>
      </c>
      <c r="EJ323" s="205">
        <f t="shared" si="498"/>
        <v>2.3365758754863797</v>
      </c>
      <c r="EK323" s="205">
        <f>IF($J323="",#N/A,SUM(EJ$4:EJ323))</f>
        <v>7.3869640485401451</v>
      </c>
      <c r="EL323" s="205">
        <f>IF($J323="",#N/A,SUM(EJ$4:EJ323,EH$4:EH323,EF$4:EF323))</f>
        <v>4.5329143061202144</v>
      </c>
      <c r="EM323" s="200" t="str">
        <f t="shared" si="499"/>
        <v/>
      </c>
      <c r="EN323" s="203">
        <f>IF($J323="",#N/A,SUM(EM$4:EM323))</f>
        <v>0</v>
      </c>
      <c r="EO323" s="204" t="str">
        <f t="shared" si="500"/>
        <v/>
      </c>
      <c r="EP323" s="204">
        <f>IF($J323="",#N/A,SUM(EO$4:EO323))</f>
        <v>2.4788862078089964</v>
      </c>
      <c r="EQ323" s="205" t="str">
        <f t="shared" si="501"/>
        <v/>
      </c>
      <c r="ER323" s="205">
        <f>IF($J323="",#N/A,SUM(EQ$4:EQ323))</f>
        <v>2.6983279209445628</v>
      </c>
      <c r="ES323" s="205">
        <f>IF($J323="",#N/A,SUM(EQ$4:EQ323,EO$4:EO323,EM$4:EM323))</f>
        <v>5.1772141287535591</v>
      </c>
      <c r="ET323" s="200" t="str">
        <f t="shared" si="502"/>
        <v/>
      </c>
      <c r="EU323" s="203">
        <f>IF($J323="",#N/A,SUM(ET$4:ET323))</f>
        <v>0</v>
      </c>
      <c r="EV323" s="204" t="str">
        <f t="shared" si="503"/>
        <v/>
      </c>
      <c r="EW323" s="204">
        <f>IF($J323="",#N/A,SUM(EV$4:EV323))</f>
        <v>2.3210103028360365</v>
      </c>
      <c r="EX323" s="205" t="str">
        <f t="shared" si="504"/>
        <v/>
      </c>
      <c r="EY323" s="205">
        <f>IF($J323="",#N/A,SUM(EX$4:EX323))</f>
        <v>0.27113250180669229</v>
      </c>
      <c r="EZ323" s="205">
        <f>IF($J323="",#N/A,SUM(EX$4:EX323,EV$4:EV323,ET$4:ET323))</f>
        <v>2.5921428046427284</v>
      </c>
      <c r="FA323" s="200" t="str">
        <f t="shared" si="505"/>
        <v/>
      </c>
      <c r="FB323" s="203">
        <f>IF($J323="",#N/A,SUM(FA$4:FA323))</f>
        <v>-0.27145310509113252</v>
      </c>
      <c r="FC323" s="204" t="str">
        <f t="shared" si="506"/>
        <v/>
      </c>
      <c r="FD323" s="204">
        <f>IF($J323="",#N/A,SUM(FC$4:FC323))</f>
        <v>0.89084290967454072</v>
      </c>
      <c r="FE323" s="205" t="str">
        <f t="shared" si="507"/>
        <v/>
      </c>
      <c r="FF323" s="205">
        <f>IF($J323="",#N/A,SUM(FE$4:FE323))</f>
        <v>-0.28811149078748233</v>
      </c>
      <c r="FG323" s="205">
        <f>IF($J323="",#N/A,SUM(FE$4:FE323,FC$4:FC323,FA$4:FA323))</f>
        <v>0.3312783137959262</v>
      </c>
      <c r="FH323" s="200" t="str">
        <f t="shared" si="508"/>
        <v/>
      </c>
      <c r="FI323" s="203">
        <f>IF($J323="",#N/A,SUM(FH$4:FH323))</f>
        <v>0</v>
      </c>
      <c r="FJ323" s="204" t="str">
        <f t="shared" si="509"/>
        <v/>
      </c>
      <c r="FK323" s="204">
        <f>IF($J323="",#N/A,SUM(FJ$4:FJ323))</f>
        <v>0</v>
      </c>
      <c r="FL323" s="205" t="str">
        <f t="shared" si="510"/>
        <v/>
      </c>
      <c r="FM323" s="205">
        <f>IF($J323="",#N/A,SUM(FL$4:FL323))</f>
        <v>0</v>
      </c>
      <c r="FN323" s="205">
        <f>IF($J323="",#N/A,SUM(FL$4:FL323,FJ$4:FJ323,FH$4:FH323))</f>
        <v>0</v>
      </c>
      <c r="FO323" s="200" t="str">
        <f t="shared" si="511"/>
        <v/>
      </c>
      <c r="FP323" s="203">
        <f>IF($J323="",#N/A,SUM(FO$4:FO323))</f>
        <v>0</v>
      </c>
      <c r="FQ323" s="204" t="str">
        <f t="shared" si="512"/>
        <v/>
      </c>
      <c r="FR323" s="204">
        <f>IF($J323="",#N/A,SUM(FQ$4:FQ323))</f>
        <v>0</v>
      </c>
      <c r="FS323" s="205" t="str">
        <f t="shared" si="513"/>
        <v/>
      </c>
      <c r="FT323" s="205">
        <f>IF($J323="",#N/A,SUM(FS$4:FS323))</f>
        <v>0</v>
      </c>
      <c r="FU323" s="205">
        <f>IF($J323="",#N/A,SUM(FS$4:FS323,FQ$4:FQ323,FO$4:FO323))</f>
        <v>0</v>
      </c>
      <c r="FV323" s="200" t="str">
        <f t="shared" si="514"/>
        <v/>
      </c>
      <c r="FW323" s="203">
        <f>IF($J323="",#N/A,SUM(FV$4:FV323))</f>
        <v>6.6834991831277585E-2</v>
      </c>
      <c r="FX323" s="204" t="str">
        <f t="shared" si="515"/>
        <v/>
      </c>
      <c r="FY323" s="204">
        <f>IF($J323="",#N/A,SUM(FX$4:FX323))</f>
        <v>-0.16102012791805576</v>
      </c>
      <c r="FZ323" s="205" t="str">
        <f t="shared" si="516"/>
        <v/>
      </c>
      <c r="GA323" s="205">
        <f>IF($J323="",#N/A,SUM(FZ$4:FZ323))</f>
        <v>-0.69624339162892301</v>
      </c>
      <c r="GB323" s="205">
        <f>IF($J323="",#N/A,SUM(FZ$4:FZ323,FX$4:FX323,FV$4:FV323))</f>
        <v>-0.79042852771570116</v>
      </c>
      <c r="GC323" s="200" t="str">
        <f t="shared" si="517"/>
        <v/>
      </c>
      <c r="GD323" s="203">
        <f>IF($J323="",#N/A,SUM(GC$4:GC323))</f>
        <v>0</v>
      </c>
      <c r="GE323" s="204" t="str">
        <f t="shared" si="518"/>
        <v/>
      </c>
      <c r="GF323" s="204">
        <f>IF($J323="",#N/A,SUM(GE$4:GE323))</f>
        <v>0</v>
      </c>
      <c r="GG323" s="205" t="str">
        <f t="shared" si="519"/>
        <v/>
      </c>
      <c r="GH323" s="205">
        <f>IF($J323="",#N/A,SUM(GG$4:GG323))</f>
        <v>-2.9368362277223206</v>
      </c>
      <c r="GI323" s="205">
        <f>IF($J323="",#N/A,SUM(GG$4:GG323,GE$4:GE323,GC$4:GC323))</f>
        <v>-2.9368362277223206</v>
      </c>
      <c r="GJ323" s="200" t="str">
        <f t="shared" si="520"/>
        <v/>
      </c>
      <c r="GK323" s="203">
        <f>IF($J323="",#N/A,SUM(GJ$4:GJ323))</f>
        <v>0</v>
      </c>
      <c r="GL323" s="204" t="str">
        <f t="shared" si="521"/>
        <v/>
      </c>
      <c r="GM323" s="204">
        <f>IF($J323="",#N/A,SUM(GL$4:GL323))</f>
        <v>-1.6833790887309608</v>
      </c>
      <c r="GN323" s="205" t="str">
        <f t="shared" si="522"/>
        <v/>
      </c>
      <c r="GO323" s="205">
        <f>IF($J323="",#N/A,SUM(GN$4:GN323))</f>
        <v>0</v>
      </c>
      <c r="GP323" s="205">
        <f>IF($J323="",#N/A,SUM(GN$4:GN323,GL$4:GL323,GJ$4:GJ323))</f>
        <v>-1.6833790887309608</v>
      </c>
      <c r="GS323" s="54">
        <f t="shared" si="541"/>
        <v>2.3365758754863797</v>
      </c>
      <c r="GT323" s="54">
        <f>IF(GS323="",NA(),SUM($GS$4:GS323))</f>
        <v>12.983214517007594</v>
      </c>
      <c r="GU323" s="54" t="str">
        <f t="shared" si="523"/>
        <v/>
      </c>
      <c r="GV323" s="54" t="e">
        <f>IF(GU323="",NA(),SUM($GU$4:GU323))</f>
        <v>#N/A</v>
      </c>
      <c r="GW323" s="54">
        <f t="shared" si="524"/>
        <v>2.3365758754863797</v>
      </c>
      <c r="GX323" s="54">
        <f>IF(GW323="",NA(),SUM($GW$4:GW323))</f>
        <v>10.155238370548604</v>
      </c>
      <c r="GY323" s="54" t="str">
        <f t="shared" si="525"/>
        <v/>
      </c>
      <c r="GZ323" s="54" t="e">
        <f>IF(GY323="",NA(),SUM($GY$4:GY323))</f>
        <v>#N/A</v>
      </c>
      <c r="HA323" s="54" t="str">
        <f t="shared" si="526"/>
        <v/>
      </c>
      <c r="HB323" s="54" t="e">
        <f>IF(HA323="",NA(),SUM($HA$4:HA323))</f>
        <v>#N/A</v>
      </c>
      <c r="HC323" s="54" t="str">
        <f t="shared" si="527"/>
        <v/>
      </c>
      <c r="HD323" s="54" t="e">
        <f>IF(HC323="",NA(),SUM($HC$4:HC323))</f>
        <v>#N/A</v>
      </c>
      <c r="HE323" s="54" t="str">
        <f t="shared" si="528"/>
        <v/>
      </c>
      <c r="HF323" s="54" t="e">
        <f>IF(HE323="",NA(),SUM($HE$4:HE323))</f>
        <v>#N/A</v>
      </c>
      <c r="HG323" s="54" t="str">
        <f t="shared" si="529"/>
        <v/>
      </c>
      <c r="HH323" s="54" t="e">
        <f>IF(HG323="",NA(),SUM($HG$4:HG323))</f>
        <v>#N/A</v>
      </c>
      <c r="HI323" s="172" t="str">
        <f t="shared" si="542"/>
        <v/>
      </c>
      <c r="HJ323" s="172">
        <f>IF($J323="",#N/A,SUM(HI$4:$HI323))</f>
        <v>-10.045648734156464</v>
      </c>
      <c r="HK323" s="54" t="str">
        <f t="shared" si="530"/>
        <v/>
      </c>
      <c r="HL323" s="54">
        <f>IF($J323="",#N/A,SUM($HK$4:HK323))</f>
        <v>2.0649982794595436</v>
      </c>
      <c r="HM323" s="54" t="str">
        <f t="shared" si="531"/>
        <v/>
      </c>
      <c r="HN323" s="54">
        <f>IF($J323="",#N/A,SUM($HM$4:HM323))</f>
        <v>-0.27414712288080484</v>
      </c>
      <c r="HO323" s="54" t="str">
        <f t="shared" si="532"/>
        <v/>
      </c>
      <c r="HP323" s="54">
        <f>IF($J323="",#N/A,SUM($HO$4:HO323))</f>
        <v>-0.69476253225193951</v>
      </c>
      <c r="HQ323" s="54">
        <f t="shared" si="533"/>
        <v>1.1439688715953333</v>
      </c>
      <c r="HR323" s="54">
        <f>IF($J323="",#N/A,SUM($HQ$4:HQ323))</f>
        <v>-12.361093655977577</v>
      </c>
      <c r="HS323" s="54" t="str">
        <f t="shared" si="534"/>
        <v/>
      </c>
      <c r="HT323" s="54">
        <f>IF($J323="",#N/A,SUM($HS$4:HS323))</f>
        <v>15.888216572562301</v>
      </c>
      <c r="HU323" s="65">
        <f t="shared" si="535"/>
        <v>3.480544747081713</v>
      </c>
      <c r="HV323" s="65">
        <f>IF($J323="",#N/A,SUM(HU$4:$HU323))</f>
        <v>12.53643830584155</v>
      </c>
    </row>
    <row r="324" spans="1:230" x14ac:dyDescent="0.25">
      <c r="A324" s="51" t="s">
        <v>659</v>
      </c>
      <c r="B324" s="52" t="s">
        <v>4599</v>
      </c>
      <c r="C324" s="229">
        <f t="shared" ref="C324:C387" si="545">IF(S324="Dwn",2,IF(S324="Up",1,IF(S324="SW",3,"x")))</f>
        <v>2</v>
      </c>
      <c r="D324" s="219" t="str">
        <f>_xlfn.XLOOKUP(A324,[1]SP500!$A$2:$A$502,[1]SP500!$D$2:$D$502,"N")</f>
        <v>Y</v>
      </c>
      <c r="E324" s="51" t="str">
        <f>IFERROR(_xlfn.XLOOKUP(A324,[1]SP500!$A$2:$A$655,[1]SP500!$B$2:$B$655),"")</f>
        <v>XLK</v>
      </c>
      <c r="F324" s="290">
        <v>45785</v>
      </c>
      <c r="G324" s="51" t="str">
        <f t="shared" ref="G324:G387" si="546">IF(ISNUMBER(FIND("After",B324,1)),"AMC",IF(ISNUMBER(FIND("Before",B324,1)),"BMO","err"))</f>
        <v>AMC</v>
      </c>
      <c r="H324" s="51" t="str">
        <f t="shared" ref="H324:H387" si="547">IF(AH324="Skip","sk",IF(OR(S324="",V324=""),"",IF(AND(S324="Dwn",V324="Short"),"s",IF(AND(S324="Up",V324="Long"),"s",IF(AND(S324="SW",V324="Long"),"s","o")))))</f>
        <v>s</v>
      </c>
      <c r="I324" s="343">
        <v>85.44</v>
      </c>
      <c r="J324" s="123">
        <v>83</v>
      </c>
      <c r="K324" s="55">
        <f t="shared" ref="K324:K387" si="548">IF(J324="","",(J324-I324)/I324)</f>
        <v>-2.8558052434456901E-2</v>
      </c>
      <c r="L324" s="67">
        <f t="shared" ref="L324:L387" si="549">IF(OR($Y324="",J324=""),"",IF($V324="Long",(($J324*$Y324)-$X324),($X324-($J324*$Y324))))</f>
        <v>34.159999999999854</v>
      </c>
      <c r="M324" s="57">
        <f t="shared" ref="M324:M387" si="550">IF(L324="","",IF(AK324="",#N/A,IF(AH324="Open",AK324-L324,#N/A)))</f>
        <v>0</v>
      </c>
      <c r="N324" s="102">
        <f t="shared" ref="N324:N387" si="551">IF(OR($Y324="",L324=""),"",IF($BF324="Long",(($J324*$Y324)-$X324),($X324-($J324*$Y324))))</f>
        <v>34.159999999999854</v>
      </c>
      <c r="O324" s="57">
        <f>IF(N324="",#N/A,SUM($N$4:N324))</f>
        <v>1011.224375561624</v>
      </c>
      <c r="P324" s="65">
        <f t="shared" si="536"/>
        <v>0.47596754057428026</v>
      </c>
      <c r="Q324" s="172">
        <f>IF($N324="",#N/A,SUM($P$4:P324))</f>
        <v>18.950790506827758</v>
      </c>
      <c r="R324" s="279">
        <f t="shared" ref="R324:R387" si="552">IF(AND(AH324="MOC",AC324=""),#N/A,IFERROR(Q324-AJ324,Q324-0))</f>
        <v>6.1099145135693114</v>
      </c>
      <c r="S324" s="51" t="str">
        <f t="shared" ref="S324:S387" si="553">IF(T324="Down","Dwn",IF(T324="Up","Up",IF(AND(T324="",K324=""),"",IF(AND(K324&lt;0,T324="Yes"),"Dwn",IF(AND(K324&gt;0,T324="Yes"),"Up",IF(AND(K324&lt;0,T324="No"),"Up",IF(AND(K324&gt;0,T324="No"),"Dwn",IF(T324="NA","SW","err"))))))))</f>
        <v>Dwn</v>
      </c>
      <c r="T324" s="51" t="s">
        <v>4462</v>
      </c>
      <c r="U324" s="56">
        <f t="shared" ref="U324:U387" si="554">I324</f>
        <v>85.44</v>
      </c>
      <c r="V324" s="56" t="s">
        <v>4458</v>
      </c>
      <c r="W324" s="142">
        <v>14</v>
      </c>
      <c r="X324" s="145">
        <f t="shared" ref="X324:X387" si="555">IF(W324="","",U324*W324)</f>
        <v>1196.1599999999999</v>
      </c>
      <c r="Y324" s="140">
        <f t="shared" ref="Y324:Y387" si="556">IF(W324="","",W324)</f>
        <v>14</v>
      </c>
      <c r="Z324" s="123">
        <v>83</v>
      </c>
      <c r="AA324" s="102">
        <f t="shared" ref="AA324:AA387" si="557">IF($Z324="","",IF($V324="Long",(($Z324*$Y324)-$X324),($X324-($Z324*$Y324))))</f>
        <v>34.159999999999854</v>
      </c>
      <c r="AB324" s="102">
        <f t="shared" ref="AB324:AB387" si="558">IF($AC324="","",IF($V324="Long",(($AC324*$Y324)-$X324),($X324-($AC324*$Y324))))</f>
        <v>128.65999999999985</v>
      </c>
      <c r="AC324" s="124">
        <v>76.25</v>
      </c>
      <c r="AD324" s="155">
        <f t="shared" ref="AD324:AD387" si="559">IF(AC324="","",IF(OR($Y324="",CV324=""),"",IF($BF324="Long",(($AC324*$Y324)-$X324),($X324-($AC324*$Y324)))))</f>
        <v>128.65999999999985</v>
      </c>
      <c r="AE324" s="545">
        <f t="shared" ref="AE324:AE387" si="560">IF(OR($Y324="",$AD324=""),"",IF($BF324="Long",(($AC324*$Y324)-$X324)/($X324*0.06),($X324-($AC324*$Y324))/($X324*0.06)))</f>
        <v>1.7926810237203479</v>
      </c>
      <c r="AF324" s="57">
        <f>IF($AC324="",#N/A,SUM(AD$4:AD324))</f>
        <v>871.46239714744854</v>
      </c>
      <c r="AG324" s="102">
        <f t="shared" ref="AG324:AG387" si="561">IF(OR(AD324="",AC324=""),"",AD324-N324)</f>
        <v>94.5</v>
      </c>
      <c r="AH324" s="56" t="s">
        <v>2507</v>
      </c>
      <c r="AI324" s="65">
        <f t="shared" ref="AI324:AI387" si="562">IF(AND(AH324="MOC",AC324=""),"",IF(Z324="","",IF(AH324="Skip",0,IF(AK324=0,0,AK324/(X324*0.06)))))</f>
        <v>0.47596754057428026</v>
      </c>
      <c r="AJ324" s="108">
        <f>IF(AI324="",#N/A,SUM($AI$4:AI324))</f>
        <v>12.840875993258447</v>
      </c>
      <c r="AK324" s="57">
        <f t="shared" ref="AK324:AK387" si="563">IF(AH324="","",IF(AH324="Skip","",IF(OR(AH324="open",AH324="Other"),AA324,IF(AH324="MOC",AB324,"Err"))))</f>
        <v>34.159999999999854</v>
      </c>
      <c r="AL324" s="66">
        <f>IF(AI324="",#N/A,IF(AH324="Skip",SUM($AK$4:AK324),SUM($AK$4:AK324)))</f>
        <v>596.41236927848172</v>
      </c>
      <c r="AM324" s="65">
        <f t="shared" si="537"/>
        <v>1.7926810237203479</v>
      </c>
      <c r="AN324" s="209"/>
      <c r="AO324" s="65" t="str">
        <f t="shared" ref="AO324:AO387" si="564">IF(AND($S324="SW",$BF324="Long"),$HU324,"")</f>
        <v/>
      </c>
      <c r="AP324" s="65">
        <f>IF($AC324="",#N/A,SUM(AO$4:AO324))</f>
        <v>13.854815693234315</v>
      </c>
      <c r="AQ324" s="65" t="str">
        <f t="shared" ref="AQ324:AQ387" si="565">IF(AND($S324="UP",$BF324="Long"),$HU324,"")</f>
        <v/>
      </c>
      <c r="AR324" s="65">
        <f>IF($AC324="",#N/A,SUM(AQ$4:AQ324))</f>
        <v>-5.1272933549890007</v>
      </c>
      <c r="AS324" s="65">
        <f t="shared" ref="AS324:AS387" si="566">IF(AND($S324="Dwn",$BF324="Short"),$HU324,"")</f>
        <v>1.7926810237203479</v>
      </c>
      <c r="AT324" s="65">
        <f>IF($AC324="",#N/A,SUM(AS$4:AS324))</f>
        <v>5.601596991316578</v>
      </c>
      <c r="AU324" s="57" t="str">
        <f t="shared" si="538"/>
        <v/>
      </c>
      <c r="AV324" s="57">
        <f>IF($AC324="",#N/A,SUM(AU$4:AU324))</f>
        <v>814.11627194988023</v>
      </c>
      <c r="AW324" s="57" t="str">
        <f t="shared" si="539"/>
        <v/>
      </c>
      <c r="AX324" s="57">
        <f>IF($AC324="",#N/A,SUM(AW$4:AW324))</f>
        <v>-340.17106797961105</v>
      </c>
      <c r="AY324" s="57">
        <f t="shared" si="540"/>
        <v>128.65999999999985</v>
      </c>
      <c r="AZ324" s="57">
        <f>IF($AC324="",#N/A,SUM(AY$4:AY324))</f>
        <v>397.51719317717937</v>
      </c>
      <c r="BA324" s="57">
        <f>IF(AD324="",#N/A,SUM($AD$4:AD324))</f>
        <v>871.46239714744854</v>
      </c>
      <c r="BC324" s="51" t="str">
        <f t="shared" ref="BC324:BC387" si="567">IF(K324="","",IF(AND(K324&gt;0,T324="Yes"),1,""))</f>
        <v/>
      </c>
      <c r="BD324" s="51" t="str">
        <f t="shared" ref="BD324:BD387" si="568">IF(K324="","",IF(AND($K324&gt;0,$T324="No"),1,""))</f>
        <v/>
      </c>
      <c r="BE324" s="51" t="str">
        <f t="shared" ref="BE324:BE387" si="569">IF(K324="","",IF(AND($K324&gt;0,$T324="NA"),1,""))</f>
        <v/>
      </c>
      <c r="BF324" s="51" t="str">
        <f t="shared" ref="BF324:BF387" si="570">IF(S324="Dwn","Short","Long")</f>
        <v>Short</v>
      </c>
      <c r="BG324" s="51">
        <f t="shared" ref="BG324:BG387" si="571">IF(K324="","",IF(AND($K324&lt;0,$T324="Yes"),1,""))</f>
        <v>1</v>
      </c>
      <c r="BH324" s="51" t="str">
        <f t="shared" ref="BH324:BH387" si="572">IF(K324="","",IF(AND($K324&lt;0,$T324="No"),1,""))</f>
        <v/>
      </c>
      <c r="BI324" s="51" t="str">
        <f t="shared" ref="BI324:BI387" si="573">IF(K324="","",IF(AND($K324&lt;0,$T324="NA"),1,""))</f>
        <v/>
      </c>
      <c r="BK324" s="65">
        <f t="shared" si="544"/>
        <v>8.8934158808950517E-2</v>
      </c>
      <c r="BL324" s="65">
        <f t="shared" si="543"/>
        <v>0.38154364169819238</v>
      </c>
      <c r="BM324" s="65">
        <f>IFERROR(Q324/COUNTA($J$4:J324),#N/A)</f>
        <v>5.9036730550865286E-2</v>
      </c>
      <c r="BO324" s="489" t="e">
        <f>IF(J324="",#N/A,IF(S324="SW",(COUNTIFS(K$4:$K324,"&gt;0",S$4:$S324,"SW")/COUNTIF(S$4:$S324,"SW")),#N/A))</f>
        <v>#N/A</v>
      </c>
      <c r="BP324" s="489">
        <f>IF($J324="",#N/A,IF($S324="DWN",(COUNTIFS($K$4:$K324,"&lt;0",$S$4:$S324,"DWN")/COUNTIF($S$4:$S324,"DWN")),#N/A))</f>
        <v>0.56462585034013602</v>
      </c>
      <c r="BQ324" s="489" t="e">
        <f>IF($J324="",#N/A,IF($S324="UP",(COUNTIFS($K$4:$K324,"&gt;0",$S$4:$S324,"UP")/COUNTIF($S$4:$S324,"UP")),#N/A))</f>
        <v>#N/A</v>
      </c>
      <c r="BR324" s="489">
        <f>IF(J324="",#N/A,COUNTIF($K$4:K324,"&gt;0")/COUNT($J$4:J324))</f>
        <v>0.47040498442367601</v>
      </c>
      <c r="BS324" s="65" t="str">
        <f t="shared" ref="BS324:BS387" si="574">IF($AH324="Skip","",IF($J324="","",IF(AND($V324="Long",$L324&gt;0),$P324,"")))</f>
        <v/>
      </c>
      <c r="BT324" s="65" t="str">
        <f t="shared" ref="BT324:BT387" si="575">IF($AH324="Skip","",IF($J324="","",IF(AND($V324="Long",$L324&lt;0),$P324,"")))</f>
        <v/>
      </c>
      <c r="BU324" s="65">
        <f t="shared" ref="BU324:BU387" si="576">IF($AH324="Skip","",IF($J324="","",IF(AND($V324="Short",$L324&gt;0),$P324,"")))</f>
        <v>0.47596754057428026</v>
      </c>
      <c r="BV324" s="65" t="str">
        <f t="shared" ref="BV324:BV387" si="577">IF($AH324="Skip","",IF($J324="","",IF(AND($V324="Short",$L324&lt;0),$P324,"")))</f>
        <v/>
      </c>
      <c r="BW324" s="128" t="str">
        <f t="shared" ref="BW324:BW387" si="578">IF(AND($S324="Up",$BF324="Long"),$N324,"")</f>
        <v/>
      </c>
      <c r="BX324" s="128">
        <f>IF($J324="",#N/A,SUM($BW$4:BW324))</f>
        <v>-265.49317034792875</v>
      </c>
      <c r="BY324" s="131">
        <f t="shared" ref="BY324:BY387" si="579">IF(AND($S324="Dwn",$BF324="Short"),$N324,"")</f>
        <v>34.159999999999854</v>
      </c>
      <c r="BZ324" s="131">
        <f>IF($J324="",#N/A,SUM($BY$4:BY324))</f>
        <v>705.23161346139443</v>
      </c>
      <c r="CA324" s="133" t="str">
        <f t="shared" ref="CA324:CA387" si="580">IF(AND($S324="SW",$BF324="Long"),$N324,"")</f>
        <v/>
      </c>
      <c r="CB324" s="133">
        <f>IF($J324="",#N/A,SUM($CA$4:CA324))</f>
        <v>571.48593244815834</v>
      </c>
      <c r="CC324" s="194" t="str">
        <f t="shared" ref="CC324:CC387" si="581">IF(AND($S324="Up",$BF324="Long"),$P324,"")</f>
        <v/>
      </c>
      <c r="CD324" s="194">
        <f>IF($J324="",#N/A,SUM($CC$4:CC324))</f>
        <v>-4.1583836998562527</v>
      </c>
      <c r="CE324" s="195">
        <f t="shared" ref="CE324:CE387" si="582">IF(AND($S324="Dwn",$BF324="Short"),$P324,"")</f>
        <v>0.47596754057428026</v>
      </c>
      <c r="CF324" s="195">
        <f>IF($J324="",#N/A,SUM($CE$4:CE324))</f>
        <v>12.26553396286744</v>
      </c>
      <c r="CG324" s="196" t="str">
        <f t="shared" ref="CG324:CG387" si="583">IF(AND($S324="SW",$BF324="Long"),$P324,"")</f>
        <v/>
      </c>
      <c r="CH324" s="196">
        <f>IF($J324="",#N/A,SUM($CG$4:CG324))</f>
        <v>10.843640243816576</v>
      </c>
      <c r="CI324" s="200" t="str">
        <f t="shared" ref="CI324:CI387" si="584">IF(AND($S324="Up",$BF324="Long",$E324=CI$2),$P324,"")</f>
        <v/>
      </c>
      <c r="CJ324" s="203">
        <f>IF($J324="",#N/A,SUM(CI$4:CI324))</f>
        <v>0</v>
      </c>
      <c r="CK324" s="204">
        <f t="shared" ref="CK324:CK387" si="585">IF(AND($S324="Dwn",$BF324="Short",$E324=CI$2),$P324,"")</f>
        <v>0.47596754057428026</v>
      </c>
      <c r="CL324" s="204">
        <f>IF($J324="",#N/A,SUM(CK$4:CK324))</f>
        <v>2.8845415791335349</v>
      </c>
      <c r="CM324" s="205" t="str">
        <f t="shared" ref="CM324:CM387" si="586">IF(AND($S324="SW",$BF324="Long",$E324=CI$2),$P324,"")</f>
        <v/>
      </c>
      <c r="CN324" s="205">
        <f>IF($J324="",#N/A,SUM(CM$4:CM324))</f>
        <v>1.6494621984783118</v>
      </c>
      <c r="CO324" s="205">
        <f>IF($J324="",#N/A,SUM(CM$4:CM324,CK$4:CK324,CI$4:CI324))</f>
        <v>4.5340037776118471</v>
      </c>
      <c r="CP324" s="200" t="str">
        <f t="shared" ref="CP324:CP387" si="587">IF(AND($S324="Up",$BF324="Long",$E324=CP$2),$P324,"")</f>
        <v/>
      </c>
      <c r="CQ324" s="203">
        <f>IF($J324="",#N/A,SUM(CP$4:CP324))</f>
        <v>-2.5399197875602422</v>
      </c>
      <c r="CR324" s="204" t="str">
        <f t="shared" ref="CR324:CR387" si="588">IF(AND($S324="Dwn",$BF324="Short",$E324=CP$2),$P324,"")</f>
        <v/>
      </c>
      <c r="CS324" s="204">
        <f>IF($J324="",#N/A,SUM(CR$4:CR324))</f>
        <v>2.3600225017004668</v>
      </c>
      <c r="CT324" s="205" t="str">
        <f t="shared" ref="CT324:CT387" si="589">IF(AND($S324="SW",$BF324="Long",$E324=CP$2),$P324,"")</f>
        <v/>
      </c>
      <c r="CU324" s="205">
        <f>IF($J324="",#N/A,SUM(CT$4:CT324))</f>
        <v>-0.67755161299190814</v>
      </c>
      <c r="CV324" s="205">
        <f>IF($J324="",#N/A,SUM(CT$4:CT324,CR$4:CR324,CP$4:CP324))</f>
        <v>-0.85744889885168352</v>
      </c>
      <c r="CW324" s="200" t="str">
        <f t="shared" ref="CW324:CW387" si="590">IF(AND($S324="Up",$BF324="Long",$E324=CW$2),$P324,"")</f>
        <v/>
      </c>
      <c r="CX324" s="203">
        <f>IF($J324="",#N/A,SUM(CW$4:CW324))</f>
        <v>-0.29399505935581682</v>
      </c>
      <c r="CY324" s="204" t="str">
        <f t="shared" ref="CY324:CY387" si="591">IF(AND($S324="Dwn",$BF324="Short",$E324=CW$2),$P324,"")</f>
        <v/>
      </c>
      <c r="CZ324" s="204">
        <f>IF($J324="",#N/A,SUM(CY$4:CY324))</f>
        <v>-0.20119965665334139</v>
      </c>
      <c r="DA324" s="205" t="str">
        <f t="shared" ref="DA324:DA387" si="592">IF(AND($S324="SW",$BF324="Long",$E324=CW$2),$P324,"")</f>
        <v/>
      </c>
      <c r="DB324" s="205">
        <f>IF($J324="",#N/A,SUM(DA$4:DA324))</f>
        <v>-2.7756316087437582</v>
      </c>
      <c r="DC324" s="205">
        <f>IF($J324="",#N/A,SUM(DA$4:DA324,CY$4:CY324,CW$4:CW324))</f>
        <v>-3.2708263247529161</v>
      </c>
      <c r="DD324" s="200" t="str">
        <f t="shared" ref="DD324:DD387" si="593">IF(AND($S324="Up",$BF324="Long",$E324=DD$2),$P324,"")</f>
        <v/>
      </c>
      <c r="DE324" s="203">
        <f>IF($J324="",#N/A,SUM(DD$4:DD324))</f>
        <v>1.2501454750716789</v>
      </c>
      <c r="DF324" s="204" t="str">
        <f t="shared" ref="DF324:DF387" si="594">IF(AND($S324="Dwn",$BF324="Short",$E324=DD$2),$P324,"")</f>
        <v/>
      </c>
      <c r="DG324" s="204">
        <f>IF($J324="",#N/A,SUM(DF$4:DF324))</f>
        <v>2.626961496209514</v>
      </c>
      <c r="DH324" s="205" t="str">
        <f t="shared" ref="DH324:DH387" si="595">IF(AND($S324="SW",$BF324="Long",$E324=DD$2),$P324,"")</f>
        <v/>
      </c>
      <c r="DI324" s="205">
        <f>IF($J324="",#N/A,SUM(DH$4:DH324))</f>
        <v>-2.7812008102163399</v>
      </c>
      <c r="DJ324" s="205">
        <f>IF($J324="",#N/A,SUM(DH$4:DH324,DF$4:DF324,DD$4:DD324))</f>
        <v>1.0959061610648531</v>
      </c>
      <c r="DK324" s="200" t="str">
        <f t="shared" ref="DK324:DK387" si="596">IF(AND($S324="Up",$BF324="Long",$E324=DK$2),$P324,"")</f>
        <v/>
      </c>
      <c r="DL324" s="203">
        <f>IF($J324="",#N/A,SUM(DK$4:DK324))</f>
        <v>-0.84049791589649614</v>
      </c>
      <c r="DM324" s="204" t="str">
        <f t="shared" ref="DM324:DM387" si="597">IF(AND($S324="Dwn",$BF324="Short",$E324=DK$2),$P324,"")</f>
        <v/>
      </c>
      <c r="DN324" s="204">
        <f>IF($J324="",#N/A,SUM(DM$4:DM324))</f>
        <v>1.8657648196498773</v>
      </c>
      <c r="DO324" s="205" t="str">
        <f t="shared" ref="DO324:DO387" si="598">IF(AND($S324="SW",$BF324="Long",$E324=DK$2),$P324,"")</f>
        <v/>
      </c>
      <c r="DP324" s="205">
        <f>IF($J324="",#N/A,SUM(DO$4:DO324))</f>
        <v>2.700331529683047</v>
      </c>
      <c r="DQ324" s="205">
        <f>IF($J324="",#N/A,SUM(DO$4:DO324,DM$4:DM324,DK$4:DK324))</f>
        <v>3.7255984334364292</v>
      </c>
      <c r="DR324" s="200" t="str">
        <f t="shared" ref="DR324:DR387" si="599">IF(AND($S324="Up",$BF324="Long",$E324=DR$2),$P324,"")</f>
        <v/>
      </c>
      <c r="DS324" s="203">
        <f>IF($J324="",#N/A,SUM(DR$4:DR324))</f>
        <v>-0.55950946427675097</v>
      </c>
      <c r="DT324" s="204" t="str">
        <f t="shared" ref="DT324:DT387" si="600">IF(AND($S324="Dwn",$BF324="Short",$E324=DR$2),$P324,"")</f>
        <v/>
      </c>
      <c r="DU324" s="204">
        <f>IF($J324="",#N/A,SUM(DT$4:DT324))</f>
        <v>-0.20750635820596686</v>
      </c>
      <c r="DV324" s="205" t="str">
        <f t="shared" ref="DV324:DV387" si="601">IF(AND($S324="SW",$BF324="Long",$E324=DR$2),$P324,"")</f>
        <v/>
      </c>
      <c r="DW324" s="205">
        <f>IF($J324="",#N/A,SUM(DV$4:DV324))</f>
        <v>-2.3377035686214001</v>
      </c>
      <c r="DX324" s="205">
        <f>IF($J324="",#N/A,SUM(DV$4:DV324,DT$4:DT324,DR$4:DR324))</f>
        <v>-3.1047193911041169</v>
      </c>
      <c r="DY324" s="200" t="str">
        <f t="shared" ref="DY324:DY387" si="602">IF(AND($S324="Up",$BF324="Long",$E324=DY$2),$P324,"")</f>
        <v/>
      </c>
      <c r="DZ324" s="203">
        <f>IF($J324="",#N/A,SUM(DY$4:DY324))</f>
        <v>-1.6284722482776204</v>
      </c>
      <c r="EA324" s="204" t="str">
        <f t="shared" ref="EA324:EA387" si="603">IF(AND($S324="Dwn",$BF324="Short",$E324=DY$2),$P324,"")</f>
        <v/>
      </c>
      <c r="EB324" s="204">
        <f>IF($J324="",#N/A,SUM(EA$4:EA324))</f>
        <v>2.276197208799712</v>
      </c>
      <c r="EC324" s="205" t="str">
        <f t="shared" ref="EC324:EC387" si="604">IF(AND($S324="SW",$BF324="Long",$E324=DY$2),$P324,"")</f>
        <v/>
      </c>
      <c r="ED324" s="205">
        <f>IF($J324="",#N/A,SUM(EC$4:EC324))</f>
        <v>8.6307007550759458</v>
      </c>
      <c r="EE324" s="205">
        <f>IF($J324="",#N/A,SUM(EC$4:EC324,EA$4:EA324,DY$4:DY324))</f>
        <v>9.2784257155980399</v>
      </c>
      <c r="EF324" s="200" t="str">
        <f t="shared" ref="EF324:EF387" si="605">IF(AND($S324="Up",$BF324="Long",$E324=EF$2),$P324,"")</f>
        <v/>
      </c>
      <c r="EG324" s="203">
        <f>IF($J324="",#N/A,SUM(EF$4:EF324))</f>
        <v>0.65848341369884777</v>
      </c>
      <c r="EH324" s="204" t="str">
        <f t="shared" ref="EH324:EH387" si="606">IF(AND($S324="Dwn",$BF324="Short",$E324=EF$2),$P324,"")</f>
        <v/>
      </c>
      <c r="EI324" s="204">
        <f>IF($J324="",#N/A,SUM(EH$4:EH324))</f>
        <v>-3.5125331561187787</v>
      </c>
      <c r="EJ324" s="205" t="str">
        <f t="shared" ref="EJ324:EJ387" si="607">IF(AND($S324="SW",$BF324="Long",$E324=EF$2),$P324,"")</f>
        <v/>
      </c>
      <c r="EK324" s="205">
        <f>IF($J324="",#N/A,SUM(EJ$4:EJ324))</f>
        <v>7.3869640485401451</v>
      </c>
      <c r="EL324" s="205">
        <f>IF($J324="",#N/A,SUM(EJ$4:EJ324,EH$4:EH324,EF$4:EF324))</f>
        <v>4.5329143061202144</v>
      </c>
      <c r="EM324" s="200" t="str">
        <f t="shared" ref="EM324:EM387" si="608">IF(AND($S324="Up",$BF324="Long",$E324=EM$2),$P324,"")</f>
        <v/>
      </c>
      <c r="EN324" s="203">
        <f>IF($J324="",#N/A,SUM(EM$4:EM324))</f>
        <v>0</v>
      </c>
      <c r="EO324" s="204" t="str">
        <f t="shared" ref="EO324:EO387" si="609">IF(AND($S324="Dwn",$BF324="Short",$E324=EM$2),$P324,"")</f>
        <v/>
      </c>
      <c r="EP324" s="204">
        <f>IF($J324="",#N/A,SUM(EO$4:EO324))</f>
        <v>2.4788862078089964</v>
      </c>
      <c r="EQ324" s="205" t="str">
        <f t="shared" ref="EQ324:EQ387" si="610">IF(AND($S324="SW",$BF324="Long",$E324=EM$2),$P324,"")</f>
        <v/>
      </c>
      <c r="ER324" s="205">
        <f>IF($J324="",#N/A,SUM(EQ$4:EQ324))</f>
        <v>2.6983279209445628</v>
      </c>
      <c r="ES324" s="205">
        <f>IF($J324="",#N/A,SUM(EQ$4:EQ324,EO$4:EO324,EM$4:EM324))</f>
        <v>5.1772141287535591</v>
      </c>
      <c r="ET324" s="200" t="str">
        <f t="shared" ref="ET324:ET387" si="611">IF(AND($S324="Up",$BF324="Long",$E324=ET$2),$P324,"")</f>
        <v/>
      </c>
      <c r="EU324" s="203">
        <f>IF($J324="",#N/A,SUM(ET$4:ET324))</f>
        <v>0</v>
      </c>
      <c r="EV324" s="204" t="str">
        <f t="shared" ref="EV324:EV387" si="612">IF(AND($S324="Dwn",$BF324="Short",$E324=ET$2),$P324,"")</f>
        <v/>
      </c>
      <c r="EW324" s="204">
        <f>IF($J324="",#N/A,SUM(EV$4:EV324))</f>
        <v>2.3210103028360365</v>
      </c>
      <c r="EX324" s="205" t="str">
        <f t="shared" ref="EX324:EX387" si="613">IF(AND($S324="SW",$BF324="Long",$E324=ET$2),$P324,"")</f>
        <v/>
      </c>
      <c r="EY324" s="205">
        <f>IF($J324="",#N/A,SUM(EX$4:EX324))</f>
        <v>0.27113250180669229</v>
      </c>
      <c r="EZ324" s="205">
        <f>IF($J324="",#N/A,SUM(EX$4:EX324,EV$4:EV324,ET$4:ET324))</f>
        <v>2.5921428046427284</v>
      </c>
      <c r="FA324" s="200" t="str">
        <f t="shared" ref="FA324:FA387" si="614">IF(AND($S324="Up",$BF324="Long",$E324=FA$2),$P324,"")</f>
        <v/>
      </c>
      <c r="FB324" s="203">
        <f>IF($J324="",#N/A,SUM(FA$4:FA324))</f>
        <v>-0.27145310509113252</v>
      </c>
      <c r="FC324" s="204" t="str">
        <f t="shared" ref="FC324:FC387" si="615">IF(AND($S324="Dwn",$BF324="Short",$E324=FA$2),$P324,"")</f>
        <v/>
      </c>
      <c r="FD324" s="204">
        <f>IF($J324="",#N/A,SUM(FC$4:FC324))</f>
        <v>0.89084290967454072</v>
      </c>
      <c r="FE324" s="205" t="str">
        <f t="shared" ref="FE324:FE387" si="616">IF(AND($S324="SW",$BF324="Long",$E324=FA$2),$P324,"")</f>
        <v/>
      </c>
      <c r="FF324" s="205">
        <f>IF($J324="",#N/A,SUM(FE$4:FE324))</f>
        <v>-0.28811149078748233</v>
      </c>
      <c r="FG324" s="205">
        <f>IF($J324="",#N/A,SUM(FE$4:FE324,FC$4:FC324,FA$4:FA324))</f>
        <v>0.3312783137959262</v>
      </c>
      <c r="FH324" s="200" t="str">
        <f t="shared" ref="FH324:FH387" si="617">IF(AND($S324="Up",$BF324="Long",$E324=FH$2),$P324,"")</f>
        <v/>
      </c>
      <c r="FI324" s="203">
        <f>IF($J324="",#N/A,SUM(FH$4:FH324))</f>
        <v>0</v>
      </c>
      <c r="FJ324" s="204" t="str">
        <f t="shared" ref="FJ324:FJ387" si="618">IF(AND($S324="Dwn",$BF324="Short",$E324=FH$2),$P324,"")</f>
        <v/>
      </c>
      <c r="FK324" s="204">
        <f>IF($J324="",#N/A,SUM(FJ$4:FJ324))</f>
        <v>0</v>
      </c>
      <c r="FL324" s="205" t="str">
        <f t="shared" ref="FL324:FL387" si="619">IF(AND($S324="SW",$BF324="Long",$E324=FH$2),$P324,"")</f>
        <v/>
      </c>
      <c r="FM324" s="205">
        <f>IF($J324="",#N/A,SUM(FL$4:FL324))</f>
        <v>0</v>
      </c>
      <c r="FN324" s="205">
        <f>IF($J324="",#N/A,SUM(FL$4:FL324,FJ$4:FJ324,FH$4:FH324))</f>
        <v>0</v>
      </c>
      <c r="FO324" s="200" t="str">
        <f t="shared" ref="FO324:FO387" si="620">IF(AND($S324="Up",$BF324="Long",$E324=FO$2),$P324,"")</f>
        <v/>
      </c>
      <c r="FP324" s="203">
        <f>IF($J324="",#N/A,SUM(FO$4:FO324))</f>
        <v>0</v>
      </c>
      <c r="FQ324" s="204" t="str">
        <f t="shared" ref="FQ324:FQ387" si="621">IF(AND($S324="Dwn",$BF324="Short",$E324=FO$2),$P324,"")</f>
        <v/>
      </c>
      <c r="FR324" s="204">
        <f>IF($J324="",#N/A,SUM(FQ$4:FQ324))</f>
        <v>0</v>
      </c>
      <c r="FS324" s="205" t="str">
        <f t="shared" ref="FS324:FS387" si="622">IF(AND($S324="SW",$BF324="Long",$E324=FO$2),$P324,"")</f>
        <v/>
      </c>
      <c r="FT324" s="205">
        <f>IF($J324="",#N/A,SUM(FS$4:FS324))</f>
        <v>0</v>
      </c>
      <c r="FU324" s="205">
        <f>IF($J324="",#N/A,SUM(FS$4:FS324,FQ$4:FQ324,FO$4:FO324))</f>
        <v>0</v>
      </c>
      <c r="FV324" s="200" t="str">
        <f t="shared" ref="FV324:FV387" si="623">IF(AND($S324="Up",$BF324="Long",$E324=FV$2),$P324,"")</f>
        <v/>
      </c>
      <c r="FW324" s="203">
        <f>IF($J324="",#N/A,SUM(FV$4:FV324))</f>
        <v>6.6834991831277585E-2</v>
      </c>
      <c r="FX324" s="204" t="str">
        <f t="shared" ref="FX324:FX387" si="624">IF(AND($S324="Dwn",$BF324="Short",$E324=FV$2),$P324,"")</f>
        <v/>
      </c>
      <c r="FY324" s="204">
        <f>IF($J324="",#N/A,SUM(FX$4:FX324))</f>
        <v>-0.16102012791805576</v>
      </c>
      <c r="FZ324" s="205" t="str">
        <f t="shared" ref="FZ324:FZ387" si="625">IF(AND($S324="SW",$BF324="Long",$E324=FV$2),$P324,"")</f>
        <v/>
      </c>
      <c r="GA324" s="205">
        <f>IF($J324="",#N/A,SUM(FZ$4:FZ324))</f>
        <v>-0.69624339162892301</v>
      </c>
      <c r="GB324" s="205">
        <f>IF($J324="",#N/A,SUM(FZ$4:FZ324,FX$4:FX324,FV$4:FV324))</f>
        <v>-0.79042852771570116</v>
      </c>
      <c r="GC324" s="200" t="str">
        <f t="shared" ref="GC324:GC387" si="626">IF(AND($S324="Up",$BF324="Long",$E324=GC$2),$P324,"")</f>
        <v/>
      </c>
      <c r="GD324" s="203">
        <f>IF($J324="",#N/A,SUM(GC$4:GC324))</f>
        <v>0</v>
      </c>
      <c r="GE324" s="204" t="str">
        <f t="shared" ref="GE324:GE387" si="627">IF(AND($S324="Dwn",$BF324="Short",$E324=GC$2),$P324,"")</f>
        <v/>
      </c>
      <c r="GF324" s="204">
        <f>IF($J324="",#N/A,SUM(GE$4:GE324))</f>
        <v>0</v>
      </c>
      <c r="GG324" s="205" t="str">
        <f t="shared" ref="GG324:GG387" si="628">IF(AND($S324="SW",$BF324="Long",$E324=GC$2),$P324,"")</f>
        <v/>
      </c>
      <c r="GH324" s="205">
        <f>IF($J324="",#N/A,SUM(GG$4:GG324))</f>
        <v>-2.9368362277223206</v>
      </c>
      <c r="GI324" s="205">
        <f>IF($J324="",#N/A,SUM(GG$4:GG324,GE$4:GE324,GC$4:GC324))</f>
        <v>-2.9368362277223206</v>
      </c>
      <c r="GJ324" s="200" t="str">
        <f t="shared" ref="GJ324:GJ387" si="629">IF(AND($S324="Up",$BF324="Long",$E324=GJ$2),$P324,"")</f>
        <v/>
      </c>
      <c r="GK324" s="203">
        <f>IF($J324="",#N/A,SUM(GJ$4:GJ324))</f>
        <v>0</v>
      </c>
      <c r="GL324" s="204" t="str">
        <f t="shared" ref="GL324:GL387" si="630">IF(AND($S324="Dwn",$BF324="Short",$E324=GJ$2),$P324,"")</f>
        <v/>
      </c>
      <c r="GM324" s="204">
        <f>IF($J324="",#N/A,SUM(GL$4:GL324))</f>
        <v>-1.6833790887309608</v>
      </c>
      <c r="GN324" s="205" t="str">
        <f t="shared" ref="GN324:GN387" si="631">IF(AND($S324="SW",$BF324="Long",$E324=GJ$2),$P324,"")</f>
        <v/>
      </c>
      <c r="GO324" s="205">
        <f>IF($J324="",#N/A,SUM(GN$4:GN324))</f>
        <v>0</v>
      </c>
      <c r="GP324" s="205">
        <f>IF($J324="",#N/A,SUM(GN$4:GN324,GL$4:GL324,GJ$4:GJ324))</f>
        <v>-1.6833790887309608</v>
      </c>
      <c r="GS324" s="54">
        <f t="shared" si="541"/>
        <v>0.47596754057428026</v>
      </c>
      <c r="GT324" s="54">
        <f>IF(GS324="",NA(),SUM($GS$4:GS324))</f>
        <v>13.459182057581874</v>
      </c>
      <c r="GU324" s="54" t="str">
        <f t="shared" ref="GU324:GU387" si="632">IF(AND($S324="Up",$BF324="Long",$D324="Y"),$GS324,"")</f>
        <v/>
      </c>
      <c r="GV324" s="54" t="e">
        <f>IF(GU324="",NA(),SUM($GU$4:GU324))</f>
        <v>#N/A</v>
      </c>
      <c r="GW324" s="54" t="str">
        <f t="shared" ref="GW324:GW387" si="633">IF(AND($S324="SW",$BF324="Long",$D324="Y"),$GS324,"")</f>
        <v/>
      </c>
      <c r="GX324" s="54" t="e">
        <f>IF(GW324="",NA(),SUM($GW$4:GW324))</f>
        <v>#N/A</v>
      </c>
      <c r="GY324" s="54">
        <f t="shared" ref="GY324:GY387" si="634">IF(AND($S324="Dwn",$BF324="Short",$D324="Y"),$GS324,"")</f>
        <v>0.47596754057428026</v>
      </c>
      <c r="GZ324" s="54">
        <f>IF(GY324="",NA(),SUM($GY$4:GY324))</f>
        <v>7.4623273868895268</v>
      </c>
      <c r="HA324" s="54" t="str">
        <f t="shared" ref="HA324:HA387" si="635">IF($J324="","",IF($D324="N",$P324,""))</f>
        <v/>
      </c>
      <c r="HB324" s="54" t="e">
        <f>IF(HA324="",NA(),SUM($HA$4:HA324))</f>
        <v>#N/A</v>
      </c>
      <c r="HC324" s="54" t="str">
        <f t="shared" ref="HC324:HC387" si="636">IF(AND($S324="Up",$BF324="Long",$D324="N"),$HA324,"")</f>
        <v/>
      </c>
      <c r="HD324" s="54" t="e">
        <f>IF(HC324="",NA(),SUM($HC$4:HC324))</f>
        <v>#N/A</v>
      </c>
      <c r="HE324" s="54" t="str">
        <f t="shared" ref="HE324:HE387" si="637">IF(AND($S324="SW",$BF324="Long",$D324="N"),$HA324,"")</f>
        <v/>
      </c>
      <c r="HF324" s="54" t="e">
        <f>IF(HE324="",NA(),SUM($HE$4:HE324))</f>
        <v>#N/A</v>
      </c>
      <c r="HG324" s="54" t="str">
        <f t="shared" ref="HG324:HG387" si="638">IF(AND($S324="Dwn",$BF324="Short",$D324="N"),$HA324,"")</f>
        <v/>
      </c>
      <c r="HH324" s="54" t="e">
        <f>IF(HG324="",NA(),SUM($HG$4:HG324))</f>
        <v>#N/A</v>
      </c>
      <c r="HI324" s="172">
        <f t="shared" si="542"/>
        <v>1.3167134831460676</v>
      </c>
      <c r="HJ324" s="172">
        <f>IF($J324="",#N/A,SUM(HI$4:$HI324))</f>
        <v>-8.7289352510103964</v>
      </c>
      <c r="HK324" s="54" t="str">
        <f t="shared" ref="HK324:HK387" si="639">IF($AC324="","",IF(AND($S324="Dwn",$K324&gt;0),$HU324-$P324,""))</f>
        <v/>
      </c>
      <c r="HL324" s="54">
        <f>IF($J324="",#N/A,SUM($HK$4:HK324))</f>
        <v>2.0649982794595436</v>
      </c>
      <c r="HM324" s="54" t="str">
        <f t="shared" ref="HM324:HM387" si="640">IF($AC324="","",IF(AND($S324="Up",$K324&gt;0),$HU324-$P324,""))</f>
        <v/>
      </c>
      <c r="HN324" s="54">
        <f>IF($J324="",#N/A,SUM($HM$4:HM324))</f>
        <v>-0.27414712288080484</v>
      </c>
      <c r="HO324" s="54" t="str">
        <f t="shared" ref="HO324:HO387" si="641">IF($AC324="","",IF(AND($S324="Up",$K324&lt;0),$HU324-$P324,""))</f>
        <v/>
      </c>
      <c r="HP324" s="54">
        <f>IF($J324="",#N/A,SUM($HO$4:HO324))</f>
        <v>-0.69476253225193951</v>
      </c>
      <c r="HQ324" s="54" t="str">
        <f t="shared" ref="HQ324:HQ387" si="642">IF($AC324="","",IF(AND($S324="SW",$K324&gt;0),$HU324-$P324,""))</f>
        <v/>
      </c>
      <c r="HR324" s="54">
        <f>IF($J324="",#N/A,SUM($HQ$4:HQ324))</f>
        <v>-12.361093655977577</v>
      </c>
      <c r="HS324" s="54" t="str">
        <f t="shared" ref="HS324:HS387" si="643">IF($AC324="","",IF(AND($S324="SW",$K324&lt;0),$HU324-$P324,""))</f>
        <v/>
      </c>
      <c r="HT324" s="54">
        <f>IF($J324="",#N/A,SUM($HS$4:HS324))</f>
        <v>15.888216572562301</v>
      </c>
      <c r="HU324" s="65">
        <f t="shared" ref="HU324:HU387" si="644">IF(OR($Y324="",$AC324=""),"",IF($BF324="Long",(($AC324*$Y324)-$X324)/($X324*0.06),($X324-($AC324*$Y324))/($X324*0.06)))</f>
        <v>1.7926810237203479</v>
      </c>
      <c r="HV324" s="65">
        <f>IF($J324="",#N/A,SUM(HU$4:$HU324))</f>
        <v>14.329119329561898</v>
      </c>
    </row>
    <row r="325" spans="1:230" x14ac:dyDescent="0.25">
      <c r="A325" s="51" t="s">
        <v>683</v>
      </c>
      <c r="B325" s="52" t="s">
        <v>4599</v>
      </c>
      <c r="C325" s="229">
        <f t="shared" si="545"/>
        <v>3</v>
      </c>
      <c r="D325" s="219" t="str">
        <f>_xlfn.XLOOKUP(A325,[1]SP500!$A$2:$A$502,[1]SP500!$D$2:$D$502,"N")</f>
        <v>N</v>
      </c>
      <c r="E325" s="51" t="str">
        <f>IFERROR(_xlfn.XLOOKUP(A325,[1]SP500!$A$2:$A$655,[1]SP500!$B$2:$B$655),"")</f>
        <v>IGV</v>
      </c>
      <c r="F325" s="290">
        <v>45785</v>
      </c>
      <c r="G325" s="51" t="str">
        <f t="shared" si="546"/>
        <v>AMC</v>
      </c>
      <c r="H325" s="51" t="str">
        <f t="shared" si="547"/>
        <v>s</v>
      </c>
      <c r="I325" s="344">
        <v>29.69</v>
      </c>
      <c r="J325" s="124">
        <v>30.27</v>
      </c>
      <c r="K325" s="55">
        <f t="shared" si="548"/>
        <v>1.9535197036039013E-2</v>
      </c>
      <c r="L325" s="67">
        <f t="shared" si="549"/>
        <v>23.199999999999818</v>
      </c>
      <c r="M325" s="57">
        <f t="shared" si="550"/>
        <v>0</v>
      </c>
      <c r="N325" s="102">
        <f t="shared" si="551"/>
        <v>23.199999999999818</v>
      </c>
      <c r="O325" s="57">
        <f>IF(N325="",#N/A,SUM($N$4:N325))</f>
        <v>1034.4243755616239</v>
      </c>
      <c r="P325" s="65">
        <f t="shared" ref="P325:P388" si="645">IF(OR($Y325="",L325=""),"",IF($BF325="Long",(($J325*$Y325)-$X325)/(X325*0.06),($X325-($J325*$Y325))/(X325*0.06)))</f>
        <v>0.3255866172673153</v>
      </c>
      <c r="Q325" s="172">
        <f>IF($N325="",#N/A,SUM($P$4:P325))</f>
        <v>19.276377124095074</v>
      </c>
      <c r="R325" s="279">
        <f t="shared" si="552"/>
        <v>6.1099145135693114</v>
      </c>
      <c r="S325" s="51" t="str">
        <f t="shared" si="553"/>
        <v>SW</v>
      </c>
      <c r="T325" s="51" t="s">
        <v>2828</v>
      </c>
      <c r="U325" s="56">
        <f t="shared" si="554"/>
        <v>29.69</v>
      </c>
      <c r="V325" s="56" t="s">
        <v>4460</v>
      </c>
      <c r="W325" s="142">
        <v>40</v>
      </c>
      <c r="X325" s="145">
        <f t="shared" si="555"/>
        <v>1187.6000000000001</v>
      </c>
      <c r="Y325" s="140">
        <f t="shared" si="556"/>
        <v>40</v>
      </c>
      <c r="Z325" s="123">
        <v>30.27</v>
      </c>
      <c r="AA325" s="102">
        <f t="shared" si="557"/>
        <v>23.199999999999818</v>
      </c>
      <c r="AB325" s="102">
        <f t="shared" si="558"/>
        <v>-9.2000000000000455</v>
      </c>
      <c r="AC325" s="124">
        <v>29.46</v>
      </c>
      <c r="AD325" s="155">
        <f t="shared" si="559"/>
        <v>-9.2000000000000455</v>
      </c>
      <c r="AE325" s="545">
        <f t="shared" si="560"/>
        <v>-0.1291119344335922</v>
      </c>
      <c r="AF325" s="57">
        <f>IF($AC325="",#N/A,SUM(AD$4:AD325))</f>
        <v>862.2623971474485</v>
      </c>
      <c r="AG325" s="102">
        <f t="shared" si="561"/>
        <v>-32.399999999999864</v>
      </c>
      <c r="AH325" s="56" t="s">
        <v>2507</v>
      </c>
      <c r="AI325" s="65">
        <f t="shared" si="562"/>
        <v>0.3255866172673153</v>
      </c>
      <c r="AJ325" s="108">
        <f>IF(AI325="",#N/A,SUM($AI$4:AI325))</f>
        <v>13.166462610525762</v>
      </c>
      <c r="AK325" s="57">
        <f t="shared" si="563"/>
        <v>23.199999999999818</v>
      </c>
      <c r="AL325" s="66">
        <f>IF(AI325="",#N/A,IF(AH325="Skip",SUM($AK$4:AK325),SUM($AK$4:AK325)))</f>
        <v>619.61236927848154</v>
      </c>
      <c r="AM325" s="65">
        <f t="shared" ref="AM325:AM388" si="646">IF(OR($Y325="",$L325=""),"",IF($BF325="Long",(($AC325*$Y325)-$X325)/($X325*0.06),($X325-($AC325*$Y325))/($X325*0.06)))</f>
        <v>-0.1291119344335922</v>
      </c>
      <c r="AN325" s="209"/>
      <c r="AO325" s="65">
        <f t="shared" si="564"/>
        <v>-0.1291119344335922</v>
      </c>
      <c r="AP325" s="65">
        <f>IF($AC325="",#N/A,SUM(AO$4:AO325))</f>
        <v>13.725703758800723</v>
      </c>
      <c r="AQ325" s="65" t="str">
        <f t="shared" si="565"/>
        <v/>
      </c>
      <c r="AR325" s="65">
        <f>IF($AC325="",#N/A,SUM(AQ$4:AQ325))</f>
        <v>-5.1272933549890007</v>
      </c>
      <c r="AS325" s="65" t="str">
        <f t="shared" si="566"/>
        <v/>
      </c>
      <c r="AT325" s="65">
        <f>IF($AC325="",#N/A,SUM(AS$4:AS325))</f>
        <v>5.601596991316578</v>
      </c>
      <c r="AU325" s="57">
        <f t="shared" si="538"/>
        <v>-9.2000000000000455</v>
      </c>
      <c r="AV325" s="57">
        <f>IF($AC325="",#N/A,SUM(AU$4:AU325))</f>
        <v>804.91627194988018</v>
      </c>
      <c r="AW325" s="57" t="str">
        <f t="shared" si="539"/>
        <v/>
      </c>
      <c r="AX325" s="57">
        <f>IF($AC325="",#N/A,SUM(AW$4:AW325))</f>
        <v>-340.17106797961105</v>
      </c>
      <c r="AY325" s="57" t="str">
        <f t="shared" si="540"/>
        <v/>
      </c>
      <c r="AZ325" s="57">
        <f>IF($AC325="",#N/A,SUM(AY$4:AY325))</f>
        <v>397.51719317717937</v>
      </c>
      <c r="BA325" s="57">
        <f>IF(AD325="",#N/A,SUM($AD$4:AD325))</f>
        <v>862.2623971474485</v>
      </c>
      <c r="BC325" s="51" t="str">
        <f t="shared" si="567"/>
        <v/>
      </c>
      <c r="BD325" s="51" t="str">
        <f t="shared" si="568"/>
        <v/>
      </c>
      <c r="BE325" s="51">
        <f t="shared" si="569"/>
        <v>1</v>
      </c>
      <c r="BF325" s="51" t="str">
        <f t="shared" si="570"/>
        <v>Long</v>
      </c>
      <c r="BG325" s="51" t="str">
        <f t="shared" si="571"/>
        <v/>
      </c>
      <c r="BH325" s="51" t="str">
        <f t="shared" si="572"/>
        <v/>
      </c>
      <c r="BI325" s="51" t="str">
        <f t="shared" si="573"/>
        <v/>
      </c>
      <c r="BK325" s="65">
        <f t="shared" si="544"/>
        <v>9.2197704462401553E-2</v>
      </c>
      <c r="BL325" s="65">
        <f t="shared" si="543"/>
        <v>0.38367798061375119</v>
      </c>
      <c r="BM325" s="65">
        <f>IFERROR(Q325/COUNTA($J$4:J325),#N/A)</f>
        <v>5.9864525230108927E-2</v>
      </c>
      <c r="BO325" s="489">
        <f>IF(J325="",#N/A,IF(S325="SW",(COUNTIFS(K$4:$K325,"&gt;0",S$4:$S325,"SW")/COUNTIF(S$4:$S325,"SW")),#N/A))</f>
        <v>0.51333333333333331</v>
      </c>
      <c r="BP325" s="489" t="e">
        <f>IF($J325="",#N/A,IF($S325="DWN",(COUNTIFS($K$4:$K325,"&lt;0",$S$4:$S325,"DWN")/COUNTIF($S$4:$S325,"DWN")),#N/A))</f>
        <v>#N/A</v>
      </c>
      <c r="BQ325" s="489" t="e">
        <f>IF($J325="",#N/A,IF($S325="UP",(COUNTIFS($K$4:$K325,"&gt;0",$S$4:$S325,"UP")/COUNTIF($S$4:$S325,"UP")),#N/A))</f>
        <v>#N/A</v>
      </c>
      <c r="BR325" s="489">
        <f>IF(J325="",#N/A,COUNTIF($K$4:K325,"&gt;0")/COUNT($J$4:J325))</f>
        <v>0.47204968944099379</v>
      </c>
      <c r="BS325" s="65">
        <f t="shared" si="574"/>
        <v>0.3255866172673153</v>
      </c>
      <c r="BT325" s="65" t="str">
        <f t="shared" si="575"/>
        <v/>
      </c>
      <c r="BU325" s="65" t="str">
        <f t="shared" si="576"/>
        <v/>
      </c>
      <c r="BV325" s="65" t="str">
        <f t="shared" si="577"/>
        <v/>
      </c>
      <c r="BW325" s="128" t="str">
        <f t="shared" si="578"/>
        <v/>
      </c>
      <c r="BX325" s="128">
        <f>IF($J325="",#N/A,SUM($BW$4:BW325))</f>
        <v>-265.49317034792875</v>
      </c>
      <c r="BY325" s="131" t="str">
        <f t="shared" si="579"/>
        <v/>
      </c>
      <c r="BZ325" s="131">
        <f>IF($J325="",#N/A,SUM($BY$4:BY325))</f>
        <v>705.23161346139443</v>
      </c>
      <c r="CA325" s="133">
        <f t="shared" si="580"/>
        <v>23.199999999999818</v>
      </c>
      <c r="CB325" s="133">
        <f>IF($J325="",#N/A,SUM($CA$4:CA325))</f>
        <v>594.68593244815816</v>
      </c>
      <c r="CC325" s="194" t="str">
        <f t="shared" si="581"/>
        <v/>
      </c>
      <c r="CD325" s="194">
        <f>IF($J325="",#N/A,SUM($CC$4:CC325))</f>
        <v>-4.1583836998562527</v>
      </c>
      <c r="CE325" s="195" t="str">
        <f t="shared" si="582"/>
        <v/>
      </c>
      <c r="CF325" s="195">
        <f>IF($J325="",#N/A,SUM($CE$4:CE325))</f>
        <v>12.26553396286744</v>
      </c>
      <c r="CG325" s="196">
        <f t="shared" si="583"/>
        <v>0.3255866172673153</v>
      </c>
      <c r="CH325" s="196">
        <f>IF($J325="",#N/A,SUM($CG$4:CG325))</f>
        <v>11.169226861083892</v>
      </c>
      <c r="CI325" s="200" t="str">
        <f t="shared" si="584"/>
        <v/>
      </c>
      <c r="CJ325" s="203">
        <f>IF($J325="",#N/A,SUM(CI$4:CI325))</f>
        <v>0</v>
      </c>
      <c r="CK325" s="204" t="str">
        <f t="shared" si="585"/>
        <v/>
      </c>
      <c r="CL325" s="204">
        <f>IF($J325="",#N/A,SUM(CK$4:CK325))</f>
        <v>2.8845415791335349</v>
      </c>
      <c r="CM325" s="205" t="str">
        <f t="shared" si="586"/>
        <v/>
      </c>
      <c r="CN325" s="205">
        <f>IF($J325="",#N/A,SUM(CM$4:CM325))</f>
        <v>1.6494621984783118</v>
      </c>
      <c r="CO325" s="205">
        <f>IF($J325="",#N/A,SUM(CM$4:CM325,CK$4:CK325,CI$4:CI325))</f>
        <v>4.5340037776118471</v>
      </c>
      <c r="CP325" s="200" t="str">
        <f t="shared" si="587"/>
        <v/>
      </c>
      <c r="CQ325" s="203">
        <f>IF($J325="",#N/A,SUM(CP$4:CP325))</f>
        <v>-2.5399197875602422</v>
      </c>
      <c r="CR325" s="204" t="str">
        <f t="shared" si="588"/>
        <v/>
      </c>
      <c r="CS325" s="204">
        <f>IF($J325="",#N/A,SUM(CR$4:CR325))</f>
        <v>2.3600225017004668</v>
      </c>
      <c r="CT325" s="205">
        <f t="shared" si="589"/>
        <v>0.3255866172673153</v>
      </c>
      <c r="CU325" s="205">
        <f>IF($J325="",#N/A,SUM(CT$4:CT325))</f>
        <v>-0.35196499572459283</v>
      </c>
      <c r="CV325" s="205">
        <f>IF($J325="",#N/A,SUM(CT$4:CT325,CR$4:CR325,CP$4:CP325))</f>
        <v>-0.53186228158436855</v>
      </c>
      <c r="CW325" s="200" t="str">
        <f t="shared" si="590"/>
        <v/>
      </c>
      <c r="CX325" s="203">
        <f>IF($J325="",#N/A,SUM(CW$4:CW325))</f>
        <v>-0.29399505935581682</v>
      </c>
      <c r="CY325" s="204" t="str">
        <f t="shared" si="591"/>
        <v/>
      </c>
      <c r="CZ325" s="204">
        <f>IF($J325="",#N/A,SUM(CY$4:CY325))</f>
        <v>-0.20119965665334139</v>
      </c>
      <c r="DA325" s="205" t="str">
        <f t="shared" si="592"/>
        <v/>
      </c>
      <c r="DB325" s="205">
        <f>IF($J325="",#N/A,SUM(DA$4:DA325))</f>
        <v>-2.7756316087437582</v>
      </c>
      <c r="DC325" s="205">
        <f>IF($J325="",#N/A,SUM(DA$4:DA325,CY$4:CY325,CW$4:CW325))</f>
        <v>-3.2708263247529161</v>
      </c>
      <c r="DD325" s="200" t="str">
        <f t="shared" si="593"/>
        <v/>
      </c>
      <c r="DE325" s="203">
        <f>IF($J325="",#N/A,SUM(DD$4:DD325))</f>
        <v>1.2501454750716789</v>
      </c>
      <c r="DF325" s="204" t="str">
        <f t="shared" si="594"/>
        <v/>
      </c>
      <c r="DG325" s="204">
        <f>IF($J325="",#N/A,SUM(DF$4:DF325))</f>
        <v>2.626961496209514</v>
      </c>
      <c r="DH325" s="205" t="str">
        <f t="shared" si="595"/>
        <v/>
      </c>
      <c r="DI325" s="205">
        <f>IF($J325="",#N/A,SUM(DH$4:DH325))</f>
        <v>-2.7812008102163399</v>
      </c>
      <c r="DJ325" s="205">
        <f>IF($J325="",#N/A,SUM(DH$4:DH325,DF$4:DF325,DD$4:DD325))</f>
        <v>1.0959061610648531</v>
      </c>
      <c r="DK325" s="200" t="str">
        <f t="shared" si="596"/>
        <v/>
      </c>
      <c r="DL325" s="203">
        <f>IF($J325="",#N/A,SUM(DK$4:DK325))</f>
        <v>-0.84049791589649614</v>
      </c>
      <c r="DM325" s="204" t="str">
        <f t="shared" si="597"/>
        <v/>
      </c>
      <c r="DN325" s="204">
        <f>IF($J325="",#N/A,SUM(DM$4:DM325))</f>
        <v>1.8657648196498773</v>
      </c>
      <c r="DO325" s="205" t="str">
        <f t="shared" si="598"/>
        <v/>
      </c>
      <c r="DP325" s="205">
        <f>IF($J325="",#N/A,SUM(DO$4:DO325))</f>
        <v>2.700331529683047</v>
      </c>
      <c r="DQ325" s="205">
        <f>IF($J325="",#N/A,SUM(DO$4:DO325,DM$4:DM325,DK$4:DK325))</f>
        <v>3.7255984334364292</v>
      </c>
      <c r="DR325" s="200" t="str">
        <f t="shared" si="599"/>
        <v/>
      </c>
      <c r="DS325" s="203">
        <f>IF($J325="",#N/A,SUM(DR$4:DR325))</f>
        <v>-0.55950946427675097</v>
      </c>
      <c r="DT325" s="204" t="str">
        <f t="shared" si="600"/>
        <v/>
      </c>
      <c r="DU325" s="204">
        <f>IF($J325="",#N/A,SUM(DT$4:DT325))</f>
        <v>-0.20750635820596686</v>
      </c>
      <c r="DV325" s="205" t="str">
        <f t="shared" si="601"/>
        <v/>
      </c>
      <c r="DW325" s="205">
        <f>IF($J325="",#N/A,SUM(DV$4:DV325))</f>
        <v>-2.3377035686214001</v>
      </c>
      <c r="DX325" s="205">
        <f>IF($J325="",#N/A,SUM(DV$4:DV325,DT$4:DT325,DR$4:DR325))</f>
        <v>-3.1047193911041169</v>
      </c>
      <c r="DY325" s="200" t="str">
        <f t="shared" si="602"/>
        <v/>
      </c>
      <c r="DZ325" s="203">
        <f>IF($J325="",#N/A,SUM(DY$4:DY325))</f>
        <v>-1.6284722482776204</v>
      </c>
      <c r="EA325" s="204" t="str">
        <f t="shared" si="603"/>
        <v/>
      </c>
      <c r="EB325" s="204">
        <f>IF($J325="",#N/A,SUM(EA$4:EA325))</f>
        <v>2.276197208799712</v>
      </c>
      <c r="EC325" s="205" t="str">
        <f t="shared" si="604"/>
        <v/>
      </c>
      <c r="ED325" s="205">
        <f>IF($J325="",#N/A,SUM(EC$4:EC325))</f>
        <v>8.6307007550759458</v>
      </c>
      <c r="EE325" s="205">
        <f>IF($J325="",#N/A,SUM(EC$4:EC325,EA$4:EA325,DY$4:DY325))</f>
        <v>9.2784257155980399</v>
      </c>
      <c r="EF325" s="200" t="str">
        <f t="shared" si="605"/>
        <v/>
      </c>
      <c r="EG325" s="203">
        <f>IF($J325="",#N/A,SUM(EF$4:EF325))</f>
        <v>0.65848341369884777</v>
      </c>
      <c r="EH325" s="204" t="str">
        <f t="shared" si="606"/>
        <v/>
      </c>
      <c r="EI325" s="204">
        <f>IF($J325="",#N/A,SUM(EH$4:EH325))</f>
        <v>-3.5125331561187787</v>
      </c>
      <c r="EJ325" s="205" t="str">
        <f t="shared" si="607"/>
        <v/>
      </c>
      <c r="EK325" s="205">
        <f>IF($J325="",#N/A,SUM(EJ$4:EJ325))</f>
        <v>7.3869640485401451</v>
      </c>
      <c r="EL325" s="205">
        <f>IF($J325="",#N/A,SUM(EJ$4:EJ325,EH$4:EH325,EF$4:EF325))</f>
        <v>4.5329143061202144</v>
      </c>
      <c r="EM325" s="200" t="str">
        <f t="shared" si="608"/>
        <v/>
      </c>
      <c r="EN325" s="203">
        <f>IF($J325="",#N/A,SUM(EM$4:EM325))</f>
        <v>0</v>
      </c>
      <c r="EO325" s="204" t="str">
        <f t="shared" si="609"/>
        <v/>
      </c>
      <c r="EP325" s="204">
        <f>IF($J325="",#N/A,SUM(EO$4:EO325))</f>
        <v>2.4788862078089964</v>
      </c>
      <c r="EQ325" s="205" t="str">
        <f t="shared" si="610"/>
        <v/>
      </c>
      <c r="ER325" s="205">
        <f>IF($J325="",#N/A,SUM(EQ$4:EQ325))</f>
        <v>2.6983279209445628</v>
      </c>
      <c r="ES325" s="205">
        <f>IF($J325="",#N/A,SUM(EQ$4:EQ325,EO$4:EO325,EM$4:EM325))</f>
        <v>5.1772141287535591</v>
      </c>
      <c r="ET325" s="200" t="str">
        <f t="shared" si="611"/>
        <v/>
      </c>
      <c r="EU325" s="203">
        <f>IF($J325="",#N/A,SUM(ET$4:ET325))</f>
        <v>0</v>
      </c>
      <c r="EV325" s="204" t="str">
        <f t="shared" si="612"/>
        <v/>
      </c>
      <c r="EW325" s="204">
        <f>IF($J325="",#N/A,SUM(EV$4:EV325))</f>
        <v>2.3210103028360365</v>
      </c>
      <c r="EX325" s="205" t="str">
        <f t="shared" si="613"/>
        <v/>
      </c>
      <c r="EY325" s="205">
        <f>IF($J325="",#N/A,SUM(EX$4:EX325))</f>
        <v>0.27113250180669229</v>
      </c>
      <c r="EZ325" s="205">
        <f>IF($J325="",#N/A,SUM(EX$4:EX325,EV$4:EV325,ET$4:ET325))</f>
        <v>2.5921428046427284</v>
      </c>
      <c r="FA325" s="200" t="str">
        <f t="shared" si="614"/>
        <v/>
      </c>
      <c r="FB325" s="203">
        <f>IF($J325="",#N/A,SUM(FA$4:FA325))</f>
        <v>-0.27145310509113252</v>
      </c>
      <c r="FC325" s="204" t="str">
        <f t="shared" si="615"/>
        <v/>
      </c>
      <c r="FD325" s="204">
        <f>IF($J325="",#N/A,SUM(FC$4:FC325))</f>
        <v>0.89084290967454072</v>
      </c>
      <c r="FE325" s="205" t="str">
        <f t="shared" si="616"/>
        <v/>
      </c>
      <c r="FF325" s="205">
        <f>IF($J325="",#N/A,SUM(FE$4:FE325))</f>
        <v>-0.28811149078748233</v>
      </c>
      <c r="FG325" s="205">
        <f>IF($J325="",#N/A,SUM(FE$4:FE325,FC$4:FC325,FA$4:FA325))</f>
        <v>0.3312783137959262</v>
      </c>
      <c r="FH325" s="200" t="str">
        <f t="shared" si="617"/>
        <v/>
      </c>
      <c r="FI325" s="203">
        <f>IF($J325="",#N/A,SUM(FH$4:FH325))</f>
        <v>0</v>
      </c>
      <c r="FJ325" s="204" t="str">
        <f t="shared" si="618"/>
        <v/>
      </c>
      <c r="FK325" s="204">
        <f>IF($J325="",#N/A,SUM(FJ$4:FJ325))</f>
        <v>0</v>
      </c>
      <c r="FL325" s="205" t="str">
        <f t="shared" si="619"/>
        <v/>
      </c>
      <c r="FM325" s="205">
        <f>IF($J325="",#N/A,SUM(FL$4:FL325))</f>
        <v>0</v>
      </c>
      <c r="FN325" s="205">
        <f>IF($J325="",#N/A,SUM(FL$4:FL325,FJ$4:FJ325,FH$4:FH325))</f>
        <v>0</v>
      </c>
      <c r="FO325" s="200" t="str">
        <f t="shared" si="620"/>
        <v/>
      </c>
      <c r="FP325" s="203">
        <f>IF($J325="",#N/A,SUM(FO$4:FO325))</f>
        <v>0</v>
      </c>
      <c r="FQ325" s="204" t="str">
        <f t="shared" si="621"/>
        <v/>
      </c>
      <c r="FR325" s="204">
        <f>IF($J325="",#N/A,SUM(FQ$4:FQ325))</f>
        <v>0</v>
      </c>
      <c r="FS325" s="205" t="str">
        <f t="shared" si="622"/>
        <v/>
      </c>
      <c r="FT325" s="205">
        <f>IF($J325="",#N/A,SUM(FS$4:FS325))</f>
        <v>0</v>
      </c>
      <c r="FU325" s="205">
        <f>IF($J325="",#N/A,SUM(FS$4:FS325,FQ$4:FQ325,FO$4:FO325))</f>
        <v>0</v>
      </c>
      <c r="FV325" s="200" t="str">
        <f t="shared" si="623"/>
        <v/>
      </c>
      <c r="FW325" s="203">
        <f>IF($J325="",#N/A,SUM(FV$4:FV325))</f>
        <v>6.6834991831277585E-2</v>
      </c>
      <c r="FX325" s="204" t="str">
        <f t="shared" si="624"/>
        <v/>
      </c>
      <c r="FY325" s="204">
        <f>IF($J325="",#N/A,SUM(FX$4:FX325))</f>
        <v>-0.16102012791805576</v>
      </c>
      <c r="FZ325" s="205" t="str">
        <f t="shared" si="625"/>
        <v/>
      </c>
      <c r="GA325" s="205">
        <f>IF($J325="",#N/A,SUM(FZ$4:FZ325))</f>
        <v>-0.69624339162892301</v>
      </c>
      <c r="GB325" s="205">
        <f>IF($J325="",#N/A,SUM(FZ$4:FZ325,FX$4:FX325,FV$4:FV325))</f>
        <v>-0.79042852771570116</v>
      </c>
      <c r="GC325" s="200" t="str">
        <f t="shared" si="626"/>
        <v/>
      </c>
      <c r="GD325" s="203">
        <f>IF($J325="",#N/A,SUM(GC$4:GC325))</f>
        <v>0</v>
      </c>
      <c r="GE325" s="204" t="str">
        <f t="shared" si="627"/>
        <v/>
      </c>
      <c r="GF325" s="204">
        <f>IF($J325="",#N/A,SUM(GE$4:GE325))</f>
        <v>0</v>
      </c>
      <c r="GG325" s="205" t="str">
        <f t="shared" si="628"/>
        <v/>
      </c>
      <c r="GH325" s="205">
        <f>IF($J325="",#N/A,SUM(GG$4:GG325))</f>
        <v>-2.9368362277223206</v>
      </c>
      <c r="GI325" s="205">
        <f>IF($J325="",#N/A,SUM(GG$4:GG325,GE$4:GE325,GC$4:GC325))</f>
        <v>-2.9368362277223206</v>
      </c>
      <c r="GJ325" s="200" t="str">
        <f t="shared" si="629"/>
        <v/>
      </c>
      <c r="GK325" s="203">
        <f>IF($J325="",#N/A,SUM(GJ$4:GJ325))</f>
        <v>0</v>
      </c>
      <c r="GL325" s="204" t="str">
        <f t="shared" si="630"/>
        <v/>
      </c>
      <c r="GM325" s="204">
        <f>IF($J325="",#N/A,SUM(GL$4:GL325))</f>
        <v>-1.6833790887309608</v>
      </c>
      <c r="GN325" s="205" t="str">
        <f t="shared" si="631"/>
        <v/>
      </c>
      <c r="GO325" s="205">
        <f>IF($J325="",#N/A,SUM(GN$4:GN325))</f>
        <v>0</v>
      </c>
      <c r="GP325" s="205">
        <f>IF($J325="",#N/A,SUM(GN$4:GN325,GL$4:GL325,GJ$4:GJ325))</f>
        <v>-1.6833790887309608</v>
      </c>
      <c r="GS325" s="54" t="str">
        <f t="shared" si="541"/>
        <v/>
      </c>
      <c r="GT325" s="54" t="e">
        <f>IF(GS325="",NA(),SUM($GS$4:GS325))</f>
        <v>#N/A</v>
      </c>
      <c r="GU325" s="54" t="str">
        <f t="shared" si="632"/>
        <v/>
      </c>
      <c r="GV325" s="54" t="e">
        <f>IF(GU325="",NA(),SUM($GU$4:GU325))</f>
        <v>#N/A</v>
      </c>
      <c r="GW325" s="54" t="str">
        <f t="shared" si="633"/>
        <v/>
      </c>
      <c r="GX325" s="54" t="e">
        <f>IF(GW325="",NA(),SUM($GW$4:GW325))</f>
        <v>#N/A</v>
      </c>
      <c r="GY325" s="54" t="str">
        <f t="shared" si="634"/>
        <v/>
      </c>
      <c r="GZ325" s="54" t="e">
        <f>IF(GY325="",NA(),SUM($GY$4:GY325))</f>
        <v>#N/A</v>
      </c>
      <c r="HA325" s="54">
        <f t="shared" si="635"/>
        <v>0.3255866172673153</v>
      </c>
      <c r="HB325" s="54">
        <f>IF(HA325="",NA(),SUM($HA$4:HA325))</f>
        <v>5.8171950665131993</v>
      </c>
      <c r="HC325" s="54" t="str">
        <f t="shared" si="636"/>
        <v/>
      </c>
      <c r="HD325" s="54" t="e">
        <f>IF(HC325="",NA(),SUM($HC$4:HC325))</f>
        <v>#N/A</v>
      </c>
      <c r="HE325" s="54">
        <f t="shared" si="637"/>
        <v>0.3255866172673153</v>
      </c>
      <c r="HF325" s="54">
        <f>IF(HE325="",NA(),SUM($HE$4:HE325))</f>
        <v>1.0139884905352883</v>
      </c>
      <c r="HG325" s="54" t="str">
        <f t="shared" si="638"/>
        <v/>
      </c>
      <c r="HH325" s="54" t="e">
        <f>IF(HG325="",NA(),SUM($HG$4:HG325))</f>
        <v>#N/A</v>
      </c>
      <c r="HI325" s="172" t="str">
        <f t="shared" si="542"/>
        <v/>
      </c>
      <c r="HJ325" s="172">
        <f>IF($J325="",#N/A,SUM(HI$4:$HI325))</f>
        <v>-8.7289352510103964</v>
      </c>
      <c r="HK325" s="54" t="str">
        <f t="shared" si="639"/>
        <v/>
      </c>
      <c r="HL325" s="54">
        <f>IF($J325="",#N/A,SUM($HK$4:HK325))</f>
        <v>2.0649982794595436</v>
      </c>
      <c r="HM325" s="54" t="str">
        <f t="shared" si="640"/>
        <v/>
      </c>
      <c r="HN325" s="54">
        <f>IF($J325="",#N/A,SUM($HM$4:HM325))</f>
        <v>-0.27414712288080484</v>
      </c>
      <c r="HO325" s="54" t="str">
        <f t="shared" si="641"/>
        <v/>
      </c>
      <c r="HP325" s="54">
        <f>IF($J325="",#N/A,SUM($HO$4:HO325))</f>
        <v>-0.69476253225193951</v>
      </c>
      <c r="HQ325" s="54">
        <f t="shared" si="642"/>
        <v>-0.45469855170090751</v>
      </c>
      <c r="HR325" s="54">
        <f>IF($J325="",#N/A,SUM($HQ$4:HQ325))</f>
        <v>-12.815792207678484</v>
      </c>
      <c r="HS325" s="54" t="str">
        <f t="shared" si="643"/>
        <v/>
      </c>
      <c r="HT325" s="54">
        <f>IF($J325="",#N/A,SUM($HS$4:HS325))</f>
        <v>15.888216572562301</v>
      </c>
      <c r="HU325" s="65">
        <f t="shared" si="644"/>
        <v>-0.1291119344335922</v>
      </c>
      <c r="HV325" s="65">
        <f>IF($J325="",#N/A,SUM(HU$4:$HU325))</f>
        <v>14.200007395128306</v>
      </c>
    </row>
    <row r="326" spans="1:230" x14ac:dyDescent="0.25">
      <c r="A326" s="51" t="s">
        <v>694</v>
      </c>
      <c r="B326" s="52" t="s">
        <v>4599</v>
      </c>
      <c r="C326" s="229">
        <f t="shared" si="545"/>
        <v>3</v>
      </c>
      <c r="D326" s="219" t="str">
        <f>_xlfn.XLOOKUP(A326,[1]SP500!$A$2:$A$502,[1]SP500!$D$2:$D$502,"N")</f>
        <v>Y</v>
      </c>
      <c r="E326" s="51" t="str">
        <f>IFERROR(_xlfn.XLOOKUP(A326,[1]SP500!$A$2:$A$655,[1]SP500!$B$2:$B$655),"")</f>
        <v>XLV</v>
      </c>
      <c r="F326" s="290">
        <v>45785</v>
      </c>
      <c r="G326" s="51" t="str">
        <f t="shared" si="546"/>
        <v>AMC</v>
      </c>
      <c r="H326" s="51" t="str">
        <f t="shared" si="547"/>
        <v>s</v>
      </c>
      <c r="I326" s="344">
        <v>66.63</v>
      </c>
      <c r="J326" s="124">
        <v>67.959999999999994</v>
      </c>
      <c r="K326" s="55">
        <f t="shared" si="548"/>
        <v>1.9960978538195985E-2</v>
      </c>
      <c r="L326" s="67">
        <f t="shared" si="549"/>
        <v>23.940000000000055</v>
      </c>
      <c r="M326" s="57">
        <f t="shared" si="550"/>
        <v>26.460000000000264</v>
      </c>
      <c r="N326" s="102">
        <f t="shared" si="551"/>
        <v>23.940000000000055</v>
      </c>
      <c r="O326" s="57">
        <f>IF(N326="",#N/A,SUM($N$4:N326))</f>
        <v>1058.364375561624</v>
      </c>
      <c r="P326" s="65">
        <f t="shared" si="645"/>
        <v>0.33268297563660093</v>
      </c>
      <c r="Q326" s="172">
        <f>IF($N326="",#N/A,SUM($P$4:P326))</f>
        <v>19.609060099731675</v>
      </c>
      <c r="R326" s="279">
        <f t="shared" si="552"/>
        <v>5.742212277339382</v>
      </c>
      <c r="S326" s="51" t="str">
        <f t="shared" si="553"/>
        <v>SW</v>
      </c>
      <c r="T326" s="51" t="s">
        <v>2828</v>
      </c>
      <c r="U326" s="56">
        <f t="shared" si="554"/>
        <v>66.63</v>
      </c>
      <c r="V326" s="56" t="s">
        <v>4460</v>
      </c>
      <c r="W326" s="142">
        <v>18</v>
      </c>
      <c r="X326" s="145">
        <f t="shared" si="555"/>
        <v>1199.3399999999999</v>
      </c>
      <c r="Y326" s="140">
        <f t="shared" si="556"/>
        <v>18</v>
      </c>
      <c r="Z326" s="123">
        <v>69.430000000000007</v>
      </c>
      <c r="AA326" s="102">
        <f t="shared" si="557"/>
        <v>50.400000000000318</v>
      </c>
      <c r="AB326" s="102">
        <f t="shared" si="558"/>
        <v>64.800000000000182</v>
      </c>
      <c r="AC326" s="124">
        <v>70.23</v>
      </c>
      <c r="AD326" s="155">
        <f t="shared" si="559"/>
        <v>64.800000000000182</v>
      </c>
      <c r="AE326" s="545">
        <f t="shared" si="560"/>
        <v>0.90049527239982252</v>
      </c>
      <c r="AF326" s="57">
        <f>IF($AC326="",#N/A,SUM(AD$4:AD326))</f>
        <v>927.06239714744868</v>
      </c>
      <c r="AG326" s="102">
        <f t="shared" si="561"/>
        <v>40.860000000000127</v>
      </c>
      <c r="AH326" s="56" t="s">
        <v>2507</v>
      </c>
      <c r="AI326" s="65">
        <f t="shared" si="562"/>
        <v>0.70038521186653113</v>
      </c>
      <c r="AJ326" s="108">
        <f>IF(AI326="",#N/A,SUM($AI$4:AI326))</f>
        <v>13.866847822392293</v>
      </c>
      <c r="AK326" s="57">
        <f t="shared" si="563"/>
        <v>50.400000000000318</v>
      </c>
      <c r="AL326" s="66">
        <f>IF(AI326="",#N/A,IF(AH326="Skip",SUM($AK$4:AK326),SUM($AK$4:AK326)))</f>
        <v>670.01236927848186</v>
      </c>
      <c r="AM326" s="65">
        <f t="shared" si="646"/>
        <v>0.90049527239982252</v>
      </c>
      <c r="AN326" s="209"/>
      <c r="AO326" s="65">
        <f t="shared" si="564"/>
        <v>0.90049527239982252</v>
      </c>
      <c r="AP326" s="65">
        <f>IF($AC326="",#N/A,SUM(AO$4:AO326))</f>
        <v>14.626199031200546</v>
      </c>
      <c r="AQ326" s="65" t="str">
        <f t="shared" si="565"/>
        <v/>
      </c>
      <c r="AR326" s="65">
        <f>IF($AC326="",#N/A,SUM(AQ$4:AQ326))</f>
        <v>-5.1272933549890007</v>
      </c>
      <c r="AS326" s="65" t="str">
        <f t="shared" si="566"/>
        <v/>
      </c>
      <c r="AT326" s="65">
        <f>IF($AC326="",#N/A,SUM(AS$4:AS326))</f>
        <v>5.601596991316578</v>
      </c>
      <c r="AU326" s="57">
        <f t="shared" ref="AU326:AU389" si="647">IF(AND(S326="SW",BF326="Long"),$AD326,"")</f>
        <v>64.800000000000182</v>
      </c>
      <c r="AV326" s="57">
        <f>IF($AC326="",#N/A,SUM(AU$4:AU326))</f>
        <v>869.71627194988037</v>
      </c>
      <c r="AW326" s="57" t="str">
        <f t="shared" ref="AW326:AW389" si="648">IF(AND(S326="UP",BF326="Long"),$AD326,"")</f>
        <v/>
      </c>
      <c r="AX326" s="57">
        <f>IF($AC326="",#N/A,SUM(AW$4:AW326))</f>
        <v>-340.17106797961105</v>
      </c>
      <c r="AY326" s="57" t="str">
        <f t="shared" ref="AY326:AY389" si="649">IF(AND(S326="Dwn",BF326="Short"),$AD326,"")</f>
        <v/>
      </c>
      <c r="AZ326" s="57">
        <f>IF($AC326="",#N/A,SUM(AY$4:AY326))</f>
        <v>397.51719317717937</v>
      </c>
      <c r="BA326" s="57">
        <f>IF(AD326="",#N/A,SUM($AD$4:AD326))</f>
        <v>927.06239714744868</v>
      </c>
      <c r="BC326" s="51" t="str">
        <f t="shared" si="567"/>
        <v/>
      </c>
      <c r="BD326" s="51" t="str">
        <f t="shared" si="568"/>
        <v/>
      </c>
      <c r="BE326" s="51">
        <f t="shared" si="569"/>
        <v>1</v>
      </c>
      <c r="BF326" s="51" t="str">
        <f t="shared" si="570"/>
        <v>Long</v>
      </c>
      <c r="BG326" s="51" t="str">
        <f t="shared" si="571"/>
        <v/>
      </c>
      <c r="BH326" s="51" t="str">
        <f t="shared" si="572"/>
        <v/>
      </c>
      <c r="BI326" s="51" t="str">
        <f t="shared" si="573"/>
        <v/>
      </c>
      <c r="BK326" s="65">
        <f t="shared" si="544"/>
        <v>0.11775756326107974</v>
      </c>
      <c r="BL326" s="65">
        <f t="shared" si="543"/>
        <v>0.41997380538634166</v>
      </c>
      <c r="BM326" s="65">
        <f>IFERROR(Q326/COUNTA($J$4:J326),#N/A)</f>
        <v>6.0709164395454103E-2</v>
      </c>
      <c r="BO326" s="489">
        <f>IF(J326="",#N/A,IF(S326="SW",(COUNTIFS(K$4:$K326,"&gt;0",S$4:$S326,"SW")/COUNTIF(S$4:$S326,"SW")),#N/A))</f>
        <v>0.51655629139072845</v>
      </c>
      <c r="BP326" s="489" t="e">
        <f>IF($J326="",#N/A,IF($S326="DWN",(COUNTIFS($K$4:$K326,"&lt;0",$S$4:$S326,"DWN")/COUNTIF($S$4:$S326,"DWN")),#N/A))</f>
        <v>#N/A</v>
      </c>
      <c r="BQ326" s="489" t="e">
        <f>IF($J326="",#N/A,IF($S326="UP",(COUNTIFS($K$4:$K326,"&gt;0",$S$4:$S326,"UP")/COUNTIF($S$4:$S326,"UP")),#N/A))</f>
        <v>#N/A</v>
      </c>
      <c r="BR326" s="489">
        <f>IF(J326="",#N/A,COUNTIF($K$4:K326,"&gt;0")/COUNT($J$4:J326))</f>
        <v>0.47368421052631576</v>
      </c>
      <c r="BS326" s="65">
        <f t="shared" si="574"/>
        <v>0.33268297563660093</v>
      </c>
      <c r="BT326" s="65" t="str">
        <f t="shared" si="575"/>
        <v/>
      </c>
      <c r="BU326" s="65" t="str">
        <f t="shared" si="576"/>
        <v/>
      </c>
      <c r="BV326" s="65" t="str">
        <f t="shared" si="577"/>
        <v/>
      </c>
      <c r="BW326" s="128" t="str">
        <f t="shared" si="578"/>
        <v/>
      </c>
      <c r="BX326" s="128">
        <f>IF($J326="",#N/A,SUM($BW$4:BW326))</f>
        <v>-265.49317034792875</v>
      </c>
      <c r="BY326" s="131" t="str">
        <f t="shared" si="579"/>
        <v/>
      </c>
      <c r="BZ326" s="131">
        <f>IF($J326="",#N/A,SUM($BY$4:BY326))</f>
        <v>705.23161346139443</v>
      </c>
      <c r="CA326" s="133">
        <f t="shared" si="580"/>
        <v>23.940000000000055</v>
      </c>
      <c r="CB326" s="133">
        <f>IF($J326="",#N/A,SUM($CA$4:CA326))</f>
        <v>618.62593244815821</v>
      </c>
      <c r="CC326" s="194" t="str">
        <f t="shared" si="581"/>
        <v/>
      </c>
      <c r="CD326" s="194">
        <f>IF($J326="",#N/A,SUM($CC$4:CC326))</f>
        <v>-4.1583836998562527</v>
      </c>
      <c r="CE326" s="195" t="str">
        <f t="shared" si="582"/>
        <v/>
      </c>
      <c r="CF326" s="195">
        <f>IF($J326="",#N/A,SUM($CE$4:CE326))</f>
        <v>12.26553396286744</v>
      </c>
      <c r="CG326" s="196">
        <f t="shared" si="583"/>
        <v>0.33268297563660093</v>
      </c>
      <c r="CH326" s="196">
        <f>IF($J326="",#N/A,SUM($CG$4:CG326))</f>
        <v>11.501909836720493</v>
      </c>
      <c r="CI326" s="200" t="str">
        <f t="shared" si="584"/>
        <v/>
      </c>
      <c r="CJ326" s="203">
        <f>IF($J326="",#N/A,SUM(CI$4:CI326))</f>
        <v>0</v>
      </c>
      <c r="CK326" s="204" t="str">
        <f t="shared" si="585"/>
        <v/>
      </c>
      <c r="CL326" s="204">
        <f>IF($J326="",#N/A,SUM(CK$4:CK326))</f>
        <v>2.8845415791335349</v>
      </c>
      <c r="CM326" s="205" t="str">
        <f t="shared" si="586"/>
        <v/>
      </c>
      <c r="CN326" s="205">
        <f>IF($J326="",#N/A,SUM(CM$4:CM326))</f>
        <v>1.6494621984783118</v>
      </c>
      <c r="CO326" s="205">
        <f>IF($J326="",#N/A,SUM(CM$4:CM326,CK$4:CK326,CI$4:CI326))</f>
        <v>4.5340037776118471</v>
      </c>
      <c r="CP326" s="200" t="str">
        <f t="shared" si="587"/>
        <v/>
      </c>
      <c r="CQ326" s="203">
        <f>IF($J326="",#N/A,SUM(CP$4:CP326))</f>
        <v>-2.5399197875602422</v>
      </c>
      <c r="CR326" s="204" t="str">
        <f t="shared" si="588"/>
        <v/>
      </c>
      <c r="CS326" s="204">
        <f>IF($J326="",#N/A,SUM(CR$4:CR326))</f>
        <v>2.3600225017004668</v>
      </c>
      <c r="CT326" s="205" t="str">
        <f t="shared" si="589"/>
        <v/>
      </c>
      <c r="CU326" s="205">
        <f>IF($J326="",#N/A,SUM(CT$4:CT326))</f>
        <v>-0.35196499572459283</v>
      </c>
      <c r="CV326" s="205">
        <f>IF($J326="",#N/A,SUM(CT$4:CT326,CR$4:CR326,CP$4:CP326))</f>
        <v>-0.53186228158436855</v>
      </c>
      <c r="CW326" s="200" t="str">
        <f t="shared" si="590"/>
        <v/>
      </c>
      <c r="CX326" s="203">
        <f>IF($J326="",#N/A,SUM(CW$4:CW326))</f>
        <v>-0.29399505935581682</v>
      </c>
      <c r="CY326" s="204" t="str">
        <f t="shared" si="591"/>
        <v/>
      </c>
      <c r="CZ326" s="204">
        <f>IF($J326="",#N/A,SUM(CY$4:CY326))</f>
        <v>-0.20119965665334139</v>
      </c>
      <c r="DA326" s="205" t="str">
        <f t="shared" si="592"/>
        <v/>
      </c>
      <c r="DB326" s="205">
        <f>IF($J326="",#N/A,SUM(DA$4:DA326))</f>
        <v>-2.7756316087437582</v>
      </c>
      <c r="DC326" s="205">
        <f>IF($J326="",#N/A,SUM(DA$4:DA326,CY$4:CY326,CW$4:CW326))</f>
        <v>-3.2708263247529161</v>
      </c>
      <c r="DD326" s="200" t="str">
        <f t="shared" si="593"/>
        <v/>
      </c>
      <c r="DE326" s="203">
        <f>IF($J326="",#N/A,SUM(DD$4:DD326))</f>
        <v>1.2501454750716789</v>
      </c>
      <c r="DF326" s="204" t="str">
        <f t="shared" si="594"/>
        <v/>
      </c>
      <c r="DG326" s="204">
        <f>IF($J326="",#N/A,SUM(DF$4:DF326))</f>
        <v>2.626961496209514</v>
      </c>
      <c r="DH326" s="205" t="str">
        <f t="shared" si="595"/>
        <v/>
      </c>
      <c r="DI326" s="205">
        <f>IF($J326="",#N/A,SUM(DH$4:DH326))</f>
        <v>-2.7812008102163399</v>
      </c>
      <c r="DJ326" s="205">
        <f>IF($J326="",#N/A,SUM(DH$4:DH326,DF$4:DF326,DD$4:DD326))</f>
        <v>1.0959061610648531</v>
      </c>
      <c r="DK326" s="200" t="str">
        <f t="shared" si="596"/>
        <v/>
      </c>
      <c r="DL326" s="203">
        <f>IF($J326="",#N/A,SUM(DK$4:DK326))</f>
        <v>-0.84049791589649614</v>
      </c>
      <c r="DM326" s="204" t="str">
        <f t="shared" si="597"/>
        <v/>
      </c>
      <c r="DN326" s="204">
        <f>IF($J326="",#N/A,SUM(DM$4:DM326))</f>
        <v>1.8657648196498773</v>
      </c>
      <c r="DO326" s="205" t="str">
        <f t="shared" si="598"/>
        <v/>
      </c>
      <c r="DP326" s="205">
        <f>IF($J326="",#N/A,SUM(DO$4:DO326))</f>
        <v>2.700331529683047</v>
      </c>
      <c r="DQ326" s="205">
        <f>IF($J326="",#N/A,SUM(DO$4:DO326,DM$4:DM326,DK$4:DK326))</f>
        <v>3.7255984334364292</v>
      </c>
      <c r="DR326" s="200" t="str">
        <f t="shared" si="599"/>
        <v/>
      </c>
      <c r="DS326" s="203">
        <f>IF($J326="",#N/A,SUM(DR$4:DR326))</f>
        <v>-0.55950946427675097</v>
      </c>
      <c r="DT326" s="204" t="str">
        <f t="shared" si="600"/>
        <v/>
      </c>
      <c r="DU326" s="204">
        <f>IF($J326="",#N/A,SUM(DT$4:DT326))</f>
        <v>-0.20750635820596686</v>
      </c>
      <c r="DV326" s="205" t="str">
        <f t="shared" si="601"/>
        <v/>
      </c>
      <c r="DW326" s="205">
        <f>IF($J326="",#N/A,SUM(DV$4:DV326))</f>
        <v>-2.3377035686214001</v>
      </c>
      <c r="DX326" s="205">
        <f>IF($J326="",#N/A,SUM(DV$4:DV326,DT$4:DT326,DR$4:DR326))</f>
        <v>-3.1047193911041169</v>
      </c>
      <c r="DY326" s="200" t="str">
        <f t="shared" si="602"/>
        <v/>
      </c>
      <c r="DZ326" s="203">
        <f>IF($J326="",#N/A,SUM(DY$4:DY326))</f>
        <v>-1.6284722482776204</v>
      </c>
      <c r="EA326" s="204" t="str">
        <f t="shared" si="603"/>
        <v/>
      </c>
      <c r="EB326" s="204">
        <f>IF($J326="",#N/A,SUM(EA$4:EA326))</f>
        <v>2.276197208799712</v>
      </c>
      <c r="EC326" s="205" t="str">
        <f t="shared" si="604"/>
        <v/>
      </c>
      <c r="ED326" s="205">
        <f>IF($J326="",#N/A,SUM(EC$4:EC326))</f>
        <v>8.6307007550759458</v>
      </c>
      <c r="EE326" s="205">
        <f>IF($J326="",#N/A,SUM(EC$4:EC326,EA$4:EA326,DY$4:DY326))</f>
        <v>9.2784257155980399</v>
      </c>
      <c r="EF326" s="200" t="str">
        <f t="shared" si="605"/>
        <v/>
      </c>
      <c r="EG326" s="203">
        <f>IF($J326="",#N/A,SUM(EF$4:EF326))</f>
        <v>0.65848341369884777</v>
      </c>
      <c r="EH326" s="204" t="str">
        <f t="shared" si="606"/>
        <v/>
      </c>
      <c r="EI326" s="204">
        <f>IF($J326="",#N/A,SUM(EH$4:EH326))</f>
        <v>-3.5125331561187787</v>
      </c>
      <c r="EJ326" s="205">
        <f t="shared" si="607"/>
        <v>0.33268297563660093</v>
      </c>
      <c r="EK326" s="205">
        <f>IF($J326="",#N/A,SUM(EJ$4:EJ326))</f>
        <v>7.7196470241767461</v>
      </c>
      <c r="EL326" s="205">
        <f>IF($J326="",#N/A,SUM(EJ$4:EJ326,EH$4:EH326,EF$4:EF326))</f>
        <v>4.8655972817568163</v>
      </c>
      <c r="EM326" s="200" t="str">
        <f t="shared" si="608"/>
        <v/>
      </c>
      <c r="EN326" s="203">
        <f>IF($J326="",#N/A,SUM(EM$4:EM326))</f>
        <v>0</v>
      </c>
      <c r="EO326" s="204" t="str">
        <f t="shared" si="609"/>
        <v/>
      </c>
      <c r="EP326" s="204">
        <f>IF($J326="",#N/A,SUM(EO$4:EO326))</f>
        <v>2.4788862078089964</v>
      </c>
      <c r="EQ326" s="205" t="str">
        <f t="shared" si="610"/>
        <v/>
      </c>
      <c r="ER326" s="205">
        <f>IF($J326="",#N/A,SUM(EQ$4:EQ326))</f>
        <v>2.6983279209445628</v>
      </c>
      <c r="ES326" s="205">
        <f>IF($J326="",#N/A,SUM(EQ$4:EQ326,EO$4:EO326,EM$4:EM326))</f>
        <v>5.1772141287535591</v>
      </c>
      <c r="ET326" s="200" t="str">
        <f t="shared" si="611"/>
        <v/>
      </c>
      <c r="EU326" s="203">
        <f>IF($J326="",#N/A,SUM(ET$4:ET326))</f>
        <v>0</v>
      </c>
      <c r="EV326" s="204" t="str">
        <f t="shared" si="612"/>
        <v/>
      </c>
      <c r="EW326" s="204">
        <f>IF($J326="",#N/A,SUM(EV$4:EV326))</f>
        <v>2.3210103028360365</v>
      </c>
      <c r="EX326" s="205" t="str">
        <f t="shared" si="613"/>
        <v/>
      </c>
      <c r="EY326" s="205">
        <f>IF($J326="",#N/A,SUM(EX$4:EX326))</f>
        <v>0.27113250180669229</v>
      </c>
      <c r="EZ326" s="205">
        <f>IF($J326="",#N/A,SUM(EX$4:EX326,EV$4:EV326,ET$4:ET326))</f>
        <v>2.5921428046427284</v>
      </c>
      <c r="FA326" s="200" t="str">
        <f t="shared" si="614"/>
        <v/>
      </c>
      <c r="FB326" s="203">
        <f>IF($J326="",#N/A,SUM(FA$4:FA326))</f>
        <v>-0.27145310509113252</v>
      </c>
      <c r="FC326" s="204" t="str">
        <f t="shared" si="615"/>
        <v/>
      </c>
      <c r="FD326" s="204">
        <f>IF($J326="",#N/A,SUM(FC$4:FC326))</f>
        <v>0.89084290967454072</v>
      </c>
      <c r="FE326" s="205" t="str">
        <f t="shared" si="616"/>
        <v/>
      </c>
      <c r="FF326" s="205">
        <f>IF($J326="",#N/A,SUM(FE$4:FE326))</f>
        <v>-0.28811149078748233</v>
      </c>
      <c r="FG326" s="205">
        <f>IF($J326="",#N/A,SUM(FE$4:FE326,FC$4:FC326,FA$4:FA326))</f>
        <v>0.3312783137959262</v>
      </c>
      <c r="FH326" s="200" t="str">
        <f t="shared" si="617"/>
        <v/>
      </c>
      <c r="FI326" s="203">
        <f>IF($J326="",#N/A,SUM(FH$4:FH326))</f>
        <v>0</v>
      </c>
      <c r="FJ326" s="204" t="str">
        <f t="shared" si="618"/>
        <v/>
      </c>
      <c r="FK326" s="204">
        <f>IF($J326="",#N/A,SUM(FJ$4:FJ326))</f>
        <v>0</v>
      </c>
      <c r="FL326" s="205" t="str">
        <f t="shared" si="619"/>
        <v/>
      </c>
      <c r="FM326" s="205">
        <f>IF($J326="",#N/A,SUM(FL$4:FL326))</f>
        <v>0</v>
      </c>
      <c r="FN326" s="205">
        <f>IF($J326="",#N/A,SUM(FL$4:FL326,FJ$4:FJ326,FH$4:FH326))</f>
        <v>0</v>
      </c>
      <c r="FO326" s="200" t="str">
        <f t="shared" si="620"/>
        <v/>
      </c>
      <c r="FP326" s="203">
        <f>IF($J326="",#N/A,SUM(FO$4:FO326))</f>
        <v>0</v>
      </c>
      <c r="FQ326" s="204" t="str">
        <f t="shared" si="621"/>
        <v/>
      </c>
      <c r="FR326" s="204">
        <f>IF($J326="",#N/A,SUM(FQ$4:FQ326))</f>
        <v>0</v>
      </c>
      <c r="FS326" s="205" t="str">
        <f t="shared" si="622"/>
        <v/>
      </c>
      <c r="FT326" s="205">
        <f>IF($J326="",#N/A,SUM(FS$4:FS326))</f>
        <v>0</v>
      </c>
      <c r="FU326" s="205">
        <f>IF($J326="",#N/A,SUM(FS$4:FS326,FQ$4:FQ326,FO$4:FO326))</f>
        <v>0</v>
      </c>
      <c r="FV326" s="200" t="str">
        <f t="shared" si="623"/>
        <v/>
      </c>
      <c r="FW326" s="203">
        <f>IF($J326="",#N/A,SUM(FV$4:FV326))</f>
        <v>6.6834991831277585E-2</v>
      </c>
      <c r="FX326" s="204" t="str">
        <f t="shared" si="624"/>
        <v/>
      </c>
      <c r="FY326" s="204">
        <f>IF($J326="",#N/A,SUM(FX$4:FX326))</f>
        <v>-0.16102012791805576</v>
      </c>
      <c r="FZ326" s="205" t="str">
        <f t="shared" si="625"/>
        <v/>
      </c>
      <c r="GA326" s="205">
        <f>IF($J326="",#N/A,SUM(FZ$4:FZ326))</f>
        <v>-0.69624339162892301</v>
      </c>
      <c r="GB326" s="205">
        <f>IF($J326="",#N/A,SUM(FZ$4:FZ326,FX$4:FX326,FV$4:FV326))</f>
        <v>-0.79042852771570116</v>
      </c>
      <c r="GC326" s="200" t="str">
        <f t="shared" si="626"/>
        <v/>
      </c>
      <c r="GD326" s="203">
        <f>IF($J326="",#N/A,SUM(GC$4:GC326))</f>
        <v>0</v>
      </c>
      <c r="GE326" s="204" t="str">
        <f t="shared" si="627"/>
        <v/>
      </c>
      <c r="GF326" s="204">
        <f>IF($J326="",#N/A,SUM(GE$4:GE326))</f>
        <v>0</v>
      </c>
      <c r="GG326" s="205" t="str">
        <f t="shared" si="628"/>
        <v/>
      </c>
      <c r="GH326" s="205">
        <f>IF($J326="",#N/A,SUM(GG$4:GG326))</f>
        <v>-2.9368362277223206</v>
      </c>
      <c r="GI326" s="205">
        <f>IF($J326="",#N/A,SUM(GG$4:GG326,GE$4:GE326,GC$4:GC326))</f>
        <v>-2.9368362277223206</v>
      </c>
      <c r="GJ326" s="200" t="str">
        <f t="shared" si="629"/>
        <v/>
      </c>
      <c r="GK326" s="203">
        <f>IF($J326="",#N/A,SUM(GJ$4:GJ326))</f>
        <v>0</v>
      </c>
      <c r="GL326" s="204" t="str">
        <f t="shared" si="630"/>
        <v/>
      </c>
      <c r="GM326" s="204">
        <f>IF($J326="",#N/A,SUM(GL$4:GL326))</f>
        <v>-1.6833790887309608</v>
      </c>
      <c r="GN326" s="205" t="str">
        <f t="shared" si="631"/>
        <v/>
      </c>
      <c r="GO326" s="205">
        <f>IF($J326="",#N/A,SUM(GN$4:GN326))</f>
        <v>0</v>
      </c>
      <c r="GP326" s="205">
        <f>IF($J326="",#N/A,SUM(GN$4:GN326,GL$4:GL326,GJ$4:GJ326))</f>
        <v>-1.6833790887309608</v>
      </c>
      <c r="GS326" s="54">
        <f t="shared" ref="GS326:GS389" si="650">IF(J326="","",IF(D326="Y",P326,""))</f>
        <v>0.33268297563660093</v>
      </c>
      <c r="GT326" s="54">
        <f>IF(GS326="",NA(),SUM($GS$4:GS326))</f>
        <v>13.791865033218475</v>
      </c>
      <c r="GU326" s="54" t="str">
        <f t="shared" si="632"/>
        <v/>
      </c>
      <c r="GV326" s="54" t="e">
        <f>IF(GU326="",NA(),SUM($GU$4:GU326))</f>
        <v>#N/A</v>
      </c>
      <c r="GW326" s="54">
        <f t="shared" si="633"/>
        <v>0.33268297563660093</v>
      </c>
      <c r="GX326" s="54">
        <f>IF(GW326="",NA(),SUM($GW$4:GW326))</f>
        <v>10.487921346185205</v>
      </c>
      <c r="GY326" s="54" t="str">
        <f t="shared" si="634"/>
        <v/>
      </c>
      <c r="GZ326" s="54" t="e">
        <f>IF(GY326="",NA(),SUM($GY$4:GY326))</f>
        <v>#N/A</v>
      </c>
      <c r="HA326" s="54" t="str">
        <f t="shared" si="635"/>
        <v/>
      </c>
      <c r="HB326" s="54" t="e">
        <f>IF(HA326="",NA(),SUM($HA$4:HA326))</f>
        <v>#N/A</v>
      </c>
      <c r="HC326" s="54" t="str">
        <f t="shared" si="636"/>
        <v/>
      </c>
      <c r="HD326" s="54" t="e">
        <f>IF(HC326="",NA(),SUM($HC$4:HC326))</f>
        <v>#N/A</v>
      </c>
      <c r="HE326" s="54" t="str">
        <f t="shared" si="637"/>
        <v/>
      </c>
      <c r="HF326" s="54" t="e">
        <f>IF(HE326="",NA(),SUM($HE$4:HE326))</f>
        <v>#N/A</v>
      </c>
      <c r="HG326" s="54" t="str">
        <f t="shared" si="638"/>
        <v/>
      </c>
      <c r="HH326" s="54" t="e">
        <f>IF(HG326="",NA(),SUM($HG$4:HG326))</f>
        <v>#N/A</v>
      </c>
      <c r="HI326" s="172" t="str">
        <f t="shared" ref="HI326:HI389" si="651">IF($AC326="","",IF(AND($S326="Dwn",$K326&lt;0),$HU326-P326,""))</f>
        <v/>
      </c>
      <c r="HJ326" s="172">
        <f>IF($J326="",#N/A,SUM(HI$4:$HI326))</f>
        <v>-8.7289352510103964</v>
      </c>
      <c r="HK326" s="54" t="str">
        <f t="shared" si="639"/>
        <v/>
      </c>
      <c r="HL326" s="54">
        <f>IF($J326="",#N/A,SUM($HK$4:HK326))</f>
        <v>2.0649982794595436</v>
      </c>
      <c r="HM326" s="54" t="str">
        <f t="shared" si="640"/>
        <v/>
      </c>
      <c r="HN326" s="54">
        <f>IF($J326="",#N/A,SUM($HM$4:HM326))</f>
        <v>-0.27414712288080484</v>
      </c>
      <c r="HO326" s="54" t="str">
        <f t="shared" si="641"/>
        <v/>
      </c>
      <c r="HP326" s="54">
        <f>IF($J326="",#N/A,SUM($HO$4:HO326))</f>
        <v>-0.69476253225193951</v>
      </c>
      <c r="HQ326" s="54">
        <f t="shared" si="642"/>
        <v>0.56781229676322154</v>
      </c>
      <c r="HR326" s="54">
        <f>IF($J326="",#N/A,SUM($HQ$4:HQ326))</f>
        <v>-12.247979910915262</v>
      </c>
      <c r="HS326" s="54" t="str">
        <f t="shared" si="643"/>
        <v/>
      </c>
      <c r="HT326" s="54">
        <f>IF($J326="",#N/A,SUM($HS$4:HS326))</f>
        <v>15.888216572562301</v>
      </c>
      <c r="HU326" s="65">
        <f t="shared" si="644"/>
        <v>0.90049527239982252</v>
      </c>
      <c r="HV326" s="65">
        <f>IF($J326="",#N/A,SUM(HU$4:$HU326))</f>
        <v>15.100502667528129</v>
      </c>
    </row>
    <row r="327" spans="1:230" x14ac:dyDescent="0.25">
      <c r="A327" s="51" t="s">
        <v>989</v>
      </c>
      <c r="B327" s="52" t="s">
        <v>4599</v>
      </c>
      <c r="C327" s="229">
        <f t="shared" si="545"/>
        <v>3</v>
      </c>
      <c r="D327" s="219" t="str">
        <f>_xlfn.XLOOKUP(A327,[1]SP500!$A$2:$A$502,[1]SP500!$D$2:$D$502,"N")</f>
        <v>N</v>
      </c>
      <c r="E327" s="51" t="str">
        <f>IFERROR(_xlfn.XLOOKUP(A327,[1]SP500!$A$2:$A$655,[1]SP500!$B$2:$B$655),"")</f>
        <v/>
      </c>
      <c r="F327" s="290">
        <v>45785</v>
      </c>
      <c r="G327" s="51" t="str">
        <f t="shared" si="546"/>
        <v>AMC</v>
      </c>
      <c r="H327" s="51" t="str">
        <f t="shared" si="547"/>
        <v>s</v>
      </c>
      <c r="I327" s="344">
        <v>6.7</v>
      </c>
      <c r="J327" s="124">
        <v>6.03</v>
      </c>
      <c r="K327" s="55">
        <f t="shared" si="548"/>
        <v>-9.9999999999999992E-2</v>
      </c>
      <c r="L327" s="67">
        <f t="shared" si="549"/>
        <v>-117.25</v>
      </c>
      <c r="M327" s="57">
        <f t="shared" si="550"/>
        <v>-5.25</v>
      </c>
      <c r="N327" s="102">
        <f t="shared" si="551"/>
        <v>-117.25</v>
      </c>
      <c r="O327" s="57">
        <f>IF(N327="",#N/A,SUM($N$4:N327))</f>
        <v>941.114375561624</v>
      </c>
      <c r="P327" s="65">
        <f t="shared" si="645"/>
        <v>-1.6666666666666667</v>
      </c>
      <c r="Q327" s="172">
        <f>IF($N327="",#N/A,SUM($P$4:P327))</f>
        <v>17.942393433065007</v>
      </c>
      <c r="R327" s="279">
        <f t="shared" si="552"/>
        <v>5.8168391430110233</v>
      </c>
      <c r="S327" s="51" t="str">
        <f t="shared" si="553"/>
        <v>SW</v>
      </c>
      <c r="T327" s="51" t="s">
        <v>2828</v>
      </c>
      <c r="U327" s="56">
        <f t="shared" si="554"/>
        <v>6.7</v>
      </c>
      <c r="V327" s="56" t="s">
        <v>4460</v>
      </c>
      <c r="W327" s="142">
        <v>175</v>
      </c>
      <c r="X327" s="145">
        <f t="shared" si="555"/>
        <v>1172.5</v>
      </c>
      <c r="Y327" s="140">
        <f t="shared" si="556"/>
        <v>175</v>
      </c>
      <c r="Z327" s="123">
        <v>6</v>
      </c>
      <c r="AA327" s="102">
        <f t="shared" si="557"/>
        <v>-122.5</v>
      </c>
      <c r="AB327" s="102">
        <f t="shared" si="558"/>
        <v>-229.25</v>
      </c>
      <c r="AC327" s="124">
        <v>5.39</v>
      </c>
      <c r="AD327" s="155">
        <f t="shared" si="559"/>
        <v>-229.25</v>
      </c>
      <c r="AE327" s="545">
        <f t="shared" si="560"/>
        <v>-3.2587064676616917</v>
      </c>
      <c r="AF327" s="57">
        <f>IF($AC327="",#N/A,SUM(AD$4:AD327))</f>
        <v>697.81239714744868</v>
      </c>
      <c r="AG327" s="102">
        <f t="shared" si="561"/>
        <v>-112</v>
      </c>
      <c r="AH327" s="56" t="s">
        <v>2507</v>
      </c>
      <c r="AI327" s="65">
        <f t="shared" si="562"/>
        <v>-1.7412935323383085</v>
      </c>
      <c r="AJ327" s="108">
        <f>IF(AI327="",#N/A,SUM($AI$4:AI327))</f>
        <v>12.125554290053984</v>
      </c>
      <c r="AK327" s="57">
        <f t="shared" si="563"/>
        <v>-122.5</v>
      </c>
      <c r="AL327" s="66">
        <f>IF(AI327="",#N/A,IF(AH327="Skip",SUM($AK$4:AK327),SUM($AK$4:AK327)))</f>
        <v>547.51236927848186</v>
      </c>
      <c r="AM327" s="65">
        <f t="shared" si="646"/>
        <v>-3.2587064676616917</v>
      </c>
      <c r="AN327" s="209"/>
      <c r="AO327" s="65">
        <f t="shared" si="564"/>
        <v>-3.2587064676616917</v>
      </c>
      <c r="AP327" s="65">
        <f>IF($AC327="",#N/A,SUM(AO$4:AO327))</f>
        <v>11.367492563538853</v>
      </c>
      <c r="AQ327" s="65" t="str">
        <f t="shared" si="565"/>
        <v/>
      </c>
      <c r="AR327" s="65">
        <f>IF($AC327="",#N/A,SUM(AQ$4:AQ327))</f>
        <v>-5.1272933549890007</v>
      </c>
      <c r="AS327" s="65" t="str">
        <f t="shared" si="566"/>
        <v/>
      </c>
      <c r="AT327" s="65">
        <f>IF($AC327="",#N/A,SUM(AS$4:AS327))</f>
        <v>5.601596991316578</v>
      </c>
      <c r="AU327" s="57">
        <f t="shared" si="647"/>
        <v>-229.25</v>
      </c>
      <c r="AV327" s="57">
        <f>IF($AC327="",#N/A,SUM(AU$4:AU327))</f>
        <v>640.46627194988037</v>
      </c>
      <c r="AW327" s="57" t="str">
        <f t="shared" si="648"/>
        <v/>
      </c>
      <c r="AX327" s="57">
        <f>IF($AC327="",#N/A,SUM(AW$4:AW327))</f>
        <v>-340.17106797961105</v>
      </c>
      <c r="AY327" s="57" t="str">
        <f t="shared" si="649"/>
        <v/>
      </c>
      <c r="AZ327" s="57">
        <f>IF($AC327="",#N/A,SUM(AY$4:AY327))</f>
        <v>397.51719317717937</v>
      </c>
      <c r="BA327" s="57">
        <f>IF(AD327="",#N/A,SUM($AD$4:AD327))</f>
        <v>697.81239714744868</v>
      </c>
      <c r="BC327" s="51" t="str">
        <f t="shared" si="567"/>
        <v/>
      </c>
      <c r="BD327" s="51" t="str">
        <f t="shared" si="568"/>
        <v/>
      </c>
      <c r="BE327" s="51" t="str">
        <f t="shared" si="569"/>
        <v/>
      </c>
      <c r="BF327" s="51" t="str">
        <f t="shared" si="570"/>
        <v>Long</v>
      </c>
      <c r="BG327" s="51" t="str">
        <f t="shared" si="571"/>
        <v/>
      </c>
      <c r="BH327" s="51" t="str">
        <f t="shared" si="572"/>
        <v/>
      </c>
      <c r="BI327" s="51">
        <f t="shared" si="573"/>
        <v>1</v>
      </c>
      <c r="BK327" s="65">
        <f t="shared" si="544"/>
        <v>9.6509163291197908E-2</v>
      </c>
      <c r="BL327" s="65">
        <f t="shared" si="543"/>
        <v>0.35330713871967495</v>
      </c>
      <c r="BM327" s="65">
        <f>IFERROR(Q327/COUNTA($J$4:J327),#N/A)</f>
        <v>5.5377757509459898E-2</v>
      </c>
      <c r="BO327" s="489">
        <f>IF(J327="",#N/A,IF(S327="SW",(COUNTIFS(K$4:$K327,"&gt;0",S$4:$S327,"SW")/COUNTIF(S$4:$S327,"SW")),#N/A))</f>
        <v>0.51315789473684215</v>
      </c>
      <c r="BP327" s="489" t="e">
        <f>IF($J327="",#N/A,IF($S327="DWN",(COUNTIFS($K$4:$K327,"&lt;0",$S$4:$S327,"DWN")/COUNTIF($S$4:$S327,"DWN")),#N/A))</f>
        <v>#N/A</v>
      </c>
      <c r="BQ327" s="489" t="e">
        <f>IF($J327="",#N/A,IF($S327="UP",(COUNTIFS($K$4:$K327,"&gt;0",$S$4:$S327,"UP")/COUNTIF($S$4:$S327,"UP")),#N/A))</f>
        <v>#N/A</v>
      </c>
      <c r="BR327" s="489">
        <f>IF(J327="",#N/A,COUNTIF($K$4:K327,"&gt;0")/COUNT($J$4:J327))</f>
        <v>0.47222222222222221</v>
      </c>
      <c r="BS327" s="65" t="str">
        <f t="shared" si="574"/>
        <v/>
      </c>
      <c r="BT327" s="65">
        <f t="shared" si="575"/>
        <v>-1.6666666666666667</v>
      </c>
      <c r="BU327" s="65" t="str">
        <f t="shared" si="576"/>
        <v/>
      </c>
      <c r="BV327" s="65" t="str">
        <f t="shared" si="577"/>
        <v/>
      </c>
      <c r="BW327" s="128" t="str">
        <f t="shared" si="578"/>
        <v/>
      </c>
      <c r="BX327" s="128">
        <f>IF($J327="",#N/A,SUM($BW$4:BW327))</f>
        <v>-265.49317034792875</v>
      </c>
      <c r="BY327" s="131" t="str">
        <f t="shared" si="579"/>
        <v/>
      </c>
      <c r="BZ327" s="131">
        <f>IF($J327="",#N/A,SUM($BY$4:BY327))</f>
        <v>705.23161346139443</v>
      </c>
      <c r="CA327" s="133">
        <f t="shared" si="580"/>
        <v>-117.25</v>
      </c>
      <c r="CB327" s="133">
        <f>IF($J327="",#N/A,SUM($CA$4:CA327))</f>
        <v>501.37593244815821</v>
      </c>
      <c r="CC327" s="194" t="str">
        <f t="shared" si="581"/>
        <v/>
      </c>
      <c r="CD327" s="194">
        <f>IF($J327="",#N/A,SUM($CC$4:CC327))</f>
        <v>-4.1583836998562527</v>
      </c>
      <c r="CE327" s="195" t="str">
        <f t="shared" si="582"/>
        <v/>
      </c>
      <c r="CF327" s="195">
        <f>IF($J327="",#N/A,SUM($CE$4:CE327))</f>
        <v>12.26553396286744</v>
      </c>
      <c r="CG327" s="196">
        <f t="shared" si="583"/>
        <v>-1.6666666666666667</v>
      </c>
      <c r="CH327" s="196">
        <f>IF($J327="",#N/A,SUM($CG$4:CG327))</f>
        <v>9.8352431700538272</v>
      </c>
      <c r="CI327" s="200" t="str">
        <f t="shared" si="584"/>
        <v/>
      </c>
      <c r="CJ327" s="203">
        <f>IF($J327="",#N/A,SUM(CI$4:CI327))</f>
        <v>0</v>
      </c>
      <c r="CK327" s="204" t="str">
        <f t="shared" si="585"/>
        <v/>
      </c>
      <c r="CL327" s="204">
        <f>IF($J327="",#N/A,SUM(CK$4:CK327))</f>
        <v>2.8845415791335349</v>
      </c>
      <c r="CM327" s="205" t="str">
        <f t="shared" si="586"/>
        <v/>
      </c>
      <c r="CN327" s="205">
        <f>IF($J327="",#N/A,SUM(CM$4:CM327))</f>
        <v>1.6494621984783118</v>
      </c>
      <c r="CO327" s="205">
        <f>IF($J327="",#N/A,SUM(CM$4:CM327,CK$4:CK327,CI$4:CI327))</f>
        <v>4.5340037776118471</v>
      </c>
      <c r="CP327" s="200" t="str">
        <f t="shared" si="587"/>
        <v/>
      </c>
      <c r="CQ327" s="203">
        <f>IF($J327="",#N/A,SUM(CP$4:CP327))</f>
        <v>-2.5399197875602422</v>
      </c>
      <c r="CR327" s="204" t="str">
        <f t="shared" si="588"/>
        <v/>
      </c>
      <c r="CS327" s="204">
        <f>IF($J327="",#N/A,SUM(CR$4:CR327))</f>
        <v>2.3600225017004668</v>
      </c>
      <c r="CT327" s="205" t="str">
        <f t="shared" si="589"/>
        <v/>
      </c>
      <c r="CU327" s="205">
        <f>IF($J327="",#N/A,SUM(CT$4:CT327))</f>
        <v>-0.35196499572459283</v>
      </c>
      <c r="CV327" s="205">
        <f>IF($J327="",#N/A,SUM(CT$4:CT327,CR$4:CR327,CP$4:CP327))</f>
        <v>-0.53186228158436855</v>
      </c>
      <c r="CW327" s="200" t="str">
        <f t="shared" si="590"/>
        <v/>
      </c>
      <c r="CX327" s="203">
        <f>IF($J327="",#N/A,SUM(CW$4:CW327))</f>
        <v>-0.29399505935581682</v>
      </c>
      <c r="CY327" s="204" t="str">
        <f t="shared" si="591"/>
        <v/>
      </c>
      <c r="CZ327" s="204">
        <f>IF($J327="",#N/A,SUM(CY$4:CY327))</f>
        <v>-0.20119965665334139</v>
      </c>
      <c r="DA327" s="205" t="str">
        <f t="shared" si="592"/>
        <v/>
      </c>
      <c r="DB327" s="205">
        <f>IF($J327="",#N/A,SUM(DA$4:DA327))</f>
        <v>-2.7756316087437582</v>
      </c>
      <c r="DC327" s="205">
        <f>IF($J327="",#N/A,SUM(DA$4:DA327,CY$4:CY327,CW$4:CW327))</f>
        <v>-3.2708263247529161</v>
      </c>
      <c r="DD327" s="200" t="str">
        <f t="shared" si="593"/>
        <v/>
      </c>
      <c r="DE327" s="203">
        <f>IF($J327="",#N/A,SUM(DD$4:DD327))</f>
        <v>1.2501454750716789</v>
      </c>
      <c r="DF327" s="204" t="str">
        <f t="shared" si="594"/>
        <v/>
      </c>
      <c r="DG327" s="204">
        <f>IF($J327="",#N/A,SUM(DF$4:DF327))</f>
        <v>2.626961496209514</v>
      </c>
      <c r="DH327" s="205" t="str">
        <f t="shared" si="595"/>
        <v/>
      </c>
      <c r="DI327" s="205">
        <f>IF($J327="",#N/A,SUM(DH$4:DH327))</f>
        <v>-2.7812008102163399</v>
      </c>
      <c r="DJ327" s="205">
        <f>IF($J327="",#N/A,SUM(DH$4:DH327,DF$4:DF327,DD$4:DD327))</f>
        <v>1.0959061610648531</v>
      </c>
      <c r="DK327" s="200" t="str">
        <f t="shared" si="596"/>
        <v/>
      </c>
      <c r="DL327" s="203">
        <f>IF($J327="",#N/A,SUM(DK$4:DK327))</f>
        <v>-0.84049791589649614</v>
      </c>
      <c r="DM327" s="204" t="str">
        <f t="shared" si="597"/>
        <v/>
      </c>
      <c r="DN327" s="204">
        <f>IF($J327="",#N/A,SUM(DM$4:DM327))</f>
        <v>1.8657648196498773</v>
      </c>
      <c r="DO327" s="205" t="str">
        <f t="shared" si="598"/>
        <v/>
      </c>
      <c r="DP327" s="205">
        <f>IF($J327="",#N/A,SUM(DO$4:DO327))</f>
        <v>2.700331529683047</v>
      </c>
      <c r="DQ327" s="205">
        <f>IF($J327="",#N/A,SUM(DO$4:DO327,DM$4:DM327,DK$4:DK327))</f>
        <v>3.7255984334364292</v>
      </c>
      <c r="DR327" s="200" t="str">
        <f t="shared" si="599"/>
        <v/>
      </c>
      <c r="DS327" s="203">
        <f>IF($J327="",#N/A,SUM(DR$4:DR327))</f>
        <v>-0.55950946427675097</v>
      </c>
      <c r="DT327" s="204" t="str">
        <f t="shared" si="600"/>
        <v/>
      </c>
      <c r="DU327" s="204">
        <f>IF($J327="",#N/A,SUM(DT$4:DT327))</f>
        <v>-0.20750635820596686</v>
      </c>
      <c r="DV327" s="205" t="str">
        <f t="shared" si="601"/>
        <v/>
      </c>
      <c r="DW327" s="205">
        <f>IF($J327="",#N/A,SUM(DV$4:DV327))</f>
        <v>-2.3377035686214001</v>
      </c>
      <c r="DX327" s="205">
        <f>IF($J327="",#N/A,SUM(DV$4:DV327,DT$4:DT327,DR$4:DR327))</f>
        <v>-3.1047193911041169</v>
      </c>
      <c r="DY327" s="200" t="str">
        <f t="shared" si="602"/>
        <v/>
      </c>
      <c r="DZ327" s="203">
        <f>IF($J327="",#N/A,SUM(DY$4:DY327))</f>
        <v>-1.6284722482776204</v>
      </c>
      <c r="EA327" s="204" t="str">
        <f t="shared" si="603"/>
        <v/>
      </c>
      <c r="EB327" s="204">
        <f>IF($J327="",#N/A,SUM(EA$4:EA327))</f>
        <v>2.276197208799712</v>
      </c>
      <c r="EC327" s="205" t="str">
        <f t="shared" si="604"/>
        <v/>
      </c>
      <c r="ED327" s="205">
        <f>IF($J327="",#N/A,SUM(EC$4:EC327))</f>
        <v>8.6307007550759458</v>
      </c>
      <c r="EE327" s="205">
        <f>IF($J327="",#N/A,SUM(EC$4:EC327,EA$4:EA327,DY$4:DY327))</f>
        <v>9.2784257155980399</v>
      </c>
      <c r="EF327" s="200" t="str">
        <f t="shared" si="605"/>
        <v/>
      </c>
      <c r="EG327" s="203">
        <f>IF($J327="",#N/A,SUM(EF$4:EF327))</f>
        <v>0.65848341369884777</v>
      </c>
      <c r="EH327" s="204" t="str">
        <f t="shared" si="606"/>
        <v/>
      </c>
      <c r="EI327" s="204">
        <f>IF($J327="",#N/A,SUM(EH$4:EH327))</f>
        <v>-3.5125331561187787</v>
      </c>
      <c r="EJ327" s="205" t="str">
        <f t="shared" si="607"/>
        <v/>
      </c>
      <c r="EK327" s="205">
        <f>IF($J327="",#N/A,SUM(EJ$4:EJ327))</f>
        <v>7.7196470241767461</v>
      </c>
      <c r="EL327" s="205">
        <f>IF($J327="",#N/A,SUM(EJ$4:EJ327,EH$4:EH327,EF$4:EF327))</f>
        <v>4.8655972817568163</v>
      </c>
      <c r="EM327" s="200" t="str">
        <f t="shared" si="608"/>
        <v/>
      </c>
      <c r="EN327" s="203">
        <f>IF($J327="",#N/A,SUM(EM$4:EM327))</f>
        <v>0</v>
      </c>
      <c r="EO327" s="204" t="str">
        <f t="shared" si="609"/>
        <v/>
      </c>
      <c r="EP327" s="204">
        <f>IF($J327="",#N/A,SUM(EO$4:EO327))</f>
        <v>2.4788862078089964</v>
      </c>
      <c r="EQ327" s="205" t="str">
        <f t="shared" si="610"/>
        <v/>
      </c>
      <c r="ER327" s="205">
        <f>IF($J327="",#N/A,SUM(EQ$4:EQ327))</f>
        <v>2.6983279209445628</v>
      </c>
      <c r="ES327" s="205">
        <f>IF($J327="",#N/A,SUM(EQ$4:EQ327,EO$4:EO327,EM$4:EM327))</f>
        <v>5.1772141287535591</v>
      </c>
      <c r="ET327" s="200" t="str">
        <f t="shared" si="611"/>
        <v/>
      </c>
      <c r="EU327" s="203">
        <f>IF($J327="",#N/A,SUM(ET$4:ET327))</f>
        <v>0</v>
      </c>
      <c r="EV327" s="204" t="str">
        <f t="shared" si="612"/>
        <v/>
      </c>
      <c r="EW327" s="204">
        <f>IF($J327="",#N/A,SUM(EV$4:EV327))</f>
        <v>2.3210103028360365</v>
      </c>
      <c r="EX327" s="205" t="str">
        <f t="shared" si="613"/>
        <v/>
      </c>
      <c r="EY327" s="205">
        <f>IF($J327="",#N/A,SUM(EX$4:EX327))</f>
        <v>0.27113250180669229</v>
      </c>
      <c r="EZ327" s="205">
        <f>IF($J327="",#N/A,SUM(EX$4:EX327,EV$4:EV327,ET$4:ET327))</f>
        <v>2.5921428046427284</v>
      </c>
      <c r="FA327" s="200" t="str">
        <f t="shared" si="614"/>
        <v/>
      </c>
      <c r="FB327" s="203">
        <f>IF($J327="",#N/A,SUM(FA$4:FA327))</f>
        <v>-0.27145310509113252</v>
      </c>
      <c r="FC327" s="204" t="str">
        <f t="shared" si="615"/>
        <v/>
      </c>
      <c r="FD327" s="204">
        <f>IF($J327="",#N/A,SUM(FC$4:FC327))</f>
        <v>0.89084290967454072</v>
      </c>
      <c r="FE327" s="205" t="str">
        <f t="shared" si="616"/>
        <v/>
      </c>
      <c r="FF327" s="205">
        <f>IF($J327="",#N/A,SUM(FE$4:FE327))</f>
        <v>-0.28811149078748233</v>
      </c>
      <c r="FG327" s="205">
        <f>IF($J327="",#N/A,SUM(FE$4:FE327,FC$4:FC327,FA$4:FA327))</f>
        <v>0.3312783137959262</v>
      </c>
      <c r="FH327" s="200" t="str">
        <f t="shared" si="617"/>
        <v/>
      </c>
      <c r="FI327" s="203">
        <f>IF($J327="",#N/A,SUM(FH$4:FH327))</f>
        <v>0</v>
      </c>
      <c r="FJ327" s="204" t="str">
        <f t="shared" si="618"/>
        <v/>
      </c>
      <c r="FK327" s="204">
        <f>IF($J327="",#N/A,SUM(FJ$4:FJ327))</f>
        <v>0</v>
      </c>
      <c r="FL327" s="205" t="str">
        <f t="shared" si="619"/>
        <v/>
      </c>
      <c r="FM327" s="205">
        <f>IF($J327="",#N/A,SUM(FL$4:FL327))</f>
        <v>0</v>
      </c>
      <c r="FN327" s="205">
        <f>IF($J327="",#N/A,SUM(FL$4:FL327,FJ$4:FJ327,FH$4:FH327))</f>
        <v>0</v>
      </c>
      <c r="FO327" s="200" t="str">
        <f t="shared" si="620"/>
        <v/>
      </c>
      <c r="FP327" s="203">
        <f>IF($J327="",#N/A,SUM(FO$4:FO327))</f>
        <v>0</v>
      </c>
      <c r="FQ327" s="204" t="str">
        <f t="shared" si="621"/>
        <v/>
      </c>
      <c r="FR327" s="204">
        <f>IF($J327="",#N/A,SUM(FQ$4:FQ327))</f>
        <v>0</v>
      </c>
      <c r="FS327" s="205" t="str">
        <f t="shared" si="622"/>
        <v/>
      </c>
      <c r="FT327" s="205">
        <f>IF($J327="",#N/A,SUM(FS$4:FS327))</f>
        <v>0</v>
      </c>
      <c r="FU327" s="205">
        <f>IF($J327="",#N/A,SUM(FS$4:FS327,FQ$4:FQ327,FO$4:FO327))</f>
        <v>0</v>
      </c>
      <c r="FV327" s="200" t="str">
        <f t="shared" si="623"/>
        <v/>
      </c>
      <c r="FW327" s="203">
        <f>IF($J327="",#N/A,SUM(FV$4:FV327))</f>
        <v>6.6834991831277585E-2</v>
      </c>
      <c r="FX327" s="204" t="str">
        <f t="shared" si="624"/>
        <v/>
      </c>
      <c r="FY327" s="204">
        <f>IF($J327="",#N/A,SUM(FX$4:FX327))</f>
        <v>-0.16102012791805576</v>
      </c>
      <c r="FZ327" s="205" t="str">
        <f t="shared" si="625"/>
        <v/>
      </c>
      <c r="GA327" s="205">
        <f>IF($J327="",#N/A,SUM(FZ$4:FZ327))</f>
        <v>-0.69624339162892301</v>
      </c>
      <c r="GB327" s="205">
        <f>IF($J327="",#N/A,SUM(FZ$4:FZ327,FX$4:FX327,FV$4:FV327))</f>
        <v>-0.79042852771570116</v>
      </c>
      <c r="GC327" s="200" t="str">
        <f t="shared" si="626"/>
        <v/>
      </c>
      <c r="GD327" s="203">
        <f>IF($J327="",#N/A,SUM(GC$4:GC327))</f>
        <v>0</v>
      </c>
      <c r="GE327" s="204" t="str">
        <f t="shared" si="627"/>
        <v/>
      </c>
      <c r="GF327" s="204">
        <f>IF($J327="",#N/A,SUM(GE$4:GE327))</f>
        <v>0</v>
      </c>
      <c r="GG327" s="205" t="str">
        <f t="shared" si="628"/>
        <v/>
      </c>
      <c r="GH327" s="205">
        <f>IF($J327="",#N/A,SUM(GG$4:GG327))</f>
        <v>-2.9368362277223206</v>
      </c>
      <c r="GI327" s="205">
        <f>IF($J327="",#N/A,SUM(GG$4:GG327,GE$4:GE327,GC$4:GC327))</f>
        <v>-2.9368362277223206</v>
      </c>
      <c r="GJ327" s="200" t="str">
        <f t="shared" si="629"/>
        <v/>
      </c>
      <c r="GK327" s="203">
        <f>IF($J327="",#N/A,SUM(GJ$4:GJ327))</f>
        <v>0</v>
      </c>
      <c r="GL327" s="204" t="str">
        <f t="shared" si="630"/>
        <v/>
      </c>
      <c r="GM327" s="204">
        <f>IF($J327="",#N/A,SUM(GL$4:GL327))</f>
        <v>-1.6833790887309608</v>
      </c>
      <c r="GN327" s="205" t="str">
        <f t="shared" si="631"/>
        <v/>
      </c>
      <c r="GO327" s="205">
        <f>IF($J327="",#N/A,SUM(GN$4:GN327))</f>
        <v>0</v>
      </c>
      <c r="GP327" s="205">
        <f>IF($J327="",#N/A,SUM(GN$4:GN327,GL$4:GL327,GJ$4:GJ327))</f>
        <v>-1.6833790887309608</v>
      </c>
      <c r="GS327" s="54" t="str">
        <f t="shared" si="650"/>
        <v/>
      </c>
      <c r="GT327" s="54" t="e">
        <f>IF(GS327="",NA(),SUM($GS$4:GS327))</f>
        <v>#N/A</v>
      </c>
      <c r="GU327" s="54" t="str">
        <f t="shared" si="632"/>
        <v/>
      </c>
      <c r="GV327" s="54" t="e">
        <f>IF(GU327="",NA(),SUM($GU$4:GU327))</f>
        <v>#N/A</v>
      </c>
      <c r="GW327" s="54" t="str">
        <f t="shared" si="633"/>
        <v/>
      </c>
      <c r="GX327" s="54" t="e">
        <f>IF(GW327="",NA(),SUM($GW$4:GW327))</f>
        <v>#N/A</v>
      </c>
      <c r="GY327" s="54" t="str">
        <f t="shared" si="634"/>
        <v/>
      </c>
      <c r="GZ327" s="54" t="e">
        <f>IF(GY327="",NA(),SUM($GY$4:GY327))</f>
        <v>#N/A</v>
      </c>
      <c r="HA327" s="54">
        <f t="shared" si="635"/>
        <v>-1.6666666666666667</v>
      </c>
      <c r="HB327" s="54">
        <f>IF(HA327="",NA(),SUM($HA$4:HA327))</f>
        <v>4.1505283998465323</v>
      </c>
      <c r="HC327" s="54" t="str">
        <f t="shared" si="636"/>
        <v/>
      </c>
      <c r="HD327" s="54" t="e">
        <f>IF(HC327="",NA(),SUM($HC$4:HC327))</f>
        <v>#N/A</v>
      </c>
      <c r="HE327" s="54">
        <f t="shared" si="637"/>
        <v>-1.6666666666666667</v>
      </c>
      <c r="HF327" s="54">
        <f>IF(HE327="",NA(),SUM($HE$4:HE327))</f>
        <v>-0.65267817613137846</v>
      </c>
      <c r="HG327" s="54" t="str">
        <f t="shared" si="638"/>
        <v/>
      </c>
      <c r="HH327" s="54" t="e">
        <f>IF(HG327="",NA(),SUM($HG$4:HG327))</f>
        <v>#N/A</v>
      </c>
      <c r="HI327" s="172" t="str">
        <f t="shared" si="651"/>
        <v/>
      </c>
      <c r="HJ327" s="172">
        <f>IF($J327="",#N/A,SUM(HI$4:$HI327))</f>
        <v>-8.7289352510103964</v>
      </c>
      <c r="HK327" s="54" t="str">
        <f t="shared" si="639"/>
        <v/>
      </c>
      <c r="HL327" s="54">
        <f>IF($J327="",#N/A,SUM($HK$4:HK327))</f>
        <v>2.0649982794595436</v>
      </c>
      <c r="HM327" s="54" t="str">
        <f t="shared" si="640"/>
        <v/>
      </c>
      <c r="HN327" s="54">
        <f>IF($J327="",#N/A,SUM($HM$4:HM327))</f>
        <v>-0.27414712288080484</v>
      </c>
      <c r="HO327" s="54" t="str">
        <f t="shared" si="641"/>
        <v/>
      </c>
      <c r="HP327" s="54">
        <f>IF($J327="",#N/A,SUM($HO$4:HO327))</f>
        <v>-0.69476253225193951</v>
      </c>
      <c r="HQ327" s="54" t="str">
        <f t="shared" si="642"/>
        <v/>
      </c>
      <c r="HR327" s="54">
        <f>IF($J327="",#N/A,SUM($HQ$4:HQ327))</f>
        <v>-12.247979910915262</v>
      </c>
      <c r="HS327" s="54">
        <f t="shared" si="643"/>
        <v>-1.592039800995025</v>
      </c>
      <c r="HT327" s="54">
        <f>IF($J327="",#N/A,SUM($HS$4:HS327))</f>
        <v>14.296176771567277</v>
      </c>
      <c r="HU327" s="65">
        <f t="shared" si="644"/>
        <v>-3.2587064676616917</v>
      </c>
      <c r="HV327" s="65">
        <f>IF($J327="",#N/A,SUM(HU$4:$HU327))</f>
        <v>11.841796199866437</v>
      </c>
    </row>
    <row r="328" spans="1:230" ht="15.75" thickBot="1" x14ac:dyDescent="0.3">
      <c r="A328" s="292" t="s">
        <v>245</v>
      </c>
      <c r="B328" s="293" t="s">
        <v>4599</v>
      </c>
      <c r="C328" s="294">
        <f t="shared" si="545"/>
        <v>2</v>
      </c>
      <c r="D328" s="295" t="str">
        <f>_xlfn.XLOOKUP(A328,[1]SP500!$A$2:$A$502,[1]SP500!$D$2:$D$502,"N")</f>
        <v>Y</v>
      </c>
      <c r="E328" s="292" t="str">
        <f>IFERROR(_xlfn.XLOOKUP(A328,[1]SP500!$A$2:$A$655,[1]SP500!$B$2:$B$655),"")</f>
        <v>SMH</v>
      </c>
      <c r="F328" s="296">
        <v>45785</v>
      </c>
      <c r="G328" s="292" t="str">
        <f t="shared" si="546"/>
        <v>AMC</v>
      </c>
      <c r="H328" s="292" t="str">
        <f t="shared" si="547"/>
        <v>s</v>
      </c>
      <c r="I328" s="345">
        <v>49.14</v>
      </c>
      <c r="J328" s="297">
        <v>55.75</v>
      </c>
      <c r="K328" s="298">
        <f t="shared" si="548"/>
        <v>0.13451363451363449</v>
      </c>
      <c r="L328" s="299">
        <f t="shared" si="549"/>
        <v>-158.63999999999987</v>
      </c>
      <c r="M328" s="300">
        <f t="shared" si="550"/>
        <v>-1.4400000000000546</v>
      </c>
      <c r="N328" s="341">
        <f t="shared" si="551"/>
        <v>-158.63999999999987</v>
      </c>
      <c r="O328" s="300">
        <f>IF(N328="",#N/A,SUM($N$4:N328))</f>
        <v>782.47437556162413</v>
      </c>
      <c r="P328" s="305">
        <f t="shared" si="645"/>
        <v>-2.2418939085605736</v>
      </c>
      <c r="Q328" s="304">
        <f>IF($N328="",#N/A,SUM($P$4:P328))</f>
        <v>15.700499524504433</v>
      </c>
      <c r="R328" s="307">
        <f t="shared" si="552"/>
        <v>5.8371891633610442</v>
      </c>
      <c r="S328" s="292" t="str">
        <f t="shared" si="553"/>
        <v>Dwn</v>
      </c>
      <c r="T328" s="292" t="s">
        <v>4461</v>
      </c>
      <c r="U328" s="308">
        <f t="shared" si="554"/>
        <v>49.14</v>
      </c>
      <c r="V328" s="308" t="s">
        <v>4458</v>
      </c>
      <c r="W328" s="310">
        <v>24</v>
      </c>
      <c r="X328" s="309">
        <f t="shared" si="555"/>
        <v>1179.3600000000001</v>
      </c>
      <c r="Y328" s="310">
        <f t="shared" si="556"/>
        <v>24</v>
      </c>
      <c r="Z328" s="313">
        <v>55.81</v>
      </c>
      <c r="AA328" s="341">
        <f t="shared" si="557"/>
        <v>-160.07999999999993</v>
      </c>
      <c r="AB328" s="341">
        <f t="shared" si="558"/>
        <v>-148.55999999999995</v>
      </c>
      <c r="AC328" s="297">
        <v>55.33</v>
      </c>
      <c r="AD328" s="301">
        <f t="shared" si="559"/>
        <v>-148.55999999999995</v>
      </c>
      <c r="AE328" s="546">
        <f t="shared" si="560"/>
        <v>-2.0994437661104319</v>
      </c>
      <c r="AF328" s="300">
        <f>IF($AC328="",#N/A,SUM(AD$4:AD328))</f>
        <v>549.25239714744873</v>
      </c>
      <c r="AG328" s="341">
        <f t="shared" si="561"/>
        <v>10.079999999999927</v>
      </c>
      <c r="AH328" s="308" t="s">
        <v>2507</v>
      </c>
      <c r="AI328" s="305">
        <f t="shared" si="562"/>
        <v>-2.2622439289105944</v>
      </c>
      <c r="AJ328" s="418">
        <f>IF(AI328="",#N/A,SUM($AI$4:AI328))</f>
        <v>9.8633103611433892</v>
      </c>
      <c r="AK328" s="300">
        <f t="shared" si="563"/>
        <v>-160.07999999999993</v>
      </c>
      <c r="AL328" s="406">
        <f>IF(AI328="",#N/A,IF(AH328="Skip",SUM($AK$4:AK328),SUM($AK$4:AK328)))</f>
        <v>387.43236927848193</v>
      </c>
      <c r="AM328" s="65">
        <f t="shared" si="646"/>
        <v>-2.0994437661104319</v>
      </c>
      <c r="AN328" s="209"/>
      <c r="AO328" s="305" t="str">
        <f t="shared" si="564"/>
        <v/>
      </c>
      <c r="AP328" s="305">
        <f>IF($AC328="",#N/A,SUM(AO$4:AO328))</f>
        <v>11.367492563538853</v>
      </c>
      <c r="AQ328" s="305" t="str">
        <f t="shared" si="565"/>
        <v/>
      </c>
      <c r="AR328" s="305">
        <f>IF($AC328="",#N/A,SUM(AQ$4:AQ328))</f>
        <v>-5.1272933549890007</v>
      </c>
      <c r="AS328" s="305">
        <f t="shared" si="566"/>
        <v>-2.0994437661104319</v>
      </c>
      <c r="AT328" s="305">
        <f>IF($AC328="",#N/A,SUM(AS$4:AS328))</f>
        <v>3.502153225206146</v>
      </c>
      <c r="AU328" s="300" t="str">
        <f t="shared" si="647"/>
        <v/>
      </c>
      <c r="AV328" s="300">
        <f>IF($AC328="",#N/A,SUM(AU$4:AU328))</f>
        <v>640.46627194988037</v>
      </c>
      <c r="AW328" s="300" t="str">
        <f t="shared" si="648"/>
        <v/>
      </c>
      <c r="AX328" s="300">
        <f>IF($AC328="",#N/A,SUM(AW$4:AW328))</f>
        <v>-340.17106797961105</v>
      </c>
      <c r="AY328" s="300">
        <f t="shared" si="649"/>
        <v>-148.55999999999995</v>
      </c>
      <c r="AZ328" s="300">
        <f>IF($AC328="",#N/A,SUM(AY$4:AY328))</f>
        <v>248.95719317717942</v>
      </c>
      <c r="BA328" s="300">
        <f>IF(AD328="",#N/A,SUM($AD$4:AD328))</f>
        <v>549.25239714744873</v>
      </c>
      <c r="BC328" s="292" t="str">
        <f t="shared" si="567"/>
        <v/>
      </c>
      <c r="BD328" s="292">
        <f t="shared" si="568"/>
        <v>1</v>
      </c>
      <c r="BE328" s="292" t="str">
        <f t="shared" si="569"/>
        <v/>
      </c>
      <c r="BF328" s="292" t="str">
        <f t="shared" si="570"/>
        <v>Short</v>
      </c>
      <c r="BG328" s="292" t="str">
        <f t="shared" si="571"/>
        <v/>
      </c>
      <c r="BH328" s="292" t="str">
        <f t="shared" si="572"/>
        <v/>
      </c>
      <c r="BI328" s="292" t="str">
        <f t="shared" si="573"/>
        <v/>
      </c>
      <c r="BK328" s="65">
        <f t="shared" si="544"/>
        <v>4.4895190843892221E-2</v>
      </c>
      <c r="BL328" s="65">
        <f t="shared" si="543"/>
        <v>0.26226267317531465</v>
      </c>
      <c r="BM328" s="65">
        <f>IFERROR(Q328/COUNTA($J$4:J328),#N/A)</f>
        <v>4.8309229306167489E-2</v>
      </c>
      <c r="BO328" s="489" t="e">
        <f>IF(J328="",#N/A,IF(S328="SW",(COUNTIFS(K$4:$K328,"&gt;0",S$4:$S328,"SW")/COUNTIF(S$4:$S328,"SW")),#N/A))</f>
        <v>#N/A</v>
      </c>
      <c r="BP328" s="489">
        <f>IF($J328="",#N/A,IF($S328="DWN",(COUNTIFS($K$4:$K328,"&lt;0",$S$4:$S328,"DWN")/COUNTIF($S$4:$S328,"DWN")),#N/A))</f>
        <v>0.56081081081081086</v>
      </c>
      <c r="BQ328" s="489" t="e">
        <f>IF($J328="",#N/A,IF($S328="UP",(COUNTIFS($K$4:$K328,"&gt;0",$S$4:$S328,"UP")/COUNTIF($S$4:$S328,"UP")),#N/A))</f>
        <v>#N/A</v>
      </c>
      <c r="BR328" s="489">
        <f>IF(J328="",#N/A,COUNTIF($K$4:K328,"&gt;0")/COUNT($J$4:J328))</f>
        <v>0.47384615384615386</v>
      </c>
      <c r="BS328" s="65" t="str">
        <f t="shared" si="574"/>
        <v/>
      </c>
      <c r="BT328" s="65" t="str">
        <f t="shared" si="575"/>
        <v/>
      </c>
      <c r="BU328" s="65" t="str">
        <f t="shared" si="576"/>
        <v/>
      </c>
      <c r="BV328" s="65">
        <f t="shared" si="577"/>
        <v>-2.2418939085605736</v>
      </c>
      <c r="BW328" s="128" t="str">
        <f t="shared" si="578"/>
        <v/>
      </c>
      <c r="BX328" s="128">
        <f>IF($J328="",#N/A,SUM($BW$4:BW328))</f>
        <v>-265.49317034792875</v>
      </c>
      <c r="BY328" s="131">
        <f t="shared" si="579"/>
        <v>-158.63999999999987</v>
      </c>
      <c r="BZ328" s="131">
        <f>IF($J328="",#N/A,SUM($BY$4:BY328))</f>
        <v>546.59161346139456</v>
      </c>
      <c r="CA328" s="133" t="str">
        <f t="shared" si="580"/>
        <v/>
      </c>
      <c r="CB328" s="133">
        <f>IF($J328="",#N/A,SUM($CA$4:CA328))</f>
        <v>501.37593244815821</v>
      </c>
      <c r="CC328" s="194" t="str">
        <f t="shared" si="581"/>
        <v/>
      </c>
      <c r="CD328" s="194">
        <f>IF($J328="",#N/A,SUM($CC$4:CC328))</f>
        <v>-4.1583836998562527</v>
      </c>
      <c r="CE328" s="195">
        <f t="shared" si="582"/>
        <v>-2.2418939085605736</v>
      </c>
      <c r="CF328" s="195">
        <f>IF($J328="",#N/A,SUM($CE$4:CE328))</f>
        <v>10.023640054306867</v>
      </c>
      <c r="CG328" s="196" t="str">
        <f t="shared" si="583"/>
        <v/>
      </c>
      <c r="CH328" s="196">
        <f>IF($J328="",#N/A,SUM($CG$4:CG328))</f>
        <v>9.8352431700538272</v>
      </c>
      <c r="CI328" s="200" t="str">
        <f t="shared" si="584"/>
        <v/>
      </c>
      <c r="CJ328" s="203">
        <f>IF($J328="",#N/A,SUM(CI$4:CI328))</f>
        <v>0</v>
      </c>
      <c r="CK328" s="204" t="str">
        <f t="shared" si="585"/>
        <v/>
      </c>
      <c r="CL328" s="204">
        <f>IF($J328="",#N/A,SUM(CK$4:CK328))</f>
        <v>2.8845415791335349</v>
      </c>
      <c r="CM328" s="205" t="str">
        <f t="shared" si="586"/>
        <v/>
      </c>
      <c r="CN328" s="205">
        <f>IF($J328="",#N/A,SUM(CM$4:CM328))</f>
        <v>1.6494621984783118</v>
      </c>
      <c r="CO328" s="205">
        <f>IF($J328="",#N/A,SUM(CM$4:CM328,CK$4:CK328,CI$4:CI328))</f>
        <v>4.5340037776118471</v>
      </c>
      <c r="CP328" s="200" t="str">
        <f t="shared" si="587"/>
        <v/>
      </c>
      <c r="CQ328" s="203">
        <f>IF($J328="",#N/A,SUM(CP$4:CP328))</f>
        <v>-2.5399197875602422</v>
      </c>
      <c r="CR328" s="204" t="str">
        <f t="shared" si="588"/>
        <v/>
      </c>
      <c r="CS328" s="204">
        <f>IF($J328="",#N/A,SUM(CR$4:CR328))</f>
        <v>2.3600225017004668</v>
      </c>
      <c r="CT328" s="205" t="str">
        <f t="shared" si="589"/>
        <v/>
      </c>
      <c r="CU328" s="205">
        <f>IF($J328="",#N/A,SUM(CT$4:CT328))</f>
        <v>-0.35196499572459283</v>
      </c>
      <c r="CV328" s="205">
        <f>IF($J328="",#N/A,SUM(CT$4:CT328,CR$4:CR328,CP$4:CP328))</f>
        <v>-0.53186228158436855</v>
      </c>
      <c r="CW328" s="200" t="str">
        <f t="shared" si="590"/>
        <v/>
      </c>
      <c r="CX328" s="203">
        <f>IF($J328="",#N/A,SUM(CW$4:CW328))</f>
        <v>-0.29399505935581682</v>
      </c>
      <c r="CY328" s="204" t="str">
        <f t="shared" si="591"/>
        <v/>
      </c>
      <c r="CZ328" s="204">
        <f>IF($J328="",#N/A,SUM(CY$4:CY328))</f>
        <v>-0.20119965665334139</v>
      </c>
      <c r="DA328" s="205" t="str">
        <f t="shared" si="592"/>
        <v/>
      </c>
      <c r="DB328" s="205">
        <f>IF($J328="",#N/A,SUM(DA$4:DA328))</f>
        <v>-2.7756316087437582</v>
      </c>
      <c r="DC328" s="205">
        <f>IF($J328="",#N/A,SUM(DA$4:DA328,CY$4:CY328,CW$4:CW328))</f>
        <v>-3.2708263247529161</v>
      </c>
      <c r="DD328" s="200" t="str">
        <f t="shared" si="593"/>
        <v/>
      </c>
      <c r="DE328" s="203">
        <f>IF($J328="",#N/A,SUM(DD$4:DD328))</f>
        <v>1.2501454750716789</v>
      </c>
      <c r="DF328" s="204" t="str">
        <f t="shared" si="594"/>
        <v/>
      </c>
      <c r="DG328" s="204">
        <f>IF($J328="",#N/A,SUM(DF$4:DF328))</f>
        <v>2.626961496209514</v>
      </c>
      <c r="DH328" s="205" t="str">
        <f t="shared" si="595"/>
        <v/>
      </c>
      <c r="DI328" s="205">
        <f>IF($J328="",#N/A,SUM(DH$4:DH328))</f>
        <v>-2.7812008102163399</v>
      </c>
      <c r="DJ328" s="205">
        <f>IF($J328="",#N/A,SUM(DH$4:DH328,DF$4:DF328,DD$4:DD328))</f>
        <v>1.0959061610648531</v>
      </c>
      <c r="DK328" s="200" t="str">
        <f t="shared" si="596"/>
        <v/>
      </c>
      <c r="DL328" s="203">
        <f>IF($J328="",#N/A,SUM(DK$4:DK328))</f>
        <v>-0.84049791589649614</v>
      </c>
      <c r="DM328" s="204" t="str">
        <f t="shared" si="597"/>
        <v/>
      </c>
      <c r="DN328" s="204">
        <f>IF($J328="",#N/A,SUM(DM$4:DM328))</f>
        <v>1.8657648196498773</v>
      </c>
      <c r="DO328" s="205" t="str">
        <f t="shared" si="598"/>
        <v/>
      </c>
      <c r="DP328" s="205">
        <f>IF($J328="",#N/A,SUM(DO$4:DO328))</f>
        <v>2.700331529683047</v>
      </c>
      <c r="DQ328" s="205">
        <f>IF($J328="",#N/A,SUM(DO$4:DO328,DM$4:DM328,DK$4:DK328))</f>
        <v>3.7255984334364292</v>
      </c>
      <c r="DR328" s="200" t="str">
        <f t="shared" si="599"/>
        <v/>
      </c>
      <c r="DS328" s="203">
        <f>IF($J328="",#N/A,SUM(DR$4:DR328))</f>
        <v>-0.55950946427675097</v>
      </c>
      <c r="DT328" s="204" t="str">
        <f t="shared" si="600"/>
        <v/>
      </c>
      <c r="DU328" s="204">
        <f>IF($J328="",#N/A,SUM(DT$4:DT328))</f>
        <v>-0.20750635820596686</v>
      </c>
      <c r="DV328" s="205" t="str">
        <f t="shared" si="601"/>
        <v/>
      </c>
      <c r="DW328" s="205">
        <f>IF($J328="",#N/A,SUM(DV$4:DV328))</f>
        <v>-2.3377035686214001</v>
      </c>
      <c r="DX328" s="205">
        <f>IF($J328="",#N/A,SUM(DV$4:DV328,DT$4:DT328,DR$4:DR328))</f>
        <v>-3.1047193911041169</v>
      </c>
      <c r="DY328" s="200" t="str">
        <f t="shared" si="602"/>
        <v/>
      </c>
      <c r="DZ328" s="203">
        <f>IF($J328="",#N/A,SUM(DY$4:DY328))</f>
        <v>-1.6284722482776204</v>
      </c>
      <c r="EA328" s="204" t="str">
        <f t="shared" si="603"/>
        <v/>
      </c>
      <c r="EB328" s="204">
        <f>IF($J328="",#N/A,SUM(EA$4:EA328))</f>
        <v>2.276197208799712</v>
      </c>
      <c r="EC328" s="205" t="str">
        <f t="shared" si="604"/>
        <v/>
      </c>
      <c r="ED328" s="205">
        <f>IF($J328="",#N/A,SUM(EC$4:EC328))</f>
        <v>8.6307007550759458</v>
      </c>
      <c r="EE328" s="205">
        <f>IF($J328="",#N/A,SUM(EC$4:EC328,EA$4:EA328,DY$4:DY328))</f>
        <v>9.2784257155980399</v>
      </c>
      <c r="EF328" s="200" t="str">
        <f t="shared" si="605"/>
        <v/>
      </c>
      <c r="EG328" s="203">
        <f>IF($J328="",#N/A,SUM(EF$4:EF328))</f>
        <v>0.65848341369884777</v>
      </c>
      <c r="EH328" s="204" t="str">
        <f t="shared" si="606"/>
        <v/>
      </c>
      <c r="EI328" s="204">
        <f>IF($J328="",#N/A,SUM(EH$4:EH328))</f>
        <v>-3.5125331561187787</v>
      </c>
      <c r="EJ328" s="205" t="str">
        <f t="shared" si="607"/>
        <v/>
      </c>
      <c r="EK328" s="205">
        <f>IF($J328="",#N/A,SUM(EJ$4:EJ328))</f>
        <v>7.7196470241767461</v>
      </c>
      <c r="EL328" s="205">
        <f>IF($J328="",#N/A,SUM(EJ$4:EJ328,EH$4:EH328,EF$4:EF328))</f>
        <v>4.8655972817568163</v>
      </c>
      <c r="EM328" s="200" t="str">
        <f t="shared" si="608"/>
        <v/>
      </c>
      <c r="EN328" s="203">
        <f>IF($J328="",#N/A,SUM(EM$4:EM328))</f>
        <v>0</v>
      </c>
      <c r="EO328" s="204" t="str">
        <f t="shared" si="609"/>
        <v/>
      </c>
      <c r="EP328" s="204">
        <f>IF($J328="",#N/A,SUM(EO$4:EO328))</f>
        <v>2.4788862078089964</v>
      </c>
      <c r="EQ328" s="205" t="str">
        <f t="shared" si="610"/>
        <v/>
      </c>
      <c r="ER328" s="205">
        <f>IF($J328="",#N/A,SUM(EQ$4:EQ328))</f>
        <v>2.6983279209445628</v>
      </c>
      <c r="ES328" s="205">
        <f>IF($J328="",#N/A,SUM(EQ$4:EQ328,EO$4:EO328,EM$4:EM328))</f>
        <v>5.1772141287535591</v>
      </c>
      <c r="ET328" s="200" t="str">
        <f t="shared" si="611"/>
        <v/>
      </c>
      <c r="EU328" s="203">
        <f>IF($J328="",#N/A,SUM(ET$4:ET328))</f>
        <v>0</v>
      </c>
      <c r="EV328" s="204">
        <f t="shared" si="612"/>
        <v>-2.2418939085605736</v>
      </c>
      <c r="EW328" s="204">
        <f>IF($J328="",#N/A,SUM(EV$4:EV328))</f>
        <v>7.9116394275462909E-2</v>
      </c>
      <c r="EX328" s="205" t="str">
        <f t="shared" si="613"/>
        <v/>
      </c>
      <c r="EY328" s="205">
        <f>IF($J328="",#N/A,SUM(EX$4:EX328))</f>
        <v>0.27113250180669229</v>
      </c>
      <c r="EZ328" s="205">
        <f>IF($J328="",#N/A,SUM(EX$4:EX328,EV$4:EV328,ET$4:ET328))</f>
        <v>0.35024889608215481</v>
      </c>
      <c r="FA328" s="200" t="str">
        <f t="shared" si="614"/>
        <v/>
      </c>
      <c r="FB328" s="203">
        <f>IF($J328="",#N/A,SUM(FA$4:FA328))</f>
        <v>-0.27145310509113252</v>
      </c>
      <c r="FC328" s="204" t="str">
        <f t="shared" si="615"/>
        <v/>
      </c>
      <c r="FD328" s="204">
        <f>IF($J328="",#N/A,SUM(FC$4:FC328))</f>
        <v>0.89084290967454072</v>
      </c>
      <c r="FE328" s="205" t="str">
        <f t="shared" si="616"/>
        <v/>
      </c>
      <c r="FF328" s="205">
        <f>IF($J328="",#N/A,SUM(FE$4:FE328))</f>
        <v>-0.28811149078748233</v>
      </c>
      <c r="FG328" s="205">
        <f>IF($J328="",#N/A,SUM(FE$4:FE328,FC$4:FC328,FA$4:FA328))</f>
        <v>0.3312783137959262</v>
      </c>
      <c r="FH328" s="200" t="str">
        <f t="shared" si="617"/>
        <v/>
      </c>
      <c r="FI328" s="203">
        <f>IF($J328="",#N/A,SUM(FH$4:FH328))</f>
        <v>0</v>
      </c>
      <c r="FJ328" s="204" t="str">
        <f t="shared" si="618"/>
        <v/>
      </c>
      <c r="FK328" s="204">
        <f>IF($J328="",#N/A,SUM(FJ$4:FJ328))</f>
        <v>0</v>
      </c>
      <c r="FL328" s="205" t="str">
        <f t="shared" si="619"/>
        <v/>
      </c>
      <c r="FM328" s="205">
        <f>IF($J328="",#N/A,SUM(FL$4:FL328))</f>
        <v>0</v>
      </c>
      <c r="FN328" s="205">
        <f>IF($J328="",#N/A,SUM(FL$4:FL328,FJ$4:FJ328,FH$4:FH328))</f>
        <v>0</v>
      </c>
      <c r="FO328" s="200" t="str">
        <f t="shared" si="620"/>
        <v/>
      </c>
      <c r="FP328" s="203">
        <f>IF($J328="",#N/A,SUM(FO$4:FO328))</f>
        <v>0</v>
      </c>
      <c r="FQ328" s="204" t="str">
        <f t="shared" si="621"/>
        <v/>
      </c>
      <c r="FR328" s="204">
        <f>IF($J328="",#N/A,SUM(FQ$4:FQ328))</f>
        <v>0</v>
      </c>
      <c r="FS328" s="205" t="str">
        <f t="shared" si="622"/>
        <v/>
      </c>
      <c r="FT328" s="205">
        <f>IF($J328="",#N/A,SUM(FS$4:FS328))</f>
        <v>0</v>
      </c>
      <c r="FU328" s="205">
        <f>IF($J328="",#N/A,SUM(FS$4:FS328,FQ$4:FQ328,FO$4:FO328))</f>
        <v>0</v>
      </c>
      <c r="FV328" s="200" t="str">
        <f t="shared" si="623"/>
        <v/>
      </c>
      <c r="FW328" s="203">
        <f>IF($J328="",#N/A,SUM(FV$4:FV328))</f>
        <v>6.6834991831277585E-2</v>
      </c>
      <c r="FX328" s="204" t="str">
        <f t="shared" si="624"/>
        <v/>
      </c>
      <c r="FY328" s="204">
        <f>IF($J328="",#N/A,SUM(FX$4:FX328))</f>
        <v>-0.16102012791805576</v>
      </c>
      <c r="FZ328" s="205" t="str">
        <f t="shared" si="625"/>
        <v/>
      </c>
      <c r="GA328" s="205">
        <f>IF($J328="",#N/A,SUM(FZ$4:FZ328))</f>
        <v>-0.69624339162892301</v>
      </c>
      <c r="GB328" s="205">
        <f>IF($J328="",#N/A,SUM(FZ$4:FZ328,FX$4:FX328,FV$4:FV328))</f>
        <v>-0.79042852771570116</v>
      </c>
      <c r="GC328" s="200" t="str">
        <f t="shared" si="626"/>
        <v/>
      </c>
      <c r="GD328" s="203">
        <f>IF($J328="",#N/A,SUM(GC$4:GC328))</f>
        <v>0</v>
      </c>
      <c r="GE328" s="204" t="str">
        <f t="shared" si="627"/>
        <v/>
      </c>
      <c r="GF328" s="204">
        <f>IF($J328="",#N/A,SUM(GE$4:GE328))</f>
        <v>0</v>
      </c>
      <c r="GG328" s="205" t="str">
        <f t="shared" si="628"/>
        <v/>
      </c>
      <c r="GH328" s="205">
        <f>IF($J328="",#N/A,SUM(GG$4:GG328))</f>
        <v>-2.9368362277223206</v>
      </c>
      <c r="GI328" s="205">
        <f>IF($J328="",#N/A,SUM(GG$4:GG328,GE$4:GE328,GC$4:GC328))</f>
        <v>-2.9368362277223206</v>
      </c>
      <c r="GJ328" s="200" t="str">
        <f t="shared" si="629"/>
        <v/>
      </c>
      <c r="GK328" s="203">
        <f>IF($J328="",#N/A,SUM(GJ$4:GJ328))</f>
        <v>0</v>
      </c>
      <c r="GL328" s="204" t="str">
        <f t="shared" si="630"/>
        <v/>
      </c>
      <c r="GM328" s="204">
        <f>IF($J328="",#N/A,SUM(GL$4:GL328))</f>
        <v>-1.6833790887309608</v>
      </c>
      <c r="GN328" s="205" t="str">
        <f t="shared" si="631"/>
        <v/>
      </c>
      <c r="GO328" s="205">
        <f>IF($J328="",#N/A,SUM(GN$4:GN328))</f>
        <v>0</v>
      </c>
      <c r="GP328" s="205">
        <f>IF($J328="",#N/A,SUM(GN$4:GN328,GL$4:GL328,GJ$4:GJ328))</f>
        <v>-1.6833790887309608</v>
      </c>
      <c r="GS328" s="303">
        <f t="shared" si="650"/>
        <v>-2.2418939085605736</v>
      </c>
      <c r="GT328" s="303">
        <f>IF(GS328="",NA(),SUM($GS$4:GS328))</f>
        <v>11.549971124657901</v>
      </c>
      <c r="GU328" s="303" t="str">
        <f t="shared" si="632"/>
        <v/>
      </c>
      <c r="GV328" s="303" t="e">
        <f>IF(GU328="",NA(),SUM($GU$4:GU328))</f>
        <v>#N/A</v>
      </c>
      <c r="GW328" s="303" t="str">
        <f t="shared" si="633"/>
        <v/>
      </c>
      <c r="GX328" s="303" t="e">
        <f>IF(GW328="",NA(),SUM($GW$4:GW328))</f>
        <v>#N/A</v>
      </c>
      <c r="GY328" s="303">
        <f t="shared" si="634"/>
        <v>-2.2418939085605736</v>
      </c>
      <c r="GZ328" s="303">
        <f>IF(GY328="",NA(),SUM($GY$4:GY328))</f>
        <v>5.2204334783289532</v>
      </c>
      <c r="HA328" s="303" t="str">
        <f t="shared" si="635"/>
        <v/>
      </c>
      <c r="HB328" s="303" t="e">
        <f>IF(HA328="",NA(),SUM($HA$4:HA328))</f>
        <v>#N/A</v>
      </c>
      <c r="HC328" s="303" t="str">
        <f t="shared" si="636"/>
        <v/>
      </c>
      <c r="HD328" s="303" t="e">
        <f>IF(HC328="",NA(),SUM($HC$4:HC328))</f>
        <v>#N/A</v>
      </c>
      <c r="HE328" s="303" t="str">
        <f t="shared" si="637"/>
        <v/>
      </c>
      <c r="HF328" s="303" t="e">
        <f>IF(HE328="",NA(),SUM($HE$4:HE328))</f>
        <v>#N/A</v>
      </c>
      <c r="HG328" s="303" t="str">
        <f t="shared" si="638"/>
        <v/>
      </c>
      <c r="HH328" s="303" t="e">
        <f>IF(HG328="",NA(),SUM($HG$4:HG328))</f>
        <v>#N/A</v>
      </c>
      <c r="HI328" s="304" t="str">
        <f t="shared" si="651"/>
        <v/>
      </c>
      <c r="HJ328" s="304">
        <f>IF($J328="",#N/A,SUM(HI$4:$HI328))</f>
        <v>-8.7289352510103964</v>
      </c>
      <c r="HK328" s="303">
        <f t="shared" si="639"/>
        <v>0.14245014245014165</v>
      </c>
      <c r="HL328" s="303">
        <f>IF($J328="",#N/A,SUM($HK$4:HK328))</f>
        <v>2.2074484219096853</v>
      </c>
      <c r="HM328" s="303" t="str">
        <f t="shared" si="640"/>
        <v/>
      </c>
      <c r="HN328" s="303">
        <f>IF($J328="",#N/A,SUM($HM$4:HM328))</f>
        <v>-0.27414712288080484</v>
      </c>
      <c r="HO328" s="303" t="str">
        <f t="shared" si="641"/>
        <v/>
      </c>
      <c r="HP328" s="303">
        <f>IF($J328="",#N/A,SUM($HO$4:HO328))</f>
        <v>-0.69476253225193951</v>
      </c>
      <c r="HQ328" s="303" t="str">
        <f t="shared" si="642"/>
        <v/>
      </c>
      <c r="HR328" s="303">
        <f>IF($J328="",#N/A,SUM($HQ$4:HQ328))</f>
        <v>-12.247979910915262</v>
      </c>
      <c r="HS328" s="303" t="str">
        <f t="shared" si="643"/>
        <v/>
      </c>
      <c r="HT328" s="303">
        <f>IF($J328="",#N/A,SUM($HS$4:HS328))</f>
        <v>14.296176771567277</v>
      </c>
      <c r="HU328" s="305">
        <f t="shared" si="644"/>
        <v>-2.0994437661104319</v>
      </c>
      <c r="HV328" s="305">
        <f>IF($J328="",#N/A,SUM(HU$4:$HU328))</f>
        <v>9.7423524337560039</v>
      </c>
    </row>
    <row r="329" spans="1:230" ht="15.75" thickBot="1" x14ac:dyDescent="0.3">
      <c r="A329" s="316" t="s">
        <v>59</v>
      </c>
      <c r="B329" s="317" t="s">
        <v>4600</v>
      </c>
      <c r="C329" s="318">
        <f t="shared" si="545"/>
        <v>3</v>
      </c>
      <c r="D329" s="384" t="str">
        <f>_xlfn.XLOOKUP(A329,[1]SP500!$A$2:$A$502,[1]SP500!$D$2:$D$502,"N")</f>
        <v>Y</v>
      </c>
      <c r="E329" s="316" t="str">
        <f>IFERROR(_xlfn.XLOOKUP(A329,[1]SP500!$A$2:$A$655,[1]SP500!$B$2:$B$655),"")</f>
        <v>XLC</v>
      </c>
      <c r="F329" s="320">
        <v>45789</v>
      </c>
      <c r="G329" s="316" t="str">
        <f t="shared" si="546"/>
        <v>BMO</v>
      </c>
      <c r="H329" s="316" t="str">
        <f t="shared" si="547"/>
        <v>s</v>
      </c>
      <c r="I329" s="385">
        <v>46.72</v>
      </c>
      <c r="J329" s="337">
        <v>48.93</v>
      </c>
      <c r="K329" s="322">
        <f t="shared" si="548"/>
        <v>4.7303082191780844E-2</v>
      </c>
      <c r="L329" s="323">
        <f t="shared" si="549"/>
        <v>55.25</v>
      </c>
      <c r="M329" s="324">
        <f t="shared" si="550"/>
        <v>0</v>
      </c>
      <c r="N329" s="466">
        <f t="shared" si="551"/>
        <v>55.25</v>
      </c>
      <c r="O329" s="324">
        <f>IF(N329="",#N/A,SUM($N$4:N329))</f>
        <v>837.72437556162413</v>
      </c>
      <c r="P329" s="331">
        <f t="shared" si="645"/>
        <v>0.78838470319634701</v>
      </c>
      <c r="Q329" s="328">
        <f>IF($N329="",#N/A,SUM($P$4:P329))</f>
        <v>16.48888422770078</v>
      </c>
      <c r="R329" s="333">
        <f t="shared" si="552"/>
        <v>5.8371891633610442</v>
      </c>
      <c r="S329" s="316" t="str">
        <f t="shared" si="553"/>
        <v>SW</v>
      </c>
      <c r="T329" s="316" t="s">
        <v>2828</v>
      </c>
      <c r="U329" s="334">
        <f t="shared" si="554"/>
        <v>46.72</v>
      </c>
      <c r="V329" s="334" t="s">
        <v>4460</v>
      </c>
      <c r="W329" s="336">
        <v>25</v>
      </c>
      <c r="X329" s="335">
        <f t="shared" si="555"/>
        <v>1168</v>
      </c>
      <c r="Y329" s="336">
        <f t="shared" si="556"/>
        <v>25</v>
      </c>
      <c r="Z329" s="321">
        <v>48.93</v>
      </c>
      <c r="AA329" s="466">
        <f t="shared" si="557"/>
        <v>55.25</v>
      </c>
      <c r="AB329" s="466">
        <f t="shared" si="558"/>
        <v>50</v>
      </c>
      <c r="AC329" s="337">
        <v>48.72</v>
      </c>
      <c r="AD329" s="325">
        <f t="shared" si="559"/>
        <v>50</v>
      </c>
      <c r="AE329" s="543">
        <f t="shared" si="560"/>
        <v>0.7134703196347032</v>
      </c>
      <c r="AF329" s="324">
        <f>IF($AC329="",#N/A,SUM(AD$4:AD329))</f>
        <v>599.25239714744873</v>
      </c>
      <c r="AG329" s="466">
        <f t="shared" si="561"/>
        <v>-5.25</v>
      </c>
      <c r="AH329" s="334" t="s">
        <v>2507</v>
      </c>
      <c r="AI329" s="331">
        <f t="shared" si="562"/>
        <v>0.78838470319634701</v>
      </c>
      <c r="AJ329" s="327">
        <f>IF(AI329="",#N/A,SUM($AI$4:AI329))</f>
        <v>10.651695064339735</v>
      </c>
      <c r="AK329" s="324">
        <f t="shared" si="563"/>
        <v>55.25</v>
      </c>
      <c r="AL329" s="467">
        <f>IF(AI329="",#N/A,IF(AH329="Skip",SUM($AK$4:AK329),SUM($AK$4:AK329)))</f>
        <v>442.68236927848193</v>
      </c>
      <c r="AM329" s="65">
        <f t="shared" si="646"/>
        <v>0.7134703196347032</v>
      </c>
      <c r="AN329" s="209"/>
      <c r="AO329" s="331">
        <f t="shared" si="564"/>
        <v>0.7134703196347032</v>
      </c>
      <c r="AP329" s="331">
        <f>IF($AC329="",#N/A,SUM(AO$4:AO329))</f>
        <v>12.080962883173557</v>
      </c>
      <c r="AQ329" s="331" t="str">
        <f t="shared" si="565"/>
        <v/>
      </c>
      <c r="AR329" s="331">
        <f>IF($AC329="",#N/A,SUM(AQ$4:AQ329))</f>
        <v>-5.1272933549890007</v>
      </c>
      <c r="AS329" s="331" t="str">
        <f t="shared" si="566"/>
        <v/>
      </c>
      <c r="AT329" s="331">
        <f>IF($AC329="",#N/A,SUM(AS$4:AS329))</f>
        <v>3.502153225206146</v>
      </c>
      <c r="AU329" s="324">
        <f t="shared" si="647"/>
        <v>50</v>
      </c>
      <c r="AV329" s="324">
        <f>IF($AC329="",#N/A,SUM(AU$4:AU329))</f>
        <v>690.46627194988037</v>
      </c>
      <c r="AW329" s="324" t="str">
        <f t="shared" si="648"/>
        <v/>
      </c>
      <c r="AX329" s="324">
        <f>IF($AC329="",#N/A,SUM(AW$4:AW329))</f>
        <v>-340.17106797961105</v>
      </c>
      <c r="AY329" s="324" t="str">
        <f t="shared" si="649"/>
        <v/>
      </c>
      <c r="AZ329" s="324">
        <f>IF($AC329="",#N/A,SUM(AY$4:AY329))</f>
        <v>248.95719317717942</v>
      </c>
      <c r="BA329" s="324">
        <f>IF(AD329="",#N/A,SUM($AD$4:AD329))</f>
        <v>599.25239714744873</v>
      </c>
      <c r="BC329" s="316" t="str">
        <f t="shared" si="567"/>
        <v/>
      </c>
      <c r="BD329" s="316" t="str">
        <f t="shared" si="568"/>
        <v/>
      </c>
      <c r="BE329" s="316">
        <f t="shared" si="569"/>
        <v>1</v>
      </c>
      <c r="BF329" s="316" t="str">
        <f t="shared" si="570"/>
        <v>Long</v>
      </c>
      <c r="BG329" s="316" t="str">
        <f t="shared" si="571"/>
        <v/>
      </c>
      <c r="BH329" s="316" t="str">
        <f t="shared" si="572"/>
        <v/>
      </c>
      <c r="BI329" s="316" t="str">
        <f t="shared" si="573"/>
        <v/>
      </c>
      <c r="BK329" s="65">
        <f t="shared" si="544"/>
        <v>6.7862235952232022E-2</v>
      </c>
      <c r="BL329" s="65">
        <f t="shared" si="543"/>
        <v>0.24443667971620456</v>
      </c>
      <c r="BM329" s="65">
        <f>IFERROR(Q329/COUNTA($J$4:J329),#N/A)</f>
        <v>5.0579399471474787E-2</v>
      </c>
      <c r="BO329" s="489">
        <f>IF(J329="",#N/A,IF(S329="SW",(COUNTIFS(K$4:$K329,"&gt;0",S$4:$S329,"SW")/COUNTIF(S$4:$S329,"SW")),#N/A))</f>
        <v>0.5163398692810458</v>
      </c>
      <c r="BP329" s="489" t="e">
        <f>IF($J329="",#N/A,IF($S329="DWN",(COUNTIFS($K$4:$K329,"&lt;0",$S$4:$S329,"DWN")/COUNTIF($S$4:$S329,"DWN")),#N/A))</f>
        <v>#N/A</v>
      </c>
      <c r="BQ329" s="489" t="e">
        <f>IF($J329="",#N/A,IF($S329="UP",(COUNTIFS($K$4:$K329,"&gt;0",$S$4:$S329,"UP")/COUNTIF($S$4:$S329,"UP")),#N/A))</f>
        <v>#N/A</v>
      </c>
      <c r="BR329" s="489">
        <f>IF(J329="",#N/A,COUNTIF($K$4:K329,"&gt;0")/COUNT($J$4:J329))</f>
        <v>0.47546012269938648</v>
      </c>
      <c r="BS329" s="65">
        <f t="shared" si="574"/>
        <v>0.78838470319634701</v>
      </c>
      <c r="BT329" s="65" t="str">
        <f t="shared" si="575"/>
        <v/>
      </c>
      <c r="BU329" s="65" t="str">
        <f t="shared" si="576"/>
        <v/>
      </c>
      <c r="BV329" s="65" t="str">
        <f t="shared" si="577"/>
        <v/>
      </c>
      <c r="BW329" s="128" t="str">
        <f t="shared" si="578"/>
        <v/>
      </c>
      <c r="BX329" s="128">
        <f>IF($J329="",#N/A,SUM($BW$4:BW329))</f>
        <v>-265.49317034792875</v>
      </c>
      <c r="BY329" s="131" t="str">
        <f t="shared" si="579"/>
        <v/>
      </c>
      <c r="BZ329" s="131">
        <f>IF($J329="",#N/A,SUM($BY$4:BY329))</f>
        <v>546.59161346139456</v>
      </c>
      <c r="CA329" s="133">
        <f t="shared" si="580"/>
        <v>55.25</v>
      </c>
      <c r="CB329" s="133">
        <f>IF($J329="",#N/A,SUM($CA$4:CA329))</f>
        <v>556.62593244815821</v>
      </c>
      <c r="CC329" s="194" t="str">
        <f t="shared" si="581"/>
        <v/>
      </c>
      <c r="CD329" s="194">
        <f>IF($J329="",#N/A,SUM($CC$4:CC329))</f>
        <v>-4.1583836998562527</v>
      </c>
      <c r="CE329" s="195" t="str">
        <f t="shared" si="582"/>
        <v/>
      </c>
      <c r="CF329" s="195">
        <f>IF($J329="",#N/A,SUM($CE$4:CE329))</f>
        <v>10.023640054306867</v>
      </c>
      <c r="CG329" s="196">
        <f t="shared" si="583"/>
        <v>0.78838470319634701</v>
      </c>
      <c r="CH329" s="193">
        <f>IF($J329="",#N/A,SUM($CG$4:CG329))</f>
        <v>10.623627873250173</v>
      </c>
      <c r="CI329" s="200" t="str">
        <f t="shared" si="584"/>
        <v/>
      </c>
      <c r="CJ329" s="203">
        <f>IF($J329="",#N/A,SUM(CI$4:CI329))</f>
        <v>0</v>
      </c>
      <c r="CK329" s="204" t="str">
        <f t="shared" si="585"/>
        <v/>
      </c>
      <c r="CL329" s="204">
        <f>IF($J329="",#N/A,SUM(CK$4:CK329))</f>
        <v>2.8845415791335349</v>
      </c>
      <c r="CM329" s="205" t="str">
        <f t="shared" si="586"/>
        <v/>
      </c>
      <c r="CN329" s="205">
        <f>IF($J329="",#N/A,SUM(CM$4:CM329))</f>
        <v>1.6494621984783118</v>
      </c>
      <c r="CO329" s="205">
        <f>IF($J329="",#N/A,SUM(CM$4:CM329,CK$4:CK329,CI$4:CI329))</f>
        <v>4.5340037776118471</v>
      </c>
      <c r="CP329" s="200" t="str">
        <f t="shared" si="587"/>
        <v/>
      </c>
      <c r="CQ329" s="203">
        <f>IF($J329="",#N/A,SUM(CP$4:CP329))</f>
        <v>-2.5399197875602422</v>
      </c>
      <c r="CR329" s="204" t="str">
        <f t="shared" si="588"/>
        <v/>
      </c>
      <c r="CS329" s="204">
        <f>IF($J329="",#N/A,SUM(CR$4:CR329))</f>
        <v>2.3600225017004668</v>
      </c>
      <c r="CT329" s="205" t="str">
        <f t="shared" si="589"/>
        <v/>
      </c>
      <c r="CU329" s="205">
        <f>IF($J329="",#N/A,SUM(CT$4:CT329))</f>
        <v>-0.35196499572459283</v>
      </c>
      <c r="CV329" s="205">
        <f>IF($J329="",#N/A,SUM(CT$4:CT329,CR$4:CR329,CP$4:CP329))</f>
        <v>-0.53186228158436855</v>
      </c>
      <c r="CW329" s="200" t="str">
        <f t="shared" si="590"/>
        <v/>
      </c>
      <c r="CX329" s="203">
        <f>IF($J329="",#N/A,SUM(CW$4:CW329))</f>
        <v>-0.29399505935581682</v>
      </c>
      <c r="CY329" s="204" t="str">
        <f t="shared" si="591"/>
        <v/>
      </c>
      <c r="CZ329" s="204">
        <f>IF($J329="",#N/A,SUM(CY$4:CY329))</f>
        <v>-0.20119965665334139</v>
      </c>
      <c r="DA329" s="205" t="str">
        <f t="shared" si="592"/>
        <v/>
      </c>
      <c r="DB329" s="205">
        <f>IF($J329="",#N/A,SUM(DA$4:DA329))</f>
        <v>-2.7756316087437582</v>
      </c>
      <c r="DC329" s="205">
        <f>IF($J329="",#N/A,SUM(DA$4:DA329,CY$4:CY329,CW$4:CW329))</f>
        <v>-3.2708263247529161</v>
      </c>
      <c r="DD329" s="200" t="str">
        <f t="shared" si="593"/>
        <v/>
      </c>
      <c r="DE329" s="203">
        <f>IF($J329="",#N/A,SUM(DD$4:DD329))</f>
        <v>1.2501454750716789</v>
      </c>
      <c r="DF329" s="204" t="str">
        <f t="shared" si="594"/>
        <v/>
      </c>
      <c r="DG329" s="204">
        <f>IF($J329="",#N/A,SUM(DF$4:DF329))</f>
        <v>2.626961496209514</v>
      </c>
      <c r="DH329" s="205" t="str">
        <f t="shared" si="595"/>
        <v/>
      </c>
      <c r="DI329" s="205">
        <f>IF($J329="",#N/A,SUM(DH$4:DH329))</f>
        <v>-2.7812008102163399</v>
      </c>
      <c r="DJ329" s="205">
        <f>IF($J329="",#N/A,SUM(DH$4:DH329,DF$4:DF329,DD$4:DD329))</f>
        <v>1.0959061610648531</v>
      </c>
      <c r="DK329" s="200" t="str">
        <f t="shared" si="596"/>
        <v/>
      </c>
      <c r="DL329" s="203">
        <f>IF($J329="",#N/A,SUM(DK$4:DK329))</f>
        <v>-0.84049791589649614</v>
      </c>
      <c r="DM329" s="204" t="str">
        <f t="shared" si="597"/>
        <v/>
      </c>
      <c r="DN329" s="204">
        <f>IF($J329="",#N/A,SUM(DM$4:DM329))</f>
        <v>1.8657648196498773</v>
      </c>
      <c r="DO329" s="205">
        <f t="shared" si="598"/>
        <v>0.78838470319634701</v>
      </c>
      <c r="DP329" s="205">
        <f>IF($J329="",#N/A,SUM(DO$4:DO329))</f>
        <v>3.4887162328793941</v>
      </c>
      <c r="DQ329" s="205">
        <f>IF($J329="",#N/A,SUM(DO$4:DO329,DM$4:DM329,DK$4:DK329))</f>
        <v>4.5139831366327758</v>
      </c>
      <c r="DR329" s="200" t="str">
        <f t="shared" si="599"/>
        <v/>
      </c>
      <c r="DS329" s="203">
        <f>IF($J329="",#N/A,SUM(DR$4:DR329))</f>
        <v>-0.55950946427675097</v>
      </c>
      <c r="DT329" s="204" t="str">
        <f t="shared" si="600"/>
        <v/>
      </c>
      <c r="DU329" s="204">
        <f>IF($J329="",#N/A,SUM(DT$4:DT329))</f>
        <v>-0.20750635820596686</v>
      </c>
      <c r="DV329" s="205" t="str">
        <f t="shared" si="601"/>
        <v/>
      </c>
      <c r="DW329" s="205">
        <f>IF($J329="",#N/A,SUM(DV$4:DV329))</f>
        <v>-2.3377035686214001</v>
      </c>
      <c r="DX329" s="205">
        <f>IF($J329="",#N/A,SUM(DV$4:DV329,DT$4:DT329,DR$4:DR329))</f>
        <v>-3.1047193911041169</v>
      </c>
      <c r="DY329" s="200" t="str">
        <f t="shared" si="602"/>
        <v/>
      </c>
      <c r="DZ329" s="203">
        <f>IF($J329="",#N/A,SUM(DY$4:DY329))</f>
        <v>-1.6284722482776204</v>
      </c>
      <c r="EA329" s="204" t="str">
        <f t="shared" si="603"/>
        <v/>
      </c>
      <c r="EB329" s="204">
        <f>IF($J329="",#N/A,SUM(EA$4:EA329))</f>
        <v>2.276197208799712</v>
      </c>
      <c r="EC329" s="205" t="str">
        <f t="shared" si="604"/>
        <v/>
      </c>
      <c r="ED329" s="205">
        <f>IF($J329="",#N/A,SUM(EC$4:EC329))</f>
        <v>8.6307007550759458</v>
      </c>
      <c r="EE329" s="205">
        <f>IF($J329="",#N/A,SUM(EC$4:EC329,EA$4:EA329,DY$4:DY329))</f>
        <v>9.2784257155980399</v>
      </c>
      <c r="EF329" s="200" t="str">
        <f t="shared" si="605"/>
        <v/>
      </c>
      <c r="EG329" s="203">
        <f>IF($J329="",#N/A,SUM(EF$4:EF329))</f>
        <v>0.65848341369884777</v>
      </c>
      <c r="EH329" s="204" t="str">
        <f t="shared" si="606"/>
        <v/>
      </c>
      <c r="EI329" s="204">
        <f>IF($J329="",#N/A,SUM(EH$4:EH329))</f>
        <v>-3.5125331561187787</v>
      </c>
      <c r="EJ329" s="205" t="str">
        <f t="shared" si="607"/>
        <v/>
      </c>
      <c r="EK329" s="205">
        <f>IF($J329="",#N/A,SUM(EJ$4:EJ329))</f>
        <v>7.7196470241767461</v>
      </c>
      <c r="EL329" s="205">
        <f>IF($J329="",#N/A,SUM(EJ$4:EJ329,EH$4:EH329,EF$4:EF329))</f>
        <v>4.8655972817568163</v>
      </c>
      <c r="EM329" s="200" t="str">
        <f t="shared" si="608"/>
        <v/>
      </c>
      <c r="EN329" s="203">
        <f>IF($J329="",#N/A,SUM(EM$4:EM329))</f>
        <v>0</v>
      </c>
      <c r="EO329" s="204" t="str">
        <f t="shared" si="609"/>
        <v/>
      </c>
      <c r="EP329" s="204">
        <f>IF($J329="",#N/A,SUM(EO$4:EO329))</f>
        <v>2.4788862078089964</v>
      </c>
      <c r="EQ329" s="205" t="str">
        <f t="shared" si="610"/>
        <v/>
      </c>
      <c r="ER329" s="205">
        <f>IF($J329="",#N/A,SUM(EQ$4:EQ329))</f>
        <v>2.6983279209445628</v>
      </c>
      <c r="ES329" s="205">
        <f>IF($J329="",#N/A,SUM(EQ$4:EQ329,EO$4:EO329,EM$4:EM329))</f>
        <v>5.1772141287535591</v>
      </c>
      <c r="ET329" s="200" t="str">
        <f t="shared" si="611"/>
        <v/>
      </c>
      <c r="EU329" s="203">
        <f>IF($J329="",#N/A,SUM(ET$4:ET329))</f>
        <v>0</v>
      </c>
      <c r="EV329" s="204" t="str">
        <f t="shared" si="612"/>
        <v/>
      </c>
      <c r="EW329" s="204">
        <f>IF($J329="",#N/A,SUM(EV$4:EV329))</f>
        <v>7.9116394275462909E-2</v>
      </c>
      <c r="EX329" s="205" t="str">
        <f t="shared" si="613"/>
        <v/>
      </c>
      <c r="EY329" s="205">
        <f>IF($J329="",#N/A,SUM(EX$4:EX329))</f>
        <v>0.27113250180669229</v>
      </c>
      <c r="EZ329" s="205">
        <f>IF($J329="",#N/A,SUM(EX$4:EX329,EV$4:EV329,ET$4:ET329))</f>
        <v>0.35024889608215481</v>
      </c>
      <c r="FA329" s="200" t="str">
        <f t="shared" si="614"/>
        <v/>
      </c>
      <c r="FB329" s="203">
        <f>IF($J329="",#N/A,SUM(FA$4:FA329))</f>
        <v>-0.27145310509113252</v>
      </c>
      <c r="FC329" s="204" t="str">
        <f t="shared" si="615"/>
        <v/>
      </c>
      <c r="FD329" s="204">
        <f>IF($J329="",#N/A,SUM(FC$4:FC329))</f>
        <v>0.89084290967454072</v>
      </c>
      <c r="FE329" s="205" t="str">
        <f t="shared" si="616"/>
        <v/>
      </c>
      <c r="FF329" s="205">
        <f>IF($J329="",#N/A,SUM(FE$4:FE329))</f>
        <v>-0.28811149078748233</v>
      </c>
      <c r="FG329" s="205">
        <f>IF($J329="",#N/A,SUM(FE$4:FE329,FC$4:FC329,FA$4:FA329))</f>
        <v>0.3312783137959262</v>
      </c>
      <c r="FH329" s="200" t="str">
        <f t="shared" si="617"/>
        <v/>
      </c>
      <c r="FI329" s="203">
        <f>IF($J329="",#N/A,SUM(FH$4:FH329))</f>
        <v>0</v>
      </c>
      <c r="FJ329" s="204" t="str">
        <f t="shared" si="618"/>
        <v/>
      </c>
      <c r="FK329" s="204">
        <f>IF($J329="",#N/A,SUM(FJ$4:FJ329))</f>
        <v>0</v>
      </c>
      <c r="FL329" s="205" t="str">
        <f t="shared" si="619"/>
        <v/>
      </c>
      <c r="FM329" s="205">
        <f>IF($J329="",#N/A,SUM(FL$4:FL329))</f>
        <v>0</v>
      </c>
      <c r="FN329" s="205">
        <f>IF($J329="",#N/A,SUM(FL$4:FL329,FJ$4:FJ329,FH$4:FH329))</f>
        <v>0</v>
      </c>
      <c r="FO329" s="200" t="str">
        <f t="shared" si="620"/>
        <v/>
      </c>
      <c r="FP329" s="203">
        <f>IF($J329="",#N/A,SUM(FO$4:FO329))</f>
        <v>0</v>
      </c>
      <c r="FQ329" s="204" t="str">
        <f t="shared" si="621"/>
        <v/>
      </c>
      <c r="FR329" s="204">
        <f>IF($J329="",#N/A,SUM(FQ$4:FQ329))</f>
        <v>0</v>
      </c>
      <c r="FS329" s="205" t="str">
        <f t="shared" si="622"/>
        <v/>
      </c>
      <c r="FT329" s="205">
        <f>IF($J329="",#N/A,SUM(FS$4:FS329))</f>
        <v>0</v>
      </c>
      <c r="FU329" s="205">
        <f>IF($J329="",#N/A,SUM(FS$4:FS329,FQ$4:FQ329,FO$4:FO329))</f>
        <v>0</v>
      </c>
      <c r="FV329" s="200" t="str">
        <f t="shared" si="623"/>
        <v/>
      </c>
      <c r="FW329" s="203">
        <f>IF($J329="",#N/A,SUM(FV$4:FV329))</f>
        <v>6.6834991831277585E-2</v>
      </c>
      <c r="FX329" s="204" t="str">
        <f t="shared" si="624"/>
        <v/>
      </c>
      <c r="FY329" s="204">
        <f>IF($J329="",#N/A,SUM(FX$4:FX329))</f>
        <v>-0.16102012791805576</v>
      </c>
      <c r="FZ329" s="205" t="str">
        <f t="shared" si="625"/>
        <v/>
      </c>
      <c r="GA329" s="205">
        <f>IF($J329="",#N/A,SUM(FZ$4:FZ329))</f>
        <v>-0.69624339162892301</v>
      </c>
      <c r="GB329" s="205">
        <f>IF($J329="",#N/A,SUM(FZ$4:FZ329,FX$4:FX329,FV$4:FV329))</f>
        <v>-0.79042852771570116</v>
      </c>
      <c r="GC329" s="200" t="str">
        <f t="shared" si="626"/>
        <v/>
      </c>
      <c r="GD329" s="203">
        <f>IF($J329="",#N/A,SUM(GC$4:GC329))</f>
        <v>0</v>
      </c>
      <c r="GE329" s="204" t="str">
        <f t="shared" si="627"/>
        <v/>
      </c>
      <c r="GF329" s="204">
        <f>IF($J329="",#N/A,SUM(GE$4:GE329))</f>
        <v>0</v>
      </c>
      <c r="GG329" s="205" t="str">
        <f t="shared" si="628"/>
        <v/>
      </c>
      <c r="GH329" s="205">
        <f>IF($J329="",#N/A,SUM(GG$4:GG329))</f>
        <v>-2.9368362277223206</v>
      </c>
      <c r="GI329" s="205">
        <f>IF($J329="",#N/A,SUM(GG$4:GG329,GE$4:GE329,GC$4:GC329))</f>
        <v>-2.9368362277223206</v>
      </c>
      <c r="GJ329" s="200" t="str">
        <f t="shared" si="629"/>
        <v/>
      </c>
      <c r="GK329" s="203">
        <f>IF($J329="",#N/A,SUM(GJ$4:GJ329))</f>
        <v>0</v>
      </c>
      <c r="GL329" s="204" t="str">
        <f t="shared" si="630"/>
        <v/>
      </c>
      <c r="GM329" s="204">
        <f>IF($J329="",#N/A,SUM(GL$4:GL329))</f>
        <v>-1.6833790887309608</v>
      </c>
      <c r="GN329" s="205" t="str">
        <f t="shared" si="631"/>
        <v/>
      </c>
      <c r="GO329" s="205">
        <f>IF($J329="",#N/A,SUM(GN$4:GN329))</f>
        <v>0</v>
      </c>
      <c r="GP329" s="205">
        <f>IF($J329="",#N/A,SUM(GN$4:GN329,GL$4:GL329,GJ$4:GJ329))</f>
        <v>-1.6833790887309608</v>
      </c>
      <c r="GS329" s="327">
        <f t="shared" si="650"/>
        <v>0.78838470319634701</v>
      </c>
      <c r="GT329" s="327">
        <f>IF(GS329="",NA(),SUM($GS$4:GS329))</f>
        <v>12.338355827854247</v>
      </c>
      <c r="GU329" s="327" t="str">
        <f t="shared" si="632"/>
        <v/>
      </c>
      <c r="GV329" s="327" t="e">
        <f>IF(GU329="",NA(),SUM($GU$4:GU329))</f>
        <v>#N/A</v>
      </c>
      <c r="GW329" s="327">
        <f t="shared" si="633"/>
        <v>0.78838470319634701</v>
      </c>
      <c r="GX329" s="327">
        <f>IF(GW329="",NA(),SUM($GW$4:GW329))</f>
        <v>11.276306049381551</v>
      </c>
      <c r="GY329" s="327" t="str">
        <f t="shared" si="634"/>
        <v/>
      </c>
      <c r="GZ329" s="327" t="e">
        <f>IF(GY329="",NA(),SUM($GY$4:GY329))</f>
        <v>#N/A</v>
      </c>
      <c r="HA329" s="327" t="str">
        <f t="shared" si="635"/>
        <v/>
      </c>
      <c r="HB329" s="327" t="e">
        <f>IF(HA329="",NA(),SUM($HA$4:HA329))</f>
        <v>#N/A</v>
      </c>
      <c r="HC329" s="327" t="str">
        <f t="shared" si="636"/>
        <v/>
      </c>
      <c r="HD329" s="327" t="e">
        <f>IF(HC329="",NA(),SUM($HC$4:HC329))</f>
        <v>#N/A</v>
      </c>
      <c r="HE329" s="327" t="str">
        <f t="shared" si="637"/>
        <v/>
      </c>
      <c r="HF329" s="327" t="e">
        <f>IF(HE329="",NA(),SUM($HE$4:HE329))</f>
        <v>#N/A</v>
      </c>
      <c r="HG329" s="327" t="str">
        <f t="shared" si="638"/>
        <v/>
      </c>
      <c r="HH329" s="327" t="e">
        <f>IF(HG329="",NA(),SUM($HG$4:HG329))</f>
        <v>#N/A</v>
      </c>
      <c r="HI329" s="328" t="str">
        <f t="shared" si="651"/>
        <v/>
      </c>
      <c r="HJ329" s="328">
        <f>IF($J329="",#N/A,SUM(HI$4:$HI329))</f>
        <v>-8.7289352510103964</v>
      </c>
      <c r="HK329" s="327" t="str">
        <f t="shared" si="639"/>
        <v/>
      </c>
      <c r="HL329" s="327">
        <f>IF($J329="",#N/A,SUM($HK$4:HK329))</f>
        <v>2.2074484219096853</v>
      </c>
      <c r="HM329" s="327" t="str">
        <f t="shared" si="640"/>
        <v/>
      </c>
      <c r="HN329" s="327">
        <f>IF($J329="",#N/A,SUM($HM$4:HM329))</f>
        <v>-0.27414712288080484</v>
      </c>
      <c r="HO329" s="327" t="str">
        <f t="shared" si="641"/>
        <v/>
      </c>
      <c r="HP329" s="327">
        <f>IF($J329="",#N/A,SUM($HO$4:HO329))</f>
        <v>-0.69476253225193951</v>
      </c>
      <c r="HQ329" s="327">
        <f t="shared" si="642"/>
        <v>-7.4914383561643816E-2</v>
      </c>
      <c r="HR329" s="327">
        <f>IF($J329="",#N/A,SUM($HQ$4:HQ329))</f>
        <v>-12.322894294476907</v>
      </c>
      <c r="HS329" s="327" t="str">
        <f t="shared" si="643"/>
        <v/>
      </c>
      <c r="HT329" s="327">
        <f>IF($J329="",#N/A,SUM($HS$4:HS329))</f>
        <v>14.296176771567277</v>
      </c>
      <c r="HU329" s="331">
        <f t="shared" si="644"/>
        <v>0.7134703196347032</v>
      </c>
      <c r="HV329" s="331">
        <f>IF($J329="",#N/A,SUM(HU$4:$HU329))</f>
        <v>10.455822753390708</v>
      </c>
    </row>
    <row r="330" spans="1:230" x14ac:dyDescent="0.25">
      <c r="A330" s="59" t="s">
        <v>648</v>
      </c>
      <c r="B330" s="289" t="s">
        <v>4601</v>
      </c>
      <c r="C330" s="230">
        <f t="shared" si="545"/>
        <v>2</v>
      </c>
      <c r="D330" s="220" t="str">
        <f>_xlfn.XLOOKUP(A330,[1]SP500!$A$2:$A$502,[1]SP500!$D$2:$D$502,"N")</f>
        <v>N</v>
      </c>
      <c r="E330" s="59" t="str">
        <f>IFERROR(_xlfn.XLOOKUP(A330,[1]SP500!$A$2:$A$655,[1]SP500!$B$2:$B$655),"")</f>
        <v>XLK</v>
      </c>
      <c r="F330" s="290">
        <v>45789</v>
      </c>
      <c r="G330" s="59" t="str">
        <f t="shared" si="546"/>
        <v>AMC</v>
      </c>
      <c r="H330" s="59" t="str">
        <f t="shared" si="547"/>
        <v>s</v>
      </c>
      <c r="I330" s="376">
        <v>15.9</v>
      </c>
      <c r="J330" s="125">
        <v>17.420000000000002</v>
      </c>
      <c r="K330" s="60">
        <f t="shared" si="548"/>
        <v>9.5597484276729636E-2</v>
      </c>
      <c r="L330" s="68">
        <f t="shared" si="549"/>
        <v>-114.00000000000023</v>
      </c>
      <c r="M330" s="62">
        <f t="shared" si="550"/>
        <v>-13.499999999999773</v>
      </c>
      <c r="N330" s="63">
        <f t="shared" si="551"/>
        <v>-114.00000000000023</v>
      </c>
      <c r="O330" s="62">
        <f>IF(N330="",#N/A,SUM($N$4:N330))</f>
        <v>723.7243755616239</v>
      </c>
      <c r="P330" s="64">
        <f t="shared" si="645"/>
        <v>-1.5932914046121627</v>
      </c>
      <c r="Q330" s="183">
        <f>IF($N330="",#N/A,SUM($P$4:P330))</f>
        <v>14.895592823088617</v>
      </c>
      <c r="R330" s="279">
        <f t="shared" si="552"/>
        <v>6.0258684086440599</v>
      </c>
      <c r="S330" s="59" t="str">
        <f t="shared" si="553"/>
        <v>Dwn</v>
      </c>
      <c r="T330" s="59" t="s">
        <v>4461</v>
      </c>
      <c r="U330" s="61">
        <f t="shared" si="554"/>
        <v>15.9</v>
      </c>
      <c r="V330" s="61" t="s">
        <v>4458</v>
      </c>
      <c r="W330" s="142">
        <v>75</v>
      </c>
      <c r="X330" s="146">
        <f t="shared" si="555"/>
        <v>1192.5</v>
      </c>
      <c r="Y330" s="142">
        <f t="shared" si="556"/>
        <v>75</v>
      </c>
      <c r="Z330" s="278">
        <v>17.600000000000001</v>
      </c>
      <c r="AA330" s="63">
        <f t="shared" si="557"/>
        <v>-127.5</v>
      </c>
      <c r="AB330" s="63">
        <f t="shared" si="558"/>
        <v>-135.75</v>
      </c>
      <c r="AC330" s="125">
        <v>17.71</v>
      </c>
      <c r="AD330" s="148">
        <f t="shared" si="559"/>
        <v>-135.75</v>
      </c>
      <c r="AE330" s="544">
        <f t="shared" si="560"/>
        <v>-1.8972746331236898</v>
      </c>
      <c r="AF330" s="62">
        <f>IF($AC330="",#N/A,SUM(AD$4:AD330))</f>
        <v>463.50239714744873</v>
      </c>
      <c r="AG330" s="63">
        <f t="shared" si="561"/>
        <v>-21.749999999999773</v>
      </c>
      <c r="AH330" s="61" t="s">
        <v>2507</v>
      </c>
      <c r="AI330" s="64">
        <f t="shared" si="562"/>
        <v>-1.7819706498951782</v>
      </c>
      <c r="AJ330" s="420">
        <f>IF(AI330="",#N/A,SUM($AI$4:AI330))</f>
        <v>8.8697244144445566</v>
      </c>
      <c r="AK330" s="62">
        <f t="shared" si="563"/>
        <v>-127.5</v>
      </c>
      <c r="AL330" s="421">
        <f>IF(AI330="",#N/A,IF(AH330="Skip",SUM($AK$4:AK330),SUM($AK$4:AK330)))</f>
        <v>315.18236927848193</v>
      </c>
      <c r="AM330" s="65">
        <f t="shared" si="646"/>
        <v>-1.8972746331236898</v>
      </c>
      <c r="AN330" s="209"/>
      <c r="AO330" s="64" t="str">
        <f t="shared" si="564"/>
        <v/>
      </c>
      <c r="AP330" s="64">
        <f>IF($AC330="",#N/A,SUM(AO$4:AO330))</f>
        <v>12.080962883173557</v>
      </c>
      <c r="AQ330" s="64" t="str">
        <f t="shared" si="565"/>
        <v/>
      </c>
      <c r="AR330" s="64">
        <f>IF($AC330="",#N/A,SUM(AQ$4:AQ330))</f>
        <v>-5.1272933549890007</v>
      </c>
      <c r="AS330" s="64">
        <f t="shared" si="566"/>
        <v>-1.8972746331236898</v>
      </c>
      <c r="AT330" s="64">
        <f>IF($AC330="",#N/A,SUM(AS$4:AS330))</f>
        <v>1.6048785920824562</v>
      </c>
      <c r="AU330" s="62" t="str">
        <f t="shared" si="647"/>
        <v/>
      </c>
      <c r="AV330" s="62">
        <f>IF($AC330="",#N/A,SUM(AU$4:AU330))</f>
        <v>690.46627194988037</v>
      </c>
      <c r="AW330" s="62" t="str">
        <f t="shared" si="648"/>
        <v/>
      </c>
      <c r="AX330" s="62">
        <f>IF($AC330="",#N/A,SUM(AW$4:AW330))</f>
        <v>-340.17106797961105</v>
      </c>
      <c r="AY330" s="62">
        <f t="shared" si="649"/>
        <v>-135.75</v>
      </c>
      <c r="AZ330" s="62">
        <f>IF($AC330="",#N/A,SUM(AY$4:AY330))</f>
        <v>113.20719317717942</v>
      </c>
      <c r="BA330" s="62">
        <f>IF(AD330="",#N/A,SUM($AD$4:AD330))</f>
        <v>463.50239714744873</v>
      </c>
      <c r="BC330" s="59" t="str">
        <f t="shared" si="567"/>
        <v/>
      </c>
      <c r="BD330" s="59">
        <f t="shared" si="568"/>
        <v>1</v>
      </c>
      <c r="BE330" s="59" t="str">
        <f t="shared" si="569"/>
        <v/>
      </c>
      <c r="BF330" s="59" t="str">
        <f t="shared" si="570"/>
        <v>Short</v>
      </c>
      <c r="BG330" s="59" t="str">
        <f t="shared" si="571"/>
        <v/>
      </c>
      <c r="BH330" s="59" t="str">
        <f t="shared" si="572"/>
        <v/>
      </c>
      <c r="BI330" s="59" t="str">
        <f t="shared" si="573"/>
        <v/>
      </c>
      <c r="BK330" s="65">
        <f t="shared" si="544"/>
        <v>2.8522614667287841E-2</v>
      </c>
      <c r="BL330" s="65">
        <f t="shared" si="543"/>
        <v>0.18105390710428587</v>
      </c>
      <c r="BM330" s="65">
        <f>IFERROR(Q330/COUNTA($J$4:J330),#N/A)</f>
        <v>4.5552271630240421E-2</v>
      </c>
      <c r="BO330" s="489" t="e">
        <f>IF(J330="",#N/A,IF(S330="SW",(COUNTIFS(K$4:$K330,"&gt;0",S$4:$S330,"SW")/COUNTIF(S$4:$S330,"SW")),#N/A))</f>
        <v>#N/A</v>
      </c>
      <c r="BP330" s="489">
        <f>IF($J330="",#N/A,IF($S330="DWN",(COUNTIFS($K$4:$K330,"&lt;0",$S$4:$S330,"DWN")/COUNTIF($S$4:$S330,"DWN")),#N/A))</f>
        <v>0.55704697986577179</v>
      </c>
      <c r="BQ330" s="489" t="e">
        <f>IF($J330="",#N/A,IF($S330="UP",(COUNTIFS($K$4:$K330,"&gt;0",$S$4:$S330,"UP")/COUNTIF($S$4:$S330,"UP")),#N/A))</f>
        <v>#N/A</v>
      </c>
      <c r="BR330" s="489">
        <f>IF(J330="",#N/A,COUNTIF($K$4:K330,"&gt;0")/COUNT($J$4:J330))</f>
        <v>0.47706422018348627</v>
      </c>
      <c r="BS330" s="65" t="str">
        <f t="shared" si="574"/>
        <v/>
      </c>
      <c r="BT330" s="65" t="str">
        <f t="shared" si="575"/>
        <v/>
      </c>
      <c r="BU330" s="65" t="str">
        <f t="shared" si="576"/>
        <v/>
      </c>
      <c r="BV330" s="65">
        <f t="shared" si="577"/>
        <v>-1.5932914046121627</v>
      </c>
      <c r="BW330" s="128" t="str">
        <f t="shared" si="578"/>
        <v/>
      </c>
      <c r="BX330" s="128">
        <f>IF($J330="",#N/A,SUM($BW$4:BW330))</f>
        <v>-265.49317034792875</v>
      </c>
      <c r="BY330" s="131">
        <f t="shared" si="579"/>
        <v>-114.00000000000023</v>
      </c>
      <c r="BZ330" s="131">
        <f>IF($J330="",#N/A,SUM($BY$4:BY330))</f>
        <v>432.59161346139433</v>
      </c>
      <c r="CA330" s="133" t="str">
        <f t="shared" si="580"/>
        <v/>
      </c>
      <c r="CB330" s="133">
        <f>IF($J330="",#N/A,SUM($CA$4:CA330))</f>
        <v>556.62593244815821</v>
      </c>
      <c r="CC330" s="194" t="str">
        <f t="shared" si="581"/>
        <v/>
      </c>
      <c r="CD330" s="194">
        <f>IF($J330="",#N/A,SUM($CC$4:CC330))</f>
        <v>-4.1583836998562527</v>
      </c>
      <c r="CE330" s="195">
        <f t="shared" si="582"/>
        <v>-1.5932914046121627</v>
      </c>
      <c r="CF330" s="195">
        <f>IF($J330="",#N/A,SUM($CE$4:CE330))</f>
        <v>8.4303486496947038</v>
      </c>
      <c r="CG330" s="196" t="str">
        <f t="shared" si="583"/>
        <v/>
      </c>
      <c r="CH330" s="196">
        <f>IF($J330="",#N/A,SUM($CG$4:CG330))</f>
        <v>10.623627873250173</v>
      </c>
      <c r="CI330" s="200" t="str">
        <f t="shared" si="584"/>
        <v/>
      </c>
      <c r="CJ330" s="203">
        <f>IF($J330="",#N/A,SUM(CI$4:CI330))</f>
        <v>0</v>
      </c>
      <c r="CK330" s="204">
        <f t="shared" si="585"/>
        <v>-1.5932914046121627</v>
      </c>
      <c r="CL330" s="204">
        <f>IF($J330="",#N/A,SUM(CK$4:CK330))</f>
        <v>1.2912501745213723</v>
      </c>
      <c r="CM330" s="205" t="str">
        <f t="shared" si="586"/>
        <v/>
      </c>
      <c r="CN330" s="205">
        <f>IF($J330="",#N/A,SUM(CM$4:CM330))</f>
        <v>1.6494621984783118</v>
      </c>
      <c r="CO330" s="205">
        <f>IF($J330="",#N/A,SUM(CM$4:CM330,CK$4:CK330,CI$4:CI330))</f>
        <v>2.9407123729996845</v>
      </c>
      <c r="CP330" s="200" t="str">
        <f t="shared" si="587"/>
        <v/>
      </c>
      <c r="CQ330" s="203">
        <f>IF($J330="",#N/A,SUM(CP$4:CP330))</f>
        <v>-2.5399197875602422</v>
      </c>
      <c r="CR330" s="204" t="str">
        <f t="shared" si="588"/>
        <v/>
      </c>
      <c r="CS330" s="204">
        <f>IF($J330="",#N/A,SUM(CR$4:CR330))</f>
        <v>2.3600225017004668</v>
      </c>
      <c r="CT330" s="205" t="str">
        <f t="shared" si="589"/>
        <v/>
      </c>
      <c r="CU330" s="205">
        <f>IF($J330="",#N/A,SUM(CT$4:CT330))</f>
        <v>-0.35196499572459283</v>
      </c>
      <c r="CV330" s="205">
        <f>IF($J330="",#N/A,SUM(CT$4:CT330,CR$4:CR330,CP$4:CP330))</f>
        <v>-0.53186228158436855</v>
      </c>
      <c r="CW330" s="200" t="str">
        <f t="shared" si="590"/>
        <v/>
      </c>
      <c r="CX330" s="203">
        <f>IF($J330="",#N/A,SUM(CW$4:CW330))</f>
        <v>-0.29399505935581682</v>
      </c>
      <c r="CY330" s="204" t="str">
        <f t="shared" si="591"/>
        <v/>
      </c>
      <c r="CZ330" s="204">
        <f>IF($J330="",#N/A,SUM(CY$4:CY330))</f>
        <v>-0.20119965665334139</v>
      </c>
      <c r="DA330" s="205" t="str">
        <f t="shared" si="592"/>
        <v/>
      </c>
      <c r="DB330" s="205">
        <f>IF($J330="",#N/A,SUM(DA$4:DA330))</f>
        <v>-2.7756316087437582</v>
      </c>
      <c r="DC330" s="205">
        <f>IF($J330="",#N/A,SUM(DA$4:DA330,CY$4:CY330,CW$4:CW330))</f>
        <v>-3.2708263247529161</v>
      </c>
      <c r="DD330" s="200" t="str">
        <f t="shared" si="593"/>
        <v/>
      </c>
      <c r="DE330" s="203">
        <f>IF($J330="",#N/A,SUM(DD$4:DD330))</f>
        <v>1.2501454750716789</v>
      </c>
      <c r="DF330" s="204" t="str">
        <f t="shared" si="594"/>
        <v/>
      </c>
      <c r="DG330" s="204">
        <f>IF($J330="",#N/A,SUM(DF$4:DF330))</f>
        <v>2.626961496209514</v>
      </c>
      <c r="DH330" s="205" t="str">
        <f t="shared" si="595"/>
        <v/>
      </c>
      <c r="DI330" s="205">
        <f>IF($J330="",#N/A,SUM(DH$4:DH330))</f>
        <v>-2.7812008102163399</v>
      </c>
      <c r="DJ330" s="205">
        <f>IF($J330="",#N/A,SUM(DH$4:DH330,DF$4:DF330,DD$4:DD330))</f>
        <v>1.0959061610648531</v>
      </c>
      <c r="DK330" s="200" t="str">
        <f t="shared" si="596"/>
        <v/>
      </c>
      <c r="DL330" s="203">
        <f>IF($J330="",#N/A,SUM(DK$4:DK330))</f>
        <v>-0.84049791589649614</v>
      </c>
      <c r="DM330" s="204" t="str">
        <f t="shared" si="597"/>
        <v/>
      </c>
      <c r="DN330" s="204">
        <f>IF($J330="",#N/A,SUM(DM$4:DM330))</f>
        <v>1.8657648196498773</v>
      </c>
      <c r="DO330" s="205" t="str">
        <f t="shared" si="598"/>
        <v/>
      </c>
      <c r="DP330" s="205">
        <f>IF($J330="",#N/A,SUM(DO$4:DO330))</f>
        <v>3.4887162328793941</v>
      </c>
      <c r="DQ330" s="205">
        <f>IF($J330="",#N/A,SUM(DO$4:DO330,DM$4:DM330,DK$4:DK330))</f>
        <v>4.5139831366327758</v>
      </c>
      <c r="DR330" s="200" t="str">
        <f t="shared" si="599"/>
        <v/>
      </c>
      <c r="DS330" s="203">
        <f>IF($J330="",#N/A,SUM(DR$4:DR330))</f>
        <v>-0.55950946427675097</v>
      </c>
      <c r="DT330" s="204" t="str">
        <f t="shared" si="600"/>
        <v/>
      </c>
      <c r="DU330" s="204">
        <f>IF($J330="",#N/A,SUM(DT$4:DT330))</f>
        <v>-0.20750635820596686</v>
      </c>
      <c r="DV330" s="205" t="str">
        <f t="shared" si="601"/>
        <v/>
      </c>
      <c r="DW330" s="205">
        <f>IF($J330="",#N/A,SUM(DV$4:DV330))</f>
        <v>-2.3377035686214001</v>
      </c>
      <c r="DX330" s="205">
        <f>IF($J330="",#N/A,SUM(DV$4:DV330,DT$4:DT330,DR$4:DR330))</f>
        <v>-3.1047193911041169</v>
      </c>
      <c r="DY330" s="200" t="str">
        <f t="shared" si="602"/>
        <v/>
      </c>
      <c r="DZ330" s="203">
        <f>IF($J330="",#N/A,SUM(DY$4:DY330))</f>
        <v>-1.6284722482776204</v>
      </c>
      <c r="EA330" s="204" t="str">
        <f t="shared" si="603"/>
        <v/>
      </c>
      <c r="EB330" s="204">
        <f>IF($J330="",#N/A,SUM(EA$4:EA330))</f>
        <v>2.276197208799712</v>
      </c>
      <c r="EC330" s="205" t="str">
        <f t="shared" si="604"/>
        <v/>
      </c>
      <c r="ED330" s="205">
        <f>IF($J330="",#N/A,SUM(EC$4:EC330))</f>
        <v>8.6307007550759458</v>
      </c>
      <c r="EE330" s="205">
        <f>IF($J330="",#N/A,SUM(EC$4:EC330,EA$4:EA330,DY$4:DY330))</f>
        <v>9.2784257155980399</v>
      </c>
      <c r="EF330" s="200" t="str">
        <f t="shared" si="605"/>
        <v/>
      </c>
      <c r="EG330" s="203">
        <f>IF($J330="",#N/A,SUM(EF$4:EF330))</f>
        <v>0.65848341369884777</v>
      </c>
      <c r="EH330" s="204" t="str">
        <f t="shared" si="606"/>
        <v/>
      </c>
      <c r="EI330" s="204">
        <f>IF($J330="",#N/A,SUM(EH$4:EH330))</f>
        <v>-3.5125331561187787</v>
      </c>
      <c r="EJ330" s="205" t="str">
        <f t="shared" si="607"/>
        <v/>
      </c>
      <c r="EK330" s="205">
        <f>IF($J330="",#N/A,SUM(EJ$4:EJ330))</f>
        <v>7.7196470241767461</v>
      </c>
      <c r="EL330" s="205">
        <f>IF($J330="",#N/A,SUM(EJ$4:EJ330,EH$4:EH330,EF$4:EF330))</f>
        <v>4.8655972817568163</v>
      </c>
      <c r="EM330" s="200" t="str">
        <f t="shared" si="608"/>
        <v/>
      </c>
      <c r="EN330" s="203">
        <f>IF($J330="",#N/A,SUM(EM$4:EM330))</f>
        <v>0</v>
      </c>
      <c r="EO330" s="204" t="str">
        <f t="shared" si="609"/>
        <v/>
      </c>
      <c r="EP330" s="204">
        <f>IF($J330="",#N/A,SUM(EO$4:EO330))</f>
        <v>2.4788862078089964</v>
      </c>
      <c r="EQ330" s="205" t="str">
        <f t="shared" si="610"/>
        <v/>
      </c>
      <c r="ER330" s="205">
        <f>IF($J330="",#N/A,SUM(EQ$4:EQ330))</f>
        <v>2.6983279209445628</v>
      </c>
      <c r="ES330" s="205">
        <f>IF($J330="",#N/A,SUM(EQ$4:EQ330,EO$4:EO330,EM$4:EM330))</f>
        <v>5.1772141287535591</v>
      </c>
      <c r="ET330" s="200" t="str">
        <f t="shared" si="611"/>
        <v/>
      </c>
      <c r="EU330" s="203">
        <f>IF($J330="",#N/A,SUM(ET$4:ET330))</f>
        <v>0</v>
      </c>
      <c r="EV330" s="204" t="str">
        <f t="shared" si="612"/>
        <v/>
      </c>
      <c r="EW330" s="204">
        <f>IF($J330="",#N/A,SUM(EV$4:EV330))</f>
        <v>7.9116394275462909E-2</v>
      </c>
      <c r="EX330" s="205" t="str">
        <f t="shared" si="613"/>
        <v/>
      </c>
      <c r="EY330" s="205">
        <f>IF($J330="",#N/A,SUM(EX$4:EX330))</f>
        <v>0.27113250180669229</v>
      </c>
      <c r="EZ330" s="205">
        <f>IF($J330="",#N/A,SUM(EX$4:EX330,EV$4:EV330,ET$4:ET330))</f>
        <v>0.35024889608215481</v>
      </c>
      <c r="FA330" s="200" t="str">
        <f t="shared" si="614"/>
        <v/>
      </c>
      <c r="FB330" s="203">
        <f>IF($J330="",#N/A,SUM(FA$4:FA330))</f>
        <v>-0.27145310509113252</v>
      </c>
      <c r="FC330" s="204" t="str">
        <f t="shared" si="615"/>
        <v/>
      </c>
      <c r="FD330" s="204">
        <f>IF($J330="",#N/A,SUM(FC$4:FC330))</f>
        <v>0.89084290967454072</v>
      </c>
      <c r="FE330" s="205" t="str">
        <f t="shared" si="616"/>
        <v/>
      </c>
      <c r="FF330" s="205">
        <f>IF($J330="",#N/A,SUM(FE$4:FE330))</f>
        <v>-0.28811149078748233</v>
      </c>
      <c r="FG330" s="205">
        <f>IF($J330="",#N/A,SUM(FE$4:FE330,FC$4:FC330,FA$4:FA330))</f>
        <v>0.3312783137959262</v>
      </c>
      <c r="FH330" s="200" t="str">
        <f t="shared" si="617"/>
        <v/>
      </c>
      <c r="FI330" s="203">
        <f>IF($J330="",#N/A,SUM(FH$4:FH330))</f>
        <v>0</v>
      </c>
      <c r="FJ330" s="204" t="str">
        <f t="shared" si="618"/>
        <v/>
      </c>
      <c r="FK330" s="204">
        <f>IF($J330="",#N/A,SUM(FJ$4:FJ330))</f>
        <v>0</v>
      </c>
      <c r="FL330" s="205" t="str">
        <f t="shared" si="619"/>
        <v/>
      </c>
      <c r="FM330" s="205">
        <f>IF($J330="",#N/A,SUM(FL$4:FL330))</f>
        <v>0</v>
      </c>
      <c r="FN330" s="205">
        <f>IF($J330="",#N/A,SUM(FL$4:FL330,FJ$4:FJ330,FH$4:FH330))</f>
        <v>0</v>
      </c>
      <c r="FO330" s="200" t="str">
        <f t="shared" si="620"/>
        <v/>
      </c>
      <c r="FP330" s="203">
        <f>IF($J330="",#N/A,SUM(FO$4:FO330))</f>
        <v>0</v>
      </c>
      <c r="FQ330" s="204" t="str">
        <f t="shared" si="621"/>
        <v/>
      </c>
      <c r="FR330" s="204">
        <f>IF($J330="",#N/A,SUM(FQ$4:FQ330))</f>
        <v>0</v>
      </c>
      <c r="FS330" s="205" t="str">
        <f t="shared" si="622"/>
        <v/>
      </c>
      <c r="FT330" s="205">
        <f>IF($J330="",#N/A,SUM(FS$4:FS330))</f>
        <v>0</v>
      </c>
      <c r="FU330" s="205">
        <f>IF($J330="",#N/A,SUM(FS$4:FS330,FQ$4:FQ330,FO$4:FO330))</f>
        <v>0</v>
      </c>
      <c r="FV330" s="200" t="str">
        <f t="shared" si="623"/>
        <v/>
      </c>
      <c r="FW330" s="203">
        <f>IF($J330="",#N/A,SUM(FV$4:FV330))</f>
        <v>6.6834991831277585E-2</v>
      </c>
      <c r="FX330" s="204" t="str">
        <f t="shared" si="624"/>
        <v/>
      </c>
      <c r="FY330" s="204">
        <f>IF($J330="",#N/A,SUM(FX$4:FX330))</f>
        <v>-0.16102012791805576</v>
      </c>
      <c r="FZ330" s="205" t="str">
        <f t="shared" si="625"/>
        <v/>
      </c>
      <c r="GA330" s="205">
        <f>IF($J330="",#N/A,SUM(FZ$4:FZ330))</f>
        <v>-0.69624339162892301</v>
      </c>
      <c r="GB330" s="205">
        <f>IF($J330="",#N/A,SUM(FZ$4:FZ330,FX$4:FX330,FV$4:FV330))</f>
        <v>-0.79042852771570116</v>
      </c>
      <c r="GC330" s="200" t="str">
        <f t="shared" si="626"/>
        <v/>
      </c>
      <c r="GD330" s="203">
        <f>IF($J330="",#N/A,SUM(GC$4:GC330))</f>
        <v>0</v>
      </c>
      <c r="GE330" s="204" t="str">
        <f t="shared" si="627"/>
        <v/>
      </c>
      <c r="GF330" s="204">
        <f>IF($J330="",#N/A,SUM(GE$4:GE330))</f>
        <v>0</v>
      </c>
      <c r="GG330" s="205" t="str">
        <f t="shared" si="628"/>
        <v/>
      </c>
      <c r="GH330" s="205">
        <f>IF($J330="",#N/A,SUM(GG$4:GG330))</f>
        <v>-2.9368362277223206</v>
      </c>
      <c r="GI330" s="205">
        <f>IF($J330="",#N/A,SUM(GG$4:GG330,GE$4:GE330,GC$4:GC330))</f>
        <v>-2.9368362277223206</v>
      </c>
      <c r="GJ330" s="200" t="str">
        <f t="shared" si="629"/>
        <v/>
      </c>
      <c r="GK330" s="203">
        <f>IF($J330="",#N/A,SUM(GJ$4:GJ330))</f>
        <v>0</v>
      </c>
      <c r="GL330" s="204" t="str">
        <f t="shared" si="630"/>
        <v/>
      </c>
      <c r="GM330" s="204">
        <f>IF($J330="",#N/A,SUM(GL$4:GL330))</f>
        <v>-1.6833790887309608</v>
      </c>
      <c r="GN330" s="205" t="str">
        <f t="shared" si="631"/>
        <v/>
      </c>
      <c r="GO330" s="205">
        <f>IF($J330="",#N/A,SUM(GN$4:GN330))</f>
        <v>0</v>
      </c>
      <c r="GP330" s="205">
        <f>IF($J330="",#N/A,SUM(GN$4:GN330,GL$4:GL330,GJ$4:GJ330))</f>
        <v>-1.6833790887309608</v>
      </c>
      <c r="GS330" s="177" t="str">
        <f t="shared" si="650"/>
        <v/>
      </c>
      <c r="GT330" s="177" t="e">
        <f>IF(GS330="",NA(),SUM($GS$4:GS330))</f>
        <v>#N/A</v>
      </c>
      <c r="GU330" s="177" t="str">
        <f t="shared" si="632"/>
        <v/>
      </c>
      <c r="GV330" s="177" t="e">
        <f>IF(GU330="",NA(),SUM($GU$4:GU330))</f>
        <v>#N/A</v>
      </c>
      <c r="GW330" s="177" t="str">
        <f t="shared" si="633"/>
        <v/>
      </c>
      <c r="GX330" s="177" t="e">
        <f>IF(GW330="",NA(),SUM($GW$4:GW330))</f>
        <v>#N/A</v>
      </c>
      <c r="GY330" s="177" t="str">
        <f t="shared" si="634"/>
        <v/>
      </c>
      <c r="GZ330" s="177" t="e">
        <f>IF(GY330="",NA(),SUM($GY$4:GY330))</f>
        <v>#N/A</v>
      </c>
      <c r="HA330" s="177">
        <f t="shared" si="635"/>
        <v>-1.5932914046121627</v>
      </c>
      <c r="HB330" s="177">
        <f>IF(HA330="",NA(),SUM($HA$4:HA330))</f>
        <v>2.5572369952343696</v>
      </c>
      <c r="HC330" s="177" t="str">
        <f t="shared" si="636"/>
        <v/>
      </c>
      <c r="HD330" s="177" t="e">
        <f>IF(HC330="",NA(),SUM($HC$4:HC330))</f>
        <v>#N/A</v>
      </c>
      <c r="HE330" s="177" t="str">
        <f t="shared" si="637"/>
        <v/>
      </c>
      <c r="HF330" s="177" t="e">
        <f>IF(HE330="",NA(),SUM($HE$4:HE330))</f>
        <v>#N/A</v>
      </c>
      <c r="HG330" s="177">
        <f t="shared" si="638"/>
        <v>-1.5932914046121627</v>
      </c>
      <c r="HH330" s="177">
        <f>IF(HG330="",NA(),SUM($HG$4:HG330))</f>
        <v>3.2099151713657483</v>
      </c>
      <c r="HI330" s="183" t="str">
        <f t="shared" si="651"/>
        <v/>
      </c>
      <c r="HJ330" s="183">
        <f>IF($J330="",#N/A,SUM(HI$4:$HI330))</f>
        <v>-8.7289352510103964</v>
      </c>
      <c r="HK330" s="177">
        <f t="shared" si="639"/>
        <v>-0.30398322851152715</v>
      </c>
      <c r="HL330" s="177">
        <f>IF($J330="",#N/A,SUM($HK$4:HK330))</f>
        <v>1.9034651933981581</v>
      </c>
      <c r="HM330" s="177" t="str">
        <f t="shared" si="640"/>
        <v/>
      </c>
      <c r="HN330" s="177">
        <f>IF($J330="",#N/A,SUM($HM$4:HM330))</f>
        <v>-0.27414712288080484</v>
      </c>
      <c r="HO330" s="177" t="str">
        <f t="shared" si="641"/>
        <v/>
      </c>
      <c r="HP330" s="177">
        <f>IF($J330="",#N/A,SUM($HO$4:HO330))</f>
        <v>-0.69476253225193951</v>
      </c>
      <c r="HQ330" s="177" t="str">
        <f t="shared" si="642"/>
        <v/>
      </c>
      <c r="HR330" s="177">
        <f>IF($J330="",#N/A,SUM($HQ$4:HQ330))</f>
        <v>-12.322894294476907</v>
      </c>
      <c r="HS330" s="177" t="str">
        <f t="shared" si="643"/>
        <v/>
      </c>
      <c r="HT330" s="177">
        <f>IF($J330="",#N/A,SUM($HS$4:HS330))</f>
        <v>14.296176771567277</v>
      </c>
      <c r="HU330" s="64">
        <f t="shared" si="644"/>
        <v>-1.8972746331236898</v>
      </c>
      <c r="HV330" s="64">
        <f>IF($J330="",#N/A,SUM(HU$4:$HU330))</f>
        <v>8.5585481202670177</v>
      </c>
    </row>
    <row r="331" spans="1:230" x14ac:dyDescent="0.25">
      <c r="A331" s="413" t="s">
        <v>1565</v>
      </c>
      <c r="B331" s="52" t="s">
        <v>4601</v>
      </c>
      <c r="C331" s="276">
        <f t="shared" si="545"/>
        <v>3</v>
      </c>
      <c r="D331" s="277" t="str">
        <f>_xlfn.XLOOKUP(A331,[1]SP500!$A$2:$A$502,[1]SP500!$D$2:$D$502,"N")</f>
        <v>Y</v>
      </c>
      <c r="E331" s="275" t="str">
        <f>IFERROR(_xlfn.XLOOKUP(A331,[1]SP500!$A$2:$A$655,[1]SP500!$B$2:$B$655),"")</f>
        <v>XLV</v>
      </c>
      <c r="F331" s="290">
        <v>45789</v>
      </c>
      <c r="G331" s="51" t="str">
        <f t="shared" si="546"/>
        <v>AMC</v>
      </c>
      <c r="H331" s="51" t="str">
        <f t="shared" si="547"/>
        <v>s</v>
      </c>
      <c r="I331" s="344">
        <v>144.43</v>
      </c>
      <c r="J331" s="123">
        <v>142.56</v>
      </c>
      <c r="K331" s="55">
        <f t="shared" si="548"/>
        <v>-1.2947448591012978E-2</v>
      </c>
      <c r="L331" s="67">
        <f t="shared" si="549"/>
        <v>-14.960000000000036</v>
      </c>
      <c r="M331" s="57">
        <f t="shared" si="550"/>
        <v>0</v>
      </c>
      <c r="N331" s="102">
        <f t="shared" si="551"/>
        <v>-14.960000000000036</v>
      </c>
      <c r="O331" s="57">
        <f>IF(N331="",#N/A,SUM($N$4:N331))</f>
        <v>708.76437556162386</v>
      </c>
      <c r="P331" s="65">
        <f t="shared" si="645"/>
        <v>-0.21579080985021629</v>
      </c>
      <c r="Q331" s="172">
        <f>IF($N331="",#N/A,SUM($P$4:P331))</f>
        <v>14.679802013238401</v>
      </c>
      <c r="R331" s="279">
        <f t="shared" si="552"/>
        <v>6.0258684086440599</v>
      </c>
      <c r="S331" s="51" t="str">
        <f t="shared" si="553"/>
        <v>SW</v>
      </c>
      <c r="T331" s="51" t="s">
        <v>2828</v>
      </c>
      <c r="U331" s="56">
        <f t="shared" si="554"/>
        <v>144.43</v>
      </c>
      <c r="V331" s="56" t="s">
        <v>4460</v>
      </c>
      <c r="W331" s="142">
        <v>8</v>
      </c>
      <c r="X331" s="145">
        <f t="shared" si="555"/>
        <v>1155.44</v>
      </c>
      <c r="Y331" s="140">
        <f t="shared" si="556"/>
        <v>8</v>
      </c>
      <c r="Z331" s="123">
        <v>142.56</v>
      </c>
      <c r="AA331" s="102">
        <f t="shared" si="557"/>
        <v>-14.960000000000036</v>
      </c>
      <c r="AB331" s="102">
        <f t="shared" si="558"/>
        <v>-3.6000000000001364</v>
      </c>
      <c r="AC331" s="124">
        <v>143.97999999999999</v>
      </c>
      <c r="AD331" s="155">
        <f t="shared" si="559"/>
        <v>-3.6000000000001364</v>
      </c>
      <c r="AE331" s="545">
        <f t="shared" si="560"/>
        <v>-5.1928269750053893E-2</v>
      </c>
      <c r="AF331" s="57">
        <f>IF($AC331="",#N/A,SUM(AD$4:AD331))</f>
        <v>459.9023971474486</v>
      </c>
      <c r="AG331" s="102">
        <f t="shared" si="561"/>
        <v>11.3599999999999</v>
      </c>
      <c r="AH331" s="56" t="s">
        <v>2507</v>
      </c>
      <c r="AI331" s="65">
        <f t="shared" si="562"/>
        <v>-0.21579080985021629</v>
      </c>
      <c r="AJ331" s="350">
        <f>IF(AI331="",#N/A,SUM($AI$4:AI331))</f>
        <v>8.6539336045943411</v>
      </c>
      <c r="AK331" s="57">
        <f t="shared" si="563"/>
        <v>-14.960000000000036</v>
      </c>
      <c r="AL331" s="349">
        <f>IF(AI331="",#N/A,IF(AH331="Skip",SUM($AK$4:AK331),SUM($AK$4:AK331)))</f>
        <v>300.22236927848189</v>
      </c>
      <c r="AM331" s="65">
        <f t="shared" si="646"/>
        <v>-5.1928269750053893E-2</v>
      </c>
      <c r="AN331" s="209"/>
      <c r="AO331" s="65">
        <f t="shared" si="564"/>
        <v>-5.1928269750053893E-2</v>
      </c>
      <c r="AP331" s="65">
        <f>IF($AC331="",#N/A,SUM(AO$4:AO331))</f>
        <v>12.029034613423503</v>
      </c>
      <c r="AQ331" s="65" t="str">
        <f t="shared" si="565"/>
        <v/>
      </c>
      <c r="AR331" s="65">
        <f>IF($AC331="",#N/A,SUM(AQ$4:AQ331))</f>
        <v>-5.1272933549890007</v>
      </c>
      <c r="AS331" s="65" t="str">
        <f t="shared" si="566"/>
        <v/>
      </c>
      <c r="AT331" s="65">
        <f>IF($AC331="",#N/A,SUM(AS$4:AS331))</f>
        <v>1.6048785920824562</v>
      </c>
      <c r="AU331" s="57">
        <f t="shared" si="647"/>
        <v>-3.6000000000001364</v>
      </c>
      <c r="AV331" s="57">
        <f>IF($AC331="",#N/A,SUM(AU$4:AU331))</f>
        <v>686.86627194988023</v>
      </c>
      <c r="AW331" s="57" t="str">
        <f t="shared" si="648"/>
        <v/>
      </c>
      <c r="AX331" s="57">
        <f>IF($AC331="",#N/A,SUM(AW$4:AW331))</f>
        <v>-340.17106797961105</v>
      </c>
      <c r="AY331" s="57" t="str">
        <f t="shared" si="649"/>
        <v/>
      </c>
      <c r="AZ331" s="57">
        <f>IF($AC331="",#N/A,SUM(AY$4:AY331))</f>
        <v>113.20719317717942</v>
      </c>
      <c r="BA331" s="57">
        <f>IF(AD331="",#N/A,SUM($AD$4:AD331))</f>
        <v>459.9023971474486</v>
      </c>
      <c r="BC331" s="51" t="str">
        <f t="shared" si="567"/>
        <v/>
      </c>
      <c r="BD331" s="51" t="str">
        <f t="shared" si="568"/>
        <v/>
      </c>
      <c r="BE331" s="51" t="str">
        <f t="shared" si="569"/>
        <v/>
      </c>
      <c r="BF331" s="51" t="str">
        <f t="shared" si="570"/>
        <v>Long</v>
      </c>
      <c r="BG331" s="51" t="str">
        <f t="shared" si="571"/>
        <v/>
      </c>
      <c r="BH331" s="51" t="str">
        <f t="shared" si="572"/>
        <v/>
      </c>
      <c r="BI331" s="51">
        <f t="shared" si="573"/>
        <v>1</v>
      </c>
      <c r="BK331" s="65">
        <f t="shared" si="544"/>
        <v>1.7503994949854551E-2</v>
      </c>
      <c r="BL331" s="65">
        <f t="shared" si="543"/>
        <v>0.14948160036115227</v>
      </c>
      <c r="BM331" s="65">
        <f>IFERROR(Q331/COUNTA($J$4:J331),#N/A)</f>
        <v>4.4755493942800005E-2</v>
      </c>
      <c r="BO331" s="489">
        <f>IF(J331="",#N/A,IF(S331="SW",(COUNTIFS(K$4:$K331,"&gt;0",S$4:$S331,"SW")/COUNTIF(S$4:$S331,"SW")),#N/A))</f>
        <v>0.51298701298701299</v>
      </c>
      <c r="BP331" s="489" t="e">
        <f>IF($J331="",#N/A,IF($S331="DWN",(COUNTIFS($K$4:$K331,"&lt;0",$S$4:$S331,"DWN")/COUNTIF($S$4:$S331,"DWN")),#N/A))</f>
        <v>#N/A</v>
      </c>
      <c r="BQ331" s="489" t="e">
        <f>IF($J331="",#N/A,IF($S331="UP",(COUNTIFS($K$4:$K331,"&gt;0",$S$4:$S331,"UP")/COUNTIF($S$4:$S331,"UP")),#N/A))</f>
        <v>#N/A</v>
      </c>
      <c r="BR331" s="489">
        <f>IF(J331="",#N/A,COUNTIF($K$4:K331,"&gt;0")/COUNT($J$4:J331))</f>
        <v>0.47560975609756095</v>
      </c>
      <c r="BS331" s="65" t="str">
        <f t="shared" si="574"/>
        <v/>
      </c>
      <c r="BT331" s="65">
        <f t="shared" si="575"/>
        <v>-0.21579080985021629</v>
      </c>
      <c r="BU331" s="65" t="str">
        <f t="shared" si="576"/>
        <v/>
      </c>
      <c r="BV331" s="65" t="str">
        <f t="shared" si="577"/>
        <v/>
      </c>
      <c r="BW331" s="128" t="str">
        <f t="shared" si="578"/>
        <v/>
      </c>
      <c r="BX331" s="128">
        <f>IF($J331="",#N/A,SUM($BW$4:BW331))</f>
        <v>-265.49317034792875</v>
      </c>
      <c r="BY331" s="131" t="str">
        <f t="shared" si="579"/>
        <v/>
      </c>
      <c r="BZ331" s="131">
        <f>IF($J331="",#N/A,SUM($BY$4:BY331))</f>
        <v>432.59161346139433</v>
      </c>
      <c r="CA331" s="133">
        <f t="shared" si="580"/>
        <v>-14.960000000000036</v>
      </c>
      <c r="CB331" s="133">
        <f>IF($J331="",#N/A,SUM($CA$4:CA331))</f>
        <v>541.66593244815817</v>
      </c>
      <c r="CC331" s="194" t="str">
        <f t="shared" si="581"/>
        <v/>
      </c>
      <c r="CD331" s="194">
        <f>IF($J331="",#N/A,SUM($CC$4:CC331))</f>
        <v>-4.1583836998562527</v>
      </c>
      <c r="CE331" s="195" t="str">
        <f t="shared" si="582"/>
        <v/>
      </c>
      <c r="CF331" s="195">
        <f>IF($J331="",#N/A,SUM($CE$4:CE331))</f>
        <v>8.4303486496947038</v>
      </c>
      <c r="CG331" s="196">
        <f t="shared" si="583"/>
        <v>-0.21579080985021629</v>
      </c>
      <c r="CH331" s="196">
        <f>IF($J331="",#N/A,SUM($CG$4:CG331))</f>
        <v>10.407837063399958</v>
      </c>
      <c r="CI331" s="200" t="str">
        <f t="shared" si="584"/>
        <v/>
      </c>
      <c r="CJ331" s="203">
        <f>IF($J331="",#N/A,SUM(CI$4:CI331))</f>
        <v>0</v>
      </c>
      <c r="CK331" s="204" t="str">
        <f t="shared" si="585"/>
        <v/>
      </c>
      <c r="CL331" s="204">
        <f>IF($J331="",#N/A,SUM(CK$4:CK331))</f>
        <v>1.2912501745213723</v>
      </c>
      <c r="CM331" s="205" t="str">
        <f t="shared" si="586"/>
        <v/>
      </c>
      <c r="CN331" s="205">
        <f>IF($J331="",#N/A,SUM(CM$4:CM331))</f>
        <v>1.6494621984783118</v>
      </c>
      <c r="CO331" s="205">
        <f>IF($J331="",#N/A,SUM(CM$4:CM331,CK$4:CK331,CI$4:CI331))</f>
        <v>2.9407123729996845</v>
      </c>
      <c r="CP331" s="200" t="str">
        <f t="shared" si="587"/>
        <v/>
      </c>
      <c r="CQ331" s="203">
        <f>IF($J331="",#N/A,SUM(CP$4:CP331))</f>
        <v>-2.5399197875602422</v>
      </c>
      <c r="CR331" s="204" t="str">
        <f t="shared" si="588"/>
        <v/>
      </c>
      <c r="CS331" s="204">
        <f>IF($J331="",#N/A,SUM(CR$4:CR331))</f>
        <v>2.3600225017004668</v>
      </c>
      <c r="CT331" s="205" t="str">
        <f t="shared" si="589"/>
        <v/>
      </c>
      <c r="CU331" s="205">
        <f>IF($J331="",#N/A,SUM(CT$4:CT331))</f>
        <v>-0.35196499572459283</v>
      </c>
      <c r="CV331" s="205">
        <f>IF($J331="",#N/A,SUM(CT$4:CT331,CR$4:CR331,CP$4:CP331))</f>
        <v>-0.53186228158436855</v>
      </c>
      <c r="CW331" s="200" t="str">
        <f t="shared" si="590"/>
        <v/>
      </c>
      <c r="CX331" s="203">
        <f>IF($J331="",#N/A,SUM(CW$4:CW331))</f>
        <v>-0.29399505935581682</v>
      </c>
      <c r="CY331" s="204" t="str">
        <f t="shared" si="591"/>
        <v/>
      </c>
      <c r="CZ331" s="204">
        <f>IF($J331="",#N/A,SUM(CY$4:CY331))</f>
        <v>-0.20119965665334139</v>
      </c>
      <c r="DA331" s="205" t="str">
        <f t="shared" si="592"/>
        <v/>
      </c>
      <c r="DB331" s="205">
        <f>IF($J331="",#N/A,SUM(DA$4:DA331))</f>
        <v>-2.7756316087437582</v>
      </c>
      <c r="DC331" s="205">
        <f>IF($J331="",#N/A,SUM(DA$4:DA331,CY$4:CY331,CW$4:CW331))</f>
        <v>-3.2708263247529161</v>
      </c>
      <c r="DD331" s="200" t="str">
        <f t="shared" si="593"/>
        <v/>
      </c>
      <c r="DE331" s="203">
        <f>IF($J331="",#N/A,SUM(DD$4:DD331))</f>
        <v>1.2501454750716789</v>
      </c>
      <c r="DF331" s="204" t="str">
        <f t="shared" si="594"/>
        <v/>
      </c>
      <c r="DG331" s="204">
        <f>IF($J331="",#N/A,SUM(DF$4:DF331))</f>
        <v>2.626961496209514</v>
      </c>
      <c r="DH331" s="205" t="str">
        <f t="shared" si="595"/>
        <v/>
      </c>
      <c r="DI331" s="205">
        <f>IF($J331="",#N/A,SUM(DH$4:DH331))</f>
        <v>-2.7812008102163399</v>
      </c>
      <c r="DJ331" s="205">
        <f>IF($J331="",#N/A,SUM(DH$4:DH331,DF$4:DF331,DD$4:DD331))</f>
        <v>1.0959061610648531</v>
      </c>
      <c r="DK331" s="200" t="str">
        <f t="shared" si="596"/>
        <v/>
      </c>
      <c r="DL331" s="203">
        <f>IF($J331="",#N/A,SUM(DK$4:DK331))</f>
        <v>-0.84049791589649614</v>
      </c>
      <c r="DM331" s="204" t="str">
        <f t="shared" si="597"/>
        <v/>
      </c>
      <c r="DN331" s="204">
        <f>IF($J331="",#N/A,SUM(DM$4:DM331))</f>
        <v>1.8657648196498773</v>
      </c>
      <c r="DO331" s="205" t="str">
        <f t="shared" si="598"/>
        <v/>
      </c>
      <c r="DP331" s="205">
        <f>IF($J331="",#N/A,SUM(DO$4:DO331))</f>
        <v>3.4887162328793941</v>
      </c>
      <c r="DQ331" s="205">
        <f>IF($J331="",#N/A,SUM(DO$4:DO331,DM$4:DM331,DK$4:DK331))</f>
        <v>4.5139831366327758</v>
      </c>
      <c r="DR331" s="200" t="str">
        <f t="shared" si="599"/>
        <v/>
      </c>
      <c r="DS331" s="203">
        <f>IF($J331="",#N/A,SUM(DR$4:DR331))</f>
        <v>-0.55950946427675097</v>
      </c>
      <c r="DT331" s="204" t="str">
        <f t="shared" si="600"/>
        <v/>
      </c>
      <c r="DU331" s="204">
        <f>IF($J331="",#N/A,SUM(DT$4:DT331))</f>
        <v>-0.20750635820596686</v>
      </c>
      <c r="DV331" s="205" t="str">
        <f t="shared" si="601"/>
        <v/>
      </c>
      <c r="DW331" s="205">
        <f>IF($J331="",#N/A,SUM(DV$4:DV331))</f>
        <v>-2.3377035686214001</v>
      </c>
      <c r="DX331" s="205">
        <f>IF($J331="",#N/A,SUM(DV$4:DV331,DT$4:DT331,DR$4:DR331))</f>
        <v>-3.1047193911041169</v>
      </c>
      <c r="DY331" s="200" t="str">
        <f t="shared" si="602"/>
        <v/>
      </c>
      <c r="DZ331" s="203">
        <f>IF($J331="",#N/A,SUM(DY$4:DY331))</f>
        <v>-1.6284722482776204</v>
      </c>
      <c r="EA331" s="204" t="str">
        <f t="shared" si="603"/>
        <v/>
      </c>
      <c r="EB331" s="204">
        <f>IF($J331="",#N/A,SUM(EA$4:EA331))</f>
        <v>2.276197208799712</v>
      </c>
      <c r="EC331" s="205" t="str">
        <f t="shared" si="604"/>
        <v/>
      </c>
      <c r="ED331" s="205">
        <f>IF($J331="",#N/A,SUM(EC$4:EC331))</f>
        <v>8.6307007550759458</v>
      </c>
      <c r="EE331" s="205">
        <f>IF($J331="",#N/A,SUM(EC$4:EC331,EA$4:EA331,DY$4:DY331))</f>
        <v>9.2784257155980399</v>
      </c>
      <c r="EF331" s="200" t="str">
        <f t="shared" si="605"/>
        <v/>
      </c>
      <c r="EG331" s="203">
        <f>IF($J331="",#N/A,SUM(EF$4:EF331))</f>
        <v>0.65848341369884777</v>
      </c>
      <c r="EH331" s="204" t="str">
        <f t="shared" si="606"/>
        <v/>
      </c>
      <c r="EI331" s="204">
        <f>IF($J331="",#N/A,SUM(EH$4:EH331))</f>
        <v>-3.5125331561187787</v>
      </c>
      <c r="EJ331" s="205">
        <f t="shared" si="607"/>
        <v>-0.21579080985021629</v>
      </c>
      <c r="EK331" s="205">
        <f>IF($J331="",#N/A,SUM(EJ$4:EJ331))</f>
        <v>7.5038562143265297</v>
      </c>
      <c r="EL331" s="205">
        <f>IF($J331="",#N/A,SUM(EJ$4:EJ331,EH$4:EH331,EF$4:EF331))</f>
        <v>4.649806471906599</v>
      </c>
      <c r="EM331" s="200" t="str">
        <f t="shared" si="608"/>
        <v/>
      </c>
      <c r="EN331" s="203">
        <f>IF($J331="",#N/A,SUM(EM$4:EM331))</f>
        <v>0</v>
      </c>
      <c r="EO331" s="204" t="str">
        <f t="shared" si="609"/>
        <v/>
      </c>
      <c r="EP331" s="204">
        <f>IF($J331="",#N/A,SUM(EO$4:EO331))</f>
        <v>2.4788862078089964</v>
      </c>
      <c r="EQ331" s="205" t="str">
        <f t="shared" si="610"/>
        <v/>
      </c>
      <c r="ER331" s="205">
        <f>IF($J331="",#N/A,SUM(EQ$4:EQ331))</f>
        <v>2.6983279209445628</v>
      </c>
      <c r="ES331" s="205">
        <f>IF($J331="",#N/A,SUM(EQ$4:EQ331,EO$4:EO331,EM$4:EM331))</f>
        <v>5.1772141287535591</v>
      </c>
      <c r="ET331" s="200" t="str">
        <f t="shared" si="611"/>
        <v/>
      </c>
      <c r="EU331" s="203">
        <f>IF($J331="",#N/A,SUM(ET$4:ET331))</f>
        <v>0</v>
      </c>
      <c r="EV331" s="204" t="str">
        <f t="shared" si="612"/>
        <v/>
      </c>
      <c r="EW331" s="204">
        <f>IF($J331="",#N/A,SUM(EV$4:EV331))</f>
        <v>7.9116394275462909E-2</v>
      </c>
      <c r="EX331" s="205" t="str">
        <f t="shared" si="613"/>
        <v/>
      </c>
      <c r="EY331" s="205">
        <f>IF($J331="",#N/A,SUM(EX$4:EX331))</f>
        <v>0.27113250180669229</v>
      </c>
      <c r="EZ331" s="205">
        <f>IF($J331="",#N/A,SUM(EX$4:EX331,EV$4:EV331,ET$4:ET331))</f>
        <v>0.35024889608215481</v>
      </c>
      <c r="FA331" s="200" t="str">
        <f t="shared" si="614"/>
        <v/>
      </c>
      <c r="FB331" s="203">
        <f>IF($J331="",#N/A,SUM(FA$4:FA331))</f>
        <v>-0.27145310509113252</v>
      </c>
      <c r="FC331" s="204" t="str">
        <f t="shared" si="615"/>
        <v/>
      </c>
      <c r="FD331" s="204">
        <f>IF($J331="",#N/A,SUM(FC$4:FC331))</f>
        <v>0.89084290967454072</v>
      </c>
      <c r="FE331" s="205" t="str">
        <f t="shared" si="616"/>
        <v/>
      </c>
      <c r="FF331" s="205">
        <f>IF($J331="",#N/A,SUM(FE$4:FE331))</f>
        <v>-0.28811149078748233</v>
      </c>
      <c r="FG331" s="205">
        <f>IF($J331="",#N/A,SUM(FE$4:FE331,FC$4:FC331,FA$4:FA331))</f>
        <v>0.3312783137959262</v>
      </c>
      <c r="FH331" s="200" t="str">
        <f t="shared" si="617"/>
        <v/>
      </c>
      <c r="FI331" s="203">
        <f>IF($J331="",#N/A,SUM(FH$4:FH331))</f>
        <v>0</v>
      </c>
      <c r="FJ331" s="204" t="str">
        <f t="shared" si="618"/>
        <v/>
      </c>
      <c r="FK331" s="204">
        <f>IF($J331="",#N/A,SUM(FJ$4:FJ331))</f>
        <v>0</v>
      </c>
      <c r="FL331" s="205" t="str">
        <f t="shared" si="619"/>
        <v/>
      </c>
      <c r="FM331" s="205">
        <f>IF($J331="",#N/A,SUM(FL$4:FL331))</f>
        <v>0</v>
      </c>
      <c r="FN331" s="205">
        <f>IF($J331="",#N/A,SUM(FL$4:FL331,FJ$4:FJ331,FH$4:FH331))</f>
        <v>0</v>
      </c>
      <c r="FO331" s="200" t="str">
        <f t="shared" si="620"/>
        <v/>
      </c>
      <c r="FP331" s="203">
        <f>IF($J331="",#N/A,SUM(FO$4:FO331))</f>
        <v>0</v>
      </c>
      <c r="FQ331" s="204" t="str">
        <f t="shared" si="621"/>
        <v/>
      </c>
      <c r="FR331" s="204">
        <f>IF($J331="",#N/A,SUM(FQ$4:FQ331))</f>
        <v>0</v>
      </c>
      <c r="FS331" s="205" t="str">
        <f t="shared" si="622"/>
        <v/>
      </c>
      <c r="FT331" s="205">
        <f>IF($J331="",#N/A,SUM(FS$4:FS331))</f>
        <v>0</v>
      </c>
      <c r="FU331" s="205">
        <f>IF($J331="",#N/A,SUM(FS$4:FS331,FQ$4:FQ331,FO$4:FO331))</f>
        <v>0</v>
      </c>
      <c r="FV331" s="200" t="str">
        <f t="shared" si="623"/>
        <v/>
      </c>
      <c r="FW331" s="203">
        <f>IF($J331="",#N/A,SUM(FV$4:FV331))</f>
        <v>6.6834991831277585E-2</v>
      </c>
      <c r="FX331" s="204" t="str">
        <f t="shared" si="624"/>
        <v/>
      </c>
      <c r="FY331" s="204">
        <f>IF($J331="",#N/A,SUM(FX$4:FX331))</f>
        <v>-0.16102012791805576</v>
      </c>
      <c r="FZ331" s="205" t="str">
        <f t="shared" si="625"/>
        <v/>
      </c>
      <c r="GA331" s="205">
        <f>IF($J331="",#N/A,SUM(FZ$4:FZ331))</f>
        <v>-0.69624339162892301</v>
      </c>
      <c r="GB331" s="205">
        <f>IF($J331="",#N/A,SUM(FZ$4:FZ331,FX$4:FX331,FV$4:FV331))</f>
        <v>-0.79042852771570116</v>
      </c>
      <c r="GC331" s="200" t="str">
        <f t="shared" si="626"/>
        <v/>
      </c>
      <c r="GD331" s="203">
        <f>IF($J331="",#N/A,SUM(GC$4:GC331))</f>
        <v>0</v>
      </c>
      <c r="GE331" s="204" t="str">
        <f t="shared" si="627"/>
        <v/>
      </c>
      <c r="GF331" s="204">
        <f>IF($J331="",#N/A,SUM(GE$4:GE331))</f>
        <v>0</v>
      </c>
      <c r="GG331" s="205" t="str">
        <f t="shared" si="628"/>
        <v/>
      </c>
      <c r="GH331" s="205">
        <f>IF($J331="",#N/A,SUM(GG$4:GG331))</f>
        <v>-2.9368362277223206</v>
      </c>
      <c r="GI331" s="205">
        <f>IF($J331="",#N/A,SUM(GG$4:GG331,GE$4:GE331,GC$4:GC331))</f>
        <v>-2.9368362277223206</v>
      </c>
      <c r="GJ331" s="200" t="str">
        <f t="shared" si="629"/>
        <v/>
      </c>
      <c r="GK331" s="203">
        <f>IF($J331="",#N/A,SUM(GJ$4:GJ331))</f>
        <v>0</v>
      </c>
      <c r="GL331" s="204" t="str">
        <f t="shared" si="630"/>
        <v/>
      </c>
      <c r="GM331" s="204">
        <f>IF($J331="",#N/A,SUM(GL$4:GL331))</f>
        <v>-1.6833790887309608</v>
      </c>
      <c r="GN331" s="205" t="str">
        <f t="shared" si="631"/>
        <v/>
      </c>
      <c r="GO331" s="205">
        <f>IF($J331="",#N/A,SUM(GN$4:GN331))</f>
        <v>0</v>
      </c>
      <c r="GP331" s="205">
        <f>IF($J331="",#N/A,SUM(GN$4:GN331,GL$4:GL331,GJ$4:GJ331))</f>
        <v>-1.6833790887309608</v>
      </c>
      <c r="GS331" s="54">
        <f t="shared" si="650"/>
        <v>-0.21579080985021629</v>
      </c>
      <c r="GT331" s="54">
        <f>IF(GS331="",NA(),SUM($GS$4:GS331))</f>
        <v>12.122565018004032</v>
      </c>
      <c r="GU331" s="54" t="str">
        <f t="shared" si="632"/>
        <v/>
      </c>
      <c r="GV331" s="54" t="e">
        <f>IF(GU331="",NA(),SUM($GU$4:GU331))</f>
        <v>#N/A</v>
      </c>
      <c r="GW331" s="54">
        <f t="shared" si="633"/>
        <v>-0.21579080985021629</v>
      </c>
      <c r="GX331" s="54">
        <f>IF(GW331="",NA(),SUM($GW$4:GW331))</f>
        <v>11.060515239531336</v>
      </c>
      <c r="GY331" s="54" t="str">
        <f t="shared" si="634"/>
        <v/>
      </c>
      <c r="GZ331" s="54" t="e">
        <f>IF(GY331="",NA(),SUM($GY$4:GY331))</f>
        <v>#N/A</v>
      </c>
      <c r="HA331" s="54" t="str">
        <f t="shared" si="635"/>
        <v/>
      </c>
      <c r="HB331" s="54" t="e">
        <f>IF(HA331="",NA(),SUM($HA$4:HA331))</f>
        <v>#N/A</v>
      </c>
      <c r="HC331" s="54" t="str">
        <f t="shared" si="636"/>
        <v/>
      </c>
      <c r="HD331" s="54" t="e">
        <f>IF(HC331="",NA(),SUM($HC$4:HC331))</f>
        <v>#N/A</v>
      </c>
      <c r="HE331" s="54" t="str">
        <f t="shared" si="637"/>
        <v/>
      </c>
      <c r="HF331" s="54" t="e">
        <f>IF(HE331="",NA(),SUM($HE$4:HE331))</f>
        <v>#N/A</v>
      </c>
      <c r="HG331" s="54" t="str">
        <f t="shared" si="638"/>
        <v/>
      </c>
      <c r="HH331" s="54" t="e">
        <f>IF(HG331="",NA(),SUM($HG$4:HG331))</f>
        <v>#N/A</v>
      </c>
      <c r="HI331" s="172" t="str">
        <f t="shared" si="651"/>
        <v/>
      </c>
      <c r="HJ331" s="172">
        <f>IF($J331="",#N/A,SUM(HI$4:$HI331))</f>
        <v>-8.7289352510103964</v>
      </c>
      <c r="HK331" s="54" t="str">
        <f t="shared" si="639"/>
        <v/>
      </c>
      <c r="HL331" s="54">
        <f>IF($J331="",#N/A,SUM($HK$4:HK331))</f>
        <v>1.9034651933981581</v>
      </c>
      <c r="HM331" s="54" t="str">
        <f t="shared" si="640"/>
        <v/>
      </c>
      <c r="HN331" s="54">
        <f>IF($J331="",#N/A,SUM($HM$4:HM331))</f>
        <v>-0.27414712288080484</v>
      </c>
      <c r="HO331" s="54" t="str">
        <f t="shared" si="641"/>
        <v/>
      </c>
      <c r="HP331" s="54">
        <f>IF($J331="",#N/A,SUM($HO$4:HO331))</f>
        <v>-0.69476253225193951</v>
      </c>
      <c r="HQ331" s="54" t="str">
        <f t="shared" si="642"/>
        <v/>
      </c>
      <c r="HR331" s="54">
        <f>IF($J331="",#N/A,SUM($HQ$4:HQ331))</f>
        <v>-12.322894294476907</v>
      </c>
      <c r="HS331" s="54">
        <f t="shared" si="643"/>
        <v>0.16386254010016238</v>
      </c>
      <c r="HT331" s="54">
        <f>IF($J331="",#N/A,SUM($HS$4:HS331))</f>
        <v>14.460039311667439</v>
      </c>
      <c r="HU331" s="65">
        <f t="shared" si="644"/>
        <v>-5.1928269750053893E-2</v>
      </c>
      <c r="HV331" s="65">
        <f>IF($J331="",#N/A,SUM(HU$4:$HU331))</f>
        <v>8.5066198505169641</v>
      </c>
    </row>
    <row r="332" spans="1:230" ht="15.75" thickBot="1" x14ac:dyDescent="0.3">
      <c r="A332" s="292" t="s">
        <v>1067</v>
      </c>
      <c r="B332" s="293" t="s">
        <v>4601</v>
      </c>
      <c r="C332" s="294">
        <f t="shared" si="545"/>
        <v>3</v>
      </c>
      <c r="D332" s="295" t="str">
        <f>_xlfn.XLOOKUP(A332,[1]SP500!$A$2:$A$502,[1]SP500!$D$2:$D$502,"N")</f>
        <v>N</v>
      </c>
      <c r="E332" s="292" t="str">
        <f>IFERROR(_xlfn.XLOOKUP(A332,[1]SP500!$A$2:$A$655,[1]SP500!$B$2:$B$655),"")</f>
        <v>XLK</v>
      </c>
      <c r="F332" s="296">
        <v>45789</v>
      </c>
      <c r="G332" s="292" t="str">
        <f t="shared" si="546"/>
        <v>AMC</v>
      </c>
      <c r="H332" s="292" t="str">
        <f t="shared" si="547"/>
        <v>s</v>
      </c>
      <c r="I332" s="345">
        <v>27.16</v>
      </c>
      <c r="J332" s="313">
        <v>25.895</v>
      </c>
      <c r="K332" s="298">
        <f t="shared" si="548"/>
        <v>-4.6575846833578814E-2</v>
      </c>
      <c r="L332" s="299">
        <f t="shared" si="549"/>
        <v>-56.924999999999955</v>
      </c>
      <c r="M332" s="300">
        <f t="shared" si="550"/>
        <v>4.7249999999999091</v>
      </c>
      <c r="N332" s="341">
        <f t="shared" si="551"/>
        <v>-56.924999999999955</v>
      </c>
      <c r="O332" s="300">
        <f>IF(N332="",#N/A,SUM($N$4:N332))</f>
        <v>651.83937556162391</v>
      </c>
      <c r="P332" s="305">
        <f t="shared" si="645"/>
        <v>-0.77626411389297933</v>
      </c>
      <c r="Q332" s="304">
        <f>IF($N332="",#N/A,SUM($P$4:P332))</f>
        <v>13.903537899345421</v>
      </c>
      <c r="R332" s="307">
        <f t="shared" si="552"/>
        <v>5.9614354189533394</v>
      </c>
      <c r="S332" s="292" t="str">
        <f t="shared" si="553"/>
        <v>SW</v>
      </c>
      <c r="T332" s="292" t="s">
        <v>2828</v>
      </c>
      <c r="U332" s="308">
        <f t="shared" si="554"/>
        <v>27.16</v>
      </c>
      <c r="V332" s="308" t="s">
        <v>4460</v>
      </c>
      <c r="W332" s="310">
        <v>45</v>
      </c>
      <c r="X332" s="309">
        <f t="shared" si="555"/>
        <v>1222.2</v>
      </c>
      <c r="Y332" s="310">
        <f t="shared" si="556"/>
        <v>45</v>
      </c>
      <c r="Z332" s="313">
        <v>26</v>
      </c>
      <c r="AA332" s="341">
        <f t="shared" si="557"/>
        <v>-52.200000000000045</v>
      </c>
      <c r="AB332" s="341">
        <f t="shared" si="558"/>
        <v>-27.450000000000045</v>
      </c>
      <c r="AC332" s="297">
        <v>26.55</v>
      </c>
      <c r="AD332" s="301">
        <f t="shared" si="559"/>
        <v>-27.450000000000045</v>
      </c>
      <c r="AE332" s="546">
        <f t="shared" si="560"/>
        <v>-0.37432498772705025</v>
      </c>
      <c r="AF332" s="300">
        <f>IF($AC332="",#N/A,SUM(AD$4:AD332))</f>
        <v>432.45239714744855</v>
      </c>
      <c r="AG332" s="341">
        <f t="shared" si="561"/>
        <v>29.474999999999909</v>
      </c>
      <c r="AH332" s="308" t="s">
        <v>2507</v>
      </c>
      <c r="AI332" s="305">
        <f t="shared" si="562"/>
        <v>-0.71183112420225891</v>
      </c>
      <c r="AJ332" s="418">
        <f>IF(AI332="",#N/A,SUM($AI$4:AI332))</f>
        <v>7.9421024803920819</v>
      </c>
      <c r="AK332" s="300">
        <f t="shared" si="563"/>
        <v>-52.200000000000045</v>
      </c>
      <c r="AL332" s="406">
        <f>IF(AI332="",#N/A,IF(AH332="Skip",SUM($AK$4:AK332),SUM($AK$4:AK332)))</f>
        <v>248.02236927848185</v>
      </c>
      <c r="AM332" s="65">
        <f t="shared" si="646"/>
        <v>-0.37432498772705025</v>
      </c>
      <c r="AN332" s="209"/>
      <c r="AO332" s="305">
        <f t="shared" si="564"/>
        <v>-0.37432498772705025</v>
      </c>
      <c r="AP332" s="305">
        <f>IF($AC332="",#N/A,SUM(AO$4:AO332))</f>
        <v>11.654709625696453</v>
      </c>
      <c r="AQ332" s="305" t="str">
        <f t="shared" si="565"/>
        <v/>
      </c>
      <c r="AR332" s="305">
        <f>IF($AC332="",#N/A,SUM(AQ$4:AQ332))</f>
        <v>-5.1272933549890007</v>
      </c>
      <c r="AS332" s="305" t="str">
        <f t="shared" si="566"/>
        <v/>
      </c>
      <c r="AT332" s="305">
        <f>IF($AC332="",#N/A,SUM(AS$4:AS332))</f>
        <v>1.6048785920824562</v>
      </c>
      <c r="AU332" s="300">
        <f t="shared" si="647"/>
        <v>-27.450000000000045</v>
      </c>
      <c r="AV332" s="300">
        <f>IF($AC332="",#N/A,SUM(AU$4:AU332))</f>
        <v>659.41627194988018</v>
      </c>
      <c r="AW332" s="300" t="str">
        <f t="shared" si="648"/>
        <v/>
      </c>
      <c r="AX332" s="300">
        <f>IF($AC332="",#N/A,SUM(AW$4:AW332))</f>
        <v>-340.17106797961105</v>
      </c>
      <c r="AY332" s="300" t="str">
        <f t="shared" si="649"/>
        <v/>
      </c>
      <c r="AZ332" s="300">
        <f>IF($AC332="",#N/A,SUM(AY$4:AY332))</f>
        <v>113.20719317717942</v>
      </c>
      <c r="BA332" s="300">
        <f>IF(AD332="",#N/A,SUM($AD$4:AD332))</f>
        <v>432.45239714744855</v>
      </c>
      <c r="BC332" s="292" t="str">
        <f t="shared" si="567"/>
        <v/>
      </c>
      <c r="BD332" s="292" t="str">
        <f t="shared" si="568"/>
        <v/>
      </c>
      <c r="BE332" s="292" t="str">
        <f t="shared" si="569"/>
        <v/>
      </c>
      <c r="BF332" s="292" t="str">
        <f t="shared" si="570"/>
        <v>Long</v>
      </c>
      <c r="BG332" s="292" t="str">
        <f t="shared" si="571"/>
        <v/>
      </c>
      <c r="BH332" s="292" t="str">
        <f t="shared" si="572"/>
        <v/>
      </c>
      <c r="BI332" s="292">
        <f t="shared" si="573"/>
        <v>1</v>
      </c>
      <c r="BK332" s="65">
        <f t="shared" si="544"/>
        <v>5.4809750747420339E-4</v>
      </c>
      <c r="BL332" s="65">
        <f t="shared" si="543"/>
        <v>0.17540255004831173</v>
      </c>
      <c r="BM332" s="65">
        <f>IFERROR(Q332/COUNTA($J$4:J332),#N/A)</f>
        <v>4.2259993615031674E-2</v>
      </c>
      <c r="BO332" s="489">
        <f>IF(J332="",#N/A,IF(S332="SW",(COUNTIFS(K$4:$K332,"&gt;0",S$4:$S332,"SW")/COUNTIF(S$4:$S332,"SW")),#N/A))</f>
        <v>0.50967741935483868</v>
      </c>
      <c r="BP332" s="489" t="e">
        <f>IF($J332="",#N/A,IF($S332="DWN",(COUNTIFS($K$4:$K332,"&lt;0",$S$4:$S332,"DWN")/COUNTIF($S$4:$S332,"DWN")),#N/A))</f>
        <v>#N/A</v>
      </c>
      <c r="BQ332" s="489" t="e">
        <f>IF($J332="",#N/A,IF($S332="UP",(COUNTIFS($K$4:$K332,"&gt;0",$S$4:$S332,"UP")/COUNTIF($S$4:$S332,"UP")),#N/A))</f>
        <v>#N/A</v>
      </c>
      <c r="BR332" s="489">
        <f>IF(J332="",#N/A,COUNTIF($K$4:K332,"&gt;0")/COUNT($J$4:J332))</f>
        <v>0.47416413373860183</v>
      </c>
      <c r="BS332" s="65" t="str">
        <f t="shared" si="574"/>
        <v/>
      </c>
      <c r="BT332" s="65">
        <f t="shared" si="575"/>
        <v>-0.77626411389297933</v>
      </c>
      <c r="BU332" s="65" t="str">
        <f t="shared" si="576"/>
        <v/>
      </c>
      <c r="BV332" s="65" t="str">
        <f t="shared" si="577"/>
        <v/>
      </c>
      <c r="BW332" s="128" t="str">
        <f t="shared" si="578"/>
        <v/>
      </c>
      <c r="BX332" s="128">
        <f>IF($J332="",#N/A,SUM($BW$4:BW332))</f>
        <v>-265.49317034792875</v>
      </c>
      <c r="BY332" s="131" t="str">
        <f t="shared" si="579"/>
        <v/>
      </c>
      <c r="BZ332" s="131">
        <f>IF($J332="",#N/A,SUM($BY$4:BY332))</f>
        <v>432.59161346139433</v>
      </c>
      <c r="CA332" s="133">
        <f t="shared" si="580"/>
        <v>-56.924999999999955</v>
      </c>
      <c r="CB332" s="133">
        <f>IF($J332="",#N/A,SUM($CA$4:CA332))</f>
        <v>484.74093244815822</v>
      </c>
      <c r="CC332" s="194" t="str">
        <f t="shared" si="581"/>
        <v/>
      </c>
      <c r="CD332" s="194">
        <f>IF($J332="",#N/A,SUM($CC$4:CC332))</f>
        <v>-4.1583836998562527</v>
      </c>
      <c r="CE332" s="195" t="str">
        <f t="shared" si="582"/>
        <v/>
      </c>
      <c r="CF332" s="195">
        <f>IF($J332="",#N/A,SUM($CE$4:CE332))</f>
        <v>8.4303486496947038</v>
      </c>
      <c r="CG332" s="196">
        <f t="shared" si="583"/>
        <v>-0.77626411389297933</v>
      </c>
      <c r="CH332" s="196">
        <f>IF($J332="",#N/A,SUM($CG$4:CG332))</f>
        <v>9.6315729495069782</v>
      </c>
      <c r="CI332" s="200" t="str">
        <f t="shared" si="584"/>
        <v/>
      </c>
      <c r="CJ332" s="203">
        <f>IF($J332="",#N/A,SUM(CI$4:CI332))</f>
        <v>0</v>
      </c>
      <c r="CK332" s="204" t="str">
        <f t="shared" si="585"/>
        <v/>
      </c>
      <c r="CL332" s="204">
        <f>IF($J332="",#N/A,SUM(CK$4:CK332))</f>
        <v>1.2912501745213723</v>
      </c>
      <c r="CM332" s="205">
        <f t="shared" si="586"/>
        <v>-0.77626411389297933</v>
      </c>
      <c r="CN332" s="205">
        <f>IF($J332="",#N/A,SUM(CM$4:CM332))</f>
        <v>0.87319808458533243</v>
      </c>
      <c r="CO332" s="205">
        <f>IF($J332="",#N/A,SUM(CM$4:CM332,CK$4:CK332,CI$4:CI332))</f>
        <v>2.1644482591067051</v>
      </c>
      <c r="CP332" s="200" t="str">
        <f t="shared" si="587"/>
        <v/>
      </c>
      <c r="CQ332" s="203">
        <f>IF($J332="",#N/A,SUM(CP$4:CP332))</f>
        <v>-2.5399197875602422</v>
      </c>
      <c r="CR332" s="204" t="str">
        <f t="shared" si="588"/>
        <v/>
      </c>
      <c r="CS332" s="204">
        <f>IF($J332="",#N/A,SUM(CR$4:CR332))</f>
        <v>2.3600225017004668</v>
      </c>
      <c r="CT332" s="205" t="str">
        <f t="shared" si="589"/>
        <v/>
      </c>
      <c r="CU332" s="205">
        <f>IF($J332="",#N/A,SUM(CT$4:CT332))</f>
        <v>-0.35196499572459283</v>
      </c>
      <c r="CV332" s="205">
        <f>IF($J332="",#N/A,SUM(CT$4:CT332,CR$4:CR332,CP$4:CP332))</f>
        <v>-0.53186228158436855</v>
      </c>
      <c r="CW332" s="200" t="str">
        <f t="shared" si="590"/>
        <v/>
      </c>
      <c r="CX332" s="203">
        <f>IF($J332="",#N/A,SUM(CW$4:CW332))</f>
        <v>-0.29399505935581682</v>
      </c>
      <c r="CY332" s="204" t="str">
        <f t="shared" si="591"/>
        <v/>
      </c>
      <c r="CZ332" s="204">
        <f>IF($J332="",#N/A,SUM(CY$4:CY332))</f>
        <v>-0.20119965665334139</v>
      </c>
      <c r="DA332" s="205" t="str">
        <f t="shared" si="592"/>
        <v/>
      </c>
      <c r="DB332" s="205">
        <f>IF($J332="",#N/A,SUM(DA$4:DA332))</f>
        <v>-2.7756316087437582</v>
      </c>
      <c r="DC332" s="205">
        <f>IF($J332="",#N/A,SUM(DA$4:DA332,CY$4:CY332,CW$4:CW332))</f>
        <v>-3.2708263247529161</v>
      </c>
      <c r="DD332" s="200" t="str">
        <f t="shared" si="593"/>
        <v/>
      </c>
      <c r="DE332" s="203">
        <f>IF($J332="",#N/A,SUM(DD$4:DD332))</f>
        <v>1.2501454750716789</v>
      </c>
      <c r="DF332" s="204" t="str">
        <f t="shared" si="594"/>
        <v/>
      </c>
      <c r="DG332" s="204">
        <f>IF($J332="",#N/A,SUM(DF$4:DF332))</f>
        <v>2.626961496209514</v>
      </c>
      <c r="DH332" s="205" t="str">
        <f t="shared" si="595"/>
        <v/>
      </c>
      <c r="DI332" s="205">
        <f>IF($J332="",#N/A,SUM(DH$4:DH332))</f>
        <v>-2.7812008102163399</v>
      </c>
      <c r="DJ332" s="205">
        <f>IF($J332="",#N/A,SUM(DH$4:DH332,DF$4:DF332,DD$4:DD332))</f>
        <v>1.0959061610648531</v>
      </c>
      <c r="DK332" s="200" t="str">
        <f t="shared" si="596"/>
        <v/>
      </c>
      <c r="DL332" s="203">
        <f>IF($J332="",#N/A,SUM(DK$4:DK332))</f>
        <v>-0.84049791589649614</v>
      </c>
      <c r="DM332" s="204" t="str">
        <f t="shared" si="597"/>
        <v/>
      </c>
      <c r="DN332" s="204">
        <f>IF($J332="",#N/A,SUM(DM$4:DM332))</f>
        <v>1.8657648196498773</v>
      </c>
      <c r="DO332" s="205" t="str">
        <f t="shared" si="598"/>
        <v/>
      </c>
      <c r="DP332" s="205">
        <f>IF($J332="",#N/A,SUM(DO$4:DO332))</f>
        <v>3.4887162328793941</v>
      </c>
      <c r="DQ332" s="205">
        <f>IF($J332="",#N/A,SUM(DO$4:DO332,DM$4:DM332,DK$4:DK332))</f>
        <v>4.5139831366327758</v>
      </c>
      <c r="DR332" s="200" t="str">
        <f t="shared" si="599"/>
        <v/>
      </c>
      <c r="DS332" s="203">
        <f>IF($J332="",#N/A,SUM(DR$4:DR332))</f>
        <v>-0.55950946427675097</v>
      </c>
      <c r="DT332" s="204" t="str">
        <f t="shared" si="600"/>
        <v/>
      </c>
      <c r="DU332" s="204">
        <f>IF($J332="",#N/A,SUM(DT$4:DT332))</f>
        <v>-0.20750635820596686</v>
      </c>
      <c r="DV332" s="205" t="str">
        <f t="shared" si="601"/>
        <v/>
      </c>
      <c r="DW332" s="205">
        <f>IF($J332="",#N/A,SUM(DV$4:DV332))</f>
        <v>-2.3377035686214001</v>
      </c>
      <c r="DX332" s="205">
        <f>IF($J332="",#N/A,SUM(DV$4:DV332,DT$4:DT332,DR$4:DR332))</f>
        <v>-3.1047193911041169</v>
      </c>
      <c r="DY332" s="200" t="str">
        <f t="shared" si="602"/>
        <v/>
      </c>
      <c r="DZ332" s="203">
        <f>IF($J332="",#N/A,SUM(DY$4:DY332))</f>
        <v>-1.6284722482776204</v>
      </c>
      <c r="EA332" s="204" t="str">
        <f t="shared" si="603"/>
        <v/>
      </c>
      <c r="EB332" s="204">
        <f>IF($J332="",#N/A,SUM(EA$4:EA332))</f>
        <v>2.276197208799712</v>
      </c>
      <c r="EC332" s="205" t="str">
        <f t="shared" si="604"/>
        <v/>
      </c>
      <c r="ED332" s="205">
        <f>IF($J332="",#N/A,SUM(EC$4:EC332))</f>
        <v>8.6307007550759458</v>
      </c>
      <c r="EE332" s="205">
        <f>IF($J332="",#N/A,SUM(EC$4:EC332,EA$4:EA332,DY$4:DY332))</f>
        <v>9.2784257155980399</v>
      </c>
      <c r="EF332" s="200" t="str">
        <f t="shared" si="605"/>
        <v/>
      </c>
      <c r="EG332" s="203">
        <f>IF($J332="",#N/A,SUM(EF$4:EF332))</f>
        <v>0.65848341369884777</v>
      </c>
      <c r="EH332" s="204" t="str">
        <f t="shared" si="606"/>
        <v/>
      </c>
      <c r="EI332" s="204">
        <f>IF($J332="",#N/A,SUM(EH$4:EH332))</f>
        <v>-3.5125331561187787</v>
      </c>
      <c r="EJ332" s="205" t="str">
        <f t="shared" si="607"/>
        <v/>
      </c>
      <c r="EK332" s="205">
        <f>IF($J332="",#N/A,SUM(EJ$4:EJ332))</f>
        <v>7.5038562143265297</v>
      </c>
      <c r="EL332" s="205">
        <f>IF($J332="",#N/A,SUM(EJ$4:EJ332,EH$4:EH332,EF$4:EF332))</f>
        <v>4.649806471906599</v>
      </c>
      <c r="EM332" s="200" t="str">
        <f t="shared" si="608"/>
        <v/>
      </c>
      <c r="EN332" s="203">
        <f>IF($J332="",#N/A,SUM(EM$4:EM332))</f>
        <v>0</v>
      </c>
      <c r="EO332" s="204" t="str">
        <f t="shared" si="609"/>
        <v/>
      </c>
      <c r="EP332" s="204">
        <f>IF($J332="",#N/A,SUM(EO$4:EO332))</f>
        <v>2.4788862078089964</v>
      </c>
      <c r="EQ332" s="205" t="str">
        <f t="shared" si="610"/>
        <v/>
      </c>
      <c r="ER332" s="205">
        <f>IF($J332="",#N/A,SUM(EQ$4:EQ332))</f>
        <v>2.6983279209445628</v>
      </c>
      <c r="ES332" s="205">
        <f>IF($J332="",#N/A,SUM(EQ$4:EQ332,EO$4:EO332,EM$4:EM332))</f>
        <v>5.1772141287535591</v>
      </c>
      <c r="ET332" s="200" t="str">
        <f t="shared" si="611"/>
        <v/>
      </c>
      <c r="EU332" s="203">
        <f>IF($J332="",#N/A,SUM(ET$4:ET332))</f>
        <v>0</v>
      </c>
      <c r="EV332" s="204" t="str">
        <f t="shared" si="612"/>
        <v/>
      </c>
      <c r="EW332" s="204">
        <f>IF($J332="",#N/A,SUM(EV$4:EV332))</f>
        <v>7.9116394275462909E-2</v>
      </c>
      <c r="EX332" s="205" t="str">
        <f t="shared" si="613"/>
        <v/>
      </c>
      <c r="EY332" s="205">
        <f>IF($J332="",#N/A,SUM(EX$4:EX332))</f>
        <v>0.27113250180669229</v>
      </c>
      <c r="EZ332" s="205">
        <f>IF($J332="",#N/A,SUM(EX$4:EX332,EV$4:EV332,ET$4:ET332))</f>
        <v>0.35024889608215481</v>
      </c>
      <c r="FA332" s="200" t="str">
        <f t="shared" si="614"/>
        <v/>
      </c>
      <c r="FB332" s="203">
        <f>IF($J332="",#N/A,SUM(FA$4:FA332))</f>
        <v>-0.27145310509113252</v>
      </c>
      <c r="FC332" s="204" t="str">
        <f t="shared" si="615"/>
        <v/>
      </c>
      <c r="FD332" s="204">
        <f>IF($J332="",#N/A,SUM(FC$4:FC332))</f>
        <v>0.89084290967454072</v>
      </c>
      <c r="FE332" s="205" t="str">
        <f t="shared" si="616"/>
        <v/>
      </c>
      <c r="FF332" s="205">
        <f>IF($J332="",#N/A,SUM(FE$4:FE332))</f>
        <v>-0.28811149078748233</v>
      </c>
      <c r="FG332" s="205">
        <f>IF($J332="",#N/A,SUM(FE$4:FE332,FC$4:FC332,FA$4:FA332))</f>
        <v>0.3312783137959262</v>
      </c>
      <c r="FH332" s="200" t="str">
        <f t="shared" si="617"/>
        <v/>
      </c>
      <c r="FI332" s="203">
        <f>IF($J332="",#N/A,SUM(FH$4:FH332))</f>
        <v>0</v>
      </c>
      <c r="FJ332" s="204" t="str">
        <f t="shared" si="618"/>
        <v/>
      </c>
      <c r="FK332" s="204">
        <f>IF($J332="",#N/A,SUM(FJ$4:FJ332))</f>
        <v>0</v>
      </c>
      <c r="FL332" s="205" t="str">
        <f t="shared" si="619"/>
        <v/>
      </c>
      <c r="FM332" s="205">
        <f>IF($J332="",#N/A,SUM(FL$4:FL332))</f>
        <v>0</v>
      </c>
      <c r="FN332" s="205">
        <f>IF($J332="",#N/A,SUM(FL$4:FL332,FJ$4:FJ332,FH$4:FH332))</f>
        <v>0</v>
      </c>
      <c r="FO332" s="200" t="str">
        <f t="shared" si="620"/>
        <v/>
      </c>
      <c r="FP332" s="203">
        <f>IF($J332="",#N/A,SUM(FO$4:FO332))</f>
        <v>0</v>
      </c>
      <c r="FQ332" s="204" t="str">
        <f t="shared" si="621"/>
        <v/>
      </c>
      <c r="FR332" s="204">
        <f>IF($J332="",#N/A,SUM(FQ$4:FQ332))</f>
        <v>0</v>
      </c>
      <c r="FS332" s="205" t="str">
        <f t="shared" si="622"/>
        <v/>
      </c>
      <c r="FT332" s="205">
        <f>IF($J332="",#N/A,SUM(FS$4:FS332))</f>
        <v>0</v>
      </c>
      <c r="FU332" s="205">
        <f>IF($J332="",#N/A,SUM(FS$4:FS332,FQ$4:FQ332,FO$4:FO332))</f>
        <v>0</v>
      </c>
      <c r="FV332" s="200" t="str">
        <f t="shared" si="623"/>
        <v/>
      </c>
      <c r="FW332" s="203">
        <f>IF($J332="",#N/A,SUM(FV$4:FV332))</f>
        <v>6.6834991831277585E-2</v>
      </c>
      <c r="FX332" s="204" t="str">
        <f t="shared" si="624"/>
        <v/>
      </c>
      <c r="FY332" s="204">
        <f>IF($J332="",#N/A,SUM(FX$4:FX332))</f>
        <v>-0.16102012791805576</v>
      </c>
      <c r="FZ332" s="205" t="str">
        <f t="shared" si="625"/>
        <v/>
      </c>
      <c r="GA332" s="205">
        <f>IF($J332="",#N/A,SUM(FZ$4:FZ332))</f>
        <v>-0.69624339162892301</v>
      </c>
      <c r="GB332" s="205">
        <f>IF($J332="",#N/A,SUM(FZ$4:FZ332,FX$4:FX332,FV$4:FV332))</f>
        <v>-0.79042852771570116</v>
      </c>
      <c r="GC332" s="200" t="str">
        <f t="shared" si="626"/>
        <v/>
      </c>
      <c r="GD332" s="203">
        <f>IF($J332="",#N/A,SUM(GC$4:GC332))</f>
        <v>0</v>
      </c>
      <c r="GE332" s="204" t="str">
        <f t="shared" si="627"/>
        <v/>
      </c>
      <c r="GF332" s="204">
        <f>IF($J332="",#N/A,SUM(GE$4:GE332))</f>
        <v>0</v>
      </c>
      <c r="GG332" s="205" t="str">
        <f t="shared" si="628"/>
        <v/>
      </c>
      <c r="GH332" s="205">
        <f>IF($J332="",#N/A,SUM(GG$4:GG332))</f>
        <v>-2.9368362277223206</v>
      </c>
      <c r="GI332" s="205">
        <f>IF($J332="",#N/A,SUM(GG$4:GG332,GE$4:GE332,GC$4:GC332))</f>
        <v>-2.9368362277223206</v>
      </c>
      <c r="GJ332" s="200" t="str">
        <f t="shared" si="629"/>
        <v/>
      </c>
      <c r="GK332" s="203">
        <f>IF($J332="",#N/A,SUM(GJ$4:GJ332))</f>
        <v>0</v>
      </c>
      <c r="GL332" s="204" t="str">
        <f t="shared" si="630"/>
        <v/>
      </c>
      <c r="GM332" s="204">
        <f>IF($J332="",#N/A,SUM(GL$4:GL332))</f>
        <v>-1.6833790887309608</v>
      </c>
      <c r="GN332" s="205" t="str">
        <f t="shared" si="631"/>
        <v/>
      </c>
      <c r="GO332" s="205">
        <f>IF($J332="",#N/A,SUM(GN$4:GN332))</f>
        <v>0</v>
      </c>
      <c r="GP332" s="205">
        <f>IF($J332="",#N/A,SUM(GN$4:GN332,GL$4:GL332,GJ$4:GJ332))</f>
        <v>-1.6833790887309608</v>
      </c>
      <c r="GS332" s="303" t="str">
        <f t="shared" si="650"/>
        <v/>
      </c>
      <c r="GT332" s="303" t="e">
        <f>IF(GS332="",NA(),SUM($GS$4:GS332))</f>
        <v>#N/A</v>
      </c>
      <c r="GU332" s="303" t="str">
        <f t="shared" si="632"/>
        <v/>
      </c>
      <c r="GV332" s="303" t="e">
        <f>IF(GU332="",NA(),SUM($GU$4:GU332))</f>
        <v>#N/A</v>
      </c>
      <c r="GW332" s="303" t="str">
        <f t="shared" si="633"/>
        <v/>
      </c>
      <c r="GX332" s="303" t="e">
        <f>IF(GW332="",NA(),SUM($GW$4:GW332))</f>
        <v>#N/A</v>
      </c>
      <c r="GY332" s="303" t="str">
        <f t="shared" si="634"/>
        <v/>
      </c>
      <c r="GZ332" s="303" t="e">
        <f>IF(GY332="",NA(),SUM($GY$4:GY332))</f>
        <v>#N/A</v>
      </c>
      <c r="HA332" s="303">
        <f t="shared" si="635"/>
        <v>-0.77626411389297933</v>
      </c>
      <c r="HB332" s="303">
        <f>IF(HA332="",NA(),SUM($HA$4:HA332))</f>
        <v>1.7809728813413903</v>
      </c>
      <c r="HC332" s="303" t="str">
        <f t="shared" si="636"/>
        <v/>
      </c>
      <c r="HD332" s="303" t="e">
        <f>IF(HC332="",NA(),SUM($HC$4:HC332))</f>
        <v>#N/A</v>
      </c>
      <c r="HE332" s="303">
        <f t="shared" si="637"/>
        <v>-0.77626411389297933</v>
      </c>
      <c r="HF332" s="303">
        <f>IF(HE332="",NA(),SUM($HE$4:HE332))</f>
        <v>-1.4289422900243578</v>
      </c>
      <c r="HG332" s="303" t="str">
        <f t="shared" si="638"/>
        <v/>
      </c>
      <c r="HH332" s="303" t="e">
        <f>IF(HG332="",NA(),SUM($HG$4:HG332))</f>
        <v>#N/A</v>
      </c>
      <c r="HI332" s="304" t="str">
        <f t="shared" si="651"/>
        <v/>
      </c>
      <c r="HJ332" s="304">
        <f>IF($J332="",#N/A,SUM(HI$4:$HI332))</f>
        <v>-8.7289352510103964</v>
      </c>
      <c r="HK332" s="303" t="str">
        <f t="shared" si="639"/>
        <v/>
      </c>
      <c r="HL332" s="303">
        <f>IF($J332="",#N/A,SUM($HK$4:HK332))</f>
        <v>1.9034651933981581</v>
      </c>
      <c r="HM332" s="303" t="str">
        <f t="shared" si="640"/>
        <v/>
      </c>
      <c r="HN332" s="303">
        <f>IF($J332="",#N/A,SUM($HM$4:HM332))</f>
        <v>-0.27414712288080484</v>
      </c>
      <c r="HO332" s="303" t="str">
        <f t="shared" si="641"/>
        <v/>
      </c>
      <c r="HP332" s="303">
        <f>IF($J332="",#N/A,SUM($HO$4:HO332))</f>
        <v>-0.69476253225193951</v>
      </c>
      <c r="HQ332" s="303" t="str">
        <f t="shared" si="642"/>
        <v/>
      </c>
      <c r="HR332" s="303">
        <f>IF($J332="",#N/A,SUM($HQ$4:HQ332))</f>
        <v>-12.322894294476907</v>
      </c>
      <c r="HS332" s="303">
        <f t="shared" si="643"/>
        <v>0.40193912616592908</v>
      </c>
      <c r="HT332" s="303">
        <f>IF($J332="",#N/A,SUM($HS$4:HS332))</f>
        <v>14.861978437833368</v>
      </c>
      <c r="HU332" s="305">
        <f t="shared" si="644"/>
        <v>-0.37432498772705025</v>
      </c>
      <c r="HV332" s="305">
        <f>IF($J332="",#N/A,SUM(HU$4:$HU332))</f>
        <v>8.1322948627899141</v>
      </c>
    </row>
    <row r="333" spans="1:230" x14ac:dyDescent="0.25">
      <c r="A333" s="59" t="s">
        <v>2872</v>
      </c>
      <c r="B333" s="289" t="s">
        <v>4602</v>
      </c>
      <c r="C333" s="230">
        <f t="shared" si="545"/>
        <v>1</v>
      </c>
      <c r="D333" s="220" t="str">
        <f>_xlfn.XLOOKUP(A333,[1]SP500!$A$2:$A$502,[1]SP500!$D$2:$D$502,"N")</f>
        <v>N</v>
      </c>
      <c r="E333" s="59" t="str">
        <f>IFERROR(_xlfn.XLOOKUP(A333,[1]SP500!$A$2:$A$655,[1]SP500!$B$2:$B$655),"")</f>
        <v/>
      </c>
      <c r="F333" s="290">
        <v>45790</v>
      </c>
      <c r="G333" s="59" t="str">
        <f t="shared" si="546"/>
        <v>AMC</v>
      </c>
      <c r="H333" s="59" t="str">
        <f t="shared" si="547"/>
        <v>s</v>
      </c>
      <c r="I333" s="376">
        <v>40.159999999999997</v>
      </c>
      <c r="J333" s="125">
        <v>41.53</v>
      </c>
      <c r="K333" s="60">
        <f t="shared" si="548"/>
        <v>3.4113545816733183E-2</v>
      </c>
      <c r="L333" s="68">
        <f t="shared" si="549"/>
        <v>42.470000000000255</v>
      </c>
      <c r="M333" s="62">
        <f t="shared" si="550"/>
        <v>10.230000000000018</v>
      </c>
      <c r="N333" s="63">
        <f t="shared" si="551"/>
        <v>42.470000000000255</v>
      </c>
      <c r="O333" s="62">
        <f>IF(N333="",#N/A,SUM($N$4:N333))</f>
        <v>694.30937556162417</v>
      </c>
      <c r="P333" s="64">
        <f t="shared" si="645"/>
        <v>0.56855909694555473</v>
      </c>
      <c r="Q333" s="183">
        <f>IF($N333="",#N/A,SUM($P$4:P333))</f>
        <v>14.472096996290976</v>
      </c>
      <c r="R333" s="279">
        <f t="shared" si="552"/>
        <v>5.8244832277182788</v>
      </c>
      <c r="S333" s="59" t="str">
        <f t="shared" si="553"/>
        <v>Up</v>
      </c>
      <c r="T333" s="59" t="s">
        <v>4462</v>
      </c>
      <c r="U333" s="61">
        <f t="shared" si="554"/>
        <v>40.159999999999997</v>
      </c>
      <c r="V333" s="61" t="s">
        <v>4460</v>
      </c>
      <c r="W333" s="142">
        <v>31</v>
      </c>
      <c r="X333" s="146">
        <f t="shared" si="555"/>
        <v>1244.9599999999998</v>
      </c>
      <c r="Y333" s="142">
        <f t="shared" si="556"/>
        <v>31</v>
      </c>
      <c r="Z333" s="278">
        <v>41.86</v>
      </c>
      <c r="AA333" s="63">
        <f t="shared" si="557"/>
        <v>52.700000000000273</v>
      </c>
      <c r="AB333" s="63">
        <f t="shared" si="558"/>
        <v>99.510000000000218</v>
      </c>
      <c r="AC333" s="125">
        <v>43.37</v>
      </c>
      <c r="AD333" s="148">
        <f t="shared" si="559"/>
        <v>99.510000000000218</v>
      </c>
      <c r="AE333" s="544">
        <f t="shared" si="560"/>
        <v>1.3321713147410392</v>
      </c>
      <c r="AF333" s="62">
        <f>IF($AC333="",#N/A,SUM(AD$4:AD333))</f>
        <v>531.96239714744877</v>
      </c>
      <c r="AG333" s="63">
        <f t="shared" si="561"/>
        <v>57.039999999999964</v>
      </c>
      <c r="AH333" s="61" t="s">
        <v>2507</v>
      </c>
      <c r="AI333" s="64">
        <f t="shared" si="562"/>
        <v>0.7055112881806147</v>
      </c>
      <c r="AJ333" s="420">
        <f>IF(AI333="",#N/A,SUM($AI$4:AI333))</f>
        <v>8.6476137685726968</v>
      </c>
      <c r="AK333" s="62">
        <f t="shared" si="563"/>
        <v>52.700000000000273</v>
      </c>
      <c r="AL333" s="421">
        <f>IF(AI333="",#N/A,IF(AH333="Skip",SUM($AK$4:AK333),SUM($AK$4:AK333)))</f>
        <v>300.72236927848212</v>
      </c>
      <c r="AM333" s="65">
        <f t="shared" si="646"/>
        <v>1.3321713147410392</v>
      </c>
      <c r="AN333" s="209"/>
      <c r="AO333" s="64" t="str">
        <f t="shared" si="564"/>
        <v/>
      </c>
      <c r="AP333" s="64">
        <f>IF($AC333="",#N/A,SUM(AO$4:AO333))</f>
        <v>11.654709625696453</v>
      </c>
      <c r="AQ333" s="64">
        <f t="shared" si="565"/>
        <v>1.3321713147410392</v>
      </c>
      <c r="AR333" s="64">
        <f>IF($AC333="",#N/A,SUM(AQ$4:AQ333))</f>
        <v>-3.7951220402479615</v>
      </c>
      <c r="AS333" s="64" t="str">
        <f t="shared" si="566"/>
        <v/>
      </c>
      <c r="AT333" s="64">
        <f>IF($AC333="",#N/A,SUM(AS$4:AS333))</f>
        <v>1.6048785920824562</v>
      </c>
      <c r="AU333" s="62" t="str">
        <f t="shared" si="647"/>
        <v/>
      </c>
      <c r="AV333" s="62">
        <f>IF($AC333="",#N/A,SUM(AU$4:AU333))</f>
        <v>659.41627194988018</v>
      </c>
      <c r="AW333" s="62">
        <f t="shared" si="648"/>
        <v>99.510000000000218</v>
      </c>
      <c r="AX333" s="62">
        <f>IF($AC333="",#N/A,SUM(AW$4:AW333))</f>
        <v>-240.66106797961083</v>
      </c>
      <c r="AY333" s="62" t="str">
        <f t="shared" si="649"/>
        <v/>
      </c>
      <c r="AZ333" s="62">
        <f>IF($AC333="",#N/A,SUM(AY$4:AY333))</f>
        <v>113.20719317717942</v>
      </c>
      <c r="BA333" s="62">
        <f>IF(AD333="",#N/A,SUM($AD$4:AD333))</f>
        <v>531.96239714744877</v>
      </c>
      <c r="BC333" s="59">
        <f t="shared" si="567"/>
        <v>1</v>
      </c>
      <c r="BD333" s="59" t="str">
        <f t="shared" si="568"/>
        <v/>
      </c>
      <c r="BE333" s="59" t="str">
        <f t="shared" si="569"/>
        <v/>
      </c>
      <c r="BF333" s="59" t="str">
        <f t="shared" si="570"/>
        <v>Long</v>
      </c>
      <c r="BG333" s="59" t="str">
        <f t="shared" si="571"/>
        <v/>
      </c>
      <c r="BH333" s="59" t="str">
        <f t="shared" si="572"/>
        <v/>
      </c>
      <c r="BI333" s="59" t="str">
        <f t="shared" si="573"/>
        <v/>
      </c>
      <c r="BK333" s="65">
        <f t="shared" si="544"/>
        <v>3.0897037378286641E-3</v>
      </c>
      <c r="BL333" s="65">
        <f t="shared" si="543"/>
        <v>0.15636709727623077</v>
      </c>
      <c r="BM333" s="65">
        <f>IFERROR(Q333/COUNTA($J$4:J333),#N/A)</f>
        <v>4.3854839382699927E-2</v>
      </c>
      <c r="BO333" s="489" t="e">
        <f>IF(J333="",#N/A,IF(S333="SW",(COUNTIFS(K$4:$K333,"&gt;0",S$4:$S333,"SW")/COUNTIF(S$4:$S333,"SW")),#N/A))</f>
        <v>#N/A</v>
      </c>
      <c r="BP333" s="489" t="e">
        <f>IF($J333="",#N/A,IF($S333="DWN",(COUNTIFS($K$4:$K333,"&lt;0",$S$4:$S333,"DWN")/COUNTIF($S$4:$S333,"DWN")),#N/A))</f>
        <v>#N/A</v>
      </c>
      <c r="BQ333" s="489">
        <f>IF($J333="",#N/A,IF($S333="UP",(COUNTIFS($K$4:$K333,"&gt;0",$S$4:$S333,"UP")/COUNTIF($S$4:$S333,"UP")),#N/A))</f>
        <v>0.46153846153846156</v>
      </c>
      <c r="BR333" s="489">
        <f>IF(J333="",#N/A,COUNTIF($K$4:K333,"&gt;0")/COUNT($J$4:J333))</f>
        <v>0.47575757575757577</v>
      </c>
      <c r="BS333" s="65">
        <f t="shared" si="574"/>
        <v>0.56855909694555473</v>
      </c>
      <c r="BT333" s="65" t="str">
        <f t="shared" si="575"/>
        <v/>
      </c>
      <c r="BU333" s="65" t="str">
        <f t="shared" si="576"/>
        <v/>
      </c>
      <c r="BV333" s="65" t="str">
        <f t="shared" si="577"/>
        <v/>
      </c>
      <c r="BW333" s="128">
        <f t="shared" si="578"/>
        <v>42.470000000000255</v>
      </c>
      <c r="BX333" s="128">
        <f>IF($J333="",#N/A,SUM($BW$4:BW333))</f>
        <v>-223.0231703479285</v>
      </c>
      <c r="BY333" s="131" t="str">
        <f t="shared" si="579"/>
        <v/>
      </c>
      <c r="BZ333" s="131">
        <f>IF($J333="",#N/A,SUM($BY$4:BY333))</f>
        <v>432.59161346139433</v>
      </c>
      <c r="CA333" s="133" t="str">
        <f t="shared" si="580"/>
        <v/>
      </c>
      <c r="CB333" s="133">
        <f>IF($J333="",#N/A,SUM($CA$4:CA333))</f>
        <v>484.74093244815822</v>
      </c>
      <c r="CC333" s="194">
        <f t="shared" si="581"/>
        <v>0.56855909694555473</v>
      </c>
      <c r="CD333" s="194">
        <f>IF($J333="",#N/A,SUM($CC$4:CC333))</f>
        <v>-3.5898246029106979</v>
      </c>
      <c r="CE333" s="195" t="str">
        <f t="shared" si="582"/>
        <v/>
      </c>
      <c r="CF333" s="195">
        <f>IF($J333="",#N/A,SUM($CE$4:CE333))</f>
        <v>8.4303486496947038</v>
      </c>
      <c r="CG333" s="196" t="str">
        <f t="shared" si="583"/>
        <v/>
      </c>
      <c r="CH333" s="196">
        <f>IF($J333="",#N/A,SUM($CG$4:CG333))</f>
        <v>9.6315729495069782</v>
      </c>
      <c r="CI333" s="200" t="str">
        <f t="shared" si="584"/>
        <v/>
      </c>
      <c r="CJ333" s="203">
        <f>IF($J333="",#N/A,SUM(CI$4:CI333))</f>
        <v>0</v>
      </c>
      <c r="CK333" s="204" t="str">
        <f t="shared" si="585"/>
        <v/>
      </c>
      <c r="CL333" s="204">
        <f>IF($J333="",#N/A,SUM(CK$4:CK333))</f>
        <v>1.2912501745213723</v>
      </c>
      <c r="CM333" s="205" t="str">
        <f t="shared" si="586"/>
        <v/>
      </c>
      <c r="CN333" s="205">
        <f>IF($J333="",#N/A,SUM(CM$4:CM333))</f>
        <v>0.87319808458533243</v>
      </c>
      <c r="CO333" s="205">
        <f>IF($J333="",#N/A,SUM(CM$4:CM333,CK$4:CK333,CI$4:CI333))</f>
        <v>2.1644482591067051</v>
      </c>
      <c r="CP333" s="200" t="str">
        <f t="shared" si="587"/>
        <v/>
      </c>
      <c r="CQ333" s="203">
        <f>IF($J333="",#N/A,SUM(CP$4:CP333))</f>
        <v>-2.5399197875602422</v>
      </c>
      <c r="CR333" s="204" t="str">
        <f t="shared" si="588"/>
        <v/>
      </c>
      <c r="CS333" s="204">
        <f>IF($J333="",#N/A,SUM(CR$4:CR333))</f>
        <v>2.3600225017004668</v>
      </c>
      <c r="CT333" s="205" t="str">
        <f t="shared" si="589"/>
        <v/>
      </c>
      <c r="CU333" s="205">
        <f>IF($J333="",#N/A,SUM(CT$4:CT333))</f>
        <v>-0.35196499572459283</v>
      </c>
      <c r="CV333" s="205">
        <f>IF($J333="",#N/A,SUM(CT$4:CT333,CR$4:CR333,CP$4:CP333))</f>
        <v>-0.53186228158436855</v>
      </c>
      <c r="CW333" s="200" t="str">
        <f t="shared" si="590"/>
        <v/>
      </c>
      <c r="CX333" s="203">
        <f>IF($J333="",#N/A,SUM(CW$4:CW333))</f>
        <v>-0.29399505935581682</v>
      </c>
      <c r="CY333" s="204" t="str">
        <f t="shared" si="591"/>
        <v/>
      </c>
      <c r="CZ333" s="204">
        <f>IF($J333="",#N/A,SUM(CY$4:CY333))</f>
        <v>-0.20119965665334139</v>
      </c>
      <c r="DA333" s="205" t="str">
        <f t="shared" si="592"/>
        <v/>
      </c>
      <c r="DB333" s="205">
        <f>IF($J333="",#N/A,SUM(DA$4:DA333))</f>
        <v>-2.7756316087437582</v>
      </c>
      <c r="DC333" s="205">
        <f>IF($J333="",#N/A,SUM(DA$4:DA333,CY$4:CY333,CW$4:CW333))</f>
        <v>-3.2708263247529161</v>
      </c>
      <c r="DD333" s="200" t="str">
        <f t="shared" si="593"/>
        <v/>
      </c>
      <c r="DE333" s="203">
        <f>IF($J333="",#N/A,SUM(DD$4:DD333))</f>
        <v>1.2501454750716789</v>
      </c>
      <c r="DF333" s="204" t="str">
        <f t="shared" si="594"/>
        <v/>
      </c>
      <c r="DG333" s="204">
        <f>IF($J333="",#N/A,SUM(DF$4:DF333))</f>
        <v>2.626961496209514</v>
      </c>
      <c r="DH333" s="205" t="str">
        <f t="shared" si="595"/>
        <v/>
      </c>
      <c r="DI333" s="205">
        <f>IF($J333="",#N/A,SUM(DH$4:DH333))</f>
        <v>-2.7812008102163399</v>
      </c>
      <c r="DJ333" s="205">
        <f>IF($J333="",#N/A,SUM(DH$4:DH333,DF$4:DF333,DD$4:DD333))</f>
        <v>1.0959061610648531</v>
      </c>
      <c r="DK333" s="200" t="str">
        <f t="shared" si="596"/>
        <v/>
      </c>
      <c r="DL333" s="203">
        <f>IF($J333="",#N/A,SUM(DK$4:DK333))</f>
        <v>-0.84049791589649614</v>
      </c>
      <c r="DM333" s="204" t="str">
        <f t="shared" si="597"/>
        <v/>
      </c>
      <c r="DN333" s="204">
        <f>IF($J333="",#N/A,SUM(DM$4:DM333))</f>
        <v>1.8657648196498773</v>
      </c>
      <c r="DO333" s="205" t="str">
        <f t="shared" si="598"/>
        <v/>
      </c>
      <c r="DP333" s="205">
        <f>IF($J333="",#N/A,SUM(DO$4:DO333))</f>
        <v>3.4887162328793941</v>
      </c>
      <c r="DQ333" s="205">
        <f>IF($J333="",#N/A,SUM(DO$4:DO333,DM$4:DM333,DK$4:DK333))</f>
        <v>4.5139831366327758</v>
      </c>
      <c r="DR333" s="200" t="str">
        <f t="shared" si="599"/>
        <v/>
      </c>
      <c r="DS333" s="203">
        <f>IF($J333="",#N/A,SUM(DR$4:DR333))</f>
        <v>-0.55950946427675097</v>
      </c>
      <c r="DT333" s="204" t="str">
        <f t="shared" si="600"/>
        <v/>
      </c>
      <c r="DU333" s="204">
        <f>IF($J333="",#N/A,SUM(DT$4:DT333))</f>
        <v>-0.20750635820596686</v>
      </c>
      <c r="DV333" s="205" t="str">
        <f t="shared" si="601"/>
        <v/>
      </c>
      <c r="DW333" s="205">
        <f>IF($J333="",#N/A,SUM(DV$4:DV333))</f>
        <v>-2.3377035686214001</v>
      </c>
      <c r="DX333" s="205">
        <f>IF($J333="",#N/A,SUM(DV$4:DV333,DT$4:DT333,DR$4:DR333))</f>
        <v>-3.1047193911041169</v>
      </c>
      <c r="DY333" s="200" t="str">
        <f t="shared" si="602"/>
        <v/>
      </c>
      <c r="DZ333" s="203">
        <f>IF($J333="",#N/A,SUM(DY$4:DY333))</f>
        <v>-1.6284722482776204</v>
      </c>
      <c r="EA333" s="204" t="str">
        <f t="shared" si="603"/>
        <v/>
      </c>
      <c r="EB333" s="204">
        <f>IF($J333="",#N/A,SUM(EA$4:EA333))</f>
        <v>2.276197208799712</v>
      </c>
      <c r="EC333" s="205" t="str">
        <f t="shared" si="604"/>
        <v/>
      </c>
      <c r="ED333" s="205">
        <f>IF($J333="",#N/A,SUM(EC$4:EC333))</f>
        <v>8.6307007550759458</v>
      </c>
      <c r="EE333" s="205">
        <f>IF($J333="",#N/A,SUM(EC$4:EC333,EA$4:EA333,DY$4:DY333))</f>
        <v>9.2784257155980399</v>
      </c>
      <c r="EF333" s="200" t="str">
        <f t="shared" si="605"/>
        <v/>
      </c>
      <c r="EG333" s="203">
        <f>IF($J333="",#N/A,SUM(EF$4:EF333))</f>
        <v>0.65848341369884777</v>
      </c>
      <c r="EH333" s="204" t="str">
        <f t="shared" si="606"/>
        <v/>
      </c>
      <c r="EI333" s="204">
        <f>IF($J333="",#N/A,SUM(EH$4:EH333))</f>
        <v>-3.5125331561187787</v>
      </c>
      <c r="EJ333" s="205" t="str">
        <f t="shared" si="607"/>
        <v/>
      </c>
      <c r="EK333" s="205">
        <f>IF($J333="",#N/A,SUM(EJ$4:EJ333))</f>
        <v>7.5038562143265297</v>
      </c>
      <c r="EL333" s="205">
        <f>IF($J333="",#N/A,SUM(EJ$4:EJ333,EH$4:EH333,EF$4:EF333))</f>
        <v>4.649806471906599</v>
      </c>
      <c r="EM333" s="200" t="str">
        <f t="shared" si="608"/>
        <v/>
      </c>
      <c r="EN333" s="203">
        <f>IF($J333="",#N/A,SUM(EM$4:EM333))</f>
        <v>0</v>
      </c>
      <c r="EO333" s="204" t="str">
        <f t="shared" si="609"/>
        <v/>
      </c>
      <c r="EP333" s="204">
        <f>IF($J333="",#N/A,SUM(EO$4:EO333))</f>
        <v>2.4788862078089964</v>
      </c>
      <c r="EQ333" s="205" t="str">
        <f t="shared" si="610"/>
        <v/>
      </c>
      <c r="ER333" s="205">
        <f>IF($J333="",#N/A,SUM(EQ$4:EQ333))</f>
        <v>2.6983279209445628</v>
      </c>
      <c r="ES333" s="205">
        <f>IF($J333="",#N/A,SUM(EQ$4:EQ333,EO$4:EO333,EM$4:EM333))</f>
        <v>5.1772141287535591</v>
      </c>
      <c r="ET333" s="200" t="str">
        <f t="shared" si="611"/>
        <v/>
      </c>
      <c r="EU333" s="203">
        <f>IF($J333="",#N/A,SUM(ET$4:ET333))</f>
        <v>0</v>
      </c>
      <c r="EV333" s="204" t="str">
        <f t="shared" si="612"/>
        <v/>
      </c>
      <c r="EW333" s="204">
        <f>IF($J333="",#N/A,SUM(EV$4:EV333))</f>
        <v>7.9116394275462909E-2</v>
      </c>
      <c r="EX333" s="205" t="str">
        <f t="shared" si="613"/>
        <v/>
      </c>
      <c r="EY333" s="205">
        <f>IF($J333="",#N/A,SUM(EX$4:EX333))</f>
        <v>0.27113250180669229</v>
      </c>
      <c r="EZ333" s="205">
        <f>IF($J333="",#N/A,SUM(EX$4:EX333,EV$4:EV333,ET$4:ET333))</f>
        <v>0.35024889608215481</v>
      </c>
      <c r="FA333" s="200" t="str">
        <f t="shared" si="614"/>
        <v/>
      </c>
      <c r="FB333" s="203">
        <f>IF($J333="",#N/A,SUM(FA$4:FA333))</f>
        <v>-0.27145310509113252</v>
      </c>
      <c r="FC333" s="204" t="str">
        <f t="shared" si="615"/>
        <v/>
      </c>
      <c r="FD333" s="204">
        <f>IF($J333="",#N/A,SUM(FC$4:FC333))</f>
        <v>0.89084290967454072</v>
      </c>
      <c r="FE333" s="205" t="str">
        <f t="shared" si="616"/>
        <v/>
      </c>
      <c r="FF333" s="205">
        <f>IF($J333="",#N/A,SUM(FE$4:FE333))</f>
        <v>-0.28811149078748233</v>
      </c>
      <c r="FG333" s="205">
        <f>IF($J333="",#N/A,SUM(FE$4:FE333,FC$4:FC333,FA$4:FA333))</f>
        <v>0.3312783137959262</v>
      </c>
      <c r="FH333" s="200" t="str">
        <f t="shared" si="617"/>
        <v/>
      </c>
      <c r="FI333" s="203">
        <f>IF($J333="",#N/A,SUM(FH$4:FH333))</f>
        <v>0</v>
      </c>
      <c r="FJ333" s="204" t="str">
        <f t="shared" si="618"/>
        <v/>
      </c>
      <c r="FK333" s="204">
        <f>IF($J333="",#N/A,SUM(FJ$4:FJ333))</f>
        <v>0</v>
      </c>
      <c r="FL333" s="205" t="str">
        <f t="shared" si="619"/>
        <v/>
      </c>
      <c r="FM333" s="205">
        <f>IF($J333="",#N/A,SUM(FL$4:FL333))</f>
        <v>0</v>
      </c>
      <c r="FN333" s="205">
        <f>IF($J333="",#N/A,SUM(FL$4:FL333,FJ$4:FJ333,FH$4:FH333))</f>
        <v>0</v>
      </c>
      <c r="FO333" s="200" t="str">
        <f t="shared" si="620"/>
        <v/>
      </c>
      <c r="FP333" s="203">
        <f>IF($J333="",#N/A,SUM(FO$4:FO333))</f>
        <v>0</v>
      </c>
      <c r="FQ333" s="204" t="str">
        <f t="shared" si="621"/>
        <v/>
      </c>
      <c r="FR333" s="204">
        <f>IF($J333="",#N/A,SUM(FQ$4:FQ333))</f>
        <v>0</v>
      </c>
      <c r="FS333" s="205" t="str">
        <f t="shared" si="622"/>
        <v/>
      </c>
      <c r="FT333" s="205">
        <f>IF($J333="",#N/A,SUM(FS$4:FS333))</f>
        <v>0</v>
      </c>
      <c r="FU333" s="205">
        <f>IF($J333="",#N/A,SUM(FS$4:FS333,FQ$4:FQ333,FO$4:FO333))</f>
        <v>0</v>
      </c>
      <c r="FV333" s="200" t="str">
        <f t="shared" si="623"/>
        <v/>
      </c>
      <c r="FW333" s="203">
        <f>IF($J333="",#N/A,SUM(FV$4:FV333))</f>
        <v>6.6834991831277585E-2</v>
      </c>
      <c r="FX333" s="204" t="str">
        <f t="shared" si="624"/>
        <v/>
      </c>
      <c r="FY333" s="204">
        <f>IF($J333="",#N/A,SUM(FX$4:FX333))</f>
        <v>-0.16102012791805576</v>
      </c>
      <c r="FZ333" s="205" t="str">
        <f t="shared" si="625"/>
        <v/>
      </c>
      <c r="GA333" s="205">
        <f>IF($J333="",#N/A,SUM(FZ$4:FZ333))</f>
        <v>-0.69624339162892301</v>
      </c>
      <c r="GB333" s="205">
        <f>IF($J333="",#N/A,SUM(FZ$4:FZ333,FX$4:FX333,FV$4:FV333))</f>
        <v>-0.79042852771570116</v>
      </c>
      <c r="GC333" s="200" t="str">
        <f t="shared" si="626"/>
        <v/>
      </c>
      <c r="GD333" s="203">
        <f>IF($J333="",#N/A,SUM(GC$4:GC333))</f>
        <v>0</v>
      </c>
      <c r="GE333" s="204" t="str">
        <f t="shared" si="627"/>
        <v/>
      </c>
      <c r="GF333" s="204">
        <f>IF($J333="",#N/A,SUM(GE$4:GE333))</f>
        <v>0</v>
      </c>
      <c r="GG333" s="205" t="str">
        <f t="shared" si="628"/>
        <v/>
      </c>
      <c r="GH333" s="205">
        <f>IF($J333="",#N/A,SUM(GG$4:GG333))</f>
        <v>-2.9368362277223206</v>
      </c>
      <c r="GI333" s="205">
        <f>IF($J333="",#N/A,SUM(GG$4:GG333,GE$4:GE333,GC$4:GC333))</f>
        <v>-2.9368362277223206</v>
      </c>
      <c r="GJ333" s="200" t="str">
        <f t="shared" si="629"/>
        <v/>
      </c>
      <c r="GK333" s="203">
        <f>IF($J333="",#N/A,SUM(GJ$4:GJ333))</f>
        <v>0</v>
      </c>
      <c r="GL333" s="204" t="str">
        <f t="shared" si="630"/>
        <v/>
      </c>
      <c r="GM333" s="204">
        <f>IF($J333="",#N/A,SUM(GL$4:GL333))</f>
        <v>-1.6833790887309608</v>
      </c>
      <c r="GN333" s="205" t="str">
        <f t="shared" si="631"/>
        <v/>
      </c>
      <c r="GO333" s="205">
        <f>IF($J333="",#N/A,SUM(GN$4:GN333))</f>
        <v>0</v>
      </c>
      <c r="GP333" s="205">
        <f>IF($J333="",#N/A,SUM(GN$4:GN333,GL$4:GL333,GJ$4:GJ333))</f>
        <v>-1.6833790887309608</v>
      </c>
      <c r="GS333" s="177" t="str">
        <f t="shared" si="650"/>
        <v/>
      </c>
      <c r="GT333" s="177" t="e">
        <f>IF(GS333="",NA(),SUM($GS$4:GS333))</f>
        <v>#N/A</v>
      </c>
      <c r="GU333" s="177" t="str">
        <f t="shared" si="632"/>
        <v/>
      </c>
      <c r="GV333" s="177" t="e">
        <f>IF(GU333="",NA(),SUM($GU$4:GU333))</f>
        <v>#N/A</v>
      </c>
      <c r="GW333" s="177" t="str">
        <f t="shared" si="633"/>
        <v/>
      </c>
      <c r="GX333" s="177" t="e">
        <f>IF(GW333="",NA(),SUM($GW$4:GW333))</f>
        <v>#N/A</v>
      </c>
      <c r="GY333" s="177" t="str">
        <f t="shared" si="634"/>
        <v/>
      </c>
      <c r="GZ333" s="177" t="e">
        <f>IF(GY333="",NA(),SUM($GY$4:GY333))</f>
        <v>#N/A</v>
      </c>
      <c r="HA333" s="177">
        <f t="shared" si="635"/>
        <v>0.56855909694555473</v>
      </c>
      <c r="HB333" s="177">
        <f>IF(HA333="",NA(),SUM($HA$4:HA333))</f>
        <v>2.349531978286945</v>
      </c>
      <c r="HC333" s="177">
        <f t="shared" si="636"/>
        <v>0.56855909694555473</v>
      </c>
      <c r="HD333" s="177">
        <f>IF(HC333="",NA(),SUM($HC$4:HC333))</f>
        <v>0.56855909694555473</v>
      </c>
      <c r="HE333" s="177" t="str">
        <f t="shared" si="637"/>
        <v/>
      </c>
      <c r="HF333" s="177" t="e">
        <f>IF(HE333="",NA(),SUM($HE$4:HE333))</f>
        <v>#N/A</v>
      </c>
      <c r="HG333" s="177" t="str">
        <f t="shared" si="638"/>
        <v/>
      </c>
      <c r="HH333" s="177" t="e">
        <f>IF(HG333="",NA(),SUM($HG$4:HG333))</f>
        <v>#N/A</v>
      </c>
      <c r="HI333" s="183" t="str">
        <f t="shared" si="651"/>
        <v/>
      </c>
      <c r="HJ333" s="183">
        <f>IF($J333="",#N/A,SUM(HI$4:$HI333))</f>
        <v>-8.7289352510103964</v>
      </c>
      <c r="HK333" s="177" t="str">
        <f t="shared" si="639"/>
        <v/>
      </c>
      <c r="HL333" s="177">
        <f>IF($J333="",#N/A,SUM($HK$4:HK333))</f>
        <v>1.9034651933981581</v>
      </c>
      <c r="HM333" s="177">
        <f t="shared" si="640"/>
        <v>0.76361221779548449</v>
      </c>
      <c r="HN333" s="177">
        <f>IF($J333="",#N/A,SUM($HM$4:HM333))</f>
        <v>0.48946509491467965</v>
      </c>
      <c r="HO333" s="177" t="str">
        <f t="shared" si="641"/>
        <v/>
      </c>
      <c r="HP333" s="177">
        <f>IF($J333="",#N/A,SUM($HO$4:HO333))</f>
        <v>-0.69476253225193951</v>
      </c>
      <c r="HQ333" s="177" t="str">
        <f t="shared" si="642"/>
        <v/>
      </c>
      <c r="HR333" s="177">
        <f>IF($J333="",#N/A,SUM($HQ$4:HQ333))</f>
        <v>-12.322894294476907</v>
      </c>
      <c r="HS333" s="177" t="str">
        <f t="shared" si="643"/>
        <v/>
      </c>
      <c r="HT333" s="177">
        <f>IF($J333="",#N/A,SUM($HS$4:HS333))</f>
        <v>14.861978437833368</v>
      </c>
      <c r="HU333" s="64">
        <f t="shared" si="644"/>
        <v>1.3321713147410392</v>
      </c>
      <c r="HV333" s="64">
        <f>IF($J333="",#N/A,SUM(HU$4:$HU333))</f>
        <v>9.4644661775309533</v>
      </c>
    </row>
    <row r="334" spans="1:230" x14ac:dyDescent="0.25">
      <c r="A334" s="51" t="s">
        <v>3770</v>
      </c>
      <c r="B334" s="52" t="s">
        <v>4602</v>
      </c>
      <c r="C334" s="229">
        <f t="shared" si="545"/>
        <v>2</v>
      </c>
      <c r="D334" s="219" t="str">
        <f>_xlfn.XLOOKUP(A334,[1]SP500!$A$2:$A$502,[1]SP500!$D$2:$D$502,"N")</f>
        <v>N</v>
      </c>
      <c r="E334" s="51" t="str">
        <f>IFERROR(_xlfn.XLOOKUP(A334,[1]SP500!$A$2:$A$655,[1]SP500!$B$2:$B$655),"")</f>
        <v/>
      </c>
      <c r="F334" s="290">
        <v>45790</v>
      </c>
      <c r="G334" s="51" t="str">
        <f t="shared" si="546"/>
        <v>AMC</v>
      </c>
      <c r="H334" s="51" t="str">
        <f t="shared" si="547"/>
        <v>o</v>
      </c>
      <c r="I334" s="344">
        <v>6.55</v>
      </c>
      <c r="J334" s="124">
        <v>6.22</v>
      </c>
      <c r="K334" s="55">
        <f t="shared" si="548"/>
        <v>-5.038167938931299E-2</v>
      </c>
      <c r="L334" s="67">
        <f t="shared" si="549"/>
        <v>-61.049999999999955</v>
      </c>
      <c r="M334" s="57">
        <f t="shared" si="550"/>
        <v>0</v>
      </c>
      <c r="N334" s="102">
        <f t="shared" si="551"/>
        <v>61.049999999999955</v>
      </c>
      <c r="O334" s="57">
        <f>IF(N334="",#N/A,SUM($N$4:N334))</f>
        <v>755.35937556162412</v>
      </c>
      <c r="P334" s="65">
        <f t="shared" si="645"/>
        <v>0.83969465648854902</v>
      </c>
      <c r="Q334" s="172">
        <f>IF($N334="",#N/A,SUM($P$4:P334))</f>
        <v>15.311791652779524</v>
      </c>
      <c r="R334" s="279">
        <f t="shared" si="552"/>
        <v>7.5038725406953759</v>
      </c>
      <c r="S334" s="51" t="str">
        <f t="shared" si="553"/>
        <v>Dwn</v>
      </c>
      <c r="T334" s="51" t="s">
        <v>4462</v>
      </c>
      <c r="U334" s="56">
        <f t="shared" si="554"/>
        <v>6.55</v>
      </c>
      <c r="V334" s="56" t="s">
        <v>4460</v>
      </c>
      <c r="W334" s="142">
        <v>185</v>
      </c>
      <c r="X334" s="145">
        <f t="shared" si="555"/>
        <v>1211.75</v>
      </c>
      <c r="Y334" s="140">
        <f t="shared" si="556"/>
        <v>185</v>
      </c>
      <c r="Z334" s="123">
        <v>6.22</v>
      </c>
      <c r="AA334" s="102">
        <f t="shared" si="557"/>
        <v>-61.049999999999955</v>
      </c>
      <c r="AB334" s="102">
        <f t="shared" si="558"/>
        <v>-160.95000000000005</v>
      </c>
      <c r="AC334" s="124">
        <v>5.68</v>
      </c>
      <c r="AD334" s="155">
        <f t="shared" si="559"/>
        <v>160.95000000000005</v>
      </c>
      <c r="AE334" s="545">
        <f t="shared" si="560"/>
        <v>2.213740458015268</v>
      </c>
      <c r="AF334" s="57">
        <f>IF($AC334="",#N/A,SUM(AD$4:AD334))</f>
        <v>692.91239714744881</v>
      </c>
      <c r="AG334" s="102">
        <f t="shared" si="561"/>
        <v>99.900000000000091</v>
      </c>
      <c r="AH334" s="56" t="s">
        <v>2507</v>
      </c>
      <c r="AI334" s="65">
        <f t="shared" si="562"/>
        <v>-0.83969465648854902</v>
      </c>
      <c r="AJ334" s="108">
        <f>IF(AI334="",#N/A,SUM($AI$4:AI334))</f>
        <v>7.8079191120841482</v>
      </c>
      <c r="AK334" s="57">
        <f t="shared" si="563"/>
        <v>-61.049999999999955</v>
      </c>
      <c r="AL334" s="66">
        <f>IF(AI334="",#N/A,IF(AH334="Skip",SUM($AK$4:AK334),SUM($AK$4:AK334)))</f>
        <v>239.67236927848217</v>
      </c>
      <c r="AM334" s="65">
        <f t="shared" si="646"/>
        <v>2.213740458015268</v>
      </c>
      <c r="AN334" s="209"/>
      <c r="AO334" s="65" t="str">
        <f t="shared" si="564"/>
        <v/>
      </c>
      <c r="AP334" s="65">
        <f>IF($AC334="",#N/A,SUM(AO$4:AO334))</f>
        <v>11.654709625696453</v>
      </c>
      <c r="AQ334" s="65" t="str">
        <f t="shared" si="565"/>
        <v/>
      </c>
      <c r="AR334" s="65">
        <f>IF($AC334="",#N/A,SUM(AQ$4:AQ334))</f>
        <v>-3.7951220402479615</v>
      </c>
      <c r="AS334" s="65">
        <f t="shared" si="566"/>
        <v>2.213740458015268</v>
      </c>
      <c r="AT334" s="65">
        <f>IF($AC334="",#N/A,SUM(AS$4:AS334))</f>
        <v>3.8186190500977242</v>
      </c>
      <c r="AU334" s="57" t="str">
        <f t="shared" si="647"/>
        <v/>
      </c>
      <c r="AV334" s="57">
        <f>IF($AC334="",#N/A,SUM(AU$4:AU334))</f>
        <v>659.41627194988018</v>
      </c>
      <c r="AW334" s="57" t="str">
        <f t="shared" si="648"/>
        <v/>
      </c>
      <c r="AX334" s="57">
        <f>IF($AC334="",#N/A,SUM(AW$4:AW334))</f>
        <v>-240.66106797961083</v>
      </c>
      <c r="AY334" s="57">
        <f t="shared" si="649"/>
        <v>160.95000000000005</v>
      </c>
      <c r="AZ334" s="57">
        <f>IF($AC334="",#N/A,SUM(AY$4:AY334))</f>
        <v>274.15719317717947</v>
      </c>
      <c r="BA334" s="57">
        <f>IF(AD334="",#N/A,SUM($AD$4:AD334))</f>
        <v>692.91239714744881</v>
      </c>
      <c r="BC334" s="51" t="str">
        <f t="shared" si="567"/>
        <v/>
      </c>
      <c r="BD334" s="51" t="str">
        <f t="shared" si="568"/>
        <v/>
      </c>
      <c r="BE334" s="51" t="str">
        <f t="shared" si="569"/>
        <v/>
      </c>
      <c r="BF334" s="51" t="str">
        <f t="shared" si="570"/>
        <v>Short</v>
      </c>
      <c r="BG334" s="51">
        <f t="shared" si="571"/>
        <v>1</v>
      </c>
      <c r="BH334" s="51" t="str">
        <f t="shared" si="572"/>
        <v/>
      </c>
      <c r="BI334" s="51" t="str">
        <f t="shared" si="573"/>
        <v/>
      </c>
      <c r="BK334" s="65">
        <f t="shared" si="544"/>
        <v>3.7841071804252696E-2</v>
      </c>
      <c r="BL334" s="65">
        <f t="shared" si="543"/>
        <v>0.10089317304125395</v>
      </c>
      <c r="BM334" s="65">
        <f>IFERROR(Q334/COUNTA($J$4:J334),#N/A)</f>
        <v>4.6259189283321824E-2</v>
      </c>
      <c r="BO334" s="489" t="e">
        <f>IF(J334="",#N/A,IF(S334="SW",(COUNTIFS(K$4:$K334,"&gt;0",S$4:$S334,"SW")/COUNTIF(S$4:$S334,"SW")),#N/A))</f>
        <v>#N/A</v>
      </c>
      <c r="BP334" s="489">
        <f>IF($J334="",#N/A,IF($S334="DWN",(COUNTIFS($K$4:$K334,"&lt;0",$S$4:$S334,"DWN")/COUNTIF($S$4:$S334,"DWN")),#N/A))</f>
        <v>0.56000000000000005</v>
      </c>
      <c r="BQ334" s="489" t="e">
        <f>IF($J334="",#N/A,IF($S334="UP",(COUNTIFS($K$4:$K334,"&gt;0",$S$4:$S334,"UP")/COUNTIF($S$4:$S334,"UP")),#N/A))</f>
        <v>#N/A</v>
      </c>
      <c r="BR334" s="489">
        <f>IF(J334="",#N/A,COUNTIF($K$4:K334,"&gt;0")/COUNT($J$4:J334))</f>
        <v>0.47432024169184289</v>
      </c>
      <c r="BS334" s="65" t="str">
        <f t="shared" si="574"/>
        <v/>
      </c>
      <c r="BT334" s="65">
        <f t="shared" si="575"/>
        <v>0.83969465648854902</v>
      </c>
      <c r="BU334" s="65" t="str">
        <f t="shared" si="576"/>
        <v/>
      </c>
      <c r="BV334" s="65" t="str">
        <f t="shared" si="577"/>
        <v/>
      </c>
      <c r="BW334" s="128" t="str">
        <f t="shared" si="578"/>
        <v/>
      </c>
      <c r="BX334" s="128">
        <f>IF($J334="",#N/A,SUM($BW$4:BW334))</f>
        <v>-223.0231703479285</v>
      </c>
      <c r="BY334" s="131">
        <f t="shared" si="579"/>
        <v>61.049999999999955</v>
      </c>
      <c r="BZ334" s="131">
        <f>IF($J334="",#N/A,SUM($BY$4:BY334))</f>
        <v>493.64161346139429</v>
      </c>
      <c r="CA334" s="133" t="str">
        <f t="shared" si="580"/>
        <v/>
      </c>
      <c r="CB334" s="133">
        <f>IF($J334="",#N/A,SUM($CA$4:CA334))</f>
        <v>484.74093244815822</v>
      </c>
      <c r="CC334" s="194" t="str">
        <f t="shared" si="581"/>
        <v/>
      </c>
      <c r="CD334" s="194">
        <f>IF($J334="",#N/A,SUM($CC$4:CC334))</f>
        <v>-3.5898246029106979</v>
      </c>
      <c r="CE334" s="195">
        <f t="shared" si="582"/>
        <v>0.83969465648854902</v>
      </c>
      <c r="CF334" s="195">
        <f>IF($J334="",#N/A,SUM($CE$4:CE334))</f>
        <v>9.2700433061832523</v>
      </c>
      <c r="CG334" s="196" t="str">
        <f t="shared" si="583"/>
        <v/>
      </c>
      <c r="CH334" s="196">
        <f>IF($J334="",#N/A,SUM($CG$4:CG334))</f>
        <v>9.6315729495069782</v>
      </c>
      <c r="CI334" s="200" t="str">
        <f t="shared" si="584"/>
        <v/>
      </c>
      <c r="CJ334" s="203">
        <f>IF($J334="",#N/A,SUM(CI$4:CI334))</f>
        <v>0</v>
      </c>
      <c r="CK334" s="204" t="str">
        <f t="shared" si="585"/>
        <v/>
      </c>
      <c r="CL334" s="204">
        <f>IF($J334="",#N/A,SUM(CK$4:CK334))</f>
        <v>1.2912501745213723</v>
      </c>
      <c r="CM334" s="205" t="str">
        <f t="shared" si="586"/>
        <v/>
      </c>
      <c r="CN334" s="205">
        <f>IF($J334="",#N/A,SUM(CM$4:CM334))</f>
        <v>0.87319808458533243</v>
      </c>
      <c r="CO334" s="205">
        <f>IF($J334="",#N/A,SUM(CM$4:CM334,CK$4:CK334,CI$4:CI334))</f>
        <v>2.1644482591067051</v>
      </c>
      <c r="CP334" s="200" t="str">
        <f t="shared" si="587"/>
        <v/>
      </c>
      <c r="CQ334" s="203">
        <f>IF($J334="",#N/A,SUM(CP$4:CP334))</f>
        <v>-2.5399197875602422</v>
      </c>
      <c r="CR334" s="204" t="str">
        <f t="shared" si="588"/>
        <v/>
      </c>
      <c r="CS334" s="204">
        <f>IF($J334="",#N/A,SUM(CR$4:CR334))</f>
        <v>2.3600225017004668</v>
      </c>
      <c r="CT334" s="205" t="str">
        <f t="shared" si="589"/>
        <v/>
      </c>
      <c r="CU334" s="205">
        <f>IF($J334="",#N/A,SUM(CT$4:CT334))</f>
        <v>-0.35196499572459283</v>
      </c>
      <c r="CV334" s="205">
        <f>IF($J334="",#N/A,SUM(CT$4:CT334,CR$4:CR334,CP$4:CP334))</f>
        <v>-0.53186228158436855</v>
      </c>
      <c r="CW334" s="200" t="str">
        <f t="shared" si="590"/>
        <v/>
      </c>
      <c r="CX334" s="203">
        <f>IF($J334="",#N/A,SUM(CW$4:CW334))</f>
        <v>-0.29399505935581682</v>
      </c>
      <c r="CY334" s="204" t="str">
        <f t="shared" si="591"/>
        <v/>
      </c>
      <c r="CZ334" s="204">
        <f>IF($J334="",#N/A,SUM(CY$4:CY334))</f>
        <v>-0.20119965665334139</v>
      </c>
      <c r="DA334" s="205" t="str">
        <f t="shared" si="592"/>
        <v/>
      </c>
      <c r="DB334" s="205">
        <f>IF($J334="",#N/A,SUM(DA$4:DA334))</f>
        <v>-2.7756316087437582</v>
      </c>
      <c r="DC334" s="205">
        <f>IF($J334="",#N/A,SUM(DA$4:DA334,CY$4:CY334,CW$4:CW334))</f>
        <v>-3.2708263247529161</v>
      </c>
      <c r="DD334" s="200" t="str">
        <f t="shared" si="593"/>
        <v/>
      </c>
      <c r="DE334" s="203">
        <f>IF($J334="",#N/A,SUM(DD$4:DD334))</f>
        <v>1.2501454750716789</v>
      </c>
      <c r="DF334" s="204" t="str">
        <f t="shared" si="594"/>
        <v/>
      </c>
      <c r="DG334" s="204">
        <f>IF($J334="",#N/A,SUM(DF$4:DF334))</f>
        <v>2.626961496209514</v>
      </c>
      <c r="DH334" s="205" t="str">
        <f t="shared" si="595"/>
        <v/>
      </c>
      <c r="DI334" s="205">
        <f>IF($J334="",#N/A,SUM(DH$4:DH334))</f>
        <v>-2.7812008102163399</v>
      </c>
      <c r="DJ334" s="205">
        <f>IF($J334="",#N/A,SUM(DH$4:DH334,DF$4:DF334,DD$4:DD334))</f>
        <v>1.0959061610648531</v>
      </c>
      <c r="DK334" s="200" t="str">
        <f t="shared" si="596"/>
        <v/>
      </c>
      <c r="DL334" s="203">
        <f>IF($J334="",#N/A,SUM(DK$4:DK334))</f>
        <v>-0.84049791589649614</v>
      </c>
      <c r="DM334" s="204" t="str">
        <f t="shared" si="597"/>
        <v/>
      </c>
      <c r="DN334" s="204">
        <f>IF($J334="",#N/A,SUM(DM$4:DM334))</f>
        <v>1.8657648196498773</v>
      </c>
      <c r="DO334" s="205" t="str">
        <f t="shared" si="598"/>
        <v/>
      </c>
      <c r="DP334" s="205">
        <f>IF($J334="",#N/A,SUM(DO$4:DO334))</f>
        <v>3.4887162328793941</v>
      </c>
      <c r="DQ334" s="205">
        <f>IF($J334="",#N/A,SUM(DO$4:DO334,DM$4:DM334,DK$4:DK334))</f>
        <v>4.5139831366327758</v>
      </c>
      <c r="DR334" s="200" t="str">
        <f t="shared" si="599"/>
        <v/>
      </c>
      <c r="DS334" s="203">
        <f>IF($J334="",#N/A,SUM(DR$4:DR334))</f>
        <v>-0.55950946427675097</v>
      </c>
      <c r="DT334" s="204" t="str">
        <f t="shared" si="600"/>
        <v/>
      </c>
      <c r="DU334" s="204">
        <f>IF($J334="",#N/A,SUM(DT$4:DT334))</f>
        <v>-0.20750635820596686</v>
      </c>
      <c r="DV334" s="205" t="str">
        <f t="shared" si="601"/>
        <v/>
      </c>
      <c r="DW334" s="205">
        <f>IF($J334="",#N/A,SUM(DV$4:DV334))</f>
        <v>-2.3377035686214001</v>
      </c>
      <c r="DX334" s="205">
        <f>IF($J334="",#N/A,SUM(DV$4:DV334,DT$4:DT334,DR$4:DR334))</f>
        <v>-3.1047193911041169</v>
      </c>
      <c r="DY334" s="200" t="str">
        <f t="shared" si="602"/>
        <v/>
      </c>
      <c r="DZ334" s="203">
        <f>IF($J334="",#N/A,SUM(DY$4:DY334))</f>
        <v>-1.6284722482776204</v>
      </c>
      <c r="EA334" s="204" t="str">
        <f t="shared" si="603"/>
        <v/>
      </c>
      <c r="EB334" s="204">
        <f>IF($J334="",#N/A,SUM(EA$4:EA334))</f>
        <v>2.276197208799712</v>
      </c>
      <c r="EC334" s="205" t="str">
        <f t="shared" si="604"/>
        <v/>
      </c>
      <c r="ED334" s="205">
        <f>IF($J334="",#N/A,SUM(EC$4:EC334))</f>
        <v>8.6307007550759458</v>
      </c>
      <c r="EE334" s="205">
        <f>IF($J334="",#N/A,SUM(EC$4:EC334,EA$4:EA334,DY$4:DY334))</f>
        <v>9.2784257155980399</v>
      </c>
      <c r="EF334" s="200" t="str">
        <f t="shared" si="605"/>
        <v/>
      </c>
      <c r="EG334" s="203">
        <f>IF($J334="",#N/A,SUM(EF$4:EF334))</f>
        <v>0.65848341369884777</v>
      </c>
      <c r="EH334" s="204" t="str">
        <f t="shared" si="606"/>
        <v/>
      </c>
      <c r="EI334" s="204">
        <f>IF($J334="",#N/A,SUM(EH$4:EH334))</f>
        <v>-3.5125331561187787</v>
      </c>
      <c r="EJ334" s="205" t="str">
        <f t="shared" si="607"/>
        <v/>
      </c>
      <c r="EK334" s="205">
        <f>IF($J334="",#N/A,SUM(EJ$4:EJ334))</f>
        <v>7.5038562143265297</v>
      </c>
      <c r="EL334" s="205">
        <f>IF($J334="",#N/A,SUM(EJ$4:EJ334,EH$4:EH334,EF$4:EF334))</f>
        <v>4.649806471906599</v>
      </c>
      <c r="EM334" s="200" t="str">
        <f t="shared" si="608"/>
        <v/>
      </c>
      <c r="EN334" s="203">
        <f>IF($J334="",#N/A,SUM(EM$4:EM334))</f>
        <v>0</v>
      </c>
      <c r="EO334" s="204" t="str">
        <f t="shared" si="609"/>
        <v/>
      </c>
      <c r="EP334" s="204">
        <f>IF($J334="",#N/A,SUM(EO$4:EO334))</f>
        <v>2.4788862078089964</v>
      </c>
      <c r="EQ334" s="205" t="str">
        <f t="shared" si="610"/>
        <v/>
      </c>
      <c r="ER334" s="205">
        <f>IF($J334="",#N/A,SUM(EQ$4:EQ334))</f>
        <v>2.6983279209445628</v>
      </c>
      <c r="ES334" s="205">
        <f>IF($J334="",#N/A,SUM(EQ$4:EQ334,EO$4:EO334,EM$4:EM334))</f>
        <v>5.1772141287535591</v>
      </c>
      <c r="ET334" s="200" t="str">
        <f t="shared" si="611"/>
        <v/>
      </c>
      <c r="EU334" s="203">
        <f>IF($J334="",#N/A,SUM(ET$4:ET334))</f>
        <v>0</v>
      </c>
      <c r="EV334" s="204" t="str">
        <f t="shared" si="612"/>
        <v/>
      </c>
      <c r="EW334" s="204">
        <f>IF($J334="",#N/A,SUM(EV$4:EV334))</f>
        <v>7.9116394275462909E-2</v>
      </c>
      <c r="EX334" s="205" t="str">
        <f t="shared" si="613"/>
        <v/>
      </c>
      <c r="EY334" s="205">
        <f>IF($J334="",#N/A,SUM(EX$4:EX334))</f>
        <v>0.27113250180669229</v>
      </c>
      <c r="EZ334" s="205">
        <f>IF($J334="",#N/A,SUM(EX$4:EX334,EV$4:EV334,ET$4:ET334))</f>
        <v>0.35024889608215481</v>
      </c>
      <c r="FA334" s="200" t="str">
        <f t="shared" si="614"/>
        <v/>
      </c>
      <c r="FB334" s="203">
        <f>IF($J334="",#N/A,SUM(FA$4:FA334))</f>
        <v>-0.27145310509113252</v>
      </c>
      <c r="FC334" s="204" t="str">
        <f t="shared" si="615"/>
        <v/>
      </c>
      <c r="FD334" s="204">
        <f>IF($J334="",#N/A,SUM(FC$4:FC334))</f>
        <v>0.89084290967454072</v>
      </c>
      <c r="FE334" s="205" t="str">
        <f t="shared" si="616"/>
        <v/>
      </c>
      <c r="FF334" s="205">
        <f>IF($J334="",#N/A,SUM(FE$4:FE334))</f>
        <v>-0.28811149078748233</v>
      </c>
      <c r="FG334" s="205">
        <f>IF($J334="",#N/A,SUM(FE$4:FE334,FC$4:FC334,FA$4:FA334))</f>
        <v>0.3312783137959262</v>
      </c>
      <c r="FH334" s="200" t="str">
        <f t="shared" si="617"/>
        <v/>
      </c>
      <c r="FI334" s="203">
        <f>IF($J334="",#N/A,SUM(FH$4:FH334))</f>
        <v>0</v>
      </c>
      <c r="FJ334" s="204" t="str">
        <f t="shared" si="618"/>
        <v/>
      </c>
      <c r="FK334" s="204">
        <f>IF($J334="",#N/A,SUM(FJ$4:FJ334))</f>
        <v>0</v>
      </c>
      <c r="FL334" s="205" t="str">
        <f t="shared" si="619"/>
        <v/>
      </c>
      <c r="FM334" s="205">
        <f>IF($J334="",#N/A,SUM(FL$4:FL334))</f>
        <v>0</v>
      </c>
      <c r="FN334" s="205">
        <f>IF($J334="",#N/A,SUM(FL$4:FL334,FJ$4:FJ334,FH$4:FH334))</f>
        <v>0</v>
      </c>
      <c r="FO334" s="200" t="str">
        <f t="shared" si="620"/>
        <v/>
      </c>
      <c r="FP334" s="203">
        <f>IF($J334="",#N/A,SUM(FO$4:FO334))</f>
        <v>0</v>
      </c>
      <c r="FQ334" s="204" t="str">
        <f t="shared" si="621"/>
        <v/>
      </c>
      <c r="FR334" s="204">
        <f>IF($J334="",#N/A,SUM(FQ$4:FQ334))</f>
        <v>0</v>
      </c>
      <c r="FS334" s="205" t="str">
        <f t="shared" si="622"/>
        <v/>
      </c>
      <c r="FT334" s="205">
        <f>IF($J334="",#N/A,SUM(FS$4:FS334))</f>
        <v>0</v>
      </c>
      <c r="FU334" s="205">
        <f>IF($J334="",#N/A,SUM(FS$4:FS334,FQ$4:FQ334,FO$4:FO334))</f>
        <v>0</v>
      </c>
      <c r="FV334" s="200" t="str">
        <f t="shared" si="623"/>
        <v/>
      </c>
      <c r="FW334" s="203">
        <f>IF($J334="",#N/A,SUM(FV$4:FV334))</f>
        <v>6.6834991831277585E-2</v>
      </c>
      <c r="FX334" s="204" t="str">
        <f t="shared" si="624"/>
        <v/>
      </c>
      <c r="FY334" s="204">
        <f>IF($J334="",#N/A,SUM(FX$4:FX334))</f>
        <v>-0.16102012791805576</v>
      </c>
      <c r="FZ334" s="205" t="str">
        <f t="shared" si="625"/>
        <v/>
      </c>
      <c r="GA334" s="205">
        <f>IF($J334="",#N/A,SUM(FZ$4:FZ334))</f>
        <v>-0.69624339162892301</v>
      </c>
      <c r="GB334" s="205">
        <f>IF($J334="",#N/A,SUM(FZ$4:FZ334,FX$4:FX334,FV$4:FV334))</f>
        <v>-0.79042852771570116</v>
      </c>
      <c r="GC334" s="200" t="str">
        <f t="shared" si="626"/>
        <v/>
      </c>
      <c r="GD334" s="203">
        <f>IF($J334="",#N/A,SUM(GC$4:GC334))</f>
        <v>0</v>
      </c>
      <c r="GE334" s="204" t="str">
        <f t="shared" si="627"/>
        <v/>
      </c>
      <c r="GF334" s="204">
        <f>IF($J334="",#N/A,SUM(GE$4:GE334))</f>
        <v>0</v>
      </c>
      <c r="GG334" s="205" t="str">
        <f t="shared" si="628"/>
        <v/>
      </c>
      <c r="GH334" s="205">
        <f>IF($J334="",#N/A,SUM(GG$4:GG334))</f>
        <v>-2.9368362277223206</v>
      </c>
      <c r="GI334" s="205">
        <f>IF($J334="",#N/A,SUM(GG$4:GG334,GE$4:GE334,GC$4:GC334))</f>
        <v>-2.9368362277223206</v>
      </c>
      <c r="GJ334" s="200" t="str">
        <f t="shared" si="629"/>
        <v/>
      </c>
      <c r="GK334" s="203">
        <f>IF($J334="",#N/A,SUM(GJ$4:GJ334))</f>
        <v>0</v>
      </c>
      <c r="GL334" s="204" t="str">
        <f t="shared" si="630"/>
        <v/>
      </c>
      <c r="GM334" s="204">
        <f>IF($J334="",#N/A,SUM(GL$4:GL334))</f>
        <v>-1.6833790887309608</v>
      </c>
      <c r="GN334" s="205" t="str">
        <f t="shared" si="631"/>
        <v/>
      </c>
      <c r="GO334" s="205">
        <f>IF($J334="",#N/A,SUM(GN$4:GN334))</f>
        <v>0</v>
      </c>
      <c r="GP334" s="205">
        <f>IF($J334="",#N/A,SUM(GN$4:GN334,GL$4:GL334,GJ$4:GJ334))</f>
        <v>-1.6833790887309608</v>
      </c>
      <c r="GS334" s="54" t="str">
        <f t="shared" si="650"/>
        <v/>
      </c>
      <c r="GT334" s="54" t="e">
        <f>IF(GS334="",NA(),SUM($GS$4:GS334))</f>
        <v>#N/A</v>
      </c>
      <c r="GU334" s="54" t="str">
        <f t="shared" si="632"/>
        <v/>
      </c>
      <c r="GV334" s="54" t="e">
        <f>IF(GU334="",NA(),SUM($GU$4:GU334))</f>
        <v>#N/A</v>
      </c>
      <c r="GW334" s="54" t="str">
        <f t="shared" si="633"/>
        <v/>
      </c>
      <c r="GX334" s="54" t="e">
        <f>IF(GW334="",NA(),SUM($GW$4:GW334))</f>
        <v>#N/A</v>
      </c>
      <c r="GY334" s="54" t="str">
        <f t="shared" si="634"/>
        <v/>
      </c>
      <c r="GZ334" s="54" t="e">
        <f>IF(GY334="",NA(),SUM($GY$4:GY334))</f>
        <v>#N/A</v>
      </c>
      <c r="HA334" s="54">
        <f t="shared" si="635"/>
        <v>0.83969465648854902</v>
      </c>
      <c r="HB334" s="54">
        <f>IF(HA334="",NA(),SUM($HA$4:HA334))</f>
        <v>3.1892266347754941</v>
      </c>
      <c r="HC334" s="54" t="str">
        <f t="shared" si="636"/>
        <v/>
      </c>
      <c r="HD334" s="54" t="e">
        <f>IF(HC334="",NA(),SUM($HC$4:HC334))</f>
        <v>#N/A</v>
      </c>
      <c r="HE334" s="54" t="str">
        <f t="shared" si="637"/>
        <v/>
      </c>
      <c r="HF334" s="54" t="e">
        <f>IF(HE334="",NA(),SUM($HE$4:HE334))</f>
        <v>#N/A</v>
      </c>
      <c r="HG334" s="54">
        <f t="shared" si="638"/>
        <v>0.83969465648854902</v>
      </c>
      <c r="HH334" s="54">
        <f>IF(HG334="",NA(),SUM($HG$4:HG334))</f>
        <v>4.0496098278542974</v>
      </c>
      <c r="HI334" s="172">
        <f t="shared" si="651"/>
        <v>1.374045801526719</v>
      </c>
      <c r="HJ334" s="172">
        <f>IF($J334="",#N/A,SUM(HI$4:$HI334))</f>
        <v>-7.354889449483677</v>
      </c>
      <c r="HK334" s="54" t="str">
        <f t="shared" si="639"/>
        <v/>
      </c>
      <c r="HL334" s="54">
        <f>IF($J334="",#N/A,SUM($HK$4:HK334))</f>
        <v>1.9034651933981581</v>
      </c>
      <c r="HM334" s="54" t="str">
        <f t="shared" si="640"/>
        <v/>
      </c>
      <c r="HN334" s="54">
        <f>IF($J334="",#N/A,SUM($HM$4:HM334))</f>
        <v>0.48946509491467965</v>
      </c>
      <c r="HO334" s="54" t="str">
        <f t="shared" si="641"/>
        <v/>
      </c>
      <c r="HP334" s="54">
        <f>IF($J334="",#N/A,SUM($HO$4:HO334))</f>
        <v>-0.69476253225193951</v>
      </c>
      <c r="HQ334" s="54" t="str">
        <f t="shared" si="642"/>
        <v/>
      </c>
      <c r="HR334" s="54">
        <f>IF($J334="",#N/A,SUM($HQ$4:HQ334))</f>
        <v>-12.322894294476907</v>
      </c>
      <c r="HS334" s="54" t="str">
        <f t="shared" si="643"/>
        <v/>
      </c>
      <c r="HT334" s="54">
        <f>IF($J334="",#N/A,SUM($HS$4:HS334))</f>
        <v>14.861978437833368</v>
      </c>
      <c r="HU334" s="65">
        <f t="shared" si="644"/>
        <v>2.213740458015268</v>
      </c>
      <c r="HV334" s="65">
        <f>IF($J334="",#N/A,SUM(HU$4:$HU334))</f>
        <v>11.678206635546221</v>
      </c>
    </row>
    <row r="335" spans="1:230" ht="15.75" thickBot="1" x14ac:dyDescent="0.3">
      <c r="A335" s="292" t="s">
        <v>548</v>
      </c>
      <c r="B335" s="293" t="s">
        <v>4603</v>
      </c>
      <c r="C335" s="294">
        <f t="shared" si="545"/>
        <v>3</v>
      </c>
      <c r="D335" s="295" t="str">
        <f>_xlfn.XLOOKUP(A335,[1]SP500!$A$2:$A$502,[1]SP500!$D$2:$D$502,"N")</f>
        <v>N</v>
      </c>
      <c r="E335" s="292" t="str">
        <f>IFERROR(_xlfn.XLOOKUP(A335,[1]SP500!$A$2:$A$655,[1]SP500!$B$2:$B$655),"")</f>
        <v>IGV</v>
      </c>
      <c r="F335" s="296">
        <v>45791</v>
      </c>
      <c r="G335" s="292" t="str">
        <f t="shared" si="546"/>
        <v>BMO</v>
      </c>
      <c r="H335" s="292" t="str">
        <f t="shared" si="547"/>
        <v>s</v>
      </c>
      <c r="I335" s="345">
        <v>50.54</v>
      </c>
      <c r="J335" s="297">
        <v>51.57</v>
      </c>
      <c r="K335" s="298">
        <f t="shared" si="548"/>
        <v>2.0379897111199072E-2</v>
      </c>
      <c r="L335" s="299">
        <f t="shared" si="549"/>
        <v>24.720000000000027</v>
      </c>
      <c r="M335" s="300">
        <f t="shared" si="550"/>
        <v>0</v>
      </c>
      <c r="N335" s="341">
        <f t="shared" si="551"/>
        <v>24.720000000000027</v>
      </c>
      <c r="O335" s="300">
        <f>IF(N335="",#N/A,SUM($N$4:N335))</f>
        <v>780.07937556162415</v>
      </c>
      <c r="P335" s="305">
        <f t="shared" si="645"/>
        <v>0.33966495185331791</v>
      </c>
      <c r="Q335" s="304">
        <f>IF($N335="",#N/A,SUM($P$4:P335))</f>
        <v>15.651456604632841</v>
      </c>
      <c r="R335" s="307">
        <f t="shared" si="552"/>
        <v>7.5038725406953759</v>
      </c>
      <c r="S335" s="292" t="str">
        <f t="shared" si="553"/>
        <v>SW</v>
      </c>
      <c r="T335" s="292" t="s">
        <v>2828</v>
      </c>
      <c r="U335" s="308">
        <f t="shared" si="554"/>
        <v>50.54</v>
      </c>
      <c r="V335" s="308" t="s">
        <v>4460</v>
      </c>
      <c r="W335" s="310">
        <v>24</v>
      </c>
      <c r="X335" s="309">
        <f t="shared" si="555"/>
        <v>1212.96</v>
      </c>
      <c r="Y335" s="310">
        <f t="shared" si="556"/>
        <v>24</v>
      </c>
      <c r="Z335" s="313">
        <v>51.57</v>
      </c>
      <c r="AA335" s="341">
        <f t="shared" si="557"/>
        <v>24.720000000000027</v>
      </c>
      <c r="AB335" s="341">
        <f t="shared" si="558"/>
        <v>71.039999999999964</v>
      </c>
      <c r="AC335" s="297">
        <v>53.5</v>
      </c>
      <c r="AD335" s="301">
        <f t="shared" si="559"/>
        <v>71.039999999999964</v>
      </c>
      <c r="AE335" s="546">
        <f t="shared" si="560"/>
        <v>0.9761245218308926</v>
      </c>
      <c r="AF335" s="300">
        <f>IF($AC335="",#N/A,SUM(AD$4:AD335))</f>
        <v>763.95239714744878</v>
      </c>
      <c r="AG335" s="341">
        <f t="shared" si="561"/>
        <v>46.319999999999936</v>
      </c>
      <c r="AH335" s="308" t="s">
        <v>2507</v>
      </c>
      <c r="AI335" s="305">
        <f t="shared" si="562"/>
        <v>0.33966495185331791</v>
      </c>
      <c r="AJ335" s="303">
        <f>IF(AI335="",#N/A,SUM($AI$4:AI335))</f>
        <v>8.1475840639374653</v>
      </c>
      <c r="AK335" s="300">
        <f t="shared" si="563"/>
        <v>24.720000000000027</v>
      </c>
      <c r="AL335" s="406">
        <f>IF(AI335="",#N/A,IF(AH335="Skip",SUM($AK$4:AK335),SUM($AK$4:AK335)))</f>
        <v>264.39236927848219</v>
      </c>
      <c r="AM335" s="65">
        <f t="shared" si="646"/>
        <v>0.9761245218308926</v>
      </c>
      <c r="AN335" s="209"/>
      <c r="AO335" s="305">
        <f t="shared" si="564"/>
        <v>0.9761245218308926</v>
      </c>
      <c r="AP335" s="305">
        <f>IF($AC335="",#N/A,SUM(AO$4:AO335))</f>
        <v>12.630834147527345</v>
      </c>
      <c r="AQ335" s="305" t="str">
        <f t="shared" si="565"/>
        <v/>
      </c>
      <c r="AR335" s="305">
        <f>IF($AC335="",#N/A,SUM(AQ$4:AQ335))</f>
        <v>-3.7951220402479615</v>
      </c>
      <c r="AS335" s="305" t="str">
        <f t="shared" si="566"/>
        <v/>
      </c>
      <c r="AT335" s="305">
        <f>IF($AC335="",#N/A,SUM(AS$4:AS335))</f>
        <v>3.8186190500977242</v>
      </c>
      <c r="AU335" s="300">
        <f t="shared" si="647"/>
        <v>71.039999999999964</v>
      </c>
      <c r="AV335" s="300">
        <f>IF($AC335="",#N/A,SUM(AU$4:AU335))</f>
        <v>730.45627194988015</v>
      </c>
      <c r="AW335" s="300" t="str">
        <f t="shared" si="648"/>
        <v/>
      </c>
      <c r="AX335" s="300">
        <f>IF($AC335="",#N/A,SUM(AW$4:AW335))</f>
        <v>-240.66106797961083</v>
      </c>
      <c r="AY335" s="300" t="str">
        <f t="shared" si="649"/>
        <v/>
      </c>
      <c r="AZ335" s="300">
        <f>IF($AC335="",#N/A,SUM(AY$4:AY335))</f>
        <v>274.15719317717947</v>
      </c>
      <c r="BA335" s="300">
        <f>IF(AD335="",#N/A,SUM($AD$4:AD335))</f>
        <v>763.95239714744878</v>
      </c>
      <c r="BC335" s="292" t="str">
        <f t="shared" si="567"/>
        <v/>
      </c>
      <c r="BD335" s="292" t="str">
        <f t="shared" si="568"/>
        <v/>
      </c>
      <c r="BE335" s="292">
        <f t="shared" si="569"/>
        <v>1</v>
      </c>
      <c r="BF335" s="292" t="str">
        <f t="shared" si="570"/>
        <v>Long</v>
      </c>
      <c r="BG335" s="292" t="str">
        <f t="shared" si="571"/>
        <v/>
      </c>
      <c r="BH335" s="292" t="str">
        <f t="shared" si="572"/>
        <v/>
      </c>
      <c r="BI335" s="292" t="str">
        <f t="shared" si="573"/>
        <v/>
      </c>
      <c r="BK335" s="65">
        <f t="shared" si="544"/>
        <v>3.4816928279998327E-2</v>
      </c>
      <c r="BL335" s="65">
        <f t="shared" si="543"/>
        <v>8.53972743169399E-2</v>
      </c>
      <c r="BM335" s="65">
        <f>IFERROR(Q335/COUNTA($J$4:J335),#N/A)</f>
        <v>4.7142941580219401E-2</v>
      </c>
      <c r="BO335" s="489">
        <f>IF(J335="",#N/A,IF(S335="SW",(COUNTIFS(K$4:$K335,"&gt;0",S$4:$S335,"SW")/COUNTIF(S$4:$S335,"SW")),#N/A))</f>
        <v>0.51282051282051277</v>
      </c>
      <c r="BP335" s="489" t="e">
        <f>IF($J335="",#N/A,IF($S335="DWN",(COUNTIFS($K$4:$K335,"&lt;0",$S$4:$S335,"DWN")/COUNTIF($S$4:$S335,"DWN")),#N/A))</f>
        <v>#N/A</v>
      </c>
      <c r="BQ335" s="489" t="e">
        <f>IF($J335="",#N/A,IF($S335="UP",(COUNTIFS($K$4:$K335,"&gt;0",$S$4:$S335,"UP")/COUNTIF($S$4:$S335,"UP")),#N/A))</f>
        <v>#N/A</v>
      </c>
      <c r="BR335" s="489">
        <f>IF(J335="",#N/A,COUNTIF($K$4:K335,"&gt;0")/COUNT($J$4:J335))</f>
        <v>0.4759036144578313</v>
      </c>
      <c r="BS335" s="65">
        <f t="shared" si="574"/>
        <v>0.33966495185331791</v>
      </c>
      <c r="BT335" s="65" t="str">
        <f t="shared" si="575"/>
        <v/>
      </c>
      <c r="BU335" s="65" t="str">
        <f t="shared" si="576"/>
        <v/>
      </c>
      <c r="BV335" s="65" t="str">
        <f t="shared" si="577"/>
        <v/>
      </c>
      <c r="BW335" s="128" t="str">
        <f t="shared" si="578"/>
        <v/>
      </c>
      <c r="BX335" s="128">
        <f>IF($J335="",#N/A,SUM($BW$4:BW335))</f>
        <v>-223.0231703479285</v>
      </c>
      <c r="BY335" s="131" t="str">
        <f t="shared" si="579"/>
        <v/>
      </c>
      <c r="BZ335" s="131">
        <f>IF($J335="",#N/A,SUM($BY$4:BY335))</f>
        <v>493.64161346139429</v>
      </c>
      <c r="CA335" s="133">
        <f t="shared" si="580"/>
        <v>24.720000000000027</v>
      </c>
      <c r="CB335" s="133">
        <f>IF($J335="",#N/A,SUM($CA$4:CA335))</f>
        <v>509.46093244815825</v>
      </c>
      <c r="CC335" s="194" t="str">
        <f t="shared" si="581"/>
        <v/>
      </c>
      <c r="CD335" s="194">
        <f>IF($J335="",#N/A,SUM($CC$4:CC335))</f>
        <v>-3.5898246029106979</v>
      </c>
      <c r="CE335" s="195" t="str">
        <f t="shared" si="582"/>
        <v/>
      </c>
      <c r="CF335" s="195">
        <f>IF($J335="",#N/A,SUM($CE$4:CE335))</f>
        <v>9.2700433061832523</v>
      </c>
      <c r="CG335" s="196">
        <f t="shared" si="583"/>
        <v>0.33966495185331791</v>
      </c>
      <c r="CH335" s="193">
        <f>IF($J335="",#N/A,SUM($CG$4:CG335))</f>
        <v>9.971237901360297</v>
      </c>
      <c r="CI335" s="200" t="str">
        <f t="shared" si="584"/>
        <v/>
      </c>
      <c r="CJ335" s="203">
        <f>IF($J335="",#N/A,SUM(CI$4:CI335))</f>
        <v>0</v>
      </c>
      <c r="CK335" s="204" t="str">
        <f t="shared" si="585"/>
        <v/>
      </c>
      <c r="CL335" s="204">
        <f>IF($J335="",#N/A,SUM(CK$4:CK335))</f>
        <v>1.2912501745213723</v>
      </c>
      <c r="CM335" s="205" t="str">
        <f t="shared" si="586"/>
        <v/>
      </c>
      <c r="CN335" s="205">
        <f>IF($J335="",#N/A,SUM(CM$4:CM335))</f>
        <v>0.87319808458533243</v>
      </c>
      <c r="CO335" s="205">
        <f>IF($J335="",#N/A,SUM(CM$4:CM335,CK$4:CK335,CI$4:CI335))</f>
        <v>2.1644482591067051</v>
      </c>
      <c r="CP335" s="200" t="str">
        <f t="shared" si="587"/>
        <v/>
      </c>
      <c r="CQ335" s="203">
        <f>IF($J335="",#N/A,SUM(CP$4:CP335))</f>
        <v>-2.5399197875602422</v>
      </c>
      <c r="CR335" s="204" t="str">
        <f t="shared" si="588"/>
        <v/>
      </c>
      <c r="CS335" s="204">
        <f>IF($J335="",#N/A,SUM(CR$4:CR335))</f>
        <v>2.3600225017004668</v>
      </c>
      <c r="CT335" s="205">
        <f t="shared" si="589"/>
        <v>0.33966495185331791</v>
      </c>
      <c r="CU335" s="205">
        <f>IF($J335="",#N/A,SUM(CT$4:CT335))</f>
        <v>-1.2300043871274924E-2</v>
      </c>
      <c r="CV335" s="205">
        <f>IF($J335="",#N/A,SUM(CT$4:CT335,CR$4:CR335,CP$4:CP335))</f>
        <v>-0.19219732973104975</v>
      </c>
      <c r="CW335" s="200" t="str">
        <f t="shared" si="590"/>
        <v/>
      </c>
      <c r="CX335" s="203">
        <f>IF($J335="",#N/A,SUM(CW$4:CW335))</f>
        <v>-0.29399505935581682</v>
      </c>
      <c r="CY335" s="204" t="str">
        <f t="shared" si="591"/>
        <v/>
      </c>
      <c r="CZ335" s="204">
        <f>IF($J335="",#N/A,SUM(CY$4:CY335))</f>
        <v>-0.20119965665334139</v>
      </c>
      <c r="DA335" s="205" t="str">
        <f t="shared" si="592"/>
        <v/>
      </c>
      <c r="DB335" s="205">
        <f>IF($J335="",#N/A,SUM(DA$4:DA335))</f>
        <v>-2.7756316087437582</v>
      </c>
      <c r="DC335" s="205">
        <f>IF($J335="",#N/A,SUM(DA$4:DA335,CY$4:CY335,CW$4:CW335))</f>
        <v>-3.2708263247529161</v>
      </c>
      <c r="DD335" s="200" t="str">
        <f t="shared" si="593"/>
        <v/>
      </c>
      <c r="DE335" s="203">
        <f>IF($J335="",#N/A,SUM(DD$4:DD335))</f>
        <v>1.2501454750716789</v>
      </c>
      <c r="DF335" s="204" t="str">
        <f t="shared" si="594"/>
        <v/>
      </c>
      <c r="DG335" s="204">
        <f>IF($J335="",#N/A,SUM(DF$4:DF335))</f>
        <v>2.626961496209514</v>
      </c>
      <c r="DH335" s="205" t="str">
        <f t="shared" si="595"/>
        <v/>
      </c>
      <c r="DI335" s="205">
        <f>IF($J335="",#N/A,SUM(DH$4:DH335))</f>
        <v>-2.7812008102163399</v>
      </c>
      <c r="DJ335" s="205">
        <f>IF($J335="",#N/A,SUM(DH$4:DH335,DF$4:DF335,DD$4:DD335))</f>
        <v>1.0959061610648531</v>
      </c>
      <c r="DK335" s="200" t="str">
        <f t="shared" si="596"/>
        <v/>
      </c>
      <c r="DL335" s="203">
        <f>IF($J335="",#N/A,SUM(DK$4:DK335))</f>
        <v>-0.84049791589649614</v>
      </c>
      <c r="DM335" s="204" t="str">
        <f t="shared" si="597"/>
        <v/>
      </c>
      <c r="DN335" s="204">
        <f>IF($J335="",#N/A,SUM(DM$4:DM335))</f>
        <v>1.8657648196498773</v>
      </c>
      <c r="DO335" s="205" t="str">
        <f t="shared" si="598"/>
        <v/>
      </c>
      <c r="DP335" s="205">
        <f>IF($J335="",#N/A,SUM(DO$4:DO335))</f>
        <v>3.4887162328793941</v>
      </c>
      <c r="DQ335" s="205">
        <f>IF($J335="",#N/A,SUM(DO$4:DO335,DM$4:DM335,DK$4:DK335))</f>
        <v>4.5139831366327758</v>
      </c>
      <c r="DR335" s="200" t="str">
        <f t="shared" si="599"/>
        <v/>
      </c>
      <c r="DS335" s="203">
        <f>IF($J335="",#N/A,SUM(DR$4:DR335))</f>
        <v>-0.55950946427675097</v>
      </c>
      <c r="DT335" s="204" t="str">
        <f t="shared" si="600"/>
        <v/>
      </c>
      <c r="DU335" s="204">
        <f>IF($J335="",#N/A,SUM(DT$4:DT335))</f>
        <v>-0.20750635820596686</v>
      </c>
      <c r="DV335" s="205" t="str">
        <f t="shared" si="601"/>
        <v/>
      </c>
      <c r="DW335" s="205">
        <f>IF($J335="",#N/A,SUM(DV$4:DV335))</f>
        <v>-2.3377035686214001</v>
      </c>
      <c r="DX335" s="205">
        <f>IF($J335="",#N/A,SUM(DV$4:DV335,DT$4:DT335,DR$4:DR335))</f>
        <v>-3.1047193911041169</v>
      </c>
      <c r="DY335" s="200" t="str">
        <f t="shared" si="602"/>
        <v/>
      </c>
      <c r="DZ335" s="203">
        <f>IF($J335="",#N/A,SUM(DY$4:DY335))</f>
        <v>-1.6284722482776204</v>
      </c>
      <c r="EA335" s="204" t="str">
        <f t="shared" si="603"/>
        <v/>
      </c>
      <c r="EB335" s="204">
        <f>IF($J335="",#N/A,SUM(EA$4:EA335))</f>
        <v>2.276197208799712</v>
      </c>
      <c r="EC335" s="205" t="str">
        <f t="shared" si="604"/>
        <v/>
      </c>
      <c r="ED335" s="205">
        <f>IF($J335="",#N/A,SUM(EC$4:EC335))</f>
        <v>8.6307007550759458</v>
      </c>
      <c r="EE335" s="205">
        <f>IF($J335="",#N/A,SUM(EC$4:EC335,EA$4:EA335,DY$4:DY335))</f>
        <v>9.2784257155980399</v>
      </c>
      <c r="EF335" s="200" t="str">
        <f t="shared" si="605"/>
        <v/>
      </c>
      <c r="EG335" s="203">
        <f>IF($J335="",#N/A,SUM(EF$4:EF335))</f>
        <v>0.65848341369884777</v>
      </c>
      <c r="EH335" s="204" t="str">
        <f t="shared" si="606"/>
        <v/>
      </c>
      <c r="EI335" s="204">
        <f>IF($J335="",#N/A,SUM(EH$4:EH335))</f>
        <v>-3.5125331561187787</v>
      </c>
      <c r="EJ335" s="205" t="str">
        <f t="shared" si="607"/>
        <v/>
      </c>
      <c r="EK335" s="205">
        <f>IF($J335="",#N/A,SUM(EJ$4:EJ335))</f>
        <v>7.5038562143265297</v>
      </c>
      <c r="EL335" s="205">
        <f>IF($J335="",#N/A,SUM(EJ$4:EJ335,EH$4:EH335,EF$4:EF335))</f>
        <v>4.649806471906599</v>
      </c>
      <c r="EM335" s="200" t="str">
        <f t="shared" si="608"/>
        <v/>
      </c>
      <c r="EN335" s="203">
        <f>IF($J335="",#N/A,SUM(EM$4:EM335))</f>
        <v>0</v>
      </c>
      <c r="EO335" s="204" t="str">
        <f t="shared" si="609"/>
        <v/>
      </c>
      <c r="EP335" s="204">
        <f>IF($J335="",#N/A,SUM(EO$4:EO335))</f>
        <v>2.4788862078089964</v>
      </c>
      <c r="EQ335" s="205" t="str">
        <f t="shared" si="610"/>
        <v/>
      </c>
      <c r="ER335" s="205">
        <f>IF($J335="",#N/A,SUM(EQ$4:EQ335))</f>
        <v>2.6983279209445628</v>
      </c>
      <c r="ES335" s="205">
        <f>IF($J335="",#N/A,SUM(EQ$4:EQ335,EO$4:EO335,EM$4:EM335))</f>
        <v>5.1772141287535591</v>
      </c>
      <c r="ET335" s="200" t="str">
        <f t="shared" si="611"/>
        <v/>
      </c>
      <c r="EU335" s="203">
        <f>IF($J335="",#N/A,SUM(ET$4:ET335))</f>
        <v>0</v>
      </c>
      <c r="EV335" s="204" t="str">
        <f t="shared" si="612"/>
        <v/>
      </c>
      <c r="EW335" s="204">
        <f>IF($J335="",#N/A,SUM(EV$4:EV335))</f>
        <v>7.9116394275462909E-2</v>
      </c>
      <c r="EX335" s="205" t="str">
        <f t="shared" si="613"/>
        <v/>
      </c>
      <c r="EY335" s="205">
        <f>IF($J335="",#N/A,SUM(EX$4:EX335))</f>
        <v>0.27113250180669229</v>
      </c>
      <c r="EZ335" s="205">
        <f>IF($J335="",#N/A,SUM(EX$4:EX335,EV$4:EV335,ET$4:ET335))</f>
        <v>0.35024889608215481</v>
      </c>
      <c r="FA335" s="200" t="str">
        <f t="shared" si="614"/>
        <v/>
      </c>
      <c r="FB335" s="203">
        <f>IF($J335="",#N/A,SUM(FA$4:FA335))</f>
        <v>-0.27145310509113252</v>
      </c>
      <c r="FC335" s="204" t="str">
        <f t="shared" si="615"/>
        <v/>
      </c>
      <c r="FD335" s="204">
        <f>IF($J335="",#N/A,SUM(FC$4:FC335))</f>
        <v>0.89084290967454072</v>
      </c>
      <c r="FE335" s="205" t="str">
        <f t="shared" si="616"/>
        <v/>
      </c>
      <c r="FF335" s="205">
        <f>IF($J335="",#N/A,SUM(FE$4:FE335))</f>
        <v>-0.28811149078748233</v>
      </c>
      <c r="FG335" s="205">
        <f>IF($J335="",#N/A,SUM(FE$4:FE335,FC$4:FC335,FA$4:FA335))</f>
        <v>0.3312783137959262</v>
      </c>
      <c r="FH335" s="200" t="str">
        <f t="shared" si="617"/>
        <v/>
      </c>
      <c r="FI335" s="203">
        <f>IF($J335="",#N/A,SUM(FH$4:FH335))</f>
        <v>0</v>
      </c>
      <c r="FJ335" s="204" t="str">
        <f t="shared" si="618"/>
        <v/>
      </c>
      <c r="FK335" s="204">
        <f>IF($J335="",#N/A,SUM(FJ$4:FJ335))</f>
        <v>0</v>
      </c>
      <c r="FL335" s="205" t="str">
        <f t="shared" si="619"/>
        <v/>
      </c>
      <c r="FM335" s="205">
        <f>IF($J335="",#N/A,SUM(FL$4:FL335))</f>
        <v>0</v>
      </c>
      <c r="FN335" s="205">
        <f>IF($J335="",#N/A,SUM(FL$4:FL335,FJ$4:FJ335,FH$4:FH335))</f>
        <v>0</v>
      </c>
      <c r="FO335" s="200" t="str">
        <f t="shared" si="620"/>
        <v/>
      </c>
      <c r="FP335" s="203">
        <f>IF($J335="",#N/A,SUM(FO$4:FO335))</f>
        <v>0</v>
      </c>
      <c r="FQ335" s="204" t="str">
        <f t="shared" si="621"/>
        <v/>
      </c>
      <c r="FR335" s="204">
        <f>IF($J335="",#N/A,SUM(FQ$4:FQ335))</f>
        <v>0</v>
      </c>
      <c r="FS335" s="205" t="str">
        <f t="shared" si="622"/>
        <v/>
      </c>
      <c r="FT335" s="205">
        <f>IF($J335="",#N/A,SUM(FS$4:FS335))</f>
        <v>0</v>
      </c>
      <c r="FU335" s="205">
        <f>IF($J335="",#N/A,SUM(FS$4:FS335,FQ$4:FQ335,FO$4:FO335))</f>
        <v>0</v>
      </c>
      <c r="FV335" s="200" t="str">
        <f t="shared" si="623"/>
        <v/>
      </c>
      <c r="FW335" s="203">
        <f>IF($J335="",#N/A,SUM(FV$4:FV335))</f>
        <v>6.6834991831277585E-2</v>
      </c>
      <c r="FX335" s="204" t="str">
        <f t="shared" si="624"/>
        <v/>
      </c>
      <c r="FY335" s="204">
        <f>IF($J335="",#N/A,SUM(FX$4:FX335))</f>
        <v>-0.16102012791805576</v>
      </c>
      <c r="FZ335" s="205" t="str">
        <f t="shared" si="625"/>
        <v/>
      </c>
      <c r="GA335" s="205">
        <f>IF($J335="",#N/A,SUM(FZ$4:FZ335))</f>
        <v>-0.69624339162892301</v>
      </c>
      <c r="GB335" s="205">
        <f>IF($J335="",#N/A,SUM(FZ$4:FZ335,FX$4:FX335,FV$4:FV335))</f>
        <v>-0.79042852771570116</v>
      </c>
      <c r="GC335" s="200" t="str">
        <f t="shared" si="626"/>
        <v/>
      </c>
      <c r="GD335" s="203">
        <f>IF($J335="",#N/A,SUM(GC$4:GC335))</f>
        <v>0</v>
      </c>
      <c r="GE335" s="204" t="str">
        <f t="shared" si="627"/>
        <v/>
      </c>
      <c r="GF335" s="204">
        <f>IF($J335="",#N/A,SUM(GE$4:GE335))</f>
        <v>0</v>
      </c>
      <c r="GG335" s="205" t="str">
        <f t="shared" si="628"/>
        <v/>
      </c>
      <c r="GH335" s="205">
        <f>IF($J335="",#N/A,SUM(GG$4:GG335))</f>
        <v>-2.9368362277223206</v>
      </c>
      <c r="GI335" s="205">
        <f>IF($J335="",#N/A,SUM(GG$4:GG335,GE$4:GE335,GC$4:GC335))</f>
        <v>-2.9368362277223206</v>
      </c>
      <c r="GJ335" s="200" t="str">
        <f t="shared" si="629"/>
        <v/>
      </c>
      <c r="GK335" s="203">
        <f>IF($J335="",#N/A,SUM(GJ$4:GJ335))</f>
        <v>0</v>
      </c>
      <c r="GL335" s="204" t="str">
        <f t="shared" si="630"/>
        <v/>
      </c>
      <c r="GM335" s="204">
        <f>IF($J335="",#N/A,SUM(GL$4:GL335))</f>
        <v>-1.6833790887309608</v>
      </c>
      <c r="GN335" s="205" t="str">
        <f t="shared" si="631"/>
        <v/>
      </c>
      <c r="GO335" s="205">
        <f>IF($J335="",#N/A,SUM(GN$4:GN335))</f>
        <v>0</v>
      </c>
      <c r="GP335" s="205">
        <f>IF($J335="",#N/A,SUM(GN$4:GN335,GL$4:GL335,GJ$4:GJ335))</f>
        <v>-1.6833790887309608</v>
      </c>
      <c r="GS335" s="303" t="str">
        <f t="shared" si="650"/>
        <v/>
      </c>
      <c r="GT335" s="303" t="e">
        <f>IF(GS335="",NA(),SUM($GS$4:GS335))</f>
        <v>#N/A</v>
      </c>
      <c r="GU335" s="303" t="str">
        <f t="shared" si="632"/>
        <v/>
      </c>
      <c r="GV335" s="303" t="e">
        <f>IF(GU335="",NA(),SUM($GU$4:GU335))</f>
        <v>#N/A</v>
      </c>
      <c r="GW335" s="303" t="str">
        <f t="shared" si="633"/>
        <v/>
      </c>
      <c r="GX335" s="303" t="e">
        <f>IF(GW335="",NA(),SUM($GW$4:GW335))</f>
        <v>#N/A</v>
      </c>
      <c r="GY335" s="303" t="str">
        <f t="shared" si="634"/>
        <v/>
      </c>
      <c r="GZ335" s="303" t="e">
        <f>IF(GY335="",NA(),SUM($GY$4:GY335))</f>
        <v>#N/A</v>
      </c>
      <c r="HA335" s="303">
        <f t="shared" si="635"/>
        <v>0.33966495185331791</v>
      </c>
      <c r="HB335" s="303">
        <f>IF(HA335="",NA(),SUM($HA$4:HA335))</f>
        <v>3.528891586628812</v>
      </c>
      <c r="HC335" s="303" t="str">
        <f t="shared" si="636"/>
        <v/>
      </c>
      <c r="HD335" s="303" t="e">
        <f>IF(HC335="",NA(),SUM($HC$4:HC335))</f>
        <v>#N/A</v>
      </c>
      <c r="HE335" s="303">
        <f t="shared" si="637"/>
        <v>0.33966495185331791</v>
      </c>
      <c r="HF335" s="303">
        <f>IF(HE335="",NA(),SUM($HE$4:HE335))</f>
        <v>-1.0892773381710399</v>
      </c>
      <c r="HG335" s="303" t="str">
        <f t="shared" si="638"/>
        <v/>
      </c>
      <c r="HH335" s="303" t="e">
        <f>IF(HG335="",NA(),SUM($HG$4:HG335))</f>
        <v>#N/A</v>
      </c>
      <c r="HI335" s="304" t="str">
        <f t="shared" si="651"/>
        <v/>
      </c>
      <c r="HJ335" s="304">
        <f>IF($J335="",#N/A,SUM(HI$4:$HI335))</f>
        <v>-7.354889449483677</v>
      </c>
      <c r="HK335" s="303" t="str">
        <f t="shared" si="639"/>
        <v/>
      </c>
      <c r="HL335" s="303">
        <f>IF($J335="",#N/A,SUM($HK$4:HK335))</f>
        <v>1.9034651933981581</v>
      </c>
      <c r="HM335" s="303" t="str">
        <f t="shared" si="640"/>
        <v/>
      </c>
      <c r="HN335" s="303">
        <f>IF($J335="",#N/A,SUM($HM$4:HM335))</f>
        <v>0.48946509491467965</v>
      </c>
      <c r="HO335" s="303" t="str">
        <f t="shared" si="641"/>
        <v/>
      </c>
      <c r="HP335" s="303">
        <f>IF($J335="",#N/A,SUM($HO$4:HO335))</f>
        <v>-0.69476253225193951</v>
      </c>
      <c r="HQ335" s="303">
        <f t="shared" si="642"/>
        <v>0.63645956997757469</v>
      </c>
      <c r="HR335" s="303">
        <f>IF($J335="",#N/A,SUM($HQ$4:HQ335))</f>
        <v>-11.686434724499332</v>
      </c>
      <c r="HS335" s="303" t="str">
        <f t="shared" si="643"/>
        <v/>
      </c>
      <c r="HT335" s="303">
        <f>IF($J335="",#N/A,SUM($HS$4:HS335))</f>
        <v>14.861978437833368</v>
      </c>
      <c r="HU335" s="305">
        <f t="shared" si="644"/>
        <v>0.9761245218308926</v>
      </c>
      <c r="HV335" s="305">
        <f>IF($J335="",#N/A,SUM(HU$4:$HU335))</f>
        <v>12.654331157377113</v>
      </c>
    </row>
    <row r="336" spans="1:230" x14ac:dyDescent="0.25">
      <c r="A336" s="59" t="s">
        <v>482</v>
      </c>
      <c r="B336" s="289" t="s">
        <v>4714</v>
      </c>
      <c r="C336" s="230">
        <f t="shared" si="545"/>
        <v>3</v>
      </c>
      <c r="D336" s="220" t="str">
        <f>_xlfn.XLOOKUP(A336,[1]SP500!$A$2:$A$502,[1]SP500!$D$2:$D$502,"N")</f>
        <v>Y</v>
      </c>
      <c r="E336" s="59" t="str">
        <f>IFERROR(_xlfn.XLOOKUP(A336,[1]SP500!$A$2:$A$655,[1]SP500!$B$2:$B$655),"")</f>
        <v>XLV</v>
      </c>
      <c r="F336" s="290">
        <v>45791</v>
      </c>
      <c r="G336" s="59" t="str">
        <f t="shared" si="546"/>
        <v>AMC</v>
      </c>
      <c r="H336" s="59" t="str">
        <f t="shared" si="547"/>
        <v>s</v>
      </c>
      <c r="I336" s="376">
        <v>227.5</v>
      </c>
      <c r="J336" s="278">
        <v>240.3</v>
      </c>
      <c r="K336" s="60">
        <f t="shared" si="548"/>
        <v>5.6263736263736312E-2</v>
      </c>
      <c r="L336" s="68">
        <f t="shared" si="549"/>
        <v>76.800000000000182</v>
      </c>
      <c r="M336" s="62">
        <f t="shared" si="550"/>
        <v>0</v>
      </c>
      <c r="N336" s="63">
        <f t="shared" si="551"/>
        <v>76.800000000000182</v>
      </c>
      <c r="O336" s="62">
        <f>IF(N336="",#N/A,SUM($N$4:N336))</f>
        <v>856.87937556162433</v>
      </c>
      <c r="P336" s="64">
        <f t="shared" si="645"/>
        <v>0.93772893772894006</v>
      </c>
      <c r="Q336" s="183">
        <f>IF($N336="",#N/A,SUM($P$4:P336))</f>
        <v>16.589185542361783</v>
      </c>
      <c r="R336" s="279">
        <f t="shared" si="552"/>
        <v>7.5038725406953777</v>
      </c>
      <c r="S336" s="59" t="str">
        <f t="shared" si="553"/>
        <v>SW</v>
      </c>
      <c r="T336" s="59" t="s">
        <v>2828</v>
      </c>
      <c r="U336" s="61">
        <f t="shared" si="554"/>
        <v>227.5</v>
      </c>
      <c r="V336" s="61" t="s">
        <v>4460</v>
      </c>
      <c r="W336" s="142">
        <v>6</v>
      </c>
      <c r="X336" s="146">
        <f t="shared" si="555"/>
        <v>1365</v>
      </c>
      <c r="Y336" s="142">
        <f t="shared" si="556"/>
        <v>6</v>
      </c>
      <c r="Z336" s="278">
        <v>240.3</v>
      </c>
      <c r="AA336" s="63">
        <f t="shared" si="557"/>
        <v>76.800000000000182</v>
      </c>
      <c r="AB336" s="63">
        <f t="shared" si="558"/>
        <v>116.27999999999997</v>
      </c>
      <c r="AC336" s="125">
        <v>246.88</v>
      </c>
      <c r="AD336" s="148">
        <f t="shared" si="559"/>
        <v>116.27999999999997</v>
      </c>
      <c r="AE336" s="544">
        <f t="shared" si="560"/>
        <v>1.4197802197802196</v>
      </c>
      <c r="AF336" s="62">
        <f>IF($AC336="",#N/A,SUM(AD$4:AD336))</f>
        <v>880.23239714744875</v>
      </c>
      <c r="AG336" s="63">
        <f t="shared" si="561"/>
        <v>39.479999999999791</v>
      </c>
      <c r="AH336" s="61" t="s">
        <v>2507</v>
      </c>
      <c r="AI336" s="64">
        <f t="shared" si="562"/>
        <v>0.93772893772894006</v>
      </c>
      <c r="AJ336" s="420">
        <f>IF(AI336="",#N/A,SUM($AI$4:AI336))</f>
        <v>9.085313001666405</v>
      </c>
      <c r="AK336" s="62">
        <f t="shared" si="563"/>
        <v>76.800000000000182</v>
      </c>
      <c r="AL336" s="421">
        <f>IF(AI336="",#N/A,IF(AH336="Skip",SUM($AK$4:AK336),SUM($AK$4:AK336)))</f>
        <v>341.19236927848237</v>
      </c>
      <c r="AM336" s="65">
        <f t="shared" si="646"/>
        <v>1.4197802197802196</v>
      </c>
      <c r="AN336" s="209"/>
      <c r="AO336" s="64">
        <f t="shared" si="564"/>
        <v>1.4197802197802196</v>
      </c>
      <c r="AP336" s="64">
        <f>IF($AC336="",#N/A,SUM(AO$4:AO336))</f>
        <v>14.050614367307565</v>
      </c>
      <c r="AQ336" s="64" t="str">
        <f t="shared" si="565"/>
        <v/>
      </c>
      <c r="AR336" s="64">
        <f>IF($AC336="",#N/A,SUM(AQ$4:AQ336))</f>
        <v>-3.7951220402479615</v>
      </c>
      <c r="AS336" s="64" t="str">
        <f t="shared" si="566"/>
        <v/>
      </c>
      <c r="AT336" s="64">
        <f>IF($AC336="",#N/A,SUM(AS$4:AS336))</f>
        <v>3.8186190500977242</v>
      </c>
      <c r="AU336" s="62">
        <f t="shared" si="647"/>
        <v>116.27999999999997</v>
      </c>
      <c r="AV336" s="62">
        <f>IF($AC336="",#N/A,SUM(AU$4:AU336))</f>
        <v>846.73627194988012</v>
      </c>
      <c r="AW336" s="62" t="str">
        <f t="shared" si="648"/>
        <v/>
      </c>
      <c r="AX336" s="62">
        <f>IF($AC336="",#N/A,SUM(AW$4:AW336))</f>
        <v>-240.66106797961083</v>
      </c>
      <c r="AY336" s="62" t="str">
        <f t="shared" si="649"/>
        <v/>
      </c>
      <c r="AZ336" s="62">
        <f>IF($AC336="",#N/A,SUM(AY$4:AY336))</f>
        <v>274.15719317717947</v>
      </c>
      <c r="BA336" s="62">
        <f>IF(AD336="",#N/A,SUM($AD$4:AD336))</f>
        <v>880.23239714744875</v>
      </c>
      <c r="BC336" s="59" t="str">
        <f t="shared" si="567"/>
        <v/>
      </c>
      <c r="BD336" s="59" t="str">
        <f t="shared" si="568"/>
        <v/>
      </c>
      <c r="BE336" s="59">
        <f t="shared" si="569"/>
        <v>1</v>
      </c>
      <c r="BF336" s="59" t="str">
        <f t="shared" si="570"/>
        <v>Long</v>
      </c>
      <c r="BG336" s="59" t="str">
        <f t="shared" si="571"/>
        <v/>
      </c>
      <c r="BH336" s="59" t="str">
        <f t="shared" si="572"/>
        <v/>
      </c>
      <c r="BI336" s="59" t="str">
        <f t="shared" si="573"/>
        <v/>
      </c>
      <c r="BK336" s="65">
        <f t="shared" si="544"/>
        <v>8.0048300283522278E-2</v>
      </c>
      <c r="BL336" s="65">
        <f t="shared" si="543"/>
        <v>0.10605013178395672</v>
      </c>
      <c r="BM336" s="65">
        <f>IFERROR(Q336/COUNTA($J$4:J336),#N/A)</f>
        <v>4.9817374001086434E-2</v>
      </c>
      <c r="BO336" s="489">
        <f>IF(J336="",#N/A,IF(S336="SW",(COUNTIFS(K$4:$K336,"&gt;0",S$4:$S336,"SW")/COUNTIF(S$4:$S336,"SW")),#N/A))</f>
        <v>0.51592356687898089</v>
      </c>
      <c r="BP336" s="489" t="e">
        <f>IF($J336="",#N/A,IF($S336="DWN",(COUNTIFS($K$4:$K336,"&lt;0",$S$4:$S336,"DWN")/COUNTIF($S$4:$S336,"DWN")),#N/A))</f>
        <v>#N/A</v>
      </c>
      <c r="BQ336" s="489" t="e">
        <f>IF($J336="",#N/A,IF($S336="UP",(COUNTIFS($K$4:$K336,"&gt;0",$S$4:$S336,"UP")/COUNTIF($S$4:$S336,"UP")),#N/A))</f>
        <v>#N/A</v>
      </c>
      <c r="BR336" s="489">
        <f>IF(J336="",#N/A,COUNTIF($K$4:K336,"&gt;0")/COUNT($J$4:J336))</f>
        <v>0.47747747747747749</v>
      </c>
      <c r="BS336" s="65">
        <f t="shared" si="574"/>
        <v>0.93772893772894006</v>
      </c>
      <c r="BT336" s="65" t="str">
        <f t="shared" si="575"/>
        <v/>
      </c>
      <c r="BU336" s="65" t="str">
        <f t="shared" si="576"/>
        <v/>
      </c>
      <c r="BV336" s="65" t="str">
        <f t="shared" si="577"/>
        <v/>
      </c>
      <c r="BW336" s="128" t="str">
        <f t="shared" si="578"/>
        <v/>
      </c>
      <c r="BX336" s="128">
        <f>IF($J336="",#N/A,SUM($BW$4:BW336))</f>
        <v>-223.0231703479285</v>
      </c>
      <c r="BY336" s="131" t="str">
        <f t="shared" si="579"/>
        <v/>
      </c>
      <c r="BZ336" s="131">
        <f>IF($J336="",#N/A,SUM($BY$4:BY336))</f>
        <v>493.64161346139429</v>
      </c>
      <c r="CA336" s="133">
        <f t="shared" si="580"/>
        <v>76.800000000000182</v>
      </c>
      <c r="CB336" s="133">
        <f>IF($J336="",#N/A,SUM($CA$4:CA336))</f>
        <v>586.26093244815843</v>
      </c>
      <c r="CC336" s="194" t="str">
        <f t="shared" si="581"/>
        <v/>
      </c>
      <c r="CD336" s="194">
        <f>IF($J336="",#N/A,SUM($CC$4:CC336))</f>
        <v>-3.5898246029106979</v>
      </c>
      <c r="CE336" s="195" t="str">
        <f t="shared" si="582"/>
        <v/>
      </c>
      <c r="CF336" s="195">
        <f>IF($J336="",#N/A,SUM($CE$4:CE336))</f>
        <v>9.2700433061832523</v>
      </c>
      <c r="CG336" s="196">
        <f t="shared" si="583"/>
        <v>0.93772893772894006</v>
      </c>
      <c r="CH336" s="196">
        <f>IF($J336="",#N/A,SUM($CG$4:CG336))</f>
        <v>10.908966839089237</v>
      </c>
      <c r="CI336" s="200" t="str">
        <f t="shared" si="584"/>
        <v/>
      </c>
      <c r="CJ336" s="203">
        <f>IF($J336="",#N/A,SUM(CI$4:CI336))</f>
        <v>0</v>
      </c>
      <c r="CK336" s="204" t="str">
        <f t="shared" si="585"/>
        <v/>
      </c>
      <c r="CL336" s="204">
        <f>IF($J336="",#N/A,SUM(CK$4:CK336))</f>
        <v>1.2912501745213723</v>
      </c>
      <c r="CM336" s="205" t="str">
        <f t="shared" si="586"/>
        <v/>
      </c>
      <c r="CN336" s="205">
        <f>IF($J336="",#N/A,SUM(CM$4:CM336))</f>
        <v>0.87319808458533243</v>
      </c>
      <c r="CO336" s="205">
        <f>IF($J336="",#N/A,SUM(CM$4:CM336,CK$4:CK336,CI$4:CI336))</f>
        <v>2.1644482591067051</v>
      </c>
      <c r="CP336" s="200" t="str">
        <f t="shared" si="587"/>
        <v/>
      </c>
      <c r="CQ336" s="203">
        <f>IF($J336="",#N/A,SUM(CP$4:CP336))</f>
        <v>-2.5399197875602422</v>
      </c>
      <c r="CR336" s="204" t="str">
        <f t="shared" si="588"/>
        <v/>
      </c>
      <c r="CS336" s="204">
        <f>IF($J336="",#N/A,SUM(CR$4:CR336))</f>
        <v>2.3600225017004668</v>
      </c>
      <c r="CT336" s="205" t="str">
        <f t="shared" si="589"/>
        <v/>
      </c>
      <c r="CU336" s="205">
        <f>IF($J336="",#N/A,SUM(CT$4:CT336))</f>
        <v>-1.2300043871274924E-2</v>
      </c>
      <c r="CV336" s="205">
        <f>IF($J336="",#N/A,SUM(CT$4:CT336,CR$4:CR336,CP$4:CP336))</f>
        <v>-0.19219732973104975</v>
      </c>
      <c r="CW336" s="200" t="str">
        <f t="shared" si="590"/>
        <v/>
      </c>
      <c r="CX336" s="203">
        <f>IF($J336="",#N/A,SUM(CW$4:CW336))</f>
        <v>-0.29399505935581682</v>
      </c>
      <c r="CY336" s="204" t="str">
        <f t="shared" si="591"/>
        <v/>
      </c>
      <c r="CZ336" s="204">
        <f>IF($J336="",#N/A,SUM(CY$4:CY336))</f>
        <v>-0.20119965665334139</v>
      </c>
      <c r="DA336" s="205" t="str">
        <f t="shared" si="592"/>
        <v/>
      </c>
      <c r="DB336" s="205">
        <f>IF($J336="",#N/A,SUM(DA$4:DA336))</f>
        <v>-2.7756316087437582</v>
      </c>
      <c r="DC336" s="205">
        <f>IF($J336="",#N/A,SUM(DA$4:DA336,CY$4:CY336,CW$4:CW336))</f>
        <v>-3.2708263247529161</v>
      </c>
      <c r="DD336" s="200" t="str">
        <f t="shared" si="593"/>
        <v/>
      </c>
      <c r="DE336" s="203">
        <f>IF($J336="",#N/A,SUM(DD$4:DD336))</f>
        <v>1.2501454750716789</v>
      </c>
      <c r="DF336" s="204" t="str">
        <f t="shared" si="594"/>
        <v/>
      </c>
      <c r="DG336" s="204">
        <f>IF($J336="",#N/A,SUM(DF$4:DF336))</f>
        <v>2.626961496209514</v>
      </c>
      <c r="DH336" s="205" t="str">
        <f t="shared" si="595"/>
        <v/>
      </c>
      <c r="DI336" s="205">
        <f>IF($J336="",#N/A,SUM(DH$4:DH336))</f>
        <v>-2.7812008102163399</v>
      </c>
      <c r="DJ336" s="205">
        <f>IF($J336="",#N/A,SUM(DH$4:DH336,DF$4:DF336,DD$4:DD336))</f>
        <v>1.0959061610648531</v>
      </c>
      <c r="DK336" s="200" t="str">
        <f t="shared" si="596"/>
        <v/>
      </c>
      <c r="DL336" s="203">
        <f>IF($J336="",#N/A,SUM(DK$4:DK336))</f>
        <v>-0.84049791589649614</v>
      </c>
      <c r="DM336" s="204" t="str">
        <f t="shared" si="597"/>
        <v/>
      </c>
      <c r="DN336" s="204">
        <f>IF($J336="",#N/A,SUM(DM$4:DM336))</f>
        <v>1.8657648196498773</v>
      </c>
      <c r="DO336" s="205" t="str">
        <f t="shared" si="598"/>
        <v/>
      </c>
      <c r="DP336" s="205">
        <f>IF($J336="",#N/A,SUM(DO$4:DO336))</f>
        <v>3.4887162328793941</v>
      </c>
      <c r="DQ336" s="205">
        <f>IF($J336="",#N/A,SUM(DO$4:DO336,DM$4:DM336,DK$4:DK336))</f>
        <v>4.5139831366327758</v>
      </c>
      <c r="DR336" s="200" t="str">
        <f t="shared" si="599"/>
        <v/>
      </c>
      <c r="DS336" s="203">
        <f>IF($J336="",#N/A,SUM(DR$4:DR336))</f>
        <v>-0.55950946427675097</v>
      </c>
      <c r="DT336" s="204" t="str">
        <f t="shared" si="600"/>
        <v/>
      </c>
      <c r="DU336" s="204">
        <f>IF($J336="",#N/A,SUM(DT$4:DT336))</f>
        <v>-0.20750635820596686</v>
      </c>
      <c r="DV336" s="205" t="str">
        <f t="shared" si="601"/>
        <v/>
      </c>
      <c r="DW336" s="205">
        <f>IF($J336="",#N/A,SUM(DV$4:DV336))</f>
        <v>-2.3377035686214001</v>
      </c>
      <c r="DX336" s="205">
        <f>IF($J336="",#N/A,SUM(DV$4:DV336,DT$4:DT336,DR$4:DR336))</f>
        <v>-3.1047193911041169</v>
      </c>
      <c r="DY336" s="200" t="str">
        <f t="shared" si="602"/>
        <v/>
      </c>
      <c r="DZ336" s="203">
        <f>IF($J336="",#N/A,SUM(DY$4:DY336))</f>
        <v>-1.6284722482776204</v>
      </c>
      <c r="EA336" s="204" t="str">
        <f t="shared" si="603"/>
        <v/>
      </c>
      <c r="EB336" s="204">
        <f>IF($J336="",#N/A,SUM(EA$4:EA336))</f>
        <v>2.276197208799712</v>
      </c>
      <c r="EC336" s="205" t="str">
        <f t="shared" si="604"/>
        <v/>
      </c>
      <c r="ED336" s="205">
        <f>IF($J336="",#N/A,SUM(EC$4:EC336))</f>
        <v>8.6307007550759458</v>
      </c>
      <c r="EE336" s="205">
        <f>IF($J336="",#N/A,SUM(EC$4:EC336,EA$4:EA336,DY$4:DY336))</f>
        <v>9.2784257155980399</v>
      </c>
      <c r="EF336" s="200" t="str">
        <f t="shared" si="605"/>
        <v/>
      </c>
      <c r="EG336" s="203">
        <f>IF($J336="",#N/A,SUM(EF$4:EF336))</f>
        <v>0.65848341369884777</v>
      </c>
      <c r="EH336" s="204" t="str">
        <f t="shared" si="606"/>
        <v/>
      </c>
      <c r="EI336" s="204">
        <f>IF($J336="",#N/A,SUM(EH$4:EH336))</f>
        <v>-3.5125331561187787</v>
      </c>
      <c r="EJ336" s="205">
        <f t="shared" si="607"/>
        <v>0.93772893772894006</v>
      </c>
      <c r="EK336" s="205">
        <f>IF($J336="",#N/A,SUM(EJ$4:EJ336))</f>
        <v>8.4415851520554703</v>
      </c>
      <c r="EL336" s="205">
        <f>IF($J336="",#N/A,SUM(EJ$4:EJ336,EH$4:EH336,EF$4:EF336))</f>
        <v>5.5875354096355405</v>
      </c>
      <c r="EM336" s="200" t="str">
        <f t="shared" si="608"/>
        <v/>
      </c>
      <c r="EN336" s="203">
        <f>IF($J336="",#N/A,SUM(EM$4:EM336))</f>
        <v>0</v>
      </c>
      <c r="EO336" s="204" t="str">
        <f t="shared" si="609"/>
        <v/>
      </c>
      <c r="EP336" s="204">
        <f>IF($J336="",#N/A,SUM(EO$4:EO336))</f>
        <v>2.4788862078089964</v>
      </c>
      <c r="EQ336" s="205" t="str">
        <f t="shared" si="610"/>
        <v/>
      </c>
      <c r="ER336" s="205">
        <f>IF($J336="",#N/A,SUM(EQ$4:EQ336))</f>
        <v>2.6983279209445628</v>
      </c>
      <c r="ES336" s="205">
        <f>IF($J336="",#N/A,SUM(EQ$4:EQ336,EO$4:EO336,EM$4:EM336))</f>
        <v>5.1772141287535591</v>
      </c>
      <c r="ET336" s="200" t="str">
        <f t="shared" si="611"/>
        <v/>
      </c>
      <c r="EU336" s="203">
        <f>IF($J336="",#N/A,SUM(ET$4:ET336))</f>
        <v>0</v>
      </c>
      <c r="EV336" s="204" t="str">
        <f t="shared" si="612"/>
        <v/>
      </c>
      <c r="EW336" s="204">
        <f>IF($J336="",#N/A,SUM(EV$4:EV336))</f>
        <v>7.9116394275462909E-2</v>
      </c>
      <c r="EX336" s="205" t="str">
        <f t="shared" si="613"/>
        <v/>
      </c>
      <c r="EY336" s="205">
        <f>IF($J336="",#N/A,SUM(EX$4:EX336))</f>
        <v>0.27113250180669229</v>
      </c>
      <c r="EZ336" s="205">
        <f>IF($J336="",#N/A,SUM(EX$4:EX336,EV$4:EV336,ET$4:ET336))</f>
        <v>0.35024889608215481</v>
      </c>
      <c r="FA336" s="200" t="str">
        <f t="shared" si="614"/>
        <v/>
      </c>
      <c r="FB336" s="203">
        <f>IF($J336="",#N/A,SUM(FA$4:FA336))</f>
        <v>-0.27145310509113252</v>
      </c>
      <c r="FC336" s="204" t="str">
        <f t="shared" si="615"/>
        <v/>
      </c>
      <c r="FD336" s="204">
        <f>IF($J336="",#N/A,SUM(FC$4:FC336))</f>
        <v>0.89084290967454072</v>
      </c>
      <c r="FE336" s="205" t="str">
        <f t="shared" si="616"/>
        <v/>
      </c>
      <c r="FF336" s="205">
        <f>IF($J336="",#N/A,SUM(FE$4:FE336))</f>
        <v>-0.28811149078748233</v>
      </c>
      <c r="FG336" s="205">
        <f>IF($J336="",#N/A,SUM(FE$4:FE336,FC$4:FC336,FA$4:FA336))</f>
        <v>0.3312783137959262</v>
      </c>
      <c r="FH336" s="200" t="str">
        <f t="shared" si="617"/>
        <v/>
      </c>
      <c r="FI336" s="203">
        <f>IF($J336="",#N/A,SUM(FH$4:FH336))</f>
        <v>0</v>
      </c>
      <c r="FJ336" s="204" t="str">
        <f t="shared" si="618"/>
        <v/>
      </c>
      <c r="FK336" s="204">
        <f>IF($J336="",#N/A,SUM(FJ$4:FJ336))</f>
        <v>0</v>
      </c>
      <c r="FL336" s="205" t="str">
        <f t="shared" si="619"/>
        <v/>
      </c>
      <c r="FM336" s="205">
        <f>IF($J336="",#N/A,SUM(FL$4:FL336))</f>
        <v>0</v>
      </c>
      <c r="FN336" s="205">
        <f>IF($J336="",#N/A,SUM(FL$4:FL336,FJ$4:FJ336,FH$4:FH336))</f>
        <v>0</v>
      </c>
      <c r="FO336" s="200" t="str">
        <f t="shared" si="620"/>
        <v/>
      </c>
      <c r="FP336" s="203">
        <f>IF($J336="",#N/A,SUM(FO$4:FO336))</f>
        <v>0</v>
      </c>
      <c r="FQ336" s="204" t="str">
        <f t="shared" si="621"/>
        <v/>
      </c>
      <c r="FR336" s="204">
        <f>IF($J336="",#N/A,SUM(FQ$4:FQ336))</f>
        <v>0</v>
      </c>
      <c r="FS336" s="205" t="str">
        <f t="shared" si="622"/>
        <v/>
      </c>
      <c r="FT336" s="205">
        <f>IF($J336="",#N/A,SUM(FS$4:FS336))</f>
        <v>0</v>
      </c>
      <c r="FU336" s="205">
        <f>IF($J336="",#N/A,SUM(FS$4:FS336,FQ$4:FQ336,FO$4:FO336))</f>
        <v>0</v>
      </c>
      <c r="FV336" s="200" t="str">
        <f t="shared" si="623"/>
        <v/>
      </c>
      <c r="FW336" s="203">
        <f>IF($J336="",#N/A,SUM(FV$4:FV336))</f>
        <v>6.6834991831277585E-2</v>
      </c>
      <c r="FX336" s="204" t="str">
        <f t="shared" si="624"/>
        <v/>
      </c>
      <c r="FY336" s="204">
        <f>IF($J336="",#N/A,SUM(FX$4:FX336))</f>
        <v>-0.16102012791805576</v>
      </c>
      <c r="FZ336" s="205" t="str">
        <f t="shared" si="625"/>
        <v/>
      </c>
      <c r="GA336" s="205">
        <f>IF($J336="",#N/A,SUM(FZ$4:FZ336))</f>
        <v>-0.69624339162892301</v>
      </c>
      <c r="GB336" s="205">
        <f>IF($J336="",#N/A,SUM(FZ$4:FZ336,FX$4:FX336,FV$4:FV336))</f>
        <v>-0.79042852771570116</v>
      </c>
      <c r="GC336" s="200" t="str">
        <f t="shared" si="626"/>
        <v/>
      </c>
      <c r="GD336" s="203">
        <f>IF($J336="",#N/A,SUM(GC$4:GC336))</f>
        <v>0</v>
      </c>
      <c r="GE336" s="204" t="str">
        <f t="shared" si="627"/>
        <v/>
      </c>
      <c r="GF336" s="204">
        <f>IF($J336="",#N/A,SUM(GE$4:GE336))</f>
        <v>0</v>
      </c>
      <c r="GG336" s="205" t="str">
        <f t="shared" si="628"/>
        <v/>
      </c>
      <c r="GH336" s="205">
        <f>IF($J336="",#N/A,SUM(GG$4:GG336))</f>
        <v>-2.9368362277223206</v>
      </c>
      <c r="GI336" s="205">
        <f>IF($J336="",#N/A,SUM(GG$4:GG336,GE$4:GE336,GC$4:GC336))</f>
        <v>-2.9368362277223206</v>
      </c>
      <c r="GJ336" s="200" t="str">
        <f t="shared" si="629"/>
        <v/>
      </c>
      <c r="GK336" s="203">
        <f>IF($J336="",#N/A,SUM(GJ$4:GJ336))</f>
        <v>0</v>
      </c>
      <c r="GL336" s="204" t="str">
        <f t="shared" si="630"/>
        <v/>
      </c>
      <c r="GM336" s="204">
        <f>IF($J336="",#N/A,SUM(GL$4:GL336))</f>
        <v>-1.6833790887309608</v>
      </c>
      <c r="GN336" s="205" t="str">
        <f t="shared" si="631"/>
        <v/>
      </c>
      <c r="GO336" s="205">
        <f>IF($J336="",#N/A,SUM(GN$4:GN336))</f>
        <v>0</v>
      </c>
      <c r="GP336" s="205">
        <f>IF($J336="",#N/A,SUM(GN$4:GN336,GL$4:GL336,GJ$4:GJ336))</f>
        <v>-1.6833790887309608</v>
      </c>
      <c r="GS336" s="177">
        <f t="shared" si="650"/>
        <v>0.93772893772894006</v>
      </c>
      <c r="GT336" s="177">
        <f>IF(GS336="",NA(),SUM($GS$4:GS336))</f>
        <v>13.060293955732972</v>
      </c>
      <c r="GU336" s="177" t="str">
        <f t="shared" si="632"/>
        <v/>
      </c>
      <c r="GV336" s="177" t="e">
        <f>IF(GU336="",NA(),SUM($GU$4:GU336))</f>
        <v>#N/A</v>
      </c>
      <c r="GW336" s="177">
        <f t="shared" si="633"/>
        <v>0.93772893772894006</v>
      </c>
      <c r="GX336" s="177">
        <f>IF(GW336="",NA(),SUM($GW$4:GW336))</f>
        <v>11.998244177260275</v>
      </c>
      <c r="GY336" s="177" t="str">
        <f t="shared" si="634"/>
        <v/>
      </c>
      <c r="GZ336" s="177" t="e">
        <f>IF(GY336="",NA(),SUM($GY$4:GY336))</f>
        <v>#N/A</v>
      </c>
      <c r="HA336" s="177" t="str">
        <f t="shared" si="635"/>
        <v/>
      </c>
      <c r="HB336" s="177" t="e">
        <f>IF(HA336="",NA(),SUM($HA$4:HA336))</f>
        <v>#N/A</v>
      </c>
      <c r="HC336" s="177" t="str">
        <f t="shared" si="636"/>
        <v/>
      </c>
      <c r="HD336" s="177" t="e">
        <f>IF(HC336="",NA(),SUM($HC$4:HC336))</f>
        <v>#N/A</v>
      </c>
      <c r="HE336" s="177" t="str">
        <f t="shared" si="637"/>
        <v/>
      </c>
      <c r="HF336" s="177" t="e">
        <f>IF(HE336="",NA(),SUM($HE$4:HE336))</f>
        <v>#N/A</v>
      </c>
      <c r="HG336" s="177" t="str">
        <f t="shared" si="638"/>
        <v/>
      </c>
      <c r="HH336" s="177" t="e">
        <f>IF(HG336="",NA(),SUM($HG$4:HG336))</f>
        <v>#N/A</v>
      </c>
      <c r="HI336" s="183" t="str">
        <f t="shared" si="651"/>
        <v/>
      </c>
      <c r="HJ336" s="183">
        <f>IF($J336="",#N/A,SUM(HI$4:$HI336))</f>
        <v>-7.354889449483677</v>
      </c>
      <c r="HK336" s="177" t="str">
        <f t="shared" si="639"/>
        <v/>
      </c>
      <c r="HL336" s="177">
        <f>IF($J336="",#N/A,SUM($HK$4:HK336))</f>
        <v>1.9034651933981581</v>
      </c>
      <c r="HM336" s="177" t="str">
        <f t="shared" si="640"/>
        <v/>
      </c>
      <c r="HN336" s="177">
        <f>IF($J336="",#N/A,SUM($HM$4:HM336))</f>
        <v>0.48946509491467965</v>
      </c>
      <c r="HO336" s="177" t="str">
        <f t="shared" si="641"/>
        <v/>
      </c>
      <c r="HP336" s="177">
        <f>IF($J336="",#N/A,SUM($HO$4:HO336))</f>
        <v>-0.69476253225193951</v>
      </c>
      <c r="HQ336" s="177">
        <f t="shared" si="642"/>
        <v>0.48205128205127956</v>
      </c>
      <c r="HR336" s="177">
        <f>IF($J336="",#N/A,SUM($HQ$4:HQ336))</f>
        <v>-11.204383442448052</v>
      </c>
      <c r="HS336" s="177" t="str">
        <f t="shared" si="643"/>
        <v/>
      </c>
      <c r="HT336" s="177">
        <f>IF($J336="",#N/A,SUM($HS$4:HS336))</f>
        <v>14.861978437833368</v>
      </c>
      <c r="HU336" s="64">
        <f t="shared" si="644"/>
        <v>1.4197802197802196</v>
      </c>
      <c r="HV336" s="64">
        <f>IF($J336="",#N/A,SUM(HU$4:$HU336))</f>
        <v>14.074111377157333</v>
      </c>
    </row>
    <row r="337" spans="1:230" x14ac:dyDescent="0.25">
      <c r="A337" s="51" t="s">
        <v>1032</v>
      </c>
      <c r="B337" s="52" t="s">
        <v>4714</v>
      </c>
      <c r="C337" s="229">
        <f t="shared" si="545"/>
        <v>3</v>
      </c>
      <c r="D337" s="219" t="str">
        <f>_xlfn.XLOOKUP(A337,[1]SP500!$A$2:$A$502,[1]SP500!$D$2:$D$502,"N")</f>
        <v>Y</v>
      </c>
      <c r="E337" s="51" t="str">
        <f>IFERROR(_xlfn.XLOOKUP(A337,[1]SP500!$A$2:$A$655,[1]SP500!$B$2:$B$655),"")</f>
        <v>XLK</v>
      </c>
      <c r="F337" s="290">
        <v>45791</v>
      </c>
      <c r="G337" s="51" t="str">
        <f t="shared" si="546"/>
        <v>AMC</v>
      </c>
      <c r="H337" s="51" t="str">
        <f t="shared" si="547"/>
        <v>s</v>
      </c>
      <c r="I337" s="344">
        <v>61.29</v>
      </c>
      <c r="J337" s="123">
        <v>63.07</v>
      </c>
      <c r="K337" s="55">
        <f t="shared" si="548"/>
        <v>2.9042258117148004E-2</v>
      </c>
      <c r="L337" s="67">
        <f t="shared" si="549"/>
        <v>35.600000000000136</v>
      </c>
      <c r="M337" s="57">
        <f t="shared" si="550"/>
        <v>-0.8000000000001819</v>
      </c>
      <c r="N337" s="102">
        <f t="shared" si="551"/>
        <v>35.600000000000136</v>
      </c>
      <c r="O337" s="57">
        <f>IF(N337="",#N/A,SUM($N$4:N337))</f>
        <v>892.47937556162447</v>
      </c>
      <c r="P337" s="65">
        <f t="shared" si="645"/>
        <v>0.48403763528580168</v>
      </c>
      <c r="Q337" s="172">
        <f>IF($N337="",#N/A,SUM($P$4:P337))</f>
        <v>17.073223177647584</v>
      </c>
      <c r="R337" s="279">
        <f t="shared" si="552"/>
        <v>7.5147497909265208</v>
      </c>
      <c r="S337" s="51" t="str">
        <f t="shared" si="553"/>
        <v>SW</v>
      </c>
      <c r="T337" s="51" t="s">
        <v>2828</v>
      </c>
      <c r="U337" s="56">
        <f t="shared" si="554"/>
        <v>61.29</v>
      </c>
      <c r="V337" s="56" t="s">
        <v>4460</v>
      </c>
      <c r="W337" s="142">
        <v>20</v>
      </c>
      <c r="X337" s="145">
        <f t="shared" si="555"/>
        <v>1225.8</v>
      </c>
      <c r="Y337" s="140">
        <f t="shared" si="556"/>
        <v>20</v>
      </c>
      <c r="Z337" s="123">
        <v>63.03</v>
      </c>
      <c r="AA337" s="102">
        <f t="shared" si="557"/>
        <v>34.799999999999955</v>
      </c>
      <c r="AB337" s="102">
        <f t="shared" si="558"/>
        <v>59.400000000000091</v>
      </c>
      <c r="AC337" s="124">
        <v>64.260000000000005</v>
      </c>
      <c r="AD337" s="155">
        <f t="shared" si="559"/>
        <v>59.400000000000091</v>
      </c>
      <c r="AE337" s="545">
        <f t="shared" si="560"/>
        <v>0.80763582966226277</v>
      </c>
      <c r="AF337" s="57">
        <f>IF($AC337="",#N/A,SUM(AD$4:AD337))</f>
        <v>939.63239714744884</v>
      </c>
      <c r="AG337" s="102">
        <f t="shared" si="561"/>
        <v>23.799999999999955</v>
      </c>
      <c r="AH337" s="56" t="s">
        <v>2507</v>
      </c>
      <c r="AI337" s="65">
        <f t="shared" si="562"/>
        <v>0.47316038505465763</v>
      </c>
      <c r="AJ337" s="108">
        <f>IF(AI337="",#N/A,SUM($AI$4:AI337))</f>
        <v>9.5584733867210634</v>
      </c>
      <c r="AK337" s="57">
        <f t="shared" si="563"/>
        <v>34.799999999999955</v>
      </c>
      <c r="AL337" s="66">
        <f>IF(AI337="",#N/A,IF(AH337="Skip",SUM($AK$4:AK337),SUM($AK$4:AK337)))</f>
        <v>375.99236927848233</v>
      </c>
      <c r="AM337" s="65">
        <f t="shared" si="646"/>
        <v>0.80763582966226277</v>
      </c>
      <c r="AN337" s="209"/>
      <c r="AO337" s="65">
        <f t="shared" si="564"/>
        <v>0.80763582966226277</v>
      </c>
      <c r="AP337" s="65">
        <f>IF($AC337="",#N/A,SUM(AO$4:AO337))</f>
        <v>14.858250196969827</v>
      </c>
      <c r="AQ337" s="65" t="str">
        <f t="shared" si="565"/>
        <v/>
      </c>
      <c r="AR337" s="65">
        <f>IF($AC337="",#N/A,SUM(AQ$4:AQ337))</f>
        <v>-3.7951220402479615</v>
      </c>
      <c r="AS337" s="65" t="str">
        <f t="shared" si="566"/>
        <v/>
      </c>
      <c r="AT337" s="65">
        <f>IF($AC337="",#N/A,SUM(AS$4:AS337))</f>
        <v>3.8186190500977242</v>
      </c>
      <c r="AU337" s="57">
        <f t="shared" si="647"/>
        <v>59.400000000000091</v>
      </c>
      <c r="AV337" s="57">
        <f>IF($AC337="",#N/A,SUM(AU$4:AU337))</f>
        <v>906.13627194988021</v>
      </c>
      <c r="AW337" s="57" t="str">
        <f t="shared" si="648"/>
        <v/>
      </c>
      <c r="AX337" s="57">
        <f>IF($AC337="",#N/A,SUM(AW$4:AW337))</f>
        <v>-240.66106797961083</v>
      </c>
      <c r="AY337" s="57" t="str">
        <f t="shared" si="649"/>
        <v/>
      </c>
      <c r="AZ337" s="57">
        <f>IF($AC337="",#N/A,SUM(AY$4:AY337))</f>
        <v>274.15719317717947</v>
      </c>
      <c r="BA337" s="57">
        <f>IF(AD337="",#N/A,SUM($AD$4:AD337))</f>
        <v>939.63239714744884</v>
      </c>
      <c r="BC337" s="51" t="str">
        <f t="shared" si="567"/>
        <v/>
      </c>
      <c r="BD337" s="51" t="str">
        <f t="shared" si="568"/>
        <v/>
      </c>
      <c r="BE337" s="51">
        <f t="shared" si="569"/>
        <v>1</v>
      </c>
      <c r="BF337" s="51" t="str">
        <f t="shared" si="570"/>
        <v>Long</v>
      </c>
      <c r="BG337" s="51" t="str">
        <f t="shared" si="571"/>
        <v/>
      </c>
      <c r="BH337" s="51" t="str">
        <f t="shared" si="572"/>
        <v/>
      </c>
      <c r="BI337" s="51" t="str">
        <f t="shared" si="573"/>
        <v/>
      </c>
      <c r="BK337" s="65">
        <f t="shared" si="544"/>
        <v>9.0604805589128826E-2</v>
      </c>
      <c r="BL337" s="65">
        <f t="shared" si="543"/>
        <v>8.5313555556848469E-2</v>
      </c>
      <c r="BM337" s="65">
        <f>IFERROR(Q337/COUNTA($J$4:J337),#N/A)</f>
        <v>5.111743466361552E-2</v>
      </c>
      <c r="BO337" s="489">
        <f>IF(J337="",#N/A,IF(S337="SW",(COUNTIFS(K$4:$K337,"&gt;0",S$4:$S337,"SW")/COUNTIF(S$4:$S337,"SW")),#N/A))</f>
        <v>0.51898734177215189</v>
      </c>
      <c r="BP337" s="489" t="e">
        <f>IF($J337="",#N/A,IF($S337="DWN",(COUNTIFS($K$4:$K337,"&lt;0",$S$4:$S337,"DWN")/COUNTIF($S$4:$S337,"DWN")),#N/A))</f>
        <v>#N/A</v>
      </c>
      <c r="BQ337" s="489" t="e">
        <f>IF($J337="",#N/A,IF($S337="UP",(COUNTIFS($K$4:$K337,"&gt;0",$S$4:$S337,"UP")/COUNTIF($S$4:$S337,"UP")),#N/A))</f>
        <v>#N/A</v>
      </c>
      <c r="BR337" s="489">
        <f>IF(J337="",#N/A,COUNTIF($K$4:K337,"&gt;0")/COUNT($J$4:J337))</f>
        <v>0.47904191616766467</v>
      </c>
      <c r="BS337" s="65">
        <f t="shared" si="574"/>
        <v>0.48403763528580168</v>
      </c>
      <c r="BT337" s="65" t="str">
        <f t="shared" si="575"/>
        <v/>
      </c>
      <c r="BU337" s="65" t="str">
        <f t="shared" si="576"/>
        <v/>
      </c>
      <c r="BV337" s="65" t="str">
        <f t="shared" si="577"/>
        <v/>
      </c>
      <c r="BW337" s="128" t="str">
        <f t="shared" si="578"/>
        <v/>
      </c>
      <c r="BX337" s="128">
        <f>IF($J337="",#N/A,SUM($BW$4:BW337))</f>
        <v>-223.0231703479285</v>
      </c>
      <c r="BY337" s="131" t="str">
        <f t="shared" si="579"/>
        <v/>
      </c>
      <c r="BZ337" s="131">
        <f>IF($J337="",#N/A,SUM($BY$4:BY337))</f>
        <v>493.64161346139429</v>
      </c>
      <c r="CA337" s="133">
        <f t="shared" si="580"/>
        <v>35.600000000000136</v>
      </c>
      <c r="CB337" s="133">
        <f>IF($J337="",#N/A,SUM($CA$4:CA337))</f>
        <v>621.86093244815856</v>
      </c>
      <c r="CC337" s="194" t="str">
        <f t="shared" si="581"/>
        <v/>
      </c>
      <c r="CD337" s="194">
        <f>IF($J337="",#N/A,SUM($CC$4:CC337))</f>
        <v>-3.5898246029106979</v>
      </c>
      <c r="CE337" s="195" t="str">
        <f t="shared" si="582"/>
        <v/>
      </c>
      <c r="CF337" s="195">
        <f>IF($J337="",#N/A,SUM($CE$4:CE337))</f>
        <v>9.2700433061832523</v>
      </c>
      <c r="CG337" s="196">
        <f t="shared" si="583"/>
        <v>0.48403763528580168</v>
      </c>
      <c r="CH337" s="196">
        <f>IF($J337="",#N/A,SUM($CG$4:CG337))</f>
        <v>11.393004474375038</v>
      </c>
      <c r="CI337" s="200" t="str">
        <f t="shared" si="584"/>
        <v/>
      </c>
      <c r="CJ337" s="203">
        <f>IF($J337="",#N/A,SUM(CI$4:CI337))</f>
        <v>0</v>
      </c>
      <c r="CK337" s="204" t="str">
        <f t="shared" si="585"/>
        <v/>
      </c>
      <c r="CL337" s="204">
        <f>IF($J337="",#N/A,SUM(CK$4:CK337))</f>
        <v>1.2912501745213723</v>
      </c>
      <c r="CM337" s="205">
        <f t="shared" si="586"/>
        <v>0.48403763528580168</v>
      </c>
      <c r="CN337" s="205">
        <f>IF($J337="",#N/A,SUM(CM$4:CM337))</f>
        <v>1.357235719871134</v>
      </c>
      <c r="CO337" s="205">
        <f>IF($J337="",#N/A,SUM(CM$4:CM337,CK$4:CK337,CI$4:CI337))</f>
        <v>2.6484858943925063</v>
      </c>
      <c r="CP337" s="200" t="str">
        <f t="shared" si="587"/>
        <v/>
      </c>
      <c r="CQ337" s="203">
        <f>IF($J337="",#N/A,SUM(CP$4:CP337))</f>
        <v>-2.5399197875602422</v>
      </c>
      <c r="CR337" s="204" t="str">
        <f t="shared" si="588"/>
        <v/>
      </c>
      <c r="CS337" s="204">
        <f>IF($J337="",#N/A,SUM(CR$4:CR337))</f>
        <v>2.3600225017004668</v>
      </c>
      <c r="CT337" s="205" t="str">
        <f t="shared" si="589"/>
        <v/>
      </c>
      <c r="CU337" s="205">
        <f>IF($J337="",#N/A,SUM(CT$4:CT337))</f>
        <v>-1.2300043871274924E-2</v>
      </c>
      <c r="CV337" s="205">
        <f>IF($J337="",#N/A,SUM(CT$4:CT337,CR$4:CR337,CP$4:CP337))</f>
        <v>-0.19219732973104975</v>
      </c>
      <c r="CW337" s="200" t="str">
        <f t="shared" si="590"/>
        <v/>
      </c>
      <c r="CX337" s="203">
        <f>IF($J337="",#N/A,SUM(CW$4:CW337))</f>
        <v>-0.29399505935581682</v>
      </c>
      <c r="CY337" s="204" t="str">
        <f t="shared" si="591"/>
        <v/>
      </c>
      <c r="CZ337" s="204">
        <f>IF($J337="",#N/A,SUM(CY$4:CY337))</f>
        <v>-0.20119965665334139</v>
      </c>
      <c r="DA337" s="205" t="str">
        <f t="shared" si="592"/>
        <v/>
      </c>
      <c r="DB337" s="205">
        <f>IF($J337="",#N/A,SUM(DA$4:DA337))</f>
        <v>-2.7756316087437582</v>
      </c>
      <c r="DC337" s="205">
        <f>IF($J337="",#N/A,SUM(DA$4:DA337,CY$4:CY337,CW$4:CW337))</f>
        <v>-3.2708263247529161</v>
      </c>
      <c r="DD337" s="200" t="str">
        <f t="shared" si="593"/>
        <v/>
      </c>
      <c r="DE337" s="203">
        <f>IF($J337="",#N/A,SUM(DD$4:DD337))</f>
        <v>1.2501454750716789</v>
      </c>
      <c r="DF337" s="204" t="str">
        <f t="shared" si="594"/>
        <v/>
      </c>
      <c r="DG337" s="204">
        <f>IF($J337="",#N/A,SUM(DF$4:DF337))</f>
        <v>2.626961496209514</v>
      </c>
      <c r="DH337" s="205" t="str">
        <f t="shared" si="595"/>
        <v/>
      </c>
      <c r="DI337" s="205">
        <f>IF($J337="",#N/A,SUM(DH$4:DH337))</f>
        <v>-2.7812008102163399</v>
      </c>
      <c r="DJ337" s="205">
        <f>IF($J337="",#N/A,SUM(DH$4:DH337,DF$4:DF337,DD$4:DD337))</f>
        <v>1.0959061610648531</v>
      </c>
      <c r="DK337" s="200" t="str">
        <f t="shared" si="596"/>
        <v/>
      </c>
      <c r="DL337" s="203">
        <f>IF($J337="",#N/A,SUM(DK$4:DK337))</f>
        <v>-0.84049791589649614</v>
      </c>
      <c r="DM337" s="204" t="str">
        <f t="shared" si="597"/>
        <v/>
      </c>
      <c r="DN337" s="204">
        <f>IF($J337="",#N/A,SUM(DM$4:DM337))</f>
        <v>1.8657648196498773</v>
      </c>
      <c r="DO337" s="205" t="str">
        <f t="shared" si="598"/>
        <v/>
      </c>
      <c r="DP337" s="205">
        <f>IF($J337="",#N/A,SUM(DO$4:DO337))</f>
        <v>3.4887162328793941</v>
      </c>
      <c r="DQ337" s="205">
        <f>IF($J337="",#N/A,SUM(DO$4:DO337,DM$4:DM337,DK$4:DK337))</f>
        <v>4.5139831366327758</v>
      </c>
      <c r="DR337" s="200" t="str">
        <f t="shared" si="599"/>
        <v/>
      </c>
      <c r="DS337" s="203">
        <f>IF($J337="",#N/A,SUM(DR$4:DR337))</f>
        <v>-0.55950946427675097</v>
      </c>
      <c r="DT337" s="204" t="str">
        <f t="shared" si="600"/>
        <v/>
      </c>
      <c r="DU337" s="204">
        <f>IF($J337="",#N/A,SUM(DT$4:DT337))</f>
        <v>-0.20750635820596686</v>
      </c>
      <c r="DV337" s="205" t="str">
        <f t="shared" si="601"/>
        <v/>
      </c>
      <c r="DW337" s="205">
        <f>IF($J337="",#N/A,SUM(DV$4:DV337))</f>
        <v>-2.3377035686214001</v>
      </c>
      <c r="DX337" s="205">
        <f>IF($J337="",#N/A,SUM(DV$4:DV337,DT$4:DT337,DR$4:DR337))</f>
        <v>-3.1047193911041169</v>
      </c>
      <c r="DY337" s="200" t="str">
        <f t="shared" si="602"/>
        <v/>
      </c>
      <c r="DZ337" s="203">
        <f>IF($J337="",#N/A,SUM(DY$4:DY337))</f>
        <v>-1.6284722482776204</v>
      </c>
      <c r="EA337" s="204" t="str">
        <f t="shared" si="603"/>
        <v/>
      </c>
      <c r="EB337" s="204">
        <f>IF($J337="",#N/A,SUM(EA$4:EA337))</f>
        <v>2.276197208799712</v>
      </c>
      <c r="EC337" s="205" t="str">
        <f t="shared" si="604"/>
        <v/>
      </c>
      <c r="ED337" s="205">
        <f>IF($J337="",#N/A,SUM(EC$4:EC337))</f>
        <v>8.6307007550759458</v>
      </c>
      <c r="EE337" s="205">
        <f>IF($J337="",#N/A,SUM(EC$4:EC337,EA$4:EA337,DY$4:DY337))</f>
        <v>9.2784257155980399</v>
      </c>
      <c r="EF337" s="200" t="str">
        <f t="shared" si="605"/>
        <v/>
      </c>
      <c r="EG337" s="203">
        <f>IF($J337="",#N/A,SUM(EF$4:EF337))</f>
        <v>0.65848341369884777</v>
      </c>
      <c r="EH337" s="204" t="str">
        <f t="shared" si="606"/>
        <v/>
      </c>
      <c r="EI337" s="204">
        <f>IF($J337="",#N/A,SUM(EH$4:EH337))</f>
        <v>-3.5125331561187787</v>
      </c>
      <c r="EJ337" s="205" t="str">
        <f t="shared" si="607"/>
        <v/>
      </c>
      <c r="EK337" s="205">
        <f>IF($J337="",#N/A,SUM(EJ$4:EJ337))</f>
        <v>8.4415851520554703</v>
      </c>
      <c r="EL337" s="205">
        <f>IF($J337="",#N/A,SUM(EJ$4:EJ337,EH$4:EH337,EF$4:EF337))</f>
        <v>5.5875354096355405</v>
      </c>
      <c r="EM337" s="200" t="str">
        <f t="shared" si="608"/>
        <v/>
      </c>
      <c r="EN337" s="203">
        <f>IF($J337="",#N/A,SUM(EM$4:EM337))</f>
        <v>0</v>
      </c>
      <c r="EO337" s="204" t="str">
        <f t="shared" si="609"/>
        <v/>
      </c>
      <c r="EP337" s="204">
        <f>IF($J337="",#N/A,SUM(EO$4:EO337))</f>
        <v>2.4788862078089964</v>
      </c>
      <c r="EQ337" s="205" t="str">
        <f t="shared" si="610"/>
        <v/>
      </c>
      <c r="ER337" s="205">
        <f>IF($J337="",#N/A,SUM(EQ$4:EQ337))</f>
        <v>2.6983279209445628</v>
      </c>
      <c r="ES337" s="205">
        <f>IF($J337="",#N/A,SUM(EQ$4:EQ337,EO$4:EO337,EM$4:EM337))</f>
        <v>5.1772141287535591</v>
      </c>
      <c r="ET337" s="200" t="str">
        <f t="shared" si="611"/>
        <v/>
      </c>
      <c r="EU337" s="203">
        <f>IF($J337="",#N/A,SUM(ET$4:ET337))</f>
        <v>0</v>
      </c>
      <c r="EV337" s="204" t="str">
        <f t="shared" si="612"/>
        <v/>
      </c>
      <c r="EW337" s="204">
        <f>IF($J337="",#N/A,SUM(EV$4:EV337))</f>
        <v>7.9116394275462909E-2</v>
      </c>
      <c r="EX337" s="205" t="str">
        <f t="shared" si="613"/>
        <v/>
      </c>
      <c r="EY337" s="205">
        <f>IF($J337="",#N/A,SUM(EX$4:EX337))</f>
        <v>0.27113250180669229</v>
      </c>
      <c r="EZ337" s="205">
        <f>IF($J337="",#N/A,SUM(EX$4:EX337,EV$4:EV337,ET$4:ET337))</f>
        <v>0.35024889608215481</v>
      </c>
      <c r="FA337" s="200" t="str">
        <f t="shared" si="614"/>
        <v/>
      </c>
      <c r="FB337" s="203">
        <f>IF($J337="",#N/A,SUM(FA$4:FA337))</f>
        <v>-0.27145310509113252</v>
      </c>
      <c r="FC337" s="204" t="str">
        <f t="shared" si="615"/>
        <v/>
      </c>
      <c r="FD337" s="204">
        <f>IF($J337="",#N/A,SUM(FC$4:FC337))</f>
        <v>0.89084290967454072</v>
      </c>
      <c r="FE337" s="205" t="str">
        <f t="shared" si="616"/>
        <v/>
      </c>
      <c r="FF337" s="205">
        <f>IF($J337="",#N/A,SUM(FE$4:FE337))</f>
        <v>-0.28811149078748233</v>
      </c>
      <c r="FG337" s="205">
        <f>IF($J337="",#N/A,SUM(FE$4:FE337,FC$4:FC337,FA$4:FA337))</f>
        <v>0.3312783137959262</v>
      </c>
      <c r="FH337" s="200" t="str">
        <f t="shared" si="617"/>
        <v/>
      </c>
      <c r="FI337" s="203">
        <f>IF($J337="",#N/A,SUM(FH$4:FH337))</f>
        <v>0</v>
      </c>
      <c r="FJ337" s="204" t="str">
        <f t="shared" si="618"/>
        <v/>
      </c>
      <c r="FK337" s="204">
        <f>IF($J337="",#N/A,SUM(FJ$4:FJ337))</f>
        <v>0</v>
      </c>
      <c r="FL337" s="205" t="str">
        <f t="shared" si="619"/>
        <v/>
      </c>
      <c r="FM337" s="205">
        <f>IF($J337="",#N/A,SUM(FL$4:FL337))</f>
        <v>0</v>
      </c>
      <c r="FN337" s="205">
        <f>IF($J337="",#N/A,SUM(FL$4:FL337,FJ$4:FJ337,FH$4:FH337))</f>
        <v>0</v>
      </c>
      <c r="FO337" s="200" t="str">
        <f t="shared" si="620"/>
        <v/>
      </c>
      <c r="FP337" s="203">
        <f>IF($J337="",#N/A,SUM(FO$4:FO337))</f>
        <v>0</v>
      </c>
      <c r="FQ337" s="204" t="str">
        <f t="shared" si="621"/>
        <v/>
      </c>
      <c r="FR337" s="204">
        <f>IF($J337="",#N/A,SUM(FQ$4:FQ337))</f>
        <v>0</v>
      </c>
      <c r="FS337" s="205" t="str">
        <f t="shared" si="622"/>
        <v/>
      </c>
      <c r="FT337" s="205">
        <f>IF($J337="",#N/A,SUM(FS$4:FS337))</f>
        <v>0</v>
      </c>
      <c r="FU337" s="205">
        <f>IF($J337="",#N/A,SUM(FS$4:FS337,FQ$4:FQ337,FO$4:FO337))</f>
        <v>0</v>
      </c>
      <c r="FV337" s="200" t="str">
        <f t="shared" si="623"/>
        <v/>
      </c>
      <c r="FW337" s="203">
        <f>IF($J337="",#N/A,SUM(FV$4:FV337))</f>
        <v>6.6834991831277585E-2</v>
      </c>
      <c r="FX337" s="204" t="str">
        <f t="shared" si="624"/>
        <v/>
      </c>
      <c r="FY337" s="204">
        <f>IF($J337="",#N/A,SUM(FX$4:FX337))</f>
        <v>-0.16102012791805576</v>
      </c>
      <c r="FZ337" s="205" t="str">
        <f t="shared" si="625"/>
        <v/>
      </c>
      <c r="GA337" s="205">
        <f>IF($J337="",#N/A,SUM(FZ$4:FZ337))</f>
        <v>-0.69624339162892301</v>
      </c>
      <c r="GB337" s="205">
        <f>IF($J337="",#N/A,SUM(FZ$4:FZ337,FX$4:FX337,FV$4:FV337))</f>
        <v>-0.79042852771570116</v>
      </c>
      <c r="GC337" s="200" t="str">
        <f t="shared" si="626"/>
        <v/>
      </c>
      <c r="GD337" s="203">
        <f>IF($J337="",#N/A,SUM(GC$4:GC337))</f>
        <v>0</v>
      </c>
      <c r="GE337" s="204" t="str">
        <f t="shared" si="627"/>
        <v/>
      </c>
      <c r="GF337" s="204">
        <f>IF($J337="",#N/A,SUM(GE$4:GE337))</f>
        <v>0</v>
      </c>
      <c r="GG337" s="205" t="str">
        <f t="shared" si="628"/>
        <v/>
      </c>
      <c r="GH337" s="205">
        <f>IF($J337="",#N/A,SUM(GG$4:GG337))</f>
        <v>-2.9368362277223206</v>
      </c>
      <c r="GI337" s="205">
        <f>IF($J337="",#N/A,SUM(GG$4:GG337,GE$4:GE337,GC$4:GC337))</f>
        <v>-2.9368362277223206</v>
      </c>
      <c r="GJ337" s="200" t="str">
        <f t="shared" si="629"/>
        <v/>
      </c>
      <c r="GK337" s="203">
        <f>IF($J337="",#N/A,SUM(GJ$4:GJ337))</f>
        <v>0</v>
      </c>
      <c r="GL337" s="204" t="str">
        <f t="shared" si="630"/>
        <v/>
      </c>
      <c r="GM337" s="204">
        <f>IF($J337="",#N/A,SUM(GL$4:GL337))</f>
        <v>-1.6833790887309608</v>
      </c>
      <c r="GN337" s="205" t="str">
        <f t="shared" si="631"/>
        <v/>
      </c>
      <c r="GO337" s="205">
        <f>IF($J337="",#N/A,SUM(GN$4:GN337))</f>
        <v>0</v>
      </c>
      <c r="GP337" s="205">
        <f>IF($J337="",#N/A,SUM(GN$4:GN337,GL$4:GL337,GJ$4:GJ337))</f>
        <v>-1.6833790887309608</v>
      </c>
      <c r="GS337" s="54">
        <f t="shared" si="650"/>
        <v>0.48403763528580168</v>
      </c>
      <c r="GT337" s="54">
        <f>IF(GS337="",NA(),SUM($GS$4:GS337))</f>
        <v>13.544331591018773</v>
      </c>
      <c r="GU337" s="54" t="str">
        <f t="shared" si="632"/>
        <v/>
      </c>
      <c r="GV337" s="54" t="e">
        <f>IF(GU337="",NA(),SUM($GU$4:GU337))</f>
        <v>#N/A</v>
      </c>
      <c r="GW337" s="54">
        <f t="shared" si="633"/>
        <v>0.48403763528580168</v>
      </c>
      <c r="GX337" s="54">
        <f>IF(GW337="",NA(),SUM($GW$4:GW337))</f>
        <v>12.482281812546077</v>
      </c>
      <c r="GY337" s="54" t="str">
        <f t="shared" si="634"/>
        <v/>
      </c>
      <c r="GZ337" s="54" t="e">
        <f>IF(GY337="",NA(),SUM($GY$4:GY337))</f>
        <v>#N/A</v>
      </c>
      <c r="HA337" s="54" t="str">
        <f t="shared" si="635"/>
        <v/>
      </c>
      <c r="HB337" s="54" t="e">
        <f>IF(HA337="",NA(),SUM($HA$4:HA337))</f>
        <v>#N/A</v>
      </c>
      <c r="HC337" s="54" t="str">
        <f t="shared" si="636"/>
        <v/>
      </c>
      <c r="HD337" s="54" t="e">
        <f>IF(HC337="",NA(),SUM($HC$4:HC337))</f>
        <v>#N/A</v>
      </c>
      <c r="HE337" s="54" t="str">
        <f t="shared" si="637"/>
        <v/>
      </c>
      <c r="HF337" s="54" t="e">
        <f>IF(HE337="",NA(),SUM($HE$4:HE337))</f>
        <v>#N/A</v>
      </c>
      <c r="HG337" s="54" t="str">
        <f t="shared" si="638"/>
        <v/>
      </c>
      <c r="HH337" s="54" t="e">
        <f>IF(HG337="",NA(),SUM($HG$4:HG337))</f>
        <v>#N/A</v>
      </c>
      <c r="HI337" s="172" t="str">
        <f t="shared" si="651"/>
        <v/>
      </c>
      <c r="HJ337" s="172">
        <f>IF($J337="",#N/A,SUM(HI$4:$HI337))</f>
        <v>-7.354889449483677</v>
      </c>
      <c r="HK337" s="54" t="str">
        <f t="shared" si="639"/>
        <v/>
      </c>
      <c r="HL337" s="54">
        <f>IF($J337="",#N/A,SUM($HK$4:HK337))</f>
        <v>1.9034651933981581</v>
      </c>
      <c r="HM337" s="54" t="str">
        <f t="shared" si="640"/>
        <v/>
      </c>
      <c r="HN337" s="54">
        <f>IF($J337="",#N/A,SUM($HM$4:HM337))</f>
        <v>0.48946509491467965</v>
      </c>
      <c r="HO337" s="54" t="str">
        <f t="shared" si="641"/>
        <v/>
      </c>
      <c r="HP337" s="54">
        <f>IF($J337="",#N/A,SUM($HO$4:HO337))</f>
        <v>-0.69476253225193951</v>
      </c>
      <c r="HQ337" s="54">
        <f t="shared" si="642"/>
        <v>0.32359819437646109</v>
      </c>
      <c r="HR337" s="54">
        <f>IF($J337="",#N/A,SUM($HQ$4:HQ337))</f>
        <v>-10.880785248071591</v>
      </c>
      <c r="HS337" s="54" t="str">
        <f t="shared" si="643"/>
        <v/>
      </c>
      <c r="HT337" s="54">
        <f>IF($J337="",#N/A,SUM($HS$4:HS337))</f>
        <v>14.861978437833368</v>
      </c>
      <c r="HU337" s="65">
        <f t="shared" si="644"/>
        <v>0.80763582966226277</v>
      </c>
      <c r="HV337" s="65">
        <f>IF($J337="",#N/A,SUM(HU$4:$HU337))</f>
        <v>14.881747206819597</v>
      </c>
    </row>
    <row r="338" spans="1:230" x14ac:dyDescent="0.25">
      <c r="A338" s="51" t="s">
        <v>3262</v>
      </c>
      <c r="B338" s="52" t="s">
        <v>4714</v>
      </c>
      <c r="C338" s="229">
        <f t="shared" si="545"/>
        <v>1</v>
      </c>
      <c r="D338" s="219" t="str">
        <f>_xlfn.XLOOKUP(A338,[1]SP500!$A$2:$A$502,[1]SP500!$D$2:$D$502,"N")</f>
        <v>N</v>
      </c>
      <c r="E338" s="51" t="str">
        <f>IFERROR(_xlfn.XLOOKUP(A338,[1]SP500!$A$2:$A$655,[1]SP500!$B$2:$B$655),"")</f>
        <v>XLI</v>
      </c>
      <c r="F338" s="290">
        <v>45791</v>
      </c>
      <c r="G338" s="51" t="str">
        <f t="shared" si="546"/>
        <v>AMC</v>
      </c>
      <c r="H338" s="51" t="str">
        <f t="shared" si="547"/>
        <v>s</v>
      </c>
      <c r="I338" s="344">
        <v>94.72</v>
      </c>
      <c r="J338" s="123">
        <v>95.935000000000002</v>
      </c>
      <c r="K338" s="55">
        <f t="shared" si="548"/>
        <v>1.2827280405405442E-2</v>
      </c>
      <c r="L338" s="67">
        <f t="shared" si="549"/>
        <v>15.795000000000073</v>
      </c>
      <c r="M338" s="57">
        <f t="shared" si="550"/>
        <v>0.84500000000002728</v>
      </c>
      <c r="N338" s="102">
        <f t="shared" si="551"/>
        <v>15.795000000000073</v>
      </c>
      <c r="O338" s="57">
        <f>IF(N338="",#N/A,SUM($N$4:N338))</f>
        <v>908.27437556162454</v>
      </c>
      <c r="P338" s="65">
        <f t="shared" si="645"/>
        <v>0.21378800675675777</v>
      </c>
      <c r="Q338" s="172">
        <f>IF($N338="",#N/A,SUM($P$4:P338))</f>
        <v>17.287011184404342</v>
      </c>
      <c r="R338" s="279">
        <f t="shared" si="552"/>
        <v>7.5033125724580518</v>
      </c>
      <c r="S338" s="51" t="str">
        <f t="shared" si="553"/>
        <v>Up</v>
      </c>
      <c r="T338" s="51" t="s">
        <v>4462</v>
      </c>
      <c r="U338" s="56">
        <f t="shared" si="554"/>
        <v>94.72</v>
      </c>
      <c r="V338" s="56" t="s">
        <v>4460</v>
      </c>
      <c r="W338" s="142">
        <v>13</v>
      </c>
      <c r="X338" s="145">
        <f t="shared" si="555"/>
        <v>1231.3599999999999</v>
      </c>
      <c r="Y338" s="140">
        <f t="shared" si="556"/>
        <v>13</v>
      </c>
      <c r="Z338" s="123">
        <v>96</v>
      </c>
      <c r="AA338" s="102">
        <f t="shared" si="557"/>
        <v>16.6400000000001</v>
      </c>
      <c r="AB338" s="102">
        <f t="shared" si="558"/>
        <v>62.5300000000002</v>
      </c>
      <c r="AC338" s="124">
        <v>99.53</v>
      </c>
      <c r="AD338" s="155">
        <f t="shared" si="559"/>
        <v>62.5300000000002</v>
      </c>
      <c r="AE338" s="545">
        <f t="shared" si="560"/>
        <v>0.84635416666666952</v>
      </c>
      <c r="AF338" s="57">
        <f>IF($AC338="",#N/A,SUM(AD$4:AD338))</f>
        <v>1002.162397147449</v>
      </c>
      <c r="AG338" s="102">
        <f t="shared" si="561"/>
        <v>46.735000000000127</v>
      </c>
      <c r="AH338" s="56" t="s">
        <v>2507</v>
      </c>
      <c r="AI338" s="65">
        <f t="shared" si="562"/>
        <v>0.22522522522522662</v>
      </c>
      <c r="AJ338" s="108">
        <f>IF(AI338="",#N/A,SUM($AI$4:AI338))</f>
        <v>9.7836986119462903</v>
      </c>
      <c r="AK338" s="57">
        <f t="shared" si="563"/>
        <v>16.6400000000001</v>
      </c>
      <c r="AL338" s="66">
        <f>IF(AI338="",#N/A,IF(AH338="Skip",SUM($AK$4:AK338),SUM($AK$4:AK338)))</f>
        <v>392.63236927848243</v>
      </c>
      <c r="AM338" s="65">
        <f t="shared" si="646"/>
        <v>0.84635416666666952</v>
      </c>
      <c r="AN338" s="209"/>
      <c r="AO338" s="65" t="str">
        <f t="shared" si="564"/>
        <v/>
      </c>
      <c r="AP338" s="65">
        <f>IF($AC338="",#N/A,SUM(AO$4:AO338))</f>
        <v>14.858250196969827</v>
      </c>
      <c r="AQ338" s="65">
        <f t="shared" si="565"/>
        <v>0.84635416666666952</v>
      </c>
      <c r="AR338" s="65">
        <f>IF($AC338="",#N/A,SUM(AQ$4:AQ338))</f>
        <v>-2.9487678735812919</v>
      </c>
      <c r="AS338" s="65" t="str">
        <f t="shared" si="566"/>
        <v/>
      </c>
      <c r="AT338" s="65">
        <f>IF($AC338="",#N/A,SUM(AS$4:AS338))</f>
        <v>3.8186190500977242</v>
      </c>
      <c r="AU338" s="57" t="str">
        <f t="shared" si="647"/>
        <v/>
      </c>
      <c r="AV338" s="57">
        <f>IF($AC338="",#N/A,SUM(AU$4:AU338))</f>
        <v>906.13627194988021</v>
      </c>
      <c r="AW338" s="57">
        <f t="shared" si="648"/>
        <v>62.5300000000002</v>
      </c>
      <c r="AX338" s="57">
        <f>IF($AC338="",#N/A,SUM(AW$4:AW338))</f>
        <v>-178.13106797961063</v>
      </c>
      <c r="AY338" s="57" t="str">
        <f t="shared" si="649"/>
        <v/>
      </c>
      <c r="AZ338" s="57">
        <f>IF($AC338="",#N/A,SUM(AY$4:AY338))</f>
        <v>274.15719317717947</v>
      </c>
      <c r="BA338" s="57">
        <f>IF(AD338="",#N/A,SUM($AD$4:AD338))</f>
        <v>1002.162397147449</v>
      </c>
      <c r="BC338" s="51">
        <f t="shared" si="567"/>
        <v>1</v>
      </c>
      <c r="BD338" s="51" t="str">
        <f t="shared" si="568"/>
        <v/>
      </c>
      <c r="BE338" s="51" t="str">
        <f t="shared" si="569"/>
        <v/>
      </c>
      <c r="BF338" s="51" t="str">
        <f t="shared" si="570"/>
        <v>Long</v>
      </c>
      <c r="BG338" s="51" t="str">
        <f t="shared" si="571"/>
        <v/>
      </c>
      <c r="BH338" s="51" t="str">
        <f t="shared" si="572"/>
        <v/>
      </c>
      <c r="BI338" s="51" t="str">
        <f t="shared" si="573"/>
        <v/>
      </c>
      <c r="BK338" s="65">
        <f t="shared" si="544"/>
        <v>0.11133987106381817</v>
      </c>
      <c r="BL338" s="65">
        <f t="shared" si="543"/>
        <v>9.7376157679214398E-2</v>
      </c>
      <c r="BM338" s="65">
        <f>IFERROR(Q338/COUNTA($J$4:J338),#N/A)</f>
        <v>5.1603018460908485E-2</v>
      </c>
      <c r="BO338" s="489" t="e">
        <f>IF(J338="",#N/A,IF(S338="SW",(COUNTIFS(K$4:$K338,"&gt;0",S$4:$S338,"SW")/COUNTIF(S$4:$S338,"SW")),#N/A))</f>
        <v>#N/A</v>
      </c>
      <c r="BP338" s="489" t="e">
        <f>IF($J338="",#N/A,IF($S338="DWN",(COUNTIFS($K$4:$K338,"&lt;0",$S$4:$S338,"DWN")/COUNTIF($S$4:$S338,"DWN")),#N/A))</f>
        <v>#N/A</v>
      </c>
      <c r="BQ338" s="489">
        <f>IF($J338="",#N/A,IF($S338="UP",(COUNTIFS($K$4:$K338,"&gt;0",$S$4:$S338,"UP")/COUNTIF($S$4:$S338,"UP")),#N/A))</f>
        <v>0.48148148148148145</v>
      </c>
      <c r="BR338" s="489">
        <f>IF(J338="",#N/A,COUNTIF($K$4:K338,"&gt;0")/COUNT($J$4:J338))</f>
        <v>0.48059701492537316</v>
      </c>
      <c r="BS338" s="65">
        <f t="shared" si="574"/>
        <v>0.21378800675675777</v>
      </c>
      <c r="BT338" s="65" t="str">
        <f t="shared" si="575"/>
        <v/>
      </c>
      <c r="BU338" s="65" t="str">
        <f t="shared" si="576"/>
        <v/>
      </c>
      <c r="BV338" s="65" t="str">
        <f t="shared" si="577"/>
        <v/>
      </c>
      <c r="BW338" s="128">
        <f t="shared" si="578"/>
        <v>15.795000000000073</v>
      </c>
      <c r="BX338" s="128">
        <f>IF($J338="",#N/A,SUM($BW$4:BW338))</f>
        <v>-207.22817034792843</v>
      </c>
      <c r="BY338" s="131" t="str">
        <f t="shared" si="579"/>
        <v/>
      </c>
      <c r="BZ338" s="131">
        <f>IF($J338="",#N/A,SUM($BY$4:BY338))</f>
        <v>493.64161346139429</v>
      </c>
      <c r="CA338" s="133" t="str">
        <f t="shared" si="580"/>
        <v/>
      </c>
      <c r="CB338" s="133">
        <f>IF($J338="",#N/A,SUM($CA$4:CA338))</f>
        <v>621.86093244815856</v>
      </c>
      <c r="CC338" s="194">
        <f t="shared" si="581"/>
        <v>0.21378800675675777</v>
      </c>
      <c r="CD338" s="194">
        <f>IF($J338="",#N/A,SUM($CC$4:CC338))</f>
        <v>-3.37603659615394</v>
      </c>
      <c r="CE338" s="195" t="str">
        <f t="shared" si="582"/>
        <v/>
      </c>
      <c r="CF338" s="195">
        <f>IF($J338="",#N/A,SUM($CE$4:CE338))</f>
        <v>9.2700433061832523</v>
      </c>
      <c r="CG338" s="196" t="str">
        <f t="shared" si="583"/>
        <v/>
      </c>
      <c r="CH338" s="196">
        <f>IF($J338="",#N/A,SUM($CG$4:CG338))</f>
        <v>11.393004474375038</v>
      </c>
      <c r="CI338" s="200" t="str">
        <f t="shared" si="584"/>
        <v/>
      </c>
      <c r="CJ338" s="203">
        <f>IF($J338="",#N/A,SUM(CI$4:CI338))</f>
        <v>0</v>
      </c>
      <c r="CK338" s="204" t="str">
        <f t="shared" si="585"/>
        <v/>
      </c>
      <c r="CL338" s="204">
        <f>IF($J338="",#N/A,SUM(CK$4:CK338))</f>
        <v>1.2912501745213723</v>
      </c>
      <c r="CM338" s="205" t="str">
        <f t="shared" si="586"/>
        <v/>
      </c>
      <c r="CN338" s="205">
        <f>IF($J338="",#N/A,SUM(CM$4:CM338))</f>
        <v>1.357235719871134</v>
      </c>
      <c r="CO338" s="205">
        <f>IF($J338="",#N/A,SUM(CM$4:CM338,CK$4:CK338,CI$4:CI338))</f>
        <v>2.6484858943925063</v>
      </c>
      <c r="CP338" s="200" t="str">
        <f t="shared" si="587"/>
        <v/>
      </c>
      <c r="CQ338" s="203">
        <f>IF($J338="",#N/A,SUM(CP$4:CP338))</f>
        <v>-2.5399197875602422</v>
      </c>
      <c r="CR338" s="204" t="str">
        <f t="shared" si="588"/>
        <v/>
      </c>
      <c r="CS338" s="204">
        <f>IF($J338="",#N/A,SUM(CR$4:CR338))</f>
        <v>2.3600225017004668</v>
      </c>
      <c r="CT338" s="205" t="str">
        <f t="shared" si="589"/>
        <v/>
      </c>
      <c r="CU338" s="205">
        <f>IF($J338="",#N/A,SUM(CT$4:CT338))</f>
        <v>-1.2300043871274924E-2</v>
      </c>
      <c r="CV338" s="205">
        <f>IF($J338="",#N/A,SUM(CT$4:CT338,CR$4:CR338,CP$4:CP338))</f>
        <v>-0.19219732973104975</v>
      </c>
      <c r="CW338" s="200" t="str">
        <f t="shared" si="590"/>
        <v/>
      </c>
      <c r="CX338" s="203">
        <f>IF($J338="",#N/A,SUM(CW$4:CW338))</f>
        <v>-0.29399505935581682</v>
      </c>
      <c r="CY338" s="204" t="str">
        <f t="shared" si="591"/>
        <v/>
      </c>
      <c r="CZ338" s="204">
        <f>IF($J338="",#N/A,SUM(CY$4:CY338))</f>
        <v>-0.20119965665334139</v>
      </c>
      <c r="DA338" s="205" t="str">
        <f t="shared" si="592"/>
        <v/>
      </c>
      <c r="DB338" s="205">
        <f>IF($J338="",#N/A,SUM(DA$4:DA338))</f>
        <v>-2.7756316087437582</v>
      </c>
      <c r="DC338" s="205">
        <f>IF($J338="",#N/A,SUM(DA$4:DA338,CY$4:CY338,CW$4:CW338))</f>
        <v>-3.2708263247529161</v>
      </c>
      <c r="DD338" s="200" t="str">
        <f t="shared" si="593"/>
        <v/>
      </c>
      <c r="DE338" s="203">
        <f>IF($J338="",#N/A,SUM(DD$4:DD338))</f>
        <v>1.2501454750716789</v>
      </c>
      <c r="DF338" s="204" t="str">
        <f t="shared" si="594"/>
        <v/>
      </c>
      <c r="DG338" s="204">
        <f>IF($J338="",#N/A,SUM(DF$4:DF338))</f>
        <v>2.626961496209514</v>
      </c>
      <c r="DH338" s="205" t="str">
        <f t="shared" si="595"/>
        <v/>
      </c>
      <c r="DI338" s="205">
        <f>IF($J338="",#N/A,SUM(DH$4:DH338))</f>
        <v>-2.7812008102163399</v>
      </c>
      <c r="DJ338" s="205">
        <f>IF($J338="",#N/A,SUM(DH$4:DH338,DF$4:DF338,DD$4:DD338))</f>
        <v>1.0959061610648531</v>
      </c>
      <c r="DK338" s="200" t="str">
        <f t="shared" si="596"/>
        <v/>
      </c>
      <c r="DL338" s="203">
        <f>IF($J338="",#N/A,SUM(DK$4:DK338))</f>
        <v>-0.84049791589649614</v>
      </c>
      <c r="DM338" s="204" t="str">
        <f t="shared" si="597"/>
        <v/>
      </c>
      <c r="DN338" s="204">
        <f>IF($J338="",#N/A,SUM(DM$4:DM338))</f>
        <v>1.8657648196498773</v>
      </c>
      <c r="DO338" s="205" t="str">
        <f t="shared" si="598"/>
        <v/>
      </c>
      <c r="DP338" s="205">
        <f>IF($J338="",#N/A,SUM(DO$4:DO338))</f>
        <v>3.4887162328793941</v>
      </c>
      <c r="DQ338" s="205">
        <f>IF($J338="",#N/A,SUM(DO$4:DO338,DM$4:DM338,DK$4:DK338))</f>
        <v>4.5139831366327758</v>
      </c>
      <c r="DR338" s="200" t="str">
        <f t="shared" si="599"/>
        <v/>
      </c>
      <c r="DS338" s="203">
        <f>IF($J338="",#N/A,SUM(DR$4:DR338))</f>
        <v>-0.55950946427675097</v>
      </c>
      <c r="DT338" s="204" t="str">
        <f t="shared" si="600"/>
        <v/>
      </c>
      <c r="DU338" s="204">
        <f>IF($J338="",#N/A,SUM(DT$4:DT338))</f>
        <v>-0.20750635820596686</v>
      </c>
      <c r="DV338" s="205" t="str">
        <f t="shared" si="601"/>
        <v/>
      </c>
      <c r="DW338" s="205">
        <f>IF($J338="",#N/A,SUM(DV$4:DV338))</f>
        <v>-2.3377035686214001</v>
      </c>
      <c r="DX338" s="205">
        <f>IF($J338="",#N/A,SUM(DV$4:DV338,DT$4:DT338,DR$4:DR338))</f>
        <v>-3.1047193911041169</v>
      </c>
      <c r="DY338" s="200">
        <f t="shared" si="602"/>
        <v>0.21378800675675777</v>
      </c>
      <c r="DZ338" s="203">
        <f>IF($J338="",#N/A,SUM(DY$4:DY338))</f>
        <v>-1.4146842415208627</v>
      </c>
      <c r="EA338" s="204" t="str">
        <f t="shared" si="603"/>
        <v/>
      </c>
      <c r="EB338" s="204">
        <f>IF($J338="",#N/A,SUM(EA$4:EA338))</f>
        <v>2.276197208799712</v>
      </c>
      <c r="EC338" s="205" t="str">
        <f t="shared" si="604"/>
        <v/>
      </c>
      <c r="ED338" s="205">
        <f>IF($J338="",#N/A,SUM(EC$4:EC338))</f>
        <v>8.6307007550759458</v>
      </c>
      <c r="EE338" s="205">
        <f>IF($J338="",#N/A,SUM(EC$4:EC338,EA$4:EA338,DY$4:DY338))</f>
        <v>9.4922137223547978</v>
      </c>
      <c r="EF338" s="200" t="str">
        <f t="shared" si="605"/>
        <v/>
      </c>
      <c r="EG338" s="203">
        <f>IF($J338="",#N/A,SUM(EF$4:EF338))</f>
        <v>0.65848341369884777</v>
      </c>
      <c r="EH338" s="204" t="str">
        <f t="shared" si="606"/>
        <v/>
      </c>
      <c r="EI338" s="204">
        <f>IF($J338="",#N/A,SUM(EH$4:EH338))</f>
        <v>-3.5125331561187787</v>
      </c>
      <c r="EJ338" s="205" t="str">
        <f t="shared" si="607"/>
        <v/>
      </c>
      <c r="EK338" s="205">
        <f>IF($J338="",#N/A,SUM(EJ$4:EJ338))</f>
        <v>8.4415851520554703</v>
      </c>
      <c r="EL338" s="205">
        <f>IF($J338="",#N/A,SUM(EJ$4:EJ338,EH$4:EH338,EF$4:EF338))</f>
        <v>5.5875354096355405</v>
      </c>
      <c r="EM338" s="200" t="str">
        <f t="shared" si="608"/>
        <v/>
      </c>
      <c r="EN338" s="203">
        <f>IF($J338="",#N/A,SUM(EM$4:EM338))</f>
        <v>0</v>
      </c>
      <c r="EO338" s="204" t="str">
        <f t="shared" si="609"/>
        <v/>
      </c>
      <c r="EP338" s="204">
        <f>IF($J338="",#N/A,SUM(EO$4:EO338))</f>
        <v>2.4788862078089964</v>
      </c>
      <c r="EQ338" s="205" t="str">
        <f t="shared" si="610"/>
        <v/>
      </c>
      <c r="ER338" s="205">
        <f>IF($J338="",#N/A,SUM(EQ$4:EQ338))</f>
        <v>2.6983279209445628</v>
      </c>
      <c r="ES338" s="205">
        <f>IF($J338="",#N/A,SUM(EQ$4:EQ338,EO$4:EO338,EM$4:EM338))</f>
        <v>5.1772141287535591</v>
      </c>
      <c r="ET338" s="200" t="str">
        <f t="shared" si="611"/>
        <v/>
      </c>
      <c r="EU338" s="203">
        <f>IF($J338="",#N/A,SUM(ET$4:ET338))</f>
        <v>0</v>
      </c>
      <c r="EV338" s="204" t="str">
        <f t="shared" si="612"/>
        <v/>
      </c>
      <c r="EW338" s="204">
        <f>IF($J338="",#N/A,SUM(EV$4:EV338))</f>
        <v>7.9116394275462909E-2</v>
      </c>
      <c r="EX338" s="205" t="str">
        <f t="shared" si="613"/>
        <v/>
      </c>
      <c r="EY338" s="205">
        <f>IF($J338="",#N/A,SUM(EX$4:EX338))</f>
        <v>0.27113250180669229</v>
      </c>
      <c r="EZ338" s="205">
        <f>IF($J338="",#N/A,SUM(EX$4:EX338,EV$4:EV338,ET$4:ET338))</f>
        <v>0.35024889608215481</v>
      </c>
      <c r="FA338" s="200" t="str">
        <f t="shared" si="614"/>
        <v/>
      </c>
      <c r="FB338" s="203">
        <f>IF($J338="",#N/A,SUM(FA$4:FA338))</f>
        <v>-0.27145310509113252</v>
      </c>
      <c r="FC338" s="204" t="str">
        <f t="shared" si="615"/>
        <v/>
      </c>
      <c r="FD338" s="204">
        <f>IF($J338="",#N/A,SUM(FC$4:FC338))</f>
        <v>0.89084290967454072</v>
      </c>
      <c r="FE338" s="205" t="str">
        <f t="shared" si="616"/>
        <v/>
      </c>
      <c r="FF338" s="205">
        <f>IF($J338="",#N/A,SUM(FE$4:FE338))</f>
        <v>-0.28811149078748233</v>
      </c>
      <c r="FG338" s="205">
        <f>IF($J338="",#N/A,SUM(FE$4:FE338,FC$4:FC338,FA$4:FA338))</f>
        <v>0.3312783137959262</v>
      </c>
      <c r="FH338" s="200" t="str">
        <f t="shared" si="617"/>
        <v/>
      </c>
      <c r="FI338" s="203">
        <f>IF($J338="",#N/A,SUM(FH$4:FH338))</f>
        <v>0</v>
      </c>
      <c r="FJ338" s="204" t="str">
        <f t="shared" si="618"/>
        <v/>
      </c>
      <c r="FK338" s="204">
        <f>IF($J338="",#N/A,SUM(FJ$4:FJ338))</f>
        <v>0</v>
      </c>
      <c r="FL338" s="205" t="str">
        <f t="shared" si="619"/>
        <v/>
      </c>
      <c r="FM338" s="205">
        <f>IF($J338="",#N/A,SUM(FL$4:FL338))</f>
        <v>0</v>
      </c>
      <c r="FN338" s="205">
        <f>IF($J338="",#N/A,SUM(FL$4:FL338,FJ$4:FJ338,FH$4:FH338))</f>
        <v>0</v>
      </c>
      <c r="FO338" s="200" t="str">
        <f t="shared" si="620"/>
        <v/>
      </c>
      <c r="FP338" s="203">
        <f>IF($J338="",#N/A,SUM(FO$4:FO338))</f>
        <v>0</v>
      </c>
      <c r="FQ338" s="204" t="str">
        <f t="shared" si="621"/>
        <v/>
      </c>
      <c r="FR338" s="204">
        <f>IF($J338="",#N/A,SUM(FQ$4:FQ338))</f>
        <v>0</v>
      </c>
      <c r="FS338" s="205" t="str">
        <f t="shared" si="622"/>
        <v/>
      </c>
      <c r="FT338" s="205">
        <f>IF($J338="",#N/A,SUM(FS$4:FS338))</f>
        <v>0</v>
      </c>
      <c r="FU338" s="205">
        <f>IF($J338="",#N/A,SUM(FS$4:FS338,FQ$4:FQ338,FO$4:FO338))</f>
        <v>0</v>
      </c>
      <c r="FV338" s="200" t="str">
        <f t="shared" si="623"/>
        <v/>
      </c>
      <c r="FW338" s="203">
        <f>IF($J338="",#N/A,SUM(FV$4:FV338))</f>
        <v>6.6834991831277585E-2</v>
      </c>
      <c r="FX338" s="204" t="str">
        <f t="shared" si="624"/>
        <v/>
      </c>
      <c r="FY338" s="204">
        <f>IF($J338="",#N/A,SUM(FX$4:FX338))</f>
        <v>-0.16102012791805576</v>
      </c>
      <c r="FZ338" s="205" t="str">
        <f t="shared" si="625"/>
        <v/>
      </c>
      <c r="GA338" s="205">
        <f>IF($J338="",#N/A,SUM(FZ$4:FZ338))</f>
        <v>-0.69624339162892301</v>
      </c>
      <c r="GB338" s="205">
        <f>IF($J338="",#N/A,SUM(FZ$4:FZ338,FX$4:FX338,FV$4:FV338))</f>
        <v>-0.79042852771570116</v>
      </c>
      <c r="GC338" s="200" t="str">
        <f t="shared" si="626"/>
        <v/>
      </c>
      <c r="GD338" s="203">
        <f>IF($J338="",#N/A,SUM(GC$4:GC338))</f>
        <v>0</v>
      </c>
      <c r="GE338" s="204" t="str">
        <f t="shared" si="627"/>
        <v/>
      </c>
      <c r="GF338" s="204">
        <f>IF($J338="",#N/A,SUM(GE$4:GE338))</f>
        <v>0</v>
      </c>
      <c r="GG338" s="205" t="str">
        <f t="shared" si="628"/>
        <v/>
      </c>
      <c r="GH338" s="205">
        <f>IF($J338="",#N/A,SUM(GG$4:GG338))</f>
        <v>-2.9368362277223206</v>
      </c>
      <c r="GI338" s="205">
        <f>IF($J338="",#N/A,SUM(GG$4:GG338,GE$4:GE338,GC$4:GC338))</f>
        <v>-2.9368362277223206</v>
      </c>
      <c r="GJ338" s="200" t="str">
        <f t="shared" si="629"/>
        <v/>
      </c>
      <c r="GK338" s="203">
        <f>IF($J338="",#N/A,SUM(GJ$4:GJ338))</f>
        <v>0</v>
      </c>
      <c r="GL338" s="204" t="str">
        <f t="shared" si="630"/>
        <v/>
      </c>
      <c r="GM338" s="204">
        <f>IF($J338="",#N/A,SUM(GL$4:GL338))</f>
        <v>-1.6833790887309608</v>
      </c>
      <c r="GN338" s="205" t="str">
        <f t="shared" si="631"/>
        <v/>
      </c>
      <c r="GO338" s="205">
        <f>IF($J338="",#N/A,SUM(GN$4:GN338))</f>
        <v>0</v>
      </c>
      <c r="GP338" s="205">
        <f>IF($J338="",#N/A,SUM(GN$4:GN338,GL$4:GL338,GJ$4:GJ338))</f>
        <v>-1.6833790887309608</v>
      </c>
      <c r="GS338" s="54" t="str">
        <f t="shared" si="650"/>
        <v/>
      </c>
      <c r="GT338" s="54" t="e">
        <f>IF(GS338="",NA(),SUM($GS$4:GS338))</f>
        <v>#N/A</v>
      </c>
      <c r="GU338" s="54" t="str">
        <f t="shared" si="632"/>
        <v/>
      </c>
      <c r="GV338" s="54" t="e">
        <f>IF(GU338="",NA(),SUM($GU$4:GU338))</f>
        <v>#N/A</v>
      </c>
      <c r="GW338" s="54" t="str">
        <f t="shared" si="633"/>
        <v/>
      </c>
      <c r="GX338" s="54" t="e">
        <f>IF(GW338="",NA(),SUM($GW$4:GW338))</f>
        <v>#N/A</v>
      </c>
      <c r="GY338" s="54" t="str">
        <f t="shared" si="634"/>
        <v/>
      </c>
      <c r="GZ338" s="54" t="e">
        <f>IF(GY338="",NA(),SUM($GY$4:GY338))</f>
        <v>#N/A</v>
      </c>
      <c r="HA338" s="54">
        <f t="shared" si="635"/>
        <v>0.21378800675675777</v>
      </c>
      <c r="HB338" s="54">
        <f>IF(HA338="",NA(),SUM($HA$4:HA338))</f>
        <v>3.7426795933855699</v>
      </c>
      <c r="HC338" s="54">
        <f t="shared" si="636"/>
        <v>0.21378800675675777</v>
      </c>
      <c r="HD338" s="54">
        <f>IF(HC338="",NA(),SUM($HC$4:HC338))</f>
        <v>0.78234710370231253</v>
      </c>
      <c r="HE338" s="54" t="str">
        <f t="shared" si="637"/>
        <v/>
      </c>
      <c r="HF338" s="54" t="e">
        <f>IF(HE338="",NA(),SUM($HE$4:HE338))</f>
        <v>#N/A</v>
      </c>
      <c r="HG338" s="54" t="str">
        <f t="shared" si="638"/>
        <v/>
      </c>
      <c r="HH338" s="54" t="e">
        <f>IF(HG338="",NA(),SUM($HG$4:HG338))</f>
        <v>#N/A</v>
      </c>
      <c r="HI338" s="172" t="str">
        <f t="shared" si="651"/>
        <v/>
      </c>
      <c r="HJ338" s="172">
        <f>IF($J338="",#N/A,SUM(HI$4:$HI338))</f>
        <v>-7.354889449483677</v>
      </c>
      <c r="HK338" s="54" t="str">
        <f t="shared" si="639"/>
        <v/>
      </c>
      <c r="HL338" s="54">
        <f>IF($J338="",#N/A,SUM($HK$4:HK338))</f>
        <v>1.9034651933981581</v>
      </c>
      <c r="HM338" s="54">
        <f t="shared" si="640"/>
        <v>0.63256615990991172</v>
      </c>
      <c r="HN338" s="54">
        <f>IF($J338="",#N/A,SUM($HM$4:HM338))</f>
        <v>1.1220312548245914</v>
      </c>
      <c r="HO338" s="54" t="str">
        <f t="shared" si="641"/>
        <v/>
      </c>
      <c r="HP338" s="54">
        <f>IF($J338="",#N/A,SUM($HO$4:HO338))</f>
        <v>-0.69476253225193951</v>
      </c>
      <c r="HQ338" s="54" t="str">
        <f t="shared" si="642"/>
        <v/>
      </c>
      <c r="HR338" s="54">
        <f>IF($J338="",#N/A,SUM($HQ$4:HQ338))</f>
        <v>-10.880785248071591</v>
      </c>
      <c r="HS338" s="54" t="str">
        <f t="shared" si="643"/>
        <v/>
      </c>
      <c r="HT338" s="54">
        <f>IF($J338="",#N/A,SUM($HS$4:HS338))</f>
        <v>14.861978437833368</v>
      </c>
      <c r="HU338" s="65">
        <f t="shared" si="644"/>
        <v>0.84635416666666952</v>
      </c>
      <c r="HV338" s="65">
        <f>IF($J338="",#N/A,SUM(HU$4:$HU338))</f>
        <v>15.728101373486266</v>
      </c>
    </row>
    <row r="339" spans="1:230" x14ac:dyDescent="0.25">
      <c r="A339" s="51" t="s">
        <v>1112</v>
      </c>
      <c r="B339" s="52" t="s">
        <v>4715</v>
      </c>
      <c r="C339" s="229">
        <f t="shared" si="545"/>
        <v>3</v>
      </c>
      <c r="D339" s="219" t="str">
        <f>_xlfn.XLOOKUP(A339,[1]SP500!$A$2:$A$502,[1]SP500!$D$2:$D$502,"N")</f>
        <v>Y</v>
      </c>
      <c r="E339" s="51" t="str">
        <f>IFERROR(_xlfn.XLOOKUP(A339,[1]SP500!$A$2:$A$655,[1]SP500!$B$2:$B$655),"")</f>
        <v>XLI</v>
      </c>
      <c r="F339" s="290">
        <v>45792</v>
      </c>
      <c r="G339" s="51" t="str">
        <f t="shared" si="546"/>
        <v>BMO</v>
      </c>
      <c r="H339" s="51" t="str">
        <f t="shared" si="547"/>
        <v>s</v>
      </c>
      <c r="I339" s="343">
        <v>497.5</v>
      </c>
      <c r="J339" s="124">
        <v>517.35</v>
      </c>
      <c r="K339" s="55">
        <f t="shared" si="548"/>
        <v>3.9899497487437229E-2</v>
      </c>
      <c r="L339" s="67">
        <f t="shared" si="549"/>
        <v>59.550000000000182</v>
      </c>
      <c r="M339" s="57">
        <f t="shared" si="550"/>
        <v>8.6699999999998454</v>
      </c>
      <c r="N339" s="102">
        <f t="shared" si="551"/>
        <v>59.550000000000182</v>
      </c>
      <c r="O339" s="57">
        <f>IF(N339="",#N/A,SUM($N$4:N339))</f>
        <v>967.82437556162472</v>
      </c>
      <c r="P339" s="65">
        <f t="shared" si="645"/>
        <v>0.66499162479062179</v>
      </c>
      <c r="Q339" s="172">
        <f>IF($N339="",#N/A,SUM($P$4:P339))</f>
        <v>17.952002809194965</v>
      </c>
      <c r="R339" s="279">
        <f t="shared" si="552"/>
        <v>7.4064951520225435</v>
      </c>
      <c r="S339" s="51" t="str">
        <f t="shared" si="553"/>
        <v>SW</v>
      </c>
      <c r="T339" s="51" t="s">
        <v>2828</v>
      </c>
      <c r="U339" s="56">
        <f t="shared" si="554"/>
        <v>497.5</v>
      </c>
      <c r="V339" s="56" t="s">
        <v>4460</v>
      </c>
      <c r="W339" s="142">
        <v>3</v>
      </c>
      <c r="X339" s="145">
        <f t="shared" si="555"/>
        <v>1492.5</v>
      </c>
      <c r="Y339" s="140">
        <f t="shared" si="556"/>
        <v>3</v>
      </c>
      <c r="Z339" s="123">
        <v>520.24</v>
      </c>
      <c r="AA339" s="102">
        <f t="shared" si="557"/>
        <v>68.220000000000027</v>
      </c>
      <c r="AB339" s="102">
        <f t="shared" si="558"/>
        <v>56.460000000000036</v>
      </c>
      <c r="AC339" s="124">
        <v>516.32000000000005</v>
      </c>
      <c r="AD339" s="155">
        <f t="shared" si="559"/>
        <v>56.460000000000036</v>
      </c>
      <c r="AE339" s="545">
        <f t="shared" si="560"/>
        <v>0.63048576214405405</v>
      </c>
      <c r="AF339" s="57">
        <f>IF($AC339="",#N/A,SUM(AD$4:AD339))</f>
        <v>1058.6223971474492</v>
      </c>
      <c r="AG339" s="102">
        <f t="shared" si="561"/>
        <v>-3.0900000000001455</v>
      </c>
      <c r="AH339" s="56" t="s">
        <v>2507</v>
      </c>
      <c r="AI339" s="65">
        <f t="shared" si="562"/>
        <v>0.76180904522613102</v>
      </c>
      <c r="AJ339" s="108">
        <f>IF(AI339="",#N/A,SUM($AI$4:AI339))</f>
        <v>10.545507657172422</v>
      </c>
      <c r="AK339" s="57">
        <f t="shared" si="563"/>
        <v>68.220000000000027</v>
      </c>
      <c r="AL339" s="66">
        <f>IF(AI339="",#N/A,IF(AH339="Skip",SUM($AK$4:AK339),SUM($AK$4:AK339)))</f>
        <v>460.85236927848246</v>
      </c>
      <c r="AM339" s="65">
        <f t="shared" si="646"/>
        <v>0.63048576214405405</v>
      </c>
      <c r="AN339" s="209"/>
      <c r="AO339" s="65">
        <f t="shared" si="564"/>
        <v>0.63048576214405405</v>
      </c>
      <c r="AP339" s="65">
        <f>IF($AC339="",#N/A,SUM(AO$4:AO339))</f>
        <v>15.488735959113882</v>
      </c>
      <c r="AQ339" s="65" t="str">
        <f t="shared" si="565"/>
        <v/>
      </c>
      <c r="AR339" s="65">
        <f>IF($AC339="",#N/A,SUM(AQ$4:AQ339))</f>
        <v>-2.9487678735812919</v>
      </c>
      <c r="AS339" s="65" t="str">
        <f t="shared" si="566"/>
        <v/>
      </c>
      <c r="AT339" s="65">
        <f>IF($AC339="",#N/A,SUM(AS$4:AS339))</f>
        <v>3.8186190500977242</v>
      </c>
      <c r="AU339" s="57">
        <f t="shared" si="647"/>
        <v>56.460000000000036</v>
      </c>
      <c r="AV339" s="57">
        <f>IF($AC339="",#N/A,SUM(AU$4:AU339))</f>
        <v>962.59627194988025</v>
      </c>
      <c r="AW339" s="57" t="str">
        <f t="shared" si="648"/>
        <v/>
      </c>
      <c r="AX339" s="57">
        <f>IF($AC339="",#N/A,SUM(AW$4:AW339))</f>
        <v>-178.13106797961063</v>
      </c>
      <c r="AY339" s="57" t="str">
        <f t="shared" si="649"/>
        <v/>
      </c>
      <c r="AZ339" s="57">
        <f>IF($AC339="",#N/A,SUM(AY$4:AY339))</f>
        <v>274.15719317717947</v>
      </c>
      <c r="BA339" s="57">
        <f>IF(AD339="",#N/A,SUM($AD$4:AD339))</f>
        <v>1058.6223971474492</v>
      </c>
      <c r="BC339" s="51" t="str">
        <f t="shared" si="567"/>
        <v/>
      </c>
      <c r="BD339" s="51" t="str">
        <f t="shared" si="568"/>
        <v/>
      </c>
      <c r="BE339" s="51">
        <f t="shared" si="569"/>
        <v>1</v>
      </c>
      <c r="BF339" s="51" t="str">
        <f t="shared" si="570"/>
        <v>Long</v>
      </c>
      <c r="BG339" s="51" t="str">
        <f t="shared" si="571"/>
        <v/>
      </c>
      <c r="BH339" s="51" t="str">
        <f t="shared" si="572"/>
        <v/>
      </c>
      <c r="BI339" s="51" t="str">
        <f t="shared" si="573"/>
        <v/>
      </c>
      <c r="BK339" s="65">
        <f t="shared" si="544"/>
        <v>0.11394366269117598</v>
      </c>
      <c r="BL339" s="65">
        <f t="shared" si="543"/>
        <v>7.1313378382779291E-2</v>
      </c>
      <c r="BM339" s="65">
        <f>IFERROR(Q339/COUNTA($J$4:J339),#N/A)</f>
        <v>5.3428579789270729E-2</v>
      </c>
      <c r="BO339" s="489">
        <f>IF(J339="",#N/A,IF(S339="SW",(COUNTIFS(K$4:$K339,"&gt;0",S$4:$S339,"SW")/COUNTIF(S$4:$S339,"SW")),#N/A))</f>
        <v>0.5220125786163522</v>
      </c>
      <c r="BP339" s="489" t="e">
        <f>IF($J339="",#N/A,IF($S339="DWN",(COUNTIFS($K$4:$K339,"&lt;0",$S$4:$S339,"DWN")/COUNTIF($S$4:$S339,"DWN")),#N/A))</f>
        <v>#N/A</v>
      </c>
      <c r="BQ339" s="489" t="e">
        <f>IF($J339="",#N/A,IF($S339="UP",(COUNTIFS($K$4:$K339,"&gt;0",$S$4:$S339,"UP")/COUNTIF($S$4:$S339,"UP")),#N/A))</f>
        <v>#N/A</v>
      </c>
      <c r="BR339" s="489">
        <f>IF(J339="",#N/A,COUNTIF($K$4:K339,"&gt;0")/COUNT($J$4:J339))</f>
        <v>0.48214285714285715</v>
      </c>
      <c r="BS339" s="65">
        <f t="shared" si="574"/>
        <v>0.66499162479062179</v>
      </c>
      <c r="BT339" s="65" t="str">
        <f t="shared" si="575"/>
        <v/>
      </c>
      <c r="BU339" s="65" t="str">
        <f t="shared" si="576"/>
        <v/>
      </c>
      <c r="BV339" s="65" t="str">
        <f t="shared" si="577"/>
        <v/>
      </c>
      <c r="BW339" s="128" t="str">
        <f t="shared" si="578"/>
        <v/>
      </c>
      <c r="BX339" s="128">
        <f>IF($J339="",#N/A,SUM($BW$4:BW339))</f>
        <v>-207.22817034792843</v>
      </c>
      <c r="BY339" s="131" t="str">
        <f t="shared" si="579"/>
        <v/>
      </c>
      <c r="BZ339" s="131">
        <f>IF($J339="",#N/A,SUM($BY$4:BY339))</f>
        <v>493.64161346139429</v>
      </c>
      <c r="CA339" s="133">
        <f t="shared" si="580"/>
        <v>59.550000000000182</v>
      </c>
      <c r="CB339" s="133">
        <f>IF($J339="",#N/A,SUM($CA$4:CA339))</f>
        <v>681.41093244815875</v>
      </c>
      <c r="CC339" s="194" t="str">
        <f t="shared" si="581"/>
        <v/>
      </c>
      <c r="CD339" s="194">
        <f>IF($J339="",#N/A,SUM($CC$4:CC339))</f>
        <v>-3.37603659615394</v>
      </c>
      <c r="CE339" s="195" t="str">
        <f t="shared" si="582"/>
        <v/>
      </c>
      <c r="CF339" s="195">
        <f>IF($J339="",#N/A,SUM($CE$4:CE339))</f>
        <v>9.2700433061832523</v>
      </c>
      <c r="CG339" s="196">
        <f t="shared" si="583"/>
        <v>0.66499162479062179</v>
      </c>
      <c r="CH339" s="196">
        <f>IF($J339="",#N/A,SUM($CG$4:CG339))</f>
        <v>12.05799609916566</v>
      </c>
      <c r="CI339" s="200" t="str">
        <f t="shared" si="584"/>
        <v/>
      </c>
      <c r="CJ339" s="203">
        <f>IF($J339="",#N/A,SUM(CI$4:CI339))</f>
        <v>0</v>
      </c>
      <c r="CK339" s="204" t="str">
        <f t="shared" si="585"/>
        <v/>
      </c>
      <c r="CL339" s="204">
        <f>IF($J339="",#N/A,SUM(CK$4:CK339))</f>
        <v>1.2912501745213723</v>
      </c>
      <c r="CM339" s="205" t="str">
        <f t="shared" si="586"/>
        <v/>
      </c>
      <c r="CN339" s="205">
        <f>IF($J339="",#N/A,SUM(CM$4:CM339))</f>
        <v>1.357235719871134</v>
      </c>
      <c r="CO339" s="205">
        <f>IF($J339="",#N/A,SUM(CM$4:CM339,CK$4:CK339,CI$4:CI339))</f>
        <v>2.6484858943925063</v>
      </c>
      <c r="CP339" s="200" t="str">
        <f t="shared" si="587"/>
        <v/>
      </c>
      <c r="CQ339" s="203">
        <f>IF($J339="",#N/A,SUM(CP$4:CP339))</f>
        <v>-2.5399197875602422</v>
      </c>
      <c r="CR339" s="204" t="str">
        <f t="shared" si="588"/>
        <v/>
      </c>
      <c r="CS339" s="204">
        <f>IF($J339="",#N/A,SUM(CR$4:CR339))</f>
        <v>2.3600225017004668</v>
      </c>
      <c r="CT339" s="205" t="str">
        <f t="shared" si="589"/>
        <v/>
      </c>
      <c r="CU339" s="205">
        <f>IF($J339="",#N/A,SUM(CT$4:CT339))</f>
        <v>-1.2300043871274924E-2</v>
      </c>
      <c r="CV339" s="205">
        <f>IF($J339="",#N/A,SUM(CT$4:CT339,CR$4:CR339,CP$4:CP339))</f>
        <v>-0.19219732973104975</v>
      </c>
      <c r="CW339" s="200" t="str">
        <f t="shared" si="590"/>
        <v/>
      </c>
      <c r="CX339" s="203">
        <f>IF($J339="",#N/A,SUM(CW$4:CW339))</f>
        <v>-0.29399505935581682</v>
      </c>
      <c r="CY339" s="204" t="str">
        <f t="shared" si="591"/>
        <v/>
      </c>
      <c r="CZ339" s="204">
        <f>IF($J339="",#N/A,SUM(CY$4:CY339))</f>
        <v>-0.20119965665334139</v>
      </c>
      <c r="DA339" s="205" t="str">
        <f t="shared" si="592"/>
        <v/>
      </c>
      <c r="DB339" s="205">
        <f>IF($J339="",#N/A,SUM(DA$4:DA339))</f>
        <v>-2.7756316087437582</v>
      </c>
      <c r="DC339" s="205">
        <f>IF($J339="",#N/A,SUM(DA$4:DA339,CY$4:CY339,CW$4:CW339))</f>
        <v>-3.2708263247529161</v>
      </c>
      <c r="DD339" s="200" t="str">
        <f t="shared" si="593"/>
        <v/>
      </c>
      <c r="DE339" s="203">
        <f>IF($J339="",#N/A,SUM(DD$4:DD339))</f>
        <v>1.2501454750716789</v>
      </c>
      <c r="DF339" s="204" t="str">
        <f t="shared" si="594"/>
        <v/>
      </c>
      <c r="DG339" s="204">
        <f>IF($J339="",#N/A,SUM(DF$4:DF339))</f>
        <v>2.626961496209514</v>
      </c>
      <c r="DH339" s="205" t="str">
        <f t="shared" si="595"/>
        <v/>
      </c>
      <c r="DI339" s="205">
        <f>IF($J339="",#N/A,SUM(DH$4:DH339))</f>
        <v>-2.7812008102163399</v>
      </c>
      <c r="DJ339" s="205">
        <f>IF($J339="",#N/A,SUM(DH$4:DH339,DF$4:DF339,DD$4:DD339))</f>
        <v>1.0959061610648531</v>
      </c>
      <c r="DK339" s="200" t="str">
        <f t="shared" si="596"/>
        <v/>
      </c>
      <c r="DL339" s="203">
        <f>IF($J339="",#N/A,SUM(DK$4:DK339))</f>
        <v>-0.84049791589649614</v>
      </c>
      <c r="DM339" s="204" t="str">
        <f t="shared" si="597"/>
        <v/>
      </c>
      <c r="DN339" s="204">
        <f>IF($J339="",#N/A,SUM(DM$4:DM339))</f>
        <v>1.8657648196498773</v>
      </c>
      <c r="DO339" s="205" t="str">
        <f t="shared" si="598"/>
        <v/>
      </c>
      <c r="DP339" s="205">
        <f>IF($J339="",#N/A,SUM(DO$4:DO339))</f>
        <v>3.4887162328793941</v>
      </c>
      <c r="DQ339" s="205">
        <f>IF($J339="",#N/A,SUM(DO$4:DO339,DM$4:DM339,DK$4:DK339))</f>
        <v>4.5139831366327758</v>
      </c>
      <c r="DR339" s="200" t="str">
        <f t="shared" si="599"/>
        <v/>
      </c>
      <c r="DS339" s="203">
        <f>IF($J339="",#N/A,SUM(DR$4:DR339))</f>
        <v>-0.55950946427675097</v>
      </c>
      <c r="DT339" s="204" t="str">
        <f t="shared" si="600"/>
        <v/>
      </c>
      <c r="DU339" s="204">
        <f>IF($J339="",#N/A,SUM(DT$4:DT339))</f>
        <v>-0.20750635820596686</v>
      </c>
      <c r="DV339" s="205" t="str">
        <f t="shared" si="601"/>
        <v/>
      </c>
      <c r="DW339" s="205">
        <f>IF($J339="",#N/A,SUM(DV$4:DV339))</f>
        <v>-2.3377035686214001</v>
      </c>
      <c r="DX339" s="205">
        <f>IF($J339="",#N/A,SUM(DV$4:DV339,DT$4:DT339,DR$4:DR339))</f>
        <v>-3.1047193911041169</v>
      </c>
      <c r="DY339" s="200" t="str">
        <f t="shared" si="602"/>
        <v/>
      </c>
      <c r="DZ339" s="203">
        <f>IF($J339="",#N/A,SUM(DY$4:DY339))</f>
        <v>-1.4146842415208627</v>
      </c>
      <c r="EA339" s="204" t="str">
        <f t="shared" si="603"/>
        <v/>
      </c>
      <c r="EB339" s="204">
        <f>IF($J339="",#N/A,SUM(EA$4:EA339))</f>
        <v>2.276197208799712</v>
      </c>
      <c r="EC339" s="205">
        <f t="shared" si="604"/>
        <v>0.66499162479062179</v>
      </c>
      <c r="ED339" s="205">
        <f>IF($J339="",#N/A,SUM(EC$4:EC339))</f>
        <v>9.2956923798665674</v>
      </c>
      <c r="EE339" s="205">
        <f>IF($J339="",#N/A,SUM(EC$4:EC339,EA$4:EA339,DY$4:DY339))</f>
        <v>10.157205347145418</v>
      </c>
      <c r="EF339" s="200" t="str">
        <f t="shared" si="605"/>
        <v/>
      </c>
      <c r="EG339" s="203">
        <f>IF($J339="",#N/A,SUM(EF$4:EF339))</f>
        <v>0.65848341369884777</v>
      </c>
      <c r="EH339" s="204" t="str">
        <f t="shared" si="606"/>
        <v/>
      </c>
      <c r="EI339" s="204">
        <f>IF($J339="",#N/A,SUM(EH$4:EH339))</f>
        <v>-3.5125331561187787</v>
      </c>
      <c r="EJ339" s="205" t="str">
        <f t="shared" si="607"/>
        <v/>
      </c>
      <c r="EK339" s="205">
        <f>IF($J339="",#N/A,SUM(EJ$4:EJ339))</f>
        <v>8.4415851520554703</v>
      </c>
      <c r="EL339" s="205">
        <f>IF($J339="",#N/A,SUM(EJ$4:EJ339,EH$4:EH339,EF$4:EF339))</f>
        <v>5.5875354096355405</v>
      </c>
      <c r="EM339" s="200" t="str">
        <f t="shared" si="608"/>
        <v/>
      </c>
      <c r="EN339" s="203">
        <f>IF($J339="",#N/A,SUM(EM$4:EM339))</f>
        <v>0</v>
      </c>
      <c r="EO339" s="204" t="str">
        <f t="shared" si="609"/>
        <v/>
      </c>
      <c r="EP339" s="204">
        <f>IF($J339="",#N/A,SUM(EO$4:EO339))</f>
        <v>2.4788862078089964</v>
      </c>
      <c r="EQ339" s="205" t="str">
        <f t="shared" si="610"/>
        <v/>
      </c>
      <c r="ER339" s="205">
        <f>IF($J339="",#N/A,SUM(EQ$4:EQ339))</f>
        <v>2.6983279209445628</v>
      </c>
      <c r="ES339" s="205">
        <f>IF($J339="",#N/A,SUM(EQ$4:EQ339,EO$4:EO339,EM$4:EM339))</f>
        <v>5.1772141287535591</v>
      </c>
      <c r="ET339" s="200" t="str">
        <f t="shared" si="611"/>
        <v/>
      </c>
      <c r="EU339" s="203">
        <f>IF($J339="",#N/A,SUM(ET$4:ET339))</f>
        <v>0</v>
      </c>
      <c r="EV339" s="204" t="str">
        <f t="shared" si="612"/>
        <v/>
      </c>
      <c r="EW339" s="204">
        <f>IF($J339="",#N/A,SUM(EV$4:EV339))</f>
        <v>7.9116394275462909E-2</v>
      </c>
      <c r="EX339" s="205" t="str">
        <f t="shared" si="613"/>
        <v/>
      </c>
      <c r="EY339" s="205">
        <f>IF($J339="",#N/A,SUM(EX$4:EX339))</f>
        <v>0.27113250180669229</v>
      </c>
      <c r="EZ339" s="205">
        <f>IF($J339="",#N/A,SUM(EX$4:EX339,EV$4:EV339,ET$4:ET339))</f>
        <v>0.35024889608215481</v>
      </c>
      <c r="FA339" s="200" t="str">
        <f t="shared" si="614"/>
        <v/>
      </c>
      <c r="FB339" s="203">
        <f>IF($J339="",#N/A,SUM(FA$4:FA339))</f>
        <v>-0.27145310509113252</v>
      </c>
      <c r="FC339" s="204" t="str">
        <f t="shared" si="615"/>
        <v/>
      </c>
      <c r="FD339" s="204">
        <f>IF($J339="",#N/A,SUM(FC$4:FC339))</f>
        <v>0.89084290967454072</v>
      </c>
      <c r="FE339" s="205" t="str">
        <f t="shared" si="616"/>
        <v/>
      </c>
      <c r="FF339" s="205">
        <f>IF($J339="",#N/A,SUM(FE$4:FE339))</f>
        <v>-0.28811149078748233</v>
      </c>
      <c r="FG339" s="205">
        <f>IF($J339="",#N/A,SUM(FE$4:FE339,FC$4:FC339,FA$4:FA339))</f>
        <v>0.3312783137959262</v>
      </c>
      <c r="FH339" s="200" t="str">
        <f t="shared" si="617"/>
        <v/>
      </c>
      <c r="FI339" s="203">
        <f>IF($J339="",#N/A,SUM(FH$4:FH339))</f>
        <v>0</v>
      </c>
      <c r="FJ339" s="204" t="str">
        <f t="shared" si="618"/>
        <v/>
      </c>
      <c r="FK339" s="204">
        <f>IF($J339="",#N/A,SUM(FJ$4:FJ339))</f>
        <v>0</v>
      </c>
      <c r="FL339" s="205" t="str">
        <f t="shared" si="619"/>
        <v/>
      </c>
      <c r="FM339" s="205">
        <f>IF($J339="",#N/A,SUM(FL$4:FL339))</f>
        <v>0</v>
      </c>
      <c r="FN339" s="205">
        <f>IF($J339="",#N/A,SUM(FL$4:FL339,FJ$4:FJ339,FH$4:FH339))</f>
        <v>0</v>
      </c>
      <c r="FO339" s="200" t="str">
        <f t="shared" si="620"/>
        <v/>
      </c>
      <c r="FP339" s="203">
        <f>IF($J339="",#N/A,SUM(FO$4:FO339))</f>
        <v>0</v>
      </c>
      <c r="FQ339" s="204" t="str">
        <f t="shared" si="621"/>
        <v/>
      </c>
      <c r="FR339" s="204">
        <f>IF($J339="",#N/A,SUM(FQ$4:FQ339))</f>
        <v>0</v>
      </c>
      <c r="FS339" s="205" t="str">
        <f t="shared" si="622"/>
        <v/>
      </c>
      <c r="FT339" s="205">
        <f>IF($J339="",#N/A,SUM(FS$4:FS339))</f>
        <v>0</v>
      </c>
      <c r="FU339" s="205">
        <f>IF($J339="",#N/A,SUM(FS$4:FS339,FQ$4:FQ339,FO$4:FO339))</f>
        <v>0</v>
      </c>
      <c r="FV339" s="200" t="str">
        <f t="shared" si="623"/>
        <v/>
      </c>
      <c r="FW339" s="203">
        <f>IF($J339="",#N/A,SUM(FV$4:FV339))</f>
        <v>6.6834991831277585E-2</v>
      </c>
      <c r="FX339" s="204" t="str">
        <f t="shared" si="624"/>
        <v/>
      </c>
      <c r="FY339" s="204">
        <f>IF($J339="",#N/A,SUM(FX$4:FX339))</f>
        <v>-0.16102012791805576</v>
      </c>
      <c r="FZ339" s="205" t="str">
        <f t="shared" si="625"/>
        <v/>
      </c>
      <c r="GA339" s="205">
        <f>IF($J339="",#N/A,SUM(FZ$4:FZ339))</f>
        <v>-0.69624339162892301</v>
      </c>
      <c r="GB339" s="205">
        <f>IF($J339="",#N/A,SUM(FZ$4:FZ339,FX$4:FX339,FV$4:FV339))</f>
        <v>-0.79042852771570116</v>
      </c>
      <c r="GC339" s="200" t="str">
        <f t="shared" si="626"/>
        <v/>
      </c>
      <c r="GD339" s="203">
        <f>IF($J339="",#N/A,SUM(GC$4:GC339))</f>
        <v>0</v>
      </c>
      <c r="GE339" s="204" t="str">
        <f t="shared" si="627"/>
        <v/>
      </c>
      <c r="GF339" s="204">
        <f>IF($J339="",#N/A,SUM(GE$4:GE339))</f>
        <v>0</v>
      </c>
      <c r="GG339" s="205" t="str">
        <f t="shared" si="628"/>
        <v/>
      </c>
      <c r="GH339" s="205">
        <f>IF($J339="",#N/A,SUM(GG$4:GG339))</f>
        <v>-2.9368362277223206</v>
      </c>
      <c r="GI339" s="205">
        <f>IF($J339="",#N/A,SUM(GG$4:GG339,GE$4:GE339,GC$4:GC339))</f>
        <v>-2.9368362277223206</v>
      </c>
      <c r="GJ339" s="200" t="str">
        <f t="shared" si="629"/>
        <v/>
      </c>
      <c r="GK339" s="203">
        <f>IF($J339="",#N/A,SUM(GJ$4:GJ339))</f>
        <v>0</v>
      </c>
      <c r="GL339" s="204" t="str">
        <f t="shared" si="630"/>
        <v/>
      </c>
      <c r="GM339" s="204">
        <f>IF($J339="",#N/A,SUM(GL$4:GL339))</f>
        <v>-1.6833790887309608</v>
      </c>
      <c r="GN339" s="205" t="str">
        <f t="shared" si="631"/>
        <v/>
      </c>
      <c r="GO339" s="205">
        <f>IF($J339="",#N/A,SUM(GN$4:GN339))</f>
        <v>0</v>
      </c>
      <c r="GP339" s="205">
        <f>IF($J339="",#N/A,SUM(GN$4:GN339,GL$4:GL339,GJ$4:GJ339))</f>
        <v>-1.6833790887309608</v>
      </c>
      <c r="GS339" s="54">
        <f t="shared" si="650"/>
        <v>0.66499162479062179</v>
      </c>
      <c r="GT339" s="54">
        <f>IF(GS339="",NA(),SUM($GS$4:GS339))</f>
        <v>14.209323215809395</v>
      </c>
      <c r="GU339" s="54" t="str">
        <f t="shared" si="632"/>
        <v/>
      </c>
      <c r="GV339" s="54" t="e">
        <f>IF(GU339="",NA(),SUM($GU$4:GU339))</f>
        <v>#N/A</v>
      </c>
      <c r="GW339" s="54">
        <f t="shared" si="633"/>
        <v>0.66499162479062179</v>
      </c>
      <c r="GX339" s="54">
        <f>IF(GW339="",NA(),SUM($GW$4:GW339))</f>
        <v>13.147273437336699</v>
      </c>
      <c r="GY339" s="54" t="str">
        <f t="shared" si="634"/>
        <v/>
      </c>
      <c r="GZ339" s="54" t="e">
        <f>IF(GY339="",NA(),SUM($GY$4:GY339))</f>
        <v>#N/A</v>
      </c>
      <c r="HA339" s="54" t="str">
        <f t="shared" si="635"/>
        <v/>
      </c>
      <c r="HB339" s="54" t="e">
        <f>IF(HA339="",NA(),SUM($HA$4:HA339))</f>
        <v>#N/A</v>
      </c>
      <c r="HC339" s="54" t="str">
        <f t="shared" si="636"/>
        <v/>
      </c>
      <c r="HD339" s="54" t="e">
        <f>IF(HC339="",NA(),SUM($HC$4:HC339))</f>
        <v>#N/A</v>
      </c>
      <c r="HE339" s="54" t="str">
        <f t="shared" si="637"/>
        <v/>
      </c>
      <c r="HF339" s="54" t="e">
        <f>IF(HE339="",NA(),SUM($HE$4:HE339))</f>
        <v>#N/A</v>
      </c>
      <c r="HG339" s="54" t="str">
        <f t="shared" si="638"/>
        <v/>
      </c>
      <c r="HH339" s="54" t="e">
        <f>IF(HG339="",NA(),SUM($HG$4:HG339))</f>
        <v>#N/A</v>
      </c>
      <c r="HI339" s="172" t="str">
        <f t="shared" si="651"/>
        <v/>
      </c>
      <c r="HJ339" s="172">
        <f>IF($J339="",#N/A,SUM(HI$4:$HI339))</f>
        <v>-7.354889449483677</v>
      </c>
      <c r="HK339" s="54" t="str">
        <f t="shared" si="639"/>
        <v/>
      </c>
      <c r="HL339" s="54">
        <f>IF($J339="",#N/A,SUM($HK$4:HK339))</f>
        <v>1.9034651933981581</v>
      </c>
      <c r="HM339" s="54" t="str">
        <f t="shared" si="640"/>
        <v/>
      </c>
      <c r="HN339" s="54">
        <f>IF($J339="",#N/A,SUM($HM$4:HM339))</f>
        <v>1.1220312548245914</v>
      </c>
      <c r="HO339" s="54" t="str">
        <f t="shared" si="641"/>
        <v/>
      </c>
      <c r="HP339" s="54">
        <f>IF($J339="",#N/A,SUM($HO$4:HO339))</f>
        <v>-0.69476253225193951</v>
      </c>
      <c r="HQ339" s="54">
        <f t="shared" si="642"/>
        <v>-3.4505862646567742E-2</v>
      </c>
      <c r="HR339" s="54">
        <f>IF($J339="",#N/A,SUM($HQ$4:HQ339))</f>
        <v>-10.915291110718158</v>
      </c>
      <c r="HS339" s="54" t="str">
        <f t="shared" si="643"/>
        <v/>
      </c>
      <c r="HT339" s="54">
        <f>IF($J339="",#N/A,SUM($HS$4:HS339))</f>
        <v>14.861978437833368</v>
      </c>
      <c r="HU339" s="65">
        <f t="shared" si="644"/>
        <v>0.63048576214405405</v>
      </c>
      <c r="HV339" s="65">
        <f>IF($J339="",#N/A,SUM(HU$4:$HU339))</f>
        <v>16.358587135630319</v>
      </c>
    </row>
    <row r="340" spans="1:230" x14ac:dyDescent="0.25">
      <c r="A340" s="427" t="s">
        <v>1085</v>
      </c>
      <c r="B340" s="428" t="s">
        <v>4715</v>
      </c>
      <c r="C340" s="429">
        <f t="shared" si="545"/>
        <v>3</v>
      </c>
      <c r="D340" s="430" t="str">
        <f>_xlfn.XLOOKUP(A340,[1]SP500!$A$2:$A$502,[1]SP500!$D$2:$D$502,"N")</f>
        <v>Y</v>
      </c>
      <c r="E340" s="427" t="str">
        <f>IFERROR(_xlfn.XLOOKUP(A340,[1]SP500!$A$2:$A$655,[1]SP500!$B$2:$B$655),"")</f>
        <v>XLP</v>
      </c>
      <c r="F340" s="431">
        <v>45792</v>
      </c>
      <c r="G340" s="427" t="str">
        <f t="shared" si="546"/>
        <v>BMO</v>
      </c>
      <c r="H340" s="427" t="str">
        <f t="shared" si="547"/>
        <v>s</v>
      </c>
      <c r="I340" s="478">
        <v>96.83</v>
      </c>
      <c r="J340" s="432">
        <v>94.3</v>
      </c>
      <c r="K340" s="433">
        <f t="shared" si="548"/>
        <v>-2.6128266033254167E-2</v>
      </c>
      <c r="L340" s="434">
        <f t="shared" si="549"/>
        <v>-32.8900000000001</v>
      </c>
      <c r="M340" s="435">
        <f t="shared" si="550"/>
        <v>-6.5</v>
      </c>
      <c r="N340" s="437">
        <f t="shared" si="551"/>
        <v>-32.8900000000001</v>
      </c>
      <c r="O340" s="435">
        <f>IF(N340="",#N/A,SUM($N$4:N340))</f>
        <v>934.93437556162462</v>
      </c>
      <c r="P340" s="436">
        <f t="shared" si="645"/>
        <v>-0.43547110055423727</v>
      </c>
      <c r="Q340" s="440">
        <f>IF($N340="",#N/A,SUM($P$4:P340))</f>
        <v>17.516531708640727</v>
      </c>
      <c r="R340" s="441">
        <f t="shared" si="552"/>
        <v>7.4925566343455134</v>
      </c>
      <c r="S340" s="427" t="str">
        <f t="shared" si="553"/>
        <v>SW</v>
      </c>
      <c r="T340" s="427" t="s">
        <v>2828</v>
      </c>
      <c r="U340" s="442">
        <f t="shared" si="554"/>
        <v>96.83</v>
      </c>
      <c r="V340" s="442" t="s">
        <v>4460</v>
      </c>
      <c r="W340" s="444">
        <v>13</v>
      </c>
      <c r="X340" s="443">
        <f t="shared" si="555"/>
        <v>1258.79</v>
      </c>
      <c r="Y340" s="444">
        <f t="shared" si="556"/>
        <v>13</v>
      </c>
      <c r="Z340" s="491">
        <v>93.8</v>
      </c>
      <c r="AA340" s="437">
        <f t="shared" si="557"/>
        <v>-39.3900000000001</v>
      </c>
      <c r="AB340" s="437">
        <f t="shared" si="558"/>
        <v>-6.2400000000000091</v>
      </c>
      <c r="AC340" s="432">
        <v>96.35</v>
      </c>
      <c r="AD340" s="438">
        <f t="shared" si="559"/>
        <v>-6.2400000000000091</v>
      </c>
      <c r="AE340" s="547">
        <f t="shared" si="560"/>
        <v>-8.2619023030052793E-2</v>
      </c>
      <c r="AF340" s="435">
        <f>IF($AC340="",#N/A,SUM(AD$4:AD340))</f>
        <v>1052.3823971474492</v>
      </c>
      <c r="AG340" s="437">
        <f t="shared" si="561"/>
        <v>26.650000000000091</v>
      </c>
      <c r="AH340" s="442" t="s">
        <v>2507</v>
      </c>
      <c r="AI340" s="436">
        <f t="shared" si="562"/>
        <v>-0.52153258287720883</v>
      </c>
      <c r="AJ340" s="446">
        <f>IF(AI340="",#N/A,SUM($AI$4:AI340))</f>
        <v>10.023975074295214</v>
      </c>
      <c r="AK340" s="435">
        <f t="shared" si="563"/>
        <v>-39.3900000000001</v>
      </c>
      <c r="AL340" s="447">
        <f>IF(AI340="",#N/A,IF(AH340="Skip",SUM($AK$4:AK340),SUM($AK$4:AK340)))</f>
        <v>421.46236927848236</v>
      </c>
      <c r="AM340" s="65">
        <f t="shared" si="646"/>
        <v>-8.2619023030052793E-2</v>
      </c>
      <c r="AN340" s="209"/>
      <c r="AO340" s="436">
        <f t="shared" si="564"/>
        <v>-8.2619023030052793E-2</v>
      </c>
      <c r="AP340" s="436">
        <f>IF($AC340="",#N/A,SUM(AO$4:AO340))</f>
        <v>15.406116936083828</v>
      </c>
      <c r="AQ340" s="436" t="str">
        <f t="shared" si="565"/>
        <v/>
      </c>
      <c r="AR340" s="436">
        <f>IF($AC340="",#N/A,SUM(AQ$4:AQ340))</f>
        <v>-2.9487678735812919</v>
      </c>
      <c r="AS340" s="436" t="str">
        <f t="shared" si="566"/>
        <v/>
      </c>
      <c r="AT340" s="436">
        <f>IF($AC340="",#N/A,SUM(AS$4:AS340))</f>
        <v>3.8186190500977242</v>
      </c>
      <c r="AU340" s="435">
        <f t="shared" si="647"/>
        <v>-6.2400000000000091</v>
      </c>
      <c r="AV340" s="435">
        <f>IF($AC340="",#N/A,SUM(AU$4:AU340))</f>
        <v>956.35627194988024</v>
      </c>
      <c r="AW340" s="435" t="str">
        <f t="shared" si="648"/>
        <v/>
      </c>
      <c r="AX340" s="435">
        <f>IF($AC340="",#N/A,SUM(AW$4:AW340))</f>
        <v>-178.13106797961063</v>
      </c>
      <c r="AY340" s="435" t="str">
        <f t="shared" si="649"/>
        <v/>
      </c>
      <c r="AZ340" s="435">
        <f>IF($AC340="",#N/A,SUM(AY$4:AY340))</f>
        <v>274.15719317717947</v>
      </c>
      <c r="BA340" s="435">
        <f>IF(AD340="",#N/A,SUM($AD$4:AD340))</f>
        <v>1052.3823971474492</v>
      </c>
      <c r="BC340" s="427" t="str">
        <f t="shared" si="567"/>
        <v/>
      </c>
      <c r="BD340" s="427" t="str">
        <f t="shared" si="568"/>
        <v/>
      </c>
      <c r="BE340" s="427" t="str">
        <f t="shared" si="569"/>
        <v/>
      </c>
      <c r="BF340" s="427" t="str">
        <f t="shared" si="570"/>
        <v>Long</v>
      </c>
      <c r="BG340" s="427" t="str">
        <f t="shared" si="571"/>
        <v/>
      </c>
      <c r="BH340" s="427" t="str">
        <f t="shared" si="572"/>
        <v/>
      </c>
      <c r="BI340" s="427">
        <f t="shared" si="573"/>
        <v>1</v>
      </c>
      <c r="BK340" s="65">
        <f t="shared" si="544"/>
        <v>0.10427854820972787</v>
      </c>
      <c r="BL340" s="65">
        <f t="shared" si="543"/>
        <v>6.643586374152427E-2</v>
      </c>
      <c r="BM340" s="65">
        <f>IFERROR(Q340/COUNTA($J$4:J340),#N/A)</f>
        <v>5.19778388980437E-2</v>
      </c>
      <c r="BO340" s="489">
        <f>IF(J340="",#N/A,IF(S340="SW",(COUNTIFS(K$4:$K340,"&gt;0",S$4:$S340,"SW")/COUNTIF(S$4:$S340,"SW")),#N/A))</f>
        <v>0.51875000000000004</v>
      </c>
      <c r="BP340" s="489" t="e">
        <f>IF($J340="",#N/A,IF($S340="DWN",(COUNTIFS($K$4:$K340,"&lt;0",$S$4:$S340,"DWN")/COUNTIF($S$4:$S340,"DWN")),#N/A))</f>
        <v>#N/A</v>
      </c>
      <c r="BQ340" s="489" t="e">
        <f>IF($J340="",#N/A,IF($S340="UP",(COUNTIFS($K$4:$K340,"&gt;0",$S$4:$S340,"UP")/COUNTIF($S$4:$S340,"UP")),#N/A))</f>
        <v>#N/A</v>
      </c>
      <c r="BR340" s="489">
        <f>IF(J340="",#N/A,COUNTIF($K$4:K340,"&gt;0")/COUNT($J$4:J340))</f>
        <v>0.48071216617210683</v>
      </c>
      <c r="BS340" s="65" t="str">
        <f t="shared" si="574"/>
        <v/>
      </c>
      <c r="BT340" s="65">
        <f t="shared" si="575"/>
        <v>-0.43547110055423727</v>
      </c>
      <c r="BU340" s="65" t="str">
        <f t="shared" si="576"/>
        <v/>
      </c>
      <c r="BV340" s="65" t="str">
        <f t="shared" si="577"/>
        <v/>
      </c>
      <c r="BW340" s="128" t="str">
        <f t="shared" si="578"/>
        <v/>
      </c>
      <c r="BX340" s="128">
        <f>IF($J340="",#N/A,SUM($BW$4:BW340))</f>
        <v>-207.22817034792843</v>
      </c>
      <c r="BY340" s="131" t="str">
        <f t="shared" si="579"/>
        <v/>
      </c>
      <c r="BZ340" s="131">
        <f>IF($J340="",#N/A,SUM($BY$4:BY340))</f>
        <v>493.64161346139429</v>
      </c>
      <c r="CA340" s="133">
        <f t="shared" si="580"/>
        <v>-32.8900000000001</v>
      </c>
      <c r="CB340" s="133">
        <f>IF($J340="",#N/A,SUM($CA$4:CA340))</f>
        <v>648.52093244815865</v>
      </c>
      <c r="CC340" s="194" t="str">
        <f t="shared" si="581"/>
        <v/>
      </c>
      <c r="CD340" s="194">
        <f>IF($J340="",#N/A,SUM($CC$4:CC340))</f>
        <v>-3.37603659615394</v>
      </c>
      <c r="CE340" s="195" t="str">
        <f t="shared" si="582"/>
        <v/>
      </c>
      <c r="CF340" s="195">
        <f>IF($J340="",#N/A,SUM($CE$4:CE340))</f>
        <v>9.2700433061832523</v>
      </c>
      <c r="CG340" s="196">
        <f t="shared" si="583"/>
        <v>-0.43547110055423727</v>
      </c>
      <c r="CH340" s="196">
        <f>IF($J340="",#N/A,SUM($CG$4:CG340))</f>
        <v>11.622524998611423</v>
      </c>
      <c r="CI340" s="200" t="str">
        <f t="shared" si="584"/>
        <v/>
      </c>
      <c r="CJ340" s="203">
        <f>IF($J340="",#N/A,SUM(CI$4:CI340))</f>
        <v>0</v>
      </c>
      <c r="CK340" s="204" t="str">
        <f t="shared" si="585"/>
        <v/>
      </c>
      <c r="CL340" s="204">
        <f>IF($J340="",#N/A,SUM(CK$4:CK340))</f>
        <v>1.2912501745213723</v>
      </c>
      <c r="CM340" s="205" t="str">
        <f t="shared" si="586"/>
        <v/>
      </c>
      <c r="CN340" s="205">
        <f>IF($J340="",#N/A,SUM(CM$4:CM340))</f>
        <v>1.357235719871134</v>
      </c>
      <c r="CO340" s="205">
        <f>IF($J340="",#N/A,SUM(CM$4:CM340,CK$4:CK340,CI$4:CI340))</f>
        <v>2.6484858943925063</v>
      </c>
      <c r="CP340" s="200" t="str">
        <f t="shared" si="587"/>
        <v/>
      </c>
      <c r="CQ340" s="203">
        <f>IF($J340="",#N/A,SUM(CP$4:CP340))</f>
        <v>-2.5399197875602422</v>
      </c>
      <c r="CR340" s="204" t="str">
        <f t="shared" si="588"/>
        <v/>
      </c>
      <c r="CS340" s="204">
        <f>IF($J340="",#N/A,SUM(CR$4:CR340))</f>
        <v>2.3600225017004668</v>
      </c>
      <c r="CT340" s="205" t="str">
        <f t="shared" si="589"/>
        <v/>
      </c>
      <c r="CU340" s="205">
        <f>IF($J340="",#N/A,SUM(CT$4:CT340))</f>
        <v>-1.2300043871274924E-2</v>
      </c>
      <c r="CV340" s="205">
        <f>IF($J340="",#N/A,SUM(CT$4:CT340,CR$4:CR340,CP$4:CP340))</f>
        <v>-0.19219732973104975</v>
      </c>
      <c r="CW340" s="200" t="str">
        <f t="shared" si="590"/>
        <v/>
      </c>
      <c r="CX340" s="203">
        <f>IF($J340="",#N/A,SUM(CW$4:CW340))</f>
        <v>-0.29399505935581682</v>
      </c>
      <c r="CY340" s="204" t="str">
        <f t="shared" si="591"/>
        <v/>
      </c>
      <c r="CZ340" s="204">
        <f>IF($J340="",#N/A,SUM(CY$4:CY340))</f>
        <v>-0.20119965665334139</v>
      </c>
      <c r="DA340" s="205" t="str">
        <f t="shared" si="592"/>
        <v/>
      </c>
      <c r="DB340" s="205">
        <f>IF($J340="",#N/A,SUM(DA$4:DA340))</f>
        <v>-2.7756316087437582</v>
      </c>
      <c r="DC340" s="205">
        <f>IF($J340="",#N/A,SUM(DA$4:DA340,CY$4:CY340,CW$4:CW340))</f>
        <v>-3.2708263247529161</v>
      </c>
      <c r="DD340" s="200" t="str">
        <f t="shared" si="593"/>
        <v/>
      </c>
      <c r="DE340" s="203">
        <f>IF($J340="",#N/A,SUM(DD$4:DD340))</f>
        <v>1.2501454750716789</v>
      </c>
      <c r="DF340" s="204" t="str">
        <f t="shared" si="594"/>
        <v/>
      </c>
      <c r="DG340" s="204">
        <f>IF($J340="",#N/A,SUM(DF$4:DF340))</f>
        <v>2.626961496209514</v>
      </c>
      <c r="DH340" s="205">
        <f t="shared" si="595"/>
        <v>-0.43547110055423727</v>
      </c>
      <c r="DI340" s="205">
        <f>IF($J340="",#N/A,SUM(DH$4:DH340))</f>
        <v>-3.216671910770577</v>
      </c>
      <c r="DJ340" s="205">
        <f>IF($J340="",#N/A,SUM(DH$4:DH340,DF$4:DF340,DD$4:DD340))</f>
        <v>0.66043506051061596</v>
      </c>
      <c r="DK340" s="200" t="str">
        <f t="shared" si="596"/>
        <v/>
      </c>
      <c r="DL340" s="203">
        <f>IF($J340="",#N/A,SUM(DK$4:DK340))</f>
        <v>-0.84049791589649614</v>
      </c>
      <c r="DM340" s="204" t="str">
        <f t="shared" si="597"/>
        <v/>
      </c>
      <c r="DN340" s="204">
        <f>IF($J340="",#N/A,SUM(DM$4:DM340))</f>
        <v>1.8657648196498773</v>
      </c>
      <c r="DO340" s="205" t="str">
        <f t="shared" si="598"/>
        <v/>
      </c>
      <c r="DP340" s="205">
        <f>IF($J340="",#N/A,SUM(DO$4:DO340))</f>
        <v>3.4887162328793941</v>
      </c>
      <c r="DQ340" s="205">
        <f>IF($J340="",#N/A,SUM(DO$4:DO340,DM$4:DM340,DK$4:DK340))</f>
        <v>4.5139831366327758</v>
      </c>
      <c r="DR340" s="200" t="str">
        <f t="shared" si="599"/>
        <v/>
      </c>
      <c r="DS340" s="203">
        <f>IF($J340="",#N/A,SUM(DR$4:DR340))</f>
        <v>-0.55950946427675097</v>
      </c>
      <c r="DT340" s="204" t="str">
        <f t="shared" si="600"/>
        <v/>
      </c>
      <c r="DU340" s="204">
        <f>IF($J340="",#N/A,SUM(DT$4:DT340))</f>
        <v>-0.20750635820596686</v>
      </c>
      <c r="DV340" s="205" t="str">
        <f t="shared" si="601"/>
        <v/>
      </c>
      <c r="DW340" s="205">
        <f>IF($J340="",#N/A,SUM(DV$4:DV340))</f>
        <v>-2.3377035686214001</v>
      </c>
      <c r="DX340" s="205">
        <f>IF($J340="",#N/A,SUM(DV$4:DV340,DT$4:DT340,DR$4:DR340))</f>
        <v>-3.1047193911041169</v>
      </c>
      <c r="DY340" s="200" t="str">
        <f t="shared" si="602"/>
        <v/>
      </c>
      <c r="DZ340" s="203">
        <f>IF($J340="",#N/A,SUM(DY$4:DY340))</f>
        <v>-1.4146842415208627</v>
      </c>
      <c r="EA340" s="204" t="str">
        <f t="shared" si="603"/>
        <v/>
      </c>
      <c r="EB340" s="204">
        <f>IF($J340="",#N/A,SUM(EA$4:EA340))</f>
        <v>2.276197208799712</v>
      </c>
      <c r="EC340" s="205" t="str">
        <f t="shared" si="604"/>
        <v/>
      </c>
      <c r="ED340" s="205">
        <f>IF($J340="",#N/A,SUM(EC$4:EC340))</f>
        <v>9.2956923798665674</v>
      </c>
      <c r="EE340" s="205">
        <f>IF($J340="",#N/A,SUM(EC$4:EC340,EA$4:EA340,DY$4:DY340))</f>
        <v>10.157205347145418</v>
      </c>
      <c r="EF340" s="200" t="str">
        <f t="shared" si="605"/>
        <v/>
      </c>
      <c r="EG340" s="203">
        <f>IF($J340="",#N/A,SUM(EF$4:EF340))</f>
        <v>0.65848341369884777</v>
      </c>
      <c r="EH340" s="204" t="str">
        <f t="shared" si="606"/>
        <v/>
      </c>
      <c r="EI340" s="204">
        <f>IF($J340="",#N/A,SUM(EH$4:EH340))</f>
        <v>-3.5125331561187787</v>
      </c>
      <c r="EJ340" s="205" t="str">
        <f t="shared" si="607"/>
        <v/>
      </c>
      <c r="EK340" s="205">
        <f>IF($J340="",#N/A,SUM(EJ$4:EJ340))</f>
        <v>8.4415851520554703</v>
      </c>
      <c r="EL340" s="205">
        <f>IF($J340="",#N/A,SUM(EJ$4:EJ340,EH$4:EH340,EF$4:EF340))</f>
        <v>5.5875354096355405</v>
      </c>
      <c r="EM340" s="200" t="str">
        <f t="shared" si="608"/>
        <v/>
      </c>
      <c r="EN340" s="203">
        <f>IF($J340="",#N/A,SUM(EM$4:EM340))</f>
        <v>0</v>
      </c>
      <c r="EO340" s="204" t="str">
        <f t="shared" si="609"/>
        <v/>
      </c>
      <c r="EP340" s="204">
        <f>IF($J340="",#N/A,SUM(EO$4:EO340))</f>
        <v>2.4788862078089964</v>
      </c>
      <c r="EQ340" s="205" t="str">
        <f t="shared" si="610"/>
        <v/>
      </c>
      <c r="ER340" s="205">
        <f>IF($J340="",#N/A,SUM(EQ$4:EQ340))</f>
        <v>2.6983279209445628</v>
      </c>
      <c r="ES340" s="205">
        <f>IF($J340="",#N/A,SUM(EQ$4:EQ340,EO$4:EO340,EM$4:EM340))</f>
        <v>5.1772141287535591</v>
      </c>
      <c r="ET340" s="200" t="str">
        <f t="shared" si="611"/>
        <v/>
      </c>
      <c r="EU340" s="203">
        <f>IF($J340="",#N/A,SUM(ET$4:ET340))</f>
        <v>0</v>
      </c>
      <c r="EV340" s="204" t="str">
        <f t="shared" si="612"/>
        <v/>
      </c>
      <c r="EW340" s="204">
        <f>IF($J340="",#N/A,SUM(EV$4:EV340))</f>
        <v>7.9116394275462909E-2</v>
      </c>
      <c r="EX340" s="205" t="str">
        <f t="shared" si="613"/>
        <v/>
      </c>
      <c r="EY340" s="205">
        <f>IF($J340="",#N/A,SUM(EX$4:EX340))</f>
        <v>0.27113250180669229</v>
      </c>
      <c r="EZ340" s="205">
        <f>IF($J340="",#N/A,SUM(EX$4:EX340,EV$4:EV340,ET$4:ET340))</f>
        <v>0.35024889608215481</v>
      </c>
      <c r="FA340" s="200" t="str">
        <f t="shared" si="614"/>
        <v/>
      </c>
      <c r="FB340" s="203">
        <f>IF($J340="",#N/A,SUM(FA$4:FA340))</f>
        <v>-0.27145310509113252</v>
      </c>
      <c r="FC340" s="204" t="str">
        <f t="shared" si="615"/>
        <v/>
      </c>
      <c r="FD340" s="204">
        <f>IF($J340="",#N/A,SUM(FC$4:FC340))</f>
        <v>0.89084290967454072</v>
      </c>
      <c r="FE340" s="205" t="str">
        <f t="shared" si="616"/>
        <v/>
      </c>
      <c r="FF340" s="205">
        <f>IF($J340="",#N/A,SUM(FE$4:FE340))</f>
        <v>-0.28811149078748233</v>
      </c>
      <c r="FG340" s="205">
        <f>IF($J340="",#N/A,SUM(FE$4:FE340,FC$4:FC340,FA$4:FA340))</f>
        <v>0.3312783137959262</v>
      </c>
      <c r="FH340" s="200" t="str">
        <f t="shared" si="617"/>
        <v/>
      </c>
      <c r="FI340" s="203">
        <f>IF($J340="",#N/A,SUM(FH$4:FH340))</f>
        <v>0</v>
      </c>
      <c r="FJ340" s="204" t="str">
        <f t="shared" si="618"/>
        <v/>
      </c>
      <c r="FK340" s="204">
        <f>IF($J340="",#N/A,SUM(FJ$4:FJ340))</f>
        <v>0</v>
      </c>
      <c r="FL340" s="205" t="str">
        <f t="shared" si="619"/>
        <v/>
      </c>
      <c r="FM340" s="205">
        <f>IF($J340="",#N/A,SUM(FL$4:FL340))</f>
        <v>0</v>
      </c>
      <c r="FN340" s="205">
        <f>IF($J340="",#N/A,SUM(FL$4:FL340,FJ$4:FJ340,FH$4:FH340))</f>
        <v>0</v>
      </c>
      <c r="FO340" s="200" t="str">
        <f t="shared" si="620"/>
        <v/>
      </c>
      <c r="FP340" s="203">
        <f>IF($J340="",#N/A,SUM(FO$4:FO340))</f>
        <v>0</v>
      </c>
      <c r="FQ340" s="204" t="str">
        <f t="shared" si="621"/>
        <v/>
      </c>
      <c r="FR340" s="204">
        <f>IF($J340="",#N/A,SUM(FQ$4:FQ340))</f>
        <v>0</v>
      </c>
      <c r="FS340" s="205" t="str">
        <f t="shared" si="622"/>
        <v/>
      </c>
      <c r="FT340" s="205">
        <f>IF($J340="",#N/A,SUM(FS$4:FS340))</f>
        <v>0</v>
      </c>
      <c r="FU340" s="205">
        <f>IF($J340="",#N/A,SUM(FS$4:FS340,FQ$4:FQ340,FO$4:FO340))</f>
        <v>0</v>
      </c>
      <c r="FV340" s="200" t="str">
        <f t="shared" si="623"/>
        <v/>
      </c>
      <c r="FW340" s="203">
        <f>IF($J340="",#N/A,SUM(FV$4:FV340))</f>
        <v>6.6834991831277585E-2</v>
      </c>
      <c r="FX340" s="204" t="str">
        <f t="shared" si="624"/>
        <v/>
      </c>
      <c r="FY340" s="204">
        <f>IF($J340="",#N/A,SUM(FX$4:FX340))</f>
        <v>-0.16102012791805576</v>
      </c>
      <c r="FZ340" s="205" t="str">
        <f t="shared" si="625"/>
        <v/>
      </c>
      <c r="GA340" s="205">
        <f>IF($J340="",#N/A,SUM(FZ$4:FZ340))</f>
        <v>-0.69624339162892301</v>
      </c>
      <c r="GB340" s="205">
        <f>IF($J340="",#N/A,SUM(FZ$4:FZ340,FX$4:FX340,FV$4:FV340))</f>
        <v>-0.79042852771570116</v>
      </c>
      <c r="GC340" s="200" t="str">
        <f t="shared" si="626"/>
        <v/>
      </c>
      <c r="GD340" s="203">
        <f>IF($J340="",#N/A,SUM(GC$4:GC340))</f>
        <v>0</v>
      </c>
      <c r="GE340" s="204" t="str">
        <f t="shared" si="627"/>
        <v/>
      </c>
      <c r="GF340" s="204">
        <f>IF($J340="",#N/A,SUM(GE$4:GE340))</f>
        <v>0</v>
      </c>
      <c r="GG340" s="205" t="str">
        <f t="shared" si="628"/>
        <v/>
      </c>
      <c r="GH340" s="205">
        <f>IF($J340="",#N/A,SUM(GG$4:GG340))</f>
        <v>-2.9368362277223206</v>
      </c>
      <c r="GI340" s="205">
        <f>IF($J340="",#N/A,SUM(GG$4:GG340,GE$4:GE340,GC$4:GC340))</f>
        <v>-2.9368362277223206</v>
      </c>
      <c r="GJ340" s="200" t="str">
        <f t="shared" si="629"/>
        <v/>
      </c>
      <c r="GK340" s="203">
        <f>IF($J340="",#N/A,SUM(GJ$4:GJ340))</f>
        <v>0</v>
      </c>
      <c r="GL340" s="204" t="str">
        <f t="shared" si="630"/>
        <v/>
      </c>
      <c r="GM340" s="204">
        <f>IF($J340="",#N/A,SUM(GL$4:GL340))</f>
        <v>-1.6833790887309608</v>
      </c>
      <c r="GN340" s="205" t="str">
        <f t="shared" si="631"/>
        <v/>
      </c>
      <c r="GO340" s="205">
        <f>IF($J340="",#N/A,SUM(GN$4:GN340))</f>
        <v>0</v>
      </c>
      <c r="GP340" s="205">
        <f>IF($J340="",#N/A,SUM(GN$4:GN340,GL$4:GL340,GJ$4:GJ340))</f>
        <v>-1.6833790887309608</v>
      </c>
      <c r="GS340" s="439">
        <f t="shared" si="650"/>
        <v>-0.43547110055423727</v>
      </c>
      <c r="GT340" s="439">
        <f>IF(GS340="",NA(),SUM($GS$4:GS340))</f>
        <v>13.773852115255158</v>
      </c>
      <c r="GU340" s="439" t="str">
        <f t="shared" si="632"/>
        <v/>
      </c>
      <c r="GV340" s="439" t="e">
        <f>IF(GU340="",NA(),SUM($GU$4:GU340))</f>
        <v>#N/A</v>
      </c>
      <c r="GW340" s="439">
        <f t="shared" si="633"/>
        <v>-0.43547110055423727</v>
      </c>
      <c r="GX340" s="439">
        <f>IF(GW340="",NA(),SUM($GW$4:GW340))</f>
        <v>12.711802336782462</v>
      </c>
      <c r="GY340" s="439" t="str">
        <f t="shared" si="634"/>
        <v/>
      </c>
      <c r="GZ340" s="439" t="e">
        <f>IF(GY340="",NA(),SUM($GY$4:GY340))</f>
        <v>#N/A</v>
      </c>
      <c r="HA340" s="439" t="str">
        <f t="shared" si="635"/>
        <v/>
      </c>
      <c r="HB340" s="439" t="e">
        <f>IF(HA340="",NA(),SUM($HA$4:HA340))</f>
        <v>#N/A</v>
      </c>
      <c r="HC340" s="439" t="str">
        <f t="shared" si="636"/>
        <v/>
      </c>
      <c r="HD340" s="439" t="e">
        <f>IF(HC340="",NA(),SUM($HC$4:HC340))</f>
        <v>#N/A</v>
      </c>
      <c r="HE340" s="439" t="str">
        <f t="shared" si="637"/>
        <v/>
      </c>
      <c r="HF340" s="439" t="e">
        <f>IF(HE340="",NA(),SUM($HE$4:HE340))</f>
        <v>#N/A</v>
      </c>
      <c r="HG340" s="439" t="str">
        <f t="shared" si="638"/>
        <v/>
      </c>
      <c r="HH340" s="439" t="e">
        <f>IF(HG340="",NA(),SUM($HG$4:HG340))</f>
        <v>#N/A</v>
      </c>
      <c r="HI340" s="440" t="str">
        <f t="shared" si="651"/>
        <v/>
      </c>
      <c r="HJ340" s="440">
        <f>IF($J340="",#N/A,SUM(HI$4:$HI340))</f>
        <v>-7.354889449483677</v>
      </c>
      <c r="HK340" s="439" t="str">
        <f t="shared" si="639"/>
        <v/>
      </c>
      <c r="HL340" s="439">
        <f>IF($J340="",#N/A,SUM($HK$4:HK340))</f>
        <v>1.9034651933981581</v>
      </c>
      <c r="HM340" s="439" t="str">
        <f t="shared" si="640"/>
        <v/>
      </c>
      <c r="HN340" s="439">
        <f>IF($J340="",#N/A,SUM($HM$4:HM340))</f>
        <v>1.1220312548245914</v>
      </c>
      <c r="HO340" s="439" t="str">
        <f t="shared" si="641"/>
        <v/>
      </c>
      <c r="HP340" s="439">
        <f>IF($J340="",#N/A,SUM($HO$4:HO340))</f>
        <v>-0.69476253225193951</v>
      </c>
      <c r="HQ340" s="439" t="str">
        <f t="shared" si="642"/>
        <v/>
      </c>
      <c r="HR340" s="439">
        <f>IF($J340="",#N/A,SUM($HQ$4:HQ340))</f>
        <v>-10.915291110718158</v>
      </c>
      <c r="HS340" s="439">
        <f t="shared" si="643"/>
        <v>0.35285207752418446</v>
      </c>
      <c r="HT340" s="439">
        <f>IF($J340="",#N/A,SUM($HS$4:HS340))</f>
        <v>15.214830515357553</v>
      </c>
      <c r="HU340" s="436">
        <f t="shared" si="644"/>
        <v>-8.2619023030052793E-2</v>
      </c>
      <c r="HV340" s="436">
        <f>IF($J340="",#N/A,SUM(HU$4:$HU340))</f>
        <v>16.275968112600268</v>
      </c>
    </row>
    <row r="341" spans="1:230" ht="15.75" thickBot="1" x14ac:dyDescent="0.3">
      <c r="A341" s="292" t="s">
        <v>838</v>
      </c>
      <c r="B341" s="293" t="s">
        <v>4715</v>
      </c>
      <c r="C341" s="294">
        <f t="shared" si="545"/>
        <v>2</v>
      </c>
      <c r="D341" s="295" t="str">
        <f>_xlfn.XLOOKUP(A341,[1]SP500!$A$2:$A$502,[1]SP500!$D$2:$D$502,"N")</f>
        <v>N</v>
      </c>
      <c r="E341" s="292" t="str">
        <f>IFERROR(_xlfn.XLOOKUP(A341,[1]SP500!$A$2:$A$655,[1]SP500!$B$2:$B$655),"")</f>
        <v>XLI</v>
      </c>
      <c r="F341" s="296">
        <v>45792</v>
      </c>
      <c r="G341" s="292" t="str">
        <f t="shared" si="546"/>
        <v>BMO</v>
      </c>
      <c r="H341" s="292" t="str">
        <f t="shared" si="547"/>
        <v>s</v>
      </c>
      <c r="I341" s="345">
        <v>121.68</v>
      </c>
      <c r="J341" s="297">
        <v>106.77</v>
      </c>
      <c r="K341" s="298">
        <f t="shared" si="548"/>
        <v>-0.12253451676528608</v>
      </c>
      <c r="L341" s="299">
        <f t="shared" si="549"/>
        <v>149.10000000000014</v>
      </c>
      <c r="M341" s="300">
        <f t="shared" si="550"/>
        <v>-9.2000000000000455</v>
      </c>
      <c r="N341" s="341">
        <f t="shared" si="551"/>
        <v>149.10000000000014</v>
      </c>
      <c r="O341" s="300">
        <f>IF(N341="",#N/A,SUM($N$4:N341))</f>
        <v>1084.0343755616248</v>
      </c>
      <c r="P341" s="305">
        <f t="shared" si="645"/>
        <v>2.0422419460881014</v>
      </c>
      <c r="Q341" s="304">
        <f>IF($N341="",#N/A,SUM($P$4:P341))</f>
        <v>19.558773654728828</v>
      </c>
      <c r="R341" s="307">
        <f t="shared" si="552"/>
        <v>7.6185702218975635</v>
      </c>
      <c r="S341" s="292" t="str">
        <f t="shared" si="553"/>
        <v>Dwn</v>
      </c>
      <c r="T341" s="292" t="s">
        <v>4462</v>
      </c>
      <c r="U341" s="308">
        <f t="shared" si="554"/>
        <v>121.68</v>
      </c>
      <c r="V341" s="308" t="s">
        <v>4458</v>
      </c>
      <c r="W341" s="310">
        <v>10</v>
      </c>
      <c r="X341" s="309">
        <f t="shared" si="555"/>
        <v>1216.8000000000002</v>
      </c>
      <c r="Y341" s="310">
        <f t="shared" si="556"/>
        <v>10</v>
      </c>
      <c r="Z341" s="313">
        <v>107.69</v>
      </c>
      <c r="AA341" s="341">
        <f t="shared" si="557"/>
        <v>139.90000000000009</v>
      </c>
      <c r="AB341" s="341">
        <f t="shared" si="558"/>
        <v>41.400000000000091</v>
      </c>
      <c r="AC341" s="297">
        <v>117.54</v>
      </c>
      <c r="AD341" s="301">
        <f t="shared" si="559"/>
        <v>41.400000000000091</v>
      </c>
      <c r="AE341" s="546">
        <f t="shared" si="560"/>
        <v>0.56706114398422203</v>
      </c>
      <c r="AF341" s="300">
        <f>IF($AC341="",#N/A,SUM(AD$4:AD341))</f>
        <v>1093.7823971474493</v>
      </c>
      <c r="AG341" s="341">
        <f t="shared" si="561"/>
        <v>-107.70000000000005</v>
      </c>
      <c r="AH341" s="308" t="s">
        <v>2507</v>
      </c>
      <c r="AI341" s="305">
        <f t="shared" si="562"/>
        <v>1.9162283585360518</v>
      </c>
      <c r="AJ341" s="418">
        <f>IF(AI341="",#N/A,SUM($AI$4:AI341))</f>
        <v>11.940203432831265</v>
      </c>
      <c r="AK341" s="300">
        <f t="shared" si="563"/>
        <v>139.90000000000009</v>
      </c>
      <c r="AL341" s="406">
        <f>IF(AI341="",#N/A,IF(AH341="Skip",SUM($AK$4:AK341),SUM($AK$4:AK341)))</f>
        <v>561.36236927848245</v>
      </c>
      <c r="AM341" s="65">
        <f t="shared" si="646"/>
        <v>0.56706114398422203</v>
      </c>
      <c r="AN341" s="209"/>
      <c r="AO341" s="305" t="str">
        <f t="shared" si="564"/>
        <v/>
      </c>
      <c r="AP341" s="305">
        <f>IF($AC341="",#N/A,SUM(AO$4:AO341))</f>
        <v>15.406116936083828</v>
      </c>
      <c r="AQ341" s="305" t="str">
        <f t="shared" si="565"/>
        <v/>
      </c>
      <c r="AR341" s="305">
        <f>IF($AC341="",#N/A,SUM(AQ$4:AQ341))</f>
        <v>-2.9487678735812919</v>
      </c>
      <c r="AS341" s="305">
        <f t="shared" si="566"/>
        <v>0.56706114398422203</v>
      </c>
      <c r="AT341" s="305">
        <f>IF($AC341="",#N/A,SUM(AS$4:AS341))</f>
        <v>4.3856801940819459</v>
      </c>
      <c r="AU341" s="300" t="str">
        <f t="shared" si="647"/>
        <v/>
      </c>
      <c r="AV341" s="300">
        <f>IF($AC341="",#N/A,SUM(AU$4:AU341))</f>
        <v>956.35627194988024</v>
      </c>
      <c r="AW341" s="300" t="str">
        <f t="shared" si="648"/>
        <v/>
      </c>
      <c r="AX341" s="300">
        <f>IF($AC341="",#N/A,SUM(AW$4:AW341))</f>
        <v>-178.13106797961063</v>
      </c>
      <c r="AY341" s="300">
        <f t="shared" si="649"/>
        <v>41.400000000000091</v>
      </c>
      <c r="AZ341" s="300">
        <f>IF($AC341="",#N/A,SUM(AY$4:AY341))</f>
        <v>315.55719317717956</v>
      </c>
      <c r="BA341" s="300">
        <f>IF(AD341="",#N/A,SUM($AD$4:AD341))</f>
        <v>1093.7823971474493</v>
      </c>
      <c r="BC341" s="292" t="str">
        <f t="shared" si="567"/>
        <v/>
      </c>
      <c r="BD341" s="292" t="str">
        <f t="shared" si="568"/>
        <v/>
      </c>
      <c r="BE341" s="292" t="str">
        <f t="shared" si="569"/>
        <v/>
      </c>
      <c r="BF341" s="292" t="str">
        <f t="shared" si="570"/>
        <v>Short</v>
      </c>
      <c r="BG341" s="292">
        <f t="shared" si="571"/>
        <v>1</v>
      </c>
      <c r="BH341" s="292" t="str">
        <f t="shared" si="572"/>
        <v/>
      </c>
      <c r="BI341" s="292" t="str">
        <f t="shared" si="573"/>
        <v/>
      </c>
      <c r="BK341" s="65">
        <f t="shared" si="544"/>
        <v>0.10962315661051246</v>
      </c>
      <c r="BL341" s="65">
        <f t="shared" si="543"/>
        <v>0.10852687937769048</v>
      </c>
      <c r="BM341" s="65">
        <f>IFERROR(Q341/COUNTA($J$4:J341),#N/A)</f>
        <v>5.7866194244759847E-2</v>
      </c>
      <c r="BO341" s="489" t="e">
        <f>IF(J341="",#N/A,IF(S341="SW",(COUNTIFS(K$4:$K341,"&gt;0",S$4:$S341,"SW")/COUNTIF(S$4:$S341,"SW")),#N/A))</f>
        <v>#N/A</v>
      </c>
      <c r="BP341" s="489">
        <f>IF($J341="",#N/A,IF($S341="DWN",(COUNTIFS($K$4:$K341,"&lt;0",$S$4:$S341,"DWN")/COUNTIF($S$4:$S341,"DWN")),#N/A))</f>
        <v>0.5629139072847682</v>
      </c>
      <c r="BQ341" s="489" t="e">
        <f>IF($J341="",#N/A,IF($S341="UP",(COUNTIFS($K$4:$K341,"&gt;0",$S$4:$S341,"UP")/COUNTIF($S$4:$S341,"UP")),#N/A))</f>
        <v>#N/A</v>
      </c>
      <c r="BR341" s="489">
        <f>IF(J341="",#N/A,COUNTIF($K$4:K341,"&gt;0")/COUNT($J$4:J341))</f>
        <v>0.47928994082840237</v>
      </c>
      <c r="BS341" s="65" t="str">
        <f t="shared" si="574"/>
        <v/>
      </c>
      <c r="BT341" s="65" t="str">
        <f t="shared" si="575"/>
        <v/>
      </c>
      <c r="BU341" s="65">
        <f t="shared" si="576"/>
        <v>2.0422419460881014</v>
      </c>
      <c r="BV341" s="65" t="str">
        <f t="shared" si="577"/>
        <v/>
      </c>
      <c r="BW341" s="128" t="str">
        <f t="shared" si="578"/>
        <v/>
      </c>
      <c r="BX341" s="128">
        <f>IF($J341="",#N/A,SUM($BW$4:BW341))</f>
        <v>-207.22817034792843</v>
      </c>
      <c r="BY341" s="131">
        <f t="shared" si="579"/>
        <v>149.10000000000014</v>
      </c>
      <c r="BZ341" s="131">
        <f>IF($J341="",#N/A,SUM($BY$4:BY341))</f>
        <v>642.74161346139442</v>
      </c>
      <c r="CA341" s="133" t="str">
        <f t="shared" si="580"/>
        <v/>
      </c>
      <c r="CB341" s="133">
        <f>IF($J341="",#N/A,SUM($CA$4:CA341))</f>
        <v>648.52093244815865</v>
      </c>
      <c r="CC341" s="194" t="str">
        <f t="shared" si="581"/>
        <v/>
      </c>
      <c r="CD341" s="194">
        <f>IF($J341="",#N/A,SUM($CC$4:CC341))</f>
        <v>-3.37603659615394</v>
      </c>
      <c r="CE341" s="195">
        <f t="shared" si="582"/>
        <v>2.0422419460881014</v>
      </c>
      <c r="CF341" s="195">
        <f>IF($J341="",#N/A,SUM($CE$4:CE341))</f>
        <v>11.312285252271353</v>
      </c>
      <c r="CG341" s="196" t="str">
        <f t="shared" si="583"/>
        <v/>
      </c>
      <c r="CH341" s="196">
        <f>IF($J341="",#N/A,SUM($CG$4:CG341))</f>
        <v>11.622524998611423</v>
      </c>
      <c r="CI341" s="200" t="str">
        <f t="shared" si="584"/>
        <v/>
      </c>
      <c r="CJ341" s="203">
        <f>IF($J341="",#N/A,SUM(CI$4:CI341))</f>
        <v>0</v>
      </c>
      <c r="CK341" s="204" t="str">
        <f t="shared" si="585"/>
        <v/>
      </c>
      <c r="CL341" s="204">
        <f>IF($J341="",#N/A,SUM(CK$4:CK341))</f>
        <v>1.2912501745213723</v>
      </c>
      <c r="CM341" s="205" t="str">
        <f t="shared" si="586"/>
        <v/>
      </c>
      <c r="CN341" s="205">
        <f>IF($J341="",#N/A,SUM(CM$4:CM341))</f>
        <v>1.357235719871134</v>
      </c>
      <c r="CO341" s="205">
        <f>IF($J341="",#N/A,SUM(CM$4:CM341,CK$4:CK341,CI$4:CI341))</f>
        <v>2.6484858943925063</v>
      </c>
      <c r="CP341" s="200" t="str">
        <f t="shared" si="587"/>
        <v/>
      </c>
      <c r="CQ341" s="203">
        <f>IF($J341="",#N/A,SUM(CP$4:CP341))</f>
        <v>-2.5399197875602422</v>
      </c>
      <c r="CR341" s="204" t="str">
        <f t="shared" si="588"/>
        <v/>
      </c>
      <c r="CS341" s="204">
        <f>IF($J341="",#N/A,SUM(CR$4:CR341))</f>
        <v>2.3600225017004668</v>
      </c>
      <c r="CT341" s="205" t="str">
        <f t="shared" si="589"/>
        <v/>
      </c>
      <c r="CU341" s="205">
        <f>IF($J341="",#N/A,SUM(CT$4:CT341))</f>
        <v>-1.2300043871274924E-2</v>
      </c>
      <c r="CV341" s="205">
        <f>IF($J341="",#N/A,SUM(CT$4:CT341,CR$4:CR341,CP$4:CP341))</f>
        <v>-0.19219732973104975</v>
      </c>
      <c r="CW341" s="200" t="str">
        <f t="shared" si="590"/>
        <v/>
      </c>
      <c r="CX341" s="203">
        <f>IF($J341="",#N/A,SUM(CW$4:CW341))</f>
        <v>-0.29399505935581682</v>
      </c>
      <c r="CY341" s="204" t="str">
        <f t="shared" si="591"/>
        <v/>
      </c>
      <c r="CZ341" s="204">
        <f>IF($J341="",#N/A,SUM(CY$4:CY341))</f>
        <v>-0.20119965665334139</v>
      </c>
      <c r="DA341" s="205" t="str">
        <f t="shared" si="592"/>
        <v/>
      </c>
      <c r="DB341" s="205">
        <f>IF($J341="",#N/A,SUM(DA$4:DA341))</f>
        <v>-2.7756316087437582</v>
      </c>
      <c r="DC341" s="205">
        <f>IF($J341="",#N/A,SUM(DA$4:DA341,CY$4:CY341,CW$4:CW341))</f>
        <v>-3.2708263247529161</v>
      </c>
      <c r="DD341" s="200" t="str">
        <f t="shared" si="593"/>
        <v/>
      </c>
      <c r="DE341" s="203">
        <f>IF($J341="",#N/A,SUM(DD$4:DD341))</f>
        <v>1.2501454750716789</v>
      </c>
      <c r="DF341" s="204" t="str">
        <f t="shared" si="594"/>
        <v/>
      </c>
      <c r="DG341" s="204">
        <f>IF($J341="",#N/A,SUM(DF$4:DF341))</f>
        <v>2.626961496209514</v>
      </c>
      <c r="DH341" s="205" t="str">
        <f t="shared" si="595"/>
        <v/>
      </c>
      <c r="DI341" s="205">
        <f>IF($J341="",#N/A,SUM(DH$4:DH341))</f>
        <v>-3.216671910770577</v>
      </c>
      <c r="DJ341" s="205">
        <f>IF($J341="",#N/A,SUM(DH$4:DH341,DF$4:DF341,DD$4:DD341))</f>
        <v>0.66043506051061596</v>
      </c>
      <c r="DK341" s="200" t="str">
        <f t="shared" si="596"/>
        <v/>
      </c>
      <c r="DL341" s="203">
        <f>IF($J341="",#N/A,SUM(DK$4:DK341))</f>
        <v>-0.84049791589649614</v>
      </c>
      <c r="DM341" s="204" t="str">
        <f t="shared" si="597"/>
        <v/>
      </c>
      <c r="DN341" s="204">
        <f>IF($J341="",#N/A,SUM(DM$4:DM341))</f>
        <v>1.8657648196498773</v>
      </c>
      <c r="DO341" s="205" t="str">
        <f t="shared" si="598"/>
        <v/>
      </c>
      <c r="DP341" s="205">
        <f>IF($J341="",#N/A,SUM(DO$4:DO341))</f>
        <v>3.4887162328793941</v>
      </c>
      <c r="DQ341" s="205">
        <f>IF($J341="",#N/A,SUM(DO$4:DO341,DM$4:DM341,DK$4:DK341))</f>
        <v>4.5139831366327758</v>
      </c>
      <c r="DR341" s="200" t="str">
        <f t="shared" si="599"/>
        <v/>
      </c>
      <c r="DS341" s="203">
        <f>IF($J341="",#N/A,SUM(DR$4:DR341))</f>
        <v>-0.55950946427675097</v>
      </c>
      <c r="DT341" s="204" t="str">
        <f t="shared" si="600"/>
        <v/>
      </c>
      <c r="DU341" s="204">
        <f>IF($J341="",#N/A,SUM(DT$4:DT341))</f>
        <v>-0.20750635820596686</v>
      </c>
      <c r="DV341" s="205" t="str">
        <f t="shared" si="601"/>
        <v/>
      </c>
      <c r="DW341" s="205">
        <f>IF($J341="",#N/A,SUM(DV$4:DV341))</f>
        <v>-2.3377035686214001</v>
      </c>
      <c r="DX341" s="205">
        <f>IF($J341="",#N/A,SUM(DV$4:DV341,DT$4:DT341,DR$4:DR341))</f>
        <v>-3.1047193911041169</v>
      </c>
      <c r="DY341" s="200" t="str">
        <f t="shared" si="602"/>
        <v/>
      </c>
      <c r="DZ341" s="203">
        <f>IF($J341="",#N/A,SUM(DY$4:DY341))</f>
        <v>-1.4146842415208627</v>
      </c>
      <c r="EA341" s="204">
        <f t="shared" si="603"/>
        <v>2.0422419460881014</v>
      </c>
      <c r="EB341" s="204">
        <f>IF($J341="",#N/A,SUM(EA$4:EA341))</f>
        <v>4.3184391548878134</v>
      </c>
      <c r="EC341" s="205" t="str">
        <f t="shared" si="604"/>
        <v/>
      </c>
      <c r="ED341" s="205">
        <f>IF($J341="",#N/A,SUM(EC$4:EC341))</f>
        <v>9.2956923798665674</v>
      </c>
      <c r="EE341" s="205">
        <f>IF($J341="",#N/A,SUM(EC$4:EC341,EA$4:EA341,DY$4:DY341))</f>
        <v>12.199447293233519</v>
      </c>
      <c r="EF341" s="200" t="str">
        <f t="shared" si="605"/>
        <v/>
      </c>
      <c r="EG341" s="203">
        <f>IF($J341="",#N/A,SUM(EF$4:EF341))</f>
        <v>0.65848341369884777</v>
      </c>
      <c r="EH341" s="204" t="str">
        <f t="shared" si="606"/>
        <v/>
      </c>
      <c r="EI341" s="204">
        <f>IF($J341="",#N/A,SUM(EH$4:EH341))</f>
        <v>-3.5125331561187787</v>
      </c>
      <c r="EJ341" s="205" t="str">
        <f t="shared" si="607"/>
        <v/>
      </c>
      <c r="EK341" s="205">
        <f>IF($J341="",#N/A,SUM(EJ$4:EJ341))</f>
        <v>8.4415851520554703</v>
      </c>
      <c r="EL341" s="205">
        <f>IF($J341="",#N/A,SUM(EJ$4:EJ341,EH$4:EH341,EF$4:EF341))</f>
        <v>5.5875354096355405</v>
      </c>
      <c r="EM341" s="200" t="str">
        <f t="shared" si="608"/>
        <v/>
      </c>
      <c r="EN341" s="203">
        <f>IF($J341="",#N/A,SUM(EM$4:EM341))</f>
        <v>0</v>
      </c>
      <c r="EO341" s="204" t="str">
        <f t="shared" si="609"/>
        <v/>
      </c>
      <c r="EP341" s="204">
        <f>IF($J341="",#N/A,SUM(EO$4:EO341))</f>
        <v>2.4788862078089964</v>
      </c>
      <c r="EQ341" s="205" t="str">
        <f t="shared" si="610"/>
        <v/>
      </c>
      <c r="ER341" s="205">
        <f>IF($J341="",#N/A,SUM(EQ$4:EQ341))</f>
        <v>2.6983279209445628</v>
      </c>
      <c r="ES341" s="205">
        <f>IF($J341="",#N/A,SUM(EQ$4:EQ341,EO$4:EO341,EM$4:EM341))</f>
        <v>5.1772141287535591</v>
      </c>
      <c r="ET341" s="200" t="str">
        <f t="shared" si="611"/>
        <v/>
      </c>
      <c r="EU341" s="203">
        <f>IF($J341="",#N/A,SUM(ET$4:ET341))</f>
        <v>0</v>
      </c>
      <c r="EV341" s="204" t="str">
        <f t="shared" si="612"/>
        <v/>
      </c>
      <c r="EW341" s="204">
        <f>IF($J341="",#N/A,SUM(EV$4:EV341))</f>
        <v>7.9116394275462909E-2</v>
      </c>
      <c r="EX341" s="205" t="str">
        <f t="shared" si="613"/>
        <v/>
      </c>
      <c r="EY341" s="205">
        <f>IF($J341="",#N/A,SUM(EX$4:EX341))</f>
        <v>0.27113250180669229</v>
      </c>
      <c r="EZ341" s="205">
        <f>IF($J341="",#N/A,SUM(EX$4:EX341,EV$4:EV341,ET$4:ET341))</f>
        <v>0.35024889608215481</v>
      </c>
      <c r="FA341" s="200" t="str">
        <f t="shared" si="614"/>
        <v/>
      </c>
      <c r="FB341" s="203">
        <f>IF($J341="",#N/A,SUM(FA$4:FA341))</f>
        <v>-0.27145310509113252</v>
      </c>
      <c r="FC341" s="204" t="str">
        <f t="shared" si="615"/>
        <v/>
      </c>
      <c r="FD341" s="204">
        <f>IF($J341="",#N/A,SUM(FC$4:FC341))</f>
        <v>0.89084290967454072</v>
      </c>
      <c r="FE341" s="205" t="str">
        <f t="shared" si="616"/>
        <v/>
      </c>
      <c r="FF341" s="205">
        <f>IF($J341="",#N/A,SUM(FE$4:FE341))</f>
        <v>-0.28811149078748233</v>
      </c>
      <c r="FG341" s="205">
        <f>IF($J341="",#N/A,SUM(FE$4:FE341,FC$4:FC341,FA$4:FA341))</f>
        <v>0.3312783137959262</v>
      </c>
      <c r="FH341" s="200" t="str">
        <f t="shared" si="617"/>
        <v/>
      </c>
      <c r="FI341" s="203">
        <f>IF($J341="",#N/A,SUM(FH$4:FH341))</f>
        <v>0</v>
      </c>
      <c r="FJ341" s="204" t="str">
        <f t="shared" si="618"/>
        <v/>
      </c>
      <c r="FK341" s="204">
        <f>IF($J341="",#N/A,SUM(FJ$4:FJ341))</f>
        <v>0</v>
      </c>
      <c r="FL341" s="205" t="str">
        <f t="shared" si="619"/>
        <v/>
      </c>
      <c r="FM341" s="205">
        <f>IF($J341="",#N/A,SUM(FL$4:FL341))</f>
        <v>0</v>
      </c>
      <c r="FN341" s="205">
        <f>IF($J341="",#N/A,SUM(FL$4:FL341,FJ$4:FJ341,FH$4:FH341))</f>
        <v>0</v>
      </c>
      <c r="FO341" s="200" t="str">
        <f t="shared" si="620"/>
        <v/>
      </c>
      <c r="FP341" s="203">
        <f>IF($J341="",#N/A,SUM(FO$4:FO341))</f>
        <v>0</v>
      </c>
      <c r="FQ341" s="204" t="str">
        <f t="shared" si="621"/>
        <v/>
      </c>
      <c r="FR341" s="204">
        <f>IF($J341="",#N/A,SUM(FQ$4:FQ341))</f>
        <v>0</v>
      </c>
      <c r="FS341" s="205" t="str">
        <f t="shared" si="622"/>
        <v/>
      </c>
      <c r="FT341" s="205">
        <f>IF($J341="",#N/A,SUM(FS$4:FS341))</f>
        <v>0</v>
      </c>
      <c r="FU341" s="205">
        <f>IF($J341="",#N/A,SUM(FS$4:FS341,FQ$4:FQ341,FO$4:FO341))</f>
        <v>0</v>
      </c>
      <c r="FV341" s="200" t="str">
        <f t="shared" si="623"/>
        <v/>
      </c>
      <c r="FW341" s="203">
        <f>IF($J341="",#N/A,SUM(FV$4:FV341))</f>
        <v>6.6834991831277585E-2</v>
      </c>
      <c r="FX341" s="204" t="str">
        <f t="shared" si="624"/>
        <v/>
      </c>
      <c r="FY341" s="204">
        <f>IF($J341="",#N/A,SUM(FX$4:FX341))</f>
        <v>-0.16102012791805576</v>
      </c>
      <c r="FZ341" s="205" t="str">
        <f t="shared" si="625"/>
        <v/>
      </c>
      <c r="GA341" s="205">
        <f>IF($J341="",#N/A,SUM(FZ$4:FZ341))</f>
        <v>-0.69624339162892301</v>
      </c>
      <c r="GB341" s="205">
        <f>IF($J341="",#N/A,SUM(FZ$4:FZ341,FX$4:FX341,FV$4:FV341))</f>
        <v>-0.79042852771570116</v>
      </c>
      <c r="GC341" s="200" t="str">
        <f t="shared" si="626"/>
        <v/>
      </c>
      <c r="GD341" s="203">
        <f>IF($J341="",#N/A,SUM(GC$4:GC341))</f>
        <v>0</v>
      </c>
      <c r="GE341" s="204" t="str">
        <f t="shared" si="627"/>
        <v/>
      </c>
      <c r="GF341" s="204">
        <f>IF($J341="",#N/A,SUM(GE$4:GE341))</f>
        <v>0</v>
      </c>
      <c r="GG341" s="205" t="str">
        <f t="shared" si="628"/>
        <v/>
      </c>
      <c r="GH341" s="205">
        <f>IF($J341="",#N/A,SUM(GG$4:GG341))</f>
        <v>-2.9368362277223206</v>
      </c>
      <c r="GI341" s="205">
        <f>IF($J341="",#N/A,SUM(GG$4:GG341,GE$4:GE341,GC$4:GC341))</f>
        <v>-2.9368362277223206</v>
      </c>
      <c r="GJ341" s="200" t="str">
        <f t="shared" si="629"/>
        <v/>
      </c>
      <c r="GK341" s="203">
        <f>IF($J341="",#N/A,SUM(GJ$4:GJ341))</f>
        <v>0</v>
      </c>
      <c r="GL341" s="204" t="str">
        <f t="shared" si="630"/>
        <v/>
      </c>
      <c r="GM341" s="204">
        <f>IF($J341="",#N/A,SUM(GL$4:GL341))</f>
        <v>-1.6833790887309608</v>
      </c>
      <c r="GN341" s="205" t="str">
        <f t="shared" si="631"/>
        <v/>
      </c>
      <c r="GO341" s="205">
        <f>IF($J341="",#N/A,SUM(GN$4:GN341))</f>
        <v>0</v>
      </c>
      <c r="GP341" s="205">
        <f>IF($J341="",#N/A,SUM(GN$4:GN341,GL$4:GL341,GJ$4:GJ341))</f>
        <v>-1.6833790887309608</v>
      </c>
      <c r="GS341" s="303" t="str">
        <f t="shared" si="650"/>
        <v/>
      </c>
      <c r="GT341" s="303" t="e">
        <f>IF(GS341="",NA(),SUM($GS$4:GS341))</f>
        <v>#N/A</v>
      </c>
      <c r="GU341" s="303" t="str">
        <f t="shared" si="632"/>
        <v/>
      </c>
      <c r="GV341" s="303" t="e">
        <f>IF(GU341="",NA(),SUM($GU$4:GU341))</f>
        <v>#N/A</v>
      </c>
      <c r="GW341" s="303" t="str">
        <f t="shared" si="633"/>
        <v/>
      </c>
      <c r="GX341" s="303" t="e">
        <f>IF(GW341="",NA(),SUM($GW$4:GW341))</f>
        <v>#N/A</v>
      </c>
      <c r="GY341" s="303" t="str">
        <f t="shared" si="634"/>
        <v/>
      </c>
      <c r="GZ341" s="303" t="e">
        <f>IF(GY341="",NA(),SUM($GY$4:GY341))</f>
        <v>#N/A</v>
      </c>
      <c r="HA341" s="303">
        <f t="shared" si="635"/>
        <v>2.0422419460881014</v>
      </c>
      <c r="HB341" s="303">
        <f>IF(HA341="",NA(),SUM($HA$4:HA341))</f>
        <v>5.7849215394736717</v>
      </c>
      <c r="HC341" s="303" t="str">
        <f t="shared" si="636"/>
        <v/>
      </c>
      <c r="HD341" s="303" t="e">
        <f>IF(HC341="",NA(),SUM($HC$4:HC341))</f>
        <v>#N/A</v>
      </c>
      <c r="HE341" s="303" t="str">
        <f t="shared" si="637"/>
        <v/>
      </c>
      <c r="HF341" s="303" t="e">
        <f>IF(HE341="",NA(),SUM($HE$4:HE341))</f>
        <v>#N/A</v>
      </c>
      <c r="HG341" s="303">
        <f t="shared" si="638"/>
        <v>2.0422419460881014</v>
      </c>
      <c r="HH341" s="303">
        <f>IF(HG341="",NA(),SUM($HG$4:HG341))</f>
        <v>6.0918517739423983</v>
      </c>
      <c r="HI341" s="304">
        <f t="shared" si="651"/>
        <v>-1.4751808021038793</v>
      </c>
      <c r="HJ341" s="304">
        <f>IF($J341="",#N/A,SUM(HI$4:$HI341))</f>
        <v>-8.8300702515875571</v>
      </c>
      <c r="HK341" s="303" t="str">
        <f t="shared" si="639"/>
        <v/>
      </c>
      <c r="HL341" s="303">
        <f>IF($J341="",#N/A,SUM($HK$4:HK341))</f>
        <v>1.9034651933981581</v>
      </c>
      <c r="HM341" s="303" t="str">
        <f t="shared" si="640"/>
        <v/>
      </c>
      <c r="HN341" s="303">
        <f>IF($J341="",#N/A,SUM($HM$4:HM341))</f>
        <v>1.1220312548245914</v>
      </c>
      <c r="HO341" s="303" t="str">
        <f t="shared" si="641"/>
        <v/>
      </c>
      <c r="HP341" s="303">
        <f>IF($J341="",#N/A,SUM($HO$4:HO341))</f>
        <v>-0.69476253225193951</v>
      </c>
      <c r="HQ341" s="303" t="str">
        <f t="shared" si="642"/>
        <v/>
      </c>
      <c r="HR341" s="303">
        <f>IF($J341="",#N/A,SUM($HQ$4:HQ341))</f>
        <v>-10.915291110718158</v>
      </c>
      <c r="HS341" s="303" t="str">
        <f t="shared" si="643"/>
        <v/>
      </c>
      <c r="HT341" s="303">
        <f>IF($J341="",#N/A,SUM($HS$4:HS341))</f>
        <v>15.214830515357553</v>
      </c>
      <c r="HU341" s="305">
        <f t="shared" si="644"/>
        <v>0.56706114398422203</v>
      </c>
      <c r="HV341" s="305">
        <f>IF($J341="",#N/A,SUM(HU$4:$HU341))</f>
        <v>16.84302925658449</v>
      </c>
    </row>
    <row r="342" spans="1:230" x14ac:dyDescent="0.25">
      <c r="A342" s="397" t="s">
        <v>378</v>
      </c>
      <c r="B342" s="289" t="s">
        <v>4716</v>
      </c>
      <c r="C342" s="230">
        <f t="shared" si="545"/>
        <v>1</v>
      </c>
      <c r="D342" s="220" t="str">
        <f>_xlfn.XLOOKUP(A342,[1]SP500!$A$2:$A$502,[1]SP500!$D$2:$D$502,"N")</f>
        <v>Y</v>
      </c>
      <c r="E342" s="59" t="str">
        <f>IFERROR(_xlfn.XLOOKUP(A342,[1]SP500!$A$2:$A$655,[1]SP500!$B$2:$B$655),"")</f>
        <v>IGV</v>
      </c>
      <c r="F342" s="290">
        <v>45792</v>
      </c>
      <c r="G342" s="59" t="str">
        <f t="shared" si="546"/>
        <v>AMC</v>
      </c>
      <c r="H342" s="59" t="str">
        <f t="shared" si="547"/>
        <v>s</v>
      </c>
      <c r="I342" s="376">
        <v>232.34</v>
      </c>
      <c r="J342" s="125">
        <v>236.58</v>
      </c>
      <c r="K342" s="60">
        <f t="shared" si="548"/>
        <v>1.8249117672376729E-2</v>
      </c>
      <c r="L342" s="68">
        <f t="shared" si="549"/>
        <v>21.200000000000045</v>
      </c>
      <c r="M342" s="62" t="e">
        <f t="shared" si="550"/>
        <v>#N/A</v>
      </c>
      <c r="N342" s="63">
        <f t="shared" si="551"/>
        <v>21.200000000000045</v>
      </c>
      <c r="O342" s="62">
        <f>IF(N342="",#N/A,SUM($N$4:N342))</f>
        <v>1105.2343755616248</v>
      </c>
      <c r="P342" s="64">
        <f t="shared" si="645"/>
        <v>0.3041519612062788</v>
      </c>
      <c r="Q342" s="183">
        <f>IF($N342="",#N/A,SUM($P$4:P342))</f>
        <v>19.862925615935108</v>
      </c>
      <c r="R342" s="279">
        <f t="shared" si="552"/>
        <v>8.3244323205460979</v>
      </c>
      <c r="S342" s="59" t="str">
        <f t="shared" si="553"/>
        <v>Up</v>
      </c>
      <c r="T342" s="59" t="s">
        <v>4462</v>
      </c>
      <c r="U342" s="61">
        <f t="shared" si="554"/>
        <v>232.34</v>
      </c>
      <c r="V342" s="61" t="s">
        <v>4460</v>
      </c>
      <c r="W342" s="142">
        <v>5</v>
      </c>
      <c r="X342" s="146">
        <f t="shared" si="555"/>
        <v>1161.7</v>
      </c>
      <c r="Y342" s="142">
        <f t="shared" si="556"/>
        <v>5</v>
      </c>
      <c r="Z342" s="278">
        <f>J342</f>
        <v>236.58</v>
      </c>
      <c r="AA342" s="63">
        <f t="shared" si="557"/>
        <v>21.200000000000045</v>
      </c>
      <c r="AB342" s="63">
        <f t="shared" si="558"/>
        <v>-28</v>
      </c>
      <c r="AC342" s="125">
        <v>226.74</v>
      </c>
      <c r="AD342" s="148">
        <f t="shared" si="559"/>
        <v>-28</v>
      </c>
      <c r="AE342" s="544">
        <f t="shared" si="560"/>
        <v>-0.4017101374422542</v>
      </c>
      <c r="AF342" s="62">
        <f>IF($AC342="",#N/A,SUM(AD$4:AD342))</f>
        <v>1065.7823971474493</v>
      </c>
      <c r="AG342" s="63">
        <f t="shared" si="561"/>
        <v>-49.200000000000045</v>
      </c>
      <c r="AH342" s="61" t="s">
        <v>4674</v>
      </c>
      <c r="AI342" s="64">
        <f t="shared" si="562"/>
        <v>-0.4017101374422542</v>
      </c>
      <c r="AJ342" s="420">
        <f>IF(AI342="",#N/A,SUM($AI$4:AI342))</f>
        <v>11.53849329538901</v>
      </c>
      <c r="AK342" s="62">
        <f t="shared" si="563"/>
        <v>-28</v>
      </c>
      <c r="AL342" s="421">
        <f>IF(AI342="",#N/A,IF(AH342="Skip",SUM($AK$4:AK342),SUM($AK$4:AK342)))</f>
        <v>533.36236927848245</v>
      </c>
      <c r="AM342" s="65">
        <f t="shared" si="646"/>
        <v>-0.4017101374422542</v>
      </c>
      <c r="AN342" s="209"/>
      <c r="AO342" s="64" t="str">
        <f t="shared" si="564"/>
        <v/>
      </c>
      <c r="AP342" s="64">
        <f>IF($AC342="",#N/A,SUM(AO$4:AO342))</f>
        <v>15.406116936083828</v>
      </c>
      <c r="AQ342" s="64">
        <f t="shared" si="565"/>
        <v>-0.4017101374422542</v>
      </c>
      <c r="AR342" s="64">
        <f>IF($AC342="",#N/A,SUM(AQ$4:AQ342))</f>
        <v>-3.3504780110235459</v>
      </c>
      <c r="AS342" s="64" t="str">
        <f t="shared" si="566"/>
        <v/>
      </c>
      <c r="AT342" s="64">
        <f>IF($AC342="",#N/A,SUM(AS$4:AS342))</f>
        <v>4.3856801940819459</v>
      </c>
      <c r="AU342" s="62" t="str">
        <f t="shared" si="647"/>
        <v/>
      </c>
      <c r="AV342" s="62">
        <f>IF($AC342="",#N/A,SUM(AU$4:AU342))</f>
        <v>956.35627194988024</v>
      </c>
      <c r="AW342" s="62">
        <f t="shared" si="648"/>
        <v>-28</v>
      </c>
      <c r="AX342" s="62">
        <f>IF($AC342="",#N/A,SUM(AW$4:AW342))</f>
        <v>-206.13106797961063</v>
      </c>
      <c r="AY342" s="62" t="str">
        <f t="shared" si="649"/>
        <v/>
      </c>
      <c r="AZ342" s="62">
        <f>IF($AC342="",#N/A,SUM(AY$4:AY342))</f>
        <v>315.55719317717956</v>
      </c>
      <c r="BA342" s="62">
        <f>IF(AD342="",#N/A,SUM($AD$4:AD342))</f>
        <v>1065.7823971474493</v>
      </c>
      <c r="BC342" s="59">
        <f t="shared" si="567"/>
        <v>1</v>
      </c>
      <c r="BD342" s="59" t="str">
        <f t="shared" si="568"/>
        <v/>
      </c>
      <c r="BE342" s="59" t="str">
        <f t="shared" si="569"/>
        <v/>
      </c>
      <c r="BF342" s="59" t="str">
        <f t="shared" si="570"/>
        <v>Long</v>
      </c>
      <c r="BG342" s="59" t="str">
        <f t="shared" si="571"/>
        <v/>
      </c>
      <c r="BH342" s="59" t="str">
        <f t="shared" si="572"/>
        <v/>
      </c>
      <c r="BI342" s="59" t="str">
        <f t="shared" si="573"/>
        <v/>
      </c>
      <c r="BK342" s="65">
        <f t="shared" si="544"/>
        <v>0.12474747867325973</v>
      </c>
      <c r="BL342" s="65">
        <f t="shared" si="543"/>
        <v>0.15170070976392622</v>
      </c>
      <c r="BM342" s="65">
        <f>IFERROR(Q342/COUNTA($J$4:J342),#N/A)</f>
        <v>5.859270093196197E-2</v>
      </c>
      <c r="BO342" s="489" t="e">
        <f>IF(J342="",#N/A,IF(S342="SW",(COUNTIFS(K$4:$K342,"&gt;0",S$4:$S342,"SW")/COUNTIF(S$4:$S342,"SW")),#N/A))</f>
        <v>#N/A</v>
      </c>
      <c r="BP342" s="489" t="e">
        <f>IF($J342="",#N/A,IF($S342="DWN",(COUNTIFS($K$4:$K342,"&lt;0",$S$4:$S342,"DWN")/COUNTIF($S$4:$S342,"DWN")),#N/A))</f>
        <v>#N/A</v>
      </c>
      <c r="BQ342" s="489">
        <f>IF($J342="",#N/A,IF($S342="UP",(COUNTIFS($K$4:$K342,"&gt;0",$S$4:$S342,"UP")/COUNTIF($S$4:$S342,"UP")),#N/A))</f>
        <v>0.5</v>
      </c>
      <c r="BR342" s="489">
        <f>IF(J342="",#N/A,COUNTIF($K$4:K342,"&gt;0")/COUNT($J$4:J342))</f>
        <v>0.4808259587020649</v>
      </c>
      <c r="BS342" s="65">
        <f t="shared" si="574"/>
        <v>0.3041519612062788</v>
      </c>
      <c r="BT342" s="65" t="str">
        <f t="shared" si="575"/>
        <v/>
      </c>
      <c r="BU342" s="65" t="str">
        <f t="shared" si="576"/>
        <v/>
      </c>
      <c r="BV342" s="65" t="str">
        <f t="shared" si="577"/>
        <v/>
      </c>
      <c r="BW342" s="128">
        <f t="shared" si="578"/>
        <v>21.200000000000045</v>
      </c>
      <c r="BX342" s="128">
        <f>IF($J342="",#N/A,SUM($BW$4:BW342))</f>
        <v>-186.02817034792838</v>
      </c>
      <c r="BY342" s="131" t="str">
        <f t="shared" si="579"/>
        <v/>
      </c>
      <c r="BZ342" s="131">
        <f>IF($J342="",#N/A,SUM($BY$4:BY342))</f>
        <v>642.74161346139442</v>
      </c>
      <c r="CA342" s="133" t="str">
        <f t="shared" si="580"/>
        <v/>
      </c>
      <c r="CB342" s="133">
        <f>IF($J342="",#N/A,SUM($CA$4:CA342))</f>
        <v>648.52093244815865</v>
      </c>
      <c r="CC342" s="194">
        <f t="shared" si="581"/>
        <v>0.3041519612062788</v>
      </c>
      <c r="CD342" s="194">
        <f>IF($J342="",#N/A,SUM($CC$4:CC342))</f>
        <v>-3.0718846349476614</v>
      </c>
      <c r="CE342" s="195" t="str">
        <f t="shared" si="582"/>
        <v/>
      </c>
      <c r="CF342" s="195">
        <f>IF($J342="",#N/A,SUM($CE$4:CE342))</f>
        <v>11.312285252271353</v>
      </c>
      <c r="CG342" s="196" t="str">
        <f t="shared" si="583"/>
        <v/>
      </c>
      <c r="CH342" s="196">
        <f>IF($J342="",#N/A,SUM($CG$4:CG342))</f>
        <v>11.622524998611423</v>
      </c>
      <c r="CI342" s="200" t="str">
        <f t="shared" si="584"/>
        <v/>
      </c>
      <c r="CJ342" s="203">
        <f>IF($J342="",#N/A,SUM(CI$4:CI342))</f>
        <v>0</v>
      </c>
      <c r="CK342" s="204" t="str">
        <f t="shared" si="585"/>
        <v/>
      </c>
      <c r="CL342" s="204">
        <f>IF($J342="",#N/A,SUM(CK$4:CK342))</f>
        <v>1.2912501745213723</v>
      </c>
      <c r="CM342" s="205" t="str">
        <f t="shared" si="586"/>
        <v/>
      </c>
      <c r="CN342" s="205">
        <f>IF($J342="",#N/A,SUM(CM$4:CM342))</f>
        <v>1.357235719871134</v>
      </c>
      <c r="CO342" s="205">
        <f>IF($J342="",#N/A,SUM(CM$4:CM342,CK$4:CK342,CI$4:CI342))</f>
        <v>2.6484858943925063</v>
      </c>
      <c r="CP342" s="200">
        <f t="shared" si="587"/>
        <v>0.3041519612062788</v>
      </c>
      <c r="CQ342" s="203">
        <f>IF($J342="",#N/A,SUM(CP$4:CP342))</f>
        <v>-2.2357678263539635</v>
      </c>
      <c r="CR342" s="204" t="str">
        <f t="shared" si="588"/>
        <v/>
      </c>
      <c r="CS342" s="204">
        <f>IF($J342="",#N/A,SUM(CR$4:CR342))</f>
        <v>2.3600225017004668</v>
      </c>
      <c r="CT342" s="205" t="str">
        <f t="shared" si="589"/>
        <v/>
      </c>
      <c r="CU342" s="205">
        <f>IF($J342="",#N/A,SUM(CT$4:CT342))</f>
        <v>-1.2300043871274924E-2</v>
      </c>
      <c r="CV342" s="205">
        <f>IF($J342="",#N/A,SUM(CT$4:CT342,CR$4:CR342,CP$4:CP342))</f>
        <v>0.11195463147522905</v>
      </c>
      <c r="CW342" s="200" t="str">
        <f t="shared" si="590"/>
        <v/>
      </c>
      <c r="CX342" s="203">
        <f>IF($J342="",#N/A,SUM(CW$4:CW342))</f>
        <v>-0.29399505935581682</v>
      </c>
      <c r="CY342" s="204" t="str">
        <f t="shared" si="591"/>
        <v/>
      </c>
      <c r="CZ342" s="204">
        <f>IF($J342="",#N/A,SUM(CY$4:CY342))</f>
        <v>-0.20119965665334139</v>
      </c>
      <c r="DA342" s="205" t="str">
        <f t="shared" si="592"/>
        <v/>
      </c>
      <c r="DB342" s="205">
        <f>IF($J342="",#N/A,SUM(DA$4:DA342))</f>
        <v>-2.7756316087437582</v>
      </c>
      <c r="DC342" s="205">
        <f>IF($J342="",#N/A,SUM(DA$4:DA342,CY$4:CY342,CW$4:CW342))</f>
        <v>-3.2708263247529161</v>
      </c>
      <c r="DD342" s="200" t="str">
        <f t="shared" si="593"/>
        <v/>
      </c>
      <c r="DE342" s="203">
        <f>IF($J342="",#N/A,SUM(DD$4:DD342))</f>
        <v>1.2501454750716789</v>
      </c>
      <c r="DF342" s="204" t="str">
        <f t="shared" si="594"/>
        <v/>
      </c>
      <c r="DG342" s="204">
        <f>IF($J342="",#N/A,SUM(DF$4:DF342))</f>
        <v>2.626961496209514</v>
      </c>
      <c r="DH342" s="205" t="str">
        <f t="shared" si="595"/>
        <v/>
      </c>
      <c r="DI342" s="205">
        <f>IF($J342="",#N/A,SUM(DH$4:DH342))</f>
        <v>-3.216671910770577</v>
      </c>
      <c r="DJ342" s="205">
        <f>IF($J342="",#N/A,SUM(DH$4:DH342,DF$4:DF342,DD$4:DD342))</f>
        <v>0.66043506051061596</v>
      </c>
      <c r="DK342" s="200" t="str">
        <f t="shared" si="596"/>
        <v/>
      </c>
      <c r="DL342" s="203">
        <f>IF($J342="",#N/A,SUM(DK$4:DK342))</f>
        <v>-0.84049791589649614</v>
      </c>
      <c r="DM342" s="204" t="str">
        <f t="shared" si="597"/>
        <v/>
      </c>
      <c r="DN342" s="204">
        <f>IF($J342="",#N/A,SUM(DM$4:DM342))</f>
        <v>1.8657648196498773</v>
      </c>
      <c r="DO342" s="205" t="str">
        <f t="shared" si="598"/>
        <v/>
      </c>
      <c r="DP342" s="205">
        <f>IF($J342="",#N/A,SUM(DO$4:DO342))</f>
        <v>3.4887162328793941</v>
      </c>
      <c r="DQ342" s="205">
        <f>IF($J342="",#N/A,SUM(DO$4:DO342,DM$4:DM342,DK$4:DK342))</f>
        <v>4.5139831366327758</v>
      </c>
      <c r="DR342" s="200" t="str">
        <f t="shared" si="599"/>
        <v/>
      </c>
      <c r="DS342" s="203">
        <f>IF($J342="",#N/A,SUM(DR$4:DR342))</f>
        <v>-0.55950946427675097</v>
      </c>
      <c r="DT342" s="204" t="str">
        <f t="shared" si="600"/>
        <v/>
      </c>
      <c r="DU342" s="204">
        <f>IF($J342="",#N/A,SUM(DT$4:DT342))</f>
        <v>-0.20750635820596686</v>
      </c>
      <c r="DV342" s="205" t="str">
        <f t="shared" si="601"/>
        <v/>
      </c>
      <c r="DW342" s="205">
        <f>IF($J342="",#N/A,SUM(DV$4:DV342))</f>
        <v>-2.3377035686214001</v>
      </c>
      <c r="DX342" s="205">
        <f>IF($J342="",#N/A,SUM(DV$4:DV342,DT$4:DT342,DR$4:DR342))</f>
        <v>-3.1047193911041169</v>
      </c>
      <c r="DY342" s="200" t="str">
        <f t="shared" si="602"/>
        <v/>
      </c>
      <c r="DZ342" s="203">
        <f>IF($J342="",#N/A,SUM(DY$4:DY342))</f>
        <v>-1.4146842415208627</v>
      </c>
      <c r="EA342" s="204" t="str">
        <f t="shared" si="603"/>
        <v/>
      </c>
      <c r="EB342" s="204">
        <f>IF($J342="",#N/A,SUM(EA$4:EA342))</f>
        <v>4.3184391548878134</v>
      </c>
      <c r="EC342" s="205" t="str">
        <f t="shared" si="604"/>
        <v/>
      </c>
      <c r="ED342" s="205">
        <f>IF($J342="",#N/A,SUM(EC$4:EC342))</f>
        <v>9.2956923798665674</v>
      </c>
      <c r="EE342" s="205">
        <f>IF($J342="",#N/A,SUM(EC$4:EC342,EA$4:EA342,DY$4:DY342))</f>
        <v>12.199447293233519</v>
      </c>
      <c r="EF342" s="200" t="str">
        <f t="shared" si="605"/>
        <v/>
      </c>
      <c r="EG342" s="203">
        <f>IF($J342="",#N/A,SUM(EF$4:EF342))</f>
        <v>0.65848341369884777</v>
      </c>
      <c r="EH342" s="204" t="str">
        <f t="shared" si="606"/>
        <v/>
      </c>
      <c r="EI342" s="204">
        <f>IF($J342="",#N/A,SUM(EH$4:EH342))</f>
        <v>-3.5125331561187787</v>
      </c>
      <c r="EJ342" s="205" t="str">
        <f t="shared" si="607"/>
        <v/>
      </c>
      <c r="EK342" s="205">
        <f>IF($J342="",#N/A,SUM(EJ$4:EJ342))</f>
        <v>8.4415851520554703</v>
      </c>
      <c r="EL342" s="205">
        <f>IF($J342="",#N/A,SUM(EJ$4:EJ342,EH$4:EH342,EF$4:EF342))</f>
        <v>5.5875354096355405</v>
      </c>
      <c r="EM342" s="200" t="str">
        <f t="shared" si="608"/>
        <v/>
      </c>
      <c r="EN342" s="203">
        <f>IF($J342="",#N/A,SUM(EM$4:EM342))</f>
        <v>0</v>
      </c>
      <c r="EO342" s="204" t="str">
        <f t="shared" si="609"/>
        <v/>
      </c>
      <c r="EP342" s="204">
        <f>IF($J342="",#N/A,SUM(EO$4:EO342))</f>
        <v>2.4788862078089964</v>
      </c>
      <c r="EQ342" s="205" t="str">
        <f t="shared" si="610"/>
        <v/>
      </c>
      <c r="ER342" s="205">
        <f>IF($J342="",#N/A,SUM(EQ$4:EQ342))</f>
        <v>2.6983279209445628</v>
      </c>
      <c r="ES342" s="205">
        <f>IF($J342="",#N/A,SUM(EQ$4:EQ342,EO$4:EO342,EM$4:EM342))</f>
        <v>5.1772141287535591</v>
      </c>
      <c r="ET342" s="200" t="str">
        <f t="shared" si="611"/>
        <v/>
      </c>
      <c r="EU342" s="203">
        <f>IF($J342="",#N/A,SUM(ET$4:ET342))</f>
        <v>0</v>
      </c>
      <c r="EV342" s="204" t="str">
        <f t="shared" si="612"/>
        <v/>
      </c>
      <c r="EW342" s="204">
        <f>IF($J342="",#N/A,SUM(EV$4:EV342))</f>
        <v>7.9116394275462909E-2</v>
      </c>
      <c r="EX342" s="205" t="str">
        <f t="shared" si="613"/>
        <v/>
      </c>
      <c r="EY342" s="205">
        <f>IF($J342="",#N/A,SUM(EX$4:EX342))</f>
        <v>0.27113250180669229</v>
      </c>
      <c r="EZ342" s="205">
        <f>IF($J342="",#N/A,SUM(EX$4:EX342,EV$4:EV342,ET$4:ET342))</f>
        <v>0.35024889608215481</v>
      </c>
      <c r="FA342" s="200" t="str">
        <f t="shared" si="614"/>
        <v/>
      </c>
      <c r="FB342" s="203">
        <f>IF($J342="",#N/A,SUM(FA$4:FA342))</f>
        <v>-0.27145310509113252</v>
      </c>
      <c r="FC342" s="204" t="str">
        <f t="shared" si="615"/>
        <v/>
      </c>
      <c r="FD342" s="204">
        <f>IF($J342="",#N/A,SUM(FC$4:FC342))</f>
        <v>0.89084290967454072</v>
      </c>
      <c r="FE342" s="205" t="str">
        <f t="shared" si="616"/>
        <v/>
      </c>
      <c r="FF342" s="205">
        <f>IF($J342="",#N/A,SUM(FE$4:FE342))</f>
        <v>-0.28811149078748233</v>
      </c>
      <c r="FG342" s="205">
        <f>IF($J342="",#N/A,SUM(FE$4:FE342,FC$4:FC342,FA$4:FA342))</f>
        <v>0.3312783137959262</v>
      </c>
      <c r="FH342" s="200" t="str">
        <f t="shared" si="617"/>
        <v/>
      </c>
      <c r="FI342" s="203">
        <f>IF($J342="",#N/A,SUM(FH$4:FH342))</f>
        <v>0</v>
      </c>
      <c r="FJ342" s="204" t="str">
        <f t="shared" si="618"/>
        <v/>
      </c>
      <c r="FK342" s="204">
        <f>IF($J342="",#N/A,SUM(FJ$4:FJ342))</f>
        <v>0</v>
      </c>
      <c r="FL342" s="205" t="str">
        <f t="shared" si="619"/>
        <v/>
      </c>
      <c r="FM342" s="205">
        <f>IF($J342="",#N/A,SUM(FL$4:FL342))</f>
        <v>0</v>
      </c>
      <c r="FN342" s="205">
        <f>IF($J342="",#N/A,SUM(FL$4:FL342,FJ$4:FJ342,FH$4:FH342))</f>
        <v>0</v>
      </c>
      <c r="FO342" s="200" t="str">
        <f t="shared" si="620"/>
        <v/>
      </c>
      <c r="FP342" s="203">
        <f>IF($J342="",#N/A,SUM(FO$4:FO342))</f>
        <v>0</v>
      </c>
      <c r="FQ342" s="204" t="str">
        <f t="shared" si="621"/>
        <v/>
      </c>
      <c r="FR342" s="204">
        <f>IF($J342="",#N/A,SUM(FQ$4:FQ342))</f>
        <v>0</v>
      </c>
      <c r="FS342" s="205" t="str">
        <f t="shared" si="622"/>
        <v/>
      </c>
      <c r="FT342" s="205">
        <f>IF($J342="",#N/A,SUM(FS$4:FS342))</f>
        <v>0</v>
      </c>
      <c r="FU342" s="205">
        <f>IF($J342="",#N/A,SUM(FS$4:FS342,FQ$4:FQ342,FO$4:FO342))</f>
        <v>0</v>
      </c>
      <c r="FV342" s="200" t="str">
        <f t="shared" si="623"/>
        <v/>
      </c>
      <c r="FW342" s="203">
        <f>IF($J342="",#N/A,SUM(FV$4:FV342))</f>
        <v>6.6834991831277585E-2</v>
      </c>
      <c r="FX342" s="204" t="str">
        <f t="shared" si="624"/>
        <v/>
      </c>
      <c r="FY342" s="204">
        <f>IF($J342="",#N/A,SUM(FX$4:FX342))</f>
        <v>-0.16102012791805576</v>
      </c>
      <c r="FZ342" s="205" t="str">
        <f t="shared" si="625"/>
        <v/>
      </c>
      <c r="GA342" s="205">
        <f>IF($J342="",#N/A,SUM(FZ$4:FZ342))</f>
        <v>-0.69624339162892301</v>
      </c>
      <c r="GB342" s="205">
        <f>IF($J342="",#N/A,SUM(FZ$4:FZ342,FX$4:FX342,FV$4:FV342))</f>
        <v>-0.79042852771570116</v>
      </c>
      <c r="GC342" s="200" t="str">
        <f t="shared" si="626"/>
        <v/>
      </c>
      <c r="GD342" s="203">
        <f>IF($J342="",#N/A,SUM(GC$4:GC342))</f>
        <v>0</v>
      </c>
      <c r="GE342" s="204" t="str">
        <f t="shared" si="627"/>
        <v/>
      </c>
      <c r="GF342" s="204">
        <f>IF($J342="",#N/A,SUM(GE$4:GE342))</f>
        <v>0</v>
      </c>
      <c r="GG342" s="205" t="str">
        <f t="shared" si="628"/>
        <v/>
      </c>
      <c r="GH342" s="205">
        <f>IF($J342="",#N/A,SUM(GG$4:GG342))</f>
        <v>-2.9368362277223206</v>
      </c>
      <c r="GI342" s="205">
        <f>IF($J342="",#N/A,SUM(GG$4:GG342,GE$4:GE342,GC$4:GC342))</f>
        <v>-2.9368362277223206</v>
      </c>
      <c r="GJ342" s="200" t="str">
        <f t="shared" si="629"/>
        <v/>
      </c>
      <c r="GK342" s="203">
        <f>IF($J342="",#N/A,SUM(GJ$4:GJ342))</f>
        <v>0</v>
      </c>
      <c r="GL342" s="204" t="str">
        <f t="shared" si="630"/>
        <v/>
      </c>
      <c r="GM342" s="204">
        <f>IF($J342="",#N/A,SUM(GL$4:GL342))</f>
        <v>-1.6833790887309608</v>
      </c>
      <c r="GN342" s="205" t="str">
        <f t="shared" si="631"/>
        <v/>
      </c>
      <c r="GO342" s="205">
        <f>IF($J342="",#N/A,SUM(GN$4:GN342))</f>
        <v>0</v>
      </c>
      <c r="GP342" s="205">
        <f>IF($J342="",#N/A,SUM(GN$4:GN342,GL$4:GL342,GJ$4:GJ342))</f>
        <v>-1.6833790887309608</v>
      </c>
      <c r="GS342" s="177">
        <f t="shared" si="650"/>
        <v>0.3041519612062788</v>
      </c>
      <c r="GT342" s="177">
        <f>IF(GS342="",NA(),SUM($GS$4:GS342))</f>
        <v>14.078004076461436</v>
      </c>
      <c r="GU342" s="177">
        <f t="shared" si="632"/>
        <v>0.3041519612062788</v>
      </c>
      <c r="GV342" s="177">
        <f>IF(GU342="",NA(),SUM($GU$4:GU342))</f>
        <v>-3.854231738649974</v>
      </c>
      <c r="GW342" s="177" t="str">
        <f t="shared" si="633"/>
        <v/>
      </c>
      <c r="GX342" s="177" t="e">
        <f>IF(GW342="",NA(),SUM($GW$4:GW342))</f>
        <v>#N/A</v>
      </c>
      <c r="GY342" s="177" t="str">
        <f t="shared" si="634"/>
        <v/>
      </c>
      <c r="GZ342" s="177" t="e">
        <f>IF(GY342="",NA(),SUM($GY$4:GY342))</f>
        <v>#N/A</v>
      </c>
      <c r="HA342" s="177" t="str">
        <f t="shared" si="635"/>
        <v/>
      </c>
      <c r="HB342" s="177" t="e">
        <f>IF(HA342="",NA(),SUM($HA$4:HA342))</f>
        <v>#N/A</v>
      </c>
      <c r="HC342" s="177" t="str">
        <f t="shared" si="636"/>
        <v/>
      </c>
      <c r="HD342" s="177" t="e">
        <f>IF(HC342="",NA(),SUM($HC$4:HC342))</f>
        <v>#N/A</v>
      </c>
      <c r="HE342" s="177" t="str">
        <f t="shared" si="637"/>
        <v/>
      </c>
      <c r="HF342" s="177" t="e">
        <f>IF(HE342="",NA(),SUM($HE$4:HE342))</f>
        <v>#N/A</v>
      </c>
      <c r="HG342" s="177" t="str">
        <f t="shared" si="638"/>
        <v/>
      </c>
      <c r="HH342" s="177" t="e">
        <f>IF(HG342="",NA(),SUM($HG$4:HG342))</f>
        <v>#N/A</v>
      </c>
      <c r="HI342" s="183" t="str">
        <f t="shared" si="651"/>
        <v/>
      </c>
      <c r="HJ342" s="183">
        <f>IF($J342="",#N/A,SUM(HI$4:$HI342))</f>
        <v>-8.8300702515875571</v>
      </c>
      <c r="HK342" s="177" t="str">
        <f t="shared" si="639"/>
        <v/>
      </c>
      <c r="HL342" s="177">
        <f>IF($J342="",#N/A,SUM($HK$4:HK342))</f>
        <v>1.9034651933981581</v>
      </c>
      <c r="HM342" s="177">
        <f t="shared" si="640"/>
        <v>-0.705862098648533</v>
      </c>
      <c r="HN342" s="177">
        <f>IF($J342="",#N/A,SUM($HM$4:HM342))</f>
        <v>0.41616915617605843</v>
      </c>
      <c r="HO342" s="177" t="str">
        <f t="shared" si="641"/>
        <v/>
      </c>
      <c r="HP342" s="177">
        <f>IF($J342="",#N/A,SUM($HO$4:HO342))</f>
        <v>-0.69476253225193951</v>
      </c>
      <c r="HQ342" s="177" t="str">
        <f t="shared" si="642"/>
        <v/>
      </c>
      <c r="HR342" s="177">
        <f>IF($J342="",#N/A,SUM($HQ$4:HQ342))</f>
        <v>-10.915291110718158</v>
      </c>
      <c r="HS342" s="177" t="str">
        <f t="shared" si="643"/>
        <v/>
      </c>
      <c r="HT342" s="177">
        <f>IF($J342="",#N/A,SUM($HS$4:HS342))</f>
        <v>15.214830515357553</v>
      </c>
      <c r="HU342" s="64">
        <f t="shared" si="644"/>
        <v>-0.4017101374422542</v>
      </c>
      <c r="HV342" s="64">
        <f>IF($J342="",#N/A,SUM(HU$4:$HU342))</f>
        <v>16.441319119142236</v>
      </c>
    </row>
    <row r="343" spans="1:230" x14ac:dyDescent="0.25">
      <c r="A343" s="413" t="s">
        <v>1059</v>
      </c>
      <c r="B343" s="52" t="s">
        <v>4716</v>
      </c>
      <c r="C343" s="276">
        <f t="shared" si="545"/>
        <v>3</v>
      </c>
      <c r="D343" s="277" t="str">
        <f>_xlfn.XLOOKUP(A343,[1]SP500!$A$2:$A$502,[1]SP500!$D$2:$D$502,"N")</f>
        <v>Y</v>
      </c>
      <c r="E343" s="275" t="str">
        <f>IFERROR(_xlfn.XLOOKUP(A343,[1]SP500!$A$2:$A$655,[1]SP500!$B$2:$B$655),"")</f>
        <v>SMH</v>
      </c>
      <c r="F343" s="290">
        <v>45792</v>
      </c>
      <c r="G343" s="51" t="str">
        <f t="shared" si="546"/>
        <v>AMC</v>
      </c>
      <c r="H343" s="51" t="str">
        <f t="shared" si="547"/>
        <v>s</v>
      </c>
      <c r="I343" s="344">
        <v>174.75</v>
      </c>
      <c r="J343" s="124">
        <v>168.43</v>
      </c>
      <c r="K343" s="55">
        <f t="shared" si="548"/>
        <v>-3.6165951359084368E-2</v>
      </c>
      <c r="L343" s="67">
        <f t="shared" si="549"/>
        <v>-44.240000000000009</v>
      </c>
      <c r="M343" s="57" t="e">
        <f t="shared" si="550"/>
        <v>#N/A</v>
      </c>
      <c r="N343" s="102">
        <f t="shared" si="551"/>
        <v>-44.240000000000009</v>
      </c>
      <c r="O343" s="57">
        <f>IF(N343="",#N/A,SUM($N$4:N343))</f>
        <v>1060.9943755616248</v>
      </c>
      <c r="P343" s="65">
        <f t="shared" si="645"/>
        <v>-0.60276585598474031</v>
      </c>
      <c r="Q343" s="172">
        <f>IF($N343="",#N/A,SUM($P$4:P343))</f>
        <v>19.260159759950369</v>
      </c>
      <c r="R343" s="279">
        <f t="shared" si="552"/>
        <v>8.5972029452480534</v>
      </c>
      <c r="S343" s="51" t="str">
        <f t="shared" si="553"/>
        <v>SW</v>
      </c>
      <c r="T343" s="51" t="s">
        <v>2828</v>
      </c>
      <c r="U343" s="56">
        <f t="shared" si="554"/>
        <v>174.75</v>
      </c>
      <c r="V343" s="56" t="s">
        <v>4460</v>
      </c>
      <c r="W343" s="142">
        <v>7</v>
      </c>
      <c r="X343" s="145">
        <f t="shared" si="555"/>
        <v>1223.25</v>
      </c>
      <c r="Y343" s="140">
        <f t="shared" si="556"/>
        <v>7</v>
      </c>
      <c r="Z343" s="123">
        <f>J343</f>
        <v>168.43</v>
      </c>
      <c r="AA343" s="102">
        <f t="shared" si="557"/>
        <v>-44.240000000000009</v>
      </c>
      <c r="AB343" s="102">
        <f t="shared" si="558"/>
        <v>-64.259999999999991</v>
      </c>
      <c r="AC343" s="124">
        <v>165.57</v>
      </c>
      <c r="AD343" s="155">
        <f t="shared" si="559"/>
        <v>-64.259999999999991</v>
      </c>
      <c r="AE343" s="545">
        <f t="shared" si="560"/>
        <v>-0.87553648068669521</v>
      </c>
      <c r="AF343" s="57">
        <f>IF($AC343="",#N/A,SUM(AD$4:AD343))</f>
        <v>1001.5223971474493</v>
      </c>
      <c r="AG343" s="102">
        <f t="shared" si="561"/>
        <v>-20.019999999999982</v>
      </c>
      <c r="AH343" s="56" t="s">
        <v>4674</v>
      </c>
      <c r="AI343" s="65">
        <f t="shared" si="562"/>
        <v>-0.87553648068669521</v>
      </c>
      <c r="AJ343" s="108">
        <f>IF(AI343="",#N/A,SUM($AI$4:AI343))</f>
        <v>10.662956814702316</v>
      </c>
      <c r="AK343" s="57">
        <f t="shared" si="563"/>
        <v>-64.259999999999991</v>
      </c>
      <c r="AL343" s="66">
        <f>IF(AI343="",#N/A,IF(AH343="Skip",SUM($AK$4:AK343),SUM($AK$4:AK343)))</f>
        <v>469.10236927848246</v>
      </c>
      <c r="AM343" s="65">
        <f t="shared" si="646"/>
        <v>-0.87553648068669521</v>
      </c>
      <c r="AN343" s="209"/>
      <c r="AO343" s="65">
        <f t="shared" si="564"/>
        <v>-0.87553648068669521</v>
      </c>
      <c r="AP343" s="65">
        <f>IF($AC343="",#N/A,SUM(AO$4:AO343))</f>
        <v>14.530580455397132</v>
      </c>
      <c r="AQ343" s="65" t="str">
        <f t="shared" si="565"/>
        <v/>
      </c>
      <c r="AR343" s="65">
        <f>IF($AC343="",#N/A,SUM(AQ$4:AQ343))</f>
        <v>-3.3504780110235459</v>
      </c>
      <c r="AS343" s="65" t="str">
        <f t="shared" si="566"/>
        <v/>
      </c>
      <c r="AT343" s="65">
        <f>IF($AC343="",#N/A,SUM(AS$4:AS343))</f>
        <v>4.3856801940819459</v>
      </c>
      <c r="AU343" s="57">
        <f t="shared" si="647"/>
        <v>-64.259999999999991</v>
      </c>
      <c r="AV343" s="57">
        <f>IF($AC343="",#N/A,SUM(AU$4:AU343))</f>
        <v>892.09627194988025</v>
      </c>
      <c r="AW343" s="57" t="str">
        <f t="shared" si="648"/>
        <v/>
      </c>
      <c r="AX343" s="57">
        <f>IF($AC343="",#N/A,SUM(AW$4:AW343))</f>
        <v>-206.13106797961063</v>
      </c>
      <c r="AY343" s="57" t="str">
        <f t="shared" si="649"/>
        <v/>
      </c>
      <c r="AZ343" s="57">
        <f>IF($AC343="",#N/A,SUM(AY$4:AY343))</f>
        <v>315.55719317717956</v>
      </c>
      <c r="BA343" s="57">
        <f>IF(AD343="",#N/A,SUM($AD$4:AD343))</f>
        <v>1001.5223971474493</v>
      </c>
      <c r="BC343" s="51" t="str">
        <f t="shared" si="567"/>
        <v/>
      </c>
      <c r="BD343" s="51" t="str">
        <f t="shared" si="568"/>
        <v/>
      </c>
      <c r="BE343" s="51" t="str">
        <f t="shared" si="569"/>
        <v/>
      </c>
      <c r="BF343" s="51" t="str">
        <f t="shared" si="570"/>
        <v>Long</v>
      </c>
      <c r="BG343" s="51" t="str">
        <f t="shared" si="571"/>
        <v/>
      </c>
      <c r="BH343" s="51" t="str">
        <f t="shared" si="572"/>
        <v/>
      </c>
      <c r="BI343" s="51">
        <f t="shared" si="573"/>
        <v>1</v>
      </c>
      <c r="BK343" s="65">
        <f t="shared" si="544"/>
        <v>0.11385569418877871</v>
      </c>
      <c r="BL343" s="65">
        <f t="shared" si="543"/>
        <v>9.6437427549458762E-2</v>
      </c>
      <c r="BM343" s="65">
        <f>IFERROR(Q343/COUNTA($J$4:J343),#N/A)</f>
        <v>5.6647528705736382E-2</v>
      </c>
      <c r="BO343" s="489">
        <f>IF(J343="",#N/A,IF(S343="SW",(COUNTIFS(K$4:$K343,"&gt;0",S$4:$S343,"SW")/COUNTIF(S$4:$S343,"SW")),#N/A))</f>
        <v>0.51552795031055898</v>
      </c>
      <c r="BP343" s="489" t="e">
        <f>IF($J343="",#N/A,IF($S343="DWN",(COUNTIFS($K$4:$K343,"&lt;0",$S$4:$S343,"DWN")/COUNTIF($S$4:$S343,"DWN")),#N/A))</f>
        <v>#N/A</v>
      </c>
      <c r="BQ343" s="489" t="e">
        <f>IF($J343="",#N/A,IF($S343="UP",(COUNTIFS($K$4:$K343,"&gt;0",$S$4:$S343,"UP")/COUNTIF($S$4:$S343,"UP")),#N/A))</f>
        <v>#N/A</v>
      </c>
      <c r="BR343" s="489">
        <f>IF(J343="",#N/A,COUNTIF($K$4:K343,"&gt;0")/COUNT($J$4:J343))</f>
        <v>0.47941176470588237</v>
      </c>
      <c r="BS343" s="65" t="str">
        <f t="shared" si="574"/>
        <v/>
      </c>
      <c r="BT343" s="65">
        <f t="shared" si="575"/>
        <v>-0.60276585598474031</v>
      </c>
      <c r="BU343" s="65" t="str">
        <f t="shared" si="576"/>
        <v/>
      </c>
      <c r="BV343" s="65" t="str">
        <f t="shared" si="577"/>
        <v/>
      </c>
      <c r="BW343" s="128" t="str">
        <f t="shared" si="578"/>
        <v/>
      </c>
      <c r="BX343" s="128">
        <f>IF($J343="",#N/A,SUM($BW$4:BW343))</f>
        <v>-186.02817034792838</v>
      </c>
      <c r="BY343" s="131" t="str">
        <f t="shared" si="579"/>
        <v/>
      </c>
      <c r="BZ343" s="131">
        <f>IF($J343="",#N/A,SUM($BY$4:BY343))</f>
        <v>642.74161346139442</v>
      </c>
      <c r="CA343" s="133">
        <f t="shared" si="580"/>
        <v>-44.240000000000009</v>
      </c>
      <c r="CB343" s="133">
        <f>IF($J343="",#N/A,SUM($CA$4:CA343))</f>
        <v>604.28093244815864</v>
      </c>
      <c r="CC343" s="194" t="str">
        <f t="shared" si="581"/>
        <v/>
      </c>
      <c r="CD343" s="194">
        <f>IF($J343="",#N/A,SUM($CC$4:CC343))</f>
        <v>-3.0718846349476614</v>
      </c>
      <c r="CE343" s="195" t="str">
        <f t="shared" si="582"/>
        <v/>
      </c>
      <c r="CF343" s="195">
        <f>IF($J343="",#N/A,SUM($CE$4:CE343))</f>
        <v>11.312285252271353</v>
      </c>
      <c r="CG343" s="196">
        <f t="shared" si="583"/>
        <v>-0.60276585598474031</v>
      </c>
      <c r="CH343" s="196">
        <f>IF($J343="",#N/A,SUM($CG$4:CG343))</f>
        <v>11.019759142626683</v>
      </c>
      <c r="CI343" s="200" t="str">
        <f t="shared" si="584"/>
        <v/>
      </c>
      <c r="CJ343" s="203">
        <f>IF($J343="",#N/A,SUM(CI$4:CI343))</f>
        <v>0</v>
      </c>
      <c r="CK343" s="204" t="str">
        <f t="shared" si="585"/>
        <v/>
      </c>
      <c r="CL343" s="204">
        <f>IF($J343="",#N/A,SUM(CK$4:CK343))</f>
        <v>1.2912501745213723</v>
      </c>
      <c r="CM343" s="205" t="str">
        <f t="shared" si="586"/>
        <v/>
      </c>
      <c r="CN343" s="205">
        <f>IF($J343="",#N/A,SUM(CM$4:CM343))</f>
        <v>1.357235719871134</v>
      </c>
      <c r="CO343" s="205">
        <f>IF($J343="",#N/A,SUM(CM$4:CM343,CK$4:CK343,CI$4:CI343))</f>
        <v>2.6484858943925063</v>
      </c>
      <c r="CP343" s="200" t="str">
        <f t="shared" si="587"/>
        <v/>
      </c>
      <c r="CQ343" s="203">
        <f>IF($J343="",#N/A,SUM(CP$4:CP343))</f>
        <v>-2.2357678263539635</v>
      </c>
      <c r="CR343" s="204" t="str">
        <f t="shared" si="588"/>
        <v/>
      </c>
      <c r="CS343" s="204">
        <f>IF($J343="",#N/A,SUM(CR$4:CR343))</f>
        <v>2.3600225017004668</v>
      </c>
      <c r="CT343" s="205" t="str">
        <f t="shared" si="589"/>
        <v/>
      </c>
      <c r="CU343" s="205">
        <f>IF($J343="",#N/A,SUM(CT$4:CT343))</f>
        <v>-1.2300043871274924E-2</v>
      </c>
      <c r="CV343" s="205">
        <f>IF($J343="",#N/A,SUM(CT$4:CT343,CR$4:CR343,CP$4:CP343))</f>
        <v>0.11195463147522905</v>
      </c>
      <c r="CW343" s="200" t="str">
        <f t="shared" si="590"/>
        <v/>
      </c>
      <c r="CX343" s="203">
        <f>IF($J343="",#N/A,SUM(CW$4:CW343))</f>
        <v>-0.29399505935581682</v>
      </c>
      <c r="CY343" s="204" t="str">
        <f t="shared" si="591"/>
        <v/>
      </c>
      <c r="CZ343" s="204">
        <f>IF($J343="",#N/A,SUM(CY$4:CY343))</f>
        <v>-0.20119965665334139</v>
      </c>
      <c r="DA343" s="205" t="str">
        <f t="shared" si="592"/>
        <v/>
      </c>
      <c r="DB343" s="205">
        <f>IF($J343="",#N/A,SUM(DA$4:DA343))</f>
        <v>-2.7756316087437582</v>
      </c>
      <c r="DC343" s="205">
        <f>IF($J343="",#N/A,SUM(DA$4:DA343,CY$4:CY343,CW$4:CW343))</f>
        <v>-3.2708263247529161</v>
      </c>
      <c r="DD343" s="200" t="str">
        <f t="shared" si="593"/>
        <v/>
      </c>
      <c r="DE343" s="203">
        <f>IF($J343="",#N/A,SUM(DD$4:DD343))</f>
        <v>1.2501454750716789</v>
      </c>
      <c r="DF343" s="204" t="str">
        <f t="shared" si="594"/>
        <v/>
      </c>
      <c r="DG343" s="204">
        <f>IF($J343="",#N/A,SUM(DF$4:DF343))</f>
        <v>2.626961496209514</v>
      </c>
      <c r="DH343" s="205" t="str">
        <f t="shared" si="595"/>
        <v/>
      </c>
      <c r="DI343" s="205">
        <f>IF($J343="",#N/A,SUM(DH$4:DH343))</f>
        <v>-3.216671910770577</v>
      </c>
      <c r="DJ343" s="205">
        <f>IF($J343="",#N/A,SUM(DH$4:DH343,DF$4:DF343,DD$4:DD343))</f>
        <v>0.66043506051061596</v>
      </c>
      <c r="DK343" s="200" t="str">
        <f t="shared" si="596"/>
        <v/>
      </c>
      <c r="DL343" s="203">
        <f>IF($J343="",#N/A,SUM(DK$4:DK343))</f>
        <v>-0.84049791589649614</v>
      </c>
      <c r="DM343" s="204" t="str">
        <f t="shared" si="597"/>
        <v/>
      </c>
      <c r="DN343" s="204">
        <f>IF($J343="",#N/A,SUM(DM$4:DM343))</f>
        <v>1.8657648196498773</v>
      </c>
      <c r="DO343" s="205" t="str">
        <f t="shared" si="598"/>
        <v/>
      </c>
      <c r="DP343" s="205">
        <f>IF($J343="",#N/A,SUM(DO$4:DO343))</f>
        <v>3.4887162328793941</v>
      </c>
      <c r="DQ343" s="205">
        <f>IF($J343="",#N/A,SUM(DO$4:DO343,DM$4:DM343,DK$4:DK343))</f>
        <v>4.5139831366327758</v>
      </c>
      <c r="DR343" s="200" t="str">
        <f t="shared" si="599"/>
        <v/>
      </c>
      <c r="DS343" s="203">
        <f>IF($J343="",#N/A,SUM(DR$4:DR343))</f>
        <v>-0.55950946427675097</v>
      </c>
      <c r="DT343" s="204" t="str">
        <f t="shared" si="600"/>
        <v/>
      </c>
      <c r="DU343" s="204">
        <f>IF($J343="",#N/A,SUM(DT$4:DT343))</f>
        <v>-0.20750635820596686</v>
      </c>
      <c r="DV343" s="205" t="str">
        <f t="shared" si="601"/>
        <v/>
      </c>
      <c r="DW343" s="205">
        <f>IF($J343="",#N/A,SUM(DV$4:DV343))</f>
        <v>-2.3377035686214001</v>
      </c>
      <c r="DX343" s="205">
        <f>IF($J343="",#N/A,SUM(DV$4:DV343,DT$4:DT343,DR$4:DR343))</f>
        <v>-3.1047193911041169</v>
      </c>
      <c r="DY343" s="200" t="str">
        <f t="shared" si="602"/>
        <v/>
      </c>
      <c r="DZ343" s="203">
        <f>IF($J343="",#N/A,SUM(DY$4:DY343))</f>
        <v>-1.4146842415208627</v>
      </c>
      <c r="EA343" s="204" t="str">
        <f t="shared" si="603"/>
        <v/>
      </c>
      <c r="EB343" s="204">
        <f>IF($J343="",#N/A,SUM(EA$4:EA343))</f>
        <v>4.3184391548878134</v>
      </c>
      <c r="EC343" s="205" t="str">
        <f t="shared" si="604"/>
        <v/>
      </c>
      <c r="ED343" s="205">
        <f>IF($J343="",#N/A,SUM(EC$4:EC343))</f>
        <v>9.2956923798665674</v>
      </c>
      <c r="EE343" s="205">
        <f>IF($J343="",#N/A,SUM(EC$4:EC343,EA$4:EA343,DY$4:DY343))</f>
        <v>12.199447293233519</v>
      </c>
      <c r="EF343" s="200" t="str">
        <f t="shared" si="605"/>
        <v/>
      </c>
      <c r="EG343" s="203">
        <f>IF($J343="",#N/A,SUM(EF$4:EF343))</f>
        <v>0.65848341369884777</v>
      </c>
      <c r="EH343" s="204" t="str">
        <f t="shared" si="606"/>
        <v/>
      </c>
      <c r="EI343" s="204">
        <f>IF($J343="",#N/A,SUM(EH$4:EH343))</f>
        <v>-3.5125331561187787</v>
      </c>
      <c r="EJ343" s="205" t="str">
        <f t="shared" si="607"/>
        <v/>
      </c>
      <c r="EK343" s="205">
        <f>IF($J343="",#N/A,SUM(EJ$4:EJ343))</f>
        <v>8.4415851520554703</v>
      </c>
      <c r="EL343" s="205">
        <f>IF($J343="",#N/A,SUM(EJ$4:EJ343,EH$4:EH343,EF$4:EF343))</f>
        <v>5.5875354096355405</v>
      </c>
      <c r="EM343" s="200" t="str">
        <f t="shared" si="608"/>
        <v/>
      </c>
      <c r="EN343" s="203">
        <f>IF($J343="",#N/A,SUM(EM$4:EM343))</f>
        <v>0</v>
      </c>
      <c r="EO343" s="204" t="str">
        <f t="shared" si="609"/>
        <v/>
      </c>
      <c r="EP343" s="204">
        <f>IF($J343="",#N/A,SUM(EO$4:EO343))</f>
        <v>2.4788862078089964</v>
      </c>
      <c r="EQ343" s="205" t="str">
        <f t="shared" si="610"/>
        <v/>
      </c>
      <c r="ER343" s="205">
        <f>IF($J343="",#N/A,SUM(EQ$4:EQ343))</f>
        <v>2.6983279209445628</v>
      </c>
      <c r="ES343" s="205">
        <f>IF($J343="",#N/A,SUM(EQ$4:EQ343,EO$4:EO343,EM$4:EM343))</f>
        <v>5.1772141287535591</v>
      </c>
      <c r="ET343" s="200" t="str">
        <f t="shared" si="611"/>
        <v/>
      </c>
      <c r="EU343" s="203">
        <f>IF($J343="",#N/A,SUM(ET$4:ET343))</f>
        <v>0</v>
      </c>
      <c r="EV343" s="204" t="str">
        <f t="shared" si="612"/>
        <v/>
      </c>
      <c r="EW343" s="204">
        <f>IF($J343="",#N/A,SUM(EV$4:EV343))</f>
        <v>7.9116394275462909E-2</v>
      </c>
      <c r="EX343" s="205">
        <f t="shared" si="613"/>
        <v>-0.60276585598474031</v>
      </c>
      <c r="EY343" s="205">
        <f>IF($J343="",#N/A,SUM(EX$4:EX343))</f>
        <v>-0.33163335417804801</v>
      </c>
      <c r="EZ343" s="205">
        <f>IF($J343="",#N/A,SUM(EX$4:EX343,EV$4:EV343,ET$4:ET343))</f>
        <v>-0.25251695990258494</v>
      </c>
      <c r="FA343" s="200" t="str">
        <f t="shared" si="614"/>
        <v/>
      </c>
      <c r="FB343" s="203">
        <f>IF($J343="",#N/A,SUM(FA$4:FA343))</f>
        <v>-0.27145310509113252</v>
      </c>
      <c r="FC343" s="204" t="str">
        <f t="shared" si="615"/>
        <v/>
      </c>
      <c r="FD343" s="204">
        <f>IF($J343="",#N/A,SUM(FC$4:FC343))</f>
        <v>0.89084290967454072</v>
      </c>
      <c r="FE343" s="205" t="str">
        <f t="shared" si="616"/>
        <v/>
      </c>
      <c r="FF343" s="205">
        <f>IF($J343="",#N/A,SUM(FE$4:FE343))</f>
        <v>-0.28811149078748233</v>
      </c>
      <c r="FG343" s="205">
        <f>IF($J343="",#N/A,SUM(FE$4:FE343,FC$4:FC343,FA$4:FA343))</f>
        <v>0.3312783137959262</v>
      </c>
      <c r="FH343" s="200" t="str">
        <f t="shared" si="617"/>
        <v/>
      </c>
      <c r="FI343" s="203">
        <f>IF($J343="",#N/A,SUM(FH$4:FH343))</f>
        <v>0</v>
      </c>
      <c r="FJ343" s="204" t="str">
        <f t="shared" si="618"/>
        <v/>
      </c>
      <c r="FK343" s="204">
        <f>IF($J343="",#N/A,SUM(FJ$4:FJ343))</f>
        <v>0</v>
      </c>
      <c r="FL343" s="205" t="str">
        <f t="shared" si="619"/>
        <v/>
      </c>
      <c r="FM343" s="205">
        <f>IF($J343="",#N/A,SUM(FL$4:FL343))</f>
        <v>0</v>
      </c>
      <c r="FN343" s="205">
        <f>IF($J343="",#N/A,SUM(FL$4:FL343,FJ$4:FJ343,FH$4:FH343))</f>
        <v>0</v>
      </c>
      <c r="FO343" s="200" t="str">
        <f t="shared" si="620"/>
        <v/>
      </c>
      <c r="FP343" s="203">
        <f>IF($J343="",#N/A,SUM(FO$4:FO343))</f>
        <v>0</v>
      </c>
      <c r="FQ343" s="204" t="str">
        <f t="shared" si="621"/>
        <v/>
      </c>
      <c r="FR343" s="204">
        <f>IF($J343="",#N/A,SUM(FQ$4:FQ343))</f>
        <v>0</v>
      </c>
      <c r="FS343" s="205" t="str">
        <f t="shared" si="622"/>
        <v/>
      </c>
      <c r="FT343" s="205">
        <f>IF($J343="",#N/A,SUM(FS$4:FS343))</f>
        <v>0</v>
      </c>
      <c r="FU343" s="205">
        <f>IF($J343="",#N/A,SUM(FS$4:FS343,FQ$4:FQ343,FO$4:FO343))</f>
        <v>0</v>
      </c>
      <c r="FV343" s="200" t="str">
        <f t="shared" si="623"/>
        <v/>
      </c>
      <c r="FW343" s="203">
        <f>IF($J343="",#N/A,SUM(FV$4:FV343))</f>
        <v>6.6834991831277585E-2</v>
      </c>
      <c r="FX343" s="204" t="str">
        <f t="shared" si="624"/>
        <v/>
      </c>
      <c r="FY343" s="204">
        <f>IF($J343="",#N/A,SUM(FX$4:FX343))</f>
        <v>-0.16102012791805576</v>
      </c>
      <c r="FZ343" s="205" t="str">
        <f t="shared" si="625"/>
        <v/>
      </c>
      <c r="GA343" s="205">
        <f>IF($J343="",#N/A,SUM(FZ$4:FZ343))</f>
        <v>-0.69624339162892301</v>
      </c>
      <c r="GB343" s="205">
        <f>IF($J343="",#N/A,SUM(FZ$4:FZ343,FX$4:FX343,FV$4:FV343))</f>
        <v>-0.79042852771570116</v>
      </c>
      <c r="GC343" s="200" t="str">
        <f t="shared" si="626"/>
        <v/>
      </c>
      <c r="GD343" s="203">
        <f>IF($J343="",#N/A,SUM(GC$4:GC343))</f>
        <v>0</v>
      </c>
      <c r="GE343" s="204" t="str">
        <f t="shared" si="627"/>
        <v/>
      </c>
      <c r="GF343" s="204">
        <f>IF($J343="",#N/A,SUM(GE$4:GE343))</f>
        <v>0</v>
      </c>
      <c r="GG343" s="205" t="str">
        <f t="shared" si="628"/>
        <v/>
      </c>
      <c r="GH343" s="205">
        <f>IF($J343="",#N/A,SUM(GG$4:GG343))</f>
        <v>-2.9368362277223206</v>
      </c>
      <c r="GI343" s="205">
        <f>IF($J343="",#N/A,SUM(GG$4:GG343,GE$4:GE343,GC$4:GC343))</f>
        <v>-2.9368362277223206</v>
      </c>
      <c r="GJ343" s="200" t="str">
        <f t="shared" si="629"/>
        <v/>
      </c>
      <c r="GK343" s="203">
        <f>IF($J343="",#N/A,SUM(GJ$4:GJ343))</f>
        <v>0</v>
      </c>
      <c r="GL343" s="204" t="str">
        <f t="shared" si="630"/>
        <v/>
      </c>
      <c r="GM343" s="204">
        <f>IF($J343="",#N/A,SUM(GL$4:GL343))</f>
        <v>-1.6833790887309608</v>
      </c>
      <c r="GN343" s="205" t="str">
        <f t="shared" si="631"/>
        <v/>
      </c>
      <c r="GO343" s="205">
        <f>IF($J343="",#N/A,SUM(GN$4:GN343))</f>
        <v>0</v>
      </c>
      <c r="GP343" s="205">
        <f>IF($J343="",#N/A,SUM(GN$4:GN343,GL$4:GL343,GJ$4:GJ343))</f>
        <v>-1.6833790887309608</v>
      </c>
      <c r="GS343" s="54">
        <f t="shared" si="650"/>
        <v>-0.60276585598474031</v>
      </c>
      <c r="GT343" s="54">
        <f>IF(GS343="",NA(),SUM($GS$4:GS343))</f>
        <v>13.475238220476696</v>
      </c>
      <c r="GU343" s="54" t="str">
        <f t="shared" si="632"/>
        <v/>
      </c>
      <c r="GV343" s="54" t="e">
        <f>IF(GU343="",NA(),SUM($GU$4:GU343))</f>
        <v>#N/A</v>
      </c>
      <c r="GW343" s="54">
        <f t="shared" si="633"/>
        <v>-0.60276585598474031</v>
      </c>
      <c r="GX343" s="54">
        <f>IF(GW343="",NA(),SUM($GW$4:GW343))</f>
        <v>12.109036480797721</v>
      </c>
      <c r="GY343" s="54" t="str">
        <f t="shared" si="634"/>
        <v/>
      </c>
      <c r="GZ343" s="54" t="e">
        <f>IF(GY343="",NA(),SUM($GY$4:GY343))</f>
        <v>#N/A</v>
      </c>
      <c r="HA343" s="54" t="str">
        <f t="shared" si="635"/>
        <v/>
      </c>
      <c r="HB343" s="54" t="e">
        <f>IF(HA343="",NA(),SUM($HA$4:HA343))</f>
        <v>#N/A</v>
      </c>
      <c r="HC343" s="54" t="str">
        <f t="shared" si="636"/>
        <v/>
      </c>
      <c r="HD343" s="54" t="e">
        <f>IF(HC343="",NA(),SUM($HC$4:HC343))</f>
        <v>#N/A</v>
      </c>
      <c r="HE343" s="54" t="str">
        <f t="shared" si="637"/>
        <v/>
      </c>
      <c r="HF343" s="54" t="e">
        <f>IF(HE343="",NA(),SUM($HE$4:HE343))</f>
        <v>#N/A</v>
      </c>
      <c r="HG343" s="54" t="str">
        <f t="shared" si="638"/>
        <v/>
      </c>
      <c r="HH343" s="54" t="e">
        <f>IF(HG343="",NA(),SUM($HG$4:HG343))</f>
        <v>#N/A</v>
      </c>
      <c r="HI343" s="172" t="str">
        <f t="shared" si="651"/>
        <v/>
      </c>
      <c r="HJ343" s="172">
        <f>IF($J343="",#N/A,SUM(HI$4:$HI343))</f>
        <v>-8.8300702515875571</v>
      </c>
      <c r="HK343" s="54" t="str">
        <f t="shared" si="639"/>
        <v/>
      </c>
      <c r="HL343" s="54">
        <f>IF($J343="",#N/A,SUM($HK$4:HK343))</f>
        <v>1.9034651933981581</v>
      </c>
      <c r="HM343" s="54" t="str">
        <f t="shared" si="640"/>
        <v/>
      </c>
      <c r="HN343" s="54">
        <f>IF($J343="",#N/A,SUM($HM$4:HM343))</f>
        <v>0.41616915617605843</v>
      </c>
      <c r="HO343" s="54" t="str">
        <f t="shared" si="641"/>
        <v/>
      </c>
      <c r="HP343" s="54">
        <f>IF($J343="",#N/A,SUM($HO$4:HO343))</f>
        <v>-0.69476253225193951</v>
      </c>
      <c r="HQ343" s="54" t="str">
        <f t="shared" si="642"/>
        <v/>
      </c>
      <c r="HR343" s="54">
        <f>IF($J343="",#N/A,SUM($HQ$4:HQ343))</f>
        <v>-10.915291110718158</v>
      </c>
      <c r="HS343" s="54">
        <f t="shared" si="643"/>
        <v>-0.2727706247019549</v>
      </c>
      <c r="HT343" s="54">
        <f>IF($J343="",#N/A,SUM($HS$4:HS343))</f>
        <v>14.942059890655598</v>
      </c>
      <c r="HU343" s="65">
        <f t="shared" si="644"/>
        <v>-0.87553648068669521</v>
      </c>
      <c r="HV343" s="65">
        <f>IF($J343="",#N/A,SUM(HU$4:$HU343))</f>
        <v>15.565782638455541</v>
      </c>
    </row>
    <row r="344" spans="1:230" x14ac:dyDescent="0.25">
      <c r="A344" s="413" t="s">
        <v>670</v>
      </c>
      <c r="B344" s="52" t="s">
        <v>4716</v>
      </c>
      <c r="C344" s="276">
        <f t="shared" si="545"/>
        <v>3</v>
      </c>
      <c r="D344" s="277" t="str">
        <f>_xlfn.XLOOKUP(A344,[1]SP500!$A$2:$A$502,[1]SP500!$D$2:$D$502,"N")</f>
        <v>N</v>
      </c>
      <c r="E344" s="275" t="str">
        <f>IFERROR(_xlfn.XLOOKUP(A344,[1]SP500!$A$2:$A$655,[1]SP500!$B$2:$B$655),"")</f>
        <v>IGV</v>
      </c>
      <c r="F344" s="290">
        <v>45792</v>
      </c>
      <c r="G344" s="51" t="str">
        <f t="shared" si="546"/>
        <v>AMC</v>
      </c>
      <c r="H344" s="51" t="str">
        <f t="shared" si="547"/>
        <v>s</v>
      </c>
      <c r="I344" s="344">
        <v>58.45</v>
      </c>
      <c r="J344" s="124">
        <v>48.47</v>
      </c>
      <c r="K344" s="55">
        <f t="shared" si="548"/>
        <v>-0.17074422583404625</v>
      </c>
      <c r="L344" s="67">
        <f t="shared" si="549"/>
        <v>-209.58000000000004</v>
      </c>
      <c r="M344" s="57" t="e">
        <f t="shared" si="550"/>
        <v>#N/A</v>
      </c>
      <c r="N344" s="102">
        <f t="shared" si="551"/>
        <v>-209.58000000000004</v>
      </c>
      <c r="O344" s="57">
        <f>IF(N344="",#N/A,SUM($N$4:N344))</f>
        <v>851.41437556162475</v>
      </c>
      <c r="P344" s="65">
        <f t="shared" si="645"/>
        <v>-2.8457370972341036</v>
      </c>
      <c r="Q344" s="172">
        <f>IF($N344="",#N/A,SUM($P$4:P344))</f>
        <v>16.414422662716266</v>
      </c>
      <c r="R344" s="279">
        <f t="shared" si="552"/>
        <v>7.4922699540875186</v>
      </c>
      <c r="S344" s="51" t="str">
        <f t="shared" si="553"/>
        <v>SW</v>
      </c>
      <c r="T344" s="51" t="s">
        <v>2828</v>
      </c>
      <c r="U344" s="56">
        <f t="shared" si="554"/>
        <v>58.45</v>
      </c>
      <c r="V344" s="56" t="s">
        <v>4460</v>
      </c>
      <c r="W344" s="142">
        <v>21</v>
      </c>
      <c r="X344" s="145">
        <f t="shared" si="555"/>
        <v>1227.45</v>
      </c>
      <c r="Y344" s="140">
        <f t="shared" si="556"/>
        <v>21</v>
      </c>
      <c r="Z344" s="123">
        <v>52.344999999999999</v>
      </c>
      <c r="AA344" s="102">
        <f t="shared" si="557"/>
        <v>-128.20500000000015</v>
      </c>
      <c r="AB344" s="102">
        <f t="shared" si="558"/>
        <v>-123.69000000000005</v>
      </c>
      <c r="AC344" s="124">
        <v>52.56</v>
      </c>
      <c r="AD344" s="155">
        <f t="shared" si="559"/>
        <v>-123.69000000000005</v>
      </c>
      <c r="AE344" s="545">
        <f t="shared" si="560"/>
        <v>-1.6794981465640155</v>
      </c>
      <c r="AF344" s="57">
        <f>IF($AC344="",#N/A,SUM(AD$4:AD344))</f>
        <v>877.83239714744923</v>
      </c>
      <c r="AG344" s="102">
        <f t="shared" si="561"/>
        <v>85.889999999999986</v>
      </c>
      <c r="AH344" s="56" t="s">
        <v>4471</v>
      </c>
      <c r="AI344" s="65">
        <f t="shared" si="562"/>
        <v>-1.7408041060735691</v>
      </c>
      <c r="AJ344" s="108">
        <f>IF(AI344="",#N/A,SUM($AI$4:AI344))</f>
        <v>8.9221527086287473</v>
      </c>
      <c r="AK344" s="57">
        <f t="shared" si="563"/>
        <v>-128.20500000000015</v>
      </c>
      <c r="AL344" s="66">
        <f>IF(AI344="",#N/A,IF(AH344="Skip",SUM($AK$4:AK344),SUM($AK$4:AK344)))</f>
        <v>340.8973692784823</v>
      </c>
      <c r="AM344" s="65">
        <f t="shared" si="646"/>
        <v>-1.6794981465640155</v>
      </c>
      <c r="AN344" s="209"/>
      <c r="AO344" s="65">
        <f t="shared" si="564"/>
        <v>-1.6794981465640155</v>
      </c>
      <c r="AP344" s="65">
        <f>IF($AC344="",#N/A,SUM(AO$4:AO344))</f>
        <v>12.851082308833117</v>
      </c>
      <c r="AQ344" s="65" t="str">
        <f t="shared" si="565"/>
        <v/>
      </c>
      <c r="AR344" s="65">
        <f>IF($AC344="",#N/A,SUM(AQ$4:AQ344))</f>
        <v>-3.3504780110235459</v>
      </c>
      <c r="AS344" s="65" t="str">
        <f t="shared" si="566"/>
        <v/>
      </c>
      <c r="AT344" s="65">
        <f>IF($AC344="",#N/A,SUM(AS$4:AS344))</f>
        <v>4.3856801940819459</v>
      </c>
      <c r="AU344" s="57">
        <f t="shared" si="647"/>
        <v>-123.69000000000005</v>
      </c>
      <c r="AV344" s="57">
        <f>IF($AC344="",#N/A,SUM(AU$4:AU344))</f>
        <v>768.40627194988019</v>
      </c>
      <c r="AW344" s="57" t="str">
        <f t="shared" si="648"/>
        <v/>
      </c>
      <c r="AX344" s="57">
        <f>IF($AC344="",#N/A,SUM(AW$4:AW344))</f>
        <v>-206.13106797961063</v>
      </c>
      <c r="AY344" s="57" t="str">
        <f t="shared" si="649"/>
        <v/>
      </c>
      <c r="AZ344" s="57">
        <f>IF($AC344="",#N/A,SUM(AY$4:AY344))</f>
        <v>315.55719317717956</v>
      </c>
      <c r="BA344" s="57">
        <f>IF(AD344="",#N/A,SUM($AD$4:AD344))</f>
        <v>877.83239714744923</v>
      </c>
      <c r="BC344" s="51" t="str">
        <f t="shared" si="567"/>
        <v/>
      </c>
      <c r="BD344" s="51" t="str">
        <f t="shared" si="568"/>
        <v/>
      </c>
      <c r="BE344" s="51" t="str">
        <f t="shared" si="569"/>
        <v/>
      </c>
      <c r="BF344" s="51" t="str">
        <f t="shared" si="570"/>
        <v>Long</v>
      </c>
      <c r="BG344" s="51" t="str">
        <f t="shared" si="571"/>
        <v/>
      </c>
      <c r="BH344" s="51" t="str">
        <f t="shared" si="572"/>
        <v/>
      </c>
      <c r="BI344" s="51">
        <f t="shared" si="573"/>
        <v>1</v>
      </c>
      <c r="BK344" s="65">
        <f t="shared" si="544"/>
        <v>3.6891688338500046E-2</v>
      </c>
      <c r="BL344" s="65">
        <f t="shared" si="543"/>
        <v>-3.8881854722134082E-2</v>
      </c>
      <c r="BM344" s="65">
        <f>IFERROR(Q344/COUNTA($J$4:J344),#N/A)</f>
        <v>4.8136136840810161E-2</v>
      </c>
      <c r="BO344" s="489">
        <f>IF(J344="",#N/A,IF(S344="SW",(COUNTIFS(K$4:$K344,"&gt;0",S$4:$S344,"SW")/COUNTIF(S$4:$S344,"SW")),#N/A))</f>
        <v>0.51234567901234573</v>
      </c>
      <c r="BP344" s="489" t="e">
        <f>IF($J344="",#N/A,IF($S344="DWN",(COUNTIFS($K$4:$K344,"&lt;0",$S$4:$S344,"DWN")/COUNTIF($S$4:$S344,"DWN")),#N/A))</f>
        <v>#N/A</v>
      </c>
      <c r="BQ344" s="489" t="e">
        <f>IF($J344="",#N/A,IF($S344="UP",(COUNTIFS($K$4:$K344,"&gt;0",$S$4:$S344,"UP")/COUNTIF($S$4:$S344,"UP")),#N/A))</f>
        <v>#N/A</v>
      </c>
      <c r="BR344" s="489">
        <f>IF(J344="",#N/A,COUNTIF($K$4:K344,"&gt;0")/COUNT($J$4:J344))</f>
        <v>0.47800586510263932</v>
      </c>
      <c r="BS344" s="65" t="str">
        <f t="shared" si="574"/>
        <v/>
      </c>
      <c r="BT344" s="65">
        <f t="shared" si="575"/>
        <v>-2.8457370972341036</v>
      </c>
      <c r="BU344" s="65" t="str">
        <f t="shared" si="576"/>
        <v/>
      </c>
      <c r="BV344" s="65" t="str">
        <f t="shared" si="577"/>
        <v/>
      </c>
      <c r="BW344" s="128" t="str">
        <f t="shared" si="578"/>
        <v/>
      </c>
      <c r="BX344" s="128">
        <f>IF($J344="",#N/A,SUM($BW$4:BW344))</f>
        <v>-186.02817034792838</v>
      </c>
      <c r="BY344" s="131" t="str">
        <f t="shared" si="579"/>
        <v/>
      </c>
      <c r="BZ344" s="131">
        <f>IF($J344="",#N/A,SUM($BY$4:BY344))</f>
        <v>642.74161346139442</v>
      </c>
      <c r="CA344" s="133">
        <f t="shared" si="580"/>
        <v>-209.58000000000004</v>
      </c>
      <c r="CB344" s="133">
        <f>IF($J344="",#N/A,SUM($CA$4:CA344))</f>
        <v>394.7009324481586</v>
      </c>
      <c r="CC344" s="194" t="str">
        <f t="shared" si="581"/>
        <v/>
      </c>
      <c r="CD344" s="194">
        <f>IF($J344="",#N/A,SUM($CC$4:CC344))</f>
        <v>-3.0718846349476614</v>
      </c>
      <c r="CE344" s="195" t="str">
        <f t="shared" si="582"/>
        <v/>
      </c>
      <c r="CF344" s="195">
        <f>IF($J344="",#N/A,SUM($CE$4:CE344))</f>
        <v>11.312285252271353</v>
      </c>
      <c r="CG344" s="196">
        <f t="shared" si="583"/>
        <v>-2.8457370972341036</v>
      </c>
      <c r="CH344" s="196">
        <f>IF($J344="",#N/A,SUM($CG$4:CG344))</f>
        <v>8.1740220453925794</v>
      </c>
      <c r="CI344" s="200" t="str">
        <f t="shared" si="584"/>
        <v/>
      </c>
      <c r="CJ344" s="203">
        <f>IF($J344="",#N/A,SUM(CI$4:CI344))</f>
        <v>0</v>
      </c>
      <c r="CK344" s="204" t="str">
        <f t="shared" si="585"/>
        <v/>
      </c>
      <c r="CL344" s="204">
        <f>IF($J344="",#N/A,SUM(CK$4:CK344))</f>
        <v>1.2912501745213723</v>
      </c>
      <c r="CM344" s="205" t="str">
        <f t="shared" si="586"/>
        <v/>
      </c>
      <c r="CN344" s="205">
        <f>IF($J344="",#N/A,SUM(CM$4:CM344))</f>
        <v>1.357235719871134</v>
      </c>
      <c r="CO344" s="205">
        <f>IF($J344="",#N/A,SUM(CM$4:CM344,CK$4:CK344,CI$4:CI344))</f>
        <v>2.6484858943925063</v>
      </c>
      <c r="CP344" s="200" t="str">
        <f t="shared" si="587"/>
        <v/>
      </c>
      <c r="CQ344" s="203">
        <f>IF($J344="",#N/A,SUM(CP$4:CP344))</f>
        <v>-2.2357678263539635</v>
      </c>
      <c r="CR344" s="204" t="str">
        <f t="shared" si="588"/>
        <v/>
      </c>
      <c r="CS344" s="204">
        <f>IF($J344="",#N/A,SUM(CR$4:CR344))</f>
        <v>2.3600225017004668</v>
      </c>
      <c r="CT344" s="205">
        <f t="shared" si="589"/>
        <v>-2.8457370972341036</v>
      </c>
      <c r="CU344" s="205">
        <f>IF($J344="",#N/A,SUM(CT$4:CT344))</f>
        <v>-2.8580371411053784</v>
      </c>
      <c r="CV344" s="205">
        <f>IF($J344="",#N/A,SUM(CT$4:CT344,CR$4:CR344,CP$4:CP344))</f>
        <v>-2.7337824657588752</v>
      </c>
      <c r="CW344" s="200" t="str">
        <f t="shared" si="590"/>
        <v/>
      </c>
      <c r="CX344" s="203">
        <f>IF($J344="",#N/A,SUM(CW$4:CW344))</f>
        <v>-0.29399505935581682</v>
      </c>
      <c r="CY344" s="204" t="str">
        <f t="shared" si="591"/>
        <v/>
      </c>
      <c r="CZ344" s="204">
        <f>IF($J344="",#N/A,SUM(CY$4:CY344))</f>
        <v>-0.20119965665334139</v>
      </c>
      <c r="DA344" s="205" t="str">
        <f t="shared" si="592"/>
        <v/>
      </c>
      <c r="DB344" s="205">
        <f>IF($J344="",#N/A,SUM(DA$4:DA344))</f>
        <v>-2.7756316087437582</v>
      </c>
      <c r="DC344" s="205">
        <f>IF($J344="",#N/A,SUM(DA$4:DA344,CY$4:CY344,CW$4:CW344))</f>
        <v>-3.2708263247529161</v>
      </c>
      <c r="DD344" s="200" t="str">
        <f t="shared" si="593"/>
        <v/>
      </c>
      <c r="DE344" s="203">
        <f>IF($J344="",#N/A,SUM(DD$4:DD344))</f>
        <v>1.2501454750716789</v>
      </c>
      <c r="DF344" s="204" t="str">
        <f t="shared" si="594"/>
        <v/>
      </c>
      <c r="DG344" s="204">
        <f>IF($J344="",#N/A,SUM(DF$4:DF344))</f>
        <v>2.626961496209514</v>
      </c>
      <c r="DH344" s="205" t="str">
        <f t="shared" si="595"/>
        <v/>
      </c>
      <c r="DI344" s="205">
        <f>IF($J344="",#N/A,SUM(DH$4:DH344))</f>
        <v>-3.216671910770577</v>
      </c>
      <c r="DJ344" s="205">
        <f>IF($J344="",#N/A,SUM(DH$4:DH344,DF$4:DF344,DD$4:DD344))</f>
        <v>0.66043506051061596</v>
      </c>
      <c r="DK344" s="200" t="str">
        <f t="shared" si="596"/>
        <v/>
      </c>
      <c r="DL344" s="203">
        <f>IF($J344="",#N/A,SUM(DK$4:DK344))</f>
        <v>-0.84049791589649614</v>
      </c>
      <c r="DM344" s="204" t="str">
        <f t="shared" si="597"/>
        <v/>
      </c>
      <c r="DN344" s="204">
        <f>IF($J344="",#N/A,SUM(DM$4:DM344))</f>
        <v>1.8657648196498773</v>
      </c>
      <c r="DO344" s="205" t="str">
        <f t="shared" si="598"/>
        <v/>
      </c>
      <c r="DP344" s="205">
        <f>IF($J344="",#N/A,SUM(DO$4:DO344))</f>
        <v>3.4887162328793941</v>
      </c>
      <c r="DQ344" s="205">
        <f>IF($J344="",#N/A,SUM(DO$4:DO344,DM$4:DM344,DK$4:DK344))</f>
        <v>4.5139831366327758</v>
      </c>
      <c r="DR344" s="200" t="str">
        <f t="shared" si="599"/>
        <v/>
      </c>
      <c r="DS344" s="203">
        <f>IF($J344="",#N/A,SUM(DR$4:DR344))</f>
        <v>-0.55950946427675097</v>
      </c>
      <c r="DT344" s="204" t="str">
        <f t="shared" si="600"/>
        <v/>
      </c>
      <c r="DU344" s="204">
        <f>IF($J344="",#N/A,SUM(DT$4:DT344))</f>
        <v>-0.20750635820596686</v>
      </c>
      <c r="DV344" s="205" t="str">
        <f t="shared" si="601"/>
        <v/>
      </c>
      <c r="DW344" s="205">
        <f>IF($J344="",#N/A,SUM(DV$4:DV344))</f>
        <v>-2.3377035686214001</v>
      </c>
      <c r="DX344" s="205">
        <f>IF($J344="",#N/A,SUM(DV$4:DV344,DT$4:DT344,DR$4:DR344))</f>
        <v>-3.1047193911041169</v>
      </c>
      <c r="DY344" s="200" t="str">
        <f t="shared" si="602"/>
        <v/>
      </c>
      <c r="DZ344" s="203">
        <f>IF($J344="",#N/A,SUM(DY$4:DY344))</f>
        <v>-1.4146842415208627</v>
      </c>
      <c r="EA344" s="204" t="str">
        <f t="shared" si="603"/>
        <v/>
      </c>
      <c r="EB344" s="204">
        <f>IF($J344="",#N/A,SUM(EA$4:EA344))</f>
        <v>4.3184391548878134</v>
      </c>
      <c r="EC344" s="205" t="str">
        <f t="shared" si="604"/>
        <v/>
      </c>
      <c r="ED344" s="205">
        <f>IF($J344="",#N/A,SUM(EC$4:EC344))</f>
        <v>9.2956923798665674</v>
      </c>
      <c r="EE344" s="205">
        <f>IF($J344="",#N/A,SUM(EC$4:EC344,EA$4:EA344,DY$4:DY344))</f>
        <v>12.199447293233519</v>
      </c>
      <c r="EF344" s="200" t="str">
        <f t="shared" si="605"/>
        <v/>
      </c>
      <c r="EG344" s="203">
        <f>IF($J344="",#N/A,SUM(EF$4:EF344))</f>
        <v>0.65848341369884777</v>
      </c>
      <c r="EH344" s="204" t="str">
        <f t="shared" si="606"/>
        <v/>
      </c>
      <c r="EI344" s="204">
        <f>IF($J344="",#N/A,SUM(EH$4:EH344))</f>
        <v>-3.5125331561187787</v>
      </c>
      <c r="EJ344" s="205" t="str">
        <f t="shared" si="607"/>
        <v/>
      </c>
      <c r="EK344" s="205">
        <f>IF($J344="",#N/A,SUM(EJ$4:EJ344))</f>
        <v>8.4415851520554703</v>
      </c>
      <c r="EL344" s="205">
        <f>IF($J344="",#N/A,SUM(EJ$4:EJ344,EH$4:EH344,EF$4:EF344))</f>
        <v>5.5875354096355405</v>
      </c>
      <c r="EM344" s="200" t="str">
        <f t="shared" si="608"/>
        <v/>
      </c>
      <c r="EN344" s="203">
        <f>IF($J344="",#N/A,SUM(EM$4:EM344))</f>
        <v>0</v>
      </c>
      <c r="EO344" s="204" t="str">
        <f t="shared" si="609"/>
        <v/>
      </c>
      <c r="EP344" s="204">
        <f>IF($J344="",#N/A,SUM(EO$4:EO344))</f>
        <v>2.4788862078089964</v>
      </c>
      <c r="EQ344" s="205" t="str">
        <f t="shared" si="610"/>
        <v/>
      </c>
      <c r="ER344" s="205">
        <f>IF($J344="",#N/A,SUM(EQ$4:EQ344))</f>
        <v>2.6983279209445628</v>
      </c>
      <c r="ES344" s="205">
        <f>IF($J344="",#N/A,SUM(EQ$4:EQ344,EO$4:EO344,EM$4:EM344))</f>
        <v>5.1772141287535591</v>
      </c>
      <c r="ET344" s="200" t="str">
        <f t="shared" si="611"/>
        <v/>
      </c>
      <c r="EU344" s="203">
        <f>IF($J344="",#N/A,SUM(ET$4:ET344))</f>
        <v>0</v>
      </c>
      <c r="EV344" s="204" t="str">
        <f t="shared" si="612"/>
        <v/>
      </c>
      <c r="EW344" s="204">
        <f>IF($J344="",#N/A,SUM(EV$4:EV344))</f>
        <v>7.9116394275462909E-2</v>
      </c>
      <c r="EX344" s="205" t="str">
        <f t="shared" si="613"/>
        <v/>
      </c>
      <c r="EY344" s="205">
        <f>IF($J344="",#N/A,SUM(EX$4:EX344))</f>
        <v>-0.33163335417804801</v>
      </c>
      <c r="EZ344" s="205">
        <f>IF($J344="",#N/A,SUM(EX$4:EX344,EV$4:EV344,ET$4:ET344))</f>
        <v>-0.25251695990258494</v>
      </c>
      <c r="FA344" s="200" t="str">
        <f t="shared" si="614"/>
        <v/>
      </c>
      <c r="FB344" s="203">
        <f>IF($J344="",#N/A,SUM(FA$4:FA344))</f>
        <v>-0.27145310509113252</v>
      </c>
      <c r="FC344" s="204" t="str">
        <f t="shared" si="615"/>
        <v/>
      </c>
      <c r="FD344" s="204">
        <f>IF($J344="",#N/A,SUM(FC$4:FC344))</f>
        <v>0.89084290967454072</v>
      </c>
      <c r="FE344" s="205" t="str">
        <f t="shared" si="616"/>
        <v/>
      </c>
      <c r="FF344" s="205">
        <f>IF($J344="",#N/A,SUM(FE$4:FE344))</f>
        <v>-0.28811149078748233</v>
      </c>
      <c r="FG344" s="205">
        <f>IF($J344="",#N/A,SUM(FE$4:FE344,FC$4:FC344,FA$4:FA344))</f>
        <v>0.3312783137959262</v>
      </c>
      <c r="FH344" s="200" t="str">
        <f t="shared" si="617"/>
        <v/>
      </c>
      <c r="FI344" s="203">
        <f>IF($J344="",#N/A,SUM(FH$4:FH344))</f>
        <v>0</v>
      </c>
      <c r="FJ344" s="204" t="str">
        <f t="shared" si="618"/>
        <v/>
      </c>
      <c r="FK344" s="204">
        <f>IF($J344="",#N/A,SUM(FJ$4:FJ344))</f>
        <v>0</v>
      </c>
      <c r="FL344" s="205" t="str">
        <f t="shared" si="619"/>
        <v/>
      </c>
      <c r="FM344" s="205">
        <f>IF($J344="",#N/A,SUM(FL$4:FL344))</f>
        <v>0</v>
      </c>
      <c r="FN344" s="205">
        <f>IF($J344="",#N/A,SUM(FL$4:FL344,FJ$4:FJ344,FH$4:FH344))</f>
        <v>0</v>
      </c>
      <c r="FO344" s="200" t="str">
        <f t="shared" si="620"/>
        <v/>
      </c>
      <c r="FP344" s="203">
        <f>IF($J344="",#N/A,SUM(FO$4:FO344))</f>
        <v>0</v>
      </c>
      <c r="FQ344" s="204" t="str">
        <f t="shared" si="621"/>
        <v/>
      </c>
      <c r="FR344" s="204">
        <f>IF($J344="",#N/A,SUM(FQ$4:FQ344))</f>
        <v>0</v>
      </c>
      <c r="FS344" s="205" t="str">
        <f t="shared" si="622"/>
        <v/>
      </c>
      <c r="FT344" s="205">
        <f>IF($J344="",#N/A,SUM(FS$4:FS344))</f>
        <v>0</v>
      </c>
      <c r="FU344" s="205">
        <f>IF($J344="",#N/A,SUM(FS$4:FS344,FQ$4:FQ344,FO$4:FO344))</f>
        <v>0</v>
      </c>
      <c r="FV344" s="200" t="str">
        <f t="shared" si="623"/>
        <v/>
      </c>
      <c r="FW344" s="203">
        <f>IF($J344="",#N/A,SUM(FV$4:FV344))</f>
        <v>6.6834991831277585E-2</v>
      </c>
      <c r="FX344" s="204" t="str">
        <f t="shared" si="624"/>
        <v/>
      </c>
      <c r="FY344" s="204">
        <f>IF($J344="",#N/A,SUM(FX$4:FX344))</f>
        <v>-0.16102012791805576</v>
      </c>
      <c r="FZ344" s="205" t="str">
        <f t="shared" si="625"/>
        <v/>
      </c>
      <c r="GA344" s="205">
        <f>IF($J344="",#N/A,SUM(FZ$4:FZ344))</f>
        <v>-0.69624339162892301</v>
      </c>
      <c r="GB344" s="205">
        <f>IF($J344="",#N/A,SUM(FZ$4:FZ344,FX$4:FX344,FV$4:FV344))</f>
        <v>-0.79042852771570116</v>
      </c>
      <c r="GC344" s="200" t="str">
        <f t="shared" si="626"/>
        <v/>
      </c>
      <c r="GD344" s="203">
        <f>IF($J344="",#N/A,SUM(GC$4:GC344))</f>
        <v>0</v>
      </c>
      <c r="GE344" s="204" t="str">
        <f t="shared" si="627"/>
        <v/>
      </c>
      <c r="GF344" s="204">
        <f>IF($J344="",#N/A,SUM(GE$4:GE344))</f>
        <v>0</v>
      </c>
      <c r="GG344" s="205" t="str">
        <f t="shared" si="628"/>
        <v/>
      </c>
      <c r="GH344" s="205">
        <f>IF($J344="",#N/A,SUM(GG$4:GG344))</f>
        <v>-2.9368362277223206</v>
      </c>
      <c r="GI344" s="205">
        <f>IF($J344="",#N/A,SUM(GG$4:GG344,GE$4:GE344,GC$4:GC344))</f>
        <v>-2.9368362277223206</v>
      </c>
      <c r="GJ344" s="200" t="str">
        <f t="shared" si="629"/>
        <v/>
      </c>
      <c r="GK344" s="203">
        <f>IF($J344="",#N/A,SUM(GJ$4:GJ344))</f>
        <v>0</v>
      </c>
      <c r="GL344" s="204" t="str">
        <f t="shared" si="630"/>
        <v/>
      </c>
      <c r="GM344" s="204">
        <f>IF($J344="",#N/A,SUM(GL$4:GL344))</f>
        <v>-1.6833790887309608</v>
      </c>
      <c r="GN344" s="205" t="str">
        <f t="shared" si="631"/>
        <v/>
      </c>
      <c r="GO344" s="205">
        <f>IF($J344="",#N/A,SUM(GN$4:GN344))</f>
        <v>0</v>
      </c>
      <c r="GP344" s="205">
        <f>IF($J344="",#N/A,SUM(GN$4:GN344,GL$4:GL344,GJ$4:GJ344))</f>
        <v>-1.6833790887309608</v>
      </c>
      <c r="GS344" s="54" t="str">
        <f t="shared" si="650"/>
        <v/>
      </c>
      <c r="GT344" s="54" t="e">
        <f>IF(GS344="",NA(),SUM($GS$4:GS344))</f>
        <v>#N/A</v>
      </c>
      <c r="GU344" s="54" t="str">
        <f t="shared" si="632"/>
        <v/>
      </c>
      <c r="GV344" s="54" t="e">
        <f>IF(GU344="",NA(),SUM($GU$4:GU344))</f>
        <v>#N/A</v>
      </c>
      <c r="GW344" s="54" t="str">
        <f t="shared" si="633"/>
        <v/>
      </c>
      <c r="GX344" s="54" t="e">
        <f>IF(GW344="",NA(),SUM($GW$4:GW344))</f>
        <v>#N/A</v>
      </c>
      <c r="GY344" s="54" t="str">
        <f t="shared" si="634"/>
        <v/>
      </c>
      <c r="GZ344" s="54" t="e">
        <f>IF(GY344="",NA(),SUM($GY$4:GY344))</f>
        <v>#N/A</v>
      </c>
      <c r="HA344" s="54">
        <f t="shared" si="635"/>
        <v>-2.8457370972341036</v>
      </c>
      <c r="HB344" s="54">
        <f>IF(HA344="",NA(),SUM($HA$4:HA344))</f>
        <v>2.9391844422395681</v>
      </c>
      <c r="HC344" s="54" t="str">
        <f t="shared" si="636"/>
        <v/>
      </c>
      <c r="HD344" s="54" t="e">
        <f>IF(HC344="",NA(),SUM($HC$4:HC344))</f>
        <v>#N/A</v>
      </c>
      <c r="HE344" s="54">
        <f t="shared" si="637"/>
        <v>-2.8457370972341036</v>
      </c>
      <c r="HF344" s="54">
        <f>IF(HE344="",NA(),SUM($HE$4:HE344))</f>
        <v>-3.9350144354051437</v>
      </c>
      <c r="HG344" s="54" t="str">
        <f t="shared" si="638"/>
        <v/>
      </c>
      <c r="HH344" s="54" t="e">
        <f>IF(HG344="",NA(),SUM($HG$4:HG344))</f>
        <v>#N/A</v>
      </c>
      <c r="HI344" s="172" t="str">
        <f t="shared" si="651"/>
        <v/>
      </c>
      <c r="HJ344" s="172">
        <f>IF($J344="",#N/A,SUM(HI$4:$HI344))</f>
        <v>-8.8300702515875571</v>
      </c>
      <c r="HK344" s="54" t="str">
        <f t="shared" si="639"/>
        <v/>
      </c>
      <c r="HL344" s="54">
        <f>IF($J344="",#N/A,SUM($HK$4:HK344))</f>
        <v>1.9034651933981581</v>
      </c>
      <c r="HM344" s="54" t="str">
        <f t="shared" si="640"/>
        <v/>
      </c>
      <c r="HN344" s="54">
        <f>IF($J344="",#N/A,SUM($HM$4:HM344))</f>
        <v>0.41616915617605843</v>
      </c>
      <c r="HO344" s="54" t="str">
        <f t="shared" si="641"/>
        <v/>
      </c>
      <c r="HP344" s="54">
        <f>IF($J344="",#N/A,SUM($HO$4:HO344))</f>
        <v>-0.69476253225193951</v>
      </c>
      <c r="HQ344" s="54" t="str">
        <f t="shared" si="642"/>
        <v/>
      </c>
      <c r="HR344" s="54">
        <f>IF($J344="",#N/A,SUM($HQ$4:HQ344))</f>
        <v>-10.915291110718158</v>
      </c>
      <c r="HS344" s="54">
        <f t="shared" si="643"/>
        <v>1.1662389506700881</v>
      </c>
      <c r="HT344" s="54">
        <f>IF($J344="",#N/A,SUM($HS$4:HS344))</f>
        <v>16.108298841325684</v>
      </c>
      <c r="HU344" s="65">
        <f t="shared" si="644"/>
        <v>-1.6794981465640155</v>
      </c>
      <c r="HV344" s="65">
        <f>IF($J344="",#N/A,SUM(HU$4:$HU344))</f>
        <v>13.886284491891526</v>
      </c>
    </row>
    <row r="345" spans="1:230" x14ac:dyDescent="0.25">
      <c r="A345" s="427" t="s">
        <v>29</v>
      </c>
      <c r="B345" s="428" t="s">
        <v>4717</v>
      </c>
      <c r="C345" s="429">
        <f t="shared" si="545"/>
        <v>1</v>
      </c>
      <c r="D345" s="430" t="str">
        <f>_xlfn.XLOOKUP(A345,[1]SP500!$A$2:$A$502,[1]SP500!$D$2:$D$502,"N")</f>
        <v>N</v>
      </c>
      <c r="E345" s="427" t="str">
        <f>IFERROR(_xlfn.XLOOKUP(A345,[1]SP500!$A$2:$A$655,[1]SP500!$B$2:$B$655),"")</f>
        <v/>
      </c>
      <c r="F345" s="431">
        <v>45793</v>
      </c>
      <c r="G345" s="427" t="str">
        <f t="shared" si="546"/>
        <v>BMO</v>
      </c>
      <c r="H345" s="427" t="str">
        <f t="shared" si="547"/>
        <v>s</v>
      </c>
      <c r="I345" s="461">
        <v>367.27</v>
      </c>
      <c r="J345" s="432">
        <v>365.05</v>
      </c>
      <c r="K345" s="433">
        <f t="shared" si="548"/>
        <v>-6.0445993410841361E-3</v>
      </c>
      <c r="L345" s="434">
        <f t="shared" si="549"/>
        <v>-6.6599999999998545</v>
      </c>
      <c r="M345" s="435">
        <f t="shared" si="550"/>
        <v>0</v>
      </c>
      <c r="N345" s="437">
        <f t="shared" si="551"/>
        <v>-6.6599999999998545</v>
      </c>
      <c r="O345" s="435">
        <f>IF(N345="",#N/A,SUM($N$4:N345))</f>
        <v>844.7543755616249</v>
      </c>
      <c r="P345" s="436">
        <f t="shared" si="645"/>
        <v>-0.1007433223514014</v>
      </c>
      <c r="Q345" s="440">
        <f>IF($N345="",#N/A,SUM($P$4:P345))</f>
        <v>16.313679340364864</v>
      </c>
      <c r="R345" s="441">
        <f t="shared" si="552"/>
        <v>7.4922699540875186</v>
      </c>
      <c r="S345" s="427" t="str">
        <f t="shared" si="553"/>
        <v>Up</v>
      </c>
      <c r="T345" s="427" t="s">
        <v>4461</v>
      </c>
      <c r="U345" s="442">
        <f t="shared" si="554"/>
        <v>367.27</v>
      </c>
      <c r="V345" s="442" t="s">
        <v>4460</v>
      </c>
      <c r="W345" s="444">
        <v>3</v>
      </c>
      <c r="X345" s="443">
        <f t="shared" si="555"/>
        <v>1101.81</v>
      </c>
      <c r="Y345" s="444">
        <f t="shared" si="556"/>
        <v>3</v>
      </c>
      <c r="Z345" s="491">
        <v>365.05</v>
      </c>
      <c r="AA345" s="437">
        <f t="shared" si="557"/>
        <v>-6.6599999999998545</v>
      </c>
      <c r="AB345" s="437">
        <f t="shared" si="558"/>
        <v>2.7000000000000455</v>
      </c>
      <c r="AC345" s="432">
        <v>368.17</v>
      </c>
      <c r="AD345" s="438">
        <f t="shared" si="559"/>
        <v>2.7000000000000455</v>
      </c>
      <c r="AE345" s="547">
        <f t="shared" si="560"/>
        <v>4.0841887439758903E-2</v>
      </c>
      <c r="AF345" s="435">
        <f>IF($AC345="",#N/A,SUM(AD$4:AD345))</f>
        <v>880.53239714744927</v>
      </c>
      <c r="AG345" s="437">
        <f t="shared" si="561"/>
        <v>9.3599999999999</v>
      </c>
      <c r="AH345" s="442" t="s">
        <v>2507</v>
      </c>
      <c r="AI345" s="436">
        <f t="shared" si="562"/>
        <v>-0.1007433223514014</v>
      </c>
      <c r="AJ345" s="446">
        <f>IF(AI345="",#N/A,SUM($AI$4:AI345))</f>
        <v>8.8214093862773453</v>
      </c>
      <c r="AK345" s="435">
        <f t="shared" si="563"/>
        <v>-6.6599999999998545</v>
      </c>
      <c r="AL345" s="447">
        <f>IF(AI345="",#N/A,IF(AH345="Skip",SUM($AK$4:AK345),SUM($AK$4:AK345)))</f>
        <v>334.23736927848245</v>
      </c>
      <c r="AM345" s="65">
        <f t="shared" si="646"/>
        <v>4.0841887439758903E-2</v>
      </c>
      <c r="AN345" s="209"/>
      <c r="AO345" s="436" t="str">
        <f t="shared" si="564"/>
        <v/>
      </c>
      <c r="AP345" s="436">
        <f>IF($AC345="",#N/A,SUM(AO$4:AO345))</f>
        <v>12.851082308833117</v>
      </c>
      <c r="AQ345" s="436">
        <f t="shared" si="565"/>
        <v>4.0841887439758903E-2</v>
      </c>
      <c r="AR345" s="436">
        <f>IF($AC345="",#N/A,SUM(AQ$4:AQ345))</f>
        <v>-3.309636123583787</v>
      </c>
      <c r="AS345" s="436" t="str">
        <f t="shared" si="566"/>
        <v/>
      </c>
      <c r="AT345" s="436">
        <f>IF($AC345="",#N/A,SUM(AS$4:AS345))</f>
        <v>4.3856801940819459</v>
      </c>
      <c r="AU345" s="435" t="str">
        <f t="shared" si="647"/>
        <v/>
      </c>
      <c r="AV345" s="435">
        <f>IF($AC345="",#N/A,SUM(AU$4:AU345))</f>
        <v>768.40627194988019</v>
      </c>
      <c r="AW345" s="435">
        <f t="shared" si="648"/>
        <v>2.7000000000000455</v>
      </c>
      <c r="AX345" s="435">
        <f>IF($AC345="",#N/A,SUM(AW$4:AW345))</f>
        <v>-203.43106797961059</v>
      </c>
      <c r="AY345" s="435" t="str">
        <f t="shared" si="649"/>
        <v/>
      </c>
      <c r="AZ345" s="435">
        <f>IF($AC345="",#N/A,SUM(AY$4:AY345))</f>
        <v>315.55719317717956</v>
      </c>
      <c r="BA345" s="435">
        <f>IF(AD345="",#N/A,SUM($AD$4:AD345))</f>
        <v>880.53239714744927</v>
      </c>
      <c r="BC345" s="427" t="str">
        <f t="shared" si="567"/>
        <v/>
      </c>
      <c r="BD345" s="427" t="str">
        <f t="shared" si="568"/>
        <v/>
      </c>
      <c r="BE345" s="427" t="str">
        <f t="shared" si="569"/>
        <v/>
      </c>
      <c r="BF345" s="427" t="str">
        <f t="shared" si="570"/>
        <v>Long</v>
      </c>
      <c r="BG345" s="427" t="str">
        <f t="shared" si="571"/>
        <v/>
      </c>
      <c r="BH345" s="427">
        <f t="shared" si="572"/>
        <v>1</v>
      </c>
      <c r="BI345" s="427" t="str">
        <f t="shared" si="573"/>
        <v/>
      </c>
      <c r="BK345" s="65">
        <f t="shared" si="544"/>
        <v>5.0733206356406345E-2</v>
      </c>
      <c r="BL345" s="65">
        <f t="shared" si="543"/>
        <v>-5.7680818385421023E-2</v>
      </c>
      <c r="BM345" s="65">
        <f>IFERROR(Q345/COUNTA($J$4:J345),#N/A)</f>
        <v>4.7700816784692582E-2</v>
      </c>
      <c r="BO345" s="489" t="e">
        <f>IF(J345="",#N/A,IF(S345="SW",(COUNTIFS(K$4:$K345,"&gt;0",S$4:$S345,"SW")/COUNTIF(S$4:$S345,"SW")),#N/A))</f>
        <v>#N/A</v>
      </c>
      <c r="BP345" s="489" t="e">
        <f>IF($J345="",#N/A,IF($S345="DWN",(COUNTIFS($K$4:$K345,"&lt;0",$S$4:$S345,"DWN")/COUNTIF($S$4:$S345,"DWN")),#N/A))</f>
        <v>#N/A</v>
      </c>
      <c r="BQ345" s="489">
        <f>IF($J345="",#N/A,IF($S345="UP",(COUNTIFS($K$4:$K345,"&gt;0",$S$4:$S345,"UP")/COUNTIF($S$4:$S345,"UP")),#N/A))</f>
        <v>0.48275862068965519</v>
      </c>
      <c r="BR345" s="489">
        <f>IF(J345="",#N/A,COUNTIF($K$4:K345,"&gt;0")/COUNT($J$4:J345))</f>
        <v>0.47660818713450293</v>
      </c>
      <c r="BS345" s="65" t="str">
        <f t="shared" si="574"/>
        <v/>
      </c>
      <c r="BT345" s="65">
        <f t="shared" si="575"/>
        <v>-0.1007433223514014</v>
      </c>
      <c r="BU345" s="65" t="str">
        <f t="shared" si="576"/>
        <v/>
      </c>
      <c r="BV345" s="65" t="str">
        <f t="shared" si="577"/>
        <v/>
      </c>
      <c r="BW345" s="128">
        <f t="shared" si="578"/>
        <v>-6.6599999999998545</v>
      </c>
      <c r="BX345" s="128">
        <f>IF($J345="",#N/A,SUM($BW$4:BW345))</f>
        <v>-192.68817034792824</v>
      </c>
      <c r="BY345" s="131" t="str">
        <f t="shared" si="579"/>
        <v/>
      </c>
      <c r="BZ345" s="131">
        <f>IF($J345="",#N/A,SUM($BY$4:BY345))</f>
        <v>642.74161346139442</v>
      </c>
      <c r="CA345" s="133" t="str">
        <f t="shared" si="580"/>
        <v/>
      </c>
      <c r="CB345" s="133">
        <f>IF($J345="",#N/A,SUM($CA$4:CA345))</f>
        <v>394.7009324481586</v>
      </c>
      <c r="CC345" s="194">
        <f t="shared" si="581"/>
        <v>-0.1007433223514014</v>
      </c>
      <c r="CD345" s="194">
        <f>IF($J345="",#N/A,SUM($CC$4:CC345))</f>
        <v>-3.172627957299063</v>
      </c>
      <c r="CE345" s="195" t="str">
        <f t="shared" si="582"/>
        <v/>
      </c>
      <c r="CF345" s="195">
        <f>IF($J345="",#N/A,SUM($CE$4:CE345))</f>
        <v>11.312285252271353</v>
      </c>
      <c r="CG345" s="196" t="str">
        <f t="shared" si="583"/>
        <v/>
      </c>
      <c r="CH345" s="196">
        <f>IF($J345="",#N/A,SUM($CG$4:CG345))</f>
        <v>8.1740220453925794</v>
      </c>
      <c r="CI345" s="200" t="str">
        <f t="shared" si="584"/>
        <v/>
      </c>
      <c r="CJ345" s="203">
        <f>IF($J345="",#N/A,SUM(CI$4:CI345))</f>
        <v>0</v>
      </c>
      <c r="CK345" s="204" t="str">
        <f t="shared" si="585"/>
        <v/>
      </c>
      <c r="CL345" s="204">
        <f>IF($J345="",#N/A,SUM(CK$4:CK345))</f>
        <v>1.2912501745213723</v>
      </c>
      <c r="CM345" s="205" t="str">
        <f t="shared" si="586"/>
        <v/>
      </c>
      <c r="CN345" s="205">
        <f>IF($J345="",#N/A,SUM(CM$4:CM345))</f>
        <v>1.357235719871134</v>
      </c>
      <c r="CO345" s="205">
        <f>IF($J345="",#N/A,SUM(CM$4:CM345,CK$4:CK345,CI$4:CI345))</f>
        <v>2.6484858943925063</v>
      </c>
      <c r="CP345" s="200" t="str">
        <f t="shared" si="587"/>
        <v/>
      </c>
      <c r="CQ345" s="203">
        <f>IF($J345="",#N/A,SUM(CP$4:CP345))</f>
        <v>-2.2357678263539635</v>
      </c>
      <c r="CR345" s="204" t="str">
        <f t="shared" si="588"/>
        <v/>
      </c>
      <c r="CS345" s="204">
        <f>IF($J345="",#N/A,SUM(CR$4:CR345))</f>
        <v>2.3600225017004668</v>
      </c>
      <c r="CT345" s="205" t="str">
        <f t="shared" si="589"/>
        <v/>
      </c>
      <c r="CU345" s="205">
        <f>IF($J345="",#N/A,SUM(CT$4:CT345))</f>
        <v>-2.8580371411053784</v>
      </c>
      <c r="CV345" s="205">
        <f>IF($J345="",#N/A,SUM(CT$4:CT345,CR$4:CR345,CP$4:CP345))</f>
        <v>-2.7337824657588752</v>
      </c>
      <c r="CW345" s="200" t="str">
        <f t="shared" si="590"/>
        <v/>
      </c>
      <c r="CX345" s="203">
        <f>IF($J345="",#N/A,SUM(CW$4:CW345))</f>
        <v>-0.29399505935581682</v>
      </c>
      <c r="CY345" s="204" t="str">
        <f t="shared" si="591"/>
        <v/>
      </c>
      <c r="CZ345" s="204">
        <f>IF($J345="",#N/A,SUM(CY$4:CY345))</f>
        <v>-0.20119965665334139</v>
      </c>
      <c r="DA345" s="205" t="str">
        <f t="shared" si="592"/>
        <v/>
      </c>
      <c r="DB345" s="205">
        <f>IF($J345="",#N/A,SUM(DA$4:DA345))</f>
        <v>-2.7756316087437582</v>
      </c>
      <c r="DC345" s="205">
        <f>IF($J345="",#N/A,SUM(DA$4:DA345,CY$4:CY345,CW$4:CW345))</f>
        <v>-3.2708263247529161</v>
      </c>
      <c r="DD345" s="200" t="str">
        <f t="shared" si="593"/>
        <v/>
      </c>
      <c r="DE345" s="203">
        <f>IF($J345="",#N/A,SUM(DD$4:DD345))</f>
        <v>1.2501454750716789</v>
      </c>
      <c r="DF345" s="204" t="str">
        <f t="shared" si="594"/>
        <v/>
      </c>
      <c r="DG345" s="204">
        <f>IF($J345="",#N/A,SUM(DF$4:DF345))</f>
        <v>2.626961496209514</v>
      </c>
      <c r="DH345" s="205" t="str">
        <f t="shared" si="595"/>
        <v/>
      </c>
      <c r="DI345" s="205">
        <f>IF($J345="",#N/A,SUM(DH$4:DH345))</f>
        <v>-3.216671910770577</v>
      </c>
      <c r="DJ345" s="205">
        <f>IF($J345="",#N/A,SUM(DH$4:DH345,DF$4:DF345,DD$4:DD345))</f>
        <v>0.66043506051061596</v>
      </c>
      <c r="DK345" s="200" t="str">
        <f t="shared" si="596"/>
        <v/>
      </c>
      <c r="DL345" s="203">
        <f>IF($J345="",#N/A,SUM(DK$4:DK345))</f>
        <v>-0.84049791589649614</v>
      </c>
      <c r="DM345" s="204" t="str">
        <f t="shared" si="597"/>
        <v/>
      </c>
      <c r="DN345" s="204">
        <f>IF($J345="",#N/A,SUM(DM$4:DM345))</f>
        <v>1.8657648196498773</v>
      </c>
      <c r="DO345" s="205" t="str">
        <f t="shared" si="598"/>
        <v/>
      </c>
      <c r="DP345" s="205">
        <f>IF($J345="",#N/A,SUM(DO$4:DO345))</f>
        <v>3.4887162328793941</v>
      </c>
      <c r="DQ345" s="205">
        <f>IF($J345="",#N/A,SUM(DO$4:DO345,DM$4:DM345,DK$4:DK345))</f>
        <v>4.5139831366327758</v>
      </c>
      <c r="DR345" s="200" t="str">
        <f t="shared" si="599"/>
        <v/>
      </c>
      <c r="DS345" s="203">
        <f>IF($J345="",#N/A,SUM(DR$4:DR345))</f>
        <v>-0.55950946427675097</v>
      </c>
      <c r="DT345" s="204" t="str">
        <f t="shared" si="600"/>
        <v/>
      </c>
      <c r="DU345" s="204">
        <f>IF($J345="",#N/A,SUM(DT$4:DT345))</f>
        <v>-0.20750635820596686</v>
      </c>
      <c r="DV345" s="205" t="str">
        <f t="shared" si="601"/>
        <v/>
      </c>
      <c r="DW345" s="205">
        <f>IF($J345="",#N/A,SUM(DV$4:DV345))</f>
        <v>-2.3377035686214001</v>
      </c>
      <c r="DX345" s="205">
        <f>IF($J345="",#N/A,SUM(DV$4:DV345,DT$4:DT345,DR$4:DR345))</f>
        <v>-3.1047193911041169</v>
      </c>
      <c r="DY345" s="200" t="str">
        <f t="shared" si="602"/>
        <v/>
      </c>
      <c r="DZ345" s="203">
        <f>IF($J345="",#N/A,SUM(DY$4:DY345))</f>
        <v>-1.4146842415208627</v>
      </c>
      <c r="EA345" s="204" t="str">
        <f t="shared" si="603"/>
        <v/>
      </c>
      <c r="EB345" s="204">
        <f>IF($J345="",#N/A,SUM(EA$4:EA345))</f>
        <v>4.3184391548878134</v>
      </c>
      <c r="EC345" s="205" t="str">
        <f t="shared" si="604"/>
        <v/>
      </c>
      <c r="ED345" s="205">
        <f>IF($J345="",#N/A,SUM(EC$4:EC345))</f>
        <v>9.2956923798665674</v>
      </c>
      <c r="EE345" s="205">
        <f>IF($J345="",#N/A,SUM(EC$4:EC345,EA$4:EA345,DY$4:DY345))</f>
        <v>12.199447293233519</v>
      </c>
      <c r="EF345" s="200" t="str">
        <f t="shared" si="605"/>
        <v/>
      </c>
      <c r="EG345" s="203">
        <f>IF($J345="",#N/A,SUM(EF$4:EF345))</f>
        <v>0.65848341369884777</v>
      </c>
      <c r="EH345" s="204" t="str">
        <f t="shared" si="606"/>
        <v/>
      </c>
      <c r="EI345" s="204">
        <f>IF($J345="",#N/A,SUM(EH$4:EH345))</f>
        <v>-3.5125331561187787</v>
      </c>
      <c r="EJ345" s="205" t="str">
        <f t="shared" si="607"/>
        <v/>
      </c>
      <c r="EK345" s="205">
        <f>IF($J345="",#N/A,SUM(EJ$4:EJ345))</f>
        <v>8.4415851520554703</v>
      </c>
      <c r="EL345" s="205">
        <f>IF($J345="",#N/A,SUM(EJ$4:EJ345,EH$4:EH345,EF$4:EF345))</f>
        <v>5.5875354096355405</v>
      </c>
      <c r="EM345" s="200" t="str">
        <f t="shared" si="608"/>
        <v/>
      </c>
      <c r="EN345" s="203">
        <f>IF($J345="",#N/A,SUM(EM$4:EM345))</f>
        <v>0</v>
      </c>
      <c r="EO345" s="204" t="str">
        <f t="shared" si="609"/>
        <v/>
      </c>
      <c r="EP345" s="204">
        <f>IF($J345="",#N/A,SUM(EO$4:EO345))</f>
        <v>2.4788862078089964</v>
      </c>
      <c r="EQ345" s="205" t="str">
        <f t="shared" si="610"/>
        <v/>
      </c>
      <c r="ER345" s="205">
        <f>IF($J345="",#N/A,SUM(EQ$4:EQ345))</f>
        <v>2.6983279209445628</v>
      </c>
      <c r="ES345" s="205">
        <f>IF($J345="",#N/A,SUM(EQ$4:EQ345,EO$4:EO345,EM$4:EM345))</f>
        <v>5.1772141287535591</v>
      </c>
      <c r="ET345" s="200" t="str">
        <f t="shared" si="611"/>
        <v/>
      </c>
      <c r="EU345" s="203">
        <f>IF($J345="",#N/A,SUM(ET$4:ET345))</f>
        <v>0</v>
      </c>
      <c r="EV345" s="204" t="str">
        <f t="shared" si="612"/>
        <v/>
      </c>
      <c r="EW345" s="204">
        <f>IF($J345="",#N/A,SUM(EV$4:EV345))</f>
        <v>7.9116394275462909E-2</v>
      </c>
      <c r="EX345" s="205" t="str">
        <f t="shared" si="613"/>
        <v/>
      </c>
      <c r="EY345" s="205">
        <f>IF($J345="",#N/A,SUM(EX$4:EX345))</f>
        <v>-0.33163335417804801</v>
      </c>
      <c r="EZ345" s="205">
        <f>IF($J345="",#N/A,SUM(EX$4:EX345,EV$4:EV345,ET$4:ET345))</f>
        <v>-0.25251695990258494</v>
      </c>
      <c r="FA345" s="200" t="str">
        <f t="shared" si="614"/>
        <v/>
      </c>
      <c r="FB345" s="203">
        <f>IF($J345="",#N/A,SUM(FA$4:FA345))</f>
        <v>-0.27145310509113252</v>
      </c>
      <c r="FC345" s="204" t="str">
        <f t="shared" si="615"/>
        <v/>
      </c>
      <c r="FD345" s="204">
        <f>IF($J345="",#N/A,SUM(FC$4:FC345))</f>
        <v>0.89084290967454072</v>
      </c>
      <c r="FE345" s="205" t="str">
        <f t="shared" si="616"/>
        <v/>
      </c>
      <c r="FF345" s="205">
        <f>IF($J345="",#N/A,SUM(FE$4:FE345))</f>
        <v>-0.28811149078748233</v>
      </c>
      <c r="FG345" s="205">
        <f>IF($J345="",#N/A,SUM(FE$4:FE345,FC$4:FC345,FA$4:FA345))</f>
        <v>0.3312783137959262</v>
      </c>
      <c r="FH345" s="200" t="str">
        <f t="shared" si="617"/>
        <v/>
      </c>
      <c r="FI345" s="203">
        <f>IF($J345="",#N/A,SUM(FH$4:FH345))</f>
        <v>0</v>
      </c>
      <c r="FJ345" s="204" t="str">
        <f t="shared" si="618"/>
        <v/>
      </c>
      <c r="FK345" s="204">
        <f>IF($J345="",#N/A,SUM(FJ$4:FJ345))</f>
        <v>0</v>
      </c>
      <c r="FL345" s="205" t="str">
        <f t="shared" si="619"/>
        <v/>
      </c>
      <c r="FM345" s="205">
        <f>IF($J345="",#N/A,SUM(FL$4:FL345))</f>
        <v>0</v>
      </c>
      <c r="FN345" s="205">
        <f>IF($J345="",#N/A,SUM(FL$4:FL345,FJ$4:FJ345,FH$4:FH345))</f>
        <v>0</v>
      </c>
      <c r="FO345" s="200" t="str">
        <f t="shared" si="620"/>
        <v/>
      </c>
      <c r="FP345" s="203">
        <f>IF($J345="",#N/A,SUM(FO$4:FO345))</f>
        <v>0</v>
      </c>
      <c r="FQ345" s="204" t="str">
        <f t="shared" si="621"/>
        <v/>
      </c>
      <c r="FR345" s="204">
        <f>IF($J345="",#N/A,SUM(FQ$4:FQ345))</f>
        <v>0</v>
      </c>
      <c r="FS345" s="205" t="str">
        <f t="shared" si="622"/>
        <v/>
      </c>
      <c r="FT345" s="205">
        <f>IF($J345="",#N/A,SUM(FS$4:FS345))</f>
        <v>0</v>
      </c>
      <c r="FU345" s="205">
        <f>IF($J345="",#N/A,SUM(FS$4:FS345,FQ$4:FQ345,FO$4:FO345))</f>
        <v>0</v>
      </c>
      <c r="FV345" s="200" t="str">
        <f t="shared" si="623"/>
        <v/>
      </c>
      <c r="FW345" s="203">
        <f>IF($J345="",#N/A,SUM(FV$4:FV345))</f>
        <v>6.6834991831277585E-2</v>
      </c>
      <c r="FX345" s="204" t="str">
        <f t="shared" si="624"/>
        <v/>
      </c>
      <c r="FY345" s="204">
        <f>IF($J345="",#N/A,SUM(FX$4:FX345))</f>
        <v>-0.16102012791805576</v>
      </c>
      <c r="FZ345" s="205" t="str">
        <f t="shared" si="625"/>
        <v/>
      </c>
      <c r="GA345" s="205">
        <f>IF($J345="",#N/A,SUM(FZ$4:FZ345))</f>
        <v>-0.69624339162892301</v>
      </c>
      <c r="GB345" s="205">
        <f>IF($J345="",#N/A,SUM(FZ$4:FZ345,FX$4:FX345,FV$4:FV345))</f>
        <v>-0.79042852771570116</v>
      </c>
      <c r="GC345" s="200" t="str">
        <f t="shared" si="626"/>
        <v/>
      </c>
      <c r="GD345" s="203">
        <f>IF($J345="",#N/A,SUM(GC$4:GC345))</f>
        <v>0</v>
      </c>
      <c r="GE345" s="204" t="str">
        <f t="shared" si="627"/>
        <v/>
      </c>
      <c r="GF345" s="204">
        <f>IF($J345="",#N/A,SUM(GE$4:GE345))</f>
        <v>0</v>
      </c>
      <c r="GG345" s="205" t="str">
        <f t="shared" si="628"/>
        <v/>
      </c>
      <c r="GH345" s="205">
        <f>IF($J345="",#N/A,SUM(GG$4:GG345))</f>
        <v>-2.9368362277223206</v>
      </c>
      <c r="GI345" s="205">
        <f>IF($J345="",#N/A,SUM(GG$4:GG345,GE$4:GE345,GC$4:GC345))</f>
        <v>-2.9368362277223206</v>
      </c>
      <c r="GJ345" s="200" t="str">
        <f t="shared" si="629"/>
        <v/>
      </c>
      <c r="GK345" s="203">
        <f>IF($J345="",#N/A,SUM(GJ$4:GJ345))</f>
        <v>0</v>
      </c>
      <c r="GL345" s="204" t="str">
        <f t="shared" si="630"/>
        <v/>
      </c>
      <c r="GM345" s="204">
        <f>IF($J345="",#N/A,SUM(GL$4:GL345))</f>
        <v>-1.6833790887309608</v>
      </c>
      <c r="GN345" s="205" t="str">
        <f t="shared" si="631"/>
        <v/>
      </c>
      <c r="GO345" s="205">
        <f>IF($J345="",#N/A,SUM(GN$4:GN345))</f>
        <v>0</v>
      </c>
      <c r="GP345" s="205">
        <f>IF($J345="",#N/A,SUM(GN$4:GN345,GL$4:GL345,GJ$4:GJ345))</f>
        <v>-1.6833790887309608</v>
      </c>
      <c r="GS345" s="439" t="str">
        <f t="shared" si="650"/>
        <v/>
      </c>
      <c r="GT345" s="439" t="e">
        <f>IF(GS345="",NA(),SUM($GS$4:GS345))</f>
        <v>#N/A</v>
      </c>
      <c r="GU345" s="439" t="str">
        <f t="shared" si="632"/>
        <v/>
      </c>
      <c r="GV345" s="439" t="e">
        <f>IF(GU345="",NA(),SUM($GU$4:GU345))</f>
        <v>#N/A</v>
      </c>
      <c r="GW345" s="439" t="str">
        <f t="shared" si="633"/>
        <v/>
      </c>
      <c r="GX345" s="439" t="e">
        <f>IF(GW345="",NA(),SUM($GW$4:GW345))</f>
        <v>#N/A</v>
      </c>
      <c r="GY345" s="439" t="str">
        <f t="shared" si="634"/>
        <v/>
      </c>
      <c r="GZ345" s="439" t="e">
        <f>IF(GY345="",NA(),SUM($GY$4:GY345))</f>
        <v>#N/A</v>
      </c>
      <c r="HA345" s="439">
        <f t="shared" si="635"/>
        <v>-0.1007433223514014</v>
      </c>
      <c r="HB345" s="439">
        <f>IF(HA345="",NA(),SUM($HA$4:HA345))</f>
        <v>2.8384411198881665</v>
      </c>
      <c r="HC345" s="439">
        <f t="shared" si="636"/>
        <v>-0.1007433223514014</v>
      </c>
      <c r="HD345" s="439">
        <f>IF(HC345="",NA(),SUM($HC$4:HC345))</f>
        <v>0.68160378135091115</v>
      </c>
      <c r="HE345" s="439" t="str">
        <f t="shared" si="637"/>
        <v/>
      </c>
      <c r="HF345" s="439" t="e">
        <f>IF(HE345="",NA(),SUM($HE$4:HE345))</f>
        <v>#N/A</v>
      </c>
      <c r="HG345" s="439" t="str">
        <f t="shared" si="638"/>
        <v/>
      </c>
      <c r="HH345" s="439" t="e">
        <f>IF(HG345="",NA(),SUM($HG$4:HG345))</f>
        <v>#N/A</v>
      </c>
      <c r="HI345" s="440" t="str">
        <f t="shared" si="651"/>
        <v/>
      </c>
      <c r="HJ345" s="440">
        <f>IF($J345="",#N/A,SUM(HI$4:$HI345))</f>
        <v>-8.8300702515875571</v>
      </c>
      <c r="HK345" s="439" t="str">
        <f t="shared" si="639"/>
        <v/>
      </c>
      <c r="HL345" s="439">
        <f>IF($J345="",#N/A,SUM($HK$4:HK345))</f>
        <v>1.9034651933981581</v>
      </c>
      <c r="HM345" s="439" t="str">
        <f t="shared" si="640"/>
        <v/>
      </c>
      <c r="HN345" s="439">
        <f>IF($J345="",#N/A,SUM($HM$4:HM345))</f>
        <v>0.41616915617605843</v>
      </c>
      <c r="HO345" s="439">
        <f t="shared" si="641"/>
        <v>0.14158520979116029</v>
      </c>
      <c r="HP345" s="439">
        <f>IF($J345="",#N/A,SUM($HO$4:HO345))</f>
        <v>-0.55317732246077922</v>
      </c>
      <c r="HQ345" s="439" t="str">
        <f t="shared" si="642"/>
        <v/>
      </c>
      <c r="HR345" s="439">
        <f>IF($J345="",#N/A,SUM($HQ$4:HQ345))</f>
        <v>-10.915291110718158</v>
      </c>
      <c r="HS345" s="439" t="str">
        <f t="shared" si="643"/>
        <v/>
      </c>
      <c r="HT345" s="439">
        <f>IF($J345="",#N/A,SUM($HS$4:HS345))</f>
        <v>16.108298841325684</v>
      </c>
      <c r="HU345" s="436">
        <f t="shared" si="644"/>
        <v>4.0841887439758903E-2</v>
      </c>
      <c r="HV345" s="436">
        <f>IF($J345="",#N/A,SUM(HU$4:$HU345))</f>
        <v>13.927126379331286</v>
      </c>
    </row>
    <row r="346" spans="1:230" ht="15.75" thickBot="1" x14ac:dyDescent="0.3">
      <c r="A346" s="292" t="s">
        <v>828</v>
      </c>
      <c r="B346" s="293" t="s">
        <v>4717</v>
      </c>
      <c r="C346" s="294">
        <f t="shared" si="545"/>
        <v>2</v>
      </c>
      <c r="D346" s="295" t="str">
        <f>_xlfn.XLOOKUP(A346,[1]SP500!$A$2:$A$502,[1]SP500!$D$2:$D$502,"N")</f>
        <v>N</v>
      </c>
      <c r="E346" s="292" t="str">
        <f>IFERROR(_xlfn.XLOOKUP(A346,[1]SP500!$A$2:$A$655,[1]SP500!$B$2:$B$655),"")</f>
        <v>XLP</v>
      </c>
      <c r="F346" s="296">
        <v>45793</v>
      </c>
      <c r="G346" s="292" t="str">
        <f t="shared" si="546"/>
        <v>BMO</v>
      </c>
      <c r="H346" s="292" t="str">
        <f t="shared" si="547"/>
        <v>s</v>
      </c>
      <c r="I346" s="345">
        <v>17.07</v>
      </c>
      <c r="J346" s="297">
        <v>16.63</v>
      </c>
      <c r="K346" s="298">
        <f t="shared" si="548"/>
        <v>-2.577621558289404E-2</v>
      </c>
      <c r="L346" s="299">
        <f t="shared" si="549"/>
        <v>30.800000000000182</v>
      </c>
      <c r="M346" s="300">
        <f t="shared" si="550"/>
        <v>-20.300000000000182</v>
      </c>
      <c r="N346" s="341">
        <f t="shared" si="551"/>
        <v>30.800000000000182</v>
      </c>
      <c r="O346" s="300">
        <f>IF(N346="",#N/A,SUM($N$4:N346))</f>
        <v>875.55437556162508</v>
      </c>
      <c r="P346" s="305">
        <f t="shared" si="645"/>
        <v>0.42960359304823531</v>
      </c>
      <c r="Q346" s="304">
        <f>IF($N346="",#N/A,SUM($P$4:P346))</f>
        <v>16.743282933413099</v>
      </c>
      <c r="R346" s="307">
        <f t="shared" si="552"/>
        <v>7.7754177767784007</v>
      </c>
      <c r="S346" s="292" t="str">
        <f t="shared" si="553"/>
        <v>Dwn</v>
      </c>
      <c r="T346" s="292" t="s">
        <v>4462</v>
      </c>
      <c r="U346" s="308">
        <f t="shared" si="554"/>
        <v>17.07</v>
      </c>
      <c r="V346" s="308" t="s">
        <v>4458</v>
      </c>
      <c r="W346" s="310">
        <v>70</v>
      </c>
      <c r="X346" s="309">
        <f t="shared" si="555"/>
        <v>1194.9000000000001</v>
      </c>
      <c r="Y346" s="310">
        <f t="shared" si="556"/>
        <v>70</v>
      </c>
      <c r="Z346" s="313">
        <v>16.920000000000002</v>
      </c>
      <c r="AA346" s="341">
        <f t="shared" si="557"/>
        <v>10.5</v>
      </c>
      <c r="AB346" s="341">
        <f t="shared" si="558"/>
        <v>-16.799999999999727</v>
      </c>
      <c r="AC346" s="297">
        <v>17.309999999999999</v>
      </c>
      <c r="AD346" s="301">
        <f t="shared" si="559"/>
        <v>-16.799999999999727</v>
      </c>
      <c r="AE346" s="546">
        <f t="shared" si="560"/>
        <v>-0.23432923257175953</v>
      </c>
      <c r="AF346" s="300">
        <f>IF($AC346="",#N/A,SUM(AD$4:AD346))</f>
        <v>863.73239714744955</v>
      </c>
      <c r="AG346" s="341">
        <f t="shared" si="561"/>
        <v>-47.599999999999909</v>
      </c>
      <c r="AH346" s="308" t="s">
        <v>2507</v>
      </c>
      <c r="AI346" s="305">
        <f t="shared" si="562"/>
        <v>0.14645577035735208</v>
      </c>
      <c r="AJ346" s="418">
        <f>IF(AI346="",#N/A,SUM($AI$4:AI346))</f>
        <v>8.9678651566346979</v>
      </c>
      <c r="AK346" s="300">
        <f t="shared" si="563"/>
        <v>10.5</v>
      </c>
      <c r="AL346" s="406">
        <f>IF(AI346="",#N/A,IF(AH346="Skip",SUM($AK$4:AK346),SUM($AK$4:AK346)))</f>
        <v>344.73736927848245</v>
      </c>
      <c r="AM346" s="65">
        <f t="shared" si="646"/>
        <v>-0.23432923257175953</v>
      </c>
      <c r="AN346" s="209"/>
      <c r="AO346" s="305" t="str">
        <f t="shared" si="564"/>
        <v/>
      </c>
      <c r="AP346" s="305">
        <f>IF($AC346="",#N/A,SUM(AO$4:AO346))</f>
        <v>12.851082308833117</v>
      </c>
      <c r="AQ346" s="305" t="str">
        <f t="shared" si="565"/>
        <v/>
      </c>
      <c r="AR346" s="305">
        <f>IF($AC346="",#N/A,SUM(AQ$4:AQ346))</f>
        <v>-3.309636123583787</v>
      </c>
      <c r="AS346" s="305">
        <f t="shared" si="566"/>
        <v>-0.23432923257175953</v>
      </c>
      <c r="AT346" s="305">
        <f>IF($AC346="",#N/A,SUM(AS$4:AS346))</f>
        <v>4.151350961510186</v>
      </c>
      <c r="AU346" s="300" t="str">
        <f t="shared" si="647"/>
        <v/>
      </c>
      <c r="AV346" s="300">
        <f>IF($AC346="",#N/A,SUM(AU$4:AU346))</f>
        <v>768.40627194988019</v>
      </c>
      <c r="AW346" s="300" t="str">
        <f t="shared" si="648"/>
        <v/>
      </c>
      <c r="AX346" s="300">
        <f>IF($AC346="",#N/A,SUM(AW$4:AW346))</f>
        <v>-203.43106797961059</v>
      </c>
      <c r="AY346" s="300">
        <f t="shared" si="649"/>
        <v>-16.799999999999727</v>
      </c>
      <c r="AZ346" s="300">
        <f>IF($AC346="",#N/A,SUM(AY$4:AY346))</f>
        <v>298.75719317717983</v>
      </c>
      <c r="BA346" s="300">
        <f>IF(AD346="",#N/A,SUM($AD$4:AD346))</f>
        <v>863.73239714744955</v>
      </c>
      <c r="BC346" s="292" t="str">
        <f t="shared" si="567"/>
        <v/>
      </c>
      <c r="BD346" s="292" t="str">
        <f t="shared" si="568"/>
        <v/>
      </c>
      <c r="BE346" s="292" t="str">
        <f t="shared" si="569"/>
        <v/>
      </c>
      <c r="BF346" s="292" t="str">
        <f t="shared" si="570"/>
        <v>Short</v>
      </c>
      <c r="BG346" s="292">
        <f t="shared" si="571"/>
        <v>1</v>
      </c>
      <c r="BH346" s="292" t="str">
        <f t="shared" si="572"/>
        <v/>
      </c>
      <c r="BI346" s="292" t="str">
        <f t="shared" si="573"/>
        <v/>
      </c>
      <c r="BK346" s="65">
        <f t="shared" si="544"/>
        <v>7.5170553762052422E-2</v>
      </c>
      <c r="BL346" s="65">
        <f t="shared" si="543"/>
        <v>2.4201433705840002E-2</v>
      </c>
      <c r="BM346" s="65">
        <f>IFERROR(Q346/COUNTA($J$4:J346),#N/A)</f>
        <v>4.8814235957472592E-2</v>
      </c>
      <c r="BO346" s="489" t="e">
        <f>IF(J346="",#N/A,IF(S346="SW",(COUNTIFS(K$4:$K346,"&gt;0",S$4:$S346,"SW")/COUNTIF(S$4:$S346,"SW")),#N/A))</f>
        <v>#N/A</v>
      </c>
      <c r="BP346" s="489">
        <f>IF($J346="",#N/A,IF($S346="DWN",(COUNTIFS($K$4:$K346,"&lt;0",$S$4:$S346,"DWN")/COUNTIF($S$4:$S346,"DWN")),#N/A))</f>
        <v>0.56578947368421051</v>
      </c>
      <c r="BQ346" s="489" t="e">
        <f>IF($J346="",#N/A,IF($S346="UP",(COUNTIFS($K$4:$K346,"&gt;0",$S$4:$S346,"UP")/COUNTIF($S$4:$S346,"UP")),#N/A))</f>
        <v>#N/A</v>
      </c>
      <c r="BR346" s="489">
        <f>IF(J346="",#N/A,COUNTIF($K$4:K346,"&gt;0")/COUNT($J$4:J346))</f>
        <v>0.47521865889212828</v>
      </c>
      <c r="BS346" s="65" t="str">
        <f t="shared" si="574"/>
        <v/>
      </c>
      <c r="BT346" s="65" t="str">
        <f t="shared" si="575"/>
        <v/>
      </c>
      <c r="BU346" s="65">
        <f t="shared" si="576"/>
        <v>0.42960359304823531</v>
      </c>
      <c r="BV346" s="65" t="str">
        <f t="shared" si="577"/>
        <v/>
      </c>
      <c r="BW346" s="128" t="str">
        <f t="shared" si="578"/>
        <v/>
      </c>
      <c r="BX346" s="128">
        <f>IF($J346="",#N/A,SUM($BW$4:BW346))</f>
        <v>-192.68817034792824</v>
      </c>
      <c r="BY346" s="131">
        <f t="shared" si="579"/>
        <v>30.800000000000182</v>
      </c>
      <c r="BZ346" s="131">
        <f>IF($J346="",#N/A,SUM($BY$4:BY346))</f>
        <v>673.5416134613946</v>
      </c>
      <c r="CA346" s="133" t="str">
        <f t="shared" si="580"/>
        <v/>
      </c>
      <c r="CB346" s="133">
        <f>IF($J346="",#N/A,SUM($CA$4:CA346))</f>
        <v>394.7009324481586</v>
      </c>
      <c r="CC346" s="194" t="str">
        <f t="shared" si="581"/>
        <v/>
      </c>
      <c r="CD346" s="194">
        <f>IF($J346="",#N/A,SUM($CC$4:CC346))</f>
        <v>-3.172627957299063</v>
      </c>
      <c r="CE346" s="195">
        <f t="shared" si="582"/>
        <v>0.42960359304823531</v>
      </c>
      <c r="CF346" s="195">
        <f>IF($J346="",#N/A,SUM($CE$4:CE346))</f>
        <v>11.741888845319588</v>
      </c>
      <c r="CG346" s="196" t="str">
        <f t="shared" si="583"/>
        <v/>
      </c>
      <c r="CH346" s="196">
        <f>IF($J346="",#N/A,SUM($CG$4:CG346))</f>
        <v>8.1740220453925794</v>
      </c>
      <c r="CI346" s="200" t="str">
        <f t="shared" si="584"/>
        <v/>
      </c>
      <c r="CJ346" s="203">
        <f>IF($J346="",#N/A,SUM(CI$4:CI346))</f>
        <v>0</v>
      </c>
      <c r="CK346" s="204" t="str">
        <f t="shared" si="585"/>
        <v/>
      </c>
      <c r="CL346" s="204">
        <f>IF($J346="",#N/A,SUM(CK$4:CK346))</f>
        <v>1.2912501745213723</v>
      </c>
      <c r="CM346" s="205" t="str">
        <f t="shared" si="586"/>
        <v/>
      </c>
      <c r="CN346" s="205">
        <f>IF($J346="",#N/A,SUM(CM$4:CM346))</f>
        <v>1.357235719871134</v>
      </c>
      <c r="CO346" s="205">
        <f>IF($J346="",#N/A,SUM(CM$4:CM346,CK$4:CK346,CI$4:CI346))</f>
        <v>2.6484858943925063</v>
      </c>
      <c r="CP346" s="200" t="str">
        <f t="shared" si="587"/>
        <v/>
      </c>
      <c r="CQ346" s="203">
        <f>IF($J346="",#N/A,SUM(CP$4:CP346))</f>
        <v>-2.2357678263539635</v>
      </c>
      <c r="CR346" s="204" t="str">
        <f t="shared" si="588"/>
        <v/>
      </c>
      <c r="CS346" s="204">
        <f>IF($J346="",#N/A,SUM(CR$4:CR346))</f>
        <v>2.3600225017004668</v>
      </c>
      <c r="CT346" s="205" t="str">
        <f t="shared" si="589"/>
        <v/>
      </c>
      <c r="CU346" s="205">
        <f>IF($J346="",#N/A,SUM(CT$4:CT346))</f>
        <v>-2.8580371411053784</v>
      </c>
      <c r="CV346" s="205">
        <f>IF($J346="",#N/A,SUM(CT$4:CT346,CR$4:CR346,CP$4:CP346))</f>
        <v>-2.7337824657588752</v>
      </c>
      <c r="CW346" s="200" t="str">
        <f t="shared" si="590"/>
        <v/>
      </c>
      <c r="CX346" s="203">
        <f>IF($J346="",#N/A,SUM(CW$4:CW346))</f>
        <v>-0.29399505935581682</v>
      </c>
      <c r="CY346" s="204" t="str">
        <f t="shared" si="591"/>
        <v/>
      </c>
      <c r="CZ346" s="204">
        <f>IF($J346="",#N/A,SUM(CY$4:CY346))</f>
        <v>-0.20119965665334139</v>
      </c>
      <c r="DA346" s="205" t="str">
        <f t="shared" si="592"/>
        <v/>
      </c>
      <c r="DB346" s="205">
        <f>IF($J346="",#N/A,SUM(DA$4:DA346))</f>
        <v>-2.7756316087437582</v>
      </c>
      <c r="DC346" s="205">
        <f>IF($J346="",#N/A,SUM(DA$4:DA346,CY$4:CY346,CW$4:CW346))</f>
        <v>-3.2708263247529161</v>
      </c>
      <c r="DD346" s="200" t="str">
        <f t="shared" si="593"/>
        <v/>
      </c>
      <c r="DE346" s="203">
        <f>IF($J346="",#N/A,SUM(DD$4:DD346))</f>
        <v>1.2501454750716789</v>
      </c>
      <c r="DF346" s="204">
        <f t="shared" si="594"/>
        <v>0.42960359304823531</v>
      </c>
      <c r="DG346" s="204">
        <f>IF($J346="",#N/A,SUM(DF$4:DF346))</f>
        <v>3.0565650892577492</v>
      </c>
      <c r="DH346" s="205" t="str">
        <f t="shared" si="595"/>
        <v/>
      </c>
      <c r="DI346" s="205">
        <f>IF($J346="",#N/A,SUM(DH$4:DH346))</f>
        <v>-3.216671910770577</v>
      </c>
      <c r="DJ346" s="205">
        <f>IF($J346="",#N/A,SUM(DH$4:DH346,DF$4:DF346,DD$4:DD346))</f>
        <v>1.0900386535588513</v>
      </c>
      <c r="DK346" s="200" t="str">
        <f t="shared" si="596"/>
        <v/>
      </c>
      <c r="DL346" s="203">
        <f>IF($J346="",#N/A,SUM(DK$4:DK346))</f>
        <v>-0.84049791589649614</v>
      </c>
      <c r="DM346" s="204" t="str">
        <f t="shared" si="597"/>
        <v/>
      </c>
      <c r="DN346" s="204">
        <f>IF($J346="",#N/A,SUM(DM$4:DM346))</f>
        <v>1.8657648196498773</v>
      </c>
      <c r="DO346" s="205" t="str">
        <f t="shared" si="598"/>
        <v/>
      </c>
      <c r="DP346" s="205">
        <f>IF($J346="",#N/A,SUM(DO$4:DO346))</f>
        <v>3.4887162328793941</v>
      </c>
      <c r="DQ346" s="205">
        <f>IF($J346="",#N/A,SUM(DO$4:DO346,DM$4:DM346,DK$4:DK346))</f>
        <v>4.5139831366327758</v>
      </c>
      <c r="DR346" s="200" t="str">
        <f t="shared" si="599"/>
        <v/>
      </c>
      <c r="DS346" s="203">
        <f>IF($J346="",#N/A,SUM(DR$4:DR346))</f>
        <v>-0.55950946427675097</v>
      </c>
      <c r="DT346" s="204" t="str">
        <f t="shared" si="600"/>
        <v/>
      </c>
      <c r="DU346" s="204">
        <f>IF($J346="",#N/A,SUM(DT$4:DT346))</f>
        <v>-0.20750635820596686</v>
      </c>
      <c r="DV346" s="205" t="str">
        <f t="shared" si="601"/>
        <v/>
      </c>
      <c r="DW346" s="205">
        <f>IF($J346="",#N/A,SUM(DV$4:DV346))</f>
        <v>-2.3377035686214001</v>
      </c>
      <c r="DX346" s="205">
        <f>IF($J346="",#N/A,SUM(DV$4:DV346,DT$4:DT346,DR$4:DR346))</f>
        <v>-3.1047193911041169</v>
      </c>
      <c r="DY346" s="200" t="str">
        <f t="shared" si="602"/>
        <v/>
      </c>
      <c r="DZ346" s="203">
        <f>IF($J346="",#N/A,SUM(DY$4:DY346))</f>
        <v>-1.4146842415208627</v>
      </c>
      <c r="EA346" s="204" t="str">
        <f t="shared" si="603"/>
        <v/>
      </c>
      <c r="EB346" s="204">
        <f>IF($J346="",#N/A,SUM(EA$4:EA346))</f>
        <v>4.3184391548878134</v>
      </c>
      <c r="EC346" s="205" t="str">
        <f t="shared" si="604"/>
        <v/>
      </c>
      <c r="ED346" s="205">
        <f>IF($J346="",#N/A,SUM(EC$4:EC346))</f>
        <v>9.2956923798665674</v>
      </c>
      <c r="EE346" s="205">
        <f>IF($J346="",#N/A,SUM(EC$4:EC346,EA$4:EA346,DY$4:DY346))</f>
        <v>12.199447293233519</v>
      </c>
      <c r="EF346" s="200" t="str">
        <f t="shared" si="605"/>
        <v/>
      </c>
      <c r="EG346" s="203">
        <f>IF($J346="",#N/A,SUM(EF$4:EF346))</f>
        <v>0.65848341369884777</v>
      </c>
      <c r="EH346" s="204" t="str">
        <f t="shared" si="606"/>
        <v/>
      </c>
      <c r="EI346" s="204">
        <f>IF($J346="",#N/A,SUM(EH$4:EH346))</f>
        <v>-3.5125331561187787</v>
      </c>
      <c r="EJ346" s="205" t="str">
        <f t="shared" si="607"/>
        <v/>
      </c>
      <c r="EK346" s="205">
        <f>IF($J346="",#N/A,SUM(EJ$4:EJ346))</f>
        <v>8.4415851520554703</v>
      </c>
      <c r="EL346" s="205">
        <f>IF($J346="",#N/A,SUM(EJ$4:EJ346,EH$4:EH346,EF$4:EF346))</f>
        <v>5.5875354096355405</v>
      </c>
      <c r="EM346" s="200" t="str">
        <f t="shared" si="608"/>
        <v/>
      </c>
      <c r="EN346" s="203">
        <f>IF($J346="",#N/A,SUM(EM$4:EM346))</f>
        <v>0</v>
      </c>
      <c r="EO346" s="204" t="str">
        <f t="shared" si="609"/>
        <v/>
      </c>
      <c r="EP346" s="204">
        <f>IF($J346="",#N/A,SUM(EO$4:EO346))</f>
        <v>2.4788862078089964</v>
      </c>
      <c r="EQ346" s="205" t="str">
        <f t="shared" si="610"/>
        <v/>
      </c>
      <c r="ER346" s="205">
        <f>IF($J346="",#N/A,SUM(EQ$4:EQ346))</f>
        <v>2.6983279209445628</v>
      </c>
      <c r="ES346" s="205">
        <f>IF($J346="",#N/A,SUM(EQ$4:EQ346,EO$4:EO346,EM$4:EM346))</f>
        <v>5.1772141287535591</v>
      </c>
      <c r="ET346" s="200" t="str">
        <f t="shared" si="611"/>
        <v/>
      </c>
      <c r="EU346" s="203">
        <f>IF($J346="",#N/A,SUM(ET$4:ET346))</f>
        <v>0</v>
      </c>
      <c r="EV346" s="204" t="str">
        <f t="shared" si="612"/>
        <v/>
      </c>
      <c r="EW346" s="204">
        <f>IF($J346="",#N/A,SUM(EV$4:EV346))</f>
        <v>7.9116394275462909E-2</v>
      </c>
      <c r="EX346" s="205" t="str">
        <f t="shared" si="613"/>
        <v/>
      </c>
      <c r="EY346" s="205">
        <f>IF($J346="",#N/A,SUM(EX$4:EX346))</f>
        <v>-0.33163335417804801</v>
      </c>
      <c r="EZ346" s="205">
        <f>IF($J346="",#N/A,SUM(EX$4:EX346,EV$4:EV346,ET$4:ET346))</f>
        <v>-0.25251695990258494</v>
      </c>
      <c r="FA346" s="200" t="str">
        <f t="shared" si="614"/>
        <v/>
      </c>
      <c r="FB346" s="203">
        <f>IF($J346="",#N/A,SUM(FA$4:FA346))</f>
        <v>-0.27145310509113252</v>
      </c>
      <c r="FC346" s="204" t="str">
        <f t="shared" si="615"/>
        <v/>
      </c>
      <c r="FD346" s="204">
        <f>IF($J346="",#N/A,SUM(FC$4:FC346))</f>
        <v>0.89084290967454072</v>
      </c>
      <c r="FE346" s="205" t="str">
        <f t="shared" si="616"/>
        <v/>
      </c>
      <c r="FF346" s="205">
        <f>IF($J346="",#N/A,SUM(FE$4:FE346))</f>
        <v>-0.28811149078748233</v>
      </c>
      <c r="FG346" s="205">
        <f>IF($J346="",#N/A,SUM(FE$4:FE346,FC$4:FC346,FA$4:FA346))</f>
        <v>0.3312783137959262</v>
      </c>
      <c r="FH346" s="200" t="str">
        <f t="shared" si="617"/>
        <v/>
      </c>
      <c r="FI346" s="203">
        <f>IF($J346="",#N/A,SUM(FH$4:FH346))</f>
        <v>0</v>
      </c>
      <c r="FJ346" s="204" t="str">
        <f t="shared" si="618"/>
        <v/>
      </c>
      <c r="FK346" s="204">
        <f>IF($J346="",#N/A,SUM(FJ$4:FJ346))</f>
        <v>0</v>
      </c>
      <c r="FL346" s="205" t="str">
        <f t="shared" si="619"/>
        <v/>
      </c>
      <c r="FM346" s="205">
        <f>IF($J346="",#N/A,SUM(FL$4:FL346))</f>
        <v>0</v>
      </c>
      <c r="FN346" s="205">
        <f>IF($J346="",#N/A,SUM(FL$4:FL346,FJ$4:FJ346,FH$4:FH346))</f>
        <v>0</v>
      </c>
      <c r="FO346" s="200" t="str">
        <f t="shared" si="620"/>
        <v/>
      </c>
      <c r="FP346" s="203">
        <f>IF($J346="",#N/A,SUM(FO$4:FO346))</f>
        <v>0</v>
      </c>
      <c r="FQ346" s="204" t="str">
        <f t="shared" si="621"/>
        <v/>
      </c>
      <c r="FR346" s="204">
        <f>IF($J346="",#N/A,SUM(FQ$4:FQ346))</f>
        <v>0</v>
      </c>
      <c r="FS346" s="205" t="str">
        <f t="shared" si="622"/>
        <v/>
      </c>
      <c r="FT346" s="205">
        <f>IF($J346="",#N/A,SUM(FS$4:FS346))</f>
        <v>0</v>
      </c>
      <c r="FU346" s="205">
        <f>IF($J346="",#N/A,SUM(FS$4:FS346,FQ$4:FQ346,FO$4:FO346))</f>
        <v>0</v>
      </c>
      <c r="FV346" s="200" t="str">
        <f t="shared" si="623"/>
        <v/>
      </c>
      <c r="FW346" s="203">
        <f>IF($J346="",#N/A,SUM(FV$4:FV346))</f>
        <v>6.6834991831277585E-2</v>
      </c>
      <c r="FX346" s="204" t="str">
        <f t="shared" si="624"/>
        <v/>
      </c>
      <c r="FY346" s="204">
        <f>IF($J346="",#N/A,SUM(FX$4:FX346))</f>
        <v>-0.16102012791805576</v>
      </c>
      <c r="FZ346" s="205" t="str">
        <f t="shared" si="625"/>
        <v/>
      </c>
      <c r="GA346" s="205">
        <f>IF($J346="",#N/A,SUM(FZ$4:FZ346))</f>
        <v>-0.69624339162892301</v>
      </c>
      <c r="GB346" s="205">
        <f>IF($J346="",#N/A,SUM(FZ$4:FZ346,FX$4:FX346,FV$4:FV346))</f>
        <v>-0.79042852771570116</v>
      </c>
      <c r="GC346" s="200" t="str">
        <f t="shared" si="626"/>
        <v/>
      </c>
      <c r="GD346" s="203">
        <f>IF($J346="",#N/A,SUM(GC$4:GC346))</f>
        <v>0</v>
      </c>
      <c r="GE346" s="204" t="str">
        <f t="shared" si="627"/>
        <v/>
      </c>
      <c r="GF346" s="204">
        <f>IF($J346="",#N/A,SUM(GE$4:GE346))</f>
        <v>0</v>
      </c>
      <c r="GG346" s="205" t="str">
        <f t="shared" si="628"/>
        <v/>
      </c>
      <c r="GH346" s="205">
        <f>IF($J346="",#N/A,SUM(GG$4:GG346))</f>
        <v>-2.9368362277223206</v>
      </c>
      <c r="GI346" s="205">
        <f>IF($J346="",#N/A,SUM(GG$4:GG346,GE$4:GE346,GC$4:GC346))</f>
        <v>-2.9368362277223206</v>
      </c>
      <c r="GJ346" s="200" t="str">
        <f t="shared" si="629"/>
        <v/>
      </c>
      <c r="GK346" s="203">
        <f>IF($J346="",#N/A,SUM(GJ$4:GJ346))</f>
        <v>0</v>
      </c>
      <c r="GL346" s="204" t="str">
        <f t="shared" si="630"/>
        <v/>
      </c>
      <c r="GM346" s="204">
        <f>IF($J346="",#N/A,SUM(GL$4:GL346))</f>
        <v>-1.6833790887309608</v>
      </c>
      <c r="GN346" s="205" t="str">
        <f t="shared" si="631"/>
        <v/>
      </c>
      <c r="GO346" s="205">
        <f>IF($J346="",#N/A,SUM(GN$4:GN346))</f>
        <v>0</v>
      </c>
      <c r="GP346" s="205">
        <f>IF($J346="",#N/A,SUM(GN$4:GN346,GL$4:GL346,GJ$4:GJ346))</f>
        <v>-1.6833790887309608</v>
      </c>
      <c r="GS346" s="303" t="str">
        <f t="shared" si="650"/>
        <v/>
      </c>
      <c r="GT346" s="303" t="e">
        <f>IF(GS346="",NA(),SUM($GS$4:GS346))</f>
        <v>#N/A</v>
      </c>
      <c r="GU346" s="303" t="str">
        <f t="shared" si="632"/>
        <v/>
      </c>
      <c r="GV346" s="303" t="e">
        <f>IF(GU346="",NA(),SUM($GU$4:GU346))</f>
        <v>#N/A</v>
      </c>
      <c r="GW346" s="303" t="str">
        <f t="shared" si="633"/>
        <v/>
      </c>
      <c r="GX346" s="303" t="e">
        <f>IF(GW346="",NA(),SUM($GW$4:GW346))</f>
        <v>#N/A</v>
      </c>
      <c r="GY346" s="303" t="str">
        <f t="shared" si="634"/>
        <v/>
      </c>
      <c r="GZ346" s="303" t="e">
        <f>IF(GY346="",NA(),SUM($GY$4:GY346))</f>
        <v>#N/A</v>
      </c>
      <c r="HA346" s="303">
        <f t="shared" si="635"/>
        <v>0.42960359304823531</v>
      </c>
      <c r="HB346" s="303">
        <f>IF(HA346="",NA(),SUM($HA$4:HA346))</f>
        <v>3.2680447129364016</v>
      </c>
      <c r="HC346" s="303" t="str">
        <f t="shared" si="636"/>
        <v/>
      </c>
      <c r="HD346" s="303" t="e">
        <f>IF(HC346="",NA(),SUM($HC$4:HC346))</f>
        <v>#N/A</v>
      </c>
      <c r="HE346" s="303" t="str">
        <f t="shared" si="637"/>
        <v/>
      </c>
      <c r="HF346" s="303" t="e">
        <f>IF(HE346="",NA(),SUM($HE$4:HE346))</f>
        <v>#N/A</v>
      </c>
      <c r="HG346" s="303">
        <f t="shared" si="638"/>
        <v>0.42960359304823531</v>
      </c>
      <c r="HH346" s="303">
        <f>IF(HG346="",NA(),SUM($HG$4:HG346))</f>
        <v>6.5214553669906339</v>
      </c>
      <c r="HI346" s="304">
        <f t="shared" si="651"/>
        <v>-0.66393282561999478</v>
      </c>
      <c r="HJ346" s="304">
        <f>IF($J346="",#N/A,SUM(HI$4:$HI346))</f>
        <v>-9.4940030772075517</v>
      </c>
      <c r="HK346" s="303" t="str">
        <f t="shared" si="639"/>
        <v/>
      </c>
      <c r="HL346" s="303">
        <f>IF($J346="",#N/A,SUM($HK$4:HK346))</f>
        <v>1.9034651933981581</v>
      </c>
      <c r="HM346" s="303" t="str">
        <f t="shared" si="640"/>
        <v/>
      </c>
      <c r="HN346" s="303">
        <f>IF($J346="",#N/A,SUM($HM$4:HM346))</f>
        <v>0.41616915617605843</v>
      </c>
      <c r="HO346" s="303" t="str">
        <f t="shared" si="641"/>
        <v/>
      </c>
      <c r="HP346" s="303">
        <f>IF($J346="",#N/A,SUM($HO$4:HO346))</f>
        <v>-0.55317732246077922</v>
      </c>
      <c r="HQ346" s="303" t="str">
        <f t="shared" si="642"/>
        <v/>
      </c>
      <c r="HR346" s="303">
        <f>IF($J346="",#N/A,SUM($HQ$4:HQ346))</f>
        <v>-10.915291110718158</v>
      </c>
      <c r="HS346" s="303" t="str">
        <f t="shared" si="643"/>
        <v/>
      </c>
      <c r="HT346" s="303">
        <f>IF($J346="",#N/A,SUM($HS$4:HS346))</f>
        <v>16.108298841325684</v>
      </c>
      <c r="HU346" s="305">
        <f t="shared" si="644"/>
        <v>-0.23432923257175953</v>
      </c>
      <c r="HV346" s="305">
        <f>IF($J346="",#N/A,SUM(HU$4:$HU346))</f>
        <v>13.692797146759526</v>
      </c>
    </row>
    <row r="347" spans="1:230" x14ac:dyDescent="0.25">
      <c r="A347" s="59" t="s">
        <v>881</v>
      </c>
      <c r="B347" s="496" t="s">
        <v>4718</v>
      </c>
      <c r="C347" s="514">
        <f t="shared" si="545"/>
        <v>3</v>
      </c>
      <c r="D347" s="515" t="str">
        <f>_xlfn.XLOOKUP(A347,[1]SP500!$A$2:$A$502,[1]SP500!$D$2:$D$502,"N")</f>
        <v>Y</v>
      </c>
      <c r="E347" s="497" t="str">
        <f>IFERROR(_xlfn.XLOOKUP(A347,[1]SP500!$A$2:$A$655,[1]SP500!$B$2:$B$655),"")</f>
        <v>XLY</v>
      </c>
      <c r="F347" s="494">
        <v>45797</v>
      </c>
      <c r="G347" s="497" t="str">
        <f t="shared" si="546"/>
        <v>BMO</v>
      </c>
      <c r="H347" s="497" t="str">
        <f t="shared" si="547"/>
        <v>s</v>
      </c>
      <c r="I347" s="549">
        <v>379.38</v>
      </c>
      <c r="J347" s="510">
        <v>386.37</v>
      </c>
      <c r="K347" s="498">
        <f t="shared" si="548"/>
        <v>1.8424798355211158E-2</v>
      </c>
      <c r="L347" s="499">
        <f t="shared" si="549"/>
        <v>27.960000000000036</v>
      </c>
      <c r="M347" s="500">
        <f t="shared" si="550"/>
        <v>7.3599999999999</v>
      </c>
      <c r="N347" s="502">
        <f t="shared" si="551"/>
        <v>27.960000000000036</v>
      </c>
      <c r="O347" s="500">
        <f>IF(N347="",#N/A,SUM($N$4:N347))</f>
        <v>903.51437556162512</v>
      </c>
      <c r="P347" s="501">
        <f t="shared" si="645"/>
        <v>0.30707997258685266</v>
      </c>
      <c r="Q347" s="505">
        <f>IF($N347="",#N/A,SUM($P$4:P347))</f>
        <v>17.05036290599995</v>
      </c>
      <c r="R347" s="495">
        <f t="shared" si="552"/>
        <v>7.6945841359257816</v>
      </c>
      <c r="S347" s="497" t="str">
        <f t="shared" si="553"/>
        <v>SW</v>
      </c>
      <c r="T347" s="497" t="s">
        <v>2828</v>
      </c>
      <c r="U347" s="506">
        <f t="shared" si="554"/>
        <v>379.38</v>
      </c>
      <c r="V347" s="506" t="s">
        <v>4460</v>
      </c>
      <c r="W347" s="508">
        <v>4</v>
      </c>
      <c r="X347" s="507">
        <f t="shared" si="555"/>
        <v>1517.52</v>
      </c>
      <c r="Y347" s="508">
        <f t="shared" si="556"/>
        <v>4</v>
      </c>
      <c r="Z347" s="509">
        <v>388.21</v>
      </c>
      <c r="AA347" s="502">
        <f t="shared" si="557"/>
        <v>35.319999999999936</v>
      </c>
      <c r="AB347" s="502">
        <f t="shared" si="558"/>
        <v>-9.3199999999999363</v>
      </c>
      <c r="AC347" s="510">
        <v>377.05</v>
      </c>
      <c r="AD347" s="503">
        <f t="shared" si="559"/>
        <v>-9.3199999999999363</v>
      </c>
      <c r="AE347" s="548">
        <f t="shared" si="560"/>
        <v>-0.10235999086228338</v>
      </c>
      <c r="AF347" s="500">
        <f>IF($AC347="",#N/A,SUM(AD$4:AD347))</f>
        <v>854.41239714744961</v>
      </c>
      <c r="AG347" s="502">
        <f t="shared" si="561"/>
        <v>-37.279999999999973</v>
      </c>
      <c r="AH347" s="506" t="s">
        <v>2507</v>
      </c>
      <c r="AI347" s="501">
        <f t="shared" si="562"/>
        <v>0.38791361343947073</v>
      </c>
      <c r="AJ347" s="511">
        <f>IF(AI347="",#N/A,SUM($AI$4:AI347))</f>
        <v>9.3557787700741688</v>
      </c>
      <c r="AK347" s="500">
        <f t="shared" si="563"/>
        <v>35.319999999999936</v>
      </c>
      <c r="AL347" s="512">
        <f>IF(AI347="",#N/A,IF(AH347="Skip",SUM($AK$4:AK347),SUM($AK$4:AK347)))</f>
        <v>380.05736927848238</v>
      </c>
      <c r="AM347" s="65">
        <f t="shared" si="646"/>
        <v>-0.10235999086228338</v>
      </c>
      <c r="AN347" s="209"/>
      <c r="AO347" s="501">
        <f t="shared" si="564"/>
        <v>-0.10235999086228338</v>
      </c>
      <c r="AP347" s="501">
        <f>IF($AC347="",#N/A,SUM(AO$4:AO347))</f>
        <v>12.748722317970834</v>
      </c>
      <c r="AQ347" s="501" t="str">
        <f t="shared" si="565"/>
        <v/>
      </c>
      <c r="AR347" s="501">
        <f>IF($AC347="",#N/A,SUM(AQ$4:AQ347))</f>
        <v>-3.309636123583787</v>
      </c>
      <c r="AS347" s="501" t="str">
        <f t="shared" si="566"/>
        <v/>
      </c>
      <c r="AT347" s="501">
        <f>IF($AC347="",#N/A,SUM(AS$4:AS347))</f>
        <v>4.151350961510186</v>
      </c>
      <c r="AU347" s="500">
        <f t="shared" si="647"/>
        <v>-9.3199999999999363</v>
      </c>
      <c r="AV347" s="500">
        <f>IF($AC347="",#N/A,SUM(AU$4:AU347))</f>
        <v>759.08627194988026</v>
      </c>
      <c r="AW347" s="500" t="str">
        <f t="shared" si="648"/>
        <v/>
      </c>
      <c r="AX347" s="500">
        <f>IF($AC347="",#N/A,SUM(AW$4:AW347))</f>
        <v>-203.43106797961059</v>
      </c>
      <c r="AY347" s="500" t="str">
        <f t="shared" si="649"/>
        <v/>
      </c>
      <c r="AZ347" s="500">
        <f>IF($AC347="",#N/A,SUM(AY$4:AY347))</f>
        <v>298.75719317717983</v>
      </c>
      <c r="BA347" s="500">
        <f>IF(AD347="",#N/A,SUM($AD$4:AD347))</f>
        <v>854.41239714744961</v>
      </c>
      <c r="BC347" s="497" t="str">
        <f t="shared" si="567"/>
        <v/>
      </c>
      <c r="BD347" s="497" t="str">
        <f t="shared" si="568"/>
        <v/>
      </c>
      <c r="BE347" s="497">
        <f t="shared" si="569"/>
        <v>1</v>
      </c>
      <c r="BF347" s="497" t="str">
        <f t="shared" si="570"/>
        <v>Long</v>
      </c>
      <c r="BG347" s="497" t="str">
        <f t="shared" si="571"/>
        <v/>
      </c>
      <c r="BH347" s="497" t="str">
        <f t="shared" si="572"/>
        <v/>
      </c>
      <c r="BI347" s="497" t="str">
        <f t="shared" si="573"/>
        <v/>
      </c>
      <c r="BK347" s="65">
        <f t="shared" si="544"/>
        <v>0.11838133696844572</v>
      </c>
      <c r="BL347" s="65">
        <f t="shared" si="543"/>
        <v>-5.6978402410141057E-2</v>
      </c>
      <c r="BM347" s="65">
        <f>IFERROR(Q347/COUNTA($J$4:J347),#N/A)</f>
        <v>4.9565008447674273E-2</v>
      </c>
      <c r="BO347" s="489">
        <f>IF(J347="",#N/A,IF(S347="SW",(COUNTIFS(K$4:$K347,"&gt;0",S$4:$S347,"SW")/COUNTIF(S$4:$S347,"SW")),#N/A))</f>
        <v>0.51533742331288346</v>
      </c>
      <c r="BP347" s="489" t="e">
        <f>IF($J347="",#N/A,IF($S347="DWN",(COUNTIFS($K$4:$K347,"&lt;0",$S$4:$S347,"DWN")/COUNTIF($S$4:$S347,"DWN")),#N/A))</f>
        <v>#N/A</v>
      </c>
      <c r="BQ347" s="489" t="e">
        <f>IF($J347="",#N/A,IF($S347="UP",(COUNTIFS($K$4:$K347,"&gt;0",$S$4:$S347,"UP")/COUNTIF($S$4:$S347,"UP")),#N/A))</f>
        <v>#N/A</v>
      </c>
      <c r="BR347" s="489">
        <f>IF(J347="",#N/A,COUNTIF($K$4:K347,"&gt;0")/COUNT($J$4:J347))</f>
        <v>0.47674418604651164</v>
      </c>
      <c r="BS347" s="65">
        <f t="shared" si="574"/>
        <v>0.30707997258685266</v>
      </c>
      <c r="BT347" s="65" t="str">
        <f t="shared" si="575"/>
        <v/>
      </c>
      <c r="BU347" s="65" t="str">
        <f t="shared" si="576"/>
        <v/>
      </c>
      <c r="BV347" s="65" t="str">
        <f t="shared" si="577"/>
        <v/>
      </c>
      <c r="BW347" s="128" t="str">
        <f t="shared" si="578"/>
        <v/>
      </c>
      <c r="BX347" s="128">
        <f>IF($J347="",#N/A,SUM($BW$4:BW347))</f>
        <v>-192.68817034792824</v>
      </c>
      <c r="BY347" s="131" t="str">
        <f t="shared" si="579"/>
        <v/>
      </c>
      <c r="BZ347" s="131">
        <f>IF($J347="",#N/A,SUM($BY$4:BY347))</f>
        <v>673.5416134613946</v>
      </c>
      <c r="CA347" s="133">
        <f t="shared" si="580"/>
        <v>27.960000000000036</v>
      </c>
      <c r="CB347" s="133">
        <f>IF($J347="",#N/A,SUM($CA$4:CA347))</f>
        <v>422.66093244815863</v>
      </c>
      <c r="CC347" s="194" t="str">
        <f t="shared" si="581"/>
        <v/>
      </c>
      <c r="CD347" s="194">
        <f>IF($J347="",#N/A,SUM($CC$4:CC347))</f>
        <v>-3.172627957299063</v>
      </c>
      <c r="CE347" s="195" t="str">
        <f t="shared" si="582"/>
        <v/>
      </c>
      <c r="CF347" s="195">
        <f>IF($J347="",#N/A,SUM($CE$4:CE347))</f>
        <v>11.741888845319588</v>
      </c>
      <c r="CG347" s="196">
        <f t="shared" si="583"/>
        <v>0.30707997258685266</v>
      </c>
      <c r="CH347" s="196">
        <f>IF($J347="",#N/A,SUM($CG$4:CG347))</f>
        <v>8.4811020179794312</v>
      </c>
      <c r="CI347" s="200" t="str">
        <f t="shared" si="584"/>
        <v/>
      </c>
      <c r="CJ347" s="203">
        <f>IF($J347="",#N/A,SUM(CI$4:CI347))</f>
        <v>0</v>
      </c>
      <c r="CK347" s="204" t="str">
        <f t="shared" si="585"/>
        <v/>
      </c>
      <c r="CL347" s="204">
        <f>IF($J347="",#N/A,SUM(CK$4:CK347))</f>
        <v>1.2912501745213723</v>
      </c>
      <c r="CM347" s="205" t="str">
        <f t="shared" si="586"/>
        <v/>
      </c>
      <c r="CN347" s="205">
        <f>IF($J347="",#N/A,SUM(CM$4:CM347))</f>
        <v>1.357235719871134</v>
      </c>
      <c r="CO347" s="205">
        <f>IF($J347="",#N/A,SUM(CM$4:CM347,CK$4:CK347,CI$4:CI347))</f>
        <v>2.6484858943925063</v>
      </c>
      <c r="CP347" s="200" t="str">
        <f t="shared" si="587"/>
        <v/>
      </c>
      <c r="CQ347" s="203">
        <f>IF($J347="",#N/A,SUM(CP$4:CP347))</f>
        <v>-2.2357678263539635</v>
      </c>
      <c r="CR347" s="204" t="str">
        <f t="shared" si="588"/>
        <v/>
      </c>
      <c r="CS347" s="204">
        <f>IF($J347="",#N/A,SUM(CR$4:CR347))</f>
        <v>2.3600225017004668</v>
      </c>
      <c r="CT347" s="205" t="str">
        <f t="shared" si="589"/>
        <v/>
      </c>
      <c r="CU347" s="205">
        <f>IF($J347="",#N/A,SUM(CT$4:CT347))</f>
        <v>-2.8580371411053784</v>
      </c>
      <c r="CV347" s="205">
        <f>IF($J347="",#N/A,SUM(CT$4:CT347,CR$4:CR347,CP$4:CP347))</f>
        <v>-2.7337824657588752</v>
      </c>
      <c r="CW347" s="200" t="str">
        <f t="shared" si="590"/>
        <v/>
      </c>
      <c r="CX347" s="203">
        <f>IF($J347="",#N/A,SUM(CW$4:CW347))</f>
        <v>-0.29399505935581682</v>
      </c>
      <c r="CY347" s="204" t="str">
        <f t="shared" si="591"/>
        <v/>
      </c>
      <c r="CZ347" s="204">
        <f>IF($J347="",#N/A,SUM(CY$4:CY347))</f>
        <v>-0.20119965665334139</v>
      </c>
      <c r="DA347" s="205">
        <f t="shared" si="592"/>
        <v>0.30707997258685266</v>
      </c>
      <c r="DB347" s="205">
        <f>IF($J347="",#N/A,SUM(DA$4:DA347))</f>
        <v>-2.4685516361569055</v>
      </c>
      <c r="DC347" s="205">
        <f>IF($J347="",#N/A,SUM(DA$4:DA347,CY$4:CY347,CW$4:CW347))</f>
        <v>-2.9637463521660634</v>
      </c>
      <c r="DD347" s="200" t="str">
        <f t="shared" si="593"/>
        <v/>
      </c>
      <c r="DE347" s="203">
        <f>IF($J347="",#N/A,SUM(DD$4:DD347))</f>
        <v>1.2501454750716789</v>
      </c>
      <c r="DF347" s="204" t="str">
        <f t="shared" si="594"/>
        <v/>
      </c>
      <c r="DG347" s="204">
        <f>IF($J347="",#N/A,SUM(DF$4:DF347))</f>
        <v>3.0565650892577492</v>
      </c>
      <c r="DH347" s="205" t="str">
        <f t="shared" si="595"/>
        <v/>
      </c>
      <c r="DI347" s="205">
        <f>IF($J347="",#N/A,SUM(DH$4:DH347))</f>
        <v>-3.216671910770577</v>
      </c>
      <c r="DJ347" s="205">
        <f>IF($J347="",#N/A,SUM(DH$4:DH347,DF$4:DF347,DD$4:DD347))</f>
        <v>1.0900386535588513</v>
      </c>
      <c r="DK347" s="200" t="str">
        <f t="shared" si="596"/>
        <v/>
      </c>
      <c r="DL347" s="203">
        <f>IF($J347="",#N/A,SUM(DK$4:DK347))</f>
        <v>-0.84049791589649614</v>
      </c>
      <c r="DM347" s="204" t="str">
        <f t="shared" si="597"/>
        <v/>
      </c>
      <c r="DN347" s="204">
        <f>IF($J347="",#N/A,SUM(DM$4:DM347))</f>
        <v>1.8657648196498773</v>
      </c>
      <c r="DO347" s="205" t="str">
        <f t="shared" si="598"/>
        <v/>
      </c>
      <c r="DP347" s="205">
        <f>IF($J347="",#N/A,SUM(DO$4:DO347))</f>
        <v>3.4887162328793941</v>
      </c>
      <c r="DQ347" s="205">
        <f>IF($J347="",#N/A,SUM(DO$4:DO347,DM$4:DM347,DK$4:DK347))</f>
        <v>4.5139831366327758</v>
      </c>
      <c r="DR347" s="200" t="str">
        <f t="shared" si="599"/>
        <v/>
      </c>
      <c r="DS347" s="203">
        <f>IF($J347="",#N/A,SUM(DR$4:DR347))</f>
        <v>-0.55950946427675097</v>
      </c>
      <c r="DT347" s="204" t="str">
        <f t="shared" si="600"/>
        <v/>
      </c>
      <c r="DU347" s="204">
        <f>IF($J347="",#N/A,SUM(DT$4:DT347))</f>
        <v>-0.20750635820596686</v>
      </c>
      <c r="DV347" s="205" t="str">
        <f t="shared" si="601"/>
        <v/>
      </c>
      <c r="DW347" s="205">
        <f>IF($J347="",#N/A,SUM(DV$4:DV347))</f>
        <v>-2.3377035686214001</v>
      </c>
      <c r="DX347" s="205">
        <f>IF($J347="",#N/A,SUM(DV$4:DV347,DT$4:DT347,DR$4:DR347))</f>
        <v>-3.1047193911041169</v>
      </c>
      <c r="DY347" s="200" t="str">
        <f t="shared" si="602"/>
        <v/>
      </c>
      <c r="DZ347" s="203">
        <f>IF($J347="",#N/A,SUM(DY$4:DY347))</f>
        <v>-1.4146842415208627</v>
      </c>
      <c r="EA347" s="204" t="str">
        <f t="shared" si="603"/>
        <v/>
      </c>
      <c r="EB347" s="204">
        <f>IF($J347="",#N/A,SUM(EA$4:EA347))</f>
        <v>4.3184391548878134</v>
      </c>
      <c r="EC347" s="205" t="str">
        <f t="shared" si="604"/>
        <v/>
      </c>
      <c r="ED347" s="205">
        <f>IF($J347="",#N/A,SUM(EC$4:EC347))</f>
        <v>9.2956923798665674</v>
      </c>
      <c r="EE347" s="205">
        <f>IF($J347="",#N/A,SUM(EC$4:EC347,EA$4:EA347,DY$4:DY347))</f>
        <v>12.199447293233519</v>
      </c>
      <c r="EF347" s="200" t="str">
        <f t="shared" si="605"/>
        <v/>
      </c>
      <c r="EG347" s="203">
        <f>IF($J347="",#N/A,SUM(EF$4:EF347))</f>
        <v>0.65848341369884777</v>
      </c>
      <c r="EH347" s="204" t="str">
        <f t="shared" si="606"/>
        <v/>
      </c>
      <c r="EI347" s="204">
        <f>IF($J347="",#N/A,SUM(EH$4:EH347))</f>
        <v>-3.5125331561187787</v>
      </c>
      <c r="EJ347" s="205" t="str">
        <f t="shared" si="607"/>
        <v/>
      </c>
      <c r="EK347" s="205">
        <f>IF($J347="",#N/A,SUM(EJ$4:EJ347))</f>
        <v>8.4415851520554703</v>
      </c>
      <c r="EL347" s="205">
        <f>IF($J347="",#N/A,SUM(EJ$4:EJ347,EH$4:EH347,EF$4:EF347))</f>
        <v>5.5875354096355405</v>
      </c>
      <c r="EM347" s="200" t="str">
        <f t="shared" si="608"/>
        <v/>
      </c>
      <c r="EN347" s="203">
        <f>IF($J347="",#N/A,SUM(EM$4:EM347))</f>
        <v>0</v>
      </c>
      <c r="EO347" s="204" t="str">
        <f t="shared" si="609"/>
        <v/>
      </c>
      <c r="EP347" s="204">
        <f>IF($J347="",#N/A,SUM(EO$4:EO347))</f>
        <v>2.4788862078089964</v>
      </c>
      <c r="EQ347" s="205" t="str">
        <f t="shared" si="610"/>
        <v/>
      </c>
      <c r="ER347" s="205">
        <f>IF($J347="",#N/A,SUM(EQ$4:EQ347))</f>
        <v>2.6983279209445628</v>
      </c>
      <c r="ES347" s="205">
        <f>IF($J347="",#N/A,SUM(EQ$4:EQ347,EO$4:EO347,EM$4:EM347))</f>
        <v>5.1772141287535591</v>
      </c>
      <c r="ET347" s="200" t="str">
        <f t="shared" si="611"/>
        <v/>
      </c>
      <c r="EU347" s="203">
        <f>IF($J347="",#N/A,SUM(ET$4:ET347))</f>
        <v>0</v>
      </c>
      <c r="EV347" s="204" t="str">
        <f t="shared" si="612"/>
        <v/>
      </c>
      <c r="EW347" s="204">
        <f>IF($J347="",#N/A,SUM(EV$4:EV347))</f>
        <v>7.9116394275462909E-2</v>
      </c>
      <c r="EX347" s="205" t="str">
        <f t="shared" si="613"/>
        <v/>
      </c>
      <c r="EY347" s="205">
        <f>IF($J347="",#N/A,SUM(EX$4:EX347))</f>
        <v>-0.33163335417804801</v>
      </c>
      <c r="EZ347" s="205">
        <f>IF($J347="",#N/A,SUM(EX$4:EX347,EV$4:EV347,ET$4:ET347))</f>
        <v>-0.25251695990258494</v>
      </c>
      <c r="FA347" s="200" t="str">
        <f t="shared" si="614"/>
        <v/>
      </c>
      <c r="FB347" s="203">
        <f>IF($J347="",#N/A,SUM(FA$4:FA347))</f>
        <v>-0.27145310509113252</v>
      </c>
      <c r="FC347" s="204" t="str">
        <f t="shared" si="615"/>
        <v/>
      </c>
      <c r="FD347" s="204">
        <f>IF($J347="",#N/A,SUM(FC$4:FC347))</f>
        <v>0.89084290967454072</v>
      </c>
      <c r="FE347" s="205" t="str">
        <f t="shared" si="616"/>
        <v/>
      </c>
      <c r="FF347" s="205">
        <f>IF($J347="",#N/A,SUM(FE$4:FE347))</f>
        <v>-0.28811149078748233</v>
      </c>
      <c r="FG347" s="205">
        <f>IF($J347="",#N/A,SUM(FE$4:FE347,FC$4:FC347,FA$4:FA347))</f>
        <v>0.3312783137959262</v>
      </c>
      <c r="FH347" s="200" t="str">
        <f t="shared" si="617"/>
        <v/>
      </c>
      <c r="FI347" s="203">
        <f>IF($J347="",#N/A,SUM(FH$4:FH347))</f>
        <v>0</v>
      </c>
      <c r="FJ347" s="204" t="str">
        <f t="shared" si="618"/>
        <v/>
      </c>
      <c r="FK347" s="204">
        <f>IF($J347="",#N/A,SUM(FJ$4:FJ347))</f>
        <v>0</v>
      </c>
      <c r="FL347" s="205" t="str">
        <f t="shared" si="619"/>
        <v/>
      </c>
      <c r="FM347" s="205">
        <f>IF($J347="",#N/A,SUM(FL$4:FL347))</f>
        <v>0</v>
      </c>
      <c r="FN347" s="205">
        <f>IF($J347="",#N/A,SUM(FL$4:FL347,FJ$4:FJ347,FH$4:FH347))</f>
        <v>0</v>
      </c>
      <c r="FO347" s="200" t="str">
        <f t="shared" si="620"/>
        <v/>
      </c>
      <c r="FP347" s="203">
        <f>IF($J347="",#N/A,SUM(FO$4:FO347))</f>
        <v>0</v>
      </c>
      <c r="FQ347" s="204" t="str">
        <f t="shared" si="621"/>
        <v/>
      </c>
      <c r="FR347" s="204">
        <f>IF($J347="",#N/A,SUM(FQ$4:FQ347))</f>
        <v>0</v>
      </c>
      <c r="FS347" s="205" t="str">
        <f t="shared" si="622"/>
        <v/>
      </c>
      <c r="FT347" s="205">
        <f>IF($J347="",#N/A,SUM(FS$4:FS347))</f>
        <v>0</v>
      </c>
      <c r="FU347" s="205">
        <f>IF($J347="",#N/A,SUM(FS$4:FS347,FQ$4:FQ347,FO$4:FO347))</f>
        <v>0</v>
      </c>
      <c r="FV347" s="200" t="str">
        <f t="shared" si="623"/>
        <v/>
      </c>
      <c r="FW347" s="203">
        <f>IF($J347="",#N/A,SUM(FV$4:FV347))</f>
        <v>6.6834991831277585E-2</v>
      </c>
      <c r="FX347" s="204" t="str">
        <f t="shared" si="624"/>
        <v/>
      </c>
      <c r="FY347" s="204">
        <f>IF($J347="",#N/A,SUM(FX$4:FX347))</f>
        <v>-0.16102012791805576</v>
      </c>
      <c r="FZ347" s="205" t="str">
        <f t="shared" si="625"/>
        <v/>
      </c>
      <c r="GA347" s="205">
        <f>IF($J347="",#N/A,SUM(FZ$4:FZ347))</f>
        <v>-0.69624339162892301</v>
      </c>
      <c r="GB347" s="205">
        <f>IF($J347="",#N/A,SUM(FZ$4:FZ347,FX$4:FX347,FV$4:FV347))</f>
        <v>-0.79042852771570116</v>
      </c>
      <c r="GC347" s="200" t="str">
        <f t="shared" si="626"/>
        <v/>
      </c>
      <c r="GD347" s="203">
        <f>IF($J347="",#N/A,SUM(GC$4:GC347))</f>
        <v>0</v>
      </c>
      <c r="GE347" s="204" t="str">
        <f t="shared" si="627"/>
        <v/>
      </c>
      <c r="GF347" s="204">
        <f>IF($J347="",#N/A,SUM(GE$4:GE347))</f>
        <v>0</v>
      </c>
      <c r="GG347" s="205" t="str">
        <f t="shared" si="628"/>
        <v/>
      </c>
      <c r="GH347" s="205">
        <f>IF($J347="",#N/A,SUM(GG$4:GG347))</f>
        <v>-2.9368362277223206</v>
      </c>
      <c r="GI347" s="205">
        <f>IF($J347="",#N/A,SUM(GG$4:GG347,GE$4:GE347,GC$4:GC347))</f>
        <v>-2.9368362277223206</v>
      </c>
      <c r="GJ347" s="200" t="str">
        <f t="shared" si="629"/>
        <v/>
      </c>
      <c r="GK347" s="203">
        <f>IF($J347="",#N/A,SUM(GJ$4:GJ347))</f>
        <v>0</v>
      </c>
      <c r="GL347" s="204" t="str">
        <f t="shared" si="630"/>
        <v/>
      </c>
      <c r="GM347" s="204">
        <f>IF($J347="",#N/A,SUM(GL$4:GL347))</f>
        <v>-1.6833790887309608</v>
      </c>
      <c r="GN347" s="205" t="str">
        <f t="shared" si="631"/>
        <v/>
      </c>
      <c r="GO347" s="205">
        <f>IF($J347="",#N/A,SUM(GN$4:GN347))</f>
        <v>0</v>
      </c>
      <c r="GP347" s="205">
        <f>IF($J347="",#N/A,SUM(GN$4:GN347,GL$4:GL347,GJ$4:GJ347))</f>
        <v>-1.6833790887309608</v>
      </c>
      <c r="GS347" s="504">
        <f t="shared" si="650"/>
        <v>0.30707997258685266</v>
      </c>
      <c r="GT347" s="504">
        <f>IF(GS347="",NA(),SUM($GS$4:GS347))</f>
        <v>13.782318193063547</v>
      </c>
      <c r="GU347" s="504" t="str">
        <f t="shared" si="632"/>
        <v/>
      </c>
      <c r="GV347" s="504" t="e">
        <f>IF(GU347="",NA(),SUM($GU$4:GU347))</f>
        <v>#N/A</v>
      </c>
      <c r="GW347" s="504">
        <f t="shared" si="633"/>
        <v>0.30707997258685266</v>
      </c>
      <c r="GX347" s="504">
        <f>IF(GW347="",NA(),SUM($GW$4:GW347))</f>
        <v>12.416116453384573</v>
      </c>
      <c r="GY347" s="504" t="str">
        <f t="shared" si="634"/>
        <v/>
      </c>
      <c r="GZ347" s="504" t="e">
        <f>IF(GY347="",NA(),SUM($GY$4:GY347))</f>
        <v>#N/A</v>
      </c>
      <c r="HA347" s="504" t="str">
        <f t="shared" si="635"/>
        <v/>
      </c>
      <c r="HB347" s="504" t="e">
        <f>IF(HA347="",NA(),SUM($HA$4:HA347))</f>
        <v>#N/A</v>
      </c>
      <c r="HC347" s="504" t="str">
        <f t="shared" si="636"/>
        <v/>
      </c>
      <c r="HD347" s="504" t="e">
        <f>IF(HC347="",NA(),SUM($HC$4:HC347))</f>
        <v>#N/A</v>
      </c>
      <c r="HE347" s="504" t="str">
        <f t="shared" si="637"/>
        <v/>
      </c>
      <c r="HF347" s="504" t="e">
        <f>IF(HE347="",NA(),SUM($HE$4:HE347))</f>
        <v>#N/A</v>
      </c>
      <c r="HG347" s="504" t="str">
        <f t="shared" si="638"/>
        <v/>
      </c>
      <c r="HH347" s="504" t="e">
        <f>IF(HG347="",NA(),SUM($HG$4:HG347))</f>
        <v>#N/A</v>
      </c>
      <c r="HI347" s="505" t="str">
        <f t="shared" si="651"/>
        <v/>
      </c>
      <c r="HJ347" s="505">
        <f>IF($J347="",#N/A,SUM(HI$4:$HI347))</f>
        <v>-9.4940030772075517</v>
      </c>
      <c r="HK347" s="504" t="str">
        <f t="shared" si="639"/>
        <v/>
      </c>
      <c r="HL347" s="504">
        <f>IF($J347="",#N/A,SUM($HK$4:HK347))</f>
        <v>1.9034651933981581</v>
      </c>
      <c r="HM347" s="504" t="str">
        <f t="shared" si="640"/>
        <v/>
      </c>
      <c r="HN347" s="504">
        <f>IF($J347="",#N/A,SUM($HM$4:HM347))</f>
        <v>0.41616915617605843</v>
      </c>
      <c r="HO347" s="504" t="str">
        <f t="shared" si="641"/>
        <v/>
      </c>
      <c r="HP347" s="504">
        <f>IF($J347="",#N/A,SUM($HO$4:HO347))</f>
        <v>-0.55317732246077922</v>
      </c>
      <c r="HQ347" s="504">
        <f t="shared" si="642"/>
        <v>-0.40943996344913602</v>
      </c>
      <c r="HR347" s="504">
        <f>IF($J347="",#N/A,SUM($HQ$4:HQ347))</f>
        <v>-11.324731074167294</v>
      </c>
      <c r="HS347" s="504" t="str">
        <f t="shared" si="643"/>
        <v/>
      </c>
      <c r="HT347" s="504">
        <f>IF($J347="",#N/A,SUM($HS$4:HS347))</f>
        <v>16.108298841325684</v>
      </c>
      <c r="HU347" s="501">
        <f t="shared" si="644"/>
        <v>-0.10235999086228338</v>
      </c>
      <c r="HV347" s="501">
        <f>IF($J347="",#N/A,SUM(HU$4:$HU347))</f>
        <v>13.590437155897243</v>
      </c>
    </row>
    <row r="348" spans="1:230" ht="15.75" thickBot="1" x14ac:dyDescent="0.3">
      <c r="A348" s="417" t="s">
        <v>2353</v>
      </c>
      <c r="B348" s="293" t="s">
        <v>4718</v>
      </c>
      <c r="C348" s="294">
        <f t="shared" si="545"/>
        <v>3</v>
      </c>
      <c r="D348" s="295" t="str">
        <f>_xlfn.XLOOKUP(A348,[1]SP500!$A$2:$A$502,[1]SP500!$D$2:$D$502,"N")</f>
        <v>N</v>
      </c>
      <c r="E348" s="292" t="str">
        <f>IFERROR(_xlfn.XLOOKUP(A348,[1]SP500!$A$2:$A$655,[1]SP500!$B$2:$B$655),"")</f>
        <v>XLB</v>
      </c>
      <c r="F348" s="296">
        <v>45797</v>
      </c>
      <c r="G348" s="292" t="str">
        <f t="shared" si="546"/>
        <v>BMO</v>
      </c>
      <c r="H348" s="292" t="str">
        <f t="shared" si="547"/>
        <v>s</v>
      </c>
      <c r="I348" s="345">
        <v>241.95</v>
      </c>
      <c r="J348" s="297">
        <v>228.7</v>
      </c>
      <c r="K348" s="298">
        <f t="shared" si="548"/>
        <v>-5.4763380863814839E-2</v>
      </c>
      <c r="L348" s="299">
        <f t="shared" si="549"/>
        <v>-79.5</v>
      </c>
      <c r="M348" s="300">
        <f t="shared" si="550"/>
        <v>15.480000000000246</v>
      </c>
      <c r="N348" s="341">
        <f t="shared" si="551"/>
        <v>-79.5</v>
      </c>
      <c r="O348" s="300">
        <f>IF(N348="",#N/A,SUM($N$4:N348))</f>
        <v>824.01437556162512</v>
      </c>
      <c r="P348" s="305">
        <f t="shared" si="645"/>
        <v>-0.91272301439691406</v>
      </c>
      <c r="Q348" s="304">
        <f>IF($N348="",#N/A,SUM($P$4:P348))</f>
        <v>16.137639891603037</v>
      </c>
      <c r="R348" s="307">
        <f t="shared" si="552"/>
        <v>7.516861465952644</v>
      </c>
      <c r="S348" s="292" t="str">
        <f t="shared" si="553"/>
        <v>SW</v>
      </c>
      <c r="T348" s="292" t="s">
        <v>2828</v>
      </c>
      <c r="U348" s="308">
        <f t="shared" si="554"/>
        <v>241.95</v>
      </c>
      <c r="V348" s="308" t="s">
        <v>4460</v>
      </c>
      <c r="W348" s="310">
        <v>6</v>
      </c>
      <c r="X348" s="309">
        <f t="shared" si="555"/>
        <v>1451.6999999999998</v>
      </c>
      <c r="Y348" s="310">
        <f t="shared" si="556"/>
        <v>6</v>
      </c>
      <c r="Z348" s="311">
        <v>231.28</v>
      </c>
      <c r="AA348" s="341">
        <f t="shared" si="557"/>
        <v>-64.019999999999754</v>
      </c>
      <c r="AB348" s="341">
        <f t="shared" si="558"/>
        <v>-127.55999999999995</v>
      </c>
      <c r="AC348" s="297">
        <v>220.69</v>
      </c>
      <c r="AD348" s="301">
        <f t="shared" si="559"/>
        <v>-127.55999999999995</v>
      </c>
      <c r="AE348" s="546">
        <f t="shared" si="560"/>
        <v>-1.4644899083832743</v>
      </c>
      <c r="AF348" s="300">
        <f>IF($AC348="",#N/A,SUM(AD$4:AD348))</f>
        <v>726.85239714744966</v>
      </c>
      <c r="AG348" s="341">
        <f t="shared" si="561"/>
        <v>-48.059999999999945</v>
      </c>
      <c r="AH348" s="308" t="s">
        <v>2507</v>
      </c>
      <c r="AI348" s="305">
        <f t="shared" si="562"/>
        <v>-0.73500034442377626</v>
      </c>
      <c r="AJ348" s="418">
        <f>IF(AI348="",#N/A,SUM($AI$4:AI348))</f>
        <v>8.6207784256503928</v>
      </c>
      <c r="AK348" s="300">
        <f t="shared" si="563"/>
        <v>-64.019999999999754</v>
      </c>
      <c r="AL348" s="406">
        <f>IF(AI348="",#N/A,IF(AH348="Skip",SUM($AK$4:AK348),SUM($AK$4:AK348)))</f>
        <v>316.03736927848263</v>
      </c>
      <c r="AM348" s="65">
        <f t="shared" si="646"/>
        <v>-1.4644899083832743</v>
      </c>
      <c r="AN348" s="209"/>
      <c r="AO348" s="305">
        <f t="shared" si="564"/>
        <v>-1.4644899083832743</v>
      </c>
      <c r="AP348" s="305">
        <f>IF($AC348="",#N/A,SUM(AO$4:AO348))</f>
        <v>11.28423240958756</v>
      </c>
      <c r="AQ348" s="305" t="str">
        <f t="shared" si="565"/>
        <v/>
      </c>
      <c r="AR348" s="305">
        <f>IF($AC348="",#N/A,SUM(AQ$4:AQ348))</f>
        <v>-3.309636123583787</v>
      </c>
      <c r="AS348" s="305" t="str">
        <f t="shared" si="566"/>
        <v/>
      </c>
      <c r="AT348" s="305">
        <f>IF($AC348="",#N/A,SUM(AS$4:AS348))</f>
        <v>4.151350961510186</v>
      </c>
      <c r="AU348" s="300">
        <f t="shared" si="647"/>
        <v>-127.55999999999995</v>
      </c>
      <c r="AV348" s="300">
        <f>IF($AC348="",#N/A,SUM(AU$4:AU348))</f>
        <v>631.52627194988031</v>
      </c>
      <c r="AW348" s="300" t="str">
        <f t="shared" si="648"/>
        <v/>
      </c>
      <c r="AX348" s="300">
        <f>IF($AC348="",#N/A,SUM(AW$4:AW348))</f>
        <v>-203.43106797961059</v>
      </c>
      <c r="AY348" s="300" t="str">
        <f t="shared" si="649"/>
        <v/>
      </c>
      <c r="AZ348" s="300">
        <f>IF($AC348="",#N/A,SUM(AY$4:AY348))</f>
        <v>298.75719317717983</v>
      </c>
      <c r="BA348" s="300">
        <f>IF(AD348="",#N/A,SUM($AD$4:AD348))</f>
        <v>726.85239714744966</v>
      </c>
      <c r="BC348" s="292" t="str">
        <f t="shared" si="567"/>
        <v/>
      </c>
      <c r="BD348" s="292" t="str">
        <f t="shared" si="568"/>
        <v/>
      </c>
      <c r="BE348" s="292" t="str">
        <f t="shared" si="569"/>
        <v/>
      </c>
      <c r="BF348" s="292" t="str">
        <f t="shared" si="570"/>
        <v>Long</v>
      </c>
      <c r="BG348" s="292" t="str">
        <f t="shared" si="571"/>
        <v/>
      </c>
      <c r="BH348" s="292" t="str">
        <f t="shared" si="572"/>
        <v/>
      </c>
      <c r="BI348" s="292">
        <f t="shared" si="573"/>
        <v>1</v>
      </c>
      <c r="BK348" s="65">
        <f t="shared" si="544"/>
        <v>0.11061272079095832</v>
      </c>
      <c r="BL348" s="65">
        <f t="shared" ref="BL348:BL411" si="652">IFERROR((Q348-Q324)/COUNTA(J324:J348),#N/A)</f>
        <v>-0.11252602460898885</v>
      </c>
      <c r="BM348" s="65">
        <f>IFERROR(Q348/COUNTA($J$4:J348),#N/A)</f>
        <v>4.6775767801747935E-2</v>
      </c>
      <c r="BO348" s="489">
        <f>IF(J348="",#N/A,IF(S348="SW",(COUNTIFS(K$4:$K348,"&gt;0",S$4:$S348,"SW")/COUNTIF(S$4:$S348,"SW")),#N/A))</f>
        <v>0.51219512195121952</v>
      </c>
      <c r="BP348" s="489" t="e">
        <f>IF($J348="",#N/A,IF($S348="DWN",(COUNTIFS($K$4:$K348,"&lt;0",$S$4:$S348,"DWN")/COUNTIF($S$4:$S348,"DWN")),#N/A))</f>
        <v>#N/A</v>
      </c>
      <c r="BQ348" s="489" t="e">
        <f>IF($J348="",#N/A,IF($S348="UP",(COUNTIFS($K$4:$K348,"&gt;0",$S$4:$S348,"UP")/COUNTIF($S$4:$S348,"UP")),#N/A))</f>
        <v>#N/A</v>
      </c>
      <c r="BR348" s="489">
        <f>IF(J348="",#N/A,COUNTIF($K$4:K348,"&gt;0")/COUNT($J$4:J348))</f>
        <v>0.47536231884057972</v>
      </c>
      <c r="BS348" s="65" t="str">
        <f t="shared" si="574"/>
        <v/>
      </c>
      <c r="BT348" s="65">
        <f t="shared" si="575"/>
        <v>-0.91272301439691406</v>
      </c>
      <c r="BU348" s="65" t="str">
        <f t="shared" si="576"/>
        <v/>
      </c>
      <c r="BV348" s="65" t="str">
        <f t="shared" si="577"/>
        <v/>
      </c>
      <c r="BW348" s="128" t="str">
        <f t="shared" si="578"/>
        <v/>
      </c>
      <c r="BX348" s="128">
        <f>IF($J348="",#N/A,SUM($BW$4:BW348))</f>
        <v>-192.68817034792824</v>
      </c>
      <c r="BY348" s="131" t="str">
        <f t="shared" si="579"/>
        <v/>
      </c>
      <c r="BZ348" s="131">
        <f>IF($J348="",#N/A,SUM($BY$4:BY348))</f>
        <v>673.5416134613946</v>
      </c>
      <c r="CA348" s="133">
        <f t="shared" si="580"/>
        <v>-79.5</v>
      </c>
      <c r="CB348" s="133">
        <f>IF($J348="",#N/A,SUM($CA$4:CA348))</f>
        <v>343.16093244815863</v>
      </c>
      <c r="CC348" s="194" t="str">
        <f t="shared" si="581"/>
        <v/>
      </c>
      <c r="CD348" s="194">
        <f>IF($J348="",#N/A,SUM($CC$4:CC348))</f>
        <v>-3.172627957299063</v>
      </c>
      <c r="CE348" s="195" t="str">
        <f t="shared" si="582"/>
        <v/>
      </c>
      <c r="CF348" s="195">
        <f>IF($J348="",#N/A,SUM($CE$4:CE348))</f>
        <v>11.741888845319588</v>
      </c>
      <c r="CG348" s="196">
        <f t="shared" si="583"/>
        <v>-0.91272301439691406</v>
      </c>
      <c r="CH348" s="196">
        <f>IF($J348="",#N/A,SUM($CG$4:CG348))</f>
        <v>7.5683790035825176</v>
      </c>
      <c r="CI348" s="200" t="str">
        <f t="shared" si="584"/>
        <v/>
      </c>
      <c r="CJ348" s="203">
        <f>IF($J348="",#N/A,SUM(CI$4:CI348))</f>
        <v>0</v>
      </c>
      <c r="CK348" s="204" t="str">
        <f t="shared" si="585"/>
        <v/>
      </c>
      <c r="CL348" s="204">
        <f>IF($J348="",#N/A,SUM(CK$4:CK348))</f>
        <v>1.2912501745213723</v>
      </c>
      <c r="CM348" s="205" t="str">
        <f t="shared" si="586"/>
        <v/>
      </c>
      <c r="CN348" s="205">
        <f>IF($J348="",#N/A,SUM(CM$4:CM348))</f>
        <v>1.357235719871134</v>
      </c>
      <c r="CO348" s="205">
        <f>IF($J348="",#N/A,SUM(CM$4:CM348,CK$4:CK348,CI$4:CI348))</f>
        <v>2.6484858943925063</v>
      </c>
      <c r="CP348" s="200" t="str">
        <f t="shared" si="587"/>
        <v/>
      </c>
      <c r="CQ348" s="203">
        <f>IF($J348="",#N/A,SUM(CP$4:CP348))</f>
        <v>-2.2357678263539635</v>
      </c>
      <c r="CR348" s="204" t="str">
        <f t="shared" si="588"/>
        <v/>
      </c>
      <c r="CS348" s="204">
        <f>IF($J348="",#N/A,SUM(CR$4:CR348))</f>
        <v>2.3600225017004668</v>
      </c>
      <c r="CT348" s="205" t="str">
        <f t="shared" si="589"/>
        <v/>
      </c>
      <c r="CU348" s="205">
        <f>IF($J348="",#N/A,SUM(CT$4:CT348))</f>
        <v>-2.8580371411053784</v>
      </c>
      <c r="CV348" s="205">
        <f>IF($J348="",#N/A,SUM(CT$4:CT348,CR$4:CR348,CP$4:CP348))</f>
        <v>-2.7337824657588752</v>
      </c>
      <c r="CW348" s="200" t="str">
        <f t="shared" si="590"/>
        <v/>
      </c>
      <c r="CX348" s="203">
        <f>IF($J348="",#N/A,SUM(CW$4:CW348))</f>
        <v>-0.29399505935581682</v>
      </c>
      <c r="CY348" s="204" t="str">
        <f t="shared" si="591"/>
        <v/>
      </c>
      <c r="CZ348" s="204">
        <f>IF($J348="",#N/A,SUM(CY$4:CY348))</f>
        <v>-0.20119965665334139</v>
      </c>
      <c r="DA348" s="205" t="str">
        <f t="shared" si="592"/>
        <v/>
      </c>
      <c r="DB348" s="205">
        <f>IF($J348="",#N/A,SUM(DA$4:DA348))</f>
        <v>-2.4685516361569055</v>
      </c>
      <c r="DC348" s="205">
        <f>IF($J348="",#N/A,SUM(DA$4:DA348,CY$4:CY348,CW$4:CW348))</f>
        <v>-2.9637463521660634</v>
      </c>
      <c r="DD348" s="200" t="str">
        <f t="shared" si="593"/>
        <v/>
      </c>
      <c r="DE348" s="203">
        <f>IF($J348="",#N/A,SUM(DD$4:DD348))</f>
        <v>1.2501454750716789</v>
      </c>
      <c r="DF348" s="204" t="str">
        <f t="shared" si="594"/>
        <v/>
      </c>
      <c r="DG348" s="204">
        <f>IF($J348="",#N/A,SUM(DF$4:DF348))</f>
        <v>3.0565650892577492</v>
      </c>
      <c r="DH348" s="205" t="str">
        <f t="shared" si="595"/>
        <v/>
      </c>
      <c r="DI348" s="205">
        <f>IF($J348="",#N/A,SUM(DH$4:DH348))</f>
        <v>-3.216671910770577</v>
      </c>
      <c r="DJ348" s="205">
        <f>IF($J348="",#N/A,SUM(DH$4:DH348,DF$4:DF348,DD$4:DD348))</f>
        <v>1.0900386535588513</v>
      </c>
      <c r="DK348" s="200" t="str">
        <f t="shared" si="596"/>
        <v/>
      </c>
      <c r="DL348" s="203">
        <f>IF($J348="",#N/A,SUM(DK$4:DK348))</f>
        <v>-0.84049791589649614</v>
      </c>
      <c r="DM348" s="204" t="str">
        <f t="shared" si="597"/>
        <v/>
      </c>
      <c r="DN348" s="204">
        <f>IF($J348="",#N/A,SUM(DM$4:DM348))</f>
        <v>1.8657648196498773</v>
      </c>
      <c r="DO348" s="205" t="str">
        <f t="shared" si="598"/>
        <v/>
      </c>
      <c r="DP348" s="205">
        <f>IF($J348="",#N/A,SUM(DO$4:DO348))</f>
        <v>3.4887162328793941</v>
      </c>
      <c r="DQ348" s="205">
        <f>IF($J348="",#N/A,SUM(DO$4:DO348,DM$4:DM348,DK$4:DK348))</f>
        <v>4.5139831366327758</v>
      </c>
      <c r="DR348" s="200" t="str">
        <f t="shared" si="599"/>
        <v/>
      </c>
      <c r="DS348" s="203">
        <f>IF($J348="",#N/A,SUM(DR$4:DR348))</f>
        <v>-0.55950946427675097</v>
      </c>
      <c r="DT348" s="204" t="str">
        <f t="shared" si="600"/>
        <v/>
      </c>
      <c r="DU348" s="204">
        <f>IF($J348="",#N/A,SUM(DT$4:DT348))</f>
        <v>-0.20750635820596686</v>
      </c>
      <c r="DV348" s="205" t="str">
        <f t="shared" si="601"/>
        <v/>
      </c>
      <c r="DW348" s="205">
        <f>IF($J348="",#N/A,SUM(DV$4:DV348))</f>
        <v>-2.3377035686214001</v>
      </c>
      <c r="DX348" s="205">
        <f>IF($J348="",#N/A,SUM(DV$4:DV348,DT$4:DT348,DR$4:DR348))</f>
        <v>-3.1047193911041169</v>
      </c>
      <c r="DY348" s="200" t="str">
        <f t="shared" si="602"/>
        <v/>
      </c>
      <c r="DZ348" s="203">
        <f>IF($J348="",#N/A,SUM(DY$4:DY348))</f>
        <v>-1.4146842415208627</v>
      </c>
      <c r="EA348" s="204" t="str">
        <f t="shared" si="603"/>
        <v/>
      </c>
      <c r="EB348" s="204">
        <f>IF($J348="",#N/A,SUM(EA$4:EA348))</f>
        <v>4.3184391548878134</v>
      </c>
      <c r="EC348" s="205" t="str">
        <f t="shared" si="604"/>
        <v/>
      </c>
      <c r="ED348" s="205">
        <f>IF($J348="",#N/A,SUM(EC$4:EC348))</f>
        <v>9.2956923798665674</v>
      </c>
      <c r="EE348" s="205">
        <f>IF($J348="",#N/A,SUM(EC$4:EC348,EA$4:EA348,DY$4:DY348))</f>
        <v>12.199447293233519</v>
      </c>
      <c r="EF348" s="200" t="str">
        <f t="shared" si="605"/>
        <v/>
      </c>
      <c r="EG348" s="203">
        <f>IF($J348="",#N/A,SUM(EF$4:EF348))</f>
        <v>0.65848341369884777</v>
      </c>
      <c r="EH348" s="204" t="str">
        <f t="shared" si="606"/>
        <v/>
      </c>
      <c r="EI348" s="204">
        <f>IF($J348="",#N/A,SUM(EH$4:EH348))</f>
        <v>-3.5125331561187787</v>
      </c>
      <c r="EJ348" s="205" t="str">
        <f t="shared" si="607"/>
        <v/>
      </c>
      <c r="EK348" s="205">
        <f>IF($J348="",#N/A,SUM(EJ$4:EJ348))</f>
        <v>8.4415851520554703</v>
      </c>
      <c r="EL348" s="205">
        <f>IF($J348="",#N/A,SUM(EJ$4:EJ348,EH$4:EH348,EF$4:EF348))</f>
        <v>5.5875354096355405</v>
      </c>
      <c r="EM348" s="200" t="str">
        <f t="shared" si="608"/>
        <v/>
      </c>
      <c r="EN348" s="203">
        <f>IF($J348="",#N/A,SUM(EM$4:EM348))</f>
        <v>0</v>
      </c>
      <c r="EO348" s="204" t="str">
        <f t="shared" si="609"/>
        <v/>
      </c>
      <c r="EP348" s="204">
        <f>IF($J348="",#N/A,SUM(EO$4:EO348))</f>
        <v>2.4788862078089964</v>
      </c>
      <c r="EQ348" s="205">
        <f t="shared" si="610"/>
        <v>-0.91272301439691406</v>
      </c>
      <c r="ER348" s="205">
        <f>IF($J348="",#N/A,SUM(EQ$4:EQ348))</f>
        <v>1.7856049065476487</v>
      </c>
      <c r="ES348" s="205">
        <f>IF($J348="",#N/A,SUM(EQ$4:EQ348,EO$4:EO348,EM$4:EM348))</f>
        <v>4.2644911143566446</v>
      </c>
      <c r="ET348" s="200" t="str">
        <f t="shared" si="611"/>
        <v/>
      </c>
      <c r="EU348" s="203">
        <f>IF($J348="",#N/A,SUM(ET$4:ET348))</f>
        <v>0</v>
      </c>
      <c r="EV348" s="204" t="str">
        <f t="shared" si="612"/>
        <v/>
      </c>
      <c r="EW348" s="204">
        <f>IF($J348="",#N/A,SUM(EV$4:EV348))</f>
        <v>7.9116394275462909E-2</v>
      </c>
      <c r="EX348" s="205" t="str">
        <f t="shared" si="613"/>
        <v/>
      </c>
      <c r="EY348" s="205">
        <f>IF($J348="",#N/A,SUM(EX$4:EX348))</f>
        <v>-0.33163335417804801</v>
      </c>
      <c r="EZ348" s="205">
        <f>IF($J348="",#N/A,SUM(EX$4:EX348,EV$4:EV348,ET$4:ET348))</f>
        <v>-0.25251695990258494</v>
      </c>
      <c r="FA348" s="200" t="str">
        <f t="shared" si="614"/>
        <v/>
      </c>
      <c r="FB348" s="203">
        <f>IF($J348="",#N/A,SUM(FA$4:FA348))</f>
        <v>-0.27145310509113252</v>
      </c>
      <c r="FC348" s="204" t="str">
        <f t="shared" si="615"/>
        <v/>
      </c>
      <c r="FD348" s="204">
        <f>IF($J348="",#N/A,SUM(FC$4:FC348))</f>
        <v>0.89084290967454072</v>
      </c>
      <c r="FE348" s="205" t="str">
        <f t="shared" si="616"/>
        <v/>
      </c>
      <c r="FF348" s="205">
        <f>IF($J348="",#N/A,SUM(FE$4:FE348))</f>
        <v>-0.28811149078748233</v>
      </c>
      <c r="FG348" s="205">
        <f>IF($J348="",#N/A,SUM(FE$4:FE348,FC$4:FC348,FA$4:FA348))</f>
        <v>0.3312783137959262</v>
      </c>
      <c r="FH348" s="200" t="str">
        <f t="shared" si="617"/>
        <v/>
      </c>
      <c r="FI348" s="203">
        <f>IF($J348="",#N/A,SUM(FH$4:FH348))</f>
        <v>0</v>
      </c>
      <c r="FJ348" s="204" t="str">
        <f t="shared" si="618"/>
        <v/>
      </c>
      <c r="FK348" s="204">
        <f>IF($J348="",#N/A,SUM(FJ$4:FJ348))</f>
        <v>0</v>
      </c>
      <c r="FL348" s="205" t="str">
        <f t="shared" si="619"/>
        <v/>
      </c>
      <c r="FM348" s="205">
        <f>IF($J348="",#N/A,SUM(FL$4:FL348))</f>
        <v>0</v>
      </c>
      <c r="FN348" s="205">
        <f>IF($J348="",#N/A,SUM(FL$4:FL348,FJ$4:FJ348,FH$4:FH348))</f>
        <v>0</v>
      </c>
      <c r="FO348" s="200" t="str">
        <f t="shared" si="620"/>
        <v/>
      </c>
      <c r="FP348" s="203">
        <f>IF($J348="",#N/A,SUM(FO$4:FO348))</f>
        <v>0</v>
      </c>
      <c r="FQ348" s="204" t="str">
        <f t="shared" si="621"/>
        <v/>
      </c>
      <c r="FR348" s="204">
        <f>IF($J348="",#N/A,SUM(FQ$4:FQ348))</f>
        <v>0</v>
      </c>
      <c r="FS348" s="205" t="str">
        <f t="shared" si="622"/>
        <v/>
      </c>
      <c r="FT348" s="205">
        <f>IF($J348="",#N/A,SUM(FS$4:FS348))</f>
        <v>0</v>
      </c>
      <c r="FU348" s="205">
        <f>IF($J348="",#N/A,SUM(FS$4:FS348,FQ$4:FQ348,FO$4:FO348))</f>
        <v>0</v>
      </c>
      <c r="FV348" s="200" t="str">
        <f t="shared" si="623"/>
        <v/>
      </c>
      <c r="FW348" s="203">
        <f>IF($J348="",#N/A,SUM(FV$4:FV348))</f>
        <v>6.6834991831277585E-2</v>
      </c>
      <c r="FX348" s="204" t="str">
        <f t="shared" si="624"/>
        <v/>
      </c>
      <c r="FY348" s="204">
        <f>IF($J348="",#N/A,SUM(FX$4:FX348))</f>
        <v>-0.16102012791805576</v>
      </c>
      <c r="FZ348" s="205" t="str">
        <f t="shared" si="625"/>
        <v/>
      </c>
      <c r="GA348" s="205">
        <f>IF($J348="",#N/A,SUM(FZ$4:FZ348))</f>
        <v>-0.69624339162892301</v>
      </c>
      <c r="GB348" s="205">
        <f>IF($J348="",#N/A,SUM(FZ$4:FZ348,FX$4:FX348,FV$4:FV348))</f>
        <v>-0.79042852771570116</v>
      </c>
      <c r="GC348" s="200" t="str">
        <f t="shared" si="626"/>
        <v/>
      </c>
      <c r="GD348" s="203">
        <f>IF($J348="",#N/A,SUM(GC$4:GC348))</f>
        <v>0</v>
      </c>
      <c r="GE348" s="204" t="str">
        <f t="shared" si="627"/>
        <v/>
      </c>
      <c r="GF348" s="204">
        <f>IF($J348="",#N/A,SUM(GE$4:GE348))</f>
        <v>0</v>
      </c>
      <c r="GG348" s="205" t="str">
        <f t="shared" si="628"/>
        <v/>
      </c>
      <c r="GH348" s="205">
        <f>IF($J348="",#N/A,SUM(GG$4:GG348))</f>
        <v>-2.9368362277223206</v>
      </c>
      <c r="GI348" s="205">
        <f>IF($J348="",#N/A,SUM(GG$4:GG348,GE$4:GE348,GC$4:GC348))</f>
        <v>-2.9368362277223206</v>
      </c>
      <c r="GJ348" s="200" t="str">
        <f t="shared" si="629"/>
        <v/>
      </c>
      <c r="GK348" s="203">
        <f>IF($J348="",#N/A,SUM(GJ$4:GJ348))</f>
        <v>0</v>
      </c>
      <c r="GL348" s="204" t="str">
        <f t="shared" si="630"/>
        <v/>
      </c>
      <c r="GM348" s="204">
        <f>IF($J348="",#N/A,SUM(GL$4:GL348))</f>
        <v>-1.6833790887309608</v>
      </c>
      <c r="GN348" s="205" t="str">
        <f t="shared" si="631"/>
        <v/>
      </c>
      <c r="GO348" s="205">
        <f>IF($J348="",#N/A,SUM(GN$4:GN348))</f>
        <v>0</v>
      </c>
      <c r="GP348" s="205">
        <f>IF($J348="",#N/A,SUM(GN$4:GN348,GL$4:GL348,GJ$4:GJ348))</f>
        <v>-1.6833790887309608</v>
      </c>
      <c r="GS348" s="303" t="str">
        <f t="shared" si="650"/>
        <v/>
      </c>
      <c r="GT348" s="303" t="e">
        <f>IF(GS348="",NA(),SUM($GS$4:GS348))</f>
        <v>#N/A</v>
      </c>
      <c r="GU348" s="303" t="str">
        <f t="shared" si="632"/>
        <v/>
      </c>
      <c r="GV348" s="303" t="e">
        <f>IF(GU348="",NA(),SUM($GU$4:GU348))</f>
        <v>#N/A</v>
      </c>
      <c r="GW348" s="303" t="str">
        <f t="shared" si="633"/>
        <v/>
      </c>
      <c r="GX348" s="303" t="e">
        <f>IF(GW348="",NA(),SUM($GW$4:GW348))</f>
        <v>#N/A</v>
      </c>
      <c r="GY348" s="303" t="str">
        <f t="shared" si="634"/>
        <v/>
      </c>
      <c r="GZ348" s="303" t="e">
        <f>IF(GY348="",NA(),SUM($GY$4:GY348))</f>
        <v>#N/A</v>
      </c>
      <c r="HA348" s="303">
        <f t="shared" si="635"/>
        <v>-0.91272301439691406</v>
      </c>
      <c r="HB348" s="303">
        <f>IF(HA348="",NA(),SUM($HA$4:HA348))</f>
        <v>2.3553216985394876</v>
      </c>
      <c r="HC348" s="303" t="str">
        <f t="shared" si="636"/>
        <v/>
      </c>
      <c r="HD348" s="303" t="e">
        <f>IF(HC348="",NA(),SUM($HC$4:HC348))</f>
        <v>#N/A</v>
      </c>
      <c r="HE348" s="303">
        <f t="shared" si="637"/>
        <v>-0.91272301439691406</v>
      </c>
      <c r="HF348" s="303">
        <f>IF(HE348="",NA(),SUM($HE$4:HE348))</f>
        <v>-4.8477374498020573</v>
      </c>
      <c r="HG348" s="303" t="str">
        <f t="shared" si="638"/>
        <v/>
      </c>
      <c r="HH348" s="303" t="e">
        <f>IF(HG348="",NA(),SUM($HG$4:HG348))</f>
        <v>#N/A</v>
      </c>
      <c r="HI348" s="304" t="str">
        <f t="shared" si="651"/>
        <v/>
      </c>
      <c r="HJ348" s="304">
        <f>IF($J348="",#N/A,SUM(HI$4:$HI348))</f>
        <v>-9.4940030772075517</v>
      </c>
      <c r="HK348" s="303" t="str">
        <f t="shared" si="639"/>
        <v/>
      </c>
      <c r="HL348" s="303">
        <f>IF($J348="",#N/A,SUM($HK$4:HK348))</f>
        <v>1.9034651933981581</v>
      </c>
      <c r="HM348" s="303" t="str">
        <f t="shared" si="640"/>
        <v/>
      </c>
      <c r="HN348" s="303">
        <f>IF($J348="",#N/A,SUM($HM$4:HM348))</f>
        <v>0.41616915617605843</v>
      </c>
      <c r="HO348" s="303" t="str">
        <f t="shared" si="641"/>
        <v/>
      </c>
      <c r="HP348" s="303">
        <f>IF($J348="",#N/A,SUM($HO$4:HO348))</f>
        <v>-0.55317732246077922</v>
      </c>
      <c r="HQ348" s="303" t="str">
        <f t="shared" si="642"/>
        <v/>
      </c>
      <c r="HR348" s="303">
        <f>IF($J348="",#N/A,SUM($HQ$4:HQ348))</f>
        <v>-11.324731074167294</v>
      </c>
      <c r="HS348" s="303">
        <f t="shared" si="643"/>
        <v>-0.55176689398636025</v>
      </c>
      <c r="HT348" s="303">
        <f>IF($J348="",#N/A,SUM($HS$4:HS348))</f>
        <v>15.556531947339323</v>
      </c>
      <c r="HU348" s="305">
        <f t="shared" si="644"/>
        <v>-1.4644899083832743</v>
      </c>
      <c r="HV348" s="305">
        <f>IF($J348="",#N/A,SUM(HU$4:$HU348))</f>
        <v>12.125947247513968</v>
      </c>
    </row>
    <row r="349" spans="1:230" x14ac:dyDescent="0.25">
      <c r="A349" s="486" t="s">
        <v>1102</v>
      </c>
      <c r="B349" s="289" t="s">
        <v>4719</v>
      </c>
      <c r="C349" s="487">
        <f t="shared" si="545"/>
        <v>1</v>
      </c>
      <c r="D349" s="488" t="str">
        <f>_xlfn.XLOOKUP(A349,[1]SP500!$A$2:$A$502,[1]SP500!$D$2:$D$502,"N")</f>
        <v>Y</v>
      </c>
      <c r="E349" s="486" t="str">
        <f>IFERROR(_xlfn.XLOOKUP(A349,[1]SP500!$A$2:$A$655,[1]SP500!$B$2:$B$655),"")</f>
        <v>IGV</v>
      </c>
      <c r="F349" s="290">
        <v>45797</v>
      </c>
      <c r="G349" s="59" t="str">
        <f t="shared" si="546"/>
        <v>AMC</v>
      </c>
      <c r="H349" s="59" t="str">
        <f t="shared" si="547"/>
        <v>s</v>
      </c>
      <c r="I349" s="376">
        <v>194.48</v>
      </c>
      <c r="J349" s="278">
        <v>184.76</v>
      </c>
      <c r="K349" s="60">
        <f t="shared" si="548"/>
        <v>-4.9979432332373508E-2</v>
      </c>
      <c r="L349" s="68">
        <f t="shared" si="549"/>
        <v>-68.039999999999964</v>
      </c>
      <c r="M349" s="62">
        <f t="shared" si="550"/>
        <v>0</v>
      </c>
      <c r="N349" s="63">
        <f t="shared" si="551"/>
        <v>-68.039999999999964</v>
      </c>
      <c r="O349" s="62">
        <f>IF(N349="",#N/A,SUM($N$4:N349))</f>
        <v>755.97437556162515</v>
      </c>
      <c r="P349" s="64">
        <f t="shared" si="645"/>
        <v>-0.83299053887289143</v>
      </c>
      <c r="Q349" s="183">
        <f>IF($N349="",#N/A,SUM($P$4:P349))</f>
        <v>15.304649352730145</v>
      </c>
      <c r="R349" s="279">
        <f t="shared" si="552"/>
        <v>7.516861465952644</v>
      </c>
      <c r="S349" s="59" t="str">
        <f t="shared" si="553"/>
        <v>Up</v>
      </c>
      <c r="T349" s="59" t="s">
        <v>4461</v>
      </c>
      <c r="U349" s="61">
        <f t="shared" si="554"/>
        <v>194.48</v>
      </c>
      <c r="V349" s="61" t="s">
        <v>4460</v>
      </c>
      <c r="W349" s="142">
        <v>7</v>
      </c>
      <c r="X349" s="146">
        <f t="shared" si="555"/>
        <v>1361.36</v>
      </c>
      <c r="Y349" s="142">
        <f t="shared" si="556"/>
        <v>7</v>
      </c>
      <c r="Z349" s="143">
        <v>184.76</v>
      </c>
      <c r="AA349" s="63">
        <f t="shared" si="557"/>
        <v>-68.039999999999964</v>
      </c>
      <c r="AB349" s="63">
        <f t="shared" si="558"/>
        <v>-92.539999999999964</v>
      </c>
      <c r="AC349" s="125">
        <v>181.26</v>
      </c>
      <c r="AD349" s="148">
        <f t="shared" si="559"/>
        <v>-92.539999999999964</v>
      </c>
      <c r="AE349" s="544">
        <f t="shared" si="560"/>
        <v>-1.1329356917592208</v>
      </c>
      <c r="AF349" s="62">
        <f>IF($AC349="",#N/A,SUM(AD$4:AD349))</f>
        <v>634.3123971474497</v>
      </c>
      <c r="AG349" s="63">
        <f t="shared" si="561"/>
        <v>-24.5</v>
      </c>
      <c r="AH349" s="61" t="s">
        <v>2507</v>
      </c>
      <c r="AI349" s="64">
        <f t="shared" si="562"/>
        <v>-0.83299053887289143</v>
      </c>
      <c r="AJ349" s="420">
        <f>IF(AI349="",#N/A,SUM($AI$4:AI349))</f>
        <v>7.787787886777501</v>
      </c>
      <c r="AK349" s="62">
        <f t="shared" si="563"/>
        <v>-68.039999999999964</v>
      </c>
      <c r="AL349" s="421">
        <f>IF(AI349="",#N/A,IF(AH349="Skip",SUM($AK$4:AK349),SUM($AK$4:AK349)))</f>
        <v>247.99736927848267</v>
      </c>
      <c r="AM349" s="65">
        <f t="shared" si="646"/>
        <v>-1.1329356917592208</v>
      </c>
      <c r="AN349" s="209"/>
      <c r="AO349" s="64" t="str">
        <f t="shared" si="564"/>
        <v/>
      </c>
      <c r="AP349" s="64">
        <f>IF($AC349="",#N/A,SUM(AO$4:AO349))</f>
        <v>11.28423240958756</v>
      </c>
      <c r="AQ349" s="64">
        <f t="shared" si="565"/>
        <v>-1.1329356917592208</v>
      </c>
      <c r="AR349" s="64">
        <f>IF($AC349="",#N/A,SUM(AQ$4:AQ349))</f>
        <v>-4.4425718153430083</v>
      </c>
      <c r="AS349" s="64" t="str">
        <f t="shared" si="566"/>
        <v/>
      </c>
      <c r="AT349" s="64">
        <f>IF($AC349="",#N/A,SUM(AS$4:AS349))</f>
        <v>4.151350961510186</v>
      </c>
      <c r="AU349" s="62" t="str">
        <f t="shared" si="647"/>
        <v/>
      </c>
      <c r="AV349" s="62">
        <f>IF($AC349="",#N/A,SUM(AU$4:AU349))</f>
        <v>631.52627194988031</v>
      </c>
      <c r="AW349" s="62">
        <f t="shared" si="648"/>
        <v>-92.539999999999964</v>
      </c>
      <c r="AX349" s="62">
        <f>IF($AC349="",#N/A,SUM(AW$4:AW349))</f>
        <v>-295.97106797961055</v>
      </c>
      <c r="AY349" s="62" t="str">
        <f t="shared" si="649"/>
        <v/>
      </c>
      <c r="AZ349" s="62">
        <f>IF($AC349="",#N/A,SUM(AY$4:AY349))</f>
        <v>298.75719317717983</v>
      </c>
      <c r="BA349" s="62">
        <f>IF(AD349="",#N/A,SUM($AD$4:AD349))</f>
        <v>634.3123971474497</v>
      </c>
      <c r="BC349" s="59" t="str">
        <f t="shared" si="567"/>
        <v/>
      </c>
      <c r="BD349" s="59" t="str">
        <f t="shared" si="568"/>
        <v/>
      </c>
      <c r="BE349" s="59" t="str">
        <f t="shared" si="569"/>
        <v/>
      </c>
      <c r="BF349" s="59" t="str">
        <f t="shared" si="570"/>
        <v>Long</v>
      </c>
      <c r="BG349" s="59" t="str">
        <f t="shared" si="571"/>
        <v/>
      </c>
      <c r="BH349" s="59">
        <f t="shared" si="572"/>
        <v>1</v>
      </c>
      <c r="BI349" s="59" t="str">
        <f t="shared" si="573"/>
        <v/>
      </c>
      <c r="BK349" s="65">
        <f t="shared" si="544"/>
        <v>0.11784899776714393</v>
      </c>
      <c r="BL349" s="65">
        <f t="shared" si="652"/>
        <v>-0.15886911085459715</v>
      </c>
      <c r="BM349" s="65">
        <f>IFERROR(Q349/COUNTA($J$4:J349),#N/A)</f>
        <v>4.4233090614827011E-2</v>
      </c>
      <c r="BO349" s="489" t="e">
        <f>IF(J349="",#N/A,IF(S349="SW",(COUNTIFS(K$4:$K349,"&gt;0",S$4:$S349,"SW")/COUNTIF(S$4:$S349,"SW")),#N/A))</f>
        <v>#N/A</v>
      </c>
      <c r="BP349" s="489" t="e">
        <f>IF($J349="",#N/A,IF($S349="DWN",(COUNTIFS($K$4:$K349,"&lt;0",$S$4:$S349,"DWN")/COUNTIF($S$4:$S349,"DWN")),#N/A))</f>
        <v>#N/A</v>
      </c>
      <c r="BQ349" s="489">
        <f>IF($J349="",#N/A,IF($S349="UP",(COUNTIFS($K$4:$K349,"&gt;0",$S$4:$S349,"UP")/COUNTIF($S$4:$S349,"UP")),#N/A))</f>
        <v>0.46666666666666667</v>
      </c>
      <c r="BR349" s="489">
        <f>IF(J349="",#N/A,COUNTIF($K$4:K349,"&gt;0")/COUNT($J$4:J349))</f>
        <v>0.47398843930635837</v>
      </c>
      <c r="BS349" s="65" t="str">
        <f t="shared" si="574"/>
        <v/>
      </c>
      <c r="BT349" s="65">
        <f t="shared" si="575"/>
        <v>-0.83299053887289143</v>
      </c>
      <c r="BU349" s="65" t="str">
        <f t="shared" si="576"/>
        <v/>
      </c>
      <c r="BV349" s="65" t="str">
        <f t="shared" si="577"/>
        <v/>
      </c>
      <c r="BW349" s="128">
        <f t="shared" si="578"/>
        <v>-68.039999999999964</v>
      </c>
      <c r="BX349" s="128">
        <f>IF($J349="",#N/A,SUM($BW$4:BW349))</f>
        <v>-260.7281703479282</v>
      </c>
      <c r="BY349" s="131" t="str">
        <f t="shared" si="579"/>
        <v/>
      </c>
      <c r="BZ349" s="131">
        <f>IF($J349="",#N/A,SUM($BY$4:BY349))</f>
        <v>673.5416134613946</v>
      </c>
      <c r="CA349" s="133" t="str">
        <f t="shared" si="580"/>
        <v/>
      </c>
      <c r="CB349" s="133">
        <f>IF($J349="",#N/A,SUM($CA$4:CA349))</f>
        <v>343.16093244815863</v>
      </c>
      <c r="CC349" s="194">
        <f t="shared" si="581"/>
        <v>-0.83299053887289143</v>
      </c>
      <c r="CD349" s="194">
        <f>IF($J349="",#N/A,SUM($CC$4:CC349))</f>
        <v>-4.0056184961719543</v>
      </c>
      <c r="CE349" s="195" t="str">
        <f t="shared" si="582"/>
        <v/>
      </c>
      <c r="CF349" s="195">
        <f>IF($J349="",#N/A,SUM($CE$4:CE349))</f>
        <v>11.741888845319588</v>
      </c>
      <c r="CG349" s="196" t="str">
        <f t="shared" si="583"/>
        <v/>
      </c>
      <c r="CH349" s="196">
        <f>IF($J349="",#N/A,SUM($CG$4:CG349))</f>
        <v>7.5683790035825176</v>
      </c>
      <c r="CI349" s="200" t="str">
        <f t="shared" si="584"/>
        <v/>
      </c>
      <c r="CJ349" s="203">
        <f>IF($J349="",#N/A,SUM(CI$4:CI349))</f>
        <v>0</v>
      </c>
      <c r="CK349" s="204" t="str">
        <f t="shared" si="585"/>
        <v/>
      </c>
      <c r="CL349" s="204">
        <f>IF($J349="",#N/A,SUM(CK$4:CK349))</f>
        <v>1.2912501745213723</v>
      </c>
      <c r="CM349" s="205" t="str">
        <f t="shared" si="586"/>
        <v/>
      </c>
      <c r="CN349" s="205">
        <f>IF($J349="",#N/A,SUM(CM$4:CM349))</f>
        <v>1.357235719871134</v>
      </c>
      <c r="CO349" s="205">
        <f>IF($J349="",#N/A,SUM(CM$4:CM349,CK$4:CK349,CI$4:CI349))</f>
        <v>2.6484858943925063</v>
      </c>
      <c r="CP349" s="200">
        <f t="shared" si="587"/>
        <v>-0.83299053887289143</v>
      </c>
      <c r="CQ349" s="203">
        <f>IF($J349="",#N/A,SUM(CP$4:CP349))</f>
        <v>-3.0687583652268549</v>
      </c>
      <c r="CR349" s="204" t="str">
        <f t="shared" si="588"/>
        <v/>
      </c>
      <c r="CS349" s="204">
        <f>IF($J349="",#N/A,SUM(CR$4:CR349))</f>
        <v>2.3600225017004668</v>
      </c>
      <c r="CT349" s="205" t="str">
        <f t="shared" si="589"/>
        <v/>
      </c>
      <c r="CU349" s="205">
        <f>IF($J349="",#N/A,SUM(CT$4:CT349))</f>
        <v>-2.8580371411053784</v>
      </c>
      <c r="CV349" s="205">
        <f>IF($J349="",#N/A,SUM(CT$4:CT349,CR$4:CR349,CP$4:CP349))</f>
        <v>-3.5667730046317665</v>
      </c>
      <c r="CW349" s="200" t="str">
        <f t="shared" si="590"/>
        <v/>
      </c>
      <c r="CX349" s="203">
        <f>IF($J349="",#N/A,SUM(CW$4:CW349))</f>
        <v>-0.29399505935581682</v>
      </c>
      <c r="CY349" s="204" t="str">
        <f t="shared" si="591"/>
        <v/>
      </c>
      <c r="CZ349" s="204">
        <f>IF($J349="",#N/A,SUM(CY$4:CY349))</f>
        <v>-0.20119965665334139</v>
      </c>
      <c r="DA349" s="205" t="str">
        <f t="shared" si="592"/>
        <v/>
      </c>
      <c r="DB349" s="205">
        <f>IF($J349="",#N/A,SUM(DA$4:DA349))</f>
        <v>-2.4685516361569055</v>
      </c>
      <c r="DC349" s="205">
        <f>IF($J349="",#N/A,SUM(DA$4:DA349,CY$4:CY349,CW$4:CW349))</f>
        <v>-2.9637463521660634</v>
      </c>
      <c r="DD349" s="200" t="str">
        <f t="shared" si="593"/>
        <v/>
      </c>
      <c r="DE349" s="203">
        <f>IF($J349="",#N/A,SUM(DD$4:DD349))</f>
        <v>1.2501454750716789</v>
      </c>
      <c r="DF349" s="204" t="str">
        <f t="shared" si="594"/>
        <v/>
      </c>
      <c r="DG349" s="204">
        <f>IF($J349="",#N/A,SUM(DF$4:DF349))</f>
        <v>3.0565650892577492</v>
      </c>
      <c r="DH349" s="205" t="str">
        <f t="shared" si="595"/>
        <v/>
      </c>
      <c r="DI349" s="205">
        <f>IF($J349="",#N/A,SUM(DH$4:DH349))</f>
        <v>-3.216671910770577</v>
      </c>
      <c r="DJ349" s="205">
        <f>IF($J349="",#N/A,SUM(DH$4:DH349,DF$4:DF349,DD$4:DD349))</f>
        <v>1.0900386535588513</v>
      </c>
      <c r="DK349" s="200" t="str">
        <f t="shared" si="596"/>
        <v/>
      </c>
      <c r="DL349" s="203">
        <f>IF($J349="",#N/A,SUM(DK$4:DK349))</f>
        <v>-0.84049791589649614</v>
      </c>
      <c r="DM349" s="204" t="str">
        <f t="shared" si="597"/>
        <v/>
      </c>
      <c r="DN349" s="204">
        <f>IF($J349="",#N/A,SUM(DM$4:DM349))</f>
        <v>1.8657648196498773</v>
      </c>
      <c r="DO349" s="205" t="str">
        <f t="shared" si="598"/>
        <v/>
      </c>
      <c r="DP349" s="205">
        <f>IF($J349="",#N/A,SUM(DO$4:DO349))</f>
        <v>3.4887162328793941</v>
      </c>
      <c r="DQ349" s="205">
        <f>IF($J349="",#N/A,SUM(DO$4:DO349,DM$4:DM349,DK$4:DK349))</f>
        <v>4.5139831366327758</v>
      </c>
      <c r="DR349" s="200" t="str">
        <f t="shared" si="599"/>
        <v/>
      </c>
      <c r="DS349" s="203">
        <f>IF($J349="",#N/A,SUM(DR$4:DR349))</f>
        <v>-0.55950946427675097</v>
      </c>
      <c r="DT349" s="204" t="str">
        <f t="shared" si="600"/>
        <v/>
      </c>
      <c r="DU349" s="204">
        <f>IF($J349="",#N/A,SUM(DT$4:DT349))</f>
        <v>-0.20750635820596686</v>
      </c>
      <c r="DV349" s="205" t="str">
        <f t="shared" si="601"/>
        <v/>
      </c>
      <c r="DW349" s="205">
        <f>IF($J349="",#N/A,SUM(DV$4:DV349))</f>
        <v>-2.3377035686214001</v>
      </c>
      <c r="DX349" s="205">
        <f>IF($J349="",#N/A,SUM(DV$4:DV349,DT$4:DT349,DR$4:DR349))</f>
        <v>-3.1047193911041169</v>
      </c>
      <c r="DY349" s="200" t="str">
        <f t="shared" si="602"/>
        <v/>
      </c>
      <c r="DZ349" s="203">
        <f>IF($J349="",#N/A,SUM(DY$4:DY349))</f>
        <v>-1.4146842415208627</v>
      </c>
      <c r="EA349" s="204" t="str">
        <f t="shared" si="603"/>
        <v/>
      </c>
      <c r="EB349" s="204">
        <f>IF($J349="",#N/A,SUM(EA$4:EA349))</f>
        <v>4.3184391548878134</v>
      </c>
      <c r="EC349" s="205" t="str">
        <f t="shared" si="604"/>
        <v/>
      </c>
      <c r="ED349" s="205">
        <f>IF($J349="",#N/A,SUM(EC$4:EC349))</f>
        <v>9.2956923798665674</v>
      </c>
      <c r="EE349" s="205">
        <f>IF($J349="",#N/A,SUM(EC$4:EC349,EA$4:EA349,DY$4:DY349))</f>
        <v>12.199447293233519</v>
      </c>
      <c r="EF349" s="200" t="str">
        <f t="shared" si="605"/>
        <v/>
      </c>
      <c r="EG349" s="203">
        <f>IF($J349="",#N/A,SUM(EF$4:EF349))</f>
        <v>0.65848341369884777</v>
      </c>
      <c r="EH349" s="204" t="str">
        <f t="shared" si="606"/>
        <v/>
      </c>
      <c r="EI349" s="204">
        <f>IF($J349="",#N/A,SUM(EH$4:EH349))</f>
        <v>-3.5125331561187787</v>
      </c>
      <c r="EJ349" s="205" t="str">
        <f t="shared" si="607"/>
        <v/>
      </c>
      <c r="EK349" s="205">
        <f>IF($J349="",#N/A,SUM(EJ$4:EJ349))</f>
        <v>8.4415851520554703</v>
      </c>
      <c r="EL349" s="205">
        <f>IF($J349="",#N/A,SUM(EJ$4:EJ349,EH$4:EH349,EF$4:EF349))</f>
        <v>5.5875354096355405</v>
      </c>
      <c r="EM349" s="200" t="str">
        <f t="shared" si="608"/>
        <v/>
      </c>
      <c r="EN349" s="203">
        <f>IF($J349="",#N/A,SUM(EM$4:EM349))</f>
        <v>0</v>
      </c>
      <c r="EO349" s="204" t="str">
        <f t="shared" si="609"/>
        <v/>
      </c>
      <c r="EP349" s="204">
        <f>IF($J349="",#N/A,SUM(EO$4:EO349))</f>
        <v>2.4788862078089964</v>
      </c>
      <c r="EQ349" s="205" t="str">
        <f t="shared" si="610"/>
        <v/>
      </c>
      <c r="ER349" s="205">
        <f>IF($J349="",#N/A,SUM(EQ$4:EQ349))</f>
        <v>1.7856049065476487</v>
      </c>
      <c r="ES349" s="205">
        <f>IF($J349="",#N/A,SUM(EQ$4:EQ349,EO$4:EO349,EM$4:EM349))</f>
        <v>4.2644911143566446</v>
      </c>
      <c r="ET349" s="200" t="str">
        <f t="shared" si="611"/>
        <v/>
      </c>
      <c r="EU349" s="203">
        <f>IF($J349="",#N/A,SUM(ET$4:ET349))</f>
        <v>0</v>
      </c>
      <c r="EV349" s="204" t="str">
        <f t="shared" si="612"/>
        <v/>
      </c>
      <c r="EW349" s="204">
        <f>IF($J349="",#N/A,SUM(EV$4:EV349))</f>
        <v>7.9116394275462909E-2</v>
      </c>
      <c r="EX349" s="205" t="str">
        <f t="shared" si="613"/>
        <v/>
      </c>
      <c r="EY349" s="205">
        <f>IF($J349="",#N/A,SUM(EX$4:EX349))</f>
        <v>-0.33163335417804801</v>
      </c>
      <c r="EZ349" s="205">
        <f>IF($J349="",#N/A,SUM(EX$4:EX349,EV$4:EV349,ET$4:ET349))</f>
        <v>-0.25251695990258494</v>
      </c>
      <c r="FA349" s="200" t="str">
        <f t="shared" si="614"/>
        <v/>
      </c>
      <c r="FB349" s="203">
        <f>IF($J349="",#N/A,SUM(FA$4:FA349))</f>
        <v>-0.27145310509113252</v>
      </c>
      <c r="FC349" s="204" t="str">
        <f t="shared" si="615"/>
        <v/>
      </c>
      <c r="FD349" s="204">
        <f>IF($J349="",#N/A,SUM(FC$4:FC349))</f>
        <v>0.89084290967454072</v>
      </c>
      <c r="FE349" s="205" t="str">
        <f t="shared" si="616"/>
        <v/>
      </c>
      <c r="FF349" s="205">
        <f>IF($J349="",#N/A,SUM(FE$4:FE349))</f>
        <v>-0.28811149078748233</v>
      </c>
      <c r="FG349" s="205">
        <f>IF($J349="",#N/A,SUM(FE$4:FE349,FC$4:FC349,FA$4:FA349))</f>
        <v>0.3312783137959262</v>
      </c>
      <c r="FH349" s="200" t="str">
        <f t="shared" si="617"/>
        <v/>
      </c>
      <c r="FI349" s="203">
        <f>IF($J349="",#N/A,SUM(FH$4:FH349))</f>
        <v>0</v>
      </c>
      <c r="FJ349" s="204" t="str">
        <f t="shared" si="618"/>
        <v/>
      </c>
      <c r="FK349" s="204">
        <f>IF($J349="",#N/A,SUM(FJ$4:FJ349))</f>
        <v>0</v>
      </c>
      <c r="FL349" s="205" t="str">
        <f t="shared" si="619"/>
        <v/>
      </c>
      <c r="FM349" s="205">
        <f>IF($J349="",#N/A,SUM(FL$4:FL349))</f>
        <v>0</v>
      </c>
      <c r="FN349" s="205">
        <f>IF($J349="",#N/A,SUM(FL$4:FL349,FJ$4:FJ349,FH$4:FH349))</f>
        <v>0</v>
      </c>
      <c r="FO349" s="200" t="str">
        <f t="shared" si="620"/>
        <v/>
      </c>
      <c r="FP349" s="203">
        <f>IF($J349="",#N/A,SUM(FO$4:FO349))</f>
        <v>0</v>
      </c>
      <c r="FQ349" s="204" t="str">
        <f t="shared" si="621"/>
        <v/>
      </c>
      <c r="FR349" s="204">
        <f>IF($J349="",#N/A,SUM(FQ$4:FQ349))</f>
        <v>0</v>
      </c>
      <c r="FS349" s="205" t="str">
        <f t="shared" si="622"/>
        <v/>
      </c>
      <c r="FT349" s="205">
        <f>IF($J349="",#N/A,SUM(FS$4:FS349))</f>
        <v>0</v>
      </c>
      <c r="FU349" s="205">
        <f>IF($J349="",#N/A,SUM(FS$4:FS349,FQ$4:FQ349,FO$4:FO349))</f>
        <v>0</v>
      </c>
      <c r="FV349" s="200" t="str">
        <f t="shared" si="623"/>
        <v/>
      </c>
      <c r="FW349" s="203">
        <f>IF($J349="",#N/A,SUM(FV$4:FV349))</f>
        <v>6.6834991831277585E-2</v>
      </c>
      <c r="FX349" s="204" t="str">
        <f t="shared" si="624"/>
        <v/>
      </c>
      <c r="FY349" s="204">
        <f>IF($J349="",#N/A,SUM(FX$4:FX349))</f>
        <v>-0.16102012791805576</v>
      </c>
      <c r="FZ349" s="205" t="str">
        <f t="shared" si="625"/>
        <v/>
      </c>
      <c r="GA349" s="205">
        <f>IF($J349="",#N/A,SUM(FZ$4:FZ349))</f>
        <v>-0.69624339162892301</v>
      </c>
      <c r="GB349" s="205">
        <f>IF($J349="",#N/A,SUM(FZ$4:FZ349,FX$4:FX349,FV$4:FV349))</f>
        <v>-0.79042852771570116</v>
      </c>
      <c r="GC349" s="200" t="str">
        <f t="shared" si="626"/>
        <v/>
      </c>
      <c r="GD349" s="203">
        <f>IF($J349="",#N/A,SUM(GC$4:GC349))</f>
        <v>0</v>
      </c>
      <c r="GE349" s="204" t="str">
        <f t="shared" si="627"/>
        <v/>
      </c>
      <c r="GF349" s="204">
        <f>IF($J349="",#N/A,SUM(GE$4:GE349))</f>
        <v>0</v>
      </c>
      <c r="GG349" s="205" t="str">
        <f t="shared" si="628"/>
        <v/>
      </c>
      <c r="GH349" s="205">
        <f>IF($J349="",#N/A,SUM(GG$4:GG349))</f>
        <v>-2.9368362277223206</v>
      </c>
      <c r="GI349" s="205">
        <f>IF($J349="",#N/A,SUM(GG$4:GG349,GE$4:GE349,GC$4:GC349))</f>
        <v>-2.9368362277223206</v>
      </c>
      <c r="GJ349" s="200" t="str">
        <f t="shared" si="629"/>
        <v/>
      </c>
      <c r="GK349" s="203">
        <f>IF($J349="",#N/A,SUM(GJ$4:GJ349))</f>
        <v>0</v>
      </c>
      <c r="GL349" s="204" t="str">
        <f t="shared" si="630"/>
        <v/>
      </c>
      <c r="GM349" s="204">
        <f>IF($J349="",#N/A,SUM(GL$4:GL349))</f>
        <v>-1.6833790887309608</v>
      </c>
      <c r="GN349" s="205" t="str">
        <f t="shared" si="631"/>
        <v/>
      </c>
      <c r="GO349" s="205">
        <f>IF($J349="",#N/A,SUM(GN$4:GN349))</f>
        <v>0</v>
      </c>
      <c r="GP349" s="205">
        <f>IF($J349="",#N/A,SUM(GN$4:GN349,GL$4:GL349,GJ$4:GJ349))</f>
        <v>-1.6833790887309608</v>
      </c>
      <c r="GS349" s="177">
        <f t="shared" si="650"/>
        <v>-0.83299053887289143</v>
      </c>
      <c r="GT349" s="177">
        <f>IF(GS349="",NA(),SUM($GS$4:GS349))</f>
        <v>12.949327654190656</v>
      </c>
      <c r="GU349" s="177">
        <f t="shared" si="632"/>
        <v>-0.83299053887289143</v>
      </c>
      <c r="GV349" s="177">
        <f>IF(GU349="",NA(),SUM($GU$4:GU349))</f>
        <v>-4.6872222775228654</v>
      </c>
      <c r="GW349" s="177" t="str">
        <f t="shared" si="633"/>
        <v/>
      </c>
      <c r="GX349" s="177" t="e">
        <f>IF(GW349="",NA(),SUM($GW$4:GW349))</f>
        <v>#N/A</v>
      </c>
      <c r="GY349" s="177" t="str">
        <f t="shared" si="634"/>
        <v/>
      </c>
      <c r="GZ349" s="177" t="e">
        <f>IF(GY349="",NA(),SUM($GY$4:GY349))</f>
        <v>#N/A</v>
      </c>
      <c r="HA349" s="177" t="str">
        <f t="shared" si="635"/>
        <v/>
      </c>
      <c r="HB349" s="177" t="e">
        <f>IF(HA349="",NA(),SUM($HA$4:HA349))</f>
        <v>#N/A</v>
      </c>
      <c r="HC349" s="177" t="str">
        <f t="shared" si="636"/>
        <v/>
      </c>
      <c r="HD349" s="177" t="e">
        <f>IF(HC349="",NA(),SUM($HC$4:HC349))</f>
        <v>#N/A</v>
      </c>
      <c r="HE349" s="177" t="str">
        <f t="shared" si="637"/>
        <v/>
      </c>
      <c r="HF349" s="177" t="e">
        <f>IF(HE349="",NA(),SUM($HE$4:HE349))</f>
        <v>#N/A</v>
      </c>
      <c r="HG349" s="177" t="str">
        <f t="shared" si="638"/>
        <v/>
      </c>
      <c r="HH349" s="177" t="e">
        <f>IF(HG349="",NA(),SUM($HG$4:HG349))</f>
        <v>#N/A</v>
      </c>
      <c r="HI349" s="183" t="str">
        <f t="shared" si="651"/>
        <v/>
      </c>
      <c r="HJ349" s="183">
        <f>IF($J349="",#N/A,SUM(HI$4:$HI349))</f>
        <v>-9.4940030772075517</v>
      </c>
      <c r="HK349" s="177" t="str">
        <f t="shared" si="639"/>
        <v/>
      </c>
      <c r="HL349" s="177">
        <f>IF($J349="",#N/A,SUM($HK$4:HK349))</f>
        <v>1.9034651933981581</v>
      </c>
      <c r="HM349" s="177" t="str">
        <f t="shared" si="640"/>
        <v/>
      </c>
      <c r="HN349" s="177">
        <f>IF($J349="",#N/A,SUM($HM$4:HM349))</f>
        <v>0.41616915617605843</v>
      </c>
      <c r="HO349" s="177">
        <f t="shared" si="641"/>
        <v>-0.29994515288632939</v>
      </c>
      <c r="HP349" s="177">
        <f>IF($J349="",#N/A,SUM($HO$4:HO349))</f>
        <v>-0.85312247534710861</v>
      </c>
      <c r="HQ349" s="177" t="str">
        <f t="shared" si="642"/>
        <v/>
      </c>
      <c r="HR349" s="177">
        <f>IF($J349="",#N/A,SUM($HQ$4:HQ349))</f>
        <v>-11.324731074167294</v>
      </c>
      <c r="HS349" s="177" t="str">
        <f t="shared" si="643"/>
        <v/>
      </c>
      <c r="HT349" s="177">
        <f>IF($J349="",#N/A,SUM($HS$4:HS349))</f>
        <v>15.556531947339323</v>
      </c>
      <c r="HU349" s="64">
        <f t="shared" si="644"/>
        <v>-1.1329356917592208</v>
      </c>
      <c r="HV349" s="64">
        <f>IF($J349="",#N/A,SUM(HU$4:$HU349))</f>
        <v>10.993011555754748</v>
      </c>
    </row>
    <row r="350" spans="1:230" x14ac:dyDescent="0.25">
      <c r="A350" s="275" t="s">
        <v>1240</v>
      </c>
      <c r="B350" s="52" t="s">
        <v>4719</v>
      </c>
      <c r="C350" s="276">
        <f t="shared" si="545"/>
        <v>2</v>
      </c>
      <c r="D350" s="277" t="str">
        <f>_xlfn.XLOOKUP(A350,[1]SP500!$A$2:$A$502,[1]SP500!$D$2:$D$502,"N")</f>
        <v>N</v>
      </c>
      <c r="E350" s="275" t="str">
        <f>IFERROR(_xlfn.XLOOKUP(A350,[1]SP500!$A$2:$A$655,[1]SP500!$B$2:$B$655),"")</f>
        <v>XHB</v>
      </c>
      <c r="F350" s="290">
        <v>45797</v>
      </c>
      <c r="G350" s="51" t="str">
        <f t="shared" si="546"/>
        <v>AMC</v>
      </c>
      <c r="H350" s="51" t="str">
        <f t="shared" si="547"/>
        <v>s</v>
      </c>
      <c r="I350" s="344">
        <v>104.51</v>
      </c>
      <c r="J350" s="124">
        <v>106.88500000000001</v>
      </c>
      <c r="K350" s="55">
        <f t="shared" si="548"/>
        <v>2.2725098076739066E-2</v>
      </c>
      <c r="L350" s="67">
        <f t="shared" si="549"/>
        <v>-30.875</v>
      </c>
      <c r="M350" s="57">
        <f t="shared" si="550"/>
        <v>2.4049999999999727</v>
      </c>
      <c r="N350" s="102">
        <f t="shared" si="551"/>
        <v>-30.875</v>
      </c>
      <c r="O350" s="57">
        <f>IF(N350="",#N/A,SUM($N$4:N350))</f>
        <v>725.09937556162515</v>
      </c>
      <c r="P350" s="65">
        <f t="shared" si="645"/>
        <v>-0.37875163461231776</v>
      </c>
      <c r="Q350" s="172">
        <f>IF($N350="",#N/A,SUM($P$4:P350))</f>
        <v>14.925897718117827</v>
      </c>
      <c r="R350" s="279">
        <f t="shared" si="552"/>
        <v>7.4873587070460008</v>
      </c>
      <c r="S350" s="51" t="str">
        <f t="shared" si="553"/>
        <v>Dwn</v>
      </c>
      <c r="T350" s="51" t="s">
        <v>4461</v>
      </c>
      <c r="U350" s="56">
        <f t="shared" si="554"/>
        <v>104.51</v>
      </c>
      <c r="V350" s="56" t="s">
        <v>4458</v>
      </c>
      <c r="W350" s="142">
        <v>13</v>
      </c>
      <c r="X350" s="145">
        <f t="shared" si="555"/>
        <v>1358.63</v>
      </c>
      <c r="Y350" s="140">
        <f t="shared" si="556"/>
        <v>13</v>
      </c>
      <c r="Z350" s="141">
        <v>106.7</v>
      </c>
      <c r="AA350" s="102">
        <f t="shared" si="557"/>
        <v>-28.470000000000027</v>
      </c>
      <c r="AB350" s="102">
        <f t="shared" si="558"/>
        <v>6.5</v>
      </c>
      <c r="AC350" s="124">
        <v>104.01</v>
      </c>
      <c r="AD350" s="155">
        <f t="shared" si="559"/>
        <v>6.5</v>
      </c>
      <c r="AE350" s="545">
        <f t="shared" si="560"/>
        <v>7.9737186234172155E-2</v>
      </c>
      <c r="AF350" s="57">
        <f>IF($AC350="",#N/A,SUM(AD$4:AD350))</f>
        <v>640.8123971474497</v>
      </c>
      <c r="AG350" s="102">
        <f t="shared" si="561"/>
        <v>37.375</v>
      </c>
      <c r="AH350" s="56" t="s">
        <v>2507</v>
      </c>
      <c r="AI350" s="65">
        <f t="shared" si="562"/>
        <v>-0.34924887570567442</v>
      </c>
      <c r="AJ350" s="108">
        <f>IF(AI350="",#N/A,SUM($AI$4:AI350))</f>
        <v>7.4385390110718266</v>
      </c>
      <c r="AK350" s="57">
        <f t="shared" si="563"/>
        <v>-28.470000000000027</v>
      </c>
      <c r="AL350" s="66">
        <f>IF(AI350="",#N/A,IF(AH350="Skip",SUM($AK$4:AK350),SUM($AK$4:AK350)))</f>
        <v>219.52736927848264</v>
      </c>
      <c r="AM350" s="65">
        <f t="shared" si="646"/>
        <v>7.9737186234172155E-2</v>
      </c>
      <c r="AN350" s="209"/>
      <c r="AO350" s="65" t="str">
        <f t="shared" si="564"/>
        <v/>
      </c>
      <c r="AP350" s="65">
        <f>IF($AC350="",#N/A,SUM(AO$4:AO350))</f>
        <v>11.28423240958756</v>
      </c>
      <c r="AQ350" s="65" t="str">
        <f t="shared" si="565"/>
        <v/>
      </c>
      <c r="AR350" s="65">
        <f>IF($AC350="",#N/A,SUM(AQ$4:AQ350))</f>
        <v>-4.4425718153430083</v>
      </c>
      <c r="AS350" s="65">
        <f t="shared" si="566"/>
        <v>7.9737186234172155E-2</v>
      </c>
      <c r="AT350" s="65">
        <f>IF($AC350="",#N/A,SUM(AS$4:AS350))</f>
        <v>4.2310881477443578</v>
      </c>
      <c r="AU350" s="57" t="str">
        <f t="shared" si="647"/>
        <v/>
      </c>
      <c r="AV350" s="57">
        <f>IF($AC350="",#N/A,SUM(AU$4:AU350))</f>
        <v>631.52627194988031</v>
      </c>
      <c r="AW350" s="57" t="str">
        <f t="shared" si="648"/>
        <v/>
      </c>
      <c r="AX350" s="57">
        <f>IF($AC350="",#N/A,SUM(AW$4:AW350))</f>
        <v>-295.97106797961055</v>
      </c>
      <c r="AY350" s="57">
        <f t="shared" si="649"/>
        <v>6.5</v>
      </c>
      <c r="AZ350" s="57">
        <f>IF($AC350="",#N/A,SUM(AY$4:AY350))</f>
        <v>305.25719317717983</v>
      </c>
      <c r="BA350" s="57">
        <f>IF(AD350="",#N/A,SUM($AD$4:AD350))</f>
        <v>640.8123971474497</v>
      </c>
      <c r="BC350" s="51" t="str">
        <f t="shared" si="567"/>
        <v/>
      </c>
      <c r="BD350" s="51">
        <f t="shared" si="568"/>
        <v>1</v>
      </c>
      <c r="BE350" s="51" t="str">
        <f t="shared" si="569"/>
        <v/>
      </c>
      <c r="BF350" s="51" t="str">
        <f t="shared" si="570"/>
        <v>Short</v>
      </c>
      <c r="BG350" s="51" t="str">
        <f t="shared" si="571"/>
        <v/>
      </c>
      <c r="BH350" s="51" t="str">
        <f t="shared" si="572"/>
        <v/>
      </c>
      <c r="BI350" s="51" t="str">
        <f t="shared" si="573"/>
        <v/>
      </c>
      <c r="BK350" s="65">
        <f t="shared" si="544"/>
        <v>0.10482940218733067</v>
      </c>
      <c r="BL350" s="65">
        <f t="shared" si="652"/>
        <v>-0.18732649526455389</v>
      </c>
      <c r="BM350" s="65">
        <f>IFERROR(Q350/COUNTA($J$4:J350),#N/A)</f>
        <v>4.301411446143466E-2</v>
      </c>
      <c r="BO350" s="489" t="e">
        <f>IF(J350="",#N/A,IF(S350="SW",(COUNTIFS(K$4:$K350,"&gt;0",S$4:$S350,"SW")/COUNTIF(S$4:$S350,"SW")),#N/A))</f>
        <v>#N/A</v>
      </c>
      <c r="BP350" s="489">
        <f>IF($J350="",#N/A,IF($S350="DWN",(COUNTIFS($K$4:$K350,"&lt;0",$S$4:$S350,"DWN")/COUNTIF($S$4:$S350,"DWN")),#N/A))</f>
        <v>0.56209150326797386</v>
      </c>
      <c r="BQ350" s="489" t="e">
        <f>IF($J350="",#N/A,IF($S350="UP",(COUNTIFS($K$4:$K350,"&gt;0",$S$4:$S350,"UP")/COUNTIF($S$4:$S350,"UP")),#N/A))</f>
        <v>#N/A</v>
      </c>
      <c r="BR350" s="489">
        <f>IF(J350="",#N/A,COUNTIF($K$4:K350,"&gt;0")/COUNT($J$4:J350))</f>
        <v>0.47550432276657062</v>
      </c>
      <c r="BS350" s="65" t="str">
        <f t="shared" si="574"/>
        <v/>
      </c>
      <c r="BT350" s="65" t="str">
        <f t="shared" si="575"/>
        <v/>
      </c>
      <c r="BU350" s="65" t="str">
        <f t="shared" si="576"/>
        <v/>
      </c>
      <c r="BV350" s="65">
        <f t="shared" si="577"/>
        <v>-0.37875163461231776</v>
      </c>
      <c r="BW350" s="128" t="str">
        <f t="shared" si="578"/>
        <v/>
      </c>
      <c r="BX350" s="128">
        <f>IF($J350="",#N/A,SUM($BW$4:BW350))</f>
        <v>-260.7281703479282</v>
      </c>
      <c r="BY350" s="131">
        <f t="shared" si="579"/>
        <v>-30.875</v>
      </c>
      <c r="BZ350" s="131">
        <f>IF($J350="",#N/A,SUM($BY$4:BY350))</f>
        <v>642.6666134613946</v>
      </c>
      <c r="CA350" s="133" t="str">
        <f t="shared" si="580"/>
        <v/>
      </c>
      <c r="CB350" s="133">
        <f>IF($J350="",#N/A,SUM($CA$4:CA350))</f>
        <v>343.16093244815863</v>
      </c>
      <c r="CC350" s="194" t="str">
        <f t="shared" si="581"/>
        <v/>
      </c>
      <c r="CD350" s="194">
        <f>IF($J350="",#N/A,SUM($CC$4:CC350))</f>
        <v>-4.0056184961719543</v>
      </c>
      <c r="CE350" s="195">
        <f t="shared" si="582"/>
        <v>-0.37875163461231776</v>
      </c>
      <c r="CF350" s="195">
        <f>IF($J350="",#N/A,SUM($CE$4:CE350))</f>
        <v>11.36313721070727</v>
      </c>
      <c r="CG350" s="196" t="str">
        <f t="shared" si="583"/>
        <v/>
      </c>
      <c r="CH350" s="196">
        <f>IF($J350="",#N/A,SUM($CG$4:CG350))</f>
        <v>7.5683790035825176</v>
      </c>
      <c r="CI350" s="200" t="str">
        <f t="shared" si="584"/>
        <v/>
      </c>
      <c r="CJ350" s="203">
        <f>IF($J350="",#N/A,SUM(CI$4:CI350))</f>
        <v>0</v>
      </c>
      <c r="CK350" s="204" t="str">
        <f t="shared" si="585"/>
        <v/>
      </c>
      <c r="CL350" s="204">
        <f>IF($J350="",#N/A,SUM(CK$4:CK350))</f>
        <v>1.2912501745213723</v>
      </c>
      <c r="CM350" s="205" t="str">
        <f t="shared" si="586"/>
        <v/>
      </c>
      <c r="CN350" s="205">
        <f>IF($J350="",#N/A,SUM(CM$4:CM350))</f>
        <v>1.357235719871134</v>
      </c>
      <c r="CO350" s="205">
        <f>IF($J350="",#N/A,SUM(CM$4:CM350,CK$4:CK350,CI$4:CI350))</f>
        <v>2.6484858943925063</v>
      </c>
      <c r="CP350" s="200" t="str">
        <f t="shared" si="587"/>
        <v/>
      </c>
      <c r="CQ350" s="203">
        <f>IF($J350="",#N/A,SUM(CP$4:CP350))</f>
        <v>-3.0687583652268549</v>
      </c>
      <c r="CR350" s="204" t="str">
        <f t="shared" si="588"/>
        <v/>
      </c>
      <c r="CS350" s="204">
        <f>IF($J350="",#N/A,SUM(CR$4:CR350))</f>
        <v>2.3600225017004668</v>
      </c>
      <c r="CT350" s="205" t="str">
        <f t="shared" si="589"/>
        <v/>
      </c>
      <c r="CU350" s="205">
        <f>IF($J350="",#N/A,SUM(CT$4:CT350))</f>
        <v>-2.8580371411053784</v>
      </c>
      <c r="CV350" s="205">
        <f>IF($J350="",#N/A,SUM(CT$4:CT350,CR$4:CR350,CP$4:CP350))</f>
        <v>-3.5667730046317665</v>
      </c>
      <c r="CW350" s="200" t="str">
        <f t="shared" si="590"/>
        <v/>
      </c>
      <c r="CX350" s="203">
        <f>IF($J350="",#N/A,SUM(CW$4:CW350))</f>
        <v>-0.29399505935581682</v>
      </c>
      <c r="CY350" s="204" t="str">
        <f t="shared" si="591"/>
        <v/>
      </c>
      <c r="CZ350" s="204">
        <f>IF($J350="",#N/A,SUM(CY$4:CY350))</f>
        <v>-0.20119965665334139</v>
      </c>
      <c r="DA350" s="205" t="str">
        <f t="shared" si="592"/>
        <v/>
      </c>
      <c r="DB350" s="205">
        <f>IF($J350="",#N/A,SUM(DA$4:DA350))</f>
        <v>-2.4685516361569055</v>
      </c>
      <c r="DC350" s="205">
        <f>IF($J350="",#N/A,SUM(DA$4:DA350,CY$4:CY350,CW$4:CW350))</f>
        <v>-2.9637463521660634</v>
      </c>
      <c r="DD350" s="200" t="str">
        <f t="shared" si="593"/>
        <v/>
      </c>
      <c r="DE350" s="203">
        <f>IF($J350="",#N/A,SUM(DD$4:DD350))</f>
        <v>1.2501454750716789</v>
      </c>
      <c r="DF350" s="204" t="str">
        <f t="shared" si="594"/>
        <v/>
      </c>
      <c r="DG350" s="204">
        <f>IF($J350="",#N/A,SUM(DF$4:DF350))</f>
        <v>3.0565650892577492</v>
      </c>
      <c r="DH350" s="205" t="str">
        <f t="shared" si="595"/>
        <v/>
      </c>
      <c r="DI350" s="205">
        <f>IF($J350="",#N/A,SUM(DH$4:DH350))</f>
        <v>-3.216671910770577</v>
      </c>
      <c r="DJ350" s="205">
        <f>IF($J350="",#N/A,SUM(DH$4:DH350,DF$4:DF350,DD$4:DD350))</f>
        <v>1.0900386535588513</v>
      </c>
      <c r="DK350" s="200" t="str">
        <f t="shared" si="596"/>
        <v/>
      </c>
      <c r="DL350" s="203">
        <f>IF($J350="",#N/A,SUM(DK$4:DK350))</f>
        <v>-0.84049791589649614</v>
      </c>
      <c r="DM350" s="204" t="str">
        <f t="shared" si="597"/>
        <v/>
      </c>
      <c r="DN350" s="204">
        <f>IF($J350="",#N/A,SUM(DM$4:DM350))</f>
        <v>1.8657648196498773</v>
      </c>
      <c r="DO350" s="205" t="str">
        <f t="shared" si="598"/>
        <v/>
      </c>
      <c r="DP350" s="205">
        <f>IF($J350="",#N/A,SUM(DO$4:DO350))</f>
        <v>3.4887162328793941</v>
      </c>
      <c r="DQ350" s="205">
        <f>IF($J350="",#N/A,SUM(DO$4:DO350,DM$4:DM350,DK$4:DK350))</f>
        <v>4.5139831366327758</v>
      </c>
      <c r="DR350" s="200" t="str">
        <f t="shared" si="599"/>
        <v/>
      </c>
      <c r="DS350" s="203">
        <f>IF($J350="",#N/A,SUM(DR$4:DR350))</f>
        <v>-0.55950946427675097</v>
      </c>
      <c r="DT350" s="204" t="str">
        <f t="shared" si="600"/>
        <v/>
      </c>
      <c r="DU350" s="204">
        <f>IF($J350="",#N/A,SUM(DT$4:DT350))</f>
        <v>-0.20750635820596686</v>
      </c>
      <c r="DV350" s="205" t="str">
        <f t="shared" si="601"/>
        <v/>
      </c>
      <c r="DW350" s="205">
        <f>IF($J350="",#N/A,SUM(DV$4:DV350))</f>
        <v>-2.3377035686214001</v>
      </c>
      <c r="DX350" s="205">
        <f>IF($J350="",#N/A,SUM(DV$4:DV350,DT$4:DT350,DR$4:DR350))</f>
        <v>-3.1047193911041169</v>
      </c>
      <c r="DY350" s="200" t="str">
        <f t="shared" si="602"/>
        <v/>
      </c>
      <c r="DZ350" s="203">
        <f>IF($J350="",#N/A,SUM(DY$4:DY350))</f>
        <v>-1.4146842415208627</v>
      </c>
      <c r="EA350" s="204" t="str">
        <f t="shared" si="603"/>
        <v/>
      </c>
      <c r="EB350" s="204">
        <f>IF($J350="",#N/A,SUM(EA$4:EA350))</f>
        <v>4.3184391548878134</v>
      </c>
      <c r="EC350" s="205" t="str">
        <f t="shared" si="604"/>
        <v/>
      </c>
      <c r="ED350" s="205">
        <f>IF($J350="",#N/A,SUM(EC$4:EC350))</f>
        <v>9.2956923798665674</v>
      </c>
      <c r="EE350" s="205">
        <f>IF($J350="",#N/A,SUM(EC$4:EC350,EA$4:EA350,DY$4:DY350))</f>
        <v>12.199447293233519</v>
      </c>
      <c r="EF350" s="200" t="str">
        <f t="shared" si="605"/>
        <v/>
      </c>
      <c r="EG350" s="203">
        <f>IF($J350="",#N/A,SUM(EF$4:EF350))</f>
        <v>0.65848341369884777</v>
      </c>
      <c r="EH350" s="204" t="str">
        <f t="shared" si="606"/>
        <v/>
      </c>
      <c r="EI350" s="204">
        <f>IF($J350="",#N/A,SUM(EH$4:EH350))</f>
        <v>-3.5125331561187787</v>
      </c>
      <c r="EJ350" s="205" t="str">
        <f t="shared" si="607"/>
        <v/>
      </c>
      <c r="EK350" s="205">
        <f>IF($J350="",#N/A,SUM(EJ$4:EJ350))</f>
        <v>8.4415851520554703</v>
      </c>
      <c r="EL350" s="205">
        <f>IF($J350="",#N/A,SUM(EJ$4:EJ350,EH$4:EH350,EF$4:EF350))</f>
        <v>5.5875354096355405</v>
      </c>
      <c r="EM350" s="200" t="str">
        <f t="shared" si="608"/>
        <v/>
      </c>
      <c r="EN350" s="203">
        <f>IF($J350="",#N/A,SUM(EM$4:EM350))</f>
        <v>0</v>
      </c>
      <c r="EO350" s="204" t="str">
        <f t="shared" si="609"/>
        <v/>
      </c>
      <c r="EP350" s="204">
        <f>IF($J350="",#N/A,SUM(EO$4:EO350))</f>
        <v>2.4788862078089964</v>
      </c>
      <c r="EQ350" s="205" t="str">
        <f t="shared" si="610"/>
        <v/>
      </c>
      <c r="ER350" s="205">
        <f>IF($J350="",#N/A,SUM(EQ$4:EQ350))</f>
        <v>1.7856049065476487</v>
      </c>
      <c r="ES350" s="205">
        <f>IF($J350="",#N/A,SUM(EQ$4:EQ350,EO$4:EO350,EM$4:EM350))</f>
        <v>4.2644911143566446</v>
      </c>
      <c r="ET350" s="200" t="str">
        <f t="shared" si="611"/>
        <v/>
      </c>
      <c r="EU350" s="203">
        <f>IF($J350="",#N/A,SUM(ET$4:ET350))</f>
        <v>0</v>
      </c>
      <c r="EV350" s="204" t="str">
        <f t="shared" si="612"/>
        <v/>
      </c>
      <c r="EW350" s="204">
        <f>IF($J350="",#N/A,SUM(EV$4:EV350))</f>
        <v>7.9116394275462909E-2</v>
      </c>
      <c r="EX350" s="205" t="str">
        <f t="shared" si="613"/>
        <v/>
      </c>
      <c r="EY350" s="205">
        <f>IF($J350="",#N/A,SUM(EX$4:EX350))</f>
        <v>-0.33163335417804801</v>
      </c>
      <c r="EZ350" s="205">
        <f>IF($J350="",#N/A,SUM(EX$4:EX350,EV$4:EV350,ET$4:ET350))</f>
        <v>-0.25251695990258494</v>
      </c>
      <c r="FA350" s="200" t="str">
        <f t="shared" si="614"/>
        <v/>
      </c>
      <c r="FB350" s="203">
        <f>IF($J350="",#N/A,SUM(FA$4:FA350))</f>
        <v>-0.27145310509113252</v>
      </c>
      <c r="FC350" s="204" t="str">
        <f t="shared" si="615"/>
        <v/>
      </c>
      <c r="FD350" s="204">
        <f>IF($J350="",#N/A,SUM(FC$4:FC350))</f>
        <v>0.89084290967454072</v>
      </c>
      <c r="FE350" s="205" t="str">
        <f t="shared" si="616"/>
        <v/>
      </c>
      <c r="FF350" s="205">
        <f>IF($J350="",#N/A,SUM(FE$4:FE350))</f>
        <v>-0.28811149078748233</v>
      </c>
      <c r="FG350" s="205">
        <f>IF($J350="",#N/A,SUM(FE$4:FE350,FC$4:FC350,FA$4:FA350))</f>
        <v>0.3312783137959262</v>
      </c>
      <c r="FH350" s="200" t="str">
        <f t="shared" si="617"/>
        <v/>
      </c>
      <c r="FI350" s="203">
        <f>IF($J350="",#N/A,SUM(FH$4:FH350))</f>
        <v>0</v>
      </c>
      <c r="FJ350" s="204" t="str">
        <f t="shared" si="618"/>
        <v/>
      </c>
      <c r="FK350" s="204">
        <f>IF($J350="",#N/A,SUM(FJ$4:FJ350))</f>
        <v>0</v>
      </c>
      <c r="FL350" s="205" t="str">
        <f t="shared" si="619"/>
        <v/>
      </c>
      <c r="FM350" s="205">
        <f>IF($J350="",#N/A,SUM(FL$4:FL350))</f>
        <v>0</v>
      </c>
      <c r="FN350" s="205">
        <f>IF($J350="",#N/A,SUM(FL$4:FL350,FJ$4:FJ350,FH$4:FH350))</f>
        <v>0</v>
      </c>
      <c r="FO350" s="200" t="str">
        <f t="shared" si="620"/>
        <v/>
      </c>
      <c r="FP350" s="203">
        <f>IF($J350="",#N/A,SUM(FO$4:FO350))</f>
        <v>0</v>
      </c>
      <c r="FQ350" s="204" t="str">
        <f t="shared" si="621"/>
        <v/>
      </c>
      <c r="FR350" s="204">
        <f>IF($J350="",#N/A,SUM(FQ$4:FQ350))</f>
        <v>0</v>
      </c>
      <c r="FS350" s="205" t="str">
        <f t="shared" si="622"/>
        <v/>
      </c>
      <c r="FT350" s="205">
        <f>IF($J350="",#N/A,SUM(FS$4:FS350))</f>
        <v>0</v>
      </c>
      <c r="FU350" s="205">
        <f>IF($J350="",#N/A,SUM(FS$4:FS350,FQ$4:FQ350,FO$4:FO350))</f>
        <v>0</v>
      </c>
      <c r="FV350" s="200" t="str">
        <f t="shared" si="623"/>
        <v/>
      </c>
      <c r="FW350" s="203">
        <f>IF($J350="",#N/A,SUM(FV$4:FV350))</f>
        <v>6.6834991831277585E-2</v>
      </c>
      <c r="FX350" s="204" t="str">
        <f t="shared" si="624"/>
        <v/>
      </c>
      <c r="FY350" s="204">
        <f>IF($J350="",#N/A,SUM(FX$4:FX350))</f>
        <v>-0.16102012791805576</v>
      </c>
      <c r="FZ350" s="205" t="str">
        <f t="shared" si="625"/>
        <v/>
      </c>
      <c r="GA350" s="205">
        <f>IF($J350="",#N/A,SUM(FZ$4:FZ350))</f>
        <v>-0.69624339162892301</v>
      </c>
      <c r="GB350" s="205">
        <f>IF($J350="",#N/A,SUM(FZ$4:FZ350,FX$4:FX350,FV$4:FV350))</f>
        <v>-0.79042852771570116</v>
      </c>
      <c r="GC350" s="200" t="str">
        <f t="shared" si="626"/>
        <v/>
      </c>
      <c r="GD350" s="203">
        <f>IF($J350="",#N/A,SUM(GC$4:GC350))</f>
        <v>0</v>
      </c>
      <c r="GE350" s="204" t="str">
        <f t="shared" si="627"/>
        <v/>
      </c>
      <c r="GF350" s="204">
        <f>IF($J350="",#N/A,SUM(GE$4:GE350))</f>
        <v>0</v>
      </c>
      <c r="GG350" s="205" t="str">
        <f t="shared" si="628"/>
        <v/>
      </c>
      <c r="GH350" s="205">
        <f>IF($J350="",#N/A,SUM(GG$4:GG350))</f>
        <v>-2.9368362277223206</v>
      </c>
      <c r="GI350" s="205">
        <f>IF($J350="",#N/A,SUM(GG$4:GG350,GE$4:GE350,GC$4:GC350))</f>
        <v>-2.9368362277223206</v>
      </c>
      <c r="GJ350" s="200" t="str">
        <f t="shared" si="629"/>
        <v/>
      </c>
      <c r="GK350" s="203">
        <f>IF($J350="",#N/A,SUM(GJ$4:GJ350))</f>
        <v>0</v>
      </c>
      <c r="GL350" s="204">
        <f t="shared" si="630"/>
        <v>-0.37875163461231776</v>
      </c>
      <c r="GM350" s="204">
        <f>IF($J350="",#N/A,SUM(GL$4:GL350))</f>
        <v>-2.0621307233432784</v>
      </c>
      <c r="GN350" s="205" t="str">
        <f t="shared" si="631"/>
        <v/>
      </c>
      <c r="GO350" s="205">
        <f>IF($J350="",#N/A,SUM(GN$4:GN350))</f>
        <v>0</v>
      </c>
      <c r="GP350" s="205">
        <f>IF($J350="",#N/A,SUM(GN$4:GN350,GL$4:GL350,GJ$4:GJ350))</f>
        <v>-2.0621307233432784</v>
      </c>
      <c r="GS350" s="54" t="str">
        <f t="shared" si="650"/>
        <v/>
      </c>
      <c r="GT350" s="54" t="e">
        <f>IF(GS350="",NA(),SUM($GS$4:GS350))</f>
        <v>#N/A</v>
      </c>
      <c r="GU350" s="54" t="str">
        <f t="shared" si="632"/>
        <v/>
      </c>
      <c r="GV350" s="54" t="e">
        <f>IF(GU350="",NA(),SUM($GU$4:GU350))</f>
        <v>#N/A</v>
      </c>
      <c r="GW350" s="54" t="str">
        <f t="shared" si="633"/>
        <v/>
      </c>
      <c r="GX350" s="54" t="e">
        <f>IF(GW350="",NA(),SUM($GW$4:GW350))</f>
        <v>#N/A</v>
      </c>
      <c r="GY350" s="54" t="str">
        <f t="shared" si="634"/>
        <v/>
      </c>
      <c r="GZ350" s="54" t="e">
        <f>IF(GY350="",NA(),SUM($GY$4:GY350))</f>
        <v>#N/A</v>
      </c>
      <c r="HA350" s="54">
        <f t="shared" si="635"/>
        <v>-0.37875163461231776</v>
      </c>
      <c r="HB350" s="54">
        <f>IF(HA350="",NA(),SUM($HA$4:HA350))</f>
        <v>1.9765700639271699</v>
      </c>
      <c r="HC350" s="54" t="str">
        <f t="shared" si="636"/>
        <v/>
      </c>
      <c r="HD350" s="54" t="e">
        <f>IF(HC350="",NA(),SUM($HC$4:HC350))</f>
        <v>#N/A</v>
      </c>
      <c r="HE350" s="54" t="str">
        <f t="shared" si="637"/>
        <v/>
      </c>
      <c r="HF350" s="54" t="e">
        <f>IF(HE350="",NA(),SUM($HE$4:HE350))</f>
        <v>#N/A</v>
      </c>
      <c r="HG350" s="54">
        <f t="shared" si="638"/>
        <v>-0.37875163461231776</v>
      </c>
      <c r="HH350" s="54">
        <f>IF(HG350="",NA(),SUM($HG$4:HG350))</f>
        <v>6.1427037323783162</v>
      </c>
      <c r="HI350" s="172" t="str">
        <f t="shared" si="651"/>
        <v/>
      </c>
      <c r="HJ350" s="172">
        <f>IF($J350="",#N/A,SUM(HI$4:$HI350))</f>
        <v>-9.4940030772075517</v>
      </c>
      <c r="HK350" s="54">
        <f t="shared" si="639"/>
        <v>0.4584888208464899</v>
      </c>
      <c r="HL350" s="54">
        <f>IF($J350="",#N/A,SUM($HK$4:HK350))</f>
        <v>2.361954014244648</v>
      </c>
      <c r="HM350" s="54" t="str">
        <f t="shared" si="640"/>
        <v/>
      </c>
      <c r="HN350" s="54">
        <f>IF($J350="",#N/A,SUM($HM$4:HM350))</f>
        <v>0.41616915617605843</v>
      </c>
      <c r="HO350" s="54" t="str">
        <f t="shared" si="641"/>
        <v/>
      </c>
      <c r="HP350" s="54">
        <f>IF($J350="",#N/A,SUM($HO$4:HO350))</f>
        <v>-0.85312247534710861</v>
      </c>
      <c r="HQ350" s="54" t="str">
        <f t="shared" si="642"/>
        <v/>
      </c>
      <c r="HR350" s="54">
        <f>IF($J350="",#N/A,SUM($HQ$4:HQ350))</f>
        <v>-11.324731074167294</v>
      </c>
      <c r="HS350" s="54" t="str">
        <f t="shared" si="643"/>
        <v/>
      </c>
      <c r="HT350" s="54">
        <f>IF($J350="",#N/A,SUM($HS$4:HS350))</f>
        <v>15.556531947339323</v>
      </c>
      <c r="HU350" s="65">
        <f t="shared" si="644"/>
        <v>7.9737186234172155E-2</v>
      </c>
      <c r="HV350" s="65">
        <f>IF($J350="",#N/A,SUM(HU$4:$HU350))</f>
        <v>11.072748741988921</v>
      </c>
    </row>
    <row r="351" spans="1:230" x14ac:dyDescent="0.25">
      <c r="A351" s="275" t="s">
        <v>1082</v>
      </c>
      <c r="B351" s="52" t="s">
        <v>4720</v>
      </c>
      <c r="C351" s="276">
        <f t="shared" si="545"/>
        <v>3</v>
      </c>
      <c r="D351" s="277" t="str">
        <f>_xlfn.XLOOKUP(A351,[1]SP500!$A$2:$A$502,[1]SP500!$D$2:$D$502,"N")</f>
        <v>Y</v>
      </c>
      <c r="E351" s="275" t="str">
        <f>IFERROR(_xlfn.XLOOKUP(A351,[1]SP500!$A$2:$A$655,[1]SP500!$B$2:$B$655),"")</f>
        <v>XLV</v>
      </c>
      <c r="F351" s="290">
        <v>45798</v>
      </c>
      <c r="G351" s="51" t="str">
        <f t="shared" si="546"/>
        <v>BMO</v>
      </c>
      <c r="H351" s="51" t="str">
        <f t="shared" si="547"/>
        <v>s</v>
      </c>
      <c r="I351" s="344">
        <v>86.37</v>
      </c>
      <c r="J351" s="124">
        <v>86.59</v>
      </c>
      <c r="K351" s="55">
        <f t="shared" si="548"/>
        <v>2.5471807340511619E-3</v>
      </c>
      <c r="L351" s="67">
        <f t="shared" si="549"/>
        <v>3.2999999999999545</v>
      </c>
      <c r="M351" s="57">
        <f t="shared" si="550"/>
        <v>0</v>
      </c>
      <c r="N351" s="102">
        <f t="shared" si="551"/>
        <v>3.2999999999999545</v>
      </c>
      <c r="O351" s="57">
        <f>IF(N351="",#N/A,SUM($N$4:N351))</f>
        <v>728.39937556162511</v>
      </c>
      <c r="P351" s="65">
        <f t="shared" si="645"/>
        <v>4.2453012234185669E-2</v>
      </c>
      <c r="Q351" s="172">
        <f>IF($N351="",#N/A,SUM($P$4:P351))</f>
        <v>14.968350730352013</v>
      </c>
      <c r="R351" s="279">
        <f t="shared" si="552"/>
        <v>7.4873587070460008</v>
      </c>
      <c r="S351" s="51" t="str">
        <f t="shared" si="553"/>
        <v>SW</v>
      </c>
      <c r="T351" s="51" t="s">
        <v>2828</v>
      </c>
      <c r="U351" s="56">
        <f t="shared" si="554"/>
        <v>86.37</v>
      </c>
      <c r="V351" s="56" t="s">
        <v>4460</v>
      </c>
      <c r="W351" s="142">
        <v>15</v>
      </c>
      <c r="X351" s="145">
        <f t="shared" si="555"/>
        <v>1295.5500000000002</v>
      </c>
      <c r="Y351" s="140">
        <f t="shared" si="556"/>
        <v>15</v>
      </c>
      <c r="Z351" s="141">
        <v>86.59</v>
      </c>
      <c r="AA351" s="102">
        <f t="shared" si="557"/>
        <v>3.2999999999999545</v>
      </c>
      <c r="AB351" s="102">
        <f t="shared" si="558"/>
        <v>-29.400000000000318</v>
      </c>
      <c r="AC351" s="124">
        <v>84.41</v>
      </c>
      <c r="AD351" s="155">
        <f t="shared" si="559"/>
        <v>-29.400000000000318</v>
      </c>
      <c r="AE351" s="545">
        <f t="shared" si="560"/>
        <v>-0.37821774535911795</v>
      </c>
      <c r="AF351" s="57">
        <f>IF($AC351="",#N/A,SUM(AD$4:AD351))</f>
        <v>611.41239714744938</v>
      </c>
      <c r="AG351" s="102">
        <f t="shared" si="561"/>
        <v>-32.700000000000273</v>
      </c>
      <c r="AH351" s="56" t="s">
        <v>2507</v>
      </c>
      <c r="AI351" s="65">
        <f t="shared" si="562"/>
        <v>4.2453012234185669E-2</v>
      </c>
      <c r="AJ351" s="108">
        <f>IF(AI351="",#N/A,SUM($AI$4:AI351))</f>
        <v>7.4809920233060119</v>
      </c>
      <c r="AK351" s="57">
        <f t="shared" si="563"/>
        <v>3.2999999999999545</v>
      </c>
      <c r="AL351" s="66">
        <f>IF(AI351="",#N/A,IF(AH351="Skip",SUM($AK$4:AK351),SUM($AK$4:AK351)))</f>
        <v>222.82736927848259</v>
      </c>
      <c r="AM351" s="65">
        <f t="shared" si="646"/>
        <v>-0.37821774535911795</v>
      </c>
      <c r="AN351" s="209"/>
      <c r="AO351" s="65">
        <f t="shared" si="564"/>
        <v>-0.37821774535911795</v>
      </c>
      <c r="AP351" s="65">
        <f>IF($AC351="",#N/A,SUM(AO$4:AO351))</f>
        <v>10.906014664228442</v>
      </c>
      <c r="AQ351" s="65" t="str">
        <f t="shared" si="565"/>
        <v/>
      </c>
      <c r="AR351" s="65">
        <f>IF($AC351="",#N/A,SUM(AQ$4:AQ351))</f>
        <v>-4.4425718153430083</v>
      </c>
      <c r="AS351" s="65" t="str">
        <f t="shared" si="566"/>
        <v/>
      </c>
      <c r="AT351" s="65">
        <f>IF($AC351="",#N/A,SUM(AS$4:AS351))</f>
        <v>4.2310881477443578</v>
      </c>
      <c r="AU351" s="57">
        <f t="shared" si="647"/>
        <v>-29.400000000000318</v>
      </c>
      <c r="AV351" s="57">
        <f>IF($AC351="",#N/A,SUM(AU$4:AU351))</f>
        <v>602.12627194987999</v>
      </c>
      <c r="AW351" s="57" t="str">
        <f t="shared" si="648"/>
        <v/>
      </c>
      <c r="AX351" s="57">
        <f>IF($AC351="",#N/A,SUM(AW$4:AW351))</f>
        <v>-295.97106797961055</v>
      </c>
      <c r="AY351" s="57" t="str">
        <f t="shared" si="649"/>
        <v/>
      </c>
      <c r="AZ351" s="57">
        <f>IF($AC351="",#N/A,SUM(AY$4:AY351))</f>
        <v>305.25719317717983</v>
      </c>
      <c r="BA351" s="57">
        <f>IF(AD351="",#N/A,SUM($AD$4:AD351))</f>
        <v>611.41239714744938</v>
      </c>
      <c r="BC351" s="51" t="str">
        <f t="shared" si="567"/>
        <v/>
      </c>
      <c r="BD351" s="51" t="str">
        <f t="shared" si="568"/>
        <v/>
      </c>
      <c r="BE351" s="51">
        <f t="shared" si="569"/>
        <v>1</v>
      </c>
      <c r="BF351" s="51" t="str">
        <f t="shared" si="570"/>
        <v>Long</v>
      </c>
      <c r="BG351" s="51" t="str">
        <f t="shared" si="571"/>
        <v/>
      </c>
      <c r="BH351" s="51" t="str">
        <f t="shared" si="572"/>
        <v/>
      </c>
      <c r="BI351" s="51" t="str">
        <f t="shared" si="573"/>
        <v/>
      </c>
      <c r="BK351" s="65">
        <f t="shared" si="544"/>
        <v>0.1171727153055776</v>
      </c>
      <c r="BL351" s="65">
        <f t="shared" si="652"/>
        <v>-0.11896170810851978</v>
      </c>
      <c r="BM351" s="65">
        <f>IFERROR(Q351/COUNTA($J$4:J351),#N/A)</f>
        <v>4.3012502098712678E-2</v>
      </c>
      <c r="BO351" s="489">
        <f>IF(J351="",#N/A,IF(S351="SW",(COUNTIFS(K$4:$K351,"&gt;0",S$4:$S351,"SW")/COUNTIF(S$4:$S351,"SW")),#N/A))</f>
        <v>0.51515151515151514</v>
      </c>
      <c r="BP351" s="489" t="e">
        <f>IF($J351="",#N/A,IF($S351="DWN",(COUNTIFS($K$4:$K351,"&lt;0",$S$4:$S351,"DWN")/COUNTIF($S$4:$S351,"DWN")),#N/A))</f>
        <v>#N/A</v>
      </c>
      <c r="BQ351" s="489" t="e">
        <f>IF($J351="",#N/A,IF($S351="UP",(COUNTIFS($K$4:$K351,"&gt;0",$S$4:$S351,"UP")/COUNTIF($S$4:$S351,"UP")),#N/A))</f>
        <v>#N/A</v>
      </c>
      <c r="BR351" s="489">
        <f>IF(J351="",#N/A,COUNTIF($K$4:K351,"&gt;0")/COUNT($J$4:J351))</f>
        <v>0.47701149425287354</v>
      </c>
      <c r="BS351" s="65">
        <f t="shared" si="574"/>
        <v>4.2453012234185669E-2</v>
      </c>
      <c r="BT351" s="65" t="str">
        <f t="shared" si="575"/>
        <v/>
      </c>
      <c r="BU351" s="65" t="str">
        <f t="shared" si="576"/>
        <v/>
      </c>
      <c r="BV351" s="65" t="str">
        <f t="shared" si="577"/>
        <v/>
      </c>
      <c r="BW351" s="128" t="str">
        <f t="shared" si="578"/>
        <v/>
      </c>
      <c r="BX351" s="128">
        <f>IF($J351="",#N/A,SUM($BW$4:BW351))</f>
        <v>-260.7281703479282</v>
      </c>
      <c r="BY351" s="131" t="str">
        <f t="shared" si="579"/>
        <v/>
      </c>
      <c r="BZ351" s="131">
        <f>IF($J351="",#N/A,SUM($BY$4:BY351))</f>
        <v>642.6666134613946</v>
      </c>
      <c r="CA351" s="133">
        <f t="shared" si="580"/>
        <v>3.2999999999999545</v>
      </c>
      <c r="CB351" s="133">
        <f>IF($J351="",#N/A,SUM($CA$4:CA351))</f>
        <v>346.46093244815859</v>
      </c>
      <c r="CC351" s="194" t="str">
        <f t="shared" si="581"/>
        <v/>
      </c>
      <c r="CD351" s="194">
        <f>IF($J351="",#N/A,SUM($CC$4:CC351))</f>
        <v>-4.0056184961719543</v>
      </c>
      <c r="CE351" s="195" t="str">
        <f t="shared" si="582"/>
        <v/>
      </c>
      <c r="CF351" s="195">
        <f>IF($J351="",#N/A,SUM($CE$4:CE351))</f>
        <v>11.36313721070727</v>
      </c>
      <c r="CG351" s="196">
        <f t="shared" si="583"/>
        <v>4.2453012234185669E-2</v>
      </c>
      <c r="CH351" s="196">
        <f>IF($J351="",#N/A,SUM($CG$4:CG351))</f>
        <v>7.6108320158167029</v>
      </c>
      <c r="CI351" s="200" t="str">
        <f t="shared" si="584"/>
        <v/>
      </c>
      <c r="CJ351" s="203">
        <f>IF($J351="",#N/A,SUM(CI$4:CI351))</f>
        <v>0</v>
      </c>
      <c r="CK351" s="204" t="str">
        <f t="shared" si="585"/>
        <v/>
      </c>
      <c r="CL351" s="204">
        <f>IF($J351="",#N/A,SUM(CK$4:CK351))</f>
        <v>1.2912501745213723</v>
      </c>
      <c r="CM351" s="205" t="str">
        <f t="shared" si="586"/>
        <v/>
      </c>
      <c r="CN351" s="205">
        <f>IF($J351="",#N/A,SUM(CM$4:CM351))</f>
        <v>1.357235719871134</v>
      </c>
      <c r="CO351" s="205">
        <f>IF($J351="",#N/A,SUM(CM$4:CM351,CK$4:CK351,CI$4:CI351))</f>
        <v>2.6484858943925063</v>
      </c>
      <c r="CP351" s="200" t="str">
        <f t="shared" si="587"/>
        <v/>
      </c>
      <c r="CQ351" s="203">
        <f>IF($J351="",#N/A,SUM(CP$4:CP351))</f>
        <v>-3.0687583652268549</v>
      </c>
      <c r="CR351" s="204" t="str">
        <f t="shared" si="588"/>
        <v/>
      </c>
      <c r="CS351" s="204">
        <f>IF($J351="",#N/A,SUM(CR$4:CR351))</f>
        <v>2.3600225017004668</v>
      </c>
      <c r="CT351" s="205" t="str">
        <f t="shared" si="589"/>
        <v/>
      </c>
      <c r="CU351" s="205">
        <f>IF($J351="",#N/A,SUM(CT$4:CT351))</f>
        <v>-2.8580371411053784</v>
      </c>
      <c r="CV351" s="205">
        <f>IF($J351="",#N/A,SUM(CT$4:CT351,CR$4:CR351,CP$4:CP351))</f>
        <v>-3.5667730046317665</v>
      </c>
      <c r="CW351" s="200" t="str">
        <f t="shared" si="590"/>
        <v/>
      </c>
      <c r="CX351" s="203">
        <f>IF($J351="",#N/A,SUM(CW$4:CW351))</f>
        <v>-0.29399505935581682</v>
      </c>
      <c r="CY351" s="204" t="str">
        <f t="shared" si="591"/>
        <v/>
      </c>
      <c r="CZ351" s="204">
        <f>IF($J351="",#N/A,SUM(CY$4:CY351))</f>
        <v>-0.20119965665334139</v>
      </c>
      <c r="DA351" s="205" t="str">
        <f t="shared" si="592"/>
        <v/>
      </c>
      <c r="DB351" s="205">
        <f>IF($J351="",#N/A,SUM(DA$4:DA351))</f>
        <v>-2.4685516361569055</v>
      </c>
      <c r="DC351" s="205">
        <f>IF($J351="",#N/A,SUM(DA$4:DA351,CY$4:CY351,CW$4:CW351))</f>
        <v>-2.9637463521660634</v>
      </c>
      <c r="DD351" s="200" t="str">
        <f t="shared" si="593"/>
        <v/>
      </c>
      <c r="DE351" s="203">
        <f>IF($J351="",#N/A,SUM(DD$4:DD351))</f>
        <v>1.2501454750716789</v>
      </c>
      <c r="DF351" s="204" t="str">
        <f t="shared" si="594"/>
        <v/>
      </c>
      <c r="DG351" s="204">
        <f>IF($J351="",#N/A,SUM(DF$4:DF351))</f>
        <v>3.0565650892577492</v>
      </c>
      <c r="DH351" s="205" t="str">
        <f t="shared" si="595"/>
        <v/>
      </c>
      <c r="DI351" s="205">
        <f>IF($J351="",#N/A,SUM(DH$4:DH351))</f>
        <v>-3.216671910770577</v>
      </c>
      <c r="DJ351" s="205">
        <f>IF($J351="",#N/A,SUM(DH$4:DH351,DF$4:DF351,DD$4:DD351))</f>
        <v>1.0900386535588513</v>
      </c>
      <c r="DK351" s="200" t="str">
        <f t="shared" si="596"/>
        <v/>
      </c>
      <c r="DL351" s="203">
        <f>IF($J351="",#N/A,SUM(DK$4:DK351))</f>
        <v>-0.84049791589649614</v>
      </c>
      <c r="DM351" s="204" t="str">
        <f t="shared" si="597"/>
        <v/>
      </c>
      <c r="DN351" s="204">
        <f>IF($J351="",#N/A,SUM(DM$4:DM351))</f>
        <v>1.8657648196498773</v>
      </c>
      <c r="DO351" s="205" t="str">
        <f t="shared" si="598"/>
        <v/>
      </c>
      <c r="DP351" s="205">
        <f>IF($J351="",#N/A,SUM(DO$4:DO351))</f>
        <v>3.4887162328793941</v>
      </c>
      <c r="DQ351" s="205">
        <f>IF($J351="",#N/A,SUM(DO$4:DO351,DM$4:DM351,DK$4:DK351))</f>
        <v>4.5139831366327758</v>
      </c>
      <c r="DR351" s="200" t="str">
        <f t="shared" si="599"/>
        <v/>
      </c>
      <c r="DS351" s="203">
        <f>IF($J351="",#N/A,SUM(DR$4:DR351))</f>
        <v>-0.55950946427675097</v>
      </c>
      <c r="DT351" s="204" t="str">
        <f t="shared" si="600"/>
        <v/>
      </c>
      <c r="DU351" s="204">
        <f>IF($J351="",#N/A,SUM(DT$4:DT351))</f>
        <v>-0.20750635820596686</v>
      </c>
      <c r="DV351" s="205" t="str">
        <f t="shared" si="601"/>
        <v/>
      </c>
      <c r="DW351" s="205">
        <f>IF($J351="",#N/A,SUM(DV$4:DV351))</f>
        <v>-2.3377035686214001</v>
      </c>
      <c r="DX351" s="205">
        <f>IF($J351="",#N/A,SUM(DV$4:DV351,DT$4:DT351,DR$4:DR351))</f>
        <v>-3.1047193911041169</v>
      </c>
      <c r="DY351" s="200" t="str">
        <f t="shared" si="602"/>
        <v/>
      </c>
      <c r="DZ351" s="203">
        <f>IF($J351="",#N/A,SUM(DY$4:DY351))</f>
        <v>-1.4146842415208627</v>
      </c>
      <c r="EA351" s="204" t="str">
        <f t="shared" si="603"/>
        <v/>
      </c>
      <c r="EB351" s="204">
        <f>IF($J351="",#N/A,SUM(EA$4:EA351))</f>
        <v>4.3184391548878134</v>
      </c>
      <c r="EC351" s="205" t="str">
        <f t="shared" si="604"/>
        <v/>
      </c>
      <c r="ED351" s="205">
        <f>IF($J351="",#N/A,SUM(EC$4:EC351))</f>
        <v>9.2956923798665674</v>
      </c>
      <c r="EE351" s="205">
        <f>IF($J351="",#N/A,SUM(EC$4:EC351,EA$4:EA351,DY$4:DY351))</f>
        <v>12.199447293233519</v>
      </c>
      <c r="EF351" s="200" t="str">
        <f t="shared" si="605"/>
        <v/>
      </c>
      <c r="EG351" s="203">
        <f>IF($J351="",#N/A,SUM(EF$4:EF351))</f>
        <v>0.65848341369884777</v>
      </c>
      <c r="EH351" s="204" t="str">
        <f t="shared" si="606"/>
        <v/>
      </c>
      <c r="EI351" s="204">
        <f>IF($J351="",#N/A,SUM(EH$4:EH351))</f>
        <v>-3.5125331561187787</v>
      </c>
      <c r="EJ351" s="205">
        <f t="shared" si="607"/>
        <v>4.2453012234185669E-2</v>
      </c>
      <c r="EK351" s="205">
        <f>IF($J351="",#N/A,SUM(EJ$4:EJ351))</f>
        <v>8.4840381642896556</v>
      </c>
      <c r="EL351" s="205">
        <f>IF($J351="",#N/A,SUM(EJ$4:EJ351,EH$4:EH351,EF$4:EF351))</f>
        <v>5.6299884218697258</v>
      </c>
      <c r="EM351" s="200" t="str">
        <f t="shared" si="608"/>
        <v/>
      </c>
      <c r="EN351" s="203">
        <f>IF($J351="",#N/A,SUM(EM$4:EM351))</f>
        <v>0</v>
      </c>
      <c r="EO351" s="204" t="str">
        <f t="shared" si="609"/>
        <v/>
      </c>
      <c r="EP351" s="204">
        <f>IF($J351="",#N/A,SUM(EO$4:EO351))</f>
        <v>2.4788862078089964</v>
      </c>
      <c r="EQ351" s="205" t="str">
        <f t="shared" si="610"/>
        <v/>
      </c>
      <c r="ER351" s="205">
        <f>IF($J351="",#N/A,SUM(EQ$4:EQ351))</f>
        <v>1.7856049065476487</v>
      </c>
      <c r="ES351" s="205">
        <f>IF($J351="",#N/A,SUM(EQ$4:EQ351,EO$4:EO351,EM$4:EM351))</f>
        <v>4.2644911143566446</v>
      </c>
      <c r="ET351" s="200" t="str">
        <f t="shared" si="611"/>
        <v/>
      </c>
      <c r="EU351" s="203">
        <f>IF($J351="",#N/A,SUM(ET$4:ET351))</f>
        <v>0</v>
      </c>
      <c r="EV351" s="204" t="str">
        <f t="shared" si="612"/>
        <v/>
      </c>
      <c r="EW351" s="204">
        <f>IF($J351="",#N/A,SUM(EV$4:EV351))</f>
        <v>7.9116394275462909E-2</v>
      </c>
      <c r="EX351" s="205" t="str">
        <f t="shared" si="613"/>
        <v/>
      </c>
      <c r="EY351" s="205">
        <f>IF($J351="",#N/A,SUM(EX$4:EX351))</f>
        <v>-0.33163335417804801</v>
      </c>
      <c r="EZ351" s="205">
        <f>IF($J351="",#N/A,SUM(EX$4:EX351,EV$4:EV351,ET$4:ET351))</f>
        <v>-0.25251695990258494</v>
      </c>
      <c r="FA351" s="200" t="str">
        <f t="shared" si="614"/>
        <v/>
      </c>
      <c r="FB351" s="203">
        <f>IF($J351="",#N/A,SUM(FA$4:FA351))</f>
        <v>-0.27145310509113252</v>
      </c>
      <c r="FC351" s="204" t="str">
        <f t="shared" si="615"/>
        <v/>
      </c>
      <c r="FD351" s="204">
        <f>IF($J351="",#N/A,SUM(FC$4:FC351))</f>
        <v>0.89084290967454072</v>
      </c>
      <c r="FE351" s="205" t="str">
        <f t="shared" si="616"/>
        <v/>
      </c>
      <c r="FF351" s="205">
        <f>IF($J351="",#N/A,SUM(FE$4:FE351))</f>
        <v>-0.28811149078748233</v>
      </c>
      <c r="FG351" s="205">
        <f>IF($J351="",#N/A,SUM(FE$4:FE351,FC$4:FC351,FA$4:FA351))</f>
        <v>0.3312783137959262</v>
      </c>
      <c r="FH351" s="200" t="str">
        <f t="shared" si="617"/>
        <v/>
      </c>
      <c r="FI351" s="203">
        <f>IF($J351="",#N/A,SUM(FH$4:FH351))</f>
        <v>0</v>
      </c>
      <c r="FJ351" s="204" t="str">
        <f t="shared" si="618"/>
        <v/>
      </c>
      <c r="FK351" s="204">
        <f>IF($J351="",#N/A,SUM(FJ$4:FJ351))</f>
        <v>0</v>
      </c>
      <c r="FL351" s="205" t="str">
        <f t="shared" si="619"/>
        <v/>
      </c>
      <c r="FM351" s="205">
        <f>IF($J351="",#N/A,SUM(FL$4:FL351))</f>
        <v>0</v>
      </c>
      <c r="FN351" s="205">
        <f>IF($J351="",#N/A,SUM(FL$4:FL351,FJ$4:FJ351,FH$4:FH351))</f>
        <v>0</v>
      </c>
      <c r="FO351" s="200" t="str">
        <f t="shared" si="620"/>
        <v/>
      </c>
      <c r="FP351" s="203">
        <f>IF($J351="",#N/A,SUM(FO$4:FO351))</f>
        <v>0</v>
      </c>
      <c r="FQ351" s="204" t="str">
        <f t="shared" si="621"/>
        <v/>
      </c>
      <c r="FR351" s="204">
        <f>IF($J351="",#N/A,SUM(FQ$4:FQ351))</f>
        <v>0</v>
      </c>
      <c r="FS351" s="205" t="str">
        <f t="shared" si="622"/>
        <v/>
      </c>
      <c r="FT351" s="205">
        <f>IF($J351="",#N/A,SUM(FS$4:FS351))</f>
        <v>0</v>
      </c>
      <c r="FU351" s="205">
        <f>IF($J351="",#N/A,SUM(FS$4:FS351,FQ$4:FQ351,FO$4:FO351))</f>
        <v>0</v>
      </c>
      <c r="FV351" s="200" t="str">
        <f t="shared" si="623"/>
        <v/>
      </c>
      <c r="FW351" s="203">
        <f>IF($J351="",#N/A,SUM(FV$4:FV351))</f>
        <v>6.6834991831277585E-2</v>
      </c>
      <c r="FX351" s="204" t="str">
        <f t="shared" si="624"/>
        <v/>
      </c>
      <c r="FY351" s="204">
        <f>IF($J351="",#N/A,SUM(FX$4:FX351))</f>
        <v>-0.16102012791805576</v>
      </c>
      <c r="FZ351" s="205" t="str">
        <f t="shared" si="625"/>
        <v/>
      </c>
      <c r="GA351" s="205">
        <f>IF($J351="",#N/A,SUM(FZ$4:FZ351))</f>
        <v>-0.69624339162892301</v>
      </c>
      <c r="GB351" s="205">
        <f>IF($J351="",#N/A,SUM(FZ$4:FZ351,FX$4:FX351,FV$4:FV351))</f>
        <v>-0.79042852771570116</v>
      </c>
      <c r="GC351" s="200" t="str">
        <f t="shared" si="626"/>
        <v/>
      </c>
      <c r="GD351" s="203">
        <f>IF($J351="",#N/A,SUM(GC$4:GC351))</f>
        <v>0</v>
      </c>
      <c r="GE351" s="204" t="str">
        <f t="shared" si="627"/>
        <v/>
      </c>
      <c r="GF351" s="204">
        <f>IF($J351="",#N/A,SUM(GE$4:GE351))</f>
        <v>0</v>
      </c>
      <c r="GG351" s="205" t="str">
        <f t="shared" si="628"/>
        <v/>
      </c>
      <c r="GH351" s="205">
        <f>IF($J351="",#N/A,SUM(GG$4:GG351))</f>
        <v>-2.9368362277223206</v>
      </c>
      <c r="GI351" s="205">
        <f>IF($J351="",#N/A,SUM(GG$4:GG351,GE$4:GE351,GC$4:GC351))</f>
        <v>-2.9368362277223206</v>
      </c>
      <c r="GJ351" s="200" t="str">
        <f t="shared" si="629"/>
        <v/>
      </c>
      <c r="GK351" s="203">
        <f>IF($J351="",#N/A,SUM(GJ$4:GJ351))</f>
        <v>0</v>
      </c>
      <c r="GL351" s="204" t="str">
        <f t="shared" si="630"/>
        <v/>
      </c>
      <c r="GM351" s="204">
        <f>IF($J351="",#N/A,SUM(GL$4:GL351))</f>
        <v>-2.0621307233432784</v>
      </c>
      <c r="GN351" s="205" t="str">
        <f t="shared" si="631"/>
        <v/>
      </c>
      <c r="GO351" s="205">
        <f>IF($J351="",#N/A,SUM(GN$4:GN351))</f>
        <v>0</v>
      </c>
      <c r="GP351" s="205">
        <f>IF($J351="",#N/A,SUM(GN$4:GN351,GL$4:GL351,GJ$4:GJ351))</f>
        <v>-2.0621307233432784</v>
      </c>
      <c r="GS351" s="54">
        <f t="shared" si="650"/>
        <v>4.2453012234185669E-2</v>
      </c>
      <c r="GT351" s="54">
        <f>IF(GS351="",NA(),SUM($GS$4:GS351))</f>
        <v>12.991780666424841</v>
      </c>
      <c r="GU351" s="54" t="str">
        <f t="shared" si="632"/>
        <v/>
      </c>
      <c r="GV351" s="54" t="e">
        <f>IF(GU351="",NA(),SUM($GU$4:GU351))</f>
        <v>#N/A</v>
      </c>
      <c r="GW351" s="54">
        <f t="shared" si="633"/>
        <v>4.2453012234185669E-2</v>
      </c>
      <c r="GX351" s="54">
        <f>IF(GW351="",NA(),SUM($GW$4:GW351))</f>
        <v>12.458569465618758</v>
      </c>
      <c r="GY351" s="54" t="str">
        <f t="shared" si="634"/>
        <v/>
      </c>
      <c r="GZ351" s="54" t="e">
        <f>IF(GY351="",NA(),SUM($GY$4:GY351))</f>
        <v>#N/A</v>
      </c>
      <c r="HA351" s="54" t="str">
        <f t="shared" si="635"/>
        <v/>
      </c>
      <c r="HB351" s="54" t="e">
        <f>IF(HA351="",NA(),SUM($HA$4:HA351))</f>
        <v>#N/A</v>
      </c>
      <c r="HC351" s="54" t="str">
        <f t="shared" si="636"/>
        <v/>
      </c>
      <c r="HD351" s="54" t="e">
        <f>IF(HC351="",NA(),SUM($HC$4:HC351))</f>
        <v>#N/A</v>
      </c>
      <c r="HE351" s="54" t="str">
        <f t="shared" si="637"/>
        <v/>
      </c>
      <c r="HF351" s="54" t="e">
        <f>IF(HE351="",NA(),SUM($HE$4:HE351))</f>
        <v>#N/A</v>
      </c>
      <c r="HG351" s="54" t="str">
        <f t="shared" si="638"/>
        <v/>
      </c>
      <c r="HH351" s="54" t="e">
        <f>IF(HG351="",NA(),SUM($HG$4:HG351))</f>
        <v>#N/A</v>
      </c>
      <c r="HI351" s="172" t="str">
        <f t="shared" si="651"/>
        <v/>
      </c>
      <c r="HJ351" s="172">
        <f>IF($J351="",#N/A,SUM(HI$4:$HI351))</f>
        <v>-9.4940030772075517</v>
      </c>
      <c r="HK351" s="54" t="str">
        <f t="shared" si="639"/>
        <v/>
      </c>
      <c r="HL351" s="54">
        <f>IF($J351="",#N/A,SUM($HK$4:HK351))</f>
        <v>2.361954014244648</v>
      </c>
      <c r="HM351" s="54" t="str">
        <f t="shared" si="640"/>
        <v/>
      </c>
      <c r="HN351" s="54">
        <f>IF($J351="",#N/A,SUM($HM$4:HM351))</f>
        <v>0.41616915617605843</v>
      </c>
      <c r="HO351" s="54" t="str">
        <f t="shared" si="641"/>
        <v/>
      </c>
      <c r="HP351" s="54">
        <f>IF($J351="",#N/A,SUM($HO$4:HO351))</f>
        <v>-0.85312247534710861</v>
      </c>
      <c r="HQ351" s="54">
        <f t="shared" si="642"/>
        <v>-0.42067075759330363</v>
      </c>
      <c r="HR351" s="54">
        <f>IF($J351="",#N/A,SUM($HQ$4:HQ351))</f>
        <v>-11.745401831760597</v>
      </c>
      <c r="HS351" s="54" t="str">
        <f t="shared" si="643"/>
        <v/>
      </c>
      <c r="HT351" s="54">
        <f>IF($J351="",#N/A,SUM($HS$4:HS351))</f>
        <v>15.556531947339323</v>
      </c>
      <c r="HU351" s="65">
        <f t="shared" si="644"/>
        <v>-0.37821774535911795</v>
      </c>
      <c r="HV351" s="65">
        <f>IF($J351="",#N/A,SUM(HU$4:$HU351))</f>
        <v>10.694530996629803</v>
      </c>
    </row>
    <row r="352" spans="1:230" x14ac:dyDescent="0.25">
      <c r="A352" s="51" t="s">
        <v>1079</v>
      </c>
      <c r="B352" s="52" t="s">
        <v>4720</v>
      </c>
      <c r="C352" s="229">
        <f t="shared" si="545"/>
        <v>2</v>
      </c>
      <c r="D352" s="219" t="str">
        <f>_xlfn.XLOOKUP(A352,[1]SP500!$A$2:$A$502,[1]SP500!$D$2:$D$502,"N")</f>
        <v>Y</v>
      </c>
      <c r="E352" s="51" t="str">
        <f>IFERROR(_xlfn.XLOOKUP(A352,[1]SP500!$A$2:$A$655,[1]SP500!$B$2:$B$655),"")</f>
        <v>XLY</v>
      </c>
      <c r="F352" s="290">
        <v>45798</v>
      </c>
      <c r="G352" s="51" t="str">
        <f t="shared" si="546"/>
        <v>BMO</v>
      </c>
      <c r="H352" s="51" t="str">
        <f t="shared" si="547"/>
        <v>s</v>
      </c>
      <c r="I352" s="344">
        <v>231.25</v>
      </c>
      <c r="J352" s="124">
        <v>232.7</v>
      </c>
      <c r="K352" s="55">
        <f t="shared" si="548"/>
        <v>6.2702702702702208E-3</v>
      </c>
      <c r="L352" s="67">
        <f t="shared" si="549"/>
        <v>-8.6999999999998181</v>
      </c>
      <c r="M352" s="57">
        <f t="shared" si="550"/>
        <v>4.5599999999999454</v>
      </c>
      <c r="N352" s="102">
        <f t="shared" si="551"/>
        <v>-8.6999999999998181</v>
      </c>
      <c r="O352" s="57">
        <f>IF(N352="",#N/A,SUM($N$4:N352))</f>
        <v>719.69937556162529</v>
      </c>
      <c r="P352" s="65">
        <f t="shared" si="645"/>
        <v>-0.10450450450450231</v>
      </c>
      <c r="Q352" s="172">
        <f>IF($N352="",#N/A,SUM($P$4:P352))</f>
        <v>14.86384622584751</v>
      </c>
      <c r="R352" s="279">
        <f t="shared" si="552"/>
        <v>7.4325839322712266</v>
      </c>
      <c r="S352" s="51" t="str">
        <f t="shared" si="553"/>
        <v>Dwn</v>
      </c>
      <c r="T352" s="51" t="s">
        <v>4461</v>
      </c>
      <c r="U352" s="56">
        <f t="shared" si="554"/>
        <v>231.25</v>
      </c>
      <c r="V352" s="56" t="s">
        <v>4458</v>
      </c>
      <c r="W352" s="142">
        <v>6</v>
      </c>
      <c r="X352" s="145">
        <f t="shared" si="555"/>
        <v>1387.5</v>
      </c>
      <c r="Y352" s="140">
        <f t="shared" si="556"/>
        <v>6</v>
      </c>
      <c r="Z352" s="141">
        <v>231.94</v>
      </c>
      <c r="AA352" s="102">
        <f t="shared" si="557"/>
        <v>-4.1399999999998727</v>
      </c>
      <c r="AB352" s="102">
        <f t="shared" si="558"/>
        <v>23.279999999999973</v>
      </c>
      <c r="AC352" s="124">
        <v>227.37</v>
      </c>
      <c r="AD352" s="155">
        <f t="shared" si="559"/>
        <v>23.279999999999973</v>
      </c>
      <c r="AE352" s="545">
        <f t="shared" si="560"/>
        <v>0.27963963963963934</v>
      </c>
      <c r="AF352" s="57">
        <f>IF($AC352="",#N/A,SUM(AD$4:AD352))</f>
        <v>634.69239714744936</v>
      </c>
      <c r="AG352" s="102">
        <f t="shared" si="561"/>
        <v>31.979999999999791</v>
      </c>
      <c r="AH352" s="56" t="s">
        <v>2507</v>
      </c>
      <c r="AI352" s="65">
        <f t="shared" si="562"/>
        <v>-4.9729729729728202E-2</v>
      </c>
      <c r="AJ352" s="108">
        <f>IF(AI352="",#N/A,SUM($AI$4:AI352))</f>
        <v>7.4312622935762835</v>
      </c>
      <c r="AK352" s="57">
        <f t="shared" si="563"/>
        <v>-4.1399999999998727</v>
      </c>
      <c r="AL352" s="66">
        <f>IF(AI352="",#N/A,IF(AH352="Skip",SUM($AK$4:AK352),SUM($AK$4:AK352)))</f>
        <v>218.68736927848272</v>
      </c>
      <c r="AM352" s="65">
        <f t="shared" si="646"/>
        <v>0.27963963963963934</v>
      </c>
      <c r="AN352" s="209"/>
      <c r="AO352" s="65" t="str">
        <f t="shared" si="564"/>
        <v/>
      </c>
      <c r="AP352" s="65">
        <f>IF($AC352="",#N/A,SUM(AO$4:AO352))</f>
        <v>10.906014664228442</v>
      </c>
      <c r="AQ352" s="65" t="str">
        <f t="shared" si="565"/>
        <v/>
      </c>
      <c r="AR352" s="65">
        <f>IF($AC352="",#N/A,SUM(AQ$4:AQ352))</f>
        <v>-4.4425718153430083</v>
      </c>
      <c r="AS352" s="65">
        <f t="shared" si="566"/>
        <v>0.27963963963963934</v>
      </c>
      <c r="AT352" s="65">
        <f>IF($AC352="",#N/A,SUM(AS$4:AS352))</f>
        <v>4.5107277873839973</v>
      </c>
      <c r="AU352" s="57" t="str">
        <f t="shared" si="647"/>
        <v/>
      </c>
      <c r="AV352" s="57">
        <f>IF($AC352="",#N/A,SUM(AU$4:AU352))</f>
        <v>602.12627194987999</v>
      </c>
      <c r="AW352" s="57" t="str">
        <f t="shared" si="648"/>
        <v/>
      </c>
      <c r="AX352" s="57">
        <f>IF($AC352="",#N/A,SUM(AW$4:AW352))</f>
        <v>-295.97106797961055</v>
      </c>
      <c r="AY352" s="57">
        <f t="shared" si="649"/>
        <v>23.279999999999973</v>
      </c>
      <c r="AZ352" s="57">
        <f>IF($AC352="",#N/A,SUM(AY$4:AY352))</f>
        <v>328.5371931771798</v>
      </c>
      <c r="BA352" s="57">
        <f>IF(AD352="",#N/A,SUM($AD$4:AD352))</f>
        <v>634.69239714744936</v>
      </c>
      <c r="BC352" s="51" t="str">
        <f t="shared" si="567"/>
        <v/>
      </c>
      <c r="BD352" s="51">
        <f t="shared" si="568"/>
        <v>1</v>
      </c>
      <c r="BE352" s="51" t="str">
        <f t="shared" si="569"/>
        <v/>
      </c>
      <c r="BF352" s="51" t="str">
        <f t="shared" si="570"/>
        <v>Short</v>
      </c>
      <c r="BG352" s="51" t="str">
        <f t="shared" si="571"/>
        <v/>
      </c>
      <c r="BH352" s="51" t="str">
        <f t="shared" si="572"/>
        <v/>
      </c>
      <c r="BI352" s="51" t="str">
        <f t="shared" si="573"/>
        <v/>
      </c>
      <c r="BK352" s="65">
        <f t="shared" si="544"/>
        <v>0.11508262521548755</v>
      </c>
      <c r="BL352" s="65">
        <f t="shared" si="652"/>
        <v>-3.3466131946276928E-2</v>
      </c>
      <c r="BM352" s="65">
        <f>IFERROR(Q352/COUNTA($J$4:J352),#N/A)</f>
        <v>4.2589817266038714E-2</v>
      </c>
      <c r="BO352" s="489" t="e">
        <f>IF(J352="",#N/A,IF(S352="SW",(COUNTIFS(K$4:$K352,"&gt;0",S$4:$S352,"SW")/COUNTIF(S$4:$S352,"SW")),#N/A))</f>
        <v>#N/A</v>
      </c>
      <c r="BP352" s="489">
        <f>IF($J352="",#N/A,IF($S352="DWN",(COUNTIFS($K$4:$K352,"&lt;0",$S$4:$S352,"DWN")/COUNTIF($S$4:$S352,"DWN")),#N/A))</f>
        <v>0.55844155844155841</v>
      </c>
      <c r="BQ352" s="489" t="e">
        <f>IF($J352="",#N/A,IF($S352="UP",(COUNTIFS($K$4:$K352,"&gt;0",$S$4:$S352,"UP")/COUNTIF($S$4:$S352,"UP")),#N/A))</f>
        <v>#N/A</v>
      </c>
      <c r="BR352" s="489">
        <f>IF(J352="",#N/A,COUNTIF($K$4:K352,"&gt;0")/COUNT($J$4:J352))</f>
        <v>0.47851002865329512</v>
      </c>
      <c r="BS352" s="65" t="str">
        <f t="shared" si="574"/>
        <v/>
      </c>
      <c r="BT352" s="65" t="str">
        <f t="shared" si="575"/>
        <v/>
      </c>
      <c r="BU352" s="65" t="str">
        <f t="shared" si="576"/>
        <v/>
      </c>
      <c r="BV352" s="65">
        <f t="shared" si="577"/>
        <v>-0.10450450450450231</v>
      </c>
      <c r="BW352" s="128" t="str">
        <f t="shared" si="578"/>
        <v/>
      </c>
      <c r="BX352" s="128">
        <f>IF($J352="",#N/A,SUM($BW$4:BW352))</f>
        <v>-260.7281703479282</v>
      </c>
      <c r="BY352" s="131">
        <f t="shared" si="579"/>
        <v>-8.6999999999998181</v>
      </c>
      <c r="BZ352" s="131">
        <f>IF($J352="",#N/A,SUM($BY$4:BY352))</f>
        <v>633.96661346139479</v>
      </c>
      <c r="CA352" s="133" t="str">
        <f t="shared" si="580"/>
        <v/>
      </c>
      <c r="CB352" s="133">
        <f>IF($J352="",#N/A,SUM($CA$4:CA352))</f>
        <v>346.46093244815859</v>
      </c>
      <c r="CC352" s="194" t="str">
        <f t="shared" si="581"/>
        <v/>
      </c>
      <c r="CD352" s="194">
        <f>IF($J352="",#N/A,SUM($CC$4:CC352))</f>
        <v>-4.0056184961719543</v>
      </c>
      <c r="CE352" s="195">
        <f t="shared" si="582"/>
        <v>-0.10450450450450231</v>
      </c>
      <c r="CF352" s="195">
        <f>IF($J352="",#N/A,SUM($CE$4:CE352))</f>
        <v>11.258632706202768</v>
      </c>
      <c r="CG352" s="196" t="str">
        <f t="shared" si="583"/>
        <v/>
      </c>
      <c r="CH352" s="196">
        <f>IF($J352="",#N/A,SUM($CG$4:CG352))</f>
        <v>7.6108320158167029</v>
      </c>
      <c r="CI352" s="200" t="str">
        <f t="shared" si="584"/>
        <v/>
      </c>
      <c r="CJ352" s="203">
        <f>IF($J352="",#N/A,SUM(CI$4:CI352))</f>
        <v>0</v>
      </c>
      <c r="CK352" s="204" t="str">
        <f t="shared" si="585"/>
        <v/>
      </c>
      <c r="CL352" s="204">
        <f>IF($J352="",#N/A,SUM(CK$4:CK352))</f>
        <v>1.2912501745213723</v>
      </c>
      <c r="CM352" s="205" t="str">
        <f t="shared" si="586"/>
        <v/>
      </c>
      <c r="CN352" s="205">
        <f>IF($J352="",#N/A,SUM(CM$4:CM352))</f>
        <v>1.357235719871134</v>
      </c>
      <c r="CO352" s="205">
        <f>IF($J352="",#N/A,SUM(CM$4:CM352,CK$4:CK352,CI$4:CI352))</f>
        <v>2.6484858943925063</v>
      </c>
      <c r="CP352" s="200" t="str">
        <f t="shared" si="587"/>
        <v/>
      </c>
      <c r="CQ352" s="203">
        <f>IF($J352="",#N/A,SUM(CP$4:CP352))</f>
        <v>-3.0687583652268549</v>
      </c>
      <c r="CR352" s="204" t="str">
        <f t="shared" si="588"/>
        <v/>
      </c>
      <c r="CS352" s="204">
        <f>IF($J352="",#N/A,SUM(CR$4:CR352))</f>
        <v>2.3600225017004668</v>
      </c>
      <c r="CT352" s="205" t="str">
        <f t="shared" si="589"/>
        <v/>
      </c>
      <c r="CU352" s="205">
        <f>IF($J352="",#N/A,SUM(CT$4:CT352))</f>
        <v>-2.8580371411053784</v>
      </c>
      <c r="CV352" s="205">
        <f>IF($J352="",#N/A,SUM(CT$4:CT352,CR$4:CR352,CP$4:CP352))</f>
        <v>-3.5667730046317665</v>
      </c>
      <c r="CW352" s="200" t="str">
        <f t="shared" si="590"/>
        <v/>
      </c>
      <c r="CX352" s="203">
        <f>IF($J352="",#N/A,SUM(CW$4:CW352))</f>
        <v>-0.29399505935581682</v>
      </c>
      <c r="CY352" s="204">
        <f t="shared" si="591"/>
        <v>-0.10450450450450231</v>
      </c>
      <c r="CZ352" s="204">
        <f>IF($J352="",#N/A,SUM(CY$4:CY352))</f>
        <v>-0.30570416115784371</v>
      </c>
      <c r="DA352" s="205" t="str">
        <f t="shared" si="592"/>
        <v/>
      </c>
      <c r="DB352" s="205">
        <f>IF($J352="",#N/A,SUM(DA$4:DA352))</f>
        <v>-2.4685516361569055</v>
      </c>
      <c r="DC352" s="205">
        <f>IF($J352="",#N/A,SUM(DA$4:DA352,CY$4:CY352,CW$4:CW352))</f>
        <v>-3.0682508566705651</v>
      </c>
      <c r="DD352" s="200" t="str">
        <f t="shared" si="593"/>
        <v/>
      </c>
      <c r="DE352" s="203">
        <f>IF($J352="",#N/A,SUM(DD$4:DD352))</f>
        <v>1.2501454750716789</v>
      </c>
      <c r="DF352" s="204" t="str">
        <f t="shared" si="594"/>
        <v/>
      </c>
      <c r="DG352" s="204">
        <f>IF($J352="",#N/A,SUM(DF$4:DF352))</f>
        <v>3.0565650892577492</v>
      </c>
      <c r="DH352" s="205" t="str">
        <f t="shared" si="595"/>
        <v/>
      </c>
      <c r="DI352" s="205">
        <f>IF($J352="",#N/A,SUM(DH$4:DH352))</f>
        <v>-3.216671910770577</v>
      </c>
      <c r="DJ352" s="205">
        <f>IF($J352="",#N/A,SUM(DH$4:DH352,DF$4:DF352,DD$4:DD352))</f>
        <v>1.0900386535588513</v>
      </c>
      <c r="DK352" s="200" t="str">
        <f t="shared" si="596"/>
        <v/>
      </c>
      <c r="DL352" s="203">
        <f>IF($J352="",#N/A,SUM(DK$4:DK352))</f>
        <v>-0.84049791589649614</v>
      </c>
      <c r="DM352" s="204" t="str">
        <f t="shared" si="597"/>
        <v/>
      </c>
      <c r="DN352" s="204">
        <f>IF($J352="",#N/A,SUM(DM$4:DM352))</f>
        <v>1.8657648196498773</v>
      </c>
      <c r="DO352" s="205" t="str">
        <f t="shared" si="598"/>
        <v/>
      </c>
      <c r="DP352" s="205">
        <f>IF($J352="",#N/A,SUM(DO$4:DO352))</f>
        <v>3.4887162328793941</v>
      </c>
      <c r="DQ352" s="205">
        <f>IF($J352="",#N/A,SUM(DO$4:DO352,DM$4:DM352,DK$4:DK352))</f>
        <v>4.5139831366327758</v>
      </c>
      <c r="DR352" s="200" t="str">
        <f t="shared" si="599"/>
        <v/>
      </c>
      <c r="DS352" s="203">
        <f>IF($J352="",#N/A,SUM(DR$4:DR352))</f>
        <v>-0.55950946427675097</v>
      </c>
      <c r="DT352" s="204" t="str">
        <f t="shared" si="600"/>
        <v/>
      </c>
      <c r="DU352" s="204">
        <f>IF($J352="",#N/A,SUM(DT$4:DT352))</f>
        <v>-0.20750635820596686</v>
      </c>
      <c r="DV352" s="205" t="str">
        <f t="shared" si="601"/>
        <v/>
      </c>
      <c r="DW352" s="205">
        <f>IF($J352="",#N/A,SUM(DV$4:DV352))</f>
        <v>-2.3377035686214001</v>
      </c>
      <c r="DX352" s="205">
        <f>IF($J352="",#N/A,SUM(DV$4:DV352,DT$4:DT352,DR$4:DR352))</f>
        <v>-3.1047193911041169</v>
      </c>
      <c r="DY352" s="200" t="str">
        <f t="shared" si="602"/>
        <v/>
      </c>
      <c r="DZ352" s="203">
        <f>IF($J352="",#N/A,SUM(DY$4:DY352))</f>
        <v>-1.4146842415208627</v>
      </c>
      <c r="EA352" s="204" t="str">
        <f t="shared" si="603"/>
        <v/>
      </c>
      <c r="EB352" s="204">
        <f>IF($J352="",#N/A,SUM(EA$4:EA352))</f>
        <v>4.3184391548878134</v>
      </c>
      <c r="EC352" s="205" t="str">
        <f t="shared" si="604"/>
        <v/>
      </c>
      <c r="ED352" s="205">
        <f>IF($J352="",#N/A,SUM(EC$4:EC352))</f>
        <v>9.2956923798665674</v>
      </c>
      <c r="EE352" s="205">
        <f>IF($J352="",#N/A,SUM(EC$4:EC352,EA$4:EA352,DY$4:DY352))</f>
        <v>12.199447293233519</v>
      </c>
      <c r="EF352" s="200" t="str">
        <f t="shared" si="605"/>
        <v/>
      </c>
      <c r="EG352" s="203">
        <f>IF($J352="",#N/A,SUM(EF$4:EF352))</f>
        <v>0.65848341369884777</v>
      </c>
      <c r="EH352" s="204" t="str">
        <f t="shared" si="606"/>
        <v/>
      </c>
      <c r="EI352" s="204">
        <f>IF($J352="",#N/A,SUM(EH$4:EH352))</f>
        <v>-3.5125331561187787</v>
      </c>
      <c r="EJ352" s="205" t="str">
        <f t="shared" si="607"/>
        <v/>
      </c>
      <c r="EK352" s="205">
        <f>IF($J352="",#N/A,SUM(EJ$4:EJ352))</f>
        <v>8.4840381642896556</v>
      </c>
      <c r="EL352" s="205">
        <f>IF($J352="",#N/A,SUM(EJ$4:EJ352,EH$4:EH352,EF$4:EF352))</f>
        <v>5.6299884218697258</v>
      </c>
      <c r="EM352" s="200" t="str">
        <f t="shared" si="608"/>
        <v/>
      </c>
      <c r="EN352" s="203">
        <f>IF($J352="",#N/A,SUM(EM$4:EM352))</f>
        <v>0</v>
      </c>
      <c r="EO352" s="204" t="str">
        <f t="shared" si="609"/>
        <v/>
      </c>
      <c r="EP352" s="204">
        <f>IF($J352="",#N/A,SUM(EO$4:EO352))</f>
        <v>2.4788862078089964</v>
      </c>
      <c r="EQ352" s="205" t="str">
        <f t="shared" si="610"/>
        <v/>
      </c>
      <c r="ER352" s="205">
        <f>IF($J352="",#N/A,SUM(EQ$4:EQ352))</f>
        <v>1.7856049065476487</v>
      </c>
      <c r="ES352" s="205">
        <f>IF($J352="",#N/A,SUM(EQ$4:EQ352,EO$4:EO352,EM$4:EM352))</f>
        <v>4.2644911143566446</v>
      </c>
      <c r="ET352" s="200" t="str">
        <f t="shared" si="611"/>
        <v/>
      </c>
      <c r="EU352" s="203">
        <f>IF($J352="",#N/A,SUM(ET$4:ET352))</f>
        <v>0</v>
      </c>
      <c r="EV352" s="204" t="str">
        <f t="shared" si="612"/>
        <v/>
      </c>
      <c r="EW352" s="204">
        <f>IF($J352="",#N/A,SUM(EV$4:EV352))</f>
        <v>7.9116394275462909E-2</v>
      </c>
      <c r="EX352" s="205" t="str">
        <f t="shared" si="613"/>
        <v/>
      </c>
      <c r="EY352" s="205">
        <f>IF($J352="",#N/A,SUM(EX$4:EX352))</f>
        <v>-0.33163335417804801</v>
      </c>
      <c r="EZ352" s="205">
        <f>IF($J352="",#N/A,SUM(EX$4:EX352,EV$4:EV352,ET$4:ET352))</f>
        <v>-0.25251695990258494</v>
      </c>
      <c r="FA352" s="200" t="str">
        <f t="shared" si="614"/>
        <v/>
      </c>
      <c r="FB352" s="203">
        <f>IF($J352="",#N/A,SUM(FA$4:FA352))</f>
        <v>-0.27145310509113252</v>
      </c>
      <c r="FC352" s="204" t="str">
        <f t="shared" si="615"/>
        <v/>
      </c>
      <c r="FD352" s="204">
        <f>IF($J352="",#N/A,SUM(FC$4:FC352))</f>
        <v>0.89084290967454072</v>
      </c>
      <c r="FE352" s="205" t="str">
        <f t="shared" si="616"/>
        <v/>
      </c>
      <c r="FF352" s="205">
        <f>IF($J352="",#N/A,SUM(FE$4:FE352))</f>
        <v>-0.28811149078748233</v>
      </c>
      <c r="FG352" s="205">
        <f>IF($J352="",#N/A,SUM(FE$4:FE352,FC$4:FC352,FA$4:FA352))</f>
        <v>0.3312783137959262</v>
      </c>
      <c r="FH352" s="200" t="str">
        <f t="shared" si="617"/>
        <v/>
      </c>
      <c r="FI352" s="203">
        <f>IF($J352="",#N/A,SUM(FH$4:FH352))</f>
        <v>0</v>
      </c>
      <c r="FJ352" s="204" t="str">
        <f t="shared" si="618"/>
        <v/>
      </c>
      <c r="FK352" s="204">
        <f>IF($J352="",#N/A,SUM(FJ$4:FJ352))</f>
        <v>0</v>
      </c>
      <c r="FL352" s="205" t="str">
        <f t="shared" si="619"/>
        <v/>
      </c>
      <c r="FM352" s="205">
        <f>IF($J352="",#N/A,SUM(FL$4:FL352))</f>
        <v>0</v>
      </c>
      <c r="FN352" s="205">
        <f>IF($J352="",#N/A,SUM(FL$4:FL352,FJ$4:FJ352,FH$4:FH352))</f>
        <v>0</v>
      </c>
      <c r="FO352" s="200" t="str">
        <f t="shared" si="620"/>
        <v/>
      </c>
      <c r="FP352" s="203">
        <f>IF($J352="",#N/A,SUM(FO$4:FO352))</f>
        <v>0</v>
      </c>
      <c r="FQ352" s="204" t="str">
        <f t="shared" si="621"/>
        <v/>
      </c>
      <c r="FR352" s="204">
        <f>IF($J352="",#N/A,SUM(FQ$4:FQ352))</f>
        <v>0</v>
      </c>
      <c r="FS352" s="205" t="str">
        <f t="shared" si="622"/>
        <v/>
      </c>
      <c r="FT352" s="205">
        <f>IF($J352="",#N/A,SUM(FS$4:FS352))</f>
        <v>0</v>
      </c>
      <c r="FU352" s="205">
        <f>IF($J352="",#N/A,SUM(FS$4:FS352,FQ$4:FQ352,FO$4:FO352))</f>
        <v>0</v>
      </c>
      <c r="FV352" s="200" t="str">
        <f t="shared" si="623"/>
        <v/>
      </c>
      <c r="FW352" s="203">
        <f>IF($J352="",#N/A,SUM(FV$4:FV352))</f>
        <v>6.6834991831277585E-2</v>
      </c>
      <c r="FX352" s="204" t="str">
        <f t="shared" si="624"/>
        <v/>
      </c>
      <c r="FY352" s="204">
        <f>IF($J352="",#N/A,SUM(FX$4:FX352))</f>
        <v>-0.16102012791805576</v>
      </c>
      <c r="FZ352" s="205" t="str">
        <f t="shared" si="625"/>
        <v/>
      </c>
      <c r="GA352" s="205">
        <f>IF($J352="",#N/A,SUM(FZ$4:FZ352))</f>
        <v>-0.69624339162892301</v>
      </c>
      <c r="GB352" s="205">
        <f>IF($J352="",#N/A,SUM(FZ$4:FZ352,FX$4:FX352,FV$4:FV352))</f>
        <v>-0.79042852771570116</v>
      </c>
      <c r="GC352" s="200" t="str">
        <f t="shared" si="626"/>
        <v/>
      </c>
      <c r="GD352" s="203">
        <f>IF($J352="",#N/A,SUM(GC$4:GC352))</f>
        <v>0</v>
      </c>
      <c r="GE352" s="204" t="str">
        <f t="shared" si="627"/>
        <v/>
      </c>
      <c r="GF352" s="204">
        <f>IF($J352="",#N/A,SUM(GE$4:GE352))</f>
        <v>0</v>
      </c>
      <c r="GG352" s="205" t="str">
        <f t="shared" si="628"/>
        <v/>
      </c>
      <c r="GH352" s="205">
        <f>IF($J352="",#N/A,SUM(GG$4:GG352))</f>
        <v>-2.9368362277223206</v>
      </c>
      <c r="GI352" s="205">
        <f>IF($J352="",#N/A,SUM(GG$4:GG352,GE$4:GE352,GC$4:GC352))</f>
        <v>-2.9368362277223206</v>
      </c>
      <c r="GJ352" s="200" t="str">
        <f t="shared" si="629"/>
        <v/>
      </c>
      <c r="GK352" s="203">
        <f>IF($J352="",#N/A,SUM(GJ$4:GJ352))</f>
        <v>0</v>
      </c>
      <c r="GL352" s="204" t="str">
        <f t="shared" si="630"/>
        <v/>
      </c>
      <c r="GM352" s="204">
        <f>IF($J352="",#N/A,SUM(GL$4:GL352))</f>
        <v>-2.0621307233432784</v>
      </c>
      <c r="GN352" s="205" t="str">
        <f t="shared" si="631"/>
        <v/>
      </c>
      <c r="GO352" s="205">
        <f>IF($J352="",#N/A,SUM(GN$4:GN352))</f>
        <v>0</v>
      </c>
      <c r="GP352" s="205">
        <f>IF($J352="",#N/A,SUM(GN$4:GN352,GL$4:GL352,GJ$4:GJ352))</f>
        <v>-2.0621307233432784</v>
      </c>
      <c r="GS352" s="54">
        <f t="shared" si="650"/>
        <v>-0.10450450450450231</v>
      </c>
      <c r="GT352" s="54">
        <f>IF(GS352="",NA(),SUM($GS$4:GS352))</f>
        <v>12.887276161920338</v>
      </c>
      <c r="GU352" s="54" t="str">
        <f t="shared" si="632"/>
        <v/>
      </c>
      <c r="GV352" s="54" t="e">
        <f>IF(GU352="",NA(),SUM($GU$4:GU352))</f>
        <v>#N/A</v>
      </c>
      <c r="GW352" s="54" t="str">
        <f t="shared" si="633"/>
        <v/>
      </c>
      <c r="GX352" s="54" t="e">
        <f>IF(GW352="",NA(),SUM($GW$4:GW352))</f>
        <v>#N/A</v>
      </c>
      <c r="GY352" s="54">
        <f t="shared" si="634"/>
        <v>-0.10450450450450231</v>
      </c>
      <c r="GZ352" s="54">
        <f>IF(GY352="",NA(),SUM($GY$4:GY352))</f>
        <v>5.1159289738244507</v>
      </c>
      <c r="HA352" s="54" t="str">
        <f t="shared" si="635"/>
        <v/>
      </c>
      <c r="HB352" s="54" t="e">
        <f>IF(HA352="",NA(),SUM($HA$4:HA352))</f>
        <v>#N/A</v>
      </c>
      <c r="HC352" s="54" t="str">
        <f t="shared" si="636"/>
        <v/>
      </c>
      <c r="HD352" s="54" t="e">
        <f>IF(HC352="",NA(),SUM($HC$4:HC352))</f>
        <v>#N/A</v>
      </c>
      <c r="HE352" s="54" t="str">
        <f t="shared" si="637"/>
        <v/>
      </c>
      <c r="HF352" s="54" t="e">
        <f>IF(HE352="",NA(),SUM($HE$4:HE352))</f>
        <v>#N/A</v>
      </c>
      <c r="HG352" s="54" t="str">
        <f t="shared" si="638"/>
        <v/>
      </c>
      <c r="HH352" s="54" t="e">
        <f>IF(HG352="",NA(),SUM($HG$4:HG352))</f>
        <v>#N/A</v>
      </c>
      <c r="HI352" s="172" t="str">
        <f t="shared" si="651"/>
        <v/>
      </c>
      <c r="HJ352" s="172">
        <f>IF($J352="",#N/A,SUM(HI$4:$HI352))</f>
        <v>-9.4940030772075517</v>
      </c>
      <c r="HK352" s="54">
        <f t="shared" si="639"/>
        <v>0.38414414414414166</v>
      </c>
      <c r="HL352" s="54">
        <f>IF($J352="",#N/A,SUM($HK$4:HK352))</f>
        <v>2.7460981583887896</v>
      </c>
      <c r="HM352" s="54" t="str">
        <f t="shared" si="640"/>
        <v/>
      </c>
      <c r="HN352" s="54">
        <f>IF($J352="",#N/A,SUM($HM$4:HM352))</f>
        <v>0.41616915617605843</v>
      </c>
      <c r="HO352" s="54" t="str">
        <f t="shared" si="641"/>
        <v/>
      </c>
      <c r="HP352" s="54">
        <f>IF($J352="",#N/A,SUM($HO$4:HO352))</f>
        <v>-0.85312247534710861</v>
      </c>
      <c r="HQ352" s="54" t="str">
        <f t="shared" si="642"/>
        <v/>
      </c>
      <c r="HR352" s="54">
        <f>IF($J352="",#N/A,SUM($HQ$4:HQ352))</f>
        <v>-11.745401831760597</v>
      </c>
      <c r="HS352" s="54" t="str">
        <f t="shared" si="643"/>
        <v/>
      </c>
      <c r="HT352" s="54">
        <f>IF($J352="",#N/A,SUM($HS$4:HS352))</f>
        <v>15.556531947339323</v>
      </c>
      <c r="HU352" s="65">
        <f t="shared" si="644"/>
        <v>0.27963963963963934</v>
      </c>
      <c r="HV352" s="65">
        <f>IF($J352="",#N/A,SUM(HU$4:$HU352))</f>
        <v>10.974170636269442</v>
      </c>
    </row>
    <row r="353" spans="1:230" x14ac:dyDescent="0.25">
      <c r="A353" s="427" t="s">
        <v>1100</v>
      </c>
      <c r="B353" s="428" t="s">
        <v>4720</v>
      </c>
      <c r="C353" s="429">
        <f t="shared" si="545"/>
        <v>1</v>
      </c>
      <c r="D353" s="430" t="str">
        <f>_xlfn.XLOOKUP(A353,[1]SP500!$A$2:$A$502,[1]SP500!$D$2:$D$502,"N")</f>
        <v>Y</v>
      </c>
      <c r="E353" s="427" t="str">
        <f>IFERROR(_xlfn.XLOOKUP(A353,[1]SP500!$A$2:$A$655,[1]SP500!$B$2:$B$655),"")</f>
        <v>XLY</v>
      </c>
      <c r="F353" s="431">
        <v>45798</v>
      </c>
      <c r="G353" s="427" t="str">
        <f t="shared" si="546"/>
        <v>BMO</v>
      </c>
      <c r="H353" s="427" t="str">
        <f t="shared" si="547"/>
        <v>s</v>
      </c>
      <c r="I353" s="478">
        <v>134.93</v>
      </c>
      <c r="J353" s="432">
        <v>131.15</v>
      </c>
      <c r="K353" s="433">
        <f t="shared" si="548"/>
        <v>-2.8014526050544733E-2</v>
      </c>
      <c r="L353" s="434">
        <f t="shared" si="549"/>
        <v>-37.800000000000182</v>
      </c>
      <c r="M353" s="435">
        <f t="shared" si="550"/>
        <v>-0.20000000000004547</v>
      </c>
      <c r="N353" s="437">
        <f t="shared" si="551"/>
        <v>-37.800000000000182</v>
      </c>
      <c r="O353" s="435">
        <f>IF(N353="",#N/A,SUM($N$4:N353))</f>
        <v>681.89937556162511</v>
      </c>
      <c r="P353" s="436">
        <f t="shared" si="645"/>
        <v>-0.46690876750908095</v>
      </c>
      <c r="Q353" s="440">
        <f>IF($N353="",#N/A,SUM($P$4:P353))</f>
        <v>14.39693745833843</v>
      </c>
      <c r="R353" s="441">
        <f t="shared" si="552"/>
        <v>7.4350543490305352</v>
      </c>
      <c r="S353" s="427" t="str">
        <f t="shared" si="553"/>
        <v>Up</v>
      </c>
      <c r="T353" s="427" t="s">
        <v>4461</v>
      </c>
      <c r="U353" s="442">
        <f t="shared" si="554"/>
        <v>134.93</v>
      </c>
      <c r="V353" s="442" t="s">
        <v>4460</v>
      </c>
      <c r="W353" s="444">
        <v>10</v>
      </c>
      <c r="X353" s="443">
        <f t="shared" si="555"/>
        <v>1349.3000000000002</v>
      </c>
      <c r="Y353" s="444">
        <f t="shared" si="556"/>
        <v>10</v>
      </c>
      <c r="Z353" s="445">
        <v>131.13</v>
      </c>
      <c r="AA353" s="437">
        <f t="shared" si="557"/>
        <v>-38.000000000000227</v>
      </c>
      <c r="AB353" s="437">
        <f t="shared" si="558"/>
        <v>-39.000000000000227</v>
      </c>
      <c r="AC353" s="432">
        <v>131.03</v>
      </c>
      <c r="AD353" s="438">
        <f t="shared" si="559"/>
        <v>-39.000000000000227</v>
      </c>
      <c r="AE353" s="547">
        <f t="shared" si="560"/>
        <v>-0.48173126806492528</v>
      </c>
      <c r="AF353" s="435">
        <f>IF($AC353="",#N/A,SUM(AD$4:AD353))</f>
        <v>595.69239714744913</v>
      </c>
      <c r="AG353" s="437">
        <f t="shared" si="561"/>
        <v>-1.2000000000000455</v>
      </c>
      <c r="AH353" s="442" t="s">
        <v>2507</v>
      </c>
      <c r="AI353" s="436">
        <f t="shared" si="562"/>
        <v>-0.46937918426838882</v>
      </c>
      <c r="AJ353" s="446">
        <f>IF(AI353="",#N/A,SUM($AI$4:AI353))</f>
        <v>6.9618831093078946</v>
      </c>
      <c r="AK353" s="435">
        <f t="shared" si="563"/>
        <v>-38.000000000000227</v>
      </c>
      <c r="AL353" s="447">
        <f>IF(AI353="",#N/A,IF(AH353="Skip",SUM($AK$4:AK353),SUM($AK$4:AK353)))</f>
        <v>180.68736927848249</v>
      </c>
      <c r="AM353" s="65">
        <f t="shared" si="646"/>
        <v>-0.48173126806492528</v>
      </c>
      <c r="AN353" s="209"/>
      <c r="AO353" s="436" t="str">
        <f t="shared" si="564"/>
        <v/>
      </c>
      <c r="AP353" s="436">
        <f>IF($AC353="",#N/A,SUM(AO$4:AO353))</f>
        <v>10.906014664228442</v>
      </c>
      <c r="AQ353" s="436">
        <f t="shared" si="565"/>
        <v>-0.48173126806492528</v>
      </c>
      <c r="AR353" s="436">
        <f>IF($AC353="",#N/A,SUM(AQ$4:AQ353))</f>
        <v>-4.9243030834079331</v>
      </c>
      <c r="AS353" s="436" t="str">
        <f t="shared" si="566"/>
        <v/>
      </c>
      <c r="AT353" s="436">
        <f>IF($AC353="",#N/A,SUM(AS$4:AS353))</f>
        <v>4.5107277873839973</v>
      </c>
      <c r="AU353" s="435" t="str">
        <f t="shared" si="647"/>
        <v/>
      </c>
      <c r="AV353" s="435">
        <f>IF($AC353="",#N/A,SUM(AU$4:AU353))</f>
        <v>602.12627194987999</v>
      </c>
      <c r="AW353" s="435">
        <f t="shared" si="648"/>
        <v>-39.000000000000227</v>
      </c>
      <c r="AX353" s="435">
        <f>IF($AC353="",#N/A,SUM(AW$4:AW353))</f>
        <v>-334.97106797961078</v>
      </c>
      <c r="AY353" s="435" t="str">
        <f t="shared" si="649"/>
        <v/>
      </c>
      <c r="AZ353" s="435">
        <f>IF($AC353="",#N/A,SUM(AY$4:AY353))</f>
        <v>328.5371931771798</v>
      </c>
      <c r="BA353" s="435">
        <f>IF(AD353="",#N/A,SUM($AD$4:AD353))</f>
        <v>595.69239714744913</v>
      </c>
      <c r="BC353" s="427" t="str">
        <f t="shared" si="567"/>
        <v/>
      </c>
      <c r="BD353" s="427" t="str">
        <f t="shared" si="568"/>
        <v/>
      </c>
      <c r="BE353" s="427" t="str">
        <f t="shared" si="569"/>
        <v/>
      </c>
      <c r="BF353" s="427" t="str">
        <f t="shared" si="570"/>
        <v>Long</v>
      </c>
      <c r="BG353" s="427" t="str">
        <f t="shared" si="571"/>
        <v/>
      </c>
      <c r="BH353" s="427">
        <f t="shared" si="572"/>
        <v>1</v>
      </c>
      <c r="BI353" s="427" t="str">
        <f t="shared" si="573"/>
        <v/>
      </c>
      <c r="BK353" s="65">
        <f t="shared" si="544"/>
        <v>0.10506009526433725</v>
      </c>
      <c r="BL353" s="65">
        <f t="shared" si="652"/>
        <v>-8.3677870774493998E-2</v>
      </c>
      <c r="BM353" s="65">
        <f>IFERROR(Q353/COUNTA($J$4:J353),#N/A)</f>
        <v>4.1134107023824085E-2</v>
      </c>
      <c r="BO353" s="489" t="e">
        <f>IF(J353="",#N/A,IF(S353="SW",(COUNTIFS(K$4:$K353,"&gt;0",S$4:$S353,"SW")/COUNTIF(S$4:$S353,"SW")),#N/A))</f>
        <v>#N/A</v>
      </c>
      <c r="BP353" s="489" t="e">
        <f>IF($J353="",#N/A,IF($S353="DWN",(COUNTIFS($K$4:$K353,"&lt;0",$S$4:$S353,"DWN")/COUNTIF($S$4:$S353,"DWN")),#N/A))</f>
        <v>#N/A</v>
      </c>
      <c r="BQ353" s="489">
        <f>IF($J353="",#N/A,IF($S353="UP",(COUNTIFS($K$4:$K353,"&gt;0",$S$4:$S353,"UP")/COUNTIF($S$4:$S353,"UP")),#N/A))</f>
        <v>0.45161290322580644</v>
      </c>
      <c r="BR353" s="489">
        <f>IF(J353="",#N/A,COUNTIF($K$4:K353,"&gt;0")/COUNT($J$4:J353))</f>
        <v>0.47714285714285715</v>
      </c>
      <c r="BS353" s="65" t="str">
        <f t="shared" si="574"/>
        <v/>
      </c>
      <c r="BT353" s="65">
        <f t="shared" si="575"/>
        <v>-0.46690876750908095</v>
      </c>
      <c r="BU353" s="65" t="str">
        <f t="shared" si="576"/>
        <v/>
      </c>
      <c r="BV353" s="65" t="str">
        <f t="shared" si="577"/>
        <v/>
      </c>
      <c r="BW353" s="128">
        <f t="shared" si="578"/>
        <v>-37.800000000000182</v>
      </c>
      <c r="BX353" s="128">
        <f>IF($J353="",#N/A,SUM($BW$4:BW353))</f>
        <v>-298.52817034792838</v>
      </c>
      <c r="BY353" s="131" t="str">
        <f t="shared" si="579"/>
        <v/>
      </c>
      <c r="BZ353" s="131">
        <f>IF($J353="",#N/A,SUM($BY$4:BY353))</f>
        <v>633.96661346139479</v>
      </c>
      <c r="CA353" s="133" t="str">
        <f t="shared" si="580"/>
        <v/>
      </c>
      <c r="CB353" s="133">
        <f>IF($J353="",#N/A,SUM($CA$4:CA353))</f>
        <v>346.46093244815859</v>
      </c>
      <c r="CC353" s="194">
        <f t="shared" si="581"/>
        <v>-0.46690876750908095</v>
      </c>
      <c r="CD353" s="194">
        <f>IF($J353="",#N/A,SUM($CC$4:CC353))</f>
        <v>-4.4725272636810356</v>
      </c>
      <c r="CE353" s="195" t="str">
        <f t="shared" si="582"/>
        <v/>
      </c>
      <c r="CF353" s="195">
        <f>IF($J353="",#N/A,SUM($CE$4:CE353))</f>
        <v>11.258632706202768</v>
      </c>
      <c r="CG353" s="196" t="str">
        <f t="shared" si="583"/>
        <v/>
      </c>
      <c r="CH353" s="196">
        <f>IF($J353="",#N/A,SUM($CG$4:CG353))</f>
        <v>7.6108320158167029</v>
      </c>
      <c r="CI353" s="200" t="str">
        <f t="shared" si="584"/>
        <v/>
      </c>
      <c r="CJ353" s="203">
        <f>IF($J353="",#N/A,SUM(CI$4:CI353))</f>
        <v>0</v>
      </c>
      <c r="CK353" s="204" t="str">
        <f t="shared" si="585"/>
        <v/>
      </c>
      <c r="CL353" s="204">
        <f>IF($J353="",#N/A,SUM(CK$4:CK353))</f>
        <v>1.2912501745213723</v>
      </c>
      <c r="CM353" s="205" t="str">
        <f t="shared" si="586"/>
        <v/>
      </c>
      <c r="CN353" s="205">
        <f>IF($J353="",#N/A,SUM(CM$4:CM353))</f>
        <v>1.357235719871134</v>
      </c>
      <c r="CO353" s="205">
        <f>IF($J353="",#N/A,SUM(CM$4:CM353,CK$4:CK353,CI$4:CI353))</f>
        <v>2.6484858943925063</v>
      </c>
      <c r="CP353" s="200" t="str">
        <f t="shared" si="587"/>
        <v/>
      </c>
      <c r="CQ353" s="203">
        <f>IF($J353="",#N/A,SUM(CP$4:CP353))</f>
        <v>-3.0687583652268549</v>
      </c>
      <c r="CR353" s="204" t="str">
        <f t="shared" si="588"/>
        <v/>
      </c>
      <c r="CS353" s="204">
        <f>IF($J353="",#N/A,SUM(CR$4:CR353))</f>
        <v>2.3600225017004668</v>
      </c>
      <c r="CT353" s="205" t="str">
        <f t="shared" si="589"/>
        <v/>
      </c>
      <c r="CU353" s="205">
        <f>IF($J353="",#N/A,SUM(CT$4:CT353))</f>
        <v>-2.8580371411053784</v>
      </c>
      <c r="CV353" s="205">
        <f>IF($J353="",#N/A,SUM(CT$4:CT353,CR$4:CR353,CP$4:CP353))</f>
        <v>-3.5667730046317665</v>
      </c>
      <c r="CW353" s="200">
        <f t="shared" si="590"/>
        <v>-0.46690876750908095</v>
      </c>
      <c r="CX353" s="203">
        <f>IF($J353="",#N/A,SUM(CW$4:CW353))</f>
        <v>-0.76090382686489777</v>
      </c>
      <c r="CY353" s="204" t="str">
        <f t="shared" si="591"/>
        <v/>
      </c>
      <c r="CZ353" s="204">
        <f>IF($J353="",#N/A,SUM(CY$4:CY353))</f>
        <v>-0.30570416115784371</v>
      </c>
      <c r="DA353" s="205" t="str">
        <f t="shared" si="592"/>
        <v/>
      </c>
      <c r="DB353" s="205">
        <f>IF($J353="",#N/A,SUM(DA$4:DA353))</f>
        <v>-2.4685516361569055</v>
      </c>
      <c r="DC353" s="205">
        <f>IF($J353="",#N/A,SUM(DA$4:DA353,CY$4:CY353,CW$4:CW353))</f>
        <v>-3.5351596241796459</v>
      </c>
      <c r="DD353" s="200" t="str">
        <f t="shared" si="593"/>
        <v/>
      </c>
      <c r="DE353" s="203">
        <f>IF($J353="",#N/A,SUM(DD$4:DD353))</f>
        <v>1.2501454750716789</v>
      </c>
      <c r="DF353" s="204" t="str">
        <f t="shared" si="594"/>
        <v/>
      </c>
      <c r="DG353" s="204">
        <f>IF($J353="",#N/A,SUM(DF$4:DF353))</f>
        <v>3.0565650892577492</v>
      </c>
      <c r="DH353" s="205" t="str">
        <f t="shared" si="595"/>
        <v/>
      </c>
      <c r="DI353" s="205">
        <f>IF($J353="",#N/A,SUM(DH$4:DH353))</f>
        <v>-3.216671910770577</v>
      </c>
      <c r="DJ353" s="205">
        <f>IF($J353="",#N/A,SUM(DH$4:DH353,DF$4:DF353,DD$4:DD353))</f>
        <v>1.0900386535588513</v>
      </c>
      <c r="DK353" s="200" t="str">
        <f t="shared" si="596"/>
        <v/>
      </c>
      <c r="DL353" s="203">
        <f>IF($J353="",#N/A,SUM(DK$4:DK353))</f>
        <v>-0.84049791589649614</v>
      </c>
      <c r="DM353" s="204" t="str">
        <f t="shared" si="597"/>
        <v/>
      </c>
      <c r="DN353" s="204">
        <f>IF($J353="",#N/A,SUM(DM$4:DM353))</f>
        <v>1.8657648196498773</v>
      </c>
      <c r="DO353" s="205" t="str">
        <f t="shared" si="598"/>
        <v/>
      </c>
      <c r="DP353" s="205">
        <f>IF($J353="",#N/A,SUM(DO$4:DO353))</f>
        <v>3.4887162328793941</v>
      </c>
      <c r="DQ353" s="205">
        <f>IF($J353="",#N/A,SUM(DO$4:DO353,DM$4:DM353,DK$4:DK353))</f>
        <v>4.5139831366327758</v>
      </c>
      <c r="DR353" s="200" t="str">
        <f t="shared" si="599"/>
        <v/>
      </c>
      <c r="DS353" s="203">
        <f>IF($J353="",#N/A,SUM(DR$4:DR353))</f>
        <v>-0.55950946427675097</v>
      </c>
      <c r="DT353" s="204" t="str">
        <f t="shared" si="600"/>
        <v/>
      </c>
      <c r="DU353" s="204">
        <f>IF($J353="",#N/A,SUM(DT$4:DT353))</f>
        <v>-0.20750635820596686</v>
      </c>
      <c r="DV353" s="205" t="str">
        <f t="shared" si="601"/>
        <v/>
      </c>
      <c r="DW353" s="205">
        <f>IF($J353="",#N/A,SUM(DV$4:DV353))</f>
        <v>-2.3377035686214001</v>
      </c>
      <c r="DX353" s="205">
        <f>IF($J353="",#N/A,SUM(DV$4:DV353,DT$4:DT353,DR$4:DR353))</f>
        <v>-3.1047193911041169</v>
      </c>
      <c r="DY353" s="200" t="str">
        <f t="shared" si="602"/>
        <v/>
      </c>
      <c r="DZ353" s="203">
        <f>IF($J353="",#N/A,SUM(DY$4:DY353))</f>
        <v>-1.4146842415208627</v>
      </c>
      <c r="EA353" s="204" t="str">
        <f t="shared" si="603"/>
        <v/>
      </c>
      <c r="EB353" s="204">
        <f>IF($J353="",#N/A,SUM(EA$4:EA353))</f>
        <v>4.3184391548878134</v>
      </c>
      <c r="EC353" s="205" t="str">
        <f t="shared" si="604"/>
        <v/>
      </c>
      <c r="ED353" s="205">
        <f>IF($J353="",#N/A,SUM(EC$4:EC353))</f>
        <v>9.2956923798665674</v>
      </c>
      <c r="EE353" s="205">
        <f>IF($J353="",#N/A,SUM(EC$4:EC353,EA$4:EA353,DY$4:DY353))</f>
        <v>12.199447293233519</v>
      </c>
      <c r="EF353" s="200" t="str">
        <f t="shared" si="605"/>
        <v/>
      </c>
      <c r="EG353" s="203">
        <f>IF($J353="",#N/A,SUM(EF$4:EF353))</f>
        <v>0.65848341369884777</v>
      </c>
      <c r="EH353" s="204" t="str">
        <f t="shared" si="606"/>
        <v/>
      </c>
      <c r="EI353" s="204">
        <f>IF($J353="",#N/A,SUM(EH$4:EH353))</f>
        <v>-3.5125331561187787</v>
      </c>
      <c r="EJ353" s="205" t="str">
        <f t="shared" si="607"/>
        <v/>
      </c>
      <c r="EK353" s="205">
        <f>IF($J353="",#N/A,SUM(EJ$4:EJ353))</f>
        <v>8.4840381642896556</v>
      </c>
      <c r="EL353" s="205">
        <f>IF($J353="",#N/A,SUM(EJ$4:EJ353,EH$4:EH353,EF$4:EF353))</f>
        <v>5.6299884218697258</v>
      </c>
      <c r="EM353" s="200" t="str">
        <f t="shared" si="608"/>
        <v/>
      </c>
      <c r="EN353" s="203">
        <f>IF($J353="",#N/A,SUM(EM$4:EM353))</f>
        <v>0</v>
      </c>
      <c r="EO353" s="204" t="str">
        <f t="shared" si="609"/>
        <v/>
      </c>
      <c r="EP353" s="204">
        <f>IF($J353="",#N/A,SUM(EO$4:EO353))</f>
        <v>2.4788862078089964</v>
      </c>
      <c r="EQ353" s="205" t="str">
        <f t="shared" si="610"/>
        <v/>
      </c>
      <c r="ER353" s="205">
        <f>IF($J353="",#N/A,SUM(EQ$4:EQ353))</f>
        <v>1.7856049065476487</v>
      </c>
      <c r="ES353" s="205">
        <f>IF($J353="",#N/A,SUM(EQ$4:EQ353,EO$4:EO353,EM$4:EM353))</f>
        <v>4.2644911143566446</v>
      </c>
      <c r="ET353" s="200" t="str">
        <f t="shared" si="611"/>
        <v/>
      </c>
      <c r="EU353" s="203">
        <f>IF($J353="",#N/A,SUM(ET$4:ET353))</f>
        <v>0</v>
      </c>
      <c r="EV353" s="204" t="str">
        <f t="shared" si="612"/>
        <v/>
      </c>
      <c r="EW353" s="204">
        <f>IF($J353="",#N/A,SUM(EV$4:EV353))</f>
        <v>7.9116394275462909E-2</v>
      </c>
      <c r="EX353" s="205" t="str">
        <f t="shared" si="613"/>
        <v/>
      </c>
      <c r="EY353" s="205">
        <f>IF($J353="",#N/A,SUM(EX$4:EX353))</f>
        <v>-0.33163335417804801</v>
      </c>
      <c r="EZ353" s="205">
        <f>IF($J353="",#N/A,SUM(EX$4:EX353,EV$4:EV353,ET$4:ET353))</f>
        <v>-0.25251695990258494</v>
      </c>
      <c r="FA353" s="200" t="str">
        <f t="shared" si="614"/>
        <v/>
      </c>
      <c r="FB353" s="203">
        <f>IF($J353="",#N/A,SUM(FA$4:FA353))</f>
        <v>-0.27145310509113252</v>
      </c>
      <c r="FC353" s="204" t="str">
        <f t="shared" si="615"/>
        <v/>
      </c>
      <c r="FD353" s="204">
        <f>IF($J353="",#N/A,SUM(FC$4:FC353))</f>
        <v>0.89084290967454072</v>
      </c>
      <c r="FE353" s="205" t="str">
        <f t="shared" si="616"/>
        <v/>
      </c>
      <c r="FF353" s="205">
        <f>IF($J353="",#N/A,SUM(FE$4:FE353))</f>
        <v>-0.28811149078748233</v>
      </c>
      <c r="FG353" s="205">
        <f>IF($J353="",#N/A,SUM(FE$4:FE353,FC$4:FC353,FA$4:FA353))</f>
        <v>0.3312783137959262</v>
      </c>
      <c r="FH353" s="200" t="str">
        <f t="shared" si="617"/>
        <v/>
      </c>
      <c r="FI353" s="203">
        <f>IF($J353="",#N/A,SUM(FH$4:FH353))</f>
        <v>0</v>
      </c>
      <c r="FJ353" s="204" t="str">
        <f t="shared" si="618"/>
        <v/>
      </c>
      <c r="FK353" s="204">
        <f>IF($J353="",#N/A,SUM(FJ$4:FJ353))</f>
        <v>0</v>
      </c>
      <c r="FL353" s="205" t="str">
        <f t="shared" si="619"/>
        <v/>
      </c>
      <c r="FM353" s="205">
        <f>IF($J353="",#N/A,SUM(FL$4:FL353))</f>
        <v>0</v>
      </c>
      <c r="FN353" s="205">
        <f>IF($J353="",#N/A,SUM(FL$4:FL353,FJ$4:FJ353,FH$4:FH353))</f>
        <v>0</v>
      </c>
      <c r="FO353" s="200" t="str">
        <f t="shared" si="620"/>
        <v/>
      </c>
      <c r="FP353" s="203">
        <f>IF($J353="",#N/A,SUM(FO$4:FO353))</f>
        <v>0</v>
      </c>
      <c r="FQ353" s="204" t="str">
        <f t="shared" si="621"/>
        <v/>
      </c>
      <c r="FR353" s="204">
        <f>IF($J353="",#N/A,SUM(FQ$4:FQ353))</f>
        <v>0</v>
      </c>
      <c r="FS353" s="205" t="str">
        <f t="shared" si="622"/>
        <v/>
      </c>
      <c r="FT353" s="205">
        <f>IF($J353="",#N/A,SUM(FS$4:FS353))</f>
        <v>0</v>
      </c>
      <c r="FU353" s="205">
        <f>IF($J353="",#N/A,SUM(FS$4:FS353,FQ$4:FQ353,FO$4:FO353))</f>
        <v>0</v>
      </c>
      <c r="FV353" s="200" t="str">
        <f t="shared" si="623"/>
        <v/>
      </c>
      <c r="FW353" s="203">
        <f>IF($J353="",#N/A,SUM(FV$4:FV353))</f>
        <v>6.6834991831277585E-2</v>
      </c>
      <c r="FX353" s="204" t="str">
        <f t="shared" si="624"/>
        <v/>
      </c>
      <c r="FY353" s="204">
        <f>IF($J353="",#N/A,SUM(FX$4:FX353))</f>
        <v>-0.16102012791805576</v>
      </c>
      <c r="FZ353" s="205" t="str">
        <f t="shared" si="625"/>
        <v/>
      </c>
      <c r="GA353" s="205">
        <f>IF($J353="",#N/A,SUM(FZ$4:FZ353))</f>
        <v>-0.69624339162892301</v>
      </c>
      <c r="GB353" s="205">
        <f>IF($J353="",#N/A,SUM(FZ$4:FZ353,FX$4:FX353,FV$4:FV353))</f>
        <v>-0.79042852771570116</v>
      </c>
      <c r="GC353" s="200" t="str">
        <f t="shared" si="626"/>
        <v/>
      </c>
      <c r="GD353" s="203">
        <f>IF($J353="",#N/A,SUM(GC$4:GC353))</f>
        <v>0</v>
      </c>
      <c r="GE353" s="204" t="str">
        <f t="shared" si="627"/>
        <v/>
      </c>
      <c r="GF353" s="204">
        <f>IF($J353="",#N/A,SUM(GE$4:GE353))</f>
        <v>0</v>
      </c>
      <c r="GG353" s="205" t="str">
        <f t="shared" si="628"/>
        <v/>
      </c>
      <c r="GH353" s="205">
        <f>IF($J353="",#N/A,SUM(GG$4:GG353))</f>
        <v>-2.9368362277223206</v>
      </c>
      <c r="GI353" s="205">
        <f>IF($J353="",#N/A,SUM(GG$4:GG353,GE$4:GE353,GC$4:GC353))</f>
        <v>-2.9368362277223206</v>
      </c>
      <c r="GJ353" s="200" t="str">
        <f t="shared" si="629"/>
        <v/>
      </c>
      <c r="GK353" s="203">
        <f>IF($J353="",#N/A,SUM(GJ$4:GJ353))</f>
        <v>0</v>
      </c>
      <c r="GL353" s="204" t="str">
        <f t="shared" si="630"/>
        <v/>
      </c>
      <c r="GM353" s="204">
        <f>IF($J353="",#N/A,SUM(GL$4:GL353))</f>
        <v>-2.0621307233432784</v>
      </c>
      <c r="GN353" s="205" t="str">
        <f t="shared" si="631"/>
        <v/>
      </c>
      <c r="GO353" s="205">
        <f>IF($J353="",#N/A,SUM(GN$4:GN353))</f>
        <v>0</v>
      </c>
      <c r="GP353" s="205">
        <f>IF($J353="",#N/A,SUM(GN$4:GN353,GL$4:GL353,GJ$4:GJ353))</f>
        <v>-2.0621307233432784</v>
      </c>
      <c r="GS353" s="439">
        <f t="shared" si="650"/>
        <v>-0.46690876750908095</v>
      </c>
      <c r="GT353" s="439">
        <f>IF(GS353="",NA(),SUM($GS$4:GS353))</f>
        <v>12.420367394411258</v>
      </c>
      <c r="GU353" s="439">
        <f t="shared" si="632"/>
        <v>-0.46690876750908095</v>
      </c>
      <c r="GV353" s="439">
        <f>IF(GU353="",NA(),SUM($GU$4:GU353))</f>
        <v>-5.1541310450319466</v>
      </c>
      <c r="GW353" s="439" t="str">
        <f t="shared" si="633"/>
        <v/>
      </c>
      <c r="GX353" s="439" t="e">
        <f>IF(GW353="",NA(),SUM($GW$4:GW353))</f>
        <v>#N/A</v>
      </c>
      <c r="GY353" s="439" t="str">
        <f t="shared" si="634"/>
        <v/>
      </c>
      <c r="GZ353" s="439" t="e">
        <f>IF(GY353="",NA(),SUM($GY$4:GY353))</f>
        <v>#N/A</v>
      </c>
      <c r="HA353" s="439" t="str">
        <f t="shared" si="635"/>
        <v/>
      </c>
      <c r="HB353" s="439" t="e">
        <f>IF(HA353="",NA(),SUM($HA$4:HA353))</f>
        <v>#N/A</v>
      </c>
      <c r="HC353" s="439" t="str">
        <f t="shared" si="636"/>
        <v/>
      </c>
      <c r="HD353" s="439" t="e">
        <f>IF(HC353="",NA(),SUM($HC$4:HC353))</f>
        <v>#N/A</v>
      </c>
      <c r="HE353" s="439" t="str">
        <f t="shared" si="637"/>
        <v/>
      </c>
      <c r="HF353" s="439" t="e">
        <f>IF(HE353="",NA(),SUM($HE$4:HE353))</f>
        <v>#N/A</v>
      </c>
      <c r="HG353" s="439" t="str">
        <f t="shared" si="638"/>
        <v/>
      </c>
      <c r="HH353" s="439" t="e">
        <f>IF(HG353="",NA(),SUM($HG$4:HG353))</f>
        <v>#N/A</v>
      </c>
      <c r="HI353" s="440" t="str">
        <f t="shared" si="651"/>
        <v/>
      </c>
      <c r="HJ353" s="440">
        <f>IF($J353="",#N/A,SUM(HI$4:$HI353))</f>
        <v>-9.4940030772075517</v>
      </c>
      <c r="HK353" s="439" t="str">
        <f t="shared" si="639"/>
        <v/>
      </c>
      <c r="HL353" s="439">
        <f>IF($J353="",#N/A,SUM($HK$4:HK353))</f>
        <v>2.7460981583887896</v>
      </c>
      <c r="HM353" s="439" t="str">
        <f t="shared" si="640"/>
        <v/>
      </c>
      <c r="HN353" s="439">
        <f>IF($J353="",#N/A,SUM($HM$4:HM353))</f>
        <v>0.41616915617605843</v>
      </c>
      <c r="HO353" s="439">
        <f t="shared" si="641"/>
        <v>-1.4822500555844331E-2</v>
      </c>
      <c r="HP353" s="439">
        <f>IF($J353="",#N/A,SUM($HO$4:HO353))</f>
        <v>-0.86794497590295294</v>
      </c>
      <c r="HQ353" s="439" t="str">
        <f t="shared" si="642"/>
        <v/>
      </c>
      <c r="HR353" s="439">
        <f>IF($J353="",#N/A,SUM($HQ$4:HQ353))</f>
        <v>-11.745401831760597</v>
      </c>
      <c r="HS353" s="439" t="str">
        <f t="shared" si="643"/>
        <v/>
      </c>
      <c r="HT353" s="439">
        <f>IF($J353="",#N/A,SUM($HS$4:HS353))</f>
        <v>15.556531947339323</v>
      </c>
      <c r="HU353" s="436">
        <f t="shared" si="644"/>
        <v>-0.48173126806492528</v>
      </c>
      <c r="HV353" s="436">
        <f>IF($J353="",#N/A,SUM(HU$4:$HU353))</f>
        <v>10.492439368204517</v>
      </c>
    </row>
    <row r="354" spans="1:230" ht="15.75" thickBot="1" x14ac:dyDescent="0.3">
      <c r="A354" s="292" t="s">
        <v>1097</v>
      </c>
      <c r="B354" s="293" t="s">
        <v>4720</v>
      </c>
      <c r="C354" s="294">
        <f t="shared" si="545"/>
        <v>2</v>
      </c>
      <c r="D354" s="295" t="str">
        <f>_xlfn.XLOOKUP(A354,[1]SP500!$A$2:$A$502,[1]SP500!$D$2:$D$502,"N")</f>
        <v>Y</v>
      </c>
      <c r="E354" s="292" t="str">
        <f>IFERROR(_xlfn.XLOOKUP(A354,[1]SP500!$A$2:$A$655,[1]SP500!$B$2:$B$655),"")</f>
        <v>XLP</v>
      </c>
      <c r="F354" s="296">
        <v>45798</v>
      </c>
      <c r="G354" s="292" t="str">
        <f t="shared" si="546"/>
        <v>BMO</v>
      </c>
      <c r="H354" s="292" t="str">
        <f t="shared" si="547"/>
        <v>s</v>
      </c>
      <c r="I354" s="345">
        <v>98.12</v>
      </c>
      <c r="J354" s="297">
        <v>91.5</v>
      </c>
      <c r="K354" s="298">
        <f t="shared" si="548"/>
        <v>-6.7468406033428505E-2</v>
      </c>
      <c r="L354" s="299">
        <f t="shared" si="549"/>
        <v>92.680000000000064</v>
      </c>
      <c r="M354" s="300">
        <f t="shared" si="550"/>
        <v>0</v>
      </c>
      <c r="N354" s="341">
        <f t="shared" si="551"/>
        <v>92.680000000000064</v>
      </c>
      <c r="O354" s="300">
        <f>IF(N354="",#N/A,SUM($N$4:N354))</f>
        <v>774.57937556162517</v>
      </c>
      <c r="P354" s="305">
        <f t="shared" si="645"/>
        <v>1.1244734338904749</v>
      </c>
      <c r="Q354" s="304">
        <f>IF($N354="",#N/A,SUM($P$4:P354))</f>
        <v>15.521410892228905</v>
      </c>
      <c r="R354" s="307">
        <f t="shared" si="552"/>
        <v>7.4350543490305352</v>
      </c>
      <c r="S354" s="292" t="str">
        <f t="shared" si="553"/>
        <v>Dwn</v>
      </c>
      <c r="T354" s="292" t="s">
        <v>4462</v>
      </c>
      <c r="U354" s="308">
        <f t="shared" si="554"/>
        <v>98.12</v>
      </c>
      <c r="V354" s="308" t="s">
        <v>4458</v>
      </c>
      <c r="W354" s="310">
        <v>14</v>
      </c>
      <c r="X354" s="309">
        <f t="shared" si="555"/>
        <v>1373.68</v>
      </c>
      <c r="Y354" s="310">
        <f t="shared" si="556"/>
        <v>14</v>
      </c>
      <c r="Z354" s="311">
        <v>91.5</v>
      </c>
      <c r="AA354" s="341">
        <f t="shared" si="557"/>
        <v>92.680000000000064</v>
      </c>
      <c r="AB354" s="341">
        <f t="shared" si="558"/>
        <v>71.539999999999964</v>
      </c>
      <c r="AC354" s="297">
        <v>93.01</v>
      </c>
      <c r="AD354" s="301">
        <f t="shared" si="559"/>
        <v>71.539999999999964</v>
      </c>
      <c r="AE354" s="546">
        <f t="shared" si="560"/>
        <v>0.86798478054083394</v>
      </c>
      <c r="AF354" s="300">
        <f>IF($AC354="",#N/A,SUM(AD$4:AD354))</f>
        <v>667.23239714744909</v>
      </c>
      <c r="AG354" s="341">
        <f t="shared" si="561"/>
        <v>-21.1400000000001</v>
      </c>
      <c r="AH354" s="308" t="s">
        <v>2507</v>
      </c>
      <c r="AI354" s="305">
        <f t="shared" si="562"/>
        <v>1.1244734338904749</v>
      </c>
      <c r="AJ354" s="418">
        <f>IF(AI354="",#N/A,SUM($AI$4:AI354))</f>
        <v>8.0863565431983702</v>
      </c>
      <c r="AK354" s="300">
        <f t="shared" si="563"/>
        <v>92.680000000000064</v>
      </c>
      <c r="AL354" s="406">
        <f>IF(AI354="",#N/A,IF(AH354="Skip",SUM($AK$4:AK354),SUM($AK$4:AK354)))</f>
        <v>273.36736927848256</v>
      </c>
      <c r="AM354" s="65">
        <f t="shared" si="646"/>
        <v>0.86798478054083394</v>
      </c>
      <c r="AN354" s="209"/>
      <c r="AO354" s="305" t="str">
        <f t="shared" si="564"/>
        <v/>
      </c>
      <c r="AP354" s="305">
        <f>IF($AC354="",#N/A,SUM(AO$4:AO354))</f>
        <v>10.906014664228442</v>
      </c>
      <c r="AQ354" s="305" t="str">
        <f t="shared" si="565"/>
        <v/>
      </c>
      <c r="AR354" s="305">
        <f>IF($AC354="",#N/A,SUM(AQ$4:AQ354))</f>
        <v>-4.9243030834079331</v>
      </c>
      <c r="AS354" s="305">
        <f t="shared" si="566"/>
        <v>0.86798478054083394</v>
      </c>
      <c r="AT354" s="305">
        <f>IF($AC354="",#N/A,SUM(AS$4:AS354))</f>
        <v>5.3787125679248309</v>
      </c>
      <c r="AU354" s="300" t="str">
        <f t="shared" si="647"/>
        <v/>
      </c>
      <c r="AV354" s="300">
        <f>IF($AC354="",#N/A,SUM(AU$4:AU354))</f>
        <v>602.12627194987999</v>
      </c>
      <c r="AW354" s="300" t="str">
        <f t="shared" si="648"/>
        <v/>
      </c>
      <c r="AX354" s="300">
        <f>IF($AC354="",#N/A,SUM(AW$4:AW354))</f>
        <v>-334.97106797961078</v>
      </c>
      <c r="AY354" s="300">
        <f t="shared" si="649"/>
        <v>71.539999999999964</v>
      </c>
      <c r="AZ354" s="300">
        <f>IF($AC354="",#N/A,SUM(AY$4:AY354))</f>
        <v>400.07719317717977</v>
      </c>
      <c r="BA354" s="300">
        <f>IF(AD354="",#N/A,SUM($AD$4:AD354))</f>
        <v>667.23239714744909</v>
      </c>
      <c r="BC354" s="292" t="str">
        <f t="shared" si="567"/>
        <v/>
      </c>
      <c r="BD354" s="292" t="str">
        <f t="shared" si="568"/>
        <v/>
      </c>
      <c r="BE354" s="292" t="str">
        <f t="shared" si="569"/>
        <v/>
      </c>
      <c r="BF354" s="292" t="str">
        <f t="shared" si="570"/>
        <v>Short</v>
      </c>
      <c r="BG354" s="292">
        <f t="shared" si="571"/>
        <v>1</v>
      </c>
      <c r="BH354" s="292" t="str">
        <f t="shared" si="572"/>
        <v/>
      </c>
      <c r="BI354" s="292" t="str">
        <f t="shared" si="573"/>
        <v/>
      </c>
      <c r="BK354" s="65">
        <f t="shared" si="544"/>
        <v>0.1028688731486648</v>
      </c>
      <c r="BL354" s="65">
        <f t="shared" si="652"/>
        <v>2.5032722765611554E-2</v>
      </c>
      <c r="BM354" s="65">
        <f>IFERROR(Q354/COUNTA($J$4:J354),#N/A)</f>
        <v>4.4220543852504006E-2</v>
      </c>
      <c r="BO354" s="489" t="e">
        <f>IF(J354="",#N/A,IF(S354="SW",(COUNTIFS(K$4:$K354,"&gt;0",S$4:$S354,"SW")/COUNTIF(S$4:$S354,"SW")),#N/A))</f>
        <v>#N/A</v>
      </c>
      <c r="BP354" s="489">
        <f>IF($J354="",#N/A,IF($S354="DWN",(COUNTIFS($K$4:$K354,"&lt;0",$S$4:$S354,"DWN")/COUNTIF($S$4:$S354,"DWN")),#N/A))</f>
        <v>0.56129032258064515</v>
      </c>
      <c r="BQ354" s="489" t="e">
        <f>IF($J354="",#N/A,IF($S354="UP",(COUNTIFS($K$4:$K354,"&gt;0",$S$4:$S354,"UP")/COUNTIF($S$4:$S354,"UP")),#N/A))</f>
        <v>#N/A</v>
      </c>
      <c r="BR354" s="489">
        <f>IF(J354="",#N/A,COUNTIF($K$4:K354,"&gt;0")/COUNT($J$4:J354))</f>
        <v>0.4757834757834758</v>
      </c>
      <c r="BS354" s="65" t="str">
        <f t="shared" si="574"/>
        <v/>
      </c>
      <c r="BT354" s="65" t="str">
        <f t="shared" si="575"/>
        <v/>
      </c>
      <c r="BU354" s="65">
        <f t="shared" si="576"/>
        <v>1.1244734338904749</v>
      </c>
      <c r="BV354" s="65" t="str">
        <f t="shared" si="577"/>
        <v/>
      </c>
      <c r="BW354" s="128" t="str">
        <f t="shared" si="578"/>
        <v/>
      </c>
      <c r="BX354" s="128">
        <f>IF($J354="",#N/A,SUM($BW$4:BW354))</f>
        <v>-298.52817034792838</v>
      </c>
      <c r="BY354" s="131">
        <f t="shared" si="579"/>
        <v>92.680000000000064</v>
      </c>
      <c r="BZ354" s="131">
        <f>IF($J354="",#N/A,SUM($BY$4:BY354))</f>
        <v>726.64661346139485</v>
      </c>
      <c r="CA354" s="133" t="str">
        <f t="shared" si="580"/>
        <v/>
      </c>
      <c r="CB354" s="133">
        <f>IF($J354="",#N/A,SUM($CA$4:CA354))</f>
        <v>346.46093244815859</v>
      </c>
      <c r="CC354" s="194" t="str">
        <f t="shared" si="581"/>
        <v/>
      </c>
      <c r="CD354" s="194">
        <f>IF($J354="",#N/A,SUM($CC$4:CC354))</f>
        <v>-4.4725272636810356</v>
      </c>
      <c r="CE354" s="195">
        <f t="shared" si="582"/>
        <v>1.1244734338904749</v>
      </c>
      <c r="CF354" s="195">
        <f>IF($J354="",#N/A,SUM($CE$4:CE354))</f>
        <v>12.383106140093243</v>
      </c>
      <c r="CG354" s="196" t="str">
        <f t="shared" si="583"/>
        <v/>
      </c>
      <c r="CH354" s="196">
        <f>IF($J354="",#N/A,SUM($CG$4:CG354))</f>
        <v>7.6108320158167029</v>
      </c>
      <c r="CI354" s="200" t="str">
        <f t="shared" si="584"/>
        <v/>
      </c>
      <c r="CJ354" s="203">
        <f>IF($J354="",#N/A,SUM(CI$4:CI354))</f>
        <v>0</v>
      </c>
      <c r="CK354" s="204" t="str">
        <f t="shared" si="585"/>
        <v/>
      </c>
      <c r="CL354" s="204">
        <f>IF($J354="",#N/A,SUM(CK$4:CK354))</f>
        <v>1.2912501745213723</v>
      </c>
      <c r="CM354" s="205" t="str">
        <f t="shared" si="586"/>
        <v/>
      </c>
      <c r="CN354" s="205">
        <f>IF($J354="",#N/A,SUM(CM$4:CM354))</f>
        <v>1.357235719871134</v>
      </c>
      <c r="CO354" s="205">
        <f>IF($J354="",#N/A,SUM(CM$4:CM354,CK$4:CK354,CI$4:CI354))</f>
        <v>2.6484858943925063</v>
      </c>
      <c r="CP354" s="200" t="str">
        <f t="shared" si="587"/>
        <v/>
      </c>
      <c r="CQ354" s="203">
        <f>IF($J354="",#N/A,SUM(CP$4:CP354))</f>
        <v>-3.0687583652268549</v>
      </c>
      <c r="CR354" s="204" t="str">
        <f t="shared" si="588"/>
        <v/>
      </c>
      <c r="CS354" s="204">
        <f>IF($J354="",#N/A,SUM(CR$4:CR354))</f>
        <v>2.3600225017004668</v>
      </c>
      <c r="CT354" s="205" t="str">
        <f t="shared" si="589"/>
        <v/>
      </c>
      <c r="CU354" s="205">
        <f>IF($J354="",#N/A,SUM(CT$4:CT354))</f>
        <v>-2.8580371411053784</v>
      </c>
      <c r="CV354" s="205">
        <f>IF($J354="",#N/A,SUM(CT$4:CT354,CR$4:CR354,CP$4:CP354))</f>
        <v>-3.5667730046317665</v>
      </c>
      <c r="CW354" s="200" t="str">
        <f t="shared" si="590"/>
        <v/>
      </c>
      <c r="CX354" s="203">
        <f>IF($J354="",#N/A,SUM(CW$4:CW354))</f>
        <v>-0.76090382686489777</v>
      </c>
      <c r="CY354" s="204" t="str">
        <f t="shared" si="591"/>
        <v/>
      </c>
      <c r="CZ354" s="204">
        <f>IF($J354="",#N/A,SUM(CY$4:CY354))</f>
        <v>-0.30570416115784371</v>
      </c>
      <c r="DA354" s="205" t="str">
        <f t="shared" si="592"/>
        <v/>
      </c>
      <c r="DB354" s="205">
        <f>IF($J354="",#N/A,SUM(DA$4:DA354))</f>
        <v>-2.4685516361569055</v>
      </c>
      <c r="DC354" s="205">
        <f>IF($J354="",#N/A,SUM(DA$4:DA354,CY$4:CY354,CW$4:CW354))</f>
        <v>-3.5351596241796459</v>
      </c>
      <c r="DD354" s="200" t="str">
        <f t="shared" si="593"/>
        <v/>
      </c>
      <c r="DE354" s="203">
        <f>IF($J354="",#N/A,SUM(DD$4:DD354))</f>
        <v>1.2501454750716789</v>
      </c>
      <c r="DF354" s="204">
        <f t="shared" si="594"/>
        <v>1.1244734338904749</v>
      </c>
      <c r="DG354" s="204">
        <f>IF($J354="",#N/A,SUM(DF$4:DF354))</f>
        <v>4.1810385231482243</v>
      </c>
      <c r="DH354" s="205" t="str">
        <f t="shared" si="595"/>
        <v/>
      </c>
      <c r="DI354" s="205">
        <f>IF($J354="",#N/A,SUM(DH$4:DH354))</f>
        <v>-3.216671910770577</v>
      </c>
      <c r="DJ354" s="205">
        <f>IF($J354="",#N/A,SUM(DH$4:DH354,DF$4:DF354,DD$4:DD354))</f>
        <v>2.214512087449326</v>
      </c>
      <c r="DK354" s="200" t="str">
        <f t="shared" si="596"/>
        <v/>
      </c>
      <c r="DL354" s="203">
        <f>IF($J354="",#N/A,SUM(DK$4:DK354))</f>
        <v>-0.84049791589649614</v>
      </c>
      <c r="DM354" s="204" t="str">
        <f t="shared" si="597"/>
        <v/>
      </c>
      <c r="DN354" s="204">
        <f>IF($J354="",#N/A,SUM(DM$4:DM354))</f>
        <v>1.8657648196498773</v>
      </c>
      <c r="DO354" s="205" t="str">
        <f t="shared" si="598"/>
        <v/>
      </c>
      <c r="DP354" s="205">
        <f>IF($J354="",#N/A,SUM(DO$4:DO354))</f>
        <v>3.4887162328793941</v>
      </c>
      <c r="DQ354" s="205">
        <f>IF($J354="",#N/A,SUM(DO$4:DO354,DM$4:DM354,DK$4:DK354))</f>
        <v>4.5139831366327758</v>
      </c>
      <c r="DR354" s="200" t="str">
        <f t="shared" si="599"/>
        <v/>
      </c>
      <c r="DS354" s="203">
        <f>IF($J354="",#N/A,SUM(DR$4:DR354))</f>
        <v>-0.55950946427675097</v>
      </c>
      <c r="DT354" s="204" t="str">
        <f t="shared" si="600"/>
        <v/>
      </c>
      <c r="DU354" s="204">
        <f>IF($J354="",#N/A,SUM(DT$4:DT354))</f>
        <v>-0.20750635820596686</v>
      </c>
      <c r="DV354" s="205" t="str">
        <f t="shared" si="601"/>
        <v/>
      </c>
      <c r="DW354" s="205">
        <f>IF($J354="",#N/A,SUM(DV$4:DV354))</f>
        <v>-2.3377035686214001</v>
      </c>
      <c r="DX354" s="205">
        <f>IF($J354="",#N/A,SUM(DV$4:DV354,DT$4:DT354,DR$4:DR354))</f>
        <v>-3.1047193911041169</v>
      </c>
      <c r="DY354" s="200" t="str">
        <f t="shared" si="602"/>
        <v/>
      </c>
      <c r="DZ354" s="203">
        <f>IF($J354="",#N/A,SUM(DY$4:DY354))</f>
        <v>-1.4146842415208627</v>
      </c>
      <c r="EA354" s="204" t="str">
        <f t="shared" si="603"/>
        <v/>
      </c>
      <c r="EB354" s="204">
        <f>IF($J354="",#N/A,SUM(EA$4:EA354))</f>
        <v>4.3184391548878134</v>
      </c>
      <c r="EC354" s="205" t="str">
        <f t="shared" si="604"/>
        <v/>
      </c>
      <c r="ED354" s="205">
        <f>IF($J354="",#N/A,SUM(EC$4:EC354))</f>
        <v>9.2956923798665674</v>
      </c>
      <c r="EE354" s="205">
        <f>IF($J354="",#N/A,SUM(EC$4:EC354,EA$4:EA354,DY$4:DY354))</f>
        <v>12.199447293233519</v>
      </c>
      <c r="EF354" s="200" t="str">
        <f t="shared" si="605"/>
        <v/>
      </c>
      <c r="EG354" s="203">
        <f>IF($J354="",#N/A,SUM(EF$4:EF354))</f>
        <v>0.65848341369884777</v>
      </c>
      <c r="EH354" s="204" t="str">
        <f t="shared" si="606"/>
        <v/>
      </c>
      <c r="EI354" s="204">
        <f>IF($J354="",#N/A,SUM(EH$4:EH354))</f>
        <v>-3.5125331561187787</v>
      </c>
      <c r="EJ354" s="205" t="str">
        <f t="shared" si="607"/>
        <v/>
      </c>
      <c r="EK354" s="205">
        <f>IF($J354="",#N/A,SUM(EJ$4:EJ354))</f>
        <v>8.4840381642896556</v>
      </c>
      <c r="EL354" s="205">
        <f>IF($J354="",#N/A,SUM(EJ$4:EJ354,EH$4:EH354,EF$4:EF354))</f>
        <v>5.6299884218697258</v>
      </c>
      <c r="EM354" s="200" t="str">
        <f t="shared" si="608"/>
        <v/>
      </c>
      <c r="EN354" s="203">
        <f>IF($J354="",#N/A,SUM(EM$4:EM354))</f>
        <v>0</v>
      </c>
      <c r="EO354" s="204" t="str">
        <f t="shared" si="609"/>
        <v/>
      </c>
      <c r="EP354" s="204">
        <f>IF($J354="",#N/A,SUM(EO$4:EO354))</f>
        <v>2.4788862078089964</v>
      </c>
      <c r="EQ354" s="205" t="str">
        <f t="shared" si="610"/>
        <v/>
      </c>
      <c r="ER354" s="205">
        <f>IF($J354="",#N/A,SUM(EQ$4:EQ354))</f>
        <v>1.7856049065476487</v>
      </c>
      <c r="ES354" s="205">
        <f>IF($J354="",#N/A,SUM(EQ$4:EQ354,EO$4:EO354,EM$4:EM354))</f>
        <v>4.2644911143566446</v>
      </c>
      <c r="ET354" s="200" t="str">
        <f t="shared" si="611"/>
        <v/>
      </c>
      <c r="EU354" s="203">
        <f>IF($J354="",#N/A,SUM(ET$4:ET354))</f>
        <v>0</v>
      </c>
      <c r="EV354" s="204" t="str">
        <f t="shared" si="612"/>
        <v/>
      </c>
      <c r="EW354" s="204">
        <f>IF($J354="",#N/A,SUM(EV$4:EV354))</f>
        <v>7.9116394275462909E-2</v>
      </c>
      <c r="EX354" s="205" t="str">
        <f t="shared" si="613"/>
        <v/>
      </c>
      <c r="EY354" s="205">
        <f>IF($J354="",#N/A,SUM(EX$4:EX354))</f>
        <v>-0.33163335417804801</v>
      </c>
      <c r="EZ354" s="205">
        <f>IF($J354="",#N/A,SUM(EX$4:EX354,EV$4:EV354,ET$4:ET354))</f>
        <v>-0.25251695990258494</v>
      </c>
      <c r="FA354" s="200" t="str">
        <f t="shared" si="614"/>
        <v/>
      </c>
      <c r="FB354" s="203">
        <f>IF($J354="",#N/A,SUM(FA$4:FA354))</f>
        <v>-0.27145310509113252</v>
      </c>
      <c r="FC354" s="204" t="str">
        <f t="shared" si="615"/>
        <v/>
      </c>
      <c r="FD354" s="204">
        <f>IF($J354="",#N/A,SUM(FC$4:FC354))</f>
        <v>0.89084290967454072</v>
      </c>
      <c r="FE354" s="205" t="str">
        <f t="shared" si="616"/>
        <v/>
      </c>
      <c r="FF354" s="205">
        <f>IF($J354="",#N/A,SUM(FE$4:FE354))</f>
        <v>-0.28811149078748233</v>
      </c>
      <c r="FG354" s="205">
        <f>IF($J354="",#N/A,SUM(FE$4:FE354,FC$4:FC354,FA$4:FA354))</f>
        <v>0.3312783137959262</v>
      </c>
      <c r="FH354" s="200" t="str">
        <f t="shared" si="617"/>
        <v/>
      </c>
      <c r="FI354" s="203">
        <f>IF($J354="",#N/A,SUM(FH$4:FH354))</f>
        <v>0</v>
      </c>
      <c r="FJ354" s="204" t="str">
        <f t="shared" si="618"/>
        <v/>
      </c>
      <c r="FK354" s="204">
        <f>IF($J354="",#N/A,SUM(FJ$4:FJ354))</f>
        <v>0</v>
      </c>
      <c r="FL354" s="205" t="str">
        <f t="shared" si="619"/>
        <v/>
      </c>
      <c r="FM354" s="205">
        <f>IF($J354="",#N/A,SUM(FL$4:FL354))</f>
        <v>0</v>
      </c>
      <c r="FN354" s="205">
        <f>IF($J354="",#N/A,SUM(FL$4:FL354,FJ$4:FJ354,FH$4:FH354))</f>
        <v>0</v>
      </c>
      <c r="FO354" s="200" t="str">
        <f t="shared" si="620"/>
        <v/>
      </c>
      <c r="FP354" s="203">
        <f>IF($J354="",#N/A,SUM(FO$4:FO354))</f>
        <v>0</v>
      </c>
      <c r="FQ354" s="204" t="str">
        <f t="shared" si="621"/>
        <v/>
      </c>
      <c r="FR354" s="204">
        <f>IF($J354="",#N/A,SUM(FQ$4:FQ354))</f>
        <v>0</v>
      </c>
      <c r="FS354" s="205" t="str">
        <f t="shared" si="622"/>
        <v/>
      </c>
      <c r="FT354" s="205">
        <f>IF($J354="",#N/A,SUM(FS$4:FS354))</f>
        <v>0</v>
      </c>
      <c r="FU354" s="205">
        <f>IF($J354="",#N/A,SUM(FS$4:FS354,FQ$4:FQ354,FO$4:FO354))</f>
        <v>0</v>
      </c>
      <c r="FV354" s="200" t="str">
        <f t="shared" si="623"/>
        <v/>
      </c>
      <c r="FW354" s="203">
        <f>IF($J354="",#N/A,SUM(FV$4:FV354))</f>
        <v>6.6834991831277585E-2</v>
      </c>
      <c r="FX354" s="204" t="str">
        <f t="shared" si="624"/>
        <v/>
      </c>
      <c r="FY354" s="204">
        <f>IF($J354="",#N/A,SUM(FX$4:FX354))</f>
        <v>-0.16102012791805576</v>
      </c>
      <c r="FZ354" s="205" t="str">
        <f t="shared" si="625"/>
        <v/>
      </c>
      <c r="GA354" s="205">
        <f>IF($J354="",#N/A,SUM(FZ$4:FZ354))</f>
        <v>-0.69624339162892301</v>
      </c>
      <c r="GB354" s="205">
        <f>IF($J354="",#N/A,SUM(FZ$4:FZ354,FX$4:FX354,FV$4:FV354))</f>
        <v>-0.79042852771570116</v>
      </c>
      <c r="GC354" s="200" t="str">
        <f t="shared" si="626"/>
        <v/>
      </c>
      <c r="GD354" s="203">
        <f>IF($J354="",#N/A,SUM(GC$4:GC354))</f>
        <v>0</v>
      </c>
      <c r="GE354" s="204" t="str">
        <f t="shared" si="627"/>
        <v/>
      </c>
      <c r="GF354" s="204">
        <f>IF($J354="",#N/A,SUM(GE$4:GE354))</f>
        <v>0</v>
      </c>
      <c r="GG354" s="205" t="str">
        <f t="shared" si="628"/>
        <v/>
      </c>
      <c r="GH354" s="205">
        <f>IF($J354="",#N/A,SUM(GG$4:GG354))</f>
        <v>-2.9368362277223206</v>
      </c>
      <c r="GI354" s="205">
        <f>IF($J354="",#N/A,SUM(GG$4:GG354,GE$4:GE354,GC$4:GC354))</f>
        <v>-2.9368362277223206</v>
      </c>
      <c r="GJ354" s="200" t="str">
        <f t="shared" si="629"/>
        <v/>
      </c>
      <c r="GK354" s="203">
        <f>IF($J354="",#N/A,SUM(GJ$4:GJ354))</f>
        <v>0</v>
      </c>
      <c r="GL354" s="204" t="str">
        <f t="shared" si="630"/>
        <v/>
      </c>
      <c r="GM354" s="204">
        <f>IF($J354="",#N/A,SUM(GL$4:GL354))</f>
        <v>-2.0621307233432784</v>
      </c>
      <c r="GN354" s="205" t="str">
        <f t="shared" si="631"/>
        <v/>
      </c>
      <c r="GO354" s="205">
        <f>IF($J354="",#N/A,SUM(GN$4:GN354))</f>
        <v>0</v>
      </c>
      <c r="GP354" s="205">
        <f>IF($J354="",#N/A,SUM(GN$4:GN354,GL$4:GL354,GJ$4:GJ354))</f>
        <v>-2.0621307233432784</v>
      </c>
      <c r="GS354" s="303">
        <f t="shared" si="650"/>
        <v>1.1244734338904749</v>
      </c>
      <c r="GT354" s="303">
        <f>IF(GS354="",NA(),SUM($GS$4:GS354))</f>
        <v>13.544840828301734</v>
      </c>
      <c r="GU354" s="303" t="str">
        <f t="shared" si="632"/>
        <v/>
      </c>
      <c r="GV354" s="303" t="e">
        <f>IF(GU354="",NA(),SUM($GU$4:GU354))</f>
        <v>#N/A</v>
      </c>
      <c r="GW354" s="303" t="str">
        <f t="shared" si="633"/>
        <v/>
      </c>
      <c r="GX354" s="303" t="e">
        <f>IF(GW354="",NA(),SUM($GW$4:GW354))</f>
        <v>#N/A</v>
      </c>
      <c r="GY354" s="303">
        <f t="shared" si="634"/>
        <v>1.1244734338904749</v>
      </c>
      <c r="GZ354" s="303">
        <f>IF(GY354="",NA(),SUM($GY$4:GY354))</f>
        <v>6.2404024077149254</v>
      </c>
      <c r="HA354" s="303" t="str">
        <f t="shared" si="635"/>
        <v/>
      </c>
      <c r="HB354" s="303" t="e">
        <f>IF(HA354="",NA(),SUM($HA$4:HA354))</f>
        <v>#N/A</v>
      </c>
      <c r="HC354" s="303" t="str">
        <f t="shared" si="636"/>
        <v/>
      </c>
      <c r="HD354" s="303" t="e">
        <f>IF(HC354="",NA(),SUM($HC$4:HC354))</f>
        <v>#N/A</v>
      </c>
      <c r="HE354" s="303" t="str">
        <f t="shared" si="637"/>
        <v/>
      </c>
      <c r="HF354" s="303" t="e">
        <f>IF(HE354="",NA(),SUM($HE$4:HE354))</f>
        <v>#N/A</v>
      </c>
      <c r="HG354" s="303" t="str">
        <f t="shared" si="638"/>
        <v/>
      </c>
      <c r="HH354" s="303" t="e">
        <f>IF(HG354="",NA(),SUM($HG$4:HG354))</f>
        <v>#N/A</v>
      </c>
      <c r="HI354" s="304">
        <f t="shared" si="651"/>
        <v>-0.25648865334964099</v>
      </c>
      <c r="HJ354" s="304">
        <f>IF($J354="",#N/A,SUM(HI$4:$HI354))</f>
        <v>-9.7504917305571919</v>
      </c>
      <c r="HK354" s="303" t="str">
        <f t="shared" si="639"/>
        <v/>
      </c>
      <c r="HL354" s="303">
        <f>IF($J354="",#N/A,SUM($HK$4:HK354))</f>
        <v>2.7460981583887896</v>
      </c>
      <c r="HM354" s="303" t="str">
        <f t="shared" si="640"/>
        <v/>
      </c>
      <c r="HN354" s="303">
        <f>IF($J354="",#N/A,SUM($HM$4:HM354))</f>
        <v>0.41616915617605843</v>
      </c>
      <c r="HO354" s="303" t="str">
        <f t="shared" si="641"/>
        <v/>
      </c>
      <c r="HP354" s="303">
        <f>IF($J354="",#N/A,SUM($HO$4:HO354))</f>
        <v>-0.86794497590295294</v>
      </c>
      <c r="HQ354" s="303" t="str">
        <f t="shared" si="642"/>
        <v/>
      </c>
      <c r="HR354" s="303">
        <f>IF($J354="",#N/A,SUM($HQ$4:HQ354))</f>
        <v>-11.745401831760597</v>
      </c>
      <c r="HS354" s="303" t="str">
        <f t="shared" si="643"/>
        <v/>
      </c>
      <c r="HT354" s="303">
        <f>IF($J354="",#N/A,SUM($HS$4:HS354))</f>
        <v>15.556531947339323</v>
      </c>
      <c r="HU354" s="305">
        <f t="shared" si="644"/>
        <v>0.86798478054083394</v>
      </c>
      <c r="HV354" s="305">
        <f>IF($J354="",#N/A,SUM(HU$4:$HU354))</f>
        <v>11.36042414874535</v>
      </c>
    </row>
    <row r="355" spans="1:230" x14ac:dyDescent="0.25">
      <c r="A355" s="486" t="s">
        <v>2591</v>
      </c>
      <c r="B355" s="289" t="s">
        <v>5507</v>
      </c>
      <c r="C355" s="487">
        <f t="shared" si="545"/>
        <v>3</v>
      </c>
      <c r="D355" s="488" t="str">
        <f>_xlfn.XLOOKUP(A355,[1]SP500!$A$2:$A$502,[1]SP500!$D$2:$D$502,"N")</f>
        <v>N</v>
      </c>
      <c r="E355" s="486" t="str">
        <f>IFERROR(_xlfn.XLOOKUP(A355,[1]SP500!$A$2:$A$655,[1]SP500!$B$2:$B$655),"")</f>
        <v>IGV</v>
      </c>
      <c r="F355" s="290">
        <v>45798</v>
      </c>
      <c r="G355" s="59" t="str">
        <f t="shared" si="546"/>
        <v>AMC</v>
      </c>
      <c r="H355" s="59" t="str">
        <f t="shared" si="547"/>
        <v>s</v>
      </c>
      <c r="I355" s="376">
        <v>82.27</v>
      </c>
      <c r="J355" s="125">
        <v>80.644999999999996</v>
      </c>
      <c r="K355" s="60">
        <f t="shared" si="548"/>
        <v>-1.9752035979093231E-2</v>
      </c>
      <c r="L355" s="68">
        <f t="shared" si="549"/>
        <v>-26</v>
      </c>
      <c r="M355" s="62">
        <f t="shared" si="550"/>
        <v>1.5199999999999818</v>
      </c>
      <c r="N355" s="63">
        <f t="shared" si="551"/>
        <v>-26</v>
      </c>
      <c r="O355" s="62">
        <f>IF(N355="",#N/A,SUM($N$4:N355))</f>
        <v>748.57937556162517</v>
      </c>
      <c r="P355" s="64">
        <f t="shared" si="645"/>
        <v>-0.32920059965155385</v>
      </c>
      <c r="Q355" s="183">
        <f>IF($N355="",#N/A,SUM($P$4:P355))</f>
        <v>15.192210292577352</v>
      </c>
      <c r="R355" s="279">
        <f t="shared" si="552"/>
        <v>7.4158087755124447</v>
      </c>
      <c r="S355" s="59" t="str">
        <f t="shared" si="553"/>
        <v>SW</v>
      </c>
      <c r="T355" s="59" t="s">
        <v>2828</v>
      </c>
      <c r="U355" s="61">
        <f t="shared" si="554"/>
        <v>82.27</v>
      </c>
      <c r="V355" s="61" t="s">
        <v>4460</v>
      </c>
      <c r="W355" s="142">
        <v>16</v>
      </c>
      <c r="X355" s="146">
        <f t="shared" si="555"/>
        <v>1316.32</v>
      </c>
      <c r="Y355" s="142">
        <f t="shared" si="556"/>
        <v>16</v>
      </c>
      <c r="Z355" s="143">
        <v>80.739999999999995</v>
      </c>
      <c r="AA355" s="63">
        <f t="shared" si="557"/>
        <v>-24.480000000000018</v>
      </c>
      <c r="AB355" s="63">
        <f t="shared" si="558"/>
        <v>-3.2000000000000455</v>
      </c>
      <c r="AC355" s="125">
        <v>82.07</v>
      </c>
      <c r="AD355" s="148">
        <f t="shared" si="559"/>
        <v>-3.2000000000000455</v>
      </c>
      <c r="AE355" s="544">
        <f t="shared" si="560"/>
        <v>-4.0516996880191822E-2</v>
      </c>
      <c r="AF355" s="62">
        <f>IF($AC355="",#N/A,SUM(AD$4:AD355))</f>
        <v>664.03239714744905</v>
      </c>
      <c r="AG355" s="63">
        <f t="shared" si="561"/>
        <v>22.799999999999955</v>
      </c>
      <c r="AH355" s="61" t="s">
        <v>2507</v>
      </c>
      <c r="AI355" s="64">
        <f t="shared" si="562"/>
        <v>-0.30995502613346326</v>
      </c>
      <c r="AJ355" s="420">
        <f>IF(AI355="",#N/A,SUM($AI$4:AI355))</f>
        <v>7.7764015170649072</v>
      </c>
      <c r="AK355" s="62">
        <f t="shared" si="563"/>
        <v>-24.480000000000018</v>
      </c>
      <c r="AL355" s="421">
        <f>IF(AI355="",#N/A,IF(AH355="Skip",SUM($AK$4:AK355),SUM($AK$4:AK355)))</f>
        <v>248.88736927848254</v>
      </c>
      <c r="AM355" s="65">
        <f t="shared" si="646"/>
        <v>-4.0516996880191822E-2</v>
      </c>
      <c r="AN355" s="209"/>
      <c r="AO355" s="64">
        <f t="shared" si="564"/>
        <v>-4.0516996880191822E-2</v>
      </c>
      <c r="AP355" s="64">
        <f>IF($AC355="",#N/A,SUM(AO$4:AO355))</f>
        <v>10.865497667348251</v>
      </c>
      <c r="AQ355" s="64" t="str">
        <f t="shared" si="565"/>
        <v/>
      </c>
      <c r="AR355" s="64">
        <f>IF($AC355="",#N/A,SUM(AQ$4:AQ355))</f>
        <v>-4.9243030834079331</v>
      </c>
      <c r="AS355" s="64" t="str">
        <f t="shared" si="566"/>
        <v/>
      </c>
      <c r="AT355" s="64">
        <f>IF($AC355="",#N/A,SUM(AS$4:AS355))</f>
        <v>5.3787125679248309</v>
      </c>
      <c r="AU355" s="62">
        <f t="shared" si="647"/>
        <v>-3.2000000000000455</v>
      </c>
      <c r="AV355" s="62">
        <f>IF($AC355="",#N/A,SUM(AU$4:AU355))</f>
        <v>598.92627194987995</v>
      </c>
      <c r="AW355" s="62" t="str">
        <f t="shared" si="648"/>
        <v/>
      </c>
      <c r="AX355" s="62">
        <f>IF($AC355="",#N/A,SUM(AW$4:AW355))</f>
        <v>-334.97106797961078</v>
      </c>
      <c r="AY355" s="62" t="str">
        <f t="shared" si="649"/>
        <v/>
      </c>
      <c r="AZ355" s="62">
        <f>IF($AC355="",#N/A,SUM(AY$4:AY355))</f>
        <v>400.07719317717977</v>
      </c>
      <c r="BA355" s="62">
        <f>IF(AD355="",#N/A,SUM($AD$4:AD355))</f>
        <v>664.03239714744905</v>
      </c>
      <c r="BC355" s="59" t="str">
        <f t="shared" si="567"/>
        <v/>
      </c>
      <c r="BD355" s="59" t="str">
        <f t="shared" si="568"/>
        <v/>
      </c>
      <c r="BE355" s="59" t="str">
        <f t="shared" si="569"/>
        <v/>
      </c>
      <c r="BF355" s="59" t="str">
        <f t="shared" si="570"/>
        <v>Long</v>
      </c>
      <c r="BG355" s="59" t="str">
        <f t="shared" si="571"/>
        <v/>
      </c>
      <c r="BH355" s="59" t="str">
        <f t="shared" si="572"/>
        <v/>
      </c>
      <c r="BI355" s="59">
        <f t="shared" si="573"/>
        <v>1</v>
      </c>
      <c r="BK355" s="65">
        <f t="shared" si="544"/>
        <v>9.6459302941917638E-2</v>
      </c>
      <c r="BL355" s="65">
        <f t="shared" si="652"/>
        <v>2.0496331173558032E-2</v>
      </c>
      <c r="BM355" s="65">
        <f>IFERROR(Q355/COUNTA($J$4:J355),#N/A)</f>
        <v>4.3159688331185657E-2</v>
      </c>
      <c r="BO355" s="489">
        <f>IF(J355="",#N/A,IF(S355="SW",(COUNTIFS(K$4:$K355,"&gt;0",S$4:$S355,"SW")/COUNTIF(S$4:$S355,"SW")),#N/A))</f>
        <v>0.51204819277108438</v>
      </c>
      <c r="BP355" s="489" t="e">
        <f>IF($J355="",#N/A,IF($S355="DWN",(COUNTIFS($K$4:$K355,"&lt;0",$S$4:$S355,"DWN")/COUNTIF($S$4:$S355,"DWN")),#N/A))</f>
        <v>#N/A</v>
      </c>
      <c r="BQ355" s="489" t="e">
        <f>IF($J355="",#N/A,IF($S355="UP",(COUNTIFS($K$4:$K355,"&gt;0",$S$4:$S355,"UP")/COUNTIF($S$4:$S355,"UP")),#N/A))</f>
        <v>#N/A</v>
      </c>
      <c r="BR355" s="489">
        <f>IF(J355="",#N/A,COUNTIF($K$4:K355,"&gt;0")/COUNT($J$4:J355))</f>
        <v>0.47443181818181818</v>
      </c>
      <c r="BS355" s="65" t="str">
        <f t="shared" si="574"/>
        <v/>
      </c>
      <c r="BT355" s="65">
        <f t="shared" si="575"/>
        <v>-0.32920059965155385</v>
      </c>
      <c r="BU355" s="65" t="str">
        <f t="shared" si="576"/>
        <v/>
      </c>
      <c r="BV355" s="65" t="str">
        <f t="shared" si="577"/>
        <v/>
      </c>
      <c r="BW355" s="128" t="str">
        <f t="shared" si="578"/>
        <v/>
      </c>
      <c r="BX355" s="128">
        <f>IF($J355="",#N/A,SUM($BW$4:BW355))</f>
        <v>-298.52817034792838</v>
      </c>
      <c r="BY355" s="131" t="str">
        <f t="shared" si="579"/>
        <v/>
      </c>
      <c r="BZ355" s="131">
        <f>IF($J355="",#N/A,SUM($BY$4:BY355))</f>
        <v>726.64661346139485</v>
      </c>
      <c r="CA355" s="133">
        <f t="shared" si="580"/>
        <v>-26</v>
      </c>
      <c r="CB355" s="133">
        <f>IF($J355="",#N/A,SUM($CA$4:CA355))</f>
        <v>320.46093244815859</v>
      </c>
      <c r="CC355" s="194" t="str">
        <f t="shared" si="581"/>
        <v/>
      </c>
      <c r="CD355" s="194">
        <f>IF($J355="",#N/A,SUM($CC$4:CC355))</f>
        <v>-4.4725272636810356</v>
      </c>
      <c r="CE355" s="195" t="str">
        <f t="shared" si="582"/>
        <v/>
      </c>
      <c r="CF355" s="195">
        <f>IF($J355="",#N/A,SUM($CE$4:CE355))</f>
        <v>12.383106140093243</v>
      </c>
      <c r="CG355" s="196">
        <f t="shared" si="583"/>
        <v>-0.32920059965155385</v>
      </c>
      <c r="CH355" s="196">
        <f>IF($J355="",#N/A,SUM($CG$4:CG355))</f>
        <v>7.2816314161651494</v>
      </c>
      <c r="CI355" s="200" t="str">
        <f t="shared" si="584"/>
        <v/>
      </c>
      <c r="CJ355" s="203">
        <f>IF($J355="",#N/A,SUM(CI$4:CI355))</f>
        <v>0</v>
      </c>
      <c r="CK355" s="204" t="str">
        <f t="shared" si="585"/>
        <v/>
      </c>
      <c r="CL355" s="204">
        <f>IF($J355="",#N/A,SUM(CK$4:CK355))</f>
        <v>1.2912501745213723</v>
      </c>
      <c r="CM355" s="205" t="str">
        <f t="shared" si="586"/>
        <v/>
      </c>
      <c r="CN355" s="205">
        <f>IF($J355="",#N/A,SUM(CM$4:CM355))</f>
        <v>1.357235719871134</v>
      </c>
      <c r="CO355" s="205">
        <f>IF($J355="",#N/A,SUM(CM$4:CM355,CK$4:CK355,CI$4:CI355))</f>
        <v>2.6484858943925063</v>
      </c>
      <c r="CP355" s="200" t="str">
        <f t="shared" si="587"/>
        <v/>
      </c>
      <c r="CQ355" s="203">
        <f>IF($J355="",#N/A,SUM(CP$4:CP355))</f>
        <v>-3.0687583652268549</v>
      </c>
      <c r="CR355" s="204" t="str">
        <f t="shared" si="588"/>
        <v/>
      </c>
      <c r="CS355" s="204">
        <f>IF($J355="",#N/A,SUM(CR$4:CR355))</f>
        <v>2.3600225017004668</v>
      </c>
      <c r="CT355" s="205">
        <f t="shared" si="589"/>
        <v>-0.32920059965155385</v>
      </c>
      <c r="CU355" s="205">
        <f>IF($J355="",#N/A,SUM(CT$4:CT355))</f>
        <v>-3.1872377407569323</v>
      </c>
      <c r="CV355" s="205">
        <f>IF($J355="",#N/A,SUM(CT$4:CT355,CR$4:CR355,CP$4:CP355))</f>
        <v>-3.8959736042833208</v>
      </c>
      <c r="CW355" s="200" t="str">
        <f t="shared" si="590"/>
        <v/>
      </c>
      <c r="CX355" s="203">
        <f>IF($J355="",#N/A,SUM(CW$4:CW355))</f>
        <v>-0.76090382686489777</v>
      </c>
      <c r="CY355" s="204" t="str">
        <f t="shared" si="591"/>
        <v/>
      </c>
      <c r="CZ355" s="204">
        <f>IF($J355="",#N/A,SUM(CY$4:CY355))</f>
        <v>-0.30570416115784371</v>
      </c>
      <c r="DA355" s="205" t="str">
        <f t="shared" si="592"/>
        <v/>
      </c>
      <c r="DB355" s="205">
        <f>IF($J355="",#N/A,SUM(DA$4:DA355))</f>
        <v>-2.4685516361569055</v>
      </c>
      <c r="DC355" s="205">
        <f>IF($J355="",#N/A,SUM(DA$4:DA355,CY$4:CY355,CW$4:CW355))</f>
        <v>-3.5351596241796459</v>
      </c>
      <c r="DD355" s="200" t="str">
        <f t="shared" si="593"/>
        <v/>
      </c>
      <c r="DE355" s="203">
        <f>IF($J355="",#N/A,SUM(DD$4:DD355))</f>
        <v>1.2501454750716789</v>
      </c>
      <c r="DF355" s="204" t="str">
        <f t="shared" si="594"/>
        <v/>
      </c>
      <c r="DG355" s="204">
        <f>IF($J355="",#N/A,SUM(DF$4:DF355))</f>
        <v>4.1810385231482243</v>
      </c>
      <c r="DH355" s="205" t="str">
        <f t="shared" si="595"/>
        <v/>
      </c>
      <c r="DI355" s="205">
        <f>IF($J355="",#N/A,SUM(DH$4:DH355))</f>
        <v>-3.216671910770577</v>
      </c>
      <c r="DJ355" s="205">
        <f>IF($J355="",#N/A,SUM(DH$4:DH355,DF$4:DF355,DD$4:DD355))</f>
        <v>2.214512087449326</v>
      </c>
      <c r="DK355" s="200" t="str">
        <f t="shared" si="596"/>
        <v/>
      </c>
      <c r="DL355" s="203">
        <f>IF($J355="",#N/A,SUM(DK$4:DK355))</f>
        <v>-0.84049791589649614</v>
      </c>
      <c r="DM355" s="204" t="str">
        <f t="shared" si="597"/>
        <v/>
      </c>
      <c r="DN355" s="204">
        <f>IF($J355="",#N/A,SUM(DM$4:DM355))</f>
        <v>1.8657648196498773</v>
      </c>
      <c r="DO355" s="205" t="str">
        <f t="shared" si="598"/>
        <v/>
      </c>
      <c r="DP355" s="205">
        <f>IF($J355="",#N/A,SUM(DO$4:DO355))</f>
        <v>3.4887162328793941</v>
      </c>
      <c r="DQ355" s="205">
        <f>IF($J355="",#N/A,SUM(DO$4:DO355,DM$4:DM355,DK$4:DK355))</f>
        <v>4.5139831366327758</v>
      </c>
      <c r="DR355" s="200" t="str">
        <f t="shared" si="599"/>
        <v/>
      </c>
      <c r="DS355" s="203">
        <f>IF($J355="",#N/A,SUM(DR$4:DR355))</f>
        <v>-0.55950946427675097</v>
      </c>
      <c r="DT355" s="204" t="str">
        <f t="shared" si="600"/>
        <v/>
      </c>
      <c r="DU355" s="204">
        <f>IF($J355="",#N/A,SUM(DT$4:DT355))</f>
        <v>-0.20750635820596686</v>
      </c>
      <c r="DV355" s="205" t="str">
        <f t="shared" si="601"/>
        <v/>
      </c>
      <c r="DW355" s="205">
        <f>IF($J355="",#N/A,SUM(DV$4:DV355))</f>
        <v>-2.3377035686214001</v>
      </c>
      <c r="DX355" s="205">
        <f>IF($J355="",#N/A,SUM(DV$4:DV355,DT$4:DT355,DR$4:DR355))</f>
        <v>-3.1047193911041169</v>
      </c>
      <c r="DY355" s="200" t="str">
        <f t="shared" si="602"/>
        <v/>
      </c>
      <c r="DZ355" s="203">
        <f>IF($J355="",#N/A,SUM(DY$4:DY355))</f>
        <v>-1.4146842415208627</v>
      </c>
      <c r="EA355" s="204" t="str">
        <f t="shared" si="603"/>
        <v/>
      </c>
      <c r="EB355" s="204">
        <f>IF($J355="",#N/A,SUM(EA$4:EA355))</f>
        <v>4.3184391548878134</v>
      </c>
      <c r="EC355" s="205" t="str">
        <f t="shared" si="604"/>
        <v/>
      </c>
      <c r="ED355" s="205">
        <f>IF($J355="",#N/A,SUM(EC$4:EC355))</f>
        <v>9.2956923798665674</v>
      </c>
      <c r="EE355" s="205">
        <f>IF($J355="",#N/A,SUM(EC$4:EC355,EA$4:EA355,DY$4:DY355))</f>
        <v>12.199447293233519</v>
      </c>
      <c r="EF355" s="200" t="str">
        <f t="shared" si="605"/>
        <v/>
      </c>
      <c r="EG355" s="203">
        <f>IF($J355="",#N/A,SUM(EF$4:EF355))</f>
        <v>0.65848341369884777</v>
      </c>
      <c r="EH355" s="204" t="str">
        <f t="shared" si="606"/>
        <v/>
      </c>
      <c r="EI355" s="204">
        <f>IF($J355="",#N/A,SUM(EH$4:EH355))</f>
        <v>-3.5125331561187787</v>
      </c>
      <c r="EJ355" s="205" t="str">
        <f t="shared" si="607"/>
        <v/>
      </c>
      <c r="EK355" s="205">
        <f>IF($J355="",#N/A,SUM(EJ$4:EJ355))</f>
        <v>8.4840381642896556</v>
      </c>
      <c r="EL355" s="205">
        <f>IF($J355="",#N/A,SUM(EJ$4:EJ355,EH$4:EH355,EF$4:EF355))</f>
        <v>5.6299884218697258</v>
      </c>
      <c r="EM355" s="200" t="str">
        <f t="shared" si="608"/>
        <v/>
      </c>
      <c r="EN355" s="203">
        <f>IF($J355="",#N/A,SUM(EM$4:EM355))</f>
        <v>0</v>
      </c>
      <c r="EO355" s="204" t="str">
        <f t="shared" si="609"/>
        <v/>
      </c>
      <c r="EP355" s="204">
        <f>IF($J355="",#N/A,SUM(EO$4:EO355))</f>
        <v>2.4788862078089964</v>
      </c>
      <c r="EQ355" s="205" t="str">
        <f t="shared" si="610"/>
        <v/>
      </c>
      <c r="ER355" s="205">
        <f>IF($J355="",#N/A,SUM(EQ$4:EQ355))</f>
        <v>1.7856049065476487</v>
      </c>
      <c r="ES355" s="205">
        <f>IF($J355="",#N/A,SUM(EQ$4:EQ355,EO$4:EO355,EM$4:EM355))</f>
        <v>4.2644911143566446</v>
      </c>
      <c r="ET355" s="200" t="str">
        <f t="shared" si="611"/>
        <v/>
      </c>
      <c r="EU355" s="203">
        <f>IF($J355="",#N/A,SUM(ET$4:ET355))</f>
        <v>0</v>
      </c>
      <c r="EV355" s="204" t="str">
        <f t="shared" si="612"/>
        <v/>
      </c>
      <c r="EW355" s="204">
        <f>IF($J355="",#N/A,SUM(EV$4:EV355))</f>
        <v>7.9116394275462909E-2</v>
      </c>
      <c r="EX355" s="205" t="str">
        <f t="shared" si="613"/>
        <v/>
      </c>
      <c r="EY355" s="205">
        <f>IF($J355="",#N/A,SUM(EX$4:EX355))</f>
        <v>-0.33163335417804801</v>
      </c>
      <c r="EZ355" s="205">
        <f>IF($J355="",#N/A,SUM(EX$4:EX355,EV$4:EV355,ET$4:ET355))</f>
        <v>-0.25251695990258494</v>
      </c>
      <c r="FA355" s="200" t="str">
        <f t="shared" si="614"/>
        <v/>
      </c>
      <c r="FB355" s="203">
        <f>IF($J355="",#N/A,SUM(FA$4:FA355))</f>
        <v>-0.27145310509113252</v>
      </c>
      <c r="FC355" s="204" t="str">
        <f t="shared" si="615"/>
        <v/>
      </c>
      <c r="FD355" s="204">
        <f>IF($J355="",#N/A,SUM(FC$4:FC355))</f>
        <v>0.89084290967454072</v>
      </c>
      <c r="FE355" s="205" t="str">
        <f t="shared" si="616"/>
        <v/>
      </c>
      <c r="FF355" s="205">
        <f>IF($J355="",#N/A,SUM(FE$4:FE355))</f>
        <v>-0.28811149078748233</v>
      </c>
      <c r="FG355" s="205">
        <f>IF($J355="",#N/A,SUM(FE$4:FE355,FC$4:FC355,FA$4:FA355))</f>
        <v>0.3312783137959262</v>
      </c>
      <c r="FH355" s="200" t="str">
        <f t="shared" si="617"/>
        <v/>
      </c>
      <c r="FI355" s="203">
        <f>IF($J355="",#N/A,SUM(FH$4:FH355))</f>
        <v>0</v>
      </c>
      <c r="FJ355" s="204" t="str">
        <f t="shared" si="618"/>
        <v/>
      </c>
      <c r="FK355" s="204">
        <f>IF($J355="",#N/A,SUM(FJ$4:FJ355))</f>
        <v>0</v>
      </c>
      <c r="FL355" s="205" t="str">
        <f t="shared" si="619"/>
        <v/>
      </c>
      <c r="FM355" s="205">
        <f>IF($J355="",#N/A,SUM(FL$4:FL355))</f>
        <v>0</v>
      </c>
      <c r="FN355" s="205">
        <f>IF($J355="",#N/A,SUM(FL$4:FL355,FJ$4:FJ355,FH$4:FH355))</f>
        <v>0</v>
      </c>
      <c r="FO355" s="200" t="str">
        <f t="shared" si="620"/>
        <v/>
      </c>
      <c r="FP355" s="203">
        <f>IF($J355="",#N/A,SUM(FO$4:FO355))</f>
        <v>0</v>
      </c>
      <c r="FQ355" s="204" t="str">
        <f t="shared" si="621"/>
        <v/>
      </c>
      <c r="FR355" s="204">
        <f>IF($J355="",#N/A,SUM(FQ$4:FQ355))</f>
        <v>0</v>
      </c>
      <c r="FS355" s="205" t="str">
        <f t="shared" si="622"/>
        <v/>
      </c>
      <c r="FT355" s="205">
        <f>IF($J355="",#N/A,SUM(FS$4:FS355))</f>
        <v>0</v>
      </c>
      <c r="FU355" s="205">
        <f>IF($J355="",#N/A,SUM(FS$4:FS355,FQ$4:FQ355,FO$4:FO355))</f>
        <v>0</v>
      </c>
      <c r="FV355" s="200" t="str">
        <f t="shared" si="623"/>
        <v/>
      </c>
      <c r="FW355" s="203">
        <f>IF($J355="",#N/A,SUM(FV$4:FV355))</f>
        <v>6.6834991831277585E-2</v>
      </c>
      <c r="FX355" s="204" t="str">
        <f t="shared" si="624"/>
        <v/>
      </c>
      <c r="FY355" s="204">
        <f>IF($J355="",#N/A,SUM(FX$4:FX355))</f>
        <v>-0.16102012791805576</v>
      </c>
      <c r="FZ355" s="205" t="str">
        <f t="shared" si="625"/>
        <v/>
      </c>
      <c r="GA355" s="205">
        <f>IF($J355="",#N/A,SUM(FZ$4:FZ355))</f>
        <v>-0.69624339162892301</v>
      </c>
      <c r="GB355" s="205">
        <f>IF($J355="",#N/A,SUM(FZ$4:FZ355,FX$4:FX355,FV$4:FV355))</f>
        <v>-0.79042852771570116</v>
      </c>
      <c r="GC355" s="200" t="str">
        <f t="shared" si="626"/>
        <v/>
      </c>
      <c r="GD355" s="203">
        <f>IF($J355="",#N/A,SUM(GC$4:GC355))</f>
        <v>0</v>
      </c>
      <c r="GE355" s="204" t="str">
        <f t="shared" si="627"/>
        <v/>
      </c>
      <c r="GF355" s="204">
        <f>IF($J355="",#N/A,SUM(GE$4:GE355))</f>
        <v>0</v>
      </c>
      <c r="GG355" s="205" t="str">
        <f t="shared" si="628"/>
        <v/>
      </c>
      <c r="GH355" s="205">
        <f>IF($J355="",#N/A,SUM(GG$4:GG355))</f>
        <v>-2.9368362277223206</v>
      </c>
      <c r="GI355" s="205">
        <f>IF($J355="",#N/A,SUM(GG$4:GG355,GE$4:GE355,GC$4:GC355))</f>
        <v>-2.9368362277223206</v>
      </c>
      <c r="GJ355" s="200" t="str">
        <f t="shared" si="629"/>
        <v/>
      </c>
      <c r="GK355" s="203">
        <f>IF($J355="",#N/A,SUM(GJ$4:GJ355))</f>
        <v>0</v>
      </c>
      <c r="GL355" s="204" t="str">
        <f t="shared" si="630"/>
        <v/>
      </c>
      <c r="GM355" s="204">
        <f>IF($J355="",#N/A,SUM(GL$4:GL355))</f>
        <v>-2.0621307233432784</v>
      </c>
      <c r="GN355" s="205" t="str">
        <f t="shared" si="631"/>
        <v/>
      </c>
      <c r="GO355" s="205">
        <f>IF($J355="",#N/A,SUM(GN$4:GN355))</f>
        <v>0</v>
      </c>
      <c r="GP355" s="205">
        <f>IF($J355="",#N/A,SUM(GN$4:GN355,GL$4:GL355,GJ$4:GJ355))</f>
        <v>-2.0621307233432784</v>
      </c>
      <c r="GS355" s="177" t="str">
        <f t="shared" si="650"/>
        <v/>
      </c>
      <c r="GT355" s="177" t="e">
        <f>IF(GS355="",NA(),SUM($GS$4:GS355))</f>
        <v>#N/A</v>
      </c>
      <c r="GU355" s="177" t="str">
        <f t="shared" si="632"/>
        <v/>
      </c>
      <c r="GV355" s="177" t="e">
        <f>IF(GU355="",NA(),SUM($GU$4:GU355))</f>
        <v>#N/A</v>
      </c>
      <c r="GW355" s="177" t="str">
        <f t="shared" si="633"/>
        <v/>
      </c>
      <c r="GX355" s="177" t="e">
        <f>IF(GW355="",NA(),SUM($GW$4:GW355))</f>
        <v>#N/A</v>
      </c>
      <c r="GY355" s="177" t="str">
        <f t="shared" si="634"/>
        <v/>
      </c>
      <c r="GZ355" s="177" t="e">
        <f>IF(GY355="",NA(),SUM($GY$4:GY355))</f>
        <v>#N/A</v>
      </c>
      <c r="HA355" s="177">
        <f t="shared" si="635"/>
        <v>-0.32920059965155385</v>
      </c>
      <c r="HB355" s="177">
        <f>IF(HA355="",NA(),SUM($HA$4:HA355))</f>
        <v>1.647369464275616</v>
      </c>
      <c r="HC355" s="177" t="str">
        <f t="shared" si="636"/>
        <v/>
      </c>
      <c r="HD355" s="177" t="e">
        <f>IF(HC355="",NA(),SUM($HC$4:HC355))</f>
        <v>#N/A</v>
      </c>
      <c r="HE355" s="177">
        <f t="shared" si="637"/>
        <v>-0.32920059965155385</v>
      </c>
      <c r="HF355" s="177">
        <f>IF(HE355="",NA(),SUM($HE$4:HE355))</f>
        <v>-5.1769380494536108</v>
      </c>
      <c r="HG355" s="177" t="str">
        <f t="shared" si="638"/>
        <v/>
      </c>
      <c r="HH355" s="177" t="e">
        <f>IF(HG355="",NA(),SUM($HG$4:HG355))</f>
        <v>#N/A</v>
      </c>
      <c r="HI355" s="183" t="str">
        <f t="shared" si="651"/>
        <v/>
      </c>
      <c r="HJ355" s="183">
        <f>IF($J355="",#N/A,SUM(HI$4:$HI355))</f>
        <v>-9.7504917305571919</v>
      </c>
      <c r="HK355" s="177" t="str">
        <f t="shared" si="639"/>
        <v/>
      </c>
      <c r="HL355" s="177">
        <f>IF($J355="",#N/A,SUM($HK$4:HK355))</f>
        <v>2.7460981583887896</v>
      </c>
      <c r="HM355" s="177" t="str">
        <f t="shared" si="640"/>
        <v/>
      </c>
      <c r="HN355" s="177">
        <f>IF($J355="",#N/A,SUM($HM$4:HM355))</f>
        <v>0.41616915617605843</v>
      </c>
      <c r="HO355" s="177" t="str">
        <f t="shared" si="641"/>
        <v/>
      </c>
      <c r="HP355" s="177">
        <f>IF($J355="",#N/A,SUM($HO$4:HO355))</f>
        <v>-0.86794497590295294</v>
      </c>
      <c r="HQ355" s="177" t="str">
        <f t="shared" si="642"/>
        <v/>
      </c>
      <c r="HR355" s="177">
        <f>IF($J355="",#N/A,SUM($HQ$4:HQ355))</f>
        <v>-11.745401831760597</v>
      </c>
      <c r="HS355" s="177">
        <f t="shared" si="643"/>
        <v>0.28868360277136201</v>
      </c>
      <c r="HT355" s="177">
        <f>IF($J355="",#N/A,SUM($HS$4:HS355))</f>
        <v>15.845215550110685</v>
      </c>
      <c r="HU355" s="64">
        <f t="shared" si="644"/>
        <v>-4.0516996880191822E-2</v>
      </c>
      <c r="HV355" s="64">
        <f>IF($J355="",#N/A,SUM(HU$4:$HU355))</f>
        <v>11.319907151865159</v>
      </c>
    </row>
    <row r="356" spans="1:230" x14ac:dyDescent="0.25">
      <c r="A356" s="59" t="s">
        <v>1141</v>
      </c>
      <c r="B356" s="289" t="s">
        <v>5508</v>
      </c>
      <c r="C356" s="230">
        <f t="shared" si="545"/>
        <v>3</v>
      </c>
      <c r="D356" s="220" t="str">
        <f>_xlfn.XLOOKUP(A356,[1]SP500!$A$2:$A$502,[1]SP500!$D$2:$D$502,"N")</f>
        <v>Y</v>
      </c>
      <c r="E356" s="59" t="str">
        <f>IFERROR(_xlfn.XLOOKUP(A356,[1]SP500!$A$2:$A$655,[1]SP500!$B$2:$B$655),"")</f>
        <v>SMH</v>
      </c>
      <c r="F356" s="290">
        <v>45799</v>
      </c>
      <c r="G356" s="59" t="str">
        <f t="shared" si="546"/>
        <v>BMO</v>
      </c>
      <c r="H356" s="59" t="str">
        <f t="shared" si="547"/>
        <v>s</v>
      </c>
      <c r="I356" s="376">
        <v>222.22</v>
      </c>
      <c r="J356" s="125">
        <v>221.46</v>
      </c>
      <c r="K356" s="60">
        <f t="shared" si="548"/>
        <v>-3.4200342003419624E-3</v>
      </c>
      <c r="L356" s="68">
        <f t="shared" si="549"/>
        <v>-4.5599999999999454</v>
      </c>
      <c r="M356" s="62">
        <f t="shared" si="550"/>
        <v>0.11999999999989086</v>
      </c>
      <c r="N356" s="63">
        <f t="shared" si="551"/>
        <v>-4.5599999999999454</v>
      </c>
      <c r="O356" s="62">
        <f>IF(N356="",#N/A,SUM($N$4:N356))</f>
        <v>744.01937556162522</v>
      </c>
      <c r="P356" s="64">
        <f t="shared" si="645"/>
        <v>-5.7000570005699386E-2</v>
      </c>
      <c r="Q356" s="183">
        <f>IF($N356="",#N/A,SUM($P$4:P356))</f>
        <v>15.135209722571652</v>
      </c>
      <c r="R356" s="279">
        <f t="shared" si="552"/>
        <v>7.4143087605122959</v>
      </c>
      <c r="S356" s="59" t="str">
        <f t="shared" si="553"/>
        <v>SW</v>
      </c>
      <c r="T356" s="59" t="s">
        <v>2828</v>
      </c>
      <c r="U356" s="61">
        <f t="shared" si="554"/>
        <v>222.22</v>
      </c>
      <c r="V356" s="61" t="s">
        <v>4460</v>
      </c>
      <c r="W356" s="142">
        <v>6</v>
      </c>
      <c r="X356" s="146">
        <f t="shared" si="555"/>
        <v>1333.32</v>
      </c>
      <c r="Y356" s="142">
        <f t="shared" si="556"/>
        <v>6</v>
      </c>
      <c r="Z356" s="143">
        <v>221.48</v>
      </c>
      <c r="AA356" s="63">
        <f t="shared" si="557"/>
        <v>-4.4400000000000546</v>
      </c>
      <c r="AB356" s="63">
        <f t="shared" si="558"/>
        <v>-61.740000000000009</v>
      </c>
      <c r="AC356" s="125">
        <v>211.93</v>
      </c>
      <c r="AD356" s="148">
        <f t="shared" si="559"/>
        <v>-61.740000000000009</v>
      </c>
      <c r="AE356" s="544">
        <f t="shared" si="560"/>
        <v>-0.77175771757717604</v>
      </c>
      <c r="AF356" s="62">
        <f>IF($AC356="",#N/A,SUM(AD$4:AD356))</f>
        <v>602.29239714744904</v>
      </c>
      <c r="AG356" s="63">
        <f t="shared" si="561"/>
        <v>-57.180000000000064</v>
      </c>
      <c r="AH356" s="61" t="s">
        <v>2507</v>
      </c>
      <c r="AI356" s="64">
        <f t="shared" si="562"/>
        <v>-5.5500555005550747E-2</v>
      </c>
      <c r="AJ356" s="420">
        <f>IF(AI356="",#N/A,SUM($AI$4:AI356))</f>
        <v>7.7209009620593561</v>
      </c>
      <c r="AK356" s="62">
        <f t="shared" si="563"/>
        <v>-4.4400000000000546</v>
      </c>
      <c r="AL356" s="421">
        <f>IF(AI356="",#N/A,IF(AH356="Skip",SUM($AK$4:AK356),SUM($AK$4:AK356)))</f>
        <v>244.44736927848248</v>
      </c>
      <c r="AM356" s="65">
        <f t="shared" si="646"/>
        <v>-0.77175771757717604</v>
      </c>
      <c r="AN356" s="209"/>
      <c r="AO356" s="64">
        <f t="shared" si="564"/>
        <v>-0.77175771757717604</v>
      </c>
      <c r="AP356" s="64">
        <f>IF($AC356="",#N/A,SUM(AO$4:AO356))</f>
        <v>10.093739949771075</v>
      </c>
      <c r="AQ356" s="64" t="str">
        <f t="shared" si="565"/>
        <v/>
      </c>
      <c r="AR356" s="64">
        <f>IF($AC356="",#N/A,SUM(AQ$4:AQ356))</f>
        <v>-4.9243030834079331</v>
      </c>
      <c r="AS356" s="64" t="str">
        <f t="shared" si="566"/>
        <v/>
      </c>
      <c r="AT356" s="64">
        <f>IF($AC356="",#N/A,SUM(AS$4:AS356))</f>
        <v>5.3787125679248309</v>
      </c>
      <c r="AU356" s="62">
        <f t="shared" si="647"/>
        <v>-61.740000000000009</v>
      </c>
      <c r="AV356" s="62">
        <f>IF($AC356="",#N/A,SUM(AU$4:AU356))</f>
        <v>537.18627194987994</v>
      </c>
      <c r="AW356" s="62" t="str">
        <f t="shared" si="648"/>
        <v/>
      </c>
      <c r="AX356" s="62">
        <f>IF($AC356="",#N/A,SUM(AW$4:AW356))</f>
        <v>-334.97106797961078</v>
      </c>
      <c r="AY356" s="62" t="str">
        <f t="shared" si="649"/>
        <v/>
      </c>
      <c r="AZ356" s="62">
        <f>IF($AC356="",#N/A,SUM(AY$4:AY356))</f>
        <v>400.07719317717977</v>
      </c>
      <c r="BA356" s="62">
        <f>IF(AD356="",#N/A,SUM($AD$4:AD356))</f>
        <v>602.29239714744904</v>
      </c>
      <c r="BC356" s="59" t="str">
        <f t="shared" si="567"/>
        <v/>
      </c>
      <c r="BD356" s="59" t="str">
        <f t="shared" si="568"/>
        <v/>
      </c>
      <c r="BE356" s="59" t="str">
        <f t="shared" si="569"/>
        <v/>
      </c>
      <c r="BF356" s="59" t="str">
        <f t="shared" si="570"/>
        <v>Long</v>
      </c>
      <c r="BG356" s="59" t="str">
        <f t="shared" si="571"/>
        <v/>
      </c>
      <c r="BH356" s="59" t="str">
        <f t="shared" si="572"/>
        <v/>
      </c>
      <c r="BI356" s="59">
        <f t="shared" si="573"/>
        <v>1</v>
      </c>
      <c r="BK356" s="65">
        <f t="shared" si="544"/>
        <v>8.3848954367241144E-2</v>
      </c>
      <c r="BL356" s="65">
        <f t="shared" si="652"/>
        <v>4.926687292904923E-2</v>
      </c>
      <c r="BM356" s="65">
        <f>IFERROR(Q356/COUNTA($J$4:J356),#N/A)</f>
        <v>4.2875948222582581E-2</v>
      </c>
      <c r="BO356" s="489">
        <f>IF(J356="",#N/A,IF(S356="SW",(COUNTIFS(K$4:$K356,"&gt;0",S$4:$S356,"SW")/COUNTIF(S$4:$S356,"SW")),#N/A))</f>
        <v>0.50898203592814373</v>
      </c>
      <c r="BP356" s="489" t="e">
        <f>IF($J356="",#N/A,IF($S356="DWN",(COUNTIFS($K$4:$K356,"&lt;0",$S$4:$S356,"DWN")/COUNTIF($S$4:$S356,"DWN")),#N/A))</f>
        <v>#N/A</v>
      </c>
      <c r="BQ356" s="489" t="e">
        <f>IF($J356="",#N/A,IF($S356="UP",(COUNTIFS($K$4:$K356,"&gt;0",$S$4:$S356,"UP")/COUNTIF($S$4:$S356,"UP")),#N/A))</f>
        <v>#N/A</v>
      </c>
      <c r="BR356" s="489">
        <f>IF(J356="",#N/A,COUNTIF($K$4:K356,"&gt;0")/COUNT($J$4:J356))</f>
        <v>0.47308781869688388</v>
      </c>
      <c r="BS356" s="65" t="str">
        <f t="shared" si="574"/>
        <v/>
      </c>
      <c r="BT356" s="65">
        <f t="shared" si="575"/>
        <v>-5.7000570005699386E-2</v>
      </c>
      <c r="BU356" s="65" t="str">
        <f t="shared" si="576"/>
        <v/>
      </c>
      <c r="BV356" s="65" t="str">
        <f t="shared" si="577"/>
        <v/>
      </c>
      <c r="BW356" s="128" t="str">
        <f t="shared" si="578"/>
        <v/>
      </c>
      <c r="BX356" s="128">
        <f>IF($J356="",#N/A,SUM($BW$4:BW356))</f>
        <v>-298.52817034792838</v>
      </c>
      <c r="BY356" s="131" t="str">
        <f t="shared" si="579"/>
        <v/>
      </c>
      <c r="BZ356" s="131">
        <f>IF($J356="",#N/A,SUM($BY$4:BY356))</f>
        <v>726.64661346139485</v>
      </c>
      <c r="CA356" s="133">
        <f t="shared" si="580"/>
        <v>-4.5599999999999454</v>
      </c>
      <c r="CB356" s="133">
        <f>IF($J356="",#N/A,SUM($CA$4:CA356))</f>
        <v>315.90093244815864</v>
      </c>
      <c r="CC356" s="194" t="str">
        <f t="shared" si="581"/>
        <v/>
      </c>
      <c r="CD356" s="194">
        <f>IF($J356="",#N/A,SUM($CC$4:CC356))</f>
        <v>-4.4725272636810356</v>
      </c>
      <c r="CE356" s="195" t="str">
        <f t="shared" si="582"/>
        <v/>
      </c>
      <c r="CF356" s="195">
        <f>IF($J356="",#N/A,SUM($CE$4:CE356))</f>
        <v>12.383106140093243</v>
      </c>
      <c r="CG356" s="196">
        <f t="shared" si="583"/>
        <v>-5.7000570005699386E-2</v>
      </c>
      <c r="CH356" s="196">
        <f>IF($J356="",#N/A,SUM($CG$4:CG356))</f>
        <v>7.2246308461594504</v>
      </c>
      <c r="CI356" s="200" t="str">
        <f t="shared" si="584"/>
        <v/>
      </c>
      <c r="CJ356" s="203">
        <f>IF($J356="",#N/A,SUM(CI$4:CI356))</f>
        <v>0</v>
      </c>
      <c r="CK356" s="204" t="str">
        <f t="shared" si="585"/>
        <v/>
      </c>
      <c r="CL356" s="204">
        <f>IF($J356="",#N/A,SUM(CK$4:CK356))</f>
        <v>1.2912501745213723</v>
      </c>
      <c r="CM356" s="205" t="str">
        <f t="shared" si="586"/>
        <v/>
      </c>
      <c r="CN356" s="205">
        <f>IF($J356="",#N/A,SUM(CM$4:CM356))</f>
        <v>1.357235719871134</v>
      </c>
      <c r="CO356" s="205">
        <f>IF($J356="",#N/A,SUM(CM$4:CM356,CK$4:CK356,CI$4:CI356))</f>
        <v>2.6484858943925063</v>
      </c>
      <c r="CP356" s="200" t="str">
        <f t="shared" si="587"/>
        <v/>
      </c>
      <c r="CQ356" s="203">
        <f>IF($J356="",#N/A,SUM(CP$4:CP356))</f>
        <v>-3.0687583652268549</v>
      </c>
      <c r="CR356" s="204" t="str">
        <f t="shared" si="588"/>
        <v/>
      </c>
      <c r="CS356" s="204">
        <f>IF($J356="",#N/A,SUM(CR$4:CR356))</f>
        <v>2.3600225017004668</v>
      </c>
      <c r="CT356" s="205" t="str">
        <f t="shared" si="589"/>
        <v/>
      </c>
      <c r="CU356" s="205">
        <f>IF($J356="",#N/A,SUM(CT$4:CT356))</f>
        <v>-3.1872377407569323</v>
      </c>
      <c r="CV356" s="205">
        <f>IF($J356="",#N/A,SUM(CT$4:CT356,CR$4:CR356,CP$4:CP356))</f>
        <v>-3.8959736042833208</v>
      </c>
      <c r="CW356" s="200" t="str">
        <f t="shared" si="590"/>
        <v/>
      </c>
      <c r="CX356" s="203">
        <f>IF($J356="",#N/A,SUM(CW$4:CW356))</f>
        <v>-0.76090382686489777</v>
      </c>
      <c r="CY356" s="204" t="str">
        <f t="shared" si="591"/>
        <v/>
      </c>
      <c r="CZ356" s="204">
        <f>IF($J356="",#N/A,SUM(CY$4:CY356))</f>
        <v>-0.30570416115784371</v>
      </c>
      <c r="DA356" s="205" t="str">
        <f t="shared" si="592"/>
        <v/>
      </c>
      <c r="DB356" s="205">
        <f>IF($J356="",#N/A,SUM(DA$4:DA356))</f>
        <v>-2.4685516361569055</v>
      </c>
      <c r="DC356" s="205">
        <f>IF($J356="",#N/A,SUM(DA$4:DA356,CY$4:CY356,CW$4:CW356))</f>
        <v>-3.5351596241796459</v>
      </c>
      <c r="DD356" s="200" t="str">
        <f t="shared" si="593"/>
        <v/>
      </c>
      <c r="DE356" s="203">
        <f>IF($J356="",#N/A,SUM(DD$4:DD356))</f>
        <v>1.2501454750716789</v>
      </c>
      <c r="DF356" s="204" t="str">
        <f t="shared" si="594"/>
        <v/>
      </c>
      <c r="DG356" s="204">
        <f>IF($J356="",#N/A,SUM(DF$4:DF356))</f>
        <v>4.1810385231482243</v>
      </c>
      <c r="DH356" s="205" t="str">
        <f t="shared" si="595"/>
        <v/>
      </c>
      <c r="DI356" s="205">
        <f>IF($J356="",#N/A,SUM(DH$4:DH356))</f>
        <v>-3.216671910770577</v>
      </c>
      <c r="DJ356" s="205">
        <f>IF($J356="",#N/A,SUM(DH$4:DH356,DF$4:DF356,DD$4:DD356))</f>
        <v>2.214512087449326</v>
      </c>
      <c r="DK356" s="200" t="str">
        <f t="shared" si="596"/>
        <v/>
      </c>
      <c r="DL356" s="203">
        <f>IF($J356="",#N/A,SUM(DK$4:DK356))</f>
        <v>-0.84049791589649614</v>
      </c>
      <c r="DM356" s="204" t="str">
        <f t="shared" si="597"/>
        <v/>
      </c>
      <c r="DN356" s="204">
        <f>IF($J356="",#N/A,SUM(DM$4:DM356))</f>
        <v>1.8657648196498773</v>
      </c>
      <c r="DO356" s="205" t="str">
        <f t="shared" si="598"/>
        <v/>
      </c>
      <c r="DP356" s="205">
        <f>IF($J356="",#N/A,SUM(DO$4:DO356))</f>
        <v>3.4887162328793941</v>
      </c>
      <c r="DQ356" s="205">
        <f>IF($J356="",#N/A,SUM(DO$4:DO356,DM$4:DM356,DK$4:DK356))</f>
        <v>4.5139831366327758</v>
      </c>
      <c r="DR356" s="200" t="str">
        <f t="shared" si="599"/>
        <v/>
      </c>
      <c r="DS356" s="203">
        <f>IF($J356="",#N/A,SUM(DR$4:DR356))</f>
        <v>-0.55950946427675097</v>
      </c>
      <c r="DT356" s="204" t="str">
        <f t="shared" si="600"/>
        <v/>
      </c>
      <c r="DU356" s="204">
        <f>IF($J356="",#N/A,SUM(DT$4:DT356))</f>
        <v>-0.20750635820596686</v>
      </c>
      <c r="DV356" s="205" t="str">
        <f t="shared" si="601"/>
        <v/>
      </c>
      <c r="DW356" s="205">
        <f>IF($J356="",#N/A,SUM(DV$4:DV356))</f>
        <v>-2.3377035686214001</v>
      </c>
      <c r="DX356" s="205">
        <f>IF($J356="",#N/A,SUM(DV$4:DV356,DT$4:DT356,DR$4:DR356))</f>
        <v>-3.1047193911041169</v>
      </c>
      <c r="DY356" s="200" t="str">
        <f t="shared" si="602"/>
        <v/>
      </c>
      <c r="DZ356" s="203">
        <f>IF($J356="",#N/A,SUM(DY$4:DY356))</f>
        <v>-1.4146842415208627</v>
      </c>
      <c r="EA356" s="204" t="str">
        <f t="shared" si="603"/>
        <v/>
      </c>
      <c r="EB356" s="204">
        <f>IF($J356="",#N/A,SUM(EA$4:EA356))</f>
        <v>4.3184391548878134</v>
      </c>
      <c r="EC356" s="205" t="str">
        <f t="shared" si="604"/>
        <v/>
      </c>
      <c r="ED356" s="205">
        <f>IF($J356="",#N/A,SUM(EC$4:EC356))</f>
        <v>9.2956923798665674</v>
      </c>
      <c r="EE356" s="205">
        <f>IF($J356="",#N/A,SUM(EC$4:EC356,EA$4:EA356,DY$4:DY356))</f>
        <v>12.199447293233519</v>
      </c>
      <c r="EF356" s="200" t="str">
        <f t="shared" si="605"/>
        <v/>
      </c>
      <c r="EG356" s="203">
        <f>IF($J356="",#N/A,SUM(EF$4:EF356))</f>
        <v>0.65848341369884777</v>
      </c>
      <c r="EH356" s="204" t="str">
        <f t="shared" si="606"/>
        <v/>
      </c>
      <c r="EI356" s="204">
        <f>IF($J356="",#N/A,SUM(EH$4:EH356))</f>
        <v>-3.5125331561187787</v>
      </c>
      <c r="EJ356" s="205" t="str">
        <f t="shared" si="607"/>
        <v/>
      </c>
      <c r="EK356" s="205">
        <f>IF($J356="",#N/A,SUM(EJ$4:EJ356))</f>
        <v>8.4840381642896556</v>
      </c>
      <c r="EL356" s="205">
        <f>IF($J356="",#N/A,SUM(EJ$4:EJ356,EH$4:EH356,EF$4:EF356))</f>
        <v>5.6299884218697258</v>
      </c>
      <c r="EM356" s="200" t="str">
        <f t="shared" si="608"/>
        <v/>
      </c>
      <c r="EN356" s="203">
        <f>IF($J356="",#N/A,SUM(EM$4:EM356))</f>
        <v>0</v>
      </c>
      <c r="EO356" s="204" t="str">
        <f t="shared" si="609"/>
        <v/>
      </c>
      <c r="EP356" s="204">
        <f>IF($J356="",#N/A,SUM(EO$4:EO356))</f>
        <v>2.4788862078089964</v>
      </c>
      <c r="EQ356" s="205" t="str">
        <f t="shared" si="610"/>
        <v/>
      </c>
      <c r="ER356" s="205">
        <f>IF($J356="",#N/A,SUM(EQ$4:EQ356))</f>
        <v>1.7856049065476487</v>
      </c>
      <c r="ES356" s="205">
        <f>IF($J356="",#N/A,SUM(EQ$4:EQ356,EO$4:EO356,EM$4:EM356))</f>
        <v>4.2644911143566446</v>
      </c>
      <c r="ET356" s="200" t="str">
        <f t="shared" si="611"/>
        <v/>
      </c>
      <c r="EU356" s="203">
        <f>IF($J356="",#N/A,SUM(ET$4:ET356))</f>
        <v>0</v>
      </c>
      <c r="EV356" s="204" t="str">
        <f t="shared" si="612"/>
        <v/>
      </c>
      <c r="EW356" s="204">
        <f>IF($J356="",#N/A,SUM(EV$4:EV356))</f>
        <v>7.9116394275462909E-2</v>
      </c>
      <c r="EX356" s="205">
        <f t="shared" si="613"/>
        <v>-5.7000570005699386E-2</v>
      </c>
      <c r="EY356" s="205">
        <f>IF($J356="",#N/A,SUM(EX$4:EX356))</f>
        <v>-0.38863392418374743</v>
      </c>
      <c r="EZ356" s="205">
        <f>IF($J356="",#N/A,SUM(EX$4:EX356,EV$4:EV356,ET$4:ET356))</f>
        <v>-0.30951752990828441</v>
      </c>
      <c r="FA356" s="200" t="str">
        <f t="shared" si="614"/>
        <v/>
      </c>
      <c r="FB356" s="203">
        <f>IF($J356="",#N/A,SUM(FA$4:FA356))</f>
        <v>-0.27145310509113252</v>
      </c>
      <c r="FC356" s="204" t="str">
        <f t="shared" si="615"/>
        <v/>
      </c>
      <c r="FD356" s="204">
        <f>IF($J356="",#N/A,SUM(FC$4:FC356))</f>
        <v>0.89084290967454072</v>
      </c>
      <c r="FE356" s="205" t="str">
        <f t="shared" si="616"/>
        <v/>
      </c>
      <c r="FF356" s="205">
        <f>IF($J356="",#N/A,SUM(FE$4:FE356))</f>
        <v>-0.28811149078748233</v>
      </c>
      <c r="FG356" s="205">
        <f>IF($J356="",#N/A,SUM(FE$4:FE356,FC$4:FC356,FA$4:FA356))</f>
        <v>0.3312783137959262</v>
      </c>
      <c r="FH356" s="200" t="str">
        <f t="shared" si="617"/>
        <v/>
      </c>
      <c r="FI356" s="203">
        <f>IF($J356="",#N/A,SUM(FH$4:FH356))</f>
        <v>0</v>
      </c>
      <c r="FJ356" s="204" t="str">
        <f t="shared" si="618"/>
        <v/>
      </c>
      <c r="FK356" s="204">
        <f>IF($J356="",#N/A,SUM(FJ$4:FJ356))</f>
        <v>0</v>
      </c>
      <c r="FL356" s="205" t="str">
        <f t="shared" si="619"/>
        <v/>
      </c>
      <c r="FM356" s="205">
        <f>IF($J356="",#N/A,SUM(FL$4:FL356))</f>
        <v>0</v>
      </c>
      <c r="FN356" s="205">
        <f>IF($J356="",#N/A,SUM(FL$4:FL356,FJ$4:FJ356,FH$4:FH356))</f>
        <v>0</v>
      </c>
      <c r="FO356" s="200" t="str">
        <f t="shared" si="620"/>
        <v/>
      </c>
      <c r="FP356" s="203">
        <f>IF($J356="",#N/A,SUM(FO$4:FO356))</f>
        <v>0</v>
      </c>
      <c r="FQ356" s="204" t="str">
        <f t="shared" si="621"/>
        <v/>
      </c>
      <c r="FR356" s="204">
        <f>IF($J356="",#N/A,SUM(FQ$4:FQ356))</f>
        <v>0</v>
      </c>
      <c r="FS356" s="205" t="str">
        <f t="shared" si="622"/>
        <v/>
      </c>
      <c r="FT356" s="205">
        <f>IF($J356="",#N/A,SUM(FS$4:FS356))</f>
        <v>0</v>
      </c>
      <c r="FU356" s="205">
        <f>IF($J356="",#N/A,SUM(FS$4:FS356,FQ$4:FQ356,FO$4:FO356))</f>
        <v>0</v>
      </c>
      <c r="FV356" s="200" t="str">
        <f t="shared" si="623"/>
        <v/>
      </c>
      <c r="FW356" s="203">
        <f>IF($J356="",#N/A,SUM(FV$4:FV356))</f>
        <v>6.6834991831277585E-2</v>
      </c>
      <c r="FX356" s="204" t="str">
        <f t="shared" si="624"/>
        <v/>
      </c>
      <c r="FY356" s="204">
        <f>IF($J356="",#N/A,SUM(FX$4:FX356))</f>
        <v>-0.16102012791805576</v>
      </c>
      <c r="FZ356" s="205" t="str">
        <f t="shared" si="625"/>
        <v/>
      </c>
      <c r="GA356" s="205">
        <f>IF($J356="",#N/A,SUM(FZ$4:FZ356))</f>
        <v>-0.69624339162892301</v>
      </c>
      <c r="GB356" s="205">
        <f>IF($J356="",#N/A,SUM(FZ$4:FZ356,FX$4:FX356,FV$4:FV356))</f>
        <v>-0.79042852771570116</v>
      </c>
      <c r="GC356" s="200" t="str">
        <f t="shared" si="626"/>
        <v/>
      </c>
      <c r="GD356" s="203">
        <f>IF($J356="",#N/A,SUM(GC$4:GC356))</f>
        <v>0</v>
      </c>
      <c r="GE356" s="204" t="str">
        <f t="shared" si="627"/>
        <v/>
      </c>
      <c r="GF356" s="204">
        <f>IF($J356="",#N/A,SUM(GE$4:GE356))</f>
        <v>0</v>
      </c>
      <c r="GG356" s="205" t="str">
        <f t="shared" si="628"/>
        <v/>
      </c>
      <c r="GH356" s="205">
        <f>IF($J356="",#N/A,SUM(GG$4:GG356))</f>
        <v>-2.9368362277223206</v>
      </c>
      <c r="GI356" s="205">
        <f>IF($J356="",#N/A,SUM(GG$4:GG356,GE$4:GE356,GC$4:GC356))</f>
        <v>-2.9368362277223206</v>
      </c>
      <c r="GJ356" s="200" t="str">
        <f t="shared" si="629"/>
        <v/>
      </c>
      <c r="GK356" s="203">
        <f>IF($J356="",#N/A,SUM(GJ$4:GJ356))</f>
        <v>0</v>
      </c>
      <c r="GL356" s="204" t="str">
        <f t="shared" si="630"/>
        <v/>
      </c>
      <c r="GM356" s="204">
        <f>IF($J356="",#N/A,SUM(GL$4:GL356))</f>
        <v>-2.0621307233432784</v>
      </c>
      <c r="GN356" s="205" t="str">
        <f t="shared" si="631"/>
        <v/>
      </c>
      <c r="GO356" s="205">
        <f>IF($J356="",#N/A,SUM(GN$4:GN356))</f>
        <v>0</v>
      </c>
      <c r="GP356" s="205">
        <f>IF($J356="",#N/A,SUM(GN$4:GN356,GL$4:GL356,GJ$4:GJ356))</f>
        <v>-2.0621307233432784</v>
      </c>
      <c r="GS356" s="177">
        <f t="shared" si="650"/>
        <v>-5.7000570005699386E-2</v>
      </c>
      <c r="GT356" s="177">
        <f>IF(GS356="",NA(),SUM($GS$4:GS356))</f>
        <v>13.487840258296034</v>
      </c>
      <c r="GU356" s="177" t="str">
        <f t="shared" si="632"/>
        <v/>
      </c>
      <c r="GV356" s="177" t="e">
        <f>IF(GU356="",NA(),SUM($GU$4:GU356))</f>
        <v>#N/A</v>
      </c>
      <c r="GW356" s="177">
        <f t="shared" si="633"/>
        <v>-5.7000570005699386E-2</v>
      </c>
      <c r="GX356" s="177">
        <f>IF(GW356="",NA(),SUM($GW$4:GW356))</f>
        <v>12.401568895613059</v>
      </c>
      <c r="GY356" s="177" t="str">
        <f t="shared" si="634"/>
        <v/>
      </c>
      <c r="GZ356" s="177" t="e">
        <f>IF(GY356="",NA(),SUM($GY$4:GY356))</f>
        <v>#N/A</v>
      </c>
      <c r="HA356" s="177" t="str">
        <f t="shared" si="635"/>
        <v/>
      </c>
      <c r="HB356" s="177" t="e">
        <f>IF(HA356="",NA(),SUM($HA$4:HA356))</f>
        <v>#N/A</v>
      </c>
      <c r="HC356" s="177" t="str">
        <f t="shared" si="636"/>
        <v/>
      </c>
      <c r="HD356" s="177" t="e">
        <f>IF(HC356="",NA(),SUM($HC$4:HC356))</f>
        <v>#N/A</v>
      </c>
      <c r="HE356" s="177" t="str">
        <f t="shared" si="637"/>
        <v/>
      </c>
      <c r="HF356" s="177" t="e">
        <f>IF(HE356="",NA(),SUM($HE$4:HE356))</f>
        <v>#N/A</v>
      </c>
      <c r="HG356" s="177" t="str">
        <f t="shared" si="638"/>
        <v/>
      </c>
      <c r="HH356" s="177" t="e">
        <f>IF(HG356="",NA(),SUM($HG$4:HG356))</f>
        <v>#N/A</v>
      </c>
      <c r="HI356" s="183" t="str">
        <f t="shared" si="651"/>
        <v/>
      </c>
      <c r="HJ356" s="183">
        <f>IF($J356="",#N/A,SUM(HI$4:$HI356))</f>
        <v>-9.7504917305571919</v>
      </c>
      <c r="HK356" s="177" t="str">
        <f t="shared" si="639"/>
        <v/>
      </c>
      <c r="HL356" s="177">
        <f>IF($J356="",#N/A,SUM($HK$4:HK356))</f>
        <v>2.7460981583887896</v>
      </c>
      <c r="HM356" s="177" t="str">
        <f t="shared" si="640"/>
        <v/>
      </c>
      <c r="HN356" s="177">
        <f>IF($J356="",#N/A,SUM($HM$4:HM356))</f>
        <v>0.41616915617605843</v>
      </c>
      <c r="HO356" s="177" t="str">
        <f t="shared" si="641"/>
        <v/>
      </c>
      <c r="HP356" s="177">
        <f>IF($J356="",#N/A,SUM($HO$4:HO356))</f>
        <v>-0.86794497590295294</v>
      </c>
      <c r="HQ356" s="177" t="str">
        <f t="shared" si="642"/>
        <v/>
      </c>
      <c r="HR356" s="177">
        <f>IF($J356="",#N/A,SUM($HQ$4:HQ356))</f>
        <v>-11.745401831760597</v>
      </c>
      <c r="HS356" s="177">
        <f t="shared" si="643"/>
        <v>-0.71475714757147668</v>
      </c>
      <c r="HT356" s="177">
        <f>IF($J356="",#N/A,SUM($HS$4:HS356))</f>
        <v>15.130458402539208</v>
      </c>
      <c r="HU356" s="64">
        <f t="shared" si="644"/>
        <v>-0.77175771757717604</v>
      </c>
      <c r="HV356" s="64">
        <f>IF($J356="",#N/A,SUM(HU$4:$HU356))</f>
        <v>10.548149434287984</v>
      </c>
    </row>
    <row r="357" spans="1:230" x14ac:dyDescent="0.25">
      <c r="A357" s="51" t="s">
        <v>640</v>
      </c>
      <c r="B357" s="52" t="s">
        <v>5508</v>
      </c>
      <c r="C357" s="229">
        <f t="shared" si="545"/>
        <v>1</v>
      </c>
      <c r="D357" s="219" t="str">
        <f>_xlfn.XLOOKUP(A357,[1]SP500!$A$2:$A$502,[1]SP500!$D$2:$D$502,"N")</f>
        <v>Y</v>
      </c>
      <c r="E357" s="51" t="str">
        <f>IFERROR(_xlfn.XLOOKUP(A357,[1]SP500!$A$2:$A$655,[1]SP500!$B$2:$B$655),"")</f>
        <v>XLY</v>
      </c>
      <c r="F357" s="290">
        <v>45799</v>
      </c>
      <c r="G357" s="51" t="str">
        <f t="shared" si="546"/>
        <v>BMO</v>
      </c>
      <c r="H357" s="51" t="str">
        <f t="shared" si="547"/>
        <v>s</v>
      </c>
      <c r="I357" s="343">
        <v>273.88</v>
      </c>
      <c r="J357" s="124">
        <v>263.77</v>
      </c>
      <c r="K357" s="55">
        <f t="shared" si="548"/>
        <v>-3.6913976924200433E-2</v>
      </c>
      <c r="L357" s="67">
        <f t="shared" si="549"/>
        <v>-50.550000000000182</v>
      </c>
      <c r="M357" s="57">
        <f t="shared" si="550"/>
        <v>-2.3999999999998636</v>
      </c>
      <c r="N357" s="102">
        <f t="shared" si="551"/>
        <v>-50.550000000000182</v>
      </c>
      <c r="O357" s="57">
        <f>IF(N357="",#N/A,SUM($N$4:N357))</f>
        <v>693.46937556162504</v>
      </c>
      <c r="P357" s="65">
        <f t="shared" si="645"/>
        <v>-0.61523294873667522</v>
      </c>
      <c r="Q357" s="172">
        <f>IF($N357="",#N/A,SUM($P$4:P357))</f>
        <v>14.519976773834976</v>
      </c>
      <c r="R357" s="279">
        <f t="shared" si="552"/>
        <v>7.4435186334493464</v>
      </c>
      <c r="S357" s="51" t="str">
        <f t="shared" si="553"/>
        <v>Up</v>
      </c>
      <c r="T357" s="51" t="s">
        <v>4461</v>
      </c>
      <c r="U357" s="56">
        <f t="shared" si="554"/>
        <v>273.88</v>
      </c>
      <c r="V357" s="56" t="s">
        <v>4460</v>
      </c>
      <c r="W357" s="142">
        <v>5</v>
      </c>
      <c r="X357" s="145">
        <f t="shared" si="555"/>
        <v>1369.4</v>
      </c>
      <c r="Y357" s="140">
        <f t="shared" si="556"/>
        <v>5</v>
      </c>
      <c r="Z357" s="141">
        <v>263.29000000000002</v>
      </c>
      <c r="AA357" s="102">
        <f t="shared" si="557"/>
        <v>-52.950000000000045</v>
      </c>
      <c r="AB357" s="102">
        <f t="shared" si="558"/>
        <v>17.700000000000045</v>
      </c>
      <c r="AC357" s="124">
        <v>277.42</v>
      </c>
      <c r="AD357" s="155">
        <f t="shared" si="559"/>
        <v>17.700000000000045</v>
      </c>
      <c r="AE357" s="545">
        <f t="shared" si="560"/>
        <v>0.2154228129107644</v>
      </c>
      <c r="AF357" s="57">
        <f>IF($AC357="",#N/A,SUM(AD$4:AD357))</f>
        <v>619.99239714744908</v>
      </c>
      <c r="AG357" s="102">
        <f t="shared" si="561"/>
        <v>68.250000000000227</v>
      </c>
      <c r="AH357" s="56" t="s">
        <v>2507</v>
      </c>
      <c r="AI357" s="65">
        <f t="shared" si="562"/>
        <v>-0.64444282167372624</v>
      </c>
      <c r="AJ357" s="108">
        <f>IF(AI357="",#N/A,SUM($AI$4:AI357))</f>
        <v>7.0764581403856299</v>
      </c>
      <c r="AK357" s="57">
        <f t="shared" si="563"/>
        <v>-52.950000000000045</v>
      </c>
      <c r="AL357" s="66">
        <f>IF(AI357="",#N/A,IF(AH357="Skip",SUM($AK$4:AK357),SUM($AK$4:AK357)))</f>
        <v>191.49736927848244</v>
      </c>
      <c r="AM357" s="65">
        <f t="shared" si="646"/>
        <v>0.2154228129107644</v>
      </c>
      <c r="AN357" s="209"/>
      <c r="AO357" s="65" t="str">
        <f t="shared" si="564"/>
        <v/>
      </c>
      <c r="AP357" s="65">
        <f>IF($AC357="",#N/A,SUM(AO$4:AO357))</f>
        <v>10.093739949771075</v>
      </c>
      <c r="AQ357" s="65">
        <f t="shared" si="565"/>
        <v>0.2154228129107644</v>
      </c>
      <c r="AR357" s="65">
        <f>IF($AC357="",#N/A,SUM(AQ$4:AQ357))</f>
        <v>-4.7088802704971684</v>
      </c>
      <c r="AS357" s="65" t="str">
        <f t="shared" si="566"/>
        <v/>
      </c>
      <c r="AT357" s="65">
        <f>IF($AC357="",#N/A,SUM(AS$4:AS357))</f>
        <v>5.3787125679248309</v>
      </c>
      <c r="AU357" s="57" t="str">
        <f t="shared" si="647"/>
        <v/>
      </c>
      <c r="AV357" s="57">
        <f>IF($AC357="",#N/A,SUM(AU$4:AU357))</f>
        <v>537.18627194987994</v>
      </c>
      <c r="AW357" s="57">
        <f t="shared" si="648"/>
        <v>17.700000000000045</v>
      </c>
      <c r="AX357" s="57">
        <f>IF($AC357="",#N/A,SUM(AW$4:AW357))</f>
        <v>-317.27106797961073</v>
      </c>
      <c r="AY357" s="57" t="str">
        <f t="shared" si="649"/>
        <v/>
      </c>
      <c r="AZ357" s="57">
        <f>IF($AC357="",#N/A,SUM(AY$4:AY357))</f>
        <v>400.07719317717977</v>
      </c>
      <c r="BA357" s="57">
        <f>IF(AD357="",#N/A,SUM($AD$4:AD357))</f>
        <v>619.99239714744908</v>
      </c>
      <c r="BC357" s="51" t="str">
        <f t="shared" si="567"/>
        <v/>
      </c>
      <c r="BD357" s="51" t="str">
        <f t="shared" si="568"/>
        <v/>
      </c>
      <c r="BE357" s="51" t="str">
        <f t="shared" si="569"/>
        <v/>
      </c>
      <c r="BF357" s="51" t="str">
        <f t="shared" si="570"/>
        <v>Long</v>
      </c>
      <c r="BG357" s="51" t="str">
        <f t="shared" si="571"/>
        <v/>
      </c>
      <c r="BH357" s="51">
        <f t="shared" si="572"/>
        <v>1</v>
      </c>
      <c r="BI357" s="51" t="str">
        <f t="shared" si="573"/>
        <v/>
      </c>
      <c r="BK357" s="65">
        <f t="shared" si="544"/>
        <v>0.10003005251394698</v>
      </c>
      <c r="BL357" s="65">
        <f t="shared" si="652"/>
        <v>1.9151911017600298E-3</v>
      </c>
      <c r="BM357" s="65">
        <f>IFERROR(Q357/COUNTA($J$4:J357),#N/A)</f>
        <v>4.1016883541906711E-2</v>
      </c>
      <c r="BO357" s="489" t="e">
        <f>IF(J357="",#N/A,IF(S357="SW",(COUNTIFS(K$4:$K357,"&gt;0",S$4:$S357,"SW")/COUNTIF(S$4:$S357,"SW")),#N/A))</f>
        <v>#N/A</v>
      </c>
      <c r="BP357" s="489" t="e">
        <f>IF($J357="",#N/A,IF($S357="DWN",(COUNTIFS($K$4:$K357,"&lt;0",$S$4:$S357,"DWN")/COUNTIF($S$4:$S357,"DWN")),#N/A))</f>
        <v>#N/A</v>
      </c>
      <c r="BQ357" s="489">
        <f>IF($J357="",#N/A,IF($S357="UP",(COUNTIFS($K$4:$K357,"&gt;0",$S$4:$S357,"UP")/COUNTIF($S$4:$S357,"UP")),#N/A))</f>
        <v>0.4375</v>
      </c>
      <c r="BR357" s="489">
        <f>IF(J357="",#N/A,COUNTIF($K$4:K357,"&gt;0")/COUNT($J$4:J357))</f>
        <v>0.47175141242937851</v>
      </c>
      <c r="BS357" s="65" t="str">
        <f t="shared" si="574"/>
        <v/>
      </c>
      <c r="BT357" s="65">
        <f t="shared" si="575"/>
        <v>-0.61523294873667522</v>
      </c>
      <c r="BU357" s="65" t="str">
        <f t="shared" si="576"/>
        <v/>
      </c>
      <c r="BV357" s="65" t="str">
        <f t="shared" si="577"/>
        <v/>
      </c>
      <c r="BW357" s="128">
        <f t="shared" si="578"/>
        <v>-50.550000000000182</v>
      </c>
      <c r="BX357" s="128">
        <f>IF($J357="",#N/A,SUM($BW$4:BW357))</f>
        <v>-349.07817034792856</v>
      </c>
      <c r="BY357" s="131" t="str">
        <f t="shared" si="579"/>
        <v/>
      </c>
      <c r="BZ357" s="131">
        <f>IF($J357="",#N/A,SUM($BY$4:BY357))</f>
        <v>726.64661346139485</v>
      </c>
      <c r="CA357" s="133" t="str">
        <f t="shared" si="580"/>
        <v/>
      </c>
      <c r="CB357" s="133">
        <f>IF($J357="",#N/A,SUM($CA$4:CA357))</f>
        <v>315.90093244815864</v>
      </c>
      <c r="CC357" s="194">
        <f t="shared" si="581"/>
        <v>-0.61523294873667522</v>
      </c>
      <c r="CD357" s="194">
        <f>IF($J357="",#N/A,SUM($CC$4:CC357))</f>
        <v>-5.0877602124177113</v>
      </c>
      <c r="CE357" s="195" t="str">
        <f t="shared" si="582"/>
        <v/>
      </c>
      <c r="CF357" s="195">
        <f>IF($J357="",#N/A,SUM($CE$4:CE357))</f>
        <v>12.383106140093243</v>
      </c>
      <c r="CG357" s="196" t="str">
        <f t="shared" si="583"/>
        <v/>
      </c>
      <c r="CH357" s="196">
        <f>IF($J357="",#N/A,SUM($CG$4:CG357))</f>
        <v>7.2246308461594504</v>
      </c>
      <c r="CI357" s="200" t="str">
        <f t="shared" si="584"/>
        <v/>
      </c>
      <c r="CJ357" s="203">
        <f>IF($J357="",#N/A,SUM(CI$4:CI357))</f>
        <v>0</v>
      </c>
      <c r="CK357" s="204" t="str">
        <f t="shared" si="585"/>
        <v/>
      </c>
      <c r="CL357" s="204">
        <f>IF($J357="",#N/A,SUM(CK$4:CK357))</f>
        <v>1.2912501745213723</v>
      </c>
      <c r="CM357" s="205" t="str">
        <f t="shared" si="586"/>
        <v/>
      </c>
      <c r="CN357" s="205">
        <f>IF($J357="",#N/A,SUM(CM$4:CM357))</f>
        <v>1.357235719871134</v>
      </c>
      <c r="CO357" s="205">
        <f>IF($J357="",#N/A,SUM(CM$4:CM357,CK$4:CK357,CI$4:CI357))</f>
        <v>2.6484858943925063</v>
      </c>
      <c r="CP357" s="200" t="str">
        <f t="shared" si="587"/>
        <v/>
      </c>
      <c r="CQ357" s="203">
        <f>IF($J357="",#N/A,SUM(CP$4:CP357))</f>
        <v>-3.0687583652268549</v>
      </c>
      <c r="CR357" s="204" t="str">
        <f t="shared" si="588"/>
        <v/>
      </c>
      <c r="CS357" s="204">
        <f>IF($J357="",#N/A,SUM(CR$4:CR357))</f>
        <v>2.3600225017004668</v>
      </c>
      <c r="CT357" s="205" t="str">
        <f t="shared" si="589"/>
        <v/>
      </c>
      <c r="CU357" s="205">
        <f>IF($J357="",#N/A,SUM(CT$4:CT357))</f>
        <v>-3.1872377407569323</v>
      </c>
      <c r="CV357" s="205">
        <f>IF($J357="",#N/A,SUM(CT$4:CT357,CR$4:CR357,CP$4:CP357))</f>
        <v>-3.8959736042833208</v>
      </c>
      <c r="CW357" s="200">
        <f t="shared" si="590"/>
        <v>-0.61523294873667522</v>
      </c>
      <c r="CX357" s="203">
        <f>IF($J357="",#N/A,SUM(CW$4:CW357))</f>
        <v>-1.376136775601573</v>
      </c>
      <c r="CY357" s="204" t="str">
        <f t="shared" si="591"/>
        <v/>
      </c>
      <c r="CZ357" s="204">
        <f>IF($J357="",#N/A,SUM(CY$4:CY357))</f>
        <v>-0.30570416115784371</v>
      </c>
      <c r="DA357" s="205" t="str">
        <f t="shared" si="592"/>
        <v/>
      </c>
      <c r="DB357" s="205">
        <f>IF($J357="",#N/A,SUM(DA$4:DA357))</f>
        <v>-2.4685516361569055</v>
      </c>
      <c r="DC357" s="205">
        <f>IF($J357="",#N/A,SUM(DA$4:DA357,CY$4:CY357,CW$4:CW357))</f>
        <v>-4.1503925729163207</v>
      </c>
      <c r="DD357" s="200" t="str">
        <f t="shared" si="593"/>
        <v/>
      </c>
      <c r="DE357" s="203">
        <f>IF($J357="",#N/A,SUM(DD$4:DD357))</f>
        <v>1.2501454750716789</v>
      </c>
      <c r="DF357" s="204" t="str">
        <f t="shared" si="594"/>
        <v/>
      </c>
      <c r="DG357" s="204">
        <f>IF($J357="",#N/A,SUM(DF$4:DF357))</f>
        <v>4.1810385231482243</v>
      </c>
      <c r="DH357" s="205" t="str">
        <f t="shared" si="595"/>
        <v/>
      </c>
      <c r="DI357" s="205">
        <f>IF($J357="",#N/A,SUM(DH$4:DH357))</f>
        <v>-3.216671910770577</v>
      </c>
      <c r="DJ357" s="205">
        <f>IF($J357="",#N/A,SUM(DH$4:DH357,DF$4:DF357,DD$4:DD357))</f>
        <v>2.214512087449326</v>
      </c>
      <c r="DK357" s="200" t="str">
        <f t="shared" si="596"/>
        <v/>
      </c>
      <c r="DL357" s="203">
        <f>IF($J357="",#N/A,SUM(DK$4:DK357))</f>
        <v>-0.84049791589649614</v>
      </c>
      <c r="DM357" s="204" t="str">
        <f t="shared" si="597"/>
        <v/>
      </c>
      <c r="DN357" s="204">
        <f>IF($J357="",#N/A,SUM(DM$4:DM357))</f>
        <v>1.8657648196498773</v>
      </c>
      <c r="DO357" s="205" t="str">
        <f t="shared" si="598"/>
        <v/>
      </c>
      <c r="DP357" s="205">
        <f>IF($J357="",#N/A,SUM(DO$4:DO357))</f>
        <v>3.4887162328793941</v>
      </c>
      <c r="DQ357" s="205">
        <f>IF($J357="",#N/A,SUM(DO$4:DO357,DM$4:DM357,DK$4:DK357))</f>
        <v>4.5139831366327758</v>
      </c>
      <c r="DR357" s="200" t="str">
        <f t="shared" si="599"/>
        <v/>
      </c>
      <c r="DS357" s="203">
        <f>IF($J357="",#N/A,SUM(DR$4:DR357))</f>
        <v>-0.55950946427675097</v>
      </c>
      <c r="DT357" s="204" t="str">
        <f t="shared" si="600"/>
        <v/>
      </c>
      <c r="DU357" s="204">
        <f>IF($J357="",#N/A,SUM(DT$4:DT357))</f>
        <v>-0.20750635820596686</v>
      </c>
      <c r="DV357" s="205" t="str">
        <f t="shared" si="601"/>
        <v/>
      </c>
      <c r="DW357" s="205">
        <f>IF($J357="",#N/A,SUM(DV$4:DV357))</f>
        <v>-2.3377035686214001</v>
      </c>
      <c r="DX357" s="205">
        <f>IF($J357="",#N/A,SUM(DV$4:DV357,DT$4:DT357,DR$4:DR357))</f>
        <v>-3.1047193911041169</v>
      </c>
      <c r="DY357" s="200" t="str">
        <f t="shared" si="602"/>
        <v/>
      </c>
      <c r="DZ357" s="203">
        <f>IF($J357="",#N/A,SUM(DY$4:DY357))</f>
        <v>-1.4146842415208627</v>
      </c>
      <c r="EA357" s="204" t="str">
        <f t="shared" si="603"/>
        <v/>
      </c>
      <c r="EB357" s="204">
        <f>IF($J357="",#N/A,SUM(EA$4:EA357))</f>
        <v>4.3184391548878134</v>
      </c>
      <c r="EC357" s="205" t="str">
        <f t="shared" si="604"/>
        <v/>
      </c>
      <c r="ED357" s="205">
        <f>IF($J357="",#N/A,SUM(EC$4:EC357))</f>
        <v>9.2956923798665674</v>
      </c>
      <c r="EE357" s="205">
        <f>IF($J357="",#N/A,SUM(EC$4:EC357,EA$4:EA357,DY$4:DY357))</f>
        <v>12.199447293233519</v>
      </c>
      <c r="EF357" s="200" t="str">
        <f t="shared" si="605"/>
        <v/>
      </c>
      <c r="EG357" s="203">
        <f>IF($J357="",#N/A,SUM(EF$4:EF357))</f>
        <v>0.65848341369884777</v>
      </c>
      <c r="EH357" s="204" t="str">
        <f t="shared" si="606"/>
        <v/>
      </c>
      <c r="EI357" s="204">
        <f>IF($J357="",#N/A,SUM(EH$4:EH357))</f>
        <v>-3.5125331561187787</v>
      </c>
      <c r="EJ357" s="205" t="str">
        <f t="shared" si="607"/>
        <v/>
      </c>
      <c r="EK357" s="205">
        <f>IF($J357="",#N/A,SUM(EJ$4:EJ357))</f>
        <v>8.4840381642896556</v>
      </c>
      <c r="EL357" s="205">
        <f>IF($J357="",#N/A,SUM(EJ$4:EJ357,EH$4:EH357,EF$4:EF357))</f>
        <v>5.6299884218697258</v>
      </c>
      <c r="EM357" s="200" t="str">
        <f t="shared" si="608"/>
        <v/>
      </c>
      <c r="EN357" s="203">
        <f>IF($J357="",#N/A,SUM(EM$4:EM357))</f>
        <v>0</v>
      </c>
      <c r="EO357" s="204" t="str">
        <f t="shared" si="609"/>
        <v/>
      </c>
      <c r="EP357" s="204">
        <f>IF($J357="",#N/A,SUM(EO$4:EO357))</f>
        <v>2.4788862078089964</v>
      </c>
      <c r="EQ357" s="205" t="str">
        <f t="shared" si="610"/>
        <v/>
      </c>
      <c r="ER357" s="205">
        <f>IF($J357="",#N/A,SUM(EQ$4:EQ357))</f>
        <v>1.7856049065476487</v>
      </c>
      <c r="ES357" s="205">
        <f>IF($J357="",#N/A,SUM(EQ$4:EQ357,EO$4:EO357,EM$4:EM357))</f>
        <v>4.2644911143566446</v>
      </c>
      <c r="ET357" s="200" t="str">
        <f t="shared" si="611"/>
        <v/>
      </c>
      <c r="EU357" s="203">
        <f>IF($J357="",#N/A,SUM(ET$4:ET357))</f>
        <v>0</v>
      </c>
      <c r="EV357" s="204" t="str">
        <f t="shared" si="612"/>
        <v/>
      </c>
      <c r="EW357" s="204">
        <f>IF($J357="",#N/A,SUM(EV$4:EV357))</f>
        <v>7.9116394275462909E-2</v>
      </c>
      <c r="EX357" s="205" t="str">
        <f t="shared" si="613"/>
        <v/>
      </c>
      <c r="EY357" s="205">
        <f>IF($J357="",#N/A,SUM(EX$4:EX357))</f>
        <v>-0.38863392418374743</v>
      </c>
      <c r="EZ357" s="205">
        <f>IF($J357="",#N/A,SUM(EX$4:EX357,EV$4:EV357,ET$4:ET357))</f>
        <v>-0.30951752990828441</v>
      </c>
      <c r="FA357" s="200" t="str">
        <f t="shared" si="614"/>
        <v/>
      </c>
      <c r="FB357" s="203">
        <f>IF($J357="",#N/A,SUM(FA$4:FA357))</f>
        <v>-0.27145310509113252</v>
      </c>
      <c r="FC357" s="204" t="str">
        <f t="shared" si="615"/>
        <v/>
      </c>
      <c r="FD357" s="204">
        <f>IF($J357="",#N/A,SUM(FC$4:FC357))</f>
        <v>0.89084290967454072</v>
      </c>
      <c r="FE357" s="205" t="str">
        <f t="shared" si="616"/>
        <v/>
      </c>
      <c r="FF357" s="205">
        <f>IF($J357="",#N/A,SUM(FE$4:FE357))</f>
        <v>-0.28811149078748233</v>
      </c>
      <c r="FG357" s="205">
        <f>IF($J357="",#N/A,SUM(FE$4:FE357,FC$4:FC357,FA$4:FA357))</f>
        <v>0.3312783137959262</v>
      </c>
      <c r="FH357" s="200" t="str">
        <f t="shared" si="617"/>
        <v/>
      </c>
      <c r="FI357" s="203">
        <f>IF($J357="",#N/A,SUM(FH$4:FH357))</f>
        <v>0</v>
      </c>
      <c r="FJ357" s="204" t="str">
        <f t="shared" si="618"/>
        <v/>
      </c>
      <c r="FK357" s="204">
        <f>IF($J357="",#N/A,SUM(FJ$4:FJ357))</f>
        <v>0</v>
      </c>
      <c r="FL357" s="205" t="str">
        <f t="shared" si="619"/>
        <v/>
      </c>
      <c r="FM357" s="205">
        <f>IF($J357="",#N/A,SUM(FL$4:FL357))</f>
        <v>0</v>
      </c>
      <c r="FN357" s="205">
        <f>IF($J357="",#N/A,SUM(FL$4:FL357,FJ$4:FJ357,FH$4:FH357))</f>
        <v>0</v>
      </c>
      <c r="FO357" s="200" t="str">
        <f t="shared" si="620"/>
        <v/>
      </c>
      <c r="FP357" s="203">
        <f>IF($J357="",#N/A,SUM(FO$4:FO357))</f>
        <v>0</v>
      </c>
      <c r="FQ357" s="204" t="str">
        <f t="shared" si="621"/>
        <v/>
      </c>
      <c r="FR357" s="204">
        <f>IF($J357="",#N/A,SUM(FQ$4:FQ357))</f>
        <v>0</v>
      </c>
      <c r="FS357" s="205" t="str">
        <f t="shared" si="622"/>
        <v/>
      </c>
      <c r="FT357" s="205">
        <f>IF($J357="",#N/A,SUM(FS$4:FS357))</f>
        <v>0</v>
      </c>
      <c r="FU357" s="205">
        <f>IF($J357="",#N/A,SUM(FS$4:FS357,FQ$4:FQ357,FO$4:FO357))</f>
        <v>0</v>
      </c>
      <c r="FV357" s="200" t="str">
        <f t="shared" si="623"/>
        <v/>
      </c>
      <c r="FW357" s="203">
        <f>IF($J357="",#N/A,SUM(FV$4:FV357))</f>
        <v>6.6834991831277585E-2</v>
      </c>
      <c r="FX357" s="204" t="str">
        <f t="shared" si="624"/>
        <v/>
      </c>
      <c r="FY357" s="204">
        <f>IF($J357="",#N/A,SUM(FX$4:FX357))</f>
        <v>-0.16102012791805576</v>
      </c>
      <c r="FZ357" s="205" t="str">
        <f t="shared" si="625"/>
        <v/>
      </c>
      <c r="GA357" s="205">
        <f>IF($J357="",#N/A,SUM(FZ$4:FZ357))</f>
        <v>-0.69624339162892301</v>
      </c>
      <c r="GB357" s="205">
        <f>IF($J357="",#N/A,SUM(FZ$4:FZ357,FX$4:FX357,FV$4:FV357))</f>
        <v>-0.79042852771570116</v>
      </c>
      <c r="GC357" s="200" t="str">
        <f t="shared" si="626"/>
        <v/>
      </c>
      <c r="GD357" s="203">
        <f>IF($J357="",#N/A,SUM(GC$4:GC357))</f>
        <v>0</v>
      </c>
      <c r="GE357" s="204" t="str">
        <f t="shared" si="627"/>
        <v/>
      </c>
      <c r="GF357" s="204">
        <f>IF($J357="",#N/A,SUM(GE$4:GE357))</f>
        <v>0</v>
      </c>
      <c r="GG357" s="205" t="str">
        <f t="shared" si="628"/>
        <v/>
      </c>
      <c r="GH357" s="205">
        <f>IF($J357="",#N/A,SUM(GG$4:GG357))</f>
        <v>-2.9368362277223206</v>
      </c>
      <c r="GI357" s="205">
        <f>IF($J357="",#N/A,SUM(GG$4:GG357,GE$4:GE357,GC$4:GC357))</f>
        <v>-2.9368362277223206</v>
      </c>
      <c r="GJ357" s="200" t="str">
        <f t="shared" si="629"/>
        <v/>
      </c>
      <c r="GK357" s="203">
        <f>IF($J357="",#N/A,SUM(GJ$4:GJ357))</f>
        <v>0</v>
      </c>
      <c r="GL357" s="204" t="str">
        <f t="shared" si="630"/>
        <v/>
      </c>
      <c r="GM357" s="204">
        <f>IF($J357="",#N/A,SUM(GL$4:GL357))</f>
        <v>-2.0621307233432784</v>
      </c>
      <c r="GN357" s="205" t="str">
        <f t="shared" si="631"/>
        <v/>
      </c>
      <c r="GO357" s="205">
        <f>IF($J357="",#N/A,SUM(GN$4:GN357))</f>
        <v>0</v>
      </c>
      <c r="GP357" s="205">
        <f>IF($J357="",#N/A,SUM(GN$4:GN357,GL$4:GL357,GJ$4:GJ357))</f>
        <v>-2.0621307233432784</v>
      </c>
      <c r="GS357" s="54">
        <f t="shared" si="650"/>
        <v>-0.61523294873667522</v>
      </c>
      <c r="GT357" s="54">
        <f>IF(GS357="",NA(),SUM($GS$4:GS357))</f>
        <v>12.872607309559358</v>
      </c>
      <c r="GU357" s="54">
        <f t="shared" si="632"/>
        <v>-0.61523294873667522</v>
      </c>
      <c r="GV357" s="54">
        <f>IF(GU357="",NA(),SUM($GU$4:GU357))</f>
        <v>-5.7693639937686214</v>
      </c>
      <c r="GW357" s="54" t="str">
        <f t="shared" si="633"/>
        <v/>
      </c>
      <c r="GX357" s="54" t="e">
        <f>IF(GW357="",NA(),SUM($GW$4:GW357))</f>
        <v>#N/A</v>
      </c>
      <c r="GY357" s="54" t="str">
        <f t="shared" si="634"/>
        <v/>
      </c>
      <c r="GZ357" s="54" t="e">
        <f>IF(GY357="",NA(),SUM($GY$4:GY357))</f>
        <v>#N/A</v>
      </c>
      <c r="HA357" s="54" t="str">
        <f t="shared" si="635"/>
        <v/>
      </c>
      <c r="HB357" s="54" t="e">
        <f>IF(HA357="",NA(),SUM($HA$4:HA357))</f>
        <v>#N/A</v>
      </c>
      <c r="HC357" s="54" t="str">
        <f t="shared" si="636"/>
        <v/>
      </c>
      <c r="HD357" s="54" t="e">
        <f>IF(HC357="",NA(),SUM($HC$4:HC357))</f>
        <v>#N/A</v>
      </c>
      <c r="HE357" s="54" t="str">
        <f t="shared" si="637"/>
        <v/>
      </c>
      <c r="HF357" s="54" t="e">
        <f>IF(HE357="",NA(),SUM($HE$4:HE357))</f>
        <v>#N/A</v>
      </c>
      <c r="HG357" s="54" t="str">
        <f t="shared" si="638"/>
        <v/>
      </c>
      <c r="HH357" s="54" t="e">
        <f>IF(HG357="",NA(),SUM($HG$4:HG357))</f>
        <v>#N/A</v>
      </c>
      <c r="HI357" s="172" t="str">
        <f t="shared" si="651"/>
        <v/>
      </c>
      <c r="HJ357" s="172">
        <f>IF($J357="",#N/A,SUM(HI$4:$HI357))</f>
        <v>-9.7504917305571919</v>
      </c>
      <c r="HK357" s="54" t="str">
        <f t="shared" si="639"/>
        <v/>
      </c>
      <c r="HL357" s="54">
        <f>IF($J357="",#N/A,SUM($HK$4:HK357))</f>
        <v>2.7460981583887896</v>
      </c>
      <c r="HM357" s="54" t="str">
        <f t="shared" si="640"/>
        <v/>
      </c>
      <c r="HN357" s="54">
        <f>IF($J357="",#N/A,SUM($HM$4:HM357))</f>
        <v>0.41616915617605843</v>
      </c>
      <c r="HO357" s="54">
        <f t="shared" si="641"/>
        <v>0.83065576164743959</v>
      </c>
      <c r="HP357" s="54">
        <f>IF($J357="",#N/A,SUM($HO$4:HO357))</f>
        <v>-3.7289214255513348E-2</v>
      </c>
      <c r="HQ357" s="54" t="str">
        <f t="shared" si="642"/>
        <v/>
      </c>
      <c r="HR357" s="54">
        <f>IF($J357="",#N/A,SUM($HQ$4:HQ357))</f>
        <v>-11.745401831760597</v>
      </c>
      <c r="HS357" s="54" t="str">
        <f t="shared" si="643"/>
        <v/>
      </c>
      <c r="HT357" s="54">
        <f>IF($J357="",#N/A,SUM($HS$4:HS357))</f>
        <v>15.130458402539208</v>
      </c>
      <c r="HU357" s="65">
        <f t="shared" si="644"/>
        <v>0.2154228129107644</v>
      </c>
      <c r="HV357" s="65">
        <f>IF($J357="",#N/A,SUM(HU$4:$HU357))</f>
        <v>10.763572247198748</v>
      </c>
    </row>
    <row r="358" spans="1:230" x14ac:dyDescent="0.25">
      <c r="A358" s="427" t="s">
        <v>1111</v>
      </c>
      <c r="B358" s="428" t="s">
        <v>5508</v>
      </c>
      <c r="C358" s="429">
        <f t="shared" si="545"/>
        <v>1</v>
      </c>
      <c r="D358" s="430" t="str">
        <f>_xlfn.XLOOKUP(A358,[1]SP500!$A$2:$A$502,[1]SP500!$D$2:$D$502,"N")</f>
        <v>N</v>
      </c>
      <c r="E358" s="427" t="str">
        <f>IFERROR(_xlfn.XLOOKUP(A358,[1]SP500!$A$2:$A$655,[1]SP500!$B$2:$B$655),"")</f>
        <v>XLP</v>
      </c>
      <c r="F358" s="431">
        <v>45799</v>
      </c>
      <c r="G358" s="427" t="str">
        <f t="shared" si="546"/>
        <v>BMO</v>
      </c>
      <c r="H358" s="427" t="str">
        <f t="shared" si="547"/>
        <v>s</v>
      </c>
      <c r="I358" s="461">
        <v>117.5</v>
      </c>
      <c r="J358" s="432">
        <v>120.08</v>
      </c>
      <c r="K358" s="433">
        <f t="shared" si="548"/>
        <v>2.1957446808510625E-2</v>
      </c>
      <c r="L358" s="434">
        <f t="shared" si="549"/>
        <v>28.379999999999882</v>
      </c>
      <c r="M358" s="435">
        <f t="shared" si="550"/>
        <v>0</v>
      </c>
      <c r="N358" s="437">
        <f t="shared" si="551"/>
        <v>28.379999999999882</v>
      </c>
      <c r="O358" s="435">
        <f>IF(N358="",#N/A,SUM($N$4:N358))</f>
        <v>721.84937556162492</v>
      </c>
      <c r="P358" s="436">
        <f t="shared" si="645"/>
        <v>0.36595744680850911</v>
      </c>
      <c r="Q358" s="440">
        <f>IF($N358="",#N/A,SUM($P$4:P358))</f>
        <v>14.885934220643485</v>
      </c>
      <c r="R358" s="441">
        <f t="shared" si="552"/>
        <v>7.4435186334493455</v>
      </c>
      <c r="S358" s="427" t="str">
        <f t="shared" si="553"/>
        <v>Up</v>
      </c>
      <c r="T358" s="427" t="s">
        <v>4462</v>
      </c>
      <c r="U358" s="442">
        <f t="shared" si="554"/>
        <v>117.5</v>
      </c>
      <c r="V358" s="442" t="s">
        <v>4460</v>
      </c>
      <c r="W358" s="444">
        <v>11</v>
      </c>
      <c r="X358" s="443">
        <f t="shared" si="555"/>
        <v>1292.5</v>
      </c>
      <c r="Y358" s="444">
        <f t="shared" si="556"/>
        <v>11</v>
      </c>
      <c r="Z358" s="445">
        <v>120.08</v>
      </c>
      <c r="AA358" s="437">
        <f t="shared" si="557"/>
        <v>28.379999999999882</v>
      </c>
      <c r="AB358" s="437">
        <f t="shared" si="558"/>
        <v>-16.829999999999927</v>
      </c>
      <c r="AC358" s="432">
        <v>115.97</v>
      </c>
      <c r="AD358" s="438">
        <f t="shared" si="559"/>
        <v>-16.829999999999927</v>
      </c>
      <c r="AE358" s="547">
        <f t="shared" si="560"/>
        <v>-0.21702127659574375</v>
      </c>
      <c r="AF358" s="435">
        <f>IF($AC358="",#N/A,SUM(AD$4:AD358))</f>
        <v>603.16239714744916</v>
      </c>
      <c r="AG358" s="437">
        <f t="shared" si="561"/>
        <v>-45.209999999999809</v>
      </c>
      <c r="AH358" s="442" t="s">
        <v>2507</v>
      </c>
      <c r="AI358" s="436">
        <f t="shared" si="562"/>
        <v>0.36595744680850911</v>
      </c>
      <c r="AJ358" s="446">
        <f>IF(AI358="",#N/A,SUM($AI$4:AI358))</f>
        <v>7.4424155871941391</v>
      </c>
      <c r="AK358" s="435">
        <f t="shared" si="563"/>
        <v>28.379999999999882</v>
      </c>
      <c r="AL358" s="447">
        <f>IF(AI358="",#N/A,IF(AH358="Skip",SUM($AK$4:AK358),SUM($AK$4:AK358)))</f>
        <v>219.87736927848232</v>
      </c>
      <c r="AM358" s="65">
        <f t="shared" si="646"/>
        <v>-0.21702127659574375</v>
      </c>
      <c r="AN358" s="209"/>
      <c r="AO358" s="436" t="str">
        <f t="shared" si="564"/>
        <v/>
      </c>
      <c r="AP358" s="436">
        <f>IF($AC358="",#N/A,SUM(AO$4:AO358))</f>
        <v>10.093739949771075</v>
      </c>
      <c r="AQ358" s="436">
        <f t="shared" si="565"/>
        <v>-0.21702127659574375</v>
      </c>
      <c r="AR358" s="436">
        <f>IF($AC358="",#N/A,SUM(AQ$4:AQ358))</f>
        <v>-4.9259015470929119</v>
      </c>
      <c r="AS358" s="436" t="str">
        <f t="shared" si="566"/>
        <v/>
      </c>
      <c r="AT358" s="436">
        <f>IF($AC358="",#N/A,SUM(AS$4:AS358))</f>
        <v>5.3787125679248309</v>
      </c>
      <c r="AU358" s="435" t="str">
        <f t="shared" si="647"/>
        <v/>
      </c>
      <c r="AV358" s="435">
        <f>IF($AC358="",#N/A,SUM(AU$4:AU358))</f>
        <v>537.18627194987994</v>
      </c>
      <c r="AW358" s="435">
        <f t="shared" si="648"/>
        <v>-16.829999999999927</v>
      </c>
      <c r="AX358" s="435">
        <f>IF($AC358="",#N/A,SUM(AW$4:AW358))</f>
        <v>-334.10106797961066</v>
      </c>
      <c r="AY358" s="435" t="str">
        <f t="shared" si="649"/>
        <v/>
      </c>
      <c r="AZ358" s="435">
        <f>IF($AC358="",#N/A,SUM(AY$4:AY358))</f>
        <v>400.07719317717977</v>
      </c>
      <c r="BA358" s="435">
        <f>IF(AD358="",#N/A,SUM($AD$4:AD358))</f>
        <v>603.16239714744916</v>
      </c>
      <c r="BC358" s="427">
        <f t="shared" si="567"/>
        <v>1</v>
      </c>
      <c r="BD358" s="427" t="str">
        <f t="shared" si="568"/>
        <v/>
      </c>
      <c r="BE358" s="427" t="str">
        <f t="shared" si="569"/>
        <v/>
      </c>
      <c r="BF358" s="427" t="str">
        <f t="shared" si="570"/>
        <v>Long</v>
      </c>
      <c r="BG358" s="427" t="str">
        <f t="shared" si="571"/>
        <v/>
      </c>
      <c r="BH358" s="427" t="str">
        <f t="shared" si="572"/>
        <v/>
      </c>
      <c r="BI358" s="427" t="str">
        <f t="shared" si="573"/>
        <v/>
      </c>
      <c r="BK358" s="65">
        <f t="shared" si="544"/>
        <v>8.6460293125165566E-2</v>
      </c>
      <c r="BL358" s="65">
        <f t="shared" si="652"/>
        <v>-1.703429728544158E-2</v>
      </c>
      <c r="BM358" s="65">
        <f>IFERROR(Q358/COUNTA($J$4:J358),#N/A)</f>
        <v>4.1932209072235167E-2</v>
      </c>
      <c r="BO358" s="489" t="e">
        <f>IF(J358="",#N/A,IF(S358="SW",(COUNTIFS(K$4:$K358,"&gt;0",S$4:$S358,"SW")/COUNTIF(S$4:$S358,"SW")),#N/A))</f>
        <v>#N/A</v>
      </c>
      <c r="BP358" s="489" t="e">
        <f>IF($J358="",#N/A,IF($S358="DWN",(COUNTIFS($K$4:$K358,"&lt;0",$S$4:$S358,"DWN")/COUNTIF($S$4:$S358,"DWN")),#N/A))</f>
        <v>#N/A</v>
      </c>
      <c r="BQ358" s="489">
        <f>IF($J358="",#N/A,IF($S358="UP",(COUNTIFS($K$4:$K358,"&gt;0",$S$4:$S358,"UP")/COUNTIF($S$4:$S358,"UP")),#N/A))</f>
        <v>0.45454545454545453</v>
      </c>
      <c r="BR358" s="489">
        <f>IF(J358="",#N/A,COUNTIF($K$4:K358,"&gt;0")/COUNT($J$4:J358))</f>
        <v>0.47323943661971829</v>
      </c>
      <c r="BS358" s="65">
        <f t="shared" si="574"/>
        <v>0.36595744680850911</v>
      </c>
      <c r="BT358" s="65" t="str">
        <f t="shared" si="575"/>
        <v/>
      </c>
      <c r="BU358" s="65" t="str">
        <f t="shared" si="576"/>
        <v/>
      </c>
      <c r="BV358" s="65" t="str">
        <f t="shared" si="577"/>
        <v/>
      </c>
      <c r="BW358" s="128">
        <f t="shared" si="578"/>
        <v>28.379999999999882</v>
      </c>
      <c r="BX358" s="128">
        <f>IF($J358="",#N/A,SUM($BW$4:BW358))</f>
        <v>-320.69817034792868</v>
      </c>
      <c r="BY358" s="131" t="str">
        <f t="shared" si="579"/>
        <v/>
      </c>
      <c r="BZ358" s="131">
        <f>IF($J358="",#N/A,SUM($BY$4:BY358))</f>
        <v>726.64661346139485</v>
      </c>
      <c r="CA358" s="133" t="str">
        <f t="shared" si="580"/>
        <v/>
      </c>
      <c r="CB358" s="133">
        <f>IF($J358="",#N/A,SUM($CA$4:CA358))</f>
        <v>315.90093244815864</v>
      </c>
      <c r="CC358" s="194">
        <f t="shared" si="581"/>
        <v>0.36595744680850911</v>
      </c>
      <c r="CD358" s="194">
        <f>IF($J358="",#N/A,SUM($CC$4:CC358))</f>
        <v>-4.7218027656092021</v>
      </c>
      <c r="CE358" s="195" t="str">
        <f t="shared" si="582"/>
        <v/>
      </c>
      <c r="CF358" s="195">
        <f>IF($J358="",#N/A,SUM($CE$4:CE358))</f>
        <v>12.383106140093243</v>
      </c>
      <c r="CG358" s="196" t="str">
        <f t="shared" si="583"/>
        <v/>
      </c>
      <c r="CH358" s="196">
        <f>IF($J358="",#N/A,SUM($CG$4:CG358))</f>
        <v>7.2246308461594504</v>
      </c>
      <c r="CI358" s="200" t="str">
        <f t="shared" si="584"/>
        <v/>
      </c>
      <c r="CJ358" s="203">
        <f>IF($J358="",#N/A,SUM(CI$4:CI358))</f>
        <v>0</v>
      </c>
      <c r="CK358" s="204" t="str">
        <f t="shared" si="585"/>
        <v/>
      </c>
      <c r="CL358" s="204">
        <f>IF($J358="",#N/A,SUM(CK$4:CK358))</f>
        <v>1.2912501745213723</v>
      </c>
      <c r="CM358" s="205" t="str">
        <f t="shared" si="586"/>
        <v/>
      </c>
      <c r="CN358" s="205">
        <f>IF($J358="",#N/A,SUM(CM$4:CM358))</f>
        <v>1.357235719871134</v>
      </c>
      <c r="CO358" s="205">
        <f>IF($J358="",#N/A,SUM(CM$4:CM358,CK$4:CK358,CI$4:CI358))</f>
        <v>2.6484858943925063</v>
      </c>
      <c r="CP358" s="200" t="str">
        <f t="shared" si="587"/>
        <v/>
      </c>
      <c r="CQ358" s="203">
        <f>IF($J358="",#N/A,SUM(CP$4:CP358))</f>
        <v>-3.0687583652268549</v>
      </c>
      <c r="CR358" s="204" t="str">
        <f t="shared" si="588"/>
        <v/>
      </c>
      <c r="CS358" s="204">
        <f>IF($J358="",#N/A,SUM(CR$4:CR358))</f>
        <v>2.3600225017004668</v>
      </c>
      <c r="CT358" s="205" t="str">
        <f t="shared" si="589"/>
        <v/>
      </c>
      <c r="CU358" s="205">
        <f>IF($J358="",#N/A,SUM(CT$4:CT358))</f>
        <v>-3.1872377407569323</v>
      </c>
      <c r="CV358" s="205">
        <f>IF($J358="",#N/A,SUM(CT$4:CT358,CR$4:CR358,CP$4:CP358))</f>
        <v>-3.8959736042833208</v>
      </c>
      <c r="CW358" s="200" t="str">
        <f t="shared" si="590"/>
        <v/>
      </c>
      <c r="CX358" s="203">
        <f>IF($J358="",#N/A,SUM(CW$4:CW358))</f>
        <v>-1.376136775601573</v>
      </c>
      <c r="CY358" s="204" t="str">
        <f t="shared" si="591"/>
        <v/>
      </c>
      <c r="CZ358" s="204">
        <f>IF($J358="",#N/A,SUM(CY$4:CY358))</f>
        <v>-0.30570416115784371</v>
      </c>
      <c r="DA358" s="205" t="str">
        <f t="shared" si="592"/>
        <v/>
      </c>
      <c r="DB358" s="205">
        <f>IF($J358="",#N/A,SUM(DA$4:DA358))</f>
        <v>-2.4685516361569055</v>
      </c>
      <c r="DC358" s="205">
        <f>IF($J358="",#N/A,SUM(DA$4:DA358,CY$4:CY358,CW$4:CW358))</f>
        <v>-4.1503925729163207</v>
      </c>
      <c r="DD358" s="200">
        <f t="shared" si="593"/>
        <v>0.36595744680850911</v>
      </c>
      <c r="DE358" s="203">
        <f>IF($J358="",#N/A,SUM(DD$4:DD358))</f>
        <v>1.6161029218801881</v>
      </c>
      <c r="DF358" s="204" t="str">
        <f t="shared" si="594"/>
        <v/>
      </c>
      <c r="DG358" s="204">
        <f>IF($J358="",#N/A,SUM(DF$4:DF358))</f>
        <v>4.1810385231482243</v>
      </c>
      <c r="DH358" s="205" t="str">
        <f t="shared" si="595"/>
        <v/>
      </c>
      <c r="DI358" s="205">
        <f>IF($J358="",#N/A,SUM(DH$4:DH358))</f>
        <v>-3.216671910770577</v>
      </c>
      <c r="DJ358" s="205">
        <f>IF($J358="",#N/A,SUM(DH$4:DH358,DF$4:DF358,DD$4:DD358))</f>
        <v>2.5804695342578352</v>
      </c>
      <c r="DK358" s="200" t="str">
        <f t="shared" si="596"/>
        <v/>
      </c>
      <c r="DL358" s="203">
        <f>IF($J358="",#N/A,SUM(DK$4:DK358))</f>
        <v>-0.84049791589649614</v>
      </c>
      <c r="DM358" s="204" t="str">
        <f t="shared" si="597"/>
        <v/>
      </c>
      <c r="DN358" s="204">
        <f>IF($J358="",#N/A,SUM(DM$4:DM358))</f>
        <v>1.8657648196498773</v>
      </c>
      <c r="DO358" s="205" t="str">
        <f t="shared" si="598"/>
        <v/>
      </c>
      <c r="DP358" s="205">
        <f>IF($J358="",#N/A,SUM(DO$4:DO358))</f>
        <v>3.4887162328793941</v>
      </c>
      <c r="DQ358" s="205">
        <f>IF($J358="",#N/A,SUM(DO$4:DO358,DM$4:DM358,DK$4:DK358))</f>
        <v>4.5139831366327758</v>
      </c>
      <c r="DR358" s="200" t="str">
        <f t="shared" si="599"/>
        <v/>
      </c>
      <c r="DS358" s="203">
        <f>IF($J358="",#N/A,SUM(DR$4:DR358))</f>
        <v>-0.55950946427675097</v>
      </c>
      <c r="DT358" s="204" t="str">
        <f t="shared" si="600"/>
        <v/>
      </c>
      <c r="DU358" s="204">
        <f>IF($J358="",#N/A,SUM(DT$4:DT358))</f>
        <v>-0.20750635820596686</v>
      </c>
      <c r="DV358" s="205" t="str">
        <f t="shared" si="601"/>
        <v/>
      </c>
      <c r="DW358" s="205">
        <f>IF($J358="",#N/A,SUM(DV$4:DV358))</f>
        <v>-2.3377035686214001</v>
      </c>
      <c r="DX358" s="205">
        <f>IF($J358="",#N/A,SUM(DV$4:DV358,DT$4:DT358,DR$4:DR358))</f>
        <v>-3.1047193911041169</v>
      </c>
      <c r="DY358" s="200" t="str">
        <f t="shared" si="602"/>
        <v/>
      </c>
      <c r="DZ358" s="203">
        <f>IF($J358="",#N/A,SUM(DY$4:DY358))</f>
        <v>-1.4146842415208627</v>
      </c>
      <c r="EA358" s="204" t="str">
        <f t="shared" si="603"/>
        <v/>
      </c>
      <c r="EB358" s="204">
        <f>IF($J358="",#N/A,SUM(EA$4:EA358))</f>
        <v>4.3184391548878134</v>
      </c>
      <c r="EC358" s="205" t="str">
        <f t="shared" si="604"/>
        <v/>
      </c>
      <c r="ED358" s="205">
        <f>IF($J358="",#N/A,SUM(EC$4:EC358))</f>
        <v>9.2956923798665674</v>
      </c>
      <c r="EE358" s="205">
        <f>IF($J358="",#N/A,SUM(EC$4:EC358,EA$4:EA358,DY$4:DY358))</f>
        <v>12.199447293233519</v>
      </c>
      <c r="EF358" s="200" t="str">
        <f t="shared" si="605"/>
        <v/>
      </c>
      <c r="EG358" s="203">
        <f>IF($J358="",#N/A,SUM(EF$4:EF358))</f>
        <v>0.65848341369884777</v>
      </c>
      <c r="EH358" s="204" t="str">
        <f t="shared" si="606"/>
        <v/>
      </c>
      <c r="EI358" s="204">
        <f>IF($J358="",#N/A,SUM(EH$4:EH358))</f>
        <v>-3.5125331561187787</v>
      </c>
      <c r="EJ358" s="205" t="str">
        <f t="shared" si="607"/>
        <v/>
      </c>
      <c r="EK358" s="205">
        <f>IF($J358="",#N/A,SUM(EJ$4:EJ358))</f>
        <v>8.4840381642896556</v>
      </c>
      <c r="EL358" s="205">
        <f>IF($J358="",#N/A,SUM(EJ$4:EJ358,EH$4:EH358,EF$4:EF358))</f>
        <v>5.6299884218697258</v>
      </c>
      <c r="EM358" s="200" t="str">
        <f t="shared" si="608"/>
        <v/>
      </c>
      <c r="EN358" s="203">
        <f>IF($J358="",#N/A,SUM(EM$4:EM358))</f>
        <v>0</v>
      </c>
      <c r="EO358" s="204" t="str">
        <f t="shared" si="609"/>
        <v/>
      </c>
      <c r="EP358" s="204">
        <f>IF($J358="",#N/A,SUM(EO$4:EO358))</f>
        <v>2.4788862078089964</v>
      </c>
      <c r="EQ358" s="205" t="str">
        <f t="shared" si="610"/>
        <v/>
      </c>
      <c r="ER358" s="205">
        <f>IF($J358="",#N/A,SUM(EQ$4:EQ358))</f>
        <v>1.7856049065476487</v>
      </c>
      <c r="ES358" s="205">
        <f>IF($J358="",#N/A,SUM(EQ$4:EQ358,EO$4:EO358,EM$4:EM358))</f>
        <v>4.2644911143566446</v>
      </c>
      <c r="ET358" s="200" t="str">
        <f t="shared" si="611"/>
        <v/>
      </c>
      <c r="EU358" s="203">
        <f>IF($J358="",#N/A,SUM(ET$4:ET358))</f>
        <v>0</v>
      </c>
      <c r="EV358" s="204" t="str">
        <f t="shared" si="612"/>
        <v/>
      </c>
      <c r="EW358" s="204">
        <f>IF($J358="",#N/A,SUM(EV$4:EV358))</f>
        <v>7.9116394275462909E-2</v>
      </c>
      <c r="EX358" s="205" t="str">
        <f t="shared" si="613"/>
        <v/>
      </c>
      <c r="EY358" s="205">
        <f>IF($J358="",#N/A,SUM(EX$4:EX358))</f>
        <v>-0.38863392418374743</v>
      </c>
      <c r="EZ358" s="205">
        <f>IF($J358="",#N/A,SUM(EX$4:EX358,EV$4:EV358,ET$4:ET358))</f>
        <v>-0.30951752990828441</v>
      </c>
      <c r="FA358" s="200" t="str">
        <f t="shared" si="614"/>
        <v/>
      </c>
      <c r="FB358" s="203">
        <f>IF($J358="",#N/A,SUM(FA$4:FA358))</f>
        <v>-0.27145310509113252</v>
      </c>
      <c r="FC358" s="204" t="str">
        <f t="shared" si="615"/>
        <v/>
      </c>
      <c r="FD358" s="204">
        <f>IF($J358="",#N/A,SUM(FC$4:FC358))</f>
        <v>0.89084290967454072</v>
      </c>
      <c r="FE358" s="205" t="str">
        <f t="shared" si="616"/>
        <v/>
      </c>
      <c r="FF358" s="205">
        <f>IF($J358="",#N/A,SUM(FE$4:FE358))</f>
        <v>-0.28811149078748233</v>
      </c>
      <c r="FG358" s="205">
        <f>IF($J358="",#N/A,SUM(FE$4:FE358,FC$4:FC358,FA$4:FA358))</f>
        <v>0.3312783137959262</v>
      </c>
      <c r="FH358" s="200" t="str">
        <f t="shared" si="617"/>
        <v/>
      </c>
      <c r="FI358" s="203">
        <f>IF($J358="",#N/A,SUM(FH$4:FH358))</f>
        <v>0</v>
      </c>
      <c r="FJ358" s="204" t="str">
        <f t="shared" si="618"/>
        <v/>
      </c>
      <c r="FK358" s="204">
        <f>IF($J358="",#N/A,SUM(FJ$4:FJ358))</f>
        <v>0</v>
      </c>
      <c r="FL358" s="205" t="str">
        <f t="shared" si="619"/>
        <v/>
      </c>
      <c r="FM358" s="205">
        <f>IF($J358="",#N/A,SUM(FL$4:FL358))</f>
        <v>0</v>
      </c>
      <c r="FN358" s="205">
        <f>IF($J358="",#N/A,SUM(FL$4:FL358,FJ$4:FJ358,FH$4:FH358))</f>
        <v>0</v>
      </c>
      <c r="FO358" s="200" t="str">
        <f t="shared" si="620"/>
        <v/>
      </c>
      <c r="FP358" s="203">
        <f>IF($J358="",#N/A,SUM(FO$4:FO358))</f>
        <v>0</v>
      </c>
      <c r="FQ358" s="204" t="str">
        <f t="shared" si="621"/>
        <v/>
      </c>
      <c r="FR358" s="204">
        <f>IF($J358="",#N/A,SUM(FQ$4:FQ358))</f>
        <v>0</v>
      </c>
      <c r="FS358" s="205" t="str">
        <f t="shared" si="622"/>
        <v/>
      </c>
      <c r="FT358" s="205">
        <f>IF($J358="",#N/A,SUM(FS$4:FS358))</f>
        <v>0</v>
      </c>
      <c r="FU358" s="205">
        <f>IF($J358="",#N/A,SUM(FS$4:FS358,FQ$4:FQ358,FO$4:FO358))</f>
        <v>0</v>
      </c>
      <c r="FV358" s="200" t="str">
        <f t="shared" si="623"/>
        <v/>
      </c>
      <c r="FW358" s="203">
        <f>IF($J358="",#N/A,SUM(FV$4:FV358))</f>
        <v>6.6834991831277585E-2</v>
      </c>
      <c r="FX358" s="204" t="str">
        <f t="shared" si="624"/>
        <v/>
      </c>
      <c r="FY358" s="204">
        <f>IF($J358="",#N/A,SUM(FX$4:FX358))</f>
        <v>-0.16102012791805576</v>
      </c>
      <c r="FZ358" s="205" t="str">
        <f t="shared" si="625"/>
        <v/>
      </c>
      <c r="GA358" s="205">
        <f>IF($J358="",#N/A,SUM(FZ$4:FZ358))</f>
        <v>-0.69624339162892301</v>
      </c>
      <c r="GB358" s="205">
        <f>IF($J358="",#N/A,SUM(FZ$4:FZ358,FX$4:FX358,FV$4:FV358))</f>
        <v>-0.79042852771570116</v>
      </c>
      <c r="GC358" s="200" t="str">
        <f t="shared" si="626"/>
        <v/>
      </c>
      <c r="GD358" s="203">
        <f>IF($J358="",#N/A,SUM(GC$4:GC358))</f>
        <v>0</v>
      </c>
      <c r="GE358" s="204" t="str">
        <f t="shared" si="627"/>
        <v/>
      </c>
      <c r="GF358" s="204">
        <f>IF($J358="",#N/A,SUM(GE$4:GE358))</f>
        <v>0</v>
      </c>
      <c r="GG358" s="205" t="str">
        <f t="shared" si="628"/>
        <v/>
      </c>
      <c r="GH358" s="205">
        <f>IF($J358="",#N/A,SUM(GG$4:GG358))</f>
        <v>-2.9368362277223206</v>
      </c>
      <c r="GI358" s="205">
        <f>IF($J358="",#N/A,SUM(GG$4:GG358,GE$4:GE358,GC$4:GC358))</f>
        <v>-2.9368362277223206</v>
      </c>
      <c r="GJ358" s="200" t="str">
        <f t="shared" si="629"/>
        <v/>
      </c>
      <c r="GK358" s="203">
        <f>IF($J358="",#N/A,SUM(GJ$4:GJ358))</f>
        <v>0</v>
      </c>
      <c r="GL358" s="204" t="str">
        <f t="shared" si="630"/>
        <v/>
      </c>
      <c r="GM358" s="204">
        <f>IF($J358="",#N/A,SUM(GL$4:GL358))</f>
        <v>-2.0621307233432784</v>
      </c>
      <c r="GN358" s="205" t="str">
        <f t="shared" si="631"/>
        <v/>
      </c>
      <c r="GO358" s="205">
        <f>IF($J358="",#N/A,SUM(GN$4:GN358))</f>
        <v>0</v>
      </c>
      <c r="GP358" s="205">
        <f>IF($J358="",#N/A,SUM(GN$4:GN358,GL$4:GL358,GJ$4:GJ358))</f>
        <v>-2.0621307233432784</v>
      </c>
      <c r="GS358" s="439" t="str">
        <f t="shared" si="650"/>
        <v/>
      </c>
      <c r="GT358" s="439" t="e">
        <f>IF(GS358="",NA(),SUM($GS$4:GS358))</f>
        <v>#N/A</v>
      </c>
      <c r="GU358" s="439" t="str">
        <f t="shared" si="632"/>
        <v/>
      </c>
      <c r="GV358" s="439" t="e">
        <f>IF(GU358="",NA(),SUM($GU$4:GU358))</f>
        <v>#N/A</v>
      </c>
      <c r="GW358" s="439" t="str">
        <f t="shared" si="633"/>
        <v/>
      </c>
      <c r="GX358" s="439" t="e">
        <f>IF(GW358="",NA(),SUM($GW$4:GW358))</f>
        <v>#N/A</v>
      </c>
      <c r="GY358" s="439" t="str">
        <f t="shared" si="634"/>
        <v/>
      </c>
      <c r="GZ358" s="439" t="e">
        <f>IF(GY358="",NA(),SUM($GY$4:GY358))</f>
        <v>#N/A</v>
      </c>
      <c r="HA358" s="439">
        <f t="shared" si="635"/>
        <v>0.36595744680850911</v>
      </c>
      <c r="HB358" s="439">
        <f>IF(HA358="",NA(),SUM($HA$4:HA358))</f>
        <v>2.0133269110841252</v>
      </c>
      <c r="HC358" s="439">
        <f t="shared" si="636"/>
        <v>0.36595744680850911</v>
      </c>
      <c r="HD358" s="439">
        <f>IF(HC358="",NA(),SUM($HC$4:HC358))</f>
        <v>1.0475612281594202</v>
      </c>
      <c r="HE358" s="439" t="str">
        <f t="shared" si="637"/>
        <v/>
      </c>
      <c r="HF358" s="439" t="e">
        <f>IF(HE358="",NA(),SUM($HE$4:HE358))</f>
        <v>#N/A</v>
      </c>
      <c r="HG358" s="439" t="str">
        <f t="shared" si="638"/>
        <v/>
      </c>
      <c r="HH358" s="439" t="e">
        <f>IF(HG358="",NA(),SUM($HG$4:HG358))</f>
        <v>#N/A</v>
      </c>
      <c r="HI358" s="440" t="str">
        <f t="shared" si="651"/>
        <v/>
      </c>
      <c r="HJ358" s="440">
        <f>IF($J358="",#N/A,SUM(HI$4:$HI358))</f>
        <v>-9.7504917305571919</v>
      </c>
      <c r="HK358" s="439" t="str">
        <f t="shared" si="639"/>
        <v/>
      </c>
      <c r="HL358" s="439">
        <f>IF($J358="",#N/A,SUM($HK$4:HK358))</f>
        <v>2.7460981583887896</v>
      </c>
      <c r="HM358" s="439">
        <f t="shared" si="640"/>
        <v>-0.58297872340425283</v>
      </c>
      <c r="HN358" s="439">
        <f>IF($J358="",#N/A,SUM($HM$4:HM358))</f>
        <v>-0.1668095672281944</v>
      </c>
      <c r="HO358" s="439" t="str">
        <f t="shared" si="641"/>
        <v/>
      </c>
      <c r="HP358" s="439">
        <f>IF($J358="",#N/A,SUM($HO$4:HO358))</f>
        <v>-3.7289214255513348E-2</v>
      </c>
      <c r="HQ358" s="439" t="str">
        <f t="shared" si="642"/>
        <v/>
      </c>
      <c r="HR358" s="439">
        <f>IF($J358="",#N/A,SUM($HQ$4:HQ358))</f>
        <v>-11.745401831760597</v>
      </c>
      <c r="HS358" s="439" t="str">
        <f t="shared" si="643"/>
        <v/>
      </c>
      <c r="HT358" s="439">
        <f>IF($J358="",#N/A,SUM($HS$4:HS358))</f>
        <v>15.130458402539208</v>
      </c>
      <c r="HU358" s="436">
        <f t="shared" si="644"/>
        <v>-0.21702127659574375</v>
      </c>
      <c r="HV358" s="436">
        <f>IF($J358="",#N/A,SUM(HU$4:$HU358))</f>
        <v>10.546550970603004</v>
      </c>
    </row>
    <row r="359" spans="1:230" ht="15.75" thickBot="1" x14ac:dyDescent="0.3">
      <c r="A359" s="292" t="s">
        <v>1099</v>
      </c>
      <c r="B359" s="293" t="s">
        <v>5508</v>
      </c>
      <c r="C359" s="294">
        <f t="shared" si="545"/>
        <v>3</v>
      </c>
      <c r="D359" s="295" t="str">
        <f>_xlfn.XLOOKUP(A359,[1]SP500!$A$2:$A$502,[1]SP500!$D$2:$D$502,"N")</f>
        <v>Y</v>
      </c>
      <c r="E359" s="292" t="str">
        <f>IFERROR(_xlfn.XLOOKUP(A359,[1]SP500!$A$2:$A$655,[1]SP500!$B$2:$B$655),"")</f>
        <v>XLY</v>
      </c>
      <c r="F359" s="296">
        <v>45799</v>
      </c>
      <c r="G359" s="292" t="str">
        <f t="shared" si="546"/>
        <v>BMO</v>
      </c>
      <c r="H359" s="292" t="str">
        <f t="shared" si="547"/>
        <v>s</v>
      </c>
      <c r="I359" s="402">
        <v>167.92</v>
      </c>
      <c r="J359" s="297">
        <v>156.5</v>
      </c>
      <c r="K359" s="298">
        <f t="shared" si="548"/>
        <v>-6.8008575512148575E-2</v>
      </c>
      <c r="L359" s="299">
        <f t="shared" si="549"/>
        <v>-91.3599999999999</v>
      </c>
      <c r="M359" s="300">
        <f t="shared" si="550"/>
        <v>4</v>
      </c>
      <c r="N359" s="341">
        <f t="shared" si="551"/>
        <v>-91.3599999999999</v>
      </c>
      <c r="O359" s="300">
        <f>IF(N359="",#N/A,SUM($N$4:N359))</f>
        <v>630.48937556162502</v>
      </c>
      <c r="P359" s="305">
        <f t="shared" si="645"/>
        <v>-1.1334762585358096</v>
      </c>
      <c r="Q359" s="304">
        <f>IF($N359="",#N/A,SUM($P$4:P359))</f>
        <v>13.752457962107675</v>
      </c>
      <c r="R359" s="307">
        <f t="shared" si="552"/>
        <v>7.3938918270335918</v>
      </c>
      <c r="S359" s="292" t="str">
        <f t="shared" si="553"/>
        <v>SW</v>
      </c>
      <c r="T359" s="292" t="s">
        <v>2828</v>
      </c>
      <c r="U359" s="308">
        <f t="shared" si="554"/>
        <v>167.92</v>
      </c>
      <c r="V359" s="308" t="s">
        <v>4460</v>
      </c>
      <c r="W359" s="310">
        <v>8</v>
      </c>
      <c r="X359" s="309">
        <f t="shared" si="555"/>
        <v>1343.36</v>
      </c>
      <c r="Y359" s="310">
        <f t="shared" si="556"/>
        <v>8</v>
      </c>
      <c r="Z359" s="311">
        <v>157</v>
      </c>
      <c r="AA359" s="341">
        <f t="shared" si="557"/>
        <v>-87.3599999999999</v>
      </c>
      <c r="AB359" s="341">
        <f t="shared" si="558"/>
        <v>-60.240000000000009</v>
      </c>
      <c r="AC359" s="297">
        <v>160.38999999999999</v>
      </c>
      <c r="AD359" s="301">
        <f t="shared" si="559"/>
        <v>-60.240000000000009</v>
      </c>
      <c r="AE359" s="546">
        <f t="shared" si="560"/>
        <v>-0.74737970462124836</v>
      </c>
      <c r="AF359" s="300">
        <f>IF($AC359="",#N/A,SUM(AD$4:AD359))</f>
        <v>542.92239714744915</v>
      </c>
      <c r="AG359" s="341">
        <f t="shared" si="561"/>
        <v>31.119999999999891</v>
      </c>
      <c r="AH359" s="308" t="s">
        <v>2507</v>
      </c>
      <c r="AI359" s="305">
        <f t="shared" si="562"/>
        <v>-1.0838494521200561</v>
      </c>
      <c r="AJ359" s="418">
        <f>IF(AI359="",#N/A,SUM($AI$4:AI359))</f>
        <v>6.3585661350740832</v>
      </c>
      <c r="AK359" s="300">
        <f t="shared" si="563"/>
        <v>-87.3599999999999</v>
      </c>
      <c r="AL359" s="406">
        <f>IF(AI359="",#N/A,IF(AH359="Skip",SUM($AK$4:AK359),SUM($AK$4:AK359)))</f>
        <v>132.51736927848242</v>
      </c>
      <c r="AM359" s="65">
        <f t="shared" si="646"/>
        <v>-0.74737970462124836</v>
      </c>
      <c r="AN359" s="209"/>
      <c r="AO359" s="305">
        <f t="shared" si="564"/>
        <v>-0.74737970462124836</v>
      </c>
      <c r="AP359" s="305">
        <f>IF($AC359="",#N/A,SUM(AO$4:AO359))</f>
        <v>9.3463602451498264</v>
      </c>
      <c r="AQ359" s="305" t="str">
        <f t="shared" si="565"/>
        <v/>
      </c>
      <c r="AR359" s="305">
        <f>IF($AC359="",#N/A,SUM(AQ$4:AQ359))</f>
        <v>-4.9259015470929119</v>
      </c>
      <c r="AS359" s="305" t="str">
        <f t="shared" si="566"/>
        <v/>
      </c>
      <c r="AT359" s="305">
        <f>IF($AC359="",#N/A,SUM(AS$4:AS359))</f>
        <v>5.3787125679248309</v>
      </c>
      <c r="AU359" s="300">
        <f t="shared" si="647"/>
        <v>-60.240000000000009</v>
      </c>
      <c r="AV359" s="300">
        <f>IF($AC359="",#N/A,SUM(AU$4:AU359))</f>
        <v>476.94627194987993</v>
      </c>
      <c r="AW359" s="300" t="str">
        <f t="shared" si="648"/>
        <v/>
      </c>
      <c r="AX359" s="300">
        <f>IF($AC359="",#N/A,SUM(AW$4:AW359))</f>
        <v>-334.10106797961066</v>
      </c>
      <c r="AY359" s="300" t="str">
        <f t="shared" si="649"/>
        <v/>
      </c>
      <c r="AZ359" s="300">
        <f>IF($AC359="",#N/A,SUM(AY$4:AY359))</f>
        <v>400.07719317717977</v>
      </c>
      <c r="BA359" s="300">
        <f>IF(AD359="",#N/A,SUM($AD$4:AD359))</f>
        <v>542.92239714744915</v>
      </c>
      <c r="BC359" s="292" t="str">
        <f t="shared" si="567"/>
        <v/>
      </c>
      <c r="BD359" s="292" t="str">
        <f t="shared" si="568"/>
        <v/>
      </c>
      <c r="BE359" s="292" t="str">
        <f t="shared" si="569"/>
        <v/>
      </c>
      <c r="BF359" s="292" t="str">
        <f t="shared" si="570"/>
        <v>Long</v>
      </c>
      <c r="BG359" s="292" t="str">
        <f t="shared" si="571"/>
        <v/>
      </c>
      <c r="BH359" s="292" t="str">
        <f t="shared" si="572"/>
        <v/>
      </c>
      <c r="BI359" s="292">
        <f t="shared" si="573"/>
        <v>1</v>
      </c>
      <c r="BK359" s="65">
        <f t="shared" si="544"/>
        <v>1.9259912707189991E-2</v>
      </c>
      <c r="BL359" s="65">
        <f t="shared" si="652"/>
        <v>-7.5959945701006643E-2</v>
      </c>
      <c r="BM359" s="65">
        <f>IFERROR(Q359/COUNTA($J$4:J359),#N/A)</f>
        <v>3.8630499893560884E-2</v>
      </c>
      <c r="BO359" s="489">
        <f>IF(J359="",#N/A,IF(S359="SW",(COUNTIFS(K$4:$K359,"&gt;0",S$4:$S359,"SW")/COUNTIF(S$4:$S359,"SW")),#N/A))</f>
        <v>0.50595238095238093</v>
      </c>
      <c r="BP359" s="489" t="e">
        <f>IF($J359="",#N/A,IF($S359="DWN",(COUNTIFS($K$4:$K359,"&lt;0",$S$4:$S359,"DWN")/COUNTIF($S$4:$S359,"DWN")),#N/A))</f>
        <v>#N/A</v>
      </c>
      <c r="BQ359" s="489" t="e">
        <f>IF($J359="",#N/A,IF($S359="UP",(COUNTIFS($K$4:$K359,"&gt;0",$S$4:$S359,"UP")/COUNTIF($S$4:$S359,"UP")),#N/A))</f>
        <v>#N/A</v>
      </c>
      <c r="BR359" s="489">
        <f>IF(J359="",#N/A,COUNTIF($K$4:K359,"&gt;0")/COUNT($J$4:J359))</f>
        <v>0.47191011235955055</v>
      </c>
      <c r="BS359" s="65" t="str">
        <f t="shared" si="574"/>
        <v/>
      </c>
      <c r="BT359" s="65">
        <f t="shared" si="575"/>
        <v>-1.1334762585358096</v>
      </c>
      <c r="BU359" s="65" t="str">
        <f t="shared" si="576"/>
        <v/>
      </c>
      <c r="BV359" s="65" t="str">
        <f t="shared" si="577"/>
        <v/>
      </c>
      <c r="BW359" s="128" t="str">
        <f t="shared" si="578"/>
        <v/>
      </c>
      <c r="BX359" s="128">
        <f>IF($J359="",#N/A,SUM($BW$4:BW359))</f>
        <v>-320.69817034792868</v>
      </c>
      <c r="BY359" s="131" t="str">
        <f t="shared" si="579"/>
        <v/>
      </c>
      <c r="BZ359" s="131">
        <f>IF($J359="",#N/A,SUM($BY$4:BY359))</f>
        <v>726.64661346139485</v>
      </c>
      <c r="CA359" s="133">
        <f t="shared" si="580"/>
        <v>-91.3599999999999</v>
      </c>
      <c r="CB359" s="133">
        <f>IF($J359="",#N/A,SUM($CA$4:CA359))</f>
        <v>224.54093244815874</v>
      </c>
      <c r="CC359" s="194" t="str">
        <f t="shared" si="581"/>
        <v/>
      </c>
      <c r="CD359" s="194">
        <f>IF($J359="",#N/A,SUM($CC$4:CC359))</f>
        <v>-4.7218027656092021</v>
      </c>
      <c r="CE359" s="195" t="str">
        <f t="shared" si="582"/>
        <v/>
      </c>
      <c r="CF359" s="195">
        <f>IF($J359="",#N/A,SUM($CE$4:CE359))</f>
        <v>12.383106140093243</v>
      </c>
      <c r="CG359" s="196">
        <f t="shared" si="583"/>
        <v>-1.1334762585358096</v>
      </c>
      <c r="CH359" s="196">
        <f>IF($J359="",#N/A,SUM($CG$4:CG359))</f>
        <v>6.0911545876236408</v>
      </c>
      <c r="CI359" s="200" t="str">
        <f t="shared" si="584"/>
        <v/>
      </c>
      <c r="CJ359" s="203">
        <f>IF($J359="",#N/A,SUM(CI$4:CI359))</f>
        <v>0</v>
      </c>
      <c r="CK359" s="204" t="str">
        <f t="shared" si="585"/>
        <v/>
      </c>
      <c r="CL359" s="204">
        <f>IF($J359="",#N/A,SUM(CK$4:CK359))</f>
        <v>1.2912501745213723</v>
      </c>
      <c r="CM359" s="205" t="str">
        <f t="shared" si="586"/>
        <v/>
      </c>
      <c r="CN359" s="205">
        <f>IF($J359="",#N/A,SUM(CM$4:CM359))</f>
        <v>1.357235719871134</v>
      </c>
      <c r="CO359" s="205">
        <f>IF($J359="",#N/A,SUM(CM$4:CM359,CK$4:CK359,CI$4:CI359))</f>
        <v>2.6484858943925063</v>
      </c>
      <c r="CP359" s="200" t="str">
        <f t="shared" si="587"/>
        <v/>
      </c>
      <c r="CQ359" s="203">
        <f>IF($J359="",#N/A,SUM(CP$4:CP359))</f>
        <v>-3.0687583652268549</v>
      </c>
      <c r="CR359" s="204" t="str">
        <f t="shared" si="588"/>
        <v/>
      </c>
      <c r="CS359" s="204">
        <f>IF($J359="",#N/A,SUM(CR$4:CR359))</f>
        <v>2.3600225017004668</v>
      </c>
      <c r="CT359" s="205" t="str">
        <f t="shared" si="589"/>
        <v/>
      </c>
      <c r="CU359" s="205">
        <f>IF($J359="",#N/A,SUM(CT$4:CT359))</f>
        <v>-3.1872377407569323</v>
      </c>
      <c r="CV359" s="205">
        <f>IF($J359="",#N/A,SUM(CT$4:CT359,CR$4:CR359,CP$4:CP359))</f>
        <v>-3.8959736042833208</v>
      </c>
      <c r="CW359" s="200" t="str">
        <f t="shared" si="590"/>
        <v/>
      </c>
      <c r="CX359" s="203">
        <f>IF($J359="",#N/A,SUM(CW$4:CW359))</f>
        <v>-1.376136775601573</v>
      </c>
      <c r="CY359" s="204" t="str">
        <f t="shared" si="591"/>
        <v/>
      </c>
      <c r="CZ359" s="204">
        <f>IF($J359="",#N/A,SUM(CY$4:CY359))</f>
        <v>-0.30570416115784371</v>
      </c>
      <c r="DA359" s="205">
        <f t="shared" si="592"/>
        <v>-1.1334762585358096</v>
      </c>
      <c r="DB359" s="205">
        <f>IF($J359="",#N/A,SUM(DA$4:DA359))</f>
        <v>-3.6020278946927151</v>
      </c>
      <c r="DC359" s="205">
        <f>IF($J359="",#N/A,SUM(DA$4:DA359,CY$4:CY359,CW$4:CW359))</f>
        <v>-5.2838688314521338</v>
      </c>
      <c r="DD359" s="200" t="str">
        <f t="shared" si="593"/>
        <v/>
      </c>
      <c r="DE359" s="203">
        <f>IF($J359="",#N/A,SUM(DD$4:DD359))</f>
        <v>1.6161029218801881</v>
      </c>
      <c r="DF359" s="204" t="str">
        <f t="shared" si="594"/>
        <v/>
      </c>
      <c r="DG359" s="204">
        <f>IF($J359="",#N/A,SUM(DF$4:DF359))</f>
        <v>4.1810385231482243</v>
      </c>
      <c r="DH359" s="205" t="str">
        <f t="shared" si="595"/>
        <v/>
      </c>
      <c r="DI359" s="205">
        <f>IF($J359="",#N/A,SUM(DH$4:DH359))</f>
        <v>-3.216671910770577</v>
      </c>
      <c r="DJ359" s="205">
        <f>IF($J359="",#N/A,SUM(DH$4:DH359,DF$4:DF359,DD$4:DD359))</f>
        <v>2.5804695342578352</v>
      </c>
      <c r="DK359" s="200" t="str">
        <f t="shared" si="596"/>
        <v/>
      </c>
      <c r="DL359" s="203">
        <f>IF($J359="",#N/A,SUM(DK$4:DK359))</f>
        <v>-0.84049791589649614</v>
      </c>
      <c r="DM359" s="204" t="str">
        <f t="shared" si="597"/>
        <v/>
      </c>
      <c r="DN359" s="204">
        <f>IF($J359="",#N/A,SUM(DM$4:DM359))</f>
        <v>1.8657648196498773</v>
      </c>
      <c r="DO359" s="205" t="str">
        <f t="shared" si="598"/>
        <v/>
      </c>
      <c r="DP359" s="205">
        <f>IF($J359="",#N/A,SUM(DO$4:DO359))</f>
        <v>3.4887162328793941</v>
      </c>
      <c r="DQ359" s="205">
        <f>IF($J359="",#N/A,SUM(DO$4:DO359,DM$4:DM359,DK$4:DK359))</f>
        <v>4.5139831366327758</v>
      </c>
      <c r="DR359" s="200" t="str">
        <f t="shared" si="599"/>
        <v/>
      </c>
      <c r="DS359" s="203">
        <f>IF($J359="",#N/A,SUM(DR$4:DR359))</f>
        <v>-0.55950946427675097</v>
      </c>
      <c r="DT359" s="204" t="str">
        <f t="shared" si="600"/>
        <v/>
      </c>
      <c r="DU359" s="204">
        <f>IF($J359="",#N/A,SUM(DT$4:DT359))</f>
        <v>-0.20750635820596686</v>
      </c>
      <c r="DV359" s="205" t="str">
        <f t="shared" si="601"/>
        <v/>
      </c>
      <c r="DW359" s="205">
        <f>IF($J359="",#N/A,SUM(DV$4:DV359))</f>
        <v>-2.3377035686214001</v>
      </c>
      <c r="DX359" s="205">
        <f>IF($J359="",#N/A,SUM(DV$4:DV359,DT$4:DT359,DR$4:DR359))</f>
        <v>-3.1047193911041169</v>
      </c>
      <c r="DY359" s="200" t="str">
        <f t="shared" si="602"/>
        <v/>
      </c>
      <c r="DZ359" s="203">
        <f>IF($J359="",#N/A,SUM(DY$4:DY359))</f>
        <v>-1.4146842415208627</v>
      </c>
      <c r="EA359" s="204" t="str">
        <f t="shared" si="603"/>
        <v/>
      </c>
      <c r="EB359" s="204">
        <f>IF($J359="",#N/A,SUM(EA$4:EA359))</f>
        <v>4.3184391548878134</v>
      </c>
      <c r="EC359" s="205" t="str">
        <f t="shared" si="604"/>
        <v/>
      </c>
      <c r="ED359" s="205">
        <f>IF($J359="",#N/A,SUM(EC$4:EC359))</f>
        <v>9.2956923798665674</v>
      </c>
      <c r="EE359" s="205">
        <f>IF($J359="",#N/A,SUM(EC$4:EC359,EA$4:EA359,DY$4:DY359))</f>
        <v>12.199447293233519</v>
      </c>
      <c r="EF359" s="200" t="str">
        <f t="shared" si="605"/>
        <v/>
      </c>
      <c r="EG359" s="203">
        <f>IF($J359="",#N/A,SUM(EF$4:EF359))</f>
        <v>0.65848341369884777</v>
      </c>
      <c r="EH359" s="204" t="str">
        <f t="shared" si="606"/>
        <v/>
      </c>
      <c r="EI359" s="204">
        <f>IF($J359="",#N/A,SUM(EH$4:EH359))</f>
        <v>-3.5125331561187787</v>
      </c>
      <c r="EJ359" s="205" t="str">
        <f t="shared" si="607"/>
        <v/>
      </c>
      <c r="EK359" s="205">
        <f>IF($J359="",#N/A,SUM(EJ$4:EJ359))</f>
        <v>8.4840381642896556</v>
      </c>
      <c r="EL359" s="205">
        <f>IF($J359="",#N/A,SUM(EJ$4:EJ359,EH$4:EH359,EF$4:EF359))</f>
        <v>5.6299884218697258</v>
      </c>
      <c r="EM359" s="200" t="str">
        <f t="shared" si="608"/>
        <v/>
      </c>
      <c r="EN359" s="203">
        <f>IF($J359="",#N/A,SUM(EM$4:EM359))</f>
        <v>0</v>
      </c>
      <c r="EO359" s="204" t="str">
        <f t="shared" si="609"/>
        <v/>
      </c>
      <c r="EP359" s="204">
        <f>IF($J359="",#N/A,SUM(EO$4:EO359))</f>
        <v>2.4788862078089964</v>
      </c>
      <c r="EQ359" s="205" t="str">
        <f t="shared" si="610"/>
        <v/>
      </c>
      <c r="ER359" s="205">
        <f>IF($J359="",#N/A,SUM(EQ$4:EQ359))</f>
        <v>1.7856049065476487</v>
      </c>
      <c r="ES359" s="205">
        <f>IF($J359="",#N/A,SUM(EQ$4:EQ359,EO$4:EO359,EM$4:EM359))</f>
        <v>4.2644911143566446</v>
      </c>
      <c r="ET359" s="200" t="str">
        <f t="shared" si="611"/>
        <v/>
      </c>
      <c r="EU359" s="203">
        <f>IF($J359="",#N/A,SUM(ET$4:ET359))</f>
        <v>0</v>
      </c>
      <c r="EV359" s="204" t="str">
        <f t="shared" si="612"/>
        <v/>
      </c>
      <c r="EW359" s="204">
        <f>IF($J359="",#N/A,SUM(EV$4:EV359))</f>
        <v>7.9116394275462909E-2</v>
      </c>
      <c r="EX359" s="205" t="str">
        <f t="shared" si="613"/>
        <v/>
      </c>
      <c r="EY359" s="205">
        <f>IF($J359="",#N/A,SUM(EX$4:EX359))</f>
        <v>-0.38863392418374743</v>
      </c>
      <c r="EZ359" s="205">
        <f>IF($J359="",#N/A,SUM(EX$4:EX359,EV$4:EV359,ET$4:ET359))</f>
        <v>-0.30951752990828441</v>
      </c>
      <c r="FA359" s="200" t="str">
        <f t="shared" si="614"/>
        <v/>
      </c>
      <c r="FB359" s="203">
        <f>IF($J359="",#N/A,SUM(FA$4:FA359))</f>
        <v>-0.27145310509113252</v>
      </c>
      <c r="FC359" s="204" t="str">
        <f t="shared" si="615"/>
        <v/>
      </c>
      <c r="FD359" s="204">
        <f>IF($J359="",#N/A,SUM(FC$4:FC359))</f>
        <v>0.89084290967454072</v>
      </c>
      <c r="FE359" s="205" t="str">
        <f t="shared" si="616"/>
        <v/>
      </c>
      <c r="FF359" s="205">
        <f>IF($J359="",#N/A,SUM(FE$4:FE359))</f>
        <v>-0.28811149078748233</v>
      </c>
      <c r="FG359" s="205">
        <f>IF($J359="",#N/A,SUM(FE$4:FE359,FC$4:FC359,FA$4:FA359))</f>
        <v>0.3312783137959262</v>
      </c>
      <c r="FH359" s="200" t="str">
        <f t="shared" si="617"/>
        <v/>
      </c>
      <c r="FI359" s="203">
        <f>IF($J359="",#N/A,SUM(FH$4:FH359))</f>
        <v>0</v>
      </c>
      <c r="FJ359" s="204" t="str">
        <f t="shared" si="618"/>
        <v/>
      </c>
      <c r="FK359" s="204">
        <f>IF($J359="",#N/A,SUM(FJ$4:FJ359))</f>
        <v>0</v>
      </c>
      <c r="FL359" s="205" t="str">
        <f t="shared" si="619"/>
        <v/>
      </c>
      <c r="FM359" s="205">
        <f>IF($J359="",#N/A,SUM(FL$4:FL359))</f>
        <v>0</v>
      </c>
      <c r="FN359" s="205">
        <f>IF($J359="",#N/A,SUM(FL$4:FL359,FJ$4:FJ359,FH$4:FH359))</f>
        <v>0</v>
      </c>
      <c r="FO359" s="200" t="str">
        <f t="shared" si="620"/>
        <v/>
      </c>
      <c r="FP359" s="203">
        <f>IF($J359="",#N/A,SUM(FO$4:FO359))</f>
        <v>0</v>
      </c>
      <c r="FQ359" s="204" t="str">
        <f t="shared" si="621"/>
        <v/>
      </c>
      <c r="FR359" s="204">
        <f>IF($J359="",#N/A,SUM(FQ$4:FQ359))</f>
        <v>0</v>
      </c>
      <c r="FS359" s="205" t="str">
        <f t="shared" si="622"/>
        <v/>
      </c>
      <c r="FT359" s="205">
        <f>IF($J359="",#N/A,SUM(FS$4:FS359))</f>
        <v>0</v>
      </c>
      <c r="FU359" s="205">
        <f>IF($J359="",#N/A,SUM(FS$4:FS359,FQ$4:FQ359,FO$4:FO359))</f>
        <v>0</v>
      </c>
      <c r="FV359" s="200" t="str">
        <f t="shared" si="623"/>
        <v/>
      </c>
      <c r="FW359" s="203">
        <f>IF($J359="",#N/A,SUM(FV$4:FV359))</f>
        <v>6.6834991831277585E-2</v>
      </c>
      <c r="FX359" s="204" t="str">
        <f t="shared" si="624"/>
        <v/>
      </c>
      <c r="FY359" s="204">
        <f>IF($J359="",#N/A,SUM(FX$4:FX359))</f>
        <v>-0.16102012791805576</v>
      </c>
      <c r="FZ359" s="205" t="str">
        <f t="shared" si="625"/>
        <v/>
      </c>
      <c r="GA359" s="205">
        <f>IF($J359="",#N/A,SUM(FZ$4:FZ359))</f>
        <v>-0.69624339162892301</v>
      </c>
      <c r="GB359" s="205">
        <f>IF($J359="",#N/A,SUM(FZ$4:FZ359,FX$4:FX359,FV$4:FV359))</f>
        <v>-0.79042852771570116</v>
      </c>
      <c r="GC359" s="200" t="str">
        <f t="shared" si="626"/>
        <v/>
      </c>
      <c r="GD359" s="203">
        <f>IF($J359="",#N/A,SUM(GC$4:GC359))</f>
        <v>0</v>
      </c>
      <c r="GE359" s="204" t="str">
        <f t="shared" si="627"/>
        <v/>
      </c>
      <c r="GF359" s="204">
        <f>IF($J359="",#N/A,SUM(GE$4:GE359))</f>
        <v>0</v>
      </c>
      <c r="GG359" s="205" t="str">
        <f t="shared" si="628"/>
        <v/>
      </c>
      <c r="GH359" s="205">
        <f>IF($J359="",#N/A,SUM(GG$4:GG359))</f>
        <v>-2.9368362277223206</v>
      </c>
      <c r="GI359" s="205">
        <f>IF($J359="",#N/A,SUM(GG$4:GG359,GE$4:GE359,GC$4:GC359))</f>
        <v>-2.9368362277223206</v>
      </c>
      <c r="GJ359" s="200" t="str">
        <f t="shared" si="629"/>
        <v/>
      </c>
      <c r="GK359" s="203">
        <f>IF($J359="",#N/A,SUM(GJ$4:GJ359))</f>
        <v>0</v>
      </c>
      <c r="GL359" s="204" t="str">
        <f t="shared" si="630"/>
        <v/>
      </c>
      <c r="GM359" s="204">
        <f>IF($J359="",#N/A,SUM(GL$4:GL359))</f>
        <v>-2.0621307233432784</v>
      </c>
      <c r="GN359" s="205" t="str">
        <f t="shared" si="631"/>
        <v/>
      </c>
      <c r="GO359" s="205">
        <f>IF($J359="",#N/A,SUM(GN$4:GN359))</f>
        <v>0</v>
      </c>
      <c r="GP359" s="205">
        <f>IF($J359="",#N/A,SUM(GN$4:GN359,GL$4:GL359,GJ$4:GJ359))</f>
        <v>-2.0621307233432784</v>
      </c>
      <c r="GS359" s="303">
        <f t="shared" si="650"/>
        <v>-1.1334762585358096</v>
      </c>
      <c r="GT359" s="303">
        <f>IF(GS359="",NA(),SUM($GS$4:GS359))</f>
        <v>11.739131051023548</v>
      </c>
      <c r="GU359" s="303" t="str">
        <f t="shared" si="632"/>
        <v/>
      </c>
      <c r="GV359" s="303" t="e">
        <f>IF(GU359="",NA(),SUM($GU$4:GU359))</f>
        <v>#N/A</v>
      </c>
      <c r="GW359" s="303">
        <f t="shared" si="633"/>
        <v>-1.1334762585358096</v>
      </c>
      <c r="GX359" s="303">
        <f>IF(GW359="",NA(),SUM($GW$4:GW359))</f>
        <v>11.268092637077249</v>
      </c>
      <c r="GY359" s="303" t="str">
        <f t="shared" si="634"/>
        <v/>
      </c>
      <c r="GZ359" s="303" t="e">
        <f>IF(GY359="",NA(),SUM($GY$4:GY359))</f>
        <v>#N/A</v>
      </c>
      <c r="HA359" s="303" t="str">
        <f t="shared" si="635"/>
        <v/>
      </c>
      <c r="HB359" s="303" t="e">
        <f>IF(HA359="",NA(),SUM($HA$4:HA359))</f>
        <v>#N/A</v>
      </c>
      <c r="HC359" s="303" t="str">
        <f t="shared" si="636"/>
        <v/>
      </c>
      <c r="HD359" s="303" t="e">
        <f>IF(HC359="",NA(),SUM($HC$4:HC359))</f>
        <v>#N/A</v>
      </c>
      <c r="HE359" s="303" t="str">
        <f t="shared" si="637"/>
        <v/>
      </c>
      <c r="HF359" s="303" t="e">
        <f>IF(HE359="",NA(),SUM($HE$4:HE359))</f>
        <v>#N/A</v>
      </c>
      <c r="HG359" s="303" t="str">
        <f t="shared" si="638"/>
        <v/>
      </c>
      <c r="HH359" s="303" t="e">
        <f>IF(HG359="",NA(),SUM($HG$4:HG359))</f>
        <v>#N/A</v>
      </c>
      <c r="HI359" s="304" t="str">
        <f t="shared" si="651"/>
        <v/>
      </c>
      <c r="HJ359" s="304">
        <f>IF($J359="",#N/A,SUM(HI$4:$HI359))</f>
        <v>-9.7504917305571919</v>
      </c>
      <c r="HK359" s="303" t="str">
        <f t="shared" si="639"/>
        <v/>
      </c>
      <c r="HL359" s="303">
        <f>IF($J359="",#N/A,SUM($HK$4:HK359))</f>
        <v>2.7460981583887896</v>
      </c>
      <c r="HM359" s="303" t="str">
        <f t="shared" si="640"/>
        <v/>
      </c>
      <c r="HN359" s="303">
        <f>IF($J359="",#N/A,SUM($HM$4:HM359))</f>
        <v>-0.1668095672281944</v>
      </c>
      <c r="HO359" s="303" t="str">
        <f t="shared" si="641"/>
        <v/>
      </c>
      <c r="HP359" s="303">
        <f>IF($J359="",#N/A,SUM($HO$4:HO359))</f>
        <v>-3.7289214255513348E-2</v>
      </c>
      <c r="HQ359" s="303" t="str">
        <f t="shared" si="642"/>
        <v/>
      </c>
      <c r="HR359" s="303">
        <f>IF($J359="",#N/A,SUM($HQ$4:HQ359))</f>
        <v>-11.745401831760597</v>
      </c>
      <c r="HS359" s="303">
        <f t="shared" si="643"/>
        <v>0.38609655391456121</v>
      </c>
      <c r="HT359" s="303">
        <f>IF($J359="",#N/A,SUM($HS$4:HS359))</f>
        <v>15.516554956453769</v>
      </c>
      <c r="HU359" s="305">
        <f t="shared" si="644"/>
        <v>-0.74737970462124836</v>
      </c>
      <c r="HV359" s="305">
        <f>IF($J359="",#N/A,SUM(HU$4:$HU359))</f>
        <v>9.7991712659817551</v>
      </c>
    </row>
    <row r="360" spans="1:230" x14ac:dyDescent="0.25">
      <c r="A360" s="59" t="s">
        <v>1123</v>
      </c>
      <c r="B360" s="289" t="s">
        <v>5511</v>
      </c>
      <c r="C360" s="230">
        <f t="shared" si="545"/>
        <v>3</v>
      </c>
      <c r="D360" s="220" t="str">
        <f>_xlfn.XLOOKUP(A360,[1]SP500!$A$2:$A$502,[1]SP500!$D$2:$D$502,"N")</f>
        <v>Y</v>
      </c>
      <c r="E360" s="59" t="str">
        <f>IFERROR(_xlfn.XLOOKUP(A360,[1]SP500!$A$2:$A$655,[1]SP500!$B$2:$B$655),"")</f>
        <v>XLI</v>
      </c>
      <c r="F360" s="290">
        <v>45799</v>
      </c>
      <c r="G360" s="59" t="str">
        <f t="shared" si="546"/>
        <v>AMC</v>
      </c>
      <c r="H360" s="59" t="str">
        <f t="shared" si="547"/>
        <v>s</v>
      </c>
      <c r="I360" s="376">
        <v>60.66</v>
      </c>
      <c r="J360" s="125">
        <v>57.54</v>
      </c>
      <c r="K360" s="60">
        <f t="shared" si="548"/>
        <v>-5.1434223541048429E-2</v>
      </c>
      <c r="L360" s="68">
        <f t="shared" si="549"/>
        <v>-68.6400000000001</v>
      </c>
      <c r="M360" s="62">
        <f t="shared" si="550"/>
        <v>9.0200000000002092</v>
      </c>
      <c r="N360" s="63">
        <f t="shared" si="551"/>
        <v>-68.6400000000001</v>
      </c>
      <c r="O360" s="62">
        <f>IF(N360="",#N/A,SUM($N$4:N360))</f>
        <v>561.84937556162492</v>
      </c>
      <c r="P360" s="64">
        <f t="shared" si="645"/>
        <v>-0.85723705901747582</v>
      </c>
      <c r="Q360" s="183">
        <f>IF($N360="",#N/A,SUM($P$4:P360))</f>
        <v>12.895220903090198</v>
      </c>
      <c r="R360" s="279">
        <f t="shared" si="552"/>
        <v>7.2812420853037274</v>
      </c>
      <c r="S360" s="59" t="str">
        <f t="shared" si="553"/>
        <v>SW</v>
      </c>
      <c r="T360" s="59" t="s">
        <v>2828</v>
      </c>
      <c r="U360" s="61">
        <f t="shared" si="554"/>
        <v>60.66</v>
      </c>
      <c r="V360" s="61" t="s">
        <v>4460</v>
      </c>
      <c r="W360" s="142">
        <v>22</v>
      </c>
      <c r="X360" s="146">
        <f t="shared" si="555"/>
        <v>1334.52</v>
      </c>
      <c r="Y360" s="142">
        <f t="shared" si="556"/>
        <v>22</v>
      </c>
      <c r="Z360" s="143">
        <v>57.95</v>
      </c>
      <c r="AA360" s="63">
        <f t="shared" si="557"/>
        <v>-59.619999999999891</v>
      </c>
      <c r="AB360" s="63">
        <f t="shared" si="558"/>
        <v>-153.77999999999997</v>
      </c>
      <c r="AC360" s="125">
        <v>53.67</v>
      </c>
      <c r="AD360" s="148">
        <f t="shared" si="559"/>
        <v>-153.77999999999997</v>
      </c>
      <c r="AE360" s="544">
        <f t="shared" si="560"/>
        <v>-1.9205407187603032</v>
      </c>
      <c r="AF360" s="62">
        <f>IF($AC360="",#N/A,SUM(AD$4:AD360))</f>
        <v>389.14239714744917</v>
      </c>
      <c r="AG360" s="63">
        <f t="shared" si="561"/>
        <v>-85.139999999999873</v>
      </c>
      <c r="AH360" s="61" t="s">
        <v>2507</v>
      </c>
      <c r="AI360" s="64">
        <f t="shared" si="562"/>
        <v>-0.74458731728761274</v>
      </c>
      <c r="AJ360" s="420">
        <f>IF(AI360="",#N/A,SUM($AI$4:AI360))</f>
        <v>5.6139788177864709</v>
      </c>
      <c r="AK360" s="62">
        <f t="shared" si="563"/>
        <v>-59.619999999999891</v>
      </c>
      <c r="AL360" s="421">
        <f>IF(AI360="",#N/A,IF(AH360="Skip",SUM($AK$4:AK360),SUM($AK$4:AK360)))</f>
        <v>72.897369278482529</v>
      </c>
      <c r="AM360" s="65">
        <f t="shared" si="646"/>
        <v>-1.9205407187603032</v>
      </c>
      <c r="AN360" s="209"/>
      <c r="AO360" s="64">
        <f t="shared" si="564"/>
        <v>-1.9205407187603032</v>
      </c>
      <c r="AP360" s="64">
        <f>IF($AC360="",#N/A,SUM(AO$4:AO360))</f>
        <v>7.4258195263895228</v>
      </c>
      <c r="AQ360" s="64" t="str">
        <f t="shared" si="565"/>
        <v/>
      </c>
      <c r="AR360" s="64">
        <f>IF($AC360="",#N/A,SUM(AQ$4:AQ360))</f>
        <v>-4.9259015470929119</v>
      </c>
      <c r="AS360" s="64" t="str">
        <f t="shared" si="566"/>
        <v/>
      </c>
      <c r="AT360" s="64">
        <f>IF($AC360="",#N/A,SUM(AS$4:AS360))</f>
        <v>5.3787125679248309</v>
      </c>
      <c r="AU360" s="62">
        <f t="shared" si="647"/>
        <v>-153.77999999999997</v>
      </c>
      <c r="AV360" s="62">
        <f>IF($AC360="",#N/A,SUM(AU$4:AU360))</f>
        <v>323.16627194987996</v>
      </c>
      <c r="AW360" s="62" t="str">
        <f t="shared" si="648"/>
        <v/>
      </c>
      <c r="AX360" s="62">
        <f>IF($AC360="",#N/A,SUM(AW$4:AW360))</f>
        <v>-334.10106797961066</v>
      </c>
      <c r="AY360" s="62" t="str">
        <f t="shared" si="649"/>
        <v/>
      </c>
      <c r="AZ360" s="62">
        <f>IF($AC360="",#N/A,SUM(AY$4:AY360))</f>
        <v>400.07719317717977</v>
      </c>
      <c r="BA360" s="62">
        <f>IF(AD360="",#N/A,SUM($AD$4:AD360))</f>
        <v>389.14239714744917</v>
      </c>
      <c r="BC360" s="59" t="str">
        <f t="shared" si="567"/>
        <v/>
      </c>
      <c r="BD360" s="59" t="str">
        <f t="shared" si="568"/>
        <v/>
      </c>
      <c r="BE360" s="59" t="str">
        <f t="shared" si="569"/>
        <v/>
      </c>
      <c r="BF360" s="59" t="str">
        <f t="shared" si="570"/>
        <v>Long</v>
      </c>
      <c r="BG360" s="59" t="str">
        <f t="shared" si="571"/>
        <v/>
      </c>
      <c r="BH360" s="59" t="str">
        <f t="shared" si="572"/>
        <v/>
      </c>
      <c r="BI360" s="59">
        <f t="shared" si="573"/>
        <v>1</v>
      </c>
      <c r="BK360" s="65">
        <f t="shared" si="544"/>
        <v>-1.2426076872382907E-2</v>
      </c>
      <c r="BL360" s="65">
        <f t="shared" si="652"/>
        <v>-0.14775858557086338</v>
      </c>
      <c r="BM360" s="65">
        <f>IFERROR(Q360/COUNTA($J$4:J360),#N/A)</f>
        <v>3.6121066955434732E-2</v>
      </c>
      <c r="BO360" s="489">
        <f>IF(J360="",#N/A,IF(S360="SW",(COUNTIFS(K$4:$K360,"&gt;0",S$4:$S360,"SW")/COUNTIF(S$4:$S360,"SW")),#N/A))</f>
        <v>0.50295857988165682</v>
      </c>
      <c r="BP360" s="489" t="e">
        <f>IF($J360="",#N/A,IF($S360="DWN",(COUNTIFS($K$4:$K360,"&lt;0",$S$4:$S360,"DWN")/COUNTIF($S$4:$S360,"DWN")),#N/A))</f>
        <v>#N/A</v>
      </c>
      <c r="BQ360" s="489" t="e">
        <f>IF($J360="",#N/A,IF($S360="UP",(COUNTIFS($K$4:$K360,"&gt;0",$S$4:$S360,"UP")/COUNTIF($S$4:$S360,"UP")),#N/A))</f>
        <v>#N/A</v>
      </c>
      <c r="BR360" s="489">
        <f>IF(J360="",#N/A,COUNTIF($K$4:K360,"&gt;0")/COUNT($J$4:J360))</f>
        <v>0.47058823529411764</v>
      </c>
      <c r="BS360" s="65" t="str">
        <f t="shared" si="574"/>
        <v/>
      </c>
      <c r="BT360" s="65">
        <f t="shared" si="575"/>
        <v>-0.85723705901747582</v>
      </c>
      <c r="BU360" s="65" t="str">
        <f t="shared" si="576"/>
        <v/>
      </c>
      <c r="BV360" s="65" t="str">
        <f t="shared" si="577"/>
        <v/>
      </c>
      <c r="BW360" s="128" t="str">
        <f t="shared" si="578"/>
        <v/>
      </c>
      <c r="BX360" s="128">
        <f>IF($J360="",#N/A,SUM($BW$4:BW360))</f>
        <v>-320.69817034792868</v>
      </c>
      <c r="BY360" s="131" t="str">
        <f t="shared" si="579"/>
        <v/>
      </c>
      <c r="BZ360" s="131">
        <f>IF($J360="",#N/A,SUM($BY$4:BY360))</f>
        <v>726.64661346139485</v>
      </c>
      <c r="CA360" s="133">
        <f t="shared" si="580"/>
        <v>-68.6400000000001</v>
      </c>
      <c r="CB360" s="133">
        <f>IF($J360="",#N/A,SUM($CA$4:CA360))</f>
        <v>155.90093244815864</v>
      </c>
      <c r="CC360" s="194" t="str">
        <f t="shared" si="581"/>
        <v/>
      </c>
      <c r="CD360" s="194">
        <f>IF($J360="",#N/A,SUM($CC$4:CC360))</f>
        <v>-4.7218027656092021</v>
      </c>
      <c r="CE360" s="195" t="str">
        <f t="shared" si="582"/>
        <v/>
      </c>
      <c r="CF360" s="195">
        <f>IF($J360="",#N/A,SUM($CE$4:CE360))</f>
        <v>12.383106140093243</v>
      </c>
      <c r="CG360" s="196">
        <f t="shared" si="583"/>
        <v>-0.85723705901747582</v>
      </c>
      <c r="CH360" s="196">
        <f>IF($J360="",#N/A,SUM($CG$4:CG360))</f>
        <v>5.233917528606165</v>
      </c>
      <c r="CI360" s="200" t="str">
        <f t="shared" si="584"/>
        <v/>
      </c>
      <c r="CJ360" s="203">
        <f>IF($J360="",#N/A,SUM(CI$4:CI360))</f>
        <v>0</v>
      </c>
      <c r="CK360" s="204" t="str">
        <f t="shared" si="585"/>
        <v/>
      </c>
      <c r="CL360" s="204">
        <f>IF($J360="",#N/A,SUM(CK$4:CK360))</f>
        <v>1.2912501745213723</v>
      </c>
      <c r="CM360" s="205" t="str">
        <f t="shared" si="586"/>
        <v/>
      </c>
      <c r="CN360" s="205">
        <f>IF($J360="",#N/A,SUM(CM$4:CM360))</f>
        <v>1.357235719871134</v>
      </c>
      <c r="CO360" s="205">
        <f>IF($J360="",#N/A,SUM(CM$4:CM360,CK$4:CK360,CI$4:CI360))</f>
        <v>2.6484858943925063</v>
      </c>
      <c r="CP360" s="200" t="str">
        <f t="shared" si="587"/>
        <v/>
      </c>
      <c r="CQ360" s="203">
        <f>IF($J360="",#N/A,SUM(CP$4:CP360))</f>
        <v>-3.0687583652268549</v>
      </c>
      <c r="CR360" s="204" t="str">
        <f t="shared" si="588"/>
        <v/>
      </c>
      <c r="CS360" s="204">
        <f>IF($J360="",#N/A,SUM(CR$4:CR360))</f>
        <v>2.3600225017004668</v>
      </c>
      <c r="CT360" s="205" t="str">
        <f t="shared" si="589"/>
        <v/>
      </c>
      <c r="CU360" s="205">
        <f>IF($J360="",#N/A,SUM(CT$4:CT360))</f>
        <v>-3.1872377407569323</v>
      </c>
      <c r="CV360" s="205">
        <f>IF($J360="",#N/A,SUM(CT$4:CT360,CR$4:CR360,CP$4:CP360))</f>
        <v>-3.8959736042833208</v>
      </c>
      <c r="CW360" s="200" t="str">
        <f t="shared" si="590"/>
        <v/>
      </c>
      <c r="CX360" s="203">
        <f>IF($J360="",#N/A,SUM(CW$4:CW360))</f>
        <v>-1.376136775601573</v>
      </c>
      <c r="CY360" s="204" t="str">
        <f t="shared" si="591"/>
        <v/>
      </c>
      <c r="CZ360" s="204">
        <f>IF($J360="",#N/A,SUM(CY$4:CY360))</f>
        <v>-0.30570416115784371</v>
      </c>
      <c r="DA360" s="205" t="str">
        <f t="shared" si="592"/>
        <v/>
      </c>
      <c r="DB360" s="205">
        <f>IF($J360="",#N/A,SUM(DA$4:DA360))</f>
        <v>-3.6020278946927151</v>
      </c>
      <c r="DC360" s="205">
        <f>IF($J360="",#N/A,SUM(DA$4:DA360,CY$4:CY360,CW$4:CW360))</f>
        <v>-5.2838688314521338</v>
      </c>
      <c r="DD360" s="200" t="str">
        <f t="shared" si="593"/>
        <v/>
      </c>
      <c r="DE360" s="203">
        <f>IF($J360="",#N/A,SUM(DD$4:DD360))</f>
        <v>1.6161029218801881</v>
      </c>
      <c r="DF360" s="204" t="str">
        <f t="shared" si="594"/>
        <v/>
      </c>
      <c r="DG360" s="204">
        <f>IF($J360="",#N/A,SUM(DF$4:DF360))</f>
        <v>4.1810385231482243</v>
      </c>
      <c r="DH360" s="205" t="str">
        <f t="shared" si="595"/>
        <v/>
      </c>
      <c r="DI360" s="205">
        <f>IF($J360="",#N/A,SUM(DH$4:DH360))</f>
        <v>-3.216671910770577</v>
      </c>
      <c r="DJ360" s="205">
        <f>IF($J360="",#N/A,SUM(DH$4:DH360,DF$4:DF360,DD$4:DD360))</f>
        <v>2.5804695342578352</v>
      </c>
      <c r="DK360" s="200" t="str">
        <f t="shared" si="596"/>
        <v/>
      </c>
      <c r="DL360" s="203">
        <f>IF($J360="",#N/A,SUM(DK$4:DK360))</f>
        <v>-0.84049791589649614</v>
      </c>
      <c r="DM360" s="204" t="str">
        <f t="shared" si="597"/>
        <v/>
      </c>
      <c r="DN360" s="204">
        <f>IF($J360="",#N/A,SUM(DM$4:DM360))</f>
        <v>1.8657648196498773</v>
      </c>
      <c r="DO360" s="205" t="str">
        <f t="shared" si="598"/>
        <v/>
      </c>
      <c r="DP360" s="205">
        <f>IF($J360="",#N/A,SUM(DO$4:DO360))</f>
        <v>3.4887162328793941</v>
      </c>
      <c r="DQ360" s="205">
        <f>IF($J360="",#N/A,SUM(DO$4:DO360,DM$4:DM360,DK$4:DK360))</f>
        <v>4.5139831366327758</v>
      </c>
      <c r="DR360" s="200" t="str">
        <f t="shared" si="599"/>
        <v/>
      </c>
      <c r="DS360" s="203">
        <f>IF($J360="",#N/A,SUM(DR$4:DR360))</f>
        <v>-0.55950946427675097</v>
      </c>
      <c r="DT360" s="204" t="str">
        <f t="shared" si="600"/>
        <v/>
      </c>
      <c r="DU360" s="204">
        <f>IF($J360="",#N/A,SUM(DT$4:DT360))</f>
        <v>-0.20750635820596686</v>
      </c>
      <c r="DV360" s="205" t="str">
        <f t="shared" si="601"/>
        <v/>
      </c>
      <c r="DW360" s="205">
        <f>IF($J360="",#N/A,SUM(DV$4:DV360))</f>
        <v>-2.3377035686214001</v>
      </c>
      <c r="DX360" s="205">
        <f>IF($J360="",#N/A,SUM(DV$4:DV360,DT$4:DT360,DR$4:DR360))</f>
        <v>-3.1047193911041169</v>
      </c>
      <c r="DY360" s="200" t="str">
        <f t="shared" si="602"/>
        <v/>
      </c>
      <c r="DZ360" s="203">
        <f>IF($J360="",#N/A,SUM(DY$4:DY360))</f>
        <v>-1.4146842415208627</v>
      </c>
      <c r="EA360" s="204" t="str">
        <f t="shared" si="603"/>
        <v/>
      </c>
      <c r="EB360" s="204">
        <f>IF($J360="",#N/A,SUM(EA$4:EA360))</f>
        <v>4.3184391548878134</v>
      </c>
      <c r="EC360" s="205">
        <f t="shared" si="604"/>
        <v>-0.85723705901747582</v>
      </c>
      <c r="ED360" s="205">
        <f>IF($J360="",#N/A,SUM(EC$4:EC360))</f>
        <v>8.4384553208490907</v>
      </c>
      <c r="EE360" s="205">
        <f>IF($J360="",#N/A,SUM(EC$4:EC360,EA$4:EA360,DY$4:DY360))</f>
        <v>11.342210234216044</v>
      </c>
      <c r="EF360" s="200" t="str">
        <f t="shared" si="605"/>
        <v/>
      </c>
      <c r="EG360" s="203">
        <f>IF($J360="",#N/A,SUM(EF$4:EF360))</f>
        <v>0.65848341369884777</v>
      </c>
      <c r="EH360" s="204" t="str">
        <f t="shared" si="606"/>
        <v/>
      </c>
      <c r="EI360" s="204">
        <f>IF($J360="",#N/A,SUM(EH$4:EH360))</f>
        <v>-3.5125331561187787</v>
      </c>
      <c r="EJ360" s="205" t="str">
        <f t="shared" si="607"/>
        <v/>
      </c>
      <c r="EK360" s="205">
        <f>IF($J360="",#N/A,SUM(EJ$4:EJ360))</f>
        <v>8.4840381642896556</v>
      </c>
      <c r="EL360" s="205">
        <f>IF($J360="",#N/A,SUM(EJ$4:EJ360,EH$4:EH360,EF$4:EF360))</f>
        <v>5.6299884218697258</v>
      </c>
      <c r="EM360" s="200" t="str">
        <f t="shared" si="608"/>
        <v/>
      </c>
      <c r="EN360" s="203">
        <f>IF($J360="",#N/A,SUM(EM$4:EM360))</f>
        <v>0</v>
      </c>
      <c r="EO360" s="204" t="str">
        <f t="shared" si="609"/>
        <v/>
      </c>
      <c r="EP360" s="204">
        <f>IF($J360="",#N/A,SUM(EO$4:EO360))</f>
        <v>2.4788862078089964</v>
      </c>
      <c r="EQ360" s="205" t="str">
        <f t="shared" si="610"/>
        <v/>
      </c>
      <c r="ER360" s="205">
        <f>IF($J360="",#N/A,SUM(EQ$4:EQ360))</f>
        <v>1.7856049065476487</v>
      </c>
      <c r="ES360" s="205">
        <f>IF($J360="",#N/A,SUM(EQ$4:EQ360,EO$4:EO360,EM$4:EM360))</f>
        <v>4.2644911143566446</v>
      </c>
      <c r="ET360" s="200" t="str">
        <f t="shared" si="611"/>
        <v/>
      </c>
      <c r="EU360" s="203">
        <f>IF($J360="",#N/A,SUM(ET$4:ET360))</f>
        <v>0</v>
      </c>
      <c r="EV360" s="204" t="str">
        <f t="shared" si="612"/>
        <v/>
      </c>
      <c r="EW360" s="204">
        <f>IF($J360="",#N/A,SUM(EV$4:EV360))</f>
        <v>7.9116394275462909E-2</v>
      </c>
      <c r="EX360" s="205" t="str">
        <f t="shared" si="613"/>
        <v/>
      </c>
      <c r="EY360" s="205">
        <f>IF($J360="",#N/A,SUM(EX$4:EX360))</f>
        <v>-0.38863392418374743</v>
      </c>
      <c r="EZ360" s="205">
        <f>IF($J360="",#N/A,SUM(EX$4:EX360,EV$4:EV360,ET$4:ET360))</f>
        <v>-0.30951752990828441</v>
      </c>
      <c r="FA360" s="200" t="str">
        <f t="shared" si="614"/>
        <v/>
      </c>
      <c r="FB360" s="203">
        <f>IF($J360="",#N/A,SUM(FA$4:FA360))</f>
        <v>-0.27145310509113252</v>
      </c>
      <c r="FC360" s="204" t="str">
        <f t="shared" si="615"/>
        <v/>
      </c>
      <c r="FD360" s="204">
        <f>IF($J360="",#N/A,SUM(FC$4:FC360))</f>
        <v>0.89084290967454072</v>
      </c>
      <c r="FE360" s="205" t="str">
        <f t="shared" si="616"/>
        <v/>
      </c>
      <c r="FF360" s="205">
        <f>IF($J360="",#N/A,SUM(FE$4:FE360))</f>
        <v>-0.28811149078748233</v>
      </c>
      <c r="FG360" s="205">
        <f>IF($J360="",#N/A,SUM(FE$4:FE360,FC$4:FC360,FA$4:FA360))</f>
        <v>0.3312783137959262</v>
      </c>
      <c r="FH360" s="200" t="str">
        <f t="shared" si="617"/>
        <v/>
      </c>
      <c r="FI360" s="203">
        <f>IF($J360="",#N/A,SUM(FH$4:FH360))</f>
        <v>0</v>
      </c>
      <c r="FJ360" s="204" t="str">
        <f t="shared" si="618"/>
        <v/>
      </c>
      <c r="FK360" s="204">
        <f>IF($J360="",#N/A,SUM(FJ$4:FJ360))</f>
        <v>0</v>
      </c>
      <c r="FL360" s="205" t="str">
        <f t="shared" si="619"/>
        <v/>
      </c>
      <c r="FM360" s="205">
        <f>IF($J360="",#N/A,SUM(FL$4:FL360))</f>
        <v>0</v>
      </c>
      <c r="FN360" s="205">
        <f>IF($J360="",#N/A,SUM(FL$4:FL360,FJ$4:FJ360,FH$4:FH360))</f>
        <v>0</v>
      </c>
      <c r="FO360" s="200" t="str">
        <f t="shared" si="620"/>
        <v/>
      </c>
      <c r="FP360" s="203">
        <f>IF($J360="",#N/A,SUM(FO$4:FO360))</f>
        <v>0</v>
      </c>
      <c r="FQ360" s="204" t="str">
        <f t="shared" si="621"/>
        <v/>
      </c>
      <c r="FR360" s="204">
        <f>IF($J360="",#N/A,SUM(FQ$4:FQ360))</f>
        <v>0</v>
      </c>
      <c r="FS360" s="205" t="str">
        <f t="shared" si="622"/>
        <v/>
      </c>
      <c r="FT360" s="205">
        <f>IF($J360="",#N/A,SUM(FS$4:FS360))</f>
        <v>0</v>
      </c>
      <c r="FU360" s="205">
        <f>IF($J360="",#N/A,SUM(FS$4:FS360,FQ$4:FQ360,FO$4:FO360))</f>
        <v>0</v>
      </c>
      <c r="FV360" s="200" t="str">
        <f t="shared" si="623"/>
        <v/>
      </c>
      <c r="FW360" s="203">
        <f>IF($J360="",#N/A,SUM(FV$4:FV360))</f>
        <v>6.6834991831277585E-2</v>
      </c>
      <c r="FX360" s="204" t="str">
        <f t="shared" si="624"/>
        <v/>
      </c>
      <c r="FY360" s="204">
        <f>IF($J360="",#N/A,SUM(FX$4:FX360))</f>
        <v>-0.16102012791805576</v>
      </c>
      <c r="FZ360" s="205" t="str">
        <f t="shared" si="625"/>
        <v/>
      </c>
      <c r="GA360" s="205">
        <f>IF($J360="",#N/A,SUM(FZ$4:FZ360))</f>
        <v>-0.69624339162892301</v>
      </c>
      <c r="GB360" s="205">
        <f>IF($J360="",#N/A,SUM(FZ$4:FZ360,FX$4:FX360,FV$4:FV360))</f>
        <v>-0.79042852771570116</v>
      </c>
      <c r="GC360" s="200" t="str">
        <f t="shared" si="626"/>
        <v/>
      </c>
      <c r="GD360" s="203">
        <f>IF($J360="",#N/A,SUM(GC$4:GC360))</f>
        <v>0</v>
      </c>
      <c r="GE360" s="204" t="str">
        <f t="shared" si="627"/>
        <v/>
      </c>
      <c r="GF360" s="204">
        <f>IF($J360="",#N/A,SUM(GE$4:GE360))</f>
        <v>0</v>
      </c>
      <c r="GG360" s="205" t="str">
        <f t="shared" si="628"/>
        <v/>
      </c>
      <c r="GH360" s="205">
        <f>IF($J360="",#N/A,SUM(GG$4:GG360))</f>
        <v>-2.9368362277223206</v>
      </c>
      <c r="GI360" s="205">
        <f>IF($J360="",#N/A,SUM(GG$4:GG360,GE$4:GE360,GC$4:GC360))</f>
        <v>-2.9368362277223206</v>
      </c>
      <c r="GJ360" s="200" t="str">
        <f t="shared" si="629"/>
        <v/>
      </c>
      <c r="GK360" s="203">
        <f>IF($J360="",#N/A,SUM(GJ$4:GJ360))</f>
        <v>0</v>
      </c>
      <c r="GL360" s="204" t="str">
        <f t="shared" si="630"/>
        <v/>
      </c>
      <c r="GM360" s="204">
        <f>IF($J360="",#N/A,SUM(GL$4:GL360))</f>
        <v>-2.0621307233432784</v>
      </c>
      <c r="GN360" s="205" t="str">
        <f t="shared" si="631"/>
        <v/>
      </c>
      <c r="GO360" s="205">
        <f>IF($J360="",#N/A,SUM(GN$4:GN360))</f>
        <v>0</v>
      </c>
      <c r="GP360" s="205">
        <f>IF($J360="",#N/A,SUM(GN$4:GN360,GL$4:GL360,GJ$4:GJ360))</f>
        <v>-2.0621307233432784</v>
      </c>
      <c r="GS360" s="177">
        <f t="shared" si="650"/>
        <v>-0.85723705901747582</v>
      </c>
      <c r="GT360" s="177">
        <f>IF(GS360="",NA(),SUM($GS$4:GS360))</f>
        <v>10.881893992006074</v>
      </c>
      <c r="GU360" s="177" t="str">
        <f t="shared" si="632"/>
        <v/>
      </c>
      <c r="GV360" s="177" t="e">
        <f>IF(GU360="",NA(),SUM($GU$4:GU360))</f>
        <v>#N/A</v>
      </c>
      <c r="GW360" s="177">
        <f t="shared" si="633"/>
        <v>-0.85723705901747582</v>
      </c>
      <c r="GX360" s="177">
        <f>IF(GW360="",NA(),SUM($GW$4:GW360))</f>
        <v>10.410855578059774</v>
      </c>
      <c r="GY360" s="177" t="str">
        <f t="shared" si="634"/>
        <v/>
      </c>
      <c r="GZ360" s="177" t="e">
        <f>IF(GY360="",NA(),SUM($GY$4:GY360))</f>
        <v>#N/A</v>
      </c>
      <c r="HA360" s="177" t="str">
        <f t="shared" si="635"/>
        <v/>
      </c>
      <c r="HB360" s="177" t="e">
        <f>IF(HA360="",NA(),SUM($HA$4:HA360))</f>
        <v>#N/A</v>
      </c>
      <c r="HC360" s="177" t="str">
        <f t="shared" si="636"/>
        <v/>
      </c>
      <c r="HD360" s="177" t="e">
        <f>IF(HC360="",NA(),SUM($HC$4:HC360))</f>
        <v>#N/A</v>
      </c>
      <c r="HE360" s="177" t="str">
        <f t="shared" si="637"/>
        <v/>
      </c>
      <c r="HF360" s="177" t="e">
        <f>IF(HE360="",NA(),SUM($HE$4:HE360))</f>
        <v>#N/A</v>
      </c>
      <c r="HG360" s="177" t="str">
        <f t="shared" si="638"/>
        <v/>
      </c>
      <c r="HH360" s="177" t="e">
        <f>IF(HG360="",NA(),SUM($HG$4:HG360))</f>
        <v>#N/A</v>
      </c>
      <c r="HI360" s="183" t="str">
        <f t="shared" si="651"/>
        <v/>
      </c>
      <c r="HJ360" s="183">
        <f>IF($J360="",#N/A,SUM(HI$4:$HI360))</f>
        <v>-9.7504917305571919</v>
      </c>
      <c r="HK360" s="177" t="str">
        <f t="shared" si="639"/>
        <v/>
      </c>
      <c r="HL360" s="177">
        <f>IF($J360="",#N/A,SUM($HK$4:HK360))</f>
        <v>2.7460981583887896</v>
      </c>
      <c r="HM360" s="177" t="str">
        <f t="shared" si="640"/>
        <v/>
      </c>
      <c r="HN360" s="177">
        <f>IF($J360="",#N/A,SUM($HM$4:HM360))</f>
        <v>-0.1668095672281944</v>
      </c>
      <c r="HO360" s="177" t="str">
        <f t="shared" si="641"/>
        <v/>
      </c>
      <c r="HP360" s="177">
        <f>IF($J360="",#N/A,SUM($HO$4:HO360))</f>
        <v>-3.7289214255513348E-2</v>
      </c>
      <c r="HQ360" s="177" t="str">
        <f t="shared" si="642"/>
        <v/>
      </c>
      <c r="HR360" s="177">
        <f>IF($J360="",#N/A,SUM($HQ$4:HQ360))</f>
        <v>-11.745401831760597</v>
      </c>
      <c r="HS360" s="177">
        <f t="shared" si="643"/>
        <v>-1.0633036597428274</v>
      </c>
      <c r="HT360" s="177">
        <f>IF($J360="",#N/A,SUM($HS$4:HS360))</f>
        <v>14.453251296710942</v>
      </c>
      <c r="HU360" s="64">
        <f t="shared" si="644"/>
        <v>-1.9205407187603032</v>
      </c>
      <c r="HV360" s="64">
        <f>IF($J360="",#N/A,SUM(HU$4:$HU360))</f>
        <v>7.8786305472214515</v>
      </c>
    </row>
    <row r="361" spans="1:230" x14ac:dyDescent="0.25">
      <c r="A361" s="51" t="s">
        <v>1483</v>
      </c>
      <c r="B361" s="52" t="s">
        <v>5511</v>
      </c>
      <c r="C361" s="229">
        <f t="shared" si="545"/>
        <v>2</v>
      </c>
      <c r="D361" s="219" t="str">
        <f>_xlfn.XLOOKUP(A361,[1]SP500!$A$2:$A$502,[1]SP500!$D$2:$D$502,"N")</f>
        <v>Y</v>
      </c>
      <c r="E361" s="51" t="str">
        <f>IFERROR(_xlfn.XLOOKUP(A361,[1]SP500!$A$2:$A$655,[1]SP500!$B$2:$B$655),"")</f>
        <v>XLY</v>
      </c>
      <c r="F361" s="290">
        <v>45799</v>
      </c>
      <c r="G361" s="51" t="str">
        <f t="shared" si="546"/>
        <v>AMC</v>
      </c>
      <c r="H361" s="51" t="str">
        <f t="shared" si="547"/>
        <v>s</v>
      </c>
      <c r="I361" s="344">
        <v>126.09</v>
      </c>
      <c r="J361" s="124">
        <v>97.935000000000002</v>
      </c>
      <c r="K361" s="55">
        <f t="shared" si="548"/>
        <v>-0.22329288603378539</v>
      </c>
      <c r="L361" s="67">
        <f t="shared" si="549"/>
        <v>309.70499999999993</v>
      </c>
      <c r="M361" s="57">
        <f t="shared" si="550"/>
        <v>-3.9049999999999727</v>
      </c>
      <c r="N361" s="102">
        <f t="shared" si="551"/>
        <v>309.70499999999993</v>
      </c>
      <c r="O361" s="57">
        <f>IF(N361="",#N/A,SUM($N$4:N361))</f>
        <v>871.55437556162485</v>
      </c>
      <c r="P361" s="65">
        <f t="shared" si="645"/>
        <v>3.7215481005630893</v>
      </c>
      <c r="Q361" s="172">
        <f>IF($N361="",#N/A,SUM($P$4:P361))</f>
        <v>16.616769003653289</v>
      </c>
      <c r="R361" s="279">
        <f t="shared" si="552"/>
        <v>7.3281662400080396</v>
      </c>
      <c r="S361" s="51" t="str">
        <f t="shared" si="553"/>
        <v>Dwn</v>
      </c>
      <c r="T361" s="51" t="s">
        <v>4462</v>
      </c>
      <c r="U361" s="56">
        <f t="shared" si="554"/>
        <v>126.09</v>
      </c>
      <c r="V361" s="56" t="s">
        <v>4458</v>
      </c>
      <c r="W361" s="142">
        <v>11</v>
      </c>
      <c r="X361" s="145">
        <f t="shared" si="555"/>
        <v>1386.99</v>
      </c>
      <c r="Y361" s="140">
        <f t="shared" si="556"/>
        <v>11</v>
      </c>
      <c r="Z361" s="141">
        <v>98.29</v>
      </c>
      <c r="AA361" s="102">
        <f t="shared" si="557"/>
        <v>305.79999999999995</v>
      </c>
      <c r="AB361" s="102">
        <f t="shared" si="558"/>
        <v>275.44000000000005</v>
      </c>
      <c r="AC361" s="124">
        <v>101.05</v>
      </c>
      <c r="AD361" s="155">
        <f t="shared" si="559"/>
        <v>275.44000000000005</v>
      </c>
      <c r="AE361" s="545">
        <f t="shared" si="560"/>
        <v>3.3098051656224401</v>
      </c>
      <c r="AF361" s="57">
        <f>IF($AC361="",#N/A,SUM(AD$4:AD361))</f>
        <v>664.58239714744923</v>
      </c>
      <c r="AG361" s="102">
        <f t="shared" si="561"/>
        <v>-34.264999999999873</v>
      </c>
      <c r="AH361" s="56" t="s">
        <v>2507</v>
      </c>
      <c r="AI361" s="65">
        <f t="shared" si="562"/>
        <v>3.6746239458587779</v>
      </c>
      <c r="AJ361" s="54">
        <f>IF(AI361="",#N/A,SUM($AI$4:AI361))</f>
        <v>9.2886027636452493</v>
      </c>
      <c r="AK361" s="57">
        <f t="shared" si="563"/>
        <v>305.79999999999995</v>
      </c>
      <c r="AL361" s="66">
        <f>IF(AI361="",#N/A,IF(AH361="Skip",SUM($AK$4:AK361),SUM($AK$4:AK361)))</f>
        <v>378.69736927848248</v>
      </c>
      <c r="AM361" s="65">
        <f t="shared" si="646"/>
        <v>3.3098051656224401</v>
      </c>
      <c r="AN361" s="209"/>
      <c r="AO361" s="65" t="str">
        <f t="shared" si="564"/>
        <v/>
      </c>
      <c r="AP361" s="65">
        <f>IF($AC361="",#N/A,SUM(AO$4:AO361))</f>
        <v>7.4258195263895228</v>
      </c>
      <c r="AQ361" s="65" t="str">
        <f t="shared" si="565"/>
        <v/>
      </c>
      <c r="AR361" s="65">
        <f>IF($AC361="",#N/A,SUM(AQ$4:AQ361))</f>
        <v>-4.9259015470929119</v>
      </c>
      <c r="AS361" s="65">
        <f t="shared" si="566"/>
        <v>3.3098051656224401</v>
      </c>
      <c r="AT361" s="65">
        <f>IF($AC361="",#N/A,SUM(AS$4:AS361))</f>
        <v>8.6885177335472719</v>
      </c>
      <c r="AU361" s="57" t="str">
        <f t="shared" si="647"/>
        <v/>
      </c>
      <c r="AV361" s="57">
        <f>IF($AC361="",#N/A,SUM(AU$4:AU361))</f>
        <v>323.16627194987996</v>
      </c>
      <c r="AW361" s="57" t="str">
        <f t="shared" si="648"/>
        <v/>
      </c>
      <c r="AX361" s="57">
        <f>IF($AC361="",#N/A,SUM(AW$4:AW361))</f>
        <v>-334.10106797961066</v>
      </c>
      <c r="AY361" s="57">
        <f t="shared" si="649"/>
        <v>275.44000000000005</v>
      </c>
      <c r="AZ361" s="57">
        <f>IF($AC361="",#N/A,SUM(AY$4:AY361))</f>
        <v>675.51719317717982</v>
      </c>
      <c r="BA361" s="57">
        <f>IF(AD361="",#N/A,SUM($AD$4:AD361))</f>
        <v>664.58239714744923</v>
      </c>
      <c r="BC361" s="51" t="str">
        <f t="shared" si="567"/>
        <v/>
      </c>
      <c r="BD361" s="51" t="str">
        <f t="shared" si="568"/>
        <v/>
      </c>
      <c r="BE361" s="51" t="str">
        <f t="shared" si="569"/>
        <v/>
      </c>
      <c r="BF361" s="51" t="str">
        <f t="shared" si="570"/>
        <v>Short</v>
      </c>
      <c r="BG361" s="51">
        <f t="shared" si="571"/>
        <v>1</v>
      </c>
      <c r="BH361" s="51" t="str">
        <f t="shared" si="572"/>
        <v/>
      </c>
      <c r="BI361" s="51" t="str">
        <f t="shared" si="573"/>
        <v/>
      </c>
      <c r="BK361" s="65">
        <f t="shared" si="544"/>
        <v>5.3576735117808492E-2</v>
      </c>
      <c r="BL361" s="65">
        <f t="shared" si="652"/>
        <v>-1.8258166959771813E-2</v>
      </c>
      <c r="BM361" s="65">
        <f>IFERROR(Q361/COUNTA($J$4:J361),#N/A)</f>
        <v>4.6415555876126502E-2</v>
      </c>
      <c r="BO361" s="489" t="e">
        <f>IF(J361="",#N/A,IF(S361="SW",(COUNTIFS(K$4:$K361,"&gt;0",S$4:$S361,"SW")/COUNTIF(S$4:$S361,"SW")),#N/A))</f>
        <v>#N/A</v>
      </c>
      <c r="BP361" s="489">
        <f>IF($J361="",#N/A,IF($S361="DWN",(COUNTIFS($K$4:$K361,"&lt;0",$S$4:$S361,"DWN")/COUNTIF($S$4:$S361,"DWN")),#N/A))</f>
        <v>0.5641025641025641</v>
      </c>
      <c r="BQ361" s="489" t="e">
        <f>IF($J361="",#N/A,IF($S361="UP",(COUNTIFS($K$4:$K361,"&gt;0",$S$4:$S361,"UP")/COUNTIF($S$4:$S361,"UP")),#N/A))</f>
        <v>#N/A</v>
      </c>
      <c r="BR361" s="489">
        <f>IF(J361="",#N/A,COUNTIF($K$4:K361,"&gt;0")/COUNT($J$4:J361))</f>
        <v>0.46927374301675978</v>
      </c>
      <c r="BS361" s="65" t="str">
        <f t="shared" si="574"/>
        <v/>
      </c>
      <c r="BT361" s="65" t="str">
        <f t="shared" si="575"/>
        <v/>
      </c>
      <c r="BU361" s="65">
        <f t="shared" si="576"/>
        <v>3.7215481005630893</v>
      </c>
      <c r="BV361" s="65" t="str">
        <f t="shared" si="577"/>
        <v/>
      </c>
      <c r="BW361" s="128" t="str">
        <f t="shared" si="578"/>
        <v/>
      </c>
      <c r="BX361" s="128">
        <f>IF($J361="",#N/A,SUM($BW$4:BW361))</f>
        <v>-320.69817034792868</v>
      </c>
      <c r="BY361" s="131">
        <f t="shared" si="579"/>
        <v>309.70499999999993</v>
      </c>
      <c r="BZ361" s="131">
        <f>IF($J361="",#N/A,SUM($BY$4:BY361))</f>
        <v>1036.3516134613947</v>
      </c>
      <c r="CA361" s="133" t="str">
        <f t="shared" si="580"/>
        <v/>
      </c>
      <c r="CB361" s="133">
        <f>IF($J361="",#N/A,SUM($CA$4:CA361))</f>
        <v>155.90093244815864</v>
      </c>
      <c r="CC361" s="194" t="str">
        <f t="shared" si="581"/>
        <v/>
      </c>
      <c r="CD361" s="194">
        <f>IF($J361="",#N/A,SUM($CC$4:CC361))</f>
        <v>-4.7218027656092021</v>
      </c>
      <c r="CE361" s="195">
        <f t="shared" si="582"/>
        <v>3.7215481005630893</v>
      </c>
      <c r="CF361" s="195">
        <f>IF($J361="",#N/A,SUM($CE$4:CE361))</f>
        <v>16.104654240656334</v>
      </c>
      <c r="CG361" s="196" t="str">
        <f t="shared" si="583"/>
        <v/>
      </c>
      <c r="CH361" s="193">
        <f>IF($J361="",#N/A,SUM($CG$4:CG361))</f>
        <v>5.233917528606165</v>
      </c>
      <c r="CI361" s="200" t="str">
        <f t="shared" si="584"/>
        <v/>
      </c>
      <c r="CJ361" s="203">
        <f>IF($J361="",#N/A,SUM(CI$4:CI361))</f>
        <v>0</v>
      </c>
      <c r="CK361" s="204" t="str">
        <f t="shared" si="585"/>
        <v/>
      </c>
      <c r="CL361" s="204">
        <f>IF($J361="",#N/A,SUM(CK$4:CK361))</f>
        <v>1.2912501745213723</v>
      </c>
      <c r="CM361" s="205" t="str">
        <f t="shared" si="586"/>
        <v/>
      </c>
      <c r="CN361" s="205">
        <f>IF($J361="",#N/A,SUM(CM$4:CM361))</f>
        <v>1.357235719871134</v>
      </c>
      <c r="CO361" s="205">
        <f>IF($J361="",#N/A,SUM(CM$4:CM361,CK$4:CK361,CI$4:CI361))</f>
        <v>2.6484858943925063</v>
      </c>
      <c r="CP361" s="200" t="str">
        <f t="shared" si="587"/>
        <v/>
      </c>
      <c r="CQ361" s="203">
        <f>IF($J361="",#N/A,SUM(CP$4:CP361))</f>
        <v>-3.0687583652268549</v>
      </c>
      <c r="CR361" s="204" t="str">
        <f t="shared" si="588"/>
        <v/>
      </c>
      <c r="CS361" s="204">
        <f>IF($J361="",#N/A,SUM(CR$4:CR361))</f>
        <v>2.3600225017004668</v>
      </c>
      <c r="CT361" s="205" t="str">
        <f t="shared" si="589"/>
        <v/>
      </c>
      <c r="CU361" s="205">
        <f>IF($J361="",#N/A,SUM(CT$4:CT361))</f>
        <v>-3.1872377407569323</v>
      </c>
      <c r="CV361" s="205">
        <f>IF($J361="",#N/A,SUM(CT$4:CT361,CR$4:CR361,CP$4:CP361))</f>
        <v>-3.8959736042833208</v>
      </c>
      <c r="CW361" s="200" t="str">
        <f t="shared" si="590"/>
        <v/>
      </c>
      <c r="CX361" s="203">
        <f>IF($J361="",#N/A,SUM(CW$4:CW361))</f>
        <v>-1.376136775601573</v>
      </c>
      <c r="CY361" s="204">
        <f t="shared" si="591"/>
        <v>3.7215481005630893</v>
      </c>
      <c r="CZ361" s="204">
        <f>IF($J361="",#N/A,SUM(CY$4:CY361))</f>
        <v>3.4158439394052458</v>
      </c>
      <c r="DA361" s="205" t="str">
        <f t="shared" si="592"/>
        <v/>
      </c>
      <c r="DB361" s="205">
        <f>IF($J361="",#N/A,SUM(DA$4:DA361))</f>
        <v>-3.6020278946927151</v>
      </c>
      <c r="DC361" s="205">
        <f>IF($J361="",#N/A,SUM(DA$4:DA361,CY$4:CY361,CW$4:CW361))</f>
        <v>-1.5623207308890432</v>
      </c>
      <c r="DD361" s="200" t="str">
        <f t="shared" si="593"/>
        <v/>
      </c>
      <c r="DE361" s="203">
        <f>IF($J361="",#N/A,SUM(DD$4:DD361))</f>
        <v>1.6161029218801881</v>
      </c>
      <c r="DF361" s="204" t="str">
        <f t="shared" si="594"/>
        <v/>
      </c>
      <c r="DG361" s="204">
        <f>IF($J361="",#N/A,SUM(DF$4:DF361))</f>
        <v>4.1810385231482243</v>
      </c>
      <c r="DH361" s="205" t="str">
        <f t="shared" si="595"/>
        <v/>
      </c>
      <c r="DI361" s="205">
        <f>IF($J361="",#N/A,SUM(DH$4:DH361))</f>
        <v>-3.216671910770577</v>
      </c>
      <c r="DJ361" s="205">
        <f>IF($J361="",#N/A,SUM(DH$4:DH361,DF$4:DF361,DD$4:DD361))</f>
        <v>2.5804695342578352</v>
      </c>
      <c r="DK361" s="200" t="str">
        <f t="shared" si="596"/>
        <v/>
      </c>
      <c r="DL361" s="203">
        <f>IF($J361="",#N/A,SUM(DK$4:DK361))</f>
        <v>-0.84049791589649614</v>
      </c>
      <c r="DM361" s="204" t="str">
        <f t="shared" si="597"/>
        <v/>
      </c>
      <c r="DN361" s="204">
        <f>IF($J361="",#N/A,SUM(DM$4:DM361))</f>
        <v>1.8657648196498773</v>
      </c>
      <c r="DO361" s="205" t="str">
        <f t="shared" si="598"/>
        <v/>
      </c>
      <c r="DP361" s="205">
        <f>IF($J361="",#N/A,SUM(DO$4:DO361))</f>
        <v>3.4887162328793941</v>
      </c>
      <c r="DQ361" s="205">
        <f>IF($J361="",#N/A,SUM(DO$4:DO361,DM$4:DM361,DK$4:DK361))</f>
        <v>4.5139831366327758</v>
      </c>
      <c r="DR361" s="200" t="str">
        <f t="shared" si="599"/>
        <v/>
      </c>
      <c r="DS361" s="203">
        <f>IF($J361="",#N/A,SUM(DR$4:DR361))</f>
        <v>-0.55950946427675097</v>
      </c>
      <c r="DT361" s="204" t="str">
        <f t="shared" si="600"/>
        <v/>
      </c>
      <c r="DU361" s="204">
        <f>IF($J361="",#N/A,SUM(DT$4:DT361))</f>
        <v>-0.20750635820596686</v>
      </c>
      <c r="DV361" s="205" t="str">
        <f t="shared" si="601"/>
        <v/>
      </c>
      <c r="DW361" s="205">
        <f>IF($J361="",#N/A,SUM(DV$4:DV361))</f>
        <v>-2.3377035686214001</v>
      </c>
      <c r="DX361" s="205">
        <f>IF($J361="",#N/A,SUM(DV$4:DV361,DT$4:DT361,DR$4:DR361))</f>
        <v>-3.1047193911041169</v>
      </c>
      <c r="DY361" s="200" t="str">
        <f t="shared" si="602"/>
        <v/>
      </c>
      <c r="DZ361" s="203">
        <f>IF($J361="",#N/A,SUM(DY$4:DY361))</f>
        <v>-1.4146842415208627</v>
      </c>
      <c r="EA361" s="204" t="str">
        <f t="shared" si="603"/>
        <v/>
      </c>
      <c r="EB361" s="204">
        <f>IF($J361="",#N/A,SUM(EA$4:EA361))</f>
        <v>4.3184391548878134</v>
      </c>
      <c r="EC361" s="205" t="str">
        <f t="shared" si="604"/>
        <v/>
      </c>
      <c r="ED361" s="205">
        <f>IF($J361="",#N/A,SUM(EC$4:EC361))</f>
        <v>8.4384553208490907</v>
      </c>
      <c r="EE361" s="205">
        <f>IF($J361="",#N/A,SUM(EC$4:EC361,EA$4:EA361,DY$4:DY361))</f>
        <v>11.342210234216044</v>
      </c>
      <c r="EF361" s="200" t="str">
        <f t="shared" si="605"/>
        <v/>
      </c>
      <c r="EG361" s="203">
        <f>IF($J361="",#N/A,SUM(EF$4:EF361))</f>
        <v>0.65848341369884777</v>
      </c>
      <c r="EH361" s="204" t="str">
        <f t="shared" si="606"/>
        <v/>
      </c>
      <c r="EI361" s="204">
        <f>IF($J361="",#N/A,SUM(EH$4:EH361))</f>
        <v>-3.5125331561187787</v>
      </c>
      <c r="EJ361" s="205" t="str">
        <f t="shared" si="607"/>
        <v/>
      </c>
      <c r="EK361" s="205">
        <f>IF($J361="",#N/A,SUM(EJ$4:EJ361))</f>
        <v>8.4840381642896556</v>
      </c>
      <c r="EL361" s="205">
        <f>IF($J361="",#N/A,SUM(EJ$4:EJ361,EH$4:EH361,EF$4:EF361))</f>
        <v>5.6299884218697258</v>
      </c>
      <c r="EM361" s="200" t="str">
        <f t="shared" si="608"/>
        <v/>
      </c>
      <c r="EN361" s="203">
        <f>IF($J361="",#N/A,SUM(EM$4:EM361))</f>
        <v>0</v>
      </c>
      <c r="EO361" s="204" t="str">
        <f t="shared" si="609"/>
        <v/>
      </c>
      <c r="EP361" s="204">
        <f>IF($J361="",#N/A,SUM(EO$4:EO361))</f>
        <v>2.4788862078089964</v>
      </c>
      <c r="EQ361" s="205" t="str">
        <f t="shared" si="610"/>
        <v/>
      </c>
      <c r="ER361" s="205">
        <f>IF($J361="",#N/A,SUM(EQ$4:EQ361))</f>
        <v>1.7856049065476487</v>
      </c>
      <c r="ES361" s="205">
        <f>IF($J361="",#N/A,SUM(EQ$4:EQ361,EO$4:EO361,EM$4:EM361))</f>
        <v>4.2644911143566446</v>
      </c>
      <c r="ET361" s="200" t="str">
        <f t="shared" si="611"/>
        <v/>
      </c>
      <c r="EU361" s="203">
        <f>IF($J361="",#N/A,SUM(ET$4:ET361))</f>
        <v>0</v>
      </c>
      <c r="EV361" s="204" t="str">
        <f t="shared" si="612"/>
        <v/>
      </c>
      <c r="EW361" s="204">
        <f>IF($J361="",#N/A,SUM(EV$4:EV361))</f>
        <v>7.9116394275462909E-2</v>
      </c>
      <c r="EX361" s="205" t="str">
        <f t="shared" si="613"/>
        <v/>
      </c>
      <c r="EY361" s="205">
        <f>IF($J361="",#N/A,SUM(EX$4:EX361))</f>
        <v>-0.38863392418374743</v>
      </c>
      <c r="EZ361" s="205">
        <f>IF($J361="",#N/A,SUM(EX$4:EX361,EV$4:EV361,ET$4:ET361))</f>
        <v>-0.30951752990828441</v>
      </c>
      <c r="FA361" s="200" t="str">
        <f t="shared" si="614"/>
        <v/>
      </c>
      <c r="FB361" s="203">
        <f>IF($J361="",#N/A,SUM(FA$4:FA361))</f>
        <v>-0.27145310509113252</v>
      </c>
      <c r="FC361" s="204" t="str">
        <f t="shared" si="615"/>
        <v/>
      </c>
      <c r="FD361" s="204">
        <f>IF($J361="",#N/A,SUM(FC$4:FC361))</f>
        <v>0.89084290967454072</v>
      </c>
      <c r="FE361" s="205" t="str">
        <f t="shared" si="616"/>
        <v/>
      </c>
      <c r="FF361" s="205">
        <f>IF($J361="",#N/A,SUM(FE$4:FE361))</f>
        <v>-0.28811149078748233</v>
      </c>
      <c r="FG361" s="205">
        <f>IF($J361="",#N/A,SUM(FE$4:FE361,FC$4:FC361,FA$4:FA361))</f>
        <v>0.3312783137959262</v>
      </c>
      <c r="FH361" s="200" t="str">
        <f t="shared" si="617"/>
        <v/>
      </c>
      <c r="FI361" s="203">
        <f>IF($J361="",#N/A,SUM(FH$4:FH361))</f>
        <v>0</v>
      </c>
      <c r="FJ361" s="204" t="str">
        <f t="shared" si="618"/>
        <v/>
      </c>
      <c r="FK361" s="204">
        <f>IF($J361="",#N/A,SUM(FJ$4:FJ361))</f>
        <v>0</v>
      </c>
      <c r="FL361" s="205" t="str">
        <f t="shared" si="619"/>
        <v/>
      </c>
      <c r="FM361" s="205">
        <f>IF($J361="",#N/A,SUM(FL$4:FL361))</f>
        <v>0</v>
      </c>
      <c r="FN361" s="205">
        <f>IF($J361="",#N/A,SUM(FL$4:FL361,FJ$4:FJ361,FH$4:FH361))</f>
        <v>0</v>
      </c>
      <c r="FO361" s="200" t="str">
        <f t="shared" si="620"/>
        <v/>
      </c>
      <c r="FP361" s="203">
        <f>IF($J361="",#N/A,SUM(FO$4:FO361))</f>
        <v>0</v>
      </c>
      <c r="FQ361" s="204" t="str">
        <f t="shared" si="621"/>
        <v/>
      </c>
      <c r="FR361" s="204">
        <f>IF($J361="",#N/A,SUM(FQ$4:FQ361))</f>
        <v>0</v>
      </c>
      <c r="FS361" s="205" t="str">
        <f t="shared" si="622"/>
        <v/>
      </c>
      <c r="FT361" s="205">
        <f>IF($J361="",#N/A,SUM(FS$4:FS361))</f>
        <v>0</v>
      </c>
      <c r="FU361" s="205">
        <f>IF($J361="",#N/A,SUM(FS$4:FS361,FQ$4:FQ361,FO$4:FO361))</f>
        <v>0</v>
      </c>
      <c r="FV361" s="200" t="str">
        <f t="shared" si="623"/>
        <v/>
      </c>
      <c r="FW361" s="203">
        <f>IF($J361="",#N/A,SUM(FV$4:FV361))</f>
        <v>6.6834991831277585E-2</v>
      </c>
      <c r="FX361" s="204" t="str">
        <f t="shared" si="624"/>
        <v/>
      </c>
      <c r="FY361" s="204">
        <f>IF($J361="",#N/A,SUM(FX$4:FX361))</f>
        <v>-0.16102012791805576</v>
      </c>
      <c r="FZ361" s="205" t="str">
        <f t="shared" si="625"/>
        <v/>
      </c>
      <c r="GA361" s="205">
        <f>IF($J361="",#N/A,SUM(FZ$4:FZ361))</f>
        <v>-0.69624339162892301</v>
      </c>
      <c r="GB361" s="205">
        <f>IF($J361="",#N/A,SUM(FZ$4:FZ361,FX$4:FX361,FV$4:FV361))</f>
        <v>-0.79042852771570116</v>
      </c>
      <c r="GC361" s="200" t="str">
        <f t="shared" si="626"/>
        <v/>
      </c>
      <c r="GD361" s="203">
        <f>IF($J361="",#N/A,SUM(GC$4:GC361))</f>
        <v>0</v>
      </c>
      <c r="GE361" s="204" t="str">
        <f t="shared" si="627"/>
        <v/>
      </c>
      <c r="GF361" s="204">
        <f>IF($J361="",#N/A,SUM(GE$4:GE361))</f>
        <v>0</v>
      </c>
      <c r="GG361" s="205" t="str">
        <f t="shared" si="628"/>
        <v/>
      </c>
      <c r="GH361" s="205">
        <f>IF($J361="",#N/A,SUM(GG$4:GG361))</f>
        <v>-2.9368362277223206</v>
      </c>
      <c r="GI361" s="205">
        <f>IF($J361="",#N/A,SUM(GG$4:GG361,GE$4:GE361,GC$4:GC361))</f>
        <v>-2.9368362277223206</v>
      </c>
      <c r="GJ361" s="200" t="str">
        <f t="shared" si="629"/>
        <v/>
      </c>
      <c r="GK361" s="203">
        <f>IF($J361="",#N/A,SUM(GJ$4:GJ361))</f>
        <v>0</v>
      </c>
      <c r="GL361" s="204" t="str">
        <f t="shared" si="630"/>
        <v/>
      </c>
      <c r="GM361" s="204">
        <f>IF($J361="",#N/A,SUM(GL$4:GL361))</f>
        <v>-2.0621307233432784</v>
      </c>
      <c r="GN361" s="205" t="str">
        <f t="shared" si="631"/>
        <v/>
      </c>
      <c r="GO361" s="205">
        <f>IF($J361="",#N/A,SUM(GN$4:GN361))</f>
        <v>0</v>
      </c>
      <c r="GP361" s="205">
        <f>IF($J361="",#N/A,SUM(GN$4:GN361,GL$4:GL361,GJ$4:GJ361))</f>
        <v>-2.0621307233432784</v>
      </c>
      <c r="GS361" s="54">
        <f t="shared" si="650"/>
        <v>3.7215481005630893</v>
      </c>
      <c r="GT361" s="54">
        <f>IF(GS361="",NA(),SUM($GS$4:GS361))</f>
        <v>14.603442092569162</v>
      </c>
      <c r="GU361" s="54" t="str">
        <f t="shared" si="632"/>
        <v/>
      </c>
      <c r="GV361" s="54" t="e">
        <f>IF(GU361="",NA(),SUM($GU$4:GU361))</f>
        <v>#N/A</v>
      </c>
      <c r="GW361" s="54" t="str">
        <f t="shared" si="633"/>
        <v/>
      </c>
      <c r="GX361" s="54" t="e">
        <f>IF(GW361="",NA(),SUM($GW$4:GW361))</f>
        <v>#N/A</v>
      </c>
      <c r="GY361" s="54">
        <f t="shared" si="634"/>
        <v>3.7215481005630893</v>
      </c>
      <c r="GZ361" s="54">
        <f>IF(GY361="",NA(),SUM($GY$4:GY361))</f>
        <v>9.9619505082780151</v>
      </c>
      <c r="HA361" s="54" t="str">
        <f t="shared" si="635"/>
        <v/>
      </c>
      <c r="HB361" s="54" t="e">
        <f>IF(HA361="",NA(),SUM($HA$4:HA361))</f>
        <v>#N/A</v>
      </c>
      <c r="HC361" s="54" t="str">
        <f t="shared" si="636"/>
        <v/>
      </c>
      <c r="HD361" s="54" t="e">
        <f>IF(HC361="",NA(),SUM($HC$4:HC361))</f>
        <v>#N/A</v>
      </c>
      <c r="HE361" s="54" t="str">
        <f t="shared" si="637"/>
        <v/>
      </c>
      <c r="HF361" s="54" t="e">
        <f>IF(HE361="",NA(),SUM($HE$4:HE361))</f>
        <v>#N/A</v>
      </c>
      <c r="HG361" s="54" t="str">
        <f t="shared" si="638"/>
        <v/>
      </c>
      <c r="HH361" s="54" t="e">
        <f>IF(HG361="",NA(),SUM($HG$4:HG361))</f>
        <v>#N/A</v>
      </c>
      <c r="HI361" s="172">
        <f t="shared" si="651"/>
        <v>-0.41174293494064917</v>
      </c>
      <c r="HJ361" s="172">
        <f>IF($J361="",#N/A,SUM(HI$4:$HI361))</f>
        <v>-10.162234665497841</v>
      </c>
      <c r="HK361" s="54" t="str">
        <f t="shared" si="639"/>
        <v/>
      </c>
      <c r="HL361" s="54">
        <f>IF($J361="",#N/A,SUM($HK$4:HK361))</f>
        <v>2.7460981583887896</v>
      </c>
      <c r="HM361" s="54" t="str">
        <f t="shared" si="640"/>
        <v/>
      </c>
      <c r="HN361" s="54">
        <f>IF($J361="",#N/A,SUM($HM$4:HM361))</f>
        <v>-0.1668095672281944</v>
      </c>
      <c r="HO361" s="54" t="str">
        <f t="shared" si="641"/>
        <v/>
      </c>
      <c r="HP361" s="54">
        <f>IF($J361="",#N/A,SUM($HO$4:HO361))</f>
        <v>-3.7289214255513348E-2</v>
      </c>
      <c r="HQ361" s="54" t="str">
        <f t="shared" si="642"/>
        <v/>
      </c>
      <c r="HR361" s="54">
        <f>IF($J361="",#N/A,SUM($HQ$4:HQ361))</f>
        <v>-11.745401831760597</v>
      </c>
      <c r="HS361" s="54" t="str">
        <f t="shared" si="643"/>
        <v/>
      </c>
      <c r="HT361" s="54">
        <f>IF($J361="",#N/A,SUM($HS$4:HS361))</f>
        <v>14.453251296710942</v>
      </c>
      <c r="HU361" s="65">
        <f t="shared" si="644"/>
        <v>3.3098051656224401</v>
      </c>
      <c r="HV361" s="65">
        <f>IF($J361="",#N/A,SUM(HU$4:$HU361))</f>
        <v>11.188435712843891</v>
      </c>
    </row>
    <row r="362" spans="1:230" x14ac:dyDescent="0.25">
      <c r="A362" s="51" t="s">
        <v>1118</v>
      </c>
      <c r="B362" s="52" t="s">
        <v>5511</v>
      </c>
      <c r="C362" s="229">
        <f t="shared" si="545"/>
        <v>1</v>
      </c>
      <c r="D362" s="219" t="str">
        <f>_xlfn.XLOOKUP(A362,[1]SP500!$A$2:$A$502,[1]SP500!$D$2:$D$502,"N")</f>
        <v>Y</v>
      </c>
      <c r="E362" s="51" t="str">
        <f>IFERROR(_xlfn.XLOOKUP(A362,[1]SP500!$A$2:$A$655,[1]SP500!$B$2:$B$655),"")</f>
        <v>IGV</v>
      </c>
      <c r="F362" s="290">
        <v>45799</v>
      </c>
      <c r="G362" s="51" t="str">
        <f t="shared" si="546"/>
        <v>AMC</v>
      </c>
      <c r="H362" s="51" t="str">
        <f t="shared" si="547"/>
        <v>s</v>
      </c>
      <c r="I362" s="344">
        <v>666.07</v>
      </c>
      <c r="J362" s="123">
        <v>720</v>
      </c>
      <c r="K362" s="55">
        <f t="shared" si="548"/>
        <v>8.0967465881964282E-2</v>
      </c>
      <c r="L362" s="67">
        <f t="shared" si="549"/>
        <v>107.8599999999999</v>
      </c>
      <c r="M362" s="57" t="e">
        <f t="shared" si="550"/>
        <v>#N/A</v>
      </c>
      <c r="N362" s="102">
        <f t="shared" si="551"/>
        <v>107.8599999999999</v>
      </c>
      <c r="O362" s="57">
        <f>IF(N362="",#N/A,SUM($N$4:N362))</f>
        <v>979.41437556162475</v>
      </c>
      <c r="P362" s="65">
        <f t="shared" si="645"/>
        <v>1.3494577646994048</v>
      </c>
      <c r="Q362" s="172">
        <f>IF($N362="",#N/A,SUM($P$4:P362))</f>
        <v>17.966226768352694</v>
      </c>
      <c r="R362" s="279">
        <f t="shared" si="552"/>
        <v>7.601160569933322</v>
      </c>
      <c r="S362" s="51" t="str">
        <f t="shared" si="553"/>
        <v>Up</v>
      </c>
      <c r="T362" s="51" t="s">
        <v>4462</v>
      </c>
      <c r="U362" s="56">
        <f t="shared" si="554"/>
        <v>666.07</v>
      </c>
      <c r="V362" s="56" t="s">
        <v>4460</v>
      </c>
      <c r="W362" s="142">
        <v>2</v>
      </c>
      <c r="X362" s="145">
        <f t="shared" si="555"/>
        <v>1332.14</v>
      </c>
      <c r="Y362" s="140">
        <f t="shared" si="556"/>
        <v>2</v>
      </c>
      <c r="Z362" s="141">
        <v>709.09</v>
      </c>
      <c r="AA362" s="102">
        <f t="shared" si="557"/>
        <v>86.039999999999964</v>
      </c>
      <c r="AB362" s="102">
        <f t="shared" si="558"/>
        <v>108.11999999999989</v>
      </c>
      <c r="AC362" s="124">
        <v>720.13</v>
      </c>
      <c r="AD362" s="155">
        <f t="shared" si="559"/>
        <v>108.11999999999989</v>
      </c>
      <c r="AE362" s="545">
        <f t="shared" si="560"/>
        <v>1.352710676055068</v>
      </c>
      <c r="AF362" s="57">
        <f>IF($AC362="",#N/A,SUM(AD$4:AD362))</f>
        <v>772.70239714744912</v>
      </c>
      <c r="AG362" s="102">
        <f t="shared" si="561"/>
        <v>0.25999999999999091</v>
      </c>
      <c r="AH362" s="56" t="s">
        <v>4471</v>
      </c>
      <c r="AI362" s="65">
        <f t="shared" si="562"/>
        <v>1.0764634347741224</v>
      </c>
      <c r="AJ362" s="108">
        <f>IF(AI362="",#N/A,SUM($AI$4:AI362))</f>
        <v>10.365066198419372</v>
      </c>
      <c r="AK362" s="57">
        <f t="shared" si="563"/>
        <v>86.039999999999964</v>
      </c>
      <c r="AL362" s="66">
        <f>IF(AI362="",#N/A,IF(AH362="Skip",SUM($AK$4:AK362),SUM($AK$4:AK362)))</f>
        <v>464.73736927848245</v>
      </c>
      <c r="AM362" s="65">
        <f t="shared" si="646"/>
        <v>1.352710676055068</v>
      </c>
      <c r="AN362" s="209"/>
      <c r="AO362" s="65" t="str">
        <f t="shared" si="564"/>
        <v/>
      </c>
      <c r="AP362" s="65">
        <f>IF($AC362="",#N/A,SUM(AO$4:AO362))</f>
        <v>7.4258195263895228</v>
      </c>
      <c r="AQ362" s="65">
        <f t="shared" si="565"/>
        <v>1.352710676055068</v>
      </c>
      <c r="AR362" s="65">
        <f>IF($AC362="",#N/A,SUM(AQ$4:AQ362))</f>
        <v>-3.5731908710378439</v>
      </c>
      <c r="AS362" s="65" t="str">
        <f t="shared" si="566"/>
        <v/>
      </c>
      <c r="AT362" s="65">
        <f>IF($AC362="",#N/A,SUM(AS$4:AS362))</f>
        <v>8.6885177335472719</v>
      </c>
      <c r="AU362" s="57" t="str">
        <f t="shared" si="647"/>
        <v/>
      </c>
      <c r="AV362" s="57">
        <f>IF($AC362="",#N/A,SUM(AU$4:AU362))</f>
        <v>323.16627194987996</v>
      </c>
      <c r="AW362" s="57">
        <f t="shared" si="648"/>
        <v>108.11999999999989</v>
      </c>
      <c r="AX362" s="57">
        <f>IF($AC362="",#N/A,SUM(AW$4:AW362))</f>
        <v>-225.98106797961077</v>
      </c>
      <c r="AY362" s="57" t="str">
        <f t="shared" si="649"/>
        <v/>
      </c>
      <c r="AZ362" s="57">
        <f>IF($AC362="",#N/A,SUM(AY$4:AY362))</f>
        <v>675.51719317717982</v>
      </c>
      <c r="BA362" s="57">
        <f>IF(AD362="",#N/A,SUM($AD$4:AD362))</f>
        <v>772.70239714744912</v>
      </c>
      <c r="BC362" s="51">
        <f t="shared" si="567"/>
        <v>1</v>
      </c>
      <c r="BD362" s="51" t="str">
        <f t="shared" si="568"/>
        <v/>
      </c>
      <c r="BE362" s="51" t="str">
        <f t="shared" si="569"/>
        <v/>
      </c>
      <c r="BF362" s="51" t="str">
        <f t="shared" si="570"/>
        <v>Long</v>
      </c>
      <c r="BG362" s="51" t="str">
        <f t="shared" si="571"/>
        <v/>
      </c>
      <c r="BH362" s="51" t="str">
        <f t="shared" si="572"/>
        <v/>
      </c>
      <c r="BI362" s="51" t="str">
        <f t="shared" si="573"/>
        <v/>
      </c>
      <c r="BK362" s="65">
        <f t="shared" si="544"/>
        <v>6.0516849592526435E-2</v>
      </c>
      <c r="BL362" s="65">
        <f t="shared" si="652"/>
        <v>2.7168623357934081E-2</v>
      </c>
      <c r="BM362" s="65">
        <f>IFERROR(Q362/COUNTA($J$4:J362),#N/A)</f>
        <v>5.0045199911845945E-2</v>
      </c>
      <c r="BO362" s="489" t="e">
        <f>IF(J362="",#N/A,IF(S362="SW",(COUNTIFS(K$4:$K362,"&gt;0",S$4:$S362,"SW")/COUNTIF(S$4:$S362,"SW")),#N/A))</f>
        <v>#N/A</v>
      </c>
      <c r="BP362" s="489" t="e">
        <f>IF($J362="",#N/A,IF($S362="DWN",(COUNTIFS($K$4:$K362,"&lt;0",$S$4:$S362,"DWN")/COUNTIF($S$4:$S362,"DWN")),#N/A))</f>
        <v>#N/A</v>
      </c>
      <c r="BQ362" s="489">
        <f>IF($J362="",#N/A,IF($S362="UP",(COUNTIFS($K$4:$K362,"&gt;0",$S$4:$S362,"UP")/COUNTIF($S$4:$S362,"UP")),#N/A))</f>
        <v>0.47058823529411764</v>
      </c>
      <c r="BR362" s="489">
        <f>IF(J362="",#N/A,COUNTIF($K$4:K362,"&gt;0")/COUNT($J$4:J362))</f>
        <v>0.47075208913649025</v>
      </c>
      <c r="BS362" s="65">
        <f t="shared" si="574"/>
        <v>1.3494577646994048</v>
      </c>
      <c r="BT362" s="65" t="str">
        <f t="shared" si="575"/>
        <v/>
      </c>
      <c r="BU362" s="65" t="str">
        <f t="shared" si="576"/>
        <v/>
      </c>
      <c r="BV362" s="65" t="str">
        <f t="shared" si="577"/>
        <v/>
      </c>
      <c r="BW362" s="128">
        <f t="shared" si="578"/>
        <v>107.8599999999999</v>
      </c>
      <c r="BX362" s="128">
        <f>IF($J362="",#N/A,SUM($BW$4:BW362))</f>
        <v>-212.83817034792878</v>
      </c>
      <c r="BY362" s="131" t="str">
        <f t="shared" si="579"/>
        <v/>
      </c>
      <c r="BZ362" s="131">
        <f>IF($J362="",#N/A,SUM($BY$4:BY362))</f>
        <v>1036.3516134613947</v>
      </c>
      <c r="CA362" s="133" t="str">
        <f t="shared" si="580"/>
        <v/>
      </c>
      <c r="CB362" s="133">
        <f>IF($J362="",#N/A,SUM($CA$4:CA362))</f>
        <v>155.90093244815864</v>
      </c>
      <c r="CC362" s="194">
        <f t="shared" si="581"/>
        <v>1.3494577646994048</v>
      </c>
      <c r="CD362" s="194">
        <f>IF($J362="",#N/A,SUM($CC$4:CC362))</f>
        <v>-3.3723450009097973</v>
      </c>
      <c r="CE362" s="195" t="str">
        <f t="shared" si="582"/>
        <v/>
      </c>
      <c r="CF362" s="195">
        <f>IF($J362="",#N/A,SUM($CE$4:CE362))</f>
        <v>16.104654240656334</v>
      </c>
      <c r="CG362" s="196" t="str">
        <f t="shared" si="583"/>
        <v/>
      </c>
      <c r="CH362" s="196">
        <f>IF($J362="",#N/A,SUM($CG$4:CG362))</f>
        <v>5.233917528606165</v>
      </c>
      <c r="CI362" s="200" t="str">
        <f t="shared" si="584"/>
        <v/>
      </c>
      <c r="CJ362" s="203">
        <f>IF($J362="",#N/A,SUM(CI$4:CI362))</f>
        <v>0</v>
      </c>
      <c r="CK362" s="204" t="str">
        <f t="shared" si="585"/>
        <v/>
      </c>
      <c r="CL362" s="204">
        <f>IF($J362="",#N/A,SUM(CK$4:CK362))</f>
        <v>1.2912501745213723</v>
      </c>
      <c r="CM362" s="205" t="str">
        <f t="shared" si="586"/>
        <v/>
      </c>
      <c r="CN362" s="205">
        <f>IF($J362="",#N/A,SUM(CM$4:CM362))</f>
        <v>1.357235719871134</v>
      </c>
      <c r="CO362" s="205">
        <f>IF($J362="",#N/A,SUM(CM$4:CM362,CK$4:CK362,CI$4:CI362))</f>
        <v>2.6484858943925063</v>
      </c>
      <c r="CP362" s="200">
        <f t="shared" si="587"/>
        <v>1.3494577646994048</v>
      </c>
      <c r="CQ362" s="203">
        <f>IF($J362="",#N/A,SUM(CP$4:CP362))</f>
        <v>-1.71930060052745</v>
      </c>
      <c r="CR362" s="204" t="str">
        <f t="shared" si="588"/>
        <v/>
      </c>
      <c r="CS362" s="204">
        <f>IF($J362="",#N/A,SUM(CR$4:CR362))</f>
        <v>2.3600225017004668</v>
      </c>
      <c r="CT362" s="205" t="str">
        <f t="shared" si="589"/>
        <v/>
      </c>
      <c r="CU362" s="205">
        <f>IF($J362="",#N/A,SUM(CT$4:CT362))</f>
        <v>-3.1872377407569323</v>
      </c>
      <c r="CV362" s="205">
        <f>IF($J362="",#N/A,SUM(CT$4:CT362,CR$4:CR362,CP$4:CP362))</f>
        <v>-2.546515839583916</v>
      </c>
      <c r="CW362" s="200" t="str">
        <f t="shared" si="590"/>
        <v/>
      </c>
      <c r="CX362" s="203">
        <f>IF($J362="",#N/A,SUM(CW$4:CW362))</f>
        <v>-1.376136775601573</v>
      </c>
      <c r="CY362" s="204" t="str">
        <f t="shared" si="591"/>
        <v/>
      </c>
      <c r="CZ362" s="204">
        <f>IF($J362="",#N/A,SUM(CY$4:CY362))</f>
        <v>3.4158439394052458</v>
      </c>
      <c r="DA362" s="205" t="str">
        <f t="shared" si="592"/>
        <v/>
      </c>
      <c r="DB362" s="205">
        <f>IF($J362="",#N/A,SUM(DA$4:DA362))</f>
        <v>-3.6020278946927151</v>
      </c>
      <c r="DC362" s="205">
        <f>IF($J362="",#N/A,SUM(DA$4:DA362,CY$4:CY362,CW$4:CW362))</f>
        <v>-1.5623207308890432</v>
      </c>
      <c r="DD362" s="200" t="str">
        <f t="shared" si="593"/>
        <v/>
      </c>
      <c r="DE362" s="203">
        <f>IF($J362="",#N/A,SUM(DD$4:DD362))</f>
        <v>1.6161029218801881</v>
      </c>
      <c r="DF362" s="204" t="str">
        <f t="shared" si="594"/>
        <v/>
      </c>
      <c r="DG362" s="204">
        <f>IF($J362="",#N/A,SUM(DF$4:DF362))</f>
        <v>4.1810385231482243</v>
      </c>
      <c r="DH362" s="205" t="str">
        <f t="shared" si="595"/>
        <v/>
      </c>
      <c r="DI362" s="205">
        <f>IF($J362="",#N/A,SUM(DH$4:DH362))</f>
        <v>-3.216671910770577</v>
      </c>
      <c r="DJ362" s="205">
        <f>IF($J362="",#N/A,SUM(DH$4:DH362,DF$4:DF362,DD$4:DD362))</f>
        <v>2.5804695342578352</v>
      </c>
      <c r="DK362" s="200" t="str">
        <f t="shared" si="596"/>
        <v/>
      </c>
      <c r="DL362" s="203">
        <f>IF($J362="",#N/A,SUM(DK$4:DK362))</f>
        <v>-0.84049791589649614</v>
      </c>
      <c r="DM362" s="204" t="str">
        <f t="shared" si="597"/>
        <v/>
      </c>
      <c r="DN362" s="204">
        <f>IF($J362="",#N/A,SUM(DM$4:DM362))</f>
        <v>1.8657648196498773</v>
      </c>
      <c r="DO362" s="205" t="str">
        <f t="shared" si="598"/>
        <v/>
      </c>
      <c r="DP362" s="205">
        <f>IF($J362="",#N/A,SUM(DO$4:DO362))</f>
        <v>3.4887162328793941</v>
      </c>
      <c r="DQ362" s="205">
        <f>IF($J362="",#N/A,SUM(DO$4:DO362,DM$4:DM362,DK$4:DK362))</f>
        <v>4.5139831366327758</v>
      </c>
      <c r="DR362" s="200" t="str">
        <f t="shared" si="599"/>
        <v/>
      </c>
      <c r="DS362" s="203">
        <f>IF($J362="",#N/A,SUM(DR$4:DR362))</f>
        <v>-0.55950946427675097</v>
      </c>
      <c r="DT362" s="204" t="str">
        <f t="shared" si="600"/>
        <v/>
      </c>
      <c r="DU362" s="204">
        <f>IF($J362="",#N/A,SUM(DT$4:DT362))</f>
        <v>-0.20750635820596686</v>
      </c>
      <c r="DV362" s="205" t="str">
        <f t="shared" si="601"/>
        <v/>
      </c>
      <c r="DW362" s="205">
        <f>IF($J362="",#N/A,SUM(DV$4:DV362))</f>
        <v>-2.3377035686214001</v>
      </c>
      <c r="DX362" s="205">
        <f>IF($J362="",#N/A,SUM(DV$4:DV362,DT$4:DT362,DR$4:DR362))</f>
        <v>-3.1047193911041169</v>
      </c>
      <c r="DY362" s="200" t="str">
        <f t="shared" si="602"/>
        <v/>
      </c>
      <c r="DZ362" s="203">
        <f>IF($J362="",#N/A,SUM(DY$4:DY362))</f>
        <v>-1.4146842415208627</v>
      </c>
      <c r="EA362" s="204" t="str">
        <f t="shared" si="603"/>
        <v/>
      </c>
      <c r="EB362" s="204">
        <f>IF($J362="",#N/A,SUM(EA$4:EA362))</f>
        <v>4.3184391548878134</v>
      </c>
      <c r="EC362" s="205" t="str">
        <f t="shared" si="604"/>
        <v/>
      </c>
      <c r="ED362" s="205">
        <f>IF($J362="",#N/A,SUM(EC$4:EC362))</f>
        <v>8.4384553208490907</v>
      </c>
      <c r="EE362" s="205">
        <f>IF($J362="",#N/A,SUM(EC$4:EC362,EA$4:EA362,DY$4:DY362))</f>
        <v>11.342210234216044</v>
      </c>
      <c r="EF362" s="200" t="str">
        <f t="shared" si="605"/>
        <v/>
      </c>
      <c r="EG362" s="203">
        <f>IF($J362="",#N/A,SUM(EF$4:EF362))</f>
        <v>0.65848341369884777</v>
      </c>
      <c r="EH362" s="204" t="str">
        <f t="shared" si="606"/>
        <v/>
      </c>
      <c r="EI362" s="204">
        <f>IF($J362="",#N/A,SUM(EH$4:EH362))</f>
        <v>-3.5125331561187787</v>
      </c>
      <c r="EJ362" s="205" t="str">
        <f t="shared" si="607"/>
        <v/>
      </c>
      <c r="EK362" s="205">
        <f>IF($J362="",#N/A,SUM(EJ$4:EJ362))</f>
        <v>8.4840381642896556</v>
      </c>
      <c r="EL362" s="205">
        <f>IF($J362="",#N/A,SUM(EJ$4:EJ362,EH$4:EH362,EF$4:EF362))</f>
        <v>5.6299884218697258</v>
      </c>
      <c r="EM362" s="200" t="str">
        <f t="shared" si="608"/>
        <v/>
      </c>
      <c r="EN362" s="203">
        <f>IF($J362="",#N/A,SUM(EM$4:EM362))</f>
        <v>0</v>
      </c>
      <c r="EO362" s="204" t="str">
        <f t="shared" si="609"/>
        <v/>
      </c>
      <c r="EP362" s="204">
        <f>IF($J362="",#N/A,SUM(EO$4:EO362))</f>
        <v>2.4788862078089964</v>
      </c>
      <c r="EQ362" s="205" t="str">
        <f t="shared" si="610"/>
        <v/>
      </c>
      <c r="ER362" s="205">
        <f>IF($J362="",#N/A,SUM(EQ$4:EQ362))</f>
        <v>1.7856049065476487</v>
      </c>
      <c r="ES362" s="205">
        <f>IF($J362="",#N/A,SUM(EQ$4:EQ362,EO$4:EO362,EM$4:EM362))</f>
        <v>4.2644911143566446</v>
      </c>
      <c r="ET362" s="200" t="str">
        <f t="shared" si="611"/>
        <v/>
      </c>
      <c r="EU362" s="203">
        <f>IF($J362="",#N/A,SUM(ET$4:ET362))</f>
        <v>0</v>
      </c>
      <c r="EV362" s="204" t="str">
        <f t="shared" si="612"/>
        <v/>
      </c>
      <c r="EW362" s="204">
        <f>IF($J362="",#N/A,SUM(EV$4:EV362))</f>
        <v>7.9116394275462909E-2</v>
      </c>
      <c r="EX362" s="205" t="str">
        <f t="shared" si="613"/>
        <v/>
      </c>
      <c r="EY362" s="205">
        <f>IF($J362="",#N/A,SUM(EX$4:EX362))</f>
        <v>-0.38863392418374743</v>
      </c>
      <c r="EZ362" s="205">
        <f>IF($J362="",#N/A,SUM(EX$4:EX362,EV$4:EV362,ET$4:ET362))</f>
        <v>-0.30951752990828441</v>
      </c>
      <c r="FA362" s="200" t="str">
        <f t="shared" si="614"/>
        <v/>
      </c>
      <c r="FB362" s="203">
        <f>IF($J362="",#N/A,SUM(FA$4:FA362))</f>
        <v>-0.27145310509113252</v>
      </c>
      <c r="FC362" s="204" t="str">
        <f t="shared" si="615"/>
        <v/>
      </c>
      <c r="FD362" s="204">
        <f>IF($J362="",#N/A,SUM(FC$4:FC362))</f>
        <v>0.89084290967454072</v>
      </c>
      <c r="FE362" s="205" t="str">
        <f t="shared" si="616"/>
        <v/>
      </c>
      <c r="FF362" s="205">
        <f>IF($J362="",#N/A,SUM(FE$4:FE362))</f>
        <v>-0.28811149078748233</v>
      </c>
      <c r="FG362" s="205">
        <f>IF($J362="",#N/A,SUM(FE$4:FE362,FC$4:FC362,FA$4:FA362))</f>
        <v>0.3312783137959262</v>
      </c>
      <c r="FH362" s="200" t="str">
        <f t="shared" si="617"/>
        <v/>
      </c>
      <c r="FI362" s="203">
        <f>IF($J362="",#N/A,SUM(FH$4:FH362))</f>
        <v>0</v>
      </c>
      <c r="FJ362" s="204" t="str">
        <f t="shared" si="618"/>
        <v/>
      </c>
      <c r="FK362" s="204">
        <f>IF($J362="",#N/A,SUM(FJ$4:FJ362))</f>
        <v>0</v>
      </c>
      <c r="FL362" s="205" t="str">
        <f t="shared" si="619"/>
        <v/>
      </c>
      <c r="FM362" s="205">
        <f>IF($J362="",#N/A,SUM(FL$4:FL362))</f>
        <v>0</v>
      </c>
      <c r="FN362" s="205">
        <f>IF($J362="",#N/A,SUM(FL$4:FL362,FJ$4:FJ362,FH$4:FH362))</f>
        <v>0</v>
      </c>
      <c r="FO362" s="200" t="str">
        <f t="shared" si="620"/>
        <v/>
      </c>
      <c r="FP362" s="203">
        <f>IF($J362="",#N/A,SUM(FO$4:FO362))</f>
        <v>0</v>
      </c>
      <c r="FQ362" s="204" t="str">
        <f t="shared" si="621"/>
        <v/>
      </c>
      <c r="FR362" s="204">
        <f>IF($J362="",#N/A,SUM(FQ$4:FQ362))</f>
        <v>0</v>
      </c>
      <c r="FS362" s="205" t="str">
        <f t="shared" si="622"/>
        <v/>
      </c>
      <c r="FT362" s="205">
        <f>IF($J362="",#N/A,SUM(FS$4:FS362))</f>
        <v>0</v>
      </c>
      <c r="FU362" s="205">
        <f>IF($J362="",#N/A,SUM(FS$4:FS362,FQ$4:FQ362,FO$4:FO362))</f>
        <v>0</v>
      </c>
      <c r="FV362" s="200" t="str">
        <f t="shared" si="623"/>
        <v/>
      </c>
      <c r="FW362" s="203">
        <f>IF($J362="",#N/A,SUM(FV$4:FV362))</f>
        <v>6.6834991831277585E-2</v>
      </c>
      <c r="FX362" s="204" t="str">
        <f t="shared" si="624"/>
        <v/>
      </c>
      <c r="FY362" s="204">
        <f>IF($J362="",#N/A,SUM(FX$4:FX362))</f>
        <v>-0.16102012791805576</v>
      </c>
      <c r="FZ362" s="205" t="str">
        <f t="shared" si="625"/>
        <v/>
      </c>
      <c r="GA362" s="205">
        <f>IF($J362="",#N/A,SUM(FZ$4:FZ362))</f>
        <v>-0.69624339162892301</v>
      </c>
      <c r="GB362" s="205">
        <f>IF($J362="",#N/A,SUM(FZ$4:FZ362,FX$4:FX362,FV$4:FV362))</f>
        <v>-0.79042852771570116</v>
      </c>
      <c r="GC362" s="200" t="str">
        <f t="shared" si="626"/>
        <v/>
      </c>
      <c r="GD362" s="203">
        <f>IF($J362="",#N/A,SUM(GC$4:GC362))</f>
        <v>0</v>
      </c>
      <c r="GE362" s="204" t="str">
        <f t="shared" si="627"/>
        <v/>
      </c>
      <c r="GF362" s="204">
        <f>IF($J362="",#N/A,SUM(GE$4:GE362))</f>
        <v>0</v>
      </c>
      <c r="GG362" s="205" t="str">
        <f t="shared" si="628"/>
        <v/>
      </c>
      <c r="GH362" s="205">
        <f>IF($J362="",#N/A,SUM(GG$4:GG362))</f>
        <v>-2.9368362277223206</v>
      </c>
      <c r="GI362" s="205">
        <f>IF($J362="",#N/A,SUM(GG$4:GG362,GE$4:GE362,GC$4:GC362))</f>
        <v>-2.9368362277223206</v>
      </c>
      <c r="GJ362" s="200" t="str">
        <f t="shared" si="629"/>
        <v/>
      </c>
      <c r="GK362" s="203">
        <f>IF($J362="",#N/A,SUM(GJ$4:GJ362))</f>
        <v>0</v>
      </c>
      <c r="GL362" s="204" t="str">
        <f t="shared" si="630"/>
        <v/>
      </c>
      <c r="GM362" s="204">
        <f>IF($J362="",#N/A,SUM(GL$4:GL362))</f>
        <v>-2.0621307233432784</v>
      </c>
      <c r="GN362" s="205" t="str">
        <f t="shared" si="631"/>
        <v/>
      </c>
      <c r="GO362" s="205">
        <f>IF($J362="",#N/A,SUM(GN$4:GN362))</f>
        <v>0</v>
      </c>
      <c r="GP362" s="205">
        <f>IF($J362="",#N/A,SUM(GN$4:GN362,GL$4:GL362,GJ$4:GJ362))</f>
        <v>-2.0621307233432784</v>
      </c>
      <c r="GS362" s="54">
        <f t="shared" si="650"/>
        <v>1.3494577646994048</v>
      </c>
      <c r="GT362" s="54">
        <f>IF(GS362="",NA(),SUM($GS$4:GS362))</f>
        <v>15.952899857268568</v>
      </c>
      <c r="GU362" s="54">
        <f t="shared" si="632"/>
        <v>1.3494577646994048</v>
      </c>
      <c r="GV362" s="54">
        <f>IF(GU362="",NA(),SUM($GU$4:GU362))</f>
        <v>-4.4199062290692162</v>
      </c>
      <c r="GW362" s="54" t="str">
        <f t="shared" si="633"/>
        <v/>
      </c>
      <c r="GX362" s="54" t="e">
        <f>IF(GW362="",NA(),SUM($GW$4:GW362))</f>
        <v>#N/A</v>
      </c>
      <c r="GY362" s="54" t="str">
        <f t="shared" si="634"/>
        <v/>
      </c>
      <c r="GZ362" s="54" t="e">
        <f>IF(GY362="",NA(),SUM($GY$4:GY362))</f>
        <v>#N/A</v>
      </c>
      <c r="HA362" s="54" t="str">
        <f t="shared" si="635"/>
        <v/>
      </c>
      <c r="HB362" s="54" t="e">
        <f>IF(HA362="",NA(),SUM($HA$4:HA362))</f>
        <v>#N/A</v>
      </c>
      <c r="HC362" s="54" t="str">
        <f t="shared" si="636"/>
        <v/>
      </c>
      <c r="HD362" s="54" t="e">
        <f>IF(HC362="",NA(),SUM($HC$4:HC362))</f>
        <v>#N/A</v>
      </c>
      <c r="HE362" s="54" t="str">
        <f t="shared" si="637"/>
        <v/>
      </c>
      <c r="HF362" s="54" t="e">
        <f>IF(HE362="",NA(),SUM($HE$4:HE362))</f>
        <v>#N/A</v>
      </c>
      <c r="HG362" s="54" t="str">
        <f t="shared" si="638"/>
        <v/>
      </c>
      <c r="HH362" s="54" t="e">
        <f>IF(HG362="",NA(),SUM($HG$4:HG362))</f>
        <v>#N/A</v>
      </c>
      <c r="HI362" s="172" t="str">
        <f t="shared" si="651"/>
        <v/>
      </c>
      <c r="HJ362" s="172">
        <f>IF($J362="",#N/A,SUM(HI$4:$HI362))</f>
        <v>-10.162234665497841</v>
      </c>
      <c r="HK362" s="54" t="str">
        <f t="shared" si="639"/>
        <v/>
      </c>
      <c r="HL362" s="54">
        <f>IF($J362="",#N/A,SUM($HK$4:HK362))</f>
        <v>2.7460981583887896</v>
      </c>
      <c r="HM362" s="54">
        <f t="shared" si="640"/>
        <v>3.2529113556631906E-3</v>
      </c>
      <c r="HN362" s="54">
        <f>IF($J362="",#N/A,SUM($HM$4:HM362))</f>
        <v>-0.16355665587253121</v>
      </c>
      <c r="HO362" s="54" t="str">
        <f t="shared" si="641"/>
        <v/>
      </c>
      <c r="HP362" s="54">
        <f>IF($J362="",#N/A,SUM($HO$4:HO362))</f>
        <v>-3.7289214255513348E-2</v>
      </c>
      <c r="HQ362" s="54" t="str">
        <f t="shared" si="642"/>
        <v/>
      </c>
      <c r="HR362" s="54">
        <f>IF($J362="",#N/A,SUM($HQ$4:HQ362))</f>
        <v>-11.745401831760597</v>
      </c>
      <c r="HS362" s="54" t="str">
        <f t="shared" si="643"/>
        <v/>
      </c>
      <c r="HT362" s="54">
        <f>IF($J362="",#N/A,SUM($HS$4:HS362))</f>
        <v>14.453251296710942</v>
      </c>
      <c r="HU362" s="65">
        <f t="shared" si="644"/>
        <v>1.352710676055068</v>
      </c>
      <c r="HV362" s="65">
        <f>IF($J362="",#N/A,SUM(HU$4:$HU362))</f>
        <v>12.541146388898959</v>
      </c>
    </row>
    <row r="363" spans="1:230" x14ac:dyDescent="0.25">
      <c r="A363" s="51" t="s">
        <v>1122</v>
      </c>
      <c r="B363" s="52" t="s">
        <v>5511</v>
      </c>
      <c r="C363" s="229">
        <f t="shared" si="545"/>
        <v>1</v>
      </c>
      <c r="D363" s="219" t="str">
        <f>_xlfn.XLOOKUP(A363,[1]SP500!$A$2:$A$502,[1]SP500!$D$2:$D$502,"N")</f>
        <v>Y</v>
      </c>
      <c r="E363" s="51" t="str">
        <f>IFERROR(_xlfn.XLOOKUP(A363,[1]SP500!$A$2:$A$655,[1]SP500!$B$2:$B$655),"")</f>
        <v>XLY</v>
      </c>
      <c r="F363" s="290">
        <v>45799</v>
      </c>
      <c r="G363" s="51" t="str">
        <f t="shared" si="546"/>
        <v>AMC</v>
      </c>
      <c r="H363" s="51" t="str">
        <f t="shared" si="547"/>
        <v>s</v>
      </c>
      <c r="I363" s="344">
        <v>152.25</v>
      </c>
      <c r="J363" s="124">
        <v>134.6</v>
      </c>
      <c r="K363" s="55">
        <f t="shared" si="548"/>
        <v>-0.11592775041050907</v>
      </c>
      <c r="L363" s="67">
        <f t="shared" si="549"/>
        <v>-158.85000000000014</v>
      </c>
      <c r="M363" s="57">
        <f t="shared" si="550"/>
        <v>-5.3099999999999454</v>
      </c>
      <c r="N363" s="102">
        <f t="shared" si="551"/>
        <v>-158.85000000000014</v>
      </c>
      <c r="O363" s="57">
        <f>IF(N363="",#N/A,SUM($N$4:N363))</f>
        <v>820.56437556162462</v>
      </c>
      <c r="P363" s="65">
        <f t="shared" si="645"/>
        <v>-1.9321291735084853</v>
      </c>
      <c r="Q363" s="172">
        <f>IF($N363="",#N/A,SUM($P$4:P363))</f>
        <v>16.034097594844209</v>
      </c>
      <c r="R363" s="279">
        <f t="shared" si="552"/>
        <v>7.6657473241752481</v>
      </c>
      <c r="S363" s="51" t="str">
        <f t="shared" si="553"/>
        <v>Up</v>
      </c>
      <c r="T363" s="51" t="s">
        <v>4461</v>
      </c>
      <c r="U363" s="56">
        <f t="shared" si="554"/>
        <v>152.25</v>
      </c>
      <c r="V363" s="56" t="s">
        <v>4460</v>
      </c>
      <c r="W363" s="142">
        <v>9</v>
      </c>
      <c r="X363" s="145">
        <f t="shared" si="555"/>
        <v>1370.25</v>
      </c>
      <c r="Y363" s="140">
        <f t="shared" si="556"/>
        <v>9</v>
      </c>
      <c r="Z363" s="141">
        <v>134.01</v>
      </c>
      <c r="AA363" s="102">
        <f t="shared" si="557"/>
        <v>-164.16000000000008</v>
      </c>
      <c r="AB363" s="102">
        <f t="shared" si="558"/>
        <v>-134.91000000000008</v>
      </c>
      <c r="AC363" s="124">
        <v>137.26</v>
      </c>
      <c r="AD363" s="155">
        <f t="shared" si="559"/>
        <v>-134.91000000000008</v>
      </c>
      <c r="AE363" s="545">
        <f t="shared" si="560"/>
        <v>-1.6409414340448834</v>
      </c>
      <c r="AF363" s="57">
        <f>IF($AC363="",#N/A,SUM(AD$4:AD363))</f>
        <v>637.79239714744904</v>
      </c>
      <c r="AG363" s="102">
        <f t="shared" si="561"/>
        <v>23.940000000000055</v>
      </c>
      <c r="AH363" s="56" t="s">
        <v>2507</v>
      </c>
      <c r="AI363" s="65">
        <f t="shared" si="562"/>
        <v>-1.9967159277504114</v>
      </c>
      <c r="AJ363" s="108">
        <f>IF(AI363="",#N/A,SUM($AI$4:AI363))</f>
        <v>8.3683502706689605</v>
      </c>
      <c r="AK363" s="57">
        <f t="shared" si="563"/>
        <v>-164.16000000000008</v>
      </c>
      <c r="AL363" s="66">
        <f>IF(AI363="",#N/A,IF(AH363="Skip",SUM($AK$4:AK363),SUM($AK$4:AK363)))</f>
        <v>300.57736927848237</v>
      </c>
      <c r="AM363" s="65">
        <f t="shared" si="646"/>
        <v>-1.6409414340448834</v>
      </c>
      <c r="AN363" s="209"/>
      <c r="AO363" s="65" t="str">
        <f t="shared" si="564"/>
        <v/>
      </c>
      <c r="AP363" s="65">
        <f>IF($AC363="",#N/A,SUM(AO$4:AO363))</f>
        <v>7.4258195263895228</v>
      </c>
      <c r="AQ363" s="65">
        <f t="shared" si="565"/>
        <v>-1.6409414340448834</v>
      </c>
      <c r="AR363" s="65">
        <f>IF($AC363="",#N/A,SUM(AQ$4:AQ363))</f>
        <v>-5.2141323050827273</v>
      </c>
      <c r="AS363" s="65" t="str">
        <f t="shared" si="566"/>
        <v/>
      </c>
      <c r="AT363" s="65">
        <f>IF($AC363="",#N/A,SUM(AS$4:AS363))</f>
        <v>8.6885177335472719</v>
      </c>
      <c r="AU363" s="57" t="str">
        <f t="shared" si="647"/>
        <v/>
      </c>
      <c r="AV363" s="57">
        <f>IF($AC363="",#N/A,SUM(AU$4:AU363))</f>
        <v>323.16627194987996</v>
      </c>
      <c r="AW363" s="57">
        <f t="shared" si="648"/>
        <v>-134.91000000000008</v>
      </c>
      <c r="AX363" s="57">
        <f>IF($AC363="",#N/A,SUM(AW$4:AW363))</f>
        <v>-360.89106797961085</v>
      </c>
      <c r="AY363" s="57" t="str">
        <f t="shared" si="649"/>
        <v/>
      </c>
      <c r="AZ363" s="57">
        <f>IF($AC363="",#N/A,SUM(AY$4:AY363))</f>
        <v>675.51719317717982</v>
      </c>
      <c r="BA363" s="57">
        <f>IF(AD363="",#N/A,SUM($AD$4:AD363))</f>
        <v>637.79239714744904</v>
      </c>
      <c r="BC363" s="51" t="str">
        <f t="shared" si="567"/>
        <v/>
      </c>
      <c r="BD363" s="51" t="str">
        <f t="shared" si="568"/>
        <v/>
      </c>
      <c r="BE363" s="51" t="str">
        <f t="shared" si="569"/>
        <v/>
      </c>
      <c r="BF363" s="51" t="str">
        <f t="shared" si="570"/>
        <v>Long</v>
      </c>
      <c r="BG363" s="51" t="str">
        <f t="shared" si="571"/>
        <v/>
      </c>
      <c r="BH363" s="51">
        <f t="shared" si="572"/>
        <v>1</v>
      </c>
      <c r="BI363" s="51" t="str">
        <f t="shared" si="573"/>
        <v/>
      </c>
      <c r="BK363" s="65">
        <f t="shared" si="544"/>
        <v>2.362980704840453E-2</v>
      </c>
      <c r="BL363" s="65">
        <f t="shared" si="652"/>
        <v>-7.6716208574030276E-2</v>
      </c>
      <c r="BM363" s="65">
        <f>IFERROR(Q363/COUNTA($J$4:J363),#N/A)</f>
        <v>4.453915998567836E-2</v>
      </c>
      <c r="BO363" s="489" t="e">
        <f>IF(J363="",#N/A,IF(S363="SW",(COUNTIFS(K$4:$K363,"&gt;0",S$4:$S363,"SW")/COUNTIF(S$4:$S363,"SW")),#N/A))</f>
        <v>#N/A</v>
      </c>
      <c r="BP363" s="489" t="e">
        <f>IF($J363="",#N/A,IF($S363="DWN",(COUNTIFS($K$4:$K363,"&lt;0",$S$4:$S363,"DWN")/COUNTIF($S$4:$S363,"DWN")),#N/A))</f>
        <v>#N/A</v>
      </c>
      <c r="BQ363" s="489">
        <f>IF($J363="",#N/A,IF($S363="UP",(COUNTIFS($K$4:$K363,"&gt;0",$S$4:$S363,"UP")/COUNTIF($S$4:$S363,"UP")),#N/A))</f>
        <v>0.45714285714285713</v>
      </c>
      <c r="BR363" s="489">
        <f>IF(J363="",#N/A,COUNTIF($K$4:K363,"&gt;0")/COUNT($J$4:J363))</f>
        <v>0.46944444444444444</v>
      </c>
      <c r="BS363" s="65" t="str">
        <f t="shared" si="574"/>
        <v/>
      </c>
      <c r="BT363" s="65">
        <f t="shared" si="575"/>
        <v>-1.9321291735084853</v>
      </c>
      <c r="BU363" s="65" t="str">
        <f t="shared" si="576"/>
        <v/>
      </c>
      <c r="BV363" s="65" t="str">
        <f t="shared" si="577"/>
        <v/>
      </c>
      <c r="BW363" s="128">
        <f t="shared" si="578"/>
        <v>-158.85000000000014</v>
      </c>
      <c r="BX363" s="128">
        <f>IF($J363="",#N/A,SUM($BW$4:BW363))</f>
        <v>-371.68817034792892</v>
      </c>
      <c r="BY363" s="131" t="str">
        <f t="shared" si="579"/>
        <v/>
      </c>
      <c r="BZ363" s="131">
        <f>IF($J363="",#N/A,SUM($BY$4:BY363))</f>
        <v>1036.3516134613947</v>
      </c>
      <c r="CA363" s="133" t="str">
        <f t="shared" si="580"/>
        <v/>
      </c>
      <c r="CB363" s="133">
        <f>IF($J363="",#N/A,SUM($CA$4:CA363))</f>
        <v>155.90093244815864</v>
      </c>
      <c r="CC363" s="194">
        <f t="shared" si="581"/>
        <v>-1.9321291735084853</v>
      </c>
      <c r="CD363" s="194">
        <f>IF($J363="",#N/A,SUM($CC$4:CC363))</f>
        <v>-5.3044741744182824</v>
      </c>
      <c r="CE363" s="195" t="str">
        <f t="shared" si="582"/>
        <v/>
      </c>
      <c r="CF363" s="195">
        <f>IF($J363="",#N/A,SUM($CE$4:CE363))</f>
        <v>16.104654240656334</v>
      </c>
      <c r="CG363" s="196" t="str">
        <f t="shared" si="583"/>
        <v/>
      </c>
      <c r="CH363" s="196">
        <f>IF($J363="",#N/A,SUM($CG$4:CG363))</f>
        <v>5.233917528606165</v>
      </c>
      <c r="CI363" s="200" t="str">
        <f t="shared" si="584"/>
        <v/>
      </c>
      <c r="CJ363" s="203">
        <f>IF($J363="",#N/A,SUM(CI$4:CI363))</f>
        <v>0</v>
      </c>
      <c r="CK363" s="204" t="str">
        <f t="shared" si="585"/>
        <v/>
      </c>
      <c r="CL363" s="204">
        <f>IF($J363="",#N/A,SUM(CK$4:CK363))</f>
        <v>1.2912501745213723</v>
      </c>
      <c r="CM363" s="205" t="str">
        <f t="shared" si="586"/>
        <v/>
      </c>
      <c r="CN363" s="205">
        <f>IF($J363="",#N/A,SUM(CM$4:CM363))</f>
        <v>1.357235719871134</v>
      </c>
      <c r="CO363" s="205">
        <f>IF($J363="",#N/A,SUM(CM$4:CM363,CK$4:CK363,CI$4:CI363))</f>
        <v>2.6484858943925063</v>
      </c>
      <c r="CP363" s="200" t="str">
        <f t="shared" si="587"/>
        <v/>
      </c>
      <c r="CQ363" s="203">
        <f>IF($J363="",#N/A,SUM(CP$4:CP363))</f>
        <v>-1.71930060052745</v>
      </c>
      <c r="CR363" s="204" t="str">
        <f t="shared" si="588"/>
        <v/>
      </c>
      <c r="CS363" s="204">
        <f>IF($J363="",#N/A,SUM(CR$4:CR363))</f>
        <v>2.3600225017004668</v>
      </c>
      <c r="CT363" s="205" t="str">
        <f t="shared" si="589"/>
        <v/>
      </c>
      <c r="CU363" s="205">
        <f>IF($J363="",#N/A,SUM(CT$4:CT363))</f>
        <v>-3.1872377407569323</v>
      </c>
      <c r="CV363" s="205">
        <f>IF($J363="",#N/A,SUM(CT$4:CT363,CR$4:CR363,CP$4:CP363))</f>
        <v>-2.546515839583916</v>
      </c>
      <c r="CW363" s="200">
        <f t="shared" si="590"/>
        <v>-1.9321291735084853</v>
      </c>
      <c r="CX363" s="203">
        <f>IF($J363="",#N/A,SUM(CW$4:CW363))</f>
        <v>-3.3082659491100586</v>
      </c>
      <c r="CY363" s="204" t="str">
        <f t="shared" si="591"/>
        <v/>
      </c>
      <c r="CZ363" s="204">
        <f>IF($J363="",#N/A,SUM(CY$4:CY363))</f>
        <v>3.4158439394052458</v>
      </c>
      <c r="DA363" s="205" t="str">
        <f t="shared" si="592"/>
        <v/>
      </c>
      <c r="DB363" s="205">
        <f>IF($J363="",#N/A,SUM(DA$4:DA363))</f>
        <v>-3.6020278946927151</v>
      </c>
      <c r="DC363" s="205">
        <f>IF($J363="",#N/A,SUM(DA$4:DA363,CY$4:CY363,CW$4:CW363))</f>
        <v>-3.4944499043975288</v>
      </c>
      <c r="DD363" s="200" t="str">
        <f t="shared" si="593"/>
        <v/>
      </c>
      <c r="DE363" s="203">
        <f>IF($J363="",#N/A,SUM(DD$4:DD363))</f>
        <v>1.6161029218801881</v>
      </c>
      <c r="DF363" s="204" t="str">
        <f t="shared" si="594"/>
        <v/>
      </c>
      <c r="DG363" s="204">
        <f>IF($J363="",#N/A,SUM(DF$4:DF363))</f>
        <v>4.1810385231482243</v>
      </c>
      <c r="DH363" s="205" t="str">
        <f t="shared" si="595"/>
        <v/>
      </c>
      <c r="DI363" s="205">
        <f>IF($J363="",#N/A,SUM(DH$4:DH363))</f>
        <v>-3.216671910770577</v>
      </c>
      <c r="DJ363" s="205">
        <f>IF($J363="",#N/A,SUM(DH$4:DH363,DF$4:DF363,DD$4:DD363))</f>
        <v>2.5804695342578352</v>
      </c>
      <c r="DK363" s="200" t="str">
        <f t="shared" si="596"/>
        <v/>
      </c>
      <c r="DL363" s="203">
        <f>IF($J363="",#N/A,SUM(DK$4:DK363))</f>
        <v>-0.84049791589649614</v>
      </c>
      <c r="DM363" s="204" t="str">
        <f t="shared" si="597"/>
        <v/>
      </c>
      <c r="DN363" s="204">
        <f>IF($J363="",#N/A,SUM(DM$4:DM363))</f>
        <v>1.8657648196498773</v>
      </c>
      <c r="DO363" s="205" t="str">
        <f t="shared" si="598"/>
        <v/>
      </c>
      <c r="DP363" s="205">
        <f>IF($J363="",#N/A,SUM(DO$4:DO363))</f>
        <v>3.4887162328793941</v>
      </c>
      <c r="DQ363" s="205">
        <f>IF($J363="",#N/A,SUM(DO$4:DO363,DM$4:DM363,DK$4:DK363))</f>
        <v>4.5139831366327758</v>
      </c>
      <c r="DR363" s="200" t="str">
        <f t="shared" si="599"/>
        <v/>
      </c>
      <c r="DS363" s="203">
        <f>IF($J363="",#N/A,SUM(DR$4:DR363))</f>
        <v>-0.55950946427675097</v>
      </c>
      <c r="DT363" s="204" t="str">
        <f t="shared" si="600"/>
        <v/>
      </c>
      <c r="DU363" s="204">
        <f>IF($J363="",#N/A,SUM(DT$4:DT363))</f>
        <v>-0.20750635820596686</v>
      </c>
      <c r="DV363" s="205" t="str">
        <f t="shared" si="601"/>
        <v/>
      </c>
      <c r="DW363" s="205">
        <f>IF($J363="",#N/A,SUM(DV$4:DV363))</f>
        <v>-2.3377035686214001</v>
      </c>
      <c r="DX363" s="205">
        <f>IF($J363="",#N/A,SUM(DV$4:DV363,DT$4:DT363,DR$4:DR363))</f>
        <v>-3.1047193911041169</v>
      </c>
      <c r="DY363" s="200" t="str">
        <f t="shared" si="602"/>
        <v/>
      </c>
      <c r="DZ363" s="203">
        <f>IF($J363="",#N/A,SUM(DY$4:DY363))</f>
        <v>-1.4146842415208627</v>
      </c>
      <c r="EA363" s="204" t="str">
        <f t="shared" si="603"/>
        <v/>
      </c>
      <c r="EB363" s="204">
        <f>IF($J363="",#N/A,SUM(EA$4:EA363))</f>
        <v>4.3184391548878134</v>
      </c>
      <c r="EC363" s="205" t="str">
        <f t="shared" si="604"/>
        <v/>
      </c>
      <c r="ED363" s="205">
        <f>IF($J363="",#N/A,SUM(EC$4:EC363))</f>
        <v>8.4384553208490907</v>
      </c>
      <c r="EE363" s="205">
        <f>IF($J363="",#N/A,SUM(EC$4:EC363,EA$4:EA363,DY$4:DY363))</f>
        <v>11.342210234216044</v>
      </c>
      <c r="EF363" s="200" t="str">
        <f t="shared" si="605"/>
        <v/>
      </c>
      <c r="EG363" s="203">
        <f>IF($J363="",#N/A,SUM(EF$4:EF363))</f>
        <v>0.65848341369884777</v>
      </c>
      <c r="EH363" s="204" t="str">
        <f t="shared" si="606"/>
        <v/>
      </c>
      <c r="EI363" s="204">
        <f>IF($J363="",#N/A,SUM(EH$4:EH363))</f>
        <v>-3.5125331561187787</v>
      </c>
      <c r="EJ363" s="205" t="str">
        <f t="shared" si="607"/>
        <v/>
      </c>
      <c r="EK363" s="205">
        <f>IF($J363="",#N/A,SUM(EJ$4:EJ363))</f>
        <v>8.4840381642896556</v>
      </c>
      <c r="EL363" s="205">
        <f>IF($J363="",#N/A,SUM(EJ$4:EJ363,EH$4:EH363,EF$4:EF363))</f>
        <v>5.6299884218697258</v>
      </c>
      <c r="EM363" s="200" t="str">
        <f t="shared" si="608"/>
        <v/>
      </c>
      <c r="EN363" s="203">
        <f>IF($J363="",#N/A,SUM(EM$4:EM363))</f>
        <v>0</v>
      </c>
      <c r="EO363" s="204" t="str">
        <f t="shared" si="609"/>
        <v/>
      </c>
      <c r="EP363" s="204">
        <f>IF($J363="",#N/A,SUM(EO$4:EO363))</f>
        <v>2.4788862078089964</v>
      </c>
      <c r="EQ363" s="205" t="str">
        <f t="shared" si="610"/>
        <v/>
      </c>
      <c r="ER363" s="205">
        <f>IF($J363="",#N/A,SUM(EQ$4:EQ363))</f>
        <v>1.7856049065476487</v>
      </c>
      <c r="ES363" s="205">
        <f>IF($J363="",#N/A,SUM(EQ$4:EQ363,EO$4:EO363,EM$4:EM363))</f>
        <v>4.2644911143566446</v>
      </c>
      <c r="ET363" s="200" t="str">
        <f t="shared" si="611"/>
        <v/>
      </c>
      <c r="EU363" s="203">
        <f>IF($J363="",#N/A,SUM(ET$4:ET363))</f>
        <v>0</v>
      </c>
      <c r="EV363" s="204" t="str">
        <f t="shared" si="612"/>
        <v/>
      </c>
      <c r="EW363" s="204">
        <f>IF($J363="",#N/A,SUM(EV$4:EV363))</f>
        <v>7.9116394275462909E-2</v>
      </c>
      <c r="EX363" s="205" t="str">
        <f t="shared" si="613"/>
        <v/>
      </c>
      <c r="EY363" s="205">
        <f>IF($J363="",#N/A,SUM(EX$4:EX363))</f>
        <v>-0.38863392418374743</v>
      </c>
      <c r="EZ363" s="205">
        <f>IF($J363="",#N/A,SUM(EX$4:EX363,EV$4:EV363,ET$4:ET363))</f>
        <v>-0.30951752990828441</v>
      </c>
      <c r="FA363" s="200" t="str">
        <f t="shared" si="614"/>
        <v/>
      </c>
      <c r="FB363" s="203">
        <f>IF($J363="",#N/A,SUM(FA$4:FA363))</f>
        <v>-0.27145310509113252</v>
      </c>
      <c r="FC363" s="204" t="str">
        <f t="shared" si="615"/>
        <v/>
      </c>
      <c r="FD363" s="204">
        <f>IF($J363="",#N/A,SUM(FC$4:FC363))</f>
        <v>0.89084290967454072</v>
      </c>
      <c r="FE363" s="205" t="str">
        <f t="shared" si="616"/>
        <v/>
      </c>
      <c r="FF363" s="205">
        <f>IF($J363="",#N/A,SUM(FE$4:FE363))</f>
        <v>-0.28811149078748233</v>
      </c>
      <c r="FG363" s="205">
        <f>IF($J363="",#N/A,SUM(FE$4:FE363,FC$4:FC363,FA$4:FA363))</f>
        <v>0.3312783137959262</v>
      </c>
      <c r="FH363" s="200" t="str">
        <f t="shared" si="617"/>
        <v/>
      </c>
      <c r="FI363" s="203">
        <f>IF($J363="",#N/A,SUM(FH$4:FH363))</f>
        <v>0</v>
      </c>
      <c r="FJ363" s="204" t="str">
        <f t="shared" si="618"/>
        <v/>
      </c>
      <c r="FK363" s="204">
        <f>IF($J363="",#N/A,SUM(FJ$4:FJ363))</f>
        <v>0</v>
      </c>
      <c r="FL363" s="205" t="str">
        <f t="shared" si="619"/>
        <v/>
      </c>
      <c r="FM363" s="205">
        <f>IF($J363="",#N/A,SUM(FL$4:FL363))</f>
        <v>0</v>
      </c>
      <c r="FN363" s="205">
        <f>IF($J363="",#N/A,SUM(FL$4:FL363,FJ$4:FJ363,FH$4:FH363))</f>
        <v>0</v>
      </c>
      <c r="FO363" s="200" t="str">
        <f t="shared" si="620"/>
        <v/>
      </c>
      <c r="FP363" s="203">
        <f>IF($J363="",#N/A,SUM(FO$4:FO363))</f>
        <v>0</v>
      </c>
      <c r="FQ363" s="204" t="str">
        <f t="shared" si="621"/>
        <v/>
      </c>
      <c r="FR363" s="204">
        <f>IF($J363="",#N/A,SUM(FQ$4:FQ363))</f>
        <v>0</v>
      </c>
      <c r="FS363" s="205" t="str">
        <f t="shared" si="622"/>
        <v/>
      </c>
      <c r="FT363" s="205">
        <f>IF($J363="",#N/A,SUM(FS$4:FS363))</f>
        <v>0</v>
      </c>
      <c r="FU363" s="205">
        <f>IF($J363="",#N/A,SUM(FS$4:FS363,FQ$4:FQ363,FO$4:FO363))</f>
        <v>0</v>
      </c>
      <c r="FV363" s="200" t="str">
        <f t="shared" si="623"/>
        <v/>
      </c>
      <c r="FW363" s="203">
        <f>IF($J363="",#N/A,SUM(FV$4:FV363))</f>
        <v>6.6834991831277585E-2</v>
      </c>
      <c r="FX363" s="204" t="str">
        <f t="shared" si="624"/>
        <v/>
      </c>
      <c r="FY363" s="204">
        <f>IF($J363="",#N/A,SUM(FX$4:FX363))</f>
        <v>-0.16102012791805576</v>
      </c>
      <c r="FZ363" s="205" t="str">
        <f t="shared" si="625"/>
        <v/>
      </c>
      <c r="GA363" s="205">
        <f>IF($J363="",#N/A,SUM(FZ$4:FZ363))</f>
        <v>-0.69624339162892301</v>
      </c>
      <c r="GB363" s="205">
        <f>IF($J363="",#N/A,SUM(FZ$4:FZ363,FX$4:FX363,FV$4:FV363))</f>
        <v>-0.79042852771570116</v>
      </c>
      <c r="GC363" s="200" t="str">
        <f t="shared" si="626"/>
        <v/>
      </c>
      <c r="GD363" s="203">
        <f>IF($J363="",#N/A,SUM(GC$4:GC363))</f>
        <v>0</v>
      </c>
      <c r="GE363" s="204" t="str">
        <f t="shared" si="627"/>
        <v/>
      </c>
      <c r="GF363" s="204">
        <f>IF($J363="",#N/A,SUM(GE$4:GE363))</f>
        <v>0</v>
      </c>
      <c r="GG363" s="205" t="str">
        <f t="shared" si="628"/>
        <v/>
      </c>
      <c r="GH363" s="205">
        <f>IF($J363="",#N/A,SUM(GG$4:GG363))</f>
        <v>-2.9368362277223206</v>
      </c>
      <c r="GI363" s="205">
        <f>IF($J363="",#N/A,SUM(GG$4:GG363,GE$4:GE363,GC$4:GC363))</f>
        <v>-2.9368362277223206</v>
      </c>
      <c r="GJ363" s="200" t="str">
        <f t="shared" si="629"/>
        <v/>
      </c>
      <c r="GK363" s="203">
        <f>IF($J363="",#N/A,SUM(GJ$4:GJ363))</f>
        <v>0</v>
      </c>
      <c r="GL363" s="204" t="str">
        <f t="shared" si="630"/>
        <v/>
      </c>
      <c r="GM363" s="204">
        <f>IF($J363="",#N/A,SUM(GL$4:GL363))</f>
        <v>-2.0621307233432784</v>
      </c>
      <c r="GN363" s="205" t="str">
        <f t="shared" si="631"/>
        <v/>
      </c>
      <c r="GO363" s="205">
        <f>IF($J363="",#N/A,SUM(GN$4:GN363))</f>
        <v>0</v>
      </c>
      <c r="GP363" s="205">
        <f>IF($J363="",#N/A,SUM(GN$4:GN363,GL$4:GL363,GJ$4:GJ363))</f>
        <v>-2.0621307233432784</v>
      </c>
      <c r="GS363" s="54">
        <f t="shared" si="650"/>
        <v>-1.9321291735084853</v>
      </c>
      <c r="GT363" s="54">
        <f>IF(GS363="",NA(),SUM($GS$4:GS363))</f>
        <v>14.020770683760082</v>
      </c>
      <c r="GU363" s="54">
        <f t="shared" si="632"/>
        <v>-1.9321291735084853</v>
      </c>
      <c r="GV363" s="54">
        <f>IF(GU363="",NA(),SUM($GU$4:GU363))</f>
        <v>-6.3520354025777017</v>
      </c>
      <c r="GW363" s="54" t="str">
        <f t="shared" si="633"/>
        <v/>
      </c>
      <c r="GX363" s="54" t="e">
        <f>IF(GW363="",NA(),SUM($GW$4:GW363))</f>
        <v>#N/A</v>
      </c>
      <c r="GY363" s="54" t="str">
        <f t="shared" si="634"/>
        <v/>
      </c>
      <c r="GZ363" s="54" t="e">
        <f>IF(GY363="",NA(),SUM($GY$4:GY363))</f>
        <v>#N/A</v>
      </c>
      <c r="HA363" s="54" t="str">
        <f t="shared" si="635"/>
        <v/>
      </c>
      <c r="HB363" s="54" t="e">
        <f>IF(HA363="",NA(),SUM($HA$4:HA363))</f>
        <v>#N/A</v>
      </c>
      <c r="HC363" s="54" t="str">
        <f t="shared" si="636"/>
        <v/>
      </c>
      <c r="HD363" s="54" t="e">
        <f>IF(HC363="",NA(),SUM($HC$4:HC363))</f>
        <v>#N/A</v>
      </c>
      <c r="HE363" s="54" t="str">
        <f t="shared" si="637"/>
        <v/>
      </c>
      <c r="HF363" s="54" t="e">
        <f>IF(HE363="",NA(),SUM($HE$4:HE363))</f>
        <v>#N/A</v>
      </c>
      <c r="HG363" s="54" t="str">
        <f t="shared" si="638"/>
        <v/>
      </c>
      <c r="HH363" s="54" t="e">
        <f>IF(HG363="",NA(),SUM($HG$4:HG363))</f>
        <v>#N/A</v>
      </c>
      <c r="HI363" s="172" t="str">
        <f t="shared" si="651"/>
        <v/>
      </c>
      <c r="HJ363" s="172">
        <f>IF($J363="",#N/A,SUM(HI$4:$HI363))</f>
        <v>-10.162234665497841</v>
      </c>
      <c r="HK363" s="54" t="str">
        <f t="shared" si="639"/>
        <v/>
      </c>
      <c r="HL363" s="54">
        <f>IF($J363="",#N/A,SUM($HK$4:HK363))</f>
        <v>2.7460981583887896</v>
      </c>
      <c r="HM363" s="54" t="str">
        <f t="shared" si="640"/>
        <v/>
      </c>
      <c r="HN363" s="54">
        <f>IF($J363="",#N/A,SUM($HM$4:HM363))</f>
        <v>-0.16355665587253121</v>
      </c>
      <c r="HO363" s="54">
        <f t="shared" si="641"/>
        <v>0.29118773946360199</v>
      </c>
      <c r="HP363" s="54">
        <f>IF($J363="",#N/A,SUM($HO$4:HO363))</f>
        <v>0.25389852520808864</v>
      </c>
      <c r="HQ363" s="54" t="str">
        <f t="shared" si="642"/>
        <v/>
      </c>
      <c r="HR363" s="54">
        <f>IF($J363="",#N/A,SUM($HQ$4:HQ363))</f>
        <v>-11.745401831760597</v>
      </c>
      <c r="HS363" s="54" t="str">
        <f t="shared" si="643"/>
        <v/>
      </c>
      <c r="HT363" s="54">
        <f>IF($J363="",#N/A,SUM($HS$4:HS363))</f>
        <v>14.453251296710942</v>
      </c>
      <c r="HU363" s="65">
        <f t="shared" si="644"/>
        <v>-1.6409414340448834</v>
      </c>
      <c r="HV363" s="65">
        <f>IF($J363="",#N/A,SUM(HU$4:$HU363))</f>
        <v>10.900204954854075</v>
      </c>
    </row>
    <row r="364" spans="1:230" x14ac:dyDescent="0.25">
      <c r="A364" s="427" t="s">
        <v>1153</v>
      </c>
      <c r="B364" s="52" t="s">
        <v>5511</v>
      </c>
      <c r="C364" s="229">
        <f t="shared" si="545"/>
        <v>3</v>
      </c>
      <c r="D364" s="219" t="str">
        <f>_xlfn.XLOOKUP(A364,[1]SP500!$A$2:$A$502,[1]SP500!$D$2:$D$502,"N")</f>
        <v>Y</v>
      </c>
      <c r="E364" s="51" t="str">
        <f>IFERROR(_xlfn.XLOOKUP(A364,[1]SP500!$A$2:$A$655,[1]SP500!$B$2:$B$655),"")</f>
        <v>IGV</v>
      </c>
      <c r="F364" s="53">
        <v>45799</v>
      </c>
      <c r="G364" s="51" t="str">
        <f t="shared" si="546"/>
        <v>AMC</v>
      </c>
      <c r="H364" s="51" t="str">
        <f t="shared" si="547"/>
        <v>s</v>
      </c>
      <c r="I364" s="344">
        <v>272.07</v>
      </c>
      <c r="J364" s="124">
        <v>241.595</v>
      </c>
      <c r="K364" s="55">
        <f t="shared" si="548"/>
        <v>-0.11201161465799241</v>
      </c>
      <c r="L364" s="67">
        <f t="shared" si="549"/>
        <v>-152.375</v>
      </c>
      <c r="M364" s="57">
        <f t="shared" si="550"/>
        <v>0</v>
      </c>
      <c r="N364" s="102">
        <f t="shared" si="551"/>
        <v>-152.375</v>
      </c>
      <c r="O364" s="57">
        <f>IF(N364="",#N/A,SUM($N$4:N364))</f>
        <v>668.18937556162462</v>
      </c>
      <c r="P364" s="65">
        <f t="shared" si="645"/>
        <v>-1.8668602442998738</v>
      </c>
      <c r="Q364" s="172">
        <f>IF($N364="",#N/A,SUM($P$4:P364))</f>
        <v>14.167237350544335</v>
      </c>
      <c r="R364" s="359">
        <f t="shared" si="552"/>
        <v>7.6657473241752481</v>
      </c>
      <c r="S364" s="51" t="str">
        <f t="shared" si="553"/>
        <v>SW</v>
      </c>
      <c r="T364" s="51" t="s">
        <v>2828</v>
      </c>
      <c r="U364" s="56">
        <f t="shared" si="554"/>
        <v>272.07</v>
      </c>
      <c r="V364" s="56" t="s">
        <v>4460</v>
      </c>
      <c r="W364" s="140">
        <v>5</v>
      </c>
      <c r="X364" s="145">
        <f t="shared" si="555"/>
        <v>1360.35</v>
      </c>
      <c r="Y364" s="140">
        <f t="shared" si="556"/>
        <v>5</v>
      </c>
      <c r="Z364" s="141">
        <v>241.595</v>
      </c>
      <c r="AA364" s="102">
        <f t="shared" si="557"/>
        <v>-152.375</v>
      </c>
      <c r="AB364" s="102">
        <f t="shared" si="558"/>
        <v>-170.29999999999995</v>
      </c>
      <c r="AC364" s="124">
        <v>238.01</v>
      </c>
      <c r="AD364" s="155">
        <f t="shared" si="559"/>
        <v>-170.29999999999995</v>
      </c>
      <c r="AE364" s="545">
        <f t="shared" si="560"/>
        <v>-2.0864728439984805</v>
      </c>
      <c r="AF364" s="57">
        <f>IF($AC364="",#N/A,SUM(AD$4:AD364))</f>
        <v>467.49239714744908</v>
      </c>
      <c r="AG364" s="102">
        <f t="shared" si="561"/>
        <v>-17.924999999999955</v>
      </c>
      <c r="AH364" s="56" t="s">
        <v>2507</v>
      </c>
      <c r="AI364" s="65">
        <f t="shared" si="562"/>
        <v>-1.8668602442998738</v>
      </c>
      <c r="AJ364" s="108">
        <f>IF(AI364="",#N/A,SUM($AI$4:AI364))</f>
        <v>6.5014900263690869</v>
      </c>
      <c r="AK364" s="57">
        <f t="shared" si="563"/>
        <v>-152.375</v>
      </c>
      <c r="AL364" s="66">
        <f>IF(AI364="",#N/A,IF(AH364="Skip",SUM($AK$4:AK364),SUM($AK$4:AK364)))</f>
        <v>148.20236927848237</v>
      </c>
      <c r="AM364" s="65">
        <f t="shared" si="646"/>
        <v>-2.0864728439984805</v>
      </c>
      <c r="AN364" s="209"/>
      <c r="AO364" s="65">
        <f t="shared" si="564"/>
        <v>-2.0864728439984805</v>
      </c>
      <c r="AP364" s="65">
        <f>IF($AC364="",#N/A,SUM(AO$4:AO364))</f>
        <v>5.3393466823910423</v>
      </c>
      <c r="AQ364" s="65" t="str">
        <f t="shared" si="565"/>
        <v/>
      </c>
      <c r="AR364" s="65">
        <f>IF($AC364="",#N/A,SUM(AQ$4:AQ364))</f>
        <v>-5.2141323050827273</v>
      </c>
      <c r="AS364" s="65" t="str">
        <f t="shared" si="566"/>
        <v/>
      </c>
      <c r="AT364" s="65">
        <f>IF($AC364="",#N/A,SUM(AS$4:AS364))</f>
        <v>8.6885177335472719</v>
      </c>
      <c r="AU364" s="57">
        <f t="shared" si="647"/>
        <v>-170.29999999999995</v>
      </c>
      <c r="AV364" s="57">
        <f>IF($AC364="",#N/A,SUM(AU$4:AU364))</f>
        <v>152.86627194988</v>
      </c>
      <c r="AW364" s="57" t="str">
        <f t="shared" si="648"/>
        <v/>
      </c>
      <c r="AX364" s="57">
        <f>IF($AC364="",#N/A,SUM(AW$4:AW364))</f>
        <v>-360.89106797961085</v>
      </c>
      <c r="AY364" s="57" t="str">
        <f t="shared" si="649"/>
        <v/>
      </c>
      <c r="AZ364" s="57">
        <f>IF($AC364="",#N/A,SUM(AY$4:AY364))</f>
        <v>675.51719317717982</v>
      </c>
      <c r="BA364" s="57">
        <f>IF(AD364="",#N/A,SUM($AD$4:AD364))</f>
        <v>467.49239714744908</v>
      </c>
      <c r="BC364" s="51" t="str">
        <f t="shared" si="567"/>
        <v/>
      </c>
      <c r="BD364" s="51" t="str">
        <f t="shared" si="568"/>
        <v/>
      </c>
      <c r="BE364" s="51" t="str">
        <f t="shared" si="569"/>
        <v/>
      </c>
      <c r="BF364" s="51" t="str">
        <f t="shared" si="570"/>
        <v>Long</v>
      </c>
      <c r="BG364" s="51" t="str">
        <f t="shared" si="571"/>
        <v/>
      </c>
      <c r="BH364" s="51" t="str">
        <f t="shared" si="572"/>
        <v/>
      </c>
      <c r="BI364" s="51">
        <f t="shared" si="573"/>
        <v>1</v>
      </c>
      <c r="BK364" s="65">
        <f t="shared" si="544"/>
        <v>-4.0038619981622968E-2</v>
      </c>
      <c r="BL364" s="65">
        <f t="shared" si="652"/>
        <v>-0.13397177432385568</v>
      </c>
      <c r="BM364" s="65">
        <f>IFERROR(Q364/COUNTA($J$4:J364),#N/A)</f>
        <v>3.924442479375162E-2</v>
      </c>
      <c r="BO364" s="489">
        <f>IF(J364="",#N/A,IF(S364="SW",(COUNTIFS(K$4:$K364,"&gt;0",S$4:$S364,"SW")/COUNTIF(S$4:$S364,"SW")),#N/A))</f>
        <v>0.5</v>
      </c>
      <c r="BP364" s="489" t="e">
        <f>IF($J364="",#N/A,IF($S364="DWN",(COUNTIFS($K$4:$K364,"&lt;0",$S$4:$S364,"DWN")/COUNTIF($S$4:$S364,"DWN")),#N/A))</f>
        <v>#N/A</v>
      </c>
      <c r="BQ364" s="489" t="e">
        <f>IF($J364="",#N/A,IF($S364="UP",(COUNTIFS($K$4:$K364,"&gt;0",$S$4:$S364,"UP")/COUNTIF($S$4:$S364,"UP")),#N/A))</f>
        <v>#N/A</v>
      </c>
      <c r="BR364" s="489">
        <f>IF(J364="",#N/A,COUNTIF($K$4:K364,"&gt;0")/COUNT($J$4:J364))</f>
        <v>0.46814404432132967</v>
      </c>
      <c r="BS364" s="65" t="str">
        <f t="shared" si="574"/>
        <v/>
      </c>
      <c r="BT364" s="65">
        <f t="shared" si="575"/>
        <v>-1.8668602442998738</v>
      </c>
      <c r="BU364" s="65" t="str">
        <f t="shared" si="576"/>
        <v/>
      </c>
      <c r="BV364" s="65" t="str">
        <f t="shared" si="577"/>
        <v/>
      </c>
      <c r="BW364" s="128" t="str">
        <f t="shared" si="578"/>
        <v/>
      </c>
      <c r="BX364" s="128">
        <f>IF($J364="",#N/A,SUM($BW$4:BW364))</f>
        <v>-371.68817034792892</v>
      </c>
      <c r="BY364" s="131" t="str">
        <f t="shared" si="579"/>
        <v/>
      </c>
      <c r="BZ364" s="131">
        <f>IF($J364="",#N/A,SUM($BY$4:BY364))</f>
        <v>1036.3516134613947</v>
      </c>
      <c r="CA364" s="133">
        <f t="shared" si="580"/>
        <v>-152.375</v>
      </c>
      <c r="CB364" s="133">
        <f>IF($J364="",#N/A,SUM($CA$4:CA364))</f>
        <v>3.5259324481586418</v>
      </c>
      <c r="CC364" s="194" t="str">
        <f t="shared" si="581"/>
        <v/>
      </c>
      <c r="CD364" s="194">
        <f>IF($J364="",#N/A,SUM($CC$4:CC364))</f>
        <v>-5.3044741744182824</v>
      </c>
      <c r="CE364" s="195" t="str">
        <f t="shared" si="582"/>
        <v/>
      </c>
      <c r="CF364" s="195">
        <f>IF($J364="",#N/A,SUM($CE$4:CE364))</f>
        <v>16.104654240656334</v>
      </c>
      <c r="CG364" s="196">
        <f t="shared" si="583"/>
        <v>-1.8668602442998738</v>
      </c>
      <c r="CH364" s="196">
        <f>IF($J364="",#N/A,SUM($CG$4:CG364))</f>
        <v>3.3670572843062914</v>
      </c>
      <c r="CI364" s="200" t="str">
        <f t="shared" si="584"/>
        <v/>
      </c>
      <c r="CJ364" s="203">
        <f>IF($J364="",#N/A,SUM(CI$4:CI364))</f>
        <v>0</v>
      </c>
      <c r="CK364" s="204" t="str">
        <f t="shared" si="585"/>
        <v/>
      </c>
      <c r="CL364" s="204">
        <f>IF($J364="",#N/A,SUM(CK$4:CK364))</f>
        <v>1.2912501745213723</v>
      </c>
      <c r="CM364" s="205" t="str">
        <f t="shared" si="586"/>
        <v/>
      </c>
      <c r="CN364" s="205">
        <f>IF($J364="",#N/A,SUM(CM$4:CM364))</f>
        <v>1.357235719871134</v>
      </c>
      <c r="CO364" s="205">
        <f>IF($J364="",#N/A,SUM(CM$4:CM364,CK$4:CK364,CI$4:CI364))</f>
        <v>2.6484858943925063</v>
      </c>
      <c r="CP364" s="200" t="str">
        <f t="shared" si="587"/>
        <v/>
      </c>
      <c r="CQ364" s="203">
        <f>IF($J364="",#N/A,SUM(CP$4:CP364))</f>
        <v>-1.71930060052745</v>
      </c>
      <c r="CR364" s="204" t="str">
        <f t="shared" si="588"/>
        <v/>
      </c>
      <c r="CS364" s="204">
        <f>IF($J364="",#N/A,SUM(CR$4:CR364))</f>
        <v>2.3600225017004668</v>
      </c>
      <c r="CT364" s="205">
        <f t="shared" si="589"/>
        <v>-1.8668602442998738</v>
      </c>
      <c r="CU364" s="205">
        <f>IF($J364="",#N/A,SUM(CT$4:CT364))</f>
        <v>-5.0540979850568064</v>
      </c>
      <c r="CV364" s="205">
        <f>IF($J364="",#N/A,SUM(CT$4:CT364,CR$4:CR364,CP$4:CP364))</f>
        <v>-4.4133760838837901</v>
      </c>
      <c r="CW364" s="200" t="str">
        <f t="shared" si="590"/>
        <v/>
      </c>
      <c r="CX364" s="203">
        <f>IF($J364="",#N/A,SUM(CW$4:CW364))</f>
        <v>-3.3082659491100586</v>
      </c>
      <c r="CY364" s="204" t="str">
        <f t="shared" si="591"/>
        <v/>
      </c>
      <c r="CZ364" s="204">
        <f>IF($J364="",#N/A,SUM(CY$4:CY364))</f>
        <v>3.4158439394052458</v>
      </c>
      <c r="DA364" s="205" t="str">
        <f t="shared" si="592"/>
        <v/>
      </c>
      <c r="DB364" s="205">
        <f>IF($J364="",#N/A,SUM(DA$4:DA364))</f>
        <v>-3.6020278946927151</v>
      </c>
      <c r="DC364" s="205">
        <f>IF($J364="",#N/A,SUM(DA$4:DA364,CY$4:CY364,CW$4:CW364))</f>
        <v>-3.4944499043975288</v>
      </c>
      <c r="DD364" s="200" t="str">
        <f t="shared" si="593"/>
        <v/>
      </c>
      <c r="DE364" s="203">
        <f>IF($J364="",#N/A,SUM(DD$4:DD364))</f>
        <v>1.6161029218801881</v>
      </c>
      <c r="DF364" s="204" t="str">
        <f t="shared" si="594"/>
        <v/>
      </c>
      <c r="DG364" s="204">
        <f>IF($J364="",#N/A,SUM(DF$4:DF364))</f>
        <v>4.1810385231482243</v>
      </c>
      <c r="DH364" s="205" t="str">
        <f t="shared" si="595"/>
        <v/>
      </c>
      <c r="DI364" s="205">
        <f>IF($J364="",#N/A,SUM(DH$4:DH364))</f>
        <v>-3.216671910770577</v>
      </c>
      <c r="DJ364" s="205">
        <f>IF($J364="",#N/A,SUM(DH$4:DH364,DF$4:DF364,DD$4:DD364))</f>
        <v>2.5804695342578352</v>
      </c>
      <c r="DK364" s="200" t="str">
        <f t="shared" si="596"/>
        <v/>
      </c>
      <c r="DL364" s="203">
        <f>IF($J364="",#N/A,SUM(DK$4:DK364))</f>
        <v>-0.84049791589649614</v>
      </c>
      <c r="DM364" s="204" t="str">
        <f t="shared" si="597"/>
        <v/>
      </c>
      <c r="DN364" s="204">
        <f>IF($J364="",#N/A,SUM(DM$4:DM364))</f>
        <v>1.8657648196498773</v>
      </c>
      <c r="DO364" s="205" t="str">
        <f t="shared" si="598"/>
        <v/>
      </c>
      <c r="DP364" s="205">
        <f>IF($J364="",#N/A,SUM(DO$4:DO364))</f>
        <v>3.4887162328793941</v>
      </c>
      <c r="DQ364" s="205">
        <f>IF($J364="",#N/A,SUM(DO$4:DO364,DM$4:DM364,DK$4:DK364))</f>
        <v>4.5139831366327758</v>
      </c>
      <c r="DR364" s="200" t="str">
        <f t="shared" si="599"/>
        <v/>
      </c>
      <c r="DS364" s="203">
        <f>IF($J364="",#N/A,SUM(DR$4:DR364))</f>
        <v>-0.55950946427675097</v>
      </c>
      <c r="DT364" s="204" t="str">
        <f t="shared" si="600"/>
        <v/>
      </c>
      <c r="DU364" s="204">
        <f>IF($J364="",#N/A,SUM(DT$4:DT364))</f>
        <v>-0.20750635820596686</v>
      </c>
      <c r="DV364" s="205" t="str">
        <f t="shared" si="601"/>
        <v/>
      </c>
      <c r="DW364" s="205">
        <f>IF($J364="",#N/A,SUM(DV$4:DV364))</f>
        <v>-2.3377035686214001</v>
      </c>
      <c r="DX364" s="205">
        <f>IF($J364="",#N/A,SUM(DV$4:DV364,DT$4:DT364,DR$4:DR364))</f>
        <v>-3.1047193911041169</v>
      </c>
      <c r="DY364" s="200" t="str">
        <f t="shared" si="602"/>
        <v/>
      </c>
      <c r="DZ364" s="203">
        <f>IF($J364="",#N/A,SUM(DY$4:DY364))</f>
        <v>-1.4146842415208627</v>
      </c>
      <c r="EA364" s="204" t="str">
        <f t="shared" si="603"/>
        <v/>
      </c>
      <c r="EB364" s="204">
        <f>IF($J364="",#N/A,SUM(EA$4:EA364))</f>
        <v>4.3184391548878134</v>
      </c>
      <c r="EC364" s="205" t="str">
        <f t="shared" si="604"/>
        <v/>
      </c>
      <c r="ED364" s="205">
        <f>IF($J364="",#N/A,SUM(EC$4:EC364))</f>
        <v>8.4384553208490907</v>
      </c>
      <c r="EE364" s="205">
        <f>IF($J364="",#N/A,SUM(EC$4:EC364,EA$4:EA364,DY$4:DY364))</f>
        <v>11.342210234216044</v>
      </c>
      <c r="EF364" s="200" t="str">
        <f t="shared" si="605"/>
        <v/>
      </c>
      <c r="EG364" s="203">
        <f>IF($J364="",#N/A,SUM(EF$4:EF364))</f>
        <v>0.65848341369884777</v>
      </c>
      <c r="EH364" s="204" t="str">
        <f t="shared" si="606"/>
        <v/>
      </c>
      <c r="EI364" s="204">
        <f>IF($J364="",#N/A,SUM(EH$4:EH364))</f>
        <v>-3.5125331561187787</v>
      </c>
      <c r="EJ364" s="205" t="str">
        <f t="shared" si="607"/>
        <v/>
      </c>
      <c r="EK364" s="205">
        <f>IF($J364="",#N/A,SUM(EJ$4:EJ364))</f>
        <v>8.4840381642896556</v>
      </c>
      <c r="EL364" s="205">
        <f>IF($J364="",#N/A,SUM(EJ$4:EJ364,EH$4:EH364,EF$4:EF364))</f>
        <v>5.6299884218697258</v>
      </c>
      <c r="EM364" s="200" t="str">
        <f t="shared" si="608"/>
        <v/>
      </c>
      <c r="EN364" s="203">
        <f>IF($J364="",#N/A,SUM(EM$4:EM364))</f>
        <v>0</v>
      </c>
      <c r="EO364" s="204" t="str">
        <f t="shared" si="609"/>
        <v/>
      </c>
      <c r="EP364" s="204">
        <f>IF($J364="",#N/A,SUM(EO$4:EO364))</f>
        <v>2.4788862078089964</v>
      </c>
      <c r="EQ364" s="205" t="str">
        <f t="shared" si="610"/>
        <v/>
      </c>
      <c r="ER364" s="205">
        <f>IF($J364="",#N/A,SUM(EQ$4:EQ364))</f>
        <v>1.7856049065476487</v>
      </c>
      <c r="ES364" s="205">
        <f>IF($J364="",#N/A,SUM(EQ$4:EQ364,EO$4:EO364,EM$4:EM364))</f>
        <v>4.2644911143566446</v>
      </c>
      <c r="ET364" s="200" t="str">
        <f t="shared" si="611"/>
        <v/>
      </c>
      <c r="EU364" s="203">
        <f>IF($J364="",#N/A,SUM(ET$4:ET364))</f>
        <v>0</v>
      </c>
      <c r="EV364" s="204" t="str">
        <f t="shared" si="612"/>
        <v/>
      </c>
      <c r="EW364" s="204">
        <f>IF($J364="",#N/A,SUM(EV$4:EV364))</f>
        <v>7.9116394275462909E-2</v>
      </c>
      <c r="EX364" s="205" t="str">
        <f t="shared" si="613"/>
        <v/>
      </c>
      <c r="EY364" s="205">
        <f>IF($J364="",#N/A,SUM(EX$4:EX364))</f>
        <v>-0.38863392418374743</v>
      </c>
      <c r="EZ364" s="205">
        <f>IF($J364="",#N/A,SUM(EX$4:EX364,EV$4:EV364,ET$4:ET364))</f>
        <v>-0.30951752990828441</v>
      </c>
      <c r="FA364" s="200" t="str">
        <f t="shared" si="614"/>
        <v/>
      </c>
      <c r="FB364" s="203">
        <f>IF($J364="",#N/A,SUM(FA$4:FA364))</f>
        <v>-0.27145310509113252</v>
      </c>
      <c r="FC364" s="204" t="str">
        <f t="shared" si="615"/>
        <v/>
      </c>
      <c r="FD364" s="204">
        <f>IF($J364="",#N/A,SUM(FC$4:FC364))</f>
        <v>0.89084290967454072</v>
      </c>
      <c r="FE364" s="205" t="str">
        <f t="shared" si="616"/>
        <v/>
      </c>
      <c r="FF364" s="205">
        <f>IF($J364="",#N/A,SUM(FE$4:FE364))</f>
        <v>-0.28811149078748233</v>
      </c>
      <c r="FG364" s="205">
        <f>IF($J364="",#N/A,SUM(FE$4:FE364,FC$4:FC364,FA$4:FA364))</f>
        <v>0.3312783137959262</v>
      </c>
      <c r="FH364" s="200" t="str">
        <f t="shared" si="617"/>
        <v/>
      </c>
      <c r="FI364" s="203">
        <f>IF($J364="",#N/A,SUM(FH$4:FH364))</f>
        <v>0</v>
      </c>
      <c r="FJ364" s="204" t="str">
        <f t="shared" si="618"/>
        <v/>
      </c>
      <c r="FK364" s="204">
        <f>IF($J364="",#N/A,SUM(FJ$4:FJ364))</f>
        <v>0</v>
      </c>
      <c r="FL364" s="205" t="str">
        <f t="shared" si="619"/>
        <v/>
      </c>
      <c r="FM364" s="205">
        <f>IF($J364="",#N/A,SUM(FL$4:FL364))</f>
        <v>0</v>
      </c>
      <c r="FN364" s="205">
        <f>IF($J364="",#N/A,SUM(FL$4:FL364,FJ$4:FJ364,FH$4:FH364))</f>
        <v>0</v>
      </c>
      <c r="FO364" s="200" t="str">
        <f t="shared" si="620"/>
        <v/>
      </c>
      <c r="FP364" s="203">
        <f>IF($J364="",#N/A,SUM(FO$4:FO364))</f>
        <v>0</v>
      </c>
      <c r="FQ364" s="204" t="str">
        <f t="shared" si="621"/>
        <v/>
      </c>
      <c r="FR364" s="204">
        <f>IF($J364="",#N/A,SUM(FQ$4:FQ364))</f>
        <v>0</v>
      </c>
      <c r="FS364" s="205" t="str">
        <f t="shared" si="622"/>
        <v/>
      </c>
      <c r="FT364" s="205">
        <f>IF($J364="",#N/A,SUM(FS$4:FS364))</f>
        <v>0</v>
      </c>
      <c r="FU364" s="205">
        <f>IF($J364="",#N/A,SUM(FS$4:FS364,FQ$4:FQ364,FO$4:FO364))</f>
        <v>0</v>
      </c>
      <c r="FV364" s="200" t="str">
        <f t="shared" si="623"/>
        <v/>
      </c>
      <c r="FW364" s="203">
        <f>IF($J364="",#N/A,SUM(FV$4:FV364))</f>
        <v>6.6834991831277585E-2</v>
      </c>
      <c r="FX364" s="204" t="str">
        <f t="shared" si="624"/>
        <v/>
      </c>
      <c r="FY364" s="204">
        <f>IF($J364="",#N/A,SUM(FX$4:FX364))</f>
        <v>-0.16102012791805576</v>
      </c>
      <c r="FZ364" s="205" t="str">
        <f t="shared" si="625"/>
        <v/>
      </c>
      <c r="GA364" s="205">
        <f>IF($J364="",#N/A,SUM(FZ$4:FZ364))</f>
        <v>-0.69624339162892301</v>
      </c>
      <c r="GB364" s="205">
        <f>IF($J364="",#N/A,SUM(FZ$4:FZ364,FX$4:FX364,FV$4:FV364))</f>
        <v>-0.79042852771570116</v>
      </c>
      <c r="GC364" s="200" t="str">
        <f t="shared" si="626"/>
        <v/>
      </c>
      <c r="GD364" s="203">
        <f>IF($J364="",#N/A,SUM(GC$4:GC364))</f>
        <v>0</v>
      </c>
      <c r="GE364" s="204" t="str">
        <f t="shared" si="627"/>
        <v/>
      </c>
      <c r="GF364" s="204">
        <f>IF($J364="",#N/A,SUM(GE$4:GE364))</f>
        <v>0</v>
      </c>
      <c r="GG364" s="205" t="str">
        <f t="shared" si="628"/>
        <v/>
      </c>
      <c r="GH364" s="205">
        <f>IF($J364="",#N/A,SUM(GG$4:GG364))</f>
        <v>-2.9368362277223206</v>
      </c>
      <c r="GI364" s="205">
        <f>IF($J364="",#N/A,SUM(GG$4:GG364,GE$4:GE364,GC$4:GC364))</f>
        <v>-2.9368362277223206</v>
      </c>
      <c r="GJ364" s="200" t="str">
        <f t="shared" si="629"/>
        <v/>
      </c>
      <c r="GK364" s="203">
        <f>IF($J364="",#N/A,SUM(GJ$4:GJ364))</f>
        <v>0</v>
      </c>
      <c r="GL364" s="204" t="str">
        <f t="shared" si="630"/>
        <v/>
      </c>
      <c r="GM364" s="204">
        <f>IF($J364="",#N/A,SUM(GL$4:GL364))</f>
        <v>-2.0621307233432784</v>
      </c>
      <c r="GN364" s="205" t="str">
        <f t="shared" si="631"/>
        <v/>
      </c>
      <c r="GO364" s="205">
        <f>IF($J364="",#N/A,SUM(GN$4:GN364))</f>
        <v>0</v>
      </c>
      <c r="GP364" s="205">
        <f>IF($J364="",#N/A,SUM(GN$4:GN364,GL$4:GL364,GJ$4:GJ364))</f>
        <v>-2.0621307233432784</v>
      </c>
      <c r="GS364" s="54">
        <f t="shared" si="650"/>
        <v>-1.8668602442998738</v>
      </c>
      <c r="GT364" s="54">
        <f>IF(GS364="",NA(),SUM($GS$4:GS364))</f>
        <v>12.153910439460208</v>
      </c>
      <c r="GU364" s="54" t="str">
        <f t="shared" si="632"/>
        <v/>
      </c>
      <c r="GV364" s="54" t="e">
        <f>IF(GU364="",NA(),SUM($GU$4:GU364))</f>
        <v>#N/A</v>
      </c>
      <c r="GW364" s="54">
        <f t="shared" si="633"/>
        <v>-1.8668602442998738</v>
      </c>
      <c r="GX364" s="54">
        <f>IF(GW364="",NA(),SUM($GW$4:GW364))</f>
        <v>8.5439953337599004</v>
      </c>
      <c r="GY364" s="54" t="str">
        <f t="shared" si="634"/>
        <v/>
      </c>
      <c r="GZ364" s="54" t="e">
        <f>IF(GY364="",NA(),SUM($GY$4:GY364))</f>
        <v>#N/A</v>
      </c>
      <c r="HA364" s="54" t="str">
        <f t="shared" si="635"/>
        <v/>
      </c>
      <c r="HB364" s="54" t="e">
        <f>IF(HA364="",NA(),SUM($HA$4:HA364))</f>
        <v>#N/A</v>
      </c>
      <c r="HC364" s="54" t="str">
        <f t="shared" si="636"/>
        <v/>
      </c>
      <c r="HD364" s="54" t="e">
        <f>IF(HC364="",NA(),SUM($HC$4:HC364))</f>
        <v>#N/A</v>
      </c>
      <c r="HE364" s="54" t="str">
        <f t="shared" si="637"/>
        <v/>
      </c>
      <c r="HF364" s="54" t="e">
        <f>IF(HE364="",NA(),SUM($HE$4:HE364))</f>
        <v>#N/A</v>
      </c>
      <c r="HG364" s="54" t="str">
        <f t="shared" si="638"/>
        <v/>
      </c>
      <c r="HH364" s="54" t="e">
        <f>IF(HG364="",NA(),SUM($HG$4:HG364))</f>
        <v>#N/A</v>
      </c>
      <c r="HI364" s="172" t="str">
        <f t="shared" si="651"/>
        <v/>
      </c>
      <c r="HJ364" s="172">
        <f>IF($J364="",#N/A,SUM(HI$4:$HI364))</f>
        <v>-10.162234665497841</v>
      </c>
      <c r="HK364" s="54" t="str">
        <f t="shared" si="639"/>
        <v/>
      </c>
      <c r="HL364" s="54">
        <f>IF($J364="",#N/A,SUM($HK$4:HK364))</f>
        <v>2.7460981583887896</v>
      </c>
      <c r="HM364" s="54" t="str">
        <f t="shared" si="640"/>
        <v/>
      </c>
      <c r="HN364" s="54">
        <f>IF($J364="",#N/A,SUM($HM$4:HM364))</f>
        <v>-0.16355665587253121</v>
      </c>
      <c r="HO364" s="54" t="str">
        <f t="shared" si="641"/>
        <v/>
      </c>
      <c r="HP364" s="54">
        <f>IF($J364="",#N/A,SUM($HO$4:HO364))</f>
        <v>0.25389852520808864</v>
      </c>
      <c r="HQ364" s="54" t="str">
        <f t="shared" si="642"/>
        <v/>
      </c>
      <c r="HR364" s="54">
        <f>IF($J364="",#N/A,SUM($HQ$4:HQ364))</f>
        <v>-11.745401831760597</v>
      </c>
      <c r="HS364" s="54">
        <f t="shared" si="643"/>
        <v>-0.21961259969860669</v>
      </c>
      <c r="HT364" s="54">
        <f>IF($J364="",#N/A,SUM($HS$4:HS364))</f>
        <v>14.233638697012335</v>
      </c>
      <c r="HU364" s="65">
        <f t="shared" si="644"/>
        <v>-2.0864728439984805</v>
      </c>
      <c r="HV364" s="65">
        <f>IF($J364="",#N/A,SUM(HU$4:$HU364))</f>
        <v>8.8137321108555948</v>
      </c>
    </row>
    <row r="365" spans="1:230" ht="15.75" thickBot="1" x14ac:dyDescent="0.3">
      <c r="A365" s="292" t="s">
        <v>1151</v>
      </c>
      <c r="B365" s="293" t="s">
        <v>5511</v>
      </c>
      <c r="C365" s="294">
        <f t="shared" si="545"/>
        <v>3</v>
      </c>
      <c r="D365" s="295" t="str">
        <f>_xlfn.XLOOKUP(A365,[1]SP500!$A$2:$A$502,[1]SP500!$D$2:$D$502,"N")</f>
        <v>Y</v>
      </c>
      <c r="E365" s="292" t="str">
        <f>IFERROR(_xlfn.XLOOKUP(A365,[1]SP500!$A$2:$A$655,[1]SP500!$B$2:$B$655),"")</f>
        <v>IGV</v>
      </c>
      <c r="F365" s="296">
        <v>45799</v>
      </c>
      <c r="G365" s="292" t="str">
        <f t="shared" si="546"/>
        <v>AMC</v>
      </c>
      <c r="H365" s="292" t="str">
        <f t="shared" si="547"/>
        <v>s</v>
      </c>
      <c r="I365" s="402">
        <v>295</v>
      </c>
      <c r="J365" s="297">
        <v>295</v>
      </c>
      <c r="K365" s="298">
        <f t="shared" si="548"/>
        <v>0</v>
      </c>
      <c r="L365" s="299">
        <f t="shared" si="549"/>
        <v>0</v>
      </c>
      <c r="M365" s="300">
        <f t="shared" si="550"/>
        <v>-3.0500000000001819</v>
      </c>
      <c r="N365" s="341">
        <f t="shared" si="551"/>
        <v>0</v>
      </c>
      <c r="O365" s="300">
        <f>IF(N365="",#N/A,SUM($N$4:N365))</f>
        <v>668.18937556162462</v>
      </c>
      <c r="P365" s="305">
        <f t="shared" si="645"/>
        <v>0</v>
      </c>
      <c r="Q365" s="304">
        <f>IF($N365="",#N/A,SUM($P$4:P365))</f>
        <v>14.167237350544335</v>
      </c>
      <c r="R365" s="307">
        <f t="shared" si="552"/>
        <v>7.700210601011408</v>
      </c>
      <c r="S365" s="292" t="str">
        <f t="shared" si="553"/>
        <v>SW</v>
      </c>
      <c r="T365" s="292" t="s">
        <v>2828</v>
      </c>
      <c r="U365" s="308">
        <f t="shared" si="554"/>
        <v>295</v>
      </c>
      <c r="V365" s="308" t="s">
        <v>4460</v>
      </c>
      <c r="W365" s="310">
        <v>5</v>
      </c>
      <c r="X365" s="309">
        <f t="shared" si="555"/>
        <v>1475</v>
      </c>
      <c r="Y365" s="310">
        <f t="shared" si="556"/>
        <v>5</v>
      </c>
      <c r="Z365" s="311">
        <v>294.39</v>
      </c>
      <c r="AA365" s="341">
        <f t="shared" si="557"/>
        <v>-3.0500000000001819</v>
      </c>
      <c r="AB365" s="341">
        <f t="shared" si="558"/>
        <v>1.75</v>
      </c>
      <c r="AC365" s="297">
        <v>295.35000000000002</v>
      </c>
      <c r="AD365" s="301">
        <f t="shared" si="559"/>
        <v>1.75</v>
      </c>
      <c r="AE365" s="546">
        <f t="shared" si="560"/>
        <v>1.977401129943503E-2</v>
      </c>
      <c r="AF365" s="300">
        <f>IF($AC365="",#N/A,SUM(AD$4:AD365))</f>
        <v>469.24239714744908</v>
      </c>
      <c r="AG365" s="341">
        <f t="shared" si="561"/>
        <v>1.75</v>
      </c>
      <c r="AH365" s="308" t="s">
        <v>2507</v>
      </c>
      <c r="AI365" s="305">
        <f t="shared" si="562"/>
        <v>-3.4463276836160246E-2</v>
      </c>
      <c r="AJ365" s="418">
        <f>IF(AI365="",#N/A,SUM($AI$4:AI365))</f>
        <v>6.467026749532927</v>
      </c>
      <c r="AK365" s="300">
        <f t="shared" si="563"/>
        <v>-3.0500000000001819</v>
      </c>
      <c r="AL365" s="406">
        <f>IF(AI365="",#N/A,IF(AH365="Skip",SUM($AK$4:AK365),SUM($AK$4:AK365)))</f>
        <v>145.15236927848218</v>
      </c>
      <c r="AM365" s="65">
        <f t="shared" si="646"/>
        <v>1.977401129943503E-2</v>
      </c>
      <c r="AN365" s="209"/>
      <c r="AO365" s="305">
        <f t="shared" si="564"/>
        <v>1.977401129943503E-2</v>
      </c>
      <c r="AP365" s="305">
        <f>IF($AC365="",#N/A,SUM(AO$4:AO365))</f>
        <v>5.3591206936904774</v>
      </c>
      <c r="AQ365" s="305" t="str">
        <f t="shared" si="565"/>
        <v/>
      </c>
      <c r="AR365" s="305">
        <f>IF($AC365="",#N/A,SUM(AQ$4:AQ365))</f>
        <v>-5.2141323050827273</v>
      </c>
      <c r="AS365" s="305" t="str">
        <f t="shared" si="566"/>
        <v/>
      </c>
      <c r="AT365" s="305">
        <f>IF($AC365="",#N/A,SUM(AS$4:AS365))</f>
        <v>8.6885177335472719</v>
      </c>
      <c r="AU365" s="300">
        <f t="shared" si="647"/>
        <v>1.75</v>
      </c>
      <c r="AV365" s="300">
        <f>IF($AC365="",#N/A,SUM(AU$4:AU365))</f>
        <v>154.61627194988</v>
      </c>
      <c r="AW365" s="300" t="str">
        <f t="shared" si="648"/>
        <v/>
      </c>
      <c r="AX365" s="300">
        <f>IF($AC365="",#N/A,SUM(AW$4:AW365))</f>
        <v>-360.89106797961085</v>
      </c>
      <c r="AY365" s="300" t="str">
        <f t="shared" si="649"/>
        <v/>
      </c>
      <c r="AZ365" s="300">
        <f>IF($AC365="",#N/A,SUM(AY$4:AY365))</f>
        <v>675.51719317717982</v>
      </c>
      <c r="BA365" s="300">
        <f>IF(AD365="",#N/A,SUM($AD$4:AD365))</f>
        <v>469.24239714744908</v>
      </c>
      <c r="BC365" s="292" t="str">
        <f t="shared" si="567"/>
        <v/>
      </c>
      <c r="BD365" s="292" t="str">
        <f t="shared" si="568"/>
        <v/>
      </c>
      <c r="BE365" s="292" t="str">
        <f t="shared" si="569"/>
        <v/>
      </c>
      <c r="BF365" s="292" t="str">
        <f t="shared" si="570"/>
        <v>Long</v>
      </c>
      <c r="BG365" s="292" t="str">
        <f t="shared" si="571"/>
        <v/>
      </c>
      <c r="BH365" s="292" t="str">
        <f t="shared" si="572"/>
        <v/>
      </c>
      <c r="BI365" s="292" t="str">
        <f t="shared" si="573"/>
        <v/>
      </c>
      <c r="BK365" s="65">
        <f t="shared" si="544"/>
        <v>-3.3767955291165705E-2</v>
      </c>
      <c r="BL365" s="65">
        <f t="shared" si="652"/>
        <v>-0.21566145216737972</v>
      </c>
      <c r="BM365" s="65">
        <f>IFERROR(Q365/COUNTA($J$4:J365),#N/A)</f>
        <v>3.913601478050921E-2</v>
      </c>
      <c r="BO365" s="489">
        <f>IF(J365="",#N/A,IF(S365="SW",(COUNTIFS(K$4:$K365,"&gt;0",S$4:$S365,"SW")/COUNTIF(S$4:$S365,"SW")),#N/A))</f>
        <v>0.49707602339181284</v>
      </c>
      <c r="BP365" s="489" t="e">
        <f>IF($J365="",#N/A,IF($S365="DWN",(COUNTIFS($K$4:$K365,"&lt;0",$S$4:$S365,"DWN")/COUNTIF($S$4:$S365,"DWN")),#N/A))</f>
        <v>#N/A</v>
      </c>
      <c r="BQ365" s="489" t="e">
        <f>IF($J365="",#N/A,IF($S365="UP",(COUNTIFS($K$4:$K365,"&gt;0",$S$4:$S365,"UP")/COUNTIF($S$4:$S365,"UP")),#N/A))</f>
        <v>#N/A</v>
      </c>
      <c r="BR365" s="489">
        <f>IF(J365="",#N/A,COUNTIF($K$4:K365,"&gt;0")/COUNT($J$4:J365))</f>
        <v>0.46685082872928174</v>
      </c>
      <c r="BS365" s="65" t="str">
        <f t="shared" si="574"/>
        <v/>
      </c>
      <c r="BT365" s="65" t="str">
        <f t="shared" si="575"/>
        <v/>
      </c>
      <c r="BU365" s="65" t="str">
        <f t="shared" si="576"/>
        <v/>
      </c>
      <c r="BV365" s="65" t="str">
        <f t="shared" si="577"/>
        <v/>
      </c>
      <c r="BW365" s="128" t="str">
        <f t="shared" si="578"/>
        <v/>
      </c>
      <c r="BX365" s="128">
        <f>IF($J365="",#N/A,SUM($BW$4:BW365))</f>
        <v>-371.68817034792892</v>
      </c>
      <c r="BY365" s="131" t="str">
        <f t="shared" si="579"/>
        <v/>
      </c>
      <c r="BZ365" s="131">
        <f>IF($J365="",#N/A,SUM($BY$4:BY365))</f>
        <v>1036.3516134613947</v>
      </c>
      <c r="CA365" s="133">
        <f t="shared" si="580"/>
        <v>0</v>
      </c>
      <c r="CB365" s="133">
        <f>IF($J365="",#N/A,SUM($CA$4:CA365))</f>
        <v>3.5259324481586418</v>
      </c>
      <c r="CC365" s="194" t="str">
        <f t="shared" si="581"/>
        <v/>
      </c>
      <c r="CD365" s="194">
        <f>IF($J365="",#N/A,SUM($CC$4:CC365))</f>
        <v>-5.3044741744182824</v>
      </c>
      <c r="CE365" s="195" t="str">
        <f t="shared" si="582"/>
        <v/>
      </c>
      <c r="CF365" s="195">
        <f>IF($J365="",#N/A,SUM($CE$4:CE365))</f>
        <v>16.104654240656334</v>
      </c>
      <c r="CG365" s="196">
        <f t="shared" si="583"/>
        <v>0</v>
      </c>
      <c r="CH365" s="196">
        <f>IF($J365="",#N/A,SUM($CG$4:CG365))</f>
        <v>3.3670572843062914</v>
      </c>
      <c r="CI365" s="200" t="str">
        <f t="shared" si="584"/>
        <v/>
      </c>
      <c r="CJ365" s="203">
        <f>IF($J365="",#N/A,SUM(CI$4:CI365))</f>
        <v>0</v>
      </c>
      <c r="CK365" s="204" t="str">
        <f t="shared" si="585"/>
        <v/>
      </c>
      <c r="CL365" s="204">
        <f>IF($J365="",#N/A,SUM(CK$4:CK365))</f>
        <v>1.2912501745213723</v>
      </c>
      <c r="CM365" s="205" t="str">
        <f t="shared" si="586"/>
        <v/>
      </c>
      <c r="CN365" s="205">
        <f>IF($J365="",#N/A,SUM(CM$4:CM365))</f>
        <v>1.357235719871134</v>
      </c>
      <c r="CO365" s="205">
        <f>IF($J365="",#N/A,SUM(CM$4:CM365,CK$4:CK365,CI$4:CI365))</f>
        <v>2.6484858943925063</v>
      </c>
      <c r="CP365" s="200" t="str">
        <f t="shared" si="587"/>
        <v/>
      </c>
      <c r="CQ365" s="203">
        <f>IF($J365="",#N/A,SUM(CP$4:CP365))</f>
        <v>-1.71930060052745</v>
      </c>
      <c r="CR365" s="204" t="str">
        <f t="shared" si="588"/>
        <v/>
      </c>
      <c r="CS365" s="204">
        <f>IF($J365="",#N/A,SUM(CR$4:CR365))</f>
        <v>2.3600225017004668</v>
      </c>
      <c r="CT365" s="205">
        <f t="shared" si="589"/>
        <v>0</v>
      </c>
      <c r="CU365" s="205">
        <f>IF($J365="",#N/A,SUM(CT$4:CT365))</f>
        <v>-5.0540979850568064</v>
      </c>
      <c r="CV365" s="205">
        <f>IF($J365="",#N/A,SUM(CT$4:CT365,CR$4:CR365,CP$4:CP365))</f>
        <v>-4.4133760838837901</v>
      </c>
      <c r="CW365" s="200" t="str">
        <f t="shared" si="590"/>
        <v/>
      </c>
      <c r="CX365" s="203">
        <f>IF($J365="",#N/A,SUM(CW$4:CW365))</f>
        <v>-3.3082659491100586</v>
      </c>
      <c r="CY365" s="204" t="str">
        <f t="shared" si="591"/>
        <v/>
      </c>
      <c r="CZ365" s="204">
        <f>IF($J365="",#N/A,SUM(CY$4:CY365))</f>
        <v>3.4158439394052458</v>
      </c>
      <c r="DA365" s="205" t="str">
        <f t="shared" si="592"/>
        <v/>
      </c>
      <c r="DB365" s="205">
        <f>IF($J365="",#N/A,SUM(DA$4:DA365))</f>
        <v>-3.6020278946927151</v>
      </c>
      <c r="DC365" s="205">
        <f>IF($J365="",#N/A,SUM(DA$4:DA365,CY$4:CY365,CW$4:CW365))</f>
        <v>-3.4944499043975288</v>
      </c>
      <c r="DD365" s="200" t="str">
        <f t="shared" si="593"/>
        <v/>
      </c>
      <c r="DE365" s="203">
        <f>IF($J365="",#N/A,SUM(DD$4:DD365))</f>
        <v>1.6161029218801881</v>
      </c>
      <c r="DF365" s="204" t="str">
        <f t="shared" si="594"/>
        <v/>
      </c>
      <c r="DG365" s="204">
        <f>IF($J365="",#N/A,SUM(DF$4:DF365))</f>
        <v>4.1810385231482243</v>
      </c>
      <c r="DH365" s="205" t="str">
        <f t="shared" si="595"/>
        <v/>
      </c>
      <c r="DI365" s="205">
        <f>IF($J365="",#N/A,SUM(DH$4:DH365))</f>
        <v>-3.216671910770577</v>
      </c>
      <c r="DJ365" s="205">
        <f>IF($J365="",#N/A,SUM(DH$4:DH365,DF$4:DF365,DD$4:DD365))</f>
        <v>2.5804695342578352</v>
      </c>
      <c r="DK365" s="200" t="str">
        <f t="shared" si="596"/>
        <v/>
      </c>
      <c r="DL365" s="203">
        <f>IF($J365="",#N/A,SUM(DK$4:DK365))</f>
        <v>-0.84049791589649614</v>
      </c>
      <c r="DM365" s="204" t="str">
        <f t="shared" si="597"/>
        <v/>
      </c>
      <c r="DN365" s="204">
        <f>IF($J365="",#N/A,SUM(DM$4:DM365))</f>
        <v>1.8657648196498773</v>
      </c>
      <c r="DO365" s="205" t="str">
        <f t="shared" si="598"/>
        <v/>
      </c>
      <c r="DP365" s="205">
        <f>IF($J365="",#N/A,SUM(DO$4:DO365))</f>
        <v>3.4887162328793941</v>
      </c>
      <c r="DQ365" s="205">
        <f>IF($J365="",#N/A,SUM(DO$4:DO365,DM$4:DM365,DK$4:DK365))</f>
        <v>4.5139831366327758</v>
      </c>
      <c r="DR365" s="200" t="str">
        <f t="shared" si="599"/>
        <v/>
      </c>
      <c r="DS365" s="203">
        <f>IF($J365="",#N/A,SUM(DR$4:DR365))</f>
        <v>-0.55950946427675097</v>
      </c>
      <c r="DT365" s="204" t="str">
        <f t="shared" si="600"/>
        <v/>
      </c>
      <c r="DU365" s="204">
        <f>IF($J365="",#N/A,SUM(DT$4:DT365))</f>
        <v>-0.20750635820596686</v>
      </c>
      <c r="DV365" s="205" t="str">
        <f t="shared" si="601"/>
        <v/>
      </c>
      <c r="DW365" s="205">
        <f>IF($J365="",#N/A,SUM(DV$4:DV365))</f>
        <v>-2.3377035686214001</v>
      </c>
      <c r="DX365" s="205">
        <f>IF($J365="",#N/A,SUM(DV$4:DV365,DT$4:DT365,DR$4:DR365))</f>
        <v>-3.1047193911041169</v>
      </c>
      <c r="DY365" s="200" t="str">
        <f t="shared" si="602"/>
        <v/>
      </c>
      <c r="DZ365" s="203">
        <f>IF($J365="",#N/A,SUM(DY$4:DY365))</f>
        <v>-1.4146842415208627</v>
      </c>
      <c r="EA365" s="204" t="str">
        <f t="shared" si="603"/>
        <v/>
      </c>
      <c r="EB365" s="204">
        <f>IF($J365="",#N/A,SUM(EA$4:EA365))</f>
        <v>4.3184391548878134</v>
      </c>
      <c r="EC365" s="205" t="str">
        <f t="shared" si="604"/>
        <v/>
      </c>
      <c r="ED365" s="205">
        <f>IF($J365="",#N/A,SUM(EC$4:EC365))</f>
        <v>8.4384553208490907</v>
      </c>
      <c r="EE365" s="205">
        <f>IF($J365="",#N/A,SUM(EC$4:EC365,EA$4:EA365,DY$4:DY365))</f>
        <v>11.342210234216044</v>
      </c>
      <c r="EF365" s="200" t="str">
        <f t="shared" si="605"/>
        <v/>
      </c>
      <c r="EG365" s="203">
        <f>IF($J365="",#N/A,SUM(EF$4:EF365))</f>
        <v>0.65848341369884777</v>
      </c>
      <c r="EH365" s="204" t="str">
        <f t="shared" si="606"/>
        <v/>
      </c>
      <c r="EI365" s="204">
        <f>IF($J365="",#N/A,SUM(EH$4:EH365))</f>
        <v>-3.5125331561187787</v>
      </c>
      <c r="EJ365" s="205" t="str">
        <f t="shared" si="607"/>
        <v/>
      </c>
      <c r="EK365" s="205">
        <f>IF($J365="",#N/A,SUM(EJ$4:EJ365))</f>
        <v>8.4840381642896556</v>
      </c>
      <c r="EL365" s="205">
        <f>IF($J365="",#N/A,SUM(EJ$4:EJ365,EH$4:EH365,EF$4:EF365))</f>
        <v>5.6299884218697258</v>
      </c>
      <c r="EM365" s="200" t="str">
        <f t="shared" si="608"/>
        <v/>
      </c>
      <c r="EN365" s="203">
        <f>IF($J365="",#N/A,SUM(EM$4:EM365))</f>
        <v>0</v>
      </c>
      <c r="EO365" s="204" t="str">
        <f t="shared" si="609"/>
        <v/>
      </c>
      <c r="EP365" s="204">
        <f>IF($J365="",#N/A,SUM(EO$4:EO365))</f>
        <v>2.4788862078089964</v>
      </c>
      <c r="EQ365" s="205" t="str">
        <f t="shared" si="610"/>
        <v/>
      </c>
      <c r="ER365" s="205">
        <f>IF($J365="",#N/A,SUM(EQ$4:EQ365))</f>
        <v>1.7856049065476487</v>
      </c>
      <c r="ES365" s="205">
        <f>IF($J365="",#N/A,SUM(EQ$4:EQ365,EO$4:EO365,EM$4:EM365))</f>
        <v>4.2644911143566446</v>
      </c>
      <c r="ET365" s="200" t="str">
        <f t="shared" si="611"/>
        <v/>
      </c>
      <c r="EU365" s="203">
        <f>IF($J365="",#N/A,SUM(ET$4:ET365))</f>
        <v>0</v>
      </c>
      <c r="EV365" s="204" t="str">
        <f t="shared" si="612"/>
        <v/>
      </c>
      <c r="EW365" s="204">
        <f>IF($J365="",#N/A,SUM(EV$4:EV365))</f>
        <v>7.9116394275462909E-2</v>
      </c>
      <c r="EX365" s="205" t="str">
        <f t="shared" si="613"/>
        <v/>
      </c>
      <c r="EY365" s="205">
        <f>IF($J365="",#N/A,SUM(EX$4:EX365))</f>
        <v>-0.38863392418374743</v>
      </c>
      <c r="EZ365" s="205">
        <f>IF($J365="",#N/A,SUM(EX$4:EX365,EV$4:EV365,ET$4:ET365))</f>
        <v>-0.30951752990828441</v>
      </c>
      <c r="FA365" s="200" t="str">
        <f t="shared" si="614"/>
        <v/>
      </c>
      <c r="FB365" s="203">
        <f>IF($J365="",#N/A,SUM(FA$4:FA365))</f>
        <v>-0.27145310509113252</v>
      </c>
      <c r="FC365" s="204" t="str">
        <f t="shared" si="615"/>
        <v/>
      </c>
      <c r="FD365" s="204">
        <f>IF($J365="",#N/A,SUM(FC$4:FC365))</f>
        <v>0.89084290967454072</v>
      </c>
      <c r="FE365" s="205" t="str">
        <f t="shared" si="616"/>
        <v/>
      </c>
      <c r="FF365" s="205">
        <f>IF($J365="",#N/A,SUM(FE$4:FE365))</f>
        <v>-0.28811149078748233</v>
      </c>
      <c r="FG365" s="205">
        <f>IF($J365="",#N/A,SUM(FE$4:FE365,FC$4:FC365,FA$4:FA365))</f>
        <v>0.3312783137959262</v>
      </c>
      <c r="FH365" s="200" t="str">
        <f t="shared" si="617"/>
        <v/>
      </c>
      <c r="FI365" s="203">
        <f>IF($J365="",#N/A,SUM(FH$4:FH365))</f>
        <v>0</v>
      </c>
      <c r="FJ365" s="204" t="str">
        <f t="shared" si="618"/>
        <v/>
      </c>
      <c r="FK365" s="204">
        <f>IF($J365="",#N/A,SUM(FJ$4:FJ365))</f>
        <v>0</v>
      </c>
      <c r="FL365" s="205" t="str">
        <f t="shared" si="619"/>
        <v/>
      </c>
      <c r="FM365" s="205">
        <f>IF($J365="",#N/A,SUM(FL$4:FL365))</f>
        <v>0</v>
      </c>
      <c r="FN365" s="205">
        <f>IF($J365="",#N/A,SUM(FL$4:FL365,FJ$4:FJ365,FH$4:FH365))</f>
        <v>0</v>
      </c>
      <c r="FO365" s="200" t="str">
        <f t="shared" si="620"/>
        <v/>
      </c>
      <c r="FP365" s="203">
        <f>IF($J365="",#N/A,SUM(FO$4:FO365))</f>
        <v>0</v>
      </c>
      <c r="FQ365" s="204" t="str">
        <f t="shared" si="621"/>
        <v/>
      </c>
      <c r="FR365" s="204">
        <f>IF($J365="",#N/A,SUM(FQ$4:FQ365))</f>
        <v>0</v>
      </c>
      <c r="FS365" s="205" t="str">
        <f t="shared" si="622"/>
        <v/>
      </c>
      <c r="FT365" s="205">
        <f>IF($J365="",#N/A,SUM(FS$4:FS365))</f>
        <v>0</v>
      </c>
      <c r="FU365" s="205">
        <f>IF($J365="",#N/A,SUM(FS$4:FS365,FQ$4:FQ365,FO$4:FO365))</f>
        <v>0</v>
      </c>
      <c r="FV365" s="200" t="str">
        <f t="shared" si="623"/>
        <v/>
      </c>
      <c r="FW365" s="203">
        <f>IF($J365="",#N/A,SUM(FV$4:FV365))</f>
        <v>6.6834991831277585E-2</v>
      </c>
      <c r="FX365" s="204" t="str">
        <f t="shared" si="624"/>
        <v/>
      </c>
      <c r="FY365" s="204">
        <f>IF($J365="",#N/A,SUM(FX$4:FX365))</f>
        <v>-0.16102012791805576</v>
      </c>
      <c r="FZ365" s="205" t="str">
        <f t="shared" si="625"/>
        <v/>
      </c>
      <c r="GA365" s="205">
        <f>IF($J365="",#N/A,SUM(FZ$4:FZ365))</f>
        <v>-0.69624339162892301</v>
      </c>
      <c r="GB365" s="205">
        <f>IF($J365="",#N/A,SUM(FZ$4:FZ365,FX$4:FX365,FV$4:FV365))</f>
        <v>-0.79042852771570116</v>
      </c>
      <c r="GC365" s="200" t="str">
        <f t="shared" si="626"/>
        <v/>
      </c>
      <c r="GD365" s="203">
        <f>IF($J365="",#N/A,SUM(GC$4:GC365))</f>
        <v>0</v>
      </c>
      <c r="GE365" s="204" t="str">
        <f t="shared" si="627"/>
        <v/>
      </c>
      <c r="GF365" s="204">
        <f>IF($J365="",#N/A,SUM(GE$4:GE365))</f>
        <v>0</v>
      </c>
      <c r="GG365" s="205" t="str">
        <f t="shared" si="628"/>
        <v/>
      </c>
      <c r="GH365" s="205">
        <f>IF($J365="",#N/A,SUM(GG$4:GG365))</f>
        <v>-2.9368362277223206</v>
      </c>
      <c r="GI365" s="205">
        <f>IF($J365="",#N/A,SUM(GG$4:GG365,GE$4:GE365,GC$4:GC365))</f>
        <v>-2.9368362277223206</v>
      </c>
      <c r="GJ365" s="200" t="str">
        <f t="shared" si="629"/>
        <v/>
      </c>
      <c r="GK365" s="203">
        <f>IF($J365="",#N/A,SUM(GJ$4:GJ365))</f>
        <v>0</v>
      </c>
      <c r="GL365" s="204" t="str">
        <f t="shared" si="630"/>
        <v/>
      </c>
      <c r="GM365" s="204">
        <f>IF($J365="",#N/A,SUM(GL$4:GL365))</f>
        <v>-2.0621307233432784</v>
      </c>
      <c r="GN365" s="205" t="str">
        <f t="shared" si="631"/>
        <v/>
      </c>
      <c r="GO365" s="205">
        <f>IF($J365="",#N/A,SUM(GN$4:GN365))</f>
        <v>0</v>
      </c>
      <c r="GP365" s="205">
        <f>IF($J365="",#N/A,SUM(GN$4:GN365,GL$4:GL365,GJ$4:GJ365))</f>
        <v>-2.0621307233432784</v>
      </c>
      <c r="GS365" s="303">
        <f t="shared" si="650"/>
        <v>0</v>
      </c>
      <c r="GT365" s="303">
        <f>IF(GS365="",NA(),SUM($GS$4:GS365))</f>
        <v>12.153910439460208</v>
      </c>
      <c r="GU365" s="303" t="str">
        <f t="shared" si="632"/>
        <v/>
      </c>
      <c r="GV365" s="303" t="e">
        <f>IF(GU365="",NA(),SUM($GU$4:GU365))</f>
        <v>#N/A</v>
      </c>
      <c r="GW365" s="303">
        <f t="shared" si="633"/>
        <v>0</v>
      </c>
      <c r="GX365" s="303">
        <f>IF(GW365="",NA(),SUM($GW$4:GW365))</f>
        <v>8.5439953337599004</v>
      </c>
      <c r="GY365" s="303" t="str">
        <f t="shared" si="634"/>
        <v/>
      </c>
      <c r="GZ365" s="303" t="e">
        <f>IF(GY365="",NA(),SUM($GY$4:GY365))</f>
        <v>#N/A</v>
      </c>
      <c r="HA365" s="303" t="str">
        <f t="shared" si="635"/>
        <v/>
      </c>
      <c r="HB365" s="303" t="e">
        <f>IF(HA365="",NA(),SUM($HA$4:HA365))</f>
        <v>#N/A</v>
      </c>
      <c r="HC365" s="303" t="str">
        <f t="shared" si="636"/>
        <v/>
      </c>
      <c r="HD365" s="303" t="e">
        <f>IF(HC365="",NA(),SUM($HC$4:HC365))</f>
        <v>#N/A</v>
      </c>
      <c r="HE365" s="303" t="str">
        <f t="shared" si="637"/>
        <v/>
      </c>
      <c r="HF365" s="303" t="e">
        <f>IF(HE365="",NA(),SUM($HE$4:HE365))</f>
        <v>#N/A</v>
      </c>
      <c r="HG365" s="303" t="str">
        <f t="shared" si="638"/>
        <v/>
      </c>
      <c r="HH365" s="303" t="e">
        <f>IF(HG365="",NA(),SUM($HG$4:HG365))</f>
        <v>#N/A</v>
      </c>
      <c r="HI365" s="304" t="str">
        <f t="shared" si="651"/>
        <v/>
      </c>
      <c r="HJ365" s="304">
        <f>IF($J365="",#N/A,SUM(HI$4:$HI365))</f>
        <v>-10.162234665497841</v>
      </c>
      <c r="HK365" s="303" t="str">
        <f t="shared" si="639"/>
        <v/>
      </c>
      <c r="HL365" s="303">
        <f>IF($J365="",#N/A,SUM($HK$4:HK365))</f>
        <v>2.7460981583887896</v>
      </c>
      <c r="HM365" s="303" t="str">
        <f t="shared" si="640"/>
        <v/>
      </c>
      <c r="HN365" s="303">
        <f>IF($J365="",#N/A,SUM($HM$4:HM365))</f>
        <v>-0.16355665587253121</v>
      </c>
      <c r="HO365" s="303" t="str">
        <f t="shared" si="641"/>
        <v/>
      </c>
      <c r="HP365" s="303">
        <f>IF($J365="",#N/A,SUM($HO$4:HO365))</f>
        <v>0.25389852520808864</v>
      </c>
      <c r="HQ365" s="303" t="str">
        <f t="shared" si="642"/>
        <v/>
      </c>
      <c r="HR365" s="303">
        <f>IF($J365="",#N/A,SUM($HQ$4:HQ365))</f>
        <v>-11.745401831760597</v>
      </c>
      <c r="HS365" s="303" t="str">
        <f t="shared" si="643"/>
        <v/>
      </c>
      <c r="HT365" s="303">
        <f>IF($J365="",#N/A,SUM($HS$4:HS365))</f>
        <v>14.233638697012335</v>
      </c>
      <c r="HU365" s="305">
        <f t="shared" si="644"/>
        <v>1.977401129943503E-2</v>
      </c>
      <c r="HV365" s="305">
        <f>IF($J365="",#N/A,SUM(HU$4:$HU365))</f>
        <v>8.8335061221550291</v>
      </c>
    </row>
    <row r="366" spans="1:230" x14ac:dyDescent="0.25">
      <c r="A366" s="59" t="s">
        <v>1176</v>
      </c>
      <c r="B366" s="289" t="s">
        <v>5545</v>
      </c>
      <c r="C366" s="230">
        <f t="shared" si="545"/>
        <v>3</v>
      </c>
      <c r="D366" s="220" t="str">
        <f>_xlfn.XLOOKUP(A366,[1]SP500!$A$2:$A$502,[1]SP500!$D$2:$D$502,"N")</f>
        <v>N</v>
      </c>
      <c r="E366" s="59" t="str">
        <f>IFERROR(_xlfn.XLOOKUP(A366,[1]SP500!$A$2:$A$655,[1]SP500!$B$2:$B$655),"")</f>
        <v>IGV</v>
      </c>
      <c r="F366" s="290">
        <v>45804</v>
      </c>
      <c r="G366" s="59" t="str">
        <f t="shared" si="546"/>
        <v>AMC</v>
      </c>
      <c r="H366" s="59" t="str">
        <f t="shared" si="547"/>
        <v>s</v>
      </c>
      <c r="I366" s="376">
        <v>31.45</v>
      </c>
      <c r="J366" s="125">
        <v>34.86</v>
      </c>
      <c r="K366" s="60">
        <f t="shared" si="548"/>
        <v>0.10842607313195549</v>
      </c>
      <c r="L366" s="68">
        <f t="shared" si="549"/>
        <v>150.03999999999996</v>
      </c>
      <c r="M366" s="62">
        <f t="shared" si="550"/>
        <v>23.759999999999991</v>
      </c>
      <c r="N366" s="63">
        <f t="shared" si="551"/>
        <v>150.03999999999996</v>
      </c>
      <c r="O366" s="62">
        <f>IF(N366="",#N/A,SUM($N$4:N366))</f>
        <v>818.22937556162458</v>
      </c>
      <c r="P366" s="64">
        <f t="shared" si="645"/>
        <v>1.8071012188659246</v>
      </c>
      <c r="Q366" s="183">
        <f>IF($N366="",#N/A,SUM($P$4:P366))</f>
        <v>15.974338569410259</v>
      </c>
      <c r="R366" s="279">
        <f t="shared" si="552"/>
        <v>7.4140420795487678</v>
      </c>
      <c r="S366" s="59" t="str">
        <f t="shared" si="553"/>
        <v>SW</v>
      </c>
      <c r="T366" s="59" t="s">
        <v>2828</v>
      </c>
      <c r="U366" s="61">
        <f t="shared" si="554"/>
        <v>31.45</v>
      </c>
      <c r="V366" s="61" t="s">
        <v>4460</v>
      </c>
      <c r="W366" s="142">
        <v>44</v>
      </c>
      <c r="X366" s="146">
        <f t="shared" si="555"/>
        <v>1383.8</v>
      </c>
      <c r="Y366" s="142">
        <f t="shared" si="556"/>
        <v>44</v>
      </c>
      <c r="Z366" s="143">
        <v>35.4</v>
      </c>
      <c r="AA366" s="63">
        <f t="shared" si="557"/>
        <v>173.79999999999995</v>
      </c>
      <c r="AB366" s="63">
        <f t="shared" si="558"/>
        <v>238.48000000000002</v>
      </c>
      <c r="AC366" s="125">
        <v>36.869999999999997</v>
      </c>
      <c r="AD366" s="148">
        <f t="shared" si="559"/>
        <v>238.48000000000002</v>
      </c>
      <c r="AE366" s="544">
        <f t="shared" si="560"/>
        <v>2.8722840487546377</v>
      </c>
      <c r="AF366" s="62">
        <f>IF($AC366="",#N/A,SUM(AD$4:AD366))</f>
        <v>707.7223971474491</v>
      </c>
      <c r="AG366" s="63">
        <f t="shared" si="561"/>
        <v>88.440000000000055</v>
      </c>
      <c r="AH366" s="61" t="s">
        <v>2507</v>
      </c>
      <c r="AI366" s="64">
        <f t="shared" si="562"/>
        <v>2.0932697403285636</v>
      </c>
      <c r="AJ366" s="420">
        <f>IF(AI366="",#N/A,SUM($AI$4:AI366))</f>
        <v>8.5602964898614911</v>
      </c>
      <c r="AK366" s="62">
        <f t="shared" si="563"/>
        <v>173.79999999999995</v>
      </c>
      <c r="AL366" s="421">
        <f>IF(AI366="",#N/A,IF(AH366="Skip",SUM($AK$4:AK366),SUM($AK$4:AK366)))</f>
        <v>318.95236927848214</v>
      </c>
      <c r="AM366" s="65">
        <f t="shared" si="646"/>
        <v>2.8722840487546377</v>
      </c>
      <c r="AN366" s="209"/>
      <c r="AO366" s="64">
        <f t="shared" si="564"/>
        <v>2.8722840487546377</v>
      </c>
      <c r="AP366" s="64">
        <f>IF($AC366="",#N/A,SUM(AO$4:AO366))</f>
        <v>8.2314047424451147</v>
      </c>
      <c r="AQ366" s="64" t="str">
        <f t="shared" si="565"/>
        <v/>
      </c>
      <c r="AR366" s="64">
        <f>IF($AC366="",#N/A,SUM(AQ$4:AQ366))</f>
        <v>-5.2141323050827273</v>
      </c>
      <c r="AS366" s="64" t="str">
        <f t="shared" si="566"/>
        <v/>
      </c>
      <c r="AT366" s="64">
        <f>IF($AC366="",#N/A,SUM(AS$4:AS366))</f>
        <v>8.6885177335472719</v>
      </c>
      <c r="AU366" s="62">
        <f t="shared" si="647"/>
        <v>238.48000000000002</v>
      </c>
      <c r="AV366" s="62">
        <f>IF($AC366="",#N/A,SUM(AU$4:AU366))</f>
        <v>393.09627194988002</v>
      </c>
      <c r="AW366" s="62" t="str">
        <f t="shared" si="648"/>
        <v/>
      </c>
      <c r="AX366" s="62">
        <f>IF($AC366="",#N/A,SUM(AW$4:AW366))</f>
        <v>-360.89106797961085</v>
      </c>
      <c r="AY366" s="62" t="str">
        <f t="shared" si="649"/>
        <v/>
      </c>
      <c r="AZ366" s="62">
        <f>IF($AC366="",#N/A,SUM(AY$4:AY366))</f>
        <v>675.51719317717982</v>
      </c>
      <c r="BA366" s="62">
        <f>IF(AD366="",#N/A,SUM($AD$4:AD366))</f>
        <v>707.7223971474491</v>
      </c>
      <c r="BC366" s="59" t="str">
        <f t="shared" si="567"/>
        <v/>
      </c>
      <c r="BD366" s="59" t="str">
        <f t="shared" si="568"/>
        <v/>
      </c>
      <c r="BE366" s="59">
        <f t="shared" si="569"/>
        <v>1</v>
      </c>
      <c r="BF366" s="59" t="str">
        <f t="shared" si="570"/>
        <v>Long</v>
      </c>
      <c r="BG366" s="59" t="str">
        <f t="shared" si="571"/>
        <v/>
      </c>
      <c r="BH366" s="59" t="str">
        <f t="shared" si="572"/>
        <v/>
      </c>
      <c r="BI366" s="59" t="str">
        <f t="shared" si="573"/>
        <v/>
      </c>
      <c r="BK366" s="65">
        <f t="shared" si="544"/>
        <v>-1.7425262017526144E-2</v>
      </c>
      <c r="BL366" s="65">
        <f t="shared" si="652"/>
        <v>-0.15554348186099395</v>
      </c>
      <c r="BM366" s="65">
        <f>IFERROR(Q366/COUNTA($J$4:J366),#N/A)</f>
        <v>4.4006442339973167E-2</v>
      </c>
      <c r="BO366" s="489">
        <f>IF(J366="",#N/A,IF(S366="SW",(COUNTIFS(K$4:$K366,"&gt;0",S$4:$S366,"SW")/COUNTIF(S$4:$S366,"SW")),#N/A))</f>
        <v>0.5</v>
      </c>
      <c r="BP366" s="489" t="e">
        <f>IF($J366="",#N/A,IF($S366="DWN",(COUNTIFS($K$4:$K366,"&lt;0",$S$4:$S366,"DWN")/COUNTIF($S$4:$S366,"DWN")),#N/A))</f>
        <v>#N/A</v>
      </c>
      <c r="BQ366" s="489" t="e">
        <f>IF($J366="",#N/A,IF($S366="UP",(COUNTIFS($K$4:$K366,"&gt;0",$S$4:$S366,"UP")/COUNTIF($S$4:$S366,"UP")),#N/A))</f>
        <v>#N/A</v>
      </c>
      <c r="BR366" s="489">
        <f>IF(J366="",#N/A,COUNTIF($K$4:K366,"&gt;0")/COUNT($J$4:J366))</f>
        <v>0.46831955922865015</v>
      </c>
      <c r="BS366" s="65">
        <f t="shared" si="574"/>
        <v>1.8071012188659246</v>
      </c>
      <c r="BT366" s="65" t="str">
        <f t="shared" si="575"/>
        <v/>
      </c>
      <c r="BU366" s="65" t="str">
        <f t="shared" si="576"/>
        <v/>
      </c>
      <c r="BV366" s="65" t="str">
        <f t="shared" si="577"/>
        <v/>
      </c>
      <c r="BW366" s="128" t="str">
        <f t="shared" si="578"/>
        <v/>
      </c>
      <c r="BX366" s="128">
        <f>IF($J366="",#N/A,SUM($BW$4:BW366))</f>
        <v>-371.68817034792892</v>
      </c>
      <c r="BY366" s="131" t="str">
        <f t="shared" si="579"/>
        <v/>
      </c>
      <c r="BZ366" s="131">
        <f>IF($J366="",#N/A,SUM($BY$4:BY366))</f>
        <v>1036.3516134613947</v>
      </c>
      <c r="CA366" s="133">
        <f t="shared" si="580"/>
        <v>150.03999999999996</v>
      </c>
      <c r="CB366" s="133">
        <f>IF($J366="",#N/A,SUM($CA$4:CA366))</f>
        <v>153.56593244815861</v>
      </c>
      <c r="CC366" s="194" t="str">
        <f t="shared" si="581"/>
        <v/>
      </c>
      <c r="CD366" s="194">
        <f>IF($J366="",#N/A,SUM($CC$4:CC366))</f>
        <v>-5.3044741744182824</v>
      </c>
      <c r="CE366" s="195" t="str">
        <f t="shared" si="582"/>
        <v/>
      </c>
      <c r="CF366" s="195">
        <f>IF($J366="",#N/A,SUM($CE$4:CE366))</f>
        <v>16.104654240656334</v>
      </c>
      <c r="CG366" s="196">
        <f t="shared" si="583"/>
        <v>1.8071012188659246</v>
      </c>
      <c r="CH366" s="196">
        <f>IF($J366="",#N/A,SUM($CG$4:CG366))</f>
        <v>5.1741585031722162</v>
      </c>
      <c r="CI366" s="200" t="str">
        <f t="shared" si="584"/>
        <v/>
      </c>
      <c r="CJ366" s="203">
        <f>IF($J366="",#N/A,SUM(CI$4:CI366))</f>
        <v>0</v>
      </c>
      <c r="CK366" s="204" t="str">
        <f t="shared" si="585"/>
        <v/>
      </c>
      <c r="CL366" s="204">
        <f>IF($J366="",#N/A,SUM(CK$4:CK366))</f>
        <v>1.2912501745213723</v>
      </c>
      <c r="CM366" s="205" t="str">
        <f t="shared" si="586"/>
        <v/>
      </c>
      <c r="CN366" s="205">
        <f>IF($J366="",#N/A,SUM(CM$4:CM366))</f>
        <v>1.357235719871134</v>
      </c>
      <c r="CO366" s="205">
        <f>IF($J366="",#N/A,SUM(CM$4:CM366,CK$4:CK366,CI$4:CI366))</f>
        <v>2.6484858943925063</v>
      </c>
      <c r="CP366" s="200" t="str">
        <f t="shared" si="587"/>
        <v/>
      </c>
      <c r="CQ366" s="203">
        <f>IF($J366="",#N/A,SUM(CP$4:CP366))</f>
        <v>-1.71930060052745</v>
      </c>
      <c r="CR366" s="204" t="str">
        <f t="shared" si="588"/>
        <v/>
      </c>
      <c r="CS366" s="204">
        <f>IF($J366="",#N/A,SUM(CR$4:CR366))</f>
        <v>2.3600225017004668</v>
      </c>
      <c r="CT366" s="205">
        <f t="shared" si="589"/>
        <v>1.8071012188659246</v>
      </c>
      <c r="CU366" s="205">
        <f>IF($J366="",#N/A,SUM(CT$4:CT366))</f>
        <v>-3.2469967661908816</v>
      </c>
      <c r="CV366" s="205">
        <f>IF($J366="",#N/A,SUM(CT$4:CT366,CR$4:CR366,CP$4:CP366))</f>
        <v>-2.6062748650178649</v>
      </c>
      <c r="CW366" s="200" t="str">
        <f t="shared" si="590"/>
        <v/>
      </c>
      <c r="CX366" s="203">
        <f>IF($J366="",#N/A,SUM(CW$4:CW366))</f>
        <v>-3.3082659491100586</v>
      </c>
      <c r="CY366" s="204" t="str">
        <f t="shared" si="591"/>
        <v/>
      </c>
      <c r="CZ366" s="204">
        <f>IF($J366="",#N/A,SUM(CY$4:CY366))</f>
        <v>3.4158439394052458</v>
      </c>
      <c r="DA366" s="205" t="str">
        <f t="shared" si="592"/>
        <v/>
      </c>
      <c r="DB366" s="205">
        <f>IF($J366="",#N/A,SUM(DA$4:DA366))</f>
        <v>-3.6020278946927151</v>
      </c>
      <c r="DC366" s="205">
        <f>IF($J366="",#N/A,SUM(DA$4:DA366,CY$4:CY366,CW$4:CW366))</f>
        <v>-3.4944499043975288</v>
      </c>
      <c r="DD366" s="200" t="str">
        <f t="shared" si="593"/>
        <v/>
      </c>
      <c r="DE366" s="203">
        <f>IF($J366="",#N/A,SUM(DD$4:DD366))</f>
        <v>1.6161029218801881</v>
      </c>
      <c r="DF366" s="204" t="str">
        <f t="shared" si="594"/>
        <v/>
      </c>
      <c r="DG366" s="204">
        <f>IF($J366="",#N/A,SUM(DF$4:DF366))</f>
        <v>4.1810385231482243</v>
      </c>
      <c r="DH366" s="205" t="str">
        <f t="shared" si="595"/>
        <v/>
      </c>
      <c r="DI366" s="205">
        <f>IF($J366="",#N/A,SUM(DH$4:DH366))</f>
        <v>-3.216671910770577</v>
      </c>
      <c r="DJ366" s="205">
        <f>IF($J366="",#N/A,SUM(DH$4:DH366,DF$4:DF366,DD$4:DD366))</f>
        <v>2.5804695342578352</v>
      </c>
      <c r="DK366" s="200" t="str">
        <f t="shared" si="596"/>
        <v/>
      </c>
      <c r="DL366" s="203">
        <f>IF($J366="",#N/A,SUM(DK$4:DK366))</f>
        <v>-0.84049791589649614</v>
      </c>
      <c r="DM366" s="204" t="str">
        <f t="shared" si="597"/>
        <v/>
      </c>
      <c r="DN366" s="204">
        <f>IF($J366="",#N/A,SUM(DM$4:DM366))</f>
        <v>1.8657648196498773</v>
      </c>
      <c r="DO366" s="205" t="str">
        <f t="shared" si="598"/>
        <v/>
      </c>
      <c r="DP366" s="205">
        <f>IF($J366="",#N/A,SUM(DO$4:DO366))</f>
        <v>3.4887162328793941</v>
      </c>
      <c r="DQ366" s="205">
        <f>IF($J366="",#N/A,SUM(DO$4:DO366,DM$4:DM366,DK$4:DK366))</f>
        <v>4.5139831366327758</v>
      </c>
      <c r="DR366" s="200" t="str">
        <f t="shared" si="599"/>
        <v/>
      </c>
      <c r="DS366" s="203">
        <f>IF($J366="",#N/A,SUM(DR$4:DR366))</f>
        <v>-0.55950946427675097</v>
      </c>
      <c r="DT366" s="204" t="str">
        <f t="shared" si="600"/>
        <v/>
      </c>
      <c r="DU366" s="204">
        <f>IF($J366="",#N/A,SUM(DT$4:DT366))</f>
        <v>-0.20750635820596686</v>
      </c>
      <c r="DV366" s="205" t="str">
        <f t="shared" si="601"/>
        <v/>
      </c>
      <c r="DW366" s="205">
        <f>IF($J366="",#N/A,SUM(DV$4:DV366))</f>
        <v>-2.3377035686214001</v>
      </c>
      <c r="DX366" s="205">
        <f>IF($J366="",#N/A,SUM(DV$4:DV366,DT$4:DT366,DR$4:DR366))</f>
        <v>-3.1047193911041169</v>
      </c>
      <c r="DY366" s="200" t="str">
        <f t="shared" si="602"/>
        <v/>
      </c>
      <c r="DZ366" s="203">
        <f>IF($J366="",#N/A,SUM(DY$4:DY366))</f>
        <v>-1.4146842415208627</v>
      </c>
      <c r="EA366" s="204" t="str">
        <f t="shared" si="603"/>
        <v/>
      </c>
      <c r="EB366" s="204">
        <f>IF($J366="",#N/A,SUM(EA$4:EA366))</f>
        <v>4.3184391548878134</v>
      </c>
      <c r="EC366" s="205" t="str">
        <f t="shared" si="604"/>
        <v/>
      </c>
      <c r="ED366" s="205">
        <f>IF($J366="",#N/A,SUM(EC$4:EC366))</f>
        <v>8.4384553208490907</v>
      </c>
      <c r="EE366" s="205">
        <f>IF($J366="",#N/A,SUM(EC$4:EC366,EA$4:EA366,DY$4:DY366))</f>
        <v>11.342210234216044</v>
      </c>
      <c r="EF366" s="200" t="str">
        <f t="shared" si="605"/>
        <v/>
      </c>
      <c r="EG366" s="203">
        <f>IF($J366="",#N/A,SUM(EF$4:EF366))</f>
        <v>0.65848341369884777</v>
      </c>
      <c r="EH366" s="204" t="str">
        <f t="shared" si="606"/>
        <v/>
      </c>
      <c r="EI366" s="204">
        <f>IF($J366="",#N/A,SUM(EH$4:EH366))</f>
        <v>-3.5125331561187787</v>
      </c>
      <c r="EJ366" s="205" t="str">
        <f t="shared" si="607"/>
        <v/>
      </c>
      <c r="EK366" s="205">
        <f>IF($J366="",#N/A,SUM(EJ$4:EJ366))</f>
        <v>8.4840381642896556</v>
      </c>
      <c r="EL366" s="205">
        <f>IF($J366="",#N/A,SUM(EJ$4:EJ366,EH$4:EH366,EF$4:EF366))</f>
        <v>5.6299884218697258</v>
      </c>
      <c r="EM366" s="200" t="str">
        <f t="shared" si="608"/>
        <v/>
      </c>
      <c r="EN366" s="203">
        <f>IF($J366="",#N/A,SUM(EM$4:EM366))</f>
        <v>0</v>
      </c>
      <c r="EO366" s="204" t="str">
        <f t="shared" si="609"/>
        <v/>
      </c>
      <c r="EP366" s="204">
        <f>IF($J366="",#N/A,SUM(EO$4:EO366))</f>
        <v>2.4788862078089964</v>
      </c>
      <c r="EQ366" s="205" t="str">
        <f t="shared" si="610"/>
        <v/>
      </c>
      <c r="ER366" s="205">
        <f>IF($J366="",#N/A,SUM(EQ$4:EQ366))</f>
        <v>1.7856049065476487</v>
      </c>
      <c r="ES366" s="205">
        <f>IF($J366="",#N/A,SUM(EQ$4:EQ366,EO$4:EO366,EM$4:EM366))</f>
        <v>4.2644911143566446</v>
      </c>
      <c r="ET366" s="200" t="str">
        <f t="shared" si="611"/>
        <v/>
      </c>
      <c r="EU366" s="203">
        <f>IF($J366="",#N/A,SUM(ET$4:ET366))</f>
        <v>0</v>
      </c>
      <c r="EV366" s="204" t="str">
        <f t="shared" si="612"/>
        <v/>
      </c>
      <c r="EW366" s="204">
        <f>IF($J366="",#N/A,SUM(EV$4:EV366))</f>
        <v>7.9116394275462909E-2</v>
      </c>
      <c r="EX366" s="205" t="str">
        <f t="shared" si="613"/>
        <v/>
      </c>
      <c r="EY366" s="205">
        <f>IF($J366="",#N/A,SUM(EX$4:EX366))</f>
        <v>-0.38863392418374743</v>
      </c>
      <c r="EZ366" s="205">
        <f>IF($J366="",#N/A,SUM(EX$4:EX366,EV$4:EV366,ET$4:ET366))</f>
        <v>-0.30951752990828441</v>
      </c>
      <c r="FA366" s="200" t="str">
        <f t="shared" si="614"/>
        <v/>
      </c>
      <c r="FB366" s="203">
        <f>IF($J366="",#N/A,SUM(FA$4:FA366))</f>
        <v>-0.27145310509113252</v>
      </c>
      <c r="FC366" s="204" t="str">
        <f t="shared" si="615"/>
        <v/>
      </c>
      <c r="FD366" s="204">
        <f>IF($J366="",#N/A,SUM(FC$4:FC366))</f>
        <v>0.89084290967454072</v>
      </c>
      <c r="FE366" s="205" t="str">
        <f t="shared" si="616"/>
        <v/>
      </c>
      <c r="FF366" s="205">
        <f>IF($J366="",#N/A,SUM(FE$4:FE366))</f>
        <v>-0.28811149078748233</v>
      </c>
      <c r="FG366" s="205">
        <f>IF($J366="",#N/A,SUM(FE$4:FE366,FC$4:FC366,FA$4:FA366))</f>
        <v>0.3312783137959262</v>
      </c>
      <c r="FH366" s="200" t="str">
        <f t="shared" si="617"/>
        <v/>
      </c>
      <c r="FI366" s="203">
        <f>IF($J366="",#N/A,SUM(FH$4:FH366))</f>
        <v>0</v>
      </c>
      <c r="FJ366" s="204" t="str">
        <f t="shared" si="618"/>
        <v/>
      </c>
      <c r="FK366" s="204">
        <f>IF($J366="",#N/A,SUM(FJ$4:FJ366))</f>
        <v>0</v>
      </c>
      <c r="FL366" s="205" t="str">
        <f t="shared" si="619"/>
        <v/>
      </c>
      <c r="FM366" s="205">
        <f>IF($J366="",#N/A,SUM(FL$4:FL366))</f>
        <v>0</v>
      </c>
      <c r="FN366" s="205">
        <f>IF($J366="",#N/A,SUM(FL$4:FL366,FJ$4:FJ366,FH$4:FH366))</f>
        <v>0</v>
      </c>
      <c r="FO366" s="200" t="str">
        <f t="shared" si="620"/>
        <v/>
      </c>
      <c r="FP366" s="203">
        <f>IF($J366="",#N/A,SUM(FO$4:FO366))</f>
        <v>0</v>
      </c>
      <c r="FQ366" s="204" t="str">
        <f t="shared" si="621"/>
        <v/>
      </c>
      <c r="FR366" s="204">
        <f>IF($J366="",#N/A,SUM(FQ$4:FQ366))</f>
        <v>0</v>
      </c>
      <c r="FS366" s="205" t="str">
        <f t="shared" si="622"/>
        <v/>
      </c>
      <c r="FT366" s="205">
        <f>IF($J366="",#N/A,SUM(FS$4:FS366))</f>
        <v>0</v>
      </c>
      <c r="FU366" s="205">
        <f>IF($J366="",#N/A,SUM(FS$4:FS366,FQ$4:FQ366,FO$4:FO366))</f>
        <v>0</v>
      </c>
      <c r="FV366" s="200" t="str">
        <f t="shared" si="623"/>
        <v/>
      </c>
      <c r="FW366" s="203">
        <f>IF($J366="",#N/A,SUM(FV$4:FV366))</f>
        <v>6.6834991831277585E-2</v>
      </c>
      <c r="FX366" s="204" t="str">
        <f t="shared" si="624"/>
        <v/>
      </c>
      <c r="FY366" s="204">
        <f>IF($J366="",#N/A,SUM(FX$4:FX366))</f>
        <v>-0.16102012791805576</v>
      </c>
      <c r="FZ366" s="205" t="str">
        <f t="shared" si="625"/>
        <v/>
      </c>
      <c r="GA366" s="205">
        <f>IF($J366="",#N/A,SUM(FZ$4:FZ366))</f>
        <v>-0.69624339162892301</v>
      </c>
      <c r="GB366" s="205">
        <f>IF($J366="",#N/A,SUM(FZ$4:FZ366,FX$4:FX366,FV$4:FV366))</f>
        <v>-0.79042852771570116</v>
      </c>
      <c r="GC366" s="200" t="str">
        <f t="shared" si="626"/>
        <v/>
      </c>
      <c r="GD366" s="203">
        <f>IF($J366="",#N/A,SUM(GC$4:GC366))</f>
        <v>0</v>
      </c>
      <c r="GE366" s="204" t="str">
        <f t="shared" si="627"/>
        <v/>
      </c>
      <c r="GF366" s="204">
        <f>IF($J366="",#N/A,SUM(GE$4:GE366))</f>
        <v>0</v>
      </c>
      <c r="GG366" s="205" t="str">
        <f t="shared" si="628"/>
        <v/>
      </c>
      <c r="GH366" s="205">
        <f>IF($J366="",#N/A,SUM(GG$4:GG366))</f>
        <v>-2.9368362277223206</v>
      </c>
      <c r="GI366" s="205">
        <f>IF($J366="",#N/A,SUM(GG$4:GG366,GE$4:GE366,GC$4:GC366))</f>
        <v>-2.9368362277223206</v>
      </c>
      <c r="GJ366" s="200" t="str">
        <f t="shared" si="629"/>
        <v/>
      </c>
      <c r="GK366" s="203">
        <f>IF($J366="",#N/A,SUM(GJ$4:GJ366))</f>
        <v>0</v>
      </c>
      <c r="GL366" s="204" t="str">
        <f t="shared" si="630"/>
        <v/>
      </c>
      <c r="GM366" s="204">
        <f>IF($J366="",#N/A,SUM(GL$4:GL366))</f>
        <v>-2.0621307233432784</v>
      </c>
      <c r="GN366" s="205" t="str">
        <f t="shared" si="631"/>
        <v/>
      </c>
      <c r="GO366" s="205">
        <f>IF($J366="",#N/A,SUM(GN$4:GN366))</f>
        <v>0</v>
      </c>
      <c r="GP366" s="205">
        <f>IF($J366="",#N/A,SUM(GN$4:GN366,GL$4:GL366,GJ$4:GJ366))</f>
        <v>-2.0621307233432784</v>
      </c>
      <c r="GS366" s="177" t="str">
        <f t="shared" si="650"/>
        <v/>
      </c>
      <c r="GT366" s="177" t="e">
        <f>IF(GS366="",NA(),SUM($GS$4:GS366))</f>
        <v>#N/A</v>
      </c>
      <c r="GU366" s="177" t="str">
        <f t="shared" si="632"/>
        <v/>
      </c>
      <c r="GV366" s="177" t="e">
        <f>IF(GU366="",NA(),SUM($GU$4:GU366))</f>
        <v>#N/A</v>
      </c>
      <c r="GW366" s="177" t="str">
        <f t="shared" si="633"/>
        <v/>
      </c>
      <c r="GX366" s="177" t="e">
        <f>IF(GW366="",NA(),SUM($GW$4:GW366))</f>
        <v>#N/A</v>
      </c>
      <c r="GY366" s="177" t="str">
        <f t="shared" si="634"/>
        <v/>
      </c>
      <c r="GZ366" s="177" t="e">
        <f>IF(GY366="",NA(),SUM($GY$4:GY366))</f>
        <v>#N/A</v>
      </c>
      <c r="HA366" s="177">
        <f t="shared" si="635"/>
        <v>1.8071012188659246</v>
      </c>
      <c r="HB366" s="177">
        <f>IF(HA366="",NA(),SUM($HA$4:HA366))</f>
        <v>3.8204281299500495</v>
      </c>
      <c r="HC366" s="177" t="str">
        <f t="shared" si="636"/>
        <v/>
      </c>
      <c r="HD366" s="177" t="e">
        <f>IF(HC366="",NA(),SUM($HC$4:HC366))</f>
        <v>#N/A</v>
      </c>
      <c r="HE366" s="177">
        <f t="shared" si="637"/>
        <v>1.8071012188659246</v>
      </c>
      <c r="HF366" s="177">
        <f>IF(HE366="",NA(),SUM($HE$4:HE366))</f>
        <v>-3.369836830587686</v>
      </c>
      <c r="HG366" s="177" t="str">
        <f t="shared" si="638"/>
        <v/>
      </c>
      <c r="HH366" s="177" t="e">
        <f>IF(HG366="",NA(),SUM($HG$4:HG366))</f>
        <v>#N/A</v>
      </c>
      <c r="HI366" s="183" t="str">
        <f t="shared" si="651"/>
        <v/>
      </c>
      <c r="HJ366" s="183">
        <f>IF($J366="",#N/A,SUM(HI$4:$HI366))</f>
        <v>-10.162234665497841</v>
      </c>
      <c r="HK366" s="177" t="str">
        <f t="shared" si="639"/>
        <v/>
      </c>
      <c r="HL366" s="177">
        <f>IF($J366="",#N/A,SUM($HK$4:HK366))</f>
        <v>2.7460981583887896</v>
      </c>
      <c r="HM366" s="177" t="str">
        <f t="shared" si="640"/>
        <v/>
      </c>
      <c r="HN366" s="177">
        <f>IF($J366="",#N/A,SUM($HM$4:HM366))</f>
        <v>-0.16355665587253121</v>
      </c>
      <c r="HO366" s="177" t="str">
        <f t="shared" si="641"/>
        <v/>
      </c>
      <c r="HP366" s="177">
        <f>IF($J366="",#N/A,SUM($HO$4:HO366))</f>
        <v>0.25389852520808864</v>
      </c>
      <c r="HQ366" s="177">
        <f t="shared" si="642"/>
        <v>1.0651828298887132</v>
      </c>
      <c r="HR366" s="177">
        <f>IF($J366="",#N/A,SUM($HQ$4:HQ366))</f>
        <v>-10.680219001871885</v>
      </c>
      <c r="HS366" s="177" t="str">
        <f t="shared" si="643"/>
        <v/>
      </c>
      <c r="HT366" s="177">
        <f>IF($J366="",#N/A,SUM($HS$4:HS366))</f>
        <v>14.233638697012335</v>
      </c>
      <c r="HU366" s="64">
        <f t="shared" si="644"/>
        <v>2.8722840487546377</v>
      </c>
      <c r="HV366" s="64">
        <f>IF($J366="",#N/A,SUM(HU$4:$HU366))</f>
        <v>11.705790170909667</v>
      </c>
    </row>
    <row r="367" spans="1:230" x14ac:dyDescent="0.25">
      <c r="A367" s="275" t="s">
        <v>2577</v>
      </c>
      <c r="B367" s="52" t="s">
        <v>5545</v>
      </c>
      <c r="C367" s="276">
        <f t="shared" si="545"/>
        <v>1</v>
      </c>
      <c r="D367" s="277" t="str">
        <f>_xlfn.XLOOKUP(A367,[1]SP500!$A$2:$A$502,[1]SP500!$D$2:$D$502,"N")</f>
        <v>N</v>
      </c>
      <c r="E367" s="275" t="str">
        <f>IFERROR(_xlfn.XLOOKUP(A367,[1]SP500!$A$2:$A$655,[1]SP500!$B$2:$B$655),"")</f>
        <v>IGV</v>
      </c>
      <c r="F367" s="290">
        <v>45804</v>
      </c>
      <c r="G367" s="51" t="str">
        <f t="shared" si="546"/>
        <v>AMC</v>
      </c>
      <c r="H367" s="51" t="str">
        <f t="shared" si="547"/>
        <v>s</v>
      </c>
      <c r="I367" s="343">
        <v>125.5</v>
      </c>
      <c r="J367" s="124">
        <v>109.15</v>
      </c>
      <c r="K367" s="55">
        <f t="shared" si="548"/>
        <v>-0.13027888446215136</v>
      </c>
      <c r="L367" s="67">
        <f t="shared" si="549"/>
        <v>-179.84999999999991</v>
      </c>
      <c r="M367" s="57">
        <f t="shared" si="550"/>
        <v>-1.5399999999999636</v>
      </c>
      <c r="N367" s="102">
        <f t="shared" si="551"/>
        <v>-179.84999999999991</v>
      </c>
      <c r="O367" s="57">
        <f>IF(N367="",#N/A,SUM($N$4:N367))</f>
        <v>638.37937556162467</v>
      </c>
      <c r="P367" s="65">
        <f t="shared" si="645"/>
        <v>-2.1713147410358555</v>
      </c>
      <c r="Q367" s="172">
        <f>IF($N367="",#N/A,SUM($P$4:P367))</f>
        <v>13.803023828374403</v>
      </c>
      <c r="R367" s="279">
        <f t="shared" si="552"/>
        <v>7.4326343770255274</v>
      </c>
      <c r="S367" s="51" t="str">
        <f t="shared" si="553"/>
        <v>Up</v>
      </c>
      <c r="T367" s="51" t="s">
        <v>4461</v>
      </c>
      <c r="U367" s="56">
        <f t="shared" si="554"/>
        <v>125.5</v>
      </c>
      <c r="V367" s="56" t="s">
        <v>4460</v>
      </c>
      <c r="W367" s="142">
        <v>11</v>
      </c>
      <c r="X367" s="145">
        <f t="shared" si="555"/>
        <v>1380.5</v>
      </c>
      <c r="Y367" s="140">
        <f t="shared" si="556"/>
        <v>11</v>
      </c>
      <c r="Z367" s="141">
        <v>109.01</v>
      </c>
      <c r="AA367" s="102">
        <f t="shared" si="557"/>
        <v>-181.38999999999987</v>
      </c>
      <c r="AB367" s="102">
        <f t="shared" si="558"/>
        <v>-222.97000000000003</v>
      </c>
      <c r="AC367" s="123">
        <v>105.23</v>
      </c>
      <c r="AD367" s="155">
        <f t="shared" si="559"/>
        <v>-222.97000000000003</v>
      </c>
      <c r="AE367" s="545">
        <f t="shared" si="560"/>
        <v>-2.6918990703851264</v>
      </c>
      <c r="AF367" s="57">
        <f>IF($AC367="",#N/A,SUM(AD$4:AD367))</f>
        <v>484.75239714744907</v>
      </c>
      <c r="AG367" s="102">
        <f t="shared" si="561"/>
        <v>-43.120000000000118</v>
      </c>
      <c r="AH367" s="56" t="s">
        <v>2507</v>
      </c>
      <c r="AI367" s="65">
        <f t="shared" si="562"/>
        <v>-2.1899070385126147</v>
      </c>
      <c r="AJ367" s="108">
        <f>IF(AI367="",#N/A,SUM($AI$4:AI367))</f>
        <v>6.3703894513488759</v>
      </c>
      <c r="AK367" s="57">
        <f t="shared" si="563"/>
        <v>-181.38999999999987</v>
      </c>
      <c r="AL367" s="66">
        <f>IF(AI367="",#N/A,IF(AH367="Skip",SUM($AK$4:AK367),SUM($AK$4:AK367)))</f>
        <v>137.56236927848227</v>
      </c>
      <c r="AM367" s="65">
        <f t="shared" si="646"/>
        <v>-2.6918990703851264</v>
      </c>
      <c r="AN367" s="209"/>
      <c r="AO367" s="65" t="str">
        <f t="shared" si="564"/>
        <v/>
      </c>
      <c r="AP367" s="65">
        <f>IF($AC367="",#N/A,SUM(AO$4:AO367))</f>
        <v>8.2314047424451147</v>
      </c>
      <c r="AQ367" s="65">
        <f t="shared" si="565"/>
        <v>-2.6918990703851264</v>
      </c>
      <c r="AR367" s="65">
        <f>IF($AC367="",#N/A,SUM(AQ$4:AQ367))</f>
        <v>-7.9060313754678537</v>
      </c>
      <c r="AS367" s="65" t="str">
        <f t="shared" si="566"/>
        <v/>
      </c>
      <c r="AT367" s="65">
        <f>IF($AC367="",#N/A,SUM(AS$4:AS367))</f>
        <v>8.6885177335472719</v>
      </c>
      <c r="AU367" s="57" t="str">
        <f t="shared" si="647"/>
        <v/>
      </c>
      <c r="AV367" s="57">
        <f>IF($AC367="",#N/A,SUM(AU$4:AU367))</f>
        <v>393.09627194988002</v>
      </c>
      <c r="AW367" s="57">
        <f t="shared" si="648"/>
        <v>-222.97000000000003</v>
      </c>
      <c r="AX367" s="57">
        <f>IF($AC367="",#N/A,SUM(AW$4:AW367))</f>
        <v>-583.86106797961088</v>
      </c>
      <c r="AY367" s="57" t="str">
        <f t="shared" si="649"/>
        <v/>
      </c>
      <c r="AZ367" s="57">
        <f>IF($AC367="",#N/A,SUM(AY$4:AY367))</f>
        <v>675.51719317717982</v>
      </c>
      <c r="BA367" s="57">
        <f>IF(AD367="",#N/A,SUM($AD$4:AD367))</f>
        <v>484.75239714744907</v>
      </c>
      <c r="BC367" s="51" t="str">
        <f t="shared" si="567"/>
        <v/>
      </c>
      <c r="BD367" s="51" t="str">
        <f t="shared" si="568"/>
        <v/>
      </c>
      <c r="BE367" s="51" t="str">
        <f t="shared" si="569"/>
        <v/>
      </c>
      <c r="BF367" s="51" t="str">
        <f t="shared" si="570"/>
        <v>Long</v>
      </c>
      <c r="BG367" s="51" t="str">
        <f t="shared" si="571"/>
        <v/>
      </c>
      <c r="BH367" s="51">
        <f t="shared" si="572"/>
        <v>1</v>
      </c>
      <c r="BI367" s="51" t="str">
        <f t="shared" si="573"/>
        <v/>
      </c>
      <c r="BK367" s="65">
        <f t="shared" si="544"/>
        <v>-4.5347680869250978E-2</v>
      </c>
      <c r="BL367" s="65">
        <f t="shared" si="652"/>
        <v>-0.21828543726303862</v>
      </c>
      <c r="BM367" s="65">
        <f>IFERROR(Q367/COUNTA($J$4:J367),#N/A)</f>
        <v>3.792039513289671E-2</v>
      </c>
      <c r="BO367" s="489" t="e">
        <f>IF(J367="",#N/A,IF(S367="SW",(COUNTIFS(K$4:$K367,"&gt;0",S$4:$S367,"SW")/COUNTIF(S$4:$S367,"SW")),#N/A))</f>
        <v>#N/A</v>
      </c>
      <c r="BP367" s="489" t="e">
        <f>IF($J367="",#N/A,IF($S367="DWN",(COUNTIFS($K$4:$K367,"&lt;0",$S$4:$S367,"DWN")/COUNTIF($S$4:$S367,"DWN")),#N/A))</f>
        <v>#N/A</v>
      </c>
      <c r="BQ367" s="489">
        <f>IF($J367="",#N/A,IF($S367="UP",(COUNTIFS($K$4:$K367,"&gt;0",$S$4:$S367,"UP")/COUNTIF($S$4:$S367,"UP")),#N/A))</f>
        <v>0.44444444444444442</v>
      </c>
      <c r="BR367" s="489">
        <f>IF(J367="",#N/A,COUNTIF($K$4:K367,"&gt;0")/COUNT($J$4:J367))</f>
        <v>0.46703296703296704</v>
      </c>
      <c r="BS367" s="65" t="str">
        <f t="shared" si="574"/>
        <v/>
      </c>
      <c r="BT367" s="65">
        <f t="shared" si="575"/>
        <v>-2.1713147410358555</v>
      </c>
      <c r="BU367" s="65" t="str">
        <f t="shared" si="576"/>
        <v/>
      </c>
      <c r="BV367" s="65" t="str">
        <f t="shared" si="577"/>
        <v/>
      </c>
      <c r="BW367" s="128">
        <f t="shared" si="578"/>
        <v>-179.84999999999991</v>
      </c>
      <c r="BX367" s="128">
        <f>IF($J367="",#N/A,SUM($BW$4:BW367))</f>
        <v>-551.53817034792883</v>
      </c>
      <c r="BY367" s="131" t="str">
        <f t="shared" si="579"/>
        <v/>
      </c>
      <c r="BZ367" s="131">
        <f>IF($J367="",#N/A,SUM($BY$4:BY367))</f>
        <v>1036.3516134613947</v>
      </c>
      <c r="CA367" s="133" t="str">
        <f t="shared" si="580"/>
        <v/>
      </c>
      <c r="CB367" s="133">
        <f>IF($J367="",#N/A,SUM($CA$4:CA367))</f>
        <v>153.56593244815861</v>
      </c>
      <c r="CC367" s="194">
        <f t="shared" si="581"/>
        <v>-2.1713147410358555</v>
      </c>
      <c r="CD367" s="194">
        <f>IF($J367="",#N/A,SUM($CC$4:CC367))</f>
        <v>-7.4757889154541379</v>
      </c>
      <c r="CE367" s="195" t="str">
        <f t="shared" si="582"/>
        <v/>
      </c>
      <c r="CF367" s="195">
        <f>IF($J367="",#N/A,SUM($CE$4:CE367))</f>
        <v>16.104654240656334</v>
      </c>
      <c r="CG367" s="196" t="str">
        <f t="shared" si="583"/>
        <v/>
      </c>
      <c r="CH367" s="196">
        <f>IF($J367="",#N/A,SUM($CG$4:CG367))</f>
        <v>5.1741585031722162</v>
      </c>
      <c r="CI367" s="200" t="str">
        <f t="shared" si="584"/>
        <v/>
      </c>
      <c r="CJ367" s="203">
        <f>IF($J367="",#N/A,SUM(CI$4:CI367))</f>
        <v>0</v>
      </c>
      <c r="CK367" s="204" t="str">
        <f t="shared" si="585"/>
        <v/>
      </c>
      <c r="CL367" s="204">
        <f>IF($J367="",#N/A,SUM(CK$4:CK367))</f>
        <v>1.2912501745213723</v>
      </c>
      <c r="CM367" s="205" t="str">
        <f t="shared" si="586"/>
        <v/>
      </c>
      <c r="CN367" s="205">
        <f>IF($J367="",#N/A,SUM(CM$4:CM367))</f>
        <v>1.357235719871134</v>
      </c>
      <c r="CO367" s="205">
        <f>IF($J367="",#N/A,SUM(CM$4:CM367,CK$4:CK367,CI$4:CI367))</f>
        <v>2.6484858943925063</v>
      </c>
      <c r="CP367" s="200">
        <f t="shared" si="587"/>
        <v>-2.1713147410358555</v>
      </c>
      <c r="CQ367" s="203">
        <f>IF($J367="",#N/A,SUM(CP$4:CP367))</f>
        <v>-3.8906153415633056</v>
      </c>
      <c r="CR367" s="204" t="str">
        <f t="shared" si="588"/>
        <v/>
      </c>
      <c r="CS367" s="204">
        <f>IF($J367="",#N/A,SUM(CR$4:CR367))</f>
        <v>2.3600225017004668</v>
      </c>
      <c r="CT367" s="205" t="str">
        <f t="shared" si="589"/>
        <v/>
      </c>
      <c r="CU367" s="205">
        <f>IF($J367="",#N/A,SUM(CT$4:CT367))</f>
        <v>-3.2469967661908816</v>
      </c>
      <c r="CV367" s="205">
        <f>IF($J367="",#N/A,SUM(CT$4:CT367,CR$4:CR367,CP$4:CP367))</f>
        <v>-4.77758960605372</v>
      </c>
      <c r="CW367" s="200" t="str">
        <f t="shared" si="590"/>
        <v/>
      </c>
      <c r="CX367" s="203">
        <f>IF($J367="",#N/A,SUM(CW$4:CW367))</f>
        <v>-3.3082659491100586</v>
      </c>
      <c r="CY367" s="204" t="str">
        <f t="shared" si="591"/>
        <v/>
      </c>
      <c r="CZ367" s="204">
        <f>IF($J367="",#N/A,SUM(CY$4:CY367))</f>
        <v>3.4158439394052458</v>
      </c>
      <c r="DA367" s="205" t="str">
        <f t="shared" si="592"/>
        <v/>
      </c>
      <c r="DB367" s="205">
        <f>IF($J367="",#N/A,SUM(DA$4:DA367))</f>
        <v>-3.6020278946927151</v>
      </c>
      <c r="DC367" s="205">
        <f>IF($J367="",#N/A,SUM(DA$4:DA367,CY$4:CY367,CW$4:CW367))</f>
        <v>-3.4944499043975288</v>
      </c>
      <c r="DD367" s="200" t="str">
        <f t="shared" si="593"/>
        <v/>
      </c>
      <c r="DE367" s="203">
        <f>IF($J367="",#N/A,SUM(DD$4:DD367))</f>
        <v>1.6161029218801881</v>
      </c>
      <c r="DF367" s="204" t="str">
        <f t="shared" si="594"/>
        <v/>
      </c>
      <c r="DG367" s="204">
        <f>IF($J367="",#N/A,SUM(DF$4:DF367))</f>
        <v>4.1810385231482243</v>
      </c>
      <c r="DH367" s="205" t="str">
        <f t="shared" si="595"/>
        <v/>
      </c>
      <c r="DI367" s="205">
        <f>IF($J367="",#N/A,SUM(DH$4:DH367))</f>
        <v>-3.216671910770577</v>
      </c>
      <c r="DJ367" s="205">
        <f>IF($J367="",#N/A,SUM(DH$4:DH367,DF$4:DF367,DD$4:DD367))</f>
        <v>2.5804695342578352</v>
      </c>
      <c r="DK367" s="200" t="str">
        <f t="shared" si="596"/>
        <v/>
      </c>
      <c r="DL367" s="203">
        <f>IF($J367="",#N/A,SUM(DK$4:DK367))</f>
        <v>-0.84049791589649614</v>
      </c>
      <c r="DM367" s="204" t="str">
        <f t="shared" si="597"/>
        <v/>
      </c>
      <c r="DN367" s="204">
        <f>IF($J367="",#N/A,SUM(DM$4:DM367))</f>
        <v>1.8657648196498773</v>
      </c>
      <c r="DO367" s="205" t="str">
        <f t="shared" si="598"/>
        <v/>
      </c>
      <c r="DP367" s="205">
        <f>IF($J367="",#N/A,SUM(DO$4:DO367))</f>
        <v>3.4887162328793941</v>
      </c>
      <c r="DQ367" s="205">
        <f>IF($J367="",#N/A,SUM(DO$4:DO367,DM$4:DM367,DK$4:DK367))</f>
        <v>4.5139831366327758</v>
      </c>
      <c r="DR367" s="200" t="str">
        <f t="shared" si="599"/>
        <v/>
      </c>
      <c r="DS367" s="203">
        <f>IF($J367="",#N/A,SUM(DR$4:DR367))</f>
        <v>-0.55950946427675097</v>
      </c>
      <c r="DT367" s="204" t="str">
        <f t="shared" si="600"/>
        <v/>
      </c>
      <c r="DU367" s="204">
        <f>IF($J367="",#N/A,SUM(DT$4:DT367))</f>
        <v>-0.20750635820596686</v>
      </c>
      <c r="DV367" s="205" t="str">
        <f t="shared" si="601"/>
        <v/>
      </c>
      <c r="DW367" s="205">
        <f>IF($J367="",#N/A,SUM(DV$4:DV367))</f>
        <v>-2.3377035686214001</v>
      </c>
      <c r="DX367" s="205">
        <f>IF($J367="",#N/A,SUM(DV$4:DV367,DT$4:DT367,DR$4:DR367))</f>
        <v>-3.1047193911041169</v>
      </c>
      <c r="DY367" s="200" t="str">
        <f t="shared" si="602"/>
        <v/>
      </c>
      <c r="DZ367" s="203">
        <f>IF($J367="",#N/A,SUM(DY$4:DY367))</f>
        <v>-1.4146842415208627</v>
      </c>
      <c r="EA367" s="204" t="str">
        <f t="shared" si="603"/>
        <v/>
      </c>
      <c r="EB367" s="204">
        <f>IF($J367="",#N/A,SUM(EA$4:EA367))</f>
        <v>4.3184391548878134</v>
      </c>
      <c r="EC367" s="205" t="str">
        <f t="shared" si="604"/>
        <v/>
      </c>
      <c r="ED367" s="205">
        <f>IF($J367="",#N/A,SUM(EC$4:EC367))</f>
        <v>8.4384553208490907</v>
      </c>
      <c r="EE367" s="205">
        <f>IF($J367="",#N/A,SUM(EC$4:EC367,EA$4:EA367,DY$4:DY367))</f>
        <v>11.342210234216044</v>
      </c>
      <c r="EF367" s="200" t="str">
        <f t="shared" si="605"/>
        <v/>
      </c>
      <c r="EG367" s="203">
        <f>IF($J367="",#N/A,SUM(EF$4:EF367))</f>
        <v>0.65848341369884777</v>
      </c>
      <c r="EH367" s="204" t="str">
        <f t="shared" si="606"/>
        <v/>
      </c>
      <c r="EI367" s="204">
        <f>IF($J367="",#N/A,SUM(EH$4:EH367))</f>
        <v>-3.5125331561187787</v>
      </c>
      <c r="EJ367" s="205" t="str">
        <f t="shared" si="607"/>
        <v/>
      </c>
      <c r="EK367" s="205">
        <f>IF($J367="",#N/A,SUM(EJ$4:EJ367))</f>
        <v>8.4840381642896556</v>
      </c>
      <c r="EL367" s="205">
        <f>IF($J367="",#N/A,SUM(EJ$4:EJ367,EH$4:EH367,EF$4:EF367))</f>
        <v>5.6299884218697258</v>
      </c>
      <c r="EM367" s="200" t="str">
        <f t="shared" si="608"/>
        <v/>
      </c>
      <c r="EN367" s="203">
        <f>IF($J367="",#N/A,SUM(EM$4:EM367))</f>
        <v>0</v>
      </c>
      <c r="EO367" s="204" t="str">
        <f t="shared" si="609"/>
        <v/>
      </c>
      <c r="EP367" s="204">
        <f>IF($J367="",#N/A,SUM(EO$4:EO367))</f>
        <v>2.4788862078089964</v>
      </c>
      <c r="EQ367" s="205" t="str">
        <f t="shared" si="610"/>
        <v/>
      </c>
      <c r="ER367" s="205">
        <f>IF($J367="",#N/A,SUM(EQ$4:EQ367))</f>
        <v>1.7856049065476487</v>
      </c>
      <c r="ES367" s="205">
        <f>IF($J367="",#N/A,SUM(EQ$4:EQ367,EO$4:EO367,EM$4:EM367))</f>
        <v>4.2644911143566446</v>
      </c>
      <c r="ET367" s="200" t="str">
        <f t="shared" si="611"/>
        <v/>
      </c>
      <c r="EU367" s="203">
        <f>IF($J367="",#N/A,SUM(ET$4:ET367))</f>
        <v>0</v>
      </c>
      <c r="EV367" s="204" t="str">
        <f t="shared" si="612"/>
        <v/>
      </c>
      <c r="EW367" s="204">
        <f>IF($J367="",#N/A,SUM(EV$4:EV367))</f>
        <v>7.9116394275462909E-2</v>
      </c>
      <c r="EX367" s="205" t="str">
        <f t="shared" si="613"/>
        <v/>
      </c>
      <c r="EY367" s="205">
        <f>IF($J367="",#N/A,SUM(EX$4:EX367))</f>
        <v>-0.38863392418374743</v>
      </c>
      <c r="EZ367" s="205">
        <f>IF($J367="",#N/A,SUM(EX$4:EX367,EV$4:EV367,ET$4:ET367))</f>
        <v>-0.30951752990828441</v>
      </c>
      <c r="FA367" s="200" t="str">
        <f t="shared" si="614"/>
        <v/>
      </c>
      <c r="FB367" s="203">
        <f>IF($J367="",#N/A,SUM(FA$4:FA367))</f>
        <v>-0.27145310509113252</v>
      </c>
      <c r="FC367" s="204" t="str">
        <f t="shared" si="615"/>
        <v/>
      </c>
      <c r="FD367" s="204">
        <f>IF($J367="",#N/A,SUM(FC$4:FC367))</f>
        <v>0.89084290967454072</v>
      </c>
      <c r="FE367" s="205" t="str">
        <f t="shared" si="616"/>
        <v/>
      </c>
      <c r="FF367" s="205">
        <f>IF($J367="",#N/A,SUM(FE$4:FE367))</f>
        <v>-0.28811149078748233</v>
      </c>
      <c r="FG367" s="205">
        <f>IF($J367="",#N/A,SUM(FE$4:FE367,FC$4:FC367,FA$4:FA367))</f>
        <v>0.3312783137959262</v>
      </c>
      <c r="FH367" s="200" t="str">
        <f t="shared" si="617"/>
        <v/>
      </c>
      <c r="FI367" s="203">
        <f>IF($J367="",#N/A,SUM(FH$4:FH367))</f>
        <v>0</v>
      </c>
      <c r="FJ367" s="204" t="str">
        <f t="shared" si="618"/>
        <v/>
      </c>
      <c r="FK367" s="204">
        <f>IF($J367="",#N/A,SUM(FJ$4:FJ367))</f>
        <v>0</v>
      </c>
      <c r="FL367" s="205" t="str">
        <f t="shared" si="619"/>
        <v/>
      </c>
      <c r="FM367" s="205">
        <f>IF($J367="",#N/A,SUM(FL$4:FL367))</f>
        <v>0</v>
      </c>
      <c r="FN367" s="205">
        <f>IF($J367="",#N/A,SUM(FL$4:FL367,FJ$4:FJ367,FH$4:FH367))</f>
        <v>0</v>
      </c>
      <c r="FO367" s="200" t="str">
        <f t="shared" si="620"/>
        <v/>
      </c>
      <c r="FP367" s="203">
        <f>IF($J367="",#N/A,SUM(FO$4:FO367))</f>
        <v>0</v>
      </c>
      <c r="FQ367" s="204" t="str">
        <f t="shared" si="621"/>
        <v/>
      </c>
      <c r="FR367" s="204">
        <f>IF($J367="",#N/A,SUM(FQ$4:FQ367))</f>
        <v>0</v>
      </c>
      <c r="FS367" s="205" t="str">
        <f t="shared" si="622"/>
        <v/>
      </c>
      <c r="FT367" s="205">
        <f>IF($J367="",#N/A,SUM(FS$4:FS367))</f>
        <v>0</v>
      </c>
      <c r="FU367" s="205">
        <f>IF($J367="",#N/A,SUM(FS$4:FS367,FQ$4:FQ367,FO$4:FO367))</f>
        <v>0</v>
      </c>
      <c r="FV367" s="200" t="str">
        <f t="shared" si="623"/>
        <v/>
      </c>
      <c r="FW367" s="203">
        <f>IF($J367="",#N/A,SUM(FV$4:FV367))</f>
        <v>6.6834991831277585E-2</v>
      </c>
      <c r="FX367" s="204" t="str">
        <f t="shared" si="624"/>
        <v/>
      </c>
      <c r="FY367" s="204">
        <f>IF($J367="",#N/A,SUM(FX$4:FX367))</f>
        <v>-0.16102012791805576</v>
      </c>
      <c r="FZ367" s="205" t="str">
        <f t="shared" si="625"/>
        <v/>
      </c>
      <c r="GA367" s="205">
        <f>IF($J367="",#N/A,SUM(FZ$4:FZ367))</f>
        <v>-0.69624339162892301</v>
      </c>
      <c r="GB367" s="205">
        <f>IF($J367="",#N/A,SUM(FZ$4:FZ367,FX$4:FX367,FV$4:FV367))</f>
        <v>-0.79042852771570116</v>
      </c>
      <c r="GC367" s="200" t="str">
        <f t="shared" si="626"/>
        <v/>
      </c>
      <c r="GD367" s="203">
        <f>IF($J367="",#N/A,SUM(GC$4:GC367))</f>
        <v>0</v>
      </c>
      <c r="GE367" s="204" t="str">
        <f t="shared" si="627"/>
        <v/>
      </c>
      <c r="GF367" s="204">
        <f>IF($J367="",#N/A,SUM(GE$4:GE367))</f>
        <v>0</v>
      </c>
      <c r="GG367" s="205" t="str">
        <f t="shared" si="628"/>
        <v/>
      </c>
      <c r="GH367" s="205">
        <f>IF($J367="",#N/A,SUM(GG$4:GG367))</f>
        <v>-2.9368362277223206</v>
      </c>
      <c r="GI367" s="205">
        <f>IF($J367="",#N/A,SUM(GG$4:GG367,GE$4:GE367,GC$4:GC367))</f>
        <v>-2.9368362277223206</v>
      </c>
      <c r="GJ367" s="200" t="str">
        <f t="shared" si="629"/>
        <v/>
      </c>
      <c r="GK367" s="203">
        <f>IF($J367="",#N/A,SUM(GJ$4:GJ367))</f>
        <v>0</v>
      </c>
      <c r="GL367" s="204" t="str">
        <f t="shared" si="630"/>
        <v/>
      </c>
      <c r="GM367" s="204">
        <f>IF($J367="",#N/A,SUM(GL$4:GL367))</f>
        <v>-2.0621307233432784</v>
      </c>
      <c r="GN367" s="205" t="str">
        <f t="shared" si="631"/>
        <v/>
      </c>
      <c r="GO367" s="205">
        <f>IF($J367="",#N/A,SUM(GN$4:GN367))</f>
        <v>0</v>
      </c>
      <c r="GP367" s="205">
        <f>IF($J367="",#N/A,SUM(GN$4:GN367,GL$4:GL367,GJ$4:GJ367))</f>
        <v>-2.0621307233432784</v>
      </c>
      <c r="GS367" s="54" t="str">
        <f t="shared" si="650"/>
        <v/>
      </c>
      <c r="GT367" s="54" t="e">
        <f>IF(GS367="",NA(),SUM($GS$4:GS367))</f>
        <v>#N/A</v>
      </c>
      <c r="GU367" s="54" t="str">
        <f t="shared" si="632"/>
        <v/>
      </c>
      <c r="GV367" s="54" t="e">
        <f>IF(GU367="",NA(),SUM($GU$4:GU367))</f>
        <v>#N/A</v>
      </c>
      <c r="GW367" s="54" t="str">
        <f t="shared" si="633"/>
        <v/>
      </c>
      <c r="GX367" s="54" t="e">
        <f>IF(GW367="",NA(),SUM($GW$4:GW367))</f>
        <v>#N/A</v>
      </c>
      <c r="GY367" s="54" t="str">
        <f t="shared" si="634"/>
        <v/>
      </c>
      <c r="GZ367" s="54" t="e">
        <f>IF(GY367="",NA(),SUM($GY$4:GY367))</f>
        <v>#N/A</v>
      </c>
      <c r="HA367" s="54">
        <f t="shared" si="635"/>
        <v>-2.1713147410358555</v>
      </c>
      <c r="HB367" s="54">
        <f>IF(HA367="",NA(),SUM($HA$4:HA367))</f>
        <v>1.649113388914194</v>
      </c>
      <c r="HC367" s="54">
        <f t="shared" si="636"/>
        <v>-2.1713147410358555</v>
      </c>
      <c r="HD367" s="54">
        <f>IF(HC367="",NA(),SUM($HC$4:HC367))</f>
        <v>-1.1237535128764353</v>
      </c>
      <c r="HE367" s="54" t="str">
        <f t="shared" si="637"/>
        <v/>
      </c>
      <c r="HF367" s="54" t="e">
        <f>IF(HE367="",NA(),SUM($HE$4:HE367))</f>
        <v>#N/A</v>
      </c>
      <c r="HG367" s="54" t="str">
        <f t="shared" si="638"/>
        <v/>
      </c>
      <c r="HH367" s="54" t="e">
        <f>IF(HG367="",NA(),SUM($HG$4:HG367))</f>
        <v>#N/A</v>
      </c>
      <c r="HI367" s="172" t="str">
        <f t="shared" si="651"/>
        <v/>
      </c>
      <c r="HJ367" s="172">
        <f>IF($J367="",#N/A,SUM(HI$4:$HI367))</f>
        <v>-10.162234665497841</v>
      </c>
      <c r="HK367" s="54" t="str">
        <f t="shared" si="639"/>
        <v/>
      </c>
      <c r="HL367" s="54">
        <f>IF($J367="",#N/A,SUM($HK$4:HK367))</f>
        <v>2.7460981583887896</v>
      </c>
      <c r="HM367" s="54" t="str">
        <f t="shared" si="640"/>
        <v/>
      </c>
      <c r="HN367" s="54">
        <f>IF($J367="",#N/A,SUM($HM$4:HM367))</f>
        <v>-0.16355665587253121</v>
      </c>
      <c r="HO367" s="54">
        <f t="shared" si="641"/>
        <v>-0.5205843293492709</v>
      </c>
      <c r="HP367" s="54">
        <f>IF($J367="",#N/A,SUM($HO$4:HO367))</f>
        <v>-0.26668580414118226</v>
      </c>
      <c r="HQ367" s="54" t="str">
        <f t="shared" si="642"/>
        <v/>
      </c>
      <c r="HR367" s="54">
        <f>IF($J367="",#N/A,SUM($HQ$4:HQ367))</f>
        <v>-10.680219001871885</v>
      </c>
      <c r="HS367" s="54" t="str">
        <f t="shared" si="643"/>
        <v/>
      </c>
      <c r="HT367" s="54">
        <f>IF($J367="",#N/A,SUM($HS$4:HS367))</f>
        <v>14.233638697012335</v>
      </c>
      <c r="HU367" s="65">
        <f t="shared" si="644"/>
        <v>-2.6918990703851264</v>
      </c>
      <c r="HV367" s="65">
        <f>IF($J367="",#N/A,SUM(HU$4:$HU367))</f>
        <v>9.0138911005245408</v>
      </c>
    </row>
    <row r="368" spans="1:230" x14ac:dyDescent="0.25">
      <c r="A368" s="51" t="s">
        <v>1130</v>
      </c>
      <c r="B368" s="52" t="s">
        <v>5545</v>
      </c>
      <c r="C368" s="229">
        <f t="shared" si="545"/>
        <v>3</v>
      </c>
      <c r="D368" s="219" t="str">
        <f>_xlfn.XLOOKUP(A368,[1]SP500!$A$2:$A$502,[1]SP500!$D$2:$D$502,"N")</f>
        <v>N</v>
      </c>
      <c r="E368" s="51" t="str">
        <f>IFERROR(_xlfn.XLOOKUP(A368,[1]SP500!$A$2:$A$655,[1]SP500!$B$2:$B$655),"")</f>
        <v>SMH</v>
      </c>
      <c r="F368" s="290">
        <v>45804</v>
      </c>
      <c r="G368" s="51" t="str">
        <f t="shared" si="546"/>
        <v>AMC</v>
      </c>
      <c r="H368" s="51" t="str">
        <f t="shared" si="547"/>
        <v>s</v>
      </c>
      <c r="I368" s="343">
        <v>38.78</v>
      </c>
      <c r="J368" s="124">
        <v>38.119999999999997</v>
      </c>
      <c r="K368" s="55">
        <f t="shared" si="548"/>
        <v>-1.7019082001031555E-2</v>
      </c>
      <c r="L368" s="67">
        <f t="shared" si="549"/>
        <v>-22.440000000000055</v>
      </c>
      <c r="M368" s="57">
        <f t="shared" si="550"/>
        <v>0</v>
      </c>
      <c r="N368" s="102">
        <f t="shared" si="551"/>
        <v>-22.440000000000055</v>
      </c>
      <c r="O368" s="57">
        <f>IF(N368="",#N/A,SUM($N$4:N368))</f>
        <v>615.93937556162462</v>
      </c>
      <c r="P368" s="65">
        <f t="shared" si="645"/>
        <v>-0.28365136668385837</v>
      </c>
      <c r="Q368" s="172">
        <f>IF($N368="",#N/A,SUM($P$4:P368))</f>
        <v>13.519372461690544</v>
      </c>
      <c r="R368" s="279">
        <f t="shared" si="552"/>
        <v>7.4326343770255265</v>
      </c>
      <c r="S368" s="51" t="str">
        <f t="shared" si="553"/>
        <v>SW</v>
      </c>
      <c r="T368" s="51" t="s">
        <v>2828</v>
      </c>
      <c r="U368" s="56">
        <f t="shared" si="554"/>
        <v>38.78</v>
      </c>
      <c r="V368" s="56" t="s">
        <v>4460</v>
      </c>
      <c r="W368" s="142">
        <v>34</v>
      </c>
      <c r="X368" s="145">
        <f t="shared" si="555"/>
        <v>1318.52</v>
      </c>
      <c r="Y368" s="140">
        <f t="shared" si="556"/>
        <v>34</v>
      </c>
      <c r="Z368" s="141">
        <v>38.119999999999997</v>
      </c>
      <c r="AA368" s="102">
        <f t="shared" si="557"/>
        <v>-22.440000000000055</v>
      </c>
      <c r="AB368" s="102">
        <f t="shared" si="558"/>
        <v>-60.180000000000064</v>
      </c>
      <c r="AC368" s="124">
        <v>37.01</v>
      </c>
      <c r="AD368" s="155">
        <f t="shared" si="559"/>
        <v>-60.180000000000064</v>
      </c>
      <c r="AE368" s="545">
        <f t="shared" si="560"/>
        <v>-0.7607013924703464</v>
      </c>
      <c r="AF368" s="57">
        <f>IF($AC368="",#N/A,SUM(AD$4:AD368))</f>
        <v>424.57239714744901</v>
      </c>
      <c r="AG368" s="102">
        <f t="shared" si="561"/>
        <v>-37.740000000000009</v>
      </c>
      <c r="AH368" s="56" t="s">
        <v>2507</v>
      </c>
      <c r="AI368" s="65">
        <f t="shared" si="562"/>
        <v>-0.28365136668385837</v>
      </c>
      <c r="AJ368" s="108">
        <f>IF(AI368="",#N/A,SUM($AI$4:AI368))</f>
        <v>6.0867380846650176</v>
      </c>
      <c r="AK368" s="57">
        <f t="shared" si="563"/>
        <v>-22.440000000000055</v>
      </c>
      <c r="AL368" s="66">
        <f>IF(AI368="",#N/A,IF(AH368="Skip",SUM($AK$4:AK368),SUM($AK$4:AK368)))</f>
        <v>115.12236927848221</v>
      </c>
      <c r="AM368" s="65">
        <f t="shared" si="646"/>
        <v>-0.7607013924703464</v>
      </c>
      <c r="AN368" s="209"/>
      <c r="AO368" s="65">
        <f t="shared" si="564"/>
        <v>-0.7607013924703464</v>
      </c>
      <c r="AP368" s="65">
        <f>IF($AC368="",#N/A,SUM(AO$4:AO368))</f>
        <v>7.4707033499747686</v>
      </c>
      <c r="AQ368" s="65" t="str">
        <f t="shared" si="565"/>
        <v/>
      </c>
      <c r="AR368" s="65">
        <f>IF($AC368="",#N/A,SUM(AQ$4:AQ368))</f>
        <v>-7.9060313754678537</v>
      </c>
      <c r="AS368" s="65" t="str">
        <f t="shared" si="566"/>
        <v/>
      </c>
      <c r="AT368" s="65">
        <f>IF($AC368="",#N/A,SUM(AS$4:AS368))</f>
        <v>8.6885177335472719</v>
      </c>
      <c r="AU368" s="57">
        <f t="shared" si="647"/>
        <v>-60.180000000000064</v>
      </c>
      <c r="AV368" s="57">
        <f>IF($AC368="",#N/A,SUM(AU$4:AU368))</f>
        <v>332.91627194987996</v>
      </c>
      <c r="AW368" s="57" t="str">
        <f t="shared" si="648"/>
        <v/>
      </c>
      <c r="AX368" s="57">
        <f>IF($AC368="",#N/A,SUM(AW$4:AW368))</f>
        <v>-583.86106797961088</v>
      </c>
      <c r="AY368" s="57" t="str">
        <f t="shared" si="649"/>
        <v/>
      </c>
      <c r="AZ368" s="57">
        <f>IF($AC368="",#N/A,SUM(AY$4:AY368))</f>
        <v>675.51719317717982</v>
      </c>
      <c r="BA368" s="57">
        <f>IF(AD368="",#N/A,SUM($AD$4:AD368))</f>
        <v>424.57239714744901</v>
      </c>
      <c r="BC368" s="51" t="str">
        <f t="shared" si="567"/>
        <v/>
      </c>
      <c r="BD368" s="51" t="str">
        <f t="shared" si="568"/>
        <v/>
      </c>
      <c r="BE368" s="51" t="str">
        <f t="shared" si="569"/>
        <v/>
      </c>
      <c r="BF368" s="51" t="str">
        <f t="shared" si="570"/>
        <v>Long</v>
      </c>
      <c r="BG368" s="51" t="str">
        <f t="shared" si="571"/>
        <v/>
      </c>
      <c r="BH368" s="51" t="str">
        <f t="shared" si="572"/>
        <v/>
      </c>
      <c r="BI368" s="51">
        <f t="shared" si="573"/>
        <v>1</v>
      </c>
      <c r="BK368" s="65">
        <f t="shared" si="544"/>
        <v>-6.6597032190467115E-2</v>
      </c>
      <c r="BL368" s="65">
        <f t="shared" si="652"/>
        <v>-0.11580200804102887</v>
      </c>
      <c r="BM368" s="65">
        <f>IFERROR(Q368/COUNTA($J$4:J368),#N/A)</f>
        <v>3.7039376607371353E-2</v>
      </c>
      <c r="BO368" s="489">
        <f>IF(J368="",#N/A,IF(S368="SW",(COUNTIFS(K$4:$K368,"&gt;0",S$4:$S368,"SW")/COUNTIF(S$4:$S368,"SW")),#N/A))</f>
        <v>0.49710982658959535</v>
      </c>
      <c r="BP368" s="489" t="e">
        <f>IF($J368="",#N/A,IF($S368="DWN",(COUNTIFS($K$4:$K368,"&lt;0",$S$4:$S368,"DWN")/COUNTIF($S$4:$S368,"DWN")),#N/A))</f>
        <v>#N/A</v>
      </c>
      <c r="BQ368" s="489" t="e">
        <f>IF($J368="",#N/A,IF($S368="UP",(COUNTIFS($K$4:$K368,"&gt;0",$S$4:$S368,"UP")/COUNTIF($S$4:$S368,"UP")),#N/A))</f>
        <v>#N/A</v>
      </c>
      <c r="BR368" s="489">
        <f>IF(J368="",#N/A,COUNTIF($K$4:K368,"&gt;0")/COUNT($J$4:J368))</f>
        <v>0.46575342465753422</v>
      </c>
      <c r="BS368" s="65" t="str">
        <f t="shared" si="574"/>
        <v/>
      </c>
      <c r="BT368" s="65">
        <f t="shared" si="575"/>
        <v>-0.28365136668385837</v>
      </c>
      <c r="BU368" s="65" t="str">
        <f t="shared" si="576"/>
        <v/>
      </c>
      <c r="BV368" s="65" t="str">
        <f t="shared" si="577"/>
        <v/>
      </c>
      <c r="BW368" s="128" t="str">
        <f t="shared" si="578"/>
        <v/>
      </c>
      <c r="BX368" s="128">
        <f>IF($J368="",#N/A,SUM($BW$4:BW368))</f>
        <v>-551.53817034792883</v>
      </c>
      <c r="BY368" s="131" t="str">
        <f t="shared" si="579"/>
        <v/>
      </c>
      <c r="BZ368" s="131">
        <f>IF($J368="",#N/A,SUM($BY$4:BY368))</f>
        <v>1036.3516134613947</v>
      </c>
      <c r="CA368" s="133">
        <f t="shared" si="580"/>
        <v>-22.440000000000055</v>
      </c>
      <c r="CB368" s="133">
        <f>IF($J368="",#N/A,SUM($CA$4:CA368))</f>
        <v>131.12593244815855</v>
      </c>
      <c r="CC368" s="194" t="str">
        <f t="shared" si="581"/>
        <v/>
      </c>
      <c r="CD368" s="194">
        <f>IF($J368="",#N/A,SUM($CC$4:CC368))</f>
        <v>-7.4757889154541379</v>
      </c>
      <c r="CE368" s="195" t="str">
        <f t="shared" si="582"/>
        <v/>
      </c>
      <c r="CF368" s="195">
        <f>IF($J368="",#N/A,SUM($CE$4:CE368))</f>
        <v>16.104654240656334</v>
      </c>
      <c r="CG368" s="196">
        <f t="shared" si="583"/>
        <v>-0.28365136668385837</v>
      </c>
      <c r="CH368" s="196">
        <f>IF($J368="",#N/A,SUM($CG$4:CG368))</f>
        <v>4.8905071364883579</v>
      </c>
      <c r="CI368" s="200" t="str">
        <f t="shared" si="584"/>
        <v/>
      </c>
      <c r="CJ368" s="203">
        <f>IF($J368="",#N/A,SUM(CI$4:CI368))</f>
        <v>0</v>
      </c>
      <c r="CK368" s="204" t="str">
        <f t="shared" si="585"/>
        <v/>
      </c>
      <c r="CL368" s="204">
        <f>IF($J368="",#N/A,SUM(CK$4:CK368))</f>
        <v>1.2912501745213723</v>
      </c>
      <c r="CM368" s="205" t="str">
        <f t="shared" si="586"/>
        <v/>
      </c>
      <c r="CN368" s="205">
        <f>IF($J368="",#N/A,SUM(CM$4:CM368))</f>
        <v>1.357235719871134</v>
      </c>
      <c r="CO368" s="205">
        <f>IF($J368="",#N/A,SUM(CM$4:CM368,CK$4:CK368,CI$4:CI368))</f>
        <v>2.6484858943925063</v>
      </c>
      <c r="CP368" s="200" t="str">
        <f t="shared" si="587"/>
        <v/>
      </c>
      <c r="CQ368" s="203">
        <f>IF($J368="",#N/A,SUM(CP$4:CP368))</f>
        <v>-3.8906153415633056</v>
      </c>
      <c r="CR368" s="204" t="str">
        <f t="shared" si="588"/>
        <v/>
      </c>
      <c r="CS368" s="204">
        <f>IF($J368="",#N/A,SUM(CR$4:CR368))</f>
        <v>2.3600225017004668</v>
      </c>
      <c r="CT368" s="205" t="str">
        <f t="shared" si="589"/>
        <v/>
      </c>
      <c r="CU368" s="205">
        <f>IF($J368="",#N/A,SUM(CT$4:CT368))</f>
        <v>-3.2469967661908816</v>
      </c>
      <c r="CV368" s="205">
        <f>IF($J368="",#N/A,SUM(CT$4:CT368,CR$4:CR368,CP$4:CP368))</f>
        <v>-4.77758960605372</v>
      </c>
      <c r="CW368" s="200" t="str">
        <f t="shared" si="590"/>
        <v/>
      </c>
      <c r="CX368" s="203">
        <f>IF($J368="",#N/A,SUM(CW$4:CW368))</f>
        <v>-3.3082659491100586</v>
      </c>
      <c r="CY368" s="204" t="str">
        <f t="shared" si="591"/>
        <v/>
      </c>
      <c r="CZ368" s="204">
        <f>IF($J368="",#N/A,SUM(CY$4:CY368))</f>
        <v>3.4158439394052458</v>
      </c>
      <c r="DA368" s="205" t="str">
        <f t="shared" si="592"/>
        <v/>
      </c>
      <c r="DB368" s="205">
        <f>IF($J368="",#N/A,SUM(DA$4:DA368))</f>
        <v>-3.6020278946927151</v>
      </c>
      <c r="DC368" s="205">
        <f>IF($J368="",#N/A,SUM(DA$4:DA368,CY$4:CY368,CW$4:CW368))</f>
        <v>-3.4944499043975288</v>
      </c>
      <c r="DD368" s="200" t="str">
        <f t="shared" si="593"/>
        <v/>
      </c>
      <c r="DE368" s="203">
        <f>IF($J368="",#N/A,SUM(DD$4:DD368))</f>
        <v>1.6161029218801881</v>
      </c>
      <c r="DF368" s="204" t="str">
        <f t="shared" si="594"/>
        <v/>
      </c>
      <c r="DG368" s="204">
        <f>IF($J368="",#N/A,SUM(DF$4:DF368))</f>
        <v>4.1810385231482243</v>
      </c>
      <c r="DH368" s="205" t="str">
        <f t="shared" si="595"/>
        <v/>
      </c>
      <c r="DI368" s="205">
        <f>IF($J368="",#N/A,SUM(DH$4:DH368))</f>
        <v>-3.216671910770577</v>
      </c>
      <c r="DJ368" s="205">
        <f>IF($J368="",#N/A,SUM(DH$4:DH368,DF$4:DF368,DD$4:DD368))</f>
        <v>2.5804695342578352</v>
      </c>
      <c r="DK368" s="200" t="str">
        <f t="shared" si="596"/>
        <v/>
      </c>
      <c r="DL368" s="203">
        <f>IF($J368="",#N/A,SUM(DK$4:DK368))</f>
        <v>-0.84049791589649614</v>
      </c>
      <c r="DM368" s="204" t="str">
        <f t="shared" si="597"/>
        <v/>
      </c>
      <c r="DN368" s="204">
        <f>IF($J368="",#N/A,SUM(DM$4:DM368))</f>
        <v>1.8657648196498773</v>
      </c>
      <c r="DO368" s="205" t="str">
        <f t="shared" si="598"/>
        <v/>
      </c>
      <c r="DP368" s="205">
        <f>IF($J368="",#N/A,SUM(DO$4:DO368))</f>
        <v>3.4887162328793941</v>
      </c>
      <c r="DQ368" s="205">
        <f>IF($J368="",#N/A,SUM(DO$4:DO368,DM$4:DM368,DK$4:DK368))</f>
        <v>4.5139831366327758</v>
      </c>
      <c r="DR368" s="200" t="str">
        <f t="shared" si="599"/>
        <v/>
      </c>
      <c r="DS368" s="203">
        <f>IF($J368="",#N/A,SUM(DR$4:DR368))</f>
        <v>-0.55950946427675097</v>
      </c>
      <c r="DT368" s="204" t="str">
        <f t="shared" si="600"/>
        <v/>
      </c>
      <c r="DU368" s="204">
        <f>IF($J368="",#N/A,SUM(DT$4:DT368))</f>
        <v>-0.20750635820596686</v>
      </c>
      <c r="DV368" s="205" t="str">
        <f t="shared" si="601"/>
        <v/>
      </c>
      <c r="DW368" s="205">
        <f>IF($J368="",#N/A,SUM(DV$4:DV368))</f>
        <v>-2.3377035686214001</v>
      </c>
      <c r="DX368" s="205">
        <f>IF($J368="",#N/A,SUM(DV$4:DV368,DT$4:DT368,DR$4:DR368))</f>
        <v>-3.1047193911041169</v>
      </c>
      <c r="DY368" s="200" t="str">
        <f t="shared" si="602"/>
        <v/>
      </c>
      <c r="DZ368" s="203">
        <f>IF($J368="",#N/A,SUM(DY$4:DY368))</f>
        <v>-1.4146842415208627</v>
      </c>
      <c r="EA368" s="204" t="str">
        <f t="shared" si="603"/>
        <v/>
      </c>
      <c r="EB368" s="204">
        <f>IF($J368="",#N/A,SUM(EA$4:EA368))</f>
        <v>4.3184391548878134</v>
      </c>
      <c r="EC368" s="205" t="str">
        <f t="shared" si="604"/>
        <v/>
      </c>
      <c r="ED368" s="205">
        <f>IF($J368="",#N/A,SUM(EC$4:EC368))</f>
        <v>8.4384553208490907</v>
      </c>
      <c r="EE368" s="205">
        <f>IF($J368="",#N/A,SUM(EC$4:EC368,EA$4:EA368,DY$4:DY368))</f>
        <v>11.342210234216044</v>
      </c>
      <c r="EF368" s="200" t="str">
        <f t="shared" si="605"/>
        <v/>
      </c>
      <c r="EG368" s="203">
        <f>IF($J368="",#N/A,SUM(EF$4:EF368))</f>
        <v>0.65848341369884777</v>
      </c>
      <c r="EH368" s="204" t="str">
        <f t="shared" si="606"/>
        <v/>
      </c>
      <c r="EI368" s="204">
        <f>IF($J368="",#N/A,SUM(EH$4:EH368))</f>
        <v>-3.5125331561187787</v>
      </c>
      <c r="EJ368" s="205" t="str">
        <f t="shared" si="607"/>
        <v/>
      </c>
      <c r="EK368" s="205">
        <f>IF($J368="",#N/A,SUM(EJ$4:EJ368))</f>
        <v>8.4840381642896556</v>
      </c>
      <c r="EL368" s="205">
        <f>IF($J368="",#N/A,SUM(EJ$4:EJ368,EH$4:EH368,EF$4:EF368))</f>
        <v>5.6299884218697258</v>
      </c>
      <c r="EM368" s="200" t="str">
        <f t="shared" si="608"/>
        <v/>
      </c>
      <c r="EN368" s="203">
        <f>IF($J368="",#N/A,SUM(EM$4:EM368))</f>
        <v>0</v>
      </c>
      <c r="EO368" s="204" t="str">
        <f t="shared" si="609"/>
        <v/>
      </c>
      <c r="EP368" s="204">
        <f>IF($J368="",#N/A,SUM(EO$4:EO368))</f>
        <v>2.4788862078089964</v>
      </c>
      <c r="EQ368" s="205" t="str">
        <f t="shared" si="610"/>
        <v/>
      </c>
      <c r="ER368" s="205">
        <f>IF($J368="",#N/A,SUM(EQ$4:EQ368))</f>
        <v>1.7856049065476487</v>
      </c>
      <c r="ES368" s="205">
        <f>IF($J368="",#N/A,SUM(EQ$4:EQ368,EO$4:EO368,EM$4:EM368))</f>
        <v>4.2644911143566446</v>
      </c>
      <c r="ET368" s="200" t="str">
        <f t="shared" si="611"/>
        <v/>
      </c>
      <c r="EU368" s="203">
        <f>IF($J368="",#N/A,SUM(ET$4:ET368))</f>
        <v>0</v>
      </c>
      <c r="EV368" s="204" t="str">
        <f t="shared" si="612"/>
        <v/>
      </c>
      <c r="EW368" s="204">
        <f>IF($J368="",#N/A,SUM(EV$4:EV368))</f>
        <v>7.9116394275462909E-2</v>
      </c>
      <c r="EX368" s="205">
        <f t="shared" si="613"/>
        <v>-0.28365136668385837</v>
      </c>
      <c r="EY368" s="205">
        <f>IF($J368="",#N/A,SUM(EX$4:EX368))</f>
        <v>-0.6722852908676058</v>
      </c>
      <c r="EZ368" s="205">
        <f>IF($J368="",#N/A,SUM(EX$4:EX368,EV$4:EV368,ET$4:ET368))</f>
        <v>-0.59316889659214267</v>
      </c>
      <c r="FA368" s="200" t="str">
        <f t="shared" si="614"/>
        <v/>
      </c>
      <c r="FB368" s="203">
        <f>IF($J368="",#N/A,SUM(FA$4:FA368))</f>
        <v>-0.27145310509113252</v>
      </c>
      <c r="FC368" s="204" t="str">
        <f t="shared" si="615"/>
        <v/>
      </c>
      <c r="FD368" s="204">
        <f>IF($J368="",#N/A,SUM(FC$4:FC368))</f>
        <v>0.89084290967454072</v>
      </c>
      <c r="FE368" s="205" t="str">
        <f t="shared" si="616"/>
        <v/>
      </c>
      <c r="FF368" s="205">
        <f>IF($J368="",#N/A,SUM(FE$4:FE368))</f>
        <v>-0.28811149078748233</v>
      </c>
      <c r="FG368" s="205">
        <f>IF($J368="",#N/A,SUM(FE$4:FE368,FC$4:FC368,FA$4:FA368))</f>
        <v>0.3312783137959262</v>
      </c>
      <c r="FH368" s="200" t="str">
        <f t="shared" si="617"/>
        <v/>
      </c>
      <c r="FI368" s="203">
        <f>IF($J368="",#N/A,SUM(FH$4:FH368))</f>
        <v>0</v>
      </c>
      <c r="FJ368" s="204" t="str">
        <f t="shared" si="618"/>
        <v/>
      </c>
      <c r="FK368" s="204">
        <f>IF($J368="",#N/A,SUM(FJ$4:FJ368))</f>
        <v>0</v>
      </c>
      <c r="FL368" s="205" t="str">
        <f t="shared" si="619"/>
        <v/>
      </c>
      <c r="FM368" s="205">
        <f>IF($J368="",#N/A,SUM(FL$4:FL368))</f>
        <v>0</v>
      </c>
      <c r="FN368" s="205">
        <f>IF($J368="",#N/A,SUM(FL$4:FL368,FJ$4:FJ368,FH$4:FH368))</f>
        <v>0</v>
      </c>
      <c r="FO368" s="200" t="str">
        <f t="shared" si="620"/>
        <v/>
      </c>
      <c r="FP368" s="203">
        <f>IF($J368="",#N/A,SUM(FO$4:FO368))</f>
        <v>0</v>
      </c>
      <c r="FQ368" s="204" t="str">
        <f t="shared" si="621"/>
        <v/>
      </c>
      <c r="FR368" s="204">
        <f>IF($J368="",#N/A,SUM(FQ$4:FQ368))</f>
        <v>0</v>
      </c>
      <c r="FS368" s="205" t="str">
        <f t="shared" si="622"/>
        <v/>
      </c>
      <c r="FT368" s="205">
        <f>IF($J368="",#N/A,SUM(FS$4:FS368))</f>
        <v>0</v>
      </c>
      <c r="FU368" s="205">
        <f>IF($J368="",#N/A,SUM(FS$4:FS368,FQ$4:FQ368,FO$4:FO368))</f>
        <v>0</v>
      </c>
      <c r="FV368" s="200" t="str">
        <f t="shared" si="623"/>
        <v/>
      </c>
      <c r="FW368" s="203">
        <f>IF($J368="",#N/A,SUM(FV$4:FV368))</f>
        <v>6.6834991831277585E-2</v>
      </c>
      <c r="FX368" s="204" t="str">
        <f t="shared" si="624"/>
        <v/>
      </c>
      <c r="FY368" s="204">
        <f>IF($J368="",#N/A,SUM(FX$4:FX368))</f>
        <v>-0.16102012791805576</v>
      </c>
      <c r="FZ368" s="205" t="str">
        <f t="shared" si="625"/>
        <v/>
      </c>
      <c r="GA368" s="205">
        <f>IF($J368="",#N/A,SUM(FZ$4:FZ368))</f>
        <v>-0.69624339162892301</v>
      </c>
      <c r="GB368" s="205">
        <f>IF($J368="",#N/A,SUM(FZ$4:FZ368,FX$4:FX368,FV$4:FV368))</f>
        <v>-0.79042852771570116</v>
      </c>
      <c r="GC368" s="200" t="str">
        <f t="shared" si="626"/>
        <v/>
      </c>
      <c r="GD368" s="203">
        <f>IF($J368="",#N/A,SUM(GC$4:GC368))</f>
        <v>0</v>
      </c>
      <c r="GE368" s="204" t="str">
        <f t="shared" si="627"/>
        <v/>
      </c>
      <c r="GF368" s="204">
        <f>IF($J368="",#N/A,SUM(GE$4:GE368))</f>
        <v>0</v>
      </c>
      <c r="GG368" s="205" t="str">
        <f t="shared" si="628"/>
        <v/>
      </c>
      <c r="GH368" s="205">
        <f>IF($J368="",#N/A,SUM(GG$4:GG368))</f>
        <v>-2.9368362277223206</v>
      </c>
      <c r="GI368" s="205">
        <f>IF($J368="",#N/A,SUM(GG$4:GG368,GE$4:GE368,GC$4:GC368))</f>
        <v>-2.9368362277223206</v>
      </c>
      <c r="GJ368" s="200" t="str">
        <f t="shared" si="629"/>
        <v/>
      </c>
      <c r="GK368" s="203">
        <f>IF($J368="",#N/A,SUM(GJ$4:GJ368))</f>
        <v>0</v>
      </c>
      <c r="GL368" s="204" t="str">
        <f t="shared" si="630"/>
        <v/>
      </c>
      <c r="GM368" s="204">
        <f>IF($J368="",#N/A,SUM(GL$4:GL368))</f>
        <v>-2.0621307233432784</v>
      </c>
      <c r="GN368" s="205" t="str">
        <f t="shared" si="631"/>
        <v/>
      </c>
      <c r="GO368" s="205">
        <f>IF($J368="",#N/A,SUM(GN$4:GN368))</f>
        <v>0</v>
      </c>
      <c r="GP368" s="205">
        <f>IF($J368="",#N/A,SUM(GN$4:GN368,GL$4:GL368,GJ$4:GJ368))</f>
        <v>-2.0621307233432784</v>
      </c>
      <c r="GS368" s="54" t="str">
        <f t="shared" si="650"/>
        <v/>
      </c>
      <c r="GT368" s="54" t="e">
        <f>IF(GS368="",NA(),SUM($GS$4:GS368))</f>
        <v>#N/A</v>
      </c>
      <c r="GU368" s="54" t="str">
        <f t="shared" si="632"/>
        <v/>
      </c>
      <c r="GV368" s="54" t="e">
        <f>IF(GU368="",NA(),SUM($GU$4:GU368))</f>
        <v>#N/A</v>
      </c>
      <c r="GW368" s="54" t="str">
        <f t="shared" si="633"/>
        <v/>
      </c>
      <c r="GX368" s="54" t="e">
        <f>IF(GW368="",NA(),SUM($GW$4:GW368))</f>
        <v>#N/A</v>
      </c>
      <c r="GY368" s="54" t="str">
        <f t="shared" si="634"/>
        <v/>
      </c>
      <c r="GZ368" s="54" t="e">
        <f>IF(GY368="",NA(),SUM($GY$4:GY368))</f>
        <v>#N/A</v>
      </c>
      <c r="HA368" s="54">
        <f t="shared" si="635"/>
        <v>-0.28365136668385837</v>
      </c>
      <c r="HB368" s="54">
        <f>IF(HA368="",NA(),SUM($HA$4:HA368))</f>
        <v>1.3654620222303357</v>
      </c>
      <c r="HC368" s="54" t="str">
        <f t="shared" si="636"/>
        <v/>
      </c>
      <c r="HD368" s="54" t="e">
        <f>IF(HC368="",NA(),SUM($HC$4:HC368))</f>
        <v>#N/A</v>
      </c>
      <c r="HE368" s="54">
        <f t="shared" si="637"/>
        <v>-0.28365136668385837</v>
      </c>
      <c r="HF368" s="54">
        <f>IF(HE368="",NA(),SUM($HE$4:HE368))</f>
        <v>-3.6534881972715443</v>
      </c>
      <c r="HG368" s="54" t="str">
        <f t="shared" si="638"/>
        <v/>
      </c>
      <c r="HH368" s="54" t="e">
        <f>IF(HG368="",NA(),SUM($HG$4:HG368))</f>
        <v>#N/A</v>
      </c>
      <c r="HI368" s="172" t="str">
        <f t="shared" si="651"/>
        <v/>
      </c>
      <c r="HJ368" s="172">
        <f>IF($J368="",#N/A,SUM(HI$4:$HI368))</f>
        <v>-10.162234665497841</v>
      </c>
      <c r="HK368" s="54" t="str">
        <f t="shared" si="639"/>
        <v/>
      </c>
      <c r="HL368" s="54">
        <f>IF($J368="",#N/A,SUM($HK$4:HK368))</f>
        <v>2.7460981583887896</v>
      </c>
      <c r="HM368" s="54" t="str">
        <f t="shared" si="640"/>
        <v/>
      </c>
      <c r="HN368" s="54">
        <f>IF($J368="",#N/A,SUM($HM$4:HM368))</f>
        <v>-0.16355665587253121</v>
      </c>
      <c r="HO368" s="54" t="str">
        <f t="shared" si="641"/>
        <v/>
      </c>
      <c r="HP368" s="54">
        <f>IF($J368="",#N/A,SUM($HO$4:HO368))</f>
        <v>-0.26668580414118226</v>
      </c>
      <c r="HQ368" s="54" t="str">
        <f t="shared" si="642"/>
        <v/>
      </c>
      <c r="HR368" s="54">
        <f>IF($J368="",#N/A,SUM($HQ$4:HQ368))</f>
        <v>-10.680219001871885</v>
      </c>
      <c r="HS368" s="54">
        <f t="shared" si="643"/>
        <v>-0.47705002578648803</v>
      </c>
      <c r="HT368" s="54">
        <f>IF($J368="",#N/A,SUM($HS$4:HS368))</f>
        <v>13.756588671225847</v>
      </c>
      <c r="HU368" s="65">
        <f t="shared" si="644"/>
        <v>-0.7607013924703464</v>
      </c>
      <c r="HV368" s="65">
        <f>IF($J368="",#N/A,SUM(HU$4:$HU368))</f>
        <v>8.2531897080541938</v>
      </c>
    </row>
    <row r="369" spans="1:230" x14ac:dyDescent="0.25">
      <c r="A369" s="51" t="s">
        <v>1146</v>
      </c>
      <c r="B369" s="52" t="s">
        <v>5546</v>
      </c>
      <c r="C369" s="229">
        <f t="shared" si="545"/>
        <v>2</v>
      </c>
      <c r="D369" s="219" t="str">
        <f>_xlfn.XLOOKUP(A369,[1]SP500!$A$2:$A$502,[1]SP500!$D$2:$D$502,"N")</f>
        <v>N</v>
      </c>
      <c r="E369" s="51" t="str">
        <f>IFERROR(_xlfn.XLOOKUP(A369,[1]SP500!$A$2:$A$655,[1]SP500!$B$2:$B$655),"")</f>
        <v>XLY</v>
      </c>
      <c r="F369" s="290">
        <v>45805</v>
      </c>
      <c r="G369" s="51" t="str">
        <f t="shared" si="546"/>
        <v>BMO</v>
      </c>
      <c r="H369" s="51" t="str">
        <f t="shared" si="547"/>
        <v>s</v>
      </c>
      <c r="I369" s="344">
        <v>12.04</v>
      </c>
      <c r="J369" s="123">
        <v>12.5</v>
      </c>
      <c r="K369" s="55">
        <f t="shared" si="548"/>
        <v>3.820598006644526E-2</v>
      </c>
      <c r="L369" s="67">
        <f t="shared" si="549"/>
        <v>-54.2800000000002</v>
      </c>
      <c r="M369" s="57">
        <f t="shared" si="550"/>
        <v>-8.2599999999999909</v>
      </c>
      <c r="N369" s="102">
        <f t="shared" si="551"/>
        <v>-54.2800000000002</v>
      </c>
      <c r="O369" s="57">
        <f>IF(N369="",#N/A,SUM($N$4:N369))</f>
        <v>561.65937556162442</v>
      </c>
      <c r="P369" s="65">
        <f t="shared" si="645"/>
        <v>-0.63676633444075548</v>
      </c>
      <c r="Q369" s="172">
        <f>IF($N369="",#N/A,SUM($P$4:P369))</f>
        <v>12.882606127249788</v>
      </c>
      <c r="R369" s="279">
        <f t="shared" si="552"/>
        <v>7.5295336018317283</v>
      </c>
      <c r="S369" s="51" t="str">
        <f t="shared" si="553"/>
        <v>Dwn</v>
      </c>
      <c r="T369" s="51" t="s">
        <v>4461</v>
      </c>
      <c r="U369" s="56">
        <f t="shared" si="554"/>
        <v>12.04</v>
      </c>
      <c r="V369" s="56" t="s">
        <v>4458</v>
      </c>
      <c r="W369" s="142">
        <v>118</v>
      </c>
      <c r="X369" s="145">
        <f t="shared" si="555"/>
        <v>1420.7199999999998</v>
      </c>
      <c r="Y369" s="140">
        <f t="shared" si="556"/>
        <v>118</v>
      </c>
      <c r="Z369" s="141">
        <v>12.57</v>
      </c>
      <c r="AA369" s="102">
        <f t="shared" si="557"/>
        <v>-62.540000000000191</v>
      </c>
      <c r="AB369" s="102">
        <f t="shared" si="558"/>
        <v>4.7199999999997999</v>
      </c>
      <c r="AC369" s="123">
        <v>12</v>
      </c>
      <c r="AD369" s="155">
        <f t="shared" si="559"/>
        <v>4.7199999999997999</v>
      </c>
      <c r="AE369" s="545">
        <f t="shared" si="560"/>
        <v>5.5370985603541402E-2</v>
      </c>
      <c r="AF369" s="57">
        <f>IF($AC369="",#N/A,SUM(AD$4:AD369))</f>
        <v>429.29239714744881</v>
      </c>
      <c r="AG369" s="102">
        <f t="shared" si="561"/>
        <v>59</v>
      </c>
      <c r="AH369" s="56" t="s">
        <v>2507</v>
      </c>
      <c r="AI369" s="65">
        <f t="shared" si="562"/>
        <v>-0.73366555924695698</v>
      </c>
      <c r="AJ369" s="108">
        <f>IF(AI369="",#N/A,SUM($AI$4:AI369))</f>
        <v>5.3530725254180602</v>
      </c>
      <c r="AK369" s="57">
        <f t="shared" si="563"/>
        <v>-62.540000000000191</v>
      </c>
      <c r="AL369" s="66">
        <f>IF(AI369="",#N/A,IF(AH369="Skip",SUM($AK$4:AK369),SUM($AK$4:AK369)))</f>
        <v>52.58236927848202</v>
      </c>
      <c r="AM369" s="65">
        <f t="shared" si="646"/>
        <v>5.5370985603541402E-2</v>
      </c>
      <c r="AN369" s="209"/>
      <c r="AO369" s="65" t="str">
        <f t="shared" si="564"/>
        <v/>
      </c>
      <c r="AP369" s="65">
        <f>IF($AC369="",#N/A,SUM(AO$4:AO369))</f>
        <v>7.4707033499747686</v>
      </c>
      <c r="AQ369" s="65" t="str">
        <f t="shared" si="565"/>
        <v/>
      </c>
      <c r="AR369" s="65">
        <f>IF($AC369="",#N/A,SUM(AQ$4:AQ369))</f>
        <v>-7.9060313754678537</v>
      </c>
      <c r="AS369" s="65">
        <f t="shared" si="566"/>
        <v>5.5370985603541402E-2</v>
      </c>
      <c r="AT369" s="65">
        <f>IF($AC369="",#N/A,SUM(AS$4:AS369))</f>
        <v>8.7438887191508137</v>
      </c>
      <c r="AU369" s="57" t="str">
        <f t="shared" si="647"/>
        <v/>
      </c>
      <c r="AV369" s="57">
        <f>IF($AC369="",#N/A,SUM(AU$4:AU369))</f>
        <v>332.91627194987996</v>
      </c>
      <c r="AW369" s="57" t="str">
        <f t="shared" si="648"/>
        <v/>
      </c>
      <c r="AX369" s="57">
        <f>IF($AC369="",#N/A,SUM(AW$4:AW369))</f>
        <v>-583.86106797961088</v>
      </c>
      <c r="AY369" s="57">
        <f t="shared" si="649"/>
        <v>4.7199999999997999</v>
      </c>
      <c r="AZ369" s="57">
        <f>IF($AC369="",#N/A,SUM(AY$4:AY369))</f>
        <v>680.23719317717962</v>
      </c>
      <c r="BA369" s="57">
        <f>IF(AD369="",#N/A,SUM($AD$4:AD369))</f>
        <v>429.29239714744881</v>
      </c>
      <c r="BC369" s="51" t="str">
        <f t="shared" si="567"/>
        <v/>
      </c>
      <c r="BD369" s="51">
        <f t="shared" si="568"/>
        <v>1</v>
      </c>
      <c r="BE369" s="51" t="str">
        <f t="shared" si="569"/>
        <v/>
      </c>
      <c r="BF369" s="51" t="str">
        <f t="shared" si="570"/>
        <v>Short</v>
      </c>
      <c r="BG369" s="51" t="str">
        <f t="shared" si="571"/>
        <v/>
      </c>
      <c r="BH369" s="51" t="str">
        <f t="shared" si="572"/>
        <v/>
      </c>
      <c r="BI369" s="51" t="str">
        <f t="shared" si="573"/>
        <v/>
      </c>
      <c r="BK369" s="65">
        <f t="shared" si="544"/>
        <v>-9.0077258070396585E-2</v>
      </c>
      <c r="BL369" s="65">
        <f t="shared" si="652"/>
        <v>-0.13724292852460301</v>
      </c>
      <c r="BM369" s="65">
        <f>IFERROR(Q369/COUNTA($J$4:J369),#N/A)</f>
        <v>3.5198377396857349E-2</v>
      </c>
      <c r="BO369" s="489" t="e">
        <f>IF(J369="",#N/A,IF(S369="SW",(COUNTIFS(K$4:$K369,"&gt;0",S$4:$S369,"SW")/COUNTIF(S$4:$S369,"SW")),#N/A))</f>
        <v>#N/A</v>
      </c>
      <c r="BP369" s="489">
        <f>IF($J369="",#N/A,IF($S369="DWN",(COUNTIFS($K$4:$K369,"&lt;0",$S$4:$S369,"DWN")/COUNTIF($S$4:$S369,"DWN")),#N/A))</f>
        <v>0.56050955414012738</v>
      </c>
      <c r="BQ369" s="489" t="e">
        <f>IF($J369="",#N/A,IF($S369="UP",(COUNTIFS($K$4:$K369,"&gt;0",$S$4:$S369,"UP")/COUNTIF($S$4:$S369,"UP")),#N/A))</f>
        <v>#N/A</v>
      </c>
      <c r="BR369" s="489">
        <f>IF(J369="",#N/A,COUNTIF($K$4:K369,"&gt;0")/COUNT($J$4:J369))</f>
        <v>0.46721311475409838</v>
      </c>
      <c r="BS369" s="65" t="str">
        <f t="shared" si="574"/>
        <v/>
      </c>
      <c r="BT369" s="65" t="str">
        <f t="shared" si="575"/>
        <v/>
      </c>
      <c r="BU369" s="65" t="str">
        <f t="shared" si="576"/>
        <v/>
      </c>
      <c r="BV369" s="65">
        <f t="shared" si="577"/>
        <v>-0.63676633444075548</v>
      </c>
      <c r="BW369" s="128" t="str">
        <f t="shared" si="578"/>
        <v/>
      </c>
      <c r="BX369" s="128">
        <f>IF($J369="",#N/A,SUM($BW$4:BW369))</f>
        <v>-551.53817034792883</v>
      </c>
      <c r="BY369" s="131">
        <f t="shared" si="579"/>
        <v>-54.2800000000002</v>
      </c>
      <c r="BZ369" s="131">
        <f>IF($J369="",#N/A,SUM($BY$4:BY369))</f>
        <v>982.07161346139446</v>
      </c>
      <c r="CA369" s="133" t="str">
        <f t="shared" si="580"/>
        <v/>
      </c>
      <c r="CB369" s="133">
        <f>IF($J369="",#N/A,SUM($CA$4:CA369))</f>
        <v>131.12593244815855</v>
      </c>
      <c r="CC369" s="194" t="str">
        <f t="shared" si="581"/>
        <v/>
      </c>
      <c r="CD369" s="194">
        <f>IF($J369="",#N/A,SUM($CC$4:CC369))</f>
        <v>-7.4757889154541379</v>
      </c>
      <c r="CE369" s="195">
        <f t="shared" si="582"/>
        <v>-0.63676633444075548</v>
      </c>
      <c r="CF369" s="195">
        <f>IF($J369="",#N/A,SUM($CE$4:CE369))</f>
        <v>15.467887906215578</v>
      </c>
      <c r="CG369" s="196" t="str">
        <f t="shared" si="583"/>
        <v/>
      </c>
      <c r="CH369" s="196">
        <f>IF($J369="",#N/A,SUM($CG$4:CG369))</f>
        <v>4.8905071364883579</v>
      </c>
      <c r="CI369" s="200" t="str">
        <f t="shared" si="584"/>
        <v/>
      </c>
      <c r="CJ369" s="203">
        <f>IF($J369="",#N/A,SUM(CI$4:CI369))</f>
        <v>0</v>
      </c>
      <c r="CK369" s="204" t="str">
        <f t="shared" si="585"/>
        <v/>
      </c>
      <c r="CL369" s="204">
        <f>IF($J369="",#N/A,SUM(CK$4:CK369))</f>
        <v>1.2912501745213723</v>
      </c>
      <c r="CM369" s="205" t="str">
        <f t="shared" si="586"/>
        <v/>
      </c>
      <c r="CN369" s="205">
        <f>IF($J369="",#N/A,SUM(CM$4:CM369))</f>
        <v>1.357235719871134</v>
      </c>
      <c r="CO369" s="205">
        <f>IF($J369="",#N/A,SUM(CM$4:CM369,CK$4:CK369,CI$4:CI369))</f>
        <v>2.6484858943925063</v>
      </c>
      <c r="CP369" s="200" t="str">
        <f t="shared" si="587"/>
        <v/>
      </c>
      <c r="CQ369" s="203">
        <f>IF($J369="",#N/A,SUM(CP$4:CP369))</f>
        <v>-3.8906153415633056</v>
      </c>
      <c r="CR369" s="204" t="str">
        <f t="shared" si="588"/>
        <v/>
      </c>
      <c r="CS369" s="204">
        <f>IF($J369="",#N/A,SUM(CR$4:CR369))</f>
        <v>2.3600225017004668</v>
      </c>
      <c r="CT369" s="205" t="str">
        <f t="shared" si="589"/>
        <v/>
      </c>
      <c r="CU369" s="205">
        <f>IF($J369="",#N/A,SUM(CT$4:CT369))</f>
        <v>-3.2469967661908816</v>
      </c>
      <c r="CV369" s="205">
        <f>IF($J369="",#N/A,SUM(CT$4:CT369,CR$4:CR369,CP$4:CP369))</f>
        <v>-4.77758960605372</v>
      </c>
      <c r="CW369" s="200" t="str">
        <f t="shared" si="590"/>
        <v/>
      </c>
      <c r="CX369" s="203">
        <f>IF($J369="",#N/A,SUM(CW$4:CW369))</f>
        <v>-3.3082659491100586</v>
      </c>
      <c r="CY369" s="204">
        <f t="shared" si="591"/>
        <v>-0.63676633444075548</v>
      </c>
      <c r="CZ369" s="204">
        <f>IF($J369="",#N/A,SUM(CY$4:CY369))</f>
        <v>2.7790776049644901</v>
      </c>
      <c r="DA369" s="205" t="str">
        <f t="shared" si="592"/>
        <v/>
      </c>
      <c r="DB369" s="205">
        <f>IF($J369="",#N/A,SUM(DA$4:DA369))</f>
        <v>-3.6020278946927151</v>
      </c>
      <c r="DC369" s="205">
        <f>IF($J369="",#N/A,SUM(DA$4:DA369,CY$4:CY369,CW$4:CW369))</f>
        <v>-4.1312162388382836</v>
      </c>
      <c r="DD369" s="200" t="str">
        <f t="shared" si="593"/>
        <v/>
      </c>
      <c r="DE369" s="203">
        <f>IF($J369="",#N/A,SUM(DD$4:DD369))</f>
        <v>1.6161029218801881</v>
      </c>
      <c r="DF369" s="204" t="str">
        <f t="shared" si="594"/>
        <v/>
      </c>
      <c r="DG369" s="204">
        <f>IF($J369="",#N/A,SUM(DF$4:DF369))</f>
        <v>4.1810385231482243</v>
      </c>
      <c r="DH369" s="205" t="str">
        <f t="shared" si="595"/>
        <v/>
      </c>
      <c r="DI369" s="205">
        <f>IF($J369="",#N/A,SUM(DH$4:DH369))</f>
        <v>-3.216671910770577</v>
      </c>
      <c r="DJ369" s="205">
        <f>IF($J369="",#N/A,SUM(DH$4:DH369,DF$4:DF369,DD$4:DD369))</f>
        <v>2.5804695342578352</v>
      </c>
      <c r="DK369" s="200" t="str">
        <f t="shared" si="596"/>
        <v/>
      </c>
      <c r="DL369" s="203">
        <f>IF($J369="",#N/A,SUM(DK$4:DK369))</f>
        <v>-0.84049791589649614</v>
      </c>
      <c r="DM369" s="204" t="str">
        <f t="shared" si="597"/>
        <v/>
      </c>
      <c r="DN369" s="204">
        <f>IF($J369="",#N/A,SUM(DM$4:DM369))</f>
        <v>1.8657648196498773</v>
      </c>
      <c r="DO369" s="205" t="str">
        <f t="shared" si="598"/>
        <v/>
      </c>
      <c r="DP369" s="205">
        <f>IF($J369="",#N/A,SUM(DO$4:DO369))</f>
        <v>3.4887162328793941</v>
      </c>
      <c r="DQ369" s="205">
        <f>IF($J369="",#N/A,SUM(DO$4:DO369,DM$4:DM369,DK$4:DK369))</f>
        <v>4.5139831366327758</v>
      </c>
      <c r="DR369" s="200" t="str">
        <f t="shared" si="599"/>
        <v/>
      </c>
      <c r="DS369" s="203">
        <f>IF($J369="",#N/A,SUM(DR$4:DR369))</f>
        <v>-0.55950946427675097</v>
      </c>
      <c r="DT369" s="204" t="str">
        <f t="shared" si="600"/>
        <v/>
      </c>
      <c r="DU369" s="204">
        <f>IF($J369="",#N/A,SUM(DT$4:DT369))</f>
        <v>-0.20750635820596686</v>
      </c>
      <c r="DV369" s="205" t="str">
        <f t="shared" si="601"/>
        <v/>
      </c>
      <c r="DW369" s="205">
        <f>IF($J369="",#N/A,SUM(DV$4:DV369))</f>
        <v>-2.3377035686214001</v>
      </c>
      <c r="DX369" s="205">
        <f>IF($J369="",#N/A,SUM(DV$4:DV369,DT$4:DT369,DR$4:DR369))</f>
        <v>-3.1047193911041169</v>
      </c>
      <c r="DY369" s="200" t="str">
        <f t="shared" si="602"/>
        <v/>
      </c>
      <c r="DZ369" s="203">
        <f>IF($J369="",#N/A,SUM(DY$4:DY369))</f>
        <v>-1.4146842415208627</v>
      </c>
      <c r="EA369" s="204" t="str">
        <f t="shared" si="603"/>
        <v/>
      </c>
      <c r="EB369" s="204">
        <f>IF($J369="",#N/A,SUM(EA$4:EA369))</f>
        <v>4.3184391548878134</v>
      </c>
      <c r="EC369" s="205" t="str">
        <f t="shared" si="604"/>
        <v/>
      </c>
      <c r="ED369" s="205">
        <f>IF($J369="",#N/A,SUM(EC$4:EC369))</f>
        <v>8.4384553208490907</v>
      </c>
      <c r="EE369" s="205">
        <f>IF($J369="",#N/A,SUM(EC$4:EC369,EA$4:EA369,DY$4:DY369))</f>
        <v>11.342210234216044</v>
      </c>
      <c r="EF369" s="200" t="str">
        <f t="shared" si="605"/>
        <v/>
      </c>
      <c r="EG369" s="203">
        <f>IF($J369="",#N/A,SUM(EF$4:EF369))</f>
        <v>0.65848341369884777</v>
      </c>
      <c r="EH369" s="204" t="str">
        <f t="shared" si="606"/>
        <v/>
      </c>
      <c r="EI369" s="204">
        <f>IF($J369="",#N/A,SUM(EH$4:EH369))</f>
        <v>-3.5125331561187787</v>
      </c>
      <c r="EJ369" s="205" t="str">
        <f t="shared" si="607"/>
        <v/>
      </c>
      <c r="EK369" s="205">
        <f>IF($J369="",#N/A,SUM(EJ$4:EJ369))</f>
        <v>8.4840381642896556</v>
      </c>
      <c r="EL369" s="205">
        <f>IF($J369="",#N/A,SUM(EJ$4:EJ369,EH$4:EH369,EF$4:EF369))</f>
        <v>5.6299884218697258</v>
      </c>
      <c r="EM369" s="200" t="str">
        <f t="shared" si="608"/>
        <v/>
      </c>
      <c r="EN369" s="203">
        <f>IF($J369="",#N/A,SUM(EM$4:EM369))</f>
        <v>0</v>
      </c>
      <c r="EO369" s="204" t="str">
        <f t="shared" si="609"/>
        <v/>
      </c>
      <c r="EP369" s="204">
        <f>IF($J369="",#N/A,SUM(EO$4:EO369))</f>
        <v>2.4788862078089964</v>
      </c>
      <c r="EQ369" s="205" t="str">
        <f t="shared" si="610"/>
        <v/>
      </c>
      <c r="ER369" s="205">
        <f>IF($J369="",#N/A,SUM(EQ$4:EQ369))</f>
        <v>1.7856049065476487</v>
      </c>
      <c r="ES369" s="205">
        <f>IF($J369="",#N/A,SUM(EQ$4:EQ369,EO$4:EO369,EM$4:EM369))</f>
        <v>4.2644911143566446</v>
      </c>
      <c r="ET369" s="200" t="str">
        <f t="shared" si="611"/>
        <v/>
      </c>
      <c r="EU369" s="203">
        <f>IF($J369="",#N/A,SUM(ET$4:ET369))</f>
        <v>0</v>
      </c>
      <c r="EV369" s="204" t="str">
        <f t="shared" si="612"/>
        <v/>
      </c>
      <c r="EW369" s="204">
        <f>IF($J369="",#N/A,SUM(EV$4:EV369))</f>
        <v>7.9116394275462909E-2</v>
      </c>
      <c r="EX369" s="205" t="str">
        <f t="shared" si="613"/>
        <v/>
      </c>
      <c r="EY369" s="205">
        <f>IF($J369="",#N/A,SUM(EX$4:EX369))</f>
        <v>-0.6722852908676058</v>
      </c>
      <c r="EZ369" s="205">
        <f>IF($J369="",#N/A,SUM(EX$4:EX369,EV$4:EV369,ET$4:ET369))</f>
        <v>-0.59316889659214267</v>
      </c>
      <c r="FA369" s="200" t="str">
        <f t="shared" si="614"/>
        <v/>
      </c>
      <c r="FB369" s="203">
        <f>IF($J369="",#N/A,SUM(FA$4:FA369))</f>
        <v>-0.27145310509113252</v>
      </c>
      <c r="FC369" s="204" t="str">
        <f t="shared" si="615"/>
        <v/>
      </c>
      <c r="FD369" s="204">
        <f>IF($J369="",#N/A,SUM(FC$4:FC369))</f>
        <v>0.89084290967454072</v>
      </c>
      <c r="FE369" s="205" t="str">
        <f t="shared" si="616"/>
        <v/>
      </c>
      <c r="FF369" s="205">
        <f>IF($J369="",#N/A,SUM(FE$4:FE369))</f>
        <v>-0.28811149078748233</v>
      </c>
      <c r="FG369" s="205">
        <f>IF($J369="",#N/A,SUM(FE$4:FE369,FC$4:FC369,FA$4:FA369))</f>
        <v>0.3312783137959262</v>
      </c>
      <c r="FH369" s="200" t="str">
        <f t="shared" si="617"/>
        <v/>
      </c>
      <c r="FI369" s="203">
        <f>IF($J369="",#N/A,SUM(FH$4:FH369))</f>
        <v>0</v>
      </c>
      <c r="FJ369" s="204" t="str">
        <f t="shared" si="618"/>
        <v/>
      </c>
      <c r="FK369" s="204">
        <f>IF($J369="",#N/A,SUM(FJ$4:FJ369))</f>
        <v>0</v>
      </c>
      <c r="FL369" s="205" t="str">
        <f t="shared" si="619"/>
        <v/>
      </c>
      <c r="FM369" s="205">
        <f>IF($J369="",#N/A,SUM(FL$4:FL369))</f>
        <v>0</v>
      </c>
      <c r="FN369" s="205">
        <f>IF($J369="",#N/A,SUM(FL$4:FL369,FJ$4:FJ369,FH$4:FH369))</f>
        <v>0</v>
      </c>
      <c r="FO369" s="200" t="str">
        <f t="shared" si="620"/>
        <v/>
      </c>
      <c r="FP369" s="203">
        <f>IF($J369="",#N/A,SUM(FO$4:FO369))</f>
        <v>0</v>
      </c>
      <c r="FQ369" s="204" t="str">
        <f t="shared" si="621"/>
        <v/>
      </c>
      <c r="FR369" s="204">
        <f>IF($J369="",#N/A,SUM(FQ$4:FQ369))</f>
        <v>0</v>
      </c>
      <c r="FS369" s="205" t="str">
        <f t="shared" si="622"/>
        <v/>
      </c>
      <c r="FT369" s="205">
        <f>IF($J369="",#N/A,SUM(FS$4:FS369))</f>
        <v>0</v>
      </c>
      <c r="FU369" s="205">
        <f>IF($J369="",#N/A,SUM(FS$4:FS369,FQ$4:FQ369,FO$4:FO369))</f>
        <v>0</v>
      </c>
      <c r="FV369" s="200" t="str">
        <f t="shared" si="623"/>
        <v/>
      </c>
      <c r="FW369" s="203">
        <f>IF($J369="",#N/A,SUM(FV$4:FV369))</f>
        <v>6.6834991831277585E-2</v>
      </c>
      <c r="FX369" s="204" t="str">
        <f t="shared" si="624"/>
        <v/>
      </c>
      <c r="FY369" s="204">
        <f>IF($J369="",#N/A,SUM(FX$4:FX369))</f>
        <v>-0.16102012791805576</v>
      </c>
      <c r="FZ369" s="205" t="str">
        <f t="shared" si="625"/>
        <v/>
      </c>
      <c r="GA369" s="205">
        <f>IF($J369="",#N/A,SUM(FZ$4:FZ369))</f>
        <v>-0.69624339162892301</v>
      </c>
      <c r="GB369" s="205">
        <f>IF($J369="",#N/A,SUM(FZ$4:FZ369,FX$4:FX369,FV$4:FV369))</f>
        <v>-0.79042852771570116</v>
      </c>
      <c r="GC369" s="200" t="str">
        <f t="shared" si="626"/>
        <v/>
      </c>
      <c r="GD369" s="203">
        <f>IF($J369="",#N/A,SUM(GC$4:GC369))</f>
        <v>0</v>
      </c>
      <c r="GE369" s="204" t="str">
        <f t="shared" si="627"/>
        <v/>
      </c>
      <c r="GF369" s="204">
        <f>IF($J369="",#N/A,SUM(GE$4:GE369))</f>
        <v>0</v>
      </c>
      <c r="GG369" s="205" t="str">
        <f t="shared" si="628"/>
        <v/>
      </c>
      <c r="GH369" s="205">
        <f>IF($J369="",#N/A,SUM(GG$4:GG369))</f>
        <v>-2.9368362277223206</v>
      </c>
      <c r="GI369" s="205">
        <f>IF($J369="",#N/A,SUM(GG$4:GG369,GE$4:GE369,GC$4:GC369))</f>
        <v>-2.9368362277223206</v>
      </c>
      <c r="GJ369" s="200" t="str">
        <f t="shared" si="629"/>
        <v/>
      </c>
      <c r="GK369" s="203">
        <f>IF($J369="",#N/A,SUM(GJ$4:GJ369))</f>
        <v>0</v>
      </c>
      <c r="GL369" s="204" t="str">
        <f t="shared" si="630"/>
        <v/>
      </c>
      <c r="GM369" s="204">
        <f>IF($J369="",#N/A,SUM(GL$4:GL369))</f>
        <v>-2.0621307233432784</v>
      </c>
      <c r="GN369" s="205" t="str">
        <f t="shared" si="631"/>
        <v/>
      </c>
      <c r="GO369" s="205">
        <f>IF($J369="",#N/A,SUM(GN$4:GN369))</f>
        <v>0</v>
      </c>
      <c r="GP369" s="205">
        <f>IF($J369="",#N/A,SUM(GN$4:GN369,GL$4:GL369,GJ$4:GJ369))</f>
        <v>-2.0621307233432784</v>
      </c>
      <c r="GS369" s="54" t="str">
        <f t="shared" si="650"/>
        <v/>
      </c>
      <c r="GT369" s="54" t="e">
        <f>IF(GS369="",NA(),SUM($GS$4:GS369))</f>
        <v>#N/A</v>
      </c>
      <c r="GU369" s="54" t="str">
        <f t="shared" si="632"/>
        <v/>
      </c>
      <c r="GV369" s="54" t="e">
        <f>IF(GU369="",NA(),SUM($GU$4:GU369))</f>
        <v>#N/A</v>
      </c>
      <c r="GW369" s="54" t="str">
        <f t="shared" si="633"/>
        <v/>
      </c>
      <c r="GX369" s="54" t="e">
        <f>IF(GW369="",NA(),SUM($GW$4:GW369))</f>
        <v>#N/A</v>
      </c>
      <c r="GY369" s="54" t="str">
        <f t="shared" si="634"/>
        <v/>
      </c>
      <c r="GZ369" s="54" t="e">
        <f>IF(GY369="",NA(),SUM($GY$4:GY369))</f>
        <v>#N/A</v>
      </c>
      <c r="HA369" s="54">
        <f t="shared" si="635"/>
        <v>-0.63676633444075548</v>
      </c>
      <c r="HB369" s="54">
        <f>IF(HA369="",NA(),SUM($HA$4:HA369))</f>
        <v>0.72869568778958027</v>
      </c>
      <c r="HC369" s="54" t="str">
        <f t="shared" si="636"/>
        <v/>
      </c>
      <c r="HD369" s="54" t="e">
        <f>IF(HC369="",NA(),SUM($HC$4:HC369))</f>
        <v>#N/A</v>
      </c>
      <c r="HE369" s="54" t="str">
        <f t="shared" si="637"/>
        <v/>
      </c>
      <c r="HF369" s="54" t="e">
        <f>IF(HE369="",NA(),SUM($HE$4:HE369))</f>
        <v>#N/A</v>
      </c>
      <c r="HG369" s="54">
        <f t="shared" si="638"/>
        <v>-0.63676633444075548</v>
      </c>
      <c r="HH369" s="54">
        <f>IF(HG369="",NA(),SUM($HG$4:HG369))</f>
        <v>5.5059373979375605</v>
      </c>
      <c r="HI369" s="172" t="str">
        <f t="shared" si="651"/>
        <v/>
      </c>
      <c r="HJ369" s="172">
        <f>IF($J369="",#N/A,SUM(HI$4:$HI369))</f>
        <v>-10.162234665497841</v>
      </c>
      <c r="HK369" s="54">
        <f t="shared" si="639"/>
        <v>0.69213732004429684</v>
      </c>
      <c r="HL369" s="54">
        <f>IF($J369="",#N/A,SUM($HK$4:HK369))</f>
        <v>3.4382354784330866</v>
      </c>
      <c r="HM369" s="54" t="str">
        <f t="shared" si="640"/>
        <v/>
      </c>
      <c r="HN369" s="54">
        <f>IF($J369="",#N/A,SUM($HM$4:HM369))</f>
        <v>-0.16355665587253121</v>
      </c>
      <c r="HO369" s="54" t="str">
        <f t="shared" si="641"/>
        <v/>
      </c>
      <c r="HP369" s="54">
        <f>IF($J369="",#N/A,SUM($HO$4:HO369))</f>
        <v>-0.26668580414118226</v>
      </c>
      <c r="HQ369" s="54" t="str">
        <f t="shared" si="642"/>
        <v/>
      </c>
      <c r="HR369" s="54">
        <f>IF($J369="",#N/A,SUM($HQ$4:HQ369))</f>
        <v>-10.680219001871885</v>
      </c>
      <c r="HS369" s="54" t="str">
        <f t="shared" si="643"/>
        <v/>
      </c>
      <c r="HT369" s="54">
        <f>IF($J369="",#N/A,SUM($HS$4:HS369))</f>
        <v>13.756588671225847</v>
      </c>
      <c r="HU369" s="65">
        <f t="shared" si="644"/>
        <v>5.5370985603541402E-2</v>
      </c>
      <c r="HV369" s="65">
        <f>IF($J369="",#N/A,SUM(HU$4:$HU369))</f>
        <v>8.3085606936577356</v>
      </c>
    </row>
    <row r="370" spans="1:230" x14ac:dyDescent="0.25">
      <c r="A370" s="51" t="s">
        <v>1139</v>
      </c>
      <c r="B370" s="52" t="s">
        <v>5546</v>
      </c>
      <c r="C370" s="229">
        <f t="shared" si="545"/>
        <v>2</v>
      </c>
      <c r="D370" s="219" t="str">
        <f>_xlfn.XLOOKUP(A370,[1]SP500!$A$2:$A$502,[1]SP500!$D$2:$D$502,"N")</f>
        <v>N</v>
      </c>
      <c r="E370" s="51" t="str">
        <f>IFERROR(_xlfn.XLOOKUP(A370,[1]SP500!$A$2:$A$655,[1]SP500!$B$2:$B$655),"")</f>
        <v>XLY</v>
      </c>
      <c r="F370" s="290">
        <v>45805</v>
      </c>
      <c r="G370" s="51" t="str">
        <f t="shared" si="546"/>
        <v>BMO</v>
      </c>
      <c r="H370" s="51" t="str">
        <f t="shared" si="547"/>
        <v>s</v>
      </c>
      <c r="I370" s="344">
        <v>77.150000000000006</v>
      </c>
      <c r="J370" s="124">
        <v>103.88</v>
      </c>
      <c r="K370" s="55">
        <f t="shared" si="548"/>
        <v>0.34646791963707047</v>
      </c>
      <c r="L370" s="67">
        <f t="shared" si="549"/>
        <v>-507.86999999999966</v>
      </c>
      <c r="M370" s="57">
        <f t="shared" si="550"/>
        <v>-21.090000000000146</v>
      </c>
      <c r="N370" s="102">
        <f t="shared" si="551"/>
        <v>-507.86999999999966</v>
      </c>
      <c r="O370" s="57">
        <f>IF(N370="",#N/A,SUM($N$4:N370))</f>
        <v>53.789375561624752</v>
      </c>
      <c r="P370" s="65">
        <f t="shared" si="645"/>
        <v>-5.7744653272845063</v>
      </c>
      <c r="Q370" s="172">
        <f>IF($N370="",#N/A,SUM($P$4:P370))</f>
        <v>7.1081407999652821</v>
      </c>
      <c r="R370" s="279">
        <f t="shared" si="552"/>
        <v>7.7693262136269343</v>
      </c>
      <c r="S370" s="51" t="str">
        <f t="shared" si="553"/>
        <v>Dwn</v>
      </c>
      <c r="T370" s="51" t="s">
        <v>4461</v>
      </c>
      <c r="U370" s="56">
        <f t="shared" si="554"/>
        <v>77.150000000000006</v>
      </c>
      <c r="V370" s="56" t="s">
        <v>4458</v>
      </c>
      <c r="W370" s="142">
        <v>19</v>
      </c>
      <c r="X370" s="145">
        <f t="shared" si="555"/>
        <v>1465.8500000000001</v>
      </c>
      <c r="Y370" s="140">
        <f t="shared" si="556"/>
        <v>19</v>
      </c>
      <c r="Z370" s="141">
        <v>104.99</v>
      </c>
      <c r="AA370" s="102">
        <f t="shared" si="557"/>
        <v>-528.95999999999981</v>
      </c>
      <c r="AB370" s="102">
        <f t="shared" si="558"/>
        <v>-215.07999999999993</v>
      </c>
      <c r="AC370" s="124">
        <v>88.47</v>
      </c>
      <c r="AD370" s="155">
        <f t="shared" si="559"/>
        <v>-215.07999999999993</v>
      </c>
      <c r="AE370" s="545">
        <f t="shared" si="560"/>
        <v>-2.4454525815510899</v>
      </c>
      <c r="AF370" s="57">
        <f>IF($AC370="",#N/A,SUM(AD$4:AD370))</f>
        <v>214.21239714744888</v>
      </c>
      <c r="AG370" s="102">
        <f t="shared" si="561"/>
        <v>292.78999999999974</v>
      </c>
      <c r="AH370" s="56" t="s">
        <v>2507</v>
      </c>
      <c r="AI370" s="65">
        <f t="shared" si="562"/>
        <v>-6.0142579390797124</v>
      </c>
      <c r="AJ370" s="108">
        <f>IF(AI370="",#N/A,SUM($AI$4:AI370))</f>
        <v>-0.66118541366165218</v>
      </c>
      <c r="AK370" s="57">
        <f t="shared" si="563"/>
        <v>-528.95999999999981</v>
      </c>
      <c r="AL370" s="66">
        <f>IF(AI370="",#N/A,IF(AH370="Skip",SUM($AK$4:AK370),SUM($AK$4:AK370)))</f>
        <v>-476.37763072151779</v>
      </c>
      <c r="AM370" s="65">
        <f t="shared" si="646"/>
        <v>-2.4454525815510899</v>
      </c>
      <c r="AN370" s="209"/>
      <c r="AO370" s="65" t="str">
        <f t="shared" si="564"/>
        <v/>
      </c>
      <c r="AP370" s="65">
        <f>IF($AC370="",#N/A,SUM(AO$4:AO370))</f>
        <v>7.4707033499747686</v>
      </c>
      <c r="AQ370" s="65" t="str">
        <f t="shared" si="565"/>
        <v/>
      </c>
      <c r="AR370" s="65">
        <f>IF($AC370="",#N/A,SUM(AQ$4:AQ370))</f>
        <v>-7.9060313754678537</v>
      </c>
      <c r="AS370" s="65">
        <f t="shared" si="566"/>
        <v>-2.4454525815510899</v>
      </c>
      <c r="AT370" s="65">
        <f>IF($AC370="",#N/A,SUM(AS$4:AS370))</f>
        <v>6.2984361375997242</v>
      </c>
      <c r="AU370" s="57" t="str">
        <f t="shared" si="647"/>
        <v/>
      </c>
      <c r="AV370" s="57">
        <f>IF($AC370="",#N/A,SUM(AU$4:AU370))</f>
        <v>332.91627194987996</v>
      </c>
      <c r="AW370" s="57" t="str">
        <f t="shared" si="648"/>
        <v/>
      </c>
      <c r="AX370" s="57">
        <f>IF($AC370="",#N/A,SUM(AW$4:AW370))</f>
        <v>-583.86106797961088</v>
      </c>
      <c r="AY370" s="57">
        <f t="shared" si="649"/>
        <v>-215.07999999999993</v>
      </c>
      <c r="AZ370" s="57">
        <f>IF($AC370="",#N/A,SUM(AY$4:AY370))</f>
        <v>465.15719317717969</v>
      </c>
      <c r="BA370" s="57">
        <f>IF(AD370="",#N/A,SUM($AD$4:AD370))</f>
        <v>214.21239714744888</v>
      </c>
      <c r="BC370" s="51" t="str">
        <f t="shared" si="567"/>
        <v/>
      </c>
      <c r="BD370" s="51">
        <f t="shared" si="568"/>
        <v>1</v>
      </c>
      <c r="BE370" s="51" t="str">
        <f t="shared" si="569"/>
        <v/>
      </c>
      <c r="BF370" s="51" t="str">
        <f t="shared" si="570"/>
        <v>Short</v>
      </c>
      <c r="BG370" s="51" t="str">
        <f t="shared" si="571"/>
        <v/>
      </c>
      <c r="BH370" s="51" t="str">
        <f t="shared" si="572"/>
        <v/>
      </c>
      <c r="BI370" s="51" t="str">
        <f t="shared" si="573"/>
        <v/>
      </c>
      <c r="BK370" s="65">
        <f t="shared" si="544"/>
        <v>-0.21295118000070215</v>
      </c>
      <c r="BL370" s="65">
        <f t="shared" si="652"/>
        <v>-0.38540568533791264</v>
      </c>
      <c r="BM370" s="65">
        <f>IFERROR(Q370/COUNTA($J$4:J370),#N/A)</f>
        <v>1.9368231062575701E-2</v>
      </c>
      <c r="BO370" s="489" t="e">
        <f>IF(J370="",#N/A,IF(S370="SW",(COUNTIFS(K$4:$K370,"&gt;0",S$4:$S370,"SW")/COUNTIF(S$4:$S370,"SW")),#N/A))</f>
        <v>#N/A</v>
      </c>
      <c r="BP370" s="489">
        <f>IF($J370="",#N/A,IF($S370="DWN",(COUNTIFS($K$4:$K370,"&lt;0",$S$4:$S370,"DWN")/COUNTIF($S$4:$S370,"DWN")),#N/A))</f>
        <v>0.55696202531645567</v>
      </c>
      <c r="BQ370" s="489" t="e">
        <f>IF($J370="",#N/A,IF($S370="UP",(COUNTIFS($K$4:$K370,"&gt;0",$S$4:$S370,"UP")/COUNTIF($S$4:$S370,"UP")),#N/A))</f>
        <v>#N/A</v>
      </c>
      <c r="BR370" s="489">
        <f>IF(J370="",#N/A,COUNTIF($K$4:K370,"&gt;0")/COUNT($J$4:J370))</f>
        <v>0.46866485013623976</v>
      </c>
      <c r="BS370" s="65" t="str">
        <f t="shared" si="574"/>
        <v/>
      </c>
      <c r="BT370" s="65" t="str">
        <f t="shared" si="575"/>
        <v/>
      </c>
      <c r="BU370" s="65" t="str">
        <f t="shared" si="576"/>
        <v/>
      </c>
      <c r="BV370" s="65">
        <f t="shared" si="577"/>
        <v>-5.7744653272845063</v>
      </c>
      <c r="BW370" s="128" t="str">
        <f t="shared" si="578"/>
        <v/>
      </c>
      <c r="BX370" s="128">
        <f>IF($J370="",#N/A,SUM($BW$4:BW370))</f>
        <v>-551.53817034792883</v>
      </c>
      <c r="BY370" s="131">
        <f t="shared" si="579"/>
        <v>-507.86999999999966</v>
      </c>
      <c r="BZ370" s="131">
        <f>IF($J370="",#N/A,SUM($BY$4:BY370))</f>
        <v>474.2016134613948</v>
      </c>
      <c r="CA370" s="133" t="str">
        <f t="shared" si="580"/>
        <v/>
      </c>
      <c r="CB370" s="133">
        <f>IF($J370="",#N/A,SUM($CA$4:CA370))</f>
        <v>131.12593244815855</v>
      </c>
      <c r="CC370" s="194" t="str">
        <f t="shared" si="581"/>
        <v/>
      </c>
      <c r="CD370" s="194">
        <f>IF($J370="",#N/A,SUM($CC$4:CC370))</f>
        <v>-7.4757889154541379</v>
      </c>
      <c r="CE370" s="195">
        <f t="shared" si="582"/>
        <v>-5.7744653272845063</v>
      </c>
      <c r="CF370" s="195">
        <f>IF($J370="",#N/A,SUM($CE$4:CE370))</f>
        <v>9.693422578931072</v>
      </c>
      <c r="CG370" s="196" t="str">
        <f t="shared" si="583"/>
        <v/>
      </c>
      <c r="CH370" s="196">
        <f>IF($J370="",#N/A,SUM($CG$4:CG370))</f>
        <v>4.8905071364883579</v>
      </c>
      <c r="CI370" s="200" t="str">
        <f t="shared" si="584"/>
        <v/>
      </c>
      <c r="CJ370" s="203">
        <f>IF($J370="",#N/A,SUM(CI$4:CI370))</f>
        <v>0</v>
      </c>
      <c r="CK370" s="204" t="str">
        <f t="shared" si="585"/>
        <v/>
      </c>
      <c r="CL370" s="204">
        <f>IF($J370="",#N/A,SUM(CK$4:CK370))</f>
        <v>1.2912501745213723</v>
      </c>
      <c r="CM370" s="205" t="str">
        <f t="shared" si="586"/>
        <v/>
      </c>
      <c r="CN370" s="205">
        <f>IF($J370="",#N/A,SUM(CM$4:CM370))</f>
        <v>1.357235719871134</v>
      </c>
      <c r="CO370" s="205">
        <f>IF($J370="",#N/A,SUM(CM$4:CM370,CK$4:CK370,CI$4:CI370))</f>
        <v>2.6484858943925063</v>
      </c>
      <c r="CP370" s="200" t="str">
        <f t="shared" si="587"/>
        <v/>
      </c>
      <c r="CQ370" s="203">
        <f>IF($J370="",#N/A,SUM(CP$4:CP370))</f>
        <v>-3.8906153415633056</v>
      </c>
      <c r="CR370" s="204" t="str">
        <f t="shared" si="588"/>
        <v/>
      </c>
      <c r="CS370" s="204">
        <f>IF($J370="",#N/A,SUM(CR$4:CR370))</f>
        <v>2.3600225017004668</v>
      </c>
      <c r="CT370" s="205" t="str">
        <f t="shared" si="589"/>
        <v/>
      </c>
      <c r="CU370" s="205">
        <f>IF($J370="",#N/A,SUM(CT$4:CT370))</f>
        <v>-3.2469967661908816</v>
      </c>
      <c r="CV370" s="205">
        <f>IF($J370="",#N/A,SUM(CT$4:CT370,CR$4:CR370,CP$4:CP370))</f>
        <v>-4.77758960605372</v>
      </c>
      <c r="CW370" s="200" t="str">
        <f t="shared" si="590"/>
        <v/>
      </c>
      <c r="CX370" s="203">
        <f>IF($J370="",#N/A,SUM(CW$4:CW370))</f>
        <v>-3.3082659491100586</v>
      </c>
      <c r="CY370" s="204">
        <f t="shared" si="591"/>
        <v>-5.7744653272845063</v>
      </c>
      <c r="CZ370" s="204">
        <f>IF($J370="",#N/A,SUM(CY$4:CY370))</f>
        <v>-2.9953877223200163</v>
      </c>
      <c r="DA370" s="205" t="str">
        <f t="shared" si="592"/>
        <v/>
      </c>
      <c r="DB370" s="205">
        <f>IF($J370="",#N/A,SUM(DA$4:DA370))</f>
        <v>-3.6020278946927151</v>
      </c>
      <c r="DC370" s="205">
        <f>IF($J370="",#N/A,SUM(DA$4:DA370,CY$4:CY370,CW$4:CW370))</f>
        <v>-9.9056815661227926</v>
      </c>
      <c r="DD370" s="200" t="str">
        <f t="shared" si="593"/>
        <v/>
      </c>
      <c r="DE370" s="203">
        <f>IF($J370="",#N/A,SUM(DD$4:DD370))</f>
        <v>1.6161029218801881</v>
      </c>
      <c r="DF370" s="204" t="str">
        <f t="shared" si="594"/>
        <v/>
      </c>
      <c r="DG370" s="204">
        <f>IF($J370="",#N/A,SUM(DF$4:DF370))</f>
        <v>4.1810385231482243</v>
      </c>
      <c r="DH370" s="205" t="str">
        <f t="shared" si="595"/>
        <v/>
      </c>
      <c r="DI370" s="205">
        <f>IF($J370="",#N/A,SUM(DH$4:DH370))</f>
        <v>-3.216671910770577</v>
      </c>
      <c r="DJ370" s="205">
        <f>IF($J370="",#N/A,SUM(DH$4:DH370,DF$4:DF370,DD$4:DD370))</f>
        <v>2.5804695342578352</v>
      </c>
      <c r="DK370" s="200" t="str">
        <f t="shared" si="596"/>
        <v/>
      </c>
      <c r="DL370" s="203">
        <f>IF($J370="",#N/A,SUM(DK$4:DK370))</f>
        <v>-0.84049791589649614</v>
      </c>
      <c r="DM370" s="204" t="str">
        <f t="shared" si="597"/>
        <v/>
      </c>
      <c r="DN370" s="204">
        <f>IF($J370="",#N/A,SUM(DM$4:DM370))</f>
        <v>1.8657648196498773</v>
      </c>
      <c r="DO370" s="205" t="str">
        <f t="shared" si="598"/>
        <v/>
      </c>
      <c r="DP370" s="205">
        <f>IF($J370="",#N/A,SUM(DO$4:DO370))</f>
        <v>3.4887162328793941</v>
      </c>
      <c r="DQ370" s="205">
        <f>IF($J370="",#N/A,SUM(DO$4:DO370,DM$4:DM370,DK$4:DK370))</f>
        <v>4.5139831366327758</v>
      </c>
      <c r="DR370" s="200" t="str">
        <f t="shared" si="599"/>
        <v/>
      </c>
      <c r="DS370" s="203">
        <f>IF($J370="",#N/A,SUM(DR$4:DR370))</f>
        <v>-0.55950946427675097</v>
      </c>
      <c r="DT370" s="204" t="str">
        <f t="shared" si="600"/>
        <v/>
      </c>
      <c r="DU370" s="204">
        <f>IF($J370="",#N/A,SUM(DT$4:DT370))</f>
        <v>-0.20750635820596686</v>
      </c>
      <c r="DV370" s="205" t="str">
        <f t="shared" si="601"/>
        <v/>
      </c>
      <c r="DW370" s="205">
        <f>IF($J370="",#N/A,SUM(DV$4:DV370))</f>
        <v>-2.3377035686214001</v>
      </c>
      <c r="DX370" s="205">
        <f>IF($J370="",#N/A,SUM(DV$4:DV370,DT$4:DT370,DR$4:DR370))</f>
        <v>-3.1047193911041169</v>
      </c>
      <c r="DY370" s="200" t="str">
        <f t="shared" si="602"/>
        <v/>
      </c>
      <c r="DZ370" s="203">
        <f>IF($J370="",#N/A,SUM(DY$4:DY370))</f>
        <v>-1.4146842415208627</v>
      </c>
      <c r="EA370" s="204" t="str">
        <f t="shared" si="603"/>
        <v/>
      </c>
      <c r="EB370" s="204">
        <f>IF($J370="",#N/A,SUM(EA$4:EA370))</f>
        <v>4.3184391548878134</v>
      </c>
      <c r="EC370" s="205" t="str">
        <f t="shared" si="604"/>
        <v/>
      </c>
      <c r="ED370" s="205">
        <f>IF($J370="",#N/A,SUM(EC$4:EC370))</f>
        <v>8.4384553208490907</v>
      </c>
      <c r="EE370" s="205">
        <f>IF($J370="",#N/A,SUM(EC$4:EC370,EA$4:EA370,DY$4:DY370))</f>
        <v>11.342210234216044</v>
      </c>
      <c r="EF370" s="200" t="str">
        <f t="shared" si="605"/>
        <v/>
      </c>
      <c r="EG370" s="203">
        <f>IF($J370="",#N/A,SUM(EF$4:EF370))</f>
        <v>0.65848341369884777</v>
      </c>
      <c r="EH370" s="204" t="str">
        <f t="shared" si="606"/>
        <v/>
      </c>
      <c r="EI370" s="204">
        <f>IF($J370="",#N/A,SUM(EH$4:EH370))</f>
        <v>-3.5125331561187787</v>
      </c>
      <c r="EJ370" s="205" t="str">
        <f t="shared" si="607"/>
        <v/>
      </c>
      <c r="EK370" s="205">
        <f>IF($J370="",#N/A,SUM(EJ$4:EJ370))</f>
        <v>8.4840381642896556</v>
      </c>
      <c r="EL370" s="205">
        <f>IF($J370="",#N/A,SUM(EJ$4:EJ370,EH$4:EH370,EF$4:EF370))</f>
        <v>5.6299884218697258</v>
      </c>
      <c r="EM370" s="200" t="str">
        <f t="shared" si="608"/>
        <v/>
      </c>
      <c r="EN370" s="203">
        <f>IF($J370="",#N/A,SUM(EM$4:EM370))</f>
        <v>0</v>
      </c>
      <c r="EO370" s="204" t="str">
        <f t="shared" si="609"/>
        <v/>
      </c>
      <c r="EP370" s="204">
        <f>IF($J370="",#N/A,SUM(EO$4:EO370))</f>
        <v>2.4788862078089964</v>
      </c>
      <c r="EQ370" s="205" t="str">
        <f t="shared" si="610"/>
        <v/>
      </c>
      <c r="ER370" s="205">
        <f>IF($J370="",#N/A,SUM(EQ$4:EQ370))</f>
        <v>1.7856049065476487</v>
      </c>
      <c r="ES370" s="205">
        <f>IF($J370="",#N/A,SUM(EQ$4:EQ370,EO$4:EO370,EM$4:EM370))</f>
        <v>4.2644911143566446</v>
      </c>
      <c r="ET370" s="200" t="str">
        <f t="shared" si="611"/>
        <v/>
      </c>
      <c r="EU370" s="203">
        <f>IF($J370="",#N/A,SUM(ET$4:ET370))</f>
        <v>0</v>
      </c>
      <c r="EV370" s="204" t="str">
        <f t="shared" si="612"/>
        <v/>
      </c>
      <c r="EW370" s="204">
        <f>IF($J370="",#N/A,SUM(EV$4:EV370))</f>
        <v>7.9116394275462909E-2</v>
      </c>
      <c r="EX370" s="205" t="str">
        <f t="shared" si="613"/>
        <v/>
      </c>
      <c r="EY370" s="205">
        <f>IF($J370="",#N/A,SUM(EX$4:EX370))</f>
        <v>-0.6722852908676058</v>
      </c>
      <c r="EZ370" s="205">
        <f>IF($J370="",#N/A,SUM(EX$4:EX370,EV$4:EV370,ET$4:ET370))</f>
        <v>-0.59316889659214267</v>
      </c>
      <c r="FA370" s="200" t="str">
        <f t="shared" si="614"/>
        <v/>
      </c>
      <c r="FB370" s="203">
        <f>IF($J370="",#N/A,SUM(FA$4:FA370))</f>
        <v>-0.27145310509113252</v>
      </c>
      <c r="FC370" s="204" t="str">
        <f t="shared" si="615"/>
        <v/>
      </c>
      <c r="FD370" s="204">
        <f>IF($J370="",#N/A,SUM(FC$4:FC370))</f>
        <v>0.89084290967454072</v>
      </c>
      <c r="FE370" s="205" t="str">
        <f t="shared" si="616"/>
        <v/>
      </c>
      <c r="FF370" s="205">
        <f>IF($J370="",#N/A,SUM(FE$4:FE370))</f>
        <v>-0.28811149078748233</v>
      </c>
      <c r="FG370" s="205">
        <f>IF($J370="",#N/A,SUM(FE$4:FE370,FC$4:FC370,FA$4:FA370))</f>
        <v>0.3312783137959262</v>
      </c>
      <c r="FH370" s="200" t="str">
        <f t="shared" si="617"/>
        <v/>
      </c>
      <c r="FI370" s="203">
        <f>IF($J370="",#N/A,SUM(FH$4:FH370))</f>
        <v>0</v>
      </c>
      <c r="FJ370" s="204" t="str">
        <f t="shared" si="618"/>
        <v/>
      </c>
      <c r="FK370" s="204">
        <f>IF($J370="",#N/A,SUM(FJ$4:FJ370))</f>
        <v>0</v>
      </c>
      <c r="FL370" s="205" t="str">
        <f t="shared" si="619"/>
        <v/>
      </c>
      <c r="FM370" s="205">
        <f>IF($J370="",#N/A,SUM(FL$4:FL370))</f>
        <v>0</v>
      </c>
      <c r="FN370" s="205">
        <f>IF($J370="",#N/A,SUM(FL$4:FL370,FJ$4:FJ370,FH$4:FH370))</f>
        <v>0</v>
      </c>
      <c r="FO370" s="200" t="str">
        <f t="shared" si="620"/>
        <v/>
      </c>
      <c r="FP370" s="203">
        <f>IF($J370="",#N/A,SUM(FO$4:FO370))</f>
        <v>0</v>
      </c>
      <c r="FQ370" s="204" t="str">
        <f t="shared" si="621"/>
        <v/>
      </c>
      <c r="FR370" s="204">
        <f>IF($J370="",#N/A,SUM(FQ$4:FQ370))</f>
        <v>0</v>
      </c>
      <c r="FS370" s="205" t="str">
        <f t="shared" si="622"/>
        <v/>
      </c>
      <c r="FT370" s="205">
        <f>IF($J370="",#N/A,SUM(FS$4:FS370))</f>
        <v>0</v>
      </c>
      <c r="FU370" s="205">
        <f>IF($J370="",#N/A,SUM(FS$4:FS370,FQ$4:FQ370,FO$4:FO370))</f>
        <v>0</v>
      </c>
      <c r="FV370" s="200" t="str">
        <f t="shared" si="623"/>
        <v/>
      </c>
      <c r="FW370" s="203">
        <f>IF($J370="",#N/A,SUM(FV$4:FV370))</f>
        <v>6.6834991831277585E-2</v>
      </c>
      <c r="FX370" s="204" t="str">
        <f t="shared" si="624"/>
        <v/>
      </c>
      <c r="FY370" s="204">
        <f>IF($J370="",#N/A,SUM(FX$4:FX370))</f>
        <v>-0.16102012791805576</v>
      </c>
      <c r="FZ370" s="205" t="str">
        <f t="shared" si="625"/>
        <v/>
      </c>
      <c r="GA370" s="205">
        <f>IF($J370="",#N/A,SUM(FZ$4:FZ370))</f>
        <v>-0.69624339162892301</v>
      </c>
      <c r="GB370" s="205">
        <f>IF($J370="",#N/A,SUM(FZ$4:FZ370,FX$4:FX370,FV$4:FV370))</f>
        <v>-0.79042852771570116</v>
      </c>
      <c r="GC370" s="200" t="str">
        <f t="shared" si="626"/>
        <v/>
      </c>
      <c r="GD370" s="203">
        <f>IF($J370="",#N/A,SUM(GC$4:GC370))</f>
        <v>0</v>
      </c>
      <c r="GE370" s="204" t="str">
        <f t="shared" si="627"/>
        <v/>
      </c>
      <c r="GF370" s="204">
        <f>IF($J370="",#N/A,SUM(GE$4:GE370))</f>
        <v>0</v>
      </c>
      <c r="GG370" s="205" t="str">
        <f t="shared" si="628"/>
        <v/>
      </c>
      <c r="GH370" s="205">
        <f>IF($J370="",#N/A,SUM(GG$4:GG370))</f>
        <v>-2.9368362277223206</v>
      </c>
      <c r="GI370" s="205">
        <f>IF($J370="",#N/A,SUM(GG$4:GG370,GE$4:GE370,GC$4:GC370))</f>
        <v>-2.9368362277223206</v>
      </c>
      <c r="GJ370" s="200" t="str">
        <f t="shared" si="629"/>
        <v/>
      </c>
      <c r="GK370" s="203">
        <f>IF($J370="",#N/A,SUM(GJ$4:GJ370))</f>
        <v>0</v>
      </c>
      <c r="GL370" s="204" t="str">
        <f t="shared" si="630"/>
        <v/>
      </c>
      <c r="GM370" s="204">
        <f>IF($J370="",#N/A,SUM(GL$4:GL370))</f>
        <v>-2.0621307233432784</v>
      </c>
      <c r="GN370" s="205" t="str">
        <f t="shared" si="631"/>
        <v/>
      </c>
      <c r="GO370" s="205">
        <f>IF($J370="",#N/A,SUM(GN$4:GN370))</f>
        <v>0</v>
      </c>
      <c r="GP370" s="205">
        <f>IF($J370="",#N/A,SUM(GN$4:GN370,GL$4:GL370,GJ$4:GJ370))</f>
        <v>-2.0621307233432784</v>
      </c>
      <c r="GS370" s="54" t="str">
        <f t="shared" si="650"/>
        <v/>
      </c>
      <c r="GT370" s="54" t="e">
        <f>IF(GS370="",NA(),SUM($GS$4:GS370))</f>
        <v>#N/A</v>
      </c>
      <c r="GU370" s="54" t="str">
        <f t="shared" si="632"/>
        <v/>
      </c>
      <c r="GV370" s="54" t="e">
        <f>IF(GU370="",NA(),SUM($GU$4:GU370))</f>
        <v>#N/A</v>
      </c>
      <c r="GW370" s="54" t="str">
        <f t="shared" si="633"/>
        <v/>
      </c>
      <c r="GX370" s="54" t="e">
        <f>IF(GW370="",NA(),SUM($GW$4:GW370))</f>
        <v>#N/A</v>
      </c>
      <c r="GY370" s="54" t="str">
        <f t="shared" si="634"/>
        <v/>
      </c>
      <c r="GZ370" s="54" t="e">
        <f>IF(GY370="",NA(),SUM($GY$4:GY370))</f>
        <v>#N/A</v>
      </c>
      <c r="HA370" s="54">
        <f t="shared" si="635"/>
        <v>-5.7744653272845063</v>
      </c>
      <c r="HB370" s="54">
        <f>IF(HA370="",NA(),SUM($HA$4:HA370))</f>
        <v>-5.0457696394949263</v>
      </c>
      <c r="HC370" s="54" t="str">
        <f t="shared" si="636"/>
        <v/>
      </c>
      <c r="HD370" s="54" t="e">
        <f>IF(HC370="",NA(),SUM($HC$4:HC370))</f>
        <v>#N/A</v>
      </c>
      <c r="HE370" s="54" t="str">
        <f t="shared" si="637"/>
        <v/>
      </c>
      <c r="HF370" s="54" t="e">
        <f>IF(HE370="",NA(),SUM($HE$4:HE370))</f>
        <v>#N/A</v>
      </c>
      <c r="HG370" s="54">
        <f t="shared" si="638"/>
        <v>-5.7744653272845063</v>
      </c>
      <c r="HH370" s="54">
        <f>IF(HG370="",NA(),SUM($HG$4:HG370))</f>
        <v>-0.2685279293469458</v>
      </c>
      <c r="HI370" s="172" t="str">
        <f t="shared" si="651"/>
        <v/>
      </c>
      <c r="HJ370" s="172">
        <f>IF($J370="",#N/A,SUM(HI$4:$HI370))</f>
        <v>-10.162234665497841</v>
      </c>
      <c r="HK370" s="54">
        <f t="shared" si="639"/>
        <v>3.3290127457334164</v>
      </c>
      <c r="HL370" s="54">
        <f>IF($J370="",#N/A,SUM($HK$4:HK370))</f>
        <v>6.7672482241665026</v>
      </c>
      <c r="HM370" s="54" t="str">
        <f t="shared" si="640"/>
        <v/>
      </c>
      <c r="HN370" s="54">
        <f>IF($J370="",#N/A,SUM($HM$4:HM370))</f>
        <v>-0.16355665587253121</v>
      </c>
      <c r="HO370" s="54" t="str">
        <f t="shared" si="641"/>
        <v/>
      </c>
      <c r="HP370" s="54">
        <f>IF($J370="",#N/A,SUM($HO$4:HO370))</f>
        <v>-0.26668580414118226</v>
      </c>
      <c r="HQ370" s="54" t="str">
        <f t="shared" si="642"/>
        <v/>
      </c>
      <c r="HR370" s="54">
        <f>IF($J370="",#N/A,SUM($HQ$4:HQ370))</f>
        <v>-10.680219001871885</v>
      </c>
      <c r="HS370" s="54" t="str">
        <f t="shared" si="643"/>
        <v/>
      </c>
      <c r="HT370" s="54">
        <f>IF($J370="",#N/A,SUM($HS$4:HS370))</f>
        <v>13.756588671225847</v>
      </c>
      <c r="HU370" s="65">
        <f t="shared" si="644"/>
        <v>-2.4454525815510899</v>
      </c>
      <c r="HV370" s="65">
        <f>IF($J370="",#N/A,SUM(HU$4:$HU370))</f>
        <v>5.8631081121066462</v>
      </c>
    </row>
    <row r="371" spans="1:230" ht="15.75" thickBot="1" x14ac:dyDescent="0.3">
      <c r="A371" s="292" t="s">
        <v>1140</v>
      </c>
      <c r="B371" s="293" t="s">
        <v>5546</v>
      </c>
      <c r="C371" s="294">
        <f t="shared" si="545"/>
        <v>2</v>
      </c>
      <c r="D371" s="295" t="str">
        <f>_xlfn.XLOOKUP(A371,[1]SP500!$A$2:$A$502,[1]SP500!$D$2:$D$502,"N")</f>
        <v>N</v>
      </c>
      <c r="E371" s="292" t="str">
        <f>IFERROR(_xlfn.XLOOKUP(A371,[1]SP500!$A$2:$A$655,[1]SP500!$B$2:$B$655),"")</f>
        <v>XLY</v>
      </c>
      <c r="F371" s="296">
        <v>45805</v>
      </c>
      <c r="G371" s="292" t="str">
        <f t="shared" si="546"/>
        <v>BMO</v>
      </c>
      <c r="H371" s="292" t="str">
        <f t="shared" si="547"/>
        <v>s</v>
      </c>
      <c r="I371" s="345">
        <v>174.22</v>
      </c>
      <c r="J371" s="297">
        <v>184.55</v>
      </c>
      <c r="K371" s="298">
        <f t="shared" si="548"/>
        <v>5.9292848123062868E-2</v>
      </c>
      <c r="L371" s="299">
        <f t="shared" si="549"/>
        <v>-82.6400000000001</v>
      </c>
      <c r="M371" s="300">
        <f t="shared" si="550"/>
        <v>0</v>
      </c>
      <c r="N371" s="341">
        <f t="shared" si="551"/>
        <v>-82.6400000000001</v>
      </c>
      <c r="O371" s="300">
        <f>IF(N371="",#N/A,SUM($N$4:N371))</f>
        <v>-28.850624438375348</v>
      </c>
      <c r="P371" s="305">
        <f t="shared" si="645"/>
        <v>-0.98821413538438119</v>
      </c>
      <c r="Q371" s="304">
        <f>IF($N371="",#N/A,SUM($P$4:P371))</f>
        <v>6.119926664580901</v>
      </c>
      <c r="R371" s="307">
        <f t="shared" si="552"/>
        <v>7.7693262136269343</v>
      </c>
      <c r="S371" s="292" t="str">
        <f t="shared" si="553"/>
        <v>Dwn</v>
      </c>
      <c r="T371" s="292" t="s">
        <v>4461</v>
      </c>
      <c r="U371" s="308">
        <f t="shared" si="554"/>
        <v>174.22</v>
      </c>
      <c r="V371" s="308" t="s">
        <v>4458</v>
      </c>
      <c r="W371" s="310">
        <v>8</v>
      </c>
      <c r="X371" s="309">
        <f t="shared" si="555"/>
        <v>1393.76</v>
      </c>
      <c r="Y371" s="310">
        <f t="shared" si="556"/>
        <v>8</v>
      </c>
      <c r="Z371" s="311">
        <v>184.55</v>
      </c>
      <c r="AA371" s="341">
        <f t="shared" si="557"/>
        <v>-82.6400000000001</v>
      </c>
      <c r="AB371" s="341">
        <f t="shared" si="558"/>
        <v>-23.200000000000045</v>
      </c>
      <c r="AC371" s="297">
        <v>177.12</v>
      </c>
      <c r="AD371" s="301">
        <f t="shared" si="559"/>
        <v>-23.200000000000045</v>
      </c>
      <c r="AE371" s="546">
        <f t="shared" si="560"/>
        <v>-0.27742700799755154</v>
      </c>
      <c r="AF371" s="300">
        <f>IF($AC371="",#N/A,SUM(AD$4:AD371))</f>
        <v>191.01239714744884</v>
      </c>
      <c r="AG371" s="341">
        <f t="shared" si="561"/>
        <v>59.440000000000055</v>
      </c>
      <c r="AH371" s="308" t="s">
        <v>2507</v>
      </c>
      <c r="AI371" s="305">
        <f t="shared" si="562"/>
        <v>-0.98821413538438119</v>
      </c>
      <c r="AJ371" s="418">
        <f>IF(AI371="",#N/A,SUM($AI$4:AI371))</f>
        <v>-1.6493995490460334</v>
      </c>
      <c r="AK371" s="300">
        <f t="shared" si="563"/>
        <v>-82.6400000000001</v>
      </c>
      <c r="AL371" s="406">
        <f>IF(AI371="",#N/A,IF(AH371="Skip",SUM($AK$4:AK371),SUM($AK$4:AK371)))</f>
        <v>-559.01763072151789</v>
      </c>
      <c r="AM371" s="65">
        <f t="shared" si="646"/>
        <v>-0.27742700799755154</v>
      </c>
      <c r="AN371" s="209"/>
      <c r="AO371" s="65" t="str">
        <f t="shared" si="564"/>
        <v/>
      </c>
      <c r="AP371" s="65">
        <f>IF($AC371="",#N/A,SUM(AO$4:AO371))</f>
        <v>7.4707033499747686</v>
      </c>
      <c r="AQ371" s="65" t="str">
        <f t="shared" si="565"/>
        <v/>
      </c>
      <c r="AR371" s="65">
        <f>IF($AC371="",#N/A,SUM(AQ$4:AQ371))</f>
        <v>-7.9060313754678537</v>
      </c>
      <c r="AS371" s="65">
        <f t="shared" si="566"/>
        <v>-0.27742700799755154</v>
      </c>
      <c r="AT371" s="65">
        <f>IF($AC371="",#N/A,SUM(AS$4:AS371))</f>
        <v>6.0210091296021728</v>
      </c>
      <c r="AU371" s="57" t="str">
        <f t="shared" si="647"/>
        <v/>
      </c>
      <c r="AV371" s="57">
        <f>IF($AC371="",#N/A,SUM(AU$4:AU371))</f>
        <v>332.91627194987996</v>
      </c>
      <c r="AW371" s="57" t="str">
        <f t="shared" si="648"/>
        <v/>
      </c>
      <c r="AX371" s="57">
        <f>IF($AC371="",#N/A,SUM(AW$4:AW371))</f>
        <v>-583.86106797961088</v>
      </c>
      <c r="AY371" s="57">
        <f t="shared" si="649"/>
        <v>-23.200000000000045</v>
      </c>
      <c r="AZ371" s="57">
        <f>IF($AC371="",#N/A,SUM(AY$4:AY371))</f>
        <v>441.95719317717965</v>
      </c>
      <c r="BA371" s="57">
        <f>IF(AD371="",#N/A,SUM($AD$4:AD371))</f>
        <v>191.01239714744884</v>
      </c>
      <c r="BC371" s="51" t="str">
        <f t="shared" si="567"/>
        <v/>
      </c>
      <c r="BD371" s="51">
        <f t="shared" si="568"/>
        <v>1</v>
      </c>
      <c r="BE371" s="51" t="str">
        <f t="shared" si="569"/>
        <v/>
      </c>
      <c r="BF371" s="51" t="str">
        <f t="shared" si="570"/>
        <v>Short</v>
      </c>
      <c r="BG371" s="51" t="str">
        <f t="shared" si="571"/>
        <v/>
      </c>
      <c r="BH371" s="51" t="str">
        <f t="shared" si="572"/>
        <v/>
      </c>
      <c r="BI371" s="51" t="str">
        <f t="shared" si="573"/>
        <v/>
      </c>
      <c r="BK371" s="65">
        <f t="shared" si="544"/>
        <v>-0.20036640852372392</v>
      </c>
      <c r="BL371" s="65">
        <f t="shared" si="652"/>
        <v>-0.43721744965676196</v>
      </c>
      <c r="BM371" s="65">
        <f>IFERROR(Q371/COUNTA($J$4:J371),#N/A)</f>
        <v>1.6630235501578536E-2</v>
      </c>
      <c r="BO371" s="489" t="e">
        <f>IF(J371="",#N/A,IF(S371="SW",(COUNTIFS(K$4:$K371,"&gt;0",S$4:$S371,"SW")/COUNTIF(S$4:$S371,"SW")),#N/A))</f>
        <v>#N/A</v>
      </c>
      <c r="BP371" s="489">
        <f>IF($J371="",#N/A,IF($S371="DWN",(COUNTIFS($K$4:$K371,"&lt;0",$S$4:$S371,"DWN")/COUNTIF($S$4:$S371,"DWN")),#N/A))</f>
        <v>0.55345911949685533</v>
      </c>
      <c r="BQ371" s="489" t="e">
        <f>IF($J371="",#N/A,IF($S371="UP",(COUNTIFS($K$4:$K371,"&gt;0",$S$4:$S371,"UP")/COUNTIF($S$4:$S371,"UP")),#N/A))</f>
        <v>#N/A</v>
      </c>
      <c r="BR371" s="489">
        <f>IF(J371="",#N/A,COUNTIF($K$4:K371,"&gt;0")/COUNT($J$4:J371))</f>
        <v>0.47010869565217389</v>
      </c>
      <c r="BS371" s="65" t="str">
        <f t="shared" si="574"/>
        <v/>
      </c>
      <c r="BT371" s="65" t="str">
        <f t="shared" si="575"/>
        <v/>
      </c>
      <c r="BU371" s="65" t="str">
        <f t="shared" si="576"/>
        <v/>
      </c>
      <c r="BV371" s="65">
        <f t="shared" si="577"/>
        <v>-0.98821413538438119</v>
      </c>
      <c r="BW371" s="128" t="str">
        <f t="shared" si="578"/>
        <v/>
      </c>
      <c r="BX371" s="128">
        <f>IF($J371="",#N/A,SUM($BW$4:BW371))</f>
        <v>-551.53817034792883</v>
      </c>
      <c r="BY371" s="131">
        <f t="shared" si="579"/>
        <v>-82.6400000000001</v>
      </c>
      <c r="BZ371" s="131">
        <f>IF($J371="",#N/A,SUM($BY$4:BY371))</f>
        <v>391.5616134613947</v>
      </c>
      <c r="CA371" s="133" t="str">
        <f t="shared" si="580"/>
        <v/>
      </c>
      <c r="CB371" s="133">
        <f>IF($J371="",#N/A,SUM($CA$4:CA371))</f>
        <v>131.12593244815855</v>
      </c>
      <c r="CC371" s="194" t="str">
        <f t="shared" si="581"/>
        <v/>
      </c>
      <c r="CD371" s="194">
        <f>IF($J371="",#N/A,SUM($CC$4:CC371))</f>
        <v>-7.4757889154541379</v>
      </c>
      <c r="CE371" s="195">
        <f t="shared" si="582"/>
        <v>-0.98821413538438119</v>
      </c>
      <c r="CF371" s="195">
        <f>IF($J371="",#N/A,SUM($CE$4:CE371))</f>
        <v>8.7052084435466917</v>
      </c>
      <c r="CG371" s="196" t="str">
        <f t="shared" si="583"/>
        <v/>
      </c>
      <c r="CH371" s="196">
        <f>IF($J371="",#N/A,SUM($CG$4:CG371))</f>
        <v>4.8905071364883579</v>
      </c>
      <c r="CI371" s="200" t="str">
        <f t="shared" si="584"/>
        <v/>
      </c>
      <c r="CJ371" s="203">
        <f>IF($J371="",#N/A,SUM(CI$4:CI371))</f>
        <v>0</v>
      </c>
      <c r="CK371" s="204" t="str">
        <f t="shared" si="585"/>
        <v/>
      </c>
      <c r="CL371" s="204">
        <f>IF($J371="",#N/A,SUM(CK$4:CK371))</f>
        <v>1.2912501745213723</v>
      </c>
      <c r="CM371" s="205" t="str">
        <f t="shared" si="586"/>
        <v/>
      </c>
      <c r="CN371" s="205">
        <f>IF($J371="",#N/A,SUM(CM$4:CM371))</f>
        <v>1.357235719871134</v>
      </c>
      <c r="CO371" s="205">
        <f>IF($J371="",#N/A,SUM(CM$4:CM371,CK$4:CK371,CI$4:CI371))</f>
        <v>2.6484858943925063</v>
      </c>
      <c r="CP371" s="200" t="str">
        <f t="shared" si="587"/>
        <v/>
      </c>
      <c r="CQ371" s="203">
        <f>IF($J371="",#N/A,SUM(CP$4:CP371))</f>
        <v>-3.8906153415633056</v>
      </c>
      <c r="CR371" s="204" t="str">
        <f t="shared" si="588"/>
        <v/>
      </c>
      <c r="CS371" s="204">
        <f>IF($J371="",#N/A,SUM(CR$4:CR371))</f>
        <v>2.3600225017004668</v>
      </c>
      <c r="CT371" s="205" t="str">
        <f t="shared" si="589"/>
        <v/>
      </c>
      <c r="CU371" s="205">
        <f>IF($J371="",#N/A,SUM(CT$4:CT371))</f>
        <v>-3.2469967661908816</v>
      </c>
      <c r="CV371" s="205">
        <f>IF($J371="",#N/A,SUM(CT$4:CT371,CR$4:CR371,CP$4:CP371))</f>
        <v>-4.77758960605372</v>
      </c>
      <c r="CW371" s="200" t="str">
        <f t="shared" si="590"/>
        <v/>
      </c>
      <c r="CX371" s="203">
        <f>IF($J371="",#N/A,SUM(CW$4:CW371))</f>
        <v>-3.3082659491100586</v>
      </c>
      <c r="CY371" s="204">
        <f t="shared" si="591"/>
        <v>-0.98821413538438119</v>
      </c>
      <c r="CZ371" s="204">
        <f>IF($J371="",#N/A,SUM(CY$4:CY371))</f>
        <v>-3.9836018577043975</v>
      </c>
      <c r="DA371" s="205" t="str">
        <f t="shared" si="592"/>
        <v/>
      </c>
      <c r="DB371" s="205">
        <f>IF($J371="",#N/A,SUM(DA$4:DA371))</f>
        <v>-3.6020278946927151</v>
      </c>
      <c r="DC371" s="205">
        <f>IF($J371="",#N/A,SUM(DA$4:DA371,CY$4:CY371,CW$4:CW371))</f>
        <v>-10.893895701507173</v>
      </c>
      <c r="DD371" s="200" t="str">
        <f t="shared" si="593"/>
        <v/>
      </c>
      <c r="DE371" s="203">
        <f>IF($J371="",#N/A,SUM(DD$4:DD371))</f>
        <v>1.6161029218801881</v>
      </c>
      <c r="DF371" s="204" t="str">
        <f t="shared" si="594"/>
        <v/>
      </c>
      <c r="DG371" s="204">
        <f>IF($J371="",#N/A,SUM(DF$4:DF371))</f>
        <v>4.1810385231482243</v>
      </c>
      <c r="DH371" s="205" t="str">
        <f t="shared" si="595"/>
        <v/>
      </c>
      <c r="DI371" s="205">
        <f>IF($J371="",#N/A,SUM(DH$4:DH371))</f>
        <v>-3.216671910770577</v>
      </c>
      <c r="DJ371" s="205">
        <f>IF($J371="",#N/A,SUM(DH$4:DH371,DF$4:DF371,DD$4:DD371))</f>
        <v>2.5804695342578352</v>
      </c>
      <c r="DK371" s="200" t="str">
        <f t="shared" si="596"/>
        <v/>
      </c>
      <c r="DL371" s="203">
        <f>IF($J371="",#N/A,SUM(DK$4:DK371))</f>
        <v>-0.84049791589649614</v>
      </c>
      <c r="DM371" s="204" t="str">
        <f t="shared" si="597"/>
        <v/>
      </c>
      <c r="DN371" s="204">
        <f>IF($J371="",#N/A,SUM(DM$4:DM371))</f>
        <v>1.8657648196498773</v>
      </c>
      <c r="DO371" s="205" t="str">
        <f t="shared" si="598"/>
        <v/>
      </c>
      <c r="DP371" s="205">
        <f>IF($J371="",#N/A,SUM(DO$4:DO371))</f>
        <v>3.4887162328793941</v>
      </c>
      <c r="DQ371" s="205">
        <f>IF($J371="",#N/A,SUM(DO$4:DO371,DM$4:DM371,DK$4:DK371))</f>
        <v>4.5139831366327758</v>
      </c>
      <c r="DR371" s="200" t="str">
        <f t="shared" si="599"/>
        <v/>
      </c>
      <c r="DS371" s="203">
        <f>IF($J371="",#N/A,SUM(DR$4:DR371))</f>
        <v>-0.55950946427675097</v>
      </c>
      <c r="DT371" s="204" t="str">
        <f t="shared" si="600"/>
        <v/>
      </c>
      <c r="DU371" s="204">
        <f>IF($J371="",#N/A,SUM(DT$4:DT371))</f>
        <v>-0.20750635820596686</v>
      </c>
      <c r="DV371" s="205" t="str">
        <f t="shared" si="601"/>
        <v/>
      </c>
      <c r="DW371" s="205">
        <f>IF($J371="",#N/A,SUM(DV$4:DV371))</f>
        <v>-2.3377035686214001</v>
      </c>
      <c r="DX371" s="205">
        <f>IF($J371="",#N/A,SUM(DV$4:DV371,DT$4:DT371,DR$4:DR371))</f>
        <v>-3.1047193911041169</v>
      </c>
      <c r="DY371" s="200" t="str">
        <f t="shared" si="602"/>
        <v/>
      </c>
      <c r="DZ371" s="203">
        <f>IF($J371="",#N/A,SUM(DY$4:DY371))</f>
        <v>-1.4146842415208627</v>
      </c>
      <c r="EA371" s="204" t="str">
        <f t="shared" si="603"/>
        <v/>
      </c>
      <c r="EB371" s="204">
        <f>IF($J371="",#N/A,SUM(EA$4:EA371))</f>
        <v>4.3184391548878134</v>
      </c>
      <c r="EC371" s="205" t="str">
        <f t="shared" si="604"/>
        <v/>
      </c>
      <c r="ED371" s="205">
        <f>IF($J371="",#N/A,SUM(EC$4:EC371))</f>
        <v>8.4384553208490907</v>
      </c>
      <c r="EE371" s="205">
        <f>IF($J371="",#N/A,SUM(EC$4:EC371,EA$4:EA371,DY$4:DY371))</f>
        <v>11.342210234216044</v>
      </c>
      <c r="EF371" s="200" t="str">
        <f t="shared" si="605"/>
        <v/>
      </c>
      <c r="EG371" s="203">
        <f>IF($J371="",#N/A,SUM(EF$4:EF371))</f>
        <v>0.65848341369884777</v>
      </c>
      <c r="EH371" s="204" t="str">
        <f t="shared" si="606"/>
        <v/>
      </c>
      <c r="EI371" s="204">
        <f>IF($J371="",#N/A,SUM(EH$4:EH371))</f>
        <v>-3.5125331561187787</v>
      </c>
      <c r="EJ371" s="205" t="str">
        <f t="shared" si="607"/>
        <v/>
      </c>
      <c r="EK371" s="205">
        <f>IF($J371="",#N/A,SUM(EJ$4:EJ371))</f>
        <v>8.4840381642896556</v>
      </c>
      <c r="EL371" s="205">
        <f>IF($J371="",#N/A,SUM(EJ$4:EJ371,EH$4:EH371,EF$4:EF371))</f>
        <v>5.6299884218697258</v>
      </c>
      <c r="EM371" s="200" t="str">
        <f t="shared" si="608"/>
        <v/>
      </c>
      <c r="EN371" s="203">
        <f>IF($J371="",#N/A,SUM(EM$4:EM371))</f>
        <v>0</v>
      </c>
      <c r="EO371" s="204" t="str">
        <f t="shared" si="609"/>
        <v/>
      </c>
      <c r="EP371" s="204">
        <f>IF($J371="",#N/A,SUM(EO$4:EO371))</f>
        <v>2.4788862078089964</v>
      </c>
      <c r="EQ371" s="205" t="str">
        <f t="shared" si="610"/>
        <v/>
      </c>
      <c r="ER371" s="205">
        <f>IF($J371="",#N/A,SUM(EQ$4:EQ371))</f>
        <v>1.7856049065476487</v>
      </c>
      <c r="ES371" s="205">
        <f>IF($J371="",#N/A,SUM(EQ$4:EQ371,EO$4:EO371,EM$4:EM371))</f>
        <v>4.2644911143566446</v>
      </c>
      <c r="ET371" s="200" t="str">
        <f t="shared" si="611"/>
        <v/>
      </c>
      <c r="EU371" s="203">
        <f>IF($J371="",#N/A,SUM(ET$4:ET371))</f>
        <v>0</v>
      </c>
      <c r="EV371" s="204" t="str">
        <f t="shared" si="612"/>
        <v/>
      </c>
      <c r="EW371" s="204">
        <f>IF($J371="",#N/A,SUM(EV$4:EV371))</f>
        <v>7.9116394275462909E-2</v>
      </c>
      <c r="EX371" s="205" t="str">
        <f t="shared" si="613"/>
        <v/>
      </c>
      <c r="EY371" s="205">
        <f>IF($J371="",#N/A,SUM(EX$4:EX371))</f>
        <v>-0.6722852908676058</v>
      </c>
      <c r="EZ371" s="205">
        <f>IF($J371="",#N/A,SUM(EX$4:EX371,EV$4:EV371,ET$4:ET371))</f>
        <v>-0.59316889659214267</v>
      </c>
      <c r="FA371" s="200" t="str">
        <f t="shared" si="614"/>
        <v/>
      </c>
      <c r="FB371" s="203">
        <f>IF($J371="",#N/A,SUM(FA$4:FA371))</f>
        <v>-0.27145310509113252</v>
      </c>
      <c r="FC371" s="204" t="str">
        <f t="shared" si="615"/>
        <v/>
      </c>
      <c r="FD371" s="204">
        <f>IF($J371="",#N/A,SUM(FC$4:FC371))</f>
        <v>0.89084290967454072</v>
      </c>
      <c r="FE371" s="205" t="str">
        <f t="shared" si="616"/>
        <v/>
      </c>
      <c r="FF371" s="205">
        <f>IF($J371="",#N/A,SUM(FE$4:FE371))</f>
        <v>-0.28811149078748233</v>
      </c>
      <c r="FG371" s="205">
        <f>IF($J371="",#N/A,SUM(FE$4:FE371,FC$4:FC371,FA$4:FA371))</f>
        <v>0.3312783137959262</v>
      </c>
      <c r="FH371" s="200" t="str">
        <f t="shared" si="617"/>
        <v/>
      </c>
      <c r="FI371" s="203">
        <f>IF($J371="",#N/A,SUM(FH$4:FH371))</f>
        <v>0</v>
      </c>
      <c r="FJ371" s="204" t="str">
        <f t="shared" si="618"/>
        <v/>
      </c>
      <c r="FK371" s="204">
        <f>IF($J371="",#N/A,SUM(FJ$4:FJ371))</f>
        <v>0</v>
      </c>
      <c r="FL371" s="205" t="str">
        <f t="shared" si="619"/>
        <v/>
      </c>
      <c r="FM371" s="205">
        <f>IF($J371="",#N/A,SUM(FL$4:FL371))</f>
        <v>0</v>
      </c>
      <c r="FN371" s="205">
        <f>IF($J371="",#N/A,SUM(FL$4:FL371,FJ$4:FJ371,FH$4:FH371))</f>
        <v>0</v>
      </c>
      <c r="FO371" s="200" t="str">
        <f t="shared" si="620"/>
        <v/>
      </c>
      <c r="FP371" s="203">
        <f>IF($J371="",#N/A,SUM(FO$4:FO371))</f>
        <v>0</v>
      </c>
      <c r="FQ371" s="204" t="str">
        <f t="shared" si="621"/>
        <v/>
      </c>
      <c r="FR371" s="204">
        <f>IF($J371="",#N/A,SUM(FQ$4:FQ371))</f>
        <v>0</v>
      </c>
      <c r="FS371" s="205" t="str">
        <f t="shared" si="622"/>
        <v/>
      </c>
      <c r="FT371" s="205">
        <f>IF($J371="",#N/A,SUM(FS$4:FS371))</f>
        <v>0</v>
      </c>
      <c r="FU371" s="205">
        <f>IF($J371="",#N/A,SUM(FS$4:FS371,FQ$4:FQ371,FO$4:FO371))</f>
        <v>0</v>
      </c>
      <c r="FV371" s="200" t="str">
        <f t="shared" si="623"/>
        <v/>
      </c>
      <c r="FW371" s="203">
        <f>IF($J371="",#N/A,SUM(FV$4:FV371))</f>
        <v>6.6834991831277585E-2</v>
      </c>
      <c r="FX371" s="204" t="str">
        <f t="shared" si="624"/>
        <v/>
      </c>
      <c r="FY371" s="204">
        <f>IF($J371="",#N/A,SUM(FX$4:FX371))</f>
        <v>-0.16102012791805576</v>
      </c>
      <c r="FZ371" s="205" t="str">
        <f t="shared" si="625"/>
        <v/>
      </c>
      <c r="GA371" s="205">
        <f>IF($J371="",#N/A,SUM(FZ$4:FZ371))</f>
        <v>-0.69624339162892301</v>
      </c>
      <c r="GB371" s="205">
        <f>IF($J371="",#N/A,SUM(FZ$4:FZ371,FX$4:FX371,FV$4:FV371))</f>
        <v>-0.79042852771570116</v>
      </c>
      <c r="GC371" s="200" t="str">
        <f t="shared" si="626"/>
        <v/>
      </c>
      <c r="GD371" s="203">
        <f>IF($J371="",#N/A,SUM(GC$4:GC371))</f>
        <v>0</v>
      </c>
      <c r="GE371" s="204" t="str">
        <f t="shared" si="627"/>
        <v/>
      </c>
      <c r="GF371" s="204">
        <f>IF($J371="",#N/A,SUM(GE$4:GE371))</f>
        <v>0</v>
      </c>
      <c r="GG371" s="205" t="str">
        <f t="shared" si="628"/>
        <v/>
      </c>
      <c r="GH371" s="205">
        <f>IF($J371="",#N/A,SUM(GG$4:GG371))</f>
        <v>-2.9368362277223206</v>
      </c>
      <c r="GI371" s="205">
        <f>IF($J371="",#N/A,SUM(GG$4:GG371,GE$4:GE371,GC$4:GC371))</f>
        <v>-2.9368362277223206</v>
      </c>
      <c r="GJ371" s="200" t="str">
        <f t="shared" si="629"/>
        <v/>
      </c>
      <c r="GK371" s="203">
        <f>IF($J371="",#N/A,SUM(GJ$4:GJ371))</f>
        <v>0</v>
      </c>
      <c r="GL371" s="204" t="str">
        <f t="shared" si="630"/>
        <v/>
      </c>
      <c r="GM371" s="204">
        <f>IF($J371="",#N/A,SUM(GL$4:GL371))</f>
        <v>-2.0621307233432784</v>
      </c>
      <c r="GN371" s="205" t="str">
        <f t="shared" si="631"/>
        <v/>
      </c>
      <c r="GO371" s="205">
        <f>IF($J371="",#N/A,SUM(GN$4:GN371))</f>
        <v>0</v>
      </c>
      <c r="GP371" s="205">
        <f>IF($J371="",#N/A,SUM(GN$4:GN371,GL$4:GL371,GJ$4:GJ371))</f>
        <v>-2.0621307233432784</v>
      </c>
      <c r="GS371" s="54" t="str">
        <f t="shared" si="650"/>
        <v/>
      </c>
      <c r="GT371" s="54" t="e">
        <f>IF(GS371="",NA(),SUM($GS$4:GS371))</f>
        <v>#N/A</v>
      </c>
      <c r="GU371" s="54" t="str">
        <f t="shared" si="632"/>
        <v/>
      </c>
      <c r="GV371" s="54" t="e">
        <f>IF(GU371="",NA(),SUM($GU$4:GU371))</f>
        <v>#N/A</v>
      </c>
      <c r="GW371" s="54" t="str">
        <f t="shared" si="633"/>
        <v/>
      </c>
      <c r="GX371" s="54" t="e">
        <f>IF(GW371="",NA(),SUM($GW$4:GW371))</f>
        <v>#N/A</v>
      </c>
      <c r="GY371" s="54" t="str">
        <f t="shared" si="634"/>
        <v/>
      </c>
      <c r="GZ371" s="54" t="e">
        <f>IF(GY371="",NA(),SUM($GY$4:GY371))</f>
        <v>#N/A</v>
      </c>
      <c r="HA371" s="54">
        <f t="shared" si="635"/>
        <v>-0.98821413538438119</v>
      </c>
      <c r="HB371" s="54">
        <f>IF(HA371="",NA(),SUM($HA$4:HA371))</f>
        <v>-6.0339837748793075</v>
      </c>
      <c r="HC371" s="54" t="str">
        <f t="shared" si="636"/>
        <v/>
      </c>
      <c r="HD371" s="54" t="e">
        <f>IF(HC371="",NA(),SUM($HC$4:HC371))</f>
        <v>#N/A</v>
      </c>
      <c r="HE371" s="54" t="str">
        <f t="shared" si="637"/>
        <v/>
      </c>
      <c r="HF371" s="54" t="e">
        <f>IF(HE371="",NA(),SUM($HE$4:HE371))</f>
        <v>#N/A</v>
      </c>
      <c r="HG371" s="54">
        <f t="shared" si="638"/>
        <v>-0.98821413538438119</v>
      </c>
      <c r="HH371" s="54">
        <f>IF(HG371="",NA(),SUM($HG$4:HG371))</f>
        <v>-1.256742064731327</v>
      </c>
      <c r="HI371" s="172" t="str">
        <f t="shared" si="651"/>
        <v/>
      </c>
      <c r="HJ371" s="172">
        <f>IF($J371="",#N/A,SUM(HI$4:$HI371))</f>
        <v>-10.162234665497841</v>
      </c>
      <c r="HK371" s="54">
        <f t="shared" si="639"/>
        <v>0.71078712738682959</v>
      </c>
      <c r="HL371" s="54">
        <f>IF($J371="",#N/A,SUM($HK$4:HK371))</f>
        <v>7.4780353515533324</v>
      </c>
      <c r="HM371" s="54" t="str">
        <f t="shared" si="640"/>
        <v/>
      </c>
      <c r="HN371" s="54">
        <f>IF($J371="",#N/A,SUM($HM$4:HM371))</f>
        <v>-0.16355665587253121</v>
      </c>
      <c r="HO371" s="54" t="str">
        <f t="shared" si="641"/>
        <v/>
      </c>
      <c r="HP371" s="54">
        <f>IF($J371="",#N/A,SUM($HO$4:HO371))</f>
        <v>-0.26668580414118226</v>
      </c>
      <c r="HQ371" s="54" t="str">
        <f t="shared" si="642"/>
        <v/>
      </c>
      <c r="HR371" s="54">
        <f>IF($J371="",#N/A,SUM($HQ$4:HQ371))</f>
        <v>-10.680219001871885</v>
      </c>
      <c r="HS371" s="54" t="str">
        <f t="shared" si="643"/>
        <v/>
      </c>
      <c r="HT371" s="54">
        <f>IF($J371="",#N/A,SUM($HS$4:HS371))</f>
        <v>13.756588671225847</v>
      </c>
      <c r="HU371" s="65">
        <f t="shared" si="644"/>
        <v>-0.27742700799755154</v>
      </c>
      <c r="HV371" s="65">
        <f>IF($J371="",#N/A,SUM(HU$4:$HU371))</f>
        <v>5.5856811041090948</v>
      </c>
    </row>
    <row r="372" spans="1:230" ht="15.75" thickBot="1" x14ac:dyDescent="0.3">
      <c r="A372" s="558" t="s">
        <v>402</v>
      </c>
      <c r="B372" s="559" t="s">
        <v>5547</v>
      </c>
      <c r="C372" s="560">
        <f t="shared" si="545"/>
        <v>3</v>
      </c>
      <c r="D372" s="561" t="str">
        <f>_xlfn.XLOOKUP(A372,[1]SP500!$A$2:$A$502,[1]SP500!$D$2:$D$502,"N")</f>
        <v>N</v>
      </c>
      <c r="E372" s="558" t="str">
        <f>IFERROR(_xlfn.XLOOKUP(A372,[1]SP500!$A$2:$A$655,[1]SP500!$B$2:$B$655),"")</f>
        <v>XLP</v>
      </c>
      <c r="F372" s="562">
        <v>45805</v>
      </c>
      <c r="G372" s="558" t="str">
        <f t="shared" si="546"/>
        <v>AMC</v>
      </c>
      <c r="H372" s="558" t="str">
        <f t="shared" si="547"/>
        <v>s</v>
      </c>
      <c r="I372" s="582">
        <v>90.5</v>
      </c>
      <c r="J372" s="563">
        <v>108.87</v>
      </c>
      <c r="K372" s="564">
        <f t="shared" si="548"/>
        <v>0.2029834254143647</v>
      </c>
      <c r="L372" s="565">
        <f t="shared" si="549"/>
        <v>275.55000000000018</v>
      </c>
      <c r="M372" s="566">
        <f t="shared" si="550"/>
        <v>16.799999999999727</v>
      </c>
      <c r="N372" s="567">
        <f t="shared" si="551"/>
        <v>275.55000000000018</v>
      </c>
      <c r="O372" s="566">
        <f>IF(N372="",#N/A,SUM($N$4:N372))</f>
        <v>246.69937556162483</v>
      </c>
      <c r="P372" s="568">
        <f t="shared" si="645"/>
        <v>3.3830570902394128</v>
      </c>
      <c r="Q372" s="569">
        <f>IF($N372="",#N/A,SUM($P$4:P372))</f>
        <v>9.5029837548203133</v>
      </c>
      <c r="R372" s="570">
        <f t="shared" si="552"/>
        <v>7.5630647034980232</v>
      </c>
      <c r="S372" s="558" t="str">
        <f t="shared" si="553"/>
        <v>SW</v>
      </c>
      <c r="T372" s="558" t="s">
        <v>2828</v>
      </c>
      <c r="U372" s="571">
        <f t="shared" si="554"/>
        <v>90.5</v>
      </c>
      <c r="V372" s="571" t="s">
        <v>4460</v>
      </c>
      <c r="W372" s="142">
        <v>15</v>
      </c>
      <c r="X372" s="573">
        <f t="shared" si="555"/>
        <v>1357.5</v>
      </c>
      <c r="Y372" s="572">
        <f t="shared" si="556"/>
        <v>15</v>
      </c>
      <c r="Z372" s="574">
        <v>109.99</v>
      </c>
      <c r="AA372" s="567">
        <f t="shared" si="557"/>
        <v>292.34999999999991</v>
      </c>
      <c r="AB372" s="567">
        <f t="shared" si="558"/>
        <v>320.10000000000014</v>
      </c>
      <c r="AC372" s="563">
        <v>111.84</v>
      </c>
      <c r="AD372" s="575">
        <f t="shared" si="559"/>
        <v>320.10000000000014</v>
      </c>
      <c r="AE372" s="576">
        <f t="shared" si="560"/>
        <v>3.9300184162062632</v>
      </c>
      <c r="AF372" s="566">
        <f>IF($AC372="",#N/A,SUM(AD$4:AD372))</f>
        <v>511.11239714744897</v>
      </c>
      <c r="AG372" s="567">
        <f t="shared" si="561"/>
        <v>44.549999999999955</v>
      </c>
      <c r="AH372" s="571" t="s">
        <v>2507</v>
      </c>
      <c r="AI372" s="568">
        <f t="shared" si="562"/>
        <v>3.5893186003683231</v>
      </c>
      <c r="AJ372" s="577">
        <f>IF(AI372="",#N/A,SUM($AI$4:AI372))</f>
        <v>1.9399190513222897</v>
      </c>
      <c r="AK372" s="566">
        <f t="shared" si="563"/>
        <v>292.34999999999991</v>
      </c>
      <c r="AL372" s="578">
        <f>IF(AI372="",#N/A,IF(AH372="Skip",SUM($AK$4:AK372),SUM($AK$4:AK372)))</f>
        <v>-266.66763072151798</v>
      </c>
      <c r="AM372" s="65">
        <f t="shared" si="646"/>
        <v>3.9300184162062632</v>
      </c>
      <c r="AN372" s="209"/>
      <c r="AO372" s="305">
        <f t="shared" si="564"/>
        <v>3.9300184162062632</v>
      </c>
      <c r="AP372" s="305">
        <f>IF($AC372="",#N/A,SUM(AO$4:AO372))</f>
        <v>11.400721766181032</v>
      </c>
      <c r="AQ372" s="305" t="str">
        <f t="shared" si="565"/>
        <v/>
      </c>
      <c r="AR372" s="305">
        <f>IF($AC372="",#N/A,SUM(AQ$4:AQ372))</f>
        <v>-7.9060313754678537</v>
      </c>
      <c r="AS372" s="305" t="str">
        <f t="shared" si="566"/>
        <v/>
      </c>
      <c r="AT372" s="305">
        <f>IF($AC372="",#N/A,SUM(AS$4:AS372))</f>
        <v>6.0210091296021728</v>
      </c>
      <c r="AU372" s="300">
        <f t="shared" si="647"/>
        <v>320.10000000000014</v>
      </c>
      <c r="AV372" s="300">
        <f>IF($AC372="",#N/A,SUM(AU$4:AU372))</f>
        <v>653.01627194988009</v>
      </c>
      <c r="AW372" s="300" t="str">
        <f t="shared" si="648"/>
        <v/>
      </c>
      <c r="AX372" s="300">
        <f>IF($AC372="",#N/A,SUM(AW$4:AW372))</f>
        <v>-583.86106797961088</v>
      </c>
      <c r="AY372" s="300" t="str">
        <f t="shared" si="649"/>
        <v/>
      </c>
      <c r="AZ372" s="300">
        <f>IF($AC372="",#N/A,SUM(AY$4:AY372))</f>
        <v>441.95719317717965</v>
      </c>
      <c r="BA372" s="300">
        <f>IF(AD372="",#N/A,SUM($AD$4:AD372))</f>
        <v>511.11239714744897</v>
      </c>
      <c r="BC372" s="292" t="str">
        <f t="shared" si="567"/>
        <v/>
      </c>
      <c r="BD372" s="292" t="str">
        <f t="shared" si="568"/>
        <v/>
      </c>
      <c r="BE372" s="292">
        <f t="shared" si="569"/>
        <v>1</v>
      </c>
      <c r="BF372" s="292" t="str">
        <f t="shared" si="570"/>
        <v>Long</v>
      </c>
      <c r="BG372" s="292" t="str">
        <f t="shared" si="571"/>
        <v/>
      </c>
      <c r="BH372" s="292" t="str">
        <f t="shared" si="572"/>
        <v/>
      </c>
      <c r="BI372" s="292" t="str">
        <f t="shared" si="573"/>
        <v/>
      </c>
      <c r="BK372" s="65">
        <f t="shared" si="544"/>
        <v>-0.17943678422866327</v>
      </c>
      <c r="BL372" s="65">
        <f t="shared" si="652"/>
        <v>-0.26538624547130896</v>
      </c>
      <c r="BM372" s="65">
        <f>IFERROR(Q372/COUNTA($J$4:J372),#N/A)</f>
        <v>2.575334350899814E-2</v>
      </c>
      <c r="BO372" s="489">
        <f>IF(J372="",#N/A,IF(S372="SW",(COUNTIFS(K$4:$K372,"&gt;0",S$4:$S372,"SW")/COUNTIF(S$4:$S372,"SW")),#N/A))</f>
        <v>0.5</v>
      </c>
      <c r="BP372" s="489" t="e">
        <f>IF($J372="",#N/A,IF($S372="DWN",(COUNTIFS($K$4:$K372,"&lt;0",$S$4:$S372,"DWN")/COUNTIF($S$4:$S372,"DWN")),#N/A))</f>
        <v>#N/A</v>
      </c>
      <c r="BQ372" s="489" t="e">
        <f>IF($J372="",#N/A,IF($S372="UP",(COUNTIFS($K$4:$K372,"&gt;0",$S$4:$S372,"UP")/COUNTIF($S$4:$S372,"UP")),#N/A))</f>
        <v>#N/A</v>
      </c>
      <c r="BR372" s="489">
        <f>IF(J372="",#N/A,COUNTIF($K$4:K372,"&gt;0")/COUNT($J$4:J372))</f>
        <v>0.47154471544715448</v>
      </c>
      <c r="BS372" s="65">
        <f t="shared" si="574"/>
        <v>3.3830570902394128</v>
      </c>
      <c r="BT372" s="65" t="str">
        <f t="shared" si="575"/>
        <v/>
      </c>
      <c r="BU372" s="65" t="str">
        <f t="shared" si="576"/>
        <v/>
      </c>
      <c r="BV372" s="65" t="str">
        <f t="shared" si="577"/>
        <v/>
      </c>
      <c r="BW372" s="128" t="str">
        <f t="shared" si="578"/>
        <v/>
      </c>
      <c r="BX372" s="128">
        <f>IF($J372="",#N/A,SUM($BW$4:BW372))</f>
        <v>-551.53817034792883</v>
      </c>
      <c r="BY372" s="131" t="str">
        <f t="shared" si="579"/>
        <v/>
      </c>
      <c r="BZ372" s="131">
        <f>IF($J372="",#N/A,SUM($BY$4:BY372))</f>
        <v>391.5616134613947</v>
      </c>
      <c r="CA372" s="133">
        <f t="shared" si="580"/>
        <v>275.55000000000018</v>
      </c>
      <c r="CB372" s="133">
        <f>IF($J372="",#N/A,SUM($CA$4:CA372))</f>
        <v>406.67593244815873</v>
      </c>
      <c r="CC372" s="194" t="str">
        <f t="shared" si="581"/>
        <v/>
      </c>
      <c r="CD372" s="194">
        <f>IF($J372="",#N/A,SUM($CC$4:CC372))</f>
        <v>-7.4757889154541379</v>
      </c>
      <c r="CE372" s="195" t="str">
        <f t="shared" si="582"/>
        <v/>
      </c>
      <c r="CF372" s="195">
        <f>IF($J372="",#N/A,SUM($CE$4:CE372))</f>
        <v>8.7052084435466917</v>
      </c>
      <c r="CG372" s="196">
        <f t="shared" si="583"/>
        <v>3.3830570902394128</v>
      </c>
      <c r="CH372" s="196">
        <f>IF($J372="",#N/A,SUM($CG$4:CG372))</f>
        <v>8.2735642267277711</v>
      </c>
      <c r="CI372" s="200" t="str">
        <f t="shared" si="584"/>
        <v/>
      </c>
      <c r="CJ372" s="203">
        <f>IF($J372="",#N/A,SUM(CI$4:CI372))</f>
        <v>0</v>
      </c>
      <c r="CK372" s="204" t="str">
        <f t="shared" si="585"/>
        <v/>
      </c>
      <c r="CL372" s="204">
        <f>IF($J372="",#N/A,SUM(CK$4:CK372))</f>
        <v>1.2912501745213723</v>
      </c>
      <c r="CM372" s="205" t="str">
        <f t="shared" si="586"/>
        <v/>
      </c>
      <c r="CN372" s="205">
        <f>IF($J372="",#N/A,SUM(CM$4:CM372))</f>
        <v>1.357235719871134</v>
      </c>
      <c r="CO372" s="205">
        <f>IF($J372="",#N/A,SUM(CM$4:CM372,CK$4:CK372,CI$4:CI372))</f>
        <v>2.6484858943925063</v>
      </c>
      <c r="CP372" s="200" t="str">
        <f t="shared" si="587"/>
        <v/>
      </c>
      <c r="CQ372" s="203">
        <f>IF($J372="",#N/A,SUM(CP$4:CP372))</f>
        <v>-3.8906153415633056</v>
      </c>
      <c r="CR372" s="204" t="str">
        <f t="shared" si="588"/>
        <v/>
      </c>
      <c r="CS372" s="204">
        <f>IF($J372="",#N/A,SUM(CR$4:CR372))</f>
        <v>2.3600225017004668</v>
      </c>
      <c r="CT372" s="205" t="str">
        <f t="shared" si="589"/>
        <v/>
      </c>
      <c r="CU372" s="205">
        <f>IF($J372="",#N/A,SUM(CT$4:CT372))</f>
        <v>-3.2469967661908816</v>
      </c>
      <c r="CV372" s="205">
        <f>IF($J372="",#N/A,SUM(CT$4:CT372,CR$4:CR372,CP$4:CP372))</f>
        <v>-4.77758960605372</v>
      </c>
      <c r="CW372" s="200" t="str">
        <f t="shared" si="590"/>
        <v/>
      </c>
      <c r="CX372" s="203">
        <f>IF($J372="",#N/A,SUM(CW$4:CW372))</f>
        <v>-3.3082659491100586</v>
      </c>
      <c r="CY372" s="204" t="str">
        <f t="shared" si="591"/>
        <v/>
      </c>
      <c r="CZ372" s="204">
        <f>IF($J372="",#N/A,SUM(CY$4:CY372))</f>
        <v>-3.9836018577043975</v>
      </c>
      <c r="DA372" s="205" t="str">
        <f t="shared" si="592"/>
        <v/>
      </c>
      <c r="DB372" s="205">
        <f>IF($J372="",#N/A,SUM(DA$4:DA372))</f>
        <v>-3.6020278946927151</v>
      </c>
      <c r="DC372" s="205">
        <f>IF($J372="",#N/A,SUM(DA$4:DA372,CY$4:CY372,CW$4:CW372))</f>
        <v>-10.893895701507173</v>
      </c>
      <c r="DD372" s="200" t="str">
        <f t="shared" si="593"/>
        <v/>
      </c>
      <c r="DE372" s="203">
        <f>IF($J372="",#N/A,SUM(DD$4:DD372))</f>
        <v>1.6161029218801881</v>
      </c>
      <c r="DF372" s="204" t="str">
        <f t="shared" si="594"/>
        <v/>
      </c>
      <c r="DG372" s="204">
        <f>IF($J372="",#N/A,SUM(DF$4:DF372))</f>
        <v>4.1810385231482243</v>
      </c>
      <c r="DH372" s="205">
        <f t="shared" si="595"/>
        <v>3.3830570902394128</v>
      </c>
      <c r="DI372" s="205">
        <f>IF($J372="",#N/A,SUM(DH$4:DH372))</f>
        <v>0.1663851794688358</v>
      </c>
      <c r="DJ372" s="205">
        <f>IF($J372="",#N/A,SUM(DH$4:DH372,DF$4:DF372,DD$4:DD372))</f>
        <v>5.9635266244972476</v>
      </c>
      <c r="DK372" s="200" t="str">
        <f t="shared" si="596"/>
        <v/>
      </c>
      <c r="DL372" s="203">
        <f>IF($J372="",#N/A,SUM(DK$4:DK372))</f>
        <v>-0.84049791589649614</v>
      </c>
      <c r="DM372" s="204" t="str">
        <f t="shared" si="597"/>
        <v/>
      </c>
      <c r="DN372" s="204">
        <f>IF($J372="",#N/A,SUM(DM$4:DM372))</f>
        <v>1.8657648196498773</v>
      </c>
      <c r="DO372" s="205" t="str">
        <f t="shared" si="598"/>
        <v/>
      </c>
      <c r="DP372" s="205">
        <f>IF($J372="",#N/A,SUM(DO$4:DO372))</f>
        <v>3.4887162328793941</v>
      </c>
      <c r="DQ372" s="205">
        <f>IF($J372="",#N/A,SUM(DO$4:DO372,DM$4:DM372,DK$4:DK372))</f>
        <v>4.5139831366327758</v>
      </c>
      <c r="DR372" s="200" t="str">
        <f t="shared" si="599"/>
        <v/>
      </c>
      <c r="DS372" s="203">
        <f>IF($J372="",#N/A,SUM(DR$4:DR372))</f>
        <v>-0.55950946427675097</v>
      </c>
      <c r="DT372" s="204" t="str">
        <f t="shared" si="600"/>
        <v/>
      </c>
      <c r="DU372" s="204">
        <f>IF($J372="",#N/A,SUM(DT$4:DT372))</f>
        <v>-0.20750635820596686</v>
      </c>
      <c r="DV372" s="205" t="str">
        <f t="shared" si="601"/>
        <v/>
      </c>
      <c r="DW372" s="205">
        <f>IF($J372="",#N/A,SUM(DV$4:DV372))</f>
        <v>-2.3377035686214001</v>
      </c>
      <c r="DX372" s="205">
        <f>IF($J372="",#N/A,SUM(DV$4:DV372,DT$4:DT372,DR$4:DR372))</f>
        <v>-3.1047193911041169</v>
      </c>
      <c r="DY372" s="200" t="str">
        <f t="shared" si="602"/>
        <v/>
      </c>
      <c r="DZ372" s="203">
        <f>IF($J372="",#N/A,SUM(DY$4:DY372))</f>
        <v>-1.4146842415208627</v>
      </c>
      <c r="EA372" s="204" t="str">
        <f t="shared" si="603"/>
        <v/>
      </c>
      <c r="EB372" s="204">
        <f>IF($J372="",#N/A,SUM(EA$4:EA372))</f>
        <v>4.3184391548878134</v>
      </c>
      <c r="EC372" s="205" t="str">
        <f t="shared" si="604"/>
        <v/>
      </c>
      <c r="ED372" s="205">
        <f>IF($J372="",#N/A,SUM(EC$4:EC372))</f>
        <v>8.4384553208490907</v>
      </c>
      <c r="EE372" s="205">
        <f>IF($J372="",#N/A,SUM(EC$4:EC372,EA$4:EA372,DY$4:DY372))</f>
        <v>11.342210234216044</v>
      </c>
      <c r="EF372" s="200" t="str">
        <f t="shared" si="605"/>
        <v/>
      </c>
      <c r="EG372" s="203">
        <f>IF($J372="",#N/A,SUM(EF$4:EF372))</f>
        <v>0.65848341369884777</v>
      </c>
      <c r="EH372" s="204" t="str">
        <f t="shared" si="606"/>
        <v/>
      </c>
      <c r="EI372" s="204">
        <f>IF($J372="",#N/A,SUM(EH$4:EH372))</f>
        <v>-3.5125331561187787</v>
      </c>
      <c r="EJ372" s="205" t="str">
        <f t="shared" si="607"/>
        <v/>
      </c>
      <c r="EK372" s="205">
        <f>IF($J372="",#N/A,SUM(EJ$4:EJ372))</f>
        <v>8.4840381642896556</v>
      </c>
      <c r="EL372" s="205">
        <f>IF($J372="",#N/A,SUM(EJ$4:EJ372,EH$4:EH372,EF$4:EF372))</f>
        <v>5.6299884218697258</v>
      </c>
      <c r="EM372" s="200" t="str">
        <f t="shared" si="608"/>
        <v/>
      </c>
      <c r="EN372" s="203">
        <f>IF($J372="",#N/A,SUM(EM$4:EM372))</f>
        <v>0</v>
      </c>
      <c r="EO372" s="204" t="str">
        <f t="shared" si="609"/>
        <v/>
      </c>
      <c r="EP372" s="204">
        <f>IF($J372="",#N/A,SUM(EO$4:EO372))</f>
        <v>2.4788862078089964</v>
      </c>
      <c r="EQ372" s="205" t="str">
        <f t="shared" si="610"/>
        <v/>
      </c>
      <c r="ER372" s="205">
        <f>IF($J372="",#N/A,SUM(EQ$4:EQ372))</f>
        <v>1.7856049065476487</v>
      </c>
      <c r="ES372" s="205">
        <f>IF($J372="",#N/A,SUM(EQ$4:EQ372,EO$4:EO372,EM$4:EM372))</f>
        <v>4.2644911143566446</v>
      </c>
      <c r="ET372" s="200" t="str">
        <f t="shared" si="611"/>
        <v/>
      </c>
      <c r="EU372" s="203">
        <f>IF($J372="",#N/A,SUM(ET$4:ET372))</f>
        <v>0</v>
      </c>
      <c r="EV372" s="204" t="str">
        <f t="shared" si="612"/>
        <v/>
      </c>
      <c r="EW372" s="204">
        <f>IF($J372="",#N/A,SUM(EV$4:EV372))</f>
        <v>7.9116394275462909E-2</v>
      </c>
      <c r="EX372" s="205" t="str">
        <f t="shared" si="613"/>
        <v/>
      </c>
      <c r="EY372" s="205">
        <f>IF($J372="",#N/A,SUM(EX$4:EX372))</f>
        <v>-0.6722852908676058</v>
      </c>
      <c r="EZ372" s="205">
        <f>IF($J372="",#N/A,SUM(EX$4:EX372,EV$4:EV372,ET$4:ET372))</f>
        <v>-0.59316889659214267</v>
      </c>
      <c r="FA372" s="200" t="str">
        <f t="shared" si="614"/>
        <v/>
      </c>
      <c r="FB372" s="203">
        <f>IF($J372="",#N/A,SUM(FA$4:FA372))</f>
        <v>-0.27145310509113252</v>
      </c>
      <c r="FC372" s="204" t="str">
        <f t="shared" si="615"/>
        <v/>
      </c>
      <c r="FD372" s="204">
        <f>IF($J372="",#N/A,SUM(FC$4:FC372))</f>
        <v>0.89084290967454072</v>
      </c>
      <c r="FE372" s="205" t="str">
        <f t="shared" si="616"/>
        <v/>
      </c>
      <c r="FF372" s="205">
        <f>IF($J372="",#N/A,SUM(FE$4:FE372))</f>
        <v>-0.28811149078748233</v>
      </c>
      <c r="FG372" s="205">
        <f>IF($J372="",#N/A,SUM(FE$4:FE372,FC$4:FC372,FA$4:FA372))</f>
        <v>0.3312783137959262</v>
      </c>
      <c r="FH372" s="200" t="str">
        <f t="shared" si="617"/>
        <v/>
      </c>
      <c r="FI372" s="203">
        <f>IF($J372="",#N/A,SUM(FH$4:FH372))</f>
        <v>0</v>
      </c>
      <c r="FJ372" s="204" t="str">
        <f t="shared" si="618"/>
        <v/>
      </c>
      <c r="FK372" s="204">
        <f>IF($J372="",#N/A,SUM(FJ$4:FJ372))</f>
        <v>0</v>
      </c>
      <c r="FL372" s="205" t="str">
        <f t="shared" si="619"/>
        <v/>
      </c>
      <c r="FM372" s="205">
        <f>IF($J372="",#N/A,SUM(FL$4:FL372))</f>
        <v>0</v>
      </c>
      <c r="FN372" s="205">
        <f>IF($J372="",#N/A,SUM(FL$4:FL372,FJ$4:FJ372,FH$4:FH372))</f>
        <v>0</v>
      </c>
      <c r="FO372" s="200" t="str">
        <f t="shared" si="620"/>
        <v/>
      </c>
      <c r="FP372" s="203">
        <f>IF($J372="",#N/A,SUM(FO$4:FO372))</f>
        <v>0</v>
      </c>
      <c r="FQ372" s="204" t="str">
        <f t="shared" si="621"/>
        <v/>
      </c>
      <c r="FR372" s="204">
        <f>IF($J372="",#N/A,SUM(FQ$4:FQ372))</f>
        <v>0</v>
      </c>
      <c r="FS372" s="205" t="str">
        <f t="shared" si="622"/>
        <v/>
      </c>
      <c r="FT372" s="205">
        <f>IF($J372="",#N/A,SUM(FS$4:FS372))</f>
        <v>0</v>
      </c>
      <c r="FU372" s="205">
        <f>IF($J372="",#N/A,SUM(FS$4:FS372,FQ$4:FQ372,FO$4:FO372))</f>
        <v>0</v>
      </c>
      <c r="FV372" s="200" t="str">
        <f t="shared" si="623"/>
        <v/>
      </c>
      <c r="FW372" s="203">
        <f>IF($J372="",#N/A,SUM(FV$4:FV372))</f>
        <v>6.6834991831277585E-2</v>
      </c>
      <c r="FX372" s="204" t="str">
        <f t="shared" si="624"/>
        <v/>
      </c>
      <c r="FY372" s="204">
        <f>IF($J372="",#N/A,SUM(FX$4:FX372))</f>
        <v>-0.16102012791805576</v>
      </c>
      <c r="FZ372" s="205" t="str">
        <f t="shared" si="625"/>
        <v/>
      </c>
      <c r="GA372" s="205">
        <f>IF($J372="",#N/A,SUM(FZ$4:FZ372))</f>
        <v>-0.69624339162892301</v>
      </c>
      <c r="GB372" s="205">
        <f>IF($J372="",#N/A,SUM(FZ$4:FZ372,FX$4:FX372,FV$4:FV372))</f>
        <v>-0.79042852771570116</v>
      </c>
      <c r="GC372" s="200" t="str">
        <f t="shared" si="626"/>
        <v/>
      </c>
      <c r="GD372" s="203">
        <f>IF($J372="",#N/A,SUM(GC$4:GC372))</f>
        <v>0</v>
      </c>
      <c r="GE372" s="204" t="str">
        <f t="shared" si="627"/>
        <v/>
      </c>
      <c r="GF372" s="204">
        <f>IF($J372="",#N/A,SUM(GE$4:GE372))</f>
        <v>0</v>
      </c>
      <c r="GG372" s="205" t="str">
        <f t="shared" si="628"/>
        <v/>
      </c>
      <c r="GH372" s="205">
        <f>IF($J372="",#N/A,SUM(GG$4:GG372))</f>
        <v>-2.9368362277223206</v>
      </c>
      <c r="GI372" s="205">
        <f>IF($J372="",#N/A,SUM(GG$4:GG372,GE$4:GE372,GC$4:GC372))</f>
        <v>-2.9368362277223206</v>
      </c>
      <c r="GJ372" s="200" t="str">
        <f t="shared" si="629"/>
        <v/>
      </c>
      <c r="GK372" s="203">
        <f>IF($J372="",#N/A,SUM(GJ$4:GJ372))</f>
        <v>0</v>
      </c>
      <c r="GL372" s="204" t="str">
        <f t="shared" si="630"/>
        <v/>
      </c>
      <c r="GM372" s="204">
        <f>IF($J372="",#N/A,SUM(GL$4:GL372))</f>
        <v>-2.0621307233432784</v>
      </c>
      <c r="GN372" s="205" t="str">
        <f t="shared" si="631"/>
        <v/>
      </c>
      <c r="GO372" s="205">
        <f>IF($J372="",#N/A,SUM(GN$4:GN372))</f>
        <v>0</v>
      </c>
      <c r="GP372" s="205">
        <f>IF($J372="",#N/A,SUM(GN$4:GN372,GL$4:GL372,GJ$4:GJ372))</f>
        <v>-2.0621307233432784</v>
      </c>
      <c r="GS372" s="303" t="str">
        <f t="shared" si="650"/>
        <v/>
      </c>
      <c r="GT372" s="303" t="e">
        <f>IF(GS372="",NA(),SUM($GS$4:GS372))</f>
        <v>#N/A</v>
      </c>
      <c r="GU372" s="303" t="str">
        <f t="shared" si="632"/>
        <v/>
      </c>
      <c r="GV372" s="303" t="e">
        <f>IF(GU372="",NA(),SUM($GU$4:GU372))</f>
        <v>#N/A</v>
      </c>
      <c r="GW372" s="303" t="str">
        <f t="shared" si="633"/>
        <v/>
      </c>
      <c r="GX372" s="303" t="e">
        <f>IF(GW372="",NA(),SUM($GW$4:GW372))</f>
        <v>#N/A</v>
      </c>
      <c r="GY372" s="303" t="str">
        <f t="shared" si="634"/>
        <v/>
      </c>
      <c r="GZ372" s="303" t="e">
        <f>IF(GY372="",NA(),SUM($GY$4:GY372))</f>
        <v>#N/A</v>
      </c>
      <c r="HA372" s="303">
        <f t="shared" si="635"/>
        <v>3.3830570902394128</v>
      </c>
      <c r="HB372" s="303">
        <f>IF(HA372="",NA(),SUM($HA$4:HA372))</f>
        <v>-2.6509266846398947</v>
      </c>
      <c r="HC372" s="303" t="str">
        <f t="shared" si="636"/>
        <v/>
      </c>
      <c r="HD372" s="303" t="e">
        <f>IF(HC372="",NA(),SUM($HC$4:HC372))</f>
        <v>#N/A</v>
      </c>
      <c r="HE372" s="303">
        <f t="shared" si="637"/>
        <v>3.3830570902394128</v>
      </c>
      <c r="HF372" s="303">
        <f>IF(HE372="",NA(),SUM($HE$4:HE372))</f>
        <v>-0.27043110703213147</v>
      </c>
      <c r="HG372" s="303" t="str">
        <f t="shared" si="638"/>
        <v/>
      </c>
      <c r="HH372" s="303" t="e">
        <f>IF(HG372="",NA(),SUM($HG$4:HG372))</f>
        <v>#N/A</v>
      </c>
      <c r="HI372" s="304" t="str">
        <f t="shared" si="651"/>
        <v/>
      </c>
      <c r="HJ372" s="304">
        <f>IF($J372="",#N/A,SUM(HI$4:$HI372))</f>
        <v>-10.162234665497841</v>
      </c>
      <c r="HK372" s="303" t="str">
        <f t="shared" si="639"/>
        <v/>
      </c>
      <c r="HL372" s="303">
        <f>IF($J372="",#N/A,SUM($HK$4:HK372))</f>
        <v>7.4780353515533324</v>
      </c>
      <c r="HM372" s="303" t="str">
        <f t="shared" si="640"/>
        <v/>
      </c>
      <c r="HN372" s="303">
        <f>IF($J372="",#N/A,SUM($HM$4:HM372))</f>
        <v>-0.16355665587253121</v>
      </c>
      <c r="HO372" s="303" t="str">
        <f t="shared" si="641"/>
        <v/>
      </c>
      <c r="HP372" s="303">
        <f>IF($J372="",#N/A,SUM($HO$4:HO372))</f>
        <v>-0.26668580414118226</v>
      </c>
      <c r="HQ372" s="303">
        <f t="shared" si="642"/>
        <v>0.54696132596685043</v>
      </c>
      <c r="HR372" s="303">
        <f>IF($J372="",#N/A,SUM($HQ$4:HQ372))</f>
        <v>-10.133257675905035</v>
      </c>
      <c r="HS372" s="303" t="str">
        <f t="shared" si="643"/>
        <v/>
      </c>
      <c r="HT372" s="303">
        <f>IF($J372="",#N/A,SUM($HS$4:HS372))</f>
        <v>13.756588671225847</v>
      </c>
      <c r="HU372" s="305">
        <f t="shared" si="644"/>
        <v>3.9300184162062632</v>
      </c>
      <c r="HV372" s="305">
        <f>IF($J372="",#N/A,SUM(HU$4:$HU372))</f>
        <v>9.5156995203153585</v>
      </c>
    </row>
    <row r="373" spans="1:230" x14ac:dyDescent="0.25">
      <c r="A373" s="59" t="s">
        <v>1204</v>
      </c>
      <c r="B373" s="289" t="s">
        <v>5547</v>
      </c>
      <c r="C373" s="230">
        <f t="shared" si="545"/>
        <v>3</v>
      </c>
      <c r="D373" s="220" t="str">
        <f>_xlfn.XLOOKUP(A373,[1]SP500!$A$2:$A$502,[1]SP500!$D$2:$D$502,"N")</f>
        <v>Y</v>
      </c>
      <c r="E373" s="59" t="str">
        <f>IFERROR(_xlfn.XLOOKUP(A373,[1]SP500!$A$2:$A$655,[1]SP500!$B$2:$B$655),"")</f>
        <v>SMH</v>
      </c>
      <c r="F373" s="290">
        <v>45805</v>
      </c>
      <c r="G373" s="59" t="str">
        <f t="shared" si="546"/>
        <v>AMC</v>
      </c>
      <c r="H373" s="59" t="str">
        <f t="shared" si="547"/>
        <v>s</v>
      </c>
      <c r="I373" s="376">
        <v>462.43</v>
      </c>
      <c r="J373" s="278">
        <v>473</v>
      </c>
      <c r="K373" s="60">
        <f t="shared" si="548"/>
        <v>2.2857513569621332E-2</v>
      </c>
      <c r="L373" s="68">
        <f t="shared" si="549"/>
        <v>31.710000000000036</v>
      </c>
      <c r="M373" s="62">
        <f t="shared" si="550"/>
        <v>0</v>
      </c>
      <c r="N373" s="63">
        <f t="shared" si="551"/>
        <v>31.710000000000036</v>
      </c>
      <c r="O373" s="62">
        <f>IF(N373="",#N/A,SUM($N$4:N373))</f>
        <v>278.40937556162487</v>
      </c>
      <c r="P373" s="64">
        <f t="shared" si="645"/>
        <v>0.38095855949368962</v>
      </c>
      <c r="Q373" s="183">
        <f>IF($N373="",#N/A,SUM($P$4:P373))</f>
        <v>9.8839423143140035</v>
      </c>
      <c r="R373" s="279">
        <f t="shared" si="552"/>
        <v>7.5630647034980241</v>
      </c>
      <c r="S373" s="59" t="str">
        <f t="shared" si="553"/>
        <v>SW</v>
      </c>
      <c r="T373" s="59" t="s">
        <v>2828</v>
      </c>
      <c r="U373" s="61">
        <f t="shared" si="554"/>
        <v>462.43</v>
      </c>
      <c r="V373" s="61" t="s">
        <v>4460</v>
      </c>
      <c r="W373" s="142">
        <v>3</v>
      </c>
      <c r="X373" s="146">
        <f t="shared" si="555"/>
        <v>1387.29</v>
      </c>
      <c r="Y373" s="142">
        <f t="shared" si="556"/>
        <v>3</v>
      </c>
      <c r="Z373" s="143">
        <v>473</v>
      </c>
      <c r="AA373" s="63">
        <f t="shared" si="557"/>
        <v>31.710000000000036</v>
      </c>
      <c r="AB373" s="63">
        <f t="shared" si="558"/>
        <v>-22.319999999999936</v>
      </c>
      <c r="AC373" s="125">
        <v>454.99</v>
      </c>
      <c r="AD373" s="148">
        <f t="shared" si="559"/>
        <v>-22.319999999999936</v>
      </c>
      <c r="AE373" s="544">
        <f t="shared" si="560"/>
        <v>-0.26814869277512199</v>
      </c>
      <c r="AF373" s="62">
        <f>IF($AC373="",#N/A,SUM(AD$4:AD373))</f>
        <v>488.79239714744904</v>
      </c>
      <c r="AG373" s="63">
        <f t="shared" si="561"/>
        <v>-54.029999999999973</v>
      </c>
      <c r="AH373" s="61" t="s">
        <v>2507</v>
      </c>
      <c r="AI373" s="64">
        <f t="shared" si="562"/>
        <v>0.38095855949368962</v>
      </c>
      <c r="AJ373" s="420">
        <f>IF(AI373="",#N/A,SUM($AI$4:AI373))</f>
        <v>2.3208776108159794</v>
      </c>
      <c r="AK373" s="62">
        <f t="shared" si="563"/>
        <v>31.710000000000036</v>
      </c>
      <c r="AL373" s="421">
        <f>IF(AI373="",#N/A,IF(AH373="Skip",SUM($AK$4:AK373),SUM($AK$4:AK373)))</f>
        <v>-234.95763072151794</v>
      </c>
      <c r="AM373" s="65">
        <f t="shared" si="646"/>
        <v>-0.26814869277512199</v>
      </c>
      <c r="AN373" s="209"/>
      <c r="AO373" s="64">
        <f t="shared" si="564"/>
        <v>-0.26814869277512199</v>
      </c>
      <c r="AP373" s="64">
        <f>IF($AC373="",#N/A,SUM(AO$4:AO373))</f>
        <v>11.13257307340591</v>
      </c>
      <c r="AQ373" s="64" t="str">
        <f t="shared" si="565"/>
        <v/>
      </c>
      <c r="AR373" s="64">
        <f>IF($AC373="",#N/A,SUM(AQ$4:AQ373))</f>
        <v>-7.9060313754678537</v>
      </c>
      <c r="AS373" s="64" t="str">
        <f t="shared" si="566"/>
        <v/>
      </c>
      <c r="AT373" s="64">
        <f>IF($AC373="",#N/A,SUM(AS$4:AS373))</f>
        <v>6.0210091296021728</v>
      </c>
      <c r="AU373" s="62">
        <f t="shared" si="647"/>
        <v>-22.319999999999936</v>
      </c>
      <c r="AV373" s="62">
        <f>IF($AC373="",#N/A,SUM(AU$4:AU373))</f>
        <v>630.69627194988016</v>
      </c>
      <c r="AW373" s="62" t="str">
        <f t="shared" si="648"/>
        <v/>
      </c>
      <c r="AX373" s="62">
        <f>IF($AC373="",#N/A,SUM(AW$4:AW373))</f>
        <v>-583.86106797961088</v>
      </c>
      <c r="AY373" s="62" t="str">
        <f t="shared" si="649"/>
        <v/>
      </c>
      <c r="AZ373" s="62">
        <f>IF($AC373="",#N/A,SUM(AY$4:AY373))</f>
        <v>441.95719317717965</v>
      </c>
      <c r="BA373" s="62">
        <f>IF(AD373="",#N/A,SUM($AD$4:AD373))</f>
        <v>488.79239714744904</v>
      </c>
      <c r="BC373" s="59" t="str">
        <f t="shared" si="567"/>
        <v/>
      </c>
      <c r="BD373" s="59" t="str">
        <f t="shared" si="568"/>
        <v/>
      </c>
      <c r="BE373" s="59">
        <f t="shared" si="569"/>
        <v>1</v>
      </c>
      <c r="BF373" s="59" t="str">
        <f t="shared" si="570"/>
        <v>Long</v>
      </c>
      <c r="BG373" s="59" t="str">
        <f t="shared" si="571"/>
        <v/>
      </c>
      <c r="BH373" s="59" t="str">
        <f t="shared" si="572"/>
        <v/>
      </c>
      <c r="BI373" s="59" t="str">
        <f t="shared" si="573"/>
        <v/>
      </c>
      <c r="BK373" s="65">
        <f t="shared" ref="BK373:BK422" si="653">IFERROR(($Q373-$Q324)/COUNTA($J324:$J373),#N/A)</f>
        <v>-0.18133696385027509</v>
      </c>
      <c r="BL373" s="65">
        <f t="shared" si="652"/>
        <v>-0.21682828153664566</v>
      </c>
      <c r="BM373" s="65">
        <f>IFERROR(Q373/COUNTA($J$4:J373),#N/A)</f>
        <v>2.6713357606254064E-2</v>
      </c>
      <c r="BO373" s="489">
        <f>IF(J373="",#N/A,IF(S373="SW",(COUNTIFS(K$4:$K373,"&gt;0",S$4:$S373,"SW")/COUNTIF(S$4:$S373,"SW")),#N/A))</f>
        <v>0.50285714285714289</v>
      </c>
      <c r="BP373" s="489" t="e">
        <f>IF($J373="",#N/A,IF($S373="DWN",(COUNTIFS($K$4:$K373,"&lt;0",$S$4:$S373,"DWN")/COUNTIF($S$4:$S373,"DWN")),#N/A))</f>
        <v>#N/A</v>
      </c>
      <c r="BQ373" s="489" t="e">
        <f>IF($J373="",#N/A,IF($S373="UP",(COUNTIFS($K$4:$K373,"&gt;0",$S$4:$S373,"UP")/COUNTIF($S$4:$S373,"UP")),#N/A))</f>
        <v>#N/A</v>
      </c>
      <c r="BR373" s="489">
        <f>IF(J373="",#N/A,COUNTIF($K$4:K373,"&gt;0")/COUNT($J$4:J373))</f>
        <v>0.47297297297297297</v>
      </c>
      <c r="BS373" s="65">
        <f t="shared" si="574"/>
        <v>0.38095855949368962</v>
      </c>
      <c r="BT373" s="65" t="str">
        <f t="shared" si="575"/>
        <v/>
      </c>
      <c r="BU373" s="65" t="str">
        <f t="shared" si="576"/>
        <v/>
      </c>
      <c r="BV373" s="65" t="str">
        <f t="shared" si="577"/>
        <v/>
      </c>
      <c r="BW373" s="128" t="str">
        <f t="shared" si="578"/>
        <v/>
      </c>
      <c r="BX373" s="128">
        <f>IF($J373="",#N/A,SUM($BW$4:BW373))</f>
        <v>-551.53817034792883</v>
      </c>
      <c r="BY373" s="131" t="str">
        <f t="shared" si="579"/>
        <v/>
      </c>
      <c r="BZ373" s="131">
        <f>IF($J373="",#N/A,SUM($BY$4:BY373))</f>
        <v>391.5616134613947</v>
      </c>
      <c r="CA373" s="133">
        <f t="shared" si="580"/>
        <v>31.710000000000036</v>
      </c>
      <c r="CB373" s="133">
        <f>IF($J373="",#N/A,SUM($CA$4:CA373))</f>
        <v>438.38593244815877</v>
      </c>
      <c r="CC373" s="194" t="str">
        <f t="shared" si="581"/>
        <v/>
      </c>
      <c r="CD373" s="194">
        <f>IF($J373="",#N/A,SUM($CC$4:CC373))</f>
        <v>-7.4757889154541379</v>
      </c>
      <c r="CE373" s="195" t="str">
        <f t="shared" si="582"/>
        <v/>
      </c>
      <c r="CF373" s="195">
        <f>IF($J373="",#N/A,SUM($CE$4:CE373))</f>
        <v>8.7052084435466917</v>
      </c>
      <c r="CG373" s="196">
        <f t="shared" si="583"/>
        <v>0.38095855949368962</v>
      </c>
      <c r="CH373" s="196">
        <f>IF($J373="",#N/A,SUM($CG$4:CG373))</f>
        <v>8.6545227862214613</v>
      </c>
      <c r="CI373" s="200" t="str">
        <f t="shared" si="584"/>
        <v/>
      </c>
      <c r="CJ373" s="203">
        <f>IF($J373="",#N/A,SUM(CI$4:CI373))</f>
        <v>0</v>
      </c>
      <c r="CK373" s="204" t="str">
        <f t="shared" si="585"/>
        <v/>
      </c>
      <c r="CL373" s="204">
        <f>IF($J373="",#N/A,SUM(CK$4:CK373))</f>
        <v>1.2912501745213723</v>
      </c>
      <c r="CM373" s="205" t="str">
        <f t="shared" si="586"/>
        <v/>
      </c>
      <c r="CN373" s="205">
        <f>IF($J373="",#N/A,SUM(CM$4:CM373))</f>
        <v>1.357235719871134</v>
      </c>
      <c r="CO373" s="205">
        <f>IF($J373="",#N/A,SUM(CM$4:CM373,CK$4:CK373,CI$4:CI373))</f>
        <v>2.6484858943925063</v>
      </c>
      <c r="CP373" s="200" t="str">
        <f t="shared" si="587"/>
        <v/>
      </c>
      <c r="CQ373" s="203">
        <f>IF($J373="",#N/A,SUM(CP$4:CP373))</f>
        <v>-3.8906153415633056</v>
      </c>
      <c r="CR373" s="204" t="str">
        <f t="shared" si="588"/>
        <v/>
      </c>
      <c r="CS373" s="204">
        <f>IF($J373="",#N/A,SUM(CR$4:CR373))</f>
        <v>2.3600225017004668</v>
      </c>
      <c r="CT373" s="205" t="str">
        <f t="shared" si="589"/>
        <v/>
      </c>
      <c r="CU373" s="205">
        <f>IF($J373="",#N/A,SUM(CT$4:CT373))</f>
        <v>-3.2469967661908816</v>
      </c>
      <c r="CV373" s="205">
        <f>IF($J373="",#N/A,SUM(CT$4:CT373,CR$4:CR373,CP$4:CP373))</f>
        <v>-4.77758960605372</v>
      </c>
      <c r="CW373" s="200" t="str">
        <f t="shared" si="590"/>
        <v/>
      </c>
      <c r="CX373" s="203">
        <f>IF($J373="",#N/A,SUM(CW$4:CW373))</f>
        <v>-3.3082659491100586</v>
      </c>
      <c r="CY373" s="204" t="str">
        <f t="shared" si="591"/>
        <v/>
      </c>
      <c r="CZ373" s="204">
        <f>IF($J373="",#N/A,SUM(CY$4:CY373))</f>
        <v>-3.9836018577043975</v>
      </c>
      <c r="DA373" s="205" t="str">
        <f t="shared" si="592"/>
        <v/>
      </c>
      <c r="DB373" s="205">
        <f>IF($J373="",#N/A,SUM(DA$4:DA373))</f>
        <v>-3.6020278946927151</v>
      </c>
      <c r="DC373" s="205">
        <f>IF($J373="",#N/A,SUM(DA$4:DA373,CY$4:CY373,CW$4:CW373))</f>
        <v>-10.893895701507173</v>
      </c>
      <c r="DD373" s="200" t="str">
        <f t="shared" si="593"/>
        <v/>
      </c>
      <c r="DE373" s="203">
        <f>IF($J373="",#N/A,SUM(DD$4:DD373))</f>
        <v>1.6161029218801881</v>
      </c>
      <c r="DF373" s="204" t="str">
        <f t="shared" si="594"/>
        <v/>
      </c>
      <c r="DG373" s="204">
        <f>IF($J373="",#N/A,SUM(DF$4:DF373))</f>
        <v>4.1810385231482243</v>
      </c>
      <c r="DH373" s="205" t="str">
        <f t="shared" si="595"/>
        <v/>
      </c>
      <c r="DI373" s="205">
        <f>IF($J373="",#N/A,SUM(DH$4:DH373))</f>
        <v>0.1663851794688358</v>
      </c>
      <c r="DJ373" s="205">
        <f>IF($J373="",#N/A,SUM(DH$4:DH373,DF$4:DF373,DD$4:DD373))</f>
        <v>5.9635266244972476</v>
      </c>
      <c r="DK373" s="200" t="str">
        <f t="shared" si="596"/>
        <v/>
      </c>
      <c r="DL373" s="203">
        <f>IF($J373="",#N/A,SUM(DK$4:DK373))</f>
        <v>-0.84049791589649614</v>
      </c>
      <c r="DM373" s="204" t="str">
        <f t="shared" si="597"/>
        <v/>
      </c>
      <c r="DN373" s="204">
        <f>IF($J373="",#N/A,SUM(DM$4:DM373))</f>
        <v>1.8657648196498773</v>
      </c>
      <c r="DO373" s="205" t="str">
        <f t="shared" si="598"/>
        <v/>
      </c>
      <c r="DP373" s="205">
        <f>IF($J373="",#N/A,SUM(DO$4:DO373))</f>
        <v>3.4887162328793941</v>
      </c>
      <c r="DQ373" s="205">
        <f>IF($J373="",#N/A,SUM(DO$4:DO373,DM$4:DM373,DK$4:DK373))</f>
        <v>4.5139831366327758</v>
      </c>
      <c r="DR373" s="200" t="str">
        <f t="shared" si="599"/>
        <v/>
      </c>
      <c r="DS373" s="203">
        <f>IF($J373="",#N/A,SUM(DR$4:DR373))</f>
        <v>-0.55950946427675097</v>
      </c>
      <c r="DT373" s="204" t="str">
        <f t="shared" si="600"/>
        <v/>
      </c>
      <c r="DU373" s="204">
        <f>IF($J373="",#N/A,SUM(DT$4:DT373))</f>
        <v>-0.20750635820596686</v>
      </c>
      <c r="DV373" s="205" t="str">
        <f t="shared" si="601"/>
        <v/>
      </c>
      <c r="DW373" s="205">
        <f>IF($J373="",#N/A,SUM(DV$4:DV373))</f>
        <v>-2.3377035686214001</v>
      </c>
      <c r="DX373" s="205">
        <f>IF($J373="",#N/A,SUM(DV$4:DV373,DT$4:DT373,DR$4:DR373))</f>
        <v>-3.1047193911041169</v>
      </c>
      <c r="DY373" s="200" t="str">
        <f t="shared" si="602"/>
        <v/>
      </c>
      <c r="DZ373" s="203">
        <f>IF($J373="",#N/A,SUM(DY$4:DY373))</f>
        <v>-1.4146842415208627</v>
      </c>
      <c r="EA373" s="204" t="str">
        <f t="shared" si="603"/>
        <v/>
      </c>
      <c r="EB373" s="204">
        <f>IF($J373="",#N/A,SUM(EA$4:EA373))</f>
        <v>4.3184391548878134</v>
      </c>
      <c r="EC373" s="205" t="str">
        <f t="shared" si="604"/>
        <v/>
      </c>
      <c r="ED373" s="205">
        <f>IF($J373="",#N/A,SUM(EC$4:EC373))</f>
        <v>8.4384553208490907</v>
      </c>
      <c r="EE373" s="205">
        <f>IF($J373="",#N/A,SUM(EC$4:EC373,EA$4:EA373,DY$4:DY373))</f>
        <v>11.342210234216044</v>
      </c>
      <c r="EF373" s="200" t="str">
        <f t="shared" si="605"/>
        <v/>
      </c>
      <c r="EG373" s="203">
        <f>IF($J373="",#N/A,SUM(EF$4:EF373))</f>
        <v>0.65848341369884777</v>
      </c>
      <c r="EH373" s="204" t="str">
        <f t="shared" si="606"/>
        <v/>
      </c>
      <c r="EI373" s="204">
        <f>IF($J373="",#N/A,SUM(EH$4:EH373))</f>
        <v>-3.5125331561187787</v>
      </c>
      <c r="EJ373" s="205" t="str">
        <f t="shared" si="607"/>
        <v/>
      </c>
      <c r="EK373" s="205">
        <f>IF($J373="",#N/A,SUM(EJ$4:EJ373))</f>
        <v>8.4840381642896556</v>
      </c>
      <c r="EL373" s="205">
        <f>IF($J373="",#N/A,SUM(EJ$4:EJ373,EH$4:EH373,EF$4:EF373))</f>
        <v>5.6299884218697258</v>
      </c>
      <c r="EM373" s="200" t="str">
        <f t="shared" si="608"/>
        <v/>
      </c>
      <c r="EN373" s="203">
        <f>IF($J373="",#N/A,SUM(EM$4:EM373))</f>
        <v>0</v>
      </c>
      <c r="EO373" s="204" t="str">
        <f t="shared" si="609"/>
        <v/>
      </c>
      <c r="EP373" s="204">
        <f>IF($J373="",#N/A,SUM(EO$4:EO373))</f>
        <v>2.4788862078089964</v>
      </c>
      <c r="EQ373" s="205" t="str">
        <f t="shared" si="610"/>
        <v/>
      </c>
      <c r="ER373" s="205">
        <f>IF($J373="",#N/A,SUM(EQ$4:EQ373))</f>
        <v>1.7856049065476487</v>
      </c>
      <c r="ES373" s="205">
        <f>IF($J373="",#N/A,SUM(EQ$4:EQ373,EO$4:EO373,EM$4:EM373))</f>
        <v>4.2644911143566446</v>
      </c>
      <c r="ET373" s="200" t="str">
        <f t="shared" si="611"/>
        <v/>
      </c>
      <c r="EU373" s="203">
        <f>IF($J373="",#N/A,SUM(ET$4:ET373))</f>
        <v>0</v>
      </c>
      <c r="EV373" s="204" t="str">
        <f t="shared" si="612"/>
        <v/>
      </c>
      <c r="EW373" s="204">
        <f>IF($J373="",#N/A,SUM(EV$4:EV373))</f>
        <v>7.9116394275462909E-2</v>
      </c>
      <c r="EX373" s="205">
        <f t="shared" si="613"/>
        <v>0.38095855949368962</v>
      </c>
      <c r="EY373" s="205">
        <f>IF($J373="",#N/A,SUM(EX$4:EX373))</f>
        <v>-0.29132673137391618</v>
      </c>
      <c r="EZ373" s="205">
        <f>IF($J373="",#N/A,SUM(EX$4:EX373,EV$4:EV373,ET$4:ET373))</f>
        <v>-0.21221033709845338</v>
      </c>
      <c r="FA373" s="200" t="str">
        <f t="shared" si="614"/>
        <v/>
      </c>
      <c r="FB373" s="203">
        <f>IF($J373="",#N/A,SUM(FA$4:FA373))</f>
        <v>-0.27145310509113252</v>
      </c>
      <c r="FC373" s="204" t="str">
        <f t="shared" si="615"/>
        <v/>
      </c>
      <c r="FD373" s="204">
        <f>IF($J373="",#N/A,SUM(FC$4:FC373))</f>
        <v>0.89084290967454072</v>
      </c>
      <c r="FE373" s="205" t="str">
        <f t="shared" si="616"/>
        <v/>
      </c>
      <c r="FF373" s="205">
        <f>IF($J373="",#N/A,SUM(FE$4:FE373))</f>
        <v>-0.28811149078748233</v>
      </c>
      <c r="FG373" s="205">
        <f>IF($J373="",#N/A,SUM(FE$4:FE373,FC$4:FC373,FA$4:FA373))</f>
        <v>0.3312783137959262</v>
      </c>
      <c r="FH373" s="200" t="str">
        <f t="shared" si="617"/>
        <v/>
      </c>
      <c r="FI373" s="203">
        <f>IF($J373="",#N/A,SUM(FH$4:FH373))</f>
        <v>0</v>
      </c>
      <c r="FJ373" s="204" t="str">
        <f t="shared" si="618"/>
        <v/>
      </c>
      <c r="FK373" s="204">
        <f>IF($J373="",#N/A,SUM(FJ$4:FJ373))</f>
        <v>0</v>
      </c>
      <c r="FL373" s="205" t="str">
        <f t="shared" si="619"/>
        <v/>
      </c>
      <c r="FM373" s="205">
        <f>IF($J373="",#N/A,SUM(FL$4:FL373))</f>
        <v>0</v>
      </c>
      <c r="FN373" s="205">
        <f>IF($J373="",#N/A,SUM(FL$4:FL373,FJ$4:FJ373,FH$4:FH373))</f>
        <v>0</v>
      </c>
      <c r="FO373" s="200" t="str">
        <f t="shared" si="620"/>
        <v/>
      </c>
      <c r="FP373" s="203">
        <f>IF($J373="",#N/A,SUM(FO$4:FO373))</f>
        <v>0</v>
      </c>
      <c r="FQ373" s="204" t="str">
        <f t="shared" si="621"/>
        <v/>
      </c>
      <c r="FR373" s="204">
        <f>IF($J373="",#N/A,SUM(FQ$4:FQ373))</f>
        <v>0</v>
      </c>
      <c r="FS373" s="205" t="str">
        <f t="shared" si="622"/>
        <v/>
      </c>
      <c r="FT373" s="205">
        <f>IF($J373="",#N/A,SUM(FS$4:FS373))</f>
        <v>0</v>
      </c>
      <c r="FU373" s="205">
        <f>IF($J373="",#N/A,SUM(FS$4:FS373,FQ$4:FQ373,FO$4:FO373))</f>
        <v>0</v>
      </c>
      <c r="FV373" s="200" t="str">
        <f t="shared" si="623"/>
        <v/>
      </c>
      <c r="FW373" s="203">
        <f>IF($J373="",#N/A,SUM(FV$4:FV373))</f>
        <v>6.6834991831277585E-2</v>
      </c>
      <c r="FX373" s="204" t="str">
        <f t="shared" si="624"/>
        <v/>
      </c>
      <c r="FY373" s="204">
        <f>IF($J373="",#N/A,SUM(FX$4:FX373))</f>
        <v>-0.16102012791805576</v>
      </c>
      <c r="FZ373" s="205" t="str">
        <f t="shared" si="625"/>
        <v/>
      </c>
      <c r="GA373" s="205">
        <f>IF($J373="",#N/A,SUM(FZ$4:FZ373))</f>
        <v>-0.69624339162892301</v>
      </c>
      <c r="GB373" s="205">
        <f>IF($J373="",#N/A,SUM(FZ$4:FZ373,FX$4:FX373,FV$4:FV373))</f>
        <v>-0.79042852771570116</v>
      </c>
      <c r="GC373" s="200" t="str">
        <f t="shared" si="626"/>
        <v/>
      </c>
      <c r="GD373" s="203">
        <f>IF($J373="",#N/A,SUM(GC$4:GC373))</f>
        <v>0</v>
      </c>
      <c r="GE373" s="204" t="str">
        <f t="shared" si="627"/>
        <v/>
      </c>
      <c r="GF373" s="204">
        <f>IF($J373="",#N/A,SUM(GE$4:GE373))</f>
        <v>0</v>
      </c>
      <c r="GG373" s="205" t="str">
        <f t="shared" si="628"/>
        <v/>
      </c>
      <c r="GH373" s="205">
        <f>IF($J373="",#N/A,SUM(GG$4:GG373))</f>
        <v>-2.9368362277223206</v>
      </c>
      <c r="GI373" s="205">
        <f>IF($J373="",#N/A,SUM(GG$4:GG373,GE$4:GE373,GC$4:GC373))</f>
        <v>-2.9368362277223206</v>
      </c>
      <c r="GJ373" s="200" t="str">
        <f t="shared" si="629"/>
        <v/>
      </c>
      <c r="GK373" s="203">
        <f>IF($J373="",#N/A,SUM(GJ$4:GJ373))</f>
        <v>0</v>
      </c>
      <c r="GL373" s="204" t="str">
        <f t="shared" si="630"/>
        <v/>
      </c>
      <c r="GM373" s="204">
        <f>IF($J373="",#N/A,SUM(GL$4:GL373))</f>
        <v>-2.0621307233432784</v>
      </c>
      <c r="GN373" s="205" t="str">
        <f t="shared" si="631"/>
        <v/>
      </c>
      <c r="GO373" s="205">
        <f>IF($J373="",#N/A,SUM(GN$4:GN373))</f>
        <v>0</v>
      </c>
      <c r="GP373" s="205">
        <f>IF($J373="",#N/A,SUM(GN$4:GN373,GL$4:GL373,GJ$4:GJ373))</f>
        <v>-2.0621307233432784</v>
      </c>
      <c r="GS373" s="177">
        <f t="shared" si="650"/>
        <v>0.38095855949368962</v>
      </c>
      <c r="GT373" s="177">
        <f>IF(GS373="",NA(),SUM($GS$4:GS373))</f>
        <v>12.534868998953899</v>
      </c>
      <c r="GU373" s="177" t="str">
        <f t="shared" si="632"/>
        <v/>
      </c>
      <c r="GV373" s="177" t="e">
        <f>IF(GU373="",NA(),SUM($GU$4:GU373))</f>
        <v>#N/A</v>
      </c>
      <c r="GW373" s="177">
        <f t="shared" si="633"/>
        <v>0.38095855949368962</v>
      </c>
      <c r="GX373" s="177">
        <f>IF(GW373="",NA(),SUM($GW$4:GW373))</f>
        <v>8.9249538932535906</v>
      </c>
      <c r="GY373" s="177" t="str">
        <f t="shared" si="634"/>
        <v/>
      </c>
      <c r="GZ373" s="177" t="e">
        <f>IF(GY373="",NA(),SUM($GY$4:GY373))</f>
        <v>#N/A</v>
      </c>
      <c r="HA373" s="177" t="str">
        <f t="shared" si="635"/>
        <v/>
      </c>
      <c r="HB373" s="177" t="e">
        <f>IF(HA373="",NA(),SUM($HA$4:HA373))</f>
        <v>#N/A</v>
      </c>
      <c r="HC373" s="177" t="str">
        <f t="shared" si="636"/>
        <v/>
      </c>
      <c r="HD373" s="177" t="e">
        <f>IF(HC373="",NA(),SUM($HC$4:HC373))</f>
        <v>#N/A</v>
      </c>
      <c r="HE373" s="177" t="str">
        <f t="shared" si="637"/>
        <v/>
      </c>
      <c r="HF373" s="177" t="e">
        <f>IF(HE373="",NA(),SUM($HE$4:HE373))</f>
        <v>#N/A</v>
      </c>
      <c r="HG373" s="177" t="str">
        <f t="shared" si="638"/>
        <v/>
      </c>
      <c r="HH373" s="177" t="e">
        <f>IF(HG373="",NA(),SUM($HG$4:HG373))</f>
        <v>#N/A</v>
      </c>
      <c r="HI373" s="183" t="str">
        <f t="shared" si="651"/>
        <v/>
      </c>
      <c r="HJ373" s="183">
        <f>IF($J373="",#N/A,SUM(HI$4:$HI373))</f>
        <v>-10.162234665497841</v>
      </c>
      <c r="HK373" s="177" t="str">
        <f t="shared" si="639"/>
        <v/>
      </c>
      <c r="HL373" s="177">
        <f>IF($J373="",#N/A,SUM($HK$4:HK373))</f>
        <v>7.4780353515533324</v>
      </c>
      <c r="HM373" s="177" t="str">
        <f t="shared" si="640"/>
        <v/>
      </c>
      <c r="HN373" s="177">
        <f>IF($J373="",#N/A,SUM($HM$4:HM373))</f>
        <v>-0.16355665587253121</v>
      </c>
      <c r="HO373" s="177" t="str">
        <f t="shared" si="641"/>
        <v/>
      </c>
      <c r="HP373" s="177">
        <f>IF($J373="",#N/A,SUM($HO$4:HO373))</f>
        <v>-0.26668580414118226</v>
      </c>
      <c r="HQ373" s="177">
        <f t="shared" si="642"/>
        <v>-0.64910725226881161</v>
      </c>
      <c r="HR373" s="177">
        <f>IF($J373="",#N/A,SUM($HQ$4:HQ373))</f>
        <v>-10.782364928173847</v>
      </c>
      <c r="HS373" s="177" t="str">
        <f t="shared" si="643"/>
        <v/>
      </c>
      <c r="HT373" s="177">
        <f>IF($J373="",#N/A,SUM($HS$4:HS373))</f>
        <v>13.756588671225847</v>
      </c>
      <c r="HU373" s="64">
        <f t="shared" si="644"/>
        <v>-0.26814869277512199</v>
      </c>
      <c r="HV373" s="64">
        <f>IF($J373="",#N/A,SUM(HU$4:$HU373))</f>
        <v>9.2475508275402358</v>
      </c>
    </row>
    <row r="374" spans="1:230" x14ac:dyDescent="0.25">
      <c r="A374" s="51" t="s">
        <v>2573</v>
      </c>
      <c r="B374" s="52" t="s">
        <v>5547</v>
      </c>
      <c r="C374" s="229">
        <f t="shared" si="545"/>
        <v>1</v>
      </c>
      <c r="D374" s="219" t="str">
        <f>_xlfn.XLOOKUP(A374,[1]SP500!$A$2:$A$502,[1]SP500!$D$2:$D$502,"N")</f>
        <v>N</v>
      </c>
      <c r="E374" s="51" t="str">
        <f>IFERROR(_xlfn.XLOOKUP(A374,[1]SP500!$A$2:$A$655,[1]SP500!$B$2:$B$655),"")</f>
        <v>IGV</v>
      </c>
      <c r="F374" s="290">
        <v>45805</v>
      </c>
      <c r="G374" s="51" t="str">
        <f t="shared" si="546"/>
        <v>AMC</v>
      </c>
      <c r="H374" s="51" t="str">
        <f t="shared" si="547"/>
        <v>s</v>
      </c>
      <c r="I374" s="344">
        <v>78.87</v>
      </c>
      <c r="J374" s="124">
        <v>80.19</v>
      </c>
      <c r="K374" s="55">
        <f t="shared" si="548"/>
        <v>1.6736401673640079E-2</v>
      </c>
      <c r="L374" s="67">
        <f t="shared" si="549"/>
        <v>22.440000000000055</v>
      </c>
      <c r="M374" s="57">
        <f t="shared" si="550"/>
        <v>-3.2300000000000182</v>
      </c>
      <c r="N374" s="102">
        <f t="shared" si="551"/>
        <v>22.440000000000055</v>
      </c>
      <c r="O374" s="57">
        <f>IF(N374="",#N/A,SUM($N$4:N374))</f>
        <v>300.84937556162492</v>
      </c>
      <c r="P374" s="65">
        <f t="shared" si="645"/>
        <v>0.27894002789400346</v>
      </c>
      <c r="Q374" s="172">
        <f>IF($N374="",#N/A,SUM($P$4:P374))</f>
        <v>10.162882342208007</v>
      </c>
      <c r="R374" s="279">
        <f t="shared" si="552"/>
        <v>7.6032151620585253</v>
      </c>
      <c r="S374" s="51" t="str">
        <f t="shared" si="553"/>
        <v>Up</v>
      </c>
      <c r="T374" s="51" t="s">
        <v>4462</v>
      </c>
      <c r="U374" s="56">
        <f t="shared" si="554"/>
        <v>78.87</v>
      </c>
      <c r="V374" s="56" t="s">
        <v>4460</v>
      </c>
      <c r="W374" s="142">
        <v>17</v>
      </c>
      <c r="X374" s="145">
        <f t="shared" si="555"/>
        <v>1340.79</v>
      </c>
      <c r="Y374" s="140">
        <f t="shared" si="556"/>
        <v>17</v>
      </c>
      <c r="Z374" s="141">
        <v>80</v>
      </c>
      <c r="AA374" s="102">
        <f t="shared" si="557"/>
        <v>19.210000000000036</v>
      </c>
      <c r="AB374" s="102">
        <f t="shared" si="558"/>
        <v>-51.340000000000146</v>
      </c>
      <c r="AC374" s="124">
        <v>75.849999999999994</v>
      </c>
      <c r="AD374" s="155">
        <f t="shared" si="559"/>
        <v>-51.340000000000146</v>
      </c>
      <c r="AE374" s="545">
        <f t="shared" si="560"/>
        <v>-0.63818097290900822</v>
      </c>
      <c r="AF374" s="57">
        <f>IF($AC374="",#N/A,SUM(AD$4:AD374))</f>
        <v>437.45239714744889</v>
      </c>
      <c r="AG374" s="102">
        <f t="shared" si="561"/>
        <v>-73.7800000000002</v>
      </c>
      <c r="AH374" s="56" t="s">
        <v>2507</v>
      </c>
      <c r="AI374" s="65">
        <f t="shared" si="562"/>
        <v>0.23878956933350284</v>
      </c>
      <c r="AJ374" s="108">
        <f>IF(AI374="",#N/A,SUM($AI$4:AI374))</f>
        <v>2.5596671801494821</v>
      </c>
      <c r="AK374" s="57">
        <f t="shared" si="563"/>
        <v>19.210000000000036</v>
      </c>
      <c r="AL374" s="66">
        <f>IF(AI374="",#N/A,IF(AH374="Skip",SUM($AK$4:AK374),SUM($AK$4:AK374)))</f>
        <v>-215.74763072151791</v>
      </c>
      <c r="AM374" s="65">
        <f t="shared" si="646"/>
        <v>-0.63818097290900822</v>
      </c>
      <c r="AN374" s="209"/>
      <c r="AO374" s="65" t="str">
        <f t="shared" si="564"/>
        <v/>
      </c>
      <c r="AP374" s="65">
        <f>IF($AC374="",#N/A,SUM(AO$4:AO374))</f>
        <v>11.13257307340591</v>
      </c>
      <c r="AQ374" s="65">
        <f t="shared" si="565"/>
        <v>-0.63818097290900822</v>
      </c>
      <c r="AR374" s="65">
        <f>IF($AC374="",#N/A,SUM(AQ$4:AQ374))</f>
        <v>-8.5442123483768615</v>
      </c>
      <c r="AS374" s="65" t="str">
        <f t="shared" si="566"/>
        <v/>
      </c>
      <c r="AT374" s="65">
        <f>IF($AC374="",#N/A,SUM(AS$4:AS374))</f>
        <v>6.0210091296021728</v>
      </c>
      <c r="AU374" s="57" t="str">
        <f t="shared" si="647"/>
        <v/>
      </c>
      <c r="AV374" s="57">
        <f>IF($AC374="",#N/A,SUM(AU$4:AU374))</f>
        <v>630.69627194988016</v>
      </c>
      <c r="AW374" s="57">
        <f t="shared" si="648"/>
        <v>-51.340000000000146</v>
      </c>
      <c r="AX374" s="57">
        <f>IF($AC374="",#N/A,SUM(AW$4:AW374))</f>
        <v>-635.20106797961103</v>
      </c>
      <c r="AY374" s="57" t="str">
        <f t="shared" si="649"/>
        <v/>
      </c>
      <c r="AZ374" s="57">
        <f>IF($AC374="",#N/A,SUM(AY$4:AY374))</f>
        <v>441.95719317717965</v>
      </c>
      <c r="BA374" s="57">
        <f>IF(AD374="",#N/A,SUM($AD$4:AD374))</f>
        <v>437.45239714744889</v>
      </c>
      <c r="BC374" s="51">
        <f t="shared" si="567"/>
        <v>1</v>
      </c>
      <c r="BD374" s="51" t="str">
        <f t="shared" si="568"/>
        <v/>
      </c>
      <c r="BE374" s="51" t="str">
        <f t="shared" si="569"/>
        <v/>
      </c>
      <c r="BF374" s="51" t="str">
        <f t="shared" si="570"/>
        <v>Long</v>
      </c>
      <c r="BG374" s="51" t="str">
        <f t="shared" si="571"/>
        <v/>
      </c>
      <c r="BH374" s="51" t="str">
        <f t="shared" si="572"/>
        <v/>
      </c>
      <c r="BI374" s="51" t="str">
        <f t="shared" si="573"/>
        <v/>
      </c>
      <c r="BK374" s="65">
        <f t="shared" si="653"/>
        <v>-0.18226989563774132</v>
      </c>
      <c r="BL374" s="65">
        <f t="shared" si="652"/>
        <v>-0.19052061503639281</v>
      </c>
      <c r="BM374" s="65">
        <f>IFERROR(Q374/COUNTA($J$4:J374),#N/A)</f>
        <v>2.7393213860398943E-2</v>
      </c>
      <c r="BO374" s="489" t="e">
        <f>IF(J374="",#N/A,IF(S374="SW",(COUNTIFS(K$4:$K374,"&gt;0",S$4:$S374,"SW")/COUNTIF(S$4:$S374,"SW")),#N/A))</f>
        <v>#N/A</v>
      </c>
      <c r="BP374" s="489" t="e">
        <f>IF($J374="",#N/A,IF($S374="DWN",(COUNTIFS($K$4:$K374,"&lt;0",$S$4:$S374,"DWN")/COUNTIF($S$4:$S374,"DWN")),#N/A))</f>
        <v>#N/A</v>
      </c>
      <c r="BQ374" s="489">
        <f>IF($J374="",#N/A,IF($S374="UP",(COUNTIFS($K$4:$K374,"&gt;0",$S$4:$S374,"UP")/COUNTIF($S$4:$S374,"UP")),#N/A))</f>
        <v>0.45945945945945948</v>
      </c>
      <c r="BR374" s="489">
        <f>IF(J374="",#N/A,COUNTIF($K$4:K374,"&gt;0")/COUNT($J$4:J374))</f>
        <v>0.47439353099730458</v>
      </c>
      <c r="BS374" s="65">
        <f t="shared" si="574"/>
        <v>0.27894002789400346</v>
      </c>
      <c r="BT374" s="65" t="str">
        <f t="shared" si="575"/>
        <v/>
      </c>
      <c r="BU374" s="65" t="str">
        <f t="shared" si="576"/>
        <v/>
      </c>
      <c r="BV374" s="65" t="str">
        <f t="shared" si="577"/>
        <v/>
      </c>
      <c r="BW374" s="128">
        <f t="shared" si="578"/>
        <v>22.440000000000055</v>
      </c>
      <c r="BX374" s="128">
        <f>IF($J374="",#N/A,SUM($BW$4:BW374))</f>
        <v>-529.09817034792877</v>
      </c>
      <c r="BY374" s="131" t="str">
        <f t="shared" si="579"/>
        <v/>
      </c>
      <c r="BZ374" s="131">
        <f>IF($J374="",#N/A,SUM($BY$4:BY374))</f>
        <v>391.5616134613947</v>
      </c>
      <c r="CA374" s="133" t="str">
        <f t="shared" si="580"/>
        <v/>
      </c>
      <c r="CB374" s="133">
        <f>IF($J374="",#N/A,SUM($CA$4:CA374))</f>
        <v>438.38593244815877</v>
      </c>
      <c r="CC374" s="194">
        <f t="shared" si="581"/>
        <v>0.27894002789400346</v>
      </c>
      <c r="CD374" s="194">
        <f>IF($J374="",#N/A,SUM($CC$4:CC374))</f>
        <v>-7.1968488875601349</v>
      </c>
      <c r="CE374" s="195" t="str">
        <f t="shared" si="582"/>
        <v/>
      </c>
      <c r="CF374" s="195">
        <f>IF($J374="",#N/A,SUM($CE$4:CE374))</f>
        <v>8.7052084435466917</v>
      </c>
      <c r="CG374" s="196" t="str">
        <f t="shared" si="583"/>
        <v/>
      </c>
      <c r="CH374" s="196">
        <f>IF($J374="",#N/A,SUM($CG$4:CG374))</f>
        <v>8.6545227862214613</v>
      </c>
      <c r="CI374" s="200" t="str">
        <f t="shared" si="584"/>
        <v/>
      </c>
      <c r="CJ374" s="203">
        <f>IF($J374="",#N/A,SUM(CI$4:CI374))</f>
        <v>0</v>
      </c>
      <c r="CK374" s="204" t="str">
        <f t="shared" si="585"/>
        <v/>
      </c>
      <c r="CL374" s="204">
        <f>IF($J374="",#N/A,SUM(CK$4:CK374))</f>
        <v>1.2912501745213723</v>
      </c>
      <c r="CM374" s="205" t="str">
        <f t="shared" si="586"/>
        <v/>
      </c>
      <c r="CN374" s="205">
        <f>IF($J374="",#N/A,SUM(CM$4:CM374))</f>
        <v>1.357235719871134</v>
      </c>
      <c r="CO374" s="205">
        <f>IF($J374="",#N/A,SUM(CM$4:CM374,CK$4:CK374,CI$4:CI374))</f>
        <v>2.6484858943925063</v>
      </c>
      <c r="CP374" s="200">
        <f t="shared" si="587"/>
        <v>0.27894002789400346</v>
      </c>
      <c r="CQ374" s="203">
        <f>IF($J374="",#N/A,SUM(CP$4:CP374))</f>
        <v>-3.6116753136693021</v>
      </c>
      <c r="CR374" s="204" t="str">
        <f t="shared" si="588"/>
        <v/>
      </c>
      <c r="CS374" s="204">
        <f>IF($J374="",#N/A,SUM(CR$4:CR374))</f>
        <v>2.3600225017004668</v>
      </c>
      <c r="CT374" s="205" t="str">
        <f t="shared" si="589"/>
        <v/>
      </c>
      <c r="CU374" s="205">
        <f>IF($J374="",#N/A,SUM(CT$4:CT374))</f>
        <v>-3.2469967661908816</v>
      </c>
      <c r="CV374" s="205">
        <f>IF($J374="",#N/A,SUM(CT$4:CT374,CR$4:CR374,CP$4:CP374))</f>
        <v>-4.4986495781597169</v>
      </c>
      <c r="CW374" s="200" t="str">
        <f t="shared" si="590"/>
        <v/>
      </c>
      <c r="CX374" s="203">
        <f>IF($J374="",#N/A,SUM(CW$4:CW374))</f>
        <v>-3.3082659491100586</v>
      </c>
      <c r="CY374" s="204" t="str">
        <f t="shared" si="591"/>
        <v/>
      </c>
      <c r="CZ374" s="204">
        <f>IF($J374="",#N/A,SUM(CY$4:CY374))</f>
        <v>-3.9836018577043975</v>
      </c>
      <c r="DA374" s="205" t="str">
        <f t="shared" si="592"/>
        <v/>
      </c>
      <c r="DB374" s="205">
        <f>IF($J374="",#N/A,SUM(DA$4:DA374))</f>
        <v>-3.6020278946927151</v>
      </c>
      <c r="DC374" s="205">
        <f>IF($J374="",#N/A,SUM(DA$4:DA374,CY$4:CY374,CW$4:CW374))</f>
        <v>-10.893895701507173</v>
      </c>
      <c r="DD374" s="200" t="str">
        <f t="shared" si="593"/>
        <v/>
      </c>
      <c r="DE374" s="203">
        <f>IF($J374="",#N/A,SUM(DD$4:DD374))</f>
        <v>1.6161029218801881</v>
      </c>
      <c r="DF374" s="204" t="str">
        <f t="shared" si="594"/>
        <v/>
      </c>
      <c r="DG374" s="204">
        <f>IF($J374="",#N/A,SUM(DF$4:DF374))</f>
        <v>4.1810385231482243</v>
      </c>
      <c r="DH374" s="205" t="str">
        <f t="shared" si="595"/>
        <v/>
      </c>
      <c r="DI374" s="205">
        <f>IF($J374="",#N/A,SUM(DH$4:DH374))</f>
        <v>0.1663851794688358</v>
      </c>
      <c r="DJ374" s="205">
        <f>IF($J374="",#N/A,SUM(DH$4:DH374,DF$4:DF374,DD$4:DD374))</f>
        <v>5.9635266244972476</v>
      </c>
      <c r="DK374" s="200" t="str">
        <f t="shared" si="596"/>
        <v/>
      </c>
      <c r="DL374" s="203">
        <f>IF($J374="",#N/A,SUM(DK$4:DK374))</f>
        <v>-0.84049791589649614</v>
      </c>
      <c r="DM374" s="204" t="str">
        <f t="shared" si="597"/>
        <v/>
      </c>
      <c r="DN374" s="204">
        <f>IF($J374="",#N/A,SUM(DM$4:DM374))</f>
        <v>1.8657648196498773</v>
      </c>
      <c r="DO374" s="205" t="str">
        <f t="shared" si="598"/>
        <v/>
      </c>
      <c r="DP374" s="205">
        <f>IF($J374="",#N/A,SUM(DO$4:DO374))</f>
        <v>3.4887162328793941</v>
      </c>
      <c r="DQ374" s="205">
        <f>IF($J374="",#N/A,SUM(DO$4:DO374,DM$4:DM374,DK$4:DK374))</f>
        <v>4.5139831366327758</v>
      </c>
      <c r="DR374" s="200" t="str">
        <f t="shared" si="599"/>
        <v/>
      </c>
      <c r="DS374" s="203">
        <f>IF($J374="",#N/A,SUM(DR$4:DR374))</f>
        <v>-0.55950946427675097</v>
      </c>
      <c r="DT374" s="204" t="str">
        <f t="shared" si="600"/>
        <v/>
      </c>
      <c r="DU374" s="204">
        <f>IF($J374="",#N/A,SUM(DT$4:DT374))</f>
        <v>-0.20750635820596686</v>
      </c>
      <c r="DV374" s="205" t="str">
        <f t="shared" si="601"/>
        <v/>
      </c>
      <c r="DW374" s="205">
        <f>IF($J374="",#N/A,SUM(DV$4:DV374))</f>
        <v>-2.3377035686214001</v>
      </c>
      <c r="DX374" s="205">
        <f>IF($J374="",#N/A,SUM(DV$4:DV374,DT$4:DT374,DR$4:DR374))</f>
        <v>-3.1047193911041169</v>
      </c>
      <c r="DY374" s="200" t="str">
        <f t="shared" si="602"/>
        <v/>
      </c>
      <c r="DZ374" s="203">
        <f>IF($J374="",#N/A,SUM(DY$4:DY374))</f>
        <v>-1.4146842415208627</v>
      </c>
      <c r="EA374" s="204" t="str">
        <f t="shared" si="603"/>
        <v/>
      </c>
      <c r="EB374" s="204">
        <f>IF($J374="",#N/A,SUM(EA$4:EA374))</f>
        <v>4.3184391548878134</v>
      </c>
      <c r="EC374" s="205" t="str">
        <f t="shared" si="604"/>
        <v/>
      </c>
      <c r="ED374" s="205">
        <f>IF($J374="",#N/A,SUM(EC$4:EC374))</f>
        <v>8.4384553208490907</v>
      </c>
      <c r="EE374" s="205">
        <f>IF($J374="",#N/A,SUM(EC$4:EC374,EA$4:EA374,DY$4:DY374))</f>
        <v>11.342210234216044</v>
      </c>
      <c r="EF374" s="200" t="str">
        <f t="shared" si="605"/>
        <v/>
      </c>
      <c r="EG374" s="203">
        <f>IF($J374="",#N/A,SUM(EF$4:EF374))</f>
        <v>0.65848341369884777</v>
      </c>
      <c r="EH374" s="204" t="str">
        <f t="shared" si="606"/>
        <v/>
      </c>
      <c r="EI374" s="204">
        <f>IF($J374="",#N/A,SUM(EH$4:EH374))</f>
        <v>-3.5125331561187787</v>
      </c>
      <c r="EJ374" s="205" t="str">
        <f t="shared" si="607"/>
        <v/>
      </c>
      <c r="EK374" s="205">
        <f>IF($J374="",#N/A,SUM(EJ$4:EJ374))</f>
        <v>8.4840381642896556</v>
      </c>
      <c r="EL374" s="205">
        <f>IF($J374="",#N/A,SUM(EJ$4:EJ374,EH$4:EH374,EF$4:EF374))</f>
        <v>5.6299884218697258</v>
      </c>
      <c r="EM374" s="200" t="str">
        <f t="shared" si="608"/>
        <v/>
      </c>
      <c r="EN374" s="203">
        <f>IF($J374="",#N/A,SUM(EM$4:EM374))</f>
        <v>0</v>
      </c>
      <c r="EO374" s="204" t="str">
        <f t="shared" si="609"/>
        <v/>
      </c>
      <c r="EP374" s="204">
        <f>IF($J374="",#N/A,SUM(EO$4:EO374))</f>
        <v>2.4788862078089964</v>
      </c>
      <c r="EQ374" s="205" t="str">
        <f t="shared" si="610"/>
        <v/>
      </c>
      <c r="ER374" s="205">
        <f>IF($J374="",#N/A,SUM(EQ$4:EQ374))</f>
        <v>1.7856049065476487</v>
      </c>
      <c r="ES374" s="205">
        <f>IF($J374="",#N/A,SUM(EQ$4:EQ374,EO$4:EO374,EM$4:EM374))</f>
        <v>4.2644911143566446</v>
      </c>
      <c r="ET374" s="200" t="str">
        <f t="shared" si="611"/>
        <v/>
      </c>
      <c r="EU374" s="203">
        <f>IF($J374="",#N/A,SUM(ET$4:ET374))</f>
        <v>0</v>
      </c>
      <c r="EV374" s="204" t="str">
        <f t="shared" si="612"/>
        <v/>
      </c>
      <c r="EW374" s="204">
        <f>IF($J374="",#N/A,SUM(EV$4:EV374))</f>
        <v>7.9116394275462909E-2</v>
      </c>
      <c r="EX374" s="205" t="str">
        <f t="shared" si="613"/>
        <v/>
      </c>
      <c r="EY374" s="205">
        <f>IF($J374="",#N/A,SUM(EX$4:EX374))</f>
        <v>-0.29132673137391618</v>
      </c>
      <c r="EZ374" s="205">
        <f>IF($J374="",#N/A,SUM(EX$4:EX374,EV$4:EV374,ET$4:ET374))</f>
        <v>-0.21221033709845338</v>
      </c>
      <c r="FA374" s="200" t="str">
        <f t="shared" si="614"/>
        <v/>
      </c>
      <c r="FB374" s="203">
        <f>IF($J374="",#N/A,SUM(FA$4:FA374))</f>
        <v>-0.27145310509113252</v>
      </c>
      <c r="FC374" s="204" t="str">
        <f t="shared" si="615"/>
        <v/>
      </c>
      <c r="FD374" s="204">
        <f>IF($J374="",#N/A,SUM(FC$4:FC374))</f>
        <v>0.89084290967454072</v>
      </c>
      <c r="FE374" s="205" t="str">
        <f t="shared" si="616"/>
        <v/>
      </c>
      <c r="FF374" s="205">
        <f>IF($J374="",#N/A,SUM(FE$4:FE374))</f>
        <v>-0.28811149078748233</v>
      </c>
      <c r="FG374" s="205">
        <f>IF($J374="",#N/A,SUM(FE$4:FE374,FC$4:FC374,FA$4:FA374))</f>
        <v>0.3312783137959262</v>
      </c>
      <c r="FH374" s="200" t="str">
        <f t="shared" si="617"/>
        <v/>
      </c>
      <c r="FI374" s="203">
        <f>IF($J374="",#N/A,SUM(FH$4:FH374))</f>
        <v>0</v>
      </c>
      <c r="FJ374" s="204" t="str">
        <f t="shared" si="618"/>
        <v/>
      </c>
      <c r="FK374" s="204">
        <f>IF($J374="",#N/A,SUM(FJ$4:FJ374))</f>
        <v>0</v>
      </c>
      <c r="FL374" s="205" t="str">
        <f t="shared" si="619"/>
        <v/>
      </c>
      <c r="FM374" s="205">
        <f>IF($J374="",#N/A,SUM(FL$4:FL374))</f>
        <v>0</v>
      </c>
      <c r="FN374" s="205">
        <f>IF($J374="",#N/A,SUM(FL$4:FL374,FJ$4:FJ374,FH$4:FH374))</f>
        <v>0</v>
      </c>
      <c r="FO374" s="200" t="str">
        <f t="shared" si="620"/>
        <v/>
      </c>
      <c r="FP374" s="203">
        <f>IF($J374="",#N/A,SUM(FO$4:FO374))</f>
        <v>0</v>
      </c>
      <c r="FQ374" s="204" t="str">
        <f t="shared" si="621"/>
        <v/>
      </c>
      <c r="FR374" s="204">
        <f>IF($J374="",#N/A,SUM(FQ$4:FQ374))</f>
        <v>0</v>
      </c>
      <c r="FS374" s="205" t="str">
        <f t="shared" si="622"/>
        <v/>
      </c>
      <c r="FT374" s="205">
        <f>IF($J374="",#N/A,SUM(FS$4:FS374))</f>
        <v>0</v>
      </c>
      <c r="FU374" s="205">
        <f>IF($J374="",#N/A,SUM(FS$4:FS374,FQ$4:FQ374,FO$4:FO374))</f>
        <v>0</v>
      </c>
      <c r="FV374" s="200" t="str">
        <f t="shared" si="623"/>
        <v/>
      </c>
      <c r="FW374" s="203">
        <f>IF($J374="",#N/A,SUM(FV$4:FV374))</f>
        <v>6.6834991831277585E-2</v>
      </c>
      <c r="FX374" s="204" t="str">
        <f t="shared" si="624"/>
        <v/>
      </c>
      <c r="FY374" s="204">
        <f>IF($J374="",#N/A,SUM(FX$4:FX374))</f>
        <v>-0.16102012791805576</v>
      </c>
      <c r="FZ374" s="205" t="str">
        <f t="shared" si="625"/>
        <v/>
      </c>
      <c r="GA374" s="205">
        <f>IF($J374="",#N/A,SUM(FZ$4:FZ374))</f>
        <v>-0.69624339162892301</v>
      </c>
      <c r="GB374" s="205">
        <f>IF($J374="",#N/A,SUM(FZ$4:FZ374,FX$4:FX374,FV$4:FV374))</f>
        <v>-0.79042852771570116</v>
      </c>
      <c r="GC374" s="200" t="str">
        <f t="shared" si="626"/>
        <v/>
      </c>
      <c r="GD374" s="203">
        <f>IF($J374="",#N/A,SUM(GC$4:GC374))</f>
        <v>0</v>
      </c>
      <c r="GE374" s="204" t="str">
        <f t="shared" si="627"/>
        <v/>
      </c>
      <c r="GF374" s="204">
        <f>IF($J374="",#N/A,SUM(GE$4:GE374))</f>
        <v>0</v>
      </c>
      <c r="GG374" s="205" t="str">
        <f t="shared" si="628"/>
        <v/>
      </c>
      <c r="GH374" s="205">
        <f>IF($J374="",#N/A,SUM(GG$4:GG374))</f>
        <v>-2.9368362277223206</v>
      </c>
      <c r="GI374" s="205">
        <f>IF($J374="",#N/A,SUM(GG$4:GG374,GE$4:GE374,GC$4:GC374))</f>
        <v>-2.9368362277223206</v>
      </c>
      <c r="GJ374" s="200" t="str">
        <f t="shared" si="629"/>
        <v/>
      </c>
      <c r="GK374" s="203">
        <f>IF($J374="",#N/A,SUM(GJ$4:GJ374))</f>
        <v>0</v>
      </c>
      <c r="GL374" s="204" t="str">
        <f t="shared" si="630"/>
        <v/>
      </c>
      <c r="GM374" s="204">
        <f>IF($J374="",#N/A,SUM(GL$4:GL374))</f>
        <v>-2.0621307233432784</v>
      </c>
      <c r="GN374" s="205" t="str">
        <f t="shared" si="631"/>
        <v/>
      </c>
      <c r="GO374" s="205">
        <f>IF($J374="",#N/A,SUM(GN$4:GN374))</f>
        <v>0</v>
      </c>
      <c r="GP374" s="205">
        <f>IF($J374="",#N/A,SUM(GN$4:GN374,GL$4:GL374,GJ$4:GJ374))</f>
        <v>-2.0621307233432784</v>
      </c>
      <c r="GS374" s="54" t="str">
        <f t="shared" si="650"/>
        <v/>
      </c>
      <c r="GT374" s="54" t="e">
        <f>IF(GS374="",NA(),SUM($GS$4:GS374))</f>
        <v>#N/A</v>
      </c>
      <c r="GU374" s="54" t="str">
        <f t="shared" si="632"/>
        <v/>
      </c>
      <c r="GV374" s="54" t="e">
        <f>IF(GU374="",NA(),SUM($GU$4:GU374))</f>
        <v>#N/A</v>
      </c>
      <c r="GW374" s="54" t="str">
        <f t="shared" si="633"/>
        <v/>
      </c>
      <c r="GX374" s="54" t="e">
        <f>IF(GW374="",NA(),SUM($GW$4:GW374))</f>
        <v>#N/A</v>
      </c>
      <c r="GY374" s="54" t="str">
        <f t="shared" si="634"/>
        <v/>
      </c>
      <c r="GZ374" s="54" t="e">
        <f>IF(GY374="",NA(),SUM($GY$4:GY374))</f>
        <v>#N/A</v>
      </c>
      <c r="HA374" s="54">
        <f t="shared" si="635"/>
        <v>0.27894002789400346</v>
      </c>
      <c r="HB374" s="54">
        <f>IF(HA374="",NA(),SUM($HA$4:HA374))</f>
        <v>-2.3719866567458912</v>
      </c>
      <c r="HC374" s="54">
        <f t="shared" si="636"/>
        <v>0.27894002789400346</v>
      </c>
      <c r="HD374" s="54">
        <f>IF(HC374="",NA(),SUM($HC$4:HC374))</f>
        <v>-0.84481348498243181</v>
      </c>
      <c r="HE374" s="54" t="str">
        <f t="shared" si="637"/>
        <v/>
      </c>
      <c r="HF374" s="54" t="e">
        <f>IF(HE374="",NA(),SUM($HE$4:HE374))</f>
        <v>#N/A</v>
      </c>
      <c r="HG374" s="54" t="str">
        <f t="shared" si="638"/>
        <v/>
      </c>
      <c r="HH374" s="54" t="e">
        <f>IF(HG374="",NA(),SUM($HG$4:HG374))</f>
        <v>#N/A</v>
      </c>
      <c r="HI374" s="172" t="str">
        <f t="shared" si="651"/>
        <v/>
      </c>
      <c r="HJ374" s="172">
        <f>IF($J374="",#N/A,SUM(HI$4:$HI374))</f>
        <v>-10.162234665497841</v>
      </c>
      <c r="HK374" s="54" t="str">
        <f t="shared" si="639"/>
        <v/>
      </c>
      <c r="HL374" s="54">
        <f>IF($J374="",#N/A,SUM($HK$4:HK374))</f>
        <v>7.4780353515533324</v>
      </c>
      <c r="HM374" s="54">
        <f t="shared" si="640"/>
        <v>-0.91712100080301173</v>
      </c>
      <c r="HN374" s="54">
        <f>IF($J374="",#N/A,SUM($HM$4:HM374))</f>
        <v>-1.0806776566755429</v>
      </c>
      <c r="HO374" s="54" t="str">
        <f t="shared" si="641"/>
        <v/>
      </c>
      <c r="HP374" s="54">
        <f>IF($J374="",#N/A,SUM($HO$4:HO374))</f>
        <v>-0.26668580414118226</v>
      </c>
      <c r="HQ374" s="54" t="str">
        <f t="shared" si="642"/>
        <v/>
      </c>
      <c r="HR374" s="54">
        <f>IF($J374="",#N/A,SUM($HQ$4:HQ374))</f>
        <v>-10.782364928173847</v>
      </c>
      <c r="HS374" s="54" t="str">
        <f t="shared" si="643"/>
        <v/>
      </c>
      <c r="HT374" s="54">
        <f>IF($J374="",#N/A,SUM($HS$4:HS374))</f>
        <v>13.756588671225847</v>
      </c>
      <c r="HU374" s="65">
        <f t="shared" si="644"/>
        <v>-0.63818097290900822</v>
      </c>
      <c r="HV374" s="65">
        <f>IF($J374="",#N/A,SUM(HU$4:$HU374))</f>
        <v>8.6093698546312272</v>
      </c>
    </row>
    <row r="375" spans="1:230" x14ac:dyDescent="0.25">
      <c r="A375" s="51" t="s">
        <v>1103</v>
      </c>
      <c r="B375" s="52" t="s">
        <v>5547</v>
      </c>
      <c r="C375" s="229">
        <f t="shared" si="545"/>
        <v>3</v>
      </c>
      <c r="D375" s="219" t="str">
        <f>_xlfn.XLOOKUP(A375,[1]SP500!$A$2:$A$502,[1]SP500!$D$2:$D$502,"N")</f>
        <v>Y</v>
      </c>
      <c r="E375" s="51" t="str">
        <f>IFERROR(_xlfn.XLOOKUP(A375,[1]SP500!$A$2:$A$655,[1]SP500!$B$2:$B$655),"")</f>
        <v>SMH</v>
      </c>
      <c r="F375" s="290">
        <v>45805</v>
      </c>
      <c r="G375" s="51" t="str">
        <f t="shared" si="546"/>
        <v>AMC</v>
      </c>
      <c r="H375" s="51" t="str">
        <f t="shared" si="547"/>
        <v>s</v>
      </c>
      <c r="I375" s="344">
        <v>134.81</v>
      </c>
      <c r="J375" s="124">
        <v>142.25</v>
      </c>
      <c r="K375" s="55">
        <f t="shared" si="548"/>
        <v>5.5188784214820839E-2</v>
      </c>
      <c r="L375" s="67">
        <f t="shared" si="549"/>
        <v>74.400000000000091</v>
      </c>
      <c r="M375" s="57">
        <f t="shared" si="550"/>
        <v>-2.2999999999999545</v>
      </c>
      <c r="N375" s="102">
        <f t="shared" si="551"/>
        <v>74.400000000000091</v>
      </c>
      <c r="O375" s="57">
        <f>IF(N375="",#N/A,SUM($N$4:N375))</f>
        <v>375.24937556162502</v>
      </c>
      <c r="P375" s="65">
        <f t="shared" si="645"/>
        <v>0.91981307024701553</v>
      </c>
      <c r="Q375" s="172">
        <f>IF($N375="",#N/A,SUM($P$4:P375))</f>
        <v>11.082695412455022</v>
      </c>
      <c r="R375" s="279">
        <f t="shared" si="552"/>
        <v>7.6316502435312144</v>
      </c>
      <c r="S375" s="51" t="str">
        <f t="shared" si="553"/>
        <v>SW</v>
      </c>
      <c r="T375" s="51" t="s">
        <v>2828</v>
      </c>
      <c r="U375" s="56">
        <f t="shared" si="554"/>
        <v>134.81</v>
      </c>
      <c r="V375" s="56" t="s">
        <v>4460</v>
      </c>
      <c r="W375" s="142">
        <v>10</v>
      </c>
      <c r="X375" s="145">
        <f t="shared" si="555"/>
        <v>1348.1</v>
      </c>
      <c r="Y375" s="140">
        <f t="shared" si="556"/>
        <v>10</v>
      </c>
      <c r="Z375" s="141">
        <v>142.02000000000001</v>
      </c>
      <c r="AA375" s="102">
        <f t="shared" si="557"/>
        <v>72.100000000000136</v>
      </c>
      <c r="AB375" s="102">
        <f t="shared" si="558"/>
        <v>43.800000000000182</v>
      </c>
      <c r="AC375" s="124">
        <v>139.19</v>
      </c>
      <c r="AD375" s="155">
        <f t="shared" si="559"/>
        <v>43.800000000000182</v>
      </c>
      <c r="AE375" s="545">
        <f t="shared" si="560"/>
        <v>0.54150285587122848</v>
      </c>
      <c r="AF375" s="57">
        <f>IF($AC375="",#N/A,SUM(AD$4:AD375))</f>
        <v>481.25239714744907</v>
      </c>
      <c r="AG375" s="102">
        <f t="shared" si="561"/>
        <v>-30.599999999999909</v>
      </c>
      <c r="AH375" s="56" t="s">
        <v>2507</v>
      </c>
      <c r="AI375" s="65">
        <f t="shared" si="562"/>
        <v>0.89137798877432606</v>
      </c>
      <c r="AJ375" s="108">
        <f>IF(AI375="",#N/A,SUM($AI$4:AI375))</f>
        <v>3.451045168923808</v>
      </c>
      <c r="AK375" s="57">
        <f t="shared" si="563"/>
        <v>72.100000000000136</v>
      </c>
      <c r="AL375" s="66">
        <f>IF(AI375="",#N/A,IF(AH375="Skip",SUM($AK$4:AK375),SUM($AK$4:AK375)))</f>
        <v>-143.64763072151777</v>
      </c>
      <c r="AM375" s="65">
        <f t="shared" si="646"/>
        <v>0.54150285587122848</v>
      </c>
      <c r="AN375" s="209"/>
      <c r="AO375" s="65">
        <f t="shared" si="564"/>
        <v>0.54150285587122848</v>
      </c>
      <c r="AP375" s="65">
        <f>IF($AC375="",#N/A,SUM(AO$4:AO375))</f>
        <v>11.674075929277137</v>
      </c>
      <c r="AQ375" s="65" t="str">
        <f t="shared" si="565"/>
        <v/>
      </c>
      <c r="AR375" s="65">
        <f>IF($AC375="",#N/A,SUM(AQ$4:AQ375))</f>
        <v>-8.5442123483768615</v>
      </c>
      <c r="AS375" s="65" t="str">
        <f t="shared" si="566"/>
        <v/>
      </c>
      <c r="AT375" s="65">
        <f>IF($AC375="",#N/A,SUM(AS$4:AS375))</f>
        <v>6.0210091296021728</v>
      </c>
      <c r="AU375" s="57">
        <f t="shared" si="647"/>
        <v>43.800000000000182</v>
      </c>
      <c r="AV375" s="57">
        <f>IF($AC375="",#N/A,SUM(AU$4:AU375))</f>
        <v>674.49627194988034</v>
      </c>
      <c r="AW375" s="57" t="str">
        <f t="shared" si="648"/>
        <v/>
      </c>
      <c r="AX375" s="57">
        <f>IF($AC375="",#N/A,SUM(AW$4:AW375))</f>
        <v>-635.20106797961103</v>
      </c>
      <c r="AY375" s="57" t="str">
        <f t="shared" si="649"/>
        <v/>
      </c>
      <c r="AZ375" s="57">
        <f>IF($AC375="",#N/A,SUM(AY$4:AY375))</f>
        <v>441.95719317717965</v>
      </c>
      <c r="BA375" s="57">
        <f>IF(AD375="",#N/A,SUM($AD$4:AD375))</f>
        <v>481.25239714744907</v>
      </c>
      <c r="BC375" s="51" t="str">
        <f t="shared" si="567"/>
        <v/>
      </c>
      <c r="BD375" s="51" t="str">
        <f t="shared" si="568"/>
        <v/>
      </c>
      <c r="BE375" s="51">
        <f t="shared" si="569"/>
        <v>1</v>
      </c>
      <c r="BF375" s="51" t="str">
        <f t="shared" si="570"/>
        <v>Long</v>
      </c>
      <c r="BG375" s="51" t="str">
        <f t="shared" si="571"/>
        <v/>
      </c>
      <c r="BH375" s="51" t="str">
        <f t="shared" si="572"/>
        <v/>
      </c>
      <c r="BI375" s="51" t="str">
        <f t="shared" si="573"/>
        <v/>
      </c>
      <c r="BK375" s="65">
        <f t="shared" si="653"/>
        <v>-0.17052729374553305</v>
      </c>
      <c r="BL375" s="65">
        <f t="shared" si="652"/>
        <v>-0.15542621271587961</v>
      </c>
      <c r="BM375" s="65">
        <f>IFERROR(Q375/COUNTA($J$4:J375),#N/A)</f>
        <v>2.9792191968965112E-2</v>
      </c>
      <c r="BO375" s="489">
        <f>IF(J375="",#N/A,IF(S375="SW",(COUNTIFS(K$4:$K375,"&gt;0",S$4:$S375,"SW")/COUNTIF(S$4:$S375,"SW")),#N/A))</f>
        <v>0.50568181818181823</v>
      </c>
      <c r="BP375" s="489" t="e">
        <f>IF($J375="",#N/A,IF($S375="DWN",(COUNTIFS($K$4:$K375,"&lt;0",$S$4:$S375,"DWN")/COUNTIF($S$4:$S375,"DWN")),#N/A))</f>
        <v>#N/A</v>
      </c>
      <c r="BQ375" s="489" t="e">
        <f>IF($J375="",#N/A,IF($S375="UP",(COUNTIFS($K$4:$K375,"&gt;0",$S$4:$S375,"UP")/COUNTIF($S$4:$S375,"UP")),#N/A))</f>
        <v>#N/A</v>
      </c>
      <c r="BR375" s="489">
        <f>IF(J375="",#N/A,COUNTIF($K$4:K375,"&gt;0")/COUNT($J$4:J375))</f>
        <v>0.47580645161290325</v>
      </c>
      <c r="BS375" s="65">
        <f t="shared" si="574"/>
        <v>0.91981307024701553</v>
      </c>
      <c r="BT375" s="65" t="str">
        <f t="shared" si="575"/>
        <v/>
      </c>
      <c r="BU375" s="65" t="str">
        <f t="shared" si="576"/>
        <v/>
      </c>
      <c r="BV375" s="65" t="str">
        <f t="shared" si="577"/>
        <v/>
      </c>
      <c r="BW375" s="128" t="str">
        <f t="shared" si="578"/>
        <v/>
      </c>
      <c r="BX375" s="128">
        <f>IF($J375="",#N/A,SUM($BW$4:BW375))</f>
        <v>-529.09817034792877</v>
      </c>
      <c r="BY375" s="131" t="str">
        <f t="shared" si="579"/>
        <v/>
      </c>
      <c r="BZ375" s="131">
        <f>IF($J375="",#N/A,SUM($BY$4:BY375))</f>
        <v>391.5616134613947</v>
      </c>
      <c r="CA375" s="133">
        <f t="shared" si="580"/>
        <v>74.400000000000091</v>
      </c>
      <c r="CB375" s="133">
        <f>IF($J375="",#N/A,SUM($CA$4:CA375))</f>
        <v>512.78593244815886</v>
      </c>
      <c r="CC375" s="194" t="str">
        <f t="shared" si="581"/>
        <v/>
      </c>
      <c r="CD375" s="194">
        <f>IF($J375="",#N/A,SUM($CC$4:CC375))</f>
        <v>-7.1968488875601349</v>
      </c>
      <c r="CE375" s="195" t="str">
        <f t="shared" si="582"/>
        <v/>
      </c>
      <c r="CF375" s="195">
        <f>IF($J375="",#N/A,SUM($CE$4:CE375))</f>
        <v>8.7052084435466917</v>
      </c>
      <c r="CG375" s="196">
        <f t="shared" si="583"/>
        <v>0.91981307024701553</v>
      </c>
      <c r="CH375" s="196">
        <f>IF($J375="",#N/A,SUM($CG$4:CG375))</f>
        <v>9.5743358564684762</v>
      </c>
      <c r="CI375" s="200" t="str">
        <f t="shared" si="584"/>
        <v/>
      </c>
      <c r="CJ375" s="203">
        <f>IF($J375="",#N/A,SUM(CI$4:CI375))</f>
        <v>0</v>
      </c>
      <c r="CK375" s="204" t="str">
        <f t="shared" si="585"/>
        <v/>
      </c>
      <c r="CL375" s="204">
        <f>IF($J375="",#N/A,SUM(CK$4:CK375))</f>
        <v>1.2912501745213723</v>
      </c>
      <c r="CM375" s="205" t="str">
        <f t="shared" si="586"/>
        <v/>
      </c>
      <c r="CN375" s="205">
        <f>IF($J375="",#N/A,SUM(CM$4:CM375))</f>
        <v>1.357235719871134</v>
      </c>
      <c r="CO375" s="205">
        <f>IF($J375="",#N/A,SUM(CM$4:CM375,CK$4:CK375,CI$4:CI375))</f>
        <v>2.6484858943925063</v>
      </c>
      <c r="CP375" s="200" t="str">
        <f t="shared" si="587"/>
        <v/>
      </c>
      <c r="CQ375" s="203">
        <f>IF($J375="",#N/A,SUM(CP$4:CP375))</f>
        <v>-3.6116753136693021</v>
      </c>
      <c r="CR375" s="204" t="str">
        <f t="shared" si="588"/>
        <v/>
      </c>
      <c r="CS375" s="204">
        <f>IF($J375="",#N/A,SUM(CR$4:CR375))</f>
        <v>2.3600225017004668</v>
      </c>
      <c r="CT375" s="205" t="str">
        <f t="shared" si="589"/>
        <v/>
      </c>
      <c r="CU375" s="205">
        <f>IF($J375="",#N/A,SUM(CT$4:CT375))</f>
        <v>-3.2469967661908816</v>
      </c>
      <c r="CV375" s="205">
        <f>IF($J375="",#N/A,SUM(CT$4:CT375,CR$4:CR375,CP$4:CP375))</f>
        <v>-4.4986495781597169</v>
      </c>
      <c r="CW375" s="200" t="str">
        <f t="shared" si="590"/>
        <v/>
      </c>
      <c r="CX375" s="203">
        <f>IF($J375="",#N/A,SUM(CW$4:CW375))</f>
        <v>-3.3082659491100586</v>
      </c>
      <c r="CY375" s="204" t="str">
        <f t="shared" si="591"/>
        <v/>
      </c>
      <c r="CZ375" s="204">
        <f>IF($J375="",#N/A,SUM(CY$4:CY375))</f>
        <v>-3.9836018577043975</v>
      </c>
      <c r="DA375" s="205" t="str">
        <f t="shared" si="592"/>
        <v/>
      </c>
      <c r="DB375" s="205">
        <f>IF($J375="",#N/A,SUM(DA$4:DA375))</f>
        <v>-3.6020278946927151</v>
      </c>
      <c r="DC375" s="205">
        <f>IF($J375="",#N/A,SUM(DA$4:DA375,CY$4:CY375,CW$4:CW375))</f>
        <v>-10.893895701507173</v>
      </c>
      <c r="DD375" s="200" t="str">
        <f t="shared" si="593"/>
        <v/>
      </c>
      <c r="DE375" s="203">
        <f>IF($J375="",#N/A,SUM(DD$4:DD375))</f>
        <v>1.6161029218801881</v>
      </c>
      <c r="DF375" s="204" t="str">
        <f t="shared" si="594"/>
        <v/>
      </c>
      <c r="DG375" s="204">
        <f>IF($J375="",#N/A,SUM(DF$4:DF375))</f>
        <v>4.1810385231482243</v>
      </c>
      <c r="DH375" s="205" t="str">
        <f t="shared" si="595"/>
        <v/>
      </c>
      <c r="DI375" s="205">
        <f>IF($J375="",#N/A,SUM(DH$4:DH375))</f>
        <v>0.1663851794688358</v>
      </c>
      <c r="DJ375" s="205">
        <f>IF($J375="",#N/A,SUM(DH$4:DH375,DF$4:DF375,DD$4:DD375))</f>
        <v>5.9635266244972476</v>
      </c>
      <c r="DK375" s="200" t="str">
        <f t="shared" si="596"/>
        <v/>
      </c>
      <c r="DL375" s="203">
        <f>IF($J375="",#N/A,SUM(DK$4:DK375))</f>
        <v>-0.84049791589649614</v>
      </c>
      <c r="DM375" s="204" t="str">
        <f t="shared" si="597"/>
        <v/>
      </c>
      <c r="DN375" s="204">
        <f>IF($J375="",#N/A,SUM(DM$4:DM375))</f>
        <v>1.8657648196498773</v>
      </c>
      <c r="DO375" s="205" t="str">
        <f t="shared" si="598"/>
        <v/>
      </c>
      <c r="DP375" s="205">
        <f>IF($J375="",#N/A,SUM(DO$4:DO375))</f>
        <v>3.4887162328793941</v>
      </c>
      <c r="DQ375" s="205">
        <f>IF($J375="",#N/A,SUM(DO$4:DO375,DM$4:DM375,DK$4:DK375))</f>
        <v>4.5139831366327758</v>
      </c>
      <c r="DR375" s="200" t="str">
        <f t="shared" si="599"/>
        <v/>
      </c>
      <c r="DS375" s="203">
        <f>IF($J375="",#N/A,SUM(DR$4:DR375))</f>
        <v>-0.55950946427675097</v>
      </c>
      <c r="DT375" s="204" t="str">
        <f t="shared" si="600"/>
        <v/>
      </c>
      <c r="DU375" s="204">
        <f>IF($J375="",#N/A,SUM(DT$4:DT375))</f>
        <v>-0.20750635820596686</v>
      </c>
      <c r="DV375" s="205" t="str">
        <f t="shared" si="601"/>
        <v/>
      </c>
      <c r="DW375" s="205">
        <f>IF($J375="",#N/A,SUM(DV$4:DV375))</f>
        <v>-2.3377035686214001</v>
      </c>
      <c r="DX375" s="205">
        <f>IF($J375="",#N/A,SUM(DV$4:DV375,DT$4:DT375,DR$4:DR375))</f>
        <v>-3.1047193911041169</v>
      </c>
      <c r="DY375" s="200" t="str">
        <f t="shared" si="602"/>
        <v/>
      </c>
      <c r="DZ375" s="203">
        <f>IF($J375="",#N/A,SUM(DY$4:DY375))</f>
        <v>-1.4146842415208627</v>
      </c>
      <c r="EA375" s="204" t="str">
        <f t="shared" si="603"/>
        <v/>
      </c>
      <c r="EB375" s="204">
        <f>IF($J375="",#N/A,SUM(EA$4:EA375))</f>
        <v>4.3184391548878134</v>
      </c>
      <c r="EC375" s="205" t="str">
        <f t="shared" si="604"/>
        <v/>
      </c>
      <c r="ED375" s="205">
        <f>IF($J375="",#N/A,SUM(EC$4:EC375))</f>
        <v>8.4384553208490907</v>
      </c>
      <c r="EE375" s="205">
        <f>IF($J375="",#N/A,SUM(EC$4:EC375,EA$4:EA375,DY$4:DY375))</f>
        <v>11.342210234216044</v>
      </c>
      <c r="EF375" s="200" t="str">
        <f t="shared" si="605"/>
        <v/>
      </c>
      <c r="EG375" s="203">
        <f>IF($J375="",#N/A,SUM(EF$4:EF375))</f>
        <v>0.65848341369884777</v>
      </c>
      <c r="EH375" s="204" t="str">
        <f t="shared" si="606"/>
        <v/>
      </c>
      <c r="EI375" s="204">
        <f>IF($J375="",#N/A,SUM(EH$4:EH375))</f>
        <v>-3.5125331561187787</v>
      </c>
      <c r="EJ375" s="205" t="str">
        <f t="shared" si="607"/>
        <v/>
      </c>
      <c r="EK375" s="205">
        <f>IF($J375="",#N/A,SUM(EJ$4:EJ375))</f>
        <v>8.4840381642896556</v>
      </c>
      <c r="EL375" s="205">
        <f>IF($J375="",#N/A,SUM(EJ$4:EJ375,EH$4:EH375,EF$4:EF375))</f>
        <v>5.6299884218697258</v>
      </c>
      <c r="EM375" s="200" t="str">
        <f t="shared" si="608"/>
        <v/>
      </c>
      <c r="EN375" s="203">
        <f>IF($J375="",#N/A,SUM(EM$4:EM375))</f>
        <v>0</v>
      </c>
      <c r="EO375" s="204" t="str">
        <f t="shared" si="609"/>
        <v/>
      </c>
      <c r="EP375" s="204">
        <f>IF($J375="",#N/A,SUM(EO$4:EO375))</f>
        <v>2.4788862078089964</v>
      </c>
      <c r="EQ375" s="205" t="str">
        <f t="shared" si="610"/>
        <v/>
      </c>
      <c r="ER375" s="205">
        <f>IF($J375="",#N/A,SUM(EQ$4:EQ375))</f>
        <v>1.7856049065476487</v>
      </c>
      <c r="ES375" s="205">
        <f>IF($J375="",#N/A,SUM(EQ$4:EQ375,EO$4:EO375,EM$4:EM375))</f>
        <v>4.2644911143566446</v>
      </c>
      <c r="ET375" s="200" t="str">
        <f t="shared" si="611"/>
        <v/>
      </c>
      <c r="EU375" s="203">
        <f>IF($J375="",#N/A,SUM(ET$4:ET375))</f>
        <v>0</v>
      </c>
      <c r="EV375" s="204" t="str">
        <f t="shared" si="612"/>
        <v/>
      </c>
      <c r="EW375" s="204">
        <f>IF($J375="",#N/A,SUM(EV$4:EV375))</f>
        <v>7.9116394275462909E-2</v>
      </c>
      <c r="EX375" s="205">
        <f t="shared" si="613"/>
        <v>0.91981307024701553</v>
      </c>
      <c r="EY375" s="205">
        <f>IF($J375="",#N/A,SUM(EX$4:EX375))</f>
        <v>0.62848633887309935</v>
      </c>
      <c r="EZ375" s="205">
        <f>IF($J375="",#N/A,SUM(EX$4:EX375,EV$4:EV375,ET$4:ET375))</f>
        <v>0.70760273314856192</v>
      </c>
      <c r="FA375" s="200" t="str">
        <f t="shared" si="614"/>
        <v/>
      </c>
      <c r="FB375" s="203">
        <f>IF($J375="",#N/A,SUM(FA$4:FA375))</f>
        <v>-0.27145310509113252</v>
      </c>
      <c r="FC375" s="204" t="str">
        <f t="shared" si="615"/>
        <v/>
      </c>
      <c r="FD375" s="204">
        <f>IF($J375="",#N/A,SUM(FC$4:FC375))</f>
        <v>0.89084290967454072</v>
      </c>
      <c r="FE375" s="205" t="str">
        <f t="shared" si="616"/>
        <v/>
      </c>
      <c r="FF375" s="205">
        <f>IF($J375="",#N/A,SUM(FE$4:FE375))</f>
        <v>-0.28811149078748233</v>
      </c>
      <c r="FG375" s="205">
        <f>IF($J375="",#N/A,SUM(FE$4:FE375,FC$4:FC375,FA$4:FA375))</f>
        <v>0.3312783137959262</v>
      </c>
      <c r="FH375" s="200" t="str">
        <f t="shared" si="617"/>
        <v/>
      </c>
      <c r="FI375" s="203">
        <f>IF($J375="",#N/A,SUM(FH$4:FH375))</f>
        <v>0</v>
      </c>
      <c r="FJ375" s="204" t="str">
        <f t="shared" si="618"/>
        <v/>
      </c>
      <c r="FK375" s="204">
        <f>IF($J375="",#N/A,SUM(FJ$4:FJ375))</f>
        <v>0</v>
      </c>
      <c r="FL375" s="205" t="str">
        <f t="shared" si="619"/>
        <v/>
      </c>
      <c r="FM375" s="205">
        <f>IF($J375="",#N/A,SUM(FL$4:FL375))</f>
        <v>0</v>
      </c>
      <c r="FN375" s="205">
        <f>IF($J375="",#N/A,SUM(FL$4:FL375,FJ$4:FJ375,FH$4:FH375))</f>
        <v>0</v>
      </c>
      <c r="FO375" s="200" t="str">
        <f t="shared" si="620"/>
        <v/>
      </c>
      <c r="FP375" s="203">
        <f>IF($J375="",#N/A,SUM(FO$4:FO375))</f>
        <v>0</v>
      </c>
      <c r="FQ375" s="204" t="str">
        <f t="shared" si="621"/>
        <v/>
      </c>
      <c r="FR375" s="204">
        <f>IF($J375="",#N/A,SUM(FQ$4:FQ375))</f>
        <v>0</v>
      </c>
      <c r="FS375" s="205" t="str">
        <f t="shared" si="622"/>
        <v/>
      </c>
      <c r="FT375" s="205">
        <f>IF($J375="",#N/A,SUM(FS$4:FS375))</f>
        <v>0</v>
      </c>
      <c r="FU375" s="205">
        <f>IF($J375="",#N/A,SUM(FS$4:FS375,FQ$4:FQ375,FO$4:FO375))</f>
        <v>0</v>
      </c>
      <c r="FV375" s="200" t="str">
        <f t="shared" si="623"/>
        <v/>
      </c>
      <c r="FW375" s="203">
        <f>IF($J375="",#N/A,SUM(FV$4:FV375))</f>
        <v>6.6834991831277585E-2</v>
      </c>
      <c r="FX375" s="204" t="str">
        <f t="shared" si="624"/>
        <v/>
      </c>
      <c r="FY375" s="204">
        <f>IF($J375="",#N/A,SUM(FX$4:FX375))</f>
        <v>-0.16102012791805576</v>
      </c>
      <c r="FZ375" s="205" t="str">
        <f t="shared" si="625"/>
        <v/>
      </c>
      <c r="GA375" s="205">
        <f>IF($J375="",#N/A,SUM(FZ$4:FZ375))</f>
        <v>-0.69624339162892301</v>
      </c>
      <c r="GB375" s="205">
        <f>IF($J375="",#N/A,SUM(FZ$4:FZ375,FX$4:FX375,FV$4:FV375))</f>
        <v>-0.79042852771570116</v>
      </c>
      <c r="GC375" s="200" t="str">
        <f t="shared" si="626"/>
        <v/>
      </c>
      <c r="GD375" s="203">
        <f>IF($J375="",#N/A,SUM(GC$4:GC375))</f>
        <v>0</v>
      </c>
      <c r="GE375" s="204" t="str">
        <f t="shared" si="627"/>
        <v/>
      </c>
      <c r="GF375" s="204">
        <f>IF($J375="",#N/A,SUM(GE$4:GE375))</f>
        <v>0</v>
      </c>
      <c r="GG375" s="205" t="str">
        <f t="shared" si="628"/>
        <v/>
      </c>
      <c r="GH375" s="205">
        <f>IF($J375="",#N/A,SUM(GG$4:GG375))</f>
        <v>-2.9368362277223206</v>
      </c>
      <c r="GI375" s="205">
        <f>IF($J375="",#N/A,SUM(GG$4:GG375,GE$4:GE375,GC$4:GC375))</f>
        <v>-2.9368362277223206</v>
      </c>
      <c r="GJ375" s="200" t="str">
        <f t="shared" si="629"/>
        <v/>
      </c>
      <c r="GK375" s="203">
        <f>IF($J375="",#N/A,SUM(GJ$4:GJ375))</f>
        <v>0</v>
      </c>
      <c r="GL375" s="204" t="str">
        <f t="shared" si="630"/>
        <v/>
      </c>
      <c r="GM375" s="204">
        <f>IF($J375="",#N/A,SUM(GL$4:GL375))</f>
        <v>-2.0621307233432784</v>
      </c>
      <c r="GN375" s="205" t="str">
        <f t="shared" si="631"/>
        <v/>
      </c>
      <c r="GO375" s="205">
        <f>IF($J375="",#N/A,SUM(GN$4:GN375))</f>
        <v>0</v>
      </c>
      <c r="GP375" s="205">
        <f>IF($J375="",#N/A,SUM(GN$4:GN375,GL$4:GL375,GJ$4:GJ375))</f>
        <v>-2.0621307233432784</v>
      </c>
      <c r="GS375" s="54">
        <f t="shared" si="650"/>
        <v>0.91981307024701553</v>
      </c>
      <c r="GT375" s="54">
        <f>IF(GS375="",NA(),SUM($GS$4:GS375))</f>
        <v>13.454682069200913</v>
      </c>
      <c r="GU375" s="54" t="str">
        <f t="shared" si="632"/>
        <v/>
      </c>
      <c r="GV375" s="54" t="e">
        <f>IF(GU375="",NA(),SUM($GU$4:GU375))</f>
        <v>#N/A</v>
      </c>
      <c r="GW375" s="54">
        <f t="shared" si="633"/>
        <v>0.91981307024701553</v>
      </c>
      <c r="GX375" s="54">
        <f>IF(GW375="",NA(),SUM($GW$4:GW375))</f>
        <v>9.8447669635006054</v>
      </c>
      <c r="GY375" s="54" t="str">
        <f t="shared" si="634"/>
        <v/>
      </c>
      <c r="GZ375" s="54" t="e">
        <f>IF(GY375="",NA(),SUM($GY$4:GY375))</f>
        <v>#N/A</v>
      </c>
      <c r="HA375" s="54" t="str">
        <f t="shared" si="635"/>
        <v/>
      </c>
      <c r="HB375" s="54" t="e">
        <f>IF(HA375="",NA(),SUM($HA$4:HA375))</f>
        <v>#N/A</v>
      </c>
      <c r="HC375" s="54" t="str">
        <f t="shared" si="636"/>
        <v/>
      </c>
      <c r="HD375" s="54" t="e">
        <f>IF(HC375="",NA(),SUM($HC$4:HC375))</f>
        <v>#N/A</v>
      </c>
      <c r="HE375" s="54" t="str">
        <f t="shared" si="637"/>
        <v/>
      </c>
      <c r="HF375" s="54" t="e">
        <f>IF(HE375="",NA(),SUM($HE$4:HE375))</f>
        <v>#N/A</v>
      </c>
      <c r="HG375" s="54" t="str">
        <f t="shared" si="638"/>
        <v/>
      </c>
      <c r="HH375" s="54" t="e">
        <f>IF(HG375="",NA(),SUM($HG$4:HG375))</f>
        <v>#N/A</v>
      </c>
      <c r="HI375" s="172" t="str">
        <f t="shared" si="651"/>
        <v/>
      </c>
      <c r="HJ375" s="172">
        <f>IF($J375="",#N/A,SUM(HI$4:$HI375))</f>
        <v>-10.162234665497841</v>
      </c>
      <c r="HK375" s="54" t="str">
        <f t="shared" si="639"/>
        <v/>
      </c>
      <c r="HL375" s="54">
        <f>IF($J375="",#N/A,SUM($HK$4:HK375))</f>
        <v>7.4780353515533324</v>
      </c>
      <c r="HM375" s="54" t="str">
        <f t="shared" si="640"/>
        <v/>
      </c>
      <c r="HN375" s="54">
        <f>IF($J375="",#N/A,SUM($HM$4:HM375))</f>
        <v>-1.0806776566755429</v>
      </c>
      <c r="HO375" s="54" t="str">
        <f t="shared" si="641"/>
        <v/>
      </c>
      <c r="HP375" s="54">
        <f>IF($J375="",#N/A,SUM($HO$4:HO375))</f>
        <v>-0.26668580414118226</v>
      </c>
      <c r="HQ375" s="54">
        <f t="shared" si="642"/>
        <v>-0.37831021437578705</v>
      </c>
      <c r="HR375" s="54">
        <f>IF($J375="",#N/A,SUM($HQ$4:HQ375))</f>
        <v>-11.160675142549634</v>
      </c>
      <c r="HS375" s="54" t="str">
        <f t="shared" si="643"/>
        <v/>
      </c>
      <c r="HT375" s="54">
        <f>IF($J375="",#N/A,SUM($HS$4:HS375))</f>
        <v>13.756588671225847</v>
      </c>
      <c r="HU375" s="65">
        <f t="shared" si="644"/>
        <v>0.54150285587122848</v>
      </c>
      <c r="HV375" s="65">
        <f>IF($J375="",#N/A,SUM(HU$4:$HU375))</f>
        <v>9.1508727105024548</v>
      </c>
    </row>
    <row r="376" spans="1:230" x14ac:dyDescent="0.25">
      <c r="A376" s="51" t="s">
        <v>1177</v>
      </c>
      <c r="B376" s="52" t="s">
        <v>5547</v>
      </c>
      <c r="C376" s="229">
        <f t="shared" si="545"/>
        <v>3</v>
      </c>
      <c r="D376" s="219" t="str">
        <f>_xlfn.XLOOKUP(A376,[1]SP500!$A$2:$A$502,[1]SP500!$D$2:$D$502,"N")</f>
        <v>Y</v>
      </c>
      <c r="E376" s="51" t="str">
        <f>IFERROR(_xlfn.XLOOKUP(A376,[1]SP500!$A$2:$A$655,[1]SP500!$B$2:$B$655),"")</f>
        <v>IGV</v>
      </c>
      <c r="F376" s="290">
        <v>45805</v>
      </c>
      <c r="G376" s="51" t="str">
        <f t="shared" si="546"/>
        <v>AMC</v>
      </c>
      <c r="H376" s="51" t="str">
        <f t="shared" si="547"/>
        <v>s</v>
      </c>
      <c r="I376" s="344">
        <v>276.02999999999997</v>
      </c>
      <c r="J376" s="124">
        <v>263.58999999999997</v>
      </c>
      <c r="K376" s="55">
        <f t="shared" si="548"/>
        <v>-4.5067565119733359E-2</v>
      </c>
      <c r="L376" s="67">
        <f t="shared" si="549"/>
        <v>-62.200000000000045</v>
      </c>
      <c r="M376" s="57">
        <f t="shared" si="550"/>
        <v>-20.349999999999909</v>
      </c>
      <c r="N376" s="102">
        <f t="shared" si="551"/>
        <v>-62.200000000000045</v>
      </c>
      <c r="O376" s="57">
        <f>IF(N376="",#N/A,SUM($N$4:N376))</f>
        <v>313.04937556162497</v>
      </c>
      <c r="P376" s="65">
        <f t="shared" si="645"/>
        <v>-0.75112608532889003</v>
      </c>
      <c r="Q376" s="172">
        <f>IF($N376="",#N/A,SUM($P$4:P376))</f>
        <v>10.331569327126132</v>
      </c>
      <c r="R376" s="279">
        <f t="shared" si="552"/>
        <v>7.8773964788438002</v>
      </c>
      <c r="S376" s="51" t="str">
        <f t="shared" si="553"/>
        <v>SW</v>
      </c>
      <c r="T376" s="51" t="s">
        <v>2828</v>
      </c>
      <c r="U376" s="56">
        <f t="shared" si="554"/>
        <v>276.02999999999997</v>
      </c>
      <c r="V376" s="56" t="s">
        <v>4460</v>
      </c>
      <c r="W376" s="142">
        <v>5</v>
      </c>
      <c r="X376" s="145">
        <f t="shared" si="555"/>
        <v>1380.1499999999999</v>
      </c>
      <c r="Y376" s="140">
        <f t="shared" si="556"/>
        <v>5</v>
      </c>
      <c r="Z376" s="141">
        <v>259.52</v>
      </c>
      <c r="AA376" s="102">
        <f t="shared" si="557"/>
        <v>-82.549999999999955</v>
      </c>
      <c r="AB376" s="102">
        <f t="shared" si="558"/>
        <v>-45.549999999999727</v>
      </c>
      <c r="AC376" s="124">
        <v>266.92</v>
      </c>
      <c r="AD376" s="155">
        <f t="shared" si="559"/>
        <v>-45.549999999999727</v>
      </c>
      <c r="AE376" s="545">
        <f t="shared" si="560"/>
        <v>-0.55006098370949696</v>
      </c>
      <c r="AF376" s="57">
        <f>IF($AC376="",#N/A,SUM(AD$4:AD376))</f>
        <v>435.70239714744935</v>
      </c>
      <c r="AG376" s="102">
        <f t="shared" si="561"/>
        <v>16.650000000000318</v>
      </c>
      <c r="AH376" s="56" t="s">
        <v>2507</v>
      </c>
      <c r="AI376" s="65">
        <f t="shared" si="562"/>
        <v>-0.9968723206414758</v>
      </c>
      <c r="AJ376" s="108">
        <f>IF(AI376="",#N/A,SUM($AI$4:AI376))</f>
        <v>2.4541728482823322</v>
      </c>
      <c r="AK376" s="57">
        <f t="shared" si="563"/>
        <v>-82.549999999999955</v>
      </c>
      <c r="AL376" s="66">
        <f>IF(AI376="",#N/A,IF(AH376="Skip",SUM($AK$4:AK376),SUM($AK$4:AK376)))</f>
        <v>-226.19763072151773</v>
      </c>
      <c r="AM376" s="65">
        <f t="shared" si="646"/>
        <v>-0.55006098370949696</v>
      </c>
      <c r="AN376" s="209"/>
      <c r="AO376" s="65">
        <f t="shared" si="564"/>
        <v>-0.55006098370949696</v>
      </c>
      <c r="AP376" s="65">
        <f>IF($AC376="",#N/A,SUM(AO$4:AO376))</f>
        <v>11.124014945567641</v>
      </c>
      <c r="AQ376" s="65" t="str">
        <f t="shared" si="565"/>
        <v/>
      </c>
      <c r="AR376" s="65">
        <f>IF($AC376="",#N/A,SUM(AQ$4:AQ376))</f>
        <v>-8.5442123483768615</v>
      </c>
      <c r="AS376" s="65" t="str">
        <f t="shared" si="566"/>
        <v/>
      </c>
      <c r="AT376" s="65">
        <f>IF($AC376="",#N/A,SUM(AS$4:AS376))</f>
        <v>6.0210091296021728</v>
      </c>
      <c r="AU376" s="57">
        <f t="shared" si="647"/>
        <v>-45.549999999999727</v>
      </c>
      <c r="AV376" s="57">
        <f>IF($AC376="",#N/A,SUM(AU$4:AU376))</f>
        <v>628.94627194988061</v>
      </c>
      <c r="AW376" s="57" t="str">
        <f t="shared" si="648"/>
        <v/>
      </c>
      <c r="AX376" s="57">
        <f>IF($AC376="",#N/A,SUM(AW$4:AW376))</f>
        <v>-635.20106797961103</v>
      </c>
      <c r="AY376" s="57" t="str">
        <f t="shared" si="649"/>
        <v/>
      </c>
      <c r="AZ376" s="57">
        <f>IF($AC376="",#N/A,SUM(AY$4:AY376))</f>
        <v>441.95719317717965</v>
      </c>
      <c r="BA376" s="57">
        <f>IF(AD376="",#N/A,SUM($AD$4:AD376))</f>
        <v>435.70239714744935</v>
      </c>
      <c r="BC376" s="51" t="str">
        <f t="shared" si="567"/>
        <v/>
      </c>
      <c r="BD376" s="51" t="str">
        <f t="shared" si="568"/>
        <v/>
      </c>
      <c r="BE376" s="51" t="str">
        <f t="shared" si="569"/>
        <v/>
      </c>
      <c r="BF376" s="51" t="str">
        <f t="shared" si="570"/>
        <v>Long</v>
      </c>
      <c r="BG376" s="51" t="str">
        <f t="shared" si="571"/>
        <v/>
      </c>
      <c r="BH376" s="51" t="str">
        <f t="shared" si="572"/>
        <v/>
      </c>
      <c r="BI376" s="51">
        <f t="shared" si="573"/>
        <v>1</v>
      </c>
      <c r="BK376" s="65">
        <f t="shared" si="653"/>
        <v>-0.1522164821187775</v>
      </c>
      <c r="BL376" s="65">
        <f t="shared" si="652"/>
        <v>-0.1812910759488551</v>
      </c>
      <c r="BM376" s="65">
        <f>IFERROR(Q376/COUNTA($J$4:J376),#N/A)</f>
        <v>2.7698577284520461E-2</v>
      </c>
      <c r="BO376" s="489">
        <f>IF(J376="",#N/A,IF(S376="SW",(COUNTIFS(K$4:$K376,"&gt;0",S$4:$S376,"SW")/COUNTIF(S$4:$S376,"SW")),#N/A))</f>
        <v>0.50282485875706218</v>
      </c>
      <c r="BP376" s="489" t="e">
        <f>IF($J376="",#N/A,IF($S376="DWN",(COUNTIFS($K$4:$K376,"&lt;0",$S$4:$S376,"DWN")/COUNTIF($S$4:$S376,"DWN")),#N/A))</f>
        <v>#N/A</v>
      </c>
      <c r="BQ376" s="489" t="e">
        <f>IF($J376="",#N/A,IF($S376="UP",(COUNTIFS($K$4:$K376,"&gt;0",$S$4:$S376,"UP")/COUNTIF($S$4:$S376,"UP")),#N/A))</f>
        <v>#N/A</v>
      </c>
      <c r="BR376" s="489">
        <f>IF(J376="",#N/A,COUNTIF($K$4:K376,"&gt;0")/COUNT($J$4:J376))</f>
        <v>0.47453083109919569</v>
      </c>
      <c r="BS376" s="65" t="str">
        <f t="shared" si="574"/>
        <v/>
      </c>
      <c r="BT376" s="65">
        <f t="shared" si="575"/>
        <v>-0.75112608532889003</v>
      </c>
      <c r="BU376" s="65" t="str">
        <f t="shared" si="576"/>
        <v/>
      </c>
      <c r="BV376" s="65" t="str">
        <f t="shared" si="577"/>
        <v/>
      </c>
      <c r="BW376" s="128" t="str">
        <f t="shared" si="578"/>
        <v/>
      </c>
      <c r="BX376" s="128">
        <f>IF($J376="",#N/A,SUM($BW$4:BW376))</f>
        <v>-529.09817034792877</v>
      </c>
      <c r="BY376" s="131" t="str">
        <f t="shared" si="579"/>
        <v/>
      </c>
      <c r="BZ376" s="131">
        <f>IF($J376="",#N/A,SUM($BY$4:BY376))</f>
        <v>391.5616134613947</v>
      </c>
      <c r="CA376" s="133">
        <f t="shared" si="580"/>
        <v>-62.200000000000045</v>
      </c>
      <c r="CB376" s="133">
        <f>IF($J376="",#N/A,SUM($CA$4:CA376))</f>
        <v>450.58593244815881</v>
      </c>
      <c r="CC376" s="194" t="str">
        <f t="shared" si="581"/>
        <v/>
      </c>
      <c r="CD376" s="194">
        <f>IF($J376="",#N/A,SUM($CC$4:CC376))</f>
        <v>-7.1968488875601349</v>
      </c>
      <c r="CE376" s="195" t="str">
        <f t="shared" si="582"/>
        <v/>
      </c>
      <c r="CF376" s="195">
        <f>IF($J376="",#N/A,SUM($CE$4:CE376))</f>
        <v>8.7052084435466917</v>
      </c>
      <c r="CG376" s="196">
        <f t="shared" si="583"/>
        <v>-0.75112608532889003</v>
      </c>
      <c r="CH376" s="196">
        <f>IF($J376="",#N/A,SUM($CG$4:CG376))</f>
        <v>8.8232097711395863</v>
      </c>
      <c r="CI376" s="200" t="str">
        <f t="shared" si="584"/>
        <v/>
      </c>
      <c r="CJ376" s="203">
        <f>IF($J376="",#N/A,SUM(CI$4:CI376))</f>
        <v>0</v>
      </c>
      <c r="CK376" s="204" t="str">
        <f t="shared" si="585"/>
        <v/>
      </c>
      <c r="CL376" s="204">
        <f>IF($J376="",#N/A,SUM(CK$4:CK376))</f>
        <v>1.2912501745213723</v>
      </c>
      <c r="CM376" s="205" t="str">
        <f t="shared" si="586"/>
        <v/>
      </c>
      <c r="CN376" s="205">
        <f>IF($J376="",#N/A,SUM(CM$4:CM376))</f>
        <v>1.357235719871134</v>
      </c>
      <c r="CO376" s="205">
        <f>IF($J376="",#N/A,SUM(CM$4:CM376,CK$4:CK376,CI$4:CI376))</f>
        <v>2.6484858943925063</v>
      </c>
      <c r="CP376" s="200" t="str">
        <f t="shared" si="587"/>
        <v/>
      </c>
      <c r="CQ376" s="203">
        <f>IF($J376="",#N/A,SUM(CP$4:CP376))</f>
        <v>-3.6116753136693021</v>
      </c>
      <c r="CR376" s="204" t="str">
        <f t="shared" si="588"/>
        <v/>
      </c>
      <c r="CS376" s="204">
        <f>IF($J376="",#N/A,SUM(CR$4:CR376))</f>
        <v>2.3600225017004668</v>
      </c>
      <c r="CT376" s="205">
        <f t="shared" si="589"/>
        <v>-0.75112608532889003</v>
      </c>
      <c r="CU376" s="205">
        <f>IF($J376="",#N/A,SUM(CT$4:CT376))</f>
        <v>-3.9981228515197715</v>
      </c>
      <c r="CV376" s="205">
        <f>IF($J376="",#N/A,SUM(CT$4:CT376,CR$4:CR376,CP$4:CP376))</f>
        <v>-5.2497756634886068</v>
      </c>
      <c r="CW376" s="200" t="str">
        <f t="shared" si="590"/>
        <v/>
      </c>
      <c r="CX376" s="203">
        <f>IF($J376="",#N/A,SUM(CW$4:CW376))</f>
        <v>-3.3082659491100586</v>
      </c>
      <c r="CY376" s="204" t="str">
        <f t="shared" si="591"/>
        <v/>
      </c>
      <c r="CZ376" s="204">
        <f>IF($J376="",#N/A,SUM(CY$4:CY376))</f>
        <v>-3.9836018577043975</v>
      </c>
      <c r="DA376" s="205" t="str">
        <f t="shared" si="592"/>
        <v/>
      </c>
      <c r="DB376" s="205">
        <f>IF($J376="",#N/A,SUM(DA$4:DA376))</f>
        <v>-3.6020278946927151</v>
      </c>
      <c r="DC376" s="205">
        <f>IF($J376="",#N/A,SUM(DA$4:DA376,CY$4:CY376,CW$4:CW376))</f>
        <v>-10.893895701507173</v>
      </c>
      <c r="DD376" s="200" t="str">
        <f t="shared" si="593"/>
        <v/>
      </c>
      <c r="DE376" s="203">
        <f>IF($J376="",#N/A,SUM(DD$4:DD376))</f>
        <v>1.6161029218801881</v>
      </c>
      <c r="DF376" s="204" t="str">
        <f t="shared" si="594"/>
        <v/>
      </c>
      <c r="DG376" s="204">
        <f>IF($J376="",#N/A,SUM(DF$4:DF376))</f>
        <v>4.1810385231482243</v>
      </c>
      <c r="DH376" s="205" t="str">
        <f t="shared" si="595"/>
        <v/>
      </c>
      <c r="DI376" s="205">
        <f>IF($J376="",#N/A,SUM(DH$4:DH376))</f>
        <v>0.1663851794688358</v>
      </c>
      <c r="DJ376" s="205">
        <f>IF($J376="",#N/A,SUM(DH$4:DH376,DF$4:DF376,DD$4:DD376))</f>
        <v>5.9635266244972476</v>
      </c>
      <c r="DK376" s="200" t="str">
        <f t="shared" si="596"/>
        <v/>
      </c>
      <c r="DL376" s="203">
        <f>IF($J376="",#N/A,SUM(DK$4:DK376))</f>
        <v>-0.84049791589649614</v>
      </c>
      <c r="DM376" s="204" t="str">
        <f t="shared" si="597"/>
        <v/>
      </c>
      <c r="DN376" s="204">
        <f>IF($J376="",#N/A,SUM(DM$4:DM376))</f>
        <v>1.8657648196498773</v>
      </c>
      <c r="DO376" s="205" t="str">
        <f t="shared" si="598"/>
        <v/>
      </c>
      <c r="DP376" s="205">
        <f>IF($J376="",#N/A,SUM(DO$4:DO376))</f>
        <v>3.4887162328793941</v>
      </c>
      <c r="DQ376" s="205">
        <f>IF($J376="",#N/A,SUM(DO$4:DO376,DM$4:DM376,DK$4:DK376))</f>
        <v>4.5139831366327758</v>
      </c>
      <c r="DR376" s="200" t="str">
        <f t="shared" si="599"/>
        <v/>
      </c>
      <c r="DS376" s="203">
        <f>IF($J376="",#N/A,SUM(DR$4:DR376))</f>
        <v>-0.55950946427675097</v>
      </c>
      <c r="DT376" s="204" t="str">
        <f t="shared" si="600"/>
        <v/>
      </c>
      <c r="DU376" s="204">
        <f>IF($J376="",#N/A,SUM(DT$4:DT376))</f>
        <v>-0.20750635820596686</v>
      </c>
      <c r="DV376" s="205" t="str">
        <f t="shared" si="601"/>
        <v/>
      </c>
      <c r="DW376" s="205">
        <f>IF($J376="",#N/A,SUM(DV$4:DV376))</f>
        <v>-2.3377035686214001</v>
      </c>
      <c r="DX376" s="205">
        <f>IF($J376="",#N/A,SUM(DV$4:DV376,DT$4:DT376,DR$4:DR376))</f>
        <v>-3.1047193911041169</v>
      </c>
      <c r="DY376" s="200" t="str">
        <f t="shared" si="602"/>
        <v/>
      </c>
      <c r="DZ376" s="203">
        <f>IF($J376="",#N/A,SUM(DY$4:DY376))</f>
        <v>-1.4146842415208627</v>
      </c>
      <c r="EA376" s="204" t="str">
        <f t="shared" si="603"/>
        <v/>
      </c>
      <c r="EB376" s="204">
        <f>IF($J376="",#N/A,SUM(EA$4:EA376))</f>
        <v>4.3184391548878134</v>
      </c>
      <c r="EC376" s="205" t="str">
        <f t="shared" si="604"/>
        <v/>
      </c>
      <c r="ED376" s="205">
        <f>IF($J376="",#N/A,SUM(EC$4:EC376))</f>
        <v>8.4384553208490907</v>
      </c>
      <c r="EE376" s="205">
        <f>IF($J376="",#N/A,SUM(EC$4:EC376,EA$4:EA376,DY$4:DY376))</f>
        <v>11.342210234216044</v>
      </c>
      <c r="EF376" s="200" t="str">
        <f t="shared" si="605"/>
        <v/>
      </c>
      <c r="EG376" s="203">
        <f>IF($J376="",#N/A,SUM(EF$4:EF376))</f>
        <v>0.65848341369884777</v>
      </c>
      <c r="EH376" s="204" t="str">
        <f t="shared" si="606"/>
        <v/>
      </c>
      <c r="EI376" s="204">
        <f>IF($J376="",#N/A,SUM(EH$4:EH376))</f>
        <v>-3.5125331561187787</v>
      </c>
      <c r="EJ376" s="205" t="str">
        <f t="shared" si="607"/>
        <v/>
      </c>
      <c r="EK376" s="205">
        <f>IF($J376="",#N/A,SUM(EJ$4:EJ376))</f>
        <v>8.4840381642896556</v>
      </c>
      <c r="EL376" s="205">
        <f>IF($J376="",#N/A,SUM(EJ$4:EJ376,EH$4:EH376,EF$4:EF376))</f>
        <v>5.6299884218697258</v>
      </c>
      <c r="EM376" s="200" t="str">
        <f t="shared" si="608"/>
        <v/>
      </c>
      <c r="EN376" s="203">
        <f>IF($J376="",#N/A,SUM(EM$4:EM376))</f>
        <v>0</v>
      </c>
      <c r="EO376" s="204" t="str">
        <f t="shared" si="609"/>
        <v/>
      </c>
      <c r="EP376" s="204">
        <f>IF($J376="",#N/A,SUM(EO$4:EO376))</f>
        <v>2.4788862078089964</v>
      </c>
      <c r="EQ376" s="205" t="str">
        <f t="shared" si="610"/>
        <v/>
      </c>
      <c r="ER376" s="205">
        <f>IF($J376="",#N/A,SUM(EQ$4:EQ376))</f>
        <v>1.7856049065476487</v>
      </c>
      <c r="ES376" s="205">
        <f>IF($J376="",#N/A,SUM(EQ$4:EQ376,EO$4:EO376,EM$4:EM376))</f>
        <v>4.2644911143566446</v>
      </c>
      <c r="ET376" s="200" t="str">
        <f t="shared" si="611"/>
        <v/>
      </c>
      <c r="EU376" s="203">
        <f>IF($J376="",#N/A,SUM(ET$4:ET376))</f>
        <v>0</v>
      </c>
      <c r="EV376" s="204" t="str">
        <f t="shared" si="612"/>
        <v/>
      </c>
      <c r="EW376" s="204">
        <f>IF($J376="",#N/A,SUM(EV$4:EV376))</f>
        <v>7.9116394275462909E-2</v>
      </c>
      <c r="EX376" s="205" t="str">
        <f t="shared" si="613"/>
        <v/>
      </c>
      <c r="EY376" s="205">
        <f>IF($J376="",#N/A,SUM(EX$4:EX376))</f>
        <v>0.62848633887309935</v>
      </c>
      <c r="EZ376" s="205">
        <f>IF($J376="",#N/A,SUM(EX$4:EX376,EV$4:EV376,ET$4:ET376))</f>
        <v>0.70760273314856192</v>
      </c>
      <c r="FA376" s="200" t="str">
        <f t="shared" si="614"/>
        <v/>
      </c>
      <c r="FB376" s="203">
        <f>IF($J376="",#N/A,SUM(FA$4:FA376))</f>
        <v>-0.27145310509113252</v>
      </c>
      <c r="FC376" s="204" t="str">
        <f t="shared" si="615"/>
        <v/>
      </c>
      <c r="FD376" s="204">
        <f>IF($J376="",#N/A,SUM(FC$4:FC376))</f>
        <v>0.89084290967454072</v>
      </c>
      <c r="FE376" s="205" t="str">
        <f t="shared" si="616"/>
        <v/>
      </c>
      <c r="FF376" s="205">
        <f>IF($J376="",#N/A,SUM(FE$4:FE376))</f>
        <v>-0.28811149078748233</v>
      </c>
      <c r="FG376" s="205">
        <f>IF($J376="",#N/A,SUM(FE$4:FE376,FC$4:FC376,FA$4:FA376))</f>
        <v>0.3312783137959262</v>
      </c>
      <c r="FH376" s="200" t="str">
        <f t="shared" si="617"/>
        <v/>
      </c>
      <c r="FI376" s="203">
        <f>IF($J376="",#N/A,SUM(FH$4:FH376))</f>
        <v>0</v>
      </c>
      <c r="FJ376" s="204" t="str">
        <f t="shared" si="618"/>
        <v/>
      </c>
      <c r="FK376" s="204">
        <f>IF($J376="",#N/A,SUM(FJ$4:FJ376))</f>
        <v>0</v>
      </c>
      <c r="FL376" s="205" t="str">
        <f t="shared" si="619"/>
        <v/>
      </c>
      <c r="FM376" s="205">
        <f>IF($J376="",#N/A,SUM(FL$4:FL376))</f>
        <v>0</v>
      </c>
      <c r="FN376" s="205">
        <f>IF($J376="",#N/A,SUM(FL$4:FL376,FJ$4:FJ376,FH$4:FH376))</f>
        <v>0</v>
      </c>
      <c r="FO376" s="200" t="str">
        <f t="shared" si="620"/>
        <v/>
      </c>
      <c r="FP376" s="203">
        <f>IF($J376="",#N/A,SUM(FO$4:FO376))</f>
        <v>0</v>
      </c>
      <c r="FQ376" s="204" t="str">
        <f t="shared" si="621"/>
        <v/>
      </c>
      <c r="FR376" s="204">
        <f>IF($J376="",#N/A,SUM(FQ$4:FQ376))</f>
        <v>0</v>
      </c>
      <c r="FS376" s="205" t="str">
        <f t="shared" si="622"/>
        <v/>
      </c>
      <c r="FT376" s="205">
        <f>IF($J376="",#N/A,SUM(FS$4:FS376))</f>
        <v>0</v>
      </c>
      <c r="FU376" s="205">
        <f>IF($J376="",#N/A,SUM(FS$4:FS376,FQ$4:FQ376,FO$4:FO376))</f>
        <v>0</v>
      </c>
      <c r="FV376" s="200" t="str">
        <f t="shared" si="623"/>
        <v/>
      </c>
      <c r="FW376" s="203">
        <f>IF($J376="",#N/A,SUM(FV$4:FV376))</f>
        <v>6.6834991831277585E-2</v>
      </c>
      <c r="FX376" s="204" t="str">
        <f t="shared" si="624"/>
        <v/>
      </c>
      <c r="FY376" s="204">
        <f>IF($J376="",#N/A,SUM(FX$4:FX376))</f>
        <v>-0.16102012791805576</v>
      </c>
      <c r="FZ376" s="205" t="str">
        <f t="shared" si="625"/>
        <v/>
      </c>
      <c r="GA376" s="205">
        <f>IF($J376="",#N/A,SUM(FZ$4:FZ376))</f>
        <v>-0.69624339162892301</v>
      </c>
      <c r="GB376" s="205">
        <f>IF($J376="",#N/A,SUM(FZ$4:FZ376,FX$4:FX376,FV$4:FV376))</f>
        <v>-0.79042852771570116</v>
      </c>
      <c r="GC376" s="200" t="str">
        <f t="shared" si="626"/>
        <v/>
      </c>
      <c r="GD376" s="203">
        <f>IF($J376="",#N/A,SUM(GC$4:GC376))</f>
        <v>0</v>
      </c>
      <c r="GE376" s="204" t="str">
        <f t="shared" si="627"/>
        <v/>
      </c>
      <c r="GF376" s="204">
        <f>IF($J376="",#N/A,SUM(GE$4:GE376))</f>
        <v>0</v>
      </c>
      <c r="GG376" s="205" t="str">
        <f t="shared" si="628"/>
        <v/>
      </c>
      <c r="GH376" s="205">
        <f>IF($J376="",#N/A,SUM(GG$4:GG376))</f>
        <v>-2.9368362277223206</v>
      </c>
      <c r="GI376" s="205">
        <f>IF($J376="",#N/A,SUM(GG$4:GG376,GE$4:GE376,GC$4:GC376))</f>
        <v>-2.9368362277223206</v>
      </c>
      <c r="GJ376" s="200" t="str">
        <f t="shared" si="629"/>
        <v/>
      </c>
      <c r="GK376" s="203">
        <f>IF($J376="",#N/A,SUM(GJ$4:GJ376))</f>
        <v>0</v>
      </c>
      <c r="GL376" s="204" t="str">
        <f t="shared" si="630"/>
        <v/>
      </c>
      <c r="GM376" s="204">
        <f>IF($J376="",#N/A,SUM(GL$4:GL376))</f>
        <v>-2.0621307233432784</v>
      </c>
      <c r="GN376" s="205" t="str">
        <f t="shared" si="631"/>
        <v/>
      </c>
      <c r="GO376" s="205">
        <f>IF($J376="",#N/A,SUM(GN$4:GN376))</f>
        <v>0</v>
      </c>
      <c r="GP376" s="205">
        <f>IF($J376="",#N/A,SUM(GN$4:GN376,GL$4:GL376,GJ$4:GJ376))</f>
        <v>-2.0621307233432784</v>
      </c>
      <c r="GS376" s="54">
        <f t="shared" si="650"/>
        <v>-0.75112608532889003</v>
      </c>
      <c r="GT376" s="54">
        <f>IF(GS376="",NA(),SUM($GS$4:GS376))</f>
        <v>12.703555983872024</v>
      </c>
      <c r="GU376" s="54" t="str">
        <f t="shared" si="632"/>
        <v/>
      </c>
      <c r="GV376" s="54" t="e">
        <f>IF(GU376="",NA(),SUM($GU$4:GU376))</f>
        <v>#N/A</v>
      </c>
      <c r="GW376" s="54">
        <f t="shared" si="633"/>
        <v>-0.75112608532889003</v>
      </c>
      <c r="GX376" s="54">
        <f>IF(GW376="",NA(),SUM($GW$4:GW376))</f>
        <v>9.0936408781717155</v>
      </c>
      <c r="GY376" s="54" t="str">
        <f t="shared" si="634"/>
        <v/>
      </c>
      <c r="GZ376" s="54" t="e">
        <f>IF(GY376="",NA(),SUM($GY$4:GY376))</f>
        <v>#N/A</v>
      </c>
      <c r="HA376" s="54" t="str">
        <f t="shared" si="635"/>
        <v/>
      </c>
      <c r="HB376" s="54" t="e">
        <f>IF(HA376="",NA(),SUM($HA$4:HA376))</f>
        <v>#N/A</v>
      </c>
      <c r="HC376" s="54" t="str">
        <f t="shared" si="636"/>
        <v/>
      </c>
      <c r="HD376" s="54" t="e">
        <f>IF(HC376="",NA(),SUM($HC$4:HC376))</f>
        <v>#N/A</v>
      </c>
      <c r="HE376" s="54" t="str">
        <f t="shared" si="637"/>
        <v/>
      </c>
      <c r="HF376" s="54" t="e">
        <f>IF(HE376="",NA(),SUM($HE$4:HE376))</f>
        <v>#N/A</v>
      </c>
      <c r="HG376" s="54" t="str">
        <f t="shared" si="638"/>
        <v/>
      </c>
      <c r="HH376" s="54" t="e">
        <f>IF(HG376="",NA(),SUM($HG$4:HG376))</f>
        <v>#N/A</v>
      </c>
      <c r="HI376" s="172" t="str">
        <f t="shared" si="651"/>
        <v/>
      </c>
      <c r="HJ376" s="172">
        <f>IF($J376="",#N/A,SUM(HI$4:$HI376))</f>
        <v>-10.162234665497841</v>
      </c>
      <c r="HK376" s="54" t="str">
        <f t="shared" si="639"/>
        <v/>
      </c>
      <c r="HL376" s="54">
        <f>IF($J376="",#N/A,SUM($HK$4:HK376))</f>
        <v>7.4780353515533324</v>
      </c>
      <c r="HM376" s="54" t="str">
        <f t="shared" si="640"/>
        <v/>
      </c>
      <c r="HN376" s="54">
        <f>IF($J376="",#N/A,SUM($HM$4:HM376))</f>
        <v>-1.0806776566755429</v>
      </c>
      <c r="HO376" s="54" t="str">
        <f t="shared" si="641"/>
        <v/>
      </c>
      <c r="HP376" s="54">
        <f>IF($J376="",#N/A,SUM($HO$4:HO376))</f>
        <v>-0.26668580414118226</v>
      </c>
      <c r="HQ376" s="54" t="str">
        <f t="shared" si="642"/>
        <v/>
      </c>
      <c r="HR376" s="54">
        <f>IF($J376="",#N/A,SUM($HQ$4:HQ376))</f>
        <v>-11.160675142549634</v>
      </c>
      <c r="HS376" s="54">
        <f t="shared" si="643"/>
        <v>0.20106510161939306</v>
      </c>
      <c r="HT376" s="54">
        <f>IF($J376="",#N/A,SUM($HS$4:HS376))</f>
        <v>13.957653772845241</v>
      </c>
      <c r="HU376" s="65">
        <f t="shared" si="644"/>
        <v>-0.55006098370949696</v>
      </c>
      <c r="HV376" s="65">
        <f>IF($J376="",#N/A,SUM(HU$4:$HU376))</f>
        <v>8.6008117267929585</v>
      </c>
    </row>
    <row r="377" spans="1:230" x14ac:dyDescent="0.25">
      <c r="A377" s="51" t="s">
        <v>1131</v>
      </c>
      <c r="B377" s="52" t="s">
        <v>5547</v>
      </c>
      <c r="C377" s="229">
        <f t="shared" si="545"/>
        <v>3</v>
      </c>
      <c r="D377" s="219" t="str">
        <f>_xlfn.XLOOKUP(A377,[1]SP500!$A$2:$A$502,[1]SP500!$D$2:$D$502,"N")</f>
        <v>Y</v>
      </c>
      <c r="E377" s="51" t="str">
        <f>IFERROR(_xlfn.XLOOKUP(A377,[1]SP500!$A$2:$A$655,[1]SP500!$B$2:$B$655),"")</f>
        <v>XLV</v>
      </c>
      <c r="F377" s="290">
        <v>45805</v>
      </c>
      <c r="G377" s="51" t="str">
        <f t="shared" si="546"/>
        <v>AMC</v>
      </c>
      <c r="H377" s="51" t="str">
        <f t="shared" si="547"/>
        <v>s</v>
      </c>
      <c r="I377" s="344">
        <v>110.88</v>
      </c>
      <c r="J377" s="124">
        <v>116.95</v>
      </c>
      <c r="K377" s="55">
        <f t="shared" si="548"/>
        <v>5.474386724386731E-2</v>
      </c>
      <c r="L377" s="67">
        <f t="shared" si="549"/>
        <v>72.840000000000146</v>
      </c>
      <c r="M377" s="57">
        <f t="shared" si="550"/>
        <v>-31.680000000000064</v>
      </c>
      <c r="N377" s="102">
        <f t="shared" si="551"/>
        <v>72.840000000000146</v>
      </c>
      <c r="O377" s="57">
        <f>IF(N377="",#N/A,SUM($N$4:N377))</f>
        <v>385.88937556162512</v>
      </c>
      <c r="P377" s="65">
        <f t="shared" si="645"/>
        <v>0.91239778739778932</v>
      </c>
      <c r="Q377" s="172">
        <f>IF($N377="",#N/A,SUM($P$4:P377))</f>
        <v>11.243967114523922</v>
      </c>
      <c r="R377" s="279">
        <f t="shared" si="552"/>
        <v>8.2742218756691983</v>
      </c>
      <c r="S377" s="51" t="str">
        <f t="shared" si="553"/>
        <v>SW</v>
      </c>
      <c r="T377" s="51" t="s">
        <v>2828</v>
      </c>
      <c r="U377" s="550">
        <f t="shared" si="554"/>
        <v>110.88</v>
      </c>
      <c r="V377" s="56" t="s">
        <v>4460</v>
      </c>
      <c r="W377" s="142">
        <v>12</v>
      </c>
      <c r="X377" s="145">
        <f t="shared" si="555"/>
        <v>1330.56</v>
      </c>
      <c r="Y377" s="140">
        <f t="shared" si="556"/>
        <v>12</v>
      </c>
      <c r="Z377" s="141">
        <v>114.31</v>
      </c>
      <c r="AA377" s="102">
        <f t="shared" si="557"/>
        <v>41.160000000000082</v>
      </c>
      <c r="AB377" s="102">
        <f t="shared" si="558"/>
        <v>28.800000000000182</v>
      </c>
      <c r="AC377" s="124">
        <v>113.28</v>
      </c>
      <c r="AD377" s="155">
        <f t="shared" si="559"/>
        <v>28.800000000000182</v>
      </c>
      <c r="AE377" s="545">
        <f t="shared" si="560"/>
        <v>0.3607503607503631</v>
      </c>
      <c r="AF377" s="57">
        <f>IF($AC377="",#N/A,SUM(AD$4:AD377))</f>
        <v>464.50239714744953</v>
      </c>
      <c r="AG377" s="102">
        <f t="shared" si="561"/>
        <v>-44.039999999999964</v>
      </c>
      <c r="AH377" s="56" t="s">
        <v>2507</v>
      </c>
      <c r="AI377" s="65">
        <f t="shared" si="562"/>
        <v>0.51557239057239168</v>
      </c>
      <c r="AJ377" s="108">
        <f>IF(AI377="",#N/A,SUM($AI$4:AI377))</f>
        <v>2.9697452388547241</v>
      </c>
      <c r="AK377" s="57">
        <f t="shared" si="563"/>
        <v>41.160000000000082</v>
      </c>
      <c r="AL377" s="66">
        <f>IF(AI377="",#N/A,IF(AH377="Skip",SUM($AK$4:AK377),SUM($AK$4:AK377)))</f>
        <v>-185.03763072151764</v>
      </c>
      <c r="AM377" s="65">
        <f t="shared" si="646"/>
        <v>0.3607503607503631</v>
      </c>
      <c r="AN377" s="209"/>
      <c r="AO377" s="65">
        <f t="shared" si="564"/>
        <v>0.3607503607503631</v>
      </c>
      <c r="AP377" s="65">
        <f>IF($AC377="",#N/A,SUM(AO$4:AO377))</f>
        <v>11.484765306318003</v>
      </c>
      <c r="AQ377" s="65" t="str">
        <f t="shared" si="565"/>
        <v/>
      </c>
      <c r="AR377" s="65">
        <f>IF($AC377="",#N/A,SUM(AQ$4:AQ377))</f>
        <v>-8.5442123483768615</v>
      </c>
      <c r="AS377" s="65" t="str">
        <f t="shared" si="566"/>
        <v/>
      </c>
      <c r="AT377" s="65">
        <f>IF($AC377="",#N/A,SUM(AS$4:AS377))</f>
        <v>6.0210091296021728</v>
      </c>
      <c r="AU377" s="57">
        <f t="shared" si="647"/>
        <v>28.800000000000182</v>
      </c>
      <c r="AV377" s="57">
        <f>IF($AC377="",#N/A,SUM(AU$4:AU377))</f>
        <v>657.74627194988079</v>
      </c>
      <c r="AW377" s="57" t="str">
        <f t="shared" si="648"/>
        <v/>
      </c>
      <c r="AX377" s="57">
        <f>IF($AC377="",#N/A,SUM(AW$4:AW377))</f>
        <v>-635.20106797961103</v>
      </c>
      <c r="AY377" s="57" t="str">
        <f t="shared" si="649"/>
        <v/>
      </c>
      <c r="AZ377" s="57">
        <f>IF($AC377="",#N/A,SUM(AY$4:AY377))</f>
        <v>441.95719317717965</v>
      </c>
      <c r="BA377" s="57">
        <f>IF(AD377="",#N/A,SUM($AD$4:AD377))</f>
        <v>464.50239714744953</v>
      </c>
      <c r="BC377" s="51" t="str">
        <f t="shared" si="567"/>
        <v/>
      </c>
      <c r="BD377" s="51" t="str">
        <f t="shared" si="568"/>
        <v/>
      </c>
      <c r="BE377" s="51">
        <f t="shared" si="569"/>
        <v>1</v>
      </c>
      <c r="BF377" s="51" t="str">
        <f t="shared" si="570"/>
        <v>Long</v>
      </c>
      <c r="BG377" s="51" t="str">
        <f t="shared" si="571"/>
        <v/>
      </c>
      <c r="BH377" s="51" t="str">
        <f t="shared" si="572"/>
        <v/>
      </c>
      <c r="BI377" s="51" t="str">
        <f t="shared" si="573"/>
        <v/>
      </c>
      <c r="BK377" s="65">
        <f t="shared" si="653"/>
        <v>-8.9130648199610224E-2</v>
      </c>
      <c r="BL377" s="65">
        <f t="shared" si="652"/>
        <v>-0.1261188137525803</v>
      </c>
      <c r="BM377" s="65">
        <f>IFERROR(Q377/COUNTA($J$4:J377),#N/A)</f>
        <v>3.006408319391423E-2</v>
      </c>
      <c r="BO377" s="489">
        <f>IF(J377="",#N/A,IF(S377="SW",(COUNTIFS(K$4:$K377,"&gt;0",S$4:$S377,"SW")/COUNTIF(S$4:$S377,"SW")),#N/A))</f>
        <v>0.5056179775280899</v>
      </c>
      <c r="BP377" s="489" t="e">
        <f>IF($J377="",#N/A,IF($S377="DWN",(COUNTIFS($K$4:$K377,"&lt;0",$S$4:$S377,"DWN")/COUNTIF($S$4:$S377,"DWN")),#N/A))</f>
        <v>#N/A</v>
      </c>
      <c r="BQ377" s="489" t="e">
        <f>IF($J377="",#N/A,IF($S377="UP",(COUNTIFS($K$4:$K377,"&gt;0",$S$4:$S377,"UP")/COUNTIF($S$4:$S377,"UP")),#N/A))</f>
        <v>#N/A</v>
      </c>
      <c r="BR377" s="489">
        <f>IF(J377="",#N/A,COUNTIF($K$4:K377,"&gt;0")/COUNT($J$4:J377))</f>
        <v>0.47593582887700536</v>
      </c>
      <c r="BS377" s="65">
        <f t="shared" si="574"/>
        <v>0.91239778739778932</v>
      </c>
      <c r="BT377" s="65" t="str">
        <f t="shared" si="575"/>
        <v/>
      </c>
      <c r="BU377" s="65" t="str">
        <f t="shared" si="576"/>
        <v/>
      </c>
      <c r="BV377" s="65" t="str">
        <f t="shared" si="577"/>
        <v/>
      </c>
      <c r="BW377" s="128" t="str">
        <f t="shared" si="578"/>
        <v/>
      </c>
      <c r="BX377" s="128">
        <f>IF($J377="",#N/A,SUM($BW$4:BW377))</f>
        <v>-529.09817034792877</v>
      </c>
      <c r="BY377" s="131" t="str">
        <f t="shared" si="579"/>
        <v/>
      </c>
      <c r="BZ377" s="131">
        <f>IF($J377="",#N/A,SUM($BY$4:BY377))</f>
        <v>391.5616134613947</v>
      </c>
      <c r="CA377" s="133">
        <f t="shared" si="580"/>
        <v>72.840000000000146</v>
      </c>
      <c r="CB377" s="133">
        <f>IF($J377="",#N/A,SUM($CA$4:CA377))</f>
        <v>523.42593244815896</v>
      </c>
      <c r="CC377" s="194" t="str">
        <f t="shared" si="581"/>
        <v/>
      </c>
      <c r="CD377" s="194">
        <f>IF($J377="",#N/A,SUM($CC$4:CC377))</f>
        <v>-7.1968488875601349</v>
      </c>
      <c r="CE377" s="195" t="str">
        <f t="shared" si="582"/>
        <v/>
      </c>
      <c r="CF377" s="195">
        <f>IF($J377="",#N/A,SUM($CE$4:CE377))</f>
        <v>8.7052084435466917</v>
      </c>
      <c r="CG377" s="196">
        <f t="shared" si="583"/>
        <v>0.91239778739778932</v>
      </c>
      <c r="CH377" s="196">
        <f>IF($J377="",#N/A,SUM($CG$4:CG377))</f>
        <v>9.7356075585373762</v>
      </c>
      <c r="CI377" s="200" t="str">
        <f t="shared" si="584"/>
        <v/>
      </c>
      <c r="CJ377" s="203">
        <f>IF($J377="",#N/A,SUM(CI$4:CI377))</f>
        <v>0</v>
      </c>
      <c r="CK377" s="204" t="str">
        <f t="shared" si="585"/>
        <v/>
      </c>
      <c r="CL377" s="204">
        <f>IF($J377="",#N/A,SUM(CK$4:CK377))</f>
        <v>1.2912501745213723</v>
      </c>
      <c r="CM377" s="205" t="str">
        <f t="shared" si="586"/>
        <v/>
      </c>
      <c r="CN377" s="205">
        <f>IF($J377="",#N/A,SUM(CM$4:CM377))</f>
        <v>1.357235719871134</v>
      </c>
      <c r="CO377" s="205">
        <f>IF($J377="",#N/A,SUM(CM$4:CM377,CK$4:CK377,CI$4:CI377))</f>
        <v>2.6484858943925063</v>
      </c>
      <c r="CP377" s="200" t="str">
        <f t="shared" si="587"/>
        <v/>
      </c>
      <c r="CQ377" s="203">
        <f>IF($J377="",#N/A,SUM(CP$4:CP377))</f>
        <v>-3.6116753136693021</v>
      </c>
      <c r="CR377" s="204" t="str">
        <f t="shared" si="588"/>
        <v/>
      </c>
      <c r="CS377" s="204">
        <f>IF($J377="",#N/A,SUM(CR$4:CR377))</f>
        <v>2.3600225017004668</v>
      </c>
      <c r="CT377" s="205" t="str">
        <f t="shared" si="589"/>
        <v/>
      </c>
      <c r="CU377" s="205">
        <f>IF($J377="",#N/A,SUM(CT$4:CT377))</f>
        <v>-3.9981228515197715</v>
      </c>
      <c r="CV377" s="205">
        <f>IF($J377="",#N/A,SUM(CT$4:CT377,CR$4:CR377,CP$4:CP377))</f>
        <v>-5.2497756634886068</v>
      </c>
      <c r="CW377" s="200" t="str">
        <f t="shared" si="590"/>
        <v/>
      </c>
      <c r="CX377" s="203">
        <f>IF($J377="",#N/A,SUM(CW$4:CW377))</f>
        <v>-3.3082659491100586</v>
      </c>
      <c r="CY377" s="204" t="str">
        <f t="shared" si="591"/>
        <v/>
      </c>
      <c r="CZ377" s="204">
        <f>IF($J377="",#N/A,SUM(CY$4:CY377))</f>
        <v>-3.9836018577043975</v>
      </c>
      <c r="DA377" s="205" t="str">
        <f t="shared" si="592"/>
        <v/>
      </c>
      <c r="DB377" s="205">
        <f>IF($J377="",#N/A,SUM(DA$4:DA377))</f>
        <v>-3.6020278946927151</v>
      </c>
      <c r="DC377" s="205">
        <f>IF($J377="",#N/A,SUM(DA$4:DA377,CY$4:CY377,CW$4:CW377))</f>
        <v>-10.893895701507173</v>
      </c>
      <c r="DD377" s="200" t="str">
        <f t="shared" si="593"/>
        <v/>
      </c>
      <c r="DE377" s="203">
        <f>IF($J377="",#N/A,SUM(DD$4:DD377))</f>
        <v>1.6161029218801881</v>
      </c>
      <c r="DF377" s="204" t="str">
        <f t="shared" si="594"/>
        <v/>
      </c>
      <c r="DG377" s="204">
        <f>IF($J377="",#N/A,SUM(DF$4:DF377))</f>
        <v>4.1810385231482243</v>
      </c>
      <c r="DH377" s="205" t="str">
        <f t="shared" si="595"/>
        <v/>
      </c>
      <c r="DI377" s="205">
        <f>IF($J377="",#N/A,SUM(DH$4:DH377))</f>
        <v>0.1663851794688358</v>
      </c>
      <c r="DJ377" s="205">
        <f>IF($J377="",#N/A,SUM(DH$4:DH377,DF$4:DF377,DD$4:DD377))</f>
        <v>5.9635266244972476</v>
      </c>
      <c r="DK377" s="200" t="str">
        <f t="shared" si="596"/>
        <v/>
      </c>
      <c r="DL377" s="203">
        <f>IF($J377="",#N/A,SUM(DK$4:DK377))</f>
        <v>-0.84049791589649614</v>
      </c>
      <c r="DM377" s="204" t="str">
        <f t="shared" si="597"/>
        <v/>
      </c>
      <c r="DN377" s="204">
        <f>IF($J377="",#N/A,SUM(DM$4:DM377))</f>
        <v>1.8657648196498773</v>
      </c>
      <c r="DO377" s="205" t="str">
        <f t="shared" si="598"/>
        <v/>
      </c>
      <c r="DP377" s="205">
        <f>IF($J377="",#N/A,SUM(DO$4:DO377))</f>
        <v>3.4887162328793941</v>
      </c>
      <c r="DQ377" s="205">
        <f>IF($J377="",#N/A,SUM(DO$4:DO377,DM$4:DM377,DK$4:DK377))</f>
        <v>4.5139831366327758</v>
      </c>
      <c r="DR377" s="200" t="str">
        <f t="shared" si="599"/>
        <v/>
      </c>
      <c r="DS377" s="203">
        <f>IF($J377="",#N/A,SUM(DR$4:DR377))</f>
        <v>-0.55950946427675097</v>
      </c>
      <c r="DT377" s="204" t="str">
        <f t="shared" si="600"/>
        <v/>
      </c>
      <c r="DU377" s="204">
        <f>IF($J377="",#N/A,SUM(DT$4:DT377))</f>
        <v>-0.20750635820596686</v>
      </c>
      <c r="DV377" s="205" t="str">
        <f t="shared" si="601"/>
        <v/>
      </c>
      <c r="DW377" s="205">
        <f>IF($J377="",#N/A,SUM(DV$4:DV377))</f>
        <v>-2.3377035686214001</v>
      </c>
      <c r="DX377" s="205">
        <f>IF($J377="",#N/A,SUM(DV$4:DV377,DT$4:DT377,DR$4:DR377))</f>
        <v>-3.1047193911041169</v>
      </c>
      <c r="DY377" s="200" t="str">
        <f t="shared" si="602"/>
        <v/>
      </c>
      <c r="DZ377" s="203">
        <f>IF($J377="",#N/A,SUM(DY$4:DY377))</f>
        <v>-1.4146842415208627</v>
      </c>
      <c r="EA377" s="204" t="str">
        <f t="shared" si="603"/>
        <v/>
      </c>
      <c r="EB377" s="204">
        <f>IF($J377="",#N/A,SUM(EA$4:EA377))</f>
        <v>4.3184391548878134</v>
      </c>
      <c r="EC377" s="205" t="str">
        <f t="shared" si="604"/>
        <v/>
      </c>
      <c r="ED377" s="205">
        <f>IF($J377="",#N/A,SUM(EC$4:EC377))</f>
        <v>8.4384553208490907</v>
      </c>
      <c r="EE377" s="205">
        <f>IF($J377="",#N/A,SUM(EC$4:EC377,EA$4:EA377,DY$4:DY377))</f>
        <v>11.342210234216044</v>
      </c>
      <c r="EF377" s="200" t="str">
        <f t="shared" si="605"/>
        <v/>
      </c>
      <c r="EG377" s="203">
        <f>IF($J377="",#N/A,SUM(EF$4:EF377))</f>
        <v>0.65848341369884777</v>
      </c>
      <c r="EH377" s="204" t="str">
        <f t="shared" si="606"/>
        <v/>
      </c>
      <c r="EI377" s="204">
        <f>IF($J377="",#N/A,SUM(EH$4:EH377))</f>
        <v>-3.5125331561187787</v>
      </c>
      <c r="EJ377" s="205">
        <f t="shared" si="607"/>
        <v>0.91239778739778932</v>
      </c>
      <c r="EK377" s="205">
        <f>IF($J377="",#N/A,SUM(EJ$4:EJ377))</f>
        <v>9.3964359516874456</v>
      </c>
      <c r="EL377" s="205">
        <f>IF($J377="",#N/A,SUM(EJ$4:EJ377,EH$4:EH377,EF$4:EF377))</f>
        <v>6.542386209267514</v>
      </c>
      <c r="EM377" s="200" t="str">
        <f t="shared" si="608"/>
        <v/>
      </c>
      <c r="EN377" s="203">
        <f>IF($J377="",#N/A,SUM(EM$4:EM377))</f>
        <v>0</v>
      </c>
      <c r="EO377" s="204" t="str">
        <f t="shared" si="609"/>
        <v/>
      </c>
      <c r="EP377" s="204">
        <f>IF($J377="",#N/A,SUM(EO$4:EO377))</f>
        <v>2.4788862078089964</v>
      </c>
      <c r="EQ377" s="205" t="str">
        <f t="shared" si="610"/>
        <v/>
      </c>
      <c r="ER377" s="205">
        <f>IF($J377="",#N/A,SUM(EQ$4:EQ377))</f>
        <v>1.7856049065476487</v>
      </c>
      <c r="ES377" s="205">
        <f>IF($J377="",#N/A,SUM(EQ$4:EQ377,EO$4:EO377,EM$4:EM377))</f>
        <v>4.2644911143566446</v>
      </c>
      <c r="ET377" s="200" t="str">
        <f t="shared" si="611"/>
        <v/>
      </c>
      <c r="EU377" s="203">
        <f>IF($J377="",#N/A,SUM(ET$4:ET377))</f>
        <v>0</v>
      </c>
      <c r="EV377" s="204" t="str">
        <f t="shared" si="612"/>
        <v/>
      </c>
      <c r="EW377" s="204">
        <f>IF($J377="",#N/A,SUM(EV$4:EV377))</f>
        <v>7.9116394275462909E-2</v>
      </c>
      <c r="EX377" s="205" t="str">
        <f t="shared" si="613"/>
        <v/>
      </c>
      <c r="EY377" s="205">
        <f>IF($J377="",#N/A,SUM(EX$4:EX377))</f>
        <v>0.62848633887309935</v>
      </c>
      <c r="EZ377" s="205">
        <f>IF($J377="",#N/A,SUM(EX$4:EX377,EV$4:EV377,ET$4:ET377))</f>
        <v>0.70760273314856192</v>
      </c>
      <c r="FA377" s="200" t="str">
        <f t="shared" si="614"/>
        <v/>
      </c>
      <c r="FB377" s="203">
        <f>IF($J377="",#N/A,SUM(FA$4:FA377))</f>
        <v>-0.27145310509113252</v>
      </c>
      <c r="FC377" s="204" t="str">
        <f t="shared" si="615"/>
        <v/>
      </c>
      <c r="FD377" s="204">
        <f>IF($J377="",#N/A,SUM(FC$4:FC377))</f>
        <v>0.89084290967454072</v>
      </c>
      <c r="FE377" s="205" t="str">
        <f t="shared" si="616"/>
        <v/>
      </c>
      <c r="FF377" s="205">
        <f>IF($J377="",#N/A,SUM(FE$4:FE377))</f>
        <v>-0.28811149078748233</v>
      </c>
      <c r="FG377" s="205">
        <f>IF($J377="",#N/A,SUM(FE$4:FE377,FC$4:FC377,FA$4:FA377))</f>
        <v>0.3312783137959262</v>
      </c>
      <c r="FH377" s="200" t="str">
        <f t="shared" si="617"/>
        <v/>
      </c>
      <c r="FI377" s="203">
        <f>IF($J377="",#N/A,SUM(FH$4:FH377))</f>
        <v>0</v>
      </c>
      <c r="FJ377" s="204" t="str">
        <f t="shared" si="618"/>
        <v/>
      </c>
      <c r="FK377" s="204">
        <f>IF($J377="",#N/A,SUM(FJ$4:FJ377))</f>
        <v>0</v>
      </c>
      <c r="FL377" s="205" t="str">
        <f t="shared" si="619"/>
        <v/>
      </c>
      <c r="FM377" s="205">
        <f>IF($J377="",#N/A,SUM(FL$4:FL377))</f>
        <v>0</v>
      </c>
      <c r="FN377" s="205">
        <f>IF($J377="",#N/A,SUM(FL$4:FL377,FJ$4:FJ377,FH$4:FH377))</f>
        <v>0</v>
      </c>
      <c r="FO377" s="200" t="str">
        <f t="shared" si="620"/>
        <v/>
      </c>
      <c r="FP377" s="203">
        <f>IF($J377="",#N/A,SUM(FO$4:FO377))</f>
        <v>0</v>
      </c>
      <c r="FQ377" s="204" t="str">
        <f t="shared" si="621"/>
        <v/>
      </c>
      <c r="FR377" s="204">
        <f>IF($J377="",#N/A,SUM(FQ$4:FQ377))</f>
        <v>0</v>
      </c>
      <c r="FS377" s="205" t="str">
        <f t="shared" si="622"/>
        <v/>
      </c>
      <c r="FT377" s="205">
        <f>IF($J377="",#N/A,SUM(FS$4:FS377))</f>
        <v>0</v>
      </c>
      <c r="FU377" s="205">
        <f>IF($J377="",#N/A,SUM(FS$4:FS377,FQ$4:FQ377,FO$4:FO377))</f>
        <v>0</v>
      </c>
      <c r="FV377" s="200" t="str">
        <f t="shared" si="623"/>
        <v/>
      </c>
      <c r="FW377" s="203">
        <f>IF($J377="",#N/A,SUM(FV$4:FV377))</f>
        <v>6.6834991831277585E-2</v>
      </c>
      <c r="FX377" s="204" t="str">
        <f t="shared" si="624"/>
        <v/>
      </c>
      <c r="FY377" s="204">
        <f>IF($J377="",#N/A,SUM(FX$4:FX377))</f>
        <v>-0.16102012791805576</v>
      </c>
      <c r="FZ377" s="205" t="str">
        <f t="shared" si="625"/>
        <v/>
      </c>
      <c r="GA377" s="205">
        <f>IF($J377="",#N/A,SUM(FZ$4:FZ377))</f>
        <v>-0.69624339162892301</v>
      </c>
      <c r="GB377" s="205">
        <f>IF($J377="",#N/A,SUM(FZ$4:FZ377,FX$4:FX377,FV$4:FV377))</f>
        <v>-0.79042852771570116</v>
      </c>
      <c r="GC377" s="200" t="str">
        <f t="shared" si="626"/>
        <v/>
      </c>
      <c r="GD377" s="203">
        <f>IF($J377="",#N/A,SUM(GC$4:GC377))</f>
        <v>0</v>
      </c>
      <c r="GE377" s="204" t="str">
        <f t="shared" si="627"/>
        <v/>
      </c>
      <c r="GF377" s="204">
        <f>IF($J377="",#N/A,SUM(GE$4:GE377))</f>
        <v>0</v>
      </c>
      <c r="GG377" s="205" t="str">
        <f t="shared" si="628"/>
        <v/>
      </c>
      <c r="GH377" s="205">
        <f>IF($J377="",#N/A,SUM(GG$4:GG377))</f>
        <v>-2.9368362277223206</v>
      </c>
      <c r="GI377" s="205">
        <f>IF($J377="",#N/A,SUM(GG$4:GG377,GE$4:GE377,GC$4:GC377))</f>
        <v>-2.9368362277223206</v>
      </c>
      <c r="GJ377" s="200" t="str">
        <f t="shared" si="629"/>
        <v/>
      </c>
      <c r="GK377" s="203">
        <f>IF($J377="",#N/A,SUM(GJ$4:GJ377))</f>
        <v>0</v>
      </c>
      <c r="GL377" s="204" t="str">
        <f t="shared" si="630"/>
        <v/>
      </c>
      <c r="GM377" s="204">
        <f>IF($J377="",#N/A,SUM(GL$4:GL377))</f>
        <v>-2.0621307233432784</v>
      </c>
      <c r="GN377" s="205" t="str">
        <f t="shared" si="631"/>
        <v/>
      </c>
      <c r="GO377" s="205">
        <f>IF($J377="",#N/A,SUM(GN$4:GN377))</f>
        <v>0</v>
      </c>
      <c r="GP377" s="205">
        <f>IF($J377="",#N/A,SUM(GN$4:GN377,GL$4:GL377,GJ$4:GJ377))</f>
        <v>-2.0621307233432784</v>
      </c>
      <c r="GS377" s="54">
        <f t="shared" si="650"/>
        <v>0.91239778739778932</v>
      </c>
      <c r="GT377" s="54">
        <f>IF(GS377="",NA(),SUM($GS$4:GS377))</f>
        <v>13.615953771269814</v>
      </c>
      <c r="GU377" s="54" t="str">
        <f t="shared" si="632"/>
        <v/>
      </c>
      <c r="GV377" s="54" t="e">
        <f>IF(GU377="",NA(),SUM($GU$4:GU377))</f>
        <v>#N/A</v>
      </c>
      <c r="GW377" s="54">
        <f t="shared" si="633"/>
        <v>0.91239778739778932</v>
      </c>
      <c r="GX377" s="54">
        <f>IF(GW377="",NA(),SUM($GW$4:GW377))</f>
        <v>10.006038665569505</v>
      </c>
      <c r="GY377" s="54" t="str">
        <f t="shared" si="634"/>
        <v/>
      </c>
      <c r="GZ377" s="54" t="e">
        <f>IF(GY377="",NA(),SUM($GY$4:GY377))</f>
        <v>#N/A</v>
      </c>
      <c r="HA377" s="54" t="str">
        <f t="shared" si="635"/>
        <v/>
      </c>
      <c r="HB377" s="54" t="e">
        <f>IF(HA377="",NA(),SUM($HA$4:HA377))</f>
        <v>#N/A</v>
      </c>
      <c r="HC377" s="54" t="str">
        <f t="shared" si="636"/>
        <v/>
      </c>
      <c r="HD377" s="54" t="e">
        <f>IF(HC377="",NA(),SUM($HC$4:HC377))</f>
        <v>#N/A</v>
      </c>
      <c r="HE377" s="54" t="str">
        <f t="shared" si="637"/>
        <v/>
      </c>
      <c r="HF377" s="54" t="e">
        <f>IF(HE377="",NA(),SUM($HE$4:HE377))</f>
        <v>#N/A</v>
      </c>
      <c r="HG377" s="54" t="str">
        <f t="shared" si="638"/>
        <v/>
      </c>
      <c r="HH377" s="54" t="e">
        <f>IF(HG377="",NA(),SUM($HG$4:HG377))</f>
        <v>#N/A</v>
      </c>
      <c r="HI377" s="172" t="str">
        <f t="shared" si="651"/>
        <v/>
      </c>
      <c r="HJ377" s="172">
        <f>IF($J377="",#N/A,SUM(HI$4:$HI377))</f>
        <v>-10.162234665497841</v>
      </c>
      <c r="HK377" s="54" t="str">
        <f t="shared" si="639"/>
        <v/>
      </c>
      <c r="HL377" s="54">
        <f>IF($J377="",#N/A,SUM($HK$4:HK377))</f>
        <v>7.4780353515533324</v>
      </c>
      <c r="HM377" s="54" t="str">
        <f t="shared" si="640"/>
        <v/>
      </c>
      <c r="HN377" s="54">
        <f>IF($J377="",#N/A,SUM($HM$4:HM377))</f>
        <v>-1.0806776566755429</v>
      </c>
      <c r="HO377" s="54" t="str">
        <f t="shared" si="641"/>
        <v/>
      </c>
      <c r="HP377" s="54">
        <f>IF($J377="",#N/A,SUM($HO$4:HO377))</f>
        <v>-0.26668580414118226</v>
      </c>
      <c r="HQ377" s="54">
        <f t="shared" si="642"/>
        <v>-0.55164742664742628</v>
      </c>
      <c r="HR377" s="54">
        <f>IF($J377="",#N/A,SUM($HQ$4:HQ377))</f>
        <v>-11.71232256919706</v>
      </c>
      <c r="HS377" s="54" t="str">
        <f t="shared" si="643"/>
        <v/>
      </c>
      <c r="HT377" s="54">
        <f>IF($J377="",#N/A,SUM($HS$4:HS377))</f>
        <v>13.957653772845241</v>
      </c>
      <c r="HU377" s="65">
        <f t="shared" si="644"/>
        <v>0.3607503607503631</v>
      </c>
      <c r="HV377" s="65">
        <f>IF($J377="",#N/A,SUM(HU$4:$HU377))</f>
        <v>8.9615620875433208</v>
      </c>
    </row>
    <row r="378" spans="1:230" x14ac:dyDescent="0.25">
      <c r="A378" s="51" t="s">
        <v>1237</v>
      </c>
      <c r="B378" s="52" t="s">
        <v>5547</v>
      </c>
      <c r="C378" s="229">
        <f t="shared" si="545"/>
        <v>3</v>
      </c>
      <c r="D378" s="219" t="str">
        <f>_xlfn.XLOOKUP(A378,[1]SP500!$A$2:$A$502,[1]SP500!$D$2:$D$502,"N")</f>
        <v>N</v>
      </c>
      <c r="E378" s="51" t="str">
        <f>IFERROR(_xlfn.XLOOKUP(A378,[1]SP500!$A$2:$A$655,[1]SP500!$B$2:$B$655),"")</f>
        <v>IGV</v>
      </c>
      <c r="F378" s="290">
        <v>45805</v>
      </c>
      <c r="G378" s="51" t="str">
        <f t="shared" si="546"/>
        <v>AMC</v>
      </c>
      <c r="H378" s="51" t="str">
        <f t="shared" si="547"/>
        <v>s</v>
      </c>
      <c r="I378" s="344">
        <v>23.02</v>
      </c>
      <c r="J378" s="124">
        <v>26.59</v>
      </c>
      <c r="K378" s="55">
        <f t="shared" si="548"/>
        <v>0.15508253692441357</v>
      </c>
      <c r="L378" s="67">
        <f t="shared" si="549"/>
        <v>203.49</v>
      </c>
      <c r="M378" s="57">
        <f t="shared" si="550"/>
        <v>-15.389999999999873</v>
      </c>
      <c r="N378" s="102">
        <f t="shared" si="551"/>
        <v>203.49</v>
      </c>
      <c r="O378" s="57">
        <f>IF(N378="",#N/A,SUM($N$4:N378))</f>
        <v>589.37937556162512</v>
      </c>
      <c r="P378" s="65">
        <f t="shared" si="645"/>
        <v>2.5847089487402264</v>
      </c>
      <c r="Q378" s="172">
        <f>IF($N378="",#N/A,SUM($P$4:P378))</f>
        <v>13.828676063264149</v>
      </c>
      <c r="R378" s="279">
        <f t="shared" si="552"/>
        <v>8.4697040650697186</v>
      </c>
      <c r="S378" s="51" t="str">
        <f t="shared" si="553"/>
        <v>SW</v>
      </c>
      <c r="T378" s="51" t="s">
        <v>2828</v>
      </c>
      <c r="U378" s="56">
        <f t="shared" si="554"/>
        <v>23.02</v>
      </c>
      <c r="V378" s="56" t="s">
        <v>4460</v>
      </c>
      <c r="W378" s="142">
        <v>57</v>
      </c>
      <c r="X378" s="145">
        <f t="shared" si="555"/>
        <v>1312.1399999999999</v>
      </c>
      <c r="Y378" s="140">
        <f t="shared" si="556"/>
        <v>57</v>
      </c>
      <c r="Z378" s="141">
        <v>26.32</v>
      </c>
      <c r="AA378" s="102">
        <f t="shared" si="557"/>
        <v>188.10000000000014</v>
      </c>
      <c r="AB378" s="102">
        <f t="shared" si="558"/>
        <v>272.46000000000026</v>
      </c>
      <c r="AC378" s="123">
        <v>27.8</v>
      </c>
      <c r="AD378" s="155">
        <f t="shared" si="559"/>
        <v>272.46000000000026</v>
      </c>
      <c r="AE378" s="545">
        <f t="shared" si="560"/>
        <v>3.4607587604981211</v>
      </c>
      <c r="AF378" s="57">
        <f>IF($AC378="",#N/A,SUM(AD$4:AD378))</f>
        <v>736.96239714744979</v>
      </c>
      <c r="AG378" s="102">
        <f t="shared" si="561"/>
        <v>68.970000000000255</v>
      </c>
      <c r="AH378" s="56" t="s">
        <v>2507</v>
      </c>
      <c r="AI378" s="65">
        <f t="shared" si="562"/>
        <v>2.3892267593397065</v>
      </c>
      <c r="AJ378" s="108">
        <f>IF(AI378="",#N/A,SUM($AI$4:AI378))</f>
        <v>5.3589719981944306</v>
      </c>
      <c r="AK378" s="57">
        <f t="shared" si="563"/>
        <v>188.10000000000014</v>
      </c>
      <c r="AL378" s="66">
        <f>IF(AI378="",#N/A,IF(AH378="Skip",SUM($AK$4:AK378),SUM($AK$4:AK378)))</f>
        <v>3.0623692784824925</v>
      </c>
      <c r="AM378" s="65">
        <f t="shared" si="646"/>
        <v>3.4607587604981211</v>
      </c>
      <c r="AN378" s="209"/>
      <c r="AO378" s="65">
        <f t="shared" si="564"/>
        <v>3.4607587604981211</v>
      </c>
      <c r="AP378" s="65">
        <f>IF($AC378="",#N/A,SUM(AO$4:AO378))</f>
        <v>14.945524066816125</v>
      </c>
      <c r="AQ378" s="65" t="str">
        <f t="shared" si="565"/>
        <v/>
      </c>
      <c r="AR378" s="65">
        <f>IF($AC378="",#N/A,SUM(AQ$4:AQ378))</f>
        <v>-8.5442123483768615</v>
      </c>
      <c r="AS378" s="65" t="str">
        <f t="shared" si="566"/>
        <v/>
      </c>
      <c r="AT378" s="65">
        <f>IF($AC378="",#N/A,SUM(AS$4:AS378))</f>
        <v>6.0210091296021728</v>
      </c>
      <c r="AU378" s="57">
        <f t="shared" si="647"/>
        <v>272.46000000000026</v>
      </c>
      <c r="AV378" s="57">
        <f>IF($AC378="",#N/A,SUM(AU$4:AU378))</f>
        <v>930.20627194988106</v>
      </c>
      <c r="AW378" s="57" t="str">
        <f t="shared" si="648"/>
        <v/>
      </c>
      <c r="AX378" s="57">
        <f>IF($AC378="",#N/A,SUM(AW$4:AW378))</f>
        <v>-635.20106797961103</v>
      </c>
      <c r="AY378" s="57" t="str">
        <f t="shared" si="649"/>
        <v/>
      </c>
      <c r="AZ378" s="57">
        <f>IF($AC378="",#N/A,SUM(AY$4:AY378))</f>
        <v>441.95719317717965</v>
      </c>
      <c r="BA378" s="57">
        <f>IF(AD378="",#N/A,SUM($AD$4:AD378))</f>
        <v>736.96239714744979</v>
      </c>
      <c r="BC378" s="51" t="str">
        <f t="shared" si="567"/>
        <v/>
      </c>
      <c r="BD378" s="51" t="str">
        <f t="shared" si="568"/>
        <v/>
      </c>
      <c r="BE378" s="51">
        <f t="shared" si="569"/>
        <v>1</v>
      </c>
      <c r="BF378" s="51" t="str">
        <f t="shared" si="570"/>
        <v>Long</v>
      </c>
      <c r="BG378" s="51" t="str">
        <f t="shared" si="571"/>
        <v/>
      </c>
      <c r="BH378" s="51" t="str">
        <f t="shared" si="572"/>
        <v/>
      </c>
      <c r="BI378" s="51" t="str">
        <f t="shared" si="573"/>
        <v/>
      </c>
      <c r="BK378" s="65">
        <f t="shared" si="653"/>
        <v>-5.3204163288732606E-2</v>
      </c>
      <c r="BL378" s="65">
        <f t="shared" si="652"/>
        <v>-6.7709393158590245E-2</v>
      </c>
      <c r="BM378" s="65">
        <f>IFERROR(Q378/COUNTA($J$4:J378),#N/A)</f>
        <v>3.6876469502037733E-2</v>
      </c>
      <c r="BO378" s="489">
        <f>IF(J378="",#N/A,IF(S378="SW",(COUNTIFS(K$4:$K378,"&gt;0",S$4:$S378,"SW")/COUNTIF(S$4:$S378,"SW")),#N/A))</f>
        <v>0.50837988826815639</v>
      </c>
      <c r="BP378" s="489" t="e">
        <f>IF($J378="",#N/A,IF($S378="DWN",(COUNTIFS($K$4:$K378,"&lt;0",$S$4:$S378,"DWN")/COUNTIF($S$4:$S378,"DWN")),#N/A))</f>
        <v>#N/A</v>
      </c>
      <c r="BQ378" s="489" t="e">
        <f>IF($J378="",#N/A,IF($S378="UP",(COUNTIFS($K$4:$K378,"&gt;0",$S$4:$S378,"UP")/COUNTIF($S$4:$S378,"UP")),#N/A))</f>
        <v>#N/A</v>
      </c>
      <c r="BR378" s="489">
        <f>IF(J378="",#N/A,COUNTIF($K$4:K378,"&gt;0")/COUNT($J$4:J378))</f>
        <v>0.47733333333333333</v>
      </c>
      <c r="BS378" s="65">
        <f t="shared" si="574"/>
        <v>2.5847089487402264</v>
      </c>
      <c r="BT378" s="65" t="str">
        <f t="shared" si="575"/>
        <v/>
      </c>
      <c r="BU378" s="65" t="str">
        <f t="shared" si="576"/>
        <v/>
      </c>
      <c r="BV378" s="65" t="str">
        <f t="shared" si="577"/>
        <v/>
      </c>
      <c r="BW378" s="128" t="str">
        <f t="shared" si="578"/>
        <v/>
      </c>
      <c r="BX378" s="128">
        <f>IF($J378="",#N/A,SUM($BW$4:BW378))</f>
        <v>-529.09817034792877</v>
      </c>
      <c r="BY378" s="131" t="str">
        <f t="shared" si="579"/>
        <v/>
      </c>
      <c r="BZ378" s="131">
        <f>IF($J378="",#N/A,SUM($BY$4:BY378))</f>
        <v>391.5616134613947</v>
      </c>
      <c r="CA378" s="133">
        <f t="shared" si="580"/>
        <v>203.49</v>
      </c>
      <c r="CB378" s="133">
        <f>IF($J378="",#N/A,SUM($CA$4:CA378))</f>
        <v>726.91593244815897</v>
      </c>
      <c r="CC378" s="194" t="str">
        <f t="shared" si="581"/>
        <v/>
      </c>
      <c r="CD378" s="194">
        <f>IF($J378="",#N/A,SUM($CC$4:CC378))</f>
        <v>-7.1968488875601349</v>
      </c>
      <c r="CE378" s="195" t="str">
        <f t="shared" si="582"/>
        <v/>
      </c>
      <c r="CF378" s="195">
        <f>IF($J378="",#N/A,SUM($CE$4:CE378))</f>
        <v>8.7052084435466917</v>
      </c>
      <c r="CG378" s="196">
        <f t="shared" si="583"/>
        <v>2.5847089487402264</v>
      </c>
      <c r="CH378" s="196">
        <f>IF($J378="",#N/A,SUM($CG$4:CG378))</f>
        <v>12.320316507277603</v>
      </c>
      <c r="CI378" s="200" t="str">
        <f t="shared" si="584"/>
        <v/>
      </c>
      <c r="CJ378" s="203">
        <f>IF($J378="",#N/A,SUM(CI$4:CI378))</f>
        <v>0</v>
      </c>
      <c r="CK378" s="204" t="str">
        <f t="shared" si="585"/>
        <v/>
      </c>
      <c r="CL378" s="204">
        <f>IF($J378="",#N/A,SUM(CK$4:CK378))</f>
        <v>1.2912501745213723</v>
      </c>
      <c r="CM378" s="205" t="str">
        <f t="shared" si="586"/>
        <v/>
      </c>
      <c r="CN378" s="205">
        <f>IF($J378="",#N/A,SUM(CM$4:CM378))</f>
        <v>1.357235719871134</v>
      </c>
      <c r="CO378" s="205">
        <f>IF($J378="",#N/A,SUM(CM$4:CM378,CK$4:CK378,CI$4:CI378))</f>
        <v>2.6484858943925063</v>
      </c>
      <c r="CP378" s="200" t="str">
        <f t="shared" si="587"/>
        <v/>
      </c>
      <c r="CQ378" s="203">
        <f>IF($J378="",#N/A,SUM(CP$4:CP378))</f>
        <v>-3.6116753136693021</v>
      </c>
      <c r="CR378" s="204" t="str">
        <f t="shared" si="588"/>
        <v/>
      </c>
      <c r="CS378" s="204">
        <f>IF($J378="",#N/A,SUM(CR$4:CR378))</f>
        <v>2.3600225017004668</v>
      </c>
      <c r="CT378" s="205">
        <f t="shared" si="589"/>
        <v>2.5847089487402264</v>
      </c>
      <c r="CU378" s="205">
        <f>IF($J378="",#N/A,SUM(CT$4:CT378))</f>
        <v>-1.4134139027795452</v>
      </c>
      <c r="CV378" s="205">
        <f>IF($J378="",#N/A,SUM(CT$4:CT378,CR$4:CR378,CP$4:CP378))</f>
        <v>-2.6650667147483809</v>
      </c>
      <c r="CW378" s="200" t="str">
        <f t="shared" si="590"/>
        <v/>
      </c>
      <c r="CX378" s="203">
        <f>IF($J378="",#N/A,SUM(CW$4:CW378))</f>
        <v>-3.3082659491100586</v>
      </c>
      <c r="CY378" s="204" t="str">
        <f t="shared" si="591"/>
        <v/>
      </c>
      <c r="CZ378" s="204">
        <f>IF($J378="",#N/A,SUM(CY$4:CY378))</f>
        <v>-3.9836018577043975</v>
      </c>
      <c r="DA378" s="205" t="str">
        <f t="shared" si="592"/>
        <v/>
      </c>
      <c r="DB378" s="205">
        <f>IF($J378="",#N/A,SUM(DA$4:DA378))</f>
        <v>-3.6020278946927151</v>
      </c>
      <c r="DC378" s="205">
        <f>IF($J378="",#N/A,SUM(DA$4:DA378,CY$4:CY378,CW$4:CW378))</f>
        <v>-10.893895701507173</v>
      </c>
      <c r="DD378" s="200" t="str">
        <f t="shared" si="593"/>
        <v/>
      </c>
      <c r="DE378" s="203">
        <f>IF($J378="",#N/A,SUM(DD$4:DD378))</f>
        <v>1.6161029218801881</v>
      </c>
      <c r="DF378" s="204" t="str">
        <f t="shared" si="594"/>
        <v/>
      </c>
      <c r="DG378" s="204">
        <f>IF($J378="",#N/A,SUM(DF$4:DF378))</f>
        <v>4.1810385231482243</v>
      </c>
      <c r="DH378" s="205" t="str">
        <f t="shared" si="595"/>
        <v/>
      </c>
      <c r="DI378" s="205">
        <f>IF($J378="",#N/A,SUM(DH$4:DH378))</f>
        <v>0.1663851794688358</v>
      </c>
      <c r="DJ378" s="205">
        <f>IF($J378="",#N/A,SUM(DH$4:DH378,DF$4:DF378,DD$4:DD378))</f>
        <v>5.9635266244972476</v>
      </c>
      <c r="DK378" s="200" t="str">
        <f t="shared" si="596"/>
        <v/>
      </c>
      <c r="DL378" s="203">
        <f>IF($J378="",#N/A,SUM(DK$4:DK378))</f>
        <v>-0.84049791589649614</v>
      </c>
      <c r="DM378" s="204" t="str">
        <f t="shared" si="597"/>
        <v/>
      </c>
      <c r="DN378" s="204">
        <f>IF($J378="",#N/A,SUM(DM$4:DM378))</f>
        <v>1.8657648196498773</v>
      </c>
      <c r="DO378" s="205" t="str">
        <f t="shared" si="598"/>
        <v/>
      </c>
      <c r="DP378" s="205">
        <f>IF($J378="",#N/A,SUM(DO$4:DO378))</f>
        <v>3.4887162328793941</v>
      </c>
      <c r="DQ378" s="205">
        <f>IF($J378="",#N/A,SUM(DO$4:DO378,DM$4:DM378,DK$4:DK378))</f>
        <v>4.5139831366327758</v>
      </c>
      <c r="DR378" s="200" t="str">
        <f t="shared" si="599"/>
        <v/>
      </c>
      <c r="DS378" s="203">
        <f>IF($J378="",#N/A,SUM(DR$4:DR378))</f>
        <v>-0.55950946427675097</v>
      </c>
      <c r="DT378" s="204" t="str">
        <f t="shared" si="600"/>
        <v/>
      </c>
      <c r="DU378" s="204">
        <f>IF($J378="",#N/A,SUM(DT$4:DT378))</f>
        <v>-0.20750635820596686</v>
      </c>
      <c r="DV378" s="205" t="str">
        <f t="shared" si="601"/>
        <v/>
      </c>
      <c r="DW378" s="205">
        <f>IF($J378="",#N/A,SUM(DV$4:DV378))</f>
        <v>-2.3377035686214001</v>
      </c>
      <c r="DX378" s="205">
        <f>IF($J378="",#N/A,SUM(DV$4:DV378,DT$4:DT378,DR$4:DR378))</f>
        <v>-3.1047193911041169</v>
      </c>
      <c r="DY378" s="200" t="str">
        <f t="shared" si="602"/>
        <v/>
      </c>
      <c r="DZ378" s="203">
        <f>IF($J378="",#N/A,SUM(DY$4:DY378))</f>
        <v>-1.4146842415208627</v>
      </c>
      <c r="EA378" s="204" t="str">
        <f t="shared" si="603"/>
        <v/>
      </c>
      <c r="EB378" s="204">
        <f>IF($J378="",#N/A,SUM(EA$4:EA378))</f>
        <v>4.3184391548878134</v>
      </c>
      <c r="EC378" s="205" t="str">
        <f t="shared" si="604"/>
        <v/>
      </c>
      <c r="ED378" s="205">
        <f>IF($J378="",#N/A,SUM(EC$4:EC378))</f>
        <v>8.4384553208490907</v>
      </c>
      <c r="EE378" s="205">
        <f>IF($J378="",#N/A,SUM(EC$4:EC378,EA$4:EA378,DY$4:DY378))</f>
        <v>11.342210234216044</v>
      </c>
      <c r="EF378" s="200" t="str">
        <f t="shared" si="605"/>
        <v/>
      </c>
      <c r="EG378" s="203">
        <f>IF($J378="",#N/A,SUM(EF$4:EF378))</f>
        <v>0.65848341369884777</v>
      </c>
      <c r="EH378" s="204" t="str">
        <f t="shared" si="606"/>
        <v/>
      </c>
      <c r="EI378" s="204">
        <f>IF($J378="",#N/A,SUM(EH$4:EH378))</f>
        <v>-3.5125331561187787</v>
      </c>
      <c r="EJ378" s="205" t="str">
        <f t="shared" si="607"/>
        <v/>
      </c>
      <c r="EK378" s="205">
        <f>IF($J378="",#N/A,SUM(EJ$4:EJ378))</f>
        <v>9.3964359516874456</v>
      </c>
      <c r="EL378" s="205">
        <f>IF($J378="",#N/A,SUM(EJ$4:EJ378,EH$4:EH378,EF$4:EF378))</f>
        <v>6.542386209267514</v>
      </c>
      <c r="EM378" s="200" t="str">
        <f t="shared" si="608"/>
        <v/>
      </c>
      <c r="EN378" s="203">
        <f>IF($J378="",#N/A,SUM(EM$4:EM378))</f>
        <v>0</v>
      </c>
      <c r="EO378" s="204" t="str">
        <f t="shared" si="609"/>
        <v/>
      </c>
      <c r="EP378" s="204">
        <f>IF($J378="",#N/A,SUM(EO$4:EO378))</f>
        <v>2.4788862078089964</v>
      </c>
      <c r="EQ378" s="205" t="str">
        <f t="shared" si="610"/>
        <v/>
      </c>
      <c r="ER378" s="205">
        <f>IF($J378="",#N/A,SUM(EQ$4:EQ378))</f>
        <v>1.7856049065476487</v>
      </c>
      <c r="ES378" s="205">
        <f>IF($J378="",#N/A,SUM(EQ$4:EQ378,EO$4:EO378,EM$4:EM378))</f>
        <v>4.2644911143566446</v>
      </c>
      <c r="ET378" s="200" t="str">
        <f t="shared" si="611"/>
        <v/>
      </c>
      <c r="EU378" s="203">
        <f>IF($J378="",#N/A,SUM(ET$4:ET378))</f>
        <v>0</v>
      </c>
      <c r="EV378" s="204" t="str">
        <f t="shared" si="612"/>
        <v/>
      </c>
      <c r="EW378" s="204">
        <f>IF($J378="",#N/A,SUM(EV$4:EV378))</f>
        <v>7.9116394275462909E-2</v>
      </c>
      <c r="EX378" s="205" t="str">
        <f t="shared" si="613"/>
        <v/>
      </c>
      <c r="EY378" s="205">
        <f>IF($J378="",#N/A,SUM(EX$4:EX378))</f>
        <v>0.62848633887309935</v>
      </c>
      <c r="EZ378" s="205">
        <f>IF($J378="",#N/A,SUM(EX$4:EX378,EV$4:EV378,ET$4:ET378))</f>
        <v>0.70760273314856192</v>
      </c>
      <c r="FA378" s="200" t="str">
        <f t="shared" si="614"/>
        <v/>
      </c>
      <c r="FB378" s="203">
        <f>IF($J378="",#N/A,SUM(FA$4:FA378))</f>
        <v>-0.27145310509113252</v>
      </c>
      <c r="FC378" s="204" t="str">
        <f t="shared" si="615"/>
        <v/>
      </c>
      <c r="FD378" s="204">
        <f>IF($J378="",#N/A,SUM(FC$4:FC378))</f>
        <v>0.89084290967454072</v>
      </c>
      <c r="FE378" s="205" t="str">
        <f t="shared" si="616"/>
        <v/>
      </c>
      <c r="FF378" s="205">
        <f>IF($J378="",#N/A,SUM(FE$4:FE378))</f>
        <v>-0.28811149078748233</v>
      </c>
      <c r="FG378" s="205">
        <f>IF($J378="",#N/A,SUM(FE$4:FE378,FC$4:FC378,FA$4:FA378))</f>
        <v>0.3312783137959262</v>
      </c>
      <c r="FH378" s="200" t="str">
        <f t="shared" si="617"/>
        <v/>
      </c>
      <c r="FI378" s="203">
        <f>IF($J378="",#N/A,SUM(FH$4:FH378))</f>
        <v>0</v>
      </c>
      <c r="FJ378" s="204" t="str">
        <f t="shared" si="618"/>
        <v/>
      </c>
      <c r="FK378" s="204">
        <f>IF($J378="",#N/A,SUM(FJ$4:FJ378))</f>
        <v>0</v>
      </c>
      <c r="FL378" s="205" t="str">
        <f t="shared" si="619"/>
        <v/>
      </c>
      <c r="FM378" s="205">
        <f>IF($J378="",#N/A,SUM(FL$4:FL378))</f>
        <v>0</v>
      </c>
      <c r="FN378" s="205">
        <f>IF($J378="",#N/A,SUM(FL$4:FL378,FJ$4:FJ378,FH$4:FH378))</f>
        <v>0</v>
      </c>
      <c r="FO378" s="200" t="str">
        <f t="shared" si="620"/>
        <v/>
      </c>
      <c r="FP378" s="203">
        <f>IF($J378="",#N/A,SUM(FO$4:FO378))</f>
        <v>0</v>
      </c>
      <c r="FQ378" s="204" t="str">
        <f t="shared" si="621"/>
        <v/>
      </c>
      <c r="FR378" s="204">
        <f>IF($J378="",#N/A,SUM(FQ$4:FQ378))</f>
        <v>0</v>
      </c>
      <c r="FS378" s="205" t="str">
        <f t="shared" si="622"/>
        <v/>
      </c>
      <c r="FT378" s="205">
        <f>IF($J378="",#N/A,SUM(FS$4:FS378))</f>
        <v>0</v>
      </c>
      <c r="FU378" s="205">
        <f>IF($J378="",#N/A,SUM(FS$4:FS378,FQ$4:FQ378,FO$4:FO378))</f>
        <v>0</v>
      </c>
      <c r="FV378" s="200" t="str">
        <f t="shared" si="623"/>
        <v/>
      </c>
      <c r="FW378" s="203">
        <f>IF($J378="",#N/A,SUM(FV$4:FV378))</f>
        <v>6.6834991831277585E-2</v>
      </c>
      <c r="FX378" s="204" t="str">
        <f t="shared" si="624"/>
        <v/>
      </c>
      <c r="FY378" s="204">
        <f>IF($J378="",#N/A,SUM(FX$4:FX378))</f>
        <v>-0.16102012791805576</v>
      </c>
      <c r="FZ378" s="205" t="str">
        <f t="shared" si="625"/>
        <v/>
      </c>
      <c r="GA378" s="205">
        <f>IF($J378="",#N/A,SUM(FZ$4:FZ378))</f>
        <v>-0.69624339162892301</v>
      </c>
      <c r="GB378" s="205">
        <f>IF($J378="",#N/A,SUM(FZ$4:FZ378,FX$4:FX378,FV$4:FV378))</f>
        <v>-0.79042852771570116</v>
      </c>
      <c r="GC378" s="200" t="str">
        <f t="shared" si="626"/>
        <v/>
      </c>
      <c r="GD378" s="203">
        <f>IF($J378="",#N/A,SUM(GC$4:GC378))</f>
        <v>0</v>
      </c>
      <c r="GE378" s="204" t="str">
        <f t="shared" si="627"/>
        <v/>
      </c>
      <c r="GF378" s="204">
        <f>IF($J378="",#N/A,SUM(GE$4:GE378))</f>
        <v>0</v>
      </c>
      <c r="GG378" s="205" t="str">
        <f t="shared" si="628"/>
        <v/>
      </c>
      <c r="GH378" s="205">
        <f>IF($J378="",#N/A,SUM(GG$4:GG378))</f>
        <v>-2.9368362277223206</v>
      </c>
      <c r="GI378" s="205">
        <f>IF($J378="",#N/A,SUM(GG$4:GG378,GE$4:GE378,GC$4:GC378))</f>
        <v>-2.9368362277223206</v>
      </c>
      <c r="GJ378" s="200" t="str">
        <f t="shared" si="629"/>
        <v/>
      </c>
      <c r="GK378" s="203">
        <f>IF($J378="",#N/A,SUM(GJ$4:GJ378))</f>
        <v>0</v>
      </c>
      <c r="GL378" s="204" t="str">
        <f t="shared" si="630"/>
        <v/>
      </c>
      <c r="GM378" s="204">
        <f>IF($J378="",#N/A,SUM(GL$4:GL378))</f>
        <v>-2.0621307233432784</v>
      </c>
      <c r="GN378" s="205" t="str">
        <f t="shared" si="631"/>
        <v/>
      </c>
      <c r="GO378" s="205">
        <f>IF($J378="",#N/A,SUM(GN$4:GN378))</f>
        <v>0</v>
      </c>
      <c r="GP378" s="205">
        <f>IF($J378="",#N/A,SUM(GN$4:GN378,GL$4:GL378,GJ$4:GJ378))</f>
        <v>-2.0621307233432784</v>
      </c>
      <c r="GS378" s="54" t="str">
        <f t="shared" si="650"/>
        <v/>
      </c>
      <c r="GT378" s="54" t="e">
        <f>IF(GS378="",NA(),SUM($GS$4:GS378))</f>
        <v>#N/A</v>
      </c>
      <c r="GU378" s="54" t="str">
        <f t="shared" si="632"/>
        <v/>
      </c>
      <c r="GV378" s="54" t="e">
        <f>IF(GU378="",NA(),SUM($GU$4:GU378))</f>
        <v>#N/A</v>
      </c>
      <c r="GW378" s="54" t="str">
        <f t="shared" si="633"/>
        <v/>
      </c>
      <c r="GX378" s="54" t="e">
        <f>IF(GW378="",NA(),SUM($GW$4:GW378))</f>
        <v>#N/A</v>
      </c>
      <c r="GY378" s="54" t="str">
        <f t="shared" si="634"/>
        <v/>
      </c>
      <c r="GZ378" s="54" t="e">
        <f>IF(GY378="",NA(),SUM($GY$4:GY378))</f>
        <v>#N/A</v>
      </c>
      <c r="HA378" s="54">
        <f t="shared" si="635"/>
        <v>2.5847089487402264</v>
      </c>
      <c r="HB378" s="54">
        <f>IF(HA378="",NA(),SUM($HA$4:HA378))</f>
        <v>0.21272229199433523</v>
      </c>
      <c r="HC378" s="54" t="str">
        <f t="shared" si="636"/>
        <v/>
      </c>
      <c r="HD378" s="54" t="e">
        <f>IF(HC378="",NA(),SUM($HC$4:HC378))</f>
        <v>#N/A</v>
      </c>
      <c r="HE378" s="54">
        <f t="shared" si="637"/>
        <v>2.5847089487402264</v>
      </c>
      <c r="HF378" s="54">
        <f>IF(HE378="",NA(),SUM($HE$4:HE378))</f>
        <v>2.3142778417080949</v>
      </c>
      <c r="HG378" s="54" t="str">
        <f t="shared" si="638"/>
        <v/>
      </c>
      <c r="HH378" s="54" t="e">
        <f>IF(HG378="",NA(),SUM($HG$4:HG378))</f>
        <v>#N/A</v>
      </c>
      <c r="HI378" s="172" t="str">
        <f t="shared" si="651"/>
        <v/>
      </c>
      <c r="HJ378" s="172">
        <f>IF($J378="",#N/A,SUM(HI$4:$HI378))</f>
        <v>-10.162234665497841</v>
      </c>
      <c r="HK378" s="54" t="str">
        <f t="shared" si="639"/>
        <v/>
      </c>
      <c r="HL378" s="54">
        <f>IF($J378="",#N/A,SUM($HK$4:HK378))</f>
        <v>7.4780353515533324</v>
      </c>
      <c r="HM378" s="54" t="str">
        <f t="shared" si="640"/>
        <v/>
      </c>
      <c r="HN378" s="54">
        <f>IF($J378="",#N/A,SUM($HM$4:HM378))</f>
        <v>-1.0806776566755429</v>
      </c>
      <c r="HO378" s="54" t="str">
        <f t="shared" si="641"/>
        <v/>
      </c>
      <c r="HP378" s="54">
        <f>IF($J378="",#N/A,SUM($HO$4:HO378))</f>
        <v>-0.26668580414118226</v>
      </c>
      <c r="HQ378" s="54">
        <f t="shared" si="642"/>
        <v>0.87604981175789476</v>
      </c>
      <c r="HR378" s="54">
        <f>IF($J378="",#N/A,SUM($HQ$4:HQ378))</f>
        <v>-10.836272757439165</v>
      </c>
      <c r="HS378" s="54" t="str">
        <f t="shared" si="643"/>
        <v/>
      </c>
      <c r="HT378" s="54">
        <f>IF($J378="",#N/A,SUM($HS$4:HS378))</f>
        <v>13.957653772845241</v>
      </c>
      <c r="HU378" s="65">
        <f t="shared" si="644"/>
        <v>3.4607587604981211</v>
      </c>
      <c r="HV378" s="65">
        <f>IF($J378="",#N/A,SUM(HU$4:$HU378))</f>
        <v>12.422320848041442</v>
      </c>
    </row>
    <row r="379" spans="1:230" x14ac:dyDescent="0.25">
      <c r="A379" s="51" t="s">
        <v>1150</v>
      </c>
      <c r="B379" s="52" t="s">
        <v>5547</v>
      </c>
      <c r="C379" s="229">
        <f t="shared" si="545"/>
        <v>3</v>
      </c>
      <c r="D379" s="219" t="str">
        <f>_xlfn.XLOOKUP(A379,[1]SP500!$A$2:$A$502,[1]SP500!$D$2:$D$502,"N")</f>
        <v>Y</v>
      </c>
      <c r="E379" s="51" t="str">
        <f>IFERROR(_xlfn.XLOOKUP(A379,[1]SP500!$A$2:$A$655,[1]SP500!$B$2:$B$655),"")</f>
        <v>XLK</v>
      </c>
      <c r="F379" s="290">
        <v>45805</v>
      </c>
      <c r="G379" s="51" t="str">
        <f t="shared" si="546"/>
        <v>AMC</v>
      </c>
      <c r="H379" s="51" t="str">
        <f t="shared" si="547"/>
        <v>s</v>
      </c>
      <c r="I379" s="343">
        <v>27.2</v>
      </c>
      <c r="J379" s="124">
        <v>23.815000000000001</v>
      </c>
      <c r="K379" s="55">
        <f t="shared" si="548"/>
        <v>-0.12444852941176464</v>
      </c>
      <c r="L379" s="67">
        <f t="shared" si="549"/>
        <v>-169.25</v>
      </c>
      <c r="M379" s="57">
        <f t="shared" si="550"/>
        <v>-8.25</v>
      </c>
      <c r="N379" s="102">
        <f t="shared" si="551"/>
        <v>-169.25</v>
      </c>
      <c r="O379" s="57">
        <f>IF(N379="",#N/A,SUM($N$4:N379))</f>
        <v>420.12937556162512</v>
      </c>
      <c r="P379" s="65">
        <f t="shared" si="645"/>
        <v>-2.0741421568627452</v>
      </c>
      <c r="Q379" s="172">
        <f>IF($N379="",#N/A,SUM($P$4:P379))</f>
        <v>11.754533906401404</v>
      </c>
      <c r="R379" s="279">
        <f t="shared" si="552"/>
        <v>8.5708070062461896</v>
      </c>
      <c r="S379" s="51" t="str">
        <f t="shared" si="553"/>
        <v>SW</v>
      </c>
      <c r="T379" s="51" t="s">
        <v>2828</v>
      </c>
      <c r="U379" s="56">
        <f t="shared" si="554"/>
        <v>27.2</v>
      </c>
      <c r="V379" s="56" t="s">
        <v>4460</v>
      </c>
      <c r="W379" s="142">
        <v>50</v>
      </c>
      <c r="X379" s="145">
        <f t="shared" si="555"/>
        <v>1360</v>
      </c>
      <c r="Y379" s="140">
        <f t="shared" si="556"/>
        <v>50</v>
      </c>
      <c r="Z379" s="141">
        <v>23.65</v>
      </c>
      <c r="AA379" s="102">
        <f t="shared" si="557"/>
        <v>-177.5</v>
      </c>
      <c r="AB379" s="102">
        <f t="shared" si="558"/>
        <v>-112.5</v>
      </c>
      <c r="AC379" s="124">
        <v>24.95</v>
      </c>
      <c r="AD379" s="155">
        <f t="shared" si="559"/>
        <v>-112.5</v>
      </c>
      <c r="AE379" s="545">
        <f t="shared" si="560"/>
        <v>-1.3786764705882353</v>
      </c>
      <c r="AF379" s="57">
        <f>IF($AC379="",#N/A,SUM(AD$4:AD379))</f>
        <v>624.46239714744979</v>
      </c>
      <c r="AG379" s="102">
        <f t="shared" si="561"/>
        <v>56.75</v>
      </c>
      <c r="AH379" s="56" t="s">
        <v>2507</v>
      </c>
      <c r="AI379" s="65">
        <f t="shared" si="562"/>
        <v>-2.1752450980392157</v>
      </c>
      <c r="AJ379" s="108">
        <f>IF(AI379="",#N/A,SUM($AI$4:AI379))</f>
        <v>3.1837269001552149</v>
      </c>
      <c r="AK379" s="57">
        <f t="shared" si="563"/>
        <v>-177.5</v>
      </c>
      <c r="AL379" s="66">
        <f>IF(AI379="",#N/A,IF(AH379="Skip",SUM($AK$4:AK379),SUM($AK$4:AK379)))</f>
        <v>-174.43763072151751</v>
      </c>
      <c r="AM379" s="65">
        <f t="shared" si="646"/>
        <v>-1.3786764705882353</v>
      </c>
      <c r="AN379" s="209"/>
      <c r="AO379" s="65">
        <f t="shared" si="564"/>
        <v>-1.3786764705882353</v>
      </c>
      <c r="AP379" s="65">
        <f>IF($AC379="",#N/A,SUM(AO$4:AO379))</f>
        <v>13.566847596227889</v>
      </c>
      <c r="AQ379" s="65" t="str">
        <f t="shared" si="565"/>
        <v/>
      </c>
      <c r="AR379" s="65">
        <f>IF($AC379="",#N/A,SUM(AQ$4:AQ379))</f>
        <v>-8.5442123483768615</v>
      </c>
      <c r="AS379" s="65" t="str">
        <f t="shared" si="566"/>
        <v/>
      </c>
      <c r="AT379" s="65">
        <f>IF($AC379="",#N/A,SUM(AS$4:AS379))</f>
        <v>6.0210091296021728</v>
      </c>
      <c r="AU379" s="57">
        <f t="shared" si="647"/>
        <v>-112.5</v>
      </c>
      <c r="AV379" s="57">
        <f>IF($AC379="",#N/A,SUM(AU$4:AU379))</f>
        <v>817.70627194988106</v>
      </c>
      <c r="AW379" s="57" t="str">
        <f t="shared" si="648"/>
        <v/>
      </c>
      <c r="AX379" s="57">
        <f>IF($AC379="",#N/A,SUM(AW$4:AW379))</f>
        <v>-635.20106797961103</v>
      </c>
      <c r="AY379" s="57" t="str">
        <f t="shared" si="649"/>
        <v/>
      </c>
      <c r="AZ379" s="57">
        <f>IF($AC379="",#N/A,SUM(AY$4:AY379))</f>
        <v>441.95719317717965</v>
      </c>
      <c r="BA379" s="57">
        <f>IF(AD379="",#N/A,SUM($AD$4:AD379))</f>
        <v>624.46239714744979</v>
      </c>
      <c r="BC379" s="51" t="str">
        <f t="shared" si="567"/>
        <v/>
      </c>
      <c r="BD379" s="51" t="str">
        <f t="shared" si="568"/>
        <v/>
      </c>
      <c r="BE379" s="51" t="str">
        <f t="shared" si="569"/>
        <v/>
      </c>
      <c r="BF379" s="51" t="str">
        <f t="shared" si="570"/>
        <v>Long</v>
      </c>
      <c r="BG379" s="51" t="str">
        <f t="shared" si="571"/>
        <v/>
      </c>
      <c r="BH379" s="51" t="str">
        <f t="shared" si="572"/>
        <v/>
      </c>
      <c r="BI379" s="51">
        <f t="shared" si="573"/>
        <v>1</v>
      </c>
      <c r="BK379" s="65">
        <f t="shared" si="653"/>
        <v>-6.2821178333744246E-2</v>
      </c>
      <c r="BL379" s="65">
        <f t="shared" si="652"/>
        <v>-0.13750705544703792</v>
      </c>
      <c r="BM379" s="65">
        <f>IFERROR(Q379/COUNTA($J$4:J379),#N/A)</f>
        <v>3.1262058261705861E-2</v>
      </c>
      <c r="BO379" s="489">
        <f>IF(J379="",#N/A,IF(S379="SW",(COUNTIFS(K$4:$K379,"&gt;0",S$4:$S379,"SW")/COUNTIF(S$4:$S379,"SW")),#N/A))</f>
        <v>0.50555555555555554</v>
      </c>
      <c r="BP379" s="489" t="e">
        <f>IF($J379="",#N/A,IF($S379="DWN",(COUNTIFS($K$4:$K379,"&lt;0",$S$4:$S379,"DWN")/COUNTIF($S$4:$S379,"DWN")),#N/A))</f>
        <v>#N/A</v>
      </c>
      <c r="BQ379" s="489" t="e">
        <f>IF($J379="",#N/A,IF($S379="UP",(COUNTIFS($K$4:$K379,"&gt;0",$S$4:$S379,"UP")/COUNTIF($S$4:$S379,"UP")),#N/A))</f>
        <v>#N/A</v>
      </c>
      <c r="BR379" s="489">
        <f>IF(J379="",#N/A,COUNTIF($K$4:K379,"&gt;0")/COUNT($J$4:J379))</f>
        <v>0.47606382978723405</v>
      </c>
      <c r="BS379" s="65" t="str">
        <f t="shared" si="574"/>
        <v/>
      </c>
      <c r="BT379" s="65">
        <f t="shared" si="575"/>
        <v>-2.0741421568627452</v>
      </c>
      <c r="BU379" s="65" t="str">
        <f t="shared" si="576"/>
        <v/>
      </c>
      <c r="BV379" s="65" t="str">
        <f t="shared" si="577"/>
        <v/>
      </c>
      <c r="BW379" s="128" t="str">
        <f t="shared" si="578"/>
        <v/>
      </c>
      <c r="BX379" s="128">
        <f>IF($J379="",#N/A,SUM($BW$4:BW379))</f>
        <v>-529.09817034792877</v>
      </c>
      <c r="BY379" s="131" t="str">
        <f t="shared" si="579"/>
        <v/>
      </c>
      <c r="BZ379" s="131">
        <f>IF($J379="",#N/A,SUM($BY$4:BY379))</f>
        <v>391.5616134613947</v>
      </c>
      <c r="CA379" s="133">
        <f t="shared" si="580"/>
        <v>-169.25</v>
      </c>
      <c r="CB379" s="133">
        <f>IF($J379="",#N/A,SUM($CA$4:CA379))</f>
        <v>557.66593244815897</v>
      </c>
      <c r="CC379" s="194" t="str">
        <f t="shared" si="581"/>
        <v/>
      </c>
      <c r="CD379" s="194">
        <f>IF($J379="",#N/A,SUM($CC$4:CC379))</f>
        <v>-7.1968488875601349</v>
      </c>
      <c r="CE379" s="195" t="str">
        <f t="shared" si="582"/>
        <v/>
      </c>
      <c r="CF379" s="195">
        <f>IF($J379="",#N/A,SUM($CE$4:CE379))</f>
        <v>8.7052084435466917</v>
      </c>
      <c r="CG379" s="196">
        <f t="shared" si="583"/>
        <v>-2.0741421568627452</v>
      </c>
      <c r="CH379" s="196">
        <f>IF($J379="",#N/A,SUM($CG$4:CG379))</f>
        <v>10.246174350414858</v>
      </c>
      <c r="CI379" s="200" t="str">
        <f t="shared" si="584"/>
        <v/>
      </c>
      <c r="CJ379" s="203">
        <f>IF($J379="",#N/A,SUM(CI$4:CI379))</f>
        <v>0</v>
      </c>
      <c r="CK379" s="204" t="str">
        <f t="shared" si="585"/>
        <v/>
      </c>
      <c r="CL379" s="204">
        <f>IF($J379="",#N/A,SUM(CK$4:CK379))</f>
        <v>1.2912501745213723</v>
      </c>
      <c r="CM379" s="205">
        <f t="shared" si="586"/>
        <v>-2.0741421568627452</v>
      </c>
      <c r="CN379" s="205">
        <f>IF($J379="",#N/A,SUM(CM$4:CM379))</f>
        <v>-0.71690643699161116</v>
      </c>
      <c r="CO379" s="205">
        <f>IF($J379="",#N/A,SUM(CM$4:CM379,CK$4:CK379,CI$4:CI379))</f>
        <v>0.57434373752976109</v>
      </c>
      <c r="CP379" s="200" t="str">
        <f t="shared" si="587"/>
        <v/>
      </c>
      <c r="CQ379" s="203">
        <f>IF($J379="",#N/A,SUM(CP$4:CP379))</f>
        <v>-3.6116753136693021</v>
      </c>
      <c r="CR379" s="204" t="str">
        <f t="shared" si="588"/>
        <v/>
      </c>
      <c r="CS379" s="204">
        <f>IF($J379="",#N/A,SUM(CR$4:CR379))</f>
        <v>2.3600225017004668</v>
      </c>
      <c r="CT379" s="205" t="str">
        <f t="shared" si="589"/>
        <v/>
      </c>
      <c r="CU379" s="205">
        <f>IF($J379="",#N/A,SUM(CT$4:CT379))</f>
        <v>-1.4134139027795452</v>
      </c>
      <c r="CV379" s="205">
        <f>IF($J379="",#N/A,SUM(CT$4:CT379,CR$4:CR379,CP$4:CP379))</f>
        <v>-2.6650667147483809</v>
      </c>
      <c r="CW379" s="200" t="str">
        <f t="shared" si="590"/>
        <v/>
      </c>
      <c r="CX379" s="203">
        <f>IF($J379="",#N/A,SUM(CW$4:CW379))</f>
        <v>-3.3082659491100586</v>
      </c>
      <c r="CY379" s="204" t="str">
        <f t="shared" si="591"/>
        <v/>
      </c>
      <c r="CZ379" s="204">
        <f>IF($J379="",#N/A,SUM(CY$4:CY379))</f>
        <v>-3.9836018577043975</v>
      </c>
      <c r="DA379" s="205" t="str">
        <f t="shared" si="592"/>
        <v/>
      </c>
      <c r="DB379" s="205">
        <f>IF($J379="",#N/A,SUM(DA$4:DA379))</f>
        <v>-3.6020278946927151</v>
      </c>
      <c r="DC379" s="205">
        <f>IF($J379="",#N/A,SUM(DA$4:DA379,CY$4:CY379,CW$4:CW379))</f>
        <v>-10.893895701507173</v>
      </c>
      <c r="DD379" s="200" t="str">
        <f t="shared" si="593"/>
        <v/>
      </c>
      <c r="DE379" s="203">
        <f>IF($J379="",#N/A,SUM(DD$4:DD379))</f>
        <v>1.6161029218801881</v>
      </c>
      <c r="DF379" s="204" t="str">
        <f t="shared" si="594"/>
        <v/>
      </c>
      <c r="DG379" s="204">
        <f>IF($J379="",#N/A,SUM(DF$4:DF379))</f>
        <v>4.1810385231482243</v>
      </c>
      <c r="DH379" s="205" t="str">
        <f t="shared" si="595"/>
        <v/>
      </c>
      <c r="DI379" s="205">
        <f>IF($J379="",#N/A,SUM(DH$4:DH379))</f>
        <v>0.1663851794688358</v>
      </c>
      <c r="DJ379" s="205">
        <f>IF($J379="",#N/A,SUM(DH$4:DH379,DF$4:DF379,DD$4:DD379))</f>
        <v>5.9635266244972476</v>
      </c>
      <c r="DK379" s="200" t="str">
        <f t="shared" si="596"/>
        <v/>
      </c>
      <c r="DL379" s="203">
        <f>IF($J379="",#N/A,SUM(DK$4:DK379))</f>
        <v>-0.84049791589649614</v>
      </c>
      <c r="DM379" s="204" t="str">
        <f t="shared" si="597"/>
        <v/>
      </c>
      <c r="DN379" s="204">
        <f>IF($J379="",#N/A,SUM(DM$4:DM379))</f>
        <v>1.8657648196498773</v>
      </c>
      <c r="DO379" s="205" t="str">
        <f t="shared" si="598"/>
        <v/>
      </c>
      <c r="DP379" s="205">
        <f>IF($J379="",#N/A,SUM(DO$4:DO379))</f>
        <v>3.4887162328793941</v>
      </c>
      <c r="DQ379" s="205">
        <f>IF($J379="",#N/A,SUM(DO$4:DO379,DM$4:DM379,DK$4:DK379))</f>
        <v>4.5139831366327758</v>
      </c>
      <c r="DR379" s="200" t="str">
        <f t="shared" si="599"/>
        <v/>
      </c>
      <c r="DS379" s="203">
        <f>IF($J379="",#N/A,SUM(DR$4:DR379))</f>
        <v>-0.55950946427675097</v>
      </c>
      <c r="DT379" s="204" t="str">
        <f t="shared" si="600"/>
        <v/>
      </c>
      <c r="DU379" s="204">
        <f>IF($J379="",#N/A,SUM(DT$4:DT379))</f>
        <v>-0.20750635820596686</v>
      </c>
      <c r="DV379" s="205" t="str">
        <f t="shared" si="601"/>
        <v/>
      </c>
      <c r="DW379" s="205">
        <f>IF($J379="",#N/A,SUM(DV$4:DV379))</f>
        <v>-2.3377035686214001</v>
      </c>
      <c r="DX379" s="205">
        <f>IF($J379="",#N/A,SUM(DV$4:DV379,DT$4:DT379,DR$4:DR379))</f>
        <v>-3.1047193911041169</v>
      </c>
      <c r="DY379" s="200" t="str">
        <f t="shared" si="602"/>
        <v/>
      </c>
      <c r="DZ379" s="203">
        <f>IF($J379="",#N/A,SUM(DY$4:DY379))</f>
        <v>-1.4146842415208627</v>
      </c>
      <c r="EA379" s="204" t="str">
        <f t="shared" si="603"/>
        <v/>
      </c>
      <c r="EB379" s="204">
        <f>IF($J379="",#N/A,SUM(EA$4:EA379))</f>
        <v>4.3184391548878134</v>
      </c>
      <c r="EC379" s="205" t="str">
        <f t="shared" si="604"/>
        <v/>
      </c>
      <c r="ED379" s="205">
        <f>IF($J379="",#N/A,SUM(EC$4:EC379))</f>
        <v>8.4384553208490907</v>
      </c>
      <c r="EE379" s="205">
        <f>IF($J379="",#N/A,SUM(EC$4:EC379,EA$4:EA379,DY$4:DY379))</f>
        <v>11.342210234216044</v>
      </c>
      <c r="EF379" s="200" t="str">
        <f t="shared" si="605"/>
        <v/>
      </c>
      <c r="EG379" s="203">
        <f>IF($J379="",#N/A,SUM(EF$4:EF379))</f>
        <v>0.65848341369884777</v>
      </c>
      <c r="EH379" s="204" t="str">
        <f t="shared" si="606"/>
        <v/>
      </c>
      <c r="EI379" s="204">
        <f>IF($J379="",#N/A,SUM(EH$4:EH379))</f>
        <v>-3.5125331561187787</v>
      </c>
      <c r="EJ379" s="205" t="str">
        <f t="shared" si="607"/>
        <v/>
      </c>
      <c r="EK379" s="205">
        <f>IF($J379="",#N/A,SUM(EJ$4:EJ379))</f>
        <v>9.3964359516874456</v>
      </c>
      <c r="EL379" s="205">
        <f>IF($J379="",#N/A,SUM(EJ$4:EJ379,EH$4:EH379,EF$4:EF379))</f>
        <v>6.542386209267514</v>
      </c>
      <c r="EM379" s="200" t="str">
        <f t="shared" si="608"/>
        <v/>
      </c>
      <c r="EN379" s="203">
        <f>IF($J379="",#N/A,SUM(EM$4:EM379))</f>
        <v>0</v>
      </c>
      <c r="EO379" s="204" t="str">
        <f t="shared" si="609"/>
        <v/>
      </c>
      <c r="EP379" s="204">
        <f>IF($J379="",#N/A,SUM(EO$4:EO379))</f>
        <v>2.4788862078089964</v>
      </c>
      <c r="EQ379" s="205" t="str">
        <f t="shared" si="610"/>
        <v/>
      </c>
      <c r="ER379" s="205">
        <f>IF($J379="",#N/A,SUM(EQ$4:EQ379))</f>
        <v>1.7856049065476487</v>
      </c>
      <c r="ES379" s="205">
        <f>IF($J379="",#N/A,SUM(EQ$4:EQ379,EO$4:EO379,EM$4:EM379))</f>
        <v>4.2644911143566446</v>
      </c>
      <c r="ET379" s="200" t="str">
        <f t="shared" si="611"/>
        <v/>
      </c>
      <c r="EU379" s="203">
        <f>IF($J379="",#N/A,SUM(ET$4:ET379))</f>
        <v>0</v>
      </c>
      <c r="EV379" s="204" t="str">
        <f t="shared" si="612"/>
        <v/>
      </c>
      <c r="EW379" s="204">
        <f>IF($J379="",#N/A,SUM(EV$4:EV379))</f>
        <v>7.9116394275462909E-2</v>
      </c>
      <c r="EX379" s="205" t="str">
        <f t="shared" si="613"/>
        <v/>
      </c>
      <c r="EY379" s="205">
        <f>IF($J379="",#N/A,SUM(EX$4:EX379))</f>
        <v>0.62848633887309935</v>
      </c>
      <c r="EZ379" s="205">
        <f>IF($J379="",#N/A,SUM(EX$4:EX379,EV$4:EV379,ET$4:ET379))</f>
        <v>0.70760273314856192</v>
      </c>
      <c r="FA379" s="200" t="str">
        <f t="shared" si="614"/>
        <v/>
      </c>
      <c r="FB379" s="203">
        <f>IF($J379="",#N/A,SUM(FA$4:FA379))</f>
        <v>-0.27145310509113252</v>
      </c>
      <c r="FC379" s="204" t="str">
        <f t="shared" si="615"/>
        <v/>
      </c>
      <c r="FD379" s="204">
        <f>IF($J379="",#N/A,SUM(FC$4:FC379))</f>
        <v>0.89084290967454072</v>
      </c>
      <c r="FE379" s="205" t="str">
        <f t="shared" si="616"/>
        <v/>
      </c>
      <c r="FF379" s="205">
        <f>IF($J379="",#N/A,SUM(FE$4:FE379))</f>
        <v>-0.28811149078748233</v>
      </c>
      <c r="FG379" s="205">
        <f>IF($J379="",#N/A,SUM(FE$4:FE379,FC$4:FC379,FA$4:FA379))</f>
        <v>0.3312783137959262</v>
      </c>
      <c r="FH379" s="200" t="str">
        <f t="shared" si="617"/>
        <v/>
      </c>
      <c r="FI379" s="203">
        <f>IF($J379="",#N/A,SUM(FH$4:FH379))</f>
        <v>0</v>
      </c>
      <c r="FJ379" s="204" t="str">
        <f t="shared" si="618"/>
        <v/>
      </c>
      <c r="FK379" s="204">
        <f>IF($J379="",#N/A,SUM(FJ$4:FJ379))</f>
        <v>0</v>
      </c>
      <c r="FL379" s="205" t="str">
        <f t="shared" si="619"/>
        <v/>
      </c>
      <c r="FM379" s="205">
        <f>IF($J379="",#N/A,SUM(FL$4:FL379))</f>
        <v>0</v>
      </c>
      <c r="FN379" s="205">
        <f>IF($J379="",#N/A,SUM(FL$4:FL379,FJ$4:FJ379,FH$4:FH379))</f>
        <v>0</v>
      </c>
      <c r="FO379" s="200" t="str">
        <f t="shared" si="620"/>
        <v/>
      </c>
      <c r="FP379" s="203">
        <f>IF($J379="",#N/A,SUM(FO$4:FO379))</f>
        <v>0</v>
      </c>
      <c r="FQ379" s="204" t="str">
        <f t="shared" si="621"/>
        <v/>
      </c>
      <c r="FR379" s="204">
        <f>IF($J379="",#N/A,SUM(FQ$4:FQ379))</f>
        <v>0</v>
      </c>
      <c r="FS379" s="205" t="str">
        <f t="shared" si="622"/>
        <v/>
      </c>
      <c r="FT379" s="205">
        <f>IF($J379="",#N/A,SUM(FS$4:FS379))</f>
        <v>0</v>
      </c>
      <c r="FU379" s="205">
        <f>IF($J379="",#N/A,SUM(FS$4:FS379,FQ$4:FQ379,FO$4:FO379))</f>
        <v>0</v>
      </c>
      <c r="FV379" s="200" t="str">
        <f t="shared" si="623"/>
        <v/>
      </c>
      <c r="FW379" s="203">
        <f>IF($J379="",#N/A,SUM(FV$4:FV379))</f>
        <v>6.6834991831277585E-2</v>
      </c>
      <c r="FX379" s="204" t="str">
        <f t="shared" si="624"/>
        <v/>
      </c>
      <c r="FY379" s="204">
        <f>IF($J379="",#N/A,SUM(FX$4:FX379))</f>
        <v>-0.16102012791805576</v>
      </c>
      <c r="FZ379" s="205" t="str">
        <f t="shared" si="625"/>
        <v/>
      </c>
      <c r="GA379" s="205">
        <f>IF($J379="",#N/A,SUM(FZ$4:FZ379))</f>
        <v>-0.69624339162892301</v>
      </c>
      <c r="GB379" s="205">
        <f>IF($J379="",#N/A,SUM(FZ$4:FZ379,FX$4:FX379,FV$4:FV379))</f>
        <v>-0.79042852771570116</v>
      </c>
      <c r="GC379" s="200" t="str">
        <f t="shared" si="626"/>
        <v/>
      </c>
      <c r="GD379" s="203">
        <f>IF($J379="",#N/A,SUM(GC$4:GC379))</f>
        <v>0</v>
      </c>
      <c r="GE379" s="204" t="str">
        <f t="shared" si="627"/>
        <v/>
      </c>
      <c r="GF379" s="204">
        <f>IF($J379="",#N/A,SUM(GE$4:GE379))</f>
        <v>0</v>
      </c>
      <c r="GG379" s="205" t="str">
        <f t="shared" si="628"/>
        <v/>
      </c>
      <c r="GH379" s="205">
        <f>IF($J379="",#N/A,SUM(GG$4:GG379))</f>
        <v>-2.9368362277223206</v>
      </c>
      <c r="GI379" s="205">
        <f>IF($J379="",#N/A,SUM(GG$4:GG379,GE$4:GE379,GC$4:GC379))</f>
        <v>-2.9368362277223206</v>
      </c>
      <c r="GJ379" s="200" t="str">
        <f t="shared" si="629"/>
        <v/>
      </c>
      <c r="GK379" s="203">
        <f>IF($J379="",#N/A,SUM(GJ$4:GJ379))</f>
        <v>0</v>
      </c>
      <c r="GL379" s="204" t="str">
        <f t="shared" si="630"/>
        <v/>
      </c>
      <c r="GM379" s="204">
        <f>IF($J379="",#N/A,SUM(GL$4:GL379))</f>
        <v>-2.0621307233432784</v>
      </c>
      <c r="GN379" s="205" t="str">
        <f t="shared" si="631"/>
        <v/>
      </c>
      <c r="GO379" s="205">
        <f>IF($J379="",#N/A,SUM(GN$4:GN379))</f>
        <v>0</v>
      </c>
      <c r="GP379" s="205">
        <f>IF($J379="",#N/A,SUM(GN$4:GN379,GL$4:GL379,GJ$4:GJ379))</f>
        <v>-2.0621307233432784</v>
      </c>
      <c r="GS379" s="54">
        <f t="shared" si="650"/>
        <v>-2.0741421568627452</v>
      </c>
      <c r="GT379" s="54">
        <f>IF(GS379="",NA(),SUM($GS$4:GS379))</f>
        <v>11.541811614407068</v>
      </c>
      <c r="GU379" s="54" t="str">
        <f t="shared" si="632"/>
        <v/>
      </c>
      <c r="GV379" s="54" t="e">
        <f>IF(GU379="",NA(),SUM($GU$4:GU379))</f>
        <v>#N/A</v>
      </c>
      <c r="GW379" s="54">
        <f t="shared" si="633"/>
        <v>-2.0741421568627452</v>
      </c>
      <c r="GX379" s="54">
        <f>IF(GW379="",NA(),SUM($GW$4:GW379))</f>
        <v>7.9318965087067603</v>
      </c>
      <c r="GY379" s="54" t="str">
        <f t="shared" si="634"/>
        <v/>
      </c>
      <c r="GZ379" s="54" t="e">
        <f>IF(GY379="",NA(),SUM($GY$4:GY379))</f>
        <v>#N/A</v>
      </c>
      <c r="HA379" s="54" t="str">
        <f t="shared" si="635"/>
        <v/>
      </c>
      <c r="HB379" s="54" t="e">
        <f>IF(HA379="",NA(),SUM($HA$4:HA379))</f>
        <v>#N/A</v>
      </c>
      <c r="HC379" s="54" t="str">
        <f t="shared" si="636"/>
        <v/>
      </c>
      <c r="HD379" s="54" t="e">
        <f>IF(HC379="",NA(),SUM($HC$4:HC379))</f>
        <v>#N/A</v>
      </c>
      <c r="HE379" s="54" t="str">
        <f t="shared" si="637"/>
        <v/>
      </c>
      <c r="HF379" s="54" t="e">
        <f>IF(HE379="",NA(),SUM($HE$4:HE379))</f>
        <v>#N/A</v>
      </c>
      <c r="HG379" s="54" t="str">
        <f t="shared" si="638"/>
        <v/>
      </c>
      <c r="HH379" s="54" t="e">
        <f>IF(HG379="",NA(),SUM($HG$4:HG379))</f>
        <v>#N/A</v>
      </c>
      <c r="HI379" s="172" t="str">
        <f t="shared" si="651"/>
        <v/>
      </c>
      <c r="HJ379" s="172">
        <f>IF($J379="",#N/A,SUM(HI$4:$HI379))</f>
        <v>-10.162234665497841</v>
      </c>
      <c r="HK379" s="54" t="str">
        <f t="shared" si="639"/>
        <v/>
      </c>
      <c r="HL379" s="54">
        <f>IF($J379="",#N/A,SUM($HK$4:HK379))</f>
        <v>7.4780353515533324</v>
      </c>
      <c r="HM379" s="54" t="str">
        <f t="shared" si="640"/>
        <v/>
      </c>
      <c r="HN379" s="54">
        <f>IF($J379="",#N/A,SUM($HM$4:HM379))</f>
        <v>-1.0806776566755429</v>
      </c>
      <c r="HO379" s="54" t="str">
        <f t="shared" si="641"/>
        <v/>
      </c>
      <c r="HP379" s="54">
        <f>IF($J379="",#N/A,SUM($HO$4:HO379))</f>
        <v>-0.26668580414118226</v>
      </c>
      <c r="HQ379" s="54" t="str">
        <f t="shared" si="642"/>
        <v/>
      </c>
      <c r="HR379" s="54">
        <f>IF($J379="",#N/A,SUM($HQ$4:HQ379))</f>
        <v>-10.836272757439165</v>
      </c>
      <c r="HS379" s="54">
        <f t="shared" si="643"/>
        <v>0.69546568627450989</v>
      </c>
      <c r="HT379" s="54">
        <f>IF($J379="",#N/A,SUM($HS$4:HS379))</f>
        <v>14.65311945911975</v>
      </c>
      <c r="HU379" s="65">
        <f t="shared" si="644"/>
        <v>-1.3786764705882353</v>
      </c>
      <c r="HV379" s="65">
        <f>IF($J379="",#N/A,SUM(HU$4:$HU379))</f>
        <v>11.043644377453207</v>
      </c>
    </row>
    <row r="380" spans="1:230" x14ac:dyDescent="0.25">
      <c r="A380" s="51" t="s">
        <v>1175</v>
      </c>
      <c r="B380" s="52" t="s">
        <v>5547</v>
      </c>
      <c r="C380" s="229">
        <f t="shared" si="545"/>
        <v>3</v>
      </c>
      <c r="D380" s="219" t="str">
        <f>_xlfn.XLOOKUP(A380,[1]SP500!$A$2:$A$502,[1]SP500!$D$2:$D$502,"N")</f>
        <v>N</v>
      </c>
      <c r="E380" s="51" t="str">
        <f>IFERROR(_xlfn.XLOOKUP(A380,[1]SP500!$A$2:$A$655,[1]SP500!$B$2:$B$655),"")</f>
        <v>IGV</v>
      </c>
      <c r="F380" s="290">
        <v>45805</v>
      </c>
      <c r="G380" s="51" t="str">
        <f t="shared" si="546"/>
        <v>AMC</v>
      </c>
      <c r="H380" s="51" t="str">
        <f t="shared" si="547"/>
        <v>s</v>
      </c>
      <c r="I380" s="344">
        <v>55.14</v>
      </c>
      <c r="J380" s="124">
        <v>51.58</v>
      </c>
      <c r="K380" s="55">
        <f t="shared" si="548"/>
        <v>-6.4562930721799097E-2</v>
      </c>
      <c r="L380" s="67">
        <f t="shared" si="549"/>
        <v>-85.440000000000055</v>
      </c>
      <c r="M380" s="57">
        <f t="shared" si="550"/>
        <v>10.319999999999936</v>
      </c>
      <c r="N380" s="102">
        <f t="shared" si="551"/>
        <v>-85.440000000000055</v>
      </c>
      <c r="O380" s="57">
        <f>IF(N380="",#N/A,SUM($N$4:N380))</f>
        <v>334.68937556162507</v>
      </c>
      <c r="P380" s="65">
        <f t="shared" si="645"/>
        <v>-1.0760488453633184</v>
      </c>
      <c r="Q380" s="172">
        <f>IF($N380="",#N/A,SUM($P$4:P380))</f>
        <v>10.678485061038085</v>
      </c>
      <c r="R380" s="279">
        <f t="shared" si="552"/>
        <v>8.4408348142500582</v>
      </c>
      <c r="S380" s="51" t="str">
        <f t="shared" si="553"/>
        <v>SW</v>
      </c>
      <c r="T380" s="51" t="s">
        <v>2828</v>
      </c>
      <c r="U380" s="56">
        <f t="shared" si="554"/>
        <v>55.14</v>
      </c>
      <c r="V380" s="56" t="s">
        <v>4460</v>
      </c>
      <c r="W380" s="142">
        <v>24</v>
      </c>
      <c r="X380" s="145">
        <f t="shared" si="555"/>
        <v>1323.3600000000001</v>
      </c>
      <c r="Y380" s="140">
        <f t="shared" si="556"/>
        <v>24</v>
      </c>
      <c r="Z380" s="141">
        <v>52.01</v>
      </c>
      <c r="AA380" s="102">
        <f t="shared" si="557"/>
        <v>-75.120000000000118</v>
      </c>
      <c r="AB380" s="102">
        <f t="shared" si="558"/>
        <v>-36</v>
      </c>
      <c r="AC380" s="124">
        <v>53.64</v>
      </c>
      <c r="AD380" s="155">
        <f t="shared" si="559"/>
        <v>-36</v>
      </c>
      <c r="AE380" s="545">
        <f t="shared" si="560"/>
        <v>-0.45339136742836417</v>
      </c>
      <c r="AF380" s="57">
        <f>IF($AC380="",#N/A,SUM(AD$4:AD380))</f>
        <v>588.46239714744979</v>
      </c>
      <c r="AG380" s="102">
        <f t="shared" si="561"/>
        <v>49.440000000000055</v>
      </c>
      <c r="AH380" s="56" t="s">
        <v>2507</v>
      </c>
      <c r="AI380" s="65">
        <f t="shared" si="562"/>
        <v>-0.94607665336718805</v>
      </c>
      <c r="AJ380" s="108">
        <f>IF(AI380="",#N/A,SUM($AI$4:AI380))</f>
        <v>2.2376502467880268</v>
      </c>
      <c r="AK380" s="57">
        <f t="shared" si="563"/>
        <v>-75.120000000000118</v>
      </c>
      <c r="AL380" s="66">
        <f>IF(AI380="",#N/A,IF(AH380="Skip",SUM($AK$4:AK380),SUM($AK$4:AK380)))</f>
        <v>-249.55763072151763</v>
      </c>
      <c r="AM380" s="65">
        <f t="shared" si="646"/>
        <v>-0.45339136742836417</v>
      </c>
      <c r="AN380" s="209"/>
      <c r="AO380" s="65">
        <f t="shared" si="564"/>
        <v>-0.45339136742836417</v>
      </c>
      <c r="AP380" s="65">
        <f>IF($AC380="",#N/A,SUM(AO$4:AO380))</f>
        <v>13.113456228799524</v>
      </c>
      <c r="AQ380" s="65" t="str">
        <f t="shared" si="565"/>
        <v/>
      </c>
      <c r="AR380" s="65">
        <f>IF($AC380="",#N/A,SUM(AQ$4:AQ380))</f>
        <v>-8.5442123483768615</v>
      </c>
      <c r="AS380" s="65" t="str">
        <f t="shared" si="566"/>
        <v/>
      </c>
      <c r="AT380" s="65">
        <f>IF($AC380="",#N/A,SUM(AS$4:AS380))</f>
        <v>6.0210091296021728</v>
      </c>
      <c r="AU380" s="57">
        <f t="shared" si="647"/>
        <v>-36</v>
      </c>
      <c r="AV380" s="57">
        <f>IF($AC380="",#N/A,SUM(AU$4:AU380))</f>
        <v>781.70627194988106</v>
      </c>
      <c r="AW380" s="57" t="str">
        <f t="shared" si="648"/>
        <v/>
      </c>
      <c r="AX380" s="57">
        <f>IF($AC380="",#N/A,SUM(AW$4:AW380))</f>
        <v>-635.20106797961103</v>
      </c>
      <c r="AY380" s="57" t="str">
        <f t="shared" si="649"/>
        <v/>
      </c>
      <c r="AZ380" s="57">
        <f>IF($AC380="",#N/A,SUM(AY$4:AY380))</f>
        <v>441.95719317717965</v>
      </c>
      <c r="BA380" s="57">
        <f>IF(AD380="",#N/A,SUM($AD$4:AD380))</f>
        <v>588.46239714744979</v>
      </c>
      <c r="BC380" s="51" t="str">
        <f t="shared" si="567"/>
        <v/>
      </c>
      <c r="BD380" s="51" t="str">
        <f t="shared" si="568"/>
        <v/>
      </c>
      <c r="BE380" s="51" t="str">
        <f t="shared" si="569"/>
        <v/>
      </c>
      <c r="BF380" s="51" t="str">
        <f t="shared" si="570"/>
        <v>Long</v>
      </c>
      <c r="BG380" s="51" t="str">
        <f t="shared" si="571"/>
        <v/>
      </c>
      <c r="BH380" s="51" t="str">
        <f t="shared" si="572"/>
        <v/>
      </c>
      <c r="BI380" s="51">
        <f t="shared" si="573"/>
        <v>1</v>
      </c>
      <c r="BK380" s="65">
        <f t="shared" si="653"/>
        <v>-8.0026339044006314E-2</v>
      </c>
      <c r="BL380" s="65">
        <f t="shared" si="652"/>
        <v>-0.17826898646134268</v>
      </c>
      <c r="BM380" s="65">
        <f>IFERROR(Q380/COUNTA($J$4:J380),#N/A)</f>
        <v>2.8324894061108979E-2</v>
      </c>
      <c r="BO380" s="489">
        <f>IF(J380="",#N/A,IF(S380="SW",(COUNTIFS(K$4:$K380,"&gt;0",S$4:$S380,"SW")/COUNTIF(S$4:$S380,"SW")),#N/A))</f>
        <v>0.50276243093922657</v>
      </c>
      <c r="BP380" s="489" t="e">
        <f>IF($J380="",#N/A,IF($S380="DWN",(COUNTIFS($K$4:$K380,"&lt;0",$S$4:$S380,"DWN")/COUNTIF($S$4:$S380,"DWN")),#N/A))</f>
        <v>#N/A</v>
      </c>
      <c r="BQ380" s="489" t="e">
        <f>IF($J380="",#N/A,IF($S380="UP",(COUNTIFS($K$4:$K380,"&gt;0",$S$4:$S380,"UP")/COUNTIF($S$4:$S380,"UP")),#N/A))</f>
        <v>#N/A</v>
      </c>
      <c r="BR380" s="489">
        <f>IF(J380="",#N/A,COUNTIF($K$4:K380,"&gt;0")/COUNT($J$4:J380))</f>
        <v>0.47480106100795755</v>
      </c>
      <c r="BS380" s="65" t="str">
        <f t="shared" si="574"/>
        <v/>
      </c>
      <c r="BT380" s="65">
        <f t="shared" si="575"/>
        <v>-1.0760488453633184</v>
      </c>
      <c r="BU380" s="65" t="str">
        <f t="shared" si="576"/>
        <v/>
      </c>
      <c r="BV380" s="65" t="str">
        <f t="shared" si="577"/>
        <v/>
      </c>
      <c r="BW380" s="128" t="str">
        <f t="shared" si="578"/>
        <v/>
      </c>
      <c r="BX380" s="128">
        <f>IF($J380="",#N/A,SUM($BW$4:BW380))</f>
        <v>-529.09817034792877</v>
      </c>
      <c r="BY380" s="131" t="str">
        <f t="shared" si="579"/>
        <v/>
      </c>
      <c r="BZ380" s="131">
        <f>IF($J380="",#N/A,SUM($BY$4:BY380))</f>
        <v>391.5616134613947</v>
      </c>
      <c r="CA380" s="133">
        <f t="shared" si="580"/>
        <v>-85.440000000000055</v>
      </c>
      <c r="CB380" s="133">
        <f>IF($J380="",#N/A,SUM($CA$4:CA380))</f>
        <v>472.22593244815891</v>
      </c>
      <c r="CC380" s="194" t="str">
        <f t="shared" si="581"/>
        <v/>
      </c>
      <c r="CD380" s="194">
        <f>IF($J380="",#N/A,SUM($CC$4:CC380))</f>
        <v>-7.1968488875601349</v>
      </c>
      <c r="CE380" s="195" t="str">
        <f t="shared" si="582"/>
        <v/>
      </c>
      <c r="CF380" s="195">
        <f>IF($J380="",#N/A,SUM($CE$4:CE380))</f>
        <v>8.7052084435466917</v>
      </c>
      <c r="CG380" s="196">
        <f t="shared" si="583"/>
        <v>-1.0760488453633184</v>
      </c>
      <c r="CH380" s="196">
        <f>IF($J380="",#N/A,SUM($CG$4:CG380))</f>
        <v>9.1701255050515389</v>
      </c>
      <c r="CI380" s="200" t="str">
        <f t="shared" si="584"/>
        <v/>
      </c>
      <c r="CJ380" s="203">
        <f>IF($J380="",#N/A,SUM(CI$4:CI380))</f>
        <v>0</v>
      </c>
      <c r="CK380" s="204" t="str">
        <f t="shared" si="585"/>
        <v/>
      </c>
      <c r="CL380" s="204">
        <f>IF($J380="",#N/A,SUM(CK$4:CK380))</f>
        <v>1.2912501745213723</v>
      </c>
      <c r="CM380" s="205" t="str">
        <f t="shared" si="586"/>
        <v/>
      </c>
      <c r="CN380" s="205">
        <f>IF($J380="",#N/A,SUM(CM$4:CM380))</f>
        <v>-0.71690643699161116</v>
      </c>
      <c r="CO380" s="205">
        <f>IF($J380="",#N/A,SUM(CM$4:CM380,CK$4:CK380,CI$4:CI380))</f>
        <v>0.57434373752976109</v>
      </c>
      <c r="CP380" s="200" t="str">
        <f t="shared" si="587"/>
        <v/>
      </c>
      <c r="CQ380" s="203">
        <f>IF($J380="",#N/A,SUM(CP$4:CP380))</f>
        <v>-3.6116753136693021</v>
      </c>
      <c r="CR380" s="204" t="str">
        <f t="shared" si="588"/>
        <v/>
      </c>
      <c r="CS380" s="204">
        <f>IF($J380="",#N/A,SUM(CR$4:CR380))</f>
        <v>2.3600225017004668</v>
      </c>
      <c r="CT380" s="205">
        <f t="shared" si="589"/>
        <v>-1.0760488453633184</v>
      </c>
      <c r="CU380" s="205">
        <f>IF($J380="",#N/A,SUM(CT$4:CT380))</f>
        <v>-2.4894627481428637</v>
      </c>
      <c r="CV380" s="205">
        <f>IF($J380="",#N/A,SUM(CT$4:CT380,CR$4:CR380,CP$4:CP380))</f>
        <v>-3.7411155601116985</v>
      </c>
      <c r="CW380" s="200" t="str">
        <f t="shared" si="590"/>
        <v/>
      </c>
      <c r="CX380" s="203">
        <f>IF($J380="",#N/A,SUM(CW$4:CW380))</f>
        <v>-3.3082659491100586</v>
      </c>
      <c r="CY380" s="204" t="str">
        <f t="shared" si="591"/>
        <v/>
      </c>
      <c r="CZ380" s="204">
        <f>IF($J380="",#N/A,SUM(CY$4:CY380))</f>
        <v>-3.9836018577043975</v>
      </c>
      <c r="DA380" s="205" t="str">
        <f t="shared" si="592"/>
        <v/>
      </c>
      <c r="DB380" s="205">
        <f>IF($J380="",#N/A,SUM(DA$4:DA380))</f>
        <v>-3.6020278946927151</v>
      </c>
      <c r="DC380" s="205">
        <f>IF($J380="",#N/A,SUM(DA$4:DA380,CY$4:CY380,CW$4:CW380))</f>
        <v>-10.893895701507173</v>
      </c>
      <c r="DD380" s="200" t="str">
        <f t="shared" si="593"/>
        <v/>
      </c>
      <c r="DE380" s="203">
        <f>IF($J380="",#N/A,SUM(DD$4:DD380))</f>
        <v>1.6161029218801881</v>
      </c>
      <c r="DF380" s="204" t="str">
        <f t="shared" si="594"/>
        <v/>
      </c>
      <c r="DG380" s="204">
        <f>IF($J380="",#N/A,SUM(DF$4:DF380))</f>
        <v>4.1810385231482243</v>
      </c>
      <c r="DH380" s="205" t="str">
        <f t="shared" si="595"/>
        <v/>
      </c>
      <c r="DI380" s="205">
        <f>IF($J380="",#N/A,SUM(DH$4:DH380))</f>
        <v>0.1663851794688358</v>
      </c>
      <c r="DJ380" s="205">
        <f>IF($J380="",#N/A,SUM(DH$4:DH380,DF$4:DF380,DD$4:DD380))</f>
        <v>5.9635266244972476</v>
      </c>
      <c r="DK380" s="200" t="str">
        <f t="shared" si="596"/>
        <v/>
      </c>
      <c r="DL380" s="203">
        <f>IF($J380="",#N/A,SUM(DK$4:DK380))</f>
        <v>-0.84049791589649614</v>
      </c>
      <c r="DM380" s="204" t="str">
        <f t="shared" si="597"/>
        <v/>
      </c>
      <c r="DN380" s="204">
        <f>IF($J380="",#N/A,SUM(DM$4:DM380))</f>
        <v>1.8657648196498773</v>
      </c>
      <c r="DO380" s="205" t="str">
        <f t="shared" si="598"/>
        <v/>
      </c>
      <c r="DP380" s="205">
        <f>IF($J380="",#N/A,SUM(DO$4:DO380))</f>
        <v>3.4887162328793941</v>
      </c>
      <c r="DQ380" s="205">
        <f>IF($J380="",#N/A,SUM(DO$4:DO380,DM$4:DM380,DK$4:DK380))</f>
        <v>4.5139831366327758</v>
      </c>
      <c r="DR380" s="200" t="str">
        <f t="shared" si="599"/>
        <v/>
      </c>
      <c r="DS380" s="203">
        <f>IF($J380="",#N/A,SUM(DR$4:DR380))</f>
        <v>-0.55950946427675097</v>
      </c>
      <c r="DT380" s="204" t="str">
        <f t="shared" si="600"/>
        <v/>
      </c>
      <c r="DU380" s="204">
        <f>IF($J380="",#N/A,SUM(DT$4:DT380))</f>
        <v>-0.20750635820596686</v>
      </c>
      <c r="DV380" s="205" t="str">
        <f t="shared" si="601"/>
        <v/>
      </c>
      <c r="DW380" s="205">
        <f>IF($J380="",#N/A,SUM(DV$4:DV380))</f>
        <v>-2.3377035686214001</v>
      </c>
      <c r="DX380" s="205">
        <f>IF($J380="",#N/A,SUM(DV$4:DV380,DT$4:DT380,DR$4:DR380))</f>
        <v>-3.1047193911041169</v>
      </c>
      <c r="DY380" s="200" t="str">
        <f t="shared" si="602"/>
        <v/>
      </c>
      <c r="DZ380" s="203">
        <f>IF($J380="",#N/A,SUM(DY$4:DY380))</f>
        <v>-1.4146842415208627</v>
      </c>
      <c r="EA380" s="204" t="str">
        <f t="shared" si="603"/>
        <v/>
      </c>
      <c r="EB380" s="204">
        <f>IF($J380="",#N/A,SUM(EA$4:EA380))</f>
        <v>4.3184391548878134</v>
      </c>
      <c r="EC380" s="205" t="str">
        <f t="shared" si="604"/>
        <v/>
      </c>
      <c r="ED380" s="205">
        <f>IF($J380="",#N/A,SUM(EC$4:EC380))</f>
        <v>8.4384553208490907</v>
      </c>
      <c r="EE380" s="205">
        <f>IF($J380="",#N/A,SUM(EC$4:EC380,EA$4:EA380,DY$4:DY380))</f>
        <v>11.342210234216044</v>
      </c>
      <c r="EF380" s="200" t="str">
        <f t="shared" si="605"/>
        <v/>
      </c>
      <c r="EG380" s="203">
        <f>IF($J380="",#N/A,SUM(EF$4:EF380))</f>
        <v>0.65848341369884777</v>
      </c>
      <c r="EH380" s="204" t="str">
        <f t="shared" si="606"/>
        <v/>
      </c>
      <c r="EI380" s="204">
        <f>IF($J380="",#N/A,SUM(EH$4:EH380))</f>
        <v>-3.5125331561187787</v>
      </c>
      <c r="EJ380" s="205" t="str">
        <f t="shared" si="607"/>
        <v/>
      </c>
      <c r="EK380" s="205">
        <f>IF($J380="",#N/A,SUM(EJ$4:EJ380))</f>
        <v>9.3964359516874456</v>
      </c>
      <c r="EL380" s="205">
        <f>IF($J380="",#N/A,SUM(EJ$4:EJ380,EH$4:EH380,EF$4:EF380))</f>
        <v>6.542386209267514</v>
      </c>
      <c r="EM380" s="200" t="str">
        <f t="shared" si="608"/>
        <v/>
      </c>
      <c r="EN380" s="203">
        <f>IF($J380="",#N/A,SUM(EM$4:EM380))</f>
        <v>0</v>
      </c>
      <c r="EO380" s="204" t="str">
        <f t="shared" si="609"/>
        <v/>
      </c>
      <c r="EP380" s="204">
        <f>IF($J380="",#N/A,SUM(EO$4:EO380))</f>
        <v>2.4788862078089964</v>
      </c>
      <c r="EQ380" s="205" t="str">
        <f t="shared" si="610"/>
        <v/>
      </c>
      <c r="ER380" s="205">
        <f>IF($J380="",#N/A,SUM(EQ$4:EQ380))</f>
        <v>1.7856049065476487</v>
      </c>
      <c r="ES380" s="205">
        <f>IF($J380="",#N/A,SUM(EQ$4:EQ380,EO$4:EO380,EM$4:EM380))</f>
        <v>4.2644911143566446</v>
      </c>
      <c r="ET380" s="200" t="str">
        <f t="shared" si="611"/>
        <v/>
      </c>
      <c r="EU380" s="203">
        <f>IF($J380="",#N/A,SUM(ET$4:ET380))</f>
        <v>0</v>
      </c>
      <c r="EV380" s="204" t="str">
        <f t="shared" si="612"/>
        <v/>
      </c>
      <c r="EW380" s="204">
        <f>IF($J380="",#N/A,SUM(EV$4:EV380))</f>
        <v>7.9116394275462909E-2</v>
      </c>
      <c r="EX380" s="205" t="str">
        <f t="shared" si="613"/>
        <v/>
      </c>
      <c r="EY380" s="205">
        <f>IF($J380="",#N/A,SUM(EX$4:EX380))</f>
        <v>0.62848633887309935</v>
      </c>
      <c r="EZ380" s="205">
        <f>IF($J380="",#N/A,SUM(EX$4:EX380,EV$4:EV380,ET$4:ET380))</f>
        <v>0.70760273314856192</v>
      </c>
      <c r="FA380" s="200" t="str">
        <f t="shared" si="614"/>
        <v/>
      </c>
      <c r="FB380" s="203">
        <f>IF($J380="",#N/A,SUM(FA$4:FA380))</f>
        <v>-0.27145310509113252</v>
      </c>
      <c r="FC380" s="204" t="str">
        <f t="shared" si="615"/>
        <v/>
      </c>
      <c r="FD380" s="204">
        <f>IF($J380="",#N/A,SUM(FC$4:FC380))</f>
        <v>0.89084290967454072</v>
      </c>
      <c r="FE380" s="205" t="str">
        <f t="shared" si="616"/>
        <v/>
      </c>
      <c r="FF380" s="205">
        <f>IF($J380="",#N/A,SUM(FE$4:FE380))</f>
        <v>-0.28811149078748233</v>
      </c>
      <c r="FG380" s="205">
        <f>IF($J380="",#N/A,SUM(FE$4:FE380,FC$4:FC380,FA$4:FA380))</f>
        <v>0.3312783137959262</v>
      </c>
      <c r="FH380" s="200" t="str">
        <f t="shared" si="617"/>
        <v/>
      </c>
      <c r="FI380" s="203">
        <f>IF($J380="",#N/A,SUM(FH$4:FH380))</f>
        <v>0</v>
      </c>
      <c r="FJ380" s="204" t="str">
        <f t="shared" si="618"/>
        <v/>
      </c>
      <c r="FK380" s="204">
        <f>IF($J380="",#N/A,SUM(FJ$4:FJ380))</f>
        <v>0</v>
      </c>
      <c r="FL380" s="205" t="str">
        <f t="shared" si="619"/>
        <v/>
      </c>
      <c r="FM380" s="205">
        <f>IF($J380="",#N/A,SUM(FL$4:FL380))</f>
        <v>0</v>
      </c>
      <c r="FN380" s="205">
        <f>IF($J380="",#N/A,SUM(FL$4:FL380,FJ$4:FJ380,FH$4:FH380))</f>
        <v>0</v>
      </c>
      <c r="FO380" s="200" t="str">
        <f t="shared" si="620"/>
        <v/>
      </c>
      <c r="FP380" s="203">
        <f>IF($J380="",#N/A,SUM(FO$4:FO380))</f>
        <v>0</v>
      </c>
      <c r="FQ380" s="204" t="str">
        <f t="shared" si="621"/>
        <v/>
      </c>
      <c r="FR380" s="204">
        <f>IF($J380="",#N/A,SUM(FQ$4:FQ380))</f>
        <v>0</v>
      </c>
      <c r="FS380" s="205" t="str">
        <f t="shared" si="622"/>
        <v/>
      </c>
      <c r="FT380" s="205">
        <f>IF($J380="",#N/A,SUM(FS$4:FS380))</f>
        <v>0</v>
      </c>
      <c r="FU380" s="205">
        <f>IF($J380="",#N/A,SUM(FS$4:FS380,FQ$4:FQ380,FO$4:FO380))</f>
        <v>0</v>
      </c>
      <c r="FV380" s="200" t="str">
        <f t="shared" si="623"/>
        <v/>
      </c>
      <c r="FW380" s="203">
        <f>IF($J380="",#N/A,SUM(FV$4:FV380))</f>
        <v>6.6834991831277585E-2</v>
      </c>
      <c r="FX380" s="204" t="str">
        <f t="shared" si="624"/>
        <v/>
      </c>
      <c r="FY380" s="204">
        <f>IF($J380="",#N/A,SUM(FX$4:FX380))</f>
        <v>-0.16102012791805576</v>
      </c>
      <c r="FZ380" s="205" t="str">
        <f t="shared" si="625"/>
        <v/>
      </c>
      <c r="GA380" s="205">
        <f>IF($J380="",#N/A,SUM(FZ$4:FZ380))</f>
        <v>-0.69624339162892301</v>
      </c>
      <c r="GB380" s="205">
        <f>IF($J380="",#N/A,SUM(FZ$4:FZ380,FX$4:FX380,FV$4:FV380))</f>
        <v>-0.79042852771570116</v>
      </c>
      <c r="GC380" s="200" t="str">
        <f t="shared" si="626"/>
        <v/>
      </c>
      <c r="GD380" s="203">
        <f>IF($J380="",#N/A,SUM(GC$4:GC380))</f>
        <v>0</v>
      </c>
      <c r="GE380" s="204" t="str">
        <f t="shared" si="627"/>
        <v/>
      </c>
      <c r="GF380" s="204">
        <f>IF($J380="",#N/A,SUM(GE$4:GE380))</f>
        <v>0</v>
      </c>
      <c r="GG380" s="205" t="str">
        <f t="shared" si="628"/>
        <v/>
      </c>
      <c r="GH380" s="205">
        <f>IF($J380="",#N/A,SUM(GG$4:GG380))</f>
        <v>-2.9368362277223206</v>
      </c>
      <c r="GI380" s="205">
        <f>IF($J380="",#N/A,SUM(GG$4:GG380,GE$4:GE380,GC$4:GC380))</f>
        <v>-2.9368362277223206</v>
      </c>
      <c r="GJ380" s="200" t="str">
        <f t="shared" si="629"/>
        <v/>
      </c>
      <c r="GK380" s="203">
        <f>IF($J380="",#N/A,SUM(GJ$4:GJ380))</f>
        <v>0</v>
      </c>
      <c r="GL380" s="204" t="str">
        <f t="shared" si="630"/>
        <v/>
      </c>
      <c r="GM380" s="204">
        <f>IF($J380="",#N/A,SUM(GL$4:GL380))</f>
        <v>-2.0621307233432784</v>
      </c>
      <c r="GN380" s="205" t="str">
        <f t="shared" si="631"/>
        <v/>
      </c>
      <c r="GO380" s="205">
        <f>IF($J380="",#N/A,SUM(GN$4:GN380))</f>
        <v>0</v>
      </c>
      <c r="GP380" s="205">
        <f>IF($J380="",#N/A,SUM(GN$4:GN380,GL$4:GL380,GJ$4:GJ380))</f>
        <v>-2.0621307233432784</v>
      </c>
      <c r="GS380" s="54" t="str">
        <f t="shared" si="650"/>
        <v/>
      </c>
      <c r="GT380" s="54" t="e">
        <f>IF(GS380="",NA(),SUM($GS$4:GS380))</f>
        <v>#N/A</v>
      </c>
      <c r="GU380" s="54" t="str">
        <f t="shared" si="632"/>
        <v/>
      </c>
      <c r="GV380" s="54" t="e">
        <f>IF(GU380="",NA(),SUM($GU$4:GU380))</f>
        <v>#N/A</v>
      </c>
      <c r="GW380" s="54" t="str">
        <f t="shared" si="633"/>
        <v/>
      </c>
      <c r="GX380" s="54" t="e">
        <f>IF(GW380="",NA(),SUM($GW$4:GW380))</f>
        <v>#N/A</v>
      </c>
      <c r="GY380" s="54" t="str">
        <f t="shared" si="634"/>
        <v/>
      </c>
      <c r="GZ380" s="54" t="e">
        <f>IF(GY380="",NA(),SUM($GY$4:GY380))</f>
        <v>#N/A</v>
      </c>
      <c r="HA380" s="54">
        <f t="shared" si="635"/>
        <v>-1.0760488453633184</v>
      </c>
      <c r="HB380" s="54">
        <f>IF(HA380="",NA(),SUM($HA$4:HA380))</f>
        <v>-0.86332655336898312</v>
      </c>
      <c r="HC380" s="54" t="str">
        <f t="shared" si="636"/>
        <v/>
      </c>
      <c r="HD380" s="54" t="e">
        <f>IF(HC380="",NA(),SUM($HC$4:HC380))</f>
        <v>#N/A</v>
      </c>
      <c r="HE380" s="54">
        <f t="shared" si="637"/>
        <v>-1.0760488453633184</v>
      </c>
      <c r="HF380" s="54">
        <f>IF(HE380="",NA(),SUM($HE$4:HE380))</f>
        <v>1.2382289963447766</v>
      </c>
      <c r="HG380" s="54" t="str">
        <f t="shared" si="638"/>
        <v/>
      </c>
      <c r="HH380" s="54" t="e">
        <f>IF(HG380="",NA(),SUM($HG$4:HG380))</f>
        <v>#N/A</v>
      </c>
      <c r="HI380" s="172" t="str">
        <f t="shared" si="651"/>
        <v/>
      </c>
      <c r="HJ380" s="172">
        <f>IF($J380="",#N/A,SUM(HI$4:$HI380))</f>
        <v>-10.162234665497841</v>
      </c>
      <c r="HK380" s="54" t="str">
        <f t="shared" si="639"/>
        <v/>
      </c>
      <c r="HL380" s="54">
        <f>IF($J380="",#N/A,SUM($HK$4:HK380))</f>
        <v>7.4780353515533324</v>
      </c>
      <c r="HM380" s="54" t="str">
        <f t="shared" si="640"/>
        <v/>
      </c>
      <c r="HN380" s="54">
        <f>IF($J380="",#N/A,SUM($HM$4:HM380))</f>
        <v>-1.0806776566755429</v>
      </c>
      <c r="HO380" s="54" t="str">
        <f t="shared" si="641"/>
        <v/>
      </c>
      <c r="HP380" s="54">
        <f>IF($J380="",#N/A,SUM($HO$4:HO380))</f>
        <v>-0.26668580414118226</v>
      </c>
      <c r="HQ380" s="54" t="str">
        <f t="shared" si="642"/>
        <v/>
      </c>
      <c r="HR380" s="54">
        <f>IF($J380="",#N/A,SUM($HQ$4:HQ380))</f>
        <v>-10.836272757439165</v>
      </c>
      <c r="HS380" s="54">
        <f t="shared" si="643"/>
        <v>0.62265747793495418</v>
      </c>
      <c r="HT380" s="54">
        <f>IF($J380="",#N/A,SUM($HS$4:HS380))</f>
        <v>15.275776937054705</v>
      </c>
      <c r="HU380" s="65">
        <f t="shared" si="644"/>
        <v>-0.45339136742836417</v>
      </c>
      <c r="HV380" s="65">
        <f>IF($J380="",#N/A,SUM(HU$4:$HU380))</f>
        <v>10.590253010024842</v>
      </c>
    </row>
    <row r="381" spans="1:230" x14ac:dyDescent="0.25">
      <c r="A381" s="275" t="s">
        <v>2585</v>
      </c>
      <c r="B381" s="52" t="s">
        <v>5547</v>
      </c>
      <c r="C381" s="276">
        <f t="shared" si="545"/>
        <v>3</v>
      </c>
      <c r="D381" s="277" t="str">
        <f>_xlfn.XLOOKUP(A381,[1]SP500!$A$2:$A$502,[1]SP500!$D$2:$D$502,"N")</f>
        <v>N</v>
      </c>
      <c r="E381" s="275" t="str">
        <f>IFERROR(_xlfn.XLOOKUP(A381,[1]SP500!$A$2:$A$655,[1]SP500!$B$2:$B$655),"")</f>
        <v>XLV</v>
      </c>
      <c r="F381" s="290">
        <v>45805</v>
      </c>
      <c r="G381" s="51" t="str">
        <f t="shared" si="546"/>
        <v>AMC</v>
      </c>
      <c r="H381" s="51" t="str">
        <f t="shared" si="547"/>
        <v>s</v>
      </c>
      <c r="I381" s="344">
        <v>234.49</v>
      </c>
      <c r="J381" s="124">
        <v>268.58999999999997</v>
      </c>
      <c r="K381" s="55">
        <f t="shared" si="548"/>
        <v>0.14542197961533526</v>
      </c>
      <c r="L381" s="67">
        <f t="shared" si="549"/>
        <v>204.59999999999991</v>
      </c>
      <c r="M381" s="57">
        <f t="shared" si="550"/>
        <v>-7.7399999999997817</v>
      </c>
      <c r="N381" s="102">
        <f t="shared" si="551"/>
        <v>204.59999999999991</v>
      </c>
      <c r="O381" s="57">
        <f>IF(N381="",#N/A,SUM($N$4:N381))</f>
        <v>539.28937556162498</v>
      </c>
      <c r="P381" s="65">
        <f t="shared" si="645"/>
        <v>2.4236996602555894</v>
      </c>
      <c r="Q381" s="172">
        <f>IF($N381="",#N/A,SUM($P$4:P381))</f>
        <v>13.102184721293675</v>
      </c>
      <c r="R381" s="279">
        <f t="shared" si="552"/>
        <v>8.5325231591688162</v>
      </c>
      <c r="S381" s="51" t="str">
        <f t="shared" si="553"/>
        <v>SW</v>
      </c>
      <c r="T381" s="51" t="s">
        <v>2828</v>
      </c>
      <c r="U381" s="56">
        <f t="shared" si="554"/>
        <v>234.49</v>
      </c>
      <c r="V381" s="56" t="s">
        <v>4460</v>
      </c>
      <c r="W381" s="142">
        <v>6</v>
      </c>
      <c r="X381" s="145">
        <f t="shared" si="555"/>
        <v>1406.94</v>
      </c>
      <c r="Y381" s="140">
        <f t="shared" si="556"/>
        <v>6</v>
      </c>
      <c r="Z381" s="141">
        <v>267.3</v>
      </c>
      <c r="AA381" s="102">
        <f t="shared" si="557"/>
        <v>196.86000000000013</v>
      </c>
      <c r="AB381" s="102">
        <f t="shared" si="558"/>
        <v>267.30000000000018</v>
      </c>
      <c r="AC381" s="123">
        <v>279.04000000000002</v>
      </c>
      <c r="AD381" s="155">
        <f t="shared" si="559"/>
        <v>267.30000000000018</v>
      </c>
      <c r="AE381" s="545">
        <f t="shared" si="560"/>
        <v>3.1664463303339185</v>
      </c>
      <c r="AF381" s="57">
        <f>IF($AC381="",#N/A,SUM(AD$4:AD381))</f>
        <v>855.76239714744997</v>
      </c>
      <c r="AG381" s="102">
        <f t="shared" si="561"/>
        <v>62.700000000000273</v>
      </c>
      <c r="AH381" s="56" t="s">
        <v>2507</v>
      </c>
      <c r="AI381" s="65">
        <f t="shared" si="562"/>
        <v>2.3320113153368318</v>
      </c>
      <c r="AJ381" s="108">
        <f>IF(AI381="",#N/A,SUM($AI$4:AI381))</f>
        <v>4.5696615621248586</v>
      </c>
      <c r="AK381" s="57">
        <f t="shared" si="563"/>
        <v>196.86000000000013</v>
      </c>
      <c r="AL381" s="66">
        <f>IF(AI381="",#N/A,IF(AH381="Skip",SUM($AK$4:AK381),SUM($AK$4:AK381)))</f>
        <v>-52.697630721517498</v>
      </c>
      <c r="AM381" s="65">
        <f t="shared" si="646"/>
        <v>3.1664463303339185</v>
      </c>
      <c r="AN381" s="209"/>
      <c r="AO381" s="65">
        <f t="shared" si="564"/>
        <v>3.1664463303339185</v>
      </c>
      <c r="AP381" s="65">
        <f>IF($AC381="",#N/A,SUM(AO$4:AO381))</f>
        <v>16.279902559133443</v>
      </c>
      <c r="AQ381" s="65" t="str">
        <f t="shared" si="565"/>
        <v/>
      </c>
      <c r="AR381" s="65">
        <f>IF($AC381="",#N/A,SUM(AQ$4:AQ381))</f>
        <v>-8.5442123483768615</v>
      </c>
      <c r="AS381" s="65" t="str">
        <f t="shared" si="566"/>
        <v/>
      </c>
      <c r="AT381" s="65">
        <f>IF($AC381="",#N/A,SUM(AS$4:AS381))</f>
        <v>6.0210091296021728</v>
      </c>
      <c r="AU381" s="57">
        <f t="shared" si="647"/>
        <v>267.30000000000018</v>
      </c>
      <c r="AV381" s="57">
        <f>IF($AC381="",#N/A,SUM(AU$4:AU381))</f>
        <v>1049.0062719498812</v>
      </c>
      <c r="AW381" s="57" t="str">
        <f t="shared" si="648"/>
        <v/>
      </c>
      <c r="AX381" s="57">
        <f>IF($AC381="",#N/A,SUM(AW$4:AW381))</f>
        <v>-635.20106797961103</v>
      </c>
      <c r="AY381" s="57" t="str">
        <f t="shared" si="649"/>
        <v/>
      </c>
      <c r="AZ381" s="57">
        <f>IF($AC381="",#N/A,SUM(AY$4:AY381))</f>
        <v>441.95719317717965</v>
      </c>
      <c r="BA381" s="57">
        <f>IF(AD381="",#N/A,SUM($AD$4:AD381))</f>
        <v>855.76239714744997</v>
      </c>
      <c r="BC381" s="51" t="str">
        <f t="shared" si="567"/>
        <v/>
      </c>
      <c r="BD381" s="51" t="str">
        <f t="shared" si="568"/>
        <v/>
      </c>
      <c r="BE381" s="51">
        <f t="shared" si="569"/>
        <v>1</v>
      </c>
      <c r="BF381" s="51" t="str">
        <f t="shared" si="570"/>
        <v>Long</v>
      </c>
      <c r="BG381" s="51" t="str">
        <f t="shared" si="571"/>
        <v/>
      </c>
      <c r="BH381" s="51" t="str">
        <f t="shared" si="572"/>
        <v/>
      </c>
      <c r="BI381" s="51" t="str">
        <f t="shared" si="573"/>
        <v/>
      </c>
      <c r="BK381" s="65">
        <f t="shared" si="653"/>
        <v>-1.6027063561034928E-2</v>
      </c>
      <c r="BL381" s="65">
        <f t="shared" si="652"/>
        <v>-5.6711682101652061E-2</v>
      </c>
      <c r="BM381" s="65">
        <f>IFERROR(Q381/COUNTA($J$4:J381),#N/A)</f>
        <v>3.466186434204676E-2</v>
      </c>
      <c r="BO381" s="489">
        <f>IF(J381="",#N/A,IF(S381="SW",(COUNTIFS(K$4:$K381,"&gt;0",S$4:$S381,"SW")/COUNTIF(S$4:$S381,"SW")),#N/A))</f>
        <v>0.50549450549450547</v>
      </c>
      <c r="BP381" s="489" t="e">
        <f>IF($J381="",#N/A,IF($S381="DWN",(COUNTIFS($K$4:$K381,"&lt;0",$S$4:$S381,"DWN")/COUNTIF($S$4:$S381,"DWN")),#N/A))</f>
        <v>#N/A</v>
      </c>
      <c r="BQ381" s="489" t="e">
        <f>IF($J381="",#N/A,IF($S381="UP",(COUNTIFS($K$4:$K381,"&gt;0",$S$4:$S381,"UP")/COUNTIF($S$4:$S381,"UP")),#N/A))</f>
        <v>#N/A</v>
      </c>
      <c r="BR381" s="489">
        <f>IF(J381="",#N/A,COUNTIF($K$4:K381,"&gt;0")/COUNT($J$4:J381))</f>
        <v>0.47619047619047616</v>
      </c>
      <c r="BS381" s="65">
        <f t="shared" si="574"/>
        <v>2.4236996602555894</v>
      </c>
      <c r="BT381" s="65" t="str">
        <f t="shared" si="575"/>
        <v/>
      </c>
      <c r="BU381" s="65" t="str">
        <f t="shared" si="576"/>
        <v/>
      </c>
      <c r="BV381" s="65" t="str">
        <f t="shared" si="577"/>
        <v/>
      </c>
      <c r="BW381" s="128" t="str">
        <f t="shared" si="578"/>
        <v/>
      </c>
      <c r="BX381" s="128">
        <f>IF($J381="",#N/A,SUM($BW$4:BW381))</f>
        <v>-529.09817034792877</v>
      </c>
      <c r="BY381" s="131" t="str">
        <f t="shared" si="579"/>
        <v/>
      </c>
      <c r="BZ381" s="131">
        <f>IF($J381="",#N/A,SUM($BY$4:BY381))</f>
        <v>391.5616134613947</v>
      </c>
      <c r="CA381" s="133">
        <f t="shared" si="580"/>
        <v>204.59999999999991</v>
      </c>
      <c r="CB381" s="133">
        <f>IF($J381="",#N/A,SUM($CA$4:CA381))</f>
        <v>676.82593244815882</v>
      </c>
      <c r="CC381" s="194" t="str">
        <f t="shared" si="581"/>
        <v/>
      </c>
      <c r="CD381" s="194">
        <f>IF($J381="",#N/A,SUM($CC$4:CC381))</f>
        <v>-7.1968488875601349</v>
      </c>
      <c r="CE381" s="195" t="str">
        <f t="shared" si="582"/>
        <v/>
      </c>
      <c r="CF381" s="195">
        <f>IF($J381="",#N/A,SUM($CE$4:CE381))</f>
        <v>8.7052084435466917</v>
      </c>
      <c r="CG381" s="196">
        <f t="shared" si="583"/>
        <v>2.4236996602555894</v>
      </c>
      <c r="CH381" s="196">
        <f>IF($J381="",#N/A,SUM($CG$4:CG381))</f>
        <v>11.593825165307129</v>
      </c>
      <c r="CI381" s="200" t="str">
        <f t="shared" si="584"/>
        <v/>
      </c>
      <c r="CJ381" s="203">
        <f>IF($J381="",#N/A,SUM(CI$4:CI381))</f>
        <v>0</v>
      </c>
      <c r="CK381" s="204" t="str">
        <f t="shared" si="585"/>
        <v/>
      </c>
      <c r="CL381" s="204">
        <f>IF($J381="",#N/A,SUM(CK$4:CK381))</f>
        <v>1.2912501745213723</v>
      </c>
      <c r="CM381" s="205" t="str">
        <f t="shared" si="586"/>
        <v/>
      </c>
      <c r="CN381" s="205">
        <f>IF($J381="",#N/A,SUM(CM$4:CM381))</f>
        <v>-0.71690643699161116</v>
      </c>
      <c r="CO381" s="205">
        <f>IF($J381="",#N/A,SUM(CM$4:CM381,CK$4:CK381,CI$4:CI381))</f>
        <v>0.57434373752976109</v>
      </c>
      <c r="CP381" s="200" t="str">
        <f t="shared" si="587"/>
        <v/>
      </c>
      <c r="CQ381" s="203">
        <f>IF($J381="",#N/A,SUM(CP$4:CP381))</f>
        <v>-3.6116753136693021</v>
      </c>
      <c r="CR381" s="204" t="str">
        <f t="shared" si="588"/>
        <v/>
      </c>
      <c r="CS381" s="204">
        <f>IF($J381="",#N/A,SUM(CR$4:CR381))</f>
        <v>2.3600225017004668</v>
      </c>
      <c r="CT381" s="205" t="str">
        <f t="shared" si="589"/>
        <v/>
      </c>
      <c r="CU381" s="205">
        <f>IF($J381="",#N/A,SUM(CT$4:CT381))</f>
        <v>-2.4894627481428637</v>
      </c>
      <c r="CV381" s="205">
        <f>IF($J381="",#N/A,SUM(CT$4:CT381,CR$4:CR381,CP$4:CP381))</f>
        <v>-3.7411155601116985</v>
      </c>
      <c r="CW381" s="200" t="str">
        <f t="shared" si="590"/>
        <v/>
      </c>
      <c r="CX381" s="203">
        <f>IF($J381="",#N/A,SUM(CW$4:CW381))</f>
        <v>-3.3082659491100586</v>
      </c>
      <c r="CY381" s="204" t="str">
        <f t="shared" si="591"/>
        <v/>
      </c>
      <c r="CZ381" s="204">
        <f>IF($J381="",#N/A,SUM(CY$4:CY381))</f>
        <v>-3.9836018577043975</v>
      </c>
      <c r="DA381" s="205" t="str">
        <f t="shared" si="592"/>
        <v/>
      </c>
      <c r="DB381" s="205">
        <f>IF($J381="",#N/A,SUM(DA$4:DA381))</f>
        <v>-3.6020278946927151</v>
      </c>
      <c r="DC381" s="205">
        <f>IF($J381="",#N/A,SUM(DA$4:DA381,CY$4:CY381,CW$4:CW381))</f>
        <v>-10.893895701507173</v>
      </c>
      <c r="DD381" s="200" t="str">
        <f t="shared" si="593"/>
        <v/>
      </c>
      <c r="DE381" s="203">
        <f>IF($J381="",#N/A,SUM(DD$4:DD381))</f>
        <v>1.6161029218801881</v>
      </c>
      <c r="DF381" s="204" t="str">
        <f t="shared" si="594"/>
        <v/>
      </c>
      <c r="DG381" s="204">
        <f>IF($J381="",#N/A,SUM(DF$4:DF381))</f>
        <v>4.1810385231482243</v>
      </c>
      <c r="DH381" s="205" t="str">
        <f t="shared" si="595"/>
        <v/>
      </c>
      <c r="DI381" s="205">
        <f>IF($J381="",#N/A,SUM(DH$4:DH381))</f>
        <v>0.1663851794688358</v>
      </c>
      <c r="DJ381" s="205">
        <f>IF($J381="",#N/A,SUM(DH$4:DH381,DF$4:DF381,DD$4:DD381))</f>
        <v>5.9635266244972476</v>
      </c>
      <c r="DK381" s="200" t="str">
        <f t="shared" si="596"/>
        <v/>
      </c>
      <c r="DL381" s="203">
        <f>IF($J381="",#N/A,SUM(DK$4:DK381))</f>
        <v>-0.84049791589649614</v>
      </c>
      <c r="DM381" s="204" t="str">
        <f t="shared" si="597"/>
        <v/>
      </c>
      <c r="DN381" s="204">
        <f>IF($J381="",#N/A,SUM(DM$4:DM381))</f>
        <v>1.8657648196498773</v>
      </c>
      <c r="DO381" s="205" t="str">
        <f t="shared" si="598"/>
        <v/>
      </c>
      <c r="DP381" s="205">
        <f>IF($J381="",#N/A,SUM(DO$4:DO381))</f>
        <v>3.4887162328793941</v>
      </c>
      <c r="DQ381" s="205">
        <f>IF($J381="",#N/A,SUM(DO$4:DO381,DM$4:DM381,DK$4:DK381))</f>
        <v>4.5139831366327758</v>
      </c>
      <c r="DR381" s="200" t="str">
        <f t="shared" si="599"/>
        <v/>
      </c>
      <c r="DS381" s="203">
        <f>IF($J381="",#N/A,SUM(DR$4:DR381))</f>
        <v>-0.55950946427675097</v>
      </c>
      <c r="DT381" s="204" t="str">
        <f t="shared" si="600"/>
        <v/>
      </c>
      <c r="DU381" s="204">
        <f>IF($J381="",#N/A,SUM(DT$4:DT381))</f>
        <v>-0.20750635820596686</v>
      </c>
      <c r="DV381" s="205" t="str">
        <f t="shared" si="601"/>
        <v/>
      </c>
      <c r="DW381" s="205">
        <f>IF($J381="",#N/A,SUM(DV$4:DV381))</f>
        <v>-2.3377035686214001</v>
      </c>
      <c r="DX381" s="205">
        <f>IF($J381="",#N/A,SUM(DV$4:DV381,DT$4:DT381,DR$4:DR381))</f>
        <v>-3.1047193911041169</v>
      </c>
      <c r="DY381" s="200" t="str">
        <f t="shared" si="602"/>
        <v/>
      </c>
      <c r="DZ381" s="203">
        <f>IF($J381="",#N/A,SUM(DY$4:DY381))</f>
        <v>-1.4146842415208627</v>
      </c>
      <c r="EA381" s="204" t="str">
        <f t="shared" si="603"/>
        <v/>
      </c>
      <c r="EB381" s="204">
        <f>IF($J381="",#N/A,SUM(EA$4:EA381))</f>
        <v>4.3184391548878134</v>
      </c>
      <c r="EC381" s="205" t="str">
        <f t="shared" si="604"/>
        <v/>
      </c>
      <c r="ED381" s="205">
        <f>IF($J381="",#N/A,SUM(EC$4:EC381))</f>
        <v>8.4384553208490907</v>
      </c>
      <c r="EE381" s="205">
        <f>IF($J381="",#N/A,SUM(EC$4:EC381,EA$4:EA381,DY$4:DY381))</f>
        <v>11.342210234216044</v>
      </c>
      <c r="EF381" s="200" t="str">
        <f t="shared" si="605"/>
        <v/>
      </c>
      <c r="EG381" s="203">
        <f>IF($J381="",#N/A,SUM(EF$4:EF381))</f>
        <v>0.65848341369884777</v>
      </c>
      <c r="EH381" s="204" t="str">
        <f t="shared" si="606"/>
        <v/>
      </c>
      <c r="EI381" s="204">
        <f>IF($J381="",#N/A,SUM(EH$4:EH381))</f>
        <v>-3.5125331561187787</v>
      </c>
      <c r="EJ381" s="205">
        <f t="shared" si="607"/>
        <v>2.4236996602555894</v>
      </c>
      <c r="EK381" s="205">
        <f>IF($J381="",#N/A,SUM(EJ$4:EJ381))</f>
        <v>11.820135611943035</v>
      </c>
      <c r="EL381" s="205">
        <f>IF($J381="",#N/A,SUM(EJ$4:EJ381,EH$4:EH381,EF$4:EF381))</f>
        <v>8.9660858695231074</v>
      </c>
      <c r="EM381" s="200" t="str">
        <f t="shared" si="608"/>
        <v/>
      </c>
      <c r="EN381" s="203">
        <f>IF($J381="",#N/A,SUM(EM$4:EM381))</f>
        <v>0</v>
      </c>
      <c r="EO381" s="204" t="str">
        <f t="shared" si="609"/>
        <v/>
      </c>
      <c r="EP381" s="204">
        <f>IF($J381="",#N/A,SUM(EO$4:EO381))</f>
        <v>2.4788862078089964</v>
      </c>
      <c r="EQ381" s="205" t="str">
        <f t="shared" si="610"/>
        <v/>
      </c>
      <c r="ER381" s="205">
        <f>IF($J381="",#N/A,SUM(EQ$4:EQ381))</f>
        <v>1.7856049065476487</v>
      </c>
      <c r="ES381" s="205">
        <f>IF($J381="",#N/A,SUM(EQ$4:EQ381,EO$4:EO381,EM$4:EM381))</f>
        <v>4.2644911143566446</v>
      </c>
      <c r="ET381" s="200" t="str">
        <f t="shared" si="611"/>
        <v/>
      </c>
      <c r="EU381" s="203">
        <f>IF($J381="",#N/A,SUM(ET$4:ET381))</f>
        <v>0</v>
      </c>
      <c r="EV381" s="204" t="str">
        <f t="shared" si="612"/>
        <v/>
      </c>
      <c r="EW381" s="204">
        <f>IF($J381="",#N/A,SUM(EV$4:EV381))</f>
        <v>7.9116394275462909E-2</v>
      </c>
      <c r="EX381" s="205" t="str">
        <f t="shared" si="613"/>
        <v/>
      </c>
      <c r="EY381" s="205">
        <f>IF($J381="",#N/A,SUM(EX$4:EX381))</f>
        <v>0.62848633887309935</v>
      </c>
      <c r="EZ381" s="205">
        <f>IF($J381="",#N/A,SUM(EX$4:EX381,EV$4:EV381,ET$4:ET381))</f>
        <v>0.70760273314856192</v>
      </c>
      <c r="FA381" s="200" t="str">
        <f t="shared" si="614"/>
        <v/>
      </c>
      <c r="FB381" s="203">
        <f>IF($J381="",#N/A,SUM(FA$4:FA381))</f>
        <v>-0.27145310509113252</v>
      </c>
      <c r="FC381" s="204" t="str">
        <f t="shared" si="615"/>
        <v/>
      </c>
      <c r="FD381" s="204">
        <f>IF($J381="",#N/A,SUM(FC$4:FC381))</f>
        <v>0.89084290967454072</v>
      </c>
      <c r="FE381" s="205" t="str">
        <f t="shared" si="616"/>
        <v/>
      </c>
      <c r="FF381" s="205">
        <f>IF($J381="",#N/A,SUM(FE$4:FE381))</f>
        <v>-0.28811149078748233</v>
      </c>
      <c r="FG381" s="205">
        <f>IF($J381="",#N/A,SUM(FE$4:FE381,FC$4:FC381,FA$4:FA381))</f>
        <v>0.3312783137959262</v>
      </c>
      <c r="FH381" s="200" t="str">
        <f t="shared" si="617"/>
        <v/>
      </c>
      <c r="FI381" s="203">
        <f>IF($J381="",#N/A,SUM(FH$4:FH381))</f>
        <v>0</v>
      </c>
      <c r="FJ381" s="204" t="str">
        <f t="shared" si="618"/>
        <v/>
      </c>
      <c r="FK381" s="204">
        <f>IF($J381="",#N/A,SUM(FJ$4:FJ381))</f>
        <v>0</v>
      </c>
      <c r="FL381" s="205" t="str">
        <f t="shared" si="619"/>
        <v/>
      </c>
      <c r="FM381" s="205">
        <f>IF($J381="",#N/A,SUM(FL$4:FL381))</f>
        <v>0</v>
      </c>
      <c r="FN381" s="205">
        <f>IF($J381="",#N/A,SUM(FL$4:FL381,FJ$4:FJ381,FH$4:FH381))</f>
        <v>0</v>
      </c>
      <c r="FO381" s="200" t="str">
        <f t="shared" si="620"/>
        <v/>
      </c>
      <c r="FP381" s="203">
        <f>IF($J381="",#N/A,SUM(FO$4:FO381))</f>
        <v>0</v>
      </c>
      <c r="FQ381" s="204" t="str">
        <f t="shared" si="621"/>
        <v/>
      </c>
      <c r="FR381" s="204">
        <f>IF($J381="",#N/A,SUM(FQ$4:FQ381))</f>
        <v>0</v>
      </c>
      <c r="FS381" s="205" t="str">
        <f t="shared" si="622"/>
        <v/>
      </c>
      <c r="FT381" s="205">
        <f>IF($J381="",#N/A,SUM(FS$4:FS381))</f>
        <v>0</v>
      </c>
      <c r="FU381" s="205">
        <f>IF($J381="",#N/A,SUM(FS$4:FS381,FQ$4:FQ381,FO$4:FO381))</f>
        <v>0</v>
      </c>
      <c r="FV381" s="200" t="str">
        <f t="shared" si="623"/>
        <v/>
      </c>
      <c r="FW381" s="203">
        <f>IF($J381="",#N/A,SUM(FV$4:FV381))</f>
        <v>6.6834991831277585E-2</v>
      </c>
      <c r="FX381" s="204" t="str">
        <f t="shared" si="624"/>
        <v/>
      </c>
      <c r="FY381" s="204">
        <f>IF($J381="",#N/A,SUM(FX$4:FX381))</f>
        <v>-0.16102012791805576</v>
      </c>
      <c r="FZ381" s="205" t="str">
        <f t="shared" si="625"/>
        <v/>
      </c>
      <c r="GA381" s="205">
        <f>IF($J381="",#N/A,SUM(FZ$4:FZ381))</f>
        <v>-0.69624339162892301</v>
      </c>
      <c r="GB381" s="205">
        <f>IF($J381="",#N/A,SUM(FZ$4:FZ381,FX$4:FX381,FV$4:FV381))</f>
        <v>-0.79042852771570116</v>
      </c>
      <c r="GC381" s="200" t="str">
        <f t="shared" si="626"/>
        <v/>
      </c>
      <c r="GD381" s="203">
        <f>IF($J381="",#N/A,SUM(GC$4:GC381))</f>
        <v>0</v>
      </c>
      <c r="GE381" s="204" t="str">
        <f t="shared" si="627"/>
        <v/>
      </c>
      <c r="GF381" s="204">
        <f>IF($J381="",#N/A,SUM(GE$4:GE381))</f>
        <v>0</v>
      </c>
      <c r="GG381" s="205" t="str">
        <f t="shared" si="628"/>
        <v/>
      </c>
      <c r="GH381" s="205">
        <f>IF($J381="",#N/A,SUM(GG$4:GG381))</f>
        <v>-2.9368362277223206</v>
      </c>
      <c r="GI381" s="205">
        <f>IF($J381="",#N/A,SUM(GG$4:GG381,GE$4:GE381,GC$4:GC381))</f>
        <v>-2.9368362277223206</v>
      </c>
      <c r="GJ381" s="200" t="str">
        <f t="shared" si="629"/>
        <v/>
      </c>
      <c r="GK381" s="203">
        <f>IF($J381="",#N/A,SUM(GJ$4:GJ381))</f>
        <v>0</v>
      </c>
      <c r="GL381" s="204" t="str">
        <f t="shared" si="630"/>
        <v/>
      </c>
      <c r="GM381" s="204">
        <f>IF($J381="",#N/A,SUM(GL$4:GL381))</f>
        <v>-2.0621307233432784</v>
      </c>
      <c r="GN381" s="205" t="str">
        <f t="shared" si="631"/>
        <v/>
      </c>
      <c r="GO381" s="205">
        <f>IF($J381="",#N/A,SUM(GN$4:GN381))</f>
        <v>0</v>
      </c>
      <c r="GP381" s="205">
        <f>IF($J381="",#N/A,SUM(GN$4:GN381,GL$4:GL381,GJ$4:GJ381))</f>
        <v>-2.0621307233432784</v>
      </c>
      <c r="GS381" s="54" t="str">
        <f t="shared" si="650"/>
        <v/>
      </c>
      <c r="GT381" s="54" t="e">
        <f>IF(GS381="",NA(),SUM($GS$4:GS381))</f>
        <v>#N/A</v>
      </c>
      <c r="GU381" s="54" t="str">
        <f t="shared" si="632"/>
        <v/>
      </c>
      <c r="GV381" s="54" t="e">
        <f>IF(GU381="",NA(),SUM($GU$4:GU381))</f>
        <v>#N/A</v>
      </c>
      <c r="GW381" s="54" t="str">
        <f t="shared" si="633"/>
        <v/>
      </c>
      <c r="GX381" s="54" t="e">
        <f>IF(GW381="",NA(),SUM($GW$4:GW381))</f>
        <v>#N/A</v>
      </c>
      <c r="GY381" s="54" t="str">
        <f t="shared" si="634"/>
        <v/>
      </c>
      <c r="GZ381" s="54" t="e">
        <f>IF(GY381="",NA(),SUM($GY$4:GY381))</f>
        <v>#N/A</v>
      </c>
      <c r="HA381" s="54">
        <f t="shared" si="635"/>
        <v>2.4236996602555894</v>
      </c>
      <c r="HB381" s="54">
        <f>IF(HA381="",NA(),SUM($HA$4:HA381))</f>
        <v>1.5603731068866062</v>
      </c>
      <c r="HC381" s="54" t="str">
        <f t="shared" si="636"/>
        <v/>
      </c>
      <c r="HD381" s="54" t="e">
        <f>IF(HC381="",NA(),SUM($HC$4:HC381))</f>
        <v>#N/A</v>
      </c>
      <c r="HE381" s="54">
        <f t="shared" si="637"/>
        <v>2.4236996602555894</v>
      </c>
      <c r="HF381" s="54">
        <f>IF(HE381="",NA(),SUM($HE$4:HE381))</f>
        <v>3.6619286566003657</v>
      </c>
      <c r="HG381" s="54" t="str">
        <f t="shared" si="638"/>
        <v/>
      </c>
      <c r="HH381" s="54" t="e">
        <f>IF(HG381="",NA(),SUM($HG$4:HG381))</f>
        <v>#N/A</v>
      </c>
      <c r="HI381" s="172" t="str">
        <f t="shared" si="651"/>
        <v/>
      </c>
      <c r="HJ381" s="172">
        <f>IF($J381="",#N/A,SUM(HI$4:$HI381))</f>
        <v>-10.162234665497841</v>
      </c>
      <c r="HK381" s="54" t="str">
        <f t="shared" si="639"/>
        <v/>
      </c>
      <c r="HL381" s="54">
        <f>IF($J381="",#N/A,SUM($HK$4:HK381))</f>
        <v>7.4780353515533324</v>
      </c>
      <c r="HM381" s="54" t="str">
        <f t="shared" si="640"/>
        <v/>
      </c>
      <c r="HN381" s="54">
        <f>IF($J381="",#N/A,SUM($HM$4:HM381))</f>
        <v>-1.0806776566755429</v>
      </c>
      <c r="HO381" s="54" t="str">
        <f t="shared" si="641"/>
        <v/>
      </c>
      <c r="HP381" s="54">
        <f>IF($J381="",#N/A,SUM($HO$4:HO381))</f>
        <v>-0.26668580414118226</v>
      </c>
      <c r="HQ381" s="54">
        <f t="shared" si="642"/>
        <v>0.74274667007832917</v>
      </c>
      <c r="HR381" s="54">
        <f>IF($J381="",#N/A,SUM($HQ$4:HQ381))</f>
        <v>-10.093526087360836</v>
      </c>
      <c r="HS381" s="54" t="str">
        <f t="shared" si="643"/>
        <v/>
      </c>
      <c r="HT381" s="54">
        <f>IF($J381="",#N/A,SUM($HS$4:HS381))</f>
        <v>15.275776937054705</v>
      </c>
      <c r="HU381" s="65">
        <f t="shared" si="644"/>
        <v>3.1664463303339185</v>
      </c>
      <c r="HV381" s="65">
        <f>IF($J381="",#N/A,SUM(HU$4:$HU381))</f>
        <v>13.756699340358761</v>
      </c>
    </row>
    <row r="382" spans="1:230" x14ac:dyDescent="0.25">
      <c r="A382" s="51" t="s">
        <v>2599</v>
      </c>
      <c r="B382" s="52" t="s">
        <v>5547</v>
      </c>
      <c r="C382" s="229">
        <f t="shared" si="545"/>
        <v>3</v>
      </c>
      <c r="D382" s="219" t="str">
        <f>_xlfn.XLOOKUP(A382,[1]SP500!$A$2:$A$502,[1]SP500!$D$2:$D$502,"N")</f>
        <v>N</v>
      </c>
      <c r="E382" s="51" t="str">
        <f>IFERROR(_xlfn.XLOOKUP(A382,[1]SP500!$A$2:$A$655,[1]SP500!$B$2:$B$655),"")</f>
        <v>IGV</v>
      </c>
      <c r="F382" s="290">
        <v>45805</v>
      </c>
      <c r="G382" s="51" t="str">
        <f t="shared" si="546"/>
        <v>AMC</v>
      </c>
      <c r="H382" s="51" t="str">
        <f t="shared" si="547"/>
        <v>s</v>
      </c>
      <c r="I382" s="343">
        <v>19.670000000000002</v>
      </c>
      <c r="J382" s="124">
        <v>16.95</v>
      </c>
      <c r="K382" s="55">
        <f t="shared" si="548"/>
        <v>-0.13828164717844443</v>
      </c>
      <c r="L382" s="67">
        <f t="shared" si="549"/>
        <v>-187.68000000000006</v>
      </c>
      <c r="M382" s="57">
        <f t="shared" si="550"/>
        <v>3.4500000000000455</v>
      </c>
      <c r="N382" s="102">
        <f t="shared" si="551"/>
        <v>-187.68000000000006</v>
      </c>
      <c r="O382" s="57">
        <f>IF(N382="",#N/A,SUM($N$4:N382))</f>
        <v>351.60937556162492</v>
      </c>
      <c r="P382" s="65">
        <f t="shared" si="645"/>
        <v>-2.3046941196407396</v>
      </c>
      <c r="Q382" s="172">
        <f>IF($N382="",#N/A,SUM($P$4:P382))</f>
        <v>10.797490601652935</v>
      </c>
      <c r="R382" s="279">
        <f t="shared" si="552"/>
        <v>8.4901574584401249</v>
      </c>
      <c r="S382" s="51" t="str">
        <f t="shared" si="553"/>
        <v>SW</v>
      </c>
      <c r="T382" s="51" t="s">
        <v>2828</v>
      </c>
      <c r="U382" s="56">
        <f t="shared" si="554"/>
        <v>19.670000000000002</v>
      </c>
      <c r="V382" s="56" t="s">
        <v>4460</v>
      </c>
      <c r="W382" s="142">
        <v>69</v>
      </c>
      <c r="X382" s="145">
        <f t="shared" si="555"/>
        <v>1357.23</v>
      </c>
      <c r="Y382" s="140">
        <f t="shared" si="556"/>
        <v>69</v>
      </c>
      <c r="Z382" s="141">
        <v>17</v>
      </c>
      <c r="AA382" s="102">
        <f t="shared" si="557"/>
        <v>-184.23000000000002</v>
      </c>
      <c r="AB382" s="102">
        <f t="shared" si="558"/>
        <v>-157.31999999999994</v>
      </c>
      <c r="AC382" s="124">
        <v>17.39</v>
      </c>
      <c r="AD382" s="155">
        <f t="shared" si="559"/>
        <v>-157.31999999999994</v>
      </c>
      <c r="AE382" s="545">
        <f t="shared" si="560"/>
        <v>-1.9318759532282654</v>
      </c>
      <c r="AF382" s="57">
        <f>IF($AC382="",#N/A,SUM(AD$4:AD382))</f>
        <v>698.44239714745004</v>
      </c>
      <c r="AG382" s="102">
        <f t="shared" si="561"/>
        <v>30.360000000000127</v>
      </c>
      <c r="AH382" s="56" t="s">
        <v>2507</v>
      </c>
      <c r="AI382" s="65">
        <f t="shared" si="562"/>
        <v>-2.2623284189120487</v>
      </c>
      <c r="AJ382" s="108">
        <f>IF(AI382="",#N/A,SUM($AI$4:AI382))</f>
        <v>2.3073331432128099</v>
      </c>
      <c r="AK382" s="57">
        <f t="shared" si="563"/>
        <v>-184.23000000000002</v>
      </c>
      <c r="AL382" s="66">
        <f>IF(AI382="",#N/A,IF(AH382="Skip",SUM($AK$4:AK382),SUM($AK$4:AK382)))</f>
        <v>-236.92763072151752</v>
      </c>
      <c r="AM382" s="65">
        <f t="shared" si="646"/>
        <v>-1.9318759532282654</v>
      </c>
      <c r="AN382" s="209"/>
      <c r="AO382" s="65">
        <f t="shared" si="564"/>
        <v>-1.9318759532282654</v>
      </c>
      <c r="AP382" s="65">
        <f>IF($AC382="",#N/A,SUM(AO$4:AO382))</f>
        <v>14.348026605905178</v>
      </c>
      <c r="AQ382" s="65" t="str">
        <f t="shared" si="565"/>
        <v/>
      </c>
      <c r="AR382" s="65">
        <f>IF($AC382="",#N/A,SUM(AQ$4:AQ382))</f>
        <v>-8.5442123483768615</v>
      </c>
      <c r="AS382" s="65" t="str">
        <f t="shared" si="566"/>
        <v/>
      </c>
      <c r="AT382" s="65">
        <f>IF($AC382="",#N/A,SUM(AS$4:AS382))</f>
        <v>6.0210091296021728</v>
      </c>
      <c r="AU382" s="57">
        <f t="shared" si="647"/>
        <v>-157.31999999999994</v>
      </c>
      <c r="AV382" s="57">
        <f>IF($AC382="",#N/A,SUM(AU$4:AU382))</f>
        <v>891.6862719498813</v>
      </c>
      <c r="AW382" s="57" t="str">
        <f t="shared" si="648"/>
        <v/>
      </c>
      <c r="AX382" s="57">
        <f>IF($AC382="",#N/A,SUM(AW$4:AW382))</f>
        <v>-635.20106797961103</v>
      </c>
      <c r="AY382" s="57" t="str">
        <f t="shared" si="649"/>
        <v/>
      </c>
      <c r="AZ382" s="57">
        <f>IF($AC382="",#N/A,SUM(AY$4:AY382))</f>
        <v>441.95719317717965</v>
      </c>
      <c r="BA382" s="57">
        <f>IF(AD382="",#N/A,SUM($AD$4:AD382))</f>
        <v>698.44239714745004</v>
      </c>
      <c r="BC382" s="51" t="str">
        <f t="shared" si="567"/>
        <v/>
      </c>
      <c r="BD382" s="51" t="str">
        <f t="shared" si="568"/>
        <v/>
      </c>
      <c r="BE382" s="51" t="str">
        <f t="shared" si="569"/>
        <v/>
      </c>
      <c r="BF382" s="51" t="str">
        <f t="shared" si="570"/>
        <v>Long</v>
      </c>
      <c r="BG382" s="51" t="str">
        <f t="shared" si="571"/>
        <v/>
      </c>
      <c r="BH382" s="51" t="str">
        <f t="shared" si="572"/>
        <v/>
      </c>
      <c r="BI382" s="51">
        <f t="shared" si="573"/>
        <v>1</v>
      </c>
      <c r="BK382" s="65">
        <f t="shared" si="653"/>
        <v>-7.34921278927608E-2</v>
      </c>
      <c r="BL382" s="65">
        <f t="shared" si="652"/>
        <v>-0.16353774475962196</v>
      </c>
      <c r="BM382" s="65">
        <f>IFERROR(Q382/COUNTA($J$4:J382),#N/A)</f>
        <v>2.8489421112540728E-2</v>
      </c>
      <c r="BO382" s="489">
        <f>IF(J382="",#N/A,IF(S382="SW",(COUNTIFS(K$4:$K382,"&gt;0",S$4:$S382,"SW")/COUNTIF(S$4:$S382,"SW")),#N/A))</f>
        <v>0.50273224043715847</v>
      </c>
      <c r="BP382" s="489" t="e">
        <f>IF($J382="",#N/A,IF($S382="DWN",(COUNTIFS($K$4:$K382,"&lt;0",$S$4:$S382,"DWN")/COUNTIF($S$4:$S382,"DWN")),#N/A))</f>
        <v>#N/A</v>
      </c>
      <c r="BQ382" s="489" t="e">
        <f>IF($J382="",#N/A,IF($S382="UP",(COUNTIFS($K$4:$K382,"&gt;0",$S$4:$S382,"UP")/COUNTIF($S$4:$S382,"UP")),#N/A))</f>
        <v>#N/A</v>
      </c>
      <c r="BR382" s="489">
        <f>IF(J382="",#N/A,COUNTIF($K$4:K382,"&gt;0")/COUNT($J$4:J382))</f>
        <v>0.47493403693931396</v>
      </c>
      <c r="BS382" s="65" t="str">
        <f t="shared" si="574"/>
        <v/>
      </c>
      <c r="BT382" s="65">
        <f t="shared" si="575"/>
        <v>-2.3046941196407396</v>
      </c>
      <c r="BU382" s="65" t="str">
        <f t="shared" si="576"/>
        <v/>
      </c>
      <c r="BV382" s="65" t="str">
        <f t="shared" si="577"/>
        <v/>
      </c>
      <c r="BW382" s="128" t="str">
        <f t="shared" si="578"/>
        <v/>
      </c>
      <c r="BX382" s="128">
        <f>IF($J382="",#N/A,SUM($BW$4:BW382))</f>
        <v>-529.09817034792877</v>
      </c>
      <c r="BY382" s="131" t="str">
        <f t="shared" si="579"/>
        <v/>
      </c>
      <c r="BZ382" s="131">
        <f>IF($J382="",#N/A,SUM($BY$4:BY382))</f>
        <v>391.5616134613947</v>
      </c>
      <c r="CA382" s="133">
        <f t="shared" si="580"/>
        <v>-187.68000000000006</v>
      </c>
      <c r="CB382" s="133">
        <f>IF($J382="",#N/A,SUM($CA$4:CA382))</f>
        <v>489.14593244815876</v>
      </c>
      <c r="CC382" s="194" t="str">
        <f t="shared" si="581"/>
        <v/>
      </c>
      <c r="CD382" s="194">
        <f>IF($J382="",#N/A,SUM($CC$4:CC382))</f>
        <v>-7.1968488875601349</v>
      </c>
      <c r="CE382" s="195" t="str">
        <f t="shared" si="582"/>
        <v/>
      </c>
      <c r="CF382" s="195">
        <f>IF($J382="",#N/A,SUM($CE$4:CE382))</f>
        <v>8.7052084435466917</v>
      </c>
      <c r="CG382" s="196">
        <f t="shared" si="583"/>
        <v>-2.3046941196407396</v>
      </c>
      <c r="CH382" s="196">
        <f>IF($J382="",#N/A,SUM($CG$4:CG382))</f>
        <v>9.2891310456663891</v>
      </c>
      <c r="CI382" s="200" t="str">
        <f t="shared" si="584"/>
        <v/>
      </c>
      <c r="CJ382" s="203">
        <f>IF($J382="",#N/A,SUM(CI$4:CI382))</f>
        <v>0</v>
      </c>
      <c r="CK382" s="204" t="str">
        <f t="shared" si="585"/>
        <v/>
      </c>
      <c r="CL382" s="204">
        <f>IF($J382="",#N/A,SUM(CK$4:CK382))</f>
        <v>1.2912501745213723</v>
      </c>
      <c r="CM382" s="205" t="str">
        <f t="shared" si="586"/>
        <v/>
      </c>
      <c r="CN382" s="205">
        <f>IF($J382="",#N/A,SUM(CM$4:CM382))</f>
        <v>-0.71690643699161116</v>
      </c>
      <c r="CO382" s="205">
        <f>IF($J382="",#N/A,SUM(CM$4:CM382,CK$4:CK382,CI$4:CI382))</f>
        <v>0.57434373752976109</v>
      </c>
      <c r="CP382" s="200" t="str">
        <f t="shared" si="587"/>
        <v/>
      </c>
      <c r="CQ382" s="203">
        <f>IF($J382="",#N/A,SUM(CP$4:CP382))</f>
        <v>-3.6116753136693021</v>
      </c>
      <c r="CR382" s="204" t="str">
        <f t="shared" si="588"/>
        <v/>
      </c>
      <c r="CS382" s="204">
        <f>IF($J382="",#N/A,SUM(CR$4:CR382))</f>
        <v>2.3600225017004668</v>
      </c>
      <c r="CT382" s="205">
        <f t="shared" si="589"/>
        <v>-2.3046941196407396</v>
      </c>
      <c r="CU382" s="205">
        <f>IF($J382="",#N/A,SUM(CT$4:CT382))</f>
        <v>-4.7941568677836033</v>
      </c>
      <c r="CV382" s="205">
        <f>IF($J382="",#N/A,SUM(CT$4:CT382,CR$4:CR382,CP$4:CP382))</f>
        <v>-6.0458096797524385</v>
      </c>
      <c r="CW382" s="200" t="str">
        <f t="shared" si="590"/>
        <v/>
      </c>
      <c r="CX382" s="203">
        <f>IF($J382="",#N/A,SUM(CW$4:CW382))</f>
        <v>-3.3082659491100586</v>
      </c>
      <c r="CY382" s="204" t="str">
        <f t="shared" si="591"/>
        <v/>
      </c>
      <c r="CZ382" s="204">
        <f>IF($J382="",#N/A,SUM(CY$4:CY382))</f>
        <v>-3.9836018577043975</v>
      </c>
      <c r="DA382" s="205" t="str">
        <f t="shared" si="592"/>
        <v/>
      </c>
      <c r="DB382" s="205">
        <f>IF($J382="",#N/A,SUM(DA$4:DA382))</f>
        <v>-3.6020278946927151</v>
      </c>
      <c r="DC382" s="205">
        <f>IF($J382="",#N/A,SUM(DA$4:DA382,CY$4:CY382,CW$4:CW382))</f>
        <v>-10.893895701507173</v>
      </c>
      <c r="DD382" s="200" t="str">
        <f t="shared" si="593"/>
        <v/>
      </c>
      <c r="DE382" s="203">
        <f>IF($J382="",#N/A,SUM(DD$4:DD382))</f>
        <v>1.6161029218801881</v>
      </c>
      <c r="DF382" s="204" t="str">
        <f t="shared" si="594"/>
        <v/>
      </c>
      <c r="DG382" s="204">
        <f>IF($J382="",#N/A,SUM(DF$4:DF382))</f>
        <v>4.1810385231482243</v>
      </c>
      <c r="DH382" s="205" t="str">
        <f t="shared" si="595"/>
        <v/>
      </c>
      <c r="DI382" s="205">
        <f>IF($J382="",#N/A,SUM(DH$4:DH382))</f>
        <v>0.1663851794688358</v>
      </c>
      <c r="DJ382" s="205">
        <f>IF($J382="",#N/A,SUM(DH$4:DH382,DF$4:DF382,DD$4:DD382))</f>
        <v>5.9635266244972476</v>
      </c>
      <c r="DK382" s="200" t="str">
        <f t="shared" si="596"/>
        <v/>
      </c>
      <c r="DL382" s="203">
        <f>IF($J382="",#N/A,SUM(DK$4:DK382))</f>
        <v>-0.84049791589649614</v>
      </c>
      <c r="DM382" s="204" t="str">
        <f t="shared" si="597"/>
        <v/>
      </c>
      <c r="DN382" s="204">
        <f>IF($J382="",#N/A,SUM(DM$4:DM382))</f>
        <v>1.8657648196498773</v>
      </c>
      <c r="DO382" s="205" t="str">
        <f t="shared" si="598"/>
        <v/>
      </c>
      <c r="DP382" s="205">
        <f>IF($J382="",#N/A,SUM(DO$4:DO382))</f>
        <v>3.4887162328793941</v>
      </c>
      <c r="DQ382" s="205">
        <f>IF($J382="",#N/A,SUM(DO$4:DO382,DM$4:DM382,DK$4:DK382))</f>
        <v>4.5139831366327758</v>
      </c>
      <c r="DR382" s="200" t="str">
        <f t="shared" si="599"/>
        <v/>
      </c>
      <c r="DS382" s="203">
        <f>IF($J382="",#N/A,SUM(DR$4:DR382))</f>
        <v>-0.55950946427675097</v>
      </c>
      <c r="DT382" s="204" t="str">
        <f t="shared" si="600"/>
        <v/>
      </c>
      <c r="DU382" s="204">
        <f>IF($J382="",#N/A,SUM(DT$4:DT382))</f>
        <v>-0.20750635820596686</v>
      </c>
      <c r="DV382" s="205" t="str">
        <f t="shared" si="601"/>
        <v/>
      </c>
      <c r="DW382" s="205">
        <f>IF($J382="",#N/A,SUM(DV$4:DV382))</f>
        <v>-2.3377035686214001</v>
      </c>
      <c r="DX382" s="205">
        <f>IF($J382="",#N/A,SUM(DV$4:DV382,DT$4:DT382,DR$4:DR382))</f>
        <v>-3.1047193911041169</v>
      </c>
      <c r="DY382" s="200" t="str">
        <f t="shared" si="602"/>
        <v/>
      </c>
      <c r="DZ382" s="203">
        <f>IF($J382="",#N/A,SUM(DY$4:DY382))</f>
        <v>-1.4146842415208627</v>
      </c>
      <c r="EA382" s="204" t="str">
        <f t="shared" si="603"/>
        <v/>
      </c>
      <c r="EB382" s="204">
        <f>IF($J382="",#N/A,SUM(EA$4:EA382))</f>
        <v>4.3184391548878134</v>
      </c>
      <c r="EC382" s="205" t="str">
        <f t="shared" si="604"/>
        <v/>
      </c>
      <c r="ED382" s="205">
        <f>IF($J382="",#N/A,SUM(EC$4:EC382))</f>
        <v>8.4384553208490907</v>
      </c>
      <c r="EE382" s="205">
        <f>IF($J382="",#N/A,SUM(EC$4:EC382,EA$4:EA382,DY$4:DY382))</f>
        <v>11.342210234216044</v>
      </c>
      <c r="EF382" s="200" t="str">
        <f t="shared" si="605"/>
        <v/>
      </c>
      <c r="EG382" s="203">
        <f>IF($J382="",#N/A,SUM(EF$4:EF382))</f>
        <v>0.65848341369884777</v>
      </c>
      <c r="EH382" s="204" t="str">
        <f t="shared" si="606"/>
        <v/>
      </c>
      <c r="EI382" s="204">
        <f>IF($J382="",#N/A,SUM(EH$4:EH382))</f>
        <v>-3.5125331561187787</v>
      </c>
      <c r="EJ382" s="205" t="str">
        <f t="shared" si="607"/>
        <v/>
      </c>
      <c r="EK382" s="205">
        <f>IF($J382="",#N/A,SUM(EJ$4:EJ382))</f>
        <v>11.820135611943035</v>
      </c>
      <c r="EL382" s="205">
        <f>IF($J382="",#N/A,SUM(EJ$4:EJ382,EH$4:EH382,EF$4:EF382))</f>
        <v>8.9660858695231074</v>
      </c>
      <c r="EM382" s="200" t="str">
        <f t="shared" si="608"/>
        <v/>
      </c>
      <c r="EN382" s="203">
        <f>IF($J382="",#N/A,SUM(EM$4:EM382))</f>
        <v>0</v>
      </c>
      <c r="EO382" s="204" t="str">
        <f t="shared" si="609"/>
        <v/>
      </c>
      <c r="EP382" s="204">
        <f>IF($J382="",#N/A,SUM(EO$4:EO382))</f>
        <v>2.4788862078089964</v>
      </c>
      <c r="EQ382" s="205" t="str">
        <f t="shared" si="610"/>
        <v/>
      </c>
      <c r="ER382" s="205">
        <f>IF($J382="",#N/A,SUM(EQ$4:EQ382))</f>
        <v>1.7856049065476487</v>
      </c>
      <c r="ES382" s="205">
        <f>IF($J382="",#N/A,SUM(EQ$4:EQ382,EO$4:EO382,EM$4:EM382))</f>
        <v>4.2644911143566446</v>
      </c>
      <c r="ET382" s="200" t="str">
        <f t="shared" si="611"/>
        <v/>
      </c>
      <c r="EU382" s="203">
        <f>IF($J382="",#N/A,SUM(ET$4:ET382))</f>
        <v>0</v>
      </c>
      <c r="EV382" s="204" t="str">
        <f t="shared" si="612"/>
        <v/>
      </c>
      <c r="EW382" s="204">
        <f>IF($J382="",#N/A,SUM(EV$4:EV382))</f>
        <v>7.9116394275462909E-2</v>
      </c>
      <c r="EX382" s="205" t="str">
        <f t="shared" si="613"/>
        <v/>
      </c>
      <c r="EY382" s="205">
        <f>IF($J382="",#N/A,SUM(EX$4:EX382))</f>
        <v>0.62848633887309935</v>
      </c>
      <c r="EZ382" s="205">
        <f>IF($J382="",#N/A,SUM(EX$4:EX382,EV$4:EV382,ET$4:ET382))</f>
        <v>0.70760273314856192</v>
      </c>
      <c r="FA382" s="200" t="str">
        <f t="shared" si="614"/>
        <v/>
      </c>
      <c r="FB382" s="203">
        <f>IF($J382="",#N/A,SUM(FA$4:FA382))</f>
        <v>-0.27145310509113252</v>
      </c>
      <c r="FC382" s="204" t="str">
        <f t="shared" si="615"/>
        <v/>
      </c>
      <c r="FD382" s="204">
        <f>IF($J382="",#N/A,SUM(FC$4:FC382))</f>
        <v>0.89084290967454072</v>
      </c>
      <c r="FE382" s="205" t="str">
        <f t="shared" si="616"/>
        <v/>
      </c>
      <c r="FF382" s="205">
        <f>IF($J382="",#N/A,SUM(FE$4:FE382))</f>
        <v>-0.28811149078748233</v>
      </c>
      <c r="FG382" s="205">
        <f>IF($J382="",#N/A,SUM(FE$4:FE382,FC$4:FC382,FA$4:FA382))</f>
        <v>0.3312783137959262</v>
      </c>
      <c r="FH382" s="200" t="str">
        <f t="shared" si="617"/>
        <v/>
      </c>
      <c r="FI382" s="203">
        <f>IF($J382="",#N/A,SUM(FH$4:FH382))</f>
        <v>0</v>
      </c>
      <c r="FJ382" s="204" t="str">
        <f t="shared" si="618"/>
        <v/>
      </c>
      <c r="FK382" s="204">
        <f>IF($J382="",#N/A,SUM(FJ$4:FJ382))</f>
        <v>0</v>
      </c>
      <c r="FL382" s="205" t="str">
        <f t="shared" si="619"/>
        <v/>
      </c>
      <c r="FM382" s="205">
        <f>IF($J382="",#N/A,SUM(FL$4:FL382))</f>
        <v>0</v>
      </c>
      <c r="FN382" s="205">
        <f>IF($J382="",#N/A,SUM(FL$4:FL382,FJ$4:FJ382,FH$4:FH382))</f>
        <v>0</v>
      </c>
      <c r="FO382" s="200" t="str">
        <f t="shared" si="620"/>
        <v/>
      </c>
      <c r="FP382" s="203">
        <f>IF($J382="",#N/A,SUM(FO$4:FO382))</f>
        <v>0</v>
      </c>
      <c r="FQ382" s="204" t="str">
        <f t="shared" si="621"/>
        <v/>
      </c>
      <c r="FR382" s="204">
        <f>IF($J382="",#N/A,SUM(FQ$4:FQ382))</f>
        <v>0</v>
      </c>
      <c r="FS382" s="205" t="str">
        <f t="shared" si="622"/>
        <v/>
      </c>
      <c r="FT382" s="205">
        <f>IF($J382="",#N/A,SUM(FS$4:FS382))</f>
        <v>0</v>
      </c>
      <c r="FU382" s="205">
        <f>IF($J382="",#N/A,SUM(FS$4:FS382,FQ$4:FQ382,FO$4:FO382))</f>
        <v>0</v>
      </c>
      <c r="FV382" s="200" t="str">
        <f t="shared" si="623"/>
        <v/>
      </c>
      <c r="FW382" s="203">
        <f>IF($J382="",#N/A,SUM(FV$4:FV382))</f>
        <v>6.6834991831277585E-2</v>
      </c>
      <c r="FX382" s="204" t="str">
        <f t="shared" si="624"/>
        <v/>
      </c>
      <c r="FY382" s="204">
        <f>IF($J382="",#N/A,SUM(FX$4:FX382))</f>
        <v>-0.16102012791805576</v>
      </c>
      <c r="FZ382" s="205" t="str">
        <f t="shared" si="625"/>
        <v/>
      </c>
      <c r="GA382" s="205">
        <f>IF($J382="",#N/A,SUM(FZ$4:FZ382))</f>
        <v>-0.69624339162892301</v>
      </c>
      <c r="GB382" s="205">
        <f>IF($J382="",#N/A,SUM(FZ$4:FZ382,FX$4:FX382,FV$4:FV382))</f>
        <v>-0.79042852771570116</v>
      </c>
      <c r="GC382" s="200" t="str">
        <f t="shared" si="626"/>
        <v/>
      </c>
      <c r="GD382" s="203">
        <f>IF($J382="",#N/A,SUM(GC$4:GC382))</f>
        <v>0</v>
      </c>
      <c r="GE382" s="204" t="str">
        <f t="shared" si="627"/>
        <v/>
      </c>
      <c r="GF382" s="204">
        <f>IF($J382="",#N/A,SUM(GE$4:GE382))</f>
        <v>0</v>
      </c>
      <c r="GG382" s="205" t="str">
        <f t="shared" si="628"/>
        <v/>
      </c>
      <c r="GH382" s="205">
        <f>IF($J382="",#N/A,SUM(GG$4:GG382))</f>
        <v>-2.9368362277223206</v>
      </c>
      <c r="GI382" s="205">
        <f>IF($J382="",#N/A,SUM(GG$4:GG382,GE$4:GE382,GC$4:GC382))</f>
        <v>-2.9368362277223206</v>
      </c>
      <c r="GJ382" s="200" t="str">
        <f t="shared" si="629"/>
        <v/>
      </c>
      <c r="GK382" s="203">
        <f>IF($J382="",#N/A,SUM(GJ$4:GJ382))</f>
        <v>0</v>
      </c>
      <c r="GL382" s="204" t="str">
        <f t="shared" si="630"/>
        <v/>
      </c>
      <c r="GM382" s="204">
        <f>IF($J382="",#N/A,SUM(GL$4:GL382))</f>
        <v>-2.0621307233432784</v>
      </c>
      <c r="GN382" s="205" t="str">
        <f t="shared" si="631"/>
        <v/>
      </c>
      <c r="GO382" s="205">
        <f>IF($J382="",#N/A,SUM(GN$4:GN382))</f>
        <v>0</v>
      </c>
      <c r="GP382" s="205">
        <f>IF($J382="",#N/A,SUM(GN$4:GN382,GL$4:GL382,GJ$4:GJ382))</f>
        <v>-2.0621307233432784</v>
      </c>
      <c r="GS382" s="54" t="str">
        <f t="shared" si="650"/>
        <v/>
      </c>
      <c r="GT382" s="54" t="e">
        <f>IF(GS382="",NA(),SUM($GS$4:GS382))</f>
        <v>#N/A</v>
      </c>
      <c r="GU382" s="54" t="str">
        <f t="shared" si="632"/>
        <v/>
      </c>
      <c r="GV382" s="54" t="e">
        <f>IF(GU382="",NA(),SUM(GU$4:GU382))</f>
        <v>#N/A</v>
      </c>
      <c r="GW382" s="54" t="str">
        <f t="shared" si="633"/>
        <v/>
      </c>
      <c r="GX382" s="54" t="e">
        <f>IF(GW382="",NA(),SUM($GW$4:GW382))</f>
        <v>#N/A</v>
      </c>
      <c r="GY382" s="54" t="str">
        <f t="shared" si="634"/>
        <v/>
      </c>
      <c r="GZ382" s="54" t="e">
        <f>IF(GY382="",NA(),SUM($GY$4:GY382))</f>
        <v>#N/A</v>
      </c>
      <c r="HA382" s="54">
        <f t="shared" si="635"/>
        <v>-2.3046941196407396</v>
      </c>
      <c r="HB382" s="54">
        <f>IF(HA382="",NA(),SUM($HA$4:HA382))</f>
        <v>-0.74432101275413332</v>
      </c>
      <c r="HC382" s="54" t="str">
        <f t="shared" si="636"/>
        <v/>
      </c>
      <c r="HD382" s="54" t="e">
        <f>IF(HC382="",NA(),SUM($HC$4:HC382))</f>
        <v>#N/A</v>
      </c>
      <c r="HE382" s="54">
        <f t="shared" si="637"/>
        <v>-2.3046941196407396</v>
      </c>
      <c r="HF382" s="54">
        <f>IF(HE382="",NA(),SUM($HE$4:HE382))</f>
        <v>1.3572345369596261</v>
      </c>
      <c r="HG382" s="54" t="str">
        <f t="shared" si="638"/>
        <v/>
      </c>
      <c r="HH382" s="54" t="e">
        <f>IF(HG382="",NA(),SUM($HG$4:HG382))</f>
        <v>#N/A</v>
      </c>
      <c r="HI382" s="172" t="str">
        <f t="shared" si="651"/>
        <v/>
      </c>
      <c r="HJ382" s="172">
        <f>IF($J382="",#N/A,SUM(HI$4:$HI382))</f>
        <v>-10.162234665497841</v>
      </c>
      <c r="HK382" s="54" t="str">
        <f t="shared" si="639"/>
        <v/>
      </c>
      <c r="HL382" s="54">
        <f>IF($J382="",#N/A,SUM($HK$4:HK382))</f>
        <v>7.4780353515533324</v>
      </c>
      <c r="HM382" s="54" t="str">
        <f t="shared" si="640"/>
        <v/>
      </c>
      <c r="HN382" s="54">
        <f>IF($J382="",#N/A,SUM($HM$4:HM382))</f>
        <v>-1.0806776566755429</v>
      </c>
      <c r="HO382" s="54" t="str">
        <f t="shared" si="641"/>
        <v/>
      </c>
      <c r="HP382" s="54">
        <f>IF($J382="",#N/A,SUM($HO$4:HO382))</f>
        <v>-0.26668580414118226</v>
      </c>
      <c r="HQ382" s="54" t="str">
        <f t="shared" si="642"/>
        <v/>
      </c>
      <c r="HR382" s="54">
        <f>IF($J382="",#N/A,SUM($HQ$4:HQ382))</f>
        <v>-10.093526087360836</v>
      </c>
      <c r="HS382" s="54">
        <f t="shared" si="643"/>
        <v>0.37281816641247412</v>
      </c>
      <c r="HT382" s="54">
        <f>IF($J382="",#N/A,SUM($HS$4:HS382))</f>
        <v>15.648595103467178</v>
      </c>
      <c r="HU382" s="65">
        <f t="shared" si="644"/>
        <v>-1.9318759532282654</v>
      </c>
      <c r="HV382" s="65">
        <f>IF($J382="",#N/A,SUM(HU$4:$HU382))</f>
        <v>11.824823387130495</v>
      </c>
    </row>
    <row r="383" spans="1:230" x14ac:dyDescent="0.25">
      <c r="A383" s="51" t="s">
        <v>1188</v>
      </c>
      <c r="B383" s="52" t="s">
        <v>5548</v>
      </c>
      <c r="C383" s="229">
        <f t="shared" si="545"/>
        <v>3</v>
      </c>
      <c r="D383" s="219" t="str">
        <f>_xlfn.XLOOKUP(A383,[1]SP500!$A$2:$A$502,[1]SP500!$D$2:$D$502,"N")</f>
        <v>Y</v>
      </c>
      <c r="E383" s="51" t="str">
        <f>IFERROR(_xlfn.XLOOKUP(A383,[1]SP500!$A$2:$A$655,[1]SP500!$B$2:$B$655),"")</f>
        <v>XLP</v>
      </c>
      <c r="F383" s="290">
        <v>45806</v>
      </c>
      <c r="G383" s="51" t="str">
        <f t="shared" si="546"/>
        <v>BMO</v>
      </c>
      <c r="H383" s="51" t="str">
        <f t="shared" si="547"/>
        <v>s</v>
      </c>
      <c r="I383" s="344">
        <v>30.04</v>
      </c>
      <c r="J383" s="124">
        <v>29.31</v>
      </c>
      <c r="K383" s="55">
        <f t="shared" si="548"/>
        <v>-2.4300932090545953E-2</v>
      </c>
      <c r="L383" s="67">
        <f t="shared" si="549"/>
        <v>-36.5</v>
      </c>
      <c r="M383" s="57">
        <f t="shared" si="550"/>
        <v>-10.5</v>
      </c>
      <c r="N383" s="102">
        <f t="shared" si="551"/>
        <v>-36.5</v>
      </c>
      <c r="O383" s="57">
        <f>IF(N383="",#N/A,SUM($N$4:N383))</f>
        <v>315.10937556162492</v>
      </c>
      <c r="P383" s="65">
        <f t="shared" si="645"/>
        <v>-0.40501553484243236</v>
      </c>
      <c r="Q383" s="172">
        <f>IF($N383="",#N/A,SUM($P$4:P383))</f>
        <v>10.392475066810503</v>
      </c>
      <c r="R383" s="279">
        <f t="shared" si="552"/>
        <v>8.6066687766824685</v>
      </c>
      <c r="S383" s="51" t="str">
        <f t="shared" si="553"/>
        <v>SW</v>
      </c>
      <c r="T383" s="51" t="s">
        <v>2828</v>
      </c>
      <c r="U383" s="56">
        <f t="shared" si="554"/>
        <v>30.04</v>
      </c>
      <c r="V383" s="56" t="s">
        <v>4460</v>
      </c>
      <c r="W383" s="142">
        <v>50</v>
      </c>
      <c r="X383" s="145">
        <f t="shared" si="555"/>
        <v>1502</v>
      </c>
      <c r="Y383" s="140">
        <f t="shared" si="556"/>
        <v>50</v>
      </c>
      <c r="Z383" s="141">
        <v>29.1</v>
      </c>
      <c r="AA383" s="102">
        <f t="shared" si="557"/>
        <v>-47</v>
      </c>
      <c r="AB383" s="102">
        <f t="shared" si="558"/>
        <v>17</v>
      </c>
      <c r="AC383" s="124">
        <v>30.38</v>
      </c>
      <c r="AD383" s="155">
        <f t="shared" si="559"/>
        <v>17</v>
      </c>
      <c r="AE383" s="545">
        <f t="shared" si="560"/>
        <v>0.18863737239236575</v>
      </c>
      <c r="AF383" s="57">
        <f>IF($AC383="",#N/A,SUM(AD$4:AD383))</f>
        <v>715.44239714745004</v>
      </c>
      <c r="AG383" s="102">
        <f t="shared" si="561"/>
        <v>53.5</v>
      </c>
      <c r="AH383" s="56" t="s">
        <v>2507</v>
      </c>
      <c r="AI383" s="65">
        <f t="shared" si="562"/>
        <v>-0.52152685308477587</v>
      </c>
      <c r="AJ383" s="108">
        <f>IF(AI383="",#N/A,SUM($AI$4:AI383))</f>
        <v>1.785806290128034</v>
      </c>
      <c r="AK383" s="57">
        <f t="shared" si="563"/>
        <v>-47</v>
      </c>
      <c r="AL383" s="66">
        <f>IF(AI383="",#N/A,IF(AH383="Skip",SUM($AK$4:AK383),SUM($AK$4:AK383)))</f>
        <v>-283.92763072151752</v>
      </c>
      <c r="AM383" s="65">
        <f t="shared" si="646"/>
        <v>0.18863737239236575</v>
      </c>
      <c r="AN383" s="209"/>
      <c r="AO383" s="65">
        <f t="shared" si="564"/>
        <v>0.18863737239236575</v>
      </c>
      <c r="AP383" s="65">
        <f>IF($AC383="",#N/A,SUM(AO$4:AO383))</f>
        <v>14.536663978297543</v>
      </c>
      <c r="AQ383" s="65" t="str">
        <f t="shared" si="565"/>
        <v/>
      </c>
      <c r="AR383" s="65">
        <f>IF($AC383="",#N/A,SUM(AQ$4:AQ383))</f>
        <v>-8.5442123483768615</v>
      </c>
      <c r="AS383" s="65" t="str">
        <f t="shared" si="566"/>
        <v/>
      </c>
      <c r="AT383" s="65">
        <f>IF($AC383="",#N/A,SUM(AS$4:AS383))</f>
        <v>6.0210091296021728</v>
      </c>
      <c r="AU383" s="57">
        <f t="shared" si="647"/>
        <v>17</v>
      </c>
      <c r="AV383" s="57">
        <f>IF($AC383="",#N/A,SUM(AU$4:AU383))</f>
        <v>908.6862719498813</v>
      </c>
      <c r="AW383" s="57" t="str">
        <f t="shared" si="648"/>
        <v/>
      </c>
      <c r="AX383" s="57">
        <f>IF($AC383="",#N/A,SUM(AW$4:AW383))</f>
        <v>-635.20106797961103</v>
      </c>
      <c r="AY383" s="57" t="str">
        <f t="shared" si="649"/>
        <v/>
      </c>
      <c r="AZ383" s="57">
        <f>IF($AC383="",#N/A,SUM(AY$4:AY383))</f>
        <v>441.95719317717965</v>
      </c>
      <c r="BA383" s="57">
        <f>IF(AD383="",#N/A,SUM($AD$4:AD383))</f>
        <v>715.44239714745004</v>
      </c>
      <c r="BC383" s="51" t="str">
        <f t="shared" si="567"/>
        <v/>
      </c>
      <c r="BD383" s="51" t="str">
        <f t="shared" si="568"/>
        <v/>
      </c>
      <c r="BE383" s="51" t="str">
        <f t="shared" si="569"/>
        <v/>
      </c>
      <c r="BF383" s="51" t="str">
        <f t="shared" si="570"/>
        <v>Long</v>
      </c>
      <c r="BG383" s="51" t="str">
        <f t="shared" si="571"/>
        <v/>
      </c>
      <c r="BH383" s="51" t="str">
        <f t="shared" si="572"/>
        <v/>
      </c>
      <c r="BI383" s="51">
        <f t="shared" si="573"/>
        <v>1</v>
      </c>
      <c r="BK383" s="65">
        <f t="shared" si="653"/>
        <v>-9.8386331719380424E-2</v>
      </c>
      <c r="BL383" s="65">
        <f t="shared" si="652"/>
        <v>-0.13439931581188688</v>
      </c>
      <c r="BM383" s="65">
        <f>IFERROR(Q383/COUNTA($J$4:J383),#N/A)</f>
        <v>2.7348618596869746E-2</v>
      </c>
      <c r="BO383" s="489">
        <f>IF(J383="",#N/A,IF(S383="SW",(COUNTIFS(K$4:$K383,"&gt;0",S$4:$S383,"SW")/COUNTIF(S$4:$S383,"SW")),#N/A))</f>
        <v>0.5</v>
      </c>
      <c r="BP383" s="489" t="e">
        <f>IF($J383="",#N/A,IF($S383="DWN",(COUNTIFS($K$4:$K383,"&lt;0",$S$4:$S383,"DWN")/COUNTIF($S$4:$S383,"DWN")),#N/A))</f>
        <v>#N/A</v>
      </c>
      <c r="BQ383" s="489" t="e">
        <f>IF($J383="",#N/A,IF($S383="UP",(COUNTIFS($K$4:$K383,"&gt;0",$S$4:$S383,"UP")/COUNTIF($S$4:$S383,"UP")),#N/A))</f>
        <v>#N/A</v>
      </c>
      <c r="BR383" s="489">
        <f>IF(J383="",#N/A,COUNTIF($K$4:K383,"&gt;0")/COUNT($J$4:J383))</f>
        <v>0.47368421052631576</v>
      </c>
      <c r="BS383" s="65" t="str">
        <f t="shared" si="574"/>
        <v/>
      </c>
      <c r="BT383" s="65">
        <f t="shared" si="575"/>
        <v>-0.40501553484243236</v>
      </c>
      <c r="BU383" s="65" t="str">
        <f t="shared" si="576"/>
        <v/>
      </c>
      <c r="BV383" s="65" t="str">
        <f t="shared" si="577"/>
        <v/>
      </c>
      <c r="BW383" s="128" t="str">
        <f t="shared" si="578"/>
        <v/>
      </c>
      <c r="BX383" s="128">
        <f>IF($J383="",#N/A,SUM($BW$4:BW383))</f>
        <v>-529.09817034792877</v>
      </c>
      <c r="BY383" s="131" t="str">
        <f t="shared" si="579"/>
        <v/>
      </c>
      <c r="BZ383" s="131">
        <f>IF($J383="",#N/A,SUM($BY$4:BY383))</f>
        <v>391.5616134613947</v>
      </c>
      <c r="CA383" s="133">
        <f t="shared" si="580"/>
        <v>-36.5</v>
      </c>
      <c r="CB383" s="133">
        <f>IF($J383="",#N/A,SUM($CA$4:CA383))</f>
        <v>452.64593244815876</v>
      </c>
      <c r="CC383" s="194" t="str">
        <f t="shared" si="581"/>
        <v/>
      </c>
      <c r="CD383" s="194">
        <f>IF($J383="",#N/A,SUM($CC$4:CC383))</f>
        <v>-7.1968488875601349</v>
      </c>
      <c r="CE383" s="195" t="str">
        <f t="shared" si="582"/>
        <v/>
      </c>
      <c r="CF383" s="195">
        <f>IF($J383="",#N/A,SUM($CE$4:CE383))</f>
        <v>8.7052084435466917</v>
      </c>
      <c r="CG383" s="196">
        <f t="shared" si="583"/>
        <v>-0.40501553484243236</v>
      </c>
      <c r="CH383" s="196">
        <f>IF($J383="",#N/A,SUM($CG$4:CG383))</f>
        <v>8.8841155108239569</v>
      </c>
      <c r="CI383" s="200" t="str">
        <f t="shared" si="584"/>
        <v/>
      </c>
      <c r="CJ383" s="203">
        <f>IF($J383="",#N/A,SUM(CI$4:CI383))</f>
        <v>0</v>
      </c>
      <c r="CK383" s="204" t="str">
        <f t="shared" si="585"/>
        <v/>
      </c>
      <c r="CL383" s="204">
        <f>IF($J383="",#N/A,SUM(CK$4:CK383))</f>
        <v>1.2912501745213723</v>
      </c>
      <c r="CM383" s="205" t="str">
        <f t="shared" si="586"/>
        <v/>
      </c>
      <c r="CN383" s="205">
        <f>IF($J383="",#N/A,SUM(CM$4:CM383))</f>
        <v>-0.71690643699161116</v>
      </c>
      <c r="CO383" s="205">
        <f>IF($J383="",#N/A,SUM(CM$4:CM383,CK$4:CK383,CI$4:CI383))</f>
        <v>0.57434373752976109</v>
      </c>
      <c r="CP383" s="200" t="str">
        <f t="shared" si="587"/>
        <v/>
      </c>
      <c r="CQ383" s="203">
        <f>IF($J383="",#N/A,SUM(CP$4:CP383))</f>
        <v>-3.6116753136693021</v>
      </c>
      <c r="CR383" s="204" t="str">
        <f t="shared" si="588"/>
        <v/>
      </c>
      <c r="CS383" s="204">
        <f>IF($J383="",#N/A,SUM(CR$4:CR383))</f>
        <v>2.3600225017004668</v>
      </c>
      <c r="CT383" s="205" t="str">
        <f t="shared" si="589"/>
        <v/>
      </c>
      <c r="CU383" s="205">
        <f>IF($J383="",#N/A,SUM(CT$4:CT383))</f>
        <v>-4.7941568677836033</v>
      </c>
      <c r="CV383" s="205">
        <f>IF($J383="",#N/A,SUM(CT$4:CT383,CR$4:CR383,CP$4:CP383))</f>
        <v>-6.0458096797524385</v>
      </c>
      <c r="CW383" s="200" t="str">
        <f t="shared" si="590"/>
        <v/>
      </c>
      <c r="CX383" s="203">
        <f>IF($J383="",#N/A,SUM(CW$4:CW383))</f>
        <v>-3.3082659491100586</v>
      </c>
      <c r="CY383" s="204" t="str">
        <f t="shared" si="591"/>
        <v/>
      </c>
      <c r="CZ383" s="204">
        <f>IF($J383="",#N/A,SUM(CY$4:CY383))</f>
        <v>-3.9836018577043975</v>
      </c>
      <c r="DA383" s="205" t="str">
        <f t="shared" si="592"/>
        <v/>
      </c>
      <c r="DB383" s="205">
        <f>IF($J383="",#N/A,SUM(DA$4:DA383))</f>
        <v>-3.6020278946927151</v>
      </c>
      <c r="DC383" s="205">
        <f>IF($J383="",#N/A,SUM(DA$4:DA383,CY$4:CY383,CW$4:CW383))</f>
        <v>-10.893895701507173</v>
      </c>
      <c r="DD383" s="200" t="str">
        <f t="shared" si="593"/>
        <v/>
      </c>
      <c r="DE383" s="203">
        <f>IF($J383="",#N/A,SUM(DD$4:DD383))</f>
        <v>1.6161029218801881</v>
      </c>
      <c r="DF383" s="204" t="str">
        <f t="shared" si="594"/>
        <v/>
      </c>
      <c r="DG383" s="204">
        <f>IF($J383="",#N/A,SUM(DF$4:DF383))</f>
        <v>4.1810385231482243</v>
      </c>
      <c r="DH383" s="205">
        <f t="shared" si="595"/>
        <v>-0.40501553484243236</v>
      </c>
      <c r="DI383" s="205">
        <f>IF($J383="",#N/A,SUM(DH$4:DH383))</f>
        <v>-0.23863035537359656</v>
      </c>
      <c r="DJ383" s="205">
        <f>IF($J383="",#N/A,SUM(DH$4:DH383,DF$4:DF383,DD$4:DD383))</f>
        <v>5.5585110896548153</v>
      </c>
      <c r="DK383" s="200" t="str">
        <f t="shared" si="596"/>
        <v/>
      </c>
      <c r="DL383" s="203">
        <f>IF($J383="",#N/A,SUM(DK$4:DK383))</f>
        <v>-0.84049791589649614</v>
      </c>
      <c r="DM383" s="204" t="str">
        <f t="shared" si="597"/>
        <v/>
      </c>
      <c r="DN383" s="204">
        <f>IF($J383="",#N/A,SUM(DM$4:DM383))</f>
        <v>1.8657648196498773</v>
      </c>
      <c r="DO383" s="205" t="str">
        <f t="shared" si="598"/>
        <v/>
      </c>
      <c r="DP383" s="205">
        <f>IF($J383="",#N/A,SUM(DO$4:DO383))</f>
        <v>3.4887162328793941</v>
      </c>
      <c r="DQ383" s="205">
        <f>IF($J383="",#N/A,SUM(DO$4:DO383,DM$4:DM383,DK$4:DK383))</f>
        <v>4.5139831366327758</v>
      </c>
      <c r="DR383" s="200" t="str">
        <f t="shared" si="599"/>
        <v/>
      </c>
      <c r="DS383" s="203">
        <f>IF($J383="",#N/A,SUM(DR$4:DR383))</f>
        <v>-0.55950946427675097</v>
      </c>
      <c r="DT383" s="204" t="str">
        <f t="shared" si="600"/>
        <v/>
      </c>
      <c r="DU383" s="204">
        <f>IF($J383="",#N/A,SUM(DT$4:DT383))</f>
        <v>-0.20750635820596686</v>
      </c>
      <c r="DV383" s="205" t="str">
        <f t="shared" si="601"/>
        <v/>
      </c>
      <c r="DW383" s="205">
        <f>IF($J383="",#N/A,SUM(DV$4:DV383))</f>
        <v>-2.3377035686214001</v>
      </c>
      <c r="DX383" s="205">
        <f>IF($J383="",#N/A,SUM(DV$4:DV383,DT$4:DT383,DR$4:DR383))</f>
        <v>-3.1047193911041169</v>
      </c>
      <c r="DY383" s="200" t="str">
        <f t="shared" si="602"/>
        <v/>
      </c>
      <c r="DZ383" s="203">
        <f>IF($J383="",#N/A,SUM(DY$4:DY383))</f>
        <v>-1.4146842415208627</v>
      </c>
      <c r="EA383" s="204" t="str">
        <f t="shared" si="603"/>
        <v/>
      </c>
      <c r="EB383" s="204">
        <f>IF($J383="",#N/A,SUM(EA$4:EA383))</f>
        <v>4.3184391548878134</v>
      </c>
      <c r="EC383" s="205" t="str">
        <f t="shared" si="604"/>
        <v/>
      </c>
      <c r="ED383" s="205">
        <f>IF($J383="",#N/A,SUM(EC$4:EC383))</f>
        <v>8.4384553208490907</v>
      </c>
      <c r="EE383" s="205">
        <f>IF($J383="",#N/A,SUM(EC$4:EC383,EA$4:EA383,DY$4:DY383))</f>
        <v>11.342210234216044</v>
      </c>
      <c r="EF383" s="200" t="str">
        <f t="shared" si="605"/>
        <v/>
      </c>
      <c r="EG383" s="203">
        <f>IF($J383="",#N/A,SUM(EF$4:EF383))</f>
        <v>0.65848341369884777</v>
      </c>
      <c r="EH383" s="204" t="str">
        <f t="shared" si="606"/>
        <v/>
      </c>
      <c r="EI383" s="204">
        <f>IF($J383="",#N/A,SUM(EH$4:EH383))</f>
        <v>-3.5125331561187787</v>
      </c>
      <c r="EJ383" s="205" t="str">
        <f t="shared" si="607"/>
        <v/>
      </c>
      <c r="EK383" s="205">
        <f>IF($J383="",#N/A,SUM(EJ$4:EJ383))</f>
        <v>11.820135611943035</v>
      </c>
      <c r="EL383" s="205">
        <f>IF($J383="",#N/A,SUM(EJ$4:EJ383,EH$4:EH383,EF$4:EF383))</f>
        <v>8.9660858695231074</v>
      </c>
      <c r="EM383" s="200" t="str">
        <f t="shared" si="608"/>
        <v/>
      </c>
      <c r="EN383" s="203">
        <f>IF($J383="",#N/A,SUM(EM$4:EM383))</f>
        <v>0</v>
      </c>
      <c r="EO383" s="204" t="str">
        <f t="shared" si="609"/>
        <v/>
      </c>
      <c r="EP383" s="204">
        <f>IF($J383="",#N/A,SUM(EO$4:EO383))</f>
        <v>2.4788862078089964</v>
      </c>
      <c r="EQ383" s="205" t="str">
        <f t="shared" si="610"/>
        <v/>
      </c>
      <c r="ER383" s="205">
        <f>IF($J383="",#N/A,SUM(EQ$4:EQ383))</f>
        <v>1.7856049065476487</v>
      </c>
      <c r="ES383" s="205">
        <f>IF($J383="",#N/A,SUM(EQ$4:EQ383,EO$4:EO383,EM$4:EM383))</f>
        <v>4.2644911143566446</v>
      </c>
      <c r="ET383" s="200" t="str">
        <f t="shared" si="611"/>
        <v/>
      </c>
      <c r="EU383" s="203">
        <f>IF($J383="",#N/A,SUM(ET$4:ET383))</f>
        <v>0</v>
      </c>
      <c r="EV383" s="204" t="str">
        <f t="shared" si="612"/>
        <v/>
      </c>
      <c r="EW383" s="204">
        <f>IF($J383="",#N/A,SUM(EV$4:EV383))</f>
        <v>7.9116394275462909E-2</v>
      </c>
      <c r="EX383" s="205" t="str">
        <f t="shared" si="613"/>
        <v/>
      </c>
      <c r="EY383" s="205">
        <f>IF($J383="",#N/A,SUM(EX$4:EX383))</f>
        <v>0.62848633887309935</v>
      </c>
      <c r="EZ383" s="205">
        <f>IF($J383="",#N/A,SUM(EX$4:EX383,EV$4:EV383,ET$4:ET383))</f>
        <v>0.70760273314856192</v>
      </c>
      <c r="FA383" s="200" t="str">
        <f t="shared" si="614"/>
        <v/>
      </c>
      <c r="FB383" s="203">
        <f>IF($J383="",#N/A,SUM(FA$4:FA383))</f>
        <v>-0.27145310509113252</v>
      </c>
      <c r="FC383" s="204" t="str">
        <f t="shared" si="615"/>
        <v/>
      </c>
      <c r="FD383" s="204">
        <f>IF($J383="",#N/A,SUM(FC$4:FC383))</f>
        <v>0.89084290967454072</v>
      </c>
      <c r="FE383" s="205" t="str">
        <f t="shared" si="616"/>
        <v/>
      </c>
      <c r="FF383" s="205">
        <f>IF($J383="",#N/A,SUM(FE$4:FE383))</f>
        <v>-0.28811149078748233</v>
      </c>
      <c r="FG383" s="205">
        <f>IF($J383="",#N/A,SUM(FE$4:FE383,FC$4:FC383,FA$4:FA383))</f>
        <v>0.3312783137959262</v>
      </c>
      <c r="FH383" s="200" t="str">
        <f t="shared" si="617"/>
        <v/>
      </c>
      <c r="FI383" s="203">
        <f>IF($J383="",#N/A,SUM(FH$4:FH383))</f>
        <v>0</v>
      </c>
      <c r="FJ383" s="204" t="str">
        <f t="shared" si="618"/>
        <v/>
      </c>
      <c r="FK383" s="204">
        <f>IF($J383="",#N/A,SUM(FJ$4:FJ383))</f>
        <v>0</v>
      </c>
      <c r="FL383" s="205" t="str">
        <f t="shared" si="619"/>
        <v/>
      </c>
      <c r="FM383" s="205">
        <f>IF($J383="",#N/A,SUM(FL$4:FL383))</f>
        <v>0</v>
      </c>
      <c r="FN383" s="205">
        <f>IF($J383="",#N/A,SUM(FL$4:FL383,FJ$4:FJ383,FH$4:FH383))</f>
        <v>0</v>
      </c>
      <c r="FO383" s="200" t="str">
        <f t="shared" si="620"/>
        <v/>
      </c>
      <c r="FP383" s="203">
        <f>IF($J383="",#N/A,SUM(FO$4:FO383))</f>
        <v>0</v>
      </c>
      <c r="FQ383" s="204" t="str">
        <f t="shared" si="621"/>
        <v/>
      </c>
      <c r="FR383" s="204">
        <f>IF($J383="",#N/A,SUM(FQ$4:FQ383))</f>
        <v>0</v>
      </c>
      <c r="FS383" s="205" t="str">
        <f t="shared" si="622"/>
        <v/>
      </c>
      <c r="FT383" s="205">
        <f>IF($J383="",#N/A,SUM(FS$4:FS383))</f>
        <v>0</v>
      </c>
      <c r="FU383" s="205">
        <f>IF($J383="",#N/A,SUM(FS$4:FS383,FQ$4:FQ383,FO$4:FO383))</f>
        <v>0</v>
      </c>
      <c r="FV383" s="200" t="str">
        <f t="shared" si="623"/>
        <v/>
      </c>
      <c r="FW383" s="203">
        <f>IF($J383="",#N/A,SUM(FV$4:FV383))</f>
        <v>6.6834991831277585E-2</v>
      </c>
      <c r="FX383" s="204" t="str">
        <f t="shared" si="624"/>
        <v/>
      </c>
      <c r="FY383" s="204">
        <f>IF($J383="",#N/A,SUM(FX$4:FX383))</f>
        <v>-0.16102012791805576</v>
      </c>
      <c r="FZ383" s="205" t="str">
        <f t="shared" si="625"/>
        <v/>
      </c>
      <c r="GA383" s="205">
        <f>IF($J383="",#N/A,SUM(FZ$4:FZ383))</f>
        <v>-0.69624339162892301</v>
      </c>
      <c r="GB383" s="205">
        <f>IF($J383="",#N/A,SUM(FZ$4:FZ383,FX$4:FX383,FV$4:FV383))</f>
        <v>-0.79042852771570116</v>
      </c>
      <c r="GC383" s="200" t="str">
        <f t="shared" si="626"/>
        <v/>
      </c>
      <c r="GD383" s="203">
        <f>IF($J383="",#N/A,SUM(GC$4:GC383))</f>
        <v>0</v>
      </c>
      <c r="GE383" s="204" t="str">
        <f t="shared" si="627"/>
        <v/>
      </c>
      <c r="GF383" s="204">
        <f>IF($J383="",#N/A,SUM(GE$4:GE383))</f>
        <v>0</v>
      </c>
      <c r="GG383" s="205" t="str">
        <f t="shared" si="628"/>
        <v/>
      </c>
      <c r="GH383" s="205">
        <f>IF($J383="",#N/A,SUM(GG$4:GG383))</f>
        <v>-2.9368362277223206</v>
      </c>
      <c r="GI383" s="205">
        <f>IF($J383="",#N/A,SUM(GG$4:GG383,GE$4:GE383,GC$4:GC383))</f>
        <v>-2.9368362277223206</v>
      </c>
      <c r="GJ383" s="200" t="str">
        <f t="shared" si="629"/>
        <v/>
      </c>
      <c r="GK383" s="203">
        <f>IF($J383="",#N/A,SUM(GJ$4:GJ383))</f>
        <v>0</v>
      </c>
      <c r="GL383" s="204" t="str">
        <f t="shared" si="630"/>
        <v/>
      </c>
      <c r="GM383" s="204">
        <f>IF($J383="",#N/A,SUM(GL$4:GL383))</f>
        <v>-2.0621307233432784</v>
      </c>
      <c r="GN383" s="205" t="str">
        <f t="shared" si="631"/>
        <v/>
      </c>
      <c r="GO383" s="205">
        <f>IF($J383="",#N/A,SUM(GN$4:GN383))</f>
        <v>0</v>
      </c>
      <c r="GP383" s="205">
        <f>IF($J383="",#N/A,SUM(GN$4:GN383,GL$4:GL383,GJ$4:GJ383))</f>
        <v>-2.0621307233432784</v>
      </c>
      <c r="GS383" s="54">
        <f t="shared" si="650"/>
        <v>-0.40501553484243236</v>
      </c>
      <c r="GT383" s="54">
        <f>IF(GS383="",NA(),SUM($GS$4:GS383))</f>
        <v>11.136796079564636</v>
      </c>
      <c r="GU383" s="54" t="str">
        <f t="shared" si="632"/>
        <v/>
      </c>
      <c r="GV383" s="54" t="e">
        <f>IF(GU383="",NA(),SUM($GU$4:GU383))</f>
        <v>#N/A</v>
      </c>
      <c r="GW383" s="54">
        <f t="shared" si="633"/>
        <v>-0.40501553484243236</v>
      </c>
      <c r="GX383" s="54">
        <f>IF(GW383="",NA(),SUM($GW$4:GW383))</f>
        <v>7.5268809738643281</v>
      </c>
      <c r="GY383" s="54" t="str">
        <f t="shared" si="634"/>
        <v/>
      </c>
      <c r="GZ383" s="54" t="e">
        <f>IF(GY383="",NA(),SUM($GY$4:GY383))</f>
        <v>#N/A</v>
      </c>
      <c r="HA383" s="54" t="str">
        <f t="shared" si="635"/>
        <v/>
      </c>
      <c r="HB383" s="54" t="e">
        <f>IF(HA383="",NA(),SUM($HA$4:HA383))</f>
        <v>#N/A</v>
      </c>
      <c r="HC383" s="54" t="str">
        <f t="shared" si="636"/>
        <v/>
      </c>
      <c r="HD383" s="54" t="e">
        <f>IF(HC383="",NA(),SUM($HC$4:HC383))</f>
        <v>#N/A</v>
      </c>
      <c r="HE383" s="54" t="str">
        <f t="shared" si="637"/>
        <v/>
      </c>
      <c r="HF383" s="54" t="e">
        <f>IF(HE383="",NA(),SUM($HE$4:HE383))</f>
        <v>#N/A</v>
      </c>
      <c r="HG383" s="54" t="str">
        <f t="shared" si="638"/>
        <v/>
      </c>
      <c r="HH383" s="54" t="e">
        <f>IF(HG383="",NA(),SUM($HG$4:HG383))</f>
        <v>#N/A</v>
      </c>
      <c r="HI383" s="172" t="str">
        <f t="shared" si="651"/>
        <v/>
      </c>
      <c r="HJ383" s="172">
        <f>IF($J383="",#N/A,SUM(HI$4:$HI383))</f>
        <v>-10.162234665497841</v>
      </c>
      <c r="HK383" s="54" t="str">
        <f t="shared" si="639"/>
        <v/>
      </c>
      <c r="HL383" s="54">
        <f>IF($J383="",#N/A,SUM($HK$4:HK383))</f>
        <v>7.4780353515533324</v>
      </c>
      <c r="HM383" s="54" t="str">
        <f t="shared" si="640"/>
        <v/>
      </c>
      <c r="HN383" s="54">
        <f>IF($J383="",#N/A,SUM($HM$4:HM383))</f>
        <v>-1.0806776566755429</v>
      </c>
      <c r="HO383" s="54" t="str">
        <f t="shared" si="641"/>
        <v/>
      </c>
      <c r="HP383" s="54">
        <f>IF($J383="",#N/A,SUM($HO$4:HO383))</f>
        <v>-0.26668580414118226</v>
      </c>
      <c r="HQ383" s="54" t="str">
        <f t="shared" si="642"/>
        <v/>
      </c>
      <c r="HR383" s="54">
        <f>IF($J383="",#N/A,SUM($HQ$4:HQ383))</f>
        <v>-10.093526087360836</v>
      </c>
      <c r="HS383" s="54">
        <f t="shared" si="643"/>
        <v>0.59365290723479813</v>
      </c>
      <c r="HT383" s="54">
        <f>IF($J383="",#N/A,SUM($HS$4:HS383))</f>
        <v>16.242248010701978</v>
      </c>
      <c r="HU383" s="65">
        <f t="shared" si="644"/>
        <v>0.18863737239236575</v>
      </c>
      <c r="HV383" s="65">
        <f>IF($J383="",#N/A,SUM(HU$4:$HU383))</f>
        <v>12.013460759522861</v>
      </c>
    </row>
    <row r="384" spans="1:230" x14ac:dyDescent="0.25">
      <c r="A384" s="51" t="s">
        <v>1143</v>
      </c>
      <c r="B384" s="52" t="s">
        <v>5548</v>
      </c>
      <c r="C384" s="229">
        <f t="shared" si="545"/>
        <v>3</v>
      </c>
      <c r="D384" s="219" t="str">
        <f>_xlfn.XLOOKUP(A384,[1]SP500!$A$2:$A$502,[1]SP500!$D$2:$D$502,"N")</f>
        <v>Y</v>
      </c>
      <c r="E384" s="51" t="str">
        <f>IFERROR(_xlfn.XLOOKUP(A384,[1]SP500!$A$2:$A$655,[1]SP500!$B$2:$B$655),"")</f>
        <v>XLY</v>
      </c>
      <c r="F384" s="290">
        <v>45806</v>
      </c>
      <c r="G384" s="51" t="str">
        <f t="shared" si="546"/>
        <v>BMO</v>
      </c>
      <c r="H384" s="51" t="str">
        <f t="shared" si="547"/>
        <v>s</v>
      </c>
      <c r="I384" s="344">
        <v>71.52</v>
      </c>
      <c r="J384" s="124">
        <v>68.37</v>
      </c>
      <c r="K384" s="55">
        <f t="shared" si="548"/>
        <v>-4.4043624161073706E-2</v>
      </c>
      <c r="L384" s="67">
        <f t="shared" si="549"/>
        <v>-59.849999999999682</v>
      </c>
      <c r="M384" s="57">
        <f t="shared" si="550"/>
        <v>0</v>
      </c>
      <c r="N384" s="102">
        <f t="shared" si="551"/>
        <v>-59.849999999999682</v>
      </c>
      <c r="O384" s="57">
        <f>IF(N384="",#N/A,SUM($N$4:N384))</f>
        <v>255.25937556162523</v>
      </c>
      <c r="P384" s="65">
        <f t="shared" si="645"/>
        <v>-0.73406040268455985</v>
      </c>
      <c r="Q384" s="172">
        <f>IF($N384="",#N/A,SUM($P$4:P384))</f>
        <v>9.6584146641259423</v>
      </c>
      <c r="R384" s="279">
        <f t="shared" si="552"/>
        <v>8.6066687766824685</v>
      </c>
      <c r="S384" s="51" t="str">
        <f t="shared" si="553"/>
        <v>SW</v>
      </c>
      <c r="T384" s="51" t="s">
        <v>2828</v>
      </c>
      <c r="U384" s="56">
        <f t="shared" si="554"/>
        <v>71.52</v>
      </c>
      <c r="V384" s="56" t="s">
        <v>4460</v>
      </c>
      <c r="W384" s="180">
        <v>19</v>
      </c>
      <c r="X384" s="145">
        <f t="shared" si="555"/>
        <v>1358.8799999999999</v>
      </c>
      <c r="Y384" s="140">
        <f t="shared" si="556"/>
        <v>19</v>
      </c>
      <c r="Z384" s="141">
        <v>68.37</v>
      </c>
      <c r="AA384" s="102">
        <f t="shared" si="557"/>
        <v>-59.849999999999682</v>
      </c>
      <c r="AB384" s="102">
        <f t="shared" si="558"/>
        <v>-98.799999999999955</v>
      </c>
      <c r="AC384" s="124">
        <v>66.319999999999993</v>
      </c>
      <c r="AD384" s="155">
        <f t="shared" si="559"/>
        <v>-98.799999999999955</v>
      </c>
      <c r="AE384" s="545">
        <f t="shared" si="560"/>
        <v>-1.211782252050708</v>
      </c>
      <c r="AF384" s="57">
        <f>IF($AC384="",#N/A,SUM(AD$4:AD384))</f>
        <v>616.64239714745008</v>
      </c>
      <c r="AG384" s="102">
        <f t="shared" si="561"/>
        <v>-38.950000000000273</v>
      </c>
      <c r="AH384" s="56" t="s">
        <v>2507</v>
      </c>
      <c r="AI384" s="65">
        <f t="shared" si="562"/>
        <v>-0.73406040268455985</v>
      </c>
      <c r="AJ384" s="108">
        <f>IF(AI384="",#N/A,SUM($AI$4:AI384))</f>
        <v>1.0517458874434742</v>
      </c>
      <c r="AK384" s="57">
        <f t="shared" si="563"/>
        <v>-59.849999999999682</v>
      </c>
      <c r="AL384" s="66">
        <f>IF(AI384="",#N/A,IF(AH384="Skip",SUM($AK$4:AK384),SUM($AK$4:AK384)))</f>
        <v>-343.7776307215172</v>
      </c>
      <c r="AM384" s="65">
        <f t="shared" si="646"/>
        <v>-1.211782252050708</v>
      </c>
      <c r="AN384" s="209"/>
      <c r="AO384" s="65">
        <f t="shared" si="564"/>
        <v>-1.211782252050708</v>
      </c>
      <c r="AP384" s="65">
        <f>IF($AC384="",#N/A,SUM(AO$4:AO384))</f>
        <v>13.324881726246835</v>
      </c>
      <c r="AQ384" s="65" t="str">
        <f t="shared" si="565"/>
        <v/>
      </c>
      <c r="AR384" s="65">
        <f>IF($AC384="",#N/A,SUM(AQ$4:AQ384))</f>
        <v>-8.5442123483768615</v>
      </c>
      <c r="AS384" s="65" t="str">
        <f t="shared" si="566"/>
        <v/>
      </c>
      <c r="AT384" s="65">
        <f>IF($AC384="",#N/A,SUM(AS$4:AS384))</f>
        <v>6.0210091296021728</v>
      </c>
      <c r="AU384" s="57">
        <f t="shared" si="647"/>
        <v>-98.799999999999955</v>
      </c>
      <c r="AV384" s="57">
        <f>IF($AC384="",#N/A,SUM(AU$4:AU384))</f>
        <v>809.88627194988135</v>
      </c>
      <c r="AW384" s="57" t="str">
        <f t="shared" si="648"/>
        <v/>
      </c>
      <c r="AX384" s="57">
        <f>IF($AC384="",#N/A,SUM(AW$4:AW384))</f>
        <v>-635.20106797961103</v>
      </c>
      <c r="AY384" s="57" t="str">
        <f t="shared" si="649"/>
        <v/>
      </c>
      <c r="AZ384" s="57">
        <f>IF($AC384="",#N/A,SUM(AY$4:AY384))</f>
        <v>441.95719317717965</v>
      </c>
      <c r="BA384" s="57">
        <f>IF(AD384="",#N/A,SUM($AD$4:AD384))</f>
        <v>616.64239714745008</v>
      </c>
      <c r="BC384" s="51" t="str">
        <f t="shared" si="567"/>
        <v/>
      </c>
      <c r="BD384" s="51" t="str">
        <f t="shared" si="568"/>
        <v/>
      </c>
      <c r="BE384" s="51" t="str">
        <f t="shared" si="569"/>
        <v/>
      </c>
      <c r="BF384" s="51" t="str">
        <f t="shared" si="570"/>
        <v>Long</v>
      </c>
      <c r="BG384" s="51" t="str">
        <f t="shared" si="571"/>
        <v/>
      </c>
      <c r="BH384" s="51" t="str">
        <f t="shared" si="572"/>
        <v/>
      </c>
      <c r="BI384" s="51">
        <f t="shared" si="573"/>
        <v>1</v>
      </c>
      <c r="BK384" s="65">
        <f t="shared" si="653"/>
        <v>-0.11986083881013798</v>
      </c>
      <c r="BL384" s="65">
        <f t="shared" si="652"/>
        <v>-0.12947224955857023</v>
      </c>
      <c r="BM384" s="65">
        <f>IFERROR(Q384/COUNTA($J$4:J384),#N/A)</f>
        <v>2.5350169722115335E-2</v>
      </c>
      <c r="BO384" s="489">
        <f>IF(J384="",#N/A,IF(S384="SW",(COUNTIFS(K$4:$K384,"&gt;0",S$4:$S384,"SW")/COUNTIF(S$4:$S384,"SW")),#N/A))</f>
        <v>0.49729729729729732</v>
      </c>
      <c r="BP384" s="489" t="e">
        <f>IF($J384="",#N/A,IF($S384="DWN",(COUNTIFS($K$4:$K384,"&lt;0",$S$4:$S384,"DWN")/COUNTIF($S$4:$S384,"DWN")),#N/A))</f>
        <v>#N/A</v>
      </c>
      <c r="BQ384" s="489" t="e">
        <f>IF($J384="",#N/A,IF($S384="UP",(COUNTIFS($K$4:$K384,"&gt;0",$S$4:$S384,"UP")/COUNTIF($S$4:$S384,"UP")),#N/A))</f>
        <v>#N/A</v>
      </c>
      <c r="BR384" s="489">
        <f>IF(J384="",#N/A,COUNTIF($K$4:K384,"&gt;0")/COUNT($J$4:J384))</f>
        <v>0.47244094488188976</v>
      </c>
      <c r="BS384" s="65" t="str">
        <f t="shared" si="574"/>
        <v/>
      </c>
      <c r="BT384" s="65">
        <f t="shared" si="575"/>
        <v>-0.73406040268455985</v>
      </c>
      <c r="BU384" s="65" t="str">
        <f t="shared" si="576"/>
        <v/>
      </c>
      <c r="BV384" s="65" t="str">
        <f t="shared" si="577"/>
        <v/>
      </c>
      <c r="BW384" s="128" t="str">
        <f t="shared" si="578"/>
        <v/>
      </c>
      <c r="BX384" s="128">
        <f>IF($J384="",#N/A,SUM($BW$4:BW384))</f>
        <v>-529.09817034792877</v>
      </c>
      <c r="BY384" s="131" t="str">
        <f t="shared" si="579"/>
        <v/>
      </c>
      <c r="BZ384" s="131">
        <f>IF($J384="",#N/A,SUM($BY$4:BY384))</f>
        <v>391.5616134613947</v>
      </c>
      <c r="CA384" s="133">
        <f t="shared" si="580"/>
        <v>-59.849999999999682</v>
      </c>
      <c r="CB384" s="133">
        <f>IF($J384="",#N/A,SUM($CA$4:CA384))</f>
        <v>392.79593244815908</v>
      </c>
      <c r="CC384" s="194" t="str">
        <f t="shared" si="581"/>
        <v/>
      </c>
      <c r="CD384" s="194">
        <f>IF($J384="",#N/A,SUM($CC$4:CC384))</f>
        <v>-7.1968488875601349</v>
      </c>
      <c r="CE384" s="195" t="str">
        <f t="shared" si="582"/>
        <v/>
      </c>
      <c r="CF384" s="195">
        <f>IF($J384="",#N/A,SUM($CE$4:CE384))</f>
        <v>8.7052084435466917</v>
      </c>
      <c r="CG384" s="196">
        <f t="shared" si="583"/>
        <v>-0.73406040268455985</v>
      </c>
      <c r="CH384" s="196">
        <f>IF($J384="",#N/A,SUM($CG$4:CG384))</f>
        <v>8.1500551081393979</v>
      </c>
      <c r="CI384" s="200" t="str">
        <f t="shared" si="584"/>
        <v/>
      </c>
      <c r="CJ384" s="203">
        <f>IF($J384="",#N/A,SUM(CI$4:CI384))</f>
        <v>0</v>
      </c>
      <c r="CK384" s="204" t="str">
        <f t="shared" si="585"/>
        <v/>
      </c>
      <c r="CL384" s="204">
        <f>IF($J384="",#N/A,SUM(CK$4:CK384))</f>
        <v>1.2912501745213723</v>
      </c>
      <c r="CM384" s="205" t="str">
        <f t="shared" si="586"/>
        <v/>
      </c>
      <c r="CN384" s="205">
        <f>IF($J384="",#N/A,SUM(CM$4:CM384))</f>
        <v>-0.71690643699161116</v>
      </c>
      <c r="CO384" s="205">
        <f>IF($J384="",#N/A,SUM(CM$4:CM384,CK$4:CK384,CI$4:CI384))</f>
        <v>0.57434373752976109</v>
      </c>
      <c r="CP384" s="200" t="str">
        <f t="shared" si="587"/>
        <v/>
      </c>
      <c r="CQ384" s="203">
        <f>IF($J384="",#N/A,SUM(CP$4:CP384))</f>
        <v>-3.6116753136693021</v>
      </c>
      <c r="CR384" s="204" t="str">
        <f t="shared" si="588"/>
        <v/>
      </c>
      <c r="CS384" s="204">
        <f>IF($J384="",#N/A,SUM(CR$4:CR384))</f>
        <v>2.3600225017004668</v>
      </c>
      <c r="CT384" s="205" t="str">
        <f t="shared" si="589"/>
        <v/>
      </c>
      <c r="CU384" s="205">
        <f>IF($J384="",#N/A,SUM(CT$4:CT384))</f>
        <v>-4.7941568677836033</v>
      </c>
      <c r="CV384" s="205">
        <f>IF($J384="",#N/A,SUM(CT$4:CT384,CR$4:CR384,CP$4:CP384))</f>
        <v>-6.0458096797524385</v>
      </c>
      <c r="CW384" s="200" t="str">
        <f t="shared" si="590"/>
        <v/>
      </c>
      <c r="CX384" s="203">
        <f>IF($J384="",#N/A,SUM(CW$4:CW384))</f>
        <v>-3.3082659491100586</v>
      </c>
      <c r="CY384" s="204" t="str">
        <f t="shared" si="591"/>
        <v/>
      </c>
      <c r="CZ384" s="204">
        <f>IF($J384="",#N/A,SUM(CY$4:CY384))</f>
        <v>-3.9836018577043975</v>
      </c>
      <c r="DA384" s="205">
        <f t="shared" si="592"/>
        <v>-0.73406040268455985</v>
      </c>
      <c r="DB384" s="205">
        <f>IF($J384="",#N/A,SUM(DA$4:DA384))</f>
        <v>-4.336088297377275</v>
      </c>
      <c r="DC384" s="205">
        <f>IF($J384="",#N/A,SUM(DA$4:DA384,CY$4:CY384,CW$4:CW384))</f>
        <v>-11.62795610419173</v>
      </c>
      <c r="DD384" s="200" t="str">
        <f t="shared" si="593"/>
        <v/>
      </c>
      <c r="DE384" s="203">
        <f>IF($J384="",#N/A,SUM(DD$4:DD384))</f>
        <v>1.6161029218801881</v>
      </c>
      <c r="DF384" s="204" t="str">
        <f t="shared" si="594"/>
        <v/>
      </c>
      <c r="DG384" s="204">
        <f>IF($J384="",#N/A,SUM(DF$4:DF384))</f>
        <v>4.1810385231482243</v>
      </c>
      <c r="DH384" s="205" t="str">
        <f t="shared" si="595"/>
        <v/>
      </c>
      <c r="DI384" s="205">
        <f>IF($J384="",#N/A,SUM(DH$4:DH384))</f>
        <v>-0.23863035537359656</v>
      </c>
      <c r="DJ384" s="205">
        <f>IF($J384="",#N/A,SUM(DH$4:DH384,DF$4:DF384,DD$4:DD384))</f>
        <v>5.5585110896548153</v>
      </c>
      <c r="DK384" s="200" t="str">
        <f t="shared" si="596"/>
        <v/>
      </c>
      <c r="DL384" s="203">
        <f>IF($J384="",#N/A,SUM(DK$4:DK384))</f>
        <v>-0.84049791589649614</v>
      </c>
      <c r="DM384" s="204" t="str">
        <f t="shared" si="597"/>
        <v/>
      </c>
      <c r="DN384" s="204">
        <f>IF($J384="",#N/A,SUM(DM$4:DM384))</f>
        <v>1.8657648196498773</v>
      </c>
      <c r="DO384" s="205" t="str">
        <f t="shared" si="598"/>
        <v/>
      </c>
      <c r="DP384" s="205">
        <f>IF($J384="",#N/A,SUM(DO$4:DO384))</f>
        <v>3.4887162328793941</v>
      </c>
      <c r="DQ384" s="205">
        <f>IF($J384="",#N/A,SUM(DO$4:DO384,DM$4:DM384,DK$4:DK384))</f>
        <v>4.5139831366327758</v>
      </c>
      <c r="DR384" s="200" t="str">
        <f t="shared" si="599"/>
        <v/>
      </c>
      <c r="DS384" s="203">
        <f>IF($J384="",#N/A,SUM(DR$4:DR384))</f>
        <v>-0.55950946427675097</v>
      </c>
      <c r="DT384" s="204" t="str">
        <f t="shared" si="600"/>
        <v/>
      </c>
      <c r="DU384" s="204">
        <f>IF($J384="",#N/A,SUM(DT$4:DT384))</f>
        <v>-0.20750635820596686</v>
      </c>
      <c r="DV384" s="205" t="str">
        <f t="shared" si="601"/>
        <v/>
      </c>
      <c r="DW384" s="205">
        <f>IF($J384="",#N/A,SUM(DV$4:DV384))</f>
        <v>-2.3377035686214001</v>
      </c>
      <c r="DX384" s="205">
        <f>IF($J384="",#N/A,SUM(DV$4:DV384,DT$4:DT384,DR$4:DR384))</f>
        <v>-3.1047193911041169</v>
      </c>
      <c r="DY384" s="200" t="str">
        <f t="shared" si="602"/>
        <v/>
      </c>
      <c r="DZ384" s="203">
        <f>IF($J384="",#N/A,SUM(DY$4:DY384))</f>
        <v>-1.4146842415208627</v>
      </c>
      <c r="EA384" s="204" t="str">
        <f t="shared" si="603"/>
        <v/>
      </c>
      <c r="EB384" s="204">
        <f>IF($J384="",#N/A,SUM(EA$4:EA384))</f>
        <v>4.3184391548878134</v>
      </c>
      <c r="EC384" s="205" t="str">
        <f t="shared" si="604"/>
        <v/>
      </c>
      <c r="ED384" s="205">
        <f>IF($J384="",#N/A,SUM(EC$4:EC384))</f>
        <v>8.4384553208490907</v>
      </c>
      <c r="EE384" s="205">
        <f>IF($J384="",#N/A,SUM(EC$4:EC384,EA$4:EA384,DY$4:DY384))</f>
        <v>11.342210234216044</v>
      </c>
      <c r="EF384" s="200" t="str">
        <f t="shared" si="605"/>
        <v/>
      </c>
      <c r="EG384" s="203">
        <f>IF($J384="",#N/A,SUM(EF$4:EF384))</f>
        <v>0.65848341369884777</v>
      </c>
      <c r="EH384" s="204" t="str">
        <f t="shared" si="606"/>
        <v/>
      </c>
      <c r="EI384" s="204">
        <f>IF($J384="",#N/A,SUM(EH$4:EH384))</f>
        <v>-3.5125331561187787</v>
      </c>
      <c r="EJ384" s="205" t="str">
        <f t="shared" si="607"/>
        <v/>
      </c>
      <c r="EK384" s="205">
        <f>IF($J384="",#N/A,SUM(EJ$4:EJ384))</f>
        <v>11.820135611943035</v>
      </c>
      <c r="EL384" s="205">
        <f>IF($J384="",#N/A,SUM(EJ$4:EJ384,EH$4:EH384,EF$4:EF384))</f>
        <v>8.9660858695231074</v>
      </c>
      <c r="EM384" s="200" t="str">
        <f t="shared" si="608"/>
        <v/>
      </c>
      <c r="EN384" s="203">
        <f>IF($J384="",#N/A,SUM(EM$4:EM384))</f>
        <v>0</v>
      </c>
      <c r="EO384" s="204" t="str">
        <f t="shared" si="609"/>
        <v/>
      </c>
      <c r="EP384" s="204">
        <f>IF($J384="",#N/A,SUM(EO$4:EO384))</f>
        <v>2.4788862078089964</v>
      </c>
      <c r="EQ384" s="205" t="str">
        <f t="shared" si="610"/>
        <v/>
      </c>
      <c r="ER384" s="205">
        <f>IF($J384="",#N/A,SUM(EQ$4:EQ384))</f>
        <v>1.7856049065476487</v>
      </c>
      <c r="ES384" s="205">
        <f>IF($J384="",#N/A,SUM(EQ$4:EQ384,EO$4:EO384,EM$4:EM384))</f>
        <v>4.2644911143566446</v>
      </c>
      <c r="ET384" s="200" t="str">
        <f t="shared" si="611"/>
        <v/>
      </c>
      <c r="EU384" s="203">
        <f>IF($J384="",#N/A,SUM(ET$4:ET384))</f>
        <v>0</v>
      </c>
      <c r="EV384" s="204" t="str">
        <f t="shared" si="612"/>
        <v/>
      </c>
      <c r="EW384" s="204">
        <f>IF($J384="",#N/A,SUM(EV$4:EV384))</f>
        <v>7.9116394275462909E-2</v>
      </c>
      <c r="EX384" s="205" t="str">
        <f t="shared" si="613"/>
        <v/>
      </c>
      <c r="EY384" s="205">
        <f>IF($J384="",#N/A,SUM(EX$4:EX384))</f>
        <v>0.62848633887309935</v>
      </c>
      <c r="EZ384" s="205">
        <f>IF($J384="",#N/A,SUM(EX$4:EX384,EV$4:EV384,ET$4:ET384))</f>
        <v>0.70760273314856192</v>
      </c>
      <c r="FA384" s="200" t="str">
        <f t="shared" si="614"/>
        <v/>
      </c>
      <c r="FB384" s="203">
        <f>IF($J384="",#N/A,SUM(FA$4:FA384))</f>
        <v>-0.27145310509113252</v>
      </c>
      <c r="FC384" s="204" t="str">
        <f t="shared" si="615"/>
        <v/>
      </c>
      <c r="FD384" s="204">
        <f>IF($J384="",#N/A,SUM(FC$4:FC384))</f>
        <v>0.89084290967454072</v>
      </c>
      <c r="FE384" s="205" t="str">
        <f t="shared" si="616"/>
        <v/>
      </c>
      <c r="FF384" s="205">
        <f>IF($J384="",#N/A,SUM(FE$4:FE384))</f>
        <v>-0.28811149078748233</v>
      </c>
      <c r="FG384" s="205">
        <f>IF($J384="",#N/A,SUM(FE$4:FE384,FC$4:FC384,FA$4:FA384))</f>
        <v>0.3312783137959262</v>
      </c>
      <c r="FH384" s="200" t="str">
        <f t="shared" si="617"/>
        <v/>
      </c>
      <c r="FI384" s="203">
        <f>IF($J384="",#N/A,SUM(FH$4:FH384))</f>
        <v>0</v>
      </c>
      <c r="FJ384" s="204" t="str">
        <f t="shared" si="618"/>
        <v/>
      </c>
      <c r="FK384" s="204">
        <f>IF($J384="",#N/A,SUM(FJ$4:FJ384))</f>
        <v>0</v>
      </c>
      <c r="FL384" s="205" t="str">
        <f t="shared" si="619"/>
        <v/>
      </c>
      <c r="FM384" s="205">
        <f>IF($J384="",#N/A,SUM(FL$4:FL384))</f>
        <v>0</v>
      </c>
      <c r="FN384" s="205">
        <f>IF($J384="",#N/A,SUM(FL$4:FL384,FJ$4:FJ384,FH$4:FH384))</f>
        <v>0</v>
      </c>
      <c r="FO384" s="200" t="str">
        <f t="shared" si="620"/>
        <v/>
      </c>
      <c r="FP384" s="203">
        <f>IF($J384="",#N/A,SUM(FO$4:FO384))</f>
        <v>0</v>
      </c>
      <c r="FQ384" s="204" t="str">
        <f t="shared" si="621"/>
        <v/>
      </c>
      <c r="FR384" s="204">
        <f>IF($J384="",#N/A,SUM(FQ$4:FQ384))</f>
        <v>0</v>
      </c>
      <c r="FS384" s="205" t="str">
        <f t="shared" si="622"/>
        <v/>
      </c>
      <c r="FT384" s="205">
        <f>IF($J384="",#N/A,SUM(FS$4:FS384))</f>
        <v>0</v>
      </c>
      <c r="FU384" s="205">
        <f>IF($J384="",#N/A,SUM(FS$4:FS384,FQ$4:FQ384,FO$4:FO384))</f>
        <v>0</v>
      </c>
      <c r="FV384" s="200" t="str">
        <f t="shared" si="623"/>
        <v/>
      </c>
      <c r="FW384" s="203">
        <f>IF($J384="",#N/A,SUM(FV$4:FV384))</f>
        <v>6.6834991831277585E-2</v>
      </c>
      <c r="FX384" s="204" t="str">
        <f t="shared" si="624"/>
        <v/>
      </c>
      <c r="FY384" s="204">
        <f>IF($J384="",#N/A,SUM(FX$4:FX384))</f>
        <v>-0.16102012791805576</v>
      </c>
      <c r="FZ384" s="205" t="str">
        <f t="shared" si="625"/>
        <v/>
      </c>
      <c r="GA384" s="205">
        <f>IF($J384="",#N/A,SUM(FZ$4:FZ384))</f>
        <v>-0.69624339162892301</v>
      </c>
      <c r="GB384" s="205">
        <f>IF($J384="",#N/A,SUM(FZ$4:FZ384,FX$4:FX384,FV$4:FV384))</f>
        <v>-0.79042852771570116</v>
      </c>
      <c r="GC384" s="200" t="str">
        <f t="shared" si="626"/>
        <v/>
      </c>
      <c r="GD384" s="203">
        <f>IF($J384="",#N/A,SUM(GC$4:GC384))</f>
        <v>0</v>
      </c>
      <c r="GE384" s="204" t="str">
        <f t="shared" si="627"/>
        <v/>
      </c>
      <c r="GF384" s="204">
        <f>IF($J384="",#N/A,SUM(GE$4:GE384))</f>
        <v>0</v>
      </c>
      <c r="GG384" s="205" t="str">
        <f t="shared" si="628"/>
        <v/>
      </c>
      <c r="GH384" s="205">
        <f>IF($J384="",#N/A,SUM(GG$4:GG384))</f>
        <v>-2.9368362277223206</v>
      </c>
      <c r="GI384" s="205">
        <f>IF($J384="",#N/A,SUM(GG$4:GG384,GE$4:GE384,GC$4:GC384))</f>
        <v>-2.9368362277223206</v>
      </c>
      <c r="GJ384" s="200" t="str">
        <f t="shared" si="629"/>
        <v/>
      </c>
      <c r="GK384" s="203">
        <f>IF($J384="",#N/A,SUM(GJ$4:GJ384))</f>
        <v>0</v>
      </c>
      <c r="GL384" s="204" t="str">
        <f t="shared" si="630"/>
        <v/>
      </c>
      <c r="GM384" s="204">
        <f>IF($J384="",#N/A,SUM(GL$4:GL384))</f>
        <v>-2.0621307233432784</v>
      </c>
      <c r="GN384" s="205" t="str">
        <f t="shared" si="631"/>
        <v/>
      </c>
      <c r="GO384" s="205">
        <f>IF($J384="",#N/A,SUM(GN$4:GN384))</f>
        <v>0</v>
      </c>
      <c r="GP384" s="205">
        <f>IF($J384="",#N/A,SUM(GN$4:GN384,GL$4:GL384,GJ$4:GJ384))</f>
        <v>-2.0621307233432784</v>
      </c>
      <c r="GS384" s="54">
        <f t="shared" si="650"/>
        <v>-0.73406040268455985</v>
      </c>
      <c r="GT384" s="54">
        <f>IF(GS384="",NA(),SUM($GS$4:GS384))</f>
        <v>10.402735676880077</v>
      </c>
      <c r="GU384" s="54" t="str">
        <f t="shared" si="632"/>
        <v/>
      </c>
      <c r="GV384" s="54" t="e">
        <f>IF(GU384="",NA(),SUM($GU$4:GU384))</f>
        <v>#N/A</v>
      </c>
      <c r="GW384" s="54">
        <f t="shared" si="633"/>
        <v>-0.73406040268455985</v>
      </c>
      <c r="GX384" s="54">
        <f>IF(GW384="",NA(),SUM($GW$4:GW384))</f>
        <v>6.7928205711797682</v>
      </c>
      <c r="GY384" s="54" t="str">
        <f t="shared" si="634"/>
        <v/>
      </c>
      <c r="GZ384" s="54" t="e">
        <f>IF(GY384="",NA(),SUM($GY$4:GY384))</f>
        <v>#N/A</v>
      </c>
      <c r="HA384" s="54" t="str">
        <f t="shared" si="635"/>
        <v/>
      </c>
      <c r="HB384" s="54" t="e">
        <f>IF(HA384="",NA(),SUM($HA$4:HA384))</f>
        <v>#N/A</v>
      </c>
      <c r="HC384" s="54" t="str">
        <f t="shared" si="636"/>
        <v/>
      </c>
      <c r="HD384" s="54" t="e">
        <f>IF(HC384="",NA(),SUM($HC$4:HC384))</f>
        <v>#N/A</v>
      </c>
      <c r="HE384" s="54" t="str">
        <f t="shared" si="637"/>
        <v/>
      </c>
      <c r="HF384" s="54" t="e">
        <f>IF(HE384="",NA(),SUM($HE$4:HE384))</f>
        <v>#N/A</v>
      </c>
      <c r="HG384" s="54" t="str">
        <f t="shared" si="638"/>
        <v/>
      </c>
      <c r="HH384" s="54" t="e">
        <f>IF(HG384="",NA(),SUM($HG$4:HG384))</f>
        <v>#N/A</v>
      </c>
      <c r="HI384" s="172" t="str">
        <f t="shared" si="651"/>
        <v/>
      </c>
      <c r="HJ384" s="172">
        <f>IF($J384="",#N/A,SUM(HI$4:$HI384))</f>
        <v>-10.162234665497841</v>
      </c>
      <c r="HK384" s="54" t="str">
        <f t="shared" si="639"/>
        <v/>
      </c>
      <c r="HL384" s="54">
        <f>IF($J384="",#N/A,SUM($HK$4:HK384))</f>
        <v>7.4780353515533324</v>
      </c>
      <c r="HM384" s="54" t="str">
        <f t="shared" si="640"/>
        <v/>
      </c>
      <c r="HN384" s="54">
        <f>IF($J384="",#N/A,SUM($HM$4:HM384))</f>
        <v>-1.0806776566755429</v>
      </c>
      <c r="HO384" s="54" t="str">
        <f t="shared" si="641"/>
        <v/>
      </c>
      <c r="HP384" s="54">
        <f>IF($J384="",#N/A,SUM($HO$4:HO384))</f>
        <v>-0.26668580414118226</v>
      </c>
      <c r="HQ384" s="54" t="str">
        <f t="shared" si="642"/>
        <v/>
      </c>
      <c r="HR384" s="54">
        <f>IF($J384="",#N/A,SUM($HQ$4:HQ384))</f>
        <v>-10.093526087360836</v>
      </c>
      <c r="HS384" s="54">
        <f t="shared" si="643"/>
        <v>-0.47772184936614814</v>
      </c>
      <c r="HT384" s="54">
        <f>IF($J384="",#N/A,SUM($HS$4:HS384))</f>
        <v>15.76452616133583</v>
      </c>
      <c r="HU384" s="65">
        <f t="shared" si="644"/>
        <v>-1.211782252050708</v>
      </c>
      <c r="HV384" s="65">
        <f>IF($J384="",#N/A,SUM(HU$4:$HU384))</f>
        <v>10.801678507472152</v>
      </c>
    </row>
    <row r="385" spans="1:230" ht="15.75" thickBot="1" x14ac:dyDescent="0.3">
      <c r="A385" s="292" t="s">
        <v>1144</v>
      </c>
      <c r="B385" s="293" t="s">
        <v>5548</v>
      </c>
      <c r="C385" s="294">
        <f t="shared" si="545"/>
        <v>3</v>
      </c>
      <c r="D385" s="295" t="str">
        <f>_xlfn.XLOOKUP(A385,[1]SP500!$A$2:$A$502,[1]SP500!$D$2:$D$502,"N")</f>
        <v>N</v>
      </c>
      <c r="E385" s="292" t="str">
        <f>IFERROR(_xlfn.XLOOKUP(A385,[1]SP500!$A$2:$A$655,[1]SP500!$B$2:$B$655),"")</f>
        <v>XLY</v>
      </c>
      <c r="F385" s="296">
        <v>45806</v>
      </c>
      <c r="G385" s="292" t="str">
        <f t="shared" si="546"/>
        <v>BMO</v>
      </c>
      <c r="H385" s="292" t="str">
        <f t="shared" si="547"/>
        <v>sk</v>
      </c>
      <c r="I385" s="345">
        <v>238.59</v>
      </c>
      <c r="J385" s="313">
        <v>255.6</v>
      </c>
      <c r="K385" s="298">
        <f t="shared" si="548"/>
        <v>7.1293851376838885E-2</v>
      </c>
      <c r="L385" s="299">
        <f t="shared" si="549"/>
        <v>96.246699358732485</v>
      </c>
      <c r="M385" s="300" t="e">
        <f t="shared" si="550"/>
        <v>#N/A</v>
      </c>
      <c r="N385" s="341">
        <f t="shared" si="551"/>
        <v>96.246699358732485</v>
      </c>
      <c r="O385" s="300">
        <f>IF(N385="",#N/A,SUM($N$4:N385))</f>
        <v>351.50607492035772</v>
      </c>
      <c r="P385" s="305">
        <f t="shared" si="645"/>
        <v>1.1882308562806481</v>
      </c>
      <c r="Q385" s="304">
        <f>IF($N385="",#N/A,SUM($P$4:P385))</f>
        <v>10.846645520406589</v>
      </c>
      <c r="R385" s="307">
        <f t="shared" si="552"/>
        <v>9.7948996329631157</v>
      </c>
      <c r="S385" s="292" t="str">
        <f t="shared" si="553"/>
        <v>SW</v>
      </c>
      <c r="T385" s="292" t="s">
        <v>2828</v>
      </c>
      <c r="U385" s="308">
        <f t="shared" si="554"/>
        <v>238.59</v>
      </c>
      <c r="V385" s="308" t="s">
        <v>4460</v>
      </c>
      <c r="W385" s="306">
        <f>IF(I385="","",1350/I385)</f>
        <v>5.6582421727649939</v>
      </c>
      <c r="X385" s="309">
        <f t="shared" si="555"/>
        <v>1350</v>
      </c>
      <c r="Y385" s="306">
        <f t="shared" si="556"/>
        <v>5.6582421727649939</v>
      </c>
      <c r="Z385" s="581">
        <f>J385</f>
        <v>255.6</v>
      </c>
      <c r="AA385" s="341">
        <f t="shared" si="557"/>
        <v>96.246699358732485</v>
      </c>
      <c r="AB385" s="341">
        <f t="shared" si="558"/>
        <v>-61.052433044134432</v>
      </c>
      <c r="AC385" s="297">
        <v>227.8</v>
      </c>
      <c r="AD385" s="301">
        <f t="shared" si="559"/>
        <v>-61.052433044134432</v>
      </c>
      <c r="AE385" s="546">
        <f t="shared" si="560"/>
        <v>-0.75373374128561021</v>
      </c>
      <c r="AF385" s="300">
        <f>IF($AC385="",#N/A,SUM(AD$4:AD385))</f>
        <v>555.58996410331565</v>
      </c>
      <c r="AG385" s="341">
        <f t="shared" si="561"/>
        <v>-157.29913240286692</v>
      </c>
      <c r="AH385" s="308" t="s">
        <v>4464</v>
      </c>
      <c r="AI385" s="305">
        <f t="shared" si="562"/>
        <v>0</v>
      </c>
      <c r="AJ385" s="418">
        <f>IF(AI385="",#N/A,SUM($AI$4:AI385))</f>
        <v>1.0517458874434742</v>
      </c>
      <c r="AK385" s="300" t="str">
        <f t="shared" si="563"/>
        <v/>
      </c>
      <c r="AL385" s="406">
        <f>IF(AI385="",#N/A,IF(AH385="Skip",SUM($AK$4:AK385),SUM($AK$4:AK385)))</f>
        <v>-343.7776307215172</v>
      </c>
      <c r="AM385" s="65">
        <f t="shared" si="646"/>
        <v>-0.75373374128561021</v>
      </c>
      <c r="AN385" s="209"/>
      <c r="AO385" s="65">
        <f t="shared" si="564"/>
        <v>-0.75373374128561021</v>
      </c>
      <c r="AP385" s="65">
        <f>IF($AC385="",#N/A,SUM(AO$4:AO385))</f>
        <v>12.571147984961225</v>
      </c>
      <c r="AQ385" s="65" t="str">
        <f t="shared" si="565"/>
        <v/>
      </c>
      <c r="AR385" s="65">
        <f>IF($AC385="",#N/A,SUM(AQ$4:AQ385))</f>
        <v>-8.5442123483768615</v>
      </c>
      <c r="AS385" s="65" t="str">
        <f t="shared" si="566"/>
        <v/>
      </c>
      <c r="AT385" s="65">
        <f>IF($AC385="",#N/A,SUM(AS$4:AS385))</f>
        <v>6.0210091296021728</v>
      </c>
      <c r="AU385" s="57">
        <f t="shared" si="647"/>
        <v>-61.052433044134432</v>
      </c>
      <c r="AV385" s="57">
        <f>IF($AC385="",#N/A,SUM(AU$4:AU385))</f>
        <v>748.83383890574692</v>
      </c>
      <c r="AW385" s="57" t="str">
        <f t="shared" si="648"/>
        <v/>
      </c>
      <c r="AX385" s="57">
        <f>IF($AC385="",#N/A,SUM(AW$4:AW385))</f>
        <v>-635.20106797961103</v>
      </c>
      <c r="AY385" s="57" t="str">
        <f t="shared" si="649"/>
        <v/>
      </c>
      <c r="AZ385" s="57">
        <f>IF($AC385="",#N/A,SUM(AY$4:AY385))</f>
        <v>441.95719317717965</v>
      </c>
      <c r="BA385" s="57">
        <f>IF(AD385="",#N/A,SUM($AD$4:AD385))</f>
        <v>555.58996410331565</v>
      </c>
      <c r="BC385" s="51" t="str">
        <f t="shared" si="567"/>
        <v/>
      </c>
      <c r="BD385" s="51" t="str">
        <f t="shared" si="568"/>
        <v/>
      </c>
      <c r="BE385" s="51">
        <f t="shared" si="569"/>
        <v>1</v>
      </c>
      <c r="BF385" s="51" t="str">
        <f t="shared" si="570"/>
        <v>Long</v>
      </c>
      <c r="BG385" s="51" t="str">
        <f t="shared" si="571"/>
        <v/>
      </c>
      <c r="BH385" s="51" t="str">
        <f t="shared" si="572"/>
        <v/>
      </c>
      <c r="BI385" s="51" t="str">
        <f t="shared" si="573"/>
        <v/>
      </c>
      <c r="BK385" s="65">
        <f t="shared" si="653"/>
        <v>-0.11485080043910387</v>
      </c>
      <c r="BL385" s="65">
        <f t="shared" si="652"/>
        <v>-0.23080493932986798</v>
      </c>
      <c r="BM385" s="65">
        <f>IFERROR(Q385/COUNTA($J$4:J385),#N/A)</f>
        <v>2.8394360001064371E-2</v>
      </c>
      <c r="BO385" s="489">
        <f>IF(J385="",#N/A,IF(S385="SW",(COUNTIFS(K$4:$K385,"&gt;0",S$4:$S385,"SW")/COUNTIF(S$4:$S385,"SW")),#N/A))</f>
        <v>0.5</v>
      </c>
      <c r="BP385" s="489" t="e">
        <f>IF($J385="",#N/A,IF($S385="DWN",(COUNTIFS($K$4:$K385,"&lt;0",$S$4:$S385,"DWN")/COUNTIF($S$4:$S385,"DWN")),#N/A))</f>
        <v>#N/A</v>
      </c>
      <c r="BQ385" s="489" t="e">
        <f>IF($J385="",#N/A,IF($S385="UP",(COUNTIFS($K$4:$K385,"&gt;0",$S$4:$S385,"UP")/COUNTIF($S$4:$S385,"UP")),#N/A))</f>
        <v>#N/A</v>
      </c>
      <c r="BR385" s="489">
        <f>IF(J385="",#N/A,COUNTIF($K$4:K385,"&gt;0")/COUNT($J$4:J385))</f>
        <v>0.47382198952879578</v>
      </c>
      <c r="BS385" s="65" t="str">
        <f t="shared" si="574"/>
        <v/>
      </c>
      <c r="BT385" s="65" t="str">
        <f t="shared" si="575"/>
        <v/>
      </c>
      <c r="BU385" s="65" t="str">
        <f t="shared" si="576"/>
        <v/>
      </c>
      <c r="BV385" s="65" t="str">
        <f t="shared" si="577"/>
        <v/>
      </c>
      <c r="BW385" s="128" t="str">
        <f t="shared" si="578"/>
        <v/>
      </c>
      <c r="BX385" s="128">
        <f>IF($J385="",#N/A,SUM($BW$4:BW385))</f>
        <v>-529.09817034792877</v>
      </c>
      <c r="BY385" s="131" t="str">
        <f t="shared" si="579"/>
        <v/>
      </c>
      <c r="BZ385" s="131">
        <f>IF($J385="",#N/A,SUM($BY$4:BY385))</f>
        <v>391.5616134613947</v>
      </c>
      <c r="CA385" s="133">
        <f t="shared" si="580"/>
        <v>96.246699358732485</v>
      </c>
      <c r="CB385" s="133">
        <f>IF($J385="",#N/A,SUM($CA$4:CA385))</f>
        <v>489.04263180689156</v>
      </c>
      <c r="CC385" s="194" t="str">
        <f t="shared" si="581"/>
        <v/>
      </c>
      <c r="CD385" s="194">
        <f>IF($J385="",#N/A,SUM($CC$4:CC385))</f>
        <v>-7.1968488875601349</v>
      </c>
      <c r="CE385" s="195" t="str">
        <f t="shared" si="582"/>
        <v/>
      </c>
      <c r="CF385" s="195">
        <f>IF($J385="",#N/A,SUM($CE$4:CE385))</f>
        <v>8.7052084435466917</v>
      </c>
      <c r="CG385" s="196">
        <f t="shared" si="583"/>
        <v>1.1882308562806481</v>
      </c>
      <c r="CH385" s="196">
        <f>IF($J385="",#N/A,SUM($CG$4:CG385))</f>
        <v>9.3382859644200451</v>
      </c>
      <c r="CI385" s="200" t="str">
        <f t="shared" si="584"/>
        <v/>
      </c>
      <c r="CJ385" s="203">
        <f>IF($J385="",#N/A,SUM(CI$4:CI385))</f>
        <v>0</v>
      </c>
      <c r="CK385" s="204" t="str">
        <f t="shared" si="585"/>
        <v/>
      </c>
      <c r="CL385" s="204">
        <f>IF($J385="",#N/A,SUM(CK$4:CK385))</f>
        <v>1.2912501745213723</v>
      </c>
      <c r="CM385" s="205" t="str">
        <f t="shared" si="586"/>
        <v/>
      </c>
      <c r="CN385" s="205">
        <f>IF($J385="",#N/A,SUM(CM$4:CM385))</f>
        <v>-0.71690643699161116</v>
      </c>
      <c r="CO385" s="205">
        <f>IF($J385="",#N/A,SUM(CM$4:CM385,CK$4:CK385,CI$4:CI385))</f>
        <v>0.57434373752976109</v>
      </c>
      <c r="CP385" s="200" t="str">
        <f t="shared" si="587"/>
        <v/>
      </c>
      <c r="CQ385" s="203">
        <f>IF($J385="",#N/A,SUM(CP$4:CP385))</f>
        <v>-3.6116753136693021</v>
      </c>
      <c r="CR385" s="204" t="str">
        <f t="shared" si="588"/>
        <v/>
      </c>
      <c r="CS385" s="204">
        <f>IF($J385="",#N/A,SUM(CR$4:CR385))</f>
        <v>2.3600225017004668</v>
      </c>
      <c r="CT385" s="205" t="str">
        <f t="shared" si="589"/>
        <v/>
      </c>
      <c r="CU385" s="205">
        <f>IF($J385="",#N/A,SUM(CT$4:CT385))</f>
        <v>-4.7941568677836033</v>
      </c>
      <c r="CV385" s="205">
        <f>IF($J385="",#N/A,SUM(CT$4:CT385,CR$4:CR385,CP$4:CP385))</f>
        <v>-6.0458096797524385</v>
      </c>
      <c r="CW385" s="200" t="str">
        <f t="shared" si="590"/>
        <v/>
      </c>
      <c r="CX385" s="203">
        <f>IF($J385="",#N/A,SUM(CW$4:CW385))</f>
        <v>-3.3082659491100586</v>
      </c>
      <c r="CY385" s="204" t="str">
        <f t="shared" si="591"/>
        <v/>
      </c>
      <c r="CZ385" s="204">
        <f>IF($J385="",#N/A,SUM(CY$4:CY385))</f>
        <v>-3.9836018577043975</v>
      </c>
      <c r="DA385" s="205">
        <f t="shared" si="592"/>
        <v>1.1882308562806481</v>
      </c>
      <c r="DB385" s="205">
        <f>IF($J385="",#N/A,SUM(DA$4:DA385))</f>
        <v>-3.1478574410966269</v>
      </c>
      <c r="DC385" s="205">
        <f>IF($J385="",#N/A,SUM(DA$4:DA385,CY$4:CY385,CW$4:CW385))</f>
        <v>-10.439725247911085</v>
      </c>
      <c r="DD385" s="200" t="str">
        <f t="shared" si="593"/>
        <v/>
      </c>
      <c r="DE385" s="203">
        <f>IF($J385="",#N/A,SUM(DD$4:DD385))</f>
        <v>1.6161029218801881</v>
      </c>
      <c r="DF385" s="204" t="str">
        <f t="shared" si="594"/>
        <v/>
      </c>
      <c r="DG385" s="204">
        <f>IF($J385="",#N/A,SUM(DF$4:DF385))</f>
        <v>4.1810385231482243</v>
      </c>
      <c r="DH385" s="205" t="str">
        <f t="shared" si="595"/>
        <v/>
      </c>
      <c r="DI385" s="205">
        <f>IF($J385="",#N/A,SUM(DH$4:DH385))</f>
        <v>-0.23863035537359656</v>
      </c>
      <c r="DJ385" s="205">
        <f>IF($J385="",#N/A,SUM(DH$4:DH385,DF$4:DF385,DD$4:DD385))</f>
        <v>5.5585110896548153</v>
      </c>
      <c r="DK385" s="200" t="str">
        <f t="shared" si="596"/>
        <v/>
      </c>
      <c r="DL385" s="203">
        <f>IF($J385="",#N/A,SUM(DK$4:DK385))</f>
        <v>-0.84049791589649614</v>
      </c>
      <c r="DM385" s="204" t="str">
        <f t="shared" si="597"/>
        <v/>
      </c>
      <c r="DN385" s="204">
        <f>IF($J385="",#N/A,SUM(DM$4:DM385))</f>
        <v>1.8657648196498773</v>
      </c>
      <c r="DO385" s="205" t="str">
        <f t="shared" si="598"/>
        <v/>
      </c>
      <c r="DP385" s="205">
        <f>IF($J385="",#N/A,SUM(DO$4:DO385))</f>
        <v>3.4887162328793941</v>
      </c>
      <c r="DQ385" s="205">
        <f>IF($J385="",#N/A,SUM(DO$4:DO385,DM$4:DM385,DK$4:DK385))</f>
        <v>4.5139831366327758</v>
      </c>
      <c r="DR385" s="200" t="str">
        <f t="shared" si="599"/>
        <v/>
      </c>
      <c r="DS385" s="203">
        <f>IF($J385="",#N/A,SUM(DR$4:DR385))</f>
        <v>-0.55950946427675097</v>
      </c>
      <c r="DT385" s="204" t="str">
        <f t="shared" si="600"/>
        <v/>
      </c>
      <c r="DU385" s="204">
        <f>IF($J385="",#N/A,SUM(DT$4:DT385))</f>
        <v>-0.20750635820596686</v>
      </c>
      <c r="DV385" s="205" t="str">
        <f t="shared" si="601"/>
        <v/>
      </c>
      <c r="DW385" s="205">
        <f>IF($J385="",#N/A,SUM(DV$4:DV385))</f>
        <v>-2.3377035686214001</v>
      </c>
      <c r="DX385" s="205">
        <f>IF($J385="",#N/A,SUM(DV$4:DV385,DT$4:DT385,DR$4:DR385))</f>
        <v>-3.1047193911041169</v>
      </c>
      <c r="DY385" s="200" t="str">
        <f t="shared" si="602"/>
        <v/>
      </c>
      <c r="DZ385" s="203">
        <f>IF($J385="",#N/A,SUM(DY$4:DY385))</f>
        <v>-1.4146842415208627</v>
      </c>
      <c r="EA385" s="204" t="str">
        <f t="shared" si="603"/>
        <v/>
      </c>
      <c r="EB385" s="204">
        <f>IF($J385="",#N/A,SUM(EA$4:EA385))</f>
        <v>4.3184391548878134</v>
      </c>
      <c r="EC385" s="205" t="str">
        <f t="shared" si="604"/>
        <v/>
      </c>
      <c r="ED385" s="205">
        <f>IF($J385="",#N/A,SUM(EC$4:EC385))</f>
        <v>8.4384553208490907</v>
      </c>
      <c r="EE385" s="205">
        <f>IF($J385="",#N/A,SUM(EC$4:EC385,EA$4:EA385,DY$4:DY385))</f>
        <v>11.342210234216044</v>
      </c>
      <c r="EF385" s="200" t="str">
        <f t="shared" si="605"/>
        <v/>
      </c>
      <c r="EG385" s="203">
        <f>IF($J385="",#N/A,SUM(EF$4:EF385))</f>
        <v>0.65848341369884777</v>
      </c>
      <c r="EH385" s="204" t="str">
        <f t="shared" si="606"/>
        <v/>
      </c>
      <c r="EI385" s="204">
        <f>IF($J385="",#N/A,SUM(EH$4:EH385))</f>
        <v>-3.5125331561187787</v>
      </c>
      <c r="EJ385" s="205" t="str">
        <f t="shared" si="607"/>
        <v/>
      </c>
      <c r="EK385" s="205">
        <f>IF($J385="",#N/A,SUM(EJ$4:EJ385))</f>
        <v>11.820135611943035</v>
      </c>
      <c r="EL385" s="205">
        <f>IF($J385="",#N/A,SUM(EJ$4:EJ385,EH$4:EH385,EF$4:EF385))</f>
        <v>8.9660858695231074</v>
      </c>
      <c r="EM385" s="200" t="str">
        <f t="shared" si="608"/>
        <v/>
      </c>
      <c r="EN385" s="203">
        <f>IF($J385="",#N/A,SUM(EM$4:EM385))</f>
        <v>0</v>
      </c>
      <c r="EO385" s="204" t="str">
        <f t="shared" si="609"/>
        <v/>
      </c>
      <c r="EP385" s="204">
        <f>IF($J385="",#N/A,SUM(EO$4:EO385))</f>
        <v>2.4788862078089964</v>
      </c>
      <c r="EQ385" s="205" t="str">
        <f t="shared" si="610"/>
        <v/>
      </c>
      <c r="ER385" s="205">
        <f>IF($J385="",#N/A,SUM(EQ$4:EQ385))</f>
        <v>1.7856049065476487</v>
      </c>
      <c r="ES385" s="205">
        <f>IF($J385="",#N/A,SUM(EQ$4:EQ385,EO$4:EO385,EM$4:EM385))</f>
        <v>4.2644911143566446</v>
      </c>
      <c r="ET385" s="200" t="str">
        <f t="shared" si="611"/>
        <v/>
      </c>
      <c r="EU385" s="203">
        <f>IF($J385="",#N/A,SUM(ET$4:ET385))</f>
        <v>0</v>
      </c>
      <c r="EV385" s="204" t="str">
        <f t="shared" si="612"/>
        <v/>
      </c>
      <c r="EW385" s="204">
        <f>IF($J385="",#N/A,SUM(EV$4:EV385))</f>
        <v>7.9116394275462909E-2</v>
      </c>
      <c r="EX385" s="205" t="str">
        <f t="shared" si="613"/>
        <v/>
      </c>
      <c r="EY385" s="205">
        <f>IF($J385="",#N/A,SUM(EX$4:EX385))</f>
        <v>0.62848633887309935</v>
      </c>
      <c r="EZ385" s="205">
        <f>IF($J385="",#N/A,SUM(EX$4:EX385,EV$4:EV385,ET$4:ET385))</f>
        <v>0.70760273314856192</v>
      </c>
      <c r="FA385" s="200" t="str">
        <f t="shared" si="614"/>
        <v/>
      </c>
      <c r="FB385" s="203">
        <f>IF($J385="",#N/A,SUM(FA$4:FA385))</f>
        <v>-0.27145310509113252</v>
      </c>
      <c r="FC385" s="204" t="str">
        <f t="shared" si="615"/>
        <v/>
      </c>
      <c r="FD385" s="204">
        <f>IF($J385="",#N/A,SUM(FC$4:FC385))</f>
        <v>0.89084290967454072</v>
      </c>
      <c r="FE385" s="205" t="str">
        <f t="shared" si="616"/>
        <v/>
      </c>
      <c r="FF385" s="205">
        <f>IF($J385="",#N/A,SUM(FE$4:FE385))</f>
        <v>-0.28811149078748233</v>
      </c>
      <c r="FG385" s="205">
        <f>IF($J385="",#N/A,SUM(FE$4:FE385,FC$4:FC385,FA$4:FA385))</f>
        <v>0.3312783137959262</v>
      </c>
      <c r="FH385" s="200" t="str">
        <f t="shared" si="617"/>
        <v/>
      </c>
      <c r="FI385" s="203">
        <f>IF($J385="",#N/A,SUM(FH$4:FH385))</f>
        <v>0</v>
      </c>
      <c r="FJ385" s="204" t="str">
        <f t="shared" si="618"/>
        <v/>
      </c>
      <c r="FK385" s="204">
        <f>IF($J385="",#N/A,SUM(FJ$4:FJ385))</f>
        <v>0</v>
      </c>
      <c r="FL385" s="205" t="str">
        <f t="shared" si="619"/>
        <v/>
      </c>
      <c r="FM385" s="205">
        <f>IF($J385="",#N/A,SUM(FL$4:FL385))</f>
        <v>0</v>
      </c>
      <c r="FN385" s="205">
        <f>IF($J385="",#N/A,SUM(FL$4:FL385,FJ$4:FJ385,FH$4:FH385))</f>
        <v>0</v>
      </c>
      <c r="FO385" s="200" t="str">
        <f t="shared" si="620"/>
        <v/>
      </c>
      <c r="FP385" s="203">
        <f>IF($J385="",#N/A,SUM(FO$4:FO385))</f>
        <v>0</v>
      </c>
      <c r="FQ385" s="204" t="str">
        <f t="shared" si="621"/>
        <v/>
      </c>
      <c r="FR385" s="204">
        <f>IF($J385="",#N/A,SUM(FQ$4:FQ385))</f>
        <v>0</v>
      </c>
      <c r="FS385" s="205" t="str">
        <f t="shared" si="622"/>
        <v/>
      </c>
      <c r="FT385" s="205">
        <f>IF($J385="",#N/A,SUM(FS$4:FS385))</f>
        <v>0</v>
      </c>
      <c r="FU385" s="205">
        <f>IF($J385="",#N/A,SUM(FS$4:FS385,FQ$4:FQ385,FO$4:FO385))</f>
        <v>0</v>
      </c>
      <c r="FV385" s="200" t="str">
        <f t="shared" si="623"/>
        <v/>
      </c>
      <c r="FW385" s="203">
        <f>IF($J385="",#N/A,SUM(FV$4:FV385))</f>
        <v>6.6834991831277585E-2</v>
      </c>
      <c r="FX385" s="204" t="str">
        <f t="shared" si="624"/>
        <v/>
      </c>
      <c r="FY385" s="204">
        <f>IF($J385="",#N/A,SUM(FX$4:FX385))</f>
        <v>-0.16102012791805576</v>
      </c>
      <c r="FZ385" s="205" t="str">
        <f t="shared" si="625"/>
        <v/>
      </c>
      <c r="GA385" s="205">
        <f>IF($J385="",#N/A,SUM(FZ$4:FZ385))</f>
        <v>-0.69624339162892301</v>
      </c>
      <c r="GB385" s="205">
        <f>IF($J385="",#N/A,SUM(FZ$4:FZ385,FX$4:FX385,FV$4:FV385))</f>
        <v>-0.79042852771570116</v>
      </c>
      <c r="GC385" s="200" t="str">
        <f t="shared" si="626"/>
        <v/>
      </c>
      <c r="GD385" s="203">
        <f>IF($J385="",#N/A,SUM(GC$4:GC385))</f>
        <v>0</v>
      </c>
      <c r="GE385" s="204" t="str">
        <f t="shared" si="627"/>
        <v/>
      </c>
      <c r="GF385" s="204">
        <f>IF($J385="",#N/A,SUM(GE$4:GE385))</f>
        <v>0</v>
      </c>
      <c r="GG385" s="205" t="str">
        <f t="shared" si="628"/>
        <v/>
      </c>
      <c r="GH385" s="205">
        <f>IF($J385="",#N/A,SUM(GG$4:GG385))</f>
        <v>-2.9368362277223206</v>
      </c>
      <c r="GI385" s="205">
        <f>IF($J385="",#N/A,SUM(GG$4:GG385,GE$4:GE385,GC$4:GC385))</f>
        <v>-2.9368362277223206</v>
      </c>
      <c r="GJ385" s="200" t="str">
        <f t="shared" si="629"/>
        <v/>
      </c>
      <c r="GK385" s="203">
        <f>IF($J385="",#N/A,SUM(GJ$4:GJ385))</f>
        <v>0</v>
      </c>
      <c r="GL385" s="204" t="str">
        <f t="shared" si="630"/>
        <v/>
      </c>
      <c r="GM385" s="204">
        <f>IF($J385="",#N/A,SUM(GL$4:GL385))</f>
        <v>-2.0621307233432784</v>
      </c>
      <c r="GN385" s="205" t="str">
        <f t="shared" si="631"/>
        <v/>
      </c>
      <c r="GO385" s="205">
        <f>IF($J385="",#N/A,SUM(GN$4:GN385))</f>
        <v>0</v>
      </c>
      <c r="GP385" s="205">
        <f>IF($J385="",#N/A,SUM(GN$4:GN385,GL$4:GL385,GJ$4:GJ385))</f>
        <v>-2.0621307233432784</v>
      </c>
      <c r="GS385" s="54" t="str">
        <f t="shared" si="650"/>
        <v/>
      </c>
      <c r="GT385" s="54" t="e">
        <f>IF(GS385="",NA(),SUM($GS$4:GS385))</f>
        <v>#N/A</v>
      </c>
      <c r="GU385" s="54" t="str">
        <f t="shared" si="632"/>
        <v/>
      </c>
      <c r="GV385" s="54" t="e">
        <f>IF(GU385="",NA(),SUM($GU$4:GU385))</f>
        <v>#N/A</v>
      </c>
      <c r="GW385" s="54" t="str">
        <f t="shared" si="633"/>
        <v/>
      </c>
      <c r="GX385" s="54" t="e">
        <f>IF(GW385="",NA(),SUM($GW$4:GW385))</f>
        <v>#N/A</v>
      </c>
      <c r="GY385" s="54" t="str">
        <f t="shared" si="634"/>
        <v/>
      </c>
      <c r="GZ385" s="54" t="e">
        <f>IF(GY385="",NA(),SUM($GY$4:GY385))</f>
        <v>#N/A</v>
      </c>
      <c r="HA385" s="54">
        <f t="shared" si="635"/>
        <v>1.1882308562806481</v>
      </c>
      <c r="HB385" s="54">
        <f>IF(HA385="",NA(),SUM($HA$4:HA385))</f>
        <v>0.44390984352651475</v>
      </c>
      <c r="HC385" s="54" t="str">
        <f t="shared" si="636"/>
        <v/>
      </c>
      <c r="HD385" s="54" t="e">
        <f>IF(HC385="",NA(),SUM($HC$4:HC385))</f>
        <v>#N/A</v>
      </c>
      <c r="HE385" s="54">
        <f t="shared" si="637"/>
        <v>1.1882308562806481</v>
      </c>
      <c r="HF385" s="54">
        <f>IF(HE385="",NA(),SUM($HE$4:HE385))</f>
        <v>2.5454653932402742</v>
      </c>
      <c r="HG385" s="54" t="str">
        <f t="shared" si="638"/>
        <v/>
      </c>
      <c r="HH385" s="54" t="e">
        <f>IF(HG385="",NA(),SUM($HG$4:HG385))</f>
        <v>#N/A</v>
      </c>
      <c r="HI385" s="172" t="str">
        <f t="shared" si="651"/>
        <v/>
      </c>
      <c r="HJ385" s="172">
        <f>IF($J385="",#N/A,SUM(HI$4:$HI385))</f>
        <v>-10.162234665497841</v>
      </c>
      <c r="HK385" s="54" t="str">
        <f t="shared" si="639"/>
        <v/>
      </c>
      <c r="HL385" s="54">
        <f>IF($J385="",#N/A,SUM($HK$4:HK385))</f>
        <v>7.4780353515533324</v>
      </c>
      <c r="HM385" s="54" t="str">
        <f t="shared" si="640"/>
        <v/>
      </c>
      <c r="HN385" s="54">
        <f>IF($J385="",#N/A,SUM($HM$4:HM385))</f>
        <v>-1.0806776566755429</v>
      </c>
      <c r="HO385" s="54" t="str">
        <f t="shared" si="641"/>
        <v/>
      </c>
      <c r="HP385" s="54">
        <f>IF($J385="",#N/A,SUM($HO$4:HO385))</f>
        <v>-0.26668580414118226</v>
      </c>
      <c r="HQ385" s="54">
        <f t="shared" si="642"/>
        <v>-1.9419645975662583</v>
      </c>
      <c r="HR385" s="54">
        <f>IF($J385="",#N/A,SUM($HQ$4:HQ385))</f>
        <v>-12.035490684927094</v>
      </c>
      <c r="HS385" s="54" t="str">
        <f t="shared" si="643"/>
        <v/>
      </c>
      <c r="HT385" s="54">
        <f>IF($J385="",#N/A,SUM($HS$4:HS385))</f>
        <v>15.76452616133583</v>
      </c>
      <c r="HU385" s="65">
        <f t="shared" si="644"/>
        <v>-0.75373374128561021</v>
      </c>
      <c r="HV385" s="65">
        <f>IF($J385="",#N/A,SUM(HU$4:$HU385))</f>
        <v>10.047944766186543</v>
      </c>
    </row>
    <row r="386" spans="1:230" x14ac:dyDescent="0.25">
      <c r="A386" s="59" t="s">
        <v>1194</v>
      </c>
      <c r="B386" s="289" t="s">
        <v>5549</v>
      </c>
      <c r="C386" s="230">
        <f t="shared" si="545"/>
        <v>2</v>
      </c>
      <c r="D386" s="220" t="str">
        <f>_xlfn.XLOOKUP(A386,[1]SP500!$A$2:$A$502,[1]SP500!$D$2:$D$502,"N")</f>
        <v>N</v>
      </c>
      <c r="E386" s="59" t="str">
        <f>IFERROR(_xlfn.XLOOKUP(A386,[1]SP500!$A$2:$A$655,[1]SP500!$B$2:$B$655),"")</f>
        <v>XLY</v>
      </c>
      <c r="F386" s="290">
        <v>45806</v>
      </c>
      <c r="G386" s="59" t="str">
        <f t="shared" si="546"/>
        <v>AMC</v>
      </c>
      <c r="H386" s="59" t="str">
        <f t="shared" si="547"/>
        <v>s</v>
      </c>
      <c r="I386" s="376">
        <v>11.18</v>
      </c>
      <c r="J386" s="125">
        <v>10.14</v>
      </c>
      <c r="K386" s="60">
        <f t="shared" si="548"/>
        <v>-9.3023255813953418E-2</v>
      </c>
      <c r="L386" s="68">
        <f t="shared" si="549"/>
        <v>124.79999999999973</v>
      </c>
      <c r="M386" s="62">
        <f t="shared" si="550"/>
        <v>10.800000000000182</v>
      </c>
      <c r="N386" s="63">
        <f t="shared" si="551"/>
        <v>124.79999999999973</v>
      </c>
      <c r="O386" s="62">
        <f>IF(N386="",#N/A,SUM($N$4:N386))</f>
        <v>476.30607492035745</v>
      </c>
      <c r="P386" s="64">
        <f t="shared" si="645"/>
        <v>1.5503875968992216</v>
      </c>
      <c r="Q386" s="183">
        <f>IF($N386="",#N/A,SUM($P$4:P386))</f>
        <v>12.397033117305812</v>
      </c>
      <c r="R386" s="279">
        <f t="shared" si="552"/>
        <v>9.6607314755391425</v>
      </c>
      <c r="S386" s="59" t="str">
        <f t="shared" si="553"/>
        <v>Dwn</v>
      </c>
      <c r="T386" s="59" t="s">
        <v>4462</v>
      </c>
      <c r="U386" s="61">
        <f t="shared" si="554"/>
        <v>11.18</v>
      </c>
      <c r="V386" s="61" t="s">
        <v>4458</v>
      </c>
      <c r="W386" s="142">
        <v>120</v>
      </c>
      <c r="X386" s="146">
        <f t="shared" si="555"/>
        <v>1341.6</v>
      </c>
      <c r="Y386" s="142">
        <f t="shared" si="556"/>
        <v>120</v>
      </c>
      <c r="Z386" s="143">
        <v>10.050000000000001</v>
      </c>
      <c r="AA386" s="63">
        <f t="shared" si="557"/>
        <v>135.59999999999991</v>
      </c>
      <c r="AB386" s="63">
        <f t="shared" si="558"/>
        <v>26.399999999999864</v>
      </c>
      <c r="AC386" s="125">
        <v>10.96</v>
      </c>
      <c r="AD386" s="148">
        <f t="shared" si="559"/>
        <v>26.399999999999864</v>
      </c>
      <c r="AE386" s="544">
        <f t="shared" si="560"/>
        <v>0.32796660703637281</v>
      </c>
      <c r="AF386" s="62">
        <f>IF($AC386="",#N/A,SUM(AD$4:AD386))</f>
        <v>581.98996410331551</v>
      </c>
      <c r="AG386" s="63">
        <f t="shared" si="561"/>
        <v>-98.399999999999864</v>
      </c>
      <c r="AH386" s="61" t="s">
        <v>2507</v>
      </c>
      <c r="AI386" s="64">
        <f t="shared" si="562"/>
        <v>1.6845557543231953</v>
      </c>
      <c r="AJ386" s="420">
        <f>IF(AI386="",#N/A,SUM($AI$4:AI386))</f>
        <v>2.7363016417666692</v>
      </c>
      <c r="AK386" s="62">
        <f t="shared" si="563"/>
        <v>135.59999999999991</v>
      </c>
      <c r="AL386" s="421">
        <f>IF(AI386="",#N/A,IF(AH386="Skip",SUM($AK$4:AK386),SUM($AK$4:AK386)))</f>
        <v>-208.17763072151729</v>
      </c>
      <c r="AM386" s="65">
        <f t="shared" si="646"/>
        <v>0.32796660703637281</v>
      </c>
      <c r="AN386" s="209"/>
      <c r="AO386" s="65" t="str">
        <f t="shared" si="564"/>
        <v/>
      </c>
      <c r="AP386" s="65">
        <f>IF($AC386="",#N/A,SUM(AO$4:AO386))</f>
        <v>12.571147984961225</v>
      </c>
      <c r="AQ386" s="65" t="str">
        <f t="shared" si="565"/>
        <v/>
      </c>
      <c r="AR386" s="65">
        <f>IF($AC386="",#N/A,SUM(AQ$4:AQ386))</f>
        <v>-8.5442123483768615</v>
      </c>
      <c r="AS386" s="65">
        <f t="shared" si="566"/>
        <v>0.32796660703637281</v>
      </c>
      <c r="AT386" s="65">
        <f>IF($AC386="",#N/A,SUM(AS$4:AS386))</f>
        <v>6.348975736638546</v>
      </c>
      <c r="AU386" s="57" t="str">
        <f t="shared" si="647"/>
        <v/>
      </c>
      <c r="AV386" s="57">
        <f>IF($AC386="",#N/A,SUM(AU$4:AU386))</f>
        <v>748.83383890574692</v>
      </c>
      <c r="AW386" s="57" t="str">
        <f t="shared" si="648"/>
        <v/>
      </c>
      <c r="AX386" s="57">
        <f>IF($AC386="",#N/A,SUM(AW$4:AW386))</f>
        <v>-635.20106797961103</v>
      </c>
      <c r="AY386" s="57">
        <f t="shared" si="649"/>
        <v>26.399999999999864</v>
      </c>
      <c r="AZ386" s="57">
        <f>IF($AC386="",#N/A,SUM(AY$4:AY386))</f>
        <v>468.35719317717951</v>
      </c>
      <c r="BA386" s="57">
        <f>IF(AD386="",#N/A,SUM($AD$4:AD386))</f>
        <v>581.98996410331551</v>
      </c>
      <c r="BC386" s="51" t="str">
        <f t="shared" si="567"/>
        <v/>
      </c>
      <c r="BD386" s="51" t="str">
        <f t="shared" si="568"/>
        <v/>
      </c>
      <c r="BE386" s="51" t="str">
        <f t="shared" si="569"/>
        <v/>
      </c>
      <c r="BF386" s="51" t="str">
        <f t="shared" si="570"/>
        <v>Short</v>
      </c>
      <c r="BG386" s="51">
        <f t="shared" si="571"/>
        <v>1</v>
      </c>
      <c r="BH386" s="51" t="str">
        <f t="shared" si="572"/>
        <v/>
      </c>
      <c r="BI386" s="51" t="str">
        <f t="shared" si="573"/>
        <v/>
      </c>
      <c r="BK386" s="65">
        <f t="shared" si="653"/>
        <v>-9.3523801206835455E-2</v>
      </c>
      <c r="BL386" s="65">
        <f t="shared" si="652"/>
        <v>-0.2227677460418753</v>
      </c>
      <c r="BM386" s="65">
        <f>IFERROR(Q386/COUNTA($J$4:J386),#N/A)</f>
        <v>3.2368232682260606E-2</v>
      </c>
      <c r="BO386" s="489" t="e">
        <f>IF(J386="",#N/A,IF(S386="SW",(COUNTIFS(K$4:$K386,"&gt;0",S$4:$S386,"SW")/COUNTIF(S$4:$S386,"SW")),#N/A))</f>
        <v>#N/A</v>
      </c>
      <c r="BP386" s="489">
        <f>IF($J386="",#N/A,IF($S386="DWN",(COUNTIFS($K$4:$K386,"&lt;0",$S$4:$S386,"DWN")/COUNTIF($S$4:$S386,"DWN")),#N/A))</f>
        <v>0.55625000000000002</v>
      </c>
      <c r="BQ386" s="489" t="e">
        <f>IF($J386="",#N/A,IF($S386="UP",(COUNTIFS($K$4:$K386,"&gt;0",$S$4:$S386,"UP")/COUNTIF($S$4:$S386,"UP")),#N/A))</f>
        <v>#N/A</v>
      </c>
      <c r="BR386" s="489">
        <f>IF(J386="",#N/A,COUNTIF($K$4:K386,"&gt;0")/COUNT($J$4:J386))</f>
        <v>0.47258485639686681</v>
      </c>
      <c r="BS386" s="65" t="str">
        <f t="shared" si="574"/>
        <v/>
      </c>
      <c r="BT386" s="65" t="str">
        <f t="shared" si="575"/>
        <v/>
      </c>
      <c r="BU386" s="65">
        <f t="shared" si="576"/>
        <v>1.5503875968992216</v>
      </c>
      <c r="BV386" s="65" t="str">
        <f t="shared" si="577"/>
        <v/>
      </c>
      <c r="BW386" s="128" t="str">
        <f t="shared" si="578"/>
        <v/>
      </c>
      <c r="BX386" s="128">
        <f>IF($J386="",#N/A,SUM($BW$4:BW386))</f>
        <v>-529.09817034792877</v>
      </c>
      <c r="BY386" s="131">
        <f t="shared" si="579"/>
        <v>124.79999999999973</v>
      </c>
      <c r="BZ386" s="131">
        <f>IF($J386="",#N/A,SUM($BY$4:BY386))</f>
        <v>516.36161346139443</v>
      </c>
      <c r="CA386" s="133" t="str">
        <f t="shared" si="580"/>
        <v/>
      </c>
      <c r="CB386" s="133">
        <f>IF($J386="",#N/A,SUM($CA$4:CA386))</f>
        <v>489.04263180689156</v>
      </c>
      <c r="CC386" s="194" t="str">
        <f t="shared" si="581"/>
        <v/>
      </c>
      <c r="CD386" s="194">
        <f>IF($J386="",#N/A,SUM($CC$4:CC386))</f>
        <v>-7.1968488875601349</v>
      </c>
      <c r="CE386" s="195">
        <f t="shared" si="582"/>
        <v>1.5503875968992216</v>
      </c>
      <c r="CF386" s="195">
        <f>IF($J386="",#N/A,SUM($CE$4:CE386))</f>
        <v>10.255596040445914</v>
      </c>
      <c r="CG386" s="196" t="str">
        <f t="shared" si="583"/>
        <v/>
      </c>
      <c r="CH386" s="196">
        <f>IF($J386="",#N/A,SUM($CG$4:CG386))</f>
        <v>9.3382859644200451</v>
      </c>
      <c r="CI386" s="200" t="str">
        <f t="shared" si="584"/>
        <v/>
      </c>
      <c r="CJ386" s="203">
        <f>IF($J386="",#N/A,SUM(CI$4:CI386))</f>
        <v>0</v>
      </c>
      <c r="CK386" s="204" t="str">
        <f t="shared" si="585"/>
        <v/>
      </c>
      <c r="CL386" s="204">
        <f>IF($J386="",#N/A,SUM(CK$4:CK386))</f>
        <v>1.2912501745213723</v>
      </c>
      <c r="CM386" s="205" t="str">
        <f t="shared" si="586"/>
        <v/>
      </c>
      <c r="CN386" s="205">
        <f>IF($J386="",#N/A,SUM(CM$4:CM386))</f>
        <v>-0.71690643699161116</v>
      </c>
      <c r="CO386" s="205">
        <f>IF($J386="",#N/A,SUM(CM$4:CM386,CK$4:CK386,CI$4:CI386))</f>
        <v>0.57434373752976109</v>
      </c>
      <c r="CP386" s="200" t="str">
        <f t="shared" si="587"/>
        <v/>
      </c>
      <c r="CQ386" s="203">
        <f>IF($J386="",#N/A,SUM(CP$4:CP386))</f>
        <v>-3.6116753136693021</v>
      </c>
      <c r="CR386" s="204" t="str">
        <f t="shared" si="588"/>
        <v/>
      </c>
      <c r="CS386" s="204">
        <f>IF($J386="",#N/A,SUM(CR$4:CR386))</f>
        <v>2.3600225017004668</v>
      </c>
      <c r="CT386" s="205" t="str">
        <f t="shared" si="589"/>
        <v/>
      </c>
      <c r="CU386" s="205">
        <f>IF($J386="",#N/A,SUM(CT$4:CT386))</f>
        <v>-4.7941568677836033</v>
      </c>
      <c r="CV386" s="205">
        <f>IF($J386="",#N/A,SUM(CT$4:CT386,CR$4:CR386,CP$4:CP386))</f>
        <v>-6.0458096797524385</v>
      </c>
      <c r="CW386" s="200" t="str">
        <f t="shared" si="590"/>
        <v/>
      </c>
      <c r="CX386" s="203">
        <f>IF($J386="",#N/A,SUM(CW$4:CW386))</f>
        <v>-3.3082659491100586</v>
      </c>
      <c r="CY386" s="204">
        <f t="shared" si="591"/>
        <v>1.5503875968992216</v>
      </c>
      <c r="CZ386" s="204">
        <f>IF($J386="",#N/A,SUM(CY$4:CY386))</f>
        <v>-2.4332142608051761</v>
      </c>
      <c r="DA386" s="205" t="str">
        <f t="shared" si="592"/>
        <v/>
      </c>
      <c r="DB386" s="205">
        <f>IF($J386="",#N/A,SUM(DA$4:DA386))</f>
        <v>-3.1478574410966269</v>
      </c>
      <c r="DC386" s="205">
        <f>IF($J386="",#N/A,SUM(DA$4:DA386,CY$4:CY386,CW$4:CW386))</f>
        <v>-8.8893376510118625</v>
      </c>
      <c r="DD386" s="200" t="str">
        <f t="shared" si="593"/>
        <v/>
      </c>
      <c r="DE386" s="203">
        <f>IF($J386="",#N/A,SUM(DD$4:DD386))</f>
        <v>1.6161029218801881</v>
      </c>
      <c r="DF386" s="204" t="str">
        <f t="shared" si="594"/>
        <v/>
      </c>
      <c r="DG386" s="204">
        <f>IF($J386="",#N/A,SUM(DF$4:DF386))</f>
        <v>4.1810385231482243</v>
      </c>
      <c r="DH386" s="205" t="str">
        <f t="shared" si="595"/>
        <v/>
      </c>
      <c r="DI386" s="205">
        <f>IF($J386="",#N/A,SUM(DH$4:DH386))</f>
        <v>-0.23863035537359656</v>
      </c>
      <c r="DJ386" s="205">
        <f>IF($J386="",#N/A,SUM(DH$4:DH386,DF$4:DF386,DD$4:DD386))</f>
        <v>5.5585110896548153</v>
      </c>
      <c r="DK386" s="200" t="str">
        <f t="shared" si="596"/>
        <v/>
      </c>
      <c r="DL386" s="203">
        <f>IF($J386="",#N/A,SUM(DK$4:DK386))</f>
        <v>-0.84049791589649614</v>
      </c>
      <c r="DM386" s="204" t="str">
        <f t="shared" si="597"/>
        <v/>
      </c>
      <c r="DN386" s="204">
        <f>IF($J386="",#N/A,SUM(DM$4:DM386))</f>
        <v>1.8657648196498773</v>
      </c>
      <c r="DO386" s="205" t="str">
        <f t="shared" si="598"/>
        <v/>
      </c>
      <c r="DP386" s="205">
        <f>IF($J386="",#N/A,SUM(DO$4:DO386))</f>
        <v>3.4887162328793941</v>
      </c>
      <c r="DQ386" s="205">
        <f>IF($J386="",#N/A,SUM(DO$4:DO386,DM$4:DM386,DK$4:DK386))</f>
        <v>4.5139831366327758</v>
      </c>
      <c r="DR386" s="200" t="str">
        <f t="shared" si="599"/>
        <v/>
      </c>
      <c r="DS386" s="203">
        <f>IF($J386="",#N/A,SUM(DR$4:DR386))</f>
        <v>-0.55950946427675097</v>
      </c>
      <c r="DT386" s="204" t="str">
        <f t="shared" si="600"/>
        <v/>
      </c>
      <c r="DU386" s="204">
        <f>IF($J386="",#N/A,SUM(DT$4:DT386))</f>
        <v>-0.20750635820596686</v>
      </c>
      <c r="DV386" s="205" t="str">
        <f t="shared" si="601"/>
        <v/>
      </c>
      <c r="DW386" s="205">
        <f>IF($J386="",#N/A,SUM(DV$4:DV386))</f>
        <v>-2.3377035686214001</v>
      </c>
      <c r="DX386" s="205">
        <f>IF($J386="",#N/A,SUM(DV$4:DV386,DT$4:DT386,DR$4:DR386))</f>
        <v>-3.1047193911041169</v>
      </c>
      <c r="DY386" s="200" t="str">
        <f t="shared" si="602"/>
        <v/>
      </c>
      <c r="DZ386" s="203">
        <f>IF($J386="",#N/A,SUM(DY$4:DY386))</f>
        <v>-1.4146842415208627</v>
      </c>
      <c r="EA386" s="204" t="str">
        <f t="shared" si="603"/>
        <v/>
      </c>
      <c r="EB386" s="204">
        <f>IF($J386="",#N/A,SUM(EA$4:EA386))</f>
        <v>4.3184391548878134</v>
      </c>
      <c r="EC386" s="205" t="str">
        <f t="shared" si="604"/>
        <v/>
      </c>
      <c r="ED386" s="205">
        <f>IF($J386="",#N/A,SUM(EC$4:EC386))</f>
        <v>8.4384553208490907</v>
      </c>
      <c r="EE386" s="205">
        <f>IF($J386="",#N/A,SUM(EC$4:EC386,EA$4:EA386,DY$4:DY386))</f>
        <v>11.342210234216044</v>
      </c>
      <c r="EF386" s="200" t="str">
        <f t="shared" si="605"/>
        <v/>
      </c>
      <c r="EG386" s="203">
        <f>IF($J386="",#N/A,SUM(EF$4:EF386))</f>
        <v>0.65848341369884777</v>
      </c>
      <c r="EH386" s="204" t="str">
        <f t="shared" si="606"/>
        <v/>
      </c>
      <c r="EI386" s="204">
        <f>IF($J386="",#N/A,SUM(EH$4:EH386))</f>
        <v>-3.5125331561187787</v>
      </c>
      <c r="EJ386" s="205" t="str">
        <f t="shared" si="607"/>
        <v/>
      </c>
      <c r="EK386" s="205">
        <f>IF($J386="",#N/A,SUM(EJ$4:EJ386))</f>
        <v>11.820135611943035</v>
      </c>
      <c r="EL386" s="205">
        <f>IF($J386="",#N/A,SUM(EJ$4:EJ386,EH$4:EH386,EF$4:EF386))</f>
        <v>8.9660858695231074</v>
      </c>
      <c r="EM386" s="200" t="str">
        <f t="shared" si="608"/>
        <v/>
      </c>
      <c r="EN386" s="203">
        <f>IF($J386="",#N/A,SUM(EM$4:EM386))</f>
        <v>0</v>
      </c>
      <c r="EO386" s="204" t="str">
        <f t="shared" si="609"/>
        <v/>
      </c>
      <c r="EP386" s="204">
        <f>IF($J386="",#N/A,SUM(EO$4:EO386))</f>
        <v>2.4788862078089964</v>
      </c>
      <c r="EQ386" s="205" t="str">
        <f t="shared" si="610"/>
        <v/>
      </c>
      <c r="ER386" s="205">
        <f>IF($J386="",#N/A,SUM(EQ$4:EQ386))</f>
        <v>1.7856049065476487</v>
      </c>
      <c r="ES386" s="205">
        <f>IF($J386="",#N/A,SUM(EQ$4:EQ386,EO$4:EO386,EM$4:EM386))</f>
        <v>4.2644911143566446</v>
      </c>
      <c r="ET386" s="200" t="str">
        <f t="shared" si="611"/>
        <v/>
      </c>
      <c r="EU386" s="203">
        <f>IF($J386="",#N/A,SUM(ET$4:ET386))</f>
        <v>0</v>
      </c>
      <c r="EV386" s="204" t="str">
        <f t="shared" si="612"/>
        <v/>
      </c>
      <c r="EW386" s="204">
        <f>IF($J386="",#N/A,SUM(EV$4:EV386))</f>
        <v>7.9116394275462909E-2</v>
      </c>
      <c r="EX386" s="205" t="str">
        <f t="shared" si="613"/>
        <v/>
      </c>
      <c r="EY386" s="205">
        <f>IF($J386="",#N/A,SUM(EX$4:EX386))</f>
        <v>0.62848633887309935</v>
      </c>
      <c r="EZ386" s="205">
        <f>IF($J386="",#N/A,SUM(EX$4:EX386,EV$4:EV386,ET$4:ET386))</f>
        <v>0.70760273314856192</v>
      </c>
      <c r="FA386" s="200" t="str">
        <f t="shared" si="614"/>
        <v/>
      </c>
      <c r="FB386" s="203">
        <f>IF($J386="",#N/A,SUM(FA$4:FA386))</f>
        <v>-0.27145310509113252</v>
      </c>
      <c r="FC386" s="204" t="str">
        <f t="shared" si="615"/>
        <v/>
      </c>
      <c r="FD386" s="204">
        <f>IF($J386="",#N/A,SUM(FC$4:FC386))</f>
        <v>0.89084290967454072</v>
      </c>
      <c r="FE386" s="205" t="str">
        <f t="shared" si="616"/>
        <v/>
      </c>
      <c r="FF386" s="205">
        <f>IF($J386="",#N/A,SUM(FE$4:FE386))</f>
        <v>-0.28811149078748233</v>
      </c>
      <c r="FG386" s="205">
        <f>IF($J386="",#N/A,SUM(FE$4:FE386,FC$4:FC386,FA$4:FA386))</f>
        <v>0.3312783137959262</v>
      </c>
      <c r="FH386" s="200" t="str">
        <f t="shared" si="617"/>
        <v/>
      </c>
      <c r="FI386" s="203">
        <f>IF($J386="",#N/A,SUM(FH$4:FH386))</f>
        <v>0</v>
      </c>
      <c r="FJ386" s="204" t="str">
        <f t="shared" si="618"/>
        <v/>
      </c>
      <c r="FK386" s="204">
        <f>IF($J386="",#N/A,SUM(FJ$4:FJ386))</f>
        <v>0</v>
      </c>
      <c r="FL386" s="205" t="str">
        <f t="shared" si="619"/>
        <v/>
      </c>
      <c r="FM386" s="205">
        <f>IF($J386="",#N/A,SUM(FL$4:FL386))</f>
        <v>0</v>
      </c>
      <c r="FN386" s="205">
        <f>IF($J386="",#N/A,SUM(FL$4:FL386,FJ$4:FJ386,FH$4:FH386))</f>
        <v>0</v>
      </c>
      <c r="FO386" s="200" t="str">
        <f t="shared" si="620"/>
        <v/>
      </c>
      <c r="FP386" s="203">
        <f>IF($J386="",#N/A,SUM(FO$4:FO386))</f>
        <v>0</v>
      </c>
      <c r="FQ386" s="204" t="str">
        <f t="shared" si="621"/>
        <v/>
      </c>
      <c r="FR386" s="204">
        <f>IF($J386="",#N/A,SUM(FQ$4:FQ386))</f>
        <v>0</v>
      </c>
      <c r="FS386" s="205" t="str">
        <f t="shared" si="622"/>
        <v/>
      </c>
      <c r="FT386" s="205">
        <f>IF($J386="",#N/A,SUM(FS$4:FS386))</f>
        <v>0</v>
      </c>
      <c r="FU386" s="205">
        <f>IF($J386="",#N/A,SUM(FS$4:FS386,FQ$4:FQ386,FO$4:FO386))</f>
        <v>0</v>
      </c>
      <c r="FV386" s="200" t="str">
        <f t="shared" si="623"/>
        <v/>
      </c>
      <c r="FW386" s="203">
        <f>IF($J386="",#N/A,SUM(FV$4:FV386))</f>
        <v>6.6834991831277585E-2</v>
      </c>
      <c r="FX386" s="204" t="str">
        <f t="shared" si="624"/>
        <v/>
      </c>
      <c r="FY386" s="204">
        <f>IF($J386="",#N/A,SUM(FX$4:FX386))</f>
        <v>-0.16102012791805576</v>
      </c>
      <c r="FZ386" s="205" t="str">
        <f t="shared" si="625"/>
        <v/>
      </c>
      <c r="GA386" s="205">
        <f>IF($J386="",#N/A,SUM(FZ$4:FZ386))</f>
        <v>-0.69624339162892301</v>
      </c>
      <c r="GB386" s="205">
        <f>IF($J386="",#N/A,SUM(FZ$4:FZ386,FX$4:FX386,FV$4:FV386))</f>
        <v>-0.79042852771570116</v>
      </c>
      <c r="GC386" s="200" t="str">
        <f t="shared" si="626"/>
        <v/>
      </c>
      <c r="GD386" s="203">
        <f>IF($J386="",#N/A,SUM(GC$4:GC386))</f>
        <v>0</v>
      </c>
      <c r="GE386" s="204" t="str">
        <f t="shared" si="627"/>
        <v/>
      </c>
      <c r="GF386" s="204">
        <f>IF($J386="",#N/A,SUM(GE$4:GE386))</f>
        <v>0</v>
      </c>
      <c r="GG386" s="205" t="str">
        <f t="shared" si="628"/>
        <v/>
      </c>
      <c r="GH386" s="205">
        <f>IF($J386="",#N/A,SUM(GG$4:GG386))</f>
        <v>-2.9368362277223206</v>
      </c>
      <c r="GI386" s="205">
        <f>IF($J386="",#N/A,SUM(GG$4:GG386,GE$4:GE386,GC$4:GC386))</f>
        <v>-2.9368362277223206</v>
      </c>
      <c r="GJ386" s="200" t="str">
        <f t="shared" si="629"/>
        <v/>
      </c>
      <c r="GK386" s="203">
        <f>IF($J386="",#N/A,SUM(GJ$4:GJ386))</f>
        <v>0</v>
      </c>
      <c r="GL386" s="204" t="str">
        <f t="shared" si="630"/>
        <v/>
      </c>
      <c r="GM386" s="204">
        <f>IF($J386="",#N/A,SUM(GL$4:GL386))</f>
        <v>-2.0621307233432784</v>
      </c>
      <c r="GN386" s="205" t="str">
        <f t="shared" si="631"/>
        <v/>
      </c>
      <c r="GO386" s="205">
        <f>IF($J386="",#N/A,SUM(GN$4:GN386))</f>
        <v>0</v>
      </c>
      <c r="GP386" s="205">
        <f>IF($J386="",#N/A,SUM(GN$4:GN386,GL$4:GL386,GJ$4:GJ386))</f>
        <v>-2.0621307233432784</v>
      </c>
      <c r="GS386" s="54" t="str">
        <f t="shared" si="650"/>
        <v/>
      </c>
      <c r="GT386" s="54" t="e">
        <f>IF(GS386="",NA(),SUM($GS$4:GS386))</f>
        <v>#N/A</v>
      </c>
      <c r="GU386" s="54" t="str">
        <f t="shared" si="632"/>
        <v/>
      </c>
      <c r="GV386" s="54" t="e">
        <f>IF(GU386="",NA(),SUM($GU$4:GU386))</f>
        <v>#N/A</v>
      </c>
      <c r="GW386" s="54" t="str">
        <f t="shared" si="633"/>
        <v/>
      </c>
      <c r="GX386" s="54" t="e">
        <f>IF(GW386="",NA(),SUM($GW$4:GW386))</f>
        <v>#N/A</v>
      </c>
      <c r="GY386" s="54" t="str">
        <f t="shared" si="634"/>
        <v/>
      </c>
      <c r="GZ386" s="54" t="e">
        <f>IF(GY386="",NA(),SUM($GY$4:GY386))</f>
        <v>#N/A</v>
      </c>
      <c r="HA386" s="54">
        <f t="shared" si="635"/>
        <v>1.5503875968992216</v>
      </c>
      <c r="HB386" s="54">
        <f>IF(HA386="",NA(),SUM($HA$4:HA386))</f>
        <v>1.9942974404257363</v>
      </c>
      <c r="HC386" s="54" t="str">
        <f t="shared" si="636"/>
        <v/>
      </c>
      <c r="HD386" s="54" t="e">
        <f>IF(HC386="",NA(),SUM($HC$4:HC386))</f>
        <v>#N/A</v>
      </c>
      <c r="HE386" s="54" t="str">
        <f t="shared" si="637"/>
        <v/>
      </c>
      <c r="HF386" s="54" t="e">
        <f>IF(HE386="",NA(),SUM($HE$4:HE386))</f>
        <v>#N/A</v>
      </c>
      <c r="HG386" s="54">
        <f t="shared" si="638"/>
        <v>1.5503875968992216</v>
      </c>
      <c r="HH386" s="54">
        <f>IF(HG386="",NA(),SUM($HG$4:HG386))</f>
        <v>0.29364553216789457</v>
      </c>
      <c r="HI386" s="172">
        <f t="shared" si="651"/>
        <v>-1.2224209898628486</v>
      </c>
      <c r="HJ386" s="172">
        <f>IF($J386="",#N/A,SUM(HI$4:$HI386))</f>
        <v>-11.384655655360691</v>
      </c>
      <c r="HK386" s="54" t="str">
        <f t="shared" si="639"/>
        <v/>
      </c>
      <c r="HL386" s="54">
        <f>IF($J386="",#N/A,SUM($HK$4:HK386))</f>
        <v>7.4780353515533324</v>
      </c>
      <c r="HM386" s="54" t="str">
        <f t="shared" si="640"/>
        <v/>
      </c>
      <c r="HN386" s="54">
        <f>IF($J386="",#N/A,SUM($HM$4:HM386))</f>
        <v>-1.0806776566755429</v>
      </c>
      <c r="HO386" s="54" t="str">
        <f t="shared" si="641"/>
        <v/>
      </c>
      <c r="HP386" s="54">
        <f>IF($J386="",#N/A,SUM($HO$4:HO386))</f>
        <v>-0.26668580414118226</v>
      </c>
      <c r="HQ386" s="54" t="str">
        <f t="shared" si="642"/>
        <v/>
      </c>
      <c r="HR386" s="54">
        <f>IF($J386="",#N/A,SUM($HQ$4:HQ386))</f>
        <v>-12.035490684927094</v>
      </c>
      <c r="HS386" s="54" t="str">
        <f t="shared" si="643"/>
        <v/>
      </c>
      <c r="HT386" s="54">
        <f>IF($J386="",#N/A,SUM($HS$4:HS386))</f>
        <v>15.76452616133583</v>
      </c>
      <c r="HU386" s="65">
        <f t="shared" si="644"/>
        <v>0.32796660703637281</v>
      </c>
      <c r="HV386" s="65">
        <f>IF($J386="",#N/A,SUM(HU$4:$HU386))</f>
        <v>10.375911373222916</v>
      </c>
    </row>
    <row r="387" spans="1:230" x14ac:dyDescent="0.25">
      <c r="A387" s="51" t="s">
        <v>2603</v>
      </c>
      <c r="B387" s="52" t="s">
        <v>5549</v>
      </c>
      <c r="C387" s="229">
        <f t="shared" si="545"/>
        <v>3</v>
      </c>
      <c r="D387" s="219" t="str">
        <f>_xlfn.XLOOKUP(A387,[1]SP500!$A$2:$A$502,[1]SP500!$D$2:$D$502,"N")</f>
        <v>N</v>
      </c>
      <c r="E387" s="51" t="str">
        <f>IFERROR(_xlfn.XLOOKUP(A387,[1]SP500!$A$2:$A$655,[1]SP500!$B$2:$B$655),"")</f>
        <v>IGV</v>
      </c>
      <c r="F387" s="290">
        <v>45806</v>
      </c>
      <c r="G387" s="51" t="str">
        <f t="shared" si="546"/>
        <v>AMC</v>
      </c>
      <c r="H387" s="51" t="str">
        <f t="shared" si="547"/>
        <v>s</v>
      </c>
      <c r="I387" s="344">
        <v>12.94</v>
      </c>
      <c r="J387" s="123">
        <v>14.86</v>
      </c>
      <c r="K387" s="55">
        <f t="shared" si="548"/>
        <v>0.14837712519319937</v>
      </c>
      <c r="L387" s="67">
        <f t="shared" si="549"/>
        <v>201.59999999999991</v>
      </c>
      <c r="M387" s="57">
        <f t="shared" si="550"/>
        <v>7.3499999999999091</v>
      </c>
      <c r="N387" s="102">
        <f t="shared" si="551"/>
        <v>201.59999999999991</v>
      </c>
      <c r="O387" s="57">
        <f>IF(N387="",#N/A,SUM($N$4:N387))</f>
        <v>677.90607492035736</v>
      </c>
      <c r="P387" s="65">
        <f t="shared" si="645"/>
        <v>2.4729520865533217</v>
      </c>
      <c r="Q387" s="172">
        <f>IF($N387="",#N/A,SUM($P$4:P387))</f>
        <v>14.869985203859134</v>
      </c>
      <c r="R387" s="279">
        <f t="shared" si="552"/>
        <v>9.5705717640502215</v>
      </c>
      <c r="S387" s="51" t="str">
        <f t="shared" si="553"/>
        <v>SW</v>
      </c>
      <c r="T387" s="51" t="s">
        <v>2828</v>
      </c>
      <c r="U387" s="56">
        <f t="shared" si="554"/>
        <v>12.94</v>
      </c>
      <c r="V387" s="56" t="s">
        <v>4460</v>
      </c>
      <c r="W387" s="142">
        <v>105</v>
      </c>
      <c r="X387" s="145">
        <f t="shared" si="555"/>
        <v>1358.7</v>
      </c>
      <c r="Y387" s="140">
        <f t="shared" si="556"/>
        <v>105</v>
      </c>
      <c r="Z387" s="141">
        <v>14.93</v>
      </c>
      <c r="AA387" s="102">
        <f t="shared" si="557"/>
        <v>208.94999999999982</v>
      </c>
      <c r="AB387" s="102">
        <f t="shared" si="558"/>
        <v>38.849999999999909</v>
      </c>
      <c r="AC387" s="124">
        <v>13.31</v>
      </c>
      <c r="AD387" s="155">
        <f t="shared" si="559"/>
        <v>38.849999999999909</v>
      </c>
      <c r="AE387" s="545">
        <f t="shared" si="560"/>
        <v>0.47655847501287879</v>
      </c>
      <c r="AF387" s="57">
        <f>IF($AC387="",#N/A,SUM(AD$4:AD387))</f>
        <v>620.83996410331542</v>
      </c>
      <c r="AG387" s="102">
        <f t="shared" si="561"/>
        <v>-162.75</v>
      </c>
      <c r="AH387" s="56" t="s">
        <v>2507</v>
      </c>
      <c r="AI387" s="65">
        <f t="shared" si="562"/>
        <v>2.563111798042244</v>
      </c>
      <c r="AJ387" s="108">
        <f>IF(AI387="",#N/A,SUM($AI$4:AI387))</f>
        <v>5.2994134398089132</v>
      </c>
      <c r="AK387" s="57">
        <f t="shared" si="563"/>
        <v>208.94999999999982</v>
      </c>
      <c r="AL387" s="66">
        <f>IF(AI387="",#N/A,IF(AH387="Skip",SUM($AK$4:AK387),SUM($AK$4:AK387)))</f>
        <v>0.7723692784825289</v>
      </c>
      <c r="AM387" s="65">
        <f t="shared" si="646"/>
        <v>0.47655847501287879</v>
      </c>
      <c r="AN387" s="209"/>
      <c r="AO387" s="65">
        <f t="shared" si="564"/>
        <v>0.47655847501287879</v>
      </c>
      <c r="AP387" s="65">
        <f>IF($AC387="",#N/A,SUM(AO$4:AO387))</f>
        <v>13.047706459974105</v>
      </c>
      <c r="AQ387" s="65" t="str">
        <f t="shared" si="565"/>
        <v/>
      </c>
      <c r="AR387" s="65">
        <f>IF($AC387="",#N/A,SUM(AQ$4:AQ387))</f>
        <v>-8.5442123483768615</v>
      </c>
      <c r="AS387" s="65" t="str">
        <f t="shared" si="566"/>
        <v/>
      </c>
      <c r="AT387" s="65">
        <f>IF($AC387="",#N/A,SUM(AS$4:AS387))</f>
        <v>6.348975736638546</v>
      </c>
      <c r="AU387" s="57">
        <f t="shared" si="647"/>
        <v>38.849999999999909</v>
      </c>
      <c r="AV387" s="57">
        <f>IF($AC387="",#N/A,SUM(AU$4:AU387))</f>
        <v>787.68383890574682</v>
      </c>
      <c r="AW387" s="57" t="str">
        <f t="shared" si="648"/>
        <v/>
      </c>
      <c r="AX387" s="57">
        <f>IF($AC387="",#N/A,SUM(AW$4:AW387))</f>
        <v>-635.20106797961103</v>
      </c>
      <c r="AY387" s="57" t="str">
        <f t="shared" si="649"/>
        <v/>
      </c>
      <c r="AZ387" s="57">
        <f>IF($AC387="",#N/A,SUM(AY$4:AY387))</f>
        <v>468.35719317717951</v>
      </c>
      <c r="BA387" s="57">
        <f>IF(AD387="",#N/A,SUM($AD$4:AD387))</f>
        <v>620.83996410331542</v>
      </c>
      <c r="BC387" s="51" t="str">
        <f t="shared" si="567"/>
        <v/>
      </c>
      <c r="BD387" s="51" t="str">
        <f t="shared" si="568"/>
        <v/>
      </c>
      <c r="BE387" s="51">
        <f t="shared" si="569"/>
        <v>1</v>
      </c>
      <c r="BF387" s="51" t="str">
        <f t="shared" si="570"/>
        <v>Long</v>
      </c>
      <c r="BG387" s="51" t="str">
        <f t="shared" si="571"/>
        <v/>
      </c>
      <c r="BH387" s="51" t="str">
        <f t="shared" si="572"/>
        <v/>
      </c>
      <c r="BI387" s="51" t="str">
        <f t="shared" si="573"/>
        <v/>
      </c>
      <c r="BK387" s="65">
        <f t="shared" si="653"/>
        <v>-4.8340519610904166E-2</v>
      </c>
      <c r="BL387" s="65">
        <f t="shared" si="652"/>
        <v>-4.6564495639402993E-2</v>
      </c>
      <c r="BM387" s="65">
        <f>IFERROR(Q387/COUNTA($J$4:J387),#N/A)</f>
        <v>3.8723919801716494E-2</v>
      </c>
      <c r="BO387" s="489">
        <f>IF(J387="",#N/A,IF(S387="SW",(COUNTIFS(K$4:$K387,"&gt;0",S$4:$S387,"SW")/COUNTIF(S$4:$S387,"SW")),#N/A))</f>
        <v>0.50267379679144386</v>
      </c>
      <c r="BP387" s="489" t="e">
        <f>IF($J387="",#N/A,IF($S387="DWN",(COUNTIFS($K$4:$K387,"&lt;0",$S$4:$S387,"DWN")/COUNTIF($S$4:$S387,"DWN")),#N/A))</f>
        <v>#N/A</v>
      </c>
      <c r="BQ387" s="489" t="e">
        <f>IF($J387="",#N/A,IF($S387="UP",(COUNTIFS($K$4:$K387,"&gt;0",$S$4:$S387,"UP")/COUNTIF($S$4:$S387,"UP")),#N/A))</f>
        <v>#N/A</v>
      </c>
      <c r="BR387" s="489">
        <f>IF(J387="",#N/A,COUNTIF($K$4:K387,"&gt;0")/COUNT($J$4:J387))</f>
        <v>0.47395833333333331</v>
      </c>
      <c r="BS387" s="65">
        <f t="shared" si="574"/>
        <v>2.4729520865533217</v>
      </c>
      <c r="BT387" s="65" t="str">
        <f t="shared" si="575"/>
        <v/>
      </c>
      <c r="BU387" s="65" t="str">
        <f t="shared" si="576"/>
        <v/>
      </c>
      <c r="BV387" s="65" t="str">
        <f t="shared" si="577"/>
        <v/>
      </c>
      <c r="BW387" s="128" t="str">
        <f t="shared" si="578"/>
        <v/>
      </c>
      <c r="BX387" s="128">
        <f>IF($J387="",#N/A,SUM($BW$4:BW387))</f>
        <v>-529.09817034792877</v>
      </c>
      <c r="BY387" s="131" t="str">
        <f t="shared" si="579"/>
        <v/>
      </c>
      <c r="BZ387" s="131">
        <f>IF($J387="",#N/A,SUM($BY$4:BY387))</f>
        <v>516.36161346139443</v>
      </c>
      <c r="CA387" s="133">
        <f t="shared" si="580"/>
        <v>201.59999999999991</v>
      </c>
      <c r="CB387" s="133">
        <f>IF($J387="",#N/A,SUM($CA$4:CA387))</f>
        <v>690.64263180689147</v>
      </c>
      <c r="CC387" s="194" t="str">
        <f t="shared" si="581"/>
        <v/>
      </c>
      <c r="CD387" s="194">
        <f>IF($J387="",#N/A,SUM($CC$4:CC387))</f>
        <v>-7.1968488875601349</v>
      </c>
      <c r="CE387" s="195" t="str">
        <f t="shared" si="582"/>
        <v/>
      </c>
      <c r="CF387" s="195">
        <f>IF($J387="",#N/A,SUM($CE$4:CE387))</f>
        <v>10.255596040445914</v>
      </c>
      <c r="CG387" s="196">
        <f t="shared" si="583"/>
        <v>2.4729520865533217</v>
      </c>
      <c r="CH387" s="196">
        <f>IF($J387="",#N/A,SUM($CG$4:CG387))</f>
        <v>11.811238050973367</v>
      </c>
      <c r="CI387" s="200" t="str">
        <f t="shared" si="584"/>
        <v/>
      </c>
      <c r="CJ387" s="203">
        <f>IF($J387="",#N/A,SUM(CI$4:CI387))</f>
        <v>0</v>
      </c>
      <c r="CK387" s="204" t="str">
        <f t="shared" si="585"/>
        <v/>
      </c>
      <c r="CL387" s="204">
        <f>IF($J387="",#N/A,SUM(CK$4:CK387))</f>
        <v>1.2912501745213723</v>
      </c>
      <c r="CM387" s="205" t="str">
        <f t="shared" si="586"/>
        <v/>
      </c>
      <c r="CN387" s="205">
        <f>IF($J387="",#N/A,SUM(CM$4:CM387))</f>
        <v>-0.71690643699161116</v>
      </c>
      <c r="CO387" s="205">
        <f>IF($J387="",#N/A,SUM(CM$4:CM387,CK$4:CK387,CI$4:CI387))</f>
        <v>0.57434373752976109</v>
      </c>
      <c r="CP387" s="200" t="str">
        <f t="shared" si="587"/>
        <v/>
      </c>
      <c r="CQ387" s="203">
        <f>IF($J387="",#N/A,SUM(CP$4:CP387))</f>
        <v>-3.6116753136693021</v>
      </c>
      <c r="CR387" s="204" t="str">
        <f t="shared" si="588"/>
        <v/>
      </c>
      <c r="CS387" s="204">
        <f>IF($J387="",#N/A,SUM(CR$4:CR387))</f>
        <v>2.3600225017004668</v>
      </c>
      <c r="CT387" s="205">
        <f t="shared" si="589"/>
        <v>2.4729520865533217</v>
      </c>
      <c r="CU387" s="205">
        <f>IF($J387="",#N/A,SUM(CT$4:CT387))</f>
        <v>-2.3212047812302816</v>
      </c>
      <c r="CV387" s="205">
        <f>IF($J387="",#N/A,SUM(CT$4:CT387,CR$4:CR387,CP$4:CP387))</f>
        <v>-3.5728575931991173</v>
      </c>
      <c r="CW387" s="200" t="str">
        <f t="shared" si="590"/>
        <v/>
      </c>
      <c r="CX387" s="203">
        <f>IF($J387="",#N/A,SUM(CW$4:CW387))</f>
        <v>-3.3082659491100586</v>
      </c>
      <c r="CY387" s="204" t="str">
        <f t="shared" si="591"/>
        <v/>
      </c>
      <c r="CZ387" s="204">
        <f>IF($J387="",#N/A,SUM(CY$4:CY387))</f>
        <v>-2.4332142608051761</v>
      </c>
      <c r="DA387" s="205" t="str">
        <f t="shared" si="592"/>
        <v/>
      </c>
      <c r="DB387" s="205">
        <f>IF($J387="",#N/A,SUM(DA$4:DA387))</f>
        <v>-3.1478574410966269</v>
      </c>
      <c r="DC387" s="205">
        <f>IF($J387="",#N/A,SUM(DA$4:DA387,CY$4:CY387,CW$4:CW387))</f>
        <v>-8.8893376510118625</v>
      </c>
      <c r="DD387" s="200" t="str">
        <f t="shared" si="593"/>
        <v/>
      </c>
      <c r="DE387" s="203">
        <f>IF($J387="",#N/A,SUM(DD$4:DD387))</f>
        <v>1.6161029218801881</v>
      </c>
      <c r="DF387" s="204" t="str">
        <f t="shared" si="594"/>
        <v/>
      </c>
      <c r="DG387" s="204">
        <f>IF($J387="",#N/A,SUM(DF$4:DF387))</f>
        <v>4.1810385231482243</v>
      </c>
      <c r="DH387" s="205" t="str">
        <f t="shared" si="595"/>
        <v/>
      </c>
      <c r="DI387" s="205">
        <f>IF($J387="",#N/A,SUM(DH$4:DH387))</f>
        <v>-0.23863035537359656</v>
      </c>
      <c r="DJ387" s="205">
        <f>IF($J387="",#N/A,SUM(DH$4:DH387,DF$4:DF387,DD$4:DD387))</f>
        <v>5.5585110896548153</v>
      </c>
      <c r="DK387" s="200" t="str">
        <f t="shared" si="596"/>
        <v/>
      </c>
      <c r="DL387" s="203">
        <f>IF($J387="",#N/A,SUM(DK$4:DK387))</f>
        <v>-0.84049791589649614</v>
      </c>
      <c r="DM387" s="204" t="str">
        <f t="shared" si="597"/>
        <v/>
      </c>
      <c r="DN387" s="204">
        <f>IF($J387="",#N/A,SUM(DM$4:DM387))</f>
        <v>1.8657648196498773</v>
      </c>
      <c r="DO387" s="205" t="str">
        <f t="shared" si="598"/>
        <v/>
      </c>
      <c r="DP387" s="205">
        <f>IF($J387="",#N/A,SUM(DO$4:DO387))</f>
        <v>3.4887162328793941</v>
      </c>
      <c r="DQ387" s="205">
        <f>IF($J387="",#N/A,SUM(DO$4:DO387,DM$4:DM387,DK$4:DK387))</f>
        <v>4.5139831366327758</v>
      </c>
      <c r="DR387" s="200" t="str">
        <f t="shared" si="599"/>
        <v/>
      </c>
      <c r="DS387" s="203">
        <f>IF($J387="",#N/A,SUM(DR$4:DR387))</f>
        <v>-0.55950946427675097</v>
      </c>
      <c r="DT387" s="204" t="str">
        <f t="shared" si="600"/>
        <v/>
      </c>
      <c r="DU387" s="204">
        <f>IF($J387="",#N/A,SUM(DT$4:DT387))</f>
        <v>-0.20750635820596686</v>
      </c>
      <c r="DV387" s="205" t="str">
        <f t="shared" si="601"/>
        <v/>
      </c>
      <c r="DW387" s="205">
        <f>IF($J387="",#N/A,SUM(DV$4:DV387))</f>
        <v>-2.3377035686214001</v>
      </c>
      <c r="DX387" s="205">
        <f>IF($J387="",#N/A,SUM(DV$4:DV387,DT$4:DT387,DR$4:DR387))</f>
        <v>-3.1047193911041169</v>
      </c>
      <c r="DY387" s="200" t="str">
        <f t="shared" si="602"/>
        <v/>
      </c>
      <c r="DZ387" s="203">
        <f>IF($J387="",#N/A,SUM(DY$4:DY387))</f>
        <v>-1.4146842415208627</v>
      </c>
      <c r="EA387" s="204" t="str">
        <f t="shared" si="603"/>
        <v/>
      </c>
      <c r="EB387" s="204">
        <f>IF($J387="",#N/A,SUM(EA$4:EA387))</f>
        <v>4.3184391548878134</v>
      </c>
      <c r="EC387" s="205" t="str">
        <f t="shared" si="604"/>
        <v/>
      </c>
      <c r="ED387" s="205">
        <f>IF($J387="",#N/A,SUM(EC$4:EC387))</f>
        <v>8.4384553208490907</v>
      </c>
      <c r="EE387" s="205">
        <f>IF($J387="",#N/A,SUM(EC$4:EC387,EA$4:EA387,DY$4:DY387))</f>
        <v>11.342210234216044</v>
      </c>
      <c r="EF387" s="200" t="str">
        <f t="shared" si="605"/>
        <v/>
      </c>
      <c r="EG387" s="203">
        <f>IF($J387="",#N/A,SUM(EF$4:EF387))</f>
        <v>0.65848341369884777</v>
      </c>
      <c r="EH387" s="204" t="str">
        <f t="shared" si="606"/>
        <v/>
      </c>
      <c r="EI387" s="204">
        <f>IF($J387="",#N/A,SUM(EH$4:EH387))</f>
        <v>-3.5125331561187787</v>
      </c>
      <c r="EJ387" s="205" t="str">
        <f t="shared" si="607"/>
        <v/>
      </c>
      <c r="EK387" s="205">
        <f>IF($J387="",#N/A,SUM(EJ$4:EJ387))</f>
        <v>11.820135611943035</v>
      </c>
      <c r="EL387" s="205">
        <f>IF($J387="",#N/A,SUM(EJ$4:EJ387,EH$4:EH387,EF$4:EF387))</f>
        <v>8.9660858695231074</v>
      </c>
      <c r="EM387" s="200" t="str">
        <f t="shared" si="608"/>
        <v/>
      </c>
      <c r="EN387" s="203">
        <f>IF($J387="",#N/A,SUM(EM$4:EM387))</f>
        <v>0</v>
      </c>
      <c r="EO387" s="204" t="str">
        <f t="shared" si="609"/>
        <v/>
      </c>
      <c r="EP387" s="204">
        <f>IF($J387="",#N/A,SUM(EO$4:EO387))</f>
        <v>2.4788862078089964</v>
      </c>
      <c r="EQ387" s="205" t="str">
        <f t="shared" si="610"/>
        <v/>
      </c>
      <c r="ER387" s="205">
        <f>IF($J387="",#N/A,SUM(EQ$4:EQ387))</f>
        <v>1.7856049065476487</v>
      </c>
      <c r="ES387" s="205">
        <f>IF($J387="",#N/A,SUM(EQ$4:EQ387,EO$4:EO387,EM$4:EM387))</f>
        <v>4.2644911143566446</v>
      </c>
      <c r="ET387" s="200" t="str">
        <f t="shared" si="611"/>
        <v/>
      </c>
      <c r="EU387" s="203">
        <f>IF($J387="",#N/A,SUM(ET$4:ET387))</f>
        <v>0</v>
      </c>
      <c r="EV387" s="204" t="str">
        <f t="shared" si="612"/>
        <v/>
      </c>
      <c r="EW387" s="204">
        <f>IF($J387="",#N/A,SUM(EV$4:EV387))</f>
        <v>7.9116394275462909E-2</v>
      </c>
      <c r="EX387" s="205" t="str">
        <f t="shared" si="613"/>
        <v/>
      </c>
      <c r="EY387" s="205">
        <f>IF($J387="",#N/A,SUM(EX$4:EX387))</f>
        <v>0.62848633887309935</v>
      </c>
      <c r="EZ387" s="205">
        <f>IF($J387="",#N/A,SUM(EX$4:EX387,EV$4:EV387,ET$4:ET387))</f>
        <v>0.70760273314856192</v>
      </c>
      <c r="FA387" s="200" t="str">
        <f t="shared" si="614"/>
        <v/>
      </c>
      <c r="FB387" s="203">
        <f>IF($J387="",#N/A,SUM(FA$4:FA387))</f>
        <v>-0.27145310509113252</v>
      </c>
      <c r="FC387" s="204" t="str">
        <f t="shared" si="615"/>
        <v/>
      </c>
      <c r="FD387" s="204">
        <f>IF($J387="",#N/A,SUM(FC$4:FC387))</f>
        <v>0.89084290967454072</v>
      </c>
      <c r="FE387" s="205" t="str">
        <f t="shared" si="616"/>
        <v/>
      </c>
      <c r="FF387" s="205">
        <f>IF($J387="",#N/A,SUM(FE$4:FE387))</f>
        <v>-0.28811149078748233</v>
      </c>
      <c r="FG387" s="205">
        <f>IF($J387="",#N/A,SUM(FE$4:FE387,FC$4:FC387,FA$4:FA387))</f>
        <v>0.3312783137959262</v>
      </c>
      <c r="FH387" s="200" t="str">
        <f t="shared" si="617"/>
        <v/>
      </c>
      <c r="FI387" s="203">
        <f>IF($J387="",#N/A,SUM(FH$4:FH387))</f>
        <v>0</v>
      </c>
      <c r="FJ387" s="204" t="str">
        <f t="shared" si="618"/>
        <v/>
      </c>
      <c r="FK387" s="204">
        <f>IF($J387="",#N/A,SUM(FJ$4:FJ387))</f>
        <v>0</v>
      </c>
      <c r="FL387" s="205" t="str">
        <f t="shared" si="619"/>
        <v/>
      </c>
      <c r="FM387" s="205">
        <f>IF($J387="",#N/A,SUM(FL$4:FL387))</f>
        <v>0</v>
      </c>
      <c r="FN387" s="205">
        <f>IF($J387="",#N/A,SUM(FL$4:FL387,FJ$4:FJ387,FH$4:FH387))</f>
        <v>0</v>
      </c>
      <c r="FO387" s="200" t="str">
        <f t="shared" si="620"/>
        <v/>
      </c>
      <c r="FP387" s="203">
        <f>IF($J387="",#N/A,SUM(FO$4:FO387))</f>
        <v>0</v>
      </c>
      <c r="FQ387" s="204" t="str">
        <f t="shared" si="621"/>
        <v/>
      </c>
      <c r="FR387" s="204">
        <f>IF($J387="",#N/A,SUM(FQ$4:FQ387))</f>
        <v>0</v>
      </c>
      <c r="FS387" s="205" t="str">
        <f t="shared" si="622"/>
        <v/>
      </c>
      <c r="FT387" s="205">
        <f>IF($J387="",#N/A,SUM(FS$4:FS387))</f>
        <v>0</v>
      </c>
      <c r="FU387" s="205">
        <f>IF($J387="",#N/A,SUM(FS$4:FS387,FQ$4:FQ387,FO$4:FO387))</f>
        <v>0</v>
      </c>
      <c r="FV387" s="200" t="str">
        <f t="shared" si="623"/>
        <v/>
      </c>
      <c r="FW387" s="203">
        <f>IF($J387="",#N/A,SUM(FV$4:FV387))</f>
        <v>6.6834991831277585E-2</v>
      </c>
      <c r="FX387" s="204" t="str">
        <f t="shared" si="624"/>
        <v/>
      </c>
      <c r="FY387" s="204">
        <f>IF($J387="",#N/A,SUM(FX$4:FX387))</f>
        <v>-0.16102012791805576</v>
      </c>
      <c r="FZ387" s="205" t="str">
        <f t="shared" si="625"/>
        <v/>
      </c>
      <c r="GA387" s="205">
        <f>IF($J387="",#N/A,SUM(FZ$4:FZ387))</f>
        <v>-0.69624339162892301</v>
      </c>
      <c r="GB387" s="205">
        <f>IF($J387="",#N/A,SUM(FZ$4:FZ387,FX$4:FX387,FV$4:FV387))</f>
        <v>-0.79042852771570116</v>
      </c>
      <c r="GC387" s="200" t="str">
        <f t="shared" si="626"/>
        <v/>
      </c>
      <c r="GD387" s="203">
        <f>IF($J387="",#N/A,SUM(GC$4:GC387))</f>
        <v>0</v>
      </c>
      <c r="GE387" s="204" t="str">
        <f t="shared" si="627"/>
        <v/>
      </c>
      <c r="GF387" s="204">
        <f>IF($J387="",#N/A,SUM(GE$4:GE387))</f>
        <v>0</v>
      </c>
      <c r="GG387" s="205" t="str">
        <f t="shared" si="628"/>
        <v/>
      </c>
      <c r="GH387" s="205">
        <f>IF($J387="",#N/A,SUM(GG$4:GG387))</f>
        <v>-2.9368362277223206</v>
      </c>
      <c r="GI387" s="205">
        <f>IF($J387="",#N/A,SUM(GG$4:GG387,GE$4:GE387,GC$4:GC387))</f>
        <v>-2.9368362277223206</v>
      </c>
      <c r="GJ387" s="200" t="str">
        <f t="shared" si="629"/>
        <v/>
      </c>
      <c r="GK387" s="203">
        <f>IF($J387="",#N/A,SUM(GJ$4:GJ387))</f>
        <v>0</v>
      </c>
      <c r="GL387" s="204" t="str">
        <f t="shared" si="630"/>
        <v/>
      </c>
      <c r="GM387" s="204">
        <f>IF($J387="",#N/A,SUM(GL$4:GL387))</f>
        <v>-2.0621307233432784</v>
      </c>
      <c r="GN387" s="205" t="str">
        <f t="shared" si="631"/>
        <v/>
      </c>
      <c r="GO387" s="205">
        <f>IF($J387="",#N/A,SUM(GN$4:GN387))</f>
        <v>0</v>
      </c>
      <c r="GP387" s="205">
        <f>IF($J387="",#N/A,SUM(GN$4:GN387,GL$4:GL387,GJ$4:GJ387))</f>
        <v>-2.0621307233432784</v>
      </c>
      <c r="GS387" s="54" t="str">
        <f t="shared" si="650"/>
        <v/>
      </c>
      <c r="GT387" s="54" t="e">
        <f>IF(GS387="",NA(),SUM($GS$4:GS387))</f>
        <v>#N/A</v>
      </c>
      <c r="GU387" s="54" t="str">
        <f t="shared" si="632"/>
        <v/>
      </c>
      <c r="GV387" s="54" t="e">
        <f>IF(GU387="",NA(),SUM($GU$4:GU387))</f>
        <v>#N/A</v>
      </c>
      <c r="GW387" s="54" t="str">
        <f t="shared" si="633"/>
        <v/>
      </c>
      <c r="GX387" s="54" t="e">
        <f>IF(GW387="",NA(),SUM($GW$4:GW387))</f>
        <v>#N/A</v>
      </c>
      <c r="GY387" s="54" t="str">
        <f t="shared" si="634"/>
        <v/>
      </c>
      <c r="GZ387" s="54" t="e">
        <f>IF(GY387="",NA(),SUM($GY$4:GY387))</f>
        <v>#N/A</v>
      </c>
      <c r="HA387" s="54">
        <f t="shared" si="635"/>
        <v>2.4729520865533217</v>
      </c>
      <c r="HB387" s="54">
        <f>IF(HA387="",NA(),SUM($HA$4:HA387))</f>
        <v>4.4672495269790584</v>
      </c>
      <c r="HC387" s="54" t="str">
        <f t="shared" si="636"/>
        <v/>
      </c>
      <c r="HD387" s="54" t="e">
        <f>IF(HC387="",NA(),SUM($HC$4:HC387))</f>
        <v>#N/A</v>
      </c>
      <c r="HE387" s="54">
        <f t="shared" si="637"/>
        <v>2.4729520865533217</v>
      </c>
      <c r="HF387" s="54">
        <f>IF(HE387="",NA(),SUM($HE$4:HE387))</f>
        <v>5.0184174797935963</v>
      </c>
      <c r="HG387" s="54" t="str">
        <f t="shared" si="638"/>
        <v/>
      </c>
      <c r="HH387" s="54" t="e">
        <f>IF(HG387="",NA(),SUM($HG$4:HG387))</f>
        <v>#N/A</v>
      </c>
      <c r="HI387" s="172" t="str">
        <f t="shared" si="651"/>
        <v/>
      </c>
      <c r="HJ387" s="172">
        <f>IF($J387="",#N/A,SUM(HI$4:$HI387))</f>
        <v>-11.384655655360691</v>
      </c>
      <c r="HK387" s="54" t="str">
        <f t="shared" si="639"/>
        <v/>
      </c>
      <c r="HL387" s="54">
        <f>IF($J387="",#N/A,SUM($HK$4:HK387))</f>
        <v>7.4780353515533324</v>
      </c>
      <c r="HM387" s="54" t="str">
        <f t="shared" si="640"/>
        <v/>
      </c>
      <c r="HN387" s="54">
        <f>IF($J387="",#N/A,SUM($HM$4:HM387))</f>
        <v>-1.0806776566755429</v>
      </c>
      <c r="HO387" s="54" t="str">
        <f t="shared" si="641"/>
        <v/>
      </c>
      <c r="HP387" s="54">
        <f>IF($J387="",#N/A,SUM($HO$4:HO387))</f>
        <v>-0.26668580414118226</v>
      </c>
      <c r="HQ387" s="54">
        <f t="shared" si="642"/>
        <v>-1.9963936115404428</v>
      </c>
      <c r="HR387" s="54">
        <f>IF($J387="",#N/A,SUM($HQ$4:HQ387))</f>
        <v>-14.031884296467537</v>
      </c>
      <c r="HS387" s="54" t="str">
        <f t="shared" si="643"/>
        <v/>
      </c>
      <c r="HT387" s="54">
        <f>IF($J387="",#N/A,SUM($HS$4:HS387))</f>
        <v>15.76452616133583</v>
      </c>
      <c r="HU387" s="65">
        <f t="shared" si="644"/>
        <v>0.47655847501287879</v>
      </c>
      <c r="HV387" s="65">
        <f>IF($J387="",#N/A,SUM(HU$4:$HU387))</f>
        <v>10.852469848235796</v>
      </c>
    </row>
    <row r="388" spans="1:230" x14ac:dyDescent="0.25">
      <c r="A388" s="51" t="s">
        <v>1154</v>
      </c>
      <c r="B388" s="52" t="s">
        <v>5549</v>
      </c>
      <c r="C388" s="229">
        <f t="shared" ref="C388:C422" si="654">IF(S388="Dwn",2,IF(S388="Up",1,IF(S388="SW",3,"x")))</f>
        <v>3</v>
      </c>
      <c r="D388" s="219" t="str">
        <f>_xlfn.XLOOKUP(A388,[1]SP500!$A$2:$A$502,[1]SP500!$D$2:$D$502,"N")</f>
        <v>Y</v>
      </c>
      <c r="E388" s="51" t="str">
        <f>IFERROR(_xlfn.XLOOKUP(A388,[1]SP500!$A$2:$A$655,[1]SP500!$B$2:$B$655),"")</f>
        <v>XLK</v>
      </c>
      <c r="F388" s="290">
        <v>45806</v>
      </c>
      <c r="G388" s="51" t="str">
        <f t="shared" ref="G388:G422" si="655">IF(ISNUMBER(FIND("After",B388,1)),"AMC",IF(ISNUMBER(FIND("Before",B388,1)),"BMO","err"))</f>
        <v>AMC</v>
      </c>
      <c r="H388" s="51" t="str">
        <f t="shared" ref="H388:H422" si="656">IF(AH388="Skip","sk",IF(OR(S388="",V388=""),"",IF(AND(S388="Dwn",V388="Short"),"s",IF(AND(S388="Up",V388="Long"),"s",IF(AND(S388="SW",V388="Long"),"s","o")))))</f>
        <v>s</v>
      </c>
      <c r="I388" s="344">
        <v>113.63</v>
      </c>
      <c r="J388" s="124">
        <v>112.48</v>
      </c>
      <c r="K388" s="55">
        <f t="shared" ref="K388:K422" si="657">IF(J388="","",(J388-I388)/I388)</f>
        <v>-1.0120566751738024E-2</v>
      </c>
      <c r="L388" s="67">
        <f t="shared" ref="L388:L422" si="658">IF(OR($Y388="",J388=""),"",IF($V388="Long",(($J388*$Y388)-$X388),($X388-($J388*$Y388))))</f>
        <v>-13.799999999999955</v>
      </c>
      <c r="M388" s="57">
        <f t="shared" ref="M388:M422" si="659">IF(L388="","",IF(AK388="",#N/A,IF(AH388="Open",AK388-L388,#N/A)))</f>
        <v>5.4000000000000909</v>
      </c>
      <c r="N388" s="102">
        <f t="shared" ref="N388:N422" si="660">IF(OR($Y388="",L388=""),"",IF($BF388="Long",(($J388*$Y388)-$X388),($X388-($J388*$Y388))))</f>
        <v>-13.799999999999955</v>
      </c>
      <c r="O388" s="57">
        <f>IF(N388="",#N/A,SUM($N$4:N388))</f>
        <v>664.1060749203574</v>
      </c>
      <c r="P388" s="65">
        <f t="shared" si="645"/>
        <v>-0.16867611252896775</v>
      </c>
      <c r="Q388" s="172">
        <f>IF($N388="",#N/A,SUM($P$4:P388))</f>
        <v>14.701309091330167</v>
      </c>
      <c r="R388" s="279">
        <f t="shared" ref="R388:R422" si="661">IF(AND(AH388="MOC",AC388=""),#N/A,IFERROR(Q388-AJ388,Q388-0))</f>
        <v>9.5045680678432323</v>
      </c>
      <c r="S388" s="51" t="str">
        <f t="shared" ref="S388:S422" si="662">IF(T388="Down","Dwn",IF(T388="Up","Up",IF(AND(T388="",K388=""),"",IF(AND(K388&lt;0,T388="Yes"),"Dwn",IF(AND(K388&gt;0,T388="Yes"),"Up",IF(AND(K388&lt;0,T388="No"),"Up",IF(AND(K388&gt;0,T388="No"),"Dwn",IF(T388="NA","SW","err"))))))))</f>
        <v>SW</v>
      </c>
      <c r="T388" s="51" t="s">
        <v>2828</v>
      </c>
      <c r="U388" s="56">
        <f t="shared" ref="U388:U422" si="663">I388</f>
        <v>113.63</v>
      </c>
      <c r="V388" s="56" t="s">
        <v>4460</v>
      </c>
      <c r="W388" s="142">
        <v>12</v>
      </c>
      <c r="X388" s="145">
        <f t="shared" ref="X388:X422" si="664">IF(W388="","",U388*W388)</f>
        <v>1363.56</v>
      </c>
      <c r="Y388" s="140">
        <f t="shared" ref="Y388:Y422" si="665">IF(W388="","",W388)</f>
        <v>12</v>
      </c>
      <c r="Z388" s="141">
        <v>112.93</v>
      </c>
      <c r="AA388" s="102">
        <f t="shared" ref="AA388:AA422" si="666">IF($Z388="","",IF($V388="Long",(($Z388*$Y388)-$X388),($X388-($Z388*$Y388))))</f>
        <v>-8.3999999999998636</v>
      </c>
      <c r="AB388" s="102">
        <f t="shared" ref="AB388:AB422" si="667">IF($AC388="","",IF($V388="Long",(($AC388*$Y388)-$X388),($X388-($AC388*$Y388))))</f>
        <v>-28.319999999999936</v>
      </c>
      <c r="AC388" s="124">
        <v>111.27</v>
      </c>
      <c r="AD388" s="155">
        <f t="shared" ref="AD388:AD422" si="668">IF(AC388="","",IF(OR($Y388="",CV388=""),"",IF($BF388="Long",(($AC388*$Y388)-$X388),($X388-($AC388*$Y388)))))</f>
        <v>-28.319999999999936</v>
      </c>
      <c r="AE388" s="545">
        <f t="shared" ref="AE388:AE422" si="669">IF(OR($Y388="",$AD388=""),"",IF($BF388="Long",(($AC388*$Y388)-$X388)/($X388*0.06),($X388-($AC388*$Y388))/($X388*0.06)))</f>
        <v>-0.34615271788553414</v>
      </c>
      <c r="AF388" s="57">
        <f>IF($AC388="",#N/A,SUM(AD$4:AD388))</f>
        <v>592.51996410331549</v>
      </c>
      <c r="AG388" s="102">
        <f t="shared" ref="AG388:AG422" si="670">IF(OR(AD388="",AC388=""),"",AD388-N388)</f>
        <v>-14.519999999999982</v>
      </c>
      <c r="AH388" s="56" t="s">
        <v>2507</v>
      </c>
      <c r="AI388" s="65">
        <f t="shared" ref="AI388:AI422" si="671">IF(AND(AH388="MOC",AC388=""),"",IF(Z388="","",IF(AH388="Skip",0,IF(AK388=0,0,AK388/(X388*0.06)))))</f>
        <v>-0.10267241632197904</v>
      </c>
      <c r="AJ388" s="108">
        <f>IF(AI388="",#N/A,SUM($AI$4:AI388))</f>
        <v>5.1967410234869345</v>
      </c>
      <c r="AK388" s="57">
        <f t="shared" ref="AK388:AK422" si="672">IF(AH388="","",IF(AH388="Skip","",IF(OR(AH388="open",AH388="Other"),AA388,IF(AH388="MOC",AB388,"Err"))))</f>
        <v>-8.3999999999998636</v>
      </c>
      <c r="AL388" s="66">
        <f>IF(AI388="",#N/A,IF(AH388="Skip",SUM($AK$4:AK388),SUM($AK$4:AK388)))</f>
        <v>-7.6276307215173347</v>
      </c>
      <c r="AM388" s="65">
        <f t="shared" si="646"/>
        <v>-0.34615271788553414</v>
      </c>
      <c r="AN388" s="209"/>
      <c r="AO388" s="65">
        <f t="shared" ref="AO388:AO422" si="673">IF(AND($S388="SW",$BF388="Long"),$HU388,"")</f>
        <v>-0.34615271788553414</v>
      </c>
      <c r="AP388" s="65">
        <f>IF($AC388="",#N/A,SUM(AO$4:AO388))</f>
        <v>12.701553742088571</v>
      </c>
      <c r="AQ388" s="65" t="str">
        <f t="shared" ref="AQ388:AQ422" si="674">IF(AND($S388="UP",$BF388="Long"),$HU388,"")</f>
        <v/>
      </c>
      <c r="AR388" s="65">
        <f>IF($AC388="",#N/A,SUM(AQ$4:AQ388))</f>
        <v>-8.5442123483768615</v>
      </c>
      <c r="AS388" s="65" t="str">
        <f t="shared" ref="AS388:AS422" si="675">IF(AND($S388="Dwn",$BF388="Short"),$HU388,"")</f>
        <v/>
      </c>
      <c r="AT388" s="65">
        <f>IF($AC388="",#N/A,SUM(AS$4:AS388))</f>
        <v>6.348975736638546</v>
      </c>
      <c r="AU388" s="57">
        <f t="shared" si="647"/>
        <v>-28.319999999999936</v>
      </c>
      <c r="AV388" s="57">
        <f>IF($AC388="",#N/A,SUM(AU$4:AU388))</f>
        <v>759.36383890574689</v>
      </c>
      <c r="AW388" s="57" t="str">
        <f t="shared" si="648"/>
        <v/>
      </c>
      <c r="AX388" s="57">
        <f>IF($AC388="",#N/A,SUM(AW$4:AW388))</f>
        <v>-635.20106797961103</v>
      </c>
      <c r="AY388" s="57" t="str">
        <f t="shared" si="649"/>
        <v/>
      </c>
      <c r="AZ388" s="57">
        <f>IF($AC388="",#N/A,SUM(AY$4:AY388))</f>
        <v>468.35719317717951</v>
      </c>
      <c r="BA388" s="57">
        <f>IF(AD388="",#N/A,SUM($AD$4:AD388))</f>
        <v>592.51996410331549</v>
      </c>
      <c r="BC388" s="51" t="str">
        <f t="shared" ref="BC388:BC422" si="676">IF(K388="","",IF(AND(K388&gt;0,T388="Yes"),1,""))</f>
        <v/>
      </c>
      <c r="BD388" s="51" t="str">
        <f t="shared" ref="BD388:BD422" si="677">IF(K388="","",IF(AND($K388&gt;0,$T388="No"),1,""))</f>
        <v/>
      </c>
      <c r="BE388" s="51" t="str">
        <f t="shared" ref="BE388:BE422" si="678">IF(K388="","",IF(AND($K388&gt;0,$T388="NA"),1,""))</f>
        <v/>
      </c>
      <c r="BF388" s="51" t="str">
        <f t="shared" ref="BF388:BF422" si="679">IF(S388="Dwn","Short","Long")</f>
        <v>Long</v>
      </c>
      <c r="BG388" s="51" t="str">
        <f t="shared" ref="BG388:BG422" si="680">IF(K388="","",IF(AND($K388&lt;0,$T388="Yes"),1,""))</f>
        <v/>
      </c>
      <c r="BH388" s="51" t="str">
        <f t="shared" ref="BH388:BH422" si="681">IF(K388="","",IF(AND($K388&lt;0,$T388="No"),1,""))</f>
        <v/>
      </c>
      <c r="BI388" s="51">
        <f t="shared" ref="BI388:BI422" si="682">IF(K388="","",IF(AND($K388&lt;0,$T388="NA"),1,""))</f>
        <v>1</v>
      </c>
      <c r="BK388" s="65">
        <f t="shared" si="653"/>
        <v>-6.501387435729597E-2</v>
      </c>
      <c r="BL388" s="65">
        <f t="shared" si="652"/>
        <v>2.136286963143327E-2</v>
      </c>
      <c r="BM388" s="65">
        <f>IFERROR(Q388/COUNTA($J$4:J388),#N/A)</f>
        <v>3.8185218419039393E-2</v>
      </c>
      <c r="BO388" s="489">
        <f>IF(J388="",#N/A,IF(S388="SW",(COUNTIFS(K$4:$K388,"&gt;0",S$4:$S388,"SW")/COUNTIF(S$4:$S388,"SW")),#N/A))</f>
        <v>0.5</v>
      </c>
      <c r="BP388" s="489" t="e">
        <f>IF($J388="",#N/A,IF($S388="DWN",(COUNTIFS($K$4:$K388,"&lt;0",$S$4:$S388,"DWN")/COUNTIF($S$4:$S388,"DWN")),#N/A))</f>
        <v>#N/A</v>
      </c>
      <c r="BQ388" s="489" t="e">
        <f>IF($J388="",#N/A,IF($S388="UP",(COUNTIFS($K$4:$K388,"&gt;0",$S$4:$S388,"UP")/COUNTIF($S$4:$S388,"UP")),#N/A))</f>
        <v>#N/A</v>
      </c>
      <c r="BR388" s="489">
        <f>IF(J388="",#N/A,COUNTIF($K$4:K388,"&gt;0")/COUNT($J$4:J388))</f>
        <v>0.47272727272727272</v>
      </c>
      <c r="BS388" s="65" t="str">
        <f t="shared" ref="BS388:BS422" si="683">IF($AH388="Skip","",IF($J388="","",IF(AND($V388="Long",$L388&gt;0),$P388,"")))</f>
        <v/>
      </c>
      <c r="BT388" s="65">
        <f t="shared" ref="BT388:BT422" si="684">IF($AH388="Skip","",IF($J388="","",IF(AND($V388="Long",$L388&lt;0),$P388,"")))</f>
        <v>-0.16867611252896775</v>
      </c>
      <c r="BU388" s="65" t="str">
        <f t="shared" ref="BU388:BU422" si="685">IF($AH388="Skip","",IF($J388="","",IF(AND($V388="Short",$L388&gt;0),$P388,"")))</f>
        <v/>
      </c>
      <c r="BV388" s="65" t="str">
        <f t="shared" ref="BV388:BV422" si="686">IF($AH388="Skip","",IF($J388="","",IF(AND($V388="Short",$L388&lt;0),$P388,"")))</f>
        <v/>
      </c>
      <c r="BW388" s="128" t="str">
        <f t="shared" ref="BW388:BW422" si="687">IF(AND($S388="Up",$BF388="Long"),$N388,"")</f>
        <v/>
      </c>
      <c r="BX388" s="128">
        <f>IF($J388="",#N/A,SUM($BW$4:BW388))</f>
        <v>-529.09817034792877</v>
      </c>
      <c r="BY388" s="131" t="str">
        <f t="shared" ref="BY388:BY422" si="688">IF(AND($S388="Dwn",$BF388="Short"),$N388,"")</f>
        <v/>
      </c>
      <c r="BZ388" s="131">
        <f>IF($J388="",#N/A,SUM($BY$4:BY388))</f>
        <v>516.36161346139443</v>
      </c>
      <c r="CA388" s="133">
        <f t="shared" ref="CA388:CA422" si="689">IF(AND($S388="SW",$BF388="Long"),$N388,"")</f>
        <v>-13.799999999999955</v>
      </c>
      <c r="CB388" s="133">
        <f>IF($J388="",#N/A,SUM($CA$4:CA388))</f>
        <v>676.84263180689152</v>
      </c>
      <c r="CC388" s="194" t="str">
        <f t="shared" ref="CC388:CC422" si="690">IF(AND($S388="Up",$BF388="Long"),$P388,"")</f>
        <v/>
      </c>
      <c r="CD388" s="194">
        <f>IF($J388="",#N/A,SUM($CC$4:CC388))</f>
        <v>-7.1968488875601349</v>
      </c>
      <c r="CE388" s="195" t="str">
        <f t="shared" ref="CE388:CE422" si="691">IF(AND($S388="Dwn",$BF388="Short"),$P388,"")</f>
        <v/>
      </c>
      <c r="CF388" s="195">
        <f>IF($J388="",#N/A,SUM($CE$4:CE388))</f>
        <v>10.255596040445914</v>
      </c>
      <c r="CG388" s="196">
        <f t="shared" ref="CG388:CG422" si="692">IF(AND($S388="SW",$BF388="Long"),$P388,"")</f>
        <v>-0.16867611252896775</v>
      </c>
      <c r="CH388" s="196">
        <f>IF($J388="",#N/A,SUM($CG$4:CG388))</f>
        <v>11.6425619384444</v>
      </c>
      <c r="CI388" s="200" t="str">
        <f t="shared" ref="CI388:CI422" si="693">IF(AND($S388="Up",$BF388="Long",$E388=CI$2),$P388,"")</f>
        <v/>
      </c>
      <c r="CJ388" s="203">
        <f>IF($J388="",#N/A,SUM(CI$4:CI388))</f>
        <v>0</v>
      </c>
      <c r="CK388" s="204" t="str">
        <f t="shared" ref="CK388:CK422" si="694">IF(AND($S388="Dwn",$BF388="Short",$E388=CI$2),$P388,"")</f>
        <v/>
      </c>
      <c r="CL388" s="204">
        <f>IF($J388="",#N/A,SUM(CK$4:CK388))</f>
        <v>1.2912501745213723</v>
      </c>
      <c r="CM388" s="205">
        <f t="shared" ref="CM388:CM422" si="695">IF(AND($S388="SW",$BF388="Long",$E388=CI$2),$P388,"")</f>
        <v>-0.16867611252896775</v>
      </c>
      <c r="CN388" s="205">
        <f>IF($J388="",#N/A,SUM(CM$4:CM388))</f>
        <v>-0.88558254952057891</v>
      </c>
      <c r="CO388" s="205">
        <f>IF($J388="",#N/A,SUM(CM$4:CM388,CK$4:CK388,CI$4:CI388))</f>
        <v>0.40566762500079356</v>
      </c>
      <c r="CP388" s="200" t="str">
        <f t="shared" ref="CP388:CP422" si="696">IF(AND($S388="Up",$BF388="Long",$E388=CP$2),$P388,"")</f>
        <v/>
      </c>
      <c r="CQ388" s="203">
        <f>IF($J388="",#N/A,SUM(CP$4:CP388))</f>
        <v>-3.6116753136693021</v>
      </c>
      <c r="CR388" s="204" t="str">
        <f t="shared" ref="CR388:CR422" si="697">IF(AND($S388="Dwn",$BF388="Short",$E388=CP$2),$P388,"")</f>
        <v/>
      </c>
      <c r="CS388" s="204">
        <f>IF($J388="",#N/A,SUM(CR$4:CR388))</f>
        <v>2.3600225017004668</v>
      </c>
      <c r="CT388" s="205" t="str">
        <f t="shared" ref="CT388:CT422" si="698">IF(AND($S388="SW",$BF388="Long",$E388=CP$2),$P388,"")</f>
        <v/>
      </c>
      <c r="CU388" s="205">
        <f>IF($J388="",#N/A,SUM(CT$4:CT388))</f>
        <v>-2.3212047812302816</v>
      </c>
      <c r="CV388" s="205">
        <f>IF($J388="",#N/A,SUM(CT$4:CT388,CR$4:CR388,CP$4:CP388))</f>
        <v>-3.5728575931991173</v>
      </c>
      <c r="CW388" s="200" t="str">
        <f t="shared" ref="CW388:CW422" si="699">IF(AND($S388="Up",$BF388="Long",$E388=CW$2),$P388,"")</f>
        <v/>
      </c>
      <c r="CX388" s="203">
        <f>IF($J388="",#N/A,SUM(CW$4:CW388))</f>
        <v>-3.3082659491100586</v>
      </c>
      <c r="CY388" s="204" t="str">
        <f t="shared" ref="CY388:CY422" si="700">IF(AND($S388="Dwn",$BF388="Short",$E388=CW$2),$P388,"")</f>
        <v/>
      </c>
      <c r="CZ388" s="204">
        <f>IF($J388="",#N/A,SUM(CY$4:CY388))</f>
        <v>-2.4332142608051761</v>
      </c>
      <c r="DA388" s="205" t="str">
        <f t="shared" ref="DA388:DA422" si="701">IF(AND($S388="SW",$BF388="Long",$E388=CW$2),$P388,"")</f>
        <v/>
      </c>
      <c r="DB388" s="205">
        <f>IF($J388="",#N/A,SUM(DA$4:DA388))</f>
        <v>-3.1478574410966269</v>
      </c>
      <c r="DC388" s="205">
        <f>IF($J388="",#N/A,SUM(DA$4:DA388,CY$4:CY388,CW$4:CW388))</f>
        <v>-8.8893376510118625</v>
      </c>
      <c r="DD388" s="200" t="str">
        <f t="shared" ref="DD388:DD422" si="702">IF(AND($S388="Up",$BF388="Long",$E388=DD$2),$P388,"")</f>
        <v/>
      </c>
      <c r="DE388" s="203">
        <f>IF($J388="",#N/A,SUM(DD$4:DD388))</f>
        <v>1.6161029218801881</v>
      </c>
      <c r="DF388" s="204" t="str">
        <f t="shared" ref="DF388:DF422" si="703">IF(AND($S388="Dwn",$BF388="Short",$E388=DD$2),$P388,"")</f>
        <v/>
      </c>
      <c r="DG388" s="204">
        <f>IF($J388="",#N/A,SUM(DF$4:DF388))</f>
        <v>4.1810385231482243</v>
      </c>
      <c r="DH388" s="205" t="str">
        <f t="shared" ref="DH388:DH422" si="704">IF(AND($S388="SW",$BF388="Long",$E388=DD$2),$P388,"")</f>
        <v/>
      </c>
      <c r="DI388" s="205">
        <f>IF($J388="",#N/A,SUM(DH$4:DH388))</f>
        <v>-0.23863035537359656</v>
      </c>
      <c r="DJ388" s="205">
        <f>IF($J388="",#N/A,SUM(DH$4:DH388,DF$4:DF388,DD$4:DD388))</f>
        <v>5.5585110896548153</v>
      </c>
      <c r="DK388" s="200" t="str">
        <f t="shared" ref="DK388:DK422" si="705">IF(AND($S388="Up",$BF388="Long",$E388=DK$2),$P388,"")</f>
        <v/>
      </c>
      <c r="DL388" s="203">
        <f>IF($J388="",#N/A,SUM(DK$4:DK388))</f>
        <v>-0.84049791589649614</v>
      </c>
      <c r="DM388" s="204" t="str">
        <f t="shared" ref="DM388:DM422" si="706">IF(AND($S388="Dwn",$BF388="Short",$E388=DK$2),$P388,"")</f>
        <v/>
      </c>
      <c r="DN388" s="204">
        <f>IF($J388="",#N/A,SUM(DM$4:DM388))</f>
        <v>1.8657648196498773</v>
      </c>
      <c r="DO388" s="205" t="str">
        <f t="shared" ref="DO388:DO422" si="707">IF(AND($S388="SW",$BF388="Long",$E388=DK$2),$P388,"")</f>
        <v/>
      </c>
      <c r="DP388" s="205">
        <f>IF($J388="",#N/A,SUM(DO$4:DO388))</f>
        <v>3.4887162328793941</v>
      </c>
      <c r="DQ388" s="205">
        <f>IF($J388="",#N/A,SUM(DO$4:DO388,DM$4:DM388,DK$4:DK388))</f>
        <v>4.5139831366327758</v>
      </c>
      <c r="DR388" s="200" t="str">
        <f t="shared" ref="DR388:DR422" si="708">IF(AND($S388="Up",$BF388="Long",$E388=DR$2),$P388,"")</f>
        <v/>
      </c>
      <c r="DS388" s="203">
        <f>IF($J388="",#N/A,SUM(DR$4:DR388))</f>
        <v>-0.55950946427675097</v>
      </c>
      <c r="DT388" s="204" t="str">
        <f t="shared" ref="DT388:DT422" si="709">IF(AND($S388="Dwn",$BF388="Short",$E388=DR$2),$P388,"")</f>
        <v/>
      </c>
      <c r="DU388" s="204">
        <f>IF($J388="",#N/A,SUM(DT$4:DT388))</f>
        <v>-0.20750635820596686</v>
      </c>
      <c r="DV388" s="205" t="str">
        <f t="shared" ref="DV388:DV422" si="710">IF(AND($S388="SW",$BF388="Long",$E388=DR$2),$P388,"")</f>
        <v/>
      </c>
      <c r="DW388" s="205">
        <f>IF($J388="",#N/A,SUM(DV$4:DV388))</f>
        <v>-2.3377035686214001</v>
      </c>
      <c r="DX388" s="205">
        <f>IF($J388="",#N/A,SUM(DV$4:DV388,DT$4:DT388,DR$4:DR388))</f>
        <v>-3.1047193911041169</v>
      </c>
      <c r="DY388" s="200" t="str">
        <f t="shared" ref="DY388:DY422" si="711">IF(AND($S388="Up",$BF388="Long",$E388=DY$2),$P388,"")</f>
        <v/>
      </c>
      <c r="DZ388" s="203">
        <f>IF($J388="",#N/A,SUM(DY$4:DY388))</f>
        <v>-1.4146842415208627</v>
      </c>
      <c r="EA388" s="204" t="str">
        <f t="shared" ref="EA388:EA422" si="712">IF(AND($S388="Dwn",$BF388="Short",$E388=DY$2),$P388,"")</f>
        <v/>
      </c>
      <c r="EB388" s="204">
        <f>IF($J388="",#N/A,SUM(EA$4:EA388))</f>
        <v>4.3184391548878134</v>
      </c>
      <c r="EC388" s="205" t="str">
        <f t="shared" ref="EC388:EC422" si="713">IF(AND($S388="SW",$BF388="Long",$E388=DY$2),$P388,"")</f>
        <v/>
      </c>
      <c r="ED388" s="205">
        <f>IF($J388="",#N/A,SUM(EC$4:EC388))</f>
        <v>8.4384553208490907</v>
      </c>
      <c r="EE388" s="205">
        <f>IF($J388="",#N/A,SUM(EC$4:EC388,EA$4:EA388,DY$4:DY388))</f>
        <v>11.342210234216044</v>
      </c>
      <c r="EF388" s="200" t="str">
        <f t="shared" ref="EF388:EF422" si="714">IF(AND($S388="Up",$BF388="Long",$E388=EF$2),$P388,"")</f>
        <v/>
      </c>
      <c r="EG388" s="203">
        <f>IF($J388="",#N/A,SUM(EF$4:EF388))</f>
        <v>0.65848341369884777</v>
      </c>
      <c r="EH388" s="204" t="str">
        <f t="shared" ref="EH388:EH422" si="715">IF(AND($S388="Dwn",$BF388="Short",$E388=EF$2),$P388,"")</f>
        <v/>
      </c>
      <c r="EI388" s="204">
        <f>IF($J388="",#N/A,SUM(EH$4:EH388))</f>
        <v>-3.5125331561187787</v>
      </c>
      <c r="EJ388" s="205" t="str">
        <f t="shared" ref="EJ388:EJ422" si="716">IF(AND($S388="SW",$BF388="Long",$E388=EF$2),$P388,"")</f>
        <v/>
      </c>
      <c r="EK388" s="205">
        <f>IF($J388="",#N/A,SUM(EJ$4:EJ388))</f>
        <v>11.820135611943035</v>
      </c>
      <c r="EL388" s="205">
        <f>IF($J388="",#N/A,SUM(EJ$4:EJ388,EH$4:EH388,EF$4:EF388))</f>
        <v>8.9660858695231074</v>
      </c>
      <c r="EM388" s="200" t="str">
        <f t="shared" ref="EM388:EM422" si="717">IF(AND($S388="Up",$BF388="Long",$E388=EM$2),$P388,"")</f>
        <v/>
      </c>
      <c r="EN388" s="203">
        <f>IF($J388="",#N/A,SUM(EM$4:EM388))</f>
        <v>0</v>
      </c>
      <c r="EO388" s="204" t="str">
        <f t="shared" ref="EO388:EO422" si="718">IF(AND($S388="Dwn",$BF388="Short",$E388=EM$2),$P388,"")</f>
        <v/>
      </c>
      <c r="EP388" s="204">
        <f>IF($J388="",#N/A,SUM(EO$4:EO388))</f>
        <v>2.4788862078089964</v>
      </c>
      <c r="EQ388" s="205" t="str">
        <f t="shared" ref="EQ388:EQ422" si="719">IF(AND($S388="SW",$BF388="Long",$E388=EM$2),$P388,"")</f>
        <v/>
      </c>
      <c r="ER388" s="205">
        <f>IF($J388="",#N/A,SUM(EQ$4:EQ388))</f>
        <v>1.7856049065476487</v>
      </c>
      <c r="ES388" s="205">
        <f>IF($J388="",#N/A,SUM(EQ$4:EQ388,EO$4:EO388,EM$4:EM388))</f>
        <v>4.2644911143566446</v>
      </c>
      <c r="ET388" s="200" t="str">
        <f t="shared" ref="ET388:ET422" si="720">IF(AND($S388="Up",$BF388="Long",$E388=ET$2),$P388,"")</f>
        <v/>
      </c>
      <c r="EU388" s="203">
        <f>IF($J388="",#N/A,SUM(ET$4:ET388))</f>
        <v>0</v>
      </c>
      <c r="EV388" s="204" t="str">
        <f t="shared" ref="EV388:EV422" si="721">IF(AND($S388="Dwn",$BF388="Short",$E388=ET$2),$P388,"")</f>
        <v/>
      </c>
      <c r="EW388" s="204">
        <f>IF($J388="",#N/A,SUM(EV$4:EV388))</f>
        <v>7.9116394275462909E-2</v>
      </c>
      <c r="EX388" s="205" t="str">
        <f t="shared" ref="EX388:EX422" si="722">IF(AND($S388="SW",$BF388="Long",$E388=ET$2),$P388,"")</f>
        <v/>
      </c>
      <c r="EY388" s="205">
        <f>IF($J388="",#N/A,SUM(EX$4:EX388))</f>
        <v>0.62848633887309935</v>
      </c>
      <c r="EZ388" s="205">
        <f>IF($J388="",#N/A,SUM(EX$4:EX388,EV$4:EV388,ET$4:ET388))</f>
        <v>0.70760273314856192</v>
      </c>
      <c r="FA388" s="200" t="str">
        <f t="shared" ref="FA388:FA422" si="723">IF(AND($S388="Up",$BF388="Long",$E388=FA$2),$P388,"")</f>
        <v/>
      </c>
      <c r="FB388" s="203">
        <f>IF($J388="",#N/A,SUM(FA$4:FA388))</f>
        <v>-0.27145310509113252</v>
      </c>
      <c r="FC388" s="204" t="str">
        <f t="shared" ref="FC388:FC422" si="724">IF(AND($S388="Dwn",$BF388="Short",$E388=FA$2),$P388,"")</f>
        <v/>
      </c>
      <c r="FD388" s="204">
        <f>IF($J388="",#N/A,SUM(FC$4:FC388))</f>
        <v>0.89084290967454072</v>
      </c>
      <c r="FE388" s="205" t="str">
        <f t="shared" ref="FE388:FE422" si="725">IF(AND($S388="SW",$BF388="Long",$E388=FA$2),$P388,"")</f>
        <v/>
      </c>
      <c r="FF388" s="205">
        <f>IF($J388="",#N/A,SUM(FE$4:FE388))</f>
        <v>-0.28811149078748233</v>
      </c>
      <c r="FG388" s="205">
        <f>IF($J388="",#N/A,SUM(FE$4:FE388,FC$4:FC388,FA$4:FA388))</f>
        <v>0.3312783137959262</v>
      </c>
      <c r="FH388" s="200" t="str">
        <f t="shared" ref="FH388:FH422" si="726">IF(AND($S388="Up",$BF388="Long",$E388=FH$2),$P388,"")</f>
        <v/>
      </c>
      <c r="FI388" s="203">
        <f>IF($J388="",#N/A,SUM(FH$4:FH388))</f>
        <v>0</v>
      </c>
      <c r="FJ388" s="204" t="str">
        <f t="shared" ref="FJ388:FJ422" si="727">IF(AND($S388="Dwn",$BF388="Short",$E388=FH$2),$P388,"")</f>
        <v/>
      </c>
      <c r="FK388" s="204">
        <f>IF($J388="",#N/A,SUM(FJ$4:FJ388))</f>
        <v>0</v>
      </c>
      <c r="FL388" s="205" t="str">
        <f t="shared" ref="FL388:FL422" si="728">IF(AND($S388="SW",$BF388="Long",$E388=FH$2),$P388,"")</f>
        <v/>
      </c>
      <c r="FM388" s="205">
        <f>IF($J388="",#N/A,SUM(FL$4:FL388))</f>
        <v>0</v>
      </c>
      <c r="FN388" s="205">
        <f>IF($J388="",#N/A,SUM(FL$4:FL388,FJ$4:FJ388,FH$4:FH388))</f>
        <v>0</v>
      </c>
      <c r="FO388" s="200" t="str">
        <f t="shared" ref="FO388:FO422" si="729">IF(AND($S388="Up",$BF388="Long",$E388=FO$2),$P388,"")</f>
        <v/>
      </c>
      <c r="FP388" s="203">
        <f>IF($J388="",#N/A,SUM(FO$4:FO388))</f>
        <v>0</v>
      </c>
      <c r="FQ388" s="204" t="str">
        <f t="shared" ref="FQ388:FQ422" si="730">IF(AND($S388="Dwn",$BF388="Short",$E388=FO$2),$P388,"")</f>
        <v/>
      </c>
      <c r="FR388" s="204">
        <f>IF($J388="",#N/A,SUM(FQ$4:FQ388))</f>
        <v>0</v>
      </c>
      <c r="FS388" s="205" t="str">
        <f t="shared" ref="FS388:FS422" si="731">IF(AND($S388="SW",$BF388="Long",$E388=FO$2),$P388,"")</f>
        <v/>
      </c>
      <c r="FT388" s="205">
        <f>IF($J388="",#N/A,SUM(FS$4:FS388))</f>
        <v>0</v>
      </c>
      <c r="FU388" s="205">
        <f>IF($J388="",#N/A,SUM(FS$4:FS388,FQ$4:FQ388,FO$4:FO388))</f>
        <v>0</v>
      </c>
      <c r="FV388" s="200" t="str">
        <f t="shared" ref="FV388:FV422" si="732">IF(AND($S388="Up",$BF388="Long",$E388=FV$2),$P388,"")</f>
        <v/>
      </c>
      <c r="FW388" s="203">
        <f>IF($J388="",#N/A,SUM(FV$4:FV388))</f>
        <v>6.6834991831277585E-2</v>
      </c>
      <c r="FX388" s="204" t="str">
        <f t="shared" ref="FX388:FX422" si="733">IF(AND($S388="Dwn",$BF388="Short",$E388=FV$2),$P388,"")</f>
        <v/>
      </c>
      <c r="FY388" s="204">
        <f>IF($J388="",#N/A,SUM(FX$4:FX388))</f>
        <v>-0.16102012791805576</v>
      </c>
      <c r="FZ388" s="205" t="str">
        <f t="shared" ref="FZ388:FZ422" si="734">IF(AND($S388="SW",$BF388="Long",$E388=FV$2),$P388,"")</f>
        <v/>
      </c>
      <c r="GA388" s="205">
        <f>IF($J388="",#N/A,SUM(FZ$4:FZ388))</f>
        <v>-0.69624339162892301</v>
      </c>
      <c r="GB388" s="205">
        <f>IF($J388="",#N/A,SUM(FZ$4:FZ388,FX$4:FX388,FV$4:FV388))</f>
        <v>-0.79042852771570116</v>
      </c>
      <c r="GC388" s="200" t="str">
        <f t="shared" ref="GC388:GC422" si="735">IF(AND($S388="Up",$BF388="Long",$E388=GC$2),$P388,"")</f>
        <v/>
      </c>
      <c r="GD388" s="203">
        <f>IF($J388="",#N/A,SUM(GC$4:GC388))</f>
        <v>0</v>
      </c>
      <c r="GE388" s="204" t="str">
        <f t="shared" ref="GE388:GE422" si="736">IF(AND($S388="Dwn",$BF388="Short",$E388=GC$2),$P388,"")</f>
        <v/>
      </c>
      <c r="GF388" s="204">
        <f>IF($J388="",#N/A,SUM(GE$4:GE388))</f>
        <v>0</v>
      </c>
      <c r="GG388" s="205" t="str">
        <f t="shared" ref="GG388:GG422" si="737">IF(AND($S388="SW",$BF388="Long",$E388=GC$2),$P388,"")</f>
        <v/>
      </c>
      <c r="GH388" s="205">
        <f>IF($J388="",#N/A,SUM(GG$4:GG388))</f>
        <v>-2.9368362277223206</v>
      </c>
      <c r="GI388" s="205">
        <f>IF($J388="",#N/A,SUM(GG$4:GG388,GE$4:GE388,GC$4:GC388))</f>
        <v>-2.9368362277223206</v>
      </c>
      <c r="GJ388" s="200" t="str">
        <f t="shared" ref="GJ388:GJ422" si="738">IF(AND($S388="Up",$BF388="Long",$E388=GJ$2),$P388,"")</f>
        <v/>
      </c>
      <c r="GK388" s="203">
        <f>IF($J388="",#N/A,SUM(GJ$4:GJ388))</f>
        <v>0</v>
      </c>
      <c r="GL388" s="204" t="str">
        <f t="shared" ref="GL388:GL422" si="739">IF(AND($S388="Dwn",$BF388="Short",$E388=GJ$2),$P388,"")</f>
        <v/>
      </c>
      <c r="GM388" s="204">
        <f>IF($J388="",#N/A,SUM(GL$4:GL388))</f>
        <v>-2.0621307233432784</v>
      </c>
      <c r="GN388" s="205" t="str">
        <f t="shared" ref="GN388:GN422" si="740">IF(AND($S388="SW",$BF388="Long",$E388=GJ$2),$P388,"")</f>
        <v/>
      </c>
      <c r="GO388" s="205">
        <f>IF($J388="",#N/A,SUM(GN$4:GN388))</f>
        <v>0</v>
      </c>
      <c r="GP388" s="205">
        <f>IF($J388="",#N/A,SUM(GN$4:GN388,GL$4:GL388,GJ$4:GJ388))</f>
        <v>-2.0621307233432784</v>
      </c>
      <c r="GS388" s="54">
        <f t="shared" si="650"/>
        <v>-0.16867611252896775</v>
      </c>
      <c r="GT388" s="54">
        <f>IF(GS388="",NA(),SUM($GS$4:GS388))</f>
        <v>10.23405956435111</v>
      </c>
      <c r="GU388" s="54" t="str">
        <f t="shared" ref="GU388:GU422" si="741">IF(AND($S388="Up",$BF388="Long",$D388="Y"),$GS388,"")</f>
        <v/>
      </c>
      <c r="GV388" s="54" t="e">
        <f>IF(GU388="",NA(),SUM($GU$4:GU388))</f>
        <v>#N/A</v>
      </c>
      <c r="GW388" s="54">
        <f t="shared" ref="GW388:GW422" si="742">IF(AND($S388="SW",$BF388="Long",$D388="Y"),$GS388,"")</f>
        <v>-0.16867611252896775</v>
      </c>
      <c r="GX388" s="54">
        <f>IF(GW388="",NA(),SUM($GW$4:GW388))</f>
        <v>6.6241444586508003</v>
      </c>
      <c r="GY388" s="54" t="str">
        <f t="shared" ref="GY388:GY422" si="743">IF(AND($S388="Dwn",$BF388="Short",$D388="Y"),$GS388,"")</f>
        <v/>
      </c>
      <c r="GZ388" s="54" t="e">
        <f>IF(GY388="",NA(),SUM($GY$4:GY388))</f>
        <v>#N/A</v>
      </c>
      <c r="HA388" s="54" t="str">
        <f t="shared" ref="HA388:HA422" si="744">IF($J388="","",IF($D388="N",$P388,""))</f>
        <v/>
      </c>
      <c r="HB388" s="54" t="e">
        <f>IF(HA388="",NA(),SUM($HA$4:HA388))</f>
        <v>#N/A</v>
      </c>
      <c r="HC388" s="54" t="str">
        <f t="shared" ref="HC388:HC422" si="745">IF(AND($S388="Up",$BF388="Long",$D388="N"),$HA388,"")</f>
        <v/>
      </c>
      <c r="HD388" s="54" t="e">
        <f>IF(HC388="",NA(),SUM($HC$4:HC388))</f>
        <v>#N/A</v>
      </c>
      <c r="HE388" s="54" t="str">
        <f t="shared" ref="HE388:HE422" si="746">IF(AND($S388="SW",$BF388="Long",$D388="N"),$HA388,"")</f>
        <v/>
      </c>
      <c r="HF388" s="54" t="e">
        <f>IF(HE388="",NA(),SUM($HE$4:HE388))</f>
        <v>#N/A</v>
      </c>
      <c r="HG388" s="54" t="str">
        <f t="shared" ref="HG388:HG422" si="747">IF(AND($S388="Dwn",$BF388="Short",$D388="N"),$HA388,"")</f>
        <v/>
      </c>
      <c r="HH388" s="54" t="e">
        <f>IF(HG388="",NA(),SUM($HG$4:HG388))</f>
        <v>#N/A</v>
      </c>
      <c r="HI388" s="172" t="str">
        <f t="shared" si="651"/>
        <v/>
      </c>
      <c r="HJ388" s="172">
        <f>IF($J388="",#N/A,SUM(HI$4:$HI388))</f>
        <v>-11.384655655360691</v>
      </c>
      <c r="HK388" s="54" t="str">
        <f t="shared" ref="HK388:HK422" si="748">IF($AC388="","",IF(AND($S388="Dwn",$K388&gt;0),$HU388-$P388,""))</f>
        <v/>
      </c>
      <c r="HL388" s="54">
        <f>IF($J388="",#N/A,SUM($HK$4:HK388))</f>
        <v>7.4780353515533324</v>
      </c>
      <c r="HM388" s="54" t="str">
        <f t="shared" ref="HM388:HM422" si="749">IF($AC388="","",IF(AND($S388="Up",$K388&gt;0),$HU388-$P388,""))</f>
        <v/>
      </c>
      <c r="HN388" s="54">
        <f>IF($J388="",#N/A,SUM($HM$4:HM388))</f>
        <v>-1.0806776566755429</v>
      </c>
      <c r="HO388" s="54" t="str">
        <f t="shared" ref="HO388:HO422" si="750">IF($AC388="","",IF(AND($S388="Up",$K388&lt;0),$HU388-$P388,""))</f>
        <v/>
      </c>
      <c r="HP388" s="54">
        <f>IF($J388="",#N/A,SUM($HO$4:HO388))</f>
        <v>-0.26668580414118226</v>
      </c>
      <c r="HQ388" s="54" t="str">
        <f t="shared" ref="HQ388:HQ422" si="751">IF($AC388="","",IF(AND($S388="SW",$K388&gt;0),$HU388-$P388,""))</f>
        <v/>
      </c>
      <c r="HR388" s="54">
        <f>IF($J388="",#N/A,SUM($HQ$4:HQ388))</f>
        <v>-14.031884296467537</v>
      </c>
      <c r="HS388" s="54">
        <f t="shared" ref="HS388:HS422" si="752">IF($AC388="","",IF(AND($S388="SW",$K388&lt;0),$HU388-$P388,""))</f>
        <v>-0.1774766053565664</v>
      </c>
      <c r="HT388" s="54">
        <f>IF($J388="",#N/A,SUM($HS$4:HS388))</f>
        <v>15.587049555979263</v>
      </c>
      <c r="HU388" s="65">
        <f t="shared" ref="HU388:HU422" si="753">IF(OR($Y388="",$AC388=""),"",IF($BF388="Long",(($AC388*$Y388)-$X388)/($X388*0.06),($X388-($AC388*$Y388))/($X388*0.06)))</f>
        <v>-0.34615271788553414</v>
      </c>
      <c r="HV388" s="65">
        <f>IF($J388="",#N/A,SUM(HU$4:$HU388))</f>
        <v>10.506317130350261</v>
      </c>
    </row>
    <row r="389" spans="1:230" x14ac:dyDescent="0.25">
      <c r="A389" s="51" t="s">
        <v>1120</v>
      </c>
      <c r="B389" s="52" t="s">
        <v>5549</v>
      </c>
      <c r="C389" s="229">
        <f t="shared" si="654"/>
        <v>2</v>
      </c>
      <c r="D389" s="219" t="str">
        <f>_xlfn.XLOOKUP(A389,[1]SP500!$A$2:$A$502,[1]SP500!$D$2:$D$502,"N")</f>
        <v>Y</v>
      </c>
      <c r="E389" s="51" t="str">
        <f>IFERROR(_xlfn.XLOOKUP(A389,[1]SP500!$A$2:$A$655,[1]SP500!$B$2:$B$655),"")</f>
        <v>XLK</v>
      </c>
      <c r="F389" s="290">
        <v>45806</v>
      </c>
      <c r="G389" s="51" t="str">
        <f t="shared" si="655"/>
        <v>AMC</v>
      </c>
      <c r="H389" s="51" t="str">
        <f t="shared" si="656"/>
        <v>s</v>
      </c>
      <c r="I389" s="344">
        <v>99.21</v>
      </c>
      <c r="J389" s="124">
        <v>94.5</v>
      </c>
      <c r="K389" s="55">
        <f t="shared" si="657"/>
        <v>-4.7475052918052554E-2</v>
      </c>
      <c r="L389" s="67">
        <f t="shared" si="658"/>
        <v>65.939999999999827</v>
      </c>
      <c r="M389" s="57">
        <f t="shared" si="659"/>
        <v>-4.4800000000000182</v>
      </c>
      <c r="N389" s="102">
        <f t="shared" si="660"/>
        <v>65.939999999999827</v>
      </c>
      <c r="O389" s="57">
        <f>IF(N389="",#N/A,SUM($N$4:N389))</f>
        <v>730.04607492035723</v>
      </c>
      <c r="P389" s="65">
        <f t="shared" ref="P389:P422" si="754">IF(OR($Y389="",L389=""),"",IF($BF389="Long",(($J389*$Y389)-$X389)/(X389*0.06),($X389-($J389*$Y389))/(X389*0.06)))</f>
        <v>0.79125088196754167</v>
      </c>
      <c r="Q389" s="172">
        <f>IF($N389="",#N/A,SUM($P$4:P389))</f>
        <v>15.492559973297709</v>
      </c>
      <c r="R389" s="279">
        <f t="shared" si="661"/>
        <v>9.558326089548034</v>
      </c>
      <c r="S389" s="51" t="str">
        <f t="shared" si="662"/>
        <v>Dwn</v>
      </c>
      <c r="T389" s="51" t="s">
        <v>4462</v>
      </c>
      <c r="U389" s="56">
        <f t="shared" si="663"/>
        <v>99.21</v>
      </c>
      <c r="V389" s="56" t="s">
        <v>4458</v>
      </c>
      <c r="W389" s="142">
        <v>14</v>
      </c>
      <c r="X389" s="145">
        <f t="shared" si="664"/>
        <v>1388.9399999999998</v>
      </c>
      <c r="Y389" s="140">
        <f t="shared" si="665"/>
        <v>14</v>
      </c>
      <c r="Z389" s="141">
        <v>94.82</v>
      </c>
      <c r="AA389" s="102">
        <f t="shared" si="666"/>
        <v>61.459999999999809</v>
      </c>
      <c r="AB389" s="102">
        <f t="shared" si="667"/>
        <v>65.939999999999827</v>
      </c>
      <c r="AC389" s="123">
        <v>94.5</v>
      </c>
      <c r="AD389" s="155">
        <f t="shared" si="668"/>
        <v>65.939999999999827</v>
      </c>
      <c r="AE389" s="545">
        <f t="shared" si="669"/>
        <v>0.79125088196754167</v>
      </c>
      <c r="AF389" s="57">
        <f>IF($AC389="",#N/A,SUM(AD$4:AD389))</f>
        <v>658.45996410331531</v>
      </c>
      <c r="AG389" s="102">
        <f t="shared" si="670"/>
        <v>0</v>
      </c>
      <c r="AH389" s="56" t="s">
        <v>2507</v>
      </c>
      <c r="AI389" s="65">
        <f t="shared" si="671"/>
        <v>0.73749286026274019</v>
      </c>
      <c r="AJ389" s="108">
        <f>IF(AI389="",#N/A,SUM($AI$4:AI389))</f>
        <v>5.9342338837496751</v>
      </c>
      <c r="AK389" s="57">
        <f t="shared" si="672"/>
        <v>61.459999999999809</v>
      </c>
      <c r="AL389" s="66">
        <f>IF(AI389="",#N/A,IF(AH389="Skip",SUM($AK$4:AK389),SUM($AK$4:AK389)))</f>
        <v>53.832369278482474</v>
      </c>
      <c r="AM389" s="65">
        <f t="shared" ref="AM389:AM422" si="755">IF(OR($Y389="",$L389=""),"",IF($BF389="Long",(($AC389*$Y389)-$X389)/($X389*0.06),($X389-($AC389*$Y389))/($X389*0.06)))</f>
        <v>0.79125088196754167</v>
      </c>
      <c r="AN389" s="209"/>
      <c r="AO389" s="65" t="str">
        <f t="shared" si="673"/>
        <v/>
      </c>
      <c r="AP389" s="65">
        <f>IF($AC389="",#N/A,SUM(AO$4:AO389))</f>
        <v>12.701553742088571</v>
      </c>
      <c r="AQ389" s="65" t="str">
        <f t="shared" si="674"/>
        <v/>
      </c>
      <c r="AR389" s="65">
        <f>IF($AC389="",#N/A,SUM(AQ$4:AQ389))</f>
        <v>-8.5442123483768615</v>
      </c>
      <c r="AS389" s="65">
        <f t="shared" si="675"/>
        <v>0.79125088196754167</v>
      </c>
      <c r="AT389" s="65">
        <f>IF($AC389="",#N/A,SUM(AS$4:AS389))</f>
        <v>7.1402266186060874</v>
      </c>
      <c r="AU389" s="57" t="str">
        <f t="shared" si="647"/>
        <v/>
      </c>
      <c r="AV389" s="57">
        <f>IF($AC389="",#N/A,SUM(AU$4:AU389))</f>
        <v>759.36383890574689</v>
      </c>
      <c r="AW389" s="57" t="str">
        <f t="shared" si="648"/>
        <v/>
      </c>
      <c r="AX389" s="57">
        <f>IF($AC389="",#N/A,SUM(AW$4:AW389))</f>
        <v>-635.20106797961103</v>
      </c>
      <c r="AY389" s="57">
        <f t="shared" si="649"/>
        <v>65.939999999999827</v>
      </c>
      <c r="AZ389" s="57">
        <f>IF($AC389="",#N/A,SUM(AY$4:AY389))</f>
        <v>534.29719317717934</v>
      </c>
      <c r="BA389" s="57">
        <f>IF(AD389="",#N/A,SUM($AD$4:AD389))</f>
        <v>658.45996410331531</v>
      </c>
      <c r="BC389" s="51" t="str">
        <f t="shared" si="676"/>
        <v/>
      </c>
      <c r="BD389" s="51" t="str">
        <f t="shared" si="677"/>
        <v/>
      </c>
      <c r="BE389" s="51" t="str">
        <f t="shared" si="678"/>
        <v/>
      </c>
      <c r="BF389" s="51" t="str">
        <f t="shared" si="679"/>
        <v>Short</v>
      </c>
      <c r="BG389" s="51">
        <f t="shared" si="680"/>
        <v>1</v>
      </c>
      <c r="BH389" s="51" t="str">
        <f t="shared" si="681"/>
        <v/>
      </c>
      <c r="BI389" s="51" t="str">
        <f t="shared" si="682"/>
        <v/>
      </c>
      <c r="BK389" s="65">
        <f t="shared" si="653"/>
        <v>-4.0479434706860357E-2</v>
      </c>
      <c r="BL389" s="65">
        <f t="shared" si="652"/>
        <v>5.3012904910134967E-2</v>
      </c>
      <c r="BM389" s="65">
        <f>IFERROR(Q389/COUNTA($J$4:J389),#N/A)</f>
        <v>4.0136165733931889E-2</v>
      </c>
      <c r="BO389" s="489" t="e">
        <f>IF(J389="",#N/A,IF(S389="SW",(COUNTIFS(K$4:$K389,"&gt;0",S$4:$S389,"SW")/COUNTIF(S$4:$S389,"SW")),#N/A))</f>
        <v>#N/A</v>
      </c>
      <c r="BP389" s="489">
        <f>IF($J389="",#N/A,IF($S389="DWN",(COUNTIFS($K$4:$K389,"&lt;0",$S$4:$S389,"DWN")/COUNTIF($S$4:$S389,"DWN")),#N/A))</f>
        <v>0.55900621118012417</v>
      </c>
      <c r="BQ389" s="489" t="e">
        <f>IF($J389="",#N/A,IF($S389="UP",(COUNTIFS($K$4:$K389,"&gt;0",$S$4:$S389,"UP")/COUNTIF($S$4:$S389,"UP")),#N/A))</f>
        <v>#N/A</v>
      </c>
      <c r="BR389" s="489">
        <f>IF(J389="",#N/A,COUNTIF($K$4:K389,"&gt;0")/COUNT($J$4:J389))</f>
        <v>0.47150259067357514</v>
      </c>
      <c r="BS389" s="65" t="str">
        <f t="shared" si="683"/>
        <v/>
      </c>
      <c r="BT389" s="65" t="str">
        <f t="shared" si="684"/>
        <v/>
      </c>
      <c r="BU389" s="65">
        <f t="shared" si="685"/>
        <v>0.79125088196754167</v>
      </c>
      <c r="BV389" s="65" t="str">
        <f t="shared" si="686"/>
        <v/>
      </c>
      <c r="BW389" s="128" t="str">
        <f t="shared" si="687"/>
        <v/>
      </c>
      <c r="BX389" s="128">
        <f>IF($J389="",#N/A,SUM($BW$4:BW389))</f>
        <v>-529.09817034792877</v>
      </c>
      <c r="BY389" s="131">
        <f t="shared" si="688"/>
        <v>65.939999999999827</v>
      </c>
      <c r="BZ389" s="131">
        <f>IF($J389="",#N/A,SUM($BY$4:BY389))</f>
        <v>582.30161346139425</v>
      </c>
      <c r="CA389" s="133" t="str">
        <f t="shared" si="689"/>
        <v/>
      </c>
      <c r="CB389" s="133">
        <f>IF($J389="",#N/A,SUM($CA$4:CA389))</f>
        <v>676.84263180689152</v>
      </c>
      <c r="CC389" s="194" t="str">
        <f t="shared" si="690"/>
        <v/>
      </c>
      <c r="CD389" s="194">
        <f>IF($J389="",#N/A,SUM($CC$4:CC389))</f>
        <v>-7.1968488875601349</v>
      </c>
      <c r="CE389" s="195">
        <f t="shared" si="691"/>
        <v>0.79125088196754167</v>
      </c>
      <c r="CF389" s="195">
        <f>IF($J389="",#N/A,SUM($CE$4:CE389))</f>
        <v>11.046846922413456</v>
      </c>
      <c r="CG389" s="196" t="str">
        <f t="shared" si="692"/>
        <v/>
      </c>
      <c r="CH389" s="196">
        <f>IF($J389="",#N/A,SUM($CG$4:CG389))</f>
        <v>11.6425619384444</v>
      </c>
      <c r="CI389" s="200" t="str">
        <f t="shared" si="693"/>
        <v/>
      </c>
      <c r="CJ389" s="203">
        <f>IF($J389="",#N/A,SUM(CI$4:CI389))</f>
        <v>0</v>
      </c>
      <c r="CK389" s="204">
        <f t="shared" si="694"/>
        <v>0.79125088196754167</v>
      </c>
      <c r="CL389" s="204">
        <f>IF($J389="",#N/A,SUM(CK$4:CK389))</f>
        <v>2.0825010564889137</v>
      </c>
      <c r="CM389" s="205" t="str">
        <f t="shared" si="695"/>
        <v/>
      </c>
      <c r="CN389" s="205">
        <f>IF($J389="",#N/A,SUM(CM$4:CM389))</f>
        <v>-0.88558254952057891</v>
      </c>
      <c r="CO389" s="205">
        <f>IF($J389="",#N/A,SUM(CM$4:CM389,CK$4:CK389,CI$4:CI389))</f>
        <v>1.1969185069683352</v>
      </c>
      <c r="CP389" s="200" t="str">
        <f t="shared" si="696"/>
        <v/>
      </c>
      <c r="CQ389" s="203">
        <f>IF($J389="",#N/A,SUM(CP$4:CP389))</f>
        <v>-3.6116753136693021</v>
      </c>
      <c r="CR389" s="204" t="str">
        <f t="shared" si="697"/>
        <v/>
      </c>
      <c r="CS389" s="204">
        <f>IF($J389="",#N/A,SUM(CR$4:CR389))</f>
        <v>2.3600225017004668</v>
      </c>
      <c r="CT389" s="205" t="str">
        <f t="shared" si="698"/>
        <v/>
      </c>
      <c r="CU389" s="205">
        <f>IF($J389="",#N/A,SUM(CT$4:CT389))</f>
        <v>-2.3212047812302816</v>
      </c>
      <c r="CV389" s="205">
        <f>IF($J389="",#N/A,SUM(CT$4:CT389,CR$4:CR389,CP$4:CP389))</f>
        <v>-3.5728575931991173</v>
      </c>
      <c r="CW389" s="200" t="str">
        <f t="shared" si="699"/>
        <v/>
      </c>
      <c r="CX389" s="203">
        <f>IF($J389="",#N/A,SUM(CW$4:CW389))</f>
        <v>-3.3082659491100586</v>
      </c>
      <c r="CY389" s="204" t="str">
        <f t="shared" si="700"/>
        <v/>
      </c>
      <c r="CZ389" s="204">
        <f>IF($J389="",#N/A,SUM(CY$4:CY389))</f>
        <v>-2.4332142608051761</v>
      </c>
      <c r="DA389" s="205" t="str">
        <f t="shared" si="701"/>
        <v/>
      </c>
      <c r="DB389" s="205">
        <f>IF($J389="",#N/A,SUM(DA$4:DA389))</f>
        <v>-3.1478574410966269</v>
      </c>
      <c r="DC389" s="205">
        <f>IF($J389="",#N/A,SUM(DA$4:DA389,CY$4:CY389,CW$4:CW389))</f>
        <v>-8.8893376510118625</v>
      </c>
      <c r="DD389" s="200" t="str">
        <f t="shared" si="702"/>
        <v/>
      </c>
      <c r="DE389" s="203">
        <f>IF($J389="",#N/A,SUM(DD$4:DD389))</f>
        <v>1.6161029218801881</v>
      </c>
      <c r="DF389" s="204" t="str">
        <f t="shared" si="703"/>
        <v/>
      </c>
      <c r="DG389" s="204">
        <f>IF($J389="",#N/A,SUM(DF$4:DF389))</f>
        <v>4.1810385231482243</v>
      </c>
      <c r="DH389" s="205" t="str">
        <f t="shared" si="704"/>
        <v/>
      </c>
      <c r="DI389" s="205">
        <f>IF($J389="",#N/A,SUM(DH$4:DH389))</f>
        <v>-0.23863035537359656</v>
      </c>
      <c r="DJ389" s="205">
        <f>IF($J389="",#N/A,SUM(DH$4:DH389,DF$4:DF389,DD$4:DD389))</f>
        <v>5.5585110896548153</v>
      </c>
      <c r="DK389" s="200" t="str">
        <f t="shared" si="705"/>
        <v/>
      </c>
      <c r="DL389" s="203">
        <f>IF($J389="",#N/A,SUM(DK$4:DK389))</f>
        <v>-0.84049791589649614</v>
      </c>
      <c r="DM389" s="204" t="str">
        <f t="shared" si="706"/>
        <v/>
      </c>
      <c r="DN389" s="204">
        <f>IF($J389="",#N/A,SUM(DM$4:DM389))</f>
        <v>1.8657648196498773</v>
      </c>
      <c r="DO389" s="205" t="str">
        <f t="shared" si="707"/>
        <v/>
      </c>
      <c r="DP389" s="205">
        <f>IF($J389="",#N/A,SUM(DO$4:DO389))</f>
        <v>3.4887162328793941</v>
      </c>
      <c r="DQ389" s="205">
        <f>IF($J389="",#N/A,SUM(DO$4:DO389,DM$4:DM389,DK$4:DK389))</f>
        <v>4.5139831366327758</v>
      </c>
      <c r="DR389" s="200" t="str">
        <f t="shared" si="708"/>
        <v/>
      </c>
      <c r="DS389" s="203">
        <f>IF($J389="",#N/A,SUM(DR$4:DR389))</f>
        <v>-0.55950946427675097</v>
      </c>
      <c r="DT389" s="204" t="str">
        <f t="shared" si="709"/>
        <v/>
      </c>
      <c r="DU389" s="204">
        <f>IF($J389="",#N/A,SUM(DT$4:DT389))</f>
        <v>-0.20750635820596686</v>
      </c>
      <c r="DV389" s="205" t="str">
        <f t="shared" si="710"/>
        <v/>
      </c>
      <c r="DW389" s="205">
        <f>IF($J389="",#N/A,SUM(DV$4:DV389))</f>
        <v>-2.3377035686214001</v>
      </c>
      <c r="DX389" s="205">
        <f>IF($J389="",#N/A,SUM(DV$4:DV389,DT$4:DT389,DR$4:DR389))</f>
        <v>-3.1047193911041169</v>
      </c>
      <c r="DY389" s="200" t="str">
        <f t="shared" si="711"/>
        <v/>
      </c>
      <c r="DZ389" s="203">
        <f>IF($J389="",#N/A,SUM(DY$4:DY389))</f>
        <v>-1.4146842415208627</v>
      </c>
      <c r="EA389" s="204" t="str">
        <f t="shared" si="712"/>
        <v/>
      </c>
      <c r="EB389" s="204">
        <f>IF($J389="",#N/A,SUM(EA$4:EA389))</f>
        <v>4.3184391548878134</v>
      </c>
      <c r="EC389" s="205" t="str">
        <f t="shared" si="713"/>
        <v/>
      </c>
      <c r="ED389" s="205">
        <f>IF($J389="",#N/A,SUM(EC$4:EC389))</f>
        <v>8.4384553208490907</v>
      </c>
      <c r="EE389" s="205">
        <f>IF($J389="",#N/A,SUM(EC$4:EC389,EA$4:EA389,DY$4:DY389))</f>
        <v>11.342210234216044</v>
      </c>
      <c r="EF389" s="200" t="str">
        <f t="shared" si="714"/>
        <v/>
      </c>
      <c r="EG389" s="203">
        <f>IF($J389="",#N/A,SUM(EF$4:EF389))</f>
        <v>0.65848341369884777</v>
      </c>
      <c r="EH389" s="204" t="str">
        <f t="shared" si="715"/>
        <v/>
      </c>
      <c r="EI389" s="204">
        <f>IF($J389="",#N/A,SUM(EH$4:EH389))</f>
        <v>-3.5125331561187787</v>
      </c>
      <c r="EJ389" s="205" t="str">
        <f t="shared" si="716"/>
        <v/>
      </c>
      <c r="EK389" s="205">
        <f>IF($J389="",#N/A,SUM(EJ$4:EJ389))</f>
        <v>11.820135611943035</v>
      </c>
      <c r="EL389" s="205">
        <f>IF($J389="",#N/A,SUM(EJ$4:EJ389,EH$4:EH389,EF$4:EF389))</f>
        <v>8.9660858695231074</v>
      </c>
      <c r="EM389" s="200" t="str">
        <f t="shared" si="717"/>
        <v/>
      </c>
      <c r="EN389" s="203">
        <f>IF($J389="",#N/A,SUM(EM$4:EM389))</f>
        <v>0</v>
      </c>
      <c r="EO389" s="204" t="str">
        <f t="shared" si="718"/>
        <v/>
      </c>
      <c r="EP389" s="204">
        <f>IF($J389="",#N/A,SUM(EO$4:EO389))</f>
        <v>2.4788862078089964</v>
      </c>
      <c r="EQ389" s="205" t="str">
        <f t="shared" si="719"/>
        <v/>
      </c>
      <c r="ER389" s="205">
        <f>IF($J389="",#N/A,SUM(EQ$4:EQ389))</f>
        <v>1.7856049065476487</v>
      </c>
      <c r="ES389" s="205">
        <f>IF($J389="",#N/A,SUM(EQ$4:EQ389,EO$4:EO389,EM$4:EM389))</f>
        <v>4.2644911143566446</v>
      </c>
      <c r="ET389" s="200" t="str">
        <f t="shared" si="720"/>
        <v/>
      </c>
      <c r="EU389" s="203">
        <f>IF($J389="",#N/A,SUM(ET$4:ET389))</f>
        <v>0</v>
      </c>
      <c r="EV389" s="204" t="str">
        <f t="shared" si="721"/>
        <v/>
      </c>
      <c r="EW389" s="204">
        <f>IF($J389="",#N/A,SUM(EV$4:EV389))</f>
        <v>7.9116394275462909E-2</v>
      </c>
      <c r="EX389" s="205" t="str">
        <f t="shared" si="722"/>
        <v/>
      </c>
      <c r="EY389" s="205">
        <f>IF($J389="",#N/A,SUM(EX$4:EX389))</f>
        <v>0.62848633887309935</v>
      </c>
      <c r="EZ389" s="205">
        <f>IF($J389="",#N/A,SUM(EX$4:EX389,EV$4:EV389,ET$4:ET389))</f>
        <v>0.70760273314856192</v>
      </c>
      <c r="FA389" s="200" t="str">
        <f t="shared" si="723"/>
        <v/>
      </c>
      <c r="FB389" s="203">
        <f>IF($J389="",#N/A,SUM(FA$4:FA389))</f>
        <v>-0.27145310509113252</v>
      </c>
      <c r="FC389" s="204" t="str">
        <f t="shared" si="724"/>
        <v/>
      </c>
      <c r="FD389" s="204">
        <f>IF($J389="",#N/A,SUM(FC$4:FC389))</f>
        <v>0.89084290967454072</v>
      </c>
      <c r="FE389" s="205" t="str">
        <f t="shared" si="725"/>
        <v/>
      </c>
      <c r="FF389" s="205">
        <f>IF($J389="",#N/A,SUM(FE$4:FE389))</f>
        <v>-0.28811149078748233</v>
      </c>
      <c r="FG389" s="205">
        <f>IF($J389="",#N/A,SUM(FE$4:FE389,FC$4:FC389,FA$4:FA389))</f>
        <v>0.3312783137959262</v>
      </c>
      <c r="FH389" s="200" t="str">
        <f t="shared" si="726"/>
        <v/>
      </c>
      <c r="FI389" s="203">
        <f>IF($J389="",#N/A,SUM(FH$4:FH389))</f>
        <v>0</v>
      </c>
      <c r="FJ389" s="204" t="str">
        <f t="shared" si="727"/>
        <v/>
      </c>
      <c r="FK389" s="204">
        <f>IF($J389="",#N/A,SUM(FJ$4:FJ389))</f>
        <v>0</v>
      </c>
      <c r="FL389" s="205" t="str">
        <f t="shared" si="728"/>
        <v/>
      </c>
      <c r="FM389" s="205">
        <f>IF($J389="",#N/A,SUM(FL$4:FL389))</f>
        <v>0</v>
      </c>
      <c r="FN389" s="205">
        <f>IF($J389="",#N/A,SUM(FL$4:FL389,FJ$4:FJ389,FH$4:FH389))</f>
        <v>0</v>
      </c>
      <c r="FO389" s="200" t="str">
        <f t="shared" si="729"/>
        <v/>
      </c>
      <c r="FP389" s="203">
        <f>IF($J389="",#N/A,SUM(FO$4:FO389))</f>
        <v>0</v>
      </c>
      <c r="FQ389" s="204" t="str">
        <f t="shared" si="730"/>
        <v/>
      </c>
      <c r="FR389" s="204">
        <f>IF($J389="",#N/A,SUM(FQ$4:FQ389))</f>
        <v>0</v>
      </c>
      <c r="FS389" s="205" t="str">
        <f t="shared" si="731"/>
        <v/>
      </c>
      <c r="FT389" s="205">
        <f>IF($J389="",#N/A,SUM(FS$4:FS389))</f>
        <v>0</v>
      </c>
      <c r="FU389" s="205">
        <f>IF($J389="",#N/A,SUM(FS$4:FS389,FQ$4:FQ389,FO$4:FO389))</f>
        <v>0</v>
      </c>
      <c r="FV389" s="200" t="str">
        <f t="shared" si="732"/>
        <v/>
      </c>
      <c r="FW389" s="203">
        <f>IF($J389="",#N/A,SUM(FV$4:FV389))</f>
        <v>6.6834991831277585E-2</v>
      </c>
      <c r="FX389" s="204" t="str">
        <f t="shared" si="733"/>
        <v/>
      </c>
      <c r="FY389" s="204">
        <f>IF($J389="",#N/A,SUM(FX$4:FX389))</f>
        <v>-0.16102012791805576</v>
      </c>
      <c r="FZ389" s="205" t="str">
        <f t="shared" si="734"/>
        <v/>
      </c>
      <c r="GA389" s="205">
        <f>IF($J389="",#N/A,SUM(FZ$4:FZ389))</f>
        <v>-0.69624339162892301</v>
      </c>
      <c r="GB389" s="205">
        <f>IF($J389="",#N/A,SUM(FZ$4:FZ389,FX$4:FX389,FV$4:FV389))</f>
        <v>-0.79042852771570116</v>
      </c>
      <c r="GC389" s="200" t="str">
        <f t="shared" si="735"/>
        <v/>
      </c>
      <c r="GD389" s="203">
        <f>IF($J389="",#N/A,SUM(GC$4:GC389))</f>
        <v>0</v>
      </c>
      <c r="GE389" s="204" t="str">
        <f t="shared" si="736"/>
        <v/>
      </c>
      <c r="GF389" s="204">
        <f>IF($J389="",#N/A,SUM(GE$4:GE389))</f>
        <v>0</v>
      </c>
      <c r="GG389" s="205" t="str">
        <f t="shared" si="737"/>
        <v/>
      </c>
      <c r="GH389" s="205">
        <f>IF($J389="",#N/A,SUM(GG$4:GG389))</f>
        <v>-2.9368362277223206</v>
      </c>
      <c r="GI389" s="205">
        <f>IF($J389="",#N/A,SUM(GG$4:GG389,GE$4:GE389,GC$4:GC389))</f>
        <v>-2.9368362277223206</v>
      </c>
      <c r="GJ389" s="200" t="str">
        <f t="shared" si="738"/>
        <v/>
      </c>
      <c r="GK389" s="203">
        <f>IF($J389="",#N/A,SUM(GJ$4:GJ389))</f>
        <v>0</v>
      </c>
      <c r="GL389" s="204" t="str">
        <f t="shared" si="739"/>
        <v/>
      </c>
      <c r="GM389" s="204">
        <f>IF($J389="",#N/A,SUM(GL$4:GL389))</f>
        <v>-2.0621307233432784</v>
      </c>
      <c r="GN389" s="205" t="str">
        <f t="shared" si="740"/>
        <v/>
      </c>
      <c r="GO389" s="205">
        <f>IF($J389="",#N/A,SUM(GN$4:GN389))</f>
        <v>0</v>
      </c>
      <c r="GP389" s="205">
        <f>IF($J389="",#N/A,SUM(GN$4:GN389,GL$4:GL389,GJ$4:GJ389))</f>
        <v>-2.0621307233432784</v>
      </c>
      <c r="GS389" s="54">
        <f t="shared" si="650"/>
        <v>0.79125088196754167</v>
      </c>
      <c r="GT389" s="54">
        <f>IF(GS389="",NA(),SUM($GS$4:GS389))</f>
        <v>11.025310446318652</v>
      </c>
      <c r="GU389" s="54" t="str">
        <f t="shared" si="741"/>
        <v/>
      </c>
      <c r="GV389" s="54" t="e">
        <f>IF(GU389="",NA(),SUM($GU$4:GU389))</f>
        <v>#N/A</v>
      </c>
      <c r="GW389" s="54" t="str">
        <f t="shared" si="742"/>
        <v/>
      </c>
      <c r="GX389" s="54" t="e">
        <f>IF(GW389="",NA(),SUM($GW$4:GW389))</f>
        <v>#N/A</v>
      </c>
      <c r="GY389" s="54">
        <f t="shared" si="743"/>
        <v>0.79125088196754167</v>
      </c>
      <c r="GZ389" s="54">
        <f>IF(GY389="",NA(),SUM($GY$4:GY389))</f>
        <v>10.753201390245557</v>
      </c>
      <c r="HA389" s="54" t="str">
        <f t="shared" si="744"/>
        <v/>
      </c>
      <c r="HB389" s="54" t="e">
        <f>IF(HA389="",NA(),SUM($HA$4:HA389))</f>
        <v>#N/A</v>
      </c>
      <c r="HC389" s="54" t="str">
        <f t="shared" si="745"/>
        <v/>
      </c>
      <c r="HD389" s="54" t="e">
        <f>IF(HC389="",NA(),SUM($HC$4:HC389))</f>
        <v>#N/A</v>
      </c>
      <c r="HE389" s="54" t="str">
        <f t="shared" si="746"/>
        <v/>
      </c>
      <c r="HF389" s="54" t="e">
        <f>IF(HE389="",NA(),SUM($HE$4:HE389))</f>
        <v>#N/A</v>
      </c>
      <c r="HG389" s="54" t="str">
        <f t="shared" si="747"/>
        <v/>
      </c>
      <c r="HH389" s="54" t="e">
        <f>IF(HG389="",NA(),SUM($HG$4:HG389))</f>
        <v>#N/A</v>
      </c>
      <c r="HI389" s="172">
        <f t="shared" si="651"/>
        <v>0</v>
      </c>
      <c r="HJ389" s="172">
        <f>IF($J389="",#N/A,SUM(HI$4:$HI389))</f>
        <v>-11.384655655360691</v>
      </c>
      <c r="HK389" s="54" t="str">
        <f t="shared" si="748"/>
        <v/>
      </c>
      <c r="HL389" s="54">
        <f>IF($J389="",#N/A,SUM($HK$4:HK389))</f>
        <v>7.4780353515533324</v>
      </c>
      <c r="HM389" s="54" t="str">
        <f t="shared" si="749"/>
        <v/>
      </c>
      <c r="HN389" s="54">
        <f>IF($J389="",#N/A,SUM($HM$4:HM389))</f>
        <v>-1.0806776566755429</v>
      </c>
      <c r="HO389" s="54" t="str">
        <f t="shared" si="750"/>
        <v/>
      </c>
      <c r="HP389" s="54">
        <f>IF($J389="",#N/A,SUM($HO$4:HO389))</f>
        <v>-0.26668580414118226</v>
      </c>
      <c r="HQ389" s="54" t="str">
        <f t="shared" si="751"/>
        <v/>
      </c>
      <c r="HR389" s="54">
        <f>IF($J389="",#N/A,SUM($HQ$4:HQ389))</f>
        <v>-14.031884296467537</v>
      </c>
      <c r="HS389" s="54" t="str">
        <f t="shared" si="752"/>
        <v/>
      </c>
      <c r="HT389" s="54">
        <f>IF($J389="",#N/A,SUM($HS$4:HS389))</f>
        <v>15.587049555979263</v>
      </c>
      <c r="HU389" s="65">
        <f t="shared" si="753"/>
        <v>0.79125088196754167</v>
      </c>
      <c r="HV389" s="65">
        <f>IF($J389="",#N/A,SUM(HU$4:$HU389))</f>
        <v>11.297568012317804</v>
      </c>
    </row>
    <row r="390" spans="1:230" x14ac:dyDescent="0.25">
      <c r="A390" s="51" t="s">
        <v>2584</v>
      </c>
      <c r="B390" s="52" t="s">
        <v>5549</v>
      </c>
      <c r="C390" s="229">
        <f t="shared" si="654"/>
        <v>3</v>
      </c>
      <c r="D390" s="219" t="str">
        <f>_xlfn.XLOOKUP(A390,[1]SP500!$A$2:$A$502,[1]SP500!$D$2:$D$502,"N")</f>
        <v>N</v>
      </c>
      <c r="E390" s="51" t="str">
        <f>IFERROR(_xlfn.XLOOKUP(A390,[1]SP500!$A$2:$A$655,[1]SP500!$B$2:$B$655),"")</f>
        <v>IGV</v>
      </c>
      <c r="F390" s="290">
        <v>45806</v>
      </c>
      <c r="G390" s="51" t="str">
        <f t="shared" si="655"/>
        <v>AMC</v>
      </c>
      <c r="H390" s="51" t="str">
        <f t="shared" si="656"/>
        <v>s</v>
      </c>
      <c r="I390" s="344">
        <v>92.03</v>
      </c>
      <c r="J390" s="123">
        <v>77.83</v>
      </c>
      <c r="K390" s="55">
        <f t="shared" si="657"/>
        <v>-0.15429751168097364</v>
      </c>
      <c r="L390" s="67">
        <f t="shared" si="658"/>
        <v>-213</v>
      </c>
      <c r="M390" s="57">
        <f t="shared" si="659"/>
        <v>-12.450000000000045</v>
      </c>
      <c r="N390" s="102">
        <f t="shared" si="660"/>
        <v>-213</v>
      </c>
      <c r="O390" s="57">
        <f>IF(N390="",#N/A,SUM($N$4:N390))</f>
        <v>517.04607492035723</v>
      </c>
      <c r="P390" s="65">
        <f t="shared" si="754"/>
        <v>-2.5716251946828934</v>
      </c>
      <c r="Q390" s="172">
        <f>IF($N390="",#N/A,SUM($P$4:P390))</f>
        <v>12.920934778614816</v>
      </c>
      <c r="R390" s="279">
        <f t="shared" si="661"/>
        <v>9.7086393931809081</v>
      </c>
      <c r="S390" s="51" t="str">
        <f t="shared" si="662"/>
        <v>SW</v>
      </c>
      <c r="T390" s="51" t="s">
        <v>2828</v>
      </c>
      <c r="U390" s="56">
        <f t="shared" si="663"/>
        <v>92.03</v>
      </c>
      <c r="V390" s="56" t="s">
        <v>4460</v>
      </c>
      <c r="W390" s="142">
        <v>15</v>
      </c>
      <c r="X390" s="145">
        <f t="shared" si="664"/>
        <v>1380.45</v>
      </c>
      <c r="Y390" s="140">
        <f t="shared" si="665"/>
        <v>15</v>
      </c>
      <c r="Z390" s="141">
        <v>77</v>
      </c>
      <c r="AA390" s="102">
        <f t="shared" si="666"/>
        <v>-225.45000000000005</v>
      </c>
      <c r="AB390" s="102">
        <f t="shared" si="667"/>
        <v>-167.39999999999986</v>
      </c>
      <c r="AC390" s="124">
        <v>80.87</v>
      </c>
      <c r="AD390" s="155">
        <f t="shared" si="668"/>
        <v>-167.39999999999986</v>
      </c>
      <c r="AE390" s="545">
        <f t="shared" si="669"/>
        <v>-2.0210800825817654</v>
      </c>
      <c r="AF390" s="57">
        <f>IF($AC390="",#N/A,SUM(AD$4:AD390))</f>
        <v>491.05996410331545</v>
      </c>
      <c r="AG390" s="102">
        <f t="shared" si="670"/>
        <v>45.600000000000136</v>
      </c>
      <c r="AH390" s="56" t="s">
        <v>2507</v>
      </c>
      <c r="AI390" s="65">
        <f t="shared" si="671"/>
        <v>-2.7219384983157671</v>
      </c>
      <c r="AJ390" s="108">
        <f>IF(AI390="",#N/A,SUM($AI$4:AI390))</f>
        <v>3.212295385433908</v>
      </c>
      <c r="AK390" s="57">
        <f t="shared" si="672"/>
        <v>-225.45000000000005</v>
      </c>
      <c r="AL390" s="66">
        <f>IF(AI390="",#N/A,IF(AH390="Skip",SUM($AK$4:AK390),SUM($AK$4:AK390)))</f>
        <v>-171.61763072151757</v>
      </c>
      <c r="AM390" s="65">
        <f t="shared" si="755"/>
        <v>-2.0210800825817654</v>
      </c>
      <c r="AN390" s="209"/>
      <c r="AO390" s="65">
        <f t="shared" si="673"/>
        <v>-2.0210800825817654</v>
      </c>
      <c r="AP390" s="65">
        <f>IF($AC390="",#N/A,SUM(AO$4:AO390))</f>
        <v>10.680473659506806</v>
      </c>
      <c r="AQ390" s="65" t="str">
        <f t="shared" si="674"/>
        <v/>
      </c>
      <c r="AR390" s="65">
        <f>IF($AC390="",#N/A,SUM(AQ$4:AQ390))</f>
        <v>-8.5442123483768615</v>
      </c>
      <c r="AS390" s="65" t="str">
        <f t="shared" si="675"/>
        <v/>
      </c>
      <c r="AT390" s="65">
        <f>IF($AC390="",#N/A,SUM(AS$4:AS390))</f>
        <v>7.1402266186060874</v>
      </c>
      <c r="AU390" s="57">
        <f t="shared" ref="AU390:AU422" si="756">IF(AND(S390="SW",BF390="Long"),$AD390,"")</f>
        <v>-167.39999999999986</v>
      </c>
      <c r="AV390" s="57">
        <f>IF($AC390="",#N/A,SUM(AU$4:AU390))</f>
        <v>591.96383890574702</v>
      </c>
      <c r="AW390" s="57" t="str">
        <f t="shared" ref="AW390:AW422" si="757">IF(AND(S390="UP",BF390="Long"),$AD390,"")</f>
        <v/>
      </c>
      <c r="AX390" s="57">
        <f>IF($AC390="",#N/A,SUM(AW$4:AW390))</f>
        <v>-635.20106797961103</v>
      </c>
      <c r="AY390" s="57" t="str">
        <f t="shared" ref="AY390:AY422" si="758">IF(AND(S390="Dwn",BF390="Short"),$AD390,"")</f>
        <v/>
      </c>
      <c r="AZ390" s="57">
        <f>IF($AC390="",#N/A,SUM(AY$4:AY390))</f>
        <v>534.29719317717934</v>
      </c>
      <c r="BA390" s="57">
        <f>IF(AD390="",#N/A,SUM($AD$4:AD390))</f>
        <v>491.05996410331545</v>
      </c>
      <c r="BC390" s="51" t="str">
        <f t="shared" si="676"/>
        <v/>
      </c>
      <c r="BD390" s="51" t="str">
        <f t="shared" si="677"/>
        <v/>
      </c>
      <c r="BE390" s="51" t="str">
        <f t="shared" si="678"/>
        <v/>
      </c>
      <c r="BF390" s="51" t="str">
        <f t="shared" si="679"/>
        <v>Long</v>
      </c>
      <c r="BG390" s="51" t="str">
        <f t="shared" si="680"/>
        <v/>
      </c>
      <c r="BH390" s="51" t="str">
        <f t="shared" si="681"/>
        <v/>
      </c>
      <c r="BI390" s="51">
        <f t="shared" si="682"/>
        <v>1</v>
      </c>
      <c r="BK390" s="65">
        <f t="shared" si="653"/>
        <v>-0.13275677752228024</v>
      </c>
      <c r="BL390" s="65">
        <f t="shared" si="652"/>
        <v>-0.12213615163181771</v>
      </c>
      <c r="BM390" s="65">
        <f>IFERROR(Q390/COUNTA($J$4:J390),#N/A)</f>
        <v>3.3387428368513737E-2</v>
      </c>
      <c r="BO390" s="489">
        <f>IF(J390="",#N/A,IF(S390="SW",(COUNTIFS(K$4:$K390,"&gt;0",S$4:$S390,"SW")/COUNTIF(S$4:$S390,"SW")),#N/A))</f>
        <v>0.49735449735449733</v>
      </c>
      <c r="BP390" s="489" t="e">
        <f>IF($J390="",#N/A,IF($S390="DWN",(COUNTIFS($K$4:$K390,"&lt;0",$S$4:$S390,"DWN")/COUNTIF($S$4:$S390,"DWN")),#N/A))</f>
        <v>#N/A</v>
      </c>
      <c r="BQ390" s="489" t="e">
        <f>IF($J390="",#N/A,IF($S390="UP",(COUNTIFS($K$4:$K390,"&gt;0",$S$4:$S390,"UP")/COUNTIF($S$4:$S390,"UP")),#N/A))</f>
        <v>#N/A</v>
      </c>
      <c r="BR390" s="489">
        <f>IF(J390="",#N/A,COUNTIF($K$4:K390,"&gt;0")/COUNT($J$4:J390))</f>
        <v>0.47028423772609818</v>
      </c>
      <c r="BS390" s="65" t="str">
        <f t="shared" si="683"/>
        <v/>
      </c>
      <c r="BT390" s="65">
        <f t="shared" si="684"/>
        <v>-2.5716251946828934</v>
      </c>
      <c r="BU390" s="65" t="str">
        <f t="shared" si="685"/>
        <v/>
      </c>
      <c r="BV390" s="65" t="str">
        <f t="shared" si="686"/>
        <v/>
      </c>
      <c r="BW390" s="128" t="str">
        <f t="shared" si="687"/>
        <v/>
      </c>
      <c r="BX390" s="128">
        <f>IF($J390="",#N/A,SUM($BW$4:BW390))</f>
        <v>-529.09817034792877</v>
      </c>
      <c r="BY390" s="131" t="str">
        <f t="shared" si="688"/>
        <v/>
      </c>
      <c r="BZ390" s="131">
        <f>IF($J390="",#N/A,SUM($BY$4:BY390))</f>
        <v>582.30161346139425</v>
      </c>
      <c r="CA390" s="133">
        <f t="shared" si="689"/>
        <v>-213</v>
      </c>
      <c r="CB390" s="133">
        <f>IF($J390="",#N/A,SUM($CA$4:CA390))</f>
        <v>463.84263180689152</v>
      </c>
      <c r="CC390" s="194" t="str">
        <f t="shared" si="690"/>
        <v/>
      </c>
      <c r="CD390" s="194">
        <f>IF($J390="",#N/A,SUM($CC$4:CC390))</f>
        <v>-7.1968488875601349</v>
      </c>
      <c r="CE390" s="195" t="str">
        <f t="shared" si="691"/>
        <v/>
      </c>
      <c r="CF390" s="195">
        <f>IF($J390="",#N/A,SUM($CE$4:CE390))</f>
        <v>11.046846922413456</v>
      </c>
      <c r="CG390" s="196">
        <f t="shared" si="692"/>
        <v>-2.5716251946828934</v>
      </c>
      <c r="CH390" s="196">
        <f>IF($J390="",#N/A,SUM($CG$4:CG390))</f>
        <v>9.0709367437615072</v>
      </c>
      <c r="CI390" s="200" t="str">
        <f t="shared" si="693"/>
        <v/>
      </c>
      <c r="CJ390" s="203">
        <f>IF($J390="",#N/A,SUM(CI$4:CI390))</f>
        <v>0</v>
      </c>
      <c r="CK390" s="204" t="str">
        <f t="shared" si="694"/>
        <v/>
      </c>
      <c r="CL390" s="204">
        <f>IF($J390="",#N/A,SUM(CK$4:CK390))</f>
        <v>2.0825010564889137</v>
      </c>
      <c r="CM390" s="205" t="str">
        <f t="shared" si="695"/>
        <v/>
      </c>
      <c r="CN390" s="205">
        <f>IF($J390="",#N/A,SUM(CM$4:CM390))</f>
        <v>-0.88558254952057891</v>
      </c>
      <c r="CO390" s="205">
        <f>IF($J390="",#N/A,SUM(CM$4:CM390,CK$4:CK390,CI$4:CI390))</f>
        <v>1.1969185069683352</v>
      </c>
      <c r="CP390" s="200" t="str">
        <f t="shared" si="696"/>
        <v/>
      </c>
      <c r="CQ390" s="203">
        <f>IF($J390="",#N/A,SUM(CP$4:CP390))</f>
        <v>-3.6116753136693021</v>
      </c>
      <c r="CR390" s="204" t="str">
        <f t="shared" si="697"/>
        <v/>
      </c>
      <c r="CS390" s="204">
        <f>IF($J390="",#N/A,SUM(CR$4:CR390))</f>
        <v>2.3600225017004668</v>
      </c>
      <c r="CT390" s="205">
        <f t="shared" si="698"/>
        <v>-2.5716251946828934</v>
      </c>
      <c r="CU390" s="205">
        <f>IF($J390="",#N/A,SUM(CT$4:CT390))</f>
        <v>-4.892829975913175</v>
      </c>
      <c r="CV390" s="205">
        <f>IF($J390="",#N/A,SUM(CT$4:CT390,CR$4:CR390,CP$4:CP390))</f>
        <v>-6.1444827878820112</v>
      </c>
      <c r="CW390" s="200" t="str">
        <f t="shared" si="699"/>
        <v/>
      </c>
      <c r="CX390" s="203">
        <f>IF($J390="",#N/A,SUM(CW$4:CW390))</f>
        <v>-3.3082659491100586</v>
      </c>
      <c r="CY390" s="204" t="str">
        <f t="shared" si="700"/>
        <v/>
      </c>
      <c r="CZ390" s="204">
        <f>IF($J390="",#N/A,SUM(CY$4:CY390))</f>
        <v>-2.4332142608051761</v>
      </c>
      <c r="DA390" s="205" t="str">
        <f t="shared" si="701"/>
        <v/>
      </c>
      <c r="DB390" s="205">
        <f>IF($J390="",#N/A,SUM(DA$4:DA390))</f>
        <v>-3.1478574410966269</v>
      </c>
      <c r="DC390" s="205">
        <f>IF($J390="",#N/A,SUM(DA$4:DA390,CY$4:CY390,CW$4:CW390))</f>
        <v>-8.8893376510118625</v>
      </c>
      <c r="DD390" s="200" t="str">
        <f t="shared" si="702"/>
        <v/>
      </c>
      <c r="DE390" s="203">
        <f>IF($J390="",#N/A,SUM(DD$4:DD390))</f>
        <v>1.6161029218801881</v>
      </c>
      <c r="DF390" s="204" t="str">
        <f t="shared" si="703"/>
        <v/>
      </c>
      <c r="DG390" s="204">
        <f>IF($J390="",#N/A,SUM(DF$4:DF390))</f>
        <v>4.1810385231482243</v>
      </c>
      <c r="DH390" s="205" t="str">
        <f t="shared" si="704"/>
        <v/>
      </c>
      <c r="DI390" s="205">
        <f>IF($J390="",#N/A,SUM(DH$4:DH390))</f>
        <v>-0.23863035537359656</v>
      </c>
      <c r="DJ390" s="205">
        <f>IF($J390="",#N/A,SUM(DH$4:DH390,DF$4:DF390,DD$4:DD390))</f>
        <v>5.5585110896548153</v>
      </c>
      <c r="DK390" s="200" t="str">
        <f t="shared" si="705"/>
        <v/>
      </c>
      <c r="DL390" s="203">
        <f>IF($J390="",#N/A,SUM(DK$4:DK390))</f>
        <v>-0.84049791589649614</v>
      </c>
      <c r="DM390" s="204" t="str">
        <f t="shared" si="706"/>
        <v/>
      </c>
      <c r="DN390" s="204">
        <f>IF($J390="",#N/A,SUM(DM$4:DM390))</f>
        <v>1.8657648196498773</v>
      </c>
      <c r="DO390" s="205" t="str">
        <f t="shared" si="707"/>
        <v/>
      </c>
      <c r="DP390" s="205">
        <f>IF($J390="",#N/A,SUM(DO$4:DO390))</f>
        <v>3.4887162328793941</v>
      </c>
      <c r="DQ390" s="205">
        <f>IF($J390="",#N/A,SUM(DO$4:DO390,DM$4:DM390,DK$4:DK390))</f>
        <v>4.5139831366327758</v>
      </c>
      <c r="DR390" s="200" t="str">
        <f t="shared" si="708"/>
        <v/>
      </c>
      <c r="DS390" s="203">
        <f>IF($J390="",#N/A,SUM(DR$4:DR390))</f>
        <v>-0.55950946427675097</v>
      </c>
      <c r="DT390" s="204" t="str">
        <f t="shared" si="709"/>
        <v/>
      </c>
      <c r="DU390" s="204">
        <f>IF($J390="",#N/A,SUM(DT$4:DT390))</f>
        <v>-0.20750635820596686</v>
      </c>
      <c r="DV390" s="205" t="str">
        <f t="shared" si="710"/>
        <v/>
      </c>
      <c r="DW390" s="205">
        <f>IF($J390="",#N/A,SUM(DV$4:DV390))</f>
        <v>-2.3377035686214001</v>
      </c>
      <c r="DX390" s="205">
        <f>IF($J390="",#N/A,SUM(DV$4:DV390,DT$4:DT390,DR$4:DR390))</f>
        <v>-3.1047193911041169</v>
      </c>
      <c r="DY390" s="200" t="str">
        <f t="shared" si="711"/>
        <v/>
      </c>
      <c r="DZ390" s="203">
        <f>IF($J390="",#N/A,SUM(DY$4:DY390))</f>
        <v>-1.4146842415208627</v>
      </c>
      <c r="EA390" s="204" t="str">
        <f t="shared" si="712"/>
        <v/>
      </c>
      <c r="EB390" s="204">
        <f>IF($J390="",#N/A,SUM(EA$4:EA390))</f>
        <v>4.3184391548878134</v>
      </c>
      <c r="EC390" s="205" t="str">
        <f t="shared" si="713"/>
        <v/>
      </c>
      <c r="ED390" s="205">
        <f>IF($J390="",#N/A,SUM(EC$4:EC390))</f>
        <v>8.4384553208490907</v>
      </c>
      <c r="EE390" s="205">
        <f>IF($J390="",#N/A,SUM(EC$4:EC390,EA$4:EA390,DY$4:DY390))</f>
        <v>11.342210234216044</v>
      </c>
      <c r="EF390" s="200" t="str">
        <f t="shared" si="714"/>
        <v/>
      </c>
      <c r="EG390" s="203">
        <f>IF($J390="",#N/A,SUM(EF$4:EF390))</f>
        <v>0.65848341369884777</v>
      </c>
      <c r="EH390" s="204" t="str">
        <f t="shared" si="715"/>
        <v/>
      </c>
      <c r="EI390" s="204">
        <f>IF($J390="",#N/A,SUM(EH$4:EH390))</f>
        <v>-3.5125331561187787</v>
      </c>
      <c r="EJ390" s="205" t="str">
        <f t="shared" si="716"/>
        <v/>
      </c>
      <c r="EK390" s="205">
        <f>IF($J390="",#N/A,SUM(EJ$4:EJ390))</f>
        <v>11.820135611943035</v>
      </c>
      <c r="EL390" s="205">
        <f>IF($J390="",#N/A,SUM(EJ$4:EJ390,EH$4:EH390,EF$4:EF390))</f>
        <v>8.9660858695231074</v>
      </c>
      <c r="EM390" s="200" t="str">
        <f t="shared" si="717"/>
        <v/>
      </c>
      <c r="EN390" s="203">
        <f>IF($J390="",#N/A,SUM(EM$4:EM390))</f>
        <v>0</v>
      </c>
      <c r="EO390" s="204" t="str">
        <f t="shared" si="718"/>
        <v/>
      </c>
      <c r="EP390" s="204">
        <f>IF($J390="",#N/A,SUM(EO$4:EO390))</f>
        <v>2.4788862078089964</v>
      </c>
      <c r="EQ390" s="205" t="str">
        <f t="shared" si="719"/>
        <v/>
      </c>
      <c r="ER390" s="205">
        <f>IF($J390="",#N/A,SUM(EQ$4:EQ390))</f>
        <v>1.7856049065476487</v>
      </c>
      <c r="ES390" s="205">
        <f>IF($J390="",#N/A,SUM(EQ$4:EQ390,EO$4:EO390,EM$4:EM390))</f>
        <v>4.2644911143566446</v>
      </c>
      <c r="ET390" s="200" t="str">
        <f t="shared" si="720"/>
        <v/>
      </c>
      <c r="EU390" s="203">
        <f>IF($J390="",#N/A,SUM(ET$4:ET390))</f>
        <v>0</v>
      </c>
      <c r="EV390" s="204" t="str">
        <f t="shared" si="721"/>
        <v/>
      </c>
      <c r="EW390" s="204">
        <f>IF($J390="",#N/A,SUM(EV$4:EV390))</f>
        <v>7.9116394275462909E-2</v>
      </c>
      <c r="EX390" s="205" t="str">
        <f t="shared" si="722"/>
        <v/>
      </c>
      <c r="EY390" s="205">
        <f>IF($J390="",#N/A,SUM(EX$4:EX390))</f>
        <v>0.62848633887309935</v>
      </c>
      <c r="EZ390" s="205">
        <f>IF($J390="",#N/A,SUM(EX$4:EX390,EV$4:EV390,ET$4:ET390))</f>
        <v>0.70760273314856192</v>
      </c>
      <c r="FA390" s="200" t="str">
        <f t="shared" si="723"/>
        <v/>
      </c>
      <c r="FB390" s="203">
        <f>IF($J390="",#N/A,SUM(FA$4:FA390))</f>
        <v>-0.27145310509113252</v>
      </c>
      <c r="FC390" s="204" t="str">
        <f t="shared" si="724"/>
        <v/>
      </c>
      <c r="FD390" s="204">
        <f>IF($J390="",#N/A,SUM(FC$4:FC390))</f>
        <v>0.89084290967454072</v>
      </c>
      <c r="FE390" s="205" t="str">
        <f t="shared" si="725"/>
        <v/>
      </c>
      <c r="FF390" s="205">
        <f>IF($J390="",#N/A,SUM(FE$4:FE390))</f>
        <v>-0.28811149078748233</v>
      </c>
      <c r="FG390" s="205">
        <f>IF($J390="",#N/A,SUM(FE$4:FE390,FC$4:FC390,FA$4:FA390))</f>
        <v>0.3312783137959262</v>
      </c>
      <c r="FH390" s="200" t="str">
        <f t="shared" si="726"/>
        <v/>
      </c>
      <c r="FI390" s="203">
        <f>IF($J390="",#N/A,SUM(FH$4:FH390))</f>
        <v>0</v>
      </c>
      <c r="FJ390" s="204" t="str">
        <f t="shared" si="727"/>
        <v/>
      </c>
      <c r="FK390" s="204">
        <f>IF($J390="",#N/A,SUM(FJ$4:FJ390))</f>
        <v>0</v>
      </c>
      <c r="FL390" s="205" t="str">
        <f t="shared" si="728"/>
        <v/>
      </c>
      <c r="FM390" s="205">
        <f>IF($J390="",#N/A,SUM(FL$4:FL390))</f>
        <v>0</v>
      </c>
      <c r="FN390" s="205">
        <f>IF($J390="",#N/A,SUM(FL$4:FL390,FJ$4:FJ390,FH$4:FH390))</f>
        <v>0</v>
      </c>
      <c r="FO390" s="200" t="str">
        <f t="shared" si="729"/>
        <v/>
      </c>
      <c r="FP390" s="203">
        <f>IF($J390="",#N/A,SUM(FO$4:FO390))</f>
        <v>0</v>
      </c>
      <c r="FQ390" s="204" t="str">
        <f t="shared" si="730"/>
        <v/>
      </c>
      <c r="FR390" s="204">
        <f>IF($J390="",#N/A,SUM(FQ$4:FQ390))</f>
        <v>0</v>
      </c>
      <c r="FS390" s="205" t="str">
        <f t="shared" si="731"/>
        <v/>
      </c>
      <c r="FT390" s="205">
        <f>IF($J390="",#N/A,SUM(FS$4:FS390))</f>
        <v>0</v>
      </c>
      <c r="FU390" s="205">
        <f>IF($J390="",#N/A,SUM(FS$4:FS390,FQ$4:FQ390,FO$4:FO390))</f>
        <v>0</v>
      </c>
      <c r="FV390" s="200" t="str">
        <f t="shared" si="732"/>
        <v/>
      </c>
      <c r="FW390" s="203">
        <f>IF($J390="",#N/A,SUM(FV$4:FV390))</f>
        <v>6.6834991831277585E-2</v>
      </c>
      <c r="FX390" s="204" t="str">
        <f t="shared" si="733"/>
        <v/>
      </c>
      <c r="FY390" s="204">
        <f>IF($J390="",#N/A,SUM(FX$4:FX390))</f>
        <v>-0.16102012791805576</v>
      </c>
      <c r="FZ390" s="205" t="str">
        <f t="shared" si="734"/>
        <v/>
      </c>
      <c r="GA390" s="205">
        <f>IF($J390="",#N/A,SUM(FZ$4:FZ390))</f>
        <v>-0.69624339162892301</v>
      </c>
      <c r="GB390" s="205">
        <f>IF($J390="",#N/A,SUM(FZ$4:FZ390,FX$4:FX390,FV$4:FV390))</f>
        <v>-0.79042852771570116</v>
      </c>
      <c r="GC390" s="200" t="str">
        <f t="shared" si="735"/>
        <v/>
      </c>
      <c r="GD390" s="203">
        <f>IF($J390="",#N/A,SUM(GC$4:GC390))</f>
        <v>0</v>
      </c>
      <c r="GE390" s="204" t="str">
        <f t="shared" si="736"/>
        <v/>
      </c>
      <c r="GF390" s="204">
        <f>IF($J390="",#N/A,SUM(GE$4:GE390))</f>
        <v>0</v>
      </c>
      <c r="GG390" s="205" t="str">
        <f t="shared" si="737"/>
        <v/>
      </c>
      <c r="GH390" s="205">
        <f>IF($J390="",#N/A,SUM(GG$4:GG390))</f>
        <v>-2.9368362277223206</v>
      </c>
      <c r="GI390" s="205">
        <f>IF($J390="",#N/A,SUM(GG$4:GG390,GE$4:GE390,GC$4:GC390))</f>
        <v>-2.9368362277223206</v>
      </c>
      <c r="GJ390" s="200" t="str">
        <f t="shared" si="738"/>
        <v/>
      </c>
      <c r="GK390" s="203">
        <f>IF($J390="",#N/A,SUM(GJ$4:GJ390))</f>
        <v>0</v>
      </c>
      <c r="GL390" s="204" t="str">
        <f t="shared" si="739"/>
        <v/>
      </c>
      <c r="GM390" s="204">
        <f>IF($J390="",#N/A,SUM(GL$4:GL390))</f>
        <v>-2.0621307233432784</v>
      </c>
      <c r="GN390" s="205" t="str">
        <f t="shared" si="740"/>
        <v/>
      </c>
      <c r="GO390" s="205">
        <f>IF($J390="",#N/A,SUM(GN$4:GN390))</f>
        <v>0</v>
      </c>
      <c r="GP390" s="205">
        <f>IF($J390="",#N/A,SUM(GN$4:GN390,GL$4:GL390,GJ$4:GJ390))</f>
        <v>-2.0621307233432784</v>
      </c>
      <c r="GS390" s="54" t="str">
        <f t="shared" ref="GS390:GS422" si="759">IF(J390="","",IF(D390="Y",P390,""))</f>
        <v/>
      </c>
      <c r="GT390" s="54" t="e">
        <f>IF(GS390="",NA(),SUM($GS$4:GS390))</f>
        <v>#N/A</v>
      </c>
      <c r="GU390" s="54" t="str">
        <f t="shared" si="741"/>
        <v/>
      </c>
      <c r="GV390" s="54" t="e">
        <f>IF(GU390="",NA(),SUM($GU$4:GU390))</f>
        <v>#N/A</v>
      </c>
      <c r="GW390" s="54" t="str">
        <f t="shared" si="742"/>
        <v/>
      </c>
      <c r="GX390" s="54" t="e">
        <f>IF(GW390="",NA(),SUM($GW$4:GW390))</f>
        <v>#N/A</v>
      </c>
      <c r="GY390" s="54" t="str">
        <f t="shared" si="743"/>
        <v/>
      </c>
      <c r="GZ390" s="54" t="e">
        <f>IF(GY390="",NA(),SUM($GY$4:GY390))</f>
        <v>#N/A</v>
      </c>
      <c r="HA390" s="54">
        <f t="shared" si="744"/>
        <v>-2.5716251946828934</v>
      </c>
      <c r="HB390" s="54">
        <f>IF(HA390="",NA(),SUM($HA$4:HA390))</f>
        <v>1.895624332296165</v>
      </c>
      <c r="HC390" s="54" t="str">
        <f t="shared" si="745"/>
        <v/>
      </c>
      <c r="HD390" s="54" t="e">
        <f>IF(HC390="",NA(),SUM($HC$4:HC390))</f>
        <v>#N/A</v>
      </c>
      <c r="HE390" s="54">
        <f t="shared" si="746"/>
        <v>-2.5716251946828934</v>
      </c>
      <c r="HF390" s="54">
        <f>IF(HE390="",NA(),SUM($HE$4:HE390))</f>
        <v>2.4467922851107029</v>
      </c>
      <c r="HG390" s="54" t="str">
        <f t="shared" si="747"/>
        <v/>
      </c>
      <c r="HH390" s="54" t="e">
        <f>IF(HG390="",NA(),SUM($HG$4:HG390))</f>
        <v>#N/A</v>
      </c>
      <c r="HI390" s="172" t="str">
        <f t="shared" ref="HI390:HI422" si="760">IF($AC390="","",IF(AND($S390="Dwn",$K390&lt;0),$HU390-P390,""))</f>
        <v/>
      </c>
      <c r="HJ390" s="172">
        <f>IF($J390="",#N/A,SUM(HI$4:$HI390))</f>
        <v>-11.384655655360691</v>
      </c>
      <c r="HK390" s="54" t="str">
        <f t="shared" si="748"/>
        <v/>
      </c>
      <c r="HL390" s="54">
        <f>IF($J390="",#N/A,SUM($HK$4:HK390))</f>
        <v>7.4780353515533324</v>
      </c>
      <c r="HM390" s="54" t="str">
        <f t="shared" si="749"/>
        <v/>
      </c>
      <c r="HN390" s="54">
        <f>IF($J390="",#N/A,SUM($HM$4:HM390))</f>
        <v>-1.0806776566755429</v>
      </c>
      <c r="HO390" s="54" t="str">
        <f t="shared" si="750"/>
        <v/>
      </c>
      <c r="HP390" s="54">
        <f>IF($J390="",#N/A,SUM($HO$4:HO390))</f>
        <v>-0.26668580414118226</v>
      </c>
      <c r="HQ390" s="54" t="str">
        <f t="shared" si="751"/>
        <v/>
      </c>
      <c r="HR390" s="54">
        <f>IF($J390="",#N/A,SUM($HQ$4:HQ390))</f>
        <v>-14.031884296467537</v>
      </c>
      <c r="HS390" s="54">
        <f t="shared" si="752"/>
        <v>0.550545112101128</v>
      </c>
      <c r="HT390" s="54">
        <f>IF($J390="",#N/A,SUM($HS$4:HS390))</f>
        <v>16.137594668080389</v>
      </c>
      <c r="HU390" s="65">
        <f t="shared" si="753"/>
        <v>-2.0210800825817654</v>
      </c>
      <c r="HV390" s="65">
        <f>IF($J390="",#N/A,SUM(HU$4:$HU390))</f>
        <v>9.2764879297360388</v>
      </c>
    </row>
    <row r="391" spans="1:230" x14ac:dyDescent="0.25">
      <c r="A391" s="51" t="s">
        <v>1166</v>
      </c>
      <c r="B391" s="52" t="s">
        <v>5549</v>
      </c>
      <c r="C391" s="229">
        <f t="shared" si="654"/>
        <v>1</v>
      </c>
      <c r="D391" s="219" t="str">
        <f>_xlfn.XLOOKUP(A391,[1]SP500!$A$2:$A$502,[1]SP500!$D$2:$D$502,"N")</f>
        <v>N</v>
      </c>
      <c r="E391" s="51" t="str">
        <f>IFERROR(_xlfn.XLOOKUP(A391,[1]SP500!$A$2:$A$655,[1]SP500!$B$2:$B$655),"")</f>
        <v>IGV</v>
      </c>
      <c r="F391" s="290">
        <v>45806</v>
      </c>
      <c r="G391" s="51" t="str">
        <f t="shared" si="655"/>
        <v>AMC</v>
      </c>
      <c r="H391" s="51" t="str">
        <f t="shared" si="656"/>
        <v>s</v>
      </c>
      <c r="I391" s="344">
        <v>251.11</v>
      </c>
      <c r="J391" s="124">
        <v>262.83</v>
      </c>
      <c r="K391" s="55">
        <f t="shared" si="657"/>
        <v>4.6672772888375492E-2</v>
      </c>
      <c r="L391" s="67">
        <f t="shared" si="658"/>
        <v>58.599999999999682</v>
      </c>
      <c r="M391" s="57">
        <f t="shared" si="659"/>
        <v>0</v>
      </c>
      <c r="N391" s="102">
        <f t="shared" si="660"/>
        <v>58.599999999999682</v>
      </c>
      <c r="O391" s="57">
        <f>IF(N391="",#N/A,SUM($N$4:N391))</f>
        <v>575.64607492035691</v>
      </c>
      <c r="P391" s="65">
        <f t="shared" si="754"/>
        <v>0.77787954813958915</v>
      </c>
      <c r="Q391" s="172">
        <f>IF($N391="",#N/A,SUM($P$4:P391))</f>
        <v>13.698814326754405</v>
      </c>
      <c r="R391" s="279">
        <f t="shared" si="661"/>
        <v>9.7086393931809081</v>
      </c>
      <c r="S391" s="51" t="str">
        <f t="shared" si="662"/>
        <v>Up</v>
      </c>
      <c r="T391" s="51" t="s">
        <v>4462</v>
      </c>
      <c r="U391" s="56">
        <f t="shared" si="663"/>
        <v>251.11</v>
      </c>
      <c r="V391" s="56" t="s">
        <v>4460</v>
      </c>
      <c r="W391" s="142">
        <v>5</v>
      </c>
      <c r="X391" s="145">
        <f t="shared" si="664"/>
        <v>1255.5500000000002</v>
      </c>
      <c r="Y391" s="140">
        <f t="shared" si="665"/>
        <v>5</v>
      </c>
      <c r="Z391" s="141">
        <v>262.83</v>
      </c>
      <c r="AA391" s="102">
        <f t="shared" si="666"/>
        <v>58.599999999999682</v>
      </c>
      <c r="AB391" s="102">
        <f t="shared" si="667"/>
        <v>122.94999999999982</v>
      </c>
      <c r="AC391" s="124">
        <v>275.7</v>
      </c>
      <c r="AD391" s="155">
        <f t="shared" si="668"/>
        <v>122.94999999999982</v>
      </c>
      <c r="AE391" s="545">
        <f t="shared" si="669"/>
        <v>1.6320868676410045</v>
      </c>
      <c r="AF391" s="57">
        <f>IF($AC391="",#N/A,SUM(AD$4:AD391))</f>
        <v>614.00996410331527</v>
      </c>
      <c r="AG391" s="102">
        <f t="shared" si="670"/>
        <v>64.350000000000136</v>
      </c>
      <c r="AH391" s="56" t="s">
        <v>2507</v>
      </c>
      <c r="AI391" s="65">
        <f t="shared" si="671"/>
        <v>0.77787954813958915</v>
      </c>
      <c r="AJ391" s="108">
        <f>IF(AI391="",#N/A,SUM($AI$4:AI391))</f>
        <v>3.9901749335734973</v>
      </c>
      <c r="AK391" s="57">
        <f t="shared" si="672"/>
        <v>58.599999999999682</v>
      </c>
      <c r="AL391" s="66">
        <f>IF(AI391="",#N/A,IF(AH391="Skip",SUM($AK$4:AK391),SUM($AK$4:AK391)))</f>
        <v>-113.01763072151789</v>
      </c>
      <c r="AM391" s="65">
        <f t="shared" si="755"/>
        <v>1.6320868676410045</v>
      </c>
      <c r="AN391" s="209"/>
      <c r="AO391" s="65" t="str">
        <f t="shared" si="673"/>
        <v/>
      </c>
      <c r="AP391" s="65">
        <f>IF($AC391="",#N/A,SUM(AO$4:AO391))</f>
        <v>10.680473659506806</v>
      </c>
      <c r="AQ391" s="65">
        <f t="shared" si="674"/>
        <v>1.6320868676410045</v>
      </c>
      <c r="AR391" s="65">
        <f>IF($AC391="",#N/A,SUM(AQ$4:AQ391))</f>
        <v>-6.912125480735857</v>
      </c>
      <c r="AS391" s="65" t="str">
        <f t="shared" si="675"/>
        <v/>
      </c>
      <c r="AT391" s="65">
        <f>IF($AC391="",#N/A,SUM(AS$4:AS391))</f>
        <v>7.1402266186060874</v>
      </c>
      <c r="AU391" s="57" t="str">
        <f t="shared" si="756"/>
        <v/>
      </c>
      <c r="AV391" s="57">
        <f>IF($AC391="",#N/A,SUM(AU$4:AU391))</f>
        <v>591.96383890574702</v>
      </c>
      <c r="AW391" s="57">
        <f t="shared" si="757"/>
        <v>122.94999999999982</v>
      </c>
      <c r="AX391" s="57">
        <f>IF($AC391="",#N/A,SUM(AW$4:AW391))</f>
        <v>-512.25106797961121</v>
      </c>
      <c r="AY391" s="57" t="str">
        <f t="shared" si="758"/>
        <v/>
      </c>
      <c r="AZ391" s="57">
        <f>IF($AC391="",#N/A,SUM(AY$4:AY391))</f>
        <v>534.29719317717934</v>
      </c>
      <c r="BA391" s="57">
        <f>IF(AD391="",#N/A,SUM($AD$4:AD391))</f>
        <v>614.00996410331527</v>
      </c>
      <c r="BC391" s="51">
        <f t="shared" si="676"/>
        <v>1</v>
      </c>
      <c r="BD391" s="51" t="str">
        <f t="shared" si="677"/>
        <v/>
      </c>
      <c r="BE391" s="51" t="str">
        <f t="shared" si="678"/>
        <v/>
      </c>
      <c r="BF391" s="51" t="str">
        <f t="shared" si="679"/>
        <v>Long</v>
      </c>
      <c r="BG391" s="51" t="str">
        <f t="shared" si="680"/>
        <v/>
      </c>
      <c r="BH391" s="51" t="str">
        <f t="shared" si="681"/>
        <v/>
      </c>
      <c r="BI391" s="51" t="str">
        <f t="shared" si="682"/>
        <v/>
      </c>
      <c r="BK391" s="65">
        <f t="shared" si="653"/>
        <v>-0.12328222578361406</v>
      </c>
      <c r="BL391" s="65">
        <f t="shared" si="652"/>
        <v>-4.1683800647999191E-3</v>
      </c>
      <c r="BM391" s="65">
        <f>IFERROR(Q391/COUNTA($J$4:J391),#N/A)</f>
        <v>3.5306222491635064E-2</v>
      </c>
      <c r="BO391" s="489" t="e">
        <f>IF(J391="",#N/A,IF(S391="SW",(COUNTIFS(K$4:$K391,"&gt;0",S$4:$S391,"SW")/COUNTIF(S$4:$S391,"SW")),#N/A))</f>
        <v>#N/A</v>
      </c>
      <c r="BP391" s="489" t="e">
        <f>IF($J391="",#N/A,IF($S391="DWN",(COUNTIFS($K$4:$K391,"&lt;0",$S$4:$S391,"DWN")/COUNTIF($S$4:$S391,"DWN")),#N/A))</f>
        <v>#N/A</v>
      </c>
      <c r="BQ391" s="489">
        <f>IF($J391="",#N/A,IF($S391="UP",(COUNTIFS($K$4:$K391,"&gt;0",$S$4:$S391,"UP")/COUNTIF($S$4:$S391,"UP")),#N/A))</f>
        <v>0.47368421052631576</v>
      </c>
      <c r="BR391" s="489">
        <f>IF(J391="",#N/A,COUNTIF($K$4:K391,"&gt;0")/COUNT($J$4:J391))</f>
        <v>0.47164948453608246</v>
      </c>
      <c r="BS391" s="65">
        <f t="shared" si="683"/>
        <v>0.77787954813958915</v>
      </c>
      <c r="BT391" s="65" t="str">
        <f t="shared" si="684"/>
        <v/>
      </c>
      <c r="BU391" s="65" t="str">
        <f t="shared" si="685"/>
        <v/>
      </c>
      <c r="BV391" s="65" t="str">
        <f t="shared" si="686"/>
        <v/>
      </c>
      <c r="BW391" s="128">
        <f t="shared" si="687"/>
        <v>58.599999999999682</v>
      </c>
      <c r="BX391" s="128">
        <f>IF($J391="",#N/A,SUM($BW$4:BW391))</f>
        <v>-470.49817034792909</v>
      </c>
      <c r="BY391" s="131" t="str">
        <f t="shared" si="688"/>
        <v/>
      </c>
      <c r="BZ391" s="131">
        <f>IF($J391="",#N/A,SUM($BY$4:BY391))</f>
        <v>582.30161346139425</v>
      </c>
      <c r="CA391" s="133" t="str">
        <f t="shared" si="689"/>
        <v/>
      </c>
      <c r="CB391" s="133">
        <f>IF($J391="",#N/A,SUM($CA$4:CA391))</f>
        <v>463.84263180689152</v>
      </c>
      <c r="CC391" s="194">
        <f t="shared" si="690"/>
        <v>0.77787954813958915</v>
      </c>
      <c r="CD391" s="194">
        <f>IF($J391="",#N/A,SUM($CC$4:CC391))</f>
        <v>-6.4189693394205456</v>
      </c>
      <c r="CE391" s="195" t="str">
        <f t="shared" si="691"/>
        <v/>
      </c>
      <c r="CF391" s="195">
        <f>IF($J391="",#N/A,SUM($CE$4:CE391))</f>
        <v>11.046846922413456</v>
      </c>
      <c r="CG391" s="196" t="str">
        <f t="shared" si="692"/>
        <v/>
      </c>
      <c r="CH391" s="196">
        <f>IF($J391="",#N/A,SUM($CG$4:CG391))</f>
        <v>9.0709367437615072</v>
      </c>
      <c r="CI391" s="200" t="str">
        <f t="shared" si="693"/>
        <v/>
      </c>
      <c r="CJ391" s="203">
        <f>IF($J391="",#N/A,SUM(CI$4:CI391))</f>
        <v>0</v>
      </c>
      <c r="CK391" s="204" t="str">
        <f t="shared" si="694"/>
        <v/>
      </c>
      <c r="CL391" s="204">
        <f>IF($J391="",#N/A,SUM(CK$4:CK391))</f>
        <v>2.0825010564889137</v>
      </c>
      <c r="CM391" s="205" t="str">
        <f t="shared" si="695"/>
        <v/>
      </c>
      <c r="CN391" s="205">
        <f>IF($J391="",#N/A,SUM(CM$4:CM391))</f>
        <v>-0.88558254952057891</v>
      </c>
      <c r="CO391" s="205">
        <f>IF($J391="",#N/A,SUM(CM$4:CM391,CK$4:CK391,CI$4:CI391))</f>
        <v>1.1969185069683352</v>
      </c>
      <c r="CP391" s="200">
        <f t="shared" si="696"/>
        <v>0.77787954813958915</v>
      </c>
      <c r="CQ391" s="203">
        <f>IF($J391="",#N/A,SUM(CP$4:CP391))</f>
        <v>-2.8337957655297128</v>
      </c>
      <c r="CR391" s="204" t="str">
        <f t="shared" si="697"/>
        <v/>
      </c>
      <c r="CS391" s="204">
        <f>IF($J391="",#N/A,SUM(CR$4:CR391))</f>
        <v>2.3600225017004668</v>
      </c>
      <c r="CT391" s="205" t="str">
        <f t="shared" si="698"/>
        <v/>
      </c>
      <c r="CU391" s="205">
        <f>IF($J391="",#N/A,SUM(CT$4:CT391))</f>
        <v>-4.892829975913175</v>
      </c>
      <c r="CV391" s="205">
        <f>IF($J391="",#N/A,SUM(CT$4:CT391,CR$4:CR391,CP$4:CP391))</f>
        <v>-5.3666032397424219</v>
      </c>
      <c r="CW391" s="200" t="str">
        <f t="shared" si="699"/>
        <v/>
      </c>
      <c r="CX391" s="203">
        <f>IF($J391="",#N/A,SUM(CW$4:CW391))</f>
        <v>-3.3082659491100586</v>
      </c>
      <c r="CY391" s="204" t="str">
        <f t="shared" si="700"/>
        <v/>
      </c>
      <c r="CZ391" s="204">
        <f>IF($J391="",#N/A,SUM(CY$4:CY391))</f>
        <v>-2.4332142608051761</v>
      </c>
      <c r="DA391" s="205" t="str">
        <f t="shared" si="701"/>
        <v/>
      </c>
      <c r="DB391" s="205">
        <f>IF($J391="",#N/A,SUM(DA$4:DA391))</f>
        <v>-3.1478574410966269</v>
      </c>
      <c r="DC391" s="205">
        <f>IF($J391="",#N/A,SUM(DA$4:DA391,CY$4:CY391,CW$4:CW391))</f>
        <v>-8.8893376510118625</v>
      </c>
      <c r="DD391" s="200" t="str">
        <f t="shared" si="702"/>
        <v/>
      </c>
      <c r="DE391" s="203">
        <f>IF($J391="",#N/A,SUM(DD$4:DD391))</f>
        <v>1.6161029218801881</v>
      </c>
      <c r="DF391" s="204" t="str">
        <f t="shared" si="703"/>
        <v/>
      </c>
      <c r="DG391" s="204">
        <f>IF($J391="",#N/A,SUM(DF$4:DF391))</f>
        <v>4.1810385231482243</v>
      </c>
      <c r="DH391" s="205" t="str">
        <f t="shared" si="704"/>
        <v/>
      </c>
      <c r="DI391" s="205">
        <f>IF($J391="",#N/A,SUM(DH$4:DH391))</f>
        <v>-0.23863035537359656</v>
      </c>
      <c r="DJ391" s="205">
        <f>IF($J391="",#N/A,SUM(DH$4:DH391,DF$4:DF391,DD$4:DD391))</f>
        <v>5.5585110896548153</v>
      </c>
      <c r="DK391" s="200" t="str">
        <f t="shared" si="705"/>
        <v/>
      </c>
      <c r="DL391" s="203">
        <f>IF($J391="",#N/A,SUM(DK$4:DK391))</f>
        <v>-0.84049791589649614</v>
      </c>
      <c r="DM391" s="204" t="str">
        <f t="shared" si="706"/>
        <v/>
      </c>
      <c r="DN391" s="204">
        <f>IF($J391="",#N/A,SUM(DM$4:DM391))</f>
        <v>1.8657648196498773</v>
      </c>
      <c r="DO391" s="205" t="str">
        <f t="shared" si="707"/>
        <v/>
      </c>
      <c r="DP391" s="205">
        <f>IF($J391="",#N/A,SUM(DO$4:DO391))</f>
        <v>3.4887162328793941</v>
      </c>
      <c r="DQ391" s="205">
        <f>IF($J391="",#N/A,SUM(DO$4:DO391,DM$4:DM391,DK$4:DK391))</f>
        <v>4.5139831366327758</v>
      </c>
      <c r="DR391" s="200" t="str">
        <f t="shared" si="708"/>
        <v/>
      </c>
      <c r="DS391" s="203">
        <f>IF($J391="",#N/A,SUM(DR$4:DR391))</f>
        <v>-0.55950946427675097</v>
      </c>
      <c r="DT391" s="204" t="str">
        <f t="shared" si="709"/>
        <v/>
      </c>
      <c r="DU391" s="204">
        <f>IF($J391="",#N/A,SUM(DT$4:DT391))</f>
        <v>-0.20750635820596686</v>
      </c>
      <c r="DV391" s="205" t="str">
        <f t="shared" si="710"/>
        <v/>
      </c>
      <c r="DW391" s="205">
        <f>IF($J391="",#N/A,SUM(DV$4:DV391))</f>
        <v>-2.3377035686214001</v>
      </c>
      <c r="DX391" s="205">
        <f>IF($J391="",#N/A,SUM(DV$4:DV391,DT$4:DT391,DR$4:DR391))</f>
        <v>-3.1047193911041169</v>
      </c>
      <c r="DY391" s="200" t="str">
        <f t="shared" si="711"/>
        <v/>
      </c>
      <c r="DZ391" s="203">
        <f>IF($J391="",#N/A,SUM(DY$4:DY391))</f>
        <v>-1.4146842415208627</v>
      </c>
      <c r="EA391" s="204" t="str">
        <f t="shared" si="712"/>
        <v/>
      </c>
      <c r="EB391" s="204">
        <f>IF($J391="",#N/A,SUM(EA$4:EA391))</f>
        <v>4.3184391548878134</v>
      </c>
      <c r="EC391" s="205" t="str">
        <f t="shared" si="713"/>
        <v/>
      </c>
      <c r="ED391" s="205">
        <f>IF($J391="",#N/A,SUM(EC$4:EC391))</f>
        <v>8.4384553208490907</v>
      </c>
      <c r="EE391" s="205">
        <f>IF($J391="",#N/A,SUM(EC$4:EC391,EA$4:EA391,DY$4:DY391))</f>
        <v>11.342210234216044</v>
      </c>
      <c r="EF391" s="200" t="str">
        <f t="shared" si="714"/>
        <v/>
      </c>
      <c r="EG391" s="203">
        <f>IF($J391="",#N/A,SUM(EF$4:EF391))</f>
        <v>0.65848341369884777</v>
      </c>
      <c r="EH391" s="204" t="str">
        <f t="shared" si="715"/>
        <v/>
      </c>
      <c r="EI391" s="204">
        <f>IF($J391="",#N/A,SUM(EH$4:EH391))</f>
        <v>-3.5125331561187787</v>
      </c>
      <c r="EJ391" s="205" t="str">
        <f t="shared" si="716"/>
        <v/>
      </c>
      <c r="EK391" s="205">
        <f>IF($J391="",#N/A,SUM(EJ$4:EJ391))</f>
        <v>11.820135611943035</v>
      </c>
      <c r="EL391" s="205">
        <f>IF($J391="",#N/A,SUM(EJ$4:EJ391,EH$4:EH391,EF$4:EF391))</f>
        <v>8.9660858695231074</v>
      </c>
      <c r="EM391" s="200" t="str">
        <f t="shared" si="717"/>
        <v/>
      </c>
      <c r="EN391" s="203">
        <f>IF($J391="",#N/A,SUM(EM$4:EM391))</f>
        <v>0</v>
      </c>
      <c r="EO391" s="204" t="str">
        <f t="shared" si="718"/>
        <v/>
      </c>
      <c r="EP391" s="204">
        <f>IF($J391="",#N/A,SUM(EO$4:EO391))</f>
        <v>2.4788862078089964</v>
      </c>
      <c r="EQ391" s="205" t="str">
        <f t="shared" si="719"/>
        <v/>
      </c>
      <c r="ER391" s="205">
        <f>IF($J391="",#N/A,SUM(EQ$4:EQ391))</f>
        <v>1.7856049065476487</v>
      </c>
      <c r="ES391" s="205">
        <f>IF($J391="",#N/A,SUM(EQ$4:EQ391,EO$4:EO391,EM$4:EM391))</f>
        <v>4.2644911143566446</v>
      </c>
      <c r="ET391" s="200" t="str">
        <f t="shared" si="720"/>
        <v/>
      </c>
      <c r="EU391" s="203">
        <f>IF($J391="",#N/A,SUM(ET$4:ET391))</f>
        <v>0</v>
      </c>
      <c r="EV391" s="204" t="str">
        <f t="shared" si="721"/>
        <v/>
      </c>
      <c r="EW391" s="204">
        <f>IF($J391="",#N/A,SUM(EV$4:EV391))</f>
        <v>7.9116394275462909E-2</v>
      </c>
      <c r="EX391" s="205" t="str">
        <f t="shared" si="722"/>
        <v/>
      </c>
      <c r="EY391" s="205">
        <f>IF($J391="",#N/A,SUM(EX$4:EX391))</f>
        <v>0.62848633887309935</v>
      </c>
      <c r="EZ391" s="205">
        <f>IF($J391="",#N/A,SUM(EX$4:EX391,EV$4:EV391,ET$4:ET391))</f>
        <v>0.70760273314856192</v>
      </c>
      <c r="FA391" s="200" t="str">
        <f t="shared" si="723"/>
        <v/>
      </c>
      <c r="FB391" s="203">
        <f>IF($J391="",#N/A,SUM(FA$4:FA391))</f>
        <v>-0.27145310509113252</v>
      </c>
      <c r="FC391" s="204" t="str">
        <f t="shared" si="724"/>
        <v/>
      </c>
      <c r="FD391" s="204">
        <f>IF($J391="",#N/A,SUM(FC$4:FC391))</f>
        <v>0.89084290967454072</v>
      </c>
      <c r="FE391" s="205" t="str">
        <f t="shared" si="725"/>
        <v/>
      </c>
      <c r="FF391" s="205">
        <f>IF($J391="",#N/A,SUM(FE$4:FE391))</f>
        <v>-0.28811149078748233</v>
      </c>
      <c r="FG391" s="205">
        <f>IF($J391="",#N/A,SUM(FE$4:FE391,FC$4:FC391,FA$4:FA391))</f>
        <v>0.3312783137959262</v>
      </c>
      <c r="FH391" s="200" t="str">
        <f t="shared" si="726"/>
        <v/>
      </c>
      <c r="FI391" s="203">
        <f>IF($J391="",#N/A,SUM(FH$4:FH391))</f>
        <v>0</v>
      </c>
      <c r="FJ391" s="204" t="str">
        <f t="shared" si="727"/>
        <v/>
      </c>
      <c r="FK391" s="204">
        <f>IF($J391="",#N/A,SUM(FJ$4:FJ391))</f>
        <v>0</v>
      </c>
      <c r="FL391" s="205" t="str">
        <f t="shared" si="728"/>
        <v/>
      </c>
      <c r="FM391" s="205">
        <f>IF($J391="",#N/A,SUM(FL$4:FL391))</f>
        <v>0</v>
      </c>
      <c r="FN391" s="205">
        <f>IF($J391="",#N/A,SUM(FL$4:FL391,FJ$4:FJ391,FH$4:FH391))</f>
        <v>0</v>
      </c>
      <c r="FO391" s="200" t="str">
        <f t="shared" si="729"/>
        <v/>
      </c>
      <c r="FP391" s="203">
        <f>IF($J391="",#N/A,SUM(FO$4:FO391))</f>
        <v>0</v>
      </c>
      <c r="FQ391" s="204" t="str">
        <f t="shared" si="730"/>
        <v/>
      </c>
      <c r="FR391" s="204">
        <f>IF($J391="",#N/A,SUM(FQ$4:FQ391))</f>
        <v>0</v>
      </c>
      <c r="FS391" s="205" t="str">
        <f t="shared" si="731"/>
        <v/>
      </c>
      <c r="FT391" s="205">
        <f>IF($J391="",#N/A,SUM(FS$4:FS391))</f>
        <v>0</v>
      </c>
      <c r="FU391" s="205">
        <f>IF($J391="",#N/A,SUM(FS$4:FS391,FQ$4:FQ391,FO$4:FO391))</f>
        <v>0</v>
      </c>
      <c r="FV391" s="200" t="str">
        <f t="shared" si="732"/>
        <v/>
      </c>
      <c r="FW391" s="203">
        <f>IF($J391="",#N/A,SUM(FV$4:FV391))</f>
        <v>6.6834991831277585E-2</v>
      </c>
      <c r="FX391" s="204" t="str">
        <f t="shared" si="733"/>
        <v/>
      </c>
      <c r="FY391" s="204">
        <f>IF($J391="",#N/A,SUM(FX$4:FX391))</f>
        <v>-0.16102012791805576</v>
      </c>
      <c r="FZ391" s="205" t="str">
        <f t="shared" si="734"/>
        <v/>
      </c>
      <c r="GA391" s="205">
        <f>IF($J391="",#N/A,SUM(FZ$4:FZ391))</f>
        <v>-0.69624339162892301</v>
      </c>
      <c r="GB391" s="205">
        <f>IF($J391="",#N/A,SUM(FZ$4:FZ391,FX$4:FX391,FV$4:FV391))</f>
        <v>-0.79042852771570116</v>
      </c>
      <c r="GC391" s="200" t="str">
        <f t="shared" si="735"/>
        <v/>
      </c>
      <c r="GD391" s="203">
        <f>IF($J391="",#N/A,SUM(GC$4:GC391))</f>
        <v>0</v>
      </c>
      <c r="GE391" s="204" t="str">
        <f t="shared" si="736"/>
        <v/>
      </c>
      <c r="GF391" s="204">
        <f>IF($J391="",#N/A,SUM(GE$4:GE391))</f>
        <v>0</v>
      </c>
      <c r="GG391" s="205" t="str">
        <f t="shared" si="737"/>
        <v/>
      </c>
      <c r="GH391" s="205">
        <f>IF($J391="",#N/A,SUM(GG$4:GG391))</f>
        <v>-2.9368362277223206</v>
      </c>
      <c r="GI391" s="205">
        <f>IF($J391="",#N/A,SUM(GG$4:GG391,GE$4:GE391,GC$4:GC391))</f>
        <v>-2.9368362277223206</v>
      </c>
      <c r="GJ391" s="200" t="str">
        <f t="shared" si="738"/>
        <v/>
      </c>
      <c r="GK391" s="203">
        <f>IF($J391="",#N/A,SUM(GJ$4:GJ391))</f>
        <v>0</v>
      </c>
      <c r="GL391" s="204" t="str">
        <f t="shared" si="739"/>
        <v/>
      </c>
      <c r="GM391" s="204">
        <f>IF($J391="",#N/A,SUM(GL$4:GL391))</f>
        <v>-2.0621307233432784</v>
      </c>
      <c r="GN391" s="205" t="str">
        <f t="shared" si="740"/>
        <v/>
      </c>
      <c r="GO391" s="205">
        <f>IF($J391="",#N/A,SUM(GN$4:GN391))</f>
        <v>0</v>
      </c>
      <c r="GP391" s="205">
        <f>IF($J391="",#N/A,SUM(GN$4:GN391,GL$4:GL391,GJ$4:GJ391))</f>
        <v>-2.0621307233432784</v>
      </c>
      <c r="GS391" s="54" t="str">
        <f t="shared" si="759"/>
        <v/>
      </c>
      <c r="GT391" s="54" t="e">
        <f>IF(GS391="",NA(),SUM($GS$4:GS391))</f>
        <v>#N/A</v>
      </c>
      <c r="GU391" s="54" t="str">
        <f t="shared" si="741"/>
        <v/>
      </c>
      <c r="GV391" s="54" t="e">
        <f>IF(GU391="",NA(),SUM($GU$4:GU391))</f>
        <v>#N/A</v>
      </c>
      <c r="GW391" s="54" t="str">
        <f t="shared" si="742"/>
        <v/>
      </c>
      <c r="GX391" s="54" t="e">
        <f>IF(GW391="",NA(),SUM($GW$4:GW391))</f>
        <v>#N/A</v>
      </c>
      <c r="GY391" s="54" t="str">
        <f t="shared" si="743"/>
        <v/>
      </c>
      <c r="GZ391" s="54" t="e">
        <f>IF(GY391="",NA(),SUM($GY$4:GY391))</f>
        <v>#N/A</v>
      </c>
      <c r="HA391" s="54">
        <f t="shared" si="744"/>
        <v>0.77787954813958915</v>
      </c>
      <c r="HB391" s="54">
        <f>IF(HA391="",NA(),SUM($HA$4:HA391))</f>
        <v>2.6735038804357543</v>
      </c>
      <c r="HC391" s="54">
        <f t="shared" si="745"/>
        <v>0.77787954813958915</v>
      </c>
      <c r="HD391" s="54">
        <f>IF(HC391="",NA(),SUM($HC$4:HC391))</f>
        <v>-6.6933936842842656E-2</v>
      </c>
      <c r="HE391" s="54" t="str">
        <f t="shared" si="746"/>
        <v/>
      </c>
      <c r="HF391" s="54" t="e">
        <f>IF(HE391="",NA(),SUM($HE$4:HE391))</f>
        <v>#N/A</v>
      </c>
      <c r="HG391" s="54" t="str">
        <f t="shared" si="747"/>
        <v/>
      </c>
      <c r="HH391" s="54" t="e">
        <f>IF(HG391="",NA(),SUM($HG$4:HG391))</f>
        <v>#N/A</v>
      </c>
      <c r="HI391" s="172" t="str">
        <f t="shared" si="760"/>
        <v/>
      </c>
      <c r="HJ391" s="172">
        <f>IF($J391="",#N/A,SUM(HI$4:$HI391))</f>
        <v>-11.384655655360691</v>
      </c>
      <c r="HK391" s="54" t="str">
        <f t="shared" si="748"/>
        <v/>
      </c>
      <c r="HL391" s="54">
        <f>IF($J391="",#N/A,SUM($HK$4:HK391))</f>
        <v>7.4780353515533324</v>
      </c>
      <c r="HM391" s="54">
        <f t="shared" si="749"/>
        <v>0.85420731950141537</v>
      </c>
      <c r="HN391" s="54">
        <f>IF($J391="",#N/A,SUM($HM$4:HM391))</f>
        <v>-0.22647033717412757</v>
      </c>
      <c r="HO391" s="54" t="str">
        <f t="shared" si="750"/>
        <v/>
      </c>
      <c r="HP391" s="54">
        <f>IF($J391="",#N/A,SUM($HO$4:HO391))</f>
        <v>-0.26668580414118226</v>
      </c>
      <c r="HQ391" s="54" t="str">
        <f t="shared" si="751"/>
        <v/>
      </c>
      <c r="HR391" s="54">
        <f>IF($J391="",#N/A,SUM($HQ$4:HQ391))</f>
        <v>-14.031884296467537</v>
      </c>
      <c r="HS391" s="54" t="str">
        <f t="shared" si="752"/>
        <v/>
      </c>
      <c r="HT391" s="54">
        <f>IF($J391="",#N/A,SUM($HS$4:HS391))</f>
        <v>16.137594668080389</v>
      </c>
      <c r="HU391" s="65">
        <f t="shared" si="753"/>
        <v>1.6320868676410045</v>
      </c>
      <c r="HV391" s="65">
        <f>IF($J391="",#N/A,SUM(HU$4:$HU391))</f>
        <v>10.908574797377042</v>
      </c>
    </row>
    <row r="392" spans="1:230" x14ac:dyDescent="0.25">
      <c r="A392" s="51" t="s">
        <v>1116</v>
      </c>
      <c r="B392" s="52" t="s">
        <v>5549</v>
      </c>
      <c r="C392" s="229">
        <f t="shared" si="654"/>
        <v>1</v>
      </c>
      <c r="D392" s="219" t="str">
        <f>_xlfn.XLOOKUP(A392,[1]SP500!$A$2:$A$502,[1]SP500!$D$2:$D$502,"N")</f>
        <v>N</v>
      </c>
      <c r="E392" s="51" t="str">
        <f>IFERROR(_xlfn.XLOOKUP(A392,[1]SP500!$A$2:$A$655,[1]SP500!$B$2:$B$655),"")</f>
        <v>XLY</v>
      </c>
      <c r="F392" s="290">
        <v>45806</v>
      </c>
      <c r="G392" s="51" t="str">
        <f t="shared" si="655"/>
        <v>AMC</v>
      </c>
      <c r="H392" s="51" t="str">
        <f t="shared" si="656"/>
        <v>o</v>
      </c>
      <c r="I392" s="344">
        <v>27.95</v>
      </c>
      <c r="J392" s="124">
        <v>22.87</v>
      </c>
      <c r="K392" s="55">
        <f t="shared" si="657"/>
        <v>-0.18175313059033985</v>
      </c>
      <c r="L392" s="67">
        <f t="shared" si="658"/>
        <v>254</v>
      </c>
      <c r="M392" s="57">
        <f t="shared" si="659"/>
        <v>2</v>
      </c>
      <c r="N392" s="102">
        <f t="shared" si="660"/>
        <v>-254</v>
      </c>
      <c r="O392" s="57">
        <f>IF(N392="",#N/A,SUM($N$4:N392))</f>
        <v>321.64607492035691</v>
      </c>
      <c r="P392" s="65">
        <f t="shared" si="754"/>
        <v>-3.0292188431723317</v>
      </c>
      <c r="Q392" s="172">
        <f>IF($N392="",#N/A,SUM($P$4:P392))</f>
        <v>10.669595483582073</v>
      </c>
      <c r="R392" s="279">
        <f t="shared" si="661"/>
        <v>3.6263495899608715</v>
      </c>
      <c r="S392" s="51" t="str">
        <f t="shared" si="662"/>
        <v>Up</v>
      </c>
      <c r="T392" s="51" t="s">
        <v>4461</v>
      </c>
      <c r="U392" s="56">
        <f t="shared" si="663"/>
        <v>27.95</v>
      </c>
      <c r="V392" s="56" t="s">
        <v>4458</v>
      </c>
      <c r="W392" s="142">
        <v>50</v>
      </c>
      <c r="X392" s="145">
        <f t="shared" si="664"/>
        <v>1397.5</v>
      </c>
      <c r="Y392" s="140">
        <f t="shared" si="665"/>
        <v>50</v>
      </c>
      <c r="Z392" s="141">
        <v>22.83</v>
      </c>
      <c r="AA392" s="102">
        <f t="shared" si="666"/>
        <v>256</v>
      </c>
      <c r="AB392" s="102">
        <f t="shared" si="667"/>
        <v>282</v>
      </c>
      <c r="AC392" s="124">
        <v>22.31</v>
      </c>
      <c r="AD392" s="155">
        <f t="shared" si="668"/>
        <v>-282</v>
      </c>
      <c r="AE392" s="545">
        <f t="shared" si="669"/>
        <v>-3.3631484794275495</v>
      </c>
      <c r="AF392" s="57">
        <f>IF($AC392="",#N/A,SUM(AD$4:AD392))</f>
        <v>332.00996410331527</v>
      </c>
      <c r="AG392" s="102">
        <f t="shared" si="670"/>
        <v>-28</v>
      </c>
      <c r="AH392" s="56" t="s">
        <v>2507</v>
      </c>
      <c r="AI392" s="65">
        <f t="shared" si="671"/>
        <v>3.0530709600477044</v>
      </c>
      <c r="AJ392" s="108">
        <f>IF(AI392="",#N/A,SUM($AI$4:AI392))</f>
        <v>7.0432458936212017</v>
      </c>
      <c r="AK392" s="57">
        <f t="shared" si="672"/>
        <v>256</v>
      </c>
      <c r="AL392" s="66">
        <f>IF(AI392="",#N/A,IF(AH392="Skip",SUM($AK$4:AK392),SUM($AK$4:AK392)))</f>
        <v>142.98236927848211</v>
      </c>
      <c r="AM392" s="65">
        <f t="shared" si="755"/>
        <v>-3.3631484794275495</v>
      </c>
      <c r="AN392" s="209"/>
      <c r="AO392" s="65" t="str">
        <f t="shared" si="673"/>
        <v/>
      </c>
      <c r="AP392" s="65">
        <f>IF($AC392="",#N/A,SUM(AO$4:AO392))</f>
        <v>10.680473659506806</v>
      </c>
      <c r="AQ392" s="65">
        <f t="shared" si="674"/>
        <v>-3.3631484794275495</v>
      </c>
      <c r="AR392" s="65">
        <f>IF($AC392="",#N/A,SUM(AQ$4:AQ392))</f>
        <v>-10.275273960163407</v>
      </c>
      <c r="AS392" s="65" t="str">
        <f t="shared" si="675"/>
        <v/>
      </c>
      <c r="AT392" s="65">
        <f>IF($AC392="",#N/A,SUM(AS$4:AS392))</f>
        <v>7.1402266186060874</v>
      </c>
      <c r="AU392" s="57" t="str">
        <f t="shared" si="756"/>
        <v/>
      </c>
      <c r="AV392" s="57">
        <f>IF($AC392="",#N/A,SUM(AU$4:AU392))</f>
        <v>591.96383890574702</v>
      </c>
      <c r="AW392" s="57">
        <f t="shared" si="757"/>
        <v>-282</v>
      </c>
      <c r="AX392" s="57">
        <f>IF($AC392="",#N/A,SUM(AW$4:AW392))</f>
        <v>-794.25106797961121</v>
      </c>
      <c r="AY392" s="57" t="str">
        <f t="shared" si="758"/>
        <v/>
      </c>
      <c r="AZ392" s="57">
        <f>IF($AC392="",#N/A,SUM(AY$4:AY392))</f>
        <v>534.29719317717934</v>
      </c>
      <c r="BA392" s="57">
        <f>IF(AD392="",#N/A,SUM($AD$4:AD392))</f>
        <v>332.00996410331527</v>
      </c>
      <c r="BC392" s="51" t="str">
        <f t="shared" si="676"/>
        <v/>
      </c>
      <c r="BD392" s="51" t="str">
        <f t="shared" si="677"/>
        <v/>
      </c>
      <c r="BE392" s="51" t="str">
        <f t="shared" si="678"/>
        <v/>
      </c>
      <c r="BF392" s="51" t="str">
        <f t="shared" si="679"/>
        <v>Long</v>
      </c>
      <c r="BG392" s="51" t="str">
        <f t="shared" si="680"/>
        <v/>
      </c>
      <c r="BH392" s="51">
        <f t="shared" si="681"/>
        <v>1</v>
      </c>
      <c r="BI392" s="51" t="str">
        <f t="shared" si="682"/>
        <v/>
      </c>
      <c r="BK392" s="65">
        <f t="shared" si="653"/>
        <v>-0.17181128552736591</v>
      </c>
      <c r="BL392" s="65">
        <f t="shared" si="652"/>
        <v>-0.11399107912433884</v>
      </c>
      <c r="BM392" s="65">
        <f>IFERROR(Q392/COUNTA($J$4:J392),#N/A)</f>
        <v>2.742826602463258E-2</v>
      </c>
      <c r="BO392" s="489" t="e">
        <f>IF(J392="",#N/A,IF(S392="SW",(COUNTIFS(K$4:$K392,"&gt;0",S$4:$S392,"SW")/COUNTIF(S$4:$S392,"SW")),#N/A))</f>
        <v>#N/A</v>
      </c>
      <c r="BP392" s="489" t="e">
        <f>IF($J392="",#N/A,IF($S392="DWN",(COUNTIFS($K$4:$K392,"&lt;0",$S$4:$S392,"DWN")/COUNTIF($S$4:$S392,"DWN")),#N/A))</f>
        <v>#N/A</v>
      </c>
      <c r="BQ392" s="489">
        <f>IF($J392="",#N/A,IF($S392="UP",(COUNTIFS($K$4:$K392,"&gt;0",$S$4:$S392,"UP")/COUNTIF($S$4:$S392,"UP")),#N/A))</f>
        <v>0.46153846153846156</v>
      </c>
      <c r="BR392" s="489">
        <f>IF(J392="",#N/A,COUNTIF($K$4:K392,"&gt;0")/COUNT($J$4:J392))</f>
        <v>0.4704370179948586</v>
      </c>
      <c r="BS392" s="65" t="str">
        <f t="shared" si="683"/>
        <v/>
      </c>
      <c r="BT392" s="65" t="str">
        <f t="shared" si="684"/>
        <v/>
      </c>
      <c r="BU392" s="65">
        <f t="shared" si="685"/>
        <v>-3.0292188431723317</v>
      </c>
      <c r="BV392" s="65" t="str">
        <f t="shared" si="686"/>
        <v/>
      </c>
      <c r="BW392" s="128">
        <f t="shared" si="687"/>
        <v>-254</v>
      </c>
      <c r="BX392" s="128">
        <f>IF($J392="",#N/A,SUM($BW$4:BW392))</f>
        <v>-724.49817034792909</v>
      </c>
      <c r="BY392" s="131" t="str">
        <f t="shared" si="688"/>
        <v/>
      </c>
      <c r="BZ392" s="131">
        <f>IF($J392="",#N/A,SUM($BY$4:BY392))</f>
        <v>582.30161346139425</v>
      </c>
      <c r="CA392" s="133" t="str">
        <f t="shared" si="689"/>
        <v/>
      </c>
      <c r="CB392" s="133">
        <f>IF($J392="",#N/A,SUM($CA$4:CA392))</f>
        <v>463.84263180689152</v>
      </c>
      <c r="CC392" s="194">
        <f t="shared" si="690"/>
        <v>-3.0292188431723317</v>
      </c>
      <c r="CD392" s="194">
        <f>IF($J392="",#N/A,SUM($CC$4:CC392))</f>
        <v>-9.4481881825928777</v>
      </c>
      <c r="CE392" s="195" t="str">
        <f t="shared" si="691"/>
        <v/>
      </c>
      <c r="CF392" s="195">
        <f>IF($J392="",#N/A,SUM($CE$4:CE392))</f>
        <v>11.046846922413456</v>
      </c>
      <c r="CG392" s="196" t="str">
        <f t="shared" si="692"/>
        <v/>
      </c>
      <c r="CH392" s="196">
        <f>IF($J392="",#N/A,SUM($CG$4:CG392))</f>
        <v>9.0709367437615072</v>
      </c>
      <c r="CI392" s="200" t="str">
        <f t="shared" si="693"/>
        <v/>
      </c>
      <c r="CJ392" s="203">
        <f>IF($J392="",#N/A,SUM(CI$4:CI392))</f>
        <v>0</v>
      </c>
      <c r="CK392" s="204" t="str">
        <f t="shared" si="694"/>
        <v/>
      </c>
      <c r="CL392" s="204">
        <f>IF($J392="",#N/A,SUM(CK$4:CK392))</f>
        <v>2.0825010564889137</v>
      </c>
      <c r="CM392" s="205" t="str">
        <f t="shared" si="695"/>
        <v/>
      </c>
      <c r="CN392" s="205">
        <f>IF($J392="",#N/A,SUM(CM$4:CM392))</f>
        <v>-0.88558254952057891</v>
      </c>
      <c r="CO392" s="205">
        <f>IF($J392="",#N/A,SUM(CM$4:CM392,CK$4:CK392,CI$4:CI392))</f>
        <v>1.1969185069683352</v>
      </c>
      <c r="CP392" s="200" t="str">
        <f t="shared" si="696"/>
        <v/>
      </c>
      <c r="CQ392" s="203">
        <f>IF($J392="",#N/A,SUM(CP$4:CP392))</f>
        <v>-2.8337957655297128</v>
      </c>
      <c r="CR392" s="204" t="str">
        <f t="shared" si="697"/>
        <v/>
      </c>
      <c r="CS392" s="204">
        <f>IF($J392="",#N/A,SUM(CR$4:CR392))</f>
        <v>2.3600225017004668</v>
      </c>
      <c r="CT392" s="205" t="str">
        <f t="shared" si="698"/>
        <v/>
      </c>
      <c r="CU392" s="205">
        <f>IF($J392="",#N/A,SUM(CT$4:CT392))</f>
        <v>-4.892829975913175</v>
      </c>
      <c r="CV392" s="205">
        <f>IF($J392="",#N/A,SUM(CT$4:CT392,CR$4:CR392,CP$4:CP392))</f>
        <v>-5.3666032397424219</v>
      </c>
      <c r="CW392" s="200">
        <f t="shared" si="699"/>
        <v>-3.0292188431723317</v>
      </c>
      <c r="CX392" s="203">
        <f>IF($J392="",#N/A,SUM(CW$4:CW392))</f>
        <v>-6.3374847922823907</v>
      </c>
      <c r="CY392" s="204" t="str">
        <f t="shared" si="700"/>
        <v/>
      </c>
      <c r="CZ392" s="204">
        <f>IF($J392="",#N/A,SUM(CY$4:CY392))</f>
        <v>-2.4332142608051761</v>
      </c>
      <c r="DA392" s="205" t="str">
        <f t="shared" si="701"/>
        <v/>
      </c>
      <c r="DB392" s="205">
        <f>IF($J392="",#N/A,SUM(DA$4:DA392))</f>
        <v>-3.1478574410966269</v>
      </c>
      <c r="DC392" s="205">
        <f>IF($J392="",#N/A,SUM(DA$4:DA392,CY$4:CY392,CW$4:CW392))</f>
        <v>-11.918556494184195</v>
      </c>
      <c r="DD392" s="200" t="str">
        <f t="shared" si="702"/>
        <v/>
      </c>
      <c r="DE392" s="203">
        <f>IF($J392="",#N/A,SUM(DD$4:DD392))</f>
        <v>1.6161029218801881</v>
      </c>
      <c r="DF392" s="204" t="str">
        <f t="shared" si="703"/>
        <v/>
      </c>
      <c r="DG392" s="204">
        <f>IF($J392="",#N/A,SUM(DF$4:DF392))</f>
        <v>4.1810385231482243</v>
      </c>
      <c r="DH392" s="205" t="str">
        <f t="shared" si="704"/>
        <v/>
      </c>
      <c r="DI392" s="205">
        <f>IF($J392="",#N/A,SUM(DH$4:DH392))</f>
        <v>-0.23863035537359656</v>
      </c>
      <c r="DJ392" s="205">
        <f>IF($J392="",#N/A,SUM(DH$4:DH392,DF$4:DF392,DD$4:DD392))</f>
        <v>5.5585110896548153</v>
      </c>
      <c r="DK392" s="200" t="str">
        <f t="shared" si="705"/>
        <v/>
      </c>
      <c r="DL392" s="203">
        <f>IF($J392="",#N/A,SUM(DK$4:DK392))</f>
        <v>-0.84049791589649614</v>
      </c>
      <c r="DM392" s="204" t="str">
        <f t="shared" si="706"/>
        <v/>
      </c>
      <c r="DN392" s="204">
        <f>IF($J392="",#N/A,SUM(DM$4:DM392))</f>
        <v>1.8657648196498773</v>
      </c>
      <c r="DO392" s="205" t="str">
        <f t="shared" si="707"/>
        <v/>
      </c>
      <c r="DP392" s="205">
        <f>IF($J392="",#N/A,SUM(DO$4:DO392))</f>
        <v>3.4887162328793941</v>
      </c>
      <c r="DQ392" s="205">
        <f>IF($J392="",#N/A,SUM(DO$4:DO392,DM$4:DM392,DK$4:DK392))</f>
        <v>4.5139831366327758</v>
      </c>
      <c r="DR392" s="200" t="str">
        <f t="shared" si="708"/>
        <v/>
      </c>
      <c r="DS392" s="203">
        <f>IF($J392="",#N/A,SUM(DR$4:DR392))</f>
        <v>-0.55950946427675097</v>
      </c>
      <c r="DT392" s="204" t="str">
        <f t="shared" si="709"/>
        <v/>
      </c>
      <c r="DU392" s="204">
        <f>IF($J392="",#N/A,SUM(DT$4:DT392))</f>
        <v>-0.20750635820596686</v>
      </c>
      <c r="DV392" s="205" t="str">
        <f t="shared" si="710"/>
        <v/>
      </c>
      <c r="DW392" s="205">
        <f>IF($J392="",#N/A,SUM(DV$4:DV392))</f>
        <v>-2.3377035686214001</v>
      </c>
      <c r="DX392" s="205">
        <f>IF($J392="",#N/A,SUM(DV$4:DV392,DT$4:DT392,DR$4:DR392))</f>
        <v>-3.1047193911041169</v>
      </c>
      <c r="DY392" s="200" t="str">
        <f t="shared" si="711"/>
        <v/>
      </c>
      <c r="DZ392" s="203">
        <f>IF($J392="",#N/A,SUM(DY$4:DY392))</f>
        <v>-1.4146842415208627</v>
      </c>
      <c r="EA392" s="204" t="str">
        <f t="shared" si="712"/>
        <v/>
      </c>
      <c r="EB392" s="204">
        <f>IF($J392="",#N/A,SUM(EA$4:EA392))</f>
        <v>4.3184391548878134</v>
      </c>
      <c r="EC392" s="205" t="str">
        <f t="shared" si="713"/>
        <v/>
      </c>
      <c r="ED392" s="205">
        <f>IF($J392="",#N/A,SUM(EC$4:EC392))</f>
        <v>8.4384553208490907</v>
      </c>
      <c r="EE392" s="205">
        <f>IF($J392="",#N/A,SUM(EC$4:EC392,EA$4:EA392,DY$4:DY392))</f>
        <v>11.342210234216044</v>
      </c>
      <c r="EF392" s="200" t="str">
        <f t="shared" si="714"/>
        <v/>
      </c>
      <c r="EG392" s="203">
        <f>IF($J392="",#N/A,SUM(EF$4:EF392))</f>
        <v>0.65848341369884777</v>
      </c>
      <c r="EH392" s="204" t="str">
        <f t="shared" si="715"/>
        <v/>
      </c>
      <c r="EI392" s="204">
        <f>IF($J392="",#N/A,SUM(EH$4:EH392))</f>
        <v>-3.5125331561187787</v>
      </c>
      <c r="EJ392" s="205" t="str">
        <f t="shared" si="716"/>
        <v/>
      </c>
      <c r="EK392" s="205">
        <f>IF($J392="",#N/A,SUM(EJ$4:EJ392))</f>
        <v>11.820135611943035</v>
      </c>
      <c r="EL392" s="205">
        <f>IF($J392="",#N/A,SUM(EJ$4:EJ392,EH$4:EH392,EF$4:EF392))</f>
        <v>8.9660858695231074</v>
      </c>
      <c r="EM392" s="200" t="str">
        <f t="shared" si="717"/>
        <v/>
      </c>
      <c r="EN392" s="203">
        <f>IF($J392="",#N/A,SUM(EM$4:EM392))</f>
        <v>0</v>
      </c>
      <c r="EO392" s="204" t="str">
        <f t="shared" si="718"/>
        <v/>
      </c>
      <c r="EP392" s="204">
        <f>IF($J392="",#N/A,SUM(EO$4:EO392))</f>
        <v>2.4788862078089964</v>
      </c>
      <c r="EQ392" s="205" t="str">
        <f t="shared" si="719"/>
        <v/>
      </c>
      <c r="ER392" s="205">
        <f>IF($J392="",#N/A,SUM(EQ$4:EQ392))</f>
        <v>1.7856049065476487</v>
      </c>
      <c r="ES392" s="205">
        <f>IF($J392="",#N/A,SUM(EQ$4:EQ392,EO$4:EO392,EM$4:EM392))</f>
        <v>4.2644911143566446</v>
      </c>
      <c r="ET392" s="200" t="str">
        <f t="shared" si="720"/>
        <v/>
      </c>
      <c r="EU392" s="203">
        <f>IF($J392="",#N/A,SUM(ET$4:ET392))</f>
        <v>0</v>
      </c>
      <c r="EV392" s="204" t="str">
        <f t="shared" si="721"/>
        <v/>
      </c>
      <c r="EW392" s="204">
        <f>IF($J392="",#N/A,SUM(EV$4:EV392))</f>
        <v>7.9116394275462909E-2</v>
      </c>
      <c r="EX392" s="205" t="str">
        <f t="shared" si="722"/>
        <v/>
      </c>
      <c r="EY392" s="205">
        <f>IF($J392="",#N/A,SUM(EX$4:EX392))</f>
        <v>0.62848633887309935</v>
      </c>
      <c r="EZ392" s="205">
        <f>IF($J392="",#N/A,SUM(EX$4:EX392,EV$4:EV392,ET$4:ET392))</f>
        <v>0.70760273314856192</v>
      </c>
      <c r="FA392" s="200" t="str">
        <f t="shared" si="723"/>
        <v/>
      </c>
      <c r="FB392" s="203">
        <f>IF($J392="",#N/A,SUM(FA$4:FA392))</f>
        <v>-0.27145310509113252</v>
      </c>
      <c r="FC392" s="204" t="str">
        <f t="shared" si="724"/>
        <v/>
      </c>
      <c r="FD392" s="204">
        <f>IF($J392="",#N/A,SUM(FC$4:FC392))</f>
        <v>0.89084290967454072</v>
      </c>
      <c r="FE392" s="205" t="str">
        <f t="shared" si="725"/>
        <v/>
      </c>
      <c r="FF392" s="205">
        <f>IF($J392="",#N/A,SUM(FE$4:FE392))</f>
        <v>-0.28811149078748233</v>
      </c>
      <c r="FG392" s="205">
        <f>IF($J392="",#N/A,SUM(FE$4:FE392,FC$4:FC392,FA$4:FA392))</f>
        <v>0.3312783137959262</v>
      </c>
      <c r="FH392" s="200" t="str">
        <f t="shared" si="726"/>
        <v/>
      </c>
      <c r="FI392" s="203">
        <f>IF($J392="",#N/A,SUM(FH$4:FH392))</f>
        <v>0</v>
      </c>
      <c r="FJ392" s="204" t="str">
        <f t="shared" si="727"/>
        <v/>
      </c>
      <c r="FK392" s="204">
        <f>IF($J392="",#N/A,SUM(FJ$4:FJ392))</f>
        <v>0</v>
      </c>
      <c r="FL392" s="205" t="str">
        <f t="shared" si="728"/>
        <v/>
      </c>
      <c r="FM392" s="205">
        <f>IF($J392="",#N/A,SUM(FL$4:FL392))</f>
        <v>0</v>
      </c>
      <c r="FN392" s="205">
        <f>IF($J392="",#N/A,SUM(FL$4:FL392,FJ$4:FJ392,FH$4:FH392))</f>
        <v>0</v>
      </c>
      <c r="FO392" s="200" t="str">
        <f t="shared" si="729"/>
        <v/>
      </c>
      <c r="FP392" s="203">
        <f>IF($J392="",#N/A,SUM(FO$4:FO392))</f>
        <v>0</v>
      </c>
      <c r="FQ392" s="204" t="str">
        <f t="shared" si="730"/>
        <v/>
      </c>
      <c r="FR392" s="204">
        <f>IF($J392="",#N/A,SUM(FQ$4:FQ392))</f>
        <v>0</v>
      </c>
      <c r="FS392" s="205" t="str">
        <f t="shared" si="731"/>
        <v/>
      </c>
      <c r="FT392" s="205">
        <f>IF($J392="",#N/A,SUM(FS$4:FS392))</f>
        <v>0</v>
      </c>
      <c r="FU392" s="205">
        <f>IF($J392="",#N/A,SUM(FS$4:FS392,FQ$4:FQ392,FO$4:FO392))</f>
        <v>0</v>
      </c>
      <c r="FV392" s="200" t="str">
        <f t="shared" si="732"/>
        <v/>
      </c>
      <c r="FW392" s="203">
        <f>IF($J392="",#N/A,SUM(FV$4:FV392))</f>
        <v>6.6834991831277585E-2</v>
      </c>
      <c r="FX392" s="204" t="str">
        <f t="shared" si="733"/>
        <v/>
      </c>
      <c r="FY392" s="204">
        <f>IF($J392="",#N/A,SUM(FX$4:FX392))</f>
        <v>-0.16102012791805576</v>
      </c>
      <c r="FZ392" s="205" t="str">
        <f t="shared" si="734"/>
        <v/>
      </c>
      <c r="GA392" s="205">
        <f>IF($J392="",#N/A,SUM(FZ$4:FZ392))</f>
        <v>-0.69624339162892301</v>
      </c>
      <c r="GB392" s="205">
        <f>IF($J392="",#N/A,SUM(FZ$4:FZ392,FX$4:FX392,FV$4:FV392))</f>
        <v>-0.79042852771570116</v>
      </c>
      <c r="GC392" s="200" t="str">
        <f t="shared" si="735"/>
        <v/>
      </c>
      <c r="GD392" s="203">
        <f>IF($J392="",#N/A,SUM(GC$4:GC392))</f>
        <v>0</v>
      </c>
      <c r="GE392" s="204" t="str">
        <f t="shared" si="736"/>
        <v/>
      </c>
      <c r="GF392" s="204">
        <f>IF($J392="",#N/A,SUM(GE$4:GE392))</f>
        <v>0</v>
      </c>
      <c r="GG392" s="205" t="str">
        <f t="shared" si="737"/>
        <v/>
      </c>
      <c r="GH392" s="205">
        <f>IF($J392="",#N/A,SUM(GG$4:GG392))</f>
        <v>-2.9368362277223206</v>
      </c>
      <c r="GI392" s="205">
        <f>IF($J392="",#N/A,SUM(GG$4:GG392,GE$4:GE392,GC$4:GC392))</f>
        <v>-2.9368362277223206</v>
      </c>
      <c r="GJ392" s="200" t="str">
        <f t="shared" si="738"/>
        <v/>
      </c>
      <c r="GK392" s="203">
        <f>IF($J392="",#N/A,SUM(GJ$4:GJ392))</f>
        <v>0</v>
      </c>
      <c r="GL392" s="204" t="str">
        <f t="shared" si="739"/>
        <v/>
      </c>
      <c r="GM392" s="204">
        <f>IF($J392="",#N/A,SUM(GL$4:GL392))</f>
        <v>-2.0621307233432784</v>
      </c>
      <c r="GN392" s="205" t="str">
        <f t="shared" si="740"/>
        <v/>
      </c>
      <c r="GO392" s="205">
        <f>IF($J392="",#N/A,SUM(GN$4:GN392))</f>
        <v>0</v>
      </c>
      <c r="GP392" s="205">
        <f>IF($J392="",#N/A,SUM(GN$4:GN392,GL$4:GL392,GJ$4:GJ392))</f>
        <v>-2.0621307233432784</v>
      </c>
      <c r="GS392" s="54" t="str">
        <f t="shared" si="759"/>
        <v/>
      </c>
      <c r="GT392" s="54" t="e">
        <f>IF(GS392="",NA(),SUM($GS$4:GS392))</f>
        <v>#N/A</v>
      </c>
      <c r="GU392" s="54" t="str">
        <f t="shared" si="741"/>
        <v/>
      </c>
      <c r="GV392" s="54" t="e">
        <f>IF(GU392="",NA(),SUM($GU$4:GU392))</f>
        <v>#N/A</v>
      </c>
      <c r="GW392" s="54" t="str">
        <f t="shared" si="742"/>
        <v/>
      </c>
      <c r="GX392" s="54" t="e">
        <f>IF(GW392="",NA(),SUM($GW$4:GW392))</f>
        <v>#N/A</v>
      </c>
      <c r="GY392" s="54" t="str">
        <f t="shared" si="743"/>
        <v/>
      </c>
      <c r="GZ392" s="54" t="e">
        <f>IF(GY392="",NA(),SUM($GY$4:GY392))</f>
        <v>#N/A</v>
      </c>
      <c r="HA392" s="54">
        <f t="shared" si="744"/>
        <v>-3.0292188431723317</v>
      </c>
      <c r="HB392" s="54">
        <f>IF(HA392="",NA(),SUM($HA$4:HA392))</f>
        <v>-0.35571496273657743</v>
      </c>
      <c r="HC392" s="54">
        <f t="shared" si="745"/>
        <v>-3.0292188431723317</v>
      </c>
      <c r="HD392" s="54">
        <f>IF(HC392="",NA(),SUM($HC$4:HC392))</f>
        <v>-3.0961527800151742</v>
      </c>
      <c r="HE392" s="54" t="str">
        <f t="shared" si="746"/>
        <v/>
      </c>
      <c r="HF392" s="54" t="e">
        <f>IF(HE392="",NA(),SUM($HE$4:HE392))</f>
        <v>#N/A</v>
      </c>
      <c r="HG392" s="54" t="str">
        <f t="shared" si="747"/>
        <v/>
      </c>
      <c r="HH392" s="54" t="e">
        <f>IF(HG392="",NA(),SUM($HG$4:HG392))</f>
        <v>#N/A</v>
      </c>
      <c r="HI392" s="172" t="str">
        <f t="shared" si="760"/>
        <v/>
      </c>
      <c r="HJ392" s="172">
        <f>IF($J392="",#N/A,SUM(HI$4:$HI392))</f>
        <v>-11.384655655360691</v>
      </c>
      <c r="HK392" s="54" t="str">
        <f t="shared" si="748"/>
        <v/>
      </c>
      <c r="HL392" s="54">
        <f>IF($J392="",#N/A,SUM($HK$4:HK392))</f>
        <v>7.4780353515533324</v>
      </c>
      <c r="HM392" s="54" t="str">
        <f t="shared" si="749"/>
        <v/>
      </c>
      <c r="HN392" s="54">
        <f>IF($J392="",#N/A,SUM($HM$4:HM392))</f>
        <v>-0.22647033717412757</v>
      </c>
      <c r="HO392" s="54">
        <f t="shared" si="750"/>
        <v>-0.33392963625521777</v>
      </c>
      <c r="HP392" s="54">
        <f>IF($J392="",#N/A,SUM($HO$4:HO392))</f>
        <v>-0.60061544039640002</v>
      </c>
      <c r="HQ392" s="54" t="str">
        <f t="shared" si="751"/>
        <v/>
      </c>
      <c r="HR392" s="54">
        <f>IF($J392="",#N/A,SUM($HQ$4:HQ392))</f>
        <v>-14.031884296467537</v>
      </c>
      <c r="HS392" s="54" t="str">
        <f t="shared" si="752"/>
        <v/>
      </c>
      <c r="HT392" s="54">
        <f>IF($J392="",#N/A,SUM($HS$4:HS392))</f>
        <v>16.137594668080389</v>
      </c>
      <c r="HU392" s="65">
        <f t="shared" si="753"/>
        <v>-3.3631484794275495</v>
      </c>
      <c r="HV392" s="65">
        <f>IF($J392="",#N/A,SUM(HU$4:$HU392))</f>
        <v>7.5454263179494934</v>
      </c>
    </row>
    <row r="393" spans="1:230" x14ac:dyDescent="0.25">
      <c r="A393" s="51" t="s">
        <v>1260</v>
      </c>
      <c r="B393" s="52" t="s">
        <v>5549</v>
      </c>
      <c r="C393" s="229">
        <f t="shared" si="654"/>
        <v>1</v>
      </c>
      <c r="D393" s="219" t="str">
        <f>_xlfn.XLOOKUP(A393,[1]SP500!$A$2:$A$502,[1]SP500!$D$2:$D$502,"N")</f>
        <v>Y</v>
      </c>
      <c r="E393" s="51" t="str">
        <f>IFERROR(_xlfn.XLOOKUP(A393,[1]SP500!$A$2:$A$655,[1]SP500!$B$2:$B$655),"")</f>
        <v>XLP</v>
      </c>
      <c r="F393" s="290">
        <v>45806</v>
      </c>
      <c r="G393" s="51" t="str">
        <f t="shared" si="655"/>
        <v>AMC</v>
      </c>
      <c r="H393" s="51" t="str">
        <f t="shared" si="656"/>
        <v>s</v>
      </c>
      <c r="I393" s="344">
        <v>1008.74</v>
      </c>
      <c r="J393" s="124">
        <v>1002.3</v>
      </c>
      <c r="K393" s="55">
        <f t="shared" si="657"/>
        <v>-6.3842020738743921E-3</v>
      </c>
      <c r="L393" s="67">
        <f t="shared" si="658"/>
        <v>-12.880000000000109</v>
      </c>
      <c r="M393" s="57">
        <f t="shared" si="659"/>
        <v>0</v>
      </c>
      <c r="N393" s="102">
        <f t="shared" si="660"/>
        <v>-12.880000000000109</v>
      </c>
      <c r="O393" s="57">
        <f>IF(N393="",#N/A,SUM($N$4:N393))</f>
        <v>308.7660749203568</v>
      </c>
      <c r="P393" s="65">
        <f t="shared" si="754"/>
        <v>-0.10640336789790654</v>
      </c>
      <c r="Q393" s="172">
        <f>IF($N393="",#N/A,SUM($P$4:P393))</f>
        <v>10.563192115684167</v>
      </c>
      <c r="R393" s="279">
        <f t="shared" si="661"/>
        <v>3.6263495899608715</v>
      </c>
      <c r="S393" s="51" t="str">
        <f t="shared" si="662"/>
        <v>Up</v>
      </c>
      <c r="T393" s="51" t="s">
        <v>4461</v>
      </c>
      <c r="U393" s="57">
        <f t="shared" si="663"/>
        <v>1008.74</v>
      </c>
      <c r="V393" s="56" t="s">
        <v>4460</v>
      </c>
      <c r="W393" s="142">
        <v>2</v>
      </c>
      <c r="X393" s="145">
        <f t="shared" si="664"/>
        <v>2017.48</v>
      </c>
      <c r="Y393" s="140">
        <f t="shared" si="665"/>
        <v>2</v>
      </c>
      <c r="Z393" s="141">
        <v>1002.3</v>
      </c>
      <c r="AA393" s="102">
        <f t="shared" si="666"/>
        <v>-12.880000000000109</v>
      </c>
      <c r="AB393" s="102">
        <f t="shared" si="667"/>
        <v>62.880000000000109</v>
      </c>
      <c r="AC393" s="124">
        <v>1040.18</v>
      </c>
      <c r="AD393" s="155">
        <f t="shared" si="668"/>
        <v>62.880000000000109</v>
      </c>
      <c r="AE393" s="545">
        <f t="shared" si="669"/>
        <v>0.51945992029660859</v>
      </c>
      <c r="AF393" s="57">
        <f>IF($AC393="",#N/A,SUM(AD$4:AD393))</f>
        <v>394.88996410331538</v>
      </c>
      <c r="AG393" s="102">
        <f t="shared" si="670"/>
        <v>75.760000000000218</v>
      </c>
      <c r="AH393" s="56" t="s">
        <v>2507</v>
      </c>
      <c r="AI393" s="65">
        <f t="shared" si="671"/>
        <v>-0.10640336789790654</v>
      </c>
      <c r="AJ393" s="108">
        <f>IF(AI393="",#N/A,SUM($AI$4:AI393))</f>
        <v>6.9368425257232955</v>
      </c>
      <c r="AK393" s="57">
        <f t="shared" si="672"/>
        <v>-12.880000000000109</v>
      </c>
      <c r="AL393" s="66">
        <f>IF(AI393="",#N/A,IF(AH393="Skip",SUM($AK$4:AK393),SUM($AK$4:AK393)))</f>
        <v>130.102369278482</v>
      </c>
      <c r="AM393" s="65">
        <f t="shared" si="755"/>
        <v>0.51945992029660859</v>
      </c>
      <c r="AN393" s="209"/>
      <c r="AO393" s="65" t="str">
        <f t="shared" si="673"/>
        <v/>
      </c>
      <c r="AP393" s="65">
        <f>IF($AC393="",#N/A,SUM(AO$4:AO393))</f>
        <v>10.680473659506806</v>
      </c>
      <c r="AQ393" s="65">
        <f t="shared" si="674"/>
        <v>0.51945992029660859</v>
      </c>
      <c r="AR393" s="65">
        <f>IF($AC393="",#N/A,SUM(AQ$4:AQ393))</f>
        <v>-9.7558140398667987</v>
      </c>
      <c r="AS393" s="65" t="str">
        <f t="shared" si="675"/>
        <v/>
      </c>
      <c r="AT393" s="65">
        <f>IF($AC393="",#N/A,SUM(AS$4:AS393))</f>
        <v>7.1402266186060874</v>
      </c>
      <c r="AU393" s="57" t="str">
        <f t="shared" si="756"/>
        <v/>
      </c>
      <c r="AV393" s="57">
        <f>IF($AC393="",#N/A,SUM(AU$4:AU393))</f>
        <v>591.96383890574702</v>
      </c>
      <c r="AW393" s="57">
        <f t="shared" si="757"/>
        <v>62.880000000000109</v>
      </c>
      <c r="AX393" s="57">
        <f>IF($AC393="",#N/A,SUM(AW$4:AW393))</f>
        <v>-731.3710679796111</v>
      </c>
      <c r="AY393" s="57" t="str">
        <f t="shared" si="758"/>
        <v/>
      </c>
      <c r="AZ393" s="57">
        <f>IF($AC393="",#N/A,SUM(AY$4:AY393))</f>
        <v>534.29719317717934</v>
      </c>
      <c r="BA393" s="57">
        <f>IF(AD393="",#N/A,SUM($AD$4:AD393))</f>
        <v>394.88996410331538</v>
      </c>
      <c r="BC393" s="51" t="str">
        <f t="shared" si="676"/>
        <v/>
      </c>
      <c r="BD393" s="51" t="str">
        <f t="shared" si="677"/>
        <v/>
      </c>
      <c r="BE393" s="51" t="str">
        <f t="shared" si="678"/>
        <v/>
      </c>
      <c r="BF393" s="51" t="str">
        <f t="shared" si="679"/>
        <v>Long</v>
      </c>
      <c r="BG393" s="51" t="str">
        <f t="shared" si="680"/>
        <v/>
      </c>
      <c r="BH393" s="51">
        <f t="shared" si="681"/>
        <v>1</v>
      </c>
      <c r="BI393" s="51" t="str">
        <f t="shared" si="682"/>
        <v/>
      </c>
      <c r="BK393" s="65">
        <f t="shared" si="653"/>
        <v>-0.11702461094064198</v>
      </c>
      <c r="BL393" s="65">
        <f t="shared" si="652"/>
        <v>-9.2776560462624863E-2</v>
      </c>
      <c r="BM393" s="65">
        <f>IFERROR(Q393/COUNTA($J$4:J393),#N/A)</f>
        <v>2.7085107988933762E-2</v>
      </c>
      <c r="BO393" s="489" t="e">
        <f>IF(J393="",#N/A,IF(S393="SW",(COUNTIFS(K$4:$K393,"&gt;0",S$4:$S393,"SW")/COUNTIF(S$4:$S393,"SW")),#N/A))</f>
        <v>#N/A</v>
      </c>
      <c r="BP393" s="489" t="e">
        <f>IF($J393="",#N/A,IF($S393="DWN",(COUNTIFS($K$4:$K393,"&lt;0",$S$4:$S393,"DWN")/COUNTIF($S$4:$S393,"DWN")),#N/A))</f>
        <v>#N/A</v>
      </c>
      <c r="BQ393" s="489">
        <f>IF($J393="",#N/A,IF($S393="UP",(COUNTIFS($K$4:$K393,"&gt;0",$S$4:$S393,"UP")/COUNTIF($S$4:$S393,"UP")),#N/A))</f>
        <v>0.45</v>
      </c>
      <c r="BR393" s="489">
        <f>IF(J393="",#N/A,COUNTIF($K$4:K393,"&gt;0")/COUNT($J$4:J393))</f>
        <v>0.46923076923076923</v>
      </c>
      <c r="BS393" s="65" t="str">
        <f t="shared" si="683"/>
        <v/>
      </c>
      <c r="BT393" s="65">
        <f t="shared" si="684"/>
        <v>-0.10640336789790654</v>
      </c>
      <c r="BU393" s="65" t="str">
        <f t="shared" si="685"/>
        <v/>
      </c>
      <c r="BV393" s="65" t="str">
        <f t="shared" si="686"/>
        <v/>
      </c>
      <c r="BW393" s="128">
        <f t="shared" si="687"/>
        <v>-12.880000000000109</v>
      </c>
      <c r="BX393" s="128">
        <f>IF($J393="",#N/A,SUM($BW$4:BW393))</f>
        <v>-737.3781703479292</v>
      </c>
      <c r="BY393" s="131" t="str">
        <f t="shared" si="688"/>
        <v/>
      </c>
      <c r="BZ393" s="131">
        <f>IF($J393="",#N/A,SUM($BY$4:BY393))</f>
        <v>582.30161346139425</v>
      </c>
      <c r="CA393" s="133" t="str">
        <f t="shared" si="689"/>
        <v/>
      </c>
      <c r="CB393" s="133">
        <f>IF($J393="",#N/A,SUM($CA$4:CA393))</f>
        <v>463.84263180689152</v>
      </c>
      <c r="CC393" s="194">
        <f t="shared" si="690"/>
        <v>-0.10640336789790654</v>
      </c>
      <c r="CD393" s="194">
        <f>IF($J393="",#N/A,SUM($CC$4:CC393))</f>
        <v>-9.5545915504907839</v>
      </c>
      <c r="CE393" s="195" t="str">
        <f t="shared" si="691"/>
        <v/>
      </c>
      <c r="CF393" s="195">
        <f>IF($J393="",#N/A,SUM($CE$4:CE393))</f>
        <v>11.046846922413456</v>
      </c>
      <c r="CG393" s="196" t="str">
        <f t="shared" si="692"/>
        <v/>
      </c>
      <c r="CH393" s="196">
        <f>IF($J393="",#N/A,SUM($CG$4:CG393))</f>
        <v>9.0709367437615072</v>
      </c>
      <c r="CI393" s="200" t="str">
        <f t="shared" si="693"/>
        <v/>
      </c>
      <c r="CJ393" s="203">
        <f>IF($J393="",#N/A,SUM(CI$4:CI393))</f>
        <v>0</v>
      </c>
      <c r="CK393" s="204" t="str">
        <f t="shared" si="694"/>
        <v/>
      </c>
      <c r="CL393" s="204">
        <f>IF($J393="",#N/A,SUM(CK$4:CK393))</f>
        <v>2.0825010564889137</v>
      </c>
      <c r="CM393" s="205" t="str">
        <f t="shared" si="695"/>
        <v/>
      </c>
      <c r="CN393" s="205">
        <f>IF($J393="",#N/A,SUM(CM$4:CM393))</f>
        <v>-0.88558254952057891</v>
      </c>
      <c r="CO393" s="205">
        <f>IF($J393="",#N/A,SUM(CM$4:CM393,CK$4:CK393,CI$4:CI393))</f>
        <v>1.1969185069683352</v>
      </c>
      <c r="CP393" s="200" t="str">
        <f t="shared" si="696"/>
        <v/>
      </c>
      <c r="CQ393" s="203">
        <f>IF($J393="",#N/A,SUM(CP$4:CP393))</f>
        <v>-2.8337957655297128</v>
      </c>
      <c r="CR393" s="204" t="str">
        <f t="shared" si="697"/>
        <v/>
      </c>
      <c r="CS393" s="204">
        <f>IF($J393="",#N/A,SUM(CR$4:CR393))</f>
        <v>2.3600225017004668</v>
      </c>
      <c r="CT393" s="205" t="str">
        <f t="shared" si="698"/>
        <v/>
      </c>
      <c r="CU393" s="205">
        <f>IF($J393="",#N/A,SUM(CT$4:CT393))</f>
        <v>-4.892829975913175</v>
      </c>
      <c r="CV393" s="205">
        <f>IF($J393="",#N/A,SUM(CT$4:CT393,CR$4:CR393,CP$4:CP393))</f>
        <v>-5.3666032397424219</v>
      </c>
      <c r="CW393" s="200" t="str">
        <f t="shared" si="699"/>
        <v/>
      </c>
      <c r="CX393" s="203">
        <f>IF($J393="",#N/A,SUM(CW$4:CW393))</f>
        <v>-6.3374847922823907</v>
      </c>
      <c r="CY393" s="204" t="str">
        <f t="shared" si="700"/>
        <v/>
      </c>
      <c r="CZ393" s="204">
        <f>IF($J393="",#N/A,SUM(CY$4:CY393))</f>
        <v>-2.4332142608051761</v>
      </c>
      <c r="DA393" s="205" t="str">
        <f t="shared" si="701"/>
        <v/>
      </c>
      <c r="DB393" s="205">
        <f>IF($J393="",#N/A,SUM(DA$4:DA393))</f>
        <v>-3.1478574410966269</v>
      </c>
      <c r="DC393" s="205">
        <f>IF($J393="",#N/A,SUM(DA$4:DA393,CY$4:CY393,CW$4:CW393))</f>
        <v>-11.918556494184195</v>
      </c>
      <c r="DD393" s="200">
        <f t="shared" si="702"/>
        <v>-0.10640336789790654</v>
      </c>
      <c r="DE393" s="203">
        <f>IF($J393="",#N/A,SUM(DD$4:DD393))</f>
        <v>1.5096995539822815</v>
      </c>
      <c r="DF393" s="204" t="str">
        <f t="shared" si="703"/>
        <v/>
      </c>
      <c r="DG393" s="204">
        <f>IF($J393="",#N/A,SUM(DF$4:DF393))</f>
        <v>4.1810385231482243</v>
      </c>
      <c r="DH393" s="205" t="str">
        <f t="shared" si="704"/>
        <v/>
      </c>
      <c r="DI393" s="205">
        <f>IF($J393="",#N/A,SUM(DH$4:DH393))</f>
        <v>-0.23863035537359656</v>
      </c>
      <c r="DJ393" s="205">
        <f>IF($J393="",#N/A,SUM(DH$4:DH393,DF$4:DF393,DD$4:DD393))</f>
        <v>5.4521077217569092</v>
      </c>
      <c r="DK393" s="200" t="str">
        <f t="shared" si="705"/>
        <v/>
      </c>
      <c r="DL393" s="203">
        <f>IF($J393="",#N/A,SUM(DK$4:DK393))</f>
        <v>-0.84049791589649614</v>
      </c>
      <c r="DM393" s="204" t="str">
        <f t="shared" si="706"/>
        <v/>
      </c>
      <c r="DN393" s="204">
        <f>IF($J393="",#N/A,SUM(DM$4:DM393))</f>
        <v>1.8657648196498773</v>
      </c>
      <c r="DO393" s="205" t="str">
        <f t="shared" si="707"/>
        <v/>
      </c>
      <c r="DP393" s="205">
        <f>IF($J393="",#N/A,SUM(DO$4:DO393))</f>
        <v>3.4887162328793941</v>
      </c>
      <c r="DQ393" s="205">
        <f>IF($J393="",#N/A,SUM(DO$4:DO393,DM$4:DM393,DK$4:DK393))</f>
        <v>4.5139831366327758</v>
      </c>
      <c r="DR393" s="200" t="str">
        <f t="shared" si="708"/>
        <v/>
      </c>
      <c r="DS393" s="203">
        <f>IF($J393="",#N/A,SUM(DR$4:DR393))</f>
        <v>-0.55950946427675097</v>
      </c>
      <c r="DT393" s="204" t="str">
        <f t="shared" si="709"/>
        <v/>
      </c>
      <c r="DU393" s="204">
        <f>IF($J393="",#N/A,SUM(DT$4:DT393))</f>
        <v>-0.20750635820596686</v>
      </c>
      <c r="DV393" s="205" t="str">
        <f t="shared" si="710"/>
        <v/>
      </c>
      <c r="DW393" s="205">
        <f>IF($J393="",#N/A,SUM(DV$4:DV393))</f>
        <v>-2.3377035686214001</v>
      </c>
      <c r="DX393" s="205">
        <f>IF($J393="",#N/A,SUM(DV$4:DV393,DT$4:DT393,DR$4:DR393))</f>
        <v>-3.1047193911041169</v>
      </c>
      <c r="DY393" s="200" t="str">
        <f t="shared" si="711"/>
        <v/>
      </c>
      <c r="DZ393" s="203">
        <f>IF($J393="",#N/A,SUM(DY$4:DY393))</f>
        <v>-1.4146842415208627</v>
      </c>
      <c r="EA393" s="204" t="str">
        <f t="shared" si="712"/>
        <v/>
      </c>
      <c r="EB393" s="204">
        <f>IF($J393="",#N/A,SUM(EA$4:EA393))</f>
        <v>4.3184391548878134</v>
      </c>
      <c r="EC393" s="205" t="str">
        <f t="shared" si="713"/>
        <v/>
      </c>
      <c r="ED393" s="205">
        <f>IF($J393="",#N/A,SUM(EC$4:EC393))</f>
        <v>8.4384553208490907</v>
      </c>
      <c r="EE393" s="205">
        <f>IF($J393="",#N/A,SUM(EC$4:EC393,EA$4:EA393,DY$4:DY393))</f>
        <v>11.342210234216044</v>
      </c>
      <c r="EF393" s="200" t="str">
        <f t="shared" si="714"/>
        <v/>
      </c>
      <c r="EG393" s="203">
        <f>IF($J393="",#N/A,SUM(EF$4:EF393))</f>
        <v>0.65848341369884777</v>
      </c>
      <c r="EH393" s="204" t="str">
        <f t="shared" si="715"/>
        <v/>
      </c>
      <c r="EI393" s="204">
        <f>IF($J393="",#N/A,SUM(EH$4:EH393))</f>
        <v>-3.5125331561187787</v>
      </c>
      <c r="EJ393" s="205" t="str">
        <f t="shared" si="716"/>
        <v/>
      </c>
      <c r="EK393" s="205">
        <f>IF($J393="",#N/A,SUM(EJ$4:EJ393))</f>
        <v>11.820135611943035</v>
      </c>
      <c r="EL393" s="205">
        <f>IF($J393="",#N/A,SUM(EJ$4:EJ393,EH$4:EH393,EF$4:EF393))</f>
        <v>8.9660858695231074</v>
      </c>
      <c r="EM393" s="200" t="str">
        <f t="shared" si="717"/>
        <v/>
      </c>
      <c r="EN393" s="203">
        <f>IF($J393="",#N/A,SUM(EM$4:EM393))</f>
        <v>0</v>
      </c>
      <c r="EO393" s="204" t="str">
        <f t="shared" si="718"/>
        <v/>
      </c>
      <c r="EP393" s="204">
        <f>IF($J393="",#N/A,SUM(EO$4:EO393))</f>
        <v>2.4788862078089964</v>
      </c>
      <c r="EQ393" s="205" t="str">
        <f t="shared" si="719"/>
        <v/>
      </c>
      <c r="ER393" s="205">
        <f>IF($J393="",#N/A,SUM(EQ$4:EQ393))</f>
        <v>1.7856049065476487</v>
      </c>
      <c r="ES393" s="205">
        <f>IF($J393="",#N/A,SUM(EQ$4:EQ393,EO$4:EO393,EM$4:EM393))</f>
        <v>4.2644911143566446</v>
      </c>
      <c r="ET393" s="200" t="str">
        <f t="shared" si="720"/>
        <v/>
      </c>
      <c r="EU393" s="203">
        <f>IF($J393="",#N/A,SUM(ET$4:ET393))</f>
        <v>0</v>
      </c>
      <c r="EV393" s="204" t="str">
        <f t="shared" si="721"/>
        <v/>
      </c>
      <c r="EW393" s="204">
        <f>IF($J393="",#N/A,SUM(EV$4:EV393))</f>
        <v>7.9116394275462909E-2</v>
      </c>
      <c r="EX393" s="205" t="str">
        <f t="shared" si="722"/>
        <v/>
      </c>
      <c r="EY393" s="205">
        <f>IF($J393="",#N/A,SUM(EX$4:EX393))</f>
        <v>0.62848633887309935</v>
      </c>
      <c r="EZ393" s="205">
        <f>IF($J393="",#N/A,SUM(EX$4:EX393,EV$4:EV393,ET$4:ET393))</f>
        <v>0.70760273314856192</v>
      </c>
      <c r="FA393" s="200" t="str">
        <f t="shared" si="723"/>
        <v/>
      </c>
      <c r="FB393" s="203">
        <f>IF($J393="",#N/A,SUM(FA$4:FA393))</f>
        <v>-0.27145310509113252</v>
      </c>
      <c r="FC393" s="204" t="str">
        <f t="shared" si="724"/>
        <v/>
      </c>
      <c r="FD393" s="204">
        <f>IF($J393="",#N/A,SUM(FC$4:FC393))</f>
        <v>0.89084290967454072</v>
      </c>
      <c r="FE393" s="205" t="str">
        <f t="shared" si="725"/>
        <v/>
      </c>
      <c r="FF393" s="205">
        <f>IF($J393="",#N/A,SUM(FE$4:FE393))</f>
        <v>-0.28811149078748233</v>
      </c>
      <c r="FG393" s="205">
        <f>IF($J393="",#N/A,SUM(FE$4:FE393,FC$4:FC393,FA$4:FA393))</f>
        <v>0.3312783137959262</v>
      </c>
      <c r="FH393" s="200" t="str">
        <f t="shared" si="726"/>
        <v/>
      </c>
      <c r="FI393" s="203">
        <f>IF($J393="",#N/A,SUM(FH$4:FH393))</f>
        <v>0</v>
      </c>
      <c r="FJ393" s="204" t="str">
        <f t="shared" si="727"/>
        <v/>
      </c>
      <c r="FK393" s="204">
        <f>IF($J393="",#N/A,SUM(FJ$4:FJ393))</f>
        <v>0</v>
      </c>
      <c r="FL393" s="205" t="str">
        <f t="shared" si="728"/>
        <v/>
      </c>
      <c r="FM393" s="205">
        <f>IF($J393="",#N/A,SUM(FL$4:FL393))</f>
        <v>0</v>
      </c>
      <c r="FN393" s="205">
        <f>IF($J393="",#N/A,SUM(FL$4:FL393,FJ$4:FJ393,FH$4:FH393))</f>
        <v>0</v>
      </c>
      <c r="FO393" s="200" t="str">
        <f t="shared" si="729"/>
        <v/>
      </c>
      <c r="FP393" s="203">
        <f>IF($J393="",#N/A,SUM(FO$4:FO393))</f>
        <v>0</v>
      </c>
      <c r="FQ393" s="204" t="str">
        <f t="shared" si="730"/>
        <v/>
      </c>
      <c r="FR393" s="204">
        <f>IF($J393="",#N/A,SUM(FQ$4:FQ393))</f>
        <v>0</v>
      </c>
      <c r="FS393" s="205" t="str">
        <f t="shared" si="731"/>
        <v/>
      </c>
      <c r="FT393" s="205">
        <f>IF($J393="",#N/A,SUM(FS$4:FS393))</f>
        <v>0</v>
      </c>
      <c r="FU393" s="205">
        <f>IF($J393="",#N/A,SUM(FS$4:FS393,FQ$4:FQ393,FO$4:FO393))</f>
        <v>0</v>
      </c>
      <c r="FV393" s="200" t="str">
        <f t="shared" si="732"/>
        <v/>
      </c>
      <c r="FW393" s="203">
        <f>IF($J393="",#N/A,SUM(FV$4:FV393))</f>
        <v>6.6834991831277585E-2</v>
      </c>
      <c r="FX393" s="204" t="str">
        <f t="shared" si="733"/>
        <v/>
      </c>
      <c r="FY393" s="204">
        <f>IF($J393="",#N/A,SUM(FX$4:FX393))</f>
        <v>-0.16102012791805576</v>
      </c>
      <c r="FZ393" s="205" t="str">
        <f t="shared" si="734"/>
        <v/>
      </c>
      <c r="GA393" s="205">
        <f>IF($J393="",#N/A,SUM(FZ$4:FZ393))</f>
        <v>-0.69624339162892301</v>
      </c>
      <c r="GB393" s="205">
        <f>IF($J393="",#N/A,SUM(FZ$4:FZ393,FX$4:FX393,FV$4:FV393))</f>
        <v>-0.79042852771570116</v>
      </c>
      <c r="GC393" s="200" t="str">
        <f t="shared" si="735"/>
        <v/>
      </c>
      <c r="GD393" s="203">
        <f>IF($J393="",#N/A,SUM(GC$4:GC393))</f>
        <v>0</v>
      </c>
      <c r="GE393" s="204" t="str">
        <f t="shared" si="736"/>
        <v/>
      </c>
      <c r="GF393" s="204">
        <f>IF($J393="",#N/A,SUM(GE$4:GE393))</f>
        <v>0</v>
      </c>
      <c r="GG393" s="205" t="str">
        <f t="shared" si="737"/>
        <v/>
      </c>
      <c r="GH393" s="205">
        <f>IF($J393="",#N/A,SUM(GG$4:GG393))</f>
        <v>-2.9368362277223206</v>
      </c>
      <c r="GI393" s="205">
        <f>IF($J393="",#N/A,SUM(GG$4:GG393,GE$4:GE393,GC$4:GC393))</f>
        <v>-2.9368362277223206</v>
      </c>
      <c r="GJ393" s="200" t="str">
        <f t="shared" si="738"/>
        <v/>
      </c>
      <c r="GK393" s="203">
        <f>IF($J393="",#N/A,SUM(GJ$4:GJ393))</f>
        <v>0</v>
      </c>
      <c r="GL393" s="204" t="str">
        <f t="shared" si="739"/>
        <v/>
      </c>
      <c r="GM393" s="204">
        <f>IF($J393="",#N/A,SUM(GL$4:GL393))</f>
        <v>-2.0621307233432784</v>
      </c>
      <c r="GN393" s="205" t="str">
        <f t="shared" si="740"/>
        <v/>
      </c>
      <c r="GO393" s="205">
        <f>IF($J393="",#N/A,SUM(GN$4:GN393))</f>
        <v>0</v>
      </c>
      <c r="GP393" s="205">
        <f>IF($J393="",#N/A,SUM(GN$4:GN393,GL$4:GL393,GJ$4:GJ393))</f>
        <v>-2.0621307233432784</v>
      </c>
      <c r="GS393" s="54">
        <f t="shared" si="759"/>
        <v>-0.10640336789790654</v>
      </c>
      <c r="GT393" s="54">
        <f>IF(GS393="",NA(),SUM($GS$4:GS393))</f>
        <v>10.918907078420746</v>
      </c>
      <c r="GU393" s="54">
        <f t="shared" si="741"/>
        <v>-0.10640336789790654</v>
      </c>
      <c r="GV393" s="54">
        <f>IF(GU393="",NA(),SUM($GU$4:GU393))</f>
        <v>-6.4584387704756079</v>
      </c>
      <c r="GW393" s="54" t="str">
        <f t="shared" si="742"/>
        <v/>
      </c>
      <c r="GX393" s="54" t="e">
        <f>IF(GW393="",NA(),SUM($GW$4:GW393))</f>
        <v>#N/A</v>
      </c>
      <c r="GY393" s="54" t="str">
        <f t="shared" si="743"/>
        <v/>
      </c>
      <c r="GZ393" s="54" t="e">
        <f>IF(GY393="",NA(),SUM($GY$4:GY393))</f>
        <v>#N/A</v>
      </c>
      <c r="HA393" s="54" t="str">
        <f t="shared" si="744"/>
        <v/>
      </c>
      <c r="HB393" s="54" t="e">
        <f>IF(HA393="",NA(),SUM($HA$4:HA393))</f>
        <v>#N/A</v>
      </c>
      <c r="HC393" s="54" t="str">
        <f t="shared" si="745"/>
        <v/>
      </c>
      <c r="HD393" s="54" t="e">
        <f>IF(HC393="",NA(),SUM($HC$4:HC393))</f>
        <v>#N/A</v>
      </c>
      <c r="HE393" s="54" t="str">
        <f t="shared" si="746"/>
        <v/>
      </c>
      <c r="HF393" s="54" t="e">
        <f>IF(HE393="",NA(),SUM($HE$4:HE393))</f>
        <v>#N/A</v>
      </c>
      <c r="HG393" s="54" t="str">
        <f t="shared" si="747"/>
        <v/>
      </c>
      <c r="HH393" s="54" t="e">
        <f>IF(HG393="",NA(),SUM($HG$4:HG393))</f>
        <v>#N/A</v>
      </c>
      <c r="HI393" s="172" t="str">
        <f t="shared" si="760"/>
        <v/>
      </c>
      <c r="HJ393" s="172">
        <f>IF($J393="",#N/A,SUM(HI$4:$HI393))</f>
        <v>-11.384655655360691</v>
      </c>
      <c r="HK393" s="54" t="str">
        <f t="shared" si="748"/>
        <v/>
      </c>
      <c r="HL393" s="54">
        <f>IF($J393="",#N/A,SUM($HK$4:HK393))</f>
        <v>7.4780353515533324</v>
      </c>
      <c r="HM393" s="54" t="str">
        <f t="shared" si="749"/>
        <v/>
      </c>
      <c r="HN393" s="54">
        <f>IF($J393="",#N/A,SUM($HM$4:HM393))</f>
        <v>-0.22647033717412757</v>
      </c>
      <c r="HO393" s="54">
        <f t="shared" si="750"/>
        <v>0.62586328819451509</v>
      </c>
      <c r="HP393" s="54">
        <f>IF($J393="",#N/A,SUM($HO$4:HO393))</f>
        <v>2.5247847798115064E-2</v>
      </c>
      <c r="HQ393" s="54" t="str">
        <f t="shared" si="751"/>
        <v/>
      </c>
      <c r="HR393" s="54">
        <f>IF($J393="",#N/A,SUM($HQ$4:HQ393))</f>
        <v>-14.031884296467537</v>
      </c>
      <c r="HS393" s="54" t="str">
        <f t="shared" si="752"/>
        <v/>
      </c>
      <c r="HT393" s="54">
        <f>IF($J393="",#N/A,SUM($HS$4:HS393))</f>
        <v>16.137594668080389</v>
      </c>
      <c r="HU393" s="65">
        <f t="shared" si="753"/>
        <v>0.51945992029660859</v>
      </c>
      <c r="HV393" s="65">
        <f>IF($J393="",#N/A,SUM(HU$4:$HU393))</f>
        <v>8.0648862382461015</v>
      </c>
    </row>
    <row r="394" spans="1:230" ht="15.75" thickBot="1" x14ac:dyDescent="0.3">
      <c r="A394" s="292" t="s">
        <v>1224</v>
      </c>
      <c r="B394" s="293" t="s">
        <v>5549</v>
      </c>
      <c r="C394" s="294">
        <f t="shared" si="654"/>
        <v>3</v>
      </c>
      <c r="D394" s="295" t="str">
        <f>_xlfn.XLOOKUP(A394,[1]SP500!$A$2:$A$502,[1]SP500!$D$2:$D$502,"N")</f>
        <v>Y</v>
      </c>
      <c r="E394" s="292" t="str">
        <f>IFERROR(_xlfn.XLOOKUP(A394,[1]SP500!$A$2:$A$655,[1]SP500!$B$2:$B$655),"")</f>
        <v>XLY</v>
      </c>
      <c r="F394" s="296">
        <v>45806</v>
      </c>
      <c r="G394" s="292" t="str">
        <f t="shared" si="655"/>
        <v>AMC</v>
      </c>
      <c r="H394" s="292" t="str">
        <f t="shared" si="656"/>
        <v>s</v>
      </c>
      <c r="I394" s="345">
        <v>421.79</v>
      </c>
      <c r="J394" s="297">
        <v>468.16</v>
      </c>
      <c r="K394" s="298">
        <f t="shared" si="657"/>
        <v>0.10993622418739184</v>
      </c>
      <c r="L394" s="299">
        <f t="shared" si="658"/>
        <v>139.1099999999999</v>
      </c>
      <c r="M394" s="300">
        <f t="shared" si="659"/>
        <v>0</v>
      </c>
      <c r="N394" s="341">
        <f t="shared" si="660"/>
        <v>139.1099999999999</v>
      </c>
      <c r="O394" s="300">
        <f>IF(N394="",#N/A,SUM($N$4:N394))</f>
        <v>447.8760749203567</v>
      </c>
      <c r="P394" s="305">
        <f t="shared" si="754"/>
        <v>1.8322704031231958</v>
      </c>
      <c r="Q394" s="304">
        <f>IF($N394="",#N/A,SUM($P$4:P394))</f>
        <v>12.395462518807363</v>
      </c>
      <c r="R394" s="307">
        <f t="shared" si="661"/>
        <v>3.6263495899608724</v>
      </c>
      <c r="S394" s="292" t="str">
        <f t="shared" si="662"/>
        <v>SW</v>
      </c>
      <c r="T394" s="292" t="s">
        <v>2828</v>
      </c>
      <c r="U394" s="308">
        <f t="shared" si="663"/>
        <v>421.79</v>
      </c>
      <c r="V394" s="308" t="s">
        <v>4460</v>
      </c>
      <c r="W394" s="310">
        <v>3</v>
      </c>
      <c r="X394" s="309">
        <f t="shared" si="664"/>
        <v>1265.3700000000001</v>
      </c>
      <c r="Y394" s="310">
        <f t="shared" si="665"/>
        <v>3</v>
      </c>
      <c r="Z394" s="311">
        <v>468.16</v>
      </c>
      <c r="AA394" s="341">
        <f t="shared" si="666"/>
        <v>139.1099999999999</v>
      </c>
      <c r="AB394" s="341">
        <f t="shared" si="667"/>
        <v>149.00999999999976</v>
      </c>
      <c r="AC394" s="297">
        <v>471.46</v>
      </c>
      <c r="AD394" s="301">
        <f t="shared" si="668"/>
        <v>149.00999999999976</v>
      </c>
      <c r="AE394" s="546">
        <f t="shared" si="669"/>
        <v>1.9626670460023519</v>
      </c>
      <c r="AF394" s="300">
        <f>IF($AC394="",#N/A,SUM(AD$4:AD394))</f>
        <v>543.89996410331514</v>
      </c>
      <c r="AG394" s="341">
        <f t="shared" si="670"/>
        <v>9.8999999999998636</v>
      </c>
      <c r="AH394" s="308" t="s">
        <v>2507</v>
      </c>
      <c r="AI394" s="305">
        <f t="shared" si="671"/>
        <v>1.8322704031231958</v>
      </c>
      <c r="AJ394" s="418">
        <f>IF(AI394="",#N/A,SUM($AI$4:AI394))</f>
        <v>8.7691129288464911</v>
      </c>
      <c r="AK394" s="300">
        <f t="shared" si="672"/>
        <v>139.1099999999999</v>
      </c>
      <c r="AL394" s="406">
        <f>IF(AI394="",#N/A,IF(AH394="Skip",SUM($AK$4:AK394),SUM($AK$4:AK394)))</f>
        <v>269.2123692784819</v>
      </c>
      <c r="AM394" s="65">
        <f t="shared" si="755"/>
        <v>1.9626670460023519</v>
      </c>
      <c r="AN394" s="209"/>
      <c r="AO394" s="65">
        <f t="shared" si="673"/>
        <v>1.9626670460023519</v>
      </c>
      <c r="AP394" s="65">
        <f>IF($AC394="",#N/A,SUM(AO$4:AO394))</f>
        <v>12.643140705509158</v>
      </c>
      <c r="AQ394" s="65" t="str">
        <f t="shared" si="674"/>
        <v/>
      </c>
      <c r="AR394" s="65">
        <f>IF($AC394="",#N/A,SUM(AQ$4:AQ394))</f>
        <v>-9.7558140398667987</v>
      </c>
      <c r="AS394" s="65" t="str">
        <f t="shared" si="675"/>
        <v/>
      </c>
      <c r="AT394" s="65">
        <f>IF($AC394="",#N/A,SUM(AS$4:AS394))</f>
        <v>7.1402266186060874</v>
      </c>
      <c r="AU394" s="57">
        <f t="shared" si="756"/>
        <v>149.00999999999976</v>
      </c>
      <c r="AV394" s="57">
        <f>IF($AC394="",#N/A,SUM(AU$4:AU394))</f>
        <v>740.97383890574679</v>
      </c>
      <c r="AW394" s="57" t="str">
        <f t="shared" si="757"/>
        <v/>
      </c>
      <c r="AX394" s="57">
        <f>IF($AC394="",#N/A,SUM(AW$4:AW394))</f>
        <v>-731.3710679796111</v>
      </c>
      <c r="AY394" s="57" t="str">
        <f t="shared" si="758"/>
        <v/>
      </c>
      <c r="AZ394" s="57">
        <f>IF($AC394="",#N/A,SUM(AY$4:AY394))</f>
        <v>534.29719317717934</v>
      </c>
      <c r="BA394" s="57">
        <f>IF(AD394="",#N/A,SUM($AD$4:AD394))</f>
        <v>543.89996410331514</v>
      </c>
      <c r="BC394" s="51" t="str">
        <f t="shared" si="676"/>
        <v/>
      </c>
      <c r="BD394" s="51" t="str">
        <f t="shared" si="677"/>
        <v/>
      </c>
      <c r="BE394" s="51">
        <f t="shared" si="678"/>
        <v>1</v>
      </c>
      <c r="BF394" s="51" t="str">
        <f t="shared" si="679"/>
        <v>Long</v>
      </c>
      <c r="BG394" s="51" t="str">
        <f t="shared" si="680"/>
        <v/>
      </c>
      <c r="BH394" s="51" t="str">
        <f t="shared" si="681"/>
        <v/>
      </c>
      <c r="BI394" s="51" t="str">
        <f t="shared" si="682"/>
        <v/>
      </c>
      <c r="BK394" s="65">
        <f t="shared" si="653"/>
        <v>-7.8364336431150011E-2</v>
      </c>
      <c r="BL394" s="65">
        <f t="shared" si="652"/>
        <v>0.21149286875368326</v>
      </c>
      <c r="BM394" s="65">
        <f>IFERROR(Q394/COUNTA($J$4:J394),#N/A)</f>
        <v>3.1701950175977912E-2</v>
      </c>
      <c r="BO394" s="489">
        <f>IF(J394="",#N/A,IF(S394="SW",(COUNTIFS(K$4:$K394,"&gt;0",S$4:$S394,"SW")/COUNTIF(S$4:$S394,"SW")),#N/A))</f>
        <v>0.5</v>
      </c>
      <c r="BP394" s="489" t="e">
        <f>IF($J394="",#N/A,IF($S394="DWN",(COUNTIFS($K$4:$K394,"&lt;0",$S$4:$S394,"DWN")/COUNTIF($S$4:$S394,"DWN")),#N/A))</f>
        <v>#N/A</v>
      </c>
      <c r="BQ394" s="489" t="e">
        <f>IF($J394="",#N/A,IF($S394="UP",(COUNTIFS($K$4:$K394,"&gt;0",$S$4:$S394,"UP")/COUNTIF($S$4:$S394,"UP")),#N/A))</f>
        <v>#N/A</v>
      </c>
      <c r="BR394" s="489">
        <f>IF(J394="",#N/A,COUNTIF($K$4:K394,"&gt;0")/COUNT($J$4:J394))</f>
        <v>0.47058823529411764</v>
      </c>
      <c r="BS394" s="65">
        <f t="shared" si="683"/>
        <v>1.8322704031231958</v>
      </c>
      <c r="BT394" s="65" t="str">
        <f t="shared" si="684"/>
        <v/>
      </c>
      <c r="BU394" s="65" t="str">
        <f t="shared" si="685"/>
        <v/>
      </c>
      <c r="BV394" s="65" t="str">
        <f t="shared" si="686"/>
        <v/>
      </c>
      <c r="BW394" s="128" t="str">
        <f t="shared" si="687"/>
        <v/>
      </c>
      <c r="BX394" s="128">
        <f>IF($J394="",#N/A,SUM($BW$4:BW394))</f>
        <v>-737.3781703479292</v>
      </c>
      <c r="BY394" s="131" t="str">
        <f t="shared" si="688"/>
        <v/>
      </c>
      <c r="BZ394" s="131">
        <f>IF($J394="",#N/A,SUM($BY$4:BY394))</f>
        <v>582.30161346139425</v>
      </c>
      <c r="CA394" s="133">
        <f t="shared" si="689"/>
        <v>139.1099999999999</v>
      </c>
      <c r="CB394" s="133">
        <f>IF($J394="",#N/A,SUM($CA$4:CA394))</f>
        <v>602.95263180689142</v>
      </c>
      <c r="CC394" s="194" t="str">
        <f t="shared" si="690"/>
        <v/>
      </c>
      <c r="CD394" s="194">
        <f>IF($J394="",#N/A,SUM($CC$4:CC394))</f>
        <v>-9.5545915504907839</v>
      </c>
      <c r="CE394" s="195" t="str">
        <f t="shared" si="691"/>
        <v/>
      </c>
      <c r="CF394" s="195">
        <f>IF($J394="",#N/A,SUM($CE$4:CE394))</f>
        <v>11.046846922413456</v>
      </c>
      <c r="CG394" s="196">
        <f t="shared" si="692"/>
        <v>1.8322704031231958</v>
      </c>
      <c r="CH394" s="196">
        <f>IF($J394="",#N/A,SUM($CG$4:CG394))</f>
        <v>10.903207146884704</v>
      </c>
      <c r="CI394" s="200" t="str">
        <f t="shared" si="693"/>
        <v/>
      </c>
      <c r="CJ394" s="203">
        <f>IF($J394="",#N/A,SUM(CI$4:CI394))</f>
        <v>0</v>
      </c>
      <c r="CK394" s="204" t="str">
        <f t="shared" si="694"/>
        <v/>
      </c>
      <c r="CL394" s="204">
        <f>IF($J394="",#N/A,SUM(CK$4:CK394))</f>
        <v>2.0825010564889137</v>
      </c>
      <c r="CM394" s="205" t="str">
        <f t="shared" si="695"/>
        <v/>
      </c>
      <c r="CN394" s="205">
        <f>IF($J394="",#N/A,SUM(CM$4:CM394))</f>
        <v>-0.88558254952057891</v>
      </c>
      <c r="CO394" s="205">
        <f>IF($J394="",#N/A,SUM(CM$4:CM394,CK$4:CK394,CI$4:CI394))</f>
        <v>1.1969185069683352</v>
      </c>
      <c r="CP394" s="200" t="str">
        <f t="shared" si="696"/>
        <v/>
      </c>
      <c r="CQ394" s="203">
        <f>IF($J394="",#N/A,SUM(CP$4:CP394))</f>
        <v>-2.8337957655297128</v>
      </c>
      <c r="CR394" s="204" t="str">
        <f t="shared" si="697"/>
        <v/>
      </c>
      <c r="CS394" s="204">
        <f>IF($J394="",#N/A,SUM(CR$4:CR394))</f>
        <v>2.3600225017004668</v>
      </c>
      <c r="CT394" s="205" t="str">
        <f t="shared" si="698"/>
        <v/>
      </c>
      <c r="CU394" s="205">
        <f>IF($J394="",#N/A,SUM(CT$4:CT394))</f>
        <v>-4.892829975913175</v>
      </c>
      <c r="CV394" s="205">
        <f>IF($J394="",#N/A,SUM(CT$4:CT394,CR$4:CR394,CP$4:CP394))</f>
        <v>-5.3666032397424219</v>
      </c>
      <c r="CW394" s="200" t="str">
        <f t="shared" si="699"/>
        <v/>
      </c>
      <c r="CX394" s="203">
        <f>IF($J394="",#N/A,SUM(CW$4:CW394))</f>
        <v>-6.3374847922823907</v>
      </c>
      <c r="CY394" s="204" t="str">
        <f t="shared" si="700"/>
        <v/>
      </c>
      <c r="CZ394" s="204">
        <f>IF($J394="",#N/A,SUM(CY$4:CY394))</f>
        <v>-2.4332142608051761</v>
      </c>
      <c r="DA394" s="205">
        <f t="shared" si="701"/>
        <v>1.8322704031231958</v>
      </c>
      <c r="DB394" s="205">
        <f>IF($J394="",#N/A,SUM(DA$4:DA394))</f>
        <v>-1.3155870379734311</v>
      </c>
      <c r="DC394" s="205">
        <f>IF($J394="",#N/A,SUM(DA$4:DA394,CY$4:CY394,CW$4:CW394))</f>
        <v>-10.086286091061</v>
      </c>
      <c r="DD394" s="200" t="str">
        <f t="shared" si="702"/>
        <v/>
      </c>
      <c r="DE394" s="203">
        <f>IF($J394="",#N/A,SUM(DD$4:DD394))</f>
        <v>1.5096995539822815</v>
      </c>
      <c r="DF394" s="204" t="str">
        <f t="shared" si="703"/>
        <v/>
      </c>
      <c r="DG394" s="204">
        <f>IF($J394="",#N/A,SUM(DF$4:DF394))</f>
        <v>4.1810385231482243</v>
      </c>
      <c r="DH394" s="205" t="str">
        <f t="shared" si="704"/>
        <v/>
      </c>
      <c r="DI394" s="205">
        <f>IF($J394="",#N/A,SUM(DH$4:DH394))</f>
        <v>-0.23863035537359656</v>
      </c>
      <c r="DJ394" s="205">
        <f>IF($J394="",#N/A,SUM(DH$4:DH394,DF$4:DF394,DD$4:DD394))</f>
        <v>5.4521077217569092</v>
      </c>
      <c r="DK394" s="200" t="str">
        <f t="shared" si="705"/>
        <v/>
      </c>
      <c r="DL394" s="203">
        <f>IF($J394="",#N/A,SUM(DK$4:DK394))</f>
        <v>-0.84049791589649614</v>
      </c>
      <c r="DM394" s="204" t="str">
        <f t="shared" si="706"/>
        <v/>
      </c>
      <c r="DN394" s="204">
        <f>IF($J394="",#N/A,SUM(DM$4:DM394))</f>
        <v>1.8657648196498773</v>
      </c>
      <c r="DO394" s="205" t="str">
        <f t="shared" si="707"/>
        <v/>
      </c>
      <c r="DP394" s="205">
        <f>IF($J394="",#N/A,SUM(DO$4:DO394))</f>
        <v>3.4887162328793941</v>
      </c>
      <c r="DQ394" s="205">
        <f>IF($J394="",#N/A,SUM(DO$4:DO394,DM$4:DM394,DK$4:DK394))</f>
        <v>4.5139831366327758</v>
      </c>
      <c r="DR394" s="200" t="str">
        <f t="shared" si="708"/>
        <v/>
      </c>
      <c r="DS394" s="203">
        <f>IF($J394="",#N/A,SUM(DR$4:DR394))</f>
        <v>-0.55950946427675097</v>
      </c>
      <c r="DT394" s="204" t="str">
        <f t="shared" si="709"/>
        <v/>
      </c>
      <c r="DU394" s="204">
        <f>IF($J394="",#N/A,SUM(DT$4:DT394))</f>
        <v>-0.20750635820596686</v>
      </c>
      <c r="DV394" s="205" t="str">
        <f t="shared" si="710"/>
        <v/>
      </c>
      <c r="DW394" s="205">
        <f>IF($J394="",#N/A,SUM(DV$4:DV394))</f>
        <v>-2.3377035686214001</v>
      </c>
      <c r="DX394" s="205">
        <f>IF($J394="",#N/A,SUM(DV$4:DV394,DT$4:DT394,DR$4:DR394))</f>
        <v>-3.1047193911041169</v>
      </c>
      <c r="DY394" s="200" t="str">
        <f t="shared" si="711"/>
        <v/>
      </c>
      <c r="DZ394" s="203">
        <f>IF($J394="",#N/A,SUM(DY$4:DY394))</f>
        <v>-1.4146842415208627</v>
      </c>
      <c r="EA394" s="204" t="str">
        <f t="shared" si="712"/>
        <v/>
      </c>
      <c r="EB394" s="204">
        <f>IF($J394="",#N/A,SUM(EA$4:EA394))</f>
        <v>4.3184391548878134</v>
      </c>
      <c r="EC394" s="205" t="str">
        <f t="shared" si="713"/>
        <v/>
      </c>
      <c r="ED394" s="205">
        <f>IF($J394="",#N/A,SUM(EC$4:EC394))</f>
        <v>8.4384553208490907</v>
      </c>
      <c r="EE394" s="205">
        <f>IF($J394="",#N/A,SUM(EC$4:EC394,EA$4:EA394,DY$4:DY394))</f>
        <v>11.342210234216044</v>
      </c>
      <c r="EF394" s="200" t="str">
        <f t="shared" si="714"/>
        <v/>
      </c>
      <c r="EG394" s="203">
        <f>IF($J394="",#N/A,SUM(EF$4:EF394))</f>
        <v>0.65848341369884777</v>
      </c>
      <c r="EH394" s="204" t="str">
        <f t="shared" si="715"/>
        <v/>
      </c>
      <c r="EI394" s="204">
        <f>IF($J394="",#N/A,SUM(EH$4:EH394))</f>
        <v>-3.5125331561187787</v>
      </c>
      <c r="EJ394" s="205" t="str">
        <f t="shared" si="716"/>
        <v/>
      </c>
      <c r="EK394" s="205">
        <f>IF($J394="",#N/A,SUM(EJ$4:EJ394))</f>
        <v>11.820135611943035</v>
      </c>
      <c r="EL394" s="205">
        <f>IF($J394="",#N/A,SUM(EJ$4:EJ394,EH$4:EH394,EF$4:EF394))</f>
        <v>8.9660858695231074</v>
      </c>
      <c r="EM394" s="200" t="str">
        <f t="shared" si="717"/>
        <v/>
      </c>
      <c r="EN394" s="203">
        <f>IF($J394="",#N/A,SUM(EM$4:EM394))</f>
        <v>0</v>
      </c>
      <c r="EO394" s="204" t="str">
        <f t="shared" si="718"/>
        <v/>
      </c>
      <c r="EP394" s="204">
        <f>IF($J394="",#N/A,SUM(EO$4:EO394))</f>
        <v>2.4788862078089964</v>
      </c>
      <c r="EQ394" s="205" t="str">
        <f t="shared" si="719"/>
        <v/>
      </c>
      <c r="ER394" s="205">
        <f>IF($J394="",#N/A,SUM(EQ$4:EQ394))</f>
        <v>1.7856049065476487</v>
      </c>
      <c r="ES394" s="205">
        <f>IF($J394="",#N/A,SUM(EQ$4:EQ394,EO$4:EO394,EM$4:EM394))</f>
        <v>4.2644911143566446</v>
      </c>
      <c r="ET394" s="200" t="str">
        <f t="shared" si="720"/>
        <v/>
      </c>
      <c r="EU394" s="203">
        <f>IF($J394="",#N/A,SUM(ET$4:ET394))</f>
        <v>0</v>
      </c>
      <c r="EV394" s="204" t="str">
        <f t="shared" si="721"/>
        <v/>
      </c>
      <c r="EW394" s="204">
        <f>IF($J394="",#N/A,SUM(EV$4:EV394))</f>
        <v>7.9116394275462909E-2</v>
      </c>
      <c r="EX394" s="205" t="str">
        <f t="shared" si="722"/>
        <v/>
      </c>
      <c r="EY394" s="205">
        <f>IF($J394="",#N/A,SUM(EX$4:EX394))</f>
        <v>0.62848633887309935</v>
      </c>
      <c r="EZ394" s="205">
        <f>IF($J394="",#N/A,SUM(EX$4:EX394,EV$4:EV394,ET$4:ET394))</f>
        <v>0.70760273314856192</v>
      </c>
      <c r="FA394" s="200" t="str">
        <f t="shared" si="723"/>
        <v/>
      </c>
      <c r="FB394" s="203">
        <f>IF($J394="",#N/A,SUM(FA$4:FA394))</f>
        <v>-0.27145310509113252</v>
      </c>
      <c r="FC394" s="204" t="str">
        <f t="shared" si="724"/>
        <v/>
      </c>
      <c r="FD394" s="204">
        <f>IF($J394="",#N/A,SUM(FC$4:FC394))</f>
        <v>0.89084290967454072</v>
      </c>
      <c r="FE394" s="205" t="str">
        <f t="shared" si="725"/>
        <v/>
      </c>
      <c r="FF394" s="205">
        <f>IF($J394="",#N/A,SUM(FE$4:FE394))</f>
        <v>-0.28811149078748233</v>
      </c>
      <c r="FG394" s="205">
        <f>IF($J394="",#N/A,SUM(FE$4:FE394,FC$4:FC394,FA$4:FA394))</f>
        <v>0.3312783137959262</v>
      </c>
      <c r="FH394" s="200" t="str">
        <f t="shared" si="726"/>
        <v/>
      </c>
      <c r="FI394" s="203">
        <f>IF($J394="",#N/A,SUM(FH$4:FH394))</f>
        <v>0</v>
      </c>
      <c r="FJ394" s="204" t="str">
        <f t="shared" si="727"/>
        <v/>
      </c>
      <c r="FK394" s="204">
        <f>IF($J394="",#N/A,SUM(FJ$4:FJ394))</f>
        <v>0</v>
      </c>
      <c r="FL394" s="205" t="str">
        <f t="shared" si="728"/>
        <v/>
      </c>
      <c r="FM394" s="205">
        <f>IF($J394="",#N/A,SUM(FL$4:FL394))</f>
        <v>0</v>
      </c>
      <c r="FN394" s="205">
        <f>IF($J394="",#N/A,SUM(FL$4:FL394,FJ$4:FJ394,FH$4:FH394))</f>
        <v>0</v>
      </c>
      <c r="FO394" s="200" t="str">
        <f t="shared" si="729"/>
        <v/>
      </c>
      <c r="FP394" s="203">
        <f>IF($J394="",#N/A,SUM(FO$4:FO394))</f>
        <v>0</v>
      </c>
      <c r="FQ394" s="204" t="str">
        <f t="shared" si="730"/>
        <v/>
      </c>
      <c r="FR394" s="204">
        <f>IF($J394="",#N/A,SUM(FQ$4:FQ394))</f>
        <v>0</v>
      </c>
      <c r="FS394" s="205" t="str">
        <f t="shared" si="731"/>
        <v/>
      </c>
      <c r="FT394" s="205">
        <f>IF($J394="",#N/A,SUM(FS$4:FS394))</f>
        <v>0</v>
      </c>
      <c r="FU394" s="205">
        <f>IF($J394="",#N/A,SUM(FS$4:FS394,FQ$4:FQ394,FO$4:FO394))</f>
        <v>0</v>
      </c>
      <c r="FV394" s="200" t="str">
        <f t="shared" si="732"/>
        <v/>
      </c>
      <c r="FW394" s="203">
        <f>IF($J394="",#N/A,SUM(FV$4:FV394))</f>
        <v>6.6834991831277585E-2</v>
      </c>
      <c r="FX394" s="204" t="str">
        <f t="shared" si="733"/>
        <v/>
      </c>
      <c r="FY394" s="204">
        <f>IF($J394="",#N/A,SUM(FX$4:FX394))</f>
        <v>-0.16102012791805576</v>
      </c>
      <c r="FZ394" s="205" t="str">
        <f t="shared" si="734"/>
        <v/>
      </c>
      <c r="GA394" s="205">
        <f>IF($J394="",#N/A,SUM(FZ$4:FZ394))</f>
        <v>-0.69624339162892301</v>
      </c>
      <c r="GB394" s="205">
        <f>IF($J394="",#N/A,SUM(FZ$4:FZ394,FX$4:FX394,FV$4:FV394))</f>
        <v>-0.79042852771570116</v>
      </c>
      <c r="GC394" s="200" t="str">
        <f t="shared" si="735"/>
        <v/>
      </c>
      <c r="GD394" s="203">
        <f>IF($J394="",#N/A,SUM(GC$4:GC394))</f>
        <v>0</v>
      </c>
      <c r="GE394" s="204" t="str">
        <f t="shared" si="736"/>
        <v/>
      </c>
      <c r="GF394" s="204">
        <f>IF($J394="",#N/A,SUM(GE$4:GE394))</f>
        <v>0</v>
      </c>
      <c r="GG394" s="205" t="str">
        <f t="shared" si="737"/>
        <v/>
      </c>
      <c r="GH394" s="205">
        <f>IF($J394="",#N/A,SUM(GG$4:GG394))</f>
        <v>-2.9368362277223206</v>
      </c>
      <c r="GI394" s="205">
        <f>IF($J394="",#N/A,SUM(GG$4:GG394,GE$4:GE394,GC$4:GC394))</f>
        <v>-2.9368362277223206</v>
      </c>
      <c r="GJ394" s="200" t="str">
        <f t="shared" si="738"/>
        <v/>
      </c>
      <c r="GK394" s="203">
        <f>IF($J394="",#N/A,SUM(GJ$4:GJ394))</f>
        <v>0</v>
      </c>
      <c r="GL394" s="204" t="str">
        <f t="shared" si="739"/>
        <v/>
      </c>
      <c r="GM394" s="204">
        <f>IF($J394="",#N/A,SUM(GL$4:GL394))</f>
        <v>-2.0621307233432784</v>
      </c>
      <c r="GN394" s="205" t="str">
        <f t="shared" si="740"/>
        <v/>
      </c>
      <c r="GO394" s="205">
        <f>IF($J394="",#N/A,SUM(GN$4:GN394))</f>
        <v>0</v>
      </c>
      <c r="GP394" s="205">
        <f>IF($J394="",#N/A,SUM(GN$4:GN394,GL$4:GL394,GJ$4:GJ394))</f>
        <v>-2.0621307233432784</v>
      </c>
      <c r="GS394" s="54">
        <f t="shared" si="759"/>
        <v>1.8322704031231958</v>
      </c>
      <c r="GT394" s="54">
        <f>IF(GS394="",NA(),SUM($GS$4:GS394))</f>
        <v>12.751177481543943</v>
      </c>
      <c r="GU394" s="54" t="str">
        <f t="shared" si="741"/>
        <v/>
      </c>
      <c r="GV394" s="54" t="e">
        <f>IF(GU394="",NA(),SUM($GU$4:GU394))</f>
        <v>#N/A</v>
      </c>
      <c r="GW394" s="54">
        <f t="shared" si="742"/>
        <v>1.8322704031231958</v>
      </c>
      <c r="GX394" s="54">
        <f>IF(GW394="",NA(),SUM($GW$4:GW394))</f>
        <v>8.4564148617739967</v>
      </c>
      <c r="GY394" s="54" t="str">
        <f t="shared" si="743"/>
        <v/>
      </c>
      <c r="GZ394" s="54" t="e">
        <f>IF(GY394="",NA(),SUM($GY$4:GY394))</f>
        <v>#N/A</v>
      </c>
      <c r="HA394" s="54" t="str">
        <f t="shared" si="744"/>
        <v/>
      </c>
      <c r="HB394" s="54" t="e">
        <f>IF(HA394="",NA(),SUM($HA$4:HA394))</f>
        <v>#N/A</v>
      </c>
      <c r="HC394" s="54" t="str">
        <f t="shared" si="745"/>
        <v/>
      </c>
      <c r="HD394" s="54" t="e">
        <f>IF(HC394="",NA(),SUM($HC$4:HC394))</f>
        <v>#N/A</v>
      </c>
      <c r="HE394" s="54" t="str">
        <f t="shared" si="746"/>
        <v/>
      </c>
      <c r="HF394" s="54" t="e">
        <f>IF(HE394="",NA(),SUM($HE$4:HE394))</f>
        <v>#N/A</v>
      </c>
      <c r="HG394" s="54" t="str">
        <f t="shared" si="747"/>
        <v/>
      </c>
      <c r="HH394" s="54" t="e">
        <f>IF(HG394="",NA(),SUM($HG$4:HG394))</f>
        <v>#N/A</v>
      </c>
      <c r="HI394" s="172" t="str">
        <f t="shared" si="760"/>
        <v/>
      </c>
      <c r="HJ394" s="172">
        <f>IF($J394="",#N/A,SUM(HI$4:$HI394))</f>
        <v>-11.384655655360691</v>
      </c>
      <c r="HK394" s="54" t="str">
        <f t="shared" si="748"/>
        <v/>
      </c>
      <c r="HL394" s="54">
        <f>IF($J394="",#N/A,SUM($HK$4:HK394))</f>
        <v>7.4780353515533324</v>
      </c>
      <c r="HM394" s="54" t="str">
        <f t="shared" si="749"/>
        <v/>
      </c>
      <c r="HN394" s="54">
        <f>IF($J394="",#N/A,SUM($HM$4:HM394))</f>
        <v>-0.22647033717412757</v>
      </c>
      <c r="HO394" s="54" t="str">
        <f t="shared" si="750"/>
        <v/>
      </c>
      <c r="HP394" s="54">
        <f>IF($J394="",#N/A,SUM($HO$4:HO394))</f>
        <v>2.5247847798115064E-2</v>
      </c>
      <c r="HQ394" s="54">
        <f t="shared" si="751"/>
        <v>0.13039664287915609</v>
      </c>
      <c r="HR394" s="54">
        <f>IF($J394="",#N/A,SUM($HQ$4:HQ394))</f>
        <v>-13.901487653588381</v>
      </c>
      <c r="HS394" s="54" t="str">
        <f t="shared" si="752"/>
        <v/>
      </c>
      <c r="HT394" s="54">
        <f>IF($J394="",#N/A,SUM($HS$4:HS394))</f>
        <v>16.137594668080389</v>
      </c>
      <c r="HU394" s="65">
        <f t="shared" si="753"/>
        <v>1.9626670460023519</v>
      </c>
      <c r="HV394" s="65">
        <f>IF($J394="",#N/A,SUM(HU$4:$HU394))</f>
        <v>10.027553284248453</v>
      </c>
    </row>
    <row r="395" spans="1:230" ht="15.75" thickBot="1" x14ac:dyDescent="0.3">
      <c r="A395" s="316" t="s">
        <v>1190</v>
      </c>
      <c r="B395" s="317" t="s">
        <v>5550</v>
      </c>
      <c r="C395" s="318">
        <f t="shared" si="654"/>
        <v>2</v>
      </c>
      <c r="D395" s="384" t="str">
        <f>_xlfn.XLOOKUP(A395,[1]SP500!$A$2:$A$502,[1]SP500!$D$2:$D$502,"N")</f>
        <v>Y</v>
      </c>
      <c r="E395" s="316" t="str">
        <f>IFERROR(_xlfn.XLOOKUP(A395,[1]SP500!$A$2:$A$655,[1]SP500!$B$2:$B$655),"")</f>
        <v>XLP</v>
      </c>
      <c r="F395" s="320">
        <v>45810</v>
      </c>
      <c r="G395" s="316" t="str">
        <f t="shared" si="655"/>
        <v>BMO</v>
      </c>
      <c r="H395" s="316" t="str">
        <f t="shared" si="656"/>
        <v>s</v>
      </c>
      <c r="I395" s="385">
        <v>34.04</v>
      </c>
      <c r="J395" s="337">
        <v>34.85</v>
      </c>
      <c r="K395" s="322">
        <f t="shared" si="657"/>
        <v>2.3795534665099951E-2</v>
      </c>
      <c r="L395" s="323">
        <f t="shared" si="658"/>
        <v>-32.400000000000091</v>
      </c>
      <c r="M395" s="324">
        <f t="shared" si="659"/>
        <v>-6</v>
      </c>
      <c r="N395" s="466">
        <f t="shared" si="660"/>
        <v>-32.400000000000091</v>
      </c>
      <c r="O395" s="324">
        <f>IF(N395="",#N/A,SUM($N$4:N395))</f>
        <v>415.47607492035661</v>
      </c>
      <c r="P395" s="331">
        <f t="shared" si="754"/>
        <v>-0.39659224441833252</v>
      </c>
      <c r="Q395" s="328">
        <f>IF($N395="",#N/A,SUM($P$4:P395))</f>
        <v>11.998870274389031</v>
      </c>
      <c r="R395" s="333">
        <f t="shared" si="661"/>
        <v>3.6997925981864892</v>
      </c>
      <c r="S395" s="316" t="str">
        <f t="shared" si="662"/>
        <v>Dwn</v>
      </c>
      <c r="T395" s="316" t="s">
        <v>4461</v>
      </c>
      <c r="U395" s="334">
        <f t="shared" si="663"/>
        <v>34.04</v>
      </c>
      <c r="V395" s="334" t="s">
        <v>4458</v>
      </c>
      <c r="W395" s="336">
        <v>40</v>
      </c>
      <c r="X395" s="335">
        <f t="shared" si="664"/>
        <v>1361.6</v>
      </c>
      <c r="Y395" s="336">
        <f t="shared" si="665"/>
        <v>40</v>
      </c>
      <c r="Z395" s="555">
        <v>35</v>
      </c>
      <c r="AA395" s="466">
        <f t="shared" si="666"/>
        <v>-38.400000000000091</v>
      </c>
      <c r="AB395" s="466">
        <f t="shared" si="667"/>
        <v>-8.4000000000000909</v>
      </c>
      <c r="AC395" s="337">
        <v>34.25</v>
      </c>
      <c r="AD395" s="325">
        <f t="shared" si="668"/>
        <v>-8.4000000000000909</v>
      </c>
      <c r="AE395" s="543">
        <f t="shared" si="669"/>
        <v>-0.1028202115158648</v>
      </c>
      <c r="AF395" s="324">
        <f>IF($AC395="",#N/A,SUM(AD$4:AD395))</f>
        <v>535.49996410331505</v>
      </c>
      <c r="AG395" s="466">
        <f t="shared" si="670"/>
        <v>24</v>
      </c>
      <c r="AH395" s="334" t="s">
        <v>2507</v>
      </c>
      <c r="AI395" s="331">
        <f t="shared" si="671"/>
        <v>-0.47003525264394941</v>
      </c>
      <c r="AJ395" s="556">
        <f>IF(AI395="",#N/A,SUM($AI$4:AI395))</f>
        <v>8.2990776762025416</v>
      </c>
      <c r="AK395" s="324">
        <f t="shared" si="672"/>
        <v>-38.400000000000091</v>
      </c>
      <c r="AL395" s="467">
        <f>IF(AI395="",#N/A,IF(AH395="Skip",SUM($AK$4:AK395),SUM($AK$4:AK395)))</f>
        <v>230.81236927848181</v>
      </c>
      <c r="AM395" s="65">
        <f t="shared" si="755"/>
        <v>-0.1028202115158648</v>
      </c>
      <c r="AN395" s="209"/>
      <c r="AO395" s="65" t="str">
        <f t="shared" si="673"/>
        <v/>
      </c>
      <c r="AP395" s="65">
        <f>IF($AC395="",#N/A,SUM(AO$4:AO395))</f>
        <v>12.643140705509158</v>
      </c>
      <c r="AQ395" s="65" t="str">
        <f t="shared" si="674"/>
        <v/>
      </c>
      <c r="AR395" s="65">
        <f>IF($AC395="",#N/A,SUM(AQ$4:AQ395))</f>
        <v>-9.7558140398667987</v>
      </c>
      <c r="AS395" s="65">
        <f t="shared" si="675"/>
        <v>-0.1028202115158648</v>
      </c>
      <c r="AT395" s="65">
        <f>IF($AC395="",#N/A,SUM(AS$4:AS395))</f>
        <v>7.0374064070902227</v>
      </c>
      <c r="AU395" s="57" t="str">
        <f t="shared" si="756"/>
        <v/>
      </c>
      <c r="AV395" s="57">
        <f>IF($AC395="",#N/A,SUM(AU$4:AU395))</f>
        <v>740.97383890574679</v>
      </c>
      <c r="AW395" s="57" t="str">
        <f t="shared" si="757"/>
        <v/>
      </c>
      <c r="AX395" s="57">
        <f>IF($AC395="",#N/A,SUM(AW$4:AW395))</f>
        <v>-731.3710679796111</v>
      </c>
      <c r="AY395" s="57">
        <f t="shared" si="758"/>
        <v>-8.4000000000000909</v>
      </c>
      <c r="AZ395" s="57">
        <f>IF($AC395="",#N/A,SUM(AY$4:AY395))</f>
        <v>525.89719317717925</v>
      </c>
      <c r="BA395" s="57">
        <f>IF(AD395="",#N/A,SUM($AD$4:AD395))</f>
        <v>535.49996410331505</v>
      </c>
      <c r="BC395" s="51" t="str">
        <f t="shared" si="676"/>
        <v/>
      </c>
      <c r="BD395" s="51">
        <f t="shared" si="677"/>
        <v>1</v>
      </c>
      <c r="BE395" s="51" t="str">
        <f t="shared" si="678"/>
        <v/>
      </c>
      <c r="BF395" s="51" t="str">
        <f t="shared" si="679"/>
        <v>Short</v>
      </c>
      <c r="BG395" s="51" t="str">
        <f t="shared" si="680"/>
        <v/>
      </c>
      <c r="BH395" s="51" t="str">
        <f t="shared" si="681"/>
        <v/>
      </c>
      <c r="BI395" s="51" t="str">
        <f t="shared" si="682"/>
        <v/>
      </c>
      <c r="BK395" s="65">
        <f t="shared" si="653"/>
        <v>-9.4888253180481358E-2</v>
      </c>
      <c r="BL395" s="65">
        <f t="shared" si="652"/>
        <v>0.2351577443923252</v>
      </c>
      <c r="BM395" s="65">
        <f>IFERROR(Q395/COUNTA($J$4:J395),#N/A)</f>
        <v>3.0609362944869975E-2</v>
      </c>
      <c r="BO395" s="489" t="e">
        <f>IF(J395="",#N/A,IF(S395="SW",(COUNTIFS(K$4:$K395,"&gt;0",S$4:$S395,"SW")/COUNTIF(S$4:$S395,"SW")),#N/A))</f>
        <v>#N/A</v>
      </c>
      <c r="BP395" s="489">
        <f>IF($J395="",#N/A,IF($S395="DWN",(COUNTIFS($K$4:$K395,"&lt;0",$S$4:$S395,"DWN")/COUNTIF($S$4:$S395,"DWN")),#N/A))</f>
        <v>0.55555555555555558</v>
      </c>
      <c r="BQ395" s="489" t="e">
        <f>IF($J395="",#N/A,IF($S395="UP",(COUNTIFS($K$4:$K395,"&gt;0",$S$4:$S395,"UP")/COUNTIF($S$4:$S395,"UP")),#N/A))</f>
        <v>#N/A</v>
      </c>
      <c r="BR395" s="489">
        <f>IF(J395="",#N/A,COUNTIF($K$4:K395,"&gt;0")/COUNT($J$4:J395))</f>
        <v>0.47193877551020408</v>
      </c>
      <c r="BS395" s="65" t="str">
        <f t="shared" si="683"/>
        <v/>
      </c>
      <c r="BT395" s="65" t="str">
        <f t="shared" si="684"/>
        <v/>
      </c>
      <c r="BU395" s="65" t="str">
        <f t="shared" si="685"/>
        <v/>
      </c>
      <c r="BV395" s="65">
        <f t="shared" si="686"/>
        <v>-0.39659224441833252</v>
      </c>
      <c r="BW395" s="128" t="str">
        <f t="shared" si="687"/>
        <v/>
      </c>
      <c r="BX395" s="128">
        <f>IF($J395="",#N/A,SUM($BW$4:BW395))</f>
        <v>-737.3781703479292</v>
      </c>
      <c r="BY395" s="131">
        <f t="shared" si="688"/>
        <v>-32.400000000000091</v>
      </c>
      <c r="BZ395" s="131">
        <f>IF($J395="",#N/A,SUM($BY$4:BY395))</f>
        <v>549.90161346139416</v>
      </c>
      <c r="CA395" s="133" t="str">
        <f t="shared" si="689"/>
        <v/>
      </c>
      <c r="CB395" s="133">
        <f>IF($J395="",#N/A,SUM($CA$4:CA395))</f>
        <v>602.95263180689142</v>
      </c>
      <c r="CC395" s="194" t="str">
        <f t="shared" si="690"/>
        <v/>
      </c>
      <c r="CD395" s="194">
        <f>IF($J395="",#N/A,SUM($CC$4:CC395))</f>
        <v>-9.5545915504907839</v>
      </c>
      <c r="CE395" s="195">
        <f t="shared" si="691"/>
        <v>-0.39659224441833252</v>
      </c>
      <c r="CF395" s="195">
        <f>IF($J395="",#N/A,SUM($CE$4:CE395))</f>
        <v>10.650254677995123</v>
      </c>
      <c r="CG395" s="196" t="str">
        <f t="shared" si="692"/>
        <v/>
      </c>
      <c r="CH395" s="196">
        <f>IF($J395="",#N/A,SUM($CG$4:CG395))</f>
        <v>10.903207146884704</v>
      </c>
      <c r="CI395" s="200" t="str">
        <f t="shared" si="693"/>
        <v/>
      </c>
      <c r="CJ395" s="203">
        <f>IF($J395="",#N/A,SUM(CI$4:CI395))</f>
        <v>0</v>
      </c>
      <c r="CK395" s="204" t="str">
        <f t="shared" si="694"/>
        <v/>
      </c>
      <c r="CL395" s="204">
        <f>IF($J395="",#N/A,SUM(CK$4:CK395))</f>
        <v>2.0825010564889137</v>
      </c>
      <c r="CM395" s="205" t="str">
        <f t="shared" si="695"/>
        <v/>
      </c>
      <c r="CN395" s="205">
        <f>IF($J395="",#N/A,SUM(CM$4:CM395))</f>
        <v>-0.88558254952057891</v>
      </c>
      <c r="CO395" s="205">
        <f>IF($J395="",#N/A,SUM(CM$4:CM395,CK$4:CK395,CI$4:CI395))</f>
        <v>1.1969185069683352</v>
      </c>
      <c r="CP395" s="200" t="str">
        <f t="shared" si="696"/>
        <v/>
      </c>
      <c r="CQ395" s="203">
        <f>IF($J395="",#N/A,SUM(CP$4:CP395))</f>
        <v>-2.8337957655297128</v>
      </c>
      <c r="CR395" s="204" t="str">
        <f t="shared" si="697"/>
        <v/>
      </c>
      <c r="CS395" s="204">
        <f>IF($J395="",#N/A,SUM(CR$4:CR395))</f>
        <v>2.3600225017004668</v>
      </c>
      <c r="CT395" s="205" t="str">
        <f t="shared" si="698"/>
        <v/>
      </c>
      <c r="CU395" s="205">
        <f>IF($J395="",#N/A,SUM(CT$4:CT395))</f>
        <v>-4.892829975913175</v>
      </c>
      <c r="CV395" s="205">
        <f>IF($J395="",#N/A,SUM(CT$4:CT395,CR$4:CR395,CP$4:CP395))</f>
        <v>-5.3666032397424219</v>
      </c>
      <c r="CW395" s="200" t="str">
        <f t="shared" si="699"/>
        <v/>
      </c>
      <c r="CX395" s="203">
        <f>IF($J395="",#N/A,SUM(CW$4:CW395))</f>
        <v>-6.3374847922823907</v>
      </c>
      <c r="CY395" s="204" t="str">
        <f t="shared" si="700"/>
        <v/>
      </c>
      <c r="CZ395" s="204">
        <f>IF($J395="",#N/A,SUM(CY$4:CY395))</f>
        <v>-2.4332142608051761</v>
      </c>
      <c r="DA395" s="205" t="str">
        <f t="shared" si="701"/>
        <v/>
      </c>
      <c r="DB395" s="205">
        <f>IF($J395="",#N/A,SUM(DA$4:DA395))</f>
        <v>-1.3155870379734311</v>
      </c>
      <c r="DC395" s="205">
        <f>IF($J395="",#N/A,SUM(DA$4:DA395,CY$4:CY395,CW$4:CW395))</f>
        <v>-10.086286091061</v>
      </c>
      <c r="DD395" s="200" t="str">
        <f t="shared" si="702"/>
        <v/>
      </c>
      <c r="DE395" s="203">
        <f>IF($J395="",#N/A,SUM(DD$4:DD395))</f>
        <v>1.5096995539822815</v>
      </c>
      <c r="DF395" s="204">
        <f t="shared" si="703"/>
        <v>-0.39659224441833252</v>
      </c>
      <c r="DG395" s="204">
        <f>IF($J395="",#N/A,SUM(DF$4:DF395))</f>
        <v>3.7844462787298916</v>
      </c>
      <c r="DH395" s="205" t="str">
        <f t="shared" si="704"/>
        <v/>
      </c>
      <c r="DI395" s="205">
        <f>IF($J395="",#N/A,SUM(DH$4:DH395))</f>
        <v>-0.23863035537359656</v>
      </c>
      <c r="DJ395" s="205">
        <f>IF($J395="",#N/A,SUM(DH$4:DH395,DF$4:DF395,DD$4:DD395))</f>
        <v>5.0555154773385764</v>
      </c>
      <c r="DK395" s="200" t="str">
        <f t="shared" si="705"/>
        <v/>
      </c>
      <c r="DL395" s="203">
        <f>IF($J395="",#N/A,SUM(DK$4:DK395))</f>
        <v>-0.84049791589649614</v>
      </c>
      <c r="DM395" s="204" t="str">
        <f t="shared" si="706"/>
        <v/>
      </c>
      <c r="DN395" s="204">
        <f>IF($J395="",#N/A,SUM(DM$4:DM395))</f>
        <v>1.8657648196498773</v>
      </c>
      <c r="DO395" s="205" t="str">
        <f t="shared" si="707"/>
        <v/>
      </c>
      <c r="DP395" s="205">
        <f>IF($J395="",#N/A,SUM(DO$4:DO395))</f>
        <v>3.4887162328793941</v>
      </c>
      <c r="DQ395" s="205">
        <f>IF($J395="",#N/A,SUM(DO$4:DO395,DM$4:DM395,DK$4:DK395))</f>
        <v>4.5139831366327758</v>
      </c>
      <c r="DR395" s="200" t="str">
        <f t="shared" si="708"/>
        <v/>
      </c>
      <c r="DS395" s="203">
        <f>IF($J395="",#N/A,SUM(DR$4:DR395))</f>
        <v>-0.55950946427675097</v>
      </c>
      <c r="DT395" s="204" t="str">
        <f t="shared" si="709"/>
        <v/>
      </c>
      <c r="DU395" s="204">
        <f>IF($J395="",#N/A,SUM(DT$4:DT395))</f>
        <v>-0.20750635820596686</v>
      </c>
      <c r="DV395" s="205" t="str">
        <f t="shared" si="710"/>
        <v/>
      </c>
      <c r="DW395" s="205">
        <f>IF($J395="",#N/A,SUM(DV$4:DV395))</f>
        <v>-2.3377035686214001</v>
      </c>
      <c r="DX395" s="205">
        <f>IF($J395="",#N/A,SUM(DV$4:DV395,DT$4:DT395,DR$4:DR395))</f>
        <v>-3.1047193911041169</v>
      </c>
      <c r="DY395" s="200" t="str">
        <f t="shared" si="711"/>
        <v/>
      </c>
      <c r="DZ395" s="203">
        <f>IF($J395="",#N/A,SUM(DY$4:DY395))</f>
        <v>-1.4146842415208627</v>
      </c>
      <c r="EA395" s="204" t="str">
        <f t="shared" si="712"/>
        <v/>
      </c>
      <c r="EB395" s="204">
        <f>IF($J395="",#N/A,SUM(EA$4:EA395))</f>
        <v>4.3184391548878134</v>
      </c>
      <c r="EC395" s="205" t="str">
        <f t="shared" si="713"/>
        <v/>
      </c>
      <c r="ED395" s="205">
        <f>IF($J395="",#N/A,SUM(EC$4:EC395))</f>
        <v>8.4384553208490907</v>
      </c>
      <c r="EE395" s="205">
        <f>IF($J395="",#N/A,SUM(EC$4:EC395,EA$4:EA395,DY$4:DY395))</f>
        <v>11.342210234216044</v>
      </c>
      <c r="EF395" s="200" t="str">
        <f t="shared" si="714"/>
        <v/>
      </c>
      <c r="EG395" s="203">
        <f>IF($J395="",#N/A,SUM(EF$4:EF395))</f>
        <v>0.65848341369884777</v>
      </c>
      <c r="EH395" s="204" t="str">
        <f t="shared" si="715"/>
        <v/>
      </c>
      <c r="EI395" s="204">
        <f>IF($J395="",#N/A,SUM(EH$4:EH395))</f>
        <v>-3.5125331561187787</v>
      </c>
      <c r="EJ395" s="205" t="str">
        <f t="shared" si="716"/>
        <v/>
      </c>
      <c r="EK395" s="205">
        <f>IF($J395="",#N/A,SUM(EJ$4:EJ395))</f>
        <v>11.820135611943035</v>
      </c>
      <c r="EL395" s="205">
        <f>IF($J395="",#N/A,SUM(EJ$4:EJ395,EH$4:EH395,EF$4:EF395))</f>
        <v>8.9660858695231074</v>
      </c>
      <c r="EM395" s="200" t="str">
        <f t="shared" si="717"/>
        <v/>
      </c>
      <c r="EN395" s="203">
        <f>IF($J395="",#N/A,SUM(EM$4:EM395))</f>
        <v>0</v>
      </c>
      <c r="EO395" s="204" t="str">
        <f t="shared" si="718"/>
        <v/>
      </c>
      <c r="EP395" s="204">
        <f>IF($J395="",#N/A,SUM(EO$4:EO395))</f>
        <v>2.4788862078089964</v>
      </c>
      <c r="EQ395" s="205" t="str">
        <f t="shared" si="719"/>
        <v/>
      </c>
      <c r="ER395" s="205">
        <f>IF($J395="",#N/A,SUM(EQ$4:EQ395))</f>
        <v>1.7856049065476487</v>
      </c>
      <c r="ES395" s="205">
        <f>IF($J395="",#N/A,SUM(EQ$4:EQ395,EO$4:EO395,EM$4:EM395))</f>
        <v>4.2644911143566446</v>
      </c>
      <c r="ET395" s="200" t="str">
        <f t="shared" si="720"/>
        <v/>
      </c>
      <c r="EU395" s="203">
        <f>IF($J395="",#N/A,SUM(ET$4:ET395))</f>
        <v>0</v>
      </c>
      <c r="EV395" s="204" t="str">
        <f t="shared" si="721"/>
        <v/>
      </c>
      <c r="EW395" s="204">
        <f>IF($J395="",#N/A,SUM(EV$4:EV395))</f>
        <v>7.9116394275462909E-2</v>
      </c>
      <c r="EX395" s="205" t="str">
        <f t="shared" si="722"/>
        <v/>
      </c>
      <c r="EY395" s="205">
        <f>IF($J395="",#N/A,SUM(EX$4:EX395))</f>
        <v>0.62848633887309935</v>
      </c>
      <c r="EZ395" s="205">
        <f>IF($J395="",#N/A,SUM(EX$4:EX395,EV$4:EV395,ET$4:ET395))</f>
        <v>0.70760273314856192</v>
      </c>
      <c r="FA395" s="200" t="str">
        <f t="shared" si="723"/>
        <v/>
      </c>
      <c r="FB395" s="203">
        <f>IF($J395="",#N/A,SUM(FA$4:FA395))</f>
        <v>-0.27145310509113252</v>
      </c>
      <c r="FC395" s="204" t="str">
        <f t="shared" si="724"/>
        <v/>
      </c>
      <c r="FD395" s="204">
        <f>IF($J395="",#N/A,SUM(FC$4:FC395))</f>
        <v>0.89084290967454072</v>
      </c>
      <c r="FE395" s="205" t="str">
        <f t="shared" si="725"/>
        <v/>
      </c>
      <c r="FF395" s="205">
        <f>IF($J395="",#N/A,SUM(FE$4:FE395))</f>
        <v>-0.28811149078748233</v>
      </c>
      <c r="FG395" s="205">
        <f>IF($J395="",#N/A,SUM(FE$4:FE395,FC$4:FC395,FA$4:FA395))</f>
        <v>0.3312783137959262</v>
      </c>
      <c r="FH395" s="200" t="str">
        <f t="shared" si="726"/>
        <v/>
      </c>
      <c r="FI395" s="203">
        <f>IF($J395="",#N/A,SUM(FH$4:FH395))</f>
        <v>0</v>
      </c>
      <c r="FJ395" s="204" t="str">
        <f t="shared" si="727"/>
        <v/>
      </c>
      <c r="FK395" s="204">
        <f>IF($J395="",#N/A,SUM(FJ$4:FJ395))</f>
        <v>0</v>
      </c>
      <c r="FL395" s="205" t="str">
        <f t="shared" si="728"/>
        <v/>
      </c>
      <c r="FM395" s="205">
        <f>IF($J395="",#N/A,SUM(FL$4:FL395))</f>
        <v>0</v>
      </c>
      <c r="FN395" s="205">
        <f>IF($J395="",#N/A,SUM(FL$4:FL395,FJ$4:FJ395,FH$4:FH395))</f>
        <v>0</v>
      </c>
      <c r="FO395" s="200" t="str">
        <f t="shared" si="729"/>
        <v/>
      </c>
      <c r="FP395" s="203">
        <f>IF($J395="",#N/A,SUM(FO$4:FO395))</f>
        <v>0</v>
      </c>
      <c r="FQ395" s="204" t="str">
        <f t="shared" si="730"/>
        <v/>
      </c>
      <c r="FR395" s="204">
        <f>IF($J395="",#N/A,SUM(FQ$4:FQ395))</f>
        <v>0</v>
      </c>
      <c r="FS395" s="205" t="str">
        <f t="shared" si="731"/>
        <v/>
      </c>
      <c r="FT395" s="205">
        <f>IF($J395="",#N/A,SUM(FS$4:FS395))</f>
        <v>0</v>
      </c>
      <c r="FU395" s="205">
        <f>IF($J395="",#N/A,SUM(FS$4:FS395,FQ$4:FQ395,FO$4:FO395))</f>
        <v>0</v>
      </c>
      <c r="FV395" s="200" t="str">
        <f t="shared" si="732"/>
        <v/>
      </c>
      <c r="FW395" s="203">
        <f>IF($J395="",#N/A,SUM(FV$4:FV395))</f>
        <v>6.6834991831277585E-2</v>
      </c>
      <c r="FX395" s="204" t="str">
        <f t="shared" si="733"/>
        <v/>
      </c>
      <c r="FY395" s="204">
        <f>IF($J395="",#N/A,SUM(FX$4:FX395))</f>
        <v>-0.16102012791805576</v>
      </c>
      <c r="FZ395" s="205" t="str">
        <f t="shared" si="734"/>
        <v/>
      </c>
      <c r="GA395" s="205">
        <f>IF($J395="",#N/A,SUM(FZ$4:FZ395))</f>
        <v>-0.69624339162892301</v>
      </c>
      <c r="GB395" s="205">
        <f>IF($J395="",#N/A,SUM(FZ$4:FZ395,FX$4:FX395,FV$4:FV395))</f>
        <v>-0.79042852771570116</v>
      </c>
      <c r="GC395" s="200" t="str">
        <f t="shared" si="735"/>
        <v/>
      </c>
      <c r="GD395" s="203">
        <f>IF($J395="",#N/A,SUM(GC$4:GC395))</f>
        <v>0</v>
      </c>
      <c r="GE395" s="204" t="str">
        <f t="shared" si="736"/>
        <v/>
      </c>
      <c r="GF395" s="204">
        <f>IF($J395="",#N/A,SUM(GE$4:GE395))</f>
        <v>0</v>
      </c>
      <c r="GG395" s="205" t="str">
        <f t="shared" si="737"/>
        <v/>
      </c>
      <c r="GH395" s="205">
        <f>IF($J395="",#N/A,SUM(GG$4:GG395))</f>
        <v>-2.9368362277223206</v>
      </c>
      <c r="GI395" s="205">
        <f>IF($J395="",#N/A,SUM(GG$4:GG395,GE$4:GE395,GC$4:GC395))</f>
        <v>-2.9368362277223206</v>
      </c>
      <c r="GJ395" s="200" t="str">
        <f t="shared" si="738"/>
        <v/>
      </c>
      <c r="GK395" s="203">
        <f>IF($J395="",#N/A,SUM(GJ$4:GJ395))</f>
        <v>0</v>
      </c>
      <c r="GL395" s="204" t="str">
        <f t="shared" si="739"/>
        <v/>
      </c>
      <c r="GM395" s="204">
        <f>IF($J395="",#N/A,SUM(GL$4:GL395))</f>
        <v>-2.0621307233432784</v>
      </c>
      <c r="GN395" s="205" t="str">
        <f t="shared" si="740"/>
        <v/>
      </c>
      <c r="GO395" s="205">
        <f>IF($J395="",#N/A,SUM(GN$4:GN395))</f>
        <v>0</v>
      </c>
      <c r="GP395" s="205">
        <f>IF($J395="",#N/A,SUM(GN$4:GN395,GL$4:GL395,GJ$4:GJ395))</f>
        <v>-2.0621307233432784</v>
      </c>
      <c r="GS395" s="54">
        <f t="shared" si="759"/>
        <v>-0.39659224441833252</v>
      </c>
      <c r="GT395" s="54">
        <f>IF(GS395="",NA(),SUM($GS$4:GS395))</f>
        <v>12.35458523712561</v>
      </c>
      <c r="GU395" s="54" t="str">
        <f t="shared" si="741"/>
        <v/>
      </c>
      <c r="GV395" s="54" t="e">
        <f>IF(GU395="",NA(),SUM($GU$4:GU395))</f>
        <v>#N/A</v>
      </c>
      <c r="GW395" s="54" t="str">
        <f t="shared" si="742"/>
        <v/>
      </c>
      <c r="GX395" s="54" t="e">
        <f>IF(GW395="",NA(),SUM($GW$4:GW395))</f>
        <v>#N/A</v>
      </c>
      <c r="GY395" s="54">
        <f t="shared" si="743"/>
        <v>-0.39659224441833252</v>
      </c>
      <c r="GZ395" s="54">
        <f>IF(GY395="",NA(),SUM($GY$4:GY395))</f>
        <v>10.356609145827225</v>
      </c>
      <c r="HA395" s="54" t="str">
        <f t="shared" si="744"/>
        <v/>
      </c>
      <c r="HB395" s="54" t="e">
        <f>IF(HA395="",NA(),SUM($HA$4:HA395))</f>
        <v>#N/A</v>
      </c>
      <c r="HC395" s="54" t="str">
        <f t="shared" si="745"/>
        <v/>
      </c>
      <c r="HD395" s="54" t="e">
        <f>IF(HC395="",NA(),SUM($HC$4:HC395))</f>
        <v>#N/A</v>
      </c>
      <c r="HE395" s="54" t="str">
        <f t="shared" si="746"/>
        <v/>
      </c>
      <c r="HF395" s="54" t="e">
        <f>IF(HE395="",NA(),SUM($HE$4:HE395))</f>
        <v>#N/A</v>
      </c>
      <c r="HG395" s="54" t="str">
        <f t="shared" si="747"/>
        <v/>
      </c>
      <c r="HH395" s="54" t="e">
        <f>IF(HG395="",NA(),SUM($HG$4:HG395))</f>
        <v>#N/A</v>
      </c>
      <c r="HI395" s="172" t="str">
        <f t="shared" si="760"/>
        <v/>
      </c>
      <c r="HJ395" s="172">
        <f>IF($J395="",#N/A,SUM(HI$4:$HI395))</f>
        <v>-11.384655655360691</v>
      </c>
      <c r="HK395" s="54">
        <f t="shared" si="748"/>
        <v>0.29377203290246773</v>
      </c>
      <c r="HL395" s="54">
        <f>IF($J395="",#N/A,SUM($HK$4:HK395))</f>
        <v>7.7718073844558004</v>
      </c>
      <c r="HM395" s="54" t="str">
        <f t="shared" si="749"/>
        <v/>
      </c>
      <c r="HN395" s="54">
        <f>IF($J395="",#N/A,SUM($HM$4:HM395))</f>
        <v>-0.22647033717412757</v>
      </c>
      <c r="HO395" s="54" t="str">
        <f t="shared" si="750"/>
        <v/>
      </c>
      <c r="HP395" s="54">
        <f>IF($J395="",#N/A,SUM($HO$4:HO395))</f>
        <v>2.5247847798115064E-2</v>
      </c>
      <c r="HQ395" s="54" t="str">
        <f t="shared" si="751"/>
        <v/>
      </c>
      <c r="HR395" s="54">
        <f>IF($J395="",#N/A,SUM($HQ$4:HQ395))</f>
        <v>-13.901487653588381</v>
      </c>
      <c r="HS395" s="54" t="str">
        <f t="shared" si="752"/>
        <v/>
      </c>
      <c r="HT395" s="54">
        <f>IF($J395="",#N/A,SUM($HS$4:HS395))</f>
        <v>16.137594668080389</v>
      </c>
      <c r="HU395" s="65">
        <f t="shared" si="753"/>
        <v>-0.1028202115158648</v>
      </c>
      <c r="HV395" s="65">
        <f>IF($J395="",#N/A,SUM(HU$4:$HU395))</f>
        <v>9.9247330727325878</v>
      </c>
    </row>
    <row r="396" spans="1:230" x14ac:dyDescent="0.25">
      <c r="A396" s="59" t="s">
        <v>1206</v>
      </c>
      <c r="B396" s="289" t="s">
        <v>5551</v>
      </c>
      <c r="C396" s="230">
        <f t="shared" si="654"/>
        <v>1</v>
      </c>
      <c r="D396" s="220" t="str">
        <f>_xlfn.XLOOKUP(A396,[1]SP500!$A$2:$A$502,[1]SP500!$D$2:$D$502,"N")</f>
        <v>Y</v>
      </c>
      <c r="E396" s="59" t="str">
        <f>IFERROR(_xlfn.XLOOKUP(A396,[1]SP500!$A$2:$A$655,[1]SP500!$B$2:$B$655),"")</f>
        <v>XLP</v>
      </c>
      <c r="F396" s="290">
        <v>45811</v>
      </c>
      <c r="G396" s="59" t="str">
        <f t="shared" si="655"/>
        <v>BMO</v>
      </c>
      <c r="H396" s="59" t="str">
        <f t="shared" si="656"/>
        <v>s</v>
      </c>
      <c r="I396" s="376">
        <v>97.17</v>
      </c>
      <c r="J396" s="125">
        <v>106.96</v>
      </c>
      <c r="K396" s="60">
        <f t="shared" si="657"/>
        <v>0.10075126067716365</v>
      </c>
      <c r="L396" s="68">
        <f t="shared" si="658"/>
        <v>137.05999999999972</v>
      </c>
      <c r="M396" s="62" t="e">
        <f t="shared" si="659"/>
        <v>#N/A</v>
      </c>
      <c r="N396" s="63">
        <f t="shared" si="660"/>
        <v>137.05999999999972</v>
      </c>
      <c r="O396" s="62">
        <f>IF(N396="",#N/A,SUM($N$4:N396))</f>
        <v>552.53607492035633</v>
      </c>
      <c r="P396" s="64">
        <f t="shared" si="754"/>
        <v>1.6791876779527255</v>
      </c>
      <c r="Q396" s="183">
        <f>IF($N396="",#N/A,SUM($P$4:P396))</f>
        <v>13.678057952341756</v>
      </c>
      <c r="R396" s="279">
        <f t="shared" si="661"/>
        <v>3.5762976923513534</v>
      </c>
      <c r="S396" s="59" t="str">
        <f t="shared" si="662"/>
        <v>Up</v>
      </c>
      <c r="T396" s="59" t="s">
        <v>4462</v>
      </c>
      <c r="U396" s="61">
        <f t="shared" si="663"/>
        <v>97.17</v>
      </c>
      <c r="V396" s="61" t="s">
        <v>4460</v>
      </c>
      <c r="W396" s="142">
        <v>14</v>
      </c>
      <c r="X396" s="146">
        <f t="shared" si="664"/>
        <v>1360.38</v>
      </c>
      <c r="Y396" s="142">
        <f t="shared" si="665"/>
        <v>14</v>
      </c>
      <c r="Z396" s="143">
        <v>107.68</v>
      </c>
      <c r="AA396" s="63">
        <f t="shared" si="666"/>
        <v>147.13999999999987</v>
      </c>
      <c r="AB396" s="63">
        <f t="shared" si="667"/>
        <v>215.59999999999991</v>
      </c>
      <c r="AC396" s="125">
        <v>112.57</v>
      </c>
      <c r="AD396" s="148">
        <f t="shared" si="668"/>
        <v>215.59999999999991</v>
      </c>
      <c r="AE396" s="544">
        <f t="shared" si="669"/>
        <v>2.6414188192514825</v>
      </c>
      <c r="AF396" s="62">
        <f>IF($AC396="",#N/A,SUM(AD$4:AD396))</f>
        <v>751.09996410331496</v>
      </c>
      <c r="AG396" s="63">
        <f t="shared" si="670"/>
        <v>78.540000000000191</v>
      </c>
      <c r="AH396" s="61" t="s">
        <v>4471</v>
      </c>
      <c r="AI396" s="64">
        <f t="shared" si="671"/>
        <v>1.8026825837878617</v>
      </c>
      <c r="AJ396" s="420">
        <f>IF(AI396="",#N/A,SUM($AI$4:AI396))</f>
        <v>10.101760259990403</v>
      </c>
      <c r="AK396" s="62">
        <f t="shared" si="672"/>
        <v>147.13999999999987</v>
      </c>
      <c r="AL396" s="421">
        <f>IF(AI396="",#N/A,IF(AH396="Skip",SUM($AK$4:AK396),SUM($AK$4:AK396)))</f>
        <v>377.95236927848168</v>
      </c>
      <c r="AM396" s="65">
        <f t="shared" si="755"/>
        <v>2.6414188192514825</v>
      </c>
      <c r="AN396" s="209"/>
      <c r="AO396" s="65" t="str">
        <f t="shared" si="673"/>
        <v/>
      </c>
      <c r="AP396" s="65">
        <f>IF($AC396="",#N/A,SUM(AO$4:AO396))</f>
        <v>12.643140705509158</v>
      </c>
      <c r="AQ396" s="65">
        <f t="shared" si="674"/>
        <v>2.6414188192514825</v>
      </c>
      <c r="AR396" s="65">
        <f>IF($AC396="",#N/A,SUM(AQ$4:AQ396))</f>
        <v>-7.1143952206153163</v>
      </c>
      <c r="AS396" s="65" t="str">
        <f t="shared" si="675"/>
        <v/>
      </c>
      <c r="AT396" s="65">
        <f>IF($AC396="",#N/A,SUM(AS$4:AS396))</f>
        <v>7.0374064070902227</v>
      </c>
      <c r="AU396" s="57" t="str">
        <f t="shared" si="756"/>
        <v/>
      </c>
      <c r="AV396" s="57">
        <f>IF($AC396="",#N/A,SUM(AU$4:AU396))</f>
        <v>740.97383890574679</v>
      </c>
      <c r="AW396" s="57">
        <f t="shared" si="757"/>
        <v>215.59999999999991</v>
      </c>
      <c r="AX396" s="57">
        <f>IF($AC396="",#N/A,SUM(AW$4:AW396))</f>
        <v>-515.77106797961119</v>
      </c>
      <c r="AY396" s="57" t="str">
        <f t="shared" si="758"/>
        <v/>
      </c>
      <c r="AZ396" s="57">
        <f>IF($AC396="",#N/A,SUM(AY$4:AY396))</f>
        <v>525.89719317717925</v>
      </c>
      <c r="BA396" s="57">
        <f>IF(AD396="",#N/A,SUM($AD$4:AD396))</f>
        <v>751.09996410331496</v>
      </c>
      <c r="BC396" s="51">
        <f t="shared" si="676"/>
        <v>1</v>
      </c>
      <c r="BD396" s="51" t="str">
        <f t="shared" si="677"/>
        <v/>
      </c>
      <c r="BE396" s="51" t="str">
        <f t="shared" si="678"/>
        <v/>
      </c>
      <c r="BF396" s="51" t="str">
        <f t="shared" si="679"/>
        <v>Long</v>
      </c>
      <c r="BG396" s="51" t="str">
        <f t="shared" si="680"/>
        <v/>
      </c>
      <c r="BH396" s="51" t="str">
        <f t="shared" si="681"/>
        <v/>
      </c>
      <c r="BI396" s="51" t="str">
        <f t="shared" si="682"/>
        <v/>
      </c>
      <c r="BK396" s="65">
        <f t="shared" si="653"/>
        <v>-6.7446099073163873E-2</v>
      </c>
      <c r="BL396" s="65">
        <f t="shared" si="652"/>
        <v>0.16700296790085772</v>
      </c>
      <c r="BM396" s="65">
        <f>IFERROR(Q396/COUNTA($J$4:J396),#N/A)</f>
        <v>3.4804218708248742E-2</v>
      </c>
      <c r="BO396" s="489" t="e">
        <f>IF(J396="",#N/A,IF(S396="SW",(COUNTIFS(K$4:$K396,"&gt;0",S$4:$S396,"SW")/COUNTIF(S$4:$S396,"SW")),#N/A))</f>
        <v>#N/A</v>
      </c>
      <c r="BP396" s="489" t="e">
        <f>IF($J396="",#N/A,IF($S396="DWN",(COUNTIFS($K$4:$K396,"&lt;0",$S$4:$S396,"DWN")/COUNTIF($S$4:$S396,"DWN")),#N/A))</f>
        <v>#N/A</v>
      </c>
      <c r="BQ396" s="489">
        <f>IF($J396="",#N/A,IF($S396="UP",(COUNTIFS($K$4:$K396,"&gt;0",$S$4:$S396,"UP")/COUNTIF($S$4:$S396,"UP")),#N/A))</f>
        <v>0.46341463414634149</v>
      </c>
      <c r="BR396" s="489">
        <f>IF(J396="",#N/A,COUNTIF($K$4:K396,"&gt;0")/COUNT($J$4:J396))</f>
        <v>0.47328244274809161</v>
      </c>
      <c r="BS396" s="65">
        <f t="shared" si="683"/>
        <v>1.6791876779527255</v>
      </c>
      <c r="BT396" s="65" t="str">
        <f t="shared" si="684"/>
        <v/>
      </c>
      <c r="BU396" s="65" t="str">
        <f t="shared" si="685"/>
        <v/>
      </c>
      <c r="BV396" s="65" t="str">
        <f t="shared" si="686"/>
        <v/>
      </c>
      <c r="BW396" s="128">
        <f t="shared" si="687"/>
        <v>137.05999999999972</v>
      </c>
      <c r="BX396" s="128">
        <f>IF($J396="",#N/A,SUM($BW$4:BW396))</f>
        <v>-600.31817034792948</v>
      </c>
      <c r="BY396" s="131" t="str">
        <f t="shared" si="688"/>
        <v/>
      </c>
      <c r="BZ396" s="131">
        <f>IF($J396="",#N/A,SUM($BY$4:BY396))</f>
        <v>549.90161346139416</v>
      </c>
      <c r="CA396" s="133" t="str">
        <f t="shared" si="689"/>
        <v/>
      </c>
      <c r="CB396" s="133">
        <f>IF($J396="",#N/A,SUM($CA$4:CA396))</f>
        <v>602.95263180689142</v>
      </c>
      <c r="CC396" s="194">
        <f t="shared" si="690"/>
        <v>1.6791876779527255</v>
      </c>
      <c r="CD396" s="194">
        <f>IF($J396="",#N/A,SUM($CC$4:CC396))</f>
        <v>-7.8754038725380582</v>
      </c>
      <c r="CE396" s="195" t="str">
        <f t="shared" si="691"/>
        <v/>
      </c>
      <c r="CF396" s="195">
        <f>IF($J396="",#N/A,SUM($CE$4:CE396))</f>
        <v>10.650254677995123</v>
      </c>
      <c r="CG396" s="196" t="str">
        <f t="shared" si="692"/>
        <v/>
      </c>
      <c r="CH396" s="196">
        <f>IF($J396="",#N/A,SUM($CG$4:CG396))</f>
        <v>10.903207146884704</v>
      </c>
      <c r="CI396" s="200" t="str">
        <f t="shared" si="693"/>
        <v/>
      </c>
      <c r="CJ396" s="203">
        <f>IF($J396="",#N/A,SUM(CI$4:CI396))</f>
        <v>0</v>
      </c>
      <c r="CK396" s="204" t="str">
        <f t="shared" si="694"/>
        <v/>
      </c>
      <c r="CL396" s="204">
        <f>IF($J396="",#N/A,SUM(CK$4:CK396))</f>
        <v>2.0825010564889137</v>
      </c>
      <c r="CM396" s="205" t="str">
        <f t="shared" si="695"/>
        <v/>
      </c>
      <c r="CN396" s="205">
        <f>IF($J396="",#N/A,SUM(CM$4:CM396))</f>
        <v>-0.88558254952057891</v>
      </c>
      <c r="CO396" s="205">
        <f>IF($J396="",#N/A,SUM(CM$4:CM396,CK$4:CK396,CI$4:CI396))</f>
        <v>1.1969185069683352</v>
      </c>
      <c r="CP396" s="200" t="str">
        <f t="shared" si="696"/>
        <v/>
      </c>
      <c r="CQ396" s="203">
        <f>IF($J396="",#N/A,SUM(CP$4:CP396))</f>
        <v>-2.8337957655297128</v>
      </c>
      <c r="CR396" s="204" t="str">
        <f t="shared" si="697"/>
        <v/>
      </c>
      <c r="CS396" s="204">
        <f>IF($J396="",#N/A,SUM(CR$4:CR396))</f>
        <v>2.3600225017004668</v>
      </c>
      <c r="CT396" s="205" t="str">
        <f t="shared" si="698"/>
        <v/>
      </c>
      <c r="CU396" s="205">
        <f>IF($J396="",#N/A,SUM(CT$4:CT396))</f>
        <v>-4.892829975913175</v>
      </c>
      <c r="CV396" s="205">
        <f>IF($J396="",#N/A,SUM(CT$4:CT396,CR$4:CR396,CP$4:CP396))</f>
        <v>-5.3666032397424219</v>
      </c>
      <c r="CW396" s="200" t="str">
        <f t="shared" si="699"/>
        <v/>
      </c>
      <c r="CX396" s="203">
        <f>IF($J396="",#N/A,SUM(CW$4:CW396))</f>
        <v>-6.3374847922823907</v>
      </c>
      <c r="CY396" s="204" t="str">
        <f t="shared" si="700"/>
        <v/>
      </c>
      <c r="CZ396" s="204">
        <f>IF($J396="",#N/A,SUM(CY$4:CY396))</f>
        <v>-2.4332142608051761</v>
      </c>
      <c r="DA396" s="205" t="str">
        <f t="shared" si="701"/>
        <v/>
      </c>
      <c r="DB396" s="205">
        <f>IF($J396="",#N/A,SUM(DA$4:DA396))</f>
        <v>-1.3155870379734311</v>
      </c>
      <c r="DC396" s="205">
        <f>IF($J396="",#N/A,SUM(DA$4:DA396,CY$4:CY396,CW$4:CW396))</f>
        <v>-10.086286091061</v>
      </c>
      <c r="DD396" s="200">
        <f t="shared" si="702"/>
        <v>1.6791876779527255</v>
      </c>
      <c r="DE396" s="203">
        <f>IF($J396="",#N/A,SUM(DD$4:DD396))</f>
        <v>3.188887231935007</v>
      </c>
      <c r="DF396" s="204" t="str">
        <f t="shared" si="703"/>
        <v/>
      </c>
      <c r="DG396" s="204">
        <f>IF($J396="",#N/A,SUM(DF$4:DF396))</f>
        <v>3.7844462787298916</v>
      </c>
      <c r="DH396" s="205" t="str">
        <f t="shared" si="704"/>
        <v/>
      </c>
      <c r="DI396" s="205">
        <f>IF($J396="",#N/A,SUM(DH$4:DH396))</f>
        <v>-0.23863035537359656</v>
      </c>
      <c r="DJ396" s="205">
        <f>IF($J396="",#N/A,SUM(DH$4:DH396,DF$4:DF396,DD$4:DD396))</f>
        <v>6.7347031552913021</v>
      </c>
      <c r="DK396" s="200" t="str">
        <f t="shared" si="705"/>
        <v/>
      </c>
      <c r="DL396" s="203">
        <f>IF($J396="",#N/A,SUM(DK$4:DK396))</f>
        <v>-0.84049791589649614</v>
      </c>
      <c r="DM396" s="204" t="str">
        <f t="shared" si="706"/>
        <v/>
      </c>
      <c r="DN396" s="204">
        <f>IF($J396="",#N/A,SUM(DM$4:DM396))</f>
        <v>1.8657648196498773</v>
      </c>
      <c r="DO396" s="205" t="str">
        <f t="shared" si="707"/>
        <v/>
      </c>
      <c r="DP396" s="205">
        <f>IF($J396="",#N/A,SUM(DO$4:DO396))</f>
        <v>3.4887162328793941</v>
      </c>
      <c r="DQ396" s="205">
        <f>IF($J396="",#N/A,SUM(DO$4:DO396,DM$4:DM396,DK$4:DK396))</f>
        <v>4.5139831366327758</v>
      </c>
      <c r="DR396" s="200" t="str">
        <f t="shared" si="708"/>
        <v/>
      </c>
      <c r="DS396" s="203">
        <f>IF($J396="",#N/A,SUM(DR$4:DR396))</f>
        <v>-0.55950946427675097</v>
      </c>
      <c r="DT396" s="204" t="str">
        <f t="shared" si="709"/>
        <v/>
      </c>
      <c r="DU396" s="204">
        <f>IF($J396="",#N/A,SUM(DT$4:DT396))</f>
        <v>-0.20750635820596686</v>
      </c>
      <c r="DV396" s="205" t="str">
        <f t="shared" si="710"/>
        <v/>
      </c>
      <c r="DW396" s="205">
        <f>IF($J396="",#N/A,SUM(DV$4:DV396))</f>
        <v>-2.3377035686214001</v>
      </c>
      <c r="DX396" s="205">
        <f>IF($J396="",#N/A,SUM(DV$4:DV396,DT$4:DT396,DR$4:DR396))</f>
        <v>-3.1047193911041169</v>
      </c>
      <c r="DY396" s="200" t="str">
        <f t="shared" si="711"/>
        <v/>
      </c>
      <c r="DZ396" s="203">
        <f>IF($J396="",#N/A,SUM(DY$4:DY396))</f>
        <v>-1.4146842415208627</v>
      </c>
      <c r="EA396" s="204" t="str">
        <f t="shared" si="712"/>
        <v/>
      </c>
      <c r="EB396" s="204">
        <f>IF($J396="",#N/A,SUM(EA$4:EA396))</f>
        <v>4.3184391548878134</v>
      </c>
      <c r="EC396" s="205" t="str">
        <f t="shared" si="713"/>
        <v/>
      </c>
      <c r="ED396" s="205">
        <f>IF($J396="",#N/A,SUM(EC$4:EC396))</f>
        <v>8.4384553208490907</v>
      </c>
      <c r="EE396" s="205">
        <f>IF($J396="",#N/A,SUM(EC$4:EC396,EA$4:EA396,DY$4:DY396))</f>
        <v>11.342210234216044</v>
      </c>
      <c r="EF396" s="200" t="str">
        <f t="shared" si="714"/>
        <v/>
      </c>
      <c r="EG396" s="203">
        <f>IF($J396="",#N/A,SUM(EF$4:EF396))</f>
        <v>0.65848341369884777</v>
      </c>
      <c r="EH396" s="204" t="str">
        <f t="shared" si="715"/>
        <v/>
      </c>
      <c r="EI396" s="204">
        <f>IF($J396="",#N/A,SUM(EH$4:EH396))</f>
        <v>-3.5125331561187787</v>
      </c>
      <c r="EJ396" s="205" t="str">
        <f t="shared" si="716"/>
        <v/>
      </c>
      <c r="EK396" s="205">
        <f>IF($J396="",#N/A,SUM(EJ$4:EJ396))</f>
        <v>11.820135611943035</v>
      </c>
      <c r="EL396" s="205">
        <f>IF($J396="",#N/A,SUM(EJ$4:EJ396,EH$4:EH396,EF$4:EF396))</f>
        <v>8.9660858695231074</v>
      </c>
      <c r="EM396" s="200" t="str">
        <f t="shared" si="717"/>
        <v/>
      </c>
      <c r="EN396" s="203">
        <f>IF($J396="",#N/A,SUM(EM$4:EM396))</f>
        <v>0</v>
      </c>
      <c r="EO396" s="204" t="str">
        <f t="shared" si="718"/>
        <v/>
      </c>
      <c r="EP396" s="204">
        <f>IF($J396="",#N/A,SUM(EO$4:EO396))</f>
        <v>2.4788862078089964</v>
      </c>
      <c r="EQ396" s="205" t="str">
        <f t="shared" si="719"/>
        <v/>
      </c>
      <c r="ER396" s="205">
        <f>IF($J396="",#N/A,SUM(EQ$4:EQ396))</f>
        <v>1.7856049065476487</v>
      </c>
      <c r="ES396" s="205">
        <f>IF($J396="",#N/A,SUM(EQ$4:EQ396,EO$4:EO396,EM$4:EM396))</f>
        <v>4.2644911143566446</v>
      </c>
      <c r="ET396" s="200" t="str">
        <f t="shared" si="720"/>
        <v/>
      </c>
      <c r="EU396" s="203">
        <f>IF($J396="",#N/A,SUM(ET$4:ET396))</f>
        <v>0</v>
      </c>
      <c r="EV396" s="204" t="str">
        <f t="shared" si="721"/>
        <v/>
      </c>
      <c r="EW396" s="204">
        <f>IF($J396="",#N/A,SUM(EV$4:EV396))</f>
        <v>7.9116394275462909E-2</v>
      </c>
      <c r="EX396" s="205" t="str">
        <f t="shared" si="722"/>
        <v/>
      </c>
      <c r="EY396" s="205">
        <f>IF($J396="",#N/A,SUM(EX$4:EX396))</f>
        <v>0.62848633887309935</v>
      </c>
      <c r="EZ396" s="205">
        <f>IF($J396="",#N/A,SUM(EX$4:EX396,EV$4:EV396,ET$4:ET396))</f>
        <v>0.70760273314856192</v>
      </c>
      <c r="FA396" s="200" t="str">
        <f t="shared" si="723"/>
        <v/>
      </c>
      <c r="FB396" s="203">
        <f>IF($J396="",#N/A,SUM(FA$4:FA396))</f>
        <v>-0.27145310509113252</v>
      </c>
      <c r="FC396" s="204" t="str">
        <f t="shared" si="724"/>
        <v/>
      </c>
      <c r="FD396" s="204">
        <f>IF($J396="",#N/A,SUM(FC$4:FC396))</f>
        <v>0.89084290967454072</v>
      </c>
      <c r="FE396" s="205" t="str">
        <f t="shared" si="725"/>
        <v/>
      </c>
      <c r="FF396" s="205">
        <f>IF($J396="",#N/A,SUM(FE$4:FE396))</f>
        <v>-0.28811149078748233</v>
      </c>
      <c r="FG396" s="205">
        <f>IF($J396="",#N/A,SUM(FE$4:FE396,FC$4:FC396,FA$4:FA396))</f>
        <v>0.3312783137959262</v>
      </c>
      <c r="FH396" s="200" t="str">
        <f t="shared" si="726"/>
        <v/>
      </c>
      <c r="FI396" s="203">
        <f>IF($J396="",#N/A,SUM(FH$4:FH396))</f>
        <v>0</v>
      </c>
      <c r="FJ396" s="204" t="str">
        <f t="shared" si="727"/>
        <v/>
      </c>
      <c r="FK396" s="204">
        <f>IF($J396="",#N/A,SUM(FJ$4:FJ396))</f>
        <v>0</v>
      </c>
      <c r="FL396" s="205" t="str">
        <f t="shared" si="728"/>
        <v/>
      </c>
      <c r="FM396" s="205">
        <f>IF($J396="",#N/A,SUM(FL$4:FL396))</f>
        <v>0</v>
      </c>
      <c r="FN396" s="205">
        <f>IF($J396="",#N/A,SUM(FL$4:FL396,FJ$4:FJ396,FH$4:FH396))</f>
        <v>0</v>
      </c>
      <c r="FO396" s="200" t="str">
        <f t="shared" si="729"/>
        <v/>
      </c>
      <c r="FP396" s="203">
        <f>IF($J396="",#N/A,SUM(FO$4:FO396))</f>
        <v>0</v>
      </c>
      <c r="FQ396" s="204" t="str">
        <f t="shared" si="730"/>
        <v/>
      </c>
      <c r="FR396" s="204">
        <f>IF($J396="",#N/A,SUM(FQ$4:FQ396))</f>
        <v>0</v>
      </c>
      <c r="FS396" s="205" t="str">
        <f t="shared" si="731"/>
        <v/>
      </c>
      <c r="FT396" s="205">
        <f>IF($J396="",#N/A,SUM(FS$4:FS396))</f>
        <v>0</v>
      </c>
      <c r="FU396" s="205">
        <f>IF($J396="",#N/A,SUM(FS$4:FS396,FQ$4:FQ396,FO$4:FO396))</f>
        <v>0</v>
      </c>
      <c r="FV396" s="200" t="str">
        <f t="shared" si="732"/>
        <v/>
      </c>
      <c r="FW396" s="203">
        <f>IF($J396="",#N/A,SUM(FV$4:FV396))</f>
        <v>6.6834991831277585E-2</v>
      </c>
      <c r="FX396" s="204" t="str">
        <f t="shared" si="733"/>
        <v/>
      </c>
      <c r="FY396" s="204">
        <f>IF($J396="",#N/A,SUM(FX$4:FX396))</f>
        <v>-0.16102012791805576</v>
      </c>
      <c r="FZ396" s="205" t="str">
        <f t="shared" si="734"/>
        <v/>
      </c>
      <c r="GA396" s="205">
        <f>IF($J396="",#N/A,SUM(FZ$4:FZ396))</f>
        <v>-0.69624339162892301</v>
      </c>
      <c r="GB396" s="205">
        <f>IF($J396="",#N/A,SUM(FZ$4:FZ396,FX$4:FX396,FV$4:FV396))</f>
        <v>-0.79042852771570116</v>
      </c>
      <c r="GC396" s="200" t="str">
        <f t="shared" si="735"/>
        <v/>
      </c>
      <c r="GD396" s="203">
        <f>IF($J396="",#N/A,SUM(GC$4:GC396))</f>
        <v>0</v>
      </c>
      <c r="GE396" s="204" t="str">
        <f t="shared" si="736"/>
        <v/>
      </c>
      <c r="GF396" s="204">
        <f>IF($J396="",#N/A,SUM(GE$4:GE396))</f>
        <v>0</v>
      </c>
      <c r="GG396" s="205" t="str">
        <f t="shared" si="737"/>
        <v/>
      </c>
      <c r="GH396" s="205">
        <f>IF($J396="",#N/A,SUM(GG$4:GG396))</f>
        <v>-2.9368362277223206</v>
      </c>
      <c r="GI396" s="205">
        <f>IF($J396="",#N/A,SUM(GG$4:GG396,GE$4:GE396,GC$4:GC396))</f>
        <v>-2.9368362277223206</v>
      </c>
      <c r="GJ396" s="200" t="str">
        <f t="shared" si="738"/>
        <v/>
      </c>
      <c r="GK396" s="203">
        <f>IF($J396="",#N/A,SUM(GJ$4:GJ396))</f>
        <v>0</v>
      </c>
      <c r="GL396" s="204" t="str">
        <f t="shared" si="739"/>
        <v/>
      </c>
      <c r="GM396" s="204">
        <f>IF($J396="",#N/A,SUM(GL$4:GL396))</f>
        <v>-2.0621307233432784</v>
      </c>
      <c r="GN396" s="205" t="str">
        <f t="shared" si="740"/>
        <v/>
      </c>
      <c r="GO396" s="205">
        <f>IF($J396="",#N/A,SUM(GN$4:GN396))</f>
        <v>0</v>
      </c>
      <c r="GP396" s="205">
        <f>IF($J396="",#N/A,SUM(GN$4:GN396,GL$4:GL396,GJ$4:GJ396))</f>
        <v>-2.0621307233432784</v>
      </c>
      <c r="GS396" s="54">
        <f t="shared" si="759"/>
        <v>1.6791876779527255</v>
      </c>
      <c r="GT396" s="54">
        <f>IF(GS396="",NA(),SUM($GS$4:GS396))</f>
        <v>14.033772915078336</v>
      </c>
      <c r="GU396" s="54">
        <f t="shared" si="741"/>
        <v>1.6791876779527255</v>
      </c>
      <c r="GV396" s="54">
        <f>IF(GU396="",NA(),SUM($GU$4:GU396))</f>
        <v>-4.7792510925228822</v>
      </c>
      <c r="GW396" s="54" t="str">
        <f t="shared" si="742"/>
        <v/>
      </c>
      <c r="GX396" s="54" t="e">
        <f>IF(GW396="",NA(),SUM($GW$4:GW396))</f>
        <v>#N/A</v>
      </c>
      <c r="GY396" s="54" t="str">
        <f t="shared" si="743"/>
        <v/>
      </c>
      <c r="GZ396" s="54" t="e">
        <f>IF(GY396="",NA(),SUM($GY$4:GY396))</f>
        <v>#N/A</v>
      </c>
      <c r="HA396" s="54" t="str">
        <f t="shared" si="744"/>
        <v/>
      </c>
      <c r="HB396" s="54" t="e">
        <f>IF(HA396="",NA(),SUM($HA$4:HA396))</f>
        <v>#N/A</v>
      </c>
      <c r="HC396" s="54" t="str">
        <f t="shared" si="745"/>
        <v/>
      </c>
      <c r="HD396" s="54" t="e">
        <f>IF(HC396="",NA(),SUM($HC$4:HC396))</f>
        <v>#N/A</v>
      </c>
      <c r="HE396" s="54" t="str">
        <f t="shared" si="746"/>
        <v/>
      </c>
      <c r="HF396" s="54" t="e">
        <f>IF(HE396="",NA(),SUM($HE$4:HE396))</f>
        <v>#N/A</v>
      </c>
      <c r="HG396" s="54" t="str">
        <f t="shared" si="747"/>
        <v/>
      </c>
      <c r="HH396" s="54" t="e">
        <f>IF(HG396="",NA(),SUM($HG$4:HG396))</f>
        <v>#N/A</v>
      </c>
      <c r="HI396" s="172" t="str">
        <f t="shared" si="760"/>
        <v/>
      </c>
      <c r="HJ396" s="172">
        <f>IF($J396="",#N/A,SUM(HI$4:$HI396))</f>
        <v>-11.384655655360691</v>
      </c>
      <c r="HK396" s="54" t="str">
        <f t="shared" si="748"/>
        <v/>
      </c>
      <c r="HL396" s="54">
        <f>IF($J396="",#N/A,SUM($HK$4:HK396))</f>
        <v>7.7718073844558004</v>
      </c>
      <c r="HM396" s="54">
        <f t="shared" si="749"/>
        <v>0.96223114129875698</v>
      </c>
      <c r="HN396" s="54">
        <f>IF($J396="",#N/A,SUM($HM$4:HM396))</f>
        <v>0.73576080412462941</v>
      </c>
      <c r="HO396" s="54" t="str">
        <f t="shared" si="750"/>
        <v/>
      </c>
      <c r="HP396" s="54">
        <f>IF($J396="",#N/A,SUM($HO$4:HO396))</f>
        <v>2.5247847798115064E-2</v>
      </c>
      <c r="HQ396" s="54" t="str">
        <f t="shared" si="751"/>
        <v/>
      </c>
      <c r="HR396" s="54">
        <f>IF($J396="",#N/A,SUM($HQ$4:HQ396))</f>
        <v>-13.901487653588381</v>
      </c>
      <c r="HS396" s="54" t="str">
        <f t="shared" si="752"/>
        <v/>
      </c>
      <c r="HT396" s="54">
        <f>IF($J396="",#N/A,SUM($HS$4:HS396))</f>
        <v>16.137594668080389</v>
      </c>
      <c r="HU396" s="65">
        <f t="shared" si="753"/>
        <v>2.6414188192514825</v>
      </c>
      <c r="HV396" s="65">
        <f>IF($J396="",#N/A,SUM(HU$4:$HU396))</f>
        <v>12.56615189198407</v>
      </c>
    </row>
    <row r="397" spans="1:230" ht="15.75" thickBot="1" x14ac:dyDescent="0.3">
      <c r="A397" s="292" t="s">
        <v>1182</v>
      </c>
      <c r="B397" s="293" t="s">
        <v>5551</v>
      </c>
      <c r="C397" s="294">
        <f t="shared" si="654"/>
        <v>3</v>
      </c>
      <c r="D397" s="295" t="str">
        <f>_xlfn.XLOOKUP(A397,[1]SP500!$A$2:$A$502,[1]SP500!$D$2:$D$502,"N")</f>
        <v>N</v>
      </c>
      <c r="E397" s="292" t="str">
        <f>IFERROR(_xlfn.XLOOKUP(A397,[1]SP500!$A$2:$A$655,[1]SP500!$B$2:$B$655),"")</f>
        <v>XLP</v>
      </c>
      <c r="F397" s="296">
        <v>45811</v>
      </c>
      <c r="G397" s="292" t="str">
        <f t="shared" si="655"/>
        <v>BMO</v>
      </c>
      <c r="H397" s="292" t="str">
        <f t="shared" si="656"/>
        <v>s</v>
      </c>
      <c r="I397" s="345">
        <v>111.92</v>
      </c>
      <c r="J397" s="297">
        <v>106.78</v>
      </c>
      <c r="K397" s="298">
        <f t="shared" si="657"/>
        <v>-4.5925661186561835E-2</v>
      </c>
      <c r="L397" s="299">
        <f t="shared" si="658"/>
        <v>-66.819999999999936</v>
      </c>
      <c r="M397" s="300" t="e">
        <f t="shared" si="659"/>
        <v>#N/A</v>
      </c>
      <c r="N397" s="341">
        <f t="shared" si="660"/>
        <v>-66.819999999999936</v>
      </c>
      <c r="O397" s="300">
        <f>IF(N397="",#N/A,SUM($N$4:N397))</f>
        <v>485.71607492035639</v>
      </c>
      <c r="P397" s="305">
        <f t="shared" si="754"/>
        <v>-0.76542768644269643</v>
      </c>
      <c r="Q397" s="304">
        <f>IF($N397="",#N/A,SUM($P$4:P397))</f>
        <v>12.912630265899059</v>
      </c>
      <c r="R397" s="307">
        <f t="shared" si="661"/>
        <v>3.1101909494397511</v>
      </c>
      <c r="S397" s="292" t="str">
        <f t="shared" si="662"/>
        <v>SW</v>
      </c>
      <c r="T397" s="292" t="s">
        <v>2828</v>
      </c>
      <c r="U397" s="308">
        <f t="shared" si="663"/>
        <v>111.92</v>
      </c>
      <c r="V397" s="308" t="s">
        <v>4460</v>
      </c>
      <c r="W397" s="557">
        <v>13</v>
      </c>
      <c r="X397" s="309">
        <f t="shared" si="664"/>
        <v>1454.96</v>
      </c>
      <c r="Y397" s="310">
        <f t="shared" si="665"/>
        <v>13</v>
      </c>
      <c r="Z397" s="311">
        <f>J397</f>
        <v>106.78</v>
      </c>
      <c r="AA397" s="341">
        <f t="shared" si="666"/>
        <v>-66.819999999999936</v>
      </c>
      <c r="AB397" s="341">
        <f t="shared" si="667"/>
        <v>-26.130000000000109</v>
      </c>
      <c r="AC397" s="297">
        <v>109.91</v>
      </c>
      <c r="AD397" s="301">
        <f t="shared" si="668"/>
        <v>-26.130000000000109</v>
      </c>
      <c r="AE397" s="546">
        <f t="shared" si="669"/>
        <v>-0.2993209435310949</v>
      </c>
      <c r="AF397" s="300">
        <f>IF($AC397="",#N/A,SUM(AD$4:AD397))</f>
        <v>724.96996410331485</v>
      </c>
      <c r="AG397" s="341">
        <f t="shared" si="670"/>
        <v>40.689999999999827</v>
      </c>
      <c r="AH397" s="308" t="s">
        <v>4674</v>
      </c>
      <c r="AI397" s="305">
        <f t="shared" si="671"/>
        <v>-0.2993209435310949</v>
      </c>
      <c r="AJ397" s="418">
        <f>IF(AI397="",#N/A,SUM($AI$4:AI397))</f>
        <v>9.8024393164593082</v>
      </c>
      <c r="AK397" s="308">
        <f t="shared" si="672"/>
        <v>-26.130000000000109</v>
      </c>
      <c r="AL397" s="406">
        <f>IF(AI397="",#N/A,IF(AH397="Skip",SUM($AK$4:AK397),SUM($AK$4:AK397)))</f>
        <v>351.82236927848157</v>
      </c>
      <c r="AM397" s="65">
        <f t="shared" si="755"/>
        <v>-0.2993209435310949</v>
      </c>
      <c r="AN397" s="209"/>
      <c r="AO397" s="65">
        <f t="shared" si="673"/>
        <v>-0.2993209435310949</v>
      </c>
      <c r="AP397" s="65">
        <f>IF($AC397="",#N/A,SUM(AO$4:AO397))</f>
        <v>12.343819761978063</v>
      </c>
      <c r="AQ397" s="65" t="str">
        <f t="shared" si="674"/>
        <v/>
      </c>
      <c r="AR397" s="65">
        <f>IF($AC397="",#N/A,SUM(AQ$4:AQ397))</f>
        <v>-7.1143952206153163</v>
      </c>
      <c r="AS397" s="65" t="str">
        <f t="shared" si="675"/>
        <v/>
      </c>
      <c r="AT397" s="65">
        <f>IF($AC397="",#N/A,SUM(AS$4:AS397))</f>
        <v>7.0374064070902227</v>
      </c>
      <c r="AU397" s="57">
        <f t="shared" si="756"/>
        <v>-26.130000000000109</v>
      </c>
      <c r="AV397" s="57">
        <f>IF($AC397="",#N/A,SUM(AU$4:AU397))</f>
        <v>714.84383890574668</v>
      </c>
      <c r="AW397" s="57" t="str">
        <f t="shared" si="757"/>
        <v/>
      </c>
      <c r="AX397" s="57">
        <f>IF($AC397="",#N/A,SUM(AW$4:AW397))</f>
        <v>-515.77106797961119</v>
      </c>
      <c r="AY397" s="57" t="str">
        <f t="shared" si="758"/>
        <v/>
      </c>
      <c r="AZ397" s="57">
        <f>IF($AC397="",#N/A,SUM(AY$4:AY397))</f>
        <v>525.89719317717925</v>
      </c>
      <c r="BA397" s="57">
        <f>IF(AD397="",#N/A,SUM($AD$4:AD397))</f>
        <v>724.96996410331485</v>
      </c>
      <c r="BC397" s="51" t="str">
        <f t="shared" si="676"/>
        <v/>
      </c>
      <c r="BD397" s="51" t="str">
        <f t="shared" si="677"/>
        <v/>
      </c>
      <c r="BE397" s="51" t="str">
        <f t="shared" si="678"/>
        <v/>
      </c>
      <c r="BF397" s="51" t="str">
        <f t="shared" si="679"/>
        <v>Long</v>
      </c>
      <c r="BG397" s="51" t="str">
        <f t="shared" si="680"/>
        <v/>
      </c>
      <c r="BH397" s="51" t="str">
        <f t="shared" si="681"/>
        <v/>
      </c>
      <c r="BI397" s="51">
        <f t="shared" si="682"/>
        <v>1</v>
      </c>
      <c r="BK397" s="65">
        <f t="shared" si="653"/>
        <v>-6.4500192514079555E-2</v>
      </c>
      <c r="BL397" s="65">
        <f t="shared" si="652"/>
        <v>0.12114751806340224</v>
      </c>
      <c r="BM397" s="65">
        <f>IFERROR(Q397/COUNTA($J$4:J397),#N/A)</f>
        <v>3.2773173263703194E-2</v>
      </c>
      <c r="BO397" s="489">
        <f>IF(J397="",#N/A,IF(S397="SW",(COUNTIFS(K$4:$K397,"&gt;0",S$4:$S397,"SW")/COUNTIF(S$4:$S397,"SW")),#N/A))</f>
        <v>0.49738219895287961</v>
      </c>
      <c r="BP397" s="489" t="e">
        <f>IF($J397="",#N/A,IF($S397="DWN",(COUNTIFS($K$4:$K397,"&lt;0",$S$4:$S397,"DWN")/COUNTIF($S$4:$S397,"DWN")),#N/A))</f>
        <v>#N/A</v>
      </c>
      <c r="BQ397" s="489" t="e">
        <f>IF($J397="",#N/A,IF($S397="UP",(COUNTIFS($K$4:$K397,"&gt;0",$S$4:$S397,"UP")/COUNTIF($S$4:$S397,"UP")),#N/A))</f>
        <v>#N/A</v>
      </c>
      <c r="BR397" s="489">
        <f>IF(J397="",#N/A,COUNTIF($K$4:K397,"&gt;0")/COUNT($J$4:J397))</f>
        <v>0.4720812182741117</v>
      </c>
      <c r="BS397" s="65" t="str">
        <f t="shared" si="683"/>
        <v/>
      </c>
      <c r="BT397" s="65">
        <f t="shared" si="684"/>
        <v>-0.76542768644269643</v>
      </c>
      <c r="BU397" s="65" t="str">
        <f t="shared" si="685"/>
        <v/>
      </c>
      <c r="BV397" s="65" t="str">
        <f t="shared" si="686"/>
        <v/>
      </c>
      <c r="BW397" s="128" t="str">
        <f t="shared" si="687"/>
        <v/>
      </c>
      <c r="BX397" s="128">
        <f>IF($J397="",#N/A,SUM($BW$4:BW397))</f>
        <v>-600.31817034792948</v>
      </c>
      <c r="BY397" s="131" t="str">
        <f t="shared" si="688"/>
        <v/>
      </c>
      <c r="BZ397" s="131">
        <f>IF($J397="",#N/A,SUM($BY$4:BY397))</f>
        <v>549.90161346139416</v>
      </c>
      <c r="CA397" s="133">
        <f t="shared" si="689"/>
        <v>-66.819999999999936</v>
      </c>
      <c r="CB397" s="133">
        <f>IF($J397="",#N/A,SUM($CA$4:CA397))</f>
        <v>536.13263180689148</v>
      </c>
      <c r="CC397" s="194" t="str">
        <f t="shared" si="690"/>
        <v/>
      </c>
      <c r="CD397" s="194">
        <f>IF($J397="",#N/A,SUM($CC$4:CC397))</f>
        <v>-7.8754038725380582</v>
      </c>
      <c r="CE397" s="195" t="str">
        <f t="shared" si="691"/>
        <v/>
      </c>
      <c r="CF397" s="195">
        <f>IF($J397="",#N/A,SUM($CE$4:CE397))</f>
        <v>10.650254677995123</v>
      </c>
      <c r="CG397" s="196">
        <f t="shared" si="692"/>
        <v>-0.76542768644269643</v>
      </c>
      <c r="CH397" s="196">
        <f>IF($J397="",#N/A,SUM($CG$4:CG397))</f>
        <v>10.137779460442006</v>
      </c>
      <c r="CI397" s="200" t="str">
        <f t="shared" si="693"/>
        <v/>
      </c>
      <c r="CJ397" s="203">
        <f>IF($J397="",#N/A,SUM(CI$4:CI397))</f>
        <v>0</v>
      </c>
      <c r="CK397" s="204" t="str">
        <f t="shared" si="694"/>
        <v/>
      </c>
      <c r="CL397" s="204">
        <f>IF($J397="",#N/A,SUM(CK$4:CK397))</f>
        <v>2.0825010564889137</v>
      </c>
      <c r="CM397" s="205" t="str">
        <f t="shared" si="695"/>
        <v/>
      </c>
      <c r="CN397" s="205">
        <f>IF($J397="",#N/A,SUM(CM$4:CM397))</f>
        <v>-0.88558254952057891</v>
      </c>
      <c r="CO397" s="205">
        <f>IF($J397="",#N/A,SUM(CM$4:CM397,CK$4:CK397,CI$4:CI397))</f>
        <v>1.1969185069683352</v>
      </c>
      <c r="CP397" s="200" t="str">
        <f t="shared" si="696"/>
        <v/>
      </c>
      <c r="CQ397" s="203">
        <f>IF($J397="",#N/A,SUM(CP$4:CP397))</f>
        <v>-2.8337957655297128</v>
      </c>
      <c r="CR397" s="204" t="str">
        <f t="shared" si="697"/>
        <v/>
      </c>
      <c r="CS397" s="204">
        <f>IF($J397="",#N/A,SUM(CR$4:CR397))</f>
        <v>2.3600225017004668</v>
      </c>
      <c r="CT397" s="205" t="str">
        <f t="shared" si="698"/>
        <v/>
      </c>
      <c r="CU397" s="205">
        <f>IF($J397="",#N/A,SUM(CT$4:CT397))</f>
        <v>-4.892829975913175</v>
      </c>
      <c r="CV397" s="205">
        <f>IF($J397="",#N/A,SUM(CT$4:CT397,CR$4:CR397,CP$4:CP397))</f>
        <v>-5.3666032397424219</v>
      </c>
      <c r="CW397" s="200" t="str">
        <f t="shared" si="699"/>
        <v/>
      </c>
      <c r="CX397" s="203">
        <f>IF($J397="",#N/A,SUM(CW$4:CW397))</f>
        <v>-6.3374847922823907</v>
      </c>
      <c r="CY397" s="204" t="str">
        <f t="shared" si="700"/>
        <v/>
      </c>
      <c r="CZ397" s="204">
        <f>IF($J397="",#N/A,SUM(CY$4:CY397))</f>
        <v>-2.4332142608051761</v>
      </c>
      <c r="DA397" s="205" t="str">
        <f t="shared" si="701"/>
        <v/>
      </c>
      <c r="DB397" s="205">
        <f>IF($J397="",#N/A,SUM(DA$4:DA397))</f>
        <v>-1.3155870379734311</v>
      </c>
      <c r="DC397" s="205">
        <f>IF($J397="",#N/A,SUM(DA$4:DA397,CY$4:CY397,CW$4:CW397))</f>
        <v>-10.086286091061</v>
      </c>
      <c r="DD397" s="200" t="str">
        <f t="shared" si="702"/>
        <v/>
      </c>
      <c r="DE397" s="203">
        <f>IF($J397="",#N/A,SUM(DD$4:DD397))</f>
        <v>3.188887231935007</v>
      </c>
      <c r="DF397" s="204" t="str">
        <f t="shared" si="703"/>
        <v/>
      </c>
      <c r="DG397" s="204">
        <f>IF($J397="",#N/A,SUM(DF$4:DF397))</f>
        <v>3.7844462787298916</v>
      </c>
      <c r="DH397" s="205">
        <f t="shared" si="704"/>
        <v>-0.76542768644269643</v>
      </c>
      <c r="DI397" s="205">
        <f>IF($J397="",#N/A,SUM(DH$4:DH397))</f>
        <v>-1.004058041816293</v>
      </c>
      <c r="DJ397" s="205">
        <f>IF($J397="",#N/A,SUM(DH$4:DH397,DF$4:DF397,DD$4:DD397))</f>
        <v>5.9692754688486058</v>
      </c>
      <c r="DK397" s="200" t="str">
        <f t="shared" si="705"/>
        <v/>
      </c>
      <c r="DL397" s="203">
        <f>IF($J397="",#N/A,SUM(DK$4:DK397))</f>
        <v>-0.84049791589649614</v>
      </c>
      <c r="DM397" s="204" t="str">
        <f t="shared" si="706"/>
        <v/>
      </c>
      <c r="DN397" s="204">
        <f>IF($J397="",#N/A,SUM(DM$4:DM397))</f>
        <v>1.8657648196498773</v>
      </c>
      <c r="DO397" s="205" t="str">
        <f t="shared" si="707"/>
        <v/>
      </c>
      <c r="DP397" s="205">
        <f>IF($J397="",#N/A,SUM(DO$4:DO397))</f>
        <v>3.4887162328793941</v>
      </c>
      <c r="DQ397" s="205">
        <f>IF($J397="",#N/A,SUM(DO$4:DO397,DM$4:DM397,DK$4:DK397))</f>
        <v>4.5139831366327758</v>
      </c>
      <c r="DR397" s="200" t="str">
        <f t="shared" si="708"/>
        <v/>
      </c>
      <c r="DS397" s="203">
        <f>IF($J397="",#N/A,SUM(DR$4:DR397))</f>
        <v>-0.55950946427675097</v>
      </c>
      <c r="DT397" s="204" t="str">
        <f t="shared" si="709"/>
        <v/>
      </c>
      <c r="DU397" s="204">
        <f>IF($J397="",#N/A,SUM(DT$4:DT397))</f>
        <v>-0.20750635820596686</v>
      </c>
      <c r="DV397" s="205" t="str">
        <f t="shared" si="710"/>
        <v/>
      </c>
      <c r="DW397" s="205">
        <f>IF($J397="",#N/A,SUM(DV$4:DV397))</f>
        <v>-2.3377035686214001</v>
      </c>
      <c r="DX397" s="205">
        <f>IF($J397="",#N/A,SUM(DV$4:DV397,DT$4:DT397,DR$4:DR397))</f>
        <v>-3.1047193911041169</v>
      </c>
      <c r="DY397" s="200" t="str">
        <f t="shared" si="711"/>
        <v/>
      </c>
      <c r="DZ397" s="203">
        <f>IF($J397="",#N/A,SUM(DY$4:DY397))</f>
        <v>-1.4146842415208627</v>
      </c>
      <c r="EA397" s="204" t="str">
        <f t="shared" si="712"/>
        <v/>
      </c>
      <c r="EB397" s="204">
        <f>IF($J397="",#N/A,SUM(EA$4:EA397))</f>
        <v>4.3184391548878134</v>
      </c>
      <c r="EC397" s="205" t="str">
        <f t="shared" si="713"/>
        <v/>
      </c>
      <c r="ED397" s="205">
        <f>IF($J397="",#N/A,SUM(EC$4:EC397))</f>
        <v>8.4384553208490907</v>
      </c>
      <c r="EE397" s="205">
        <f>IF($J397="",#N/A,SUM(EC$4:EC397,EA$4:EA397,DY$4:DY397))</f>
        <v>11.342210234216044</v>
      </c>
      <c r="EF397" s="200" t="str">
        <f t="shared" si="714"/>
        <v/>
      </c>
      <c r="EG397" s="203">
        <f>IF($J397="",#N/A,SUM(EF$4:EF397))</f>
        <v>0.65848341369884777</v>
      </c>
      <c r="EH397" s="204" t="str">
        <f t="shared" si="715"/>
        <v/>
      </c>
      <c r="EI397" s="204">
        <f>IF($J397="",#N/A,SUM(EH$4:EH397))</f>
        <v>-3.5125331561187787</v>
      </c>
      <c r="EJ397" s="205" t="str">
        <f t="shared" si="716"/>
        <v/>
      </c>
      <c r="EK397" s="205">
        <f>IF($J397="",#N/A,SUM(EJ$4:EJ397))</f>
        <v>11.820135611943035</v>
      </c>
      <c r="EL397" s="205">
        <f>IF($J397="",#N/A,SUM(EJ$4:EJ397,EH$4:EH397,EF$4:EF397))</f>
        <v>8.9660858695231074</v>
      </c>
      <c r="EM397" s="200" t="str">
        <f t="shared" si="717"/>
        <v/>
      </c>
      <c r="EN397" s="203">
        <f>IF($J397="",#N/A,SUM(EM$4:EM397))</f>
        <v>0</v>
      </c>
      <c r="EO397" s="204" t="str">
        <f t="shared" si="718"/>
        <v/>
      </c>
      <c r="EP397" s="204">
        <f>IF($J397="",#N/A,SUM(EO$4:EO397))</f>
        <v>2.4788862078089964</v>
      </c>
      <c r="EQ397" s="205" t="str">
        <f t="shared" si="719"/>
        <v/>
      </c>
      <c r="ER397" s="205">
        <f>IF($J397="",#N/A,SUM(EQ$4:EQ397))</f>
        <v>1.7856049065476487</v>
      </c>
      <c r="ES397" s="205">
        <f>IF($J397="",#N/A,SUM(EQ$4:EQ397,EO$4:EO397,EM$4:EM397))</f>
        <v>4.2644911143566446</v>
      </c>
      <c r="ET397" s="200" t="str">
        <f t="shared" si="720"/>
        <v/>
      </c>
      <c r="EU397" s="203">
        <f>IF($J397="",#N/A,SUM(ET$4:ET397))</f>
        <v>0</v>
      </c>
      <c r="EV397" s="204" t="str">
        <f t="shared" si="721"/>
        <v/>
      </c>
      <c r="EW397" s="204">
        <f>IF($J397="",#N/A,SUM(EV$4:EV397))</f>
        <v>7.9116394275462909E-2</v>
      </c>
      <c r="EX397" s="205" t="str">
        <f t="shared" si="722"/>
        <v/>
      </c>
      <c r="EY397" s="205">
        <f>IF($J397="",#N/A,SUM(EX$4:EX397))</f>
        <v>0.62848633887309935</v>
      </c>
      <c r="EZ397" s="205">
        <f>IF($J397="",#N/A,SUM(EX$4:EX397,EV$4:EV397,ET$4:ET397))</f>
        <v>0.70760273314856192</v>
      </c>
      <c r="FA397" s="200" t="str">
        <f t="shared" si="723"/>
        <v/>
      </c>
      <c r="FB397" s="203">
        <f>IF($J397="",#N/A,SUM(FA$4:FA397))</f>
        <v>-0.27145310509113252</v>
      </c>
      <c r="FC397" s="204" t="str">
        <f t="shared" si="724"/>
        <v/>
      </c>
      <c r="FD397" s="204">
        <f>IF($J397="",#N/A,SUM(FC$4:FC397))</f>
        <v>0.89084290967454072</v>
      </c>
      <c r="FE397" s="205" t="str">
        <f t="shared" si="725"/>
        <v/>
      </c>
      <c r="FF397" s="205">
        <f>IF($J397="",#N/A,SUM(FE$4:FE397))</f>
        <v>-0.28811149078748233</v>
      </c>
      <c r="FG397" s="205">
        <f>IF($J397="",#N/A,SUM(FE$4:FE397,FC$4:FC397,FA$4:FA397))</f>
        <v>0.3312783137959262</v>
      </c>
      <c r="FH397" s="200" t="str">
        <f t="shared" si="726"/>
        <v/>
      </c>
      <c r="FI397" s="203">
        <f>IF($J397="",#N/A,SUM(FH$4:FH397))</f>
        <v>0</v>
      </c>
      <c r="FJ397" s="204" t="str">
        <f t="shared" si="727"/>
        <v/>
      </c>
      <c r="FK397" s="204">
        <f>IF($J397="",#N/A,SUM(FJ$4:FJ397))</f>
        <v>0</v>
      </c>
      <c r="FL397" s="205" t="str">
        <f t="shared" si="728"/>
        <v/>
      </c>
      <c r="FM397" s="205">
        <f>IF($J397="",#N/A,SUM(FL$4:FL397))</f>
        <v>0</v>
      </c>
      <c r="FN397" s="205">
        <f>IF($J397="",#N/A,SUM(FL$4:FL397,FJ$4:FJ397,FH$4:FH397))</f>
        <v>0</v>
      </c>
      <c r="FO397" s="200" t="str">
        <f t="shared" si="729"/>
        <v/>
      </c>
      <c r="FP397" s="203">
        <f>IF($J397="",#N/A,SUM(FO$4:FO397))</f>
        <v>0</v>
      </c>
      <c r="FQ397" s="204" t="str">
        <f t="shared" si="730"/>
        <v/>
      </c>
      <c r="FR397" s="204">
        <f>IF($J397="",#N/A,SUM(FQ$4:FQ397))</f>
        <v>0</v>
      </c>
      <c r="FS397" s="205" t="str">
        <f t="shared" si="731"/>
        <v/>
      </c>
      <c r="FT397" s="205">
        <f>IF($J397="",#N/A,SUM(FS$4:FS397))</f>
        <v>0</v>
      </c>
      <c r="FU397" s="205">
        <f>IF($J397="",#N/A,SUM(FS$4:FS397,FQ$4:FQ397,FO$4:FO397))</f>
        <v>0</v>
      </c>
      <c r="FV397" s="200" t="str">
        <f t="shared" si="732"/>
        <v/>
      </c>
      <c r="FW397" s="203">
        <f>IF($J397="",#N/A,SUM(FV$4:FV397))</f>
        <v>6.6834991831277585E-2</v>
      </c>
      <c r="FX397" s="204" t="str">
        <f t="shared" si="733"/>
        <v/>
      </c>
      <c r="FY397" s="204">
        <f>IF($J397="",#N/A,SUM(FX$4:FX397))</f>
        <v>-0.16102012791805576</v>
      </c>
      <c r="FZ397" s="205" t="str">
        <f t="shared" si="734"/>
        <v/>
      </c>
      <c r="GA397" s="205">
        <f>IF($J397="",#N/A,SUM(FZ$4:FZ397))</f>
        <v>-0.69624339162892301</v>
      </c>
      <c r="GB397" s="205">
        <f>IF($J397="",#N/A,SUM(FZ$4:FZ397,FX$4:FX397,FV$4:FV397))</f>
        <v>-0.79042852771570116</v>
      </c>
      <c r="GC397" s="200" t="str">
        <f t="shared" si="735"/>
        <v/>
      </c>
      <c r="GD397" s="203">
        <f>IF($J397="",#N/A,SUM(GC$4:GC397))</f>
        <v>0</v>
      </c>
      <c r="GE397" s="204" t="str">
        <f t="shared" si="736"/>
        <v/>
      </c>
      <c r="GF397" s="204">
        <f>IF($J397="",#N/A,SUM(GE$4:GE397))</f>
        <v>0</v>
      </c>
      <c r="GG397" s="205" t="str">
        <f t="shared" si="737"/>
        <v/>
      </c>
      <c r="GH397" s="205">
        <f>IF($J397="",#N/A,SUM(GG$4:GG397))</f>
        <v>-2.9368362277223206</v>
      </c>
      <c r="GI397" s="205">
        <f>IF($J397="",#N/A,SUM(GG$4:GG397,GE$4:GE397,GC$4:GC397))</f>
        <v>-2.9368362277223206</v>
      </c>
      <c r="GJ397" s="200" t="str">
        <f t="shared" si="738"/>
        <v/>
      </c>
      <c r="GK397" s="203">
        <f>IF($J397="",#N/A,SUM(GJ$4:GJ397))</f>
        <v>0</v>
      </c>
      <c r="GL397" s="204" t="str">
        <f t="shared" si="739"/>
        <v/>
      </c>
      <c r="GM397" s="204">
        <f>IF($J397="",#N/A,SUM(GL$4:GL397))</f>
        <v>-2.0621307233432784</v>
      </c>
      <c r="GN397" s="205" t="str">
        <f t="shared" si="740"/>
        <v/>
      </c>
      <c r="GO397" s="205">
        <f>IF($J397="",#N/A,SUM(GN$4:GN397))</f>
        <v>0</v>
      </c>
      <c r="GP397" s="205">
        <f>IF($J397="",#N/A,SUM(GN$4:GN397,GL$4:GL397,GJ$4:GJ397))</f>
        <v>-2.0621307233432784</v>
      </c>
      <c r="GS397" s="54" t="str">
        <f t="shared" si="759"/>
        <v/>
      </c>
      <c r="GT397" s="54" t="e">
        <f>IF(GS397="",NA(),SUM($GS$4:GS397))</f>
        <v>#N/A</v>
      </c>
      <c r="GU397" s="54" t="str">
        <f t="shared" si="741"/>
        <v/>
      </c>
      <c r="GV397" s="54" t="e">
        <f>IF(GU397="",NA(),SUM($GU$4:GU397))</f>
        <v>#N/A</v>
      </c>
      <c r="GW397" s="54" t="str">
        <f t="shared" si="742"/>
        <v/>
      </c>
      <c r="GX397" s="54" t="e">
        <f>IF(GW397="",NA(),SUM($GW$4:GW397))</f>
        <v>#N/A</v>
      </c>
      <c r="GY397" s="54" t="str">
        <f t="shared" si="743"/>
        <v/>
      </c>
      <c r="GZ397" s="54" t="e">
        <f>IF(GY397="",NA(),SUM($GY$4:GY397))</f>
        <v>#N/A</v>
      </c>
      <c r="HA397" s="54">
        <f t="shared" si="744"/>
        <v>-0.76542768644269643</v>
      </c>
      <c r="HB397" s="54">
        <f>IF(HA397="",NA(),SUM($HA$4:HA397))</f>
        <v>-1.1211426491792738</v>
      </c>
      <c r="HC397" s="54" t="str">
        <f t="shared" si="745"/>
        <v/>
      </c>
      <c r="HD397" s="54" t="e">
        <f>IF(HC397="",NA(),SUM($HC$4:HC397))</f>
        <v>#N/A</v>
      </c>
      <c r="HE397" s="54">
        <f t="shared" si="746"/>
        <v>-0.76542768644269643</v>
      </c>
      <c r="HF397" s="54">
        <f>IF(HE397="",NA(),SUM($HE$4:HE397))</f>
        <v>1.6813645986680066</v>
      </c>
      <c r="HG397" s="54" t="str">
        <f t="shared" si="747"/>
        <v/>
      </c>
      <c r="HH397" s="54" t="e">
        <f>IF(HG397="",NA(),SUM($HG$4:HG397))</f>
        <v>#N/A</v>
      </c>
      <c r="HI397" s="172" t="str">
        <f t="shared" si="760"/>
        <v/>
      </c>
      <c r="HJ397" s="172">
        <f>IF($J397="",#N/A,SUM(HI$4:$HI397))</f>
        <v>-11.384655655360691</v>
      </c>
      <c r="HK397" s="54" t="str">
        <f t="shared" si="748"/>
        <v/>
      </c>
      <c r="HL397" s="54">
        <f>IF($J397="",#N/A,SUM($HK$4:HK397))</f>
        <v>7.7718073844558004</v>
      </c>
      <c r="HM397" s="54" t="str">
        <f t="shared" si="749"/>
        <v/>
      </c>
      <c r="HN397" s="54">
        <f>IF($J397="",#N/A,SUM($HM$4:HM397))</f>
        <v>0.73576080412462941</v>
      </c>
      <c r="HO397" s="54" t="str">
        <f t="shared" si="750"/>
        <v/>
      </c>
      <c r="HP397" s="54">
        <f>IF($J397="",#N/A,SUM($HO$4:HO397))</f>
        <v>2.5247847798115064E-2</v>
      </c>
      <c r="HQ397" s="54" t="str">
        <f t="shared" si="751"/>
        <v/>
      </c>
      <c r="HR397" s="54">
        <f>IF($J397="",#N/A,SUM($HQ$4:HQ397))</f>
        <v>-13.901487653588381</v>
      </c>
      <c r="HS397" s="54">
        <f t="shared" si="752"/>
        <v>0.46610674291160153</v>
      </c>
      <c r="HT397" s="54">
        <f>IF($J397="",#N/A,SUM($HS$4:HS397))</f>
        <v>16.603701410991992</v>
      </c>
      <c r="HU397" s="65">
        <f t="shared" si="753"/>
        <v>-0.2993209435310949</v>
      </c>
      <c r="HV397" s="65">
        <f>IF($J397="",#N/A,SUM(HU$4:$HU397))</f>
        <v>12.266830948452975</v>
      </c>
    </row>
    <row r="398" spans="1:230" x14ac:dyDescent="0.25">
      <c r="A398" s="59" t="s">
        <v>1235</v>
      </c>
      <c r="B398" s="289" t="s">
        <v>5552</v>
      </c>
      <c r="C398" s="230">
        <f t="shared" si="654"/>
        <v>3</v>
      </c>
      <c r="D398" s="220" t="str">
        <f>_xlfn.XLOOKUP(A398,[1]SP500!$A$2:$A$502,[1]SP500!$D$2:$D$502,"N")</f>
        <v>N</v>
      </c>
      <c r="E398" s="59" t="str">
        <f>IFERROR(_xlfn.XLOOKUP(A398,[1]SP500!$A$2:$A$655,[1]SP500!$B$2:$B$655),"")</f>
        <v>XLV</v>
      </c>
      <c r="F398" s="290">
        <v>45811</v>
      </c>
      <c r="G398" s="59" t="str">
        <f t="shared" si="655"/>
        <v>AMC</v>
      </c>
      <c r="H398" s="59" t="str">
        <f t="shared" si="656"/>
        <v>s</v>
      </c>
      <c r="I398" s="376">
        <v>103.76</v>
      </c>
      <c r="J398" s="278">
        <v>112.08</v>
      </c>
      <c r="K398" s="60">
        <f t="shared" si="657"/>
        <v>8.0185042405551202E-2</v>
      </c>
      <c r="L398" s="68">
        <f t="shared" si="658"/>
        <v>108.15999999999985</v>
      </c>
      <c r="M398" s="62">
        <f t="shared" si="659"/>
        <v>5.4600000000000364</v>
      </c>
      <c r="N398" s="63">
        <f t="shared" si="660"/>
        <v>108.15999999999985</v>
      </c>
      <c r="O398" s="62">
        <f>IF(N398="",#N/A,SUM($N$4:N398))</f>
        <v>593.87607492035625</v>
      </c>
      <c r="P398" s="64">
        <f t="shared" si="754"/>
        <v>1.3364173734258527</v>
      </c>
      <c r="Q398" s="183">
        <f>IF($N398="",#N/A,SUM($P$4:P398))</f>
        <v>14.249047639324912</v>
      </c>
      <c r="R398" s="279">
        <f t="shared" si="661"/>
        <v>3.0427275724158491</v>
      </c>
      <c r="S398" s="59" t="str">
        <f t="shared" si="662"/>
        <v>SW</v>
      </c>
      <c r="T398" s="59" t="s">
        <v>2828</v>
      </c>
      <c r="U398" s="61">
        <f t="shared" si="663"/>
        <v>103.76</v>
      </c>
      <c r="V398" s="61" t="s">
        <v>4460</v>
      </c>
      <c r="W398" s="142">
        <v>13</v>
      </c>
      <c r="X398" s="146">
        <f t="shared" si="664"/>
        <v>1348.88</v>
      </c>
      <c r="Y398" s="142">
        <f t="shared" si="665"/>
        <v>13</v>
      </c>
      <c r="Z398" s="143">
        <v>112.5</v>
      </c>
      <c r="AA398" s="63">
        <f t="shared" si="666"/>
        <v>113.61999999999989</v>
      </c>
      <c r="AB398" s="63">
        <f t="shared" si="667"/>
        <v>120.89999999999986</v>
      </c>
      <c r="AC398" s="125">
        <v>113.06</v>
      </c>
      <c r="AD398" s="148">
        <f t="shared" si="668"/>
        <v>120.89999999999986</v>
      </c>
      <c r="AE398" s="544">
        <f t="shared" si="669"/>
        <v>1.4938319198149559</v>
      </c>
      <c r="AF398" s="62">
        <f>IF($AC398="",#N/A,SUM(AD$4:AD398))</f>
        <v>845.86996410331471</v>
      </c>
      <c r="AG398" s="63">
        <f t="shared" si="670"/>
        <v>12.740000000000009</v>
      </c>
      <c r="AH398" s="61" t="s">
        <v>2507</v>
      </c>
      <c r="AI398" s="64">
        <f t="shared" si="671"/>
        <v>1.4038807504497546</v>
      </c>
      <c r="AJ398" s="420">
        <f>IF(AI398="",#N/A,SUM($AI$4:AI398))</f>
        <v>11.206320066909063</v>
      </c>
      <c r="AK398" s="61">
        <f t="shared" si="672"/>
        <v>113.61999999999989</v>
      </c>
      <c r="AL398" s="421">
        <f>IF(AI398="",#N/A,IF(AH398="Skip",SUM($AK$4:AK398),SUM($AK$4:AK398)))</f>
        <v>465.44236927848146</v>
      </c>
      <c r="AM398" s="65">
        <f t="shared" si="755"/>
        <v>1.4938319198149559</v>
      </c>
      <c r="AN398" s="209"/>
      <c r="AO398" s="65">
        <f t="shared" si="673"/>
        <v>1.4938319198149559</v>
      </c>
      <c r="AP398" s="65">
        <f>IF($AC398="",#N/A,SUM(AO$4:AO398))</f>
        <v>13.83765168179302</v>
      </c>
      <c r="AQ398" s="65" t="str">
        <f t="shared" si="674"/>
        <v/>
      </c>
      <c r="AR398" s="65">
        <f>IF($AC398="",#N/A,SUM(AQ$4:AQ398))</f>
        <v>-7.1143952206153163</v>
      </c>
      <c r="AS398" s="65" t="str">
        <f t="shared" si="675"/>
        <v/>
      </c>
      <c r="AT398" s="65">
        <f>IF($AC398="",#N/A,SUM(AS$4:AS398))</f>
        <v>7.0374064070902227</v>
      </c>
      <c r="AU398" s="57">
        <f t="shared" si="756"/>
        <v>120.89999999999986</v>
      </c>
      <c r="AV398" s="57">
        <f>IF($AC398="",#N/A,SUM(AU$4:AU398))</f>
        <v>835.74383890574654</v>
      </c>
      <c r="AW398" s="57" t="str">
        <f t="shared" si="757"/>
        <v/>
      </c>
      <c r="AX398" s="57">
        <f>IF($AC398="",#N/A,SUM(AW$4:AW398))</f>
        <v>-515.77106797961119</v>
      </c>
      <c r="AY398" s="57" t="str">
        <f t="shared" si="758"/>
        <v/>
      </c>
      <c r="AZ398" s="57">
        <f>IF($AC398="",#N/A,SUM(AY$4:AY398))</f>
        <v>525.89719317717925</v>
      </c>
      <c r="BA398" s="57">
        <f>IF(AD398="",#N/A,SUM($AD$4:AD398))</f>
        <v>845.86996410331471</v>
      </c>
      <c r="BC398" s="51" t="str">
        <f t="shared" si="676"/>
        <v/>
      </c>
      <c r="BD398" s="51" t="str">
        <f t="shared" si="677"/>
        <v/>
      </c>
      <c r="BE398" s="51">
        <f t="shared" si="678"/>
        <v>1</v>
      </c>
      <c r="BF398" s="51" t="str">
        <f t="shared" si="679"/>
        <v>Long</v>
      </c>
      <c r="BG398" s="51" t="str">
        <f t="shared" si="680"/>
        <v/>
      </c>
      <c r="BH398" s="51" t="str">
        <f t="shared" si="681"/>
        <v/>
      </c>
      <c r="BI398" s="51" t="str">
        <f t="shared" si="682"/>
        <v/>
      </c>
      <c r="BK398" s="65">
        <f t="shared" si="653"/>
        <v>-2.1112034268104658E-2</v>
      </c>
      <c r="BL398" s="65">
        <f t="shared" si="652"/>
        <v>0.16344661188467619</v>
      </c>
      <c r="BM398" s="65">
        <f>IFERROR(Q398/COUNTA($J$4:J398),#N/A)</f>
        <v>3.6073538327404842E-2</v>
      </c>
      <c r="BO398" s="489">
        <f>IF(J398="",#N/A,IF(S398="SW",(COUNTIFS(K$4:$K398,"&gt;0",S$4:$S398,"SW")/COUNTIF(S$4:$S398,"SW")),#N/A))</f>
        <v>0.5</v>
      </c>
      <c r="BP398" s="489" t="e">
        <f>IF($J398="",#N/A,IF($S398="DWN",(COUNTIFS($K$4:$K398,"&lt;0",$S$4:$S398,"DWN")/COUNTIF($S$4:$S398,"DWN")),#N/A))</f>
        <v>#N/A</v>
      </c>
      <c r="BQ398" s="489" t="e">
        <f>IF($J398="",#N/A,IF($S398="UP",(COUNTIFS($K$4:$K398,"&gt;0",$S$4:$S398,"UP")/COUNTIF($S$4:$S398,"UP")),#N/A))</f>
        <v>#N/A</v>
      </c>
      <c r="BR398" s="489">
        <f>IF(J398="",#N/A,COUNTIF($K$4:K398,"&gt;0")/COUNT($J$4:J398))</f>
        <v>0.47341772151898737</v>
      </c>
      <c r="BS398" s="65">
        <f t="shared" si="683"/>
        <v>1.3364173734258527</v>
      </c>
      <c r="BT398" s="65" t="str">
        <f t="shared" si="684"/>
        <v/>
      </c>
      <c r="BU398" s="65" t="str">
        <f t="shared" si="685"/>
        <v/>
      </c>
      <c r="BV398" s="65" t="str">
        <f t="shared" si="686"/>
        <v/>
      </c>
      <c r="BW398" s="128" t="str">
        <f t="shared" si="687"/>
        <v/>
      </c>
      <c r="BX398" s="128">
        <f>IF($J398="",#N/A,SUM($BW$4:BW398))</f>
        <v>-600.31817034792948</v>
      </c>
      <c r="BY398" s="131" t="str">
        <f t="shared" si="688"/>
        <v/>
      </c>
      <c r="BZ398" s="131">
        <f>IF($J398="",#N/A,SUM($BY$4:BY398))</f>
        <v>549.90161346139416</v>
      </c>
      <c r="CA398" s="133">
        <f t="shared" si="689"/>
        <v>108.15999999999985</v>
      </c>
      <c r="CB398" s="133">
        <f>IF($J398="",#N/A,SUM($CA$4:CA398))</f>
        <v>644.29263180689134</v>
      </c>
      <c r="CC398" s="194" t="str">
        <f t="shared" si="690"/>
        <v/>
      </c>
      <c r="CD398" s="194">
        <f>IF($J398="",#N/A,SUM($CC$4:CC398))</f>
        <v>-7.8754038725380582</v>
      </c>
      <c r="CE398" s="195" t="str">
        <f t="shared" si="691"/>
        <v/>
      </c>
      <c r="CF398" s="195">
        <f>IF($J398="",#N/A,SUM($CE$4:CE398))</f>
        <v>10.650254677995123</v>
      </c>
      <c r="CG398" s="196">
        <f t="shared" si="692"/>
        <v>1.3364173734258527</v>
      </c>
      <c r="CH398" s="196">
        <f>IF($J398="",#N/A,SUM($CG$4:CG398))</f>
        <v>11.474196833867859</v>
      </c>
      <c r="CI398" s="200" t="str">
        <f t="shared" si="693"/>
        <v/>
      </c>
      <c r="CJ398" s="203">
        <f>IF($J398="",#N/A,SUM(CI$4:CI398))</f>
        <v>0</v>
      </c>
      <c r="CK398" s="204" t="str">
        <f t="shared" si="694"/>
        <v/>
      </c>
      <c r="CL398" s="204">
        <f>IF($J398="",#N/A,SUM(CK$4:CK398))</f>
        <v>2.0825010564889137</v>
      </c>
      <c r="CM398" s="205" t="str">
        <f t="shared" si="695"/>
        <v/>
      </c>
      <c r="CN398" s="205">
        <f>IF($J398="",#N/A,SUM(CM$4:CM398))</f>
        <v>-0.88558254952057891</v>
      </c>
      <c r="CO398" s="205">
        <f>IF($J398="",#N/A,SUM(CM$4:CM398,CK$4:CK398,CI$4:CI398))</f>
        <v>1.1969185069683352</v>
      </c>
      <c r="CP398" s="200" t="str">
        <f t="shared" si="696"/>
        <v/>
      </c>
      <c r="CQ398" s="203">
        <f>IF($J398="",#N/A,SUM(CP$4:CP398))</f>
        <v>-2.8337957655297128</v>
      </c>
      <c r="CR398" s="204" t="str">
        <f t="shared" si="697"/>
        <v/>
      </c>
      <c r="CS398" s="204">
        <f>IF($J398="",#N/A,SUM(CR$4:CR398))</f>
        <v>2.3600225017004668</v>
      </c>
      <c r="CT398" s="205" t="str">
        <f t="shared" si="698"/>
        <v/>
      </c>
      <c r="CU398" s="205">
        <f>IF($J398="",#N/A,SUM(CT$4:CT398))</f>
        <v>-4.892829975913175</v>
      </c>
      <c r="CV398" s="205">
        <f>IF($J398="",#N/A,SUM(CT$4:CT398,CR$4:CR398,CP$4:CP398))</f>
        <v>-5.3666032397424219</v>
      </c>
      <c r="CW398" s="200" t="str">
        <f t="shared" si="699"/>
        <v/>
      </c>
      <c r="CX398" s="203">
        <f>IF($J398="",#N/A,SUM(CW$4:CW398))</f>
        <v>-6.3374847922823907</v>
      </c>
      <c r="CY398" s="204" t="str">
        <f t="shared" si="700"/>
        <v/>
      </c>
      <c r="CZ398" s="204">
        <f>IF($J398="",#N/A,SUM(CY$4:CY398))</f>
        <v>-2.4332142608051761</v>
      </c>
      <c r="DA398" s="205" t="str">
        <f t="shared" si="701"/>
        <v/>
      </c>
      <c r="DB398" s="205">
        <f>IF($J398="",#N/A,SUM(DA$4:DA398))</f>
        <v>-1.3155870379734311</v>
      </c>
      <c r="DC398" s="205">
        <f>IF($J398="",#N/A,SUM(DA$4:DA398,CY$4:CY398,CW$4:CW398))</f>
        <v>-10.086286091061</v>
      </c>
      <c r="DD398" s="200" t="str">
        <f t="shared" si="702"/>
        <v/>
      </c>
      <c r="DE398" s="203">
        <f>IF($J398="",#N/A,SUM(DD$4:DD398))</f>
        <v>3.188887231935007</v>
      </c>
      <c r="DF398" s="204" t="str">
        <f t="shared" si="703"/>
        <v/>
      </c>
      <c r="DG398" s="204">
        <f>IF($J398="",#N/A,SUM(DF$4:DF398))</f>
        <v>3.7844462787298916</v>
      </c>
      <c r="DH398" s="205" t="str">
        <f t="shared" si="704"/>
        <v/>
      </c>
      <c r="DI398" s="205">
        <f>IF($J398="",#N/A,SUM(DH$4:DH398))</f>
        <v>-1.004058041816293</v>
      </c>
      <c r="DJ398" s="205">
        <f>IF($J398="",#N/A,SUM(DH$4:DH398,DF$4:DF398,DD$4:DD398))</f>
        <v>5.9692754688486058</v>
      </c>
      <c r="DK398" s="200" t="str">
        <f t="shared" si="705"/>
        <v/>
      </c>
      <c r="DL398" s="203">
        <f>IF($J398="",#N/A,SUM(DK$4:DK398))</f>
        <v>-0.84049791589649614</v>
      </c>
      <c r="DM398" s="204" t="str">
        <f t="shared" si="706"/>
        <v/>
      </c>
      <c r="DN398" s="204">
        <f>IF($J398="",#N/A,SUM(DM$4:DM398))</f>
        <v>1.8657648196498773</v>
      </c>
      <c r="DO398" s="205" t="str">
        <f t="shared" si="707"/>
        <v/>
      </c>
      <c r="DP398" s="205">
        <f>IF($J398="",#N/A,SUM(DO$4:DO398))</f>
        <v>3.4887162328793941</v>
      </c>
      <c r="DQ398" s="205">
        <f>IF($J398="",#N/A,SUM(DO$4:DO398,DM$4:DM398,DK$4:DK398))</f>
        <v>4.5139831366327758</v>
      </c>
      <c r="DR398" s="200" t="str">
        <f t="shared" si="708"/>
        <v/>
      </c>
      <c r="DS398" s="203">
        <f>IF($J398="",#N/A,SUM(DR$4:DR398))</f>
        <v>-0.55950946427675097</v>
      </c>
      <c r="DT398" s="204" t="str">
        <f t="shared" si="709"/>
        <v/>
      </c>
      <c r="DU398" s="204">
        <f>IF($J398="",#N/A,SUM(DT$4:DT398))</f>
        <v>-0.20750635820596686</v>
      </c>
      <c r="DV398" s="205" t="str">
        <f t="shared" si="710"/>
        <v/>
      </c>
      <c r="DW398" s="205">
        <f>IF($J398="",#N/A,SUM(DV$4:DV398))</f>
        <v>-2.3377035686214001</v>
      </c>
      <c r="DX398" s="205">
        <f>IF($J398="",#N/A,SUM(DV$4:DV398,DT$4:DT398,DR$4:DR398))</f>
        <v>-3.1047193911041169</v>
      </c>
      <c r="DY398" s="200" t="str">
        <f t="shared" si="711"/>
        <v/>
      </c>
      <c r="DZ398" s="203">
        <f>IF($J398="",#N/A,SUM(DY$4:DY398))</f>
        <v>-1.4146842415208627</v>
      </c>
      <c r="EA398" s="204" t="str">
        <f t="shared" si="712"/>
        <v/>
      </c>
      <c r="EB398" s="204">
        <f>IF($J398="",#N/A,SUM(EA$4:EA398))</f>
        <v>4.3184391548878134</v>
      </c>
      <c r="EC398" s="205" t="str">
        <f t="shared" si="713"/>
        <v/>
      </c>
      <c r="ED398" s="205">
        <f>IF($J398="",#N/A,SUM(EC$4:EC398))</f>
        <v>8.4384553208490907</v>
      </c>
      <c r="EE398" s="205">
        <f>IF($J398="",#N/A,SUM(EC$4:EC398,EA$4:EA398,DY$4:DY398))</f>
        <v>11.342210234216044</v>
      </c>
      <c r="EF398" s="200" t="str">
        <f t="shared" si="714"/>
        <v/>
      </c>
      <c r="EG398" s="203">
        <f>IF($J398="",#N/A,SUM(EF$4:EF398))</f>
        <v>0.65848341369884777</v>
      </c>
      <c r="EH398" s="204" t="str">
        <f t="shared" si="715"/>
        <v/>
      </c>
      <c r="EI398" s="204">
        <f>IF($J398="",#N/A,SUM(EH$4:EH398))</f>
        <v>-3.5125331561187787</v>
      </c>
      <c r="EJ398" s="205">
        <f t="shared" si="716"/>
        <v>1.3364173734258527</v>
      </c>
      <c r="EK398" s="205">
        <f>IF($J398="",#N/A,SUM(EJ$4:EJ398))</f>
        <v>13.156552985368888</v>
      </c>
      <c r="EL398" s="205">
        <f>IF($J398="",#N/A,SUM(EJ$4:EJ398,EH$4:EH398,EF$4:EF398))</f>
        <v>10.30250324294896</v>
      </c>
      <c r="EM398" s="200" t="str">
        <f t="shared" si="717"/>
        <v/>
      </c>
      <c r="EN398" s="203">
        <f>IF($J398="",#N/A,SUM(EM$4:EM398))</f>
        <v>0</v>
      </c>
      <c r="EO398" s="204" t="str">
        <f t="shared" si="718"/>
        <v/>
      </c>
      <c r="EP398" s="204">
        <f>IF($J398="",#N/A,SUM(EO$4:EO398))</f>
        <v>2.4788862078089964</v>
      </c>
      <c r="EQ398" s="205" t="str">
        <f t="shared" si="719"/>
        <v/>
      </c>
      <c r="ER398" s="205">
        <f>IF($J398="",#N/A,SUM(EQ$4:EQ398))</f>
        <v>1.7856049065476487</v>
      </c>
      <c r="ES398" s="205">
        <f>IF($J398="",#N/A,SUM(EQ$4:EQ398,EO$4:EO398,EM$4:EM398))</f>
        <v>4.2644911143566446</v>
      </c>
      <c r="ET398" s="200" t="str">
        <f t="shared" si="720"/>
        <v/>
      </c>
      <c r="EU398" s="203">
        <f>IF($J398="",#N/A,SUM(ET$4:ET398))</f>
        <v>0</v>
      </c>
      <c r="EV398" s="204" t="str">
        <f t="shared" si="721"/>
        <v/>
      </c>
      <c r="EW398" s="204">
        <f>IF($J398="",#N/A,SUM(EV$4:EV398))</f>
        <v>7.9116394275462909E-2</v>
      </c>
      <c r="EX398" s="205" t="str">
        <f t="shared" si="722"/>
        <v/>
      </c>
      <c r="EY398" s="205">
        <f>IF($J398="",#N/A,SUM(EX$4:EX398))</f>
        <v>0.62848633887309935</v>
      </c>
      <c r="EZ398" s="205">
        <f>IF($J398="",#N/A,SUM(EX$4:EX398,EV$4:EV398,ET$4:ET398))</f>
        <v>0.70760273314856192</v>
      </c>
      <c r="FA398" s="200" t="str">
        <f t="shared" si="723"/>
        <v/>
      </c>
      <c r="FB398" s="203">
        <f>IF($J398="",#N/A,SUM(FA$4:FA398))</f>
        <v>-0.27145310509113252</v>
      </c>
      <c r="FC398" s="204" t="str">
        <f t="shared" si="724"/>
        <v/>
      </c>
      <c r="FD398" s="204">
        <f>IF($J398="",#N/A,SUM(FC$4:FC398))</f>
        <v>0.89084290967454072</v>
      </c>
      <c r="FE398" s="205" t="str">
        <f t="shared" si="725"/>
        <v/>
      </c>
      <c r="FF398" s="205">
        <f>IF($J398="",#N/A,SUM(FE$4:FE398))</f>
        <v>-0.28811149078748233</v>
      </c>
      <c r="FG398" s="205">
        <f>IF($J398="",#N/A,SUM(FE$4:FE398,FC$4:FC398,FA$4:FA398))</f>
        <v>0.3312783137959262</v>
      </c>
      <c r="FH398" s="200" t="str">
        <f t="shared" si="726"/>
        <v/>
      </c>
      <c r="FI398" s="203">
        <f>IF($J398="",#N/A,SUM(FH$4:FH398))</f>
        <v>0</v>
      </c>
      <c r="FJ398" s="204" t="str">
        <f t="shared" si="727"/>
        <v/>
      </c>
      <c r="FK398" s="204">
        <f>IF($J398="",#N/A,SUM(FJ$4:FJ398))</f>
        <v>0</v>
      </c>
      <c r="FL398" s="205" t="str">
        <f t="shared" si="728"/>
        <v/>
      </c>
      <c r="FM398" s="205">
        <f>IF($J398="",#N/A,SUM(FL$4:FL398))</f>
        <v>0</v>
      </c>
      <c r="FN398" s="205">
        <f>IF($J398="",#N/A,SUM(FL$4:FL398,FJ$4:FJ398,FH$4:FH398))</f>
        <v>0</v>
      </c>
      <c r="FO398" s="200" t="str">
        <f t="shared" si="729"/>
        <v/>
      </c>
      <c r="FP398" s="203">
        <f>IF($J398="",#N/A,SUM(FO$4:FO398))</f>
        <v>0</v>
      </c>
      <c r="FQ398" s="204" t="str">
        <f t="shared" si="730"/>
        <v/>
      </c>
      <c r="FR398" s="204">
        <f>IF($J398="",#N/A,SUM(FQ$4:FQ398))</f>
        <v>0</v>
      </c>
      <c r="FS398" s="205" t="str">
        <f t="shared" si="731"/>
        <v/>
      </c>
      <c r="FT398" s="205">
        <f>IF($J398="",#N/A,SUM(FS$4:FS398))</f>
        <v>0</v>
      </c>
      <c r="FU398" s="205">
        <f>IF($J398="",#N/A,SUM(FS$4:FS398,FQ$4:FQ398,FO$4:FO398))</f>
        <v>0</v>
      </c>
      <c r="FV398" s="200" t="str">
        <f t="shared" si="732"/>
        <v/>
      </c>
      <c r="FW398" s="203">
        <f>IF($J398="",#N/A,SUM(FV$4:FV398))</f>
        <v>6.6834991831277585E-2</v>
      </c>
      <c r="FX398" s="204" t="str">
        <f t="shared" si="733"/>
        <v/>
      </c>
      <c r="FY398" s="204">
        <f>IF($J398="",#N/A,SUM(FX$4:FX398))</f>
        <v>-0.16102012791805576</v>
      </c>
      <c r="FZ398" s="205" t="str">
        <f t="shared" si="734"/>
        <v/>
      </c>
      <c r="GA398" s="205">
        <f>IF($J398="",#N/A,SUM(FZ$4:FZ398))</f>
        <v>-0.69624339162892301</v>
      </c>
      <c r="GB398" s="205">
        <f>IF($J398="",#N/A,SUM(FZ$4:FZ398,FX$4:FX398,FV$4:FV398))</f>
        <v>-0.79042852771570116</v>
      </c>
      <c r="GC398" s="200" t="str">
        <f t="shared" si="735"/>
        <v/>
      </c>
      <c r="GD398" s="203">
        <f>IF($J398="",#N/A,SUM(GC$4:GC398))</f>
        <v>0</v>
      </c>
      <c r="GE398" s="204" t="str">
        <f t="shared" si="736"/>
        <v/>
      </c>
      <c r="GF398" s="204">
        <f>IF($J398="",#N/A,SUM(GE$4:GE398))</f>
        <v>0</v>
      </c>
      <c r="GG398" s="205" t="str">
        <f t="shared" si="737"/>
        <v/>
      </c>
      <c r="GH398" s="205">
        <f>IF($J398="",#N/A,SUM(GG$4:GG398))</f>
        <v>-2.9368362277223206</v>
      </c>
      <c r="GI398" s="205">
        <f>IF($J398="",#N/A,SUM(GG$4:GG398,GE$4:GE398,GC$4:GC398))</f>
        <v>-2.9368362277223206</v>
      </c>
      <c r="GJ398" s="200" t="str">
        <f t="shared" si="738"/>
        <v/>
      </c>
      <c r="GK398" s="203">
        <f>IF($J398="",#N/A,SUM(GJ$4:GJ398))</f>
        <v>0</v>
      </c>
      <c r="GL398" s="204" t="str">
        <f t="shared" si="739"/>
        <v/>
      </c>
      <c r="GM398" s="204">
        <f>IF($J398="",#N/A,SUM(GL$4:GL398))</f>
        <v>-2.0621307233432784</v>
      </c>
      <c r="GN398" s="205" t="str">
        <f t="shared" si="740"/>
        <v/>
      </c>
      <c r="GO398" s="205">
        <f>IF($J398="",#N/A,SUM(GN$4:GN398))</f>
        <v>0</v>
      </c>
      <c r="GP398" s="205">
        <f>IF($J398="",#N/A,SUM(GN$4:GN398,GL$4:GL398,GJ$4:GJ398))</f>
        <v>-2.0621307233432784</v>
      </c>
      <c r="GS398" s="54" t="str">
        <f t="shared" si="759"/>
        <v/>
      </c>
      <c r="GT398" s="54" t="e">
        <f>IF(GS398="",NA(),SUM($GS$4:GS398))</f>
        <v>#N/A</v>
      </c>
      <c r="GU398" s="54" t="str">
        <f t="shared" si="741"/>
        <v/>
      </c>
      <c r="GV398" s="54" t="e">
        <f>IF(GU398="",NA(),SUM($GU$4:GU398))</f>
        <v>#N/A</v>
      </c>
      <c r="GW398" s="54" t="str">
        <f t="shared" si="742"/>
        <v/>
      </c>
      <c r="GX398" s="54" t="e">
        <f>IF(GW398="",NA(),SUM($GW$4:GW398))</f>
        <v>#N/A</v>
      </c>
      <c r="GY398" s="54" t="str">
        <f t="shared" si="743"/>
        <v/>
      </c>
      <c r="GZ398" s="54" t="e">
        <f>IF(GY398="",NA(),SUM($GY$4:GY398))</f>
        <v>#N/A</v>
      </c>
      <c r="HA398" s="54">
        <f t="shared" si="744"/>
        <v>1.3364173734258527</v>
      </c>
      <c r="HB398" s="54">
        <f>IF(HA398="",NA(),SUM($HA$4:HA398))</f>
        <v>0.2152747242465789</v>
      </c>
      <c r="HC398" s="54" t="str">
        <f t="shared" si="745"/>
        <v/>
      </c>
      <c r="HD398" s="54" t="e">
        <f>IF(HC398="",NA(),SUM($HC$4:HC398))</f>
        <v>#N/A</v>
      </c>
      <c r="HE398" s="54">
        <f t="shared" si="746"/>
        <v>1.3364173734258527</v>
      </c>
      <c r="HF398" s="54">
        <f>IF(HE398="",NA(),SUM($HE$4:HE398))</f>
        <v>3.017781972093859</v>
      </c>
      <c r="HG398" s="54" t="str">
        <f t="shared" si="747"/>
        <v/>
      </c>
      <c r="HH398" s="54" t="e">
        <f>IF(HG398="",NA(),SUM($HG$4:HG398))</f>
        <v>#N/A</v>
      </c>
      <c r="HI398" s="172" t="str">
        <f t="shared" si="760"/>
        <v/>
      </c>
      <c r="HJ398" s="172">
        <f>IF($J398="",#N/A,SUM(HI$4:$HI398))</f>
        <v>-11.384655655360691</v>
      </c>
      <c r="HK398" s="54" t="str">
        <f t="shared" si="748"/>
        <v/>
      </c>
      <c r="HL398" s="54">
        <f>IF($J398="",#N/A,SUM($HK$4:HK398))</f>
        <v>7.7718073844558004</v>
      </c>
      <c r="HM398" s="54" t="str">
        <f t="shared" si="749"/>
        <v/>
      </c>
      <c r="HN398" s="54">
        <f>IF($J398="",#N/A,SUM($HM$4:HM398))</f>
        <v>0.73576080412462941</v>
      </c>
      <c r="HO398" s="54" t="str">
        <f t="shared" si="750"/>
        <v/>
      </c>
      <c r="HP398" s="54">
        <f>IF($J398="",#N/A,SUM($HO$4:HO398))</f>
        <v>2.5247847798115064E-2</v>
      </c>
      <c r="HQ398" s="54">
        <f t="shared" si="751"/>
        <v>0.15741454638910324</v>
      </c>
      <c r="HR398" s="54">
        <f>IF($J398="",#N/A,SUM($HQ$4:HQ398))</f>
        <v>-13.744073107199277</v>
      </c>
      <c r="HS398" s="54" t="str">
        <f t="shared" si="752"/>
        <v/>
      </c>
      <c r="HT398" s="54">
        <f>IF($J398="",#N/A,SUM($HS$4:HS398))</f>
        <v>16.603701410991992</v>
      </c>
      <c r="HU398" s="65">
        <f t="shared" si="753"/>
        <v>1.4938319198149559</v>
      </c>
      <c r="HV398" s="65">
        <f>IF($J398="",#N/A,SUM(HU$4:$HU398))</f>
        <v>13.760662868267932</v>
      </c>
    </row>
    <row r="399" spans="1:230" x14ac:dyDescent="0.25">
      <c r="A399" s="51" t="s">
        <v>1227</v>
      </c>
      <c r="B399" s="52" t="s">
        <v>5552</v>
      </c>
      <c r="C399" s="229">
        <f t="shared" si="654"/>
        <v>3</v>
      </c>
      <c r="D399" s="219" t="str">
        <f>_xlfn.XLOOKUP(A399,[1]SP500!$A$2:$A$502,[1]SP500!$D$2:$D$502,"N")</f>
        <v>N</v>
      </c>
      <c r="E399" s="51" t="str">
        <f>IFERROR(_xlfn.XLOOKUP(A399,[1]SP500!$A$2:$A$655,[1]SP500!$B$2:$B$655),"")</f>
        <v>IGV</v>
      </c>
      <c r="F399" s="290">
        <v>45811</v>
      </c>
      <c r="G399" s="51" t="str">
        <f t="shared" si="655"/>
        <v>AMC</v>
      </c>
      <c r="H399" s="51" t="str">
        <f t="shared" si="656"/>
        <v>s</v>
      </c>
      <c r="I399" s="343">
        <v>19</v>
      </c>
      <c r="J399" s="124">
        <v>16.7</v>
      </c>
      <c r="K399" s="55">
        <f t="shared" si="657"/>
        <v>-0.12105263157894741</v>
      </c>
      <c r="L399" s="67">
        <f t="shared" si="658"/>
        <v>-172.5</v>
      </c>
      <c r="M399" s="57">
        <f t="shared" si="659"/>
        <v>1.5</v>
      </c>
      <c r="N399" s="102">
        <f t="shared" si="660"/>
        <v>-172.5</v>
      </c>
      <c r="O399" s="57">
        <f>IF(N399="",#N/A,SUM($N$4:N399))</f>
        <v>421.37607492035625</v>
      </c>
      <c r="P399" s="65">
        <f t="shared" si="754"/>
        <v>-2.0175438596491229</v>
      </c>
      <c r="Q399" s="172">
        <f>IF($N399="",#N/A,SUM($P$4:P399))</f>
        <v>12.231503779675789</v>
      </c>
      <c r="R399" s="279">
        <f t="shared" si="661"/>
        <v>3.0251837127667258</v>
      </c>
      <c r="S399" s="51" t="str">
        <f t="shared" si="662"/>
        <v>SW</v>
      </c>
      <c r="T399" s="51" t="s">
        <v>2828</v>
      </c>
      <c r="U399" s="56">
        <f t="shared" si="663"/>
        <v>19</v>
      </c>
      <c r="V399" s="56" t="s">
        <v>4460</v>
      </c>
      <c r="W399" s="142">
        <v>75</v>
      </c>
      <c r="X399" s="145">
        <f t="shared" si="664"/>
        <v>1425</v>
      </c>
      <c r="Y399" s="140">
        <f t="shared" si="665"/>
        <v>75</v>
      </c>
      <c r="Z399" s="141">
        <v>16.72</v>
      </c>
      <c r="AA399" s="102">
        <f t="shared" si="666"/>
        <v>-171</v>
      </c>
      <c r="AB399" s="102">
        <f t="shared" si="667"/>
        <v>-291.75</v>
      </c>
      <c r="AC399" s="124">
        <v>15.11</v>
      </c>
      <c r="AD399" s="155">
        <f t="shared" si="668"/>
        <v>-291.75</v>
      </c>
      <c r="AE399" s="545">
        <f t="shared" si="669"/>
        <v>-3.4122807017543861</v>
      </c>
      <c r="AF399" s="57">
        <f>IF($AC399="",#N/A,SUM(AD$4:AD399))</f>
        <v>554.11996410331471</v>
      </c>
      <c r="AG399" s="102">
        <f t="shared" si="670"/>
        <v>-119.25</v>
      </c>
      <c r="AH399" s="56" t="s">
        <v>2507</v>
      </c>
      <c r="AI399" s="65">
        <f t="shared" si="671"/>
        <v>-2</v>
      </c>
      <c r="AJ399" s="108">
        <f>IF(AI399="",#N/A,SUM($AI$4:AI399))</f>
        <v>9.206320066909063</v>
      </c>
      <c r="AK399" s="56">
        <f t="shared" si="672"/>
        <v>-171</v>
      </c>
      <c r="AL399" s="66">
        <f>IF(AI399="",#N/A,IF(AH399="Skip",SUM($AK$4:AK399),SUM($AK$4:AK399)))</f>
        <v>294.44236927848146</v>
      </c>
      <c r="AM399" s="65">
        <f t="shared" si="755"/>
        <v>-3.4122807017543861</v>
      </c>
      <c r="AN399" s="209"/>
      <c r="AO399" s="65">
        <f t="shared" si="673"/>
        <v>-3.4122807017543861</v>
      </c>
      <c r="AP399" s="65">
        <f>IF($AC399="",#N/A,SUM(AO$4:AO399))</f>
        <v>10.425370980038632</v>
      </c>
      <c r="AQ399" s="65" t="str">
        <f t="shared" si="674"/>
        <v/>
      </c>
      <c r="AR399" s="65">
        <f>IF($AC399="",#N/A,SUM(AQ$4:AQ399))</f>
        <v>-7.1143952206153163</v>
      </c>
      <c r="AS399" s="65" t="str">
        <f t="shared" si="675"/>
        <v/>
      </c>
      <c r="AT399" s="65">
        <f>IF($AC399="",#N/A,SUM(AS$4:AS399))</f>
        <v>7.0374064070902227</v>
      </c>
      <c r="AU399" s="57">
        <f t="shared" si="756"/>
        <v>-291.75</v>
      </c>
      <c r="AV399" s="57">
        <f>IF($AC399="",#N/A,SUM(AU$4:AU399))</f>
        <v>543.99383890574654</v>
      </c>
      <c r="AW399" s="57" t="str">
        <f t="shared" si="757"/>
        <v/>
      </c>
      <c r="AX399" s="57">
        <f>IF($AC399="",#N/A,SUM(AW$4:AW399))</f>
        <v>-515.77106797961119</v>
      </c>
      <c r="AY399" s="57" t="str">
        <f t="shared" si="758"/>
        <v/>
      </c>
      <c r="AZ399" s="57">
        <f>IF($AC399="",#N/A,SUM(AY$4:AY399))</f>
        <v>525.89719317717925</v>
      </c>
      <c r="BA399" s="57">
        <f>IF(AD399="",#N/A,SUM($AD$4:AD399))</f>
        <v>554.11996410331471</v>
      </c>
      <c r="BC399" s="51" t="str">
        <f t="shared" si="676"/>
        <v/>
      </c>
      <c r="BD399" s="51" t="str">
        <f t="shared" si="677"/>
        <v/>
      </c>
      <c r="BE399" s="51" t="str">
        <f t="shared" si="678"/>
        <v/>
      </c>
      <c r="BF399" s="51" t="str">
        <f t="shared" si="679"/>
        <v>Long</v>
      </c>
      <c r="BG399" s="51" t="str">
        <f t="shared" si="680"/>
        <v/>
      </c>
      <c r="BH399" s="51" t="str">
        <f t="shared" si="681"/>
        <v/>
      </c>
      <c r="BI399" s="51">
        <f t="shared" si="682"/>
        <v>1</v>
      </c>
      <c r="BK399" s="65">
        <f t="shared" si="653"/>
        <v>-5.3887878768840769E-2</v>
      </c>
      <c r="BL399" s="65">
        <f t="shared" si="652"/>
        <v>4.5952334688830664E-2</v>
      </c>
      <c r="BM399" s="65">
        <f>IFERROR(Q399/COUNTA($J$4:J399),#N/A)</f>
        <v>3.0887635807262094E-2</v>
      </c>
      <c r="BO399" s="489">
        <f>IF(J399="",#N/A,IF(S399="SW",(COUNTIFS(K$4:$K399,"&gt;0",S$4:$S399,"SW")/COUNTIF(S$4:$S399,"SW")),#N/A))</f>
        <v>0.49740932642487046</v>
      </c>
      <c r="BP399" s="489" t="e">
        <f>IF($J399="",#N/A,IF($S399="DWN",(COUNTIFS($K$4:$K399,"&lt;0",$S$4:$S399,"DWN")/COUNTIF($S$4:$S399,"DWN")),#N/A))</f>
        <v>#N/A</v>
      </c>
      <c r="BQ399" s="489" t="e">
        <f>IF($J399="",#N/A,IF($S399="UP",(COUNTIFS($K$4:$K399,"&gt;0",$S$4:$S399,"UP")/COUNTIF($S$4:$S399,"UP")),#N/A))</f>
        <v>#N/A</v>
      </c>
      <c r="BR399" s="489">
        <f>IF(J399="",#N/A,COUNTIF($K$4:K399,"&gt;0")/COUNT($J$4:J399))</f>
        <v>0.47222222222222221</v>
      </c>
      <c r="BS399" s="65" t="str">
        <f t="shared" si="683"/>
        <v/>
      </c>
      <c r="BT399" s="65">
        <f t="shared" si="684"/>
        <v>-2.0175438596491229</v>
      </c>
      <c r="BU399" s="65" t="str">
        <f t="shared" si="685"/>
        <v/>
      </c>
      <c r="BV399" s="65" t="str">
        <f t="shared" si="686"/>
        <v/>
      </c>
      <c r="BW399" s="128" t="str">
        <f t="shared" si="687"/>
        <v/>
      </c>
      <c r="BX399" s="128">
        <f>IF($J399="",#N/A,SUM($BW$4:BW399))</f>
        <v>-600.31817034792948</v>
      </c>
      <c r="BY399" s="131" t="str">
        <f t="shared" si="688"/>
        <v/>
      </c>
      <c r="BZ399" s="131">
        <f>IF($J399="",#N/A,SUM($BY$4:BY399))</f>
        <v>549.90161346139416</v>
      </c>
      <c r="CA399" s="133">
        <f t="shared" si="689"/>
        <v>-172.5</v>
      </c>
      <c r="CB399" s="133">
        <f>IF($J399="",#N/A,SUM($CA$4:CA399))</f>
        <v>471.79263180689134</v>
      </c>
      <c r="CC399" s="194" t="str">
        <f t="shared" si="690"/>
        <v/>
      </c>
      <c r="CD399" s="194">
        <f>IF($J399="",#N/A,SUM($CC$4:CC399))</f>
        <v>-7.8754038725380582</v>
      </c>
      <c r="CE399" s="195" t="str">
        <f t="shared" si="691"/>
        <v/>
      </c>
      <c r="CF399" s="195">
        <f>IF($J399="",#N/A,SUM($CE$4:CE399))</f>
        <v>10.650254677995123</v>
      </c>
      <c r="CG399" s="196">
        <f t="shared" si="692"/>
        <v>-2.0175438596491229</v>
      </c>
      <c r="CH399" s="196">
        <f>IF($J399="",#N/A,SUM($CG$4:CG399))</f>
        <v>9.456652974218736</v>
      </c>
      <c r="CI399" s="200" t="str">
        <f t="shared" si="693"/>
        <v/>
      </c>
      <c r="CJ399" s="203">
        <f>IF($J399="",#N/A,SUM(CI$4:CI399))</f>
        <v>0</v>
      </c>
      <c r="CK399" s="204" t="str">
        <f t="shared" si="694"/>
        <v/>
      </c>
      <c r="CL399" s="204">
        <f>IF($J399="",#N/A,SUM(CK$4:CK399))</f>
        <v>2.0825010564889137</v>
      </c>
      <c r="CM399" s="205" t="str">
        <f t="shared" si="695"/>
        <v/>
      </c>
      <c r="CN399" s="205">
        <f>IF($J399="",#N/A,SUM(CM$4:CM399))</f>
        <v>-0.88558254952057891</v>
      </c>
      <c r="CO399" s="205">
        <f>IF($J399="",#N/A,SUM(CM$4:CM399,CK$4:CK399,CI$4:CI399))</f>
        <v>1.1969185069683352</v>
      </c>
      <c r="CP399" s="200" t="str">
        <f t="shared" si="696"/>
        <v/>
      </c>
      <c r="CQ399" s="203">
        <f>IF($J399="",#N/A,SUM(CP$4:CP399))</f>
        <v>-2.8337957655297128</v>
      </c>
      <c r="CR399" s="204" t="str">
        <f t="shared" si="697"/>
        <v/>
      </c>
      <c r="CS399" s="204">
        <f>IF($J399="",#N/A,SUM(CR$4:CR399))</f>
        <v>2.3600225017004668</v>
      </c>
      <c r="CT399" s="205">
        <f t="shared" si="698"/>
        <v>-2.0175438596491229</v>
      </c>
      <c r="CU399" s="205">
        <f>IF($J399="",#N/A,SUM(CT$4:CT399))</f>
        <v>-6.9103738355622983</v>
      </c>
      <c r="CV399" s="205">
        <f>IF($J399="",#N/A,SUM(CT$4:CT399,CR$4:CR399,CP$4:CP399))</f>
        <v>-7.3841470993915443</v>
      </c>
      <c r="CW399" s="200" t="str">
        <f t="shared" si="699"/>
        <v/>
      </c>
      <c r="CX399" s="203">
        <f>IF($J399="",#N/A,SUM(CW$4:CW399))</f>
        <v>-6.3374847922823907</v>
      </c>
      <c r="CY399" s="204" t="str">
        <f t="shared" si="700"/>
        <v/>
      </c>
      <c r="CZ399" s="204">
        <f>IF($J399="",#N/A,SUM(CY$4:CY399))</f>
        <v>-2.4332142608051761</v>
      </c>
      <c r="DA399" s="205" t="str">
        <f t="shared" si="701"/>
        <v/>
      </c>
      <c r="DB399" s="205">
        <f>IF($J399="",#N/A,SUM(DA$4:DA399))</f>
        <v>-1.3155870379734311</v>
      </c>
      <c r="DC399" s="205">
        <f>IF($J399="",#N/A,SUM(DA$4:DA399,CY$4:CY399,CW$4:CW399))</f>
        <v>-10.086286091061</v>
      </c>
      <c r="DD399" s="200" t="str">
        <f t="shared" si="702"/>
        <v/>
      </c>
      <c r="DE399" s="203">
        <f>IF($J399="",#N/A,SUM(DD$4:DD399))</f>
        <v>3.188887231935007</v>
      </c>
      <c r="DF399" s="204" t="str">
        <f t="shared" si="703"/>
        <v/>
      </c>
      <c r="DG399" s="204">
        <f>IF($J399="",#N/A,SUM(DF$4:DF399))</f>
        <v>3.7844462787298916</v>
      </c>
      <c r="DH399" s="205" t="str">
        <f t="shared" si="704"/>
        <v/>
      </c>
      <c r="DI399" s="205">
        <f>IF($J399="",#N/A,SUM(DH$4:DH399))</f>
        <v>-1.004058041816293</v>
      </c>
      <c r="DJ399" s="205">
        <f>IF($J399="",#N/A,SUM(DH$4:DH399,DF$4:DF399,DD$4:DD399))</f>
        <v>5.9692754688486058</v>
      </c>
      <c r="DK399" s="200" t="str">
        <f t="shared" si="705"/>
        <v/>
      </c>
      <c r="DL399" s="203">
        <f>IF($J399="",#N/A,SUM(DK$4:DK399))</f>
        <v>-0.84049791589649614</v>
      </c>
      <c r="DM399" s="204" t="str">
        <f t="shared" si="706"/>
        <v/>
      </c>
      <c r="DN399" s="204">
        <f>IF($J399="",#N/A,SUM(DM$4:DM399))</f>
        <v>1.8657648196498773</v>
      </c>
      <c r="DO399" s="205" t="str">
        <f t="shared" si="707"/>
        <v/>
      </c>
      <c r="DP399" s="205">
        <f>IF($J399="",#N/A,SUM(DO$4:DO399))</f>
        <v>3.4887162328793941</v>
      </c>
      <c r="DQ399" s="205">
        <f>IF($J399="",#N/A,SUM(DO$4:DO399,DM$4:DM399,DK$4:DK399))</f>
        <v>4.5139831366327758</v>
      </c>
      <c r="DR399" s="200" t="str">
        <f t="shared" si="708"/>
        <v/>
      </c>
      <c r="DS399" s="203">
        <f>IF($J399="",#N/A,SUM(DR$4:DR399))</f>
        <v>-0.55950946427675097</v>
      </c>
      <c r="DT399" s="204" t="str">
        <f t="shared" si="709"/>
        <v/>
      </c>
      <c r="DU399" s="204">
        <f>IF($J399="",#N/A,SUM(DT$4:DT399))</f>
        <v>-0.20750635820596686</v>
      </c>
      <c r="DV399" s="205" t="str">
        <f t="shared" si="710"/>
        <v/>
      </c>
      <c r="DW399" s="205">
        <f>IF($J399="",#N/A,SUM(DV$4:DV399))</f>
        <v>-2.3377035686214001</v>
      </c>
      <c r="DX399" s="205">
        <f>IF($J399="",#N/A,SUM(DV$4:DV399,DT$4:DT399,DR$4:DR399))</f>
        <v>-3.1047193911041169</v>
      </c>
      <c r="DY399" s="200" t="str">
        <f t="shared" si="711"/>
        <v/>
      </c>
      <c r="DZ399" s="203">
        <f>IF($J399="",#N/A,SUM(DY$4:DY399))</f>
        <v>-1.4146842415208627</v>
      </c>
      <c r="EA399" s="204" t="str">
        <f t="shared" si="712"/>
        <v/>
      </c>
      <c r="EB399" s="204">
        <f>IF($J399="",#N/A,SUM(EA$4:EA399))</f>
        <v>4.3184391548878134</v>
      </c>
      <c r="EC399" s="205" t="str">
        <f t="shared" si="713"/>
        <v/>
      </c>
      <c r="ED399" s="205">
        <f>IF($J399="",#N/A,SUM(EC$4:EC399))</f>
        <v>8.4384553208490907</v>
      </c>
      <c r="EE399" s="205">
        <f>IF($J399="",#N/A,SUM(EC$4:EC399,EA$4:EA399,DY$4:DY399))</f>
        <v>11.342210234216044</v>
      </c>
      <c r="EF399" s="200" t="str">
        <f t="shared" si="714"/>
        <v/>
      </c>
      <c r="EG399" s="203">
        <f>IF($J399="",#N/A,SUM(EF$4:EF399))</f>
        <v>0.65848341369884777</v>
      </c>
      <c r="EH399" s="204" t="str">
        <f t="shared" si="715"/>
        <v/>
      </c>
      <c r="EI399" s="204">
        <f>IF($J399="",#N/A,SUM(EH$4:EH399))</f>
        <v>-3.5125331561187787</v>
      </c>
      <c r="EJ399" s="205" t="str">
        <f t="shared" si="716"/>
        <v/>
      </c>
      <c r="EK399" s="205">
        <f>IF($J399="",#N/A,SUM(EJ$4:EJ399))</f>
        <v>13.156552985368888</v>
      </c>
      <c r="EL399" s="205">
        <f>IF($J399="",#N/A,SUM(EJ$4:EJ399,EH$4:EH399,EF$4:EF399))</f>
        <v>10.30250324294896</v>
      </c>
      <c r="EM399" s="200" t="str">
        <f t="shared" si="717"/>
        <v/>
      </c>
      <c r="EN399" s="203">
        <f>IF($J399="",#N/A,SUM(EM$4:EM399))</f>
        <v>0</v>
      </c>
      <c r="EO399" s="204" t="str">
        <f t="shared" si="718"/>
        <v/>
      </c>
      <c r="EP399" s="204">
        <f>IF($J399="",#N/A,SUM(EO$4:EO399))</f>
        <v>2.4788862078089964</v>
      </c>
      <c r="EQ399" s="205" t="str">
        <f t="shared" si="719"/>
        <v/>
      </c>
      <c r="ER399" s="205">
        <f>IF($J399="",#N/A,SUM(EQ$4:EQ399))</f>
        <v>1.7856049065476487</v>
      </c>
      <c r="ES399" s="205">
        <f>IF($J399="",#N/A,SUM(EQ$4:EQ399,EO$4:EO399,EM$4:EM399))</f>
        <v>4.2644911143566446</v>
      </c>
      <c r="ET399" s="200" t="str">
        <f t="shared" si="720"/>
        <v/>
      </c>
      <c r="EU399" s="203">
        <f>IF($J399="",#N/A,SUM(ET$4:ET399))</f>
        <v>0</v>
      </c>
      <c r="EV399" s="204" t="str">
        <f t="shared" si="721"/>
        <v/>
      </c>
      <c r="EW399" s="204">
        <f>IF($J399="",#N/A,SUM(EV$4:EV399))</f>
        <v>7.9116394275462909E-2</v>
      </c>
      <c r="EX399" s="205" t="str">
        <f t="shared" si="722"/>
        <v/>
      </c>
      <c r="EY399" s="205">
        <f>IF($J399="",#N/A,SUM(EX$4:EX399))</f>
        <v>0.62848633887309935</v>
      </c>
      <c r="EZ399" s="205">
        <f>IF($J399="",#N/A,SUM(EX$4:EX399,EV$4:EV399,ET$4:ET399))</f>
        <v>0.70760273314856192</v>
      </c>
      <c r="FA399" s="200" t="str">
        <f t="shared" si="723"/>
        <v/>
      </c>
      <c r="FB399" s="203">
        <f>IF($J399="",#N/A,SUM(FA$4:FA399))</f>
        <v>-0.27145310509113252</v>
      </c>
      <c r="FC399" s="204" t="str">
        <f t="shared" si="724"/>
        <v/>
      </c>
      <c r="FD399" s="204">
        <f>IF($J399="",#N/A,SUM(FC$4:FC399))</f>
        <v>0.89084290967454072</v>
      </c>
      <c r="FE399" s="205" t="str">
        <f t="shared" si="725"/>
        <v/>
      </c>
      <c r="FF399" s="205">
        <f>IF($J399="",#N/A,SUM(FE$4:FE399))</f>
        <v>-0.28811149078748233</v>
      </c>
      <c r="FG399" s="205">
        <f>IF($J399="",#N/A,SUM(FE$4:FE399,FC$4:FC399,FA$4:FA399))</f>
        <v>0.3312783137959262</v>
      </c>
      <c r="FH399" s="200" t="str">
        <f t="shared" si="726"/>
        <v/>
      </c>
      <c r="FI399" s="203">
        <f>IF($J399="",#N/A,SUM(FH$4:FH399))</f>
        <v>0</v>
      </c>
      <c r="FJ399" s="204" t="str">
        <f t="shared" si="727"/>
        <v/>
      </c>
      <c r="FK399" s="204">
        <f>IF($J399="",#N/A,SUM(FJ$4:FJ399))</f>
        <v>0</v>
      </c>
      <c r="FL399" s="205" t="str">
        <f t="shared" si="728"/>
        <v/>
      </c>
      <c r="FM399" s="205">
        <f>IF($J399="",#N/A,SUM(FL$4:FL399))</f>
        <v>0</v>
      </c>
      <c r="FN399" s="205">
        <f>IF($J399="",#N/A,SUM(FL$4:FL399,FJ$4:FJ399,FH$4:FH399))</f>
        <v>0</v>
      </c>
      <c r="FO399" s="200" t="str">
        <f t="shared" si="729"/>
        <v/>
      </c>
      <c r="FP399" s="203">
        <f>IF($J399="",#N/A,SUM(FO$4:FO399))</f>
        <v>0</v>
      </c>
      <c r="FQ399" s="204" t="str">
        <f t="shared" si="730"/>
        <v/>
      </c>
      <c r="FR399" s="204">
        <f>IF($J399="",#N/A,SUM(FQ$4:FQ399))</f>
        <v>0</v>
      </c>
      <c r="FS399" s="205" t="str">
        <f t="shared" si="731"/>
        <v/>
      </c>
      <c r="FT399" s="205">
        <f>IF($J399="",#N/A,SUM(FS$4:FS399))</f>
        <v>0</v>
      </c>
      <c r="FU399" s="205">
        <f>IF($J399="",#N/A,SUM(FS$4:FS399,FQ$4:FQ399,FO$4:FO399))</f>
        <v>0</v>
      </c>
      <c r="FV399" s="200" t="str">
        <f t="shared" si="732"/>
        <v/>
      </c>
      <c r="FW399" s="203">
        <f>IF($J399="",#N/A,SUM(FV$4:FV399))</f>
        <v>6.6834991831277585E-2</v>
      </c>
      <c r="FX399" s="204" t="str">
        <f t="shared" si="733"/>
        <v/>
      </c>
      <c r="FY399" s="204">
        <f>IF($J399="",#N/A,SUM(FX$4:FX399))</f>
        <v>-0.16102012791805576</v>
      </c>
      <c r="FZ399" s="205" t="str">
        <f t="shared" si="734"/>
        <v/>
      </c>
      <c r="GA399" s="205">
        <f>IF($J399="",#N/A,SUM(FZ$4:FZ399))</f>
        <v>-0.69624339162892301</v>
      </c>
      <c r="GB399" s="205">
        <f>IF($J399="",#N/A,SUM(FZ$4:FZ399,FX$4:FX399,FV$4:FV399))</f>
        <v>-0.79042852771570116</v>
      </c>
      <c r="GC399" s="200" t="str">
        <f t="shared" si="735"/>
        <v/>
      </c>
      <c r="GD399" s="203">
        <f>IF($J399="",#N/A,SUM(GC$4:GC399))</f>
        <v>0</v>
      </c>
      <c r="GE399" s="204" t="str">
        <f t="shared" si="736"/>
        <v/>
      </c>
      <c r="GF399" s="204">
        <f>IF($J399="",#N/A,SUM(GE$4:GE399))</f>
        <v>0</v>
      </c>
      <c r="GG399" s="205" t="str">
        <f t="shared" si="737"/>
        <v/>
      </c>
      <c r="GH399" s="205">
        <f>IF($J399="",#N/A,SUM(GG$4:GG399))</f>
        <v>-2.9368362277223206</v>
      </c>
      <c r="GI399" s="205">
        <f>IF($J399="",#N/A,SUM(GG$4:GG399,GE$4:GE399,GC$4:GC399))</f>
        <v>-2.9368362277223206</v>
      </c>
      <c r="GJ399" s="200" t="str">
        <f t="shared" si="738"/>
        <v/>
      </c>
      <c r="GK399" s="203">
        <f>IF($J399="",#N/A,SUM(GJ$4:GJ399))</f>
        <v>0</v>
      </c>
      <c r="GL399" s="204" t="str">
        <f t="shared" si="739"/>
        <v/>
      </c>
      <c r="GM399" s="204">
        <f>IF($J399="",#N/A,SUM(GL$4:GL399))</f>
        <v>-2.0621307233432784</v>
      </c>
      <c r="GN399" s="205" t="str">
        <f t="shared" si="740"/>
        <v/>
      </c>
      <c r="GO399" s="205">
        <f>IF($J399="",#N/A,SUM(GN$4:GN399))</f>
        <v>0</v>
      </c>
      <c r="GP399" s="205">
        <f>IF($J399="",#N/A,SUM(GN$4:GN399,GL$4:GL399,GJ$4:GJ399))</f>
        <v>-2.0621307233432784</v>
      </c>
      <c r="GS399" s="54" t="str">
        <f t="shared" si="759"/>
        <v/>
      </c>
      <c r="GT399" s="54" t="e">
        <f>IF(GS399="",NA(),SUM($GS$4:GS399))</f>
        <v>#N/A</v>
      </c>
      <c r="GU399" s="54" t="str">
        <f t="shared" si="741"/>
        <v/>
      </c>
      <c r="GV399" s="54" t="e">
        <f>IF(GU399="",NA(),SUM($GU$4:GU399))</f>
        <v>#N/A</v>
      </c>
      <c r="GW399" s="54" t="str">
        <f t="shared" si="742"/>
        <v/>
      </c>
      <c r="GX399" s="54" t="e">
        <f>IF(GW399="",NA(),SUM($GW$4:GW399))</f>
        <v>#N/A</v>
      </c>
      <c r="GY399" s="54" t="str">
        <f t="shared" si="743"/>
        <v/>
      </c>
      <c r="GZ399" s="54" t="e">
        <f>IF(GY399="",NA(),SUM($GY$4:GY399))</f>
        <v>#N/A</v>
      </c>
      <c r="HA399" s="54">
        <f t="shared" si="744"/>
        <v>-2.0175438596491229</v>
      </c>
      <c r="HB399" s="54">
        <f>IF(HA399="",NA(),SUM($HA$4:HA399))</f>
        <v>-1.802269135402544</v>
      </c>
      <c r="HC399" s="54" t="str">
        <f t="shared" si="745"/>
        <v/>
      </c>
      <c r="HD399" s="54" t="e">
        <f>IF(HC399="",NA(),SUM($HC$4:HC399))</f>
        <v>#N/A</v>
      </c>
      <c r="HE399" s="54">
        <f t="shared" si="746"/>
        <v>-2.0175438596491229</v>
      </c>
      <c r="HF399" s="54">
        <f>IF(HE399="",NA(),SUM($HE$4:HE399))</f>
        <v>1.0002381124447361</v>
      </c>
      <c r="HG399" s="54" t="str">
        <f t="shared" si="747"/>
        <v/>
      </c>
      <c r="HH399" s="54" t="e">
        <f>IF(HG399="",NA(),SUM($HG$4:HG399))</f>
        <v>#N/A</v>
      </c>
      <c r="HI399" s="172" t="str">
        <f t="shared" si="760"/>
        <v/>
      </c>
      <c r="HJ399" s="172">
        <f>IF($J399="",#N/A,SUM(HI$4:$HI399))</f>
        <v>-11.384655655360691</v>
      </c>
      <c r="HK399" s="54" t="str">
        <f t="shared" si="748"/>
        <v/>
      </c>
      <c r="HL399" s="54">
        <f>IF($J399="",#N/A,SUM($HK$4:HK399))</f>
        <v>7.7718073844558004</v>
      </c>
      <c r="HM399" s="54" t="str">
        <f t="shared" si="749"/>
        <v/>
      </c>
      <c r="HN399" s="54">
        <f>IF($J399="",#N/A,SUM($HM$4:HM399))</f>
        <v>0.73576080412462941</v>
      </c>
      <c r="HO399" s="54" t="str">
        <f t="shared" si="750"/>
        <v/>
      </c>
      <c r="HP399" s="54">
        <f>IF($J399="",#N/A,SUM($HO$4:HO399))</f>
        <v>2.5247847798115064E-2</v>
      </c>
      <c r="HQ399" s="54" t="str">
        <f t="shared" si="751"/>
        <v/>
      </c>
      <c r="HR399" s="54">
        <f>IF($J399="",#N/A,SUM($HQ$4:HQ399))</f>
        <v>-13.744073107199277</v>
      </c>
      <c r="HS399" s="54">
        <f t="shared" si="752"/>
        <v>-1.3947368421052633</v>
      </c>
      <c r="HT399" s="54">
        <f>IF($J399="",#N/A,SUM($HS$4:HS399))</f>
        <v>15.208964568886728</v>
      </c>
      <c r="HU399" s="65">
        <f t="shared" si="753"/>
        <v>-3.4122807017543861</v>
      </c>
      <c r="HV399" s="65">
        <f>IF($J399="",#N/A,SUM(HU$4:$HU399))</f>
        <v>10.348382166513545</v>
      </c>
    </row>
    <row r="400" spans="1:230" x14ac:dyDescent="0.25">
      <c r="A400" s="51" t="s">
        <v>1157</v>
      </c>
      <c r="B400" s="52" t="s">
        <v>5552</v>
      </c>
      <c r="C400" s="229">
        <f t="shared" si="654"/>
        <v>1</v>
      </c>
      <c r="D400" s="219" t="str">
        <f>_xlfn.XLOOKUP(A400,[1]SP500!$A$2:$A$502,[1]SP500!$D$2:$D$502,"N")</f>
        <v>Y</v>
      </c>
      <c r="E400" s="51" t="str">
        <f>IFERROR(_xlfn.XLOOKUP(A400,[1]SP500!$A$2:$A$655,[1]SP500!$B$2:$B$655),"")</f>
        <v>IGV</v>
      </c>
      <c r="F400" s="290">
        <v>45811</v>
      </c>
      <c r="G400" s="51" t="str">
        <f t="shared" si="655"/>
        <v>AMC</v>
      </c>
      <c r="H400" s="51" t="str">
        <f t="shared" si="656"/>
        <v>s</v>
      </c>
      <c r="I400" s="344">
        <v>488.76</v>
      </c>
      <c r="J400" s="124">
        <v>454.76</v>
      </c>
      <c r="K400" s="55">
        <f t="shared" si="657"/>
        <v>-6.9563794091169487E-2</v>
      </c>
      <c r="L400" s="67">
        <f t="shared" si="658"/>
        <v>-102</v>
      </c>
      <c r="M400" s="57">
        <f t="shared" si="659"/>
        <v>-2.0999999999999091</v>
      </c>
      <c r="N400" s="102">
        <f t="shared" si="660"/>
        <v>-102</v>
      </c>
      <c r="O400" s="57">
        <f>IF(N400="",#N/A,SUM($N$4:N400))</f>
        <v>319.37607492035625</v>
      </c>
      <c r="P400" s="65">
        <f t="shared" si="754"/>
        <v>-1.1593965681861582</v>
      </c>
      <c r="Q400" s="172">
        <f>IF($N400="",#N/A,SUM($P$4:P400))</f>
        <v>11.07210721148963</v>
      </c>
      <c r="R400" s="279">
        <f t="shared" si="661"/>
        <v>3.0490536421117334</v>
      </c>
      <c r="S400" s="51" t="str">
        <f t="shared" si="662"/>
        <v>Up</v>
      </c>
      <c r="T400" s="51" t="s">
        <v>4461</v>
      </c>
      <c r="U400" s="56">
        <f t="shared" si="663"/>
        <v>488.76</v>
      </c>
      <c r="V400" s="56" t="s">
        <v>4460</v>
      </c>
      <c r="W400" s="142">
        <v>3</v>
      </c>
      <c r="X400" s="145">
        <f t="shared" si="664"/>
        <v>1466.28</v>
      </c>
      <c r="Y400" s="140">
        <f t="shared" si="665"/>
        <v>3</v>
      </c>
      <c r="Z400" s="141">
        <v>454.06</v>
      </c>
      <c r="AA400" s="102">
        <f t="shared" si="666"/>
        <v>-104.09999999999991</v>
      </c>
      <c r="AB400" s="102">
        <f t="shared" si="667"/>
        <v>-84.599999999999909</v>
      </c>
      <c r="AC400" s="124">
        <v>460.56</v>
      </c>
      <c r="AD400" s="155">
        <f t="shared" si="668"/>
        <v>-84.599999999999909</v>
      </c>
      <c r="AE400" s="545">
        <f t="shared" si="669"/>
        <v>-0.96161715361322431</v>
      </c>
      <c r="AF400" s="57">
        <f>IF($AC400="",#N/A,SUM(AD$4:AD400))</f>
        <v>469.51996410331481</v>
      </c>
      <c r="AG400" s="102">
        <f t="shared" si="670"/>
        <v>17.400000000000091</v>
      </c>
      <c r="AH400" s="56" t="s">
        <v>2507</v>
      </c>
      <c r="AI400" s="65">
        <f t="shared" si="671"/>
        <v>-1.1832664975311664</v>
      </c>
      <c r="AJ400" s="108">
        <f>IF(AI400="",#N/A,SUM($AI$4:AI400))</f>
        <v>8.0230535693778968</v>
      </c>
      <c r="AK400" s="56">
        <f t="shared" si="672"/>
        <v>-104.09999999999991</v>
      </c>
      <c r="AL400" s="66">
        <f>IF(AI400="",#N/A,IF(AH400="Skip",SUM($AK$4:AK400),SUM($AK$4:AK400)))</f>
        <v>190.34236927848156</v>
      </c>
      <c r="AM400" s="65">
        <f t="shared" si="755"/>
        <v>-0.96161715361322431</v>
      </c>
      <c r="AN400" s="209"/>
      <c r="AO400" s="65" t="str">
        <f t="shared" si="673"/>
        <v/>
      </c>
      <c r="AP400" s="65">
        <f>IF($AC400="",#N/A,SUM(AO$4:AO400))</f>
        <v>10.425370980038632</v>
      </c>
      <c r="AQ400" s="65">
        <f t="shared" si="674"/>
        <v>-0.96161715361322431</v>
      </c>
      <c r="AR400" s="65">
        <f>IF($AC400="",#N/A,SUM(AQ$4:AQ400))</f>
        <v>-8.0760123742285401</v>
      </c>
      <c r="AS400" s="65" t="str">
        <f t="shared" si="675"/>
        <v/>
      </c>
      <c r="AT400" s="65">
        <f>IF($AC400="",#N/A,SUM(AS$4:AS400))</f>
        <v>7.0374064070902227</v>
      </c>
      <c r="AU400" s="57" t="str">
        <f t="shared" si="756"/>
        <v/>
      </c>
      <c r="AV400" s="57">
        <f>IF($AC400="",#N/A,SUM(AU$4:AU400))</f>
        <v>543.99383890574654</v>
      </c>
      <c r="AW400" s="57">
        <f t="shared" si="757"/>
        <v>-84.599999999999909</v>
      </c>
      <c r="AX400" s="57">
        <f>IF($AC400="",#N/A,SUM(AW$4:AW400))</f>
        <v>-600.3710679796111</v>
      </c>
      <c r="AY400" s="57" t="str">
        <f t="shared" si="758"/>
        <v/>
      </c>
      <c r="AZ400" s="57">
        <f>IF($AC400="",#N/A,SUM(AY$4:AY400))</f>
        <v>525.89719317717925</v>
      </c>
      <c r="BA400" s="57">
        <f>IF(AD400="",#N/A,SUM($AD$4:AD400))</f>
        <v>469.51996410331481</v>
      </c>
      <c r="BC400" s="51" t="str">
        <f t="shared" si="676"/>
        <v/>
      </c>
      <c r="BD400" s="51" t="str">
        <f t="shared" si="677"/>
        <v/>
      </c>
      <c r="BE400" s="51" t="str">
        <f t="shared" si="678"/>
        <v/>
      </c>
      <c r="BF400" s="51" t="str">
        <f t="shared" si="679"/>
        <v>Long</v>
      </c>
      <c r="BG400" s="51" t="str">
        <f t="shared" si="680"/>
        <v/>
      </c>
      <c r="BH400" s="51">
        <f t="shared" si="681"/>
        <v>1</v>
      </c>
      <c r="BI400" s="51" t="str">
        <f t="shared" si="682"/>
        <v/>
      </c>
      <c r="BK400" s="65">
        <f t="shared" si="653"/>
        <v>-7.7924870377247657E-2</v>
      </c>
      <c r="BL400" s="65">
        <f t="shared" si="652"/>
        <v>2.9621515374539911E-2</v>
      </c>
      <c r="BM400" s="65">
        <f>IFERROR(Q400/COUNTA($J$4:J400),#N/A)</f>
        <v>2.7889438819873123E-2</v>
      </c>
      <c r="BO400" s="489" t="e">
        <f>IF(J400="",#N/A,IF(S400="SW",(COUNTIFS(K$4:$K400,"&gt;0",S$4:$S400,"SW")/COUNTIF(S$4:$S400,"SW")),#N/A))</f>
        <v>#N/A</v>
      </c>
      <c r="BP400" s="489" t="e">
        <f>IF($J400="",#N/A,IF($S400="DWN",(COUNTIFS($K$4:$K400,"&lt;0",$S$4:$S400,"DWN")/COUNTIF($S$4:$S400,"DWN")),#N/A))</f>
        <v>#N/A</v>
      </c>
      <c r="BQ400" s="489">
        <f>IF($J400="",#N/A,IF($S400="UP",(COUNTIFS($K$4:$K400,"&gt;0",$S$4:$S400,"UP")/COUNTIF($S$4:$S400,"UP")),#N/A))</f>
        <v>0.45238095238095238</v>
      </c>
      <c r="BR400" s="489">
        <f>IF(J400="",#N/A,COUNTIF($K$4:K400,"&gt;0")/COUNT($J$4:J400))</f>
        <v>0.47103274559193953</v>
      </c>
      <c r="BS400" s="65" t="str">
        <f t="shared" si="683"/>
        <v/>
      </c>
      <c r="BT400" s="65">
        <f t="shared" si="684"/>
        <v>-1.1593965681861582</v>
      </c>
      <c r="BU400" s="65" t="str">
        <f t="shared" si="685"/>
        <v/>
      </c>
      <c r="BV400" s="65" t="str">
        <f t="shared" si="686"/>
        <v/>
      </c>
      <c r="BW400" s="128">
        <f t="shared" si="687"/>
        <v>-102</v>
      </c>
      <c r="BX400" s="128">
        <f>IF($J400="",#N/A,SUM($BW$4:BW400))</f>
        <v>-702.31817034792948</v>
      </c>
      <c r="BY400" s="131" t="str">
        <f t="shared" si="688"/>
        <v/>
      </c>
      <c r="BZ400" s="131">
        <f>IF($J400="",#N/A,SUM($BY$4:BY400))</f>
        <v>549.90161346139416</v>
      </c>
      <c r="CA400" s="133" t="str">
        <f t="shared" si="689"/>
        <v/>
      </c>
      <c r="CB400" s="133">
        <f>IF($J400="",#N/A,SUM($CA$4:CA400))</f>
        <v>471.79263180689134</v>
      </c>
      <c r="CC400" s="194">
        <f t="shared" si="690"/>
        <v>-1.1593965681861582</v>
      </c>
      <c r="CD400" s="194">
        <f>IF($J400="",#N/A,SUM($CC$4:CC400))</f>
        <v>-9.0348004407242168</v>
      </c>
      <c r="CE400" s="195" t="str">
        <f t="shared" si="691"/>
        <v/>
      </c>
      <c r="CF400" s="195">
        <f>IF($J400="",#N/A,SUM($CE$4:CE400))</f>
        <v>10.650254677995123</v>
      </c>
      <c r="CG400" s="196" t="str">
        <f t="shared" si="692"/>
        <v/>
      </c>
      <c r="CH400" s="196">
        <f>IF($J400="",#N/A,SUM($CG$4:CG400))</f>
        <v>9.456652974218736</v>
      </c>
      <c r="CI400" s="200" t="str">
        <f t="shared" si="693"/>
        <v/>
      </c>
      <c r="CJ400" s="203">
        <f>IF($J400="",#N/A,SUM(CI$4:CI400))</f>
        <v>0</v>
      </c>
      <c r="CK400" s="204" t="str">
        <f t="shared" si="694"/>
        <v/>
      </c>
      <c r="CL400" s="204">
        <f>IF($J400="",#N/A,SUM(CK$4:CK400))</f>
        <v>2.0825010564889137</v>
      </c>
      <c r="CM400" s="205" t="str">
        <f t="shared" si="695"/>
        <v/>
      </c>
      <c r="CN400" s="205">
        <f>IF($J400="",#N/A,SUM(CM$4:CM400))</f>
        <v>-0.88558254952057891</v>
      </c>
      <c r="CO400" s="205">
        <f>IF($J400="",#N/A,SUM(CM$4:CM400,CK$4:CK400,CI$4:CI400))</f>
        <v>1.1969185069683352</v>
      </c>
      <c r="CP400" s="200">
        <f t="shared" si="696"/>
        <v>-1.1593965681861582</v>
      </c>
      <c r="CQ400" s="203">
        <f>IF($J400="",#N/A,SUM(CP$4:CP400))</f>
        <v>-3.993192333715871</v>
      </c>
      <c r="CR400" s="204" t="str">
        <f t="shared" si="697"/>
        <v/>
      </c>
      <c r="CS400" s="204">
        <f>IF($J400="",#N/A,SUM(CR$4:CR400))</f>
        <v>2.3600225017004668</v>
      </c>
      <c r="CT400" s="205" t="str">
        <f t="shared" si="698"/>
        <v/>
      </c>
      <c r="CU400" s="205">
        <f>IF($J400="",#N/A,SUM(CT$4:CT400))</f>
        <v>-6.9103738355622983</v>
      </c>
      <c r="CV400" s="205">
        <f>IF($J400="",#N/A,SUM(CT$4:CT400,CR$4:CR400,CP$4:CP400))</f>
        <v>-8.543543667577703</v>
      </c>
      <c r="CW400" s="200" t="str">
        <f t="shared" si="699"/>
        <v/>
      </c>
      <c r="CX400" s="203">
        <f>IF($J400="",#N/A,SUM(CW$4:CW400))</f>
        <v>-6.3374847922823907</v>
      </c>
      <c r="CY400" s="204" t="str">
        <f t="shared" si="700"/>
        <v/>
      </c>
      <c r="CZ400" s="204">
        <f>IF($J400="",#N/A,SUM(CY$4:CY400))</f>
        <v>-2.4332142608051761</v>
      </c>
      <c r="DA400" s="205" t="str">
        <f t="shared" si="701"/>
        <v/>
      </c>
      <c r="DB400" s="205">
        <f>IF($J400="",#N/A,SUM(DA$4:DA400))</f>
        <v>-1.3155870379734311</v>
      </c>
      <c r="DC400" s="205">
        <f>IF($J400="",#N/A,SUM(DA$4:DA400,CY$4:CY400,CW$4:CW400))</f>
        <v>-10.086286091061</v>
      </c>
      <c r="DD400" s="200" t="str">
        <f t="shared" si="702"/>
        <v/>
      </c>
      <c r="DE400" s="203">
        <f>IF($J400="",#N/A,SUM(DD$4:DD400))</f>
        <v>3.188887231935007</v>
      </c>
      <c r="DF400" s="204" t="str">
        <f t="shared" si="703"/>
        <v/>
      </c>
      <c r="DG400" s="204">
        <f>IF($J400="",#N/A,SUM(DF$4:DF400))</f>
        <v>3.7844462787298916</v>
      </c>
      <c r="DH400" s="205" t="str">
        <f t="shared" si="704"/>
        <v/>
      </c>
      <c r="DI400" s="205">
        <f>IF($J400="",#N/A,SUM(DH$4:DH400))</f>
        <v>-1.004058041816293</v>
      </c>
      <c r="DJ400" s="205">
        <f>IF($J400="",#N/A,SUM(DH$4:DH400,DF$4:DF400,DD$4:DD400))</f>
        <v>5.9692754688486058</v>
      </c>
      <c r="DK400" s="200" t="str">
        <f t="shared" si="705"/>
        <v/>
      </c>
      <c r="DL400" s="203">
        <f>IF($J400="",#N/A,SUM(DK$4:DK400))</f>
        <v>-0.84049791589649614</v>
      </c>
      <c r="DM400" s="204" t="str">
        <f t="shared" si="706"/>
        <v/>
      </c>
      <c r="DN400" s="204">
        <f>IF($J400="",#N/A,SUM(DM$4:DM400))</f>
        <v>1.8657648196498773</v>
      </c>
      <c r="DO400" s="205" t="str">
        <f t="shared" si="707"/>
        <v/>
      </c>
      <c r="DP400" s="205">
        <f>IF($J400="",#N/A,SUM(DO$4:DO400))</f>
        <v>3.4887162328793941</v>
      </c>
      <c r="DQ400" s="205">
        <f>IF($J400="",#N/A,SUM(DO$4:DO400,DM$4:DM400,DK$4:DK400))</f>
        <v>4.5139831366327758</v>
      </c>
      <c r="DR400" s="200" t="str">
        <f t="shared" si="708"/>
        <v/>
      </c>
      <c r="DS400" s="203">
        <f>IF($J400="",#N/A,SUM(DR$4:DR400))</f>
        <v>-0.55950946427675097</v>
      </c>
      <c r="DT400" s="204" t="str">
        <f t="shared" si="709"/>
        <v/>
      </c>
      <c r="DU400" s="204">
        <f>IF($J400="",#N/A,SUM(DT$4:DT400))</f>
        <v>-0.20750635820596686</v>
      </c>
      <c r="DV400" s="205" t="str">
        <f t="shared" si="710"/>
        <v/>
      </c>
      <c r="DW400" s="205">
        <f>IF($J400="",#N/A,SUM(DV$4:DV400))</f>
        <v>-2.3377035686214001</v>
      </c>
      <c r="DX400" s="205">
        <f>IF($J400="",#N/A,SUM(DV$4:DV400,DT$4:DT400,DR$4:DR400))</f>
        <v>-3.1047193911041169</v>
      </c>
      <c r="DY400" s="200" t="str">
        <f t="shared" si="711"/>
        <v/>
      </c>
      <c r="DZ400" s="203">
        <f>IF($J400="",#N/A,SUM(DY$4:DY400))</f>
        <v>-1.4146842415208627</v>
      </c>
      <c r="EA400" s="204" t="str">
        <f t="shared" si="712"/>
        <v/>
      </c>
      <c r="EB400" s="204">
        <f>IF($J400="",#N/A,SUM(EA$4:EA400))</f>
        <v>4.3184391548878134</v>
      </c>
      <c r="EC400" s="205" t="str">
        <f t="shared" si="713"/>
        <v/>
      </c>
      <c r="ED400" s="205">
        <f>IF($J400="",#N/A,SUM(EC$4:EC400))</f>
        <v>8.4384553208490907</v>
      </c>
      <c r="EE400" s="205">
        <f>IF($J400="",#N/A,SUM(EC$4:EC400,EA$4:EA400,DY$4:DY400))</f>
        <v>11.342210234216044</v>
      </c>
      <c r="EF400" s="200" t="str">
        <f t="shared" si="714"/>
        <v/>
      </c>
      <c r="EG400" s="203">
        <f>IF($J400="",#N/A,SUM(EF$4:EF400))</f>
        <v>0.65848341369884777</v>
      </c>
      <c r="EH400" s="204" t="str">
        <f t="shared" si="715"/>
        <v/>
      </c>
      <c r="EI400" s="204">
        <f>IF($J400="",#N/A,SUM(EH$4:EH400))</f>
        <v>-3.5125331561187787</v>
      </c>
      <c r="EJ400" s="205" t="str">
        <f t="shared" si="716"/>
        <v/>
      </c>
      <c r="EK400" s="205">
        <f>IF($J400="",#N/A,SUM(EJ$4:EJ400))</f>
        <v>13.156552985368888</v>
      </c>
      <c r="EL400" s="205">
        <f>IF($J400="",#N/A,SUM(EJ$4:EJ400,EH$4:EH400,EF$4:EF400))</f>
        <v>10.30250324294896</v>
      </c>
      <c r="EM400" s="200" t="str">
        <f t="shared" si="717"/>
        <v/>
      </c>
      <c r="EN400" s="203">
        <f>IF($J400="",#N/A,SUM(EM$4:EM400))</f>
        <v>0</v>
      </c>
      <c r="EO400" s="204" t="str">
        <f t="shared" si="718"/>
        <v/>
      </c>
      <c r="EP400" s="204">
        <f>IF($J400="",#N/A,SUM(EO$4:EO400))</f>
        <v>2.4788862078089964</v>
      </c>
      <c r="EQ400" s="205" t="str">
        <f t="shared" si="719"/>
        <v/>
      </c>
      <c r="ER400" s="205">
        <f>IF($J400="",#N/A,SUM(EQ$4:EQ400))</f>
        <v>1.7856049065476487</v>
      </c>
      <c r="ES400" s="205">
        <f>IF($J400="",#N/A,SUM(EQ$4:EQ400,EO$4:EO400,EM$4:EM400))</f>
        <v>4.2644911143566446</v>
      </c>
      <c r="ET400" s="200" t="str">
        <f t="shared" si="720"/>
        <v/>
      </c>
      <c r="EU400" s="203">
        <f>IF($J400="",#N/A,SUM(ET$4:ET400))</f>
        <v>0</v>
      </c>
      <c r="EV400" s="204" t="str">
        <f t="shared" si="721"/>
        <v/>
      </c>
      <c r="EW400" s="204">
        <f>IF($J400="",#N/A,SUM(EV$4:EV400))</f>
        <v>7.9116394275462909E-2</v>
      </c>
      <c r="EX400" s="205" t="str">
        <f t="shared" si="722"/>
        <v/>
      </c>
      <c r="EY400" s="205">
        <f>IF($J400="",#N/A,SUM(EX$4:EX400))</f>
        <v>0.62848633887309935</v>
      </c>
      <c r="EZ400" s="205">
        <f>IF($J400="",#N/A,SUM(EX$4:EX400,EV$4:EV400,ET$4:ET400))</f>
        <v>0.70760273314856192</v>
      </c>
      <c r="FA400" s="200" t="str">
        <f t="shared" si="723"/>
        <v/>
      </c>
      <c r="FB400" s="203">
        <f>IF($J400="",#N/A,SUM(FA$4:FA400))</f>
        <v>-0.27145310509113252</v>
      </c>
      <c r="FC400" s="204" t="str">
        <f t="shared" si="724"/>
        <v/>
      </c>
      <c r="FD400" s="204">
        <f>IF($J400="",#N/A,SUM(FC$4:FC400))</f>
        <v>0.89084290967454072</v>
      </c>
      <c r="FE400" s="205" t="str">
        <f t="shared" si="725"/>
        <v/>
      </c>
      <c r="FF400" s="205">
        <f>IF($J400="",#N/A,SUM(FE$4:FE400))</f>
        <v>-0.28811149078748233</v>
      </c>
      <c r="FG400" s="205">
        <f>IF($J400="",#N/A,SUM(FE$4:FE400,FC$4:FC400,FA$4:FA400))</f>
        <v>0.3312783137959262</v>
      </c>
      <c r="FH400" s="200" t="str">
        <f t="shared" si="726"/>
        <v/>
      </c>
      <c r="FI400" s="203">
        <f>IF($J400="",#N/A,SUM(FH$4:FH400))</f>
        <v>0</v>
      </c>
      <c r="FJ400" s="204" t="str">
        <f t="shared" si="727"/>
        <v/>
      </c>
      <c r="FK400" s="204">
        <f>IF($J400="",#N/A,SUM(FJ$4:FJ400))</f>
        <v>0</v>
      </c>
      <c r="FL400" s="205" t="str">
        <f t="shared" si="728"/>
        <v/>
      </c>
      <c r="FM400" s="205">
        <f>IF($J400="",#N/A,SUM(FL$4:FL400))</f>
        <v>0</v>
      </c>
      <c r="FN400" s="205">
        <f>IF($J400="",#N/A,SUM(FL$4:FL400,FJ$4:FJ400,FH$4:FH400))</f>
        <v>0</v>
      </c>
      <c r="FO400" s="200" t="str">
        <f t="shared" si="729"/>
        <v/>
      </c>
      <c r="FP400" s="203">
        <f>IF($J400="",#N/A,SUM(FO$4:FO400))</f>
        <v>0</v>
      </c>
      <c r="FQ400" s="204" t="str">
        <f t="shared" si="730"/>
        <v/>
      </c>
      <c r="FR400" s="204">
        <f>IF($J400="",#N/A,SUM(FQ$4:FQ400))</f>
        <v>0</v>
      </c>
      <c r="FS400" s="205" t="str">
        <f t="shared" si="731"/>
        <v/>
      </c>
      <c r="FT400" s="205">
        <f>IF($J400="",#N/A,SUM(FS$4:FS400))</f>
        <v>0</v>
      </c>
      <c r="FU400" s="205">
        <f>IF($J400="",#N/A,SUM(FS$4:FS400,FQ$4:FQ400,FO$4:FO400))</f>
        <v>0</v>
      </c>
      <c r="FV400" s="200" t="str">
        <f t="shared" si="732"/>
        <v/>
      </c>
      <c r="FW400" s="203">
        <f>IF($J400="",#N/A,SUM(FV$4:FV400))</f>
        <v>6.6834991831277585E-2</v>
      </c>
      <c r="FX400" s="204" t="str">
        <f t="shared" si="733"/>
        <v/>
      </c>
      <c r="FY400" s="204">
        <f>IF($J400="",#N/A,SUM(FX$4:FX400))</f>
        <v>-0.16102012791805576</v>
      </c>
      <c r="FZ400" s="205" t="str">
        <f t="shared" si="734"/>
        <v/>
      </c>
      <c r="GA400" s="205">
        <f>IF($J400="",#N/A,SUM(FZ$4:FZ400))</f>
        <v>-0.69624339162892301</v>
      </c>
      <c r="GB400" s="205">
        <f>IF($J400="",#N/A,SUM(FZ$4:FZ400,FX$4:FX400,FV$4:FV400))</f>
        <v>-0.79042852771570116</v>
      </c>
      <c r="GC400" s="200" t="str">
        <f t="shared" si="735"/>
        <v/>
      </c>
      <c r="GD400" s="203">
        <f>IF($J400="",#N/A,SUM(GC$4:GC400))</f>
        <v>0</v>
      </c>
      <c r="GE400" s="204" t="str">
        <f t="shared" si="736"/>
        <v/>
      </c>
      <c r="GF400" s="204">
        <f>IF($J400="",#N/A,SUM(GE$4:GE400))</f>
        <v>0</v>
      </c>
      <c r="GG400" s="205" t="str">
        <f t="shared" si="737"/>
        <v/>
      </c>
      <c r="GH400" s="205">
        <f>IF($J400="",#N/A,SUM(GG$4:GG400))</f>
        <v>-2.9368362277223206</v>
      </c>
      <c r="GI400" s="205">
        <f>IF($J400="",#N/A,SUM(GG$4:GG400,GE$4:GE400,GC$4:GC400))</f>
        <v>-2.9368362277223206</v>
      </c>
      <c r="GJ400" s="200" t="str">
        <f t="shared" si="738"/>
        <v/>
      </c>
      <c r="GK400" s="203">
        <f>IF($J400="",#N/A,SUM(GJ$4:GJ400))</f>
        <v>0</v>
      </c>
      <c r="GL400" s="204" t="str">
        <f t="shared" si="739"/>
        <v/>
      </c>
      <c r="GM400" s="204">
        <f>IF($J400="",#N/A,SUM(GL$4:GL400))</f>
        <v>-2.0621307233432784</v>
      </c>
      <c r="GN400" s="205" t="str">
        <f t="shared" si="740"/>
        <v/>
      </c>
      <c r="GO400" s="205">
        <f>IF($J400="",#N/A,SUM(GN$4:GN400))</f>
        <v>0</v>
      </c>
      <c r="GP400" s="205">
        <f>IF($J400="",#N/A,SUM(GN$4:GN400,GL$4:GL400,GJ$4:GJ400))</f>
        <v>-2.0621307233432784</v>
      </c>
      <c r="GS400" s="54">
        <f t="shared" si="759"/>
        <v>-1.1593965681861582</v>
      </c>
      <c r="GT400" s="54">
        <f>IF(GS400="",NA(),SUM($GS$4:GS400))</f>
        <v>12.874376346892177</v>
      </c>
      <c r="GU400" s="54">
        <f t="shared" si="741"/>
        <v>-1.1593965681861582</v>
      </c>
      <c r="GV400" s="54">
        <f>IF(GU400="",NA(),SUM($GU$4:GU400))</f>
        <v>-5.9386476607090408</v>
      </c>
      <c r="GW400" s="54" t="str">
        <f t="shared" si="742"/>
        <v/>
      </c>
      <c r="GX400" s="54" t="e">
        <f>IF(GW400="",NA(),SUM($GW$4:GW400))</f>
        <v>#N/A</v>
      </c>
      <c r="GY400" s="54" t="str">
        <f t="shared" si="743"/>
        <v/>
      </c>
      <c r="GZ400" s="54" t="e">
        <f>IF(GY400="",NA(),SUM($GY$4:GY400))</f>
        <v>#N/A</v>
      </c>
      <c r="HA400" s="54" t="str">
        <f t="shared" si="744"/>
        <v/>
      </c>
      <c r="HB400" s="54" t="e">
        <f>IF(HA400="",NA(),SUM($HA$4:HA400))</f>
        <v>#N/A</v>
      </c>
      <c r="HC400" s="54" t="str">
        <f t="shared" si="745"/>
        <v/>
      </c>
      <c r="HD400" s="54" t="e">
        <f>IF(HC400="",NA(),SUM($HC$4:HC400))</f>
        <v>#N/A</v>
      </c>
      <c r="HE400" s="54" t="str">
        <f t="shared" si="746"/>
        <v/>
      </c>
      <c r="HF400" s="54" t="e">
        <f>IF(HE400="",NA(),SUM($HE$4:HE400))</f>
        <v>#N/A</v>
      </c>
      <c r="HG400" s="54" t="str">
        <f t="shared" si="747"/>
        <v/>
      </c>
      <c r="HH400" s="54" t="e">
        <f>IF(HG400="",NA(),SUM($HG$4:HG400))</f>
        <v>#N/A</v>
      </c>
      <c r="HI400" s="172" t="str">
        <f t="shared" si="760"/>
        <v/>
      </c>
      <c r="HJ400" s="172">
        <f>IF($J400="",#N/A,SUM(HI$4:$HI400))</f>
        <v>-11.384655655360691</v>
      </c>
      <c r="HK400" s="54" t="str">
        <f t="shared" si="748"/>
        <v/>
      </c>
      <c r="HL400" s="54">
        <f>IF($J400="",#N/A,SUM($HK$4:HK400))</f>
        <v>7.7718073844558004</v>
      </c>
      <c r="HM400" s="54" t="str">
        <f t="shared" si="749"/>
        <v/>
      </c>
      <c r="HN400" s="54">
        <f>IF($J400="",#N/A,SUM($HM$4:HM400))</f>
        <v>0.73576080412462941</v>
      </c>
      <c r="HO400" s="54">
        <f t="shared" si="750"/>
        <v>0.19777941457293391</v>
      </c>
      <c r="HP400" s="54">
        <f>IF($J400="",#N/A,SUM($HO$4:HO400))</f>
        <v>0.22302726237104897</v>
      </c>
      <c r="HQ400" s="54" t="str">
        <f t="shared" si="751"/>
        <v/>
      </c>
      <c r="HR400" s="54">
        <f>IF($J400="",#N/A,SUM($HQ$4:HQ400))</f>
        <v>-13.744073107199277</v>
      </c>
      <c r="HS400" s="54" t="str">
        <f t="shared" si="752"/>
        <v/>
      </c>
      <c r="HT400" s="54">
        <f>IF($J400="",#N/A,SUM($HS$4:HS400))</f>
        <v>15.208964568886728</v>
      </c>
      <c r="HU400" s="65">
        <f t="shared" si="753"/>
        <v>-0.96161715361322431</v>
      </c>
      <c r="HV400" s="65">
        <f>IF($J400="",#N/A,SUM(HU$4:$HU400))</f>
        <v>9.3867650129003213</v>
      </c>
    </row>
    <row r="401" spans="1:230" x14ac:dyDescent="0.25">
      <c r="A401" s="51" t="s">
        <v>1229</v>
      </c>
      <c r="B401" s="52" t="s">
        <v>5552</v>
      </c>
      <c r="C401" s="229">
        <f t="shared" si="654"/>
        <v>3</v>
      </c>
      <c r="D401" s="219" t="str">
        <f>_xlfn.XLOOKUP(A401,[1]SP500!$A$2:$A$502,[1]SP500!$D$2:$D$502,"N")</f>
        <v>Y</v>
      </c>
      <c r="E401" s="51" t="str">
        <f>IFERROR(_xlfn.XLOOKUP(A401,[1]SP500!$A$2:$A$655,[1]SP500!$B$2:$B$655),"")</f>
        <v>XLK</v>
      </c>
      <c r="F401" s="290">
        <v>45811</v>
      </c>
      <c r="G401" s="51" t="str">
        <f t="shared" si="655"/>
        <v>AMC</v>
      </c>
      <c r="H401" s="51" t="str">
        <f t="shared" si="656"/>
        <v>s</v>
      </c>
      <c r="I401" s="344">
        <v>17.690000000000001</v>
      </c>
      <c r="J401" s="124">
        <v>19.170000000000002</v>
      </c>
      <c r="K401" s="55">
        <f t="shared" si="657"/>
        <v>8.3663086489542127E-2</v>
      </c>
      <c r="L401" s="67">
        <f t="shared" si="658"/>
        <v>118.40000000000009</v>
      </c>
      <c r="M401" s="57">
        <f t="shared" si="659"/>
        <v>-2.4000000000000909</v>
      </c>
      <c r="N401" s="102">
        <f t="shared" si="660"/>
        <v>118.40000000000009</v>
      </c>
      <c r="O401" s="57">
        <f>IF(N401="",#N/A,SUM($N$4:N401))</f>
        <v>437.77607492035634</v>
      </c>
      <c r="P401" s="65">
        <f t="shared" si="754"/>
        <v>1.3943847748257028</v>
      </c>
      <c r="Q401" s="172">
        <f>IF($N401="",#N/A,SUM($P$4:P401))</f>
        <v>12.466491986315333</v>
      </c>
      <c r="R401" s="279">
        <f t="shared" si="661"/>
        <v>3.077318198358201</v>
      </c>
      <c r="S401" s="51" t="str">
        <f t="shared" si="662"/>
        <v>SW</v>
      </c>
      <c r="T401" s="51" t="s">
        <v>2828</v>
      </c>
      <c r="U401" s="56">
        <f t="shared" si="663"/>
        <v>17.690000000000001</v>
      </c>
      <c r="V401" s="56" t="s">
        <v>4460</v>
      </c>
      <c r="W401" s="142">
        <v>80</v>
      </c>
      <c r="X401" s="145">
        <f t="shared" si="664"/>
        <v>1415.2</v>
      </c>
      <c r="Y401" s="140">
        <f t="shared" si="665"/>
        <v>80</v>
      </c>
      <c r="Z401" s="141">
        <v>19.14</v>
      </c>
      <c r="AA401" s="102">
        <f t="shared" si="666"/>
        <v>116</v>
      </c>
      <c r="AB401" s="102">
        <f t="shared" si="667"/>
        <v>12</v>
      </c>
      <c r="AC401" s="124">
        <v>17.84</v>
      </c>
      <c r="AD401" s="155">
        <f t="shared" si="668"/>
        <v>12</v>
      </c>
      <c r="AE401" s="545">
        <f t="shared" si="669"/>
        <v>0.14132278123233463</v>
      </c>
      <c r="AF401" s="57">
        <f>IF($AC401="",#N/A,SUM(AD$4:AD401))</f>
        <v>481.51996410331481</v>
      </c>
      <c r="AG401" s="102">
        <f t="shared" si="670"/>
        <v>-106.40000000000009</v>
      </c>
      <c r="AH401" s="56" t="s">
        <v>2507</v>
      </c>
      <c r="AI401" s="65">
        <f t="shared" si="671"/>
        <v>1.3661202185792349</v>
      </c>
      <c r="AJ401" s="108">
        <f>IF(AI401="",#N/A,SUM($AI$4:AI401))</f>
        <v>9.389173787957132</v>
      </c>
      <c r="AK401" s="56">
        <f t="shared" si="672"/>
        <v>116</v>
      </c>
      <c r="AL401" s="66">
        <f>IF(AI401="",#N/A,IF(AH401="Skip",SUM($AK$4:AK401),SUM($AK$4:AK401)))</f>
        <v>306.34236927848156</v>
      </c>
      <c r="AM401" s="65">
        <f t="shared" si="755"/>
        <v>0.14132278123233463</v>
      </c>
      <c r="AN401" s="209"/>
      <c r="AO401" s="65">
        <f t="shared" si="673"/>
        <v>0.14132278123233463</v>
      </c>
      <c r="AP401" s="65">
        <f>IF($AC401="",#N/A,SUM(AO$4:AO401))</f>
        <v>10.566693761270967</v>
      </c>
      <c r="AQ401" s="65" t="str">
        <f t="shared" si="674"/>
        <v/>
      </c>
      <c r="AR401" s="65">
        <f>IF($AC401="",#N/A,SUM(AQ$4:AQ401))</f>
        <v>-8.0760123742285401</v>
      </c>
      <c r="AS401" s="65" t="str">
        <f t="shared" si="675"/>
        <v/>
      </c>
      <c r="AT401" s="65">
        <f>IF($AC401="",#N/A,SUM(AS$4:AS401))</f>
        <v>7.0374064070902227</v>
      </c>
      <c r="AU401" s="57">
        <f t="shared" si="756"/>
        <v>12</v>
      </c>
      <c r="AV401" s="57">
        <f>IF($AC401="",#N/A,SUM(AU$4:AU401))</f>
        <v>555.99383890574654</v>
      </c>
      <c r="AW401" s="57" t="str">
        <f t="shared" si="757"/>
        <v/>
      </c>
      <c r="AX401" s="57">
        <f>IF($AC401="",#N/A,SUM(AW$4:AW401))</f>
        <v>-600.3710679796111</v>
      </c>
      <c r="AY401" s="57" t="str">
        <f t="shared" si="758"/>
        <v/>
      </c>
      <c r="AZ401" s="57">
        <f>IF($AC401="",#N/A,SUM(AY$4:AY401))</f>
        <v>525.89719317717925</v>
      </c>
      <c r="BA401" s="57">
        <f>IF(AD401="",#N/A,SUM($AD$4:AD401))</f>
        <v>481.51996410331481</v>
      </c>
      <c r="BC401" s="51" t="str">
        <f t="shared" si="676"/>
        <v/>
      </c>
      <c r="BD401" s="51" t="str">
        <f t="shared" si="677"/>
        <v/>
      </c>
      <c r="BE401" s="51">
        <f t="shared" si="678"/>
        <v>1</v>
      </c>
      <c r="BF401" s="51" t="str">
        <f t="shared" si="679"/>
        <v>Long</v>
      </c>
      <c r="BG401" s="51" t="str">
        <f t="shared" si="680"/>
        <v/>
      </c>
      <c r="BH401" s="51" t="str">
        <f t="shared" si="681"/>
        <v/>
      </c>
      <c r="BI401" s="51" t="str">
        <f t="shared" si="682"/>
        <v/>
      </c>
      <c r="BK401" s="65">
        <f t="shared" si="653"/>
        <v>-4.7947084790643545E-2</v>
      </c>
      <c r="BL401" s="65">
        <f t="shared" si="652"/>
        <v>4.8900994871656424E-2</v>
      </c>
      <c r="BM401" s="65">
        <f>IFERROR(Q401/COUNTA($J$4:J401),#N/A)</f>
        <v>3.1322844186721939E-2</v>
      </c>
      <c r="BO401" s="489">
        <f>IF(J401="",#N/A,IF(S401="SW",(COUNTIFS(K$4:$K401,"&gt;0",S$4:$S401,"SW")/COUNTIF(S$4:$S401,"SW")),#N/A))</f>
        <v>0.5</v>
      </c>
      <c r="BP401" s="489" t="e">
        <f>IF($J401="",#N/A,IF($S401="DWN",(COUNTIFS($K$4:$K401,"&lt;0",$S$4:$S401,"DWN")/COUNTIF($S$4:$S401,"DWN")),#N/A))</f>
        <v>#N/A</v>
      </c>
      <c r="BQ401" s="489" t="e">
        <f>IF($J401="",#N/A,IF($S401="UP",(COUNTIFS($K$4:$K401,"&gt;0",$S$4:$S401,"UP")/COUNTIF($S$4:$S401,"UP")),#N/A))</f>
        <v>#N/A</v>
      </c>
      <c r="BR401" s="489">
        <f>IF(J401="",#N/A,COUNTIF($K$4:K401,"&gt;0")/COUNT($J$4:J401))</f>
        <v>0.47236180904522612</v>
      </c>
      <c r="BS401" s="65">
        <f t="shared" si="683"/>
        <v>1.3943847748257028</v>
      </c>
      <c r="BT401" s="65" t="str">
        <f t="shared" si="684"/>
        <v/>
      </c>
      <c r="BU401" s="65" t="str">
        <f t="shared" si="685"/>
        <v/>
      </c>
      <c r="BV401" s="65" t="str">
        <f t="shared" si="686"/>
        <v/>
      </c>
      <c r="BW401" s="128" t="str">
        <f t="shared" si="687"/>
        <v/>
      </c>
      <c r="BX401" s="128">
        <f>IF($J401="",#N/A,SUM($BW$4:BW401))</f>
        <v>-702.31817034792948</v>
      </c>
      <c r="BY401" s="131" t="str">
        <f t="shared" si="688"/>
        <v/>
      </c>
      <c r="BZ401" s="131">
        <f>IF($J401="",#N/A,SUM($BY$4:BY401))</f>
        <v>549.90161346139416</v>
      </c>
      <c r="CA401" s="133">
        <f t="shared" si="689"/>
        <v>118.40000000000009</v>
      </c>
      <c r="CB401" s="133">
        <f>IF($J401="",#N/A,SUM($CA$4:CA401))</f>
        <v>590.19263180689143</v>
      </c>
      <c r="CC401" s="194" t="str">
        <f t="shared" si="690"/>
        <v/>
      </c>
      <c r="CD401" s="194">
        <f>IF($J401="",#N/A,SUM($CC$4:CC401))</f>
        <v>-9.0348004407242168</v>
      </c>
      <c r="CE401" s="195" t="str">
        <f t="shared" si="691"/>
        <v/>
      </c>
      <c r="CF401" s="195">
        <f>IF($J401="",#N/A,SUM($CE$4:CE401))</f>
        <v>10.650254677995123</v>
      </c>
      <c r="CG401" s="196">
        <f t="shared" si="692"/>
        <v>1.3943847748257028</v>
      </c>
      <c r="CH401" s="196">
        <f>IF($J401="",#N/A,SUM($CG$4:CG401))</f>
        <v>10.851037749044439</v>
      </c>
      <c r="CI401" s="200" t="str">
        <f t="shared" si="693"/>
        <v/>
      </c>
      <c r="CJ401" s="203">
        <f>IF($J401="",#N/A,SUM(CI$4:CI401))</f>
        <v>0</v>
      </c>
      <c r="CK401" s="204" t="str">
        <f t="shared" si="694"/>
        <v/>
      </c>
      <c r="CL401" s="204">
        <f>IF($J401="",#N/A,SUM(CK$4:CK401))</f>
        <v>2.0825010564889137</v>
      </c>
      <c r="CM401" s="205">
        <f t="shared" si="695"/>
        <v>1.3943847748257028</v>
      </c>
      <c r="CN401" s="205">
        <f>IF($J401="",#N/A,SUM(CM$4:CM401))</f>
        <v>0.50880222530512387</v>
      </c>
      <c r="CO401" s="205">
        <f>IF($J401="",#N/A,SUM(CM$4:CM401,CK$4:CK401,CI$4:CI401))</f>
        <v>2.5913032817940378</v>
      </c>
      <c r="CP401" s="200" t="str">
        <f t="shared" si="696"/>
        <v/>
      </c>
      <c r="CQ401" s="203">
        <f>IF($J401="",#N/A,SUM(CP$4:CP401))</f>
        <v>-3.993192333715871</v>
      </c>
      <c r="CR401" s="204" t="str">
        <f t="shared" si="697"/>
        <v/>
      </c>
      <c r="CS401" s="204">
        <f>IF($J401="",#N/A,SUM(CR$4:CR401))</f>
        <v>2.3600225017004668</v>
      </c>
      <c r="CT401" s="205" t="str">
        <f t="shared" si="698"/>
        <v/>
      </c>
      <c r="CU401" s="205">
        <f>IF($J401="",#N/A,SUM(CT$4:CT401))</f>
        <v>-6.9103738355622983</v>
      </c>
      <c r="CV401" s="205">
        <f>IF($J401="",#N/A,SUM(CT$4:CT401,CR$4:CR401,CP$4:CP401))</f>
        <v>-8.543543667577703</v>
      </c>
      <c r="CW401" s="200" t="str">
        <f t="shared" si="699"/>
        <v/>
      </c>
      <c r="CX401" s="203">
        <f>IF($J401="",#N/A,SUM(CW$4:CW401))</f>
        <v>-6.3374847922823907</v>
      </c>
      <c r="CY401" s="204" t="str">
        <f t="shared" si="700"/>
        <v/>
      </c>
      <c r="CZ401" s="204">
        <f>IF($J401="",#N/A,SUM(CY$4:CY401))</f>
        <v>-2.4332142608051761</v>
      </c>
      <c r="DA401" s="205" t="str">
        <f t="shared" si="701"/>
        <v/>
      </c>
      <c r="DB401" s="205">
        <f>IF($J401="",#N/A,SUM(DA$4:DA401))</f>
        <v>-1.3155870379734311</v>
      </c>
      <c r="DC401" s="205">
        <f>IF($J401="",#N/A,SUM(DA$4:DA401,CY$4:CY401,CW$4:CW401))</f>
        <v>-10.086286091061</v>
      </c>
      <c r="DD401" s="200" t="str">
        <f t="shared" si="702"/>
        <v/>
      </c>
      <c r="DE401" s="203">
        <f>IF($J401="",#N/A,SUM(DD$4:DD401))</f>
        <v>3.188887231935007</v>
      </c>
      <c r="DF401" s="204" t="str">
        <f t="shared" si="703"/>
        <v/>
      </c>
      <c r="DG401" s="204">
        <f>IF($J401="",#N/A,SUM(DF$4:DF401))</f>
        <v>3.7844462787298916</v>
      </c>
      <c r="DH401" s="205" t="str">
        <f t="shared" si="704"/>
        <v/>
      </c>
      <c r="DI401" s="205">
        <f>IF($J401="",#N/A,SUM(DH$4:DH401))</f>
        <v>-1.004058041816293</v>
      </c>
      <c r="DJ401" s="205">
        <f>IF($J401="",#N/A,SUM(DH$4:DH401,DF$4:DF401,DD$4:DD401))</f>
        <v>5.9692754688486058</v>
      </c>
      <c r="DK401" s="200" t="str">
        <f t="shared" si="705"/>
        <v/>
      </c>
      <c r="DL401" s="203">
        <f>IF($J401="",#N/A,SUM(DK$4:DK401))</f>
        <v>-0.84049791589649614</v>
      </c>
      <c r="DM401" s="204" t="str">
        <f t="shared" si="706"/>
        <v/>
      </c>
      <c r="DN401" s="204">
        <f>IF($J401="",#N/A,SUM(DM$4:DM401))</f>
        <v>1.8657648196498773</v>
      </c>
      <c r="DO401" s="205" t="str">
        <f t="shared" si="707"/>
        <v/>
      </c>
      <c r="DP401" s="205">
        <f>IF($J401="",#N/A,SUM(DO$4:DO401))</f>
        <v>3.4887162328793941</v>
      </c>
      <c r="DQ401" s="205">
        <f>IF($J401="",#N/A,SUM(DO$4:DO401,DM$4:DM401,DK$4:DK401))</f>
        <v>4.5139831366327758</v>
      </c>
      <c r="DR401" s="200" t="str">
        <f t="shared" si="708"/>
        <v/>
      </c>
      <c r="DS401" s="203">
        <f>IF($J401="",#N/A,SUM(DR$4:DR401))</f>
        <v>-0.55950946427675097</v>
      </c>
      <c r="DT401" s="204" t="str">
        <f t="shared" si="709"/>
        <v/>
      </c>
      <c r="DU401" s="204">
        <f>IF($J401="",#N/A,SUM(DT$4:DT401))</f>
        <v>-0.20750635820596686</v>
      </c>
      <c r="DV401" s="205" t="str">
        <f t="shared" si="710"/>
        <v/>
      </c>
      <c r="DW401" s="205">
        <f>IF($J401="",#N/A,SUM(DV$4:DV401))</f>
        <v>-2.3377035686214001</v>
      </c>
      <c r="DX401" s="205">
        <f>IF($J401="",#N/A,SUM(DV$4:DV401,DT$4:DT401,DR$4:DR401))</f>
        <v>-3.1047193911041169</v>
      </c>
      <c r="DY401" s="200" t="str">
        <f t="shared" si="711"/>
        <v/>
      </c>
      <c r="DZ401" s="203">
        <f>IF($J401="",#N/A,SUM(DY$4:DY401))</f>
        <v>-1.4146842415208627</v>
      </c>
      <c r="EA401" s="204" t="str">
        <f t="shared" si="712"/>
        <v/>
      </c>
      <c r="EB401" s="204">
        <f>IF($J401="",#N/A,SUM(EA$4:EA401))</f>
        <v>4.3184391548878134</v>
      </c>
      <c r="EC401" s="205" t="str">
        <f t="shared" si="713"/>
        <v/>
      </c>
      <c r="ED401" s="205">
        <f>IF($J401="",#N/A,SUM(EC$4:EC401))</f>
        <v>8.4384553208490907</v>
      </c>
      <c r="EE401" s="205">
        <f>IF($J401="",#N/A,SUM(EC$4:EC401,EA$4:EA401,DY$4:DY401))</f>
        <v>11.342210234216044</v>
      </c>
      <c r="EF401" s="200" t="str">
        <f t="shared" si="714"/>
        <v/>
      </c>
      <c r="EG401" s="203">
        <f>IF($J401="",#N/A,SUM(EF$4:EF401))</f>
        <v>0.65848341369884777</v>
      </c>
      <c r="EH401" s="204" t="str">
        <f t="shared" si="715"/>
        <v/>
      </c>
      <c r="EI401" s="204">
        <f>IF($J401="",#N/A,SUM(EH$4:EH401))</f>
        <v>-3.5125331561187787</v>
      </c>
      <c r="EJ401" s="205" t="str">
        <f t="shared" si="716"/>
        <v/>
      </c>
      <c r="EK401" s="205">
        <f>IF($J401="",#N/A,SUM(EJ$4:EJ401))</f>
        <v>13.156552985368888</v>
      </c>
      <c r="EL401" s="205">
        <f>IF($J401="",#N/A,SUM(EJ$4:EJ401,EH$4:EH401,EF$4:EF401))</f>
        <v>10.30250324294896</v>
      </c>
      <c r="EM401" s="200" t="str">
        <f t="shared" si="717"/>
        <v/>
      </c>
      <c r="EN401" s="203">
        <f>IF($J401="",#N/A,SUM(EM$4:EM401))</f>
        <v>0</v>
      </c>
      <c r="EO401" s="204" t="str">
        <f t="shared" si="718"/>
        <v/>
      </c>
      <c r="EP401" s="204">
        <f>IF($J401="",#N/A,SUM(EO$4:EO401))</f>
        <v>2.4788862078089964</v>
      </c>
      <c r="EQ401" s="205" t="str">
        <f t="shared" si="719"/>
        <v/>
      </c>
      <c r="ER401" s="205">
        <f>IF($J401="",#N/A,SUM(EQ$4:EQ401))</f>
        <v>1.7856049065476487</v>
      </c>
      <c r="ES401" s="205">
        <f>IF($J401="",#N/A,SUM(EQ$4:EQ401,EO$4:EO401,EM$4:EM401))</f>
        <v>4.2644911143566446</v>
      </c>
      <c r="ET401" s="200" t="str">
        <f t="shared" si="720"/>
        <v/>
      </c>
      <c r="EU401" s="203">
        <f>IF($J401="",#N/A,SUM(ET$4:ET401))</f>
        <v>0</v>
      </c>
      <c r="EV401" s="204" t="str">
        <f t="shared" si="721"/>
        <v/>
      </c>
      <c r="EW401" s="204">
        <f>IF($J401="",#N/A,SUM(EV$4:EV401))</f>
        <v>7.9116394275462909E-2</v>
      </c>
      <c r="EX401" s="205" t="str">
        <f t="shared" si="722"/>
        <v/>
      </c>
      <c r="EY401" s="205">
        <f>IF($J401="",#N/A,SUM(EX$4:EX401))</f>
        <v>0.62848633887309935</v>
      </c>
      <c r="EZ401" s="205">
        <f>IF($J401="",#N/A,SUM(EX$4:EX401,EV$4:EV401,ET$4:ET401))</f>
        <v>0.70760273314856192</v>
      </c>
      <c r="FA401" s="200" t="str">
        <f t="shared" si="723"/>
        <v/>
      </c>
      <c r="FB401" s="203">
        <f>IF($J401="",#N/A,SUM(FA$4:FA401))</f>
        <v>-0.27145310509113252</v>
      </c>
      <c r="FC401" s="204" t="str">
        <f t="shared" si="724"/>
        <v/>
      </c>
      <c r="FD401" s="204">
        <f>IF($J401="",#N/A,SUM(FC$4:FC401))</f>
        <v>0.89084290967454072</v>
      </c>
      <c r="FE401" s="205" t="str">
        <f t="shared" si="725"/>
        <v/>
      </c>
      <c r="FF401" s="205">
        <f>IF($J401="",#N/A,SUM(FE$4:FE401))</f>
        <v>-0.28811149078748233</v>
      </c>
      <c r="FG401" s="205">
        <f>IF($J401="",#N/A,SUM(FE$4:FE401,FC$4:FC401,FA$4:FA401))</f>
        <v>0.3312783137959262</v>
      </c>
      <c r="FH401" s="200" t="str">
        <f t="shared" si="726"/>
        <v/>
      </c>
      <c r="FI401" s="203">
        <f>IF($J401="",#N/A,SUM(FH$4:FH401))</f>
        <v>0</v>
      </c>
      <c r="FJ401" s="204" t="str">
        <f t="shared" si="727"/>
        <v/>
      </c>
      <c r="FK401" s="204">
        <f>IF($J401="",#N/A,SUM(FJ$4:FJ401))</f>
        <v>0</v>
      </c>
      <c r="FL401" s="205" t="str">
        <f t="shared" si="728"/>
        <v/>
      </c>
      <c r="FM401" s="205">
        <f>IF($J401="",#N/A,SUM(FL$4:FL401))</f>
        <v>0</v>
      </c>
      <c r="FN401" s="205">
        <f>IF($J401="",#N/A,SUM(FL$4:FL401,FJ$4:FJ401,FH$4:FH401))</f>
        <v>0</v>
      </c>
      <c r="FO401" s="200" t="str">
        <f t="shared" si="729"/>
        <v/>
      </c>
      <c r="FP401" s="203">
        <f>IF($J401="",#N/A,SUM(FO$4:FO401))</f>
        <v>0</v>
      </c>
      <c r="FQ401" s="204" t="str">
        <f t="shared" si="730"/>
        <v/>
      </c>
      <c r="FR401" s="204">
        <f>IF($J401="",#N/A,SUM(FQ$4:FQ401))</f>
        <v>0</v>
      </c>
      <c r="FS401" s="205" t="str">
        <f t="shared" si="731"/>
        <v/>
      </c>
      <c r="FT401" s="205">
        <f>IF($J401="",#N/A,SUM(FS$4:FS401))</f>
        <v>0</v>
      </c>
      <c r="FU401" s="205">
        <f>IF($J401="",#N/A,SUM(FS$4:FS401,FQ$4:FQ401,FO$4:FO401))</f>
        <v>0</v>
      </c>
      <c r="FV401" s="200" t="str">
        <f t="shared" si="732"/>
        <v/>
      </c>
      <c r="FW401" s="203">
        <f>IF($J401="",#N/A,SUM(FV$4:FV401))</f>
        <v>6.6834991831277585E-2</v>
      </c>
      <c r="FX401" s="204" t="str">
        <f t="shared" si="733"/>
        <v/>
      </c>
      <c r="FY401" s="204">
        <f>IF($J401="",#N/A,SUM(FX$4:FX401))</f>
        <v>-0.16102012791805576</v>
      </c>
      <c r="FZ401" s="205" t="str">
        <f t="shared" si="734"/>
        <v/>
      </c>
      <c r="GA401" s="205">
        <f>IF($J401="",#N/A,SUM(FZ$4:FZ401))</f>
        <v>-0.69624339162892301</v>
      </c>
      <c r="GB401" s="205">
        <f>IF($J401="",#N/A,SUM(FZ$4:FZ401,FX$4:FX401,FV$4:FV401))</f>
        <v>-0.79042852771570116</v>
      </c>
      <c r="GC401" s="200" t="str">
        <f t="shared" si="735"/>
        <v/>
      </c>
      <c r="GD401" s="203">
        <f>IF($J401="",#N/A,SUM(GC$4:GC401))</f>
        <v>0</v>
      </c>
      <c r="GE401" s="204" t="str">
        <f t="shared" si="736"/>
        <v/>
      </c>
      <c r="GF401" s="204">
        <f>IF($J401="",#N/A,SUM(GE$4:GE401))</f>
        <v>0</v>
      </c>
      <c r="GG401" s="205" t="str">
        <f t="shared" si="737"/>
        <v/>
      </c>
      <c r="GH401" s="205">
        <f>IF($J401="",#N/A,SUM(GG$4:GG401))</f>
        <v>-2.9368362277223206</v>
      </c>
      <c r="GI401" s="205">
        <f>IF($J401="",#N/A,SUM(GG$4:GG401,GE$4:GE401,GC$4:GC401))</f>
        <v>-2.9368362277223206</v>
      </c>
      <c r="GJ401" s="200" t="str">
        <f t="shared" si="738"/>
        <v/>
      </c>
      <c r="GK401" s="203">
        <f>IF($J401="",#N/A,SUM(GJ$4:GJ401))</f>
        <v>0</v>
      </c>
      <c r="GL401" s="204" t="str">
        <f t="shared" si="739"/>
        <v/>
      </c>
      <c r="GM401" s="204">
        <f>IF($J401="",#N/A,SUM(GL$4:GL401))</f>
        <v>-2.0621307233432784</v>
      </c>
      <c r="GN401" s="205" t="str">
        <f t="shared" si="740"/>
        <v/>
      </c>
      <c r="GO401" s="205">
        <f>IF($J401="",#N/A,SUM(GN$4:GN401))</f>
        <v>0</v>
      </c>
      <c r="GP401" s="205">
        <f>IF($J401="",#N/A,SUM(GN$4:GN401,GL$4:GL401,GJ$4:GJ401))</f>
        <v>-2.0621307233432784</v>
      </c>
      <c r="GS401" s="54">
        <f t="shared" si="759"/>
        <v>1.3943847748257028</v>
      </c>
      <c r="GT401" s="54">
        <f>IF(GS401="",NA(),SUM($GS$4:GS401))</f>
        <v>14.26876112171788</v>
      </c>
      <c r="GU401" s="54" t="str">
        <f t="shared" si="741"/>
        <v/>
      </c>
      <c r="GV401" s="54" t="e">
        <f>IF(GU401="",NA(),SUM($GU$4:GU401))</f>
        <v>#N/A</v>
      </c>
      <c r="GW401" s="54">
        <f t="shared" si="742"/>
        <v>1.3943847748257028</v>
      </c>
      <c r="GX401" s="54">
        <f>IF(GW401="",NA(),SUM($GW$4:GW401))</f>
        <v>9.8507996365996995</v>
      </c>
      <c r="GY401" s="54" t="str">
        <f t="shared" si="743"/>
        <v/>
      </c>
      <c r="GZ401" s="54" t="e">
        <f>IF(GY401="",NA(),SUM($GY$4:GY401))</f>
        <v>#N/A</v>
      </c>
      <c r="HA401" s="54" t="str">
        <f t="shared" si="744"/>
        <v/>
      </c>
      <c r="HB401" s="54" t="e">
        <f>IF(HA401="",NA(),SUM($HA$4:HA401))</f>
        <v>#N/A</v>
      </c>
      <c r="HC401" s="54" t="str">
        <f t="shared" si="745"/>
        <v/>
      </c>
      <c r="HD401" s="54" t="e">
        <f>IF(HC401="",NA(),SUM($HC$4:HC401))</f>
        <v>#N/A</v>
      </c>
      <c r="HE401" s="54" t="str">
        <f t="shared" si="746"/>
        <v/>
      </c>
      <c r="HF401" s="54" t="e">
        <f>IF(HE401="",NA(),SUM($HE$4:HE401))</f>
        <v>#N/A</v>
      </c>
      <c r="HG401" s="54" t="str">
        <f t="shared" si="747"/>
        <v/>
      </c>
      <c r="HH401" s="54" t="e">
        <f>IF(HG401="",NA(),SUM($HG$4:HG401))</f>
        <v>#N/A</v>
      </c>
      <c r="HI401" s="172" t="str">
        <f t="shared" si="760"/>
        <v/>
      </c>
      <c r="HJ401" s="172">
        <f>IF($J401="",#N/A,SUM(HI$4:$HI401))</f>
        <v>-11.384655655360691</v>
      </c>
      <c r="HK401" s="54" t="str">
        <f t="shared" si="748"/>
        <v/>
      </c>
      <c r="HL401" s="54">
        <f>IF($J401="",#N/A,SUM($HK$4:HK401))</f>
        <v>7.7718073844558004</v>
      </c>
      <c r="HM401" s="54" t="str">
        <f t="shared" si="749"/>
        <v/>
      </c>
      <c r="HN401" s="54">
        <f>IF($J401="",#N/A,SUM($HM$4:HM401))</f>
        <v>0.73576080412462941</v>
      </c>
      <c r="HO401" s="54" t="str">
        <f t="shared" si="750"/>
        <v/>
      </c>
      <c r="HP401" s="54">
        <f>IF($J401="",#N/A,SUM($HO$4:HO401))</f>
        <v>0.22302726237104897</v>
      </c>
      <c r="HQ401" s="54">
        <f t="shared" si="751"/>
        <v>-1.2530619935933682</v>
      </c>
      <c r="HR401" s="54">
        <f>IF($J401="",#N/A,SUM($HQ$4:HQ401))</f>
        <v>-14.997135100792645</v>
      </c>
      <c r="HS401" s="54" t="str">
        <f t="shared" si="752"/>
        <v/>
      </c>
      <c r="HT401" s="54">
        <f>IF($J401="",#N/A,SUM($HS$4:HS401))</f>
        <v>15.208964568886728</v>
      </c>
      <c r="HU401" s="65">
        <f t="shared" si="753"/>
        <v>0.14132278123233463</v>
      </c>
      <c r="HV401" s="65">
        <f>IF($J401="",#N/A,SUM(HU$4:$HU401))</f>
        <v>9.5280877941326558</v>
      </c>
    </row>
    <row r="402" spans="1:230" x14ac:dyDescent="0.25">
      <c r="A402" s="51" t="s">
        <v>1248</v>
      </c>
      <c r="B402" s="52" t="s">
        <v>5553</v>
      </c>
      <c r="C402" s="229">
        <f t="shared" si="654"/>
        <v>1</v>
      </c>
      <c r="D402" s="219" t="str">
        <f>_xlfn.XLOOKUP(A402,[1]SP500!$A$2:$A$502,[1]SP500!$D$2:$D$502,"N")</f>
        <v>N</v>
      </c>
      <c r="E402" s="51" t="str">
        <f>IFERROR(_xlfn.XLOOKUP(A402,[1]SP500!$A$2:$A$655,[1]SP500!$B$2:$B$655),"")</f>
        <v>XLI</v>
      </c>
      <c r="F402" s="290">
        <v>45812</v>
      </c>
      <c r="G402" s="51" t="str">
        <f t="shared" si="655"/>
        <v>BMO</v>
      </c>
      <c r="H402" s="51" t="str">
        <f t="shared" si="656"/>
        <v>s</v>
      </c>
      <c r="I402" s="343">
        <v>37.22</v>
      </c>
      <c r="J402" s="123">
        <v>42.2</v>
      </c>
      <c r="K402" s="55">
        <f t="shared" si="657"/>
        <v>0.13379903277807642</v>
      </c>
      <c r="L402" s="67">
        <f t="shared" si="658"/>
        <v>174.29999999999995</v>
      </c>
      <c r="M402" s="57">
        <f t="shared" si="659"/>
        <v>12.600000000000136</v>
      </c>
      <c r="N402" s="102">
        <f t="shared" si="660"/>
        <v>174.29999999999995</v>
      </c>
      <c r="O402" s="57">
        <f>IF(N402="",#N/A,SUM($N$4:N402))</f>
        <v>612.07607492035629</v>
      </c>
      <c r="P402" s="65">
        <f t="shared" si="754"/>
        <v>2.2299838796346041</v>
      </c>
      <c r="Q402" s="172">
        <f>IF($N402="",#N/A,SUM($P$4:P402))</f>
        <v>14.696475865949937</v>
      </c>
      <c r="R402" s="279">
        <f t="shared" si="661"/>
        <v>2.9161145444087087</v>
      </c>
      <c r="S402" s="51" t="str">
        <f t="shared" si="662"/>
        <v>Up</v>
      </c>
      <c r="T402" s="51" t="s">
        <v>4462</v>
      </c>
      <c r="U402" s="56">
        <f t="shared" si="663"/>
        <v>37.22</v>
      </c>
      <c r="V402" s="56" t="s">
        <v>4460</v>
      </c>
      <c r="W402" s="142">
        <v>35</v>
      </c>
      <c r="X402" s="145">
        <f t="shared" si="664"/>
        <v>1302.7</v>
      </c>
      <c r="Y402" s="140">
        <f t="shared" si="665"/>
        <v>35</v>
      </c>
      <c r="Z402" s="141">
        <v>42.56</v>
      </c>
      <c r="AA402" s="102">
        <f t="shared" si="666"/>
        <v>186.90000000000009</v>
      </c>
      <c r="AB402" s="102">
        <f t="shared" si="667"/>
        <v>200.19999999999982</v>
      </c>
      <c r="AC402" s="124">
        <v>42.94</v>
      </c>
      <c r="AD402" s="155">
        <f t="shared" si="668"/>
        <v>200.19999999999982</v>
      </c>
      <c r="AE402" s="545">
        <f t="shared" si="669"/>
        <v>2.561346946086331</v>
      </c>
      <c r="AF402" s="57">
        <f>IF($AC402="",#N/A,SUM(AD$4:AD402))</f>
        <v>681.71996410331462</v>
      </c>
      <c r="AG402" s="102">
        <f t="shared" si="670"/>
        <v>25.899999999999864</v>
      </c>
      <c r="AH402" s="56" t="s">
        <v>2507</v>
      </c>
      <c r="AI402" s="65">
        <f t="shared" si="671"/>
        <v>2.3911875335840955</v>
      </c>
      <c r="AJ402" s="108">
        <f>IF(AI402="",#N/A,SUM($AI$4:AI402))</f>
        <v>11.780361321541228</v>
      </c>
      <c r="AK402" s="56">
        <f t="shared" si="672"/>
        <v>186.90000000000009</v>
      </c>
      <c r="AL402" s="66">
        <f>IF(AI402="",#N/A,IF(AH402="Skip",SUM($AK$4:AK402),SUM($AK$4:AK402)))</f>
        <v>493.24236927848165</v>
      </c>
      <c r="AM402" s="65">
        <f t="shared" si="755"/>
        <v>2.561346946086331</v>
      </c>
      <c r="AN402" s="209"/>
      <c r="AO402" s="65" t="str">
        <f t="shared" si="673"/>
        <v/>
      </c>
      <c r="AP402" s="65">
        <f>IF($AC402="",#N/A,SUM(AO$4:AO402))</f>
        <v>10.566693761270967</v>
      </c>
      <c r="AQ402" s="65">
        <f t="shared" si="674"/>
        <v>2.561346946086331</v>
      </c>
      <c r="AR402" s="65">
        <f>IF($AC402="",#N/A,SUM(AQ$4:AQ402))</f>
        <v>-5.5146654281422087</v>
      </c>
      <c r="AS402" s="65" t="str">
        <f t="shared" si="675"/>
        <v/>
      </c>
      <c r="AT402" s="65">
        <f>IF($AC402="",#N/A,SUM(AS$4:AS402))</f>
        <v>7.0374064070902227</v>
      </c>
      <c r="AU402" s="57" t="str">
        <f t="shared" si="756"/>
        <v/>
      </c>
      <c r="AV402" s="57">
        <f>IF($AC402="",#N/A,SUM(AU$4:AU402))</f>
        <v>555.99383890574654</v>
      </c>
      <c r="AW402" s="57">
        <f t="shared" si="757"/>
        <v>200.19999999999982</v>
      </c>
      <c r="AX402" s="57">
        <f>IF($AC402="",#N/A,SUM(AW$4:AW402))</f>
        <v>-400.17106797961128</v>
      </c>
      <c r="AY402" s="57" t="str">
        <f t="shared" si="758"/>
        <v/>
      </c>
      <c r="AZ402" s="57">
        <f>IF($AC402="",#N/A,SUM(AY$4:AY402))</f>
        <v>525.89719317717925</v>
      </c>
      <c r="BA402" s="57">
        <f>IF(AD402="",#N/A,SUM($AD$4:AD402))</f>
        <v>681.71996410331462</v>
      </c>
      <c r="BC402" s="51">
        <f t="shared" si="676"/>
        <v>1</v>
      </c>
      <c r="BD402" s="51" t="str">
        <f t="shared" si="677"/>
        <v/>
      </c>
      <c r="BE402" s="51" t="str">
        <f t="shared" si="678"/>
        <v/>
      </c>
      <c r="BF402" s="51" t="str">
        <f t="shared" si="679"/>
        <v>Long</v>
      </c>
      <c r="BG402" s="51" t="str">
        <f t="shared" si="680"/>
        <v/>
      </c>
      <c r="BH402" s="51" t="str">
        <f t="shared" si="681"/>
        <v/>
      </c>
      <c r="BI402" s="51" t="str">
        <f t="shared" si="682"/>
        <v/>
      </c>
      <c r="BK402" s="65">
        <f t="shared" si="653"/>
        <v>5.9907681522301456E-3</v>
      </c>
      <c r="BL402" s="65">
        <f t="shared" si="652"/>
        <v>3.4711992107431512E-2</v>
      </c>
      <c r="BM402" s="65">
        <f>IFERROR(Q402/COUNTA($J$4:J402),#N/A)</f>
        <v>3.6833272846992324E-2</v>
      </c>
      <c r="BO402" s="489" t="e">
        <f>IF(J402="",#N/A,IF(S402="SW",(COUNTIFS(K$4:$K402,"&gt;0",S$4:$S402,"SW")/COUNTIF(S$4:$S402,"SW")),#N/A))</f>
        <v>#N/A</v>
      </c>
      <c r="BP402" s="489" t="e">
        <f>IF($J402="",#N/A,IF($S402="DWN",(COUNTIFS($K$4:$K402,"&lt;0",$S$4:$S402,"DWN")/COUNTIF($S$4:$S402,"DWN")),#N/A))</f>
        <v>#N/A</v>
      </c>
      <c r="BQ402" s="489">
        <f>IF($J402="",#N/A,IF($S402="UP",(COUNTIFS($K$4:$K402,"&gt;0",$S$4:$S402,"UP")/COUNTIF($S$4:$S402,"UP")),#N/A))</f>
        <v>0.46511627906976744</v>
      </c>
      <c r="BR402" s="489">
        <f>IF(J402="",#N/A,COUNTIF($K$4:K402,"&gt;0")/COUNT($J$4:J402))</f>
        <v>0.47368421052631576</v>
      </c>
      <c r="BS402" s="65">
        <f t="shared" si="683"/>
        <v>2.2299838796346041</v>
      </c>
      <c r="BT402" s="65" t="str">
        <f t="shared" si="684"/>
        <v/>
      </c>
      <c r="BU402" s="65" t="str">
        <f t="shared" si="685"/>
        <v/>
      </c>
      <c r="BV402" s="65" t="str">
        <f t="shared" si="686"/>
        <v/>
      </c>
      <c r="BW402" s="128">
        <f t="shared" si="687"/>
        <v>174.29999999999995</v>
      </c>
      <c r="BX402" s="128">
        <f>IF($J402="",#N/A,SUM($BW$4:BW402))</f>
        <v>-528.01817034792953</v>
      </c>
      <c r="BY402" s="131" t="str">
        <f t="shared" si="688"/>
        <v/>
      </c>
      <c r="BZ402" s="131">
        <f>IF($J402="",#N/A,SUM($BY$4:BY402))</f>
        <v>549.90161346139416</v>
      </c>
      <c r="CA402" s="133" t="str">
        <f t="shared" si="689"/>
        <v/>
      </c>
      <c r="CB402" s="133">
        <f>IF($J402="",#N/A,SUM($CA$4:CA402))</f>
        <v>590.19263180689143</v>
      </c>
      <c r="CC402" s="194">
        <f t="shared" si="690"/>
        <v>2.2299838796346041</v>
      </c>
      <c r="CD402" s="194">
        <f>IF($J402="",#N/A,SUM($CC$4:CC402))</f>
        <v>-6.8048165610896127</v>
      </c>
      <c r="CE402" s="195" t="str">
        <f t="shared" si="691"/>
        <v/>
      </c>
      <c r="CF402" s="195">
        <f>IF($J402="",#N/A,SUM($CE$4:CE402))</f>
        <v>10.650254677995123</v>
      </c>
      <c r="CG402" s="196" t="str">
        <f t="shared" si="692"/>
        <v/>
      </c>
      <c r="CH402" s="196">
        <f>IF($J402="",#N/A,SUM($CG$4:CG402))</f>
        <v>10.851037749044439</v>
      </c>
      <c r="CI402" s="200" t="str">
        <f t="shared" si="693"/>
        <v/>
      </c>
      <c r="CJ402" s="203">
        <f>IF($J402="",#N/A,SUM(CI$4:CI402))</f>
        <v>0</v>
      </c>
      <c r="CK402" s="204" t="str">
        <f t="shared" si="694"/>
        <v/>
      </c>
      <c r="CL402" s="204">
        <f>IF($J402="",#N/A,SUM(CK$4:CK402))</f>
        <v>2.0825010564889137</v>
      </c>
      <c r="CM402" s="205" t="str">
        <f t="shared" si="695"/>
        <v/>
      </c>
      <c r="CN402" s="205">
        <f>IF($J402="",#N/A,SUM(CM$4:CM402))</f>
        <v>0.50880222530512387</v>
      </c>
      <c r="CO402" s="205">
        <f>IF($J402="",#N/A,SUM(CM$4:CM402,CK$4:CK402,CI$4:CI402))</f>
        <v>2.5913032817940378</v>
      </c>
      <c r="CP402" s="200" t="str">
        <f t="shared" si="696"/>
        <v/>
      </c>
      <c r="CQ402" s="203">
        <f>IF($J402="",#N/A,SUM(CP$4:CP402))</f>
        <v>-3.993192333715871</v>
      </c>
      <c r="CR402" s="204" t="str">
        <f t="shared" si="697"/>
        <v/>
      </c>
      <c r="CS402" s="204">
        <f>IF($J402="",#N/A,SUM(CR$4:CR402))</f>
        <v>2.3600225017004668</v>
      </c>
      <c r="CT402" s="205" t="str">
        <f t="shared" si="698"/>
        <v/>
      </c>
      <c r="CU402" s="205">
        <f>IF($J402="",#N/A,SUM(CT$4:CT402))</f>
        <v>-6.9103738355622983</v>
      </c>
      <c r="CV402" s="205">
        <f>IF($J402="",#N/A,SUM(CT$4:CT402,CR$4:CR402,CP$4:CP402))</f>
        <v>-8.543543667577703</v>
      </c>
      <c r="CW402" s="200" t="str">
        <f t="shared" si="699"/>
        <v/>
      </c>
      <c r="CX402" s="203">
        <f>IF($J402="",#N/A,SUM(CW$4:CW402))</f>
        <v>-6.3374847922823907</v>
      </c>
      <c r="CY402" s="204" t="str">
        <f t="shared" si="700"/>
        <v/>
      </c>
      <c r="CZ402" s="204">
        <f>IF($J402="",#N/A,SUM(CY$4:CY402))</f>
        <v>-2.4332142608051761</v>
      </c>
      <c r="DA402" s="205" t="str">
        <f t="shared" si="701"/>
        <v/>
      </c>
      <c r="DB402" s="205">
        <f>IF($J402="",#N/A,SUM(DA$4:DA402))</f>
        <v>-1.3155870379734311</v>
      </c>
      <c r="DC402" s="205">
        <f>IF($J402="",#N/A,SUM(DA$4:DA402,CY$4:CY402,CW$4:CW402))</f>
        <v>-10.086286091061</v>
      </c>
      <c r="DD402" s="200" t="str">
        <f t="shared" si="702"/>
        <v/>
      </c>
      <c r="DE402" s="203">
        <f>IF($J402="",#N/A,SUM(DD$4:DD402))</f>
        <v>3.188887231935007</v>
      </c>
      <c r="DF402" s="204" t="str">
        <f t="shared" si="703"/>
        <v/>
      </c>
      <c r="DG402" s="204">
        <f>IF($J402="",#N/A,SUM(DF$4:DF402))</f>
        <v>3.7844462787298916</v>
      </c>
      <c r="DH402" s="205" t="str">
        <f t="shared" si="704"/>
        <v/>
      </c>
      <c r="DI402" s="205">
        <f>IF($J402="",#N/A,SUM(DH$4:DH402))</f>
        <v>-1.004058041816293</v>
      </c>
      <c r="DJ402" s="205">
        <f>IF($J402="",#N/A,SUM(DH$4:DH402,DF$4:DF402,DD$4:DD402))</f>
        <v>5.9692754688486058</v>
      </c>
      <c r="DK402" s="200" t="str">
        <f t="shared" si="705"/>
        <v/>
      </c>
      <c r="DL402" s="203">
        <f>IF($J402="",#N/A,SUM(DK$4:DK402))</f>
        <v>-0.84049791589649614</v>
      </c>
      <c r="DM402" s="204" t="str">
        <f t="shared" si="706"/>
        <v/>
      </c>
      <c r="DN402" s="204">
        <f>IF($J402="",#N/A,SUM(DM$4:DM402))</f>
        <v>1.8657648196498773</v>
      </c>
      <c r="DO402" s="205" t="str">
        <f t="shared" si="707"/>
        <v/>
      </c>
      <c r="DP402" s="205">
        <f>IF($J402="",#N/A,SUM(DO$4:DO402))</f>
        <v>3.4887162328793941</v>
      </c>
      <c r="DQ402" s="205">
        <f>IF($J402="",#N/A,SUM(DO$4:DO402,DM$4:DM402,DK$4:DK402))</f>
        <v>4.5139831366327758</v>
      </c>
      <c r="DR402" s="200" t="str">
        <f t="shared" si="708"/>
        <v/>
      </c>
      <c r="DS402" s="203">
        <f>IF($J402="",#N/A,SUM(DR$4:DR402))</f>
        <v>-0.55950946427675097</v>
      </c>
      <c r="DT402" s="204" t="str">
        <f t="shared" si="709"/>
        <v/>
      </c>
      <c r="DU402" s="204">
        <f>IF($J402="",#N/A,SUM(DT$4:DT402))</f>
        <v>-0.20750635820596686</v>
      </c>
      <c r="DV402" s="205" t="str">
        <f t="shared" si="710"/>
        <v/>
      </c>
      <c r="DW402" s="205">
        <f>IF($J402="",#N/A,SUM(DV$4:DV402))</f>
        <v>-2.3377035686214001</v>
      </c>
      <c r="DX402" s="205">
        <f>IF($J402="",#N/A,SUM(DV$4:DV402,DT$4:DT402,DR$4:DR402))</f>
        <v>-3.1047193911041169</v>
      </c>
      <c r="DY402" s="200">
        <f t="shared" si="711"/>
        <v>2.2299838796346041</v>
      </c>
      <c r="DZ402" s="203">
        <f>IF($J402="",#N/A,SUM(DY$4:DY402))</f>
        <v>0.8152996381137414</v>
      </c>
      <c r="EA402" s="204" t="str">
        <f t="shared" si="712"/>
        <v/>
      </c>
      <c r="EB402" s="204">
        <f>IF($J402="",#N/A,SUM(EA$4:EA402))</f>
        <v>4.3184391548878134</v>
      </c>
      <c r="EC402" s="205" t="str">
        <f t="shared" si="713"/>
        <v/>
      </c>
      <c r="ED402" s="205">
        <f>IF($J402="",#N/A,SUM(EC$4:EC402))</f>
        <v>8.4384553208490907</v>
      </c>
      <c r="EE402" s="205">
        <f>IF($J402="",#N/A,SUM(EC$4:EC402,EA$4:EA402,DY$4:DY402))</f>
        <v>13.572194113850648</v>
      </c>
      <c r="EF402" s="200" t="str">
        <f t="shared" si="714"/>
        <v/>
      </c>
      <c r="EG402" s="203">
        <f>IF($J402="",#N/A,SUM(EF$4:EF402))</f>
        <v>0.65848341369884777</v>
      </c>
      <c r="EH402" s="204" t="str">
        <f t="shared" si="715"/>
        <v/>
      </c>
      <c r="EI402" s="204">
        <f>IF($J402="",#N/A,SUM(EH$4:EH402))</f>
        <v>-3.5125331561187787</v>
      </c>
      <c r="EJ402" s="205" t="str">
        <f t="shared" si="716"/>
        <v/>
      </c>
      <c r="EK402" s="205">
        <f>IF($J402="",#N/A,SUM(EJ$4:EJ402))</f>
        <v>13.156552985368888</v>
      </c>
      <c r="EL402" s="205">
        <f>IF($J402="",#N/A,SUM(EJ$4:EJ402,EH$4:EH402,EF$4:EF402))</f>
        <v>10.30250324294896</v>
      </c>
      <c r="EM402" s="200" t="str">
        <f t="shared" si="717"/>
        <v/>
      </c>
      <c r="EN402" s="203">
        <f>IF($J402="",#N/A,SUM(EM$4:EM402))</f>
        <v>0</v>
      </c>
      <c r="EO402" s="204" t="str">
        <f t="shared" si="718"/>
        <v/>
      </c>
      <c r="EP402" s="204">
        <f>IF($J402="",#N/A,SUM(EO$4:EO402))</f>
        <v>2.4788862078089964</v>
      </c>
      <c r="EQ402" s="205" t="str">
        <f t="shared" si="719"/>
        <v/>
      </c>
      <c r="ER402" s="205">
        <f>IF($J402="",#N/A,SUM(EQ$4:EQ402))</f>
        <v>1.7856049065476487</v>
      </c>
      <c r="ES402" s="205">
        <f>IF($J402="",#N/A,SUM(EQ$4:EQ402,EO$4:EO402,EM$4:EM402))</f>
        <v>4.2644911143566446</v>
      </c>
      <c r="ET402" s="200" t="str">
        <f t="shared" si="720"/>
        <v/>
      </c>
      <c r="EU402" s="203">
        <f>IF($J402="",#N/A,SUM(ET$4:ET402))</f>
        <v>0</v>
      </c>
      <c r="EV402" s="204" t="str">
        <f t="shared" si="721"/>
        <v/>
      </c>
      <c r="EW402" s="204">
        <f>IF($J402="",#N/A,SUM(EV$4:EV402))</f>
        <v>7.9116394275462909E-2</v>
      </c>
      <c r="EX402" s="205" t="str">
        <f t="shared" si="722"/>
        <v/>
      </c>
      <c r="EY402" s="205">
        <f>IF($J402="",#N/A,SUM(EX$4:EX402))</f>
        <v>0.62848633887309935</v>
      </c>
      <c r="EZ402" s="205">
        <f>IF($J402="",#N/A,SUM(EX$4:EX402,EV$4:EV402,ET$4:ET402))</f>
        <v>0.70760273314856192</v>
      </c>
      <c r="FA402" s="200" t="str">
        <f t="shared" si="723"/>
        <v/>
      </c>
      <c r="FB402" s="203">
        <f>IF($J402="",#N/A,SUM(FA$4:FA402))</f>
        <v>-0.27145310509113252</v>
      </c>
      <c r="FC402" s="204" t="str">
        <f t="shared" si="724"/>
        <v/>
      </c>
      <c r="FD402" s="204">
        <f>IF($J402="",#N/A,SUM(FC$4:FC402))</f>
        <v>0.89084290967454072</v>
      </c>
      <c r="FE402" s="205" t="str">
        <f t="shared" si="725"/>
        <v/>
      </c>
      <c r="FF402" s="205">
        <f>IF($J402="",#N/A,SUM(FE$4:FE402))</f>
        <v>-0.28811149078748233</v>
      </c>
      <c r="FG402" s="205">
        <f>IF($J402="",#N/A,SUM(FE$4:FE402,FC$4:FC402,FA$4:FA402))</f>
        <v>0.3312783137959262</v>
      </c>
      <c r="FH402" s="200" t="str">
        <f t="shared" si="726"/>
        <v/>
      </c>
      <c r="FI402" s="203">
        <f>IF($J402="",#N/A,SUM(FH$4:FH402))</f>
        <v>0</v>
      </c>
      <c r="FJ402" s="204" t="str">
        <f t="shared" si="727"/>
        <v/>
      </c>
      <c r="FK402" s="204">
        <f>IF($J402="",#N/A,SUM(FJ$4:FJ402))</f>
        <v>0</v>
      </c>
      <c r="FL402" s="205" t="str">
        <f t="shared" si="728"/>
        <v/>
      </c>
      <c r="FM402" s="205">
        <f>IF($J402="",#N/A,SUM(FL$4:FL402))</f>
        <v>0</v>
      </c>
      <c r="FN402" s="205">
        <f>IF($J402="",#N/A,SUM(FL$4:FL402,FJ$4:FJ402,FH$4:FH402))</f>
        <v>0</v>
      </c>
      <c r="FO402" s="200" t="str">
        <f t="shared" si="729"/>
        <v/>
      </c>
      <c r="FP402" s="203">
        <f>IF($J402="",#N/A,SUM(FO$4:FO402))</f>
        <v>0</v>
      </c>
      <c r="FQ402" s="204" t="str">
        <f t="shared" si="730"/>
        <v/>
      </c>
      <c r="FR402" s="204">
        <f>IF($J402="",#N/A,SUM(FQ$4:FQ402))</f>
        <v>0</v>
      </c>
      <c r="FS402" s="205" t="str">
        <f t="shared" si="731"/>
        <v/>
      </c>
      <c r="FT402" s="205">
        <f>IF($J402="",#N/A,SUM(FS$4:FS402))</f>
        <v>0</v>
      </c>
      <c r="FU402" s="205">
        <f>IF($J402="",#N/A,SUM(FS$4:FS402,FQ$4:FQ402,FO$4:FO402))</f>
        <v>0</v>
      </c>
      <c r="FV402" s="200" t="str">
        <f t="shared" si="732"/>
        <v/>
      </c>
      <c r="FW402" s="203">
        <f>IF($J402="",#N/A,SUM(FV$4:FV402))</f>
        <v>6.6834991831277585E-2</v>
      </c>
      <c r="FX402" s="204" t="str">
        <f t="shared" si="733"/>
        <v/>
      </c>
      <c r="FY402" s="204">
        <f>IF($J402="",#N/A,SUM(FX$4:FX402))</f>
        <v>-0.16102012791805576</v>
      </c>
      <c r="FZ402" s="205" t="str">
        <f t="shared" si="734"/>
        <v/>
      </c>
      <c r="GA402" s="205">
        <f>IF($J402="",#N/A,SUM(FZ$4:FZ402))</f>
        <v>-0.69624339162892301</v>
      </c>
      <c r="GB402" s="205">
        <f>IF($J402="",#N/A,SUM(FZ$4:FZ402,FX$4:FX402,FV$4:FV402))</f>
        <v>-0.79042852771570116</v>
      </c>
      <c r="GC402" s="200" t="str">
        <f t="shared" si="735"/>
        <v/>
      </c>
      <c r="GD402" s="203">
        <f>IF($J402="",#N/A,SUM(GC$4:GC402))</f>
        <v>0</v>
      </c>
      <c r="GE402" s="204" t="str">
        <f t="shared" si="736"/>
        <v/>
      </c>
      <c r="GF402" s="204">
        <f>IF($J402="",#N/A,SUM(GE$4:GE402))</f>
        <v>0</v>
      </c>
      <c r="GG402" s="205" t="str">
        <f t="shared" si="737"/>
        <v/>
      </c>
      <c r="GH402" s="205">
        <f>IF($J402="",#N/A,SUM(GG$4:GG402))</f>
        <v>-2.9368362277223206</v>
      </c>
      <c r="GI402" s="205">
        <f>IF($J402="",#N/A,SUM(GG$4:GG402,GE$4:GE402,GC$4:GC402))</f>
        <v>-2.9368362277223206</v>
      </c>
      <c r="GJ402" s="200" t="str">
        <f t="shared" si="738"/>
        <v/>
      </c>
      <c r="GK402" s="203">
        <f>IF($J402="",#N/A,SUM(GJ$4:GJ402))</f>
        <v>0</v>
      </c>
      <c r="GL402" s="204" t="str">
        <f t="shared" si="739"/>
        <v/>
      </c>
      <c r="GM402" s="204">
        <f>IF($J402="",#N/A,SUM(GL$4:GL402))</f>
        <v>-2.0621307233432784</v>
      </c>
      <c r="GN402" s="205" t="str">
        <f t="shared" si="740"/>
        <v/>
      </c>
      <c r="GO402" s="205">
        <f>IF($J402="",#N/A,SUM(GN$4:GN402))</f>
        <v>0</v>
      </c>
      <c r="GP402" s="205">
        <f>IF($J402="",#N/A,SUM(GN$4:GN402,GL$4:GL402,GJ$4:GJ402))</f>
        <v>-2.0621307233432784</v>
      </c>
      <c r="GS402" s="54" t="str">
        <f t="shared" si="759"/>
        <v/>
      </c>
      <c r="GT402" s="54" t="e">
        <f>IF(GS402="",NA(),SUM($GS$4:GS402))</f>
        <v>#N/A</v>
      </c>
      <c r="GU402" s="54" t="str">
        <f t="shared" si="741"/>
        <v/>
      </c>
      <c r="GV402" s="54" t="e">
        <f>IF(GU402="",NA(),SUM($GU$4:GU402))</f>
        <v>#N/A</v>
      </c>
      <c r="GW402" s="54" t="str">
        <f t="shared" si="742"/>
        <v/>
      </c>
      <c r="GX402" s="54" t="e">
        <f>IF(GW402="",NA(),SUM($GW$4:GW402))</f>
        <v>#N/A</v>
      </c>
      <c r="GY402" s="54" t="str">
        <f t="shared" si="743"/>
        <v/>
      </c>
      <c r="GZ402" s="54" t="e">
        <f>IF(GY402="",NA(),SUM($GY$4:GY402))</f>
        <v>#N/A</v>
      </c>
      <c r="HA402" s="54">
        <f t="shared" si="744"/>
        <v>2.2299838796346041</v>
      </c>
      <c r="HB402" s="54">
        <f>IF(HA402="",NA(),SUM($HA$4:HA402))</f>
        <v>0.42771474423206013</v>
      </c>
      <c r="HC402" s="54">
        <f t="shared" si="745"/>
        <v>2.2299838796346041</v>
      </c>
      <c r="HD402" s="54">
        <f>IF(HC402="",NA(),SUM($HC$4:HC402))</f>
        <v>-0.86616890038057015</v>
      </c>
      <c r="HE402" s="54" t="str">
        <f t="shared" si="746"/>
        <v/>
      </c>
      <c r="HF402" s="54" t="e">
        <f>IF(HE402="",NA(),SUM($HE$4:HE402))</f>
        <v>#N/A</v>
      </c>
      <c r="HG402" s="54" t="str">
        <f t="shared" si="747"/>
        <v/>
      </c>
      <c r="HH402" s="54" t="e">
        <f>IF(HG402="",NA(),SUM($HG$4:HG402))</f>
        <v>#N/A</v>
      </c>
      <c r="HI402" s="172" t="str">
        <f t="shared" si="760"/>
        <v/>
      </c>
      <c r="HJ402" s="172">
        <f>IF($J402="",#N/A,SUM(HI$4:$HI402))</f>
        <v>-11.384655655360691</v>
      </c>
      <c r="HK402" s="54" t="str">
        <f t="shared" si="748"/>
        <v/>
      </c>
      <c r="HL402" s="54">
        <f>IF($J402="",#N/A,SUM($HK$4:HK402))</f>
        <v>7.7718073844558004</v>
      </c>
      <c r="HM402" s="54">
        <f t="shared" si="749"/>
        <v>0.33136306645172686</v>
      </c>
      <c r="HN402" s="54">
        <f>IF($J402="",#N/A,SUM($HM$4:HM402))</f>
        <v>1.0671238705763564</v>
      </c>
      <c r="HO402" s="54" t="str">
        <f t="shared" si="750"/>
        <v/>
      </c>
      <c r="HP402" s="54">
        <f>IF($J402="",#N/A,SUM($HO$4:HO402))</f>
        <v>0.22302726237104897</v>
      </c>
      <c r="HQ402" s="54" t="str">
        <f t="shared" si="751"/>
        <v/>
      </c>
      <c r="HR402" s="54">
        <f>IF($J402="",#N/A,SUM($HQ$4:HQ402))</f>
        <v>-14.997135100792645</v>
      </c>
      <c r="HS402" s="54" t="str">
        <f t="shared" si="752"/>
        <v/>
      </c>
      <c r="HT402" s="54">
        <f>IF($J402="",#N/A,SUM($HS$4:HS402))</f>
        <v>15.208964568886728</v>
      </c>
      <c r="HU402" s="65">
        <f t="shared" si="753"/>
        <v>2.561346946086331</v>
      </c>
      <c r="HV402" s="65">
        <f>IF($J402="",#N/A,SUM(HU$4:$HU402))</f>
        <v>12.089434740218987</v>
      </c>
    </row>
    <row r="403" spans="1:230" ht="15.75" thickBot="1" x14ac:dyDescent="0.3">
      <c r="A403" s="292" t="s">
        <v>1183</v>
      </c>
      <c r="B403" s="293" t="s">
        <v>5553</v>
      </c>
      <c r="C403" s="294">
        <f t="shared" si="654"/>
        <v>1</v>
      </c>
      <c r="D403" s="295" t="str">
        <f>_xlfn.XLOOKUP(A403,[1]SP500!$A$2:$A$502,[1]SP500!$D$2:$D$502,"N")</f>
        <v>Y</v>
      </c>
      <c r="E403" s="292" t="str">
        <f>IFERROR(_xlfn.XLOOKUP(A403,[1]SP500!$A$2:$A$655,[1]SP500!$B$2:$B$655),"")</f>
        <v>XLP</v>
      </c>
      <c r="F403" s="296">
        <v>45812</v>
      </c>
      <c r="G403" s="292" t="str">
        <f t="shared" si="655"/>
        <v>BMO</v>
      </c>
      <c r="H403" s="292" t="str">
        <f t="shared" si="656"/>
        <v>s</v>
      </c>
      <c r="I403" s="345">
        <v>96.72</v>
      </c>
      <c r="J403" s="297">
        <v>90.924999999999997</v>
      </c>
      <c r="K403" s="298">
        <f t="shared" si="657"/>
        <v>-5.9915219189412755E-2</v>
      </c>
      <c r="L403" s="299">
        <f t="shared" si="658"/>
        <v>-86.924999999999955</v>
      </c>
      <c r="M403" s="300">
        <f t="shared" si="659"/>
        <v>-10.725000000000136</v>
      </c>
      <c r="N403" s="341">
        <f t="shared" si="660"/>
        <v>-86.924999999999955</v>
      </c>
      <c r="O403" s="300">
        <f>IF(N403="",#N/A,SUM($N$4:N403))</f>
        <v>525.15107492035634</v>
      </c>
      <c r="P403" s="305">
        <f t="shared" si="754"/>
        <v>-0.99858698649021194</v>
      </c>
      <c r="Q403" s="304">
        <f>IF($N403="",#N/A,SUM($P$4:P403))</f>
        <v>13.697888879459725</v>
      </c>
      <c r="R403" s="307">
        <f t="shared" si="661"/>
        <v>3.0393224297133692</v>
      </c>
      <c r="S403" s="292" t="str">
        <f t="shared" si="662"/>
        <v>Up</v>
      </c>
      <c r="T403" s="292" t="s">
        <v>4461</v>
      </c>
      <c r="U403" s="308">
        <f t="shared" si="663"/>
        <v>96.72</v>
      </c>
      <c r="V403" s="308" t="s">
        <v>4460</v>
      </c>
      <c r="W403" s="310">
        <v>15</v>
      </c>
      <c r="X403" s="309">
        <f t="shared" si="664"/>
        <v>1450.8</v>
      </c>
      <c r="Y403" s="310">
        <f t="shared" si="665"/>
        <v>15</v>
      </c>
      <c r="Z403" s="311">
        <v>90.21</v>
      </c>
      <c r="AA403" s="341">
        <f t="shared" si="666"/>
        <v>-97.650000000000091</v>
      </c>
      <c r="AB403" s="341">
        <f t="shared" si="667"/>
        <v>-121.49999999999977</v>
      </c>
      <c r="AC403" s="297">
        <v>88.62</v>
      </c>
      <c r="AD403" s="301">
        <f t="shared" si="668"/>
        <v>-121.49999999999977</v>
      </c>
      <c r="AE403" s="546">
        <f t="shared" si="669"/>
        <v>-1.3957816377171193</v>
      </c>
      <c r="AF403" s="300">
        <f>IF($AC403="",#N/A,SUM(AD$4:AD403))</f>
        <v>560.21996410331485</v>
      </c>
      <c r="AG403" s="341">
        <f t="shared" si="670"/>
        <v>-34.574999999999818</v>
      </c>
      <c r="AH403" s="308" t="s">
        <v>2507</v>
      </c>
      <c r="AI403" s="305">
        <f t="shared" si="671"/>
        <v>-1.1217948717948729</v>
      </c>
      <c r="AJ403" s="418">
        <f>IF(AI403="",#N/A,SUM($AI$4:AI403))</f>
        <v>10.658566449746356</v>
      </c>
      <c r="AK403" s="308">
        <f t="shared" si="672"/>
        <v>-97.650000000000091</v>
      </c>
      <c r="AL403" s="406">
        <f>IF(AI403="",#N/A,IF(AH403="Skip",SUM($AK$4:AK403),SUM($AK$4:AK403)))</f>
        <v>395.59236927848156</v>
      </c>
      <c r="AM403" s="65">
        <f t="shared" si="755"/>
        <v>-1.3957816377171193</v>
      </c>
      <c r="AN403" s="209"/>
      <c r="AO403" s="65" t="str">
        <f t="shared" si="673"/>
        <v/>
      </c>
      <c r="AP403" s="65">
        <f>IF($AC403="",#N/A,SUM(AO$4:AO403))</f>
        <v>10.566693761270967</v>
      </c>
      <c r="AQ403" s="65">
        <f t="shared" si="674"/>
        <v>-1.3957816377171193</v>
      </c>
      <c r="AR403" s="65">
        <f>IF($AC403="",#N/A,SUM(AQ$4:AQ403))</f>
        <v>-6.9104470658593282</v>
      </c>
      <c r="AS403" s="65" t="str">
        <f t="shared" si="675"/>
        <v/>
      </c>
      <c r="AT403" s="65">
        <f>IF($AC403="",#N/A,SUM(AS$4:AS403))</f>
        <v>7.0374064070902227</v>
      </c>
      <c r="AU403" s="57" t="str">
        <f t="shared" si="756"/>
        <v/>
      </c>
      <c r="AV403" s="57">
        <f>IF($AC403="",#N/A,SUM(AU$4:AU403))</f>
        <v>555.99383890574654</v>
      </c>
      <c r="AW403" s="57">
        <f t="shared" si="757"/>
        <v>-121.49999999999977</v>
      </c>
      <c r="AX403" s="57">
        <f>IF($AC403="",#N/A,SUM(AW$4:AW403))</f>
        <v>-521.67106797961105</v>
      </c>
      <c r="AY403" s="57" t="str">
        <f t="shared" si="758"/>
        <v/>
      </c>
      <c r="AZ403" s="57">
        <f>IF($AC403="",#N/A,SUM(AY$4:AY403))</f>
        <v>525.89719317717925</v>
      </c>
      <c r="BA403" s="57">
        <f>IF(AD403="",#N/A,SUM($AD$4:AD403))</f>
        <v>560.21996410331485</v>
      </c>
      <c r="BC403" s="51" t="str">
        <f t="shared" si="676"/>
        <v/>
      </c>
      <c r="BD403" s="51" t="str">
        <f t="shared" si="677"/>
        <v/>
      </c>
      <c r="BE403" s="51" t="str">
        <f t="shared" si="678"/>
        <v/>
      </c>
      <c r="BF403" s="51" t="str">
        <f t="shared" si="679"/>
        <v>Long</v>
      </c>
      <c r="BG403" s="51" t="str">
        <f t="shared" si="680"/>
        <v/>
      </c>
      <c r="BH403" s="51">
        <f t="shared" si="681"/>
        <v>1</v>
      </c>
      <c r="BI403" s="51" t="str">
        <f t="shared" si="682"/>
        <v/>
      </c>
      <c r="BK403" s="65">
        <f t="shared" si="653"/>
        <v>-3.6470440255383603E-2</v>
      </c>
      <c r="BL403" s="65">
        <f t="shared" si="652"/>
        <v>7.7734198922332853E-2</v>
      </c>
      <c r="BM403" s="65">
        <f>IFERROR(Q403/COUNTA($J$4:J403),#N/A)</f>
        <v>3.4244722198649311E-2</v>
      </c>
      <c r="BO403" s="489" t="e">
        <f>IF(J403="",#N/A,IF(S403="SW",(COUNTIFS(K$4:$K403,"&gt;0",S$4:$S403,"SW")/COUNTIF(S$4:$S403,"SW")),#N/A))</f>
        <v>#N/A</v>
      </c>
      <c r="BP403" s="489" t="e">
        <f>IF($J403="",#N/A,IF($S403="DWN",(COUNTIFS($K$4:$K403,"&lt;0",$S$4:$S403,"DWN")/COUNTIF($S$4:$S403,"DWN")),#N/A))</f>
        <v>#N/A</v>
      </c>
      <c r="BQ403" s="489">
        <f>IF($J403="",#N/A,IF($S403="UP",(COUNTIFS($K$4:$K403,"&gt;0",$S$4:$S403,"UP")/COUNTIF($S$4:$S403,"UP")),#N/A))</f>
        <v>0.45454545454545453</v>
      </c>
      <c r="BR403" s="489">
        <f>IF(J403="",#N/A,COUNTIF($K$4:K403,"&gt;0")/COUNT($J$4:J403))</f>
        <v>0.47249999999999998</v>
      </c>
      <c r="BS403" s="65" t="str">
        <f t="shared" si="683"/>
        <v/>
      </c>
      <c r="BT403" s="65">
        <f t="shared" si="684"/>
        <v>-0.99858698649021194</v>
      </c>
      <c r="BU403" s="65" t="str">
        <f t="shared" si="685"/>
        <v/>
      </c>
      <c r="BV403" s="65" t="str">
        <f t="shared" si="686"/>
        <v/>
      </c>
      <c r="BW403" s="128">
        <f t="shared" si="687"/>
        <v>-86.924999999999955</v>
      </c>
      <c r="BX403" s="128">
        <f>IF($J403="",#N/A,SUM($BW$4:BW403))</f>
        <v>-614.94317034792948</v>
      </c>
      <c r="BY403" s="131" t="str">
        <f t="shared" si="688"/>
        <v/>
      </c>
      <c r="BZ403" s="131">
        <f>IF($J403="",#N/A,SUM($BY$4:BY403))</f>
        <v>549.90161346139416</v>
      </c>
      <c r="CA403" s="133" t="str">
        <f t="shared" si="689"/>
        <v/>
      </c>
      <c r="CB403" s="133">
        <f>IF($J403="",#N/A,SUM($CA$4:CA403))</f>
        <v>590.19263180689143</v>
      </c>
      <c r="CC403" s="194">
        <f t="shared" si="690"/>
        <v>-0.99858698649021194</v>
      </c>
      <c r="CD403" s="194">
        <f>IF($J403="",#N/A,SUM($CC$4:CC403))</f>
        <v>-7.8034035475798245</v>
      </c>
      <c r="CE403" s="195" t="str">
        <f t="shared" si="691"/>
        <v/>
      </c>
      <c r="CF403" s="195">
        <f>IF($J403="",#N/A,SUM($CE$4:CE403))</f>
        <v>10.650254677995123</v>
      </c>
      <c r="CG403" s="196" t="str">
        <f t="shared" si="692"/>
        <v/>
      </c>
      <c r="CH403" s="196">
        <f>IF($J403="",#N/A,SUM($CG$4:CG403))</f>
        <v>10.851037749044439</v>
      </c>
      <c r="CI403" s="200" t="str">
        <f t="shared" si="693"/>
        <v/>
      </c>
      <c r="CJ403" s="203">
        <f>IF($J403="",#N/A,SUM(CI$4:CI403))</f>
        <v>0</v>
      </c>
      <c r="CK403" s="204" t="str">
        <f t="shared" si="694"/>
        <v/>
      </c>
      <c r="CL403" s="204">
        <f>IF($J403="",#N/A,SUM(CK$4:CK403))</f>
        <v>2.0825010564889137</v>
      </c>
      <c r="CM403" s="205" t="str">
        <f t="shared" si="695"/>
        <v/>
      </c>
      <c r="CN403" s="205">
        <f>IF($J403="",#N/A,SUM(CM$4:CM403))</f>
        <v>0.50880222530512387</v>
      </c>
      <c r="CO403" s="205">
        <f>IF($J403="",#N/A,SUM(CM$4:CM403,CK$4:CK403,CI$4:CI403))</f>
        <v>2.5913032817940378</v>
      </c>
      <c r="CP403" s="200" t="str">
        <f t="shared" si="696"/>
        <v/>
      </c>
      <c r="CQ403" s="203">
        <f>IF($J403="",#N/A,SUM(CP$4:CP403))</f>
        <v>-3.993192333715871</v>
      </c>
      <c r="CR403" s="204" t="str">
        <f t="shared" si="697"/>
        <v/>
      </c>
      <c r="CS403" s="204">
        <f>IF($J403="",#N/A,SUM(CR$4:CR403))</f>
        <v>2.3600225017004668</v>
      </c>
      <c r="CT403" s="205" t="str">
        <f t="shared" si="698"/>
        <v/>
      </c>
      <c r="CU403" s="205">
        <f>IF($J403="",#N/A,SUM(CT$4:CT403))</f>
        <v>-6.9103738355622983</v>
      </c>
      <c r="CV403" s="205">
        <f>IF($J403="",#N/A,SUM(CT$4:CT403,CR$4:CR403,CP$4:CP403))</f>
        <v>-8.543543667577703</v>
      </c>
      <c r="CW403" s="200" t="str">
        <f t="shared" si="699"/>
        <v/>
      </c>
      <c r="CX403" s="203">
        <f>IF($J403="",#N/A,SUM(CW$4:CW403))</f>
        <v>-6.3374847922823907</v>
      </c>
      <c r="CY403" s="204" t="str">
        <f t="shared" si="700"/>
        <v/>
      </c>
      <c r="CZ403" s="204">
        <f>IF($J403="",#N/A,SUM(CY$4:CY403))</f>
        <v>-2.4332142608051761</v>
      </c>
      <c r="DA403" s="205" t="str">
        <f t="shared" si="701"/>
        <v/>
      </c>
      <c r="DB403" s="205">
        <f>IF($J403="",#N/A,SUM(DA$4:DA403))</f>
        <v>-1.3155870379734311</v>
      </c>
      <c r="DC403" s="205">
        <f>IF($J403="",#N/A,SUM(DA$4:DA403,CY$4:CY403,CW$4:CW403))</f>
        <v>-10.086286091061</v>
      </c>
      <c r="DD403" s="200">
        <f t="shared" si="702"/>
        <v>-0.99858698649021194</v>
      </c>
      <c r="DE403" s="203">
        <f>IF($J403="",#N/A,SUM(DD$4:DD403))</f>
        <v>2.1903002454447948</v>
      </c>
      <c r="DF403" s="204" t="str">
        <f t="shared" si="703"/>
        <v/>
      </c>
      <c r="DG403" s="204">
        <f>IF($J403="",#N/A,SUM(DF$4:DF403))</f>
        <v>3.7844462787298916</v>
      </c>
      <c r="DH403" s="205" t="str">
        <f t="shared" si="704"/>
        <v/>
      </c>
      <c r="DI403" s="205">
        <f>IF($J403="",#N/A,SUM(DH$4:DH403))</f>
        <v>-1.004058041816293</v>
      </c>
      <c r="DJ403" s="205">
        <f>IF($J403="",#N/A,SUM(DH$4:DH403,DF$4:DF403,DD$4:DD403))</f>
        <v>4.9706884823583941</v>
      </c>
      <c r="DK403" s="200" t="str">
        <f t="shared" si="705"/>
        <v/>
      </c>
      <c r="DL403" s="203">
        <f>IF($J403="",#N/A,SUM(DK$4:DK403))</f>
        <v>-0.84049791589649614</v>
      </c>
      <c r="DM403" s="204" t="str">
        <f t="shared" si="706"/>
        <v/>
      </c>
      <c r="DN403" s="204">
        <f>IF($J403="",#N/A,SUM(DM$4:DM403))</f>
        <v>1.8657648196498773</v>
      </c>
      <c r="DO403" s="205" t="str">
        <f t="shared" si="707"/>
        <v/>
      </c>
      <c r="DP403" s="205">
        <f>IF($J403="",#N/A,SUM(DO$4:DO403))</f>
        <v>3.4887162328793941</v>
      </c>
      <c r="DQ403" s="205">
        <f>IF($J403="",#N/A,SUM(DO$4:DO403,DM$4:DM403,DK$4:DK403))</f>
        <v>4.5139831366327758</v>
      </c>
      <c r="DR403" s="200" t="str">
        <f t="shared" si="708"/>
        <v/>
      </c>
      <c r="DS403" s="203">
        <f>IF($J403="",#N/A,SUM(DR$4:DR403))</f>
        <v>-0.55950946427675097</v>
      </c>
      <c r="DT403" s="204" t="str">
        <f t="shared" si="709"/>
        <v/>
      </c>
      <c r="DU403" s="204">
        <f>IF($J403="",#N/A,SUM(DT$4:DT403))</f>
        <v>-0.20750635820596686</v>
      </c>
      <c r="DV403" s="205" t="str">
        <f t="shared" si="710"/>
        <v/>
      </c>
      <c r="DW403" s="205">
        <f>IF($J403="",#N/A,SUM(DV$4:DV403))</f>
        <v>-2.3377035686214001</v>
      </c>
      <c r="DX403" s="205">
        <f>IF($J403="",#N/A,SUM(DV$4:DV403,DT$4:DT403,DR$4:DR403))</f>
        <v>-3.1047193911041169</v>
      </c>
      <c r="DY403" s="200" t="str">
        <f t="shared" si="711"/>
        <v/>
      </c>
      <c r="DZ403" s="203">
        <f>IF($J403="",#N/A,SUM(DY$4:DY403))</f>
        <v>0.8152996381137414</v>
      </c>
      <c r="EA403" s="204" t="str">
        <f t="shared" si="712"/>
        <v/>
      </c>
      <c r="EB403" s="204">
        <f>IF($J403="",#N/A,SUM(EA$4:EA403))</f>
        <v>4.3184391548878134</v>
      </c>
      <c r="EC403" s="205" t="str">
        <f t="shared" si="713"/>
        <v/>
      </c>
      <c r="ED403" s="205">
        <f>IF($J403="",#N/A,SUM(EC$4:EC403))</f>
        <v>8.4384553208490907</v>
      </c>
      <c r="EE403" s="205">
        <f>IF($J403="",#N/A,SUM(EC$4:EC403,EA$4:EA403,DY$4:DY403))</f>
        <v>13.572194113850648</v>
      </c>
      <c r="EF403" s="200" t="str">
        <f t="shared" si="714"/>
        <v/>
      </c>
      <c r="EG403" s="203">
        <f>IF($J403="",#N/A,SUM(EF$4:EF403))</f>
        <v>0.65848341369884777</v>
      </c>
      <c r="EH403" s="204" t="str">
        <f t="shared" si="715"/>
        <v/>
      </c>
      <c r="EI403" s="204">
        <f>IF($J403="",#N/A,SUM(EH$4:EH403))</f>
        <v>-3.5125331561187787</v>
      </c>
      <c r="EJ403" s="205" t="str">
        <f t="shared" si="716"/>
        <v/>
      </c>
      <c r="EK403" s="205">
        <f>IF($J403="",#N/A,SUM(EJ$4:EJ403))</f>
        <v>13.156552985368888</v>
      </c>
      <c r="EL403" s="205">
        <f>IF($J403="",#N/A,SUM(EJ$4:EJ403,EH$4:EH403,EF$4:EF403))</f>
        <v>10.30250324294896</v>
      </c>
      <c r="EM403" s="200" t="str">
        <f t="shared" si="717"/>
        <v/>
      </c>
      <c r="EN403" s="203">
        <f>IF($J403="",#N/A,SUM(EM$4:EM403))</f>
        <v>0</v>
      </c>
      <c r="EO403" s="204" t="str">
        <f t="shared" si="718"/>
        <v/>
      </c>
      <c r="EP403" s="204">
        <f>IF($J403="",#N/A,SUM(EO$4:EO403))</f>
        <v>2.4788862078089964</v>
      </c>
      <c r="EQ403" s="205" t="str">
        <f t="shared" si="719"/>
        <v/>
      </c>
      <c r="ER403" s="205">
        <f>IF($J403="",#N/A,SUM(EQ$4:EQ403))</f>
        <v>1.7856049065476487</v>
      </c>
      <c r="ES403" s="205">
        <f>IF($J403="",#N/A,SUM(EQ$4:EQ403,EO$4:EO403,EM$4:EM403))</f>
        <v>4.2644911143566446</v>
      </c>
      <c r="ET403" s="200" t="str">
        <f t="shared" si="720"/>
        <v/>
      </c>
      <c r="EU403" s="203">
        <f>IF($J403="",#N/A,SUM(ET$4:ET403))</f>
        <v>0</v>
      </c>
      <c r="EV403" s="204" t="str">
        <f t="shared" si="721"/>
        <v/>
      </c>
      <c r="EW403" s="204">
        <f>IF($J403="",#N/A,SUM(EV$4:EV403))</f>
        <v>7.9116394275462909E-2</v>
      </c>
      <c r="EX403" s="205" t="str">
        <f t="shared" si="722"/>
        <v/>
      </c>
      <c r="EY403" s="205">
        <f>IF($J403="",#N/A,SUM(EX$4:EX403))</f>
        <v>0.62848633887309935</v>
      </c>
      <c r="EZ403" s="205">
        <f>IF($J403="",#N/A,SUM(EX$4:EX403,EV$4:EV403,ET$4:ET403))</f>
        <v>0.70760273314856192</v>
      </c>
      <c r="FA403" s="200" t="str">
        <f t="shared" si="723"/>
        <v/>
      </c>
      <c r="FB403" s="203">
        <f>IF($J403="",#N/A,SUM(FA$4:FA403))</f>
        <v>-0.27145310509113252</v>
      </c>
      <c r="FC403" s="204" t="str">
        <f t="shared" si="724"/>
        <v/>
      </c>
      <c r="FD403" s="204">
        <f>IF($J403="",#N/A,SUM(FC$4:FC403))</f>
        <v>0.89084290967454072</v>
      </c>
      <c r="FE403" s="205" t="str">
        <f t="shared" si="725"/>
        <v/>
      </c>
      <c r="FF403" s="205">
        <f>IF($J403="",#N/A,SUM(FE$4:FE403))</f>
        <v>-0.28811149078748233</v>
      </c>
      <c r="FG403" s="205">
        <f>IF($J403="",#N/A,SUM(FE$4:FE403,FC$4:FC403,FA$4:FA403))</f>
        <v>0.3312783137959262</v>
      </c>
      <c r="FH403" s="200" t="str">
        <f t="shared" si="726"/>
        <v/>
      </c>
      <c r="FI403" s="203">
        <f>IF($J403="",#N/A,SUM(FH$4:FH403))</f>
        <v>0</v>
      </c>
      <c r="FJ403" s="204" t="str">
        <f t="shared" si="727"/>
        <v/>
      </c>
      <c r="FK403" s="204">
        <f>IF($J403="",#N/A,SUM(FJ$4:FJ403))</f>
        <v>0</v>
      </c>
      <c r="FL403" s="205" t="str">
        <f t="shared" si="728"/>
        <v/>
      </c>
      <c r="FM403" s="205">
        <f>IF($J403="",#N/A,SUM(FL$4:FL403))</f>
        <v>0</v>
      </c>
      <c r="FN403" s="205">
        <f>IF($J403="",#N/A,SUM(FL$4:FL403,FJ$4:FJ403,FH$4:FH403))</f>
        <v>0</v>
      </c>
      <c r="FO403" s="200" t="str">
        <f t="shared" si="729"/>
        <v/>
      </c>
      <c r="FP403" s="203">
        <f>IF($J403="",#N/A,SUM(FO$4:FO403))</f>
        <v>0</v>
      </c>
      <c r="FQ403" s="204" t="str">
        <f t="shared" si="730"/>
        <v/>
      </c>
      <c r="FR403" s="204">
        <f>IF($J403="",#N/A,SUM(FQ$4:FQ403))</f>
        <v>0</v>
      </c>
      <c r="FS403" s="205" t="str">
        <f t="shared" si="731"/>
        <v/>
      </c>
      <c r="FT403" s="205">
        <f>IF($J403="",#N/A,SUM(FS$4:FS403))</f>
        <v>0</v>
      </c>
      <c r="FU403" s="205">
        <f>IF($J403="",#N/A,SUM(FS$4:FS403,FQ$4:FQ403,FO$4:FO403))</f>
        <v>0</v>
      </c>
      <c r="FV403" s="200" t="str">
        <f t="shared" si="732"/>
        <v/>
      </c>
      <c r="FW403" s="203">
        <f>IF($J403="",#N/A,SUM(FV$4:FV403))</f>
        <v>6.6834991831277585E-2</v>
      </c>
      <c r="FX403" s="204" t="str">
        <f t="shared" si="733"/>
        <v/>
      </c>
      <c r="FY403" s="204">
        <f>IF($J403="",#N/A,SUM(FX$4:FX403))</f>
        <v>-0.16102012791805576</v>
      </c>
      <c r="FZ403" s="205" t="str">
        <f t="shared" si="734"/>
        <v/>
      </c>
      <c r="GA403" s="205">
        <f>IF($J403="",#N/A,SUM(FZ$4:FZ403))</f>
        <v>-0.69624339162892301</v>
      </c>
      <c r="GB403" s="205">
        <f>IF($J403="",#N/A,SUM(FZ$4:FZ403,FX$4:FX403,FV$4:FV403))</f>
        <v>-0.79042852771570116</v>
      </c>
      <c r="GC403" s="200" t="str">
        <f t="shared" si="735"/>
        <v/>
      </c>
      <c r="GD403" s="203">
        <f>IF($J403="",#N/A,SUM(GC$4:GC403))</f>
        <v>0</v>
      </c>
      <c r="GE403" s="204" t="str">
        <f t="shared" si="736"/>
        <v/>
      </c>
      <c r="GF403" s="204">
        <f>IF($J403="",#N/A,SUM(GE$4:GE403))</f>
        <v>0</v>
      </c>
      <c r="GG403" s="205" t="str">
        <f t="shared" si="737"/>
        <v/>
      </c>
      <c r="GH403" s="205">
        <f>IF($J403="",#N/A,SUM(GG$4:GG403))</f>
        <v>-2.9368362277223206</v>
      </c>
      <c r="GI403" s="205">
        <f>IF($J403="",#N/A,SUM(GG$4:GG403,GE$4:GE403,GC$4:GC403))</f>
        <v>-2.9368362277223206</v>
      </c>
      <c r="GJ403" s="200" t="str">
        <f t="shared" si="738"/>
        <v/>
      </c>
      <c r="GK403" s="203">
        <f>IF($J403="",#N/A,SUM(GJ$4:GJ403))</f>
        <v>0</v>
      </c>
      <c r="GL403" s="204" t="str">
        <f t="shared" si="739"/>
        <v/>
      </c>
      <c r="GM403" s="204">
        <f>IF($J403="",#N/A,SUM(GL$4:GL403))</f>
        <v>-2.0621307233432784</v>
      </c>
      <c r="GN403" s="205" t="str">
        <f t="shared" si="740"/>
        <v/>
      </c>
      <c r="GO403" s="205">
        <f>IF($J403="",#N/A,SUM(GN$4:GN403))</f>
        <v>0</v>
      </c>
      <c r="GP403" s="205">
        <f>IF($J403="",#N/A,SUM(GN$4:GN403,GL$4:GL403,GJ$4:GJ403))</f>
        <v>-2.0621307233432784</v>
      </c>
      <c r="GS403" s="54">
        <f t="shared" si="759"/>
        <v>-0.99858698649021194</v>
      </c>
      <c r="GT403" s="54">
        <f>IF(GS403="",NA(),SUM($GS$4:GS403))</f>
        <v>13.270174135227668</v>
      </c>
      <c r="GU403" s="54">
        <f t="shared" si="741"/>
        <v>-0.99858698649021194</v>
      </c>
      <c r="GV403" s="54">
        <f>IF(GU403="",NA(),SUM($GU$4:GU403))</f>
        <v>-6.9372346471992525</v>
      </c>
      <c r="GW403" s="54" t="str">
        <f t="shared" si="742"/>
        <v/>
      </c>
      <c r="GX403" s="54" t="e">
        <f>IF(GW403="",NA(),SUM($GW$4:GW403))</f>
        <v>#N/A</v>
      </c>
      <c r="GY403" s="54" t="str">
        <f t="shared" si="743"/>
        <v/>
      </c>
      <c r="GZ403" s="54" t="e">
        <f>IF(GY403="",NA(),SUM($GY$4:GY403))</f>
        <v>#N/A</v>
      </c>
      <c r="HA403" s="54" t="str">
        <f t="shared" si="744"/>
        <v/>
      </c>
      <c r="HB403" s="54" t="e">
        <f>IF(HA403="",NA(),SUM($HA$4:HA403))</f>
        <v>#N/A</v>
      </c>
      <c r="HC403" s="54" t="str">
        <f t="shared" si="745"/>
        <v/>
      </c>
      <c r="HD403" s="54" t="e">
        <f>IF(HC403="",NA(),SUM($HC$4:HC403))</f>
        <v>#N/A</v>
      </c>
      <c r="HE403" s="54" t="str">
        <f t="shared" si="746"/>
        <v/>
      </c>
      <c r="HF403" s="54" t="e">
        <f>IF(HE403="",NA(),SUM($HE$4:HE403))</f>
        <v>#N/A</v>
      </c>
      <c r="HG403" s="54" t="str">
        <f t="shared" si="747"/>
        <v/>
      </c>
      <c r="HH403" s="54" t="e">
        <f>IF(HG403="",NA(),SUM($HG$4:HG403))</f>
        <v>#N/A</v>
      </c>
      <c r="HI403" s="172" t="str">
        <f t="shared" si="760"/>
        <v/>
      </c>
      <c r="HJ403" s="172">
        <f>IF($J403="",#N/A,SUM(HI$4:$HI403))</f>
        <v>-11.384655655360691</v>
      </c>
      <c r="HK403" s="54" t="str">
        <f t="shared" si="748"/>
        <v/>
      </c>
      <c r="HL403" s="54">
        <f>IF($J403="",#N/A,SUM($HK$4:HK403))</f>
        <v>7.7718073844558004</v>
      </c>
      <c r="HM403" s="54" t="str">
        <f t="shared" si="749"/>
        <v/>
      </c>
      <c r="HN403" s="54">
        <f>IF($J403="",#N/A,SUM($HM$4:HM403))</f>
        <v>1.0671238705763564</v>
      </c>
      <c r="HO403" s="54">
        <f t="shared" si="750"/>
        <v>-0.39719465122690734</v>
      </c>
      <c r="HP403" s="54">
        <f>IF($J403="",#N/A,SUM($HO$4:HO403))</f>
        <v>-0.17416738885585836</v>
      </c>
      <c r="HQ403" s="54" t="str">
        <f t="shared" si="751"/>
        <v/>
      </c>
      <c r="HR403" s="54">
        <f>IF($J403="",#N/A,SUM($HQ$4:HQ403))</f>
        <v>-14.997135100792645</v>
      </c>
      <c r="HS403" s="54" t="str">
        <f t="shared" si="752"/>
        <v/>
      </c>
      <c r="HT403" s="54">
        <f>IF($J403="",#N/A,SUM($HS$4:HS403))</f>
        <v>15.208964568886728</v>
      </c>
      <c r="HU403" s="65">
        <f t="shared" si="753"/>
        <v>-1.3957816377171193</v>
      </c>
      <c r="HV403" s="65">
        <f>IF($J403="",#N/A,SUM(HU$4:$HU403))</f>
        <v>10.693653102501868</v>
      </c>
    </row>
    <row r="404" spans="1:230" x14ac:dyDescent="0.25">
      <c r="A404" s="59" t="s">
        <v>1222</v>
      </c>
      <c r="B404" s="289" t="s">
        <v>5554</v>
      </c>
      <c r="C404" s="230">
        <f t="shared" si="654"/>
        <v>2</v>
      </c>
      <c r="D404" s="220" t="str">
        <f>_xlfn.XLOOKUP(A404,[1]SP500!$A$2:$A$502,[1]SP500!$D$2:$D$502,"N")</f>
        <v>N</v>
      </c>
      <c r="E404" s="59" t="str">
        <f>IFERROR(_xlfn.XLOOKUP(A404,[1]SP500!$A$2:$A$655,[1]SP500!$B$2:$B$655),"")</f>
        <v>XLY</v>
      </c>
      <c r="F404" s="290">
        <v>45813</v>
      </c>
      <c r="G404" s="59" t="str">
        <f t="shared" si="655"/>
        <v>BMO</v>
      </c>
      <c r="H404" s="59" t="str">
        <f t="shared" si="656"/>
        <v>s</v>
      </c>
      <c r="I404" s="376">
        <v>20.47</v>
      </c>
      <c r="J404" s="125">
        <v>20.72</v>
      </c>
      <c r="K404" s="60">
        <f t="shared" si="657"/>
        <v>1.2212994626282366E-2</v>
      </c>
      <c r="L404" s="68">
        <f t="shared" si="658"/>
        <v>-16.5</v>
      </c>
      <c r="M404" s="62">
        <f t="shared" si="659"/>
        <v>0</v>
      </c>
      <c r="N404" s="63">
        <f t="shared" si="660"/>
        <v>-16.5</v>
      </c>
      <c r="O404" s="62">
        <f>IF(N404="",#N/A,SUM($N$4:N404))</f>
        <v>508.65107492035634</v>
      </c>
      <c r="P404" s="64">
        <f t="shared" si="754"/>
        <v>-0.20354991043803941</v>
      </c>
      <c r="Q404" s="183">
        <f>IF($N404="",#N/A,SUM($P$4:P404))</f>
        <v>13.494338969021685</v>
      </c>
      <c r="R404" s="279">
        <f t="shared" si="661"/>
        <v>3.0393224297133692</v>
      </c>
      <c r="S404" s="59" t="str">
        <f t="shared" si="662"/>
        <v>Dwn</v>
      </c>
      <c r="T404" s="59" t="s">
        <v>4461</v>
      </c>
      <c r="U404" s="61">
        <f t="shared" si="663"/>
        <v>20.47</v>
      </c>
      <c r="V404" s="61" t="s">
        <v>4458</v>
      </c>
      <c r="W404" s="142">
        <v>66</v>
      </c>
      <c r="X404" s="146">
        <f t="shared" si="664"/>
        <v>1351.02</v>
      </c>
      <c r="Y404" s="142">
        <f t="shared" si="665"/>
        <v>66</v>
      </c>
      <c r="Z404" s="143">
        <v>20.72</v>
      </c>
      <c r="AA404" s="63">
        <f t="shared" si="666"/>
        <v>-16.5</v>
      </c>
      <c r="AB404" s="63">
        <f t="shared" si="667"/>
        <v>-27.059999999999945</v>
      </c>
      <c r="AC404" s="125">
        <v>20.88</v>
      </c>
      <c r="AD404" s="148">
        <f t="shared" si="668"/>
        <v>-27.059999999999945</v>
      </c>
      <c r="AE404" s="544">
        <f t="shared" si="669"/>
        <v>-0.33382185311838397</v>
      </c>
      <c r="AF404" s="62">
        <f>IF($AC404="",#N/A,SUM(AD$4:AD404))</f>
        <v>533.15996410331491</v>
      </c>
      <c r="AG404" s="63">
        <f t="shared" si="670"/>
        <v>-10.559999999999945</v>
      </c>
      <c r="AH404" s="61" t="s">
        <v>2507</v>
      </c>
      <c r="AI404" s="64">
        <f t="shared" si="671"/>
        <v>-0.20354991043803941</v>
      </c>
      <c r="AJ404" s="420">
        <f>IF(AI404="",#N/A,SUM($AI$4:AI404))</f>
        <v>10.455016539308316</v>
      </c>
      <c r="AK404" s="61">
        <f t="shared" si="672"/>
        <v>-16.5</v>
      </c>
      <c r="AL404" s="421">
        <f>IF(AI404="",#N/A,IF(AH404="Skip",SUM($AK$4:AK404),SUM($AK$4:AK404)))</f>
        <v>379.09236927848156</v>
      </c>
      <c r="AM404" s="65">
        <f t="shared" si="755"/>
        <v>-0.33382185311838397</v>
      </c>
      <c r="AN404" s="209"/>
      <c r="AO404" s="65" t="str">
        <f t="shared" si="673"/>
        <v/>
      </c>
      <c r="AP404" s="65">
        <f>IF($AC404="",#N/A,SUM(AO$4:AO404))</f>
        <v>10.566693761270967</v>
      </c>
      <c r="AQ404" s="65" t="str">
        <f t="shared" si="674"/>
        <v/>
      </c>
      <c r="AR404" s="65">
        <f>IF($AC404="",#N/A,SUM(AQ$4:AQ404))</f>
        <v>-6.9104470658593282</v>
      </c>
      <c r="AS404" s="65">
        <f t="shared" si="675"/>
        <v>-0.33382185311838397</v>
      </c>
      <c r="AT404" s="65">
        <f>IF($AC404="",#N/A,SUM(AS$4:AS404))</f>
        <v>6.7035845539718384</v>
      </c>
      <c r="AU404" s="57" t="str">
        <f t="shared" si="756"/>
        <v/>
      </c>
      <c r="AV404" s="57">
        <f>IF($AC404="",#N/A,SUM(AU$4:AU404))</f>
        <v>555.99383890574654</v>
      </c>
      <c r="AW404" s="57" t="str">
        <f t="shared" si="757"/>
        <v/>
      </c>
      <c r="AX404" s="57">
        <f>IF($AC404="",#N/A,SUM(AW$4:AW404))</f>
        <v>-521.67106797961105</v>
      </c>
      <c r="AY404" s="57">
        <f t="shared" si="758"/>
        <v>-27.059999999999945</v>
      </c>
      <c r="AZ404" s="57">
        <f>IF($AC404="",#N/A,SUM(AY$4:AY404))</f>
        <v>498.8371931771793</v>
      </c>
      <c r="BA404" s="57">
        <f>IF(AD404="",#N/A,SUM($AD$4:AD404))</f>
        <v>533.15996410331491</v>
      </c>
      <c r="BC404" s="51" t="str">
        <f t="shared" si="676"/>
        <v/>
      </c>
      <c r="BD404" s="51">
        <f t="shared" si="677"/>
        <v>1</v>
      </c>
      <c r="BE404" s="51" t="str">
        <f t="shared" si="678"/>
        <v/>
      </c>
      <c r="BF404" s="51" t="str">
        <f t="shared" si="679"/>
        <v>Short</v>
      </c>
      <c r="BG404" s="51" t="str">
        <f t="shared" si="680"/>
        <v/>
      </c>
      <c r="BH404" s="51" t="str">
        <f t="shared" si="681"/>
        <v/>
      </c>
      <c r="BI404" s="51" t="str">
        <f t="shared" si="682"/>
        <v/>
      </c>
      <c r="BK404" s="65">
        <f t="shared" si="653"/>
        <v>-3.3957426471113335E-2</v>
      </c>
      <c r="BL404" s="65">
        <f t="shared" si="652"/>
        <v>0.11263415631934399</v>
      </c>
      <c r="BM404" s="65">
        <f>IFERROR(Q404/COUNTA($J$4:J404),#N/A)</f>
        <v>3.3651718127236122E-2</v>
      </c>
      <c r="BO404" s="489" t="e">
        <f>IF(J404="",#N/A,IF(S404="SW",(COUNTIFS(K$4:$K404,"&gt;0",S$4:$S404,"SW")/COUNTIF(S$4:$S404,"SW")),#N/A))</f>
        <v>#N/A</v>
      </c>
      <c r="BP404" s="489">
        <f>IF($J404="",#N/A,IF($S404="DWN",(COUNTIFS($K$4:$K404,"&lt;0",$S$4:$S404,"DWN")/COUNTIF($S$4:$S404,"DWN")),#N/A))</f>
        <v>0.55214723926380371</v>
      </c>
      <c r="BQ404" s="489" t="e">
        <f>IF($J404="",#N/A,IF($S404="UP",(COUNTIFS($K$4:$K404,"&gt;0",$S$4:$S404,"UP")/COUNTIF($S$4:$S404,"UP")),#N/A))</f>
        <v>#N/A</v>
      </c>
      <c r="BR404" s="489">
        <f>IF(J404="",#N/A,COUNTIF($K$4:K404,"&gt;0")/COUNT($J$4:J404))</f>
        <v>0.47381546134663344</v>
      </c>
      <c r="BS404" s="65" t="str">
        <f t="shared" si="683"/>
        <v/>
      </c>
      <c r="BT404" s="65" t="str">
        <f t="shared" si="684"/>
        <v/>
      </c>
      <c r="BU404" s="65" t="str">
        <f t="shared" si="685"/>
        <v/>
      </c>
      <c r="BV404" s="65">
        <f t="shared" si="686"/>
        <v>-0.20354991043803941</v>
      </c>
      <c r="BW404" s="128" t="str">
        <f t="shared" si="687"/>
        <v/>
      </c>
      <c r="BX404" s="128">
        <f>IF($J404="",#N/A,SUM($BW$4:BW404))</f>
        <v>-614.94317034792948</v>
      </c>
      <c r="BY404" s="131">
        <f t="shared" si="688"/>
        <v>-16.5</v>
      </c>
      <c r="BZ404" s="131">
        <f>IF($J404="",#N/A,SUM($BY$4:BY404))</f>
        <v>533.40161346139416</v>
      </c>
      <c r="CA404" s="133" t="str">
        <f t="shared" si="689"/>
        <v/>
      </c>
      <c r="CB404" s="133">
        <f>IF($J404="",#N/A,SUM($CA$4:CA404))</f>
        <v>590.19263180689143</v>
      </c>
      <c r="CC404" s="194" t="str">
        <f t="shared" si="690"/>
        <v/>
      </c>
      <c r="CD404" s="194">
        <f>IF($J404="",#N/A,SUM($CC$4:CC404))</f>
        <v>-7.8034035475798245</v>
      </c>
      <c r="CE404" s="195">
        <f t="shared" si="691"/>
        <v>-0.20354991043803941</v>
      </c>
      <c r="CF404" s="195">
        <f>IF($J404="",#N/A,SUM($CE$4:CE404))</f>
        <v>10.446704767557083</v>
      </c>
      <c r="CG404" s="196" t="str">
        <f t="shared" si="692"/>
        <v/>
      </c>
      <c r="CH404" s="196">
        <f>IF($J404="",#N/A,SUM($CG$4:CG404))</f>
        <v>10.851037749044439</v>
      </c>
      <c r="CI404" s="200" t="str">
        <f t="shared" si="693"/>
        <v/>
      </c>
      <c r="CJ404" s="203">
        <f>IF($J404="",#N/A,SUM(CI$4:CI404))</f>
        <v>0</v>
      </c>
      <c r="CK404" s="204" t="str">
        <f t="shared" si="694"/>
        <v/>
      </c>
      <c r="CL404" s="204">
        <f>IF($J404="",#N/A,SUM(CK$4:CK404))</f>
        <v>2.0825010564889137</v>
      </c>
      <c r="CM404" s="205" t="str">
        <f t="shared" si="695"/>
        <v/>
      </c>
      <c r="CN404" s="205">
        <f>IF($J404="",#N/A,SUM(CM$4:CM404))</f>
        <v>0.50880222530512387</v>
      </c>
      <c r="CO404" s="205">
        <f>IF($J404="",#N/A,SUM(CM$4:CM404,CK$4:CK404,CI$4:CI404))</f>
        <v>2.5913032817940378</v>
      </c>
      <c r="CP404" s="200" t="str">
        <f t="shared" si="696"/>
        <v/>
      </c>
      <c r="CQ404" s="203">
        <f>IF($J404="",#N/A,SUM(CP$4:CP404))</f>
        <v>-3.993192333715871</v>
      </c>
      <c r="CR404" s="204" t="str">
        <f t="shared" si="697"/>
        <v/>
      </c>
      <c r="CS404" s="204">
        <f>IF($J404="",#N/A,SUM(CR$4:CR404))</f>
        <v>2.3600225017004668</v>
      </c>
      <c r="CT404" s="205" t="str">
        <f t="shared" si="698"/>
        <v/>
      </c>
      <c r="CU404" s="205">
        <f>IF($J404="",#N/A,SUM(CT$4:CT404))</f>
        <v>-6.9103738355622983</v>
      </c>
      <c r="CV404" s="205">
        <f>IF($J404="",#N/A,SUM(CT$4:CT404,CR$4:CR404,CP$4:CP404))</f>
        <v>-8.543543667577703</v>
      </c>
      <c r="CW404" s="200" t="str">
        <f t="shared" si="699"/>
        <v/>
      </c>
      <c r="CX404" s="203">
        <f>IF($J404="",#N/A,SUM(CW$4:CW404))</f>
        <v>-6.3374847922823907</v>
      </c>
      <c r="CY404" s="204">
        <f t="shared" si="700"/>
        <v>-0.20354991043803941</v>
      </c>
      <c r="CZ404" s="204">
        <f>IF($J404="",#N/A,SUM(CY$4:CY404))</f>
        <v>-2.6367641712432155</v>
      </c>
      <c r="DA404" s="205" t="str">
        <f t="shared" si="701"/>
        <v/>
      </c>
      <c r="DB404" s="205">
        <f>IF($J404="",#N/A,SUM(DA$4:DA404))</f>
        <v>-1.3155870379734311</v>
      </c>
      <c r="DC404" s="205">
        <f>IF($J404="",#N/A,SUM(DA$4:DA404,CY$4:CY404,CW$4:CW404))</f>
        <v>-10.289836001499038</v>
      </c>
      <c r="DD404" s="200" t="str">
        <f t="shared" si="702"/>
        <v/>
      </c>
      <c r="DE404" s="203">
        <f>IF($J404="",#N/A,SUM(DD$4:DD404))</f>
        <v>2.1903002454447948</v>
      </c>
      <c r="DF404" s="204" t="str">
        <f t="shared" si="703"/>
        <v/>
      </c>
      <c r="DG404" s="204">
        <f>IF($J404="",#N/A,SUM(DF$4:DF404))</f>
        <v>3.7844462787298916</v>
      </c>
      <c r="DH404" s="205" t="str">
        <f t="shared" si="704"/>
        <v/>
      </c>
      <c r="DI404" s="205">
        <f>IF($J404="",#N/A,SUM(DH$4:DH404))</f>
        <v>-1.004058041816293</v>
      </c>
      <c r="DJ404" s="205">
        <f>IF($J404="",#N/A,SUM(DH$4:DH404,DF$4:DF404,DD$4:DD404))</f>
        <v>4.9706884823583941</v>
      </c>
      <c r="DK404" s="200" t="str">
        <f t="shared" si="705"/>
        <v/>
      </c>
      <c r="DL404" s="203">
        <f>IF($J404="",#N/A,SUM(DK$4:DK404))</f>
        <v>-0.84049791589649614</v>
      </c>
      <c r="DM404" s="204" t="str">
        <f t="shared" si="706"/>
        <v/>
      </c>
      <c r="DN404" s="204">
        <f>IF($J404="",#N/A,SUM(DM$4:DM404))</f>
        <v>1.8657648196498773</v>
      </c>
      <c r="DO404" s="205" t="str">
        <f t="shared" si="707"/>
        <v/>
      </c>
      <c r="DP404" s="205">
        <f>IF($J404="",#N/A,SUM(DO$4:DO404))</f>
        <v>3.4887162328793941</v>
      </c>
      <c r="DQ404" s="205">
        <f>IF($J404="",#N/A,SUM(DO$4:DO404,DM$4:DM404,DK$4:DK404))</f>
        <v>4.5139831366327758</v>
      </c>
      <c r="DR404" s="200" t="str">
        <f t="shared" si="708"/>
        <v/>
      </c>
      <c r="DS404" s="203">
        <f>IF($J404="",#N/A,SUM(DR$4:DR404))</f>
        <v>-0.55950946427675097</v>
      </c>
      <c r="DT404" s="204" t="str">
        <f t="shared" si="709"/>
        <v/>
      </c>
      <c r="DU404" s="204">
        <f>IF($J404="",#N/A,SUM(DT$4:DT404))</f>
        <v>-0.20750635820596686</v>
      </c>
      <c r="DV404" s="205" t="str">
        <f t="shared" si="710"/>
        <v/>
      </c>
      <c r="DW404" s="205">
        <f>IF($J404="",#N/A,SUM(DV$4:DV404))</f>
        <v>-2.3377035686214001</v>
      </c>
      <c r="DX404" s="205">
        <f>IF($J404="",#N/A,SUM(DV$4:DV404,DT$4:DT404,DR$4:DR404))</f>
        <v>-3.1047193911041169</v>
      </c>
      <c r="DY404" s="200" t="str">
        <f t="shared" si="711"/>
        <v/>
      </c>
      <c r="DZ404" s="203">
        <f>IF($J404="",#N/A,SUM(DY$4:DY404))</f>
        <v>0.8152996381137414</v>
      </c>
      <c r="EA404" s="204" t="str">
        <f t="shared" si="712"/>
        <v/>
      </c>
      <c r="EB404" s="204">
        <f>IF($J404="",#N/A,SUM(EA$4:EA404))</f>
        <v>4.3184391548878134</v>
      </c>
      <c r="EC404" s="205" t="str">
        <f t="shared" si="713"/>
        <v/>
      </c>
      <c r="ED404" s="205">
        <f>IF($J404="",#N/A,SUM(EC$4:EC404))</f>
        <v>8.4384553208490907</v>
      </c>
      <c r="EE404" s="205">
        <f>IF($J404="",#N/A,SUM(EC$4:EC404,EA$4:EA404,DY$4:DY404))</f>
        <v>13.572194113850648</v>
      </c>
      <c r="EF404" s="200" t="str">
        <f t="shared" si="714"/>
        <v/>
      </c>
      <c r="EG404" s="203">
        <f>IF($J404="",#N/A,SUM(EF$4:EF404))</f>
        <v>0.65848341369884777</v>
      </c>
      <c r="EH404" s="204" t="str">
        <f t="shared" si="715"/>
        <v/>
      </c>
      <c r="EI404" s="204">
        <f>IF($J404="",#N/A,SUM(EH$4:EH404))</f>
        <v>-3.5125331561187787</v>
      </c>
      <c r="EJ404" s="205" t="str">
        <f t="shared" si="716"/>
        <v/>
      </c>
      <c r="EK404" s="205">
        <f>IF($J404="",#N/A,SUM(EJ$4:EJ404))</f>
        <v>13.156552985368888</v>
      </c>
      <c r="EL404" s="205">
        <f>IF($J404="",#N/A,SUM(EJ$4:EJ404,EH$4:EH404,EF$4:EF404))</f>
        <v>10.30250324294896</v>
      </c>
      <c r="EM404" s="200" t="str">
        <f t="shared" si="717"/>
        <v/>
      </c>
      <c r="EN404" s="203">
        <f>IF($J404="",#N/A,SUM(EM$4:EM404))</f>
        <v>0</v>
      </c>
      <c r="EO404" s="204" t="str">
        <f t="shared" si="718"/>
        <v/>
      </c>
      <c r="EP404" s="204">
        <f>IF($J404="",#N/A,SUM(EO$4:EO404))</f>
        <v>2.4788862078089964</v>
      </c>
      <c r="EQ404" s="205" t="str">
        <f t="shared" si="719"/>
        <v/>
      </c>
      <c r="ER404" s="205">
        <f>IF($J404="",#N/A,SUM(EQ$4:EQ404))</f>
        <v>1.7856049065476487</v>
      </c>
      <c r="ES404" s="205">
        <f>IF($J404="",#N/A,SUM(EQ$4:EQ404,EO$4:EO404,EM$4:EM404))</f>
        <v>4.2644911143566446</v>
      </c>
      <c r="ET404" s="200" t="str">
        <f t="shared" si="720"/>
        <v/>
      </c>
      <c r="EU404" s="203">
        <f>IF($J404="",#N/A,SUM(ET$4:ET404))</f>
        <v>0</v>
      </c>
      <c r="EV404" s="204" t="str">
        <f t="shared" si="721"/>
        <v/>
      </c>
      <c r="EW404" s="204">
        <f>IF($J404="",#N/A,SUM(EV$4:EV404))</f>
        <v>7.9116394275462909E-2</v>
      </c>
      <c r="EX404" s="205" t="str">
        <f t="shared" si="722"/>
        <v/>
      </c>
      <c r="EY404" s="205">
        <f>IF($J404="",#N/A,SUM(EX$4:EX404))</f>
        <v>0.62848633887309935</v>
      </c>
      <c r="EZ404" s="205">
        <f>IF($J404="",#N/A,SUM(EX$4:EX404,EV$4:EV404,ET$4:ET404))</f>
        <v>0.70760273314856192</v>
      </c>
      <c r="FA404" s="200" t="str">
        <f t="shared" si="723"/>
        <v/>
      </c>
      <c r="FB404" s="203">
        <f>IF($J404="",#N/A,SUM(FA$4:FA404))</f>
        <v>-0.27145310509113252</v>
      </c>
      <c r="FC404" s="204" t="str">
        <f t="shared" si="724"/>
        <v/>
      </c>
      <c r="FD404" s="204">
        <f>IF($J404="",#N/A,SUM(FC$4:FC404))</f>
        <v>0.89084290967454072</v>
      </c>
      <c r="FE404" s="205" t="str">
        <f t="shared" si="725"/>
        <v/>
      </c>
      <c r="FF404" s="205">
        <f>IF($J404="",#N/A,SUM(FE$4:FE404))</f>
        <v>-0.28811149078748233</v>
      </c>
      <c r="FG404" s="205">
        <f>IF($J404="",#N/A,SUM(FE$4:FE404,FC$4:FC404,FA$4:FA404))</f>
        <v>0.3312783137959262</v>
      </c>
      <c r="FH404" s="200" t="str">
        <f t="shared" si="726"/>
        <v/>
      </c>
      <c r="FI404" s="203">
        <f>IF($J404="",#N/A,SUM(FH$4:FH404))</f>
        <v>0</v>
      </c>
      <c r="FJ404" s="204" t="str">
        <f t="shared" si="727"/>
        <v/>
      </c>
      <c r="FK404" s="204">
        <f>IF($J404="",#N/A,SUM(FJ$4:FJ404))</f>
        <v>0</v>
      </c>
      <c r="FL404" s="205" t="str">
        <f t="shared" si="728"/>
        <v/>
      </c>
      <c r="FM404" s="205">
        <f>IF($J404="",#N/A,SUM(FL$4:FL404))</f>
        <v>0</v>
      </c>
      <c r="FN404" s="205">
        <f>IF($J404="",#N/A,SUM(FL$4:FL404,FJ$4:FJ404,FH$4:FH404))</f>
        <v>0</v>
      </c>
      <c r="FO404" s="200" t="str">
        <f t="shared" si="729"/>
        <v/>
      </c>
      <c r="FP404" s="203">
        <f>IF($J404="",#N/A,SUM(FO$4:FO404))</f>
        <v>0</v>
      </c>
      <c r="FQ404" s="204" t="str">
        <f t="shared" si="730"/>
        <v/>
      </c>
      <c r="FR404" s="204">
        <f>IF($J404="",#N/A,SUM(FQ$4:FQ404))</f>
        <v>0</v>
      </c>
      <c r="FS404" s="205" t="str">
        <f t="shared" si="731"/>
        <v/>
      </c>
      <c r="FT404" s="205">
        <f>IF($J404="",#N/A,SUM(FS$4:FS404))</f>
        <v>0</v>
      </c>
      <c r="FU404" s="205">
        <f>IF($J404="",#N/A,SUM(FS$4:FS404,FQ$4:FQ404,FO$4:FO404))</f>
        <v>0</v>
      </c>
      <c r="FV404" s="200" t="str">
        <f t="shared" si="732"/>
        <v/>
      </c>
      <c r="FW404" s="203">
        <f>IF($J404="",#N/A,SUM(FV$4:FV404))</f>
        <v>6.6834991831277585E-2</v>
      </c>
      <c r="FX404" s="204" t="str">
        <f t="shared" si="733"/>
        <v/>
      </c>
      <c r="FY404" s="204">
        <f>IF($J404="",#N/A,SUM(FX$4:FX404))</f>
        <v>-0.16102012791805576</v>
      </c>
      <c r="FZ404" s="205" t="str">
        <f t="shared" si="734"/>
        <v/>
      </c>
      <c r="GA404" s="205">
        <f>IF($J404="",#N/A,SUM(FZ$4:FZ404))</f>
        <v>-0.69624339162892301</v>
      </c>
      <c r="GB404" s="205">
        <f>IF($J404="",#N/A,SUM(FZ$4:FZ404,FX$4:FX404,FV$4:FV404))</f>
        <v>-0.79042852771570116</v>
      </c>
      <c r="GC404" s="200" t="str">
        <f t="shared" si="735"/>
        <v/>
      </c>
      <c r="GD404" s="203">
        <f>IF($J404="",#N/A,SUM(GC$4:GC404))</f>
        <v>0</v>
      </c>
      <c r="GE404" s="204" t="str">
        <f t="shared" si="736"/>
        <v/>
      </c>
      <c r="GF404" s="204">
        <f>IF($J404="",#N/A,SUM(GE$4:GE404))</f>
        <v>0</v>
      </c>
      <c r="GG404" s="205" t="str">
        <f t="shared" si="737"/>
        <v/>
      </c>
      <c r="GH404" s="205">
        <f>IF($J404="",#N/A,SUM(GG$4:GG404))</f>
        <v>-2.9368362277223206</v>
      </c>
      <c r="GI404" s="205">
        <f>IF($J404="",#N/A,SUM(GG$4:GG404,GE$4:GE404,GC$4:GC404))</f>
        <v>-2.9368362277223206</v>
      </c>
      <c r="GJ404" s="200" t="str">
        <f t="shared" si="738"/>
        <v/>
      </c>
      <c r="GK404" s="203">
        <f>IF($J404="",#N/A,SUM(GJ$4:GJ404))</f>
        <v>0</v>
      </c>
      <c r="GL404" s="204" t="str">
        <f t="shared" si="739"/>
        <v/>
      </c>
      <c r="GM404" s="204">
        <f>IF($J404="",#N/A,SUM(GL$4:GL404))</f>
        <v>-2.0621307233432784</v>
      </c>
      <c r="GN404" s="205" t="str">
        <f t="shared" si="740"/>
        <v/>
      </c>
      <c r="GO404" s="205">
        <f>IF($J404="",#N/A,SUM(GN$4:GN404))</f>
        <v>0</v>
      </c>
      <c r="GP404" s="205">
        <f>IF($J404="",#N/A,SUM(GN$4:GN404,GL$4:GL404,GJ$4:GJ404))</f>
        <v>-2.0621307233432784</v>
      </c>
      <c r="GS404" s="54" t="str">
        <f t="shared" si="759"/>
        <v/>
      </c>
      <c r="GT404" s="54" t="e">
        <f>IF(GS404="",NA(),SUM($GS$4:GS404))</f>
        <v>#N/A</v>
      </c>
      <c r="GU404" s="54" t="str">
        <f t="shared" si="741"/>
        <v/>
      </c>
      <c r="GV404" s="54" t="e">
        <f>IF(GU404="",NA(),SUM($GU$4:GU404))</f>
        <v>#N/A</v>
      </c>
      <c r="GW404" s="54" t="str">
        <f t="shared" si="742"/>
        <v/>
      </c>
      <c r="GX404" s="54" t="e">
        <f>IF(GW404="",NA(),SUM($GW$4:GW404))</f>
        <v>#N/A</v>
      </c>
      <c r="GY404" s="54" t="str">
        <f t="shared" si="743"/>
        <v/>
      </c>
      <c r="GZ404" s="54" t="e">
        <f>IF(GY404="",NA(),SUM($GY$4:GY404))</f>
        <v>#N/A</v>
      </c>
      <c r="HA404" s="54">
        <f t="shared" si="744"/>
        <v>-0.20354991043803941</v>
      </c>
      <c r="HB404" s="54">
        <f>IF(HA404="",NA(),SUM($HA$4:HA404))</f>
        <v>0.22416483379402072</v>
      </c>
      <c r="HC404" s="54" t="str">
        <f t="shared" si="745"/>
        <v/>
      </c>
      <c r="HD404" s="54" t="e">
        <f>IF(HC404="",NA(),SUM($HC$4:HC404))</f>
        <v>#N/A</v>
      </c>
      <c r="HE404" s="54" t="str">
        <f t="shared" si="746"/>
        <v/>
      </c>
      <c r="HF404" s="54" t="e">
        <f>IF(HE404="",NA(),SUM($HE$4:HE404))</f>
        <v>#N/A</v>
      </c>
      <c r="HG404" s="54">
        <f t="shared" si="747"/>
        <v>-0.20354991043803941</v>
      </c>
      <c r="HH404" s="54">
        <f>IF(HG404="",NA(),SUM($HG$4:HG404))</f>
        <v>9.0095621729855163E-2</v>
      </c>
      <c r="HI404" s="172" t="str">
        <f t="shared" si="760"/>
        <v/>
      </c>
      <c r="HJ404" s="172">
        <f>IF($J404="",#N/A,SUM(HI$4:$HI404))</f>
        <v>-11.384655655360691</v>
      </c>
      <c r="HK404" s="54">
        <f t="shared" si="748"/>
        <v>-0.13027194268034456</v>
      </c>
      <c r="HL404" s="54">
        <f>IF($J404="",#N/A,SUM($HK$4:HK404))</f>
        <v>7.6415354417754555</v>
      </c>
      <c r="HM404" s="54" t="str">
        <f t="shared" si="749"/>
        <v/>
      </c>
      <c r="HN404" s="54">
        <f>IF($J404="",#N/A,SUM($HM$4:HM404))</f>
        <v>1.0671238705763564</v>
      </c>
      <c r="HO404" s="54" t="str">
        <f t="shared" si="750"/>
        <v/>
      </c>
      <c r="HP404" s="54">
        <f>IF($J404="",#N/A,SUM($HO$4:HO404))</f>
        <v>-0.17416738885585836</v>
      </c>
      <c r="HQ404" s="54" t="str">
        <f t="shared" si="751"/>
        <v/>
      </c>
      <c r="HR404" s="54">
        <f>IF($J404="",#N/A,SUM($HQ$4:HQ404))</f>
        <v>-14.997135100792645</v>
      </c>
      <c r="HS404" s="54" t="str">
        <f t="shared" si="752"/>
        <v/>
      </c>
      <c r="HT404" s="54">
        <f>IF($J404="",#N/A,SUM($HS$4:HS404))</f>
        <v>15.208964568886728</v>
      </c>
      <c r="HU404" s="65">
        <f t="shared" si="753"/>
        <v>-0.33382185311838397</v>
      </c>
      <c r="HV404" s="65">
        <f>IF($J404="",#N/A,SUM(HU$4:$HU404))</f>
        <v>10.359831249383484</v>
      </c>
    </row>
    <row r="405" spans="1:230" x14ac:dyDescent="0.25">
      <c r="A405" s="427" t="s">
        <v>1255</v>
      </c>
      <c r="B405" s="428" t="s">
        <v>5554</v>
      </c>
      <c r="C405" s="429">
        <f t="shared" si="654"/>
        <v>3</v>
      </c>
      <c r="D405" s="430" t="str">
        <f>_xlfn.XLOOKUP(A405,[1]SP500!$A$2:$A$502,[1]SP500!$D$2:$D$502,"N")</f>
        <v>N</v>
      </c>
      <c r="E405" s="427" t="str">
        <f>IFERROR(_xlfn.XLOOKUP(A405,[1]SP500!$A$2:$A$655,[1]SP500!$B$2:$B$655),"")</f>
        <v>XLK</v>
      </c>
      <c r="F405" s="431">
        <v>45813</v>
      </c>
      <c r="G405" s="427" t="str">
        <f t="shared" si="655"/>
        <v>BMO</v>
      </c>
      <c r="H405" s="427" t="str">
        <f t="shared" si="656"/>
        <v>s</v>
      </c>
      <c r="I405" s="461">
        <v>83.89</v>
      </c>
      <c r="J405" s="432">
        <v>76.86</v>
      </c>
      <c r="K405" s="433">
        <f t="shared" si="657"/>
        <v>-8.3800214566694495E-2</v>
      </c>
      <c r="L405" s="434">
        <f t="shared" si="658"/>
        <v>-112.48000000000002</v>
      </c>
      <c r="M405" s="435">
        <f t="shared" si="659"/>
        <v>25.279999999999973</v>
      </c>
      <c r="N405" s="437">
        <f t="shared" si="660"/>
        <v>-112.48000000000002</v>
      </c>
      <c r="O405" s="435">
        <f>IF(N405="",#N/A,SUM($N$4:N405))</f>
        <v>396.17107492035632</v>
      </c>
      <c r="P405" s="436">
        <f t="shared" si="754"/>
        <v>-1.3966702427782418</v>
      </c>
      <c r="Q405" s="440">
        <f>IF($N405="",#N/A,SUM($P$4:P405))</f>
        <v>12.097668726243443</v>
      </c>
      <c r="R405" s="441">
        <f t="shared" si="661"/>
        <v>2.7254193026024698</v>
      </c>
      <c r="S405" s="427" t="str">
        <f t="shared" si="662"/>
        <v>SW</v>
      </c>
      <c r="T405" s="427" t="s">
        <v>2828</v>
      </c>
      <c r="U405" s="442">
        <f t="shared" si="663"/>
        <v>83.89</v>
      </c>
      <c r="V405" s="442" t="s">
        <v>4460</v>
      </c>
      <c r="W405" s="444">
        <v>16</v>
      </c>
      <c r="X405" s="443">
        <f t="shared" si="664"/>
        <v>1342.24</v>
      </c>
      <c r="Y405" s="444">
        <f t="shared" si="665"/>
        <v>16</v>
      </c>
      <c r="Z405" s="445">
        <v>78.44</v>
      </c>
      <c r="AA405" s="437">
        <f t="shared" si="666"/>
        <v>-87.200000000000045</v>
      </c>
      <c r="AB405" s="437">
        <f t="shared" si="667"/>
        <v>-173.44000000000005</v>
      </c>
      <c r="AC405" s="432">
        <v>73.05</v>
      </c>
      <c r="AD405" s="438">
        <f t="shared" si="668"/>
        <v>-173.44000000000005</v>
      </c>
      <c r="AE405" s="547">
        <f t="shared" si="669"/>
        <v>-2.1536138594190817</v>
      </c>
      <c r="AF405" s="435">
        <f>IF($AC405="",#N/A,SUM(AD$4:AD405))</f>
        <v>359.71996410331485</v>
      </c>
      <c r="AG405" s="437">
        <f t="shared" si="670"/>
        <v>-60.960000000000036</v>
      </c>
      <c r="AH405" s="442" t="s">
        <v>2507</v>
      </c>
      <c r="AI405" s="436">
        <f t="shared" si="671"/>
        <v>-1.0827671156673428</v>
      </c>
      <c r="AJ405" s="446">
        <f>IF(AI405="",#N/A,SUM($AI$4:AI405))</f>
        <v>9.372249423640973</v>
      </c>
      <c r="AK405" s="442">
        <f t="shared" si="672"/>
        <v>-87.200000000000045</v>
      </c>
      <c r="AL405" s="447">
        <f>IF(AI405="",#N/A,IF(AH405="Skip",SUM($AK$4:AK405),SUM($AK$4:AK405)))</f>
        <v>291.89236927848151</v>
      </c>
      <c r="AM405" s="65">
        <f t="shared" si="755"/>
        <v>-2.1536138594190817</v>
      </c>
      <c r="AN405" s="209"/>
      <c r="AO405" s="65">
        <f t="shared" si="673"/>
        <v>-2.1536138594190817</v>
      </c>
      <c r="AP405" s="65">
        <f>IF($AC405="",#N/A,SUM(AO$4:AO405))</f>
        <v>8.4130799018518854</v>
      </c>
      <c r="AQ405" s="65" t="str">
        <f t="shared" si="674"/>
        <v/>
      </c>
      <c r="AR405" s="65">
        <f>IF($AC405="",#N/A,SUM(AQ$4:AQ405))</f>
        <v>-6.9104470658593282</v>
      </c>
      <c r="AS405" s="65" t="str">
        <f t="shared" si="675"/>
        <v/>
      </c>
      <c r="AT405" s="65">
        <f>IF($AC405="",#N/A,SUM(AS$4:AS405))</f>
        <v>6.7035845539718384</v>
      </c>
      <c r="AU405" s="57">
        <f t="shared" si="756"/>
        <v>-173.44000000000005</v>
      </c>
      <c r="AV405" s="57">
        <f>IF($AC405="",#N/A,SUM(AU$4:AU405))</f>
        <v>382.55383890574649</v>
      </c>
      <c r="AW405" s="57" t="str">
        <f t="shared" si="757"/>
        <v/>
      </c>
      <c r="AX405" s="57">
        <f>IF($AC405="",#N/A,SUM(AW$4:AW405))</f>
        <v>-521.67106797961105</v>
      </c>
      <c r="AY405" s="57" t="str">
        <f t="shared" si="758"/>
        <v/>
      </c>
      <c r="AZ405" s="57">
        <f>IF($AC405="",#N/A,SUM(AY$4:AY405))</f>
        <v>498.8371931771793</v>
      </c>
      <c r="BA405" s="57">
        <f>IF(AD405="",#N/A,SUM($AD$4:AD405))</f>
        <v>359.71996410331485</v>
      </c>
      <c r="BC405" s="51" t="str">
        <f t="shared" si="676"/>
        <v/>
      </c>
      <c r="BD405" s="51" t="str">
        <f t="shared" si="677"/>
        <v/>
      </c>
      <c r="BE405" s="51" t="str">
        <f t="shared" si="678"/>
        <v/>
      </c>
      <c r="BF405" s="51" t="str">
        <f t="shared" si="679"/>
        <v>Long</v>
      </c>
      <c r="BG405" s="51" t="str">
        <f t="shared" si="680"/>
        <v/>
      </c>
      <c r="BH405" s="51" t="str">
        <f t="shared" si="681"/>
        <v/>
      </c>
      <c r="BI405" s="51">
        <f t="shared" si="682"/>
        <v>1</v>
      </c>
      <c r="BK405" s="65">
        <f t="shared" si="653"/>
        <v>-6.0750819926564184E-2</v>
      </c>
      <c r="BL405" s="65">
        <f t="shared" si="652"/>
        <v>-4.0180639802009283E-2</v>
      </c>
      <c r="BM405" s="65">
        <f>IFERROR(Q405/COUNTA($J$4:J405),#N/A)</f>
        <v>3.0093703299113043E-2</v>
      </c>
      <c r="BO405" s="489">
        <f>IF(J405="",#N/A,IF(S405="SW",(COUNTIFS(K$4:$K405,"&gt;0",S$4:$S405,"SW")/COUNTIF(S$4:$S405,"SW")),#N/A))</f>
        <v>0.49743589743589745</v>
      </c>
      <c r="BP405" s="489" t="e">
        <f>IF($J405="",#N/A,IF($S405="DWN",(COUNTIFS($K$4:$K405,"&lt;0",$S$4:$S405,"DWN")/COUNTIF($S$4:$S405,"DWN")),#N/A))</f>
        <v>#N/A</v>
      </c>
      <c r="BQ405" s="489" t="e">
        <f>IF($J405="",#N/A,IF($S405="UP",(COUNTIFS($K$4:$K405,"&gt;0",$S$4:$S405,"UP")/COUNTIF($S$4:$S405,"UP")),#N/A))</f>
        <v>#N/A</v>
      </c>
      <c r="BR405" s="489">
        <f>IF(J405="",#N/A,COUNTIF($K$4:K405,"&gt;0")/COUNT($J$4:J405))</f>
        <v>0.47263681592039802</v>
      </c>
      <c r="BS405" s="65" t="str">
        <f t="shared" si="683"/>
        <v/>
      </c>
      <c r="BT405" s="65">
        <f t="shared" si="684"/>
        <v>-1.3966702427782418</v>
      </c>
      <c r="BU405" s="65" t="str">
        <f t="shared" si="685"/>
        <v/>
      </c>
      <c r="BV405" s="65" t="str">
        <f t="shared" si="686"/>
        <v/>
      </c>
      <c r="BW405" s="128" t="str">
        <f t="shared" si="687"/>
        <v/>
      </c>
      <c r="BX405" s="128">
        <f>IF($J405="",#N/A,SUM($BW$4:BW405))</f>
        <v>-614.94317034792948</v>
      </c>
      <c r="BY405" s="131" t="str">
        <f t="shared" si="688"/>
        <v/>
      </c>
      <c r="BZ405" s="131">
        <f>IF($J405="",#N/A,SUM($BY$4:BY405))</f>
        <v>533.40161346139416</v>
      </c>
      <c r="CA405" s="133">
        <f t="shared" si="689"/>
        <v>-112.48000000000002</v>
      </c>
      <c r="CB405" s="133">
        <f>IF($J405="",#N/A,SUM($CA$4:CA405))</f>
        <v>477.71263180689141</v>
      </c>
      <c r="CC405" s="194" t="str">
        <f t="shared" si="690"/>
        <v/>
      </c>
      <c r="CD405" s="194">
        <f>IF($J405="",#N/A,SUM($CC$4:CC405))</f>
        <v>-7.8034035475798245</v>
      </c>
      <c r="CE405" s="195" t="str">
        <f t="shared" si="691"/>
        <v/>
      </c>
      <c r="CF405" s="195">
        <f>IF($J405="",#N/A,SUM($CE$4:CE405))</f>
        <v>10.446704767557083</v>
      </c>
      <c r="CG405" s="196">
        <f t="shared" si="692"/>
        <v>-1.3966702427782418</v>
      </c>
      <c r="CH405" s="196">
        <f>IF($J405="",#N/A,SUM($CG$4:CG405))</f>
        <v>9.4543675062661965</v>
      </c>
      <c r="CI405" s="200" t="str">
        <f t="shared" si="693"/>
        <v/>
      </c>
      <c r="CJ405" s="203">
        <f>IF($J405="",#N/A,SUM(CI$4:CI405))</f>
        <v>0</v>
      </c>
      <c r="CK405" s="204" t="str">
        <f t="shared" si="694"/>
        <v/>
      </c>
      <c r="CL405" s="204">
        <f>IF($J405="",#N/A,SUM(CK$4:CK405))</f>
        <v>2.0825010564889137</v>
      </c>
      <c r="CM405" s="205">
        <f t="shared" si="695"/>
        <v>-1.3966702427782418</v>
      </c>
      <c r="CN405" s="205">
        <f>IF($J405="",#N/A,SUM(CM$4:CM405))</f>
        <v>-0.88786801747311794</v>
      </c>
      <c r="CO405" s="205">
        <f>IF($J405="",#N/A,SUM(CM$4:CM405,CK$4:CK405,CI$4:CI405))</f>
        <v>1.1946330390157962</v>
      </c>
      <c r="CP405" s="200" t="str">
        <f t="shared" si="696"/>
        <v/>
      </c>
      <c r="CQ405" s="203">
        <f>IF($J405="",#N/A,SUM(CP$4:CP405))</f>
        <v>-3.993192333715871</v>
      </c>
      <c r="CR405" s="204" t="str">
        <f t="shared" si="697"/>
        <v/>
      </c>
      <c r="CS405" s="204">
        <f>IF($J405="",#N/A,SUM(CR$4:CR405))</f>
        <v>2.3600225017004668</v>
      </c>
      <c r="CT405" s="205" t="str">
        <f t="shared" si="698"/>
        <v/>
      </c>
      <c r="CU405" s="205">
        <f>IF($J405="",#N/A,SUM(CT$4:CT405))</f>
        <v>-6.9103738355622983</v>
      </c>
      <c r="CV405" s="205">
        <f>IF($J405="",#N/A,SUM(CT$4:CT405,CR$4:CR405,CP$4:CP405))</f>
        <v>-8.543543667577703</v>
      </c>
      <c r="CW405" s="200" t="str">
        <f t="shared" si="699"/>
        <v/>
      </c>
      <c r="CX405" s="203">
        <f>IF($J405="",#N/A,SUM(CW$4:CW405))</f>
        <v>-6.3374847922823907</v>
      </c>
      <c r="CY405" s="204" t="str">
        <f t="shared" si="700"/>
        <v/>
      </c>
      <c r="CZ405" s="204">
        <f>IF($J405="",#N/A,SUM(CY$4:CY405))</f>
        <v>-2.6367641712432155</v>
      </c>
      <c r="DA405" s="205" t="str">
        <f t="shared" si="701"/>
        <v/>
      </c>
      <c r="DB405" s="205">
        <f>IF($J405="",#N/A,SUM(DA$4:DA405))</f>
        <v>-1.3155870379734311</v>
      </c>
      <c r="DC405" s="205">
        <f>IF($J405="",#N/A,SUM(DA$4:DA405,CY$4:CY405,CW$4:CW405))</f>
        <v>-10.289836001499038</v>
      </c>
      <c r="DD405" s="200" t="str">
        <f t="shared" si="702"/>
        <v/>
      </c>
      <c r="DE405" s="203">
        <f>IF($J405="",#N/A,SUM(DD$4:DD405))</f>
        <v>2.1903002454447948</v>
      </c>
      <c r="DF405" s="204" t="str">
        <f t="shared" si="703"/>
        <v/>
      </c>
      <c r="DG405" s="204">
        <f>IF($J405="",#N/A,SUM(DF$4:DF405))</f>
        <v>3.7844462787298916</v>
      </c>
      <c r="DH405" s="205" t="str">
        <f t="shared" si="704"/>
        <v/>
      </c>
      <c r="DI405" s="205">
        <f>IF($J405="",#N/A,SUM(DH$4:DH405))</f>
        <v>-1.004058041816293</v>
      </c>
      <c r="DJ405" s="205">
        <f>IF($J405="",#N/A,SUM(DH$4:DH405,DF$4:DF405,DD$4:DD405))</f>
        <v>4.9706884823583941</v>
      </c>
      <c r="DK405" s="200" t="str">
        <f t="shared" si="705"/>
        <v/>
      </c>
      <c r="DL405" s="203">
        <f>IF($J405="",#N/A,SUM(DK$4:DK405))</f>
        <v>-0.84049791589649614</v>
      </c>
      <c r="DM405" s="204" t="str">
        <f t="shared" si="706"/>
        <v/>
      </c>
      <c r="DN405" s="204">
        <f>IF($J405="",#N/A,SUM(DM$4:DM405))</f>
        <v>1.8657648196498773</v>
      </c>
      <c r="DO405" s="205" t="str">
        <f t="shared" si="707"/>
        <v/>
      </c>
      <c r="DP405" s="205">
        <f>IF($J405="",#N/A,SUM(DO$4:DO405))</f>
        <v>3.4887162328793941</v>
      </c>
      <c r="DQ405" s="205">
        <f>IF($J405="",#N/A,SUM(DO$4:DO405,DM$4:DM405,DK$4:DK405))</f>
        <v>4.5139831366327758</v>
      </c>
      <c r="DR405" s="200" t="str">
        <f t="shared" si="708"/>
        <v/>
      </c>
      <c r="DS405" s="203">
        <f>IF($J405="",#N/A,SUM(DR$4:DR405))</f>
        <v>-0.55950946427675097</v>
      </c>
      <c r="DT405" s="204" t="str">
        <f t="shared" si="709"/>
        <v/>
      </c>
      <c r="DU405" s="204">
        <f>IF($J405="",#N/A,SUM(DT$4:DT405))</f>
        <v>-0.20750635820596686</v>
      </c>
      <c r="DV405" s="205" t="str">
        <f t="shared" si="710"/>
        <v/>
      </c>
      <c r="DW405" s="205">
        <f>IF($J405="",#N/A,SUM(DV$4:DV405))</f>
        <v>-2.3377035686214001</v>
      </c>
      <c r="DX405" s="205">
        <f>IF($J405="",#N/A,SUM(DV$4:DV405,DT$4:DT405,DR$4:DR405))</f>
        <v>-3.1047193911041169</v>
      </c>
      <c r="DY405" s="200" t="str">
        <f t="shared" si="711"/>
        <v/>
      </c>
      <c r="DZ405" s="203">
        <f>IF($J405="",#N/A,SUM(DY$4:DY405))</f>
        <v>0.8152996381137414</v>
      </c>
      <c r="EA405" s="204" t="str">
        <f t="shared" si="712"/>
        <v/>
      </c>
      <c r="EB405" s="204">
        <f>IF($J405="",#N/A,SUM(EA$4:EA405))</f>
        <v>4.3184391548878134</v>
      </c>
      <c r="EC405" s="205" t="str">
        <f t="shared" si="713"/>
        <v/>
      </c>
      <c r="ED405" s="205">
        <f>IF($J405="",#N/A,SUM(EC$4:EC405))</f>
        <v>8.4384553208490907</v>
      </c>
      <c r="EE405" s="205">
        <f>IF($J405="",#N/A,SUM(EC$4:EC405,EA$4:EA405,DY$4:DY405))</f>
        <v>13.572194113850648</v>
      </c>
      <c r="EF405" s="200" t="str">
        <f t="shared" si="714"/>
        <v/>
      </c>
      <c r="EG405" s="203">
        <f>IF($J405="",#N/A,SUM(EF$4:EF405))</f>
        <v>0.65848341369884777</v>
      </c>
      <c r="EH405" s="204" t="str">
        <f t="shared" si="715"/>
        <v/>
      </c>
      <c r="EI405" s="204">
        <f>IF($J405="",#N/A,SUM(EH$4:EH405))</f>
        <v>-3.5125331561187787</v>
      </c>
      <c r="EJ405" s="205" t="str">
        <f t="shared" si="716"/>
        <v/>
      </c>
      <c r="EK405" s="205">
        <f>IF($J405="",#N/A,SUM(EJ$4:EJ405))</f>
        <v>13.156552985368888</v>
      </c>
      <c r="EL405" s="205">
        <f>IF($J405="",#N/A,SUM(EJ$4:EJ405,EH$4:EH405,EF$4:EF405))</f>
        <v>10.30250324294896</v>
      </c>
      <c r="EM405" s="200" t="str">
        <f t="shared" si="717"/>
        <v/>
      </c>
      <c r="EN405" s="203">
        <f>IF($J405="",#N/A,SUM(EM$4:EM405))</f>
        <v>0</v>
      </c>
      <c r="EO405" s="204" t="str">
        <f t="shared" si="718"/>
        <v/>
      </c>
      <c r="EP405" s="204">
        <f>IF($J405="",#N/A,SUM(EO$4:EO405))</f>
        <v>2.4788862078089964</v>
      </c>
      <c r="EQ405" s="205" t="str">
        <f t="shared" si="719"/>
        <v/>
      </c>
      <c r="ER405" s="205">
        <f>IF($J405="",#N/A,SUM(EQ$4:EQ405))</f>
        <v>1.7856049065476487</v>
      </c>
      <c r="ES405" s="205">
        <f>IF($J405="",#N/A,SUM(EQ$4:EQ405,EO$4:EO405,EM$4:EM405))</f>
        <v>4.2644911143566446</v>
      </c>
      <c r="ET405" s="200" t="str">
        <f t="shared" si="720"/>
        <v/>
      </c>
      <c r="EU405" s="203">
        <f>IF($J405="",#N/A,SUM(ET$4:ET405))</f>
        <v>0</v>
      </c>
      <c r="EV405" s="204" t="str">
        <f t="shared" si="721"/>
        <v/>
      </c>
      <c r="EW405" s="204">
        <f>IF($J405="",#N/A,SUM(EV$4:EV405))</f>
        <v>7.9116394275462909E-2</v>
      </c>
      <c r="EX405" s="205" t="str">
        <f t="shared" si="722"/>
        <v/>
      </c>
      <c r="EY405" s="205">
        <f>IF($J405="",#N/A,SUM(EX$4:EX405))</f>
        <v>0.62848633887309935</v>
      </c>
      <c r="EZ405" s="205">
        <f>IF($J405="",#N/A,SUM(EX$4:EX405,EV$4:EV405,ET$4:ET405))</f>
        <v>0.70760273314856192</v>
      </c>
      <c r="FA405" s="200" t="str">
        <f t="shared" si="723"/>
        <v/>
      </c>
      <c r="FB405" s="203">
        <f>IF($J405="",#N/A,SUM(FA$4:FA405))</f>
        <v>-0.27145310509113252</v>
      </c>
      <c r="FC405" s="204" t="str">
        <f t="shared" si="724"/>
        <v/>
      </c>
      <c r="FD405" s="204">
        <f>IF($J405="",#N/A,SUM(FC$4:FC405))</f>
        <v>0.89084290967454072</v>
      </c>
      <c r="FE405" s="205" t="str">
        <f t="shared" si="725"/>
        <v/>
      </c>
      <c r="FF405" s="205">
        <f>IF($J405="",#N/A,SUM(FE$4:FE405))</f>
        <v>-0.28811149078748233</v>
      </c>
      <c r="FG405" s="205">
        <f>IF($J405="",#N/A,SUM(FE$4:FE405,FC$4:FC405,FA$4:FA405))</f>
        <v>0.3312783137959262</v>
      </c>
      <c r="FH405" s="200" t="str">
        <f t="shared" si="726"/>
        <v/>
      </c>
      <c r="FI405" s="203">
        <f>IF($J405="",#N/A,SUM(FH$4:FH405))</f>
        <v>0</v>
      </c>
      <c r="FJ405" s="204" t="str">
        <f t="shared" si="727"/>
        <v/>
      </c>
      <c r="FK405" s="204">
        <f>IF($J405="",#N/A,SUM(FJ$4:FJ405))</f>
        <v>0</v>
      </c>
      <c r="FL405" s="205" t="str">
        <f t="shared" si="728"/>
        <v/>
      </c>
      <c r="FM405" s="205">
        <f>IF($J405="",#N/A,SUM(FL$4:FL405))</f>
        <v>0</v>
      </c>
      <c r="FN405" s="205">
        <f>IF($J405="",#N/A,SUM(FL$4:FL405,FJ$4:FJ405,FH$4:FH405))</f>
        <v>0</v>
      </c>
      <c r="FO405" s="200" t="str">
        <f t="shared" si="729"/>
        <v/>
      </c>
      <c r="FP405" s="203">
        <f>IF($J405="",#N/A,SUM(FO$4:FO405))</f>
        <v>0</v>
      </c>
      <c r="FQ405" s="204" t="str">
        <f t="shared" si="730"/>
        <v/>
      </c>
      <c r="FR405" s="204">
        <f>IF($J405="",#N/A,SUM(FQ$4:FQ405))</f>
        <v>0</v>
      </c>
      <c r="FS405" s="205" t="str">
        <f t="shared" si="731"/>
        <v/>
      </c>
      <c r="FT405" s="205">
        <f>IF($J405="",#N/A,SUM(FS$4:FS405))</f>
        <v>0</v>
      </c>
      <c r="FU405" s="205">
        <f>IF($J405="",#N/A,SUM(FS$4:FS405,FQ$4:FQ405,FO$4:FO405))</f>
        <v>0</v>
      </c>
      <c r="FV405" s="200" t="str">
        <f t="shared" si="732"/>
        <v/>
      </c>
      <c r="FW405" s="203">
        <f>IF($J405="",#N/A,SUM(FV$4:FV405))</f>
        <v>6.6834991831277585E-2</v>
      </c>
      <c r="FX405" s="204" t="str">
        <f t="shared" si="733"/>
        <v/>
      </c>
      <c r="FY405" s="204">
        <f>IF($J405="",#N/A,SUM(FX$4:FX405))</f>
        <v>-0.16102012791805576</v>
      </c>
      <c r="FZ405" s="205" t="str">
        <f t="shared" si="734"/>
        <v/>
      </c>
      <c r="GA405" s="205">
        <f>IF($J405="",#N/A,SUM(FZ$4:FZ405))</f>
        <v>-0.69624339162892301</v>
      </c>
      <c r="GB405" s="205">
        <f>IF($J405="",#N/A,SUM(FZ$4:FZ405,FX$4:FX405,FV$4:FV405))</f>
        <v>-0.79042852771570116</v>
      </c>
      <c r="GC405" s="200" t="str">
        <f t="shared" si="735"/>
        <v/>
      </c>
      <c r="GD405" s="203">
        <f>IF($J405="",#N/A,SUM(GC$4:GC405))</f>
        <v>0</v>
      </c>
      <c r="GE405" s="204" t="str">
        <f t="shared" si="736"/>
        <v/>
      </c>
      <c r="GF405" s="204">
        <f>IF($J405="",#N/A,SUM(GE$4:GE405))</f>
        <v>0</v>
      </c>
      <c r="GG405" s="205" t="str">
        <f t="shared" si="737"/>
        <v/>
      </c>
      <c r="GH405" s="205">
        <f>IF($J405="",#N/A,SUM(GG$4:GG405))</f>
        <v>-2.9368362277223206</v>
      </c>
      <c r="GI405" s="205">
        <f>IF($J405="",#N/A,SUM(GG$4:GG405,GE$4:GE405,GC$4:GC405))</f>
        <v>-2.9368362277223206</v>
      </c>
      <c r="GJ405" s="200" t="str">
        <f t="shared" si="738"/>
        <v/>
      </c>
      <c r="GK405" s="203">
        <f>IF($J405="",#N/A,SUM(GJ$4:GJ405))</f>
        <v>0</v>
      </c>
      <c r="GL405" s="204" t="str">
        <f t="shared" si="739"/>
        <v/>
      </c>
      <c r="GM405" s="204">
        <f>IF($J405="",#N/A,SUM(GL$4:GL405))</f>
        <v>-2.0621307233432784</v>
      </c>
      <c r="GN405" s="205" t="str">
        <f t="shared" si="740"/>
        <v/>
      </c>
      <c r="GO405" s="205">
        <f>IF($J405="",#N/A,SUM(GN$4:GN405))</f>
        <v>0</v>
      </c>
      <c r="GP405" s="205">
        <f>IF($J405="",#N/A,SUM(GN$4:GN405,GL$4:GL405,GJ$4:GJ405))</f>
        <v>-2.0621307233432784</v>
      </c>
      <c r="GS405" s="54" t="str">
        <f t="shared" si="759"/>
        <v/>
      </c>
      <c r="GT405" s="54" t="e">
        <f>IF(GS405="",NA(),SUM($GS$4:GS405))</f>
        <v>#N/A</v>
      </c>
      <c r="GU405" s="54" t="str">
        <f t="shared" si="741"/>
        <v/>
      </c>
      <c r="GV405" s="54" t="e">
        <f>IF(GU405="",NA(),SUM($GU$4:GU405))</f>
        <v>#N/A</v>
      </c>
      <c r="GW405" s="54" t="str">
        <f t="shared" si="742"/>
        <v/>
      </c>
      <c r="GX405" s="54" t="e">
        <f>IF(GW405="",NA(),SUM($GW$4:GW405))</f>
        <v>#N/A</v>
      </c>
      <c r="GY405" s="54" t="str">
        <f t="shared" si="743"/>
        <v/>
      </c>
      <c r="GZ405" s="54" t="e">
        <f>IF(GY405="",NA(),SUM($GY$4:GY405))</f>
        <v>#N/A</v>
      </c>
      <c r="HA405" s="54">
        <f t="shared" si="744"/>
        <v>-1.3966702427782418</v>
      </c>
      <c r="HB405" s="54">
        <f>IF(HA405="",NA(),SUM($HA$4:HA405))</f>
        <v>-1.1725054089842211</v>
      </c>
      <c r="HC405" s="54" t="str">
        <f t="shared" si="745"/>
        <v/>
      </c>
      <c r="HD405" s="54" t="e">
        <f>IF(HC405="",NA(),SUM($HC$4:HC405))</f>
        <v>#N/A</v>
      </c>
      <c r="HE405" s="54">
        <f t="shared" si="746"/>
        <v>-1.3966702427782418</v>
      </c>
      <c r="HF405" s="54">
        <f>IF(HE405="",NA(),SUM($HE$4:HE405))</f>
        <v>-0.39643213033350566</v>
      </c>
      <c r="HG405" s="54" t="str">
        <f t="shared" si="747"/>
        <v/>
      </c>
      <c r="HH405" s="54" t="e">
        <f>IF(HG405="",NA(),SUM($HG$4:HG405))</f>
        <v>#N/A</v>
      </c>
      <c r="HI405" s="172" t="str">
        <f t="shared" si="760"/>
        <v/>
      </c>
      <c r="HJ405" s="172">
        <f>IF($J405="",#N/A,SUM(HI$4:$HI405))</f>
        <v>-11.384655655360691</v>
      </c>
      <c r="HK405" s="54" t="str">
        <f t="shared" si="748"/>
        <v/>
      </c>
      <c r="HL405" s="54">
        <f>IF($J405="",#N/A,SUM($HK$4:HK405))</f>
        <v>7.6415354417754555</v>
      </c>
      <c r="HM405" s="54" t="str">
        <f t="shared" si="749"/>
        <v/>
      </c>
      <c r="HN405" s="54">
        <f>IF($J405="",#N/A,SUM($HM$4:HM405))</f>
        <v>1.0671238705763564</v>
      </c>
      <c r="HO405" s="54" t="str">
        <f t="shared" si="750"/>
        <v/>
      </c>
      <c r="HP405" s="54">
        <f>IF($J405="",#N/A,SUM($HO$4:HO405))</f>
        <v>-0.17416738885585836</v>
      </c>
      <c r="HQ405" s="54" t="str">
        <f t="shared" si="751"/>
        <v/>
      </c>
      <c r="HR405" s="54">
        <f>IF($J405="",#N/A,SUM($HQ$4:HQ405))</f>
        <v>-14.997135100792645</v>
      </c>
      <c r="HS405" s="54">
        <f t="shared" si="752"/>
        <v>-0.75694361664083987</v>
      </c>
      <c r="HT405" s="54">
        <f>IF($J405="",#N/A,SUM($HS$4:HS405))</f>
        <v>14.452020952245888</v>
      </c>
      <c r="HU405" s="65">
        <f t="shared" si="753"/>
        <v>-2.1536138594190817</v>
      </c>
      <c r="HV405" s="65">
        <f>IF($J405="",#N/A,SUM(HU$4:$HU405))</f>
        <v>8.2062173899644026</v>
      </c>
    </row>
    <row r="406" spans="1:230" x14ac:dyDescent="0.25">
      <c r="A406" s="51" t="s">
        <v>1230</v>
      </c>
      <c r="B406" s="52" t="s">
        <v>5555</v>
      </c>
      <c r="C406" s="229">
        <f t="shared" si="654"/>
        <v>3</v>
      </c>
      <c r="D406" s="219" t="str">
        <f>_xlfn.XLOOKUP(A406,[1]SP500!$A$2:$A$502,[1]SP500!$D$2:$D$502,"N")</f>
        <v>N</v>
      </c>
      <c r="E406" s="51" t="str">
        <f>IFERROR(_xlfn.XLOOKUP(A406,[1]SP500!$A$2:$A$655,[1]SP500!$B$2:$B$655),"")</f>
        <v>IGV</v>
      </c>
      <c r="F406" s="53">
        <v>45813</v>
      </c>
      <c r="G406" s="51" t="str">
        <f t="shared" si="655"/>
        <v>AMC</v>
      </c>
      <c r="H406" s="51" t="str">
        <f t="shared" si="656"/>
        <v>s</v>
      </c>
      <c r="I406" s="343">
        <v>92.9</v>
      </c>
      <c r="J406" s="124">
        <v>76.78</v>
      </c>
      <c r="K406" s="55">
        <f t="shared" si="657"/>
        <v>-0.17351991388589885</v>
      </c>
      <c r="L406" s="67">
        <f t="shared" si="658"/>
        <v>-225.68000000000006</v>
      </c>
      <c r="M406" s="57">
        <f t="shared" si="659"/>
        <v>2.9399999999998272</v>
      </c>
      <c r="N406" s="102">
        <f t="shared" si="660"/>
        <v>-225.68000000000006</v>
      </c>
      <c r="O406" s="57">
        <f>IF(N406="",#N/A,SUM($N$4:N406))</f>
        <v>170.49107492035625</v>
      </c>
      <c r="P406" s="65">
        <f t="shared" si="754"/>
        <v>-2.8919985647649811</v>
      </c>
      <c r="Q406" s="172">
        <f>IF($N406="",#N/A,SUM($P$4:P406))</f>
        <v>9.2056701614784622</v>
      </c>
      <c r="R406" s="359">
        <f t="shared" si="661"/>
        <v>2.6877443833344419</v>
      </c>
      <c r="S406" s="51" t="str">
        <f t="shared" si="662"/>
        <v>SW</v>
      </c>
      <c r="T406" s="51" t="s">
        <v>2828</v>
      </c>
      <c r="U406" s="56">
        <f t="shared" si="663"/>
        <v>92.9</v>
      </c>
      <c r="V406" s="56" t="s">
        <v>4460</v>
      </c>
      <c r="W406" s="140">
        <v>14</v>
      </c>
      <c r="X406" s="145">
        <f t="shared" si="664"/>
        <v>1300.6000000000001</v>
      </c>
      <c r="Y406" s="140">
        <f t="shared" si="665"/>
        <v>14</v>
      </c>
      <c r="Z406" s="141">
        <v>76.989999999999995</v>
      </c>
      <c r="AA406" s="102">
        <f t="shared" si="666"/>
        <v>-222.74000000000024</v>
      </c>
      <c r="AB406" s="102">
        <f t="shared" si="667"/>
        <v>-246.68000000000006</v>
      </c>
      <c r="AC406" s="124">
        <v>75.28</v>
      </c>
      <c r="AD406" s="155">
        <f t="shared" si="668"/>
        <v>-246.68000000000006</v>
      </c>
      <c r="AE406" s="545">
        <f t="shared" si="669"/>
        <v>-3.1611051309651965</v>
      </c>
      <c r="AF406" s="57">
        <f>IF($AC406="",#N/A,SUM(AD$4:AD406))</f>
        <v>113.03996410331479</v>
      </c>
      <c r="AG406" s="102">
        <f t="shared" si="670"/>
        <v>-21</v>
      </c>
      <c r="AH406" s="56" t="s">
        <v>2507</v>
      </c>
      <c r="AI406" s="65">
        <f t="shared" si="671"/>
        <v>-2.8543236454969532</v>
      </c>
      <c r="AJ406" s="108">
        <f>IF(AI406="",#N/A,SUM($AI$4:AI406))</f>
        <v>6.5179257781440203</v>
      </c>
      <c r="AK406" s="56">
        <f t="shared" si="672"/>
        <v>-222.74000000000024</v>
      </c>
      <c r="AL406" s="66">
        <f>IF(AI406="",#N/A,IF(AH406="Skip",SUM($AK$4:AK406),SUM($AK$4:AK406)))</f>
        <v>69.152369278481274</v>
      </c>
      <c r="AM406" s="65">
        <f t="shared" si="755"/>
        <v>-3.1611051309651965</v>
      </c>
      <c r="AN406" s="209"/>
      <c r="AO406" s="65">
        <f t="shared" si="673"/>
        <v>-3.1611051309651965</v>
      </c>
      <c r="AP406" s="65">
        <f>IF($AC406="",#N/A,SUM(AO$4:AO406))</f>
        <v>5.2519747708866884</v>
      </c>
      <c r="AQ406" s="65" t="str">
        <f t="shared" si="674"/>
        <v/>
      </c>
      <c r="AR406" s="65">
        <f>IF($AC406="",#N/A,SUM(AQ$4:AQ406))</f>
        <v>-6.9104470658593282</v>
      </c>
      <c r="AS406" s="65" t="str">
        <f t="shared" si="675"/>
        <v/>
      </c>
      <c r="AT406" s="65">
        <f>IF($AC406="",#N/A,SUM(AS$4:AS406))</f>
        <v>6.7035845539718384</v>
      </c>
      <c r="AU406" s="57">
        <f t="shared" si="756"/>
        <v>-246.68000000000006</v>
      </c>
      <c r="AV406" s="57">
        <f>IF($AC406="",#N/A,SUM(AU$4:AU406))</f>
        <v>135.87383890574642</v>
      </c>
      <c r="AW406" s="57" t="str">
        <f t="shared" si="757"/>
        <v/>
      </c>
      <c r="AX406" s="57">
        <f>IF($AC406="",#N/A,SUM(AW$4:AW406))</f>
        <v>-521.67106797961105</v>
      </c>
      <c r="AY406" s="57" t="str">
        <f t="shared" si="758"/>
        <v/>
      </c>
      <c r="AZ406" s="57">
        <f>IF($AC406="",#N/A,SUM(AY$4:AY406))</f>
        <v>498.8371931771793</v>
      </c>
      <c r="BA406" s="57">
        <f>IF(AD406="",#N/A,SUM($AD$4:AD406))</f>
        <v>113.03996410331479</v>
      </c>
      <c r="BC406" s="51" t="str">
        <f t="shared" si="676"/>
        <v/>
      </c>
      <c r="BD406" s="51" t="str">
        <f t="shared" si="677"/>
        <v/>
      </c>
      <c r="BE406" s="51" t="str">
        <f t="shared" si="678"/>
        <v/>
      </c>
      <c r="BF406" s="51" t="str">
        <f t="shared" si="679"/>
        <v>Long</v>
      </c>
      <c r="BG406" s="51" t="str">
        <f t="shared" si="680"/>
        <v/>
      </c>
      <c r="BH406" s="51" t="str">
        <f t="shared" si="681"/>
        <v/>
      </c>
      <c r="BI406" s="51">
        <f t="shared" si="682"/>
        <v>1</v>
      </c>
      <c r="BK406" s="65">
        <f t="shared" si="653"/>
        <v>-0.10628613224713028</v>
      </c>
      <c r="BL406" s="65">
        <f t="shared" si="652"/>
        <v>-6.3672817606978918E-2</v>
      </c>
      <c r="BM406" s="65">
        <f>IFERROR(Q406/COUNTA($J$4:J406),#N/A)</f>
        <v>2.2842853998705861E-2</v>
      </c>
      <c r="BO406" s="489">
        <f>IF(J406="",#N/A,IF(S406="SW",(COUNTIFS(K$4:$K406,"&gt;0",S$4:$S406,"SW")/COUNTIF(S$4:$S406,"SW")),#N/A))</f>
        <v>0.49489795918367346</v>
      </c>
      <c r="BP406" s="489" t="e">
        <f>IF($J406="",#N/A,IF($S406="DWN",(COUNTIFS($K$4:$K406,"&lt;0",$S$4:$S406,"DWN")/COUNTIF($S$4:$S406,"DWN")),#N/A))</f>
        <v>#N/A</v>
      </c>
      <c r="BQ406" s="489" t="e">
        <f>IF($J406="",#N/A,IF($S406="UP",(COUNTIFS($K$4:$K406,"&gt;0",$S$4:$S406,"UP")/COUNTIF($S$4:$S406,"UP")),#N/A))</f>
        <v>#N/A</v>
      </c>
      <c r="BR406" s="489">
        <f>IF(J406="",#N/A,COUNTIF($K$4:K406,"&gt;0")/COUNT($J$4:J406))</f>
        <v>0.47146401985111663</v>
      </c>
      <c r="BS406" s="65" t="str">
        <f t="shared" si="683"/>
        <v/>
      </c>
      <c r="BT406" s="65">
        <f t="shared" si="684"/>
        <v>-2.8919985647649811</v>
      </c>
      <c r="BU406" s="65" t="str">
        <f t="shared" si="685"/>
        <v/>
      </c>
      <c r="BV406" s="65" t="str">
        <f t="shared" si="686"/>
        <v/>
      </c>
      <c r="BW406" s="128" t="str">
        <f t="shared" si="687"/>
        <v/>
      </c>
      <c r="BX406" s="128">
        <f>IF($J406="",#N/A,SUM($BW$4:BW406))</f>
        <v>-614.94317034792948</v>
      </c>
      <c r="BY406" s="131" t="str">
        <f t="shared" si="688"/>
        <v/>
      </c>
      <c r="BZ406" s="131">
        <f>IF($J406="",#N/A,SUM($BY$4:BY406))</f>
        <v>533.40161346139416</v>
      </c>
      <c r="CA406" s="133">
        <f t="shared" si="689"/>
        <v>-225.68000000000006</v>
      </c>
      <c r="CB406" s="133">
        <f>IF($J406="",#N/A,SUM($CA$4:CA406))</f>
        <v>252.03263180689135</v>
      </c>
      <c r="CC406" s="194" t="str">
        <f t="shared" si="690"/>
        <v/>
      </c>
      <c r="CD406" s="194">
        <f>IF($J406="",#N/A,SUM($CC$4:CC406))</f>
        <v>-7.8034035475798245</v>
      </c>
      <c r="CE406" s="195" t="str">
        <f t="shared" si="691"/>
        <v/>
      </c>
      <c r="CF406" s="195">
        <f>IF($J406="",#N/A,SUM($CE$4:CE406))</f>
        <v>10.446704767557083</v>
      </c>
      <c r="CG406" s="196">
        <f t="shared" si="692"/>
        <v>-2.8919985647649811</v>
      </c>
      <c r="CH406" s="196">
        <f>IF($J406="",#N/A,SUM($CG$4:CG406))</f>
        <v>6.5623689415012159</v>
      </c>
      <c r="CI406" s="200" t="str">
        <f t="shared" si="693"/>
        <v/>
      </c>
      <c r="CJ406" s="203">
        <f>IF($J406="",#N/A,SUM(CI$4:CI406))</f>
        <v>0</v>
      </c>
      <c r="CK406" s="204" t="str">
        <f t="shared" si="694"/>
        <v/>
      </c>
      <c r="CL406" s="204">
        <f>IF($J406="",#N/A,SUM(CK$4:CK406))</f>
        <v>2.0825010564889137</v>
      </c>
      <c r="CM406" s="205" t="str">
        <f t="shared" si="695"/>
        <v/>
      </c>
      <c r="CN406" s="205">
        <f>IF($J406="",#N/A,SUM(CM$4:CM406))</f>
        <v>-0.88786801747311794</v>
      </c>
      <c r="CO406" s="205">
        <f>IF($J406="",#N/A,SUM(CM$4:CM406,CK$4:CK406,CI$4:CI406))</f>
        <v>1.1946330390157962</v>
      </c>
      <c r="CP406" s="200" t="str">
        <f t="shared" si="696"/>
        <v/>
      </c>
      <c r="CQ406" s="203">
        <f>IF($J406="",#N/A,SUM(CP$4:CP406))</f>
        <v>-3.993192333715871</v>
      </c>
      <c r="CR406" s="204" t="str">
        <f t="shared" si="697"/>
        <v/>
      </c>
      <c r="CS406" s="204">
        <f>IF($J406="",#N/A,SUM(CR$4:CR406))</f>
        <v>2.3600225017004668</v>
      </c>
      <c r="CT406" s="205">
        <f t="shared" si="698"/>
        <v>-2.8919985647649811</v>
      </c>
      <c r="CU406" s="205">
        <f>IF($J406="",#N/A,SUM(CT$4:CT406))</f>
        <v>-9.802372400327279</v>
      </c>
      <c r="CV406" s="205">
        <f>IF($J406="",#N/A,SUM(CT$4:CT406,CR$4:CR406,CP$4:CP406))</f>
        <v>-11.435542232342684</v>
      </c>
      <c r="CW406" s="200" t="str">
        <f t="shared" si="699"/>
        <v/>
      </c>
      <c r="CX406" s="203">
        <f>IF($J406="",#N/A,SUM(CW$4:CW406))</f>
        <v>-6.3374847922823907</v>
      </c>
      <c r="CY406" s="204" t="str">
        <f t="shared" si="700"/>
        <v/>
      </c>
      <c r="CZ406" s="204">
        <f>IF($J406="",#N/A,SUM(CY$4:CY406))</f>
        <v>-2.6367641712432155</v>
      </c>
      <c r="DA406" s="205" t="str">
        <f t="shared" si="701"/>
        <v/>
      </c>
      <c r="DB406" s="205">
        <f>IF($J406="",#N/A,SUM(DA$4:DA406))</f>
        <v>-1.3155870379734311</v>
      </c>
      <c r="DC406" s="205">
        <f>IF($J406="",#N/A,SUM(DA$4:DA406,CY$4:CY406,CW$4:CW406))</f>
        <v>-10.289836001499038</v>
      </c>
      <c r="DD406" s="200" t="str">
        <f t="shared" si="702"/>
        <v/>
      </c>
      <c r="DE406" s="203">
        <f>IF($J406="",#N/A,SUM(DD$4:DD406))</f>
        <v>2.1903002454447948</v>
      </c>
      <c r="DF406" s="204" t="str">
        <f t="shared" si="703"/>
        <v/>
      </c>
      <c r="DG406" s="204">
        <f>IF($J406="",#N/A,SUM(DF$4:DF406))</f>
        <v>3.7844462787298916</v>
      </c>
      <c r="DH406" s="205" t="str">
        <f t="shared" si="704"/>
        <v/>
      </c>
      <c r="DI406" s="205">
        <f>IF($J406="",#N/A,SUM(DH$4:DH406))</f>
        <v>-1.004058041816293</v>
      </c>
      <c r="DJ406" s="205">
        <f>IF($J406="",#N/A,SUM(DH$4:DH406,DF$4:DF406,DD$4:DD406))</f>
        <v>4.9706884823583941</v>
      </c>
      <c r="DK406" s="200" t="str">
        <f t="shared" si="705"/>
        <v/>
      </c>
      <c r="DL406" s="203">
        <f>IF($J406="",#N/A,SUM(DK$4:DK406))</f>
        <v>-0.84049791589649614</v>
      </c>
      <c r="DM406" s="204" t="str">
        <f t="shared" si="706"/>
        <v/>
      </c>
      <c r="DN406" s="204">
        <f>IF($J406="",#N/A,SUM(DM$4:DM406))</f>
        <v>1.8657648196498773</v>
      </c>
      <c r="DO406" s="205" t="str">
        <f t="shared" si="707"/>
        <v/>
      </c>
      <c r="DP406" s="205">
        <f>IF($J406="",#N/A,SUM(DO$4:DO406))</f>
        <v>3.4887162328793941</v>
      </c>
      <c r="DQ406" s="205">
        <f>IF($J406="",#N/A,SUM(DO$4:DO406,DM$4:DM406,DK$4:DK406))</f>
        <v>4.5139831366327758</v>
      </c>
      <c r="DR406" s="200" t="str">
        <f t="shared" si="708"/>
        <v/>
      </c>
      <c r="DS406" s="203">
        <f>IF($J406="",#N/A,SUM(DR$4:DR406))</f>
        <v>-0.55950946427675097</v>
      </c>
      <c r="DT406" s="204" t="str">
        <f t="shared" si="709"/>
        <v/>
      </c>
      <c r="DU406" s="204">
        <f>IF($J406="",#N/A,SUM(DT$4:DT406))</f>
        <v>-0.20750635820596686</v>
      </c>
      <c r="DV406" s="205" t="str">
        <f t="shared" si="710"/>
        <v/>
      </c>
      <c r="DW406" s="205">
        <f>IF($J406="",#N/A,SUM(DV$4:DV406))</f>
        <v>-2.3377035686214001</v>
      </c>
      <c r="DX406" s="205">
        <f>IF($J406="",#N/A,SUM(DV$4:DV406,DT$4:DT406,DR$4:DR406))</f>
        <v>-3.1047193911041169</v>
      </c>
      <c r="DY406" s="200" t="str">
        <f t="shared" si="711"/>
        <v/>
      </c>
      <c r="DZ406" s="203">
        <f>IF($J406="",#N/A,SUM(DY$4:DY406))</f>
        <v>0.8152996381137414</v>
      </c>
      <c r="EA406" s="204" t="str">
        <f t="shared" si="712"/>
        <v/>
      </c>
      <c r="EB406" s="204">
        <f>IF($J406="",#N/A,SUM(EA$4:EA406))</f>
        <v>4.3184391548878134</v>
      </c>
      <c r="EC406" s="205" t="str">
        <f t="shared" si="713"/>
        <v/>
      </c>
      <c r="ED406" s="205">
        <f>IF($J406="",#N/A,SUM(EC$4:EC406))</f>
        <v>8.4384553208490907</v>
      </c>
      <c r="EE406" s="205">
        <f>IF($J406="",#N/A,SUM(EC$4:EC406,EA$4:EA406,DY$4:DY406))</f>
        <v>13.572194113850648</v>
      </c>
      <c r="EF406" s="200" t="str">
        <f t="shared" si="714"/>
        <v/>
      </c>
      <c r="EG406" s="203">
        <f>IF($J406="",#N/A,SUM(EF$4:EF406))</f>
        <v>0.65848341369884777</v>
      </c>
      <c r="EH406" s="204" t="str">
        <f t="shared" si="715"/>
        <v/>
      </c>
      <c r="EI406" s="204">
        <f>IF($J406="",#N/A,SUM(EH$4:EH406))</f>
        <v>-3.5125331561187787</v>
      </c>
      <c r="EJ406" s="205" t="str">
        <f t="shared" si="716"/>
        <v/>
      </c>
      <c r="EK406" s="205">
        <f>IF($J406="",#N/A,SUM(EJ$4:EJ406))</f>
        <v>13.156552985368888</v>
      </c>
      <c r="EL406" s="205">
        <f>IF($J406="",#N/A,SUM(EJ$4:EJ406,EH$4:EH406,EF$4:EF406))</f>
        <v>10.30250324294896</v>
      </c>
      <c r="EM406" s="200" t="str">
        <f t="shared" si="717"/>
        <v/>
      </c>
      <c r="EN406" s="203">
        <f>IF($J406="",#N/A,SUM(EM$4:EM406))</f>
        <v>0</v>
      </c>
      <c r="EO406" s="204" t="str">
        <f t="shared" si="718"/>
        <v/>
      </c>
      <c r="EP406" s="204">
        <f>IF($J406="",#N/A,SUM(EO$4:EO406))</f>
        <v>2.4788862078089964</v>
      </c>
      <c r="EQ406" s="205" t="str">
        <f t="shared" si="719"/>
        <v/>
      </c>
      <c r="ER406" s="205">
        <f>IF($J406="",#N/A,SUM(EQ$4:EQ406))</f>
        <v>1.7856049065476487</v>
      </c>
      <c r="ES406" s="205">
        <f>IF($J406="",#N/A,SUM(EQ$4:EQ406,EO$4:EO406,EM$4:EM406))</f>
        <v>4.2644911143566446</v>
      </c>
      <c r="ET406" s="200" t="str">
        <f t="shared" si="720"/>
        <v/>
      </c>
      <c r="EU406" s="203">
        <f>IF($J406="",#N/A,SUM(ET$4:ET406))</f>
        <v>0</v>
      </c>
      <c r="EV406" s="204" t="str">
        <f t="shared" si="721"/>
        <v/>
      </c>
      <c r="EW406" s="204">
        <f>IF($J406="",#N/A,SUM(EV$4:EV406))</f>
        <v>7.9116394275462909E-2</v>
      </c>
      <c r="EX406" s="205" t="str">
        <f t="shared" si="722"/>
        <v/>
      </c>
      <c r="EY406" s="205">
        <f>IF($J406="",#N/A,SUM(EX$4:EX406))</f>
        <v>0.62848633887309935</v>
      </c>
      <c r="EZ406" s="205">
        <f>IF($J406="",#N/A,SUM(EX$4:EX406,EV$4:EV406,ET$4:ET406))</f>
        <v>0.70760273314856192</v>
      </c>
      <c r="FA406" s="200" t="str">
        <f t="shared" si="723"/>
        <v/>
      </c>
      <c r="FB406" s="203">
        <f>IF($J406="",#N/A,SUM(FA$4:FA406))</f>
        <v>-0.27145310509113252</v>
      </c>
      <c r="FC406" s="204" t="str">
        <f t="shared" si="724"/>
        <v/>
      </c>
      <c r="FD406" s="204">
        <f>IF($J406="",#N/A,SUM(FC$4:FC406))</f>
        <v>0.89084290967454072</v>
      </c>
      <c r="FE406" s="205" t="str">
        <f t="shared" si="725"/>
        <v/>
      </c>
      <c r="FF406" s="205">
        <f>IF($J406="",#N/A,SUM(FE$4:FE406))</f>
        <v>-0.28811149078748233</v>
      </c>
      <c r="FG406" s="205">
        <f>IF($J406="",#N/A,SUM(FE$4:FE406,FC$4:FC406,FA$4:FA406))</f>
        <v>0.3312783137959262</v>
      </c>
      <c r="FH406" s="200" t="str">
        <f t="shared" si="726"/>
        <v/>
      </c>
      <c r="FI406" s="203">
        <f>IF($J406="",#N/A,SUM(FH$4:FH406))</f>
        <v>0</v>
      </c>
      <c r="FJ406" s="204" t="str">
        <f t="shared" si="727"/>
        <v/>
      </c>
      <c r="FK406" s="204">
        <f>IF($J406="",#N/A,SUM(FJ$4:FJ406))</f>
        <v>0</v>
      </c>
      <c r="FL406" s="205" t="str">
        <f t="shared" si="728"/>
        <v/>
      </c>
      <c r="FM406" s="205">
        <f>IF($J406="",#N/A,SUM(FL$4:FL406))</f>
        <v>0</v>
      </c>
      <c r="FN406" s="205">
        <f>IF($J406="",#N/A,SUM(FL$4:FL406,FJ$4:FJ406,FH$4:FH406))</f>
        <v>0</v>
      </c>
      <c r="FO406" s="200" t="str">
        <f t="shared" si="729"/>
        <v/>
      </c>
      <c r="FP406" s="203">
        <f>IF($J406="",#N/A,SUM(FO$4:FO406))</f>
        <v>0</v>
      </c>
      <c r="FQ406" s="204" t="str">
        <f t="shared" si="730"/>
        <v/>
      </c>
      <c r="FR406" s="204">
        <f>IF($J406="",#N/A,SUM(FQ$4:FQ406))</f>
        <v>0</v>
      </c>
      <c r="FS406" s="205" t="str">
        <f t="shared" si="731"/>
        <v/>
      </c>
      <c r="FT406" s="205">
        <f>IF($J406="",#N/A,SUM(FS$4:FS406))</f>
        <v>0</v>
      </c>
      <c r="FU406" s="205">
        <f>IF($J406="",#N/A,SUM(FS$4:FS406,FQ$4:FQ406,FO$4:FO406))</f>
        <v>0</v>
      </c>
      <c r="FV406" s="200" t="str">
        <f t="shared" si="732"/>
        <v/>
      </c>
      <c r="FW406" s="203">
        <f>IF($J406="",#N/A,SUM(FV$4:FV406))</f>
        <v>6.6834991831277585E-2</v>
      </c>
      <c r="FX406" s="204" t="str">
        <f t="shared" si="733"/>
        <v/>
      </c>
      <c r="FY406" s="204">
        <f>IF($J406="",#N/A,SUM(FX$4:FX406))</f>
        <v>-0.16102012791805576</v>
      </c>
      <c r="FZ406" s="205" t="str">
        <f t="shared" si="734"/>
        <v/>
      </c>
      <c r="GA406" s="205">
        <f>IF($J406="",#N/A,SUM(FZ$4:FZ406))</f>
        <v>-0.69624339162892301</v>
      </c>
      <c r="GB406" s="205">
        <f>IF($J406="",#N/A,SUM(FZ$4:FZ406,FX$4:FX406,FV$4:FV406))</f>
        <v>-0.79042852771570116</v>
      </c>
      <c r="GC406" s="200" t="str">
        <f t="shared" si="735"/>
        <v/>
      </c>
      <c r="GD406" s="203">
        <f>IF($J406="",#N/A,SUM(GC$4:GC406))</f>
        <v>0</v>
      </c>
      <c r="GE406" s="204" t="str">
        <f t="shared" si="736"/>
        <v/>
      </c>
      <c r="GF406" s="204">
        <f>IF($J406="",#N/A,SUM(GE$4:GE406))</f>
        <v>0</v>
      </c>
      <c r="GG406" s="205" t="str">
        <f t="shared" si="737"/>
        <v/>
      </c>
      <c r="GH406" s="205">
        <f>IF($J406="",#N/A,SUM(GG$4:GG406))</f>
        <v>-2.9368362277223206</v>
      </c>
      <c r="GI406" s="205">
        <f>IF($J406="",#N/A,SUM(GG$4:GG406,GE$4:GE406,GC$4:GC406))</f>
        <v>-2.9368362277223206</v>
      </c>
      <c r="GJ406" s="200" t="str">
        <f t="shared" si="738"/>
        <v/>
      </c>
      <c r="GK406" s="203">
        <f>IF($J406="",#N/A,SUM(GJ$4:GJ406))</f>
        <v>0</v>
      </c>
      <c r="GL406" s="204" t="str">
        <f t="shared" si="739"/>
        <v/>
      </c>
      <c r="GM406" s="204">
        <f>IF($J406="",#N/A,SUM(GL$4:GL406))</f>
        <v>-2.0621307233432784</v>
      </c>
      <c r="GN406" s="205" t="str">
        <f t="shared" si="740"/>
        <v/>
      </c>
      <c r="GO406" s="205">
        <f>IF($J406="",#N/A,SUM(GN$4:GN406))</f>
        <v>0</v>
      </c>
      <c r="GP406" s="205">
        <f>IF($J406="",#N/A,SUM(GN$4:GN406,GL$4:GL406,GJ$4:GJ406))</f>
        <v>-2.0621307233432784</v>
      </c>
      <c r="GS406" s="54" t="str">
        <f t="shared" si="759"/>
        <v/>
      </c>
      <c r="GT406" s="54" t="e">
        <f>IF(GS406="",NA(),SUM($GS$4:GS406))</f>
        <v>#N/A</v>
      </c>
      <c r="GU406" s="54" t="str">
        <f t="shared" si="741"/>
        <v/>
      </c>
      <c r="GV406" s="54" t="e">
        <f>IF(GU406="",NA(),SUM($GU$4:GU406))</f>
        <v>#N/A</v>
      </c>
      <c r="GW406" s="54" t="str">
        <f t="shared" si="742"/>
        <v/>
      </c>
      <c r="GX406" s="54" t="e">
        <f>IF(GW406="",NA(),SUM($GW$4:GW406))</f>
        <v>#N/A</v>
      </c>
      <c r="GY406" s="54" t="str">
        <f t="shared" si="743"/>
        <v/>
      </c>
      <c r="GZ406" s="54" t="e">
        <f>IF(GY406="",NA(),SUM($GY$4:GY406))</f>
        <v>#N/A</v>
      </c>
      <c r="HA406" s="54">
        <f t="shared" si="744"/>
        <v>-2.8919985647649811</v>
      </c>
      <c r="HB406" s="54">
        <f>IF(HA406="",NA(),SUM($HA$4:HA406))</f>
        <v>-4.0645039737492024</v>
      </c>
      <c r="HC406" s="54" t="str">
        <f t="shared" si="745"/>
        <v/>
      </c>
      <c r="HD406" s="54" t="e">
        <f>IF(HC406="",NA(),SUM($HC$4:HC406))</f>
        <v>#N/A</v>
      </c>
      <c r="HE406" s="54">
        <f t="shared" si="746"/>
        <v>-2.8919985647649811</v>
      </c>
      <c r="HF406" s="54">
        <f>IF(HE406="",NA(),SUM($HE$4:HE406))</f>
        <v>-3.2884306950984867</v>
      </c>
      <c r="HG406" s="54" t="str">
        <f t="shared" si="747"/>
        <v/>
      </c>
      <c r="HH406" s="54" t="e">
        <f>IF(HG406="",NA(),SUM($HG$4:HG406))</f>
        <v>#N/A</v>
      </c>
      <c r="HI406" s="172" t="str">
        <f t="shared" si="760"/>
        <v/>
      </c>
      <c r="HJ406" s="172">
        <f>IF($J406="",#N/A,SUM(HI$4:$HI406))</f>
        <v>-11.384655655360691</v>
      </c>
      <c r="HK406" s="54" t="str">
        <f t="shared" si="748"/>
        <v/>
      </c>
      <c r="HL406" s="54">
        <f>IF($J406="",#N/A,SUM($HK$4:HK406))</f>
        <v>7.6415354417754555</v>
      </c>
      <c r="HM406" s="54" t="str">
        <f t="shared" si="749"/>
        <v/>
      </c>
      <c r="HN406" s="54">
        <f>IF($J406="",#N/A,SUM($HM$4:HM406))</f>
        <v>1.0671238705763564</v>
      </c>
      <c r="HO406" s="54" t="str">
        <f t="shared" si="750"/>
        <v/>
      </c>
      <c r="HP406" s="54">
        <f>IF($J406="",#N/A,SUM($HO$4:HO406))</f>
        <v>-0.17416738885585836</v>
      </c>
      <c r="HQ406" s="54" t="str">
        <f t="shared" si="751"/>
        <v/>
      </c>
      <c r="HR406" s="54">
        <f>IF($J406="",#N/A,SUM($HQ$4:HQ406))</f>
        <v>-14.997135100792645</v>
      </c>
      <c r="HS406" s="54">
        <f t="shared" si="752"/>
        <v>-0.26910656620021545</v>
      </c>
      <c r="HT406" s="54">
        <f>IF($J406="",#N/A,SUM($HS$4:HS406))</f>
        <v>14.182914386045674</v>
      </c>
      <c r="HU406" s="65">
        <f t="shared" si="753"/>
        <v>-3.1611051309651965</v>
      </c>
      <c r="HV406" s="65">
        <f>IF($J406="",#N/A,SUM(HU$4:$HU406))</f>
        <v>5.0451122589992057</v>
      </c>
    </row>
    <row r="407" spans="1:230" ht="15.75" thickBot="1" x14ac:dyDescent="0.3">
      <c r="A407" s="292" t="s">
        <v>1258</v>
      </c>
      <c r="B407" s="293" t="s">
        <v>5555</v>
      </c>
      <c r="C407" s="294">
        <f t="shared" si="654"/>
        <v>1</v>
      </c>
      <c r="D407" s="295" t="str">
        <f>_xlfn.XLOOKUP(A407,[1]SP500!$A$2:$A$502,[1]SP500!$D$2:$D$502,"N")</f>
        <v>Y</v>
      </c>
      <c r="E407" s="292" t="str">
        <f>IFERROR(_xlfn.XLOOKUP(A407,[1]SP500!$A$2:$A$655,[1]SP500!$B$2:$B$655),"")</f>
        <v>SMH</v>
      </c>
      <c r="F407" s="296">
        <v>45813</v>
      </c>
      <c r="G407" s="292" t="str">
        <f t="shared" si="655"/>
        <v>AMC</v>
      </c>
      <c r="H407" s="292" t="str">
        <f t="shared" si="656"/>
        <v>o</v>
      </c>
      <c r="I407" s="345">
        <v>259.93</v>
      </c>
      <c r="J407" s="297">
        <v>251.14</v>
      </c>
      <c r="K407" s="298">
        <f t="shared" si="657"/>
        <v>-3.3816796829915827E-2</v>
      </c>
      <c r="L407" s="299">
        <f t="shared" si="658"/>
        <v>43.950000000000273</v>
      </c>
      <c r="M407" s="300" t="e">
        <f t="shared" si="659"/>
        <v>#N/A</v>
      </c>
      <c r="N407" s="341">
        <f t="shared" si="660"/>
        <v>-43.950000000000273</v>
      </c>
      <c r="O407" s="300">
        <f>IF(N407="",#N/A,SUM($N$4:N407))</f>
        <v>126.54107492035598</v>
      </c>
      <c r="P407" s="305">
        <f t="shared" si="754"/>
        <v>-0.56361328049859927</v>
      </c>
      <c r="Q407" s="304">
        <f>IF($N407="",#N/A,SUM($P$4:P407))</f>
        <v>8.6420568809798635</v>
      </c>
      <c r="R407" s="307">
        <f t="shared" si="661"/>
        <v>1.6605447526646424</v>
      </c>
      <c r="S407" s="292" t="str">
        <f t="shared" si="662"/>
        <v>Up</v>
      </c>
      <c r="T407" s="292" t="s">
        <v>4461</v>
      </c>
      <c r="U407" s="308">
        <f t="shared" si="663"/>
        <v>259.93</v>
      </c>
      <c r="V407" s="308" t="s">
        <v>4458</v>
      </c>
      <c r="W407" s="310">
        <v>5</v>
      </c>
      <c r="X407" s="309">
        <f t="shared" si="664"/>
        <v>1299.6500000000001</v>
      </c>
      <c r="Y407" s="310">
        <f t="shared" si="665"/>
        <v>5</v>
      </c>
      <c r="Z407" s="311">
        <v>252.7</v>
      </c>
      <c r="AA407" s="341">
        <f t="shared" si="666"/>
        <v>36.150000000000091</v>
      </c>
      <c r="AB407" s="341">
        <f t="shared" si="667"/>
        <v>65</v>
      </c>
      <c r="AC407" s="297">
        <v>246.93</v>
      </c>
      <c r="AD407" s="301">
        <f t="shared" si="668"/>
        <v>-65</v>
      </c>
      <c r="AE407" s="546">
        <f t="shared" si="669"/>
        <v>-0.83355775272829868</v>
      </c>
      <c r="AF407" s="300">
        <f>IF($AC407="",#N/A,SUM(AD$4:AD407))</f>
        <v>48.039964103314787</v>
      </c>
      <c r="AG407" s="341">
        <f t="shared" si="670"/>
        <v>-21.049999999999727</v>
      </c>
      <c r="AH407" s="308" t="s">
        <v>4471</v>
      </c>
      <c r="AI407" s="305">
        <f t="shared" si="671"/>
        <v>0.46358635017120109</v>
      </c>
      <c r="AJ407" s="418">
        <f>IF(AI407="",#N/A,SUM($AI$4:AI407))</f>
        <v>6.9815121283152211</v>
      </c>
      <c r="AK407" s="308">
        <f t="shared" si="672"/>
        <v>36.150000000000091</v>
      </c>
      <c r="AL407" s="406">
        <f>IF(AI407="",#N/A,IF(AH407="Skip",SUM($AK$4:AK407),SUM($AK$4:AK407)))</f>
        <v>105.30236927848136</v>
      </c>
      <c r="AM407" s="65">
        <f t="shared" si="755"/>
        <v>-0.83355775272829868</v>
      </c>
      <c r="AN407" s="209"/>
      <c r="AO407" s="65" t="str">
        <f t="shared" si="673"/>
        <v/>
      </c>
      <c r="AP407" s="65">
        <f>IF($AC407="",#N/A,SUM(AO$4:AO407))</f>
        <v>5.2519747708866884</v>
      </c>
      <c r="AQ407" s="65">
        <f t="shared" si="674"/>
        <v>-0.83355775272829868</v>
      </c>
      <c r="AR407" s="65">
        <f>IF($AC407="",#N/A,SUM(AQ$4:AQ407))</f>
        <v>-7.7440048185876265</v>
      </c>
      <c r="AS407" s="65" t="str">
        <f t="shared" si="675"/>
        <v/>
      </c>
      <c r="AT407" s="65">
        <f>IF($AC407="",#N/A,SUM(AS$4:AS407))</f>
        <v>6.7035845539718384</v>
      </c>
      <c r="AU407" s="57" t="str">
        <f t="shared" si="756"/>
        <v/>
      </c>
      <c r="AV407" s="57">
        <f>IF($AC407="",#N/A,SUM(AU$4:AU407))</f>
        <v>135.87383890574642</v>
      </c>
      <c r="AW407" s="57">
        <f t="shared" si="757"/>
        <v>-65</v>
      </c>
      <c r="AX407" s="57">
        <f>IF($AC407="",#N/A,SUM(AW$4:AW407))</f>
        <v>-586.67106797961105</v>
      </c>
      <c r="AY407" s="57" t="str">
        <f t="shared" si="758"/>
        <v/>
      </c>
      <c r="AZ407" s="57">
        <f>IF($AC407="",#N/A,SUM(AY$4:AY407))</f>
        <v>498.8371931771793</v>
      </c>
      <c r="BA407" s="57">
        <f>IF(AD407="",#N/A,SUM($AD$4:AD407))</f>
        <v>48.039964103314787</v>
      </c>
      <c r="BC407" s="51" t="str">
        <f t="shared" si="676"/>
        <v/>
      </c>
      <c r="BD407" s="51" t="str">
        <f t="shared" si="677"/>
        <v/>
      </c>
      <c r="BE407" s="51" t="str">
        <f t="shared" si="678"/>
        <v/>
      </c>
      <c r="BF407" s="51" t="str">
        <f t="shared" si="679"/>
        <v>Long</v>
      </c>
      <c r="BG407" s="51" t="str">
        <f t="shared" si="680"/>
        <v/>
      </c>
      <c r="BH407" s="51">
        <f t="shared" si="681"/>
        <v>1</v>
      </c>
      <c r="BI407" s="51" t="str">
        <f t="shared" si="682"/>
        <v/>
      </c>
      <c r="BK407" s="65">
        <f t="shared" si="653"/>
        <v>-0.12487754679327243</v>
      </c>
      <c r="BL407" s="65">
        <f t="shared" si="652"/>
        <v>-7.0016727433225581E-2</v>
      </c>
      <c r="BM407" s="65">
        <f>IFERROR(Q407/COUNTA($J$4:J407),#N/A)</f>
        <v>2.1391229903415503E-2</v>
      </c>
      <c r="BO407" s="489" t="e">
        <f>IF(J407="",#N/A,IF(S407="SW",(COUNTIFS(K$4:$K407,"&gt;0",S$4:$S407,"SW")/COUNTIF(S$4:$S407,"SW")),#N/A))</f>
        <v>#N/A</v>
      </c>
      <c r="BP407" s="489" t="e">
        <f>IF($J407="",#N/A,IF($S407="DWN",(COUNTIFS($K$4:$K407,"&lt;0",$S$4:$S407,"DWN")/COUNTIF($S$4:$S407,"DWN")),#N/A))</f>
        <v>#N/A</v>
      </c>
      <c r="BQ407" s="489">
        <f>IF($J407="",#N/A,IF($S407="UP",(COUNTIFS($K$4:$K407,"&gt;0",$S$4:$S407,"UP")/COUNTIF($S$4:$S407,"UP")),#N/A))</f>
        <v>0.44444444444444442</v>
      </c>
      <c r="BR407" s="489">
        <f>IF(J407="",#N/A,COUNTIF($K$4:K407,"&gt;0")/COUNT($J$4:J407))</f>
        <v>0.47029702970297027</v>
      </c>
      <c r="BS407" s="65" t="str">
        <f t="shared" si="683"/>
        <v/>
      </c>
      <c r="BT407" s="65" t="str">
        <f t="shared" si="684"/>
        <v/>
      </c>
      <c r="BU407" s="65">
        <f t="shared" si="685"/>
        <v>-0.56361328049859927</v>
      </c>
      <c r="BV407" s="65" t="str">
        <f t="shared" si="686"/>
        <v/>
      </c>
      <c r="BW407" s="128">
        <f t="shared" si="687"/>
        <v>-43.950000000000273</v>
      </c>
      <c r="BX407" s="128">
        <f>IF($J407="",#N/A,SUM($BW$4:BW407))</f>
        <v>-658.89317034792975</v>
      </c>
      <c r="BY407" s="131" t="str">
        <f t="shared" si="688"/>
        <v/>
      </c>
      <c r="BZ407" s="131">
        <f>IF($J407="",#N/A,SUM($BY$4:BY407))</f>
        <v>533.40161346139416</v>
      </c>
      <c r="CA407" s="133" t="str">
        <f t="shared" si="689"/>
        <v/>
      </c>
      <c r="CB407" s="133">
        <f>IF($J407="",#N/A,SUM($CA$4:CA407))</f>
        <v>252.03263180689135</v>
      </c>
      <c r="CC407" s="194">
        <f t="shared" si="690"/>
        <v>-0.56361328049859927</v>
      </c>
      <c r="CD407" s="194">
        <f>IF($J407="",#N/A,SUM($CC$4:CC407))</f>
        <v>-8.3670168280784232</v>
      </c>
      <c r="CE407" s="195" t="str">
        <f t="shared" si="691"/>
        <v/>
      </c>
      <c r="CF407" s="195">
        <f>IF($J407="",#N/A,SUM($CE$4:CE407))</f>
        <v>10.446704767557083</v>
      </c>
      <c r="CG407" s="196" t="str">
        <f t="shared" si="692"/>
        <v/>
      </c>
      <c r="CH407" s="196">
        <f>IF($J407="",#N/A,SUM($CG$4:CG407))</f>
        <v>6.5623689415012159</v>
      </c>
      <c r="CI407" s="200" t="str">
        <f t="shared" si="693"/>
        <v/>
      </c>
      <c r="CJ407" s="203">
        <f>IF($J407="",#N/A,SUM(CI$4:CI407))</f>
        <v>0</v>
      </c>
      <c r="CK407" s="204" t="str">
        <f t="shared" si="694"/>
        <v/>
      </c>
      <c r="CL407" s="204">
        <f>IF($J407="",#N/A,SUM(CK$4:CK407))</f>
        <v>2.0825010564889137</v>
      </c>
      <c r="CM407" s="205" t="str">
        <f t="shared" si="695"/>
        <v/>
      </c>
      <c r="CN407" s="205">
        <f>IF($J407="",#N/A,SUM(CM$4:CM407))</f>
        <v>-0.88786801747311794</v>
      </c>
      <c r="CO407" s="205">
        <f>IF($J407="",#N/A,SUM(CM$4:CM407,CK$4:CK407,CI$4:CI407))</f>
        <v>1.1946330390157962</v>
      </c>
      <c r="CP407" s="200" t="str">
        <f t="shared" si="696"/>
        <v/>
      </c>
      <c r="CQ407" s="203">
        <f>IF($J407="",#N/A,SUM(CP$4:CP407))</f>
        <v>-3.993192333715871</v>
      </c>
      <c r="CR407" s="204" t="str">
        <f t="shared" si="697"/>
        <v/>
      </c>
      <c r="CS407" s="204">
        <f>IF($J407="",#N/A,SUM(CR$4:CR407))</f>
        <v>2.3600225017004668</v>
      </c>
      <c r="CT407" s="205" t="str">
        <f t="shared" si="698"/>
        <v/>
      </c>
      <c r="CU407" s="205">
        <f>IF($J407="",#N/A,SUM(CT$4:CT407))</f>
        <v>-9.802372400327279</v>
      </c>
      <c r="CV407" s="205">
        <f>IF($J407="",#N/A,SUM(CT$4:CT407,CR$4:CR407,CP$4:CP407))</f>
        <v>-11.435542232342684</v>
      </c>
      <c r="CW407" s="200" t="str">
        <f t="shared" si="699"/>
        <v/>
      </c>
      <c r="CX407" s="203">
        <f>IF($J407="",#N/A,SUM(CW$4:CW407))</f>
        <v>-6.3374847922823907</v>
      </c>
      <c r="CY407" s="204" t="str">
        <f t="shared" si="700"/>
        <v/>
      </c>
      <c r="CZ407" s="204">
        <f>IF($J407="",#N/A,SUM(CY$4:CY407))</f>
        <v>-2.6367641712432155</v>
      </c>
      <c r="DA407" s="205" t="str">
        <f t="shared" si="701"/>
        <v/>
      </c>
      <c r="DB407" s="205">
        <f>IF($J407="",#N/A,SUM(DA$4:DA407))</f>
        <v>-1.3155870379734311</v>
      </c>
      <c r="DC407" s="205">
        <f>IF($J407="",#N/A,SUM(DA$4:DA407,CY$4:CY407,CW$4:CW407))</f>
        <v>-10.289836001499038</v>
      </c>
      <c r="DD407" s="200" t="str">
        <f t="shared" si="702"/>
        <v/>
      </c>
      <c r="DE407" s="203">
        <f>IF($J407="",#N/A,SUM(DD$4:DD407))</f>
        <v>2.1903002454447948</v>
      </c>
      <c r="DF407" s="204" t="str">
        <f t="shared" si="703"/>
        <v/>
      </c>
      <c r="DG407" s="204">
        <f>IF($J407="",#N/A,SUM(DF$4:DF407))</f>
        <v>3.7844462787298916</v>
      </c>
      <c r="DH407" s="205" t="str">
        <f t="shared" si="704"/>
        <v/>
      </c>
      <c r="DI407" s="205">
        <f>IF($J407="",#N/A,SUM(DH$4:DH407))</f>
        <v>-1.004058041816293</v>
      </c>
      <c r="DJ407" s="205">
        <f>IF($J407="",#N/A,SUM(DH$4:DH407,DF$4:DF407,DD$4:DD407))</f>
        <v>4.9706884823583941</v>
      </c>
      <c r="DK407" s="200" t="str">
        <f t="shared" si="705"/>
        <v/>
      </c>
      <c r="DL407" s="203">
        <f>IF($J407="",#N/A,SUM(DK$4:DK407))</f>
        <v>-0.84049791589649614</v>
      </c>
      <c r="DM407" s="204" t="str">
        <f t="shared" si="706"/>
        <v/>
      </c>
      <c r="DN407" s="204">
        <f>IF($J407="",#N/A,SUM(DM$4:DM407))</f>
        <v>1.8657648196498773</v>
      </c>
      <c r="DO407" s="205" t="str">
        <f t="shared" si="707"/>
        <v/>
      </c>
      <c r="DP407" s="205">
        <f>IF($J407="",#N/A,SUM(DO$4:DO407))</f>
        <v>3.4887162328793941</v>
      </c>
      <c r="DQ407" s="205">
        <f>IF($J407="",#N/A,SUM(DO$4:DO407,DM$4:DM407,DK$4:DK407))</f>
        <v>4.5139831366327758</v>
      </c>
      <c r="DR407" s="200" t="str">
        <f t="shared" si="708"/>
        <v/>
      </c>
      <c r="DS407" s="203">
        <f>IF($J407="",#N/A,SUM(DR$4:DR407))</f>
        <v>-0.55950946427675097</v>
      </c>
      <c r="DT407" s="204" t="str">
        <f t="shared" si="709"/>
        <v/>
      </c>
      <c r="DU407" s="204">
        <f>IF($J407="",#N/A,SUM(DT$4:DT407))</f>
        <v>-0.20750635820596686</v>
      </c>
      <c r="DV407" s="205" t="str">
        <f t="shared" si="710"/>
        <v/>
      </c>
      <c r="DW407" s="205">
        <f>IF($J407="",#N/A,SUM(DV$4:DV407))</f>
        <v>-2.3377035686214001</v>
      </c>
      <c r="DX407" s="205">
        <f>IF($J407="",#N/A,SUM(DV$4:DV407,DT$4:DT407,DR$4:DR407))</f>
        <v>-3.1047193911041169</v>
      </c>
      <c r="DY407" s="200" t="str">
        <f t="shared" si="711"/>
        <v/>
      </c>
      <c r="DZ407" s="203">
        <f>IF($J407="",#N/A,SUM(DY$4:DY407))</f>
        <v>0.8152996381137414</v>
      </c>
      <c r="EA407" s="204" t="str">
        <f t="shared" si="712"/>
        <v/>
      </c>
      <c r="EB407" s="204">
        <f>IF($J407="",#N/A,SUM(EA$4:EA407))</f>
        <v>4.3184391548878134</v>
      </c>
      <c r="EC407" s="205" t="str">
        <f t="shared" si="713"/>
        <v/>
      </c>
      <c r="ED407" s="205">
        <f>IF($J407="",#N/A,SUM(EC$4:EC407))</f>
        <v>8.4384553208490907</v>
      </c>
      <c r="EE407" s="205">
        <f>IF($J407="",#N/A,SUM(EC$4:EC407,EA$4:EA407,DY$4:DY407))</f>
        <v>13.572194113850648</v>
      </c>
      <c r="EF407" s="200" t="str">
        <f t="shared" si="714"/>
        <v/>
      </c>
      <c r="EG407" s="203">
        <f>IF($J407="",#N/A,SUM(EF$4:EF407))</f>
        <v>0.65848341369884777</v>
      </c>
      <c r="EH407" s="204" t="str">
        <f t="shared" si="715"/>
        <v/>
      </c>
      <c r="EI407" s="204">
        <f>IF($J407="",#N/A,SUM(EH$4:EH407))</f>
        <v>-3.5125331561187787</v>
      </c>
      <c r="EJ407" s="205" t="str">
        <f t="shared" si="716"/>
        <v/>
      </c>
      <c r="EK407" s="205">
        <f>IF($J407="",#N/A,SUM(EJ$4:EJ407))</f>
        <v>13.156552985368888</v>
      </c>
      <c r="EL407" s="205">
        <f>IF($J407="",#N/A,SUM(EJ$4:EJ407,EH$4:EH407,EF$4:EF407))</f>
        <v>10.30250324294896</v>
      </c>
      <c r="EM407" s="200" t="str">
        <f t="shared" si="717"/>
        <v/>
      </c>
      <c r="EN407" s="203">
        <f>IF($J407="",#N/A,SUM(EM$4:EM407))</f>
        <v>0</v>
      </c>
      <c r="EO407" s="204" t="str">
        <f t="shared" si="718"/>
        <v/>
      </c>
      <c r="EP407" s="204">
        <f>IF($J407="",#N/A,SUM(EO$4:EO407))</f>
        <v>2.4788862078089964</v>
      </c>
      <c r="EQ407" s="205" t="str">
        <f t="shared" si="719"/>
        <v/>
      </c>
      <c r="ER407" s="205">
        <f>IF($J407="",#N/A,SUM(EQ$4:EQ407))</f>
        <v>1.7856049065476487</v>
      </c>
      <c r="ES407" s="205">
        <f>IF($J407="",#N/A,SUM(EQ$4:EQ407,EO$4:EO407,EM$4:EM407))</f>
        <v>4.2644911143566446</v>
      </c>
      <c r="ET407" s="200">
        <f t="shared" si="720"/>
        <v>-0.56361328049859927</v>
      </c>
      <c r="EU407" s="203">
        <f>IF($J407="",#N/A,SUM(ET$4:ET407))</f>
        <v>-0.56361328049859927</v>
      </c>
      <c r="EV407" s="204" t="str">
        <f t="shared" si="721"/>
        <v/>
      </c>
      <c r="EW407" s="204">
        <f>IF($J407="",#N/A,SUM(EV$4:EV407))</f>
        <v>7.9116394275462909E-2</v>
      </c>
      <c r="EX407" s="205" t="str">
        <f t="shared" si="722"/>
        <v/>
      </c>
      <c r="EY407" s="205">
        <f>IF($J407="",#N/A,SUM(EX$4:EX407))</f>
        <v>0.62848633887309935</v>
      </c>
      <c r="EZ407" s="205">
        <f>IF($J407="",#N/A,SUM(EX$4:EX407,EV$4:EV407,ET$4:ET407))</f>
        <v>0.14398945264996266</v>
      </c>
      <c r="FA407" s="200" t="str">
        <f t="shared" si="723"/>
        <v/>
      </c>
      <c r="FB407" s="203">
        <f>IF($J407="",#N/A,SUM(FA$4:FA407))</f>
        <v>-0.27145310509113252</v>
      </c>
      <c r="FC407" s="204" t="str">
        <f t="shared" si="724"/>
        <v/>
      </c>
      <c r="FD407" s="204">
        <f>IF($J407="",#N/A,SUM(FC$4:FC407))</f>
        <v>0.89084290967454072</v>
      </c>
      <c r="FE407" s="205" t="str">
        <f t="shared" si="725"/>
        <v/>
      </c>
      <c r="FF407" s="205">
        <f>IF($J407="",#N/A,SUM(FE$4:FE407))</f>
        <v>-0.28811149078748233</v>
      </c>
      <c r="FG407" s="205">
        <f>IF($J407="",#N/A,SUM(FE$4:FE407,FC$4:FC407,FA$4:FA407))</f>
        <v>0.3312783137959262</v>
      </c>
      <c r="FH407" s="200" t="str">
        <f t="shared" si="726"/>
        <v/>
      </c>
      <c r="FI407" s="203">
        <f>IF($J407="",#N/A,SUM(FH$4:FH407))</f>
        <v>0</v>
      </c>
      <c r="FJ407" s="204" t="str">
        <f t="shared" si="727"/>
        <v/>
      </c>
      <c r="FK407" s="204">
        <f>IF($J407="",#N/A,SUM(FJ$4:FJ407))</f>
        <v>0</v>
      </c>
      <c r="FL407" s="205" t="str">
        <f t="shared" si="728"/>
        <v/>
      </c>
      <c r="FM407" s="205">
        <f>IF($J407="",#N/A,SUM(FL$4:FL407))</f>
        <v>0</v>
      </c>
      <c r="FN407" s="205">
        <f>IF($J407="",#N/A,SUM(FL$4:FL407,FJ$4:FJ407,FH$4:FH407))</f>
        <v>0</v>
      </c>
      <c r="FO407" s="200" t="str">
        <f t="shared" si="729"/>
        <v/>
      </c>
      <c r="FP407" s="203">
        <f>IF($J407="",#N/A,SUM(FO$4:FO407))</f>
        <v>0</v>
      </c>
      <c r="FQ407" s="204" t="str">
        <f t="shared" si="730"/>
        <v/>
      </c>
      <c r="FR407" s="204">
        <f>IF($J407="",#N/A,SUM(FQ$4:FQ407))</f>
        <v>0</v>
      </c>
      <c r="FS407" s="205" t="str">
        <f t="shared" si="731"/>
        <v/>
      </c>
      <c r="FT407" s="205">
        <f>IF($J407="",#N/A,SUM(FS$4:FS407))</f>
        <v>0</v>
      </c>
      <c r="FU407" s="205">
        <f>IF($J407="",#N/A,SUM(FS$4:FS407,FQ$4:FQ407,FO$4:FO407))</f>
        <v>0</v>
      </c>
      <c r="FV407" s="200" t="str">
        <f t="shared" si="732"/>
        <v/>
      </c>
      <c r="FW407" s="203">
        <f>IF($J407="",#N/A,SUM(FV$4:FV407))</f>
        <v>6.6834991831277585E-2</v>
      </c>
      <c r="FX407" s="204" t="str">
        <f t="shared" si="733"/>
        <v/>
      </c>
      <c r="FY407" s="204">
        <f>IF($J407="",#N/A,SUM(FX$4:FX407))</f>
        <v>-0.16102012791805576</v>
      </c>
      <c r="FZ407" s="205" t="str">
        <f t="shared" si="734"/>
        <v/>
      </c>
      <c r="GA407" s="205">
        <f>IF($J407="",#N/A,SUM(FZ$4:FZ407))</f>
        <v>-0.69624339162892301</v>
      </c>
      <c r="GB407" s="205">
        <f>IF($J407="",#N/A,SUM(FZ$4:FZ407,FX$4:FX407,FV$4:FV407))</f>
        <v>-0.79042852771570116</v>
      </c>
      <c r="GC407" s="200" t="str">
        <f t="shared" si="735"/>
        <v/>
      </c>
      <c r="GD407" s="203">
        <f>IF($J407="",#N/A,SUM(GC$4:GC407))</f>
        <v>0</v>
      </c>
      <c r="GE407" s="204" t="str">
        <f t="shared" si="736"/>
        <v/>
      </c>
      <c r="GF407" s="204">
        <f>IF($J407="",#N/A,SUM(GE$4:GE407))</f>
        <v>0</v>
      </c>
      <c r="GG407" s="205" t="str">
        <f t="shared" si="737"/>
        <v/>
      </c>
      <c r="GH407" s="205">
        <f>IF($J407="",#N/A,SUM(GG$4:GG407))</f>
        <v>-2.9368362277223206</v>
      </c>
      <c r="GI407" s="205">
        <f>IF($J407="",#N/A,SUM(GG$4:GG407,GE$4:GE407,GC$4:GC407))</f>
        <v>-2.9368362277223206</v>
      </c>
      <c r="GJ407" s="200" t="str">
        <f t="shared" si="738"/>
        <v/>
      </c>
      <c r="GK407" s="203">
        <f>IF($J407="",#N/A,SUM(GJ$4:GJ407))</f>
        <v>0</v>
      </c>
      <c r="GL407" s="204" t="str">
        <f t="shared" si="739"/>
        <v/>
      </c>
      <c r="GM407" s="204">
        <f>IF($J407="",#N/A,SUM(GL$4:GL407))</f>
        <v>-2.0621307233432784</v>
      </c>
      <c r="GN407" s="205" t="str">
        <f t="shared" si="740"/>
        <v/>
      </c>
      <c r="GO407" s="205">
        <f>IF($J407="",#N/A,SUM(GN$4:GN407))</f>
        <v>0</v>
      </c>
      <c r="GP407" s="205">
        <f>IF($J407="",#N/A,SUM(GN$4:GN407,GL$4:GL407,GJ$4:GJ407))</f>
        <v>-2.0621307233432784</v>
      </c>
      <c r="GS407" s="54">
        <f t="shared" si="759"/>
        <v>-0.56361328049859927</v>
      </c>
      <c r="GT407" s="54">
        <f>IF(GS407="",NA(),SUM($GS$4:GS407))</f>
        <v>12.706560854729069</v>
      </c>
      <c r="GU407" s="54">
        <f t="shared" si="741"/>
        <v>-0.56361328049859927</v>
      </c>
      <c r="GV407" s="54">
        <f>IF(GU407="",NA(),SUM($GU$4:GU407))</f>
        <v>-7.5008479276978521</v>
      </c>
      <c r="GW407" s="54" t="str">
        <f t="shared" si="742"/>
        <v/>
      </c>
      <c r="GX407" s="54" t="e">
        <f>IF(GW407="",NA(),SUM($GW$4:GW407))</f>
        <v>#N/A</v>
      </c>
      <c r="GY407" s="54" t="str">
        <f t="shared" si="743"/>
        <v/>
      </c>
      <c r="GZ407" s="54" t="e">
        <f>IF(GY407="",NA(),SUM($GY$4:GY407))</f>
        <v>#N/A</v>
      </c>
      <c r="HA407" s="54" t="str">
        <f t="shared" si="744"/>
        <v/>
      </c>
      <c r="HB407" s="54" t="e">
        <f>IF(HA407="",NA(),SUM($HA$4:HA407))</f>
        <v>#N/A</v>
      </c>
      <c r="HC407" s="54" t="str">
        <f t="shared" si="745"/>
        <v/>
      </c>
      <c r="HD407" s="54" t="e">
        <f>IF(HC407="",NA(),SUM($HC$4:HC407))</f>
        <v>#N/A</v>
      </c>
      <c r="HE407" s="54" t="str">
        <f t="shared" si="746"/>
        <v/>
      </c>
      <c r="HF407" s="54" t="e">
        <f>IF(HE407="",NA(),SUM($HE$4:HE407))</f>
        <v>#N/A</v>
      </c>
      <c r="HG407" s="54" t="str">
        <f t="shared" si="747"/>
        <v/>
      </c>
      <c r="HH407" s="54" t="e">
        <f>IF(HG407="",NA(),SUM($HG$4:HG407))</f>
        <v>#N/A</v>
      </c>
      <c r="HI407" s="172" t="str">
        <f t="shared" si="760"/>
        <v/>
      </c>
      <c r="HJ407" s="172">
        <f>IF($J407="",#N/A,SUM(HI$4:$HI407))</f>
        <v>-11.384655655360691</v>
      </c>
      <c r="HK407" s="54" t="str">
        <f t="shared" si="748"/>
        <v/>
      </c>
      <c r="HL407" s="54">
        <f>IF($J407="",#N/A,SUM($HK$4:HK407))</f>
        <v>7.6415354417754555</v>
      </c>
      <c r="HM407" s="54" t="str">
        <f t="shared" si="749"/>
        <v/>
      </c>
      <c r="HN407" s="54">
        <f>IF($J407="",#N/A,SUM($HM$4:HM407))</f>
        <v>1.0671238705763564</v>
      </c>
      <c r="HO407" s="54">
        <f t="shared" si="750"/>
        <v>-0.26994447222969942</v>
      </c>
      <c r="HP407" s="54">
        <f>IF($J407="",#N/A,SUM($HO$4:HO407))</f>
        <v>-0.44411186108555778</v>
      </c>
      <c r="HQ407" s="54" t="str">
        <f t="shared" si="751"/>
        <v/>
      </c>
      <c r="HR407" s="54">
        <f>IF($J407="",#N/A,SUM($HQ$4:HQ407))</f>
        <v>-14.997135100792645</v>
      </c>
      <c r="HS407" s="54" t="str">
        <f t="shared" si="752"/>
        <v/>
      </c>
      <c r="HT407" s="54">
        <f>IF($J407="",#N/A,SUM($HS$4:HS407))</f>
        <v>14.182914386045674</v>
      </c>
      <c r="HU407" s="65">
        <f t="shared" si="753"/>
        <v>-0.83355775272829868</v>
      </c>
      <c r="HV407" s="65">
        <f>IF($J407="",#N/A,SUM(HU$4:$HU407))</f>
        <v>4.2115545062709074</v>
      </c>
    </row>
    <row r="408" spans="1:230" x14ac:dyDescent="0.25">
      <c r="A408" s="59" t="s">
        <v>1195</v>
      </c>
      <c r="B408" s="289" t="s">
        <v>5655</v>
      </c>
      <c r="C408" s="230">
        <f t="shared" si="654"/>
        <v>3</v>
      </c>
      <c r="D408" s="220" t="str">
        <f>_xlfn.XLOOKUP(A408,[1]SP500!$A$2:$A$502,[1]SP500!$D$2:$D$502,"N")</f>
        <v>N</v>
      </c>
      <c r="E408" s="59" t="str">
        <f>IFERROR(_xlfn.XLOOKUP(A408,[1]SP500!$A$2:$A$655,[1]SP500!$B$2:$B$655),"")</f>
        <v>XLP</v>
      </c>
      <c r="F408" s="290">
        <v>45817</v>
      </c>
      <c r="G408" s="59" t="str">
        <f t="shared" si="655"/>
        <v>AMC</v>
      </c>
      <c r="H408" s="59" t="str">
        <f t="shared" si="656"/>
        <v>s</v>
      </c>
      <c r="I408" s="376">
        <v>439.29</v>
      </c>
      <c r="J408" s="125">
        <v>496.02</v>
      </c>
      <c r="K408" s="60">
        <f t="shared" si="657"/>
        <v>0.12914020351020955</v>
      </c>
      <c r="L408" s="68">
        <f t="shared" si="658"/>
        <v>170.18999999999983</v>
      </c>
      <c r="M408" s="62" t="e">
        <f t="shared" si="659"/>
        <v>#N/A</v>
      </c>
      <c r="N408" s="63">
        <f t="shared" si="660"/>
        <v>170.18999999999983</v>
      </c>
      <c r="O408" s="62">
        <f>IF(N408="",#N/A,SUM($N$4:N408))</f>
        <v>296.73107492035581</v>
      </c>
      <c r="P408" s="64">
        <f t="shared" si="754"/>
        <v>2.1523367251701586</v>
      </c>
      <c r="Q408" s="183">
        <f>IF($N408="",#N/A,SUM($P$4:P408))</f>
        <v>10.794393606150022</v>
      </c>
      <c r="R408" s="279">
        <f t="shared" si="661"/>
        <v>2.4394531427182891</v>
      </c>
      <c r="S408" s="59" t="str">
        <f t="shared" si="662"/>
        <v>SW</v>
      </c>
      <c r="T408" s="59" t="s">
        <v>2828</v>
      </c>
      <c r="U408" s="61">
        <f t="shared" si="663"/>
        <v>439.29</v>
      </c>
      <c r="V408" s="61" t="s">
        <v>4460</v>
      </c>
      <c r="W408" s="142">
        <v>3</v>
      </c>
      <c r="X408" s="146">
        <f t="shared" si="664"/>
        <v>1317.8700000000001</v>
      </c>
      <c r="Y408" s="142">
        <f t="shared" si="665"/>
        <v>3</v>
      </c>
      <c r="Z408" s="143">
        <v>475.49</v>
      </c>
      <c r="AA408" s="63">
        <f t="shared" si="666"/>
        <v>108.59999999999991</v>
      </c>
      <c r="AB408" s="63">
        <f t="shared" si="667"/>
        <v>152.72999999999979</v>
      </c>
      <c r="AC408" s="125">
        <v>490.2</v>
      </c>
      <c r="AD408" s="148">
        <f t="shared" si="668"/>
        <v>152.72999999999979</v>
      </c>
      <c r="AE408" s="544">
        <f t="shared" si="669"/>
        <v>1.9315258712923098</v>
      </c>
      <c r="AF408" s="62">
        <f>IF($AC408="",#N/A,SUM(AD$4:AD408))</f>
        <v>200.76996410331458</v>
      </c>
      <c r="AG408" s="63">
        <f t="shared" si="670"/>
        <v>-17.460000000000036</v>
      </c>
      <c r="AH408" s="61" t="s">
        <v>4471</v>
      </c>
      <c r="AI408" s="64">
        <f t="shared" si="671"/>
        <v>1.3734283351165124</v>
      </c>
      <c r="AJ408" s="420">
        <f>IF(AI408="",#N/A,SUM($AI$4:AI408))</f>
        <v>8.354940463431733</v>
      </c>
      <c r="AK408" s="61">
        <f t="shared" si="672"/>
        <v>108.59999999999991</v>
      </c>
      <c r="AL408" s="421">
        <f>IF(AI408="",#N/A,IF(AH408="Skip",SUM($AK$4:AK408),SUM($AK$4:AK408)))</f>
        <v>213.90236927848127</v>
      </c>
      <c r="AM408" s="65">
        <f t="shared" si="755"/>
        <v>1.9315258712923098</v>
      </c>
      <c r="AN408" s="209"/>
      <c r="AO408" s="65">
        <f t="shared" si="673"/>
        <v>1.9315258712923098</v>
      </c>
      <c r="AP408" s="65">
        <f>IF($AC408="",#N/A,SUM(AO$4:AO408))</f>
        <v>7.1835006421789984</v>
      </c>
      <c r="AQ408" s="65" t="str">
        <f t="shared" si="674"/>
        <v/>
      </c>
      <c r="AR408" s="65">
        <f>IF($AC408="",#N/A,SUM(AQ$4:AQ408))</f>
        <v>-7.7440048185876265</v>
      </c>
      <c r="AS408" s="65" t="str">
        <f t="shared" si="675"/>
        <v/>
      </c>
      <c r="AT408" s="65">
        <f>IF($AC408="",#N/A,SUM(AS$4:AS408))</f>
        <v>6.7035845539718384</v>
      </c>
      <c r="AU408" s="57">
        <f t="shared" si="756"/>
        <v>152.72999999999979</v>
      </c>
      <c r="AV408" s="57">
        <f>IF($AC408="",#N/A,SUM(AU$4:AU408))</f>
        <v>288.60383890574622</v>
      </c>
      <c r="AW408" s="57" t="str">
        <f t="shared" si="757"/>
        <v/>
      </c>
      <c r="AX408" s="57">
        <f>IF($AC408="",#N/A,SUM(AW$4:AW408))</f>
        <v>-586.67106797961105</v>
      </c>
      <c r="AY408" s="57" t="str">
        <f t="shared" si="758"/>
        <v/>
      </c>
      <c r="AZ408" s="57">
        <f>IF($AC408="",#N/A,SUM(AY$4:AY408))</f>
        <v>498.8371931771793</v>
      </c>
      <c r="BA408" s="57">
        <f>IF(AD408="",#N/A,SUM($AD$4:AD408))</f>
        <v>200.76996410331458</v>
      </c>
      <c r="BC408" s="51" t="str">
        <f t="shared" si="676"/>
        <v/>
      </c>
      <c r="BD408" s="51" t="str">
        <f t="shared" si="677"/>
        <v/>
      </c>
      <c r="BE408" s="51">
        <f t="shared" si="678"/>
        <v>1</v>
      </c>
      <c r="BF408" s="51" t="str">
        <f t="shared" si="679"/>
        <v>Long</v>
      </c>
      <c r="BG408" s="51" t="str">
        <f t="shared" si="680"/>
        <v/>
      </c>
      <c r="BH408" s="51" t="str">
        <f t="shared" si="681"/>
        <v/>
      </c>
      <c r="BI408" s="51" t="str">
        <f t="shared" si="682"/>
        <v/>
      </c>
      <c r="BK408" s="65">
        <f t="shared" si="653"/>
        <v>-5.9161287119153055E-2</v>
      </c>
      <c r="BL408" s="65">
        <f t="shared" si="652"/>
        <v>4.5439157680963189E-2</v>
      </c>
      <c r="BM408" s="65">
        <f>IFERROR(Q408/COUNTA($J$4:J408),#N/A)</f>
        <v>2.6652823718888944E-2</v>
      </c>
      <c r="BO408" s="489">
        <f>IF(J408="",#N/A,IF(S408="SW",(COUNTIFS(K$4:$K408,"&gt;0",S$4:$S408,"SW")/COUNTIF(S$4:$S408,"SW")),#N/A))</f>
        <v>0.49746192893401014</v>
      </c>
      <c r="BP408" s="489" t="e">
        <f>IF($J408="",#N/A,IF($S408="DWN",(COUNTIFS($K$4:$K408,"&lt;0",$S$4:$S408,"DWN")/COUNTIF($S$4:$S408,"DWN")),#N/A))</f>
        <v>#N/A</v>
      </c>
      <c r="BQ408" s="489" t="e">
        <f>IF($J408="",#N/A,IF($S408="UP",(COUNTIFS($K$4:$K408,"&gt;0",$S$4:$S408,"UP")/COUNTIF($S$4:$S408,"UP")),#N/A))</f>
        <v>#N/A</v>
      </c>
      <c r="BR408" s="489">
        <f>IF(J408="",#N/A,COUNTIF($K$4:K408,"&gt;0")/COUNT($J$4:J408))</f>
        <v>0.47160493827160493</v>
      </c>
      <c r="BS408" s="65">
        <f t="shared" si="683"/>
        <v>2.1523367251701586</v>
      </c>
      <c r="BT408" s="65" t="str">
        <f t="shared" si="684"/>
        <v/>
      </c>
      <c r="BU408" s="65" t="str">
        <f t="shared" si="685"/>
        <v/>
      </c>
      <c r="BV408" s="65" t="str">
        <f t="shared" si="686"/>
        <v/>
      </c>
      <c r="BW408" s="128" t="str">
        <f t="shared" si="687"/>
        <v/>
      </c>
      <c r="BX408" s="128">
        <f>IF($J408="",#N/A,SUM($BW$4:BW408))</f>
        <v>-658.89317034792975</v>
      </c>
      <c r="BY408" s="131" t="str">
        <f t="shared" si="688"/>
        <v/>
      </c>
      <c r="BZ408" s="131">
        <f>IF($J408="",#N/A,SUM($BY$4:BY408))</f>
        <v>533.40161346139416</v>
      </c>
      <c r="CA408" s="133">
        <f t="shared" si="689"/>
        <v>170.18999999999983</v>
      </c>
      <c r="CB408" s="133">
        <f>IF($J408="",#N/A,SUM($CA$4:CA408))</f>
        <v>422.22263180689117</v>
      </c>
      <c r="CC408" s="194" t="str">
        <f t="shared" si="690"/>
        <v/>
      </c>
      <c r="CD408" s="194">
        <f>IF($J408="",#N/A,SUM($CC$4:CC408))</f>
        <v>-8.3670168280784232</v>
      </c>
      <c r="CE408" s="195" t="str">
        <f t="shared" si="691"/>
        <v/>
      </c>
      <c r="CF408" s="195">
        <f>IF($J408="",#N/A,SUM($CE$4:CE408))</f>
        <v>10.446704767557083</v>
      </c>
      <c r="CG408" s="196">
        <f t="shared" si="692"/>
        <v>2.1523367251701586</v>
      </c>
      <c r="CH408" s="196">
        <f>IF($J408="",#N/A,SUM($CG$4:CG408))</f>
        <v>8.7147056666713745</v>
      </c>
      <c r="CI408" s="200" t="str">
        <f t="shared" si="693"/>
        <v/>
      </c>
      <c r="CJ408" s="203">
        <f>IF($J408="",#N/A,SUM(CI$4:CI408))</f>
        <v>0</v>
      </c>
      <c r="CK408" s="204" t="str">
        <f t="shared" si="694"/>
        <v/>
      </c>
      <c r="CL408" s="204">
        <f>IF($J408="",#N/A,SUM(CK$4:CK408))</f>
        <v>2.0825010564889137</v>
      </c>
      <c r="CM408" s="205" t="str">
        <f t="shared" si="695"/>
        <v/>
      </c>
      <c r="CN408" s="205">
        <f>IF($J408="",#N/A,SUM(CM$4:CM408))</f>
        <v>-0.88786801747311794</v>
      </c>
      <c r="CO408" s="205">
        <f>IF($J408="",#N/A,SUM(CM$4:CM408,CK$4:CK408,CI$4:CI408))</f>
        <v>1.1946330390157962</v>
      </c>
      <c r="CP408" s="200" t="str">
        <f t="shared" si="696"/>
        <v/>
      </c>
      <c r="CQ408" s="203">
        <f>IF($J408="",#N/A,SUM(CP$4:CP408))</f>
        <v>-3.993192333715871</v>
      </c>
      <c r="CR408" s="204" t="str">
        <f t="shared" si="697"/>
        <v/>
      </c>
      <c r="CS408" s="204">
        <f>IF($J408="",#N/A,SUM(CR$4:CR408))</f>
        <v>2.3600225017004668</v>
      </c>
      <c r="CT408" s="205" t="str">
        <f t="shared" si="698"/>
        <v/>
      </c>
      <c r="CU408" s="205">
        <f>IF($J408="",#N/A,SUM(CT$4:CT408))</f>
        <v>-9.802372400327279</v>
      </c>
      <c r="CV408" s="205">
        <f>IF($J408="",#N/A,SUM(CT$4:CT408,CR$4:CR408,CP$4:CP408))</f>
        <v>-11.435542232342684</v>
      </c>
      <c r="CW408" s="200" t="str">
        <f t="shared" si="699"/>
        <v/>
      </c>
      <c r="CX408" s="203">
        <f>IF($J408="",#N/A,SUM(CW$4:CW408))</f>
        <v>-6.3374847922823907</v>
      </c>
      <c r="CY408" s="204" t="str">
        <f t="shared" si="700"/>
        <v/>
      </c>
      <c r="CZ408" s="204">
        <f>IF($J408="",#N/A,SUM(CY$4:CY408))</f>
        <v>-2.6367641712432155</v>
      </c>
      <c r="DA408" s="205" t="str">
        <f t="shared" si="701"/>
        <v/>
      </c>
      <c r="DB408" s="205">
        <f>IF($J408="",#N/A,SUM(DA$4:DA408))</f>
        <v>-1.3155870379734311</v>
      </c>
      <c r="DC408" s="205">
        <f>IF($J408="",#N/A,SUM(DA$4:DA408,CY$4:CY408,CW$4:CW408))</f>
        <v>-10.289836001499038</v>
      </c>
      <c r="DD408" s="200" t="str">
        <f t="shared" si="702"/>
        <v/>
      </c>
      <c r="DE408" s="203">
        <f>IF($J408="",#N/A,SUM(DD$4:DD408))</f>
        <v>2.1903002454447948</v>
      </c>
      <c r="DF408" s="204" t="str">
        <f t="shared" si="703"/>
        <v/>
      </c>
      <c r="DG408" s="204">
        <f>IF($J408="",#N/A,SUM(DF$4:DF408))</f>
        <v>3.7844462787298916</v>
      </c>
      <c r="DH408" s="205">
        <f t="shared" si="704"/>
        <v>2.1523367251701586</v>
      </c>
      <c r="DI408" s="205">
        <f>IF($J408="",#N/A,SUM(DH$4:DH408))</f>
        <v>1.1482786833538656</v>
      </c>
      <c r="DJ408" s="205">
        <f>IF($J408="",#N/A,SUM(DH$4:DH408,DF$4:DF408,DD$4:DD408))</f>
        <v>7.1230252075285527</v>
      </c>
      <c r="DK408" s="200" t="str">
        <f t="shared" si="705"/>
        <v/>
      </c>
      <c r="DL408" s="203">
        <f>IF($J408="",#N/A,SUM(DK$4:DK408))</f>
        <v>-0.84049791589649614</v>
      </c>
      <c r="DM408" s="204" t="str">
        <f t="shared" si="706"/>
        <v/>
      </c>
      <c r="DN408" s="204">
        <f>IF($J408="",#N/A,SUM(DM$4:DM408))</f>
        <v>1.8657648196498773</v>
      </c>
      <c r="DO408" s="205" t="str">
        <f t="shared" si="707"/>
        <v/>
      </c>
      <c r="DP408" s="205">
        <f>IF($J408="",#N/A,SUM(DO$4:DO408))</f>
        <v>3.4887162328793941</v>
      </c>
      <c r="DQ408" s="205">
        <f>IF($J408="",#N/A,SUM(DO$4:DO408,DM$4:DM408,DK$4:DK408))</f>
        <v>4.5139831366327758</v>
      </c>
      <c r="DR408" s="200" t="str">
        <f t="shared" si="708"/>
        <v/>
      </c>
      <c r="DS408" s="203">
        <f>IF($J408="",#N/A,SUM(DR$4:DR408))</f>
        <v>-0.55950946427675097</v>
      </c>
      <c r="DT408" s="204" t="str">
        <f t="shared" si="709"/>
        <v/>
      </c>
      <c r="DU408" s="204">
        <f>IF($J408="",#N/A,SUM(DT$4:DT408))</f>
        <v>-0.20750635820596686</v>
      </c>
      <c r="DV408" s="205" t="str">
        <f t="shared" si="710"/>
        <v/>
      </c>
      <c r="DW408" s="205">
        <f>IF($J408="",#N/A,SUM(DV$4:DV408))</f>
        <v>-2.3377035686214001</v>
      </c>
      <c r="DX408" s="205">
        <f>IF($J408="",#N/A,SUM(DV$4:DV408,DT$4:DT408,DR$4:DR408))</f>
        <v>-3.1047193911041169</v>
      </c>
      <c r="DY408" s="200" t="str">
        <f t="shared" si="711"/>
        <v/>
      </c>
      <c r="DZ408" s="203">
        <f>IF($J408="",#N/A,SUM(DY$4:DY408))</f>
        <v>0.8152996381137414</v>
      </c>
      <c r="EA408" s="204" t="str">
        <f t="shared" si="712"/>
        <v/>
      </c>
      <c r="EB408" s="204">
        <f>IF($J408="",#N/A,SUM(EA$4:EA408))</f>
        <v>4.3184391548878134</v>
      </c>
      <c r="EC408" s="205" t="str">
        <f t="shared" si="713"/>
        <v/>
      </c>
      <c r="ED408" s="205">
        <f>IF($J408="",#N/A,SUM(EC$4:EC408))</f>
        <v>8.4384553208490907</v>
      </c>
      <c r="EE408" s="205">
        <f>IF($J408="",#N/A,SUM(EC$4:EC408,EA$4:EA408,DY$4:DY408))</f>
        <v>13.572194113850648</v>
      </c>
      <c r="EF408" s="200" t="str">
        <f t="shared" si="714"/>
        <v/>
      </c>
      <c r="EG408" s="203">
        <f>IF($J408="",#N/A,SUM(EF$4:EF408))</f>
        <v>0.65848341369884777</v>
      </c>
      <c r="EH408" s="204" t="str">
        <f t="shared" si="715"/>
        <v/>
      </c>
      <c r="EI408" s="204">
        <f>IF($J408="",#N/A,SUM(EH$4:EH408))</f>
        <v>-3.5125331561187787</v>
      </c>
      <c r="EJ408" s="205" t="str">
        <f t="shared" si="716"/>
        <v/>
      </c>
      <c r="EK408" s="205">
        <f>IF($J408="",#N/A,SUM(EJ$4:EJ408))</f>
        <v>13.156552985368888</v>
      </c>
      <c r="EL408" s="205">
        <f>IF($J408="",#N/A,SUM(EJ$4:EJ408,EH$4:EH408,EF$4:EF408))</f>
        <v>10.30250324294896</v>
      </c>
      <c r="EM408" s="200" t="str">
        <f t="shared" si="717"/>
        <v/>
      </c>
      <c r="EN408" s="203">
        <f>IF($J408="",#N/A,SUM(EM$4:EM408))</f>
        <v>0</v>
      </c>
      <c r="EO408" s="204" t="str">
        <f t="shared" si="718"/>
        <v/>
      </c>
      <c r="EP408" s="204">
        <f>IF($J408="",#N/A,SUM(EO$4:EO408))</f>
        <v>2.4788862078089964</v>
      </c>
      <c r="EQ408" s="205" t="str">
        <f t="shared" si="719"/>
        <v/>
      </c>
      <c r="ER408" s="205">
        <f>IF($J408="",#N/A,SUM(EQ$4:EQ408))</f>
        <v>1.7856049065476487</v>
      </c>
      <c r="ES408" s="205">
        <f>IF($J408="",#N/A,SUM(EQ$4:EQ408,EO$4:EO408,EM$4:EM408))</f>
        <v>4.2644911143566446</v>
      </c>
      <c r="ET408" s="200" t="str">
        <f t="shared" si="720"/>
        <v/>
      </c>
      <c r="EU408" s="203">
        <f>IF($J408="",#N/A,SUM(ET$4:ET408))</f>
        <v>-0.56361328049859927</v>
      </c>
      <c r="EV408" s="204" t="str">
        <f t="shared" si="721"/>
        <v/>
      </c>
      <c r="EW408" s="204">
        <f>IF($J408="",#N/A,SUM(EV$4:EV408))</f>
        <v>7.9116394275462909E-2</v>
      </c>
      <c r="EX408" s="205" t="str">
        <f t="shared" si="722"/>
        <v/>
      </c>
      <c r="EY408" s="205">
        <f>IF($J408="",#N/A,SUM(EX$4:EX408))</f>
        <v>0.62848633887309935</v>
      </c>
      <c r="EZ408" s="205">
        <f>IF($J408="",#N/A,SUM(EX$4:EX408,EV$4:EV408,ET$4:ET408))</f>
        <v>0.14398945264996266</v>
      </c>
      <c r="FA408" s="200" t="str">
        <f t="shared" si="723"/>
        <v/>
      </c>
      <c r="FB408" s="203">
        <f>IF($J408="",#N/A,SUM(FA$4:FA408))</f>
        <v>-0.27145310509113252</v>
      </c>
      <c r="FC408" s="204" t="str">
        <f t="shared" si="724"/>
        <v/>
      </c>
      <c r="FD408" s="204">
        <f>IF($J408="",#N/A,SUM(FC$4:FC408))</f>
        <v>0.89084290967454072</v>
      </c>
      <c r="FE408" s="205" t="str">
        <f t="shared" si="725"/>
        <v/>
      </c>
      <c r="FF408" s="205">
        <f>IF($J408="",#N/A,SUM(FE$4:FE408))</f>
        <v>-0.28811149078748233</v>
      </c>
      <c r="FG408" s="205">
        <f>IF($J408="",#N/A,SUM(FE$4:FE408,FC$4:FC408,FA$4:FA408))</f>
        <v>0.3312783137959262</v>
      </c>
      <c r="FH408" s="200" t="str">
        <f t="shared" si="726"/>
        <v/>
      </c>
      <c r="FI408" s="203">
        <f>IF($J408="",#N/A,SUM(FH$4:FH408))</f>
        <v>0</v>
      </c>
      <c r="FJ408" s="204" t="str">
        <f t="shared" si="727"/>
        <v/>
      </c>
      <c r="FK408" s="204">
        <f>IF($J408="",#N/A,SUM(FJ$4:FJ408))</f>
        <v>0</v>
      </c>
      <c r="FL408" s="205" t="str">
        <f t="shared" si="728"/>
        <v/>
      </c>
      <c r="FM408" s="205">
        <f>IF($J408="",#N/A,SUM(FL$4:FL408))</f>
        <v>0</v>
      </c>
      <c r="FN408" s="205">
        <f>IF($J408="",#N/A,SUM(FL$4:FL408,FJ$4:FJ408,FH$4:FH408))</f>
        <v>0</v>
      </c>
      <c r="FO408" s="200" t="str">
        <f t="shared" si="729"/>
        <v/>
      </c>
      <c r="FP408" s="203">
        <f>IF($J408="",#N/A,SUM(FO$4:FO408))</f>
        <v>0</v>
      </c>
      <c r="FQ408" s="204" t="str">
        <f t="shared" si="730"/>
        <v/>
      </c>
      <c r="FR408" s="204">
        <f>IF($J408="",#N/A,SUM(FQ$4:FQ408))</f>
        <v>0</v>
      </c>
      <c r="FS408" s="205" t="str">
        <f t="shared" si="731"/>
        <v/>
      </c>
      <c r="FT408" s="205">
        <f>IF($J408="",#N/A,SUM(FS$4:FS408))</f>
        <v>0</v>
      </c>
      <c r="FU408" s="205">
        <f>IF($J408="",#N/A,SUM(FS$4:FS408,FQ$4:FQ408,FO$4:FO408))</f>
        <v>0</v>
      </c>
      <c r="FV408" s="200" t="str">
        <f t="shared" si="732"/>
        <v/>
      </c>
      <c r="FW408" s="203">
        <f>IF($J408="",#N/A,SUM(FV$4:FV408))</f>
        <v>6.6834991831277585E-2</v>
      </c>
      <c r="FX408" s="204" t="str">
        <f t="shared" si="733"/>
        <v/>
      </c>
      <c r="FY408" s="204">
        <f>IF($J408="",#N/A,SUM(FX$4:FX408))</f>
        <v>-0.16102012791805576</v>
      </c>
      <c r="FZ408" s="205" t="str">
        <f t="shared" si="734"/>
        <v/>
      </c>
      <c r="GA408" s="205">
        <f>IF($J408="",#N/A,SUM(FZ$4:FZ408))</f>
        <v>-0.69624339162892301</v>
      </c>
      <c r="GB408" s="205">
        <f>IF($J408="",#N/A,SUM(FZ$4:FZ408,FX$4:FX408,FV$4:FV408))</f>
        <v>-0.79042852771570116</v>
      </c>
      <c r="GC408" s="200" t="str">
        <f t="shared" si="735"/>
        <v/>
      </c>
      <c r="GD408" s="203">
        <f>IF($J408="",#N/A,SUM(GC$4:GC408))</f>
        <v>0</v>
      </c>
      <c r="GE408" s="204" t="str">
        <f t="shared" si="736"/>
        <v/>
      </c>
      <c r="GF408" s="204">
        <f>IF($J408="",#N/A,SUM(GE$4:GE408))</f>
        <v>0</v>
      </c>
      <c r="GG408" s="205" t="str">
        <f t="shared" si="737"/>
        <v/>
      </c>
      <c r="GH408" s="205">
        <f>IF($J408="",#N/A,SUM(GG$4:GG408))</f>
        <v>-2.9368362277223206</v>
      </c>
      <c r="GI408" s="205">
        <f>IF($J408="",#N/A,SUM(GG$4:GG408,GE$4:GE408,GC$4:GC408))</f>
        <v>-2.9368362277223206</v>
      </c>
      <c r="GJ408" s="200" t="str">
        <f t="shared" si="738"/>
        <v/>
      </c>
      <c r="GK408" s="203">
        <f>IF($J408="",#N/A,SUM(GJ$4:GJ408))</f>
        <v>0</v>
      </c>
      <c r="GL408" s="204" t="str">
        <f t="shared" si="739"/>
        <v/>
      </c>
      <c r="GM408" s="204">
        <f>IF($J408="",#N/A,SUM(GL$4:GL408))</f>
        <v>-2.0621307233432784</v>
      </c>
      <c r="GN408" s="205" t="str">
        <f t="shared" si="740"/>
        <v/>
      </c>
      <c r="GO408" s="205">
        <f>IF($J408="",#N/A,SUM(GN$4:GN408))</f>
        <v>0</v>
      </c>
      <c r="GP408" s="205">
        <f>IF($J408="",#N/A,SUM(GN$4:GN408,GL$4:GL408,GJ$4:GJ408))</f>
        <v>-2.0621307233432784</v>
      </c>
      <c r="GS408" s="54" t="str">
        <f t="shared" si="759"/>
        <v/>
      </c>
      <c r="GT408" s="54" t="e">
        <f>IF(GS408="",NA(),SUM($GS$4:GS408))</f>
        <v>#N/A</v>
      </c>
      <c r="GU408" s="54" t="str">
        <f t="shared" si="741"/>
        <v/>
      </c>
      <c r="GV408" s="54" t="e">
        <f>IF(GU408="",NA(),SUM($GU$4:GU408))</f>
        <v>#N/A</v>
      </c>
      <c r="GW408" s="54" t="str">
        <f t="shared" si="742"/>
        <v/>
      </c>
      <c r="GX408" s="54" t="e">
        <f>IF(GW408="",NA(),SUM($GW$4:GW408))</f>
        <v>#N/A</v>
      </c>
      <c r="GY408" s="54" t="str">
        <f t="shared" si="743"/>
        <v/>
      </c>
      <c r="GZ408" s="54" t="e">
        <f>IF(GY408="",NA(),SUM($GY$4:GY408))</f>
        <v>#N/A</v>
      </c>
      <c r="HA408" s="54">
        <f t="shared" si="744"/>
        <v>2.1523367251701586</v>
      </c>
      <c r="HB408" s="54">
        <f>IF(HA408="",NA(),SUM($HA$4:HA408))</f>
        <v>-1.9121672485790437</v>
      </c>
      <c r="HC408" s="54" t="str">
        <f t="shared" si="745"/>
        <v/>
      </c>
      <c r="HD408" s="54" t="e">
        <f>IF(HC408="",NA(),SUM($HC$4:HC408))</f>
        <v>#N/A</v>
      </c>
      <c r="HE408" s="54">
        <f t="shared" si="746"/>
        <v>2.1523367251701586</v>
      </c>
      <c r="HF408" s="54">
        <f>IF(HE408="",NA(),SUM($HE$4:HE408))</f>
        <v>-1.1360939699283281</v>
      </c>
      <c r="HG408" s="54" t="str">
        <f t="shared" si="747"/>
        <v/>
      </c>
      <c r="HH408" s="54" t="e">
        <f>IF(HG408="",NA(),SUM($HG$4:HG408))</f>
        <v>#N/A</v>
      </c>
      <c r="HI408" s="172" t="str">
        <f t="shared" si="760"/>
        <v/>
      </c>
      <c r="HJ408" s="172">
        <f>IF($J408="",#N/A,SUM(HI$4:$HI408))</f>
        <v>-11.384655655360691</v>
      </c>
      <c r="HK408" s="54" t="str">
        <f t="shared" si="748"/>
        <v/>
      </c>
      <c r="HL408" s="54">
        <f>IF($J408="",#N/A,SUM($HK$4:HK408))</f>
        <v>7.6415354417754555</v>
      </c>
      <c r="HM408" s="54" t="str">
        <f t="shared" si="749"/>
        <v/>
      </c>
      <c r="HN408" s="54">
        <f>IF($J408="",#N/A,SUM($HM$4:HM408))</f>
        <v>1.0671238705763564</v>
      </c>
      <c r="HO408" s="54" t="str">
        <f t="shared" si="750"/>
        <v/>
      </c>
      <c r="HP408" s="54">
        <f>IF($J408="",#N/A,SUM($HO$4:HO408))</f>
        <v>-0.44411186108555778</v>
      </c>
      <c r="HQ408" s="54">
        <f t="shared" si="751"/>
        <v>-0.22081085387784882</v>
      </c>
      <c r="HR408" s="54">
        <f>IF($J408="",#N/A,SUM($HQ$4:HQ408))</f>
        <v>-15.217945954670494</v>
      </c>
      <c r="HS408" s="54" t="str">
        <f t="shared" si="752"/>
        <v/>
      </c>
      <c r="HT408" s="54">
        <f>IF($J408="",#N/A,SUM($HS$4:HS408))</f>
        <v>14.182914386045674</v>
      </c>
      <c r="HU408" s="65">
        <f t="shared" si="753"/>
        <v>1.9315258712923098</v>
      </c>
      <c r="HV408" s="65">
        <f>IF($J408="",#N/A,SUM(HU$4:$HU408))</f>
        <v>6.1430803775632175</v>
      </c>
    </row>
    <row r="409" spans="1:230" ht="15.75" thickBot="1" x14ac:dyDescent="0.3">
      <c r="A409" s="292" t="s">
        <v>1168</v>
      </c>
      <c r="B409" s="293" t="s">
        <v>5656</v>
      </c>
      <c r="C409" s="294">
        <f t="shared" si="654"/>
        <v>1</v>
      </c>
      <c r="D409" s="295" t="str">
        <f>_xlfn.XLOOKUP(A409,[1]SP500!$A$2:$A$502,[1]SP500!$D$2:$D$502,"N")</f>
        <v>N</v>
      </c>
      <c r="E409" s="292" t="str">
        <f>IFERROR(_xlfn.XLOOKUP(A409,[1]SP500!$A$2:$A$655,[1]SP500!$B$2:$B$655),"")</f>
        <v>XLI</v>
      </c>
      <c r="F409" s="296">
        <v>45818</v>
      </c>
      <c r="G409" s="292" t="str">
        <f t="shared" si="655"/>
        <v>BMO</v>
      </c>
      <c r="H409" s="292" t="str">
        <f t="shared" si="656"/>
        <v>o</v>
      </c>
      <c r="I409" s="345">
        <v>59.33</v>
      </c>
      <c r="J409" s="297">
        <v>57.31</v>
      </c>
      <c r="K409" s="298">
        <f t="shared" si="657"/>
        <v>-3.4046856564975497E-2</v>
      </c>
      <c r="L409" s="299">
        <f t="shared" si="658"/>
        <v>44.439999999999827</v>
      </c>
      <c r="M409" s="300">
        <f t="shared" si="659"/>
        <v>0</v>
      </c>
      <c r="N409" s="341">
        <f t="shared" si="660"/>
        <v>-44.439999999999827</v>
      </c>
      <c r="O409" s="300">
        <f>IF(N409="",#N/A,SUM($N$4:N409))</f>
        <v>252.29107492035598</v>
      </c>
      <c r="P409" s="305">
        <f t="shared" si="754"/>
        <v>-0.56744760941625716</v>
      </c>
      <c r="Q409" s="304">
        <f>IF($N409="",#N/A,SUM($P$4:P409))</f>
        <v>10.226945996733765</v>
      </c>
      <c r="R409" s="307">
        <f t="shared" si="661"/>
        <v>1.3045579238857741</v>
      </c>
      <c r="S409" s="292" t="str">
        <f t="shared" si="662"/>
        <v>Up</v>
      </c>
      <c r="T409" s="292" t="s">
        <v>4461</v>
      </c>
      <c r="U409" s="308">
        <f t="shared" si="663"/>
        <v>59.33</v>
      </c>
      <c r="V409" s="308" t="s">
        <v>4458</v>
      </c>
      <c r="W409" s="310">
        <v>22</v>
      </c>
      <c r="X409" s="309">
        <f t="shared" si="664"/>
        <v>1305.26</v>
      </c>
      <c r="Y409" s="310">
        <f t="shared" si="665"/>
        <v>22</v>
      </c>
      <c r="Z409" s="311">
        <v>57.31</v>
      </c>
      <c r="AA409" s="341">
        <f t="shared" si="666"/>
        <v>44.439999999999827</v>
      </c>
      <c r="AB409" s="341">
        <f t="shared" si="667"/>
        <v>27.059999999999945</v>
      </c>
      <c r="AC409" s="297">
        <v>58.1</v>
      </c>
      <c r="AD409" s="301">
        <f t="shared" si="668"/>
        <v>-27.059999999999945</v>
      </c>
      <c r="AE409" s="546">
        <f t="shared" si="669"/>
        <v>-0.34552502949603842</v>
      </c>
      <c r="AF409" s="300">
        <f>IF($AC409="",#N/A,SUM(AD$4:AD409))</f>
        <v>173.70996410331463</v>
      </c>
      <c r="AG409" s="341">
        <f t="shared" si="670"/>
        <v>17.379999999999882</v>
      </c>
      <c r="AH409" s="308" t="s">
        <v>2507</v>
      </c>
      <c r="AI409" s="305">
        <f t="shared" si="671"/>
        <v>0.56744760941625716</v>
      </c>
      <c r="AJ409" s="418">
        <f>IF(AI409="",#N/A,SUM($AI$4:AI409))</f>
        <v>8.9223880728479905</v>
      </c>
      <c r="AK409" s="308">
        <f t="shared" si="672"/>
        <v>44.439999999999827</v>
      </c>
      <c r="AL409" s="406">
        <f>IF(AI409="",#N/A,IF(AH409="Skip",SUM($AK$4:AK409),SUM($AK$4:AK409)))</f>
        <v>258.3423692784811</v>
      </c>
      <c r="AM409" s="65">
        <f t="shared" si="755"/>
        <v>-0.34552502949603842</v>
      </c>
      <c r="AN409" s="209"/>
      <c r="AO409" s="65" t="str">
        <f t="shared" si="673"/>
        <v/>
      </c>
      <c r="AP409" s="65">
        <f>IF($AC409="",#N/A,SUM(AO$4:AO409))</f>
        <v>7.1835006421789984</v>
      </c>
      <c r="AQ409" s="65">
        <f t="shared" si="674"/>
        <v>-0.34552502949603842</v>
      </c>
      <c r="AR409" s="65">
        <f>IF($AC409="",#N/A,SUM(AQ$4:AQ409))</f>
        <v>-8.0895298480836644</v>
      </c>
      <c r="AS409" s="65" t="str">
        <f t="shared" si="675"/>
        <v/>
      </c>
      <c r="AT409" s="65">
        <f>IF($AC409="",#N/A,SUM(AS$4:AS409))</f>
        <v>6.7035845539718384</v>
      </c>
      <c r="AU409" s="57" t="str">
        <f t="shared" si="756"/>
        <v/>
      </c>
      <c r="AV409" s="57">
        <f>IF($AC409="",#N/A,SUM(AU$4:AU409))</f>
        <v>288.60383890574622</v>
      </c>
      <c r="AW409" s="57">
        <f t="shared" si="757"/>
        <v>-27.059999999999945</v>
      </c>
      <c r="AX409" s="57">
        <f>IF($AC409="",#N/A,SUM(AW$4:AW409))</f>
        <v>-613.731067979611</v>
      </c>
      <c r="AY409" s="57" t="str">
        <f t="shared" si="758"/>
        <v/>
      </c>
      <c r="AZ409" s="57">
        <f>IF($AC409="",#N/A,SUM(AY$4:AY409))</f>
        <v>498.8371931771793</v>
      </c>
      <c r="BA409" s="57">
        <f>IF(AD409="",#N/A,SUM($AD$4:AD409))</f>
        <v>173.70996410331463</v>
      </c>
      <c r="BC409" s="51" t="str">
        <f t="shared" si="676"/>
        <v/>
      </c>
      <c r="BD409" s="51" t="str">
        <f t="shared" si="677"/>
        <v/>
      </c>
      <c r="BE409" s="51" t="str">
        <f t="shared" si="678"/>
        <v/>
      </c>
      <c r="BF409" s="51" t="str">
        <f t="shared" si="679"/>
        <v>Long</v>
      </c>
      <c r="BG409" s="51" t="str">
        <f t="shared" si="680"/>
        <v/>
      </c>
      <c r="BH409" s="51">
        <f t="shared" si="681"/>
        <v>1</v>
      </c>
      <c r="BI409" s="51" t="str">
        <f t="shared" si="682"/>
        <v/>
      </c>
      <c r="BK409" s="65">
        <f t="shared" si="653"/>
        <v>-5.3365498127128673E-2</v>
      </c>
      <c r="BL409" s="65">
        <f t="shared" si="652"/>
        <v>-2.4787980946912994E-2</v>
      </c>
      <c r="BM409" s="65">
        <f>IFERROR(Q409/COUNTA($J$4:J409),#N/A)</f>
        <v>2.518952215944277E-2</v>
      </c>
      <c r="BO409" s="489" t="e">
        <f>IF(J409="",#N/A,IF(S409="SW",(COUNTIFS(K$4:$K409,"&gt;0",S$4:$S409,"SW")/COUNTIF(S$4:$S409,"SW")),#N/A))</f>
        <v>#N/A</v>
      </c>
      <c r="BP409" s="489" t="e">
        <f>IF($J409="",#N/A,IF($S409="DWN",(COUNTIFS($K$4:$K409,"&lt;0",$S$4:$S409,"DWN")/COUNTIF($S$4:$S409,"DWN")),#N/A))</f>
        <v>#N/A</v>
      </c>
      <c r="BQ409" s="489">
        <f>IF($J409="",#N/A,IF($S409="UP",(COUNTIFS($K$4:$K409,"&gt;0",$S$4:$S409,"UP")/COUNTIF($S$4:$S409,"UP")),#N/A))</f>
        <v>0.43478260869565216</v>
      </c>
      <c r="BR409" s="489">
        <f>IF(J409="",#N/A,COUNTIF($K$4:K409,"&gt;0")/COUNT($J$4:J409))</f>
        <v>0.47044334975369456</v>
      </c>
      <c r="BS409" s="65" t="str">
        <f t="shared" si="683"/>
        <v/>
      </c>
      <c r="BT409" s="65" t="str">
        <f t="shared" si="684"/>
        <v/>
      </c>
      <c r="BU409" s="65">
        <f t="shared" si="685"/>
        <v>-0.56744760941625716</v>
      </c>
      <c r="BV409" s="65" t="str">
        <f t="shared" si="686"/>
        <v/>
      </c>
      <c r="BW409" s="128">
        <f t="shared" si="687"/>
        <v>-44.439999999999827</v>
      </c>
      <c r="BX409" s="128">
        <f>IF($J409="",#N/A,SUM($BW$4:BW409))</f>
        <v>-703.33317034792958</v>
      </c>
      <c r="BY409" s="131" t="str">
        <f t="shared" si="688"/>
        <v/>
      </c>
      <c r="BZ409" s="131">
        <f>IF($J409="",#N/A,SUM($BY$4:BY409))</f>
        <v>533.40161346139416</v>
      </c>
      <c r="CA409" s="133" t="str">
        <f t="shared" si="689"/>
        <v/>
      </c>
      <c r="CB409" s="133">
        <f>IF($J409="",#N/A,SUM($CA$4:CA409))</f>
        <v>422.22263180689117</v>
      </c>
      <c r="CC409" s="194">
        <f t="shared" si="690"/>
        <v>-0.56744760941625716</v>
      </c>
      <c r="CD409" s="194">
        <f>IF($J409="",#N/A,SUM($CC$4:CC409))</f>
        <v>-8.9344644374946807</v>
      </c>
      <c r="CE409" s="195" t="str">
        <f t="shared" si="691"/>
        <v/>
      </c>
      <c r="CF409" s="195">
        <f>IF($J409="",#N/A,SUM($CE$4:CE409))</f>
        <v>10.446704767557083</v>
      </c>
      <c r="CG409" s="196" t="str">
        <f t="shared" si="692"/>
        <v/>
      </c>
      <c r="CH409" s="196">
        <f>IF($J409="",#N/A,SUM($CG$4:CG409))</f>
        <v>8.7147056666713745</v>
      </c>
      <c r="CI409" s="200" t="str">
        <f t="shared" si="693"/>
        <v/>
      </c>
      <c r="CJ409" s="203">
        <f>IF($J409="",#N/A,SUM(CI$4:CI409))</f>
        <v>0</v>
      </c>
      <c r="CK409" s="204" t="str">
        <f t="shared" si="694"/>
        <v/>
      </c>
      <c r="CL409" s="204">
        <f>IF($J409="",#N/A,SUM(CK$4:CK409))</f>
        <v>2.0825010564889137</v>
      </c>
      <c r="CM409" s="205" t="str">
        <f t="shared" si="695"/>
        <v/>
      </c>
      <c r="CN409" s="205">
        <f>IF($J409="",#N/A,SUM(CM$4:CM409))</f>
        <v>-0.88786801747311794</v>
      </c>
      <c r="CO409" s="205">
        <f>IF($J409="",#N/A,SUM(CM$4:CM409,CK$4:CK409,CI$4:CI409))</f>
        <v>1.1946330390157962</v>
      </c>
      <c r="CP409" s="200" t="str">
        <f t="shared" si="696"/>
        <v/>
      </c>
      <c r="CQ409" s="203">
        <f>IF($J409="",#N/A,SUM(CP$4:CP409))</f>
        <v>-3.993192333715871</v>
      </c>
      <c r="CR409" s="204" t="str">
        <f t="shared" si="697"/>
        <v/>
      </c>
      <c r="CS409" s="204">
        <f>IF($J409="",#N/A,SUM(CR$4:CR409))</f>
        <v>2.3600225017004668</v>
      </c>
      <c r="CT409" s="205" t="str">
        <f t="shared" si="698"/>
        <v/>
      </c>
      <c r="CU409" s="205">
        <f>IF($J409="",#N/A,SUM(CT$4:CT409))</f>
        <v>-9.802372400327279</v>
      </c>
      <c r="CV409" s="205">
        <f>IF($J409="",#N/A,SUM(CT$4:CT409,CR$4:CR409,CP$4:CP409))</f>
        <v>-11.435542232342684</v>
      </c>
      <c r="CW409" s="200" t="str">
        <f t="shared" si="699"/>
        <v/>
      </c>
      <c r="CX409" s="203">
        <f>IF($J409="",#N/A,SUM(CW$4:CW409))</f>
        <v>-6.3374847922823907</v>
      </c>
      <c r="CY409" s="204" t="str">
        <f t="shared" si="700"/>
        <v/>
      </c>
      <c r="CZ409" s="204">
        <f>IF($J409="",#N/A,SUM(CY$4:CY409))</f>
        <v>-2.6367641712432155</v>
      </c>
      <c r="DA409" s="205" t="str">
        <f t="shared" si="701"/>
        <v/>
      </c>
      <c r="DB409" s="205">
        <f>IF($J409="",#N/A,SUM(DA$4:DA409))</f>
        <v>-1.3155870379734311</v>
      </c>
      <c r="DC409" s="205">
        <f>IF($J409="",#N/A,SUM(DA$4:DA409,CY$4:CY409,CW$4:CW409))</f>
        <v>-10.289836001499038</v>
      </c>
      <c r="DD409" s="200" t="str">
        <f t="shared" si="702"/>
        <v/>
      </c>
      <c r="DE409" s="203">
        <f>IF($J409="",#N/A,SUM(DD$4:DD409))</f>
        <v>2.1903002454447948</v>
      </c>
      <c r="DF409" s="204" t="str">
        <f t="shared" si="703"/>
        <v/>
      </c>
      <c r="DG409" s="204">
        <f>IF($J409="",#N/A,SUM(DF$4:DF409))</f>
        <v>3.7844462787298916</v>
      </c>
      <c r="DH409" s="205" t="str">
        <f t="shared" si="704"/>
        <v/>
      </c>
      <c r="DI409" s="205">
        <f>IF($J409="",#N/A,SUM(DH$4:DH409))</f>
        <v>1.1482786833538656</v>
      </c>
      <c r="DJ409" s="205">
        <f>IF($J409="",#N/A,SUM(DH$4:DH409,DF$4:DF409,DD$4:DD409))</f>
        <v>7.1230252075285527</v>
      </c>
      <c r="DK409" s="200" t="str">
        <f t="shared" si="705"/>
        <v/>
      </c>
      <c r="DL409" s="203">
        <f>IF($J409="",#N/A,SUM(DK$4:DK409))</f>
        <v>-0.84049791589649614</v>
      </c>
      <c r="DM409" s="204" t="str">
        <f t="shared" si="706"/>
        <v/>
      </c>
      <c r="DN409" s="204">
        <f>IF($J409="",#N/A,SUM(DM$4:DM409))</f>
        <v>1.8657648196498773</v>
      </c>
      <c r="DO409" s="205" t="str">
        <f t="shared" si="707"/>
        <v/>
      </c>
      <c r="DP409" s="205">
        <f>IF($J409="",#N/A,SUM(DO$4:DO409))</f>
        <v>3.4887162328793941</v>
      </c>
      <c r="DQ409" s="205">
        <f>IF($J409="",#N/A,SUM(DO$4:DO409,DM$4:DM409,DK$4:DK409))</f>
        <v>4.5139831366327758</v>
      </c>
      <c r="DR409" s="200" t="str">
        <f t="shared" si="708"/>
        <v/>
      </c>
      <c r="DS409" s="203">
        <f>IF($J409="",#N/A,SUM(DR$4:DR409))</f>
        <v>-0.55950946427675097</v>
      </c>
      <c r="DT409" s="204" t="str">
        <f t="shared" si="709"/>
        <v/>
      </c>
      <c r="DU409" s="204">
        <f>IF($J409="",#N/A,SUM(DT$4:DT409))</f>
        <v>-0.20750635820596686</v>
      </c>
      <c r="DV409" s="205" t="str">
        <f t="shared" si="710"/>
        <v/>
      </c>
      <c r="DW409" s="205">
        <f>IF($J409="",#N/A,SUM(DV$4:DV409))</f>
        <v>-2.3377035686214001</v>
      </c>
      <c r="DX409" s="205">
        <f>IF($J409="",#N/A,SUM(DV$4:DV409,DT$4:DT409,DR$4:DR409))</f>
        <v>-3.1047193911041169</v>
      </c>
      <c r="DY409" s="200">
        <f t="shared" si="711"/>
        <v>-0.56744760941625716</v>
      </c>
      <c r="DZ409" s="203">
        <f>IF($J409="",#N/A,SUM(DY$4:DY409))</f>
        <v>0.24785202869748424</v>
      </c>
      <c r="EA409" s="204" t="str">
        <f t="shared" si="712"/>
        <v/>
      </c>
      <c r="EB409" s="204">
        <f>IF($J409="",#N/A,SUM(EA$4:EA409))</f>
        <v>4.3184391548878134</v>
      </c>
      <c r="EC409" s="205" t="str">
        <f t="shared" si="713"/>
        <v/>
      </c>
      <c r="ED409" s="205">
        <f>IF($J409="",#N/A,SUM(EC$4:EC409))</f>
        <v>8.4384553208490907</v>
      </c>
      <c r="EE409" s="205">
        <f>IF($J409="",#N/A,SUM(EC$4:EC409,EA$4:EA409,DY$4:DY409))</f>
        <v>13.00474650443439</v>
      </c>
      <c r="EF409" s="200" t="str">
        <f t="shared" si="714"/>
        <v/>
      </c>
      <c r="EG409" s="203">
        <f>IF($J409="",#N/A,SUM(EF$4:EF409))</f>
        <v>0.65848341369884777</v>
      </c>
      <c r="EH409" s="204" t="str">
        <f t="shared" si="715"/>
        <v/>
      </c>
      <c r="EI409" s="204">
        <f>IF($J409="",#N/A,SUM(EH$4:EH409))</f>
        <v>-3.5125331561187787</v>
      </c>
      <c r="EJ409" s="205" t="str">
        <f t="shared" si="716"/>
        <v/>
      </c>
      <c r="EK409" s="205">
        <f>IF($J409="",#N/A,SUM(EJ$4:EJ409))</f>
        <v>13.156552985368888</v>
      </c>
      <c r="EL409" s="205">
        <f>IF($J409="",#N/A,SUM(EJ$4:EJ409,EH$4:EH409,EF$4:EF409))</f>
        <v>10.30250324294896</v>
      </c>
      <c r="EM409" s="200" t="str">
        <f t="shared" si="717"/>
        <v/>
      </c>
      <c r="EN409" s="203">
        <f>IF($J409="",#N/A,SUM(EM$4:EM409))</f>
        <v>0</v>
      </c>
      <c r="EO409" s="204" t="str">
        <f t="shared" si="718"/>
        <v/>
      </c>
      <c r="EP409" s="204">
        <f>IF($J409="",#N/A,SUM(EO$4:EO409))</f>
        <v>2.4788862078089964</v>
      </c>
      <c r="EQ409" s="205" t="str">
        <f t="shared" si="719"/>
        <v/>
      </c>
      <c r="ER409" s="205">
        <f>IF($J409="",#N/A,SUM(EQ$4:EQ409))</f>
        <v>1.7856049065476487</v>
      </c>
      <c r="ES409" s="205">
        <f>IF($J409="",#N/A,SUM(EQ$4:EQ409,EO$4:EO409,EM$4:EM409))</f>
        <v>4.2644911143566446</v>
      </c>
      <c r="ET409" s="200" t="str">
        <f t="shared" si="720"/>
        <v/>
      </c>
      <c r="EU409" s="203">
        <f>IF($J409="",#N/A,SUM(ET$4:ET409))</f>
        <v>-0.56361328049859927</v>
      </c>
      <c r="EV409" s="204" t="str">
        <f t="shared" si="721"/>
        <v/>
      </c>
      <c r="EW409" s="204">
        <f>IF($J409="",#N/A,SUM(EV$4:EV409))</f>
        <v>7.9116394275462909E-2</v>
      </c>
      <c r="EX409" s="205" t="str">
        <f t="shared" si="722"/>
        <v/>
      </c>
      <c r="EY409" s="205">
        <f>IF($J409="",#N/A,SUM(EX$4:EX409))</f>
        <v>0.62848633887309935</v>
      </c>
      <c r="EZ409" s="205">
        <f>IF($J409="",#N/A,SUM(EX$4:EX409,EV$4:EV409,ET$4:ET409))</f>
        <v>0.14398945264996266</v>
      </c>
      <c r="FA409" s="200" t="str">
        <f t="shared" si="723"/>
        <v/>
      </c>
      <c r="FB409" s="203">
        <f>IF($J409="",#N/A,SUM(FA$4:FA409))</f>
        <v>-0.27145310509113252</v>
      </c>
      <c r="FC409" s="204" t="str">
        <f t="shared" si="724"/>
        <v/>
      </c>
      <c r="FD409" s="204">
        <f>IF($J409="",#N/A,SUM(FC$4:FC409))</f>
        <v>0.89084290967454072</v>
      </c>
      <c r="FE409" s="205" t="str">
        <f t="shared" si="725"/>
        <v/>
      </c>
      <c r="FF409" s="205">
        <f>IF($J409="",#N/A,SUM(FE$4:FE409))</f>
        <v>-0.28811149078748233</v>
      </c>
      <c r="FG409" s="205">
        <f>IF($J409="",#N/A,SUM(FE$4:FE409,FC$4:FC409,FA$4:FA409))</f>
        <v>0.3312783137959262</v>
      </c>
      <c r="FH409" s="200" t="str">
        <f t="shared" si="726"/>
        <v/>
      </c>
      <c r="FI409" s="203">
        <f>IF($J409="",#N/A,SUM(FH$4:FH409))</f>
        <v>0</v>
      </c>
      <c r="FJ409" s="204" t="str">
        <f t="shared" si="727"/>
        <v/>
      </c>
      <c r="FK409" s="204">
        <f>IF($J409="",#N/A,SUM(FJ$4:FJ409))</f>
        <v>0</v>
      </c>
      <c r="FL409" s="205" t="str">
        <f t="shared" si="728"/>
        <v/>
      </c>
      <c r="FM409" s="205">
        <f>IF($J409="",#N/A,SUM(FL$4:FL409))</f>
        <v>0</v>
      </c>
      <c r="FN409" s="205">
        <f>IF($J409="",#N/A,SUM(FL$4:FL409,FJ$4:FJ409,FH$4:FH409))</f>
        <v>0</v>
      </c>
      <c r="FO409" s="200" t="str">
        <f t="shared" si="729"/>
        <v/>
      </c>
      <c r="FP409" s="203">
        <f>IF($J409="",#N/A,SUM(FO$4:FO409))</f>
        <v>0</v>
      </c>
      <c r="FQ409" s="204" t="str">
        <f t="shared" si="730"/>
        <v/>
      </c>
      <c r="FR409" s="204">
        <f>IF($J409="",#N/A,SUM(FQ$4:FQ409))</f>
        <v>0</v>
      </c>
      <c r="FS409" s="205" t="str">
        <f t="shared" si="731"/>
        <v/>
      </c>
      <c r="FT409" s="205">
        <f>IF($J409="",#N/A,SUM(FS$4:FS409))</f>
        <v>0</v>
      </c>
      <c r="FU409" s="205">
        <f>IF($J409="",#N/A,SUM(FS$4:FS409,FQ$4:FQ409,FO$4:FO409))</f>
        <v>0</v>
      </c>
      <c r="FV409" s="200" t="str">
        <f t="shared" si="732"/>
        <v/>
      </c>
      <c r="FW409" s="203">
        <f>IF($J409="",#N/A,SUM(FV$4:FV409))</f>
        <v>6.6834991831277585E-2</v>
      </c>
      <c r="FX409" s="204" t="str">
        <f t="shared" si="733"/>
        <v/>
      </c>
      <c r="FY409" s="204">
        <f>IF($J409="",#N/A,SUM(FX$4:FX409))</f>
        <v>-0.16102012791805576</v>
      </c>
      <c r="FZ409" s="205" t="str">
        <f t="shared" si="734"/>
        <v/>
      </c>
      <c r="GA409" s="205">
        <f>IF($J409="",#N/A,SUM(FZ$4:FZ409))</f>
        <v>-0.69624339162892301</v>
      </c>
      <c r="GB409" s="205">
        <f>IF($J409="",#N/A,SUM(FZ$4:FZ409,FX$4:FX409,FV$4:FV409))</f>
        <v>-0.79042852771570116</v>
      </c>
      <c r="GC409" s="200" t="str">
        <f t="shared" si="735"/>
        <v/>
      </c>
      <c r="GD409" s="203">
        <f>IF($J409="",#N/A,SUM(GC$4:GC409))</f>
        <v>0</v>
      </c>
      <c r="GE409" s="204" t="str">
        <f t="shared" si="736"/>
        <v/>
      </c>
      <c r="GF409" s="204">
        <f>IF($J409="",#N/A,SUM(GE$4:GE409))</f>
        <v>0</v>
      </c>
      <c r="GG409" s="205" t="str">
        <f t="shared" si="737"/>
        <v/>
      </c>
      <c r="GH409" s="205">
        <f>IF($J409="",#N/A,SUM(GG$4:GG409))</f>
        <v>-2.9368362277223206</v>
      </c>
      <c r="GI409" s="205">
        <f>IF($J409="",#N/A,SUM(GG$4:GG409,GE$4:GE409,GC$4:GC409))</f>
        <v>-2.9368362277223206</v>
      </c>
      <c r="GJ409" s="200" t="str">
        <f t="shared" si="738"/>
        <v/>
      </c>
      <c r="GK409" s="203">
        <f>IF($J409="",#N/A,SUM(GJ$4:GJ409))</f>
        <v>0</v>
      </c>
      <c r="GL409" s="204" t="str">
        <f t="shared" si="739"/>
        <v/>
      </c>
      <c r="GM409" s="204">
        <f>IF($J409="",#N/A,SUM(GL$4:GL409))</f>
        <v>-2.0621307233432784</v>
      </c>
      <c r="GN409" s="205" t="str">
        <f t="shared" si="740"/>
        <v/>
      </c>
      <c r="GO409" s="205">
        <f>IF($J409="",#N/A,SUM(GN$4:GN409))</f>
        <v>0</v>
      </c>
      <c r="GP409" s="205">
        <f>IF($J409="",#N/A,SUM(GN$4:GN409,GL$4:GL409,GJ$4:GJ409))</f>
        <v>-2.0621307233432784</v>
      </c>
      <c r="GS409" s="54" t="str">
        <f t="shared" si="759"/>
        <v/>
      </c>
      <c r="GT409" s="54" t="e">
        <f>IF(GS409="",NA(),SUM($GS$4:GS409))</f>
        <v>#N/A</v>
      </c>
      <c r="GU409" s="54" t="str">
        <f t="shared" si="741"/>
        <v/>
      </c>
      <c r="GV409" s="54" t="e">
        <f>IF(GU409="",NA(),SUM($GU$4:GU409))</f>
        <v>#N/A</v>
      </c>
      <c r="GW409" s="54" t="str">
        <f t="shared" si="742"/>
        <v/>
      </c>
      <c r="GX409" s="54" t="e">
        <f>IF(GW409="",NA(),SUM($GW$4:GW409))</f>
        <v>#N/A</v>
      </c>
      <c r="GY409" s="54" t="str">
        <f t="shared" si="743"/>
        <v/>
      </c>
      <c r="GZ409" s="54" t="e">
        <f>IF(GY409="",NA(),SUM($GY$4:GY409))</f>
        <v>#N/A</v>
      </c>
      <c r="HA409" s="54">
        <f t="shared" si="744"/>
        <v>-0.56744760941625716</v>
      </c>
      <c r="HB409" s="54">
        <f>IF(HA409="",NA(),SUM($HA$4:HA409))</f>
        <v>-2.4796148579953008</v>
      </c>
      <c r="HC409" s="54">
        <f t="shared" si="745"/>
        <v>-0.56744760941625716</v>
      </c>
      <c r="HD409" s="54">
        <f>IF(HC409="",NA(),SUM($HC$4:HC409))</f>
        <v>-1.4336165097968272</v>
      </c>
      <c r="HE409" s="54" t="str">
        <f t="shared" si="746"/>
        <v/>
      </c>
      <c r="HF409" s="54" t="e">
        <f>IF(HE409="",NA(),SUM($HE$4:HE409))</f>
        <v>#N/A</v>
      </c>
      <c r="HG409" s="54" t="str">
        <f t="shared" si="747"/>
        <v/>
      </c>
      <c r="HH409" s="54" t="e">
        <f>IF(HG409="",NA(),SUM($HG$4:HG409))</f>
        <v>#N/A</v>
      </c>
      <c r="HI409" s="172" t="str">
        <f t="shared" si="760"/>
        <v/>
      </c>
      <c r="HJ409" s="172">
        <f>IF($J409="",#N/A,SUM(HI$4:$HI409))</f>
        <v>-11.384655655360691</v>
      </c>
      <c r="HK409" s="54" t="str">
        <f t="shared" si="748"/>
        <v/>
      </c>
      <c r="HL409" s="54">
        <f>IF($J409="",#N/A,SUM($HK$4:HK409))</f>
        <v>7.6415354417754555</v>
      </c>
      <c r="HM409" s="54" t="str">
        <f t="shared" si="749"/>
        <v/>
      </c>
      <c r="HN409" s="54">
        <f>IF($J409="",#N/A,SUM($HM$4:HM409))</f>
        <v>1.0671238705763564</v>
      </c>
      <c r="HO409" s="54">
        <f t="shared" si="750"/>
        <v>0.22192257992021874</v>
      </c>
      <c r="HP409" s="54">
        <f>IF($J409="",#N/A,SUM($HO$4:HO409))</f>
        <v>-0.22218928116533904</v>
      </c>
      <c r="HQ409" s="54" t="str">
        <f t="shared" si="751"/>
        <v/>
      </c>
      <c r="HR409" s="54">
        <f>IF($J409="",#N/A,SUM($HQ$4:HQ409))</f>
        <v>-15.217945954670494</v>
      </c>
      <c r="HS409" s="54" t="str">
        <f t="shared" si="752"/>
        <v/>
      </c>
      <c r="HT409" s="54">
        <f>IF($J409="",#N/A,SUM($HS$4:HS409))</f>
        <v>14.182914386045674</v>
      </c>
      <c r="HU409" s="65">
        <f t="shared" si="753"/>
        <v>-0.34552502949603842</v>
      </c>
      <c r="HV409" s="65">
        <f>IF($J409="",#N/A,SUM(HU$4:$HU409))</f>
        <v>5.7975553480671786</v>
      </c>
    </row>
    <row r="410" spans="1:230" x14ac:dyDescent="0.25">
      <c r="A410" s="59" t="s">
        <v>2588</v>
      </c>
      <c r="B410" s="289" t="s">
        <v>5657</v>
      </c>
      <c r="C410" s="230">
        <f t="shared" si="654"/>
        <v>3</v>
      </c>
      <c r="D410" s="220" t="str">
        <f>_xlfn.XLOOKUP(A410,[1]SP500!$A$2:$A$502,[1]SP500!$D$2:$D$502,"N")</f>
        <v>N</v>
      </c>
      <c r="E410" s="59" t="str">
        <f>IFERROR(_xlfn.XLOOKUP(A410,[1]SP500!$A$2:$A$655,[1]SP500!$B$2:$B$655),"")</f>
        <v>IGV</v>
      </c>
      <c r="F410" s="290">
        <v>45818</v>
      </c>
      <c r="G410" s="59" t="str">
        <f t="shared" si="655"/>
        <v>AMC</v>
      </c>
      <c r="H410" s="59" t="str">
        <f t="shared" si="656"/>
        <v>s</v>
      </c>
      <c r="I410" s="376">
        <v>48.51</v>
      </c>
      <c r="J410" s="125">
        <v>41.98</v>
      </c>
      <c r="K410" s="60">
        <f t="shared" si="657"/>
        <v>-0.13461142032570608</v>
      </c>
      <c r="L410" s="68">
        <f t="shared" si="658"/>
        <v>-176.31000000000017</v>
      </c>
      <c r="M410" s="62">
        <f t="shared" si="659"/>
        <v>0.54000000000019099</v>
      </c>
      <c r="N410" s="63">
        <f t="shared" si="660"/>
        <v>-176.31000000000017</v>
      </c>
      <c r="O410" s="62">
        <f>IF(N410="",#N/A,SUM($N$4:N410))</f>
        <v>75.981074920355809</v>
      </c>
      <c r="P410" s="64">
        <f t="shared" si="754"/>
        <v>-2.2435236720951033</v>
      </c>
      <c r="Q410" s="183">
        <f>IF($N410="",#N/A,SUM($P$4:P410))</f>
        <v>7.9834223246386617</v>
      </c>
      <c r="R410" s="279">
        <f t="shared" si="661"/>
        <v>1.297686488442908</v>
      </c>
      <c r="S410" s="59" t="str">
        <f t="shared" si="662"/>
        <v>SW</v>
      </c>
      <c r="T410" s="59" t="s">
        <v>2828</v>
      </c>
      <c r="U410" s="61">
        <f t="shared" si="663"/>
        <v>48.51</v>
      </c>
      <c r="V410" s="61" t="s">
        <v>4460</v>
      </c>
      <c r="W410" s="142">
        <v>27</v>
      </c>
      <c r="X410" s="146">
        <f t="shared" si="664"/>
        <v>1309.77</v>
      </c>
      <c r="Y410" s="142">
        <f t="shared" si="665"/>
        <v>27</v>
      </c>
      <c r="Z410" s="143">
        <v>42</v>
      </c>
      <c r="AA410" s="63">
        <f t="shared" si="666"/>
        <v>-175.76999999999998</v>
      </c>
      <c r="AB410" s="63">
        <f t="shared" si="667"/>
        <v>-138.77999999999997</v>
      </c>
      <c r="AC410" s="125">
        <v>43.37</v>
      </c>
      <c r="AD410" s="148">
        <f t="shared" si="668"/>
        <v>-138.77999999999997</v>
      </c>
      <c r="AE410" s="544">
        <f t="shared" si="669"/>
        <v>-1.7659589088160514</v>
      </c>
      <c r="AF410" s="62">
        <f>IF($AC410="",#N/A,SUM(AD$4:AD410))</f>
        <v>34.92996410331466</v>
      </c>
      <c r="AG410" s="63">
        <f t="shared" si="670"/>
        <v>37.5300000000002</v>
      </c>
      <c r="AH410" s="61" t="s">
        <v>2507</v>
      </c>
      <c r="AI410" s="64">
        <f t="shared" si="671"/>
        <v>-2.2366522366522368</v>
      </c>
      <c r="AJ410" s="420">
        <f>IF(AI410="",#N/A,SUM($AI$4:AI410))</f>
        <v>6.6857358361957537</v>
      </c>
      <c r="AK410" s="61">
        <f t="shared" si="672"/>
        <v>-175.76999999999998</v>
      </c>
      <c r="AL410" s="421">
        <f>IF(AI410="",#N/A,IF(AH410="Skip",SUM($AK$4:AK410),SUM($AK$4:AK410)))</f>
        <v>82.572369278481119</v>
      </c>
      <c r="AM410" s="65">
        <f t="shared" si="755"/>
        <v>-1.7659589088160514</v>
      </c>
      <c r="AN410" s="209"/>
      <c r="AO410" s="65">
        <f t="shared" si="673"/>
        <v>-1.7659589088160514</v>
      </c>
      <c r="AP410" s="65">
        <f>IF($AC410="",#N/A,SUM(AO$4:AO410))</f>
        <v>5.4175417333629472</v>
      </c>
      <c r="AQ410" s="65" t="str">
        <f t="shared" si="674"/>
        <v/>
      </c>
      <c r="AR410" s="65">
        <f>IF($AC410="",#N/A,SUM(AQ$4:AQ410))</f>
        <v>-8.0895298480836644</v>
      </c>
      <c r="AS410" s="65" t="str">
        <f t="shared" si="675"/>
        <v/>
      </c>
      <c r="AT410" s="65">
        <f>IF($AC410="",#N/A,SUM(AS$4:AS410))</f>
        <v>6.7035845539718384</v>
      </c>
      <c r="AU410" s="57">
        <f t="shared" si="756"/>
        <v>-138.77999999999997</v>
      </c>
      <c r="AV410" s="57">
        <f>IF($AC410="",#N/A,SUM(AU$4:AU410))</f>
        <v>149.82383890574624</v>
      </c>
      <c r="AW410" s="57" t="str">
        <f t="shared" si="757"/>
        <v/>
      </c>
      <c r="AX410" s="57">
        <f>IF($AC410="",#N/A,SUM(AW$4:AW410))</f>
        <v>-613.731067979611</v>
      </c>
      <c r="AY410" s="57" t="str">
        <f t="shared" si="758"/>
        <v/>
      </c>
      <c r="AZ410" s="57">
        <f>IF($AC410="",#N/A,SUM(AY$4:AY410))</f>
        <v>498.8371931771793</v>
      </c>
      <c r="BA410" s="57">
        <f>IF(AD410="",#N/A,SUM($AD$4:AD410))</f>
        <v>34.92996410331466</v>
      </c>
      <c r="BC410" s="51" t="str">
        <f t="shared" si="676"/>
        <v/>
      </c>
      <c r="BD410" s="51" t="str">
        <f t="shared" si="677"/>
        <v/>
      </c>
      <c r="BE410" s="51" t="str">
        <f t="shared" si="678"/>
        <v/>
      </c>
      <c r="BF410" s="51" t="str">
        <f t="shared" si="679"/>
        <v>Long</v>
      </c>
      <c r="BG410" s="51" t="str">
        <f t="shared" si="680"/>
        <v/>
      </c>
      <c r="BH410" s="51" t="str">
        <f t="shared" si="681"/>
        <v/>
      </c>
      <c r="BI410" s="51">
        <f t="shared" si="682"/>
        <v>1</v>
      </c>
      <c r="BK410" s="65">
        <f t="shared" si="653"/>
        <v>-0.17266693358029253</v>
      </c>
      <c r="BL410" s="65">
        <f t="shared" si="652"/>
        <v>-0.17654443170668599</v>
      </c>
      <c r="BM410" s="65">
        <f>IFERROR(Q410/COUNTA($J$4:J410),#N/A)</f>
        <v>1.9615288266925459E-2</v>
      </c>
      <c r="BO410" s="489">
        <f>IF(J410="",#N/A,IF(S410="SW",(COUNTIFS(K$4:$K410,"&gt;0",S$4:$S410,"SW")/COUNTIF(S$4:$S410,"SW")),#N/A))</f>
        <v>0.49494949494949497</v>
      </c>
      <c r="BP410" s="489" t="e">
        <f>IF($J410="",#N/A,IF($S410="DWN",(COUNTIFS($K$4:$K410,"&lt;0",$S$4:$S410,"DWN")/COUNTIF($S$4:$S410,"DWN")),#N/A))</f>
        <v>#N/A</v>
      </c>
      <c r="BQ410" s="489" t="e">
        <f>IF($J410="",#N/A,IF($S410="UP",(COUNTIFS($K$4:$K410,"&gt;0",$S$4:$S410,"UP")/COUNTIF($S$4:$S410,"UP")),#N/A))</f>
        <v>#N/A</v>
      </c>
      <c r="BR410" s="489">
        <f>IF(J410="",#N/A,COUNTIF($K$4:K410,"&gt;0")/COUNT($J$4:J410))</f>
        <v>0.46928746928746928</v>
      </c>
      <c r="BS410" s="65" t="str">
        <f t="shared" si="683"/>
        <v/>
      </c>
      <c r="BT410" s="65">
        <f t="shared" si="684"/>
        <v>-2.2435236720951033</v>
      </c>
      <c r="BU410" s="65" t="str">
        <f t="shared" si="685"/>
        <v/>
      </c>
      <c r="BV410" s="65" t="str">
        <f t="shared" si="686"/>
        <v/>
      </c>
      <c r="BW410" s="128" t="str">
        <f t="shared" si="687"/>
        <v/>
      </c>
      <c r="BX410" s="128">
        <f>IF($J410="",#N/A,SUM($BW$4:BW410))</f>
        <v>-703.33317034792958</v>
      </c>
      <c r="BY410" s="131" t="str">
        <f t="shared" si="688"/>
        <v/>
      </c>
      <c r="BZ410" s="131">
        <f>IF($J410="",#N/A,SUM($BY$4:BY410))</f>
        <v>533.40161346139416</v>
      </c>
      <c r="CA410" s="133">
        <f t="shared" si="689"/>
        <v>-176.31000000000017</v>
      </c>
      <c r="CB410" s="133">
        <f>IF($J410="",#N/A,SUM($CA$4:CA410))</f>
        <v>245.912631806891</v>
      </c>
      <c r="CC410" s="194" t="str">
        <f t="shared" si="690"/>
        <v/>
      </c>
      <c r="CD410" s="194">
        <f>IF($J410="",#N/A,SUM($CC$4:CC410))</f>
        <v>-8.9344644374946807</v>
      </c>
      <c r="CE410" s="195" t="str">
        <f t="shared" si="691"/>
        <v/>
      </c>
      <c r="CF410" s="195">
        <f>IF($J410="",#N/A,SUM($CE$4:CE410))</f>
        <v>10.446704767557083</v>
      </c>
      <c r="CG410" s="196">
        <f t="shared" si="692"/>
        <v>-2.2435236720951033</v>
      </c>
      <c r="CH410" s="196">
        <f>IF($J410="",#N/A,SUM($CG$4:CG410))</f>
        <v>6.4711819945762716</v>
      </c>
      <c r="CI410" s="200" t="str">
        <f t="shared" si="693"/>
        <v/>
      </c>
      <c r="CJ410" s="203">
        <f>IF($J410="",#N/A,SUM(CI$4:CI410))</f>
        <v>0</v>
      </c>
      <c r="CK410" s="204" t="str">
        <f t="shared" si="694"/>
        <v/>
      </c>
      <c r="CL410" s="204">
        <f>IF($J410="",#N/A,SUM(CK$4:CK410))</f>
        <v>2.0825010564889137</v>
      </c>
      <c r="CM410" s="205" t="str">
        <f t="shared" si="695"/>
        <v/>
      </c>
      <c r="CN410" s="205">
        <f>IF($J410="",#N/A,SUM(CM$4:CM410))</f>
        <v>-0.88786801747311794</v>
      </c>
      <c r="CO410" s="205">
        <f>IF($J410="",#N/A,SUM(CM$4:CM410,CK$4:CK410,CI$4:CI410))</f>
        <v>1.1946330390157962</v>
      </c>
      <c r="CP410" s="200" t="str">
        <f t="shared" si="696"/>
        <v/>
      </c>
      <c r="CQ410" s="203">
        <f>IF($J410="",#N/A,SUM(CP$4:CP410))</f>
        <v>-3.993192333715871</v>
      </c>
      <c r="CR410" s="204" t="str">
        <f t="shared" si="697"/>
        <v/>
      </c>
      <c r="CS410" s="204">
        <f>IF($J410="",#N/A,SUM(CR$4:CR410))</f>
        <v>2.3600225017004668</v>
      </c>
      <c r="CT410" s="205">
        <f t="shared" si="698"/>
        <v>-2.2435236720951033</v>
      </c>
      <c r="CU410" s="205">
        <f>IF($J410="",#N/A,SUM(CT$4:CT410))</f>
        <v>-12.045896072422382</v>
      </c>
      <c r="CV410" s="205">
        <f>IF($J410="",#N/A,SUM(CT$4:CT410,CR$4:CR410,CP$4:CP410))</f>
        <v>-13.679065904437785</v>
      </c>
      <c r="CW410" s="200" t="str">
        <f t="shared" si="699"/>
        <v/>
      </c>
      <c r="CX410" s="203">
        <f>IF($J410="",#N/A,SUM(CW$4:CW410))</f>
        <v>-6.3374847922823907</v>
      </c>
      <c r="CY410" s="204" t="str">
        <f t="shared" si="700"/>
        <v/>
      </c>
      <c r="CZ410" s="204">
        <f>IF($J410="",#N/A,SUM(CY$4:CY410))</f>
        <v>-2.6367641712432155</v>
      </c>
      <c r="DA410" s="205" t="str">
        <f t="shared" si="701"/>
        <v/>
      </c>
      <c r="DB410" s="205">
        <f>IF($J410="",#N/A,SUM(DA$4:DA410))</f>
        <v>-1.3155870379734311</v>
      </c>
      <c r="DC410" s="205">
        <f>IF($J410="",#N/A,SUM(DA$4:DA410,CY$4:CY410,CW$4:CW410))</f>
        <v>-10.289836001499038</v>
      </c>
      <c r="DD410" s="200" t="str">
        <f t="shared" si="702"/>
        <v/>
      </c>
      <c r="DE410" s="203">
        <f>IF($J410="",#N/A,SUM(DD$4:DD410))</f>
        <v>2.1903002454447948</v>
      </c>
      <c r="DF410" s="204" t="str">
        <f t="shared" si="703"/>
        <v/>
      </c>
      <c r="DG410" s="204">
        <f>IF($J410="",#N/A,SUM(DF$4:DF410))</f>
        <v>3.7844462787298916</v>
      </c>
      <c r="DH410" s="205" t="str">
        <f t="shared" si="704"/>
        <v/>
      </c>
      <c r="DI410" s="205">
        <f>IF($J410="",#N/A,SUM(DH$4:DH410))</f>
        <v>1.1482786833538656</v>
      </c>
      <c r="DJ410" s="205">
        <f>IF($J410="",#N/A,SUM(DH$4:DH410,DF$4:DF410,DD$4:DD410))</f>
        <v>7.1230252075285527</v>
      </c>
      <c r="DK410" s="200" t="str">
        <f t="shared" si="705"/>
        <v/>
      </c>
      <c r="DL410" s="203">
        <f>IF($J410="",#N/A,SUM(DK$4:DK410))</f>
        <v>-0.84049791589649614</v>
      </c>
      <c r="DM410" s="204" t="str">
        <f t="shared" si="706"/>
        <v/>
      </c>
      <c r="DN410" s="204">
        <f>IF($J410="",#N/A,SUM(DM$4:DM410))</f>
        <v>1.8657648196498773</v>
      </c>
      <c r="DO410" s="205" t="str">
        <f t="shared" si="707"/>
        <v/>
      </c>
      <c r="DP410" s="205">
        <f>IF($J410="",#N/A,SUM(DO$4:DO410))</f>
        <v>3.4887162328793941</v>
      </c>
      <c r="DQ410" s="205">
        <f>IF($J410="",#N/A,SUM(DO$4:DO410,DM$4:DM410,DK$4:DK410))</f>
        <v>4.5139831366327758</v>
      </c>
      <c r="DR410" s="200" t="str">
        <f t="shared" si="708"/>
        <v/>
      </c>
      <c r="DS410" s="203">
        <f>IF($J410="",#N/A,SUM(DR$4:DR410))</f>
        <v>-0.55950946427675097</v>
      </c>
      <c r="DT410" s="204" t="str">
        <f t="shared" si="709"/>
        <v/>
      </c>
      <c r="DU410" s="204">
        <f>IF($J410="",#N/A,SUM(DT$4:DT410))</f>
        <v>-0.20750635820596686</v>
      </c>
      <c r="DV410" s="205" t="str">
        <f t="shared" si="710"/>
        <v/>
      </c>
      <c r="DW410" s="205">
        <f>IF($J410="",#N/A,SUM(DV$4:DV410))</f>
        <v>-2.3377035686214001</v>
      </c>
      <c r="DX410" s="205">
        <f>IF($J410="",#N/A,SUM(DV$4:DV410,DT$4:DT410,DR$4:DR410))</f>
        <v>-3.1047193911041169</v>
      </c>
      <c r="DY410" s="200" t="str">
        <f t="shared" si="711"/>
        <v/>
      </c>
      <c r="DZ410" s="203">
        <f>IF($J410="",#N/A,SUM(DY$4:DY410))</f>
        <v>0.24785202869748424</v>
      </c>
      <c r="EA410" s="204" t="str">
        <f t="shared" si="712"/>
        <v/>
      </c>
      <c r="EB410" s="204">
        <f>IF($J410="",#N/A,SUM(EA$4:EA410))</f>
        <v>4.3184391548878134</v>
      </c>
      <c r="EC410" s="205" t="str">
        <f t="shared" si="713"/>
        <v/>
      </c>
      <c r="ED410" s="205">
        <f>IF($J410="",#N/A,SUM(EC$4:EC410))</f>
        <v>8.4384553208490907</v>
      </c>
      <c r="EE410" s="205">
        <f>IF($J410="",#N/A,SUM(EC$4:EC410,EA$4:EA410,DY$4:DY410))</f>
        <v>13.00474650443439</v>
      </c>
      <c r="EF410" s="200" t="str">
        <f t="shared" si="714"/>
        <v/>
      </c>
      <c r="EG410" s="203">
        <f>IF($J410="",#N/A,SUM(EF$4:EF410))</f>
        <v>0.65848341369884777</v>
      </c>
      <c r="EH410" s="204" t="str">
        <f t="shared" si="715"/>
        <v/>
      </c>
      <c r="EI410" s="204">
        <f>IF($J410="",#N/A,SUM(EH$4:EH410))</f>
        <v>-3.5125331561187787</v>
      </c>
      <c r="EJ410" s="205" t="str">
        <f t="shared" si="716"/>
        <v/>
      </c>
      <c r="EK410" s="205">
        <f>IF($J410="",#N/A,SUM(EJ$4:EJ410))</f>
        <v>13.156552985368888</v>
      </c>
      <c r="EL410" s="205">
        <f>IF($J410="",#N/A,SUM(EJ$4:EJ410,EH$4:EH410,EF$4:EF410))</f>
        <v>10.30250324294896</v>
      </c>
      <c r="EM410" s="200" t="str">
        <f t="shared" si="717"/>
        <v/>
      </c>
      <c r="EN410" s="203">
        <f>IF($J410="",#N/A,SUM(EM$4:EM410))</f>
        <v>0</v>
      </c>
      <c r="EO410" s="204" t="str">
        <f t="shared" si="718"/>
        <v/>
      </c>
      <c r="EP410" s="204">
        <f>IF($J410="",#N/A,SUM(EO$4:EO410))</f>
        <v>2.4788862078089964</v>
      </c>
      <c r="EQ410" s="205" t="str">
        <f t="shared" si="719"/>
        <v/>
      </c>
      <c r="ER410" s="205">
        <f>IF($J410="",#N/A,SUM(EQ$4:EQ410))</f>
        <v>1.7856049065476487</v>
      </c>
      <c r="ES410" s="205">
        <f>IF($J410="",#N/A,SUM(EQ$4:EQ410,EO$4:EO410,EM$4:EM410))</f>
        <v>4.2644911143566446</v>
      </c>
      <c r="ET410" s="200" t="str">
        <f t="shared" si="720"/>
        <v/>
      </c>
      <c r="EU410" s="203">
        <f>IF($J410="",#N/A,SUM(ET$4:ET410))</f>
        <v>-0.56361328049859927</v>
      </c>
      <c r="EV410" s="204" t="str">
        <f t="shared" si="721"/>
        <v/>
      </c>
      <c r="EW410" s="204">
        <f>IF($J410="",#N/A,SUM(EV$4:EV410))</f>
        <v>7.9116394275462909E-2</v>
      </c>
      <c r="EX410" s="205" t="str">
        <f t="shared" si="722"/>
        <v/>
      </c>
      <c r="EY410" s="205">
        <f>IF($J410="",#N/A,SUM(EX$4:EX410))</f>
        <v>0.62848633887309935</v>
      </c>
      <c r="EZ410" s="205">
        <f>IF($J410="",#N/A,SUM(EX$4:EX410,EV$4:EV410,ET$4:ET410))</f>
        <v>0.14398945264996266</v>
      </c>
      <c r="FA410" s="200" t="str">
        <f t="shared" si="723"/>
        <v/>
      </c>
      <c r="FB410" s="203">
        <f>IF($J410="",#N/A,SUM(FA$4:FA410))</f>
        <v>-0.27145310509113252</v>
      </c>
      <c r="FC410" s="204" t="str">
        <f t="shared" si="724"/>
        <v/>
      </c>
      <c r="FD410" s="204">
        <f>IF($J410="",#N/A,SUM(FC$4:FC410))</f>
        <v>0.89084290967454072</v>
      </c>
      <c r="FE410" s="205" t="str">
        <f t="shared" si="725"/>
        <v/>
      </c>
      <c r="FF410" s="205">
        <f>IF($J410="",#N/A,SUM(FE$4:FE410))</f>
        <v>-0.28811149078748233</v>
      </c>
      <c r="FG410" s="205">
        <f>IF($J410="",#N/A,SUM(FE$4:FE410,FC$4:FC410,FA$4:FA410))</f>
        <v>0.3312783137959262</v>
      </c>
      <c r="FH410" s="200" t="str">
        <f t="shared" si="726"/>
        <v/>
      </c>
      <c r="FI410" s="203">
        <f>IF($J410="",#N/A,SUM(FH$4:FH410))</f>
        <v>0</v>
      </c>
      <c r="FJ410" s="204" t="str">
        <f t="shared" si="727"/>
        <v/>
      </c>
      <c r="FK410" s="204">
        <f>IF($J410="",#N/A,SUM(FJ$4:FJ410))</f>
        <v>0</v>
      </c>
      <c r="FL410" s="205" t="str">
        <f t="shared" si="728"/>
        <v/>
      </c>
      <c r="FM410" s="205">
        <f>IF($J410="",#N/A,SUM(FL$4:FL410))</f>
        <v>0</v>
      </c>
      <c r="FN410" s="205">
        <f>IF($J410="",#N/A,SUM(FL$4:FL410,FJ$4:FJ410,FH$4:FH410))</f>
        <v>0</v>
      </c>
      <c r="FO410" s="200" t="str">
        <f t="shared" si="729"/>
        <v/>
      </c>
      <c r="FP410" s="203">
        <f>IF($J410="",#N/A,SUM(FO$4:FO410))</f>
        <v>0</v>
      </c>
      <c r="FQ410" s="204" t="str">
        <f t="shared" si="730"/>
        <v/>
      </c>
      <c r="FR410" s="204">
        <f>IF($J410="",#N/A,SUM(FQ$4:FQ410))</f>
        <v>0</v>
      </c>
      <c r="FS410" s="205" t="str">
        <f t="shared" si="731"/>
        <v/>
      </c>
      <c r="FT410" s="205">
        <f>IF($J410="",#N/A,SUM(FS$4:FS410))</f>
        <v>0</v>
      </c>
      <c r="FU410" s="205">
        <f>IF($J410="",#N/A,SUM(FS$4:FS410,FQ$4:FQ410,FO$4:FO410))</f>
        <v>0</v>
      </c>
      <c r="FV410" s="200" t="str">
        <f t="shared" si="732"/>
        <v/>
      </c>
      <c r="FW410" s="203">
        <f>IF($J410="",#N/A,SUM(FV$4:FV410))</f>
        <v>6.6834991831277585E-2</v>
      </c>
      <c r="FX410" s="204" t="str">
        <f t="shared" si="733"/>
        <v/>
      </c>
      <c r="FY410" s="204">
        <f>IF($J410="",#N/A,SUM(FX$4:FX410))</f>
        <v>-0.16102012791805576</v>
      </c>
      <c r="FZ410" s="205" t="str">
        <f t="shared" si="734"/>
        <v/>
      </c>
      <c r="GA410" s="205">
        <f>IF($J410="",#N/A,SUM(FZ$4:FZ410))</f>
        <v>-0.69624339162892301</v>
      </c>
      <c r="GB410" s="205">
        <f>IF($J410="",#N/A,SUM(FZ$4:FZ410,FX$4:FX410,FV$4:FV410))</f>
        <v>-0.79042852771570116</v>
      </c>
      <c r="GC410" s="200" t="str">
        <f t="shared" si="735"/>
        <v/>
      </c>
      <c r="GD410" s="203">
        <f>IF($J410="",#N/A,SUM(GC$4:GC410))</f>
        <v>0</v>
      </c>
      <c r="GE410" s="204" t="str">
        <f t="shared" si="736"/>
        <v/>
      </c>
      <c r="GF410" s="204">
        <f>IF($J410="",#N/A,SUM(GE$4:GE410))</f>
        <v>0</v>
      </c>
      <c r="GG410" s="205" t="str">
        <f t="shared" si="737"/>
        <v/>
      </c>
      <c r="GH410" s="205">
        <f>IF($J410="",#N/A,SUM(GG$4:GG410))</f>
        <v>-2.9368362277223206</v>
      </c>
      <c r="GI410" s="205">
        <f>IF($J410="",#N/A,SUM(GG$4:GG410,GE$4:GE410,GC$4:GC410))</f>
        <v>-2.9368362277223206</v>
      </c>
      <c r="GJ410" s="200" t="str">
        <f t="shared" si="738"/>
        <v/>
      </c>
      <c r="GK410" s="203">
        <f>IF($J410="",#N/A,SUM(GJ$4:GJ410))</f>
        <v>0</v>
      </c>
      <c r="GL410" s="204" t="str">
        <f t="shared" si="739"/>
        <v/>
      </c>
      <c r="GM410" s="204">
        <f>IF($J410="",#N/A,SUM(GL$4:GL410))</f>
        <v>-2.0621307233432784</v>
      </c>
      <c r="GN410" s="205" t="str">
        <f t="shared" si="740"/>
        <v/>
      </c>
      <c r="GO410" s="205">
        <f>IF($J410="",#N/A,SUM(GN$4:GN410))</f>
        <v>0</v>
      </c>
      <c r="GP410" s="205">
        <f>IF($J410="",#N/A,SUM(GN$4:GN410,GL$4:GL410,GJ$4:GJ410))</f>
        <v>-2.0621307233432784</v>
      </c>
      <c r="GS410" s="54" t="str">
        <f t="shared" si="759"/>
        <v/>
      </c>
      <c r="GT410" s="54" t="e">
        <f>IF(GS410="",NA(),SUM($GS$4:GS410))</f>
        <v>#N/A</v>
      </c>
      <c r="GU410" s="54" t="str">
        <f t="shared" si="741"/>
        <v/>
      </c>
      <c r="GV410" s="54" t="e">
        <f>IF(GU410="",NA(),SUM($GU$4:GU410))</f>
        <v>#N/A</v>
      </c>
      <c r="GW410" s="54" t="str">
        <f t="shared" si="742"/>
        <v/>
      </c>
      <c r="GX410" s="54" t="e">
        <f>IF(GW410="",NA(),SUM($GW$4:GW410))</f>
        <v>#N/A</v>
      </c>
      <c r="GY410" s="54" t="str">
        <f t="shared" si="743"/>
        <v/>
      </c>
      <c r="GZ410" s="54" t="e">
        <f>IF(GY410="",NA(),SUM($GY$4:GY410))</f>
        <v>#N/A</v>
      </c>
      <c r="HA410" s="54">
        <f t="shared" si="744"/>
        <v>-2.2435236720951033</v>
      </c>
      <c r="HB410" s="54">
        <f>IF(HA410="",NA(),SUM($HA$4:HA410))</f>
        <v>-4.7231385300904041</v>
      </c>
      <c r="HC410" s="54" t="str">
        <f t="shared" si="745"/>
        <v/>
      </c>
      <c r="HD410" s="54" t="e">
        <f>IF(HC410="",NA(),SUM($HC$4:HC410))</f>
        <v>#N/A</v>
      </c>
      <c r="HE410" s="54">
        <f t="shared" si="746"/>
        <v>-2.2435236720951033</v>
      </c>
      <c r="HF410" s="54">
        <f>IF(HE410="",NA(),SUM($HE$4:HE410))</f>
        <v>-3.3796176420234314</v>
      </c>
      <c r="HG410" s="54" t="str">
        <f t="shared" si="747"/>
        <v/>
      </c>
      <c r="HH410" s="54" t="e">
        <f>IF(HG410="",NA(),SUM($HG$4:HG410))</f>
        <v>#N/A</v>
      </c>
      <c r="HI410" s="172" t="str">
        <f t="shared" si="760"/>
        <v/>
      </c>
      <c r="HJ410" s="172">
        <f>IF($J410="",#N/A,SUM(HI$4:$HI410))</f>
        <v>-11.384655655360691</v>
      </c>
      <c r="HK410" s="54" t="str">
        <f t="shared" si="748"/>
        <v/>
      </c>
      <c r="HL410" s="54">
        <f>IF($J410="",#N/A,SUM($HK$4:HK410))</f>
        <v>7.6415354417754555</v>
      </c>
      <c r="HM410" s="54" t="str">
        <f t="shared" si="749"/>
        <v/>
      </c>
      <c r="HN410" s="54">
        <f>IF($J410="",#N/A,SUM($HM$4:HM410))</f>
        <v>1.0671238705763564</v>
      </c>
      <c r="HO410" s="54" t="str">
        <f t="shared" si="750"/>
        <v/>
      </c>
      <c r="HP410" s="54">
        <f>IF($J410="",#N/A,SUM($HO$4:HO410))</f>
        <v>-0.22218928116533904</v>
      </c>
      <c r="HQ410" s="54" t="str">
        <f t="shared" si="751"/>
        <v/>
      </c>
      <c r="HR410" s="54">
        <f>IF($J410="",#N/A,SUM($HQ$4:HQ410))</f>
        <v>-15.217945954670494</v>
      </c>
      <c r="HS410" s="54">
        <f t="shared" si="752"/>
        <v>0.47756476327905184</v>
      </c>
      <c r="HT410" s="54">
        <f>IF($J410="",#N/A,SUM($HS$4:HS410))</f>
        <v>14.660479149324726</v>
      </c>
      <c r="HU410" s="65">
        <f t="shared" si="753"/>
        <v>-1.7659589088160514</v>
      </c>
      <c r="HV410" s="65">
        <f>IF($J410="",#N/A,SUM(HU$4:$HU410))</f>
        <v>4.0315964392511274</v>
      </c>
    </row>
    <row r="411" spans="1:230" x14ac:dyDescent="0.25">
      <c r="A411" s="51" t="s">
        <v>1184</v>
      </c>
      <c r="B411" s="52" t="s">
        <v>5658</v>
      </c>
      <c r="C411" s="229">
        <f t="shared" si="654"/>
        <v>1</v>
      </c>
      <c r="D411" s="219" t="str">
        <f>_xlfn.XLOOKUP(A411,[1]SP500!$A$2:$A$502,[1]SP500!$D$2:$D$502,"N")</f>
        <v>N</v>
      </c>
      <c r="E411" s="51" t="str">
        <f>IFERROR(_xlfn.XLOOKUP(A411,[1]SP500!$A$2:$A$655,[1]SP500!$B$2:$B$655),"")</f>
        <v>XLY</v>
      </c>
      <c r="F411" s="53">
        <v>45819</v>
      </c>
      <c r="G411" s="51" t="str">
        <f t="shared" si="655"/>
        <v>BMO</v>
      </c>
      <c r="H411" s="51" t="str">
        <f t="shared" si="656"/>
        <v>o</v>
      </c>
      <c r="I411" s="344">
        <v>45.79</v>
      </c>
      <c r="J411" s="124">
        <v>41.65</v>
      </c>
      <c r="K411" s="55">
        <f t="shared" si="657"/>
        <v>-9.0412753876392235E-2</v>
      </c>
      <c r="L411" s="67">
        <f t="shared" si="658"/>
        <v>124.20000000000005</v>
      </c>
      <c r="M411" s="57">
        <f t="shared" si="659"/>
        <v>-10.200000000000045</v>
      </c>
      <c r="N411" s="102">
        <f t="shared" si="660"/>
        <v>-124.20000000000005</v>
      </c>
      <c r="O411" s="57">
        <f>IF(N411="",#N/A,SUM($N$4:N411))</f>
        <v>-48.218925079644237</v>
      </c>
      <c r="P411" s="65">
        <f t="shared" si="754"/>
        <v>-1.5068792312732044</v>
      </c>
      <c r="Q411" s="172">
        <f>IF($N411="",#N/A,SUM($P$4:P411))</f>
        <v>6.4765430933654571</v>
      </c>
      <c r="R411" s="359">
        <f t="shared" si="661"/>
        <v>-1.5923186072839624</v>
      </c>
      <c r="S411" s="51" t="str">
        <f t="shared" si="662"/>
        <v>Up</v>
      </c>
      <c r="T411" s="51" t="s">
        <v>4461</v>
      </c>
      <c r="U411" s="56">
        <f t="shared" si="663"/>
        <v>45.79</v>
      </c>
      <c r="V411" s="56" t="s">
        <v>4458</v>
      </c>
      <c r="W411" s="140">
        <v>30</v>
      </c>
      <c r="X411" s="145">
        <f t="shared" si="664"/>
        <v>1373.7</v>
      </c>
      <c r="Y411" s="140">
        <f t="shared" si="665"/>
        <v>30</v>
      </c>
      <c r="Z411" s="141">
        <v>41.99</v>
      </c>
      <c r="AA411" s="102">
        <f t="shared" si="666"/>
        <v>114</v>
      </c>
      <c r="AB411" s="102">
        <f t="shared" si="667"/>
        <v>150.90000000000009</v>
      </c>
      <c r="AC411" s="124">
        <v>40.76</v>
      </c>
      <c r="AD411" s="155">
        <f t="shared" si="668"/>
        <v>-150.90000000000009</v>
      </c>
      <c r="AE411" s="545">
        <f t="shared" si="669"/>
        <v>-1.8308218679478792</v>
      </c>
      <c r="AF411" s="57">
        <f>IF($AC411="",#N/A,SUM(AD$4:AD411))</f>
        <v>-115.97003589668543</v>
      </c>
      <c r="AG411" s="102">
        <f t="shared" si="670"/>
        <v>-26.700000000000045</v>
      </c>
      <c r="AH411" s="56" t="s">
        <v>2507</v>
      </c>
      <c r="AI411" s="65">
        <f t="shared" si="671"/>
        <v>1.3831258644536653</v>
      </c>
      <c r="AJ411" s="108">
        <f>IF(AI411="",#N/A,SUM($AI$4:AI411))</f>
        <v>8.0688617006494194</v>
      </c>
      <c r="AK411" s="56">
        <f t="shared" si="672"/>
        <v>114</v>
      </c>
      <c r="AL411" s="66">
        <f>IF(AI411="",#N/A,IF(AH411="Skip",SUM($AK$4:AK411),SUM($AK$4:AK411)))</f>
        <v>196.57236927848112</v>
      </c>
      <c r="AM411" s="65">
        <f t="shared" si="755"/>
        <v>-1.8308218679478792</v>
      </c>
      <c r="AN411" s="209"/>
      <c r="AO411" s="65" t="str">
        <f t="shared" si="673"/>
        <v/>
      </c>
      <c r="AP411" s="65">
        <f>IF($AC411="",#N/A,SUM(AO$4:AO411))</f>
        <v>5.4175417333629472</v>
      </c>
      <c r="AQ411" s="65">
        <f t="shared" si="674"/>
        <v>-1.8308218679478792</v>
      </c>
      <c r="AR411" s="65">
        <f>IF($AC411="",#N/A,SUM(AQ$4:AQ411))</f>
        <v>-9.9203517160315435</v>
      </c>
      <c r="AS411" s="65" t="str">
        <f t="shared" si="675"/>
        <v/>
      </c>
      <c r="AT411" s="65">
        <f>IF($AC411="",#N/A,SUM(AS$4:AS411))</f>
        <v>6.7035845539718384</v>
      </c>
      <c r="AU411" s="57" t="str">
        <f t="shared" si="756"/>
        <v/>
      </c>
      <c r="AV411" s="57">
        <f>IF($AC411="",#N/A,SUM(AU$4:AU411))</f>
        <v>149.82383890574624</v>
      </c>
      <c r="AW411" s="57">
        <f t="shared" si="757"/>
        <v>-150.90000000000009</v>
      </c>
      <c r="AX411" s="57">
        <f>IF($AC411="",#N/A,SUM(AW$4:AW411))</f>
        <v>-764.63106797961109</v>
      </c>
      <c r="AY411" s="57" t="str">
        <f t="shared" si="758"/>
        <v/>
      </c>
      <c r="AZ411" s="57">
        <f>IF($AC411="",#N/A,SUM(AY$4:AY411))</f>
        <v>498.8371931771793</v>
      </c>
      <c r="BA411" s="57">
        <f>IF(AD411="",#N/A,SUM($AD$4:AD411))</f>
        <v>-115.97003589668543</v>
      </c>
      <c r="BC411" s="51" t="str">
        <f t="shared" si="676"/>
        <v/>
      </c>
      <c r="BD411" s="51" t="str">
        <f t="shared" si="677"/>
        <v/>
      </c>
      <c r="BE411" s="51" t="str">
        <f t="shared" si="678"/>
        <v/>
      </c>
      <c r="BF411" s="51" t="str">
        <f t="shared" si="679"/>
        <v>Long</v>
      </c>
      <c r="BG411" s="51" t="str">
        <f t="shared" si="680"/>
        <v/>
      </c>
      <c r="BH411" s="51">
        <f t="shared" si="681"/>
        <v>1</v>
      </c>
      <c r="BI411" s="51" t="str">
        <f t="shared" si="682"/>
        <v/>
      </c>
      <c r="BK411" s="65">
        <f t="shared" si="653"/>
        <v>-0.22979367349974475</v>
      </c>
      <c r="BL411" s="65">
        <f t="shared" si="652"/>
        <v>-0.33573768441974705</v>
      </c>
      <c r="BM411" s="65">
        <f>IFERROR(Q411/COUNTA($J$4:J411),#N/A)</f>
        <v>1.5873880130797689E-2</v>
      </c>
      <c r="BO411" s="489" t="e">
        <f>IF(J411="",#N/A,IF(S411="SW",(COUNTIFS(K$4:$K411,"&gt;0",S$4:$S411,"SW")/COUNTIF(S$4:$S411,"SW")),#N/A))</f>
        <v>#N/A</v>
      </c>
      <c r="BP411" s="489" t="e">
        <f>IF($J411="",#N/A,IF($S411="DWN",(COUNTIFS($K$4:$K411,"&lt;0",$S$4:$S411,"DWN")/COUNTIF($S$4:$S411,"DWN")),#N/A))</f>
        <v>#N/A</v>
      </c>
      <c r="BQ411" s="489">
        <f>IF($J411="",#N/A,IF($S411="UP",(COUNTIFS($K$4:$K411,"&gt;0",$S$4:$S411,"UP")/COUNTIF($S$4:$S411,"UP")),#N/A))</f>
        <v>0.42553191489361702</v>
      </c>
      <c r="BR411" s="489">
        <f>IF(J411="",#N/A,COUNTIF($K$4:K411,"&gt;0")/COUNT($J$4:J411))</f>
        <v>0.46813725490196079</v>
      </c>
      <c r="BS411" s="65" t="str">
        <f t="shared" si="683"/>
        <v/>
      </c>
      <c r="BT411" s="65" t="str">
        <f t="shared" si="684"/>
        <v/>
      </c>
      <c r="BU411" s="65">
        <f t="shared" si="685"/>
        <v>-1.5068792312732044</v>
      </c>
      <c r="BV411" s="65" t="str">
        <f t="shared" si="686"/>
        <v/>
      </c>
      <c r="BW411" s="128">
        <f t="shared" si="687"/>
        <v>-124.20000000000005</v>
      </c>
      <c r="BX411" s="128">
        <f>IF($J411="",#N/A,SUM($BW$4:BW411))</f>
        <v>-827.53317034792963</v>
      </c>
      <c r="BY411" s="131" t="str">
        <f t="shared" si="688"/>
        <v/>
      </c>
      <c r="BZ411" s="131">
        <f>IF($J411="",#N/A,SUM($BY$4:BY411))</f>
        <v>533.40161346139416</v>
      </c>
      <c r="CA411" s="133" t="str">
        <f t="shared" si="689"/>
        <v/>
      </c>
      <c r="CB411" s="133">
        <f>IF($J411="",#N/A,SUM($CA$4:CA411))</f>
        <v>245.912631806891</v>
      </c>
      <c r="CC411" s="194">
        <f t="shared" si="690"/>
        <v>-1.5068792312732044</v>
      </c>
      <c r="CD411" s="194">
        <f>IF($J411="",#N/A,SUM($CC$4:CC411))</f>
        <v>-10.441343668767885</v>
      </c>
      <c r="CE411" s="195" t="str">
        <f t="shared" si="691"/>
        <v/>
      </c>
      <c r="CF411" s="195">
        <f>IF($J411="",#N/A,SUM($CE$4:CE411))</f>
        <v>10.446704767557083</v>
      </c>
      <c r="CG411" s="196" t="str">
        <f t="shared" si="692"/>
        <v/>
      </c>
      <c r="CH411" s="196">
        <f>IF($J411="",#N/A,SUM($CG$4:CG411))</f>
        <v>6.4711819945762716</v>
      </c>
      <c r="CI411" s="200" t="str">
        <f t="shared" si="693"/>
        <v/>
      </c>
      <c r="CJ411" s="203">
        <f>IF($J411="",#N/A,SUM(CI$4:CI411))</f>
        <v>0</v>
      </c>
      <c r="CK411" s="204" t="str">
        <f t="shared" si="694"/>
        <v/>
      </c>
      <c r="CL411" s="204">
        <f>IF($J411="",#N/A,SUM(CK$4:CK411))</f>
        <v>2.0825010564889137</v>
      </c>
      <c r="CM411" s="205" t="str">
        <f t="shared" si="695"/>
        <v/>
      </c>
      <c r="CN411" s="205">
        <f>IF($J411="",#N/A,SUM(CM$4:CM411))</f>
        <v>-0.88786801747311794</v>
      </c>
      <c r="CO411" s="205">
        <f>IF($J411="",#N/A,SUM(CM$4:CM411,CK$4:CK411,CI$4:CI411))</f>
        <v>1.1946330390157962</v>
      </c>
      <c r="CP411" s="200" t="str">
        <f t="shared" si="696"/>
        <v/>
      </c>
      <c r="CQ411" s="203">
        <f>IF($J411="",#N/A,SUM(CP$4:CP411))</f>
        <v>-3.993192333715871</v>
      </c>
      <c r="CR411" s="204" t="str">
        <f t="shared" si="697"/>
        <v/>
      </c>
      <c r="CS411" s="204">
        <f>IF($J411="",#N/A,SUM(CR$4:CR411))</f>
        <v>2.3600225017004668</v>
      </c>
      <c r="CT411" s="205" t="str">
        <f t="shared" si="698"/>
        <v/>
      </c>
      <c r="CU411" s="205">
        <f>IF($J411="",#N/A,SUM(CT$4:CT411))</f>
        <v>-12.045896072422382</v>
      </c>
      <c r="CV411" s="205">
        <f>IF($J411="",#N/A,SUM(CT$4:CT411,CR$4:CR411,CP$4:CP411))</f>
        <v>-13.679065904437785</v>
      </c>
      <c r="CW411" s="200">
        <f t="shared" si="699"/>
        <v>-1.5068792312732044</v>
      </c>
      <c r="CX411" s="203">
        <f>IF($J411="",#N/A,SUM(CW$4:CW411))</f>
        <v>-7.8443640235555954</v>
      </c>
      <c r="CY411" s="204" t="str">
        <f t="shared" si="700"/>
        <v/>
      </c>
      <c r="CZ411" s="204">
        <f>IF($J411="",#N/A,SUM(CY$4:CY411))</f>
        <v>-2.6367641712432155</v>
      </c>
      <c r="DA411" s="205" t="str">
        <f t="shared" si="701"/>
        <v/>
      </c>
      <c r="DB411" s="205">
        <f>IF($J411="",#N/A,SUM(DA$4:DA411))</f>
        <v>-1.3155870379734311</v>
      </c>
      <c r="DC411" s="205">
        <f>IF($J411="",#N/A,SUM(DA$4:DA411,CY$4:CY411,CW$4:CW411))</f>
        <v>-11.796715232772243</v>
      </c>
      <c r="DD411" s="200" t="str">
        <f t="shared" si="702"/>
        <v/>
      </c>
      <c r="DE411" s="203">
        <f>IF($J411="",#N/A,SUM(DD$4:DD411))</f>
        <v>2.1903002454447948</v>
      </c>
      <c r="DF411" s="204" t="str">
        <f t="shared" si="703"/>
        <v/>
      </c>
      <c r="DG411" s="204">
        <f>IF($J411="",#N/A,SUM(DF$4:DF411))</f>
        <v>3.7844462787298916</v>
      </c>
      <c r="DH411" s="205" t="str">
        <f t="shared" si="704"/>
        <v/>
      </c>
      <c r="DI411" s="205">
        <f>IF($J411="",#N/A,SUM(DH$4:DH411))</f>
        <v>1.1482786833538656</v>
      </c>
      <c r="DJ411" s="205">
        <f>IF($J411="",#N/A,SUM(DH$4:DH411,DF$4:DF411,DD$4:DD411))</f>
        <v>7.1230252075285527</v>
      </c>
      <c r="DK411" s="200" t="str">
        <f t="shared" si="705"/>
        <v/>
      </c>
      <c r="DL411" s="203">
        <f>IF($J411="",#N/A,SUM(DK$4:DK411))</f>
        <v>-0.84049791589649614</v>
      </c>
      <c r="DM411" s="204" t="str">
        <f t="shared" si="706"/>
        <v/>
      </c>
      <c r="DN411" s="204">
        <f>IF($J411="",#N/A,SUM(DM$4:DM411))</f>
        <v>1.8657648196498773</v>
      </c>
      <c r="DO411" s="205" t="str">
        <f t="shared" si="707"/>
        <v/>
      </c>
      <c r="DP411" s="205">
        <f>IF($J411="",#N/A,SUM(DO$4:DO411))</f>
        <v>3.4887162328793941</v>
      </c>
      <c r="DQ411" s="205">
        <f>IF($J411="",#N/A,SUM(DO$4:DO411,DM$4:DM411,DK$4:DK411))</f>
        <v>4.5139831366327758</v>
      </c>
      <c r="DR411" s="200" t="str">
        <f t="shared" si="708"/>
        <v/>
      </c>
      <c r="DS411" s="203">
        <f>IF($J411="",#N/A,SUM(DR$4:DR411))</f>
        <v>-0.55950946427675097</v>
      </c>
      <c r="DT411" s="204" t="str">
        <f t="shared" si="709"/>
        <v/>
      </c>
      <c r="DU411" s="204">
        <f>IF($J411="",#N/A,SUM(DT$4:DT411))</f>
        <v>-0.20750635820596686</v>
      </c>
      <c r="DV411" s="205" t="str">
        <f t="shared" si="710"/>
        <v/>
      </c>
      <c r="DW411" s="205">
        <f>IF($J411="",#N/A,SUM(DV$4:DV411))</f>
        <v>-2.3377035686214001</v>
      </c>
      <c r="DX411" s="205">
        <f>IF($J411="",#N/A,SUM(DV$4:DV411,DT$4:DT411,DR$4:DR411))</f>
        <v>-3.1047193911041169</v>
      </c>
      <c r="DY411" s="200" t="str">
        <f t="shared" si="711"/>
        <v/>
      </c>
      <c r="DZ411" s="203">
        <f>IF($J411="",#N/A,SUM(DY$4:DY411))</f>
        <v>0.24785202869748424</v>
      </c>
      <c r="EA411" s="204" t="str">
        <f t="shared" si="712"/>
        <v/>
      </c>
      <c r="EB411" s="204">
        <f>IF($J411="",#N/A,SUM(EA$4:EA411))</f>
        <v>4.3184391548878134</v>
      </c>
      <c r="EC411" s="205" t="str">
        <f t="shared" si="713"/>
        <v/>
      </c>
      <c r="ED411" s="205">
        <f>IF($J411="",#N/A,SUM(EC$4:EC411))</f>
        <v>8.4384553208490907</v>
      </c>
      <c r="EE411" s="205">
        <f>IF($J411="",#N/A,SUM(EC$4:EC411,EA$4:EA411,DY$4:DY411))</f>
        <v>13.00474650443439</v>
      </c>
      <c r="EF411" s="200" t="str">
        <f t="shared" si="714"/>
        <v/>
      </c>
      <c r="EG411" s="203">
        <f>IF($J411="",#N/A,SUM(EF$4:EF411))</f>
        <v>0.65848341369884777</v>
      </c>
      <c r="EH411" s="204" t="str">
        <f t="shared" si="715"/>
        <v/>
      </c>
      <c r="EI411" s="204">
        <f>IF($J411="",#N/A,SUM(EH$4:EH411))</f>
        <v>-3.5125331561187787</v>
      </c>
      <c r="EJ411" s="205" t="str">
        <f t="shared" si="716"/>
        <v/>
      </c>
      <c r="EK411" s="205">
        <f>IF($J411="",#N/A,SUM(EJ$4:EJ411))</f>
        <v>13.156552985368888</v>
      </c>
      <c r="EL411" s="205">
        <f>IF($J411="",#N/A,SUM(EJ$4:EJ411,EH$4:EH411,EF$4:EF411))</f>
        <v>10.30250324294896</v>
      </c>
      <c r="EM411" s="200" t="str">
        <f t="shared" si="717"/>
        <v/>
      </c>
      <c r="EN411" s="203">
        <f>IF($J411="",#N/A,SUM(EM$4:EM411))</f>
        <v>0</v>
      </c>
      <c r="EO411" s="204" t="str">
        <f t="shared" si="718"/>
        <v/>
      </c>
      <c r="EP411" s="204">
        <f>IF($J411="",#N/A,SUM(EO$4:EO411))</f>
        <v>2.4788862078089964</v>
      </c>
      <c r="EQ411" s="205" t="str">
        <f t="shared" si="719"/>
        <v/>
      </c>
      <c r="ER411" s="205">
        <f>IF($J411="",#N/A,SUM(EQ$4:EQ411))</f>
        <v>1.7856049065476487</v>
      </c>
      <c r="ES411" s="205">
        <f>IF($J411="",#N/A,SUM(EQ$4:EQ411,EO$4:EO411,EM$4:EM411))</f>
        <v>4.2644911143566446</v>
      </c>
      <c r="ET411" s="200" t="str">
        <f t="shared" si="720"/>
        <v/>
      </c>
      <c r="EU411" s="203">
        <f>IF($J411="",#N/A,SUM(ET$4:ET411))</f>
        <v>-0.56361328049859927</v>
      </c>
      <c r="EV411" s="204" t="str">
        <f t="shared" si="721"/>
        <v/>
      </c>
      <c r="EW411" s="204">
        <f>IF($J411="",#N/A,SUM(EV$4:EV411))</f>
        <v>7.9116394275462909E-2</v>
      </c>
      <c r="EX411" s="205" t="str">
        <f t="shared" si="722"/>
        <v/>
      </c>
      <c r="EY411" s="205">
        <f>IF($J411="",#N/A,SUM(EX$4:EX411))</f>
        <v>0.62848633887309935</v>
      </c>
      <c r="EZ411" s="205">
        <f>IF($J411="",#N/A,SUM(EX$4:EX411,EV$4:EV411,ET$4:ET411))</f>
        <v>0.14398945264996266</v>
      </c>
      <c r="FA411" s="200" t="str">
        <f t="shared" si="723"/>
        <v/>
      </c>
      <c r="FB411" s="203">
        <f>IF($J411="",#N/A,SUM(FA$4:FA411))</f>
        <v>-0.27145310509113252</v>
      </c>
      <c r="FC411" s="204" t="str">
        <f t="shared" si="724"/>
        <v/>
      </c>
      <c r="FD411" s="204">
        <f>IF($J411="",#N/A,SUM(FC$4:FC411))</f>
        <v>0.89084290967454072</v>
      </c>
      <c r="FE411" s="205" t="str">
        <f t="shared" si="725"/>
        <v/>
      </c>
      <c r="FF411" s="205">
        <f>IF($J411="",#N/A,SUM(FE$4:FE411))</f>
        <v>-0.28811149078748233</v>
      </c>
      <c r="FG411" s="205">
        <f>IF($J411="",#N/A,SUM(FE$4:FE411,FC$4:FC411,FA$4:FA411))</f>
        <v>0.3312783137959262</v>
      </c>
      <c r="FH411" s="200" t="str">
        <f t="shared" si="726"/>
        <v/>
      </c>
      <c r="FI411" s="203">
        <f>IF($J411="",#N/A,SUM(FH$4:FH411))</f>
        <v>0</v>
      </c>
      <c r="FJ411" s="204" t="str">
        <f t="shared" si="727"/>
        <v/>
      </c>
      <c r="FK411" s="204">
        <f>IF($J411="",#N/A,SUM(FJ$4:FJ411))</f>
        <v>0</v>
      </c>
      <c r="FL411" s="205" t="str">
        <f t="shared" si="728"/>
        <v/>
      </c>
      <c r="FM411" s="205">
        <f>IF($J411="",#N/A,SUM(FL$4:FL411))</f>
        <v>0</v>
      </c>
      <c r="FN411" s="205">
        <f>IF($J411="",#N/A,SUM(FL$4:FL411,FJ$4:FJ411,FH$4:FH411))</f>
        <v>0</v>
      </c>
      <c r="FO411" s="200" t="str">
        <f t="shared" si="729"/>
        <v/>
      </c>
      <c r="FP411" s="203">
        <f>IF($J411="",#N/A,SUM(FO$4:FO411))</f>
        <v>0</v>
      </c>
      <c r="FQ411" s="204" t="str">
        <f t="shared" si="730"/>
        <v/>
      </c>
      <c r="FR411" s="204">
        <f>IF($J411="",#N/A,SUM(FQ$4:FQ411))</f>
        <v>0</v>
      </c>
      <c r="FS411" s="205" t="str">
        <f t="shared" si="731"/>
        <v/>
      </c>
      <c r="FT411" s="205">
        <f>IF($J411="",#N/A,SUM(FS$4:FS411))</f>
        <v>0</v>
      </c>
      <c r="FU411" s="205">
        <f>IF($J411="",#N/A,SUM(FS$4:FS411,FQ$4:FQ411,FO$4:FO411))</f>
        <v>0</v>
      </c>
      <c r="FV411" s="200" t="str">
        <f t="shared" si="732"/>
        <v/>
      </c>
      <c r="FW411" s="203">
        <f>IF($J411="",#N/A,SUM(FV$4:FV411))</f>
        <v>6.6834991831277585E-2</v>
      </c>
      <c r="FX411" s="204" t="str">
        <f t="shared" si="733"/>
        <v/>
      </c>
      <c r="FY411" s="204">
        <f>IF($J411="",#N/A,SUM(FX$4:FX411))</f>
        <v>-0.16102012791805576</v>
      </c>
      <c r="FZ411" s="205" t="str">
        <f t="shared" si="734"/>
        <v/>
      </c>
      <c r="GA411" s="205">
        <f>IF($J411="",#N/A,SUM(FZ$4:FZ411))</f>
        <v>-0.69624339162892301</v>
      </c>
      <c r="GB411" s="205">
        <f>IF($J411="",#N/A,SUM(FZ$4:FZ411,FX$4:FX411,FV$4:FV411))</f>
        <v>-0.79042852771570116</v>
      </c>
      <c r="GC411" s="200" t="str">
        <f t="shared" si="735"/>
        <v/>
      </c>
      <c r="GD411" s="203">
        <f>IF($J411="",#N/A,SUM(GC$4:GC411))</f>
        <v>0</v>
      </c>
      <c r="GE411" s="204" t="str">
        <f t="shared" si="736"/>
        <v/>
      </c>
      <c r="GF411" s="204">
        <f>IF($J411="",#N/A,SUM(GE$4:GE411))</f>
        <v>0</v>
      </c>
      <c r="GG411" s="205" t="str">
        <f t="shared" si="737"/>
        <v/>
      </c>
      <c r="GH411" s="205">
        <f>IF($J411="",#N/A,SUM(GG$4:GG411))</f>
        <v>-2.9368362277223206</v>
      </c>
      <c r="GI411" s="205">
        <f>IF($J411="",#N/A,SUM(GG$4:GG411,GE$4:GE411,GC$4:GC411))</f>
        <v>-2.9368362277223206</v>
      </c>
      <c r="GJ411" s="200" t="str">
        <f t="shared" si="738"/>
        <v/>
      </c>
      <c r="GK411" s="203">
        <f>IF($J411="",#N/A,SUM(GJ$4:GJ411))</f>
        <v>0</v>
      </c>
      <c r="GL411" s="204" t="str">
        <f t="shared" si="739"/>
        <v/>
      </c>
      <c r="GM411" s="204">
        <f>IF($J411="",#N/A,SUM(GL$4:GL411))</f>
        <v>-2.0621307233432784</v>
      </c>
      <c r="GN411" s="205" t="str">
        <f t="shared" si="740"/>
        <v/>
      </c>
      <c r="GO411" s="205">
        <f>IF($J411="",#N/A,SUM(GN$4:GN411))</f>
        <v>0</v>
      </c>
      <c r="GP411" s="205">
        <f>IF($J411="",#N/A,SUM(GN$4:GN411,GL$4:GL411,GJ$4:GJ411))</f>
        <v>-2.0621307233432784</v>
      </c>
      <c r="GS411" s="54" t="str">
        <f t="shared" si="759"/>
        <v/>
      </c>
      <c r="GT411" s="54" t="e">
        <f>IF(GS411="",NA(),SUM($GS$4:GS411))</f>
        <v>#N/A</v>
      </c>
      <c r="GU411" s="54" t="str">
        <f t="shared" si="741"/>
        <v/>
      </c>
      <c r="GV411" s="54" t="e">
        <f>IF(GU411="",NA(),SUM($GU$4:GU411))</f>
        <v>#N/A</v>
      </c>
      <c r="GW411" s="54" t="str">
        <f t="shared" si="742"/>
        <v/>
      </c>
      <c r="GX411" s="54" t="e">
        <f>IF(GW411="",NA(),SUM($GW$4:GW411))</f>
        <v>#N/A</v>
      </c>
      <c r="GY411" s="54" t="str">
        <f t="shared" si="743"/>
        <v/>
      </c>
      <c r="GZ411" s="54" t="e">
        <f>IF(GY411="",NA(),SUM($GY$4:GY411))</f>
        <v>#N/A</v>
      </c>
      <c r="HA411" s="54">
        <f t="shared" si="744"/>
        <v>-1.5068792312732044</v>
      </c>
      <c r="HB411" s="54">
        <f>IF(HA411="",NA(),SUM($HA$4:HA411))</f>
        <v>-6.2300177613636087</v>
      </c>
      <c r="HC411" s="54">
        <f t="shared" si="745"/>
        <v>-1.5068792312732044</v>
      </c>
      <c r="HD411" s="54">
        <f>IF(HC411="",NA(),SUM($HC$4:HC411))</f>
        <v>-2.9404957410700314</v>
      </c>
      <c r="HE411" s="54" t="str">
        <f t="shared" si="746"/>
        <v/>
      </c>
      <c r="HF411" s="54" t="e">
        <f>IF(HE411="",NA(),SUM($HE$4:HE411))</f>
        <v>#N/A</v>
      </c>
      <c r="HG411" s="54" t="str">
        <f t="shared" si="747"/>
        <v/>
      </c>
      <c r="HH411" s="54" t="e">
        <f>IF(HG411="",NA(),SUM($HG$4:HG411))</f>
        <v>#N/A</v>
      </c>
      <c r="HI411" s="172" t="str">
        <f t="shared" si="760"/>
        <v/>
      </c>
      <c r="HJ411" s="172">
        <f>IF($J411="",#N/A,SUM(HI$4:$HI411))</f>
        <v>-11.384655655360691</v>
      </c>
      <c r="HK411" s="54" t="str">
        <f t="shared" si="748"/>
        <v/>
      </c>
      <c r="HL411" s="54">
        <f>IF($J411="",#N/A,SUM($HK$4:HK411))</f>
        <v>7.6415354417754555</v>
      </c>
      <c r="HM411" s="54" t="str">
        <f t="shared" si="749"/>
        <v/>
      </c>
      <c r="HN411" s="54">
        <f>IF($J411="",#N/A,SUM($HM$4:HM411))</f>
        <v>1.0671238705763564</v>
      </c>
      <c r="HO411" s="54">
        <f t="shared" si="750"/>
        <v>-0.32394263667467471</v>
      </c>
      <c r="HP411" s="54">
        <f>IF($J411="",#N/A,SUM($HO$4:HO411))</f>
        <v>-0.54613191784001369</v>
      </c>
      <c r="HQ411" s="54" t="str">
        <f t="shared" si="751"/>
        <v/>
      </c>
      <c r="HR411" s="54">
        <f>IF($J411="",#N/A,SUM($HQ$4:HQ411))</f>
        <v>-15.217945954670494</v>
      </c>
      <c r="HS411" s="54" t="str">
        <f t="shared" si="752"/>
        <v/>
      </c>
      <c r="HT411" s="54">
        <f>IF($J411="",#N/A,SUM($HS$4:HS411))</f>
        <v>14.660479149324726</v>
      </c>
      <c r="HU411" s="65">
        <f t="shared" si="753"/>
        <v>-1.8308218679478792</v>
      </c>
      <c r="HV411" s="65">
        <f>IF($J411="",#N/A,SUM(HU$4:$HU411))</f>
        <v>2.2007745713032483</v>
      </c>
    </row>
    <row r="412" spans="1:230" ht="15.75" thickBot="1" x14ac:dyDescent="0.3">
      <c r="A412" s="292" t="s">
        <v>1242</v>
      </c>
      <c r="B412" s="293" t="s">
        <v>5556</v>
      </c>
      <c r="C412" s="294">
        <f t="shared" si="654"/>
        <v>1</v>
      </c>
      <c r="D412" s="295" t="str">
        <f>_xlfn.XLOOKUP(A412,[1]SP500!$A$2:$A$502,[1]SP500!$D$2:$D$502,"N")</f>
        <v>Y</v>
      </c>
      <c r="E412" s="292" t="str">
        <f>IFERROR(_xlfn.XLOOKUP(A412,[1]SP500!$A$2:$A$655,[1]SP500!$B$2:$B$655),"")</f>
        <v>IGV</v>
      </c>
      <c r="F412" s="296">
        <v>45819</v>
      </c>
      <c r="G412" s="292" t="str">
        <f t="shared" si="655"/>
        <v>AMC</v>
      </c>
      <c r="H412" s="292" t="str">
        <f t="shared" si="656"/>
        <v>o</v>
      </c>
      <c r="I412" s="345">
        <v>176.38</v>
      </c>
      <c r="J412" s="297">
        <v>189.96</v>
      </c>
      <c r="K412" s="298">
        <f t="shared" si="657"/>
        <v>7.6992856332917636E-2</v>
      </c>
      <c r="L412" s="299">
        <f t="shared" si="658"/>
        <v>-108.6400000000001</v>
      </c>
      <c r="M412" s="300">
        <f t="shared" si="659"/>
        <v>-0.31999999999993634</v>
      </c>
      <c r="N412" s="341">
        <f t="shared" si="660"/>
        <v>108.6400000000001</v>
      </c>
      <c r="O412" s="300">
        <f>IF(N412="",#N/A,SUM($N$4:N412))</f>
        <v>60.421074920355863</v>
      </c>
      <c r="P412" s="305">
        <f t="shared" si="754"/>
        <v>1.2832142722152942</v>
      </c>
      <c r="Q412" s="304">
        <f>IF($N412="",#N/A,SUM($P$4:P412))</f>
        <v>7.759757365580751</v>
      </c>
      <c r="R412" s="307">
        <f t="shared" si="661"/>
        <v>0.97788965517966009</v>
      </c>
      <c r="S412" s="292" t="str">
        <f t="shared" si="662"/>
        <v>Up</v>
      </c>
      <c r="T412" s="292" t="s">
        <v>4462</v>
      </c>
      <c r="U412" s="308">
        <f t="shared" si="663"/>
        <v>176.38</v>
      </c>
      <c r="V412" s="308" t="s">
        <v>4458</v>
      </c>
      <c r="W412" s="310">
        <v>8</v>
      </c>
      <c r="X412" s="309">
        <f t="shared" si="664"/>
        <v>1411.04</v>
      </c>
      <c r="Y412" s="310">
        <f t="shared" si="665"/>
        <v>8</v>
      </c>
      <c r="Z412" s="311">
        <v>190</v>
      </c>
      <c r="AA412" s="341">
        <f t="shared" si="666"/>
        <v>-108.96000000000004</v>
      </c>
      <c r="AB412" s="341">
        <f t="shared" si="667"/>
        <v>-187.84000000000015</v>
      </c>
      <c r="AC412" s="297">
        <v>199.86</v>
      </c>
      <c r="AD412" s="301">
        <f t="shared" si="668"/>
        <v>187.84000000000015</v>
      </c>
      <c r="AE412" s="546">
        <f t="shared" si="669"/>
        <v>2.2186944853913917</v>
      </c>
      <c r="AF412" s="300">
        <f>IF($AC412="",#N/A,SUM(AD$4:AD412))</f>
        <v>71.869964103314715</v>
      </c>
      <c r="AG412" s="341">
        <f t="shared" si="670"/>
        <v>79.200000000000045</v>
      </c>
      <c r="AH412" s="308" t="s">
        <v>2507</v>
      </c>
      <c r="AI412" s="305">
        <f t="shared" si="671"/>
        <v>-1.2869939902483281</v>
      </c>
      <c r="AJ412" s="418">
        <f>IF(AI412="",#N/A,SUM($AI$4:AI412))</f>
        <v>6.7818677104010909</v>
      </c>
      <c r="AK412" s="308">
        <f t="shared" si="672"/>
        <v>-108.96000000000004</v>
      </c>
      <c r="AL412" s="406">
        <f>IF(AI412="",#N/A,IF(AH412="Skip",SUM($AK$4:AK412),SUM($AK$4:AK412)))</f>
        <v>87.612369278481083</v>
      </c>
      <c r="AM412" s="65">
        <f t="shared" si="755"/>
        <v>2.2186944853913917</v>
      </c>
      <c r="AN412" s="209"/>
      <c r="AO412" s="65" t="str">
        <f t="shared" si="673"/>
        <v/>
      </c>
      <c r="AP412" s="65">
        <f>IF($AC412="",#N/A,SUM(AO$4:AO412))</f>
        <v>5.4175417333629472</v>
      </c>
      <c r="AQ412" s="65">
        <f t="shared" si="674"/>
        <v>2.2186944853913917</v>
      </c>
      <c r="AR412" s="65">
        <f>IF($AC412="",#N/A,SUM(AQ$4:AQ412))</f>
        <v>-7.7016572306401514</v>
      </c>
      <c r="AS412" s="65" t="str">
        <f t="shared" si="675"/>
        <v/>
      </c>
      <c r="AT412" s="65">
        <f>IF($AC412="",#N/A,SUM(AS$4:AS412))</f>
        <v>6.7035845539718384</v>
      </c>
      <c r="AU412" s="57" t="str">
        <f t="shared" si="756"/>
        <v/>
      </c>
      <c r="AV412" s="57">
        <f>IF($AC412="",#N/A,SUM(AU$4:AU412))</f>
        <v>149.82383890574624</v>
      </c>
      <c r="AW412" s="57">
        <f t="shared" si="757"/>
        <v>187.84000000000015</v>
      </c>
      <c r="AX412" s="57">
        <f>IF($AC412="",#N/A,SUM(AW$4:AW412))</f>
        <v>-576.79106797961094</v>
      </c>
      <c r="AY412" s="57" t="str">
        <f t="shared" si="758"/>
        <v/>
      </c>
      <c r="AZ412" s="57">
        <f>IF($AC412="",#N/A,SUM(AY$4:AY412))</f>
        <v>498.8371931771793</v>
      </c>
      <c r="BA412" s="57">
        <f>IF(AD412="",#N/A,SUM($AD$4:AD412))</f>
        <v>71.869964103314715</v>
      </c>
      <c r="BC412" s="51">
        <f t="shared" si="676"/>
        <v>1</v>
      </c>
      <c r="BD412" s="51" t="str">
        <f t="shared" si="677"/>
        <v/>
      </c>
      <c r="BE412" s="51" t="str">
        <f t="shared" si="678"/>
        <v/>
      </c>
      <c r="BF412" s="51" t="str">
        <f t="shared" si="679"/>
        <v>Long</v>
      </c>
      <c r="BG412" s="51" t="str">
        <f t="shared" si="680"/>
        <v/>
      </c>
      <c r="BH412" s="51" t="str">
        <f t="shared" si="681"/>
        <v/>
      </c>
      <c r="BI412" s="51" t="str">
        <f t="shared" si="682"/>
        <v/>
      </c>
      <c r="BK412" s="65">
        <f t="shared" si="653"/>
        <v>-0.16548680458526918</v>
      </c>
      <c r="BL412" s="65">
        <f t="shared" ref="BL412:BL422" si="761">IFERROR((Q412-Q388)/COUNTA(J388:J412),#N/A)</f>
        <v>-0.27766206902997664</v>
      </c>
      <c r="BM412" s="65">
        <f>IFERROR(Q412/COUNTA($J$4:J412),#N/A)</f>
        <v>1.8972511896285457E-2</v>
      </c>
      <c r="BO412" s="489" t="e">
        <f>IF(J412="",#N/A,IF(S412="SW",(COUNTIFS(K$4:$K412,"&gt;0",S$4:$S412,"SW")/COUNTIF(S$4:$S412,"SW")),#N/A))</f>
        <v>#N/A</v>
      </c>
      <c r="BP412" s="489" t="e">
        <f>IF($J412="",#N/A,IF($S412="DWN",(COUNTIFS($K$4:$K412,"&lt;0",$S$4:$S412,"DWN")/COUNTIF($S$4:$S412,"DWN")),#N/A))</f>
        <v>#N/A</v>
      </c>
      <c r="BQ412" s="489">
        <f>IF($J412="",#N/A,IF($S412="UP",(COUNTIFS($K$4:$K412,"&gt;0",$S$4:$S412,"UP")/COUNTIF($S$4:$S412,"UP")),#N/A))</f>
        <v>0.4375</v>
      </c>
      <c r="BR412" s="489">
        <f>IF(J412="",#N/A,COUNTIF($K$4:K412,"&gt;0")/COUNT($J$4:J412))</f>
        <v>0.46943765281173594</v>
      </c>
      <c r="BS412" s="65" t="str">
        <f t="shared" si="683"/>
        <v/>
      </c>
      <c r="BT412" s="65" t="str">
        <f t="shared" si="684"/>
        <v/>
      </c>
      <c r="BU412" s="65" t="str">
        <f t="shared" si="685"/>
        <v/>
      </c>
      <c r="BV412" s="65">
        <f t="shared" si="686"/>
        <v>1.2832142722152942</v>
      </c>
      <c r="BW412" s="128">
        <f t="shared" si="687"/>
        <v>108.6400000000001</v>
      </c>
      <c r="BX412" s="128">
        <f>IF($J412="",#N/A,SUM($BW$4:BW412))</f>
        <v>-718.89317034792953</v>
      </c>
      <c r="BY412" s="131" t="str">
        <f t="shared" si="688"/>
        <v/>
      </c>
      <c r="BZ412" s="131">
        <f>IF($J412="",#N/A,SUM($BY$4:BY412))</f>
        <v>533.40161346139416</v>
      </c>
      <c r="CA412" s="133" t="str">
        <f t="shared" si="689"/>
        <v/>
      </c>
      <c r="CB412" s="133">
        <f>IF($J412="",#N/A,SUM($CA$4:CA412))</f>
        <v>245.912631806891</v>
      </c>
      <c r="CC412" s="194">
        <f t="shared" si="690"/>
        <v>1.2832142722152942</v>
      </c>
      <c r="CD412" s="194">
        <f>IF($J412="",#N/A,SUM($CC$4:CC412))</f>
        <v>-9.1581293965525905</v>
      </c>
      <c r="CE412" s="195" t="str">
        <f t="shared" si="691"/>
        <v/>
      </c>
      <c r="CF412" s="195">
        <f>IF($J412="",#N/A,SUM($CE$4:CE412))</f>
        <v>10.446704767557083</v>
      </c>
      <c r="CG412" s="196" t="str">
        <f t="shared" si="692"/>
        <v/>
      </c>
      <c r="CH412" s="196">
        <f>IF($J412="",#N/A,SUM($CG$4:CG412))</f>
        <v>6.4711819945762716</v>
      </c>
      <c r="CI412" s="200" t="str">
        <f t="shared" si="693"/>
        <v/>
      </c>
      <c r="CJ412" s="203">
        <f>IF($J412="",#N/A,SUM(CI$4:CI412))</f>
        <v>0</v>
      </c>
      <c r="CK412" s="204" t="str">
        <f t="shared" si="694"/>
        <v/>
      </c>
      <c r="CL412" s="204">
        <f>IF($J412="",#N/A,SUM(CK$4:CK412))</f>
        <v>2.0825010564889137</v>
      </c>
      <c r="CM412" s="205" t="str">
        <f t="shared" si="695"/>
        <v/>
      </c>
      <c r="CN412" s="205">
        <f>IF($J412="",#N/A,SUM(CM$4:CM412))</f>
        <v>-0.88786801747311794</v>
      </c>
      <c r="CO412" s="205">
        <f>IF($J412="",#N/A,SUM(CM$4:CM412,CK$4:CK412,CI$4:CI412))</f>
        <v>1.1946330390157962</v>
      </c>
      <c r="CP412" s="200">
        <f t="shared" si="696"/>
        <v>1.2832142722152942</v>
      </c>
      <c r="CQ412" s="203">
        <f>IF($J412="",#N/A,SUM(CP$4:CP412))</f>
        <v>-2.7099780615005766</v>
      </c>
      <c r="CR412" s="204" t="str">
        <f t="shared" si="697"/>
        <v/>
      </c>
      <c r="CS412" s="204">
        <f>IF($J412="",#N/A,SUM(CR$4:CR412))</f>
        <v>2.3600225017004668</v>
      </c>
      <c r="CT412" s="205" t="str">
        <f t="shared" si="698"/>
        <v/>
      </c>
      <c r="CU412" s="205">
        <f>IF($J412="",#N/A,SUM(CT$4:CT412))</f>
        <v>-12.045896072422382</v>
      </c>
      <c r="CV412" s="205">
        <f>IF($J412="",#N/A,SUM(CT$4:CT412,CR$4:CR412,CP$4:CP412))</f>
        <v>-12.39585163222249</v>
      </c>
      <c r="CW412" s="200" t="str">
        <f t="shared" si="699"/>
        <v/>
      </c>
      <c r="CX412" s="203">
        <f>IF($J412="",#N/A,SUM(CW$4:CW412))</f>
        <v>-7.8443640235555954</v>
      </c>
      <c r="CY412" s="204" t="str">
        <f t="shared" si="700"/>
        <v/>
      </c>
      <c r="CZ412" s="204">
        <f>IF($J412="",#N/A,SUM(CY$4:CY412))</f>
        <v>-2.6367641712432155</v>
      </c>
      <c r="DA412" s="205" t="str">
        <f t="shared" si="701"/>
        <v/>
      </c>
      <c r="DB412" s="205">
        <f>IF($J412="",#N/A,SUM(DA$4:DA412))</f>
        <v>-1.3155870379734311</v>
      </c>
      <c r="DC412" s="205">
        <f>IF($J412="",#N/A,SUM(DA$4:DA412,CY$4:CY412,CW$4:CW412))</f>
        <v>-11.796715232772243</v>
      </c>
      <c r="DD412" s="200" t="str">
        <f t="shared" si="702"/>
        <v/>
      </c>
      <c r="DE412" s="203">
        <f>IF($J412="",#N/A,SUM(DD$4:DD412))</f>
        <v>2.1903002454447948</v>
      </c>
      <c r="DF412" s="204" t="str">
        <f t="shared" si="703"/>
        <v/>
      </c>
      <c r="DG412" s="204">
        <f>IF($J412="",#N/A,SUM(DF$4:DF412))</f>
        <v>3.7844462787298916</v>
      </c>
      <c r="DH412" s="205" t="str">
        <f t="shared" si="704"/>
        <v/>
      </c>
      <c r="DI412" s="205">
        <f>IF($J412="",#N/A,SUM(DH$4:DH412))</f>
        <v>1.1482786833538656</v>
      </c>
      <c r="DJ412" s="205">
        <f>IF($J412="",#N/A,SUM(DH$4:DH412,DF$4:DF412,DD$4:DD412))</f>
        <v>7.1230252075285527</v>
      </c>
      <c r="DK412" s="200" t="str">
        <f t="shared" si="705"/>
        <v/>
      </c>
      <c r="DL412" s="203">
        <f>IF($J412="",#N/A,SUM(DK$4:DK412))</f>
        <v>-0.84049791589649614</v>
      </c>
      <c r="DM412" s="204" t="str">
        <f t="shared" si="706"/>
        <v/>
      </c>
      <c r="DN412" s="204">
        <f>IF($J412="",#N/A,SUM(DM$4:DM412))</f>
        <v>1.8657648196498773</v>
      </c>
      <c r="DO412" s="205" t="str">
        <f t="shared" si="707"/>
        <v/>
      </c>
      <c r="DP412" s="205">
        <f>IF($J412="",#N/A,SUM(DO$4:DO412))</f>
        <v>3.4887162328793941</v>
      </c>
      <c r="DQ412" s="205">
        <f>IF($J412="",#N/A,SUM(DO$4:DO412,DM$4:DM412,DK$4:DK412))</f>
        <v>4.5139831366327758</v>
      </c>
      <c r="DR412" s="200" t="str">
        <f t="shared" si="708"/>
        <v/>
      </c>
      <c r="DS412" s="203">
        <f>IF($J412="",#N/A,SUM(DR$4:DR412))</f>
        <v>-0.55950946427675097</v>
      </c>
      <c r="DT412" s="204" t="str">
        <f t="shared" si="709"/>
        <v/>
      </c>
      <c r="DU412" s="204">
        <f>IF($J412="",#N/A,SUM(DT$4:DT412))</f>
        <v>-0.20750635820596686</v>
      </c>
      <c r="DV412" s="205" t="str">
        <f t="shared" si="710"/>
        <v/>
      </c>
      <c r="DW412" s="205">
        <f>IF($J412="",#N/A,SUM(DV$4:DV412))</f>
        <v>-2.3377035686214001</v>
      </c>
      <c r="DX412" s="205">
        <f>IF($J412="",#N/A,SUM(DV$4:DV412,DT$4:DT412,DR$4:DR412))</f>
        <v>-3.1047193911041169</v>
      </c>
      <c r="DY412" s="200" t="str">
        <f t="shared" si="711"/>
        <v/>
      </c>
      <c r="DZ412" s="203">
        <f>IF($J412="",#N/A,SUM(DY$4:DY412))</f>
        <v>0.24785202869748424</v>
      </c>
      <c r="EA412" s="204" t="str">
        <f t="shared" si="712"/>
        <v/>
      </c>
      <c r="EB412" s="204">
        <f>IF($J412="",#N/A,SUM(EA$4:EA412))</f>
        <v>4.3184391548878134</v>
      </c>
      <c r="EC412" s="205" t="str">
        <f t="shared" si="713"/>
        <v/>
      </c>
      <c r="ED412" s="205">
        <f>IF($J412="",#N/A,SUM(EC$4:EC412))</f>
        <v>8.4384553208490907</v>
      </c>
      <c r="EE412" s="205">
        <f>IF($J412="",#N/A,SUM(EC$4:EC412,EA$4:EA412,DY$4:DY412))</f>
        <v>13.00474650443439</v>
      </c>
      <c r="EF412" s="200" t="str">
        <f t="shared" si="714"/>
        <v/>
      </c>
      <c r="EG412" s="203">
        <f>IF($J412="",#N/A,SUM(EF$4:EF412))</f>
        <v>0.65848341369884777</v>
      </c>
      <c r="EH412" s="204" t="str">
        <f t="shared" si="715"/>
        <v/>
      </c>
      <c r="EI412" s="204">
        <f>IF($J412="",#N/A,SUM(EH$4:EH412))</f>
        <v>-3.5125331561187787</v>
      </c>
      <c r="EJ412" s="205" t="str">
        <f t="shared" si="716"/>
        <v/>
      </c>
      <c r="EK412" s="205">
        <f>IF($J412="",#N/A,SUM(EJ$4:EJ412))</f>
        <v>13.156552985368888</v>
      </c>
      <c r="EL412" s="205">
        <f>IF($J412="",#N/A,SUM(EJ$4:EJ412,EH$4:EH412,EF$4:EF412))</f>
        <v>10.30250324294896</v>
      </c>
      <c r="EM412" s="200" t="str">
        <f t="shared" si="717"/>
        <v/>
      </c>
      <c r="EN412" s="203">
        <f>IF($J412="",#N/A,SUM(EM$4:EM412))</f>
        <v>0</v>
      </c>
      <c r="EO412" s="204" t="str">
        <f t="shared" si="718"/>
        <v/>
      </c>
      <c r="EP412" s="204">
        <f>IF($J412="",#N/A,SUM(EO$4:EO412))</f>
        <v>2.4788862078089964</v>
      </c>
      <c r="EQ412" s="205" t="str">
        <f t="shared" si="719"/>
        <v/>
      </c>
      <c r="ER412" s="205">
        <f>IF($J412="",#N/A,SUM(EQ$4:EQ412))</f>
        <v>1.7856049065476487</v>
      </c>
      <c r="ES412" s="205">
        <f>IF($J412="",#N/A,SUM(EQ$4:EQ412,EO$4:EO412,EM$4:EM412))</f>
        <v>4.2644911143566446</v>
      </c>
      <c r="ET412" s="200" t="str">
        <f t="shared" si="720"/>
        <v/>
      </c>
      <c r="EU412" s="203">
        <f>IF($J412="",#N/A,SUM(ET$4:ET412))</f>
        <v>-0.56361328049859927</v>
      </c>
      <c r="EV412" s="204" t="str">
        <f t="shared" si="721"/>
        <v/>
      </c>
      <c r="EW412" s="204">
        <f>IF($J412="",#N/A,SUM(EV$4:EV412))</f>
        <v>7.9116394275462909E-2</v>
      </c>
      <c r="EX412" s="205" t="str">
        <f t="shared" si="722"/>
        <v/>
      </c>
      <c r="EY412" s="205">
        <f>IF($J412="",#N/A,SUM(EX$4:EX412))</f>
        <v>0.62848633887309935</v>
      </c>
      <c r="EZ412" s="205">
        <f>IF($J412="",#N/A,SUM(EX$4:EX412,EV$4:EV412,ET$4:ET412))</f>
        <v>0.14398945264996266</v>
      </c>
      <c r="FA412" s="200" t="str">
        <f t="shared" si="723"/>
        <v/>
      </c>
      <c r="FB412" s="203">
        <f>IF($J412="",#N/A,SUM(FA$4:FA412))</f>
        <v>-0.27145310509113252</v>
      </c>
      <c r="FC412" s="204" t="str">
        <f t="shared" si="724"/>
        <v/>
      </c>
      <c r="FD412" s="204">
        <f>IF($J412="",#N/A,SUM(FC$4:FC412))</f>
        <v>0.89084290967454072</v>
      </c>
      <c r="FE412" s="205" t="str">
        <f t="shared" si="725"/>
        <v/>
      </c>
      <c r="FF412" s="205">
        <f>IF($J412="",#N/A,SUM(FE$4:FE412))</f>
        <v>-0.28811149078748233</v>
      </c>
      <c r="FG412" s="205">
        <f>IF($J412="",#N/A,SUM(FE$4:FE412,FC$4:FC412,FA$4:FA412))</f>
        <v>0.3312783137959262</v>
      </c>
      <c r="FH412" s="200" t="str">
        <f t="shared" si="726"/>
        <v/>
      </c>
      <c r="FI412" s="203">
        <f>IF($J412="",#N/A,SUM(FH$4:FH412))</f>
        <v>0</v>
      </c>
      <c r="FJ412" s="204" t="str">
        <f t="shared" si="727"/>
        <v/>
      </c>
      <c r="FK412" s="204">
        <f>IF($J412="",#N/A,SUM(FJ$4:FJ412))</f>
        <v>0</v>
      </c>
      <c r="FL412" s="205" t="str">
        <f t="shared" si="728"/>
        <v/>
      </c>
      <c r="FM412" s="205">
        <f>IF($J412="",#N/A,SUM(FL$4:FL412))</f>
        <v>0</v>
      </c>
      <c r="FN412" s="205">
        <f>IF($J412="",#N/A,SUM(FL$4:FL412,FJ$4:FJ412,FH$4:FH412))</f>
        <v>0</v>
      </c>
      <c r="FO412" s="200" t="str">
        <f t="shared" si="729"/>
        <v/>
      </c>
      <c r="FP412" s="203">
        <f>IF($J412="",#N/A,SUM(FO$4:FO412))</f>
        <v>0</v>
      </c>
      <c r="FQ412" s="204" t="str">
        <f t="shared" si="730"/>
        <v/>
      </c>
      <c r="FR412" s="204">
        <f>IF($J412="",#N/A,SUM(FQ$4:FQ412))</f>
        <v>0</v>
      </c>
      <c r="FS412" s="205" t="str">
        <f t="shared" si="731"/>
        <v/>
      </c>
      <c r="FT412" s="205">
        <f>IF($J412="",#N/A,SUM(FS$4:FS412))</f>
        <v>0</v>
      </c>
      <c r="FU412" s="205">
        <f>IF($J412="",#N/A,SUM(FS$4:FS412,FQ$4:FQ412,FO$4:FO412))</f>
        <v>0</v>
      </c>
      <c r="FV412" s="200" t="str">
        <f t="shared" si="732"/>
        <v/>
      </c>
      <c r="FW412" s="203">
        <f>IF($J412="",#N/A,SUM(FV$4:FV412))</f>
        <v>6.6834991831277585E-2</v>
      </c>
      <c r="FX412" s="204" t="str">
        <f t="shared" si="733"/>
        <v/>
      </c>
      <c r="FY412" s="204">
        <f>IF($J412="",#N/A,SUM(FX$4:FX412))</f>
        <v>-0.16102012791805576</v>
      </c>
      <c r="FZ412" s="205" t="str">
        <f t="shared" si="734"/>
        <v/>
      </c>
      <c r="GA412" s="205">
        <f>IF($J412="",#N/A,SUM(FZ$4:FZ412))</f>
        <v>-0.69624339162892301</v>
      </c>
      <c r="GB412" s="205">
        <f>IF($J412="",#N/A,SUM(FZ$4:FZ412,FX$4:FX412,FV$4:FV412))</f>
        <v>-0.79042852771570116</v>
      </c>
      <c r="GC412" s="200" t="str">
        <f t="shared" si="735"/>
        <v/>
      </c>
      <c r="GD412" s="203">
        <f>IF($J412="",#N/A,SUM(GC$4:GC412))</f>
        <v>0</v>
      </c>
      <c r="GE412" s="204" t="str">
        <f t="shared" si="736"/>
        <v/>
      </c>
      <c r="GF412" s="204">
        <f>IF($J412="",#N/A,SUM(GE$4:GE412))</f>
        <v>0</v>
      </c>
      <c r="GG412" s="205" t="str">
        <f t="shared" si="737"/>
        <v/>
      </c>
      <c r="GH412" s="205">
        <f>IF($J412="",#N/A,SUM(GG$4:GG412))</f>
        <v>-2.9368362277223206</v>
      </c>
      <c r="GI412" s="205">
        <f>IF($J412="",#N/A,SUM(GG$4:GG412,GE$4:GE412,GC$4:GC412))</f>
        <v>-2.9368362277223206</v>
      </c>
      <c r="GJ412" s="200" t="str">
        <f t="shared" si="738"/>
        <v/>
      </c>
      <c r="GK412" s="203">
        <f>IF($J412="",#N/A,SUM(GJ$4:GJ412))</f>
        <v>0</v>
      </c>
      <c r="GL412" s="204" t="str">
        <f t="shared" si="739"/>
        <v/>
      </c>
      <c r="GM412" s="204">
        <f>IF($J412="",#N/A,SUM(GL$4:GL412))</f>
        <v>-2.0621307233432784</v>
      </c>
      <c r="GN412" s="205" t="str">
        <f t="shared" si="740"/>
        <v/>
      </c>
      <c r="GO412" s="205">
        <f>IF($J412="",#N/A,SUM(GN$4:GN412))</f>
        <v>0</v>
      </c>
      <c r="GP412" s="205">
        <f>IF($J412="",#N/A,SUM(GN$4:GN412,GL$4:GL412,GJ$4:GJ412))</f>
        <v>-2.0621307233432784</v>
      </c>
      <c r="GS412" s="54">
        <f t="shared" si="759"/>
        <v>1.2832142722152942</v>
      </c>
      <c r="GT412" s="54">
        <f>IF(GS412="",NA(),SUM($GS$4:GS412))</f>
        <v>13.989775126944364</v>
      </c>
      <c r="GU412" s="54">
        <f t="shared" si="741"/>
        <v>1.2832142722152942</v>
      </c>
      <c r="GV412" s="54">
        <f>IF(GU412="",NA(),SUM($GU$4:GU412))</f>
        <v>-6.2176336554825582</v>
      </c>
      <c r="GW412" s="54" t="str">
        <f t="shared" si="742"/>
        <v/>
      </c>
      <c r="GX412" s="54" t="e">
        <f>IF(GW412="",NA(),SUM($GW$4:GW412))</f>
        <v>#N/A</v>
      </c>
      <c r="GY412" s="54" t="str">
        <f t="shared" si="743"/>
        <v/>
      </c>
      <c r="GZ412" s="54" t="e">
        <f>IF(GY412="",NA(),SUM($GY$4:GY412))</f>
        <v>#N/A</v>
      </c>
      <c r="HA412" s="54" t="str">
        <f t="shared" si="744"/>
        <v/>
      </c>
      <c r="HB412" s="54" t="e">
        <f>IF(HA412="",NA(),SUM($HA$4:HA412))</f>
        <v>#N/A</v>
      </c>
      <c r="HC412" s="54" t="str">
        <f t="shared" si="745"/>
        <v/>
      </c>
      <c r="HD412" s="54" t="e">
        <f>IF(HC412="",NA(),SUM($HC$4:HC412))</f>
        <v>#N/A</v>
      </c>
      <c r="HE412" s="54" t="str">
        <f t="shared" si="746"/>
        <v/>
      </c>
      <c r="HF412" s="54" t="e">
        <f>IF(HE412="",NA(),SUM($HE$4:HE412))</f>
        <v>#N/A</v>
      </c>
      <c r="HG412" s="54" t="str">
        <f t="shared" si="747"/>
        <v/>
      </c>
      <c r="HH412" s="54" t="e">
        <f>IF(HG412="",NA(),SUM($HG$4:HG412))</f>
        <v>#N/A</v>
      </c>
      <c r="HI412" s="172" t="str">
        <f t="shared" si="760"/>
        <v/>
      </c>
      <c r="HJ412" s="172">
        <f>IF($J412="",#N/A,SUM(HI$4:$HI412))</f>
        <v>-11.384655655360691</v>
      </c>
      <c r="HK412" s="54" t="str">
        <f t="shared" si="748"/>
        <v/>
      </c>
      <c r="HL412" s="54">
        <f>IF($J412="",#N/A,SUM($HK$4:HK412))</f>
        <v>7.6415354417754555</v>
      </c>
      <c r="HM412" s="54">
        <f t="shared" si="749"/>
        <v>0.93548021317609753</v>
      </c>
      <c r="HN412" s="54">
        <f>IF($J412="",#N/A,SUM($HM$4:HM412))</f>
        <v>2.0026040837524537</v>
      </c>
      <c r="HO412" s="54" t="str">
        <f t="shared" si="750"/>
        <v/>
      </c>
      <c r="HP412" s="54">
        <f>IF($J412="",#N/A,SUM($HO$4:HO412))</f>
        <v>-0.54613191784001369</v>
      </c>
      <c r="HQ412" s="54" t="str">
        <f t="shared" si="751"/>
        <v/>
      </c>
      <c r="HR412" s="54">
        <f>IF($J412="",#N/A,SUM($HQ$4:HQ412))</f>
        <v>-15.217945954670494</v>
      </c>
      <c r="HS412" s="54" t="str">
        <f t="shared" si="752"/>
        <v/>
      </c>
      <c r="HT412" s="54">
        <f>IF($J412="",#N/A,SUM($HS$4:HS412))</f>
        <v>14.660479149324726</v>
      </c>
      <c r="HU412" s="65">
        <f t="shared" si="753"/>
        <v>2.2186944853913917</v>
      </c>
      <c r="HV412" s="65">
        <f>IF($J412="",#N/A,SUM(HU$4:$HU412))</f>
        <v>4.4194690566946395</v>
      </c>
    </row>
    <row r="413" spans="1:230" ht="15.75" thickBot="1" x14ac:dyDescent="0.3">
      <c r="A413" s="316" t="s">
        <v>1251</v>
      </c>
      <c r="B413" s="317" t="s">
        <v>5659</v>
      </c>
      <c r="C413" s="318">
        <f t="shared" si="654"/>
        <v>2</v>
      </c>
      <c r="D413" s="384" t="str">
        <f>_xlfn.XLOOKUP(A413,[1]SP500!$A$2:$A$502,[1]SP500!$D$2:$D$502,"N")</f>
        <v>Y</v>
      </c>
      <c r="E413" s="316" t="str">
        <f>IFERROR(_xlfn.XLOOKUP(A413,[1]SP500!$A$2:$A$655,[1]SP500!$B$2:$B$655),"")</f>
        <v>IGV</v>
      </c>
      <c r="F413" s="320">
        <v>45820</v>
      </c>
      <c r="G413" s="316" t="str">
        <f t="shared" si="655"/>
        <v>AMC</v>
      </c>
      <c r="H413" s="316" t="str">
        <f t="shared" si="656"/>
        <v>s</v>
      </c>
      <c r="I413" s="385">
        <v>413.68</v>
      </c>
      <c r="J413" s="337">
        <v>392.5</v>
      </c>
      <c r="K413" s="322">
        <f t="shared" si="657"/>
        <v>-5.1198994391800444E-2</v>
      </c>
      <c r="L413" s="323">
        <f t="shared" si="658"/>
        <v>63.539999999999964</v>
      </c>
      <c r="M413" s="324" t="e">
        <f t="shared" si="659"/>
        <v>#N/A</v>
      </c>
      <c r="N413" s="466">
        <f t="shared" si="660"/>
        <v>63.539999999999964</v>
      </c>
      <c r="O413" s="324">
        <f>IF(N413="",#N/A,SUM($N$4:N413))</f>
        <v>123.96107492035583</v>
      </c>
      <c r="P413" s="331">
        <f t="shared" si="754"/>
        <v>0.85331657319667342</v>
      </c>
      <c r="Q413" s="328">
        <f>IF($N413="",#N/A,SUM($P$4:P413))</f>
        <v>8.6130739387774238</v>
      </c>
      <c r="R413" s="333">
        <f t="shared" si="661"/>
        <v>0.76194174052743335</v>
      </c>
      <c r="S413" s="316" t="str">
        <f t="shared" si="662"/>
        <v>Dwn</v>
      </c>
      <c r="T413" s="316" t="s">
        <v>4462</v>
      </c>
      <c r="U413" s="334">
        <f t="shared" si="663"/>
        <v>413.68</v>
      </c>
      <c r="V413" s="334" t="s">
        <v>4458</v>
      </c>
      <c r="W413" s="336">
        <v>3</v>
      </c>
      <c r="X413" s="335">
        <f t="shared" si="664"/>
        <v>1241.04</v>
      </c>
      <c r="Y413" s="336">
        <f t="shared" si="665"/>
        <v>3</v>
      </c>
      <c r="Z413" s="555">
        <v>387.14</v>
      </c>
      <c r="AA413" s="466">
        <f t="shared" si="666"/>
        <v>79.619999999999891</v>
      </c>
      <c r="AB413" s="466">
        <f t="shared" si="667"/>
        <v>66</v>
      </c>
      <c r="AC413" s="337">
        <v>391.68</v>
      </c>
      <c r="AD413" s="325">
        <f t="shared" si="668"/>
        <v>66</v>
      </c>
      <c r="AE413" s="543">
        <f t="shared" si="669"/>
        <v>0.88635338103526085</v>
      </c>
      <c r="AF413" s="324">
        <f>IF($AC413="",#N/A,SUM(AD$4:AD413))</f>
        <v>137.86996410331471</v>
      </c>
      <c r="AG413" s="466">
        <f t="shared" si="670"/>
        <v>2.4600000000000364</v>
      </c>
      <c r="AH413" s="334" t="s">
        <v>4471</v>
      </c>
      <c r="AI413" s="331">
        <f t="shared" si="671"/>
        <v>1.0692644878488997</v>
      </c>
      <c r="AJ413" s="556">
        <f>IF(AI413="",#N/A,SUM($AI$4:AI413))</f>
        <v>7.8511321982499904</v>
      </c>
      <c r="AK413" s="334">
        <f t="shared" si="672"/>
        <v>79.619999999999891</v>
      </c>
      <c r="AL413" s="467">
        <f>IF(AI413="",#N/A,IF(AH413="Skip",SUM($AK$4:AK413),SUM($AK$4:AK413)))</f>
        <v>167.23236927848097</v>
      </c>
      <c r="AM413" s="65">
        <f t="shared" si="755"/>
        <v>0.88635338103526085</v>
      </c>
      <c r="AN413" s="209"/>
      <c r="AO413" s="65" t="str">
        <f t="shared" si="673"/>
        <v/>
      </c>
      <c r="AP413" s="65">
        <f>IF($AC413="",#N/A,SUM(AO$4:AO413))</f>
        <v>5.4175417333629472</v>
      </c>
      <c r="AQ413" s="65" t="str">
        <f t="shared" si="674"/>
        <v/>
      </c>
      <c r="AR413" s="65">
        <f>IF($AC413="",#N/A,SUM(AQ$4:AQ413))</f>
        <v>-7.7016572306401514</v>
      </c>
      <c r="AS413" s="65">
        <f t="shared" si="675"/>
        <v>0.88635338103526085</v>
      </c>
      <c r="AT413" s="65">
        <f>IF($AC413="",#N/A,SUM(AS$4:AS413))</f>
        <v>7.5899379350070992</v>
      </c>
      <c r="AU413" s="57" t="str">
        <f t="shared" si="756"/>
        <v/>
      </c>
      <c r="AV413" s="57">
        <f>IF($AC413="",#N/A,SUM(AU$4:AU413))</f>
        <v>149.82383890574624</v>
      </c>
      <c r="AW413" s="57" t="str">
        <f t="shared" si="757"/>
        <v/>
      </c>
      <c r="AX413" s="57">
        <f>IF($AC413="",#N/A,SUM(AW$4:AW413))</f>
        <v>-576.79106797961094</v>
      </c>
      <c r="AY413" s="57">
        <f t="shared" si="758"/>
        <v>66</v>
      </c>
      <c r="AZ413" s="57">
        <f>IF($AC413="",#N/A,SUM(AY$4:AY413))</f>
        <v>564.8371931771793</v>
      </c>
      <c r="BA413" s="57">
        <f>IF(AD413="",#N/A,SUM($AD$4:AD413))</f>
        <v>137.86996410331471</v>
      </c>
      <c r="BC413" s="51" t="str">
        <f t="shared" si="676"/>
        <v/>
      </c>
      <c r="BD413" s="51" t="str">
        <f t="shared" si="677"/>
        <v/>
      </c>
      <c r="BE413" s="51" t="str">
        <f t="shared" si="678"/>
        <v/>
      </c>
      <c r="BF413" s="51" t="str">
        <f t="shared" si="679"/>
        <v>Short</v>
      </c>
      <c r="BG413" s="51">
        <f t="shared" si="680"/>
        <v>1</v>
      </c>
      <c r="BH413" s="51" t="str">
        <f t="shared" si="681"/>
        <v/>
      </c>
      <c r="BI413" s="51" t="str">
        <f t="shared" si="682"/>
        <v/>
      </c>
      <c r="BK413" s="65">
        <f t="shared" si="653"/>
        <v>-0.11108326823533822</v>
      </c>
      <c r="BL413" s="65">
        <f t="shared" si="761"/>
        <v>-0.27517944138081141</v>
      </c>
      <c r="BM413" s="65">
        <f>IFERROR(Q413/COUNTA($J$4:J413),#N/A)</f>
        <v>2.1007497411652254E-2</v>
      </c>
      <c r="BO413" s="489" t="e">
        <f>IF(J413="",#N/A,IF(S413="SW",(COUNTIFS(K$4:$K413,"&gt;0",S$4:$S413,"SW")/COUNTIF(S$4:$S413,"SW")),#N/A))</f>
        <v>#N/A</v>
      </c>
      <c r="BP413" s="489">
        <f>IF($J413="",#N/A,IF($S413="DWN",(COUNTIFS($K$4:$K413,"&lt;0",$S$4:$S413,"DWN")/COUNTIF($S$4:$S413,"DWN")),#N/A))</f>
        <v>0.55487804878048785</v>
      </c>
      <c r="BQ413" s="489" t="e">
        <f>IF($J413="",#N/A,IF($S413="UP",(COUNTIFS($K$4:$K413,"&gt;0",$S$4:$S413,"UP")/COUNTIF($S$4:$S413,"UP")),#N/A))</f>
        <v>#N/A</v>
      </c>
      <c r="BR413" s="489">
        <f>IF(J413="",#N/A,COUNTIF($K$4:K413,"&gt;0")/COUNT($J$4:J413))</f>
        <v>0.4682926829268293</v>
      </c>
      <c r="BS413" s="65" t="str">
        <f t="shared" si="683"/>
        <v/>
      </c>
      <c r="BT413" s="65" t="str">
        <f t="shared" si="684"/>
        <v/>
      </c>
      <c r="BU413" s="65">
        <f t="shared" si="685"/>
        <v>0.85331657319667342</v>
      </c>
      <c r="BV413" s="65" t="str">
        <f t="shared" si="686"/>
        <v/>
      </c>
      <c r="BW413" s="128" t="str">
        <f t="shared" si="687"/>
        <v/>
      </c>
      <c r="BX413" s="128">
        <f>IF($J413="",#N/A,SUM($BW$4:BW413))</f>
        <v>-718.89317034792953</v>
      </c>
      <c r="BY413" s="131">
        <f t="shared" si="688"/>
        <v>63.539999999999964</v>
      </c>
      <c r="BZ413" s="131">
        <f>IF($J413="",#N/A,SUM($BY$4:BY413))</f>
        <v>596.94161346139413</v>
      </c>
      <c r="CA413" s="133" t="str">
        <f t="shared" si="689"/>
        <v/>
      </c>
      <c r="CB413" s="133">
        <f>IF($J413="",#N/A,SUM($CA$4:CA413))</f>
        <v>245.912631806891</v>
      </c>
      <c r="CC413" s="194" t="str">
        <f t="shared" si="690"/>
        <v/>
      </c>
      <c r="CD413" s="194">
        <f>IF($J413="",#N/A,SUM($CC$4:CC413))</f>
        <v>-9.1581293965525905</v>
      </c>
      <c r="CE413" s="195">
        <f t="shared" si="691"/>
        <v>0.85331657319667342</v>
      </c>
      <c r="CF413" s="195">
        <f>IF($J413="",#N/A,SUM($CE$4:CE413))</f>
        <v>11.300021340753757</v>
      </c>
      <c r="CG413" s="196" t="str">
        <f t="shared" si="692"/>
        <v/>
      </c>
      <c r="CH413" s="196">
        <f>IF($J413="",#N/A,SUM($CG$4:CG413))</f>
        <v>6.4711819945762716</v>
      </c>
      <c r="CI413" s="200" t="str">
        <f t="shared" si="693"/>
        <v/>
      </c>
      <c r="CJ413" s="203">
        <f>IF($J413="",#N/A,SUM(CI$4:CI413))</f>
        <v>0</v>
      </c>
      <c r="CK413" s="204" t="str">
        <f t="shared" si="694"/>
        <v/>
      </c>
      <c r="CL413" s="204">
        <f>IF($J413="",#N/A,SUM(CK$4:CK413))</f>
        <v>2.0825010564889137</v>
      </c>
      <c r="CM413" s="205" t="str">
        <f t="shared" si="695"/>
        <v/>
      </c>
      <c r="CN413" s="205">
        <f>IF($J413="",#N/A,SUM(CM$4:CM413))</f>
        <v>-0.88786801747311794</v>
      </c>
      <c r="CO413" s="205">
        <f>IF($J413="",#N/A,SUM(CM$4:CM413,CK$4:CK413,CI$4:CI413))</f>
        <v>1.1946330390157962</v>
      </c>
      <c r="CP413" s="200" t="str">
        <f t="shared" si="696"/>
        <v/>
      </c>
      <c r="CQ413" s="203">
        <f>IF($J413="",#N/A,SUM(CP$4:CP413))</f>
        <v>-2.7099780615005766</v>
      </c>
      <c r="CR413" s="204">
        <f t="shared" si="697"/>
        <v>0.85331657319667342</v>
      </c>
      <c r="CS413" s="204">
        <f>IF($J413="",#N/A,SUM(CR$4:CR413))</f>
        <v>3.2133390748971404</v>
      </c>
      <c r="CT413" s="205" t="str">
        <f t="shared" si="698"/>
        <v/>
      </c>
      <c r="CU413" s="205">
        <f>IF($J413="",#N/A,SUM(CT$4:CT413))</f>
        <v>-12.045896072422382</v>
      </c>
      <c r="CV413" s="205">
        <f>IF($J413="",#N/A,SUM(CT$4:CT413,CR$4:CR413,CP$4:CP413))</f>
        <v>-11.542535059025816</v>
      </c>
      <c r="CW413" s="200" t="str">
        <f t="shared" si="699"/>
        <v/>
      </c>
      <c r="CX413" s="203">
        <f>IF($J413="",#N/A,SUM(CW$4:CW413))</f>
        <v>-7.8443640235555954</v>
      </c>
      <c r="CY413" s="204" t="str">
        <f t="shared" si="700"/>
        <v/>
      </c>
      <c r="CZ413" s="204">
        <f>IF($J413="",#N/A,SUM(CY$4:CY413))</f>
        <v>-2.6367641712432155</v>
      </c>
      <c r="DA413" s="205" t="str">
        <f t="shared" si="701"/>
        <v/>
      </c>
      <c r="DB413" s="205">
        <f>IF($J413="",#N/A,SUM(DA$4:DA413))</f>
        <v>-1.3155870379734311</v>
      </c>
      <c r="DC413" s="205">
        <f>IF($J413="",#N/A,SUM(DA$4:DA413,CY$4:CY413,CW$4:CW413))</f>
        <v>-11.796715232772243</v>
      </c>
      <c r="DD413" s="200" t="str">
        <f t="shared" si="702"/>
        <v/>
      </c>
      <c r="DE413" s="203">
        <f>IF($J413="",#N/A,SUM(DD$4:DD413))</f>
        <v>2.1903002454447948</v>
      </c>
      <c r="DF413" s="204" t="str">
        <f t="shared" si="703"/>
        <v/>
      </c>
      <c r="DG413" s="204">
        <f>IF($J413="",#N/A,SUM(DF$4:DF413))</f>
        <v>3.7844462787298916</v>
      </c>
      <c r="DH413" s="205" t="str">
        <f t="shared" si="704"/>
        <v/>
      </c>
      <c r="DI413" s="205">
        <f>IF($J413="",#N/A,SUM(DH$4:DH413))</f>
        <v>1.1482786833538656</v>
      </c>
      <c r="DJ413" s="205">
        <f>IF($J413="",#N/A,SUM(DH$4:DH413,DF$4:DF413,DD$4:DD413))</f>
        <v>7.1230252075285527</v>
      </c>
      <c r="DK413" s="200" t="str">
        <f t="shared" si="705"/>
        <v/>
      </c>
      <c r="DL413" s="203">
        <f>IF($J413="",#N/A,SUM(DK$4:DK413))</f>
        <v>-0.84049791589649614</v>
      </c>
      <c r="DM413" s="204" t="str">
        <f t="shared" si="706"/>
        <v/>
      </c>
      <c r="DN413" s="204">
        <f>IF($J413="",#N/A,SUM(DM$4:DM413))</f>
        <v>1.8657648196498773</v>
      </c>
      <c r="DO413" s="205" t="str">
        <f t="shared" si="707"/>
        <v/>
      </c>
      <c r="DP413" s="205">
        <f>IF($J413="",#N/A,SUM(DO$4:DO413))</f>
        <v>3.4887162328793941</v>
      </c>
      <c r="DQ413" s="205">
        <f>IF($J413="",#N/A,SUM(DO$4:DO413,DM$4:DM413,DK$4:DK413))</f>
        <v>4.5139831366327758</v>
      </c>
      <c r="DR413" s="200" t="str">
        <f t="shared" si="708"/>
        <v/>
      </c>
      <c r="DS413" s="203">
        <f>IF($J413="",#N/A,SUM(DR$4:DR413))</f>
        <v>-0.55950946427675097</v>
      </c>
      <c r="DT413" s="204" t="str">
        <f t="shared" si="709"/>
        <v/>
      </c>
      <c r="DU413" s="204">
        <f>IF($J413="",#N/A,SUM(DT$4:DT413))</f>
        <v>-0.20750635820596686</v>
      </c>
      <c r="DV413" s="205" t="str">
        <f t="shared" si="710"/>
        <v/>
      </c>
      <c r="DW413" s="205">
        <f>IF($J413="",#N/A,SUM(DV$4:DV413))</f>
        <v>-2.3377035686214001</v>
      </c>
      <c r="DX413" s="205">
        <f>IF($J413="",#N/A,SUM(DV$4:DV413,DT$4:DT413,DR$4:DR413))</f>
        <v>-3.1047193911041169</v>
      </c>
      <c r="DY413" s="200" t="str">
        <f t="shared" si="711"/>
        <v/>
      </c>
      <c r="DZ413" s="203">
        <f>IF($J413="",#N/A,SUM(DY$4:DY413))</f>
        <v>0.24785202869748424</v>
      </c>
      <c r="EA413" s="204" t="str">
        <f t="shared" si="712"/>
        <v/>
      </c>
      <c r="EB413" s="204">
        <f>IF($J413="",#N/A,SUM(EA$4:EA413))</f>
        <v>4.3184391548878134</v>
      </c>
      <c r="EC413" s="205" t="str">
        <f t="shared" si="713"/>
        <v/>
      </c>
      <c r="ED413" s="205">
        <f>IF($J413="",#N/A,SUM(EC$4:EC413))</f>
        <v>8.4384553208490907</v>
      </c>
      <c r="EE413" s="205">
        <f>IF($J413="",#N/A,SUM(EC$4:EC413,EA$4:EA413,DY$4:DY413))</f>
        <v>13.00474650443439</v>
      </c>
      <c r="EF413" s="200" t="str">
        <f t="shared" si="714"/>
        <v/>
      </c>
      <c r="EG413" s="203">
        <f>IF($J413="",#N/A,SUM(EF$4:EF413))</f>
        <v>0.65848341369884777</v>
      </c>
      <c r="EH413" s="204" t="str">
        <f t="shared" si="715"/>
        <v/>
      </c>
      <c r="EI413" s="204">
        <f>IF($J413="",#N/A,SUM(EH$4:EH413))</f>
        <v>-3.5125331561187787</v>
      </c>
      <c r="EJ413" s="205" t="str">
        <f t="shared" si="716"/>
        <v/>
      </c>
      <c r="EK413" s="205">
        <f>IF($J413="",#N/A,SUM(EJ$4:EJ413))</f>
        <v>13.156552985368888</v>
      </c>
      <c r="EL413" s="205">
        <f>IF($J413="",#N/A,SUM(EJ$4:EJ413,EH$4:EH413,EF$4:EF413))</f>
        <v>10.30250324294896</v>
      </c>
      <c r="EM413" s="200" t="str">
        <f t="shared" si="717"/>
        <v/>
      </c>
      <c r="EN413" s="203">
        <f>IF($J413="",#N/A,SUM(EM$4:EM413))</f>
        <v>0</v>
      </c>
      <c r="EO413" s="204" t="str">
        <f t="shared" si="718"/>
        <v/>
      </c>
      <c r="EP413" s="204">
        <f>IF($J413="",#N/A,SUM(EO$4:EO413))</f>
        <v>2.4788862078089964</v>
      </c>
      <c r="EQ413" s="205" t="str">
        <f t="shared" si="719"/>
        <v/>
      </c>
      <c r="ER413" s="205">
        <f>IF($J413="",#N/A,SUM(EQ$4:EQ413))</f>
        <v>1.7856049065476487</v>
      </c>
      <c r="ES413" s="205">
        <f>IF($J413="",#N/A,SUM(EQ$4:EQ413,EO$4:EO413,EM$4:EM413))</f>
        <v>4.2644911143566446</v>
      </c>
      <c r="ET413" s="200" t="str">
        <f t="shared" si="720"/>
        <v/>
      </c>
      <c r="EU413" s="203">
        <f>IF($J413="",#N/A,SUM(ET$4:ET413))</f>
        <v>-0.56361328049859927</v>
      </c>
      <c r="EV413" s="204" t="str">
        <f t="shared" si="721"/>
        <v/>
      </c>
      <c r="EW413" s="204">
        <f>IF($J413="",#N/A,SUM(EV$4:EV413))</f>
        <v>7.9116394275462909E-2</v>
      </c>
      <c r="EX413" s="205" t="str">
        <f t="shared" si="722"/>
        <v/>
      </c>
      <c r="EY413" s="205">
        <f>IF($J413="",#N/A,SUM(EX$4:EX413))</f>
        <v>0.62848633887309935</v>
      </c>
      <c r="EZ413" s="205">
        <f>IF($J413="",#N/A,SUM(EX$4:EX413,EV$4:EV413,ET$4:ET413))</f>
        <v>0.14398945264996266</v>
      </c>
      <c r="FA413" s="200" t="str">
        <f t="shared" si="723"/>
        <v/>
      </c>
      <c r="FB413" s="203">
        <f>IF($J413="",#N/A,SUM(FA$4:FA413))</f>
        <v>-0.27145310509113252</v>
      </c>
      <c r="FC413" s="204" t="str">
        <f t="shared" si="724"/>
        <v/>
      </c>
      <c r="FD413" s="204">
        <f>IF($J413="",#N/A,SUM(FC$4:FC413))</f>
        <v>0.89084290967454072</v>
      </c>
      <c r="FE413" s="205" t="str">
        <f t="shared" si="725"/>
        <v/>
      </c>
      <c r="FF413" s="205">
        <f>IF($J413="",#N/A,SUM(FE$4:FE413))</f>
        <v>-0.28811149078748233</v>
      </c>
      <c r="FG413" s="205">
        <f>IF($J413="",#N/A,SUM(FE$4:FE413,FC$4:FC413,FA$4:FA413))</f>
        <v>0.3312783137959262</v>
      </c>
      <c r="FH413" s="200" t="str">
        <f t="shared" si="726"/>
        <v/>
      </c>
      <c r="FI413" s="203">
        <f>IF($J413="",#N/A,SUM(FH$4:FH413))</f>
        <v>0</v>
      </c>
      <c r="FJ413" s="204" t="str">
        <f t="shared" si="727"/>
        <v/>
      </c>
      <c r="FK413" s="204">
        <f>IF($J413="",#N/A,SUM(FJ$4:FJ413))</f>
        <v>0</v>
      </c>
      <c r="FL413" s="205" t="str">
        <f t="shared" si="728"/>
        <v/>
      </c>
      <c r="FM413" s="205">
        <f>IF($J413="",#N/A,SUM(FL$4:FL413))</f>
        <v>0</v>
      </c>
      <c r="FN413" s="205">
        <f>IF($J413="",#N/A,SUM(FL$4:FL413,FJ$4:FJ413,FH$4:FH413))</f>
        <v>0</v>
      </c>
      <c r="FO413" s="200" t="str">
        <f t="shared" si="729"/>
        <v/>
      </c>
      <c r="FP413" s="203">
        <f>IF($J413="",#N/A,SUM(FO$4:FO413))</f>
        <v>0</v>
      </c>
      <c r="FQ413" s="204" t="str">
        <f t="shared" si="730"/>
        <v/>
      </c>
      <c r="FR413" s="204">
        <f>IF($J413="",#N/A,SUM(FQ$4:FQ413))</f>
        <v>0</v>
      </c>
      <c r="FS413" s="205" t="str">
        <f t="shared" si="731"/>
        <v/>
      </c>
      <c r="FT413" s="205">
        <f>IF($J413="",#N/A,SUM(FS$4:FS413))</f>
        <v>0</v>
      </c>
      <c r="FU413" s="205">
        <f>IF($J413="",#N/A,SUM(FS$4:FS413,FQ$4:FQ413,FO$4:FO413))</f>
        <v>0</v>
      </c>
      <c r="FV413" s="200" t="str">
        <f t="shared" si="732"/>
        <v/>
      </c>
      <c r="FW413" s="203">
        <f>IF($J413="",#N/A,SUM(FV$4:FV413))</f>
        <v>6.6834991831277585E-2</v>
      </c>
      <c r="FX413" s="204" t="str">
        <f t="shared" si="733"/>
        <v/>
      </c>
      <c r="FY413" s="204">
        <f>IF($J413="",#N/A,SUM(FX$4:FX413))</f>
        <v>-0.16102012791805576</v>
      </c>
      <c r="FZ413" s="205" t="str">
        <f t="shared" si="734"/>
        <v/>
      </c>
      <c r="GA413" s="205">
        <f>IF($J413="",#N/A,SUM(FZ$4:FZ413))</f>
        <v>-0.69624339162892301</v>
      </c>
      <c r="GB413" s="205">
        <f>IF($J413="",#N/A,SUM(FZ$4:FZ413,FX$4:FX413,FV$4:FV413))</f>
        <v>-0.79042852771570116</v>
      </c>
      <c r="GC413" s="200" t="str">
        <f t="shared" si="735"/>
        <v/>
      </c>
      <c r="GD413" s="203">
        <f>IF($J413="",#N/A,SUM(GC$4:GC413))</f>
        <v>0</v>
      </c>
      <c r="GE413" s="204" t="str">
        <f t="shared" si="736"/>
        <v/>
      </c>
      <c r="GF413" s="204">
        <f>IF($J413="",#N/A,SUM(GE$4:GE413))</f>
        <v>0</v>
      </c>
      <c r="GG413" s="205" t="str">
        <f t="shared" si="737"/>
        <v/>
      </c>
      <c r="GH413" s="205">
        <f>IF($J413="",#N/A,SUM(GG$4:GG413))</f>
        <v>-2.9368362277223206</v>
      </c>
      <c r="GI413" s="205">
        <f>IF($J413="",#N/A,SUM(GG$4:GG413,GE$4:GE413,GC$4:GC413))</f>
        <v>-2.9368362277223206</v>
      </c>
      <c r="GJ413" s="200" t="str">
        <f t="shared" si="738"/>
        <v/>
      </c>
      <c r="GK413" s="203">
        <f>IF($J413="",#N/A,SUM(GJ$4:GJ413))</f>
        <v>0</v>
      </c>
      <c r="GL413" s="204" t="str">
        <f t="shared" si="739"/>
        <v/>
      </c>
      <c r="GM413" s="204">
        <f>IF($J413="",#N/A,SUM(GL$4:GL413))</f>
        <v>-2.0621307233432784</v>
      </c>
      <c r="GN413" s="205" t="str">
        <f t="shared" si="740"/>
        <v/>
      </c>
      <c r="GO413" s="205">
        <f>IF($J413="",#N/A,SUM(GN$4:GN413))</f>
        <v>0</v>
      </c>
      <c r="GP413" s="205">
        <f>IF($J413="",#N/A,SUM(GN$4:GN413,GL$4:GL413,GJ$4:GJ413))</f>
        <v>-2.0621307233432784</v>
      </c>
      <c r="GS413" s="54">
        <f t="shared" si="759"/>
        <v>0.85331657319667342</v>
      </c>
      <c r="GT413" s="54">
        <f>IF(GS413="",NA(),SUM($GS$4:GS413))</f>
        <v>14.843091700141038</v>
      </c>
      <c r="GU413" s="54" t="str">
        <f t="shared" si="741"/>
        <v/>
      </c>
      <c r="GV413" s="54" t="e">
        <f>IF(GU413="",NA(),SUM($GU$4:GU413))</f>
        <v>#N/A</v>
      </c>
      <c r="GW413" s="54" t="str">
        <f t="shared" si="742"/>
        <v/>
      </c>
      <c r="GX413" s="54" t="e">
        <f>IF(GW413="",NA(),SUM($GW$4:GW413))</f>
        <v>#N/A</v>
      </c>
      <c r="GY413" s="54">
        <f t="shared" si="743"/>
        <v>0.85331657319667342</v>
      </c>
      <c r="GZ413" s="54">
        <f>IF(GY413="",NA(),SUM($GY$4:GY413))</f>
        <v>11.209925719023898</v>
      </c>
      <c r="HA413" s="54" t="str">
        <f t="shared" si="744"/>
        <v/>
      </c>
      <c r="HB413" s="54" t="e">
        <f>IF(HA413="",NA(),SUM($HA$4:HA413))</f>
        <v>#N/A</v>
      </c>
      <c r="HC413" s="54" t="str">
        <f t="shared" si="745"/>
        <v/>
      </c>
      <c r="HD413" s="54" t="e">
        <f>IF(HC413="",NA(),SUM($HC$4:HC413))</f>
        <v>#N/A</v>
      </c>
      <c r="HE413" s="54" t="str">
        <f t="shared" si="746"/>
        <v/>
      </c>
      <c r="HF413" s="54" t="e">
        <f>IF(HE413="",NA(),SUM($HE$4:HE413))</f>
        <v>#N/A</v>
      </c>
      <c r="HG413" s="54" t="str">
        <f t="shared" si="747"/>
        <v/>
      </c>
      <c r="HH413" s="54" t="e">
        <f>IF(HG413="",NA(),SUM($HG$4:HG413))</f>
        <v>#N/A</v>
      </c>
      <c r="HI413" s="172">
        <f t="shared" si="760"/>
        <v>3.3036807838587423E-2</v>
      </c>
      <c r="HJ413" s="172">
        <f>IF($J413="",#N/A,SUM(HI$4:$HI413))</f>
        <v>-11.351618847522102</v>
      </c>
      <c r="HK413" s="54" t="str">
        <f t="shared" si="748"/>
        <v/>
      </c>
      <c r="HL413" s="54">
        <f>IF($J413="",#N/A,SUM($HK$4:HK413))</f>
        <v>7.6415354417754555</v>
      </c>
      <c r="HM413" s="54" t="str">
        <f t="shared" si="749"/>
        <v/>
      </c>
      <c r="HN413" s="54">
        <f>IF($J413="",#N/A,SUM($HM$4:HM413))</f>
        <v>2.0026040837524537</v>
      </c>
      <c r="HO413" s="54" t="str">
        <f t="shared" si="750"/>
        <v/>
      </c>
      <c r="HP413" s="54">
        <f>IF($J413="",#N/A,SUM($HO$4:HO413))</f>
        <v>-0.54613191784001369</v>
      </c>
      <c r="HQ413" s="54" t="str">
        <f t="shared" si="751"/>
        <v/>
      </c>
      <c r="HR413" s="54">
        <f>IF($J413="",#N/A,SUM($HQ$4:HQ413))</f>
        <v>-15.217945954670494</v>
      </c>
      <c r="HS413" s="54" t="str">
        <f t="shared" si="752"/>
        <v/>
      </c>
      <c r="HT413" s="54">
        <f>IF($J413="",#N/A,SUM($HS$4:HS413))</f>
        <v>14.660479149324726</v>
      </c>
      <c r="HU413" s="65">
        <f t="shared" si="753"/>
        <v>0.88635338103526085</v>
      </c>
      <c r="HV413" s="65">
        <f>IF($J413="",#N/A,SUM(HU$4:$HU413))</f>
        <v>5.3058224377299004</v>
      </c>
    </row>
    <row r="414" spans="1:230" x14ac:dyDescent="0.25">
      <c r="A414" s="59" t="s">
        <v>1409</v>
      </c>
      <c r="B414" s="289" t="str" cm="1">
        <f t="array" ref="B414">IFERROR(_xlfn.XLOOKUP(A414,Earnings!$B$2:$B$9984,LEFT(Earnings!$C$2:$C$9984,37)),"Can't Find Date***")</f>
        <v>on 6/16/25 After Market Eastern Stand</v>
      </c>
      <c r="C414" s="230">
        <f t="shared" si="654"/>
        <v>3</v>
      </c>
      <c r="D414" s="220" t="str">
        <f>_xlfn.XLOOKUP(A414,[1]SP500!$A$2:$A$502,[1]SP500!$D$2:$D$502,"N")</f>
        <v>Y</v>
      </c>
      <c r="E414" s="59" t="str">
        <f>IFERROR(_xlfn.XLOOKUP(A414,[1]SP500!$A$2:$A$655,[1]SP500!$B$2:$B$655),"")</f>
        <v>XHB</v>
      </c>
      <c r="F414" s="290">
        <v>45824</v>
      </c>
      <c r="G414" s="59" t="str">
        <f t="shared" si="655"/>
        <v>AMC</v>
      </c>
      <c r="H414" s="59" t="str">
        <f t="shared" si="656"/>
        <v>s</v>
      </c>
      <c r="I414" s="376">
        <v>108.82</v>
      </c>
      <c r="J414" s="125">
        <v>113.99</v>
      </c>
      <c r="K414" s="60">
        <f t="shared" si="657"/>
        <v>4.7509648961587964E-2</v>
      </c>
      <c r="L414" s="68">
        <f t="shared" si="658"/>
        <v>67.210000000000036</v>
      </c>
      <c r="M414" s="62">
        <f t="shared" si="659"/>
        <v>0</v>
      </c>
      <c r="N414" s="63">
        <f t="shared" si="660"/>
        <v>67.210000000000036</v>
      </c>
      <c r="O414" s="62">
        <f>IF(N414="",#N/A,SUM($N$4:N414))</f>
        <v>191.17107492035586</v>
      </c>
      <c r="P414" s="64">
        <f t="shared" si="754"/>
        <v>0.79182748269313297</v>
      </c>
      <c r="Q414" s="183">
        <f>IF($N414="",#N/A,SUM($P$4:P414))</f>
        <v>9.4049014214705569</v>
      </c>
      <c r="R414" s="279">
        <f t="shared" si="661"/>
        <v>0.76194174052743335</v>
      </c>
      <c r="S414" s="59" t="str">
        <f t="shared" si="662"/>
        <v>SW</v>
      </c>
      <c r="T414" s="59" t="s">
        <v>2828</v>
      </c>
      <c r="U414" s="61">
        <f t="shared" si="663"/>
        <v>108.82</v>
      </c>
      <c r="V414" s="61" t="s">
        <v>4460</v>
      </c>
      <c r="W414" s="142">
        <v>13</v>
      </c>
      <c r="X414" s="146">
        <f t="shared" si="664"/>
        <v>1414.6599999999999</v>
      </c>
      <c r="Y414" s="142">
        <f t="shared" si="665"/>
        <v>13</v>
      </c>
      <c r="Z414" s="143">
        <v>113.99</v>
      </c>
      <c r="AA414" s="63">
        <f t="shared" si="666"/>
        <v>67.210000000000036</v>
      </c>
      <c r="AB414" s="63">
        <f t="shared" si="667"/>
        <v>-54.729999999999791</v>
      </c>
      <c r="AC414" s="125">
        <v>104.61</v>
      </c>
      <c r="AD414" s="148">
        <f t="shared" si="668"/>
        <v>-54.729999999999791</v>
      </c>
      <c r="AE414" s="544">
        <f t="shared" si="669"/>
        <v>-0.64479568706732593</v>
      </c>
      <c r="AF414" s="62">
        <f>IF($AC414="",#N/A,SUM(AD$4:AD414))</f>
        <v>83.139964103314924</v>
      </c>
      <c r="AG414" s="63">
        <f t="shared" si="670"/>
        <v>-121.93999999999983</v>
      </c>
      <c r="AH414" s="61" t="s">
        <v>2507</v>
      </c>
      <c r="AI414" s="64">
        <f t="shared" si="671"/>
        <v>0.79182748269313297</v>
      </c>
      <c r="AJ414" s="420">
        <f>IF(AI414="",#N/A,SUM($AI$4:AI414))</f>
        <v>8.6429596809431235</v>
      </c>
      <c r="AK414" s="61">
        <f t="shared" si="672"/>
        <v>67.210000000000036</v>
      </c>
      <c r="AL414" s="421">
        <f>IF(AI414="",#N/A,IF(AH414="Skip",SUM($AK$4:AK414),SUM($AK$4:AK414)))</f>
        <v>234.44236927848101</v>
      </c>
      <c r="AM414" s="65">
        <f t="shared" si="755"/>
        <v>-0.64479568706732593</v>
      </c>
      <c r="AN414" s="209"/>
      <c r="AO414" s="65">
        <f t="shared" si="673"/>
        <v>-0.64479568706732593</v>
      </c>
      <c r="AP414" s="65">
        <f>IF($AC414="",#N/A,SUM(AO$4:AO414))</f>
        <v>4.7727460462956213</v>
      </c>
      <c r="AQ414" s="65" t="str">
        <f t="shared" si="674"/>
        <v/>
      </c>
      <c r="AR414" s="65">
        <f>IF($AC414="",#N/A,SUM(AQ$4:AQ414))</f>
        <v>-7.7016572306401514</v>
      </c>
      <c r="AS414" s="65" t="str">
        <f t="shared" si="675"/>
        <v/>
      </c>
      <c r="AT414" s="65">
        <f>IF($AC414="",#N/A,SUM(AS$4:AS414))</f>
        <v>7.5899379350070992</v>
      </c>
      <c r="AU414" s="57">
        <f t="shared" si="756"/>
        <v>-54.729999999999791</v>
      </c>
      <c r="AV414" s="57">
        <f>IF($AC414="",#N/A,SUM(AU$4:AU414))</f>
        <v>95.093838905746452</v>
      </c>
      <c r="AW414" s="57" t="str">
        <f t="shared" si="757"/>
        <v/>
      </c>
      <c r="AX414" s="57">
        <f>IF($AC414="",#N/A,SUM(AW$4:AW414))</f>
        <v>-576.79106797961094</v>
      </c>
      <c r="AY414" s="57" t="str">
        <f t="shared" si="758"/>
        <v/>
      </c>
      <c r="AZ414" s="57">
        <f>IF($AC414="",#N/A,SUM(AY$4:AY414))</f>
        <v>564.8371931771793</v>
      </c>
      <c r="BA414" s="57">
        <f>IF(AD414="",#N/A,SUM($AD$4:AD414))</f>
        <v>83.139964103314924</v>
      </c>
      <c r="BC414" s="51" t="str">
        <f t="shared" si="676"/>
        <v/>
      </c>
      <c r="BD414" s="51" t="str">
        <f t="shared" si="677"/>
        <v/>
      </c>
      <c r="BE414" s="51">
        <f t="shared" si="678"/>
        <v>1</v>
      </c>
      <c r="BF414" s="51" t="str">
        <f t="shared" si="679"/>
        <v>Long</v>
      </c>
      <c r="BG414" s="51" t="str">
        <f t="shared" si="680"/>
        <v/>
      </c>
      <c r="BH414" s="51" t="str">
        <f t="shared" si="681"/>
        <v/>
      </c>
      <c r="BI414" s="51" t="str">
        <f t="shared" si="682"/>
        <v/>
      </c>
      <c r="BK414" s="65">
        <f t="shared" si="653"/>
        <v>-9.5246718581475556E-2</v>
      </c>
      <c r="BL414" s="65">
        <f t="shared" si="761"/>
        <v>-0.14064133428577036</v>
      </c>
      <c r="BM414" s="65">
        <f>IFERROR(Q414/COUNTA($J$4:J414),#N/A)</f>
        <v>2.2882971828395514E-2</v>
      </c>
      <c r="BO414" s="489">
        <f>IF(J414="",#N/A,IF(S414="SW",(COUNTIFS(K$4:$K414,"&gt;0",S$4:$S414,"SW")/COUNTIF(S$4:$S414,"SW")),#N/A))</f>
        <v>0.49748743718592964</v>
      </c>
      <c r="BP414" s="489" t="e">
        <f>IF($J414="",#N/A,IF($S414="DWN",(COUNTIFS($K$4:$K414,"&lt;0",$S$4:$S414,"DWN")/COUNTIF($S$4:$S414,"DWN")),#N/A))</f>
        <v>#N/A</v>
      </c>
      <c r="BQ414" s="489" t="e">
        <f>IF($J414="",#N/A,IF($S414="UP",(COUNTIFS($K$4:$K414,"&gt;0",$S$4:$S414,"UP")/COUNTIF($S$4:$S414,"UP")),#N/A))</f>
        <v>#N/A</v>
      </c>
      <c r="BR414" s="489">
        <f>IF(J414="",#N/A,COUNTIF($K$4:K414,"&gt;0")/COUNT($J$4:J414))</f>
        <v>0.46958637469586373</v>
      </c>
      <c r="BS414" s="65">
        <f t="shared" si="683"/>
        <v>0.79182748269313297</v>
      </c>
      <c r="BT414" s="65" t="str">
        <f t="shared" si="684"/>
        <v/>
      </c>
      <c r="BU414" s="65" t="str">
        <f t="shared" si="685"/>
        <v/>
      </c>
      <c r="BV414" s="65" t="str">
        <f t="shared" si="686"/>
        <v/>
      </c>
      <c r="BW414" s="128" t="str">
        <f t="shared" si="687"/>
        <v/>
      </c>
      <c r="BX414" s="128">
        <f>IF($J414="",#N/A,SUM($BW$4:BW414))</f>
        <v>-718.89317034792953</v>
      </c>
      <c r="BY414" s="131" t="str">
        <f t="shared" si="688"/>
        <v/>
      </c>
      <c r="BZ414" s="131">
        <f>IF($J414="",#N/A,SUM($BY$4:BY414))</f>
        <v>596.94161346139413</v>
      </c>
      <c r="CA414" s="133">
        <f t="shared" si="689"/>
        <v>67.210000000000036</v>
      </c>
      <c r="CB414" s="133">
        <f>IF($J414="",#N/A,SUM($CA$4:CA414))</f>
        <v>313.12263180689104</v>
      </c>
      <c r="CC414" s="194" t="str">
        <f t="shared" si="690"/>
        <v/>
      </c>
      <c r="CD414" s="194">
        <f>IF($J414="",#N/A,SUM($CC$4:CC414))</f>
        <v>-9.1581293965525905</v>
      </c>
      <c r="CE414" s="195" t="str">
        <f t="shared" si="691"/>
        <v/>
      </c>
      <c r="CF414" s="195">
        <f>IF($J414="",#N/A,SUM($CE$4:CE414))</f>
        <v>11.300021340753757</v>
      </c>
      <c r="CG414" s="196">
        <f t="shared" si="692"/>
        <v>0.79182748269313297</v>
      </c>
      <c r="CH414" s="196">
        <f>IF($J414="",#N/A,SUM($CG$4:CG414))</f>
        <v>7.2630094772694047</v>
      </c>
      <c r="CI414" s="200" t="str">
        <f t="shared" si="693"/>
        <v/>
      </c>
      <c r="CJ414" s="203">
        <f>IF($J414="",#N/A,SUM(CI$4:CI414))</f>
        <v>0</v>
      </c>
      <c r="CK414" s="204" t="str">
        <f t="shared" si="694"/>
        <v/>
      </c>
      <c r="CL414" s="204">
        <f>IF($J414="",#N/A,SUM(CK$4:CK414))</f>
        <v>2.0825010564889137</v>
      </c>
      <c r="CM414" s="205" t="str">
        <f t="shared" si="695"/>
        <v/>
      </c>
      <c r="CN414" s="205">
        <f>IF($J414="",#N/A,SUM(CM$4:CM414))</f>
        <v>-0.88786801747311794</v>
      </c>
      <c r="CO414" s="205">
        <f>IF($J414="",#N/A,SUM(CM$4:CM414,CK$4:CK414,CI$4:CI414))</f>
        <v>1.1946330390157962</v>
      </c>
      <c r="CP414" s="200" t="str">
        <f t="shared" si="696"/>
        <v/>
      </c>
      <c r="CQ414" s="203">
        <f>IF($J414="",#N/A,SUM(CP$4:CP414))</f>
        <v>-2.7099780615005766</v>
      </c>
      <c r="CR414" s="204" t="str">
        <f t="shared" si="697"/>
        <v/>
      </c>
      <c r="CS414" s="204">
        <f>IF($J414="",#N/A,SUM(CR$4:CR414))</f>
        <v>3.2133390748971404</v>
      </c>
      <c r="CT414" s="205" t="str">
        <f t="shared" si="698"/>
        <v/>
      </c>
      <c r="CU414" s="205">
        <f>IF($J414="",#N/A,SUM(CT$4:CT414))</f>
        <v>-12.045896072422382</v>
      </c>
      <c r="CV414" s="205">
        <f>IF($J414="",#N/A,SUM(CT$4:CT414,CR$4:CR414,CP$4:CP414))</f>
        <v>-11.542535059025816</v>
      </c>
      <c r="CW414" s="200" t="str">
        <f t="shared" si="699"/>
        <v/>
      </c>
      <c r="CX414" s="203">
        <f>IF($J414="",#N/A,SUM(CW$4:CW414))</f>
        <v>-7.8443640235555954</v>
      </c>
      <c r="CY414" s="204" t="str">
        <f t="shared" si="700"/>
        <v/>
      </c>
      <c r="CZ414" s="204">
        <f>IF($J414="",#N/A,SUM(CY$4:CY414))</f>
        <v>-2.6367641712432155</v>
      </c>
      <c r="DA414" s="205" t="str">
        <f t="shared" si="701"/>
        <v/>
      </c>
      <c r="DB414" s="205">
        <f>IF($J414="",#N/A,SUM(DA$4:DA414))</f>
        <v>-1.3155870379734311</v>
      </c>
      <c r="DC414" s="205">
        <f>IF($J414="",#N/A,SUM(DA$4:DA414,CY$4:CY414,CW$4:CW414))</f>
        <v>-11.796715232772243</v>
      </c>
      <c r="DD414" s="200" t="str">
        <f t="shared" si="702"/>
        <v/>
      </c>
      <c r="DE414" s="203">
        <f>IF($J414="",#N/A,SUM(DD$4:DD414))</f>
        <v>2.1903002454447948</v>
      </c>
      <c r="DF414" s="204" t="str">
        <f t="shared" si="703"/>
        <v/>
      </c>
      <c r="DG414" s="204">
        <f>IF($J414="",#N/A,SUM(DF$4:DF414))</f>
        <v>3.7844462787298916</v>
      </c>
      <c r="DH414" s="205" t="str">
        <f t="shared" si="704"/>
        <v/>
      </c>
      <c r="DI414" s="205">
        <f>IF($J414="",#N/A,SUM(DH$4:DH414))</f>
        <v>1.1482786833538656</v>
      </c>
      <c r="DJ414" s="205">
        <f>IF($J414="",#N/A,SUM(DH$4:DH414,DF$4:DF414,DD$4:DD414))</f>
        <v>7.1230252075285527</v>
      </c>
      <c r="DK414" s="200" t="str">
        <f t="shared" si="705"/>
        <v/>
      </c>
      <c r="DL414" s="203">
        <f>IF($J414="",#N/A,SUM(DK$4:DK414))</f>
        <v>-0.84049791589649614</v>
      </c>
      <c r="DM414" s="204" t="str">
        <f t="shared" si="706"/>
        <v/>
      </c>
      <c r="DN414" s="204">
        <f>IF($J414="",#N/A,SUM(DM$4:DM414))</f>
        <v>1.8657648196498773</v>
      </c>
      <c r="DO414" s="205" t="str">
        <f t="shared" si="707"/>
        <v/>
      </c>
      <c r="DP414" s="205">
        <f>IF($J414="",#N/A,SUM(DO$4:DO414))</f>
        <v>3.4887162328793941</v>
      </c>
      <c r="DQ414" s="205">
        <f>IF($J414="",#N/A,SUM(DO$4:DO414,DM$4:DM414,DK$4:DK414))</f>
        <v>4.5139831366327758</v>
      </c>
      <c r="DR414" s="200" t="str">
        <f t="shared" si="708"/>
        <v/>
      </c>
      <c r="DS414" s="203">
        <f>IF($J414="",#N/A,SUM(DR$4:DR414))</f>
        <v>-0.55950946427675097</v>
      </c>
      <c r="DT414" s="204" t="str">
        <f t="shared" si="709"/>
        <v/>
      </c>
      <c r="DU414" s="204">
        <f>IF($J414="",#N/A,SUM(DT$4:DT414))</f>
        <v>-0.20750635820596686</v>
      </c>
      <c r="DV414" s="205" t="str">
        <f t="shared" si="710"/>
        <v/>
      </c>
      <c r="DW414" s="205">
        <f>IF($J414="",#N/A,SUM(DV$4:DV414))</f>
        <v>-2.3377035686214001</v>
      </c>
      <c r="DX414" s="205">
        <f>IF($J414="",#N/A,SUM(DV$4:DV414,DT$4:DT414,DR$4:DR414))</f>
        <v>-3.1047193911041169</v>
      </c>
      <c r="DY414" s="200" t="str">
        <f t="shared" si="711"/>
        <v/>
      </c>
      <c r="DZ414" s="203">
        <f>IF($J414="",#N/A,SUM(DY$4:DY414))</f>
        <v>0.24785202869748424</v>
      </c>
      <c r="EA414" s="204" t="str">
        <f t="shared" si="712"/>
        <v/>
      </c>
      <c r="EB414" s="204">
        <f>IF($J414="",#N/A,SUM(EA$4:EA414))</f>
        <v>4.3184391548878134</v>
      </c>
      <c r="EC414" s="205" t="str">
        <f t="shared" si="713"/>
        <v/>
      </c>
      <c r="ED414" s="205">
        <f>IF($J414="",#N/A,SUM(EC$4:EC414))</f>
        <v>8.4384553208490907</v>
      </c>
      <c r="EE414" s="205">
        <f>IF($J414="",#N/A,SUM(EC$4:EC414,EA$4:EA414,DY$4:DY414))</f>
        <v>13.00474650443439</v>
      </c>
      <c r="EF414" s="200" t="str">
        <f t="shared" si="714"/>
        <v/>
      </c>
      <c r="EG414" s="203">
        <f>IF($J414="",#N/A,SUM(EF$4:EF414))</f>
        <v>0.65848341369884777</v>
      </c>
      <c r="EH414" s="204" t="str">
        <f t="shared" si="715"/>
        <v/>
      </c>
      <c r="EI414" s="204">
        <f>IF($J414="",#N/A,SUM(EH$4:EH414))</f>
        <v>-3.5125331561187787</v>
      </c>
      <c r="EJ414" s="205" t="str">
        <f t="shared" si="716"/>
        <v/>
      </c>
      <c r="EK414" s="205">
        <f>IF($J414="",#N/A,SUM(EJ$4:EJ414))</f>
        <v>13.156552985368888</v>
      </c>
      <c r="EL414" s="205">
        <f>IF($J414="",#N/A,SUM(EJ$4:EJ414,EH$4:EH414,EF$4:EF414))</f>
        <v>10.30250324294896</v>
      </c>
      <c r="EM414" s="200" t="str">
        <f t="shared" si="717"/>
        <v/>
      </c>
      <c r="EN414" s="203">
        <f>IF($J414="",#N/A,SUM(EM$4:EM414))</f>
        <v>0</v>
      </c>
      <c r="EO414" s="204" t="str">
        <f t="shared" si="718"/>
        <v/>
      </c>
      <c r="EP414" s="204">
        <f>IF($J414="",#N/A,SUM(EO$4:EO414))</f>
        <v>2.4788862078089964</v>
      </c>
      <c r="EQ414" s="205" t="str">
        <f t="shared" si="719"/>
        <v/>
      </c>
      <c r="ER414" s="205">
        <f>IF($J414="",#N/A,SUM(EQ$4:EQ414))</f>
        <v>1.7856049065476487</v>
      </c>
      <c r="ES414" s="205">
        <f>IF($J414="",#N/A,SUM(EQ$4:EQ414,EO$4:EO414,EM$4:EM414))</f>
        <v>4.2644911143566446</v>
      </c>
      <c r="ET414" s="200" t="str">
        <f t="shared" si="720"/>
        <v/>
      </c>
      <c r="EU414" s="203">
        <f>IF($J414="",#N/A,SUM(ET$4:ET414))</f>
        <v>-0.56361328049859927</v>
      </c>
      <c r="EV414" s="204" t="str">
        <f t="shared" si="721"/>
        <v/>
      </c>
      <c r="EW414" s="204">
        <f>IF($J414="",#N/A,SUM(EV$4:EV414))</f>
        <v>7.9116394275462909E-2</v>
      </c>
      <c r="EX414" s="205" t="str">
        <f t="shared" si="722"/>
        <v/>
      </c>
      <c r="EY414" s="205">
        <f>IF($J414="",#N/A,SUM(EX$4:EX414))</f>
        <v>0.62848633887309935</v>
      </c>
      <c r="EZ414" s="205">
        <f>IF($J414="",#N/A,SUM(EX$4:EX414,EV$4:EV414,ET$4:ET414))</f>
        <v>0.14398945264996266</v>
      </c>
      <c r="FA414" s="200" t="str">
        <f t="shared" si="723"/>
        <v/>
      </c>
      <c r="FB414" s="203">
        <f>IF($J414="",#N/A,SUM(FA$4:FA414))</f>
        <v>-0.27145310509113252</v>
      </c>
      <c r="FC414" s="204" t="str">
        <f t="shared" si="724"/>
        <v/>
      </c>
      <c r="FD414" s="204">
        <f>IF($J414="",#N/A,SUM(FC$4:FC414))</f>
        <v>0.89084290967454072</v>
      </c>
      <c r="FE414" s="205" t="str">
        <f t="shared" si="725"/>
        <v/>
      </c>
      <c r="FF414" s="205">
        <f>IF($J414="",#N/A,SUM(FE$4:FE414))</f>
        <v>-0.28811149078748233</v>
      </c>
      <c r="FG414" s="205">
        <f>IF($J414="",#N/A,SUM(FE$4:FE414,FC$4:FC414,FA$4:FA414))</f>
        <v>0.3312783137959262</v>
      </c>
      <c r="FH414" s="200" t="str">
        <f t="shared" si="726"/>
        <v/>
      </c>
      <c r="FI414" s="203">
        <f>IF($J414="",#N/A,SUM(FH$4:FH414))</f>
        <v>0</v>
      </c>
      <c r="FJ414" s="204" t="str">
        <f t="shared" si="727"/>
        <v/>
      </c>
      <c r="FK414" s="204">
        <f>IF($J414="",#N/A,SUM(FJ$4:FJ414))</f>
        <v>0</v>
      </c>
      <c r="FL414" s="205" t="str">
        <f t="shared" si="728"/>
        <v/>
      </c>
      <c r="FM414" s="205">
        <f>IF($J414="",#N/A,SUM(FL$4:FL414))</f>
        <v>0</v>
      </c>
      <c r="FN414" s="205">
        <f>IF($J414="",#N/A,SUM(FL$4:FL414,FJ$4:FJ414,FH$4:FH414))</f>
        <v>0</v>
      </c>
      <c r="FO414" s="200" t="str">
        <f t="shared" si="729"/>
        <v/>
      </c>
      <c r="FP414" s="203">
        <f>IF($J414="",#N/A,SUM(FO$4:FO414))</f>
        <v>0</v>
      </c>
      <c r="FQ414" s="204" t="str">
        <f t="shared" si="730"/>
        <v/>
      </c>
      <c r="FR414" s="204">
        <f>IF($J414="",#N/A,SUM(FQ$4:FQ414))</f>
        <v>0</v>
      </c>
      <c r="FS414" s="205" t="str">
        <f t="shared" si="731"/>
        <v/>
      </c>
      <c r="FT414" s="205">
        <f>IF($J414="",#N/A,SUM(FS$4:FS414))</f>
        <v>0</v>
      </c>
      <c r="FU414" s="205">
        <f>IF($J414="",#N/A,SUM(FS$4:FS414,FQ$4:FQ414,FO$4:FO414))</f>
        <v>0</v>
      </c>
      <c r="FV414" s="200" t="str">
        <f t="shared" si="732"/>
        <v/>
      </c>
      <c r="FW414" s="203">
        <f>IF($J414="",#N/A,SUM(FV$4:FV414))</f>
        <v>6.6834991831277585E-2</v>
      </c>
      <c r="FX414" s="204" t="str">
        <f t="shared" si="733"/>
        <v/>
      </c>
      <c r="FY414" s="204">
        <f>IF($J414="",#N/A,SUM(FX$4:FX414))</f>
        <v>-0.16102012791805576</v>
      </c>
      <c r="FZ414" s="205" t="str">
        <f t="shared" si="734"/>
        <v/>
      </c>
      <c r="GA414" s="205">
        <f>IF($J414="",#N/A,SUM(FZ$4:FZ414))</f>
        <v>-0.69624339162892301</v>
      </c>
      <c r="GB414" s="205">
        <f>IF($J414="",#N/A,SUM(FZ$4:FZ414,FX$4:FX414,FV$4:FV414))</f>
        <v>-0.79042852771570116</v>
      </c>
      <c r="GC414" s="200" t="str">
        <f t="shared" si="735"/>
        <v/>
      </c>
      <c r="GD414" s="203">
        <f>IF($J414="",#N/A,SUM(GC$4:GC414))</f>
        <v>0</v>
      </c>
      <c r="GE414" s="204" t="str">
        <f t="shared" si="736"/>
        <v/>
      </c>
      <c r="GF414" s="204">
        <f>IF($J414="",#N/A,SUM(GE$4:GE414))</f>
        <v>0</v>
      </c>
      <c r="GG414" s="205" t="str">
        <f t="shared" si="737"/>
        <v/>
      </c>
      <c r="GH414" s="205">
        <f>IF($J414="",#N/A,SUM(GG$4:GG414))</f>
        <v>-2.9368362277223206</v>
      </c>
      <c r="GI414" s="205">
        <f>IF($J414="",#N/A,SUM(GG$4:GG414,GE$4:GE414,GC$4:GC414))</f>
        <v>-2.9368362277223206</v>
      </c>
      <c r="GJ414" s="200" t="str">
        <f t="shared" si="738"/>
        <v/>
      </c>
      <c r="GK414" s="203">
        <f>IF($J414="",#N/A,SUM(GJ$4:GJ414))</f>
        <v>0</v>
      </c>
      <c r="GL414" s="204" t="str">
        <f t="shared" si="739"/>
        <v/>
      </c>
      <c r="GM414" s="204">
        <f>IF($J414="",#N/A,SUM(GL$4:GL414))</f>
        <v>-2.0621307233432784</v>
      </c>
      <c r="GN414" s="205">
        <f t="shared" si="740"/>
        <v>0.79182748269313297</v>
      </c>
      <c r="GO414" s="205">
        <f>IF($J414="",#N/A,SUM(GN$4:GN414))</f>
        <v>0.79182748269313297</v>
      </c>
      <c r="GP414" s="205">
        <f>IF($J414="",#N/A,SUM(GN$4:GN414,GL$4:GL414,GJ$4:GJ414))</f>
        <v>-1.2703032406501453</v>
      </c>
      <c r="GS414" s="54">
        <f t="shared" si="759"/>
        <v>0.79182748269313297</v>
      </c>
      <c r="GT414" s="54">
        <f>IF(GS414="",NA(),SUM($GS$4:GS414))</f>
        <v>15.634919182834171</v>
      </c>
      <c r="GU414" s="54" t="str">
        <f t="shared" si="741"/>
        <v/>
      </c>
      <c r="GV414" s="54" t="e">
        <f>IF(GU414="",NA(),SUM($GU$4:GU414))</f>
        <v>#N/A</v>
      </c>
      <c r="GW414" s="54">
        <f t="shared" si="742"/>
        <v>0.79182748269313297</v>
      </c>
      <c r="GX414" s="54">
        <f>IF(GW414="",NA(),SUM($GW$4:GW414))</f>
        <v>10.642627119292833</v>
      </c>
      <c r="GY414" s="54" t="str">
        <f t="shared" si="743"/>
        <v/>
      </c>
      <c r="GZ414" s="54" t="e">
        <f>IF(GY414="",NA(),SUM($GY$4:GY414))</f>
        <v>#N/A</v>
      </c>
      <c r="HA414" s="54" t="str">
        <f t="shared" si="744"/>
        <v/>
      </c>
      <c r="HB414" s="54" t="e">
        <f>IF(HA414="",NA(),SUM($HA$4:HA414))</f>
        <v>#N/A</v>
      </c>
      <c r="HC414" s="54" t="str">
        <f t="shared" si="745"/>
        <v/>
      </c>
      <c r="HD414" s="54" t="e">
        <f>IF(HC414="",NA(),SUM($HC$4:HC414))</f>
        <v>#N/A</v>
      </c>
      <c r="HE414" s="54" t="str">
        <f t="shared" si="746"/>
        <v/>
      </c>
      <c r="HF414" s="54" t="e">
        <f>IF(HE414="",NA(),SUM($HE$4:HE414))</f>
        <v>#N/A</v>
      </c>
      <c r="HG414" s="54" t="str">
        <f t="shared" si="747"/>
        <v/>
      </c>
      <c r="HH414" s="54" t="e">
        <f>IF(HG414="",NA(),SUM($HG$4:HG414))</f>
        <v>#N/A</v>
      </c>
      <c r="HI414" s="172" t="str">
        <f t="shared" si="760"/>
        <v/>
      </c>
      <c r="HJ414" s="172">
        <f>IF($J414="",#N/A,SUM(HI$4:$HI414))</f>
        <v>-11.351618847522102</v>
      </c>
      <c r="HK414" s="54" t="str">
        <f t="shared" si="748"/>
        <v/>
      </c>
      <c r="HL414" s="54">
        <f>IF($J414="",#N/A,SUM($HK$4:HK414))</f>
        <v>7.6415354417754555</v>
      </c>
      <c r="HM414" s="54" t="str">
        <f t="shared" si="749"/>
        <v/>
      </c>
      <c r="HN414" s="54">
        <f>IF($J414="",#N/A,SUM($HM$4:HM414))</f>
        <v>2.0026040837524537</v>
      </c>
      <c r="HO414" s="54" t="str">
        <f t="shared" si="750"/>
        <v/>
      </c>
      <c r="HP414" s="54">
        <f>IF($J414="",#N/A,SUM($HO$4:HO414))</f>
        <v>-0.54613191784001369</v>
      </c>
      <c r="HQ414" s="54">
        <f t="shared" si="751"/>
        <v>-1.436623169760459</v>
      </c>
      <c r="HR414" s="54">
        <f>IF($J414="",#N/A,SUM($HQ$4:HQ414))</f>
        <v>-16.654569124430953</v>
      </c>
      <c r="HS414" s="54" t="str">
        <f t="shared" si="752"/>
        <v/>
      </c>
      <c r="HT414" s="54">
        <f>IF($J414="",#N/A,SUM($HS$4:HS414))</f>
        <v>14.660479149324726</v>
      </c>
      <c r="HU414" s="65">
        <f t="shared" si="753"/>
        <v>-0.64479568706732593</v>
      </c>
      <c r="HV414" s="65">
        <f>IF($J414="",#N/A,SUM(HU$4:$HU414))</f>
        <v>4.6610267506625744</v>
      </c>
    </row>
    <row r="415" spans="1:230" ht="15.75" thickBot="1" x14ac:dyDescent="0.3">
      <c r="A415" s="292" t="s">
        <v>1559</v>
      </c>
      <c r="B415" s="293" t="str" cm="1">
        <f t="array" ref="B415">IFERROR(_xlfn.XLOOKUP(A415,Earnings!$B$2:$B$9984,LEFT(Earnings!$C$2:$C$9984,37)),"Can't Find Date***")</f>
        <v>on 6/17/25 Before Market Eastern Stan</v>
      </c>
      <c r="C415" s="294">
        <f t="shared" si="654"/>
        <v>1</v>
      </c>
      <c r="D415" s="295" t="str">
        <f>_xlfn.XLOOKUP(A415,[1]SP500!$A$2:$A$502,[1]SP500!$D$2:$D$502,"N")</f>
        <v>Y</v>
      </c>
      <c r="E415" s="292" t="str">
        <f>IFERROR(_xlfn.XLOOKUP(A415,[1]SP500!$A$2:$A$655,[1]SP500!$B$2:$B$655),"")</f>
        <v>XLK</v>
      </c>
      <c r="F415" s="320">
        <v>45825</v>
      </c>
      <c r="G415" s="292" t="str">
        <f t="shared" si="655"/>
        <v>BMO</v>
      </c>
      <c r="H415" s="292" t="str">
        <f t="shared" si="656"/>
        <v>s</v>
      </c>
      <c r="I415" s="345">
        <v>180.82</v>
      </c>
      <c r="J415" s="297">
        <v>185.19</v>
      </c>
      <c r="K415" s="298">
        <f t="shared" si="657"/>
        <v>2.4167680566309063E-2</v>
      </c>
      <c r="L415" s="299">
        <f t="shared" si="658"/>
        <v>30.589999999999918</v>
      </c>
      <c r="M415" s="300">
        <f t="shared" si="659"/>
        <v>-1.3299999999999272</v>
      </c>
      <c r="N415" s="341">
        <f t="shared" si="660"/>
        <v>30.589999999999918</v>
      </c>
      <c r="O415" s="300">
        <f>IF(N415="",#N/A,SUM($N$4:N415))</f>
        <v>221.76107492035578</v>
      </c>
      <c r="P415" s="305">
        <f t="shared" si="754"/>
        <v>0.40279467610514952</v>
      </c>
      <c r="Q415" s="304">
        <f>IF($N415="",#N/A,SUM($P$4:P415))</f>
        <v>9.8076960975757057</v>
      </c>
      <c r="R415" s="333">
        <f t="shared" si="661"/>
        <v>0.77945455253200358</v>
      </c>
      <c r="S415" s="292" t="str">
        <f t="shared" si="662"/>
        <v>Up</v>
      </c>
      <c r="T415" s="292" t="s">
        <v>4462</v>
      </c>
      <c r="U415" s="308">
        <f t="shared" si="663"/>
        <v>180.82</v>
      </c>
      <c r="V415" s="308" t="s">
        <v>4460</v>
      </c>
      <c r="W415" s="336">
        <v>7</v>
      </c>
      <c r="X415" s="309">
        <f t="shared" si="664"/>
        <v>1265.74</v>
      </c>
      <c r="Y415" s="310">
        <f t="shared" si="665"/>
        <v>7</v>
      </c>
      <c r="Z415" s="311">
        <v>185</v>
      </c>
      <c r="AA415" s="341">
        <f t="shared" si="666"/>
        <v>29.259999999999991</v>
      </c>
      <c r="AB415" s="341">
        <f t="shared" si="667"/>
        <v>112.49000000000001</v>
      </c>
      <c r="AC415" s="297">
        <v>196.89</v>
      </c>
      <c r="AD415" s="301">
        <f t="shared" si="668"/>
        <v>112.49000000000001</v>
      </c>
      <c r="AE415" s="546">
        <f t="shared" si="669"/>
        <v>1.4812152048077278</v>
      </c>
      <c r="AF415" s="300">
        <f>IF($AC415="",#N/A,SUM(AD$4:AD415))</f>
        <v>195.62996410331493</v>
      </c>
      <c r="AG415" s="341">
        <f t="shared" si="670"/>
        <v>81.900000000000091</v>
      </c>
      <c r="AH415" s="308" t="s">
        <v>2507</v>
      </c>
      <c r="AI415" s="305">
        <f t="shared" si="671"/>
        <v>0.38528186410057874</v>
      </c>
      <c r="AJ415" s="418">
        <f>IF(AI415="",#N/A,SUM($AI$4:AI415))</f>
        <v>9.0282415450437021</v>
      </c>
      <c r="AK415" s="308">
        <f t="shared" si="672"/>
        <v>29.259999999999991</v>
      </c>
      <c r="AL415" s="406">
        <f>IF(AI415="",#N/A,IF(AH415="Skip",SUM($AK$4:AK415),SUM($AK$4:AK415)))</f>
        <v>263.702369278481</v>
      </c>
      <c r="AM415" s="65">
        <f t="shared" si="755"/>
        <v>1.4812152048077278</v>
      </c>
      <c r="AN415" s="209"/>
      <c r="AO415" s="65" t="str">
        <f t="shared" si="673"/>
        <v/>
      </c>
      <c r="AP415" s="65">
        <f>IF($AC415="",#N/A,SUM(AO$4:AO415))</f>
        <v>4.7727460462956213</v>
      </c>
      <c r="AQ415" s="65">
        <f t="shared" si="674"/>
        <v>1.4812152048077278</v>
      </c>
      <c r="AR415" s="65">
        <f>IF($AC415="",#N/A,SUM(AQ$4:AQ415))</f>
        <v>-6.2204420258324236</v>
      </c>
      <c r="AS415" s="65" t="str">
        <f t="shared" si="675"/>
        <v/>
      </c>
      <c r="AT415" s="65">
        <f>IF($AC415="",#N/A,SUM(AS$4:AS415))</f>
        <v>7.5899379350070992</v>
      </c>
      <c r="AU415" s="57" t="str">
        <f t="shared" si="756"/>
        <v/>
      </c>
      <c r="AV415" s="57">
        <f>IF($AC415="",#N/A,SUM(AU$4:AU415))</f>
        <v>95.093838905746452</v>
      </c>
      <c r="AW415" s="57">
        <f t="shared" si="757"/>
        <v>112.49000000000001</v>
      </c>
      <c r="AX415" s="57">
        <f>IF($AC415="",#N/A,SUM(AW$4:AW415))</f>
        <v>-464.30106797961093</v>
      </c>
      <c r="AY415" s="57" t="str">
        <f t="shared" si="758"/>
        <v/>
      </c>
      <c r="AZ415" s="57">
        <f>IF($AC415="",#N/A,SUM(AY$4:AY415))</f>
        <v>564.8371931771793</v>
      </c>
      <c r="BA415" s="57">
        <f>IF(AD415="",#N/A,SUM($AD$4:AD415))</f>
        <v>195.62996410331493</v>
      </c>
      <c r="BC415" s="51">
        <f t="shared" si="676"/>
        <v>1</v>
      </c>
      <c r="BD415" s="51" t="str">
        <f t="shared" si="677"/>
        <v/>
      </c>
      <c r="BE415" s="51" t="str">
        <f t="shared" si="678"/>
        <v/>
      </c>
      <c r="BF415" s="51" t="str">
        <f t="shared" si="679"/>
        <v>Long</v>
      </c>
      <c r="BG415" s="51" t="str">
        <f t="shared" si="680"/>
        <v/>
      </c>
      <c r="BH415" s="51" t="str">
        <f t="shared" si="681"/>
        <v/>
      </c>
      <c r="BI415" s="51" t="str">
        <f t="shared" si="682"/>
        <v/>
      </c>
      <c r="BK415" s="65">
        <f t="shared" si="653"/>
        <v>-0.12333284943669107</v>
      </c>
      <c r="BL415" s="65">
        <f t="shared" si="761"/>
        <v>-0.155644729167148</v>
      </c>
      <c r="BM415" s="65">
        <f>IFERROR(Q415/COUNTA($J$4:J415),#N/A)</f>
        <v>2.3805087615475014E-2</v>
      </c>
      <c r="BO415" s="489" t="e">
        <f>IF(J415="",#N/A,IF(S415="SW",(COUNTIFS(K$4:$K415,"&gt;0",S$4:$S415,"SW")/COUNTIF(S$4:$S415,"SW")),#N/A))</f>
        <v>#N/A</v>
      </c>
      <c r="BP415" s="489" t="e">
        <f>IF($J415="",#N/A,IF($S415="DWN",(COUNTIFS($K$4:$K415,"&lt;0",$S$4:$S415,"DWN")/COUNTIF($S$4:$S415,"DWN")),#N/A))</f>
        <v>#N/A</v>
      </c>
      <c r="BQ415" s="489">
        <f>IF($J415="",#N/A,IF($S415="UP",(COUNTIFS($K$4:$K415,"&gt;0",$S$4:$S415,"UP")/COUNTIF($S$4:$S415,"UP")),#N/A))</f>
        <v>0.44897959183673469</v>
      </c>
      <c r="BR415" s="489">
        <f>IF(J415="",#N/A,COUNTIF($K$4:K415,"&gt;0")/COUNT($J$4:J415))</f>
        <v>0.470873786407767</v>
      </c>
      <c r="BS415" s="65">
        <f t="shared" si="683"/>
        <v>0.40279467610514952</v>
      </c>
      <c r="BT415" s="65" t="str">
        <f t="shared" si="684"/>
        <v/>
      </c>
      <c r="BU415" s="65" t="str">
        <f t="shared" si="685"/>
        <v/>
      </c>
      <c r="BV415" s="65" t="str">
        <f t="shared" si="686"/>
        <v/>
      </c>
      <c r="BW415" s="128">
        <f t="shared" si="687"/>
        <v>30.589999999999918</v>
      </c>
      <c r="BX415" s="128">
        <f>IF($J415="",#N/A,SUM($BW$4:BW415))</f>
        <v>-688.30317034792961</v>
      </c>
      <c r="BY415" s="131" t="str">
        <f t="shared" si="688"/>
        <v/>
      </c>
      <c r="BZ415" s="131">
        <f>IF($J415="",#N/A,SUM($BY$4:BY415))</f>
        <v>596.94161346139413</v>
      </c>
      <c r="CA415" s="133" t="str">
        <f t="shared" si="689"/>
        <v/>
      </c>
      <c r="CB415" s="133">
        <f>IF($J415="",#N/A,SUM($CA$4:CA415))</f>
        <v>313.12263180689104</v>
      </c>
      <c r="CC415" s="194">
        <f t="shared" si="690"/>
        <v>0.40279467610514952</v>
      </c>
      <c r="CD415" s="194">
        <f>IF($J415="",#N/A,SUM($CC$4:CC415))</f>
        <v>-8.7553347204474417</v>
      </c>
      <c r="CE415" s="195" t="str">
        <f t="shared" si="691"/>
        <v/>
      </c>
      <c r="CF415" s="195">
        <f>IF($J415="",#N/A,SUM($CE$4:CE415))</f>
        <v>11.300021340753757</v>
      </c>
      <c r="CG415" s="196" t="str">
        <f t="shared" si="692"/>
        <v/>
      </c>
      <c r="CH415" s="196">
        <f>IF($J415="",#N/A,SUM($CG$4:CG415))</f>
        <v>7.2630094772694047</v>
      </c>
      <c r="CI415" s="200">
        <f t="shared" si="693"/>
        <v>0.40279467610514952</v>
      </c>
      <c r="CJ415" s="203">
        <f>IF($J415="",#N/A,SUM(CI$4:CI415))</f>
        <v>0.40279467610514952</v>
      </c>
      <c r="CK415" s="204" t="str">
        <f t="shared" si="694"/>
        <v/>
      </c>
      <c r="CL415" s="204">
        <f>IF($J415="",#N/A,SUM(CK$4:CK415))</f>
        <v>2.0825010564889137</v>
      </c>
      <c r="CM415" s="205" t="str">
        <f t="shared" si="695"/>
        <v/>
      </c>
      <c r="CN415" s="205">
        <f>IF($J415="",#N/A,SUM(CM$4:CM415))</f>
        <v>-0.88786801747311794</v>
      </c>
      <c r="CO415" s="205">
        <f>IF($J415="",#N/A,SUM(CM$4:CM415,CK$4:CK415,CI$4:CI415))</f>
        <v>1.5974277151209457</v>
      </c>
      <c r="CP415" s="200" t="str">
        <f t="shared" si="696"/>
        <v/>
      </c>
      <c r="CQ415" s="203">
        <f>IF($J415="",#N/A,SUM(CP$4:CP415))</f>
        <v>-2.7099780615005766</v>
      </c>
      <c r="CR415" s="204" t="str">
        <f t="shared" si="697"/>
        <v/>
      </c>
      <c r="CS415" s="204">
        <f>IF($J415="",#N/A,SUM(CR$4:CR415))</f>
        <v>3.2133390748971404</v>
      </c>
      <c r="CT415" s="205" t="str">
        <f t="shared" si="698"/>
        <v/>
      </c>
      <c r="CU415" s="205">
        <f>IF($J415="",#N/A,SUM(CT$4:CT415))</f>
        <v>-12.045896072422382</v>
      </c>
      <c r="CV415" s="205">
        <f>IF($J415="",#N/A,SUM(CT$4:CT415,CR$4:CR415,CP$4:CP415))</f>
        <v>-11.542535059025816</v>
      </c>
      <c r="CW415" s="200" t="str">
        <f t="shared" si="699"/>
        <v/>
      </c>
      <c r="CX415" s="203">
        <f>IF($J415="",#N/A,SUM(CW$4:CW415))</f>
        <v>-7.8443640235555954</v>
      </c>
      <c r="CY415" s="204" t="str">
        <f t="shared" si="700"/>
        <v/>
      </c>
      <c r="CZ415" s="204">
        <f>IF($J415="",#N/A,SUM(CY$4:CY415))</f>
        <v>-2.6367641712432155</v>
      </c>
      <c r="DA415" s="205" t="str">
        <f t="shared" si="701"/>
        <v/>
      </c>
      <c r="DB415" s="205">
        <f>IF($J415="",#N/A,SUM(DA$4:DA415))</f>
        <v>-1.3155870379734311</v>
      </c>
      <c r="DC415" s="205">
        <f>IF($J415="",#N/A,SUM(DA$4:DA415,CY$4:CY415,CW$4:CW415))</f>
        <v>-11.796715232772243</v>
      </c>
      <c r="DD415" s="200" t="str">
        <f t="shared" si="702"/>
        <v/>
      </c>
      <c r="DE415" s="203">
        <f>IF($J415="",#N/A,SUM(DD$4:DD415))</f>
        <v>2.1903002454447948</v>
      </c>
      <c r="DF415" s="204" t="str">
        <f t="shared" si="703"/>
        <v/>
      </c>
      <c r="DG415" s="204">
        <f>IF($J415="",#N/A,SUM(DF$4:DF415))</f>
        <v>3.7844462787298916</v>
      </c>
      <c r="DH415" s="205" t="str">
        <f t="shared" si="704"/>
        <v/>
      </c>
      <c r="DI415" s="205">
        <f>IF($J415="",#N/A,SUM(DH$4:DH415))</f>
        <v>1.1482786833538656</v>
      </c>
      <c r="DJ415" s="205">
        <f>IF($J415="",#N/A,SUM(DH$4:DH415,DF$4:DF415,DD$4:DD415))</f>
        <v>7.1230252075285527</v>
      </c>
      <c r="DK415" s="200" t="str">
        <f t="shared" si="705"/>
        <v/>
      </c>
      <c r="DL415" s="203">
        <f>IF($J415="",#N/A,SUM(DK$4:DK415))</f>
        <v>-0.84049791589649614</v>
      </c>
      <c r="DM415" s="204" t="str">
        <f t="shared" si="706"/>
        <v/>
      </c>
      <c r="DN415" s="204">
        <f>IF($J415="",#N/A,SUM(DM$4:DM415))</f>
        <v>1.8657648196498773</v>
      </c>
      <c r="DO415" s="205" t="str">
        <f t="shared" si="707"/>
        <v/>
      </c>
      <c r="DP415" s="205">
        <f>IF($J415="",#N/A,SUM(DO$4:DO415))</f>
        <v>3.4887162328793941</v>
      </c>
      <c r="DQ415" s="205">
        <f>IF($J415="",#N/A,SUM(DO$4:DO415,DM$4:DM415,DK$4:DK415))</f>
        <v>4.5139831366327758</v>
      </c>
      <c r="DR415" s="200" t="str">
        <f t="shared" si="708"/>
        <v/>
      </c>
      <c r="DS415" s="203">
        <f>IF($J415="",#N/A,SUM(DR$4:DR415))</f>
        <v>-0.55950946427675097</v>
      </c>
      <c r="DT415" s="204" t="str">
        <f t="shared" si="709"/>
        <v/>
      </c>
      <c r="DU415" s="204">
        <f>IF($J415="",#N/A,SUM(DT$4:DT415))</f>
        <v>-0.20750635820596686</v>
      </c>
      <c r="DV415" s="205" t="str">
        <f t="shared" si="710"/>
        <v/>
      </c>
      <c r="DW415" s="205">
        <f>IF($J415="",#N/A,SUM(DV$4:DV415))</f>
        <v>-2.3377035686214001</v>
      </c>
      <c r="DX415" s="205">
        <f>IF($J415="",#N/A,SUM(DV$4:DV415,DT$4:DT415,DR$4:DR415))</f>
        <v>-3.1047193911041169</v>
      </c>
      <c r="DY415" s="200" t="str">
        <f t="shared" si="711"/>
        <v/>
      </c>
      <c r="DZ415" s="203">
        <f>IF($J415="",#N/A,SUM(DY$4:DY415))</f>
        <v>0.24785202869748424</v>
      </c>
      <c r="EA415" s="204" t="str">
        <f t="shared" si="712"/>
        <v/>
      </c>
      <c r="EB415" s="204">
        <f>IF($J415="",#N/A,SUM(EA$4:EA415))</f>
        <v>4.3184391548878134</v>
      </c>
      <c r="EC415" s="205" t="str">
        <f t="shared" si="713"/>
        <v/>
      </c>
      <c r="ED415" s="205">
        <f>IF($J415="",#N/A,SUM(EC$4:EC415))</f>
        <v>8.4384553208490907</v>
      </c>
      <c r="EE415" s="205">
        <f>IF($J415="",#N/A,SUM(EC$4:EC415,EA$4:EA415,DY$4:DY415))</f>
        <v>13.00474650443439</v>
      </c>
      <c r="EF415" s="200" t="str">
        <f t="shared" si="714"/>
        <v/>
      </c>
      <c r="EG415" s="203">
        <f>IF($J415="",#N/A,SUM(EF$4:EF415))</f>
        <v>0.65848341369884777</v>
      </c>
      <c r="EH415" s="204" t="str">
        <f t="shared" si="715"/>
        <v/>
      </c>
      <c r="EI415" s="204">
        <f>IF($J415="",#N/A,SUM(EH$4:EH415))</f>
        <v>-3.5125331561187787</v>
      </c>
      <c r="EJ415" s="205" t="str">
        <f t="shared" si="716"/>
        <v/>
      </c>
      <c r="EK415" s="205">
        <f>IF($J415="",#N/A,SUM(EJ$4:EJ415))</f>
        <v>13.156552985368888</v>
      </c>
      <c r="EL415" s="205">
        <f>IF($J415="",#N/A,SUM(EJ$4:EJ415,EH$4:EH415,EF$4:EF415))</f>
        <v>10.30250324294896</v>
      </c>
      <c r="EM415" s="200" t="str">
        <f t="shared" si="717"/>
        <v/>
      </c>
      <c r="EN415" s="203">
        <f>IF($J415="",#N/A,SUM(EM$4:EM415))</f>
        <v>0</v>
      </c>
      <c r="EO415" s="204" t="str">
        <f t="shared" si="718"/>
        <v/>
      </c>
      <c r="EP415" s="204">
        <f>IF($J415="",#N/A,SUM(EO$4:EO415))</f>
        <v>2.4788862078089964</v>
      </c>
      <c r="EQ415" s="205" t="str">
        <f t="shared" si="719"/>
        <v/>
      </c>
      <c r="ER415" s="205">
        <f>IF($J415="",#N/A,SUM(EQ$4:EQ415))</f>
        <v>1.7856049065476487</v>
      </c>
      <c r="ES415" s="205">
        <f>IF($J415="",#N/A,SUM(EQ$4:EQ415,EO$4:EO415,EM$4:EM415))</f>
        <v>4.2644911143566446</v>
      </c>
      <c r="ET415" s="200" t="str">
        <f t="shared" si="720"/>
        <v/>
      </c>
      <c r="EU415" s="203">
        <f>IF($J415="",#N/A,SUM(ET$4:ET415))</f>
        <v>-0.56361328049859927</v>
      </c>
      <c r="EV415" s="204" t="str">
        <f t="shared" si="721"/>
        <v/>
      </c>
      <c r="EW415" s="204">
        <f>IF($J415="",#N/A,SUM(EV$4:EV415))</f>
        <v>7.9116394275462909E-2</v>
      </c>
      <c r="EX415" s="205" t="str">
        <f t="shared" si="722"/>
        <v/>
      </c>
      <c r="EY415" s="205">
        <f>IF($J415="",#N/A,SUM(EX$4:EX415))</f>
        <v>0.62848633887309935</v>
      </c>
      <c r="EZ415" s="205">
        <f>IF($J415="",#N/A,SUM(EX$4:EX415,EV$4:EV415,ET$4:ET415))</f>
        <v>0.14398945264996266</v>
      </c>
      <c r="FA415" s="200" t="str">
        <f t="shared" si="723"/>
        <v/>
      </c>
      <c r="FB415" s="203">
        <f>IF($J415="",#N/A,SUM(FA$4:FA415))</f>
        <v>-0.27145310509113252</v>
      </c>
      <c r="FC415" s="204" t="str">
        <f t="shared" si="724"/>
        <v/>
      </c>
      <c r="FD415" s="204">
        <f>IF($J415="",#N/A,SUM(FC$4:FC415))</f>
        <v>0.89084290967454072</v>
      </c>
      <c r="FE415" s="205" t="str">
        <f t="shared" si="725"/>
        <v/>
      </c>
      <c r="FF415" s="205">
        <f>IF($J415="",#N/A,SUM(FE$4:FE415))</f>
        <v>-0.28811149078748233</v>
      </c>
      <c r="FG415" s="205">
        <f>IF($J415="",#N/A,SUM(FE$4:FE415,FC$4:FC415,FA$4:FA415))</f>
        <v>0.3312783137959262</v>
      </c>
      <c r="FH415" s="200" t="str">
        <f t="shared" si="726"/>
        <v/>
      </c>
      <c r="FI415" s="203">
        <f>IF($J415="",#N/A,SUM(FH$4:FH415))</f>
        <v>0</v>
      </c>
      <c r="FJ415" s="204" t="str">
        <f t="shared" si="727"/>
        <v/>
      </c>
      <c r="FK415" s="204">
        <f>IF($J415="",#N/A,SUM(FJ$4:FJ415))</f>
        <v>0</v>
      </c>
      <c r="FL415" s="205" t="str">
        <f t="shared" si="728"/>
        <v/>
      </c>
      <c r="FM415" s="205">
        <f>IF($J415="",#N/A,SUM(FL$4:FL415))</f>
        <v>0</v>
      </c>
      <c r="FN415" s="205">
        <f>IF($J415="",#N/A,SUM(FL$4:FL415,FJ$4:FJ415,FH$4:FH415))</f>
        <v>0</v>
      </c>
      <c r="FO415" s="200" t="str">
        <f t="shared" si="729"/>
        <v/>
      </c>
      <c r="FP415" s="203">
        <f>IF($J415="",#N/A,SUM(FO$4:FO415))</f>
        <v>0</v>
      </c>
      <c r="FQ415" s="204" t="str">
        <f t="shared" si="730"/>
        <v/>
      </c>
      <c r="FR415" s="204">
        <f>IF($J415="",#N/A,SUM(FQ$4:FQ415))</f>
        <v>0</v>
      </c>
      <c r="FS415" s="205" t="str">
        <f t="shared" si="731"/>
        <v/>
      </c>
      <c r="FT415" s="205">
        <f>IF($J415="",#N/A,SUM(FS$4:FS415))</f>
        <v>0</v>
      </c>
      <c r="FU415" s="205">
        <f>IF($J415="",#N/A,SUM(FS$4:FS415,FQ$4:FQ415,FO$4:FO415))</f>
        <v>0</v>
      </c>
      <c r="FV415" s="200" t="str">
        <f t="shared" si="732"/>
        <v/>
      </c>
      <c r="FW415" s="203">
        <f>IF($J415="",#N/A,SUM(FV$4:FV415))</f>
        <v>6.6834991831277585E-2</v>
      </c>
      <c r="FX415" s="204" t="str">
        <f t="shared" si="733"/>
        <v/>
      </c>
      <c r="FY415" s="204">
        <f>IF($J415="",#N/A,SUM(FX$4:FX415))</f>
        <v>-0.16102012791805576</v>
      </c>
      <c r="FZ415" s="205" t="str">
        <f t="shared" si="734"/>
        <v/>
      </c>
      <c r="GA415" s="205">
        <f>IF($J415="",#N/A,SUM(FZ$4:FZ415))</f>
        <v>-0.69624339162892301</v>
      </c>
      <c r="GB415" s="205">
        <f>IF($J415="",#N/A,SUM(FZ$4:FZ415,FX$4:FX415,FV$4:FV415))</f>
        <v>-0.79042852771570116</v>
      </c>
      <c r="GC415" s="200" t="str">
        <f t="shared" si="735"/>
        <v/>
      </c>
      <c r="GD415" s="203">
        <f>IF($J415="",#N/A,SUM(GC$4:GC415))</f>
        <v>0</v>
      </c>
      <c r="GE415" s="204" t="str">
        <f t="shared" si="736"/>
        <v/>
      </c>
      <c r="GF415" s="204">
        <f>IF($J415="",#N/A,SUM(GE$4:GE415))</f>
        <v>0</v>
      </c>
      <c r="GG415" s="205" t="str">
        <f t="shared" si="737"/>
        <v/>
      </c>
      <c r="GH415" s="205">
        <f>IF($J415="",#N/A,SUM(GG$4:GG415))</f>
        <v>-2.9368362277223206</v>
      </c>
      <c r="GI415" s="205">
        <f>IF($J415="",#N/A,SUM(GG$4:GG415,GE$4:GE415,GC$4:GC415))</f>
        <v>-2.9368362277223206</v>
      </c>
      <c r="GJ415" s="200" t="str">
        <f t="shared" si="738"/>
        <v/>
      </c>
      <c r="GK415" s="203">
        <f>IF($J415="",#N/A,SUM(GJ$4:GJ415))</f>
        <v>0</v>
      </c>
      <c r="GL415" s="204" t="str">
        <f t="shared" si="739"/>
        <v/>
      </c>
      <c r="GM415" s="204">
        <f>IF($J415="",#N/A,SUM(GL$4:GL415))</f>
        <v>-2.0621307233432784</v>
      </c>
      <c r="GN415" s="205" t="str">
        <f t="shared" si="740"/>
        <v/>
      </c>
      <c r="GO415" s="205">
        <f>IF($J415="",#N/A,SUM(GN$4:GN415))</f>
        <v>0.79182748269313297</v>
      </c>
      <c r="GP415" s="205">
        <f>IF($J415="",#N/A,SUM(GN$4:GN415,GL$4:GL415,GJ$4:GJ415))</f>
        <v>-1.2703032406501453</v>
      </c>
      <c r="GS415" s="54">
        <f t="shared" si="759"/>
        <v>0.40279467610514952</v>
      </c>
      <c r="GT415" s="54">
        <f>IF(GS415="",NA(),SUM($GS$4:GS415))</f>
        <v>16.03771385893932</v>
      </c>
      <c r="GU415" s="54">
        <f t="shared" si="741"/>
        <v>0.40279467610514952</v>
      </c>
      <c r="GV415" s="54">
        <f>IF(GU415="",NA(),SUM($GU$4:GU415))</f>
        <v>-5.8148389793774085</v>
      </c>
      <c r="GW415" s="54" t="str">
        <f t="shared" si="742"/>
        <v/>
      </c>
      <c r="GX415" s="54" t="e">
        <f>IF(GW415="",NA(),SUM($GW$4:GW415))</f>
        <v>#N/A</v>
      </c>
      <c r="GY415" s="54" t="str">
        <f t="shared" si="743"/>
        <v/>
      </c>
      <c r="GZ415" s="54" t="e">
        <f>IF(GY415="",NA(),SUM($GY$4:GY415))</f>
        <v>#N/A</v>
      </c>
      <c r="HA415" s="54" t="str">
        <f t="shared" si="744"/>
        <v/>
      </c>
      <c r="HB415" s="54" t="e">
        <f>IF(HA415="",NA(),SUM($HA$4:HA415))</f>
        <v>#N/A</v>
      </c>
      <c r="HC415" s="54" t="str">
        <f t="shared" si="745"/>
        <v/>
      </c>
      <c r="HD415" s="54" t="e">
        <f>IF(HC415="",NA(),SUM($HC$4:HC415))</f>
        <v>#N/A</v>
      </c>
      <c r="HE415" s="54" t="str">
        <f t="shared" si="746"/>
        <v/>
      </c>
      <c r="HF415" s="54" t="e">
        <f>IF(HE415="",NA(),SUM($HE$4:HE415))</f>
        <v>#N/A</v>
      </c>
      <c r="HG415" s="54" t="str">
        <f t="shared" si="747"/>
        <v/>
      </c>
      <c r="HH415" s="54" t="e">
        <f>IF(HG415="",NA(),SUM($HG$4:HG415))</f>
        <v>#N/A</v>
      </c>
      <c r="HI415" s="172" t="str">
        <f t="shared" si="760"/>
        <v/>
      </c>
      <c r="HJ415" s="172">
        <f>IF($J415="",#N/A,SUM(HI$4:$HI415))</f>
        <v>-11.351618847522102</v>
      </c>
      <c r="HK415" s="54" t="str">
        <f t="shared" si="748"/>
        <v/>
      </c>
      <c r="HL415" s="54">
        <f>IF($J415="",#N/A,SUM($HK$4:HK415))</f>
        <v>7.6415354417754555</v>
      </c>
      <c r="HM415" s="54">
        <f t="shared" si="749"/>
        <v>1.0784205287025783</v>
      </c>
      <c r="HN415" s="54">
        <f>IF($J415="",#N/A,SUM($HM$4:HM415))</f>
        <v>3.0810246124550318</v>
      </c>
      <c r="HO415" s="54" t="str">
        <f t="shared" si="750"/>
        <v/>
      </c>
      <c r="HP415" s="54">
        <f>IF($J415="",#N/A,SUM($HO$4:HO415))</f>
        <v>-0.54613191784001369</v>
      </c>
      <c r="HQ415" s="54" t="str">
        <f t="shared" si="751"/>
        <v/>
      </c>
      <c r="HR415" s="54">
        <f>IF($J415="",#N/A,SUM($HQ$4:HQ415))</f>
        <v>-16.654569124430953</v>
      </c>
      <c r="HS415" s="54" t="str">
        <f t="shared" si="752"/>
        <v/>
      </c>
      <c r="HT415" s="54">
        <f>IF($J415="",#N/A,SUM($HS$4:HS415))</f>
        <v>14.660479149324726</v>
      </c>
      <c r="HU415" s="65">
        <f t="shared" si="753"/>
        <v>1.4812152048077278</v>
      </c>
      <c r="HV415" s="65">
        <f>IF($J415="",#N/A,SUM(HU$4:$HU415))</f>
        <v>6.1422419554703023</v>
      </c>
    </row>
    <row r="416" spans="1:230" ht="15.75" thickBot="1" x14ac:dyDescent="0.3">
      <c r="A416" s="585" t="s">
        <v>1528</v>
      </c>
      <c r="B416" s="586" t="str" cm="1">
        <f t="array" ref="B416">IFERROR(_xlfn.XLOOKUP(A416,Earnings!$B$2:$B$9984,LEFT(Earnings!$C$2:$C$9984,37)),"Can't Find Date***")</f>
        <v>on 6/20/25 Before Market Eastern Stan</v>
      </c>
      <c r="C416" s="587">
        <f t="shared" si="654"/>
        <v>1</v>
      </c>
      <c r="D416" s="588" t="str">
        <f>_xlfn.XLOOKUP(A416,[1]SP500!$A$2:$A$502,[1]SP500!$D$2:$D$502,"N")</f>
        <v>Y</v>
      </c>
      <c r="E416" s="585" t="str">
        <f>IFERROR(_xlfn.XLOOKUP(A416,[1]SP500!$A$2:$A$655,[1]SP500!$B$2:$B$655),"")</f>
        <v>XLY</v>
      </c>
      <c r="F416" s="589">
        <v>45828</v>
      </c>
      <c r="G416" s="585" t="str">
        <f t="shared" si="655"/>
        <v>BMO</v>
      </c>
      <c r="H416" s="585" t="str">
        <f t="shared" si="656"/>
        <v>sk</v>
      </c>
      <c r="I416" s="590">
        <v>222.75</v>
      </c>
      <c r="J416" s="591">
        <v>223.57</v>
      </c>
      <c r="K416" s="592">
        <f t="shared" si="657"/>
        <v>3.6812570145903175E-3</v>
      </c>
      <c r="L416" s="593">
        <f t="shared" si="658"/>
        <v>4.9696969696969973</v>
      </c>
      <c r="M416" s="594" t="e">
        <f t="shared" si="659"/>
        <v>#N/A</v>
      </c>
      <c r="N416" s="595">
        <f t="shared" si="660"/>
        <v>4.9696969696969973</v>
      </c>
      <c r="O416" s="594">
        <f>IF(N416="",#N/A,SUM($N$4:N416))</f>
        <v>226.73077189005278</v>
      </c>
      <c r="P416" s="596">
        <f t="shared" si="754"/>
        <v>6.1354283576506137E-2</v>
      </c>
      <c r="Q416" s="597">
        <f>IF($N416="",#N/A,SUM($P$4:P416))</f>
        <v>9.8690503811522117</v>
      </c>
      <c r="R416" s="598">
        <f t="shared" si="661"/>
        <v>0.84080883610850954</v>
      </c>
      <c r="S416" s="585" t="str">
        <f t="shared" si="662"/>
        <v>Up</v>
      </c>
      <c r="T416" s="585" t="s">
        <v>4462</v>
      </c>
      <c r="U416" s="599">
        <f t="shared" si="663"/>
        <v>222.75</v>
      </c>
      <c r="V416" s="599" t="s">
        <v>4460</v>
      </c>
      <c r="W416" s="600">
        <f t="shared" ref="W416" si="762">IF(I416="","",1350/I416)</f>
        <v>6.0606060606060606</v>
      </c>
      <c r="X416" s="601">
        <f t="shared" si="664"/>
        <v>1350</v>
      </c>
      <c r="Y416" s="600">
        <f t="shared" si="665"/>
        <v>6.0606060606060606</v>
      </c>
      <c r="Z416" s="602">
        <f>J416</f>
        <v>223.57</v>
      </c>
      <c r="AA416" s="595">
        <f t="shared" si="666"/>
        <v>4.9696969696969973</v>
      </c>
      <c r="AB416" s="595">
        <f t="shared" si="667"/>
        <v>18.36363636363626</v>
      </c>
      <c r="AC416" s="591">
        <v>225.78</v>
      </c>
      <c r="AD416" s="603">
        <f t="shared" si="668"/>
        <v>18.36363636363626</v>
      </c>
      <c r="AE416" s="604">
        <f t="shared" si="669"/>
        <v>0.2267115600448921</v>
      </c>
      <c r="AF416" s="594">
        <f>IF($AC416="",#N/A,SUM(AD$4:AD416))</f>
        <v>213.99360046695119</v>
      </c>
      <c r="AG416" s="595">
        <f t="shared" si="670"/>
        <v>13.393939393939263</v>
      </c>
      <c r="AH416" s="599" t="s">
        <v>4464</v>
      </c>
      <c r="AI416" s="596">
        <f t="shared" si="671"/>
        <v>0</v>
      </c>
      <c r="AJ416" s="605">
        <f>IF(AI416="",#N/A,SUM($AI$4:AI416))</f>
        <v>9.0282415450437021</v>
      </c>
      <c r="AK416" s="599" t="str">
        <f t="shared" si="672"/>
        <v/>
      </c>
      <c r="AL416" s="606">
        <f>IF(AI416="",#N/A,IF(AH416="Skip",SUM($AK$4:AK416),SUM($AK$4:AK416)))</f>
        <v>263.702369278481</v>
      </c>
      <c r="AM416" s="65">
        <f t="shared" si="755"/>
        <v>0.2267115600448921</v>
      </c>
      <c r="AN416" s="209"/>
      <c r="AO416" s="65" t="str">
        <f t="shared" si="673"/>
        <v/>
      </c>
      <c r="AP416" s="65">
        <f>IF($AC416="",#N/A,SUM(AO$4:AO416))</f>
        <v>4.7727460462956213</v>
      </c>
      <c r="AQ416" s="65">
        <f t="shared" si="674"/>
        <v>0.2267115600448921</v>
      </c>
      <c r="AR416" s="65">
        <f>IF($AC416="",#N/A,SUM(AQ$4:AQ416))</f>
        <v>-5.9937304657875314</v>
      </c>
      <c r="AS416" s="65" t="str">
        <f t="shared" si="675"/>
        <v/>
      </c>
      <c r="AT416" s="65">
        <f>IF($AC416="",#N/A,SUM(AS$4:AS416))</f>
        <v>7.5899379350070992</v>
      </c>
      <c r="AU416" s="57" t="str">
        <f t="shared" si="756"/>
        <v/>
      </c>
      <c r="AV416" s="57">
        <f>IF($AC416="",#N/A,SUM(AU$4:AU416))</f>
        <v>95.093838905746452</v>
      </c>
      <c r="AW416" s="57">
        <f t="shared" si="757"/>
        <v>18.36363636363626</v>
      </c>
      <c r="AX416" s="57">
        <f>IF($AC416="",#N/A,SUM(AW$4:AW416))</f>
        <v>-445.93743161597467</v>
      </c>
      <c r="AY416" s="57" t="str">
        <f t="shared" si="758"/>
        <v/>
      </c>
      <c r="AZ416" s="57">
        <f>IF($AC416="",#N/A,SUM(AY$4:AY416))</f>
        <v>564.8371931771793</v>
      </c>
      <c r="BA416" s="57">
        <f>IF(AD416="",#N/A,SUM($AD$4:AD416))</f>
        <v>213.99360046695119</v>
      </c>
      <c r="BC416" s="51">
        <f t="shared" si="676"/>
        <v>1</v>
      </c>
      <c r="BD416" s="51" t="str">
        <f t="shared" si="677"/>
        <v/>
      </c>
      <c r="BE416" s="51" t="str">
        <f t="shared" si="678"/>
        <v/>
      </c>
      <c r="BF416" s="51" t="str">
        <f t="shared" si="679"/>
        <v>Long</v>
      </c>
      <c r="BG416" s="51" t="str">
        <f t="shared" si="680"/>
        <v/>
      </c>
      <c r="BH416" s="51" t="str">
        <f t="shared" si="681"/>
        <v/>
      </c>
      <c r="BI416" s="51" t="str">
        <f t="shared" si="682"/>
        <v/>
      </c>
      <c r="BK416" s="65">
        <f t="shared" si="653"/>
        <v>-7.8679468944443831E-2</v>
      </c>
      <c r="BL416" s="65">
        <f t="shared" si="761"/>
        <v>-3.2021804097194462E-2</v>
      </c>
      <c r="BM416" s="65">
        <f>IFERROR(Q416/COUNTA($J$4:J416),#N/A)</f>
        <v>2.3896005765501722E-2</v>
      </c>
      <c r="BO416" s="489" t="e">
        <f>IF(J416="",#N/A,IF(S416="SW",(COUNTIFS(K$4:$K416,"&gt;0",S$4:$S416,"SW")/COUNTIF(S$4:$S416,"SW")),#N/A))</f>
        <v>#N/A</v>
      </c>
      <c r="BP416" s="489" t="e">
        <f>IF($J416="",#N/A,IF($S416="DWN",(COUNTIFS($K$4:$K416,"&lt;0",$S$4:$S416,"DWN")/COUNTIF($S$4:$S416,"DWN")),#N/A))</f>
        <v>#N/A</v>
      </c>
      <c r="BQ416" s="489">
        <f>IF($J416="",#N/A,IF($S416="UP",(COUNTIFS($K$4:$K416,"&gt;0",$S$4:$S416,"UP")/COUNTIF($S$4:$S416,"UP")),#N/A))</f>
        <v>0.46</v>
      </c>
      <c r="BR416" s="489">
        <f>IF(J416="",#N/A,COUNTIF($K$4:K416,"&gt;0")/COUNT($J$4:J416))</f>
        <v>0.4721549636803874</v>
      </c>
      <c r="BS416" s="65" t="str">
        <f t="shared" si="683"/>
        <v/>
      </c>
      <c r="BT416" s="65" t="str">
        <f t="shared" si="684"/>
        <v/>
      </c>
      <c r="BU416" s="65" t="str">
        <f t="shared" si="685"/>
        <v/>
      </c>
      <c r="BV416" s="65" t="str">
        <f t="shared" si="686"/>
        <v/>
      </c>
      <c r="BW416" s="128">
        <f t="shared" si="687"/>
        <v>4.9696969696969973</v>
      </c>
      <c r="BX416" s="128">
        <f>IF($J416="",#N/A,SUM($BW$4:BW416))</f>
        <v>-683.33347337823261</v>
      </c>
      <c r="BY416" s="131" t="str">
        <f t="shared" si="688"/>
        <v/>
      </c>
      <c r="BZ416" s="131">
        <f>IF($J416="",#N/A,SUM($BY$4:BY416))</f>
        <v>596.94161346139413</v>
      </c>
      <c r="CA416" s="133" t="str">
        <f t="shared" si="689"/>
        <v/>
      </c>
      <c r="CB416" s="133">
        <f>IF($J416="",#N/A,SUM($CA$4:CA416))</f>
        <v>313.12263180689104</v>
      </c>
      <c r="CC416" s="194">
        <f t="shared" si="690"/>
        <v>6.1354283576506137E-2</v>
      </c>
      <c r="CD416" s="194">
        <f>IF($J416="",#N/A,SUM($CC$4:CC416))</f>
        <v>-8.6939804368709357</v>
      </c>
      <c r="CE416" s="195" t="str">
        <f t="shared" si="691"/>
        <v/>
      </c>
      <c r="CF416" s="195">
        <f>IF($J416="",#N/A,SUM($CE$4:CE416))</f>
        <v>11.300021340753757</v>
      </c>
      <c r="CG416" s="196" t="str">
        <f t="shared" si="692"/>
        <v/>
      </c>
      <c r="CH416" s="196">
        <f>IF($J416="",#N/A,SUM($CG$4:CG416))</f>
        <v>7.2630094772694047</v>
      </c>
      <c r="CI416" s="200" t="str">
        <f t="shared" si="693"/>
        <v/>
      </c>
      <c r="CJ416" s="203">
        <f>IF($J416="",#N/A,SUM(CI$4:CI416))</f>
        <v>0.40279467610514952</v>
      </c>
      <c r="CK416" s="204" t="str">
        <f t="shared" si="694"/>
        <v/>
      </c>
      <c r="CL416" s="204">
        <f>IF($J416="",#N/A,SUM(CK$4:CK416))</f>
        <v>2.0825010564889137</v>
      </c>
      <c r="CM416" s="205" t="str">
        <f t="shared" si="695"/>
        <v/>
      </c>
      <c r="CN416" s="205">
        <f>IF($J416="",#N/A,SUM(CM$4:CM416))</f>
        <v>-0.88786801747311794</v>
      </c>
      <c r="CO416" s="205">
        <f>IF($J416="",#N/A,SUM(CM$4:CM416,CK$4:CK416,CI$4:CI416))</f>
        <v>1.5974277151209457</v>
      </c>
      <c r="CP416" s="200" t="str">
        <f t="shared" si="696"/>
        <v/>
      </c>
      <c r="CQ416" s="203">
        <f>IF($J416="",#N/A,SUM(CP$4:CP416))</f>
        <v>-2.7099780615005766</v>
      </c>
      <c r="CR416" s="204" t="str">
        <f t="shared" si="697"/>
        <v/>
      </c>
      <c r="CS416" s="204">
        <f>IF($J416="",#N/A,SUM(CR$4:CR416))</f>
        <v>3.2133390748971404</v>
      </c>
      <c r="CT416" s="205" t="str">
        <f t="shared" si="698"/>
        <v/>
      </c>
      <c r="CU416" s="205">
        <f>IF($J416="",#N/A,SUM(CT$4:CT416))</f>
        <v>-12.045896072422382</v>
      </c>
      <c r="CV416" s="205">
        <f>IF($J416="",#N/A,SUM(CT$4:CT416,CR$4:CR416,CP$4:CP416))</f>
        <v>-11.542535059025816</v>
      </c>
      <c r="CW416" s="200">
        <f t="shared" si="699"/>
        <v>6.1354283576506137E-2</v>
      </c>
      <c r="CX416" s="203">
        <f>IF($J416="",#N/A,SUM(CW$4:CW416))</f>
        <v>-7.7830097399790894</v>
      </c>
      <c r="CY416" s="204" t="str">
        <f t="shared" si="700"/>
        <v/>
      </c>
      <c r="CZ416" s="204">
        <f>IF($J416="",#N/A,SUM(CY$4:CY416))</f>
        <v>-2.6367641712432155</v>
      </c>
      <c r="DA416" s="205" t="str">
        <f t="shared" si="701"/>
        <v/>
      </c>
      <c r="DB416" s="205">
        <f>IF($J416="",#N/A,SUM(DA$4:DA416))</f>
        <v>-1.3155870379734311</v>
      </c>
      <c r="DC416" s="205">
        <f>IF($J416="",#N/A,SUM(DA$4:DA416,CY$4:CY416,CW$4:CW416))</f>
        <v>-11.735360949195737</v>
      </c>
      <c r="DD416" s="200" t="str">
        <f t="shared" si="702"/>
        <v/>
      </c>
      <c r="DE416" s="203">
        <f>IF($J416="",#N/A,SUM(DD$4:DD416))</f>
        <v>2.1903002454447948</v>
      </c>
      <c r="DF416" s="204" t="str">
        <f t="shared" si="703"/>
        <v/>
      </c>
      <c r="DG416" s="204">
        <f>IF($J416="",#N/A,SUM(DF$4:DF416))</f>
        <v>3.7844462787298916</v>
      </c>
      <c r="DH416" s="205" t="str">
        <f t="shared" si="704"/>
        <v/>
      </c>
      <c r="DI416" s="205">
        <f>IF($J416="",#N/A,SUM(DH$4:DH416))</f>
        <v>1.1482786833538656</v>
      </c>
      <c r="DJ416" s="205">
        <f>IF($J416="",#N/A,SUM(DH$4:DH416,DF$4:DF416,DD$4:DD416))</f>
        <v>7.1230252075285527</v>
      </c>
      <c r="DK416" s="200" t="str">
        <f t="shared" si="705"/>
        <v/>
      </c>
      <c r="DL416" s="203">
        <f>IF($J416="",#N/A,SUM(DK$4:DK416))</f>
        <v>-0.84049791589649614</v>
      </c>
      <c r="DM416" s="204" t="str">
        <f t="shared" si="706"/>
        <v/>
      </c>
      <c r="DN416" s="204">
        <f>IF($J416="",#N/A,SUM(DM$4:DM416))</f>
        <v>1.8657648196498773</v>
      </c>
      <c r="DO416" s="205" t="str">
        <f t="shared" si="707"/>
        <v/>
      </c>
      <c r="DP416" s="205">
        <f>IF($J416="",#N/A,SUM(DO$4:DO416))</f>
        <v>3.4887162328793941</v>
      </c>
      <c r="DQ416" s="205">
        <f>IF($J416="",#N/A,SUM(DO$4:DO416,DM$4:DM416,DK$4:DK416))</f>
        <v>4.5139831366327758</v>
      </c>
      <c r="DR416" s="200" t="str">
        <f t="shared" si="708"/>
        <v/>
      </c>
      <c r="DS416" s="203">
        <f>IF($J416="",#N/A,SUM(DR$4:DR416))</f>
        <v>-0.55950946427675097</v>
      </c>
      <c r="DT416" s="204" t="str">
        <f t="shared" si="709"/>
        <v/>
      </c>
      <c r="DU416" s="204">
        <f>IF($J416="",#N/A,SUM(DT$4:DT416))</f>
        <v>-0.20750635820596686</v>
      </c>
      <c r="DV416" s="205" t="str">
        <f t="shared" si="710"/>
        <v/>
      </c>
      <c r="DW416" s="205">
        <f>IF($J416="",#N/A,SUM(DV$4:DV416))</f>
        <v>-2.3377035686214001</v>
      </c>
      <c r="DX416" s="205">
        <f>IF($J416="",#N/A,SUM(DV$4:DV416,DT$4:DT416,DR$4:DR416))</f>
        <v>-3.1047193911041169</v>
      </c>
      <c r="DY416" s="200" t="str">
        <f t="shared" si="711"/>
        <v/>
      </c>
      <c r="DZ416" s="203">
        <f>IF($J416="",#N/A,SUM(DY$4:DY416))</f>
        <v>0.24785202869748424</v>
      </c>
      <c r="EA416" s="204" t="str">
        <f t="shared" si="712"/>
        <v/>
      </c>
      <c r="EB416" s="204">
        <f>IF($J416="",#N/A,SUM(EA$4:EA416))</f>
        <v>4.3184391548878134</v>
      </c>
      <c r="EC416" s="205" t="str">
        <f t="shared" si="713"/>
        <v/>
      </c>
      <c r="ED416" s="205">
        <f>IF($J416="",#N/A,SUM(EC$4:EC416))</f>
        <v>8.4384553208490907</v>
      </c>
      <c r="EE416" s="205">
        <f>IF($J416="",#N/A,SUM(EC$4:EC416,EA$4:EA416,DY$4:DY416))</f>
        <v>13.00474650443439</v>
      </c>
      <c r="EF416" s="200" t="str">
        <f t="shared" si="714"/>
        <v/>
      </c>
      <c r="EG416" s="203">
        <f>IF($J416="",#N/A,SUM(EF$4:EF416))</f>
        <v>0.65848341369884777</v>
      </c>
      <c r="EH416" s="204" t="str">
        <f t="shared" si="715"/>
        <v/>
      </c>
      <c r="EI416" s="204">
        <f>IF($J416="",#N/A,SUM(EH$4:EH416))</f>
        <v>-3.5125331561187787</v>
      </c>
      <c r="EJ416" s="205" t="str">
        <f t="shared" si="716"/>
        <v/>
      </c>
      <c r="EK416" s="205">
        <f>IF($J416="",#N/A,SUM(EJ$4:EJ416))</f>
        <v>13.156552985368888</v>
      </c>
      <c r="EL416" s="205">
        <f>IF($J416="",#N/A,SUM(EJ$4:EJ416,EH$4:EH416,EF$4:EF416))</f>
        <v>10.30250324294896</v>
      </c>
      <c r="EM416" s="200" t="str">
        <f t="shared" si="717"/>
        <v/>
      </c>
      <c r="EN416" s="203">
        <f>IF($J416="",#N/A,SUM(EM$4:EM416))</f>
        <v>0</v>
      </c>
      <c r="EO416" s="204" t="str">
        <f t="shared" si="718"/>
        <v/>
      </c>
      <c r="EP416" s="204">
        <f>IF($J416="",#N/A,SUM(EO$4:EO416))</f>
        <v>2.4788862078089964</v>
      </c>
      <c r="EQ416" s="205" t="str">
        <f t="shared" si="719"/>
        <v/>
      </c>
      <c r="ER416" s="205">
        <f>IF($J416="",#N/A,SUM(EQ$4:EQ416))</f>
        <v>1.7856049065476487</v>
      </c>
      <c r="ES416" s="205">
        <f>IF($J416="",#N/A,SUM(EQ$4:EQ416,EO$4:EO416,EM$4:EM416))</f>
        <v>4.2644911143566446</v>
      </c>
      <c r="ET416" s="200" t="str">
        <f t="shared" si="720"/>
        <v/>
      </c>
      <c r="EU416" s="203">
        <f>IF($J416="",#N/A,SUM(ET$4:ET416))</f>
        <v>-0.56361328049859927</v>
      </c>
      <c r="EV416" s="204" t="str">
        <f t="shared" si="721"/>
        <v/>
      </c>
      <c r="EW416" s="204">
        <f>IF($J416="",#N/A,SUM(EV$4:EV416))</f>
        <v>7.9116394275462909E-2</v>
      </c>
      <c r="EX416" s="205" t="str">
        <f t="shared" si="722"/>
        <v/>
      </c>
      <c r="EY416" s="205">
        <f>IF($J416="",#N/A,SUM(EX$4:EX416))</f>
        <v>0.62848633887309935</v>
      </c>
      <c r="EZ416" s="205">
        <f>IF($J416="",#N/A,SUM(EX$4:EX416,EV$4:EV416,ET$4:ET416))</f>
        <v>0.14398945264996266</v>
      </c>
      <c r="FA416" s="200" t="str">
        <f t="shared" si="723"/>
        <v/>
      </c>
      <c r="FB416" s="203">
        <f>IF($J416="",#N/A,SUM(FA$4:FA416))</f>
        <v>-0.27145310509113252</v>
      </c>
      <c r="FC416" s="204" t="str">
        <f t="shared" si="724"/>
        <v/>
      </c>
      <c r="FD416" s="204">
        <f>IF($J416="",#N/A,SUM(FC$4:FC416))</f>
        <v>0.89084290967454072</v>
      </c>
      <c r="FE416" s="205" t="str">
        <f t="shared" si="725"/>
        <v/>
      </c>
      <c r="FF416" s="205">
        <f>IF($J416="",#N/A,SUM(FE$4:FE416))</f>
        <v>-0.28811149078748233</v>
      </c>
      <c r="FG416" s="205">
        <f>IF($J416="",#N/A,SUM(FE$4:FE416,FC$4:FC416,FA$4:FA416))</f>
        <v>0.3312783137959262</v>
      </c>
      <c r="FH416" s="200" t="str">
        <f t="shared" si="726"/>
        <v/>
      </c>
      <c r="FI416" s="203">
        <f>IF($J416="",#N/A,SUM(FH$4:FH416))</f>
        <v>0</v>
      </c>
      <c r="FJ416" s="204" t="str">
        <f t="shared" si="727"/>
        <v/>
      </c>
      <c r="FK416" s="204">
        <f>IF($J416="",#N/A,SUM(FJ$4:FJ416))</f>
        <v>0</v>
      </c>
      <c r="FL416" s="205" t="str">
        <f t="shared" si="728"/>
        <v/>
      </c>
      <c r="FM416" s="205">
        <f>IF($J416="",#N/A,SUM(FL$4:FL416))</f>
        <v>0</v>
      </c>
      <c r="FN416" s="205">
        <f>IF($J416="",#N/A,SUM(FL$4:FL416,FJ$4:FJ416,FH$4:FH416))</f>
        <v>0</v>
      </c>
      <c r="FO416" s="200" t="str">
        <f t="shared" si="729"/>
        <v/>
      </c>
      <c r="FP416" s="203">
        <f>IF($J416="",#N/A,SUM(FO$4:FO416))</f>
        <v>0</v>
      </c>
      <c r="FQ416" s="204" t="str">
        <f t="shared" si="730"/>
        <v/>
      </c>
      <c r="FR416" s="204">
        <f>IF($J416="",#N/A,SUM(FQ$4:FQ416))</f>
        <v>0</v>
      </c>
      <c r="FS416" s="205" t="str">
        <f t="shared" si="731"/>
        <v/>
      </c>
      <c r="FT416" s="205">
        <f>IF($J416="",#N/A,SUM(FS$4:FS416))</f>
        <v>0</v>
      </c>
      <c r="FU416" s="205">
        <f>IF($J416="",#N/A,SUM(FS$4:FS416,FQ$4:FQ416,FO$4:FO416))</f>
        <v>0</v>
      </c>
      <c r="FV416" s="200" t="str">
        <f t="shared" si="732"/>
        <v/>
      </c>
      <c r="FW416" s="203">
        <f>IF($J416="",#N/A,SUM(FV$4:FV416))</f>
        <v>6.6834991831277585E-2</v>
      </c>
      <c r="FX416" s="204" t="str">
        <f t="shared" si="733"/>
        <v/>
      </c>
      <c r="FY416" s="204">
        <f>IF($J416="",#N/A,SUM(FX$4:FX416))</f>
        <v>-0.16102012791805576</v>
      </c>
      <c r="FZ416" s="205" t="str">
        <f t="shared" si="734"/>
        <v/>
      </c>
      <c r="GA416" s="205">
        <f>IF($J416="",#N/A,SUM(FZ$4:FZ416))</f>
        <v>-0.69624339162892301</v>
      </c>
      <c r="GB416" s="205">
        <f>IF($J416="",#N/A,SUM(FZ$4:FZ416,FX$4:FX416,FV$4:FV416))</f>
        <v>-0.79042852771570116</v>
      </c>
      <c r="GC416" s="200" t="str">
        <f t="shared" si="735"/>
        <v/>
      </c>
      <c r="GD416" s="203">
        <f>IF($J416="",#N/A,SUM(GC$4:GC416))</f>
        <v>0</v>
      </c>
      <c r="GE416" s="204" t="str">
        <f t="shared" si="736"/>
        <v/>
      </c>
      <c r="GF416" s="204">
        <f>IF($J416="",#N/A,SUM(GE$4:GE416))</f>
        <v>0</v>
      </c>
      <c r="GG416" s="205" t="str">
        <f t="shared" si="737"/>
        <v/>
      </c>
      <c r="GH416" s="205">
        <f>IF($J416="",#N/A,SUM(GG$4:GG416))</f>
        <v>-2.9368362277223206</v>
      </c>
      <c r="GI416" s="205">
        <f>IF($J416="",#N/A,SUM(GG$4:GG416,GE$4:GE416,GC$4:GC416))</f>
        <v>-2.9368362277223206</v>
      </c>
      <c r="GJ416" s="200" t="str">
        <f t="shared" si="738"/>
        <v/>
      </c>
      <c r="GK416" s="203">
        <f>IF($J416="",#N/A,SUM(GJ$4:GJ416))</f>
        <v>0</v>
      </c>
      <c r="GL416" s="204" t="str">
        <f t="shared" si="739"/>
        <v/>
      </c>
      <c r="GM416" s="204">
        <f>IF($J416="",#N/A,SUM(GL$4:GL416))</f>
        <v>-2.0621307233432784</v>
      </c>
      <c r="GN416" s="205" t="str">
        <f t="shared" si="740"/>
        <v/>
      </c>
      <c r="GO416" s="205">
        <f>IF($J416="",#N/A,SUM(GN$4:GN416))</f>
        <v>0.79182748269313297</v>
      </c>
      <c r="GP416" s="205">
        <f>IF($J416="",#N/A,SUM(GN$4:GN416,GL$4:GL416,GJ$4:GJ416))</f>
        <v>-1.2703032406501453</v>
      </c>
      <c r="GS416" s="54">
        <f t="shared" si="759"/>
        <v>6.1354283576506137E-2</v>
      </c>
      <c r="GT416" s="54">
        <f>IF(GS416="",NA(),SUM($GS$4:GS416))</f>
        <v>16.099068142515826</v>
      </c>
      <c r="GU416" s="54">
        <f t="shared" si="741"/>
        <v>6.1354283576506137E-2</v>
      </c>
      <c r="GV416" s="54">
        <f>IF(GU416="",NA(),SUM($GU$4:GU416))</f>
        <v>-5.7534846958009025</v>
      </c>
      <c r="GW416" s="54" t="str">
        <f t="shared" si="742"/>
        <v/>
      </c>
      <c r="GX416" s="54" t="e">
        <f>IF(GW416="",NA(),SUM($GW$4:GW416))</f>
        <v>#N/A</v>
      </c>
      <c r="GY416" s="54" t="str">
        <f t="shared" si="743"/>
        <v/>
      </c>
      <c r="GZ416" s="54" t="e">
        <f>IF(GY416="",NA(),SUM($GY$4:GY416))</f>
        <v>#N/A</v>
      </c>
      <c r="HA416" s="54" t="str">
        <f t="shared" si="744"/>
        <v/>
      </c>
      <c r="HB416" s="54" t="e">
        <f>IF(HA416="",NA(),SUM($HA$4:HA416))</f>
        <v>#N/A</v>
      </c>
      <c r="HC416" s="54" t="str">
        <f t="shared" si="745"/>
        <v/>
      </c>
      <c r="HD416" s="54" t="e">
        <f>IF(HC416="",NA(),SUM($HC$4:HC416))</f>
        <v>#N/A</v>
      </c>
      <c r="HE416" s="54" t="str">
        <f t="shared" si="746"/>
        <v/>
      </c>
      <c r="HF416" s="54" t="e">
        <f>IF(HE416="",NA(),SUM($HE$4:HE416))</f>
        <v>#N/A</v>
      </c>
      <c r="HG416" s="54" t="str">
        <f t="shared" si="747"/>
        <v/>
      </c>
      <c r="HH416" s="54" t="e">
        <f>IF(HG416="",NA(),SUM($HG$4:HG416))</f>
        <v>#N/A</v>
      </c>
      <c r="HI416" s="172" t="str">
        <f t="shared" si="760"/>
        <v/>
      </c>
      <c r="HJ416" s="172">
        <f>IF($J416="",#N/A,SUM(HI$4:$HI416))</f>
        <v>-11.351618847522102</v>
      </c>
      <c r="HK416" s="54" t="str">
        <f t="shared" si="748"/>
        <v/>
      </c>
      <c r="HL416" s="54">
        <f>IF($J416="",#N/A,SUM($HK$4:HK416))</f>
        <v>7.6415354417754555</v>
      </c>
      <c r="HM416" s="54">
        <f t="shared" si="749"/>
        <v>0.16535727646838597</v>
      </c>
      <c r="HN416" s="54">
        <f>IF($J416="",#N/A,SUM($HM$4:HM416))</f>
        <v>3.2463818889234179</v>
      </c>
      <c r="HO416" s="54" t="str">
        <f t="shared" si="750"/>
        <v/>
      </c>
      <c r="HP416" s="54">
        <f>IF($J416="",#N/A,SUM($HO$4:HO416))</f>
        <v>-0.54613191784001369</v>
      </c>
      <c r="HQ416" s="54" t="str">
        <f t="shared" si="751"/>
        <v/>
      </c>
      <c r="HR416" s="54">
        <f>IF($J416="",#N/A,SUM($HQ$4:HQ416))</f>
        <v>-16.654569124430953</v>
      </c>
      <c r="HS416" s="54" t="str">
        <f t="shared" si="752"/>
        <v/>
      </c>
      <c r="HT416" s="54">
        <f>IF($J416="",#N/A,SUM($HS$4:HS416))</f>
        <v>14.660479149324726</v>
      </c>
      <c r="HU416" s="65">
        <f t="shared" si="753"/>
        <v>0.2267115600448921</v>
      </c>
      <c r="HV416" s="65">
        <f>IF($J416="",#N/A,SUM(HU$4:$HU416))</f>
        <v>6.3689535155151944</v>
      </c>
    </row>
    <row r="417" spans="1:230" x14ac:dyDescent="0.25">
      <c r="A417" s="59" t="s">
        <v>2416</v>
      </c>
      <c r="B417" s="289" t="str" cm="1">
        <f t="array" ref="B417">IFERROR(_xlfn.XLOOKUP(A417,Earnings!$B$2:$B$9984,LEFT(Earnings!$C$2:$C$9984,37)),"Can't Find Date***")</f>
        <v>on 6/24/25 Before Market Eastern Stan</v>
      </c>
      <c r="C417" s="230">
        <f t="shared" si="654"/>
        <v>3</v>
      </c>
      <c r="D417" s="220" t="str">
        <f>_xlfn.XLOOKUP(A417,[1]SP500!$A$2:$A$502,[1]SP500!$D$2:$D$502,"N")</f>
        <v>N</v>
      </c>
      <c r="E417" s="59" t="str">
        <f>IFERROR(_xlfn.XLOOKUP(A417,[1]SP500!$A$2:$A$655,[1]SP500!$B$2:$B$655),"")</f>
        <v>XLK</v>
      </c>
      <c r="F417" s="290">
        <v>45832</v>
      </c>
      <c r="G417" s="59" t="str">
        <f t="shared" si="655"/>
        <v>BMO</v>
      </c>
      <c r="H417" s="59" t="str">
        <f t="shared" si="656"/>
        <v>s</v>
      </c>
      <c r="I417" s="376">
        <v>127.6</v>
      </c>
      <c r="J417" s="125">
        <v>128.01</v>
      </c>
      <c r="K417" s="60">
        <f t="shared" si="657"/>
        <v>3.2131661442006002E-3</v>
      </c>
      <c r="L417" s="68">
        <f t="shared" si="658"/>
        <v>4.5099999999999909</v>
      </c>
      <c r="M417" s="62" t="e">
        <f t="shared" si="659"/>
        <v>#N/A</v>
      </c>
      <c r="N417" s="63">
        <f t="shared" si="660"/>
        <v>4.5099999999999909</v>
      </c>
      <c r="O417" s="62">
        <f>IF(N417="",#N/A,SUM($N$4:N417))</f>
        <v>231.24077189005277</v>
      </c>
      <c r="P417" s="64">
        <f t="shared" si="754"/>
        <v>5.3552769070010345E-2</v>
      </c>
      <c r="Q417" s="183">
        <f>IF($N417="",#N/A,SUM($P$4:P417))</f>
        <v>9.9226031502222227</v>
      </c>
      <c r="R417" s="279">
        <f t="shared" si="661"/>
        <v>0.15768448919105715</v>
      </c>
      <c r="S417" s="59" t="str">
        <f t="shared" si="662"/>
        <v>SW</v>
      </c>
      <c r="T417" s="59" t="s">
        <v>2828</v>
      </c>
      <c r="U417" s="61">
        <f t="shared" si="663"/>
        <v>127.6</v>
      </c>
      <c r="V417" s="61" t="s">
        <v>4460</v>
      </c>
      <c r="W417" s="142">
        <v>11</v>
      </c>
      <c r="X417" s="146">
        <f t="shared" si="664"/>
        <v>1403.6</v>
      </c>
      <c r="Y417" s="142">
        <f t="shared" si="665"/>
        <v>11</v>
      </c>
      <c r="Z417" s="143">
        <v>133.24</v>
      </c>
      <c r="AA417" s="63">
        <f t="shared" si="666"/>
        <v>62.040000000000191</v>
      </c>
      <c r="AB417" s="63">
        <f t="shared" si="667"/>
        <v>102.07999999999993</v>
      </c>
      <c r="AC417" s="125">
        <v>136.88</v>
      </c>
      <c r="AD417" s="148">
        <f t="shared" si="668"/>
        <v>102.07999999999993</v>
      </c>
      <c r="AE417" s="544">
        <f t="shared" si="669"/>
        <v>1.2121212121212113</v>
      </c>
      <c r="AF417" s="62">
        <f>IF($AC417="",#N/A,SUM(AD$4:AD417))</f>
        <v>316.07360046695112</v>
      </c>
      <c r="AG417" s="63">
        <f t="shared" si="670"/>
        <v>97.569999999999936</v>
      </c>
      <c r="AH417" s="61" t="s">
        <v>4471</v>
      </c>
      <c r="AI417" s="64">
        <f t="shared" si="671"/>
        <v>0.7366771159874631</v>
      </c>
      <c r="AJ417" s="420">
        <f>IF(AI417="",#N/A,SUM($AI$4:AI417))</f>
        <v>9.7649186610311656</v>
      </c>
      <c r="AK417" s="61">
        <f t="shared" si="672"/>
        <v>62.040000000000191</v>
      </c>
      <c r="AL417" s="421">
        <f>IF(AI417="",#N/A,IF(AH417="Skip",SUM($AK$4:AK417),SUM($AK$4:AK417)))</f>
        <v>325.74236927848119</v>
      </c>
      <c r="AM417" s="65">
        <f t="shared" si="755"/>
        <v>1.2121212121212113</v>
      </c>
      <c r="AN417" s="209"/>
      <c r="AO417" s="65">
        <f t="shared" si="673"/>
        <v>1.2121212121212113</v>
      </c>
      <c r="AP417" s="65">
        <f>IF($AC417="",#N/A,SUM(AO$4:AO417))</f>
        <v>5.9848672584168323</v>
      </c>
      <c r="AQ417" s="65" t="str">
        <f t="shared" si="674"/>
        <v/>
      </c>
      <c r="AR417" s="65">
        <f>IF($AC417="",#N/A,SUM(AQ$4:AQ417))</f>
        <v>-5.9937304657875314</v>
      </c>
      <c r="AS417" s="65" t="str">
        <f t="shared" si="675"/>
        <v/>
      </c>
      <c r="AT417" s="65">
        <f>IF($AC417="",#N/A,SUM(AS$4:AS417))</f>
        <v>7.5899379350070992</v>
      </c>
      <c r="AU417" s="57">
        <f t="shared" si="756"/>
        <v>102.07999999999993</v>
      </c>
      <c r="AV417" s="57">
        <f>IF($AC417="",#N/A,SUM(AU$4:AU417))</f>
        <v>197.17383890574638</v>
      </c>
      <c r="AW417" s="57" t="str">
        <f t="shared" si="757"/>
        <v/>
      </c>
      <c r="AX417" s="57">
        <f>IF($AC417="",#N/A,SUM(AW$4:AW417))</f>
        <v>-445.93743161597467</v>
      </c>
      <c r="AY417" s="57" t="str">
        <f t="shared" si="758"/>
        <v/>
      </c>
      <c r="AZ417" s="57">
        <f>IF($AC417="",#N/A,SUM(AY$4:AY417))</f>
        <v>564.8371931771793</v>
      </c>
      <c r="BA417" s="57">
        <f>IF(AD417="",#N/A,SUM($AD$4:AD417))</f>
        <v>316.07360046695112</v>
      </c>
      <c r="BC417" s="51" t="str">
        <f t="shared" si="676"/>
        <v/>
      </c>
      <c r="BD417" s="51" t="str">
        <f t="shared" si="677"/>
        <v/>
      </c>
      <c r="BE417" s="51">
        <f t="shared" si="678"/>
        <v>1</v>
      </c>
      <c r="BF417" s="51" t="str">
        <f t="shared" si="679"/>
        <v>Long</v>
      </c>
      <c r="BG417" s="51" t="str">
        <f t="shared" si="680"/>
        <v/>
      </c>
      <c r="BH417" s="51" t="str">
        <f t="shared" si="681"/>
        <v/>
      </c>
      <c r="BI417" s="51" t="str">
        <f t="shared" si="682"/>
        <v/>
      </c>
      <c r="BK417" s="65">
        <f t="shared" si="653"/>
        <v>-7.1935386229366433E-2</v>
      </c>
      <c r="BL417" s="65">
        <f t="shared" si="761"/>
        <v>-2.5623558618477774E-2</v>
      </c>
      <c r="BM417" s="65">
        <f>IFERROR(Q417/COUNTA($J$4:J417),#N/A)</f>
        <v>2.3967640459473968E-2</v>
      </c>
      <c r="BO417" s="489">
        <f>IF(J417="",#N/A,IF(S417="SW",(COUNTIFS(K$4:$K417,"&gt;0",S$4:$S417,"SW")/COUNTIF(S$4:$S417,"SW")),#N/A))</f>
        <v>0.5</v>
      </c>
      <c r="BP417" s="489" t="e">
        <f>IF($J417="",#N/A,IF($S417="DWN",(COUNTIFS($K$4:$K417,"&lt;0",$S$4:$S417,"DWN")/COUNTIF($S$4:$S417,"DWN")),#N/A))</f>
        <v>#N/A</v>
      </c>
      <c r="BQ417" s="489" t="e">
        <f>IF($J417="",#N/A,IF($S417="UP",(COUNTIFS($K$4:$K417,"&gt;0",$S$4:$S417,"UP")/COUNTIF($S$4:$S417,"UP")),#N/A))</f>
        <v>#N/A</v>
      </c>
      <c r="BR417" s="489">
        <f>IF(J417="",#N/A,COUNTIF($K$4:K417,"&gt;0")/COUNT($J$4:J417))</f>
        <v>0.47342995169082125</v>
      </c>
      <c r="BS417" s="65">
        <f t="shared" si="683"/>
        <v>5.3552769070010345E-2</v>
      </c>
      <c r="BT417" s="65" t="str">
        <f t="shared" si="684"/>
        <v/>
      </c>
      <c r="BU417" s="65" t="str">
        <f t="shared" si="685"/>
        <v/>
      </c>
      <c r="BV417" s="65" t="str">
        <f t="shared" si="686"/>
        <v/>
      </c>
      <c r="BW417" s="128" t="str">
        <f t="shared" si="687"/>
        <v/>
      </c>
      <c r="BX417" s="128">
        <f>IF($J417="",#N/A,SUM($BW$4:BW417))</f>
        <v>-683.33347337823261</v>
      </c>
      <c r="BY417" s="131" t="str">
        <f t="shared" si="688"/>
        <v/>
      </c>
      <c r="BZ417" s="131">
        <f>IF($J417="",#N/A,SUM($BY$4:BY417))</f>
        <v>596.94161346139413</v>
      </c>
      <c r="CA417" s="133">
        <f t="shared" si="689"/>
        <v>4.5099999999999909</v>
      </c>
      <c r="CB417" s="133">
        <f>IF($J417="",#N/A,SUM($CA$4:CA417))</f>
        <v>317.63263180689103</v>
      </c>
      <c r="CC417" s="194" t="str">
        <f t="shared" si="690"/>
        <v/>
      </c>
      <c r="CD417" s="194">
        <f>IF($J417="",#N/A,SUM($CC$4:CC417))</f>
        <v>-8.6939804368709357</v>
      </c>
      <c r="CE417" s="195" t="str">
        <f t="shared" si="691"/>
        <v/>
      </c>
      <c r="CF417" s="195">
        <f>IF($J417="",#N/A,SUM($CE$4:CE417))</f>
        <v>11.300021340753757</v>
      </c>
      <c r="CG417" s="196">
        <f t="shared" si="692"/>
        <v>5.3552769070010345E-2</v>
      </c>
      <c r="CH417" s="196">
        <f>IF($J417="",#N/A,SUM($CG$4:CG417))</f>
        <v>7.3165622463394149</v>
      </c>
      <c r="CI417" s="200" t="str">
        <f t="shared" si="693"/>
        <v/>
      </c>
      <c r="CJ417" s="203">
        <f>IF($J417="",#N/A,SUM(CI$4:CI417))</f>
        <v>0.40279467610514952</v>
      </c>
      <c r="CK417" s="204" t="str">
        <f t="shared" si="694"/>
        <v/>
      </c>
      <c r="CL417" s="204">
        <f>IF($J417="",#N/A,SUM(CK$4:CK417))</f>
        <v>2.0825010564889137</v>
      </c>
      <c r="CM417" s="205">
        <f t="shared" si="695"/>
        <v>5.3552769070010345E-2</v>
      </c>
      <c r="CN417" s="205">
        <f>IF($J417="",#N/A,SUM(CM$4:CM417))</f>
        <v>-0.83431524840310756</v>
      </c>
      <c r="CO417" s="205">
        <f>IF($J417="",#N/A,SUM(CM$4:CM417,CK$4:CK417,CI$4:CI417))</f>
        <v>1.6509804841909559</v>
      </c>
      <c r="CP417" s="200" t="str">
        <f t="shared" si="696"/>
        <v/>
      </c>
      <c r="CQ417" s="203">
        <f>IF($J417="",#N/A,SUM(CP$4:CP417))</f>
        <v>-2.7099780615005766</v>
      </c>
      <c r="CR417" s="204" t="str">
        <f t="shared" si="697"/>
        <v/>
      </c>
      <c r="CS417" s="204">
        <f>IF($J417="",#N/A,SUM(CR$4:CR417))</f>
        <v>3.2133390748971404</v>
      </c>
      <c r="CT417" s="205" t="str">
        <f t="shared" si="698"/>
        <v/>
      </c>
      <c r="CU417" s="205">
        <f>IF($J417="",#N/A,SUM(CT$4:CT417))</f>
        <v>-12.045896072422382</v>
      </c>
      <c r="CV417" s="205">
        <f>IF($J417="",#N/A,SUM(CT$4:CT417,CR$4:CR417,CP$4:CP417))</f>
        <v>-11.542535059025816</v>
      </c>
      <c r="CW417" s="200" t="str">
        <f t="shared" si="699"/>
        <v/>
      </c>
      <c r="CX417" s="203">
        <f>IF($J417="",#N/A,SUM(CW$4:CW417))</f>
        <v>-7.7830097399790894</v>
      </c>
      <c r="CY417" s="204" t="str">
        <f t="shared" si="700"/>
        <v/>
      </c>
      <c r="CZ417" s="204">
        <f>IF($J417="",#N/A,SUM(CY$4:CY417))</f>
        <v>-2.6367641712432155</v>
      </c>
      <c r="DA417" s="205" t="str">
        <f t="shared" si="701"/>
        <v/>
      </c>
      <c r="DB417" s="205">
        <f>IF($J417="",#N/A,SUM(DA$4:DA417))</f>
        <v>-1.3155870379734311</v>
      </c>
      <c r="DC417" s="205">
        <f>IF($J417="",#N/A,SUM(DA$4:DA417,CY$4:CY417,CW$4:CW417))</f>
        <v>-11.735360949195737</v>
      </c>
      <c r="DD417" s="200" t="str">
        <f t="shared" si="702"/>
        <v/>
      </c>
      <c r="DE417" s="203">
        <f>IF($J417="",#N/A,SUM(DD$4:DD417))</f>
        <v>2.1903002454447948</v>
      </c>
      <c r="DF417" s="204" t="str">
        <f t="shared" si="703"/>
        <v/>
      </c>
      <c r="DG417" s="204">
        <f>IF($J417="",#N/A,SUM(DF$4:DF417))</f>
        <v>3.7844462787298916</v>
      </c>
      <c r="DH417" s="205" t="str">
        <f t="shared" si="704"/>
        <v/>
      </c>
      <c r="DI417" s="205">
        <f>IF($J417="",#N/A,SUM(DH$4:DH417))</f>
        <v>1.1482786833538656</v>
      </c>
      <c r="DJ417" s="205">
        <f>IF($J417="",#N/A,SUM(DH$4:DH417,DF$4:DF417,DD$4:DD417))</f>
        <v>7.1230252075285527</v>
      </c>
      <c r="DK417" s="200" t="str">
        <f t="shared" si="705"/>
        <v/>
      </c>
      <c r="DL417" s="203">
        <f>IF($J417="",#N/A,SUM(DK$4:DK417))</f>
        <v>-0.84049791589649614</v>
      </c>
      <c r="DM417" s="204" t="str">
        <f t="shared" si="706"/>
        <v/>
      </c>
      <c r="DN417" s="204">
        <f>IF($J417="",#N/A,SUM(DM$4:DM417))</f>
        <v>1.8657648196498773</v>
      </c>
      <c r="DO417" s="205" t="str">
        <f t="shared" si="707"/>
        <v/>
      </c>
      <c r="DP417" s="205">
        <f>IF($J417="",#N/A,SUM(DO$4:DO417))</f>
        <v>3.4887162328793941</v>
      </c>
      <c r="DQ417" s="205">
        <f>IF($J417="",#N/A,SUM(DO$4:DO417,DM$4:DM417,DK$4:DK417))</f>
        <v>4.5139831366327758</v>
      </c>
      <c r="DR417" s="200" t="str">
        <f t="shared" si="708"/>
        <v/>
      </c>
      <c r="DS417" s="203">
        <f>IF($J417="",#N/A,SUM(DR$4:DR417))</f>
        <v>-0.55950946427675097</v>
      </c>
      <c r="DT417" s="204" t="str">
        <f t="shared" si="709"/>
        <v/>
      </c>
      <c r="DU417" s="204">
        <f>IF($J417="",#N/A,SUM(DT$4:DT417))</f>
        <v>-0.20750635820596686</v>
      </c>
      <c r="DV417" s="205" t="str">
        <f t="shared" si="710"/>
        <v/>
      </c>
      <c r="DW417" s="205">
        <f>IF($J417="",#N/A,SUM(DV$4:DV417))</f>
        <v>-2.3377035686214001</v>
      </c>
      <c r="DX417" s="205">
        <f>IF($J417="",#N/A,SUM(DV$4:DV417,DT$4:DT417,DR$4:DR417))</f>
        <v>-3.1047193911041169</v>
      </c>
      <c r="DY417" s="200" t="str">
        <f t="shared" si="711"/>
        <v/>
      </c>
      <c r="DZ417" s="203">
        <f>IF($J417="",#N/A,SUM(DY$4:DY417))</f>
        <v>0.24785202869748424</v>
      </c>
      <c r="EA417" s="204" t="str">
        <f t="shared" si="712"/>
        <v/>
      </c>
      <c r="EB417" s="204">
        <f>IF($J417="",#N/A,SUM(EA$4:EA417))</f>
        <v>4.3184391548878134</v>
      </c>
      <c r="EC417" s="205" t="str">
        <f t="shared" si="713"/>
        <v/>
      </c>
      <c r="ED417" s="205">
        <f>IF($J417="",#N/A,SUM(EC$4:EC417))</f>
        <v>8.4384553208490907</v>
      </c>
      <c r="EE417" s="205">
        <f>IF($J417="",#N/A,SUM(EC$4:EC417,EA$4:EA417,DY$4:DY417))</f>
        <v>13.00474650443439</v>
      </c>
      <c r="EF417" s="200" t="str">
        <f t="shared" si="714"/>
        <v/>
      </c>
      <c r="EG417" s="203">
        <f>IF($J417="",#N/A,SUM(EF$4:EF417))</f>
        <v>0.65848341369884777</v>
      </c>
      <c r="EH417" s="204" t="str">
        <f t="shared" si="715"/>
        <v/>
      </c>
      <c r="EI417" s="204">
        <f>IF($J417="",#N/A,SUM(EH$4:EH417))</f>
        <v>-3.5125331561187787</v>
      </c>
      <c r="EJ417" s="205" t="str">
        <f t="shared" si="716"/>
        <v/>
      </c>
      <c r="EK417" s="205">
        <f>IF($J417="",#N/A,SUM(EJ$4:EJ417))</f>
        <v>13.156552985368888</v>
      </c>
      <c r="EL417" s="205">
        <f>IF($J417="",#N/A,SUM(EJ$4:EJ417,EH$4:EH417,EF$4:EF417))</f>
        <v>10.30250324294896</v>
      </c>
      <c r="EM417" s="200" t="str">
        <f t="shared" si="717"/>
        <v/>
      </c>
      <c r="EN417" s="203">
        <f>IF($J417="",#N/A,SUM(EM$4:EM417))</f>
        <v>0</v>
      </c>
      <c r="EO417" s="204" t="str">
        <f t="shared" si="718"/>
        <v/>
      </c>
      <c r="EP417" s="204">
        <f>IF($J417="",#N/A,SUM(EO$4:EO417))</f>
        <v>2.4788862078089964</v>
      </c>
      <c r="EQ417" s="205" t="str">
        <f t="shared" si="719"/>
        <v/>
      </c>
      <c r="ER417" s="205">
        <f>IF($J417="",#N/A,SUM(EQ$4:EQ417))</f>
        <v>1.7856049065476487</v>
      </c>
      <c r="ES417" s="205">
        <f>IF($J417="",#N/A,SUM(EQ$4:EQ417,EO$4:EO417,EM$4:EM417))</f>
        <v>4.2644911143566446</v>
      </c>
      <c r="ET417" s="200" t="str">
        <f t="shared" si="720"/>
        <v/>
      </c>
      <c r="EU417" s="203">
        <f>IF($J417="",#N/A,SUM(ET$4:ET417))</f>
        <v>-0.56361328049859927</v>
      </c>
      <c r="EV417" s="204" t="str">
        <f t="shared" si="721"/>
        <v/>
      </c>
      <c r="EW417" s="204">
        <f>IF($J417="",#N/A,SUM(EV$4:EV417))</f>
        <v>7.9116394275462909E-2</v>
      </c>
      <c r="EX417" s="205" t="str">
        <f t="shared" si="722"/>
        <v/>
      </c>
      <c r="EY417" s="205">
        <f>IF($J417="",#N/A,SUM(EX$4:EX417))</f>
        <v>0.62848633887309935</v>
      </c>
      <c r="EZ417" s="205">
        <f>IF($J417="",#N/A,SUM(EX$4:EX417,EV$4:EV417,ET$4:ET417))</f>
        <v>0.14398945264996266</v>
      </c>
      <c r="FA417" s="200" t="str">
        <f t="shared" si="723"/>
        <v/>
      </c>
      <c r="FB417" s="203">
        <f>IF($J417="",#N/A,SUM(FA$4:FA417))</f>
        <v>-0.27145310509113252</v>
      </c>
      <c r="FC417" s="204" t="str">
        <f t="shared" si="724"/>
        <v/>
      </c>
      <c r="FD417" s="204">
        <f>IF($J417="",#N/A,SUM(FC$4:FC417))</f>
        <v>0.89084290967454072</v>
      </c>
      <c r="FE417" s="205" t="str">
        <f t="shared" si="725"/>
        <v/>
      </c>
      <c r="FF417" s="205">
        <f>IF($J417="",#N/A,SUM(FE$4:FE417))</f>
        <v>-0.28811149078748233</v>
      </c>
      <c r="FG417" s="205">
        <f>IF($J417="",#N/A,SUM(FE$4:FE417,FC$4:FC417,FA$4:FA417))</f>
        <v>0.3312783137959262</v>
      </c>
      <c r="FH417" s="200" t="str">
        <f t="shared" si="726"/>
        <v/>
      </c>
      <c r="FI417" s="203">
        <f>IF($J417="",#N/A,SUM(FH$4:FH417))</f>
        <v>0</v>
      </c>
      <c r="FJ417" s="204" t="str">
        <f t="shared" si="727"/>
        <v/>
      </c>
      <c r="FK417" s="204">
        <f>IF($J417="",#N/A,SUM(FJ$4:FJ417))</f>
        <v>0</v>
      </c>
      <c r="FL417" s="205" t="str">
        <f t="shared" si="728"/>
        <v/>
      </c>
      <c r="FM417" s="205">
        <f>IF($J417="",#N/A,SUM(FL$4:FL417))</f>
        <v>0</v>
      </c>
      <c r="FN417" s="205">
        <f>IF($J417="",#N/A,SUM(FL$4:FL417,FJ$4:FJ417,FH$4:FH417))</f>
        <v>0</v>
      </c>
      <c r="FO417" s="200" t="str">
        <f t="shared" si="729"/>
        <v/>
      </c>
      <c r="FP417" s="203">
        <f>IF($J417="",#N/A,SUM(FO$4:FO417))</f>
        <v>0</v>
      </c>
      <c r="FQ417" s="204" t="str">
        <f t="shared" si="730"/>
        <v/>
      </c>
      <c r="FR417" s="204">
        <f>IF($J417="",#N/A,SUM(FQ$4:FQ417))</f>
        <v>0</v>
      </c>
      <c r="FS417" s="205" t="str">
        <f t="shared" si="731"/>
        <v/>
      </c>
      <c r="FT417" s="205">
        <f>IF($J417="",#N/A,SUM(FS$4:FS417))</f>
        <v>0</v>
      </c>
      <c r="FU417" s="205">
        <f>IF($J417="",#N/A,SUM(FS$4:FS417,FQ$4:FQ417,FO$4:FO417))</f>
        <v>0</v>
      </c>
      <c r="FV417" s="200" t="str">
        <f t="shared" si="732"/>
        <v/>
      </c>
      <c r="FW417" s="203">
        <f>IF($J417="",#N/A,SUM(FV$4:FV417))</f>
        <v>6.6834991831277585E-2</v>
      </c>
      <c r="FX417" s="204" t="str">
        <f t="shared" si="733"/>
        <v/>
      </c>
      <c r="FY417" s="204">
        <f>IF($J417="",#N/A,SUM(FX$4:FX417))</f>
        <v>-0.16102012791805576</v>
      </c>
      <c r="FZ417" s="205" t="str">
        <f t="shared" si="734"/>
        <v/>
      </c>
      <c r="GA417" s="205">
        <f>IF($J417="",#N/A,SUM(FZ$4:FZ417))</f>
        <v>-0.69624339162892301</v>
      </c>
      <c r="GB417" s="205">
        <f>IF($J417="",#N/A,SUM(FZ$4:FZ417,FX$4:FX417,FV$4:FV417))</f>
        <v>-0.79042852771570116</v>
      </c>
      <c r="GC417" s="200" t="str">
        <f t="shared" si="735"/>
        <v/>
      </c>
      <c r="GD417" s="203">
        <f>IF($J417="",#N/A,SUM(GC$4:GC417))</f>
        <v>0</v>
      </c>
      <c r="GE417" s="204" t="str">
        <f t="shared" si="736"/>
        <v/>
      </c>
      <c r="GF417" s="204">
        <f>IF($J417="",#N/A,SUM(GE$4:GE417))</f>
        <v>0</v>
      </c>
      <c r="GG417" s="205" t="str">
        <f t="shared" si="737"/>
        <v/>
      </c>
      <c r="GH417" s="205">
        <f>IF($J417="",#N/A,SUM(GG$4:GG417))</f>
        <v>-2.9368362277223206</v>
      </c>
      <c r="GI417" s="205">
        <f>IF($J417="",#N/A,SUM(GG$4:GG417,GE$4:GE417,GC$4:GC417))</f>
        <v>-2.9368362277223206</v>
      </c>
      <c r="GJ417" s="200" t="str">
        <f t="shared" si="738"/>
        <v/>
      </c>
      <c r="GK417" s="203">
        <f>IF($J417="",#N/A,SUM(GJ$4:GJ417))</f>
        <v>0</v>
      </c>
      <c r="GL417" s="204" t="str">
        <f t="shared" si="739"/>
        <v/>
      </c>
      <c r="GM417" s="204">
        <f>IF($J417="",#N/A,SUM(GL$4:GL417))</f>
        <v>-2.0621307233432784</v>
      </c>
      <c r="GN417" s="205" t="str">
        <f t="shared" si="740"/>
        <v/>
      </c>
      <c r="GO417" s="205">
        <f>IF($J417="",#N/A,SUM(GN$4:GN417))</f>
        <v>0.79182748269313297</v>
      </c>
      <c r="GP417" s="205">
        <f>IF($J417="",#N/A,SUM(GN$4:GN417,GL$4:GL417,GJ$4:GJ417))</f>
        <v>-1.2703032406501453</v>
      </c>
      <c r="GS417" s="54" t="str">
        <f t="shared" si="759"/>
        <v/>
      </c>
      <c r="GT417" s="54" t="e">
        <f>IF(GS417="",NA(),SUM($GS$4:GS417))</f>
        <v>#N/A</v>
      </c>
      <c r="GU417" s="54" t="str">
        <f t="shared" si="741"/>
        <v/>
      </c>
      <c r="GV417" s="54" t="e">
        <f>IF(GU417="",NA(),SUM($GU$4:GU417))</f>
        <v>#N/A</v>
      </c>
      <c r="GW417" s="54" t="str">
        <f t="shared" si="742"/>
        <v/>
      </c>
      <c r="GX417" s="54" t="e">
        <f>IF(GW417="",NA(),SUM($GW$4:GW417))</f>
        <v>#N/A</v>
      </c>
      <c r="GY417" s="54" t="str">
        <f t="shared" si="743"/>
        <v/>
      </c>
      <c r="GZ417" s="54" t="e">
        <f>IF(GY417="",NA(),SUM($GY$4:GY417))</f>
        <v>#N/A</v>
      </c>
      <c r="HA417" s="54">
        <f t="shared" si="744"/>
        <v>5.3552769070010345E-2</v>
      </c>
      <c r="HB417" s="54">
        <f>IF(HA417="",NA(),SUM($HA$4:HA417))</f>
        <v>-6.1764649922935986</v>
      </c>
      <c r="HC417" s="54" t="str">
        <f t="shared" si="745"/>
        <v/>
      </c>
      <c r="HD417" s="54" t="e">
        <f>IF(HC417="",NA(),SUM($HC$4:HC417))</f>
        <v>#N/A</v>
      </c>
      <c r="HE417" s="54">
        <f t="shared" si="746"/>
        <v>5.3552769070010345E-2</v>
      </c>
      <c r="HF417" s="54">
        <f>IF(HE417="",NA(),SUM($HE$4:HE417))</f>
        <v>-3.3260648729534212</v>
      </c>
      <c r="HG417" s="54" t="str">
        <f t="shared" si="747"/>
        <v/>
      </c>
      <c r="HH417" s="54" t="e">
        <f>IF(HG417="",NA(),SUM($HG$4:HG417))</f>
        <v>#N/A</v>
      </c>
      <c r="HI417" s="172" t="str">
        <f t="shared" si="760"/>
        <v/>
      </c>
      <c r="HJ417" s="172">
        <f>IF($J417="",#N/A,SUM(HI$4:$HI417))</f>
        <v>-11.351618847522102</v>
      </c>
      <c r="HK417" s="54" t="str">
        <f t="shared" si="748"/>
        <v/>
      </c>
      <c r="HL417" s="54">
        <f>IF($J417="",#N/A,SUM($HK$4:HK417))</f>
        <v>7.6415354417754555</v>
      </c>
      <c r="HM417" s="54" t="str">
        <f t="shared" si="749"/>
        <v/>
      </c>
      <c r="HN417" s="54">
        <f>IF($J417="",#N/A,SUM($HM$4:HM417))</f>
        <v>3.2463818889234179</v>
      </c>
      <c r="HO417" s="54" t="str">
        <f t="shared" si="750"/>
        <v/>
      </c>
      <c r="HP417" s="54">
        <f>IF($J417="",#N/A,SUM($HO$4:HO417))</f>
        <v>-0.54613191784001369</v>
      </c>
      <c r="HQ417" s="54">
        <f t="shared" si="751"/>
        <v>1.1585684430512009</v>
      </c>
      <c r="HR417" s="54">
        <f>IF($J417="",#N/A,SUM($HQ$4:HQ417))</f>
        <v>-15.496000681379751</v>
      </c>
      <c r="HS417" s="54" t="str">
        <f t="shared" si="752"/>
        <v/>
      </c>
      <c r="HT417" s="54">
        <f>IF($J417="",#N/A,SUM($HS$4:HS417))</f>
        <v>14.660479149324726</v>
      </c>
      <c r="HU417" s="65">
        <f t="shared" si="753"/>
        <v>1.2121212121212113</v>
      </c>
      <c r="HV417" s="65">
        <f>IF($J417="",#N/A,SUM(HU$4:$HU417))</f>
        <v>7.5810747276364054</v>
      </c>
    </row>
    <row r="418" spans="1:230" ht="15.75" thickBot="1" x14ac:dyDescent="0.3">
      <c r="A418" s="292" t="s">
        <v>1456</v>
      </c>
      <c r="B418" s="293" t="str" cm="1">
        <f t="array" ref="B418">IFERROR(_xlfn.XLOOKUP(A418,Earnings!$B$2:$B$9984,LEFT(Earnings!$C$2:$C$9984,37)),"Can't Find Date***")</f>
        <v>on 6/24/25 Before Market Eastern Stan</v>
      </c>
      <c r="C418" s="294">
        <f t="shared" si="654"/>
        <v>3</v>
      </c>
      <c r="D418" s="295" t="str">
        <f>_xlfn.XLOOKUP(A418,[1]SP500!$A$2:$A$502,[1]SP500!$D$2:$D$502,"N")</f>
        <v>Y</v>
      </c>
      <c r="E418" s="292" t="str">
        <f>IFERROR(_xlfn.XLOOKUP(A418,[1]SP500!$A$2:$A$655,[1]SP500!$B$2:$B$655),"")</f>
        <v>XLY</v>
      </c>
      <c r="F418" s="296">
        <v>45832</v>
      </c>
      <c r="G418" s="292" t="str">
        <f t="shared" si="655"/>
        <v>BMO</v>
      </c>
      <c r="H418" s="292" t="str">
        <f t="shared" si="656"/>
        <v>s</v>
      </c>
      <c r="I418" s="345">
        <v>24.04</v>
      </c>
      <c r="J418" s="297">
        <v>25.07</v>
      </c>
      <c r="K418" s="298">
        <f t="shared" si="657"/>
        <v>4.2845257903494229E-2</v>
      </c>
      <c r="L418" s="299">
        <f t="shared" si="658"/>
        <v>61.800000000000182</v>
      </c>
      <c r="M418" s="300">
        <f t="shared" si="659"/>
        <v>-4.2000000000000455</v>
      </c>
      <c r="N418" s="341">
        <f t="shared" si="660"/>
        <v>61.800000000000182</v>
      </c>
      <c r="O418" s="300">
        <f>IF(N418="",#N/A,SUM($N$4:N418))</f>
        <v>293.04077189005295</v>
      </c>
      <c r="P418" s="305">
        <f t="shared" si="754"/>
        <v>0.71408763172490519</v>
      </c>
      <c r="Q418" s="304">
        <f>IF($N418="",#N/A,SUM($P$4:P418))</f>
        <v>10.636690781947127</v>
      </c>
      <c r="R418" s="307">
        <f t="shared" si="661"/>
        <v>0.20621471658983737</v>
      </c>
      <c r="S418" s="292" t="str">
        <f t="shared" si="662"/>
        <v>SW</v>
      </c>
      <c r="T418" s="292" t="s">
        <v>2828</v>
      </c>
      <c r="U418" s="308">
        <f t="shared" si="663"/>
        <v>24.04</v>
      </c>
      <c r="V418" s="308" t="s">
        <v>4460</v>
      </c>
      <c r="W418" s="310">
        <v>60</v>
      </c>
      <c r="X418" s="309">
        <f t="shared" si="664"/>
        <v>1442.3999999999999</v>
      </c>
      <c r="Y418" s="310">
        <f t="shared" si="665"/>
        <v>60</v>
      </c>
      <c r="Z418" s="311">
        <v>25</v>
      </c>
      <c r="AA418" s="341">
        <f t="shared" si="666"/>
        <v>57.600000000000136</v>
      </c>
      <c r="AB418" s="341">
        <f t="shared" si="667"/>
        <v>99.600000000000136</v>
      </c>
      <c r="AC418" s="313">
        <v>25.7</v>
      </c>
      <c r="AD418" s="301">
        <f t="shared" si="668"/>
        <v>99.600000000000136</v>
      </c>
      <c r="AE418" s="546">
        <f t="shared" si="669"/>
        <v>1.1508596783139231</v>
      </c>
      <c r="AF418" s="300">
        <f>IF($AC418="",#N/A,SUM(AD$4:AD418))</f>
        <v>415.67360046695126</v>
      </c>
      <c r="AG418" s="341">
        <f t="shared" si="670"/>
        <v>37.799999999999955</v>
      </c>
      <c r="AH418" s="308" t="s">
        <v>2507</v>
      </c>
      <c r="AI418" s="305">
        <f t="shared" si="671"/>
        <v>0.66555740432612487</v>
      </c>
      <c r="AJ418" s="418">
        <f>IF(AI418="",#N/A,SUM($AI$4:AI418))</f>
        <v>10.43047606535729</v>
      </c>
      <c r="AK418" s="308">
        <f t="shared" si="672"/>
        <v>57.600000000000136</v>
      </c>
      <c r="AL418" s="406">
        <f>IF(AI418="",#N/A,IF(AH418="Skip",SUM($AK$4:AK418),SUM($AK$4:AK418)))</f>
        <v>383.34236927848133</v>
      </c>
      <c r="AM418" s="65">
        <f t="shared" si="755"/>
        <v>1.1508596783139231</v>
      </c>
      <c r="AN418" s="209"/>
      <c r="AO418" s="65">
        <f t="shared" si="673"/>
        <v>1.1508596783139231</v>
      </c>
      <c r="AP418" s="65">
        <f>IF($AC418="",#N/A,SUM(AO$4:AO418))</f>
        <v>7.1357269367307552</v>
      </c>
      <c r="AQ418" s="65" t="str">
        <f t="shared" si="674"/>
        <v/>
      </c>
      <c r="AR418" s="65">
        <f>IF($AC418="",#N/A,SUM(AQ$4:AQ418))</f>
        <v>-5.9937304657875314</v>
      </c>
      <c r="AS418" s="65" t="str">
        <f t="shared" si="675"/>
        <v/>
      </c>
      <c r="AT418" s="65">
        <f>IF($AC418="",#N/A,SUM(AS$4:AS418))</f>
        <v>7.5899379350070992</v>
      </c>
      <c r="AU418" s="57">
        <f t="shared" si="756"/>
        <v>99.600000000000136</v>
      </c>
      <c r="AV418" s="57">
        <f>IF($AC418="",#N/A,SUM(AU$4:AU418))</f>
        <v>296.77383890574652</v>
      </c>
      <c r="AW418" s="57" t="str">
        <f t="shared" si="757"/>
        <v/>
      </c>
      <c r="AX418" s="57">
        <f>IF($AC418="",#N/A,SUM(AW$4:AW418))</f>
        <v>-445.93743161597467</v>
      </c>
      <c r="AY418" s="57" t="str">
        <f t="shared" si="758"/>
        <v/>
      </c>
      <c r="AZ418" s="57">
        <f>IF($AC418="",#N/A,SUM(AY$4:AY418))</f>
        <v>564.8371931771793</v>
      </c>
      <c r="BA418" s="57">
        <f>IF(AD418="",#N/A,SUM($AD$4:AD418))</f>
        <v>415.67360046695126</v>
      </c>
      <c r="BC418" s="51" t="str">
        <f t="shared" si="676"/>
        <v/>
      </c>
      <c r="BD418" s="51" t="str">
        <f t="shared" si="677"/>
        <v/>
      </c>
      <c r="BE418" s="51">
        <f t="shared" si="678"/>
        <v>1</v>
      </c>
      <c r="BF418" s="51" t="str">
        <f t="shared" si="679"/>
        <v>Long</v>
      </c>
      <c r="BG418" s="51" t="str">
        <f t="shared" si="680"/>
        <v/>
      </c>
      <c r="BH418" s="51" t="str">
        <f t="shared" si="681"/>
        <v/>
      </c>
      <c r="BI418" s="51" t="str">
        <f t="shared" si="682"/>
        <v/>
      </c>
      <c r="BK418" s="65">
        <f t="shared" si="653"/>
        <v>-4.4918306906053224E-2</v>
      </c>
      <c r="BL418" s="65">
        <f t="shared" si="761"/>
        <v>-7.0350869474409453E-2</v>
      </c>
      <c r="BM418" s="65">
        <f>IFERROR(Q418/COUNTA($J$4:J418),#N/A)</f>
        <v>2.5630580197462956E-2</v>
      </c>
      <c r="BO418" s="489">
        <f>IF(J418="",#N/A,IF(S418="SW",(COUNTIFS(K$4:$K418,"&gt;0",S$4:$S418,"SW")/COUNTIF(S$4:$S418,"SW")),#N/A))</f>
        <v>0.50248756218905477</v>
      </c>
      <c r="BP418" s="489" t="e">
        <f>IF($J418="",#N/A,IF($S418="DWN",(COUNTIFS($K$4:$K418,"&lt;0",$S$4:$S418,"DWN")/COUNTIF($S$4:$S418,"DWN")),#N/A))</f>
        <v>#N/A</v>
      </c>
      <c r="BQ418" s="489" t="e">
        <f>IF($J418="",#N/A,IF($S418="UP",(COUNTIFS($K$4:$K418,"&gt;0",$S$4:$S418,"UP")/COUNTIF($S$4:$S418,"UP")),#N/A))</f>
        <v>#N/A</v>
      </c>
      <c r="BR418" s="489">
        <f>IF(J418="",#N/A,COUNTIF($K$4:K418,"&gt;0")/COUNT($J$4:J418))</f>
        <v>0.47469879518072289</v>
      </c>
      <c r="BS418" s="65">
        <f t="shared" si="683"/>
        <v>0.71408763172490519</v>
      </c>
      <c r="BT418" s="65" t="str">
        <f t="shared" si="684"/>
        <v/>
      </c>
      <c r="BU418" s="65" t="str">
        <f t="shared" si="685"/>
        <v/>
      </c>
      <c r="BV418" s="65" t="str">
        <f t="shared" si="686"/>
        <v/>
      </c>
      <c r="BW418" s="128" t="str">
        <f t="shared" si="687"/>
        <v/>
      </c>
      <c r="BX418" s="128">
        <f>IF($J418="",#N/A,SUM($BW$4:BW418))</f>
        <v>-683.33347337823261</v>
      </c>
      <c r="BY418" s="131" t="str">
        <f t="shared" si="688"/>
        <v/>
      </c>
      <c r="BZ418" s="131">
        <f>IF($J418="",#N/A,SUM($BY$4:BY418))</f>
        <v>596.94161346139413</v>
      </c>
      <c r="CA418" s="133">
        <f t="shared" si="689"/>
        <v>61.800000000000182</v>
      </c>
      <c r="CB418" s="133">
        <f>IF($J418="",#N/A,SUM($CA$4:CA418))</f>
        <v>379.43263180689121</v>
      </c>
      <c r="CC418" s="194" t="str">
        <f t="shared" si="690"/>
        <v/>
      </c>
      <c r="CD418" s="194">
        <f>IF($J418="",#N/A,SUM($CC$4:CC418))</f>
        <v>-8.6939804368709357</v>
      </c>
      <c r="CE418" s="195" t="str">
        <f t="shared" si="691"/>
        <v/>
      </c>
      <c r="CF418" s="195">
        <f>IF($J418="",#N/A,SUM($CE$4:CE418))</f>
        <v>11.300021340753757</v>
      </c>
      <c r="CG418" s="196">
        <f t="shared" si="692"/>
        <v>0.71408763172490519</v>
      </c>
      <c r="CH418" s="196">
        <f>IF($J418="",#N/A,SUM($CG$4:CG418))</f>
        <v>8.0306498780643203</v>
      </c>
      <c r="CI418" s="200" t="str">
        <f t="shared" si="693"/>
        <v/>
      </c>
      <c r="CJ418" s="203">
        <f>IF($J418="",#N/A,SUM(CI$4:CI418))</f>
        <v>0.40279467610514952</v>
      </c>
      <c r="CK418" s="204" t="str">
        <f t="shared" si="694"/>
        <v/>
      </c>
      <c r="CL418" s="204">
        <f>IF($J418="",#N/A,SUM(CK$4:CK418))</f>
        <v>2.0825010564889137</v>
      </c>
      <c r="CM418" s="205" t="str">
        <f t="shared" si="695"/>
        <v/>
      </c>
      <c r="CN418" s="205">
        <f>IF($J418="",#N/A,SUM(CM$4:CM418))</f>
        <v>-0.83431524840310756</v>
      </c>
      <c r="CO418" s="205">
        <f>IF($J418="",#N/A,SUM(CM$4:CM418,CK$4:CK418,CI$4:CI418))</f>
        <v>1.6509804841909559</v>
      </c>
      <c r="CP418" s="200" t="str">
        <f t="shared" si="696"/>
        <v/>
      </c>
      <c r="CQ418" s="203">
        <f>IF($J418="",#N/A,SUM(CP$4:CP418))</f>
        <v>-2.7099780615005766</v>
      </c>
      <c r="CR418" s="204" t="str">
        <f t="shared" si="697"/>
        <v/>
      </c>
      <c r="CS418" s="204">
        <f>IF($J418="",#N/A,SUM(CR$4:CR418))</f>
        <v>3.2133390748971404</v>
      </c>
      <c r="CT418" s="205" t="str">
        <f t="shared" si="698"/>
        <v/>
      </c>
      <c r="CU418" s="205">
        <f>IF($J418="",#N/A,SUM(CT$4:CT418))</f>
        <v>-12.045896072422382</v>
      </c>
      <c r="CV418" s="205">
        <f>IF($J418="",#N/A,SUM(CT$4:CT418,CR$4:CR418,CP$4:CP418))</f>
        <v>-11.542535059025816</v>
      </c>
      <c r="CW418" s="200" t="str">
        <f t="shared" si="699"/>
        <v/>
      </c>
      <c r="CX418" s="203">
        <f>IF($J418="",#N/A,SUM(CW$4:CW418))</f>
        <v>-7.7830097399790894</v>
      </c>
      <c r="CY418" s="204" t="str">
        <f t="shared" si="700"/>
        <v/>
      </c>
      <c r="CZ418" s="204">
        <f>IF($J418="",#N/A,SUM(CY$4:CY418))</f>
        <v>-2.6367641712432155</v>
      </c>
      <c r="DA418" s="205">
        <f t="shared" si="701"/>
        <v>0.71408763172490519</v>
      </c>
      <c r="DB418" s="205">
        <f>IF($J418="",#N/A,SUM(DA$4:DA418))</f>
        <v>-0.60149940624852594</v>
      </c>
      <c r="DC418" s="205">
        <f>IF($J418="",#N/A,SUM(DA$4:DA418,CY$4:CY418,CW$4:CW418))</f>
        <v>-11.021273317470831</v>
      </c>
      <c r="DD418" s="200" t="str">
        <f t="shared" si="702"/>
        <v/>
      </c>
      <c r="DE418" s="203">
        <f>IF($J418="",#N/A,SUM(DD$4:DD418))</f>
        <v>2.1903002454447948</v>
      </c>
      <c r="DF418" s="204" t="str">
        <f t="shared" si="703"/>
        <v/>
      </c>
      <c r="DG418" s="204">
        <f>IF($J418="",#N/A,SUM(DF$4:DF418))</f>
        <v>3.7844462787298916</v>
      </c>
      <c r="DH418" s="205" t="str">
        <f t="shared" si="704"/>
        <v/>
      </c>
      <c r="DI418" s="205">
        <f>IF($J418="",#N/A,SUM(DH$4:DH418))</f>
        <v>1.1482786833538656</v>
      </c>
      <c r="DJ418" s="205">
        <f>IF($J418="",#N/A,SUM(DH$4:DH418,DF$4:DF418,DD$4:DD418))</f>
        <v>7.1230252075285527</v>
      </c>
      <c r="DK418" s="200" t="str">
        <f t="shared" si="705"/>
        <v/>
      </c>
      <c r="DL418" s="203">
        <f>IF($J418="",#N/A,SUM(DK$4:DK418))</f>
        <v>-0.84049791589649614</v>
      </c>
      <c r="DM418" s="204" t="str">
        <f t="shared" si="706"/>
        <v/>
      </c>
      <c r="DN418" s="204">
        <f>IF($J418="",#N/A,SUM(DM$4:DM418))</f>
        <v>1.8657648196498773</v>
      </c>
      <c r="DO418" s="205" t="str">
        <f t="shared" si="707"/>
        <v/>
      </c>
      <c r="DP418" s="205">
        <f>IF($J418="",#N/A,SUM(DO$4:DO418))</f>
        <v>3.4887162328793941</v>
      </c>
      <c r="DQ418" s="205">
        <f>IF($J418="",#N/A,SUM(DO$4:DO418,DM$4:DM418,DK$4:DK418))</f>
        <v>4.5139831366327758</v>
      </c>
      <c r="DR418" s="200" t="str">
        <f t="shared" si="708"/>
        <v/>
      </c>
      <c r="DS418" s="203">
        <f>IF($J418="",#N/A,SUM(DR$4:DR418))</f>
        <v>-0.55950946427675097</v>
      </c>
      <c r="DT418" s="204" t="str">
        <f t="shared" si="709"/>
        <v/>
      </c>
      <c r="DU418" s="204">
        <f>IF($J418="",#N/A,SUM(DT$4:DT418))</f>
        <v>-0.20750635820596686</v>
      </c>
      <c r="DV418" s="205" t="str">
        <f t="shared" si="710"/>
        <v/>
      </c>
      <c r="DW418" s="205">
        <f>IF($J418="",#N/A,SUM(DV$4:DV418))</f>
        <v>-2.3377035686214001</v>
      </c>
      <c r="DX418" s="205">
        <f>IF($J418="",#N/A,SUM(DV$4:DV418,DT$4:DT418,DR$4:DR418))</f>
        <v>-3.1047193911041169</v>
      </c>
      <c r="DY418" s="200" t="str">
        <f t="shared" si="711"/>
        <v/>
      </c>
      <c r="DZ418" s="203">
        <f>IF($J418="",#N/A,SUM(DY$4:DY418))</f>
        <v>0.24785202869748424</v>
      </c>
      <c r="EA418" s="204" t="str">
        <f t="shared" si="712"/>
        <v/>
      </c>
      <c r="EB418" s="204">
        <f>IF($J418="",#N/A,SUM(EA$4:EA418))</f>
        <v>4.3184391548878134</v>
      </c>
      <c r="EC418" s="205" t="str">
        <f t="shared" si="713"/>
        <v/>
      </c>
      <c r="ED418" s="205">
        <f>IF($J418="",#N/A,SUM(EC$4:EC418))</f>
        <v>8.4384553208490907</v>
      </c>
      <c r="EE418" s="205">
        <f>IF($J418="",#N/A,SUM(EC$4:EC418,EA$4:EA418,DY$4:DY418))</f>
        <v>13.00474650443439</v>
      </c>
      <c r="EF418" s="200" t="str">
        <f t="shared" si="714"/>
        <v/>
      </c>
      <c r="EG418" s="203">
        <f>IF($J418="",#N/A,SUM(EF$4:EF418))</f>
        <v>0.65848341369884777</v>
      </c>
      <c r="EH418" s="204" t="str">
        <f t="shared" si="715"/>
        <v/>
      </c>
      <c r="EI418" s="204">
        <f>IF($J418="",#N/A,SUM(EH$4:EH418))</f>
        <v>-3.5125331561187787</v>
      </c>
      <c r="EJ418" s="205" t="str">
        <f t="shared" si="716"/>
        <v/>
      </c>
      <c r="EK418" s="205">
        <f>IF($J418="",#N/A,SUM(EJ$4:EJ418))</f>
        <v>13.156552985368888</v>
      </c>
      <c r="EL418" s="205">
        <f>IF($J418="",#N/A,SUM(EJ$4:EJ418,EH$4:EH418,EF$4:EF418))</f>
        <v>10.30250324294896</v>
      </c>
      <c r="EM418" s="200" t="str">
        <f t="shared" si="717"/>
        <v/>
      </c>
      <c r="EN418" s="203">
        <f>IF($J418="",#N/A,SUM(EM$4:EM418))</f>
        <v>0</v>
      </c>
      <c r="EO418" s="204" t="str">
        <f t="shared" si="718"/>
        <v/>
      </c>
      <c r="EP418" s="204">
        <f>IF($J418="",#N/A,SUM(EO$4:EO418))</f>
        <v>2.4788862078089964</v>
      </c>
      <c r="EQ418" s="205" t="str">
        <f t="shared" si="719"/>
        <v/>
      </c>
      <c r="ER418" s="205">
        <f>IF($J418="",#N/A,SUM(EQ$4:EQ418))</f>
        <v>1.7856049065476487</v>
      </c>
      <c r="ES418" s="205">
        <f>IF($J418="",#N/A,SUM(EQ$4:EQ418,EO$4:EO418,EM$4:EM418))</f>
        <v>4.2644911143566446</v>
      </c>
      <c r="ET418" s="200" t="str">
        <f t="shared" si="720"/>
        <v/>
      </c>
      <c r="EU418" s="203">
        <f>IF($J418="",#N/A,SUM(ET$4:ET418))</f>
        <v>-0.56361328049859927</v>
      </c>
      <c r="EV418" s="204" t="str">
        <f t="shared" si="721"/>
        <v/>
      </c>
      <c r="EW418" s="204">
        <f>IF($J418="",#N/A,SUM(EV$4:EV418))</f>
        <v>7.9116394275462909E-2</v>
      </c>
      <c r="EX418" s="205" t="str">
        <f t="shared" si="722"/>
        <v/>
      </c>
      <c r="EY418" s="205">
        <f>IF($J418="",#N/A,SUM(EX$4:EX418))</f>
        <v>0.62848633887309935</v>
      </c>
      <c r="EZ418" s="205">
        <f>IF($J418="",#N/A,SUM(EX$4:EX418,EV$4:EV418,ET$4:ET418))</f>
        <v>0.14398945264996266</v>
      </c>
      <c r="FA418" s="200" t="str">
        <f t="shared" si="723"/>
        <v/>
      </c>
      <c r="FB418" s="203">
        <f>IF($J418="",#N/A,SUM(FA$4:FA418))</f>
        <v>-0.27145310509113252</v>
      </c>
      <c r="FC418" s="204" t="str">
        <f t="shared" si="724"/>
        <v/>
      </c>
      <c r="FD418" s="204">
        <f>IF($J418="",#N/A,SUM(FC$4:FC418))</f>
        <v>0.89084290967454072</v>
      </c>
      <c r="FE418" s="205" t="str">
        <f t="shared" si="725"/>
        <v/>
      </c>
      <c r="FF418" s="205">
        <f>IF($J418="",#N/A,SUM(FE$4:FE418))</f>
        <v>-0.28811149078748233</v>
      </c>
      <c r="FG418" s="205">
        <f>IF($J418="",#N/A,SUM(FE$4:FE418,FC$4:FC418,FA$4:FA418))</f>
        <v>0.3312783137959262</v>
      </c>
      <c r="FH418" s="200" t="str">
        <f t="shared" si="726"/>
        <v/>
      </c>
      <c r="FI418" s="203">
        <f>IF($J418="",#N/A,SUM(FH$4:FH418))</f>
        <v>0</v>
      </c>
      <c r="FJ418" s="204" t="str">
        <f t="shared" si="727"/>
        <v/>
      </c>
      <c r="FK418" s="204">
        <f>IF($J418="",#N/A,SUM(FJ$4:FJ418))</f>
        <v>0</v>
      </c>
      <c r="FL418" s="205" t="str">
        <f t="shared" si="728"/>
        <v/>
      </c>
      <c r="FM418" s="205">
        <f>IF($J418="",#N/A,SUM(FL$4:FL418))</f>
        <v>0</v>
      </c>
      <c r="FN418" s="205">
        <f>IF($J418="",#N/A,SUM(FL$4:FL418,FJ$4:FJ418,FH$4:FH418))</f>
        <v>0</v>
      </c>
      <c r="FO418" s="200" t="str">
        <f t="shared" si="729"/>
        <v/>
      </c>
      <c r="FP418" s="203">
        <f>IF($J418="",#N/A,SUM(FO$4:FO418))</f>
        <v>0</v>
      </c>
      <c r="FQ418" s="204" t="str">
        <f t="shared" si="730"/>
        <v/>
      </c>
      <c r="FR418" s="204">
        <f>IF($J418="",#N/A,SUM(FQ$4:FQ418))</f>
        <v>0</v>
      </c>
      <c r="FS418" s="205" t="str">
        <f t="shared" si="731"/>
        <v/>
      </c>
      <c r="FT418" s="205">
        <f>IF($J418="",#N/A,SUM(FS$4:FS418))</f>
        <v>0</v>
      </c>
      <c r="FU418" s="205">
        <f>IF($J418="",#N/A,SUM(FS$4:FS418,FQ$4:FQ418,FO$4:FO418))</f>
        <v>0</v>
      </c>
      <c r="FV418" s="200" t="str">
        <f t="shared" si="732"/>
        <v/>
      </c>
      <c r="FW418" s="203">
        <f>IF($J418="",#N/A,SUM(FV$4:FV418))</f>
        <v>6.6834991831277585E-2</v>
      </c>
      <c r="FX418" s="204" t="str">
        <f t="shared" si="733"/>
        <v/>
      </c>
      <c r="FY418" s="204">
        <f>IF($J418="",#N/A,SUM(FX$4:FX418))</f>
        <v>-0.16102012791805576</v>
      </c>
      <c r="FZ418" s="205" t="str">
        <f t="shared" si="734"/>
        <v/>
      </c>
      <c r="GA418" s="205">
        <f>IF($J418="",#N/A,SUM(FZ$4:FZ418))</f>
        <v>-0.69624339162892301</v>
      </c>
      <c r="GB418" s="205">
        <f>IF($J418="",#N/A,SUM(FZ$4:FZ418,FX$4:FX418,FV$4:FV418))</f>
        <v>-0.79042852771570116</v>
      </c>
      <c r="GC418" s="200" t="str">
        <f t="shared" si="735"/>
        <v/>
      </c>
      <c r="GD418" s="203">
        <f>IF($J418="",#N/A,SUM(GC$4:GC418))</f>
        <v>0</v>
      </c>
      <c r="GE418" s="204" t="str">
        <f t="shared" si="736"/>
        <v/>
      </c>
      <c r="GF418" s="204">
        <f>IF($J418="",#N/A,SUM(GE$4:GE418))</f>
        <v>0</v>
      </c>
      <c r="GG418" s="205" t="str">
        <f t="shared" si="737"/>
        <v/>
      </c>
      <c r="GH418" s="205">
        <f>IF($J418="",#N/A,SUM(GG$4:GG418))</f>
        <v>-2.9368362277223206</v>
      </c>
      <c r="GI418" s="205">
        <f>IF($J418="",#N/A,SUM(GG$4:GG418,GE$4:GE418,GC$4:GC418))</f>
        <v>-2.9368362277223206</v>
      </c>
      <c r="GJ418" s="200" t="str">
        <f t="shared" si="738"/>
        <v/>
      </c>
      <c r="GK418" s="203">
        <f>IF($J418="",#N/A,SUM(GJ$4:GJ418))</f>
        <v>0</v>
      </c>
      <c r="GL418" s="204" t="str">
        <f t="shared" si="739"/>
        <v/>
      </c>
      <c r="GM418" s="204">
        <f>IF($J418="",#N/A,SUM(GL$4:GL418))</f>
        <v>-2.0621307233432784</v>
      </c>
      <c r="GN418" s="205" t="str">
        <f t="shared" si="740"/>
        <v/>
      </c>
      <c r="GO418" s="205">
        <f>IF($J418="",#N/A,SUM(GN$4:GN418))</f>
        <v>0.79182748269313297</v>
      </c>
      <c r="GP418" s="205">
        <f>IF($J418="",#N/A,SUM(GN$4:GN418,GL$4:GL418,GJ$4:GJ418))</f>
        <v>-1.2703032406501453</v>
      </c>
      <c r="GS418" s="54">
        <f t="shared" si="759"/>
        <v>0.71408763172490519</v>
      </c>
      <c r="GT418" s="54">
        <f>IF(GS418="",NA(),SUM($GS$4:GS418))</f>
        <v>16.81315577424073</v>
      </c>
      <c r="GU418" s="54" t="str">
        <f t="shared" si="741"/>
        <v/>
      </c>
      <c r="GV418" s="54" t="e">
        <f>IF(GU418="",NA(),SUM($GU$4:GU418))</f>
        <v>#N/A</v>
      </c>
      <c r="GW418" s="54">
        <f t="shared" si="742"/>
        <v>0.71408763172490519</v>
      </c>
      <c r="GX418" s="54">
        <f>IF(GW418="",NA(),SUM($GW$4:GW418))</f>
        <v>11.356714751017737</v>
      </c>
      <c r="GY418" s="54" t="str">
        <f t="shared" si="743"/>
        <v/>
      </c>
      <c r="GZ418" s="54" t="e">
        <f>IF(GY418="",NA(),SUM($GY$4:GY418))</f>
        <v>#N/A</v>
      </c>
      <c r="HA418" s="54" t="str">
        <f t="shared" si="744"/>
        <v/>
      </c>
      <c r="HB418" s="54" t="e">
        <f>IF(HA418="",NA(),SUM($HA$4:HA418))</f>
        <v>#N/A</v>
      </c>
      <c r="HC418" s="54" t="str">
        <f t="shared" si="745"/>
        <v/>
      </c>
      <c r="HD418" s="54" t="e">
        <f>IF(HC418="",NA(),SUM($HC$4:HC418))</f>
        <v>#N/A</v>
      </c>
      <c r="HE418" s="54" t="str">
        <f t="shared" si="746"/>
        <v/>
      </c>
      <c r="HF418" s="54" t="e">
        <f>IF(HE418="",NA(),SUM($HE$4:HE418))</f>
        <v>#N/A</v>
      </c>
      <c r="HG418" s="54" t="str">
        <f t="shared" si="747"/>
        <v/>
      </c>
      <c r="HH418" s="54" t="e">
        <f>IF(HG418="",NA(),SUM($HG$4:HG418))</f>
        <v>#N/A</v>
      </c>
      <c r="HI418" s="172" t="str">
        <f t="shared" si="760"/>
        <v/>
      </c>
      <c r="HJ418" s="172">
        <f>IF($J418="",#N/A,SUM(HI$4:$HI418))</f>
        <v>-11.351618847522102</v>
      </c>
      <c r="HK418" s="54" t="str">
        <f t="shared" si="748"/>
        <v/>
      </c>
      <c r="HL418" s="54">
        <f>IF($J418="",#N/A,SUM($HK$4:HK418))</f>
        <v>7.6415354417754555</v>
      </c>
      <c r="HM418" s="54" t="str">
        <f t="shared" si="749"/>
        <v/>
      </c>
      <c r="HN418" s="54">
        <f>IF($J418="",#N/A,SUM($HM$4:HM418))</f>
        <v>3.2463818889234179</v>
      </c>
      <c r="HO418" s="54" t="str">
        <f t="shared" si="750"/>
        <v/>
      </c>
      <c r="HP418" s="54">
        <f>IF($J418="",#N/A,SUM($HO$4:HO418))</f>
        <v>-0.54613191784001369</v>
      </c>
      <c r="HQ418" s="54">
        <f t="shared" si="751"/>
        <v>0.43677204658901791</v>
      </c>
      <c r="HR418" s="54">
        <f>IF($J418="",#N/A,SUM($HQ$4:HQ418))</f>
        <v>-15.059228634790733</v>
      </c>
      <c r="HS418" s="54" t="str">
        <f t="shared" si="752"/>
        <v/>
      </c>
      <c r="HT418" s="54">
        <f>IF($J418="",#N/A,SUM($HS$4:HS418))</f>
        <v>14.660479149324726</v>
      </c>
      <c r="HU418" s="65">
        <f t="shared" si="753"/>
        <v>1.1508596783139231</v>
      </c>
      <c r="HV418" s="65">
        <f>IF($J418="",#N/A,SUM(HU$4:$HU418))</f>
        <v>8.7319344059503283</v>
      </c>
    </row>
    <row r="419" spans="1:230" ht="15.75" thickBot="1" x14ac:dyDescent="0.3">
      <c r="A419" s="585" t="s">
        <v>1445</v>
      </c>
      <c r="B419" s="586" t="str" cm="1">
        <f t="array" ref="B419">IFERROR(_xlfn.XLOOKUP(A419,Earnings!$B$2:$B$9984,LEFT(Earnings!$C$2:$C$9984,37)),"Can't Find Date***")</f>
        <v>on 6/25/25 Before Market Eastern Stan</v>
      </c>
      <c r="C419" s="587">
        <f t="shared" si="654"/>
        <v>2</v>
      </c>
      <c r="D419" s="588" t="str">
        <f>_xlfn.XLOOKUP(A419,[1]SP500!$A$2:$A$502,[1]SP500!$D$2:$D$502,"N")</f>
        <v>Y</v>
      </c>
      <c r="E419" s="585" t="str">
        <f>IFERROR(_xlfn.XLOOKUP(A419,[1]SP500!$A$2:$A$655,[1]SP500!$B$2:$B$655),"")</f>
        <v>XLP</v>
      </c>
      <c r="F419" s="589">
        <v>45833</v>
      </c>
      <c r="G419" s="585" t="str">
        <f t="shared" si="655"/>
        <v>BMO</v>
      </c>
      <c r="H419" s="585" t="str">
        <f t="shared" si="656"/>
        <v>s</v>
      </c>
      <c r="I419" s="590">
        <v>53.41</v>
      </c>
      <c r="J419" s="591">
        <v>52.05</v>
      </c>
      <c r="K419" s="592">
        <f t="shared" si="657"/>
        <v>-2.5463396367721391E-2</v>
      </c>
      <c r="L419" s="593">
        <f t="shared" si="658"/>
        <v>34</v>
      </c>
      <c r="M419" s="594">
        <f t="shared" si="659"/>
        <v>0</v>
      </c>
      <c r="N419" s="595">
        <f t="shared" si="660"/>
        <v>34</v>
      </c>
      <c r="O419" s="594">
        <f>IF(N419="",#N/A,SUM($N$4:N419))</f>
        <v>327.04077189005295</v>
      </c>
      <c r="P419" s="596">
        <f t="shared" si="754"/>
        <v>0.42438993946202336</v>
      </c>
      <c r="Q419" s="597">
        <f>IF($N419="",#N/A,SUM($P$4:P419))</f>
        <v>11.06108072140915</v>
      </c>
      <c r="R419" s="598">
        <f t="shared" si="661"/>
        <v>0.20621471658983737</v>
      </c>
      <c r="S419" s="585" t="str">
        <f t="shared" si="662"/>
        <v>Dwn</v>
      </c>
      <c r="T419" s="585" t="s">
        <v>4462</v>
      </c>
      <c r="U419" s="599">
        <f t="shared" si="663"/>
        <v>53.41</v>
      </c>
      <c r="V419" s="599" t="s">
        <v>4458</v>
      </c>
      <c r="W419" s="607">
        <v>25</v>
      </c>
      <c r="X419" s="601">
        <f t="shared" si="664"/>
        <v>1335.25</v>
      </c>
      <c r="Y419" s="607">
        <f t="shared" si="665"/>
        <v>25</v>
      </c>
      <c r="Z419" s="608">
        <v>52.05</v>
      </c>
      <c r="AA419" s="595">
        <f t="shared" si="666"/>
        <v>34</v>
      </c>
      <c r="AB419" s="595">
        <f t="shared" si="667"/>
        <v>68.25</v>
      </c>
      <c r="AC419" s="591">
        <v>50.68</v>
      </c>
      <c r="AD419" s="603">
        <f t="shared" si="668"/>
        <v>68.25</v>
      </c>
      <c r="AE419" s="604">
        <f t="shared" si="669"/>
        <v>0.85190039318479693</v>
      </c>
      <c r="AF419" s="594">
        <f>IF($AC419="",#N/A,SUM(AD$4:AD419))</f>
        <v>483.92360046695126</v>
      </c>
      <c r="AG419" s="595">
        <f t="shared" si="670"/>
        <v>34.25</v>
      </c>
      <c r="AH419" s="599" t="s">
        <v>2507</v>
      </c>
      <c r="AI419" s="596">
        <f t="shared" si="671"/>
        <v>0.42438993946202336</v>
      </c>
      <c r="AJ419" s="605">
        <f>IF(AI419="",#N/A,SUM($AI$4:AI419))</f>
        <v>10.854866004819312</v>
      </c>
      <c r="AK419" s="599">
        <f t="shared" si="672"/>
        <v>34</v>
      </c>
      <c r="AL419" s="606">
        <f>IF(AI419="",#N/A,IF(AH419="Skip",SUM($AK$4:AK419),SUM($AK$4:AK419)))</f>
        <v>417.34236927848133</v>
      </c>
      <c r="AM419" s="65">
        <f t="shared" si="755"/>
        <v>0.85190039318479693</v>
      </c>
      <c r="AN419" s="209"/>
      <c r="AO419" s="65" t="str">
        <f t="shared" si="673"/>
        <v/>
      </c>
      <c r="AP419" s="65">
        <f>IF($AC419="",#N/A,SUM(AO$4:AO419))</f>
        <v>7.1357269367307552</v>
      </c>
      <c r="AQ419" s="65" t="str">
        <f t="shared" si="674"/>
        <v/>
      </c>
      <c r="AR419" s="65">
        <f>IF($AC419="",#N/A,SUM(AQ$4:AQ419))</f>
        <v>-5.9937304657875314</v>
      </c>
      <c r="AS419" s="65">
        <f t="shared" si="675"/>
        <v>0.85190039318479693</v>
      </c>
      <c r="AT419" s="65">
        <f>IF($AC419="",#N/A,SUM(AS$4:AS419))</f>
        <v>8.4418383281918956</v>
      </c>
      <c r="AU419" s="57" t="str">
        <f t="shared" si="756"/>
        <v/>
      </c>
      <c r="AV419" s="57">
        <f>IF($AC419="",#N/A,SUM(AU$4:AU419))</f>
        <v>296.77383890574652</v>
      </c>
      <c r="AW419" s="57" t="str">
        <f t="shared" si="757"/>
        <v/>
      </c>
      <c r="AX419" s="57">
        <f>IF($AC419="",#N/A,SUM(AW$4:AW419))</f>
        <v>-445.93743161597467</v>
      </c>
      <c r="AY419" s="57">
        <f t="shared" si="758"/>
        <v>68.25</v>
      </c>
      <c r="AZ419" s="57">
        <f>IF($AC419="",#N/A,SUM(AY$4:AY419))</f>
        <v>633.0871931771793</v>
      </c>
      <c r="BA419" s="57">
        <f>IF(AD419="",#N/A,SUM($AD$4:AD419))</f>
        <v>483.92360046695126</v>
      </c>
      <c r="BC419" s="51" t="str">
        <f t="shared" si="676"/>
        <v/>
      </c>
      <c r="BD419" s="51" t="str">
        <f t="shared" si="677"/>
        <v/>
      </c>
      <c r="BE419" s="51" t="str">
        <f t="shared" si="678"/>
        <v/>
      </c>
      <c r="BF419" s="51" t="str">
        <f t="shared" si="679"/>
        <v>Short</v>
      </c>
      <c r="BG419" s="51">
        <f t="shared" si="680"/>
        <v>1</v>
      </c>
      <c r="BH419" s="51" t="str">
        <f t="shared" si="681"/>
        <v/>
      </c>
      <c r="BI419" s="51" t="str">
        <f t="shared" si="682"/>
        <v/>
      </c>
      <c r="BK419" s="65">
        <f t="shared" si="653"/>
        <v>7.905879842887735E-2</v>
      </c>
      <c r="BL419" s="65">
        <f t="shared" si="761"/>
        <v>-3.7511582119195239E-2</v>
      </c>
      <c r="BM419" s="65">
        <f>IFERROR(Q419/COUNTA($J$4:J419),#N/A)</f>
        <v>2.6589136349541225E-2</v>
      </c>
      <c r="BO419" s="489" t="e">
        <f>IF(J419="",#N/A,IF(S419="SW",(COUNTIFS(K$4:$K419,"&gt;0",S$4:$S419,"SW")/COUNTIF(S$4:$S419,"SW")),#N/A))</f>
        <v>#N/A</v>
      </c>
      <c r="BP419" s="489">
        <f>IF($J419="",#N/A,IF($S419="DWN",(COUNTIFS($K$4:$K419,"&lt;0",$S$4:$S419,"DWN")/COUNTIF($S$4:$S419,"DWN")),#N/A))</f>
        <v>0.55757575757575761</v>
      </c>
      <c r="BQ419" s="489" t="e">
        <f>IF($J419="",#N/A,IF($S419="UP",(COUNTIFS($K$4:$K419,"&gt;0",$S$4:$S419,"UP")/COUNTIF($S$4:$S419,"UP")),#N/A))</f>
        <v>#N/A</v>
      </c>
      <c r="BR419" s="489">
        <f>IF(J419="",#N/A,COUNTIF($K$4:K419,"&gt;0")/COUNT($J$4:J419))</f>
        <v>0.47355769230769229</v>
      </c>
      <c r="BS419" s="65" t="str">
        <f t="shared" si="683"/>
        <v/>
      </c>
      <c r="BT419" s="65" t="str">
        <f t="shared" si="684"/>
        <v/>
      </c>
      <c r="BU419" s="65">
        <f t="shared" si="685"/>
        <v>0.42438993946202336</v>
      </c>
      <c r="BV419" s="65" t="str">
        <f t="shared" si="686"/>
        <v/>
      </c>
      <c r="BW419" s="128" t="str">
        <f t="shared" si="687"/>
        <v/>
      </c>
      <c r="BX419" s="128">
        <f>IF($J419="",#N/A,SUM($BW$4:BW419))</f>
        <v>-683.33347337823261</v>
      </c>
      <c r="BY419" s="131">
        <f t="shared" si="688"/>
        <v>34</v>
      </c>
      <c r="BZ419" s="131">
        <f>IF($J419="",#N/A,SUM($BY$4:BY419))</f>
        <v>630.94161346139413</v>
      </c>
      <c r="CA419" s="133" t="str">
        <f t="shared" si="689"/>
        <v/>
      </c>
      <c r="CB419" s="133">
        <f>IF($J419="",#N/A,SUM($CA$4:CA419))</f>
        <v>379.43263180689121</v>
      </c>
      <c r="CC419" s="194" t="str">
        <f t="shared" si="690"/>
        <v/>
      </c>
      <c r="CD419" s="194">
        <f>IF($J419="",#N/A,SUM($CC$4:CC419))</f>
        <v>-8.6939804368709357</v>
      </c>
      <c r="CE419" s="195">
        <f t="shared" si="691"/>
        <v>0.42438993946202336</v>
      </c>
      <c r="CF419" s="195">
        <f>IF($J419="",#N/A,SUM($CE$4:CE419))</f>
        <v>11.724411280215779</v>
      </c>
      <c r="CG419" s="196" t="str">
        <f t="shared" si="692"/>
        <v/>
      </c>
      <c r="CH419" s="196">
        <f>IF($J419="",#N/A,SUM($CG$4:CG419))</f>
        <v>8.0306498780643203</v>
      </c>
      <c r="CI419" s="200" t="str">
        <f t="shared" si="693"/>
        <v/>
      </c>
      <c r="CJ419" s="203">
        <f>IF($J419="",#N/A,SUM(CI$4:CI419))</f>
        <v>0.40279467610514952</v>
      </c>
      <c r="CK419" s="204" t="str">
        <f t="shared" si="694"/>
        <v/>
      </c>
      <c r="CL419" s="204">
        <f>IF($J419="",#N/A,SUM(CK$4:CK419))</f>
        <v>2.0825010564889137</v>
      </c>
      <c r="CM419" s="205" t="str">
        <f t="shared" si="695"/>
        <v/>
      </c>
      <c r="CN419" s="205">
        <f>IF($J419="",#N/A,SUM(CM$4:CM419))</f>
        <v>-0.83431524840310756</v>
      </c>
      <c r="CO419" s="205">
        <f>IF($J419="",#N/A,SUM(CM$4:CM419,CK$4:CK419,CI$4:CI419))</f>
        <v>1.6509804841909559</v>
      </c>
      <c r="CP419" s="200" t="str">
        <f t="shared" si="696"/>
        <v/>
      </c>
      <c r="CQ419" s="203">
        <f>IF($J419="",#N/A,SUM(CP$4:CP419))</f>
        <v>-2.7099780615005766</v>
      </c>
      <c r="CR419" s="204" t="str">
        <f t="shared" si="697"/>
        <v/>
      </c>
      <c r="CS419" s="204">
        <f>IF($J419="",#N/A,SUM(CR$4:CR419))</f>
        <v>3.2133390748971404</v>
      </c>
      <c r="CT419" s="205" t="str">
        <f t="shared" si="698"/>
        <v/>
      </c>
      <c r="CU419" s="205">
        <f>IF($J419="",#N/A,SUM(CT$4:CT419))</f>
        <v>-12.045896072422382</v>
      </c>
      <c r="CV419" s="205">
        <f>IF($J419="",#N/A,SUM(CT$4:CT419,CR$4:CR419,CP$4:CP419))</f>
        <v>-11.542535059025816</v>
      </c>
      <c r="CW419" s="200" t="str">
        <f t="shared" si="699"/>
        <v/>
      </c>
      <c r="CX419" s="203">
        <f>IF($J419="",#N/A,SUM(CW$4:CW419))</f>
        <v>-7.7830097399790894</v>
      </c>
      <c r="CY419" s="204" t="str">
        <f t="shared" si="700"/>
        <v/>
      </c>
      <c r="CZ419" s="204">
        <f>IF($J419="",#N/A,SUM(CY$4:CY419))</f>
        <v>-2.6367641712432155</v>
      </c>
      <c r="DA419" s="205" t="str">
        <f t="shared" si="701"/>
        <v/>
      </c>
      <c r="DB419" s="205">
        <f>IF($J419="",#N/A,SUM(DA$4:DA419))</f>
        <v>-0.60149940624852594</v>
      </c>
      <c r="DC419" s="205">
        <f>IF($J419="",#N/A,SUM(DA$4:DA419,CY$4:CY419,CW$4:CW419))</f>
        <v>-11.021273317470831</v>
      </c>
      <c r="DD419" s="200" t="str">
        <f t="shared" si="702"/>
        <v/>
      </c>
      <c r="DE419" s="203">
        <f>IF($J419="",#N/A,SUM(DD$4:DD419))</f>
        <v>2.1903002454447948</v>
      </c>
      <c r="DF419" s="204">
        <f t="shared" si="703"/>
        <v>0.42438993946202336</v>
      </c>
      <c r="DG419" s="204">
        <f>IF($J419="",#N/A,SUM(DF$4:DF419))</f>
        <v>4.208836218191915</v>
      </c>
      <c r="DH419" s="205" t="str">
        <f t="shared" si="704"/>
        <v/>
      </c>
      <c r="DI419" s="205">
        <f>IF($J419="",#N/A,SUM(DH$4:DH419))</f>
        <v>1.1482786833538656</v>
      </c>
      <c r="DJ419" s="205">
        <f>IF($J419="",#N/A,SUM(DH$4:DH419,DF$4:DF419,DD$4:DD419))</f>
        <v>7.5474151469905753</v>
      </c>
      <c r="DK419" s="200" t="str">
        <f t="shared" si="705"/>
        <v/>
      </c>
      <c r="DL419" s="203">
        <f>IF($J419="",#N/A,SUM(DK$4:DK419))</f>
        <v>-0.84049791589649614</v>
      </c>
      <c r="DM419" s="204" t="str">
        <f t="shared" si="706"/>
        <v/>
      </c>
      <c r="DN419" s="204">
        <f>IF($J419="",#N/A,SUM(DM$4:DM419))</f>
        <v>1.8657648196498773</v>
      </c>
      <c r="DO419" s="205" t="str">
        <f t="shared" si="707"/>
        <v/>
      </c>
      <c r="DP419" s="205">
        <f>IF($J419="",#N/A,SUM(DO$4:DO419))</f>
        <v>3.4887162328793941</v>
      </c>
      <c r="DQ419" s="205">
        <f>IF($J419="",#N/A,SUM(DO$4:DO419,DM$4:DM419,DK$4:DK419))</f>
        <v>4.5139831366327758</v>
      </c>
      <c r="DR419" s="200" t="str">
        <f t="shared" si="708"/>
        <v/>
      </c>
      <c r="DS419" s="203">
        <f>IF($J419="",#N/A,SUM(DR$4:DR419))</f>
        <v>-0.55950946427675097</v>
      </c>
      <c r="DT419" s="204" t="str">
        <f t="shared" si="709"/>
        <v/>
      </c>
      <c r="DU419" s="204">
        <f>IF($J419="",#N/A,SUM(DT$4:DT419))</f>
        <v>-0.20750635820596686</v>
      </c>
      <c r="DV419" s="205" t="str">
        <f t="shared" si="710"/>
        <v/>
      </c>
      <c r="DW419" s="205">
        <f>IF($J419="",#N/A,SUM(DV$4:DV419))</f>
        <v>-2.3377035686214001</v>
      </c>
      <c r="DX419" s="205">
        <f>IF($J419="",#N/A,SUM(DV$4:DV419,DT$4:DT419,DR$4:DR419))</f>
        <v>-3.1047193911041169</v>
      </c>
      <c r="DY419" s="200" t="str">
        <f t="shared" si="711"/>
        <v/>
      </c>
      <c r="DZ419" s="203">
        <f>IF($J419="",#N/A,SUM(DY$4:DY419))</f>
        <v>0.24785202869748424</v>
      </c>
      <c r="EA419" s="204" t="str">
        <f t="shared" si="712"/>
        <v/>
      </c>
      <c r="EB419" s="204">
        <f>IF($J419="",#N/A,SUM(EA$4:EA419))</f>
        <v>4.3184391548878134</v>
      </c>
      <c r="EC419" s="205" t="str">
        <f t="shared" si="713"/>
        <v/>
      </c>
      <c r="ED419" s="205">
        <f>IF($J419="",#N/A,SUM(EC$4:EC419))</f>
        <v>8.4384553208490907</v>
      </c>
      <c r="EE419" s="205">
        <f>IF($J419="",#N/A,SUM(EC$4:EC419,EA$4:EA419,DY$4:DY419))</f>
        <v>13.00474650443439</v>
      </c>
      <c r="EF419" s="200" t="str">
        <f t="shared" si="714"/>
        <v/>
      </c>
      <c r="EG419" s="203">
        <f>IF($J419="",#N/A,SUM(EF$4:EF419))</f>
        <v>0.65848341369884777</v>
      </c>
      <c r="EH419" s="204" t="str">
        <f t="shared" si="715"/>
        <v/>
      </c>
      <c r="EI419" s="204">
        <f>IF($J419="",#N/A,SUM(EH$4:EH419))</f>
        <v>-3.5125331561187787</v>
      </c>
      <c r="EJ419" s="205" t="str">
        <f t="shared" si="716"/>
        <v/>
      </c>
      <c r="EK419" s="205">
        <f>IF($J419="",#N/A,SUM(EJ$4:EJ419))</f>
        <v>13.156552985368888</v>
      </c>
      <c r="EL419" s="205">
        <f>IF($J419="",#N/A,SUM(EJ$4:EJ419,EH$4:EH419,EF$4:EF419))</f>
        <v>10.30250324294896</v>
      </c>
      <c r="EM419" s="200" t="str">
        <f t="shared" si="717"/>
        <v/>
      </c>
      <c r="EN419" s="203">
        <f>IF($J419="",#N/A,SUM(EM$4:EM419))</f>
        <v>0</v>
      </c>
      <c r="EO419" s="204" t="str">
        <f t="shared" si="718"/>
        <v/>
      </c>
      <c r="EP419" s="204">
        <f>IF($J419="",#N/A,SUM(EO$4:EO419))</f>
        <v>2.4788862078089964</v>
      </c>
      <c r="EQ419" s="205" t="str">
        <f t="shared" si="719"/>
        <v/>
      </c>
      <c r="ER419" s="205">
        <f>IF($J419="",#N/A,SUM(EQ$4:EQ419))</f>
        <v>1.7856049065476487</v>
      </c>
      <c r="ES419" s="205">
        <f>IF($J419="",#N/A,SUM(EQ$4:EQ419,EO$4:EO419,EM$4:EM419))</f>
        <v>4.2644911143566446</v>
      </c>
      <c r="ET419" s="200" t="str">
        <f t="shared" si="720"/>
        <v/>
      </c>
      <c r="EU419" s="203">
        <f>IF($J419="",#N/A,SUM(ET$4:ET419))</f>
        <v>-0.56361328049859927</v>
      </c>
      <c r="EV419" s="204" t="str">
        <f t="shared" si="721"/>
        <v/>
      </c>
      <c r="EW419" s="204">
        <f>IF($J419="",#N/A,SUM(EV$4:EV419))</f>
        <v>7.9116394275462909E-2</v>
      </c>
      <c r="EX419" s="205" t="str">
        <f t="shared" si="722"/>
        <v/>
      </c>
      <c r="EY419" s="205">
        <f>IF($J419="",#N/A,SUM(EX$4:EX419))</f>
        <v>0.62848633887309935</v>
      </c>
      <c r="EZ419" s="205">
        <f>IF($J419="",#N/A,SUM(EX$4:EX419,EV$4:EV419,ET$4:ET419))</f>
        <v>0.14398945264996266</v>
      </c>
      <c r="FA419" s="200" t="str">
        <f t="shared" si="723"/>
        <v/>
      </c>
      <c r="FB419" s="203">
        <f>IF($J419="",#N/A,SUM(FA$4:FA419))</f>
        <v>-0.27145310509113252</v>
      </c>
      <c r="FC419" s="204" t="str">
        <f t="shared" si="724"/>
        <v/>
      </c>
      <c r="FD419" s="204">
        <f>IF($J419="",#N/A,SUM(FC$4:FC419))</f>
        <v>0.89084290967454072</v>
      </c>
      <c r="FE419" s="205" t="str">
        <f t="shared" si="725"/>
        <v/>
      </c>
      <c r="FF419" s="205">
        <f>IF($J419="",#N/A,SUM(FE$4:FE419))</f>
        <v>-0.28811149078748233</v>
      </c>
      <c r="FG419" s="205">
        <f>IF($J419="",#N/A,SUM(FE$4:FE419,FC$4:FC419,FA$4:FA419))</f>
        <v>0.3312783137959262</v>
      </c>
      <c r="FH419" s="200" t="str">
        <f t="shared" si="726"/>
        <v/>
      </c>
      <c r="FI419" s="203">
        <f>IF($J419="",#N/A,SUM(FH$4:FH419))</f>
        <v>0</v>
      </c>
      <c r="FJ419" s="204" t="str">
        <f t="shared" si="727"/>
        <v/>
      </c>
      <c r="FK419" s="204">
        <f>IF($J419="",#N/A,SUM(FJ$4:FJ419))</f>
        <v>0</v>
      </c>
      <c r="FL419" s="205" t="str">
        <f t="shared" si="728"/>
        <v/>
      </c>
      <c r="FM419" s="205">
        <f>IF($J419="",#N/A,SUM(FL$4:FL419))</f>
        <v>0</v>
      </c>
      <c r="FN419" s="205">
        <f>IF($J419="",#N/A,SUM(FL$4:FL419,FJ$4:FJ419,FH$4:FH419))</f>
        <v>0</v>
      </c>
      <c r="FO419" s="200" t="str">
        <f t="shared" si="729"/>
        <v/>
      </c>
      <c r="FP419" s="203">
        <f>IF($J419="",#N/A,SUM(FO$4:FO419))</f>
        <v>0</v>
      </c>
      <c r="FQ419" s="204" t="str">
        <f t="shared" si="730"/>
        <v/>
      </c>
      <c r="FR419" s="204">
        <f>IF($J419="",#N/A,SUM(FQ$4:FQ419))</f>
        <v>0</v>
      </c>
      <c r="FS419" s="205" t="str">
        <f t="shared" si="731"/>
        <v/>
      </c>
      <c r="FT419" s="205">
        <f>IF($J419="",#N/A,SUM(FS$4:FS419))</f>
        <v>0</v>
      </c>
      <c r="FU419" s="205">
        <f>IF($J419="",#N/A,SUM(FS$4:FS419,FQ$4:FQ419,FO$4:FO419))</f>
        <v>0</v>
      </c>
      <c r="FV419" s="200" t="str">
        <f t="shared" si="732"/>
        <v/>
      </c>
      <c r="FW419" s="203">
        <f>IF($J419="",#N/A,SUM(FV$4:FV419))</f>
        <v>6.6834991831277585E-2</v>
      </c>
      <c r="FX419" s="204" t="str">
        <f t="shared" si="733"/>
        <v/>
      </c>
      <c r="FY419" s="204">
        <f>IF($J419="",#N/A,SUM(FX$4:FX419))</f>
        <v>-0.16102012791805576</v>
      </c>
      <c r="FZ419" s="205" t="str">
        <f t="shared" si="734"/>
        <v/>
      </c>
      <c r="GA419" s="205">
        <f>IF($J419="",#N/A,SUM(FZ$4:FZ419))</f>
        <v>-0.69624339162892301</v>
      </c>
      <c r="GB419" s="205">
        <f>IF($J419="",#N/A,SUM(FZ$4:FZ419,FX$4:FX419,FV$4:FV419))</f>
        <v>-0.79042852771570116</v>
      </c>
      <c r="GC419" s="200" t="str">
        <f t="shared" si="735"/>
        <v/>
      </c>
      <c r="GD419" s="203">
        <f>IF($J419="",#N/A,SUM(GC$4:GC419))</f>
        <v>0</v>
      </c>
      <c r="GE419" s="204" t="str">
        <f t="shared" si="736"/>
        <v/>
      </c>
      <c r="GF419" s="204">
        <f>IF($J419="",#N/A,SUM(GE$4:GE419))</f>
        <v>0</v>
      </c>
      <c r="GG419" s="205" t="str">
        <f t="shared" si="737"/>
        <v/>
      </c>
      <c r="GH419" s="205">
        <f>IF($J419="",#N/A,SUM(GG$4:GG419))</f>
        <v>-2.9368362277223206</v>
      </c>
      <c r="GI419" s="205">
        <f>IF($J419="",#N/A,SUM(GG$4:GG419,GE$4:GE419,GC$4:GC419))</f>
        <v>-2.9368362277223206</v>
      </c>
      <c r="GJ419" s="200" t="str">
        <f t="shared" si="738"/>
        <v/>
      </c>
      <c r="GK419" s="203">
        <f>IF($J419="",#N/A,SUM(GJ$4:GJ419))</f>
        <v>0</v>
      </c>
      <c r="GL419" s="204" t="str">
        <f t="shared" si="739"/>
        <v/>
      </c>
      <c r="GM419" s="204">
        <f>IF($J419="",#N/A,SUM(GL$4:GL419))</f>
        <v>-2.0621307233432784</v>
      </c>
      <c r="GN419" s="205" t="str">
        <f t="shared" si="740"/>
        <v/>
      </c>
      <c r="GO419" s="205">
        <f>IF($J419="",#N/A,SUM(GN$4:GN419))</f>
        <v>0.79182748269313297</v>
      </c>
      <c r="GP419" s="205">
        <f>IF($J419="",#N/A,SUM(GN$4:GN419,GL$4:GL419,GJ$4:GJ419))</f>
        <v>-1.2703032406501453</v>
      </c>
      <c r="GS419" s="54">
        <f t="shared" si="759"/>
        <v>0.42438993946202336</v>
      </c>
      <c r="GT419" s="54">
        <f>IF(GS419="",NA(),SUM($GS$4:GS419))</f>
        <v>17.237545713702755</v>
      </c>
      <c r="GU419" s="54" t="str">
        <f t="shared" si="741"/>
        <v/>
      </c>
      <c r="GV419" s="54" t="e">
        <f>IF(GU419="",NA(),SUM($GU$4:GU419))</f>
        <v>#N/A</v>
      </c>
      <c r="GW419" s="54" t="str">
        <f t="shared" si="742"/>
        <v/>
      </c>
      <c r="GX419" s="54" t="e">
        <f>IF(GW419="",NA(),SUM($GW$4:GW419))</f>
        <v>#N/A</v>
      </c>
      <c r="GY419" s="54">
        <f t="shared" si="743"/>
        <v>0.42438993946202336</v>
      </c>
      <c r="GZ419" s="54">
        <f>IF(GY419="",NA(),SUM($GY$4:GY419))</f>
        <v>11.634315658485921</v>
      </c>
      <c r="HA419" s="54" t="str">
        <f t="shared" si="744"/>
        <v/>
      </c>
      <c r="HB419" s="54" t="e">
        <f>IF(HA419="",NA(),SUM($HA$4:HA419))</f>
        <v>#N/A</v>
      </c>
      <c r="HC419" s="54" t="str">
        <f t="shared" si="745"/>
        <v/>
      </c>
      <c r="HD419" s="54" t="e">
        <f>IF(HC419="",NA(),SUM($HC$4:HC419))</f>
        <v>#N/A</v>
      </c>
      <c r="HE419" s="54" t="str">
        <f t="shared" si="746"/>
        <v/>
      </c>
      <c r="HF419" s="54" t="e">
        <f>IF(HE419="",NA(),SUM($HE$4:HE419))</f>
        <v>#N/A</v>
      </c>
      <c r="HG419" s="54" t="str">
        <f t="shared" si="747"/>
        <v/>
      </c>
      <c r="HH419" s="54" t="e">
        <f>IF(HG419="",NA(),SUM($HG$4:HG419))</f>
        <v>#N/A</v>
      </c>
      <c r="HI419" s="172">
        <f t="shared" si="760"/>
        <v>0.42751045372277358</v>
      </c>
      <c r="HJ419" s="172">
        <f>IF($J419="",#N/A,SUM(HI$4:$HI419))</f>
        <v>-10.92410839379933</v>
      </c>
      <c r="HK419" s="54" t="str">
        <f t="shared" si="748"/>
        <v/>
      </c>
      <c r="HL419" s="54">
        <f>IF($J419="",#N/A,SUM($HK$4:HK419))</f>
        <v>7.6415354417754555</v>
      </c>
      <c r="HM419" s="54" t="str">
        <f t="shared" si="749"/>
        <v/>
      </c>
      <c r="HN419" s="54">
        <f>IF($J419="",#N/A,SUM($HM$4:HM419))</f>
        <v>3.2463818889234179</v>
      </c>
      <c r="HO419" s="54" t="str">
        <f t="shared" si="750"/>
        <v/>
      </c>
      <c r="HP419" s="54">
        <f>IF($J419="",#N/A,SUM($HO$4:HO419))</f>
        <v>-0.54613191784001369</v>
      </c>
      <c r="HQ419" s="54" t="str">
        <f t="shared" si="751"/>
        <v/>
      </c>
      <c r="HR419" s="54">
        <f>IF($J419="",#N/A,SUM($HQ$4:HQ419))</f>
        <v>-15.059228634790733</v>
      </c>
      <c r="HS419" s="54" t="str">
        <f t="shared" si="752"/>
        <v/>
      </c>
      <c r="HT419" s="54">
        <f>IF($J419="",#N/A,SUM($HS$4:HS419))</f>
        <v>14.660479149324726</v>
      </c>
      <c r="HU419" s="65">
        <f t="shared" si="753"/>
        <v>0.85190039318479693</v>
      </c>
      <c r="HV419" s="65">
        <f>IF($J419="",#N/A,SUM(HU$4:$HU419))</f>
        <v>9.5838347991351256</v>
      </c>
    </row>
    <row r="420" spans="1:230" x14ac:dyDescent="0.25">
      <c r="A420" s="59" t="s">
        <v>1335</v>
      </c>
      <c r="B420" s="289" t="str" cm="1">
        <f t="array" ref="B420">IFERROR(_xlfn.XLOOKUP(A420,Earnings!$B$2:$B$9984,LEFT(Earnings!$C$2:$C$9984,37)),"Can't Find Date***")</f>
        <v>on 6/25/25 After Market Eastern Stand</v>
      </c>
      <c r="C420" s="230">
        <f t="shared" si="654"/>
        <v>1</v>
      </c>
      <c r="D420" s="220" t="str">
        <f>_xlfn.XLOOKUP(A420,[1]SP500!$A$2:$A$502,[1]SP500!$D$2:$D$502,"N")</f>
        <v>Y</v>
      </c>
      <c r="E420" s="59" t="str">
        <f>IFERROR(_xlfn.XLOOKUP(A420,[1]SP500!$A$2:$A$655,[1]SP500!$B$2:$B$655),"")</f>
        <v>SMH</v>
      </c>
      <c r="F420" s="290">
        <v>45833</v>
      </c>
      <c r="G420" s="59" t="str">
        <f t="shared" si="655"/>
        <v>AMC</v>
      </c>
      <c r="H420" s="59" t="str">
        <f t="shared" si="656"/>
        <v>s</v>
      </c>
      <c r="I420" s="342">
        <v>127.25</v>
      </c>
      <c r="J420" s="125">
        <v>129.53</v>
      </c>
      <c r="K420" s="60">
        <f t="shared" si="657"/>
        <v>1.7917485265225942E-2</v>
      </c>
      <c r="L420" s="68">
        <f t="shared" si="658"/>
        <v>25.079999999999927</v>
      </c>
      <c r="M420" s="62" t="e">
        <f t="shared" si="659"/>
        <v>#N/A</v>
      </c>
      <c r="N420" s="63">
        <f t="shared" si="660"/>
        <v>25.079999999999927</v>
      </c>
      <c r="O420" s="62">
        <f>IF(N420="",#N/A,SUM($N$4:N420))</f>
        <v>352.12077189005288</v>
      </c>
      <c r="P420" s="64">
        <f t="shared" si="754"/>
        <v>0.29862475442043135</v>
      </c>
      <c r="Q420" s="183">
        <f>IF($N420="",#N/A,SUM($P$4:P420))</f>
        <v>11.359705475829582</v>
      </c>
      <c r="R420" s="279">
        <f t="shared" si="661"/>
        <v>-0.75252791602312818</v>
      </c>
      <c r="S420" s="59" t="str">
        <f t="shared" si="662"/>
        <v>Up</v>
      </c>
      <c r="T420" s="59" t="s">
        <v>4462</v>
      </c>
      <c r="U420" s="61">
        <f t="shared" si="663"/>
        <v>127.25</v>
      </c>
      <c r="V420" s="61" t="s">
        <v>4460</v>
      </c>
      <c r="W420" s="142">
        <v>11</v>
      </c>
      <c r="X420" s="146">
        <f t="shared" si="664"/>
        <v>1399.75</v>
      </c>
      <c r="Y420" s="142">
        <f t="shared" si="665"/>
        <v>11</v>
      </c>
      <c r="Z420" s="143">
        <v>136.85</v>
      </c>
      <c r="AA420" s="63">
        <f t="shared" si="666"/>
        <v>105.59999999999991</v>
      </c>
      <c r="AB420" s="63">
        <f t="shared" si="667"/>
        <v>-13.75</v>
      </c>
      <c r="AC420" s="278">
        <v>126</v>
      </c>
      <c r="AD420" s="148">
        <f t="shared" si="668"/>
        <v>-13.75</v>
      </c>
      <c r="AE420" s="544">
        <f t="shared" si="669"/>
        <v>-0.16371971185330714</v>
      </c>
      <c r="AF420" s="62">
        <f>IF($AC420="",#N/A,SUM(AD$4:AD420))</f>
        <v>470.17360046695126</v>
      </c>
      <c r="AG420" s="63">
        <f t="shared" si="670"/>
        <v>-38.829999999999927</v>
      </c>
      <c r="AH420" s="61" t="s">
        <v>4471</v>
      </c>
      <c r="AI420" s="64">
        <f t="shared" si="671"/>
        <v>1.2573673870333977</v>
      </c>
      <c r="AJ420" s="420">
        <f>IF(AI420="",#N/A,SUM($AI$4:AI420))</f>
        <v>12.11223339185271</v>
      </c>
      <c r="AK420" s="61">
        <f t="shared" si="672"/>
        <v>105.59999999999991</v>
      </c>
      <c r="AL420" s="421">
        <f>IF(AI420="",#N/A,IF(AH420="Skip",SUM($AK$4:AK420),SUM($AK$4:AK420)))</f>
        <v>522.94236927848124</v>
      </c>
      <c r="AM420" s="65">
        <f t="shared" si="755"/>
        <v>-0.16371971185330714</v>
      </c>
      <c r="AN420" s="209"/>
      <c r="AO420" s="65" t="str">
        <f t="shared" si="673"/>
        <v/>
      </c>
      <c r="AP420" s="65">
        <f>IF($AC420="",#N/A,SUM(AO$4:AO420))</f>
        <v>7.1357269367307552</v>
      </c>
      <c r="AQ420" s="65">
        <f t="shared" si="674"/>
        <v>-0.16371971185330714</v>
      </c>
      <c r="AR420" s="65">
        <f>IF($AC420="",#N/A,SUM(AQ$4:AQ420))</f>
        <v>-6.1574501776408388</v>
      </c>
      <c r="AS420" s="65" t="str">
        <f t="shared" si="675"/>
        <v/>
      </c>
      <c r="AT420" s="65">
        <f>IF($AC420="",#N/A,SUM(AS$4:AS420))</f>
        <v>8.4418383281918956</v>
      </c>
      <c r="AU420" s="57" t="str">
        <f t="shared" si="756"/>
        <v/>
      </c>
      <c r="AV420" s="57">
        <f>IF($AC420="",#N/A,SUM(AU$4:AU420))</f>
        <v>296.77383890574652</v>
      </c>
      <c r="AW420" s="57">
        <f t="shared" si="757"/>
        <v>-13.75</v>
      </c>
      <c r="AX420" s="57">
        <f>IF($AC420="",#N/A,SUM(AW$4:AW420))</f>
        <v>-459.68743161597467</v>
      </c>
      <c r="AY420" s="56" t="str">
        <f t="shared" si="758"/>
        <v/>
      </c>
      <c r="AZ420" s="57">
        <f>IF($AC420="",#N/A,SUM(AY$4:AY420))</f>
        <v>633.0871931771793</v>
      </c>
      <c r="BA420" s="57">
        <f>IF(AD420="",#N/A,SUM($AD$4:AD420))</f>
        <v>470.17360046695126</v>
      </c>
      <c r="BC420" s="51">
        <f t="shared" si="676"/>
        <v>1</v>
      </c>
      <c r="BD420" s="51" t="str">
        <f t="shared" si="677"/>
        <v/>
      </c>
      <c r="BE420" s="51" t="str">
        <f t="shared" si="678"/>
        <v/>
      </c>
      <c r="BF420" s="51" t="str">
        <f t="shared" si="679"/>
        <v>Long</v>
      </c>
      <c r="BG420" s="51" t="str">
        <f t="shared" si="680"/>
        <v/>
      </c>
      <c r="BH420" s="51" t="str">
        <f t="shared" si="681"/>
        <v/>
      </c>
      <c r="BI420" s="51" t="str">
        <f t="shared" si="682"/>
        <v/>
      </c>
      <c r="BK420" s="65">
        <f t="shared" si="653"/>
        <v>0.10479557622497362</v>
      </c>
      <c r="BL420" s="65">
        <f t="shared" si="761"/>
        <v>-9.2734099060486977E-2</v>
      </c>
      <c r="BM420" s="65">
        <f>IFERROR(Q420/COUNTA($J$4:J420),#N/A)</f>
        <v>2.7241499942037367E-2</v>
      </c>
      <c r="BO420" s="489" t="e">
        <f>IF(J420="",#N/A,IF(S420="SW",(COUNTIFS(K$4:$K420,"&gt;0",S$4:$S420,"SW")/COUNTIF(S$4:$S420,"SW")),#N/A))</f>
        <v>#N/A</v>
      </c>
      <c r="BP420" s="489" t="e">
        <f>IF($J420="",#N/A,IF($S420="DWN",(COUNTIFS($K$4:$K420,"&lt;0",$S$4:$S420,"DWN")/COUNTIF($S$4:$S420,"DWN")),#N/A))</f>
        <v>#N/A</v>
      </c>
      <c r="BQ420" s="55">
        <f>IF($J420="",#N/A,IF($S420="UP",(COUNTIFS($K$4:$K420,"&gt;0",$S$4:$S420,"UP")/COUNTIF($S$4:$S420,"UP")),#N/A))</f>
        <v>0.47058823529411764</v>
      </c>
      <c r="BR420" s="489">
        <f>IF(J420="",#N/A,COUNTIF($K$4:K420,"&gt;0")/COUNT($J$4:J420))</f>
        <v>0.47482014388489208</v>
      </c>
      <c r="BS420" s="65">
        <f t="shared" si="683"/>
        <v>0.29862475442043135</v>
      </c>
      <c r="BT420" s="65" t="str">
        <f t="shared" si="684"/>
        <v/>
      </c>
      <c r="BU420" s="65" t="str">
        <f t="shared" si="685"/>
        <v/>
      </c>
      <c r="BV420" s="65" t="str">
        <f t="shared" si="686"/>
        <v/>
      </c>
      <c r="BW420" s="151">
        <f t="shared" si="687"/>
        <v>25.079999999999927</v>
      </c>
      <c r="BX420" s="151">
        <f>IF($J420="",#N/A,SUM($BW$4:BW420))</f>
        <v>-658.25347337823268</v>
      </c>
      <c r="BY420" s="152" t="str">
        <f t="shared" si="688"/>
        <v/>
      </c>
      <c r="BZ420" s="152">
        <f>IF($J420="",#N/A,SUM($BY$4:BY420))</f>
        <v>630.94161346139413</v>
      </c>
      <c r="CA420" s="153" t="str">
        <f t="shared" si="689"/>
        <v/>
      </c>
      <c r="CB420" s="154">
        <f>IF($J420="",#N/A,SUM($CA$4:CA420))</f>
        <v>379.43263180689121</v>
      </c>
      <c r="CC420" s="191">
        <f t="shared" si="690"/>
        <v>0.29862475442043135</v>
      </c>
      <c r="CD420" s="191">
        <f>IF($J420="",#N/A,SUM($CC$4:CC420))</f>
        <v>-8.3953556824505036</v>
      </c>
      <c r="CE420" s="192" t="str">
        <f t="shared" si="691"/>
        <v/>
      </c>
      <c r="CF420" s="192">
        <f>IF($J420="",#N/A,SUM($CE$4:CE420))</f>
        <v>11.724411280215779</v>
      </c>
      <c r="CG420" s="193" t="str">
        <f t="shared" si="692"/>
        <v/>
      </c>
      <c r="CH420" s="193">
        <f>IF($J420="",#N/A,SUM($CG$4:CG420))</f>
        <v>8.0306498780643203</v>
      </c>
      <c r="CI420" s="200" t="str">
        <f t="shared" si="693"/>
        <v/>
      </c>
      <c r="CJ420" s="200">
        <f>IF($J420="",#N/A,SUM(CI$4:CI420))</f>
        <v>0.40279467610514952</v>
      </c>
      <c r="CK420" s="201" t="str">
        <f t="shared" si="694"/>
        <v/>
      </c>
      <c r="CL420" s="201">
        <f>IF($J420="",#N/A,SUM(CK$4:CK420))</f>
        <v>2.0825010564889137</v>
      </c>
      <c r="CM420" s="202" t="str">
        <f t="shared" si="695"/>
        <v/>
      </c>
      <c r="CN420" s="202">
        <f>IF($J420="",#N/A,SUM(CM$4:CM420))</f>
        <v>-0.83431524840310756</v>
      </c>
      <c r="CO420" s="202">
        <f>IF($J420="",#N/A,SUM(CM$4:CM420,CK$4:CK420,CI$4:CI420))</f>
        <v>1.6509804841909559</v>
      </c>
      <c r="CP420" s="200" t="str">
        <f t="shared" si="696"/>
        <v/>
      </c>
      <c r="CQ420" s="200">
        <f>IF($J420="",#N/A,SUM(CP$4:CP420))</f>
        <v>-2.7099780615005766</v>
      </c>
      <c r="CR420" s="201" t="str">
        <f t="shared" si="697"/>
        <v/>
      </c>
      <c r="CS420" s="201">
        <f>IF($J420="",#N/A,SUM(CR$4:CR420))</f>
        <v>3.2133390748971404</v>
      </c>
      <c r="CT420" s="202" t="str">
        <f t="shared" si="698"/>
        <v/>
      </c>
      <c r="CU420" s="202">
        <f>IF($J420="",#N/A,SUM(CT$4:CT420))</f>
        <v>-12.045896072422382</v>
      </c>
      <c r="CV420" s="202">
        <f>IF($J420="",#N/A,SUM(CT$4:CT420,CR$4:CR420,CP$4:CP420))</f>
        <v>-11.542535059025816</v>
      </c>
      <c r="CW420" s="200" t="str">
        <f t="shared" si="699"/>
        <v/>
      </c>
      <c r="CX420" s="200">
        <f>IF($J420="",#N/A,SUM(CW$4:CW420))</f>
        <v>-7.7830097399790894</v>
      </c>
      <c r="CY420" s="201" t="str">
        <f t="shared" si="700"/>
        <v/>
      </c>
      <c r="CZ420" s="201">
        <f>IF($J420="",#N/A,SUM(CY$4:CY420))</f>
        <v>-2.6367641712432155</v>
      </c>
      <c r="DA420" s="202" t="str">
        <f t="shared" si="701"/>
        <v/>
      </c>
      <c r="DB420" s="202">
        <f>IF($J420="",#N/A,SUM(DA$4:DA420))</f>
        <v>-0.60149940624852594</v>
      </c>
      <c r="DC420" s="202">
        <f>IF($J420="",#N/A,SUM(DA$4:DA420,CY$4:CY420,CW$4:CW420))</f>
        <v>-11.021273317470831</v>
      </c>
      <c r="DD420" s="200" t="str">
        <f t="shared" si="702"/>
        <v/>
      </c>
      <c r="DE420" s="200">
        <f>IF($J420="",#N/A,SUM(DD$4:DD420))</f>
        <v>2.1903002454447948</v>
      </c>
      <c r="DF420" s="201" t="str">
        <f t="shared" si="703"/>
        <v/>
      </c>
      <c r="DG420" s="201">
        <f>IF($J420="",#N/A,SUM(DF$4:DF420))</f>
        <v>4.208836218191915</v>
      </c>
      <c r="DH420" s="202" t="str">
        <f t="shared" si="704"/>
        <v/>
      </c>
      <c r="DI420" s="202">
        <f>IF($J420="",#N/A,SUM(DH$4:DH420))</f>
        <v>1.1482786833538656</v>
      </c>
      <c r="DJ420" s="202">
        <f>IF($J420="",#N/A,SUM(DH$4:DH420,DF$4:DF420,DD$4:DD420))</f>
        <v>7.5474151469905753</v>
      </c>
      <c r="DK420" s="200" t="str">
        <f t="shared" si="705"/>
        <v/>
      </c>
      <c r="DL420" s="200">
        <f>IF($J420="",#N/A,SUM(DK$4:DK420))</f>
        <v>-0.84049791589649614</v>
      </c>
      <c r="DM420" s="201" t="str">
        <f t="shared" si="706"/>
        <v/>
      </c>
      <c r="DN420" s="201">
        <f>IF($J420="",#N/A,SUM(DM$4:DM420))</f>
        <v>1.8657648196498773</v>
      </c>
      <c r="DO420" s="202" t="str">
        <f t="shared" si="707"/>
        <v/>
      </c>
      <c r="DP420" s="202">
        <f>IF($J420="",#N/A,SUM(DO$4:DO420))</f>
        <v>3.4887162328793941</v>
      </c>
      <c r="DQ420" s="202">
        <f>IF($J420="",#N/A,SUM(DO$4:DO420,DM$4:DM420,DK$4:DK420))</f>
        <v>4.5139831366327758</v>
      </c>
      <c r="DR420" s="200" t="str">
        <f t="shared" si="708"/>
        <v/>
      </c>
      <c r="DS420" s="200">
        <f>IF($J420="",#N/A,SUM(DR$4:DR420))</f>
        <v>-0.55950946427675097</v>
      </c>
      <c r="DT420" s="201" t="str">
        <f t="shared" si="709"/>
        <v/>
      </c>
      <c r="DU420" s="201">
        <f>IF($J420="",#N/A,SUM(DT$4:DT420))</f>
        <v>-0.20750635820596686</v>
      </c>
      <c r="DV420" s="202" t="str">
        <f t="shared" si="710"/>
        <v/>
      </c>
      <c r="DW420" s="202">
        <f>IF($J420="",#N/A,SUM(DV$4:DV420))</f>
        <v>-2.3377035686214001</v>
      </c>
      <c r="DX420" s="202">
        <f>IF($J420="",#N/A,SUM(DV$4:DV420,DT$4:DT420,DR$4:DR420))</f>
        <v>-3.1047193911041169</v>
      </c>
      <c r="DY420" s="200" t="str">
        <f t="shared" si="711"/>
        <v/>
      </c>
      <c r="DZ420" s="200">
        <f>IF($J420="",#N/A,SUM(DY$4:DY420))</f>
        <v>0.24785202869748424</v>
      </c>
      <c r="EA420" s="201" t="str">
        <f t="shared" si="712"/>
        <v/>
      </c>
      <c r="EB420" s="201">
        <f>IF($J420="",#N/A,SUM(EA$4:EA420))</f>
        <v>4.3184391548878134</v>
      </c>
      <c r="EC420" s="202" t="str">
        <f t="shared" si="713"/>
        <v/>
      </c>
      <c r="ED420" s="202">
        <f>IF($J420="",#N/A,SUM(EC$4:EC420))</f>
        <v>8.4384553208490907</v>
      </c>
      <c r="EE420" s="202">
        <f>IF($J420="",#N/A,SUM(EC$4:EC420,EA$4:EA420,DY$4:DY420))</f>
        <v>13.00474650443439</v>
      </c>
      <c r="EF420" s="200" t="str">
        <f t="shared" si="714"/>
        <v/>
      </c>
      <c r="EG420" s="200">
        <f>IF($J420="",#N/A,SUM(EF$4:EF420))</f>
        <v>0.65848341369884777</v>
      </c>
      <c r="EH420" s="201" t="str">
        <f t="shared" si="715"/>
        <v/>
      </c>
      <c r="EI420" s="201">
        <f>IF($J420="",#N/A,SUM(EH$4:EH420))</f>
        <v>-3.5125331561187787</v>
      </c>
      <c r="EJ420" s="202" t="str">
        <f t="shared" si="716"/>
        <v/>
      </c>
      <c r="EK420" s="202">
        <f>IF($J420="",#N/A,SUM(EJ$4:EJ420))</f>
        <v>13.156552985368888</v>
      </c>
      <c r="EL420" s="202">
        <f>IF($J420="",#N/A,SUM(EJ$4:EJ420,EH$4:EH420,EF$4:EF420))</f>
        <v>10.30250324294896</v>
      </c>
      <c r="EM420" s="200" t="str">
        <f t="shared" si="717"/>
        <v/>
      </c>
      <c r="EN420" s="200">
        <f>IF($J420="",#N/A,SUM(EM$4:EM420))</f>
        <v>0</v>
      </c>
      <c r="EO420" s="201" t="str">
        <f t="shared" si="718"/>
        <v/>
      </c>
      <c r="EP420" s="201">
        <f>IF($J420="",#N/A,SUM(EO$4:EO420))</f>
        <v>2.4788862078089964</v>
      </c>
      <c r="EQ420" s="202" t="str">
        <f t="shared" si="719"/>
        <v/>
      </c>
      <c r="ER420" s="202">
        <f>IF($J420="",#N/A,SUM(EQ$4:EQ420))</f>
        <v>1.7856049065476487</v>
      </c>
      <c r="ES420" s="202">
        <f>IF($J420="",#N/A,SUM(EQ$4:EQ420,EO$4:EO420,EM$4:EM420))</f>
        <v>4.2644911143566446</v>
      </c>
      <c r="ET420" s="200">
        <f t="shared" si="720"/>
        <v>0.29862475442043135</v>
      </c>
      <c r="EU420" s="200">
        <f>IF($J420="",#N/A,SUM(ET$4:ET420))</f>
        <v>-0.26498852607816792</v>
      </c>
      <c r="EV420" s="201" t="str">
        <f t="shared" si="721"/>
        <v/>
      </c>
      <c r="EW420" s="201">
        <f>IF($J420="",#N/A,SUM(EV$4:EV420))</f>
        <v>7.9116394275462909E-2</v>
      </c>
      <c r="EX420" s="202" t="str">
        <f t="shared" si="722"/>
        <v/>
      </c>
      <c r="EY420" s="202">
        <f>IF($J420="",#N/A,SUM(EX$4:EX420))</f>
        <v>0.62848633887309935</v>
      </c>
      <c r="EZ420" s="202">
        <f>IF($J420="",#N/A,SUM(EX$4:EX420,EV$4:EV420,ET$4:ET420))</f>
        <v>0.44261420707039401</v>
      </c>
      <c r="FA420" s="200" t="str">
        <f t="shared" si="723"/>
        <v/>
      </c>
      <c r="FB420" s="200">
        <f>IF($J420="",#N/A,SUM(FA$4:FA420))</f>
        <v>-0.27145310509113252</v>
      </c>
      <c r="FC420" s="201" t="str">
        <f t="shared" si="724"/>
        <v/>
      </c>
      <c r="FD420" s="201">
        <f>IF($J420="",#N/A,SUM(FC$4:FC420))</f>
        <v>0.89084290967454072</v>
      </c>
      <c r="FE420" s="202" t="str">
        <f t="shared" si="725"/>
        <v/>
      </c>
      <c r="FF420" s="202">
        <f>IF($J420="",#N/A,SUM(FE$4:FE420))</f>
        <v>-0.28811149078748233</v>
      </c>
      <c r="FG420" s="202">
        <f>IF($J420="",#N/A,SUM(FE$4:FE420,FC$4:FC420,FA$4:FA420))</f>
        <v>0.3312783137959262</v>
      </c>
      <c r="FH420" s="200" t="str">
        <f t="shared" si="726"/>
        <v/>
      </c>
      <c r="FI420" s="200">
        <f>IF($J420="",#N/A,SUM(FH$4:FH420))</f>
        <v>0</v>
      </c>
      <c r="FJ420" s="201" t="str">
        <f t="shared" si="727"/>
        <v/>
      </c>
      <c r="FK420" s="201">
        <f>IF($J420="",#N/A,SUM(FJ$4:FJ420))</f>
        <v>0</v>
      </c>
      <c r="FL420" s="202" t="str">
        <f t="shared" si="728"/>
        <v/>
      </c>
      <c r="FM420" s="202">
        <f>IF($J420="",#N/A,SUM(FL$4:FL420))</f>
        <v>0</v>
      </c>
      <c r="FN420" s="202">
        <f>IF($J420="",#N/A,SUM(FL$4:FL420,FJ$4:FJ420,FH$4:FH420))</f>
        <v>0</v>
      </c>
      <c r="FO420" s="200" t="str">
        <f t="shared" si="729"/>
        <v/>
      </c>
      <c r="FP420" s="200">
        <f>IF($J420="",#N/A,SUM(FO$4:FO420))</f>
        <v>0</v>
      </c>
      <c r="FQ420" s="201" t="str">
        <f t="shared" si="730"/>
        <v/>
      </c>
      <c r="FR420" s="201">
        <f>IF($J420="",#N/A,SUM(FQ$4:FQ420))</f>
        <v>0</v>
      </c>
      <c r="FS420" s="202" t="str">
        <f t="shared" si="731"/>
        <v/>
      </c>
      <c r="FT420" s="202">
        <f>IF($J420="",#N/A,SUM(FS$4:FS420))</f>
        <v>0</v>
      </c>
      <c r="FU420" s="202">
        <f>IF($J420="",#N/A,SUM(FS$4:FS420,FQ$4:FQ420,FO$4:FO420))</f>
        <v>0</v>
      </c>
      <c r="FV420" s="200" t="str">
        <f t="shared" si="732"/>
        <v/>
      </c>
      <c r="FW420" s="200">
        <f>IF($J420="",#N/A,SUM(FV$4:FV420))</f>
        <v>6.6834991831277585E-2</v>
      </c>
      <c r="FX420" s="201" t="str">
        <f t="shared" si="733"/>
        <v/>
      </c>
      <c r="FY420" s="201">
        <f>IF($J420="",#N/A,SUM(FX$4:FX420))</f>
        <v>-0.16102012791805576</v>
      </c>
      <c r="FZ420" s="202" t="str">
        <f t="shared" si="734"/>
        <v/>
      </c>
      <c r="GA420" s="202">
        <f>IF($J420="",#N/A,SUM(FZ$4:FZ420))</f>
        <v>-0.69624339162892301</v>
      </c>
      <c r="GB420" s="202">
        <f>IF($J420="",#N/A,SUM(FZ$4:FZ420,FX$4:FX420,FV$4:FV420))</f>
        <v>-0.79042852771570116</v>
      </c>
      <c r="GC420" s="200" t="str">
        <f t="shared" si="735"/>
        <v/>
      </c>
      <c r="GD420" s="200">
        <f>IF($J420="",#N/A,SUM(GC$4:GC420))</f>
        <v>0</v>
      </c>
      <c r="GE420" s="201" t="str">
        <f t="shared" si="736"/>
        <v/>
      </c>
      <c r="GF420" s="201">
        <f>IF($J420="",#N/A,SUM(GE$4:GE420))</f>
        <v>0</v>
      </c>
      <c r="GG420" s="202" t="str">
        <f t="shared" si="737"/>
        <v/>
      </c>
      <c r="GH420" s="202">
        <f>IF($J420="",#N/A,SUM(GG$4:GG420))</f>
        <v>-2.9368362277223206</v>
      </c>
      <c r="GI420" s="202">
        <f>IF($J420="",#N/A,SUM(GG$4:GG420,GE$4:GE420,GC$4:GC420))</f>
        <v>-2.9368362277223206</v>
      </c>
      <c r="GJ420" s="200" t="str">
        <f t="shared" si="738"/>
        <v/>
      </c>
      <c r="GK420" s="200">
        <f>IF($J420="",#N/A,SUM(GJ$4:GJ420))</f>
        <v>0</v>
      </c>
      <c r="GL420" s="201" t="str">
        <f t="shared" si="739"/>
        <v/>
      </c>
      <c r="GM420" s="201">
        <f>IF($J420="",#N/A,SUM(GL$4:GL420))</f>
        <v>-2.0621307233432784</v>
      </c>
      <c r="GN420" s="202" t="str">
        <f t="shared" si="740"/>
        <v/>
      </c>
      <c r="GO420" s="202">
        <f>IF($J420="",#N/A,SUM(GN$4:GN420))</f>
        <v>0.79182748269313297</v>
      </c>
      <c r="GP420" s="202">
        <f>IF($J420="",#N/A,SUM(GN$4:GN420,GL$4:GL420,GJ$4:GJ420))</f>
        <v>-1.2703032406501453</v>
      </c>
      <c r="GS420" s="54">
        <f t="shared" si="759"/>
        <v>0.29862475442043135</v>
      </c>
      <c r="GT420" s="54">
        <f>IF(GS420="",NA(),SUM($GS$4:GS420))</f>
        <v>17.536170468123185</v>
      </c>
      <c r="GU420" s="54">
        <f t="shared" si="741"/>
        <v>0.29862475442043135</v>
      </c>
      <c r="GV420" s="54">
        <f>IF(GU420="",NA(),SUM($GU$4:GU420))</f>
        <v>-5.4548599413804713</v>
      </c>
      <c r="GW420" s="54" t="str">
        <f t="shared" si="742"/>
        <v/>
      </c>
      <c r="GX420" s="54" t="e">
        <f>IF(GW420="",NA(),SUM($GW$4:GW420))</f>
        <v>#N/A</v>
      </c>
      <c r="GY420" s="54" t="str">
        <f t="shared" si="743"/>
        <v/>
      </c>
      <c r="GZ420" s="54" t="e">
        <f>IF(GY420="",NA(),SUM($GY$4:GY420))</f>
        <v>#N/A</v>
      </c>
      <c r="HA420" s="54" t="str">
        <f t="shared" si="744"/>
        <v/>
      </c>
      <c r="HB420" s="54" t="e">
        <f>IF(HA420="",NA(),SUM($HA$4:HA420))</f>
        <v>#N/A</v>
      </c>
      <c r="HC420" s="54" t="str">
        <f t="shared" si="745"/>
        <v/>
      </c>
      <c r="HD420" s="54" t="e">
        <f>IF(HC420="",NA(),SUM($HC$4:HC420))</f>
        <v>#N/A</v>
      </c>
      <c r="HE420" s="54" t="str">
        <f t="shared" si="746"/>
        <v/>
      </c>
      <c r="HF420" s="54" t="e">
        <f>IF(HE420="",NA(),SUM($HE$4:HE420))</f>
        <v>#N/A</v>
      </c>
      <c r="HG420" s="54" t="str">
        <f t="shared" si="747"/>
        <v/>
      </c>
      <c r="HH420" s="54" t="e">
        <f>IF(HG420="",NA(),SUM($HG$4:HG420))</f>
        <v>#N/A</v>
      </c>
      <c r="HI420" s="172" t="str">
        <f t="shared" si="760"/>
        <v/>
      </c>
      <c r="HJ420" s="172">
        <f>IF($J420="",#N/A,SUM(HI$4:$HI420))</f>
        <v>-10.92410839379933</v>
      </c>
      <c r="HK420" s="54" t="str">
        <f t="shared" si="748"/>
        <v/>
      </c>
      <c r="HL420" s="54">
        <f>IF($J420="",#N/A,SUM($HK$4:HK420))</f>
        <v>7.6415354417754555</v>
      </c>
      <c r="HM420" s="54">
        <f t="shared" si="749"/>
        <v>-0.46234446627373849</v>
      </c>
      <c r="HN420" s="54">
        <f>IF($J420="",#N/A,SUM($HM$4:HM420))</f>
        <v>2.7840374226496793</v>
      </c>
      <c r="HO420" s="54" t="str">
        <f t="shared" si="750"/>
        <v/>
      </c>
      <c r="HP420" s="54">
        <f>IF($J420="",#N/A,SUM($HO$4:HO420))</f>
        <v>-0.54613191784001369</v>
      </c>
      <c r="HQ420" s="54" t="str">
        <f t="shared" si="751"/>
        <v/>
      </c>
      <c r="HR420" s="54">
        <f>IF($J420="",#N/A,SUM($HQ$4:HQ420))</f>
        <v>-15.059228634790733</v>
      </c>
      <c r="HS420" s="54" t="str">
        <f t="shared" si="752"/>
        <v/>
      </c>
      <c r="HT420" s="54">
        <f>IF($J420="",#N/A,SUM($HS$4:HS420))</f>
        <v>14.660479149324726</v>
      </c>
      <c r="HU420" s="65">
        <f t="shared" si="753"/>
        <v>-0.16371971185330714</v>
      </c>
      <c r="HV420" s="65">
        <f>IF($J420="",#N/A,SUM(HU$4:$HU420))</f>
        <v>9.4201150872818182</v>
      </c>
    </row>
    <row r="421" spans="1:230" ht="15.75" thickBot="1" x14ac:dyDescent="0.3">
      <c r="A421" s="292" t="s">
        <v>1516</v>
      </c>
      <c r="B421" s="293" t="str" cm="1">
        <f t="array" ref="B421">IFERROR(_xlfn.XLOOKUP(A421,Earnings!$B$2:$B$9984,LEFT(Earnings!$C$2:$C$9984,37)),"Can't Find Date***")</f>
        <v>on 6/26/25 Before Market Eastern Stan</v>
      </c>
      <c r="C421" s="294">
        <f t="shared" si="654"/>
        <v>2</v>
      </c>
      <c r="D421" s="295" t="str">
        <f>_xlfn.XLOOKUP(A421,[1]SP500!$A$2:$A$502,[1]SP500!$D$2:$D$502,"N")</f>
        <v>Y</v>
      </c>
      <c r="E421" s="292" t="str">
        <f>IFERROR(_xlfn.XLOOKUP(A421,[1]SP500!$A$2:$A$655,[1]SP500!$B$2:$B$655),"")</f>
        <v>XLP</v>
      </c>
      <c r="F421" s="296">
        <v>45834</v>
      </c>
      <c r="G421" s="292" t="str">
        <f t="shared" si="655"/>
        <v>BMO</v>
      </c>
      <c r="H421" s="292" t="str">
        <f t="shared" si="656"/>
        <v>s</v>
      </c>
      <c r="I421" s="345">
        <v>73.64</v>
      </c>
      <c r="J421" s="313">
        <v>77</v>
      </c>
      <c r="K421" s="298">
        <f t="shared" si="657"/>
        <v>4.5627376425855508E-2</v>
      </c>
      <c r="L421" s="299">
        <f t="shared" si="658"/>
        <v>-60.480000000000018</v>
      </c>
      <c r="M421" s="300">
        <f t="shared" si="659"/>
        <v>-2.5199999999999818</v>
      </c>
      <c r="N421" s="301">
        <f t="shared" si="660"/>
        <v>-60.480000000000018</v>
      </c>
      <c r="O421" s="302">
        <f>IF(N421="",#N/A,SUM($N$4:N421))</f>
        <v>291.64077189005286</v>
      </c>
      <c r="P421" s="305">
        <f t="shared" si="754"/>
        <v>-0.76045627376425884</v>
      </c>
      <c r="Q421" s="304">
        <f>IF($N421="",#N/A,SUM($P$4:P421))</f>
        <v>10.599249202065323</v>
      </c>
      <c r="R421" s="307">
        <f t="shared" si="661"/>
        <v>-0.72084223794961844</v>
      </c>
      <c r="S421" s="292" t="str">
        <f t="shared" si="662"/>
        <v>Dwn</v>
      </c>
      <c r="T421" s="292" t="s">
        <v>4461</v>
      </c>
      <c r="U421" s="308">
        <f t="shared" si="663"/>
        <v>73.64</v>
      </c>
      <c r="V421" s="308" t="s">
        <v>4458</v>
      </c>
      <c r="W421" s="310">
        <v>18</v>
      </c>
      <c r="X421" s="309">
        <f t="shared" si="664"/>
        <v>1325.52</v>
      </c>
      <c r="Y421" s="310">
        <f t="shared" si="665"/>
        <v>18</v>
      </c>
      <c r="Z421" s="311">
        <v>77.14</v>
      </c>
      <c r="AA421" s="341">
        <f t="shared" si="666"/>
        <v>-63</v>
      </c>
      <c r="AB421" s="341">
        <f t="shared" si="667"/>
        <v>-70.739999999999782</v>
      </c>
      <c r="AC421" s="297">
        <v>77.569999999999993</v>
      </c>
      <c r="AD421" s="301">
        <f t="shared" si="668"/>
        <v>-70.739999999999782</v>
      </c>
      <c r="AE421" s="546">
        <f t="shared" si="669"/>
        <v>-0.88946224877783542</v>
      </c>
      <c r="AF421" s="300">
        <f>IF($AC421="",#N/A,SUM(AD$4:AD421))</f>
        <v>399.43360046695148</v>
      </c>
      <c r="AG421" s="341">
        <f t="shared" si="670"/>
        <v>-10.259999999999764</v>
      </c>
      <c r="AH421" s="308" t="s">
        <v>2507</v>
      </c>
      <c r="AI421" s="305">
        <f t="shared" si="671"/>
        <v>-0.79214195183776936</v>
      </c>
      <c r="AJ421" s="305">
        <f>IF(AI421="",#N/A,SUM($AI$4:AI421))</f>
        <v>11.320091440014941</v>
      </c>
      <c r="AK421" s="308">
        <f t="shared" si="672"/>
        <v>-63</v>
      </c>
      <c r="AL421" s="609">
        <f>IF(AI421="",#N/A,IF(AH421="Skip",SUM($AK$4:AK421),SUM($AK$4:AK421)))</f>
        <v>459.94236927848124</v>
      </c>
      <c r="AM421" s="65">
        <f t="shared" si="755"/>
        <v>-0.88946224877783542</v>
      </c>
      <c r="AN421" s="209"/>
      <c r="AO421" s="65" t="str">
        <f t="shared" si="673"/>
        <v/>
      </c>
      <c r="AP421" s="65">
        <f>IF($AC421="",#N/A,SUM(AO$4:AO421))</f>
        <v>7.1357269367307552</v>
      </c>
      <c r="AQ421" s="65" t="str">
        <f t="shared" si="674"/>
        <v/>
      </c>
      <c r="AR421" s="65">
        <f>IF($AC421="",#N/A,SUM(AQ$4:AQ421))</f>
        <v>-6.1574501776408388</v>
      </c>
      <c r="AS421" s="65">
        <f t="shared" si="675"/>
        <v>-0.88946224877783542</v>
      </c>
      <c r="AT421" s="65">
        <f>IF($AC421="",#N/A,SUM(AS$4:AS421))</f>
        <v>7.55237607941406</v>
      </c>
      <c r="AU421" s="57" t="str">
        <f t="shared" si="756"/>
        <v/>
      </c>
      <c r="AV421" s="57">
        <f>IF($AC421="",#N/A,SUM(AU$4:AU421))</f>
        <v>296.77383890574652</v>
      </c>
      <c r="AW421" s="57" t="str">
        <f t="shared" si="757"/>
        <v/>
      </c>
      <c r="AX421" s="57">
        <f>IF($AC421="",#N/A,SUM(AW$4:AW421))</f>
        <v>-459.68743161597467</v>
      </c>
      <c r="AY421" s="57">
        <f t="shared" si="758"/>
        <v>-70.739999999999782</v>
      </c>
      <c r="AZ421" s="57">
        <f>IF($AC421="",#N/A,SUM(AY$4:AY421))</f>
        <v>562.34719317717952</v>
      </c>
      <c r="BA421" s="57">
        <f>IF(AD421="",#N/A,SUM($AD$4:AD421))</f>
        <v>399.43360046695148</v>
      </c>
      <c r="BC421" s="51" t="str">
        <f t="shared" si="676"/>
        <v/>
      </c>
      <c r="BD421" s="51">
        <f t="shared" si="677"/>
        <v>1</v>
      </c>
      <c r="BE421" s="51" t="str">
        <f t="shared" si="678"/>
        <v/>
      </c>
      <c r="BF421" s="51" t="str">
        <f t="shared" si="679"/>
        <v>Short</v>
      </c>
      <c r="BG421" s="51" t="str">
        <f t="shared" si="680"/>
        <v/>
      </c>
      <c r="BH421" s="51" t="str">
        <f t="shared" si="681"/>
        <v/>
      </c>
      <c r="BI421" s="51" t="str">
        <f t="shared" si="682"/>
        <v/>
      </c>
      <c r="BK421" s="65">
        <f t="shared" si="653"/>
        <v>2.1925308944900194E-2</v>
      </c>
      <c r="BL421" s="65">
        <f t="shared" si="761"/>
        <v>-9.2535242553349453E-2</v>
      </c>
      <c r="BM421" s="65">
        <f>IFERROR(Q421/COUNTA($J$4:J421),#N/A)</f>
        <v>2.5357055507333307E-2</v>
      </c>
      <c r="BO421" s="489" t="e">
        <f>IF(J421="",#N/A,IF(S421="SW",(COUNTIFS(K$4:$K421,"&gt;0",S$4:$S421,"SW")/COUNTIF(S$4:$S421,"SW")),#N/A))</f>
        <v>#N/A</v>
      </c>
      <c r="BP421" s="489">
        <f>IF($J421="",#N/A,IF($S421="DWN",(COUNTIFS($K$4:$K421,"&lt;0",$S$4:$S421,"DWN")/COUNTIF($S$4:$S421,"DWN")),#N/A))</f>
        <v>0.55421686746987953</v>
      </c>
      <c r="BQ421" s="489" t="e">
        <f>IF($J421="",#N/A,IF($S421="UP",(COUNTIFS($K$4:$K421,"&gt;0",$S$4:$S421,"UP")/COUNTIF($S$4:$S421,"UP")),#N/A))</f>
        <v>#N/A</v>
      </c>
      <c r="BR421" s="489">
        <f>IF(J421="",#N/A,COUNTIF($K$4:K421,"&gt;0")/COUNT($J$4:J421))</f>
        <v>0.47607655502392343</v>
      </c>
      <c r="BS421" s="65" t="str">
        <f t="shared" si="683"/>
        <v/>
      </c>
      <c r="BT421" s="65" t="str">
        <f t="shared" si="684"/>
        <v/>
      </c>
      <c r="BU421" s="65" t="str">
        <f t="shared" si="685"/>
        <v/>
      </c>
      <c r="BV421" s="65">
        <f t="shared" si="686"/>
        <v>-0.76045627376425884</v>
      </c>
      <c r="BW421" s="128" t="str">
        <f t="shared" si="687"/>
        <v/>
      </c>
      <c r="BX421" s="128">
        <f>IF($J421="",#N/A,SUM($BW$4:BW421))</f>
        <v>-658.25347337823268</v>
      </c>
      <c r="BY421" s="131">
        <f t="shared" si="688"/>
        <v>-60.480000000000018</v>
      </c>
      <c r="BZ421" s="131">
        <f>IF($J421="",#N/A,SUM($BY$4:BY421))</f>
        <v>570.46161346139411</v>
      </c>
      <c r="CA421" s="133" t="str">
        <f t="shared" si="689"/>
        <v/>
      </c>
      <c r="CB421" s="133">
        <f>IF($J421="",#N/A,SUM($CA$4:CA421))</f>
        <v>379.43263180689121</v>
      </c>
      <c r="CC421" s="194" t="str">
        <f t="shared" si="690"/>
        <v/>
      </c>
      <c r="CD421" s="194">
        <f>IF($J421="",#N/A,SUM($CC$4:CC421))</f>
        <v>-8.3953556824505036</v>
      </c>
      <c r="CE421" s="195">
        <f t="shared" si="691"/>
        <v>-0.76045627376425884</v>
      </c>
      <c r="CF421" s="195">
        <f>IF($J421="",#N/A,SUM($CE$4:CE421))</f>
        <v>10.963955006451521</v>
      </c>
      <c r="CG421" s="196" t="str">
        <f t="shared" si="692"/>
        <v/>
      </c>
      <c r="CH421" s="196">
        <f>IF($J421="",#N/A,SUM($CG$4:CG421))</f>
        <v>8.0306498780643203</v>
      </c>
      <c r="CI421" s="200" t="str">
        <f t="shared" si="693"/>
        <v/>
      </c>
      <c r="CJ421" s="203">
        <f>IF($J421="",#N/A,SUM(CI$4:CI421))</f>
        <v>0.40279467610514952</v>
      </c>
      <c r="CK421" s="204" t="str">
        <f t="shared" si="694"/>
        <v/>
      </c>
      <c r="CL421" s="204">
        <f>IF($J421="",#N/A,SUM(CK$4:CK421))</f>
        <v>2.0825010564889137</v>
      </c>
      <c r="CM421" s="205" t="str">
        <f t="shared" si="695"/>
        <v/>
      </c>
      <c r="CN421" s="205">
        <f>IF($J421="",#N/A,SUM(CM$4:CM421))</f>
        <v>-0.83431524840310756</v>
      </c>
      <c r="CO421" s="205">
        <f>IF($J421="",#N/A,SUM(CM$4:CM421,CK$4:CK421,CI$4:CI421))</f>
        <v>1.6509804841909559</v>
      </c>
      <c r="CP421" s="200" t="str">
        <f t="shared" si="696"/>
        <v/>
      </c>
      <c r="CQ421" s="203">
        <f>IF($J421="",#N/A,SUM(CP$4:CP421))</f>
        <v>-2.7099780615005766</v>
      </c>
      <c r="CR421" s="204" t="str">
        <f t="shared" si="697"/>
        <v/>
      </c>
      <c r="CS421" s="204">
        <f>IF($J421="",#N/A,SUM(CR$4:CR421))</f>
        <v>3.2133390748971404</v>
      </c>
      <c r="CT421" s="205" t="str">
        <f t="shared" si="698"/>
        <v/>
      </c>
      <c r="CU421" s="205">
        <f>IF($J421="",#N/A,SUM(CT$4:CT421))</f>
        <v>-12.045896072422382</v>
      </c>
      <c r="CV421" s="205">
        <f>IF($J421="",#N/A,SUM(CT$4:CT421,CR$4:CR421,CP$4:CP421))</f>
        <v>-11.542535059025816</v>
      </c>
      <c r="CW421" s="200" t="str">
        <f t="shared" si="699"/>
        <v/>
      </c>
      <c r="CX421" s="203">
        <f>IF($J421="",#N/A,SUM(CW$4:CW421))</f>
        <v>-7.7830097399790894</v>
      </c>
      <c r="CY421" s="204" t="str">
        <f t="shared" si="700"/>
        <v/>
      </c>
      <c r="CZ421" s="204">
        <f>IF($J421="",#N/A,SUM(CY$4:CY421))</f>
        <v>-2.6367641712432155</v>
      </c>
      <c r="DA421" s="205" t="str">
        <f t="shared" si="701"/>
        <v/>
      </c>
      <c r="DB421" s="205">
        <f>IF($J421="",#N/A,SUM(DA$4:DA421))</f>
        <v>-0.60149940624852594</v>
      </c>
      <c r="DC421" s="205">
        <f>IF($J421="",#N/A,SUM(DA$4:DA421,CY$4:CY421,CW$4:CW421))</f>
        <v>-11.021273317470831</v>
      </c>
      <c r="DD421" s="200" t="str">
        <f t="shared" si="702"/>
        <v/>
      </c>
      <c r="DE421" s="203">
        <f>IF($J421="",#N/A,SUM(DD$4:DD421))</f>
        <v>2.1903002454447948</v>
      </c>
      <c r="DF421" s="204">
        <f t="shared" si="703"/>
        <v>-0.76045627376425884</v>
      </c>
      <c r="DG421" s="204">
        <f>IF($J421="",#N/A,SUM(DF$4:DF421))</f>
        <v>3.4483799444276562</v>
      </c>
      <c r="DH421" s="205" t="str">
        <f t="shared" si="704"/>
        <v/>
      </c>
      <c r="DI421" s="205">
        <f>IF($J421="",#N/A,SUM(DH$4:DH421))</f>
        <v>1.1482786833538656</v>
      </c>
      <c r="DJ421" s="205">
        <f>IF($J421="",#N/A,SUM(DH$4:DH421,DF$4:DF421,DD$4:DD421))</f>
        <v>6.7869588732263173</v>
      </c>
      <c r="DK421" s="200" t="str">
        <f t="shared" si="705"/>
        <v/>
      </c>
      <c r="DL421" s="203">
        <f>IF($J421="",#N/A,SUM(DK$4:DK421))</f>
        <v>-0.84049791589649614</v>
      </c>
      <c r="DM421" s="204" t="str">
        <f t="shared" si="706"/>
        <v/>
      </c>
      <c r="DN421" s="204">
        <f>IF($J421="",#N/A,SUM(DM$4:DM421))</f>
        <v>1.8657648196498773</v>
      </c>
      <c r="DO421" s="205" t="str">
        <f t="shared" si="707"/>
        <v/>
      </c>
      <c r="DP421" s="205">
        <f>IF($J421="",#N/A,SUM(DO$4:DO421))</f>
        <v>3.4887162328793941</v>
      </c>
      <c r="DQ421" s="205">
        <f>IF($J421="",#N/A,SUM(DO$4:DO421,DM$4:DM421,DK$4:DK421))</f>
        <v>4.5139831366327758</v>
      </c>
      <c r="DR421" s="200" t="str">
        <f t="shared" si="708"/>
        <v/>
      </c>
      <c r="DS421" s="203">
        <f>IF($J421="",#N/A,SUM(DR$4:DR421))</f>
        <v>-0.55950946427675097</v>
      </c>
      <c r="DT421" s="204" t="str">
        <f t="shared" si="709"/>
        <v/>
      </c>
      <c r="DU421" s="204">
        <f>IF($J421="",#N/A,SUM(DT$4:DT421))</f>
        <v>-0.20750635820596686</v>
      </c>
      <c r="DV421" s="205" t="str">
        <f t="shared" si="710"/>
        <v/>
      </c>
      <c r="DW421" s="205">
        <f>IF($J421="",#N/A,SUM(DV$4:DV421))</f>
        <v>-2.3377035686214001</v>
      </c>
      <c r="DX421" s="205">
        <f>IF($J421="",#N/A,SUM(DV$4:DV421,DT$4:DT421,DR$4:DR421))</f>
        <v>-3.1047193911041169</v>
      </c>
      <c r="DY421" s="200" t="str">
        <f t="shared" si="711"/>
        <v/>
      </c>
      <c r="DZ421" s="203">
        <f>IF($J421="",#N/A,SUM(DY$4:DY421))</f>
        <v>0.24785202869748424</v>
      </c>
      <c r="EA421" s="204" t="str">
        <f t="shared" si="712"/>
        <v/>
      </c>
      <c r="EB421" s="204">
        <f>IF($J421="",#N/A,SUM(EA$4:EA421))</f>
        <v>4.3184391548878134</v>
      </c>
      <c r="EC421" s="205" t="str">
        <f t="shared" si="713"/>
        <v/>
      </c>
      <c r="ED421" s="205">
        <f>IF($J421="",#N/A,SUM(EC$4:EC421))</f>
        <v>8.4384553208490907</v>
      </c>
      <c r="EE421" s="205">
        <f>IF($J421="",#N/A,SUM(EC$4:EC421,EA$4:EA421,DY$4:DY421))</f>
        <v>13.00474650443439</v>
      </c>
      <c r="EF421" s="200" t="str">
        <f t="shared" si="714"/>
        <v/>
      </c>
      <c r="EG421" s="203">
        <f>IF($J421="",#N/A,SUM(EF$4:EF421))</f>
        <v>0.65848341369884777</v>
      </c>
      <c r="EH421" s="204" t="str">
        <f t="shared" si="715"/>
        <v/>
      </c>
      <c r="EI421" s="204">
        <f>IF($J421="",#N/A,SUM(EH$4:EH421))</f>
        <v>-3.5125331561187787</v>
      </c>
      <c r="EJ421" s="205" t="str">
        <f t="shared" si="716"/>
        <v/>
      </c>
      <c r="EK421" s="205">
        <f>IF($J421="",#N/A,SUM(EJ$4:EJ421))</f>
        <v>13.156552985368888</v>
      </c>
      <c r="EL421" s="205">
        <f>IF($J421="",#N/A,SUM(EJ$4:EJ421,EH$4:EH421,EF$4:EF421))</f>
        <v>10.30250324294896</v>
      </c>
      <c r="EM421" s="200" t="str">
        <f t="shared" si="717"/>
        <v/>
      </c>
      <c r="EN421" s="203">
        <f>IF($J421="",#N/A,SUM(EM$4:EM421))</f>
        <v>0</v>
      </c>
      <c r="EO421" s="204" t="str">
        <f t="shared" si="718"/>
        <v/>
      </c>
      <c r="EP421" s="204">
        <f>IF($J421="",#N/A,SUM(EO$4:EO421))</f>
        <v>2.4788862078089964</v>
      </c>
      <c r="EQ421" s="205" t="str">
        <f t="shared" si="719"/>
        <v/>
      </c>
      <c r="ER421" s="205">
        <f>IF($J421="",#N/A,SUM(EQ$4:EQ421))</f>
        <v>1.7856049065476487</v>
      </c>
      <c r="ES421" s="205">
        <f>IF($J421="",#N/A,SUM(EQ$4:EQ421,EO$4:EO421,EM$4:EM421))</f>
        <v>4.2644911143566446</v>
      </c>
      <c r="ET421" s="200" t="str">
        <f t="shared" si="720"/>
        <v/>
      </c>
      <c r="EU421" s="203">
        <f>IF($J421="",#N/A,SUM(ET$4:ET421))</f>
        <v>-0.26498852607816792</v>
      </c>
      <c r="EV421" s="204" t="str">
        <f t="shared" si="721"/>
        <v/>
      </c>
      <c r="EW421" s="204">
        <f>IF($J421="",#N/A,SUM(EV$4:EV421))</f>
        <v>7.9116394275462909E-2</v>
      </c>
      <c r="EX421" s="205" t="str">
        <f t="shared" si="722"/>
        <v/>
      </c>
      <c r="EY421" s="205">
        <f>IF($J421="",#N/A,SUM(EX$4:EX421))</f>
        <v>0.62848633887309935</v>
      </c>
      <c r="EZ421" s="205">
        <f>IF($J421="",#N/A,SUM(EX$4:EX421,EV$4:EV421,ET$4:ET421))</f>
        <v>0.44261420707039401</v>
      </c>
      <c r="FA421" s="200" t="str">
        <f t="shared" si="723"/>
        <v/>
      </c>
      <c r="FB421" s="203">
        <f>IF($J421="",#N/A,SUM(FA$4:FA421))</f>
        <v>-0.27145310509113252</v>
      </c>
      <c r="FC421" s="204" t="str">
        <f t="shared" si="724"/>
        <v/>
      </c>
      <c r="FD421" s="204">
        <f>IF($J421="",#N/A,SUM(FC$4:FC421))</f>
        <v>0.89084290967454072</v>
      </c>
      <c r="FE421" s="205" t="str">
        <f t="shared" si="725"/>
        <v/>
      </c>
      <c r="FF421" s="205">
        <f>IF($J421="",#N/A,SUM(FE$4:FE421))</f>
        <v>-0.28811149078748233</v>
      </c>
      <c r="FG421" s="205">
        <f>IF($J421="",#N/A,SUM(FE$4:FE421,FC$4:FC421,FA$4:FA421))</f>
        <v>0.3312783137959262</v>
      </c>
      <c r="FH421" s="200" t="str">
        <f t="shared" si="726"/>
        <v/>
      </c>
      <c r="FI421" s="203">
        <f>IF($J421="",#N/A,SUM(FH$4:FH421))</f>
        <v>0</v>
      </c>
      <c r="FJ421" s="204" t="str">
        <f t="shared" si="727"/>
        <v/>
      </c>
      <c r="FK421" s="204">
        <f>IF($J421="",#N/A,SUM(FJ$4:FJ421))</f>
        <v>0</v>
      </c>
      <c r="FL421" s="205" t="str">
        <f t="shared" si="728"/>
        <v/>
      </c>
      <c r="FM421" s="205">
        <f>IF($J421="",#N/A,SUM(FL$4:FL421))</f>
        <v>0</v>
      </c>
      <c r="FN421" s="205">
        <f>IF($J421="",#N/A,SUM(FL$4:FL421,FJ$4:FJ421,FH$4:FH421))</f>
        <v>0</v>
      </c>
      <c r="FO421" s="200" t="str">
        <f t="shared" si="729"/>
        <v/>
      </c>
      <c r="FP421" s="203">
        <f>IF($J421="",#N/A,SUM(FO$4:FO421))</f>
        <v>0</v>
      </c>
      <c r="FQ421" s="204" t="str">
        <f t="shared" si="730"/>
        <v/>
      </c>
      <c r="FR421" s="204">
        <f>IF($J421="",#N/A,SUM(FQ$4:FQ421))</f>
        <v>0</v>
      </c>
      <c r="FS421" s="205" t="str">
        <f t="shared" si="731"/>
        <v/>
      </c>
      <c r="FT421" s="205">
        <f>IF($J421="",#N/A,SUM(FS$4:FS421))</f>
        <v>0</v>
      </c>
      <c r="FU421" s="205">
        <f>IF($J421="",#N/A,SUM(FS$4:FS421,FQ$4:FQ421,FO$4:FO421))</f>
        <v>0</v>
      </c>
      <c r="FV421" s="200" t="str">
        <f t="shared" si="732"/>
        <v/>
      </c>
      <c r="FW421" s="203">
        <f>IF($J421="",#N/A,SUM(FV$4:FV421))</f>
        <v>6.6834991831277585E-2</v>
      </c>
      <c r="FX421" s="204" t="str">
        <f t="shared" si="733"/>
        <v/>
      </c>
      <c r="FY421" s="204">
        <f>IF($J421="",#N/A,SUM(FX$4:FX421))</f>
        <v>-0.16102012791805576</v>
      </c>
      <c r="FZ421" s="205" t="str">
        <f t="shared" si="734"/>
        <v/>
      </c>
      <c r="GA421" s="205">
        <f>IF($J421="",#N/A,SUM(FZ$4:FZ421))</f>
        <v>-0.69624339162892301</v>
      </c>
      <c r="GB421" s="205">
        <f>IF($J421="",#N/A,SUM(FZ$4:FZ421,FX$4:FX421,FV$4:FV421))</f>
        <v>-0.79042852771570116</v>
      </c>
      <c r="GC421" s="200" t="str">
        <f t="shared" si="735"/>
        <v/>
      </c>
      <c r="GD421" s="203">
        <f>IF($J421="",#N/A,SUM(GC$4:GC421))</f>
        <v>0</v>
      </c>
      <c r="GE421" s="204" t="str">
        <f t="shared" si="736"/>
        <v/>
      </c>
      <c r="GF421" s="204">
        <f>IF($J421="",#N/A,SUM(GE$4:GE421))</f>
        <v>0</v>
      </c>
      <c r="GG421" s="205" t="str">
        <f t="shared" si="737"/>
        <v/>
      </c>
      <c r="GH421" s="205">
        <f>IF($J421="",#N/A,SUM(GG$4:GG421))</f>
        <v>-2.9368362277223206</v>
      </c>
      <c r="GI421" s="205">
        <f>IF($J421="",#N/A,SUM(GG$4:GG421,GE$4:GE421,GC$4:GC421))</f>
        <v>-2.9368362277223206</v>
      </c>
      <c r="GJ421" s="200" t="str">
        <f t="shared" si="738"/>
        <v/>
      </c>
      <c r="GK421" s="203">
        <f>IF($J421="",#N/A,SUM(GJ$4:GJ421))</f>
        <v>0</v>
      </c>
      <c r="GL421" s="204" t="str">
        <f t="shared" si="739"/>
        <v/>
      </c>
      <c r="GM421" s="204">
        <f>IF($J421="",#N/A,SUM(GL$4:GL421))</f>
        <v>-2.0621307233432784</v>
      </c>
      <c r="GN421" s="205" t="str">
        <f t="shared" si="740"/>
        <v/>
      </c>
      <c r="GO421" s="205">
        <f>IF($J421="",#N/A,SUM(GN$4:GN421))</f>
        <v>0.79182748269313297</v>
      </c>
      <c r="GP421" s="205">
        <f>IF($J421="",#N/A,SUM(GN$4:GN421,GL$4:GL421,GJ$4:GJ421))</f>
        <v>-1.2703032406501453</v>
      </c>
      <c r="GS421" s="54">
        <f t="shared" si="759"/>
        <v>-0.76045627376425884</v>
      </c>
      <c r="GT421" s="54">
        <f>IF(GS421="",NA(),SUM($GS$4:GS421))</f>
        <v>16.775714194358926</v>
      </c>
      <c r="GU421" s="54" t="str">
        <f t="shared" si="741"/>
        <v/>
      </c>
      <c r="GV421" s="54" t="e">
        <f>IF(GU421="",NA(),SUM($GU$4:GU421))</f>
        <v>#N/A</v>
      </c>
      <c r="GW421" s="54" t="str">
        <f t="shared" si="742"/>
        <v/>
      </c>
      <c r="GX421" s="54" t="e">
        <f>IF(GW421="",NA(),SUM($GW$4:GW421))</f>
        <v>#N/A</v>
      </c>
      <c r="GY421" s="54">
        <f t="shared" si="743"/>
        <v>-0.76045627376425884</v>
      </c>
      <c r="GZ421" s="54">
        <f>IF(GY421="",NA(),SUM($GY$4:GY421))</f>
        <v>10.873859384721662</v>
      </c>
      <c r="HA421" s="54" t="str">
        <f t="shared" si="744"/>
        <v/>
      </c>
      <c r="HB421" s="54" t="e">
        <f>IF(HA421="",NA(),SUM($HA$4:HA421))</f>
        <v>#N/A</v>
      </c>
      <c r="HC421" s="54" t="str">
        <f t="shared" si="745"/>
        <v/>
      </c>
      <c r="HD421" s="54" t="e">
        <f>IF(HC421="",NA(),SUM($HC$4:HC421))</f>
        <v>#N/A</v>
      </c>
      <c r="HE421" s="54" t="str">
        <f t="shared" si="746"/>
        <v/>
      </c>
      <c r="HF421" s="54" t="e">
        <f>IF(HE421="",NA(),SUM($HE$4:HE421))</f>
        <v>#N/A</v>
      </c>
      <c r="HG421" s="54" t="str">
        <f t="shared" si="747"/>
        <v/>
      </c>
      <c r="HH421" s="54" t="e">
        <f>IF(HG421="",NA(),SUM($HG$4:HG421))</f>
        <v>#N/A</v>
      </c>
      <c r="HI421" s="172" t="str">
        <f t="shared" si="760"/>
        <v/>
      </c>
      <c r="HJ421" s="172">
        <f>IF($J421="",#N/A,SUM(HI$4:$HI421))</f>
        <v>-10.92410839379933</v>
      </c>
      <c r="HK421" s="54">
        <f t="shared" si="748"/>
        <v>-0.12900597501357658</v>
      </c>
      <c r="HL421" s="54">
        <f>IF($J421="",#N/A,SUM($HK$4:HK421))</f>
        <v>7.5125294667618787</v>
      </c>
      <c r="HM421" s="54" t="str">
        <f t="shared" si="749"/>
        <v/>
      </c>
      <c r="HN421" s="54">
        <f>IF($J421="",#N/A,SUM($HM$4:HM421))</f>
        <v>2.7840374226496793</v>
      </c>
      <c r="HO421" s="54" t="str">
        <f t="shared" si="750"/>
        <v/>
      </c>
      <c r="HP421" s="54">
        <f>IF($J421="",#N/A,SUM($HO$4:HO421))</f>
        <v>-0.54613191784001369</v>
      </c>
      <c r="HQ421" s="54" t="str">
        <f t="shared" si="751"/>
        <v/>
      </c>
      <c r="HR421" s="54">
        <f>IF($J421="",#N/A,SUM($HQ$4:HQ421))</f>
        <v>-15.059228634790733</v>
      </c>
      <c r="HS421" s="54" t="str">
        <f t="shared" si="752"/>
        <v/>
      </c>
      <c r="HT421" s="54">
        <f>IF($J421="",#N/A,SUM($HS$4:HS421))</f>
        <v>14.660479149324726</v>
      </c>
      <c r="HU421" s="65">
        <f t="shared" si="753"/>
        <v>-0.88946224877783542</v>
      </c>
      <c r="HV421" s="65">
        <f>IF($J421="",#N/A,SUM(HU$4:$HU421))</f>
        <v>8.5306528385039826</v>
      </c>
    </row>
    <row r="422" spans="1:230" ht="15.75" thickBot="1" x14ac:dyDescent="0.3">
      <c r="A422" s="59" t="s">
        <v>1334</v>
      </c>
      <c r="B422" s="289" t="str" cm="1">
        <f t="array" ref="B422">IFERROR(_xlfn.XLOOKUP(A422,Earnings!$B$2:$B$9984,LEFT(Earnings!$C$2:$C$9984,37)),"Can't Find Date***")</f>
        <v>on 6/26/25 After Market Eastern Stand</v>
      </c>
      <c r="C422" s="230">
        <f t="shared" si="654"/>
        <v>3</v>
      </c>
      <c r="D422" s="220" t="str">
        <f>_xlfn.XLOOKUP(A422,[1]SP500!$A$2:$A$502,[1]SP500!$D$2:$D$502,"N")</f>
        <v>Y</v>
      </c>
      <c r="E422" s="59" t="str">
        <f>IFERROR(_xlfn.XLOOKUP(A422,[1]SP500!$A$2:$A$655,[1]SP500!$B$2:$B$655),"")</f>
        <v>XLY</v>
      </c>
      <c r="F422" s="290">
        <v>45834</v>
      </c>
      <c r="G422" s="59" t="str">
        <f t="shared" si="655"/>
        <v>AMC</v>
      </c>
      <c r="H422" s="59" t="str">
        <f t="shared" si="656"/>
        <v>s</v>
      </c>
      <c r="I422" s="376">
        <v>62.54</v>
      </c>
      <c r="J422" s="125">
        <v>69.790000000000006</v>
      </c>
      <c r="K422" s="60">
        <f t="shared" si="657"/>
        <v>0.11592580748321087</v>
      </c>
      <c r="L422" s="68">
        <f t="shared" si="658"/>
        <v>159.50000000000023</v>
      </c>
      <c r="M422" s="62" t="e">
        <f t="shared" si="659"/>
        <v>#N/A</v>
      </c>
      <c r="N422" s="63">
        <f t="shared" si="660"/>
        <v>159.50000000000023</v>
      </c>
      <c r="O422" s="62">
        <f>IF(N422="",#N/A,SUM($N$4:N422))</f>
        <v>451.14077189005309</v>
      </c>
      <c r="P422" s="64">
        <f t="shared" si="754"/>
        <v>1.9320967913868488</v>
      </c>
      <c r="Q422" s="183">
        <f>IF($N422="",#N/A,SUM($P$4:P422))</f>
        <v>12.531345993452172</v>
      </c>
      <c r="R422" s="279">
        <f t="shared" si="661"/>
        <v>-0.21716459164325563</v>
      </c>
      <c r="S422" s="59" t="str">
        <f t="shared" si="662"/>
        <v>SW</v>
      </c>
      <c r="T422" s="59" t="s">
        <v>2828</v>
      </c>
      <c r="U422" s="61">
        <f t="shared" si="663"/>
        <v>62.54</v>
      </c>
      <c r="V422" s="61" t="s">
        <v>4460</v>
      </c>
      <c r="W422" s="142">
        <v>22</v>
      </c>
      <c r="X422" s="146">
        <f t="shared" si="664"/>
        <v>1375.8799999999999</v>
      </c>
      <c r="Y422" s="142">
        <f t="shared" si="665"/>
        <v>22</v>
      </c>
      <c r="Z422" s="143">
        <v>67.900000000000006</v>
      </c>
      <c r="AA422" s="63">
        <f t="shared" si="666"/>
        <v>117.9200000000003</v>
      </c>
      <c r="AB422" s="63">
        <f t="shared" si="667"/>
        <v>209.00000000000023</v>
      </c>
      <c r="AC422" s="125">
        <v>72.040000000000006</v>
      </c>
      <c r="AD422" s="148">
        <f t="shared" si="668"/>
        <v>209.00000000000023</v>
      </c>
      <c r="AE422" s="544">
        <f t="shared" si="669"/>
        <v>2.5317130369896632</v>
      </c>
      <c r="AF422" s="62">
        <f>IF($AC422="",#N/A,SUM(AD$4:AD422))</f>
        <v>608.4336004669517</v>
      </c>
      <c r="AG422" s="63">
        <f t="shared" si="670"/>
        <v>49.5</v>
      </c>
      <c r="AH422" s="61" t="s">
        <v>4471</v>
      </c>
      <c r="AI422" s="610">
        <f t="shared" si="671"/>
        <v>1.4284191450804857</v>
      </c>
      <c r="AJ422" s="612">
        <f>IF(AI422="",#N/A,SUM($AI$4:AI422))</f>
        <v>12.748510585095428</v>
      </c>
      <c r="AK422" s="611">
        <f t="shared" si="672"/>
        <v>117.9200000000003</v>
      </c>
      <c r="AL422" s="421">
        <f>IF(AI422="",#N/A,IF(AH422="Skip",SUM($AK$4:AK422),SUM($AK$4:AK422)))</f>
        <v>577.86236927848154</v>
      </c>
      <c r="AM422" s="65">
        <f t="shared" si="755"/>
        <v>2.5317130369896632</v>
      </c>
      <c r="AN422" s="209"/>
      <c r="AO422" s="65">
        <f t="shared" si="673"/>
        <v>2.5317130369896632</v>
      </c>
      <c r="AP422" s="65">
        <f>IF($AC422="",#N/A,SUM(AO$4:AO422))</f>
        <v>9.667439973720418</v>
      </c>
      <c r="AQ422" s="65" t="str">
        <f t="shared" si="674"/>
        <v/>
      </c>
      <c r="AR422" s="65">
        <f>IF($AC422="",#N/A,SUM(AQ$4:AQ422))</f>
        <v>-6.1574501776408388</v>
      </c>
      <c r="AS422" s="65" t="str">
        <f t="shared" si="675"/>
        <v/>
      </c>
      <c r="AT422" s="65">
        <f>IF($AC422="",#N/A,SUM(AS$4:AS422))</f>
        <v>7.55237607941406</v>
      </c>
      <c r="AU422" s="57">
        <f t="shared" si="756"/>
        <v>209.00000000000023</v>
      </c>
      <c r="AV422" s="57">
        <f>IF($AC422="",#N/A,SUM(AU$4:AU422))</f>
        <v>505.77383890574674</v>
      </c>
      <c r="AW422" s="57" t="str">
        <f t="shared" si="757"/>
        <v/>
      </c>
      <c r="AX422" s="57">
        <f>IF($AC422="",#N/A,SUM(AW$4:AW422))</f>
        <v>-459.68743161597467</v>
      </c>
      <c r="AY422" s="57" t="str">
        <f t="shared" si="758"/>
        <v/>
      </c>
      <c r="AZ422" s="57">
        <f>IF($AC422="",#N/A,SUM(AY$4:AY422))</f>
        <v>562.34719317717952</v>
      </c>
      <c r="BA422" s="57">
        <f>IF(AD422="",#N/A,SUM($AD$4:AD422))</f>
        <v>608.4336004669517</v>
      </c>
      <c r="BC422" s="51" t="str">
        <f t="shared" si="676"/>
        <v/>
      </c>
      <c r="BD422" s="51" t="str">
        <f t="shared" si="677"/>
        <v/>
      </c>
      <c r="BE422" s="51">
        <f t="shared" si="678"/>
        <v>1</v>
      </c>
      <c r="BF422" s="51" t="str">
        <f t="shared" si="679"/>
        <v>Long</v>
      </c>
      <c r="BG422" s="51" t="str">
        <f t="shared" si="680"/>
        <v/>
      </c>
      <c r="BH422" s="51" t="str">
        <f t="shared" si="681"/>
        <v/>
      </c>
      <c r="BI422" s="51" t="str">
        <f t="shared" si="682"/>
        <v/>
      </c>
      <c r="BK422" s="65">
        <f t="shared" si="653"/>
        <v>5.2948073582763371E-2</v>
      </c>
      <c r="BL422" s="65">
        <f t="shared" si="761"/>
        <v>-6.8708065834909599E-2</v>
      </c>
      <c r="BM422" s="65">
        <f>IFERROR(Q422/COUNTA($J$4:J422),#N/A)</f>
        <v>2.990774700107917E-2</v>
      </c>
      <c r="BO422" s="489">
        <f>IF(J422="",#N/A,IF(S422="SW",(COUNTIFS(K$4:$K422,"&gt;0",S$4:$S422,"SW")/COUNTIF(S$4:$S422,"SW")),#N/A))</f>
        <v>0.50495049504950495</v>
      </c>
      <c r="BP422" s="489" t="e">
        <f>IF($J422="",#N/A,IF($S422="DWN",(COUNTIFS($K$4:$K422,"&lt;0",$S$4:$S422,"DWN")/COUNTIF($S$4:$S422,"DWN")),#N/A))</f>
        <v>#N/A</v>
      </c>
      <c r="BQ422" s="489" t="e">
        <f>IF($J422="",#N/A,IF($S422="UP",(COUNTIFS($K$4:$K422,"&gt;0",$S$4:$S422,"UP")/COUNTIF($S$4:$S422,"UP")),#N/A))</f>
        <v>#N/A</v>
      </c>
      <c r="BR422" s="489">
        <f>IF(J422="",#N/A,COUNTIF($K$4:K422,"&gt;0")/COUNT($J$4:J422))</f>
        <v>0.47732696897374699</v>
      </c>
      <c r="BS422" s="65">
        <f t="shared" si="683"/>
        <v>1.9320967913868488</v>
      </c>
      <c r="BT422" s="65" t="str">
        <f t="shared" si="684"/>
        <v/>
      </c>
      <c r="BU422" s="65" t="str">
        <f t="shared" si="685"/>
        <v/>
      </c>
      <c r="BV422" s="65" t="str">
        <f t="shared" si="686"/>
        <v/>
      </c>
      <c r="BW422" s="128" t="str">
        <f t="shared" si="687"/>
        <v/>
      </c>
      <c r="BX422" s="128">
        <f>IF($J422="",#N/A,SUM($BW$4:BW422))</f>
        <v>-658.25347337823268</v>
      </c>
      <c r="BY422" s="131" t="str">
        <f t="shared" si="688"/>
        <v/>
      </c>
      <c r="BZ422" s="131">
        <f>IF($J422="",#N/A,SUM($BY$4:BY422))</f>
        <v>570.46161346139411</v>
      </c>
      <c r="CA422" s="133">
        <f t="shared" si="689"/>
        <v>159.50000000000023</v>
      </c>
      <c r="CB422" s="133">
        <f>IF($J422="",#N/A,SUM($CA$4:CA422))</f>
        <v>538.93263180689144</v>
      </c>
      <c r="CC422" s="194" t="str">
        <f t="shared" si="690"/>
        <v/>
      </c>
      <c r="CD422" s="194">
        <f>IF($J422="",#N/A,SUM($CC$4:CC422))</f>
        <v>-8.3953556824505036</v>
      </c>
      <c r="CE422" s="195" t="str">
        <f t="shared" si="691"/>
        <v/>
      </c>
      <c r="CF422" s="195">
        <f>IF($J422="",#N/A,SUM($CE$4:CE422))</f>
        <v>10.963955006451521</v>
      </c>
      <c r="CG422" s="196">
        <f t="shared" si="692"/>
        <v>1.9320967913868488</v>
      </c>
      <c r="CH422" s="196">
        <f>IF($J422="",#N/A,SUM($CG$4:CG422))</f>
        <v>9.9627466694511693</v>
      </c>
      <c r="CI422" s="200" t="str">
        <f t="shared" si="693"/>
        <v/>
      </c>
      <c r="CJ422" s="203">
        <f>IF($J422="",#N/A,SUM(CI$4:CI422))</f>
        <v>0.40279467610514952</v>
      </c>
      <c r="CK422" s="204" t="str">
        <f t="shared" si="694"/>
        <v/>
      </c>
      <c r="CL422" s="204">
        <f>IF($J422="",#N/A,SUM(CK$4:CK422))</f>
        <v>2.0825010564889137</v>
      </c>
      <c r="CM422" s="205" t="str">
        <f t="shared" si="695"/>
        <v/>
      </c>
      <c r="CN422" s="205">
        <f>IF($J422="",#N/A,SUM(CM$4:CM422))</f>
        <v>-0.83431524840310756</v>
      </c>
      <c r="CO422" s="205">
        <f>IF($J422="",#N/A,SUM(CM$4:CM422,CK$4:CK422,CI$4:CI422))</f>
        <v>1.6509804841909559</v>
      </c>
      <c r="CP422" s="200" t="str">
        <f t="shared" si="696"/>
        <v/>
      </c>
      <c r="CQ422" s="203">
        <f>IF($J422="",#N/A,SUM(CP$4:CP422))</f>
        <v>-2.7099780615005766</v>
      </c>
      <c r="CR422" s="204" t="str">
        <f t="shared" si="697"/>
        <v/>
      </c>
      <c r="CS422" s="204">
        <f>IF($J422="",#N/A,SUM(CR$4:CR422))</f>
        <v>3.2133390748971404</v>
      </c>
      <c r="CT422" s="205" t="str">
        <f t="shared" si="698"/>
        <v/>
      </c>
      <c r="CU422" s="205">
        <f>IF($J422="",#N/A,SUM(CT$4:CT422))</f>
        <v>-12.045896072422382</v>
      </c>
      <c r="CV422" s="205">
        <f>IF($J422="",#N/A,SUM(CT$4:CT422,CR$4:CR422,CP$4:CP422))</f>
        <v>-11.542535059025816</v>
      </c>
      <c r="CW422" s="200" t="str">
        <f t="shared" si="699"/>
        <v/>
      </c>
      <c r="CX422" s="203">
        <f>IF($J422="",#N/A,SUM(CW$4:CW422))</f>
        <v>-7.7830097399790894</v>
      </c>
      <c r="CY422" s="204" t="str">
        <f t="shared" si="700"/>
        <v/>
      </c>
      <c r="CZ422" s="204">
        <f>IF($J422="",#N/A,SUM(CY$4:CY422))</f>
        <v>-2.6367641712432155</v>
      </c>
      <c r="DA422" s="205">
        <f t="shared" si="701"/>
        <v>1.9320967913868488</v>
      </c>
      <c r="DB422" s="205">
        <f>IF($J422="",#N/A,SUM(DA$4:DA422))</f>
        <v>1.3305973851383228</v>
      </c>
      <c r="DC422" s="205">
        <f>IF($J422="",#N/A,SUM(DA$4:DA422,CY$4:CY422,CW$4:CW422))</f>
        <v>-9.0891765260839819</v>
      </c>
      <c r="DD422" s="200" t="str">
        <f t="shared" si="702"/>
        <v/>
      </c>
      <c r="DE422" s="203">
        <f>IF($J422="",#N/A,SUM(DD$4:DD422))</f>
        <v>2.1903002454447948</v>
      </c>
      <c r="DF422" s="204" t="str">
        <f t="shared" si="703"/>
        <v/>
      </c>
      <c r="DG422" s="204">
        <f>IF($J422="",#N/A,SUM(DF$4:DF422))</f>
        <v>3.4483799444276562</v>
      </c>
      <c r="DH422" s="205" t="str">
        <f t="shared" si="704"/>
        <v/>
      </c>
      <c r="DI422" s="205">
        <f>IF($J422="",#N/A,SUM(DH$4:DH422))</f>
        <v>1.1482786833538656</v>
      </c>
      <c r="DJ422" s="205">
        <f>IF($J422="",#N/A,SUM(DH$4:DH422,DF$4:DF422,DD$4:DD422))</f>
        <v>6.7869588732263173</v>
      </c>
      <c r="DK422" s="200" t="str">
        <f t="shared" si="705"/>
        <v/>
      </c>
      <c r="DL422" s="203">
        <f>IF($J422="",#N/A,SUM(DK$4:DK422))</f>
        <v>-0.84049791589649614</v>
      </c>
      <c r="DM422" s="204" t="str">
        <f t="shared" si="706"/>
        <v/>
      </c>
      <c r="DN422" s="204">
        <f>IF($J422="",#N/A,SUM(DM$4:DM422))</f>
        <v>1.8657648196498773</v>
      </c>
      <c r="DO422" s="205" t="str">
        <f t="shared" si="707"/>
        <v/>
      </c>
      <c r="DP422" s="205">
        <f>IF($J422="",#N/A,SUM(DO$4:DO422))</f>
        <v>3.4887162328793941</v>
      </c>
      <c r="DQ422" s="205">
        <f>IF($J422="",#N/A,SUM(DO$4:DO422,DM$4:DM422,DK$4:DK422))</f>
        <v>4.5139831366327758</v>
      </c>
      <c r="DR422" s="200" t="str">
        <f t="shared" si="708"/>
        <v/>
      </c>
      <c r="DS422" s="203">
        <f>IF($J422="",#N/A,SUM(DR$4:DR422))</f>
        <v>-0.55950946427675097</v>
      </c>
      <c r="DT422" s="204" t="str">
        <f t="shared" si="709"/>
        <v/>
      </c>
      <c r="DU422" s="204">
        <f>IF($J422="",#N/A,SUM(DT$4:DT422))</f>
        <v>-0.20750635820596686</v>
      </c>
      <c r="DV422" s="205" t="str">
        <f t="shared" si="710"/>
        <v/>
      </c>
      <c r="DW422" s="205">
        <f>IF($J422="",#N/A,SUM(DV$4:DV422))</f>
        <v>-2.3377035686214001</v>
      </c>
      <c r="DX422" s="205">
        <f>IF($J422="",#N/A,SUM(DV$4:DV422,DT$4:DT422,DR$4:DR422))</f>
        <v>-3.1047193911041169</v>
      </c>
      <c r="DY422" s="200" t="str">
        <f t="shared" si="711"/>
        <v/>
      </c>
      <c r="DZ422" s="203">
        <f>IF($J422="",#N/A,SUM(DY$4:DY422))</f>
        <v>0.24785202869748424</v>
      </c>
      <c r="EA422" s="204" t="str">
        <f t="shared" si="712"/>
        <v/>
      </c>
      <c r="EB422" s="204">
        <f>IF($J422="",#N/A,SUM(EA$4:EA422))</f>
        <v>4.3184391548878134</v>
      </c>
      <c r="EC422" s="205" t="str">
        <f t="shared" si="713"/>
        <v/>
      </c>
      <c r="ED422" s="205">
        <f>IF($J422="",#N/A,SUM(EC$4:EC422))</f>
        <v>8.4384553208490907</v>
      </c>
      <c r="EE422" s="205">
        <f>IF($J422="",#N/A,SUM(EC$4:EC422,EA$4:EA422,DY$4:DY422))</f>
        <v>13.00474650443439</v>
      </c>
      <c r="EF422" s="200" t="str">
        <f t="shared" si="714"/>
        <v/>
      </c>
      <c r="EG422" s="203">
        <f>IF($J422="",#N/A,SUM(EF$4:EF422))</f>
        <v>0.65848341369884777</v>
      </c>
      <c r="EH422" s="204" t="str">
        <f t="shared" si="715"/>
        <v/>
      </c>
      <c r="EI422" s="204">
        <f>IF($J422="",#N/A,SUM(EH$4:EH422))</f>
        <v>-3.5125331561187787</v>
      </c>
      <c r="EJ422" s="205" t="str">
        <f t="shared" si="716"/>
        <v/>
      </c>
      <c r="EK422" s="205">
        <f>IF($J422="",#N/A,SUM(EJ$4:EJ422))</f>
        <v>13.156552985368888</v>
      </c>
      <c r="EL422" s="205">
        <f>IF($J422="",#N/A,SUM(EJ$4:EJ422,EH$4:EH422,EF$4:EF422))</f>
        <v>10.30250324294896</v>
      </c>
      <c r="EM422" s="200" t="str">
        <f t="shared" si="717"/>
        <v/>
      </c>
      <c r="EN422" s="203">
        <f>IF($J422="",#N/A,SUM(EM$4:EM422))</f>
        <v>0</v>
      </c>
      <c r="EO422" s="204" t="str">
        <f t="shared" si="718"/>
        <v/>
      </c>
      <c r="EP422" s="204">
        <f>IF($J422="",#N/A,SUM(EO$4:EO422))</f>
        <v>2.4788862078089964</v>
      </c>
      <c r="EQ422" s="205" t="str">
        <f t="shared" si="719"/>
        <v/>
      </c>
      <c r="ER422" s="205">
        <f>IF($J422="",#N/A,SUM(EQ$4:EQ422))</f>
        <v>1.7856049065476487</v>
      </c>
      <c r="ES422" s="205">
        <f>IF($J422="",#N/A,SUM(EQ$4:EQ422,EO$4:EO422,EM$4:EM422))</f>
        <v>4.2644911143566446</v>
      </c>
      <c r="ET422" s="200" t="str">
        <f t="shared" si="720"/>
        <v/>
      </c>
      <c r="EU422" s="203">
        <f>IF($J422="",#N/A,SUM(ET$4:ET422))</f>
        <v>-0.26498852607816792</v>
      </c>
      <c r="EV422" s="204" t="str">
        <f t="shared" si="721"/>
        <v/>
      </c>
      <c r="EW422" s="204">
        <f>IF($J422="",#N/A,SUM(EV$4:EV422))</f>
        <v>7.9116394275462909E-2</v>
      </c>
      <c r="EX422" s="205" t="str">
        <f t="shared" si="722"/>
        <v/>
      </c>
      <c r="EY422" s="205">
        <f>IF($J422="",#N/A,SUM(EX$4:EX422))</f>
        <v>0.62848633887309935</v>
      </c>
      <c r="EZ422" s="205">
        <f>IF($J422="",#N/A,SUM(EX$4:EX422,EV$4:EV422,ET$4:ET422))</f>
        <v>0.44261420707039401</v>
      </c>
      <c r="FA422" s="200" t="str">
        <f t="shared" si="723"/>
        <v/>
      </c>
      <c r="FB422" s="203">
        <f>IF($J422="",#N/A,SUM(FA$4:FA422))</f>
        <v>-0.27145310509113252</v>
      </c>
      <c r="FC422" s="204" t="str">
        <f t="shared" si="724"/>
        <v/>
      </c>
      <c r="FD422" s="204">
        <f>IF($J422="",#N/A,SUM(FC$4:FC422))</f>
        <v>0.89084290967454072</v>
      </c>
      <c r="FE422" s="205" t="str">
        <f t="shared" si="725"/>
        <v/>
      </c>
      <c r="FF422" s="205">
        <f>IF($J422="",#N/A,SUM(FE$4:FE422))</f>
        <v>-0.28811149078748233</v>
      </c>
      <c r="FG422" s="205">
        <f>IF($J422="",#N/A,SUM(FE$4:FE422,FC$4:FC422,FA$4:FA422))</f>
        <v>0.3312783137959262</v>
      </c>
      <c r="FH422" s="200" t="str">
        <f t="shared" si="726"/>
        <v/>
      </c>
      <c r="FI422" s="203">
        <f>IF($J422="",#N/A,SUM(FH$4:FH422))</f>
        <v>0</v>
      </c>
      <c r="FJ422" s="204" t="str">
        <f t="shared" si="727"/>
        <v/>
      </c>
      <c r="FK422" s="204">
        <f>IF($J422="",#N/A,SUM(FJ$4:FJ422))</f>
        <v>0</v>
      </c>
      <c r="FL422" s="205" t="str">
        <f t="shared" si="728"/>
        <v/>
      </c>
      <c r="FM422" s="205">
        <f>IF($J422="",#N/A,SUM(FL$4:FL422))</f>
        <v>0</v>
      </c>
      <c r="FN422" s="205">
        <f>IF($J422="",#N/A,SUM(FL$4:FL422,FJ$4:FJ422,FH$4:FH422))</f>
        <v>0</v>
      </c>
      <c r="FO422" s="200" t="str">
        <f t="shared" si="729"/>
        <v/>
      </c>
      <c r="FP422" s="203">
        <f>IF($J422="",#N/A,SUM(FO$4:FO422))</f>
        <v>0</v>
      </c>
      <c r="FQ422" s="204" t="str">
        <f t="shared" si="730"/>
        <v/>
      </c>
      <c r="FR422" s="204">
        <f>IF($J422="",#N/A,SUM(FQ$4:FQ422))</f>
        <v>0</v>
      </c>
      <c r="FS422" s="205" t="str">
        <f t="shared" si="731"/>
        <v/>
      </c>
      <c r="FT422" s="205">
        <f>IF($J422="",#N/A,SUM(FS$4:FS422))</f>
        <v>0</v>
      </c>
      <c r="FU422" s="205">
        <f>IF($J422="",#N/A,SUM(FS$4:FS422,FQ$4:FQ422,FO$4:FO422))</f>
        <v>0</v>
      </c>
      <c r="FV422" s="200" t="str">
        <f t="shared" si="732"/>
        <v/>
      </c>
      <c r="FW422" s="203">
        <f>IF($J422="",#N/A,SUM(FV$4:FV422))</f>
        <v>6.6834991831277585E-2</v>
      </c>
      <c r="FX422" s="204" t="str">
        <f t="shared" si="733"/>
        <v/>
      </c>
      <c r="FY422" s="204">
        <f>IF($J422="",#N/A,SUM(FX$4:FX422))</f>
        <v>-0.16102012791805576</v>
      </c>
      <c r="FZ422" s="205" t="str">
        <f t="shared" si="734"/>
        <v/>
      </c>
      <c r="GA422" s="205">
        <f>IF($J422="",#N/A,SUM(FZ$4:FZ422))</f>
        <v>-0.69624339162892301</v>
      </c>
      <c r="GB422" s="205">
        <f>IF($J422="",#N/A,SUM(FZ$4:FZ422,FX$4:FX422,FV$4:FV422))</f>
        <v>-0.79042852771570116</v>
      </c>
      <c r="GC422" s="200" t="str">
        <f t="shared" si="735"/>
        <v/>
      </c>
      <c r="GD422" s="203">
        <f>IF($J422="",#N/A,SUM(GC$4:GC422))</f>
        <v>0</v>
      </c>
      <c r="GE422" s="204" t="str">
        <f t="shared" si="736"/>
        <v/>
      </c>
      <c r="GF422" s="204">
        <f>IF($J422="",#N/A,SUM(GE$4:GE422))</f>
        <v>0</v>
      </c>
      <c r="GG422" s="205" t="str">
        <f t="shared" si="737"/>
        <v/>
      </c>
      <c r="GH422" s="205">
        <f>IF($J422="",#N/A,SUM(GG$4:GG422))</f>
        <v>-2.9368362277223206</v>
      </c>
      <c r="GI422" s="205">
        <f>IF($J422="",#N/A,SUM(GG$4:GG422,GE$4:GE422,GC$4:GC422))</f>
        <v>-2.9368362277223206</v>
      </c>
      <c r="GJ422" s="200" t="str">
        <f t="shared" si="738"/>
        <v/>
      </c>
      <c r="GK422" s="203">
        <f>IF($J422="",#N/A,SUM(GJ$4:GJ422))</f>
        <v>0</v>
      </c>
      <c r="GL422" s="204" t="str">
        <f t="shared" si="739"/>
        <v/>
      </c>
      <c r="GM422" s="204">
        <f>IF($J422="",#N/A,SUM(GL$4:GL422))</f>
        <v>-2.0621307233432784</v>
      </c>
      <c r="GN422" s="205" t="str">
        <f t="shared" si="740"/>
        <v/>
      </c>
      <c r="GO422" s="205">
        <f>IF($J422="",#N/A,SUM(GN$4:GN422))</f>
        <v>0.79182748269313297</v>
      </c>
      <c r="GP422" s="205">
        <f>IF($J422="",#N/A,SUM(GN$4:GN422,GL$4:GL422,GJ$4:GJ422))</f>
        <v>-1.2703032406501453</v>
      </c>
      <c r="GS422" s="54">
        <f t="shared" si="759"/>
        <v>1.9320967913868488</v>
      </c>
      <c r="GT422" s="54">
        <f>IF(GS422="",NA(),SUM($GS$4:GS422))</f>
        <v>18.707810985745773</v>
      </c>
      <c r="GU422" s="54" t="str">
        <f t="shared" si="741"/>
        <v/>
      </c>
      <c r="GV422" s="54" t="e">
        <f>IF(GU422="",NA(),SUM($GU$4:GU422))</f>
        <v>#N/A</v>
      </c>
      <c r="GW422" s="54">
        <f t="shared" si="742"/>
        <v>1.9320967913868488</v>
      </c>
      <c r="GX422" s="54">
        <f>IF(GW422="",NA(),SUM($GW$4:GW422))</f>
        <v>13.288811542404586</v>
      </c>
      <c r="GY422" s="54" t="str">
        <f t="shared" si="743"/>
        <v/>
      </c>
      <c r="GZ422" s="54" t="e">
        <f>IF(GY422="",NA(),SUM($GY$4:GY422))</f>
        <v>#N/A</v>
      </c>
      <c r="HA422" s="54" t="str">
        <f t="shared" si="744"/>
        <v/>
      </c>
      <c r="HB422" s="54" t="e">
        <f>IF(HA422="",NA(),SUM($HA$4:HA422))</f>
        <v>#N/A</v>
      </c>
      <c r="HC422" s="54" t="str">
        <f t="shared" si="745"/>
        <v/>
      </c>
      <c r="HD422" s="54" t="e">
        <f>IF(HC422="",NA(),SUM($HC$4:HC422))</f>
        <v>#N/A</v>
      </c>
      <c r="HE422" s="54" t="str">
        <f t="shared" si="746"/>
        <v/>
      </c>
      <c r="HF422" s="54" t="e">
        <f>IF(HE422="",NA(),SUM($HE$4:HE422))</f>
        <v>#N/A</v>
      </c>
      <c r="HG422" s="54" t="str">
        <f t="shared" si="747"/>
        <v/>
      </c>
      <c r="HH422" s="54" t="e">
        <f>IF(HG422="",NA(),SUM($HG$4:HG422))</f>
        <v>#N/A</v>
      </c>
      <c r="HI422" s="172" t="str">
        <f t="shared" si="760"/>
        <v/>
      </c>
      <c r="HJ422" s="172">
        <f>IF($J422="",#N/A,SUM(HI$4:$HI422))</f>
        <v>-10.92410839379933</v>
      </c>
      <c r="HK422" s="54" t="str">
        <f t="shared" si="748"/>
        <v/>
      </c>
      <c r="HL422" s="54">
        <f>IF($J422="",#N/A,SUM($HK$4:HK422))</f>
        <v>7.5125294667618787</v>
      </c>
      <c r="HM422" s="54" t="str">
        <f t="shared" si="749"/>
        <v/>
      </c>
      <c r="HN422" s="54">
        <f>IF($J422="",#N/A,SUM($HM$4:HM422))</f>
        <v>2.7840374226496793</v>
      </c>
      <c r="HO422" s="54" t="str">
        <f t="shared" si="750"/>
        <v/>
      </c>
      <c r="HP422" s="54">
        <f>IF($J422="",#N/A,SUM($HO$4:HO422))</f>
        <v>-0.54613191784001369</v>
      </c>
      <c r="HQ422" s="54">
        <f t="shared" si="751"/>
        <v>0.59961624560281446</v>
      </c>
      <c r="HR422" s="54">
        <f>IF($J422="",#N/A,SUM($HQ$4:HQ422))</f>
        <v>-14.459612389187919</v>
      </c>
      <c r="HS422" s="54" t="str">
        <f t="shared" si="752"/>
        <v/>
      </c>
      <c r="HT422" s="54">
        <f>IF($J422="",#N/A,SUM($HS$4:HS422))</f>
        <v>14.660479149324726</v>
      </c>
      <c r="HU422" s="65">
        <f t="shared" si="753"/>
        <v>2.5317130369896632</v>
      </c>
      <c r="HV422" s="65">
        <f>IF($J422="",#N/A,SUM(HU$4:$HU422))</f>
        <v>11.062365875493645</v>
      </c>
    </row>
    <row r="424" spans="1:230" x14ac:dyDescent="0.25">
      <c r="Y424" s="615" t="s">
        <v>5664</v>
      </c>
      <c r="Z424" s="615" t="s">
        <v>5665</v>
      </c>
      <c r="AE424" s="772">
        <f>COUNTIF($AE$4:$AE$422,"&gt;0")</f>
        <v>216</v>
      </c>
    </row>
    <row r="425" spans="1:230" x14ac:dyDescent="0.25">
      <c r="Y425" s="616">
        <f>AVERAGEIFS($K$4:$K$448,$K$4:$K$448,"&gt;0",$D$4:$D$448,"N",$S$4:$S$448,"SW")</f>
        <v>8.5919255077218148E-2</v>
      </c>
      <c r="Z425" s="617">
        <f>AVERAGEIFS($K$4:$K$448,$K$4:$K$448,"&lt;0",$D$4:$D$448,"N",$S$4:$S$448,"SW")</f>
        <v>-9.2604233741923295E-2</v>
      </c>
      <c r="AA425" s="618" t="s">
        <v>5663</v>
      </c>
      <c r="AE425" s="772">
        <f>COUNTIF($AE$4:$AE$422,"&lt;0")</f>
        <v>203</v>
      </c>
    </row>
    <row r="426" spans="1:230" x14ac:dyDescent="0.25">
      <c r="Y426" s="616">
        <f>AVERAGEIFS($K$4:$K$448,$K$4:$K$448,"&gt;0",$D$4:$D$448,"N",$S$4:$S$448,"Dwn")</f>
        <v>6.3178983036909248E-2</v>
      </c>
      <c r="Z426" s="617">
        <f>AVERAGEIFS($K$4:$K$448,$K$4:$K$448,"&lt;0",$D$4:$D$448,"N",$S$4:$S$448,"Dwn")</f>
        <v>-5.9052322627400802E-2</v>
      </c>
      <c r="AA426" s="618" t="s">
        <v>5666</v>
      </c>
      <c r="AE426" s="772">
        <f>AVERAGEIF($AE$4:$AE$422,"&gt;0")</f>
        <v>0.80559939925345969</v>
      </c>
    </row>
    <row r="427" spans="1:230" x14ac:dyDescent="0.25">
      <c r="Y427" s="616">
        <f>AVERAGEIFS($K$4:$K$448,$K$4:$K$448,"&gt;0",$D$4:$D$448,"N",$S$4:$S$448,"Up")</f>
        <v>4.4351080061790206E-2</v>
      </c>
      <c r="Z427" s="617">
        <f>AVERAGEIFS($K$4:$K$448,$K$4:$K$448,"&lt;0",$D$4:$D$448,"N",$S$4:$S$448,"Up")</f>
        <v>-8.8507244966988627E-2</v>
      </c>
      <c r="AA427" s="618" t="s">
        <v>5667</v>
      </c>
      <c r="AE427" s="772">
        <f>AVERAGEIF($AE$4:$AE$422,"&lt;0")</f>
        <v>-0.80269509538548567</v>
      </c>
    </row>
    <row r="430" spans="1:230" x14ac:dyDescent="0.25">
      <c r="Y430" s="614">
        <f>AVERAGEIFS($K$4:$K$448,$K$4:$K$448,"&gt;0",$D$4:$D$448,"Y",$S$4:$S$448,"Dwn")</f>
        <v>3.8203211422657583E-2</v>
      </c>
      <c r="Z430" s="614">
        <f>AVERAGEIFS($K$4:$K$448,$K$4:$K$448,"&lt;0",$D$4:$D$448,"Y",$S$4:$S$448,"Dwn")</f>
        <v>-3.8241377690582182E-2</v>
      </c>
    </row>
  </sheetData>
  <autoFilter ref="A3:AL422" xr:uid="{2066F57E-F17E-4C8C-887B-42C8EE61E231}"/>
  <sortState xmlns:xlrd2="http://schemas.microsoft.com/office/spreadsheetml/2017/richdata2" ref="A4:AA350">
    <sortCondition ref="F4:F350"/>
    <sortCondition descending="1" ref="G4:G350"/>
  </sortState>
  <mergeCells count="38">
    <mergeCell ref="HO2:HP2"/>
    <mergeCell ref="HQ2:HR2"/>
    <mergeCell ref="HS2:HT2"/>
    <mergeCell ref="HI2:HJ2"/>
    <mergeCell ref="BW1:CB1"/>
    <mergeCell ref="CP1:CV1"/>
    <mergeCell ref="HK2:HL2"/>
    <mergeCell ref="HM2:HN2"/>
    <mergeCell ref="FV1:GB1"/>
    <mergeCell ref="GC1:GI1"/>
    <mergeCell ref="GJ1:GP1"/>
    <mergeCell ref="ET1:EZ1"/>
    <mergeCell ref="FA1:FG1"/>
    <mergeCell ref="FH1:FN1"/>
    <mergeCell ref="FO1:FU1"/>
    <mergeCell ref="I1:M1"/>
    <mergeCell ref="CW1:DC1"/>
    <mergeCell ref="CI1:CO1"/>
    <mergeCell ref="CC1:CH1"/>
    <mergeCell ref="EM1:ES1"/>
    <mergeCell ref="DD1:DJ1"/>
    <mergeCell ref="DK1:DQ1"/>
    <mergeCell ref="DR1:DX1"/>
    <mergeCell ref="DY1:EE1"/>
    <mergeCell ref="EF1:EL1"/>
    <mergeCell ref="BO1:BR1"/>
    <mergeCell ref="BS1:BV1"/>
    <mergeCell ref="BK1:BM1"/>
    <mergeCell ref="N1:R1"/>
    <mergeCell ref="S1:T1"/>
    <mergeCell ref="AO1:BA1"/>
    <mergeCell ref="BC1:BI1"/>
    <mergeCell ref="AO2:AT2"/>
    <mergeCell ref="AU2:BA2"/>
    <mergeCell ref="U1:W1"/>
    <mergeCell ref="Y1:Z1"/>
    <mergeCell ref="AB1:AG1"/>
    <mergeCell ref="AH1:AL1"/>
  </mergeCells>
  <conditionalFormatting sqref="A4:A422">
    <cfRule type="expression" dxfId="42" priority="18">
      <formula>$AH4="Skip"</formula>
    </cfRule>
  </conditionalFormatting>
  <conditionalFormatting sqref="A4:F422">
    <cfRule type="expression" dxfId="41" priority="967">
      <formula>$G4="BMO"</formula>
    </cfRule>
    <cfRule type="expression" dxfId="40" priority="968">
      <formula>$G4="AMC"</formula>
    </cfRule>
  </conditionalFormatting>
  <conditionalFormatting sqref="B4:D422">
    <cfRule type="containsText" dxfId="39" priority="46" operator="containsText" text="Can't">
      <formula>NOT(ISERROR(SEARCH("Can't",B4)))</formula>
    </cfRule>
  </conditionalFormatting>
  <conditionalFormatting sqref="G4:G422">
    <cfRule type="containsText" dxfId="38" priority="95" operator="containsText" text="AMC">
      <formula>NOT(ISERROR(SEARCH("AMC",G4)))</formula>
    </cfRule>
    <cfRule type="containsText" dxfId="37" priority="96" operator="containsText" text="BMO">
      <formula>NOT(ISERROR(SEARCH("BMO",G4)))</formula>
    </cfRule>
  </conditionalFormatting>
  <conditionalFormatting sqref="H4:H422">
    <cfRule type="containsText" dxfId="36" priority="11" operator="containsText" text="sk">
      <formula>NOT(ISERROR(SEARCH("sk",H4)))</formula>
    </cfRule>
    <cfRule type="endsWith" dxfId="35" priority="25" operator="endsWith" text="s">
      <formula>RIGHT(H4,LEN("s"))="s"</formula>
    </cfRule>
    <cfRule type="containsText" dxfId="34" priority="26" operator="containsText" text="o">
      <formula>NOT(ISERROR(SEARCH("o",H4)))</formula>
    </cfRule>
  </conditionalFormatting>
  <conditionalFormatting sqref="K4:K422">
    <cfRule type="containsBlanks" dxfId="33" priority="6">
      <formula>LEN(TRIM(K4))=0</formula>
    </cfRule>
    <cfRule type="cellIs" dxfId="32" priority="7" operator="greaterThan">
      <formula>0</formula>
    </cfRule>
  </conditionalFormatting>
  <conditionalFormatting sqref="M4:M422 BO4:BR422">
    <cfRule type="containsErrors" dxfId="31" priority="22334">
      <formula>ISERROR(M4)</formula>
    </cfRule>
  </conditionalFormatting>
  <conditionalFormatting sqref="P5:P423">
    <cfRule type="colorScale" priority="16">
      <colorScale>
        <cfvo type="num" val="-3"/>
        <cfvo type="num" val="0"/>
        <cfvo type="num" val="3"/>
        <color rgb="FFF8696B"/>
        <color theme="0"/>
        <color rgb="FF00FF00"/>
      </colorScale>
    </cfRule>
  </conditionalFormatting>
  <conditionalFormatting sqref="T4:T422">
    <cfRule type="expression" dxfId="30" priority="22779">
      <formula>AND($T4="NA",$BI4=1)</formula>
    </cfRule>
    <cfRule type="containsText" dxfId="29" priority="22780" operator="containsText" text="down">
      <formula>NOT(ISERROR(SEARCH("down",T4)))</formula>
    </cfRule>
    <cfRule type="containsText" dxfId="28" priority="22781" operator="containsText" text="up">
      <formula>NOT(ISERROR(SEARCH("up",T4)))</formula>
    </cfRule>
    <cfRule type="containsText" dxfId="27" priority="22782" operator="containsText" text="na">
      <formula>NOT(ISERROR(SEARCH("na",T4)))</formula>
    </cfRule>
    <cfRule type="containsText" dxfId="26" priority="22783" operator="containsText" text="no">
      <formula>NOT(ISERROR(SEARCH("no",T4)))</formula>
    </cfRule>
    <cfRule type="containsText" dxfId="25" priority="22784" operator="containsText" text="yes">
      <formula>NOT(ISERROR(SEARCH("yes",T4)))</formula>
    </cfRule>
  </conditionalFormatting>
  <conditionalFormatting sqref="V4:V422">
    <cfRule type="containsText" dxfId="24" priority="36" operator="containsText" text="Short">
      <formula>NOT(ISERROR(SEARCH("Short",V4)))</formula>
    </cfRule>
    <cfRule type="containsText" dxfId="23" priority="92" operator="containsText" text="Long">
      <formula>NOT(ISERROR(SEARCH("Long",V4)))</formula>
    </cfRule>
    <cfRule type="containsText" dxfId="22" priority="48" operator="containsText" text="skip">
      <formula>NOT(ISERROR(SEARCH("skip",V4)))</formula>
    </cfRule>
  </conditionalFormatting>
  <conditionalFormatting sqref="AD4 AD5:AE167 AD169:AE172">
    <cfRule type="cellIs" dxfId="21" priority="34" operator="lessThan">
      <formula>0</formula>
    </cfRule>
    <cfRule type="containsErrors" dxfId="20" priority="35">
      <formula>ISERROR(AD4)</formula>
    </cfRule>
  </conditionalFormatting>
  <conditionalFormatting sqref="AD107:AF422 AJ4:AL422 O107:R422 GS107:HV422 AE424:AE425">
    <cfRule type="containsErrors" dxfId="19" priority="22079">
      <formula>ISERROR(O4)</formula>
    </cfRule>
  </conditionalFormatting>
  <conditionalFormatting sqref="AH4:AH422">
    <cfRule type="containsText" dxfId="18" priority="62" operator="containsText" text="Open">
      <formula>NOT(ISERROR(SEARCH("Open",AH4)))</formula>
    </cfRule>
    <cfRule type="containsText" dxfId="17" priority="38" operator="containsText" text="Other">
      <formula>NOT(ISERROR(SEARCH("Other",AH4)))</formula>
    </cfRule>
    <cfRule type="containsText" dxfId="16" priority="39" operator="containsText" text="skip">
      <formula>NOT(ISERROR(SEARCH("skip",AH4)))</formula>
    </cfRule>
    <cfRule type="containsText" dxfId="15" priority="63" operator="containsText" text="MOC">
      <formula>NOT(ISERROR(SEARCH("MOC",AH4)))</formula>
    </cfRule>
  </conditionalFormatting>
  <conditionalFormatting sqref="AK4:AK422">
    <cfRule type="expression" dxfId="14" priority="22796">
      <formula>$AH4="Skip"</formula>
    </cfRule>
    <cfRule type="colorScale" priority="22797">
      <colorScale>
        <cfvo type="min"/>
        <cfvo type="num" val="0"/>
        <cfvo type="max"/>
        <color rgb="FFFF9999"/>
        <color theme="0"/>
        <color rgb="FF00FF00"/>
      </colorScale>
    </cfRule>
  </conditionalFormatting>
  <conditionalFormatting sqref="AL4:AL422">
    <cfRule type="colorScale" priority="22798">
      <colorScale>
        <cfvo type="min"/>
        <cfvo type="num" val="0"/>
        <cfvo type="max"/>
        <color rgb="FFFFFF00"/>
        <color theme="0"/>
        <color rgb="FF00FF00"/>
      </colorScale>
    </cfRule>
  </conditionalFormatting>
  <conditionalFormatting sqref="AN66:AN67 AK66:AK67">
    <cfRule type="colorScale" priority="71">
      <colorScale>
        <cfvo type="num" val="-30"/>
        <cfvo type="num" val="0"/>
        <cfvo type="num" val="30"/>
        <color rgb="FFFF0000"/>
        <color theme="9" tint="0.79998168889431442"/>
        <color rgb="FF00FF00"/>
      </colorScale>
    </cfRule>
  </conditionalFormatting>
  <conditionalFormatting sqref="BA4">
    <cfRule type="cellIs" dxfId="13" priority="41" operator="lessThan">
      <formula>0</formula>
    </cfRule>
    <cfRule type="containsErrors" dxfId="12" priority="42">
      <formula>ISERROR(BA4)</formula>
    </cfRule>
  </conditionalFormatting>
  <conditionalFormatting sqref="BC4:BC422 BE4:BE422 BG4:BG422">
    <cfRule type="cellIs" dxfId="11" priority="3" operator="equal">
      <formula>1</formula>
    </cfRule>
  </conditionalFormatting>
  <conditionalFormatting sqref="BD4:BD422 BH4:BI422">
    <cfRule type="cellIs" dxfId="10" priority="4" operator="equal">
      <formula>1</formula>
    </cfRule>
  </conditionalFormatting>
  <conditionalFormatting sqref="AE426:AE427">
    <cfRule type="containsErrors" dxfId="0" priority="1">
      <formula>ISERROR(AE426)</formula>
    </cfRule>
  </conditionalFormatting>
  <dataValidations disablePrompts="1" xWindow="1202" yWindow="848" count="59">
    <dataValidation allowBlank="1" showInputMessage="1" showErrorMessage="1" promptTitle="Exit at Open or Other:" prompt="Enter the Exit here if at the open, or using some other exit, such as after hours.  If you exit using MOC, just link this cell to the Open Price to use the Gap size as the Exit." sqref="Z3" xr:uid="{3C0C3828-F78C-421F-A0AA-CD12FA415C02}"/>
    <dataValidation allowBlank="1" showInputMessage="1" showErrorMessage="1" promptTitle="Exit Using MOC:" prompt="Enter the MOC (closing price) here to track MOC performance vs. exiting at the open." sqref="AC3 AF3" xr:uid="{A679AC40-B724-4EF2-8F65-F8E41FDAE36A}"/>
    <dataValidation allowBlank="1" showInputMessage="1" showErrorMessage="1" promptTitle="Theoretical P&amp;L:" prompt="This is the P&amp;L using only the gap.  It's theoretical because you don't always get filled at the exact open price.  This is the bench mark though.  If you can't beat this, then just exit using MKT at the open." sqref="S3" xr:uid="{0C17526E-473B-4242-BCD8-803C81222A74}"/>
    <dataValidation allowBlank="1" showInputMessage="1" showErrorMessage="1" promptTitle="Theoretical P&amp;L:" prompt="This is the P&amp;L using only the gap.  It's theoretical because you don't always get filled at the exact open price.  This is the bench mark though. " sqref="L3" xr:uid="{C079E921-9B29-49B7-985F-81DD10650159}"/>
    <dataValidation allowBlank="1" showInputMessage="1" showErrorMessage="1" promptTitle="Trend Tracking:" prompt="This is to track if the stock gapped with the trend OR if the trend is technically sideways, it tracks the direction you'd take the trade.  For sideways trends, use NA. Use &quot;No&quot; if it is a gap against the daily trend. Use &quot;Yes&quot; for gaps with the trend." sqref="T3" xr:uid="{52828F8C-6C8C-4E4D-81D1-AB0632FCE38C}"/>
    <dataValidation allowBlank="1" showInputMessage="1" showErrorMessage="1" prompt="This is not MOC, just the strategy as designed against actual results.  Negative is good." sqref="R3" xr:uid="{3A4A803D-13C3-4A06-AF63-912FAF555AB9}"/>
    <dataValidation allowBlank="1" showInputMessage="1" showErrorMessage="1" promptTitle="Enphase Energy:" prompt="Solar" sqref="A61" xr:uid="{67CF4F3B-10C6-4EF0-AD39-29CEAAA50FDA}"/>
    <dataValidation allowBlank="1" showInputMessage="1" showErrorMessage="1" promptTitle="Packaging Corp of America:" prompt="Cardbox boax maker, and more." sqref="A59" xr:uid="{399972EC-AD07-41A7-8600-748054D6EB89}"/>
    <dataValidation allowBlank="1" showInputMessage="1" showErrorMessage="1" promptTitle="Professional Services Industry:" prompt="Actually in XLI, but makes no sense so changed to XLF." sqref="A44" xr:uid="{BA290E4C-3C6F-44A2-A6CD-E1C08AD88E67}"/>
    <dataValidation allowBlank="1" showInputMessage="1" showErrorMessage="1" promptTitle="DHI:" prompt="Largest home builder in the nation, acts as bell weather for other builders." sqref="A34" xr:uid="{61EFA909-43EC-4A31-94D7-CDC995452887}"/>
    <dataValidation allowBlank="1" showInputMessage="1" showErrorMessage="1" promptTitle="GE Vernova Inc:" prompt="An energy company that provides various products and services that generate, transfer, orchestrate, convert, and store electricity in the USA, Europe, Asia, the Americas, the Middle East, and Africa." sqref="A65" xr:uid="{FB5BA470-377B-4248-9339-079BEB0481CE}"/>
    <dataValidation allowBlank="1" showInputMessage="1" showErrorMessage="1" promptTitle="Steel Dynamics:" prompt="It operates four segments: Steel Operations, Metals Recycling Operations, Steel Fabrication Operations, and Aluminum Operations." sqref="A57" xr:uid="{1F32A7E5-F6FD-4FFC-83C0-98CBD078A4DB}"/>
    <dataValidation allowBlank="1" showInputMessage="1" showErrorMessage="1" promptTitle="Texas Instruments:" prompt="Sells basic building block chips that go into products in nearly every sector, from autos to industrials to consumer electronics.  Because of the company's more than 100,000 customers, they are considered a bellweather for the tech sector." sqref="A80" xr:uid="{CE307F66-8FFC-4BD2-BE21-5DF3DCB6371E}"/>
    <dataValidation allowBlank="1" showInputMessage="1" showErrorMessage="1" promptTitle="LKQ Corporation:" prompt="Auto Salvage company. _x000a__x000a_Back in 1998, the world saw a fragmented Salvage and recycled auto parts industry. Our founders, however, saw an opportunity." sqref="A103" xr:uid="{337DD8F3-6D4D-46F8-9BF3-C289E6E19044}"/>
    <dataValidation allowBlank="1" showInputMessage="1" showErrorMessage="1" promptTitle="Universal Health Services:" prompt="Hospital management. HCA is similar." sqref="A123" xr:uid="{AF6C811B-C3E6-4022-9BD6-C119534FF122}"/>
    <dataValidation allowBlank="1" showInputMessage="1" showErrorMessage="1" promptTitle="Waste Management:" prompt="Check what RSG did, should be real similar." sqref="A125" xr:uid="{FD850EC2-CD9A-48A1-BB42-DB3330DB53BD}"/>
    <dataValidation allowBlank="1" showInputMessage="1" showErrorMessage="1" promptTitle="F5 Inc:" prompt="Multi-cloud (e.g Azure, AWS, Google Cloud) cyber security." sqref="A127" xr:uid="{D65731F0-B2C8-4FF8-9F47-0376F46A11F1}"/>
    <dataValidation allowBlank="1" showInputMessage="1" showErrorMessage="1" promptTitle="Sherwin-Williams Co:" prompt="Paint." sqref="A131" xr:uid="{19CFCD5E-AA86-4E11-95CC-13BC2BABE2C3}"/>
    <dataValidation allowBlank="1" showInputMessage="1" showErrorMessage="1" promptTitle="Freshworks Inc." prompt="Provideds SaS solutions that include customer experience and employee experience." sqref="A161" xr:uid="{EC9D7E1C-2035-4C7F-A6DD-A176A169F878}"/>
    <dataValidation allowBlank="1" showInputMessage="1" showErrorMessage="1" promptTitle="NXP Semiconductors:" prompt="Highly leveraged towards auto, more so autonomous driving but a lot of the sensors, etc in new cars, uses NXPI chips._x000a__x000a_I beleive 60% of revenue comes from Autos but that might be incorrect." sqref="A128" xr:uid="{53AAD6C0-41E1-4ACC-A3B8-00B5E6D58AC1}"/>
    <dataValidation allowBlank="1" showInputMessage="1" showErrorMessage="1" prompt="Green color means it was a gap up." sqref="K3" xr:uid="{B298300D-8531-4848-83FE-AB79C8D9D9D1}"/>
    <dataValidation allowBlank="1" showInputMessage="1" showErrorMessage="1" promptTitle="FMC Corp.:" prompt="Insecticide (farm chemical) company." sqref="A183" xr:uid="{28F5120D-B8F9-4EBA-903B-D4202BEB764D}"/>
    <dataValidation allowBlank="1" showInputMessage="1" showErrorMessage="1" promptTitle="Illinois Tool Works Inc:" prompt="It operates through seven segments: Automotive OEM; Food Equipment; Test &amp; Measurement and Electronics; Welding; Polymers &amp; Fluids; Construction Products; and Specialty Products." sqref="A170" xr:uid="{91F8DB37-9688-40AB-AEDF-839C47F016E3}"/>
    <dataValidation allowBlank="1" showInputMessage="1" showErrorMessage="1" promptTitle="Tenable Holdings Inc:" prompt="2025-2: Had great earnings, everything beat except lowered sales guidance from $1.05B to $975M, midpoints, but P/L guidance improved. It fell aprt?!  The revenue decrease must have scared inestors._x000a__x000a_Security software, similar to VRNS." sqref="A163" xr:uid="{865FDCA8-54EA-4738-946D-E0254721EF34}"/>
    <dataValidation allowBlank="1" showInputMessage="1" showErrorMessage="1" promptTitle="Western Digital Corp:" prompt="Similar to STX:_x000a__x000a_Western Digital Corporation develops, manufactures, and sells data storage devices and solutions in the United States, China, Hong Kong, Europe, the Middle East, Africa, rest of Asia, and internationally." sqref="A167" xr:uid="{39D0F6D7-02D2-40C8-8C33-5BD795DA40E8}"/>
    <dataValidation allowBlank="1" showInputMessage="1" showErrorMessage="1" promptTitle="Seagate Technology Holdings plc:" prompt="Similar to Wester Digital (WDC):_x000a__x000a_Engages in the provision of data storage technology and infrastructure solutions in Singapore, the United States, the Netherlands, and internationally." sqref="A155" xr:uid="{F2FD4480-0A09-47D0-8E2D-FE4774717511}"/>
    <dataValidation allowBlank="1" showInputMessage="1" showErrorMessage="1" promptTitle="Vulcan Materials Company:" prompt="Vulcan Materials Company produces and supplies construction aggregates in the United States. It operates through three segments: Aggregates, Asphalt, and Concrete." sqref="A177" xr:uid="{A964BCA4-6ED1-48E2-BF0B-A3A978050E14}"/>
    <dataValidation allowBlank="1" showInputMessage="1" showErrorMessage="1" promptTitle="Cognizant Technology Solutions:" prompt="Provides consulting &amp; technology, and outsourcing services in N.A., Europe, and internationally. It operates through four segments: Financial Services; Health Sciences; Products &amp; Resources; and Communications, Media &amp; Technology." sqref="A186" xr:uid="{A2E1D870-9ECE-43EC-9F82-BBAB765C97F3}"/>
    <dataValidation allowBlank="1" showInputMessage="1" showErrorMessage="1" promptTitle="Albemale Corp:" prompt="Appears to be a lithium mining company, since lithium is in electronics it seems like they do more, and perhaps they do, but for now they appear to be a mining company, thus the XLB." sqref="A195" xr:uid="{A58C204E-0F86-4071-B7EC-DA5233069B52}"/>
    <dataValidation allowBlank="1" showInputMessage="1" showErrorMessage="1" promptTitle="Huntington Ingalls:" prompt="Huntington Ingalls Industries, Inc. designs, builds, overhauls, and repairs military ships in the United States." sqref="A225" xr:uid="{D1B0F9C3-7109-4771-ABFD-30398D6CDA28}"/>
    <dataValidation allowBlank="1" showInputMessage="1" showErrorMessage="1" promptTitle="Broadridge Financial Solutions:" prompt="Seems like could be a financial comany._x000a__x000a_Broadridge Financial Solutions, Inc. provides investor communications and technology-driven solutions for the financial services industry." sqref="A227" xr:uid="{AC60DA47-8C75-48AA-BD6E-84477C173735}"/>
    <dataValidation allowBlank="1" showInputMessage="1" showErrorMessage="1" promptTitle="Align Technology Inc:" prompt="Align Technology, Inc. designs, manufactures, and markets Invisalign clear aligners, Vivera retainers, and iTero intraoral scanners and services in the United States, Switzerland, and internationally. " sqref="A188" xr:uid="{99957B4C-5BE0-4C17-9568-31439E46BC1A}"/>
    <dataValidation allowBlank="1" showInputMessage="1" showErrorMessage="1" promptTitle="Clearwater Analytics Holdings:" prompt="In 2025-Q2, they completed acquisition of Enfusion and Beacon).  Their guidance went from $540M to $725M after that.  Not sure how this impacts the stock but I had never seen guidance raise that much." sqref="A190" xr:uid="{B2C645A2-2FE1-4309-9DBB-9E5AF9B34944}"/>
    <dataValidation allowBlank="1" showInputMessage="1" showErrorMessage="1" promptTitle="Mohawk Industries:" prompt="Designs, manufactures, sources, distributes, and markets flooring products for residential and commercial remodeling, and new construction channels in the United States, Europe, Latin America, and internationally." sqref="A231" xr:uid="{8CDC4649-DB65-44FF-B349-B364F582C85B}"/>
    <dataValidation allowBlank="1" showInputMessage="1" showErrorMessage="1" promptTitle="Block:" prompt="Two revenue sources:_x000a_ - Square merchant app and hardware (33%)_x000a_ -- Cash App (67%)_x000a__x000a_Cash app revenue be guided lower (but still growing) sent Block tumbling, which was wild because it didn't seem too bad." sqref="A245" xr:uid="{ECBEBEB3-9EC8-4A1C-8C98-F74028A15A11}"/>
    <dataValidation allowBlank="1" showInputMessage="1" showErrorMessage="1" promptTitle="Varonis Sys Inc:" prompt="Security software, similar to TENB." sqref="A277" xr:uid="{E4166C8F-603D-4116-B010-F27CFFC79C49}"/>
    <dataValidation allowBlank="1" showInputMessage="1" showErrorMessage="1" promptTitle="Arista Networks Inc:" prompt="Client to cloud networking solutions for AI, data center, campus, and routing environments._x000a__x000a_Serves internet, cloud providers, financial, government, media &amp; entertainment, healthcare, oil &amp; gas, manufacturing, &amp; industrial." sqref="A285" xr:uid="{A7312514-B981-4ECB-A44D-46122665BD6C}"/>
    <dataValidation allowBlank="1" showInputMessage="1" showErrorMessage="1" promptTitle="Mosaic:" prompt="Makes Potash, the &quot;K&quot; in fertilizer, bag says N-P-K._x000a__x000a_Look what IPI did!  The other American Potash Co._x000a__x000a_They produce Potash in Carlsbad, NM and Utah..." sqref="A288" xr:uid="{B72C840B-701F-49E0-8ED2-BC414283E5A4}"/>
    <dataValidation allowBlank="1" showInputMessage="1" showErrorMessage="1" promptTitle="Gen Digital Inc." prompt="Gen Digital Inc. engages in the provision of cyber safety solutions for consumers. The company offers security and performance, identity protection, and online privacy, as well as technology platform." sqref="A289" xr:uid="{4E75A083-F654-41E4-A4A0-FFC730BD79B6}"/>
    <dataValidation allowBlank="1" showInputMessage="1" promptTitle="Dayforce:" prompt="Sounds similar to ADP, Human Resouce Management." sqref="A295" xr:uid="{1785438F-19AF-4AC4-A248-630AB3565E53}"/>
    <dataValidation allowBlank="1" showInputMessage="1" showErrorMessage="1" promptTitle="Skyworks Solutions:" prompt="Apple is it's biggest customer." sqref="A306" xr:uid="{B0F46881-D57D-44BE-89B5-0A58580223F5}"/>
    <dataValidation allowBlank="1" showInputMessage="1" showErrorMessage="1" promptTitle="Kenvue:" prompt="Consumer Staples:_x000a_Listerine, Neutrogena, Tylenol, Motrin, Zyrtec, Bandaid, Johnson's, Nicorette, Aveeno, Rogaine." sqref="A313" xr:uid="{365033E6-ED80-4E3B-87EC-A32B477DD137}"/>
    <dataValidation allowBlank="1" showInputMessage="1" showErrorMessage="1" promptTitle="Textron:" prompt="Defense Contractor." sqref="A91" xr:uid="{334877F0-DEA8-482D-A934-17FCF4CEDE58}"/>
    <dataValidation allowBlank="1" showInputMessage="1" showErrorMessage="1" promptTitle="General Dynamics:" prompt="Defense Contractor." sqref="A77" xr:uid="{3F5AF402-C35D-433F-84B9-D29110387AFF}"/>
    <dataValidation allowBlank="1" showInputMessage="1" showErrorMessage="1" promptTitle="DaVita Inc." prompt="Provides kidney dialysis services for patients suffering from chronic kidney failure in the United States. The company operates kidney dialysis centers and provides related lab services in outpatient dialysis centers." sqref="A331" xr:uid="{3BF239E6-9BE5-458E-80BF-205DEB267FF4}"/>
    <dataValidation type="list" allowBlank="1" showInputMessage="1" showErrorMessage="1" sqref="S4:S422" xr:uid="{A011D9D2-AE12-4A6A-8A9B-AF4772E80FF8}">
      <formula1>"Up,Dwn,SW"</formula1>
    </dataValidation>
    <dataValidation type="list" allowBlank="1" showInputMessage="1" showErrorMessage="1" sqref="T4:T422" xr:uid="{A95F5D7E-BC56-4F96-A782-6048DEC38123}">
      <formula1>"Yes,No,NA, Up, Down"</formula1>
    </dataValidation>
    <dataValidation type="list" allowBlank="1" showInputMessage="1" showErrorMessage="1" sqref="V4:V422" xr:uid="{26E62F9B-18D7-4332-9013-495A20EDF0AD}">
      <formula1>"Long,Short, Skip"</formula1>
    </dataValidation>
    <dataValidation type="list" allowBlank="1" showInputMessage="1" showErrorMessage="1" sqref="AH4:AH422" xr:uid="{D4C5858A-E64B-4C0F-BBFC-DD1E1329A225}">
      <formula1>"Open,MOC,Other,Skip"</formula1>
    </dataValidation>
    <dataValidation allowBlank="1" showErrorMessage="1" sqref="AC5:AD422 AF5:AF422" xr:uid="{C88AE3E2-71C9-4CDE-9ED5-E2A8715B85FB}"/>
    <dataValidation type="list" allowBlank="1" showInputMessage="1" showErrorMessage="1" sqref="H4:H422" xr:uid="{EC02B6B1-538C-4436-8D74-35F9DED0C0B6}">
      <formula1>"s,o,sk"</formula1>
    </dataValidation>
    <dataValidation allowBlank="1" showInputMessage="1" showErrorMessage="1" promptTitle="Applied Materials:" prompt="Large chip equipment maker." sqref="A343" xr:uid="{0A7D8C33-5678-4F62-9756-5D5FD1D7C2BA}"/>
    <dataValidation allowBlank="1" showInputMessage="1" showErrorMessage="1" promptTitle="Fiserv, Inc:" prompt="I think growth is largely dependent on Clover, their POS and business mgmt platform.  When the CFO came out and said he saw another quarter of soft clover growth, it fell apart." sqref="A88" xr:uid="{472C2950-F5B2-4B6D-884C-5ECA8438980D}"/>
    <dataValidation allowBlank="1" showInputMessage="1" showErrorMessage="1" promptTitle="Doximity:" prompt="Online networking service for medical professionals. Medical professional App." sqref="A344" xr:uid="{01B66899-698E-49F6-853B-638F3FB4F490}"/>
    <dataValidation allowBlank="1" showInputMessage="1" showErrorMessage="1" promptTitle="Eagle Materials:" prompt="Eagle Materials Inc., through its subsidiaries, manufactures and sells heavy construction materials and light building materials in the United States. It operates in four segments: Cement, Concrete and Aggregates, Gypsum Wallboard, and Recycled Paperboard" sqref="A348" xr:uid="{53824D1D-5EE8-4B44-A1D2-2423EF84304F}"/>
    <dataValidation allowBlank="1" showInputMessage="1" showErrorMessage="1" promptTitle="Taek Two:" prompt="Makes of Grand Theft Auto, new one comes out May 26,26." sqref="A342" xr:uid="{33030DA4-FE42-41CB-836F-2C618ABCCF9B}"/>
    <dataValidation allowBlank="1" showInputMessage="1" showErrorMessage="1" promptTitle="Slippage:" prompt="Sometimes when exiting at market the next AM, the trade will not trigger for up to 5 minutes later. This can cause slippage.  Considered removing from this universe any stock that has large slippage OR takes minutes to trigger." sqref="M3 BO3:BV3" xr:uid="{AC4D3180-DDD7-4B03-B600-74DC822A3FF2}"/>
    <dataValidation allowBlank="1" showErrorMessage="1" promptTitle="Exit Using MOC:" prompt="Enter the MOC (closing price) here to track MOC performance vs. exiting at the open." sqref="AD3:AE3" xr:uid="{C1E0DE9E-5785-4AC1-A8C4-33AD686EFCFE}"/>
    <dataValidation allowBlank="1" showInputMessage="1" showErrorMessage="1" promptTitle="Actual MOC P&amp;L:" prompt="This would always be the same as col. AD, except if I override the strategy." sqref="AB3" xr:uid="{E0B906F1-E2AA-45E6-B9A2-FC3F8086BCFB}"/>
  </dataValidations>
  <pageMargins left="0.7" right="0.7" top="0.75" bottom="0.75" header="0.3" footer="0.3"/>
  <pageSetup orientation="portrait" horizontalDpi="300" verticalDpi="300"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010B3-C153-46DC-BC6B-F3EF86B7513B}">
  <sheetPr>
    <tabColor rgb="FF00FF00"/>
  </sheetPr>
  <dimension ref="D1:F12"/>
  <sheetViews>
    <sheetView workbookViewId="0">
      <selection activeCell="D1" sqref="D1:F12"/>
    </sheetView>
  </sheetViews>
  <sheetFormatPr defaultRowHeight="15" x14ac:dyDescent="0.25"/>
  <cols>
    <col min="5" max="5" width="14.5703125" bestFit="1" customWidth="1"/>
    <col min="6" max="6" width="16.7109375" bestFit="1" customWidth="1"/>
  </cols>
  <sheetData>
    <row r="1" spans="4:6" x14ac:dyDescent="0.25">
      <c r="E1" s="620" t="s">
        <v>5664</v>
      </c>
      <c r="F1" s="621" t="s">
        <v>2527</v>
      </c>
    </row>
    <row r="2" spans="4:6" ht="15.75" thickBot="1" x14ac:dyDescent="0.3">
      <c r="D2" s="622" t="s">
        <v>5674</v>
      </c>
      <c r="E2" s="623" t="s">
        <v>5675</v>
      </c>
      <c r="F2" s="623" t="s">
        <v>5676</v>
      </c>
    </row>
    <row r="3" spans="4:6" x14ac:dyDescent="0.25">
      <c r="D3" s="687" t="s">
        <v>2626</v>
      </c>
      <c r="E3" s="624" t="s">
        <v>5677</v>
      </c>
      <c r="F3" s="624" t="s">
        <v>5678</v>
      </c>
    </row>
    <row r="4" spans="4:6" x14ac:dyDescent="0.25">
      <c r="D4" s="688"/>
      <c r="E4" s="625">
        <f>SUMIFS('2025-Q2'!$AG$4:$AG$422,'2025-Q2'!$S$4:$S$422,D3,'2025-Q2'!$K$4:$K$422,"&gt;0")</f>
        <v>213.67893939394003</v>
      </c>
      <c r="F4" s="625">
        <f>SUMIFS('2025-Q2'!$AG$4:$AG$422,'2025-Q2'!$S$4:$S$422,D3,'2025-Q2'!$K$4:$K$422,"&lt;0")</f>
        <v>-15.112897631682017</v>
      </c>
    </row>
    <row r="5" spans="4:6" x14ac:dyDescent="0.25">
      <c r="D5" s="689" t="s">
        <v>5679</v>
      </c>
      <c r="E5" s="626" t="s">
        <v>5680</v>
      </c>
      <c r="F5" s="626" t="s">
        <v>5681</v>
      </c>
    </row>
    <row r="6" spans="4:6" x14ac:dyDescent="0.25">
      <c r="D6" s="690"/>
      <c r="E6" s="625">
        <f>SUMIFS('2025-Q2'!$AG$4:$AG$422,'2025-Q2'!$S$4:$S$422,D5,'2025-Q2'!$K$4:$K$422,"&gt;0")</f>
        <v>0</v>
      </c>
      <c r="F6" s="625">
        <f>SUMIFS('2025-Q2'!$AG$4:$AG$422,'2025-Q2'!$S$4:$S$422,D5,'2025-Q2'!$K$4:$K$422,"&lt;0")</f>
        <v>0</v>
      </c>
    </row>
    <row r="7" spans="4:6" x14ac:dyDescent="0.25">
      <c r="D7" s="691" t="s">
        <v>1472</v>
      </c>
      <c r="E7" s="626" t="s">
        <v>5682</v>
      </c>
      <c r="F7" s="626" t="s">
        <v>5683</v>
      </c>
    </row>
    <row r="8" spans="4:6" x14ac:dyDescent="0.25">
      <c r="D8" s="692"/>
      <c r="E8" s="625">
        <f>SUMIFS('2025-Q2'!$AG$4:$AG$422,'2025-Q2'!$S$4:$S$422,D7,'2025-Q2'!$K$4:$K$422,"&gt;0")</f>
        <v>-919.57528506331687</v>
      </c>
      <c r="F8" s="625">
        <f>SUMIFS('2025-Q2'!$AG$4:$AG$422,'2025-Q2'!$S$4:$S$422,D7,'2025-Q2'!$K$4:$K$422,"&lt;0")</f>
        <v>911.06649216217215</v>
      </c>
    </row>
    <row r="9" spans="4:6" x14ac:dyDescent="0.25">
      <c r="D9" s="693" t="s">
        <v>5684</v>
      </c>
      <c r="E9" s="626" t="s">
        <v>5685</v>
      </c>
      <c r="F9" s="626" t="s">
        <v>5686</v>
      </c>
    </row>
    <row r="10" spans="4:6" x14ac:dyDescent="0.25">
      <c r="D10" s="694"/>
      <c r="E10" s="625">
        <f>SUMIFS('2025-Q2'!$AG$4:$AG$422,'2025-Q2'!$S$4:$S$422,D9,'2025-Q2'!$K$4:$K$422,"&gt;0")</f>
        <v>0</v>
      </c>
      <c r="F10" s="625">
        <f>SUMIFS('2025-Q2'!$AG$4:$AG$422,'2025-Q2'!$S$4:$S$422,D9,'2025-Q2'!$K$4:$K$422,"&lt;0")</f>
        <v>0</v>
      </c>
    </row>
    <row r="11" spans="4:6" x14ac:dyDescent="0.25">
      <c r="D11" s="695" t="s">
        <v>2693</v>
      </c>
      <c r="E11" s="626" t="s">
        <v>5687</v>
      </c>
      <c r="F11" s="626" t="s">
        <v>5688</v>
      </c>
    </row>
    <row r="12" spans="4:6" x14ac:dyDescent="0.25">
      <c r="D12" s="696"/>
      <c r="E12" s="625">
        <f>SUMIFS('2025-Q2'!$AG$4:$AG$422,'2025-Q2'!$S$4:$S$422,D11,'2025-Q2'!$K$4:$K$422,"&gt;0")</f>
        <v>687.37633216986717</v>
      </c>
      <c r="F12" s="625">
        <f>SUMIFS('2025-Q2'!$AG$4:$AG$422,'2025-Q2'!$S$4:$S$422,D11,'2025-Q2'!$K$4:$K$422,"&lt;0")</f>
        <v>-695.49075245408187</v>
      </c>
    </row>
  </sheetData>
  <mergeCells count="5">
    <mergeCell ref="D3:D4"/>
    <mergeCell ref="D5:D6"/>
    <mergeCell ref="D7:D8"/>
    <mergeCell ref="D9:D10"/>
    <mergeCell ref="D11:D12"/>
  </mergeCells>
  <conditionalFormatting sqref="E4:F4 E6:F6 E8:F8 E10:F10 E12:F12">
    <cfRule type="cellIs" dxfId="9" priority="1" operator="lessThan">
      <formula>0</formula>
    </cfRule>
    <cfRule type="cellIs" dxfId="8" priority="2" operator="greaterThan">
      <formula>0</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4F850-B7EB-4C06-8076-9FC45ECE1B50}">
  <sheetPr codeName="Sheet11">
    <tabColor rgb="FF00FF00"/>
  </sheetPr>
  <dimension ref="A43:AB562"/>
  <sheetViews>
    <sheetView showGridLines="0" topLeftCell="A105" zoomScaleNormal="100" workbookViewId="0">
      <selection activeCell="AJ102" sqref="AJ102"/>
    </sheetView>
  </sheetViews>
  <sheetFormatPr defaultRowHeight="15" x14ac:dyDescent="0.25"/>
  <cols>
    <col min="3" max="3" width="8" customWidth="1"/>
    <col min="4" max="4" width="10.42578125" customWidth="1"/>
  </cols>
  <sheetData>
    <row r="43" spans="28:28" x14ac:dyDescent="0.25">
      <c r="AB43" t="s">
        <v>2732</v>
      </c>
    </row>
    <row r="493" spans="1:4" x14ac:dyDescent="0.25">
      <c r="A493" s="697" t="s">
        <v>2748</v>
      </c>
      <c r="B493" s="697"/>
      <c r="C493" s="697"/>
      <c r="D493" s="697"/>
    </row>
    <row r="494" spans="1:4" x14ac:dyDescent="0.25">
      <c r="A494" s="224" t="s">
        <v>2608</v>
      </c>
      <c r="B494" s="224" t="s">
        <v>2664</v>
      </c>
      <c r="C494" s="234" t="s">
        <v>2744</v>
      </c>
      <c r="D494" s="225" t="s">
        <v>2737</v>
      </c>
    </row>
    <row r="495" spans="1:4" x14ac:dyDescent="0.25">
      <c r="A495" s="15" t="s">
        <v>2614</v>
      </c>
      <c r="B495" s="227">
        <f>_xlfn.XLOOKUP('Rev Curves'!$A495,'Stats Roll Up'!$B$4:$B$17,'Stats Roll Up'!$F$4:$F$17)</f>
        <v>1</v>
      </c>
      <c r="C495" s="17">
        <f>_xlfn.XLOOKUP('Rev Curves'!$A495,'Stats Roll Up'!$B$4:$B$17,'Stats Roll Up'!$G$4:$G$17)</f>
        <v>1</v>
      </c>
      <c r="D495" s="228">
        <f>_xlfn.XLOOKUP(A495,Expectancy!$P$3:$P$17,Expectancy!$Q$3:$Q$17)</f>
        <v>0.40279467610514952</v>
      </c>
    </row>
    <row r="496" spans="1:4" x14ac:dyDescent="0.25">
      <c r="A496" s="15" t="s">
        <v>2610</v>
      </c>
      <c r="B496" s="227">
        <f>_xlfn.XLOOKUP('Rev Curves'!A496,'Stats Roll Up'!$B$4:$B$17,'Stats Roll Up'!$F$4:$F$17)</f>
        <v>2</v>
      </c>
      <c r="C496" s="17">
        <f>_xlfn.XLOOKUP('Rev Curves'!$A496,'Stats Roll Up'!$B$4:$B$17,'Stats Roll Up'!$G$4:$G$17)</f>
        <v>0.5</v>
      </c>
      <c r="D496" s="228">
        <f>_xlfn.XLOOKUP(A496,Expectancy!$P$3:$P$17,Expectancy!$Q$3:$Q$17)</f>
        <v>-0.42024895794824807</v>
      </c>
    </row>
    <row r="497" spans="1:4" x14ac:dyDescent="0.25">
      <c r="A497" s="15" t="s">
        <v>2690</v>
      </c>
      <c r="B497" s="227">
        <f>_xlfn.XLOOKUP('Rev Curves'!A497,'Stats Roll Up'!$B$4:$B$17,'Stats Roll Up'!$F$4:$F$17)</f>
        <v>11</v>
      </c>
      <c r="C497" s="17">
        <f>_xlfn.XLOOKUP('Rev Curves'!$A497,'Stats Roll Up'!$B$4:$B$17,'Stats Roll Up'!$G$4:$G$17)</f>
        <v>0.54545454545454541</v>
      </c>
      <c r="D497" s="228">
        <f>_xlfn.XLOOKUP(A497,Expectancy!$P$3:$P$17,Expectancy!$Q$3:$Q$17)</f>
        <v>-0.24636164195459787</v>
      </c>
    </row>
    <row r="498" spans="1:4" x14ac:dyDescent="0.25">
      <c r="A498" s="15" t="s">
        <v>2659</v>
      </c>
      <c r="B498" s="227">
        <f>_xlfn.XLOOKUP('Rev Curves'!A498,'Stats Roll Up'!$B$4:$B$17,'Stats Roll Up'!$F$4:$F$17)</f>
        <v>2</v>
      </c>
      <c r="C498" s="17">
        <f>_xlfn.XLOOKUP('Rev Curves'!$A498,'Stats Roll Up'!$B$4:$B$17,'Stats Roll Up'!$G$4:$G$17)</f>
        <v>0.5</v>
      </c>
      <c r="D498" s="228">
        <f>_xlfn.XLOOKUP(A498,Expectancy!$P$3:$P$17,Expectancy!$Q$3:$Q$17)</f>
        <v>-0.13249426303908396</v>
      </c>
    </row>
    <row r="499" spans="1:4" x14ac:dyDescent="0.25">
      <c r="A499" s="15" t="s">
        <v>2613</v>
      </c>
      <c r="B499" s="227">
        <f>_xlfn.XLOOKUP('Rev Curves'!A499,'Stats Roll Up'!$B$4:$B$17,'Stats Roll Up'!$F$4:$F$17)</f>
        <v>10</v>
      </c>
      <c r="C499" s="17">
        <f>_xlfn.XLOOKUP('Rev Curves'!$A499,'Stats Roll Up'!$B$4:$B$17,'Stats Roll Up'!$G$4:$G$17)</f>
        <v>0.4</v>
      </c>
      <c r="D499" s="228">
        <f>_xlfn.XLOOKUP(A499,Expectancy!$P$3:$P$17,Expectancy!$Q$3:$Q$17)</f>
        <v>2.4785202869748425E-2</v>
      </c>
    </row>
    <row r="500" spans="1:4" x14ac:dyDescent="0.25">
      <c r="A500" s="15" t="s">
        <v>2619</v>
      </c>
      <c r="B500" s="227">
        <f>_xlfn.XLOOKUP('Rev Curves'!A500,'Stats Roll Up'!$B$4:$B$17,'Stats Roll Up'!$F$4:$F$17)</f>
        <v>9</v>
      </c>
      <c r="C500" s="17">
        <f>_xlfn.XLOOKUP('Rev Curves'!$A500,'Stats Roll Up'!$B$4:$B$17,'Stats Roll Up'!$G$4:$G$17)</f>
        <v>0.22222222222222221</v>
      </c>
      <c r="D500" s="228">
        <f>_xlfn.XLOOKUP(A500,Expectancy!$P$3:$P$17,Expectancy!$Q$3:$Q$17)</f>
        <v>-0.86477885999767656</v>
      </c>
    </row>
    <row r="501" spans="1:4" x14ac:dyDescent="0.25">
      <c r="A501" s="15" t="s">
        <v>2615</v>
      </c>
      <c r="B501" s="227">
        <f>_xlfn.XLOOKUP('Rev Curves'!A501,'Stats Roll Up'!$B$4:$B$17,'Stats Roll Up'!$F$4:$F$17)</f>
        <v>8</v>
      </c>
      <c r="C501" s="17">
        <f>_xlfn.XLOOKUP('Rev Curves'!$A501,'Stats Roll Up'!$B$4:$B$17,'Stats Roll Up'!$G$4:$G$17)</f>
        <v>0.625</v>
      </c>
      <c r="D501" s="228">
        <f>_xlfn.XLOOKUP(A501,Expectancy!$P$3:$P$17,Expectancy!$Q$3:$Q$17)</f>
        <v>0.27378753068059936</v>
      </c>
    </row>
    <row r="502" spans="1:4" x14ac:dyDescent="0.25">
      <c r="A502" s="15" t="s">
        <v>2612</v>
      </c>
      <c r="B502" s="227">
        <f>_xlfn.XLOOKUP('Rev Curves'!A502,'Stats Roll Up'!$B$4:$B$17,'Stats Roll Up'!$F$4:$F$17)</f>
        <v>1</v>
      </c>
      <c r="C502" s="17">
        <f>_xlfn.XLOOKUP('Rev Curves'!$A502,'Stats Roll Up'!$B$4:$B$17,'Stats Roll Up'!$G$4:$G$17)</f>
        <v>0</v>
      </c>
      <c r="D502" s="228">
        <f>_xlfn.XLOOKUP(A502,Expectancy!$P$3:$P$17,Expectancy!$Q$3:$Q$17)</f>
        <v>-0.55950946427675097</v>
      </c>
    </row>
    <row r="503" spans="1:4" x14ac:dyDescent="0.25">
      <c r="A503" s="15" t="s">
        <v>2618</v>
      </c>
      <c r="B503" s="227">
        <f>_xlfn.XLOOKUP('Rev Curves'!A503,'Stats Roll Up'!$B$4:$B$17,'Stats Roll Up'!$F$4:$F$17)</f>
        <v>3</v>
      </c>
      <c r="C503" s="17">
        <f>_xlfn.XLOOKUP('Rev Curves'!$A503,'Stats Roll Up'!$B$4:$B$17,'Stats Roll Up'!$G$4:$G$17)</f>
        <v>0.66666666666666663</v>
      </c>
      <c r="D503" s="228">
        <f>_xlfn.XLOOKUP(A503,Expectancy!$P$3:$P$17,Expectancy!$Q$3:$Q$17)</f>
        <v>0.21949447123294927</v>
      </c>
    </row>
    <row r="504" spans="1:4" x14ac:dyDescent="0.25">
      <c r="A504" s="15" t="s">
        <v>2609</v>
      </c>
      <c r="B504" s="227">
        <f>_xlfn.XLOOKUP('Rev Curves'!A504,'Stats Roll Up'!$B$4:$B$17,'Stats Roll Up'!$F$4:$F$17)</f>
        <v>0</v>
      </c>
      <c r="C504" s="17">
        <f>_xlfn.XLOOKUP('Rev Curves'!$A504,'Stats Roll Up'!$B$4:$B$17,'Stats Roll Up'!$G$4:$G$17)</f>
        <v>0</v>
      </c>
      <c r="D504" s="228">
        <f>_xlfn.XLOOKUP(A504,Expectancy!$P$3:$P$17,Expectancy!$Q$3:$Q$17)</f>
        <v>0</v>
      </c>
    </row>
    <row r="505" spans="1:4" x14ac:dyDescent="0.25">
      <c r="A505" s="223" t="s">
        <v>1401</v>
      </c>
      <c r="B505" s="223">
        <f>_xlfn.XLOOKUP('Rev Curves'!A505,'Stats Roll Up'!$B$4:$B$17,'Stats Roll Up'!$F$4:$F$17)</f>
        <v>51</v>
      </c>
      <c r="C505" s="415">
        <f>_xlfn.XLOOKUP('Rev Curves'!$A505,'Stats Roll Up'!$B$4:$B$17,'Stats Roll Up'!$G$4:$G$17)</f>
        <v>0.47058823529411764</v>
      </c>
      <c r="D505" s="226">
        <f>_xlfn.XLOOKUP(A505,Expectancy!$P$3:$P$17,Expectancy!$Q$3:$Q$17)</f>
        <v>-0.16461481730295105</v>
      </c>
    </row>
    <row r="521" spans="1:4" x14ac:dyDescent="0.25">
      <c r="A521" s="697" t="s">
        <v>2747</v>
      </c>
      <c r="B521" s="697"/>
      <c r="C521" s="697"/>
      <c r="D521" s="697"/>
    </row>
    <row r="522" spans="1:4" x14ac:dyDescent="0.25">
      <c r="A522" s="224" t="s">
        <v>2608</v>
      </c>
      <c r="B522" s="224" t="s">
        <v>2664</v>
      </c>
      <c r="C522" s="234" t="s">
        <v>2745</v>
      </c>
      <c r="D522" s="225" t="s">
        <v>2737</v>
      </c>
    </row>
    <row r="523" spans="1:4" x14ac:dyDescent="0.25">
      <c r="A523" s="15" t="s">
        <v>2614</v>
      </c>
      <c r="B523" s="227">
        <f>_xlfn.XLOOKUP('Rev Curves'!$A523,'Stats Roll Up'!$B$4:$B$17,'Stats Roll Up'!$J$4:$J$17)</f>
        <v>10</v>
      </c>
      <c r="C523" s="17">
        <f>_xlfn.XLOOKUP('Rev Curves'!$A523,'Stats Roll Up'!$B$4:$B$17,'Stats Roll Up'!$Y$4:$Y$17)</f>
        <v>0.7</v>
      </c>
      <c r="D523" s="228">
        <f>_xlfn.XLOOKUP(A523,Expectancy!$P$3:$P$17,Expectancy!$R$3:$R$17)</f>
        <v>0.20825010564889138</v>
      </c>
    </row>
    <row r="524" spans="1:4" x14ac:dyDescent="0.25">
      <c r="A524" s="15" t="s">
        <v>2610</v>
      </c>
      <c r="B524" s="227">
        <f>_xlfn.XLOOKUP('Rev Curves'!A524,'Stats Roll Up'!$B$4:$B$17,'Stats Roll Up'!$J$4:$J$17)</f>
        <v>7</v>
      </c>
      <c r="C524" s="17">
        <f>_xlfn.XLOOKUP('Rev Curves'!$A524,'Stats Roll Up'!$B$4:$B$17,'Stats Roll Up'!$Y$4:$Y$17)</f>
        <v>0.5714285714285714</v>
      </c>
      <c r="D524" s="228">
        <f>_xlfn.XLOOKUP(A524,Expectancy!$P$3:$P$17,Expectancy!$R$3:$R$17)</f>
        <v>0.26653783137855391</v>
      </c>
    </row>
    <row r="525" spans="1:4" x14ac:dyDescent="0.25">
      <c r="A525" s="15" t="s">
        <v>2690</v>
      </c>
      <c r="B525" s="227">
        <f>_xlfn.XLOOKUP('Rev Curves'!A525,'Stats Roll Up'!$B$4:$B$17,'Stats Roll Up'!$J$4:$J$17)</f>
        <v>11</v>
      </c>
      <c r="C525" s="17">
        <f>_xlfn.XLOOKUP('Rev Curves'!$A525,'Stats Roll Up'!$B$4:$B$17,'Stats Roll Up'!$Y$4:$Y$17)</f>
        <v>0.54545454545454541</v>
      </c>
      <c r="D525" s="228">
        <f>_xlfn.XLOOKUP(A525,Expectancy!$P$3:$P$17,Expectancy!$R$3:$R$17)</f>
        <v>0.29212173408155823</v>
      </c>
    </row>
    <row r="526" spans="1:4" x14ac:dyDescent="0.25">
      <c r="A526" s="15" t="s">
        <v>2659</v>
      </c>
      <c r="B526" s="227">
        <f>_xlfn.XLOOKUP('Rev Curves'!A526,'Stats Roll Up'!$B$4:$B$17,'Stats Roll Up'!$J$4:$J$17)</f>
        <v>8</v>
      </c>
      <c r="C526" s="17">
        <f>_xlfn.XLOOKUP('Rev Curves'!$A526,'Stats Roll Up'!$B$4:$B$17,'Stats Roll Up'!$Y$4:$Y$17)</f>
        <v>0.5</v>
      </c>
      <c r="D526" s="228">
        <f>_xlfn.XLOOKUP(A526,Expectancy!$P$3:$P$17,Expectancy!$R$3:$R$17)</f>
        <v>9.8895492844328636E-3</v>
      </c>
    </row>
    <row r="527" spans="1:4" x14ac:dyDescent="0.25">
      <c r="A527" s="15" t="s">
        <v>2613</v>
      </c>
      <c r="B527" s="227">
        <f>_xlfn.XLOOKUP('Rev Curves'!A527,'Stats Roll Up'!$B$4:$B$17,'Stats Roll Up'!$J$4:$J$17)</f>
        <v>22</v>
      </c>
      <c r="C527" s="17">
        <f>_xlfn.XLOOKUP('Rev Curves'!$A527,'Stats Roll Up'!$B$4:$B$17,'Stats Roll Up'!$Y$4:$Y$17)</f>
        <v>0.63636363636363635</v>
      </c>
      <c r="D527" s="228">
        <f>_xlfn.XLOOKUP(A527,Expectancy!$P$3:$P$17,Expectancy!$R$3:$R$17)</f>
        <v>0.19629268885853698</v>
      </c>
    </row>
    <row r="528" spans="1:4" x14ac:dyDescent="0.25">
      <c r="A528" s="15" t="s">
        <v>2619</v>
      </c>
      <c r="B528" s="227">
        <f>_xlfn.XLOOKUP('Rev Curves'!A528,'Stats Roll Up'!$B$4:$B$17,'Stats Roll Up'!$J$4:$J$17)</f>
        <v>17</v>
      </c>
      <c r="C528" s="17">
        <f>_xlfn.XLOOKUP('Rev Curves'!$A528,'Stats Roll Up'!$B$4:$B$17,'Stats Roll Up'!$Y$4:$Y$17)</f>
        <v>0.41176470588235292</v>
      </c>
      <c r="D528" s="228">
        <f>_xlfn.XLOOKUP(A528,Expectancy!$P$3:$P$17,Expectancy!$R$3:$R$17)</f>
        <v>-0.15510377477901269</v>
      </c>
    </row>
    <row r="529" spans="1:4" x14ac:dyDescent="0.25">
      <c r="A529" s="15" t="s">
        <v>2615</v>
      </c>
      <c r="B529" s="227">
        <f>_xlfn.XLOOKUP('Rev Curves'!A529,'Stats Roll Up'!$B$4:$B$17,'Stats Roll Up'!$J$4:$J$17)</f>
        <v>15</v>
      </c>
      <c r="C529" s="17">
        <f>_xlfn.XLOOKUP('Rev Curves'!$A529,'Stats Roll Up'!$B$4:$B$17,'Stats Roll Up'!$Y$4:$Y$17)</f>
        <v>0.66666666666666663</v>
      </c>
      <c r="D529" s="228">
        <f>_xlfn.XLOOKUP(A529,Expectancy!$P$3:$P$17,Expectancy!$R$3:$R$17)</f>
        <v>0.22989199629517706</v>
      </c>
    </row>
    <row r="530" spans="1:4" x14ac:dyDescent="0.25">
      <c r="A530" s="15" t="s">
        <v>2612</v>
      </c>
      <c r="B530" s="227">
        <f>_xlfn.XLOOKUP('Rev Curves'!A530,'Stats Roll Up'!$B$4:$B$17,'Stats Roll Up'!$J$4:$J$17)</f>
        <v>18</v>
      </c>
      <c r="C530" s="17">
        <f>_xlfn.XLOOKUP('Rev Curves'!$A530,'Stats Roll Up'!$B$4:$B$17,'Stats Roll Up'!$Y$4:$Y$17)</f>
        <v>0.44444444444444442</v>
      </c>
      <c r="D530" s="228">
        <f>_xlfn.XLOOKUP(A530,Expectancy!$P$3:$P$17,Expectancy!$R$3:$R$17)</f>
        <v>-1.1528131011442603E-2</v>
      </c>
    </row>
    <row r="531" spans="1:4" x14ac:dyDescent="0.25">
      <c r="A531" s="15" t="s">
        <v>2618</v>
      </c>
      <c r="B531" s="227">
        <f>_xlfn.XLOOKUP('Rev Curves'!A531,'Stats Roll Up'!$B$4:$B$17,'Stats Roll Up'!$J$4:$J$17)</f>
        <v>19</v>
      </c>
      <c r="C531" s="17">
        <f>_xlfn.XLOOKUP('Rev Curves'!$A531,'Stats Roll Up'!$B$4:$B$17,'Stats Roll Up'!$Y$4:$Y$17)</f>
        <v>0.52631578947368418</v>
      </c>
      <c r="D531" s="228">
        <f>_xlfn.XLOOKUP(A531,Expectancy!$P$3:$P$17,Expectancy!$R$3:$R$17)</f>
        <v>-0.18487016611151466</v>
      </c>
    </row>
    <row r="532" spans="1:4" x14ac:dyDescent="0.25">
      <c r="A532" s="15" t="s">
        <v>2609</v>
      </c>
      <c r="B532" s="227">
        <f>_xlfn.XLOOKUP('Rev Curves'!A532,'Stats Roll Up'!$B$4:$B$17,'Stats Roll Up'!$J$4:$J$17)</f>
        <v>19</v>
      </c>
      <c r="C532" s="17">
        <f>_xlfn.XLOOKUP('Rev Curves'!$A532,'Stats Roll Up'!$B$4:$B$17,'Stats Roll Up'!$Y$4:$Y$17)</f>
        <v>0.68421052631578949</v>
      </c>
      <c r="D532" s="228">
        <f>_xlfn.XLOOKUP(A532,Expectancy!$P$3:$P$17,Expectancy!$R$3:$R$17)</f>
        <v>0.13046769514784193</v>
      </c>
    </row>
    <row r="533" spans="1:4" x14ac:dyDescent="0.25">
      <c r="A533" s="223" t="s">
        <v>1401</v>
      </c>
      <c r="B533" s="223">
        <f>_xlfn.XLOOKUP('Rev Curves'!A533,'Stats Roll Up'!$B$4:$B$17,'Stats Roll Up'!$J$4:$J$17)</f>
        <v>166</v>
      </c>
      <c r="C533" s="415">
        <f>_xlfn.XLOOKUP('Rev Curves'!$A533,'Stats Roll Up'!$B$4:$B$17,'Stats Roll Up'!$Y$4:$Y$17)</f>
        <v>0.55421686746987953</v>
      </c>
      <c r="D533" s="226">
        <f>_xlfn.XLOOKUP(A533,Expectancy!$P$3:$P$17,Expectancy!$R$3:$R$17)</f>
        <v>6.6047921725611566E-2</v>
      </c>
    </row>
    <row r="550" spans="1:4" x14ac:dyDescent="0.25">
      <c r="A550" s="697" t="s">
        <v>2746</v>
      </c>
      <c r="B550" s="697"/>
      <c r="C550" s="697"/>
      <c r="D550" s="697"/>
    </row>
    <row r="551" spans="1:4" x14ac:dyDescent="0.25">
      <c r="A551" s="224" t="s">
        <v>2608</v>
      </c>
      <c r="B551" s="224" t="s">
        <v>2664</v>
      </c>
      <c r="C551" s="234" t="s">
        <v>2744</v>
      </c>
      <c r="D551" s="225" t="s">
        <v>2737</v>
      </c>
    </row>
    <row r="552" spans="1:4" x14ac:dyDescent="0.25">
      <c r="A552" s="15" t="s">
        <v>2614</v>
      </c>
      <c r="B552" s="227">
        <f>_xlfn.XLOOKUP('Rev Curves'!$A552,'Stats Roll Up'!$B$4:$B$17,'Stats Roll Up'!$N$4:$N$17)</f>
        <v>19</v>
      </c>
      <c r="C552" s="17">
        <f>_xlfn.XLOOKUP('Rev Curves'!$A552,'Stats Roll Up'!$B$4:$B$17,'Stats Roll Up'!$O$4:$O$17)</f>
        <v>0.47368421052631576</v>
      </c>
      <c r="D552" s="228">
        <f>_xlfn.XLOOKUP(A552,Expectancy!$P$3:$P$17,Expectancy!$S$3:$S$17)</f>
        <v>-4.3911328863321449E-2</v>
      </c>
    </row>
    <row r="553" spans="1:4" x14ac:dyDescent="0.25">
      <c r="A553" s="15" t="s">
        <v>2610</v>
      </c>
      <c r="B553" s="227">
        <f>_xlfn.XLOOKUP('Rev Curves'!A553,'Stats Roll Up'!$B$4:$B$17,'Stats Roll Up'!$N$4:$N$17)</f>
        <v>8</v>
      </c>
      <c r="C553" s="17">
        <f>_xlfn.XLOOKUP('Rev Curves'!$A553,'Stats Roll Up'!$B$4:$B$17,'Stats Roll Up'!$O$4:$O$17)</f>
        <v>0.75</v>
      </c>
      <c r="D553" s="228">
        <f>_xlfn.XLOOKUP(A553,Expectancy!$P$3:$P$17,Expectancy!$S$3:$S$17)</f>
        <v>0.43608952910992427</v>
      </c>
    </row>
    <row r="554" spans="1:4" x14ac:dyDescent="0.25">
      <c r="A554" s="15" t="s">
        <v>2690</v>
      </c>
      <c r="B554" s="227">
        <f>_xlfn.XLOOKUP('Rev Curves'!A554,'Stats Roll Up'!$B$4:$B$17,'Stats Roll Up'!$N$4:$N$17)</f>
        <v>22</v>
      </c>
      <c r="C554" s="17">
        <f>_xlfn.XLOOKUP('Rev Curves'!$A554,'Stats Roll Up'!$B$4:$B$17,'Stats Roll Up'!$O$4:$O$17)</f>
        <v>0.36363636363636365</v>
      </c>
      <c r="D554" s="228">
        <f>_xlfn.XLOOKUP(A554,Expectancy!$P$3:$P$17,Expectancy!$S$3:$S$17)</f>
        <v>-0.54754073056465369</v>
      </c>
    </row>
    <row r="555" spans="1:4" x14ac:dyDescent="0.25">
      <c r="A555" s="15" t="s">
        <v>2659</v>
      </c>
      <c r="B555" s="227">
        <f>_xlfn.XLOOKUP('Rev Curves'!A555,'Stats Roll Up'!$B$4:$B$17,'Stats Roll Up'!$N$4:$N$17)</f>
        <v>10</v>
      </c>
      <c r="C555" s="17">
        <f>_xlfn.XLOOKUP('Rev Curves'!$A555,'Stats Roll Up'!$B$4:$B$17,'Stats Roll Up'!$O$4:$O$17)</f>
        <v>0.5</v>
      </c>
      <c r="D555" s="228">
        <f>_xlfn.XLOOKUP(A555,Expectancy!$P$3:$P$17,Expectancy!$S$3:$S$17)</f>
        <v>6.2848633887309935E-2</v>
      </c>
    </row>
    <row r="556" spans="1:4" x14ac:dyDescent="0.25">
      <c r="A556" s="15" t="s">
        <v>2613</v>
      </c>
      <c r="B556" s="227">
        <f>_xlfn.XLOOKUP('Rev Curves'!A556,'Stats Roll Up'!$B$4:$B$17,'Stats Roll Up'!$N$4:$N$17)</f>
        <v>33</v>
      </c>
      <c r="C556" s="17">
        <f>_xlfn.XLOOKUP('Rev Curves'!$A556,'Stats Roll Up'!$B$4:$B$17,'Stats Roll Up'!$O$4:$O$17)</f>
        <v>0.51515151515151514</v>
      </c>
      <c r="D556" s="228">
        <f>_xlfn.XLOOKUP(A556,Expectancy!$P$3:$P$17,Expectancy!$S$3:$S$17)</f>
        <v>0.25571076729845732</v>
      </c>
    </row>
    <row r="557" spans="1:4" x14ac:dyDescent="0.25">
      <c r="A557" s="15" t="s">
        <v>2619</v>
      </c>
      <c r="B557" s="227">
        <f>_xlfn.XLOOKUP('Rev Curves'!A557,'Stats Roll Up'!$B$4:$B$17,'Stats Roll Up'!$N$4:$N$17)</f>
        <v>24</v>
      </c>
      <c r="C557" s="17">
        <f>_xlfn.XLOOKUP('Rev Curves'!$A557,'Stats Roll Up'!$B$4:$B$17,'Stats Roll Up'!$O$4:$O$17)</f>
        <v>0.58333333333333337</v>
      </c>
      <c r="D557" s="228">
        <f>_xlfn.XLOOKUP(A557,Expectancy!$P$3:$P$17,Expectancy!$S$3:$S$17)</f>
        <v>5.5441557714096784E-2</v>
      </c>
    </row>
    <row r="558" spans="1:4" x14ac:dyDescent="0.25">
      <c r="A558" s="15" t="s">
        <v>2615</v>
      </c>
      <c r="B558" s="227">
        <f>_xlfn.XLOOKUP('Rev Curves'!A558,'Stats Roll Up'!$B$4:$B$17,'Stats Roll Up'!$N$4:$N$17)</f>
        <v>13</v>
      </c>
      <c r="C558" s="17">
        <f>_xlfn.XLOOKUP('Rev Curves'!$A558,'Stats Roll Up'!$B$4:$B$17,'Stats Roll Up'!$O$4:$O$17)</f>
        <v>0.30769230769230771</v>
      </c>
      <c r="D558" s="228">
        <f>_xlfn.XLOOKUP(A558,Expectancy!$P$3:$P$17,Expectancy!$S$3:$S$17)</f>
        <v>8.8329129488758901E-2</v>
      </c>
    </row>
    <row r="559" spans="1:4" x14ac:dyDescent="0.25">
      <c r="A559" s="15" t="s">
        <v>2612</v>
      </c>
      <c r="B559" s="227">
        <f>_xlfn.XLOOKUP('Rev Curves'!A559,'Stats Roll Up'!$B$4:$B$17,'Stats Roll Up'!$N$4:$N$17)</f>
        <v>24</v>
      </c>
      <c r="C559" s="17">
        <f>_xlfn.XLOOKUP('Rev Curves'!$A559,'Stats Roll Up'!$B$4:$B$17,'Stats Roll Up'!$O$4:$O$17)</f>
        <v>0.41666666666666669</v>
      </c>
      <c r="D559" s="228">
        <f>_xlfn.XLOOKUP(A559,Expectancy!$P$3:$P$17,Expectancy!$S$3:$S$17)</f>
        <v>-9.7404315359225002E-2</v>
      </c>
    </row>
    <row r="560" spans="1:4" x14ac:dyDescent="0.25">
      <c r="A560" s="15" t="s">
        <v>2618</v>
      </c>
      <c r="B560" s="227">
        <f>_xlfn.XLOOKUP('Rev Curves'!A560,'Stats Roll Up'!$B$4:$B$17,'Stats Roll Up'!$N$4:$N$17)</f>
        <v>23</v>
      </c>
      <c r="C560" s="17">
        <f>_xlfn.XLOOKUP('Rev Curves'!$A560,'Stats Roll Up'!$B$4:$B$17,'Stats Roll Up'!$O$4:$O$17)</f>
        <v>0.73913043478260865</v>
      </c>
      <c r="D560" s="228">
        <f>_xlfn.XLOOKUP(A560,Expectancy!$P$3:$P$17,Expectancy!$S$3:$S$17)</f>
        <v>0.5720240428421256</v>
      </c>
    </row>
    <row r="561" spans="1:4" x14ac:dyDescent="0.25">
      <c r="A561" s="15" t="s">
        <v>2609</v>
      </c>
      <c r="B561" s="227">
        <f>_xlfn.XLOOKUP('Rev Curves'!A561,'Stats Roll Up'!$B$4:$B$17,'Stats Roll Up'!$N$4:$N$17)</f>
        <v>8</v>
      </c>
      <c r="C561" s="17">
        <f>_xlfn.XLOOKUP('Rev Curves'!$A561,'Stats Roll Up'!$B$4:$B$17,'Stats Roll Up'!$O$4:$O$17)</f>
        <v>0.625</v>
      </c>
      <c r="D561" s="228">
        <f>_xlfn.XLOOKUP(A561,Expectancy!$P$3:$P$17,Expectancy!$S$3:$S$17)</f>
        <v>0.22320061331845609</v>
      </c>
    </row>
    <row r="562" spans="1:4" x14ac:dyDescent="0.25">
      <c r="A562" s="223" t="s">
        <v>1401</v>
      </c>
      <c r="B562" s="223">
        <f>_xlfn.XLOOKUP('Rev Curves'!A562,'Stats Roll Up'!$B$4:$B$17,'Stats Roll Up'!$N$4:$N$17)</f>
        <v>202</v>
      </c>
      <c r="C562" s="415">
        <f>_xlfn.XLOOKUP('Rev Curves'!$A562,'Stats Roll Up'!$B$4:$B$17,'Stats Roll Up'!$O$4:$O$17)</f>
        <v>0.50495049504950495</v>
      </c>
      <c r="D562" s="226">
        <f>_xlfn.XLOOKUP(A562,Expectancy!$P$3:$P$17,Expectancy!$S$3:$S$17)</f>
        <v>4.9320528066589944E-2</v>
      </c>
    </row>
  </sheetData>
  <mergeCells count="3">
    <mergeCell ref="A493:D493"/>
    <mergeCell ref="A521:D521"/>
    <mergeCell ref="A550:D550"/>
  </mergeCells>
  <conditionalFormatting sqref="B495:B504">
    <cfRule type="dataBar" priority="14">
      <dataBar>
        <cfvo type="min"/>
        <cfvo type="max"/>
        <color rgb="FF63C384"/>
      </dataBar>
      <extLst>
        <ext xmlns:x14="http://schemas.microsoft.com/office/spreadsheetml/2009/9/main" uri="{B025F937-C7B1-47D3-B67F-A62EFF666E3E}">
          <x14:id>{D2B63396-FD81-4EE0-972D-EF41A8729E3B}</x14:id>
        </ext>
      </extLst>
    </cfRule>
  </conditionalFormatting>
  <conditionalFormatting sqref="B523:B532">
    <cfRule type="dataBar" priority="8">
      <dataBar>
        <cfvo type="min"/>
        <cfvo type="max"/>
        <color rgb="FF63C384"/>
      </dataBar>
      <extLst>
        <ext xmlns:x14="http://schemas.microsoft.com/office/spreadsheetml/2009/9/main" uri="{B025F937-C7B1-47D3-B67F-A62EFF666E3E}">
          <x14:id>{7D69C0A6-1002-4277-8FDD-B2369B017D63}</x14:id>
        </ext>
      </extLst>
    </cfRule>
  </conditionalFormatting>
  <conditionalFormatting sqref="B552:B561">
    <cfRule type="dataBar" priority="4">
      <dataBar>
        <cfvo type="min"/>
        <cfvo type="max"/>
        <color rgb="FF63C384"/>
      </dataBar>
      <extLst>
        <ext xmlns:x14="http://schemas.microsoft.com/office/spreadsheetml/2009/9/main" uri="{B025F937-C7B1-47D3-B67F-A62EFF666E3E}">
          <x14:id>{1C5273AB-EF2A-40DA-BCF4-7A358B097895}</x14:id>
        </ext>
      </extLst>
    </cfRule>
  </conditionalFormatting>
  <conditionalFormatting sqref="C495:C504">
    <cfRule type="dataBar" priority="9">
      <dataBar>
        <cfvo type="min"/>
        <cfvo type="max"/>
        <color rgb="FF63C384"/>
      </dataBar>
      <extLst>
        <ext xmlns:x14="http://schemas.microsoft.com/office/spreadsheetml/2009/9/main" uri="{B025F937-C7B1-47D3-B67F-A62EFF666E3E}">
          <x14:id>{05C155BC-A524-4350-B065-34EDE84C86A0}</x14:id>
        </ext>
      </extLst>
    </cfRule>
    <cfRule type="iconSet" priority="10">
      <iconSet iconSet="3Symbols">
        <cfvo type="percent" val="0"/>
        <cfvo type="num" val="0.45"/>
        <cfvo type="num" val="0.55000000000000004"/>
      </iconSet>
    </cfRule>
  </conditionalFormatting>
  <conditionalFormatting sqref="C523:C532">
    <cfRule type="dataBar" priority="5">
      <dataBar>
        <cfvo type="min"/>
        <cfvo type="max"/>
        <color rgb="FF63C384"/>
      </dataBar>
      <extLst>
        <ext xmlns:x14="http://schemas.microsoft.com/office/spreadsheetml/2009/9/main" uri="{B025F937-C7B1-47D3-B67F-A62EFF666E3E}">
          <x14:id>{6B866C91-0E53-4DAB-8689-BD4F238C91BA}</x14:id>
        </ext>
      </extLst>
    </cfRule>
    <cfRule type="iconSet" priority="6">
      <iconSet iconSet="3Symbols">
        <cfvo type="percent" val="0"/>
        <cfvo type="num" val="0.45"/>
        <cfvo type="num" val="0.55000000000000004"/>
      </iconSet>
    </cfRule>
  </conditionalFormatting>
  <conditionalFormatting sqref="C552:C561">
    <cfRule type="dataBar" priority="1">
      <dataBar>
        <cfvo type="min"/>
        <cfvo type="max"/>
        <color rgb="FF63C384"/>
      </dataBar>
      <extLst>
        <ext xmlns:x14="http://schemas.microsoft.com/office/spreadsheetml/2009/9/main" uri="{B025F937-C7B1-47D3-B67F-A62EFF666E3E}">
          <x14:id>{D256C759-EA95-4EA2-9035-BC1E6F380FD2}</x14:id>
        </ext>
      </extLst>
    </cfRule>
    <cfRule type="iconSet" priority="2">
      <iconSet iconSet="3Symbols">
        <cfvo type="percent" val="0"/>
        <cfvo type="num" val="0.45"/>
        <cfvo type="num" val="0.55000000000000004"/>
      </iconSet>
    </cfRule>
  </conditionalFormatting>
  <conditionalFormatting sqref="D495:D504">
    <cfRule type="dataBar" priority="11">
      <dataBar>
        <cfvo type="min"/>
        <cfvo type="max"/>
        <color rgb="FF63C384"/>
      </dataBar>
      <extLst>
        <ext xmlns:x14="http://schemas.microsoft.com/office/spreadsheetml/2009/9/main" uri="{B025F937-C7B1-47D3-B67F-A62EFF666E3E}">
          <x14:id>{09BEF4EC-D83B-4CC2-AE46-FB874D90E703}</x14:id>
        </ext>
      </extLst>
    </cfRule>
  </conditionalFormatting>
  <conditionalFormatting sqref="D523:D532">
    <cfRule type="dataBar" priority="7">
      <dataBar>
        <cfvo type="min"/>
        <cfvo type="max"/>
        <color rgb="FF63C384"/>
      </dataBar>
      <extLst>
        <ext xmlns:x14="http://schemas.microsoft.com/office/spreadsheetml/2009/9/main" uri="{B025F937-C7B1-47D3-B67F-A62EFF666E3E}">
          <x14:id>{FF9158C3-E107-4BFD-941B-D66811BDFA4B}</x14:id>
        </ext>
      </extLst>
    </cfRule>
  </conditionalFormatting>
  <conditionalFormatting sqref="D552:D561">
    <cfRule type="dataBar" priority="3">
      <dataBar>
        <cfvo type="min"/>
        <cfvo type="max"/>
        <color rgb="FF63C384"/>
      </dataBar>
      <extLst>
        <ext xmlns:x14="http://schemas.microsoft.com/office/spreadsheetml/2009/9/main" uri="{B025F937-C7B1-47D3-B67F-A62EFF666E3E}">
          <x14:id>{1427D29B-BEA0-4504-8B00-67BE1FC17AB2}</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D2B63396-FD81-4EE0-972D-EF41A8729E3B}">
            <x14:dataBar minLength="0" maxLength="100" gradient="0">
              <x14:cfvo type="autoMin"/>
              <x14:cfvo type="autoMax"/>
              <x14:negativeFillColor rgb="FFFF0000"/>
              <x14:axisColor rgb="FF000000"/>
            </x14:dataBar>
          </x14:cfRule>
          <xm:sqref>B495:B504</xm:sqref>
        </x14:conditionalFormatting>
        <x14:conditionalFormatting xmlns:xm="http://schemas.microsoft.com/office/excel/2006/main">
          <x14:cfRule type="dataBar" id="{7D69C0A6-1002-4277-8FDD-B2369B017D63}">
            <x14:dataBar minLength="0" maxLength="100" gradient="0">
              <x14:cfvo type="autoMin"/>
              <x14:cfvo type="autoMax"/>
              <x14:negativeFillColor rgb="FFFF0000"/>
              <x14:axisColor rgb="FF000000"/>
            </x14:dataBar>
          </x14:cfRule>
          <xm:sqref>B523:B532</xm:sqref>
        </x14:conditionalFormatting>
        <x14:conditionalFormatting xmlns:xm="http://schemas.microsoft.com/office/excel/2006/main">
          <x14:cfRule type="dataBar" id="{1C5273AB-EF2A-40DA-BCF4-7A358B097895}">
            <x14:dataBar minLength="0" maxLength="100" gradient="0">
              <x14:cfvo type="autoMin"/>
              <x14:cfvo type="autoMax"/>
              <x14:negativeFillColor rgb="FFFF0000"/>
              <x14:axisColor rgb="FF000000"/>
            </x14:dataBar>
          </x14:cfRule>
          <xm:sqref>B552:B561</xm:sqref>
        </x14:conditionalFormatting>
        <x14:conditionalFormatting xmlns:xm="http://schemas.microsoft.com/office/excel/2006/main">
          <x14:cfRule type="dataBar" id="{05C155BC-A524-4350-B065-34EDE84C86A0}">
            <x14:dataBar minLength="0" maxLength="100" gradient="0">
              <x14:cfvo type="autoMin"/>
              <x14:cfvo type="autoMax"/>
              <x14:negativeFillColor rgb="FFFF0000"/>
              <x14:axisColor rgb="FF000000"/>
            </x14:dataBar>
          </x14:cfRule>
          <xm:sqref>C495:C504</xm:sqref>
        </x14:conditionalFormatting>
        <x14:conditionalFormatting xmlns:xm="http://schemas.microsoft.com/office/excel/2006/main">
          <x14:cfRule type="dataBar" id="{6B866C91-0E53-4DAB-8689-BD4F238C91BA}">
            <x14:dataBar minLength="0" maxLength="100" gradient="0">
              <x14:cfvo type="autoMin"/>
              <x14:cfvo type="autoMax"/>
              <x14:negativeFillColor rgb="FFFF0000"/>
              <x14:axisColor rgb="FF000000"/>
            </x14:dataBar>
          </x14:cfRule>
          <xm:sqref>C523:C532</xm:sqref>
        </x14:conditionalFormatting>
        <x14:conditionalFormatting xmlns:xm="http://schemas.microsoft.com/office/excel/2006/main">
          <x14:cfRule type="dataBar" id="{D256C759-EA95-4EA2-9035-BC1E6F380FD2}">
            <x14:dataBar minLength="0" maxLength="100" gradient="0">
              <x14:cfvo type="autoMin"/>
              <x14:cfvo type="autoMax"/>
              <x14:negativeFillColor rgb="FFFF0000"/>
              <x14:axisColor rgb="FF000000"/>
            </x14:dataBar>
          </x14:cfRule>
          <xm:sqref>C552:C561</xm:sqref>
        </x14:conditionalFormatting>
        <x14:conditionalFormatting xmlns:xm="http://schemas.microsoft.com/office/excel/2006/main">
          <x14:cfRule type="dataBar" id="{09BEF4EC-D83B-4CC2-AE46-FB874D90E703}">
            <x14:dataBar minLength="0" maxLength="100" gradient="0">
              <x14:cfvo type="autoMin"/>
              <x14:cfvo type="autoMax"/>
              <x14:negativeFillColor rgb="FFFF0000"/>
              <x14:axisColor rgb="FF000000"/>
            </x14:dataBar>
          </x14:cfRule>
          <xm:sqref>D495:D504</xm:sqref>
        </x14:conditionalFormatting>
        <x14:conditionalFormatting xmlns:xm="http://schemas.microsoft.com/office/excel/2006/main">
          <x14:cfRule type="dataBar" id="{FF9158C3-E107-4BFD-941B-D66811BDFA4B}">
            <x14:dataBar minLength="0" maxLength="100" gradient="0">
              <x14:cfvo type="autoMin"/>
              <x14:cfvo type="autoMax"/>
              <x14:negativeFillColor rgb="FFFF0000"/>
              <x14:axisColor rgb="FF000000"/>
            </x14:dataBar>
          </x14:cfRule>
          <xm:sqref>D523:D532</xm:sqref>
        </x14:conditionalFormatting>
        <x14:conditionalFormatting xmlns:xm="http://schemas.microsoft.com/office/excel/2006/main">
          <x14:cfRule type="dataBar" id="{1427D29B-BEA0-4504-8B00-67BE1FC17AB2}">
            <x14:dataBar minLength="0" maxLength="100" gradient="0">
              <x14:cfvo type="autoMin"/>
              <x14:cfvo type="autoMax"/>
              <x14:negativeFillColor rgb="FFFF0000"/>
              <x14:axisColor rgb="FF000000"/>
            </x14:dataBar>
          </x14:cfRule>
          <xm:sqref>D552:D561</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BA38F-B4D1-4184-8D4C-082675E7E50B}">
  <sheetPr codeName="Sheet12">
    <tabColor rgb="FF00FF00"/>
  </sheetPr>
  <dimension ref="B1:AH22"/>
  <sheetViews>
    <sheetView showGridLines="0" topLeftCell="A16" workbookViewId="0">
      <selection activeCell="AW36" sqref="AW36"/>
    </sheetView>
  </sheetViews>
  <sheetFormatPr defaultRowHeight="15" x14ac:dyDescent="0.25"/>
  <cols>
    <col min="1" max="1" width="7.28515625" customWidth="1"/>
    <col min="2" max="2" width="9.5703125" customWidth="1"/>
    <col min="3" max="3" width="1.42578125" customWidth="1"/>
    <col min="4" max="4" width="7.7109375" customWidth="1"/>
    <col min="5" max="6" width="7.28515625" customWidth="1"/>
    <col min="7" max="7" width="7.140625" customWidth="1"/>
    <col min="8" max="8" width="7.7109375" customWidth="1"/>
    <col min="9" max="9" width="5.140625" customWidth="1"/>
    <col min="11" max="13" width="7.42578125" customWidth="1"/>
    <col min="14" max="14" width="9" customWidth="1"/>
    <col min="15" max="15" width="2.42578125" customWidth="1"/>
    <col min="16" max="20" width="7.7109375" customWidth="1"/>
    <col min="21" max="21" width="1.140625" customWidth="1"/>
    <col min="23" max="23" width="1.42578125" customWidth="1"/>
    <col min="25" max="28" width="7.7109375" customWidth="1"/>
    <col min="29" max="29" width="2.5703125" customWidth="1"/>
    <col min="31" max="34" width="7.7109375" customWidth="1"/>
  </cols>
  <sheetData>
    <row r="1" spans="2:34" x14ac:dyDescent="0.25">
      <c r="B1" s="701" t="s">
        <v>2695</v>
      </c>
      <c r="C1" s="176"/>
      <c r="E1" s="700" t="s">
        <v>2694</v>
      </c>
      <c r="F1" s="700"/>
      <c r="G1" s="700"/>
      <c r="H1" s="700"/>
      <c r="K1" s="700" t="s">
        <v>2701</v>
      </c>
      <c r="L1" s="700"/>
      <c r="M1" s="700"/>
      <c r="N1" s="700"/>
      <c r="Q1" s="700" t="s">
        <v>2691</v>
      </c>
      <c r="R1" s="700"/>
      <c r="S1" s="700"/>
      <c r="T1" s="700"/>
      <c r="U1" s="6"/>
      <c r="V1" s="701" t="s">
        <v>2696</v>
      </c>
      <c r="Y1" s="700" t="s">
        <v>2702</v>
      </c>
      <c r="Z1" s="700"/>
      <c r="AA1" s="700"/>
      <c r="AB1" s="700"/>
      <c r="AE1" s="700" t="s">
        <v>2703</v>
      </c>
      <c r="AF1" s="700"/>
      <c r="AG1" s="700"/>
      <c r="AH1" s="700"/>
    </row>
    <row r="2" spans="2:34" x14ac:dyDescent="0.25">
      <c r="B2" s="701"/>
      <c r="C2" s="176"/>
      <c r="E2" s="168" t="s">
        <v>2626</v>
      </c>
      <c r="F2" s="168" t="s">
        <v>2693</v>
      </c>
      <c r="G2" s="168" t="s">
        <v>1472</v>
      </c>
      <c r="H2" s="168" t="s">
        <v>2692</v>
      </c>
      <c r="K2" s="168" t="s">
        <v>2626</v>
      </c>
      <c r="L2" s="168" t="s">
        <v>2693</v>
      </c>
      <c r="M2" s="168" t="s">
        <v>1472</v>
      </c>
      <c r="N2" s="168" t="s">
        <v>2692</v>
      </c>
      <c r="Q2" s="168" t="s">
        <v>2626</v>
      </c>
      <c r="R2" s="168" t="s">
        <v>2693</v>
      </c>
      <c r="S2" s="168" t="s">
        <v>1472</v>
      </c>
      <c r="T2" s="168" t="s">
        <v>2692</v>
      </c>
      <c r="U2" s="158"/>
      <c r="V2" s="701"/>
      <c r="Y2" s="168" t="s">
        <v>2626</v>
      </c>
      <c r="Z2" s="168" t="s">
        <v>2693</v>
      </c>
      <c r="AA2" s="168" t="s">
        <v>1472</v>
      </c>
      <c r="AB2" s="168" t="s">
        <v>2692</v>
      </c>
      <c r="AE2" s="168" t="s">
        <v>2626</v>
      </c>
      <c r="AF2" s="168" t="s">
        <v>2693</v>
      </c>
      <c r="AG2" s="168" t="s">
        <v>1472</v>
      </c>
      <c r="AH2" s="168" t="s">
        <v>2692</v>
      </c>
    </row>
    <row r="3" spans="2:34" ht="20.25" customHeight="1" x14ac:dyDescent="0.25">
      <c r="B3" s="701"/>
      <c r="C3" s="176"/>
      <c r="D3" s="169" t="s">
        <v>2627</v>
      </c>
      <c r="E3" s="171">
        <f>COUNTIFS('2025-Q2'!$S$4:$S$422,E$2,'2025-Q2'!$J$4:$J$422,"&gt;0")</f>
        <v>51</v>
      </c>
      <c r="F3" s="171">
        <f>COUNTIFS('2025-Q2'!$S$4:$S$422,F$2,'2025-Q2'!$J$4:$J$422,"&gt;0")</f>
        <v>166</v>
      </c>
      <c r="G3" s="171">
        <f>COUNTIFS('2025-Q2'!$S$4:$S$422,G$2,'2025-Q2'!$J$4:$J$422,"&gt;0")</f>
        <v>202</v>
      </c>
      <c r="H3" s="171">
        <f>SUM(E3:G3)</f>
        <v>419</v>
      </c>
      <c r="J3" s="169" t="s">
        <v>2627</v>
      </c>
      <c r="K3" s="171">
        <f>SUMIFS('2025-Q2'!$P$4:$P$422,'2025-Q2'!$S$4:$S$422,Expectancy!K$2)</f>
        <v>-8.3953556824505036</v>
      </c>
      <c r="L3" s="171">
        <f>SUMIFS('2025-Q2'!$P$4:$P$422,'2025-Q2'!$S$4:$S$422,Expectancy!L$2)</f>
        <v>10.963955006451521</v>
      </c>
      <c r="M3" s="171">
        <f>SUMIFS('2025-Q2'!$P$4:$P$422,'2025-Q2'!$S$4:$S$422,Expectancy!M$2)</f>
        <v>9.9627466694511693</v>
      </c>
      <c r="N3" s="171">
        <f>SUM(K3:M3)</f>
        <v>12.531345993452186</v>
      </c>
      <c r="P3" s="169" t="s">
        <v>2627</v>
      </c>
      <c r="Q3" s="174">
        <f>IFERROR(K3/E3,0)</f>
        <v>-0.16461481730295105</v>
      </c>
      <c r="R3" s="174">
        <f t="shared" ref="R3:T17" si="0">IFERROR(L3/F3,0)</f>
        <v>6.6047921725611566E-2</v>
      </c>
      <c r="S3" s="174">
        <f t="shared" si="0"/>
        <v>4.9320528066589944E-2</v>
      </c>
      <c r="T3" s="174">
        <f t="shared" si="0"/>
        <v>2.9907747001079205E-2</v>
      </c>
      <c r="U3" s="175"/>
      <c r="V3" s="701"/>
      <c r="X3" s="169" t="s">
        <v>2627</v>
      </c>
      <c r="Y3" s="173">
        <f>SUMIFS('2025-Q2'!$AI$4:$AI$422,'2025-Q2'!$S$4:$S$422,Expectancy!K$2)</f>
        <v>-1.9700072218283293</v>
      </c>
      <c r="Z3" s="173">
        <f>SUMIFS('2025-Q2'!$AI$4:$AI$422,'2025-Q2'!$S$4:$S$422,Expectancy!L$2)</f>
        <v>4.5685233912551633</v>
      </c>
      <c r="AA3" s="173">
        <f>SUMIFS('2025-Q2'!$AI$4:$AI$422,'2025-Q2'!$S$4:$S$422,Expectancy!M$2)</f>
        <v>10.149994415668601</v>
      </c>
      <c r="AB3" s="173">
        <f>SUM(Y3:AA3)</f>
        <v>12.748510585095435</v>
      </c>
      <c r="AD3" s="169" t="s">
        <v>2627</v>
      </c>
      <c r="AE3" s="174">
        <f t="shared" ref="AE3:AE17" si="1">IFERROR(Y3/E3,0)</f>
        <v>-3.8627592584869204E-2</v>
      </c>
      <c r="AF3" s="174">
        <f t="shared" ref="AF3:AF17" si="2">IFERROR(Z3/F3,0)</f>
        <v>2.7521225248525079E-2</v>
      </c>
      <c r="AG3" s="174">
        <f t="shared" ref="AG3:AG17" si="3">IFERROR(AA3/G3,0)</f>
        <v>5.0247497107270306E-2</v>
      </c>
      <c r="AH3" s="174">
        <f t="shared" ref="AH3:AH17" si="4">IFERROR(AB3/H3,0)</f>
        <v>3.042603958256667E-2</v>
      </c>
    </row>
    <row r="4" spans="2:34" x14ac:dyDescent="0.25">
      <c r="B4" s="701"/>
      <c r="C4" s="176"/>
      <c r="D4" s="169" t="s">
        <v>2612</v>
      </c>
      <c r="E4" s="172">
        <f>COUNTIFS('2025-Q2'!$S$4:$S$422,E$2,'2025-Q2'!$J$4:$J$422,"&gt;0",'2025-Q2'!$E$4:$E$422,Expectancy!$D4)</f>
        <v>1</v>
      </c>
      <c r="F4" s="172">
        <f>COUNTIFS('2025-Q2'!$S$4:$S$422,F$2,'2025-Q2'!$J$4:$J$422,"&gt;0",'2025-Q2'!$E$4:$E$422,Expectancy!$D4)</f>
        <v>18</v>
      </c>
      <c r="G4" s="172">
        <f>COUNTIFS('2025-Q2'!$S$4:$S$422,G$2,'2025-Q2'!$J$4:$J$422,"&gt;0",'2025-Q2'!$E$4:$E$422,Expectancy!$D4)</f>
        <v>24</v>
      </c>
      <c r="H4" s="171">
        <f t="shared" ref="H4:H17" si="5">SUM(E4:G4)</f>
        <v>43</v>
      </c>
      <c r="J4" s="169" t="s">
        <v>2612</v>
      </c>
      <c r="K4" s="65">
        <f>SUMIFS('2025-Q2'!$P$4:$P$422,'2025-Q2'!$S$4:$S$422,Expectancy!K$2,'2025-Q2'!$E$4:$E$422,Expectancy!$J4)</f>
        <v>-0.55950946427675097</v>
      </c>
      <c r="L4" s="65">
        <f>SUMIFS('2025-Q2'!$P$4:$P$422,'2025-Q2'!$S$4:$S$422,Expectancy!L$2,'2025-Q2'!$E$4:$E$422,Expectancy!$J4)</f>
        <v>-0.20750635820596686</v>
      </c>
      <c r="M4" s="65">
        <f>SUMIFS('2025-Q2'!$P$4:$P$422,'2025-Q2'!$S$4:$S$422,Expectancy!M$2,'2025-Q2'!$E$4:$E$422,Expectancy!$J4)</f>
        <v>-2.3377035686214001</v>
      </c>
      <c r="N4" s="173">
        <f t="shared" ref="N4:N17" si="6">SUM(K4:M4)</f>
        <v>-3.1047193911041178</v>
      </c>
      <c r="P4" s="169" t="s">
        <v>2612</v>
      </c>
      <c r="Q4" s="217">
        <f t="shared" ref="Q4:Q17" si="7">IFERROR(K4/E4,0)</f>
        <v>-0.55950946427675097</v>
      </c>
      <c r="R4" s="217">
        <f t="shared" ref="R4:R17" si="8">IFERROR(L4/F4,0)</f>
        <v>-1.1528131011442603E-2</v>
      </c>
      <c r="S4" s="217">
        <f t="shared" ref="S4:S17" si="9">IFERROR(M4/G4,0)</f>
        <v>-9.7404315359225002E-2</v>
      </c>
      <c r="T4" s="174">
        <f t="shared" si="0"/>
        <v>-7.2202776537305058E-2</v>
      </c>
      <c r="U4" s="175"/>
      <c r="V4" s="701"/>
      <c r="X4" s="169" t="s">
        <v>2612</v>
      </c>
      <c r="Y4" s="65">
        <f>SUMIFS('2025-Q2'!$AI$4:$AI$422,'2025-Q2'!$S$4:$S$422,Expectancy!K$2,'2025-Q2'!$E$4:$E$422,Expectancy!$X4)</f>
        <v>-0.56609931214540221</v>
      </c>
      <c r="Z4" s="65">
        <f>SUMIFS('2025-Q2'!$AI$4:$AI$422,'2025-Q2'!$S$4:$S$422,Expectancy!L$2,'2025-Q2'!$E$4:$E$422,Expectancy!$X4)</f>
        <v>-1.2156019833738687</v>
      </c>
      <c r="AA4" s="65">
        <f>SUMIFS('2025-Q2'!$AI$4:$AI$422,'2025-Q2'!$S$4:$S$422,Expectancy!M$2,'2025-Q2'!$E$4:$E$422,Expectancy!$X4)</f>
        <v>-0.31556160502132646</v>
      </c>
      <c r="AB4" s="173">
        <f t="shared" ref="AB4:AB17" si="10">SUM(Y4:AA4)</f>
        <v>-2.0972629005405974</v>
      </c>
      <c r="AD4" s="169" t="s">
        <v>2612</v>
      </c>
      <c r="AE4" s="217">
        <f t="shared" si="1"/>
        <v>-0.56609931214540221</v>
      </c>
      <c r="AF4" s="217">
        <f t="shared" si="2"/>
        <v>-6.7533443520770481E-2</v>
      </c>
      <c r="AG4" s="217">
        <f t="shared" si="3"/>
        <v>-1.3148400209221936E-2</v>
      </c>
      <c r="AH4" s="217">
        <f t="shared" si="4"/>
        <v>-4.8773555826525518E-2</v>
      </c>
    </row>
    <row r="5" spans="2:34" x14ac:dyDescent="0.25">
      <c r="B5" s="701"/>
      <c r="C5" s="176"/>
      <c r="D5" s="170" t="s">
        <v>2661</v>
      </c>
      <c r="E5" s="172">
        <f>COUNTIFS('2025-Q2'!$S$4:$S$422,E$2,'2025-Q2'!$J$4:$J$422,"&gt;0",'2025-Q2'!$E$4:$E$422,Expectancy!$D5)</f>
        <v>1</v>
      </c>
      <c r="F5" s="172">
        <f>COUNTIFS('2025-Q2'!$S$4:$S$422,F$2,'2025-Q2'!$J$4:$J$422,"&gt;0",'2025-Q2'!$E$4:$E$422,Expectancy!$D5)</f>
        <v>2</v>
      </c>
      <c r="G5" s="172">
        <f>COUNTIFS('2025-Q2'!$S$4:$S$422,G$2,'2025-Q2'!$J$4:$J$422,"&gt;0",'2025-Q2'!$E$4:$E$422,Expectancy!$D5)</f>
        <v>12</v>
      </c>
      <c r="H5" s="171">
        <f t="shared" si="5"/>
        <v>15</v>
      </c>
      <c r="J5" s="170" t="s">
        <v>2661</v>
      </c>
      <c r="K5" s="65">
        <f>SUMIFS('2025-Q2'!$P$4:$P$422,'2025-Q2'!$S$4:$S$422,Expectancy!K$2,'2025-Q2'!$E$4:$E$422,Expectancy!$J5)</f>
        <v>6.6834991831277585E-2</v>
      </c>
      <c r="L5" s="65">
        <f>SUMIFS('2025-Q2'!$P$4:$P$422,'2025-Q2'!$S$4:$S$422,Expectancy!L$2,'2025-Q2'!$E$4:$E$422,Expectancy!$J5)</f>
        <v>-0.16102012791805576</v>
      </c>
      <c r="M5" s="65">
        <f>SUMIFS('2025-Q2'!$P$4:$P$422,'2025-Q2'!$S$4:$S$422,Expectancy!M$2,'2025-Q2'!$E$4:$E$422,Expectancy!$J5)</f>
        <v>-0.69624339162892301</v>
      </c>
      <c r="N5" s="173">
        <f t="shared" si="6"/>
        <v>-0.79042852771570116</v>
      </c>
      <c r="P5" s="170" t="s">
        <v>2661</v>
      </c>
      <c r="Q5" s="217">
        <f t="shared" si="7"/>
        <v>6.6834991831277585E-2</v>
      </c>
      <c r="R5" s="217">
        <f t="shared" si="8"/>
        <v>-8.0510063959027878E-2</v>
      </c>
      <c r="S5" s="217">
        <f t="shared" si="9"/>
        <v>-5.8020282635743582E-2</v>
      </c>
      <c r="T5" s="174">
        <f t="shared" si="0"/>
        <v>-5.2695235181046747E-2</v>
      </c>
      <c r="U5" s="175"/>
      <c r="V5" s="701"/>
      <c r="X5" s="170" t="s">
        <v>2661</v>
      </c>
      <c r="Y5" s="65">
        <f>SUMIFS('2025-Q2'!$AI$4:$AI$422,'2025-Q2'!$S$4:$S$422,Expectancy!K$2,'2025-Q2'!$E$4:$E$422,Expectancy!$X5)</f>
        <v>-0.10149017278082784</v>
      </c>
      <c r="Z5" s="65">
        <f>SUMIFS('2025-Q2'!$AI$4:$AI$422,'2025-Q2'!$S$4:$S$422,Expectancy!L$2,'2025-Q2'!$E$4:$E$422,Expectancy!$X5)</f>
        <v>-1.1756495172931716E-2</v>
      </c>
      <c r="AA5" s="65">
        <f>SUMIFS('2025-Q2'!$AI$4:$AI$422,'2025-Q2'!$S$4:$S$422,Expectancy!M$2,'2025-Q2'!$E$4:$E$422,Expectancy!$X5)</f>
        <v>-2.4497833984907587</v>
      </c>
      <c r="AB5" s="173">
        <f t="shared" si="10"/>
        <v>-2.5630300664445183</v>
      </c>
      <c r="AD5" s="170" t="s">
        <v>2661</v>
      </c>
      <c r="AE5" s="217">
        <f t="shared" si="1"/>
        <v>-0.10149017278082784</v>
      </c>
      <c r="AF5" s="217">
        <f t="shared" si="2"/>
        <v>-5.8782475864658582E-3</v>
      </c>
      <c r="AG5" s="217">
        <f t="shared" si="3"/>
        <v>-0.20414861654089655</v>
      </c>
      <c r="AH5" s="217">
        <f t="shared" si="4"/>
        <v>-0.17086867109630122</v>
      </c>
    </row>
    <row r="6" spans="2:34" x14ac:dyDescent="0.25">
      <c r="B6" s="701"/>
      <c r="C6" s="176"/>
      <c r="D6" s="169" t="s">
        <v>2619</v>
      </c>
      <c r="E6" s="172">
        <f>COUNTIFS('2025-Q2'!$S$4:$S$422,E$2,'2025-Q2'!$J$4:$J$422,"&gt;0",'2025-Q2'!$E$4:$E$422,Expectancy!$D6)</f>
        <v>9</v>
      </c>
      <c r="F6" s="172">
        <f>COUNTIFS('2025-Q2'!$S$4:$S$422,F$2,'2025-Q2'!$J$4:$J$422,"&gt;0",'2025-Q2'!$E$4:$E$422,Expectancy!$D6)</f>
        <v>17</v>
      </c>
      <c r="G6" s="172">
        <f>COUNTIFS('2025-Q2'!$S$4:$S$422,G$2,'2025-Q2'!$J$4:$J$422,"&gt;0",'2025-Q2'!$E$4:$E$422,Expectancy!$D6)</f>
        <v>24</v>
      </c>
      <c r="H6" s="171">
        <f t="shared" si="5"/>
        <v>50</v>
      </c>
      <c r="J6" s="169" t="s">
        <v>2619</v>
      </c>
      <c r="K6" s="65">
        <f>SUMIFS('2025-Q2'!$P$4:$P$422,'2025-Q2'!$S$4:$S$422,Expectancy!K$2,'2025-Q2'!$E$4:$E$422,Expectancy!$J6)</f>
        <v>-7.7830097399790894</v>
      </c>
      <c r="L6" s="65">
        <f>SUMIFS('2025-Q2'!$P$4:$P$422,'2025-Q2'!$S$4:$S$422,Expectancy!L$2,'2025-Q2'!$E$4:$E$422,Expectancy!$J6)</f>
        <v>-2.6367641712432155</v>
      </c>
      <c r="M6" s="65">
        <f>SUMIFS('2025-Q2'!$P$4:$P$422,'2025-Q2'!$S$4:$S$422,Expectancy!M$2,'2025-Q2'!$E$4:$E$422,Expectancy!$J6)</f>
        <v>1.3305973851383228</v>
      </c>
      <c r="N6" s="173">
        <f t="shared" si="6"/>
        <v>-9.0891765260839819</v>
      </c>
      <c r="P6" s="169" t="s">
        <v>2619</v>
      </c>
      <c r="Q6" s="217">
        <f t="shared" si="7"/>
        <v>-0.86477885999767656</v>
      </c>
      <c r="R6" s="217">
        <f t="shared" si="8"/>
        <v>-0.15510377477901269</v>
      </c>
      <c r="S6" s="217">
        <f t="shared" si="9"/>
        <v>5.5441557714096784E-2</v>
      </c>
      <c r="T6" s="174">
        <f t="shared" si="0"/>
        <v>-0.18178353052167964</v>
      </c>
      <c r="U6" s="175"/>
      <c r="V6" s="701"/>
      <c r="X6" s="169" t="s">
        <v>2619</v>
      </c>
      <c r="Y6" s="65">
        <f>SUMIFS('2025-Q2'!$AI$4:$AI$422,'2025-Q2'!$S$4:$S$422,Expectancy!K$2,'2025-Q2'!$E$4:$E$422,Expectancy!$X6)</f>
        <v>0.42713465138239703</v>
      </c>
      <c r="Z6" s="65">
        <f>SUMIFS('2025-Q2'!$AI$4:$AI$422,'2025-Q2'!$S$4:$S$422,Expectancy!L$2,'2025-Q2'!$E$4:$E$422,Expectancy!$X6)</f>
        <v>-3.0344416083092556</v>
      </c>
      <c r="AA6" s="65">
        <f>SUMIFS('2025-Q2'!$AI$4:$AI$422,'2025-Q2'!$S$4:$S$422,Expectancy!M$2,'2025-Q2'!$E$4:$E$422,Expectancy!$X6)</f>
        <v>0.24377760901284873</v>
      </c>
      <c r="AB6" s="173">
        <f t="shared" si="10"/>
        <v>-2.3635293479140098</v>
      </c>
      <c r="AD6" s="169" t="s">
        <v>2619</v>
      </c>
      <c r="AE6" s="217">
        <f t="shared" si="1"/>
        <v>4.7459405709155224E-2</v>
      </c>
      <c r="AF6" s="217">
        <f t="shared" si="2"/>
        <v>-0.17849656519466209</v>
      </c>
      <c r="AG6" s="217">
        <f t="shared" si="3"/>
        <v>1.0157400375535364E-2</v>
      </c>
      <c r="AH6" s="217">
        <f t="shared" si="4"/>
        <v>-4.7270586958280195E-2</v>
      </c>
    </row>
    <row r="7" spans="2:34" x14ac:dyDescent="0.25">
      <c r="B7" s="701"/>
      <c r="C7" s="176"/>
      <c r="D7" s="170" t="s">
        <v>2663</v>
      </c>
      <c r="E7" s="172">
        <f>COUNTIFS('2025-Q2'!$S$4:$S$422,E$2,'2025-Q2'!$J$4:$J$422,"&gt;0",'2025-Q2'!$E$4:$E$422,Expectancy!$D7)</f>
        <v>0</v>
      </c>
      <c r="F7" s="172">
        <f>COUNTIFS('2025-Q2'!$S$4:$S$422,F$2,'2025-Q2'!$J$4:$J$422,"&gt;0",'2025-Q2'!$E$4:$E$422,Expectancy!$D7)</f>
        <v>7</v>
      </c>
      <c r="G7" s="172">
        <f>COUNTIFS('2025-Q2'!$S$4:$S$422,G$2,'2025-Q2'!$J$4:$J$422,"&gt;0",'2025-Q2'!$E$4:$E$422,Expectancy!$D7)</f>
        <v>1</v>
      </c>
      <c r="H7" s="171">
        <f t="shared" si="5"/>
        <v>8</v>
      </c>
      <c r="J7" s="170" t="s">
        <v>2663</v>
      </c>
      <c r="K7" s="65">
        <f>SUMIFS('2025-Q2'!$P$4:$P$422,'2025-Q2'!$S$4:$S$422,Expectancy!K$2,'2025-Q2'!$E$4:$E$422,Expectancy!$J7)</f>
        <v>0</v>
      </c>
      <c r="L7" s="65">
        <f>SUMIFS('2025-Q2'!$P$4:$P$422,'2025-Q2'!$S$4:$S$422,Expectancy!L$2,'2025-Q2'!$E$4:$E$422,Expectancy!$J7)</f>
        <v>-2.0621307233432784</v>
      </c>
      <c r="M7" s="65">
        <f>SUMIFS('2025-Q2'!$P$4:$P$422,'2025-Q2'!$S$4:$S$422,Expectancy!M$2,'2025-Q2'!$E$4:$E$422,Expectancy!$J7)</f>
        <v>0.79182748269313297</v>
      </c>
      <c r="N7" s="173">
        <f t="shared" si="6"/>
        <v>-1.2703032406501453</v>
      </c>
      <c r="P7" s="170" t="s">
        <v>2663</v>
      </c>
      <c r="Q7" s="217">
        <f t="shared" si="7"/>
        <v>0</v>
      </c>
      <c r="R7" s="217">
        <f t="shared" si="8"/>
        <v>-0.29459010333475405</v>
      </c>
      <c r="S7" s="217">
        <f t="shared" si="9"/>
        <v>0.79182748269313297</v>
      </c>
      <c r="T7" s="174">
        <f t="shared" si="0"/>
        <v>-0.15878790508126817</v>
      </c>
      <c r="U7" s="175"/>
      <c r="V7" s="701"/>
      <c r="X7" s="170" t="s">
        <v>2663</v>
      </c>
      <c r="Y7" s="65">
        <f>SUMIFS('2025-Q2'!$AI$4:$AI$422,'2025-Q2'!$S$4:$S$422,Expectancy!K$2,'2025-Q2'!$E$4:$E$422,Expectancy!$X7)</f>
        <v>0</v>
      </c>
      <c r="Z7" s="65">
        <f>SUMIFS('2025-Q2'!$AI$4:$AI$422,'2025-Q2'!$S$4:$S$422,Expectancy!L$2,'2025-Q2'!$E$4:$E$422,Expectancy!$X7)</f>
        <v>-1.6616007825599255</v>
      </c>
      <c r="AA7" s="65">
        <f>SUMIFS('2025-Q2'!$AI$4:$AI$422,'2025-Q2'!$S$4:$S$422,Expectancy!M$2,'2025-Q2'!$E$4:$E$422,Expectancy!$X7)</f>
        <v>0.79182748269313297</v>
      </c>
      <c r="AB7" s="173">
        <f t="shared" si="10"/>
        <v>-0.86977329986679253</v>
      </c>
      <c r="AD7" s="170" t="s">
        <v>2663</v>
      </c>
      <c r="AE7" s="217">
        <f t="shared" si="1"/>
        <v>0</v>
      </c>
      <c r="AF7" s="217">
        <f t="shared" si="2"/>
        <v>-0.23737154036570365</v>
      </c>
      <c r="AG7" s="217">
        <f t="shared" si="3"/>
        <v>0.79182748269313297</v>
      </c>
      <c r="AH7" s="217">
        <f t="shared" si="4"/>
        <v>-0.10872166248334907</v>
      </c>
    </row>
    <row r="8" spans="2:34" x14ac:dyDescent="0.25">
      <c r="B8" s="701"/>
      <c r="C8" s="176"/>
      <c r="D8" s="169" t="s">
        <v>2615</v>
      </c>
      <c r="E8" s="172">
        <f>COUNTIFS('2025-Q2'!$S$4:$S$422,E$2,'2025-Q2'!$J$4:$J$422,"&gt;0",'2025-Q2'!$E$4:$E$422,Expectancy!$D8)</f>
        <v>8</v>
      </c>
      <c r="F8" s="172">
        <f>COUNTIFS('2025-Q2'!$S$4:$S$422,F$2,'2025-Q2'!$J$4:$J$422,"&gt;0",'2025-Q2'!$E$4:$E$422,Expectancy!$D8)</f>
        <v>15</v>
      </c>
      <c r="G8" s="172">
        <f>COUNTIFS('2025-Q2'!$S$4:$S$422,G$2,'2025-Q2'!$J$4:$J$422,"&gt;0",'2025-Q2'!$E$4:$E$422,Expectancy!$D8)</f>
        <v>13</v>
      </c>
      <c r="H8" s="171">
        <f t="shared" si="5"/>
        <v>36</v>
      </c>
      <c r="J8" s="169" t="s">
        <v>2615</v>
      </c>
      <c r="K8" s="65">
        <f>SUMIFS('2025-Q2'!$P$4:$P$422,'2025-Q2'!$S$4:$S$422,Expectancy!K$2,'2025-Q2'!$E$4:$E$422,Expectancy!$J8)</f>
        <v>2.1903002454447948</v>
      </c>
      <c r="L8" s="65">
        <f>SUMIFS('2025-Q2'!$P$4:$P$422,'2025-Q2'!$S$4:$S$422,Expectancy!L$2,'2025-Q2'!$E$4:$E$422,Expectancy!$J8)</f>
        <v>3.4483799444276562</v>
      </c>
      <c r="M8" s="65">
        <f>SUMIFS('2025-Q2'!$P$4:$P$422,'2025-Q2'!$S$4:$S$422,Expectancy!M$2,'2025-Q2'!$E$4:$E$422,Expectancy!$J8)</f>
        <v>1.1482786833538656</v>
      </c>
      <c r="N8" s="173">
        <f t="shared" si="6"/>
        <v>6.7869588732263164</v>
      </c>
      <c r="P8" s="169" t="s">
        <v>2615</v>
      </c>
      <c r="Q8" s="217">
        <f t="shared" si="7"/>
        <v>0.27378753068059936</v>
      </c>
      <c r="R8" s="217">
        <f t="shared" si="8"/>
        <v>0.22989199629517706</v>
      </c>
      <c r="S8" s="217">
        <f t="shared" si="9"/>
        <v>8.8329129488758901E-2</v>
      </c>
      <c r="T8" s="174">
        <f t="shared" si="0"/>
        <v>0.18852663536739767</v>
      </c>
      <c r="U8" s="175"/>
      <c r="V8" s="701"/>
      <c r="X8" s="169" t="s">
        <v>2615</v>
      </c>
      <c r="Y8" s="65">
        <f>SUMIFS('2025-Q2'!$AI$4:$AI$422,'2025-Q2'!$S$4:$S$422,Expectancy!K$2,'2025-Q2'!$E$4:$E$422,Expectancy!$X8)</f>
        <v>-7.1740254038232809E-3</v>
      </c>
      <c r="Z8" s="65">
        <f>SUMIFS('2025-Q2'!$AI$4:$AI$422,'2025-Q2'!$S$4:$S$422,Expectancy!L$2,'2025-Q2'!$E$4:$E$422,Expectancy!$X8)</f>
        <v>3.0208982925701457</v>
      </c>
      <c r="AA8" s="65">
        <f>SUMIFS('2025-Q2'!$AI$4:$AI$422,'2025-Q2'!$S$4:$S$422,Expectancy!M$2,'2025-Q2'!$E$4:$E$422,Expectancy!$X8)</f>
        <v>0.5981370044611749</v>
      </c>
      <c r="AB8" s="173">
        <f t="shared" si="10"/>
        <v>3.6118612716274976</v>
      </c>
      <c r="AD8" s="169" t="s">
        <v>2615</v>
      </c>
      <c r="AE8" s="217">
        <f t="shared" si="1"/>
        <v>-8.9675317547791011E-4</v>
      </c>
      <c r="AF8" s="217">
        <f t="shared" si="2"/>
        <v>0.2013932195046764</v>
      </c>
      <c r="AG8" s="217">
        <f t="shared" si="3"/>
        <v>4.6010538804705764E-2</v>
      </c>
      <c r="AH8" s="217">
        <f t="shared" si="4"/>
        <v>0.10032947976743049</v>
      </c>
    </row>
    <row r="9" spans="2:34" x14ac:dyDescent="0.25">
      <c r="B9" s="701"/>
      <c r="C9" s="176"/>
      <c r="D9" s="170" t="s">
        <v>2614</v>
      </c>
      <c r="E9" s="172">
        <f>COUNTIFS('2025-Q2'!$S$4:$S$422,E$2,'2025-Q2'!$J$4:$J$422,"&gt;0",'2025-Q2'!$E$4:$E$422,Expectancy!$D9)</f>
        <v>1</v>
      </c>
      <c r="F9" s="172">
        <f>COUNTIFS('2025-Q2'!$S$4:$S$422,F$2,'2025-Q2'!$J$4:$J$422,"&gt;0",'2025-Q2'!$E$4:$E$422,Expectancy!$D9)</f>
        <v>10</v>
      </c>
      <c r="G9" s="172">
        <f>COUNTIFS('2025-Q2'!$S$4:$S$422,G$2,'2025-Q2'!$J$4:$J$422,"&gt;0",'2025-Q2'!$E$4:$E$422,Expectancy!$D9)</f>
        <v>19</v>
      </c>
      <c r="H9" s="171">
        <f t="shared" si="5"/>
        <v>30</v>
      </c>
      <c r="J9" s="170" t="s">
        <v>2614</v>
      </c>
      <c r="K9" s="65">
        <f>SUMIFS('2025-Q2'!$P$4:$P$422,'2025-Q2'!$S$4:$S$422,Expectancy!K$2,'2025-Q2'!$E$4:$E$422,Expectancy!$J9)</f>
        <v>0.40279467610514952</v>
      </c>
      <c r="L9" s="65">
        <f>SUMIFS('2025-Q2'!$P$4:$P$422,'2025-Q2'!$S$4:$S$422,Expectancy!L$2,'2025-Q2'!$E$4:$E$422,Expectancy!$J9)</f>
        <v>2.0825010564889137</v>
      </c>
      <c r="M9" s="65">
        <f>SUMIFS('2025-Q2'!$P$4:$P$422,'2025-Q2'!$S$4:$S$422,Expectancy!M$2,'2025-Q2'!$E$4:$E$422,Expectancy!$J9)</f>
        <v>-0.83431524840310756</v>
      </c>
      <c r="N9" s="173">
        <f t="shared" si="6"/>
        <v>1.6509804841909559</v>
      </c>
      <c r="P9" s="170" t="s">
        <v>2614</v>
      </c>
      <c r="Q9" s="217">
        <f t="shared" si="7"/>
        <v>0.40279467610514952</v>
      </c>
      <c r="R9" s="217">
        <f t="shared" si="8"/>
        <v>0.20825010564889138</v>
      </c>
      <c r="S9" s="217">
        <f t="shared" si="9"/>
        <v>-4.3911328863321449E-2</v>
      </c>
      <c r="T9" s="174">
        <f t="shared" si="0"/>
        <v>5.5032682806365196E-2</v>
      </c>
      <c r="U9" s="175"/>
      <c r="V9" s="701"/>
      <c r="X9" s="170" t="s">
        <v>2614</v>
      </c>
      <c r="Y9" s="65">
        <f>SUMIFS('2025-Q2'!$AI$4:$AI$422,'2025-Q2'!$S$4:$S$422,Expectancy!K$2,'2025-Q2'!$E$4:$E$422,Expectancy!$X9)</f>
        <v>0.38528186410057874</v>
      </c>
      <c r="Z9" s="65">
        <f>SUMIFS('2025-Q2'!$AI$4:$AI$422,'2025-Q2'!$S$4:$S$422,Expectancy!L$2,'2025-Q2'!$E$4:$E$422,Expectancy!$X9)</f>
        <v>2.1049184684242226</v>
      </c>
      <c r="AA9" s="65">
        <f>SUMIFS('2025-Q2'!$AI$4:$AI$422,'2025-Q2'!$S$4:$S$422,Expectancy!M$2,'2025-Q2'!$E$4:$E$422,Expectancy!$X9)</f>
        <v>-0.48937754007456069</v>
      </c>
      <c r="AB9" s="173">
        <f t="shared" si="10"/>
        <v>2.0008227924502404</v>
      </c>
      <c r="AD9" s="170" t="s">
        <v>2614</v>
      </c>
      <c r="AE9" s="217">
        <f t="shared" si="1"/>
        <v>0.38528186410057874</v>
      </c>
      <c r="AF9" s="217">
        <f t="shared" si="2"/>
        <v>0.21049184684242225</v>
      </c>
      <c r="AG9" s="217">
        <f t="shared" si="3"/>
        <v>-2.5756712635503193E-2</v>
      </c>
      <c r="AH9" s="217">
        <f t="shared" si="4"/>
        <v>6.6694093081674677E-2</v>
      </c>
    </row>
    <row r="10" spans="2:34" x14ac:dyDescent="0.25">
      <c r="B10" s="701"/>
      <c r="C10" s="176"/>
      <c r="D10" s="169" t="s">
        <v>2659</v>
      </c>
      <c r="E10" s="172">
        <f>COUNTIFS('2025-Q2'!$S$4:$S$422,E$2,'2025-Q2'!$J$4:$J$422,"&gt;0",'2025-Q2'!$E$4:$E$422,Expectancy!$D10)</f>
        <v>2</v>
      </c>
      <c r="F10" s="172">
        <f>COUNTIFS('2025-Q2'!$S$4:$S$422,F$2,'2025-Q2'!$J$4:$J$422,"&gt;0",'2025-Q2'!$E$4:$E$422,Expectancy!$D10)</f>
        <v>8</v>
      </c>
      <c r="G10" s="172">
        <f>COUNTIFS('2025-Q2'!$S$4:$S$422,G$2,'2025-Q2'!$J$4:$J$422,"&gt;0",'2025-Q2'!$E$4:$E$422,Expectancy!$D10)</f>
        <v>10</v>
      </c>
      <c r="H10" s="171">
        <f t="shared" si="5"/>
        <v>20</v>
      </c>
      <c r="J10" s="169" t="s">
        <v>2659</v>
      </c>
      <c r="K10" s="65">
        <f>SUMIFS('2025-Q2'!$P$4:$P$422,'2025-Q2'!$S$4:$S$422,Expectancy!K$2,'2025-Q2'!$E$4:$E$422,Expectancy!$J10)</f>
        <v>-0.26498852607816792</v>
      </c>
      <c r="L10" s="65">
        <f>SUMIFS('2025-Q2'!$P$4:$P$422,'2025-Q2'!$S$4:$S$422,Expectancy!L$2,'2025-Q2'!$E$4:$E$422,Expectancy!$J10)</f>
        <v>7.9116394275462909E-2</v>
      </c>
      <c r="M10" s="65">
        <f>SUMIFS('2025-Q2'!$P$4:$P$422,'2025-Q2'!$S$4:$S$422,Expectancy!M$2,'2025-Q2'!$E$4:$E$422,Expectancy!$J10)</f>
        <v>0.62848633887309935</v>
      </c>
      <c r="N10" s="173">
        <f t="shared" si="6"/>
        <v>0.44261420707039434</v>
      </c>
      <c r="P10" s="169" t="s">
        <v>2659</v>
      </c>
      <c r="Q10" s="217">
        <f t="shared" si="7"/>
        <v>-0.13249426303908396</v>
      </c>
      <c r="R10" s="217">
        <f t="shared" si="8"/>
        <v>9.8895492844328636E-3</v>
      </c>
      <c r="S10" s="217">
        <f t="shared" si="9"/>
        <v>6.2848633887309935E-2</v>
      </c>
      <c r="T10" s="174">
        <f t="shared" si="0"/>
        <v>2.2130710353519718E-2</v>
      </c>
      <c r="U10" s="175"/>
      <c r="V10" s="701"/>
      <c r="X10" s="169" t="s">
        <v>2659</v>
      </c>
      <c r="Y10" s="65">
        <f>SUMIFS('2025-Q2'!$AI$4:$AI$422,'2025-Q2'!$S$4:$S$422,Expectancy!K$2,'2025-Q2'!$E$4:$E$422,Expectancy!$X10)</f>
        <v>1.7209537372045989</v>
      </c>
      <c r="Z10" s="65">
        <f>SUMIFS('2025-Q2'!$AI$4:$AI$422,'2025-Q2'!$S$4:$S$422,Expectancy!L$2,'2025-Q2'!$E$4:$E$422,Expectancy!$X10)</f>
        <v>-2.8420205653645714</v>
      </c>
      <c r="AA10" s="65">
        <f>SUMIFS('2025-Q2'!$AI$4:$AI$422,'2025-Q2'!$S$4:$S$422,Expectancy!M$2,'2025-Q2'!$E$4:$E$422,Expectancy!$X10)</f>
        <v>0.51712449891440604</v>
      </c>
      <c r="AB10" s="173">
        <f t="shared" si="10"/>
        <v>-0.60394232924556646</v>
      </c>
      <c r="AD10" s="169" t="s">
        <v>2659</v>
      </c>
      <c r="AE10" s="217">
        <f t="shared" si="1"/>
        <v>0.86047686860229944</v>
      </c>
      <c r="AF10" s="217">
        <f t="shared" si="2"/>
        <v>-0.35525257067057142</v>
      </c>
      <c r="AG10" s="217">
        <f t="shared" si="3"/>
        <v>5.1712449891440603E-2</v>
      </c>
      <c r="AH10" s="217">
        <f t="shared" si="4"/>
        <v>-3.0197116462278323E-2</v>
      </c>
    </row>
    <row r="11" spans="2:34" x14ac:dyDescent="0.25">
      <c r="B11" s="701"/>
      <c r="C11" s="176"/>
      <c r="D11" s="170" t="s">
        <v>2690</v>
      </c>
      <c r="E11" s="172">
        <f>COUNTIFS('2025-Q2'!$S$4:$S$422,E$2,'2025-Q2'!$J$4:$J$422,"&gt;0",'2025-Q2'!$E$4:$E$422,Expectancy!$D11)</f>
        <v>11</v>
      </c>
      <c r="F11" s="172">
        <f>COUNTIFS('2025-Q2'!$S$4:$S$422,F$2,'2025-Q2'!$J$4:$J$422,"&gt;0",'2025-Q2'!$E$4:$E$422,Expectancy!$D11)</f>
        <v>11</v>
      </c>
      <c r="G11" s="172">
        <f>COUNTIFS('2025-Q2'!$S$4:$S$422,G$2,'2025-Q2'!$J$4:$J$422,"&gt;0",'2025-Q2'!$E$4:$E$422,Expectancy!$D11)</f>
        <v>22</v>
      </c>
      <c r="H11" s="171">
        <f t="shared" si="5"/>
        <v>44</v>
      </c>
      <c r="J11" s="170" t="s">
        <v>2690</v>
      </c>
      <c r="K11" s="65">
        <f>SUMIFS('2025-Q2'!$P$4:$P$422,'2025-Q2'!$S$4:$S$422,Expectancy!K$2,'2025-Q2'!$E$4:$E$422,Expectancy!$J11)</f>
        <v>-2.7099780615005766</v>
      </c>
      <c r="L11" s="65">
        <f>SUMIFS('2025-Q2'!$P$4:$P$422,'2025-Q2'!$S$4:$S$422,Expectancy!L$2,'2025-Q2'!$E$4:$E$422,Expectancy!$J11)</f>
        <v>3.2133390748971404</v>
      </c>
      <c r="M11" s="65">
        <f>SUMIFS('2025-Q2'!$P$4:$P$422,'2025-Q2'!$S$4:$S$422,Expectancy!M$2,'2025-Q2'!$E$4:$E$422,Expectancy!$J11)</f>
        <v>-12.045896072422382</v>
      </c>
      <c r="N11" s="173">
        <f t="shared" si="6"/>
        <v>-11.542535059025818</v>
      </c>
      <c r="P11" s="170" t="s">
        <v>2690</v>
      </c>
      <c r="Q11" s="217">
        <f t="shared" si="7"/>
        <v>-0.24636164195459787</v>
      </c>
      <c r="R11" s="217">
        <f t="shared" si="8"/>
        <v>0.29212173408155823</v>
      </c>
      <c r="S11" s="217">
        <f t="shared" si="9"/>
        <v>-0.54754073056465369</v>
      </c>
      <c r="T11" s="174">
        <f t="shared" si="0"/>
        <v>-0.26233034225058677</v>
      </c>
      <c r="U11" s="175"/>
      <c r="V11" s="701"/>
      <c r="X11" s="170" t="s">
        <v>2690</v>
      </c>
      <c r="Y11" s="65">
        <f>SUMIFS('2025-Q2'!$AI$4:$AI$422,'2025-Q2'!$S$4:$S$422,Expectancy!K$2,'2025-Q2'!$E$4:$E$422,Expectancy!$X11)</f>
        <v>-5.4846863485582436</v>
      </c>
      <c r="Z11" s="65">
        <f>SUMIFS('2025-Q2'!$AI$4:$AI$422,'2025-Q2'!$S$4:$S$422,Expectancy!L$2,'2025-Q2'!$E$4:$E$422,Expectancy!$X11)</f>
        <v>4.4059848439057365</v>
      </c>
      <c r="AA11" s="65">
        <f>SUMIFS('2025-Q2'!$AI$4:$AI$422,'2025-Q2'!$S$4:$S$422,Expectancy!M$2,'2025-Q2'!$E$4:$E$422,Expectancy!$X11)</f>
        <v>-11.345560836860768</v>
      </c>
      <c r="AB11" s="173">
        <f t="shared" si="10"/>
        <v>-12.424262341513275</v>
      </c>
      <c r="AD11" s="170" t="s">
        <v>2690</v>
      </c>
      <c r="AE11" s="217">
        <f t="shared" si="1"/>
        <v>-0.49860784986893125</v>
      </c>
      <c r="AF11" s="217">
        <f t="shared" si="2"/>
        <v>0.40054407671870335</v>
      </c>
      <c r="AG11" s="217">
        <f t="shared" si="3"/>
        <v>-0.51570731076639853</v>
      </c>
      <c r="AH11" s="217">
        <f t="shared" si="4"/>
        <v>-0.28236959867075623</v>
      </c>
    </row>
    <row r="12" spans="2:34" x14ac:dyDescent="0.25">
      <c r="B12" s="701"/>
      <c r="C12" s="176"/>
      <c r="D12" s="169" t="s">
        <v>2610</v>
      </c>
      <c r="E12" s="172">
        <f>COUNTIFS('2025-Q2'!$S$4:$S$422,E$2,'2025-Q2'!$J$4:$J$422,"&gt;0",'2025-Q2'!$E$4:$E$422,Expectancy!$D12)</f>
        <v>2</v>
      </c>
      <c r="F12" s="172">
        <f>COUNTIFS('2025-Q2'!$S$4:$S$422,F$2,'2025-Q2'!$J$4:$J$422,"&gt;0",'2025-Q2'!$E$4:$E$422,Expectancy!$D12)</f>
        <v>7</v>
      </c>
      <c r="G12" s="172">
        <f>COUNTIFS('2025-Q2'!$S$4:$S$422,G$2,'2025-Q2'!$J$4:$J$422,"&gt;0",'2025-Q2'!$E$4:$E$422,Expectancy!$D12)</f>
        <v>8</v>
      </c>
      <c r="H12" s="171">
        <f t="shared" si="5"/>
        <v>17</v>
      </c>
      <c r="J12" s="169" t="s">
        <v>2610</v>
      </c>
      <c r="K12" s="65">
        <f>SUMIFS('2025-Q2'!$P$4:$P$422,'2025-Q2'!$S$4:$S$422,Expectancy!K$2,'2025-Q2'!$E$4:$E$422,Expectancy!$J12)</f>
        <v>-0.84049791589649614</v>
      </c>
      <c r="L12" s="65">
        <f>SUMIFS('2025-Q2'!$P$4:$P$422,'2025-Q2'!$S$4:$S$422,Expectancy!L$2,'2025-Q2'!$E$4:$E$422,Expectancy!$J12)</f>
        <v>1.8657648196498773</v>
      </c>
      <c r="M12" s="65">
        <f>SUMIFS('2025-Q2'!$P$4:$P$422,'2025-Q2'!$S$4:$S$422,Expectancy!M$2,'2025-Q2'!$E$4:$E$422,Expectancy!$J12)</f>
        <v>3.4887162328793941</v>
      </c>
      <c r="N12" s="173">
        <f t="shared" si="6"/>
        <v>4.5139831366327758</v>
      </c>
      <c r="P12" s="169" t="s">
        <v>2610</v>
      </c>
      <c r="Q12" s="217">
        <f t="shared" si="7"/>
        <v>-0.42024895794824807</v>
      </c>
      <c r="R12" s="217">
        <f t="shared" si="8"/>
        <v>0.26653783137855391</v>
      </c>
      <c r="S12" s="217">
        <f t="shared" si="9"/>
        <v>0.43608952910992427</v>
      </c>
      <c r="T12" s="174">
        <f t="shared" si="0"/>
        <v>0.26552841980192798</v>
      </c>
      <c r="U12" s="175"/>
      <c r="V12" s="701"/>
      <c r="X12" s="169" t="s">
        <v>2610</v>
      </c>
      <c r="Y12" s="65">
        <f>SUMIFS('2025-Q2'!$AI$4:$AI$422,'2025-Q2'!$S$4:$S$422,Expectancy!K$2,'2025-Q2'!$E$4:$E$422,Expectancy!$X12)</f>
        <v>-0.84049791589649614</v>
      </c>
      <c r="Z12" s="65">
        <f>SUMIFS('2025-Q2'!$AI$4:$AI$422,'2025-Q2'!$S$4:$S$422,Expectancy!L$2,'2025-Q2'!$E$4:$E$422,Expectancy!$X12)</f>
        <v>0.44449344882503483</v>
      </c>
      <c r="AA12" s="65">
        <f>SUMIFS('2025-Q2'!$AI$4:$AI$422,'2025-Q2'!$S$4:$S$422,Expectancy!M$2,'2025-Q2'!$E$4:$E$422,Expectancy!$X12)</f>
        <v>3.3323856275596841</v>
      </c>
      <c r="AB12" s="173">
        <f t="shared" si="10"/>
        <v>2.9363811604882226</v>
      </c>
      <c r="AD12" s="169" t="s">
        <v>2610</v>
      </c>
      <c r="AE12" s="217">
        <f t="shared" si="1"/>
        <v>-0.42024895794824807</v>
      </c>
      <c r="AF12" s="217">
        <f t="shared" si="2"/>
        <v>6.3499064117862117E-2</v>
      </c>
      <c r="AG12" s="217">
        <f t="shared" si="3"/>
        <v>0.41654820344496052</v>
      </c>
      <c r="AH12" s="217">
        <f t="shared" si="4"/>
        <v>0.17272830355813074</v>
      </c>
    </row>
    <row r="13" spans="2:34" x14ac:dyDescent="0.25">
      <c r="B13" s="701"/>
      <c r="C13" s="176"/>
      <c r="D13" s="170" t="s">
        <v>2613</v>
      </c>
      <c r="E13" s="172">
        <f>COUNTIFS('2025-Q2'!$S$4:$S$422,E$2,'2025-Q2'!$J$4:$J$422,"&gt;0",'2025-Q2'!$E$4:$E$422,Expectancy!$D13)</f>
        <v>10</v>
      </c>
      <c r="F13" s="172">
        <f>COUNTIFS('2025-Q2'!$S$4:$S$422,F$2,'2025-Q2'!$J$4:$J$422,"&gt;0",'2025-Q2'!$E$4:$E$422,Expectancy!$D13)</f>
        <v>22</v>
      </c>
      <c r="G13" s="172">
        <f>COUNTIFS('2025-Q2'!$S$4:$S$422,G$2,'2025-Q2'!$J$4:$J$422,"&gt;0",'2025-Q2'!$E$4:$E$422,Expectancy!$D13)</f>
        <v>33</v>
      </c>
      <c r="H13" s="171">
        <f t="shared" si="5"/>
        <v>65</v>
      </c>
      <c r="J13" s="170" t="s">
        <v>2613</v>
      </c>
      <c r="K13" s="65">
        <f>SUMIFS('2025-Q2'!$P$4:$P$422,'2025-Q2'!$S$4:$S$422,Expectancy!K$2,'2025-Q2'!$E$4:$E$422,Expectancy!$J13)</f>
        <v>0.24785202869748424</v>
      </c>
      <c r="L13" s="65">
        <f>SUMIFS('2025-Q2'!$P$4:$P$422,'2025-Q2'!$S$4:$S$422,Expectancy!L$2,'2025-Q2'!$E$4:$E$422,Expectancy!$J13)</f>
        <v>4.3184391548878134</v>
      </c>
      <c r="M13" s="65">
        <f>SUMIFS('2025-Q2'!$P$4:$P$422,'2025-Q2'!$S$4:$S$422,Expectancy!M$2,'2025-Q2'!$E$4:$E$422,Expectancy!$J13)</f>
        <v>8.4384553208490907</v>
      </c>
      <c r="N13" s="173">
        <f t="shared" si="6"/>
        <v>13.004746504434388</v>
      </c>
      <c r="P13" s="170" t="s">
        <v>2613</v>
      </c>
      <c r="Q13" s="217">
        <f t="shared" si="7"/>
        <v>2.4785202869748425E-2</v>
      </c>
      <c r="R13" s="217">
        <f t="shared" si="8"/>
        <v>0.19629268885853698</v>
      </c>
      <c r="S13" s="217">
        <f t="shared" si="9"/>
        <v>0.25571076729845732</v>
      </c>
      <c r="T13" s="174">
        <f t="shared" si="0"/>
        <v>0.20007302314514444</v>
      </c>
      <c r="U13" s="175"/>
      <c r="V13" s="701"/>
      <c r="X13" s="170" t="s">
        <v>2613</v>
      </c>
      <c r="Y13" s="65">
        <f>SUMIFS('2025-Q2'!$AI$4:$AI$422,'2025-Q2'!$S$4:$S$422,Expectancy!K$2,'2025-Q2'!$E$4:$E$422,Expectancy!$X13)</f>
        <v>1.953149308895155</v>
      </c>
      <c r="Z13" s="65">
        <f>SUMIFS('2025-Q2'!$AI$4:$AI$422,'2025-Q2'!$S$4:$S$422,Expectancy!L$2,'2025-Q2'!$E$4:$E$422,Expectancy!$X13)</f>
        <v>3.7998322468660382</v>
      </c>
      <c r="AA13" s="65">
        <f>SUMIFS('2025-Q2'!$AI$4:$AI$422,'2025-Q2'!$S$4:$S$422,Expectancy!M$2,'2025-Q2'!$E$4:$E$422,Expectancy!$X13)</f>
        <v>8.1227494060673902</v>
      </c>
      <c r="AB13" s="173">
        <f t="shared" si="10"/>
        <v>13.875730961828584</v>
      </c>
      <c r="AD13" s="170" t="s">
        <v>2613</v>
      </c>
      <c r="AE13" s="217">
        <f t="shared" si="1"/>
        <v>0.19531493088951551</v>
      </c>
      <c r="AF13" s="217">
        <f t="shared" si="2"/>
        <v>0.17271964758481992</v>
      </c>
      <c r="AG13" s="217">
        <f t="shared" si="3"/>
        <v>0.24614392139598151</v>
      </c>
      <c r="AH13" s="217">
        <f t="shared" si="4"/>
        <v>0.21347278402813205</v>
      </c>
    </row>
    <row r="14" spans="2:34" x14ac:dyDescent="0.25">
      <c r="B14" s="701"/>
      <c r="C14" s="176"/>
      <c r="D14" s="169" t="s">
        <v>2618</v>
      </c>
      <c r="E14" s="172">
        <f>COUNTIFS('2025-Q2'!$S$4:$S$422,E$2,'2025-Q2'!$J$4:$J$422,"&gt;0",'2025-Q2'!$E$4:$E$422,Expectancy!$D14)</f>
        <v>3</v>
      </c>
      <c r="F14" s="172">
        <f>COUNTIFS('2025-Q2'!$S$4:$S$422,F$2,'2025-Q2'!$J$4:$J$422,"&gt;0",'2025-Q2'!$E$4:$E$422,Expectancy!$D14)</f>
        <v>19</v>
      </c>
      <c r="G14" s="172">
        <f>COUNTIFS('2025-Q2'!$S$4:$S$422,G$2,'2025-Q2'!$J$4:$J$422,"&gt;0",'2025-Q2'!$E$4:$E$422,Expectancy!$D14)</f>
        <v>23</v>
      </c>
      <c r="H14" s="171">
        <f t="shared" si="5"/>
        <v>45</v>
      </c>
      <c r="J14" s="169" t="s">
        <v>2618</v>
      </c>
      <c r="K14" s="65">
        <f>SUMIFS('2025-Q2'!$P$4:$P$422,'2025-Q2'!$S$4:$S$422,Expectancy!K$2,'2025-Q2'!$E$4:$E$422,Expectancy!$J14)</f>
        <v>0.65848341369884777</v>
      </c>
      <c r="L14" s="65">
        <f>SUMIFS('2025-Q2'!$P$4:$P$422,'2025-Q2'!$S$4:$S$422,Expectancy!L$2,'2025-Q2'!$E$4:$E$422,Expectancy!$J14)</f>
        <v>-3.5125331561187787</v>
      </c>
      <c r="M14" s="65">
        <f>SUMIFS('2025-Q2'!$P$4:$P$422,'2025-Q2'!$S$4:$S$422,Expectancy!M$2,'2025-Q2'!$E$4:$E$422,Expectancy!$J14)</f>
        <v>13.156552985368888</v>
      </c>
      <c r="N14" s="173">
        <f t="shared" si="6"/>
        <v>10.302503242948958</v>
      </c>
      <c r="P14" s="169" t="s">
        <v>2618</v>
      </c>
      <c r="Q14" s="217">
        <f t="shared" si="7"/>
        <v>0.21949447123294927</v>
      </c>
      <c r="R14" s="217">
        <f t="shared" si="8"/>
        <v>-0.18487016611151466</v>
      </c>
      <c r="S14" s="217">
        <f t="shared" si="9"/>
        <v>0.5720240428421256</v>
      </c>
      <c r="T14" s="174">
        <f t="shared" si="0"/>
        <v>0.22894451650997685</v>
      </c>
      <c r="U14" s="175"/>
      <c r="V14" s="701"/>
      <c r="X14" s="169" t="s">
        <v>2618</v>
      </c>
      <c r="Y14" s="65">
        <f>SUMIFS('2025-Q2'!$AI$4:$AI$422,'2025-Q2'!$S$4:$S$422,Expectancy!K$2,'2025-Q2'!$E$4:$E$422,Expectancy!$X14)</f>
        <v>0.2793543717303299</v>
      </c>
      <c r="Z14" s="65">
        <f>SUMIFS('2025-Q2'!$AI$4:$AI$422,'2025-Q2'!$S$4:$S$422,Expectancy!L$2,'2025-Q2'!$E$4:$E$422,Expectancy!$X14)</f>
        <v>-3.5098712818371842</v>
      </c>
      <c r="AA14" s="65">
        <f>SUMIFS('2025-Q2'!$AI$4:$AI$422,'2025-Q2'!$S$4:$S$422,Expectancy!M$2,'2025-Q2'!$E$4:$E$422,Expectancy!$X14)</f>
        <v>15.099424076351744</v>
      </c>
      <c r="AB14" s="173">
        <f t="shared" si="10"/>
        <v>11.868907166244888</v>
      </c>
      <c r="AD14" s="169" t="s">
        <v>2618</v>
      </c>
      <c r="AE14" s="217">
        <f t="shared" si="1"/>
        <v>9.3118123910109971E-2</v>
      </c>
      <c r="AF14" s="217">
        <f t="shared" si="2"/>
        <v>-0.18473006746511497</v>
      </c>
      <c r="AG14" s="217">
        <f t="shared" si="3"/>
        <v>0.65649669897181495</v>
      </c>
      <c r="AH14" s="217">
        <f t="shared" si="4"/>
        <v>0.26375349258321973</v>
      </c>
    </row>
    <row r="15" spans="2:34" x14ac:dyDescent="0.25">
      <c r="B15" s="701"/>
      <c r="C15" s="176"/>
      <c r="D15" s="169" t="s">
        <v>2609</v>
      </c>
      <c r="E15" s="172">
        <f>COUNTIFS('2025-Q2'!$S$4:$S$422,E$2,'2025-Q2'!$J$4:$J$422,"&gt;0",'2025-Q2'!$E$4:$E$422,Expectancy!$D15)</f>
        <v>0</v>
      </c>
      <c r="F15" s="172">
        <f>COUNTIFS('2025-Q2'!$S$4:$S$422,F$2,'2025-Q2'!$J$4:$J$422,"&gt;0",'2025-Q2'!$E$4:$E$422,Expectancy!$D15)</f>
        <v>19</v>
      </c>
      <c r="G15" s="172">
        <f>COUNTIFS('2025-Q2'!$S$4:$S$422,G$2,'2025-Q2'!$J$4:$J$422,"&gt;0",'2025-Q2'!$E$4:$E$422,Expectancy!$D15)</f>
        <v>8</v>
      </c>
      <c r="H15" s="171">
        <f t="shared" si="5"/>
        <v>27</v>
      </c>
      <c r="J15" s="169" t="s">
        <v>2609</v>
      </c>
      <c r="K15" s="65">
        <f>SUMIFS('2025-Q2'!$P$4:$P$422,'2025-Q2'!$S$4:$S$422,Expectancy!K$2,'2025-Q2'!$E$4:$E$422,Expectancy!$J15)</f>
        <v>0</v>
      </c>
      <c r="L15" s="65">
        <f>SUMIFS('2025-Q2'!$P$4:$P$422,'2025-Q2'!$S$4:$S$422,Expectancy!L$2,'2025-Q2'!$E$4:$E$422,Expectancy!$J15)</f>
        <v>2.4788862078089964</v>
      </c>
      <c r="M15" s="65">
        <f>SUMIFS('2025-Q2'!$P$4:$P$422,'2025-Q2'!$S$4:$S$422,Expectancy!M$2,'2025-Q2'!$E$4:$E$422,Expectancy!$J15)</f>
        <v>1.7856049065476487</v>
      </c>
      <c r="N15" s="173">
        <f t="shared" si="6"/>
        <v>4.2644911143566446</v>
      </c>
      <c r="P15" s="169" t="s">
        <v>2609</v>
      </c>
      <c r="Q15" s="217">
        <f t="shared" si="7"/>
        <v>0</v>
      </c>
      <c r="R15" s="217">
        <f t="shared" si="8"/>
        <v>0.13046769514784193</v>
      </c>
      <c r="S15" s="217">
        <f t="shared" si="9"/>
        <v>0.22320061331845609</v>
      </c>
      <c r="T15" s="174">
        <f t="shared" si="0"/>
        <v>0.1579441153465424</v>
      </c>
      <c r="U15" s="175"/>
      <c r="V15" s="701"/>
      <c r="X15" s="169" t="s">
        <v>2609</v>
      </c>
      <c r="Y15" s="65">
        <f>SUMIFS('2025-Q2'!$AI$4:$AI$422,'2025-Q2'!$S$4:$S$422,Expectancy!K$2,'2025-Q2'!$E$4:$E$422,Expectancy!$X15)</f>
        <v>0</v>
      </c>
      <c r="Z15" s="65">
        <f>SUMIFS('2025-Q2'!$AI$4:$AI$422,'2025-Q2'!$S$4:$S$422,Expectancy!L$2,'2025-Q2'!$E$4:$E$422,Expectancy!$X15)</f>
        <v>2.7935008757094848</v>
      </c>
      <c r="AA15" s="65">
        <f>SUMIFS('2025-Q2'!$AI$4:$AI$422,'2025-Q2'!$S$4:$S$422,Expectancy!M$2,'2025-Q2'!$E$4:$E$422,Expectancy!$X15)</f>
        <v>1.3040589403715239</v>
      </c>
      <c r="AB15" s="173">
        <f t="shared" si="10"/>
        <v>4.0975598160810085</v>
      </c>
      <c r="AD15" s="169" t="s">
        <v>2609</v>
      </c>
      <c r="AE15" s="217">
        <f t="shared" si="1"/>
        <v>0</v>
      </c>
      <c r="AF15" s="217">
        <f t="shared" si="2"/>
        <v>0.14702636187944657</v>
      </c>
      <c r="AG15" s="217">
        <f t="shared" si="3"/>
        <v>0.16300736754644049</v>
      </c>
      <c r="AH15" s="217">
        <f t="shared" si="4"/>
        <v>0.15176147466966697</v>
      </c>
    </row>
    <row r="16" spans="2:34" x14ac:dyDescent="0.25">
      <c r="B16" s="701"/>
      <c r="C16" s="176"/>
      <c r="D16" s="170" t="s">
        <v>2611</v>
      </c>
      <c r="E16" s="172">
        <f>COUNTIFS('2025-Q2'!$S$4:$S$422,E$2,'2025-Q2'!$J$4:$J$422,"&gt;0",'2025-Q2'!$E$4:$E$422,Expectancy!$D16)</f>
        <v>1</v>
      </c>
      <c r="F16" s="172">
        <f>COUNTIFS('2025-Q2'!$S$4:$S$422,F$2,'2025-Q2'!$J$4:$J$422,"&gt;0",'2025-Q2'!$E$4:$E$422,Expectancy!$D16)</f>
        <v>9</v>
      </c>
      <c r="G16" s="172">
        <f>COUNTIFS('2025-Q2'!$S$4:$S$422,G$2,'2025-Q2'!$J$4:$J$422,"&gt;0",'2025-Q2'!$E$4:$E$422,Expectancy!$D16)</f>
        <v>3</v>
      </c>
      <c r="H16" s="171">
        <f t="shared" si="5"/>
        <v>13</v>
      </c>
      <c r="J16" s="170" t="s">
        <v>2611</v>
      </c>
      <c r="K16" s="65">
        <f>SUMIFS('2025-Q2'!$P$4:$P$422,'2025-Q2'!$S$4:$S$422,Expectancy!K$2,'2025-Q2'!$E$4:$E$422,Expectancy!$J16)</f>
        <v>-0.27145310509113252</v>
      </c>
      <c r="L16" s="65">
        <f>SUMIFS('2025-Q2'!$P$4:$P$422,'2025-Q2'!$S$4:$S$422,Expectancy!L$2,'2025-Q2'!$E$4:$E$422,Expectancy!$J16)</f>
        <v>0.89084290967454072</v>
      </c>
      <c r="M16" s="65">
        <f>SUMIFS('2025-Q2'!$P$4:$P$422,'2025-Q2'!$S$4:$S$422,Expectancy!M$2,'2025-Q2'!$E$4:$E$422,Expectancy!$J16)</f>
        <v>-0.28811149078748233</v>
      </c>
      <c r="N16" s="173">
        <f t="shared" si="6"/>
        <v>0.33127831379592587</v>
      </c>
      <c r="P16" s="170" t="s">
        <v>2611</v>
      </c>
      <c r="Q16" s="217">
        <f t="shared" si="7"/>
        <v>-0.27145310509113252</v>
      </c>
      <c r="R16" s="217">
        <f t="shared" si="8"/>
        <v>9.8982545519393408E-2</v>
      </c>
      <c r="S16" s="217">
        <f t="shared" si="9"/>
        <v>-9.6037163595827438E-2</v>
      </c>
      <c r="T16" s="174">
        <f t="shared" si="0"/>
        <v>2.548294721507122E-2</v>
      </c>
      <c r="U16" s="175"/>
      <c r="V16" s="701"/>
      <c r="X16" s="170" t="s">
        <v>2611</v>
      </c>
      <c r="Y16" s="65">
        <f>SUMIFS('2025-Q2'!$AI$4:$AI$422,'2025-Q2'!$S$4:$S$422,Expectancy!K$2,'2025-Q2'!$E$4:$E$422,Expectancy!$X16)</f>
        <v>-0.34070134618580872</v>
      </c>
      <c r="Z16" s="65">
        <f>SUMIFS('2025-Q2'!$AI$4:$AI$422,'2025-Q2'!$S$4:$S$422,Expectancy!L$2,'2025-Q2'!$E$4:$E$422,Expectancy!$X16)</f>
        <v>0.78693726337893022</v>
      </c>
      <c r="AA16" s="65">
        <f>SUMIFS('2025-Q2'!$AI$4:$AI$422,'2025-Q2'!$S$4:$S$422,Expectancy!M$2,'2025-Q2'!$E$4:$E$422,Expectancy!$X16)</f>
        <v>-0.52552533211045493</v>
      </c>
      <c r="AB16" s="173">
        <f t="shared" si="10"/>
        <v>-7.9289414917333434E-2</v>
      </c>
      <c r="AD16" s="170" t="s">
        <v>2611</v>
      </c>
      <c r="AE16" s="217">
        <f t="shared" si="1"/>
        <v>-0.34070134618580872</v>
      </c>
      <c r="AF16" s="217">
        <f t="shared" si="2"/>
        <v>8.743747370877003E-2</v>
      </c>
      <c r="AG16" s="217">
        <f t="shared" si="3"/>
        <v>-0.17517511070348499</v>
      </c>
      <c r="AH16" s="217">
        <f t="shared" si="4"/>
        <v>-6.0991857628718022E-3</v>
      </c>
    </row>
    <row r="17" spans="2:34" x14ac:dyDescent="0.25">
      <c r="B17" s="701"/>
      <c r="C17" s="176"/>
      <c r="D17" s="235" t="s">
        <v>2617</v>
      </c>
      <c r="E17" s="236">
        <f>COUNTIFS('2025-Q2'!$S$4:$S$422,E$2,'2025-Q2'!$J$4:$J$422,"&gt;0",'2025-Q2'!$E$4:$E$422,Expectancy!$D17)</f>
        <v>0</v>
      </c>
      <c r="F17" s="236">
        <f>COUNTIFS('2025-Q2'!$S$4:$S$422,F$2,'2025-Q2'!$J$4:$J$422,"&gt;0",'2025-Q2'!$E$4:$E$422,Expectancy!$D17)</f>
        <v>0</v>
      </c>
      <c r="G17" s="236">
        <f>COUNTIFS('2025-Q2'!$S$4:$S$422,G$2,'2025-Q2'!$J$4:$J$422,"&gt;0",'2025-Q2'!$E$4:$E$422,Expectancy!$D17)</f>
        <v>0</v>
      </c>
      <c r="H17" s="237">
        <f t="shared" si="5"/>
        <v>0</v>
      </c>
      <c r="J17" s="235" t="s">
        <v>2617</v>
      </c>
      <c r="K17" s="238">
        <f>SUMIFS('2025-Q2'!$P$4:$P$422,'2025-Q2'!$S$4:$S$422,Expectancy!K$2,'2025-Q2'!$E$4:$E$422,Expectancy!$J17)</f>
        <v>0</v>
      </c>
      <c r="L17" s="238">
        <f>SUMIFS('2025-Q2'!$P$4:$P$422,'2025-Q2'!$S$4:$S$422,Expectancy!L$2,'2025-Q2'!$E$4:$E$422,Expectancy!$J17)</f>
        <v>0</v>
      </c>
      <c r="M17" s="238">
        <f>SUMIFS('2025-Q2'!$P$4:$P$422,'2025-Q2'!$S$4:$S$422,Expectancy!M$2,'2025-Q2'!$E$4:$E$422,Expectancy!$J17)</f>
        <v>0</v>
      </c>
      <c r="N17" s="239">
        <f t="shared" si="6"/>
        <v>0</v>
      </c>
      <c r="P17" s="235" t="s">
        <v>2617</v>
      </c>
      <c r="Q17" s="240">
        <f t="shared" si="7"/>
        <v>0</v>
      </c>
      <c r="R17" s="240">
        <f t="shared" si="8"/>
        <v>0</v>
      </c>
      <c r="S17" s="240">
        <f t="shared" si="9"/>
        <v>0</v>
      </c>
      <c r="T17" s="241">
        <f t="shared" si="0"/>
        <v>0</v>
      </c>
      <c r="U17" s="175"/>
      <c r="V17" s="701"/>
      <c r="X17" s="235" t="s">
        <v>2617</v>
      </c>
      <c r="Y17" s="238">
        <f>SUMIFS('2025-Q2'!$AI$57:$AI$422,'2025-Q2'!$S$57:$S$422,Expectancy!K$2,'2025-Q2'!$E$57:$E$422,Expectancy!$X17)</f>
        <v>0</v>
      </c>
      <c r="Z17" s="238">
        <f>SUMIFS('2025-Q2'!$AI$57:$AI$422,'2025-Q2'!$S$57:$S$422,Expectancy!L$2,'2025-Q2'!$E$57:$E$422,Expectancy!$X17)</f>
        <v>0</v>
      </c>
      <c r="AA17" s="238">
        <f>SUMIFS('2025-Q2'!$AI$57:$AI$422,'2025-Q2'!$S$57:$S$422,Expectancy!M$2,'2025-Q2'!$E$57:$E$422,Expectancy!$X17)</f>
        <v>0</v>
      </c>
      <c r="AB17" s="239">
        <f t="shared" si="10"/>
        <v>0</v>
      </c>
      <c r="AD17" s="235" t="s">
        <v>2617</v>
      </c>
      <c r="AE17" s="241">
        <f t="shared" si="1"/>
        <v>0</v>
      </c>
      <c r="AF17" s="241">
        <f t="shared" si="2"/>
        <v>0</v>
      </c>
      <c r="AG17" s="241">
        <f t="shared" si="3"/>
        <v>0</v>
      </c>
      <c r="AH17" s="241">
        <f t="shared" si="4"/>
        <v>0</v>
      </c>
    </row>
    <row r="19" spans="2:34" x14ac:dyDescent="0.25">
      <c r="P19" s="702" t="s">
        <v>4557</v>
      </c>
      <c r="Q19" s="702"/>
      <c r="R19" s="702"/>
    </row>
    <row r="20" spans="2:34" x14ac:dyDescent="0.25">
      <c r="D20" s="264"/>
      <c r="E20" s="346" t="s">
        <v>4512</v>
      </c>
      <c r="F20" s="346" t="s">
        <v>4513</v>
      </c>
      <c r="G20" s="346" t="s">
        <v>2692</v>
      </c>
      <c r="H20" s="346" t="s">
        <v>2722</v>
      </c>
      <c r="I20" s="422" t="s">
        <v>2540</v>
      </c>
      <c r="J20" s="346" t="s">
        <v>4514</v>
      </c>
      <c r="K20" s="346" t="s">
        <v>2622</v>
      </c>
      <c r="L20" s="346" t="s">
        <v>4553</v>
      </c>
      <c r="M20" s="346" t="s">
        <v>4530</v>
      </c>
      <c r="N20" s="346" t="s">
        <v>4610</v>
      </c>
      <c r="P20" s="405" t="s">
        <v>2735</v>
      </c>
      <c r="Q20" s="405" t="s">
        <v>2736</v>
      </c>
      <c r="R20" s="405" t="s">
        <v>2692</v>
      </c>
    </row>
    <row r="21" spans="2:34" x14ac:dyDescent="0.25">
      <c r="B21" s="698" t="s">
        <v>4528</v>
      </c>
      <c r="D21" s="408" t="s">
        <v>4460</v>
      </c>
      <c r="E21" s="409">
        <f>COUNTIF('2025-Q2'!$BS$4:$BS$422,"&gt;0")</f>
        <v>112</v>
      </c>
      <c r="F21" s="409">
        <f>COUNTIF('2025-Q2'!$BT$4:$BT$422,"&lt;0")</f>
        <v>108</v>
      </c>
      <c r="G21" s="409">
        <f>SUM(E21:F21)</f>
        <v>220</v>
      </c>
      <c r="H21" s="583">
        <f>E21/G21</f>
        <v>0.50909090909090904</v>
      </c>
      <c r="I21" s="423">
        <f>G21/(G21+G22)</f>
        <v>0.58047493403693928</v>
      </c>
      <c r="J21" s="410">
        <f>AVERAGE('2025-Q2'!$BS$4:$BS$422)</f>
        <v>0.83357568936660031</v>
      </c>
      <c r="K21" s="410">
        <f>AVERAGE('2025-Q2'!$BT$4:$BT$422)</f>
        <v>-0.74427664603412025</v>
      </c>
      <c r="L21" s="411">
        <f>J21/-K21</f>
        <v>1.1199809826202531</v>
      </c>
      <c r="M21" s="579">
        <f>SUM('2025-Q2'!$BS$4:$BS$422)+SUM('2025-Q2'!$BT$4:$BT$422)</f>
        <v>10.001492853237778</v>
      </c>
      <c r="N21" s="410">
        <f>M21/G21</f>
        <v>4.5461331151080808E-2</v>
      </c>
      <c r="P21" s="451">
        <f>AVERAGEIFS('2025-Q2'!$K$4:$K$422,'2025-Q2'!$K$4:$K$422,"&gt;0",'2025-Q2'!$D$4:$D$422,"Y")</f>
        <v>4.1268283756094079E-2</v>
      </c>
      <c r="Q21" s="451">
        <f>AVERAGEIFS('2025-Q2'!$K$4:$K$422,'2025-Q2'!$K$4:$K$422,"&gt;0",'2025-Q2'!$D$4:$D$422,"N")</f>
        <v>7.0346895459601488E-2</v>
      </c>
      <c r="R21" s="451">
        <f>AVERAGEIFS('2025-Q2'!$K$4:$K$422,'2025-Q2'!$K$4:$K$422,"&gt;0")</f>
        <v>4.6357040804207855E-2</v>
      </c>
    </row>
    <row r="22" spans="2:34" x14ac:dyDescent="0.25">
      <c r="B22" s="699"/>
      <c r="D22" s="516" t="s">
        <v>4458</v>
      </c>
      <c r="E22" s="517">
        <f>COUNTIF('2025-Q2'!$BU$4:$BU$422,"&gt;0")</f>
        <v>86</v>
      </c>
      <c r="F22" s="517">
        <f>COUNTIF('2025-Q2'!$BV$4:$BV$422,"&lt;0")</f>
        <v>73</v>
      </c>
      <c r="G22" s="517">
        <f>SUM(E22:F22)</f>
        <v>159</v>
      </c>
      <c r="H22" s="584">
        <f>E22/G22</f>
        <v>0.54088050314465408</v>
      </c>
      <c r="I22" s="518">
        <f>1-I21</f>
        <v>0.41952506596306072</v>
      </c>
      <c r="J22" s="519">
        <f>AVERAGE('2025-Q2'!$BU$4:$BU$422)</f>
        <v>0.55164499918886234</v>
      </c>
      <c r="K22" s="519">
        <f>AVERAGE('2025-Q2'!$BV$4:$BV$422)</f>
        <v>-0.55185028556693405</v>
      </c>
      <c r="L22" s="520">
        <f>J22/-K22</f>
        <v>0.99962800349398961</v>
      </c>
      <c r="M22" s="580">
        <f>SUM('2025-Q2'!$BU$4:$BU$422)+SUM('2025-Q2'!$BV$4:$BV$422)</f>
        <v>6.602701220886388</v>
      </c>
      <c r="N22" s="519">
        <f>M22/G22</f>
        <v>4.1526422772870365E-2</v>
      </c>
      <c r="P22" s="521">
        <f>AVERAGEIFS('2025-Q2'!$K$4:$K$422,'2025-Q2'!$K$4:$K$422,"&lt;0",'2025-Q2'!$D$4:$D$422,"Y")</f>
        <v>-3.8627962910372245E-2</v>
      </c>
      <c r="Q22" s="521">
        <f>AVERAGEIFS('2025-Q2'!$K$4:$K$422,'2025-Q2'!$K$4:$K$422,"&lt;0",'2025-Q2'!$D$4:$D$422,"N")</f>
        <v>-7.8987242089756951E-2</v>
      </c>
      <c r="R22" s="521">
        <f>AVERAGEIFS('2025-Q2'!$K$4:$K$422,'2025-Q2'!$K$4:$K$422,"&lt;0")</f>
        <v>-4.5323511529993678E-2</v>
      </c>
    </row>
  </sheetData>
  <mergeCells count="9">
    <mergeCell ref="B21:B22"/>
    <mergeCell ref="Y1:AB1"/>
    <mergeCell ref="AE1:AH1"/>
    <mergeCell ref="V1:V17"/>
    <mergeCell ref="B1:B17"/>
    <mergeCell ref="K1:N1"/>
    <mergeCell ref="E1:H1"/>
    <mergeCell ref="Q1:T1"/>
    <mergeCell ref="P19:R19"/>
  </mergeCells>
  <conditionalFormatting sqref="E3:G3">
    <cfRule type="dataBar" priority="22">
      <dataBar>
        <cfvo type="num" val="0"/>
        <cfvo type="num" val="250"/>
        <color rgb="FF63C384"/>
      </dataBar>
      <extLst>
        <ext xmlns:x14="http://schemas.microsoft.com/office/spreadsheetml/2009/9/main" uri="{B025F937-C7B1-47D3-B67F-A62EFF666E3E}">
          <x14:id>{F6DA8161-1F7F-4B89-9A41-0FFBF671EA95}</x14:id>
        </ext>
      </extLst>
    </cfRule>
  </conditionalFormatting>
  <conditionalFormatting sqref="E4:G16">
    <cfRule type="colorScale" priority="23">
      <colorScale>
        <cfvo type="num" val="0"/>
        <cfvo type="num" val="7"/>
        <cfvo type="num" val="25"/>
        <color rgb="FFFCFCFF"/>
        <color theme="6" tint="0.79998168889431442"/>
        <color rgb="FF63BE7B"/>
      </colorScale>
    </cfRule>
  </conditionalFormatting>
  <conditionalFormatting sqref="H3">
    <cfRule type="dataBar" priority="6">
      <dataBar>
        <cfvo type="num" val="0"/>
        <cfvo type="num" val="525"/>
        <color rgb="FF63C384"/>
      </dataBar>
      <extLst>
        <ext xmlns:x14="http://schemas.microsoft.com/office/spreadsheetml/2009/9/main" uri="{B025F937-C7B1-47D3-B67F-A62EFF666E3E}">
          <x14:id>{2810F22F-0A46-4FBF-9722-C9D30B59372B}</x14:id>
        </ext>
      </extLst>
    </cfRule>
  </conditionalFormatting>
  <conditionalFormatting sqref="H4:H16">
    <cfRule type="dataBar" priority="22428">
      <dataBar>
        <cfvo type="min"/>
        <cfvo type="max"/>
        <color rgb="FF63C384"/>
      </dataBar>
      <extLst>
        <ext xmlns:x14="http://schemas.microsoft.com/office/spreadsheetml/2009/9/main" uri="{B025F937-C7B1-47D3-B67F-A62EFF666E3E}">
          <x14:id>{E7540BDE-6274-40C6-A82E-F9169A99DB05}</x14:id>
        </ext>
      </extLst>
    </cfRule>
  </conditionalFormatting>
  <conditionalFormatting sqref="H21:H22">
    <cfRule type="dataBar" priority="3">
      <dataBar>
        <cfvo type="min"/>
        <cfvo type="max"/>
        <color rgb="FF63C384"/>
      </dataBar>
      <extLst>
        <ext xmlns:x14="http://schemas.microsoft.com/office/spreadsheetml/2009/9/main" uri="{B025F937-C7B1-47D3-B67F-A62EFF666E3E}">
          <x14:id>{F1D2AEAC-140B-47B1-8741-D59D5EADD5B7}</x14:id>
        </ext>
      </extLst>
    </cfRule>
  </conditionalFormatting>
  <conditionalFormatting sqref="K3:M3">
    <cfRule type="dataBar" priority="10">
      <dataBar>
        <cfvo type="num" val="0"/>
        <cfvo type="num" val="40"/>
        <color rgb="FF63C384"/>
      </dataBar>
      <extLst>
        <ext xmlns:x14="http://schemas.microsoft.com/office/spreadsheetml/2009/9/main" uri="{B025F937-C7B1-47D3-B67F-A62EFF666E3E}">
          <x14:id>{E8A3EEEF-B8E6-49E2-A798-7A633975A3C4}</x14:id>
        </ext>
      </extLst>
    </cfRule>
  </conditionalFormatting>
  <conditionalFormatting sqref="K4:M16">
    <cfRule type="colorScale" priority="22430">
      <colorScale>
        <cfvo type="min"/>
        <cfvo type="percentile" val="50"/>
        <cfvo type="max"/>
        <color rgb="FFFF0000"/>
        <color theme="0"/>
        <color rgb="FF63BE7B"/>
      </colorScale>
    </cfRule>
  </conditionalFormatting>
  <conditionalFormatting sqref="L21:L22">
    <cfRule type="cellIs" dxfId="7" priority="1" operator="lessThan">
      <formula>1</formula>
    </cfRule>
    <cfRule type="dataBar" priority="2">
      <dataBar>
        <cfvo type="min"/>
        <cfvo type="max"/>
        <color rgb="FF63C384"/>
      </dataBar>
      <extLst>
        <ext xmlns:x14="http://schemas.microsoft.com/office/spreadsheetml/2009/9/main" uri="{B025F937-C7B1-47D3-B67F-A62EFF666E3E}">
          <x14:id>{75FA88A0-7B8E-47EC-A609-BDDEE09AA22F}</x14:id>
        </ext>
      </extLst>
    </cfRule>
  </conditionalFormatting>
  <conditionalFormatting sqref="N3">
    <cfRule type="dataBar" priority="7">
      <dataBar>
        <cfvo type="num" val="0"/>
        <cfvo type="num" val="100"/>
        <color rgb="FF63C384"/>
      </dataBar>
      <extLst>
        <ext xmlns:x14="http://schemas.microsoft.com/office/spreadsheetml/2009/9/main" uri="{B025F937-C7B1-47D3-B67F-A62EFF666E3E}">
          <x14:id>{59E381B0-63E3-4657-A3B1-0AD0123B4662}</x14:id>
        </ext>
      </extLst>
    </cfRule>
  </conditionalFormatting>
  <conditionalFormatting sqref="N4:N16">
    <cfRule type="colorScale" priority="22432">
      <colorScale>
        <cfvo type="min"/>
        <cfvo type="percentile" val="50"/>
        <cfvo type="max"/>
        <color rgb="FFF8696B"/>
        <color theme="0"/>
        <color rgb="FF63BE7B"/>
      </colorScale>
    </cfRule>
  </conditionalFormatting>
  <conditionalFormatting sqref="Q3:T3">
    <cfRule type="dataBar" priority="9">
      <dataBar>
        <cfvo type="num" val="0"/>
        <cfvo type="num" val="0.5"/>
        <color rgb="FF63C384"/>
      </dataBar>
      <extLst>
        <ext xmlns:x14="http://schemas.microsoft.com/office/spreadsheetml/2009/9/main" uri="{B025F937-C7B1-47D3-B67F-A62EFF666E3E}">
          <x14:id>{ED9596CD-96B2-45E6-A13C-0B27F1154FE2}</x14:id>
        </ext>
      </extLst>
    </cfRule>
  </conditionalFormatting>
  <conditionalFormatting sqref="Q4:U16 U17">
    <cfRule type="colorScale" priority="21886">
      <colorScale>
        <cfvo type="min"/>
        <cfvo type="num" val="0"/>
        <cfvo type="max"/>
        <color rgb="FFFF0000"/>
        <color theme="0"/>
        <color rgb="FF63BE7B"/>
      </colorScale>
    </cfRule>
  </conditionalFormatting>
  <conditionalFormatting sqref="T4:T16">
    <cfRule type="dataBar" priority="4">
      <dataBar>
        <cfvo type="num" val="-0.2"/>
        <cfvo type="num" val="0.2"/>
        <color rgb="FF63C384"/>
      </dataBar>
      <extLst>
        <ext xmlns:x14="http://schemas.microsoft.com/office/spreadsheetml/2009/9/main" uri="{B025F937-C7B1-47D3-B67F-A62EFF666E3E}">
          <x14:id>{76C06762-9D1E-48F2-B6E0-0AC020287314}</x14:id>
        </ext>
      </extLst>
    </cfRule>
  </conditionalFormatting>
  <conditionalFormatting sqref="Y3:AB16">
    <cfRule type="colorScale" priority="12">
      <colorScale>
        <cfvo type="num" val="-5"/>
        <cfvo type="num" val="0"/>
        <cfvo type="num" val="5"/>
        <color rgb="FFF8696B"/>
        <color theme="0"/>
        <color rgb="FF63BE7B"/>
      </colorScale>
    </cfRule>
  </conditionalFormatting>
  <conditionalFormatting sqref="AE4:AG16">
    <cfRule type="colorScale" priority="13">
      <colorScale>
        <cfvo type="num" val="-0.75"/>
        <cfvo type="num" val="0"/>
        <cfvo type="num" val="0.75"/>
        <color rgb="FFFF0000"/>
        <color theme="0"/>
        <color rgb="FF63BE7B"/>
      </colorScale>
    </cfRule>
  </conditionalFormatting>
  <conditionalFormatting sqref="AE3:AH3 AH4:AH16">
    <cfRule type="colorScale" priority="22442">
      <colorScale>
        <cfvo type="min"/>
        <cfvo type="percentile" val="50"/>
        <cfvo type="max"/>
        <color rgb="FFF8696B"/>
        <color theme="0"/>
        <color rgb="FF63BE7B"/>
      </colorScale>
    </cfRule>
  </conditionalFormatting>
  <dataValidations count="1">
    <dataValidation allowBlank="1" showInputMessage="1" showErrorMessage="1" prompt="Excludes skipped trades." sqref="M20" xr:uid="{C87885C9-AE64-4595-AE9F-8523643DECD7}"/>
  </dataValidations>
  <pageMargins left="0.7" right="0.7" top="0.75" bottom="0.75" header="0.3" footer="0.3"/>
  <pageSetup orientation="portrait" horizontalDpi="300" verticalDpi="300" r:id="rId1"/>
  <drawing r:id="rId2"/>
  <extLst>
    <ext xmlns:x14="http://schemas.microsoft.com/office/spreadsheetml/2009/9/main" uri="{78C0D931-6437-407d-A8EE-F0AAD7539E65}">
      <x14:conditionalFormattings>
        <x14:conditionalFormatting xmlns:xm="http://schemas.microsoft.com/office/excel/2006/main">
          <x14:cfRule type="dataBar" id="{F6DA8161-1F7F-4B89-9A41-0FFBF671EA95}">
            <x14:dataBar minLength="0" maxLength="100" border="1">
              <x14:cfvo type="num">
                <xm:f>0</xm:f>
              </x14:cfvo>
              <x14:cfvo type="num">
                <xm:f>250</xm:f>
              </x14:cfvo>
              <x14:borderColor theme="9"/>
              <x14:negativeFillColor rgb="FFFF0000"/>
              <x14:axisColor rgb="FF000000"/>
            </x14:dataBar>
          </x14:cfRule>
          <xm:sqref>E3:G3</xm:sqref>
        </x14:conditionalFormatting>
        <x14:conditionalFormatting xmlns:xm="http://schemas.microsoft.com/office/excel/2006/main">
          <x14:cfRule type="dataBar" id="{2810F22F-0A46-4FBF-9722-C9D30B59372B}">
            <x14:dataBar minLength="0" maxLength="100" border="1" negativeBarBorderColorSameAsPositive="0">
              <x14:cfvo type="num">
                <xm:f>0</xm:f>
              </x14:cfvo>
              <x14:cfvo type="num">
                <xm:f>525</xm:f>
              </x14:cfvo>
              <x14:borderColor rgb="FF63C384"/>
              <x14:negativeFillColor rgb="FFFF0000"/>
              <x14:negativeBorderColor rgb="FFFF0000"/>
              <x14:axisColor rgb="FF000000"/>
            </x14:dataBar>
          </x14:cfRule>
          <xm:sqref>H3</xm:sqref>
        </x14:conditionalFormatting>
        <x14:conditionalFormatting xmlns:xm="http://schemas.microsoft.com/office/excel/2006/main">
          <x14:cfRule type="dataBar" id="{E7540BDE-6274-40C6-A82E-F9169A99DB05}">
            <x14:dataBar minLength="0" maxLength="100" border="1" negativeBarBorderColorSameAsPositive="0">
              <x14:cfvo type="autoMin"/>
              <x14:cfvo type="autoMax"/>
              <x14:borderColor rgb="FF63C384"/>
              <x14:negativeFillColor rgb="FFFF0000"/>
              <x14:negativeBorderColor rgb="FFFF0000"/>
              <x14:axisColor rgb="FF000000"/>
            </x14:dataBar>
          </x14:cfRule>
          <xm:sqref>H4:H16</xm:sqref>
        </x14:conditionalFormatting>
        <x14:conditionalFormatting xmlns:xm="http://schemas.microsoft.com/office/excel/2006/main">
          <x14:cfRule type="dataBar" id="{F1D2AEAC-140B-47B1-8741-D59D5EADD5B7}">
            <x14:dataBar minLength="0" maxLength="100" border="1" negativeBarBorderColorSameAsPositive="0">
              <x14:cfvo type="autoMin"/>
              <x14:cfvo type="autoMax"/>
              <x14:borderColor rgb="FF63C384"/>
              <x14:negativeFillColor rgb="FFFF0000"/>
              <x14:negativeBorderColor rgb="FFFF0000"/>
              <x14:axisColor rgb="FF000000"/>
            </x14:dataBar>
          </x14:cfRule>
          <xm:sqref>H21:H22</xm:sqref>
        </x14:conditionalFormatting>
        <x14:conditionalFormatting xmlns:xm="http://schemas.microsoft.com/office/excel/2006/main">
          <x14:cfRule type="dataBar" id="{E8A3EEEF-B8E6-49E2-A798-7A633975A3C4}">
            <x14:dataBar minLength="0" maxLength="100" border="1">
              <x14:cfvo type="num">
                <xm:f>0</xm:f>
              </x14:cfvo>
              <x14:cfvo type="num">
                <xm:f>40</xm:f>
              </x14:cfvo>
              <x14:borderColor theme="9"/>
              <x14:negativeFillColor rgb="FFFF0000"/>
              <x14:axisColor rgb="FF000000"/>
            </x14:dataBar>
          </x14:cfRule>
          <xm:sqref>K3:M3</xm:sqref>
        </x14:conditionalFormatting>
        <x14:conditionalFormatting xmlns:xm="http://schemas.microsoft.com/office/excel/2006/main">
          <x14:cfRule type="dataBar" id="{75FA88A0-7B8E-47EC-A609-BDDEE09AA22F}">
            <x14:dataBar minLength="0" maxLength="100" border="1" negativeBarBorderColorSameAsPositive="0">
              <x14:cfvo type="autoMin"/>
              <x14:cfvo type="autoMax"/>
              <x14:borderColor rgb="FF63C384"/>
              <x14:negativeFillColor rgb="FFFF0000"/>
              <x14:negativeBorderColor rgb="FFFF0000"/>
              <x14:axisColor rgb="FF000000"/>
            </x14:dataBar>
          </x14:cfRule>
          <xm:sqref>L21:L22</xm:sqref>
        </x14:conditionalFormatting>
        <x14:conditionalFormatting xmlns:xm="http://schemas.microsoft.com/office/excel/2006/main">
          <x14:cfRule type="dataBar" id="{59E381B0-63E3-4657-A3B1-0AD0123B4662}">
            <x14:dataBar minLength="0" maxLength="100" border="1" negativeBarBorderColorSameAsPositive="0">
              <x14:cfvo type="num">
                <xm:f>0</xm:f>
              </x14:cfvo>
              <x14:cfvo type="num">
                <xm:f>100</xm:f>
              </x14:cfvo>
              <x14:borderColor rgb="FF63C384"/>
              <x14:negativeFillColor rgb="FFFF0000"/>
              <x14:negativeBorderColor rgb="FFFF0000"/>
              <x14:axisColor rgb="FF000000"/>
            </x14:dataBar>
          </x14:cfRule>
          <xm:sqref>N3</xm:sqref>
        </x14:conditionalFormatting>
        <x14:conditionalFormatting xmlns:xm="http://schemas.microsoft.com/office/excel/2006/main">
          <x14:cfRule type="dataBar" id="{ED9596CD-96B2-45E6-A13C-0B27F1154FE2}">
            <x14:dataBar minLength="0" maxLength="100" border="1">
              <x14:cfvo type="num">
                <xm:f>0</xm:f>
              </x14:cfvo>
              <x14:cfvo type="num">
                <xm:f>0.5</xm:f>
              </x14:cfvo>
              <x14:borderColor theme="9"/>
              <x14:negativeFillColor rgb="FFFF0000"/>
              <x14:axisColor rgb="FF000000"/>
            </x14:dataBar>
          </x14:cfRule>
          <xm:sqref>Q3:T3</xm:sqref>
        </x14:conditionalFormatting>
        <x14:conditionalFormatting xmlns:xm="http://schemas.microsoft.com/office/excel/2006/main">
          <x14:cfRule type="dataBar" id="{76C06762-9D1E-48F2-B6E0-0AC020287314}">
            <x14:dataBar minLength="0" maxLength="100">
              <x14:cfvo type="num">
                <xm:f>-0.2</xm:f>
              </x14:cfvo>
              <x14:cfvo type="num">
                <xm:f>0.2</xm:f>
              </x14:cfvo>
              <x14:negativeFillColor rgb="FFFF0000"/>
              <x14:axisColor rgb="FF000000"/>
            </x14:dataBar>
          </x14:cfRule>
          <xm:sqref>T4:T16</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3FF3C-DF9F-4D70-B70F-5E6E73501B1A}">
  <sheetPr codeName="Sheet13">
    <tabColor rgb="FF00FF00"/>
  </sheetPr>
  <dimension ref="A1:AF337"/>
  <sheetViews>
    <sheetView showGridLines="0" topLeftCell="B1" workbookViewId="0">
      <pane ySplit="4" topLeftCell="A5" activePane="bottomLeft" state="frozen"/>
      <selection pane="bottomLeft" activeCell="AB3" sqref="AB3"/>
    </sheetView>
  </sheetViews>
  <sheetFormatPr defaultRowHeight="15" x14ac:dyDescent="0.25"/>
  <cols>
    <col min="1" max="1" width="15.85546875" bestFit="1" customWidth="1"/>
    <col min="2" max="2" width="8.5703125" customWidth="1"/>
    <col min="3" max="3" width="7.5703125" bestFit="1" customWidth="1"/>
    <col min="4" max="5" width="8.5703125" bestFit="1" customWidth="1"/>
    <col min="6" max="6" width="21.7109375" bestFit="1" customWidth="1"/>
    <col min="7" max="7" width="11.28515625" bestFit="1" customWidth="1"/>
    <col min="8" max="8" width="7.140625" customWidth="1"/>
    <col min="9" max="10" width="2" customWidth="1"/>
    <col min="11" max="11" width="11.140625" customWidth="1"/>
    <col min="12" max="12" width="10.85546875" customWidth="1"/>
    <col min="13" max="13" width="11.42578125" customWidth="1"/>
    <col min="14" max="16" width="8.85546875" customWidth="1"/>
    <col min="17" max="17" width="9.7109375" customWidth="1"/>
    <col min="18" max="19" width="5.7109375" customWidth="1"/>
    <col min="20" max="20" width="6.85546875" bestFit="1" customWidth="1"/>
    <col min="21" max="22" width="6.85546875" customWidth="1"/>
    <col min="23" max="23" width="8.7109375" customWidth="1"/>
    <col min="24" max="24" width="7" customWidth="1"/>
    <col min="25" max="25" width="8.28515625" customWidth="1"/>
    <col min="26" max="26" width="6" customWidth="1"/>
    <col min="27" max="28" width="8.140625" customWidth="1"/>
    <col min="29" max="29" width="5.5703125" bestFit="1" customWidth="1"/>
    <col min="30" max="30" width="6" bestFit="1" customWidth="1"/>
  </cols>
  <sheetData>
    <row r="1" spans="1:32" ht="40.5" customHeight="1" thickBot="1" x14ac:dyDescent="0.3">
      <c r="A1" s="284" t="s">
        <v>1401</v>
      </c>
      <c r="B1" s="24" t="s">
        <v>2522</v>
      </c>
      <c r="C1" s="24" t="s">
        <v>2536</v>
      </c>
      <c r="D1" s="24" t="s">
        <v>2537</v>
      </c>
      <c r="E1" s="24" t="s">
        <v>2524</v>
      </c>
      <c r="F1" s="24" t="s">
        <v>2541</v>
      </c>
      <c r="G1" s="45"/>
      <c r="H1" s="45"/>
      <c r="I1" s="45"/>
      <c r="K1" s="388" t="s">
        <v>4465</v>
      </c>
      <c r="L1" s="389" t="s">
        <v>4466</v>
      </c>
      <c r="M1" s="387" t="s">
        <v>2808</v>
      </c>
      <c r="N1" s="706" t="s">
        <v>2826</v>
      </c>
      <c r="O1" s="706"/>
      <c r="P1" s="706"/>
      <c r="Q1" s="707"/>
      <c r="R1" s="706" t="s">
        <v>4681</v>
      </c>
      <c r="S1" s="706"/>
      <c r="T1" s="706"/>
      <c r="U1" s="705" t="s">
        <v>2737</v>
      </c>
      <c r="V1" s="705"/>
      <c r="W1" s="708" t="s">
        <v>2825</v>
      </c>
      <c r="X1" s="708"/>
      <c r="Y1" s="708"/>
      <c r="Z1" s="709"/>
      <c r="AA1" s="708"/>
      <c r="AB1" s="708"/>
      <c r="AC1" s="708"/>
      <c r="AD1" s="708"/>
      <c r="AE1" s="733" t="s">
        <v>4494</v>
      </c>
      <c r="AF1" s="733"/>
    </row>
    <row r="2" spans="1:32" ht="20.100000000000001" customHeight="1" thickBot="1" x14ac:dyDescent="0.3">
      <c r="A2" s="28" t="s">
        <v>2521</v>
      </c>
      <c r="B2" s="14">
        <f>COUNTIF('2025-Q2'!$K$4:$K$422,"&gt;0")</f>
        <v>200</v>
      </c>
      <c r="C2" s="14">
        <f>SUM('2025-Q2'!$BC$4:$BC$422)</f>
        <v>24</v>
      </c>
      <c r="D2" s="14">
        <f>SUM('2025-Q2'!$BD$4:$BD$422)</f>
        <v>74</v>
      </c>
      <c r="E2" s="14">
        <f>SUM('2025-Q2'!$BE$4:$BE$422)</f>
        <v>102</v>
      </c>
      <c r="F2" s="737">
        <f>((C4/0.06)*C2)+((D9/0.06)*D7)</f>
        <v>-8.3953556824504929</v>
      </c>
      <c r="G2" s="45"/>
      <c r="H2" s="713" t="s">
        <v>2620</v>
      </c>
      <c r="I2" s="45"/>
      <c r="K2" s="390">
        <f>SUMIFS('2025-Q2'!$AK$4:$AK$422,'2025-Q2'!$H$4:$H$422,"s")</f>
        <v>647.655369278482</v>
      </c>
      <c r="L2" s="391">
        <f>SUMIFS('2025-Q2'!$AK$4:$AK$422,'2025-Q2'!$H$4:$H$422,"o")</f>
        <v>-69.793000000000461</v>
      </c>
      <c r="M2" s="392">
        <f>SUMIFS('2025-Q2'!$L$4:$L$422,'2025-Q2'!$H$4:$H$422,"o")</f>
        <v>-68.275000000000318</v>
      </c>
      <c r="N2" s="215" t="s">
        <v>2621</v>
      </c>
      <c r="O2" s="216" t="s">
        <v>2622</v>
      </c>
      <c r="P2" s="352" t="s">
        <v>2721</v>
      </c>
      <c r="Q2" s="370" t="s">
        <v>4469</v>
      </c>
      <c r="R2" s="357" t="s">
        <v>2719</v>
      </c>
      <c r="S2" s="216" t="s">
        <v>2720</v>
      </c>
      <c r="T2" s="215" t="s">
        <v>2722</v>
      </c>
      <c r="U2" s="221" t="s">
        <v>2735</v>
      </c>
      <c r="V2" s="221" t="s">
        <v>2736</v>
      </c>
      <c r="W2" s="215" t="s">
        <v>2621</v>
      </c>
      <c r="X2" s="216" t="s">
        <v>2622</v>
      </c>
      <c r="Y2" s="352" t="s">
        <v>4553</v>
      </c>
      <c r="Z2" s="355" t="s">
        <v>2723</v>
      </c>
      <c r="AA2" s="354" t="s">
        <v>2749</v>
      </c>
      <c r="AB2" s="354" t="s">
        <v>4592</v>
      </c>
      <c r="AC2" s="222" t="s">
        <v>2735</v>
      </c>
      <c r="AD2" s="222" t="s">
        <v>2736</v>
      </c>
      <c r="AE2" s="398" t="s">
        <v>2735</v>
      </c>
      <c r="AF2" s="399" t="s">
        <v>2736</v>
      </c>
    </row>
    <row r="3" spans="1:32" ht="20.100000000000001" customHeight="1" thickBot="1" x14ac:dyDescent="0.3">
      <c r="A3" s="27" t="s">
        <v>2525</v>
      </c>
      <c r="B3" s="16" t="s">
        <v>2526</v>
      </c>
      <c r="C3" s="17">
        <f>IFERROR(C2/$B2,0)</f>
        <v>0.12</v>
      </c>
      <c r="D3" s="17">
        <f t="shared" ref="D3" si="0">IFERROR(D2/$B2,0)</f>
        <v>0.37</v>
      </c>
      <c r="E3" s="17">
        <f t="shared" ref="E3" si="1">IFERROR(E2/$B2,0)</f>
        <v>0.51</v>
      </c>
      <c r="F3" s="738"/>
      <c r="G3" s="45"/>
      <c r="H3" s="714"/>
      <c r="I3" s="45"/>
      <c r="K3" s="731">
        <f>K2+L2</f>
        <v>577.86236927848154</v>
      </c>
      <c r="L3" s="732"/>
      <c r="M3" s="394" t="s">
        <v>4472</v>
      </c>
      <c r="N3" s="373">
        <f>IFERROR(AVERAGEIF('2025-Q2'!$N$4:$N$422,"&gt;0"),0)</f>
        <v>51.572793083154473</v>
      </c>
      <c r="O3" s="374">
        <f>IFERROR(AVERAGEIF('2025-Q2'!$N$4:$N$422,"&lt;0"),0)</f>
        <v>-54.229789548932743</v>
      </c>
      <c r="P3" s="353">
        <f>IFERROR(N3/-O3,0)</f>
        <v>0.9510048538288941</v>
      </c>
      <c r="Q3" s="371">
        <f>(R3*N3)+(S3*O3)</f>
        <v>451.14077189005911</v>
      </c>
      <c r="R3" s="358">
        <f>COUNTIF('2025-Q2'!$N$4:$N$422,"&gt;0")</f>
        <v>218</v>
      </c>
      <c r="S3" s="69">
        <f>COUNTIF('2025-Q2'!$N$4:$N$422,"&lt;0")</f>
        <v>199</v>
      </c>
      <c r="T3" s="613">
        <f>IFERROR(R3/(R3+S3),0)</f>
        <v>0.5227817745803357</v>
      </c>
      <c r="U3" s="400">
        <f>SUMIFS('2025-Q2'!$P$4:$P$422,'2025-Q2'!$D$4:$D$422,"Y")/COUNTIF('2025-Q2'!$D$4:$D$422,"Y")</f>
        <v>5.3912999958921536E-2</v>
      </c>
      <c r="V3" s="400">
        <f>SUMIFS('2025-Q2'!$P$4:$P$422,'2025-Q2'!$D$4:$D$422,"N")/COUNTIF('2025-Q2'!$D$4:$D$422,"N")</f>
        <v>-8.5784236004077752E-2</v>
      </c>
      <c r="W3" s="70">
        <f>IFERROR(AVERAGEIF('2025-Q2'!$P$4:$P$422,"&gt;0"),0)</f>
        <v>0.75911662547619785</v>
      </c>
      <c r="X3" s="375">
        <f>IFERROR(AVERAGEIF('2025-Q2'!$P$4:$P$422,"&lt;0"),0)</f>
        <v>-0.76862350934853751</v>
      </c>
      <c r="Y3" s="353">
        <f>IFERROR(W3/-X3,0)</f>
        <v>0.98763128663551103</v>
      </c>
      <c r="Z3" s="356">
        <f>(R3*W3)+(X3*S3)</f>
        <v>12.531345993452163</v>
      </c>
      <c r="AA3" s="492">
        <f>SUMIFS('2025-Q2'!$AI$4:$AI$422,'2025-Q2'!$H$4:$H$422,"o")*2</f>
        <v>-4.0126198274048477</v>
      </c>
      <c r="AB3" s="492">
        <f>-SUMIFS('2025-Q2'!$P$4:$P$422,'2025-Q2'!$H$4:$H$422,"sk")</f>
        <v>4.0728480806720198</v>
      </c>
      <c r="AC3" s="218">
        <f>SUMIFS('2025-Q2'!$P$4:$P$422,'2025-Q2'!$D$4:$D$422,"Y")</f>
        <v>18.707810985745773</v>
      </c>
      <c r="AD3" s="218">
        <f>SUMIFS('2025-Q2'!$P$4:$P$422,'2025-Q2'!$D$4:$D$422,"N")</f>
        <v>-6.1764649922935986</v>
      </c>
      <c r="AE3" s="386">
        <f>COUNTIF('2025-Q2'!$D$4:$D$422,"Y")</f>
        <v>347</v>
      </c>
      <c r="AF3" s="386">
        <f>COUNTIFS('2025-Q2'!$D$4:$D$422,"N",'2025-Q2'!$A$4:$A$422,"&lt;&gt;0")</f>
        <v>72</v>
      </c>
    </row>
    <row r="4" spans="1:32" ht="20.100000000000001" customHeight="1" x14ac:dyDescent="0.25">
      <c r="A4" s="27" t="s">
        <v>2535</v>
      </c>
      <c r="B4" s="20">
        <f>IFERROR(AVERAGEIF('2025-Q2'!$K$4:$K$422,"&gt;0"),0)</f>
        <v>4.6357040804207855E-2</v>
      </c>
      <c r="C4" s="20">
        <f>IFERROR(AVERAGEIFS('2025-Q2'!$K$4:$K$422,'2025-Q2'!$K$4:$K$422,"&gt;0",'2025-Q2'!$T$4:$T$422,"Yes"),0)</f>
        <v>3.7894216359741398E-2</v>
      </c>
      <c r="D4" s="20">
        <f>IFERROR(AVERAGEIFS('2025-Q2'!$K$4:$K$422,'2025-Q2'!$K$4:$K$422,"&gt;0",'2025-Q2'!$T$4:$T$422,"No"),0)</f>
        <v>4.2590846976512622E-2</v>
      </c>
      <c r="E4" s="20">
        <f>IFERROR(AVERAGEIFS('2025-Q2'!$K$4:$K$422,'2025-Q2'!$K$4:$K$422,"&gt;0",'2025-Q2'!$T$4:$T$422,"NA"),0)</f>
        <v>5.1080630313194597E-2</v>
      </c>
      <c r="F4" s="739"/>
      <c r="G4" s="45"/>
      <c r="H4" s="715"/>
      <c r="I4" s="45"/>
      <c r="M4" s="393">
        <f>-SUMIFS('2025-Q2'!$N$4:$N$422,'2025-Q2'!$H$4:$H$422,"sk")</f>
        <v>251.27053441875034</v>
      </c>
    </row>
    <row r="5" spans="1:32" x14ac:dyDescent="0.25">
      <c r="A5" s="45"/>
      <c r="B5" s="45"/>
      <c r="C5" s="45"/>
      <c r="D5" s="45"/>
      <c r="E5" s="45"/>
      <c r="F5" s="45"/>
      <c r="G5" s="45"/>
      <c r="H5" s="734">
        <f>F2+F7+F16</f>
        <v>12.531345993452113</v>
      </c>
      <c r="I5" s="45"/>
    </row>
    <row r="6" spans="1:32" ht="36" customHeight="1" x14ac:dyDescent="0.25">
      <c r="A6" s="48" t="s">
        <v>1401</v>
      </c>
      <c r="B6" s="23" t="s">
        <v>2522</v>
      </c>
      <c r="C6" s="23" t="s">
        <v>2538</v>
      </c>
      <c r="D6" s="23" t="s">
        <v>2537</v>
      </c>
      <c r="E6" s="23" t="s">
        <v>2524</v>
      </c>
      <c r="F6" s="23" t="s">
        <v>2542</v>
      </c>
      <c r="G6" s="45"/>
      <c r="H6" s="735"/>
      <c r="I6" s="45"/>
    </row>
    <row r="7" spans="1:32" ht="20.100000000000001" customHeight="1" x14ac:dyDescent="0.25">
      <c r="A7" s="29" t="s">
        <v>2527</v>
      </c>
      <c r="B7" s="30">
        <f>COUNTIF('2025-Q2'!$K$4:$K$422,"&lt;0")</f>
        <v>217</v>
      </c>
      <c r="C7" s="30">
        <f>SUM('2025-Q2'!$BG$4:$BG$422)</f>
        <v>92</v>
      </c>
      <c r="D7" s="30">
        <f>SUM('2025-Q2'!$BH$4:$BH$422)</f>
        <v>27</v>
      </c>
      <c r="E7" s="30">
        <f>SUM('2025-Q2'!$BI$4:$BI$422)</f>
        <v>98</v>
      </c>
      <c r="F7" s="737">
        <f>-((C9/0.06)*C7)-((D4/0.06)*D2)</f>
        <v>10.963955006451457</v>
      </c>
      <c r="G7" s="45"/>
      <c r="H7" s="45"/>
      <c r="I7" s="45"/>
    </row>
    <row r="8" spans="1:32" ht="20.100000000000001" customHeight="1" x14ac:dyDescent="0.25">
      <c r="A8" s="31" t="s">
        <v>2528</v>
      </c>
      <c r="B8" s="18" t="s">
        <v>2526</v>
      </c>
      <c r="C8" s="19">
        <f>IFERROR(C7/$B7,0)</f>
        <v>0.42396313364055299</v>
      </c>
      <c r="D8" s="19">
        <f t="shared" ref="D8" si="2">IFERROR(D7/$B7,0)</f>
        <v>0.12442396313364056</v>
      </c>
      <c r="E8" s="19">
        <f t="shared" ref="E8" si="3">IFERROR(E7/$B7,0)</f>
        <v>0.45161290322580644</v>
      </c>
      <c r="F8" s="738"/>
      <c r="G8" s="45"/>
      <c r="H8" s="45"/>
      <c r="I8" s="45"/>
    </row>
    <row r="9" spans="1:32" ht="20.100000000000001" customHeight="1" x14ac:dyDescent="0.25">
      <c r="A9" s="31" t="s">
        <v>2535</v>
      </c>
      <c r="B9" s="21">
        <f>IFERROR(AVERAGEIF('2025-Q2'!$K$4:$K$422,"&lt;0"),0)</f>
        <v>-4.5323511529993678E-2</v>
      </c>
      <c r="C9" s="22">
        <f>IFERROR(AVERAGEIFS('2025-Q2'!$K$4:$K$422,'2025-Q2'!$K$4:$K$422,"&lt;0",'2025-Q2'!$T$4:$T$422,"Yes"),0)</f>
        <v>-4.1408260615750238E-2</v>
      </c>
      <c r="D9" s="22">
        <f>IFERROR(AVERAGEIFS('2025-Q2'!$K$4:$K$422,'2025-Q2'!$K$4:$K$422,"&lt;0",'2025-Q2'!$T$4:$T$422,"No"),0)</f>
        <v>-5.2340093836326776E-2</v>
      </c>
      <c r="E9" s="22">
        <f>IFERROR(AVERAGEIFS('2025-Q2'!$K$4:$K$422,'2025-Q2'!$K$4:$K$422,"&lt;0",'2025-Q2'!$T$4:$T$422,"NA"),0)</f>
        <v>-4.7065913181416126E-2</v>
      </c>
      <c r="F9" s="739"/>
      <c r="G9" s="45"/>
      <c r="H9" s="45"/>
      <c r="I9" s="45"/>
    </row>
    <row r="10" spans="1:32" x14ac:dyDescent="0.25">
      <c r="A10" s="45"/>
      <c r="B10" s="45"/>
      <c r="C10" s="45"/>
      <c r="D10" s="45"/>
      <c r="E10" s="45"/>
      <c r="F10" s="45"/>
      <c r="G10" s="45"/>
      <c r="H10" s="45"/>
      <c r="I10" s="45"/>
    </row>
    <row r="11" spans="1:32" ht="30" customHeight="1" x14ac:dyDescent="0.25">
      <c r="A11" s="49" t="s">
        <v>1401</v>
      </c>
      <c r="B11" s="25" t="s">
        <v>2531</v>
      </c>
      <c r="C11" s="25" t="s">
        <v>2532</v>
      </c>
      <c r="D11" s="26" t="s">
        <v>2533</v>
      </c>
      <c r="E11" s="26" t="s">
        <v>2534</v>
      </c>
      <c r="F11" s="24" t="s">
        <v>2545</v>
      </c>
      <c r="G11" s="465" t="s">
        <v>4575</v>
      </c>
      <c r="H11" s="45"/>
      <c r="I11" s="45"/>
    </row>
    <row r="12" spans="1:32" ht="20.100000000000001" customHeight="1" x14ac:dyDescent="0.25">
      <c r="A12" s="32" t="s">
        <v>2539</v>
      </c>
      <c r="B12" s="14">
        <f>B2</f>
        <v>200</v>
      </c>
      <c r="C12" s="723">
        <f>B4</f>
        <v>4.6357040804207855E-2</v>
      </c>
      <c r="D12" s="30">
        <f>B7</f>
        <v>217</v>
      </c>
      <c r="E12" s="725">
        <f>B9</f>
        <v>-4.5323511529993678E-2</v>
      </c>
      <c r="F12" s="710">
        <f>((C12/0.06)*B12)+((E12/0.06)*D12)</f>
        <v>-9.3965640194509774</v>
      </c>
      <c r="G12" s="721">
        <f>((-C12/0.06)*B12)+((-E12/0.06)*D12)</f>
        <v>9.3965640194509774</v>
      </c>
      <c r="H12" s="45"/>
      <c r="I12" s="45"/>
    </row>
    <row r="13" spans="1:32" ht="20.100000000000001" customHeight="1" x14ac:dyDescent="0.25">
      <c r="A13" s="36" t="s">
        <v>2540</v>
      </c>
      <c r="B13" s="34">
        <f>IFERROR(B12/(B12+D12),0)</f>
        <v>0.47961630695443647</v>
      </c>
      <c r="C13" s="724"/>
      <c r="D13" s="35">
        <f>1-B13</f>
        <v>0.52038369304556353</v>
      </c>
      <c r="E13" s="726"/>
      <c r="F13" s="712"/>
      <c r="G13" s="721"/>
      <c r="H13" s="45"/>
      <c r="I13" s="45"/>
      <c r="K13" s="13"/>
    </row>
    <row r="14" spans="1:32" x14ac:dyDescent="0.25">
      <c r="A14" s="45"/>
      <c r="B14" s="45"/>
      <c r="C14" s="45"/>
      <c r="D14" s="45"/>
      <c r="E14" s="45"/>
      <c r="F14" s="45"/>
      <c r="G14" s="45"/>
      <c r="H14" s="45"/>
      <c r="I14" s="45"/>
      <c r="K14" s="13"/>
    </row>
    <row r="15" spans="1:32" ht="38.25" x14ac:dyDescent="0.25">
      <c r="A15" s="49" t="s">
        <v>1401</v>
      </c>
      <c r="B15" s="25" t="s">
        <v>2531</v>
      </c>
      <c r="C15" s="25" t="s">
        <v>2532</v>
      </c>
      <c r="D15" s="26" t="s">
        <v>2533</v>
      </c>
      <c r="E15" s="26" t="s">
        <v>2534</v>
      </c>
      <c r="F15" s="24" t="s">
        <v>2543</v>
      </c>
      <c r="G15" s="37" t="s">
        <v>2544</v>
      </c>
      <c r="H15" s="45"/>
      <c r="I15" s="45"/>
      <c r="K15" s="13"/>
    </row>
    <row r="16" spans="1:32" ht="20.100000000000001" customHeight="1" x14ac:dyDescent="0.25">
      <c r="A16" s="401" t="s">
        <v>2530</v>
      </c>
      <c r="B16" s="15">
        <f>E2</f>
        <v>102</v>
      </c>
      <c r="C16" s="728">
        <f>IFERROR(AVERAGEIFS('2025-Q2'!$K$4:$K$422,'2025-Q2'!$K$4:$K$422,"&gt;0",'2025-Q2'!$T$4:$T$422,"NA"),0)</f>
        <v>5.1080630313194597E-2</v>
      </c>
      <c r="D16" s="39">
        <f>E7</f>
        <v>98</v>
      </c>
      <c r="E16" s="736">
        <f>IFERROR(AVERAGEIFS('2025-Q2'!$K$4:$K$422,'2025-Q2'!$K$4:$K$422,"&lt;0",'2025-Q2'!$T$4:$T$422,"NA"),0)</f>
        <v>-4.7065913181416126E-2</v>
      </c>
      <c r="F16" s="740">
        <f>IFERROR(((C16/0.06)*B16)+((E16/0.06)*D16),0)</f>
        <v>9.9627466694511497</v>
      </c>
      <c r="G16" s="722">
        <f>-((E16/0.06)*D16)-((C16/0.06)*B16)</f>
        <v>-9.9627466694511497</v>
      </c>
      <c r="H16" s="45"/>
      <c r="I16" s="45"/>
    </row>
    <row r="17" spans="1:9" x14ac:dyDescent="0.25">
      <c r="A17" s="36" t="s">
        <v>2540</v>
      </c>
      <c r="B17" s="38">
        <f>IFERROR((B16/(B16+D16)),0)</f>
        <v>0.51</v>
      </c>
      <c r="C17" s="728"/>
      <c r="D17" s="33">
        <f>IF(AND(B16=0,D16=0),0,1-B17)</f>
        <v>0.49</v>
      </c>
      <c r="E17" s="736"/>
      <c r="F17" s="740"/>
      <c r="G17" s="722"/>
      <c r="H17" s="45"/>
      <c r="I17" s="45"/>
    </row>
    <row r="18" spans="1:9" x14ac:dyDescent="0.25">
      <c r="A18" s="703" t="s">
        <v>2809</v>
      </c>
      <c r="B18" s="704"/>
      <c r="C18" s="704"/>
      <c r="D18" s="704"/>
      <c r="E18" s="704"/>
      <c r="F18" s="704"/>
      <c r="G18" s="704"/>
      <c r="H18" s="704"/>
      <c r="I18" s="704"/>
    </row>
    <row r="19" spans="1:9" x14ac:dyDescent="0.25">
      <c r="A19" s="704"/>
      <c r="B19" s="704"/>
      <c r="C19" s="704"/>
      <c r="D19" s="704"/>
      <c r="E19" s="704"/>
      <c r="F19" s="704"/>
      <c r="G19" s="704"/>
      <c r="H19" s="704"/>
      <c r="I19" s="704"/>
    </row>
    <row r="20" spans="1:9" x14ac:dyDescent="0.25">
      <c r="A20" s="704"/>
      <c r="B20" s="704"/>
      <c r="C20" s="704"/>
      <c r="D20" s="704"/>
      <c r="E20" s="704"/>
      <c r="F20" s="704"/>
      <c r="G20" s="704"/>
      <c r="H20" s="704"/>
      <c r="I20" s="704"/>
    </row>
    <row r="21" spans="1:9" ht="36" x14ac:dyDescent="0.25">
      <c r="A21" s="283" t="s">
        <v>2612</v>
      </c>
      <c r="B21" s="24" t="s">
        <v>2522</v>
      </c>
      <c r="C21" s="24" t="s">
        <v>2536</v>
      </c>
      <c r="D21" s="24" t="s">
        <v>2537</v>
      </c>
      <c r="E21" s="24" t="s">
        <v>2524</v>
      </c>
      <c r="F21" s="24" t="s">
        <v>2541</v>
      </c>
      <c r="G21" s="45"/>
      <c r="H21" s="45"/>
      <c r="I21" s="45"/>
    </row>
    <row r="22" spans="1:9" ht="15" customHeight="1" x14ac:dyDescent="0.25">
      <c r="A22" s="28" t="s">
        <v>2521</v>
      </c>
      <c r="B22" s="14">
        <f>COUNTIFS('2025-Q2'!$K$4:$K$422,"&gt;0",'2025-Q2'!$E$4:$E$422,'Q1-STATS'!$A21)</f>
        <v>20</v>
      </c>
      <c r="C22" s="14">
        <f>SUMIFS('2025-Q2'!$BC$4:$BC$422,'2025-Q2'!$E$4:$E$422,'Q1-STATS'!$A21)</f>
        <v>0</v>
      </c>
      <c r="D22" s="14">
        <f>SUMIFS('2025-Q2'!$BD$4:$BD$422,'2025-Q2'!$E$4:$E$422,'Q1-STATS'!$A21)</f>
        <v>10</v>
      </c>
      <c r="E22" s="14">
        <f>SUMIFS('2025-Q2'!$BE$4:$BE$422,'2025-Q2'!$E$4:$E$422,'Q1-STATS'!$A21)</f>
        <v>10</v>
      </c>
      <c r="F22" s="710">
        <f>((C24/0.06)*C22)+((D29/0.06)*D27)</f>
        <v>-0.55950946427674975</v>
      </c>
      <c r="G22" s="45"/>
      <c r="H22" s="713" t="s">
        <v>2620</v>
      </c>
      <c r="I22" s="45"/>
    </row>
    <row r="23" spans="1:9" x14ac:dyDescent="0.25">
      <c r="A23" s="27" t="s">
        <v>2525</v>
      </c>
      <c r="B23" s="16" t="s">
        <v>2526</v>
      </c>
      <c r="C23" s="17">
        <f>IFERROR(C22/$B22,0)</f>
        <v>0</v>
      </c>
      <c r="D23" s="17">
        <f t="shared" ref="D23" si="4">IFERROR(D22/$B22,0)</f>
        <v>0.5</v>
      </c>
      <c r="E23" s="17">
        <f t="shared" ref="E23" si="5">IFERROR(E22/$B22,0)</f>
        <v>0.5</v>
      </c>
      <c r="F23" s="711"/>
      <c r="G23" s="45"/>
      <c r="H23" s="714"/>
      <c r="I23" s="45"/>
    </row>
    <row r="24" spans="1:9" x14ac:dyDescent="0.25">
      <c r="A24" s="27" t="s">
        <v>2535</v>
      </c>
      <c r="B24" s="20">
        <f>IFERROR(AVERAGEIFS('2025-Q2'!$K$4:$K$422,'2025-Q2'!$K$4:$K$422,"&gt;0",'2025-Q2'!$E$4:$E$422,'Q1-STATS'!$A21),0)</f>
        <v>3.1927346292928448E-2</v>
      </c>
      <c r="C24" s="20">
        <f>IFERROR(AVERAGEIFS('2025-Q2'!$K$4:$K$422,'2025-Q2'!$K$4:$K$422,"&gt;0",'2025-Q2'!$E$4:$E$422,'Q1-STATS'!$A21,'2025-Q2'!$T$4:$T$422,"Yes"),0)</f>
        <v>0</v>
      </c>
      <c r="D24" s="20">
        <f>IFERROR(AVERAGEIFS('2025-Q2'!$K$4:$K$422,'2025-Q2'!$K$4:$K$422,"&gt;0",'2025-Q2'!$E$4:$E$422,'Q1-STATS'!$A21,'2025-Q2'!$T$4:$T$422,"No"),0)</f>
        <v>3.6774504219971214E-2</v>
      </c>
      <c r="E24" s="20">
        <f>IFERROR(AVERAGEIFS('2025-Q2'!$K$4:$K$422,'2025-Q2'!$K$4:$K$422,"&gt;0",'2025-Q2'!$E$4:$E$422,'Q1-STATS'!$A21,'2025-Q2'!$T$4:$T$422,"NA"),0)</f>
        <v>2.7080188365885705E-2</v>
      </c>
      <c r="F24" s="712"/>
      <c r="G24" s="45"/>
      <c r="H24" s="715"/>
      <c r="I24" s="45"/>
    </row>
    <row r="25" spans="1:9" x14ac:dyDescent="0.25">
      <c r="A25" s="45"/>
      <c r="B25" s="45"/>
      <c r="C25" s="45"/>
      <c r="D25" s="45"/>
      <c r="E25" s="45"/>
      <c r="F25" s="45"/>
      <c r="G25" s="45"/>
      <c r="H25" s="710">
        <f>F22+F27+F36</f>
        <v>-3.1047193911041271</v>
      </c>
      <c r="I25" s="45"/>
    </row>
    <row r="26" spans="1:9" ht="36" x14ac:dyDescent="0.25">
      <c r="A26" s="48" t="s">
        <v>2612</v>
      </c>
      <c r="B26" s="23" t="s">
        <v>2522</v>
      </c>
      <c r="C26" s="23" t="s">
        <v>2538</v>
      </c>
      <c r="D26" s="23" t="s">
        <v>2537</v>
      </c>
      <c r="E26" s="23" t="s">
        <v>2524</v>
      </c>
      <c r="F26" s="23" t="s">
        <v>2542</v>
      </c>
      <c r="G26" s="45"/>
      <c r="H26" s="712"/>
      <c r="I26" s="45"/>
    </row>
    <row r="27" spans="1:9" x14ac:dyDescent="0.25">
      <c r="A27" s="29" t="s">
        <v>2527</v>
      </c>
      <c r="B27" s="30">
        <f>COUNTIFS('2025-Q2'!$K$4:$K$422,"&lt;0",'2025-Q2'!$E$4:$E$422,'Q1-STATS'!$A26)</f>
        <v>23</v>
      </c>
      <c r="C27" s="30">
        <f>SUMIFS('2025-Q2'!$BG$4:$BG$422,'2025-Q2'!$E$4:$E$422,'Q1-STATS'!$A26)</f>
        <v>8</v>
      </c>
      <c r="D27" s="30">
        <f>SUMIFS('2025-Q2'!$BH$4:$BH$422,'2025-Q2'!$E$4:$E$422,'Q1-STATS'!$A26)</f>
        <v>1</v>
      </c>
      <c r="E27" s="30">
        <f>SUMIFS('2025-Q2'!$BI$4:$BI$422,'2025-Q2'!$E$4:$E$422,'Q1-STATS'!$A26)</f>
        <v>14</v>
      </c>
      <c r="F27" s="710">
        <f>-((C29/0.06)*C27)-((D24/0.06)*D22)</f>
        <v>-0.2075063582059764</v>
      </c>
      <c r="G27" s="45"/>
      <c r="H27" s="45"/>
      <c r="I27" s="45"/>
    </row>
    <row r="28" spans="1:9" x14ac:dyDescent="0.25">
      <c r="A28" s="31" t="s">
        <v>2528</v>
      </c>
      <c r="B28" s="18" t="s">
        <v>2526</v>
      </c>
      <c r="C28" s="19">
        <f>IFERROR(C27/$B27,0)</f>
        <v>0.34782608695652173</v>
      </c>
      <c r="D28" s="19">
        <f t="shared" ref="D28" si="6">IFERROR(D27/$B27,0)</f>
        <v>4.3478260869565216E-2</v>
      </c>
      <c r="E28" s="19">
        <f t="shared" ref="E28" si="7">IFERROR(E27/$B27,0)</f>
        <v>0.60869565217391308</v>
      </c>
      <c r="F28" s="711"/>
      <c r="G28" s="45"/>
      <c r="H28" s="45"/>
      <c r="I28" s="45"/>
    </row>
    <row r="29" spans="1:9" x14ac:dyDescent="0.25">
      <c r="A29" s="31" t="s">
        <v>2535</v>
      </c>
      <c r="B29" s="21">
        <f>IFERROR(AVERAGEIFS('2025-Q2'!$K$4:$K$422,'2025-Q2'!$K$4:$K$422,"&lt;0",'2025-Q2'!$E$4:$E$422,'Q1-STATS'!$A26),0)</f>
        <v>-3.477953592783041E-2</v>
      </c>
      <c r="C29" s="21">
        <f>IFERROR(AVERAGEIFS('2025-Q2'!$K$4:$K$422,'2025-Q2'!$K$4:$K$422,"&lt;0",'2025-Q2'!$E$4:$E$422,'Q1-STATS'!$A26,'2025-Q2'!$T$4:$T$422,"Yes"),0)</f>
        <v>-4.4411832588419194E-2</v>
      </c>
      <c r="D29" s="21">
        <f>IFERROR(AVERAGEIFS('2025-Q2'!$K$4:$K$422,'2025-Q2'!$K$4:$K$422,"&lt;0",'2025-Q2'!$E$4:$E$422,'Q1-STATS'!$A26,'2025-Q2'!$T$4:$T$422,"No"),0)</f>
        <v>-3.3570567856604984E-2</v>
      </c>
      <c r="E29" s="21">
        <f>IFERROR(AVERAGEIFS('2025-Q2'!$K$4:$K$422,'2025-Q2'!$K$4:$K$422,"&lt;0",'2025-Q2'!$E$4:$E$422,'Q1-STATS'!$A26,'2025-Q2'!$T$4:$T$422,"NA"),0)</f>
        <v>-2.9361721269724365E-2</v>
      </c>
      <c r="F29" s="712"/>
      <c r="G29" s="45"/>
      <c r="H29" s="45"/>
      <c r="I29" s="45"/>
    </row>
    <row r="30" spans="1:9" x14ac:dyDescent="0.25">
      <c r="A30" s="45"/>
      <c r="B30" s="45"/>
      <c r="C30" s="45"/>
      <c r="D30" s="45"/>
      <c r="E30" s="45"/>
      <c r="F30" s="45"/>
      <c r="G30" s="45"/>
      <c r="H30" s="45"/>
      <c r="I30" s="45"/>
    </row>
    <row r="31" spans="1:9" ht="24.75" x14ac:dyDescent="0.25">
      <c r="A31" s="49" t="s">
        <v>2612</v>
      </c>
      <c r="B31" s="25" t="s">
        <v>2531</v>
      </c>
      <c r="C31" s="25" t="s">
        <v>2532</v>
      </c>
      <c r="D31" s="26" t="s">
        <v>2533</v>
      </c>
      <c r="E31" s="26" t="s">
        <v>2534</v>
      </c>
      <c r="F31" s="24" t="s">
        <v>2545</v>
      </c>
      <c r="G31" s="45"/>
      <c r="H31" s="45"/>
      <c r="I31" s="45"/>
    </row>
    <row r="32" spans="1:9" x14ac:dyDescent="0.25">
      <c r="A32" s="32" t="s">
        <v>2539</v>
      </c>
      <c r="B32" s="15">
        <f>B22</f>
        <v>20</v>
      </c>
      <c r="C32" s="716">
        <f>B24</f>
        <v>3.1927346292928448E-2</v>
      </c>
      <c r="D32" s="282">
        <f>B27</f>
        <v>23</v>
      </c>
      <c r="E32" s="718">
        <f>B29</f>
        <v>-3.477953592783041E-2</v>
      </c>
      <c r="F32" s="710">
        <f>((C32/0.06)*B32)+((E32/0.06)*D32)</f>
        <v>-2.6897066746921769</v>
      </c>
      <c r="G32" s="45"/>
      <c r="H32" s="45"/>
      <c r="I32" s="45"/>
    </row>
    <row r="33" spans="1:9" x14ac:dyDescent="0.25">
      <c r="A33" s="36" t="s">
        <v>2540</v>
      </c>
      <c r="B33" s="17">
        <f>IFERROR(B32/(B32+D32),0)</f>
        <v>0.46511627906976744</v>
      </c>
      <c r="C33" s="717"/>
      <c r="D33" s="33">
        <f>1-B33</f>
        <v>0.53488372093023262</v>
      </c>
      <c r="E33" s="719"/>
      <c r="F33" s="712"/>
      <c r="G33" s="45"/>
      <c r="H33" s="45"/>
      <c r="I33" s="45"/>
    </row>
    <row r="34" spans="1:9" x14ac:dyDescent="0.25">
      <c r="A34" s="45"/>
      <c r="B34" s="45"/>
      <c r="C34" s="45"/>
      <c r="D34" s="45"/>
      <c r="E34" s="45"/>
      <c r="F34" s="45"/>
      <c r="G34" s="45"/>
      <c r="H34" s="45"/>
      <c r="I34" s="45"/>
    </row>
    <row r="35" spans="1:9" ht="38.25" x14ac:dyDescent="0.25">
      <c r="A35" s="49" t="s">
        <v>2612</v>
      </c>
      <c r="B35" s="25" t="s">
        <v>2531</v>
      </c>
      <c r="C35" s="25" t="s">
        <v>2532</v>
      </c>
      <c r="D35" s="26" t="s">
        <v>2533</v>
      </c>
      <c r="E35" s="26" t="s">
        <v>2534</v>
      </c>
      <c r="F35" s="24" t="s">
        <v>2543</v>
      </c>
      <c r="G35" s="37" t="s">
        <v>2544</v>
      </c>
      <c r="H35" s="45"/>
      <c r="I35" s="45"/>
    </row>
    <row r="36" spans="1:9" x14ac:dyDescent="0.25">
      <c r="A36" s="401" t="s">
        <v>2530</v>
      </c>
      <c r="B36" s="15">
        <f>E22</f>
        <v>10</v>
      </c>
      <c r="C36" s="720">
        <f>IFERROR(AVERAGEIFS('2025-Q2'!$K$4:$K$422,'2025-Q2'!$K$4:$K$422,"&gt;0",'2025-Q2'!$T$4:$T$422,"NA",'2025-Q2'!$E$4:$E$422,'Q1-STATS'!$A21),0)</f>
        <v>2.7080188365885705E-2</v>
      </c>
      <c r="D36" s="39">
        <f>E27</f>
        <v>14</v>
      </c>
      <c r="E36" s="718">
        <f>IFERROR(AVERAGEIFS('2025-Q2'!$K$4:$K$422,'2025-Q2'!$K$4:$K$422,"&lt;0",'2025-Q2'!$T$4:$T$422,"NA",'2025-Q2'!$E$4:$E$422,'Q1-STATS'!$A21),0)</f>
        <v>-2.9361721269724365E-2</v>
      </c>
      <c r="F36" s="722">
        <f>((C36/0.06)*B36)+((E36/0.06)*D36)</f>
        <v>-2.3377035686214009</v>
      </c>
      <c r="G36" s="722">
        <f>-((E36/0.06)*D36)-((C36/0.06)*B36)</f>
        <v>2.3377035686214009</v>
      </c>
      <c r="H36" s="45"/>
      <c r="I36" s="45"/>
    </row>
    <row r="37" spans="1:9" x14ac:dyDescent="0.25">
      <c r="A37" s="36" t="s">
        <v>2540</v>
      </c>
      <c r="B37" s="281">
        <f>IFERROR((B36/(B36+D36)),0)</f>
        <v>0.41666666666666669</v>
      </c>
      <c r="C37" s="720"/>
      <c r="D37" s="33">
        <f>IF(AND(B36=0,D36=0),0,1-B37)</f>
        <v>0.58333333333333326</v>
      </c>
      <c r="E37" s="719"/>
      <c r="F37" s="722"/>
      <c r="G37" s="722"/>
      <c r="H37" s="45"/>
      <c r="I37" s="45"/>
    </row>
    <row r="38" spans="1:9" x14ac:dyDescent="0.25">
      <c r="A38" s="703" t="s">
        <v>2810</v>
      </c>
      <c r="B38" s="704"/>
      <c r="C38" s="704"/>
      <c r="D38" s="704"/>
      <c r="E38" s="704"/>
      <c r="F38" s="704"/>
      <c r="G38" s="704"/>
      <c r="H38" s="704"/>
      <c r="I38" s="704"/>
    </row>
    <row r="39" spans="1:9" x14ac:dyDescent="0.25">
      <c r="A39" s="704"/>
      <c r="B39" s="704"/>
      <c r="C39" s="704"/>
      <c r="D39" s="704"/>
      <c r="E39" s="704"/>
      <c r="F39" s="704"/>
      <c r="G39" s="704"/>
      <c r="H39" s="704"/>
      <c r="I39" s="704"/>
    </row>
    <row r="40" spans="1:9" x14ac:dyDescent="0.25">
      <c r="A40" s="704"/>
      <c r="B40" s="704"/>
      <c r="C40" s="704"/>
      <c r="D40" s="704"/>
      <c r="E40" s="704"/>
      <c r="F40" s="704"/>
      <c r="G40" s="704"/>
      <c r="H40" s="704"/>
      <c r="I40" s="704"/>
    </row>
    <row r="41" spans="1:9" ht="36" x14ac:dyDescent="0.25">
      <c r="A41" s="283" t="s">
        <v>2615</v>
      </c>
      <c r="B41" s="24" t="s">
        <v>2522</v>
      </c>
      <c r="C41" s="24" t="s">
        <v>2536</v>
      </c>
      <c r="D41" s="24" t="s">
        <v>2537</v>
      </c>
      <c r="E41" s="24" t="s">
        <v>2524</v>
      </c>
      <c r="F41" s="24" t="s">
        <v>2541</v>
      </c>
      <c r="G41" s="45"/>
      <c r="H41" s="45"/>
      <c r="I41" s="45"/>
    </row>
    <row r="42" spans="1:9" x14ac:dyDescent="0.25">
      <c r="A42" s="28" t="s">
        <v>2521</v>
      </c>
      <c r="B42" s="14">
        <f>COUNTIFS('2025-Q2'!$K$4:$K$422,"&gt;0",'2025-Q2'!$E$4:$E$422,'Q1-STATS'!$A41)</f>
        <v>14</v>
      </c>
      <c r="C42" s="14">
        <f>SUMIFS('2025-Q2'!$BC$4:$BC$422,'2025-Q2'!$E$4:$E$422,'Q1-STATS'!$A41)</f>
        <v>5</v>
      </c>
      <c r="D42" s="14">
        <f>SUMIFS('2025-Q2'!$BD$4:$BD$422,'2025-Q2'!$E$4:$E$422,'Q1-STATS'!$A41)</f>
        <v>5</v>
      </c>
      <c r="E42" s="14">
        <f>SUMIFS('2025-Q2'!$BE$4:$BE$422,'2025-Q2'!$E$4:$E$422,'Q1-STATS'!$A41)</f>
        <v>4</v>
      </c>
      <c r="F42" s="710">
        <f>((C44/0.06)*C42)+((D49/0.06)*D47)</f>
        <v>2.1903002454447988</v>
      </c>
      <c r="G42" s="45"/>
      <c r="H42" s="713" t="s">
        <v>2620</v>
      </c>
      <c r="I42" s="45"/>
    </row>
    <row r="43" spans="1:9" x14ac:dyDescent="0.25">
      <c r="A43" s="27" t="s">
        <v>2525</v>
      </c>
      <c r="B43" s="16" t="s">
        <v>2526</v>
      </c>
      <c r="C43" s="17">
        <f>IFERROR(C42/$B42,0)</f>
        <v>0.35714285714285715</v>
      </c>
      <c r="D43" s="17">
        <f t="shared" ref="D43" si="8">IFERROR(D42/$B42,0)</f>
        <v>0.35714285714285715</v>
      </c>
      <c r="E43" s="17">
        <f t="shared" ref="E43" si="9">IFERROR(E42/$B42,0)</f>
        <v>0.2857142857142857</v>
      </c>
      <c r="F43" s="711"/>
      <c r="G43" s="45"/>
      <c r="H43" s="714"/>
      <c r="I43" s="45"/>
    </row>
    <row r="44" spans="1:9" x14ac:dyDescent="0.25">
      <c r="A44" s="27" t="s">
        <v>2535</v>
      </c>
      <c r="B44" s="20">
        <f>IFERROR(AVERAGEIFS('2025-Q2'!$K$4:$K$422,'2025-Q2'!$K$4:$K$422,"&gt;0",'2025-Q2'!$E$4:$E$422,'Q1-STATS'!$A41),0)</f>
        <v>5.2444382678876265E-2</v>
      </c>
      <c r="C44" s="20">
        <f>IFERROR(AVERAGEIFS('2025-Q2'!$K$4:$K$422,'2025-Q2'!$K$4:$K$422,"&gt;0",'2025-Q2'!$E$4:$E$422,'Q1-STATS'!$A41,'2025-Q2'!$T$4:$T$422,"Yes"),0)</f>
        <v>4.3633537034736714E-2</v>
      </c>
      <c r="D44" s="20">
        <f>IFERROR(AVERAGEIFS('2025-Q2'!$K$4:$K$422,'2025-Q2'!$K$4:$K$422,"&gt;0",'2025-Q2'!$E$4:$E$422,'Q1-STATS'!$A41,'2025-Q2'!$T$4:$T$422,"No"),0)</f>
        <v>2.3394161654826513E-2</v>
      </c>
      <c r="E44" s="20">
        <f>IFERROR(AVERAGEIFS('2025-Q2'!$K$4:$K$422,'2025-Q2'!$K$4:$K$422,"&gt;0",'2025-Q2'!$E$4:$E$422,'Q1-STATS'!$A41,'2025-Q2'!$T$4:$T$422,"NA"),0)</f>
        <v>9.9770716014112901E-2</v>
      </c>
      <c r="F44" s="712"/>
      <c r="G44" s="45"/>
      <c r="H44" s="715"/>
      <c r="I44" s="45"/>
    </row>
    <row r="45" spans="1:9" x14ac:dyDescent="0.25">
      <c r="A45" s="45"/>
      <c r="B45" s="45"/>
      <c r="C45" s="45"/>
      <c r="D45" s="45"/>
      <c r="E45" s="45"/>
      <c r="F45" s="45"/>
      <c r="G45" s="45"/>
      <c r="H45" s="710">
        <f>F42+F47+F56</f>
        <v>6.7869588732263164</v>
      </c>
      <c r="I45" s="45"/>
    </row>
    <row r="46" spans="1:9" ht="36" x14ac:dyDescent="0.25">
      <c r="A46" s="26" t="str">
        <f>A41</f>
        <v>XLP</v>
      </c>
      <c r="B46" s="23" t="s">
        <v>2522</v>
      </c>
      <c r="C46" s="23" t="s">
        <v>2538</v>
      </c>
      <c r="D46" s="23" t="s">
        <v>2537</v>
      </c>
      <c r="E46" s="23" t="s">
        <v>2524</v>
      </c>
      <c r="F46" s="23" t="s">
        <v>2542</v>
      </c>
      <c r="G46" s="45"/>
      <c r="H46" s="712"/>
      <c r="I46" s="45"/>
    </row>
    <row r="47" spans="1:9" x14ac:dyDescent="0.25">
      <c r="A47" s="29" t="s">
        <v>2527</v>
      </c>
      <c r="B47" s="30">
        <f>COUNTIFS('2025-Q2'!$K$4:$K$422,"&lt;0",'2025-Q2'!$E$4:$E$422,'Q1-STATS'!$A46)</f>
        <v>22</v>
      </c>
      <c r="C47" s="30">
        <f>SUMIFS('2025-Q2'!$BG$4:$BG$422,'2025-Q2'!$E$4:$E$422,'Q1-STATS'!$A46)</f>
        <v>10</v>
      </c>
      <c r="D47" s="30">
        <f>SUMIFS('2025-Q2'!$BH$4:$BH$422,'2025-Q2'!$E$4:$E$422,'Q1-STATS'!$A46)</f>
        <v>3</v>
      </c>
      <c r="E47" s="30">
        <f>SUMIFS('2025-Q2'!$BI$4:$BI$422,'2025-Q2'!$E$4:$E$422,'Q1-STATS'!$A46)</f>
        <v>9</v>
      </c>
      <c r="F47" s="710">
        <f>-((C49/0.06)*C47)-((D44/0.06)*D42)</f>
        <v>3.4483799444276579</v>
      </c>
      <c r="G47" s="45"/>
      <c r="H47" s="45"/>
      <c r="I47" s="45"/>
    </row>
    <row r="48" spans="1:9" x14ac:dyDescent="0.25">
      <c r="A48" s="31" t="s">
        <v>2528</v>
      </c>
      <c r="B48" s="18" t="s">
        <v>2526</v>
      </c>
      <c r="C48" s="19">
        <f>IFERROR(C47/$B47,0)</f>
        <v>0.45454545454545453</v>
      </c>
      <c r="D48" s="19">
        <f t="shared" ref="D48:E48" si="10">IFERROR(D47/$B47,0)</f>
        <v>0.13636363636363635</v>
      </c>
      <c r="E48" s="19">
        <f t="shared" si="10"/>
        <v>0.40909090909090912</v>
      </c>
      <c r="F48" s="711"/>
      <c r="G48" s="45"/>
      <c r="H48" s="45"/>
      <c r="I48" s="45"/>
    </row>
    <row r="49" spans="1:9" x14ac:dyDescent="0.25">
      <c r="A49" s="31" t="s">
        <v>2535</v>
      </c>
      <c r="B49" s="21">
        <f>IFERROR(AVERAGEIFS('2025-Q2'!$K$4:$K$422,'2025-Q2'!$K$4:$K$422,"&lt;0",'2025-Q2'!$E$4:$E$422,'Q1-STATS'!$A46),0)</f>
        <v>-3.3673155383727622E-2</v>
      </c>
      <c r="C49" s="21">
        <f>IFERROR(AVERAGEIFS('2025-Q2'!$K$4:$K$422,'2025-Q2'!$K$4:$K$422,"&lt;0",'2025-Q2'!$E$4:$E$422,'Q1-STATS'!$A46,'2025-Q2'!$T$4:$T$422,"Yes"),0)</f>
        <v>-3.2387360493979202E-2</v>
      </c>
      <c r="D49" s="21">
        <f>IFERROR(AVERAGEIFS('2025-Q2'!$K$4:$K$422,'2025-Q2'!$K$4:$K$422,"&lt;0",'2025-Q2'!$E$4:$E$422,'Q1-STATS'!$A46,'2025-Q2'!$T$4:$T$422,"No"),0)</f>
        <v>-2.8916556815665215E-2</v>
      </c>
      <c r="E49" s="21">
        <f>IFERROR(AVERAGEIFS('2025-Q2'!$K$4:$K$422,'2025-Q2'!$K$4:$K$422,"&lt;0",'2025-Q2'!$E$4:$E$422,'Q1-STATS'!$A46,'2025-Q2'!$T$4:$T$422,"NA"),0)</f>
        <v>-3.6687349228357778E-2</v>
      </c>
      <c r="F49" s="712"/>
      <c r="G49" s="45"/>
      <c r="H49" s="45"/>
      <c r="I49" s="45"/>
    </row>
    <row r="50" spans="1:9" x14ac:dyDescent="0.25">
      <c r="A50" s="45"/>
      <c r="B50" s="45"/>
      <c r="C50" s="45"/>
      <c r="D50" s="45"/>
      <c r="E50" s="45"/>
      <c r="F50" s="45"/>
      <c r="G50" s="45"/>
      <c r="H50" s="45"/>
      <c r="I50" s="45"/>
    </row>
    <row r="51" spans="1:9" ht="24.75" x14ac:dyDescent="0.25">
      <c r="A51" s="280" t="str">
        <f>A41</f>
        <v>XLP</v>
      </c>
      <c r="B51" s="25" t="s">
        <v>2531</v>
      </c>
      <c r="C51" s="25" t="s">
        <v>2532</v>
      </c>
      <c r="D51" s="26" t="s">
        <v>2533</v>
      </c>
      <c r="E51" s="26" t="s">
        <v>2534</v>
      </c>
      <c r="F51" s="24" t="s">
        <v>2545</v>
      </c>
      <c r="G51" s="45"/>
      <c r="H51" s="45"/>
      <c r="I51" s="45"/>
    </row>
    <row r="52" spans="1:9" x14ac:dyDescent="0.25">
      <c r="A52" s="32" t="s">
        <v>2539</v>
      </c>
      <c r="B52" s="15">
        <f>B42</f>
        <v>14</v>
      </c>
      <c r="C52" s="716">
        <f>B44</f>
        <v>5.2444382678876265E-2</v>
      </c>
      <c r="D52" s="282">
        <f>B47</f>
        <v>22</v>
      </c>
      <c r="E52" s="718">
        <f>B49</f>
        <v>-3.3673155383727622E-2</v>
      </c>
      <c r="F52" s="710">
        <f>((C52/0.06)*B52)+((E52/0.06)*D52)</f>
        <v>-0.10980101562900124</v>
      </c>
      <c r="G52" s="45"/>
      <c r="H52" s="45"/>
      <c r="I52" s="45"/>
    </row>
    <row r="53" spans="1:9" x14ac:dyDescent="0.25">
      <c r="A53" s="36" t="s">
        <v>2540</v>
      </c>
      <c r="B53" s="17">
        <f>IFERROR(B52/(B52+D52),0)</f>
        <v>0.3888888888888889</v>
      </c>
      <c r="C53" s="717"/>
      <c r="D53" s="33">
        <f>IF(AND(B52=0,D52=0),0,1-B53)</f>
        <v>0.61111111111111116</v>
      </c>
      <c r="E53" s="719"/>
      <c r="F53" s="712"/>
      <c r="G53" s="45"/>
      <c r="H53" s="45"/>
      <c r="I53" s="45"/>
    </row>
    <row r="54" spans="1:9" x14ac:dyDescent="0.25">
      <c r="A54" s="45"/>
      <c r="B54" s="45"/>
      <c r="C54" s="45"/>
      <c r="D54" s="45"/>
      <c r="E54" s="45"/>
      <c r="F54" s="45"/>
      <c r="G54" s="45"/>
      <c r="H54" s="45"/>
      <c r="I54" s="45"/>
    </row>
    <row r="55" spans="1:9" ht="38.25" x14ac:dyDescent="0.25">
      <c r="A55" s="280" t="str">
        <f>A41</f>
        <v>XLP</v>
      </c>
      <c r="B55" s="25" t="s">
        <v>2531</v>
      </c>
      <c r="C55" s="25" t="s">
        <v>2532</v>
      </c>
      <c r="D55" s="26" t="s">
        <v>2533</v>
      </c>
      <c r="E55" s="26" t="s">
        <v>2534</v>
      </c>
      <c r="F55" s="24" t="s">
        <v>2543</v>
      </c>
      <c r="G55" s="37" t="s">
        <v>2544</v>
      </c>
      <c r="H55" s="45"/>
      <c r="I55" s="45"/>
    </row>
    <row r="56" spans="1:9" x14ac:dyDescent="0.25">
      <c r="A56" s="401" t="s">
        <v>2530</v>
      </c>
      <c r="B56" s="15">
        <f>E42</f>
        <v>4</v>
      </c>
      <c r="C56" s="720">
        <f>IFERROR(AVERAGEIFS('2025-Q2'!$K$4:$K$422,'2025-Q2'!$K$4:$K$422,"&gt;0",'2025-Q2'!$T$4:$T$422,"NA",'2025-Q2'!$E$4:$E$422,'Q1-STATS'!$A41),0)</f>
        <v>9.9770716014112901E-2</v>
      </c>
      <c r="D56" s="39">
        <f>E47</f>
        <v>9</v>
      </c>
      <c r="E56" s="718">
        <f>IFERROR(AVERAGEIFS('2025-Q2'!$K$4:$K$422,'2025-Q2'!$K$4:$K$422,"&lt;0",'2025-Q2'!$T$4:$T$422,"NA",'2025-Q2'!$E$4:$E$422,'Q1-STATS'!$A41),0)</f>
        <v>-3.6687349228357778E-2</v>
      </c>
      <c r="F56" s="721">
        <f>IFERROR(((C56/0.06)*B56)+((E56/0.06)*D56),0)</f>
        <v>1.1482786833538601</v>
      </c>
      <c r="G56" s="722">
        <f>-((E56/0.06)*D56)-((C56/0.06)*B56)</f>
        <v>-1.1482786833538601</v>
      </c>
      <c r="H56" s="45"/>
      <c r="I56" s="45"/>
    </row>
    <row r="57" spans="1:9" x14ac:dyDescent="0.25">
      <c r="A57" s="36" t="s">
        <v>2540</v>
      </c>
      <c r="B57" s="281">
        <f>IFERROR((B56/(B56+D56)),0)</f>
        <v>0.30769230769230771</v>
      </c>
      <c r="C57" s="720"/>
      <c r="D57" s="33">
        <f>IF(AND(B56=0,D56=0),0,1-B57)</f>
        <v>0.69230769230769229</v>
      </c>
      <c r="E57" s="719"/>
      <c r="F57" s="721"/>
      <c r="G57" s="722"/>
      <c r="H57" s="45"/>
      <c r="I57" s="45"/>
    </row>
    <row r="58" spans="1:9" x14ac:dyDescent="0.25">
      <c r="A58" s="703" t="s">
        <v>2811</v>
      </c>
      <c r="B58" s="704"/>
      <c r="C58" s="704"/>
      <c r="D58" s="704"/>
      <c r="E58" s="704"/>
      <c r="F58" s="704"/>
      <c r="G58" s="704"/>
      <c r="H58" s="704"/>
      <c r="I58" s="704"/>
    </row>
    <row r="59" spans="1:9" x14ac:dyDescent="0.25">
      <c r="A59" s="704"/>
      <c r="B59" s="704"/>
      <c r="C59" s="704"/>
      <c r="D59" s="704"/>
      <c r="E59" s="704"/>
      <c r="F59" s="704"/>
      <c r="G59" s="704"/>
      <c r="H59" s="704"/>
      <c r="I59" s="704"/>
    </row>
    <row r="60" spans="1:9" x14ac:dyDescent="0.25">
      <c r="A60" s="704"/>
      <c r="B60" s="704"/>
      <c r="C60" s="704"/>
      <c r="D60" s="704"/>
      <c r="E60" s="704"/>
      <c r="F60" s="704"/>
      <c r="G60" s="704"/>
      <c r="H60" s="704"/>
      <c r="I60" s="704"/>
    </row>
    <row r="61" spans="1:9" ht="36" x14ac:dyDescent="0.25">
      <c r="A61" s="283" t="s">
        <v>2614</v>
      </c>
      <c r="B61" s="24" t="s">
        <v>2522</v>
      </c>
      <c r="C61" s="24" t="s">
        <v>2536</v>
      </c>
      <c r="D61" s="24" t="s">
        <v>2537</v>
      </c>
      <c r="E61" s="24" t="s">
        <v>2524</v>
      </c>
      <c r="F61" s="24" t="s">
        <v>2541</v>
      </c>
      <c r="G61" s="45"/>
      <c r="H61" s="45"/>
      <c r="I61" s="45"/>
    </row>
    <row r="62" spans="1:9" x14ac:dyDescent="0.25">
      <c r="A62" s="28" t="s">
        <v>2521</v>
      </c>
      <c r="B62" s="14">
        <f>COUNTIFS('2025-Q2'!$K$4:$K$422,"&gt;0",'2025-Q2'!$E$4:$E$422,'Q1-STATS'!$A61)</f>
        <v>13</v>
      </c>
      <c r="C62" s="14">
        <f>SUMIFS('2025-Q2'!$BC$4:$BC$422,'2025-Q2'!$E$4:$E$422,'Q1-STATS'!$A61)</f>
        <v>1</v>
      </c>
      <c r="D62" s="14">
        <f>SUMIFS('2025-Q2'!$BD$4:$BD$422,'2025-Q2'!$E$4:$E$422,'Q1-STATS'!$A61)</f>
        <v>3</v>
      </c>
      <c r="E62" s="14">
        <f>SUMIFS('2025-Q2'!$BE$4:$BE$422,'2025-Q2'!$E$4:$E$422,'Q1-STATS'!$A61)</f>
        <v>9</v>
      </c>
      <c r="F62" s="710">
        <f>((C64/0.06)*C62)+((D69/0.06)*D67)</f>
        <v>0.40279467610515107</v>
      </c>
      <c r="G62" s="45"/>
      <c r="H62" s="713" t="s">
        <v>2620</v>
      </c>
      <c r="I62" s="45"/>
    </row>
    <row r="63" spans="1:9" x14ac:dyDescent="0.25">
      <c r="A63" s="27" t="s">
        <v>2525</v>
      </c>
      <c r="B63" s="16" t="s">
        <v>2526</v>
      </c>
      <c r="C63" s="17">
        <f>IFERROR(C62/$B62,0)</f>
        <v>7.6923076923076927E-2</v>
      </c>
      <c r="D63" s="17">
        <f t="shared" ref="D63" si="11">IFERROR(D62/$B62,0)</f>
        <v>0.23076923076923078</v>
      </c>
      <c r="E63" s="17">
        <f t="shared" ref="E63" si="12">IFERROR(E62/$B62,0)</f>
        <v>0.69230769230769229</v>
      </c>
      <c r="F63" s="711"/>
      <c r="G63" s="45"/>
      <c r="H63" s="714"/>
      <c r="I63" s="45"/>
    </row>
    <row r="64" spans="1:9" x14ac:dyDescent="0.25">
      <c r="A64" s="27" t="s">
        <v>2535</v>
      </c>
      <c r="B64" s="20">
        <f>IFERROR(AVERAGEIFS('2025-Q2'!$K$4:$K$422,'2025-Q2'!$K$4:$K$422,"&gt;0",'2025-Q2'!$E$4:$E$422,'Q1-STATS'!$A61),0)</f>
        <v>6.0472459406191656E-2</v>
      </c>
      <c r="C64" s="20">
        <f>IFERROR(AVERAGEIFS('2025-Q2'!$K$4:$K$422,'2025-Q2'!$K$4:$K$422,"&gt;0",'2025-Q2'!$E$4:$E$422,'Q1-STATS'!$A61,'2025-Q2'!$T$4:$T$422,"Yes"),0)</f>
        <v>2.4167680566309063E-2</v>
      </c>
      <c r="D64" s="20">
        <f>IFERROR(AVERAGEIFS('2025-Q2'!$K$4:$K$422,'2025-Q2'!$K$4:$K$422,"&gt;0",'2025-Q2'!$E$4:$E$422,'Q1-STATS'!$A61,'2025-Q2'!$T$4:$T$422,"No"),0)</f>
        <v>7.6722751887291843E-2</v>
      </c>
      <c r="E64" s="20">
        <f>IFERROR(AVERAGEIFS('2025-Q2'!$K$4:$K$422,'2025-Q2'!$K$4:$K$422,"&gt;0",'2025-Q2'!$E$4:$E$422,'Q1-STATS'!$A61,'2025-Q2'!$T$4:$T$422,"NA"),0)</f>
        <v>5.9089559561367445E-2</v>
      </c>
      <c r="F64" s="712"/>
      <c r="G64" s="45"/>
      <c r="H64" s="715"/>
      <c r="I64" s="45"/>
    </row>
    <row r="65" spans="1:9" x14ac:dyDescent="0.25">
      <c r="A65" s="45"/>
      <c r="B65" s="45"/>
      <c r="C65" s="45"/>
      <c r="D65" s="45"/>
      <c r="E65" s="45"/>
      <c r="F65" s="45"/>
      <c r="G65" s="45"/>
      <c r="H65" s="710">
        <f>F62+F67+F76</f>
        <v>1.6509804841909625</v>
      </c>
      <c r="I65" s="45"/>
    </row>
    <row r="66" spans="1:9" ht="36" x14ac:dyDescent="0.25">
      <c r="A66" s="26" t="str">
        <f>A61</f>
        <v>XLK</v>
      </c>
      <c r="B66" s="23" t="s">
        <v>2522</v>
      </c>
      <c r="C66" s="23" t="s">
        <v>2538</v>
      </c>
      <c r="D66" s="23" t="s">
        <v>2537</v>
      </c>
      <c r="E66" s="23" t="s">
        <v>2524</v>
      </c>
      <c r="F66" s="23" t="s">
        <v>2542</v>
      </c>
      <c r="G66" s="45"/>
      <c r="H66" s="712"/>
      <c r="I66" s="45"/>
    </row>
    <row r="67" spans="1:9" x14ac:dyDescent="0.25">
      <c r="A67" s="29" t="s">
        <v>2527</v>
      </c>
      <c r="B67" s="30">
        <f>COUNTIFS('2025-Q2'!$K$4:$K$422,"&lt;0",'2025-Q2'!$E$4:$E$422,'Q1-STATS'!$A66)</f>
        <v>17</v>
      </c>
      <c r="C67" s="30">
        <f>SUMIFS('2025-Q2'!$BG$4:$BG$422,'2025-Q2'!$E$4:$E$422,'Q1-STATS'!$A66)</f>
        <v>7</v>
      </c>
      <c r="D67" s="30">
        <f>SUMIFS('2025-Q2'!$BH$4:$BH$422,'2025-Q2'!$E$4:$E$422,'Q1-STATS'!$A66)</f>
        <v>0</v>
      </c>
      <c r="E67" s="30">
        <f>SUMIFS('2025-Q2'!$BI$4:$BI$422,'2025-Q2'!$E$4:$E$422,'Q1-STATS'!$A66)</f>
        <v>10</v>
      </c>
      <c r="F67" s="710">
        <f>-((C69/0.06)*C67)-((D64/0.06)*D62)</f>
        <v>2.0825010564889195</v>
      </c>
      <c r="G67" s="45"/>
      <c r="H67" s="45"/>
      <c r="I67" s="45"/>
    </row>
    <row r="68" spans="1:9" x14ac:dyDescent="0.25">
      <c r="A68" s="31" t="s">
        <v>2528</v>
      </c>
      <c r="B68" s="18" t="s">
        <v>2526</v>
      </c>
      <c r="C68" s="19">
        <f>IFERROR(C67/$B67,0)</f>
        <v>0.41176470588235292</v>
      </c>
      <c r="D68" s="19">
        <f t="shared" ref="D68" si="13">IFERROR(D67/$B67,0)</f>
        <v>0</v>
      </c>
      <c r="E68" s="19">
        <f t="shared" ref="E68" si="14">IFERROR(E67/$B67,0)</f>
        <v>0.58823529411764708</v>
      </c>
      <c r="F68" s="711"/>
      <c r="G68" s="45"/>
      <c r="H68" s="45"/>
      <c r="I68" s="45"/>
    </row>
    <row r="69" spans="1:9" x14ac:dyDescent="0.25">
      <c r="A69" s="31" t="s">
        <v>2535</v>
      </c>
      <c r="B69" s="21">
        <f>IFERROR(AVERAGEIFS('2025-Q2'!$K$4:$K$422,'2025-Q2'!$K$4:$K$422,"&lt;0",'2025-Q2'!$E$4:$E$422,'Q1-STATS'!$A66),0)</f>
        <v>-5.5116662941629653E-2</v>
      </c>
      <c r="C69" s="21">
        <f>IFERROR(AVERAGEIFS('2025-Q2'!$K$4:$K$422,'2025-Q2'!$K$4:$K$422,"&lt;0",'2025-Q2'!$E$4:$E$422,'Q1-STATS'!$A66,'2025-Q2'!$T$4:$T$422,"Yes"),0)</f>
        <v>-5.0731188435887246E-2</v>
      </c>
      <c r="D69" s="21">
        <f>IFERROR(AVERAGEIFS('2025-Q2'!$K$4:$K$422,'2025-Q2'!$K$4:$K$422,"&lt;0",'2025-Q2'!$E$4:$E$422,'Q1-STATS'!$A66,'2025-Q2'!$T$4:$T$422,"No"),0)</f>
        <v>0</v>
      </c>
      <c r="E69" s="21">
        <f>IFERROR(AVERAGEIFS('2025-Q2'!$K$4:$K$422,'2025-Q2'!$K$4:$K$422,"&lt;0",'2025-Q2'!$E$4:$E$422,'Q1-STATS'!$A66,'2025-Q2'!$T$4:$T$422,"NA"),0)</f>
        <v>-5.8186495095649347E-2</v>
      </c>
      <c r="F69" s="712"/>
      <c r="G69" s="45"/>
      <c r="H69" s="45"/>
      <c r="I69" s="45"/>
    </row>
    <row r="70" spans="1:9" x14ac:dyDescent="0.25">
      <c r="A70" s="45"/>
      <c r="B70" s="45"/>
      <c r="C70" s="45"/>
      <c r="D70" s="45"/>
      <c r="E70" s="45"/>
      <c r="F70" s="45"/>
      <c r="G70" s="45"/>
      <c r="H70" s="45"/>
      <c r="I70" s="45"/>
    </row>
    <row r="71" spans="1:9" ht="24.75" x14ac:dyDescent="0.25">
      <c r="A71" s="280" t="str">
        <f>A61</f>
        <v>XLK</v>
      </c>
      <c r="B71" s="25" t="s">
        <v>2531</v>
      </c>
      <c r="C71" s="25" t="s">
        <v>2532</v>
      </c>
      <c r="D71" s="26" t="s">
        <v>2533</v>
      </c>
      <c r="E71" s="26" t="s">
        <v>2534</v>
      </c>
      <c r="F71" s="24" t="s">
        <v>2545</v>
      </c>
      <c r="G71" s="45"/>
      <c r="H71" s="45"/>
      <c r="I71" s="45"/>
    </row>
    <row r="72" spans="1:9" x14ac:dyDescent="0.25">
      <c r="A72" s="32" t="s">
        <v>2539</v>
      </c>
      <c r="B72" s="15">
        <f>B62</f>
        <v>13</v>
      </c>
      <c r="C72" s="716">
        <f>B64</f>
        <v>6.0472459406191656E-2</v>
      </c>
      <c r="D72" s="282">
        <f>B67</f>
        <v>17</v>
      </c>
      <c r="E72" s="718">
        <f>B69</f>
        <v>-5.5116662941629653E-2</v>
      </c>
      <c r="F72" s="710">
        <f>((C72/0.06)*B72)+((E72/0.06)*D72)</f>
        <v>-2.5140216287868764</v>
      </c>
      <c r="G72" s="45"/>
      <c r="H72" s="45"/>
      <c r="I72" s="45"/>
    </row>
    <row r="73" spans="1:9" x14ac:dyDescent="0.25">
      <c r="A73" s="36" t="s">
        <v>2540</v>
      </c>
      <c r="B73" s="17">
        <f>IFERROR(B72/(B72+D72),0)</f>
        <v>0.43333333333333335</v>
      </c>
      <c r="C73" s="717"/>
      <c r="D73" s="33">
        <f>IF(AND(B72=0,D72=0),0,1-B73)</f>
        <v>0.56666666666666665</v>
      </c>
      <c r="E73" s="719"/>
      <c r="F73" s="712"/>
      <c r="G73" s="45"/>
      <c r="H73" s="45"/>
      <c r="I73" s="45"/>
    </row>
    <row r="74" spans="1:9" x14ac:dyDescent="0.25">
      <c r="A74" s="45"/>
      <c r="B74" s="45"/>
      <c r="C74" s="45"/>
      <c r="D74" s="45"/>
      <c r="E74" s="45"/>
      <c r="F74" s="45"/>
      <c r="G74" s="45"/>
      <c r="H74" s="45"/>
      <c r="I74" s="45"/>
    </row>
    <row r="75" spans="1:9" ht="38.25" x14ac:dyDescent="0.25">
      <c r="A75" s="280" t="str">
        <f>A61</f>
        <v>XLK</v>
      </c>
      <c r="B75" s="25" t="s">
        <v>2531</v>
      </c>
      <c r="C75" s="25" t="s">
        <v>2532</v>
      </c>
      <c r="D75" s="26" t="s">
        <v>2533</v>
      </c>
      <c r="E75" s="26" t="s">
        <v>2534</v>
      </c>
      <c r="F75" s="24" t="s">
        <v>2543</v>
      </c>
      <c r="G75" s="37" t="s">
        <v>2544</v>
      </c>
      <c r="H75" s="45"/>
      <c r="I75" s="45"/>
    </row>
    <row r="76" spans="1:9" x14ac:dyDescent="0.25">
      <c r="A76" s="401" t="s">
        <v>2530</v>
      </c>
      <c r="B76" s="15">
        <f>E62</f>
        <v>9</v>
      </c>
      <c r="C76" s="728">
        <f>IFERROR(AVERAGEIFS('2025-Q2'!$K$4:$K$422,'2025-Q2'!$K$4:$K$422,"&gt;0",'2025-Q2'!$T$4:$T$422,"NA",'2025-Q2'!$E$4:$E$422,'Q1-STATS'!$A61),0)</f>
        <v>5.9089559561367445E-2</v>
      </c>
      <c r="D76" s="39">
        <f>E67</f>
        <v>10</v>
      </c>
      <c r="E76" s="729">
        <f>IFERROR(AVERAGEIFS('2025-Q2'!$K$4:$K$422,'2025-Q2'!$K$4:$K$422,"&lt;0",'2025-Q2'!$T$4:$T$422,"NA",'2025-Q2'!$E$4:$E$422,'Q1-STATS'!$A61),0)</f>
        <v>-5.8186495095649347E-2</v>
      </c>
      <c r="F76" s="721">
        <f>((C76/0.06)*B76)+((E76/0.06)*D76)</f>
        <v>-0.834315248403108</v>
      </c>
      <c r="G76" s="721">
        <f>-((E76/0.06)*D76)-((C76/0.06)*B76)</f>
        <v>0.834315248403108</v>
      </c>
      <c r="H76" s="45"/>
      <c r="I76" s="45"/>
    </row>
    <row r="77" spans="1:9" x14ac:dyDescent="0.25">
      <c r="A77" s="36" t="s">
        <v>2540</v>
      </c>
      <c r="B77" s="38">
        <f>IFERROR((B76/(B76+D76)),0)</f>
        <v>0.47368421052631576</v>
      </c>
      <c r="C77" s="728"/>
      <c r="D77" s="33">
        <f>IF(AND(B76=0,D76=0),0,1-B77)</f>
        <v>0.52631578947368429</v>
      </c>
      <c r="E77" s="730"/>
      <c r="F77" s="721"/>
      <c r="G77" s="721"/>
      <c r="H77" s="45"/>
      <c r="I77" s="45"/>
    </row>
    <row r="78" spans="1:9" x14ac:dyDescent="0.25">
      <c r="A78" s="703" t="s">
        <v>2812</v>
      </c>
      <c r="B78" s="704"/>
      <c r="C78" s="704"/>
      <c r="D78" s="704"/>
      <c r="E78" s="704"/>
      <c r="F78" s="704"/>
      <c r="G78" s="704"/>
      <c r="H78" s="704"/>
      <c r="I78" s="704"/>
    </row>
    <row r="79" spans="1:9" x14ac:dyDescent="0.25">
      <c r="A79" s="704"/>
      <c r="B79" s="704"/>
      <c r="C79" s="704"/>
      <c r="D79" s="704"/>
      <c r="E79" s="704"/>
      <c r="F79" s="704"/>
      <c r="G79" s="704"/>
      <c r="H79" s="704"/>
      <c r="I79" s="704"/>
    </row>
    <row r="80" spans="1:9" x14ac:dyDescent="0.25">
      <c r="A80" s="704"/>
      <c r="B80" s="704"/>
      <c r="C80" s="704"/>
      <c r="D80" s="704"/>
      <c r="E80" s="704"/>
      <c r="F80" s="704"/>
      <c r="G80" s="704"/>
      <c r="H80" s="704"/>
      <c r="I80" s="704"/>
    </row>
    <row r="81" spans="1:9" ht="36" x14ac:dyDescent="0.25">
      <c r="A81" s="283" t="s">
        <v>2617</v>
      </c>
      <c r="B81" s="24" t="s">
        <v>2522</v>
      </c>
      <c r="C81" s="24" t="s">
        <v>2536</v>
      </c>
      <c r="D81" s="24" t="s">
        <v>2537</v>
      </c>
      <c r="E81" s="24" t="s">
        <v>2524</v>
      </c>
      <c r="F81" s="24" t="s">
        <v>2541</v>
      </c>
      <c r="G81" s="45"/>
      <c r="H81" s="45"/>
      <c r="I81" s="45"/>
    </row>
    <row r="82" spans="1:9" x14ac:dyDescent="0.25">
      <c r="A82" s="28" t="s">
        <v>2521</v>
      </c>
      <c r="B82" s="14">
        <f>COUNTIFS('2025-Q2'!$K$4:$K$422,"&gt;0",'2025-Q2'!$E$4:$E$422,'Q1-STATS'!$A81)</f>
        <v>0</v>
      </c>
      <c r="C82" s="14">
        <f>SUMIFS('2025-Q2'!$BC$4:$BC$422,'2025-Q2'!$E$4:$E$422,'Q1-STATS'!$A81)</f>
        <v>0</v>
      </c>
      <c r="D82" s="14">
        <f>SUMIFS('2025-Q2'!$BD$4:$BD$422,'2025-Q2'!$E$4:$E$422,'Q1-STATS'!$A81)</f>
        <v>0</v>
      </c>
      <c r="E82" s="14">
        <f>SUMIFS('2025-Q2'!$BE$4:$BE$422,'2025-Q2'!$E$4:$E$422,'Q1-STATS'!$A81)</f>
        <v>0</v>
      </c>
      <c r="F82" s="710">
        <f>((C84/0.06)*C82)+((D89/0.06)*D87)</f>
        <v>0</v>
      </c>
      <c r="G82" s="45"/>
      <c r="H82" s="713" t="s">
        <v>2620</v>
      </c>
      <c r="I82" s="45"/>
    </row>
    <row r="83" spans="1:9" x14ac:dyDescent="0.25">
      <c r="A83" s="27" t="s">
        <v>2525</v>
      </c>
      <c r="B83" s="16" t="s">
        <v>2526</v>
      </c>
      <c r="C83" s="17">
        <f>IFERROR(C82/$B82,0)</f>
        <v>0</v>
      </c>
      <c r="D83" s="17">
        <f t="shared" ref="D83" si="15">IFERROR(D82/$B82,0)</f>
        <v>0</v>
      </c>
      <c r="E83" s="17">
        <f t="shared" ref="E83" si="16">IFERROR(E82/$B82,0)</f>
        <v>0</v>
      </c>
      <c r="F83" s="711"/>
      <c r="G83" s="45"/>
      <c r="H83" s="714"/>
      <c r="I83" s="45"/>
    </row>
    <row r="84" spans="1:9" x14ac:dyDescent="0.25">
      <c r="A84" s="27" t="s">
        <v>2535</v>
      </c>
      <c r="B84" s="20">
        <f>IFERROR(AVERAGEIFS('2025-Q2'!$K$4:$K$422,'2025-Q2'!$K$4:$K$422,"&gt;0",'2025-Q2'!$E$4:$E$422,'Q1-STATS'!$A81),0)</f>
        <v>0</v>
      </c>
      <c r="C84" s="20">
        <f>IFERROR(AVERAGEIFS('2025-Q2'!$K$4:$K$422,'2025-Q2'!$K$4:$K$422,"&gt;0",'2025-Q2'!$E$4:$E$422,'Q1-STATS'!$A81,'2025-Q2'!$T$4:$T$422,"Yes"),0)</f>
        <v>0</v>
      </c>
      <c r="D84" s="20">
        <f>IFERROR(AVERAGEIFS('2025-Q2'!$K$4:$K$422,'2025-Q2'!$K$4:$K$422,"&gt;0",'2025-Q2'!$E$4:$E$422,'Q1-STATS'!$A81,'2025-Q2'!$T$4:$T$422,"No"),0)</f>
        <v>0</v>
      </c>
      <c r="E84" s="20">
        <f>IFERROR(AVERAGEIFS('2025-Q2'!$K$4:$K$422,'2025-Q2'!$K$4:$K$422,"&gt;0",'2025-Q2'!$E$4:$E$422,'Q1-STATS'!$A81,'2025-Q2'!$T$4:$T$422,"NA"),0)</f>
        <v>0</v>
      </c>
      <c r="F84" s="712"/>
      <c r="G84" s="45"/>
      <c r="H84" s="715"/>
      <c r="I84" s="45"/>
    </row>
    <row r="85" spans="1:9" x14ac:dyDescent="0.25">
      <c r="A85" s="45"/>
      <c r="B85" s="45"/>
      <c r="C85" s="45"/>
      <c r="D85" s="45"/>
      <c r="E85" s="45"/>
      <c r="F85" s="45"/>
      <c r="G85" s="45"/>
      <c r="H85" s="710">
        <f>F82+F87+F96</f>
        <v>0</v>
      </c>
      <c r="I85" s="45"/>
    </row>
    <row r="86" spans="1:9" ht="36" x14ac:dyDescent="0.25">
      <c r="A86" s="46" t="str">
        <f>A81</f>
        <v>XLU</v>
      </c>
      <c r="B86" s="23" t="s">
        <v>2522</v>
      </c>
      <c r="C86" s="23" t="s">
        <v>2538</v>
      </c>
      <c r="D86" s="23" t="s">
        <v>2537</v>
      </c>
      <c r="E86" s="23" t="s">
        <v>2524</v>
      </c>
      <c r="F86" s="23" t="s">
        <v>2542</v>
      </c>
      <c r="G86" s="45"/>
      <c r="H86" s="712"/>
      <c r="I86" s="45"/>
    </row>
    <row r="87" spans="1:9" x14ac:dyDescent="0.25">
      <c r="A87" s="29" t="s">
        <v>2527</v>
      </c>
      <c r="B87" s="30">
        <f>COUNTIFS('2025-Q2'!$K$4:$K$422,"&lt;0",'2025-Q2'!$E$4:$E$422,'Q1-STATS'!$A86)</f>
        <v>0</v>
      </c>
      <c r="C87" s="30">
        <f>SUMIFS('2025-Q2'!$BG$4:$BG$422,'2025-Q2'!$E$4:$E$422,'Q1-STATS'!$A86)</f>
        <v>0</v>
      </c>
      <c r="D87" s="30">
        <f>SUMIFS('2025-Q2'!$BH$4:$BH$422,'2025-Q2'!$E$4:$E$422,'Q1-STATS'!$A86)</f>
        <v>0</v>
      </c>
      <c r="E87" s="30">
        <f>SUMIFS('2025-Q2'!$BI$4:$BI$422,'2025-Q2'!$E$4:$E$422,'Q1-STATS'!$A86)</f>
        <v>0</v>
      </c>
      <c r="F87" s="710">
        <f>-((C89/0.06)*C87)-((D84/0.06)*D82)</f>
        <v>0</v>
      </c>
      <c r="G87" s="45"/>
      <c r="H87" s="45"/>
      <c r="I87" s="45"/>
    </row>
    <row r="88" spans="1:9" x14ac:dyDescent="0.25">
      <c r="A88" s="31" t="s">
        <v>2528</v>
      </c>
      <c r="B88" s="18" t="s">
        <v>2526</v>
      </c>
      <c r="C88" s="19">
        <f>IFERROR(C87/$B87,0)</f>
        <v>0</v>
      </c>
      <c r="D88" s="19">
        <f t="shared" ref="D88" si="17">IFERROR(D87/$B87,0)</f>
        <v>0</v>
      </c>
      <c r="E88" s="19">
        <f t="shared" ref="E88" si="18">IFERROR(E87/$B87,0)</f>
        <v>0</v>
      </c>
      <c r="F88" s="711"/>
      <c r="G88" s="45"/>
      <c r="H88" s="45"/>
      <c r="I88" s="45"/>
    </row>
    <row r="89" spans="1:9" x14ac:dyDescent="0.25">
      <c r="A89" s="31" t="s">
        <v>2535</v>
      </c>
      <c r="B89" s="21">
        <f>IFERROR(AVERAGEIFS('2025-Q2'!$K$4:$K$422,'2025-Q2'!$K$4:$K$422,"&lt;0",'2025-Q2'!$E$4:$E$422,'Q1-STATS'!$A86),0)</f>
        <v>0</v>
      </c>
      <c r="C89" s="21">
        <f>IFERROR(AVERAGEIFS('2025-Q2'!$K$4:$K$422,'2025-Q2'!$K$4:$K$422,"&lt;0",'2025-Q2'!$E$4:$E$422,'Q1-STATS'!$A86,'2025-Q2'!$T$4:$T$422,"Yes"),0)</f>
        <v>0</v>
      </c>
      <c r="D89" s="21">
        <f>IFERROR(AVERAGEIFS('2025-Q2'!$K$4:$K$422,'2025-Q2'!$K$4:$K$422,"&lt;0",'2025-Q2'!$E$4:$E$422,'Q1-STATS'!$A86,'2025-Q2'!$T$4:$T$422,"No"),0)</f>
        <v>0</v>
      </c>
      <c r="E89" s="21">
        <f>IFERROR(AVERAGEIFS('2025-Q2'!$K$4:$K$422,'2025-Q2'!$K$4:$K$422,"&lt;0",'2025-Q2'!$E$4:$E$422,'Q1-STATS'!$A86,'2025-Q2'!$T$4:$T$422,"NA"),0)</f>
        <v>0</v>
      </c>
      <c r="F89" s="712"/>
      <c r="G89" s="45"/>
      <c r="H89" s="45"/>
      <c r="I89" s="45"/>
    </row>
    <row r="90" spans="1:9" x14ac:dyDescent="0.25">
      <c r="A90" s="45"/>
      <c r="B90" s="45"/>
      <c r="C90" s="45"/>
      <c r="D90" s="45"/>
      <c r="E90" s="45"/>
      <c r="F90" s="45"/>
      <c r="G90" s="45"/>
      <c r="H90" s="45"/>
      <c r="I90" s="45"/>
    </row>
    <row r="91" spans="1:9" ht="24.75" x14ac:dyDescent="0.25">
      <c r="A91" s="47" t="str">
        <f>A81</f>
        <v>XLU</v>
      </c>
      <c r="B91" s="25" t="s">
        <v>2531</v>
      </c>
      <c r="C91" s="25" t="s">
        <v>2532</v>
      </c>
      <c r="D91" s="26" t="s">
        <v>2533</v>
      </c>
      <c r="E91" s="26" t="s">
        <v>2534</v>
      </c>
      <c r="F91" s="24" t="s">
        <v>2545</v>
      </c>
      <c r="G91" s="45"/>
      <c r="H91" s="45"/>
      <c r="I91" s="45"/>
    </row>
    <row r="92" spans="1:9" x14ac:dyDescent="0.25">
      <c r="A92" s="32" t="s">
        <v>2539</v>
      </c>
      <c r="B92" s="15">
        <f>B82</f>
        <v>0</v>
      </c>
      <c r="C92" s="716">
        <f>IFERROR(B84,0)</f>
        <v>0</v>
      </c>
      <c r="D92" s="282">
        <f>B87</f>
        <v>0</v>
      </c>
      <c r="E92" s="718">
        <f>B89</f>
        <v>0</v>
      </c>
      <c r="F92" s="710">
        <f>((C92/0.06)*B92)+((E92/0.06)*D92)</f>
        <v>0</v>
      </c>
      <c r="G92" s="45"/>
      <c r="H92" s="45"/>
      <c r="I92" s="45"/>
    </row>
    <row r="93" spans="1:9" x14ac:dyDescent="0.25">
      <c r="A93" s="36" t="s">
        <v>2540</v>
      </c>
      <c r="B93" s="17">
        <f>IFERROR(B92/(B92+D92),0)</f>
        <v>0</v>
      </c>
      <c r="C93" s="717"/>
      <c r="D93" s="33">
        <f>IF(AND(B92=0,D92=0),0,1-B93)</f>
        <v>0</v>
      </c>
      <c r="E93" s="719"/>
      <c r="F93" s="712"/>
      <c r="G93" s="45"/>
      <c r="H93" s="45"/>
      <c r="I93" s="45"/>
    </row>
    <row r="94" spans="1:9" x14ac:dyDescent="0.25">
      <c r="A94" s="45"/>
      <c r="B94" s="45"/>
      <c r="C94" s="45"/>
      <c r="D94" s="45"/>
      <c r="E94" s="45"/>
      <c r="F94" s="45"/>
      <c r="G94" s="45"/>
      <c r="H94" s="45"/>
      <c r="I94" s="45"/>
    </row>
    <row r="95" spans="1:9" ht="38.25" x14ac:dyDescent="0.25">
      <c r="A95" s="47" t="str">
        <f>A81</f>
        <v>XLU</v>
      </c>
      <c r="B95" s="25" t="s">
        <v>2531</v>
      </c>
      <c r="C95" s="25" t="s">
        <v>2532</v>
      </c>
      <c r="D95" s="26" t="s">
        <v>2533</v>
      </c>
      <c r="E95" s="26" t="s">
        <v>2534</v>
      </c>
      <c r="F95" s="24" t="s">
        <v>2543</v>
      </c>
      <c r="G95" s="37" t="s">
        <v>2544</v>
      </c>
      <c r="H95" s="45"/>
      <c r="I95" s="45"/>
    </row>
    <row r="96" spans="1:9" x14ac:dyDescent="0.25">
      <c r="A96" s="401" t="s">
        <v>2530</v>
      </c>
      <c r="B96" s="15">
        <f>E82</f>
        <v>0</v>
      </c>
      <c r="C96" s="728">
        <f>IFERROR(AVERAGEIFS('2025-Q2'!$K$4:$K$422,'2025-Q2'!$K$4:$K$422,"&gt;0",'2025-Q2'!$T$4:$T$422,"NA",'2025-Q2'!$E$4:$E$422,'Q1-STATS'!$A81),0)</f>
        <v>0</v>
      </c>
      <c r="D96" s="39">
        <f>E87</f>
        <v>0</v>
      </c>
      <c r="E96" s="729">
        <f>IFERROR(AVERAGEIFS('2025-Q2'!$K$4:$K$422,'2025-Q2'!$K$4:$K$422,"&lt;0",'2025-Q2'!$T$4:$T$422,"NA",'2025-Q2'!$E$4:$E$422,'Q1-STATS'!$A81),0)</f>
        <v>0</v>
      </c>
      <c r="F96" s="721">
        <f>((C96/0.06)*B96)+((E96/0.06)*D96)</f>
        <v>0</v>
      </c>
      <c r="G96" s="722">
        <f>-((E96/0.06)*D96)-((C96/0.06)*B96)</f>
        <v>0</v>
      </c>
      <c r="H96" s="45"/>
      <c r="I96" s="45"/>
    </row>
    <row r="97" spans="1:9" x14ac:dyDescent="0.25">
      <c r="A97" s="36" t="s">
        <v>2540</v>
      </c>
      <c r="B97" s="38">
        <f>IFERROR((B96/(B96+D96)),0)</f>
        <v>0</v>
      </c>
      <c r="C97" s="728"/>
      <c r="D97" s="33">
        <f>IF(AND(B96=0,D96=0),0,1-B97)</f>
        <v>0</v>
      </c>
      <c r="E97" s="730"/>
      <c r="F97" s="721"/>
      <c r="G97" s="722"/>
      <c r="H97" s="45"/>
      <c r="I97" s="45"/>
    </row>
    <row r="98" spans="1:9" x14ac:dyDescent="0.25">
      <c r="A98" s="703" t="s">
        <v>2813</v>
      </c>
      <c r="B98" s="704"/>
      <c r="C98" s="704"/>
      <c r="D98" s="704"/>
      <c r="E98" s="704"/>
      <c r="F98" s="704"/>
      <c r="G98" s="704"/>
      <c r="H98" s="704"/>
      <c r="I98" s="704"/>
    </row>
    <row r="99" spans="1:9" x14ac:dyDescent="0.25">
      <c r="A99" s="704"/>
      <c r="B99" s="704"/>
      <c r="C99" s="704"/>
      <c r="D99" s="704"/>
      <c r="E99" s="704"/>
      <c r="F99" s="704"/>
      <c r="G99" s="704"/>
      <c r="H99" s="704"/>
      <c r="I99" s="704"/>
    </row>
    <row r="100" spans="1:9" x14ac:dyDescent="0.25">
      <c r="A100" s="704"/>
      <c r="B100" s="704"/>
      <c r="C100" s="704"/>
      <c r="D100" s="704"/>
      <c r="E100" s="704"/>
      <c r="F100" s="704"/>
      <c r="G100" s="704"/>
      <c r="H100" s="704"/>
      <c r="I100" s="704"/>
    </row>
    <row r="101" spans="1:9" ht="36" x14ac:dyDescent="0.25">
      <c r="A101" s="283" t="s">
        <v>2610</v>
      </c>
      <c r="B101" s="24" t="s">
        <v>2522</v>
      </c>
      <c r="C101" s="24" t="s">
        <v>2536</v>
      </c>
      <c r="D101" s="24" t="s">
        <v>2537</v>
      </c>
      <c r="E101" s="24" t="s">
        <v>2524</v>
      </c>
      <c r="F101" s="24" t="s">
        <v>2541</v>
      </c>
      <c r="G101" s="45"/>
      <c r="H101" s="45"/>
      <c r="I101" s="45"/>
    </row>
    <row r="102" spans="1:9" x14ac:dyDescent="0.25">
      <c r="A102" s="28" t="s">
        <v>2521</v>
      </c>
      <c r="B102" s="14">
        <f>COUNTIFS('2025-Q2'!$K$4:$K$422,"&gt;0",'2025-Q2'!$E$4:$E$422,'Q1-STATS'!$A101)</f>
        <v>10</v>
      </c>
      <c r="C102" s="14">
        <f>SUMIFS('2025-Q2'!$BC$4:$BC$422,'2025-Q2'!$E$4:$E$422,'Q1-STATS'!$A101)</f>
        <v>1</v>
      </c>
      <c r="D102" s="14">
        <f>SUMIFS('2025-Q2'!$BD$4:$BD$422,'2025-Q2'!$E$4:$E$422,'Q1-STATS'!$A101)</f>
        <v>3</v>
      </c>
      <c r="E102" s="14">
        <f>SUMIFS('2025-Q2'!$BE$4:$BE$422,'2025-Q2'!$E$4:$E$422,'Q1-STATS'!$A101)</f>
        <v>6</v>
      </c>
      <c r="F102" s="710">
        <f>((C104/0.06)*C102)+((D109/0.06)*D107)</f>
        <v>-0.84049791589649758</v>
      </c>
      <c r="G102" s="45"/>
      <c r="H102" s="713" t="s">
        <v>2620</v>
      </c>
      <c r="I102" s="45"/>
    </row>
    <row r="103" spans="1:9" x14ac:dyDescent="0.25">
      <c r="A103" s="27" t="s">
        <v>2525</v>
      </c>
      <c r="B103" s="16" t="s">
        <v>2526</v>
      </c>
      <c r="C103" s="17">
        <f>IFERROR(C102/$B102,0)</f>
        <v>0.1</v>
      </c>
      <c r="D103" s="17">
        <f t="shared" ref="D103" si="19">IFERROR(D102/$B102,0)</f>
        <v>0.3</v>
      </c>
      <c r="E103" s="17">
        <f t="shared" ref="E103" si="20">IFERROR(E102/$B102,0)</f>
        <v>0.6</v>
      </c>
      <c r="F103" s="711"/>
      <c r="G103" s="45"/>
      <c r="H103" s="714"/>
      <c r="I103" s="45"/>
    </row>
    <row r="104" spans="1:9" x14ac:dyDescent="0.25">
      <c r="A104" s="27" t="s">
        <v>2535</v>
      </c>
      <c r="B104" s="20">
        <f>IFERROR(AVERAGEIFS('2025-Q2'!$K$4:$K$422,'2025-Q2'!$K$4:$K$422,"&gt;0",'2025-Q2'!$E$4:$E$422,'Q1-STATS'!$A101),0)</f>
        <v>4.0812057797851464E-2</v>
      </c>
      <c r="C104" s="20">
        <f>IFERROR(AVERAGEIFS('2025-Q2'!$K$4:$K$422,'2025-Q2'!$K$4:$K$422,"&gt;0",'2025-Q2'!$E$4:$E$422,'Q1-STATS'!$A101,'2025-Q2'!$T$4:$T$422,"Yes"),0)</f>
        <v>2.2153846153846118E-2</v>
      </c>
      <c r="D104" s="20">
        <f>IFERROR(AVERAGEIFS('2025-Q2'!$K$4:$K$422,'2025-Q2'!$K$4:$K$422,"&gt;0",'2025-Q2'!$E$4:$E$422,'Q1-STATS'!$A101,'2025-Q2'!$T$4:$T$422,"No"),0)</f>
        <v>4.6327850983330227E-2</v>
      </c>
      <c r="E104" s="20">
        <f>IFERROR(AVERAGEIFS('2025-Q2'!$K$4:$K$422,'2025-Q2'!$K$4:$K$422,"&gt;0",'2025-Q2'!$E$4:$E$422,'Q1-STATS'!$A101,'2025-Q2'!$T$4:$T$422,"NA"),0)</f>
        <v>4.116386314577964E-2</v>
      </c>
      <c r="F104" s="712"/>
      <c r="G104" s="45"/>
      <c r="H104" s="715"/>
      <c r="I104" s="45"/>
    </row>
    <row r="105" spans="1:9" x14ac:dyDescent="0.25">
      <c r="A105" s="45"/>
      <c r="B105" s="45"/>
      <c r="C105" s="45"/>
      <c r="D105" s="45"/>
      <c r="E105" s="45"/>
      <c r="F105" s="45"/>
      <c r="G105" s="45"/>
      <c r="H105" s="710">
        <f>F102+F107+F116</f>
        <v>4.5139831366327732</v>
      </c>
      <c r="I105" s="45"/>
    </row>
    <row r="106" spans="1:9" ht="36" x14ac:dyDescent="0.25">
      <c r="A106" s="26" t="str">
        <f>A101</f>
        <v>XLC</v>
      </c>
      <c r="B106" s="23" t="s">
        <v>2522</v>
      </c>
      <c r="C106" s="23" t="s">
        <v>2538</v>
      </c>
      <c r="D106" s="23" t="s">
        <v>2537</v>
      </c>
      <c r="E106" s="23" t="s">
        <v>2524</v>
      </c>
      <c r="F106" s="23" t="s">
        <v>2542</v>
      </c>
      <c r="G106" s="45"/>
      <c r="H106" s="712"/>
      <c r="I106" s="45"/>
    </row>
    <row r="107" spans="1:9" x14ac:dyDescent="0.25">
      <c r="A107" s="29" t="s">
        <v>2527</v>
      </c>
      <c r="B107" s="30">
        <f>COUNTIFS('2025-Q2'!$K$4:$K$422,"&lt;0",'2025-Q2'!$E$4:$E$422,'Q1-STATS'!$A106)</f>
        <v>7</v>
      </c>
      <c r="C107" s="30">
        <f>SUMIFS('2025-Q2'!$BG$4:$BG$422,'2025-Q2'!$E$4:$E$422,'Q1-STATS'!$A106)</f>
        <v>4</v>
      </c>
      <c r="D107" s="30">
        <f>SUMIFS('2025-Q2'!$BH$4:$BH$422,'2025-Q2'!$E$4:$E$422,'Q1-STATS'!$A106)</f>
        <v>1</v>
      </c>
      <c r="E107" s="30">
        <f>SUMIFS('2025-Q2'!$BI$4:$BI$422,'2025-Q2'!$E$4:$E$422,'Q1-STATS'!$A106)</f>
        <v>2</v>
      </c>
      <c r="F107" s="710">
        <f>-((C109/0.06)*C107)-((D104/0.06)*D102)</f>
        <v>1.8657648196498733</v>
      </c>
      <c r="G107" s="45"/>
      <c r="H107" s="45"/>
      <c r="I107" s="45"/>
    </row>
    <row r="108" spans="1:9" x14ac:dyDescent="0.25">
      <c r="A108" s="31" t="s">
        <v>2528</v>
      </c>
      <c r="B108" s="18" t="s">
        <v>2526</v>
      </c>
      <c r="C108" s="19">
        <f>IFERROR(C107/$B107,0)</f>
        <v>0.5714285714285714</v>
      </c>
      <c r="D108" s="19">
        <f>IFERROR(D107/$B107,0)</f>
        <v>0.14285714285714285</v>
      </c>
      <c r="E108" s="19">
        <f>IFERROR(E107/$B107,0)</f>
        <v>0.2857142857142857</v>
      </c>
      <c r="F108" s="711"/>
      <c r="G108" s="45"/>
      <c r="H108" s="45"/>
      <c r="I108" s="45"/>
    </row>
    <row r="109" spans="1:9" x14ac:dyDescent="0.25">
      <c r="A109" s="31" t="s">
        <v>2535</v>
      </c>
      <c r="B109" s="21">
        <f>IFERROR(AVERAGEIFS('2025-Q2'!$K$4:$K$422,'2025-Q2'!$K$4:$K$422,"&lt;0",'2025-Q2'!$E$4:$E$422,'Q1-STATS'!$A106),0)</f>
        <v>-5.1596195448361859E-2</v>
      </c>
      <c r="C109" s="21">
        <f>IFERROR(AVERAGEIFS('2025-Q2'!$K$4:$K$422,'2025-Q2'!$K$4:$K$422,"&lt;0",'2025-Q2'!$E$4:$E$422,'Q1-STATS'!$A106,'2025-Q2'!$T$4:$T$422,"Yes"),0)</f>
        <v>-6.2732360532245762E-2</v>
      </c>
      <c r="D109" s="21">
        <f>IFERROR(AVERAGEIFS('2025-Q2'!$K$4:$K$422,'2025-Q2'!$K$4:$K$422,"&lt;0",'2025-Q2'!$E$4:$E$422,'Q1-STATS'!$A106,'2025-Q2'!$T$4:$T$422,"No"),0)</f>
        <v>-7.2583721107635973E-2</v>
      </c>
      <c r="E109" s="21">
        <f>IFERROR(AVERAGEIFS('2025-Q2'!$K$4:$K$422,'2025-Q2'!$K$4:$K$422,"&lt;0",'2025-Q2'!$E$4:$E$422,'Q1-STATS'!$A106,'2025-Q2'!$T$4:$T$422,"NA"),0)</f>
        <v>-1.8830102450957002E-2</v>
      </c>
      <c r="F109" s="712"/>
      <c r="G109" s="45"/>
      <c r="H109" s="45"/>
      <c r="I109" s="45"/>
    </row>
    <row r="110" spans="1:9" x14ac:dyDescent="0.25">
      <c r="A110" s="45"/>
      <c r="B110" s="45"/>
      <c r="C110" s="45"/>
      <c r="D110" s="45"/>
      <c r="E110" s="45"/>
      <c r="F110" s="45"/>
      <c r="G110" s="45"/>
      <c r="H110" s="45"/>
      <c r="I110" s="45"/>
    </row>
    <row r="111" spans="1:9" ht="24.75" x14ac:dyDescent="0.25">
      <c r="A111" s="280" t="str">
        <f>A101</f>
        <v>XLC</v>
      </c>
      <c r="B111" s="25" t="s">
        <v>2531</v>
      </c>
      <c r="C111" s="25" t="s">
        <v>2532</v>
      </c>
      <c r="D111" s="26" t="s">
        <v>2533</v>
      </c>
      <c r="E111" s="26" t="s">
        <v>2534</v>
      </c>
      <c r="F111" s="24" t="s">
        <v>2545</v>
      </c>
      <c r="G111" s="45"/>
      <c r="H111" s="45"/>
      <c r="I111" s="45"/>
    </row>
    <row r="112" spans="1:9" x14ac:dyDescent="0.25">
      <c r="A112" s="32" t="s">
        <v>2539</v>
      </c>
      <c r="B112" s="15">
        <f>B102</f>
        <v>10</v>
      </c>
      <c r="C112" s="716">
        <f>IFERROR(B104,0)</f>
        <v>4.0812057797851464E-2</v>
      </c>
      <c r="D112" s="282">
        <f>B107</f>
        <v>7</v>
      </c>
      <c r="E112" s="718">
        <f>B109</f>
        <v>-5.1596195448361859E-2</v>
      </c>
      <c r="F112" s="710">
        <f>((C112/0.06)*B112)+((E112/0.06)*D112)</f>
        <v>0.78245349733302749</v>
      </c>
      <c r="G112" s="45"/>
      <c r="H112" s="45"/>
      <c r="I112" s="45"/>
    </row>
    <row r="113" spans="1:9" x14ac:dyDescent="0.25">
      <c r="A113" s="36" t="s">
        <v>2540</v>
      </c>
      <c r="B113" s="17">
        <f>IFERROR(B112/(B112+D112),0)</f>
        <v>0.58823529411764708</v>
      </c>
      <c r="C113" s="717"/>
      <c r="D113" s="33">
        <f>IF(AND(B112=0,D112=0),0,1-B113)</f>
        <v>0.41176470588235292</v>
      </c>
      <c r="E113" s="719"/>
      <c r="F113" s="712"/>
      <c r="G113" s="45"/>
      <c r="H113" s="45"/>
      <c r="I113" s="45"/>
    </row>
    <row r="114" spans="1:9" x14ac:dyDescent="0.25">
      <c r="A114" s="45"/>
      <c r="B114" s="45"/>
      <c r="C114" s="45"/>
      <c r="D114" s="45"/>
      <c r="E114" s="45"/>
      <c r="F114" s="45"/>
      <c r="G114" s="45"/>
      <c r="H114" s="45"/>
      <c r="I114" s="45"/>
    </row>
    <row r="115" spans="1:9" ht="38.25" x14ac:dyDescent="0.25">
      <c r="A115" s="280" t="str">
        <f>A101</f>
        <v>XLC</v>
      </c>
      <c r="B115" s="25" t="s">
        <v>2531</v>
      </c>
      <c r="C115" s="25" t="s">
        <v>2532</v>
      </c>
      <c r="D115" s="26" t="s">
        <v>2533</v>
      </c>
      <c r="E115" s="26" t="s">
        <v>2534</v>
      </c>
      <c r="F115" s="24" t="s">
        <v>2543</v>
      </c>
      <c r="G115" s="37" t="s">
        <v>2544</v>
      </c>
      <c r="H115" s="45"/>
      <c r="I115" s="45"/>
    </row>
    <row r="116" spans="1:9" x14ac:dyDescent="0.25">
      <c r="A116" s="401" t="s">
        <v>2530</v>
      </c>
      <c r="B116" s="15">
        <f>E102</f>
        <v>6</v>
      </c>
      <c r="C116" s="728">
        <f>IFERROR(AVERAGEIFS('2025-Q2'!$K$4:$K$422,'2025-Q2'!$K$4:$K$422,"&gt;0",'2025-Q2'!$T$4:$T$422,"NA",'2025-Q2'!$E$4:$E$422,'Q1-STATS'!$A101),0)</f>
        <v>4.116386314577964E-2</v>
      </c>
      <c r="D116" s="39">
        <f>E107</f>
        <v>2</v>
      </c>
      <c r="E116" s="729">
        <f>IFERROR(AVERAGEIFS('2025-Q2'!$K$4:$K$422,'2025-Q2'!$K$4:$K$422,"&lt;0",'2025-Q2'!$T$4:$T$422,"NA",'2025-Q2'!$E$4:$E$422,'Q1-STATS'!$A101),0)</f>
        <v>-1.8830102450957002E-2</v>
      </c>
      <c r="F116" s="721">
        <f>((C116/0.06)*B116)+((E116/0.06)*D116)</f>
        <v>3.4887162328793972</v>
      </c>
      <c r="G116" s="722">
        <f>-((E116/0.06)*D116)-((C116/0.06)*B116)</f>
        <v>-3.4887162328793972</v>
      </c>
      <c r="H116" s="45"/>
      <c r="I116" s="45"/>
    </row>
    <row r="117" spans="1:9" x14ac:dyDescent="0.25">
      <c r="A117" s="36" t="s">
        <v>2540</v>
      </c>
      <c r="B117" s="38">
        <f>IFERROR((B116/(B116+D116)),0)</f>
        <v>0.75</v>
      </c>
      <c r="C117" s="728"/>
      <c r="D117" s="33">
        <f>IF(AND(B116=0,D116=0),0,1-B117)</f>
        <v>0.25</v>
      </c>
      <c r="E117" s="730"/>
      <c r="F117" s="721"/>
      <c r="G117" s="722"/>
      <c r="H117" s="45"/>
      <c r="I117" s="45"/>
    </row>
    <row r="118" spans="1:9" x14ac:dyDescent="0.25">
      <c r="A118" s="703" t="s">
        <v>2814</v>
      </c>
      <c r="B118" s="704"/>
      <c r="C118" s="704"/>
      <c r="D118" s="704"/>
      <c r="E118" s="704"/>
      <c r="F118" s="704"/>
      <c r="G118" s="704"/>
      <c r="H118" s="704"/>
      <c r="I118" s="704"/>
    </row>
    <row r="119" spans="1:9" x14ac:dyDescent="0.25">
      <c r="A119" s="704"/>
      <c r="B119" s="704"/>
      <c r="C119" s="704"/>
      <c r="D119" s="704"/>
      <c r="E119" s="704"/>
      <c r="F119" s="704"/>
      <c r="G119" s="704"/>
      <c r="H119" s="704"/>
      <c r="I119" s="704"/>
    </row>
    <row r="120" spans="1:9" x14ac:dyDescent="0.25">
      <c r="A120" s="704"/>
      <c r="B120" s="704"/>
      <c r="C120" s="704"/>
      <c r="D120" s="704"/>
      <c r="E120" s="704"/>
      <c r="F120" s="704"/>
      <c r="G120" s="704"/>
      <c r="H120" s="704"/>
      <c r="I120" s="704"/>
    </row>
    <row r="121" spans="1:9" ht="36" x14ac:dyDescent="0.25">
      <c r="A121" s="50" t="s">
        <v>2613</v>
      </c>
      <c r="B121" s="24" t="s">
        <v>2522</v>
      </c>
      <c r="C121" s="24" t="s">
        <v>2536</v>
      </c>
      <c r="D121" s="24" t="s">
        <v>2537</v>
      </c>
      <c r="E121" s="24" t="s">
        <v>2524</v>
      </c>
      <c r="F121" s="24" t="s">
        <v>2541</v>
      </c>
      <c r="G121" s="45"/>
      <c r="H121" s="45"/>
      <c r="I121" s="45"/>
    </row>
    <row r="122" spans="1:9" x14ac:dyDescent="0.25">
      <c r="A122" s="28" t="s">
        <v>2521</v>
      </c>
      <c r="B122" s="14">
        <f>COUNTIFS('2025-Q2'!$K$4:$K$422,"&gt;0",'2025-Q2'!$E$4:$E$422,'Q1-STATS'!$A121)</f>
        <v>29</v>
      </c>
      <c r="C122" s="14">
        <f>SUMIFS('2025-Q2'!$BC$4:$BC$422,'2025-Q2'!$E$4:$E$422,'Q1-STATS'!$A121)</f>
        <v>4</v>
      </c>
      <c r="D122" s="14">
        <f>SUMIFS('2025-Q2'!$BD$4:$BD$422,'2025-Q2'!$E$4:$E$422,'Q1-STATS'!$A121)</f>
        <v>8</v>
      </c>
      <c r="E122" s="14">
        <f>SUMIFS('2025-Q2'!$BE$4:$BE$422,'2025-Q2'!$E$4:$E$422,'Q1-STATS'!$A121)</f>
        <v>17</v>
      </c>
      <c r="F122" s="710">
        <f>((C124/0.06)*C122)+((D129/0.06)*D127)</f>
        <v>0.24785202869748302</v>
      </c>
      <c r="G122" s="45"/>
      <c r="H122" s="713" t="s">
        <v>2620</v>
      </c>
      <c r="I122" s="45"/>
    </row>
    <row r="123" spans="1:9" x14ac:dyDescent="0.25">
      <c r="A123" s="27" t="s">
        <v>2525</v>
      </c>
      <c r="B123" s="16" t="s">
        <v>2526</v>
      </c>
      <c r="C123" s="17">
        <f>IFERROR(C122/$B122,0)</f>
        <v>0.13793103448275862</v>
      </c>
      <c r="D123" s="17">
        <f t="shared" ref="D123" si="21">IFERROR(D122/$B122,0)</f>
        <v>0.27586206896551724</v>
      </c>
      <c r="E123" s="17">
        <f t="shared" ref="E123" si="22">IFERROR(E122/$B122,0)</f>
        <v>0.58620689655172409</v>
      </c>
      <c r="F123" s="711"/>
      <c r="G123" s="45"/>
      <c r="H123" s="714"/>
      <c r="I123" s="45"/>
    </row>
    <row r="124" spans="1:9" x14ac:dyDescent="0.25">
      <c r="A124" s="27" t="s">
        <v>2535</v>
      </c>
      <c r="B124" s="20">
        <f>IFERROR(AVERAGEIFS('2025-Q2'!$K$4:$K$422,'2025-Q2'!$K$4:$K$422,"&gt;0",'2025-Q2'!$E$4:$E$422,'Q1-STATS'!$A121),0)</f>
        <v>4.9648120397567989E-2</v>
      </c>
      <c r="C124" s="20">
        <f>IFERROR(AVERAGEIFS('2025-Q2'!$K$4:$K$422,'2025-Q2'!$K$4:$K$422,"&gt;0",'2025-Q2'!$E$4:$E$422,'Q1-STATS'!$A121,'2025-Q2'!$T$4:$T$422,"Yes"),0)</f>
        <v>5.3810804889767777E-2</v>
      </c>
      <c r="D124" s="20">
        <f>IFERROR(AVERAGEIFS('2025-Q2'!$K$4:$K$422,'2025-Q2'!$K$4:$K$422,"&gt;0",'2025-Q2'!$E$4:$E$422,'Q1-STATS'!$A121,'2025-Q2'!$T$4:$T$422,"No"),0)</f>
        <v>3.9956455599119686E-2</v>
      </c>
      <c r="E124" s="20">
        <f>IFERROR(AVERAGEIFS('2025-Q2'!$K$4:$K$422,'2025-Q2'!$K$4:$K$422,"&gt;0",'2025-Q2'!$E$4:$E$422,'Q1-STATS'!$A121,'2025-Q2'!$T$4:$T$422,"NA"),0)</f>
        <v>5.3229448657496646E-2</v>
      </c>
      <c r="F124" s="712"/>
      <c r="G124" s="45"/>
      <c r="H124" s="715"/>
      <c r="I124" s="45"/>
    </row>
    <row r="125" spans="1:9" x14ac:dyDescent="0.25">
      <c r="A125" s="45"/>
      <c r="B125" s="45"/>
      <c r="C125" s="45"/>
      <c r="D125" s="45"/>
      <c r="E125" s="45"/>
      <c r="F125" s="45"/>
      <c r="G125" s="45"/>
      <c r="H125" s="710">
        <f>F122+F127+F136</f>
        <v>13.00474650443438</v>
      </c>
      <c r="I125" s="45"/>
    </row>
    <row r="126" spans="1:9" ht="36" x14ac:dyDescent="0.25">
      <c r="A126" s="46" t="str">
        <f>A121</f>
        <v>XLI</v>
      </c>
      <c r="B126" s="23" t="s">
        <v>2522</v>
      </c>
      <c r="C126" s="23" t="s">
        <v>2538</v>
      </c>
      <c r="D126" s="23" t="s">
        <v>2537</v>
      </c>
      <c r="E126" s="23" t="s">
        <v>2524</v>
      </c>
      <c r="F126" s="23" t="s">
        <v>2542</v>
      </c>
      <c r="G126" s="45"/>
      <c r="H126" s="712"/>
      <c r="I126" s="45"/>
    </row>
    <row r="127" spans="1:9" x14ac:dyDescent="0.25">
      <c r="A127" s="29" t="s">
        <v>2527</v>
      </c>
      <c r="B127" s="30">
        <f>COUNTIFS('2025-Q2'!$K$4:$K$422,"&lt;0",'2025-Q2'!$E$4:$E$422,'Q1-STATS'!$A126)</f>
        <v>36</v>
      </c>
      <c r="C127" s="30">
        <f>SUMIFS('2025-Q2'!$BG$4:$BG$422,'2025-Q2'!$E$4:$E$422,'Q1-STATS'!$A126)</f>
        <v>14</v>
      </c>
      <c r="D127" s="30">
        <f>SUMIFS('2025-Q2'!$BH$4:$BH$422,'2025-Q2'!$E$4:$E$422,'Q1-STATS'!$A126)</f>
        <v>6</v>
      </c>
      <c r="E127" s="30">
        <f>SUMIFS('2025-Q2'!$BI$4:$BI$422,'2025-Q2'!$E$4:$E$422,'Q1-STATS'!$A126)</f>
        <v>16</v>
      </c>
      <c r="F127" s="710">
        <f>-((C129/0.06)*C127)-((D124/0.06)*D122)</f>
        <v>4.3184391548878098</v>
      </c>
      <c r="G127" s="45"/>
      <c r="H127" s="45"/>
      <c r="I127" s="45"/>
    </row>
    <row r="128" spans="1:9" x14ac:dyDescent="0.25">
      <c r="A128" s="31" t="s">
        <v>2528</v>
      </c>
      <c r="B128" s="18" t="s">
        <v>2526</v>
      </c>
      <c r="C128" s="19">
        <f>IFERROR(C127/$B127,0)</f>
        <v>0.3888888888888889</v>
      </c>
      <c r="D128" s="19">
        <f>IFERROR(D127/$B127,0)</f>
        <v>0.16666666666666666</v>
      </c>
      <c r="E128" s="19">
        <f>IFERROR(E127/$B127,0)</f>
        <v>0.44444444444444442</v>
      </c>
      <c r="F128" s="711"/>
      <c r="G128" s="45"/>
      <c r="H128" s="45"/>
      <c r="I128" s="45"/>
    </row>
    <row r="129" spans="1:9" x14ac:dyDescent="0.25">
      <c r="A129" s="31" t="s">
        <v>2535</v>
      </c>
      <c r="B129" s="21">
        <f>IFERROR(AVERAGEIFS('2025-Q2'!$K$4:$K$422,'2025-Q2'!$K$4:$K$422,"&lt;0",'2025-Q2'!$E$4:$E$422,'Q1-STATS'!$A126),0)</f>
        <v>-3.2714538884720729E-2</v>
      </c>
      <c r="C129" s="21">
        <f>IFERROR(AVERAGEIFS('2025-Q2'!$K$4:$K$422,'2025-Q2'!$K$4:$K$422,"&lt;0",'2025-Q2'!$E$4:$E$422,'Q1-STATS'!$A126,'2025-Q2'!$T$4:$T$422,"Yes"),0)</f>
        <v>-4.1339856720444719E-2</v>
      </c>
      <c r="D129" s="21">
        <f>IFERROR(AVERAGEIFS('2025-Q2'!$K$4:$K$422,'2025-Q2'!$K$4:$K$422,"&lt;0",'2025-Q2'!$E$4:$E$422,'Q1-STATS'!$A126,'2025-Q2'!$T$4:$T$422,"No"),0)</f>
        <v>-3.3395349639537018E-2</v>
      </c>
      <c r="E129" s="21">
        <f>IFERROR(AVERAGEIFS('2025-Q2'!$K$4:$K$422,'2025-Q2'!$K$4:$K$422,"&lt;0",'2025-Q2'!$E$4:$E$422,'Q1-STATS'!$A126,'2025-Q2'!$T$4:$T$422,"NA"),0)</f>
        <v>-2.4912081745406114E-2</v>
      </c>
      <c r="F129" s="712"/>
      <c r="G129" s="45"/>
      <c r="H129" s="45"/>
      <c r="I129" s="45"/>
    </row>
    <row r="130" spans="1:9" x14ac:dyDescent="0.25">
      <c r="A130" s="45"/>
      <c r="B130" s="45"/>
      <c r="C130" s="45"/>
      <c r="D130" s="45"/>
      <c r="E130" s="45"/>
      <c r="F130" s="45"/>
      <c r="G130" s="45"/>
      <c r="H130" s="45"/>
      <c r="I130" s="45"/>
    </row>
    <row r="131" spans="1:9" ht="24.75" x14ac:dyDescent="0.25">
      <c r="A131" s="47" t="str">
        <f>A121</f>
        <v>XLI</v>
      </c>
      <c r="B131" s="25" t="s">
        <v>2531</v>
      </c>
      <c r="C131" s="25" t="s">
        <v>2532</v>
      </c>
      <c r="D131" s="26" t="s">
        <v>2533</v>
      </c>
      <c r="E131" s="26" t="s">
        <v>2534</v>
      </c>
      <c r="F131" s="24" t="s">
        <v>2545</v>
      </c>
      <c r="G131" s="45"/>
      <c r="H131" s="45"/>
      <c r="I131" s="45"/>
    </row>
    <row r="132" spans="1:9" x14ac:dyDescent="0.25">
      <c r="A132" s="32" t="s">
        <v>2539</v>
      </c>
      <c r="B132" s="15">
        <f>B122</f>
        <v>29</v>
      </c>
      <c r="C132" s="716">
        <f>IFERROR(B124,0)</f>
        <v>4.9648120397567989E-2</v>
      </c>
      <c r="D132" s="282">
        <f>B127</f>
        <v>36</v>
      </c>
      <c r="E132" s="718">
        <f>B129</f>
        <v>-3.2714538884720729E-2</v>
      </c>
      <c r="F132" s="710">
        <f>((C132/0.06)*B132)+((E132/0.06)*D132)</f>
        <v>4.3678681946587581</v>
      </c>
      <c r="G132" s="45"/>
      <c r="H132" s="45"/>
      <c r="I132" s="45"/>
    </row>
    <row r="133" spans="1:9" x14ac:dyDescent="0.25">
      <c r="A133" s="36" t="s">
        <v>2540</v>
      </c>
      <c r="B133" s="17">
        <f>IFERROR(B132/(B132+D132),0)</f>
        <v>0.44615384615384618</v>
      </c>
      <c r="C133" s="717"/>
      <c r="D133" s="33">
        <f>IF(AND(B132=0,D132=0),0,1-B133)</f>
        <v>0.55384615384615388</v>
      </c>
      <c r="E133" s="719"/>
      <c r="F133" s="712"/>
      <c r="G133" s="45"/>
      <c r="H133" s="45"/>
      <c r="I133" s="45"/>
    </row>
    <row r="134" spans="1:9" x14ac:dyDescent="0.25">
      <c r="A134" s="45"/>
      <c r="B134" s="45"/>
      <c r="C134" s="45"/>
      <c r="D134" s="45"/>
      <c r="E134" s="45"/>
      <c r="F134" s="45"/>
      <c r="G134" s="45"/>
      <c r="H134" s="45"/>
      <c r="I134" s="45"/>
    </row>
    <row r="135" spans="1:9" ht="38.25" x14ac:dyDescent="0.25">
      <c r="A135" s="47" t="str">
        <f>A121</f>
        <v>XLI</v>
      </c>
      <c r="B135" s="25" t="s">
        <v>2531</v>
      </c>
      <c r="C135" s="25" t="s">
        <v>2532</v>
      </c>
      <c r="D135" s="26" t="s">
        <v>2533</v>
      </c>
      <c r="E135" s="26" t="s">
        <v>2534</v>
      </c>
      <c r="F135" s="24" t="s">
        <v>2543</v>
      </c>
      <c r="G135" s="37" t="s">
        <v>2544</v>
      </c>
      <c r="H135" s="45"/>
      <c r="I135" s="45"/>
    </row>
    <row r="136" spans="1:9" x14ac:dyDescent="0.25">
      <c r="A136" s="401" t="s">
        <v>2530</v>
      </c>
      <c r="B136" s="15">
        <f>E122</f>
        <v>17</v>
      </c>
      <c r="C136" s="720">
        <f>IFERROR(AVERAGEIFS('2025-Q2'!$K$4:$K$422,'2025-Q2'!$K$4:$K$422,"&gt;0",'2025-Q2'!$T$4:$T$422,"NA",'2025-Q2'!$E$4:$E$422,'Q1-STATS'!$A121),0)</f>
        <v>5.3229448657496646E-2</v>
      </c>
      <c r="D136" s="39">
        <f>E127</f>
        <v>16</v>
      </c>
      <c r="E136" s="718">
        <f>IFERROR(AVERAGEIFS('2025-Q2'!$K$4:$K$422,'2025-Q2'!$K$4:$K$422,"&lt;0",'2025-Q2'!$T$4:$T$422,"NA",'2025-Q2'!$E$4:$E$422,'Q1-STATS'!$A121),0)</f>
        <v>-2.4912081745406114E-2</v>
      </c>
      <c r="F136" s="721">
        <f>((C136/0.06)*B136)+((E136/0.06)*D136)</f>
        <v>8.4384553208490871</v>
      </c>
      <c r="G136" s="722">
        <f>-((E136/0.06)*D136)-((C136/0.06)*B136)</f>
        <v>-8.4384553208490871</v>
      </c>
      <c r="H136" s="45"/>
      <c r="I136" s="45"/>
    </row>
    <row r="137" spans="1:9" x14ac:dyDescent="0.25">
      <c r="A137" s="36" t="s">
        <v>2540</v>
      </c>
      <c r="B137" s="281">
        <f>IFERROR((B136/(B136+D136)),0)</f>
        <v>0.51515151515151514</v>
      </c>
      <c r="C137" s="720"/>
      <c r="D137" s="33">
        <f>IF(AND(B136=0,D136=0),0,1-B137)</f>
        <v>0.48484848484848486</v>
      </c>
      <c r="E137" s="719"/>
      <c r="F137" s="721"/>
      <c r="G137" s="722"/>
      <c r="H137" s="45"/>
      <c r="I137" s="45"/>
    </row>
    <row r="138" spans="1:9" x14ac:dyDescent="0.25">
      <c r="A138" s="703" t="s">
        <v>2815</v>
      </c>
      <c r="B138" s="704"/>
      <c r="C138" s="704"/>
      <c r="D138" s="704"/>
      <c r="E138" s="704"/>
      <c r="F138" s="704"/>
      <c r="G138" s="704"/>
      <c r="H138" s="704"/>
      <c r="I138" s="704"/>
    </row>
    <row r="139" spans="1:9" x14ac:dyDescent="0.25">
      <c r="A139" s="704"/>
      <c r="B139" s="704"/>
      <c r="C139" s="704"/>
      <c r="D139" s="704"/>
      <c r="E139" s="704"/>
      <c r="F139" s="704"/>
      <c r="G139" s="704"/>
      <c r="H139" s="704"/>
      <c r="I139" s="704"/>
    </row>
    <row r="140" spans="1:9" x14ac:dyDescent="0.25">
      <c r="A140" s="704"/>
      <c r="B140" s="704"/>
      <c r="C140" s="704"/>
      <c r="D140" s="704"/>
      <c r="E140" s="704"/>
      <c r="F140" s="704"/>
      <c r="G140" s="704"/>
      <c r="H140" s="704"/>
      <c r="I140" s="704"/>
    </row>
    <row r="141" spans="1:9" ht="36" x14ac:dyDescent="0.25">
      <c r="A141" s="283" t="s">
        <v>2616</v>
      </c>
      <c r="B141" s="24" t="s">
        <v>2522</v>
      </c>
      <c r="C141" s="24" t="s">
        <v>2536</v>
      </c>
      <c r="D141" s="24" t="s">
        <v>2537</v>
      </c>
      <c r="E141" s="24" t="s">
        <v>2524</v>
      </c>
      <c r="F141" s="24" t="s">
        <v>2541</v>
      </c>
      <c r="G141" s="45"/>
      <c r="H141" s="45"/>
      <c r="I141" s="45"/>
    </row>
    <row r="142" spans="1:9" x14ac:dyDescent="0.25">
      <c r="A142" s="28" t="s">
        <v>2521</v>
      </c>
      <c r="B142" s="14">
        <f>COUNTIFS('2025-Q2'!$K$4:$K$422,"&gt;0",'2025-Q2'!$E$4:$E$422,'Q1-STATS'!$A141)</f>
        <v>0</v>
      </c>
      <c r="C142" s="14">
        <f>SUMIFS('2025-Q2'!$BC$4:$BC$422,'2025-Q2'!$E$4:$E$422,'Q1-STATS'!$A141)</f>
        <v>0</v>
      </c>
      <c r="D142" s="14">
        <f>SUMIFS('2025-Q2'!$BD$4:$BD$422,'2025-Q2'!$E$4:$E$422,'Q1-STATS'!$A141)</f>
        <v>0</v>
      </c>
      <c r="E142" s="14">
        <f>SUMIFS('2025-Q2'!$BE$4:$BE$422,'2025-Q2'!$E$4:$E$422,'Q1-STATS'!$A141)</f>
        <v>0</v>
      </c>
      <c r="F142" s="710">
        <f>((C144/0.06)*C142)+((D149/0.06)*D147)</f>
        <v>0</v>
      </c>
      <c r="G142" s="45"/>
      <c r="H142" s="713" t="s">
        <v>2620</v>
      </c>
      <c r="I142" s="45"/>
    </row>
    <row r="143" spans="1:9" x14ac:dyDescent="0.25">
      <c r="A143" s="27" t="s">
        <v>2525</v>
      </c>
      <c r="B143" s="16" t="s">
        <v>2526</v>
      </c>
      <c r="C143" s="17">
        <f>IFERROR(C142/$B142,0)</f>
        <v>0</v>
      </c>
      <c r="D143" s="17">
        <f t="shared" ref="D143" si="23">IFERROR(D142/$B142,0)</f>
        <v>0</v>
      </c>
      <c r="E143" s="17">
        <f t="shared" ref="E143" si="24">IFERROR(E142/$B142,0)</f>
        <v>0</v>
      </c>
      <c r="F143" s="711"/>
      <c r="G143" s="45"/>
      <c r="H143" s="714"/>
      <c r="I143" s="45"/>
    </row>
    <row r="144" spans="1:9" x14ac:dyDescent="0.25">
      <c r="A144" s="27" t="s">
        <v>2535</v>
      </c>
      <c r="B144" s="20">
        <f>IFERROR(AVERAGEIFS('2025-Q2'!$K$4:$K$422,'2025-Q2'!$K$4:$K$422,"&gt;0",'2025-Q2'!$E$4:$E$422,'Q1-STATS'!$A141),0)</f>
        <v>0</v>
      </c>
      <c r="C144" s="20">
        <f>IFERROR(AVERAGEIFS('2025-Q2'!$K$4:$K$422,'2025-Q2'!$K$4:$K$422,"&gt;0",'2025-Q2'!$E$4:$E$422,'Q1-STATS'!$A141,'2025-Q2'!$T$4:$T$422,"Yes"),0)</f>
        <v>0</v>
      </c>
      <c r="D144" s="20">
        <f>IFERROR(AVERAGEIFS('2025-Q2'!$K$4:$K$422,'2025-Q2'!$K$4:$K$422,"&gt;0",'2025-Q2'!$E$4:$E$422,'Q1-STATS'!$A141,'2025-Q2'!$T$4:$T$422,"No"),0)</f>
        <v>0</v>
      </c>
      <c r="E144" s="20">
        <f>IFERROR(AVERAGEIFS('2025-Q2'!$K$4:$K$422,'2025-Q2'!$K$4:$K$422,"&gt;0",'2025-Q2'!$E$4:$E$422,'Q1-STATS'!$A141,'2025-Q2'!$T$4:$T$422,"NA"),0)</f>
        <v>0</v>
      </c>
      <c r="F144" s="712"/>
      <c r="G144" s="45"/>
      <c r="H144" s="715"/>
      <c r="I144" s="45"/>
    </row>
    <row r="145" spans="1:9" x14ac:dyDescent="0.25">
      <c r="A145" s="45"/>
      <c r="B145" s="45"/>
      <c r="C145" s="45"/>
      <c r="D145" s="45"/>
      <c r="E145" s="45"/>
      <c r="F145" s="45"/>
      <c r="G145" s="45"/>
      <c r="H145" s="710">
        <f>F142+F147+F156</f>
        <v>0</v>
      </c>
      <c r="I145" s="45"/>
    </row>
    <row r="146" spans="1:9" ht="36" x14ac:dyDescent="0.25">
      <c r="A146" s="26" t="str">
        <f>A141</f>
        <v>XLRE</v>
      </c>
      <c r="B146" s="23" t="s">
        <v>2522</v>
      </c>
      <c r="C146" s="23" t="s">
        <v>2538</v>
      </c>
      <c r="D146" s="23" t="s">
        <v>2537</v>
      </c>
      <c r="E146" s="23" t="s">
        <v>2524</v>
      </c>
      <c r="F146" s="23" t="s">
        <v>2542</v>
      </c>
      <c r="G146" s="45"/>
      <c r="H146" s="712"/>
      <c r="I146" s="45"/>
    </row>
    <row r="147" spans="1:9" x14ac:dyDescent="0.25">
      <c r="A147" s="29" t="s">
        <v>2527</v>
      </c>
      <c r="B147" s="30">
        <f>COUNTIFS('2025-Q2'!$K$4:$K$422,"&lt;0",'2025-Q2'!$E$4:$E$422,'Q1-STATS'!$A146)</f>
        <v>0</v>
      </c>
      <c r="C147" s="30">
        <f>SUMIFS('2025-Q2'!$BG$4:$BG$422,'2025-Q2'!$E$4:$E$422,'Q1-STATS'!$A146)</f>
        <v>0</v>
      </c>
      <c r="D147" s="30">
        <f>SUMIFS('2025-Q2'!$BH$4:$BH$422,'2025-Q2'!$E$4:$E$422,'Q1-STATS'!$A146)</f>
        <v>0</v>
      </c>
      <c r="E147" s="30">
        <f>SUMIFS('2025-Q2'!$BI$4:$BI$422,'2025-Q2'!$E$4:$E$422,'Q1-STATS'!$A146)</f>
        <v>0</v>
      </c>
      <c r="F147" s="710">
        <f>-((C149/0.06)*C147)-((D144/0.06)*D142)</f>
        <v>0</v>
      </c>
      <c r="G147" s="45"/>
      <c r="H147" s="45"/>
      <c r="I147" s="45"/>
    </row>
    <row r="148" spans="1:9" x14ac:dyDescent="0.25">
      <c r="A148" s="31" t="s">
        <v>2528</v>
      </c>
      <c r="B148" s="18" t="s">
        <v>2526</v>
      </c>
      <c r="C148" s="19">
        <f>IFERROR(C147/$B147,0)</f>
        <v>0</v>
      </c>
      <c r="D148" s="19">
        <f>IFERROR(D147/$B147,0)</f>
        <v>0</v>
      </c>
      <c r="E148" s="19">
        <f>IFERROR(E147/$B147,0)</f>
        <v>0</v>
      </c>
      <c r="F148" s="711"/>
      <c r="G148" s="45"/>
      <c r="H148" s="45"/>
      <c r="I148" s="45"/>
    </row>
    <row r="149" spans="1:9" x14ac:dyDescent="0.25">
      <c r="A149" s="31" t="s">
        <v>2535</v>
      </c>
      <c r="B149" s="21">
        <f>IFERROR(AVERAGEIFS('2025-Q2'!$K$4:$K$422,'2025-Q2'!$K$4:$K$422,"&lt;0",'2025-Q2'!$E$4:$E$422,'Q1-STATS'!$A146),0)</f>
        <v>0</v>
      </c>
      <c r="C149" s="21">
        <f>IFERROR(AVERAGEIFS('2025-Q2'!$K$4:$K$422,'2025-Q2'!$K$4:$K$422,"&lt;0",'2025-Q2'!$E$4:$E$422,'Q1-STATS'!$A146,'2025-Q2'!$T$4:$T$422,"Yes"),0)</f>
        <v>0</v>
      </c>
      <c r="D149" s="21">
        <f>IFERROR(AVERAGEIFS('2025-Q2'!$K$4:$K$422,'2025-Q2'!$K$4:$K$422,"&lt;0",'2025-Q2'!$E$4:$E$422,'Q1-STATS'!$A146,'2025-Q2'!$T$4:$T$422,"No"),0)</f>
        <v>0</v>
      </c>
      <c r="E149" s="21">
        <f>IFERROR(AVERAGEIFS('2025-Q2'!$K$4:$K$422,'2025-Q2'!$K$4:$K$422,"&lt;0",'2025-Q2'!$E$4:$E$422,'Q1-STATS'!$A146,'2025-Q2'!$T$4:$T$422,"NA"),0)</f>
        <v>0</v>
      </c>
      <c r="F149" s="712"/>
      <c r="G149" s="45"/>
      <c r="H149" s="45"/>
      <c r="I149" s="45"/>
    </row>
    <row r="150" spans="1:9" x14ac:dyDescent="0.25">
      <c r="A150" s="45"/>
      <c r="B150" s="45"/>
      <c r="C150" s="45"/>
      <c r="D150" s="45"/>
      <c r="E150" s="45"/>
      <c r="F150" s="45"/>
      <c r="G150" s="45"/>
      <c r="H150" s="45"/>
      <c r="I150" s="45"/>
    </row>
    <row r="151" spans="1:9" ht="24.75" x14ac:dyDescent="0.25">
      <c r="A151" s="280" t="str">
        <f>A141</f>
        <v>XLRE</v>
      </c>
      <c r="B151" s="25" t="s">
        <v>2531</v>
      </c>
      <c r="C151" s="25" t="s">
        <v>2532</v>
      </c>
      <c r="D151" s="26" t="s">
        <v>2533</v>
      </c>
      <c r="E151" s="26" t="s">
        <v>2534</v>
      </c>
      <c r="F151" s="24" t="s">
        <v>2545</v>
      </c>
      <c r="G151" s="45"/>
      <c r="H151" s="45"/>
      <c r="I151" s="45"/>
    </row>
    <row r="152" spans="1:9" x14ac:dyDescent="0.25">
      <c r="A152" s="32" t="s">
        <v>2539</v>
      </c>
      <c r="B152" s="15">
        <f>B142</f>
        <v>0</v>
      </c>
      <c r="C152" s="716">
        <f>IFERROR(B144,0)</f>
        <v>0</v>
      </c>
      <c r="D152" s="282">
        <f>B147</f>
        <v>0</v>
      </c>
      <c r="E152" s="718">
        <f>B149</f>
        <v>0</v>
      </c>
      <c r="F152" s="710">
        <f>((C152/0.06)*B152)+((E152/0.06)*D152)</f>
        <v>0</v>
      </c>
      <c r="G152" s="45"/>
      <c r="H152" s="45"/>
      <c r="I152" s="45"/>
    </row>
    <row r="153" spans="1:9" x14ac:dyDescent="0.25">
      <c r="A153" s="36" t="s">
        <v>2540</v>
      </c>
      <c r="B153" s="17">
        <f>IFERROR(B152/(B152+D152),0)</f>
        <v>0</v>
      </c>
      <c r="C153" s="717"/>
      <c r="D153" s="33">
        <f>IF(AND(B152=0,D152=0),0,1-B153)</f>
        <v>0</v>
      </c>
      <c r="E153" s="719"/>
      <c r="F153" s="712"/>
      <c r="G153" s="45"/>
      <c r="H153" s="45"/>
      <c r="I153" s="45"/>
    </row>
    <row r="154" spans="1:9" x14ac:dyDescent="0.25">
      <c r="A154" s="45"/>
      <c r="B154" s="45"/>
      <c r="C154" s="45"/>
      <c r="D154" s="45"/>
      <c r="E154" s="45"/>
      <c r="F154" s="45"/>
      <c r="G154" s="45"/>
      <c r="H154" s="45"/>
      <c r="I154" s="45"/>
    </row>
    <row r="155" spans="1:9" ht="38.25" x14ac:dyDescent="0.25">
      <c r="A155" s="280" t="str">
        <f>A141</f>
        <v>XLRE</v>
      </c>
      <c r="B155" s="25" t="s">
        <v>2531</v>
      </c>
      <c r="C155" s="25" t="s">
        <v>2532</v>
      </c>
      <c r="D155" s="26" t="s">
        <v>2533</v>
      </c>
      <c r="E155" s="26" t="s">
        <v>2534</v>
      </c>
      <c r="F155" s="24" t="s">
        <v>2543</v>
      </c>
      <c r="G155" s="37" t="s">
        <v>2544</v>
      </c>
      <c r="H155" s="45"/>
      <c r="I155" s="45"/>
    </row>
    <row r="156" spans="1:9" x14ac:dyDescent="0.25">
      <c r="A156" s="401" t="s">
        <v>2530</v>
      </c>
      <c r="B156" s="15">
        <f>E142</f>
        <v>0</v>
      </c>
      <c r="C156" s="728">
        <f>IFERROR(AVERAGEIFS('2025-Q2'!$K$4:$K$422,'2025-Q2'!$K$4:$K$422,"&gt;0",'2025-Q2'!$T$4:$T$422,"NA",'2025-Q2'!$E$4:$E$422,'Q1-STATS'!$A141),0)</f>
        <v>0</v>
      </c>
      <c r="D156" s="39">
        <f>E147</f>
        <v>0</v>
      </c>
      <c r="E156" s="729">
        <f>IFERROR(AVERAGEIFS('2025-Q2'!$K$4:$K$422,'2025-Q2'!$K$4:$K$422,"&lt;0",'2025-Q2'!$T$4:$T$422,"NA",'2025-Q2'!$E$4:$E$422,'Q1-STATS'!$A141),0)</f>
        <v>0</v>
      </c>
      <c r="F156" s="721">
        <f>((C156/0.06)*B156)+((E156/0.06)*D156)</f>
        <v>0</v>
      </c>
      <c r="G156" s="722">
        <f>-((E156/0.06)*D156)-((C156/0.06)*B156)</f>
        <v>0</v>
      </c>
      <c r="H156" s="45"/>
      <c r="I156" s="45"/>
    </row>
    <row r="157" spans="1:9" x14ac:dyDescent="0.25">
      <c r="A157" s="36" t="s">
        <v>2540</v>
      </c>
      <c r="B157" s="38">
        <f>IFERROR((B156/(B156+D156)),0)</f>
        <v>0</v>
      </c>
      <c r="C157" s="728"/>
      <c r="D157" s="33">
        <f>IF(AND(B156=0,D156=0),0,1-B157)</f>
        <v>0</v>
      </c>
      <c r="E157" s="730"/>
      <c r="F157" s="721"/>
      <c r="G157" s="722"/>
      <c r="H157" s="45"/>
      <c r="I157" s="45"/>
    </row>
    <row r="158" spans="1:9" x14ac:dyDescent="0.25">
      <c r="A158" s="703" t="s">
        <v>2816</v>
      </c>
      <c r="B158" s="704"/>
      <c r="C158" s="704"/>
      <c r="D158" s="704"/>
      <c r="E158" s="704"/>
      <c r="F158" s="704"/>
      <c r="G158" s="704"/>
      <c r="H158" s="704"/>
      <c r="I158" s="704"/>
    </row>
    <row r="159" spans="1:9" x14ac:dyDescent="0.25">
      <c r="A159" s="704"/>
      <c r="B159" s="704"/>
      <c r="C159" s="704"/>
      <c r="D159" s="704"/>
      <c r="E159" s="704"/>
      <c r="F159" s="704"/>
      <c r="G159" s="704"/>
      <c r="H159" s="704"/>
      <c r="I159" s="704"/>
    </row>
    <row r="160" spans="1:9" x14ac:dyDescent="0.25">
      <c r="A160" s="704"/>
      <c r="B160" s="704"/>
      <c r="C160" s="704"/>
      <c r="D160" s="704"/>
      <c r="E160" s="704"/>
      <c r="F160" s="704"/>
      <c r="G160" s="704"/>
      <c r="H160" s="704"/>
      <c r="I160" s="704"/>
    </row>
    <row r="161" spans="1:9" ht="36" x14ac:dyDescent="0.25">
      <c r="A161" s="283" t="s">
        <v>2609</v>
      </c>
      <c r="B161" s="24" t="s">
        <v>2522</v>
      </c>
      <c r="C161" s="24" t="s">
        <v>2536</v>
      </c>
      <c r="D161" s="24" t="s">
        <v>2537</v>
      </c>
      <c r="E161" s="24" t="s">
        <v>2524</v>
      </c>
      <c r="F161" s="24" t="s">
        <v>2541</v>
      </c>
      <c r="G161" s="45"/>
      <c r="H161" s="45"/>
      <c r="I161" s="45"/>
    </row>
    <row r="162" spans="1:9" x14ac:dyDescent="0.25">
      <c r="A162" s="28" t="s">
        <v>2521</v>
      </c>
      <c r="B162" s="14">
        <f>COUNTIFS('2025-Q2'!$K$4:$K$422,"&gt;0",'2025-Q2'!$E$4:$E$422,'Q1-STATS'!$A161)</f>
        <v>11</v>
      </c>
      <c r="C162" s="14">
        <f>SUMIFS('2025-Q2'!$BC$4:$BC$422,'2025-Q2'!$E$4:$E$422,'Q1-STATS'!$A161)</f>
        <v>0</v>
      </c>
      <c r="D162" s="14">
        <f>SUMIFS('2025-Q2'!$BD$4:$BD$422,'2025-Q2'!$E$4:$E$422,'Q1-STATS'!$A161)</f>
        <v>6</v>
      </c>
      <c r="E162" s="14">
        <f>SUMIFS('2025-Q2'!$BE$4:$BE$422,'2025-Q2'!$E$4:$E$422,'Q1-STATS'!$A161)</f>
        <v>5</v>
      </c>
      <c r="F162" s="710">
        <f>((C164/0.06)*C162)+((D169/0.06)*D167)</f>
        <v>0</v>
      </c>
      <c r="G162" s="45"/>
      <c r="H162" s="713" t="s">
        <v>2620</v>
      </c>
      <c r="I162" s="45"/>
    </row>
    <row r="163" spans="1:9" x14ac:dyDescent="0.25">
      <c r="A163" s="27" t="s">
        <v>2525</v>
      </c>
      <c r="B163" s="16" t="s">
        <v>2526</v>
      </c>
      <c r="C163" s="17">
        <f>IFERROR(C162/$B162,0)</f>
        <v>0</v>
      </c>
      <c r="D163" s="17">
        <f>IFERROR(D162/$B162,0)</f>
        <v>0.54545454545454541</v>
      </c>
      <c r="E163" s="17">
        <f>IFERROR(E162/$B162,0)</f>
        <v>0.45454545454545453</v>
      </c>
      <c r="F163" s="711"/>
      <c r="G163" s="45"/>
      <c r="H163" s="714"/>
      <c r="I163" s="45"/>
    </row>
    <row r="164" spans="1:9" x14ac:dyDescent="0.25">
      <c r="A164" s="27" t="s">
        <v>2535</v>
      </c>
      <c r="B164" s="20">
        <f>IFERROR(AVERAGEIFS('2025-Q2'!$K$4:$K$422,'2025-Q2'!$K$4:$K$422,"&gt;0",'2025-Q2'!$E$4:$E$422,'Q1-STATS'!$A161),0)</f>
        <v>3.7831771620207406E-2</v>
      </c>
      <c r="C164" s="20">
        <f>IFERROR(AVERAGEIFS('2025-Q2'!$K$4:$K$422,'2025-Q2'!$K$4:$K$422,"&gt;0",'2025-Q2'!$E$4:$E$422,'Q1-STATS'!$A161,'2025-Q2'!$T$4:$T$422,"Yes"),0)</f>
        <v>0</v>
      </c>
      <c r="D164" s="20">
        <f>IFERROR(AVERAGEIFS('2025-Q2'!$K$4:$K$422,'2025-Q2'!$K$4:$K$422,"&gt;0",'2025-Q2'!$E$4:$E$422,'Q1-STATS'!$A161,'2025-Q2'!$T$4:$T$422,"No"),0)</f>
        <v>3.6130621868427824E-2</v>
      </c>
      <c r="E164" s="20">
        <f>IFERROR(AVERAGEIFS('2025-Q2'!$K$4:$K$422,'2025-Q2'!$K$4:$K$422,"&gt;0",'2025-Q2'!$E$4:$E$422,'Q1-STATS'!$A161,'2025-Q2'!$T$4:$T$422,"NA"),0)</f>
        <v>3.9873151322342898E-2</v>
      </c>
      <c r="F164" s="712"/>
      <c r="G164" s="45"/>
      <c r="H164" s="715"/>
      <c r="I164" s="45"/>
    </row>
    <row r="165" spans="1:9" x14ac:dyDescent="0.25">
      <c r="A165" s="45"/>
      <c r="B165" s="45"/>
      <c r="C165" s="45"/>
      <c r="D165" s="45"/>
      <c r="E165" s="45"/>
      <c r="F165" s="45"/>
      <c r="G165" s="45"/>
      <c r="H165" s="710">
        <f>F162+F167+F176</f>
        <v>4.2644911143566429</v>
      </c>
      <c r="I165" s="45"/>
    </row>
    <row r="166" spans="1:9" ht="36" x14ac:dyDescent="0.25">
      <c r="A166" s="26" t="str">
        <f>A161</f>
        <v>XLB</v>
      </c>
      <c r="B166" s="23" t="s">
        <v>2522</v>
      </c>
      <c r="C166" s="23" t="s">
        <v>2538</v>
      </c>
      <c r="D166" s="23" t="s">
        <v>2537</v>
      </c>
      <c r="E166" s="23" t="s">
        <v>2524</v>
      </c>
      <c r="F166" s="23" t="s">
        <v>2542</v>
      </c>
      <c r="G166" s="45"/>
      <c r="H166" s="712"/>
      <c r="I166" s="45"/>
    </row>
    <row r="167" spans="1:9" x14ac:dyDescent="0.25">
      <c r="A167" s="29" t="s">
        <v>2527</v>
      </c>
      <c r="B167" s="30">
        <f>COUNTIFS('2025-Q2'!$K$4:$K$422,"&lt;0",'2025-Q2'!$E$4:$E$422,'Q1-STATS'!$A166)</f>
        <v>16</v>
      </c>
      <c r="C167" s="30">
        <f>SUMIFS('2025-Q2'!$BG$4:$BG$422,'2025-Q2'!$E$4:$E$422,'Q1-STATS'!$A166)</f>
        <v>13</v>
      </c>
      <c r="D167" s="30">
        <f>SUMIFS('2025-Q2'!$BH$4:$BH$422,'2025-Q2'!$E$4:$E$422,'Q1-STATS'!$A166)</f>
        <v>0</v>
      </c>
      <c r="E167" s="30">
        <f>SUMIFS('2025-Q2'!$BI$4:$BI$422,'2025-Q2'!$E$4:$E$422,'Q1-STATS'!$A166)</f>
        <v>3</v>
      </c>
      <c r="F167" s="710">
        <f>-((C169/0.06)*C167)-((D164/0.06)*D162)</f>
        <v>2.4788862078089959</v>
      </c>
      <c r="G167" s="45"/>
      <c r="H167" s="45"/>
      <c r="I167" s="45"/>
    </row>
    <row r="168" spans="1:9" x14ac:dyDescent="0.25">
      <c r="A168" s="31" t="s">
        <v>2528</v>
      </c>
      <c r="B168" s="18" t="s">
        <v>2526</v>
      </c>
      <c r="C168" s="19">
        <f>IFERROR(C167/$B167,0)</f>
        <v>0.8125</v>
      </c>
      <c r="D168" s="19">
        <f>IFERROR(D167/$B167,0)</f>
        <v>0</v>
      </c>
      <c r="E168" s="19">
        <f>IFERROR(E167/$B167,0)</f>
        <v>0.1875</v>
      </c>
      <c r="F168" s="711"/>
      <c r="G168" s="45"/>
      <c r="H168" s="45"/>
      <c r="I168" s="45"/>
    </row>
    <row r="169" spans="1:9" x14ac:dyDescent="0.25">
      <c r="A169" s="31" t="s">
        <v>2535</v>
      </c>
      <c r="B169" s="21">
        <f>IFERROR(AVERAGEIFS('2025-Q2'!$K$4:$K$422,'2025-Q2'!$K$4:$K$422,"&lt;0",'2025-Q2'!$E$4:$E$422,'Q1-STATS'!$A166),0)</f>
        <v>-2.8609147868622644E-2</v>
      </c>
      <c r="C169" s="21">
        <f>IFERROR(AVERAGEIFS('2025-Q2'!$K$4:$K$422,'2025-Q2'!$K$4:$K$422,"&lt;0",'2025-Q2'!$E$4:$E$422,'Q1-STATS'!$A166,'2025-Q2'!$T$4:$T$422,"Yes"),0)</f>
        <v>-2.8116684898392821E-2</v>
      </c>
      <c r="D169" s="21">
        <f>IFERROR(AVERAGEIFS('2025-Q2'!$K$4:$K$422,'2025-Q2'!$K$4:$K$422,"&lt;0",'2025-Q2'!$E$4:$E$422,'Q1-STATS'!$A166,'2025-Q2'!$T$4:$T$422,"No"),0)</f>
        <v>0</v>
      </c>
      <c r="E169" s="21">
        <f>IFERROR(AVERAGEIFS('2025-Q2'!$K$4:$K$422,'2025-Q2'!$K$4:$K$422,"&lt;0",'2025-Q2'!$E$4:$E$422,'Q1-STATS'!$A166,'2025-Q2'!$T$4:$T$422,"NA"),0)</f>
        <v>-3.0743154072951889E-2</v>
      </c>
      <c r="F169" s="712"/>
      <c r="G169" s="45"/>
      <c r="H169" s="45"/>
      <c r="I169" s="45"/>
    </row>
    <row r="170" spans="1:9" x14ac:dyDescent="0.25">
      <c r="A170" s="45"/>
      <c r="B170" s="45"/>
      <c r="C170" s="45"/>
      <c r="D170" s="45"/>
      <c r="E170" s="45"/>
      <c r="F170" s="45"/>
      <c r="G170" s="45"/>
      <c r="H170" s="45"/>
      <c r="I170" s="45"/>
    </row>
    <row r="171" spans="1:9" ht="24.75" x14ac:dyDescent="0.25">
      <c r="A171" s="280" t="str">
        <f>A161</f>
        <v>XLB</v>
      </c>
      <c r="B171" s="25" t="s">
        <v>2531</v>
      </c>
      <c r="C171" s="25" t="s">
        <v>2532</v>
      </c>
      <c r="D171" s="26" t="s">
        <v>2533</v>
      </c>
      <c r="E171" s="26" t="s">
        <v>2534</v>
      </c>
      <c r="F171" s="24" t="s">
        <v>2545</v>
      </c>
      <c r="G171" s="45"/>
      <c r="H171" s="45"/>
      <c r="I171" s="45"/>
    </row>
    <row r="172" spans="1:9" x14ac:dyDescent="0.25">
      <c r="A172" s="32" t="s">
        <v>2539</v>
      </c>
      <c r="B172" s="15">
        <f>B162</f>
        <v>11</v>
      </c>
      <c r="C172" s="716">
        <f>IFERROR(B164,0)</f>
        <v>3.7831771620207406E-2</v>
      </c>
      <c r="D172" s="282">
        <f>B167</f>
        <v>16</v>
      </c>
      <c r="E172" s="718">
        <f>B169</f>
        <v>-2.8609147868622644E-2</v>
      </c>
      <c r="F172" s="710">
        <f>((C172/0.06)*B172)+((E172/0.06)*D172)</f>
        <v>-0.69328130126134813</v>
      </c>
      <c r="G172" s="45"/>
      <c r="H172" s="45"/>
      <c r="I172" s="45"/>
    </row>
    <row r="173" spans="1:9" x14ac:dyDescent="0.25">
      <c r="A173" s="36" t="s">
        <v>2540</v>
      </c>
      <c r="B173" s="17">
        <f>IFERROR(B172/(B172+D172),0)</f>
        <v>0.40740740740740738</v>
      </c>
      <c r="C173" s="717"/>
      <c r="D173" s="33">
        <f>IF(AND(B172=0,D172=0),0,1-B173)</f>
        <v>0.59259259259259256</v>
      </c>
      <c r="E173" s="719"/>
      <c r="F173" s="712"/>
      <c r="G173" s="45"/>
      <c r="H173" s="45"/>
      <c r="I173" s="45"/>
    </row>
    <row r="174" spans="1:9" x14ac:dyDescent="0.25">
      <c r="A174" s="45"/>
      <c r="B174" s="45"/>
      <c r="C174" s="45"/>
      <c r="D174" s="45"/>
      <c r="E174" s="45"/>
      <c r="F174" s="45"/>
      <c r="G174" s="45"/>
      <c r="H174" s="45"/>
      <c r="I174" s="45"/>
    </row>
    <row r="175" spans="1:9" ht="38.25" x14ac:dyDescent="0.25">
      <c r="A175" s="280" t="str">
        <f>A161</f>
        <v>XLB</v>
      </c>
      <c r="B175" s="25" t="s">
        <v>2531</v>
      </c>
      <c r="C175" s="25" t="s">
        <v>2532</v>
      </c>
      <c r="D175" s="26" t="s">
        <v>2533</v>
      </c>
      <c r="E175" s="26" t="s">
        <v>2534</v>
      </c>
      <c r="F175" s="24" t="s">
        <v>2543</v>
      </c>
      <c r="G175" s="37" t="s">
        <v>2544</v>
      </c>
      <c r="H175" s="45"/>
      <c r="I175" s="45"/>
    </row>
    <row r="176" spans="1:9" x14ac:dyDescent="0.25">
      <c r="A176" s="401" t="s">
        <v>2530</v>
      </c>
      <c r="B176" s="15">
        <f>E162</f>
        <v>5</v>
      </c>
      <c r="C176" s="728">
        <f>IFERROR(AVERAGEIFS('2025-Q2'!$K$4:$K$422,'2025-Q2'!$K$4:$K$422,"&gt;0",'2025-Q2'!$T$4:$T$422,"NA",'2025-Q2'!$E$4:$E$422,'Q1-STATS'!$A161),0)</f>
        <v>3.9873151322342898E-2</v>
      </c>
      <c r="D176" s="39">
        <f>E167</f>
        <v>3</v>
      </c>
      <c r="E176" s="729">
        <f>IFERROR(AVERAGEIFS('2025-Q2'!$K$4:$K$422,'2025-Q2'!$K$4:$K$422,"&lt;0",'2025-Q2'!$T$4:$T$422,"NA",'2025-Q2'!$E$4:$E$422,'Q1-STATS'!$A161),0)</f>
        <v>-3.0743154072951889E-2</v>
      </c>
      <c r="F176" s="721">
        <f>((C176/0.06)*B176)+((E176/0.06)*D176)</f>
        <v>1.7856049065476474</v>
      </c>
      <c r="G176" s="722">
        <f>-((E176/0.06)*D176)-((C176/0.06)*B176)</f>
        <v>-1.7856049065476474</v>
      </c>
      <c r="H176" s="45"/>
      <c r="I176" s="45"/>
    </row>
    <row r="177" spans="1:9" x14ac:dyDescent="0.25">
      <c r="A177" s="36" t="s">
        <v>2540</v>
      </c>
      <c r="B177" s="38">
        <f>IFERROR((B176/(B176+D176)),0)</f>
        <v>0.625</v>
      </c>
      <c r="C177" s="728"/>
      <c r="D177" s="33">
        <f>IF(AND(B176=0,D176=0),0,1-B177)</f>
        <v>0.375</v>
      </c>
      <c r="E177" s="730"/>
      <c r="F177" s="721"/>
      <c r="G177" s="722"/>
      <c r="H177" s="45"/>
      <c r="I177" s="45"/>
    </row>
    <row r="178" spans="1:9" x14ac:dyDescent="0.25">
      <c r="A178" s="703" t="s">
        <v>2817</v>
      </c>
      <c r="B178" s="704"/>
      <c r="C178" s="704"/>
      <c r="D178" s="704"/>
      <c r="E178" s="704"/>
      <c r="F178" s="704"/>
      <c r="G178" s="704"/>
      <c r="H178" s="704"/>
      <c r="I178" s="704"/>
    </row>
    <row r="179" spans="1:9" x14ac:dyDescent="0.25">
      <c r="A179" s="704"/>
      <c r="B179" s="704"/>
      <c r="C179" s="704"/>
      <c r="D179" s="704"/>
      <c r="E179" s="704"/>
      <c r="F179" s="704"/>
      <c r="G179" s="704"/>
      <c r="H179" s="704"/>
      <c r="I179" s="704"/>
    </row>
    <row r="180" spans="1:9" x14ac:dyDescent="0.25">
      <c r="A180" s="704"/>
      <c r="B180" s="704"/>
      <c r="C180" s="704"/>
      <c r="D180" s="704"/>
      <c r="E180" s="704"/>
      <c r="F180" s="704"/>
      <c r="G180" s="704"/>
      <c r="H180" s="704"/>
      <c r="I180" s="704"/>
    </row>
    <row r="181" spans="1:9" ht="36" x14ac:dyDescent="0.25">
      <c r="A181" s="283" t="s">
        <v>2611</v>
      </c>
      <c r="B181" s="24" t="s">
        <v>2522</v>
      </c>
      <c r="C181" s="24" t="s">
        <v>2536</v>
      </c>
      <c r="D181" s="24" t="s">
        <v>2537</v>
      </c>
      <c r="E181" s="24" t="s">
        <v>2524</v>
      </c>
      <c r="F181" s="24" t="s">
        <v>2541</v>
      </c>
      <c r="G181" s="45"/>
      <c r="H181" s="45"/>
      <c r="I181" s="45"/>
    </row>
    <row r="182" spans="1:9" x14ac:dyDescent="0.25">
      <c r="A182" s="28" t="s">
        <v>2521</v>
      </c>
      <c r="B182" s="14">
        <f>COUNTIFS('2025-Q2'!$K$4:$K$422,"&gt;0",'2025-Q2'!$E$4:$E$422,'Q1-STATS'!$A181)</f>
        <v>6</v>
      </c>
      <c r="C182" s="14">
        <f>SUMIFS('2025-Q2'!$BC$4:$BC$422,'2025-Q2'!$E$4:$E$422,'Q1-STATS'!$A181)</f>
        <v>0</v>
      </c>
      <c r="D182" s="14">
        <f>SUMIFS('2025-Q2'!$BD$4:$BD$422,'2025-Q2'!$E$4:$E$422,'Q1-STATS'!$A181)</f>
        <v>5</v>
      </c>
      <c r="E182" s="14">
        <f>SUMIFS('2025-Q2'!$BE$4:$BE$422,'2025-Q2'!$E$4:$E$422,'Q1-STATS'!$A181)</f>
        <v>1</v>
      </c>
      <c r="F182" s="710">
        <f>((C184/0.06)*C182)+((D189/0.06)*D187)</f>
        <v>-0.2714531050911318</v>
      </c>
      <c r="G182" s="45"/>
      <c r="H182" s="713" t="s">
        <v>2620</v>
      </c>
      <c r="I182" s="45"/>
    </row>
    <row r="183" spans="1:9" x14ac:dyDescent="0.25">
      <c r="A183" s="27" t="s">
        <v>2525</v>
      </c>
      <c r="B183" s="16" t="s">
        <v>2526</v>
      </c>
      <c r="C183" s="17">
        <f>IFERROR(C182/$B182,0)</f>
        <v>0</v>
      </c>
      <c r="D183" s="17">
        <f>IFERROR(D182/$B182,0)</f>
        <v>0.83333333333333337</v>
      </c>
      <c r="E183" s="17">
        <f>IFERROR(E182/$B182,0)</f>
        <v>0.16666666666666666</v>
      </c>
      <c r="F183" s="711"/>
      <c r="G183" s="45"/>
      <c r="H183" s="714"/>
      <c r="I183" s="45"/>
    </row>
    <row r="184" spans="1:9" x14ac:dyDescent="0.25">
      <c r="A184" s="27" t="s">
        <v>2535</v>
      </c>
      <c r="B184" s="20">
        <f>IFERROR(AVERAGEIFS('2025-Q2'!$K$4:$K$422,'2025-Q2'!$K$4:$K$422,"&gt;0",'2025-Q2'!$E$4:$E$422,'Q1-STATS'!$A181),0)</f>
        <v>1.6977055049360614E-2</v>
      </c>
      <c r="C184" s="20">
        <f>IFERROR(AVERAGEIFS('2025-Q2'!$K$4:$K$422,'2025-Q2'!$K$4:$K$422,"&gt;0",'2025-Q2'!$E$4:$E$422,'Q1-STATS'!$A181,'2025-Q2'!$T$4:$T$422,"Yes"),0)</f>
        <v>0</v>
      </c>
      <c r="D184" s="20">
        <f>IFERROR(AVERAGEIFS('2025-Q2'!$K$4:$K$422,'2025-Q2'!$K$4:$K$422,"&gt;0",'2025-Q2'!$E$4:$E$422,'Q1-STATS'!$A181,'2025-Q2'!$T$4:$T$422,"No"),0)</f>
        <v>1.4360524531540745E-2</v>
      </c>
      <c r="E184" s="20">
        <f>IFERROR(AVERAGEIFS('2025-Q2'!$K$4:$K$422,'2025-Q2'!$K$4:$K$422,"&gt;0",'2025-Q2'!$E$4:$E$422,'Q1-STATS'!$A181,'2025-Q2'!$T$4:$T$422,"NA"),0)</f>
        <v>3.005970763845997E-2</v>
      </c>
      <c r="F184" s="712"/>
      <c r="G184" s="45"/>
      <c r="H184" s="715"/>
      <c r="I184" s="45"/>
    </row>
    <row r="185" spans="1:9" x14ac:dyDescent="0.25">
      <c r="A185" s="45"/>
      <c r="B185" s="45"/>
      <c r="C185" s="45"/>
      <c r="D185" s="45"/>
      <c r="E185" s="45"/>
      <c r="F185" s="45"/>
      <c r="G185" s="45"/>
      <c r="H185" s="710">
        <f>F182+F187+F196</f>
        <v>0.33127831379592731</v>
      </c>
      <c r="I185" s="45"/>
    </row>
    <row r="186" spans="1:9" ht="36" x14ac:dyDescent="0.25">
      <c r="A186" s="26" t="str">
        <f>A181</f>
        <v>XLE</v>
      </c>
      <c r="B186" s="23" t="s">
        <v>2522</v>
      </c>
      <c r="C186" s="23" t="s">
        <v>2538</v>
      </c>
      <c r="D186" s="23" t="s">
        <v>2537</v>
      </c>
      <c r="E186" s="23" t="s">
        <v>2524</v>
      </c>
      <c r="F186" s="23" t="s">
        <v>2542</v>
      </c>
      <c r="G186" s="45"/>
      <c r="H186" s="712"/>
      <c r="I186" s="45"/>
    </row>
    <row r="187" spans="1:9" x14ac:dyDescent="0.25">
      <c r="A187" s="29" t="s">
        <v>2527</v>
      </c>
      <c r="B187" s="30">
        <f>COUNTIFS('2025-Q2'!$K$4:$K$422,"&lt;0",'2025-Q2'!$E$4:$E$422,'Q1-STATS'!$A186)</f>
        <v>7</v>
      </c>
      <c r="C187" s="30">
        <f>SUMIFS('2025-Q2'!$BG$4:$BG$422,'2025-Q2'!$E$4:$E$422,'Q1-STATS'!$A186)</f>
        <v>4</v>
      </c>
      <c r="D187" s="30">
        <f>SUMIFS('2025-Q2'!$BH$4:$BH$422,'2025-Q2'!$E$4:$E$422,'Q1-STATS'!$A186)</f>
        <v>1</v>
      </c>
      <c r="E187" s="30">
        <f>SUMIFS('2025-Q2'!$BI$4:$BI$422,'2025-Q2'!$E$4:$E$422,'Q1-STATS'!$A186)</f>
        <v>2</v>
      </c>
      <c r="F187" s="710">
        <f>-((C189/0.06)*C187)-((D184/0.06)*D182)</f>
        <v>0.89084290967454161</v>
      </c>
      <c r="G187" s="45"/>
      <c r="H187" s="45"/>
      <c r="I187" s="45"/>
    </row>
    <row r="188" spans="1:9" x14ac:dyDescent="0.25">
      <c r="A188" s="31" t="s">
        <v>2528</v>
      </c>
      <c r="B188" s="18" t="s">
        <v>2526</v>
      </c>
      <c r="C188" s="19">
        <f>IFERROR(C187/$B187,0)</f>
        <v>0.5714285714285714</v>
      </c>
      <c r="D188" s="19">
        <f>IFERROR(D187/$B187,0)</f>
        <v>0.14285714285714285</v>
      </c>
      <c r="E188" s="19">
        <f>IFERROR(E187/$B187,0)</f>
        <v>0.2857142857142857</v>
      </c>
      <c r="F188" s="711"/>
      <c r="G188" s="45"/>
      <c r="H188" s="45"/>
      <c r="I188" s="45"/>
    </row>
    <row r="189" spans="1:9" x14ac:dyDescent="0.25">
      <c r="A189" s="31" t="s">
        <v>2535</v>
      </c>
      <c r="B189" s="21">
        <f>IFERROR(AVERAGEIFS('2025-Q2'!$K$4:$K$422,'2025-Q2'!$K$4:$K$422,"&lt;0",'2025-Q2'!$E$4:$E$422,'Q1-STATS'!$A186),0)</f>
        <v>-2.6983825804193302E-2</v>
      </c>
      <c r="C189" s="21">
        <f>IFERROR(AVERAGEIFS('2025-Q2'!$K$4:$K$422,'2025-Q2'!$K$4:$K$422,"&lt;0",'2025-Q2'!$E$4:$E$422,'Q1-STATS'!$A186,'2025-Q2'!$T$4:$T$422,"Yes"),0)</f>
        <v>-3.131329930954406E-2</v>
      </c>
      <c r="D189" s="21">
        <f>IFERROR(AVERAGEIFS('2025-Q2'!$K$4:$K$422,'2025-Q2'!$K$4:$K$422,"&lt;0",'2025-Q2'!$E$4:$E$422,'Q1-STATS'!$A186,'2025-Q2'!$T$4:$T$422,"No"),0)</f>
        <v>-1.6287186305467907E-2</v>
      </c>
      <c r="E189" s="21">
        <f>IFERROR(AVERAGEIFS('2025-Q2'!$K$4:$K$422,'2025-Q2'!$K$4:$K$422,"&lt;0",'2025-Q2'!$E$4:$E$422,'Q1-STATS'!$A186,'2025-Q2'!$T$4:$T$422,"NA"),0)</f>
        <v>-2.3673198542854459E-2</v>
      </c>
      <c r="F189" s="712"/>
      <c r="G189" s="45"/>
      <c r="H189" s="45"/>
      <c r="I189" s="45"/>
    </row>
    <row r="190" spans="1:9" x14ac:dyDescent="0.25">
      <c r="A190" s="45"/>
      <c r="B190" s="45"/>
      <c r="C190" s="45"/>
      <c r="D190" s="45"/>
      <c r="E190" s="45"/>
      <c r="F190" s="45"/>
      <c r="G190" s="45"/>
      <c r="H190" s="45"/>
      <c r="I190" s="45"/>
    </row>
    <row r="191" spans="1:9" ht="24.75" x14ac:dyDescent="0.25">
      <c r="A191" s="280" t="str">
        <f>A181</f>
        <v>XLE</v>
      </c>
      <c r="B191" s="25" t="s">
        <v>2531</v>
      </c>
      <c r="C191" s="25" t="s">
        <v>2532</v>
      </c>
      <c r="D191" s="26" t="s">
        <v>2533</v>
      </c>
      <c r="E191" s="26" t="s">
        <v>2534</v>
      </c>
      <c r="F191" s="24" t="s">
        <v>2545</v>
      </c>
      <c r="G191" s="45"/>
      <c r="H191" s="45"/>
      <c r="I191" s="45"/>
    </row>
    <row r="192" spans="1:9" x14ac:dyDescent="0.25">
      <c r="A192" s="32" t="s">
        <v>2539</v>
      </c>
      <c r="B192" s="15">
        <f>B182</f>
        <v>6</v>
      </c>
      <c r="C192" s="716">
        <f>IFERROR(B184,0)</f>
        <v>1.6977055049360614E-2</v>
      </c>
      <c r="D192" s="282">
        <f>B187</f>
        <v>7</v>
      </c>
      <c r="E192" s="718">
        <f>B189</f>
        <v>-2.6983825804193302E-2</v>
      </c>
      <c r="F192" s="710">
        <f>((C192/0.06)*B192)+((E192/0.06)*D192)</f>
        <v>-1.4504075055531573</v>
      </c>
      <c r="G192" s="45"/>
      <c r="H192" s="45"/>
      <c r="I192" s="45"/>
    </row>
    <row r="193" spans="1:9" x14ac:dyDescent="0.25">
      <c r="A193" s="36" t="s">
        <v>2540</v>
      </c>
      <c r="B193" s="17">
        <f>IFERROR(B192/(B192+D192),0)</f>
        <v>0.46153846153846156</v>
      </c>
      <c r="C193" s="717"/>
      <c r="D193" s="33">
        <f>IF(AND(B192=0,D192=0),0,1-B193)</f>
        <v>0.53846153846153844</v>
      </c>
      <c r="E193" s="719"/>
      <c r="F193" s="712"/>
      <c r="G193" s="45"/>
      <c r="H193" s="45"/>
      <c r="I193" s="45"/>
    </row>
    <row r="194" spans="1:9" x14ac:dyDescent="0.25">
      <c r="A194" s="45"/>
      <c r="B194" s="45"/>
      <c r="C194" s="45"/>
      <c r="D194" s="45"/>
      <c r="E194" s="45"/>
      <c r="F194" s="45"/>
      <c r="G194" s="45"/>
      <c r="H194" s="45"/>
      <c r="I194" s="45"/>
    </row>
    <row r="195" spans="1:9" ht="38.25" x14ac:dyDescent="0.25">
      <c r="A195" s="280" t="str">
        <f>A181</f>
        <v>XLE</v>
      </c>
      <c r="B195" s="25" t="s">
        <v>2531</v>
      </c>
      <c r="C195" s="25" t="s">
        <v>2532</v>
      </c>
      <c r="D195" s="26" t="s">
        <v>2533</v>
      </c>
      <c r="E195" s="26" t="s">
        <v>2534</v>
      </c>
      <c r="F195" s="24" t="s">
        <v>2543</v>
      </c>
      <c r="G195" s="37" t="s">
        <v>2544</v>
      </c>
      <c r="H195" s="45"/>
      <c r="I195" s="45"/>
    </row>
    <row r="196" spans="1:9" x14ac:dyDescent="0.25">
      <c r="A196" s="401" t="s">
        <v>2530</v>
      </c>
      <c r="B196" s="15">
        <f>E182</f>
        <v>1</v>
      </c>
      <c r="C196" s="720">
        <f>IFERROR(AVERAGEIFS('2025-Q2'!$K$4:$K$422,'2025-Q2'!$K$4:$K$422,"&gt;0",'2025-Q2'!$T$4:$T$422,"NA",'2025-Q2'!$E$4:$E$422,'Q1-STATS'!$A181),0)</f>
        <v>3.005970763845997E-2</v>
      </c>
      <c r="D196" s="39">
        <f>E187</f>
        <v>2</v>
      </c>
      <c r="E196" s="718">
        <f>IFERROR(AVERAGEIFS('2025-Q2'!$K$4:$K$422,'2025-Q2'!$K$4:$K$422,"&lt;0",'2025-Q2'!$T$4:$T$422,"NA",'2025-Q2'!$E$4:$E$422,'Q1-STATS'!$A181),0)</f>
        <v>-2.3673198542854459E-2</v>
      </c>
      <c r="F196" s="721">
        <f>((C196/0.06)*B196)+((E196/0.06)*D196)</f>
        <v>-0.28811149078748255</v>
      </c>
      <c r="G196" s="722">
        <f>-((E196/0.06)*D196)-((C196/0.06)*B196)</f>
        <v>0.28811149078748255</v>
      </c>
      <c r="H196" s="45"/>
      <c r="I196" s="45"/>
    </row>
    <row r="197" spans="1:9" x14ac:dyDescent="0.25">
      <c r="A197" s="36" t="s">
        <v>2540</v>
      </c>
      <c r="B197" s="281">
        <f>IFERROR((B196/(B196+D196)),0)</f>
        <v>0.33333333333333331</v>
      </c>
      <c r="C197" s="720"/>
      <c r="D197" s="33">
        <f>IF(AND(B196=0,D196=0),0,1-B197)</f>
        <v>0.66666666666666674</v>
      </c>
      <c r="E197" s="719"/>
      <c r="F197" s="721"/>
      <c r="G197" s="722"/>
      <c r="H197" s="45"/>
      <c r="I197" s="45"/>
    </row>
    <row r="198" spans="1:9" x14ac:dyDescent="0.25">
      <c r="A198" s="703" t="s">
        <v>2818</v>
      </c>
      <c r="B198" s="704"/>
      <c r="C198" s="704"/>
      <c r="D198" s="704"/>
      <c r="E198" s="704"/>
      <c r="F198" s="704"/>
      <c r="G198" s="704"/>
      <c r="H198" s="704"/>
      <c r="I198" s="704"/>
    </row>
    <row r="199" spans="1:9" x14ac:dyDescent="0.25">
      <c r="A199" s="704"/>
      <c r="B199" s="704"/>
      <c r="C199" s="704"/>
      <c r="D199" s="704"/>
      <c r="E199" s="704"/>
      <c r="F199" s="704"/>
      <c r="G199" s="704"/>
      <c r="H199" s="704"/>
      <c r="I199" s="704"/>
    </row>
    <row r="200" spans="1:9" x14ac:dyDescent="0.25">
      <c r="A200" s="704"/>
      <c r="B200" s="704"/>
      <c r="C200" s="704"/>
      <c r="D200" s="704"/>
      <c r="E200" s="704"/>
      <c r="F200" s="704"/>
      <c r="G200" s="704"/>
      <c r="H200" s="704"/>
      <c r="I200" s="704"/>
    </row>
    <row r="201" spans="1:9" ht="36" x14ac:dyDescent="0.25">
      <c r="A201" s="283" t="s">
        <v>2619</v>
      </c>
      <c r="B201" s="24" t="s">
        <v>2522</v>
      </c>
      <c r="C201" s="24" t="s">
        <v>2536</v>
      </c>
      <c r="D201" s="24" t="s">
        <v>2537</v>
      </c>
      <c r="E201" s="24" t="s">
        <v>2524</v>
      </c>
      <c r="F201" s="24" t="s">
        <v>2541</v>
      </c>
      <c r="G201" s="45"/>
      <c r="H201" s="45"/>
      <c r="I201" s="45"/>
    </row>
    <row r="202" spans="1:9" x14ac:dyDescent="0.25">
      <c r="A202" s="28" t="s">
        <v>2521</v>
      </c>
      <c r="B202" s="14">
        <f>COUNTIFS('2025-Q2'!$K$4:$K$422,"&gt;0",'2025-Q2'!$E$4:$E$422,'Q1-STATS'!$A201)</f>
        <v>26</v>
      </c>
      <c r="C202" s="14">
        <f>SUMIFS('2025-Q2'!$BC$4:$BC$422,'2025-Q2'!$E$4:$E$422,'Q1-STATS'!$A201)</f>
        <v>2</v>
      </c>
      <c r="D202" s="14">
        <f>SUMIFS('2025-Q2'!$BD$4:$BD$422,'2025-Q2'!$E$4:$E$422,'Q1-STATS'!$A201)</f>
        <v>10</v>
      </c>
      <c r="E202" s="14">
        <f>SUMIFS('2025-Q2'!$BE$4:$BE$422,'2025-Q2'!$E$4:$E$422,'Q1-STATS'!$A201)</f>
        <v>14</v>
      </c>
      <c r="F202" s="710">
        <f>((C204/0.06)*C202)+((D209/0.06)*D207)</f>
        <v>-7.7830097399790805</v>
      </c>
      <c r="G202" s="45"/>
      <c r="H202" s="713" t="s">
        <v>2620</v>
      </c>
      <c r="I202" s="45"/>
    </row>
    <row r="203" spans="1:9" x14ac:dyDescent="0.25">
      <c r="A203" s="27" t="s">
        <v>2525</v>
      </c>
      <c r="B203" s="16" t="s">
        <v>2526</v>
      </c>
      <c r="C203" s="17">
        <f>IFERROR(C202/$B202,0)</f>
        <v>7.6923076923076927E-2</v>
      </c>
      <c r="D203" s="17">
        <f>IFERROR(D202/$B202,0)</f>
        <v>0.38461538461538464</v>
      </c>
      <c r="E203" s="17">
        <f>IFERROR(E202/$B202,0)</f>
        <v>0.53846153846153844</v>
      </c>
      <c r="F203" s="711"/>
      <c r="G203" s="45"/>
      <c r="H203" s="714"/>
      <c r="I203" s="45"/>
    </row>
    <row r="204" spans="1:9" x14ac:dyDescent="0.25">
      <c r="A204" s="27" t="s">
        <v>2535</v>
      </c>
      <c r="B204" s="20">
        <f>IFERROR(AVERAGEIFS('2025-Q2'!$K$4:$K$422,'2025-Q2'!$K$4:$K$422,"&gt;0",'2025-Q2'!$E$4:$E$422,'Q1-STATS'!$A201),0)</f>
        <v>5.1198517866104451E-2</v>
      </c>
      <c r="C204" s="20">
        <f>IFERROR(AVERAGEIFS('2025-Q2'!$K$4:$K$422,'2025-Q2'!$K$4:$K$422,"&gt;0",'2025-Q2'!$E$4:$E$422,'Q1-STATS'!$A201,'2025-Q2'!$T$4:$T$422,"Yes"),0)</f>
        <v>3.1539625162813542E-2</v>
      </c>
      <c r="D204" s="20">
        <f>IFERROR(AVERAGEIFS('2025-Q2'!$K$4:$K$422,'2025-Q2'!$K$4:$K$422,"&gt;0",'2025-Q2'!$E$4:$E$422,'Q1-STATS'!$A201,'2025-Q2'!$T$4:$T$422,"No"),0)</f>
        <v>6.6289245071220665E-2</v>
      </c>
      <c r="E204" s="20">
        <f>IFERROR(AVERAGEIFS('2025-Q2'!$K$4:$K$422,'2025-Q2'!$K$4:$K$422,"&gt;0",'2025-Q2'!$E$4:$E$422,'Q1-STATS'!$A201,'2025-Q2'!$T$4:$T$422,"NA"),0)</f>
        <v>4.322784024863445E-2</v>
      </c>
      <c r="F204" s="712"/>
      <c r="G204" s="45"/>
      <c r="H204" s="715"/>
      <c r="I204" s="45"/>
    </row>
    <row r="205" spans="1:9" x14ac:dyDescent="0.25">
      <c r="A205" s="45"/>
      <c r="B205" s="45"/>
      <c r="C205" s="45"/>
      <c r="D205" s="45"/>
      <c r="E205" s="45"/>
      <c r="F205" s="45"/>
      <c r="G205" s="45"/>
      <c r="H205" s="710">
        <f>F202+F207+F216</f>
        <v>-9.0891765260839747</v>
      </c>
      <c r="I205" s="45"/>
    </row>
    <row r="206" spans="1:9" ht="36" x14ac:dyDescent="0.25">
      <c r="A206" s="26" t="str">
        <f>A201</f>
        <v>XLY</v>
      </c>
      <c r="B206" s="23" t="s">
        <v>2522</v>
      </c>
      <c r="C206" s="23" t="s">
        <v>2538</v>
      </c>
      <c r="D206" s="23" t="s">
        <v>2537</v>
      </c>
      <c r="E206" s="23" t="s">
        <v>2524</v>
      </c>
      <c r="F206" s="23" t="s">
        <v>2542</v>
      </c>
      <c r="G206" s="45"/>
      <c r="H206" s="712"/>
      <c r="I206" s="45"/>
    </row>
    <row r="207" spans="1:9" x14ac:dyDescent="0.25">
      <c r="A207" s="29" t="s">
        <v>2527</v>
      </c>
      <c r="B207" s="30">
        <f>COUNTIFS('2025-Q2'!$K$4:$K$422,"&lt;0",'2025-Q2'!$E$4:$E$422,'Q1-STATS'!$A206)</f>
        <v>24</v>
      </c>
      <c r="C207" s="30">
        <f>SUMIFS('2025-Q2'!$BG$4:$BG$422,'2025-Q2'!$E$4:$E$422,'Q1-STATS'!$A206)</f>
        <v>7</v>
      </c>
      <c r="D207" s="30">
        <f>SUMIFS('2025-Q2'!$BH$4:$BH$422,'2025-Q2'!$E$4:$E$422,'Q1-STATS'!$A206)</f>
        <v>7</v>
      </c>
      <c r="E207" s="30">
        <f>SUMIFS('2025-Q2'!$BI$4:$BI$422,'2025-Q2'!$E$4:$E$422,'Q1-STATS'!$A206)</f>
        <v>10</v>
      </c>
      <c r="F207" s="710">
        <f>-((C209/0.06)*C207)-((D204/0.06)*D202)</f>
        <v>-2.6367641712432164</v>
      </c>
      <c r="G207" s="45"/>
      <c r="H207" s="45"/>
      <c r="I207" s="45"/>
    </row>
    <row r="208" spans="1:9" x14ac:dyDescent="0.25">
      <c r="A208" s="31" t="s">
        <v>2528</v>
      </c>
      <c r="B208" s="18" t="s">
        <v>2526</v>
      </c>
      <c r="C208" s="19">
        <f>IFERROR(C207/$B207,0)</f>
        <v>0.29166666666666669</v>
      </c>
      <c r="D208" s="19">
        <f>IFERROR(D207/$B207,0)</f>
        <v>0.29166666666666669</v>
      </c>
      <c r="E208" s="19">
        <f>IFERROR(E207/$B207,0)</f>
        <v>0.41666666666666669</v>
      </c>
      <c r="F208" s="711"/>
      <c r="G208" s="45"/>
      <c r="H208" s="45"/>
      <c r="I208" s="45"/>
    </row>
    <row r="209" spans="1:9" x14ac:dyDescent="0.25">
      <c r="A209" s="31" t="s">
        <v>2535</v>
      </c>
      <c r="B209" s="21">
        <f>IFERROR(AVERAGEIFS('2025-Q2'!$K$4:$K$422,'2025-Q2'!$K$4:$K$422,"&lt;0",'2025-Q2'!$E$4:$E$422,'Q1-STATS'!$A206),0)</f>
        <v>-6.5004181480607021E-2</v>
      </c>
      <c r="C209" s="21">
        <f>IFERROR(AVERAGEIFS('2025-Q2'!$K$4:$K$422,'2025-Q2'!$K$4:$K$422,"&lt;0",'2025-Q2'!$E$4:$E$422,'Q1-STATS'!$A206,'2025-Q2'!$T$4:$T$422,"Yes"),0)</f>
        <v>-7.2098085776801962E-2</v>
      </c>
      <c r="D209" s="21">
        <f>IFERROR(AVERAGEIFS('2025-Q2'!$K$4:$K$422,'2025-Q2'!$K$4:$K$422,"&lt;0",'2025-Q2'!$E$4:$E$422,'Q1-STATS'!$A206,'2025-Q2'!$T$4:$T$422,"No"),0)</f>
        <v>-7.5722833532053127E-2</v>
      </c>
      <c r="E209" s="21">
        <f>IFERROR(AVERAGEIFS('2025-Q2'!$K$4:$K$422,'2025-Q2'!$K$4:$K$422,"&lt;0",'2025-Q2'!$E$4:$E$422,'Q1-STATS'!$A206,'2025-Q2'!$T$4:$T$422,"NA"),0)</f>
        <v>-5.2535392037258301E-2</v>
      </c>
      <c r="F209" s="712"/>
      <c r="G209" s="45"/>
      <c r="H209" s="45"/>
      <c r="I209" s="45"/>
    </row>
    <row r="210" spans="1:9" x14ac:dyDescent="0.25">
      <c r="A210" s="45"/>
      <c r="B210" s="45"/>
      <c r="C210" s="45"/>
      <c r="D210" s="45"/>
      <c r="E210" s="45"/>
      <c r="F210" s="45"/>
      <c r="G210" s="45"/>
      <c r="H210" s="45"/>
      <c r="I210" s="45"/>
    </row>
    <row r="211" spans="1:9" ht="24.75" x14ac:dyDescent="0.25">
      <c r="A211" s="280" t="str">
        <f>A201</f>
        <v>XLY</v>
      </c>
      <c r="B211" s="25" t="s">
        <v>2531</v>
      </c>
      <c r="C211" s="25" t="s">
        <v>2532</v>
      </c>
      <c r="D211" s="26" t="s">
        <v>2533</v>
      </c>
      <c r="E211" s="26" t="s">
        <v>2534</v>
      </c>
      <c r="F211" s="24" t="s">
        <v>2545</v>
      </c>
      <c r="G211" s="45"/>
      <c r="H211" s="45"/>
      <c r="I211" s="45"/>
    </row>
    <row r="212" spans="1:9" x14ac:dyDescent="0.25">
      <c r="A212" s="32" t="s">
        <v>2539</v>
      </c>
      <c r="B212" s="15">
        <f>B202</f>
        <v>26</v>
      </c>
      <c r="C212" s="716">
        <f>IFERROR(B204,0)</f>
        <v>5.1198517866104451E-2</v>
      </c>
      <c r="D212" s="282">
        <f>B207</f>
        <v>24</v>
      </c>
      <c r="E212" s="718">
        <f>B209</f>
        <v>-6.5004181480607021E-2</v>
      </c>
      <c r="F212" s="710">
        <f>((C212/0.06)*B212)+((E212/0.06)*D212)</f>
        <v>-3.815648183597542</v>
      </c>
      <c r="G212" s="45"/>
      <c r="H212" s="45"/>
      <c r="I212" s="45"/>
    </row>
    <row r="213" spans="1:9" x14ac:dyDescent="0.25">
      <c r="A213" s="36" t="s">
        <v>2540</v>
      </c>
      <c r="B213" s="17">
        <f>IFERROR(B212/(B212+D212),0)</f>
        <v>0.52</v>
      </c>
      <c r="C213" s="717"/>
      <c r="D213" s="33">
        <f>IF(AND(B212=0,D212=0),0,1-B213)</f>
        <v>0.48</v>
      </c>
      <c r="E213" s="719"/>
      <c r="F213" s="712"/>
      <c r="G213" s="45"/>
      <c r="H213" s="45"/>
      <c r="I213" s="45"/>
    </row>
    <row r="214" spans="1:9" x14ac:dyDescent="0.25">
      <c r="A214" s="45"/>
      <c r="B214" s="45"/>
      <c r="C214" s="45"/>
      <c r="D214" s="45"/>
      <c r="E214" s="45"/>
      <c r="F214" s="45"/>
      <c r="G214" s="45"/>
      <c r="H214" s="45"/>
      <c r="I214" s="45"/>
    </row>
    <row r="215" spans="1:9" ht="38.25" x14ac:dyDescent="0.25">
      <c r="A215" s="280" t="str">
        <f>A201</f>
        <v>XLY</v>
      </c>
      <c r="B215" s="25" t="s">
        <v>2531</v>
      </c>
      <c r="C215" s="25" t="s">
        <v>2532</v>
      </c>
      <c r="D215" s="26" t="s">
        <v>2533</v>
      </c>
      <c r="E215" s="26" t="s">
        <v>2534</v>
      </c>
      <c r="F215" s="24" t="s">
        <v>2543</v>
      </c>
      <c r="G215" s="37" t="s">
        <v>2544</v>
      </c>
      <c r="H215" s="45"/>
      <c r="I215" s="45"/>
    </row>
    <row r="216" spans="1:9" x14ac:dyDescent="0.25">
      <c r="A216" s="401" t="s">
        <v>2530</v>
      </c>
      <c r="B216" s="15">
        <f>E202</f>
        <v>14</v>
      </c>
      <c r="C216" s="720">
        <f>IFERROR(AVERAGEIFS('2025-Q2'!$K$4:$K$422,'2025-Q2'!$K$4:$K$422,"&gt;0",'2025-Q2'!$T$4:$T$422,"NA",'2025-Q2'!$E$4:$E$422,'Q1-STATS'!$A201),0)</f>
        <v>4.322784024863445E-2</v>
      </c>
      <c r="D216" s="39">
        <f>E207</f>
        <v>10</v>
      </c>
      <c r="E216" s="718">
        <f>IFERROR(AVERAGEIFS('2025-Q2'!$K$4:$K$422,'2025-Q2'!$K$4:$K$422,"&lt;0",'2025-Q2'!$T$4:$T$422,"NA",'2025-Q2'!$E$4:$E$422,'Q1-STATS'!$A201),0)</f>
        <v>-5.2535392037258301E-2</v>
      </c>
      <c r="F216" s="721">
        <f>((C216/0.06)*B216)+((E216/0.06)*D216)</f>
        <v>1.3305973851383222</v>
      </c>
      <c r="G216" s="722">
        <f>-((E216/0.06)*D216)-((C216/0.06)*B216)</f>
        <v>-1.3305973851383222</v>
      </c>
      <c r="H216" s="45"/>
      <c r="I216" s="45"/>
    </row>
    <row r="217" spans="1:9" x14ac:dyDescent="0.25">
      <c r="A217" s="36" t="s">
        <v>2540</v>
      </c>
      <c r="B217" s="281">
        <f>IFERROR((B216/(B216+D216)),0)</f>
        <v>0.58333333333333337</v>
      </c>
      <c r="C217" s="720"/>
      <c r="D217" s="33">
        <f>IF(AND(B216=0,D216=0),0,1-B217)</f>
        <v>0.41666666666666663</v>
      </c>
      <c r="E217" s="719"/>
      <c r="F217" s="721"/>
      <c r="G217" s="722"/>
      <c r="H217" s="45"/>
      <c r="I217" s="45"/>
    </row>
    <row r="218" spans="1:9" x14ac:dyDescent="0.25">
      <c r="A218" s="703" t="s">
        <v>2819</v>
      </c>
      <c r="B218" s="704"/>
      <c r="C218" s="704"/>
      <c r="D218" s="704"/>
      <c r="E218" s="704"/>
      <c r="F218" s="704"/>
      <c r="G218" s="704"/>
      <c r="H218" s="704"/>
      <c r="I218" s="704"/>
    </row>
    <row r="219" spans="1:9" x14ac:dyDescent="0.25">
      <c r="A219" s="704"/>
      <c r="B219" s="704"/>
      <c r="C219" s="704"/>
      <c r="D219" s="704"/>
      <c r="E219" s="704"/>
      <c r="F219" s="704"/>
      <c r="G219" s="704"/>
      <c r="H219" s="704"/>
      <c r="I219" s="704"/>
    </row>
    <row r="220" spans="1:9" x14ac:dyDescent="0.25">
      <c r="A220" s="704"/>
      <c r="B220" s="704"/>
      <c r="C220" s="704"/>
      <c r="D220" s="704"/>
      <c r="E220" s="704"/>
      <c r="F220" s="704"/>
      <c r="G220" s="704"/>
      <c r="H220" s="704"/>
      <c r="I220" s="704"/>
    </row>
    <row r="221" spans="1:9" ht="36" x14ac:dyDescent="0.25">
      <c r="A221" s="283" t="s">
        <v>2618</v>
      </c>
      <c r="B221" s="24" t="s">
        <v>2522</v>
      </c>
      <c r="C221" s="24" t="s">
        <v>2536</v>
      </c>
      <c r="D221" s="24" t="s">
        <v>2537</v>
      </c>
      <c r="E221" s="24" t="s">
        <v>2524</v>
      </c>
      <c r="F221" s="24" t="s">
        <v>2541</v>
      </c>
      <c r="G221" s="45"/>
      <c r="H221" s="45"/>
      <c r="I221" s="45"/>
    </row>
    <row r="222" spans="1:9" x14ac:dyDescent="0.25">
      <c r="A222" s="28" t="s">
        <v>2521</v>
      </c>
      <c r="B222" s="14">
        <f>COUNTIFS('2025-Q2'!$K$4:$K$422,"&gt;0",'2025-Q2'!$E$4:$E$422,'Q1-STATS'!$A221)</f>
        <v>28</v>
      </c>
      <c r="C222" s="14">
        <f>SUMIFS('2025-Q2'!$BC$4:$BC$422,'2025-Q2'!$E$4:$E$422,'Q1-STATS'!$A221)</f>
        <v>2</v>
      </c>
      <c r="D222" s="14">
        <f>SUMIFS('2025-Q2'!$BD$4:$BD$422,'2025-Q2'!$E$4:$E$422,'Q1-STATS'!$A221)</f>
        <v>9</v>
      </c>
      <c r="E222" s="14">
        <f>SUMIFS('2025-Q2'!$BE$4:$BE$422,'2025-Q2'!$E$4:$E$422,'Q1-STATS'!$A221)</f>
        <v>17</v>
      </c>
      <c r="F222" s="710">
        <f>((C224/0.06)*C222)+((D229/0.06)*D227)</f>
        <v>0.65848341369884833</v>
      </c>
      <c r="G222" s="45"/>
      <c r="H222" s="713" t="s">
        <v>2620</v>
      </c>
      <c r="I222" s="45"/>
    </row>
    <row r="223" spans="1:9" x14ac:dyDescent="0.25">
      <c r="A223" s="27" t="s">
        <v>2525</v>
      </c>
      <c r="B223" s="16" t="s">
        <v>2526</v>
      </c>
      <c r="C223" s="17">
        <f>IFERROR(C222/$B222,0)</f>
        <v>7.1428571428571425E-2</v>
      </c>
      <c r="D223" s="17">
        <f>IFERROR(D222/$B222,0)</f>
        <v>0.32142857142857145</v>
      </c>
      <c r="E223" s="17">
        <f>IFERROR(E222/$B222,0)</f>
        <v>0.6071428571428571</v>
      </c>
      <c r="F223" s="711"/>
      <c r="G223" s="45"/>
      <c r="H223" s="714"/>
      <c r="I223" s="45"/>
    </row>
    <row r="224" spans="1:9" x14ac:dyDescent="0.25">
      <c r="A224" s="27" t="s">
        <v>2535</v>
      </c>
      <c r="B224" s="20">
        <f>IFERROR(AVERAGEIFS('2025-Q2'!$K$4:$K$422,'2025-Q2'!$K$4:$K$422,"&gt;0",'2025-Q2'!$E$4:$E$422,'Q1-STATS'!$A221),0)</f>
        <v>5.1041195081963066E-2</v>
      </c>
      <c r="C224" s="20">
        <f>IFERROR(AVERAGEIFS('2025-Q2'!$K$4:$K$422,'2025-Q2'!$K$4:$K$422,"&gt;0",'2025-Q2'!$E$4:$E$422,'Q1-STATS'!$A221,'2025-Q2'!$T$4:$T$422,"Yes"),0)</f>
        <v>2.4284193118021862E-2</v>
      </c>
      <c r="D224" s="20">
        <f>IFERROR(AVERAGEIFS('2025-Q2'!$K$4:$K$422,'2025-Q2'!$K$4:$K$422,"&gt;0",'2025-Q2'!$E$4:$E$422,'Q1-STATS'!$A221,'2025-Q2'!$T$4:$T$422,"No"),0)</f>
        <v>4.7151874040618796E-2</v>
      </c>
      <c r="E224" s="20">
        <f>IFERROR(AVERAGEIFS('2025-Q2'!$K$4:$K$422,'2025-Q2'!$K$4:$K$422,"&gt;0",'2025-Q2'!$E$4:$E$422,'Q1-STATS'!$A221,'2025-Q2'!$T$4:$T$422,"NA"),0)</f>
        <v>5.6248129981961922E-2</v>
      </c>
      <c r="F224" s="712"/>
      <c r="G224" s="45"/>
      <c r="H224" s="715"/>
      <c r="I224" s="45"/>
    </row>
    <row r="225" spans="1:9" x14ac:dyDescent="0.25">
      <c r="A225" s="45"/>
      <c r="B225" s="45"/>
      <c r="C225" s="45"/>
      <c r="D225" s="45"/>
      <c r="E225" s="45"/>
      <c r="F225" s="45"/>
      <c r="G225" s="45"/>
      <c r="H225" s="710">
        <f>F222+F227+F236</f>
        <v>10.302503242948946</v>
      </c>
      <c r="I225" s="45"/>
    </row>
    <row r="226" spans="1:9" ht="36" x14ac:dyDescent="0.25">
      <c r="A226" s="26" t="str">
        <f>A221</f>
        <v>XLV</v>
      </c>
      <c r="B226" s="23" t="s">
        <v>2522</v>
      </c>
      <c r="C226" s="23" t="s">
        <v>2538</v>
      </c>
      <c r="D226" s="23" t="s">
        <v>2537</v>
      </c>
      <c r="E226" s="23" t="s">
        <v>2524</v>
      </c>
      <c r="F226" s="23" t="s">
        <v>2542</v>
      </c>
      <c r="G226" s="45"/>
      <c r="H226" s="712"/>
      <c r="I226" s="45"/>
    </row>
    <row r="227" spans="1:9" x14ac:dyDescent="0.25">
      <c r="A227" s="29" t="s">
        <v>2527</v>
      </c>
      <c r="B227" s="30">
        <f>COUNTIFS('2025-Q2'!$K$4:$K$422,"&lt;0",'2025-Q2'!$E$4:$E$422,'Q1-STATS'!$A226)</f>
        <v>17</v>
      </c>
      <c r="C227" s="30">
        <f>SUMIFS('2025-Q2'!$BG$4:$BG$422,'2025-Q2'!$E$4:$E$422,'Q1-STATS'!$A226)</f>
        <v>10</v>
      </c>
      <c r="D227" s="30">
        <f>SUMIFS('2025-Q2'!$BH$4:$BH$422,'2025-Q2'!$E$4:$E$422,'Q1-STATS'!$A226)</f>
        <v>1</v>
      </c>
      <c r="E227" s="30">
        <f>SUMIFS('2025-Q2'!$BI$4:$BI$422,'2025-Q2'!$E$4:$E$422,'Q1-STATS'!$A226)</f>
        <v>6</v>
      </c>
      <c r="F227" s="710">
        <f>-((C229/0.06)*C227)-((D224/0.06)*D222)</f>
        <v>-3.512533156118784</v>
      </c>
      <c r="G227" s="45"/>
      <c r="H227" s="45"/>
      <c r="I227" s="45"/>
    </row>
    <row r="228" spans="1:9" x14ac:dyDescent="0.25">
      <c r="A228" s="31" t="s">
        <v>2528</v>
      </c>
      <c r="B228" s="18" t="s">
        <v>2526</v>
      </c>
      <c r="C228" s="19">
        <f>IFERROR(C227/$B227,0)</f>
        <v>0.58823529411764708</v>
      </c>
      <c r="D228" s="19">
        <f>IFERROR(D227/$B227,0)</f>
        <v>5.8823529411764705E-2</v>
      </c>
      <c r="E228" s="19">
        <f>IFERROR(E227/$B227,0)</f>
        <v>0.35294117647058826</v>
      </c>
      <c r="F228" s="711"/>
      <c r="G228" s="45"/>
      <c r="H228" s="45"/>
      <c r="I228" s="45"/>
    </row>
    <row r="229" spans="1:9" x14ac:dyDescent="0.25">
      <c r="A229" s="31" t="s">
        <v>2535</v>
      </c>
      <c r="B229" s="21">
        <f>IFERROR(AVERAGEIFS('2025-Q2'!$K$4:$K$422,'2025-Q2'!$K$4:$K$422,"&lt;0",'2025-Q2'!$E$4:$E$422,'Q1-STATS'!$A226),0)</f>
        <v>-2.2911722881398519E-2</v>
      </c>
      <c r="C229" s="21">
        <f>IFERROR(AVERAGEIFS('2025-Q2'!$K$4:$K$422,'2025-Q2'!$K$4:$K$422,"&lt;0",'2025-Q2'!$E$4:$E$422,'Q1-STATS'!$A226,'2025-Q2'!$T$4:$T$422,"Yes"),0)</f>
        <v>-2.1361487699844216E-2</v>
      </c>
      <c r="D229" s="21">
        <f>IFERROR(AVERAGEIFS('2025-Q2'!$K$4:$K$422,'2025-Q2'!$K$4:$K$422,"&lt;0",'2025-Q2'!$E$4:$E$422,'Q1-STATS'!$A226,'2025-Q2'!$T$4:$T$422,"No"),0)</f>
        <v>-9.0593814141128257E-3</v>
      </c>
      <c r="E229" s="21">
        <f>IFERROR(AVERAGEIFS('2025-Q2'!$K$4:$K$422,'2025-Q2'!$K$4:$K$422,"&lt;0",'2025-Q2'!$E$4:$E$422,'Q1-STATS'!$A226,'2025-Q2'!$T$4:$T$422,"NA"),0)</f>
        <v>-2.780417176186999E-2</v>
      </c>
      <c r="F229" s="712"/>
      <c r="G229" s="45"/>
      <c r="H229" s="45"/>
      <c r="I229" s="45"/>
    </row>
    <row r="230" spans="1:9" x14ac:dyDescent="0.25">
      <c r="A230" s="45"/>
      <c r="B230" s="45"/>
      <c r="C230" s="45"/>
      <c r="D230" s="45"/>
      <c r="E230" s="45"/>
      <c r="F230" s="45"/>
      <c r="G230" s="45"/>
      <c r="H230" s="45"/>
      <c r="I230" s="45"/>
    </row>
    <row r="231" spans="1:9" ht="24.75" x14ac:dyDescent="0.25">
      <c r="A231" s="280" t="str">
        <f>A221</f>
        <v>XLV</v>
      </c>
      <c r="B231" s="25" t="s">
        <v>2531</v>
      </c>
      <c r="C231" s="25" t="s">
        <v>2532</v>
      </c>
      <c r="D231" s="26" t="s">
        <v>2533</v>
      </c>
      <c r="E231" s="26" t="s">
        <v>2534</v>
      </c>
      <c r="F231" s="24" t="s">
        <v>2545</v>
      </c>
      <c r="G231" s="45"/>
      <c r="H231" s="45"/>
      <c r="I231" s="45"/>
    </row>
    <row r="232" spans="1:9" x14ac:dyDescent="0.25">
      <c r="A232" s="32" t="s">
        <v>2539</v>
      </c>
      <c r="B232" s="15">
        <f>B222</f>
        <v>28</v>
      </c>
      <c r="C232" s="716">
        <f>IFERROR(B224,0)</f>
        <v>5.1041195081963066E-2</v>
      </c>
      <c r="D232" s="282">
        <f>B227</f>
        <v>17</v>
      </c>
      <c r="E232" s="718">
        <f>IFERROR(B229,0)</f>
        <v>-2.2911722881398519E-2</v>
      </c>
      <c r="F232" s="710">
        <f>((C232/0.06)*B232)+((E232/0.06)*D232)</f>
        <v>17.327569555186514</v>
      </c>
      <c r="G232" s="45"/>
      <c r="H232" s="45"/>
      <c r="I232" s="45"/>
    </row>
    <row r="233" spans="1:9" x14ac:dyDescent="0.25">
      <c r="A233" s="36" t="s">
        <v>2540</v>
      </c>
      <c r="B233" s="17">
        <f>IFERROR(B232/(B232+D232),0)</f>
        <v>0.62222222222222223</v>
      </c>
      <c r="C233" s="717"/>
      <c r="D233" s="33">
        <f>IF(AND(B232=0,D232=0),0,1-B233)</f>
        <v>0.37777777777777777</v>
      </c>
      <c r="E233" s="719"/>
      <c r="F233" s="712"/>
      <c r="G233" s="45"/>
      <c r="H233" s="45"/>
      <c r="I233" s="45"/>
    </row>
    <row r="234" spans="1:9" x14ac:dyDescent="0.25">
      <c r="A234" s="45"/>
      <c r="B234" s="45"/>
      <c r="C234" s="45"/>
      <c r="D234" s="45"/>
      <c r="E234" s="45"/>
      <c r="F234" s="45"/>
      <c r="G234" s="45"/>
      <c r="H234" s="45"/>
      <c r="I234" s="45"/>
    </row>
    <row r="235" spans="1:9" ht="38.25" x14ac:dyDescent="0.25">
      <c r="A235" s="280" t="str">
        <f>A221</f>
        <v>XLV</v>
      </c>
      <c r="B235" s="25" t="s">
        <v>2531</v>
      </c>
      <c r="C235" s="25" t="s">
        <v>2532</v>
      </c>
      <c r="D235" s="26" t="s">
        <v>2533</v>
      </c>
      <c r="E235" s="26" t="s">
        <v>2534</v>
      </c>
      <c r="F235" s="24" t="s">
        <v>2543</v>
      </c>
      <c r="G235" s="37" t="s">
        <v>2544</v>
      </c>
      <c r="H235" s="45"/>
      <c r="I235" s="45"/>
    </row>
    <row r="236" spans="1:9" x14ac:dyDescent="0.25">
      <c r="A236" s="401" t="s">
        <v>2530</v>
      </c>
      <c r="B236" s="15">
        <f>E222</f>
        <v>17</v>
      </c>
      <c r="C236" s="720">
        <f>IFERROR(AVERAGEIFS('2025-Q2'!$K$4:$K$422,'2025-Q2'!$K$4:$K$422,"&gt;0",'2025-Q2'!$T$4:$T$422,"NA",'2025-Q2'!$E$4:$E$422,'Q1-STATS'!$A221),0)</f>
        <v>5.6248129981961922E-2</v>
      </c>
      <c r="D236" s="39">
        <f>E227</f>
        <v>6</v>
      </c>
      <c r="E236" s="718">
        <f>IFERROR(AVERAGEIFS('2025-Q2'!$K$4:$K$422,'2025-Q2'!$K$4:$K$422,"&lt;0",'2025-Q2'!$T$4:$T$422,"NA",'2025-Q2'!$E$4:$E$422,'Q1-STATS'!$A221),0)</f>
        <v>-2.780417176186999E-2</v>
      </c>
      <c r="F236" s="721">
        <f>((C236/0.06)*B236)+((E236/0.06)*D236)</f>
        <v>13.156552985368881</v>
      </c>
      <c r="G236" s="722">
        <f>-((E236/0.06)*D236)-((C236/0.06)*B236)</f>
        <v>-13.156552985368881</v>
      </c>
      <c r="H236" s="45"/>
      <c r="I236" s="45"/>
    </row>
    <row r="237" spans="1:9" x14ac:dyDescent="0.25">
      <c r="A237" s="36" t="s">
        <v>2540</v>
      </c>
      <c r="B237" s="281">
        <f>IFERROR((B236/(B236+D236)),0)</f>
        <v>0.73913043478260865</v>
      </c>
      <c r="C237" s="720"/>
      <c r="D237" s="33">
        <f>IF(AND(B236=0,D236=0),0,1-B237)</f>
        <v>0.26086956521739135</v>
      </c>
      <c r="E237" s="719"/>
      <c r="F237" s="721"/>
      <c r="G237" s="722"/>
      <c r="H237" s="45"/>
      <c r="I237" s="45"/>
    </row>
    <row r="238" spans="1:9" x14ac:dyDescent="0.25">
      <c r="A238" s="703" t="s">
        <v>2820</v>
      </c>
      <c r="B238" s="704"/>
      <c r="C238" s="704"/>
      <c r="D238" s="704"/>
      <c r="E238" s="704"/>
      <c r="F238" s="704"/>
      <c r="G238" s="704"/>
      <c r="H238" s="704"/>
      <c r="I238" s="704"/>
    </row>
    <row r="239" spans="1:9" x14ac:dyDescent="0.25">
      <c r="A239" s="704"/>
      <c r="B239" s="704"/>
      <c r="C239" s="704"/>
      <c r="D239" s="704"/>
      <c r="E239" s="704"/>
      <c r="F239" s="704"/>
      <c r="G239" s="704"/>
      <c r="H239" s="704"/>
      <c r="I239" s="704"/>
    </row>
    <row r="240" spans="1:9" x14ac:dyDescent="0.25">
      <c r="A240" s="704"/>
      <c r="B240" s="704"/>
      <c r="C240" s="704"/>
      <c r="D240" s="704"/>
      <c r="E240" s="704"/>
      <c r="F240" s="704"/>
      <c r="G240" s="704"/>
      <c r="H240" s="704"/>
      <c r="I240" s="704"/>
    </row>
    <row r="241" spans="1:9" ht="36" x14ac:dyDescent="0.25">
      <c r="A241" s="283" t="s">
        <v>2659</v>
      </c>
      <c r="B241" s="24" t="s">
        <v>2522</v>
      </c>
      <c r="C241" s="24" t="s">
        <v>2536</v>
      </c>
      <c r="D241" s="24" t="s">
        <v>2537</v>
      </c>
      <c r="E241" s="24" t="s">
        <v>2524</v>
      </c>
      <c r="F241" s="24" t="s">
        <v>2541</v>
      </c>
      <c r="G241" s="45"/>
      <c r="H241" s="45"/>
      <c r="I241" s="45"/>
    </row>
    <row r="242" spans="1:9" x14ac:dyDescent="0.25">
      <c r="A242" s="28" t="s">
        <v>2521</v>
      </c>
      <c r="B242" s="14">
        <f>COUNTIFS('2025-Q2'!$K$4:$K$422,"&gt;0",'2025-Q2'!$E$4:$E$422,'Q1-STATS'!$A241)</f>
        <v>10</v>
      </c>
      <c r="C242" s="14">
        <f>SUMIFS('2025-Q2'!$BC$4:$BC$422,'2025-Q2'!$E$4:$E$422,'Q1-STATS'!$A241)</f>
        <v>1</v>
      </c>
      <c r="D242" s="14">
        <f>SUMIFS('2025-Q2'!$BD$4:$BD$422,'2025-Q2'!$E$4:$E$422,'Q1-STATS'!$A241)</f>
        <v>4</v>
      </c>
      <c r="E242" s="14">
        <f>SUMIFS('2025-Q2'!$BE$4:$BE$422,'2025-Q2'!$E$4:$E$422,'Q1-STATS'!$A241)</f>
        <v>5</v>
      </c>
      <c r="F242" s="710">
        <f>((C244/0.06)*C242)+((D249/0.06)*D247)</f>
        <v>-0.26498852607816475</v>
      </c>
      <c r="G242" s="45"/>
      <c r="H242" s="713" t="s">
        <v>2620</v>
      </c>
      <c r="I242" s="45"/>
    </row>
    <row r="243" spans="1:9" x14ac:dyDescent="0.25">
      <c r="A243" s="27" t="s">
        <v>2525</v>
      </c>
      <c r="B243" s="16" t="s">
        <v>2526</v>
      </c>
      <c r="C243" s="17">
        <f>IFERROR(C242/$B242,0)</f>
        <v>0.1</v>
      </c>
      <c r="D243" s="17">
        <f>IFERROR(D242/$B242,0)</f>
        <v>0.4</v>
      </c>
      <c r="E243" s="17">
        <f>IFERROR(E242/$B242,0)</f>
        <v>0.5</v>
      </c>
      <c r="F243" s="711"/>
      <c r="G243" s="45"/>
      <c r="H243" s="714"/>
      <c r="I243" s="45"/>
    </row>
    <row r="244" spans="1:9" x14ac:dyDescent="0.25">
      <c r="A244" s="27" t="s">
        <v>2535</v>
      </c>
      <c r="B244" s="20">
        <f>IFERROR(AVERAGEIFS('2025-Q2'!$K$4:$K$422,'2025-Q2'!$K$4:$K$422,"&gt;0",'2025-Q2'!$E$4:$E$422,'Q1-STATS'!$A241),0)</f>
        <v>4.1402110312169567E-2</v>
      </c>
      <c r="C244" s="20">
        <f>IFERROR(AVERAGEIFS('2025-Q2'!$K$4:$K$422,'2025-Q2'!$K$4:$K$422,"&gt;0",'2025-Q2'!$E$4:$E$422,'Q1-STATS'!$A241,'2025-Q2'!$T$4:$T$422,"Yes"),0)</f>
        <v>1.7917485265225942E-2</v>
      </c>
      <c r="D244" s="20">
        <f>IFERROR(AVERAGEIFS('2025-Q2'!$K$4:$K$422,'2025-Q2'!$K$4:$K$422,"&gt;0",'2025-Q2'!$E$4:$E$422,'Q1-STATS'!$A241,'2025-Q2'!$T$4:$T$422,"No"),0)</f>
        <v>5.0173289442050142E-2</v>
      </c>
      <c r="E244" s="20">
        <f>IFERROR(AVERAGEIFS('2025-Q2'!$K$4:$K$422,'2025-Q2'!$K$4:$K$422,"&gt;0",'2025-Q2'!$E$4:$E$422,'Q1-STATS'!$A241,'2025-Q2'!$T$4:$T$422,"NA"),0)</f>
        <v>3.9082092017653822E-2</v>
      </c>
      <c r="F244" s="712"/>
      <c r="G244" s="45"/>
      <c r="H244" s="715"/>
      <c r="I244" s="45"/>
    </row>
    <row r="245" spans="1:9" x14ac:dyDescent="0.25">
      <c r="A245" s="45"/>
      <c r="B245" s="45"/>
      <c r="C245" s="45"/>
      <c r="D245" s="45"/>
      <c r="E245" s="45"/>
      <c r="F245" s="45"/>
      <c r="G245" s="45"/>
      <c r="H245" s="710">
        <f>F242+F247+F256</f>
        <v>0.4426142070703914</v>
      </c>
      <c r="I245" s="45"/>
    </row>
    <row r="246" spans="1:9" ht="36" x14ac:dyDescent="0.25">
      <c r="A246" s="26" t="str">
        <f>A241</f>
        <v>SMH</v>
      </c>
      <c r="B246" s="23" t="s">
        <v>2522</v>
      </c>
      <c r="C246" s="23" t="s">
        <v>2538</v>
      </c>
      <c r="D246" s="23" t="s">
        <v>2537</v>
      </c>
      <c r="E246" s="23" t="s">
        <v>2524</v>
      </c>
      <c r="F246" s="23" t="s">
        <v>2542</v>
      </c>
      <c r="G246" s="45"/>
      <c r="H246" s="712"/>
      <c r="I246" s="45"/>
    </row>
    <row r="247" spans="1:9" x14ac:dyDescent="0.25">
      <c r="A247" s="29" t="s">
        <v>2527</v>
      </c>
      <c r="B247" s="30">
        <f>COUNTIFS('2025-Q2'!$K$4:$K$422,"&lt;0",'2025-Q2'!$E$4:$E$422,'Q1-STATS'!$A246)</f>
        <v>10</v>
      </c>
      <c r="C247" s="30">
        <f>SUMIFS('2025-Q2'!$BG$4:$BG$422,'2025-Q2'!$E$4:$E$422,'Q1-STATS'!$A246)</f>
        <v>4</v>
      </c>
      <c r="D247" s="30">
        <f>SUMIFS('2025-Q2'!$BH$4:$BH$422,'2025-Q2'!$E$4:$E$422,'Q1-STATS'!$A246)</f>
        <v>1</v>
      </c>
      <c r="E247" s="30">
        <f>SUMIFS('2025-Q2'!$BI$4:$BI$422,'2025-Q2'!$E$4:$E$422,'Q1-STATS'!$A246)</f>
        <v>5</v>
      </c>
      <c r="F247" s="710">
        <f>-((C249/0.06)*C247)-((D244/0.06)*D242)</f>
        <v>7.91163942754598E-2</v>
      </c>
      <c r="G247" s="45"/>
      <c r="H247" s="45"/>
      <c r="I247" s="45"/>
    </row>
    <row r="248" spans="1:9" x14ac:dyDescent="0.25">
      <c r="A248" s="31" t="s">
        <v>2528</v>
      </c>
      <c r="B248" s="18" t="s">
        <v>2526</v>
      </c>
      <c r="C248" s="19">
        <f>IFERROR(C247/$B247,0)</f>
        <v>0.4</v>
      </c>
      <c r="D248" s="19">
        <f>IFERROR(D247/$B247,0)</f>
        <v>0.1</v>
      </c>
      <c r="E248" s="19">
        <f>IFERROR(E247/$B247,0)</f>
        <v>0.5</v>
      </c>
      <c r="F248" s="711"/>
      <c r="G248" s="45"/>
      <c r="H248" s="45"/>
      <c r="I248" s="45"/>
    </row>
    <row r="249" spans="1:9" x14ac:dyDescent="0.25">
      <c r="A249" s="31" t="s">
        <v>2535</v>
      </c>
      <c r="B249" s="21">
        <f>IFERROR(AVERAGEIFS('2025-Q2'!$K$4:$K$422,'2025-Q2'!$K$4:$K$422,"&lt;0",'2025-Q2'!$E$4:$E$422,'Q1-STATS'!$A246),0)</f>
        <v>-3.969582180105273E-2</v>
      </c>
      <c r="C249" s="21">
        <f>IFERROR(AVERAGEIFS('2025-Q2'!$K$4:$K$422,'2025-Q2'!$K$4:$K$422,"&lt;0",'2025-Q2'!$E$4:$E$422,'Q1-STATS'!$A246,'2025-Q2'!$T$4:$T$422,"Yes"),0)</f>
        <v>-5.1360035356182041E-2</v>
      </c>
      <c r="D249" s="21">
        <f>IFERROR(AVERAGEIFS('2025-Q2'!$K$4:$K$422,'2025-Q2'!$K$4:$K$422,"&lt;0",'2025-Q2'!$E$4:$E$422,'Q1-STATS'!$A246,'2025-Q2'!$T$4:$T$422,"No"),0)</f>
        <v>-3.3816796829915827E-2</v>
      </c>
      <c r="E249" s="21">
        <f>IFERROR(AVERAGEIFS('2025-Q2'!$K$4:$K$422,'2025-Q2'!$K$4:$K$422,"&lt;0",'2025-Q2'!$E$4:$E$422,'Q1-STATS'!$A246,'2025-Q2'!$T$4:$T$422,"NA"),0)</f>
        <v>-3.1540255951176661E-2</v>
      </c>
      <c r="F249" s="712"/>
      <c r="G249" s="45"/>
      <c r="H249" s="45"/>
      <c r="I249" s="45"/>
    </row>
    <row r="250" spans="1:9" x14ac:dyDescent="0.25">
      <c r="A250" s="45"/>
      <c r="B250" s="45"/>
      <c r="C250" s="45"/>
      <c r="D250" s="45"/>
      <c r="E250" s="45"/>
      <c r="F250" s="45"/>
      <c r="G250" s="45"/>
      <c r="H250" s="45"/>
      <c r="I250" s="45"/>
    </row>
    <row r="251" spans="1:9" ht="24.75" x14ac:dyDescent="0.25">
      <c r="A251" s="280" t="str">
        <f>A241</f>
        <v>SMH</v>
      </c>
      <c r="B251" s="25" t="s">
        <v>2531</v>
      </c>
      <c r="C251" s="25" t="s">
        <v>2532</v>
      </c>
      <c r="D251" s="26" t="s">
        <v>2533</v>
      </c>
      <c r="E251" s="26" t="s">
        <v>2534</v>
      </c>
      <c r="F251" s="24" t="s">
        <v>2545</v>
      </c>
      <c r="G251" s="45"/>
      <c r="H251" s="45"/>
      <c r="I251" s="45"/>
    </row>
    <row r="252" spans="1:9" x14ac:dyDescent="0.25">
      <c r="A252" s="32" t="s">
        <v>2539</v>
      </c>
      <c r="B252" s="15">
        <f>B242</f>
        <v>10</v>
      </c>
      <c r="C252" s="716">
        <f>IFERROR(B244,0)</f>
        <v>4.1402110312169567E-2</v>
      </c>
      <c r="D252" s="282">
        <f>B247</f>
        <v>10</v>
      </c>
      <c r="E252" s="718">
        <f>IFERROR(B249,0)</f>
        <v>-3.969582180105273E-2</v>
      </c>
      <c r="F252" s="710">
        <f>((C252/0.06)*B252)+((E252/0.06)*D252)</f>
        <v>0.28438141851947307</v>
      </c>
      <c r="G252" s="45"/>
      <c r="H252" s="45"/>
      <c r="I252" s="45"/>
    </row>
    <row r="253" spans="1:9" x14ac:dyDescent="0.25">
      <c r="A253" s="36" t="s">
        <v>2540</v>
      </c>
      <c r="B253" s="17">
        <f>IFERROR(B252/(B252+D252),0)</f>
        <v>0.5</v>
      </c>
      <c r="C253" s="717"/>
      <c r="D253" s="33">
        <f>IF(AND(B252=0,D252=0),0,1-B253)</f>
        <v>0.5</v>
      </c>
      <c r="E253" s="719"/>
      <c r="F253" s="712"/>
      <c r="G253" s="45"/>
      <c r="H253" s="45"/>
      <c r="I253" s="45"/>
    </row>
    <row r="254" spans="1:9" x14ac:dyDescent="0.25">
      <c r="A254" s="45"/>
      <c r="B254" s="45"/>
      <c r="C254" s="45"/>
      <c r="D254" s="45"/>
      <c r="E254" s="45"/>
      <c r="F254" s="45"/>
      <c r="G254" s="45"/>
      <c r="H254" s="45"/>
      <c r="I254" s="45"/>
    </row>
    <row r="255" spans="1:9" ht="38.25" x14ac:dyDescent="0.25">
      <c r="A255" s="280" t="str">
        <f>A241</f>
        <v>SMH</v>
      </c>
      <c r="B255" s="25" t="s">
        <v>2531</v>
      </c>
      <c r="C255" s="25" t="s">
        <v>2532</v>
      </c>
      <c r="D255" s="26" t="s">
        <v>2533</v>
      </c>
      <c r="E255" s="26" t="s">
        <v>2534</v>
      </c>
      <c r="F255" s="24" t="s">
        <v>2543</v>
      </c>
      <c r="G255" s="37" t="s">
        <v>2544</v>
      </c>
      <c r="H255" s="45"/>
      <c r="I255" s="45"/>
    </row>
    <row r="256" spans="1:9" x14ac:dyDescent="0.25">
      <c r="A256" s="401" t="s">
        <v>2530</v>
      </c>
      <c r="B256" s="15">
        <f>E242</f>
        <v>5</v>
      </c>
      <c r="C256" s="720">
        <f>IFERROR(AVERAGEIFS('2025-Q2'!$K$4:$K$422,'2025-Q2'!$K$4:$K$422,"&gt;0",'2025-Q2'!$T$4:$T$422,"NA",'2025-Q2'!$E$4:$E$422,'Q1-STATS'!$A241),0)</f>
        <v>3.9082092017653822E-2</v>
      </c>
      <c r="D256" s="39">
        <f>E247</f>
        <v>5</v>
      </c>
      <c r="E256" s="718">
        <f>IFERROR(AVERAGEIFS('2025-Q2'!$K$4:$K$422,'2025-Q2'!$K$4:$K$422,"&lt;0",'2025-Q2'!$T$4:$T$422,"NA",'2025-Q2'!$E$4:$E$422,'Q1-STATS'!$A241),0)</f>
        <v>-3.1540255951176661E-2</v>
      </c>
      <c r="F256" s="721">
        <f>((C256/0.06)*B256)+((E256/0.06)*D256)</f>
        <v>0.62848633887309635</v>
      </c>
      <c r="G256" s="722">
        <f>-((E256/0.06)*D256)-((C256/0.06)*B256)</f>
        <v>-0.62848633887309635</v>
      </c>
      <c r="H256" s="45"/>
      <c r="I256" s="45"/>
    </row>
    <row r="257" spans="1:9" x14ac:dyDescent="0.25">
      <c r="A257" s="36" t="s">
        <v>2540</v>
      </c>
      <c r="B257" s="281">
        <f>IFERROR((B256/(B256+D256)),0)</f>
        <v>0.5</v>
      </c>
      <c r="C257" s="720"/>
      <c r="D257" s="33">
        <f>IF(AND(B256=0,D256=0),0,1-B257)</f>
        <v>0.5</v>
      </c>
      <c r="E257" s="719"/>
      <c r="F257" s="721"/>
      <c r="G257" s="722"/>
      <c r="H257" s="45"/>
      <c r="I257" s="45"/>
    </row>
    <row r="258" spans="1:9" x14ac:dyDescent="0.25">
      <c r="A258" s="703" t="s">
        <v>2821</v>
      </c>
      <c r="B258" s="704"/>
      <c r="C258" s="704"/>
      <c r="D258" s="704"/>
      <c r="E258" s="704"/>
      <c r="F258" s="704"/>
      <c r="G258" s="704"/>
      <c r="H258" s="704"/>
      <c r="I258" s="704"/>
    </row>
    <row r="259" spans="1:9" x14ac:dyDescent="0.25">
      <c r="A259" s="704"/>
      <c r="B259" s="704"/>
      <c r="C259" s="704"/>
      <c r="D259" s="704"/>
      <c r="E259" s="704"/>
      <c r="F259" s="704"/>
      <c r="G259" s="704"/>
      <c r="H259" s="704"/>
      <c r="I259" s="704"/>
    </row>
    <row r="260" spans="1:9" x14ac:dyDescent="0.25">
      <c r="A260" s="704"/>
      <c r="B260" s="704"/>
      <c r="C260" s="704"/>
      <c r="D260" s="704"/>
      <c r="E260" s="704"/>
      <c r="F260" s="704"/>
      <c r="G260" s="704"/>
      <c r="H260" s="704"/>
      <c r="I260" s="704"/>
    </row>
    <row r="261" spans="1:9" ht="36" x14ac:dyDescent="0.25">
      <c r="A261" s="283" t="s">
        <v>2660</v>
      </c>
      <c r="B261" s="24" t="s">
        <v>2522</v>
      </c>
      <c r="C261" s="24" t="s">
        <v>2536</v>
      </c>
      <c r="D261" s="24" t="s">
        <v>2537</v>
      </c>
      <c r="E261" s="24" t="s">
        <v>2524</v>
      </c>
      <c r="F261" s="24" t="s">
        <v>2541</v>
      </c>
      <c r="G261" s="45"/>
      <c r="H261" s="45"/>
      <c r="I261" s="45"/>
    </row>
    <row r="262" spans="1:9" x14ac:dyDescent="0.25">
      <c r="A262" s="28" t="s">
        <v>2521</v>
      </c>
      <c r="B262" s="14">
        <f>COUNTIFS('2025-Q2'!$K$4:$K$422,"&gt;0",'2025-Q2'!$E$4:$E$422,'Q1-STATS'!$A261)</f>
        <v>0</v>
      </c>
      <c r="C262" s="14">
        <f>SUMIFS('2025-Q2'!$BC$4:$BC$422,'2025-Q2'!$E$4:$E$422,'Q1-STATS'!$A261)</f>
        <v>0</v>
      </c>
      <c r="D262" s="14">
        <f>SUMIFS('2025-Q2'!$BD$4:$BD$422,'2025-Q2'!$E$4:$E$422,'Q1-STATS'!$A261)</f>
        <v>0</v>
      </c>
      <c r="E262" s="14">
        <f>SUMIFS('2025-Q2'!$BE$4:$BE$422,'2025-Q2'!$E$4:$E$422,'Q1-STATS'!$A261)</f>
        <v>0</v>
      </c>
      <c r="F262" s="710">
        <f>((C264/0.06)*C262)+((D269/0.06)*D267)</f>
        <v>0</v>
      </c>
      <c r="G262" s="45"/>
      <c r="H262" s="713" t="s">
        <v>2620</v>
      </c>
      <c r="I262" s="45"/>
    </row>
    <row r="263" spans="1:9" x14ac:dyDescent="0.25">
      <c r="A263" s="27" t="s">
        <v>2525</v>
      </c>
      <c r="B263" s="16" t="s">
        <v>2526</v>
      </c>
      <c r="C263" s="17">
        <f>IFERROR(C262/$B262,0)</f>
        <v>0</v>
      </c>
      <c r="D263" s="17">
        <f>IFERROR(D262/$B262,0)</f>
        <v>0</v>
      </c>
      <c r="E263" s="17">
        <f>IFERROR(E262/$B262,0)</f>
        <v>0</v>
      </c>
      <c r="F263" s="711"/>
      <c r="G263" s="45"/>
      <c r="H263" s="714"/>
      <c r="I263" s="45"/>
    </row>
    <row r="264" spans="1:9" x14ac:dyDescent="0.25">
      <c r="A264" s="27" t="s">
        <v>2535</v>
      </c>
      <c r="B264" s="20">
        <f>IFERROR(AVERAGEIFS('2025-Q2'!$K$4:$K$422,'2025-Q2'!$K$4:$K$422,"&gt;0",'2025-Q2'!$E$4:$E$422,'Q1-STATS'!$A261),0)</f>
        <v>0</v>
      </c>
      <c r="C264" s="20">
        <f>IFERROR(AVERAGEIFS('2025-Q2'!$K$4:$K$422,'2025-Q2'!$K$4:$K$422,"&gt;0",'2025-Q2'!$E$4:$E$422,'Q1-STATS'!$A261,'2025-Q2'!$T$4:$T$422,"Yes"),0)</f>
        <v>0</v>
      </c>
      <c r="D264" s="20">
        <f>IFERROR(AVERAGEIFS('2025-Q2'!$K$4:$K$422,'2025-Q2'!$K$4:$K$422,"&gt;0",'2025-Q2'!$E$4:$E$422,'Q1-STATS'!$A261,'2025-Q2'!$T$4:$T$422,"No"),0)</f>
        <v>0</v>
      </c>
      <c r="E264" s="20">
        <f>IFERROR(AVERAGEIFS('2025-Q2'!$K$4:$K$422,'2025-Q2'!$K$4:$K$422,"&gt;0",'2025-Q2'!$E$4:$E$422,'Q1-STATS'!$A261,'2025-Q2'!$T$4:$T$422,"NA"),0)</f>
        <v>0</v>
      </c>
      <c r="F264" s="712"/>
      <c r="G264" s="45"/>
      <c r="H264" s="715"/>
      <c r="I264" s="45"/>
    </row>
    <row r="265" spans="1:9" x14ac:dyDescent="0.25">
      <c r="A265" s="45"/>
      <c r="B265" s="45"/>
      <c r="C265" s="45"/>
      <c r="D265" s="45"/>
      <c r="E265" s="45"/>
      <c r="F265" s="45"/>
      <c r="G265" s="45"/>
      <c r="H265" s="710">
        <f>F262+F267+F276</f>
        <v>-2.9368362277223206</v>
      </c>
      <c r="I265" s="45"/>
    </row>
    <row r="266" spans="1:9" ht="36" x14ac:dyDescent="0.25">
      <c r="A266" s="26" t="str">
        <f>A261</f>
        <v>H-INS</v>
      </c>
      <c r="B266" s="23" t="s">
        <v>2522</v>
      </c>
      <c r="C266" s="23" t="s">
        <v>2538</v>
      </c>
      <c r="D266" s="23" t="s">
        <v>2537</v>
      </c>
      <c r="E266" s="23" t="s">
        <v>2524</v>
      </c>
      <c r="F266" s="23" t="s">
        <v>2542</v>
      </c>
      <c r="G266" s="45"/>
      <c r="H266" s="712"/>
      <c r="I266" s="45"/>
    </row>
    <row r="267" spans="1:9" x14ac:dyDescent="0.25">
      <c r="A267" s="29" t="s">
        <v>2527</v>
      </c>
      <c r="B267" s="30">
        <f>COUNTIFS('2025-Q2'!$K$4:$K$422,"&lt;0",'2025-Q2'!$E$4:$E$422,'Q1-STATS'!$A266)</f>
        <v>1</v>
      </c>
      <c r="C267" s="30">
        <f>SUMIFS('2025-Q2'!$BG$4:$BG$422,'2025-Q2'!$E$4:$E$422,'Q1-STATS'!$A266)</f>
        <v>0</v>
      </c>
      <c r="D267" s="30">
        <f>SUMIFS('2025-Q2'!$BH$4:$BH$422,'2025-Q2'!$E$4:$E$422,'Q1-STATS'!$A266)</f>
        <v>0</v>
      </c>
      <c r="E267" s="30">
        <f>SUMIFS('2025-Q2'!$BI$4:$BI$422,'2025-Q2'!$E$4:$E$422,'Q1-STATS'!$A266)</f>
        <v>1</v>
      </c>
      <c r="F267" s="710">
        <f>-((C269/0.06)*C267)-((D264/0.06)*D262)</f>
        <v>0</v>
      </c>
      <c r="G267" s="45"/>
      <c r="H267" s="45"/>
      <c r="I267" s="45"/>
    </row>
    <row r="268" spans="1:9" x14ac:dyDescent="0.25">
      <c r="A268" s="31" t="s">
        <v>2528</v>
      </c>
      <c r="B268" s="18" t="s">
        <v>2526</v>
      </c>
      <c r="C268" s="19">
        <f>IFERROR(C267/$B267,0)</f>
        <v>0</v>
      </c>
      <c r="D268" s="19">
        <f>IFERROR(D267/$B267,0)</f>
        <v>0</v>
      </c>
      <c r="E268" s="19">
        <f>IFERROR(E267/$B267,0)</f>
        <v>1</v>
      </c>
      <c r="F268" s="711"/>
      <c r="G268" s="45"/>
      <c r="H268" s="45"/>
      <c r="I268" s="45"/>
    </row>
    <row r="269" spans="1:9" x14ac:dyDescent="0.25">
      <c r="A269" s="31" t="s">
        <v>2535</v>
      </c>
      <c r="B269" s="21">
        <f>IFERROR(AVERAGEIFS('2025-Q2'!$K$4:$K$422,'2025-Q2'!$K$4:$K$422,"&lt;0",'2025-Q2'!$E$4:$E$422,'Q1-STATS'!$A266),0)</f>
        <v>-0.17621017366333921</v>
      </c>
      <c r="C269" s="21">
        <f>IFERROR(AVERAGEIFS('2025-Q2'!$K$4:$K$422,'2025-Q2'!$K$4:$K$422,"&lt;0",'2025-Q2'!$E$4:$E$422,'Q1-STATS'!$A266,'2025-Q2'!$T$4:$T$422,"Yes"),0)</f>
        <v>0</v>
      </c>
      <c r="D269" s="21">
        <f>IFERROR(AVERAGEIFS('2025-Q2'!$K$4:$K$422,'2025-Q2'!$K$4:$K$422,"&lt;0",'2025-Q2'!$E$4:$E$422,'Q1-STATS'!$A266,'2025-Q2'!$T$4:$T$422,"No"),0)</f>
        <v>0</v>
      </c>
      <c r="E269" s="21">
        <f>IFERROR(AVERAGEIFS('2025-Q2'!$K$4:$K$422,'2025-Q2'!$K$4:$K$422,"&lt;0",'2025-Q2'!$E$4:$E$422,'Q1-STATS'!$A266,'2025-Q2'!$T$4:$T$422,"NA"),0)</f>
        <v>-0.17621017366333921</v>
      </c>
      <c r="F269" s="712"/>
      <c r="G269" s="45"/>
      <c r="H269" s="45"/>
      <c r="I269" s="45"/>
    </row>
    <row r="270" spans="1:9" x14ac:dyDescent="0.25">
      <c r="A270" s="45"/>
      <c r="B270" s="45"/>
      <c r="C270" s="45"/>
      <c r="D270" s="45"/>
      <c r="E270" s="45"/>
      <c r="F270" s="45"/>
      <c r="G270" s="45"/>
      <c r="H270" s="45"/>
      <c r="I270" s="45"/>
    </row>
    <row r="271" spans="1:9" ht="24.75" x14ac:dyDescent="0.25">
      <c r="A271" s="280" t="str">
        <f>A261</f>
        <v>H-INS</v>
      </c>
      <c r="B271" s="25" t="s">
        <v>2531</v>
      </c>
      <c r="C271" s="25" t="s">
        <v>2532</v>
      </c>
      <c r="D271" s="26" t="s">
        <v>2533</v>
      </c>
      <c r="E271" s="26" t="s">
        <v>2534</v>
      </c>
      <c r="F271" s="24" t="s">
        <v>2545</v>
      </c>
      <c r="G271" s="45"/>
      <c r="H271" s="45"/>
      <c r="I271" s="45"/>
    </row>
    <row r="272" spans="1:9" x14ac:dyDescent="0.25">
      <c r="A272" s="32" t="s">
        <v>2539</v>
      </c>
      <c r="B272" s="14">
        <f>B262</f>
        <v>0</v>
      </c>
      <c r="C272" s="723">
        <f>IFERROR(B264,0)</f>
        <v>0</v>
      </c>
      <c r="D272" s="30">
        <f>B267</f>
        <v>1</v>
      </c>
      <c r="E272" s="725">
        <f>IFERROR(B269,0)</f>
        <v>-0.17621017366333921</v>
      </c>
      <c r="F272" s="710">
        <f>((C272/0.06)*B272)+((E272/0.06)*D272)</f>
        <v>-2.9368362277223206</v>
      </c>
      <c r="G272" s="45"/>
      <c r="H272" s="45"/>
      <c r="I272" s="45"/>
    </row>
    <row r="273" spans="1:9" x14ac:dyDescent="0.25">
      <c r="A273" s="36" t="s">
        <v>2540</v>
      </c>
      <c r="B273" s="34">
        <f>IFERROR(B272/(B272+D272),0)</f>
        <v>0</v>
      </c>
      <c r="C273" s="724"/>
      <c r="D273" s="35">
        <f>1-B273</f>
        <v>1</v>
      </c>
      <c r="E273" s="726"/>
      <c r="F273" s="712"/>
      <c r="G273" s="45"/>
      <c r="H273" s="45"/>
      <c r="I273" s="45"/>
    </row>
    <row r="274" spans="1:9" x14ac:dyDescent="0.25">
      <c r="A274" s="45"/>
      <c r="B274" s="45"/>
      <c r="C274" s="45"/>
      <c r="D274" s="45"/>
      <c r="E274" s="45"/>
      <c r="F274" s="45"/>
      <c r="G274" s="45"/>
      <c r="H274" s="45"/>
      <c r="I274" s="45"/>
    </row>
    <row r="275" spans="1:9" ht="38.25" x14ac:dyDescent="0.25">
      <c r="A275" s="280" t="str">
        <f>A261</f>
        <v>H-INS</v>
      </c>
      <c r="B275" s="25" t="s">
        <v>2531</v>
      </c>
      <c r="C275" s="25" t="s">
        <v>2532</v>
      </c>
      <c r="D275" s="26" t="s">
        <v>2533</v>
      </c>
      <c r="E275" s="26" t="s">
        <v>2534</v>
      </c>
      <c r="F275" s="24" t="s">
        <v>2543</v>
      </c>
      <c r="G275" s="37" t="s">
        <v>2544</v>
      </c>
      <c r="H275" s="45"/>
      <c r="I275" s="45"/>
    </row>
    <row r="276" spans="1:9" x14ac:dyDescent="0.25">
      <c r="A276" s="401" t="s">
        <v>2530</v>
      </c>
      <c r="B276" s="14">
        <f>E262</f>
        <v>0</v>
      </c>
      <c r="C276" s="727">
        <f>IFERROR(AVERAGEIFS('2025-Q2'!$K$4:$K$422,'2025-Q2'!$K$4:$K$422,"&gt;0",'2025-Q2'!$T$4:$T$422,"NA",'2025-Q2'!$E$4:$E$422,'Q1-STATS'!$A261),0)</f>
        <v>0</v>
      </c>
      <c r="D276" s="74">
        <f>E267</f>
        <v>1</v>
      </c>
      <c r="E276" s="725">
        <f>IFERROR(AVERAGEIFS('2025-Q2'!$K$4:$K$422,'2025-Q2'!$K$4:$K$422,"&lt;0",'2025-Q2'!$T$4:$T$422,"NA",'2025-Q2'!$E$4:$E$422,'Q1-STATS'!$A261),0)</f>
        <v>-0.17621017366333921</v>
      </c>
      <c r="F276" s="721">
        <f>((C276/0.06)*B276)+((E276/0.06)*D276)</f>
        <v>-2.9368362277223206</v>
      </c>
      <c r="G276" s="722">
        <f>-((E276/0.06)*D276)-((C276/0.06)*B276)</f>
        <v>2.9368362277223206</v>
      </c>
      <c r="H276" s="45"/>
      <c r="I276" s="45"/>
    </row>
    <row r="277" spans="1:9" x14ac:dyDescent="0.25">
      <c r="A277" s="36" t="s">
        <v>2540</v>
      </c>
      <c r="B277" s="75">
        <f>IFERROR((B276/(B276+D276)),0)</f>
        <v>0</v>
      </c>
      <c r="C277" s="727"/>
      <c r="D277" s="35">
        <f>IF(AND(B276=0,D276=0),0,1-B277)</f>
        <v>1</v>
      </c>
      <c r="E277" s="726"/>
      <c r="F277" s="721"/>
      <c r="G277" s="722"/>
      <c r="H277" s="45"/>
      <c r="I277" s="45"/>
    </row>
    <row r="278" spans="1:9" x14ac:dyDescent="0.25">
      <c r="A278" s="703" t="s">
        <v>2822</v>
      </c>
      <c r="B278" s="704"/>
      <c r="C278" s="704"/>
      <c r="D278" s="704"/>
      <c r="E278" s="704"/>
      <c r="F278" s="704"/>
      <c r="G278" s="704"/>
      <c r="H278" s="704"/>
      <c r="I278" s="704"/>
    </row>
    <row r="279" spans="1:9" x14ac:dyDescent="0.25">
      <c r="A279" s="704"/>
      <c r="B279" s="704"/>
      <c r="C279" s="704"/>
      <c r="D279" s="704"/>
      <c r="E279" s="704"/>
      <c r="F279" s="704"/>
      <c r="G279" s="704"/>
      <c r="H279" s="704"/>
      <c r="I279" s="704"/>
    </row>
    <row r="280" spans="1:9" x14ac:dyDescent="0.25">
      <c r="A280" s="704"/>
      <c r="B280" s="704"/>
      <c r="C280" s="704"/>
      <c r="D280" s="704"/>
      <c r="E280" s="704"/>
      <c r="F280" s="704"/>
      <c r="G280" s="704"/>
      <c r="H280" s="704"/>
      <c r="I280" s="704"/>
    </row>
    <row r="281" spans="1:9" ht="36" x14ac:dyDescent="0.25">
      <c r="A281" s="283" t="s">
        <v>2661</v>
      </c>
      <c r="B281" s="24" t="s">
        <v>2522</v>
      </c>
      <c r="C281" s="24" t="s">
        <v>2536</v>
      </c>
      <c r="D281" s="24" t="s">
        <v>2537</v>
      </c>
      <c r="E281" s="24" t="s">
        <v>2524</v>
      </c>
      <c r="F281" s="24" t="s">
        <v>2541</v>
      </c>
      <c r="G281" s="45"/>
      <c r="H281" s="45"/>
      <c r="I281" s="45"/>
    </row>
    <row r="282" spans="1:9" x14ac:dyDescent="0.25">
      <c r="A282" s="28" t="s">
        <v>2521</v>
      </c>
      <c r="B282" s="14">
        <f>COUNTIFS('2025-Q2'!$K$4:$K$422,"&gt;0",'2025-Q2'!$E$4:$E$422,'Q1-STATS'!$A281)</f>
        <v>7</v>
      </c>
      <c r="C282" s="14">
        <f>SUMIFS('2025-Q2'!$BC$4:$BC$422,'2025-Q2'!$E$4:$E$422,'Q1-STATS'!$A281)</f>
        <v>1</v>
      </c>
      <c r="D282" s="14">
        <f>SUMIFS('2025-Q2'!$BD$4:$BD$422,'2025-Q2'!$E$4:$E$422,'Q1-STATS'!$A281)</f>
        <v>1</v>
      </c>
      <c r="E282" s="14">
        <f>SUMIFS('2025-Q2'!$BE$4:$BE$422,'2025-Q2'!$E$4:$E$422,'Q1-STATS'!$A281)</f>
        <v>5</v>
      </c>
      <c r="F282" s="710">
        <f>((C284/0.06)*C282)+((D289/0.06)*D287)</f>
        <v>6.6834991831277793E-2</v>
      </c>
      <c r="G282" s="45"/>
      <c r="H282" s="713" t="s">
        <v>2620</v>
      </c>
      <c r="I282" s="45"/>
    </row>
    <row r="283" spans="1:9" x14ac:dyDescent="0.25">
      <c r="A283" s="27" t="s">
        <v>2525</v>
      </c>
      <c r="B283" s="16" t="s">
        <v>2526</v>
      </c>
      <c r="C283" s="17">
        <f>IFERROR(C282/$B282,0)</f>
        <v>0.14285714285714285</v>
      </c>
      <c r="D283" s="17">
        <f>IFERROR(D282/$B282,0)</f>
        <v>0.14285714285714285</v>
      </c>
      <c r="E283" s="17">
        <f>IFERROR(E282/$B282,0)</f>
        <v>0.7142857142857143</v>
      </c>
      <c r="F283" s="711"/>
      <c r="G283" s="45"/>
      <c r="H283" s="714"/>
      <c r="I283" s="45"/>
    </row>
    <row r="284" spans="1:9" x14ac:dyDescent="0.25">
      <c r="A284" s="27" t="s">
        <v>2535</v>
      </c>
      <c r="B284" s="20">
        <f>IFERROR(AVERAGEIFS('2025-Q2'!$K$4:$K$422,'2025-Q2'!$K$4:$K$422,"&gt;0",'2025-Q2'!$E$4:$E$422,'Q1-STATS'!$A281),0)</f>
        <v>2.6761169315794971E-2</v>
      </c>
      <c r="C284" s="20">
        <f>IFERROR(AVERAGEIFS('2025-Q2'!$K$4:$K$422,'2025-Q2'!$K$4:$K$422,"&gt;0",'2025-Q2'!$E$4:$E$422,'Q1-STATS'!$A281,'2025-Q2'!$T$4:$T$422,"Yes"),0)</f>
        <v>4.0100995098766674E-3</v>
      </c>
      <c r="D284" s="20">
        <f>IFERROR(AVERAGEIFS('2025-Q2'!$K$4:$K$422,'2025-Q2'!$K$4:$K$422,"&gt;0",'2025-Q2'!$E$4:$E$422,'Q1-STATS'!$A281,'2025-Q2'!$T$4:$T$422,"No"),0)</f>
        <v>1.3068860289239741E-2</v>
      </c>
      <c r="E284" s="20">
        <f>IFERROR(AVERAGEIFS('2025-Q2'!$K$4:$K$422,'2025-Q2'!$K$4:$K$422,"&gt;0",'2025-Q2'!$E$4:$E$422,'Q1-STATS'!$A281,'2025-Q2'!$T$4:$T$422,"NA"),0)</f>
        <v>3.4049845082289677E-2</v>
      </c>
      <c r="F284" s="712"/>
      <c r="G284" s="45"/>
      <c r="H284" s="715"/>
      <c r="I284" s="45"/>
    </row>
    <row r="285" spans="1:9" x14ac:dyDescent="0.25">
      <c r="A285" s="45"/>
      <c r="B285" s="45"/>
      <c r="C285" s="45"/>
      <c r="D285" s="45"/>
      <c r="E285" s="45"/>
      <c r="F285" s="45"/>
      <c r="G285" s="45"/>
      <c r="H285" s="710">
        <f>F282+F287+F296</f>
        <v>-0.79042852771570471</v>
      </c>
      <c r="I285" s="45"/>
    </row>
    <row r="286" spans="1:9" ht="36" x14ac:dyDescent="0.25">
      <c r="A286" s="26" t="str">
        <f>A281</f>
        <v>INS</v>
      </c>
      <c r="B286" s="23" t="s">
        <v>2522</v>
      </c>
      <c r="C286" s="23" t="s">
        <v>2538</v>
      </c>
      <c r="D286" s="23" t="s">
        <v>2537</v>
      </c>
      <c r="E286" s="23" t="s">
        <v>2524</v>
      </c>
      <c r="F286" s="23" t="s">
        <v>2542</v>
      </c>
      <c r="G286" s="45"/>
      <c r="H286" s="712"/>
      <c r="I286" s="45"/>
    </row>
    <row r="287" spans="1:9" x14ac:dyDescent="0.25">
      <c r="A287" s="29" t="s">
        <v>2527</v>
      </c>
      <c r="B287" s="30">
        <f>COUNTIFS('2025-Q2'!$K$4:$K$422,"&lt;0",'2025-Q2'!$E$4:$E$422,'Q1-STATS'!$A286)</f>
        <v>8</v>
      </c>
      <c r="C287" s="30">
        <f>SUMIFS('2025-Q2'!$BG$4:$BG$422,'2025-Q2'!$E$4:$E$422,'Q1-STATS'!$A286)</f>
        <v>1</v>
      </c>
      <c r="D287" s="30">
        <f>SUMIFS('2025-Q2'!$BH$4:$BH$422,'2025-Q2'!$E$4:$E$422,'Q1-STATS'!$A286)</f>
        <v>0</v>
      </c>
      <c r="E287" s="30">
        <f>SUMIFS('2025-Q2'!$BI$4:$BI$422,'2025-Q2'!$E$4:$E$422,'Q1-STATS'!$A286)</f>
        <v>7</v>
      </c>
      <c r="F287" s="710">
        <f>-((C289/0.06)*C287)-((D284/0.06)*D282)</f>
        <v>-0.16102012791805725</v>
      </c>
      <c r="G287" s="45"/>
      <c r="H287" s="45"/>
      <c r="I287" s="45"/>
    </row>
    <row r="288" spans="1:9" x14ac:dyDescent="0.25">
      <c r="A288" s="31" t="s">
        <v>2528</v>
      </c>
      <c r="B288" s="18" t="s">
        <v>2526</v>
      </c>
      <c r="C288" s="19">
        <f>IFERROR(C287/$B287,0)</f>
        <v>0.125</v>
      </c>
      <c r="D288" s="19">
        <f>IFERROR(D287/$B287,0)</f>
        <v>0</v>
      </c>
      <c r="E288" s="19">
        <f>IFERROR(E287/$B287,0)</f>
        <v>0.875</v>
      </c>
      <c r="F288" s="711"/>
      <c r="G288" s="45"/>
      <c r="H288" s="45"/>
      <c r="I288" s="45"/>
    </row>
    <row r="289" spans="1:9" x14ac:dyDescent="0.25">
      <c r="A289" s="31" t="s">
        <v>2535</v>
      </c>
      <c r="B289" s="21">
        <f>IFERROR(AVERAGEIFS('2025-Q2'!$K$4:$K$422,'2025-Q2'!$K$4:$K$422,"&lt;0",'2025-Q2'!$E$4:$E$422,'Q1-STATS'!$A286),0)</f>
        <v>-2.692893519041753E-2</v>
      </c>
      <c r="C289" s="21">
        <f>IFERROR(AVERAGEIFS('2025-Q2'!$K$4:$K$422,'2025-Q2'!$K$4:$K$422,"&lt;0",'2025-Q2'!$E$4:$E$422,'Q1-STATS'!$A286,'2025-Q2'!$T$4:$T$422,"Yes"),0)</f>
        <v>-3.4076526141563076E-3</v>
      </c>
      <c r="D289" s="21">
        <f>IFERROR(AVERAGEIFS('2025-Q2'!$K$4:$K$422,'2025-Q2'!$K$4:$K$422,"&lt;0",'2025-Q2'!$E$4:$E$422,'Q1-STATS'!$A286,'2025-Q2'!$T$4:$T$422,"No"),0)</f>
        <v>0</v>
      </c>
      <c r="E289" s="21">
        <f>IFERROR(AVERAGEIFS('2025-Q2'!$K$4:$K$422,'2025-Q2'!$K$4:$K$422,"&lt;0",'2025-Q2'!$E$4:$E$422,'Q1-STATS'!$A286,'2025-Q2'!$T$4:$T$422,"NA"),0)</f>
        <v>-3.0289118415597702E-2</v>
      </c>
      <c r="F289" s="712"/>
      <c r="G289" s="45"/>
      <c r="H289" s="45"/>
      <c r="I289" s="45"/>
    </row>
    <row r="290" spans="1:9" x14ac:dyDescent="0.25">
      <c r="A290" s="45"/>
      <c r="B290" s="45"/>
      <c r="C290" s="45"/>
      <c r="D290" s="45"/>
      <c r="E290" s="45"/>
      <c r="F290" s="45"/>
      <c r="G290" s="45"/>
      <c r="H290" s="45"/>
      <c r="I290" s="45"/>
    </row>
    <row r="291" spans="1:9" ht="24.75" x14ac:dyDescent="0.25">
      <c r="A291" s="280" t="str">
        <f>A281</f>
        <v>INS</v>
      </c>
      <c r="B291" s="25" t="s">
        <v>2531</v>
      </c>
      <c r="C291" s="25" t="s">
        <v>2532</v>
      </c>
      <c r="D291" s="26" t="s">
        <v>2533</v>
      </c>
      <c r="E291" s="26" t="s">
        <v>2534</v>
      </c>
      <c r="F291" s="24" t="s">
        <v>2545</v>
      </c>
      <c r="G291" s="45"/>
      <c r="H291" s="45"/>
      <c r="I291" s="45"/>
    </row>
    <row r="292" spans="1:9" x14ac:dyDescent="0.25">
      <c r="A292" s="32" t="s">
        <v>2539</v>
      </c>
      <c r="B292" s="15">
        <f>B282</f>
        <v>7</v>
      </c>
      <c r="C292" s="716">
        <f>IFERROR(B284,0)</f>
        <v>2.6761169315794971E-2</v>
      </c>
      <c r="D292" s="282">
        <f>B287</f>
        <v>8</v>
      </c>
      <c r="E292" s="718">
        <f>IFERROR(B289,0)</f>
        <v>-2.692893519041753E-2</v>
      </c>
      <c r="F292" s="710">
        <f>((C292/0.06)*B292)+((E292/0.06)*D292)</f>
        <v>-0.46838827187959087</v>
      </c>
      <c r="G292" s="45"/>
      <c r="H292" s="45"/>
      <c r="I292" s="45"/>
    </row>
    <row r="293" spans="1:9" x14ac:dyDescent="0.25">
      <c r="A293" s="36" t="s">
        <v>2540</v>
      </c>
      <c r="B293" s="17">
        <f>IFERROR(B292/(B292+D292),0)</f>
        <v>0.46666666666666667</v>
      </c>
      <c r="C293" s="717"/>
      <c r="D293" s="33">
        <f>IF(AND(B292=0,D292=0),0,1-B293)</f>
        <v>0.53333333333333333</v>
      </c>
      <c r="E293" s="719"/>
      <c r="F293" s="712"/>
      <c r="G293" s="45"/>
      <c r="H293" s="45"/>
      <c r="I293" s="45"/>
    </row>
    <row r="294" spans="1:9" x14ac:dyDescent="0.25">
      <c r="A294" s="45"/>
      <c r="B294" s="45"/>
      <c r="C294" s="45"/>
      <c r="D294" s="45"/>
      <c r="E294" s="45"/>
      <c r="F294" s="45"/>
      <c r="G294" s="45"/>
      <c r="H294" s="45"/>
      <c r="I294" s="45"/>
    </row>
    <row r="295" spans="1:9" ht="38.25" x14ac:dyDescent="0.25">
      <c r="A295" s="280" t="str">
        <f>A281</f>
        <v>INS</v>
      </c>
      <c r="B295" s="25" t="s">
        <v>2531</v>
      </c>
      <c r="C295" s="25" t="s">
        <v>2532</v>
      </c>
      <c r="D295" s="26" t="s">
        <v>2533</v>
      </c>
      <c r="E295" s="26" t="s">
        <v>2534</v>
      </c>
      <c r="F295" s="24" t="s">
        <v>2543</v>
      </c>
      <c r="G295" s="37" t="s">
        <v>2544</v>
      </c>
      <c r="H295" s="45"/>
      <c r="I295" s="45"/>
    </row>
    <row r="296" spans="1:9" x14ac:dyDescent="0.25">
      <c r="A296" s="401" t="s">
        <v>2530</v>
      </c>
      <c r="B296" s="15">
        <f>E282</f>
        <v>5</v>
      </c>
      <c r="C296" s="720">
        <f>IFERROR(AVERAGEIFS('2025-Q2'!$K$4:$K$422,'2025-Q2'!$K$4:$K$422,"&gt;0",'2025-Q2'!$T$4:$T$422,"NA",'2025-Q2'!$E$4:$E$422,'Q1-STATS'!$A281),0)</f>
        <v>3.4049845082289677E-2</v>
      </c>
      <c r="D296" s="39">
        <f>E287</f>
        <v>7</v>
      </c>
      <c r="E296" s="718">
        <f>IFERROR(AVERAGEIFS('2025-Q2'!$K$4:$K$422,'2025-Q2'!$K$4:$K$422,"&lt;0",'2025-Q2'!$T$4:$T$422,"NA",'2025-Q2'!$E$4:$E$422,'Q1-STATS'!$A281),0)</f>
        <v>-3.0289118415597702E-2</v>
      </c>
      <c r="F296" s="721">
        <f>((C296/0.06)*B296)+((E296/0.06)*D296)</f>
        <v>-0.69624339162892523</v>
      </c>
      <c r="G296" s="722">
        <f>-((E296/0.06)*D296)-((C296/0.06)*B296)</f>
        <v>0.69624339162892523</v>
      </c>
      <c r="H296" s="45"/>
      <c r="I296" s="45"/>
    </row>
    <row r="297" spans="1:9" x14ac:dyDescent="0.25">
      <c r="A297" s="36" t="s">
        <v>2540</v>
      </c>
      <c r="B297" s="281">
        <f>IFERROR((B296/(B296+D296)),0)</f>
        <v>0.41666666666666669</v>
      </c>
      <c r="C297" s="720"/>
      <c r="D297" s="33">
        <f>IF(AND(B296=0,D296=0),0,1-B297)</f>
        <v>0.58333333333333326</v>
      </c>
      <c r="E297" s="719"/>
      <c r="F297" s="721"/>
      <c r="G297" s="722"/>
      <c r="H297" s="45"/>
      <c r="I297" s="45"/>
    </row>
    <row r="298" spans="1:9" x14ac:dyDescent="0.25">
      <c r="A298" s="703" t="s">
        <v>2823</v>
      </c>
      <c r="B298" s="704"/>
      <c r="C298" s="704"/>
      <c r="D298" s="704"/>
      <c r="E298" s="704"/>
      <c r="F298" s="704"/>
      <c r="G298" s="704"/>
      <c r="H298" s="704"/>
      <c r="I298" s="704"/>
    </row>
    <row r="299" spans="1:9" x14ac:dyDescent="0.25">
      <c r="A299" s="704"/>
      <c r="B299" s="704"/>
      <c r="C299" s="704"/>
      <c r="D299" s="704"/>
      <c r="E299" s="704"/>
      <c r="F299" s="704"/>
      <c r="G299" s="704"/>
      <c r="H299" s="704"/>
      <c r="I299" s="704"/>
    </row>
    <row r="300" spans="1:9" x14ac:dyDescent="0.25">
      <c r="A300" s="704"/>
      <c r="B300" s="704"/>
      <c r="C300" s="704"/>
      <c r="D300" s="704"/>
      <c r="E300" s="704"/>
      <c r="F300" s="704"/>
      <c r="G300" s="704"/>
      <c r="H300" s="704"/>
      <c r="I300" s="704"/>
    </row>
    <row r="301" spans="1:9" ht="36" x14ac:dyDescent="0.25">
      <c r="A301" s="283" t="s">
        <v>2663</v>
      </c>
      <c r="B301" s="24" t="s">
        <v>2522</v>
      </c>
      <c r="C301" s="24" t="s">
        <v>2536</v>
      </c>
      <c r="D301" s="24" t="s">
        <v>2537</v>
      </c>
      <c r="E301" s="24" t="s">
        <v>2524</v>
      </c>
      <c r="F301" s="24" t="s">
        <v>2541</v>
      </c>
      <c r="G301" s="45"/>
      <c r="H301" s="45"/>
      <c r="I301" s="45"/>
    </row>
    <row r="302" spans="1:9" x14ac:dyDescent="0.25">
      <c r="A302" s="28" t="s">
        <v>2521</v>
      </c>
      <c r="B302" s="14">
        <f>COUNTIFS('2025-Q2'!$K$4:$K$422,"&gt;0",'2025-Q2'!$E$4:$E$422,'Q1-STATS'!$A301)</f>
        <v>6</v>
      </c>
      <c r="C302" s="14">
        <f>SUMIFS('2025-Q2'!$BC$4:$BC$422,'2025-Q2'!$E$4:$E$422,'Q1-STATS'!$A301)</f>
        <v>0</v>
      </c>
      <c r="D302" s="14">
        <f>SUMIFS('2025-Q2'!$BD$4:$BD$422,'2025-Q2'!$E$4:$E$422,'Q1-STATS'!$A301)</f>
        <v>5</v>
      </c>
      <c r="E302" s="14">
        <f>SUMIFS('2025-Q2'!$BE$4:$BE$422,'2025-Q2'!$E$4:$E$422,'Q1-STATS'!$A301)</f>
        <v>1</v>
      </c>
      <c r="F302" s="710">
        <f>((C304/0.06)*C302)+((D309/0.06)*D307)</f>
        <v>0</v>
      </c>
      <c r="G302" s="45"/>
      <c r="H302" s="713" t="s">
        <v>2620</v>
      </c>
      <c r="I302" s="45"/>
    </row>
    <row r="303" spans="1:9" x14ac:dyDescent="0.25">
      <c r="A303" s="27" t="s">
        <v>2525</v>
      </c>
      <c r="B303" s="16" t="s">
        <v>2526</v>
      </c>
      <c r="C303" s="17">
        <f>IFERROR(C302/$B302,0)</f>
        <v>0</v>
      </c>
      <c r="D303" s="17">
        <f>IFERROR(D302/$B302,0)</f>
        <v>0.83333333333333337</v>
      </c>
      <c r="E303" s="17">
        <f>IFERROR(E302/$B302,0)</f>
        <v>0.16666666666666666</v>
      </c>
      <c r="F303" s="711"/>
      <c r="G303" s="45"/>
      <c r="H303" s="714"/>
      <c r="I303" s="45"/>
    </row>
    <row r="304" spans="1:9" x14ac:dyDescent="0.25">
      <c r="A304" s="27" t="s">
        <v>2535</v>
      </c>
      <c r="B304" s="20">
        <f>IFERROR(AVERAGEIFS('2025-Q2'!$K$4:$K$422,'2025-Q2'!$K$4:$K$422,"&gt;0",'2025-Q2'!$E$4:$E$422,'Q1-STATS'!$A301),0)</f>
        <v>4.0147183803193306E-2</v>
      </c>
      <c r="C304" s="20">
        <f>IFERROR(AVERAGEIFS('2025-Q2'!$K$4:$K$422,'2025-Q2'!$K$4:$K$422,"&gt;0",'2025-Q2'!$E$4:$E$422,'Q1-STATS'!$A301,'2025-Q2'!$T$4:$T$422,"Yes"),0)</f>
        <v>0</v>
      </c>
      <c r="D304" s="20">
        <f>IFERROR(AVERAGEIFS('2025-Q2'!$K$4:$K$422,'2025-Q2'!$K$4:$K$422,"&gt;0",'2025-Q2'!$E$4:$E$422,'Q1-STATS'!$A301,'2025-Q2'!$T$4:$T$422,"No"),0)</f>
        <v>3.8674690771514378E-2</v>
      </c>
      <c r="E304" s="20">
        <f>IFERROR(AVERAGEIFS('2025-Q2'!$K$4:$K$422,'2025-Q2'!$K$4:$K$422,"&gt;0",'2025-Q2'!$E$4:$E$422,'Q1-STATS'!$A301,'2025-Q2'!$T$4:$T$422,"NA"),0)</f>
        <v>4.7509648961587964E-2</v>
      </c>
      <c r="F304" s="712"/>
      <c r="G304" s="45"/>
      <c r="H304" s="715"/>
      <c r="I304" s="45"/>
    </row>
    <row r="305" spans="1:9" x14ac:dyDescent="0.25">
      <c r="A305" s="45"/>
      <c r="B305" s="45"/>
      <c r="C305" s="45"/>
      <c r="D305" s="45"/>
      <c r="E305" s="45"/>
      <c r="F305" s="45"/>
      <c r="G305" s="45"/>
      <c r="H305" s="710">
        <f>F302+F307+F316</f>
        <v>-1.270303240650148</v>
      </c>
      <c r="I305" s="45"/>
    </row>
    <row r="306" spans="1:9" ht="36" x14ac:dyDescent="0.25">
      <c r="A306" s="26" t="str">
        <f>A301</f>
        <v>XHB</v>
      </c>
      <c r="B306" s="23" t="s">
        <v>2522</v>
      </c>
      <c r="C306" s="23" t="s">
        <v>2538</v>
      </c>
      <c r="D306" s="23" t="s">
        <v>2537</v>
      </c>
      <c r="E306" s="23" t="s">
        <v>2524</v>
      </c>
      <c r="F306" s="23" t="s">
        <v>2542</v>
      </c>
      <c r="G306" s="45"/>
      <c r="H306" s="712"/>
      <c r="I306" s="45"/>
    </row>
    <row r="307" spans="1:9" x14ac:dyDescent="0.25">
      <c r="A307" s="29" t="s">
        <v>2527</v>
      </c>
      <c r="B307" s="30">
        <f>COUNTIFS('2025-Q2'!$K$4:$K$422,"&lt;0",'2025-Q2'!$E$4:$E$422,'Q1-STATS'!$A306)</f>
        <v>2</v>
      </c>
      <c r="C307" s="30">
        <f>SUMIFS('2025-Q2'!$BG$4:$BG$422,'2025-Q2'!$E$4:$E$422,'Q1-STATS'!$A306)</f>
        <v>2</v>
      </c>
      <c r="D307" s="30">
        <f>SUMIFS('2025-Q2'!$BH$4:$BH$422,'2025-Q2'!$E$4:$E$422,'Q1-STATS'!$A306)</f>
        <v>0</v>
      </c>
      <c r="E307" s="30">
        <f>SUMIFS('2025-Q2'!$BI$4:$BI$422,'2025-Q2'!$E$4:$E$422,'Q1-STATS'!$A306)</f>
        <v>0</v>
      </c>
      <c r="F307" s="710">
        <f>-((C309/0.06)*C307)-((D304/0.06)*D302)</f>
        <v>-2.0621307233432806</v>
      </c>
      <c r="G307" s="45"/>
      <c r="H307" s="45"/>
      <c r="I307" s="45"/>
    </row>
    <row r="308" spans="1:9" x14ac:dyDescent="0.25">
      <c r="A308" s="31" t="s">
        <v>2528</v>
      </c>
      <c r="B308" s="18" t="s">
        <v>2526</v>
      </c>
      <c r="C308" s="19">
        <f>IFERROR(C307/$B307,0)</f>
        <v>1</v>
      </c>
      <c r="D308" s="19">
        <f>IFERROR(D307/$B307,0)</f>
        <v>0</v>
      </c>
      <c r="E308" s="19">
        <f>IFERROR(E307/$B307,0)</f>
        <v>0</v>
      </c>
      <c r="F308" s="711"/>
      <c r="G308" s="45"/>
      <c r="H308" s="45"/>
      <c r="I308" s="45"/>
    </row>
    <row r="309" spans="1:9" x14ac:dyDescent="0.25">
      <c r="A309" s="31" t="s">
        <v>2535</v>
      </c>
      <c r="B309" s="21">
        <f>IFERROR(AVERAGEIFS('2025-Q2'!$K$4:$K$422,'2025-Q2'!$K$4:$K$422,"&lt;0",'2025-Q2'!$E$4:$E$422,'Q1-STATS'!$A306),0)</f>
        <v>-3.4822805228487526E-2</v>
      </c>
      <c r="C309" s="21">
        <f>IFERROR(AVERAGEIFS('2025-Q2'!$K$4:$K$422,'2025-Q2'!$K$4:$K$422,"&lt;0",'2025-Q2'!$E$4:$E$422,'Q1-STATS'!$A306,'2025-Q2'!$T$4:$T$422,"Yes"),0)</f>
        <v>-3.4822805228487526E-2</v>
      </c>
      <c r="D309" s="21">
        <f>IFERROR(AVERAGEIFS('2025-Q2'!$K$4:$K$422,'2025-Q2'!$K$4:$K$422,"&lt;0",'2025-Q2'!$E$4:$E$422,'Q1-STATS'!$A306,'2025-Q2'!$T$4:$T$422,"No"),0)</f>
        <v>0</v>
      </c>
      <c r="E309" s="21">
        <f>IFERROR(AVERAGEIFS('2025-Q2'!$K$4:$K$422,'2025-Q2'!$K$4:$K$422,"&lt;0",'2025-Q2'!$E$4:$E$422,'Q1-STATS'!$A306,'2025-Q2'!$T$4:$T$422,"NA"),0)</f>
        <v>0</v>
      </c>
      <c r="F309" s="712"/>
      <c r="G309" s="45"/>
      <c r="H309" s="45"/>
      <c r="I309" s="45"/>
    </row>
    <row r="310" spans="1:9" x14ac:dyDescent="0.25">
      <c r="A310" s="45"/>
      <c r="B310" s="45"/>
      <c r="C310" s="45"/>
      <c r="D310" s="45"/>
      <c r="E310" s="45"/>
      <c r="F310" s="45"/>
      <c r="G310" s="45"/>
      <c r="H310" s="45"/>
      <c r="I310" s="45"/>
    </row>
    <row r="311" spans="1:9" ht="24.75" x14ac:dyDescent="0.25">
      <c r="A311" s="280" t="str">
        <f>A301</f>
        <v>XHB</v>
      </c>
      <c r="B311" s="25" t="s">
        <v>2531</v>
      </c>
      <c r="C311" s="25" t="s">
        <v>2532</v>
      </c>
      <c r="D311" s="26" t="s">
        <v>2533</v>
      </c>
      <c r="E311" s="26" t="s">
        <v>2534</v>
      </c>
      <c r="F311" s="24" t="s">
        <v>2545</v>
      </c>
      <c r="G311" s="45"/>
      <c r="H311" s="45"/>
      <c r="I311" s="45"/>
    </row>
    <row r="312" spans="1:9" x14ac:dyDescent="0.25">
      <c r="A312" s="32" t="s">
        <v>2539</v>
      </c>
      <c r="B312" s="15">
        <f>B302</f>
        <v>6</v>
      </c>
      <c r="C312" s="716">
        <f>IFERROR(B304,0)</f>
        <v>4.0147183803193306E-2</v>
      </c>
      <c r="D312" s="282">
        <f>B307</f>
        <v>2</v>
      </c>
      <c r="E312" s="718">
        <f>IFERROR(B309,0)</f>
        <v>-3.4822805228487526E-2</v>
      </c>
      <c r="F312" s="710">
        <f>((C312/0.06)*B312)+((E312/0.06)*D312)</f>
        <v>2.8539582060364133</v>
      </c>
      <c r="G312" s="45"/>
      <c r="H312" s="45"/>
      <c r="I312" s="45"/>
    </row>
    <row r="313" spans="1:9" x14ac:dyDescent="0.25">
      <c r="A313" s="36" t="s">
        <v>2540</v>
      </c>
      <c r="B313" s="17">
        <f>IFERROR(B312/(B312+D312),0)</f>
        <v>0.75</v>
      </c>
      <c r="C313" s="717"/>
      <c r="D313" s="33">
        <f>IF(AND(B312=0,D312=0),0,1-B313)</f>
        <v>0.25</v>
      </c>
      <c r="E313" s="719"/>
      <c r="F313" s="712"/>
      <c r="G313" s="45"/>
      <c r="H313" s="45"/>
      <c r="I313" s="45"/>
    </row>
    <row r="314" spans="1:9" x14ac:dyDescent="0.25">
      <c r="A314" s="45"/>
      <c r="B314" s="45"/>
      <c r="C314" s="45"/>
      <c r="D314" s="45"/>
      <c r="E314" s="45"/>
      <c r="F314" s="45"/>
      <c r="G314" s="45"/>
      <c r="H314" s="45"/>
      <c r="I314" s="45"/>
    </row>
    <row r="315" spans="1:9" ht="38.25" x14ac:dyDescent="0.25">
      <c r="A315" s="280" t="str">
        <f>A301</f>
        <v>XHB</v>
      </c>
      <c r="B315" s="25" t="s">
        <v>2531</v>
      </c>
      <c r="C315" s="25" t="s">
        <v>2532</v>
      </c>
      <c r="D315" s="26" t="s">
        <v>2533</v>
      </c>
      <c r="E315" s="26" t="s">
        <v>2534</v>
      </c>
      <c r="F315" s="24" t="s">
        <v>2543</v>
      </c>
      <c r="G315" s="37" t="s">
        <v>2544</v>
      </c>
      <c r="H315" s="45"/>
      <c r="I315" s="45"/>
    </row>
    <row r="316" spans="1:9" x14ac:dyDescent="0.25">
      <c r="A316" s="401" t="s">
        <v>2530</v>
      </c>
      <c r="B316" s="15">
        <f>E302</f>
        <v>1</v>
      </c>
      <c r="C316" s="720">
        <f>IFERROR(AVERAGEIFS('2025-Q2'!$K$4:$K$422,'2025-Q2'!$K$4:$K$422,"&gt;0",'2025-Q2'!$T$4:$T$422,"NA",'2025-Q2'!$E$4:$E$422,'Q1-STATS'!$A301),0)</f>
        <v>4.7509648961587964E-2</v>
      </c>
      <c r="D316" s="39">
        <f>E307</f>
        <v>0</v>
      </c>
      <c r="E316" s="718">
        <f>IFERROR(AVERAGEIFS('2025-Q2'!$K$4:$K$422,'2025-Q2'!$K$4:$K$422,"&lt;0",'2025-Q2'!$T$4:$T$422,"NA",'2025-Q2'!$E$4:$E$422,'Q1-STATS'!$A301),0)</f>
        <v>0</v>
      </c>
      <c r="F316" s="721">
        <f>((C316/0.06)*B316)+((E316/0.06)*D316)</f>
        <v>0.79182748269313274</v>
      </c>
      <c r="G316" s="722">
        <f>-((E316/0.06)*D316)-((C316/0.06)*B316)</f>
        <v>-0.79182748269313274</v>
      </c>
      <c r="H316" s="45"/>
      <c r="I316" s="45"/>
    </row>
    <row r="317" spans="1:9" x14ac:dyDescent="0.25">
      <c r="A317" s="36" t="s">
        <v>2540</v>
      </c>
      <c r="B317" s="281">
        <f>IFERROR((B316/(B316+D316)),0)</f>
        <v>1</v>
      </c>
      <c r="C317" s="720"/>
      <c r="D317" s="33">
        <f>IF(AND(B316=0,D316=0),0,1-B317)</f>
        <v>0</v>
      </c>
      <c r="E317" s="719"/>
      <c r="F317" s="721"/>
      <c r="G317" s="722"/>
      <c r="H317" s="45"/>
      <c r="I317" s="45"/>
    </row>
    <row r="318" spans="1:9" x14ac:dyDescent="0.25">
      <c r="A318" s="703" t="s">
        <v>2824</v>
      </c>
      <c r="B318" s="704"/>
      <c r="C318" s="704"/>
      <c r="D318" s="704"/>
      <c r="E318" s="704"/>
      <c r="F318" s="704"/>
      <c r="G318" s="704"/>
      <c r="H318" s="704"/>
      <c r="I318" s="704"/>
    </row>
    <row r="319" spans="1:9" x14ac:dyDescent="0.25">
      <c r="A319" s="704"/>
      <c r="B319" s="704"/>
      <c r="C319" s="704"/>
      <c r="D319" s="704"/>
      <c r="E319" s="704"/>
      <c r="F319" s="704"/>
      <c r="G319" s="704"/>
      <c r="H319" s="704"/>
      <c r="I319" s="704"/>
    </row>
    <row r="320" spans="1:9" x14ac:dyDescent="0.25">
      <c r="A320" s="704"/>
      <c r="B320" s="704"/>
      <c r="C320" s="704"/>
      <c r="D320" s="704"/>
      <c r="E320" s="704"/>
      <c r="F320" s="704"/>
      <c r="G320" s="704"/>
      <c r="H320" s="704"/>
      <c r="I320" s="704"/>
    </row>
    <row r="321" spans="1:9" ht="36" x14ac:dyDescent="0.25">
      <c r="A321" s="283" t="s">
        <v>2690</v>
      </c>
      <c r="B321" s="24" t="s">
        <v>2522</v>
      </c>
      <c r="C321" s="24" t="s">
        <v>2536</v>
      </c>
      <c r="D321" s="24" t="s">
        <v>2537</v>
      </c>
      <c r="E321" s="24" t="s">
        <v>2524</v>
      </c>
      <c r="F321" s="24" t="s">
        <v>2541</v>
      </c>
      <c r="G321" s="45"/>
      <c r="H321" s="45"/>
      <c r="I321" s="45"/>
    </row>
    <row r="322" spans="1:9" x14ac:dyDescent="0.25">
      <c r="A322" s="28" t="s">
        <v>2521</v>
      </c>
      <c r="B322" s="14">
        <f>COUNTIFS('2025-Q2'!$K$4:$K$422,"&gt;0",'2025-Q2'!$E$4:$E$422,'Q1-STATS'!$A321)</f>
        <v>19</v>
      </c>
      <c r="C322" s="14">
        <f>SUMIFS('2025-Q2'!$BC$4:$BC$422,'2025-Q2'!$E$4:$E$422,'Q1-STATS'!$A321)</f>
        <v>6</v>
      </c>
      <c r="D322" s="14">
        <f>SUMIFS('2025-Q2'!$BD$4:$BD$422,'2025-Q2'!$E$4:$E$422,'Q1-STATS'!$A321)</f>
        <v>5</v>
      </c>
      <c r="E322" s="14">
        <f>SUMIFS('2025-Q2'!$BE$4:$BE$422,'2025-Q2'!$E$4:$E$422,'Q1-STATS'!$A321)</f>
        <v>8</v>
      </c>
      <c r="F322" s="710">
        <f>((C324/0.06)*C322)+((D329/0.06)*D327)</f>
        <v>-2.7099780615005731</v>
      </c>
      <c r="G322" s="45"/>
      <c r="H322" s="713" t="s">
        <v>2620</v>
      </c>
      <c r="I322" s="45"/>
    </row>
    <row r="323" spans="1:9" x14ac:dyDescent="0.25">
      <c r="A323" s="27" t="s">
        <v>2525</v>
      </c>
      <c r="B323" s="16" t="s">
        <v>2526</v>
      </c>
      <c r="C323" s="17">
        <f>IFERROR(C322/$B322,0)</f>
        <v>0.31578947368421051</v>
      </c>
      <c r="D323" s="17">
        <f>IFERROR(D322/$B322,0)</f>
        <v>0.26315789473684209</v>
      </c>
      <c r="E323" s="17">
        <f>IFERROR(E322/$B322,0)</f>
        <v>0.42105263157894735</v>
      </c>
      <c r="F323" s="711"/>
      <c r="G323" s="45"/>
      <c r="H323" s="714"/>
      <c r="I323" s="45"/>
    </row>
    <row r="324" spans="1:9" x14ac:dyDescent="0.25">
      <c r="A324" s="27" t="s">
        <v>2535</v>
      </c>
      <c r="B324" s="20">
        <f>IFERROR(AVERAGEIFS('2025-Q2'!$K$4:$K$422,'2025-Q2'!$K$4:$K$422,"&gt;0",'2025-Q2'!$E$4:$E$422,'Q1-STATS'!$A321),0)</f>
        <v>5.8416271252104218E-2</v>
      </c>
      <c r="C324" s="20">
        <f>IFERROR(AVERAGEIFS('2025-Q2'!$K$4:$K$422,'2025-Q2'!$K$4:$K$422,"&gt;0",'2025-Q2'!$E$4:$E$422,'Q1-STATS'!$A321,'2025-Q2'!$T$4:$T$422,"Yes"),0)</f>
        <v>4.3673332337896165E-2</v>
      </c>
      <c r="D324" s="20">
        <f>IFERROR(AVERAGEIFS('2025-Q2'!$K$4:$K$422,'2025-Q2'!$K$4:$K$422,"&gt;0",'2025-Q2'!$E$4:$E$422,'Q1-STATS'!$A321,'2025-Q2'!$T$4:$T$422,"No"),0)</f>
        <v>3.9044445904440964E-2</v>
      </c>
      <c r="E324" s="20">
        <f>IFERROR(AVERAGEIFS('2025-Q2'!$K$4:$K$422,'2025-Q2'!$K$4:$K$422,"&gt;0",'2025-Q2'!$E$4:$E$422,'Q1-STATS'!$A321,'2025-Q2'!$T$4:$T$422,"NA"),0)</f>
        <v>8.1580866280049791E-2</v>
      </c>
      <c r="F324" s="712"/>
      <c r="G324" s="45"/>
      <c r="H324" s="715"/>
      <c r="I324" s="45"/>
    </row>
    <row r="325" spans="1:9" x14ac:dyDescent="0.25">
      <c r="A325" s="45"/>
      <c r="B325" s="45"/>
      <c r="C325" s="45"/>
      <c r="D325" s="45"/>
      <c r="E325" s="45"/>
      <c r="F325" s="45"/>
      <c r="G325" s="45"/>
      <c r="H325" s="710">
        <f>F322+F327+F336</f>
        <v>-11.542535059025809</v>
      </c>
      <c r="I325" s="45"/>
    </row>
    <row r="326" spans="1:9" ht="36" x14ac:dyDescent="0.25">
      <c r="A326" s="26" t="str">
        <f>A321</f>
        <v>IGV</v>
      </c>
      <c r="B326" s="23" t="s">
        <v>2522</v>
      </c>
      <c r="C326" s="23" t="s">
        <v>2538</v>
      </c>
      <c r="D326" s="23" t="s">
        <v>2537</v>
      </c>
      <c r="E326" s="23" t="s">
        <v>2524</v>
      </c>
      <c r="F326" s="23" t="s">
        <v>2542</v>
      </c>
      <c r="G326" s="45"/>
      <c r="H326" s="712"/>
      <c r="I326" s="45"/>
    </row>
    <row r="327" spans="1:9" x14ac:dyDescent="0.25">
      <c r="A327" s="29" t="s">
        <v>2527</v>
      </c>
      <c r="B327" s="30">
        <f>COUNTIFS('2025-Q2'!$K$4:$K$422,"&lt;0",'2025-Q2'!$E$4:$E$422,'Q1-STATS'!$A326)</f>
        <v>23</v>
      </c>
      <c r="C327" s="30">
        <f>SUMIFS('2025-Q2'!$BG$4:$BG$422,'2025-Q2'!$E$4:$E$422,'Q1-STATS'!$A326)</f>
        <v>6</v>
      </c>
      <c r="D327" s="30">
        <f>SUMIFS('2025-Q2'!$BH$4:$BH$422,'2025-Q2'!$E$4:$E$422,'Q1-STATS'!$A326)</f>
        <v>5</v>
      </c>
      <c r="E327" s="30">
        <f>SUMIFS('2025-Q2'!$BI$4:$BI$422,'2025-Q2'!$E$4:$E$422,'Q1-STATS'!$A326)</f>
        <v>12</v>
      </c>
      <c r="F327" s="710">
        <f>-((C329/0.06)*C327)-((D324/0.06)*D322)</f>
        <v>3.2133390748971413</v>
      </c>
      <c r="G327" s="45"/>
      <c r="H327" s="45"/>
      <c r="I327" s="45"/>
    </row>
    <row r="328" spans="1:9" x14ac:dyDescent="0.25">
      <c r="A328" s="31" t="s">
        <v>2528</v>
      </c>
      <c r="B328" s="18" t="s">
        <v>2526</v>
      </c>
      <c r="C328" s="19">
        <f>IFERROR(C327/$B327,0)</f>
        <v>0.2608695652173913</v>
      </c>
      <c r="D328" s="19">
        <f>IFERROR(D327/$B327,0)</f>
        <v>0.21739130434782608</v>
      </c>
      <c r="E328" s="19">
        <f>IFERROR(E327/$B327,0)</f>
        <v>0.52173913043478259</v>
      </c>
      <c r="F328" s="711"/>
      <c r="G328" s="45"/>
      <c r="H328" s="45"/>
      <c r="I328" s="45"/>
    </row>
    <row r="329" spans="1:9" x14ac:dyDescent="0.25">
      <c r="A329" s="31" t="s">
        <v>2535</v>
      </c>
      <c r="B329" s="21">
        <f>IFERROR(AVERAGEIFS('2025-Q2'!$K$4:$K$422,'2025-Q2'!$K$4:$K$422,"&lt;0",'2025-Q2'!$E$4:$E$422,'Q1-STATS'!$A326),0)</f>
        <v>-9.5133128100834186E-2</v>
      </c>
      <c r="C329" s="21">
        <f>IFERROR(AVERAGEIFS('2025-Q2'!$K$4:$K$422,'2025-Q2'!$K$4:$K$422,"&lt;0",'2025-Q2'!$E$4:$E$422,'Q1-STATS'!$A326,'2025-Q2'!$T$4:$T$422,"Yes"),0)</f>
        <v>-6.4670429002672211E-2</v>
      </c>
      <c r="D329" s="21">
        <f>IFERROR(AVERAGEIFS('2025-Q2'!$K$4:$K$422,'2025-Q2'!$K$4:$K$422,"&lt;0",'2025-Q2'!$E$4:$E$422,'Q1-STATS'!$A326,'2025-Q2'!$T$4:$T$422,"No"),0)</f>
        <v>-8.4927735543482291E-2</v>
      </c>
      <c r="E329" s="21">
        <f>IFERROR(AVERAGEIFS('2025-Q2'!$K$4:$K$422,'2025-Q2'!$K$4:$K$422,"&lt;0",'2025-Q2'!$E$4:$E$422,'Q1-STATS'!$A326,'2025-Q2'!$T$4:$T$422,"NA"),0)</f>
        <v>-0.11461672454881174</v>
      </c>
      <c r="F329" s="712"/>
      <c r="G329" s="45"/>
      <c r="H329" s="45"/>
      <c r="I329" s="45"/>
    </row>
    <row r="330" spans="1:9" x14ac:dyDescent="0.25">
      <c r="A330" s="45"/>
      <c r="B330" s="45"/>
      <c r="C330" s="45"/>
      <c r="D330" s="45"/>
      <c r="E330" s="45"/>
      <c r="F330" s="45"/>
      <c r="G330" s="45"/>
      <c r="H330" s="45"/>
      <c r="I330" s="45"/>
    </row>
    <row r="331" spans="1:9" ht="24.75" x14ac:dyDescent="0.25">
      <c r="A331" s="280" t="str">
        <f>A321</f>
        <v>IGV</v>
      </c>
      <c r="B331" s="25" t="s">
        <v>2531</v>
      </c>
      <c r="C331" s="25" t="s">
        <v>2532</v>
      </c>
      <c r="D331" s="26" t="s">
        <v>2533</v>
      </c>
      <c r="E331" s="26" t="s">
        <v>2534</v>
      </c>
      <c r="F331" s="24" t="s">
        <v>2545</v>
      </c>
      <c r="G331" s="45"/>
      <c r="H331" s="45"/>
      <c r="I331" s="45"/>
    </row>
    <row r="332" spans="1:9" x14ac:dyDescent="0.25">
      <c r="A332" s="32" t="s">
        <v>2539</v>
      </c>
      <c r="B332" s="15">
        <f>B322</f>
        <v>19</v>
      </c>
      <c r="C332" s="716">
        <f>IFERROR(B324,0)</f>
        <v>5.8416271252104218E-2</v>
      </c>
      <c r="D332" s="282">
        <f>B327</f>
        <v>23</v>
      </c>
      <c r="E332" s="718">
        <f>IFERROR(B329,0)</f>
        <v>-9.5133128100834186E-2</v>
      </c>
      <c r="F332" s="710">
        <f>((C332/0.06)*B332)+((E332/0.06)*D332)</f>
        <v>-17.969213208820104</v>
      </c>
      <c r="G332" s="45"/>
      <c r="H332" s="45"/>
      <c r="I332" s="45"/>
    </row>
    <row r="333" spans="1:9" x14ac:dyDescent="0.25">
      <c r="A333" s="36" t="s">
        <v>2540</v>
      </c>
      <c r="B333" s="17">
        <f>IFERROR(B332/(B332+D332),0)</f>
        <v>0.45238095238095238</v>
      </c>
      <c r="C333" s="717"/>
      <c r="D333" s="33">
        <f>IF(AND(B332=0,D332=0),0,1-B333)</f>
        <v>0.54761904761904767</v>
      </c>
      <c r="E333" s="719"/>
      <c r="F333" s="712"/>
      <c r="G333" s="45"/>
      <c r="H333" s="45"/>
      <c r="I333" s="45"/>
    </row>
    <row r="334" spans="1:9" x14ac:dyDescent="0.25">
      <c r="A334" s="45"/>
      <c r="B334" s="45"/>
      <c r="C334" s="45"/>
      <c r="D334" s="45"/>
      <c r="E334" s="45"/>
      <c r="F334" s="45"/>
      <c r="G334" s="45"/>
      <c r="H334" s="45"/>
      <c r="I334" s="45"/>
    </row>
    <row r="335" spans="1:9" ht="38.25" x14ac:dyDescent="0.25">
      <c r="A335" s="280" t="str">
        <f>A321</f>
        <v>IGV</v>
      </c>
      <c r="B335" s="25" t="s">
        <v>2531</v>
      </c>
      <c r="C335" s="25" t="s">
        <v>2532</v>
      </c>
      <c r="D335" s="26" t="s">
        <v>2533</v>
      </c>
      <c r="E335" s="26" t="s">
        <v>2534</v>
      </c>
      <c r="F335" s="24" t="s">
        <v>2543</v>
      </c>
      <c r="G335" s="37" t="s">
        <v>2544</v>
      </c>
      <c r="H335" s="45"/>
      <c r="I335" s="45"/>
    </row>
    <row r="336" spans="1:9" x14ac:dyDescent="0.25">
      <c r="A336" s="401" t="s">
        <v>2530</v>
      </c>
      <c r="B336" s="15">
        <f>E322</f>
        <v>8</v>
      </c>
      <c r="C336" s="720">
        <f>IFERROR(AVERAGEIFS('2025-Q2'!$K$4:$K$422,'2025-Q2'!$K$4:$K$422,"&gt;0",'2025-Q2'!$T$4:$T$422,"NA",'2025-Q2'!$E$4:$E$422,'Q1-STATS'!$A321),0)</f>
        <v>8.1580866280049791E-2</v>
      </c>
      <c r="D336" s="39">
        <f>E327</f>
        <v>12</v>
      </c>
      <c r="E336" s="718">
        <f>IFERROR(AVERAGEIFS('2025-Q2'!$K$4:$K$422,'2025-Q2'!$K$4:$K$422,"&lt;0",'2025-Q2'!$T$4:$T$422,"NA",'2025-Q2'!$E$4:$E$422,'Q1-STATS'!$A321),0)</f>
        <v>-0.11461672454881174</v>
      </c>
      <c r="F336" s="721">
        <f>((C336/0.06)*B336)+((E336/0.06)*D336)</f>
        <v>-12.045896072422376</v>
      </c>
      <c r="G336" s="722">
        <f>-((E336/0.06)*D336)-((C336/0.06)*B336)</f>
        <v>12.045896072422376</v>
      </c>
      <c r="H336" s="45"/>
      <c r="I336" s="45"/>
    </row>
    <row r="337" spans="1:9" x14ac:dyDescent="0.25">
      <c r="A337" s="36" t="s">
        <v>2540</v>
      </c>
      <c r="B337" s="281">
        <f>IFERROR((B336/(B336+D336)),0)</f>
        <v>0.4</v>
      </c>
      <c r="C337" s="720"/>
      <c r="D337" s="33">
        <f>IF(AND(B336=0,D336=0),0,1-B337)</f>
        <v>0.6</v>
      </c>
      <c r="E337" s="719"/>
      <c r="F337" s="721"/>
      <c r="G337" s="722"/>
      <c r="H337" s="45"/>
      <c r="I337" s="45"/>
    </row>
  </sheetData>
  <mergeCells count="210">
    <mergeCell ref="K3:L3"/>
    <mergeCell ref="AE1:AF1"/>
    <mergeCell ref="H5:H6"/>
    <mergeCell ref="H2:H4"/>
    <mergeCell ref="C16:C17"/>
    <mergeCell ref="E16:E17"/>
    <mergeCell ref="G16:G17"/>
    <mergeCell ref="C12:C13"/>
    <mergeCell ref="E12:E13"/>
    <mergeCell ref="F12:F13"/>
    <mergeCell ref="F2:F4"/>
    <mergeCell ref="F16:F17"/>
    <mergeCell ref="F7:F9"/>
    <mergeCell ref="G12:G13"/>
    <mergeCell ref="G36:G37"/>
    <mergeCell ref="H22:H24"/>
    <mergeCell ref="H25:H26"/>
    <mergeCell ref="F42:F44"/>
    <mergeCell ref="H42:H44"/>
    <mergeCell ref="C32:C33"/>
    <mergeCell ref="E32:E33"/>
    <mergeCell ref="F32:F33"/>
    <mergeCell ref="C36:C37"/>
    <mergeCell ref="E36:E37"/>
    <mergeCell ref="F36:F37"/>
    <mergeCell ref="F22:F24"/>
    <mergeCell ref="F27:F29"/>
    <mergeCell ref="C56:C57"/>
    <mergeCell ref="E56:E57"/>
    <mergeCell ref="F56:F57"/>
    <mergeCell ref="G56:G57"/>
    <mergeCell ref="F62:F64"/>
    <mergeCell ref="H45:H46"/>
    <mergeCell ref="F47:F49"/>
    <mergeCell ref="C52:C53"/>
    <mergeCell ref="E52:E53"/>
    <mergeCell ref="F52:F53"/>
    <mergeCell ref="C76:C77"/>
    <mergeCell ref="E76:E77"/>
    <mergeCell ref="F76:F77"/>
    <mergeCell ref="G76:G77"/>
    <mergeCell ref="F82:F84"/>
    <mergeCell ref="H62:H64"/>
    <mergeCell ref="H65:H66"/>
    <mergeCell ref="F67:F69"/>
    <mergeCell ref="C72:C73"/>
    <mergeCell ref="E72:E73"/>
    <mergeCell ref="F72:F73"/>
    <mergeCell ref="C96:C97"/>
    <mergeCell ref="E96:E97"/>
    <mergeCell ref="F96:F97"/>
    <mergeCell ref="G96:G97"/>
    <mergeCell ref="F102:F104"/>
    <mergeCell ref="H82:H84"/>
    <mergeCell ref="H85:H86"/>
    <mergeCell ref="F87:F89"/>
    <mergeCell ref="C92:C93"/>
    <mergeCell ref="E92:E93"/>
    <mergeCell ref="F92:F93"/>
    <mergeCell ref="C116:C117"/>
    <mergeCell ref="E116:E117"/>
    <mergeCell ref="F116:F117"/>
    <mergeCell ref="G116:G117"/>
    <mergeCell ref="F122:F124"/>
    <mergeCell ref="H102:H104"/>
    <mergeCell ref="H105:H106"/>
    <mergeCell ref="F107:F109"/>
    <mergeCell ref="C112:C113"/>
    <mergeCell ref="E112:E113"/>
    <mergeCell ref="F112:F113"/>
    <mergeCell ref="A118:I120"/>
    <mergeCell ref="C136:C137"/>
    <mergeCell ref="E136:E137"/>
    <mergeCell ref="F136:F137"/>
    <mergeCell ref="G136:G137"/>
    <mergeCell ref="F142:F144"/>
    <mergeCell ref="H122:H124"/>
    <mergeCell ref="H125:H126"/>
    <mergeCell ref="F127:F129"/>
    <mergeCell ref="C132:C133"/>
    <mergeCell ref="E132:E133"/>
    <mergeCell ref="F132:F133"/>
    <mergeCell ref="A138:I140"/>
    <mergeCell ref="C156:C157"/>
    <mergeCell ref="E156:E157"/>
    <mergeCell ref="F156:F157"/>
    <mergeCell ref="G156:G157"/>
    <mergeCell ref="F162:F164"/>
    <mergeCell ref="H142:H144"/>
    <mergeCell ref="H145:H146"/>
    <mergeCell ref="F147:F149"/>
    <mergeCell ref="C152:C153"/>
    <mergeCell ref="E152:E153"/>
    <mergeCell ref="F152:F153"/>
    <mergeCell ref="A158:I160"/>
    <mergeCell ref="C176:C177"/>
    <mergeCell ref="E176:E177"/>
    <mergeCell ref="F176:F177"/>
    <mergeCell ref="G176:G177"/>
    <mergeCell ref="F182:F184"/>
    <mergeCell ref="H162:H164"/>
    <mergeCell ref="H165:H166"/>
    <mergeCell ref="F167:F169"/>
    <mergeCell ref="C172:C173"/>
    <mergeCell ref="E172:E173"/>
    <mergeCell ref="F172:F173"/>
    <mergeCell ref="A178:I180"/>
    <mergeCell ref="C196:C197"/>
    <mergeCell ref="E196:E197"/>
    <mergeCell ref="F196:F197"/>
    <mergeCell ref="G196:G197"/>
    <mergeCell ref="F202:F204"/>
    <mergeCell ref="H182:H184"/>
    <mergeCell ref="H185:H186"/>
    <mergeCell ref="F187:F189"/>
    <mergeCell ref="C192:C193"/>
    <mergeCell ref="E192:E193"/>
    <mergeCell ref="F192:F193"/>
    <mergeCell ref="A198:I200"/>
    <mergeCell ref="C216:C217"/>
    <mergeCell ref="E216:E217"/>
    <mergeCell ref="F216:F217"/>
    <mergeCell ref="G216:G217"/>
    <mergeCell ref="F222:F224"/>
    <mergeCell ref="H202:H204"/>
    <mergeCell ref="H205:H206"/>
    <mergeCell ref="F207:F209"/>
    <mergeCell ref="C212:C213"/>
    <mergeCell ref="E212:E213"/>
    <mergeCell ref="F212:F213"/>
    <mergeCell ref="A218:I220"/>
    <mergeCell ref="C236:C237"/>
    <mergeCell ref="E236:E237"/>
    <mergeCell ref="F236:F237"/>
    <mergeCell ref="G236:G237"/>
    <mergeCell ref="H222:H224"/>
    <mergeCell ref="H225:H226"/>
    <mergeCell ref="F227:F229"/>
    <mergeCell ref="C232:C233"/>
    <mergeCell ref="E232:E233"/>
    <mergeCell ref="F232:F233"/>
    <mergeCell ref="F242:F244"/>
    <mergeCell ref="H242:H244"/>
    <mergeCell ref="H245:H246"/>
    <mergeCell ref="F247:F249"/>
    <mergeCell ref="C252:C253"/>
    <mergeCell ref="E252:E253"/>
    <mergeCell ref="F252:F253"/>
    <mergeCell ref="C256:C257"/>
    <mergeCell ref="E256:E257"/>
    <mergeCell ref="F256:F257"/>
    <mergeCell ref="G256:G257"/>
    <mergeCell ref="F262:F264"/>
    <mergeCell ref="H262:H264"/>
    <mergeCell ref="H265:H266"/>
    <mergeCell ref="F267:F269"/>
    <mergeCell ref="C272:C273"/>
    <mergeCell ref="E272:E273"/>
    <mergeCell ref="F272:F273"/>
    <mergeCell ref="C276:C277"/>
    <mergeCell ref="E276:E277"/>
    <mergeCell ref="F276:F277"/>
    <mergeCell ref="G276:G277"/>
    <mergeCell ref="G316:G317"/>
    <mergeCell ref="F282:F284"/>
    <mergeCell ref="H282:H284"/>
    <mergeCell ref="H285:H286"/>
    <mergeCell ref="F287:F289"/>
    <mergeCell ref="C292:C293"/>
    <mergeCell ref="E292:E293"/>
    <mergeCell ref="F292:F293"/>
    <mergeCell ref="C296:C297"/>
    <mergeCell ref="E296:E297"/>
    <mergeCell ref="F296:F297"/>
    <mergeCell ref="G296:G297"/>
    <mergeCell ref="F322:F324"/>
    <mergeCell ref="H322:H324"/>
    <mergeCell ref="H325:H326"/>
    <mergeCell ref="F327:F329"/>
    <mergeCell ref="C332:C333"/>
    <mergeCell ref="E332:E333"/>
    <mergeCell ref="F332:F333"/>
    <mergeCell ref="C336:C337"/>
    <mergeCell ref="E336:E337"/>
    <mergeCell ref="F336:F337"/>
    <mergeCell ref="G336:G337"/>
    <mergeCell ref="A238:I240"/>
    <mergeCell ref="A258:I260"/>
    <mergeCell ref="A278:I280"/>
    <mergeCell ref="A298:I300"/>
    <mergeCell ref="A318:I320"/>
    <mergeCell ref="U1:V1"/>
    <mergeCell ref="N1:Q1"/>
    <mergeCell ref="R1:T1"/>
    <mergeCell ref="W1:AD1"/>
    <mergeCell ref="A18:I20"/>
    <mergeCell ref="A38:I40"/>
    <mergeCell ref="A58:I60"/>
    <mergeCell ref="A78:I80"/>
    <mergeCell ref="A98:I100"/>
    <mergeCell ref="F302:F304"/>
    <mergeCell ref="H302:H304"/>
    <mergeCell ref="H305:H306"/>
    <mergeCell ref="F307:F309"/>
    <mergeCell ref="C312:C313"/>
    <mergeCell ref="E312:E313"/>
    <mergeCell ref="F312:F313"/>
    <mergeCell ref="C316:C317"/>
    <mergeCell ref="E316:E317"/>
    <mergeCell ref="F316:F317"/>
  </mergeCells>
  <dataValidations disablePrompts="1" count="2">
    <dataValidation allowBlank="1" showInputMessage="1" showErrorMessage="1" promptTitle="Skipped Trades:" prompt="This is the P&amp;L on trades that I skipped.  It is not trades I overrode. Negative values are bad. Positive P&amp;L indicates a greater profit due to skipping the trades." sqref="M3" xr:uid="{65244F9A-66A3-4518-83C5-3680C04834D6}"/>
    <dataValidation allowBlank="1" showInputMessage="1" showErrorMessage="1" promptTitle="Where I Overrode the Strategy:" prompt="In this metric negative is bad, it mean I overrode the strategy and lost on the trades." sqref="AA2:AB2" xr:uid="{54A46FB3-D11F-4378-8018-CE41302F5DB6}"/>
  </dataValidations>
  <pageMargins left="0.7" right="0.7" top="0.75" bottom="0.75" header="0.3" footer="0.3"/>
  <pageSetup orientation="portrait" horizontalDpi="300" verticalDpi="30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07F36-B854-4D5E-8770-3CDA8914A41B}">
  <sheetPr codeName="Sheet14">
    <tabColor rgb="FF00FF00"/>
  </sheetPr>
  <dimension ref="B1:AO35"/>
  <sheetViews>
    <sheetView showGridLines="0" topLeftCell="T1" zoomScaleNormal="100" workbookViewId="0">
      <selection activeCell="AJ3" sqref="AJ3"/>
    </sheetView>
  </sheetViews>
  <sheetFormatPr defaultRowHeight="15" x14ac:dyDescent="0.25"/>
  <cols>
    <col min="1" max="1" width="1.28515625" customWidth="1"/>
    <col min="2" max="2" width="5.85546875" customWidth="1"/>
    <col min="3" max="3" width="6.7109375" customWidth="1"/>
    <col min="4" max="4" width="7.5703125" customWidth="1"/>
    <col min="5" max="5" width="7" customWidth="1"/>
    <col min="6" max="6" width="7.85546875" customWidth="1"/>
    <col min="7" max="7" width="8.7109375" customWidth="1"/>
    <col min="8" max="8" width="7.85546875" customWidth="1"/>
    <col min="9" max="9" width="8.7109375" customWidth="1"/>
    <col min="10" max="10" width="7.85546875" customWidth="1"/>
    <col min="11" max="11" width="8.7109375" customWidth="1"/>
    <col min="12" max="12" width="7.85546875" customWidth="1"/>
    <col min="13" max="13" width="8.7109375" customWidth="1"/>
    <col min="14" max="14" width="7.85546875" customWidth="1"/>
    <col min="15" max="15" width="8.7109375" customWidth="1"/>
    <col min="16" max="16" width="7.85546875" customWidth="1"/>
    <col min="17" max="17" width="8.7109375" customWidth="1"/>
    <col min="18" max="18" width="5.42578125" bestFit="1" customWidth="1"/>
    <col min="19" max="19" width="5.42578125" customWidth="1"/>
    <col min="20" max="20" width="6.42578125" customWidth="1"/>
    <col min="21" max="21" width="6.85546875" customWidth="1"/>
    <col min="22" max="23" width="7.28515625" customWidth="1"/>
    <col min="24" max="24" width="7.7109375" customWidth="1"/>
    <col min="25" max="25" width="7.85546875" customWidth="1"/>
    <col min="26" max="26" width="8.5703125" customWidth="1"/>
    <col min="27" max="27" width="8.7109375" customWidth="1"/>
    <col min="28" max="28" width="7.28515625" customWidth="1"/>
    <col min="29" max="29" width="7.85546875" customWidth="1"/>
    <col min="30" max="30" width="8.140625" customWidth="1"/>
    <col min="32" max="32" width="7.42578125" customWidth="1"/>
    <col min="34" max="34" width="7.5703125" customWidth="1"/>
    <col min="40" max="40" width="19.7109375" bestFit="1" customWidth="1"/>
  </cols>
  <sheetData>
    <row r="1" spans="2:37" ht="24" x14ac:dyDescent="0.4">
      <c r="B1" s="750" t="s">
        <v>2521</v>
      </c>
      <c r="C1" s="750"/>
      <c r="D1" s="750"/>
      <c r="E1" s="750"/>
      <c r="F1" s="750"/>
      <c r="G1" s="750"/>
      <c r="H1" s="750"/>
      <c r="I1" s="750"/>
      <c r="J1" s="750"/>
      <c r="K1" s="750"/>
      <c r="L1" s="750"/>
      <c r="M1" s="750"/>
      <c r="N1" s="750"/>
      <c r="O1" s="750"/>
      <c r="P1" s="750"/>
      <c r="Q1" s="750"/>
      <c r="R1" s="117"/>
      <c r="S1" s="117"/>
      <c r="T1" s="751" t="s">
        <v>2527</v>
      </c>
      <c r="U1" s="751"/>
      <c r="V1" s="751"/>
      <c r="W1" s="751"/>
      <c r="X1" s="751"/>
      <c r="Y1" s="751"/>
      <c r="Z1" s="751"/>
      <c r="AA1" s="751"/>
      <c r="AB1" s="751"/>
      <c r="AC1" s="751"/>
      <c r="AD1" s="751"/>
      <c r="AE1" s="751"/>
      <c r="AF1" s="751"/>
      <c r="AG1" s="751"/>
      <c r="AH1" s="751"/>
      <c r="AI1" s="751"/>
      <c r="AJ1" s="82"/>
      <c r="AK1" s="741" t="s">
        <v>4537</v>
      </c>
    </row>
    <row r="2" spans="2:37" ht="17.25" customHeight="1" x14ac:dyDescent="0.25">
      <c r="B2" s="101"/>
      <c r="C2" s="752" t="s">
        <v>2662</v>
      </c>
      <c r="D2" s="753"/>
      <c r="E2" s="754"/>
      <c r="F2" s="755" t="s">
        <v>2646</v>
      </c>
      <c r="G2" s="756"/>
      <c r="H2" s="756"/>
      <c r="I2" s="757"/>
      <c r="J2" s="764" t="s">
        <v>2647</v>
      </c>
      <c r="K2" s="765"/>
      <c r="L2" s="765"/>
      <c r="M2" s="766"/>
      <c r="N2" s="761" t="s">
        <v>2635</v>
      </c>
      <c r="O2" s="762"/>
      <c r="P2" s="762"/>
      <c r="Q2" s="763"/>
      <c r="R2" s="118" t="s">
        <v>2664</v>
      </c>
      <c r="S2" s="118" t="s">
        <v>2540</v>
      </c>
      <c r="T2" s="103"/>
      <c r="U2" s="744" t="s">
        <v>2662</v>
      </c>
      <c r="V2" s="745"/>
      <c r="W2" s="746"/>
      <c r="X2" s="758" t="s">
        <v>2645</v>
      </c>
      <c r="Y2" s="759"/>
      <c r="Z2" s="759"/>
      <c r="AA2" s="760"/>
      <c r="AB2" s="767" t="s">
        <v>2648</v>
      </c>
      <c r="AC2" s="768"/>
      <c r="AD2" s="768"/>
      <c r="AE2" s="769"/>
      <c r="AF2" s="747" t="s">
        <v>2635</v>
      </c>
      <c r="AG2" s="748"/>
      <c r="AH2" s="748"/>
      <c r="AI2" s="749"/>
      <c r="AJ2" s="82"/>
      <c r="AK2" s="742"/>
    </row>
    <row r="3" spans="2:37" ht="49.5" customHeight="1" x14ac:dyDescent="0.25">
      <c r="B3" s="107" t="s">
        <v>2608</v>
      </c>
      <c r="C3" s="78" t="s">
        <v>2629</v>
      </c>
      <c r="D3" s="77" t="s">
        <v>2628</v>
      </c>
      <c r="E3" s="77" t="s">
        <v>2631</v>
      </c>
      <c r="F3" s="83" t="s">
        <v>2632</v>
      </c>
      <c r="G3" s="83" t="s">
        <v>2642</v>
      </c>
      <c r="H3" s="83" t="s">
        <v>2650</v>
      </c>
      <c r="I3" s="83" t="s">
        <v>2651</v>
      </c>
      <c r="J3" s="85" t="s">
        <v>2633</v>
      </c>
      <c r="K3" s="85" t="s">
        <v>2641</v>
      </c>
      <c r="L3" s="85" t="s">
        <v>2640</v>
      </c>
      <c r="M3" s="85" t="s">
        <v>2636</v>
      </c>
      <c r="N3" s="84" t="s">
        <v>2634</v>
      </c>
      <c r="O3" s="84" t="s">
        <v>2643</v>
      </c>
      <c r="P3" s="84" t="s">
        <v>2657</v>
      </c>
      <c r="Q3" s="84" t="s">
        <v>2637</v>
      </c>
      <c r="R3" s="116" t="s">
        <v>2665</v>
      </c>
      <c r="S3" s="116" t="s">
        <v>2666</v>
      </c>
      <c r="T3" s="106" t="s">
        <v>2608</v>
      </c>
      <c r="U3" s="93" t="s">
        <v>2630</v>
      </c>
      <c r="V3" s="94" t="s">
        <v>2628</v>
      </c>
      <c r="W3" s="94" t="s">
        <v>2638</v>
      </c>
      <c r="X3" s="90" t="s">
        <v>2633</v>
      </c>
      <c r="Y3" s="90" t="s">
        <v>2644</v>
      </c>
      <c r="Z3" s="90" t="s">
        <v>2653</v>
      </c>
      <c r="AA3" s="90" t="s">
        <v>2654</v>
      </c>
      <c r="AB3" s="96" t="s">
        <v>2632</v>
      </c>
      <c r="AC3" s="96" t="s">
        <v>2649</v>
      </c>
      <c r="AD3" s="96" t="s">
        <v>2652</v>
      </c>
      <c r="AE3" s="96" t="s">
        <v>2655</v>
      </c>
      <c r="AF3" s="98" t="s">
        <v>2634</v>
      </c>
      <c r="AG3" s="98" t="s">
        <v>2639</v>
      </c>
      <c r="AH3" s="98" t="s">
        <v>2658</v>
      </c>
      <c r="AI3" s="98" t="s">
        <v>2656</v>
      </c>
      <c r="AJ3" s="619"/>
      <c r="AK3" s="743"/>
    </row>
    <row r="4" spans="2:37" x14ac:dyDescent="0.25">
      <c r="B4" s="105" t="s">
        <v>2627</v>
      </c>
      <c r="C4" s="80">
        <f>'Q1-STATS'!B2</f>
        <v>200</v>
      </c>
      <c r="D4" s="81">
        <f>'Q1-STATS'!B4</f>
        <v>4.6357040804207855E-2</v>
      </c>
      <c r="E4" s="89">
        <f t="shared" ref="E4:E17" si="0">IFERROR(C4/(C4+U4),0)</f>
        <v>0.47961630695443647</v>
      </c>
      <c r="F4" s="86">
        <f>COUNTIFS('2025-Q2'!$S$4:$S$422,"Up",'2025-Q2'!$J$4:$J$422,"&gt;0")</f>
        <v>51</v>
      </c>
      <c r="G4" s="89">
        <f>IFERROR(H4/F4,0)</f>
        <v>0.47058823529411764</v>
      </c>
      <c r="H4" s="86">
        <f>'Q1-STATS'!C2</f>
        <v>24</v>
      </c>
      <c r="I4" s="81">
        <f>'Q1-STATS'!C4</f>
        <v>3.7894216359741398E-2</v>
      </c>
      <c r="J4" s="87">
        <f>COUNTIFS('2025-Q2'!$S$4:$S$422,"Dwn",'2025-Q2'!$J$4:$J$422,"&gt;0")</f>
        <v>166</v>
      </c>
      <c r="K4" s="89">
        <f>IFERROR(L4/J4,0)</f>
        <v>0.44578313253012047</v>
      </c>
      <c r="L4" s="87">
        <f>'Q1-STATS'!D2</f>
        <v>74</v>
      </c>
      <c r="M4" s="81">
        <f>'Q1-STATS'!D4</f>
        <v>4.2590846976512622E-2</v>
      </c>
      <c r="N4" s="88">
        <f>COUNTIFS('2025-Q2'!$S$4:$S$422,"SW",'2025-Q2'!$J$4:$J$422,"&gt;0")</f>
        <v>202</v>
      </c>
      <c r="O4" s="89">
        <f>IFERROR(P4/N4,0)</f>
        <v>0.50495049504950495</v>
      </c>
      <c r="P4" s="88">
        <f>'Q1-STATS'!E2</f>
        <v>102</v>
      </c>
      <c r="Q4" s="79">
        <f>'Q1-STATS'!E4</f>
        <v>5.1080630313194597E-2</v>
      </c>
      <c r="R4" s="119">
        <f>SUM(R5:R17)</f>
        <v>413</v>
      </c>
      <c r="S4" s="120">
        <f>COUNTIFS('2025-Q2'!$J$4:$J$422,"&gt;0")/R4</f>
        <v>1.0145278450363195</v>
      </c>
      <c r="T4" s="104" t="s">
        <v>2627</v>
      </c>
      <c r="U4" s="95">
        <f>'Q1-STATS'!B7</f>
        <v>217</v>
      </c>
      <c r="V4" s="92">
        <f>-'Q1-STATS'!B9</f>
        <v>4.5323511529993678E-2</v>
      </c>
      <c r="W4" s="100">
        <f t="shared" ref="W4:W17" si="1">1-E4</f>
        <v>0.52038369304556353</v>
      </c>
      <c r="X4" s="91">
        <f t="shared" ref="X4:X17" si="2">J4</f>
        <v>166</v>
      </c>
      <c r="Y4" s="100">
        <f>IFERROR(Z4/X4,0)</f>
        <v>0.55421686746987953</v>
      </c>
      <c r="Z4" s="91">
        <f>'Q1-STATS'!C7</f>
        <v>92</v>
      </c>
      <c r="AA4" s="92">
        <f>-'Q1-STATS'!C9</f>
        <v>4.1408260615750238E-2</v>
      </c>
      <c r="AB4" s="97">
        <f t="shared" ref="AB4:AB17" si="3">F4</f>
        <v>51</v>
      </c>
      <c r="AC4" s="100">
        <f>IFERROR(AD4/AB4,0)</f>
        <v>0.52941176470588236</v>
      </c>
      <c r="AD4" s="97">
        <f>'Q1-STATS'!D7</f>
        <v>27</v>
      </c>
      <c r="AE4" s="92">
        <f>-'Q1-STATS'!D9</f>
        <v>5.2340093836326776E-2</v>
      </c>
      <c r="AF4" s="99">
        <f t="shared" ref="AF4:AF17" si="4">N4</f>
        <v>202</v>
      </c>
      <c r="AG4" s="100">
        <f>IFERROR(AH4/AF4,0)</f>
        <v>0.48514851485148514</v>
      </c>
      <c r="AH4" s="99">
        <f>'Q1-STATS'!E7</f>
        <v>98</v>
      </c>
      <c r="AI4" s="92">
        <f>-'Q1-STATS'!E9</f>
        <v>4.7065913181416126E-2</v>
      </c>
      <c r="AK4" s="414">
        <f>COUNTIFS('2025-Q2'!$J$4:$J$422,"&gt;0")</f>
        <v>419</v>
      </c>
    </row>
    <row r="5" spans="2:37" x14ac:dyDescent="0.25">
      <c r="B5" s="105" t="s">
        <v>2612</v>
      </c>
      <c r="C5" s="80">
        <f>'Q1-STATS'!B22</f>
        <v>20</v>
      </c>
      <c r="D5" s="81">
        <f>'Q1-STATS'!B24</f>
        <v>3.1927346292928448E-2</v>
      </c>
      <c r="E5" s="89">
        <f t="shared" si="0"/>
        <v>0.46511627906976744</v>
      </c>
      <c r="F5" s="86">
        <f>COUNTIFS('2025-Q2'!$S$4:$S$422,"Up",'2025-Q2'!$E$4:$E$422,'Stats Roll Up'!$B5,'2025-Q2'!$J$4:$J$422,"&gt;0")</f>
        <v>1</v>
      </c>
      <c r="G5" s="89">
        <f t="shared" ref="G5:G17" si="5">IFERROR(H5/F5,0)</f>
        <v>0</v>
      </c>
      <c r="H5" s="86">
        <f>'Q1-STATS'!C22</f>
        <v>0</v>
      </c>
      <c r="I5" s="81">
        <f>'Q1-STATS'!C24</f>
        <v>0</v>
      </c>
      <c r="J5" s="87">
        <f>COUNTIFS('2025-Q2'!$S$4:$S$422,"Dwn",'2025-Q2'!$E$4:$E$422,'Stats Roll Up'!B5,'2025-Q2'!$J$4:$J$422,"&gt;0")</f>
        <v>18</v>
      </c>
      <c r="K5" s="89">
        <f t="shared" ref="K5:K17" si="6">IFERROR(L5/J5,0)</f>
        <v>0.55555555555555558</v>
      </c>
      <c r="L5" s="87">
        <f>'Q1-STATS'!D22</f>
        <v>10</v>
      </c>
      <c r="M5" s="81">
        <f>'Q1-STATS'!D24</f>
        <v>3.6774504219971214E-2</v>
      </c>
      <c r="N5" s="88">
        <f>COUNTIFS('2025-Q2'!$S$4:$S$422,"SW",'2025-Q2'!$E$4:$E$422,'Stats Roll Up'!$B5,'2025-Q2'!$J$4:$J$422,"&gt;0")</f>
        <v>24</v>
      </c>
      <c r="O5" s="89">
        <f t="shared" ref="O5:O17" si="7">IFERROR(P5/N5,0)</f>
        <v>0.41666666666666669</v>
      </c>
      <c r="P5" s="88">
        <f>'Q1-STATS'!E22</f>
        <v>10</v>
      </c>
      <c r="Q5" s="79">
        <f>'Q1-STATS'!E24</f>
        <v>2.7080188365885705E-2</v>
      </c>
      <c r="R5" s="119">
        <f>COUNTIF('2025-Q2'!$E$4:$E$422,'Stats Roll Up'!B5)</f>
        <v>43</v>
      </c>
      <c r="S5" s="120">
        <f>COUNTIFS('2025-Q2'!$J$4:$J$422,"&gt;0",'2025-Q2'!$E$4:$E$422,'Stats Roll Up'!B5)/R5</f>
        <v>1</v>
      </c>
      <c r="T5" s="104" t="s">
        <v>2612</v>
      </c>
      <c r="U5" s="95">
        <f>'Q1-STATS'!B27</f>
        <v>23</v>
      </c>
      <c r="V5" s="92">
        <f>-'Q1-STATS'!B29</f>
        <v>3.477953592783041E-2</v>
      </c>
      <c r="W5" s="100">
        <f t="shared" si="1"/>
        <v>0.53488372093023262</v>
      </c>
      <c r="X5" s="91">
        <f t="shared" si="2"/>
        <v>18</v>
      </c>
      <c r="Y5" s="100">
        <f t="shared" ref="Y5:Y17" si="8">IFERROR(Z5/X5,0)</f>
        <v>0.44444444444444442</v>
      </c>
      <c r="Z5" s="91">
        <f>'Q1-STATS'!C27</f>
        <v>8</v>
      </c>
      <c r="AA5" s="92">
        <f>-'Q1-STATS'!C29</f>
        <v>4.4411832588419194E-2</v>
      </c>
      <c r="AB5" s="97">
        <f t="shared" si="3"/>
        <v>1</v>
      </c>
      <c r="AC5" s="100">
        <f t="shared" ref="AC5:AC17" si="9">IFERROR(AD5/AB5,0)</f>
        <v>1</v>
      </c>
      <c r="AD5" s="97">
        <f>'Q1-STATS'!D27</f>
        <v>1</v>
      </c>
      <c r="AE5" s="92">
        <f>-'Q1-STATS'!D29</f>
        <v>3.3570567856604984E-2</v>
      </c>
      <c r="AF5" s="99">
        <f t="shared" si="4"/>
        <v>24</v>
      </c>
      <c r="AG5" s="100">
        <f t="shared" ref="AG5:AG17" si="10">IFERROR(AH5/AF5,0)</f>
        <v>0.58333333333333337</v>
      </c>
      <c r="AH5" s="99">
        <f>'Q1-STATS'!E27</f>
        <v>14</v>
      </c>
      <c r="AI5" s="92">
        <f>-'Q1-STATS'!E29</f>
        <v>2.9361721269724365E-2</v>
      </c>
      <c r="AK5" s="414">
        <f>COUNTIFS('2025-Q2'!$J$4:$J$422,"&gt;0",'2025-Q2'!$E$4:$E$422,$T5)</f>
        <v>43</v>
      </c>
    </row>
    <row r="6" spans="2:37" x14ac:dyDescent="0.25">
      <c r="B6" s="105" t="s">
        <v>2661</v>
      </c>
      <c r="C6" s="80">
        <f>'Q1-STATS'!B282</f>
        <v>7</v>
      </c>
      <c r="D6" s="81">
        <f>'Q1-STATS'!B284</f>
        <v>2.6761169315794971E-2</v>
      </c>
      <c r="E6" s="89">
        <f t="shared" si="0"/>
        <v>0.46666666666666667</v>
      </c>
      <c r="F6" s="86">
        <f>COUNTIFS('2025-Q2'!$S$4:$S$422,"Up",'2025-Q2'!$E$4:$E$422,'Stats Roll Up'!$B6,'2025-Q2'!$J$4:$J$422,"&gt;0")</f>
        <v>1</v>
      </c>
      <c r="G6" s="89">
        <f t="shared" si="5"/>
        <v>1</v>
      </c>
      <c r="H6" s="86">
        <f>'Q1-STATS'!C282</f>
        <v>1</v>
      </c>
      <c r="I6" s="81">
        <f>'Q1-STATS'!C284</f>
        <v>4.0100995098766674E-3</v>
      </c>
      <c r="J6" s="87">
        <f>COUNTIFS('2025-Q2'!$S$4:$S$422,"Dwn",'2025-Q2'!$E$4:$E$422,'Stats Roll Up'!B6,'2025-Q2'!$J$4:$J$422,"&gt;0")</f>
        <v>2</v>
      </c>
      <c r="K6" s="89">
        <f t="shared" si="6"/>
        <v>0.5</v>
      </c>
      <c r="L6" s="87">
        <f>'Q1-STATS'!D282</f>
        <v>1</v>
      </c>
      <c r="M6" s="81">
        <f>'Q1-STATS'!D284</f>
        <v>1.3068860289239741E-2</v>
      </c>
      <c r="N6" s="88">
        <f>COUNTIFS('2025-Q2'!$S$4:$S$422,"SW",'2025-Q2'!$E$4:$E$422,'Stats Roll Up'!$B6,'2025-Q2'!$J$4:$J$422,"&gt;0")</f>
        <v>12</v>
      </c>
      <c r="O6" s="89">
        <f t="shared" si="7"/>
        <v>0.41666666666666669</v>
      </c>
      <c r="P6" s="88">
        <f>'Q1-STATS'!E282</f>
        <v>5</v>
      </c>
      <c r="Q6" s="79">
        <f>'Q1-STATS'!E284</f>
        <v>3.4049845082289677E-2</v>
      </c>
      <c r="R6" s="119">
        <f>COUNTIF('2025-Q2'!$E$4:$E$422,'Stats Roll Up'!B6)</f>
        <v>15</v>
      </c>
      <c r="S6" s="120">
        <f>COUNTIFS('2025-Q2'!$J$4:$J$422,"&gt;0",'2025-Q2'!$E$4:$E$422,'Stats Roll Up'!B6)/R6</f>
        <v>1</v>
      </c>
      <c r="T6" s="104" t="s">
        <v>2661</v>
      </c>
      <c r="U6" s="95">
        <f>'Q1-STATS'!B287</f>
        <v>8</v>
      </c>
      <c r="V6" s="92">
        <f>-'Q1-STATS'!B289</f>
        <v>2.692893519041753E-2</v>
      </c>
      <c r="W6" s="100">
        <f t="shared" si="1"/>
        <v>0.53333333333333333</v>
      </c>
      <c r="X6" s="91">
        <f t="shared" si="2"/>
        <v>2</v>
      </c>
      <c r="Y6" s="100">
        <f t="shared" si="8"/>
        <v>0.5</v>
      </c>
      <c r="Z6" s="91">
        <f>'Q1-STATS'!C287</f>
        <v>1</v>
      </c>
      <c r="AA6" s="92">
        <f>-'Q1-STATS'!C289</f>
        <v>3.4076526141563076E-3</v>
      </c>
      <c r="AB6" s="97">
        <f t="shared" si="3"/>
        <v>1</v>
      </c>
      <c r="AC6" s="100">
        <f t="shared" si="9"/>
        <v>0</v>
      </c>
      <c r="AD6" s="97">
        <f>'Q1-STATS'!D287</f>
        <v>0</v>
      </c>
      <c r="AE6" s="92">
        <f>-'Q1-STATS'!D289</f>
        <v>0</v>
      </c>
      <c r="AF6" s="99">
        <f t="shared" si="4"/>
        <v>12</v>
      </c>
      <c r="AG6" s="100">
        <f t="shared" si="10"/>
        <v>0.58333333333333337</v>
      </c>
      <c r="AH6" s="99">
        <f>'Q1-STATS'!E287</f>
        <v>7</v>
      </c>
      <c r="AI6" s="92">
        <f>-'Q1-STATS'!E289</f>
        <v>3.0289118415597702E-2</v>
      </c>
      <c r="AK6" s="414">
        <f>COUNTIFS('2025-Q2'!$J$4:$J$422,"&gt;0",'2025-Q2'!$E$4:$E$422,$T6)</f>
        <v>15</v>
      </c>
    </row>
    <row r="7" spans="2:37" x14ac:dyDescent="0.25">
      <c r="B7" s="105" t="s">
        <v>2619</v>
      </c>
      <c r="C7" s="80">
        <f>'Q1-STATS'!B202</f>
        <v>26</v>
      </c>
      <c r="D7" s="81">
        <f>'Q1-STATS'!B204</f>
        <v>5.1198517866104451E-2</v>
      </c>
      <c r="E7" s="89">
        <f t="shared" si="0"/>
        <v>0.52</v>
      </c>
      <c r="F7" s="86">
        <f>COUNTIFS('2025-Q2'!$S$4:$S$422,"Up",'2025-Q2'!$E$4:$E$422,'Stats Roll Up'!$B7,'2025-Q2'!$J$4:$J$422,"&gt;0")</f>
        <v>9</v>
      </c>
      <c r="G7" s="89">
        <f t="shared" si="5"/>
        <v>0.22222222222222221</v>
      </c>
      <c r="H7" s="86">
        <f>'Q1-STATS'!C202</f>
        <v>2</v>
      </c>
      <c r="I7" s="81">
        <f>'Q1-STATS'!C204</f>
        <v>3.1539625162813542E-2</v>
      </c>
      <c r="J7" s="87">
        <f>COUNTIFS('2025-Q2'!$S$4:$S$422,"Dwn",'2025-Q2'!$E$4:$E$422,'Stats Roll Up'!B7,'2025-Q2'!$J$4:$J$422,"&gt;0")</f>
        <v>17</v>
      </c>
      <c r="K7" s="89">
        <f t="shared" si="6"/>
        <v>0.58823529411764708</v>
      </c>
      <c r="L7" s="87">
        <f>'Q1-STATS'!D202</f>
        <v>10</v>
      </c>
      <c r="M7" s="81">
        <f>'Q1-STATS'!D204</f>
        <v>6.6289245071220665E-2</v>
      </c>
      <c r="N7" s="88">
        <f>COUNTIFS('2025-Q2'!$S$4:$S$422,"SW",'2025-Q2'!$E$4:$E$422,'Stats Roll Up'!$B7,'2025-Q2'!$J$4:$J$422,"&gt;0")</f>
        <v>24</v>
      </c>
      <c r="O7" s="89">
        <f t="shared" si="7"/>
        <v>0.58333333333333337</v>
      </c>
      <c r="P7" s="88">
        <f>'Q1-STATS'!E202</f>
        <v>14</v>
      </c>
      <c r="Q7" s="79">
        <f>'Q1-STATS'!E204</f>
        <v>4.322784024863445E-2</v>
      </c>
      <c r="R7" s="119">
        <f>COUNTIF('2025-Q2'!$E$4:$E$422,'Stats Roll Up'!B7)</f>
        <v>50</v>
      </c>
      <c r="S7" s="120">
        <f>COUNTIFS('2025-Q2'!$J$4:$J$422,"&gt;0",'2025-Q2'!$E$4:$E$422,'Stats Roll Up'!B7)/R7</f>
        <v>1</v>
      </c>
      <c r="T7" s="104" t="s">
        <v>2619</v>
      </c>
      <c r="U7" s="95">
        <f>'Q1-STATS'!B207</f>
        <v>24</v>
      </c>
      <c r="V7" s="92">
        <f>-'Q1-STATS'!B209</f>
        <v>6.5004181480607021E-2</v>
      </c>
      <c r="W7" s="100">
        <f t="shared" si="1"/>
        <v>0.48</v>
      </c>
      <c r="X7" s="91">
        <f t="shared" si="2"/>
        <v>17</v>
      </c>
      <c r="Y7" s="100">
        <f t="shared" si="8"/>
        <v>0.41176470588235292</v>
      </c>
      <c r="Z7" s="91">
        <f>'Q1-STATS'!C207</f>
        <v>7</v>
      </c>
      <c r="AA7" s="92">
        <f>-'Q1-STATS'!C209</f>
        <v>7.2098085776801962E-2</v>
      </c>
      <c r="AB7" s="97">
        <f t="shared" si="3"/>
        <v>9</v>
      </c>
      <c r="AC7" s="100">
        <f t="shared" si="9"/>
        <v>0.77777777777777779</v>
      </c>
      <c r="AD7" s="97">
        <f>'Q1-STATS'!D207</f>
        <v>7</v>
      </c>
      <c r="AE7" s="92">
        <f>-'Q1-STATS'!D209</f>
        <v>7.5722833532053127E-2</v>
      </c>
      <c r="AF7" s="99">
        <f t="shared" si="4"/>
        <v>24</v>
      </c>
      <c r="AG7" s="100">
        <f t="shared" si="10"/>
        <v>0.41666666666666669</v>
      </c>
      <c r="AH7" s="99">
        <f>'Q1-STATS'!E207</f>
        <v>10</v>
      </c>
      <c r="AI7" s="92">
        <f>-'Q1-STATS'!E209</f>
        <v>5.2535392037258301E-2</v>
      </c>
      <c r="AK7" s="414">
        <f>COUNTIFS('2025-Q2'!$J$4:$J$422,"&gt;0",'2025-Q2'!$E$4:$E$422,$T7)</f>
        <v>50</v>
      </c>
    </row>
    <row r="8" spans="2:37" x14ac:dyDescent="0.25">
      <c r="B8" s="105" t="s">
        <v>2663</v>
      </c>
      <c r="C8" s="80">
        <f>'Q1-STATS'!B302</f>
        <v>6</v>
      </c>
      <c r="D8" s="81">
        <f>'Q1-STATS'!B304</f>
        <v>4.0147183803193306E-2</v>
      </c>
      <c r="E8" s="89">
        <f t="shared" si="0"/>
        <v>0.75</v>
      </c>
      <c r="F8" s="86">
        <f>COUNTIFS('2025-Q2'!$S$4:$S$422,"Up",'2025-Q2'!$E$4:$E$422,'Stats Roll Up'!$B8,'2025-Q2'!$J$4:$J$422,"&gt;0")</f>
        <v>0</v>
      </c>
      <c r="G8" s="89">
        <f t="shared" si="5"/>
        <v>0</v>
      </c>
      <c r="H8" s="86">
        <f>'Q1-STATS'!C302</f>
        <v>0</v>
      </c>
      <c r="I8" s="81">
        <f>'Q1-STATS'!C304</f>
        <v>0</v>
      </c>
      <c r="J8" s="87">
        <f>COUNTIFS('2025-Q2'!$S$4:$S$422,"Dwn",'2025-Q2'!$E$4:$E$422,'Stats Roll Up'!B8,'2025-Q2'!$J$4:$J$422,"&gt;0")</f>
        <v>7</v>
      </c>
      <c r="K8" s="89">
        <f t="shared" ref="K8" si="11">IFERROR(L8/J8,0)</f>
        <v>0.7142857142857143</v>
      </c>
      <c r="L8" s="87">
        <f>'Q1-STATS'!D302</f>
        <v>5</v>
      </c>
      <c r="M8" s="81">
        <f>'Q1-STATS'!D304</f>
        <v>3.8674690771514378E-2</v>
      </c>
      <c r="N8" s="88">
        <f>COUNTIFS('2025-Q2'!$S$4:$S$422,"SW",'2025-Q2'!$E$4:$E$422,'Stats Roll Up'!$B8,'2025-Q2'!$J$4:$J$422,"&gt;0")</f>
        <v>1</v>
      </c>
      <c r="O8" s="89">
        <f t="shared" ref="O8" si="12">IFERROR(P8/N8,0)</f>
        <v>1</v>
      </c>
      <c r="P8" s="88">
        <f>'Q1-STATS'!E302</f>
        <v>1</v>
      </c>
      <c r="Q8" s="79">
        <f>'Q1-STATS'!E304</f>
        <v>4.7509648961587964E-2</v>
      </c>
      <c r="R8" s="119">
        <f>COUNTIF('2025-Q2'!$E$4:$E$422,'Stats Roll Up'!B8)</f>
        <v>8</v>
      </c>
      <c r="S8" s="120">
        <f>COUNTIFS('2025-Q2'!$J$4:$J$422,"&gt;0",'2025-Q2'!$E$4:$E$422,'Stats Roll Up'!B8)/R8</f>
        <v>1</v>
      </c>
      <c r="T8" s="104" t="s">
        <v>2663</v>
      </c>
      <c r="U8" s="95">
        <f>'Q1-STATS'!B307</f>
        <v>2</v>
      </c>
      <c r="V8" s="92">
        <f>-'Q1-STATS'!B309</f>
        <v>3.4822805228487526E-2</v>
      </c>
      <c r="W8" s="100">
        <f t="shared" si="1"/>
        <v>0.25</v>
      </c>
      <c r="X8" s="91">
        <f t="shared" ref="X8" si="13">J8</f>
        <v>7</v>
      </c>
      <c r="Y8" s="100">
        <f t="shared" si="8"/>
        <v>0.2857142857142857</v>
      </c>
      <c r="Z8" s="91">
        <f>'Q1-STATS'!C307</f>
        <v>2</v>
      </c>
      <c r="AA8" s="92">
        <f>-'Q1-STATS'!C309</f>
        <v>3.4822805228487526E-2</v>
      </c>
      <c r="AB8" s="97">
        <f t="shared" ref="AB8" si="14">F8</f>
        <v>0</v>
      </c>
      <c r="AC8" s="100">
        <f t="shared" ref="AC8" si="15">IFERROR(AD8/AB8,0)</f>
        <v>0</v>
      </c>
      <c r="AD8" s="97">
        <f>'Q1-STATS'!D307</f>
        <v>0</v>
      </c>
      <c r="AE8" s="92">
        <f>-'Q1-STATS'!D309</f>
        <v>0</v>
      </c>
      <c r="AF8" s="99">
        <f t="shared" ref="AF8" si="16">N8</f>
        <v>1</v>
      </c>
      <c r="AG8" s="100">
        <f t="shared" ref="AG8" si="17">IFERROR(AH8/AF8,0)</f>
        <v>0</v>
      </c>
      <c r="AH8" s="99">
        <f>'Q1-STATS'!E307</f>
        <v>0</v>
      </c>
      <c r="AI8" s="92">
        <f>-'Q1-STATS'!E309</f>
        <v>0</v>
      </c>
      <c r="AK8" s="414">
        <f>COUNTIFS('2025-Q2'!$J$4:$J$422,"&gt;0",'2025-Q2'!$E$4:$E$422,$T8)</f>
        <v>8</v>
      </c>
    </row>
    <row r="9" spans="2:37" x14ac:dyDescent="0.25">
      <c r="B9" s="105" t="s">
        <v>2615</v>
      </c>
      <c r="C9" s="80">
        <f>'Q1-STATS'!B42</f>
        <v>14</v>
      </c>
      <c r="D9" s="81">
        <f>'Q1-STATS'!B44</f>
        <v>5.2444382678876265E-2</v>
      </c>
      <c r="E9" s="89">
        <f t="shared" si="0"/>
        <v>0.3888888888888889</v>
      </c>
      <c r="F9" s="86">
        <f>COUNTIFS('2025-Q2'!$S$4:$S$422,"Up",'2025-Q2'!$E$4:$E$422,'Stats Roll Up'!$B9,'2025-Q2'!$J$4:$J$422,"&gt;0")</f>
        <v>8</v>
      </c>
      <c r="G9" s="89">
        <f t="shared" si="5"/>
        <v>0.625</v>
      </c>
      <c r="H9" s="86">
        <f>'Q1-STATS'!C42</f>
        <v>5</v>
      </c>
      <c r="I9" s="81">
        <f>'Q1-STATS'!C44</f>
        <v>4.3633537034736714E-2</v>
      </c>
      <c r="J9" s="87">
        <f>COUNTIFS('2025-Q2'!$S$4:$S$422,"Dwn",'2025-Q2'!$E$4:$E$422,'Stats Roll Up'!B9,'2025-Q2'!$J$4:$J$422,"&gt;0")</f>
        <v>15</v>
      </c>
      <c r="K9" s="89">
        <f t="shared" si="6"/>
        <v>0.33333333333333331</v>
      </c>
      <c r="L9" s="87">
        <f>'Q1-STATS'!D42</f>
        <v>5</v>
      </c>
      <c r="M9" s="81">
        <f>'Q1-STATS'!D44</f>
        <v>2.3394161654826513E-2</v>
      </c>
      <c r="N9" s="88">
        <f>COUNTIFS('2025-Q2'!$S$4:$S$422,"SW",'2025-Q2'!$E$4:$E$422,'Stats Roll Up'!$B9,'2025-Q2'!$J$4:$J$422,"&gt;0")</f>
        <v>13</v>
      </c>
      <c r="O9" s="89">
        <f t="shared" si="7"/>
        <v>0.30769230769230771</v>
      </c>
      <c r="P9" s="88">
        <f>'Q1-STATS'!E42</f>
        <v>4</v>
      </c>
      <c r="Q9" s="79">
        <f>'Q1-STATS'!E44</f>
        <v>9.9770716014112901E-2</v>
      </c>
      <c r="R9" s="119">
        <f>COUNTIF('2025-Q2'!$E$4:$E$422,'Stats Roll Up'!B9)</f>
        <v>36</v>
      </c>
      <c r="S9" s="120">
        <f>COUNTIFS('2025-Q2'!$J$4:$J$422,"&gt;0",'2025-Q2'!$E$4:$E$422,'Stats Roll Up'!B9)/R9</f>
        <v>1</v>
      </c>
      <c r="T9" s="104" t="s">
        <v>2615</v>
      </c>
      <c r="U9" s="95">
        <f>'Q1-STATS'!B47</f>
        <v>22</v>
      </c>
      <c r="V9" s="92">
        <f>-'Q1-STATS'!B49</f>
        <v>3.3673155383727622E-2</v>
      </c>
      <c r="W9" s="100">
        <f t="shared" si="1"/>
        <v>0.61111111111111116</v>
      </c>
      <c r="X9" s="91">
        <f t="shared" si="2"/>
        <v>15</v>
      </c>
      <c r="Y9" s="100">
        <f t="shared" si="8"/>
        <v>0.66666666666666663</v>
      </c>
      <c r="Z9" s="91">
        <f>'Q1-STATS'!C47</f>
        <v>10</v>
      </c>
      <c r="AA9" s="92">
        <f>-'Q1-STATS'!C49</f>
        <v>3.2387360493979202E-2</v>
      </c>
      <c r="AB9" s="97">
        <f t="shared" si="3"/>
        <v>8</v>
      </c>
      <c r="AC9" s="100">
        <f t="shared" si="9"/>
        <v>0.375</v>
      </c>
      <c r="AD9" s="97">
        <f>'Q1-STATS'!D47</f>
        <v>3</v>
      </c>
      <c r="AE9" s="92">
        <f>-'Q1-STATS'!D49</f>
        <v>2.8916556815665215E-2</v>
      </c>
      <c r="AF9" s="99">
        <f t="shared" si="4"/>
        <v>13</v>
      </c>
      <c r="AG9" s="100">
        <f t="shared" si="10"/>
        <v>0.69230769230769229</v>
      </c>
      <c r="AH9" s="99">
        <f>'Q1-STATS'!E47</f>
        <v>9</v>
      </c>
      <c r="AI9" s="92">
        <f>-'Q1-STATS'!E49</f>
        <v>3.6687349228357778E-2</v>
      </c>
      <c r="AK9" s="414">
        <f>COUNTIFS('2025-Q2'!$J$4:$J$422,"&gt;0",'2025-Q2'!$E$4:$E$422,$T9)</f>
        <v>36</v>
      </c>
    </row>
    <row r="10" spans="2:37" x14ac:dyDescent="0.25">
      <c r="B10" s="105" t="s">
        <v>2614</v>
      </c>
      <c r="C10" s="80">
        <f>'Q1-STATS'!B62</f>
        <v>13</v>
      </c>
      <c r="D10" s="81">
        <f>'Q1-STATS'!B64</f>
        <v>6.0472459406191656E-2</v>
      </c>
      <c r="E10" s="89">
        <f t="shared" si="0"/>
        <v>0.43333333333333335</v>
      </c>
      <c r="F10" s="86">
        <f>COUNTIFS('2025-Q2'!$S$4:$S$422,"Up",'2025-Q2'!$E$4:$E$422,'Stats Roll Up'!$B10,'2025-Q2'!$J$4:$J$422,"&gt;0")</f>
        <v>1</v>
      </c>
      <c r="G10" s="89">
        <f t="shared" si="5"/>
        <v>1</v>
      </c>
      <c r="H10" s="86">
        <f>'Q1-STATS'!C62</f>
        <v>1</v>
      </c>
      <c r="I10" s="81">
        <f>'Q1-STATS'!C64</f>
        <v>2.4167680566309063E-2</v>
      </c>
      <c r="J10" s="87">
        <f>COUNTIFS('2025-Q2'!$S$4:$S$422,"Dwn",'2025-Q2'!$E$4:$E$422,'Stats Roll Up'!B10,'2025-Q2'!$J$4:$J$422,"&gt;0")</f>
        <v>10</v>
      </c>
      <c r="K10" s="89">
        <f t="shared" si="6"/>
        <v>0.3</v>
      </c>
      <c r="L10" s="87">
        <f>'Q1-STATS'!D62</f>
        <v>3</v>
      </c>
      <c r="M10" s="81">
        <f>'Q1-STATS'!D64</f>
        <v>7.6722751887291843E-2</v>
      </c>
      <c r="N10" s="88">
        <f>COUNTIFS('2025-Q2'!$S$4:$S$422,"SW",'2025-Q2'!$E$4:$E$422,'Stats Roll Up'!$B10,'2025-Q2'!$J$4:$J$422,"&gt;0")</f>
        <v>19</v>
      </c>
      <c r="O10" s="89">
        <f t="shared" si="7"/>
        <v>0.47368421052631576</v>
      </c>
      <c r="P10" s="88">
        <f>'Q1-STATS'!E62</f>
        <v>9</v>
      </c>
      <c r="Q10" s="79">
        <f>'Q1-STATS'!E64</f>
        <v>5.9089559561367445E-2</v>
      </c>
      <c r="R10" s="119">
        <f>COUNTIF('2025-Q2'!$E$4:$E$422,'Stats Roll Up'!B10)</f>
        <v>30</v>
      </c>
      <c r="S10" s="120">
        <f>COUNTIFS('2025-Q2'!$J$4:$J$422,"&gt;0",'2025-Q2'!$E$4:$E$422,'Stats Roll Up'!B10)/R10</f>
        <v>1</v>
      </c>
      <c r="T10" s="104" t="s">
        <v>2614</v>
      </c>
      <c r="U10" s="95">
        <f>'Q1-STATS'!B67</f>
        <v>17</v>
      </c>
      <c r="V10" s="92">
        <f>-'Q1-STATS'!B69</f>
        <v>5.5116662941629653E-2</v>
      </c>
      <c r="W10" s="100">
        <f t="shared" si="1"/>
        <v>0.56666666666666665</v>
      </c>
      <c r="X10" s="91">
        <f t="shared" si="2"/>
        <v>10</v>
      </c>
      <c r="Y10" s="100">
        <f t="shared" si="8"/>
        <v>0.7</v>
      </c>
      <c r="Z10" s="91">
        <f>'Q1-STATS'!C67</f>
        <v>7</v>
      </c>
      <c r="AA10" s="92">
        <f>-'Q1-STATS'!C69</f>
        <v>5.0731188435887246E-2</v>
      </c>
      <c r="AB10" s="97">
        <f t="shared" si="3"/>
        <v>1</v>
      </c>
      <c r="AC10" s="100">
        <f t="shared" si="9"/>
        <v>0</v>
      </c>
      <c r="AD10" s="97">
        <f>'Q1-STATS'!D67</f>
        <v>0</v>
      </c>
      <c r="AE10" s="92">
        <f>-'Q1-STATS'!D69</f>
        <v>0</v>
      </c>
      <c r="AF10" s="99">
        <f t="shared" si="4"/>
        <v>19</v>
      </c>
      <c r="AG10" s="100">
        <f t="shared" si="10"/>
        <v>0.52631578947368418</v>
      </c>
      <c r="AH10" s="99">
        <f>'Q1-STATS'!E67</f>
        <v>10</v>
      </c>
      <c r="AI10" s="92">
        <f>-'Q1-STATS'!E69</f>
        <v>5.8186495095649347E-2</v>
      </c>
      <c r="AK10" s="414">
        <f>COUNTIFS('2025-Q2'!$J$4:$J$422,"&gt;0",'2025-Q2'!$E$4:$E$422,$T10)</f>
        <v>30</v>
      </c>
    </row>
    <row r="11" spans="2:37" x14ac:dyDescent="0.25">
      <c r="B11" s="105" t="s">
        <v>2659</v>
      </c>
      <c r="C11" s="80">
        <f>'Q1-STATS'!B242</f>
        <v>10</v>
      </c>
      <c r="D11" s="81">
        <f>'Q1-STATS'!B244</f>
        <v>4.1402110312169567E-2</v>
      </c>
      <c r="E11" s="89">
        <f t="shared" si="0"/>
        <v>0.5</v>
      </c>
      <c r="F11" s="86">
        <f>COUNTIFS('2025-Q2'!$S$4:$S$422,"Up",'2025-Q2'!$E$4:$E$422,'Stats Roll Up'!$B11,'2025-Q2'!$J$4:$J$422,"&gt;0")</f>
        <v>2</v>
      </c>
      <c r="G11" s="89">
        <f t="shared" si="5"/>
        <v>0.5</v>
      </c>
      <c r="H11" s="86">
        <f>'Q1-STATS'!C242</f>
        <v>1</v>
      </c>
      <c r="I11" s="81">
        <f>'Q1-STATS'!C244</f>
        <v>1.7917485265225942E-2</v>
      </c>
      <c r="J11" s="87">
        <f>COUNTIFS('2025-Q2'!$S$4:$S$422,"Dwn",'2025-Q2'!$E$4:$E$422,'Stats Roll Up'!B11,'2025-Q2'!$J$4:$J$422,"&gt;0")</f>
        <v>8</v>
      </c>
      <c r="K11" s="89">
        <f t="shared" si="6"/>
        <v>0.5</v>
      </c>
      <c r="L11" s="87">
        <f>'Q1-STATS'!D242</f>
        <v>4</v>
      </c>
      <c r="M11" s="81">
        <f>'Q1-STATS'!D244</f>
        <v>5.0173289442050142E-2</v>
      </c>
      <c r="N11" s="88">
        <f>COUNTIFS('2025-Q2'!$S$4:$S$422,"SW",'2025-Q2'!$E$4:$E$422,'Stats Roll Up'!$B11,'2025-Q2'!$J$4:$J$422,"&gt;0")</f>
        <v>10</v>
      </c>
      <c r="O11" s="89">
        <f t="shared" si="7"/>
        <v>0.5</v>
      </c>
      <c r="P11" s="88">
        <f>'Q1-STATS'!E242</f>
        <v>5</v>
      </c>
      <c r="Q11" s="79">
        <f>'Q1-STATS'!E244</f>
        <v>3.9082092017653822E-2</v>
      </c>
      <c r="R11" s="119">
        <f>COUNTIF('2025-Q2'!$E$4:$E$422,'Stats Roll Up'!B11)</f>
        <v>20</v>
      </c>
      <c r="S11" s="120">
        <f>COUNTIFS('2025-Q2'!$J$4:$J$422,"&gt;0",'2025-Q2'!$E$4:$E$422,'Stats Roll Up'!B11)/R11</f>
        <v>1</v>
      </c>
      <c r="T11" s="104" t="s">
        <v>2659</v>
      </c>
      <c r="U11" s="95">
        <f>'Q1-STATS'!B247</f>
        <v>10</v>
      </c>
      <c r="V11" s="92">
        <f>-'Q1-STATS'!B249</f>
        <v>3.969582180105273E-2</v>
      </c>
      <c r="W11" s="100">
        <f t="shared" si="1"/>
        <v>0.5</v>
      </c>
      <c r="X11" s="91">
        <f t="shared" si="2"/>
        <v>8</v>
      </c>
      <c r="Y11" s="100">
        <f t="shared" si="8"/>
        <v>0.5</v>
      </c>
      <c r="Z11" s="91">
        <f>'Q1-STATS'!C247</f>
        <v>4</v>
      </c>
      <c r="AA11" s="92">
        <f>-'Q1-STATS'!C249</f>
        <v>5.1360035356182041E-2</v>
      </c>
      <c r="AB11" s="97">
        <f t="shared" si="3"/>
        <v>2</v>
      </c>
      <c r="AC11" s="100">
        <f t="shared" si="9"/>
        <v>0.5</v>
      </c>
      <c r="AD11" s="97">
        <f>'Q1-STATS'!D247</f>
        <v>1</v>
      </c>
      <c r="AE11" s="92">
        <f>-'Q1-STATS'!D249</f>
        <v>3.3816796829915827E-2</v>
      </c>
      <c r="AF11" s="99">
        <f t="shared" si="4"/>
        <v>10</v>
      </c>
      <c r="AG11" s="100">
        <f t="shared" si="10"/>
        <v>0.5</v>
      </c>
      <c r="AH11" s="99">
        <f>'Q1-STATS'!E247</f>
        <v>5</v>
      </c>
      <c r="AI11" s="92">
        <f>-'Q1-STATS'!E249</f>
        <v>3.1540255951176661E-2</v>
      </c>
      <c r="AK11" s="414">
        <f>COUNTIFS('2025-Q2'!$J$4:$J$422,"&gt;0",'2025-Q2'!$E$4:$E$422,$T11)</f>
        <v>20</v>
      </c>
    </row>
    <row r="12" spans="2:37" x14ac:dyDescent="0.25">
      <c r="B12" s="105" t="s">
        <v>2690</v>
      </c>
      <c r="C12" s="80">
        <f>'Q1-STATS'!B322</f>
        <v>19</v>
      </c>
      <c r="D12" s="81">
        <f>'Q1-STATS'!B324</f>
        <v>5.8416271252104218E-2</v>
      </c>
      <c r="E12" s="89">
        <f t="shared" si="0"/>
        <v>0.45238095238095238</v>
      </c>
      <c r="F12" s="86">
        <f>COUNTIFS('2025-Q2'!$S$4:$S$422,"Up",'2025-Q2'!$E$4:$E$422,'Stats Roll Up'!$B12,'2025-Q2'!$J$4:$J$422,"&gt;0")</f>
        <v>11</v>
      </c>
      <c r="G12" s="89">
        <f t="shared" si="5"/>
        <v>0.54545454545454541</v>
      </c>
      <c r="H12" s="86">
        <f>'Q1-STATS'!C322</f>
        <v>6</v>
      </c>
      <c r="I12" s="81">
        <f>'Q1-STATS'!C324</f>
        <v>4.3673332337896165E-2</v>
      </c>
      <c r="J12" s="87">
        <f>COUNTIFS('2025-Q2'!$S$4:$S$422,"Dwn",'2025-Q2'!$E$4:$E$422,'Stats Roll Up'!B12,'2025-Q2'!$J$4:$J$422,"&gt;0")</f>
        <v>11</v>
      </c>
      <c r="K12" s="89">
        <f t="shared" ref="K12" si="18">IFERROR(L12/J12,0)</f>
        <v>0.45454545454545453</v>
      </c>
      <c r="L12" s="87">
        <f>'Q1-STATS'!D322</f>
        <v>5</v>
      </c>
      <c r="M12" s="81">
        <f>'Q1-STATS'!D324</f>
        <v>3.9044445904440964E-2</v>
      </c>
      <c r="N12" s="88">
        <f>COUNTIFS('2025-Q2'!$S$4:$S$422,"SW",'2025-Q2'!$E$4:$E$422,'Stats Roll Up'!$B12,'2025-Q2'!$J$4:$J$422,"&gt;0")</f>
        <v>22</v>
      </c>
      <c r="O12" s="89">
        <f t="shared" ref="O12" si="19">IFERROR(P12/N12,0)</f>
        <v>0.36363636363636365</v>
      </c>
      <c r="P12" s="88">
        <f>'Q1-STATS'!E322</f>
        <v>8</v>
      </c>
      <c r="Q12" s="79">
        <f>'Q1-STATS'!E324</f>
        <v>8.1580866280049791E-2</v>
      </c>
      <c r="R12" s="119">
        <f>COUNTIF('2025-Q2'!$E$4:$E$422,'Stats Roll Up'!B12)</f>
        <v>44</v>
      </c>
      <c r="S12" s="120">
        <f>COUNTIFS('2025-Q2'!$J$4:$J$422,"&gt;0",'2025-Q2'!$E$4:$E$422,'Stats Roll Up'!B12)/R12</f>
        <v>1</v>
      </c>
      <c r="T12" s="104" t="s">
        <v>2690</v>
      </c>
      <c r="U12" s="95">
        <f>'Q1-STATS'!B327</f>
        <v>23</v>
      </c>
      <c r="V12" s="92">
        <f>-'Q1-STATS'!B329</f>
        <v>9.5133128100834186E-2</v>
      </c>
      <c r="W12" s="100">
        <f t="shared" si="1"/>
        <v>0.54761904761904767</v>
      </c>
      <c r="X12" s="91">
        <f t="shared" ref="X12" si="20">J12</f>
        <v>11</v>
      </c>
      <c r="Y12" s="100">
        <f t="shared" si="8"/>
        <v>0.54545454545454541</v>
      </c>
      <c r="Z12" s="91">
        <f>'Q1-STATS'!C327</f>
        <v>6</v>
      </c>
      <c r="AA12" s="92">
        <f>-'Q1-STATS'!C329</f>
        <v>6.4670429002672211E-2</v>
      </c>
      <c r="AB12" s="97">
        <f t="shared" ref="AB12" si="21">F12</f>
        <v>11</v>
      </c>
      <c r="AC12" s="100">
        <f t="shared" ref="AC12" si="22">IFERROR(AD12/AB12,0)</f>
        <v>0.45454545454545453</v>
      </c>
      <c r="AD12" s="97">
        <f>'Q1-STATS'!D327</f>
        <v>5</v>
      </c>
      <c r="AE12" s="92">
        <f>-'Q1-STATS'!D329</f>
        <v>8.4927735543482291E-2</v>
      </c>
      <c r="AF12" s="99">
        <f t="shared" ref="AF12" si="23">N12</f>
        <v>22</v>
      </c>
      <c r="AG12" s="100">
        <f t="shared" ref="AG12" si="24">IFERROR(AH12/AF12,0)</f>
        <v>0.54545454545454541</v>
      </c>
      <c r="AH12" s="99">
        <f>'Q1-STATS'!E327</f>
        <v>12</v>
      </c>
      <c r="AI12" s="92">
        <f>-'Q1-STATS'!E329</f>
        <v>0.11461672454881174</v>
      </c>
      <c r="AK12" s="414">
        <f>COUNTIFS('2025-Q2'!$J$4:$J$422,"&gt;0",'2025-Q2'!$E$4:$E$422,$T12)</f>
        <v>44</v>
      </c>
    </row>
    <row r="13" spans="2:37" x14ac:dyDescent="0.25">
      <c r="B13" s="105" t="s">
        <v>2610</v>
      </c>
      <c r="C13" s="80">
        <f>'Q1-STATS'!B102</f>
        <v>10</v>
      </c>
      <c r="D13" s="81">
        <f>'Q1-STATS'!B104</f>
        <v>4.0812057797851464E-2</v>
      </c>
      <c r="E13" s="89">
        <f t="shared" si="0"/>
        <v>0.58823529411764708</v>
      </c>
      <c r="F13" s="86">
        <f>COUNTIFS('2025-Q2'!$S$4:$S$422,"Up",'2025-Q2'!$E$4:$E$422,'Stats Roll Up'!$B13,'2025-Q2'!$J$4:$J$422,"&gt;0")</f>
        <v>2</v>
      </c>
      <c r="G13" s="89">
        <f t="shared" si="5"/>
        <v>0.5</v>
      </c>
      <c r="H13" s="86">
        <f>'Q1-STATS'!C102</f>
        <v>1</v>
      </c>
      <c r="I13" s="81">
        <f>'Q1-STATS'!C104</f>
        <v>2.2153846153846118E-2</v>
      </c>
      <c r="J13" s="87">
        <f>COUNTIFS('2025-Q2'!$S$4:$S$422,"Dwn",'2025-Q2'!$E$4:$E$422,'Stats Roll Up'!B13,'2025-Q2'!$J$4:$J$422,"&gt;0")</f>
        <v>7</v>
      </c>
      <c r="K13" s="89">
        <f t="shared" si="6"/>
        <v>0.42857142857142855</v>
      </c>
      <c r="L13" s="87">
        <f>'Q1-STATS'!D102</f>
        <v>3</v>
      </c>
      <c r="M13" s="81">
        <f>'Q1-STATS'!D104</f>
        <v>4.6327850983330227E-2</v>
      </c>
      <c r="N13" s="88">
        <f>COUNTIFS('2025-Q2'!$S$4:$S$422,"SW",'2025-Q2'!$E$4:$E$422,'Stats Roll Up'!$B13,'2025-Q2'!$J$4:$J$422,"&gt;0")</f>
        <v>8</v>
      </c>
      <c r="O13" s="89">
        <f t="shared" si="7"/>
        <v>0.75</v>
      </c>
      <c r="P13" s="88">
        <f>'Q1-STATS'!E102</f>
        <v>6</v>
      </c>
      <c r="Q13" s="79">
        <f>'Q1-STATS'!E104</f>
        <v>4.116386314577964E-2</v>
      </c>
      <c r="R13" s="119">
        <f>COUNTIF('2025-Q2'!$E$4:$E$422,'Stats Roll Up'!B13)</f>
        <v>17</v>
      </c>
      <c r="S13" s="120">
        <f>COUNTIFS('2025-Q2'!$J$4:$J$422,"&gt;0",'2025-Q2'!$E$4:$E$422,'Stats Roll Up'!B13)/R13</f>
        <v>1</v>
      </c>
      <c r="T13" s="104" t="s">
        <v>2610</v>
      </c>
      <c r="U13" s="95">
        <f>'Q1-STATS'!B107</f>
        <v>7</v>
      </c>
      <c r="V13" s="92">
        <f>-'Q1-STATS'!B109</f>
        <v>5.1596195448361859E-2</v>
      </c>
      <c r="W13" s="100">
        <f t="shared" si="1"/>
        <v>0.41176470588235292</v>
      </c>
      <c r="X13" s="91">
        <f t="shared" si="2"/>
        <v>7</v>
      </c>
      <c r="Y13" s="100">
        <f t="shared" si="8"/>
        <v>0.5714285714285714</v>
      </c>
      <c r="Z13" s="91">
        <f>'Q1-STATS'!C107</f>
        <v>4</v>
      </c>
      <c r="AA13" s="92">
        <f>-'Q1-STATS'!C109</f>
        <v>6.2732360532245762E-2</v>
      </c>
      <c r="AB13" s="97">
        <f t="shared" si="3"/>
        <v>2</v>
      </c>
      <c r="AC13" s="100">
        <f t="shared" si="9"/>
        <v>0.5</v>
      </c>
      <c r="AD13" s="97">
        <f>'Q1-STATS'!D107</f>
        <v>1</v>
      </c>
      <c r="AE13" s="92">
        <f>-'Q1-STATS'!D109</f>
        <v>7.2583721107635973E-2</v>
      </c>
      <c r="AF13" s="99">
        <f t="shared" si="4"/>
        <v>8</v>
      </c>
      <c r="AG13" s="100">
        <f t="shared" si="10"/>
        <v>0.25</v>
      </c>
      <c r="AH13" s="99">
        <f>'Q1-STATS'!E107</f>
        <v>2</v>
      </c>
      <c r="AI13" s="92">
        <f>-'Q1-STATS'!E109</f>
        <v>1.8830102450957002E-2</v>
      </c>
      <c r="AK13" s="414">
        <f>COUNTIFS('2025-Q2'!$J$4:$J$422,"&gt;0",'2025-Q2'!$E$4:$E$422,$T13)</f>
        <v>17</v>
      </c>
    </row>
    <row r="14" spans="2:37" x14ac:dyDescent="0.25">
      <c r="B14" s="105" t="s">
        <v>2613</v>
      </c>
      <c r="C14" s="80">
        <f>'Q1-STATS'!B122</f>
        <v>29</v>
      </c>
      <c r="D14" s="81">
        <f>'Q1-STATS'!B124</f>
        <v>4.9648120397567989E-2</v>
      </c>
      <c r="E14" s="89">
        <f t="shared" si="0"/>
        <v>0.44615384615384618</v>
      </c>
      <c r="F14" s="86">
        <f>COUNTIFS('2025-Q2'!$S$4:$S$422,"Up",'2025-Q2'!$E$4:$E$422,'Stats Roll Up'!$B14,'2025-Q2'!$J$4:$J$422,"&gt;0")</f>
        <v>10</v>
      </c>
      <c r="G14" s="89">
        <f t="shared" si="5"/>
        <v>0.4</v>
      </c>
      <c r="H14" s="86">
        <f>'Q1-STATS'!C122</f>
        <v>4</v>
      </c>
      <c r="I14" s="81">
        <f>'Q1-STATS'!C124</f>
        <v>5.3810804889767777E-2</v>
      </c>
      <c r="J14" s="87">
        <f>COUNTIFS('2025-Q2'!$S$4:$S$422,"Dwn",'2025-Q2'!$E$4:$E$422,'Stats Roll Up'!B14,'2025-Q2'!$J$4:$J$422,"&gt;0")</f>
        <v>22</v>
      </c>
      <c r="K14" s="89">
        <f t="shared" si="6"/>
        <v>0.36363636363636365</v>
      </c>
      <c r="L14" s="87">
        <f>'Q1-STATS'!D122</f>
        <v>8</v>
      </c>
      <c r="M14" s="81">
        <f>'Q1-STATS'!D124</f>
        <v>3.9956455599119686E-2</v>
      </c>
      <c r="N14" s="88">
        <f>COUNTIFS('2025-Q2'!$S$4:$S$422,"SW",'2025-Q2'!$E$4:$E$422,'Stats Roll Up'!$B14,'2025-Q2'!$J$4:$J$422,"&gt;0")</f>
        <v>33</v>
      </c>
      <c r="O14" s="89">
        <f t="shared" si="7"/>
        <v>0.51515151515151514</v>
      </c>
      <c r="P14" s="88">
        <f>'Q1-STATS'!E122</f>
        <v>17</v>
      </c>
      <c r="Q14" s="79">
        <f>'Q1-STATS'!E124</f>
        <v>5.3229448657496646E-2</v>
      </c>
      <c r="R14" s="119">
        <f>COUNTIF('2025-Q2'!$E$4:$E$422,'Stats Roll Up'!B14)</f>
        <v>65</v>
      </c>
      <c r="S14" s="120">
        <f>COUNTIFS('2025-Q2'!$J$4:$J$422,"&gt;0",'2025-Q2'!$E$4:$E$422,'Stats Roll Up'!B14)/R14</f>
        <v>1</v>
      </c>
      <c r="T14" s="104" t="s">
        <v>2613</v>
      </c>
      <c r="U14" s="95">
        <f>'Q1-STATS'!B127</f>
        <v>36</v>
      </c>
      <c r="V14" s="92">
        <f>-'Q1-STATS'!B129</f>
        <v>3.2714538884720729E-2</v>
      </c>
      <c r="W14" s="100">
        <f t="shared" si="1"/>
        <v>0.55384615384615388</v>
      </c>
      <c r="X14" s="91">
        <f t="shared" si="2"/>
        <v>22</v>
      </c>
      <c r="Y14" s="100">
        <f t="shared" si="8"/>
        <v>0.63636363636363635</v>
      </c>
      <c r="Z14" s="91">
        <f>'Q1-STATS'!C127</f>
        <v>14</v>
      </c>
      <c r="AA14" s="92">
        <f>-'Q1-STATS'!C129</f>
        <v>4.1339856720444719E-2</v>
      </c>
      <c r="AB14" s="97">
        <f t="shared" si="3"/>
        <v>10</v>
      </c>
      <c r="AC14" s="100">
        <f t="shared" si="9"/>
        <v>0.6</v>
      </c>
      <c r="AD14" s="97">
        <f>'Q1-STATS'!D127</f>
        <v>6</v>
      </c>
      <c r="AE14" s="92">
        <f>-'Q1-STATS'!D129</f>
        <v>3.3395349639537018E-2</v>
      </c>
      <c r="AF14" s="99">
        <f t="shared" si="4"/>
        <v>33</v>
      </c>
      <c r="AG14" s="100">
        <f t="shared" si="10"/>
        <v>0.48484848484848486</v>
      </c>
      <c r="AH14" s="99">
        <f>'Q1-STATS'!E127</f>
        <v>16</v>
      </c>
      <c r="AI14" s="92">
        <f>-'Q1-STATS'!E129</f>
        <v>2.4912081745406114E-2</v>
      </c>
      <c r="AK14" s="414">
        <f>COUNTIFS('2025-Q2'!$J$4:$J$422,"&gt;0",'2025-Q2'!$E$4:$E$422,$T14)</f>
        <v>65</v>
      </c>
    </row>
    <row r="15" spans="2:37" x14ac:dyDescent="0.25">
      <c r="B15" s="105" t="s">
        <v>2618</v>
      </c>
      <c r="C15" s="80">
        <f>'Q1-STATS'!B222</f>
        <v>28</v>
      </c>
      <c r="D15" s="81">
        <f>'Q1-STATS'!B224</f>
        <v>5.1041195081963066E-2</v>
      </c>
      <c r="E15" s="89">
        <f t="shared" si="0"/>
        <v>0.62222222222222223</v>
      </c>
      <c r="F15" s="86">
        <f>COUNTIFS('2025-Q2'!$S$4:$S$422,"Up",'2025-Q2'!$E$4:$E$422,'Stats Roll Up'!$B15,'2025-Q2'!$J$4:$J$422,"&gt;0")</f>
        <v>3</v>
      </c>
      <c r="G15" s="89">
        <f t="shared" si="5"/>
        <v>0.66666666666666663</v>
      </c>
      <c r="H15" s="86">
        <f>'Q1-STATS'!C222</f>
        <v>2</v>
      </c>
      <c r="I15" s="81">
        <f>'Q1-STATS'!C224</f>
        <v>2.4284193118021862E-2</v>
      </c>
      <c r="J15" s="87">
        <f>COUNTIFS('2025-Q2'!$S$4:$S$422,"Dwn",'2025-Q2'!$E$4:$E$422,'Stats Roll Up'!B15,'2025-Q2'!$J$4:$J$422,"&gt;0")</f>
        <v>19</v>
      </c>
      <c r="K15" s="89">
        <f t="shared" si="6"/>
        <v>0.47368421052631576</v>
      </c>
      <c r="L15" s="87">
        <f>'Q1-STATS'!D222</f>
        <v>9</v>
      </c>
      <c r="M15" s="81">
        <f>'Q1-STATS'!D224</f>
        <v>4.7151874040618796E-2</v>
      </c>
      <c r="N15" s="88">
        <f>COUNTIFS('2025-Q2'!$S$4:$S$422,"SW",'2025-Q2'!$E$4:$E$422,'Stats Roll Up'!$B15,'2025-Q2'!$J$4:$J$422,"&gt;0")</f>
        <v>23</v>
      </c>
      <c r="O15" s="89">
        <f t="shared" si="7"/>
        <v>0.73913043478260865</v>
      </c>
      <c r="P15" s="88">
        <f>'Q1-STATS'!E222</f>
        <v>17</v>
      </c>
      <c r="Q15" s="79">
        <f>'Q1-STATS'!E224</f>
        <v>5.6248129981961922E-2</v>
      </c>
      <c r="R15" s="119">
        <f>COUNTIF('2025-Q2'!$E$4:$E$422,'Stats Roll Up'!B15)</f>
        <v>45</v>
      </c>
      <c r="S15" s="120">
        <f>COUNTIFS('2025-Q2'!$J$4:$J$422,"&gt;0",'2025-Q2'!$E$4:$E$422,'Stats Roll Up'!B15)/R15</f>
        <v>1</v>
      </c>
      <c r="T15" s="104" t="s">
        <v>2618</v>
      </c>
      <c r="U15" s="95">
        <f>'Q1-STATS'!B227</f>
        <v>17</v>
      </c>
      <c r="V15" s="92">
        <f>-'Q1-STATS'!B229</f>
        <v>2.2911722881398519E-2</v>
      </c>
      <c r="W15" s="100">
        <f t="shared" si="1"/>
        <v>0.37777777777777777</v>
      </c>
      <c r="X15" s="91">
        <f t="shared" si="2"/>
        <v>19</v>
      </c>
      <c r="Y15" s="100">
        <f t="shared" si="8"/>
        <v>0.52631578947368418</v>
      </c>
      <c r="Z15" s="91">
        <f>'Q1-STATS'!C227</f>
        <v>10</v>
      </c>
      <c r="AA15" s="92">
        <f>-'Q1-STATS'!C229</f>
        <v>2.1361487699844216E-2</v>
      </c>
      <c r="AB15" s="97">
        <f t="shared" si="3"/>
        <v>3</v>
      </c>
      <c r="AC15" s="100">
        <f t="shared" si="9"/>
        <v>0.33333333333333331</v>
      </c>
      <c r="AD15" s="97">
        <f>'Q1-STATS'!D227</f>
        <v>1</v>
      </c>
      <c r="AE15" s="92">
        <f>-'Q1-STATS'!D229</f>
        <v>9.0593814141128257E-3</v>
      </c>
      <c r="AF15" s="99">
        <f t="shared" si="4"/>
        <v>23</v>
      </c>
      <c r="AG15" s="100">
        <f t="shared" si="10"/>
        <v>0.2608695652173913</v>
      </c>
      <c r="AH15" s="99">
        <f>'Q1-STATS'!E227</f>
        <v>6</v>
      </c>
      <c r="AI15" s="92">
        <f>-'Q1-STATS'!E229</f>
        <v>2.780417176186999E-2</v>
      </c>
      <c r="AK15" s="414">
        <f>COUNTIFS('2025-Q2'!$J$4:$J$422,"&gt;0",'2025-Q2'!$E$4:$E$422,$T15)</f>
        <v>45</v>
      </c>
    </row>
    <row r="16" spans="2:37" x14ac:dyDescent="0.25">
      <c r="B16" s="105" t="s">
        <v>2609</v>
      </c>
      <c r="C16" s="80">
        <f>'Q1-STATS'!B162</f>
        <v>11</v>
      </c>
      <c r="D16" s="81">
        <f>'Q1-STATS'!B164</f>
        <v>3.7831771620207406E-2</v>
      </c>
      <c r="E16" s="89">
        <f t="shared" si="0"/>
        <v>0.40740740740740738</v>
      </c>
      <c r="F16" s="86">
        <f>COUNTIFS('2025-Q2'!$S$4:$S$422,"Up",'2025-Q2'!$E$4:$E$422,'Stats Roll Up'!$B16,'2025-Q2'!$J$4:$J$422,"&gt;0")</f>
        <v>0</v>
      </c>
      <c r="G16" s="89">
        <f t="shared" si="5"/>
        <v>0</v>
      </c>
      <c r="H16" s="86">
        <f>'Q1-STATS'!C162</f>
        <v>0</v>
      </c>
      <c r="I16" s="81">
        <f>'Q1-STATS'!C164</f>
        <v>0</v>
      </c>
      <c r="J16" s="87">
        <f>COUNTIFS('2025-Q2'!$S$4:$S$422,"Dwn",'2025-Q2'!$E$4:$E$422,'Stats Roll Up'!B16,'2025-Q2'!$J$4:$J$422,"&gt;0")</f>
        <v>19</v>
      </c>
      <c r="K16" s="89">
        <f t="shared" si="6"/>
        <v>0.31578947368421051</v>
      </c>
      <c r="L16" s="87">
        <f>'Q1-STATS'!D162</f>
        <v>6</v>
      </c>
      <c r="M16" s="81">
        <f>'Q1-STATS'!D164</f>
        <v>3.6130621868427824E-2</v>
      </c>
      <c r="N16" s="88">
        <f>COUNTIFS('2025-Q2'!$S$4:$S$422,"SW",'2025-Q2'!$E$4:$E$422,'Stats Roll Up'!$B16,'2025-Q2'!$J$4:$J$422,"&gt;0")</f>
        <v>8</v>
      </c>
      <c r="O16" s="89">
        <f t="shared" si="7"/>
        <v>0.625</v>
      </c>
      <c r="P16" s="88">
        <f>'Q1-STATS'!E162</f>
        <v>5</v>
      </c>
      <c r="Q16" s="79">
        <f>'Q1-STATS'!E164</f>
        <v>3.9873151322342898E-2</v>
      </c>
      <c r="R16" s="119">
        <f>COUNTIF('2025-Q2'!$E$4:$E$422,'Stats Roll Up'!B16)</f>
        <v>27</v>
      </c>
      <c r="S16" s="120">
        <f>COUNTIFS('2025-Q2'!$J$4:$J$422,"&gt;0",'2025-Q2'!$E$4:$E$422,'Stats Roll Up'!B16)/R16</f>
        <v>1</v>
      </c>
      <c r="T16" s="104" t="s">
        <v>2609</v>
      </c>
      <c r="U16" s="95">
        <f>'Q1-STATS'!B167</f>
        <v>16</v>
      </c>
      <c r="V16" s="92">
        <f>-'Q1-STATS'!B169</f>
        <v>2.8609147868622644E-2</v>
      </c>
      <c r="W16" s="100">
        <f t="shared" si="1"/>
        <v>0.59259259259259256</v>
      </c>
      <c r="X16" s="91">
        <f t="shared" si="2"/>
        <v>19</v>
      </c>
      <c r="Y16" s="100">
        <f t="shared" si="8"/>
        <v>0.68421052631578949</v>
      </c>
      <c r="Z16" s="91">
        <f>'Q1-STATS'!C167</f>
        <v>13</v>
      </c>
      <c r="AA16" s="92">
        <f>-'Q1-STATS'!C169</f>
        <v>2.8116684898392821E-2</v>
      </c>
      <c r="AB16" s="97">
        <f t="shared" si="3"/>
        <v>0</v>
      </c>
      <c r="AC16" s="100">
        <f t="shared" si="9"/>
        <v>0</v>
      </c>
      <c r="AD16" s="97">
        <f>'Q1-STATS'!D167</f>
        <v>0</v>
      </c>
      <c r="AE16" s="92">
        <f>-'Q1-STATS'!D169</f>
        <v>0</v>
      </c>
      <c r="AF16" s="99">
        <f t="shared" si="4"/>
        <v>8</v>
      </c>
      <c r="AG16" s="100">
        <f t="shared" si="10"/>
        <v>0.375</v>
      </c>
      <c r="AH16" s="99">
        <f>'Q1-STATS'!E167</f>
        <v>3</v>
      </c>
      <c r="AI16" s="92">
        <f>-'Q1-STATS'!E169</f>
        <v>3.0743154072951889E-2</v>
      </c>
      <c r="AK16" s="414">
        <f>COUNTIFS('2025-Q2'!$J$4:$J$422,"&gt;0",'2025-Q2'!$E$4:$E$422,$T16)</f>
        <v>27</v>
      </c>
    </row>
    <row r="17" spans="2:41" x14ac:dyDescent="0.25">
      <c r="B17" s="105" t="s">
        <v>2611</v>
      </c>
      <c r="C17" s="80">
        <f>'Q1-STATS'!B182</f>
        <v>6</v>
      </c>
      <c r="D17" s="81">
        <f>'Q1-STATS'!B184</f>
        <v>1.6977055049360614E-2</v>
      </c>
      <c r="E17" s="89">
        <f t="shared" si="0"/>
        <v>0.46153846153846156</v>
      </c>
      <c r="F17" s="86">
        <f>COUNTIFS('2025-Q2'!$S$4:$S$422,"Up",'2025-Q2'!$E$4:$E$422,'Stats Roll Up'!$B17,'2025-Q2'!$J$4:$J$422,"&gt;0")</f>
        <v>1</v>
      </c>
      <c r="G17" s="89">
        <f t="shared" si="5"/>
        <v>0</v>
      </c>
      <c r="H17" s="86">
        <f>'Q1-STATS'!C182</f>
        <v>0</v>
      </c>
      <c r="I17" s="81">
        <f>'Q1-STATS'!C184</f>
        <v>0</v>
      </c>
      <c r="J17" s="87">
        <f>COUNTIFS('2025-Q2'!$S$4:$S$422,"Dwn",'2025-Q2'!$E$4:$E$422,'Stats Roll Up'!B17,'2025-Q2'!$J$4:$J$422,"&gt;0")</f>
        <v>9</v>
      </c>
      <c r="K17" s="89">
        <f t="shared" si="6"/>
        <v>0.55555555555555558</v>
      </c>
      <c r="L17" s="87">
        <f>'Q1-STATS'!D182</f>
        <v>5</v>
      </c>
      <c r="M17" s="81">
        <f>'Q1-STATS'!D184</f>
        <v>1.4360524531540745E-2</v>
      </c>
      <c r="N17" s="88">
        <f>COUNTIFS('2025-Q2'!$S$4:$S$422,"SW",'2025-Q2'!$E$4:$E$422,'Stats Roll Up'!$B17,'2025-Q2'!$J$4:$J$422,"&gt;0")</f>
        <v>3</v>
      </c>
      <c r="O17" s="89">
        <f t="shared" si="7"/>
        <v>0.33333333333333331</v>
      </c>
      <c r="P17" s="88">
        <f>'Q1-STATS'!E182</f>
        <v>1</v>
      </c>
      <c r="Q17" s="79">
        <f>'Q1-STATS'!E184</f>
        <v>3.005970763845997E-2</v>
      </c>
      <c r="R17" s="119">
        <f>COUNTIF('2025-Q2'!$E$4:$E$422,'Stats Roll Up'!B17)</f>
        <v>13</v>
      </c>
      <c r="S17" s="120">
        <f>COUNTIFS('2025-Q2'!$J$4:$J$422,"&gt;0",'2025-Q2'!$E$4:$E$422,'Stats Roll Up'!B17)/R17</f>
        <v>1</v>
      </c>
      <c r="T17" s="104" t="s">
        <v>2611</v>
      </c>
      <c r="U17" s="95">
        <f>'Q1-STATS'!B187</f>
        <v>7</v>
      </c>
      <c r="V17" s="92">
        <f>-'Q1-STATS'!B189</f>
        <v>2.6983825804193302E-2</v>
      </c>
      <c r="W17" s="100">
        <f t="shared" si="1"/>
        <v>0.53846153846153844</v>
      </c>
      <c r="X17" s="91">
        <f t="shared" si="2"/>
        <v>9</v>
      </c>
      <c r="Y17" s="100">
        <f t="shared" si="8"/>
        <v>0.44444444444444442</v>
      </c>
      <c r="Z17" s="91">
        <f>'Q1-STATS'!C187</f>
        <v>4</v>
      </c>
      <c r="AA17" s="92">
        <f>-'Q1-STATS'!C189</f>
        <v>3.131329930954406E-2</v>
      </c>
      <c r="AB17" s="97">
        <f t="shared" si="3"/>
        <v>1</v>
      </c>
      <c r="AC17" s="100">
        <f t="shared" si="9"/>
        <v>1</v>
      </c>
      <c r="AD17" s="97">
        <f>'Q1-STATS'!D187</f>
        <v>1</v>
      </c>
      <c r="AE17" s="92">
        <f>'Q1-STATS'!D189</f>
        <v>-1.6287186305467907E-2</v>
      </c>
      <c r="AF17" s="99">
        <f t="shared" si="4"/>
        <v>3</v>
      </c>
      <c r="AG17" s="100">
        <f t="shared" si="10"/>
        <v>0.66666666666666663</v>
      </c>
      <c r="AH17" s="99">
        <f>'Q1-STATS'!E187</f>
        <v>2</v>
      </c>
      <c r="AI17" s="92">
        <f>-'Q1-STATS'!E189</f>
        <v>2.3673198542854459E-2</v>
      </c>
      <c r="AK17" s="414">
        <f>COUNTIFS('2025-Q2'!$J$4:$J$422,"&gt;0",'2025-Q2'!$E$4:$E$422,$T17)</f>
        <v>13</v>
      </c>
    </row>
    <row r="22" spans="2:41" x14ac:dyDescent="0.25">
      <c r="AN22" s="105" t="s">
        <v>2627</v>
      </c>
      <c r="AO22" s="89">
        <v>0.47961630695443647</v>
      </c>
    </row>
    <row r="23" spans="2:41" x14ac:dyDescent="0.25">
      <c r="AN23" s="105" t="s">
        <v>5668</v>
      </c>
      <c r="AO23" s="89">
        <v>0.46511627906976744</v>
      </c>
    </row>
    <row r="24" spans="2:41" x14ac:dyDescent="0.25">
      <c r="AN24" s="105" t="s">
        <v>2661</v>
      </c>
      <c r="AO24" s="89">
        <v>0.46666666666666667</v>
      </c>
    </row>
    <row r="25" spans="2:41" x14ac:dyDescent="0.25">
      <c r="AN25" s="105" t="s">
        <v>5669</v>
      </c>
      <c r="AO25" s="89">
        <v>0.52</v>
      </c>
    </row>
    <row r="26" spans="2:41" x14ac:dyDescent="0.25">
      <c r="AN26" s="105" t="s">
        <v>5670</v>
      </c>
      <c r="AO26" s="89">
        <v>0.75</v>
      </c>
    </row>
    <row r="27" spans="2:41" x14ac:dyDescent="0.25">
      <c r="AN27" s="105" t="s">
        <v>5671</v>
      </c>
      <c r="AO27" s="89">
        <v>0.3888888888888889</v>
      </c>
    </row>
    <row r="28" spans="2:41" x14ac:dyDescent="0.25">
      <c r="AN28" s="105" t="s">
        <v>5672</v>
      </c>
      <c r="AO28" s="89">
        <v>0.43333333333333335</v>
      </c>
    </row>
    <row r="29" spans="2:41" x14ac:dyDescent="0.25">
      <c r="AN29" s="105" t="s">
        <v>2659</v>
      </c>
      <c r="AO29" s="89">
        <v>0.5</v>
      </c>
    </row>
    <row r="30" spans="2:41" x14ac:dyDescent="0.25">
      <c r="AN30" s="105" t="s">
        <v>2690</v>
      </c>
      <c r="AO30" s="89">
        <v>0.45238095238095238</v>
      </c>
    </row>
    <row r="31" spans="2:41" x14ac:dyDescent="0.25">
      <c r="AN31" s="105" t="s">
        <v>2610</v>
      </c>
      <c r="AO31" s="89">
        <v>0.58823529411764708</v>
      </c>
    </row>
    <row r="32" spans="2:41" x14ac:dyDescent="0.25">
      <c r="AN32" s="105" t="s">
        <v>5673</v>
      </c>
      <c r="AO32" s="89">
        <v>0.44615384615384618</v>
      </c>
    </row>
    <row r="33" spans="40:41" x14ac:dyDescent="0.25">
      <c r="AN33" s="105" t="s">
        <v>2618</v>
      </c>
      <c r="AO33" s="89">
        <v>0.62222222222222223</v>
      </c>
    </row>
    <row r="34" spans="40:41" x14ac:dyDescent="0.25">
      <c r="AN34" s="105" t="s">
        <v>2609</v>
      </c>
      <c r="AO34" s="89">
        <v>0.40740740740740738</v>
      </c>
    </row>
    <row r="35" spans="40:41" x14ac:dyDescent="0.25">
      <c r="AN35" s="105" t="s">
        <v>2611</v>
      </c>
      <c r="AO35" s="89">
        <v>0.46153846153846156</v>
      </c>
    </row>
  </sheetData>
  <mergeCells count="11">
    <mergeCell ref="AK1:AK3"/>
    <mergeCell ref="U2:W2"/>
    <mergeCell ref="AF2:AI2"/>
    <mergeCell ref="B1:Q1"/>
    <mergeCell ref="T1:AI1"/>
    <mergeCell ref="C2:E2"/>
    <mergeCell ref="F2:I2"/>
    <mergeCell ref="X2:AA2"/>
    <mergeCell ref="N2:Q2"/>
    <mergeCell ref="J2:M2"/>
    <mergeCell ref="AB2:AE2"/>
  </mergeCells>
  <conditionalFormatting sqref="D4:D17 I4:I17 M4:M17">
    <cfRule type="dataBar" priority="29">
      <dataBar>
        <cfvo type="num" val="0"/>
        <cfvo type="num" val="0.12"/>
        <color theme="6" tint="0.59999389629810485"/>
      </dataBar>
      <extLst>
        <ext xmlns:x14="http://schemas.microsoft.com/office/spreadsheetml/2009/9/main" uri="{B025F937-C7B1-47D3-B67F-A62EFF666E3E}">
          <x14:id>{249B927E-0500-48AE-9226-7DDEC1E1B090}</x14:id>
        </ext>
      </extLst>
    </cfRule>
  </conditionalFormatting>
  <conditionalFormatting sqref="E4:E17 G4:G17 K4:K17">
    <cfRule type="dataBar" priority="25">
      <dataBar>
        <cfvo type="num" val="0"/>
        <cfvo type="num" val="0.95"/>
        <color theme="6" tint="0.59999389629810485"/>
      </dataBar>
      <extLst>
        <ext xmlns:x14="http://schemas.microsoft.com/office/spreadsheetml/2009/9/main" uri="{B025F937-C7B1-47D3-B67F-A62EFF666E3E}">
          <x14:id>{730B4AC9-7EEE-4581-8FE9-48E1974F63A8}</x14:id>
        </ext>
      </extLst>
    </cfRule>
  </conditionalFormatting>
  <conditionalFormatting sqref="O4:O17 Y4:Y17">
    <cfRule type="cellIs" dxfId="6" priority="5" operator="greaterThan">
      <formula>0.5</formula>
    </cfRule>
  </conditionalFormatting>
  <conditionalFormatting sqref="O4:O17">
    <cfRule type="cellIs" dxfId="5" priority="6" operator="equal">
      <formula>0</formula>
    </cfRule>
    <cfRule type="dataBar" priority="28">
      <dataBar>
        <cfvo type="num" val="0"/>
        <cfvo type="num" val="0.95"/>
        <color theme="6" tint="0.59999389629810485"/>
      </dataBar>
      <extLst>
        <ext xmlns:x14="http://schemas.microsoft.com/office/spreadsheetml/2009/9/main" uri="{B025F937-C7B1-47D3-B67F-A62EFF666E3E}">
          <x14:id>{7A4D6967-5655-4BB5-8420-2E08FAB5C6F2}</x14:id>
        </ext>
      </extLst>
    </cfRule>
  </conditionalFormatting>
  <conditionalFormatting sqref="Q4:Q17">
    <cfRule type="expression" dxfId="4" priority="4">
      <formula>$Q4&gt;$AI4</formula>
    </cfRule>
    <cfRule type="expression" dxfId="3" priority="7">
      <formula>AND($Q4&gt;$AI4,$O4&gt;0.5)</formula>
    </cfRule>
  </conditionalFormatting>
  <conditionalFormatting sqref="R5:R17">
    <cfRule type="dataBar" priority="22363">
      <dataBar>
        <cfvo type="min"/>
        <cfvo type="max"/>
        <color theme="0" tint="-0.499984740745262"/>
      </dataBar>
      <extLst>
        <ext xmlns:x14="http://schemas.microsoft.com/office/spreadsheetml/2009/9/main" uri="{B025F937-C7B1-47D3-B67F-A62EFF666E3E}">
          <x14:id>{C90F7468-6924-4750-8D5D-1CF463BE27E0}</x14:id>
        </ext>
      </extLst>
    </cfRule>
  </conditionalFormatting>
  <conditionalFormatting sqref="S5:S17">
    <cfRule type="dataBar" priority="22364">
      <dataBar>
        <cfvo type="min"/>
        <cfvo type="num" val="1"/>
        <color theme="0" tint="-0.499984740745262"/>
      </dataBar>
      <extLst>
        <ext xmlns:x14="http://schemas.microsoft.com/office/spreadsheetml/2009/9/main" uri="{B025F937-C7B1-47D3-B67F-A62EFF666E3E}">
          <x14:id>{384AC205-C0D2-43C8-8DC6-18CA55E47969}</x14:id>
        </ext>
      </extLst>
    </cfRule>
  </conditionalFormatting>
  <conditionalFormatting sqref="V4:V17 AA4:AA17 AE4:AE17 AI4:AI17">
    <cfRule type="dataBar" priority="15">
      <dataBar>
        <cfvo type="num" val="0"/>
        <cfvo type="num" val="0.12"/>
        <color theme="3" tint="0.749992370372631"/>
      </dataBar>
      <extLst>
        <ext xmlns:x14="http://schemas.microsoft.com/office/spreadsheetml/2009/9/main" uri="{B025F937-C7B1-47D3-B67F-A62EFF666E3E}">
          <x14:id>{EAC96524-24FA-468C-9F6D-2A75BE3F5562}</x14:id>
        </ext>
      </extLst>
    </cfRule>
  </conditionalFormatting>
  <conditionalFormatting sqref="W4:W17 Y4:Y17 AC4:AC17 AG4:AG17">
    <cfRule type="dataBar" priority="11">
      <dataBar>
        <cfvo type="num" val="0"/>
        <cfvo type="num" val="0.95"/>
        <color theme="3" tint="0.749992370372631"/>
      </dataBar>
      <extLst>
        <ext xmlns:x14="http://schemas.microsoft.com/office/spreadsheetml/2009/9/main" uri="{B025F937-C7B1-47D3-B67F-A62EFF666E3E}">
          <x14:id>{946BE60B-7D7F-4FC2-AFFB-2242BA773936}</x14:id>
        </ext>
      </extLst>
    </cfRule>
  </conditionalFormatting>
  <conditionalFormatting sqref="AA4:AA17">
    <cfRule type="expression" dxfId="2" priority="2">
      <formula>AND($AA4&gt;$M4,$Y4&gt;0.5)</formula>
    </cfRule>
    <cfRule type="expression" dxfId="1" priority="3">
      <formula>$AA4&gt;$M4</formula>
    </cfRule>
  </conditionalFormatting>
  <conditionalFormatting sqref="AO22:AO35">
    <cfRule type="dataBar" priority="1">
      <dataBar>
        <cfvo type="num" val="0"/>
        <cfvo type="num" val="0.95"/>
        <color theme="6" tint="0.59999389629810485"/>
      </dataBar>
      <extLst>
        <ext xmlns:x14="http://schemas.microsoft.com/office/spreadsheetml/2009/9/main" uri="{B025F937-C7B1-47D3-B67F-A62EFF666E3E}">
          <x14:id>{044FF000-A9BE-4123-A301-0AA6D277A7FD}</x14:id>
        </ext>
      </extLst>
    </cfRule>
  </conditionalFormatting>
  <dataValidations count="2">
    <dataValidation allowBlank="1" showInputMessage="1" showErrorMessage="1" promptTitle="Key Info:" prompt="Bold text here indicates more than 50% of SW trends are gapping higher, this bodes well for the SW trend pillar of the strategy." sqref="O3" xr:uid="{47BEC9EB-32B7-40E4-9153-E8FD2CB00093}"/>
    <dataValidation allowBlank="1" showInputMessage="1" showErrorMessage="1" promptTitle="Ave Gap Up from SW:" prompt="Bold here means the gap ups from a SW trend, are larger than the gaps down from SW trends.  Double bold is best for SW trends, and is noted by neon green highlighting in the back ground." sqref="Q3" xr:uid="{2077DED8-FA9E-42FC-91DF-DB090E69B438}"/>
  </dataValidation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249B927E-0500-48AE-9226-7DDEC1E1B090}">
            <x14:dataBar minLength="0" maxLength="100" gradient="0">
              <x14:cfvo type="num">
                <xm:f>0</xm:f>
              </x14:cfvo>
              <x14:cfvo type="num">
                <xm:f>0.12</xm:f>
              </x14:cfvo>
              <x14:negativeFillColor rgb="FFFF0000"/>
              <x14:axisColor rgb="FF000000"/>
            </x14:dataBar>
          </x14:cfRule>
          <xm:sqref>D4:D17 I4:I17 M4:M17</xm:sqref>
        </x14:conditionalFormatting>
        <x14:conditionalFormatting xmlns:xm="http://schemas.microsoft.com/office/excel/2006/main">
          <x14:cfRule type="dataBar" id="{730B4AC9-7EEE-4581-8FE9-48E1974F63A8}">
            <x14:dataBar minLength="0" maxLength="100" gradient="0">
              <x14:cfvo type="num">
                <xm:f>0</xm:f>
              </x14:cfvo>
              <x14:cfvo type="num">
                <xm:f>0.95</xm:f>
              </x14:cfvo>
              <x14:negativeFillColor rgb="FFFF0000"/>
              <x14:axisColor rgb="FF000000"/>
            </x14:dataBar>
          </x14:cfRule>
          <xm:sqref>E4:E17 G4:G17 K4:K17</xm:sqref>
        </x14:conditionalFormatting>
        <x14:conditionalFormatting xmlns:xm="http://schemas.microsoft.com/office/excel/2006/main">
          <x14:cfRule type="dataBar" id="{7A4D6967-5655-4BB5-8420-2E08FAB5C6F2}">
            <x14:dataBar minLength="0" maxLength="100" gradient="0">
              <x14:cfvo type="num">
                <xm:f>0</xm:f>
              </x14:cfvo>
              <x14:cfvo type="num">
                <xm:f>0.95</xm:f>
              </x14:cfvo>
              <x14:negativeFillColor rgb="FFFF0000"/>
              <x14:axisColor rgb="FF000000"/>
            </x14:dataBar>
          </x14:cfRule>
          <xm:sqref>O4:O17</xm:sqref>
        </x14:conditionalFormatting>
        <x14:conditionalFormatting xmlns:xm="http://schemas.microsoft.com/office/excel/2006/main">
          <x14:cfRule type="dataBar" id="{C90F7468-6924-4750-8D5D-1CF463BE27E0}">
            <x14:dataBar minLength="0" maxLength="100" gradient="0">
              <x14:cfvo type="autoMin"/>
              <x14:cfvo type="autoMax"/>
              <x14:negativeFillColor rgb="FFFF0000"/>
              <x14:axisColor rgb="FF000000"/>
            </x14:dataBar>
          </x14:cfRule>
          <xm:sqref>R5:R17</xm:sqref>
        </x14:conditionalFormatting>
        <x14:conditionalFormatting xmlns:xm="http://schemas.microsoft.com/office/excel/2006/main">
          <x14:cfRule type="dataBar" id="{384AC205-C0D2-43C8-8DC6-18CA55E47969}">
            <x14:dataBar minLength="0" maxLength="100" gradient="0">
              <x14:cfvo type="autoMin"/>
              <x14:cfvo type="num">
                <xm:f>1</xm:f>
              </x14:cfvo>
              <x14:negativeFillColor rgb="FFFF0000"/>
              <x14:axisColor rgb="FF000000"/>
            </x14:dataBar>
          </x14:cfRule>
          <xm:sqref>S5:S17</xm:sqref>
        </x14:conditionalFormatting>
        <x14:conditionalFormatting xmlns:xm="http://schemas.microsoft.com/office/excel/2006/main">
          <x14:cfRule type="dataBar" id="{EAC96524-24FA-468C-9F6D-2A75BE3F5562}">
            <x14:dataBar minLength="0" maxLength="100" gradient="0">
              <x14:cfvo type="num">
                <xm:f>0</xm:f>
              </x14:cfvo>
              <x14:cfvo type="num">
                <xm:f>0.12</xm:f>
              </x14:cfvo>
              <x14:negativeFillColor theme="3" tint="0.749992370372631"/>
              <x14:axisColor rgb="FF000000"/>
            </x14:dataBar>
          </x14:cfRule>
          <xm:sqref>V4:V17 AA4:AA17 AE4:AE17 AI4:AI17</xm:sqref>
        </x14:conditionalFormatting>
        <x14:conditionalFormatting xmlns:xm="http://schemas.microsoft.com/office/excel/2006/main">
          <x14:cfRule type="dataBar" id="{946BE60B-7D7F-4FC2-AFFB-2242BA773936}">
            <x14:dataBar minLength="0" maxLength="100" gradient="0">
              <x14:cfvo type="num">
                <xm:f>0</xm:f>
              </x14:cfvo>
              <x14:cfvo type="num">
                <xm:f>0.95</xm:f>
              </x14:cfvo>
              <x14:negativeFillColor rgb="FFFF0000"/>
              <x14:axisColor rgb="FF000000"/>
            </x14:dataBar>
          </x14:cfRule>
          <xm:sqref>W4:W17 Y4:Y17 AC4:AC17 AG4:AG17</xm:sqref>
        </x14:conditionalFormatting>
        <x14:conditionalFormatting xmlns:xm="http://schemas.microsoft.com/office/excel/2006/main">
          <x14:cfRule type="dataBar" id="{044FF000-A9BE-4123-A301-0AA6D277A7FD}">
            <x14:dataBar minLength="0" maxLength="100" gradient="0">
              <x14:cfvo type="num">
                <xm:f>0</xm:f>
              </x14:cfvo>
              <x14:cfvo type="num">
                <xm:f>0.95</xm:f>
              </x14:cfvo>
              <x14:negativeFillColor rgb="FFFF0000"/>
              <x14:axisColor rgb="FF000000"/>
            </x14:dataBar>
          </x14:cfRule>
          <xm:sqref>AO22:AO35</xm:sqref>
        </x14:conditionalFormatting>
      </x14:conditionalFormattings>
    </ext>
  </extLs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00728-A13B-48BC-A5F2-1779FE49E64D}">
  <sheetPr codeName="Sheet15">
    <tabColor theme="5" tint="0.39997558519241921"/>
  </sheetPr>
  <dimension ref="A1:U45"/>
  <sheetViews>
    <sheetView showGridLines="0" workbookViewId="0">
      <selection activeCell="B37" sqref="B37"/>
    </sheetView>
  </sheetViews>
  <sheetFormatPr defaultRowHeight="15" x14ac:dyDescent="0.25"/>
  <cols>
    <col min="1" max="1" width="8.28515625" customWidth="1"/>
    <col min="2" max="2" width="10.140625" bestFit="1" customWidth="1"/>
    <col min="3" max="3" width="8.28515625" style="1" customWidth="1"/>
    <col min="4" max="4" width="9" style="7" customWidth="1"/>
    <col min="5" max="5" width="69" customWidth="1"/>
    <col min="6" max="6" width="18.140625" customWidth="1"/>
    <col min="8" max="8" width="11.5703125" bestFit="1" customWidth="1"/>
    <col min="9" max="9" width="6.7109375" bestFit="1" customWidth="1"/>
    <col min="10" max="10" width="2.42578125" customWidth="1"/>
    <col min="11" max="11" width="10" bestFit="1" customWidth="1"/>
    <col min="12" max="12" width="7.140625" customWidth="1"/>
    <col min="13" max="13" width="2.5703125" customWidth="1"/>
    <col min="14" max="14" width="9.85546875" customWidth="1"/>
    <col min="15" max="15" width="6.85546875" customWidth="1"/>
    <col min="16" max="16" width="3.140625" customWidth="1"/>
    <col min="17" max="17" width="9.7109375" bestFit="1" customWidth="1"/>
    <col min="18" max="18" width="7.42578125" customWidth="1"/>
    <col min="19" max="19" width="2.7109375" customWidth="1"/>
    <col min="20" max="20" width="11.5703125" bestFit="1" customWidth="1"/>
  </cols>
  <sheetData>
    <row r="1" spans="1:21" x14ac:dyDescent="0.25">
      <c r="A1" s="178" t="s">
        <v>2697</v>
      </c>
      <c r="B1" s="178" t="s">
        <v>2743</v>
      </c>
      <c r="C1" s="187" t="s">
        <v>2718</v>
      </c>
      <c r="D1" s="233" t="s">
        <v>2608</v>
      </c>
      <c r="E1" s="178" t="s">
        <v>2698</v>
      </c>
      <c r="F1" s="178" t="s">
        <v>2770</v>
      </c>
      <c r="H1" s="479" t="s">
        <v>4584</v>
      </c>
      <c r="I1" s="480" t="s">
        <v>4578</v>
      </c>
      <c r="K1" s="470" t="s">
        <v>4579</v>
      </c>
      <c r="L1" s="471" t="s">
        <v>4578</v>
      </c>
      <c r="N1" s="470" t="s">
        <v>4580</v>
      </c>
      <c r="O1" s="471" t="s">
        <v>4578</v>
      </c>
      <c r="Q1" s="474" t="s">
        <v>4583</v>
      </c>
      <c r="R1" s="475" t="s">
        <v>4578</v>
      </c>
      <c r="T1" s="472" t="s">
        <v>4577</v>
      </c>
      <c r="U1" s="473" t="s">
        <v>4578</v>
      </c>
    </row>
    <row r="2" spans="1:21" x14ac:dyDescent="0.25">
      <c r="A2" s="185" t="s">
        <v>1362</v>
      </c>
      <c r="B2" s="232">
        <f>_xlfn.XLOOKUP(A2,'2025-Q2'!A4:A422,'2025-Q2'!P4:P422,"didn't trade")</f>
        <v>0.30152802815692448</v>
      </c>
      <c r="C2" s="186" t="s">
        <v>2707</v>
      </c>
      <c r="D2" s="186" t="str">
        <f>_xlfn.XLOOKUP(A2,'2025-Q2'!$A$4:$A$422,'2025-Q2'!$E$4:$E$422)</f>
        <v>XLF</v>
      </c>
      <c r="E2" s="185" t="s">
        <v>4470</v>
      </c>
      <c r="F2" s="253"/>
      <c r="H2" s="468" t="s">
        <v>1325</v>
      </c>
      <c r="I2" s="469">
        <f>_xlfn.XLOOKUP(H2,'2025-Q2'!$A$4:$A$422,'2025-Q2'!$K$4:$K$422,"NA")</f>
        <v>-6.1091353391655077E-4</v>
      </c>
      <c r="K2" s="468" t="s">
        <v>2383</v>
      </c>
      <c r="L2" s="469" t="str">
        <f>_xlfn.XLOOKUP(K2,'2025-Q2'!$A$4:$A$422,'2025-Q2'!$K$4:$K$422,"NA")</f>
        <v>NA</v>
      </c>
      <c r="N2" s="468" t="s">
        <v>1505</v>
      </c>
      <c r="O2" s="469">
        <f>_xlfn.XLOOKUP(N2,'2025-Q2'!$A$4:$A$422,'2025-Q2'!$K$4:$K$422,"NA")</f>
        <v>2.9559587699122574E-2</v>
      </c>
      <c r="Q2" s="468" t="s">
        <v>1421</v>
      </c>
      <c r="R2" s="469">
        <f>_xlfn.XLOOKUP(Q2,'2025-Q2'!$A$4:$A$422,'2025-Q2'!$K$4:$K$422,"NA")</f>
        <v>-4.0730643402399118E-2</v>
      </c>
      <c r="T2" s="468" t="s">
        <v>1680</v>
      </c>
      <c r="U2" s="469">
        <f>_xlfn.XLOOKUP(T2,'2025-Q2'!$A$4:$A$422,'2025-Q2'!$K$4:$K$422,"NA")</f>
        <v>-0.13524346793349168</v>
      </c>
    </row>
    <row r="3" spans="1:21" x14ac:dyDescent="0.25">
      <c r="A3" s="185" t="s">
        <v>1274</v>
      </c>
      <c r="B3" s="232">
        <f>_xlfn.XLOOKUP(A3,'2025-Q2'!A5:A423,'2025-Q2'!P5:P423,"didn't trade")</f>
        <v>-2.9368362277223206</v>
      </c>
      <c r="C3" s="186" t="s">
        <v>23</v>
      </c>
      <c r="D3" s="186" t="str">
        <f>_xlfn.XLOOKUP(A3,'2025-Q2'!$A$4:$A$422,'2025-Q2'!$E$4:$E$422)</f>
        <v>H-INS</v>
      </c>
      <c r="E3" s="185" t="s">
        <v>4473</v>
      </c>
      <c r="F3" s="253"/>
      <c r="H3" s="468" t="s">
        <v>1368</v>
      </c>
      <c r="I3" s="469">
        <f>_xlfn.XLOOKUP(H3,'2025-Q2'!$A$4:$A$422,'2025-Q2'!$K$4:$K$422,"NA")</f>
        <v>-1.1535662299854497E-2</v>
      </c>
      <c r="K3" s="468" t="s">
        <v>106</v>
      </c>
      <c r="L3" s="469">
        <f>_xlfn.XLOOKUP(K3,'2025-Q2'!$A$4:$A$422,'2025-Q2'!$K$4:$K$422,"NA")</f>
        <v>-2.5284450063211148E-2</v>
      </c>
      <c r="N3" s="468" t="s">
        <v>1448</v>
      </c>
      <c r="O3" s="469">
        <f>_xlfn.XLOOKUP(N3,'2025-Q2'!$A$4:$A$422,'2025-Q2'!$K$4:$K$422,"NA")</f>
        <v>-1.2524663292442256E-2</v>
      </c>
      <c r="Q3" s="468" t="s">
        <v>1352</v>
      </c>
      <c r="R3" s="469">
        <f>_xlfn.XLOOKUP(Q3,'2025-Q2'!$A$4:$A$422,'2025-Q2'!$K$4:$K$422,"NA")</f>
        <v>3.6862147753236665E-2</v>
      </c>
      <c r="T3" s="468" t="s">
        <v>1660</v>
      </c>
      <c r="U3" s="469">
        <f>_xlfn.XLOOKUP(T3,'2025-Q2'!$A$4:$A$422,'2025-Q2'!$K$4:$K$422,"NA")</f>
        <v>3.6254800090354568E-2</v>
      </c>
    </row>
    <row r="4" spans="1:21" x14ac:dyDescent="0.25">
      <c r="A4" s="185" t="s">
        <v>1495</v>
      </c>
      <c r="B4" s="232">
        <f>_xlfn.XLOOKUP(A4,'2025-Q2'!A6:A424,'2025-Q2'!P6:P424,"didn't trade")</f>
        <v>-0.9737436967483889</v>
      </c>
      <c r="C4" s="186" t="s">
        <v>23</v>
      </c>
      <c r="D4" s="186" t="str">
        <f>_xlfn.XLOOKUP(A4,'2025-Q2'!$A$4:$A$422,'2025-Q2'!$E$4:$E$422)</f>
        <v>XLF</v>
      </c>
      <c r="E4" s="185" t="s">
        <v>4474</v>
      </c>
      <c r="F4" s="253"/>
      <c r="H4" s="468" t="s">
        <v>1369</v>
      </c>
      <c r="I4" s="469">
        <f>_xlfn.XLOOKUP(H4,'2025-Q2'!$A$4:$A$422,'2025-Q2'!$K$4:$K$422,"NA")</f>
        <v>-8.7666798411533395E-2</v>
      </c>
      <c r="K4" s="468" t="s">
        <v>4581</v>
      </c>
      <c r="L4" s="469" t="str">
        <f>_xlfn.XLOOKUP(K4,'2025-Q2'!$A$4:$A$422,'2025-Q2'!$K$4:$K$422,"NA")</f>
        <v>NA</v>
      </c>
      <c r="N4" s="468"/>
      <c r="O4" s="469" t="str">
        <f>_xlfn.XLOOKUP(N4,'2025-Q2'!$A$4:$A$422,'2025-Q2'!$K$4:$K$422,"NA")</f>
        <v>NA</v>
      </c>
      <c r="Q4" s="468" t="s">
        <v>560</v>
      </c>
      <c r="R4" s="469">
        <f>_xlfn.XLOOKUP(Q4,'2025-Q2'!$A$4:$A$422,'2025-Q2'!$K$4:$K$422,"NA")</f>
        <v>-7.8993666432090104E-2</v>
      </c>
      <c r="T4" s="468" t="s">
        <v>233</v>
      </c>
      <c r="U4" s="469" t="str">
        <f>_xlfn.XLOOKUP(T4,'2025-Q2'!$A$4:$A$422,'2025-Q2'!$K$4:$K$422,"NA")</f>
        <v>NA</v>
      </c>
    </row>
    <row r="5" spans="1:21" x14ac:dyDescent="0.25">
      <c r="A5" s="185"/>
      <c r="B5" s="232">
        <f>_xlfn.XLOOKUP(A5,'2025-Q2'!A7:A425,'2025-Q2'!P7:P425,"didn't trade")</f>
        <v>0</v>
      </c>
      <c r="C5" s="186"/>
      <c r="D5" s="186" t="e">
        <f>_xlfn.XLOOKUP(A5,'2025-Q2'!$A$4:$A$422,'2025-Q2'!$E$4:$E$422)</f>
        <v>#N/A</v>
      </c>
      <c r="E5" s="185" t="s">
        <v>4491</v>
      </c>
      <c r="F5" s="253"/>
      <c r="H5" s="468" t="s">
        <v>1556</v>
      </c>
      <c r="I5" s="469">
        <f>_xlfn.XLOOKUP(H5,'2025-Q2'!$A$4:$A$422,'2025-Q2'!$K$4:$K$422,"NA")</f>
        <v>-6.0395591121857541E-4</v>
      </c>
      <c r="K5" s="771"/>
      <c r="L5" s="771"/>
      <c r="N5" s="771"/>
      <c r="O5" s="771"/>
      <c r="Q5" s="468"/>
      <c r="R5" s="469" t="str">
        <f>_xlfn.XLOOKUP(Q5,'2025-Q2'!$A$4:$A$422,'2025-Q2'!$K$4:$K$422,"NA")</f>
        <v>NA</v>
      </c>
      <c r="T5" s="468" t="s">
        <v>1536</v>
      </c>
      <c r="U5" s="469">
        <f>_xlfn.XLOOKUP(T5,'2025-Q2'!$A$4:$A$422,'2025-Q2'!$K$4:$K$422,"NA")</f>
        <v>4.9377916018662503E-2</v>
      </c>
    </row>
    <row r="6" spans="1:21" x14ac:dyDescent="0.25">
      <c r="A6" s="185" t="s">
        <v>1546</v>
      </c>
      <c r="B6" s="232">
        <f>_xlfn.XLOOKUP(A6,'2025-Q2'!A8:A426,'2025-Q2'!P8:P426,"didn't trade")</f>
        <v>-0.63271328921481373</v>
      </c>
      <c r="C6" s="186"/>
      <c r="D6" s="186" t="str">
        <f>_xlfn.XLOOKUP(A6,'2025-Q2'!$A$4:$A$422,'2025-Q2'!$E$4:$E$422)</f>
        <v>XLY</v>
      </c>
      <c r="E6" s="185" t="s">
        <v>4493</v>
      </c>
      <c r="F6" s="253"/>
      <c r="H6" s="468" t="s">
        <v>1314</v>
      </c>
      <c r="I6" s="469">
        <f>_xlfn.XLOOKUP(H6,'2025-Q2'!$A$4:$A$422,'2025-Q2'!$K$4:$K$422,"NA")</f>
        <v>3.383833349945177E-2</v>
      </c>
      <c r="K6" s="483" t="s">
        <v>4586</v>
      </c>
      <c r="L6" s="484" t="s">
        <v>4578</v>
      </c>
      <c r="N6" s="485" t="s">
        <v>4587</v>
      </c>
      <c r="O6" s="216" t="s">
        <v>4578</v>
      </c>
      <c r="Q6" s="476"/>
      <c r="R6" s="477"/>
      <c r="T6" s="468" t="s">
        <v>712</v>
      </c>
      <c r="U6" s="469">
        <f>_xlfn.XLOOKUP(T6,'2025-Q2'!$A$4:$A$422,'2025-Q2'!$K$4:$K$422,"NA")</f>
        <v>-8.5457271364317883E-2</v>
      </c>
    </row>
    <row r="7" spans="1:21" x14ac:dyDescent="0.25">
      <c r="A7" s="185" t="s">
        <v>1425</v>
      </c>
      <c r="B7" s="232">
        <f>_xlfn.XLOOKUP(A7,'2025-Q2'!A9:A427,'2025-Q2'!P9:P427,"didn't trade")</f>
        <v>-0.88466269278077625</v>
      </c>
      <c r="C7" s="186" t="s">
        <v>23</v>
      </c>
      <c r="D7" s="186" t="str">
        <f>_xlfn.XLOOKUP(A7,'2025-Q2'!$A$4:$A$422,'2025-Q2'!$E$4:$E$422)</f>
        <v>XLV</v>
      </c>
      <c r="E7" s="185" t="s">
        <v>4495</v>
      </c>
      <c r="F7" s="253"/>
      <c r="H7" s="468" t="s">
        <v>1596</v>
      </c>
      <c r="I7" s="469">
        <f>_xlfn.XLOOKUP(H7,'2025-Q2'!$A$4:$A$422,'2025-Q2'!$K$4:$K$422,"NA")</f>
        <v>3.2647390813579973E-2</v>
      </c>
      <c r="K7" s="468" t="s">
        <v>1515</v>
      </c>
      <c r="L7" s="469">
        <f>_xlfn.XLOOKUP(K7,'2025-Q2'!$A$4:$A$422,'2025-Q2'!$K$4:$K$422,"NA")</f>
        <v>6.783088235294131E-2</v>
      </c>
      <c r="N7" s="468" t="s">
        <v>1357</v>
      </c>
      <c r="O7" s="469">
        <f>_xlfn.XLOOKUP(N7,'2025-Q2'!$A$4:$A$422,'2025-Q2'!$K$4:$K$422,"NA")</f>
        <v>2.5892621774406065E-2</v>
      </c>
      <c r="Q7" s="476"/>
      <c r="R7" s="477"/>
      <c r="T7" s="468" t="s">
        <v>548</v>
      </c>
      <c r="U7" s="469">
        <f>_xlfn.XLOOKUP(T7,'2025-Q2'!$A$4:$A$422,'2025-Q2'!$K$4:$K$422,"NA")</f>
        <v>2.0379897111199072E-2</v>
      </c>
    </row>
    <row r="8" spans="1:21" x14ac:dyDescent="0.25">
      <c r="A8" s="185" t="s">
        <v>1578</v>
      </c>
      <c r="B8" s="232">
        <f>_xlfn.XLOOKUP(A8,'2025-Q2'!A10:A428,'2025-Q2'!P10:P428,"didn't trade")</f>
        <v>0.75991916192361575</v>
      </c>
      <c r="C8" s="186" t="s">
        <v>2707</v>
      </c>
      <c r="D8" s="186" t="str">
        <f>_xlfn.XLOOKUP(A8,'2025-Q2'!$A$4:$A$422,'2025-Q2'!$E$4:$E$422)</f>
        <v>XLB</v>
      </c>
      <c r="E8" s="185" t="s">
        <v>4529</v>
      </c>
      <c r="F8" s="253"/>
      <c r="H8" s="468" t="s">
        <v>1406</v>
      </c>
      <c r="I8" s="469">
        <f>_xlfn.XLOOKUP(H8,'2025-Q2'!$A$4:$A$422,'2025-Q2'!$K$4:$K$422,"NA")</f>
        <v>-1.1557486940039757E-3</v>
      </c>
      <c r="K8" s="468" t="s">
        <v>1506</v>
      </c>
      <c r="L8" s="469">
        <f>_xlfn.XLOOKUP(K8,'2025-Q2'!$A$4:$A$422,'2025-Q2'!$K$4:$K$422,"NA")</f>
        <v>5.8099458394879358E-2</v>
      </c>
      <c r="N8" s="468" t="s">
        <v>1568</v>
      </c>
      <c r="O8" s="469">
        <f>_xlfn.XLOOKUP(N8,'2025-Q2'!$A$4:$A$422,'2025-Q2'!$K$4:$K$422,"NA")</f>
        <v>-2.6082933317910999E-2</v>
      </c>
      <c r="Q8" s="476"/>
      <c r="R8" s="477"/>
      <c r="T8" s="468" t="s">
        <v>1032</v>
      </c>
      <c r="U8" s="469">
        <f>_xlfn.XLOOKUP(T8,'2025-Q2'!$A$4:$A$422,'2025-Q2'!$K$4:$K$422,"NA")</f>
        <v>2.9042258117148004E-2</v>
      </c>
    </row>
    <row r="9" spans="1:21" x14ac:dyDescent="0.25">
      <c r="A9" s="185"/>
      <c r="B9" s="232"/>
      <c r="C9" s="186"/>
      <c r="D9" s="186"/>
      <c r="E9" s="185"/>
      <c r="F9" s="253"/>
      <c r="H9" s="476"/>
      <c r="I9" s="477"/>
      <c r="K9" s="476"/>
      <c r="L9" s="477"/>
      <c r="N9" s="476"/>
      <c r="O9" s="477"/>
      <c r="Q9" s="476"/>
      <c r="R9" s="477"/>
      <c r="T9" s="468" t="s">
        <v>1102</v>
      </c>
      <c r="U9" s="469">
        <f>_xlfn.XLOOKUP(T9,'2025-Q2'!$A$4:$A$422,'2025-Q2'!$K$4:$K$422,"NA")</f>
        <v>-4.9979432332373508E-2</v>
      </c>
    </row>
    <row r="10" spans="1:21" x14ac:dyDescent="0.25">
      <c r="A10" s="185" t="s">
        <v>1377</v>
      </c>
      <c r="B10" s="232">
        <f>_xlfn.XLOOKUP(A10,'2025-Q2'!A12:A430,'2025-Q2'!P12:P430,"didn't trade")</f>
        <v>0.19590740433073134</v>
      </c>
      <c r="C10" s="186"/>
      <c r="D10" s="186" t="str">
        <f>_xlfn.XLOOKUP(A10,'2025-Q2'!$A$4:$A$422,'2025-Q2'!$E$4:$E$422)</f>
        <v>XLI</v>
      </c>
      <c r="E10" s="185"/>
      <c r="F10" s="253"/>
      <c r="T10" s="468" t="s">
        <v>1166</v>
      </c>
      <c r="U10" s="469">
        <f>_xlfn.XLOOKUP(T10,'2025-Q2'!$A$4:$A$422,'2025-Q2'!$K$4:$K$422,"NA")</f>
        <v>4.6672772888375492E-2</v>
      </c>
    </row>
    <row r="11" spans="1:21" x14ac:dyDescent="0.25">
      <c r="A11" s="185" t="s">
        <v>1431</v>
      </c>
      <c r="B11" s="232">
        <f>_xlfn.XLOOKUP(A11,'2025-Q2'!A13:A431,'2025-Q2'!P13:P431,"didn't trade")</f>
        <v>-1.4796668299853017</v>
      </c>
      <c r="C11" s="186" t="s">
        <v>2707</v>
      </c>
      <c r="D11" s="186" t="str">
        <f>_xlfn.XLOOKUP(A11,'2025-Q2'!$A$4:$A$422,'2025-Q2'!$E$4:$E$422)</f>
        <v>XLY</v>
      </c>
      <c r="E11" s="185" t="s">
        <v>4552</v>
      </c>
      <c r="F11" s="253"/>
      <c r="H11" s="481" t="s">
        <v>4585</v>
      </c>
      <c r="I11" s="482" t="s">
        <v>4578</v>
      </c>
      <c r="K11" s="522" t="s">
        <v>4671</v>
      </c>
      <c r="L11" s="523" t="s">
        <v>4578</v>
      </c>
      <c r="N11" s="483" t="s">
        <v>4608</v>
      </c>
      <c r="O11" s="484" t="s">
        <v>4578</v>
      </c>
      <c r="T11" s="468" t="s">
        <v>1157</v>
      </c>
      <c r="U11" s="469">
        <f>_xlfn.XLOOKUP(T11,'2025-Q2'!$A$4:$A$422,'2025-Q2'!$K$4:$K$422,"NA")</f>
        <v>-6.9563794091169487E-2</v>
      </c>
    </row>
    <row r="12" spans="1:21" x14ac:dyDescent="0.25">
      <c r="A12" s="185" t="s">
        <v>1379</v>
      </c>
      <c r="B12" s="232">
        <f>_xlfn.XLOOKUP(A12,'2025-Q2'!A14:A432,'2025-Q2'!P14:P432,"didn't trade")</f>
        <v>0.66978340259413105</v>
      </c>
      <c r="C12" s="186" t="s">
        <v>23</v>
      </c>
      <c r="D12" s="186" t="str">
        <f>_xlfn.XLOOKUP(A12,'2025-Q2'!$A$4:$A$422,'2025-Q2'!$E$4:$E$422)</f>
        <v>INS</v>
      </c>
      <c r="E12" s="185" t="s">
        <v>4556</v>
      </c>
      <c r="F12" s="253"/>
      <c r="H12" s="468" t="s">
        <v>1277</v>
      </c>
      <c r="I12" s="469">
        <f>_xlfn.XLOOKUP(H12,'2025-Q2'!$A$4:$A$422,'2025-Q2'!$K$4:$K$422,"---")</f>
        <v>1.1685148453798963E-2</v>
      </c>
      <c r="K12" s="468" t="s">
        <v>1605</v>
      </c>
      <c r="L12" s="469" t="str">
        <f>_xlfn.XLOOKUP(K12,'2025-Q2'!$A$4:$A$422,'2025-Q2'!$K$4:$K$422,"NA")</f>
        <v>NA</v>
      </c>
      <c r="N12" s="468"/>
      <c r="O12" s="469"/>
      <c r="T12" s="468" t="s">
        <v>2577</v>
      </c>
      <c r="U12" s="469">
        <f>_xlfn.XLOOKUP(T12,'2025-Q2'!$A$4:$A$422,'2025-Q2'!$K$4:$K$422,"NA")</f>
        <v>-0.13027888446215136</v>
      </c>
    </row>
    <row r="13" spans="1:21" x14ac:dyDescent="0.25">
      <c r="A13" s="185" t="s">
        <v>989</v>
      </c>
      <c r="B13" s="232">
        <f>_xlfn.XLOOKUP(A13,'2025-Q2'!A15:A433,'2025-Q2'!P15:P433,"didn't trade")</f>
        <v>-1.6666666666666667</v>
      </c>
      <c r="C13" s="186" t="s">
        <v>23</v>
      </c>
      <c r="D13" s="186" t="str">
        <f>_xlfn.XLOOKUP(A13,'2025-Q2'!$A$4:$A$422,'2025-Q2'!$E$4:$E$422)</f>
        <v/>
      </c>
      <c r="E13" s="185" t="s">
        <v>4593</v>
      </c>
      <c r="F13" s="253"/>
      <c r="H13" s="468" t="s">
        <v>1269</v>
      </c>
      <c r="I13" s="469">
        <f>_xlfn.XLOOKUP(H13,'2025-Q2'!$A$4:$A$422,'2025-Q2'!$K$4:$K$422,"---")</f>
        <v>7.0975333025171297E-2</v>
      </c>
      <c r="K13" s="468" t="s">
        <v>1059</v>
      </c>
      <c r="L13" s="469">
        <f>_xlfn.XLOOKUP(K13,'2025-Q2'!$A$4:$A$422,'2025-Q2'!$K$4:$K$422,"NA")</f>
        <v>-3.6165951359084368E-2</v>
      </c>
      <c r="N13" s="468" t="s">
        <v>838</v>
      </c>
      <c r="O13" s="469">
        <f>_xlfn.XLOOKUP(N13,'2025-Q2'!$A$4:$A$422,'2025-Q2'!$K$4:$K$422,"NA")</f>
        <v>-0.12253451676528608</v>
      </c>
      <c r="T13" s="468" t="s">
        <v>2599</v>
      </c>
      <c r="U13" s="469">
        <f>_xlfn.XLOOKUP(T13,'2025-Q2'!$A$4:$A$422,'2025-Q2'!$K$4:$K$422,"NA")</f>
        <v>-0.13828164717844443</v>
      </c>
    </row>
    <row r="14" spans="1:21" x14ac:dyDescent="0.25">
      <c r="A14" s="185" t="s">
        <v>3770</v>
      </c>
      <c r="B14" s="232">
        <f>_xlfn.XLOOKUP(A14,'2025-Q2'!A16:A434,'2025-Q2'!P16:P434,"didn't trade")</f>
        <v>0.83969465648854902</v>
      </c>
      <c r="C14" s="186" t="s">
        <v>23</v>
      </c>
      <c r="D14" s="186" t="str">
        <f>_xlfn.XLOOKUP(A14,'2025-Q2'!$A$4:$A$422,'2025-Q2'!$E$4:$E$422)</f>
        <v/>
      </c>
      <c r="E14" s="185" t="s">
        <v>4594</v>
      </c>
      <c r="F14" s="253"/>
      <c r="H14" s="468" t="s">
        <v>1265</v>
      </c>
      <c r="I14" s="469">
        <f>_xlfn.XLOOKUP(H14,'2025-Q2'!$A$4:$A$422,'2025-Q2'!$K$4:$K$422,"---")</f>
        <v>3.4867157986003566E-2</v>
      </c>
      <c r="K14" s="468" t="s">
        <v>4673</v>
      </c>
      <c r="L14" s="469" t="str">
        <f>_xlfn.XLOOKUP(K14,'2025-Q2'!$A$4:$A$422,'2025-Q2'!$K$4:$K$422,"NA")</f>
        <v>NA</v>
      </c>
      <c r="N14" s="468"/>
      <c r="O14" s="513"/>
    </row>
    <row r="15" spans="1:21" x14ac:dyDescent="0.25">
      <c r="A15" s="185" t="s">
        <v>2872</v>
      </c>
      <c r="B15" s="232">
        <f>_xlfn.XLOOKUP(A15,'2025-Q2'!A17:A435,'2025-Q2'!P17:P435,"didn't trade")</f>
        <v>0.56855909694555473</v>
      </c>
      <c r="C15" s="186" t="s">
        <v>23</v>
      </c>
      <c r="D15" s="186" t="str">
        <f>_xlfn.XLOOKUP(A15,'2025-Q2'!$A$4:$A$422,'2025-Q2'!$E$4:$E$422)</f>
        <v/>
      </c>
      <c r="E15" s="185" t="s">
        <v>4609</v>
      </c>
      <c r="F15" s="253"/>
      <c r="H15" s="468" t="s">
        <v>1264</v>
      </c>
      <c r="I15" s="469">
        <f>_xlfn.XLOOKUP(H15,'2025-Q2'!$A$4:$A$422,'2025-Q2'!$K$4:$K$422,"---")</f>
        <v>9.0699792541618238E-2</v>
      </c>
      <c r="K15" s="468" t="s">
        <v>1346</v>
      </c>
      <c r="L15" s="469">
        <f>_xlfn.XLOOKUP(K15,'2025-Q2'!$A$4:$A$422,'2025-Q2'!$K$4:$K$422,"NA")</f>
        <v>4.4058144762475611E-2</v>
      </c>
    </row>
    <row r="16" spans="1:21" x14ac:dyDescent="0.25">
      <c r="A16" s="185" t="s">
        <v>29</v>
      </c>
      <c r="B16" s="232">
        <f>_xlfn.XLOOKUP(A16,'2025-Q2'!A18:A436,'2025-Q2'!P18:P436,"didn't trade")</f>
        <v>-0.1007433223514014</v>
      </c>
      <c r="C16" s="186" t="s">
        <v>23</v>
      </c>
      <c r="D16" s="186" t="str">
        <f>_xlfn.XLOOKUP(A16,'2025-Q2'!$A$4:$A$422,'2025-Q2'!$E$4:$E$422)</f>
        <v/>
      </c>
      <c r="E16" s="185" t="s">
        <v>4675</v>
      </c>
      <c r="F16" s="253"/>
      <c r="H16" s="468" t="s">
        <v>1267</v>
      </c>
      <c r="I16" s="469">
        <f>_xlfn.XLOOKUP(H16,'2025-Q2'!$A$4:$A$422,'2025-Q2'!$K$4:$K$422,"---")</f>
        <v>6.4931650893796725E-3</v>
      </c>
    </row>
    <row r="17" spans="1:9" x14ac:dyDescent="0.25">
      <c r="A17" s="185"/>
      <c r="B17" s="232">
        <f>_xlfn.XLOOKUP(A17,'2025-Q2'!A19:A437,'2025-Q2'!P19:P437,"didn't trade")</f>
        <v>0</v>
      </c>
      <c r="C17" s="186"/>
      <c r="D17" s="186"/>
      <c r="E17" s="185"/>
      <c r="F17" s="253"/>
      <c r="H17" s="468" t="s">
        <v>1263</v>
      </c>
      <c r="I17" s="469">
        <f>_xlfn.XLOOKUP(H17,'2025-Q2'!$A$4:$A$422,'2025-Q2'!$K$4:$K$422,"---")</f>
        <v>-3.3892743296455981E-2</v>
      </c>
    </row>
    <row r="18" spans="1:9" x14ac:dyDescent="0.25">
      <c r="A18" s="185"/>
      <c r="B18" s="232">
        <f>_xlfn.XLOOKUP(A18,'2025-Q2'!A20:A438,'2025-Q2'!P20:P438,"didn't trade")</f>
        <v>0</v>
      </c>
      <c r="C18" s="186"/>
      <c r="D18" s="186"/>
      <c r="E18" s="185"/>
      <c r="F18" s="253"/>
      <c r="H18" s="468" t="s">
        <v>1103</v>
      </c>
      <c r="I18" s="469">
        <f>_xlfn.XLOOKUP(H18,'2025-Q2'!$A$4:$A$422,'2025-Q2'!$K$4:$K$422,"---")</f>
        <v>5.5188784214820839E-2</v>
      </c>
    </row>
    <row r="19" spans="1:9" x14ac:dyDescent="0.25">
      <c r="A19" s="185"/>
      <c r="B19" s="232">
        <f>_xlfn.XLOOKUP(A19,'2025-Q2'!A22:A440,'2025-Q2'!P22:P440,"didn't trade")</f>
        <v>0</v>
      </c>
      <c r="C19" s="186"/>
      <c r="D19" s="186"/>
      <c r="E19" s="185"/>
      <c r="F19" s="253"/>
      <c r="H19" s="476"/>
      <c r="I19" s="477"/>
    </row>
    <row r="20" spans="1:9" x14ac:dyDescent="0.25">
      <c r="A20" s="403"/>
      <c r="B20" s="404">
        <f>_xlfn.XLOOKUP(A20,'2025-Q2'!A22:A440,'2025-Q2'!P22:P440,"didn't trade")</f>
        <v>0</v>
      </c>
      <c r="C20" s="405"/>
      <c r="D20" s="405"/>
      <c r="E20" s="403"/>
    </row>
    <row r="21" spans="1:9" x14ac:dyDescent="0.25">
      <c r="A21" s="185" t="s">
        <v>1291</v>
      </c>
      <c r="B21" s="232" t="str">
        <f>_xlfn.XLOOKUP(A21,'2025-Q2'!A23:A441,'2025-Q2'!P23:P441,"didn't trade")</f>
        <v>didn't trade</v>
      </c>
      <c r="C21" s="186" t="s">
        <v>4496</v>
      </c>
      <c r="D21" s="186" t="s">
        <v>2707</v>
      </c>
      <c r="E21" s="185" t="s">
        <v>4497</v>
      </c>
    </row>
    <row r="22" spans="1:9" x14ac:dyDescent="0.25">
      <c r="A22" s="185" t="s">
        <v>3192</v>
      </c>
      <c r="B22" s="372" t="str">
        <f>_xlfn.XLOOKUP(A22,'2025-Q2'!A24:A442,'2025-Q2'!P24:P442,"didn't trade")</f>
        <v>didn't trade</v>
      </c>
      <c r="C22" s="186" t="s">
        <v>4496</v>
      </c>
      <c r="D22" s="186" t="s">
        <v>2707</v>
      </c>
      <c r="E22" s="185" t="s">
        <v>4554</v>
      </c>
    </row>
    <row r="23" spans="1:9" x14ac:dyDescent="0.25">
      <c r="A23" s="185" t="s">
        <v>233</v>
      </c>
      <c r="B23" s="232" t="str">
        <f>_xlfn.XLOOKUP(A23,'2025-Q2'!A25:A443,'2025-Q2'!P25:P443,"didn't trade")</f>
        <v>didn't trade</v>
      </c>
      <c r="C23" s="186" t="s">
        <v>4496</v>
      </c>
      <c r="D23" s="186"/>
      <c r="E23" s="185"/>
      <c r="F23" s="273"/>
    </row>
    <row r="24" spans="1:9" x14ac:dyDescent="0.25">
      <c r="A24" s="185" t="s">
        <v>4367</v>
      </c>
      <c r="B24" s="232" t="str">
        <f>_xlfn.XLOOKUP(A24,'2025-Q2'!A26:A444,'2025-Q2'!P26:P444,"didn't trade")</f>
        <v>didn't trade</v>
      </c>
      <c r="C24" s="186"/>
      <c r="D24" s="186" t="s">
        <v>2619</v>
      </c>
      <c r="E24" s="185" t="s">
        <v>4562</v>
      </c>
      <c r="F24" s="273"/>
    </row>
    <row r="25" spans="1:9" x14ac:dyDescent="0.25">
      <c r="A25" s="185" t="s">
        <v>4581</v>
      </c>
      <c r="B25" s="232" t="str">
        <f>_xlfn.XLOOKUP(A25,'2025-Q2'!A27:A445,'2025-Q2'!P27:P445,"didn't trade")</f>
        <v>didn't trade</v>
      </c>
      <c r="C25" s="186"/>
      <c r="D25" s="186" t="s">
        <v>2609</v>
      </c>
      <c r="E25" s="185" t="s">
        <v>4582</v>
      </c>
      <c r="F25" s="273"/>
    </row>
    <row r="26" spans="1:9" x14ac:dyDescent="0.25">
      <c r="A26" s="185" t="s">
        <v>2383</v>
      </c>
      <c r="B26" s="232" t="str">
        <f>_xlfn.XLOOKUP(A26,'2025-Q2'!A28:A446,'2025-Q2'!P28:P446,"didn't trade")</f>
        <v>didn't trade</v>
      </c>
      <c r="C26" s="186"/>
      <c r="D26" s="186" t="s">
        <v>2609</v>
      </c>
      <c r="E26" s="185" t="s">
        <v>4582</v>
      </c>
      <c r="F26" s="273"/>
    </row>
    <row r="27" spans="1:9" x14ac:dyDescent="0.25">
      <c r="A27" s="185" t="s">
        <v>352</v>
      </c>
      <c r="B27" s="232" t="str">
        <f>_xlfn.XLOOKUP(A27,'2025-Q2'!A31:A450,'2025-Q2'!P31:P450,"didn't trade")</f>
        <v>didn't trade</v>
      </c>
      <c r="C27" s="186"/>
      <c r="D27" s="186" t="s">
        <v>2659</v>
      </c>
      <c r="E27" s="185"/>
      <c r="F27" s="273"/>
    </row>
    <row r="28" spans="1:9" x14ac:dyDescent="0.25">
      <c r="A28" s="185" t="s">
        <v>3360</v>
      </c>
      <c r="B28" s="232" t="str">
        <f>_xlfn.XLOOKUP(A28,'2025-Q2'!A34:A453,'2025-Q2'!P34:P453,"didn't trade")</f>
        <v>didn't trade</v>
      </c>
      <c r="C28" s="186"/>
      <c r="D28" s="186" t="s">
        <v>2613</v>
      </c>
      <c r="E28" s="185"/>
      <c r="F28" s="273"/>
    </row>
    <row r="29" spans="1:9" x14ac:dyDescent="0.25">
      <c r="A29" s="185" t="s">
        <v>2518</v>
      </c>
      <c r="B29" s="232" t="str">
        <f>_xlfn.XLOOKUP(A29,'2025-Q2'!A37:A455,'2025-Q2'!P37:P455,"didn't trade")</f>
        <v>didn't trade</v>
      </c>
      <c r="C29" s="186"/>
      <c r="D29" s="186" t="s">
        <v>2610</v>
      </c>
      <c r="E29" s="185"/>
      <c r="F29" s="273"/>
    </row>
    <row r="30" spans="1:9" x14ac:dyDescent="0.25">
      <c r="A30" s="185" t="s">
        <v>3006</v>
      </c>
      <c r="B30" s="232" t="str">
        <f>_xlfn.XLOOKUP(A30,'2025-Q2'!A38:A456,'2025-Q2'!P38:P456,"didn't trade")</f>
        <v>didn't trade</v>
      </c>
      <c r="C30" s="158"/>
      <c r="D30" s="186" t="s">
        <v>2612</v>
      </c>
      <c r="E30" s="185"/>
    </row>
    <row r="31" spans="1:9" x14ac:dyDescent="0.25">
      <c r="A31" s="179" t="s">
        <v>3588</v>
      </c>
      <c r="B31" s="232" t="str">
        <f>_xlfn.XLOOKUP(A31,'2025-Q2'!A39:A457,'2025-Q2'!P39:P457,"didn't trade")</f>
        <v>didn't trade</v>
      </c>
      <c r="C31" s="158"/>
      <c r="D31" s="186" t="s">
        <v>2612</v>
      </c>
      <c r="E31" s="185"/>
    </row>
    <row r="32" spans="1:9" x14ac:dyDescent="0.25">
      <c r="A32" s="185" t="s">
        <v>1605</v>
      </c>
      <c r="B32" s="232" t="str">
        <f>_xlfn.XLOOKUP(A32,'2025-Q2'!A40:A458,'2025-Q2'!P40:P458,"didn't trade")</f>
        <v>didn't trade</v>
      </c>
      <c r="D32" s="186" t="s">
        <v>2659</v>
      </c>
      <c r="E32" s="185" t="s">
        <v>4672</v>
      </c>
    </row>
    <row r="33" spans="1:9" x14ac:dyDescent="0.25">
      <c r="A33" s="185" t="s">
        <v>4673</v>
      </c>
      <c r="B33" s="232" t="str">
        <f>_xlfn.XLOOKUP(A33,'2025-Q2'!A41:A459,'2025-Q2'!P41:P459,"didn't trade")</f>
        <v>didn't trade</v>
      </c>
      <c r="D33" s="186" t="s">
        <v>2659</v>
      </c>
      <c r="E33" s="185" t="s">
        <v>4672</v>
      </c>
    </row>
    <row r="34" spans="1:9" x14ac:dyDescent="0.25">
      <c r="A34" s="185" t="s">
        <v>4260</v>
      </c>
      <c r="B34" s="232" t="str">
        <f>_xlfn.XLOOKUP(A34,'2025-Q2'!A42:A460,'2025-Q2'!P42:P460,"didn't trade")</f>
        <v>didn't trade</v>
      </c>
      <c r="D34" s="186" t="s">
        <v>2690</v>
      </c>
      <c r="E34" s="554" t="s">
        <v>5510</v>
      </c>
    </row>
    <row r="35" spans="1:9" x14ac:dyDescent="0.25">
      <c r="A35" s="185" t="s">
        <v>1158</v>
      </c>
      <c r="B35" s="232" t="str">
        <f>_xlfn.XLOOKUP(A35,'2025-Q2'!A43:A461,'2025-Q2'!P43:P461,"didn't trade")</f>
        <v>didn't trade</v>
      </c>
      <c r="D35" s="186" t="s">
        <v>2619</v>
      </c>
      <c r="E35" s="554" t="s">
        <v>5509</v>
      </c>
    </row>
    <row r="36" spans="1:9" x14ac:dyDescent="0.25">
      <c r="A36" s="185" t="s">
        <v>1605</v>
      </c>
      <c r="B36" s="232" t="str">
        <f>_xlfn.XLOOKUP(A36,'2025-Q2'!A44:A462,'2025-Q2'!P44:P462,"didn't trade")</f>
        <v>didn't trade</v>
      </c>
      <c r="D36" s="186" t="s">
        <v>2659</v>
      </c>
      <c r="E36" s="554" t="s">
        <v>5660</v>
      </c>
    </row>
    <row r="37" spans="1:9" x14ac:dyDescent="0.25">
      <c r="A37" s="185"/>
    </row>
    <row r="38" spans="1:9" x14ac:dyDescent="0.25">
      <c r="A38" s="770" t="s">
        <v>4555</v>
      </c>
      <c r="B38" s="770"/>
      <c r="C38" s="770"/>
      <c r="D38" s="770"/>
      <c r="E38" s="770"/>
      <c r="F38" s="770"/>
      <c r="G38" s="770"/>
      <c r="H38" s="770"/>
      <c r="I38" s="770"/>
    </row>
    <row r="39" spans="1:9" x14ac:dyDescent="0.25">
      <c r="A39" s="252" t="s">
        <v>4527</v>
      </c>
    </row>
    <row r="40" spans="1:9" x14ac:dyDescent="0.25">
      <c r="A40" s="252" t="s">
        <v>4526</v>
      </c>
    </row>
    <row r="41" spans="1:9" x14ac:dyDescent="0.25">
      <c r="A41" s="252" t="s">
        <v>4525</v>
      </c>
    </row>
    <row r="42" spans="1:9" x14ac:dyDescent="0.25">
      <c r="A42" s="252" t="s">
        <v>4536</v>
      </c>
    </row>
    <row r="43" spans="1:9" x14ac:dyDescent="0.25">
      <c r="A43" s="252" t="s">
        <v>4538</v>
      </c>
    </row>
    <row r="44" spans="1:9" x14ac:dyDescent="0.25">
      <c r="A44" t="s">
        <v>4576</v>
      </c>
    </row>
    <row r="45" spans="1:9" x14ac:dyDescent="0.25">
      <c r="A45" t="s">
        <v>4574</v>
      </c>
    </row>
  </sheetData>
  <mergeCells count="3">
    <mergeCell ref="A38:I38"/>
    <mergeCell ref="K5:L5"/>
    <mergeCell ref="N5:O5"/>
  </mergeCells>
  <conditionalFormatting sqref="U2:U13">
    <cfRule type="colorScale" priority="1">
      <colorScale>
        <cfvo type="min"/>
        <cfvo type="num" val="0"/>
        <cfvo type="max"/>
        <color rgb="FFFFEF9C"/>
        <color theme="0"/>
        <color rgb="FF63BE7B"/>
      </colorScale>
    </cfRule>
  </conditionalFormatting>
  <pageMargins left="0.7" right="0.7" top="0.75" bottom="0.75" header="0.3" footer="0.3"/>
  <pageSetup orientation="portrait" horizontalDpi="300" verticalDpi="300"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Indices</vt:lpstr>
      <vt:lpstr>Industries</vt:lpstr>
      <vt:lpstr>Pivot</vt:lpstr>
      <vt:lpstr>Charts</vt:lpstr>
      <vt:lpstr>SPDR Chart</vt:lpstr>
      <vt:lpstr>Summary Data</vt:lpstr>
      <vt:lpstr>Summary</vt:lpstr>
      <vt:lpstr>Earnings</vt:lpstr>
      <vt:lpstr>2025-Q2</vt:lpstr>
      <vt:lpstr>MGMT</vt:lpstr>
      <vt:lpstr>Rev Curves</vt:lpstr>
      <vt:lpstr>Expectancy</vt:lpstr>
      <vt:lpstr>Q1-STATS</vt:lpstr>
      <vt:lpstr>Stats Roll Up</vt:lpstr>
      <vt:lpstr>Symbols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 Schaefer</dc:creator>
  <cp:lastModifiedBy>Ryan Schaefer</cp:lastModifiedBy>
  <cp:lastPrinted>2025-03-18T23:59:29Z</cp:lastPrinted>
  <dcterms:created xsi:type="dcterms:W3CDTF">2024-11-20T02:08:47Z</dcterms:created>
  <dcterms:modified xsi:type="dcterms:W3CDTF">2026-06-16T01:43:30Z</dcterms:modified>
</cp:coreProperties>
</file>